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C:\Users\DGRAIVE\Desktop\Projects - Local\26-2025 Zenith\2023 ACDP\Revised Application\For Web Page\"/>
    </mc:Choice>
  </mc:AlternateContent>
  <xr:revisionPtr revIDLastSave="0" documentId="13_ncr:1_{79028D0B-17A7-4D72-8326-A75E188F5245}" xr6:coauthVersionLast="47" xr6:coauthVersionMax="47" xr10:uidLastSave="{00000000-0000-0000-0000-000000000000}"/>
  <workbookProtection workbookAlgorithmName="SHA-512" workbookHashValue="BlUhZ/bSUkzMUVLWxW5RtCC5NDpfDXE6nPatu8R/waE03WVxguO1dHcusqy9FpscopoDSIPiTHYi5x1GHH3FbQ==" workbookSaltValue="LK8K4u/N3mS7pEbjzYV0Ow==" workbookSpinCount="100000" lockStructure="1"/>
  <bookViews>
    <workbookView xWindow="-103" yWindow="-103" windowWidth="16663" windowHeight="9892" xr2:uid="{139A05EB-C91B-4D65-8D9F-97F038B44E85}"/>
  </bookViews>
  <sheets>
    <sheet name="COVER" sheetId="31" r:id="rId1"/>
    <sheet name="Calc Setup" sheetId="28" r:id="rId2"/>
    <sheet name="Product Reference" sheetId="29" r:id="rId3"/>
    <sheet name="Throughput Summary" sheetId="30" r:id="rId4"/>
    <sheet name="Emission Summary" sheetId="24" r:id="rId5"/>
    <sheet name="Temperature Summary" sheetId="27" r:id="rId6"/>
    <sheet name="Vapor Pressure Summary" sheetId="25" r:id="rId7"/>
    <sheet name="Floating Roof Calculations" sheetId="23" r:id="rId8"/>
    <sheet name="Fixed Roof Calculations" sheetId="9" r:id="rId9"/>
    <sheet name="Floating Roof Tank Cons" sheetId="16" r:id="rId10"/>
    <sheet name="Floating Roof Fitting Info" sheetId="19" r:id="rId11"/>
    <sheet name="Floating Roof Product Info" sheetId="18" r:id="rId12"/>
    <sheet name="Fixed Roof Inputs" sheetId="1" r:id="rId13"/>
    <sheet name="Float Vapor Press" sheetId="22" r:id="rId14"/>
    <sheet name="Float Multicomp" sheetId="21" r:id="rId15"/>
    <sheet name="Float Temps" sheetId="20" r:id="rId16"/>
    <sheet name="Fixed Temps" sheetId="10" r:id="rId17"/>
    <sheet name="Fixed Multicomp" sheetId="12" r:id="rId18"/>
    <sheet name="Fixed Vapor Press" sheetId="13" r:id="rId19"/>
    <sheet name="AP-42 Tbls" sheetId="4" r:id="rId20"/>
    <sheet name="Pull Downs" sheetId="2" r:id="rId21"/>
    <sheet name="References" sheetId="3" r:id="rId22"/>
    <sheet name="Float Variables" sheetId="15" r:id="rId23"/>
    <sheet name="Antoine_coefficient_table" sheetId="14" r:id="rId24"/>
    <sheet name="Phys Prop" sheetId="5" r:id="rId25"/>
    <sheet name="AP-42 Weather" sheetId="11" r:id="rId26"/>
    <sheet name="High Prarie Crude MW" sheetId="6" r:id="rId27"/>
    <sheet name="AWB Crude MW" sheetId="7" r:id="rId28"/>
    <sheet name="Bakken Crude MW" sheetId="8"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__key2" localSheetId="23" hidden="1">[1]LOAD!#REF!</definedName>
    <definedName name="___key2" localSheetId="27" hidden="1">[1]LOAD!#REF!</definedName>
    <definedName name="___key2" localSheetId="28" hidden="1">[1]LOAD!#REF!</definedName>
    <definedName name="___key2" hidden="1">[1]LOAD!#REF!</definedName>
    <definedName name="__1__123Graph_AHC_COMP" hidden="1">[2]DATA!$L$407:$S$407</definedName>
    <definedName name="__123Graph_A" hidden="1">[3]Sheet1!$D$13:$D$17</definedName>
    <definedName name="__123Graph_ACOST" hidden="1">[2]DATA!$AB$395:$AB$406</definedName>
    <definedName name="__123Graph_B" localSheetId="23" hidden="1">'[4]A-4 Sewers 4,7,5'!#REF!</definedName>
    <definedName name="__123Graph_B" localSheetId="27" hidden="1">'[4]A-4 Sewers 4,7,5'!#REF!</definedName>
    <definedName name="__123Graph_B" localSheetId="28" hidden="1">'[4]A-4 Sewers 4,7,5'!#REF!</definedName>
    <definedName name="__123Graph_B" hidden="1">'[4]A-4 Sewers 4,7,5'!#REF!</definedName>
    <definedName name="__123Graph_C" localSheetId="27" hidden="1">'[4]A-4 Sewers 4,7,5'!#REF!</definedName>
    <definedName name="__123Graph_C" localSheetId="28" hidden="1">'[4]A-4 Sewers 4,7,5'!#REF!</definedName>
    <definedName name="__123Graph_C" hidden="1">'[4]A-4 Sewers 4,7,5'!#REF!</definedName>
    <definedName name="__123Graph_D" localSheetId="27" hidden="1">'[5]Regulation Info '!#REF!</definedName>
    <definedName name="__123Graph_D" localSheetId="28" hidden="1">'[5]Regulation Info '!#REF!</definedName>
    <definedName name="__123Graph_D" hidden="1">'[5]Regulation Info '!#REF!</definedName>
    <definedName name="__123Graph_E" localSheetId="27" hidden="1">'[5]Regulation Info '!#REF!</definedName>
    <definedName name="__123Graph_E" localSheetId="28" hidden="1">'[5]Regulation Info '!#REF!</definedName>
    <definedName name="__123Graph_E" hidden="1">'[5]Regulation Info '!#REF!</definedName>
    <definedName name="__123Graph_F" localSheetId="27" hidden="1">'[5]Regulation Info '!#REF!</definedName>
    <definedName name="__123Graph_F" localSheetId="28" hidden="1">'[5]Regulation Info '!#REF!</definedName>
    <definedName name="__123Graph_F" hidden="1">'[5]Regulation Info '!#REF!</definedName>
    <definedName name="__123Graph_X" hidden="1">[3]Sheet1!$B$13:$B$17</definedName>
    <definedName name="__123Graph_XCOST" hidden="1">[2]DATA!$A$395:$A$406</definedName>
    <definedName name="__2__123Graph_AHEAT_VALUE" hidden="1">[2]DATA!$W$5:$W$369</definedName>
    <definedName name="__3__123Graph_ALBS_DAY" hidden="1">[2]DATA!$AA$395:$AA$406</definedName>
    <definedName name="__4__123Graph_BLBS_DAY" hidden="1">[2]DATA!$Z$395:$Z$406</definedName>
    <definedName name="__5__123Graph_CLBS_DAY" hidden="1">[2]DATA!$Y$395:$Y$406</definedName>
    <definedName name="__6__123Graph_XCOMP_COST" hidden="1">[2]DATA!$F$394:$S$394</definedName>
    <definedName name="__7__123Graph_XHC_COMP" hidden="1">[2]DATA!$L$394:$S$394</definedName>
    <definedName name="__8__123Graph_XHEAT_VALUE" hidden="1">[2]DATA!$A$5:$A$369</definedName>
    <definedName name="__9__123Graph_XLBS_DAY" hidden="1">[2]DATA!$A$395:$A$406</definedName>
    <definedName name="__key2" localSheetId="23" hidden="1">[1]LOAD!#REF!</definedName>
    <definedName name="__key2" localSheetId="27" hidden="1">[1]LOAD!#REF!</definedName>
    <definedName name="__key2" localSheetId="28" hidden="1">[1]LOAD!#REF!</definedName>
    <definedName name="__key2" hidden="1">[1]LOAD!#REF!</definedName>
    <definedName name="__key3" localSheetId="27" hidden="1">[1]LOAD!#REF!</definedName>
    <definedName name="__key3" localSheetId="28" hidden="1">[1]LOAD!#REF!</definedName>
    <definedName name="__key3" hidden="1">[1]LOAD!#REF!</definedName>
    <definedName name="_1__123Graph_AHC_COMP" hidden="1">[2]DATA!$L$407:$S$407</definedName>
    <definedName name="_2__123Graph_AHEAT_VALUE" hidden="1">[2]DATA!$W$5:$W$369</definedName>
    <definedName name="_3__123Graph_ALBS_DAY" hidden="1">[2]DATA!$AA$395:$AA$406</definedName>
    <definedName name="_4__123Graph_BLBS_DAY" hidden="1">[2]DATA!$Z$395:$Z$406</definedName>
    <definedName name="_5__123Graph_CLBS_DAY" hidden="1">[2]DATA!$Y$395:$Y$406</definedName>
    <definedName name="_6__123Graph_XCOMP_COST" hidden="1">[2]DATA!$F$394:$S$394</definedName>
    <definedName name="_7__123Graph_XHC_COMP" hidden="1">[2]DATA!$L$394:$S$394</definedName>
    <definedName name="_8__123Graph_XHEAT_VALUE" hidden="1">[2]DATA!$A$5:$A$369</definedName>
    <definedName name="_9__123Graph_XLBS_DAY" hidden="1">[2]DATA!$A$395:$A$406</definedName>
    <definedName name="_Key1" localSheetId="23" hidden="1">[6]Loading!#REF!</definedName>
    <definedName name="_Key1" localSheetId="27" hidden="1">[6]Loading!#REF!</definedName>
    <definedName name="_Key1" localSheetId="28" hidden="1">[6]Loading!#REF!</definedName>
    <definedName name="_Key1" hidden="1">[6]Loading!#REF!</definedName>
    <definedName name="_Key2" localSheetId="23" hidden="1">#REF!</definedName>
    <definedName name="_Key2" localSheetId="27" hidden="1">#REF!</definedName>
    <definedName name="_Key2" localSheetId="28" hidden="1">#REF!</definedName>
    <definedName name="_Key2" hidden="1">#REF!</definedName>
    <definedName name="_Order1" hidden="1">255</definedName>
    <definedName name="_Order2" hidden="1">255</definedName>
    <definedName name="_Regression_Out" localSheetId="23" hidden="1">#REF!</definedName>
    <definedName name="_Regression_Out" localSheetId="27" hidden="1">#REF!</definedName>
    <definedName name="_Regression_Out" localSheetId="28" hidden="1">#REF!</definedName>
    <definedName name="_Regression_Out" hidden="1">#REF!</definedName>
    <definedName name="_Regression_X" localSheetId="23" hidden="1">#REF!</definedName>
    <definedName name="_Regression_X" localSheetId="27" hidden="1">#REF!</definedName>
    <definedName name="_Regression_X" localSheetId="28" hidden="1">#REF!</definedName>
    <definedName name="_Regression_X" hidden="1">#REF!</definedName>
    <definedName name="_Regression_Y" localSheetId="23" hidden="1">#REF!</definedName>
    <definedName name="_Regression_Y" localSheetId="27" hidden="1">#REF!</definedName>
    <definedName name="_Regression_Y" localSheetId="28" hidden="1">#REF!</definedName>
    <definedName name="_Regression_Y" hidden="1">#REF!</definedName>
    <definedName name="_Sort" localSheetId="23" hidden="1">'[7]B-5FlareEmissions'!#REF!</definedName>
    <definedName name="_Sort" localSheetId="27" hidden="1">'[7]B-5FlareEmissions'!#REF!</definedName>
    <definedName name="_Sort" localSheetId="28" hidden="1">'[7]B-5FlareEmissions'!#REF!</definedName>
    <definedName name="_Sort" hidden="1">'[7]B-5FlareEmissions'!#REF!</definedName>
    <definedName name="a" localSheetId="23" hidden="1">{#N/A,#N/A,FALSE,"Annual Summary";#N/A,#N/A,FALSE,"Hourly Summary";#N/A,#N/A,FALSE,"Flare Combustion";#N/A,#N/A,FALSE,"Shipping";#N/A,#N/A,FALSE,"Process Turnaround";#N/A,#N/A,FALSE,"Lab Samples";#N/A,#N/A,FALSE,"Product Cycles 5-4";#N/A,#N/A,FALSE,"5-4.1";#N/A,#N/A,FALSE,"5-4.2";#N/A,#N/A,FALSE,"Physical Prop Data"}</definedName>
    <definedName name="a" hidden="1">{#N/A,#N/A,FALSE,"Annual Summary";#N/A,#N/A,FALSE,"Hourly Summary";#N/A,#N/A,FALSE,"Flare Combustion";#N/A,#N/A,FALSE,"Shipping";#N/A,#N/A,FALSE,"Process Turnaround";#N/A,#N/A,FALSE,"Lab Samples";#N/A,#N/A,FALSE,"Product Cycles 5-4";#N/A,#N/A,FALSE,"5-4.1";#N/A,#N/A,FALSE,"5-4.2";#N/A,#N/A,FALSE,"Physical Prop Data"}</definedName>
    <definedName name="aaa" localSheetId="27" hidden="1">'[8]A-4 Sewers 4,7,5'!#REF!</definedName>
    <definedName name="aaa" localSheetId="28" hidden="1">'[8]A-4 Sewers 4,7,5'!#REF!</definedName>
    <definedName name="aaa" hidden="1">'[8]A-4 Sewers 4,7,5'!#REF!</definedName>
    <definedName name="abc" localSheetId="23" hidden="1">{#N/A,#N/A,FALSE,"Annual Summary";#N/A,#N/A,FALSE,"Hourly Summary";#N/A,#N/A,FALSE,"Flare Combustion";#N/A,#N/A,FALSE,"Shipping";#N/A,#N/A,FALSE,"Process Turnaround";#N/A,#N/A,FALSE,"Lab Samples";#N/A,#N/A,FALSE,"Product Cycles 5-4";#N/A,#N/A,FALSE,"5-4.1";#N/A,#N/A,FALSE,"5-4.2";#N/A,#N/A,FALSE,"Physical Prop Data"}</definedName>
    <definedName name="abc" hidden="1">{#N/A,#N/A,FALSE,"Annual Summary";#N/A,#N/A,FALSE,"Hourly Summary";#N/A,#N/A,FALSE,"Flare Combustion";#N/A,#N/A,FALSE,"Shipping";#N/A,#N/A,FALSE,"Process Turnaround";#N/A,#N/A,FALSE,"Lab Samples";#N/A,#N/A,FALSE,"Product Cycles 5-4";#N/A,#N/A,FALSE,"5-4.1";#N/A,#N/A,FALSE,"5-4.2";#N/A,#N/A,FALSE,"Physical Prop Data"}</definedName>
    <definedName name="Access_Hatch">'AP-42 Tbls'!$L$8:$P$12</definedName>
    <definedName name="Access_Hatch_Name">'AP-42 Tbls'!$L$8:$L$12</definedName>
    <definedName name="AL.SULFONATE" localSheetId="23" hidden="1">{#N/A,#N/A,FALSE,"Annual Summary";#N/A,#N/A,FALSE,"Hourly Summary";#N/A,#N/A,FALSE,"Flare Combustion";#N/A,#N/A,FALSE,"Shipping";#N/A,#N/A,FALSE,"Process Turnaround";#N/A,#N/A,FALSE,"Lab Samples";#N/A,#N/A,FALSE,"Product Cycles 5-4";#N/A,#N/A,FALSE,"5-4.1";#N/A,#N/A,FALSE,"5-4.2";#N/A,#N/A,FALSE,"Physical Prop Data"}</definedName>
    <definedName name="AL.SULFONATE" hidden="1">{#N/A,#N/A,FALSE,"Annual Summary";#N/A,#N/A,FALSE,"Hourly Summary";#N/A,#N/A,FALSE,"Flare Combustion";#N/A,#N/A,FALSE,"Shipping";#N/A,#N/A,FALSE,"Process Turnaround";#N/A,#N/A,FALSE,"Lab Samples";#N/A,#N/A,FALSE,"Product Cycles 5-4";#N/A,#N/A,FALSE,"5-4.1";#N/A,#N/A,FALSE,"5-4.2";#N/A,#N/A,FALSE,"Physical Prop Data"}</definedName>
    <definedName name="Antoine_Name">Antoine_coefficient_table!$A$4:$A$820</definedName>
    <definedName name="Antoines">Antoine_coefficient_table!$A$4:$D$820</definedName>
    <definedName name="api" localSheetId="23" hidden="1">{#N/A,#N/A,FALSE,"Annual Summary";#N/A,#N/A,FALSE,"Hourly Summary";#N/A,#N/A,FALSE,"Flare Combustion";#N/A,#N/A,FALSE,"Shipping";#N/A,#N/A,FALSE,"Process Turnaround";#N/A,#N/A,FALSE,"Lab Samples";#N/A,#N/A,FALSE,"Product Cycles 5-4";#N/A,#N/A,FALSE,"5-4.1";#N/A,#N/A,FALSE,"5-4.2";#N/A,#N/A,FALSE,"Physical Prop Data"}</definedName>
    <definedName name="api" hidden="1">{#N/A,#N/A,FALSE,"Annual Summary";#N/A,#N/A,FALSE,"Hourly Summary";#N/A,#N/A,FALSE,"Flare Combustion";#N/A,#N/A,FALSE,"Shipping";#N/A,#N/A,FALSE,"Process Turnaround";#N/A,#N/A,FALSE,"Lab Samples";#N/A,#N/A,FALSE,"Product Cycles 5-4";#N/A,#N/A,FALSE,"5-4.1";#N/A,#N/A,FALSE,"5-4.2";#N/A,#N/A,FALSE,"Physical Prop Data"}</definedName>
    <definedName name="asdf" localSheetId="23" hidden="1">{#N/A,#N/A,FALSE,"Annual Summary";#N/A,#N/A,FALSE,"Hourly Summary";#N/A,#N/A,FALSE,"Flare Combustion";#N/A,#N/A,FALSE,"Shipping";#N/A,#N/A,FALSE,"Process Turnaround";#N/A,#N/A,FALSE,"Lab Samples";#N/A,#N/A,FALSE,"Product Cycles 5-4";#N/A,#N/A,FALSE,"5-4.1";#N/A,#N/A,FALSE,"5-4.2";#N/A,#N/A,FALSE,"Physical Prop Data"}</definedName>
    <definedName name="asdf" hidden="1">{#N/A,#N/A,FALSE,"Annual Summary";#N/A,#N/A,FALSE,"Hourly Summary";#N/A,#N/A,FALSE,"Flare Combustion";#N/A,#N/A,FALSE,"Shipping";#N/A,#N/A,FALSE,"Process Turnaround";#N/A,#N/A,FALSE,"Lab Samples";#N/A,#N/A,FALSE,"Product Cycles 5-4";#N/A,#N/A,FALSE,"5-4.1";#N/A,#N/A,FALSE,"5-4.2";#N/A,#N/A,FALSE,"Physical Prop Data"}</definedName>
    <definedName name="AWBCdT">'AWB Crude MW'!$S$3:$S$14</definedName>
    <definedName name="AWBCMW">'AWB Crude MW'!$E$3:$P$14</definedName>
    <definedName name="B" localSheetId="23" hidden="1">{#N/A,#N/A,FALSE,"Annual Summary";#N/A,#N/A,FALSE,"Hourly Summary";#N/A,#N/A,FALSE,"Flare Combustion";#N/A,#N/A,FALSE,"Shipping";#N/A,#N/A,FALSE,"Process Turnaround";#N/A,#N/A,FALSE,"Lab Samples";#N/A,#N/A,FALSE,"Product Cycles 5-4";#N/A,#N/A,FALSE,"5-4.1";#N/A,#N/A,FALSE,"5-4.2";#N/A,#N/A,FALSE,"Physical Prop Data"}</definedName>
    <definedName name="B" hidden="1">{#N/A,#N/A,FALSE,"Annual Summary";#N/A,#N/A,FALSE,"Hourly Summary";#N/A,#N/A,FALSE,"Flare Combustion";#N/A,#N/A,FALSE,"Shipping";#N/A,#N/A,FALSE,"Process Turnaround";#N/A,#N/A,FALSE,"Lab Samples";#N/A,#N/A,FALSE,"Product Cycles 5-4";#N/A,#N/A,FALSE,"5-4.1";#N/A,#N/A,FALSE,"5-4.2";#N/A,#N/A,FALSE,"Physical Prop Data"}</definedName>
    <definedName name="BAKdT">'Bakken Crude MW'!$S$3:$S$11</definedName>
    <definedName name="BAKMW">'Bakken Crude MW'!$E$3:$P$11</definedName>
    <definedName name="Bolted_Deck_Cons">'AP-42 Tbls'!$AF$9:$AG$15</definedName>
    <definedName name="Bolted_Deck_Cons_Name">'AP-42 Tbls'!$AF$9:$AF$15</definedName>
    <definedName name="Chem_List">'Phys Prop'!$A$3:$A$88</definedName>
    <definedName name="Code" localSheetId="23" hidden="1">#REF!</definedName>
    <definedName name="Code" localSheetId="27" hidden="1">#REF!</definedName>
    <definedName name="Code" localSheetId="28" hidden="1">#REF!</definedName>
    <definedName name="Code" hidden="1">#REF!</definedName>
    <definedName name="Column_Diameter">'Pull Downs'!$B$46:$B$48</definedName>
    <definedName name="Combo_LWSGP">'AP-42 Tbls'!$L$78:$P$82</definedName>
    <definedName name="Combo_LWSGP_Name">'AP-42 Tbls'!$L$78:$L$82</definedName>
    <definedName name="d" localSheetId="23" hidden="1">{#N/A,#N/A,FALSE,"Annual Summary";#N/A,#N/A,FALSE,"Hourly Summary";#N/A,#N/A,FALSE,"Flare Combustion";#N/A,#N/A,FALSE,"Shipping";#N/A,#N/A,FALSE,"Process Turnaround";#N/A,#N/A,FALSE,"Lab Samples";#N/A,#N/A,FALSE,"Product Cycles 5-4";#N/A,#N/A,FALSE,"5-4.1";#N/A,#N/A,FALSE,"5-4.2";#N/A,#N/A,FALSE,"Physical Prop Data"}</definedName>
    <definedName name="d" hidden="1">{#N/A,#N/A,FALSE,"Annual Summary";#N/A,#N/A,FALSE,"Hourly Summary";#N/A,#N/A,FALSE,"Flare Combustion";#N/A,#N/A,FALSE,"Shipping";#N/A,#N/A,FALSE,"Process Turnaround";#N/A,#N/A,FALSE,"Lab Samples";#N/A,#N/A,FALSE,"Product Cycles 5-4";#N/A,#N/A,FALSE,"5-4.1";#N/A,#N/A,FALSE,"5-4.2";#N/A,#N/A,FALSE,"Physical Prop Data"}</definedName>
    <definedName name="data1" localSheetId="23" hidden="1">#REF!</definedName>
    <definedName name="data1" localSheetId="27" hidden="1">#REF!</definedName>
    <definedName name="data1" localSheetId="28" hidden="1">#REF!</definedName>
    <definedName name="data1" hidden="1">#REF!</definedName>
    <definedName name="data2" localSheetId="23" hidden="1">#REF!</definedName>
    <definedName name="data2" localSheetId="27" hidden="1">#REF!</definedName>
    <definedName name="data2" localSheetId="28" hidden="1">#REF!</definedName>
    <definedName name="data2" hidden="1">#REF!</definedName>
    <definedName name="data3" localSheetId="23" hidden="1">#REF!</definedName>
    <definedName name="data3" localSheetId="27" hidden="1">#REF!</definedName>
    <definedName name="data3" localSheetId="28" hidden="1">#REF!</definedName>
    <definedName name="data3" hidden="1">#REF!</definedName>
    <definedName name="Deck_Construction">'Pull Downs'!$B$42:$B$43</definedName>
    <definedName name="Deck_Drain">'AP-42 Tbls'!$L$51:$O$55</definedName>
    <definedName name="Deck_Drain_Name">'AP-42 Tbls'!$L$51:$L$55</definedName>
    <definedName name="Deck_Leg_DD">'AP-42 Tbls'!$L$65:$O$69</definedName>
    <definedName name="Deck_Leg_DD_Name">'AP-42 Tbls'!$L$65:$L$69</definedName>
    <definedName name="Deck_Leg_IFR">'AP-42 Tbls'!$L$56:$P$58</definedName>
    <definedName name="Deck_Leg_IFR_Name">'AP-42 Tbls'!$L$56:$L$58</definedName>
    <definedName name="Deck_Leg_Pon">'AP-42 Tbls'!$L$59:$O$64</definedName>
    <definedName name="Deck_Leg_Pon_Name">'AP-42 Tbls'!$L$59:$L$64</definedName>
    <definedName name="Deck_Type">'Pull Downs'!$B$51:$B$54</definedName>
    <definedName name="Discount" localSheetId="23" hidden="1">#REF!</definedName>
    <definedName name="Discount" localSheetId="27" hidden="1">#REF!</definedName>
    <definedName name="Discount" localSheetId="28" hidden="1">#REF!</definedName>
    <definedName name="Discount" hidden="1">#REF!</definedName>
    <definedName name="display_area_2" localSheetId="23" hidden="1">#REF!</definedName>
    <definedName name="display_area_2" localSheetId="27" hidden="1">#REF!</definedName>
    <definedName name="display_area_2" localSheetId="28" hidden="1">#REF!</definedName>
    <definedName name="display_area_2" hidden="1">#REF!</definedName>
    <definedName name="FC">References!$B$30:$C$32</definedName>
    <definedName name="FCode" localSheetId="23" hidden="1">#REF!</definedName>
    <definedName name="FCode" localSheetId="27" hidden="1">#REF!</definedName>
    <definedName name="FCode" localSheetId="28" hidden="1">#REF!</definedName>
    <definedName name="FCode" hidden="1">#REF!</definedName>
    <definedName name="Flt_Calc">'Floating Roof Calculations'!$K$11:$HF$20</definedName>
    <definedName name="FLT_Cons">'Floating Roof Tank Cons'!$B$8:$V$17</definedName>
    <definedName name="Flt_Emis">'Emission Summary'!$B$12:$S$21</definedName>
    <definedName name="Flt_Fitting">'Floating Roof Fitting Info'!$Q$7:$AZ$156</definedName>
    <definedName name="Flt_Multi">'Float Multicomp'!$D$6:$O$145</definedName>
    <definedName name="FLT_Prod_Info">'Floating Roof Product Info'!$E$6:$Q$125</definedName>
    <definedName name="FLT_Prods">'Calc Setup'!$E$6:$E$15</definedName>
    <definedName name="FLT_Roof_Type">'Pull Downs'!$B$37:$B$39</definedName>
    <definedName name="FLT_Setup">'Calc Setup'!$C$6:$K$15</definedName>
    <definedName name="FLT_Tank_Type">'Pull Downs'!$B$33:$B$34</definedName>
    <definedName name="Flt_Temps">'Float Temps'!$E$5:$P$124</definedName>
    <definedName name="Flt_Vap">'Float Vapor Press'!$D$5:$O$234</definedName>
    <definedName name="FLT_Vols">'Calc Setup'!$L$6:$L$15</definedName>
    <definedName name="FRSCW">'AP-42 Tbls'!$L$13:$O$19</definedName>
    <definedName name="FRSCW_Name">'AP-42 Tbls'!$L$13:$L$19</definedName>
    <definedName name="Fugitives" localSheetId="23" hidden="1">{#N/A,#N/A,FALSE,"Annual Summary";#N/A,#N/A,FALSE,"Hourly Summary";#N/A,#N/A,FALSE,"Flare Combustion";#N/A,#N/A,FALSE,"Shipping";#N/A,#N/A,FALSE,"Process Turnaround";#N/A,#N/A,FALSE,"Lab Samples";#N/A,#N/A,FALSE,"Product Cycles 5-4";#N/A,#N/A,FALSE,"5-4.1";#N/A,#N/A,FALSE,"5-4.2";#N/A,#N/A,FALSE,"Physical Prop Data"}</definedName>
    <definedName name="Fugitives" hidden="1">{#N/A,#N/A,FALSE,"Annual Summary";#N/A,#N/A,FALSE,"Hourly Summary";#N/A,#N/A,FALSE,"Flare Combustion";#N/A,#N/A,FALSE,"Shipping";#N/A,#N/A,FALSE,"Process Turnaround";#N/A,#N/A,FALSE,"Lab Samples";#N/A,#N/A,FALSE,"Product Cycles 5-4";#N/A,#N/A,FALSE,"5-4.1";#N/A,#N/A,FALSE,"5-4.2";#N/A,#N/A,FALSE,"Physical Prop Data"}</definedName>
    <definedName name="FX_Calcs">'Fixed Roof Calculations'!$B$11:$IO$77</definedName>
    <definedName name="FX_Emis">'Emission Summary'!$B$24:$S$90</definedName>
    <definedName name="FX_Input">'Fixed Roof Inputs'!$B$8:$CX$141</definedName>
    <definedName name="FX_Multi">'Fixed Multicomp'!$D$6:$O$943</definedName>
    <definedName name="FX_Prods">'Calc Setup'!$E$21:$E$87</definedName>
    <definedName name="FX_Roof_Type">'Pull Downs'!$B$29:$B$30</definedName>
    <definedName name="FX_RoofType">'[9]Reference - Tanks'!$N$6:$N$8</definedName>
    <definedName name="FX_Setup">'Calc Setup'!$C$21:$K$87</definedName>
    <definedName name="FX_Tank_Type">'Pull Downs'!$B$25:$B$26</definedName>
    <definedName name="FX_Temps">'Fixed Temps'!$D$5:$P$942</definedName>
    <definedName name="FX_Vap">'Fixed Vapor Press'!$D$5:$O$2283</definedName>
    <definedName name="FX_Vols">'Calc Setup'!$L$21:$L$87</definedName>
    <definedName name="GFW">'AP-42 Tbls'!$L$37:$P$41</definedName>
    <definedName name="GFW_Name">'AP-42 Tbls'!$L$37:$L$41</definedName>
    <definedName name="GHSP">'AP-42 Tbls'!$L$42:$P$46</definedName>
    <definedName name="GHSP_Name">'AP-42 Tbls'!$L$42:$L$46</definedName>
    <definedName name="HiddenRows" localSheetId="23" hidden="1">#REF!</definedName>
    <definedName name="HiddenRows" localSheetId="27" hidden="1">#REF!</definedName>
    <definedName name="HiddenRows" localSheetId="28" hidden="1">#REF!</definedName>
    <definedName name="HiddenRows" hidden="1">#REF!</definedName>
    <definedName name="HPCdT">'High Prarie Crude MW'!$S$3:$S$14</definedName>
    <definedName name="HPCMW">'High Prarie Crude MW'!$E$3:$P$14</definedName>
    <definedName name="kb" localSheetId="23" hidden="1">{#N/A,#N/A,FALSE,"F1-Currrent";#N/A,#N/A,FALSE,"F2-Current";#N/A,#N/A,FALSE,"F2-Proposed";#N/A,#N/A,FALSE,"F3-Current";#N/A,#N/A,FALSE,"F4-Current";#N/A,#N/A,FALSE,"F4-Proposed";#N/A,#N/A,FALSE,"Controls"}</definedName>
    <definedName name="kb" hidden="1">{#N/A,#N/A,FALSE,"F1-Currrent";#N/A,#N/A,FALSE,"F2-Current";#N/A,#N/A,FALSE,"F2-Proposed";#N/A,#N/A,FALSE,"F3-Current";#N/A,#N/A,FALSE,"F4-Current";#N/A,#N/A,FALSE,"F4-Proposed";#N/A,#N/A,FALSE,"Controls"}</definedName>
    <definedName name="KD">References!$B$26:$C$27</definedName>
    <definedName name="Ladder_Well">'AP-42 Tbls'!$L$74:$P$77</definedName>
    <definedName name="Ladder_Well_Name">'AP-42 Tbls'!$L$74:$L$77</definedName>
    <definedName name="leah" localSheetId="23" hidden="1">{#N/A,#N/A,FALSE,"Annual Summary";#N/A,#N/A,FALSE,"Hourly Summary";#N/A,#N/A,FALSE,"Flare Combustion";#N/A,#N/A,FALSE,"Shipping";#N/A,#N/A,FALSE,"Process Turnaround";#N/A,#N/A,FALSE,"Lab Samples";#N/A,#N/A,FALSE,"Product Cycles 5-4";#N/A,#N/A,FALSE,"5-4.1";#N/A,#N/A,FALSE,"5-4.2";#N/A,#N/A,FALSE,"Physical Prop Data"}</definedName>
    <definedName name="leah" hidden="1">{#N/A,#N/A,FALSE,"Annual Summary";#N/A,#N/A,FALSE,"Hourly Summary";#N/A,#N/A,FALSE,"Flare Combustion";#N/A,#N/A,FALSE,"Shipping";#N/A,#N/A,FALSE,"Process Turnaround";#N/A,#N/A,FALSE,"Lab Samples";#N/A,#N/A,FALSE,"Product Cycles 5-4";#N/A,#N/A,FALSE,"5-4.1";#N/A,#N/A,FALSE,"5-4.2";#N/A,#N/A,FALSE,"Physical Prop Data"}</definedName>
    <definedName name="mg" localSheetId="23" hidden="1">{#N/A,#N/A,FALSE,"F1-Currrent";#N/A,#N/A,FALSE,"F2-Current";#N/A,#N/A,FALSE,"F2-Proposed";#N/A,#N/A,FALSE,"F3-Current";#N/A,#N/A,FALSE,"F4-Current";#N/A,#N/A,FALSE,"F4-Proposed";#N/A,#N/A,FALSE,"Controls"}</definedName>
    <definedName name="mg" hidden="1">{#N/A,#N/A,FALSE,"F1-Currrent";#N/A,#N/A,FALSE,"F2-Current";#N/A,#N/A,FALSE,"F2-Proposed";#N/A,#N/A,FALSE,"F3-Current";#N/A,#N/A,FALSE,"F4-Current";#N/A,#N/A,FALSE,"F4-Proposed";#N/A,#N/A,FALSE,"Controls"}</definedName>
    <definedName name="Month_Ref">References!$B$5:$D$17</definedName>
    <definedName name="OrderTable" localSheetId="23" hidden="1">#REF!</definedName>
    <definedName name="OrderTable" localSheetId="27" hidden="1">#REF!</definedName>
    <definedName name="OrderTable" localSheetId="28" hidden="1">#REF!</definedName>
    <definedName name="OrderTable" hidden="1">#REF!</definedName>
    <definedName name="Paint_Color">'AP-42 Tbls'!$D$7:$D$20</definedName>
    <definedName name="Paint_Cond_Column">References!$B$21:$C$23</definedName>
    <definedName name="Paint_Condition">'AP-42 Tbls'!$E$6:$G$6</definedName>
    <definedName name="Phys_Prop">'Phys Prop'!$A$3:$F$88</definedName>
    <definedName name="_xlnm.Print_Area" localSheetId="1">'Calc Setup'!$D$3:$K$76</definedName>
    <definedName name="_xlnm.Print_Area" localSheetId="4">'Emission Summary'!$B$3:$S$92</definedName>
    <definedName name="_xlnm.Print_Area" localSheetId="8">'Fixed Roof Calculations'!$C$6:$IO$66</definedName>
    <definedName name="_xlnm.Print_Area" localSheetId="22">'Float Variables'!$B$4:$I$26</definedName>
    <definedName name="_xlnm.Print_Area" localSheetId="7">'Floating Roof Calculations'!$B$5:$HF$20</definedName>
    <definedName name="_xlnm.Print_Area" localSheetId="5">'Temperature Summary'!$B$1:$P$78</definedName>
    <definedName name="_xlnm.Print_Area" localSheetId="6">'Vapor Pressure Summary'!$B$1:$R$78</definedName>
    <definedName name="_xlnm.Print_Titles" localSheetId="1">'Calc Setup'!$3:$4</definedName>
    <definedName name="_xlnm.Print_Titles" localSheetId="4">'Emission Summary'!$7:$10</definedName>
    <definedName name="_xlnm.Print_Titles" localSheetId="8">'Fixed Roof Calculations'!$C:$C,'Fixed Roof Calculations'!$6:$10</definedName>
    <definedName name="_xlnm.Print_Titles" localSheetId="7">'Floating Roof Calculations'!$B:$B</definedName>
    <definedName name="_xlnm.Print_Titles" localSheetId="5">'Temperature Summary'!$6:$9</definedName>
    <definedName name="_xlnm.Print_Titles" localSheetId="6">'Vapor Pressure Summary'!$6:$9</definedName>
    <definedName name="ProdForm" localSheetId="23" hidden="1">#REF!</definedName>
    <definedName name="ProdForm" localSheetId="27" hidden="1">#REF!</definedName>
    <definedName name="ProdForm" localSheetId="28" hidden="1">#REF!</definedName>
    <definedName name="ProdForm" hidden="1">#REF!</definedName>
    <definedName name="Product" localSheetId="23" hidden="1">#REF!</definedName>
    <definedName name="Product" localSheetId="27" hidden="1">#REF!</definedName>
    <definedName name="Product" localSheetId="28" hidden="1">#REF!</definedName>
    <definedName name="Product" hidden="1">#REF!</definedName>
    <definedName name="Product_GRP">'Product Reference'!$F$5:$F$12</definedName>
    <definedName name="RCArea" localSheetId="23" hidden="1">#REF!</definedName>
    <definedName name="RCArea" localSheetId="27" hidden="1">#REF!</definedName>
    <definedName name="RCArea" localSheetId="28" hidden="1">#REF!</definedName>
    <definedName name="RCArea" hidden="1">#REF!</definedName>
    <definedName name="Rim_Vent">'AP-42 Tbls'!$L$70:$P$73</definedName>
    <definedName name="Rim_Vent_Name">'AP-42 Tbls'!$L$70:$L$73</definedName>
    <definedName name="Roof_Column_Cons">'Pull Downs'!$B$80:$B$82</definedName>
    <definedName name="Roof_Support_Type">'Pull Downs'!$B$75:$B$77</definedName>
    <definedName name="RVP_XRef">'Product Reference'!$I$5:$J$13</definedName>
    <definedName name="Seal_Tightness">'Pull Downs'!$B$71:$B$72</definedName>
    <definedName name="Seal_Type">'Pull Downs'!$B$57:$B$68</definedName>
    <definedName name="SGPW">'AP-42 Tbls'!$L$27:$O$36</definedName>
    <definedName name="SGPW_Name">'AP-42 Tbls'!$L$27:$L$36</definedName>
    <definedName name="Shell_Cond">'Pull Downs'!$B$85:$B$87</definedName>
    <definedName name="SpecialPrice" localSheetId="23" hidden="1">#REF!</definedName>
    <definedName name="SpecialPrice" localSheetId="27" hidden="1">#REF!</definedName>
    <definedName name="SpecialPrice" localSheetId="28" hidden="1">#REF!</definedName>
    <definedName name="SpecialPrice" hidden="1">#REF!</definedName>
    <definedName name="Sup_Col">'Floating Roof Fitting Info'!$P$7:$P$155</definedName>
    <definedName name="Surrogate_Lst">'Product Reference'!$F$5:$G$12</definedName>
    <definedName name="Tbl_71_10">'AP-42 Tbls'!$C$49:$E$50</definedName>
    <definedName name="Tbl_71_10_Col">'AP-42 Tbls'!$C$48:$E$48</definedName>
    <definedName name="Tbl_71_10_Row">'AP-42 Tbls'!$B$49:$B$50</definedName>
    <definedName name="Tbl_71_11">'AP-42 Tbls'!$B$56:$E$69</definedName>
    <definedName name="Tbl_71_11_Dia">'AP-42 Tbls'!$B$56:$B$69</definedName>
    <definedName name="Tbl_71_11_Max">'AP-42 Tbls'!$D$56:$D$69</definedName>
    <definedName name="Tbl_71_13">'AP-42 Tbls'!$R$9:$V$16</definedName>
    <definedName name="Tbl_71_13_Dia">'AP-42 Tbls'!$R$9:$R$16</definedName>
    <definedName name="Tbl_71_13_Range">'AP-42 Tbls'!$S$9:$S$16</definedName>
    <definedName name="Tbl_71_14">'AP-42 Tbls'!$Y$8:$AD$45</definedName>
    <definedName name="Tbl_71_14_Dia">'AP-42 Tbls'!$Z$8:$Z$45</definedName>
    <definedName name="Tbl_71_14_Range">'AP-42 Tbls'!$Y$8:$Y$45</definedName>
    <definedName name="Tbl_71_16">'AP-42 Tbls'!$AF$9:$AG$15</definedName>
    <definedName name="Tbl_71_6">'AP-42 Tbls'!$D$7:$G$20</definedName>
    <definedName name="Tbl_71_8_Riv">'AP-42 Tbls'!$B$41:$E$43</definedName>
    <definedName name="Tbl_71_8_Weld">'AP-42 Tbls'!$B$25:$H$36</definedName>
    <definedName name="Tbl_71_8R_Name">'AP-42 Tbls'!$B$41:$B$43</definedName>
    <definedName name="Tbl_71_8W_Name">'AP-42 Tbls'!$B$25:$B$36</definedName>
    <definedName name="tbl_ProdInfo" localSheetId="23" hidden="1">#REF!</definedName>
    <definedName name="tbl_ProdInfo" localSheetId="27" hidden="1">#REF!</definedName>
    <definedName name="tbl_ProdInfo" localSheetId="28" hidden="1">#REF!</definedName>
    <definedName name="tbl_ProdInfo" hidden="1">#REF!</definedName>
    <definedName name="Tbl71_14">'AP-42 Tbls'!$Y$8:$AD$45</definedName>
    <definedName name="Terminal_X_Ref">'Pull Downs'!$B$5:$C$22</definedName>
    <definedName name="Terminals">'Pull Downs'!$B$5:$B$22</definedName>
    <definedName name="UNI_AA_VERSION" hidden="1">"150.2.0"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RET_ATTRIB" hidden="1">64</definedName>
    <definedName name="UNI_RET_CONF" hidden="1">32</definedName>
    <definedName name="UNI_RET_DESC" hidden="1">4</definedName>
    <definedName name="UNI_RET_END" hidden="1">16384</definedName>
    <definedName name="UNI_RET_EQUIP" hidden="1">1</definedName>
    <definedName name="UNI_RET_EVENT" hidden="1">4096</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FORMANCES1R1C3" localSheetId="23" hidden="1">#REF!</definedName>
    <definedName name="UNIFORMANCES1R1C3" localSheetId="27" hidden="1">#REF!</definedName>
    <definedName name="UNIFORMANCES1R1C3" localSheetId="28" hidden="1">#REF!</definedName>
    <definedName name="UNIFORMANCES1R1C3" hidden="1">#REF!</definedName>
    <definedName name="UNIFORMANCES2R545C1" localSheetId="23" hidden="1">#REF!</definedName>
    <definedName name="UNIFORMANCES2R545C1" localSheetId="27" hidden="1">#REF!</definedName>
    <definedName name="UNIFORMANCES2R545C1" localSheetId="28" hidden="1">#REF!</definedName>
    <definedName name="UNIFORMANCES2R545C1" hidden="1">#REF!</definedName>
    <definedName name="UNIFORMANCES2R566C1" localSheetId="23" hidden="1">#REF!</definedName>
    <definedName name="UNIFORMANCES2R566C1" localSheetId="27" hidden="1">#REF!</definedName>
    <definedName name="UNIFORMANCES2R566C1" localSheetId="28" hidden="1">#REF!</definedName>
    <definedName name="UNIFORMANCES2R566C1" hidden="1">#REF!</definedName>
    <definedName name="UNIFORMANCES2R569C1" localSheetId="23" hidden="1">#REF!</definedName>
    <definedName name="UNIFORMANCES2R569C1" localSheetId="27" hidden="1">#REF!</definedName>
    <definedName name="UNIFORMANCES2R569C1" localSheetId="28" hidden="1">#REF!</definedName>
    <definedName name="UNIFORMANCES2R569C1" hidden="1">#REF!</definedName>
    <definedName name="UNIFORMANCES2R594C1" localSheetId="23" hidden="1">#REF!</definedName>
    <definedName name="UNIFORMANCES2R594C1" localSheetId="27" hidden="1">#REF!</definedName>
    <definedName name="UNIFORMANCES2R594C1" localSheetId="28" hidden="1">#REF!</definedName>
    <definedName name="UNIFORMANCES2R594C1" hidden="1">#REF!</definedName>
    <definedName name="UNIFORMANCES2R619C1" localSheetId="23" hidden="1">#REF!</definedName>
    <definedName name="UNIFORMANCES2R619C1" localSheetId="27" hidden="1">#REF!</definedName>
    <definedName name="UNIFORMANCES2R619C1" localSheetId="28" hidden="1">#REF!</definedName>
    <definedName name="UNIFORMANCES2R619C1" hidden="1">#REF!</definedName>
    <definedName name="UNIFORMANCES2R664C1" localSheetId="23" hidden="1">#REF!</definedName>
    <definedName name="UNIFORMANCES2R664C1" localSheetId="27" hidden="1">#REF!</definedName>
    <definedName name="UNIFORMANCES2R664C1" localSheetId="28" hidden="1">#REF!</definedName>
    <definedName name="UNIFORMANCES2R664C1" hidden="1">#REF!</definedName>
    <definedName name="UNIFORMANCES2R692C1" localSheetId="23" hidden="1">#REF!</definedName>
    <definedName name="UNIFORMANCES2R692C1" localSheetId="27" hidden="1">#REF!</definedName>
    <definedName name="UNIFORMANCES2R692C1" localSheetId="28" hidden="1">#REF!</definedName>
    <definedName name="UNIFORMANCES2R692C1" hidden="1">#REF!</definedName>
    <definedName name="UNIFORMANCES2R726C1" localSheetId="23" hidden="1">#REF!</definedName>
    <definedName name="UNIFORMANCES2R726C1" localSheetId="27" hidden="1">#REF!</definedName>
    <definedName name="UNIFORMANCES2R726C1" localSheetId="28" hidden="1">#REF!</definedName>
    <definedName name="UNIFORMANCES2R726C1" hidden="1">#REF!</definedName>
    <definedName name="UNIFORMANCES2R767C1" localSheetId="23" hidden="1">#REF!</definedName>
    <definedName name="UNIFORMANCES2R767C1" localSheetId="27" hidden="1">#REF!</definedName>
    <definedName name="UNIFORMANCES2R767C1" localSheetId="28" hidden="1">#REF!</definedName>
    <definedName name="UNIFORMANCES2R767C1" hidden="1">#REF!</definedName>
    <definedName name="UNIFORMANCES2R830C1" localSheetId="23" hidden="1">#REF!</definedName>
    <definedName name="UNIFORMANCES2R830C1" localSheetId="27" hidden="1">#REF!</definedName>
    <definedName name="UNIFORMANCES2R830C1" localSheetId="28" hidden="1">#REF!</definedName>
    <definedName name="UNIFORMANCES2R830C1" hidden="1">#REF!</definedName>
    <definedName name="UNIFORMANCES2R870C1" localSheetId="23" hidden="1">#REF!</definedName>
    <definedName name="UNIFORMANCES2R870C1" localSheetId="27" hidden="1">#REF!</definedName>
    <definedName name="UNIFORMANCES2R870C1" localSheetId="28" hidden="1">#REF!</definedName>
    <definedName name="UNIFORMANCES2R870C1" hidden="1">#REF!</definedName>
    <definedName name="UNIFORMANCES2R892C1" localSheetId="23" hidden="1">#REF!</definedName>
    <definedName name="UNIFORMANCES2R892C1" localSheetId="27" hidden="1">#REF!</definedName>
    <definedName name="UNIFORMANCES2R892C1" localSheetId="28" hidden="1">#REF!</definedName>
    <definedName name="UNIFORMANCES2R892C1" hidden="1">#REF!</definedName>
    <definedName name="UNIFORMANCES6R355C1" localSheetId="23" hidden="1">#REF!</definedName>
    <definedName name="UNIFORMANCES6R355C1" localSheetId="27" hidden="1">#REF!</definedName>
    <definedName name="UNIFORMANCES6R355C1" localSheetId="28" hidden="1">#REF!</definedName>
    <definedName name="UNIFORMANCES6R355C1" hidden="1">#REF!</definedName>
    <definedName name="UNIFORMANCES7R375C1" localSheetId="23" hidden="1">#REF!</definedName>
    <definedName name="UNIFORMANCES7R375C1" localSheetId="27" hidden="1">#REF!</definedName>
    <definedName name="UNIFORMANCES7R375C1" localSheetId="28" hidden="1">#REF!</definedName>
    <definedName name="UNIFORMANCES7R375C1" hidden="1">#REF!</definedName>
    <definedName name="UNIFORMANCES7R415C1" localSheetId="23" hidden="1">#REF!</definedName>
    <definedName name="UNIFORMANCES7R415C1" localSheetId="27" hidden="1">#REF!</definedName>
    <definedName name="UNIFORMANCES7R415C1" localSheetId="28" hidden="1">#REF!</definedName>
    <definedName name="UNIFORMANCES7R415C1" hidden="1">#REF!</definedName>
    <definedName name="UNIFORMANCES7R463C1" localSheetId="23" hidden="1">#REF!</definedName>
    <definedName name="UNIFORMANCES7R463C1" localSheetId="27" hidden="1">#REF!</definedName>
    <definedName name="UNIFORMANCES7R463C1" localSheetId="28" hidden="1">#REF!</definedName>
    <definedName name="UNIFORMANCES7R463C1" hidden="1">#REF!</definedName>
    <definedName name="UNIFORMANCES7R467C1" localSheetId="23" hidden="1">#REF!</definedName>
    <definedName name="UNIFORMANCES7R467C1" localSheetId="27" hidden="1">#REF!</definedName>
    <definedName name="UNIFORMANCES7R467C1" localSheetId="28" hidden="1">#REF!</definedName>
    <definedName name="UNIFORMANCES7R467C1" hidden="1">#REF!</definedName>
    <definedName name="UNIFORMANCES7R515C1" localSheetId="23" hidden="1">#REF!</definedName>
    <definedName name="UNIFORMANCES7R515C1" localSheetId="27" hidden="1">#REF!</definedName>
    <definedName name="UNIFORMANCES7R515C1" localSheetId="28" hidden="1">#REF!</definedName>
    <definedName name="UNIFORMANCES7R515C1" hidden="1">#REF!</definedName>
    <definedName name="USGPW">'AP-42 Tbls'!$L$20:$O$26</definedName>
    <definedName name="USGPW_Name">'AP-42 Tbls'!$L$20:$L$26</definedName>
    <definedName name="Vac_Break">'AP-42 Tbls'!$L$47:$O$50</definedName>
    <definedName name="Vac_Break_Name">'AP-42 Tbls'!$L$47:$L$50</definedName>
    <definedName name="Weather_Data">'AP-42 Weather'!$E$4:$R$1213</definedName>
    <definedName name="Weather_Data_Ref">'AP-42 Weather'!$E$4:$E$1213</definedName>
    <definedName name="wrn.Crosby._.Modeling._.Summary." localSheetId="23" hidden="1">{#N/A,#N/A,FALSE,"Modeled Emissions";#N/A,#N/A,FALSE,"Modeling Results"}</definedName>
    <definedName name="wrn.Crosby._.Modeling._.Summary." hidden="1">{#N/A,#N/A,FALSE,"Modeled Emissions";#N/A,#N/A,FALSE,"Modeling Results"}</definedName>
    <definedName name="wrn.Detailed._.and._.Summary._.Report." localSheetId="23" hidden="1">{"Detailed",#N/A,FALSE,"GAS-COMB";"Summary",#N/A,FALSE,"GAS-COMB"}</definedName>
    <definedName name="wrn.Detailed._.and._.Summary._.Report." hidden="1">{"Detailed",#N/A,FALSE,"GAS-COMB";"Summary",#N/A,FALSE,"GAS-COMB"}</definedName>
    <definedName name="wrn.Detailed._.Report." localSheetId="23" hidden="1">{"Detailed",#N/A,FALSE,"GAS-COMB"}</definedName>
    <definedName name="wrn.Detailed._.Report." hidden="1">{"Detailed",#N/A,FALSE,"GAS-COMB"}</definedName>
    <definedName name="wrn.Flare._.Permit._.Tables." localSheetId="23" hidden="1">{#N/A,#N/A,FALSE,"Annual Summary";#N/A,#N/A,FALSE,"Hourly Summary";#N/A,#N/A,FALSE,"Flare Combustion";#N/A,#N/A,FALSE,"Shipping";#N/A,#N/A,FALSE,"Process Turnaround";#N/A,#N/A,FALSE,"Lab Samples";#N/A,#N/A,FALSE,"Product Cycles 5-4";#N/A,#N/A,FALSE,"5-4.1";#N/A,#N/A,FALSE,"5-4.2";#N/A,#N/A,FALSE,"Physical Prop Data"}</definedName>
    <definedName name="wrn.Flare._.Permit._.Tables." hidden="1">{#N/A,#N/A,FALSE,"Annual Summary";#N/A,#N/A,FALSE,"Hourly Summary";#N/A,#N/A,FALSE,"Flare Combustion";#N/A,#N/A,FALSE,"Shipping";#N/A,#N/A,FALSE,"Process Turnaround";#N/A,#N/A,FALSE,"Lab Samples";#N/A,#N/A,FALSE,"Product Cycles 5-4";#N/A,#N/A,FALSE,"5-4.1";#N/A,#N/A,FALSE,"5-4.2";#N/A,#N/A,FALSE,"Physical Prop Data"}</definedName>
    <definedName name="wrn.heater._.summary." localSheetId="23" hidden="1">{#N/A,#N/A,FALSE,"Heater summary";#N/A,#N/A,FALSE,"H-101 Post";#N/A,#N/A,FALSE,"H-102 Post";#N/A,#N/A,FALSE,"SG-1101A Post";#N/A,#N/A,FALSE,"SG-1101B Post";#N/A,#N/A,FALSE,"H-501 Post"}</definedName>
    <definedName name="wrn.heater._.summary." hidden="1">{#N/A,#N/A,FALSE,"Heater summary";#N/A,#N/A,FALSE,"H-101 Post";#N/A,#N/A,FALSE,"H-102 Post";#N/A,#N/A,FALSE,"SG-1101A Post";#N/A,#N/A,FALSE,"SG-1101B Post";#N/A,#N/A,FALSE,"H-501 Post"}</definedName>
    <definedName name="wrn.report." localSheetId="23" hidden="1">{#N/A,#N/A,FALSE,"F1-Currrent";#N/A,#N/A,FALSE,"F2-Current";#N/A,#N/A,FALSE,"F2-Proposed";#N/A,#N/A,FALSE,"F3-Current";#N/A,#N/A,FALSE,"F4-Current";#N/A,#N/A,FALSE,"F4-Proposed";#N/A,#N/A,FALSE,"Controls"}</definedName>
    <definedName name="wrn.report." hidden="1">{#N/A,#N/A,FALSE,"F1-Currrent";#N/A,#N/A,FALSE,"F2-Current";#N/A,#N/A,FALSE,"F2-Proposed";#N/A,#N/A,FALSE,"F3-Current";#N/A,#N/A,FALSE,"F4-Current";#N/A,#N/A,FALSE,"F4-Proposed";#N/A,#N/A,FALSE,"Controls"}</definedName>
    <definedName name="wrn.Summary._.Report." localSheetId="23" hidden="1">{"Summary",#N/A,FALSE,"GAS-COMB"}</definedName>
    <definedName name="wrn.Summary._.Report." hidden="1">{"Summary",#N/A,FALSE,"GAS-COMB"}</definedName>
    <definedName name="x" localSheetId="23" hidden="1">{#N/A,#N/A,FALSE,"Annual Summary";#N/A,#N/A,FALSE,"Hourly Summary";#N/A,#N/A,FALSE,"Flare Combustion";#N/A,#N/A,FALSE,"Shipping";#N/A,#N/A,FALSE,"Process Turnaround";#N/A,#N/A,FALSE,"Lab Samples";#N/A,#N/A,FALSE,"Product Cycles 5-4";#N/A,#N/A,FALSE,"5-4.1";#N/A,#N/A,FALSE,"5-4.2";#N/A,#N/A,FALSE,"Physical Prop Data"}</definedName>
    <definedName name="x" hidden="1">{#N/A,#N/A,FALSE,"Annual Summary";#N/A,#N/A,FALSE,"Hourly Summary";#N/A,#N/A,FALSE,"Flare Combustion";#N/A,#N/A,FALSE,"Shipping";#N/A,#N/A,FALSE,"Process Turnaround";#N/A,#N/A,FALSE,"Lab Samples";#N/A,#N/A,FALSE,"Product Cycles 5-4";#N/A,#N/A,FALSE,"5-4.1";#N/A,#N/A,FALSE,"5-4.2";#N/A,#N/A,FALSE,"Physical Prop Data"}</definedName>
    <definedName name="xxxx" localSheetId="23" hidden="1">{#N/A,#N/A,FALSE,"Annual Summary";#N/A,#N/A,FALSE,"Hourly Summary";#N/A,#N/A,FALSE,"Flare Combustion";#N/A,#N/A,FALSE,"Shipping";#N/A,#N/A,FALSE,"Process Turnaround";#N/A,#N/A,FALSE,"Lab Samples";#N/A,#N/A,FALSE,"Product Cycles 5-4";#N/A,#N/A,FALSE,"5-4.1";#N/A,#N/A,FALSE,"5-4.2";#N/A,#N/A,FALSE,"Physical Prop Data"}</definedName>
    <definedName name="xxxx" hidden="1">{#N/A,#N/A,FALSE,"Annual Summary";#N/A,#N/A,FALSE,"Hourly Summary";#N/A,#N/A,FALSE,"Flare Combustion";#N/A,#N/A,FALSE,"Shipping";#N/A,#N/A,FALSE,"Process Turnaround";#N/A,#N/A,FALSE,"Lab Samples";#N/A,#N/A,FALSE,"Product Cycles 5-4";#N/A,#N/A,FALSE,"5-4.1";#N/A,#N/A,FALSE,"5-4.2";#N/A,#N/A,FALSE,"Physical Prop Data"}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28" l="1"/>
  <c r="C23" i="25" a="1"/>
  <c r="C23" i="25" s="1"/>
  <c r="C9" i="30" l="1"/>
  <c r="D9" i="30" s="1"/>
  <c r="C10" i="30"/>
  <c r="D10" i="30" s="1"/>
  <c r="C11" i="30"/>
  <c r="D11" i="30" s="1"/>
  <c r="C5" i="30"/>
  <c r="D5" i="30" l="1"/>
  <c r="DE14" i="1"/>
  <c r="DE16" i="1" s="1"/>
  <c r="DE18" i="1" s="1"/>
  <c r="DE20" i="1" s="1"/>
  <c r="DE22" i="1" s="1"/>
  <c r="DE24" i="1" s="1"/>
  <c r="DE26" i="1" s="1"/>
  <c r="DE28" i="1" s="1"/>
  <c r="DE30" i="1" s="1"/>
  <c r="DE32" i="1" s="1"/>
  <c r="DE34" i="1" s="1"/>
  <c r="DE36" i="1" s="1"/>
  <c r="DE38" i="1" s="1"/>
  <c r="DE40" i="1" s="1"/>
  <c r="DE42" i="1" s="1"/>
  <c r="DE44" i="1" s="1"/>
  <c r="DE46" i="1" s="1"/>
  <c r="DE48" i="1" s="1"/>
  <c r="DE50" i="1" s="1"/>
  <c r="DE52" i="1" s="1"/>
  <c r="DE54" i="1" s="1"/>
  <c r="DE56" i="1" s="1"/>
  <c r="DE58" i="1" s="1"/>
  <c r="DE60" i="1" s="1"/>
  <c r="DE62" i="1" s="1"/>
  <c r="DE64" i="1" s="1"/>
  <c r="DE66" i="1" s="1"/>
  <c r="DE68" i="1" s="1"/>
  <c r="DE70" i="1" s="1"/>
  <c r="DE72" i="1" s="1"/>
  <c r="DE74" i="1" s="1"/>
  <c r="DE76" i="1" s="1"/>
  <c r="DE78" i="1" s="1"/>
  <c r="DE80" i="1" s="1"/>
  <c r="DE82" i="1" s="1"/>
  <c r="DE84" i="1" s="1"/>
  <c r="DE86" i="1" s="1"/>
  <c r="DE88" i="1" s="1"/>
  <c r="DE90" i="1" s="1"/>
  <c r="DE92" i="1" s="1"/>
  <c r="DE94" i="1" s="1"/>
  <c r="DE96" i="1" s="1"/>
  <c r="DE98" i="1" s="1"/>
  <c r="DE100" i="1" s="1"/>
  <c r="DE102" i="1" s="1"/>
  <c r="DE104" i="1" s="1"/>
  <c r="DE106" i="1" s="1"/>
  <c r="DE108" i="1" s="1"/>
  <c r="DE110" i="1" s="1"/>
  <c r="DE112" i="1" s="1"/>
  <c r="DE114" i="1" s="1"/>
  <c r="DE116" i="1" s="1"/>
  <c r="DE118" i="1" s="1"/>
  <c r="DE120" i="1" s="1"/>
  <c r="DE122" i="1" s="1"/>
  <c r="DE124" i="1" s="1"/>
  <c r="DE126" i="1" s="1"/>
  <c r="DE128" i="1" s="1"/>
  <c r="DE130" i="1" s="1"/>
  <c r="DE132" i="1" s="1"/>
  <c r="DE134" i="1" s="1"/>
  <c r="DE136" i="1" s="1"/>
  <c r="DE138" i="1" s="1"/>
  <c r="DE140" i="1" s="1"/>
  <c r="DE12" i="1"/>
  <c r="AE2261" i="13"/>
  <c r="AE2262" i="13" s="1"/>
  <c r="Z2249" i="13"/>
  <c r="AA2249" i="13" s="1"/>
  <c r="U935" i="12"/>
  <c r="V934" i="12"/>
  <c r="Y934" i="12" s="1"/>
  <c r="Z934" i="12" s="1"/>
  <c r="U933" i="12"/>
  <c r="V932" i="12"/>
  <c r="Y932" i="12" s="1"/>
  <c r="Z932" i="12" s="1"/>
  <c r="U931" i="12"/>
  <c r="V931" i="12" s="1"/>
  <c r="Y931" i="12" s="1"/>
  <c r="Z931" i="12" s="1"/>
  <c r="Y930" i="12"/>
  <c r="Z930" i="12" s="1"/>
  <c r="V930" i="12"/>
  <c r="U921" i="12"/>
  <c r="V921" i="12" s="1"/>
  <c r="Y921" i="12" s="1"/>
  <c r="Z921" i="12" s="1"/>
  <c r="V920" i="12"/>
  <c r="Y920" i="12" s="1"/>
  <c r="U919" i="12"/>
  <c r="V919" i="12" s="1"/>
  <c r="Y919" i="12" s="1"/>
  <c r="Z919" i="12" s="1"/>
  <c r="V918" i="12"/>
  <c r="Y918" i="12" s="1"/>
  <c r="U917" i="12"/>
  <c r="Y916" i="12"/>
  <c r="V916" i="12"/>
  <c r="AE932" i="10"/>
  <c r="AE933" i="10" s="1"/>
  <c r="AE931" i="10"/>
  <c r="AD931" i="10"/>
  <c r="AD932" i="10" s="1"/>
  <c r="AD933" i="10" s="1"/>
  <c r="AJ930" i="10"/>
  <c r="AJ931" i="10" s="1"/>
  <c r="AJ932" i="10" s="1"/>
  <c r="AJ933" i="10" s="1"/>
  <c r="AI930" i="10"/>
  <c r="AI931" i="10" s="1"/>
  <c r="AI932" i="10" s="1"/>
  <c r="AI933" i="10" s="1"/>
  <c r="AH930" i="10"/>
  <c r="AH931" i="10" s="1"/>
  <c r="AH932" i="10" s="1"/>
  <c r="AH933" i="10" s="1"/>
  <c r="AG930" i="10"/>
  <c r="AG931" i="10" s="1"/>
  <c r="AG932" i="10" s="1"/>
  <c r="AG933" i="10" s="1"/>
  <c r="AF930" i="10"/>
  <c r="AF931" i="10" s="1"/>
  <c r="AF932" i="10" s="1"/>
  <c r="AF933" i="10" s="1"/>
  <c r="AE930" i="10"/>
  <c r="AD930" i="10"/>
  <c r="AC930" i="10"/>
  <c r="AC931" i="10" s="1"/>
  <c r="AC932" i="10" s="1"/>
  <c r="AC933" i="10" s="1"/>
  <c r="AB930" i="10"/>
  <c r="AB931" i="10" s="1"/>
  <c r="AB932" i="10" s="1"/>
  <c r="AB933" i="10" s="1"/>
  <c r="X930" i="10"/>
  <c r="X935" i="10" s="1"/>
  <c r="W930" i="10"/>
  <c r="W935" i="10" s="1"/>
  <c r="V930" i="10"/>
  <c r="V935" i="10" s="1"/>
  <c r="U930" i="10"/>
  <c r="U935" i="10" s="1"/>
  <c r="AK929" i="10"/>
  <c r="AK930" i="10" s="1"/>
  <c r="AK931" i="10" s="1"/>
  <c r="AK932" i="10" s="1"/>
  <c r="AK933" i="10" s="1"/>
  <c r="Y929" i="10"/>
  <c r="Z929" i="10" s="1"/>
  <c r="Z930" i="10" s="1"/>
  <c r="Z935" i="10" s="1"/>
  <c r="AC917" i="10"/>
  <c r="AC918" i="10" s="1"/>
  <c r="AC919" i="10" s="1"/>
  <c r="AJ916" i="10"/>
  <c r="AJ917" i="10" s="1"/>
  <c r="AJ918" i="10" s="1"/>
  <c r="AJ919" i="10" s="1"/>
  <c r="AI916" i="10"/>
  <c r="AI917" i="10" s="1"/>
  <c r="AI918" i="10" s="1"/>
  <c r="AI919" i="10" s="1"/>
  <c r="AH916" i="10"/>
  <c r="AH917" i="10" s="1"/>
  <c r="AH918" i="10" s="1"/>
  <c r="AH919" i="10" s="1"/>
  <c r="AG916" i="10"/>
  <c r="AG917" i="10" s="1"/>
  <c r="AG918" i="10" s="1"/>
  <c r="AG919" i="10" s="1"/>
  <c r="AF916" i="10"/>
  <c r="AF917" i="10" s="1"/>
  <c r="AF918" i="10" s="1"/>
  <c r="AF919" i="10" s="1"/>
  <c r="AE916" i="10"/>
  <c r="AE917" i="10" s="1"/>
  <c r="AE918" i="10" s="1"/>
  <c r="AE919" i="10" s="1"/>
  <c r="AD916" i="10"/>
  <c r="AD917" i="10" s="1"/>
  <c r="AD918" i="10" s="1"/>
  <c r="AD919" i="10" s="1"/>
  <c r="AC916" i="10"/>
  <c r="AB916" i="10"/>
  <c r="AB917" i="10" s="1"/>
  <c r="AB918" i="10" s="1"/>
  <c r="AB919" i="10" s="1"/>
  <c r="X916" i="10"/>
  <c r="X921" i="10" s="1"/>
  <c r="W916" i="10"/>
  <c r="W921" i="10" s="1"/>
  <c r="V916" i="10"/>
  <c r="V921" i="10" s="1"/>
  <c r="U916" i="10"/>
  <c r="U921" i="10" s="1"/>
  <c r="AK915" i="10"/>
  <c r="AK916" i="10" s="1"/>
  <c r="AK917" i="10" s="1"/>
  <c r="AK918" i="10" s="1"/>
  <c r="AK919" i="10" s="1"/>
  <c r="Z915" i="10"/>
  <c r="Z916" i="10" s="1"/>
  <c r="Z921" i="10" s="1"/>
  <c r="Y915" i="10"/>
  <c r="Y916" i="10" s="1"/>
  <c r="Y921" i="10" s="1"/>
  <c r="DC10" i="1"/>
  <c r="DD10" i="1"/>
  <c r="DB10" i="1"/>
  <c r="AL915" i="10" l="1"/>
  <c r="AL916" i="10" s="1"/>
  <c r="AL917" i="10" s="1"/>
  <c r="AL918" i="10" s="1"/>
  <c r="AL919" i="10" s="1"/>
  <c r="Z918" i="12"/>
  <c r="Z920" i="12"/>
  <c r="Z933" i="12"/>
  <c r="Z916" i="12"/>
  <c r="V917" i="12"/>
  <c r="Y917" i="12" s="1"/>
  <c r="Z917" i="12" s="1"/>
  <c r="V933" i="12"/>
  <c r="Y933" i="12" s="1"/>
  <c r="V935" i="12"/>
  <c r="Y935" i="12" s="1"/>
  <c r="Z935" i="12" s="1"/>
  <c r="AL929" i="10"/>
  <c r="AL930" i="10" s="1"/>
  <c r="AL931" i="10" s="1"/>
  <c r="AL932" i="10" s="1"/>
  <c r="AL933" i="10" s="1"/>
  <c r="Y930" i="10"/>
  <c r="Y935" i="10" s="1"/>
  <c r="G87" i="28" l="1"/>
  <c r="G86" i="28"/>
  <c r="G85" i="28"/>
  <c r="G84" i="28"/>
  <c r="G83" i="28"/>
  <c r="G82" i="28"/>
  <c r="G81" i="28"/>
  <c r="G80" i="28"/>
  <c r="G79" i="28"/>
  <c r="G78" i="28"/>
  <c r="G77" i="28"/>
  <c r="G76" i="28"/>
  <c r="G75" i="28"/>
  <c r="G74" i="28"/>
  <c r="G73" i="28"/>
  <c r="G72" i="28"/>
  <c r="G71" i="28"/>
  <c r="G70" i="28"/>
  <c r="G69" i="28"/>
  <c r="G68" i="28"/>
  <c r="G67" i="28"/>
  <c r="G66" i="28"/>
  <c r="G65" i="28"/>
  <c r="G64" i="28"/>
  <c r="G63" i="28"/>
  <c r="G62" i="28"/>
  <c r="G61" i="28"/>
  <c r="G60" i="28"/>
  <c r="G59" i="28"/>
  <c r="G58" i="28"/>
  <c r="G57" i="28"/>
  <c r="G56" i="28"/>
  <c r="G55" i="28"/>
  <c r="G54" i="28"/>
  <c r="G53" i="28"/>
  <c r="G52" i="28"/>
  <c r="G51" i="28"/>
  <c r="G50" i="28"/>
  <c r="G49" i="28"/>
  <c r="G48" i="28"/>
  <c r="G47" i="28"/>
  <c r="G46" i="28"/>
  <c r="G45" i="28"/>
  <c r="G44" i="28"/>
  <c r="G43" i="28"/>
  <c r="G42" i="28"/>
  <c r="G41" i="28"/>
  <c r="G40" i="28"/>
  <c r="G39" i="28"/>
  <c r="G38" i="28"/>
  <c r="G37" i="28"/>
  <c r="G36" i="28"/>
  <c r="G35" i="28"/>
  <c r="G34" i="28"/>
  <c r="G33" i="28"/>
  <c r="G32" i="28"/>
  <c r="G31" i="28"/>
  <c r="G30" i="28"/>
  <c r="G29" i="28"/>
  <c r="G28" i="28"/>
  <c r="G27" i="28"/>
  <c r="G26" i="28"/>
  <c r="G25" i="28"/>
  <c r="G24" i="28"/>
  <c r="G23" i="28"/>
  <c r="G22" i="28"/>
  <c r="G21" i="28"/>
  <c r="G15" i="28"/>
  <c r="G14" i="28"/>
  <c r="G13" i="28"/>
  <c r="G12" i="28"/>
  <c r="G11" i="28"/>
  <c r="G10" i="28"/>
  <c r="G9" i="28"/>
  <c r="G8" i="28"/>
  <c r="G7" i="28"/>
  <c r="G6" i="28"/>
  <c r="BY140" i="1"/>
  <c r="BT140" i="1"/>
  <c r="BO140" i="1"/>
  <c r="BJ140" i="1"/>
  <c r="BE140" i="1"/>
  <c r="AZ140" i="1"/>
  <c r="AU140" i="1"/>
  <c r="AP140" i="1"/>
  <c r="AK140" i="1"/>
  <c r="AF140" i="1"/>
  <c r="AA140" i="1"/>
  <c r="V140" i="1"/>
  <c r="BY60" i="1"/>
  <c r="BT60" i="1"/>
  <c r="BO60" i="1"/>
  <c r="BJ60" i="1"/>
  <c r="BE60" i="1"/>
  <c r="AZ60" i="1"/>
  <c r="AU60" i="1"/>
  <c r="AP60" i="1"/>
  <c r="AK60" i="1"/>
  <c r="AF60" i="1"/>
  <c r="AA60" i="1"/>
  <c r="V60" i="1"/>
  <c r="BY16" i="1"/>
  <c r="BT16" i="1"/>
  <c r="BO16" i="1"/>
  <c r="BJ16" i="1"/>
  <c r="BE16" i="1"/>
  <c r="AZ16" i="1"/>
  <c r="AU16" i="1"/>
  <c r="AP16" i="1"/>
  <c r="AK16" i="1"/>
  <c r="AF16" i="1"/>
  <c r="AA16" i="1"/>
  <c r="V16" i="1"/>
  <c r="BY138" i="1"/>
  <c r="BT138" i="1"/>
  <c r="BO138" i="1"/>
  <c r="BJ138" i="1"/>
  <c r="BE138" i="1"/>
  <c r="AZ138" i="1"/>
  <c r="AU138" i="1"/>
  <c r="AP138" i="1"/>
  <c r="AK138" i="1"/>
  <c r="AF138" i="1"/>
  <c r="AA138" i="1"/>
  <c r="V138" i="1"/>
  <c r="BY136" i="1"/>
  <c r="BT136" i="1"/>
  <c r="BO136" i="1"/>
  <c r="BJ136" i="1"/>
  <c r="BE136" i="1"/>
  <c r="AZ136" i="1"/>
  <c r="AU136" i="1"/>
  <c r="AP136" i="1"/>
  <c r="AK136" i="1"/>
  <c r="AF136" i="1"/>
  <c r="AA136" i="1"/>
  <c r="V136" i="1"/>
  <c r="BY134" i="1"/>
  <c r="BT134" i="1"/>
  <c r="BO134" i="1"/>
  <c r="BJ134" i="1"/>
  <c r="BE134" i="1"/>
  <c r="AZ134" i="1"/>
  <c r="AU134" i="1"/>
  <c r="AP134" i="1"/>
  <c r="AK134" i="1"/>
  <c r="AF134" i="1"/>
  <c r="AA134" i="1"/>
  <c r="V134" i="1"/>
  <c r="BY132" i="1"/>
  <c r="BT132" i="1"/>
  <c r="BO132" i="1"/>
  <c r="BJ132" i="1"/>
  <c r="BE132" i="1"/>
  <c r="AZ132" i="1"/>
  <c r="AU132" i="1"/>
  <c r="AP132" i="1"/>
  <c r="AK132" i="1"/>
  <c r="AF132" i="1"/>
  <c r="AA132" i="1"/>
  <c r="V132" i="1"/>
  <c r="BY130" i="1"/>
  <c r="BT130" i="1"/>
  <c r="BO130" i="1"/>
  <c r="BJ130" i="1"/>
  <c r="BE130" i="1"/>
  <c r="AZ130" i="1"/>
  <c r="AU130" i="1"/>
  <c r="AP130" i="1"/>
  <c r="AK130" i="1"/>
  <c r="AF130" i="1"/>
  <c r="AA130" i="1"/>
  <c r="V130" i="1"/>
  <c r="BY128" i="1"/>
  <c r="BT128" i="1"/>
  <c r="BO128" i="1"/>
  <c r="BJ128" i="1"/>
  <c r="BE128" i="1"/>
  <c r="AZ128" i="1"/>
  <c r="AU128" i="1"/>
  <c r="AP128" i="1"/>
  <c r="AK128" i="1"/>
  <c r="AF128" i="1"/>
  <c r="AA128" i="1"/>
  <c r="V128" i="1"/>
  <c r="BY126" i="1"/>
  <c r="BT126" i="1"/>
  <c r="BO126" i="1"/>
  <c r="BJ126" i="1"/>
  <c r="BE126" i="1"/>
  <c r="AZ126" i="1"/>
  <c r="AU126" i="1"/>
  <c r="AP126" i="1"/>
  <c r="AK126" i="1"/>
  <c r="AF126" i="1"/>
  <c r="AA126" i="1"/>
  <c r="V126" i="1"/>
  <c r="BY124" i="1"/>
  <c r="BT124" i="1"/>
  <c r="BO124" i="1"/>
  <c r="BJ124" i="1"/>
  <c r="BE124" i="1"/>
  <c r="AZ124" i="1"/>
  <c r="AU124" i="1"/>
  <c r="AP124" i="1"/>
  <c r="AK124" i="1"/>
  <c r="AF124" i="1"/>
  <c r="AA124" i="1"/>
  <c r="V124" i="1"/>
  <c r="BY122" i="1"/>
  <c r="BT122" i="1"/>
  <c r="BO122" i="1"/>
  <c r="BJ122" i="1"/>
  <c r="BE122" i="1"/>
  <c r="AZ122" i="1"/>
  <c r="AU122" i="1"/>
  <c r="AP122" i="1"/>
  <c r="AK122" i="1"/>
  <c r="AF122" i="1"/>
  <c r="AA122" i="1"/>
  <c r="V122" i="1"/>
  <c r="BY120" i="1"/>
  <c r="BT120" i="1"/>
  <c r="BO120" i="1"/>
  <c r="BJ120" i="1"/>
  <c r="BE120" i="1"/>
  <c r="AZ120" i="1"/>
  <c r="AU120" i="1"/>
  <c r="AP120" i="1"/>
  <c r="AK120" i="1"/>
  <c r="AF120" i="1"/>
  <c r="AA120" i="1"/>
  <c r="V120" i="1"/>
  <c r="BY118" i="1"/>
  <c r="BT118" i="1"/>
  <c r="BO118" i="1"/>
  <c r="BJ118" i="1"/>
  <c r="BE118" i="1"/>
  <c r="AZ118" i="1"/>
  <c r="AU118" i="1"/>
  <c r="AP118" i="1"/>
  <c r="AK118" i="1"/>
  <c r="AF118" i="1"/>
  <c r="AA118" i="1"/>
  <c r="V118" i="1"/>
  <c r="BY116" i="1"/>
  <c r="BT116" i="1"/>
  <c r="BO116" i="1"/>
  <c r="BJ116" i="1"/>
  <c r="BE116" i="1"/>
  <c r="AZ116" i="1"/>
  <c r="AU116" i="1"/>
  <c r="AP116" i="1"/>
  <c r="AK116" i="1"/>
  <c r="AF116" i="1"/>
  <c r="AA116" i="1"/>
  <c r="V116" i="1"/>
  <c r="BY114" i="1"/>
  <c r="BT114" i="1"/>
  <c r="BO114" i="1"/>
  <c r="BJ114" i="1"/>
  <c r="BE114" i="1"/>
  <c r="AZ114" i="1"/>
  <c r="AU114" i="1"/>
  <c r="AP114" i="1"/>
  <c r="AK114" i="1"/>
  <c r="AF114" i="1"/>
  <c r="AA114" i="1"/>
  <c r="V114" i="1"/>
  <c r="BY112" i="1"/>
  <c r="BT112" i="1"/>
  <c r="BO112" i="1"/>
  <c r="BJ112" i="1"/>
  <c r="BE112" i="1"/>
  <c r="AZ112" i="1"/>
  <c r="AU112" i="1"/>
  <c r="AP112" i="1"/>
  <c r="AK112" i="1"/>
  <c r="AF112" i="1"/>
  <c r="AA112" i="1"/>
  <c r="V112" i="1"/>
  <c r="BY110" i="1"/>
  <c r="BT110" i="1"/>
  <c r="BO110" i="1"/>
  <c r="BJ110" i="1"/>
  <c r="BE110" i="1"/>
  <c r="AZ110" i="1"/>
  <c r="AU110" i="1"/>
  <c r="AP110" i="1"/>
  <c r="AK110" i="1"/>
  <c r="AF110" i="1"/>
  <c r="AA110" i="1"/>
  <c r="V110" i="1"/>
  <c r="BY108" i="1"/>
  <c r="BT108" i="1"/>
  <c r="BO108" i="1"/>
  <c r="BJ108" i="1"/>
  <c r="BE108" i="1"/>
  <c r="AZ108" i="1"/>
  <c r="AU108" i="1"/>
  <c r="AP108" i="1"/>
  <c r="AK108" i="1"/>
  <c r="AF108" i="1"/>
  <c r="AA108" i="1"/>
  <c r="V108" i="1"/>
  <c r="BY106" i="1"/>
  <c r="BT106" i="1"/>
  <c r="BO106" i="1"/>
  <c r="BJ106" i="1"/>
  <c r="BE106" i="1"/>
  <c r="AZ106" i="1"/>
  <c r="AU106" i="1"/>
  <c r="AP106" i="1"/>
  <c r="AK106" i="1"/>
  <c r="AF106" i="1"/>
  <c r="AA106" i="1"/>
  <c r="V106" i="1"/>
  <c r="BY104" i="1"/>
  <c r="BT104" i="1"/>
  <c r="BO104" i="1"/>
  <c r="BJ104" i="1"/>
  <c r="BE104" i="1"/>
  <c r="AZ104" i="1"/>
  <c r="AU104" i="1"/>
  <c r="AP104" i="1"/>
  <c r="AK104" i="1"/>
  <c r="AF104" i="1"/>
  <c r="AA104" i="1"/>
  <c r="V104" i="1"/>
  <c r="BY102" i="1"/>
  <c r="BT102" i="1"/>
  <c r="BO102" i="1"/>
  <c r="BJ102" i="1"/>
  <c r="BE102" i="1"/>
  <c r="AZ102" i="1"/>
  <c r="AU102" i="1"/>
  <c r="AP102" i="1"/>
  <c r="AK102" i="1"/>
  <c r="AF102" i="1"/>
  <c r="AA102" i="1"/>
  <c r="V102" i="1"/>
  <c r="BY100" i="1"/>
  <c r="BT100" i="1"/>
  <c r="BO100" i="1"/>
  <c r="BJ100" i="1"/>
  <c r="BE100" i="1"/>
  <c r="AZ100" i="1"/>
  <c r="AU100" i="1"/>
  <c r="AP100" i="1"/>
  <c r="AK100" i="1"/>
  <c r="AF100" i="1"/>
  <c r="AA100" i="1"/>
  <c r="V100" i="1"/>
  <c r="BY98" i="1"/>
  <c r="BT98" i="1"/>
  <c r="BO98" i="1"/>
  <c r="BJ98" i="1"/>
  <c r="BE98" i="1"/>
  <c r="AZ98" i="1"/>
  <c r="AU98" i="1"/>
  <c r="AP98" i="1"/>
  <c r="AK98" i="1"/>
  <c r="AF98" i="1"/>
  <c r="AA98" i="1"/>
  <c r="V98" i="1"/>
  <c r="BY96" i="1"/>
  <c r="BT96" i="1"/>
  <c r="BO96" i="1"/>
  <c r="BJ96" i="1"/>
  <c r="BE96" i="1"/>
  <c r="AZ96" i="1"/>
  <c r="AU96" i="1"/>
  <c r="AP96" i="1"/>
  <c r="AK96" i="1"/>
  <c r="AF96" i="1"/>
  <c r="AA96" i="1"/>
  <c r="V96" i="1"/>
  <c r="BY94" i="1"/>
  <c r="BT94" i="1"/>
  <c r="BO94" i="1"/>
  <c r="BJ94" i="1"/>
  <c r="BE94" i="1"/>
  <c r="AZ94" i="1"/>
  <c r="AU94" i="1"/>
  <c r="AP94" i="1"/>
  <c r="AK94" i="1"/>
  <c r="AF94" i="1"/>
  <c r="AA94" i="1"/>
  <c r="V94" i="1"/>
  <c r="BY92" i="1"/>
  <c r="BT92" i="1"/>
  <c r="BO92" i="1"/>
  <c r="BJ92" i="1"/>
  <c r="BE92" i="1"/>
  <c r="AZ92" i="1"/>
  <c r="AU92" i="1"/>
  <c r="AP92" i="1"/>
  <c r="AK92" i="1"/>
  <c r="AF92" i="1"/>
  <c r="AA92" i="1"/>
  <c r="V92" i="1"/>
  <c r="BY90" i="1"/>
  <c r="BT90" i="1"/>
  <c r="BO90" i="1"/>
  <c r="BJ90" i="1"/>
  <c r="BE90" i="1"/>
  <c r="AZ90" i="1"/>
  <c r="AU90" i="1"/>
  <c r="AP90" i="1"/>
  <c r="AK90" i="1"/>
  <c r="AF90" i="1"/>
  <c r="AA90" i="1"/>
  <c r="V90" i="1"/>
  <c r="BY88" i="1"/>
  <c r="BT88" i="1"/>
  <c r="BO88" i="1"/>
  <c r="BJ88" i="1"/>
  <c r="BE88" i="1"/>
  <c r="AZ88" i="1"/>
  <c r="AU88" i="1"/>
  <c r="AP88" i="1"/>
  <c r="AK88" i="1"/>
  <c r="AF88" i="1"/>
  <c r="AA88" i="1"/>
  <c r="V88" i="1"/>
  <c r="BY86" i="1"/>
  <c r="BT86" i="1"/>
  <c r="BO86" i="1"/>
  <c r="BJ86" i="1"/>
  <c r="BE86" i="1"/>
  <c r="AZ86" i="1"/>
  <c r="AU86" i="1"/>
  <c r="AP86" i="1"/>
  <c r="AK86" i="1"/>
  <c r="AF86" i="1"/>
  <c r="AA86" i="1"/>
  <c r="V86" i="1"/>
  <c r="D86" i="1"/>
  <c r="D88" i="1" s="1"/>
  <c r="D90" i="1" s="1"/>
  <c r="D92" i="1" s="1"/>
  <c r="D94" i="1" s="1"/>
  <c r="D96" i="1" s="1"/>
  <c r="D98" i="1" s="1"/>
  <c r="D100" i="1" s="1"/>
  <c r="D102" i="1" s="1"/>
  <c r="D104" i="1" s="1"/>
  <c r="D106" i="1" s="1"/>
  <c r="D108" i="1" s="1"/>
  <c r="D110" i="1" s="1"/>
  <c r="D112" i="1" s="1"/>
  <c r="BY84" i="1"/>
  <c r="BT84" i="1"/>
  <c r="BO84" i="1"/>
  <c r="BJ84" i="1"/>
  <c r="BE84" i="1"/>
  <c r="AZ84" i="1"/>
  <c r="AU84" i="1"/>
  <c r="AP84" i="1"/>
  <c r="AK84" i="1"/>
  <c r="AF84" i="1"/>
  <c r="AA84" i="1"/>
  <c r="V84" i="1"/>
  <c r="BY82" i="1"/>
  <c r="BT82" i="1"/>
  <c r="BO82" i="1"/>
  <c r="BJ82" i="1"/>
  <c r="BE82" i="1"/>
  <c r="AZ82" i="1"/>
  <c r="AU82" i="1"/>
  <c r="AP82" i="1"/>
  <c r="AK82" i="1"/>
  <c r="AF82" i="1"/>
  <c r="AA82" i="1"/>
  <c r="V82" i="1"/>
  <c r="BY80" i="1"/>
  <c r="BT80" i="1"/>
  <c r="BO80" i="1"/>
  <c r="BJ80" i="1"/>
  <c r="BE80" i="1"/>
  <c r="AZ80" i="1"/>
  <c r="AU80" i="1"/>
  <c r="AP80" i="1"/>
  <c r="AK80" i="1"/>
  <c r="AF80" i="1"/>
  <c r="AA80" i="1"/>
  <c r="V80" i="1"/>
  <c r="BY78" i="1"/>
  <c r="BT78" i="1"/>
  <c r="BO78" i="1"/>
  <c r="BJ78" i="1"/>
  <c r="BE78" i="1"/>
  <c r="AZ78" i="1"/>
  <c r="AU78" i="1"/>
  <c r="AP78" i="1"/>
  <c r="AK78" i="1"/>
  <c r="AF78" i="1"/>
  <c r="AA78" i="1"/>
  <c r="V78" i="1"/>
  <c r="D78" i="1"/>
  <c r="D80" i="1" s="1"/>
  <c r="BY76" i="1"/>
  <c r="BT76" i="1"/>
  <c r="BO76" i="1"/>
  <c r="BJ76" i="1"/>
  <c r="BE76" i="1"/>
  <c r="AZ76" i="1"/>
  <c r="AU76" i="1"/>
  <c r="AP76" i="1"/>
  <c r="AK76" i="1"/>
  <c r="AF76" i="1"/>
  <c r="AA76" i="1"/>
  <c r="V76" i="1"/>
  <c r="BY74" i="1"/>
  <c r="BT74" i="1"/>
  <c r="BO74" i="1"/>
  <c r="BJ74" i="1"/>
  <c r="BE74" i="1"/>
  <c r="AZ74" i="1"/>
  <c r="AU74" i="1"/>
  <c r="AP74" i="1"/>
  <c r="AK74" i="1"/>
  <c r="AF74" i="1"/>
  <c r="AA74" i="1"/>
  <c r="V74" i="1"/>
  <c r="BY72" i="1"/>
  <c r="BT72" i="1"/>
  <c r="BO72" i="1"/>
  <c r="BJ72" i="1"/>
  <c r="BE72" i="1"/>
  <c r="AZ72" i="1"/>
  <c r="AU72" i="1"/>
  <c r="AP72" i="1"/>
  <c r="AK72" i="1"/>
  <c r="AF72" i="1"/>
  <c r="AA72" i="1"/>
  <c r="V72" i="1"/>
  <c r="BY70" i="1"/>
  <c r="BT70" i="1"/>
  <c r="BO70" i="1"/>
  <c r="BJ70" i="1"/>
  <c r="BE70" i="1"/>
  <c r="AZ70" i="1"/>
  <c r="AU70" i="1"/>
  <c r="AP70" i="1"/>
  <c r="AK70" i="1"/>
  <c r="AF70" i="1"/>
  <c r="AA70" i="1"/>
  <c r="V70" i="1"/>
  <c r="BY68" i="1"/>
  <c r="BT68" i="1"/>
  <c r="BO68" i="1"/>
  <c r="BJ68" i="1"/>
  <c r="BE68" i="1"/>
  <c r="AZ68" i="1"/>
  <c r="AU68" i="1"/>
  <c r="AP68" i="1"/>
  <c r="AK68" i="1"/>
  <c r="AF68" i="1"/>
  <c r="AA68" i="1"/>
  <c r="V68" i="1"/>
  <c r="BY66" i="1"/>
  <c r="BT66" i="1"/>
  <c r="BO66" i="1"/>
  <c r="BJ66" i="1"/>
  <c r="BE66" i="1"/>
  <c r="AZ66" i="1"/>
  <c r="AU66" i="1"/>
  <c r="AP66" i="1"/>
  <c r="AK66" i="1"/>
  <c r="AF66" i="1"/>
  <c r="AA66" i="1"/>
  <c r="V66" i="1"/>
  <c r="BY64" i="1"/>
  <c r="BT64" i="1"/>
  <c r="BO64" i="1"/>
  <c r="BJ64" i="1"/>
  <c r="BE64" i="1"/>
  <c r="AZ64" i="1"/>
  <c r="AU64" i="1"/>
  <c r="AP64" i="1"/>
  <c r="AK64" i="1"/>
  <c r="AF64" i="1"/>
  <c r="AA64" i="1"/>
  <c r="V64" i="1"/>
  <c r="BY62" i="1"/>
  <c r="BT62" i="1"/>
  <c r="BO62" i="1"/>
  <c r="BJ62" i="1"/>
  <c r="BE62" i="1"/>
  <c r="AZ62" i="1"/>
  <c r="AU62" i="1"/>
  <c r="AP62" i="1"/>
  <c r="AK62" i="1"/>
  <c r="AF62" i="1"/>
  <c r="AA62" i="1"/>
  <c r="V62" i="1"/>
  <c r="BY58" i="1"/>
  <c r="BT58" i="1"/>
  <c r="BO58" i="1"/>
  <c r="BJ58" i="1"/>
  <c r="BE58" i="1"/>
  <c r="AZ58" i="1"/>
  <c r="AU58" i="1"/>
  <c r="AP58" i="1"/>
  <c r="AK58" i="1"/>
  <c r="AF58" i="1"/>
  <c r="AA58" i="1"/>
  <c r="V58" i="1"/>
  <c r="BY56" i="1"/>
  <c r="BT56" i="1"/>
  <c r="BO56" i="1"/>
  <c r="BJ56" i="1"/>
  <c r="BE56" i="1"/>
  <c r="AZ56" i="1"/>
  <c r="AU56" i="1"/>
  <c r="AP56" i="1"/>
  <c r="AK56" i="1"/>
  <c r="AF56" i="1"/>
  <c r="AA56" i="1"/>
  <c r="V56" i="1"/>
  <c r="BY54" i="1"/>
  <c r="BT54" i="1"/>
  <c r="BO54" i="1"/>
  <c r="BJ54" i="1"/>
  <c r="BE54" i="1"/>
  <c r="AZ54" i="1"/>
  <c r="AU54" i="1"/>
  <c r="AP54" i="1"/>
  <c r="AK54" i="1"/>
  <c r="AF54" i="1"/>
  <c r="AA54" i="1"/>
  <c r="V54" i="1"/>
  <c r="BY52" i="1"/>
  <c r="BT52" i="1"/>
  <c r="BO52" i="1"/>
  <c r="BJ52" i="1"/>
  <c r="BE52" i="1"/>
  <c r="AZ52" i="1"/>
  <c r="AU52" i="1"/>
  <c r="AP52" i="1"/>
  <c r="AK52" i="1"/>
  <c r="AF52" i="1"/>
  <c r="AA52" i="1"/>
  <c r="V52" i="1"/>
  <c r="BY50" i="1"/>
  <c r="BT50" i="1"/>
  <c r="BO50" i="1"/>
  <c r="BJ50" i="1"/>
  <c r="BE50" i="1"/>
  <c r="AZ50" i="1"/>
  <c r="AU50" i="1"/>
  <c r="AP50" i="1"/>
  <c r="AK50" i="1"/>
  <c r="AF50" i="1"/>
  <c r="AA50" i="1"/>
  <c r="V50" i="1"/>
  <c r="BY48" i="1"/>
  <c r="BT48" i="1"/>
  <c r="BO48" i="1"/>
  <c r="BJ48" i="1"/>
  <c r="BE48" i="1"/>
  <c r="AZ48" i="1"/>
  <c r="AU48" i="1"/>
  <c r="AP48" i="1"/>
  <c r="AK48" i="1"/>
  <c r="AF48" i="1"/>
  <c r="AA48" i="1"/>
  <c r="V48" i="1"/>
  <c r="BY46" i="1"/>
  <c r="BT46" i="1"/>
  <c r="BO46" i="1"/>
  <c r="BJ46" i="1"/>
  <c r="BE46" i="1"/>
  <c r="AZ46" i="1"/>
  <c r="AU46" i="1"/>
  <c r="AP46" i="1"/>
  <c r="AK46" i="1"/>
  <c r="AF46" i="1"/>
  <c r="AA46" i="1"/>
  <c r="V46" i="1"/>
  <c r="BY44" i="1"/>
  <c r="BT44" i="1"/>
  <c r="BO44" i="1"/>
  <c r="BJ44" i="1"/>
  <c r="BE44" i="1"/>
  <c r="AZ44" i="1"/>
  <c r="AU44" i="1"/>
  <c r="AP44" i="1"/>
  <c r="AK44" i="1"/>
  <c r="AF44" i="1"/>
  <c r="AA44" i="1"/>
  <c r="V44" i="1"/>
  <c r="BY42" i="1"/>
  <c r="BT42" i="1"/>
  <c r="BO42" i="1"/>
  <c r="BJ42" i="1"/>
  <c r="BE42" i="1"/>
  <c r="AZ42" i="1"/>
  <c r="AU42" i="1"/>
  <c r="AP42" i="1"/>
  <c r="AK42" i="1"/>
  <c r="AF42" i="1"/>
  <c r="AA42" i="1"/>
  <c r="V42" i="1"/>
  <c r="BY40" i="1"/>
  <c r="BT40" i="1"/>
  <c r="BO40" i="1"/>
  <c r="BJ40" i="1"/>
  <c r="BE40" i="1"/>
  <c r="AZ40" i="1"/>
  <c r="AU40" i="1"/>
  <c r="AP40" i="1"/>
  <c r="AK40" i="1"/>
  <c r="AF40" i="1"/>
  <c r="AA40" i="1"/>
  <c r="V40" i="1"/>
  <c r="BY38" i="1"/>
  <c r="BT38" i="1"/>
  <c r="BO38" i="1"/>
  <c r="BJ38" i="1"/>
  <c r="BE38" i="1"/>
  <c r="AZ38" i="1"/>
  <c r="AU38" i="1"/>
  <c r="AP38" i="1"/>
  <c r="AK38" i="1"/>
  <c r="AF38" i="1"/>
  <c r="AA38" i="1"/>
  <c r="V38" i="1"/>
  <c r="BY36" i="1"/>
  <c r="BT36" i="1"/>
  <c r="BO36" i="1"/>
  <c r="BJ36" i="1"/>
  <c r="BE36" i="1"/>
  <c r="AZ36" i="1"/>
  <c r="AU36" i="1"/>
  <c r="AP36" i="1"/>
  <c r="AK36" i="1"/>
  <c r="AF36" i="1"/>
  <c r="AA36" i="1"/>
  <c r="V36" i="1"/>
  <c r="BY34" i="1"/>
  <c r="BT34" i="1"/>
  <c r="BO34" i="1"/>
  <c r="BJ34" i="1"/>
  <c r="BE34" i="1"/>
  <c r="AZ34" i="1"/>
  <c r="AU34" i="1"/>
  <c r="AP34" i="1"/>
  <c r="AK34" i="1"/>
  <c r="AF34" i="1"/>
  <c r="AA34" i="1"/>
  <c r="V34" i="1"/>
  <c r="BY32" i="1"/>
  <c r="BT32" i="1"/>
  <c r="BO32" i="1"/>
  <c r="BJ32" i="1"/>
  <c r="BE32" i="1"/>
  <c r="AZ32" i="1"/>
  <c r="AU32" i="1"/>
  <c r="AP32" i="1"/>
  <c r="AK32" i="1"/>
  <c r="AF32" i="1"/>
  <c r="AA32" i="1"/>
  <c r="V32" i="1"/>
  <c r="BY30" i="1"/>
  <c r="BT30" i="1"/>
  <c r="BO30" i="1"/>
  <c r="BJ30" i="1"/>
  <c r="BE30" i="1"/>
  <c r="AZ30" i="1"/>
  <c r="AU30" i="1"/>
  <c r="AP30" i="1"/>
  <c r="AK30" i="1"/>
  <c r="AF30" i="1"/>
  <c r="AA30" i="1"/>
  <c r="V30" i="1"/>
  <c r="BY28" i="1"/>
  <c r="BT28" i="1"/>
  <c r="BO28" i="1"/>
  <c r="BJ28" i="1"/>
  <c r="BE28" i="1"/>
  <c r="AZ28" i="1"/>
  <c r="AU28" i="1"/>
  <c r="AP28" i="1"/>
  <c r="AK28" i="1"/>
  <c r="AF28" i="1"/>
  <c r="AA28" i="1"/>
  <c r="V28" i="1"/>
  <c r="BY26" i="1"/>
  <c r="BT26" i="1"/>
  <c r="BO26" i="1"/>
  <c r="BJ26" i="1"/>
  <c r="BE26" i="1"/>
  <c r="AZ26" i="1"/>
  <c r="AU26" i="1"/>
  <c r="AP26" i="1"/>
  <c r="AK26" i="1"/>
  <c r="AF26" i="1"/>
  <c r="AA26" i="1"/>
  <c r="V26" i="1"/>
  <c r="BY24" i="1"/>
  <c r="BT24" i="1"/>
  <c r="BO24" i="1"/>
  <c r="BJ24" i="1"/>
  <c r="BE24" i="1"/>
  <c r="AZ24" i="1"/>
  <c r="AU24" i="1"/>
  <c r="AP24" i="1"/>
  <c r="AK24" i="1"/>
  <c r="AF24" i="1"/>
  <c r="AA24" i="1"/>
  <c r="V24" i="1"/>
  <c r="BY22" i="1"/>
  <c r="BT22" i="1"/>
  <c r="BO22" i="1"/>
  <c r="BJ22" i="1"/>
  <c r="BE22" i="1"/>
  <c r="AZ22" i="1"/>
  <c r="AU22" i="1"/>
  <c r="AP22" i="1"/>
  <c r="AK22" i="1"/>
  <c r="AF22" i="1"/>
  <c r="AA22" i="1"/>
  <c r="V22" i="1"/>
  <c r="BY20" i="1"/>
  <c r="BT20" i="1"/>
  <c r="BO20" i="1"/>
  <c r="BJ20" i="1"/>
  <c r="BE20" i="1"/>
  <c r="AZ20" i="1"/>
  <c r="AU20" i="1"/>
  <c r="AP20" i="1"/>
  <c r="AK20" i="1"/>
  <c r="AF20" i="1"/>
  <c r="AA20" i="1"/>
  <c r="V20" i="1"/>
  <c r="BY18" i="1"/>
  <c r="BT18" i="1"/>
  <c r="BO18" i="1"/>
  <c r="BJ18" i="1"/>
  <c r="BE18" i="1"/>
  <c r="AZ18" i="1"/>
  <c r="AU18" i="1"/>
  <c r="AP18" i="1"/>
  <c r="AK18" i="1"/>
  <c r="AF18" i="1"/>
  <c r="AA18" i="1"/>
  <c r="V18" i="1"/>
  <c r="BY14" i="1"/>
  <c r="BT14" i="1"/>
  <c r="BO14" i="1"/>
  <c r="BJ14" i="1"/>
  <c r="BE14" i="1"/>
  <c r="AZ14" i="1"/>
  <c r="AU14" i="1"/>
  <c r="AP14" i="1"/>
  <c r="AK14" i="1"/>
  <c r="AF14" i="1"/>
  <c r="AA14" i="1"/>
  <c r="V14" i="1"/>
  <c r="BY12" i="1"/>
  <c r="BT12" i="1"/>
  <c r="BO12" i="1"/>
  <c r="BJ12" i="1"/>
  <c r="BE12" i="1"/>
  <c r="AZ12" i="1"/>
  <c r="AU12" i="1"/>
  <c r="AP12" i="1"/>
  <c r="AK12" i="1"/>
  <c r="AF12" i="1"/>
  <c r="AA12" i="1"/>
  <c r="V12" i="1"/>
  <c r="BY10" i="1"/>
  <c r="BT10" i="1"/>
  <c r="BO10" i="1"/>
  <c r="BJ10" i="1"/>
  <c r="BE10" i="1"/>
  <c r="AZ10" i="1"/>
  <c r="AU10" i="1"/>
  <c r="AP10" i="1"/>
  <c r="AK10" i="1"/>
  <c r="AF10" i="1"/>
  <c r="AA10" i="1"/>
  <c r="V10" i="1"/>
  <c r="D10" i="1"/>
  <c r="D12" i="1" s="1"/>
  <c r="D14" i="1" s="1"/>
  <c r="D18" i="1" s="1"/>
  <c r="D20" i="1" s="1"/>
  <c r="D22" i="1" s="1"/>
  <c r="D24" i="1" s="1"/>
  <c r="D26" i="1" s="1"/>
  <c r="D28" i="1" s="1"/>
  <c r="D30" i="1" s="1"/>
  <c r="D32" i="1" s="1"/>
  <c r="D34" i="1" s="1"/>
  <c r="D36" i="1" s="1"/>
  <c r="D38" i="1" s="1"/>
  <c r="D40" i="1" s="1"/>
  <c r="D42" i="1" s="1"/>
  <c r="D44" i="1" s="1"/>
  <c r="D46" i="1" s="1"/>
  <c r="D48" i="1" s="1"/>
  <c r="D50" i="1" s="1"/>
  <c r="D52" i="1" s="1"/>
  <c r="D54" i="1" s="1"/>
  <c r="D56" i="1" s="1"/>
  <c r="D58" i="1" s="1"/>
  <c r="D62" i="1" s="1"/>
  <c r="D64" i="1" s="1"/>
  <c r="D66" i="1" s="1"/>
  <c r="D68" i="1" s="1"/>
  <c r="D70" i="1" s="1"/>
  <c r="D72" i="1" s="1"/>
  <c r="DA8" i="1"/>
  <c r="BY8" i="1"/>
  <c r="BT8" i="1"/>
  <c r="BO8" i="1"/>
  <c r="BJ8" i="1"/>
  <c r="BE8" i="1"/>
  <c r="AZ8" i="1"/>
  <c r="AU8" i="1"/>
  <c r="AP8" i="1"/>
  <c r="AK8" i="1"/>
  <c r="AF8" i="1"/>
  <c r="AA8" i="1"/>
  <c r="V8" i="1"/>
  <c r="AE2228" i="13"/>
  <c r="AE2227" i="13"/>
  <c r="Z2215" i="13"/>
  <c r="AA2215" i="13" s="1"/>
  <c r="AE2193" i="13"/>
  <c r="AE2194" i="13" s="1"/>
  <c r="Z2181" i="13"/>
  <c r="AA2181" i="13" s="1"/>
  <c r="AE2159" i="13"/>
  <c r="AE2160" i="13" s="1"/>
  <c r="Z2147" i="13"/>
  <c r="AA2147" i="13" s="1"/>
  <c r="AE2125" i="13"/>
  <c r="AE2126" i="13" s="1"/>
  <c r="AA2113" i="13"/>
  <c r="Z2113" i="13"/>
  <c r="AE2091" i="13"/>
  <c r="AE2092" i="13" s="1"/>
  <c r="Z2079" i="13"/>
  <c r="AA2079" i="13" s="1"/>
  <c r="AE2057" i="13"/>
  <c r="AE2058" i="13" s="1"/>
  <c r="Z2045" i="13"/>
  <c r="AA2045" i="13" s="1"/>
  <c r="AE2023" i="13"/>
  <c r="AE2024" i="13" s="1"/>
  <c r="Z2011" i="13"/>
  <c r="AA2011" i="13" s="1"/>
  <c r="AE1989" i="13"/>
  <c r="AE1990" i="13" s="1"/>
  <c r="Z1977" i="13"/>
  <c r="AA1977" i="13" s="1"/>
  <c r="AE1955" i="13"/>
  <c r="AE1956" i="13" s="1"/>
  <c r="Z1943" i="13"/>
  <c r="AA1943" i="13" s="1"/>
  <c r="AE1921" i="13"/>
  <c r="AE1922" i="13" s="1"/>
  <c r="Z1909" i="13"/>
  <c r="AA1909" i="13" s="1"/>
  <c r="U907" i="12"/>
  <c r="V907" i="12" s="1"/>
  <c r="Y907" i="12" s="1"/>
  <c r="Z907" i="12" s="1"/>
  <c r="V906" i="12"/>
  <c r="Y906" i="12" s="1"/>
  <c r="Z906" i="12" s="1"/>
  <c r="U905" i="12"/>
  <c r="V904" i="12"/>
  <c r="Y904" i="12" s="1"/>
  <c r="Z904" i="12" s="1"/>
  <c r="U903" i="12"/>
  <c r="V902" i="12"/>
  <c r="Y902" i="12" s="1"/>
  <c r="U893" i="12"/>
  <c r="V893" i="12" s="1"/>
  <c r="Y893" i="12" s="1"/>
  <c r="Z893" i="12" s="1"/>
  <c r="V892" i="12"/>
  <c r="Y892" i="12" s="1"/>
  <c r="Z892" i="12" s="1"/>
  <c r="U891" i="12"/>
  <c r="V891" i="12" s="1"/>
  <c r="Y891" i="12" s="1"/>
  <c r="Z891" i="12" s="1"/>
  <c r="Y890" i="12"/>
  <c r="Z890" i="12" s="1"/>
  <c r="V890" i="12"/>
  <c r="U889" i="12"/>
  <c r="V888" i="12"/>
  <c r="Y888" i="12" s="1"/>
  <c r="Z888" i="12" s="1"/>
  <c r="U879" i="12"/>
  <c r="V879" i="12" s="1"/>
  <c r="Y879" i="12" s="1"/>
  <c r="Z879" i="12" s="1"/>
  <c r="V878" i="12"/>
  <c r="Y878" i="12" s="1"/>
  <c r="Z878" i="12" s="1"/>
  <c r="U877" i="12"/>
  <c r="V877" i="12" s="1"/>
  <c r="Y877" i="12" s="1"/>
  <c r="Z877" i="12" s="1"/>
  <c r="V876" i="12"/>
  <c r="Y876" i="12" s="1"/>
  <c r="Z876" i="12" s="1"/>
  <c r="U875" i="12"/>
  <c r="V875" i="12" s="1"/>
  <c r="Y875" i="12" s="1"/>
  <c r="Z875" i="12" s="1"/>
  <c r="Y874" i="12"/>
  <c r="V874" i="12"/>
  <c r="U865" i="12"/>
  <c r="V865" i="12" s="1"/>
  <c r="Y865" i="12" s="1"/>
  <c r="Z865" i="12" s="1"/>
  <c r="V864" i="12"/>
  <c r="Y864" i="12" s="1"/>
  <c r="Z864" i="12" s="1"/>
  <c r="U863" i="12"/>
  <c r="V863" i="12" s="1"/>
  <c r="Y863" i="12" s="1"/>
  <c r="Z863" i="12" s="1"/>
  <c r="V862" i="12"/>
  <c r="Y862" i="12" s="1"/>
  <c r="Z862" i="12" s="1"/>
  <c r="U861" i="12"/>
  <c r="V860" i="12"/>
  <c r="Y860" i="12" s="1"/>
  <c r="Z860" i="12" s="1"/>
  <c r="V851" i="12"/>
  <c r="Y851" i="12" s="1"/>
  <c r="Z851" i="12" s="1"/>
  <c r="U851" i="12"/>
  <c r="V850" i="12"/>
  <c r="Y850" i="12" s="1"/>
  <c r="Z850" i="12" s="1"/>
  <c r="U849" i="12"/>
  <c r="V849" i="12" s="1"/>
  <c r="Y849" i="12" s="1"/>
  <c r="Z849" i="12" s="1"/>
  <c r="V848" i="12"/>
  <c r="Y848" i="12" s="1"/>
  <c r="Z848" i="12" s="1"/>
  <c r="U847" i="12"/>
  <c r="V847" i="12" s="1"/>
  <c r="Y847" i="12" s="1"/>
  <c r="Z847" i="12" s="1"/>
  <c r="Y846" i="12"/>
  <c r="V846" i="12"/>
  <c r="U837" i="12"/>
  <c r="V837" i="12" s="1"/>
  <c r="Y837" i="12" s="1"/>
  <c r="Z837" i="12" s="1"/>
  <c r="V836" i="12"/>
  <c r="Y836" i="12" s="1"/>
  <c r="Z836" i="12" s="1"/>
  <c r="U835" i="12"/>
  <c r="V835" i="12" s="1"/>
  <c r="Y835" i="12" s="1"/>
  <c r="Z835" i="12" s="1"/>
  <c r="Y834" i="12"/>
  <c r="Z834" i="12" s="1"/>
  <c r="V834" i="12"/>
  <c r="U833" i="12"/>
  <c r="V833" i="12" s="1"/>
  <c r="Y833" i="12" s="1"/>
  <c r="Z833" i="12" s="1"/>
  <c r="V832" i="12"/>
  <c r="Y832" i="12" s="1"/>
  <c r="Z832" i="12" s="1"/>
  <c r="U823" i="12"/>
  <c r="V823" i="12" s="1"/>
  <c r="Y823" i="12" s="1"/>
  <c r="Z823" i="12" s="1"/>
  <c r="V822" i="12"/>
  <c r="Y822" i="12" s="1"/>
  <c r="Z822" i="12" s="1"/>
  <c r="U821" i="12"/>
  <c r="V821" i="12" s="1"/>
  <c r="Y821" i="12" s="1"/>
  <c r="Z821" i="12" s="1"/>
  <c r="V820" i="12"/>
  <c r="Y820" i="12" s="1"/>
  <c r="Z820" i="12" s="1"/>
  <c r="U819" i="12"/>
  <c r="V819" i="12" s="1"/>
  <c r="Y819" i="12" s="1"/>
  <c r="Z819" i="12" s="1"/>
  <c r="V818" i="12"/>
  <c r="Y818" i="12" s="1"/>
  <c r="U809" i="12"/>
  <c r="V809" i="12" s="1"/>
  <c r="Y809" i="12" s="1"/>
  <c r="Z809" i="12" s="1"/>
  <c r="V808" i="12"/>
  <c r="Y808" i="12" s="1"/>
  <c r="Z808" i="12" s="1"/>
  <c r="U807" i="12"/>
  <c r="V807" i="12" s="1"/>
  <c r="Y807" i="12" s="1"/>
  <c r="Z807" i="12" s="1"/>
  <c r="V806" i="12"/>
  <c r="Y806" i="12" s="1"/>
  <c r="Z806" i="12" s="1"/>
  <c r="U805" i="12"/>
  <c r="V804" i="12"/>
  <c r="Y804" i="12" s="1"/>
  <c r="Z804" i="12" s="1"/>
  <c r="U795" i="12"/>
  <c r="V795" i="12" s="1"/>
  <c r="Y795" i="12" s="1"/>
  <c r="Z795" i="12" s="1"/>
  <c r="V794" i="12"/>
  <c r="Y794" i="12" s="1"/>
  <c r="Z794" i="12" s="1"/>
  <c r="U793" i="12"/>
  <c r="V793" i="12" s="1"/>
  <c r="Y793" i="12" s="1"/>
  <c r="Z793" i="12" s="1"/>
  <c r="V792" i="12"/>
  <c r="Y792" i="12" s="1"/>
  <c r="Z792" i="12" s="1"/>
  <c r="U791" i="12"/>
  <c r="V791" i="12" s="1"/>
  <c r="Y791" i="12" s="1"/>
  <c r="Z791" i="12" s="1"/>
  <c r="V790" i="12"/>
  <c r="Y790" i="12" s="1"/>
  <c r="AE903" i="10"/>
  <c r="AE904" i="10" s="1"/>
  <c r="AE905" i="10" s="1"/>
  <c r="AJ902" i="10"/>
  <c r="AJ903" i="10" s="1"/>
  <c r="AJ904" i="10" s="1"/>
  <c r="AJ905" i="10" s="1"/>
  <c r="AI902" i="10"/>
  <c r="AI903" i="10" s="1"/>
  <c r="AI904" i="10" s="1"/>
  <c r="AI905" i="10" s="1"/>
  <c r="AH902" i="10"/>
  <c r="AH903" i="10" s="1"/>
  <c r="AH904" i="10" s="1"/>
  <c r="AH905" i="10" s="1"/>
  <c r="AG902" i="10"/>
  <c r="AG903" i="10" s="1"/>
  <c r="AG904" i="10" s="1"/>
  <c r="AG905" i="10" s="1"/>
  <c r="AF902" i="10"/>
  <c r="AF903" i="10" s="1"/>
  <c r="AF904" i="10" s="1"/>
  <c r="AF905" i="10" s="1"/>
  <c r="AE902" i="10"/>
  <c r="AD902" i="10"/>
  <c r="AD903" i="10" s="1"/>
  <c r="AD904" i="10" s="1"/>
  <c r="AD905" i="10" s="1"/>
  <c r="AC902" i="10"/>
  <c r="AC903" i="10" s="1"/>
  <c r="AC904" i="10" s="1"/>
  <c r="AC905" i="10" s="1"/>
  <c r="AB902" i="10"/>
  <c r="AB903" i="10" s="1"/>
  <c r="AB904" i="10" s="1"/>
  <c r="AB905" i="10" s="1"/>
  <c r="X902" i="10"/>
  <c r="X907" i="10" s="1"/>
  <c r="W902" i="10"/>
  <c r="W907" i="10" s="1"/>
  <c r="V902" i="10"/>
  <c r="V907" i="10" s="1"/>
  <c r="U902" i="10"/>
  <c r="U907" i="10" s="1"/>
  <c r="AK901" i="10"/>
  <c r="AK902" i="10" s="1"/>
  <c r="AK903" i="10" s="1"/>
  <c r="AK904" i="10" s="1"/>
  <c r="AK905" i="10" s="1"/>
  <c r="Y901" i="10"/>
  <c r="Y902" i="10" s="1"/>
  <c r="Y907" i="10" s="1"/>
  <c r="AG889" i="10"/>
  <c r="AG890" i="10" s="1"/>
  <c r="AG891" i="10" s="1"/>
  <c r="AJ888" i="10"/>
  <c r="AJ889" i="10" s="1"/>
  <c r="AJ890" i="10" s="1"/>
  <c r="AJ891" i="10" s="1"/>
  <c r="AI888" i="10"/>
  <c r="AI889" i="10" s="1"/>
  <c r="AI890" i="10" s="1"/>
  <c r="AI891" i="10" s="1"/>
  <c r="AH888" i="10"/>
  <c r="AH889" i="10" s="1"/>
  <c r="AH890" i="10" s="1"/>
  <c r="AH891" i="10" s="1"/>
  <c r="AG888" i="10"/>
  <c r="AF888" i="10"/>
  <c r="AF889" i="10" s="1"/>
  <c r="AF890" i="10" s="1"/>
  <c r="AF891" i="10" s="1"/>
  <c r="AE888" i="10"/>
  <c r="AE889" i="10" s="1"/>
  <c r="AE890" i="10" s="1"/>
  <c r="AE891" i="10" s="1"/>
  <c r="AD888" i="10"/>
  <c r="AD889" i="10" s="1"/>
  <c r="AD890" i="10" s="1"/>
  <c r="AD891" i="10" s="1"/>
  <c r="AC888" i="10"/>
  <c r="AC889" i="10" s="1"/>
  <c r="AC890" i="10" s="1"/>
  <c r="AC891" i="10" s="1"/>
  <c r="AB888" i="10"/>
  <c r="AB889" i="10" s="1"/>
  <c r="AB890" i="10" s="1"/>
  <c r="AB891" i="10" s="1"/>
  <c r="X888" i="10"/>
  <c r="X893" i="10" s="1"/>
  <c r="W888" i="10"/>
  <c r="W893" i="10" s="1"/>
  <c r="V888" i="10"/>
  <c r="V893" i="10" s="1"/>
  <c r="U888" i="10"/>
  <c r="U893" i="10" s="1"/>
  <c r="AK887" i="10"/>
  <c r="AK888" i="10" s="1"/>
  <c r="AK889" i="10" s="1"/>
  <c r="AK890" i="10" s="1"/>
  <c r="AK891" i="10" s="1"/>
  <c r="Z887" i="10"/>
  <c r="Z888" i="10" s="1"/>
  <c r="Z893" i="10" s="1"/>
  <c r="Y887" i="10"/>
  <c r="Y888" i="10" s="1"/>
  <c r="Y893" i="10" s="1"/>
  <c r="AJ874" i="10"/>
  <c r="AJ875" i="10" s="1"/>
  <c r="AJ876" i="10" s="1"/>
  <c r="AJ877" i="10" s="1"/>
  <c r="AI874" i="10"/>
  <c r="AI875" i="10" s="1"/>
  <c r="AI876" i="10" s="1"/>
  <c r="AI877" i="10" s="1"/>
  <c r="AH874" i="10"/>
  <c r="AH875" i="10" s="1"/>
  <c r="AH876" i="10" s="1"/>
  <c r="AH877" i="10" s="1"/>
  <c r="AG874" i="10"/>
  <c r="AG875" i="10" s="1"/>
  <c r="AG876" i="10" s="1"/>
  <c r="AG877" i="10" s="1"/>
  <c r="AF874" i="10"/>
  <c r="AF875" i="10" s="1"/>
  <c r="AF876" i="10" s="1"/>
  <c r="AF877" i="10" s="1"/>
  <c r="AE874" i="10"/>
  <c r="AE875" i="10" s="1"/>
  <c r="AE876" i="10" s="1"/>
  <c r="AE877" i="10" s="1"/>
  <c r="AD874" i="10"/>
  <c r="AD875" i="10" s="1"/>
  <c r="AD876" i="10" s="1"/>
  <c r="AD877" i="10" s="1"/>
  <c r="AC874" i="10"/>
  <c r="AC875" i="10" s="1"/>
  <c r="AC876" i="10" s="1"/>
  <c r="AC877" i="10" s="1"/>
  <c r="AB874" i="10"/>
  <c r="AB875" i="10" s="1"/>
  <c r="AB876" i="10" s="1"/>
  <c r="AB877" i="10" s="1"/>
  <c r="X874" i="10"/>
  <c r="X879" i="10" s="1"/>
  <c r="W874" i="10"/>
  <c r="W879" i="10" s="1"/>
  <c r="V874" i="10"/>
  <c r="V879" i="10" s="1"/>
  <c r="U874" i="10"/>
  <c r="U879" i="10" s="1"/>
  <c r="AK873" i="10"/>
  <c r="AL873" i="10" s="1"/>
  <c r="Y873" i="10"/>
  <c r="Y874" i="10" s="1"/>
  <c r="Y879" i="10" s="1"/>
  <c r="AJ860" i="10"/>
  <c r="AJ861" i="10" s="1"/>
  <c r="AJ862" i="10" s="1"/>
  <c r="AJ863" i="10" s="1"/>
  <c r="AI860" i="10"/>
  <c r="AI861" i="10" s="1"/>
  <c r="AI862" i="10" s="1"/>
  <c r="AI863" i="10" s="1"/>
  <c r="AH860" i="10"/>
  <c r="AH861" i="10" s="1"/>
  <c r="AH862" i="10" s="1"/>
  <c r="AH863" i="10" s="1"/>
  <c r="AG860" i="10"/>
  <c r="AG861" i="10" s="1"/>
  <c r="AG862" i="10" s="1"/>
  <c r="AG863" i="10" s="1"/>
  <c r="AF860" i="10"/>
  <c r="AF861" i="10" s="1"/>
  <c r="AF862" i="10" s="1"/>
  <c r="AF863" i="10" s="1"/>
  <c r="AE860" i="10"/>
  <c r="AE861" i="10" s="1"/>
  <c r="AE862" i="10" s="1"/>
  <c r="AE863" i="10" s="1"/>
  <c r="AD860" i="10"/>
  <c r="AD861" i="10" s="1"/>
  <c r="AD862" i="10" s="1"/>
  <c r="AD863" i="10" s="1"/>
  <c r="AC860" i="10"/>
  <c r="AC861" i="10" s="1"/>
  <c r="AC862" i="10" s="1"/>
  <c r="AC863" i="10" s="1"/>
  <c r="AB860" i="10"/>
  <c r="AB861" i="10" s="1"/>
  <c r="AB862" i="10" s="1"/>
  <c r="AB863" i="10" s="1"/>
  <c r="X860" i="10"/>
  <c r="X865" i="10" s="1"/>
  <c r="W860" i="10"/>
  <c r="W865" i="10" s="1"/>
  <c r="V860" i="10"/>
  <c r="V865" i="10" s="1"/>
  <c r="U860" i="10"/>
  <c r="U865" i="10" s="1"/>
  <c r="AK859" i="10"/>
  <c r="AK860" i="10" s="1"/>
  <c r="AK861" i="10" s="1"/>
  <c r="AK862" i="10" s="1"/>
  <c r="AK863" i="10" s="1"/>
  <c r="Y859" i="10"/>
  <c r="Z859" i="10" s="1"/>
  <c r="Z860" i="10" s="1"/>
  <c r="Z865" i="10" s="1"/>
  <c r="AJ846" i="10"/>
  <c r="AJ847" i="10" s="1"/>
  <c r="AJ848" i="10" s="1"/>
  <c r="AJ849" i="10" s="1"/>
  <c r="AI846" i="10"/>
  <c r="AI847" i="10" s="1"/>
  <c r="AI848" i="10" s="1"/>
  <c r="AI849" i="10" s="1"/>
  <c r="AH846" i="10"/>
  <c r="AH847" i="10" s="1"/>
  <c r="AH848" i="10" s="1"/>
  <c r="AH849" i="10" s="1"/>
  <c r="AG846" i="10"/>
  <c r="AG847" i="10" s="1"/>
  <c r="AG848" i="10" s="1"/>
  <c r="AG849" i="10" s="1"/>
  <c r="AF846" i="10"/>
  <c r="AF847" i="10" s="1"/>
  <c r="AF848" i="10" s="1"/>
  <c r="AF849" i="10" s="1"/>
  <c r="AE846" i="10"/>
  <c r="AE847" i="10" s="1"/>
  <c r="AE848" i="10" s="1"/>
  <c r="AE849" i="10" s="1"/>
  <c r="AD846" i="10"/>
  <c r="AD847" i="10" s="1"/>
  <c r="AD848" i="10" s="1"/>
  <c r="AD849" i="10" s="1"/>
  <c r="AC846" i="10"/>
  <c r="AC847" i="10" s="1"/>
  <c r="AC848" i="10" s="1"/>
  <c r="AC849" i="10" s="1"/>
  <c r="AB846" i="10"/>
  <c r="AB847" i="10" s="1"/>
  <c r="AB848" i="10" s="1"/>
  <c r="AB849" i="10" s="1"/>
  <c r="X846" i="10"/>
  <c r="X851" i="10" s="1"/>
  <c r="W846" i="10"/>
  <c r="W851" i="10" s="1"/>
  <c r="V846" i="10"/>
  <c r="V851" i="10" s="1"/>
  <c r="U846" i="10"/>
  <c r="U851" i="10" s="1"/>
  <c r="AK845" i="10"/>
  <c r="AL845" i="10" s="1"/>
  <c r="AL846" i="10" s="1"/>
  <c r="AL847" i="10" s="1"/>
  <c r="AL848" i="10" s="1"/>
  <c r="AL849" i="10" s="1"/>
  <c r="Y845" i="10"/>
  <c r="Y846" i="10" s="1"/>
  <c r="Y851" i="10" s="1"/>
  <c r="AJ832" i="10"/>
  <c r="AJ833" i="10" s="1"/>
  <c r="AJ834" i="10" s="1"/>
  <c r="AJ835" i="10" s="1"/>
  <c r="AI832" i="10"/>
  <c r="AI833" i="10" s="1"/>
  <c r="AI834" i="10" s="1"/>
  <c r="AI835" i="10" s="1"/>
  <c r="AH832" i="10"/>
  <c r="AH833" i="10" s="1"/>
  <c r="AH834" i="10" s="1"/>
  <c r="AH835" i="10" s="1"/>
  <c r="AG832" i="10"/>
  <c r="AG833" i="10" s="1"/>
  <c r="AG834" i="10" s="1"/>
  <c r="AG835" i="10" s="1"/>
  <c r="AF832" i="10"/>
  <c r="AF833" i="10" s="1"/>
  <c r="AF834" i="10" s="1"/>
  <c r="AF835" i="10" s="1"/>
  <c r="AE832" i="10"/>
  <c r="AE833" i="10" s="1"/>
  <c r="AE834" i="10" s="1"/>
  <c r="AE835" i="10" s="1"/>
  <c r="AD832" i="10"/>
  <c r="AD833" i="10" s="1"/>
  <c r="AD834" i="10" s="1"/>
  <c r="AD835" i="10" s="1"/>
  <c r="AC832" i="10"/>
  <c r="AC833" i="10" s="1"/>
  <c r="AC834" i="10" s="1"/>
  <c r="AC835" i="10" s="1"/>
  <c r="AB832" i="10"/>
  <c r="AB833" i="10" s="1"/>
  <c r="AB834" i="10" s="1"/>
  <c r="AB835" i="10" s="1"/>
  <c r="X832" i="10"/>
  <c r="X837" i="10" s="1"/>
  <c r="W832" i="10"/>
  <c r="W837" i="10" s="1"/>
  <c r="V832" i="10"/>
  <c r="V837" i="10" s="1"/>
  <c r="U832" i="10"/>
  <c r="U837" i="10" s="1"/>
  <c r="AK831" i="10"/>
  <c r="Z831" i="10"/>
  <c r="Z832" i="10" s="1"/>
  <c r="Z837" i="10" s="1"/>
  <c r="Y831" i="10"/>
  <c r="Y832" i="10" s="1"/>
  <c r="Y837" i="10" s="1"/>
  <c r="AJ818" i="10"/>
  <c r="AJ819" i="10" s="1"/>
  <c r="AJ820" i="10" s="1"/>
  <c r="AJ821" i="10" s="1"/>
  <c r="AI818" i="10"/>
  <c r="AI819" i="10" s="1"/>
  <c r="AI820" i="10" s="1"/>
  <c r="AI821" i="10" s="1"/>
  <c r="AH818" i="10"/>
  <c r="AH819" i="10" s="1"/>
  <c r="AH820" i="10" s="1"/>
  <c r="AH821" i="10" s="1"/>
  <c r="AG818" i="10"/>
  <c r="AG819" i="10" s="1"/>
  <c r="AG820" i="10" s="1"/>
  <c r="AG821" i="10" s="1"/>
  <c r="AF818" i="10"/>
  <c r="AF819" i="10" s="1"/>
  <c r="AF820" i="10" s="1"/>
  <c r="AF821" i="10" s="1"/>
  <c r="AE818" i="10"/>
  <c r="AE819" i="10" s="1"/>
  <c r="AE820" i="10" s="1"/>
  <c r="AE821" i="10" s="1"/>
  <c r="AD818" i="10"/>
  <c r="AD819" i="10" s="1"/>
  <c r="AD820" i="10" s="1"/>
  <c r="AD821" i="10" s="1"/>
  <c r="AC818" i="10"/>
  <c r="AC819" i="10" s="1"/>
  <c r="AC820" i="10" s="1"/>
  <c r="AC821" i="10" s="1"/>
  <c r="AB818" i="10"/>
  <c r="AB819" i="10" s="1"/>
  <c r="AB820" i="10" s="1"/>
  <c r="AB821" i="10" s="1"/>
  <c r="X818" i="10"/>
  <c r="X823" i="10" s="1"/>
  <c r="W818" i="10"/>
  <c r="W823" i="10" s="1"/>
  <c r="V818" i="10"/>
  <c r="V823" i="10" s="1"/>
  <c r="U818" i="10"/>
  <c r="U823" i="10" s="1"/>
  <c r="AK817" i="10"/>
  <c r="AL817" i="10" s="1"/>
  <c r="Y817" i="10"/>
  <c r="Z817" i="10" s="1"/>
  <c r="Z818" i="10" s="1"/>
  <c r="Z823" i="10" s="1"/>
  <c r="AF805" i="10"/>
  <c r="AF806" i="10" s="1"/>
  <c r="AF807" i="10" s="1"/>
  <c r="AJ804" i="10"/>
  <c r="AJ805" i="10" s="1"/>
  <c r="AJ806" i="10" s="1"/>
  <c r="AJ807" i="10" s="1"/>
  <c r="AI804" i="10"/>
  <c r="AI805" i="10" s="1"/>
  <c r="AI806" i="10" s="1"/>
  <c r="AI807" i="10" s="1"/>
  <c r="AH804" i="10"/>
  <c r="AH805" i="10" s="1"/>
  <c r="AH806" i="10" s="1"/>
  <c r="AH807" i="10" s="1"/>
  <c r="AG804" i="10"/>
  <c r="AG805" i="10" s="1"/>
  <c r="AG806" i="10" s="1"/>
  <c r="AG807" i="10" s="1"/>
  <c r="AF804" i="10"/>
  <c r="AE804" i="10"/>
  <c r="AE805" i="10" s="1"/>
  <c r="AE806" i="10" s="1"/>
  <c r="AE807" i="10" s="1"/>
  <c r="AD804" i="10"/>
  <c r="AD805" i="10" s="1"/>
  <c r="AD806" i="10" s="1"/>
  <c r="AD807" i="10" s="1"/>
  <c r="AC804" i="10"/>
  <c r="AC805" i="10" s="1"/>
  <c r="AC806" i="10" s="1"/>
  <c r="AC807" i="10" s="1"/>
  <c r="AB804" i="10"/>
  <c r="AB805" i="10" s="1"/>
  <c r="AB806" i="10" s="1"/>
  <c r="AB807" i="10" s="1"/>
  <c r="X804" i="10"/>
  <c r="X809" i="10" s="1"/>
  <c r="W804" i="10"/>
  <c r="W809" i="10" s="1"/>
  <c r="V804" i="10"/>
  <c r="V809" i="10" s="1"/>
  <c r="U804" i="10"/>
  <c r="U809" i="10" s="1"/>
  <c r="AK803" i="10"/>
  <c r="AK804" i="10" s="1"/>
  <c r="AK805" i="10" s="1"/>
  <c r="AK806" i="10" s="1"/>
  <c r="AK807" i="10" s="1"/>
  <c r="Y803" i="10"/>
  <c r="Y804" i="10" s="1"/>
  <c r="Y809" i="10" s="1"/>
  <c r="AJ790" i="10"/>
  <c r="AJ791" i="10" s="1"/>
  <c r="AJ792" i="10" s="1"/>
  <c r="AJ793" i="10" s="1"/>
  <c r="AI790" i="10"/>
  <c r="AI791" i="10" s="1"/>
  <c r="AI792" i="10" s="1"/>
  <c r="AI793" i="10" s="1"/>
  <c r="AH790" i="10"/>
  <c r="AH791" i="10" s="1"/>
  <c r="AH792" i="10" s="1"/>
  <c r="AH793" i="10" s="1"/>
  <c r="AG790" i="10"/>
  <c r="AG791" i="10" s="1"/>
  <c r="AG792" i="10" s="1"/>
  <c r="AG793" i="10" s="1"/>
  <c r="AF790" i="10"/>
  <c r="AF791" i="10" s="1"/>
  <c r="AF792" i="10" s="1"/>
  <c r="AF793" i="10" s="1"/>
  <c r="AE790" i="10"/>
  <c r="AE791" i="10" s="1"/>
  <c r="AE792" i="10" s="1"/>
  <c r="AE793" i="10" s="1"/>
  <c r="AD790" i="10"/>
  <c r="AD791" i="10" s="1"/>
  <c r="AD792" i="10" s="1"/>
  <c r="AD793" i="10" s="1"/>
  <c r="AC790" i="10"/>
  <c r="AC791" i="10" s="1"/>
  <c r="AC792" i="10" s="1"/>
  <c r="AC793" i="10" s="1"/>
  <c r="AB790" i="10"/>
  <c r="AB791" i="10" s="1"/>
  <c r="AB792" i="10" s="1"/>
  <c r="AB793" i="10" s="1"/>
  <c r="X790" i="10"/>
  <c r="X795" i="10" s="1"/>
  <c r="W790" i="10"/>
  <c r="W795" i="10" s="1"/>
  <c r="V790" i="10"/>
  <c r="V795" i="10" s="1"/>
  <c r="U790" i="10"/>
  <c r="U795" i="10" s="1"/>
  <c r="AK789" i="10"/>
  <c r="Y789" i="10"/>
  <c r="Z789" i="10" s="1"/>
  <c r="Z790" i="10" s="1"/>
  <c r="Z795" i="10" s="1"/>
  <c r="V80" i="24"/>
  <c r="V81" i="24" s="1"/>
  <c r="V82" i="24" s="1"/>
  <c r="V83" i="24" s="1"/>
  <c r="V84" i="24" s="1"/>
  <c r="V85" i="24" s="1"/>
  <c r="V86" i="24" s="1"/>
  <c r="C24" i="24" a="1"/>
  <c r="C24" i="24" s="1"/>
  <c r="C11" i="25" a="1"/>
  <c r="C11" i="25" s="1"/>
  <c r="C23" i="27" a="1"/>
  <c r="C23" i="27" s="1"/>
  <c r="C11" i="27" a="1"/>
  <c r="C11" i="27" s="1"/>
  <c r="C12" i="24" a="1"/>
  <c r="C12" i="24" s="1"/>
  <c r="Z28" i="18"/>
  <c r="Z40" i="18" s="1"/>
  <c r="Z52" i="18" s="1"/>
  <c r="Z64" i="18" s="1"/>
  <c r="Z76" i="18" s="1"/>
  <c r="Z88" i="18" s="1"/>
  <c r="Z100" i="18" s="1"/>
  <c r="Z112" i="18" s="1"/>
  <c r="Z124" i="18" s="1"/>
  <c r="X16" i="18"/>
  <c r="E6" i="18" a="1"/>
  <c r="E6" i="18" s="1"/>
  <c r="F6" i="18" s="1"/>
  <c r="G6" i="18" s="1"/>
  <c r="H6" i="18" s="1"/>
  <c r="I6" i="18" s="1"/>
  <c r="J6" i="18" s="1"/>
  <c r="K6" i="18" s="1"/>
  <c r="L6" i="18" s="1"/>
  <c r="M6" i="18" s="1"/>
  <c r="N6" i="18" s="1"/>
  <c r="O6" i="18" s="1"/>
  <c r="P6" i="18" s="1"/>
  <c r="P8" i="18" s="1"/>
  <c r="X18" i="18"/>
  <c r="X30" i="18" s="1"/>
  <c r="J22" i="28"/>
  <c r="K22" i="28" s="1"/>
  <c r="J7" i="28"/>
  <c r="K7" i="28" s="1"/>
  <c r="L7" i="28" s="1"/>
  <c r="K21" i="28"/>
  <c r="CL8" i="1" s="1" a="1"/>
  <c r="CL8" i="1" s="1"/>
  <c r="K6" i="28"/>
  <c r="L6" i="28" s="1"/>
  <c r="X42" i="18" l="1"/>
  <c r="X40" i="18"/>
  <c r="E30" i="18" a="1"/>
  <c r="E30" i="18" s="1"/>
  <c r="E31" i="18" s="1" a="1"/>
  <c r="E31" i="18" s="1"/>
  <c r="E18" i="18" a="1"/>
  <c r="E18" i="18" s="1"/>
  <c r="E20" i="18" s="1"/>
  <c r="X28" i="18"/>
  <c r="Z873" i="10"/>
  <c r="Z874" i="10" s="1"/>
  <c r="Z879" i="10" s="1"/>
  <c r="G8" i="1" a="1"/>
  <c r="G8" i="1" s="1"/>
  <c r="F8" i="1" a="1"/>
  <c r="F8" i="1" s="1"/>
  <c r="H10" i="1" a="1"/>
  <c r="H10" i="1" s="1"/>
  <c r="H8" i="1" a="1"/>
  <c r="H8" i="1" s="1"/>
  <c r="L22" i="28"/>
  <c r="V87" i="24"/>
  <c r="V88" i="24"/>
  <c r="D60" i="1"/>
  <c r="D16" i="1"/>
  <c r="D114" i="1"/>
  <c r="D118" i="1"/>
  <c r="R8" i="1" a="1"/>
  <c r="R8" i="1" s="1"/>
  <c r="W8" i="1" s="1"/>
  <c r="D82" i="1"/>
  <c r="DA10" i="1"/>
  <c r="R10" i="1" s="1" a="1"/>
  <c r="R10" i="1" s="1"/>
  <c r="W10" i="1" s="1"/>
  <c r="B8" i="1"/>
  <c r="CM8" i="1"/>
  <c r="CN8" i="1" s="1"/>
  <c r="CO8" i="1" s="1"/>
  <c r="CP8" i="1" s="1"/>
  <c r="CQ8" i="1" s="1"/>
  <c r="CR8" i="1" s="1"/>
  <c r="CS8" i="1" s="1"/>
  <c r="CT8" i="1" s="1"/>
  <c r="CU8" i="1" s="1"/>
  <c r="CV8" i="1" s="1"/>
  <c r="CW8" i="1" s="1"/>
  <c r="Z902" i="12"/>
  <c r="V903" i="12"/>
  <c r="Y903" i="12" s="1"/>
  <c r="V905" i="12"/>
  <c r="Y905" i="12" s="1"/>
  <c r="Z905" i="12" s="1"/>
  <c r="Z874" i="12"/>
  <c r="V889" i="12"/>
  <c r="Y889" i="12" s="1"/>
  <c r="Z889" i="12" s="1"/>
  <c r="Z846" i="12"/>
  <c r="V861" i="12"/>
  <c r="Y861" i="12" s="1"/>
  <c r="Z861" i="12" s="1"/>
  <c r="Z818" i="12"/>
  <c r="Z790" i="12"/>
  <c r="V805" i="12"/>
  <c r="Y805" i="12" s="1"/>
  <c r="Z805" i="12" s="1"/>
  <c r="Z803" i="10"/>
  <c r="Z804" i="10" s="1"/>
  <c r="Z809" i="10" s="1"/>
  <c r="Z901" i="10"/>
  <c r="Z902" i="10" s="1"/>
  <c r="Z907" i="10" s="1"/>
  <c r="Y818" i="10"/>
  <c r="Y823" i="10" s="1"/>
  <c r="Y790" i="10"/>
  <c r="Y795" i="10" s="1"/>
  <c r="AL901" i="10"/>
  <c r="AL902" i="10" s="1"/>
  <c r="AL903" i="10" s="1"/>
  <c r="AL904" i="10" s="1"/>
  <c r="AL905" i="10" s="1"/>
  <c r="AL859" i="10"/>
  <c r="AL860" i="10" s="1"/>
  <c r="AL861" i="10" s="1"/>
  <c r="AL862" i="10" s="1"/>
  <c r="AL863" i="10" s="1"/>
  <c r="AL874" i="10"/>
  <c r="AL875" i="10" s="1"/>
  <c r="AL876" i="10" s="1"/>
  <c r="AL877" i="10" s="1"/>
  <c r="AL887" i="10"/>
  <c r="AL888" i="10" s="1"/>
  <c r="AL889" i="10" s="1"/>
  <c r="AL890" i="10" s="1"/>
  <c r="AL891" i="10" s="1"/>
  <c r="AK874" i="10"/>
  <c r="AK875" i="10" s="1"/>
  <c r="AK876" i="10" s="1"/>
  <c r="AK877" i="10" s="1"/>
  <c r="Z845" i="10"/>
  <c r="AK846" i="10"/>
  <c r="AK847" i="10" s="1"/>
  <c r="AK848" i="10" s="1"/>
  <c r="AK849" i="10" s="1"/>
  <c r="Y860" i="10"/>
  <c r="Y865" i="10" s="1"/>
  <c r="AK832" i="10"/>
  <c r="AK833" i="10" s="1"/>
  <c r="AK834" i="10" s="1"/>
  <c r="AK835" i="10" s="1"/>
  <c r="AL831" i="10"/>
  <c r="AL832" i="10" s="1"/>
  <c r="AL833" i="10" s="1"/>
  <c r="AL834" i="10" s="1"/>
  <c r="AL835" i="10" s="1"/>
  <c r="AL818" i="10"/>
  <c r="AL819" i="10" s="1"/>
  <c r="AL820" i="10" s="1"/>
  <c r="AL821" i="10" s="1"/>
  <c r="AK818" i="10"/>
  <c r="AK819" i="10" s="1"/>
  <c r="AK820" i="10" s="1"/>
  <c r="AK821" i="10" s="1"/>
  <c r="AL803" i="10"/>
  <c r="AL804" i="10" s="1"/>
  <c r="AL805" i="10" s="1"/>
  <c r="AL806" i="10" s="1"/>
  <c r="AL807" i="10" s="1"/>
  <c r="AK790" i="10"/>
  <c r="AK791" i="10" s="1"/>
  <c r="AK792" i="10" s="1"/>
  <c r="AK793" i="10" s="1"/>
  <c r="AL789" i="10"/>
  <c r="E28" i="18" a="1"/>
  <c r="E28" i="18" s="1"/>
  <c r="F28" i="18" s="1"/>
  <c r="G28" i="18" s="1"/>
  <c r="H28" i="18" s="1"/>
  <c r="I28" i="18" s="1"/>
  <c r="J28" i="18" s="1"/>
  <c r="K28" i="18" s="1"/>
  <c r="L28" i="18" s="1"/>
  <c r="M28" i="18" s="1"/>
  <c r="N28" i="18" s="1"/>
  <c r="O28" i="18" s="1"/>
  <c r="P28" i="18" s="1"/>
  <c r="L21" i="28"/>
  <c r="E16" i="18" a="1"/>
  <c r="E16" i="18" s="1"/>
  <c r="F16" i="18" s="1"/>
  <c r="G16" i="18" s="1"/>
  <c r="H16" i="18" s="1"/>
  <c r="I16" i="18" s="1"/>
  <c r="J16" i="18" s="1"/>
  <c r="K16" i="18" s="1"/>
  <c r="L16" i="18" s="1"/>
  <c r="M16" i="18" s="1"/>
  <c r="N16" i="18" s="1"/>
  <c r="O16" i="18" s="1"/>
  <c r="P16" i="18" s="1"/>
  <c r="E35" i="18"/>
  <c r="E32" i="18"/>
  <c r="E23" i="18"/>
  <c r="E19" i="18" a="1"/>
  <c r="E19" i="18" s="1"/>
  <c r="F18" i="18"/>
  <c r="I8" i="18"/>
  <c r="J8" i="18"/>
  <c r="K8" i="18"/>
  <c r="L8" i="18"/>
  <c r="M8" i="18"/>
  <c r="F8" i="18"/>
  <c r="N8" i="18"/>
  <c r="G8" i="18"/>
  <c r="O8" i="18"/>
  <c r="H8" i="18"/>
  <c r="E8" i="18"/>
  <c r="E11" i="18"/>
  <c r="E13" i="18" s="1"/>
  <c r="J23" i="28"/>
  <c r="J24" i="28" s="1"/>
  <c r="J25" i="28" s="1"/>
  <c r="J8" i="28"/>
  <c r="P22" i="28"/>
  <c r="P23" i="28" s="1"/>
  <c r="P24" i="28" s="1"/>
  <c r="P25" i="28" s="1"/>
  <c r="P26" i="28" s="1"/>
  <c r="P27" i="28" s="1"/>
  <c r="P28" i="28" s="1"/>
  <c r="P29" i="28" s="1"/>
  <c r="P30" i="28" s="1"/>
  <c r="P31" i="28" s="1"/>
  <c r="P32" i="28" s="1"/>
  <c r="P33" i="28" s="1"/>
  <c r="P34" i="28" s="1"/>
  <c r="P35" i="28" s="1"/>
  <c r="P36" i="28" s="1"/>
  <c r="P37" i="28" s="1"/>
  <c r="P38" i="28" s="1"/>
  <c r="P39" i="28" s="1"/>
  <c r="P40" i="28" s="1"/>
  <c r="P41" i="28" s="1"/>
  <c r="P42" i="28" s="1"/>
  <c r="P43" i="28" s="1"/>
  <c r="P44" i="28" s="1"/>
  <c r="P45" i="28" s="1"/>
  <c r="P46" i="28" s="1"/>
  <c r="P47" i="28" s="1"/>
  <c r="P48" i="28" s="1"/>
  <c r="P49" i="28" s="1"/>
  <c r="P50" i="28" s="1"/>
  <c r="P51" i="28" s="1"/>
  <c r="P52" i="28" s="1"/>
  <c r="P53" i="28" s="1"/>
  <c r="P54" i="28" s="1"/>
  <c r="P55" i="28" s="1"/>
  <c r="P56" i="28" s="1"/>
  <c r="P57" i="28" s="1"/>
  <c r="P58" i="28" s="1"/>
  <c r="P59" i="28" s="1"/>
  <c r="P60" i="28" s="1"/>
  <c r="P61" i="28" s="1"/>
  <c r="P62" i="28" s="1"/>
  <c r="P63" i="28" s="1"/>
  <c r="P64" i="28" s="1"/>
  <c r="P65" i="28" s="1"/>
  <c r="P66" i="28" s="1"/>
  <c r="P67" i="28" s="1"/>
  <c r="P68" i="28" s="1"/>
  <c r="P69" i="28" s="1"/>
  <c r="P70" i="28" s="1"/>
  <c r="P71" i="28" s="1"/>
  <c r="P72" i="28" s="1"/>
  <c r="P73" i="28" s="1"/>
  <c r="P74" i="28" s="1"/>
  <c r="P75" i="28" s="1"/>
  <c r="P76" i="28" s="1"/>
  <c r="P77" i="28" s="1"/>
  <c r="P78" i="28" s="1"/>
  <c r="P79" i="28" s="1"/>
  <c r="P80" i="28" s="1"/>
  <c r="P81" i="28" s="1"/>
  <c r="P82" i="28" s="1"/>
  <c r="P83" i="28" s="1"/>
  <c r="P84" i="28" s="1"/>
  <c r="P85" i="28" s="1"/>
  <c r="P86" i="28" s="1"/>
  <c r="P87" i="28" s="1"/>
  <c r="O7" i="28"/>
  <c r="Q7" i="28"/>
  <c r="Q8" i="28" s="1"/>
  <c r="Q9" i="28" s="1"/>
  <c r="Q10" i="28" s="1"/>
  <c r="Q11" i="28" s="1"/>
  <c r="Q12" i="28" s="1"/>
  <c r="Q13" i="28" s="1"/>
  <c r="Q14" i="28" s="1"/>
  <c r="Q15" i="28" s="1"/>
  <c r="R7" i="28"/>
  <c r="T7" i="28"/>
  <c r="T8" i="28" s="1"/>
  <c r="T9" i="28" s="1"/>
  <c r="T10" i="28" s="1"/>
  <c r="T11" i="28" s="1"/>
  <c r="T12" i="28" s="1"/>
  <c r="T13" i="28" s="1"/>
  <c r="T14" i="28" s="1"/>
  <c r="T15" i="28" s="1"/>
  <c r="U7" i="28"/>
  <c r="O22" i="28"/>
  <c r="O23" i="28" s="1"/>
  <c r="R22" i="28"/>
  <c r="E86" i="5"/>
  <c r="D6" i="28" a="1"/>
  <c r="D6" i="28" s="1"/>
  <c r="X52" i="18" l="1"/>
  <c r="X54" i="18"/>
  <c r="E42" i="18" a="1"/>
  <c r="E42" i="18" s="1"/>
  <c r="F30" i="18"/>
  <c r="G30" i="18" s="1"/>
  <c r="E33" i="18" a="1"/>
  <c r="E33" i="18" s="1"/>
  <c r="B10" i="1"/>
  <c r="G10" i="1" a="1"/>
  <c r="G10" i="1" s="1"/>
  <c r="F10" i="1" a="1"/>
  <c r="F10" i="1" s="1"/>
  <c r="CL10" i="1" a="1"/>
  <c r="CL10" i="1" s="1"/>
  <c r="CM10" i="1" s="1"/>
  <c r="CN10" i="1" s="1"/>
  <c r="CO10" i="1" s="1"/>
  <c r="CP10" i="1" s="1"/>
  <c r="CQ10" i="1" s="1"/>
  <c r="CR10" i="1" s="1"/>
  <c r="CS10" i="1" s="1"/>
  <c r="CT10" i="1" s="1"/>
  <c r="CU10" i="1" s="1"/>
  <c r="CV10" i="1" s="1"/>
  <c r="CW10" i="1" s="1"/>
  <c r="V90" i="24"/>
  <c r="V89" i="24"/>
  <c r="E21" i="18" a="1"/>
  <c r="E21" i="18" s="1"/>
  <c r="DA12" i="1"/>
  <c r="S8" i="1"/>
  <c r="D130" i="1"/>
  <c r="D132" i="1" s="1"/>
  <c r="D134" i="1" s="1"/>
  <c r="D136" i="1" s="1"/>
  <c r="D138" i="1" s="1"/>
  <c r="D140" i="1" s="1"/>
  <c r="D124" i="1"/>
  <c r="D116" i="1"/>
  <c r="D122" i="1" s="1"/>
  <c r="D128" i="1" s="1"/>
  <c r="D120" i="1"/>
  <c r="D126" i="1" s="1"/>
  <c r="S10" i="1"/>
  <c r="AB10" i="1"/>
  <c r="X10" i="1"/>
  <c r="CX8" i="1"/>
  <c r="AB8" i="1"/>
  <c r="X8" i="1"/>
  <c r="Z903" i="12"/>
  <c r="Z846" i="10"/>
  <c r="Z851" i="10" s="1"/>
  <c r="AL790" i="10"/>
  <c r="AL791" i="10" s="1"/>
  <c r="AL792" i="10" s="1"/>
  <c r="AL793" i="10" s="1"/>
  <c r="F33" i="18" a="1"/>
  <c r="F33" i="18" s="1"/>
  <c r="F31" i="18" a="1"/>
  <c r="F31" i="18" s="1"/>
  <c r="E39" i="18"/>
  <c r="E34" i="18" s="1"/>
  <c r="E38" i="18" a="1"/>
  <c r="E38" i="18" s="1"/>
  <c r="F35" i="18"/>
  <c r="E37" i="18"/>
  <c r="E36" i="18" a="1"/>
  <c r="E36" i="18" s="1"/>
  <c r="E27" i="18"/>
  <c r="E22" i="18" s="1"/>
  <c r="E26" i="18" a="1"/>
  <c r="E26" i="18" s="1"/>
  <c r="F23" i="18"/>
  <c r="E24" i="18" a="1"/>
  <c r="E24" i="18" s="1"/>
  <c r="E25" i="18"/>
  <c r="F21" i="18" a="1"/>
  <c r="F21" i="18" s="1"/>
  <c r="G18" i="18"/>
  <c r="F20" i="18"/>
  <c r="F19" i="18" a="1"/>
  <c r="F19" i="18" s="1"/>
  <c r="E14" i="18" a="1"/>
  <c r="E14" i="18" s="1"/>
  <c r="E15" i="18"/>
  <c r="F11" i="18"/>
  <c r="F13" i="18" s="1"/>
  <c r="K24" i="28"/>
  <c r="K23" i="28"/>
  <c r="J26" i="28"/>
  <c r="K25" i="28"/>
  <c r="J9" i="28"/>
  <c r="K8" i="28"/>
  <c r="L8" i="28" s="1"/>
  <c r="D7" i="28" a="1"/>
  <c r="D7" i="28" s="1"/>
  <c r="O8" i="28"/>
  <c r="R8" i="28"/>
  <c r="R9" i="28" s="1"/>
  <c r="R10" i="28" s="1"/>
  <c r="R11" i="28" s="1"/>
  <c r="R12" i="28" s="1"/>
  <c r="R13" i="28" s="1"/>
  <c r="R14" i="28" s="1"/>
  <c r="R15" i="28" s="1"/>
  <c r="R23" i="28"/>
  <c r="D22" i="28" a="1"/>
  <c r="D22" i="28" s="1"/>
  <c r="O24" i="28"/>
  <c r="U8" i="28"/>
  <c r="D23" i="28" a="1"/>
  <c r="D23" i="28" s="1"/>
  <c r="F32" i="18" l="1"/>
  <c r="F12" i="1" a="1"/>
  <c r="F12" i="1" s="1"/>
  <c r="G12" i="1" a="1"/>
  <c r="G12" i="1" s="1"/>
  <c r="H12" i="1" a="1"/>
  <c r="H12" i="1" s="1"/>
  <c r="E47" i="18"/>
  <c r="E44" i="18"/>
  <c r="E43" i="18" a="1"/>
  <c r="E43" i="18" s="1"/>
  <c r="E45" i="18" a="1"/>
  <c r="E45" i="18" s="1"/>
  <c r="F42" i="18"/>
  <c r="X64" i="18"/>
  <c r="E54" i="18" a="1"/>
  <c r="E54" i="18" s="1"/>
  <c r="X66" i="18"/>
  <c r="L25" i="28"/>
  <c r="L23" i="28"/>
  <c r="CL12" i="1" a="1"/>
  <c r="CL12" i="1" s="1"/>
  <c r="L24" i="28"/>
  <c r="DA14" i="1"/>
  <c r="CL14" i="1" s="1" a="1"/>
  <c r="CL14" i="1" s="1"/>
  <c r="B12" i="1"/>
  <c r="R12" i="1" a="1"/>
  <c r="R12" i="1" s="1"/>
  <c r="CM12" i="1"/>
  <c r="CN12" i="1" s="1"/>
  <c r="CO12" i="1" s="1"/>
  <c r="CP12" i="1" s="1"/>
  <c r="CQ12" i="1" s="1"/>
  <c r="CR12" i="1" s="1"/>
  <c r="CS12" i="1" s="1"/>
  <c r="CT12" i="1" s="1"/>
  <c r="CU12" i="1" s="1"/>
  <c r="CV12" i="1" s="1"/>
  <c r="CW12" i="1" s="1"/>
  <c r="CX10" i="1"/>
  <c r="AC10" i="1"/>
  <c r="AG10" i="1"/>
  <c r="AG8" i="1"/>
  <c r="AC8" i="1"/>
  <c r="E40" i="18" a="1"/>
  <c r="E40" i="18" s="1"/>
  <c r="F40" i="18" s="1"/>
  <c r="G40" i="18" s="1"/>
  <c r="H40" i="18" s="1"/>
  <c r="I40" i="18" s="1"/>
  <c r="J40" i="18" s="1"/>
  <c r="K40" i="18" s="1"/>
  <c r="L40" i="18" s="1"/>
  <c r="M40" i="18" s="1"/>
  <c r="N40" i="18" s="1"/>
  <c r="O40" i="18" s="1"/>
  <c r="P40" i="18" s="1"/>
  <c r="F36" i="18" a="1"/>
  <c r="F36" i="18" s="1"/>
  <c r="F39" i="18"/>
  <c r="F34" i="18" s="1"/>
  <c r="F37" i="18"/>
  <c r="F38" i="18" a="1"/>
  <c r="F38" i="18" s="1"/>
  <c r="G35" i="18"/>
  <c r="G33" i="18" a="1"/>
  <c r="G33" i="18" s="1"/>
  <c r="G31" i="18" a="1"/>
  <c r="G31" i="18" s="1"/>
  <c r="H30" i="18"/>
  <c r="G32" i="18"/>
  <c r="G21" i="18" a="1"/>
  <c r="G21" i="18" s="1"/>
  <c r="G20" i="18"/>
  <c r="H18" i="18"/>
  <c r="G19" i="18" a="1"/>
  <c r="G19" i="18" s="1"/>
  <c r="G23" i="18"/>
  <c r="F24" i="18" a="1"/>
  <c r="F24" i="18" s="1"/>
  <c r="F26" i="18" a="1"/>
  <c r="F26" i="18" s="1"/>
  <c r="F25" i="18"/>
  <c r="F27" i="18"/>
  <c r="F22" i="18" s="1"/>
  <c r="F14" i="18" a="1"/>
  <c r="F14" i="18" s="1"/>
  <c r="F15" i="18"/>
  <c r="G11" i="18"/>
  <c r="G13" i="18" s="1"/>
  <c r="K26" i="28"/>
  <c r="J27" i="28"/>
  <c r="K9" i="28"/>
  <c r="L9" i="28" s="1"/>
  <c r="J10" i="28"/>
  <c r="O25" i="28"/>
  <c r="O9" i="28"/>
  <c r="R24" i="28"/>
  <c r="U9" i="28"/>
  <c r="D24" i="28" a="1"/>
  <c r="D24" i="28" s="1"/>
  <c r="D8" i="28" a="1"/>
  <c r="D8" i="28" s="1"/>
  <c r="F86" i="27"/>
  <c r="G86" i="27" s="1"/>
  <c r="H86" i="27" s="1"/>
  <c r="I86" i="27" s="1"/>
  <c r="J86" i="27" s="1"/>
  <c r="K86" i="27" s="1"/>
  <c r="L86" i="27" s="1"/>
  <c r="M86" i="27" s="1"/>
  <c r="N86" i="27" s="1"/>
  <c r="O86" i="27" s="1"/>
  <c r="P86" i="27" s="1"/>
  <c r="F84" i="27"/>
  <c r="G84" i="27" s="1"/>
  <c r="H84" i="27" s="1"/>
  <c r="I84" i="27" s="1"/>
  <c r="J84" i="27" s="1"/>
  <c r="K84" i="27" s="1"/>
  <c r="L84" i="27" s="1"/>
  <c r="M84" i="27" s="1"/>
  <c r="N84" i="27" s="1"/>
  <c r="O84" i="27" s="1"/>
  <c r="P84" i="27" s="1"/>
  <c r="F83" i="27"/>
  <c r="G83" i="27" s="1"/>
  <c r="H83" i="27" s="1"/>
  <c r="I83" i="27" s="1"/>
  <c r="J83" i="27" s="1"/>
  <c r="K83" i="27" s="1"/>
  <c r="L83" i="27" s="1"/>
  <c r="M83" i="27" s="1"/>
  <c r="N83" i="27" s="1"/>
  <c r="O83" i="27" s="1"/>
  <c r="P83" i="27" s="1"/>
  <c r="T24" i="27"/>
  <c r="C24" i="27" s="1" a="1"/>
  <c r="C24" i="27" s="1"/>
  <c r="R24" i="27"/>
  <c r="R25" i="27" s="1"/>
  <c r="B25" i="27" s="1" a="1"/>
  <c r="B25" i="27" s="1"/>
  <c r="B23" i="27" a="1"/>
  <c r="B23" i="27" s="1"/>
  <c r="T13" i="27"/>
  <c r="W12" i="27"/>
  <c r="V12" i="27"/>
  <c r="V13" i="27" s="1"/>
  <c r="V14" i="27" s="1"/>
  <c r="V15" i="27" s="1"/>
  <c r="V16" i="27" s="1"/>
  <c r="V17" i="27" s="1"/>
  <c r="V18" i="27" s="1"/>
  <c r="V19" i="27" s="1"/>
  <c r="V20" i="27" s="1"/>
  <c r="T12" i="27"/>
  <c r="S12" i="27"/>
  <c r="S13" i="27" s="1"/>
  <c r="S14" i="27" s="1"/>
  <c r="S15" i="27" s="1"/>
  <c r="S16" i="27" s="1"/>
  <c r="S17" i="27" s="1"/>
  <c r="S18" i="27" s="1"/>
  <c r="S19" i="27" s="1"/>
  <c r="S20" i="27" s="1"/>
  <c r="R12" i="27"/>
  <c r="D12" i="27"/>
  <c r="D13" i="27" s="1"/>
  <c r="D14" i="27" s="1"/>
  <c r="D15" i="27" s="1"/>
  <c r="D16" i="27" s="1"/>
  <c r="D17" i="27" s="1"/>
  <c r="D18" i="27" s="1"/>
  <c r="D19" i="27" s="1"/>
  <c r="D20" i="27" s="1"/>
  <c r="D23" i="27" s="1"/>
  <c r="D24" i="27" s="1"/>
  <c r="D25" i="27" s="1"/>
  <c r="D26" i="27" s="1"/>
  <c r="D27" i="27" s="1"/>
  <c r="D28" i="27" s="1"/>
  <c r="D29" i="27" s="1"/>
  <c r="D30" i="27" s="1"/>
  <c r="D31" i="27" s="1"/>
  <c r="D32" i="27" s="1"/>
  <c r="D33" i="27" s="1"/>
  <c r="D34" i="27" s="1"/>
  <c r="D35" i="27" s="1"/>
  <c r="D36" i="27" s="1"/>
  <c r="D37" i="27" s="1"/>
  <c r="D38" i="27" s="1"/>
  <c r="D39" i="27" s="1"/>
  <c r="D40" i="27" s="1"/>
  <c r="D41" i="27" s="1"/>
  <c r="D42" i="27" s="1"/>
  <c r="D43" i="27" s="1"/>
  <c r="D44" i="27" s="1"/>
  <c r="D45" i="27" s="1"/>
  <c r="D46" i="27" s="1"/>
  <c r="D47" i="27" s="1"/>
  <c r="D48" i="27" s="1"/>
  <c r="D49" i="27" s="1"/>
  <c r="D50" i="27" s="1"/>
  <c r="D51" i="27" s="1"/>
  <c r="D52" i="27" s="1"/>
  <c r="D53" i="27" s="1"/>
  <c r="D54" i="27" s="1"/>
  <c r="D55" i="27" s="1"/>
  <c r="D56" i="27" s="1"/>
  <c r="D57" i="27" s="1"/>
  <c r="D58" i="27" s="1"/>
  <c r="D59" i="27" s="1"/>
  <c r="D60" i="27" s="1"/>
  <c r="D61" i="27" s="1"/>
  <c r="D62" i="27" s="1"/>
  <c r="D63" i="27" s="1"/>
  <c r="D64" i="27" s="1"/>
  <c r="D65" i="27" s="1"/>
  <c r="D66" i="27" s="1"/>
  <c r="D67" i="27" s="1"/>
  <c r="D68" i="27" s="1"/>
  <c r="D69" i="27" s="1"/>
  <c r="D70" i="27" s="1"/>
  <c r="D71" i="27" s="1"/>
  <c r="D72" i="27" s="1"/>
  <c r="D73" i="27" s="1"/>
  <c r="D74" i="27" s="1"/>
  <c r="D75" i="27" s="1"/>
  <c r="D76" i="27" s="1"/>
  <c r="D77" i="27" s="1"/>
  <c r="D78" i="27" s="1"/>
  <c r="B11" i="27" a="1"/>
  <c r="B11" i="27" s="1"/>
  <c r="F8" i="27"/>
  <c r="G8" i="27" s="1"/>
  <c r="H8" i="27" s="1"/>
  <c r="I8" i="27" s="1"/>
  <c r="J8" i="27" s="1"/>
  <c r="K8" i="27" s="1"/>
  <c r="L8" i="27" s="1"/>
  <c r="M8" i="27" s="1"/>
  <c r="N8" i="27" s="1"/>
  <c r="O8" i="27" s="1"/>
  <c r="E59" i="18" l="1"/>
  <c r="E56" i="18"/>
  <c r="E57" i="18" a="1"/>
  <c r="E57" i="18" s="1"/>
  <c r="F54" i="18"/>
  <c r="E55" i="18" a="1"/>
  <c r="E55" i="18" s="1"/>
  <c r="F43" i="18" a="1"/>
  <c r="F43" i="18" s="1"/>
  <c r="F44" i="18"/>
  <c r="G42" i="18"/>
  <c r="F45" i="18" a="1"/>
  <c r="F45" i="18" s="1"/>
  <c r="E51" i="18"/>
  <c r="E46" i="18" s="1"/>
  <c r="E50" i="18" a="1"/>
  <c r="E50" i="18" s="1"/>
  <c r="E49" i="18"/>
  <c r="F47" i="18"/>
  <c r="E48" i="18" a="1"/>
  <c r="E48" i="18" s="1"/>
  <c r="G14" i="1" a="1"/>
  <c r="G14" i="1" s="1"/>
  <c r="F14" i="1" a="1"/>
  <c r="F14" i="1" s="1"/>
  <c r="H14" i="1" a="1"/>
  <c r="H14" i="1" s="1"/>
  <c r="B24" i="27" a="1"/>
  <c r="B24" i="27" s="1"/>
  <c r="X76" i="18"/>
  <c r="X78" i="18"/>
  <c r="L26" i="28"/>
  <c r="CX12" i="1"/>
  <c r="S12" i="1"/>
  <c r="W12" i="1"/>
  <c r="DA16" i="1"/>
  <c r="R14" i="1" a="1"/>
  <c r="R14" i="1" s="1"/>
  <c r="B14" i="1"/>
  <c r="AL10" i="1"/>
  <c r="AH10" i="1"/>
  <c r="AH8" i="1"/>
  <c r="AL8" i="1"/>
  <c r="B12" i="27" a="1"/>
  <c r="B12" i="27" s="1"/>
  <c r="C12" i="27" a="1"/>
  <c r="C12" i="27" s="1"/>
  <c r="R13" i="27"/>
  <c r="E52" i="18" a="1"/>
  <c r="E52" i="18" s="1"/>
  <c r="F52" i="18" s="1"/>
  <c r="G52" i="18" s="1"/>
  <c r="H52" i="18" s="1"/>
  <c r="I52" i="18" s="1"/>
  <c r="J52" i="18" s="1"/>
  <c r="K52" i="18" s="1"/>
  <c r="L52" i="18" s="1"/>
  <c r="M52" i="18" s="1"/>
  <c r="N52" i="18" s="1"/>
  <c r="O52" i="18" s="1"/>
  <c r="P52" i="18" s="1"/>
  <c r="I30" i="18"/>
  <c r="H31" i="18" a="1"/>
  <c r="H31" i="18" s="1"/>
  <c r="H33" i="18" a="1"/>
  <c r="H33" i="18" s="1"/>
  <c r="H32" i="18"/>
  <c r="G36" i="18" a="1"/>
  <c r="G36" i="18" s="1"/>
  <c r="G37" i="18"/>
  <c r="G39" i="18"/>
  <c r="G34" i="18" s="1"/>
  <c r="G38" i="18" a="1"/>
  <c r="G38" i="18" s="1"/>
  <c r="H35" i="18"/>
  <c r="G24" i="18" a="1"/>
  <c r="G24" i="18" s="1"/>
  <c r="G25" i="18"/>
  <c r="G26" i="18" a="1"/>
  <c r="G26" i="18" s="1"/>
  <c r="G27" i="18"/>
  <c r="G22" i="18" s="1"/>
  <c r="H23" i="18"/>
  <c r="I18" i="18"/>
  <c r="H19" i="18" a="1"/>
  <c r="H19" i="18" s="1"/>
  <c r="H21" i="18" a="1"/>
  <c r="H21" i="18" s="1"/>
  <c r="H20" i="18"/>
  <c r="G14" i="18" a="1"/>
  <c r="G14" i="18" s="1"/>
  <c r="G15" i="18"/>
  <c r="H11" i="18"/>
  <c r="H13" i="18" s="1"/>
  <c r="J28" i="28"/>
  <c r="K27" i="28"/>
  <c r="J11" i="28"/>
  <c r="K10" i="28"/>
  <c r="L10" i="28" s="1"/>
  <c r="O26" i="28"/>
  <c r="O10" i="28"/>
  <c r="R25" i="28"/>
  <c r="U10" i="28"/>
  <c r="D9" i="28" a="1"/>
  <c r="D9" i="28" s="1"/>
  <c r="D25" i="28" a="1"/>
  <c r="D25" i="28" s="1"/>
  <c r="T14" i="27"/>
  <c r="B13" i="27" a="1"/>
  <c r="B13" i="27" s="1"/>
  <c r="W13" i="27"/>
  <c r="T25" i="27"/>
  <c r="C25" i="27" s="1" a="1"/>
  <c r="C25" i="27" s="1"/>
  <c r="R26" i="27"/>
  <c r="F95" i="25"/>
  <c r="G95" i="25" s="1"/>
  <c r="H95" i="25" s="1"/>
  <c r="I95" i="25" s="1"/>
  <c r="J95" i="25" s="1"/>
  <c r="K95" i="25" s="1"/>
  <c r="L95" i="25" s="1"/>
  <c r="M95" i="25" s="1"/>
  <c r="N95" i="25" s="1"/>
  <c r="O95" i="25" s="1"/>
  <c r="P95" i="25" s="1"/>
  <c r="F93" i="25"/>
  <c r="G93" i="25" s="1"/>
  <c r="H93" i="25" s="1"/>
  <c r="I93" i="25" s="1"/>
  <c r="J93" i="25" s="1"/>
  <c r="K93" i="25" s="1"/>
  <c r="L93" i="25" s="1"/>
  <c r="M93" i="25" s="1"/>
  <c r="N93" i="25" s="1"/>
  <c r="O93" i="25" s="1"/>
  <c r="P93" i="25" s="1"/>
  <c r="Q93" i="25" s="1"/>
  <c r="R93" i="25" s="1"/>
  <c r="F92" i="25"/>
  <c r="G92" i="25" s="1"/>
  <c r="H92" i="25" s="1"/>
  <c r="I92" i="25" s="1"/>
  <c r="J92" i="25" s="1"/>
  <c r="K92" i="25" s="1"/>
  <c r="L92" i="25" s="1"/>
  <c r="M92" i="25" s="1"/>
  <c r="N92" i="25" s="1"/>
  <c r="O92" i="25" s="1"/>
  <c r="P92" i="25" s="1"/>
  <c r="Q92" i="25" s="1"/>
  <c r="R92" i="25" s="1"/>
  <c r="V24" i="25"/>
  <c r="C24" i="25" s="1" a="1"/>
  <c r="C24" i="25" s="1"/>
  <c r="T24" i="25"/>
  <c r="T25" i="25" s="1"/>
  <c r="B23" i="25" a="1"/>
  <c r="B23" i="25" s="1"/>
  <c r="Y12" i="25"/>
  <c r="Y13" i="25" s="1"/>
  <c r="X12" i="25"/>
  <c r="X13" i="25" s="1"/>
  <c r="X14" i="25" s="1"/>
  <c r="X15" i="25" s="1"/>
  <c r="X16" i="25" s="1"/>
  <c r="X17" i="25" s="1"/>
  <c r="X18" i="25" s="1"/>
  <c r="X19" i="25" s="1"/>
  <c r="X20" i="25" s="1"/>
  <c r="V12" i="25"/>
  <c r="V13" i="25" s="1"/>
  <c r="V14" i="25" s="1"/>
  <c r="V15" i="25" s="1"/>
  <c r="V16" i="25" s="1"/>
  <c r="V17" i="25" s="1"/>
  <c r="V18" i="25" s="1"/>
  <c r="V19" i="25" s="1"/>
  <c r="V20" i="25" s="1"/>
  <c r="U12" i="25"/>
  <c r="U13" i="25" s="1"/>
  <c r="U14" i="25" s="1"/>
  <c r="U15" i="25" s="1"/>
  <c r="U16" i="25" s="1"/>
  <c r="T12" i="25"/>
  <c r="D12" i="25"/>
  <c r="D13" i="25" s="1"/>
  <c r="D14" i="25" s="1"/>
  <c r="D15" i="25" s="1"/>
  <c r="D16" i="25" s="1"/>
  <c r="D17" i="25" s="1"/>
  <c r="D18" i="25" s="1"/>
  <c r="D19" i="25" s="1"/>
  <c r="D20" i="25" s="1"/>
  <c r="D23" i="25" s="1"/>
  <c r="D24" i="25" s="1"/>
  <c r="D25" i="25" s="1"/>
  <c r="D26" i="25" s="1"/>
  <c r="D27" i="25" s="1"/>
  <c r="D28" i="25" s="1"/>
  <c r="D29" i="25" s="1"/>
  <c r="D30" i="25" s="1"/>
  <c r="D31" i="25" s="1"/>
  <c r="D32" i="25" s="1"/>
  <c r="D33" i="25" s="1"/>
  <c r="D34" i="25" s="1"/>
  <c r="D35" i="25" s="1"/>
  <c r="D36" i="25" s="1"/>
  <c r="D37" i="25" s="1"/>
  <c r="D38" i="25" s="1"/>
  <c r="D39" i="25" s="1"/>
  <c r="D40" i="25" s="1"/>
  <c r="D41" i="25" s="1"/>
  <c r="D42" i="25" s="1"/>
  <c r="D43" i="25" s="1"/>
  <c r="D44" i="25" s="1"/>
  <c r="D45" i="25" s="1"/>
  <c r="D46" i="25" s="1"/>
  <c r="D47" i="25" s="1"/>
  <c r="D48" i="25" s="1"/>
  <c r="D49" i="25" s="1"/>
  <c r="D50" i="25" s="1"/>
  <c r="D51" i="25" s="1"/>
  <c r="D52" i="25" s="1"/>
  <c r="D53" i="25" s="1"/>
  <c r="D54" i="25" s="1"/>
  <c r="D55" i="25" s="1"/>
  <c r="D56" i="25" s="1"/>
  <c r="D57" i="25" s="1"/>
  <c r="D58" i="25" s="1"/>
  <c r="D59" i="25" s="1"/>
  <c r="D60" i="25" s="1"/>
  <c r="D61" i="25" s="1"/>
  <c r="D62" i="25" s="1"/>
  <c r="D63" i="25" s="1"/>
  <c r="D64" i="25" s="1"/>
  <c r="D65" i="25" s="1"/>
  <c r="D66" i="25" s="1"/>
  <c r="D67" i="25" s="1"/>
  <c r="D68" i="25" s="1"/>
  <c r="D69" i="25" s="1"/>
  <c r="D70" i="25" s="1"/>
  <c r="D71" i="25" s="1"/>
  <c r="D72" i="25" s="1"/>
  <c r="D73" i="25" s="1"/>
  <c r="D74" i="25" s="1"/>
  <c r="D75" i="25" s="1"/>
  <c r="D76" i="25" s="1"/>
  <c r="D77" i="25" s="1"/>
  <c r="D78" i="25" s="1"/>
  <c r="D79" i="25" s="1"/>
  <c r="D80" i="25" s="1"/>
  <c r="D81" i="25" s="1"/>
  <c r="D82" i="25" s="1"/>
  <c r="D83" i="25" s="1"/>
  <c r="D84" i="25" s="1"/>
  <c r="D85" i="25" s="1"/>
  <c r="D86" i="25" s="1"/>
  <c r="D87" i="25" s="1"/>
  <c r="D88" i="25" s="1"/>
  <c r="D89" i="25" s="1"/>
  <c r="B11" i="25" a="1"/>
  <c r="B11" i="25" s="1"/>
  <c r="F8" i="25"/>
  <c r="G8" i="25" s="1"/>
  <c r="H8" i="25" s="1"/>
  <c r="I8" i="25" s="1"/>
  <c r="J8" i="25" s="1"/>
  <c r="K8" i="25" s="1"/>
  <c r="L8" i="25" s="1"/>
  <c r="M8" i="25" s="1"/>
  <c r="N8" i="25" s="1"/>
  <c r="O8" i="25" s="1"/>
  <c r="F50" i="18" l="1" a="1"/>
  <c r="F50" i="18" s="1"/>
  <c r="G47" i="18"/>
  <c r="F49" i="18"/>
  <c r="F51" i="18"/>
  <c r="F46" i="18" s="1"/>
  <c r="F48" i="18" a="1"/>
  <c r="F48" i="18" s="1"/>
  <c r="F16" i="1" a="1"/>
  <c r="F16" i="1" s="1"/>
  <c r="G16" i="1" a="1"/>
  <c r="G16" i="1" s="1"/>
  <c r="H16" i="1" a="1"/>
  <c r="H16" i="1" s="1"/>
  <c r="CL16" i="1" a="1"/>
  <c r="CL16" i="1" s="1"/>
  <c r="X88" i="18"/>
  <c r="E78" i="18" a="1"/>
  <c r="E78" i="18" s="1"/>
  <c r="X90" i="18"/>
  <c r="G44" i="18"/>
  <c r="G43" i="18" a="1"/>
  <c r="G43" i="18" s="1"/>
  <c r="G45" i="18" a="1"/>
  <c r="G45" i="18" s="1"/>
  <c r="H42" i="18"/>
  <c r="F57" i="18" a="1"/>
  <c r="F57" i="18" s="1"/>
  <c r="G54" i="18"/>
  <c r="F55" i="18" a="1"/>
  <c r="F55" i="18" s="1"/>
  <c r="F56" i="18"/>
  <c r="E63" i="18"/>
  <c r="E58" i="18" s="1"/>
  <c r="E62" i="18" a="1"/>
  <c r="E62" i="18" s="1"/>
  <c r="F59" i="18"/>
  <c r="E60" i="18" a="1"/>
  <c r="E60" i="18" s="1"/>
  <c r="E61" i="18"/>
  <c r="L27" i="28"/>
  <c r="CM14" i="1"/>
  <c r="CN14" i="1" s="1"/>
  <c r="CO14" i="1" s="1"/>
  <c r="CP14" i="1" s="1"/>
  <c r="CQ14" i="1" s="1"/>
  <c r="CR14" i="1" s="1"/>
  <c r="CS14" i="1" s="1"/>
  <c r="CT14" i="1" s="1"/>
  <c r="CU14" i="1" s="1"/>
  <c r="CV14" i="1" s="1"/>
  <c r="CW14" i="1" s="1"/>
  <c r="S14" i="1"/>
  <c r="W14" i="1"/>
  <c r="R16" i="1" a="1"/>
  <c r="R16" i="1" s="1"/>
  <c r="DA18" i="1"/>
  <c r="B16" i="1"/>
  <c r="AB12" i="1"/>
  <c r="X12" i="1"/>
  <c r="AM10" i="1"/>
  <c r="AQ10" i="1"/>
  <c r="AQ8" i="1"/>
  <c r="AM8" i="1"/>
  <c r="B12" i="25" a="1"/>
  <c r="B12" i="25" s="1"/>
  <c r="T13" i="25"/>
  <c r="B13" i="25" s="1" a="1"/>
  <c r="B13" i="25" s="1"/>
  <c r="C12" i="25" a="1"/>
  <c r="C12" i="25" s="1"/>
  <c r="R14" i="27"/>
  <c r="C13" i="27" a="1"/>
  <c r="C13" i="27" s="1"/>
  <c r="E64" i="18" a="1"/>
  <c r="E64" i="18" s="1"/>
  <c r="F64" i="18" s="1"/>
  <c r="G64" i="18" s="1"/>
  <c r="H64" i="18" s="1"/>
  <c r="I64" i="18" s="1"/>
  <c r="J64" i="18" s="1"/>
  <c r="K64" i="18" s="1"/>
  <c r="L64" i="18" s="1"/>
  <c r="M64" i="18" s="1"/>
  <c r="N64" i="18" s="1"/>
  <c r="O64" i="18" s="1"/>
  <c r="P64" i="18" s="1"/>
  <c r="I35" i="18"/>
  <c r="H37" i="18"/>
  <c r="H38" i="18" a="1"/>
  <c r="H38" i="18" s="1"/>
  <c r="H36" i="18" a="1"/>
  <c r="H36" i="18" s="1"/>
  <c r="H39" i="18"/>
  <c r="H34" i="18" s="1"/>
  <c r="I31" i="18" a="1"/>
  <c r="I31" i="18" s="1"/>
  <c r="I33" i="18" a="1"/>
  <c r="I33" i="18" s="1"/>
  <c r="J30" i="18"/>
  <c r="I32" i="18"/>
  <c r="I19" i="18" a="1"/>
  <c r="I19" i="18" s="1"/>
  <c r="J18" i="18"/>
  <c r="I20" i="18"/>
  <c r="I21" i="18" a="1"/>
  <c r="I21" i="18" s="1"/>
  <c r="H25" i="18"/>
  <c r="H24" i="18" a="1"/>
  <c r="H24" i="18" s="1"/>
  <c r="H26" i="18" a="1"/>
  <c r="H26" i="18" s="1"/>
  <c r="I23" i="18"/>
  <c r="H27" i="18"/>
  <c r="H22" i="18" s="1"/>
  <c r="H14" i="18" a="1"/>
  <c r="H14" i="18" s="1"/>
  <c r="H15" i="18"/>
  <c r="I11" i="18"/>
  <c r="I13" i="18" s="1"/>
  <c r="K28" i="28"/>
  <c r="J29" i="28"/>
  <c r="K11" i="28"/>
  <c r="L11" i="28" s="1"/>
  <c r="C6" i="30" s="1"/>
  <c r="D6" i="30" s="1"/>
  <c r="J12" i="28"/>
  <c r="O27" i="28"/>
  <c r="O11" i="28"/>
  <c r="R26" i="28"/>
  <c r="U11" i="28"/>
  <c r="D26" i="28" a="1"/>
  <c r="D26" i="28" s="1"/>
  <c r="D10" i="28" a="1"/>
  <c r="D10" i="28" s="1"/>
  <c r="T15" i="27"/>
  <c r="T26" i="27"/>
  <c r="C26" i="27" s="1" a="1"/>
  <c r="C26" i="27" s="1"/>
  <c r="B26" i="27" a="1"/>
  <c r="B26" i="27" s="1"/>
  <c r="R27" i="27"/>
  <c r="W14" i="27"/>
  <c r="U17" i="25"/>
  <c r="U18" i="25" s="1"/>
  <c r="U19" i="25" s="1"/>
  <c r="U20" i="25" s="1"/>
  <c r="Y14" i="25"/>
  <c r="T26" i="25"/>
  <c r="B25" i="25" a="1"/>
  <c r="B25" i="25" s="1"/>
  <c r="B24" i="25" a="1"/>
  <c r="B24" i="25" s="1"/>
  <c r="V25" i="25"/>
  <c r="C25" i="25" s="1" a="1"/>
  <c r="C25" i="25" s="1"/>
  <c r="E81" i="18" l="1" a="1"/>
  <c r="E81" i="18" s="1"/>
  <c r="E80" i="18"/>
  <c r="E79" i="18" a="1"/>
  <c r="E79" i="18" s="1"/>
  <c r="E83" i="18"/>
  <c r="F78" i="18"/>
  <c r="H54" i="18"/>
  <c r="G55" i="18" a="1"/>
  <c r="G55" i="18" s="1"/>
  <c r="G57" i="18" a="1"/>
  <c r="G57" i="18" s="1"/>
  <c r="G56" i="18"/>
  <c r="G18" i="1" a="1"/>
  <c r="G18" i="1" s="1"/>
  <c r="F18" i="1" a="1"/>
  <c r="F18" i="1" s="1"/>
  <c r="H18" i="1" a="1"/>
  <c r="H18" i="1" s="1"/>
  <c r="CL18" i="1" a="1"/>
  <c r="CL18" i="1" s="1"/>
  <c r="H44" i="18"/>
  <c r="H43" i="18" a="1"/>
  <c r="H43" i="18" s="1"/>
  <c r="I42" i="18"/>
  <c r="H45" i="18" a="1"/>
  <c r="H45" i="18" s="1"/>
  <c r="G51" i="18"/>
  <c r="G46" i="18" s="1"/>
  <c r="G50" i="18" a="1"/>
  <c r="G50" i="18" s="1"/>
  <c r="H47" i="18"/>
  <c r="G48" i="18" a="1"/>
  <c r="G48" i="18" s="1"/>
  <c r="G49" i="18"/>
  <c r="F63" i="18"/>
  <c r="F58" i="18" s="1"/>
  <c r="F60" i="18" a="1"/>
  <c r="F60" i="18" s="1"/>
  <c r="F61" i="18"/>
  <c r="F62" i="18" a="1"/>
  <c r="F62" i="18" s="1"/>
  <c r="G59" i="18"/>
  <c r="X100" i="18"/>
  <c r="E90" i="18" a="1"/>
  <c r="E90" i="18" s="1"/>
  <c r="X102" i="18"/>
  <c r="L28" i="28"/>
  <c r="CX14" i="1"/>
  <c r="CM16" i="1"/>
  <c r="CN16" i="1" s="1"/>
  <c r="CO16" i="1" s="1"/>
  <c r="CP16" i="1" s="1"/>
  <c r="CQ16" i="1" s="1"/>
  <c r="CR16" i="1" s="1"/>
  <c r="CS16" i="1" s="1"/>
  <c r="CT16" i="1" s="1"/>
  <c r="CU16" i="1" s="1"/>
  <c r="CV16" i="1" s="1"/>
  <c r="CW16" i="1" s="1"/>
  <c r="CX16" i="1" s="1"/>
  <c r="DA20" i="1"/>
  <c r="R18" i="1" a="1"/>
  <c r="R18" i="1" s="1"/>
  <c r="B18" i="1"/>
  <c r="S16" i="1"/>
  <c r="W16" i="1"/>
  <c r="AB14" i="1"/>
  <c r="X14" i="1"/>
  <c r="AC12" i="1"/>
  <c r="AG12" i="1"/>
  <c r="AR10" i="1"/>
  <c r="AV10" i="1"/>
  <c r="AV8" i="1"/>
  <c r="AR8" i="1"/>
  <c r="T14" i="25"/>
  <c r="C13" i="25" a="1"/>
  <c r="C13" i="25" s="1"/>
  <c r="R15" i="27"/>
  <c r="C14" i="27" a="1"/>
  <c r="C14" i="27" s="1"/>
  <c r="B14" i="27" a="1"/>
  <c r="B14" i="27" s="1"/>
  <c r="E76" i="18" a="1"/>
  <c r="E76" i="18" s="1"/>
  <c r="F76" i="18" s="1"/>
  <c r="G76" i="18" s="1"/>
  <c r="H76" i="18" s="1"/>
  <c r="I76" i="18" s="1"/>
  <c r="J76" i="18" s="1"/>
  <c r="K76" i="18" s="1"/>
  <c r="L76" i="18" s="1"/>
  <c r="M76" i="18" s="1"/>
  <c r="N76" i="18" s="1"/>
  <c r="O76" i="18" s="1"/>
  <c r="P76" i="18" s="1"/>
  <c r="J33" i="18" a="1"/>
  <c r="J33" i="18" s="1"/>
  <c r="J32" i="18"/>
  <c r="K30" i="18"/>
  <c r="J31" i="18" a="1"/>
  <c r="J31" i="18" s="1"/>
  <c r="I38" i="18" a="1"/>
  <c r="I38" i="18" s="1"/>
  <c r="I37" i="18"/>
  <c r="J35" i="18"/>
  <c r="I39" i="18"/>
  <c r="I34" i="18" s="1"/>
  <c r="I36" i="18" a="1"/>
  <c r="I36" i="18" s="1"/>
  <c r="I26" i="18" a="1"/>
  <c r="I26" i="18" s="1"/>
  <c r="I25" i="18"/>
  <c r="J23" i="18"/>
  <c r="I27" i="18"/>
  <c r="I22" i="18" s="1"/>
  <c r="I24" i="18" a="1"/>
  <c r="I24" i="18" s="1"/>
  <c r="J19" i="18" a="1"/>
  <c r="J19" i="18" s="1"/>
  <c r="J21" i="18" a="1"/>
  <c r="J21" i="18" s="1"/>
  <c r="K18" i="18"/>
  <c r="J20" i="18"/>
  <c r="I14" i="18" a="1"/>
  <c r="I14" i="18" s="1"/>
  <c r="I15" i="18"/>
  <c r="J11" i="18"/>
  <c r="J13" i="18" s="1"/>
  <c r="J30" i="28"/>
  <c r="K29" i="28"/>
  <c r="J13" i="28"/>
  <c r="K12" i="28"/>
  <c r="L12" i="28" s="1"/>
  <c r="O28" i="28"/>
  <c r="O12" i="28"/>
  <c r="R27" i="28"/>
  <c r="U12" i="28"/>
  <c r="D11" i="28" a="1"/>
  <c r="D11" i="28" s="1"/>
  <c r="D27" i="28" a="1"/>
  <c r="D27" i="28" s="1"/>
  <c r="T16" i="27"/>
  <c r="T17" i="27" s="1"/>
  <c r="R28" i="27"/>
  <c r="B27" i="27" a="1"/>
  <c r="B27" i="27" s="1"/>
  <c r="W15" i="27"/>
  <c r="T27" i="27"/>
  <c r="C27" i="27" s="1" a="1"/>
  <c r="C27" i="27" s="1"/>
  <c r="Y15" i="25"/>
  <c r="V26" i="25"/>
  <c r="C26" i="25" s="1" a="1"/>
  <c r="C26" i="25" s="1"/>
  <c r="T27" i="25"/>
  <c r="B26" i="25" a="1"/>
  <c r="B26" i="25" s="1"/>
  <c r="G20" i="1" l="1" a="1"/>
  <c r="G20" i="1" s="1"/>
  <c r="F20" i="1" a="1"/>
  <c r="F20" i="1" s="1"/>
  <c r="H20" i="1" a="1"/>
  <c r="H20" i="1" s="1"/>
  <c r="CL20" i="1" a="1"/>
  <c r="CL20" i="1" s="1"/>
  <c r="X112" i="18"/>
  <c r="E102" i="18" a="1"/>
  <c r="E102" i="18" s="1"/>
  <c r="X114" i="18"/>
  <c r="E93" i="18" a="1"/>
  <c r="E93" i="18" s="1"/>
  <c r="F90" i="18"/>
  <c r="E95" i="18"/>
  <c r="E92" i="18"/>
  <c r="E91" i="18" a="1"/>
  <c r="E91" i="18" s="1"/>
  <c r="H55" i="18" a="1"/>
  <c r="H55" i="18" s="1"/>
  <c r="I54" i="18"/>
  <c r="H56" i="18"/>
  <c r="H57" i="18" a="1"/>
  <c r="H57" i="18" s="1"/>
  <c r="H51" i="18"/>
  <c r="H46" i="18" s="1"/>
  <c r="H48" i="18" a="1"/>
  <c r="H48" i="18" s="1"/>
  <c r="H49" i="18"/>
  <c r="H50" i="18" a="1"/>
  <c r="H50" i="18" s="1"/>
  <c r="I47" i="18"/>
  <c r="I43" i="18" a="1"/>
  <c r="I43" i="18" s="1"/>
  <c r="J42" i="18"/>
  <c r="I45" i="18" a="1"/>
  <c r="I45" i="18" s="1"/>
  <c r="I44" i="18"/>
  <c r="F80" i="18"/>
  <c r="F79" i="18" a="1"/>
  <c r="F79" i="18" s="1"/>
  <c r="F81" i="18" a="1"/>
  <c r="F81" i="18" s="1"/>
  <c r="G78" i="18"/>
  <c r="E87" i="18"/>
  <c r="E82" i="18" s="1"/>
  <c r="E85" i="18"/>
  <c r="E84" i="18" a="1"/>
  <c r="E84" i="18" s="1"/>
  <c r="E86" i="18" a="1"/>
  <c r="E86" i="18" s="1"/>
  <c r="F83" i="18"/>
  <c r="G60" i="18" a="1"/>
  <c r="G60" i="18" s="1"/>
  <c r="G61" i="18"/>
  <c r="G62" i="18" a="1"/>
  <c r="G62" i="18" s="1"/>
  <c r="H59" i="18"/>
  <c r="G63" i="18"/>
  <c r="G58" i="18" s="1"/>
  <c r="L29" i="28"/>
  <c r="AB16" i="1"/>
  <c r="X16" i="1"/>
  <c r="W18" i="1"/>
  <c r="S18" i="1"/>
  <c r="AH12" i="1"/>
  <c r="AL12" i="1"/>
  <c r="CM18" i="1"/>
  <c r="CN18" i="1" s="1"/>
  <c r="CO18" i="1" s="1"/>
  <c r="CP18" i="1" s="1"/>
  <c r="CQ18" i="1" s="1"/>
  <c r="CR18" i="1" s="1"/>
  <c r="CS18" i="1" s="1"/>
  <c r="CT18" i="1" s="1"/>
  <c r="CU18" i="1" s="1"/>
  <c r="CV18" i="1" s="1"/>
  <c r="CW18" i="1" s="1"/>
  <c r="R20" i="1" a="1"/>
  <c r="R20" i="1" s="1"/>
  <c r="B20" i="1"/>
  <c r="DA22" i="1"/>
  <c r="AG14" i="1"/>
  <c r="AC14" i="1"/>
  <c r="BA10" i="1"/>
  <c r="AW10" i="1"/>
  <c r="AW8" i="1"/>
  <c r="BA8" i="1"/>
  <c r="T15" i="25"/>
  <c r="C14" i="25" a="1"/>
  <c r="C14" i="25" s="1"/>
  <c r="B14" i="25" a="1"/>
  <c r="B14" i="25" s="1"/>
  <c r="R16" i="27"/>
  <c r="C15" i="27" a="1"/>
  <c r="C15" i="27" s="1"/>
  <c r="B15" i="27" a="1"/>
  <c r="B15" i="27" s="1"/>
  <c r="E88" i="18" a="1"/>
  <c r="E88" i="18" s="1"/>
  <c r="F88" i="18" s="1"/>
  <c r="G88" i="18" s="1"/>
  <c r="H88" i="18" s="1"/>
  <c r="I88" i="18" s="1"/>
  <c r="J88" i="18" s="1"/>
  <c r="K88" i="18" s="1"/>
  <c r="L88" i="18" s="1"/>
  <c r="M88" i="18" s="1"/>
  <c r="N88" i="18" s="1"/>
  <c r="O88" i="18" s="1"/>
  <c r="P88" i="18" s="1"/>
  <c r="J36" i="18" a="1"/>
  <c r="J36" i="18" s="1"/>
  <c r="K35" i="18"/>
  <c r="J38" i="18" a="1"/>
  <c r="J38" i="18" s="1"/>
  <c r="J39" i="18"/>
  <c r="J34" i="18" s="1"/>
  <c r="J37" i="18"/>
  <c r="K33" i="18" a="1"/>
  <c r="K33" i="18" s="1"/>
  <c r="K32" i="18"/>
  <c r="K31" i="18" a="1"/>
  <c r="K31" i="18" s="1"/>
  <c r="L30" i="18"/>
  <c r="K21" i="18" a="1"/>
  <c r="K21" i="18" s="1"/>
  <c r="K19" i="18" a="1"/>
  <c r="K19" i="18" s="1"/>
  <c r="K20" i="18"/>
  <c r="L18" i="18"/>
  <c r="J25" i="18"/>
  <c r="J24" i="18" a="1"/>
  <c r="J24" i="18" s="1"/>
  <c r="K23" i="18"/>
  <c r="J27" i="18"/>
  <c r="J22" i="18" s="1"/>
  <c r="J26" i="18" a="1"/>
  <c r="J26" i="18" s="1"/>
  <c r="J14" i="18" a="1"/>
  <c r="J14" i="18" s="1"/>
  <c r="J15" i="18"/>
  <c r="K11" i="18"/>
  <c r="K13" i="18" s="1"/>
  <c r="K30" i="28"/>
  <c r="J14" i="28"/>
  <c r="K13" i="28"/>
  <c r="L13" i="28" s="1"/>
  <c r="O29" i="28"/>
  <c r="O13" i="28"/>
  <c r="R28" i="28"/>
  <c r="U13" i="28"/>
  <c r="D28" i="28" a="1"/>
  <c r="D28" i="28" s="1"/>
  <c r="D12" i="28" a="1"/>
  <c r="D12" i="28" s="1"/>
  <c r="T28" i="27"/>
  <c r="C28" i="27" s="1" a="1"/>
  <c r="C28" i="27" s="1"/>
  <c r="T18" i="27"/>
  <c r="W16" i="27"/>
  <c r="R29" i="27"/>
  <c r="B28" i="27" a="1"/>
  <c r="B28" i="27" s="1"/>
  <c r="Y16" i="25"/>
  <c r="T28" i="25"/>
  <c r="B27" i="25" a="1"/>
  <c r="B27" i="25" s="1"/>
  <c r="V27" i="25"/>
  <c r="C27" i="25" s="1" a="1"/>
  <c r="C27" i="25" s="1"/>
  <c r="F84" i="18" l="1" a="1"/>
  <c r="F84" i="18" s="1"/>
  <c r="F85" i="18"/>
  <c r="F86" i="18" a="1"/>
  <c r="F86" i="18" s="1"/>
  <c r="G83" i="18"/>
  <c r="F87" i="18"/>
  <c r="F82" i="18" s="1"/>
  <c r="E97" i="18"/>
  <c r="F95" i="18"/>
  <c r="E96" i="18" a="1"/>
  <c r="E96" i="18" s="1"/>
  <c r="E98" i="18" a="1"/>
  <c r="E98" i="18" s="1"/>
  <c r="E99" i="18"/>
  <c r="E94" i="18" s="1"/>
  <c r="X124" i="18"/>
  <c r="E114" i="18" a="1"/>
  <c r="E114" i="18" s="1"/>
  <c r="E103" i="18" a="1"/>
  <c r="E103" i="18" s="1"/>
  <c r="F102" i="18"/>
  <c r="E105" i="18" a="1"/>
  <c r="E105" i="18" s="1"/>
  <c r="E104" i="18"/>
  <c r="E107" i="18"/>
  <c r="F93" i="18" a="1"/>
  <c r="F93" i="18" s="1"/>
  <c r="G90" i="18"/>
  <c r="F91" i="18" a="1"/>
  <c r="F91" i="18" s="1"/>
  <c r="F92" i="18"/>
  <c r="G79" i="18" a="1"/>
  <c r="G79" i="18" s="1"/>
  <c r="G80" i="18"/>
  <c r="H78" i="18"/>
  <c r="G81" i="18" a="1"/>
  <c r="G81" i="18" s="1"/>
  <c r="J47" i="18"/>
  <c r="I49" i="18"/>
  <c r="I51" i="18"/>
  <c r="I46" i="18" s="1"/>
  <c r="I50" i="18" a="1"/>
  <c r="I50" i="18" s="1"/>
  <c r="I48" i="18" a="1"/>
  <c r="I48" i="18" s="1"/>
  <c r="G22" i="1" a="1"/>
  <c r="G22" i="1" s="1"/>
  <c r="F22" i="1" a="1"/>
  <c r="F22" i="1" s="1"/>
  <c r="H22" i="1" a="1"/>
  <c r="H22" i="1" s="1"/>
  <c r="CL22" i="1" a="1"/>
  <c r="CL22" i="1" s="1"/>
  <c r="J45" i="18" a="1"/>
  <c r="J45" i="18" s="1"/>
  <c r="J44" i="18"/>
  <c r="K42" i="18"/>
  <c r="J43" i="18" a="1"/>
  <c r="J43" i="18" s="1"/>
  <c r="H63" i="18"/>
  <c r="H58" i="18" s="1"/>
  <c r="H60" i="18" a="1"/>
  <c r="H60" i="18" s="1"/>
  <c r="H61" i="18"/>
  <c r="H62" i="18" a="1"/>
  <c r="H62" i="18" s="1"/>
  <c r="I59" i="18"/>
  <c r="J54" i="18"/>
  <c r="I57" i="18" a="1"/>
  <c r="I57" i="18" s="1"/>
  <c r="I56" i="18"/>
  <c r="I55" i="18" a="1"/>
  <c r="I55" i="18" s="1"/>
  <c r="L30" i="28"/>
  <c r="CX18" i="1"/>
  <c r="AQ12" i="1"/>
  <c r="AM12" i="1"/>
  <c r="AH14" i="1"/>
  <c r="AL14" i="1"/>
  <c r="DA24" i="1"/>
  <c r="R22" i="1" a="1"/>
  <c r="R22" i="1" s="1"/>
  <c r="B22" i="1"/>
  <c r="X18" i="1"/>
  <c r="AB18" i="1"/>
  <c r="CM20" i="1"/>
  <c r="CN20" i="1" s="1"/>
  <c r="CO20" i="1" s="1"/>
  <c r="CP20" i="1" s="1"/>
  <c r="CQ20" i="1" s="1"/>
  <c r="CR20" i="1" s="1"/>
  <c r="CS20" i="1" s="1"/>
  <c r="CT20" i="1" s="1"/>
  <c r="CU20" i="1" s="1"/>
  <c r="CV20" i="1" s="1"/>
  <c r="CW20" i="1" s="1"/>
  <c r="S20" i="1"/>
  <c r="W20" i="1"/>
  <c r="AG16" i="1"/>
  <c r="AC16" i="1"/>
  <c r="BB10" i="1"/>
  <c r="BF10" i="1"/>
  <c r="BF8" i="1"/>
  <c r="BB8" i="1"/>
  <c r="T16" i="25"/>
  <c r="C15" i="25" a="1"/>
  <c r="C15" i="25" s="1"/>
  <c r="B15" i="25" a="1"/>
  <c r="B15" i="25" s="1"/>
  <c r="R17" i="27"/>
  <c r="C16" i="27" a="1"/>
  <c r="C16" i="27" s="1"/>
  <c r="B16" i="27" a="1"/>
  <c r="B16" i="27" s="1"/>
  <c r="E100" i="18" a="1"/>
  <c r="E100" i="18" s="1"/>
  <c r="F100" i="18" s="1"/>
  <c r="G100" i="18" s="1"/>
  <c r="H100" i="18" s="1"/>
  <c r="I100" i="18" s="1"/>
  <c r="J100" i="18" s="1"/>
  <c r="K100" i="18" s="1"/>
  <c r="L100" i="18" s="1"/>
  <c r="M100" i="18" s="1"/>
  <c r="N100" i="18" s="1"/>
  <c r="O100" i="18" s="1"/>
  <c r="P100" i="18" s="1"/>
  <c r="L32" i="18"/>
  <c r="L31" i="18" a="1"/>
  <c r="L31" i="18" s="1"/>
  <c r="M30" i="18"/>
  <c r="L33" i="18" a="1"/>
  <c r="L33" i="18" s="1"/>
  <c r="K36" i="18" a="1"/>
  <c r="K36" i="18" s="1"/>
  <c r="L35" i="18"/>
  <c r="K39" i="18"/>
  <c r="K34" i="18" s="1"/>
  <c r="K38" i="18" a="1"/>
  <c r="K38" i="18" s="1"/>
  <c r="K37" i="18"/>
  <c r="K24" i="18" a="1"/>
  <c r="K24" i="18" s="1"/>
  <c r="K25" i="18"/>
  <c r="L23" i="18"/>
  <c r="K27" i="18"/>
  <c r="K22" i="18" s="1"/>
  <c r="K26" i="18" a="1"/>
  <c r="K26" i="18" s="1"/>
  <c r="L20" i="18"/>
  <c r="M18" i="18"/>
  <c r="L21" i="18" a="1"/>
  <c r="L21" i="18" s="1"/>
  <c r="L19" i="18" a="1"/>
  <c r="L19" i="18" s="1"/>
  <c r="K14" i="18" a="1"/>
  <c r="K14" i="18" s="1"/>
  <c r="K15" i="18"/>
  <c r="L11" i="18"/>
  <c r="L13" i="18" s="1"/>
  <c r="K31" i="28"/>
  <c r="J15" i="28"/>
  <c r="K15" i="28" s="1"/>
  <c r="L15" i="28" s="1"/>
  <c r="C7" i="30" s="1"/>
  <c r="D7" i="30" s="1"/>
  <c r="K14" i="28"/>
  <c r="L14" i="28" s="1"/>
  <c r="O30" i="28"/>
  <c r="O14" i="28"/>
  <c r="R29" i="28"/>
  <c r="U14" i="28"/>
  <c r="D13" i="28" a="1"/>
  <c r="D13" i="28" s="1"/>
  <c r="D29" i="28" a="1"/>
  <c r="D29" i="28" s="1"/>
  <c r="T29" i="27"/>
  <c r="C29" i="27" s="1" a="1"/>
  <c r="C29" i="27" s="1"/>
  <c r="B29" i="27" a="1"/>
  <c r="B29" i="27" s="1"/>
  <c r="R30" i="27"/>
  <c r="W17" i="27"/>
  <c r="T19" i="27"/>
  <c r="V28" i="25"/>
  <c r="C28" i="25" s="1" a="1"/>
  <c r="C28" i="25" s="1"/>
  <c r="T29" i="25"/>
  <c r="B28" i="25" a="1"/>
  <c r="B28" i="25" s="1"/>
  <c r="Y17" i="25"/>
  <c r="H81" i="18" l="1" a="1"/>
  <c r="H81" i="18" s="1"/>
  <c r="I78" i="18"/>
  <c r="H79" i="18" a="1"/>
  <c r="H79" i="18" s="1"/>
  <c r="H80" i="18"/>
  <c r="J56" i="18"/>
  <c r="J55" i="18" a="1"/>
  <c r="J55" i="18" s="1"/>
  <c r="J57" i="18" a="1"/>
  <c r="J57" i="18" s="1"/>
  <c r="K54" i="18"/>
  <c r="F96" i="18" a="1"/>
  <c r="F96" i="18" s="1"/>
  <c r="F97" i="18"/>
  <c r="F98" i="18" a="1"/>
  <c r="F98" i="18" s="1"/>
  <c r="G95" i="18"/>
  <c r="F99" i="18"/>
  <c r="F94" i="18" s="1"/>
  <c r="F24" i="1" a="1"/>
  <c r="F24" i="1" s="1"/>
  <c r="G24" i="1" a="1"/>
  <c r="G24" i="1" s="1"/>
  <c r="H24" i="1" a="1"/>
  <c r="H24" i="1" s="1"/>
  <c r="CL24" i="1" a="1"/>
  <c r="CL24" i="1" s="1"/>
  <c r="I62" i="18" a="1"/>
  <c r="I62" i="18" s="1"/>
  <c r="I61" i="18"/>
  <c r="I63" i="18"/>
  <c r="I58" i="18" s="1"/>
  <c r="I60" i="18" a="1"/>
  <c r="I60" i="18" s="1"/>
  <c r="J59" i="18"/>
  <c r="H90" i="18"/>
  <c r="G93" i="18" a="1"/>
  <c r="G93" i="18" s="1"/>
  <c r="G91" i="18" a="1"/>
  <c r="G91" i="18" s="1"/>
  <c r="G92" i="18"/>
  <c r="E109" i="18"/>
  <c r="E108" i="18" a="1"/>
  <c r="E108" i="18" s="1"/>
  <c r="F107" i="18"/>
  <c r="E110" i="18" a="1"/>
  <c r="E110" i="18" s="1"/>
  <c r="E111" i="18"/>
  <c r="E106" i="18" s="1"/>
  <c r="G85" i="18"/>
  <c r="H83" i="18"/>
  <c r="G86" i="18" a="1"/>
  <c r="G86" i="18" s="1"/>
  <c r="G87" i="18"/>
  <c r="G82" i="18" s="1"/>
  <c r="G84" i="18" a="1"/>
  <c r="G84" i="18" s="1"/>
  <c r="J48" i="18" a="1"/>
  <c r="J48" i="18" s="1"/>
  <c r="K47" i="18"/>
  <c r="J49" i="18"/>
  <c r="J51" i="18"/>
  <c r="J46" i="18" s="1"/>
  <c r="J50" i="18" a="1"/>
  <c r="J50" i="18" s="1"/>
  <c r="F105" i="18" a="1"/>
  <c r="F105" i="18" s="1"/>
  <c r="G102" i="18"/>
  <c r="F104" i="18"/>
  <c r="F103" i="18" a="1"/>
  <c r="F103" i="18" s="1"/>
  <c r="K45" i="18" a="1"/>
  <c r="K45" i="18" s="1"/>
  <c r="K44" i="18"/>
  <c r="L42" i="18"/>
  <c r="K43" i="18" a="1"/>
  <c r="K43" i="18" s="1"/>
  <c r="E116" i="18"/>
  <c r="E115" i="18" a="1"/>
  <c r="E115" i="18" s="1"/>
  <c r="F114" i="18"/>
  <c r="E117" i="18" a="1"/>
  <c r="E117" i="18" s="1"/>
  <c r="E119" i="18"/>
  <c r="L31" i="28"/>
  <c r="CX20" i="1"/>
  <c r="CM22" i="1"/>
  <c r="CN22" i="1" s="1"/>
  <c r="CO22" i="1" s="1"/>
  <c r="CP22" i="1" s="1"/>
  <c r="CQ22" i="1" s="1"/>
  <c r="CR22" i="1" s="1"/>
  <c r="CS22" i="1" s="1"/>
  <c r="CT22" i="1" s="1"/>
  <c r="CU22" i="1" s="1"/>
  <c r="CV22" i="1" s="1"/>
  <c r="CW22" i="1" s="1"/>
  <c r="AL16" i="1"/>
  <c r="AH16" i="1"/>
  <c r="X20" i="1"/>
  <c r="AB20" i="1"/>
  <c r="W22" i="1"/>
  <c r="S22" i="1"/>
  <c r="AM14" i="1"/>
  <c r="AQ14" i="1"/>
  <c r="AG18" i="1"/>
  <c r="AC18" i="1"/>
  <c r="DA26" i="1"/>
  <c r="B24" i="1"/>
  <c r="R24" i="1" a="1"/>
  <c r="R24" i="1" s="1"/>
  <c r="AR12" i="1"/>
  <c r="AV12" i="1"/>
  <c r="BK10" i="1"/>
  <c r="BG10" i="1"/>
  <c r="BG8" i="1"/>
  <c r="BK8" i="1"/>
  <c r="T17" i="25"/>
  <c r="C16" i="25" a="1"/>
  <c r="C16" i="25" s="1"/>
  <c r="B16" i="25" a="1"/>
  <c r="B16" i="25" s="1"/>
  <c r="C17" i="27" a="1"/>
  <c r="C17" i="27" s="1"/>
  <c r="R18" i="27"/>
  <c r="B17" i="27" a="1"/>
  <c r="B17" i="27" s="1"/>
  <c r="E124" i="18" a="1"/>
  <c r="E124" i="18" s="1"/>
  <c r="F124" i="18" s="1"/>
  <c r="G124" i="18" s="1"/>
  <c r="H124" i="18" s="1"/>
  <c r="I124" i="18" s="1"/>
  <c r="J124" i="18" s="1"/>
  <c r="K124" i="18" s="1"/>
  <c r="L124" i="18" s="1"/>
  <c r="M124" i="18" s="1"/>
  <c r="N124" i="18" s="1"/>
  <c r="O124" i="18" s="1"/>
  <c r="P124" i="18" s="1"/>
  <c r="E112" i="18" a="1"/>
  <c r="E112" i="18" s="1"/>
  <c r="F112" i="18" s="1"/>
  <c r="G112" i="18" s="1"/>
  <c r="H112" i="18" s="1"/>
  <c r="I112" i="18" s="1"/>
  <c r="J112" i="18" s="1"/>
  <c r="K112" i="18" s="1"/>
  <c r="L112" i="18" s="1"/>
  <c r="M112" i="18" s="1"/>
  <c r="N112" i="18" s="1"/>
  <c r="O112" i="18" s="1"/>
  <c r="P112" i="18" s="1"/>
  <c r="M35" i="18"/>
  <c r="L39" i="18"/>
  <c r="L34" i="18" s="1"/>
  <c r="L38" i="18" a="1"/>
  <c r="L38" i="18" s="1"/>
  <c r="L36" i="18" a="1"/>
  <c r="L36" i="18" s="1"/>
  <c r="L37" i="18"/>
  <c r="M32" i="18"/>
  <c r="M31" i="18" a="1"/>
  <c r="M31" i="18" s="1"/>
  <c r="N30" i="18"/>
  <c r="M33" i="18" a="1"/>
  <c r="M33" i="18" s="1"/>
  <c r="M20" i="18"/>
  <c r="M19" i="18" a="1"/>
  <c r="M19" i="18" s="1"/>
  <c r="M21" i="18" a="1"/>
  <c r="M21" i="18" s="1"/>
  <c r="N18" i="18"/>
  <c r="M23" i="18"/>
  <c r="L24" i="18" a="1"/>
  <c r="L24" i="18" s="1"/>
  <c r="L27" i="18"/>
  <c r="L22" i="18" s="1"/>
  <c r="L26" i="18" a="1"/>
  <c r="L26" i="18" s="1"/>
  <c r="L25" i="18"/>
  <c r="L14" i="18" a="1"/>
  <c r="L14" i="18" s="1"/>
  <c r="L15" i="18"/>
  <c r="M11" i="18"/>
  <c r="M13" i="18" s="1"/>
  <c r="K32" i="28"/>
  <c r="O31" i="28"/>
  <c r="O15" i="28"/>
  <c r="R30" i="28"/>
  <c r="U15" i="28"/>
  <c r="D30" i="28" a="1"/>
  <c r="D30" i="28" s="1"/>
  <c r="D14" i="28" a="1"/>
  <c r="D14" i="28" s="1"/>
  <c r="W18" i="27"/>
  <c r="R31" i="27"/>
  <c r="B30" i="27" a="1"/>
  <c r="B30" i="27" s="1"/>
  <c r="T30" i="27"/>
  <c r="C30" i="27" s="1" a="1"/>
  <c r="C30" i="27" s="1"/>
  <c r="T20" i="27"/>
  <c r="T30" i="25"/>
  <c r="B29" i="25" a="1"/>
  <c r="B29" i="25" s="1"/>
  <c r="Y18" i="25"/>
  <c r="V29" i="25"/>
  <c r="C29" i="25" s="1" a="1"/>
  <c r="C29" i="25" s="1"/>
  <c r="H92" i="18" l="1"/>
  <c r="H93" i="18" a="1"/>
  <c r="H93" i="18" s="1"/>
  <c r="I90" i="18"/>
  <c r="H91" i="18" a="1"/>
  <c r="H91" i="18" s="1"/>
  <c r="J62" i="18" a="1"/>
  <c r="J62" i="18" s="1"/>
  <c r="J61" i="18"/>
  <c r="J60" i="18" a="1"/>
  <c r="J60" i="18" s="1"/>
  <c r="K59" i="18"/>
  <c r="J63" i="18"/>
  <c r="J58" i="18" s="1"/>
  <c r="G26" i="1" a="1"/>
  <c r="G26" i="1" s="1"/>
  <c r="F26" i="1" a="1"/>
  <c r="F26" i="1" s="1"/>
  <c r="H26" i="1" a="1"/>
  <c r="H26" i="1" s="1"/>
  <c r="CL26" i="1" a="1"/>
  <c r="CL26" i="1" s="1"/>
  <c r="H86" i="18" a="1"/>
  <c r="H86" i="18" s="1"/>
  <c r="I83" i="18"/>
  <c r="H85" i="18"/>
  <c r="H87" i="18"/>
  <c r="H82" i="18" s="1"/>
  <c r="H84" i="18" a="1"/>
  <c r="H84" i="18" s="1"/>
  <c r="E120" i="18" a="1"/>
  <c r="E120" i="18" s="1"/>
  <c r="E121" i="18"/>
  <c r="F119" i="18"/>
  <c r="E123" i="18"/>
  <c r="E118" i="18" s="1"/>
  <c r="E122" i="18" a="1"/>
  <c r="E122" i="18" s="1"/>
  <c r="G107" i="18"/>
  <c r="F111" i="18"/>
  <c r="F106" i="18" s="1"/>
  <c r="F108" i="18" a="1"/>
  <c r="F108" i="18" s="1"/>
  <c r="F109" i="18"/>
  <c r="F110" i="18" a="1"/>
  <c r="F110" i="18" s="1"/>
  <c r="L54" i="18"/>
  <c r="K57" i="18" a="1"/>
  <c r="K57" i="18" s="1"/>
  <c r="K56" i="18"/>
  <c r="K55" i="18" a="1"/>
  <c r="K55" i="18" s="1"/>
  <c r="G103" i="18" a="1"/>
  <c r="G103" i="18" s="1"/>
  <c r="G104" i="18"/>
  <c r="G105" i="18" a="1"/>
  <c r="G105" i="18" s="1"/>
  <c r="H102" i="18"/>
  <c r="F117" i="18" a="1"/>
  <c r="F117" i="18" s="1"/>
  <c r="G114" i="18"/>
  <c r="F115" i="18" a="1"/>
  <c r="F115" i="18" s="1"/>
  <c r="F116" i="18"/>
  <c r="K48" i="18" a="1"/>
  <c r="K48" i="18" s="1"/>
  <c r="L47" i="18"/>
  <c r="K51" i="18"/>
  <c r="K46" i="18" s="1"/>
  <c r="K50" i="18" a="1"/>
  <c r="K50" i="18" s="1"/>
  <c r="K49" i="18"/>
  <c r="I81" i="18" a="1"/>
  <c r="I81" i="18" s="1"/>
  <c r="I80" i="18"/>
  <c r="J78" i="18"/>
  <c r="I79" i="18" a="1"/>
  <c r="I79" i="18" s="1"/>
  <c r="L45" i="18" a="1"/>
  <c r="L45" i="18" s="1"/>
  <c r="L43" i="18" a="1"/>
  <c r="L43" i="18" s="1"/>
  <c r="L44" i="18"/>
  <c r="M42" i="18"/>
  <c r="G97" i="18"/>
  <c r="H95" i="18"/>
  <c r="G96" i="18" a="1"/>
  <c r="G96" i="18" s="1"/>
  <c r="G98" i="18" a="1"/>
  <c r="G98" i="18" s="1"/>
  <c r="G99" i="18"/>
  <c r="G94" i="18" s="1"/>
  <c r="L32" i="28"/>
  <c r="AB22" i="1"/>
  <c r="X22" i="1"/>
  <c r="S24" i="1"/>
  <c r="W24" i="1"/>
  <c r="CM24" i="1"/>
  <c r="CN24" i="1" s="1"/>
  <c r="CO24" i="1" s="1"/>
  <c r="CP24" i="1" s="1"/>
  <c r="CQ24" i="1" s="1"/>
  <c r="CR24" i="1" s="1"/>
  <c r="CS24" i="1" s="1"/>
  <c r="CT24" i="1" s="1"/>
  <c r="CU24" i="1" s="1"/>
  <c r="CV24" i="1" s="1"/>
  <c r="CW24" i="1" s="1"/>
  <c r="AC20" i="1"/>
  <c r="AG20" i="1"/>
  <c r="B26" i="1"/>
  <c r="DA28" i="1"/>
  <c r="R26" i="1" a="1"/>
  <c r="R26" i="1" s="1"/>
  <c r="AH18" i="1"/>
  <c r="AL18" i="1"/>
  <c r="AQ16" i="1"/>
  <c r="AM16" i="1"/>
  <c r="BA12" i="1"/>
  <c r="AW12" i="1"/>
  <c r="AR14" i="1"/>
  <c r="AV14" i="1"/>
  <c r="CX22" i="1"/>
  <c r="BP10" i="1"/>
  <c r="BL10" i="1"/>
  <c r="BP8" i="1"/>
  <c r="BL8" i="1"/>
  <c r="T18" i="25"/>
  <c r="C17" i="25" a="1"/>
  <c r="C17" i="25" s="1"/>
  <c r="B17" i="25" a="1"/>
  <c r="B17" i="25" s="1"/>
  <c r="C18" i="27" a="1"/>
  <c r="C18" i="27" s="1"/>
  <c r="B18" i="27" a="1"/>
  <c r="B18" i="27" s="1"/>
  <c r="R19" i="27"/>
  <c r="O30" i="18"/>
  <c r="N33" i="18" a="1"/>
  <c r="N33" i="18" s="1"/>
  <c r="N31" i="18" a="1"/>
  <c r="N31" i="18" s="1"/>
  <c r="N32" i="18"/>
  <c r="M39" i="18"/>
  <c r="M34" i="18" s="1"/>
  <c r="M38" i="18" a="1"/>
  <c r="M38" i="18" s="1"/>
  <c r="M37" i="18"/>
  <c r="M36" i="18" a="1"/>
  <c r="M36" i="18" s="1"/>
  <c r="N35" i="18"/>
  <c r="M27" i="18"/>
  <c r="M22" i="18" s="1"/>
  <c r="M26" i="18" a="1"/>
  <c r="M26" i="18" s="1"/>
  <c r="M25" i="18"/>
  <c r="M24" i="18" a="1"/>
  <c r="M24" i="18" s="1"/>
  <c r="N23" i="18"/>
  <c r="N20" i="18"/>
  <c r="N19" i="18" a="1"/>
  <c r="N19" i="18" s="1"/>
  <c r="N21" i="18" a="1"/>
  <c r="N21" i="18" s="1"/>
  <c r="O18" i="18"/>
  <c r="M14" i="18" a="1"/>
  <c r="M14" i="18" s="1"/>
  <c r="M15" i="18"/>
  <c r="N11" i="18"/>
  <c r="N13" i="18" s="1"/>
  <c r="K33" i="28"/>
  <c r="O32" i="28"/>
  <c r="D15" i="28" a="1"/>
  <c r="D15" i="28" s="1"/>
  <c r="R31" i="28"/>
  <c r="D31" i="28" a="1"/>
  <c r="D31" i="28" s="1"/>
  <c r="T31" i="27"/>
  <c r="C31" i="27" s="1" a="1"/>
  <c r="C31" i="27" s="1"/>
  <c r="R32" i="27"/>
  <c r="B31" i="27" a="1"/>
  <c r="B31" i="27" s="1"/>
  <c r="W19" i="27"/>
  <c r="V30" i="25"/>
  <c r="C30" i="25" s="1" a="1"/>
  <c r="C30" i="25" s="1"/>
  <c r="Y19" i="25"/>
  <c r="T31" i="25"/>
  <c r="B30" i="25" a="1"/>
  <c r="B30" i="25" s="1"/>
  <c r="G111" i="18" l="1"/>
  <c r="G106" i="18" s="1"/>
  <c r="H107" i="18"/>
  <c r="G109" i="18"/>
  <c r="G110" i="18" a="1"/>
  <c r="G110" i="18" s="1"/>
  <c r="G108" i="18" a="1"/>
  <c r="G108" i="18" s="1"/>
  <c r="F28" i="1" a="1"/>
  <c r="F28" i="1" s="1"/>
  <c r="G28" i="1" a="1"/>
  <c r="G28" i="1" s="1"/>
  <c r="H28" i="1" a="1"/>
  <c r="H28" i="1" s="1"/>
  <c r="CL28" i="1" a="1"/>
  <c r="CL28" i="1" s="1"/>
  <c r="L50" i="18" a="1"/>
  <c r="L50" i="18" s="1"/>
  <c r="L48" i="18" a="1"/>
  <c r="L48" i="18" s="1"/>
  <c r="L49" i="18"/>
  <c r="M47" i="18"/>
  <c r="L51" i="18"/>
  <c r="L46" i="18" s="1"/>
  <c r="N42" i="18"/>
  <c r="M44" i="18"/>
  <c r="M45" i="18" a="1"/>
  <c r="M45" i="18" s="1"/>
  <c r="M43" i="18" a="1"/>
  <c r="M43" i="18" s="1"/>
  <c r="L56" i="18"/>
  <c r="L55" i="18" a="1"/>
  <c r="L55" i="18" s="1"/>
  <c r="M54" i="18"/>
  <c r="L57" i="18" a="1"/>
  <c r="L57" i="18" s="1"/>
  <c r="F120" i="18" a="1"/>
  <c r="F120" i="18" s="1"/>
  <c r="F121" i="18"/>
  <c r="F122" i="18" a="1"/>
  <c r="F122" i="18" s="1"/>
  <c r="G119" i="18"/>
  <c r="F123" i="18"/>
  <c r="F118" i="18" s="1"/>
  <c r="G115" i="18" a="1"/>
  <c r="G115" i="18" s="1"/>
  <c r="H114" i="18"/>
  <c r="G117" i="18" a="1"/>
  <c r="G117" i="18" s="1"/>
  <c r="G116" i="18"/>
  <c r="I84" i="18" a="1"/>
  <c r="I84" i="18" s="1"/>
  <c r="I87" i="18"/>
  <c r="I82" i="18" s="1"/>
  <c r="I86" i="18" a="1"/>
  <c r="I86" i="18" s="1"/>
  <c r="J83" i="18"/>
  <c r="I85" i="18"/>
  <c r="J90" i="18"/>
  <c r="I91" i="18" a="1"/>
  <c r="I91" i="18" s="1"/>
  <c r="I93" i="18" a="1"/>
  <c r="I93" i="18" s="1"/>
  <c r="I92" i="18"/>
  <c r="H99" i="18"/>
  <c r="H94" i="18" s="1"/>
  <c r="H96" i="18" a="1"/>
  <c r="H96" i="18" s="1"/>
  <c r="I95" i="18"/>
  <c r="H97" i="18"/>
  <c r="H98" i="18" a="1"/>
  <c r="H98" i="18" s="1"/>
  <c r="K62" i="18" a="1"/>
  <c r="K62" i="18" s="1"/>
  <c r="K61" i="18"/>
  <c r="K60" i="18" a="1"/>
  <c r="K60" i="18" s="1"/>
  <c r="L59" i="18"/>
  <c r="K63" i="18"/>
  <c r="K58" i="18" s="1"/>
  <c r="J81" i="18" a="1"/>
  <c r="J81" i="18" s="1"/>
  <c r="J80" i="18"/>
  <c r="J79" i="18" a="1"/>
  <c r="J79" i="18" s="1"/>
  <c r="K78" i="18"/>
  <c r="H105" i="18" a="1"/>
  <c r="H105" i="18" s="1"/>
  <c r="I102" i="18"/>
  <c r="H103" i="18" a="1"/>
  <c r="H103" i="18" s="1"/>
  <c r="H104" i="18"/>
  <c r="L33" i="28"/>
  <c r="AV16" i="1"/>
  <c r="AR16" i="1"/>
  <c r="AL20" i="1"/>
  <c r="AH20" i="1"/>
  <c r="AM18" i="1"/>
  <c r="AQ18" i="1"/>
  <c r="CX24" i="1"/>
  <c r="BA14" i="1"/>
  <c r="AW14" i="1"/>
  <c r="S26" i="1"/>
  <c r="W26" i="1"/>
  <c r="AB24" i="1"/>
  <c r="X24" i="1"/>
  <c r="R28" i="1" a="1"/>
  <c r="R28" i="1" s="1"/>
  <c r="B28" i="1"/>
  <c r="DA30" i="1"/>
  <c r="CM26" i="1"/>
  <c r="CN26" i="1" s="1"/>
  <c r="CO26" i="1" s="1"/>
  <c r="CP26" i="1" s="1"/>
  <c r="CQ26" i="1" s="1"/>
  <c r="CR26" i="1" s="1"/>
  <c r="CS26" i="1" s="1"/>
  <c r="CT26" i="1" s="1"/>
  <c r="CU26" i="1" s="1"/>
  <c r="CV26" i="1" s="1"/>
  <c r="CW26" i="1" s="1"/>
  <c r="BF12" i="1"/>
  <c r="BB12" i="1"/>
  <c r="AC22" i="1"/>
  <c r="AG22" i="1"/>
  <c r="BU10" i="1"/>
  <c r="BV10" i="1" s="1"/>
  <c r="BQ10" i="1"/>
  <c r="BU8" i="1"/>
  <c r="BV8" i="1" s="1"/>
  <c r="BQ8" i="1"/>
  <c r="T19" i="25"/>
  <c r="C18" i="25" a="1"/>
  <c r="C18" i="25" s="1"/>
  <c r="B18" i="25" a="1"/>
  <c r="B18" i="25" s="1"/>
  <c r="C19" i="27" a="1"/>
  <c r="C19" i="27" s="1"/>
  <c r="B19" i="27" a="1"/>
  <c r="B19" i="27" s="1"/>
  <c r="R20" i="27"/>
  <c r="N36" i="18" a="1"/>
  <c r="N36" i="18" s="1"/>
  <c r="O35" i="18"/>
  <c r="N37" i="18"/>
  <c r="N38" i="18" a="1"/>
  <c r="N38" i="18" s="1"/>
  <c r="N39" i="18"/>
  <c r="N34" i="18" s="1"/>
  <c r="O33" i="18" a="1"/>
  <c r="O33" i="18" s="1"/>
  <c r="O31" i="18" a="1"/>
  <c r="O31" i="18" s="1"/>
  <c r="P30" i="18"/>
  <c r="O32" i="18"/>
  <c r="O21" i="18" a="1"/>
  <c r="O21" i="18" s="1"/>
  <c r="O20" i="18"/>
  <c r="P18" i="18"/>
  <c r="O19" i="18" a="1"/>
  <c r="O19" i="18" s="1"/>
  <c r="N27" i="18"/>
  <c r="N22" i="18" s="1"/>
  <c r="N26" i="18" a="1"/>
  <c r="N26" i="18" s="1"/>
  <c r="N24" i="18" a="1"/>
  <c r="N24" i="18" s="1"/>
  <c r="O23" i="18"/>
  <c r="N25" i="18"/>
  <c r="N14" i="18" a="1"/>
  <c r="N14" i="18" s="1"/>
  <c r="N15" i="18"/>
  <c r="O11" i="18"/>
  <c r="O13" i="18" s="1"/>
  <c r="K34" i="28"/>
  <c r="J35" i="28"/>
  <c r="O33" i="28"/>
  <c r="R32" i="28"/>
  <c r="D32" i="28" a="1"/>
  <c r="D32" i="28" s="1"/>
  <c r="W20" i="27"/>
  <c r="T32" i="27"/>
  <c r="C32" i="27" s="1" a="1"/>
  <c r="C32" i="27" s="1"/>
  <c r="R33" i="27"/>
  <c r="B32" i="27" a="1"/>
  <c r="B32" i="27" s="1"/>
  <c r="T32" i="25"/>
  <c r="B31" i="25" a="1"/>
  <c r="B31" i="25" s="1"/>
  <c r="V31" i="25"/>
  <c r="C31" i="25" s="1" a="1"/>
  <c r="C31" i="25" s="1"/>
  <c r="Y20" i="25"/>
  <c r="J85" i="18" l="1"/>
  <c r="J84" i="18" a="1"/>
  <c r="J84" i="18" s="1"/>
  <c r="J87" i="18"/>
  <c r="J82" i="18" s="1"/>
  <c r="K83" i="18"/>
  <c r="J86" i="18" a="1"/>
  <c r="J86" i="18" s="1"/>
  <c r="J95" i="18"/>
  <c r="I96" i="18" a="1"/>
  <c r="I96" i="18" s="1"/>
  <c r="I97" i="18"/>
  <c r="I99" i="18"/>
  <c r="I94" i="18" s="1"/>
  <c r="I98" i="18" a="1"/>
  <c r="I98" i="18" s="1"/>
  <c r="I103" i="18" a="1"/>
  <c r="I103" i="18" s="1"/>
  <c r="I104" i="18"/>
  <c r="I105" i="18" a="1"/>
  <c r="I105" i="18" s="1"/>
  <c r="J102" i="18"/>
  <c r="K80" i="18"/>
  <c r="L78" i="18"/>
  <c r="K79" i="18" a="1"/>
  <c r="K79" i="18" s="1"/>
  <c r="K81" i="18" a="1"/>
  <c r="K81" i="18" s="1"/>
  <c r="H116" i="18"/>
  <c r="H115" i="18" a="1"/>
  <c r="H115" i="18" s="1"/>
  <c r="H117" i="18" a="1"/>
  <c r="H117" i="18" s="1"/>
  <c r="I114" i="18"/>
  <c r="M56" i="18"/>
  <c r="M55" i="18" a="1"/>
  <c r="M55" i="18" s="1"/>
  <c r="N54" i="18"/>
  <c r="M57" i="18" a="1"/>
  <c r="M57" i="18" s="1"/>
  <c r="G30" i="1" a="1"/>
  <c r="G30" i="1" s="1"/>
  <c r="F30" i="1" a="1"/>
  <c r="F30" i="1" s="1"/>
  <c r="H30" i="1" a="1"/>
  <c r="H30" i="1" s="1"/>
  <c r="CL30" i="1" a="1"/>
  <c r="CL30" i="1" s="1"/>
  <c r="N43" i="18" a="1"/>
  <c r="N43" i="18" s="1"/>
  <c r="N45" i="18" a="1"/>
  <c r="N45" i="18" s="1"/>
  <c r="O42" i="18"/>
  <c r="N44" i="18"/>
  <c r="G120" i="18" a="1"/>
  <c r="G120" i="18" s="1"/>
  <c r="G121" i="18"/>
  <c r="G122" i="18" a="1"/>
  <c r="G122" i="18" s="1"/>
  <c r="H119" i="18"/>
  <c r="G123" i="18"/>
  <c r="G118" i="18" s="1"/>
  <c r="H109" i="18"/>
  <c r="H110" i="18" a="1"/>
  <c r="H110" i="18" s="1"/>
  <c r="I107" i="18"/>
  <c r="H111" i="18"/>
  <c r="H106" i="18" s="1"/>
  <c r="H108" i="18" a="1"/>
  <c r="H108" i="18" s="1"/>
  <c r="L60" i="18" a="1"/>
  <c r="L60" i="18" s="1"/>
  <c r="M59" i="18"/>
  <c r="L63" i="18"/>
  <c r="L58" i="18" s="1"/>
  <c r="L62" i="18" a="1"/>
  <c r="L62" i="18" s="1"/>
  <c r="L61" i="18"/>
  <c r="J92" i="18"/>
  <c r="J91" i="18" a="1"/>
  <c r="J91" i="18" s="1"/>
  <c r="K90" i="18"/>
  <c r="J93" i="18" a="1"/>
  <c r="J93" i="18" s="1"/>
  <c r="M51" i="18"/>
  <c r="M46" i="18" s="1"/>
  <c r="M50" i="18" a="1"/>
  <c r="M50" i="18" s="1"/>
  <c r="N47" i="18"/>
  <c r="M49" i="18"/>
  <c r="M48" i="18" a="1"/>
  <c r="M48" i="18" s="1"/>
  <c r="L34" i="28"/>
  <c r="BF14" i="1"/>
  <c r="BB14" i="1"/>
  <c r="AL22" i="1"/>
  <c r="AH22" i="1"/>
  <c r="W28" i="1"/>
  <c r="S28" i="1"/>
  <c r="CM28" i="1"/>
  <c r="CN28" i="1" s="1"/>
  <c r="CO28" i="1" s="1"/>
  <c r="CP28" i="1" s="1"/>
  <c r="CQ28" i="1" s="1"/>
  <c r="CR28" i="1" s="1"/>
  <c r="CS28" i="1" s="1"/>
  <c r="CT28" i="1" s="1"/>
  <c r="CU28" i="1" s="1"/>
  <c r="CV28" i="1" s="1"/>
  <c r="CW28" i="1" s="1"/>
  <c r="AR18" i="1"/>
  <c r="AV18" i="1"/>
  <c r="BG12" i="1"/>
  <c r="BK12" i="1"/>
  <c r="AG24" i="1"/>
  <c r="AC24" i="1"/>
  <c r="CX26" i="1"/>
  <c r="AB26" i="1"/>
  <c r="X26" i="1"/>
  <c r="AM20" i="1"/>
  <c r="AQ20" i="1"/>
  <c r="DA32" i="1"/>
  <c r="B30" i="1"/>
  <c r="R30" i="1" a="1"/>
  <c r="R30" i="1" s="1"/>
  <c r="BA16" i="1"/>
  <c r="AW16" i="1"/>
  <c r="T20" i="25"/>
  <c r="C19" i="25" a="1"/>
  <c r="C19" i="25" s="1"/>
  <c r="B19" i="25" a="1"/>
  <c r="B19" i="25" s="1"/>
  <c r="B20" i="27" a="1"/>
  <c r="B20" i="27" s="1"/>
  <c r="C20" i="27" a="1"/>
  <c r="C20" i="27" s="1"/>
  <c r="P31" i="18" a="1"/>
  <c r="P31" i="18" s="1"/>
  <c r="P33" i="18" a="1"/>
  <c r="P33" i="18" s="1"/>
  <c r="P32" i="18"/>
  <c r="O36" i="18" a="1"/>
  <c r="O36" i="18" s="1"/>
  <c r="O37" i="18"/>
  <c r="O38" i="18" a="1"/>
  <c r="O38" i="18" s="1"/>
  <c r="O39" i="18"/>
  <c r="O34" i="18" s="1"/>
  <c r="P35" i="18"/>
  <c r="O24" i="18" a="1"/>
  <c r="O24" i="18" s="1"/>
  <c r="O27" i="18"/>
  <c r="O22" i="18" s="1"/>
  <c r="O26" i="18" a="1"/>
  <c r="O26" i="18" s="1"/>
  <c r="O25" i="18"/>
  <c r="P23" i="18"/>
  <c r="P19" i="18" a="1"/>
  <c r="P19" i="18" s="1"/>
  <c r="P21" i="18" a="1"/>
  <c r="P21" i="18" s="1"/>
  <c r="P20" i="18"/>
  <c r="O14" i="18" a="1"/>
  <c r="O14" i="18" s="1"/>
  <c r="O15" i="18"/>
  <c r="P11" i="18"/>
  <c r="J36" i="28"/>
  <c r="K35" i="28"/>
  <c r="O34" i="28"/>
  <c r="R33" i="28"/>
  <c r="D33" i="28" a="1"/>
  <c r="D33" i="28" s="1"/>
  <c r="T33" i="27"/>
  <c r="C33" i="27" s="1" a="1"/>
  <c r="C33" i="27" s="1"/>
  <c r="R34" i="27"/>
  <c r="B33" i="27" a="1"/>
  <c r="B33" i="27" s="1"/>
  <c r="V32" i="25"/>
  <c r="C32" i="25" s="1" a="1"/>
  <c r="C32" i="25" s="1"/>
  <c r="T33" i="25"/>
  <c r="B32" i="25" a="1"/>
  <c r="B32" i="25" s="1"/>
  <c r="O44" i="18" l="1"/>
  <c r="P42" i="18"/>
  <c r="O45" i="18" a="1"/>
  <c r="O45" i="18" s="1"/>
  <c r="O43" i="18" a="1"/>
  <c r="O43" i="18" s="1"/>
  <c r="M61" i="18"/>
  <c r="M63" i="18"/>
  <c r="M58" i="18" s="1"/>
  <c r="M62" i="18" a="1"/>
  <c r="M62" i="18" s="1"/>
  <c r="M60" i="18" a="1"/>
  <c r="M60" i="18" s="1"/>
  <c r="N59" i="18"/>
  <c r="I116" i="18"/>
  <c r="I117" i="18" a="1"/>
  <c r="I117" i="18" s="1"/>
  <c r="J114" i="18"/>
  <c r="I115" i="18" a="1"/>
  <c r="I115" i="18" s="1"/>
  <c r="G32" i="1" a="1"/>
  <c r="G32" i="1" s="1"/>
  <c r="F32" i="1" a="1"/>
  <c r="F32" i="1" s="1"/>
  <c r="H32" i="1" a="1"/>
  <c r="H32" i="1" s="1"/>
  <c r="CL32" i="1" a="1"/>
  <c r="CL32" i="1" s="1"/>
  <c r="J107" i="18"/>
  <c r="I111" i="18"/>
  <c r="I106" i="18" s="1"/>
  <c r="I108" i="18" a="1"/>
  <c r="I108" i="18" s="1"/>
  <c r="I110" i="18" a="1"/>
  <c r="I110" i="18" s="1"/>
  <c r="I109" i="18"/>
  <c r="K95" i="18"/>
  <c r="J99" i="18"/>
  <c r="J94" i="18" s="1"/>
  <c r="J98" i="18" a="1"/>
  <c r="J98" i="18" s="1"/>
  <c r="J97" i="18"/>
  <c r="J96" i="18" a="1"/>
  <c r="J96" i="18" s="1"/>
  <c r="N48" i="18" a="1"/>
  <c r="N48" i="18" s="1"/>
  <c r="N49" i="18"/>
  <c r="O47" i="18"/>
  <c r="N50" i="18" a="1"/>
  <c r="N50" i="18" s="1"/>
  <c r="N51" i="18"/>
  <c r="N46" i="18" s="1"/>
  <c r="K93" i="18" a="1"/>
  <c r="K93" i="18" s="1"/>
  <c r="K92" i="18"/>
  <c r="K91" i="18" a="1"/>
  <c r="K91" i="18" s="1"/>
  <c r="L90" i="18"/>
  <c r="M78" i="18"/>
  <c r="L79" i="18" a="1"/>
  <c r="L79" i="18" s="1"/>
  <c r="L81" i="18" a="1"/>
  <c r="L81" i="18" s="1"/>
  <c r="L80" i="18"/>
  <c r="K86" i="18" a="1"/>
  <c r="K86" i="18" s="1"/>
  <c r="K85" i="18"/>
  <c r="L83" i="18"/>
  <c r="K84" i="18" a="1"/>
  <c r="K84" i="18" s="1"/>
  <c r="K87" i="18"/>
  <c r="K82" i="18" s="1"/>
  <c r="H122" i="18" a="1"/>
  <c r="H122" i="18" s="1"/>
  <c r="H123" i="18"/>
  <c r="H118" i="18" s="1"/>
  <c r="H121" i="18"/>
  <c r="I119" i="18"/>
  <c r="H120" i="18" a="1"/>
  <c r="H120" i="18" s="1"/>
  <c r="J104" i="18"/>
  <c r="J105" i="18" a="1"/>
  <c r="J105" i="18" s="1"/>
  <c r="J103" i="18" a="1"/>
  <c r="J103" i="18" s="1"/>
  <c r="K102" i="18"/>
  <c r="O54" i="18"/>
  <c r="N56" i="18"/>
  <c r="N55" i="18" a="1"/>
  <c r="N55" i="18" s="1"/>
  <c r="N57" i="18" a="1"/>
  <c r="N57" i="18" s="1"/>
  <c r="L35" i="28"/>
  <c r="CX28" i="1"/>
  <c r="BF16" i="1"/>
  <c r="BB16" i="1"/>
  <c r="CM30" i="1"/>
  <c r="CN30" i="1" s="1"/>
  <c r="CO30" i="1" s="1"/>
  <c r="CP30" i="1" s="1"/>
  <c r="CQ30" i="1" s="1"/>
  <c r="CR30" i="1" s="1"/>
  <c r="CS30" i="1" s="1"/>
  <c r="CT30" i="1" s="1"/>
  <c r="CU30" i="1" s="1"/>
  <c r="CV30" i="1" s="1"/>
  <c r="CW30" i="1" s="1"/>
  <c r="CX30" i="1" s="1"/>
  <c r="AC26" i="1"/>
  <c r="AG26" i="1"/>
  <c r="W30" i="1"/>
  <c r="S30" i="1"/>
  <c r="DA34" i="1"/>
  <c r="B32" i="1"/>
  <c r="R32" i="1" a="1"/>
  <c r="R32" i="1" s="1"/>
  <c r="BL12" i="1"/>
  <c r="BP12" i="1"/>
  <c r="AH24" i="1"/>
  <c r="AL24" i="1"/>
  <c r="AB28" i="1"/>
  <c r="X28" i="1"/>
  <c r="AV20" i="1"/>
  <c r="AR20" i="1"/>
  <c r="AQ22" i="1"/>
  <c r="AM22" i="1"/>
  <c r="BA18" i="1"/>
  <c r="AW18" i="1"/>
  <c r="BK14" i="1"/>
  <c r="BG14" i="1"/>
  <c r="C20" i="25" a="1"/>
  <c r="C20" i="25" s="1"/>
  <c r="B20" i="25" a="1"/>
  <c r="B20" i="25" s="1"/>
  <c r="P37" i="18"/>
  <c r="P38" i="18" a="1"/>
  <c r="P38" i="18" s="1"/>
  <c r="P36" i="18" a="1"/>
  <c r="P36" i="18" s="1"/>
  <c r="P39" i="18"/>
  <c r="P34" i="18" s="1"/>
  <c r="P25" i="18"/>
  <c r="P26" i="18" a="1"/>
  <c r="P26" i="18" s="1"/>
  <c r="P24" i="18" a="1"/>
  <c r="P24" i="18" s="1"/>
  <c r="P27" i="18"/>
  <c r="P22" i="18" s="1"/>
  <c r="P15" i="18"/>
  <c r="P13" i="18"/>
  <c r="P14" i="18" a="1"/>
  <c r="P14" i="18" s="1"/>
  <c r="K36" i="28"/>
  <c r="J37" i="28"/>
  <c r="O35" i="28"/>
  <c r="R34" i="28"/>
  <c r="D34" i="28" a="1"/>
  <c r="D34" i="28" s="1"/>
  <c r="T34" i="27"/>
  <c r="C34" i="27" s="1" a="1"/>
  <c r="C34" i="27" s="1"/>
  <c r="R35" i="27"/>
  <c r="B34" i="27" a="1"/>
  <c r="B34" i="27" s="1"/>
  <c r="R21" i="25"/>
  <c r="V33" i="25"/>
  <c r="C33" i="25" s="1" a="1"/>
  <c r="C33" i="25" s="1"/>
  <c r="B33" i="25" a="1"/>
  <c r="B33" i="25" s="1"/>
  <c r="T34" i="25"/>
  <c r="L92" i="18" l="1"/>
  <c r="L91" i="18" a="1"/>
  <c r="L91" i="18" s="1"/>
  <c r="M90" i="18"/>
  <c r="L93" i="18" a="1"/>
  <c r="L93" i="18" s="1"/>
  <c r="J117" i="18" a="1"/>
  <c r="J117" i="18" s="1"/>
  <c r="K114" i="18"/>
  <c r="J116" i="18"/>
  <c r="J115" i="18" a="1"/>
  <c r="J115" i="18" s="1"/>
  <c r="G34" i="1" a="1"/>
  <c r="G34" i="1" s="1"/>
  <c r="F34" i="1" a="1"/>
  <c r="F34" i="1" s="1"/>
  <c r="H34" i="1" a="1"/>
  <c r="H34" i="1" s="1"/>
  <c r="CL34" i="1" a="1"/>
  <c r="CL34" i="1" s="1"/>
  <c r="O57" i="18" a="1"/>
  <c r="O57" i="18" s="1"/>
  <c r="P54" i="18"/>
  <c r="O56" i="18"/>
  <c r="O55" i="18" a="1"/>
  <c r="O55" i="18" s="1"/>
  <c r="L84" i="18" a="1"/>
  <c r="L84" i="18" s="1"/>
  <c r="M83" i="18"/>
  <c r="L87" i="18"/>
  <c r="L82" i="18" s="1"/>
  <c r="L86" i="18" a="1"/>
  <c r="L86" i="18" s="1"/>
  <c r="L85" i="18"/>
  <c r="K105" i="18" a="1"/>
  <c r="K105" i="18" s="1"/>
  <c r="K104" i="18"/>
  <c r="K103" i="18" a="1"/>
  <c r="K103" i="18" s="1"/>
  <c r="L102" i="18"/>
  <c r="O48" i="18" a="1"/>
  <c r="O48" i="18" s="1"/>
  <c r="O49" i="18"/>
  <c r="O50" i="18" a="1"/>
  <c r="O50" i="18" s="1"/>
  <c r="P47" i="18"/>
  <c r="O51" i="18"/>
  <c r="O46" i="18" s="1"/>
  <c r="J111" i="18"/>
  <c r="J106" i="18" s="1"/>
  <c r="J109" i="18"/>
  <c r="J108" i="18" a="1"/>
  <c r="J108" i="18" s="1"/>
  <c r="K107" i="18"/>
  <c r="J110" i="18" a="1"/>
  <c r="J110" i="18" s="1"/>
  <c r="K99" i="18"/>
  <c r="K94" i="18" s="1"/>
  <c r="K98" i="18" a="1"/>
  <c r="K98" i="18" s="1"/>
  <c r="K97" i="18"/>
  <c r="K96" i="18" a="1"/>
  <c r="K96" i="18" s="1"/>
  <c r="L95" i="18"/>
  <c r="N63" i="18"/>
  <c r="N58" i="18" s="1"/>
  <c r="O59" i="18"/>
  <c r="N60" i="18" a="1"/>
  <c r="N60" i="18" s="1"/>
  <c r="N61" i="18"/>
  <c r="N62" i="18" a="1"/>
  <c r="N62" i="18" s="1"/>
  <c r="P43" i="18" a="1"/>
  <c r="P43" i="18" s="1"/>
  <c r="P45" i="18" a="1"/>
  <c r="P45" i="18" s="1"/>
  <c r="P44" i="18"/>
  <c r="J119" i="18"/>
  <c r="I122" i="18" a="1"/>
  <c r="I122" i="18" s="1"/>
  <c r="I121" i="18"/>
  <c r="I123" i="18"/>
  <c r="I118" i="18" s="1"/>
  <c r="I120" i="18" a="1"/>
  <c r="I120" i="18" s="1"/>
  <c r="M81" i="18" a="1"/>
  <c r="M81" i="18" s="1"/>
  <c r="M79" i="18" a="1"/>
  <c r="M79" i="18" s="1"/>
  <c r="M80" i="18"/>
  <c r="N78" i="18"/>
  <c r="L36" i="28"/>
  <c r="BB18" i="1"/>
  <c r="BF18" i="1"/>
  <c r="X30" i="1"/>
  <c r="AB30" i="1"/>
  <c r="BQ12" i="1"/>
  <c r="BU12" i="1"/>
  <c r="BV12" i="1" s="1"/>
  <c r="AL26" i="1"/>
  <c r="AH26" i="1"/>
  <c r="AV22" i="1"/>
  <c r="AR22" i="1"/>
  <c r="AQ24" i="1"/>
  <c r="AM24" i="1"/>
  <c r="W32" i="1"/>
  <c r="S32" i="1"/>
  <c r="AW20" i="1"/>
  <c r="BA20" i="1"/>
  <c r="DA36" i="1"/>
  <c r="B34" i="1"/>
  <c r="R34" i="1" a="1"/>
  <c r="R34" i="1" s="1"/>
  <c r="BL14" i="1"/>
  <c r="BP14" i="1"/>
  <c r="AC28" i="1"/>
  <c r="AG28" i="1"/>
  <c r="CM32" i="1"/>
  <c r="CN32" i="1" s="1"/>
  <c r="CO32" i="1" s="1"/>
  <c r="CP32" i="1" s="1"/>
  <c r="CQ32" i="1" s="1"/>
  <c r="CR32" i="1" s="1"/>
  <c r="CS32" i="1" s="1"/>
  <c r="CT32" i="1" s="1"/>
  <c r="CU32" i="1" s="1"/>
  <c r="CV32" i="1" s="1"/>
  <c r="CW32" i="1" s="1"/>
  <c r="BG16" i="1"/>
  <c r="BK16" i="1"/>
  <c r="K37" i="28"/>
  <c r="J38" i="28"/>
  <c r="O36" i="28"/>
  <c r="R35" i="28"/>
  <c r="D35" i="28" a="1"/>
  <c r="D35" i="28" s="1"/>
  <c r="R36" i="27"/>
  <c r="B35" i="27" a="1"/>
  <c r="B35" i="27" s="1"/>
  <c r="T35" i="27"/>
  <c r="C35" i="27" s="1" a="1"/>
  <c r="C35" i="27" s="1"/>
  <c r="T35" i="25"/>
  <c r="B35" i="25" s="1" a="1"/>
  <c r="B35" i="25" s="1"/>
  <c r="B34" i="25" a="1"/>
  <c r="B34" i="25" s="1"/>
  <c r="V34" i="25"/>
  <c r="C34" i="25" s="1" a="1"/>
  <c r="C34" i="25" s="1"/>
  <c r="K108" i="18" l="1" a="1"/>
  <c r="K108" i="18" s="1"/>
  <c r="K111" i="18"/>
  <c r="K106" i="18" s="1"/>
  <c r="K110" i="18" a="1"/>
  <c r="K110" i="18" s="1"/>
  <c r="K109" i="18"/>
  <c r="L107" i="18"/>
  <c r="O61" i="18"/>
  <c r="O62" i="18" a="1"/>
  <c r="O62" i="18" s="1"/>
  <c r="P59" i="18"/>
  <c r="O63" i="18"/>
  <c r="O58" i="18" s="1"/>
  <c r="O60" i="18" a="1"/>
  <c r="O60" i="18" s="1"/>
  <c r="M84" i="18" a="1"/>
  <c r="M84" i="18" s="1"/>
  <c r="N83" i="18"/>
  <c r="M86" i="18" a="1"/>
  <c r="M86" i="18" s="1"/>
  <c r="M87" i="18"/>
  <c r="M82" i="18" s="1"/>
  <c r="M85" i="18"/>
  <c r="K115" i="18" a="1"/>
  <c r="K115" i="18" s="1"/>
  <c r="K117" i="18" a="1"/>
  <c r="K117" i="18" s="1"/>
  <c r="K116" i="18"/>
  <c r="L114" i="18"/>
  <c r="P50" i="18" a="1"/>
  <c r="P50" i="18" s="1"/>
  <c r="P48" i="18" a="1"/>
  <c r="P48" i="18" s="1"/>
  <c r="P49" i="18"/>
  <c r="P51" i="18"/>
  <c r="P46" i="18" s="1"/>
  <c r="O78" i="18"/>
  <c r="N81" i="18" a="1"/>
  <c r="N81" i="18" s="1"/>
  <c r="N79" i="18" a="1"/>
  <c r="N79" i="18" s="1"/>
  <c r="N80" i="18"/>
  <c r="F36" i="1" a="1"/>
  <c r="F36" i="1" s="1"/>
  <c r="G36" i="1" a="1"/>
  <c r="G36" i="1" s="1"/>
  <c r="H36" i="1" a="1"/>
  <c r="H36" i="1" s="1"/>
  <c r="CL36" i="1" a="1"/>
  <c r="CL36" i="1" s="1"/>
  <c r="L99" i="18"/>
  <c r="L94" i="18" s="1"/>
  <c r="L98" i="18" a="1"/>
  <c r="L98" i="18" s="1"/>
  <c r="L97" i="18"/>
  <c r="L96" i="18" a="1"/>
  <c r="L96" i="18" s="1"/>
  <c r="M95" i="18"/>
  <c r="M91" i="18" a="1"/>
  <c r="M91" i="18" s="1"/>
  <c r="N90" i="18"/>
  <c r="M93" i="18" a="1"/>
  <c r="M93" i="18" s="1"/>
  <c r="M92" i="18"/>
  <c r="P55" i="18" a="1"/>
  <c r="P55" i="18" s="1"/>
  <c r="P57" i="18" a="1"/>
  <c r="P57" i="18" s="1"/>
  <c r="P56" i="18"/>
  <c r="J122" i="18" a="1"/>
  <c r="J122" i="18" s="1"/>
  <c r="J123" i="18"/>
  <c r="J118" i="18" s="1"/>
  <c r="J120" i="18" a="1"/>
  <c r="J120" i="18" s="1"/>
  <c r="K119" i="18"/>
  <c r="J121" i="18"/>
  <c r="M102" i="18"/>
  <c r="L103" i="18" a="1"/>
  <c r="L103" i="18" s="1"/>
  <c r="L104" i="18"/>
  <c r="L105" i="18" a="1"/>
  <c r="L105" i="18" s="1"/>
  <c r="L37" i="28"/>
  <c r="CX32" i="1"/>
  <c r="AM26" i="1"/>
  <c r="AQ26" i="1"/>
  <c r="BU14" i="1"/>
  <c r="BV14" i="1" s="1"/>
  <c r="BQ14" i="1"/>
  <c r="X32" i="1"/>
  <c r="AB32" i="1"/>
  <c r="BP16" i="1"/>
  <c r="BL16" i="1"/>
  <c r="W34" i="1"/>
  <c r="S34" i="1"/>
  <c r="AC30" i="1"/>
  <c r="AG30" i="1"/>
  <c r="AL28" i="1"/>
  <c r="AH28" i="1"/>
  <c r="AR24" i="1"/>
  <c r="AV24" i="1"/>
  <c r="CM34" i="1"/>
  <c r="CN34" i="1" s="1"/>
  <c r="CO34" i="1" s="1"/>
  <c r="CP34" i="1" s="1"/>
  <c r="CQ34" i="1" s="1"/>
  <c r="CR34" i="1" s="1"/>
  <c r="CS34" i="1" s="1"/>
  <c r="CT34" i="1" s="1"/>
  <c r="CU34" i="1" s="1"/>
  <c r="CV34" i="1" s="1"/>
  <c r="CW34" i="1" s="1"/>
  <c r="BG18" i="1"/>
  <c r="BK18" i="1"/>
  <c r="BB20" i="1"/>
  <c r="BF20" i="1"/>
  <c r="R36" i="1" a="1"/>
  <c r="R36" i="1" s="1"/>
  <c r="DA38" i="1"/>
  <c r="B36" i="1"/>
  <c r="BA22" i="1"/>
  <c r="AW22" i="1"/>
  <c r="K38" i="28"/>
  <c r="J39" i="28"/>
  <c r="O37" i="28"/>
  <c r="R36" i="28"/>
  <c r="D36" i="28" a="1"/>
  <c r="D36" i="28" s="1"/>
  <c r="R37" i="27"/>
  <c r="B36" i="27" a="1"/>
  <c r="B36" i="27" s="1"/>
  <c r="T36" i="27"/>
  <c r="C36" i="27" s="1" a="1"/>
  <c r="C36" i="27" s="1"/>
  <c r="V35" i="25"/>
  <c r="C35" i="25" s="1" a="1"/>
  <c r="C35" i="25" s="1"/>
  <c r="T36" i="25"/>
  <c r="L119" i="18" l="1"/>
  <c r="K123" i="18"/>
  <c r="K118" i="18" s="1"/>
  <c r="K122" i="18" a="1"/>
  <c r="K122" i="18" s="1"/>
  <c r="K121" i="18"/>
  <c r="K120" i="18" a="1"/>
  <c r="K120" i="18" s="1"/>
  <c r="M104" i="18"/>
  <c r="M103" i="18" a="1"/>
  <c r="M103" i="18" s="1"/>
  <c r="N102" i="18"/>
  <c r="M105" i="18" a="1"/>
  <c r="M105" i="18" s="1"/>
  <c r="M98" i="18" a="1"/>
  <c r="M98" i="18" s="1"/>
  <c r="M97" i="18"/>
  <c r="M96" i="18" a="1"/>
  <c r="M96" i="18" s="1"/>
  <c r="M99" i="18"/>
  <c r="M94" i="18" s="1"/>
  <c r="N95" i="18"/>
  <c r="O79" i="18" a="1"/>
  <c r="O79" i="18" s="1"/>
  <c r="O80" i="18"/>
  <c r="O81" i="18" a="1"/>
  <c r="O81" i="18" s="1"/>
  <c r="P78" i="18"/>
  <c r="N86" i="18" a="1"/>
  <c r="N86" i="18" s="1"/>
  <c r="N84" i="18" a="1"/>
  <c r="N84" i="18" s="1"/>
  <c r="N85" i="18"/>
  <c r="O83" i="18"/>
  <c r="N87" i="18"/>
  <c r="N82" i="18" s="1"/>
  <c r="P61" i="18"/>
  <c r="P62" i="18" a="1"/>
  <c r="P62" i="18" s="1"/>
  <c r="P63" i="18"/>
  <c r="P58" i="18" s="1"/>
  <c r="P60" i="18" a="1"/>
  <c r="P60" i="18" s="1"/>
  <c r="L115" i="18" a="1"/>
  <c r="L115" i="18" s="1"/>
  <c r="M114" i="18"/>
  <c r="L117" i="18" a="1"/>
  <c r="L117" i="18" s="1"/>
  <c r="L116" i="18"/>
  <c r="L110" i="18" a="1"/>
  <c r="L110" i="18" s="1"/>
  <c r="L109" i="18"/>
  <c r="L108" i="18" a="1"/>
  <c r="L108" i="18" s="1"/>
  <c r="M107" i="18"/>
  <c r="L111" i="18"/>
  <c r="L106" i="18" s="1"/>
  <c r="F38" i="1" a="1"/>
  <c r="F38" i="1" s="1"/>
  <c r="G38" i="1" a="1"/>
  <c r="G38" i="1" s="1"/>
  <c r="H38" i="1" a="1"/>
  <c r="H38" i="1" s="1"/>
  <c r="CL38" i="1" a="1"/>
  <c r="CL38" i="1" s="1"/>
  <c r="N93" i="18" a="1"/>
  <c r="N93" i="18" s="1"/>
  <c r="O90" i="18"/>
  <c r="N92" i="18"/>
  <c r="N91" i="18" a="1"/>
  <c r="N91" i="18" s="1"/>
  <c r="L38" i="28"/>
  <c r="W36" i="1"/>
  <c r="S36" i="1"/>
  <c r="BQ16" i="1"/>
  <c r="BU16" i="1"/>
  <c r="BV16" i="1" s="1"/>
  <c r="AW24" i="1"/>
  <c r="BA24" i="1"/>
  <c r="BK20" i="1"/>
  <c r="BG20" i="1"/>
  <c r="AG32" i="1"/>
  <c r="AC32" i="1"/>
  <c r="AM28" i="1"/>
  <c r="AQ28" i="1"/>
  <c r="R38" i="1" a="1"/>
  <c r="R38" i="1" s="1"/>
  <c r="DA40" i="1"/>
  <c r="B38" i="1"/>
  <c r="BL18" i="1"/>
  <c r="BP18" i="1"/>
  <c r="AH30" i="1"/>
  <c r="AL30" i="1"/>
  <c r="BF22" i="1"/>
  <c r="BB22" i="1"/>
  <c r="CM36" i="1"/>
  <c r="CN36" i="1" s="1"/>
  <c r="CO36" i="1" s="1"/>
  <c r="CP36" i="1" s="1"/>
  <c r="CQ36" i="1" s="1"/>
  <c r="CR36" i="1" s="1"/>
  <c r="CS36" i="1" s="1"/>
  <c r="CT36" i="1" s="1"/>
  <c r="CU36" i="1" s="1"/>
  <c r="CV36" i="1" s="1"/>
  <c r="CW36" i="1" s="1"/>
  <c r="CX34" i="1"/>
  <c r="AV26" i="1"/>
  <c r="AR26" i="1"/>
  <c r="X34" i="1"/>
  <c r="AB34" i="1"/>
  <c r="J40" i="28"/>
  <c r="K39" i="28"/>
  <c r="O38" i="28"/>
  <c r="R37" i="28"/>
  <c r="D37" i="28" a="1"/>
  <c r="D37" i="28" s="1"/>
  <c r="T37" i="27"/>
  <c r="C37" i="27" s="1" a="1"/>
  <c r="C37" i="27" s="1"/>
  <c r="R38" i="27"/>
  <c r="B37" i="27" a="1"/>
  <c r="B37" i="27" s="1"/>
  <c r="T37" i="25"/>
  <c r="B36" i="25" a="1"/>
  <c r="B36" i="25" s="1"/>
  <c r="V36" i="25"/>
  <c r="C36" i="25" s="1" a="1"/>
  <c r="C36" i="25" s="1"/>
  <c r="G40" i="1" l="1" a="1"/>
  <c r="G40" i="1" s="1"/>
  <c r="F40" i="1" a="1"/>
  <c r="F40" i="1" s="1"/>
  <c r="H40" i="1" a="1"/>
  <c r="H40" i="1" s="1"/>
  <c r="CL40" i="1" a="1"/>
  <c r="CL40" i="1" s="1"/>
  <c r="O84" i="18" a="1"/>
  <c r="O84" i="18" s="1"/>
  <c r="O85" i="18"/>
  <c r="O87" i="18"/>
  <c r="O82" i="18" s="1"/>
  <c r="O86" i="18" a="1"/>
  <c r="O86" i="18" s="1"/>
  <c r="P83" i="18"/>
  <c r="N105" i="18" a="1"/>
  <c r="N105" i="18" s="1"/>
  <c r="N103" i="18" a="1"/>
  <c r="N103" i="18" s="1"/>
  <c r="O102" i="18"/>
  <c r="N104" i="18"/>
  <c r="O91" i="18" a="1"/>
  <c r="O91" i="18" s="1"/>
  <c r="P90" i="18"/>
  <c r="O92" i="18"/>
  <c r="O93" i="18" a="1"/>
  <c r="O93" i="18" s="1"/>
  <c r="P80" i="18"/>
  <c r="P79" i="18" a="1"/>
  <c r="P79" i="18" s="1"/>
  <c r="P81" i="18" a="1"/>
  <c r="P81" i="18" s="1"/>
  <c r="N114" i="18"/>
  <c r="M117" i="18" a="1"/>
  <c r="M117" i="18" s="1"/>
  <c r="M116" i="18"/>
  <c r="M115" i="18" a="1"/>
  <c r="M115" i="18" s="1"/>
  <c r="M111" i="18"/>
  <c r="M106" i="18" s="1"/>
  <c r="N107" i="18"/>
  <c r="M110" i="18" a="1"/>
  <c r="M110" i="18" s="1"/>
  <c r="M109" i="18"/>
  <c r="M108" i="18" a="1"/>
  <c r="M108" i="18" s="1"/>
  <c r="N96" i="18" a="1"/>
  <c r="N96" i="18" s="1"/>
  <c r="N97" i="18"/>
  <c r="N98" i="18" a="1"/>
  <c r="N98" i="18" s="1"/>
  <c r="O95" i="18"/>
  <c r="N99" i="18"/>
  <c r="N94" i="18" s="1"/>
  <c r="M119" i="18"/>
  <c r="L123" i="18"/>
  <c r="L118" i="18" s="1"/>
  <c r="L122" i="18" a="1"/>
  <c r="L122" i="18" s="1"/>
  <c r="L121" i="18"/>
  <c r="L120" i="18" a="1"/>
  <c r="L120" i="18" s="1"/>
  <c r="L39" i="28"/>
  <c r="CX36" i="1"/>
  <c r="R40" i="1" a="1"/>
  <c r="R40" i="1" s="1"/>
  <c r="B40" i="1"/>
  <c r="DA42" i="1"/>
  <c r="BP20" i="1"/>
  <c r="BL20" i="1"/>
  <c r="W38" i="1"/>
  <c r="S38" i="1"/>
  <c r="BF24" i="1"/>
  <c r="BB24" i="1"/>
  <c r="AC34" i="1"/>
  <c r="AG34" i="1"/>
  <c r="BG22" i="1"/>
  <c r="BK22" i="1"/>
  <c r="CM38" i="1"/>
  <c r="CN38" i="1" s="1"/>
  <c r="CO38" i="1" s="1"/>
  <c r="CP38" i="1" s="1"/>
  <c r="CQ38" i="1" s="1"/>
  <c r="CR38" i="1" s="1"/>
  <c r="CS38" i="1" s="1"/>
  <c r="CT38" i="1" s="1"/>
  <c r="CU38" i="1" s="1"/>
  <c r="CV38" i="1" s="1"/>
  <c r="CW38" i="1" s="1"/>
  <c r="AQ30" i="1"/>
  <c r="AM30" i="1"/>
  <c r="AR28" i="1"/>
  <c r="AV28" i="1"/>
  <c r="BA26" i="1"/>
  <c r="AW26" i="1"/>
  <c r="BQ18" i="1"/>
  <c r="BU18" i="1"/>
  <c r="BV18" i="1" s="1"/>
  <c r="AH32" i="1"/>
  <c r="AL32" i="1"/>
  <c r="X36" i="1"/>
  <c r="AB36" i="1"/>
  <c r="J41" i="28"/>
  <c r="K40" i="28"/>
  <c r="O39" i="28"/>
  <c r="R38" i="28"/>
  <c r="D38" i="28" a="1"/>
  <c r="D38" i="28" s="1"/>
  <c r="R39" i="27"/>
  <c r="B38" i="27" a="1"/>
  <c r="B38" i="27" s="1"/>
  <c r="T38" i="27"/>
  <c r="C38" i="27" s="1" a="1"/>
  <c r="C38" i="27" s="1"/>
  <c r="V37" i="25"/>
  <c r="C37" i="25" s="1" a="1"/>
  <c r="C37" i="25" s="1"/>
  <c r="B37" i="25" a="1"/>
  <c r="B37" i="25" s="1"/>
  <c r="T38" i="25"/>
  <c r="O105" i="18" l="1" a="1"/>
  <c r="O105" i="18" s="1"/>
  <c r="O103" i="18" a="1"/>
  <c r="O103" i="18" s="1"/>
  <c r="P102" i="18"/>
  <c r="O104" i="18"/>
  <c r="G42" i="1" a="1"/>
  <c r="G42" i="1" s="1"/>
  <c r="F42" i="1" a="1"/>
  <c r="F42" i="1" s="1"/>
  <c r="H42" i="1" a="1"/>
  <c r="H42" i="1" s="1"/>
  <c r="CL42" i="1" a="1"/>
  <c r="CL42" i="1" s="1"/>
  <c r="N119" i="18"/>
  <c r="M122" i="18" a="1"/>
  <c r="M122" i="18" s="1"/>
  <c r="M120" i="18" a="1"/>
  <c r="M120" i="18" s="1"/>
  <c r="M121" i="18"/>
  <c r="M123" i="18"/>
  <c r="M118" i="18" s="1"/>
  <c r="O98" i="18" a="1"/>
  <c r="O98" i="18" s="1"/>
  <c r="P95" i="18"/>
  <c r="O99" i="18"/>
  <c r="O94" i="18" s="1"/>
  <c r="O96" i="18" a="1"/>
  <c r="O96" i="18" s="1"/>
  <c r="O97" i="18"/>
  <c r="P93" i="18" a="1"/>
  <c r="P93" i="18" s="1"/>
  <c r="P91" i="18" a="1"/>
  <c r="P91" i="18" s="1"/>
  <c r="P92" i="18"/>
  <c r="O114" i="18"/>
  <c r="N115" i="18" a="1"/>
  <c r="N115" i="18" s="1"/>
  <c r="N116" i="18"/>
  <c r="N117" i="18" a="1"/>
  <c r="N117" i="18" s="1"/>
  <c r="N108" i="18" a="1"/>
  <c r="N108" i="18" s="1"/>
  <c r="N109" i="18"/>
  <c r="O107" i="18"/>
  <c r="N110" i="18" a="1"/>
  <c r="N110" i="18" s="1"/>
  <c r="N111" i="18"/>
  <c r="N106" i="18" s="1"/>
  <c r="P86" i="18" a="1"/>
  <c r="P86" i="18" s="1"/>
  <c r="P87" i="18"/>
  <c r="P82" i="18" s="1"/>
  <c r="P84" i="18" a="1"/>
  <c r="P84" i="18" s="1"/>
  <c r="P85" i="18"/>
  <c r="L40" i="28"/>
  <c r="CX38" i="1"/>
  <c r="X38" i="1"/>
  <c r="AB38" i="1"/>
  <c r="BP22" i="1"/>
  <c r="BL22" i="1"/>
  <c r="AC36" i="1"/>
  <c r="AG36" i="1"/>
  <c r="AW28" i="1"/>
  <c r="BA28" i="1"/>
  <c r="AL34" i="1"/>
  <c r="AH34" i="1"/>
  <c r="CM40" i="1"/>
  <c r="CN40" i="1" s="1"/>
  <c r="CO40" i="1" s="1"/>
  <c r="CP40" i="1" s="1"/>
  <c r="CQ40" i="1" s="1"/>
  <c r="CR40" i="1" s="1"/>
  <c r="CS40" i="1" s="1"/>
  <c r="CT40" i="1" s="1"/>
  <c r="CU40" i="1" s="1"/>
  <c r="CV40" i="1" s="1"/>
  <c r="CW40" i="1" s="1"/>
  <c r="BF26" i="1"/>
  <c r="BB26" i="1"/>
  <c r="BU20" i="1"/>
  <c r="BV20" i="1" s="1"/>
  <c r="BQ20" i="1"/>
  <c r="DA44" i="1"/>
  <c r="B42" i="1"/>
  <c r="R42" i="1" a="1"/>
  <c r="R42" i="1" s="1"/>
  <c r="AM32" i="1"/>
  <c r="AQ32" i="1"/>
  <c r="AR30" i="1"/>
  <c r="AV30" i="1"/>
  <c r="BK24" i="1"/>
  <c r="BG24" i="1"/>
  <c r="S40" i="1"/>
  <c r="W40" i="1"/>
  <c r="J42" i="28"/>
  <c r="K41" i="28"/>
  <c r="O40" i="28"/>
  <c r="R39" i="28"/>
  <c r="D39" i="28" a="1"/>
  <c r="D39" i="28" s="1"/>
  <c r="T39" i="27"/>
  <c r="C39" i="27" s="1" a="1"/>
  <c r="C39" i="27" s="1"/>
  <c r="B39" i="27" a="1"/>
  <c r="B39" i="27" s="1"/>
  <c r="R40" i="27"/>
  <c r="T39" i="25"/>
  <c r="B38" i="25" a="1"/>
  <c r="B38" i="25" s="1"/>
  <c r="V38" i="25"/>
  <c r="C38" i="25" s="1" a="1"/>
  <c r="C38" i="25" s="1"/>
  <c r="O115" i="18" l="1" a="1"/>
  <c r="O115" i="18" s="1"/>
  <c r="O116" i="18"/>
  <c r="P114" i="18"/>
  <c r="O117" i="18" a="1"/>
  <c r="O117" i="18" s="1"/>
  <c r="N121" i="18"/>
  <c r="N122" i="18" a="1"/>
  <c r="N122" i="18" s="1"/>
  <c r="O119" i="18"/>
  <c r="N123" i="18"/>
  <c r="N118" i="18" s="1"/>
  <c r="N120" i="18" a="1"/>
  <c r="N120" i="18" s="1"/>
  <c r="G44" i="1" a="1"/>
  <c r="G44" i="1" s="1"/>
  <c r="F44" i="1" a="1"/>
  <c r="F44" i="1" s="1"/>
  <c r="H44" i="1" a="1"/>
  <c r="H44" i="1" s="1"/>
  <c r="CL44" i="1" a="1"/>
  <c r="CL44" i="1" s="1"/>
  <c r="O109" i="18"/>
  <c r="P107" i="18"/>
  <c r="O110" i="18" a="1"/>
  <c r="O110" i="18" s="1"/>
  <c r="O108" i="18" a="1"/>
  <c r="O108" i="18" s="1"/>
  <c r="O111" i="18"/>
  <c r="O106" i="18" s="1"/>
  <c r="P99" i="18"/>
  <c r="P94" i="18" s="1"/>
  <c r="P96" i="18" a="1"/>
  <c r="P96" i="18" s="1"/>
  <c r="P97" i="18"/>
  <c r="P98" i="18" a="1"/>
  <c r="P98" i="18" s="1"/>
  <c r="P103" i="18" a="1"/>
  <c r="P103" i="18" s="1"/>
  <c r="P104" i="18"/>
  <c r="P105" i="18" a="1"/>
  <c r="P105" i="18" s="1"/>
  <c r="L41" i="28"/>
  <c r="CX40" i="1"/>
  <c r="BF28" i="1"/>
  <c r="BB28" i="1"/>
  <c r="AR32" i="1"/>
  <c r="AV32" i="1"/>
  <c r="AH36" i="1"/>
  <c r="AL36" i="1"/>
  <c r="AW30" i="1"/>
  <c r="BA30" i="1"/>
  <c r="BG26" i="1"/>
  <c r="BK26" i="1"/>
  <c r="X40" i="1"/>
  <c r="AB40" i="1"/>
  <c r="W42" i="1"/>
  <c r="S42" i="1"/>
  <c r="CM42" i="1"/>
  <c r="CN42" i="1" s="1"/>
  <c r="CO42" i="1" s="1"/>
  <c r="CP42" i="1" s="1"/>
  <c r="CQ42" i="1" s="1"/>
  <c r="CR42" i="1" s="1"/>
  <c r="CS42" i="1" s="1"/>
  <c r="CT42" i="1" s="1"/>
  <c r="CU42" i="1" s="1"/>
  <c r="CV42" i="1" s="1"/>
  <c r="CW42" i="1" s="1"/>
  <c r="BU22" i="1"/>
  <c r="BV22" i="1" s="1"/>
  <c r="BQ22" i="1"/>
  <c r="AC38" i="1"/>
  <c r="AG38" i="1"/>
  <c r="BL24" i="1"/>
  <c r="BP24" i="1"/>
  <c r="DA46" i="1"/>
  <c r="B44" i="1"/>
  <c r="R44" i="1" a="1"/>
  <c r="R44" i="1" s="1"/>
  <c r="AQ34" i="1"/>
  <c r="AM34" i="1"/>
  <c r="K42" i="28"/>
  <c r="O41" i="28"/>
  <c r="R40" i="28"/>
  <c r="D40" i="28" a="1"/>
  <c r="D40" i="28" s="1"/>
  <c r="T40" i="27"/>
  <c r="C40" i="27" s="1" a="1"/>
  <c r="C40" i="27" s="1"/>
  <c r="R41" i="27"/>
  <c r="B40" i="27" a="1"/>
  <c r="B40" i="27" s="1"/>
  <c r="T40" i="25"/>
  <c r="B39" i="25" a="1"/>
  <c r="B39" i="25" s="1"/>
  <c r="V39" i="25"/>
  <c r="C39" i="25" s="1" a="1"/>
  <c r="C39" i="25" s="1"/>
  <c r="G46" i="1" l="1" a="1"/>
  <c r="G46" i="1" s="1"/>
  <c r="F46" i="1" a="1"/>
  <c r="F46" i="1" s="1"/>
  <c r="H46" i="1" a="1"/>
  <c r="H46" i="1" s="1"/>
  <c r="CL46" i="1" a="1"/>
  <c r="CL46" i="1" s="1"/>
  <c r="O121" i="18"/>
  <c r="O120" i="18" a="1"/>
  <c r="O120" i="18" s="1"/>
  <c r="O123" i="18"/>
  <c r="O118" i="18" s="1"/>
  <c r="P119" i="18"/>
  <c r="O122" i="18" a="1"/>
  <c r="O122" i="18" s="1"/>
  <c r="P108" i="18" a="1"/>
  <c r="P108" i="18" s="1"/>
  <c r="P111" i="18"/>
  <c r="P106" i="18" s="1"/>
  <c r="P110" i="18" a="1"/>
  <c r="P110" i="18" s="1"/>
  <c r="P109" i="18"/>
  <c r="P116" i="18"/>
  <c r="P115" i="18" a="1"/>
  <c r="P115" i="18" s="1"/>
  <c r="P117" i="18" a="1"/>
  <c r="P117" i="18" s="1"/>
  <c r="L42" i="28"/>
  <c r="CX42" i="1"/>
  <c r="R46" i="1" a="1"/>
  <c r="R46" i="1" s="1"/>
  <c r="DA48" i="1"/>
  <c r="B46" i="1"/>
  <c r="BU24" i="1"/>
  <c r="BV24" i="1" s="1"/>
  <c r="BQ24" i="1"/>
  <c r="AQ36" i="1"/>
  <c r="AM36" i="1"/>
  <c r="CM44" i="1"/>
  <c r="CN44" i="1" s="1"/>
  <c r="CO44" i="1" s="1"/>
  <c r="CP44" i="1" s="1"/>
  <c r="CQ44" i="1" s="1"/>
  <c r="CR44" i="1" s="1"/>
  <c r="CS44" i="1" s="1"/>
  <c r="CT44" i="1" s="1"/>
  <c r="CU44" i="1" s="1"/>
  <c r="CV44" i="1" s="1"/>
  <c r="CW44" i="1" s="1"/>
  <c r="AB42" i="1"/>
  <c r="X42" i="1"/>
  <c r="AL38" i="1"/>
  <c r="AH38" i="1"/>
  <c r="AC40" i="1"/>
  <c r="AG40" i="1"/>
  <c r="AW32" i="1"/>
  <c r="BA32" i="1"/>
  <c r="AR34" i="1"/>
  <c r="AV34" i="1"/>
  <c r="W44" i="1"/>
  <c r="S44" i="1"/>
  <c r="BL26" i="1"/>
  <c r="BP26" i="1"/>
  <c r="BF30" i="1"/>
  <c r="BB30" i="1"/>
  <c r="BG28" i="1"/>
  <c r="BK28" i="1"/>
  <c r="J44" i="28"/>
  <c r="K43" i="28"/>
  <c r="O42" i="28"/>
  <c r="R41" i="28"/>
  <c r="D41" i="28" a="1"/>
  <c r="D41" i="28" s="1"/>
  <c r="T41" i="27"/>
  <c r="C41" i="27" s="1" a="1"/>
  <c r="C41" i="27" s="1"/>
  <c r="R42" i="27"/>
  <c r="B41" i="27" a="1"/>
  <c r="B41" i="27" s="1"/>
  <c r="V40" i="25"/>
  <c r="C40" i="25" s="1" a="1"/>
  <c r="C40" i="25" s="1"/>
  <c r="T41" i="25"/>
  <c r="B40" i="25" a="1"/>
  <c r="B40" i="25" s="1"/>
  <c r="F48" i="1" l="1" a="1"/>
  <c r="F48" i="1" s="1"/>
  <c r="G48" i="1" a="1"/>
  <c r="G48" i="1" s="1"/>
  <c r="H48" i="1" a="1"/>
  <c r="H48" i="1" s="1"/>
  <c r="CL48" i="1" a="1"/>
  <c r="CL48" i="1" s="1"/>
  <c r="P122" i="18" a="1"/>
  <c r="P122" i="18" s="1"/>
  <c r="P123" i="18"/>
  <c r="P118" i="18" s="1"/>
  <c r="P120" i="18" a="1"/>
  <c r="P120" i="18" s="1"/>
  <c r="P121" i="18"/>
  <c r="L43" i="28"/>
  <c r="AV36" i="1"/>
  <c r="AR36" i="1"/>
  <c r="AB44" i="1"/>
  <c r="X44" i="1"/>
  <c r="AQ38" i="1"/>
  <c r="AM38" i="1"/>
  <c r="BL28" i="1"/>
  <c r="BP28" i="1"/>
  <c r="BA34" i="1"/>
  <c r="AW34" i="1"/>
  <c r="AC42" i="1"/>
  <c r="AG42" i="1"/>
  <c r="CM46" i="1"/>
  <c r="CN46" i="1" s="1"/>
  <c r="CO46" i="1" s="1"/>
  <c r="CP46" i="1" s="1"/>
  <c r="CQ46" i="1" s="1"/>
  <c r="CR46" i="1" s="1"/>
  <c r="CS46" i="1" s="1"/>
  <c r="CT46" i="1" s="1"/>
  <c r="CU46" i="1" s="1"/>
  <c r="CV46" i="1" s="1"/>
  <c r="CW46" i="1" s="1"/>
  <c r="BB32" i="1"/>
  <c r="BF32" i="1"/>
  <c r="CX44" i="1"/>
  <c r="DA50" i="1"/>
  <c r="R48" i="1" a="1"/>
  <c r="R48" i="1" s="1"/>
  <c r="B48" i="1"/>
  <c r="BQ26" i="1"/>
  <c r="BU26" i="1"/>
  <c r="BV26" i="1" s="1"/>
  <c r="AH40" i="1"/>
  <c r="AL40" i="1"/>
  <c r="BK30" i="1"/>
  <c r="BG30" i="1"/>
  <c r="W46" i="1"/>
  <c r="S46" i="1"/>
  <c r="K44" i="28"/>
  <c r="J45" i="28"/>
  <c r="O43" i="28"/>
  <c r="R42" i="28"/>
  <c r="D42" i="28" a="1"/>
  <c r="D42" i="28" s="1"/>
  <c r="R43" i="27"/>
  <c r="B42" i="27" a="1"/>
  <c r="B42" i="27" s="1"/>
  <c r="T42" i="27"/>
  <c r="C42" i="27" s="1" a="1"/>
  <c r="C42" i="27" s="1"/>
  <c r="T42" i="25"/>
  <c r="B41" i="25" a="1"/>
  <c r="B41" i="25" s="1"/>
  <c r="V41" i="25"/>
  <c r="C41" i="25" s="1" a="1"/>
  <c r="C41" i="25" s="1"/>
  <c r="F50" i="1" l="1" a="1"/>
  <c r="F50" i="1" s="1"/>
  <c r="G50" i="1" a="1"/>
  <c r="G50" i="1" s="1"/>
  <c r="H50" i="1" a="1"/>
  <c r="H50" i="1" s="1"/>
  <c r="CL50" i="1" a="1"/>
  <c r="CL50" i="1" s="1"/>
  <c r="L44" i="28"/>
  <c r="CX46" i="1"/>
  <c r="BG32" i="1"/>
  <c r="BK32" i="1"/>
  <c r="BU28" i="1"/>
  <c r="BV28" i="1" s="1"/>
  <c r="BQ28" i="1"/>
  <c r="AV38" i="1"/>
  <c r="AR38" i="1"/>
  <c r="X46" i="1"/>
  <c r="AB46" i="1"/>
  <c r="S48" i="1"/>
  <c r="W48" i="1"/>
  <c r="AH42" i="1"/>
  <c r="AL42" i="1"/>
  <c r="CM48" i="1"/>
  <c r="CN48" i="1" s="1"/>
  <c r="CO48" i="1" s="1"/>
  <c r="CP48" i="1" s="1"/>
  <c r="CQ48" i="1" s="1"/>
  <c r="CR48" i="1" s="1"/>
  <c r="CS48" i="1" s="1"/>
  <c r="CT48" i="1" s="1"/>
  <c r="CU48" i="1" s="1"/>
  <c r="CV48" i="1" s="1"/>
  <c r="CW48" i="1" s="1"/>
  <c r="AG44" i="1"/>
  <c r="AC44" i="1"/>
  <c r="BL30" i="1"/>
  <c r="BP30" i="1"/>
  <c r="R50" i="1" a="1"/>
  <c r="R50" i="1" s="1"/>
  <c r="B50" i="1"/>
  <c r="DA52" i="1"/>
  <c r="AQ40" i="1"/>
  <c r="AM40" i="1"/>
  <c r="BB34" i="1"/>
  <c r="BF34" i="1"/>
  <c r="BA36" i="1"/>
  <c r="AW36" i="1"/>
  <c r="J46" i="28"/>
  <c r="K45" i="28"/>
  <c r="O44" i="28"/>
  <c r="R43" i="28"/>
  <c r="D43" i="28" a="1"/>
  <c r="D43" i="28" s="1"/>
  <c r="T43" i="27"/>
  <c r="C43" i="27" s="1" a="1"/>
  <c r="C43" i="27" s="1"/>
  <c r="B43" i="27" a="1"/>
  <c r="B43" i="27" s="1"/>
  <c r="R44" i="27"/>
  <c r="V42" i="25"/>
  <c r="C42" i="25" s="1" a="1"/>
  <c r="C42" i="25" s="1"/>
  <c r="T43" i="25"/>
  <c r="B42" i="25" a="1"/>
  <c r="B42" i="25" s="1"/>
  <c r="F52" i="1" l="1" a="1"/>
  <c r="F52" i="1" s="1"/>
  <c r="G52" i="1" a="1"/>
  <c r="G52" i="1" s="1"/>
  <c r="H52" i="1" a="1"/>
  <c r="H52" i="1" s="1"/>
  <c r="CL52" i="1" a="1"/>
  <c r="CL52" i="1" s="1"/>
  <c r="L45" i="28"/>
  <c r="AG46" i="1"/>
  <c r="AC46" i="1"/>
  <c r="AR40" i="1"/>
  <c r="AV40" i="1"/>
  <c r="AL44" i="1"/>
  <c r="AH44" i="1"/>
  <c r="R52" i="1" a="1"/>
  <c r="R52" i="1" s="1"/>
  <c r="DA54" i="1"/>
  <c r="B52" i="1"/>
  <c r="CX48" i="1"/>
  <c r="BA38" i="1"/>
  <c r="AW38" i="1"/>
  <c r="S50" i="1"/>
  <c r="W50" i="1"/>
  <c r="AM42" i="1"/>
  <c r="AQ42" i="1"/>
  <c r="BF36" i="1"/>
  <c r="BB36" i="1"/>
  <c r="CM50" i="1"/>
  <c r="CN50" i="1" s="1"/>
  <c r="CO50" i="1" s="1"/>
  <c r="CP50" i="1" s="1"/>
  <c r="CQ50" i="1" s="1"/>
  <c r="CR50" i="1" s="1"/>
  <c r="CS50" i="1" s="1"/>
  <c r="CT50" i="1" s="1"/>
  <c r="CU50" i="1" s="1"/>
  <c r="CV50" i="1" s="1"/>
  <c r="CW50" i="1" s="1"/>
  <c r="BK34" i="1"/>
  <c r="BG34" i="1"/>
  <c r="BQ30" i="1"/>
  <c r="BU30" i="1"/>
  <c r="BV30" i="1" s="1"/>
  <c r="AB48" i="1"/>
  <c r="X48" i="1"/>
  <c r="BL32" i="1"/>
  <c r="BP32" i="1"/>
  <c r="J47" i="28"/>
  <c r="K46" i="28"/>
  <c r="O45" i="28"/>
  <c r="R44" i="28"/>
  <c r="D44" i="28" a="1"/>
  <c r="D44" i="28" s="1"/>
  <c r="R45" i="27"/>
  <c r="B44" i="27" a="1"/>
  <c r="B44" i="27" s="1"/>
  <c r="T44" i="27"/>
  <c r="C44" i="27" s="1" a="1"/>
  <c r="C44" i="27" s="1"/>
  <c r="T44" i="25"/>
  <c r="B43" i="25" a="1"/>
  <c r="B43" i="25" s="1"/>
  <c r="V43" i="25"/>
  <c r="C43" i="25" s="1" a="1"/>
  <c r="C43" i="25" s="1"/>
  <c r="G54" i="1" l="1" a="1"/>
  <c r="G54" i="1" s="1"/>
  <c r="F54" i="1" a="1"/>
  <c r="F54" i="1" s="1"/>
  <c r="H54" i="1" a="1"/>
  <c r="H54" i="1" s="1"/>
  <c r="CL54" i="1" a="1"/>
  <c r="CL54" i="1" s="1"/>
  <c r="L46" i="28"/>
  <c r="S52" i="1"/>
  <c r="W52" i="1"/>
  <c r="CM52" i="1"/>
  <c r="CN52" i="1" s="1"/>
  <c r="CO52" i="1" s="1"/>
  <c r="CP52" i="1" s="1"/>
  <c r="CQ52" i="1" s="1"/>
  <c r="CR52" i="1" s="1"/>
  <c r="CS52" i="1" s="1"/>
  <c r="CT52" i="1" s="1"/>
  <c r="CU52" i="1" s="1"/>
  <c r="CV52" i="1" s="1"/>
  <c r="CW52" i="1" s="1"/>
  <c r="CX52" i="1" s="1"/>
  <c r="BP34" i="1"/>
  <c r="BL34" i="1"/>
  <c r="X50" i="1"/>
  <c r="AB50" i="1"/>
  <c r="BU32" i="1"/>
  <c r="BV32" i="1" s="1"/>
  <c r="BQ32" i="1"/>
  <c r="CX50" i="1"/>
  <c r="AQ44" i="1"/>
  <c r="AM44" i="1"/>
  <c r="BB38" i="1"/>
  <c r="BF38" i="1"/>
  <c r="BA40" i="1"/>
  <c r="AW40" i="1"/>
  <c r="AC48" i="1"/>
  <c r="AG48" i="1"/>
  <c r="BG36" i="1"/>
  <c r="BK36" i="1"/>
  <c r="AV42" i="1"/>
  <c r="AR42" i="1"/>
  <c r="DA56" i="1"/>
  <c r="R54" i="1" a="1"/>
  <c r="R54" i="1" s="1"/>
  <c r="B54" i="1"/>
  <c r="AH46" i="1"/>
  <c r="AL46" i="1"/>
  <c r="J48" i="28"/>
  <c r="K47" i="28"/>
  <c r="O46" i="28"/>
  <c r="R45" i="28"/>
  <c r="D45" i="28" a="1"/>
  <c r="D45" i="28" s="1"/>
  <c r="T45" i="27"/>
  <c r="C45" i="27" s="1" a="1"/>
  <c r="C45" i="27" s="1"/>
  <c r="R46" i="27"/>
  <c r="B45" i="27" a="1"/>
  <c r="B45" i="27" s="1"/>
  <c r="V44" i="25"/>
  <c r="C44" i="25" s="1" a="1"/>
  <c r="C44" i="25" s="1"/>
  <c r="T45" i="25"/>
  <c r="B44" i="25" a="1"/>
  <c r="B44" i="25" s="1"/>
  <c r="G56" i="1" l="1" a="1"/>
  <c r="G56" i="1" s="1"/>
  <c r="F56" i="1" a="1"/>
  <c r="F56" i="1" s="1"/>
  <c r="H56" i="1" a="1"/>
  <c r="H56" i="1" s="1"/>
  <c r="CL56" i="1" a="1"/>
  <c r="CL56" i="1" s="1"/>
  <c r="L47" i="28"/>
  <c r="CM54" i="1"/>
  <c r="CN54" i="1" s="1"/>
  <c r="CO54" i="1" s="1"/>
  <c r="CP54" i="1" s="1"/>
  <c r="CQ54" i="1" s="1"/>
  <c r="CR54" i="1" s="1"/>
  <c r="CS54" i="1" s="1"/>
  <c r="CT54" i="1" s="1"/>
  <c r="CU54" i="1" s="1"/>
  <c r="CV54" i="1" s="1"/>
  <c r="CW54" i="1" s="1"/>
  <c r="BB40" i="1"/>
  <c r="BF40" i="1"/>
  <c r="AG50" i="1"/>
  <c r="AC50" i="1"/>
  <c r="BK38" i="1"/>
  <c r="BG38" i="1"/>
  <c r="BA42" i="1"/>
  <c r="AW42" i="1"/>
  <c r="AM46" i="1"/>
  <c r="AQ46" i="1"/>
  <c r="BP36" i="1"/>
  <c r="BL36" i="1"/>
  <c r="BQ34" i="1"/>
  <c r="BU34" i="1"/>
  <c r="BV34" i="1" s="1"/>
  <c r="AV44" i="1"/>
  <c r="AR44" i="1"/>
  <c r="AH48" i="1"/>
  <c r="AL48" i="1"/>
  <c r="S54" i="1"/>
  <c r="W54" i="1"/>
  <c r="AB52" i="1"/>
  <c r="X52" i="1"/>
  <c r="DA58" i="1"/>
  <c r="R56" i="1" a="1"/>
  <c r="R56" i="1" s="1"/>
  <c r="B56" i="1"/>
  <c r="J49" i="28"/>
  <c r="K48" i="28"/>
  <c r="O47" i="28"/>
  <c r="R46" i="28"/>
  <c r="D46" i="28" a="1"/>
  <c r="D46" i="28" s="1"/>
  <c r="T46" i="27"/>
  <c r="C46" i="27" s="1" a="1"/>
  <c r="C46" i="27" s="1"/>
  <c r="R47" i="27"/>
  <c r="B46" i="27" a="1"/>
  <c r="B46" i="27" s="1"/>
  <c r="T46" i="25"/>
  <c r="B45" i="25" a="1"/>
  <c r="B45" i="25" s="1"/>
  <c r="V45" i="25"/>
  <c r="C45" i="25" s="1" a="1"/>
  <c r="C45" i="25" s="1"/>
  <c r="DA60" i="1" l="1"/>
  <c r="G58" i="1" a="1"/>
  <c r="G58" i="1" s="1"/>
  <c r="F58" i="1" a="1"/>
  <c r="F58" i="1" s="1"/>
  <c r="H58" i="1" a="1"/>
  <c r="H58" i="1" s="1"/>
  <c r="CL58" i="1" a="1"/>
  <c r="CL58" i="1" s="1"/>
  <c r="L48" i="28"/>
  <c r="R60" i="1" a="1"/>
  <c r="R60" i="1" s="1"/>
  <c r="DA62" i="1"/>
  <c r="CL62" i="1" s="1" a="1"/>
  <c r="CL62" i="1" s="1"/>
  <c r="B60" i="1"/>
  <c r="CX54" i="1"/>
  <c r="AC52" i="1"/>
  <c r="AG52" i="1"/>
  <c r="BP38" i="1"/>
  <c r="BL38" i="1"/>
  <c r="AB54" i="1"/>
  <c r="X54" i="1"/>
  <c r="B58" i="1"/>
  <c r="R58" i="1" a="1"/>
  <c r="R58" i="1" s="1"/>
  <c r="BU36" i="1"/>
  <c r="BV36" i="1" s="1"/>
  <c r="BQ36" i="1"/>
  <c r="AH50" i="1"/>
  <c r="AL50" i="1"/>
  <c r="AQ48" i="1"/>
  <c r="AM48" i="1"/>
  <c r="AV46" i="1"/>
  <c r="AR46" i="1"/>
  <c r="BK40" i="1"/>
  <c r="BG40" i="1"/>
  <c r="S56" i="1"/>
  <c r="W56" i="1"/>
  <c r="CM56" i="1"/>
  <c r="CN56" i="1" s="1"/>
  <c r="CO56" i="1" s="1"/>
  <c r="CP56" i="1" s="1"/>
  <c r="CQ56" i="1" s="1"/>
  <c r="CR56" i="1" s="1"/>
  <c r="CS56" i="1" s="1"/>
  <c r="CT56" i="1" s="1"/>
  <c r="CU56" i="1" s="1"/>
  <c r="CV56" i="1" s="1"/>
  <c r="CW56" i="1" s="1"/>
  <c r="BA44" i="1"/>
  <c r="AW44" i="1"/>
  <c r="BB42" i="1"/>
  <c r="BF42" i="1"/>
  <c r="J50" i="28"/>
  <c r="K49" i="28"/>
  <c r="O48" i="28"/>
  <c r="R47" i="28"/>
  <c r="D47" i="28" a="1"/>
  <c r="D47" i="28" s="1"/>
  <c r="R48" i="27"/>
  <c r="B47" i="27" a="1"/>
  <c r="B47" i="27" s="1"/>
  <c r="T47" i="27"/>
  <c r="C47" i="27" s="1" a="1"/>
  <c r="C47" i="27" s="1"/>
  <c r="T47" i="25"/>
  <c r="B46" i="25" a="1"/>
  <c r="B46" i="25" s="1"/>
  <c r="V46" i="25"/>
  <c r="C46" i="25" s="1" a="1"/>
  <c r="C46" i="25" s="1"/>
  <c r="F62" i="1" l="1" a="1"/>
  <c r="F62" i="1" s="1"/>
  <c r="G62" i="1" a="1"/>
  <c r="G62" i="1" s="1"/>
  <c r="H62" i="1" a="1"/>
  <c r="H62" i="1" s="1"/>
  <c r="F60" i="1" a="1"/>
  <c r="F60" i="1" s="1"/>
  <c r="G60" i="1" a="1"/>
  <c r="G60" i="1" s="1"/>
  <c r="H60" i="1" a="1"/>
  <c r="H60" i="1" s="1"/>
  <c r="CL60" i="1" a="1"/>
  <c r="CL60" i="1" s="1"/>
  <c r="CM60" i="1" s="1"/>
  <c r="CN60" i="1" s="1"/>
  <c r="CO60" i="1" s="1"/>
  <c r="CP60" i="1" s="1"/>
  <c r="CQ60" i="1" s="1"/>
  <c r="CR60" i="1" s="1"/>
  <c r="CS60" i="1" s="1"/>
  <c r="CT60" i="1" s="1"/>
  <c r="CU60" i="1" s="1"/>
  <c r="CV60" i="1" s="1"/>
  <c r="CW60" i="1" s="1"/>
  <c r="L49" i="28"/>
  <c r="CL64" i="1" a="1"/>
  <c r="CL64" i="1" s="1"/>
  <c r="W60" i="1"/>
  <c r="S60" i="1"/>
  <c r="CX56" i="1"/>
  <c r="CM58" i="1"/>
  <c r="CN58" i="1" s="1"/>
  <c r="CO58" i="1" s="1"/>
  <c r="CP58" i="1" s="1"/>
  <c r="CQ58" i="1" s="1"/>
  <c r="CR58" i="1" s="1"/>
  <c r="CS58" i="1" s="1"/>
  <c r="CT58" i="1" s="1"/>
  <c r="CU58" i="1" s="1"/>
  <c r="CV58" i="1" s="1"/>
  <c r="CW58" i="1" s="1"/>
  <c r="AR48" i="1"/>
  <c r="AV48" i="1"/>
  <c r="AB56" i="1"/>
  <c r="X56" i="1"/>
  <c r="AM50" i="1"/>
  <c r="AQ50" i="1"/>
  <c r="AC54" i="1"/>
  <c r="AG54" i="1"/>
  <c r="BK42" i="1"/>
  <c r="BG42" i="1"/>
  <c r="BP40" i="1"/>
  <c r="BL40" i="1"/>
  <c r="BU38" i="1"/>
  <c r="BV38" i="1" s="1"/>
  <c r="BQ38" i="1"/>
  <c r="W58" i="1"/>
  <c r="S58" i="1"/>
  <c r="AL52" i="1"/>
  <c r="AH52" i="1"/>
  <c r="BF44" i="1"/>
  <c r="BB44" i="1"/>
  <c r="BA46" i="1"/>
  <c r="AW46" i="1"/>
  <c r="R62" i="1" a="1"/>
  <c r="R62" i="1" s="1"/>
  <c r="DA64" i="1"/>
  <c r="B62" i="1"/>
  <c r="K50" i="28"/>
  <c r="J51" i="28"/>
  <c r="O49" i="28"/>
  <c r="R48" i="28"/>
  <c r="D48" i="28" a="1"/>
  <c r="D48" i="28" s="1"/>
  <c r="T48" i="27"/>
  <c r="C48" i="27" s="1" a="1"/>
  <c r="C48" i="27" s="1"/>
  <c r="R49" i="27"/>
  <c r="B48" i="27" a="1"/>
  <c r="B48" i="27" s="1"/>
  <c r="V47" i="25"/>
  <c r="C47" i="25" s="1" a="1"/>
  <c r="C47" i="25" s="1"/>
  <c r="T48" i="25"/>
  <c r="B47" i="25" a="1"/>
  <c r="B47" i="25" s="1"/>
  <c r="G64" i="1" l="1" a="1"/>
  <c r="G64" i="1" s="1"/>
  <c r="F64" i="1" a="1"/>
  <c r="F64" i="1" s="1"/>
  <c r="H64" i="1" a="1"/>
  <c r="H64" i="1" s="1"/>
  <c r="L50" i="28"/>
  <c r="CX60" i="1"/>
  <c r="X60" i="1"/>
  <c r="AB60" i="1"/>
  <c r="AR50" i="1"/>
  <c r="AV50" i="1"/>
  <c r="CM62" i="1"/>
  <c r="CN62" i="1" s="1"/>
  <c r="CO62" i="1" s="1"/>
  <c r="CP62" i="1" s="1"/>
  <c r="CQ62" i="1" s="1"/>
  <c r="CR62" i="1" s="1"/>
  <c r="CS62" i="1" s="1"/>
  <c r="CT62" i="1" s="1"/>
  <c r="CU62" i="1" s="1"/>
  <c r="CV62" i="1" s="1"/>
  <c r="CW62" i="1" s="1"/>
  <c r="BB46" i="1"/>
  <c r="BF46" i="1"/>
  <c r="BK44" i="1"/>
  <c r="BG44" i="1"/>
  <c r="BU40" i="1"/>
  <c r="BV40" i="1" s="1"/>
  <c r="BQ40" i="1"/>
  <c r="AC56" i="1"/>
  <c r="AG56" i="1"/>
  <c r="BA48" i="1"/>
  <c r="AW48" i="1"/>
  <c r="DA66" i="1"/>
  <c r="R64" i="1" a="1"/>
  <c r="R64" i="1" s="1"/>
  <c r="B64" i="1"/>
  <c r="AQ52" i="1"/>
  <c r="AM52" i="1"/>
  <c r="BL42" i="1"/>
  <c r="BP42" i="1"/>
  <c r="X58" i="1"/>
  <c r="AB58" i="1"/>
  <c r="S62" i="1"/>
  <c r="W62" i="1"/>
  <c r="AH54" i="1"/>
  <c r="AL54" i="1"/>
  <c r="CX58" i="1"/>
  <c r="J52" i="28"/>
  <c r="K51" i="28"/>
  <c r="O50" i="28"/>
  <c r="R49" i="28"/>
  <c r="D49" i="28" a="1"/>
  <c r="D49" i="28" s="1"/>
  <c r="T49" i="27"/>
  <c r="C49" i="27" s="1" a="1"/>
  <c r="C49" i="27" s="1"/>
  <c r="B49" i="27" a="1"/>
  <c r="B49" i="27" s="1"/>
  <c r="R50" i="27"/>
  <c r="V48" i="25"/>
  <c r="C48" i="25" s="1" a="1"/>
  <c r="C48" i="25" s="1"/>
  <c r="B48" i="25" a="1"/>
  <c r="B48" i="25" s="1"/>
  <c r="T49" i="25"/>
  <c r="G66" i="1" l="1" a="1"/>
  <c r="G66" i="1" s="1"/>
  <c r="F66" i="1" a="1"/>
  <c r="F66" i="1" s="1"/>
  <c r="H66" i="1" a="1"/>
  <c r="H66" i="1" s="1"/>
  <c r="CL66" i="1" a="1"/>
  <c r="CL66" i="1" s="1"/>
  <c r="L51" i="28"/>
  <c r="AG60" i="1"/>
  <c r="AC60" i="1"/>
  <c r="AC58" i="1"/>
  <c r="AG58" i="1"/>
  <c r="R66" i="1" a="1"/>
  <c r="R66" i="1" s="1"/>
  <c r="DA68" i="1"/>
  <c r="B66" i="1"/>
  <c r="CM64" i="1"/>
  <c r="CN64" i="1" s="1"/>
  <c r="CO64" i="1" s="1"/>
  <c r="CP64" i="1" s="1"/>
  <c r="CQ64" i="1" s="1"/>
  <c r="CR64" i="1" s="1"/>
  <c r="CS64" i="1" s="1"/>
  <c r="CT64" i="1" s="1"/>
  <c r="CU64" i="1" s="1"/>
  <c r="CV64" i="1" s="1"/>
  <c r="CW64" i="1" s="1"/>
  <c r="BP44" i="1"/>
  <c r="BL44" i="1"/>
  <c r="BU42" i="1"/>
  <c r="BV42" i="1" s="1"/>
  <c r="BQ42" i="1"/>
  <c r="BK46" i="1"/>
  <c r="BG46" i="1"/>
  <c r="BB48" i="1"/>
  <c r="BF48" i="1"/>
  <c r="AM54" i="1"/>
  <c r="AQ54" i="1"/>
  <c r="AH56" i="1"/>
  <c r="AL56" i="1"/>
  <c r="CX62" i="1"/>
  <c r="AV52" i="1"/>
  <c r="AR52" i="1"/>
  <c r="X62" i="1"/>
  <c r="AB62" i="1"/>
  <c r="AW50" i="1"/>
  <c r="BA50" i="1"/>
  <c r="W64" i="1"/>
  <c r="S64" i="1"/>
  <c r="K52" i="28"/>
  <c r="J53" i="28"/>
  <c r="O51" i="28"/>
  <c r="R50" i="28"/>
  <c r="D50" i="28" a="1"/>
  <c r="D50" i="28" s="1"/>
  <c r="R51" i="27"/>
  <c r="B50" i="27" a="1"/>
  <c r="B50" i="27" s="1"/>
  <c r="T50" i="27"/>
  <c r="C50" i="27" s="1" a="1"/>
  <c r="C50" i="27" s="1"/>
  <c r="T50" i="25"/>
  <c r="B49" i="25" a="1"/>
  <c r="B49" i="25" s="1"/>
  <c r="V49" i="25"/>
  <c r="C49" i="25" s="1" a="1"/>
  <c r="C49" i="25" s="1"/>
  <c r="G68" i="1" l="1" a="1"/>
  <c r="G68" i="1" s="1"/>
  <c r="F68" i="1" a="1"/>
  <c r="F68" i="1" s="1"/>
  <c r="H68" i="1" a="1"/>
  <c r="H68" i="1" s="1"/>
  <c r="CL68" i="1" a="1"/>
  <c r="CL68" i="1" s="1"/>
  <c r="L52" i="28"/>
  <c r="AH60" i="1"/>
  <c r="AL60" i="1"/>
  <c r="AC62" i="1"/>
  <c r="AG62" i="1"/>
  <c r="BK48" i="1"/>
  <c r="BG48" i="1"/>
  <c r="CX64" i="1"/>
  <c r="AW52" i="1"/>
  <c r="BA52" i="1"/>
  <c r="BL46" i="1"/>
  <c r="BP46" i="1"/>
  <c r="CM66" i="1"/>
  <c r="CN66" i="1" s="1"/>
  <c r="CO66" i="1" s="1"/>
  <c r="CP66" i="1" s="1"/>
  <c r="CQ66" i="1" s="1"/>
  <c r="CR66" i="1" s="1"/>
  <c r="CS66" i="1" s="1"/>
  <c r="CT66" i="1" s="1"/>
  <c r="CU66" i="1" s="1"/>
  <c r="CV66" i="1" s="1"/>
  <c r="CW66" i="1" s="1"/>
  <c r="DA70" i="1"/>
  <c r="CL70" i="1" s="1" a="1"/>
  <c r="CL70" i="1" s="1"/>
  <c r="R68" i="1" a="1"/>
  <c r="R68" i="1" s="1"/>
  <c r="B68" i="1"/>
  <c r="X64" i="1"/>
  <c r="AB64" i="1"/>
  <c r="AQ56" i="1"/>
  <c r="AM56" i="1"/>
  <c r="BB50" i="1"/>
  <c r="BF50" i="1"/>
  <c r="S66" i="1"/>
  <c r="W66" i="1"/>
  <c r="AH58" i="1"/>
  <c r="AL58" i="1"/>
  <c r="AV54" i="1"/>
  <c r="AR54" i="1"/>
  <c r="BQ44" i="1"/>
  <c r="BU44" i="1"/>
  <c r="BV44" i="1" s="1"/>
  <c r="K53" i="28"/>
  <c r="J54" i="28"/>
  <c r="O52" i="28"/>
  <c r="R51" i="28"/>
  <c r="D51" i="28" a="1"/>
  <c r="D51" i="28" s="1"/>
  <c r="T51" i="27"/>
  <c r="C51" i="27" s="1" a="1"/>
  <c r="C51" i="27" s="1"/>
  <c r="R52" i="27"/>
  <c r="B51" i="27" a="1"/>
  <c r="B51" i="27" s="1"/>
  <c r="V50" i="25"/>
  <c r="C50" i="25" s="1" a="1"/>
  <c r="C50" i="25" s="1"/>
  <c r="T51" i="25"/>
  <c r="B50" i="25" a="1"/>
  <c r="B50" i="25" s="1"/>
  <c r="G70" i="1" l="1" a="1"/>
  <c r="G70" i="1" s="1"/>
  <c r="F70" i="1" a="1"/>
  <c r="F70" i="1" s="1"/>
  <c r="H70" i="1" a="1"/>
  <c r="H70" i="1" s="1"/>
  <c r="L53" i="28"/>
  <c r="AQ60" i="1"/>
  <c r="AM60" i="1"/>
  <c r="CX66" i="1"/>
  <c r="X66" i="1"/>
  <c r="AB66" i="1"/>
  <c r="CM68" i="1"/>
  <c r="CN68" i="1" s="1"/>
  <c r="CO68" i="1" s="1"/>
  <c r="CP68" i="1" s="1"/>
  <c r="CQ68" i="1" s="1"/>
  <c r="CR68" i="1" s="1"/>
  <c r="CS68" i="1" s="1"/>
  <c r="CT68" i="1" s="1"/>
  <c r="CU68" i="1" s="1"/>
  <c r="CV68" i="1" s="1"/>
  <c r="CW68" i="1" s="1"/>
  <c r="BB52" i="1"/>
  <c r="BF52" i="1"/>
  <c r="BK50" i="1"/>
  <c r="BG50" i="1"/>
  <c r="S68" i="1"/>
  <c r="W68" i="1"/>
  <c r="DA72" i="1"/>
  <c r="R70" i="1" a="1"/>
  <c r="R70" i="1" s="1"/>
  <c r="B70" i="1"/>
  <c r="BP48" i="1"/>
  <c r="BL48" i="1"/>
  <c r="AW54" i="1"/>
  <c r="BA54" i="1"/>
  <c r="AV56" i="1"/>
  <c r="AR56" i="1"/>
  <c r="AH62" i="1"/>
  <c r="AL62" i="1"/>
  <c r="AQ58" i="1"/>
  <c r="AM58" i="1"/>
  <c r="AG64" i="1"/>
  <c r="AC64" i="1"/>
  <c r="BQ46" i="1"/>
  <c r="BU46" i="1"/>
  <c r="BV46" i="1" s="1"/>
  <c r="K54" i="28"/>
  <c r="J55" i="28"/>
  <c r="O53" i="28"/>
  <c r="R52" i="28"/>
  <c r="D52" i="28" a="1"/>
  <c r="D52" i="28" s="1"/>
  <c r="R53" i="27"/>
  <c r="B52" i="27" a="1"/>
  <c r="B52" i="27" s="1"/>
  <c r="T52" i="27"/>
  <c r="C52" i="27" s="1" a="1"/>
  <c r="C52" i="27" s="1"/>
  <c r="T52" i="25"/>
  <c r="B51" i="25" a="1"/>
  <c r="B51" i="25" s="1"/>
  <c r="V51" i="25"/>
  <c r="C51" i="25" s="1" a="1"/>
  <c r="C51" i="25" s="1"/>
  <c r="F72" i="1" l="1" a="1"/>
  <c r="F72" i="1" s="1"/>
  <c r="G72" i="1" a="1"/>
  <c r="G72" i="1" s="1"/>
  <c r="H72" i="1" a="1"/>
  <c r="H72" i="1" s="1"/>
  <c r="CL72" i="1" a="1"/>
  <c r="CL72" i="1" s="1"/>
  <c r="L54" i="28"/>
  <c r="AV60" i="1"/>
  <c r="AR60" i="1"/>
  <c r="AR58" i="1"/>
  <c r="AV58" i="1"/>
  <c r="BU48" i="1"/>
  <c r="BV48" i="1" s="1"/>
  <c r="BQ48" i="1"/>
  <c r="BL50" i="1"/>
  <c r="BP50" i="1"/>
  <c r="AM62" i="1"/>
  <c r="AQ62" i="1"/>
  <c r="CM70" i="1"/>
  <c r="CN70" i="1" s="1"/>
  <c r="CO70" i="1" s="1"/>
  <c r="CP70" i="1" s="1"/>
  <c r="CQ70" i="1" s="1"/>
  <c r="CR70" i="1" s="1"/>
  <c r="CS70" i="1" s="1"/>
  <c r="CT70" i="1" s="1"/>
  <c r="CU70" i="1" s="1"/>
  <c r="CV70" i="1" s="1"/>
  <c r="CW70" i="1" s="1"/>
  <c r="BG52" i="1"/>
  <c r="BK52" i="1"/>
  <c r="AH64" i="1"/>
  <c r="AL64" i="1"/>
  <c r="S70" i="1"/>
  <c r="W70" i="1"/>
  <c r="CX68" i="1"/>
  <c r="BA56" i="1"/>
  <c r="AW56" i="1"/>
  <c r="B72" i="1"/>
  <c r="R72" i="1" a="1"/>
  <c r="R72" i="1" s="1"/>
  <c r="DA74" i="1"/>
  <c r="CL74" i="1" s="1" a="1"/>
  <c r="CL74" i="1" s="1"/>
  <c r="BF54" i="1"/>
  <c r="BB54" i="1"/>
  <c r="AB68" i="1"/>
  <c r="X68" i="1"/>
  <c r="AG66" i="1"/>
  <c r="AC66" i="1"/>
  <c r="J56" i="28"/>
  <c r="K55" i="28"/>
  <c r="O54" i="28"/>
  <c r="R53" i="28"/>
  <c r="D53" i="28" a="1"/>
  <c r="D53" i="28" s="1"/>
  <c r="T53" i="27"/>
  <c r="C53" i="27" s="1" a="1"/>
  <c r="C53" i="27" s="1"/>
  <c r="B53" i="27" a="1"/>
  <c r="B53" i="27" s="1"/>
  <c r="R54" i="27"/>
  <c r="V52" i="25"/>
  <c r="C52" i="25" s="1" a="1"/>
  <c r="C52" i="25" s="1"/>
  <c r="T53" i="25"/>
  <c r="B52" i="25" a="1"/>
  <c r="B52" i="25" s="1"/>
  <c r="F74" i="1" l="1" a="1"/>
  <c r="F74" i="1" s="1"/>
  <c r="G74" i="1" a="1"/>
  <c r="G74" i="1" s="1"/>
  <c r="H74" i="1" a="1"/>
  <c r="H74" i="1" s="1"/>
  <c r="L55" i="28"/>
  <c r="AW60" i="1"/>
  <c r="BA60" i="1"/>
  <c r="BK54" i="1"/>
  <c r="BG54" i="1"/>
  <c r="X70" i="1"/>
  <c r="AB70" i="1"/>
  <c r="AV62" i="1"/>
  <c r="AR62" i="1"/>
  <c r="DA76" i="1"/>
  <c r="CL76" i="1" s="1" a="1"/>
  <c r="CL76" i="1" s="1"/>
  <c r="B74" i="1"/>
  <c r="CM74" i="1"/>
  <c r="CN74" i="1" s="1"/>
  <c r="CO74" i="1" s="1"/>
  <c r="CP74" i="1" s="1"/>
  <c r="CQ74" i="1" s="1"/>
  <c r="CR74" i="1" s="1"/>
  <c r="CS74" i="1" s="1"/>
  <c r="CT74" i="1" s="1"/>
  <c r="CU74" i="1" s="1"/>
  <c r="CV74" i="1" s="1"/>
  <c r="CW74" i="1" s="1"/>
  <c r="CX74" i="1" s="1"/>
  <c r="R74" i="1" a="1"/>
  <c r="R74" i="1" s="1"/>
  <c r="W72" i="1"/>
  <c r="S72" i="1"/>
  <c r="AM64" i="1"/>
  <c r="AQ64" i="1"/>
  <c r="BU50" i="1"/>
  <c r="BV50" i="1" s="1"/>
  <c r="BQ50" i="1"/>
  <c r="CM72" i="1"/>
  <c r="CN72" i="1" s="1"/>
  <c r="CO72" i="1" s="1"/>
  <c r="CP72" i="1" s="1"/>
  <c r="CQ72" i="1" s="1"/>
  <c r="CR72" i="1" s="1"/>
  <c r="CS72" i="1" s="1"/>
  <c r="CT72" i="1" s="1"/>
  <c r="CU72" i="1" s="1"/>
  <c r="CV72" i="1" s="1"/>
  <c r="CW72" i="1" s="1"/>
  <c r="AH66" i="1"/>
  <c r="AL66" i="1"/>
  <c r="BP52" i="1"/>
  <c r="BL52" i="1"/>
  <c r="AC68" i="1"/>
  <c r="AG68" i="1"/>
  <c r="BB56" i="1"/>
  <c r="BF56" i="1"/>
  <c r="CX70" i="1"/>
  <c r="BA58" i="1"/>
  <c r="AW58" i="1"/>
  <c r="J57" i="28"/>
  <c r="K56" i="28"/>
  <c r="O55" i="28"/>
  <c r="R54" i="28"/>
  <c r="D54" i="28" a="1"/>
  <c r="D54" i="28" s="1"/>
  <c r="T54" i="27"/>
  <c r="C54" i="27" s="1" a="1"/>
  <c r="C54" i="27" s="1"/>
  <c r="R55" i="27"/>
  <c r="B54" i="27" a="1"/>
  <c r="B54" i="27" s="1"/>
  <c r="T54" i="25"/>
  <c r="B53" i="25" a="1"/>
  <c r="B53" i="25" s="1"/>
  <c r="V53" i="25"/>
  <c r="C53" i="25" s="1" a="1"/>
  <c r="C53" i="25" s="1"/>
  <c r="F76" i="1" l="1" a="1"/>
  <c r="F76" i="1" s="1"/>
  <c r="G76" i="1" a="1"/>
  <c r="G76" i="1" s="1"/>
  <c r="H76" i="1" a="1"/>
  <c r="H76" i="1" s="1"/>
  <c r="L56" i="28"/>
  <c r="CL78" i="1" a="1"/>
  <c r="CL78" i="1" s="1"/>
  <c r="BF60" i="1"/>
  <c r="BB60" i="1"/>
  <c r="BL54" i="1"/>
  <c r="BP54" i="1"/>
  <c r="AH68" i="1"/>
  <c r="AL68" i="1"/>
  <c r="R76" i="1" a="1"/>
  <c r="R76" i="1" s="1"/>
  <c r="B76" i="1"/>
  <c r="DA78" i="1"/>
  <c r="AV64" i="1"/>
  <c r="AR64" i="1"/>
  <c r="BU52" i="1"/>
  <c r="BV52" i="1" s="1"/>
  <c r="BQ52" i="1"/>
  <c r="BA62" i="1"/>
  <c r="AW62" i="1"/>
  <c r="BF58" i="1"/>
  <c r="BB58" i="1"/>
  <c r="AM66" i="1"/>
  <c r="AQ66" i="1"/>
  <c r="AG70" i="1"/>
  <c r="AC70" i="1"/>
  <c r="AB72" i="1"/>
  <c r="X72" i="1"/>
  <c r="BK56" i="1"/>
  <c r="BG56" i="1"/>
  <c r="CX72" i="1"/>
  <c r="S74" i="1"/>
  <c r="W74" i="1"/>
  <c r="K57" i="28"/>
  <c r="O56" i="28"/>
  <c r="R55" i="28"/>
  <c r="D55" i="28" a="1"/>
  <c r="D55" i="28" s="1"/>
  <c r="R56" i="27"/>
  <c r="B55" i="27" a="1"/>
  <c r="B55" i="27" s="1"/>
  <c r="T55" i="27"/>
  <c r="C55" i="27" s="1" a="1"/>
  <c r="C55" i="27" s="1"/>
  <c r="V54" i="25"/>
  <c r="C54" i="25" s="1" a="1"/>
  <c r="C54" i="25" s="1"/>
  <c r="T55" i="25"/>
  <c r="B54" i="25" a="1"/>
  <c r="B54" i="25" s="1"/>
  <c r="G78" i="1" l="1" a="1"/>
  <c r="G78" i="1" s="1"/>
  <c r="F78" i="1" a="1"/>
  <c r="F78" i="1" s="1"/>
  <c r="H78" i="1" a="1"/>
  <c r="H78" i="1" s="1"/>
  <c r="L57" i="28"/>
  <c r="CL80" i="1" a="1"/>
  <c r="CL80" i="1" s="1"/>
  <c r="BK60" i="1"/>
  <c r="BG60" i="1"/>
  <c r="CM76" i="1"/>
  <c r="CN76" i="1" s="1"/>
  <c r="CO76" i="1" s="1"/>
  <c r="CP76" i="1" s="1"/>
  <c r="CQ76" i="1" s="1"/>
  <c r="CR76" i="1" s="1"/>
  <c r="CS76" i="1" s="1"/>
  <c r="CT76" i="1" s="1"/>
  <c r="CU76" i="1" s="1"/>
  <c r="CV76" i="1" s="1"/>
  <c r="CW76" i="1" s="1"/>
  <c r="BL56" i="1"/>
  <c r="BP56" i="1"/>
  <c r="BK58" i="1"/>
  <c r="BG58" i="1"/>
  <c r="B78" i="1"/>
  <c r="DA80" i="1"/>
  <c r="R78" i="1" a="1"/>
  <c r="R78" i="1" s="1"/>
  <c r="AG72" i="1"/>
  <c r="AC72" i="1"/>
  <c r="BF62" i="1"/>
  <c r="BB62" i="1"/>
  <c r="W76" i="1"/>
  <c r="S76" i="1"/>
  <c r="AQ68" i="1"/>
  <c r="AM68" i="1"/>
  <c r="AB74" i="1"/>
  <c r="X74" i="1"/>
  <c r="AH70" i="1"/>
  <c r="AL70" i="1"/>
  <c r="AV66" i="1"/>
  <c r="AR66" i="1"/>
  <c r="BQ54" i="1"/>
  <c r="BU54" i="1"/>
  <c r="BV54" i="1" s="1"/>
  <c r="AW64" i="1"/>
  <c r="BA64" i="1"/>
  <c r="K58" i="28"/>
  <c r="J59" i="28"/>
  <c r="O57" i="28"/>
  <c r="R56" i="28"/>
  <c r="D56" i="28" a="1"/>
  <c r="D56" i="28" s="1"/>
  <c r="T56" i="27"/>
  <c r="C56" i="27" s="1" a="1"/>
  <c r="C56" i="27" s="1"/>
  <c r="R57" i="27"/>
  <c r="B56" i="27" a="1"/>
  <c r="B56" i="27" s="1"/>
  <c r="T56" i="25"/>
  <c r="B55" i="25" a="1"/>
  <c r="B55" i="25" s="1"/>
  <c r="V55" i="25"/>
  <c r="C55" i="25" s="1" a="1"/>
  <c r="C55" i="25" s="1"/>
  <c r="G80" i="1" l="1" a="1"/>
  <c r="G80" i="1" s="1"/>
  <c r="F80" i="1" a="1"/>
  <c r="F80" i="1" s="1"/>
  <c r="H80" i="1" a="1"/>
  <c r="H80" i="1" s="1"/>
  <c r="L58" i="28"/>
  <c r="BL60" i="1"/>
  <c r="BP60" i="1"/>
  <c r="CX76" i="1"/>
  <c r="DA82" i="1"/>
  <c r="R80" i="1" a="1"/>
  <c r="R80" i="1" s="1"/>
  <c r="B80" i="1"/>
  <c r="BA66" i="1"/>
  <c r="AW66" i="1"/>
  <c r="X76" i="1"/>
  <c r="AB76" i="1"/>
  <c r="AM70" i="1"/>
  <c r="AQ70" i="1"/>
  <c r="BG62" i="1"/>
  <c r="BK62" i="1"/>
  <c r="BP58" i="1"/>
  <c r="BL58" i="1"/>
  <c r="BF64" i="1"/>
  <c r="BB64" i="1"/>
  <c r="BU56" i="1"/>
  <c r="BV56" i="1" s="1"/>
  <c r="BQ56" i="1"/>
  <c r="AC74" i="1"/>
  <c r="AG74" i="1"/>
  <c r="AH72" i="1"/>
  <c r="AL72" i="1"/>
  <c r="S78" i="1"/>
  <c r="W78" i="1"/>
  <c r="AV68" i="1"/>
  <c r="AR68" i="1"/>
  <c r="CM78" i="1"/>
  <c r="CN78" i="1" s="1"/>
  <c r="CO78" i="1" s="1"/>
  <c r="CP78" i="1" s="1"/>
  <c r="CQ78" i="1" s="1"/>
  <c r="CR78" i="1" s="1"/>
  <c r="CS78" i="1" s="1"/>
  <c r="CT78" i="1" s="1"/>
  <c r="CU78" i="1" s="1"/>
  <c r="CV78" i="1" s="1"/>
  <c r="CW78" i="1" s="1"/>
  <c r="J60" i="28"/>
  <c r="K59" i="28"/>
  <c r="O58" i="28"/>
  <c r="R57" i="28"/>
  <c r="D57" i="28" a="1"/>
  <c r="D57" i="28" s="1"/>
  <c r="B57" i="27" a="1"/>
  <c r="B57" i="27" s="1"/>
  <c r="R58" i="27"/>
  <c r="T57" i="27"/>
  <c r="C57" i="27" s="1" a="1"/>
  <c r="C57" i="27" s="1"/>
  <c r="V56" i="25"/>
  <c r="C56" i="25" s="1" a="1"/>
  <c r="C56" i="25" s="1"/>
  <c r="T57" i="25"/>
  <c r="B56" i="25" a="1"/>
  <c r="B56" i="25" s="1"/>
  <c r="G82" i="1" l="1" a="1"/>
  <c r="G82" i="1" s="1"/>
  <c r="F82" i="1" a="1"/>
  <c r="F82" i="1" s="1"/>
  <c r="H82" i="1" a="1"/>
  <c r="H82" i="1" s="1"/>
  <c r="CL82" i="1" a="1"/>
  <c r="CL82" i="1" s="1"/>
  <c r="L59" i="28"/>
  <c r="BU60" i="1"/>
  <c r="BV60" i="1" s="1"/>
  <c r="BQ60" i="1"/>
  <c r="AB78" i="1"/>
  <c r="X78" i="1"/>
  <c r="BK64" i="1"/>
  <c r="BG64" i="1"/>
  <c r="AG76" i="1"/>
  <c r="AC76" i="1"/>
  <c r="AQ72" i="1"/>
  <c r="AM72" i="1"/>
  <c r="BQ58" i="1"/>
  <c r="BU58" i="1"/>
  <c r="BV58" i="1" s="1"/>
  <c r="BB66" i="1"/>
  <c r="BF66" i="1"/>
  <c r="CX78" i="1"/>
  <c r="AH74" i="1"/>
  <c r="AL74" i="1"/>
  <c r="BL62" i="1"/>
  <c r="BP62" i="1"/>
  <c r="CM80" i="1"/>
  <c r="CN80" i="1" s="1"/>
  <c r="CO80" i="1" s="1"/>
  <c r="CP80" i="1" s="1"/>
  <c r="CQ80" i="1" s="1"/>
  <c r="CR80" i="1" s="1"/>
  <c r="CS80" i="1" s="1"/>
  <c r="CT80" i="1" s="1"/>
  <c r="CU80" i="1" s="1"/>
  <c r="CV80" i="1" s="1"/>
  <c r="CW80" i="1" s="1"/>
  <c r="AR70" i="1"/>
  <c r="AV70" i="1"/>
  <c r="S80" i="1"/>
  <c r="W80" i="1"/>
  <c r="BA68" i="1"/>
  <c r="AW68" i="1"/>
  <c r="DA84" i="1"/>
  <c r="R82" i="1" a="1"/>
  <c r="R82" i="1" s="1"/>
  <c r="B82" i="1"/>
  <c r="K60" i="28"/>
  <c r="J61" i="28"/>
  <c r="O59" i="28"/>
  <c r="R58" i="28"/>
  <c r="D58" i="28" a="1"/>
  <c r="D58" i="28" s="1"/>
  <c r="R59" i="27"/>
  <c r="B58" i="27" a="1"/>
  <c r="B58" i="27" s="1"/>
  <c r="T58" i="27"/>
  <c r="C58" i="27" s="1" a="1"/>
  <c r="C58" i="27" s="1"/>
  <c r="T58" i="25"/>
  <c r="B57" i="25" a="1"/>
  <c r="B57" i="25" s="1"/>
  <c r="V57" i="25"/>
  <c r="C57" i="25" s="1" a="1"/>
  <c r="C57" i="25" s="1"/>
  <c r="F84" i="1" l="1" a="1"/>
  <c r="F84" i="1" s="1"/>
  <c r="G84" i="1" a="1"/>
  <c r="G84" i="1" s="1"/>
  <c r="H84" i="1" a="1"/>
  <c r="H84" i="1" s="1"/>
  <c r="CL84" i="1" a="1"/>
  <c r="CL84" i="1" s="1"/>
  <c r="L60" i="28"/>
  <c r="CL86" i="1" a="1"/>
  <c r="CL86" i="1" s="1"/>
  <c r="X80" i="1"/>
  <c r="AB80" i="1"/>
  <c r="AQ74" i="1"/>
  <c r="AM74" i="1"/>
  <c r="AV72" i="1"/>
  <c r="AR72" i="1"/>
  <c r="BA70" i="1"/>
  <c r="AW70" i="1"/>
  <c r="AL76" i="1"/>
  <c r="AH76" i="1"/>
  <c r="CM82" i="1"/>
  <c r="CN82" i="1" s="1"/>
  <c r="CO82" i="1" s="1"/>
  <c r="CP82" i="1" s="1"/>
  <c r="CQ82" i="1" s="1"/>
  <c r="CR82" i="1" s="1"/>
  <c r="CS82" i="1" s="1"/>
  <c r="CT82" i="1" s="1"/>
  <c r="CU82" i="1" s="1"/>
  <c r="CV82" i="1" s="1"/>
  <c r="CW82" i="1" s="1"/>
  <c r="BK66" i="1"/>
  <c r="BG66" i="1"/>
  <c r="W82" i="1"/>
  <c r="S82" i="1"/>
  <c r="CX80" i="1"/>
  <c r="BL64" i="1"/>
  <c r="BP64" i="1"/>
  <c r="B84" i="1"/>
  <c r="R84" i="1" a="1"/>
  <c r="R84" i="1" s="1"/>
  <c r="DA86" i="1"/>
  <c r="BF68" i="1"/>
  <c r="BB68" i="1"/>
  <c r="BU62" i="1"/>
  <c r="BV62" i="1" s="1"/>
  <c r="BQ62" i="1"/>
  <c r="AG78" i="1"/>
  <c r="AC78" i="1"/>
  <c r="J62" i="28"/>
  <c r="K61" i="28"/>
  <c r="O60" i="28"/>
  <c r="R59" i="28"/>
  <c r="D59" i="28" a="1"/>
  <c r="D59" i="28" s="1"/>
  <c r="T59" i="27"/>
  <c r="C59" i="27" s="1" a="1"/>
  <c r="C59" i="27" s="1"/>
  <c r="R60" i="27"/>
  <c r="B59" i="27" a="1"/>
  <c r="B59" i="27" s="1"/>
  <c r="V58" i="25"/>
  <c r="C58" i="25" s="1" a="1"/>
  <c r="C58" i="25" s="1"/>
  <c r="T59" i="25"/>
  <c r="B58" i="25" a="1"/>
  <c r="B58" i="25" s="1"/>
  <c r="F86" i="1" l="1" a="1"/>
  <c r="F86" i="1" s="1"/>
  <c r="G86" i="1" a="1"/>
  <c r="G86" i="1" s="1"/>
  <c r="H86" i="1" a="1"/>
  <c r="H86" i="1" s="1"/>
  <c r="L61" i="28"/>
  <c r="CX82" i="1"/>
  <c r="B86" i="1"/>
  <c r="DA88" i="1"/>
  <c r="R86" i="1" a="1"/>
  <c r="R86" i="1" s="1"/>
  <c r="X82" i="1"/>
  <c r="AB82" i="1"/>
  <c r="BF70" i="1"/>
  <c r="BB70" i="1"/>
  <c r="S84" i="1"/>
  <c r="W84" i="1"/>
  <c r="BK68" i="1"/>
  <c r="BG68" i="1"/>
  <c r="BL66" i="1"/>
  <c r="BP66" i="1"/>
  <c r="BA72" i="1"/>
  <c r="AW72" i="1"/>
  <c r="AH78" i="1"/>
  <c r="AL78" i="1"/>
  <c r="CM84" i="1"/>
  <c r="CN84" i="1" s="1"/>
  <c r="CO84" i="1" s="1"/>
  <c r="CP84" i="1" s="1"/>
  <c r="CQ84" i="1" s="1"/>
  <c r="CR84" i="1" s="1"/>
  <c r="CS84" i="1" s="1"/>
  <c r="CT84" i="1" s="1"/>
  <c r="CU84" i="1" s="1"/>
  <c r="CV84" i="1" s="1"/>
  <c r="CW84" i="1" s="1"/>
  <c r="BU64" i="1"/>
  <c r="BV64" i="1" s="1"/>
  <c r="BQ64" i="1"/>
  <c r="AV74" i="1"/>
  <c r="AR74" i="1"/>
  <c r="AG80" i="1"/>
  <c r="AC80" i="1"/>
  <c r="AQ76" i="1"/>
  <c r="AM76" i="1"/>
  <c r="K62" i="28"/>
  <c r="J63" i="28"/>
  <c r="O61" i="28"/>
  <c r="R60" i="28"/>
  <c r="D60" i="28" a="1"/>
  <c r="D60" i="28" s="1"/>
  <c r="R61" i="27"/>
  <c r="B60" i="27" a="1"/>
  <c r="B60" i="27" s="1"/>
  <c r="T60" i="27"/>
  <c r="C60" i="27" s="1" a="1"/>
  <c r="C60" i="27" s="1"/>
  <c r="T60" i="25"/>
  <c r="B59" i="25" a="1"/>
  <c r="B59" i="25" s="1"/>
  <c r="V59" i="25"/>
  <c r="C59" i="25" s="1" a="1"/>
  <c r="C59" i="25" s="1"/>
  <c r="F88" i="1" l="1" a="1"/>
  <c r="F88" i="1" s="1"/>
  <c r="G88" i="1" a="1"/>
  <c r="G88" i="1" s="1"/>
  <c r="H88" i="1" a="1"/>
  <c r="H88" i="1" s="1"/>
  <c r="CL88" i="1" a="1"/>
  <c r="CL88" i="1" s="1"/>
  <c r="L62" i="28"/>
  <c r="CX84" i="1"/>
  <c r="BA74" i="1"/>
  <c r="AW74" i="1"/>
  <c r="BF72" i="1"/>
  <c r="BB72" i="1"/>
  <c r="BK70" i="1"/>
  <c r="BG70" i="1"/>
  <c r="BQ66" i="1"/>
  <c r="BU66" i="1"/>
  <c r="BV66" i="1" s="1"/>
  <c r="AG82" i="1"/>
  <c r="AC82" i="1"/>
  <c r="W86" i="1"/>
  <c r="S86" i="1"/>
  <c r="AV76" i="1"/>
  <c r="AR76" i="1"/>
  <c r="BP68" i="1"/>
  <c r="BL68" i="1"/>
  <c r="DA90" i="1"/>
  <c r="B88" i="1"/>
  <c r="R88" i="1" a="1"/>
  <c r="R88" i="1" s="1"/>
  <c r="AQ78" i="1"/>
  <c r="AM78" i="1"/>
  <c r="AB84" i="1"/>
  <c r="X84" i="1"/>
  <c r="CM86" i="1"/>
  <c r="CN86" i="1" s="1"/>
  <c r="CO86" i="1" s="1"/>
  <c r="CP86" i="1" s="1"/>
  <c r="CQ86" i="1" s="1"/>
  <c r="CR86" i="1" s="1"/>
  <c r="CS86" i="1" s="1"/>
  <c r="CT86" i="1" s="1"/>
  <c r="CU86" i="1" s="1"/>
  <c r="CV86" i="1" s="1"/>
  <c r="CW86" i="1" s="1"/>
  <c r="AH80" i="1"/>
  <c r="AL80" i="1"/>
  <c r="J64" i="28"/>
  <c r="K63" i="28"/>
  <c r="O62" i="28"/>
  <c r="R61" i="28"/>
  <c r="D61" i="28" a="1"/>
  <c r="D61" i="28" s="1"/>
  <c r="T61" i="27"/>
  <c r="C61" i="27" s="1" a="1"/>
  <c r="C61" i="27" s="1"/>
  <c r="R62" i="27"/>
  <c r="B61" i="27" a="1"/>
  <c r="B61" i="27" s="1"/>
  <c r="V60" i="25"/>
  <c r="C60" i="25" s="1" a="1"/>
  <c r="C60" i="25" s="1"/>
  <c r="T61" i="25"/>
  <c r="B60" i="25" a="1"/>
  <c r="B60" i="25" s="1"/>
  <c r="G90" i="1" l="1" a="1"/>
  <c r="G90" i="1" s="1"/>
  <c r="F90" i="1" a="1"/>
  <c r="F90" i="1" s="1"/>
  <c r="H90" i="1" a="1"/>
  <c r="H90" i="1" s="1"/>
  <c r="CL90" i="1" a="1"/>
  <c r="CL90" i="1" s="1"/>
  <c r="L63" i="28"/>
  <c r="CX86" i="1"/>
  <c r="AG84" i="1"/>
  <c r="AC84" i="1"/>
  <c r="BU68" i="1"/>
  <c r="BV68" i="1" s="1"/>
  <c r="BQ68" i="1"/>
  <c r="AR78" i="1"/>
  <c r="AV78" i="1"/>
  <c r="BA76" i="1"/>
  <c r="AW76" i="1"/>
  <c r="BL70" i="1"/>
  <c r="BP70" i="1"/>
  <c r="CM88" i="1"/>
  <c r="CN88" i="1" s="1"/>
  <c r="CO88" i="1" s="1"/>
  <c r="CP88" i="1" s="1"/>
  <c r="CQ88" i="1" s="1"/>
  <c r="CR88" i="1" s="1"/>
  <c r="CS88" i="1" s="1"/>
  <c r="CT88" i="1" s="1"/>
  <c r="CU88" i="1" s="1"/>
  <c r="CV88" i="1" s="1"/>
  <c r="CW88" i="1" s="1"/>
  <c r="W88" i="1"/>
  <c r="S88" i="1"/>
  <c r="AB86" i="1"/>
  <c r="X86" i="1"/>
  <c r="BG72" i="1"/>
  <c r="BK72" i="1"/>
  <c r="AQ80" i="1"/>
  <c r="AM80" i="1"/>
  <c r="DA92" i="1"/>
  <c r="CL92" i="1" s="1" a="1"/>
  <c r="CL92" i="1" s="1"/>
  <c r="B90" i="1"/>
  <c r="R90" i="1" a="1"/>
  <c r="R90" i="1" s="1"/>
  <c r="AL82" i="1"/>
  <c r="AH82" i="1"/>
  <c r="BF74" i="1"/>
  <c r="BB74" i="1"/>
  <c r="J65" i="28"/>
  <c r="K64" i="28"/>
  <c r="O63" i="28"/>
  <c r="R62" i="28"/>
  <c r="D62" i="28" a="1"/>
  <c r="D62" i="28" s="1"/>
  <c r="R63" i="27"/>
  <c r="B62" i="27" a="1"/>
  <c r="B62" i="27" s="1"/>
  <c r="T62" i="27"/>
  <c r="C62" i="27" s="1" a="1"/>
  <c r="C62" i="27" s="1"/>
  <c r="B61" i="25" a="1"/>
  <c r="B61" i="25" s="1"/>
  <c r="T62" i="25"/>
  <c r="V61" i="25"/>
  <c r="C61" i="25" s="1" a="1"/>
  <c r="C61" i="25" s="1"/>
  <c r="G92" i="1" l="1" a="1"/>
  <c r="G92" i="1" s="1"/>
  <c r="F92" i="1" a="1"/>
  <c r="F92" i="1" s="1"/>
  <c r="H92" i="1" a="1"/>
  <c r="H92" i="1" s="1"/>
  <c r="L64" i="28"/>
  <c r="S90" i="1"/>
  <c r="W90" i="1"/>
  <c r="AC86" i="1"/>
  <c r="AG86" i="1"/>
  <c r="BB76" i="1"/>
  <c r="BF76" i="1"/>
  <c r="R92" i="1" a="1"/>
  <c r="R92" i="1" s="1"/>
  <c r="B92" i="1"/>
  <c r="DA94" i="1"/>
  <c r="CL94" i="1" s="1" a="1"/>
  <c r="CL94" i="1" s="1"/>
  <c r="AB88" i="1"/>
  <c r="X88" i="1"/>
  <c r="CX88" i="1"/>
  <c r="CM90" i="1"/>
  <c r="CN90" i="1" s="1"/>
  <c r="CO90" i="1" s="1"/>
  <c r="CP90" i="1" s="1"/>
  <c r="CQ90" i="1" s="1"/>
  <c r="CR90" i="1" s="1"/>
  <c r="CS90" i="1" s="1"/>
  <c r="CT90" i="1" s="1"/>
  <c r="CU90" i="1" s="1"/>
  <c r="CV90" i="1" s="1"/>
  <c r="CW90" i="1" s="1"/>
  <c r="AW78" i="1"/>
  <c r="BA78" i="1"/>
  <c r="BK74" i="1"/>
  <c r="BG74" i="1"/>
  <c r="AV80" i="1"/>
  <c r="AR80" i="1"/>
  <c r="BP72" i="1"/>
  <c r="BL72" i="1"/>
  <c r="BU70" i="1"/>
  <c r="BV70" i="1" s="1"/>
  <c r="BQ70" i="1"/>
  <c r="AQ82" i="1"/>
  <c r="AM82" i="1"/>
  <c r="AH84" i="1"/>
  <c r="AL84" i="1"/>
  <c r="J66" i="28"/>
  <c r="K65" i="28"/>
  <c r="O64" i="28"/>
  <c r="R63" i="28"/>
  <c r="D63" i="28" a="1"/>
  <c r="D63" i="28" s="1"/>
  <c r="T63" i="27"/>
  <c r="C63" i="27" s="1" a="1"/>
  <c r="C63" i="27" s="1"/>
  <c r="B63" i="27" a="1"/>
  <c r="B63" i="27" s="1"/>
  <c r="R64" i="27"/>
  <c r="V62" i="25"/>
  <c r="C62" i="25" s="1" a="1"/>
  <c r="C62" i="25" s="1"/>
  <c r="T63" i="25"/>
  <c r="B62" i="25" a="1"/>
  <c r="B62" i="25" s="1"/>
  <c r="G94" i="1" l="1" a="1"/>
  <c r="G94" i="1" s="1"/>
  <c r="F94" i="1" a="1"/>
  <c r="F94" i="1" s="1"/>
  <c r="H94" i="1" a="1"/>
  <c r="H94" i="1" s="1"/>
  <c r="L65" i="28"/>
  <c r="CX90" i="1"/>
  <c r="S92" i="1"/>
  <c r="W92" i="1"/>
  <c r="CM92" i="1"/>
  <c r="CN92" i="1" s="1"/>
  <c r="CO92" i="1" s="1"/>
  <c r="CP92" i="1" s="1"/>
  <c r="CQ92" i="1" s="1"/>
  <c r="CR92" i="1" s="1"/>
  <c r="CS92" i="1" s="1"/>
  <c r="CT92" i="1" s="1"/>
  <c r="CU92" i="1" s="1"/>
  <c r="CV92" i="1" s="1"/>
  <c r="CW92" i="1" s="1"/>
  <c r="BU72" i="1"/>
  <c r="BV72" i="1" s="1"/>
  <c r="BQ72" i="1"/>
  <c r="BG76" i="1"/>
  <c r="BK76" i="1"/>
  <c r="AM84" i="1"/>
  <c r="AQ84" i="1"/>
  <c r="BA80" i="1"/>
  <c r="AW80" i="1"/>
  <c r="AH86" i="1"/>
  <c r="AL86" i="1"/>
  <c r="AG88" i="1"/>
  <c r="AC88" i="1"/>
  <c r="AR82" i="1"/>
  <c r="AV82" i="1"/>
  <c r="BP74" i="1"/>
  <c r="BL74" i="1"/>
  <c r="B94" i="1"/>
  <c r="R94" i="1" a="1"/>
  <c r="R94" i="1" s="1"/>
  <c r="DA96" i="1"/>
  <c r="CL96" i="1" s="1" a="1"/>
  <c r="CL96" i="1" s="1"/>
  <c r="AB90" i="1"/>
  <c r="X90" i="1"/>
  <c r="BB78" i="1"/>
  <c r="BF78" i="1"/>
  <c r="K66" i="28"/>
  <c r="O65" i="28"/>
  <c r="R64" i="28"/>
  <c r="D64" i="28" a="1"/>
  <c r="D64" i="28" s="1"/>
  <c r="T64" i="27"/>
  <c r="C64" i="27" s="1" a="1"/>
  <c r="C64" i="27" s="1"/>
  <c r="B64" i="27" a="1"/>
  <c r="B64" i="27" s="1"/>
  <c r="R65" i="27"/>
  <c r="T64" i="25"/>
  <c r="B63" i="25" a="1"/>
  <c r="B63" i="25" s="1"/>
  <c r="V63" i="25"/>
  <c r="C63" i="25" s="1" a="1"/>
  <c r="C63" i="25" s="1"/>
  <c r="F96" i="1" l="1" a="1"/>
  <c r="F96" i="1" s="1"/>
  <c r="G96" i="1" a="1"/>
  <c r="G96" i="1" s="1"/>
  <c r="H96" i="1" a="1"/>
  <c r="H96" i="1" s="1"/>
  <c r="L66" i="28"/>
  <c r="BL76" i="1"/>
  <c r="BP76" i="1"/>
  <c r="B96" i="1"/>
  <c r="DA98" i="1"/>
  <c r="CL98" i="1" s="1" a="1"/>
  <c r="CL98" i="1" s="1"/>
  <c r="R96" i="1" a="1"/>
  <c r="R96" i="1" s="1"/>
  <c r="AL88" i="1"/>
  <c r="AH88" i="1"/>
  <c r="S94" i="1"/>
  <c r="W94" i="1"/>
  <c r="AM86" i="1"/>
  <c r="AQ86" i="1"/>
  <c r="CM94" i="1"/>
  <c r="CN94" i="1" s="1"/>
  <c r="CO94" i="1" s="1"/>
  <c r="CP94" i="1" s="1"/>
  <c r="CQ94" i="1" s="1"/>
  <c r="CR94" i="1" s="1"/>
  <c r="CS94" i="1" s="1"/>
  <c r="CT94" i="1" s="1"/>
  <c r="CU94" i="1" s="1"/>
  <c r="CV94" i="1" s="1"/>
  <c r="CW94" i="1" s="1"/>
  <c r="CX92" i="1"/>
  <c r="BQ74" i="1"/>
  <c r="BU74" i="1"/>
  <c r="BV74" i="1" s="1"/>
  <c r="BF80" i="1"/>
  <c r="BB80" i="1"/>
  <c r="BG78" i="1"/>
  <c r="BK78" i="1"/>
  <c r="BA82" i="1"/>
  <c r="AW82" i="1"/>
  <c r="AV84" i="1"/>
  <c r="AR84" i="1"/>
  <c r="X92" i="1"/>
  <c r="AB92" i="1"/>
  <c r="AC90" i="1"/>
  <c r="AG90" i="1"/>
  <c r="K67" i="28"/>
  <c r="O66" i="28"/>
  <c r="R65" i="28"/>
  <c r="D65" i="28" a="1"/>
  <c r="D65" i="28" s="1"/>
  <c r="R66" i="27"/>
  <c r="B65" i="27" a="1"/>
  <c r="B65" i="27" s="1"/>
  <c r="T65" i="27"/>
  <c r="C65" i="27" s="1" a="1"/>
  <c r="C65" i="27" s="1"/>
  <c r="V64" i="25"/>
  <c r="C64" i="25" s="1" a="1"/>
  <c r="C64" i="25" s="1"/>
  <c r="T65" i="25"/>
  <c r="B64" i="25" a="1"/>
  <c r="B64" i="25" s="1"/>
  <c r="F98" i="1" l="1" a="1"/>
  <c r="F98" i="1" s="1"/>
  <c r="G98" i="1" a="1"/>
  <c r="G98" i="1" s="1"/>
  <c r="H98" i="1" a="1"/>
  <c r="H98" i="1" s="1"/>
  <c r="L67" i="28"/>
  <c r="CX94" i="1"/>
  <c r="BA84" i="1"/>
  <c r="AW84" i="1"/>
  <c r="AM88" i="1"/>
  <c r="AQ88" i="1"/>
  <c r="S96" i="1"/>
  <c r="W96" i="1"/>
  <c r="BF82" i="1"/>
  <c r="BB82" i="1"/>
  <c r="AL90" i="1"/>
  <c r="AH90" i="1"/>
  <c r="BL78" i="1"/>
  <c r="BP78" i="1"/>
  <c r="CM96" i="1"/>
  <c r="CN96" i="1" s="1"/>
  <c r="CO96" i="1" s="1"/>
  <c r="CP96" i="1" s="1"/>
  <c r="CQ96" i="1" s="1"/>
  <c r="CR96" i="1" s="1"/>
  <c r="CS96" i="1" s="1"/>
  <c r="CT96" i="1" s="1"/>
  <c r="CU96" i="1" s="1"/>
  <c r="CV96" i="1" s="1"/>
  <c r="CW96" i="1" s="1"/>
  <c r="AR86" i="1"/>
  <c r="AV86" i="1"/>
  <c r="B98" i="1"/>
  <c r="DA100" i="1"/>
  <c r="R98" i="1" a="1"/>
  <c r="R98" i="1" s="1"/>
  <c r="AG92" i="1"/>
  <c r="AC92" i="1"/>
  <c r="BG80" i="1"/>
  <c r="BK80" i="1"/>
  <c r="X94" i="1"/>
  <c r="AB94" i="1"/>
  <c r="BU76" i="1"/>
  <c r="BV76" i="1" s="1"/>
  <c r="BQ76" i="1"/>
  <c r="K68" i="28"/>
  <c r="O67" i="28"/>
  <c r="R66" i="28"/>
  <c r="D66" i="28" a="1"/>
  <c r="D66" i="28" s="1"/>
  <c r="T66" i="27"/>
  <c r="C66" i="27" s="1" a="1"/>
  <c r="C66" i="27" s="1"/>
  <c r="R67" i="27"/>
  <c r="B66" i="27" a="1"/>
  <c r="B66" i="27" s="1"/>
  <c r="T66" i="25"/>
  <c r="B65" i="25" a="1"/>
  <c r="B65" i="25" s="1"/>
  <c r="V65" i="25"/>
  <c r="C65" i="25" s="1" a="1"/>
  <c r="C65" i="25" s="1"/>
  <c r="F100" i="1" l="1" a="1"/>
  <c r="F100" i="1" s="1"/>
  <c r="G100" i="1" a="1"/>
  <c r="G100" i="1" s="1"/>
  <c r="H100" i="1" a="1"/>
  <c r="H100" i="1" s="1"/>
  <c r="CL100" i="1" a="1"/>
  <c r="CL100" i="1" s="1"/>
  <c r="L68" i="28"/>
  <c r="AW86" i="1"/>
  <c r="BA86" i="1"/>
  <c r="BG82" i="1"/>
  <c r="BK82" i="1"/>
  <c r="CX96" i="1"/>
  <c r="X96" i="1"/>
  <c r="AB96" i="1"/>
  <c r="AH92" i="1"/>
  <c r="AL92" i="1"/>
  <c r="BL80" i="1"/>
  <c r="BP80" i="1"/>
  <c r="W98" i="1"/>
  <c r="S98" i="1"/>
  <c r="BU78" i="1"/>
  <c r="BV78" i="1" s="1"/>
  <c r="BQ78" i="1"/>
  <c r="AV88" i="1"/>
  <c r="AR88" i="1"/>
  <c r="B100" i="1"/>
  <c r="R100" i="1" a="1"/>
  <c r="R100" i="1" s="1"/>
  <c r="DA102" i="1"/>
  <c r="CL102" i="1" s="1" a="1"/>
  <c r="CL102" i="1" s="1"/>
  <c r="AG94" i="1"/>
  <c r="AC94" i="1"/>
  <c r="CM98" i="1"/>
  <c r="CN98" i="1" s="1"/>
  <c r="CO98" i="1" s="1"/>
  <c r="CP98" i="1" s="1"/>
  <c r="CQ98" i="1" s="1"/>
  <c r="CR98" i="1" s="1"/>
  <c r="CS98" i="1" s="1"/>
  <c r="CT98" i="1" s="1"/>
  <c r="CU98" i="1" s="1"/>
  <c r="CV98" i="1" s="1"/>
  <c r="CW98" i="1" s="1"/>
  <c r="AQ90" i="1"/>
  <c r="AM90" i="1"/>
  <c r="BB84" i="1"/>
  <c r="BF84" i="1"/>
  <c r="J70" i="28"/>
  <c r="K69" i="28"/>
  <c r="O68" i="28"/>
  <c r="R67" i="28"/>
  <c r="D67" i="28" a="1"/>
  <c r="D67" i="28" s="1"/>
  <c r="R68" i="27"/>
  <c r="B67" i="27" a="1"/>
  <c r="B67" i="27" s="1"/>
  <c r="T67" i="27"/>
  <c r="C67" i="27" s="1" a="1"/>
  <c r="C67" i="27" s="1"/>
  <c r="V66" i="25"/>
  <c r="C66" i="25" s="1" a="1"/>
  <c r="C66" i="25" s="1"/>
  <c r="T67" i="25"/>
  <c r="B66" i="25" a="1"/>
  <c r="B66" i="25" s="1"/>
  <c r="G102" i="1" l="1" a="1"/>
  <c r="G102" i="1" s="1"/>
  <c r="F102" i="1" a="1"/>
  <c r="F102" i="1" s="1"/>
  <c r="H102" i="1" a="1"/>
  <c r="H102" i="1" s="1"/>
  <c r="L69" i="28"/>
  <c r="CL104" i="1" a="1"/>
  <c r="CL104" i="1" s="1"/>
  <c r="BA88" i="1"/>
  <c r="AW88" i="1"/>
  <c r="AC96" i="1"/>
  <c r="AG96" i="1"/>
  <c r="AH94" i="1"/>
  <c r="AL94" i="1"/>
  <c r="BK84" i="1"/>
  <c r="BG84" i="1"/>
  <c r="CM100" i="1"/>
  <c r="CN100" i="1" s="1"/>
  <c r="CO100" i="1" s="1"/>
  <c r="CP100" i="1" s="1"/>
  <c r="CQ100" i="1" s="1"/>
  <c r="CR100" i="1" s="1"/>
  <c r="CS100" i="1" s="1"/>
  <c r="CT100" i="1" s="1"/>
  <c r="CU100" i="1" s="1"/>
  <c r="CV100" i="1" s="1"/>
  <c r="CW100" i="1" s="1"/>
  <c r="R102" i="1" a="1"/>
  <c r="R102" i="1" s="1"/>
  <c r="DA104" i="1"/>
  <c r="B102" i="1"/>
  <c r="X98" i="1"/>
  <c r="AB98" i="1"/>
  <c r="BP82" i="1"/>
  <c r="BL82" i="1"/>
  <c r="S100" i="1"/>
  <c r="W100" i="1"/>
  <c r="BQ80" i="1"/>
  <c r="BU80" i="1"/>
  <c r="BV80" i="1" s="1"/>
  <c r="AV90" i="1"/>
  <c r="AR90" i="1"/>
  <c r="BB86" i="1"/>
  <c r="BF86" i="1"/>
  <c r="CX98" i="1"/>
  <c r="AQ92" i="1"/>
  <c r="AM92" i="1"/>
  <c r="K70" i="28"/>
  <c r="O69" i="28"/>
  <c r="R68" i="28"/>
  <c r="D68" i="28" a="1"/>
  <c r="D68" i="28" s="1"/>
  <c r="T68" i="27"/>
  <c r="C68" i="27" s="1" a="1"/>
  <c r="C68" i="27" s="1"/>
  <c r="B68" i="27" a="1"/>
  <c r="B68" i="27" s="1"/>
  <c r="R69" i="27"/>
  <c r="T68" i="25"/>
  <c r="B67" i="25" a="1"/>
  <c r="B67" i="25" s="1"/>
  <c r="V67" i="25"/>
  <c r="C67" i="25" s="1" a="1"/>
  <c r="C67" i="25" s="1"/>
  <c r="G104" i="1" l="1" a="1"/>
  <c r="G104" i="1" s="1"/>
  <c r="F104" i="1" a="1"/>
  <c r="F104" i="1" s="1"/>
  <c r="H104" i="1" a="1"/>
  <c r="H104" i="1" s="1"/>
  <c r="L70" i="28"/>
  <c r="CX100" i="1"/>
  <c r="AC98" i="1"/>
  <c r="AG98" i="1"/>
  <c r="BA90" i="1"/>
  <c r="AW90" i="1"/>
  <c r="BP84" i="1"/>
  <c r="BL84" i="1"/>
  <c r="AM94" i="1"/>
  <c r="AQ94" i="1"/>
  <c r="R104" i="1" a="1"/>
  <c r="R104" i="1" s="1"/>
  <c r="B104" i="1"/>
  <c r="DA106" i="1"/>
  <c r="AR92" i="1"/>
  <c r="AV92" i="1"/>
  <c r="AB100" i="1"/>
  <c r="X100" i="1"/>
  <c r="S102" i="1"/>
  <c r="W102" i="1"/>
  <c r="AH96" i="1"/>
  <c r="AL96" i="1"/>
  <c r="CM102" i="1"/>
  <c r="CN102" i="1" s="1"/>
  <c r="CO102" i="1" s="1"/>
  <c r="CP102" i="1" s="1"/>
  <c r="CQ102" i="1" s="1"/>
  <c r="CR102" i="1" s="1"/>
  <c r="CS102" i="1" s="1"/>
  <c r="CT102" i="1" s="1"/>
  <c r="CU102" i="1" s="1"/>
  <c r="CV102" i="1" s="1"/>
  <c r="CW102" i="1" s="1"/>
  <c r="BG86" i="1"/>
  <c r="BK86" i="1"/>
  <c r="BU82" i="1"/>
  <c r="BV82" i="1" s="1"/>
  <c r="BQ82" i="1"/>
  <c r="BF88" i="1"/>
  <c r="BB88" i="1"/>
  <c r="K71" i="28"/>
  <c r="O70" i="28"/>
  <c r="R69" i="28"/>
  <c r="D69" i="28" a="1"/>
  <c r="D69" i="28" s="1"/>
  <c r="T69" i="27"/>
  <c r="C69" i="27" s="1" a="1"/>
  <c r="C69" i="27" s="1"/>
  <c r="R70" i="27"/>
  <c r="B69" i="27" a="1"/>
  <c r="B69" i="27" s="1"/>
  <c r="V68" i="25"/>
  <c r="C68" i="25" s="1" a="1"/>
  <c r="C68" i="25" s="1"/>
  <c r="T69" i="25"/>
  <c r="B68" i="25" a="1"/>
  <c r="B68" i="25" s="1"/>
  <c r="G106" i="1" l="1" a="1"/>
  <c r="G106" i="1" s="1"/>
  <c r="F106" i="1" a="1"/>
  <c r="F106" i="1" s="1"/>
  <c r="H106" i="1" a="1"/>
  <c r="H106" i="1" s="1"/>
  <c r="CL106" i="1" a="1"/>
  <c r="CL106" i="1" s="1"/>
  <c r="L71" i="28"/>
  <c r="CX102" i="1"/>
  <c r="BP86" i="1"/>
  <c r="BL86" i="1"/>
  <c r="AV94" i="1"/>
  <c r="AR94" i="1"/>
  <c r="AC100" i="1"/>
  <c r="AG100" i="1"/>
  <c r="W104" i="1"/>
  <c r="S104" i="1"/>
  <c r="BA92" i="1"/>
  <c r="AW92" i="1"/>
  <c r="BU84" i="1"/>
  <c r="BV84" i="1" s="1"/>
  <c r="BQ84" i="1"/>
  <c r="AM96" i="1"/>
  <c r="AQ96" i="1"/>
  <c r="R106" i="1" a="1"/>
  <c r="R106" i="1" s="1"/>
  <c r="DA108" i="1"/>
  <c r="CL108" i="1" s="1" a="1"/>
  <c r="CL108" i="1" s="1"/>
  <c r="B106" i="1"/>
  <c r="BK88" i="1"/>
  <c r="BG88" i="1"/>
  <c r="BB90" i="1"/>
  <c r="BF90" i="1"/>
  <c r="X102" i="1"/>
  <c r="AB102" i="1"/>
  <c r="CM104" i="1"/>
  <c r="CN104" i="1" s="1"/>
  <c r="CO104" i="1" s="1"/>
  <c r="CP104" i="1" s="1"/>
  <c r="CQ104" i="1" s="1"/>
  <c r="CR104" i="1" s="1"/>
  <c r="CS104" i="1" s="1"/>
  <c r="CT104" i="1" s="1"/>
  <c r="CU104" i="1" s="1"/>
  <c r="CV104" i="1" s="1"/>
  <c r="CW104" i="1" s="1"/>
  <c r="AH98" i="1"/>
  <c r="AL98" i="1"/>
  <c r="J73" i="28"/>
  <c r="K72" i="28"/>
  <c r="O71" i="28"/>
  <c r="R70" i="28"/>
  <c r="D70" i="28" a="1"/>
  <c r="D70" i="28" s="1"/>
  <c r="R71" i="27"/>
  <c r="B70" i="27" a="1"/>
  <c r="B70" i="27" s="1"/>
  <c r="T70" i="27"/>
  <c r="C70" i="27" s="1" a="1"/>
  <c r="C70" i="27" s="1"/>
  <c r="T70" i="25"/>
  <c r="B69" i="25" a="1"/>
  <c r="B69" i="25" s="1"/>
  <c r="V69" i="25"/>
  <c r="C69" i="25" s="1" a="1"/>
  <c r="C69" i="25" s="1"/>
  <c r="F108" i="1" l="1" a="1"/>
  <c r="F108" i="1" s="1"/>
  <c r="G108" i="1" a="1"/>
  <c r="G108" i="1" s="1"/>
  <c r="H108" i="1" a="1"/>
  <c r="H108" i="1" s="1"/>
  <c r="L72" i="28"/>
  <c r="AQ98" i="1"/>
  <c r="AM98" i="1"/>
  <c r="W106" i="1"/>
  <c r="S106" i="1"/>
  <c r="AB104" i="1"/>
  <c r="X104" i="1"/>
  <c r="BF92" i="1"/>
  <c r="BB92" i="1"/>
  <c r="BQ86" i="1"/>
  <c r="BU86" i="1"/>
  <c r="BV86" i="1" s="1"/>
  <c r="AC102" i="1"/>
  <c r="AG102" i="1"/>
  <c r="B108" i="1"/>
  <c r="R108" i="1" a="1"/>
  <c r="R108" i="1" s="1"/>
  <c r="DA110" i="1"/>
  <c r="BK90" i="1"/>
  <c r="BG90" i="1"/>
  <c r="AV96" i="1"/>
  <c r="AR96" i="1"/>
  <c r="AH100" i="1"/>
  <c r="AL100" i="1"/>
  <c r="BL88" i="1"/>
  <c r="BP88" i="1"/>
  <c r="AW94" i="1"/>
  <c r="BA94" i="1"/>
  <c r="CX104" i="1"/>
  <c r="CM106" i="1"/>
  <c r="CN106" i="1" s="1"/>
  <c r="CO106" i="1" s="1"/>
  <c r="CP106" i="1" s="1"/>
  <c r="CQ106" i="1" s="1"/>
  <c r="CR106" i="1" s="1"/>
  <c r="CS106" i="1" s="1"/>
  <c r="CT106" i="1" s="1"/>
  <c r="CU106" i="1" s="1"/>
  <c r="CV106" i="1" s="1"/>
  <c r="CW106" i="1" s="1"/>
  <c r="J74" i="28"/>
  <c r="K73" i="28"/>
  <c r="O72" i="28"/>
  <c r="R71" i="28"/>
  <c r="D71" i="28" a="1"/>
  <c r="D71" i="28" s="1"/>
  <c r="T71" i="27"/>
  <c r="C71" i="27" s="1" a="1"/>
  <c r="C71" i="27" s="1"/>
  <c r="R72" i="27"/>
  <c r="B71" i="27" a="1"/>
  <c r="B71" i="27" s="1"/>
  <c r="V70" i="25"/>
  <c r="C70" i="25" s="1" a="1"/>
  <c r="C70" i="25" s="1"/>
  <c r="T71" i="25"/>
  <c r="B70" i="25" a="1"/>
  <c r="B70" i="25" s="1"/>
  <c r="F110" i="1" l="1" a="1"/>
  <c r="F110" i="1" s="1"/>
  <c r="G110" i="1" a="1"/>
  <c r="G110" i="1" s="1"/>
  <c r="H110" i="1" a="1"/>
  <c r="H110" i="1" s="1"/>
  <c r="CL110" i="1" a="1"/>
  <c r="CL110" i="1" s="1"/>
  <c r="L73" i="28"/>
  <c r="BB94" i="1"/>
  <c r="BF94" i="1"/>
  <c r="BU88" i="1"/>
  <c r="BV88" i="1" s="1"/>
  <c r="BQ88" i="1"/>
  <c r="R110" i="1" a="1"/>
  <c r="R110" i="1" s="1"/>
  <c r="DA112" i="1"/>
  <c r="B110" i="1"/>
  <c r="S108" i="1"/>
  <c r="W108" i="1"/>
  <c r="BG92" i="1"/>
  <c r="BK92" i="1"/>
  <c r="AQ100" i="1"/>
  <c r="AM100" i="1"/>
  <c r="CM108" i="1"/>
  <c r="CN108" i="1" s="1"/>
  <c r="CO108" i="1" s="1"/>
  <c r="CP108" i="1" s="1"/>
  <c r="CQ108" i="1" s="1"/>
  <c r="CR108" i="1" s="1"/>
  <c r="CS108" i="1" s="1"/>
  <c r="CT108" i="1" s="1"/>
  <c r="CU108" i="1" s="1"/>
  <c r="CV108" i="1" s="1"/>
  <c r="CW108" i="1" s="1"/>
  <c r="CX106" i="1"/>
  <c r="AC104" i="1"/>
  <c r="AG104" i="1"/>
  <c r="AH102" i="1"/>
  <c r="AL102" i="1"/>
  <c r="AW96" i="1"/>
  <c r="BA96" i="1"/>
  <c r="X106" i="1"/>
  <c r="AB106" i="1"/>
  <c r="BL90" i="1"/>
  <c r="BP90" i="1"/>
  <c r="AR98" i="1"/>
  <c r="AV98" i="1"/>
  <c r="J75" i="28"/>
  <c r="J76" i="28" s="1"/>
  <c r="K74" i="28"/>
  <c r="O73" i="28"/>
  <c r="R72" i="28"/>
  <c r="D72" i="28" a="1"/>
  <c r="D72" i="28" s="1"/>
  <c r="B72" i="27" a="1"/>
  <c r="B72" i="27" s="1"/>
  <c r="R73" i="27"/>
  <c r="T72" i="27"/>
  <c r="C72" i="27" s="1" a="1"/>
  <c r="C72" i="27" s="1"/>
  <c r="T72" i="25"/>
  <c r="B71" i="25" a="1"/>
  <c r="B71" i="25" s="1"/>
  <c r="V71" i="25"/>
  <c r="C71" i="25" s="1" a="1"/>
  <c r="C71" i="25" s="1"/>
  <c r="F112" i="1" l="1" a="1"/>
  <c r="F112" i="1" s="1"/>
  <c r="G112" i="1" a="1"/>
  <c r="G112" i="1" s="1"/>
  <c r="H112" i="1" a="1"/>
  <c r="H112" i="1" s="1"/>
  <c r="CL112" i="1" a="1"/>
  <c r="CL112" i="1" s="1"/>
  <c r="L74" i="28"/>
  <c r="BF96" i="1"/>
  <c r="BB96" i="1"/>
  <c r="CX108" i="1"/>
  <c r="DA114" i="1"/>
  <c r="R112" i="1" a="1"/>
  <c r="R112" i="1" s="1"/>
  <c r="B112" i="1"/>
  <c r="CM110" i="1"/>
  <c r="CN110" i="1" s="1"/>
  <c r="CO110" i="1" s="1"/>
  <c r="CP110" i="1" s="1"/>
  <c r="CQ110" i="1" s="1"/>
  <c r="CR110" i="1" s="1"/>
  <c r="CS110" i="1" s="1"/>
  <c r="CT110" i="1" s="1"/>
  <c r="CU110" i="1" s="1"/>
  <c r="CV110" i="1" s="1"/>
  <c r="CW110" i="1" s="1"/>
  <c r="AW98" i="1"/>
  <c r="BA98" i="1"/>
  <c r="AQ102" i="1"/>
  <c r="AM102" i="1"/>
  <c r="AV100" i="1"/>
  <c r="AR100" i="1"/>
  <c r="S110" i="1"/>
  <c r="W110" i="1"/>
  <c r="BL92" i="1"/>
  <c r="BP92" i="1"/>
  <c r="BU90" i="1"/>
  <c r="BV90" i="1" s="1"/>
  <c r="BQ90" i="1"/>
  <c r="AH104" i="1"/>
  <c r="AL104" i="1"/>
  <c r="X108" i="1"/>
  <c r="AB108" i="1"/>
  <c r="BK94" i="1"/>
  <c r="BG94" i="1"/>
  <c r="AG106" i="1"/>
  <c r="AC106" i="1"/>
  <c r="J77" i="28"/>
  <c r="K76" i="28"/>
  <c r="K75" i="28"/>
  <c r="O74" i="28"/>
  <c r="R73" i="28"/>
  <c r="D73" i="28" a="1"/>
  <c r="D73" i="28" s="1"/>
  <c r="T73" i="27"/>
  <c r="C73" i="27" s="1" a="1"/>
  <c r="C73" i="27" s="1"/>
  <c r="R74" i="27"/>
  <c r="B73" i="27" a="1"/>
  <c r="B73" i="27" s="1"/>
  <c r="V72" i="25"/>
  <c r="C72" i="25" s="1" a="1"/>
  <c r="C72" i="25" s="1"/>
  <c r="T73" i="25"/>
  <c r="B72" i="25" a="1"/>
  <c r="B72" i="25" s="1"/>
  <c r="G114" i="1" l="1" a="1"/>
  <c r="G114" i="1" s="1"/>
  <c r="F114" i="1" a="1"/>
  <c r="F114" i="1" s="1"/>
  <c r="H114" i="1" a="1"/>
  <c r="H114" i="1" s="1"/>
  <c r="CL114" i="1" a="1"/>
  <c r="CL114" i="1" s="1"/>
  <c r="L76" i="28"/>
  <c r="L75" i="28"/>
  <c r="AQ104" i="1"/>
  <c r="AM104" i="1"/>
  <c r="BA100" i="1"/>
  <c r="AW100" i="1"/>
  <c r="S112" i="1"/>
  <c r="W112" i="1"/>
  <c r="CM112" i="1"/>
  <c r="CN112" i="1" s="1"/>
  <c r="CO112" i="1" s="1"/>
  <c r="CP112" i="1" s="1"/>
  <c r="CQ112" i="1" s="1"/>
  <c r="CR112" i="1" s="1"/>
  <c r="CS112" i="1" s="1"/>
  <c r="CT112" i="1" s="1"/>
  <c r="CU112" i="1" s="1"/>
  <c r="CV112" i="1" s="1"/>
  <c r="CW112" i="1" s="1"/>
  <c r="AL106" i="1"/>
  <c r="AH106" i="1"/>
  <c r="AV102" i="1"/>
  <c r="AR102" i="1"/>
  <c r="DA116" i="1"/>
  <c r="B114" i="1"/>
  <c r="R114" i="1" a="1"/>
  <c r="R114" i="1" s="1"/>
  <c r="BU92" i="1"/>
  <c r="BV92" i="1" s="1"/>
  <c r="BQ92" i="1"/>
  <c r="BF98" i="1"/>
  <c r="BB98" i="1"/>
  <c r="BL94" i="1"/>
  <c r="BP94" i="1"/>
  <c r="AG108" i="1"/>
  <c r="AC108" i="1"/>
  <c r="AB110" i="1"/>
  <c r="X110" i="1"/>
  <c r="CX110" i="1"/>
  <c r="BK96" i="1"/>
  <c r="BG96" i="1"/>
  <c r="J78" i="28"/>
  <c r="K77" i="28"/>
  <c r="O75" i="28"/>
  <c r="R74" i="28"/>
  <c r="D74" i="28" a="1"/>
  <c r="D74" i="28" s="1"/>
  <c r="R75" i="27"/>
  <c r="B74" i="27" a="1"/>
  <c r="B74" i="27" s="1"/>
  <c r="T74" i="27"/>
  <c r="C74" i="27" s="1" a="1"/>
  <c r="C74" i="27" s="1"/>
  <c r="T74" i="25"/>
  <c r="B73" i="25" a="1"/>
  <c r="B73" i="25" s="1"/>
  <c r="V73" i="25"/>
  <c r="C73" i="25" s="1" a="1"/>
  <c r="C73" i="25" s="1"/>
  <c r="G116" i="1" l="1" a="1"/>
  <c r="G116" i="1" s="1"/>
  <c r="F116" i="1" a="1"/>
  <c r="F116" i="1" s="1"/>
  <c r="H116" i="1" a="1"/>
  <c r="H116" i="1" s="1"/>
  <c r="CL116" i="1" a="1"/>
  <c r="CL116" i="1" s="1"/>
  <c r="L77" i="28"/>
  <c r="CX112" i="1"/>
  <c r="AL108" i="1"/>
  <c r="AH108" i="1"/>
  <c r="S114" i="1"/>
  <c r="W114" i="1"/>
  <c r="BQ94" i="1"/>
  <c r="BU94" i="1"/>
  <c r="BV94" i="1" s="1"/>
  <c r="CM114" i="1"/>
  <c r="CN114" i="1" s="1"/>
  <c r="CO114" i="1" s="1"/>
  <c r="CP114" i="1" s="1"/>
  <c r="CQ114" i="1" s="1"/>
  <c r="CR114" i="1" s="1"/>
  <c r="CS114" i="1" s="1"/>
  <c r="CT114" i="1" s="1"/>
  <c r="CU114" i="1" s="1"/>
  <c r="CV114" i="1" s="1"/>
  <c r="CW114" i="1" s="1"/>
  <c r="AB112" i="1"/>
  <c r="X112" i="1"/>
  <c r="R116" i="1" a="1"/>
  <c r="R116" i="1" s="1"/>
  <c r="DA118" i="1"/>
  <c r="B116" i="1"/>
  <c r="BP96" i="1"/>
  <c r="BL96" i="1"/>
  <c r="BG98" i="1"/>
  <c r="BK98" i="1"/>
  <c r="BA102" i="1"/>
  <c r="AW102" i="1"/>
  <c r="BF100" i="1"/>
  <c r="BB100" i="1"/>
  <c r="AC110" i="1"/>
  <c r="AG110" i="1"/>
  <c r="AM106" i="1"/>
  <c r="AQ106" i="1"/>
  <c r="AR104" i="1"/>
  <c r="AV104" i="1"/>
  <c r="J79" i="28"/>
  <c r="K78" i="28"/>
  <c r="O76" i="28"/>
  <c r="R75" i="28"/>
  <c r="D75" i="28" a="1"/>
  <c r="D75" i="28" s="1"/>
  <c r="T75" i="27"/>
  <c r="C75" i="27" s="1" a="1"/>
  <c r="C75" i="27" s="1"/>
  <c r="R76" i="27"/>
  <c r="B75" i="27" a="1"/>
  <c r="B75" i="27" s="1"/>
  <c r="V74" i="25"/>
  <c r="C74" i="25" s="1" a="1"/>
  <c r="C74" i="25" s="1"/>
  <c r="T75" i="25"/>
  <c r="B74" i="25" a="1"/>
  <c r="B74" i="25" s="1"/>
  <c r="G118" i="1" l="1" a="1"/>
  <c r="G118" i="1" s="1"/>
  <c r="F118" i="1" a="1"/>
  <c r="F118" i="1" s="1"/>
  <c r="H118" i="1" a="1"/>
  <c r="H118" i="1" s="1"/>
  <c r="CL118" i="1" a="1"/>
  <c r="CL118" i="1" s="1"/>
  <c r="L78" i="28"/>
  <c r="AL110" i="1"/>
  <c r="AH110" i="1"/>
  <c r="CX114" i="1"/>
  <c r="BQ96" i="1"/>
  <c r="BU96" i="1"/>
  <c r="BV96" i="1" s="1"/>
  <c r="CM116" i="1"/>
  <c r="CN116" i="1" s="1"/>
  <c r="CO116" i="1" s="1"/>
  <c r="CP116" i="1" s="1"/>
  <c r="CQ116" i="1" s="1"/>
  <c r="CR116" i="1" s="1"/>
  <c r="CS116" i="1" s="1"/>
  <c r="CT116" i="1" s="1"/>
  <c r="CU116" i="1" s="1"/>
  <c r="CV116" i="1" s="1"/>
  <c r="CW116" i="1" s="1"/>
  <c r="BK100" i="1"/>
  <c r="BG100" i="1"/>
  <c r="BA104" i="1"/>
  <c r="AW104" i="1"/>
  <c r="B118" i="1"/>
  <c r="R118" i="1" a="1"/>
  <c r="R118" i="1" s="1"/>
  <c r="DA120" i="1"/>
  <c r="X114" i="1"/>
  <c r="AB114" i="1"/>
  <c r="BB102" i="1"/>
  <c r="BF102" i="1"/>
  <c r="S116" i="1"/>
  <c r="W116" i="1"/>
  <c r="AR106" i="1"/>
  <c r="AV106" i="1"/>
  <c r="BP98" i="1"/>
  <c r="BL98" i="1"/>
  <c r="AC112" i="1"/>
  <c r="AG112" i="1"/>
  <c r="AQ108" i="1"/>
  <c r="AM108" i="1"/>
  <c r="O77" i="28"/>
  <c r="D76" i="28" a="1"/>
  <c r="D76" i="28" s="1"/>
  <c r="K79" i="28"/>
  <c r="J80" i="28"/>
  <c r="R76" i="28"/>
  <c r="R77" i="28" s="1"/>
  <c r="R78" i="28" s="1"/>
  <c r="R79" i="28" s="1"/>
  <c r="R80" i="28" s="1"/>
  <c r="R81" i="28" s="1"/>
  <c r="R82" i="28" s="1"/>
  <c r="R83" i="28" s="1"/>
  <c r="R84" i="28" s="1"/>
  <c r="R85" i="28" s="1"/>
  <c r="R86" i="28" s="1"/>
  <c r="R87" i="28" s="1"/>
  <c r="B76" i="27" a="1"/>
  <c r="B76" i="27" s="1"/>
  <c r="R77" i="27"/>
  <c r="T76" i="27"/>
  <c r="C76" i="27" s="1" a="1"/>
  <c r="C76" i="27" s="1"/>
  <c r="T76" i="25"/>
  <c r="B75" i="25" a="1"/>
  <c r="B75" i="25" s="1"/>
  <c r="V75" i="25"/>
  <c r="C75" i="25" s="1" a="1"/>
  <c r="C75" i="25" s="1"/>
  <c r="F120" i="1" l="1" a="1"/>
  <c r="F120" i="1" s="1"/>
  <c r="G120" i="1" a="1"/>
  <c r="G120" i="1" s="1"/>
  <c r="H120" i="1" a="1"/>
  <c r="H120" i="1" s="1"/>
  <c r="CL120" i="1" a="1"/>
  <c r="CL120" i="1" s="1"/>
  <c r="L79" i="28"/>
  <c r="CX116" i="1"/>
  <c r="BQ98" i="1"/>
  <c r="BU98" i="1"/>
  <c r="BV98" i="1" s="1"/>
  <c r="BL100" i="1"/>
  <c r="BP100" i="1"/>
  <c r="DA122" i="1"/>
  <c r="R120" i="1" a="1"/>
  <c r="R120" i="1" s="1"/>
  <c r="B120" i="1"/>
  <c r="W118" i="1"/>
  <c r="S118" i="1"/>
  <c r="AB116" i="1"/>
  <c r="X116" i="1"/>
  <c r="AW106" i="1"/>
  <c r="BA106" i="1"/>
  <c r="CM118" i="1"/>
  <c r="CN118" i="1" s="1"/>
  <c r="CO118" i="1" s="1"/>
  <c r="CP118" i="1" s="1"/>
  <c r="CQ118" i="1" s="1"/>
  <c r="CR118" i="1" s="1"/>
  <c r="CS118" i="1" s="1"/>
  <c r="CT118" i="1" s="1"/>
  <c r="CU118" i="1" s="1"/>
  <c r="CV118" i="1" s="1"/>
  <c r="CW118" i="1" s="1"/>
  <c r="AV108" i="1"/>
  <c r="AR108" i="1"/>
  <c r="AH112" i="1"/>
  <c r="AL112" i="1"/>
  <c r="BK102" i="1"/>
  <c r="BG102" i="1"/>
  <c r="BF104" i="1"/>
  <c r="BB104" i="1"/>
  <c r="AC114" i="1"/>
  <c r="AG114" i="1"/>
  <c r="AQ110" i="1"/>
  <c r="AM110" i="1"/>
  <c r="K80" i="28"/>
  <c r="J81" i="28"/>
  <c r="D77" i="28" a="1"/>
  <c r="D77" i="28" s="1"/>
  <c r="O78" i="28"/>
  <c r="R78" i="27"/>
  <c r="B77" i="27" a="1"/>
  <c r="B77" i="27" s="1"/>
  <c r="T77" i="27"/>
  <c r="C77" i="27" s="1" a="1"/>
  <c r="C77" i="27" s="1"/>
  <c r="V76" i="25"/>
  <c r="C76" i="25" s="1" a="1"/>
  <c r="C76" i="25" s="1"/>
  <c r="T77" i="25"/>
  <c r="B76" i="25" a="1"/>
  <c r="B76" i="25" s="1"/>
  <c r="G122" i="1" l="1" a="1"/>
  <c r="G122" i="1" s="1"/>
  <c r="F122" i="1" a="1"/>
  <c r="F122" i="1" s="1"/>
  <c r="H122" i="1" a="1"/>
  <c r="H122" i="1" s="1"/>
  <c r="CL122" i="1" a="1"/>
  <c r="CL122" i="1" s="1"/>
  <c r="L80" i="28"/>
  <c r="CX118" i="1"/>
  <c r="BG104" i="1"/>
  <c r="BK104" i="1"/>
  <c r="W120" i="1"/>
  <c r="S120" i="1"/>
  <c r="BF106" i="1"/>
  <c r="BB106" i="1"/>
  <c r="B122" i="1"/>
  <c r="DA124" i="1"/>
  <c r="R122" i="1" a="1"/>
  <c r="R122" i="1" s="1"/>
  <c r="BP102" i="1"/>
  <c r="BL102" i="1"/>
  <c r="CM120" i="1"/>
  <c r="CN120" i="1" s="1"/>
  <c r="CO120" i="1" s="1"/>
  <c r="CP120" i="1" s="1"/>
  <c r="CQ120" i="1" s="1"/>
  <c r="CR120" i="1" s="1"/>
  <c r="CS120" i="1" s="1"/>
  <c r="CT120" i="1" s="1"/>
  <c r="CU120" i="1" s="1"/>
  <c r="CV120" i="1" s="1"/>
  <c r="CW120" i="1" s="1"/>
  <c r="AQ112" i="1"/>
  <c r="AM112" i="1"/>
  <c r="BU100" i="1"/>
  <c r="BV100" i="1" s="1"/>
  <c r="BQ100" i="1"/>
  <c r="AR110" i="1"/>
  <c r="AV110" i="1"/>
  <c r="AC116" i="1"/>
  <c r="AG116" i="1"/>
  <c r="AH114" i="1"/>
  <c r="AL114" i="1"/>
  <c r="AW108" i="1"/>
  <c r="BA108" i="1"/>
  <c r="X118" i="1"/>
  <c r="AB118" i="1"/>
  <c r="O79" i="28"/>
  <c r="D78" i="28" a="1"/>
  <c r="D78" i="28" s="1"/>
  <c r="K81" i="28"/>
  <c r="J82" i="28"/>
  <c r="T78" i="27"/>
  <c r="C78" i="27" s="1" a="1"/>
  <c r="C78" i="27" s="1"/>
  <c r="B78" i="27" a="1"/>
  <c r="B78" i="27" s="1"/>
  <c r="T78" i="25"/>
  <c r="T79" i="25" s="1"/>
  <c r="B77" i="25" a="1"/>
  <c r="B77" i="25" s="1"/>
  <c r="V77" i="25"/>
  <c r="C77" i="25" s="1" a="1"/>
  <c r="C77" i="25" s="1"/>
  <c r="F124" i="1" l="1" a="1"/>
  <c r="F124" i="1" s="1"/>
  <c r="G124" i="1" a="1"/>
  <c r="G124" i="1" s="1"/>
  <c r="H124" i="1" a="1"/>
  <c r="H124" i="1" s="1"/>
  <c r="CL124" i="1" a="1"/>
  <c r="CL124" i="1" s="1"/>
  <c r="L81" i="28"/>
  <c r="T80" i="25"/>
  <c r="B79" i="25" a="1"/>
  <c r="B79" i="25" s="1"/>
  <c r="CX120" i="1"/>
  <c r="AV112" i="1"/>
  <c r="AR112" i="1"/>
  <c r="AL116" i="1"/>
  <c r="AH116" i="1"/>
  <c r="BK106" i="1"/>
  <c r="BG106" i="1"/>
  <c r="AC118" i="1"/>
  <c r="AG118" i="1"/>
  <c r="AW110" i="1"/>
  <c r="BA110" i="1"/>
  <c r="BQ102" i="1"/>
  <c r="BU102" i="1"/>
  <c r="BV102" i="1" s="1"/>
  <c r="AB120" i="1"/>
  <c r="X120" i="1"/>
  <c r="BF108" i="1"/>
  <c r="BB108" i="1"/>
  <c r="W122" i="1"/>
  <c r="S122" i="1"/>
  <c r="BP104" i="1"/>
  <c r="BL104" i="1"/>
  <c r="CM122" i="1"/>
  <c r="CN122" i="1" s="1"/>
  <c r="CO122" i="1" s="1"/>
  <c r="CP122" i="1" s="1"/>
  <c r="CQ122" i="1" s="1"/>
  <c r="CR122" i="1" s="1"/>
  <c r="CS122" i="1" s="1"/>
  <c r="CT122" i="1" s="1"/>
  <c r="CU122" i="1" s="1"/>
  <c r="CV122" i="1" s="1"/>
  <c r="CW122" i="1" s="1"/>
  <c r="AQ114" i="1"/>
  <c r="AM114" i="1"/>
  <c r="B124" i="1"/>
  <c r="DA126" i="1"/>
  <c r="R124" i="1" a="1"/>
  <c r="R124" i="1" s="1"/>
  <c r="J83" i="28"/>
  <c r="K82" i="28"/>
  <c r="O80" i="28"/>
  <c r="D79" i="28" a="1"/>
  <c r="D79" i="28" s="1"/>
  <c r="V78" i="25"/>
  <c r="B78" i="25" a="1"/>
  <c r="B78" i="25" s="1"/>
  <c r="G126" i="1" l="1" a="1"/>
  <c r="G126" i="1" s="1"/>
  <c r="F126" i="1" a="1"/>
  <c r="F126" i="1" s="1"/>
  <c r="H126" i="1" a="1"/>
  <c r="H126" i="1" s="1"/>
  <c r="CL126" i="1" a="1"/>
  <c r="CL126" i="1" s="1"/>
  <c r="L82" i="28"/>
  <c r="C78" i="25" a="1"/>
  <c r="C78" i="25" s="1"/>
  <c r="V79" i="25"/>
  <c r="T81" i="25"/>
  <c r="B80" i="25" a="1"/>
  <c r="B80" i="25" s="1"/>
  <c r="CX122" i="1"/>
  <c r="AH118" i="1"/>
  <c r="AL118" i="1"/>
  <c r="AR114" i="1"/>
  <c r="AV114" i="1"/>
  <c r="BK108" i="1"/>
  <c r="BG108" i="1"/>
  <c r="AG120" i="1"/>
  <c r="AC120" i="1"/>
  <c r="BP106" i="1"/>
  <c r="BL106" i="1"/>
  <c r="W124" i="1"/>
  <c r="S124" i="1"/>
  <c r="B126" i="1"/>
  <c r="DA128" i="1"/>
  <c r="R126" i="1" a="1"/>
  <c r="R126" i="1" s="1"/>
  <c r="BQ104" i="1"/>
  <c r="BU104" i="1"/>
  <c r="BV104" i="1" s="1"/>
  <c r="AQ116" i="1"/>
  <c r="AM116" i="1"/>
  <c r="BF110" i="1"/>
  <c r="BB110" i="1"/>
  <c r="CM124" i="1"/>
  <c r="CN124" i="1" s="1"/>
  <c r="CO124" i="1" s="1"/>
  <c r="CP124" i="1" s="1"/>
  <c r="CQ124" i="1" s="1"/>
  <c r="CR124" i="1" s="1"/>
  <c r="CS124" i="1" s="1"/>
  <c r="CT124" i="1" s="1"/>
  <c r="CU124" i="1" s="1"/>
  <c r="CV124" i="1" s="1"/>
  <c r="CW124" i="1" s="1"/>
  <c r="X122" i="1"/>
  <c r="AB122" i="1"/>
  <c r="AW112" i="1"/>
  <c r="BA112" i="1"/>
  <c r="D80" i="28" a="1"/>
  <c r="D80" i="28" s="1"/>
  <c r="O81" i="28"/>
  <c r="K83" i="28"/>
  <c r="J84" i="28"/>
  <c r="G128" i="1" l="1" a="1"/>
  <c r="G128" i="1" s="1"/>
  <c r="F128" i="1" a="1"/>
  <c r="F128" i="1" s="1"/>
  <c r="H128" i="1" a="1"/>
  <c r="H128" i="1" s="1"/>
  <c r="CL128" i="1" a="1"/>
  <c r="CL128" i="1" s="1"/>
  <c r="L83" i="28"/>
  <c r="B81" i="25" a="1"/>
  <c r="B81" i="25" s="1"/>
  <c r="T82" i="25"/>
  <c r="V80" i="25"/>
  <c r="C79" i="25" a="1"/>
  <c r="C79" i="25" s="1"/>
  <c r="CX124" i="1"/>
  <c r="R128" i="1" a="1"/>
  <c r="R128" i="1" s="1"/>
  <c r="B128" i="1"/>
  <c r="DA130" i="1"/>
  <c r="AL120" i="1"/>
  <c r="AH120" i="1"/>
  <c r="CM126" i="1"/>
  <c r="CN126" i="1" s="1"/>
  <c r="CO126" i="1" s="1"/>
  <c r="CP126" i="1" s="1"/>
  <c r="CQ126" i="1" s="1"/>
  <c r="CR126" i="1" s="1"/>
  <c r="CS126" i="1" s="1"/>
  <c r="CT126" i="1" s="1"/>
  <c r="CU126" i="1" s="1"/>
  <c r="CV126" i="1" s="1"/>
  <c r="CW126" i="1" s="1"/>
  <c r="BB112" i="1"/>
  <c r="BF112" i="1"/>
  <c r="BA114" i="1"/>
  <c r="AW114" i="1"/>
  <c r="BP108" i="1"/>
  <c r="BL108" i="1"/>
  <c r="AR116" i="1"/>
  <c r="AV116" i="1"/>
  <c r="X124" i="1"/>
  <c r="AB124" i="1"/>
  <c r="W126" i="1"/>
  <c r="S126" i="1"/>
  <c r="BK110" i="1"/>
  <c r="BG110" i="1"/>
  <c r="AG122" i="1"/>
  <c r="AC122" i="1"/>
  <c r="AM118" i="1"/>
  <c r="AQ118" i="1"/>
  <c r="BU106" i="1"/>
  <c r="BV106" i="1" s="1"/>
  <c r="BQ106" i="1"/>
  <c r="K84" i="28"/>
  <c r="J85" i="28"/>
  <c r="O82" i="28"/>
  <c r="D81" i="28" a="1"/>
  <c r="D81" i="28" s="1"/>
  <c r="G98" i="24"/>
  <c r="Z83" i="9"/>
  <c r="W25" i="24"/>
  <c r="B24" i="24" a="1"/>
  <c r="B24" i="24" s="1"/>
  <c r="U25" i="24"/>
  <c r="G130" i="1" l="1" a="1"/>
  <c r="G130" i="1" s="1"/>
  <c r="F130" i="1" a="1"/>
  <c r="F130" i="1" s="1"/>
  <c r="H130" i="1" a="1"/>
  <c r="H130" i="1" s="1"/>
  <c r="CL130" i="1" a="1"/>
  <c r="CL130" i="1" s="1"/>
  <c r="L84" i="28"/>
  <c r="H98" i="24"/>
  <c r="C80" i="25" a="1"/>
  <c r="C80" i="25" s="1"/>
  <c r="V81" i="25"/>
  <c r="T83" i="25"/>
  <c r="B82" i="25" a="1"/>
  <c r="B82" i="25" s="1"/>
  <c r="K85" i="28"/>
  <c r="J86" i="28"/>
  <c r="BA116" i="1"/>
  <c r="AW116" i="1"/>
  <c r="CX126" i="1"/>
  <c r="AH122" i="1"/>
  <c r="AL122" i="1"/>
  <c r="BL110" i="1"/>
  <c r="BP110" i="1"/>
  <c r="BU108" i="1"/>
  <c r="BV108" i="1" s="1"/>
  <c r="BQ108" i="1"/>
  <c r="AM120" i="1"/>
  <c r="AQ120" i="1"/>
  <c r="DA132" i="1"/>
  <c r="R130" i="1" a="1"/>
  <c r="R130" i="1" s="1"/>
  <c r="B130" i="1"/>
  <c r="X126" i="1"/>
  <c r="AB126" i="1"/>
  <c r="BB114" i="1"/>
  <c r="BF114" i="1"/>
  <c r="AV118" i="1"/>
  <c r="AR118" i="1"/>
  <c r="AG124" i="1"/>
  <c r="AC124" i="1"/>
  <c r="BK112" i="1"/>
  <c r="BG112" i="1"/>
  <c r="W128" i="1"/>
  <c r="S128" i="1"/>
  <c r="CM128" i="1"/>
  <c r="CN128" i="1" s="1"/>
  <c r="CO128" i="1" s="1"/>
  <c r="CP128" i="1" s="1"/>
  <c r="CQ128" i="1" s="1"/>
  <c r="CR128" i="1" s="1"/>
  <c r="CS128" i="1" s="1"/>
  <c r="CT128" i="1" s="1"/>
  <c r="CU128" i="1" s="1"/>
  <c r="CV128" i="1" s="1"/>
  <c r="CW128" i="1" s="1"/>
  <c r="W26" i="24"/>
  <c r="C25" i="24" a="1"/>
  <c r="C25" i="24" s="1"/>
  <c r="O83" i="28"/>
  <c r="D82" i="28" a="1"/>
  <c r="D82" i="28" s="1"/>
  <c r="B25" i="24" a="1"/>
  <c r="B25" i="24" s="1"/>
  <c r="U26" i="24"/>
  <c r="F132" i="1" l="1" a="1"/>
  <c r="F132" i="1" s="1"/>
  <c r="G132" i="1" a="1"/>
  <c r="G132" i="1" s="1"/>
  <c r="H132" i="1" a="1"/>
  <c r="H132" i="1" s="1"/>
  <c r="CL132" i="1" a="1"/>
  <c r="CL132" i="1" s="1"/>
  <c r="L85" i="28"/>
  <c r="I98" i="24"/>
  <c r="B83" i="25" a="1"/>
  <c r="B83" i="25" s="1"/>
  <c r="T84" i="25"/>
  <c r="V82" i="25"/>
  <c r="C81" i="25" a="1"/>
  <c r="C81" i="25" s="1"/>
  <c r="K86" i="28"/>
  <c r="J87" i="28"/>
  <c r="K87" i="28" s="1"/>
  <c r="CX128" i="1"/>
  <c r="BL112" i="1"/>
  <c r="BP112" i="1"/>
  <c r="BU110" i="1"/>
  <c r="BV110" i="1" s="1"/>
  <c r="BQ110" i="1"/>
  <c r="AL124" i="1"/>
  <c r="AH124" i="1"/>
  <c r="S130" i="1"/>
  <c r="W130" i="1"/>
  <c r="AM122" i="1"/>
  <c r="AQ122" i="1"/>
  <c r="BA118" i="1"/>
  <c r="AW118" i="1"/>
  <c r="R132" i="1" a="1"/>
  <c r="R132" i="1" s="1"/>
  <c r="DA134" i="1"/>
  <c r="B132" i="1"/>
  <c r="CM130" i="1"/>
  <c r="CN130" i="1" s="1"/>
  <c r="CO130" i="1" s="1"/>
  <c r="CP130" i="1" s="1"/>
  <c r="CQ130" i="1" s="1"/>
  <c r="CR130" i="1" s="1"/>
  <c r="CS130" i="1" s="1"/>
  <c r="CT130" i="1" s="1"/>
  <c r="CU130" i="1" s="1"/>
  <c r="CV130" i="1" s="1"/>
  <c r="CW130" i="1" s="1"/>
  <c r="BK114" i="1"/>
  <c r="BG114" i="1"/>
  <c r="AR120" i="1"/>
  <c r="AV120" i="1"/>
  <c r="X128" i="1"/>
  <c r="AB128" i="1"/>
  <c r="AC126" i="1"/>
  <c r="AG126" i="1"/>
  <c r="BB116" i="1"/>
  <c r="BF116" i="1"/>
  <c r="W27" i="24"/>
  <c r="C26" i="24" a="1"/>
  <c r="C26" i="24" s="1"/>
  <c r="O84" i="28"/>
  <c r="D83" i="28" a="1"/>
  <c r="D83" i="28" s="1"/>
  <c r="U27" i="24"/>
  <c r="B26" i="24" a="1"/>
  <c r="B26" i="24" s="1"/>
  <c r="F134" i="1" l="1" a="1"/>
  <c r="F134" i="1" s="1"/>
  <c r="G134" i="1" a="1"/>
  <c r="G134" i="1" s="1"/>
  <c r="H134" i="1" a="1"/>
  <c r="H134" i="1" s="1"/>
  <c r="CL134" i="1" a="1"/>
  <c r="CL134" i="1" s="1"/>
  <c r="L87" i="28"/>
  <c r="L86" i="28"/>
  <c r="J98" i="24"/>
  <c r="T85" i="25"/>
  <c r="B84" i="25" a="1"/>
  <c r="B84" i="25" s="1"/>
  <c r="V83" i="25"/>
  <c r="V84" i="25" s="1"/>
  <c r="C82" i="25" a="1"/>
  <c r="C82" i="25" s="1"/>
  <c r="AC128" i="1"/>
  <c r="AG128" i="1"/>
  <c r="CM132" i="1"/>
  <c r="CN132" i="1" s="1"/>
  <c r="CO132" i="1" s="1"/>
  <c r="CP132" i="1" s="1"/>
  <c r="CQ132" i="1" s="1"/>
  <c r="CR132" i="1" s="1"/>
  <c r="CS132" i="1" s="1"/>
  <c r="CT132" i="1" s="1"/>
  <c r="CU132" i="1" s="1"/>
  <c r="CV132" i="1" s="1"/>
  <c r="CW132" i="1" s="1"/>
  <c r="X130" i="1"/>
  <c r="AB130" i="1"/>
  <c r="AW120" i="1"/>
  <c r="BA120" i="1"/>
  <c r="DA136" i="1"/>
  <c r="B134" i="1"/>
  <c r="R134" i="1" a="1"/>
  <c r="R134" i="1" s="1"/>
  <c r="S132" i="1"/>
  <c r="W132" i="1"/>
  <c r="AM124" i="1"/>
  <c r="AQ124" i="1"/>
  <c r="BL114" i="1"/>
  <c r="BP114" i="1"/>
  <c r="BB118" i="1"/>
  <c r="BF118" i="1"/>
  <c r="BK116" i="1"/>
  <c r="BG116" i="1"/>
  <c r="AL126" i="1"/>
  <c r="AH126" i="1"/>
  <c r="CX130" i="1"/>
  <c r="AR122" i="1"/>
  <c r="AV122" i="1"/>
  <c r="BQ112" i="1"/>
  <c r="BU112" i="1"/>
  <c r="BV112" i="1" s="1"/>
  <c r="W28" i="24"/>
  <c r="C27" i="24" a="1"/>
  <c r="C27" i="24" s="1"/>
  <c r="D84" i="28" a="1"/>
  <c r="D84" i="28" s="1"/>
  <c r="O85" i="28"/>
  <c r="O86" i="28" s="1"/>
  <c r="O87" i="28" s="1"/>
  <c r="U28" i="24"/>
  <c r="B27" i="24" a="1"/>
  <c r="B27" i="24" s="1"/>
  <c r="D140" i="18"/>
  <c r="D141" i="18" s="1"/>
  <c r="G136" i="1" l="1" a="1"/>
  <c r="G136" i="1" s="1"/>
  <c r="F136" i="1" a="1"/>
  <c r="F136" i="1" s="1"/>
  <c r="H136" i="1" a="1"/>
  <c r="H136" i="1" s="1"/>
  <c r="CL136" i="1" a="1"/>
  <c r="CL136" i="1" s="1"/>
  <c r="C8" i="30"/>
  <c r="D8" i="30" s="1"/>
  <c r="K98" i="24"/>
  <c r="V85" i="25"/>
  <c r="C84" i="25" a="1"/>
  <c r="C84" i="25" s="1"/>
  <c r="T86" i="25"/>
  <c r="B85" i="25" a="1"/>
  <c r="B85" i="25" s="1"/>
  <c r="C83" i="25" a="1"/>
  <c r="C83" i="25" s="1"/>
  <c r="D87" i="28" a="1"/>
  <c r="D87" i="28" s="1"/>
  <c r="D86" i="28" a="1"/>
  <c r="D86" i="28" s="1"/>
  <c r="AR124" i="1"/>
  <c r="AV124" i="1"/>
  <c r="BB120" i="1"/>
  <c r="BF120" i="1"/>
  <c r="AB132" i="1"/>
  <c r="X132" i="1"/>
  <c r="AG130" i="1"/>
  <c r="AC130" i="1"/>
  <c r="BP116" i="1"/>
  <c r="BL116" i="1"/>
  <c r="BK118" i="1"/>
  <c r="BG118" i="1"/>
  <c r="W134" i="1"/>
  <c r="S134" i="1"/>
  <c r="CX132" i="1"/>
  <c r="BA122" i="1"/>
  <c r="AW122" i="1"/>
  <c r="CM134" i="1"/>
  <c r="CN134" i="1" s="1"/>
  <c r="CO134" i="1" s="1"/>
  <c r="CP134" i="1" s="1"/>
  <c r="CQ134" i="1" s="1"/>
  <c r="CR134" i="1" s="1"/>
  <c r="CS134" i="1" s="1"/>
  <c r="CT134" i="1" s="1"/>
  <c r="CU134" i="1" s="1"/>
  <c r="CV134" i="1" s="1"/>
  <c r="CW134" i="1" s="1"/>
  <c r="AQ126" i="1"/>
  <c r="AM126" i="1"/>
  <c r="BU114" i="1"/>
  <c r="BV114" i="1" s="1"/>
  <c r="BQ114" i="1"/>
  <c r="AH128" i="1"/>
  <c r="AL128" i="1"/>
  <c r="R136" i="1" a="1"/>
  <c r="R136" i="1" s="1"/>
  <c r="DA138" i="1"/>
  <c r="B136" i="1"/>
  <c r="W29" i="24"/>
  <c r="C28" i="24" a="1"/>
  <c r="C28" i="24" s="1"/>
  <c r="D85" i="28" a="1"/>
  <c r="D85" i="28" s="1"/>
  <c r="D142" i="18"/>
  <c r="U29" i="24"/>
  <c r="B28" i="24" a="1"/>
  <c r="B28" i="24" s="1"/>
  <c r="DA140" i="1" l="1"/>
  <c r="G138" i="1" a="1"/>
  <c r="G138" i="1" s="1"/>
  <c r="F138" i="1" a="1"/>
  <c r="F138" i="1" s="1"/>
  <c r="H138" i="1" a="1"/>
  <c r="H138" i="1" s="1"/>
  <c r="CL138" i="1" a="1"/>
  <c r="CL138" i="1" s="1"/>
  <c r="L98" i="24"/>
  <c r="T87" i="25"/>
  <c r="B86" i="25" a="1"/>
  <c r="B86" i="25" s="1"/>
  <c r="C85" i="25" a="1"/>
  <c r="C85" i="25" s="1"/>
  <c r="V86" i="25"/>
  <c r="B140" i="1"/>
  <c r="C87" i="28" s="1" a="1"/>
  <c r="C87" i="28" s="1"/>
  <c r="R140" i="1" a="1"/>
  <c r="R140" i="1" s="1"/>
  <c r="BF122" i="1"/>
  <c r="BB122" i="1"/>
  <c r="AH130" i="1"/>
  <c r="AL130" i="1"/>
  <c r="AB134" i="1"/>
  <c r="X134" i="1"/>
  <c r="AG132" i="1"/>
  <c r="AC132" i="1"/>
  <c r="CM136" i="1"/>
  <c r="CN136" i="1" s="1"/>
  <c r="CO136" i="1" s="1"/>
  <c r="CP136" i="1" s="1"/>
  <c r="CQ136" i="1" s="1"/>
  <c r="CR136" i="1" s="1"/>
  <c r="CS136" i="1" s="1"/>
  <c r="CT136" i="1" s="1"/>
  <c r="CU136" i="1" s="1"/>
  <c r="CV136" i="1" s="1"/>
  <c r="CW136" i="1" s="1"/>
  <c r="AV126" i="1"/>
  <c r="AR126" i="1"/>
  <c r="BG120" i="1"/>
  <c r="BK120" i="1"/>
  <c r="R138" i="1" a="1"/>
  <c r="R138" i="1" s="1"/>
  <c r="B138" i="1"/>
  <c r="C86" i="28" s="1" a="1"/>
  <c r="C86" i="28" s="1"/>
  <c r="CX134" i="1"/>
  <c r="BP118" i="1"/>
  <c r="BL118" i="1"/>
  <c r="S136" i="1"/>
  <c r="W136" i="1"/>
  <c r="BA124" i="1"/>
  <c r="AW124" i="1"/>
  <c r="AQ128" i="1"/>
  <c r="AM128" i="1"/>
  <c r="BQ116" i="1"/>
  <c r="BU116" i="1"/>
  <c r="BV116" i="1" s="1"/>
  <c r="W30" i="24"/>
  <c r="C29" i="24" a="1"/>
  <c r="C29" i="24" s="1"/>
  <c r="U30" i="24"/>
  <c r="B29" i="24" a="1"/>
  <c r="B29" i="24" s="1"/>
  <c r="G140" i="1" l="1" a="1"/>
  <c r="G140" i="1" s="1"/>
  <c r="F140" i="1" a="1"/>
  <c r="F140" i="1" s="1"/>
  <c r="H140" i="1" a="1"/>
  <c r="H140" i="1" s="1"/>
  <c r="CL140" i="1" a="1"/>
  <c r="CL140" i="1" s="1"/>
  <c r="M98" i="24"/>
  <c r="V87" i="25"/>
  <c r="C86" i="25" a="1"/>
  <c r="C86" i="25" s="1"/>
  <c r="B87" i="25" a="1"/>
  <c r="B87" i="25" s="1"/>
  <c r="T88" i="25"/>
  <c r="CX136" i="1"/>
  <c r="S140" i="1"/>
  <c r="W140" i="1"/>
  <c r="CM140" i="1"/>
  <c r="BF124" i="1"/>
  <c r="BB124" i="1"/>
  <c r="S138" i="1"/>
  <c r="W138" i="1"/>
  <c r="AH132" i="1"/>
  <c r="AL132" i="1"/>
  <c r="X136" i="1"/>
  <c r="AB136" i="1"/>
  <c r="BP120" i="1"/>
  <c r="BL120" i="1"/>
  <c r="AC134" i="1"/>
  <c r="AG134" i="1"/>
  <c r="AQ130" i="1"/>
  <c r="AM130" i="1"/>
  <c r="BQ118" i="1"/>
  <c r="BU118" i="1"/>
  <c r="BV118" i="1" s="1"/>
  <c r="BA126" i="1"/>
  <c r="AW126" i="1"/>
  <c r="AV128" i="1"/>
  <c r="AR128" i="1"/>
  <c r="CM138" i="1"/>
  <c r="BG122" i="1"/>
  <c r="BK122" i="1"/>
  <c r="W31" i="24"/>
  <c r="C30" i="24" a="1"/>
  <c r="C30" i="24" s="1"/>
  <c r="U31" i="24"/>
  <c r="B30" i="24" a="1"/>
  <c r="B30" i="24" s="1"/>
  <c r="N98" i="24" l="1"/>
  <c r="V88" i="25"/>
  <c r="C87" i="25" a="1"/>
  <c r="C87" i="25" s="1"/>
  <c r="B88" i="25" a="1"/>
  <c r="B88" i="25" s="1"/>
  <c r="T89" i="25"/>
  <c r="B89" i="25" s="1" a="1"/>
  <c r="B89" i="25" s="1"/>
  <c r="CN140" i="1"/>
  <c r="CN138" i="1"/>
  <c r="AB140" i="1"/>
  <c r="X140" i="1"/>
  <c r="BP122" i="1"/>
  <c r="BL122" i="1"/>
  <c r="AC136" i="1"/>
  <c r="AG136" i="1"/>
  <c r="AQ132" i="1"/>
  <c r="AM132" i="1"/>
  <c r="AR130" i="1"/>
  <c r="AV130" i="1"/>
  <c r="AL134" i="1"/>
  <c r="AH134" i="1"/>
  <c r="X138" i="1"/>
  <c r="AB138" i="1"/>
  <c r="AW128" i="1"/>
  <c r="BA128" i="1"/>
  <c r="BB126" i="1"/>
  <c r="BF126" i="1"/>
  <c r="BQ120" i="1"/>
  <c r="BU120" i="1"/>
  <c r="BV120" i="1" s="1"/>
  <c r="BG124" i="1"/>
  <c r="BK124" i="1"/>
  <c r="W32" i="24"/>
  <c r="C31" i="24" a="1"/>
  <c r="C31" i="24" s="1"/>
  <c r="U32" i="24"/>
  <c r="B31" i="24" a="1"/>
  <c r="B31" i="24" s="1"/>
  <c r="O98" i="24" l="1"/>
  <c r="V89" i="25"/>
  <c r="C88" i="25" a="1"/>
  <c r="C88" i="25" s="1"/>
  <c r="CO140" i="1"/>
  <c r="CO138" i="1"/>
  <c r="AG140" i="1"/>
  <c r="AC140" i="1"/>
  <c r="AV132" i="1"/>
  <c r="AR132" i="1"/>
  <c r="BF128" i="1"/>
  <c r="BB128" i="1"/>
  <c r="BL124" i="1"/>
  <c r="BP124" i="1"/>
  <c r="AG138" i="1"/>
  <c r="AC138" i="1"/>
  <c r="AH136" i="1"/>
  <c r="AL136" i="1"/>
  <c r="AQ134" i="1"/>
  <c r="AM134" i="1"/>
  <c r="BK126" i="1"/>
  <c r="BG126" i="1"/>
  <c r="AW130" i="1"/>
  <c r="BA130" i="1"/>
  <c r="BQ122" i="1"/>
  <c r="BU122" i="1"/>
  <c r="BV122" i="1" s="1"/>
  <c r="W33" i="24"/>
  <c r="C32" i="24" a="1"/>
  <c r="C32" i="24" s="1"/>
  <c r="U33" i="24"/>
  <c r="B32" i="24" a="1"/>
  <c r="B32" i="24" s="1"/>
  <c r="P98" i="24" l="1"/>
  <c r="C89" i="25" a="1"/>
  <c r="C89" i="25" s="1"/>
  <c r="CP140" i="1"/>
  <c r="CP138" i="1"/>
  <c r="AH140" i="1"/>
  <c r="AL140" i="1"/>
  <c r="BB130" i="1"/>
  <c r="BF130" i="1"/>
  <c r="AH138" i="1"/>
  <c r="AL138" i="1"/>
  <c r="BQ124" i="1"/>
  <c r="BU124" i="1"/>
  <c r="BV124" i="1" s="1"/>
  <c r="BP126" i="1"/>
  <c r="BL126" i="1"/>
  <c r="AV134" i="1"/>
  <c r="AR134" i="1"/>
  <c r="BG128" i="1"/>
  <c r="BK128" i="1"/>
  <c r="AM136" i="1"/>
  <c r="AQ136" i="1"/>
  <c r="AW132" i="1"/>
  <c r="BA132" i="1"/>
  <c r="W34" i="24"/>
  <c r="C33" i="24" a="1"/>
  <c r="C33" i="24" s="1"/>
  <c r="U34" i="24"/>
  <c r="B33" i="24" a="1"/>
  <c r="B33" i="24" s="1"/>
  <c r="Q125" i="18"/>
  <c r="F12" i="18" a="1"/>
  <c r="F12" i="18" s="1"/>
  <c r="G12" i="18" a="1"/>
  <c r="G12" i="18" s="1"/>
  <c r="P12" i="18" a="1"/>
  <c r="P12" i="18" s="1"/>
  <c r="P10" i="18"/>
  <c r="P9" i="18" a="1"/>
  <c r="P9" i="18" s="1"/>
  <c r="P7" i="18" a="1"/>
  <c r="P7" i="18" s="1"/>
  <c r="O12" i="18" a="1"/>
  <c r="O12" i="18" s="1"/>
  <c r="O10" i="18"/>
  <c r="O9" i="18" a="1"/>
  <c r="O9" i="18" s="1"/>
  <c r="O7" i="18" a="1"/>
  <c r="O7" i="18" s="1"/>
  <c r="N12" i="18" a="1"/>
  <c r="N12" i="18" s="1"/>
  <c r="N10" i="18"/>
  <c r="N9" i="18" a="1"/>
  <c r="N9" i="18" s="1"/>
  <c r="N7" i="18" a="1"/>
  <c r="N7" i="18" s="1"/>
  <c r="M12" i="18" a="1"/>
  <c r="M12" i="18" s="1"/>
  <c r="M10" i="18"/>
  <c r="M9" i="18" a="1"/>
  <c r="M9" i="18" s="1"/>
  <c r="M7" i="18" a="1"/>
  <c r="M7" i="18" s="1"/>
  <c r="L12" i="18" a="1"/>
  <c r="L12" i="18" s="1"/>
  <c r="L10" i="18"/>
  <c r="L9" i="18" a="1"/>
  <c r="L9" i="18" s="1"/>
  <c r="L7" i="18" a="1"/>
  <c r="L7" i="18" s="1"/>
  <c r="K12" i="18" a="1"/>
  <c r="K12" i="18" s="1"/>
  <c r="K10" i="18"/>
  <c r="K9" i="18" a="1"/>
  <c r="K9" i="18" s="1"/>
  <c r="K7" i="18" a="1"/>
  <c r="K7" i="18" s="1"/>
  <c r="J12" i="18" a="1"/>
  <c r="J12" i="18" s="1"/>
  <c r="J10" i="18"/>
  <c r="J9" i="18" a="1"/>
  <c r="J9" i="18" s="1"/>
  <c r="J7" i="18" a="1"/>
  <c r="J7" i="18" s="1"/>
  <c r="H12" i="18" a="1"/>
  <c r="H12" i="18" s="1"/>
  <c r="H10" i="18"/>
  <c r="H9" i="18" a="1"/>
  <c r="H9" i="18" s="1"/>
  <c r="H7" i="18" a="1"/>
  <c r="H7" i="18" s="1"/>
  <c r="G10" i="18"/>
  <c r="G9" i="18" a="1"/>
  <c r="G9" i="18" s="1"/>
  <c r="G7" i="18" a="1"/>
  <c r="G7" i="18" s="1"/>
  <c r="F10" i="18"/>
  <c r="F9" i="18" a="1"/>
  <c r="F9" i="18" s="1"/>
  <c r="F7" i="18" a="1"/>
  <c r="F7" i="18" s="1"/>
  <c r="Q98" i="24" l="1"/>
  <c r="CQ140" i="1"/>
  <c r="CQ138" i="1"/>
  <c r="AQ140" i="1"/>
  <c r="AM140" i="1"/>
  <c r="BB132" i="1"/>
  <c r="BF132" i="1"/>
  <c r="BQ126" i="1"/>
  <c r="BU126" i="1"/>
  <c r="BV126" i="1" s="1"/>
  <c r="AR136" i="1"/>
  <c r="AV136" i="1"/>
  <c r="BL128" i="1"/>
  <c r="BP128" i="1"/>
  <c r="AQ138" i="1"/>
  <c r="AM138" i="1"/>
  <c r="BG130" i="1"/>
  <c r="BK130" i="1"/>
  <c r="AW134" i="1"/>
  <c r="BA134" i="1"/>
  <c r="W35" i="24"/>
  <c r="C34" i="24" a="1"/>
  <c r="C34" i="24" s="1"/>
  <c r="U35" i="24"/>
  <c r="B34" i="24" a="1"/>
  <c r="B34" i="24" s="1"/>
  <c r="Q124" i="18"/>
  <c r="CR140" i="1" l="1"/>
  <c r="CR138" i="1"/>
  <c r="AV140" i="1"/>
  <c r="AR140" i="1"/>
  <c r="BQ128" i="1"/>
  <c r="BU128" i="1"/>
  <c r="BV128" i="1" s="1"/>
  <c r="BF134" i="1"/>
  <c r="BB134" i="1"/>
  <c r="BA136" i="1"/>
  <c r="AW136" i="1"/>
  <c r="BL130" i="1"/>
  <c r="BP130" i="1"/>
  <c r="BG132" i="1"/>
  <c r="BK132" i="1"/>
  <c r="AV138" i="1"/>
  <c r="AR138" i="1"/>
  <c r="W36" i="24"/>
  <c r="C35" i="24" a="1"/>
  <c r="C35" i="24" s="1"/>
  <c r="U36" i="24"/>
  <c r="B35" i="24" a="1"/>
  <c r="B35" i="24" s="1"/>
  <c r="G96" i="24"/>
  <c r="H96" i="24" s="1"/>
  <c r="I96" i="24" s="1"/>
  <c r="J96" i="24" s="1"/>
  <c r="K96" i="24" s="1"/>
  <c r="E13" i="24"/>
  <c r="E14" i="24" s="1"/>
  <c r="E15" i="24" s="1"/>
  <c r="E16" i="24" s="1"/>
  <c r="E17" i="24" s="1"/>
  <c r="E18" i="24" s="1"/>
  <c r="E19" i="24" s="1"/>
  <c r="E20" i="24" s="1"/>
  <c r="E21" i="24" s="1"/>
  <c r="E24" i="24" s="1"/>
  <c r="E25" i="24" s="1"/>
  <c r="E26" i="24" s="1"/>
  <c r="E27" i="24" s="1"/>
  <c r="E28" i="24" s="1"/>
  <c r="E29" i="24" s="1"/>
  <c r="E30" i="24" s="1"/>
  <c r="E31" i="24" s="1"/>
  <c r="E32" i="24" s="1"/>
  <c r="E33" i="24" s="1"/>
  <c r="E34" i="24" s="1"/>
  <c r="E35" i="24" s="1"/>
  <c r="E36" i="24" s="1"/>
  <c r="E37" i="24" s="1"/>
  <c r="E38" i="24" s="1"/>
  <c r="E39" i="24" s="1"/>
  <c r="E40" i="24" s="1"/>
  <c r="E41" i="24" s="1"/>
  <c r="E42" i="24" s="1"/>
  <c r="E43" i="24" s="1"/>
  <c r="E44" i="24" s="1"/>
  <c r="E45" i="24" s="1"/>
  <c r="E46" i="24" s="1"/>
  <c r="E47" i="24" s="1"/>
  <c r="W13" i="24"/>
  <c r="W14" i="24" s="1"/>
  <c r="W15" i="24" s="1"/>
  <c r="W16" i="24" s="1"/>
  <c r="W17" i="24" s="1"/>
  <c r="W18" i="24" s="1"/>
  <c r="W19" i="24" s="1"/>
  <c r="W20" i="24" s="1"/>
  <c r="W21" i="24" s="1"/>
  <c r="D21" i="24" s="1" a="1"/>
  <c r="D21" i="24" s="1"/>
  <c r="Y13" i="24"/>
  <c r="Y14" i="24" s="1"/>
  <c r="Y15" i="24" s="1"/>
  <c r="Y16" i="24" s="1"/>
  <c r="Y17" i="24" s="1"/>
  <c r="Y18" i="24" s="1"/>
  <c r="Y19" i="24" s="1"/>
  <c r="Y20" i="24" s="1"/>
  <c r="Y21" i="24" s="1"/>
  <c r="G95" i="24"/>
  <c r="H95" i="24" s="1"/>
  <c r="I95" i="24" s="1"/>
  <c r="J95" i="24" s="1"/>
  <c r="K95" i="24" s="1"/>
  <c r="L95" i="24" s="1"/>
  <c r="M95" i="24" s="1"/>
  <c r="N95" i="24" s="1"/>
  <c r="O95" i="24" s="1"/>
  <c r="P95" i="24" s="1"/>
  <c r="Q95" i="24" s="1"/>
  <c r="R95" i="24" s="1"/>
  <c r="S95" i="24" s="1"/>
  <c r="U13" i="24"/>
  <c r="V13" i="24"/>
  <c r="V14" i="24" s="1"/>
  <c r="V15" i="24" s="1"/>
  <c r="V16" i="24" s="1"/>
  <c r="V17" i="24" s="1"/>
  <c r="V18" i="24" s="1"/>
  <c r="V19" i="24" s="1"/>
  <c r="V20" i="24" s="1"/>
  <c r="V21" i="24" s="1"/>
  <c r="B12" i="24" a="1"/>
  <c r="B12" i="24" s="1"/>
  <c r="Z13" i="24"/>
  <c r="Z14" i="24" s="1"/>
  <c r="Z15" i="24" s="1"/>
  <c r="Z16" i="24" s="1"/>
  <c r="Z17" i="24" s="1"/>
  <c r="Z18" i="24" s="1"/>
  <c r="Z19" i="24" s="1"/>
  <c r="Z20" i="24" s="1"/>
  <c r="Z21" i="24" s="1"/>
  <c r="G9" i="24"/>
  <c r="H9" i="24" s="1"/>
  <c r="I9" i="24" s="1"/>
  <c r="J9" i="24" s="1"/>
  <c r="K9" i="24" s="1"/>
  <c r="L9" i="24" s="1"/>
  <c r="M9" i="24" s="1"/>
  <c r="N9" i="24" s="1"/>
  <c r="O9" i="24" s="1"/>
  <c r="P9" i="24" s="1"/>
  <c r="CS138" i="1" l="1"/>
  <c r="CS140" i="1"/>
  <c r="AW140" i="1"/>
  <c r="BA140" i="1"/>
  <c r="BP132" i="1"/>
  <c r="BL132" i="1"/>
  <c r="BU130" i="1"/>
  <c r="BV130" i="1" s="1"/>
  <c r="BQ130" i="1"/>
  <c r="BF136" i="1"/>
  <c r="BB136" i="1"/>
  <c r="BA138" i="1"/>
  <c r="AW138" i="1"/>
  <c r="BK134" i="1"/>
  <c r="BG134" i="1"/>
  <c r="U14" i="24"/>
  <c r="C14" i="24" s="1" a="1"/>
  <c r="C14" i="24" s="1"/>
  <c r="C13" i="24" a="1"/>
  <c r="C13" i="24" s="1"/>
  <c r="E48" i="24"/>
  <c r="E49" i="24" s="1"/>
  <c r="E50" i="24" s="1"/>
  <c r="E51" i="24" s="1"/>
  <c r="E52" i="24" s="1"/>
  <c r="E53" i="24" s="1"/>
  <c r="E54" i="24" s="1"/>
  <c r="E55" i="24" s="1"/>
  <c r="E56" i="24" s="1"/>
  <c r="E57" i="24" s="1"/>
  <c r="E58" i="24" s="1"/>
  <c r="E59" i="24" s="1"/>
  <c r="E60" i="24" s="1"/>
  <c r="E61" i="24" s="1"/>
  <c r="E62" i="24" s="1"/>
  <c r="E63" i="24" s="1"/>
  <c r="E64" i="24" s="1"/>
  <c r="E65" i="24" s="1"/>
  <c r="E66" i="24" s="1"/>
  <c r="E67" i="24" s="1"/>
  <c r="E68" i="24" s="1"/>
  <c r="E69" i="24" s="1"/>
  <c r="E70" i="24" s="1"/>
  <c r="E71" i="24" s="1"/>
  <c r="E72" i="24" s="1"/>
  <c r="E73" i="24" s="1"/>
  <c r="E74" i="24" s="1"/>
  <c r="E75" i="24" s="1"/>
  <c r="E76" i="24" s="1"/>
  <c r="E77" i="24" s="1"/>
  <c r="E78" i="24" s="1"/>
  <c r="E79" i="24" s="1"/>
  <c r="E80" i="24" s="1"/>
  <c r="E81" i="24" s="1"/>
  <c r="E82" i="24" s="1"/>
  <c r="E83" i="24" s="1"/>
  <c r="E84" i="24" s="1"/>
  <c r="E85" i="24" s="1"/>
  <c r="E86" i="24" s="1"/>
  <c r="W37" i="24"/>
  <c r="C36" i="24" a="1"/>
  <c r="C36" i="24" s="1"/>
  <c r="U37" i="24"/>
  <c r="B36" i="24" a="1"/>
  <c r="B36" i="24" s="1"/>
  <c r="L96" i="24"/>
  <c r="M96" i="24" s="1"/>
  <c r="N96" i="24" s="1"/>
  <c r="O96" i="24" s="1"/>
  <c r="B13" i="24" a="1"/>
  <c r="B13" i="24" s="1"/>
  <c r="U15" i="24" l="1"/>
  <c r="C15" i="24" s="1" a="1"/>
  <c r="C15" i="24" s="1"/>
  <c r="B14" i="24" a="1"/>
  <c r="B14" i="24" s="1"/>
  <c r="E87" i="24"/>
  <c r="E88" i="24"/>
  <c r="CT140" i="1"/>
  <c r="CT138" i="1"/>
  <c r="BB140" i="1"/>
  <c r="BF140" i="1"/>
  <c r="BB138" i="1"/>
  <c r="BF138" i="1"/>
  <c r="BG136" i="1"/>
  <c r="BK136" i="1"/>
  <c r="BL134" i="1"/>
  <c r="BP134" i="1"/>
  <c r="BU132" i="1"/>
  <c r="BV132" i="1" s="1"/>
  <c r="BQ132" i="1"/>
  <c r="W38" i="24"/>
  <c r="C37" i="24" a="1"/>
  <c r="C37" i="24" s="1"/>
  <c r="U38" i="24"/>
  <c r="B37" i="24" a="1"/>
  <c r="B37" i="24" s="1"/>
  <c r="P96" i="24"/>
  <c r="U16" i="24"/>
  <c r="C16" i="24" s="1" a="1"/>
  <c r="C16" i="24" s="1"/>
  <c r="B15" i="24" a="1"/>
  <c r="B15" i="24" s="1"/>
  <c r="E90" i="24" l="1"/>
  <c r="E89" i="24"/>
  <c r="CU138" i="1"/>
  <c r="CU140" i="1"/>
  <c r="BG140" i="1"/>
  <c r="BK140" i="1"/>
  <c r="BQ134" i="1"/>
  <c r="BU134" i="1"/>
  <c r="BV134" i="1" s="1"/>
  <c r="BP136" i="1"/>
  <c r="BL136" i="1"/>
  <c r="BG138" i="1"/>
  <c r="BK138" i="1"/>
  <c r="W39" i="24"/>
  <c r="C38" i="24" a="1"/>
  <c r="C38" i="24" s="1"/>
  <c r="U39" i="24"/>
  <c r="B38" i="24" a="1"/>
  <c r="B38" i="24" s="1"/>
  <c r="Q96" i="24"/>
  <c r="U17" i="24"/>
  <c r="C17" i="24" s="1" a="1"/>
  <c r="C17" i="24" s="1"/>
  <c r="B16" i="24" a="1"/>
  <c r="B16" i="24" s="1"/>
  <c r="CV140" i="1" l="1"/>
  <c r="CV138" i="1"/>
  <c r="BP140" i="1"/>
  <c r="BL140" i="1"/>
  <c r="BP138" i="1"/>
  <c r="BL138" i="1"/>
  <c r="BQ136" i="1"/>
  <c r="BU136" i="1"/>
  <c r="BV136" i="1" s="1"/>
  <c r="W40" i="24"/>
  <c r="C39" i="24" a="1"/>
  <c r="C39" i="24" s="1"/>
  <c r="U40" i="24"/>
  <c r="B39" i="24" a="1"/>
  <c r="B39" i="24" s="1"/>
  <c r="R96" i="24"/>
  <c r="S96" i="24" s="1"/>
  <c r="U18" i="24"/>
  <c r="C18" i="24" s="1" a="1"/>
  <c r="C18" i="24" s="1"/>
  <c r="B17" i="24" a="1"/>
  <c r="B17" i="24" s="1"/>
  <c r="CW138" i="1" l="1"/>
  <c r="CW140" i="1"/>
  <c r="BU140" i="1"/>
  <c r="BQ140" i="1"/>
  <c r="BU138" i="1"/>
  <c r="BQ138" i="1"/>
  <c r="W41" i="24"/>
  <c r="C40" i="24" a="1"/>
  <c r="C40" i="24" s="1"/>
  <c r="U41" i="24"/>
  <c r="B40" i="24" a="1"/>
  <c r="B40" i="24" s="1"/>
  <c r="U19" i="24"/>
  <c r="C19" i="24" s="1" a="1"/>
  <c r="C19" i="24" s="1"/>
  <c r="B18" i="24" a="1"/>
  <c r="B18" i="24" s="1"/>
  <c r="CX140" i="1" l="1"/>
  <c r="CX138" i="1"/>
  <c r="BV138" i="1"/>
  <c r="BV140" i="1"/>
  <c r="W42" i="24"/>
  <c r="C41" i="24" a="1"/>
  <c r="C41" i="24" s="1"/>
  <c r="U42" i="24"/>
  <c r="B41" i="24" a="1"/>
  <c r="B41" i="24" s="1"/>
  <c r="U20" i="24"/>
  <c r="C20" i="24" s="1" a="1"/>
  <c r="C20" i="24" s="1"/>
  <c r="B19" i="24" a="1"/>
  <c r="B19" i="24" s="1"/>
  <c r="W43" i="24" l="1"/>
  <c r="C42" i="24" a="1"/>
  <c r="C42" i="24" s="1"/>
  <c r="U43" i="24"/>
  <c r="B42" i="24" a="1"/>
  <c r="B42" i="24" s="1"/>
  <c r="U21" i="24"/>
  <c r="B20" i="24" a="1"/>
  <c r="B20" i="24" s="1"/>
  <c r="B21" i="24" l="1" a="1"/>
  <c r="B21" i="24" s="1"/>
  <c r="C21" i="24" a="1"/>
  <c r="C21" i="24" s="1"/>
  <c r="W44" i="24"/>
  <c r="C43" i="24" a="1"/>
  <c r="C43" i="24" s="1"/>
  <c r="U44" i="24"/>
  <c r="B43" i="24" a="1"/>
  <c r="B43" i="24" s="1"/>
  <c r="L22" i="23"/>
  <c r="M22" i="23" s="1"/>
  <c r="N22" i="23" s="1"/>
  <c r="O22" i="23" s="1"/>
  <c r="P22" i="23" s="1"/>
  <c r="Q22" i="23" s="1"/>
  <c r="R22" i="23" s="1"/>
  <c r="S22" i="23" s="1"/>
  <c r="T22" i="23" s="1"/>
  <c r="U22" i="23" s="1"/>
  <c r="V22" i="23" s="1"/>
  <c r="W22" i="23" s="1"/>
  <c r="X22" i="23" s="1"/>
  <c r="Y22" i="23" s="1"/>
  <c r="Z22" i="23" s="1"/>
  <c r="AA22" i="23" s="1"/>
  <c r="AB22" i="23" s="1"/>
  <c r="AC22" i="23" s="1"/>
  <c r="AD22" i="23" s="1"/>
  <c r="AE22" i="23" s="1"/>
  <c r="AF22" i="23" s="1"/>
  <c r="AG22" i="23" s="1"/>
  <c r="AH22" i="23" s="1"/>
  <c r="AI22" i="23" s="1"/>
  <c r="AJ22" i="23" s="1"/>
  <c r="AK22" i="23" s="1"/>
  <c r="AL22" i="23" s="1"/>
  <c r="AM22" i="23" s="1"/>
  <c r="AN22" i="23" s="1"/>
  <c r="AO22" i="23" s="1"/>
  <c r="AP22" i="23" s="1"/>
  <c r="AQ22" i="23" s="1"/>
  <c r="AR22" i="23" s="1"/>
  <c r="AS22" i="23" s="1"/>
  <c r="AT22" i="23" s="1"/>
  <c r="AU22" i="23" s="1"/>
  <c r="AV22" i="23" s="1"/>
  <c r="AW22" i="23" s="1"/>
  <c r="AX22" i="23" s="1"/>
  <c r="AY22" i="23" s="1"/>
  <c r="AZ22" i="23" s="1"/>
  <c r="BA22" i="23" s="1"/>
  <c r="BB22" i="23" s="1"/>
  <c r="BC22" i="23" s="1"/>
  <c r="BD22" i="23" s="1"/>
  <c r="BE22" i="23" s="1"/>
  <c r="BF22" i="23" s="1"/>
  <c r="BG22" i="23" s="1"/>
  <c r="BH22" i="23" s="1"/>
  <c r="BI22" i="23" s="1"/>
  <c r="BJ22" i="23" s="1"/>
  <c r="BK22" i="23" s="1"/>
  <c r="BL22" i="23" s="1"/>
  <c r="BM22" i="23" s="1"/>
  <c r="BN22" i="23" s="1"/>
  <c r="BO22" i="23" s="1"/>
  <c r="BP22" i="23" s="1"/>
  <c r="BQ22" i="23" s="1"/>
  <c r="BR22" i="23" s="1"/>
  <c r="BS22" i="23" s="1"/>
  <c r="BT22" i="23" s="1"/>
  <c r="BU22" i="23" s="1"/>
  <c r="BV22" i="23" s="1"/>
  <c r="BW22" i="23" s="1"/>
  <c r="BX22" i="23" s="1"/>
  <c r="BY22" i="23" s="1"/>
  <c r="BZ22" i="23" s="1"/>
  <c r="CA22" i="23" s="1"/>
  <c r="CB22" i="23" s="1"/>
  <c r="CC22" i="23" s="1"/>
  <c r="CD22" i="23" s="1"/>
  <c r="CE22" i="23" s="1"/>
  <c r="CF22" i="23" s="1"/>
  <c r="CG22" i="23" s="1"/>
  <c r="CH22" i="23" s="1"/>
  <c r="CI22" i="23" s="1"/>
  <c r="CJ22" i="23" s="1"/>
  <c r="CK22" i="23" s="1"/>
  <c r="CL22" i="23" s="1"/>
  <c r="CM22" i="23" s="1"/>
  <c r="CN22" i="23" s="1"/>
  <c r="CO22" i="23" s="1"/>
  <c r="CP22" i="23" s="1"/>
  <c r="CQ22" i="23" s="1"/>
  <c r="CR22" i="23" s="1"/>
  <c r="CS22" i="23" s="1"/>
  <c r="CT22" i="23" s="1"/>
  <c r="CU22" i="23" s="1"/>
  <c r="CV22" i="23" s="1"/>
  <c r="CW22" i="23" s="1"/>
  <c r="CX22" i="23" s="1"/>
  <c r="CY22" i="23" s="1"/>
  <c r="CZ22" i="23" s="1"/>
  <c r="DA22" i="23" s="1"/>
  <c r="DB22" i="23" s="1"/>
  <c r="DC22" i="23" s="1"/>
  <c r="DD22" i="23" s="1"/>
  <c r="DE22" i="23" s="1"/>
  <c r="DF22" i="23" s="1"/>
  <c r="DG22" i="23" s="1"/>
  <c r="DH22" i="23" s="1"/>
  <c r="DI22" i="23" s="1"/>
  <c r="DJ22" i="23" s="1"/>
  <c r="DK22" i="23" s="1"/>
  <c r="DL22" i="23" s="1"/>
  <c r="DM22" i="23" s="1"/>
  <c r="DN22" i="23" s="1"/>
  <c r="DO22" i="23" s="1"/>
  <c r="DP22" i="23" s="1"/>
  <c r="DQ22" i="23" s="1"/>
  <c r="DR22" i="23" s="1"/>
  <c r="DS22" i="23" s="1"/>
  <c r="DT22" i="23" s="1"/>
  <c r="DU22" i="23" s="1"/>
  <c r="DV22" i="23" s="1"/>
  <c r="DW22" i="23" s="1"/>
  <c r="DX22" i="23" s="1"/>
  <c r="DY22" i="23" s="1"/>
  <c r="DZ22" i="23" s="1"/>
  <c r="EA22" i="23" s="1"/>
  <c r="EB22" i="23" s="1"/>
  <c r="EC22" i="23" s="1"/>
  <c r="ED22" i="23" s="1"/>
  <c r="EE22" i="23" s="1"/>
  <c r="EF22" i="23" s="1"/>
  <c r="EG22" i="23" s="1"/>
  <c r="EH22" i="23" s="1"/>
  <c r="EI22" i="23" s="1"/>
  <c r="EJ22" i="23" s="1"/>
  <c r="EK22" i="23" s="1"/>
  <c r="EL22" i="23" s="1"/>
  <c r="EM22" i="23" s="1"/>
  <c r="EN22" i="23" s="1"/>
  <c r="EO22" i="23" s="1"/>
  <c r="EP22" i="23" s="1"/>
  <c r="EQ22" i="23" s="1"/>
  <c r="ER22" i="23" s="1"/>
  <c r="ES22" i="23" s="1"/>
  <c r="ET22" i="23" s="1"/>
  <c r="EU22" i="23" s="1"/>
  <c r="EV22" i="23" s="1"/>
  <c r="EW22" i="23" s="1"/>
  <c r="EX22" i="23" s="1"/>
  <c r="EY22" i="23" s="1"/>
  <c r="EZ22" i="23" s="1"/>
  <c r="FA22" i="23" s="1"/>
  <c r="FB22" i="23" s="1"/>
  <c r="FC22" i="23" s="1"/>
  <c r="FD22" i="23" s="1"/>
  <c r="FE22" i="23" s="1"/>
  <c r="FF22" i="23" s="1"/>
  <c r="FG22" i="23" s="1"/>
  <c r="FH22" i="23" s="1"/>
  <c r="FI22" i="23" s="1"/>
  <c r="FJ22" i="23" s="1"/>
  <c r="FK22" i="23" s="1"/>
  <c r="FL22" i="23" s="1"/>
  <c r="FM22" i="23" s="1"/>
  <c r="FN22" i="23" s="1"/>
  <c r="FO22" i="23" s="1"/>
  <c r="FP22" i="23" s="1"/>
  <c r="FQ22" i="23" s="1"/>
  <c r="FR22" i="23" s="1"/>
  <c r="FS22" i="23" s="1"/>
  <c r="FT22" i="23" s="1"/>
  <c r="FU22" i="23" s="1"/>
  <c r="FV22" i="23" s="1"/>
  <c r="FW22" i="23" s="1"/>
  <c r="FX22" i="23" s="1"/>
  <c r="FY22" i="23" s="1"/>
  <c r="FZ22" i="23" s="1"/>
  <c r="GA22" i="23" s="1"/>
  <c r="GB22" i="23" s="1"/>
  <c r="GC22" i="23" s="1"/>
  <c r="GD22" i="23" s="1"/>
  <c r="GE22" i="23" s="1"/>
  <c r="GF22" i="23" s="1"/>
  <c r="GG22" i="23" s="1"/>
  <c r="GH22" i="23" s="1"/>
  <c r="GI22" i="23" s="1"/>
  <c r="GJ22" i="23" s="1"/>
  <c r="GK22" i="23" s="1"/>
  <c r="GL22" i="23" s="1"/>
  <c r="GM22" i="23" s="1"/>
  <c r="GN22" i="23" s="1"/>
  <c r="GO22" i="23" s="1"/>
  <c r="GP22" i="23" s="1"/>
  <c r="GQ22" i="23" s="1"/>
  <c r="GR22" i="23" s="1"/>
  <c r="GS22" i="23" s="1"/>
  <c r="GT22" i="23" s="1"/>
  <c r="GU22" i="23" s="1"/>
  <c r="GV22" i="23" s="1"/>
  <c r="GW22" i="23" s="1"/>
  <c r="GX22" i="23" s="1"/>
  <c r="GY22" i="23" s="1"/>
  <c r="GZ22" i="23" s="1"/>
  <c r="HA22" i="23" s="1"/>
  <c r="HB22" i="23" s="1"/>
  <c r="HC22" i="23" s="1"/>
  <c r="HD22" i="23" s="1"/>
  <c r="HE22" i="23" s="1"/>
  <c r="HF22" i="23" s="1"/>
  <c r="V11" i="23" a="1"/>
  <c r="V11" i="23" s="1"/>
  <c r="IJ13" i="23"/>
  <c r="IJ14" i="23" s="1"/>
  <c r="IJ15" i="23" s="1"/>
  <c r="IJ16" i="23" s="1"/>
  <c r="IJ17" i="23" s="1"/>
  <c r="IJ18" i="23" s="1"/>
  <c r="IJ19" i="23" s="1"/>
  <c r="IJ20" i="23" s="1"/>
  <c r="IH13" i="23"/>
  <c r="IH14" i="23" s="1"/>
  <c r="IH15" i="23" s="1"/>
  <c r="IH16" i="23" s="1"/>
  <c r="IH17" i="23" s="1"/>
  <c r="IH18" i="23" s="1"/>
  <c r="IH19" i="23" s="1"/>
  <c r="IH20" i="23" s="1"/>
  <c r="IG13" i="23"/>
  <c r="IG14" i="23" s="1"/>
  <c r="IG15" i="23" s="1"/>
  <c r="IG16" i="23" s="1"/>
  <c r="IG17" i="23" s="1"/>
  <c r="IG18" i="23" s="1"/>
  <c r="IG19" i="23" s="1"/>
  <c r="IG20" i="23" s="1"/>
  <c r="IF13" i="23"/>
  <c r="IF14" i="23" s="1"/>
  <c r="IF15" i="23" s="1"/>
  <c r="IF16" i="23" s="1"/>
  <c r="IF17" i="23" s="1"/>
  <c r="IF18" i="23" s="1"/>
  <c r="IF19" i="23" s="1"/>
  <c r="IF20" i="23" s="1"/>
  <c r="HT13" i="23"/>
  <c r="IJ12" i="23"/>
  <c r="II12" i="23"/>
  <c r="II13" i="23" s="1"/>
  <c r="II14" i="23" s="1"/>
  <c r="II15" i="23" s="1"/>
  <c r="II16" i="23" s="1"/>
  <c r="II17" i="23" s="1"/>
  <c r="II18" i="23" s="1"/>
  <c r="II19" i="23" s="1"/>
  <c r="II20" i="23" s="1"/>
  <c r="IG12" i="23"/>
  <c r="IH12" i="23"/>
  <c r="IF12" i="23"/>
  <c r="IE12" i="23"/>
  <c r="IE13" i="23" s="1"/>
  <c r="IE14" i="23" s="1"/>
  <c r="IE15" i="23" s="1"/>
  <c r="IE16" i="23" s="1"/>
  <c r="IE17" i="23" s="1"/>
  <c r="IE18" i="23" s="1"/>
  <c r="IE19" i="23" s="1"/>
  <c r="IE20" i="23" s="1"/>
  <c r="IB12" i="23"/>
  <c r="IB13" i="23" s="1"/>
  <c r="IB14" i="23" s="1"/>
  <c r="IB15" i="23" s="1"/>
  <c r="IB16" i="23" s="1"/>
  <c r="IB17" i="23" s="1"/>
  <c r="IB18" i="23" s="1"/>
  <c r="IB19" i="23" s="1"/>
  <c r="IB20" i="23" s="1"/>
  <c r="IA12" i="23"/>
  <c r="IA13" i="23" s="1"/>
  <c r="IA14" i="23" s="1"/>
  <c r="IA15" i="23" s="1"/>
  <c r="IA16" i="23" s="1"/>
  <c r="IA17" i="23" s="1"/>
  <c r="IA18" i="23" s="1"/>
  <c r="IA19" i="23" s="1"/>
  <c r="IA20" i="23" s="1"/>
  <c r="HX12" i="23"/>
  <c r="HX13" i="23" s="1"/>
  <c r="HX14" i="23" s="1"/>
  <c r="HX15" i="23" s="1"/>
  <c r="HX16" i="23" s="1"/>
  <c r="HX17" i="23" s="1"/>
  <c r="HX18" i="23" s="1"/>
  <c r="HX19" i="23" s="1"/>
  <c r="HX20" i="23" s="1"/>
  <c r="HU12" i="23"/>
  <c r="HU13" i="23" s="1"/>
  <c r="HV12" i="23"/>
  <c r="HV13" i="23" s="1"/>
  <c r="HV14" i="23" s="1"/>
  <c r="HV15" i="23" s="1"/>
  <c r="HV16" i="23" s="1"/>
  <c r="HV17" i="23" s="1"/>
  <c r="HV18" i="23" s="1"/>
  <c r="HV19" i="23" s="1"/>
  <c r="HV20" i="23" s="1"/>
  <c r="HW12" i="23"/>
  <c r="HT12" i="23"/>
  <c r="K12" i="23" s="1" a="1"/>
  <c r="K12" i="23" s="1"/>
  <c r="HH12" i="23"/>
  <c r="F12" i="23" s="1" a="1"/>
  <c r="F12" i="23" s="1"/>
  <c r="AA25" i="23"/>
  <c r="AL11" i="23" s="1" a="1"/>
  <c r="AL11" i="23" s="1"/>
  <c r="J11" i="23" a="1"/>
  <c r="J11" i="23" s="1"/>
  <c r="G11" i="23" a="1"/>
  <c r="G11" i="23" s="1"/>
  <c r="F11" i="23" a="1"/>
  <c r="F11" i="23" s="1"/>
  <c r="E11" i="23" a="1"/>
  <c r="E11" i="23" s="1"/>
  <c r="D11" i="23" a="1"/>
  <c r="D11" i="23" s="1"/>
  <c r="C11" i="23" a="1"/>
  <c r="C11" i="23" s="1"/>
  <c r="C38" i="23" a="1"/>
  <c r="C38" i="23" s="1"/>
  <c r="C33" i="23" a="1"/>
  <c r="C33" i="23" s="1"/>
  <c r="C36" i="23" a="1"/>
  <c r="C36" i="23" s="1"/>
  <c r="C35" i="23" a="1"/>
  <c r="C35" i="23" s="1"/>
  <c r="C34" i="23" a="1"/>
  <c r="C34" i="23" s="1"/>
  <c r="K6" i="23" a="1"/>
  <c r="K6" i="23" s="1"/>
  <c r="B11" i="23" a="1"/>
  <c r="B11" i="23" s="1"/>
  <c r="V29" i="22"/>
  <c r="V33" i="22" s="1"/>
  <c r="Z28" i="22"/>
  <c r="Z30" i="22" s="1"/>
  <c r="X28" i="22"/>
  <c r="X51" i="22" s="1"/>
  <c r="X74" i="22" s="1"/>
  <c r="X97" i="22" s="1"/>
  <c r="X120" i="22" s="1"/>
  <c r="X143" i="22" s="1"/>
  <c r="X166" i="22" s="1"/>
  <c r="X189" i="22" s="1"/>
  <c r="X212" i="22" s="1"/>
  <c r="R28" i="22"/>
  <c r="B28" i="22" s="1" a="1"/>
  <c r="B28" i="22" s="1"/>
  <c r="E13" i="22" a="1"/>
  <c r="E13" i="22" s="1"/>
  <c r="F13" i="22" a="1"/>
  <c r="F13" i="22" s="1"/>
  <c r="G13" i="22" a="1"/>
  <c r="G13" i="22" s="1"/>
  <c r="H13" i="22" a="1"/>
  <c r="H13" i="22" s="1"/>
  <c r="I13" i="22" a="1"/>
  <c r="I13" i="22" s="1"/>
  <c r="J13" i="22" a="1"/>
  <c r="J13" i="22" s="1"/>
  <c r="K13" i="22" a="1"/>
  <c r="K13" i="22" s="1"/>
  <c r="L13" i="22" a="1"/>
  <c r="L13" i="22" s="1"/>
  <c r="M13" i="22" a="1"/>
  <c r="M13" i="22" s="1"/>
  <c r="N13" i="22" a="1"/>
  <c r="N13" i="22" s="1"/>
  <c r="O13" i="22" a="1"/>
  <c r="O13" i="22" s="1"/>
  <c r="P6" i="22"/>
  <c r="P7" i="22" s="1"/>
  <c r="P8" i="22" s="1"/>
  <c r="P9" i="22" s="1"/>
  <c r="P10" i="22" s="1"/>
  <c r="P11" i="22" s="1"/>
  <c r="P12" i="22" s="1"/>
  <c r="P13" i="22" s="1"/>
  <c r="P14" i="22" s="1"/>
  <c r="P15" i="22" s="1"/>
  <c r="P16" i="22" s="1"/>
  <c r="P17" i="22" s="1"/>
  <c r="P18" i="22" s="1"/>
  <c r="P19" i="22" s="1"/>
  <c r="P20" i="22" s="1"/>
  <c r="P21" i="22" s="1"/>
  <c r="P22" i="22" s="1"/>
  <c r="P23" i="22" s="1"/>
  <c r="P24" i="22" s="1"/>
  <c r="P25" i="22" s="1"/>
  <c r="P26" i="22" s="1"/>
  <c r="P27" i="22" s="1"/>
  <c r="P28" i="22" s="1"/>
  <c r="P29" i="22" s="1"/>
  <c r="P30" i="22" s="1"/>
  <c r="P31" i="22" s="1"/>
  <c r="P32" i="22" s="1"/>
  <c r="P33" i="22" s="1"/>
  <c r="P34" i="22" s="1"/>
  <c r="P35" i="22" s="1"/>
  <c r="P36" i="22" s="1"/>
  <c r="P37" i="22" s="1"/>
  <c r="P38" i="22" s="1"/>
  <c r="P39" i="22" s="1"/>
  <c r="P40" i="22" s="1"/>
  <c r="P41" i="22" s="1"/>
  <c r="P42" i="22" s="1"/>
  <c r="P43" i="22" s="1"/>
  <c r="P44" i="22" s="1"/>
  <c r="P45" i="22" s="1"/>
  <c r="P46" i="22" s="1"/>
  <c r="P47" i="22" s="1"/>
  <c r="P48" i="22" s="1"/>
  <c r="P49" i="22" s="1"/>
  <c r="P50" i="22" s="1"/>
  <c r="P51" i="22" s="1"/>
  <c r="P52" i="22" s="1"/>
  <c r="P53" i="22" s="1"/>
  <c r="P54" i="22" s="1"/>
  <c r="P55" i="22" s="1"/>
  <c r="P56" i="22" s="1"/>
  <c r="P57" i="22" s="1"/>
  <c r="P58" i="22" s="1"/>
  <c r="P59" i="22" s="1"/>
  <c r="P60" i="22" s="1"/>
  <c r="P61" i="22" s="1"/>
  <c r="P62" i="22" s="1"/>
  <c r="P63" i="22" s="1"/>
  <c r="P64" i="22" s="1"/>
  <c r="P65" i="22" s="1"/>
  <c r="P66" i="22" s="1"/>
  <c r="P67" i="22" s="1"/>
  <c r="P68" i="22" s="1"/>
  <c r="P69" i="22" s="1"/>
  <c r="P70" i="22" s="1"/>
  <c r="P71" i="22" s="1"/>
  <c r="P72" i="22" s="1"/>
  <c r="P73" i="22" s="1"/>
  <c r="P74" i="22" s="1"/>
  <c r="P75" i="22" s="1"/>
  <c r="P76" i="22" s="1"/>
  <c r="P77" i="22" s="1"/>
  <c r="P78" i="22" s="1"/>
  <c r="P79" i="22" s="1"/>
  <c r="P80" i="22" s="1"/>
  <c r="P81" i="22" s="1"/>
  <c r="P82" i="22" s="1"/>
  <c r="P83" i="22" s="1"/>
  <c r="P84" i="22" s="1"/>
  <c r="P85" i="22" s="1"/>
  <c r="P86" i="22" s="1"/>
  <c r="P87" i="22" s="1"/>
  <c r="P88" i="22" s="1"/>
  <c r="P89" i="22" s="1"/>
  <c r="P90" i="22" s="1"/>
  <c r="P91" i="22" s="1"/>
  <c r="P92" i="22" s="1"/>
  <c r="P93" i="22" s="1"/>
  <c r="P94" i="22" s="1"/>
  <c r="P95" i="22" s="1"/>
  <c r="P96" i="22" s="1"/>
  <c r="P97" i="22" s="1"/>
  <c r="P98" i="22" s="1"/>
  <c r="P99" i="22" s="1"/>
  <c r="P100" i="22" s="1"/>
  <c r="P101" i="22" s="1"/>
  <c r="P102" i="22" s="1"/>
  <c r="P103" i="22" s="1"/>
  <c r="P104" i="22" s="1"/>
  <c r="P105" i="22" s="1"/>
  <c r="P106" i="22" s="1"/>
  <c r="P107" i="22" s="1"/>
  <c r="P108" i="22" s="1"/>
  <c r="P109" i="22" s="1"/>
  <c r="P110" i="22" s="1"/>
  <c r="P111" i="22" s="1"/>
  <c r="P112" i="22" s="1"/>
  <c r="P113" i="22" s="1"/>
  <c r="P114" i="22" s="1"/>
  <c r="P115" i="22" s="1"/>
  <c r="P116" i="22" s="1"/>
  <c r="P117" i="22" s="1"/>
  <c r="P118" i="22" s="1"/>
  <c r="P119" i="22" s="1"/>
  <c r="P120" i="22" s="1"/>
  <c r="P121" i="22" s="1"/>
  <c r="P122" i="22" s="1"/>
  <c r="P123" i="22" s="1"/>
  <c r="P124" i="22" s="1"/>
  <c r="P125" i="22" s="1"/>
  <c r="P126" i="22" s="1"/>
  <c r="P127" i="22" s="1"/>
  <c r="P128" i="22" s="1"/>
  <c r="P129" i="22" s="1"/>
  <c r="P130" i="22" s="1"/>
  <c r="P131" i="22" s="1"/>
  <c r="P132" i="22" s="1"/>
  <c r="P133" i="22" s="1"/>
  <c r="P134" i="22" s="1"/>
  <c r="P135" i="22" s="1"/>
  <c r="P136" i="22" s="1"/>
  <c r="P137" i="22" s="1"/>
  <c r="P138" i="22" s="1"/>
  <c r="P139" i="22" s="1"/>
  <c r="P140" i="22" s="1"/>
  <c r="P141" i="22" s="1"/>
  <c r="P142" i="22" s="1"/>
  <c r="P143" i="22" s="1"/>
  <c r="P144" i="22" s="1"/>
  <c r="P145" i="22" s="1"/>
  <c r="P146" i="22" s="1"/>
  <c r="P147" i="22" s="1"/>
  <c r="P148" i="22" s="1"/>
  <c r="P149" i="22" s="1"/>
  <c r="P150" i="22" s="1"/>
  <c r="P151" i="22" s="1"/>
  <c r="P152" i="22" s="1"/>
  <c r="P153" i="22" s="1"/>
  <c r="P154" i="22" s="1"/>
  <c r="P155" i="22" s="1"/>
  <c r="P156" i="22" s="1"/>
  <c r="P157" i="22" s="1"/>
  <c r="P158" i="22" s="1"/>
  <c r="P159" i="22" s="1"/>
  <c r="P160" i="22" s="1"/>
  <c r="P161" i="22" s="1"/>
  <c r="P162" i="22" s="1"/>
  <c r="P163" i="22" s="1"/>
  <c r="P164" i="22" s="1"/>
  <c r="P165" i="22" s="1"/>
  <c r="P166" i="22" s="1"/>
  <c r="P167" i="22" s="1"/>
  <c r="P168" i="22" s="1"/>
  <c r="P169" i="22" s="1"/>
  <c r="P170" i="22" s="1"/>
  <c r="P171" i="22" s="1"/>
  <c r="P172" i="22" s="1"/>
  <c r="P173" i="22" s="1"/>
  <c r="P174" i="22" s="1"/>
  <c r="P175" i="22" s="1"/>
  <c r="P176" i="22" s="1"/>
  <c r="P177" i="22" s="1"/>
  <c r="P178" i="22" s="1"/>
  <c r="P179" i="22" s="1"/>
  <c r="P180" i="22" s="1"/>
  <c r="P181" i="22" s="1"/>
  <c r="P182" i="22" s="1"/>
  <c r="P183" i="22" s="1"/>
  <c r="P184" i="22" s="1"/>
  <c r="P185" i="22" s="1"/>
  <c r="P186" i="22" s="1"/>
  <c r="P187" i="22" s="1"/>
  <c r="P188" i="22" s="1"/>
  <c r="P189" i="22" s="1"/>
  <c r="P190" i="22" s="1"/>
  <c r="P191" i="22" s="1"/>
  <c r="P192" i="22" s="1"/>
  <c r="P193" i="22" s="1"/>
  <c r="P194" i="22" s="1"/>
  <c r="P195" i="22" s="1"/>
  <c r="P196" i="22" s="1"/>
  <c r="P197" i="22" s="1"/>
  <c r="P198" i="22" s="1"/>
  <c r="P199" i="22" s="1"/>
  <c r="P200" i="22" s="1"/>
  <c r="P201" i="22" s="1"/>
  <c r="P202" i="22" s="1"/>
  <c r="P203" i="22" s="1"/>
  <c r="P204" i="22" s="1"/>
  <c r="P205" i="22" s="1"/>
  <c r="P206" i="22" s="1"/>
  <c r="P207" i="22" s="1"/>
  <c r="P208" i="22" s="1"/>
  <c r="P209" i="22" s="1"/>
  <c r="P210" i="22" s="1"/>
  <c r="P211" i="22" s="1"/>
  <c r="P212" i="22" s="1"/>
  <c r="P213" i="22" s="1"/>
  <c r="P214" i="22" s="1"/>
  <c r="P215" i="22" s="1"/>
  <c r="P216" i="22" s="1"/>
  <c r="P217" i="22" s="1"/>
  <c r="P218" i="22" s="1"/>
  <c r="P219" i="22" s="1"/>
  <c r="P220" i="22" s="1"/>
  <c r="P221" i="22" s="1"/>
  <c r="P222" i="22" s="1"/>
  <c r="P223" i="22" s="1"/>
  <c r="P224" i="22" s="1"/>
  <c r="P225" i="22" s="1"/>
  <c r="P226" i="22" s="1"/>
  <c r="P227" i="22" s="1"/>
  <c r="P228" i="22" s="1"/>
  <c r="P229" i="22" s="1"/>
  <c r="P230" i="22" s="1"/>
  <c r="P231" i="22" s="1"/>
  <c r="P232" i="22" s="1"/>
  <c r="P233" i="22" s="1"/>
  <c r="P234" i="22" s="1"/>
  <c r="D13" i="22" a="1"/>
  <c r="D13" i="22" s="1"/>
  <c r="Z7" i="22"/>
  <c r="L15" i="22" s="1" a="1"/>
  <c r="L15" i="22" s="1"/>
  <c r="Z6" i="22"/>
  <c r="V10" i="22"/>
  <c r="V8" i="22"/>
  <c r="V11" i="22" s="1"/>
  <c r="V7" i="22"/>
  <c r="B5" i="22" a="1"/>
  <c r="B5" i="22" s="1"/>
  <c r="AB137" i="21"/>
  <c r="AC137" i="21" s="1"/>
  <c r="AB136" i="21"/>
  <c r="AC136" i="21" s="1"/>
  <c r="AB135" i="21"/>
  <c r="AC135" i="21" s="1"/>
  <c r="AB134" i="21"/>
  <c r="AC134" i="21" s="1"/>
  <c r="AB133" i="21"/>
  <c r="AC133" i="21" s="1"/>
  <c r="Q133" i="21"/>
  <c r="Q134" i="21" s="1"/>
  <c r="Q135" i="21" s="1"/>
  <c r="Q136" i="21" s="1"/>
  <c r="Q137" i="21" s="1"/>
  <c r="Q138" i="21" s="1"/>
  <c r="Q139" i="21" s="1"/>
  <c r="Q140" i="21" s="1"/>
  <c r="Q141" i="21" s="1"/>
  <c r="Q142" i="21" s="1"/>
  <c r="Q143" i="21" s="1"/>
  <c r="Q144" i="21" s="1"/>
  <c r="Q145" i="21" s="1"/>
  <c r="AB132" i="21"/>
  <c r="AC132" i="21" s="1"/>
  <c r="AB123" i="21"/>
  <c r="AC123" i="21" s="1"/>
  <c r="AB122" i="21"/>
  <c r="AC122" i="21" s="1"/>
  <c r="AB121" i="21"/>
  <c r="AC121" i="21" s="1"/>
  <c r="AB120" i="21"/>
  <c r="AC120" i="21" s="1"/>
  <c r="Q120" i="21"/>
  <c r="Q121" i="21" s="1"/>
  <c r="Q122" i="21" s="1"/>
  <c r="Q123" i="21" s="1"/>
  <c r="Q124" i="21" s="1"/>
  <c r="Q125" i="21" s="1"/>
  <c r="Q126" i="21" s="1"/>
  <c r="Q127" i="21" s="1"/>
  <c r="Q128" i="21" s="1"/>
  <c r="Q129" i="21" s="1"/>
  <c r="Q130" i="21" s="1"/>
  <c r="Q131" i="21" s="1"/>
  <c r="AB119" i="21"/>
  <c r="AC119" i="21" s="1"/>
  <c r="Q119" i="21"/>
  <c r="AB118" i="21"/>
  <c r="AC118" i="21" s="1"/>
  <c r="AB109" i="21"/>
  <c r="AC109" i="21" s="1"/>
  <c r="AB108" i="21"/>
  <c r="AC108" i="21" s="1"/>
  <c r="AB107" i="21"/>
  <c r="AC107" i="21" s="1"/>
  <c r="AB106" i="21"/>
  <c r="AC106" i="21" s="1"/>
  <c r="AB105" i="21"/>
  <c r="AC105" i="21" s="1"/>
  <c r="Q105" i="21"/>
  <c r="Q106" i="21" s="1"/>
  <c r="Q107" i="21" s="1"/>
  <c r="Q108" i="21" s="1"/>
  <c r="Q109" i="21" s="1"/>
  <c r="Q110" i="21" s="1"/>
  <c r="Q111" i="21" s="1"/>
  <c r="Q112" i="21" s="1"/>
  <c r="Q113" i="21" s="1"/>
  <c r="Q114" i="21" s="1"/>
  <c r="Q115" i="21" s="1"/>
  <c r="Q116" i="21" s="1"/>
  <c r="Q117" i="21" s="1"/>
  <c r="AB104" i="21"/>
  <c r="AC104" i="21" s="1"/>
  <c r="AB95" i="21"/>
  <c r="AC95" i="21" s="1"/>
  <c r="AB94" i="21"/>
  <c r="AC94" i="21" s="1"/>
  <c r="AB93" i="21"/>
  <c r="AC93" i="21" s="1"/>
  <c r="AB92" i="21"/>
  <c r="AC92" i="21" s="1"/>
  <c r="AB91" i="21"/>
  <c r="AC91" i="21" s="1"/>
  <c r="Q91" i="21"/>
  <c r="Q92" i="21" s="1"/>
  <c r="Q93" i="21" s="1"/>
  <c r="Q94" i="21" s="1"/>
  <c r="Q95" i="21" s="1"/>
  <c r="Q96" i="21" s="1"/>
  <c r="Q97" i="21" s="1"/>
  <c r="Q98" i="21" s="1"/>
  <c r="Q99" i="21" s="1"/>
  <c r="Q100" i="21" s="1"/>
  <c r="Q101" i="21" s="1"/>
  <c r="Q102" i="21" s="1"/>
  <c r="Q103" i="21" s="1"/>
  <c r="AB90" i="21"/>
  <c r="AB81" i="21"/>
  <c r="AC81" i="21" s="1"/>
  <c r="AB80" i="21"/>
  <c r="AC80" i="21" s="1"/>
  <c r="AB79" i="21"/>
  <c r="AC79" i="21" s="1"/>
  <c r="AB78" i="21"/>
  <c r="AC78" i="21" s="1"/>
  <c r="Q78" i="21"/>
  <c r="Q79" i="21" s="1"/>
  <c r="Q80" i="21" s="1"/>
  <c r="Q81" i="21" s="1"/>
  <c r="Q82" i="21" s="1"/>
  <c r="Q83" i="21" s="1"/>
  <c r="Q84" i="21" s="1"/>
  <c r="Q85" i="21" s="1"/>
  <c r="Q86" i="21" s="1"/>
  <c r="Q87" i="21" s="1"/>
  <c r="Q88" i="21" s="1"/>
  <c r="Q89" i="21" s="1"/>
  <c r="AB77" i="21"/>
  <c r="AC77" i="21" s="1"/>
  <c r="Q77" i="21"/>
  <c r="AB76" i="21"/>
  <c r="AC76" i="21" s="1"/>
  <c r="AB67" i="21"/>
  <c r="AC67" i="21" s="1"/>
  <c r="AB66" i="21"/>
  <c r="AC66" i="21" s="1"/>
  <c r="AB65" i="21"/>
  <c r="AC65" i="21" s="1"/>
  <c r="AC64" i="21"/>
  <c r="AB64" i="21"/>
  <c r="Q64" i="21"/>
  <c r="Q65" i="21" s="1"/>
  <c r="Q66" i="21" s="1"/>
  <c r="Q67" i="21" s="1"/>
  <c r="Q68" i="21" s="1"/>
  <c r="Q69" i="21" s="1"/>
  <c r="Q70" i="21" s="1"/>
  <c r="Q71" i="21" s="1"/>
  <c r="Q72" i="21" s="1"/>
  <c r="Q73" i="21" s="1"/>
  <c r="Q74" i="21" s="1"/>
  <c r="Q75" i="21" s="1"/>
  <c r="AB63" i="21"/>
  <c r="AC63" i="21" s="1"/>
  <c r="Q63" i="21"/>
  <c r="AB62" i="21"/>
  <c r="AC62" i="21" s="1"/>
  <c r="AB53" i="21"/>
  <c r="AC53" i="21" s="1"/>
  <c r="AB52" i="21"/>
  <c r="AC52" i="21" s="1"/>
  <c r="AB51" i="21"/>
  <c r="AC51" i="21" s="1"/>
  <c r="AB50" i="21"/>
  <c r="AC50" i="21" s="1"/>
  <c r="AB49" i="21"/>
  <c r="AC49" i="21" s="1"/>
  <c r="Q49" i="21"/>
  <c r="Q50" i="21" s="1"/>
  <c r="Q51" i="21" s="1"/>
  <c r="Q52" i="21" s="1"/>
  <c r="Q53" i="21" s="1"/>
  <c r="Q54" i="21" s="1"/>
  <c r="Q55" i="21" s="1"/>
  <c r="Q56" i="21" s="1"/>
  <c r="Q57" i="21" s="1"/>
  <c r="Q58" i="21" s="1"/>
  <c r="Q59" i="21" s="1"/>
  <c r="Q60" i="21" s="1"/>
  <c r="Q61" i="21" s="1"/>
  <c r="AB48" i="21"/>
  <c r="AC48" i="21" s="1"/>
  <c r="AB39" i="21"/>
  <c r="AC39" i="21" s="1"/>
  <c r="AB38" i="21"/>
  <c r="AC38" i="21" s="1"/>
  <c r="AB37" i="21"/>
  <c r="AC37" i="21" s="1"/>
  <c r="AB36" i="21"/>
  <c r="AC36" i="21" s="1"/>
  <c r="AB35" i="21"/>
  <c r="AC35" i="21" s="1"/>
  <c r="Q35" i="21"/>
  <c r="Q36" i="21" s="1"/>
  <c r="Q37" i="21" s="1"/>
  <c r="Q38" i="21" s="1"/>
  <c r="Q39" i="21" s="1"/>
  <c r="Q40" i="21" s="1"/>
  <c r="Q41" i="21" s="1"/>
  <c r="Q42" i="21" s="1"/>
  <c r="Q43" i="21" s="1"/>
  <c r="Q44" i="21" s="1"/>
  <c r="Q45" i="21" s="1"/>
  <c r="Q46" i="21" s="1"/>
  <c r="Q47" i="21" s="1"/>
  <c r="AB34" i="21"/>
  <c r="AC34" i="21" s="1"/>
  <c r="U34" i="21"/>
  <c r="U48" i="21" s="1"/>
  <c r="U20" i="21"/>
  <c r="R20" i="21"/>
  <c r="B20" i="21" s="1" a="1"/>
  <c r="B20" i="21" s="1"/>
  <c r="AB25" i="21"/>
  <c r="AC25" i="21" s="1"/>
  <c r="AB24" i="21"/>
  <c r="AC24" i="21" s="1"/>
  <c r="AB23" i="21"/>
  <c r="AC23" i="21" s="1"/>
  <c r="AB22" i="21"/>
  <c r="AC22" i="21" s="1"/>
  <c r="AB21" i="21"/>
  <c r="AC21" i="21" s="1"/>
  <c r="AB20" i="21"/>
  <c r="F10" i="21" a="1"/>
  <c r="F10" i="21" s="1"/>
  <c r="I10" i="21" a="1"/>
  <c r="I10" i="21" s="1"/>
  <c r="Q8" i="21"/>
  <c r="Q9" i="21" s="1"/>
  <c r="Q10" i="21" s="1"/>
  <c r="Q11" i="21" s="1"/>
  <c r="Q12" i="21" s="1"/>
  <c r="Q13" i="21" s="1"/>
  <c r="Q14" i="21" s="1"/>
  <c r="Q15" i="21" s="1"/>
  <c r="Q16" i="21" s="1"/>
  <c r="Q17" i="21" s="1"/>
  <c r="Q18" i="21" s="1"/>
  <c r="Q19" i="21" s="1"/>
  <c r="Q20" i="21" s="1"/>
  <c r="Q21" i="21" s="1"/>
  <c r="Q22" i="21" s="1"/>
  <c r="Q23" i="21" s="1"/>
  <c r="Q24" i="21" s="1"/>
  <c r="Q25" i="21" s="1"/>
  <c r="Q26" i="21" s="1"/>
  <c r="Q27" i="21" s="1"/>
  <c r="Q28" i="21" s="1"/>
  <c r="Q29" i="21" s="1"/>
  <c r="Q30" i="21" s="1"/>
  <c r="Q31" i="21" s="1"/>
  <c r="Q32" i="21" s="1"/>
  <c r="Q33" i="21" s="1"/>
  <c r="Q7" i="21"/>
  <c r="U10" i="21"/>
  <c r="K10" i="21" s="1" a="1"/>
  <c r="K10" i="21" s="1"/>
  <c r="U8" i="21"/>
  <c r="U7" i="21"/>
  <c r="I7" i="21" s="1" a="1"/>
  <c r="I7" i="21" s="1"/>
  <c r="I18" i="21" s="1"/>
  <c r="B6" i="21" a="1"/>
  <c r="B6" i="21" s="1"/>
  <c r="AB11" i="21"/>
  <c r="AC11" i="21" s="1"/>
  <c r="AB10" i="21"/>
  <c r="AC10" i="21" s="1"/>
  <c r="AB9" i="21"/>
  <c r="AC9" i="21" s="1"/>
  <c r="AB8" i="21"/>
  <c r="AC8" i="21" s="1"/>
  <c r="AB7" i="21"/>
  <c r="AC7" i="21" s="1"/>
  <c r="AB6" i="21"/>
  <c r="Y117" i="20"/>
  <c r="Y118" i="20" s="1"/>
  <c r="AC114" i="20"/>
  <c r="AB114" i="20"/>
  <c r="AA114" i="20"/>
  <c r="Z114" i="20"/>
  <c r="AD113" i="20"/>
  <c r="AD114" i="20" s="1"/>
  <c r="Y105" i="20"/>
  <c r="Y106" i="20" s="1"/>
  <c r="AC102" i="20"/>
  <c r="AB102" i="20"/>
  <c r="AA102" i="20"/>
  <c r="Z102" i="20"/>
  <c r="AD101" i="20"/>
  <c r="AD102" i="20" s="1"/>
  <c r="Y93" i="20"/>
  <c r="Y94" i="20" s="1"/>
  <c r="AC90" i="20"/>
  <c r="AB90" i="20"/>
  <c r="AA90" i="20"/>
  <c r="Z90" i="20"/>
  <c r="AD89" i="20"/>
  <c r="AD90" i="20" s="1"/>
  <c r="Y81" i="20"/>
  <c r="Y82" i="20" s="1"/>
  <c r="AC78" i="20"/>
  <c r="AB78" i="20"/>
  <c r="AA78" i="20"/>
  <c r="Z78" i="20"/>
  <c r="AD77" i="20"/>
  <c r="AD78" i="20" s="1"/>
  <c r="Y69" i="20"/>
  <c r="Y70" i="20" s="1"/>
  <c r="AC66" i="20"/>
  <c r="AB66" i="20"/>
  <c r="AA66" i="20"/>
  <c r="Z66" i="20"/>
  <c r="AD65" i="20"/>
  <c r="AD66" i="20" s="1"/>
  <c r="Y57" i="20"/>
  <c r="Y58" i="20" s="1"/>
  <c r="AC54" i="20"/>
  <c r="AB54" i="20"/>
  <c r="AA54" i="20"/>
  <c r="Z54" i="20"/>
  <c r="AD53" i="20"/>
  <c r="AD54" i="20" s="1"/>
  <c r="Y45" i="20"/>
  <c r="Y46" i="20" s="1"/>
  <c r="AC42" i="20"/>
  <c r="AB42" i="20"/>
  <c r="AA42" i="20"/>
  <c r="Z42" i="20"/>
  <c r="AE41" i="20"/>
  <c r="AE42" i="20" s="1"/>
  <c r="AD41" i="20"/>
  <c r="AD42" i="20" s="1"/>
  <c r="Y33" i="20"/>
  <c r="Y34" i="20" s="1"/>
  <c r="AC30" i="20"/>
  <c r="AB30" i="20"/>
  <c r="AA30" i="20"/>
  <c r="Z30" i="20"/>
  <c r="AD29" i="20"/>
  <c r="AD30" i="20" s="1"/>
  <c r="W17" i="20"/>
  <c r="W29" i="20" s="1"/>
  <c r="W41" i="20" s="1"/>
  <c r="W53" i="20" s="1"/>
  <c r="W65" i="20" s="1"/>
  <c r="W77" i="20" s="1"/>
  <c r="W89" i="20" s="1"/>
  <c r="W101" i="20" s="1"/>
  <c r="W113" i="20" s="1"/>
  <c r="S17" i="20"/>
  <c r="S29" i="20" s="1"/>
  <c r="C23" i="20" a="1"/>
  <c r="C23" i="20" s="1"/>
  <c r="Y21" i="20"/>
  <c r="Y22" i="20" s="1"/>
  <c r="AC18" i="20"/>
  <c r="AB18" i="20"/>
  <c r="AA18" i="20"/>
  <c r="Z18" i="20"/>
  <c r="C18" i="20" a="1"/>
  <c r="C18" i="20" s="1"/>
  <c r="AD17" i="20"/>
  <c r="AD18" i="20" s="1"/>
  <c r="Y9" i="20"/>
  <c r="Y10" i="20" s="1"/>
  <c r="R6" i="20"/>
  <c r="R7" i="20" s="1"/>
  <c r="R8" i="20" s="1"/>
  <c r="R9" i="20" s="1"/>
  <c r="R10" i="20" s="1"/>
  <c r="R11" i="20" s="1"/>
  <c r="R12" i="20" s="1"/>
  <c r="R13" i="20" s="1"/>
  <c r="R14" i="20" s="1"/>
  <c r="R15" i="20" s="1"/>
  <c r="R16" i="20" s="1"/>
  <c r="R17" i="20" s="1"/>
  <c r="R18" i="20" s="1"/>
  <c r="R19" i="20" s="1"/>
  <c r="R20" i="20" s="1"/>
  <c r="R21" i="20" s="1"/>
  <c r="R22" i="20" s="1"/>
  <c r="R23" i="20" s="1"/>
  <c r="R24" i="20" s="1"/>
  <c r="R25" i="20" s="1"/>
  <c r="R26" i="20" s="1"/>
  <c r="R27" i="20" s="1"/>
  <c r="R28" i="20" s="1"/>
  <c r="R29" i="20" s="1"/>
  <c r="R30" i="20" s="1"/>
  <c r="R31" i="20" s="1"/>
  <c r="R32" i="20" s="1"/>
  <c r="R33" i="20" s="1"/>
  <c r="R34" i="20" s="1"/>
  <c r="R35" i="20" s="1"/>
  <c r="R36" i="20" s="1"/>
  <c r="R37" i="20" s="1"/>
  <c r="R38" i="20" s="1"/>
  <c r="R39" i="20" s="1"/>
  <c r="R40" i="20" s="1"/>
  <c r="R41" i="20" s="1"/>
  <c r="R42" i="20" s="1"/>
  <c r="R43" i="20" s="1"/>
  <c r="R44" i="20" s="1"/>
  <c r="R45" i="20" s="1"/>
  <c r="R46" i="20" s="1"/>
  <c r="R47" i="20" s="1"/>
  <c r="R48" i="20" s="1"/>
  <c r="R49" i="20" s="1"/>
  <c r="R50" i="20" s="1"/>
  <c r="R51" i="20" s="1"/>
  <c r="R52" i="20" s="1"/>
  <c r="R53" i="20" s="1"/>
  <c r="R54" i="20" s="1"/>
  <c r="R55" i="20" s="1"/>
  <c r="R56" i="20" s="1"/>
  <c r="R57" i="20" s="1"/>
  <c r="R58" i="20" s="1"/>
  <c r="R59" i="20" s="1"/>
  <c r="R60" i="20" s="1"/>
  <c r="R61" i="20" s="1"/>
  <c r="R62" i="20" s="1"/>
  <c r="R63" i="20" s="1"/>
  <c r="R64" i="20" s="1"/>
  <c r="R65" i="20" s="1"/>
  <c r="R66" i="20" s="1"/>
  <c r="R67" i="20" s="1"/>
  <c r="R68" i="20" s="1"/>
  <c r="R69" i="20" s="1"/>
  <c r="R70" i="20" s="1"/>
  <c r="R71" i="20" s="1"/>
  <c r="R72" i="20" s="1"/>
  <c r="R73" i="20" s="1"/>
  <c r="R74" i="20" s="1"/>
  <c r="R75" i="20" s="1"/>
  <c r="R76" i="20" s="1"/>
  <c r="R77" i="20" s="1"/>
  <c r="R78" i="20" s="1"/>
  <c r="R79" i="20" s="1"/>
  <c r="R80" i="20" s="1"/>
  <c r="R81" i="20" s="1"/>
  <c r="R82" i="20" s="1"/>
  <c r="R83" i="20" s="1"/>
  <c r="R84" i="20" s="1"/>
  <c r="R85" i="20" s="1"/>
  <c r="R86" i="20" s="1"/>
  <c r="R87" i="20" s="1"/>
  <c r="R88" i="20" s="1"/>
  <c r="R89" i="20" s="1"/>
  <c r="R90" i="20" s="1"/>
  <c r="R91" i="20" s="1"/>
  <c r="R92" i="20" s="1"/>
  <c r="R93" i="20" s="1"/>
  <c r="R94" i="20" s="1"/>
  <c r="R95" i="20" s="1"/>
  <c r="R96" i="20" s="1"/>
  <c r="R97" i="20" s="1"/>
  <c r="R98" i="20" s="1"/>
  <c r="R99" i="20" s="1"/>
  <c r="R100" i="20" s="1"/>
  <c r="R101" i="20" s="1"/>
  <c r="R102" i="20" s="1"/>
  <c r="R103" i="20" s="1"/>
  <c r="R104" i="20" s="1"/>
  <c r="R105" i="20" s="1"/>
  <c r="R106" i="20" s="1"/>
  <c r="R107" i="20" s="1"/>
  <c r="R108" i="20" s="1"/>
  <c r="R109" i="20" s="1"/>
  <c r="R110" i="20" s="1"/>
  <c r="R111" i="20" s="1"/>
  <c r="R112" i="20" s="1"/>
  <c r="R113" i="20" s="1"/>
  <c r="R114" i="20" s="1"/>
  <c r="R115" i="20" s="1"/>
  <c r="R116" i="20" s="1"/>
  <c r="R117" i="20" s="1"/>
  <c r="R118" i="20" s="1"/>
  <c r="R119" i="20" s="1"/>
  <c r="R120" i="20" s="1"/>
  <c r="R121" i="20" s="1"/>
  <c r="R122" i="20" s="1"/>
  <c r="R123" i="20" s="1"/>
  <c r="R124" i="20" s="1"/>
  <c r="C13" i="20" a="1"/>
  <c r="C13" i="20" s="1"/>
  <c r="C12" i="20" a="1"/>
  <c r="C12" i="20" s="1"/>
  <c r="C11" i="20" a="1"/>
  <c r="C11" i="20" s="1"/>
  <c r="C10" i="20" a="1"/>
  <c r="C10" i="20" s="1"/>
  <c r="C9" i="20" a="1"/>
  <c r="C9" i="20" s="1"/>
  <c r="C8" i="20" a="1"/>
  <c r="C8" i="20" s="1"/>
  <c r="C7" i="20" a="1"/>
  <c r="C7" i="20" s="1"/>
  <c r="C6" i="20" a="1"/>
  <c r="C6" i="20" s="1"/>
  <c r="C5" i="20" a="1"/>
  <c r="C5" i="20" s="1"/>
  <c r="AC6" i="20"/>
  <c r="AB6" i="20"/>
  <c r="AA6" i="20"/>
  <c r="Z6" i="20"/>
  <c r="AD5" i="20"/>
  <c r="AD6" i="20" s="1"/>
  <c r="N155" i="19"/>
  <c r="M155" i="19"/>
  <c r="L155" i="19"/>
  <c r="N154" i="19"/>
  <c r="M154" i="19"/>
  <c r="L154" i="19"/>
  <c r="M153" i="19"/>
  <c r="N145" i="19"/>
  <c r="M145" i="19"/>
  <c r="L145" i="19"/>
  <c r="N143" i="19"/>
  <c r="M143" i="19"/>
  <c r="L143" i="19"/>
  <c r="N142" i="19"/>
  <c r="M142" i="19"/>
  <c r="L142" i="19"/>
  <c r="N140" i="19"/>
  <c r="M140" i="19"/>
  <c r="L140" i="19"/>
  <c r="M135" i="19"/>
  <c r="N130" i="19"/>
  <c r="M130" i="19"/>
  <c r="L130" i="19"/>
  <c r="M128" i="19"/>
  <c r="N127" i="19"/>
  <c r="M127" i="19"/>
  <c r="L127" i="19"/>
  <c r="N125" i="19"/>
  <c r="M125" i="19"/>
  <c r="L125" i="19"/>
  <c r="M124" i="19"/>
  <c r="L119" i="19"/>
  <c r="M113" i="19"/>
  <c r="N110" i="19"/>
  <c r="M110" i="19"/>
  <c r="L110" i="19"/>
  <c r="N105" i="19"/>
  <c r="N104" i="19"/>
  <c r="N100" i="19"/>
  <c r="M100" i="19"/>
  <c r="L100" i="19"/>
  <c r="M98" i="19"/>
  <c r="N97" i="19"/>
  <c r="M97" i="19"/>
  <c r="L97" i="19"/>
  <c r="N95" i="19"/>
  <c r="M95" i="19"/>
  <c r="L95" i="19"/>
  <c r="N94" i="19"/>
  <c r="M94" i="19"/>
  <c r="L94" i="19"/>
  <c r="N90" i="19"/>
  <c r="M90" i="19"/>
  <c r="L90" i="19"/>
  <c r="L88" i="19"/>
  <c r="N85" i="19"/>
  <c r="M85" i="19"/>
  <c r="L85" i="19"/>
  <c r="N83" i="19"/>
  <c r="M83" i="19"/>
  <c r="L83" i="19"/>
  <c r="N82" i="19"/>
  <c r="M82" i="19"/>
  <c r="L82" i="19"/>
  <c r="N80" i="19"/>
  <c r="M80" i="19"/>
  <c r="L80" i="19"/>
  <c r="N79" i="19"/>
  <c r="M79" i="19"/>
  <c r="L79" i="19"/>
  <c r="M76" i="19"/>
  <c r="N75" i="19"/>
  <c r="N68" i="19"/>
  <c r="M68" i="19"/>
  <c r="L68" i="19"/>
  <c r="N67" i="19"/>
  <c r="M67" i="19"/>
  <c r="L67" i="19"/>
  <c r="N65" i="19"/>
  <c r="M65" i="19"/>
  <c r="L65" i="19"/>
  <c r="N62" i="19"/>
  <c r="M62" i="19"/>
  <c r="L62" i="19"/>
  <c r="N61" i="19"/>
  <c r="M61" i="19"/>
  <c r="L61" i="19"/>
  <c r="N59" i="19"/>
  <c r="M59" i="19"/>
  <c r="L59" i="19"/>
  <c r="N54" i="19"/>
  <c r="M54" i="19"/>
  <c r="L54" i="19"/>
  <c r="M53" i="19"/>
  <c r="N50" i="19"/>
  <c r="M50" i="19"/>
  <c r="L50" i="19"/>
  <c r="N49" i="19"/>
  <c r="M49" i="19"/>
  <c r="L49" i="19"/>
  <c r="N45" i="19"/>
  <c r="M45" i="19"/>
  <c r="L45" i="19"/>
  <c r="L42" i="19"/>
  <c r="N40" i="19"/>
  <c r="M40" i="19"/>
  <c r="L40" i="19"/>
  <c r="N38" i="19"/>
  <c r="M38" i="19"/>
  <c r="L38" i="19"/>
  <c r="N37" i="19"/>
  <c r="M37" i="19"/>
  <c r="L37" i="19"/>
  <c r="BD22" i="19"/>
  <c r="I22" i="19" s="1" a="1"/>
  <c r="I22" i="19" s="1"/>
  <c r="N35" i="19"/>
  <c r="M35" i="19"/>
  <c r="L35" i="19"/>
  <c r="N34" i="19"/>
  <c r="M34" i="19"/>
  <c r="L34" i="19"/>
  <c r="N30" i="19"/>
  <c r="M30" i="19"/>
  <c r="L30" i="19"/>
  <c r="L26" i="19"/>
  <c r="N25" i="19"/>
  <c r="M25" i="19"/>
  <c r="L25" i="19"/>
  <c r="N23" i="19"/>
  <c r="M23" i="19"/>
  <c r="L23" i="19"/>
  <c r="N22" i="19"/>
  <c r="M22" i="19"/>
  <c r="L22" i="19"/>
  <c r="BC8" i="19"/>
  <c r="BC9" i="19" s="1"/>
  <c r="BC10" i="19" s="1"/>
  <c r="BC11" i="19" s="1"/>
  <c r="BC12" i="19" s="1"/>
  <c r="BC13" i="19" s="1"/>
  <c r="BC14" i="19" s="1"/>
  <c r="BC15" i="19" s="1"/>
  <c r="BC16" i="19" s="1"/>
  <c r="BC17" i="19" s="1"/>
  <c r="BC18" i="19" s="1"/>
  <c r="BC19" i="19" s="1"/>
  <c r="BC20" i="19" s="1"/>
  <c r="BC21" i="19" s="1"/>
  <c r="BC22" i="19" s="1"/>
  <c r="BC23" i="19" s="1"/>
  <c r="BC24" i="19" s="1"/>
  <c r="BC25" i="19" s="1"/>
  <c r="BC26" i="19" s="1"/>
  <c r="BC27" i="19" s="1"/>
  <c r="BC28" i="19" s="1"/>
  <c r="BC29" i="19" s="1"/>
  <c r="BC30" i="19" s="1"/>
  <c r="BC31" i="19" s="1"/>
  <c r="BC32" i="19" s="1"/>
  <c r="BC33" i="19" s="1"/>
  <c r="BC34" i="19" s="1"/>
  <c r="BC35" i="19" s="1"/>
  <c r="BC36" i="19" s="1"/>
  <c r="BC37" i="19" s="1"/>
  <c r="BC38" i="19" s="1"/>
  <c r="BC39" i="19" s="1"/>
  <c r="BC40" i="19" s="1"/>
  <c r="BC41" i="19" s="1"/>
  <c r="BC42" i="19" s="1"/>
  <c r="BC43" i="19" s="1"/>
  <c r="BC44" i="19" s="1"/>
  <c r="BC45" i="19" s="1"/>
  <c r="BC46" i="19" s="1"/>
  <c r="BC47" i="19" s="1"/>
  <c r="BC48" i="19" s="1"/>
  <c r="BC49" i="19" s="1"/>
  <c r="BC50" i="19" s="1"/>
  <c r="BC51" i="19" s="1"/>
  <c r="BC52" i="19" s="1"/>
  <c r="BC53" i="19" s="1"/>
  <c r="BC54" i="19" s="1"/>
  <c r="BC55" i="19" s="1"/>
  <c r="BC56" i="19" s="1"/>
  <c r="BC57" i="19" s="1"/>
  <c r="BC58" i="19" s="1"/>
  <c r="BC59" i="19" s="1"/>
  <c r="BC60" i="19" s="1"/>
  <c r="BC61" i="19" s="1"/>
  <c r="BC62" i="19" s="1"/>
  <c r="BC63" i="19" s="1"/>
  <c r="BC64" i="19" s="1"/>
  <c r="BC65" i="19" s="1"/>
  <c r="BC66" i="19" s="1"/>
  <c r="BC67" i="19" s="1"/>
  <c r="BC68" i="19" s="1"/>
  <c r="BC69" i="19" s="1"/>
  <c r="BC70" i="19" s="1"/>
  <c r="BC71" i="19" s="1"/>
  <c r="BC72" i="19" s="1"/>
  <c r="BC73" i="19" s="1"/>
  <c r="BC74" i="19" s="1"/>
  <c r="BC75" i="19" s="1"/>
  <c r="BC76" i="19" s="1"/>
  <c r="BC77" i="19" s="1"/>
  <c r="BC78" i="19" s="1"/>
  <c r="BC79" i="19" s="1"/>
  <c r="BC80" i="19" s="1"/>
  <c r="BC81" i="19" s="1"/>
  <c r="BC82" i="19" s="1"/>
  <c r="BC83" i="19" s="1"/>
  <c r="BC84" i="19" s="1"/>
  <c r="BC85" i="19" s="1"/>
  <c r="BC86" i="19" s="1"/>
  <c r="BC87" i="19" s="1"/>
  <c r="BC88" i="19" s="1"/>
  <c r="BC89" i="19" s="1"/>
  <c r="BC90" i="19" s="1"/>
  <c r="BC91" i="19" s="1"/>
  <c r="BC92" i="19" s="1"/>
  <c r="BC93" i="19" s="1"/>
  <c r="BC94" i="19" s="1"/>
  <c r="BC95" i="19" s="1"/>
  <c r="BC96" i="19" s="1"/>
  <c r="BC97" i="19" s="1"/>
  <c r="BC98" i="19" s="1"/>
  <c r="BC99" i="19" s="1"/>
  <c r="BC100" i="19" s="1"/>
  <c r="BC101" i="19" s="1"/>
  <c r="BC102" i="19" s="1"/>
  <c r="BC103" i="19" s="1"/>
  <c r="BC104" i="19" s="1"/>
  <c r="BC105" i="19" s="1"/>
  <c r="BC106" i="19" s="1"/>
  <c r="BC107" i="19" s="1"/>
  <c r="BC108" i="19" s="1"/>
  <c r="BC109" i="19" s="1"/>
  <c r="BC110" i="19" s="1"/>
  <c r="BC111" i="19" s="1"/>
  <c r="BC112" i="19" s="1"/>
  <c r="BC113" i="19" s="1"/>
  <c r="BC114" i="19" s="1"/>
  <c r="BC115" i="19" s="1"/>
  <c r="BC116" i="19" s="1"/>
  <c r="BC117" i="19" s="1"/>
  <c r="BC118" i="19" s="1"/>
  <c r="BC119" i="19" s="1"/>
  <c r="BC120" i="19" s="1"/>
  <c r="BC121" i="19" s="1"/>
  <c r="BC122" i="19" s="1"/>
  <c r="BC123" i="19" s="1"/>
  <c r="BC124" i="19" s="1"/>
  <c r="BC125" i="19" s="1"/>
  <c r="BC126" i="19" s="1"/>
  <c r="BC127" i="19" s="1"/>
  <c r="BC128" i="19" s="1"/>
  <c r="BC129" i="19" s="1"/>
  <c r="BC130" i="19" s="1"/>
  <c r="BC131" i="19" s="1"/>
  <c r="BC132" i="19" s="1"/>
  <c r="BC133" i="19" s="1"/>
  <c r="BC134" i="19" s="1"/>
  <c r="BC135" i="19" s="1"/>
  <c r="BC136" i="19" s="1"/>
  <c r="BC137" i="19" s="1"/>
  <c r="BC138" i="19" s="1"/>
  <c r="BC139" i="19" s="1"/>
  <c r="BC140" i="19" s="1"/>
  <c r="BC141" i="19" s="1"/>
  <c r="BC142" i="19" s="1"/>
  <c r="BC143" i="19" s="1"/>
  <c r="BC144" i="19" s="1"/>
  <c r="BC145" i="19" s="1"/>
  <c r="BC146" i="19" s="1"/>
  <c r="BC147" i="19" s="1"/>
  <c r="BC148" i="19" s="1"/>
  <c r="BC149" i="19" s="1"/>
  <c r="BC150" i="19" s="1"/>
  <c r="BC151" i="19" s="1"/>
  <c r="BC152" i="19" s="1"/>
  <c r="BC153" i="19" s="1"/>
  <c r="BC154" i="19" s="1"/>
  <c r="BC155" i="19" s="1"/>
  <c r="BC156" i="19" s="1"/>
  <c r="Q5" i="19" a="1"/>
  <c r="Q5" i="19" s="1"/>
  <c r="T1" i="19"/>
  <c r="T5" i="19" s="1" a="1"/>
  <c r="T5" i="19" s="1"/>
  <c r="N20" i="19"/>
  <c r="M20" i="19"/>
  <c r="L20" i="19"/>
  <c r="N19" i="19"/>
  <c r="M19" i="19"/>
  <c r="L19" i="19"/>
  <c r="N15" i="19"/>
  <c r="M15" i="19"/>
  <c r="L15" i="19"/>
  <c r="N10" i="19"/>
  <c r="M10" i="19"/>
  <c r="L10" i="19"/>
  <c r="O36" i="4"/>
  <c r="N55" i="19" s="1"/>
  <c r="N36" i="4"/>
  <c r="M55" i="19" s="1"/>
  <c r="M36" i="4"/>
  <c r="L55" i="19" s="1"/>
  <c r="O25" i="4"/>
  <c r="N144" i="19" s="1"/>
  <c r="N25" i="4"/>
  <c r="M144" i="19" s="1"/>
  <c r="M25" i="4"/>
  <c r="L99" i="19" s="1"/>
  <c r="M8" i="19"/>
  <c r="D7" i="19" a="1"/>
  <c r="D7" i="19" s="1"/>
  <c r="I7" i="19" a="1"/>
  <c r="I7" i="19" s="1"/>
  <c r="H7" i="19" a="1"/>
  <c r="H7" i="19" s="1"/>
  <c r="P18" i="19" s="1"/>
  <c r="G7" i="19" a="1"/>
  <c r="G7" i="19" s="1"/>
  <c r="F7" i="19" a="1"/>
  <c r="F7" i="19" s="1"/>
  <c r="P8" i="19" s="1" a="1"/>
  <c r="P8" i="19" s="1"/>
  <c r="I11" i="23" s="1" a="1"/>
  <c r="I11" i="23" s="1"/>
  <c r="E7" i="19" a="1"/>
  <c r="E7" i="19" s="1"/>
  <c r="C20" i="16"/>
  <c r="D20" i="16" s="1"/>
  <c r="E20" i="16" s="1"/>
  <c r="F20" i="16" s="1"/>
  <c r="G20" i="16" s="1"/>
  <c r="H20" i="16" s="1"/>
  <c r="I20" i="16" s="1"/>
  <c r="J20" i="16" s="1"/>
  <c r="K20" i="16" s="1"/>
  <c r="L20" i="16" s="1"/>
  <c r="M20" i="16" s="1"/>
  <c r="N20" i="16" s="1"/>
  <c r="O20" i="16" s="1"/>
  <c r="P20" i="16" s="1"/>
  <c r="Q20" i="16" s="1"/>
  <c r="R20" i="16" s="1"/>
  <c r="S20" i="16" s="1"/>
  <c r="T20" i="16" s="1"/>
  <c r="U20" i="16" s="1"/>
  <c r="V20" i="16" s="1"/>
  <c r="AG14" i="4"/>
  <c r="H11" i="23" s="1" a="1"/>
  <c r="H11" i="23" s="1"/>
  <c r="M77" i="4"/>
  <c r="L64" i="19" s="1"/>
  <c r="O77" i="4"/>
  <c r="N64" i="19" s="1"/>
  <c r="N77" i="4"/>
  <c r="M64" i="19" s="1"/>
  <c r="P73" i="4"/>
  <c r="N72" i="4"/>
  <c r="N73" i="4" s="1"/>
  <c r="M63" i="19" s="1"/>
  <c r="M72" i="4"/>
  <c r="M73" i="4" s="1"/>
  <c r="L63" i="19" s="1"/>
  <c r="O72" i="4"/>
  <c r="O73" i="4" s="1"/>
  <c r="N63" i="19" s="1"/>
  <c r="O68" i="4"/>
  <c r="N152" i="19" s="1"/>
  <c r="N68" i="4"/>
  <c r="M17" i="19" s="1"/>
  <c r="M68" i="4"/>
  <c r="L107" i="19" s="1"/>
  <c r="N62" i="4"/>
  <c r="M121" i="19" s="1"/>
  <c r="O62" i="4"/>
  <c r="N106" i="19" s="1"/>
  <c r="M62" i="4"/>
  <c r="L121" i="19" s="1"/>
  <c r="N58" i="4"/>
  <c r="M60" i="19" s="1"/>
  <c r="O58" i="4"/>
  <c r="N60" i="19" s="1"/>
  <c r="M58" i="4"/>
  <c r="L60" i="19" s="1"/>
  <c r="O54" i="4"/>
  <c r="N14" i="19" s="1"/>
  <c r="N54" i="4"/>
  <c r="M104" i="19" s="1"/>
  <c r="M54" i="4"/>
  <c r="L104" i="19" s="1"/>
  <c r="N50" i="4"/>
  <c r="M58" i="19" s="1"/>
  <c r="O50" i="4"/>
  <c r="N58" i="19" s="1"/>
  <c r="M50" i="4"/>
  <c r="L58" i="19" s="1"/>
  <c r="N49" i="4"/>
  <c r="M118" i="19" s="1"/>
  <c r="O49" i="4"/>
  <c r="M49" i="4"/>
  <c r="L133" i="19" s="1"/>
  <c r="N46" i="4"/>
  <c r="M57" i="19" s="1"/>
  <c r="O46" i="4"/>
  <c r="N57" i="19" s="1"/>
  <c r="P46" i="4"/>
  <c r="M46" i="4"/>
  <c r="L57" i="19" s="1"/>
  <c r="N45" i="4"/>
  <c r="M147" i="19" s="1"/>
  <c r="O45" i="4"/>
  <c r="N132" i="19" s="1"/>
  <c r="P45" i="4"/>
  <c r="M45" i="4"/>
  <c r="L12" i="19" s="1"/>
  <c r="N40" i="4"/>
  <c r="N41" i="4" s="1"/>
  <c r="M56" i="19" s="1"/>
  <c r="O40" i="4"/>
  <c r="O41" i="4" s="1"/>
  <c r="N56" i="19" s="1"/>
  <c r="P40" i="4"/>
  <c r="P41" i="4" s="1"/>
  <c r="M40" i="4"/>
  <c r="M41" i="4" s="1"/>
  <c r="L56" i="19" s="1"/>
  <c r="HU14" i="23" l="1"/>
  <c r="AQ14" i="23" s="1" a="1"/>
  <c r="AQ14" i="23" s="1"/>
  <c r="C35" i="20" a="1"/>
  <c r="C35" i="20" s="1"/>
  <c r="S41" i="20"/>
  <c r="C29" i="20" a="1"/>
  <c r="C29" i="20" s="1"/>
  <c r="C30" i="20" a="1"/>
  <c r="C30" i="20" s="1"/>
  <c r="O48" i="21" a="1"/>
  <c r="O48" i="21" s="1"/>
  <c r="O59" i="21" s="1"/>
  <c r="N48" i="21" a="1"/>
  <c r="N48" i="21" s="1"/>
  <c r="N59" i="21" s="1"/>
  <c r="M48" i="21" a="1"/>
  <c r="M48" i="21" s="1"/>
  <c r="M59" i="21" s="1"/>
  <c r="L48" i="21" a="1"/>
  <c r="L48" i="21" s="1"/>
  <c r="L59" i="21" s="1"/>
  <c r="K48" i="21" a="1"/>
  <c r="K48" i="21" s="1"/>
  <c r="K59" i="21" s="1"/>
  <c r="E48" i="21" a="1"/>
  <c r="E48" i="21" s="1"/>
  <c r="E59" i="21" s="1"/>
  <c r="J48" i="21" a="1"/>
  <c r="J48" i="21" s="1"/>
  <c r="J59" i="21" s="1"/>
  <c r="I48" i="21" a="1"/>
  <c r="I48" i="21" s="1"/>
  <c r="I59" i="21" s="1"/>
  <c r="H48" i="21" a="1"/>
  <c r="H48" i="21" s="1"/>
  <c r="H59" i="21" s="1"/>
  <c r="G48" i="21" a="1"/>
  <c r="G48" i="21" s="1"/>
  <c r="G59" i="21" s="1"/>
  <c r="F48" i="21" a="1"/>
  <c r="F48" i="21" s="1"/>
  <c r="F59" i="21" s="1"/>
  <c r="D48" i="21" a="1"/>
  <c r="D48" i="21" s="1"/>
  <c r="D59" i="21" s="1"/>
  <c r="U62" i="21"/>
  <c r="M75" i="19"/>
  <c r="L124" i="19"/>
  <c r="L153" i="19"/>
  <c r="C22" i="20" a="1"/>
  <c r="C22" i="20" s="1"/>
  <c r="J10" i="21" a="1"/>
  <c r="J10" i="21" s="1"/>
  <c r="G12" i="23" a="1"/>
  <c r="G12" i="23" s="1"/>
  <c r="L105" i="19"/>
  <c r="N124" i="19"/>
  <c r="C17" i="20" a="1"/>
  <c r="C17" i="20" s="1"/>
  <c r="C24" i="20" a="1"/>
  <c r="C24" i="20" s="1"/>
  <c r="U21" i="21"/>
  <c r="O20" i="21" a="1"/>
  <c r="O20" i="21" s="1"/>
  <c r="O31" i="21" s="1"/>
  <c r="N47" i="19"/>
  <c r="M105" i="19"/>
  <c r="L135" i="19"/>
  <c r="C25" i="20" a="1"/>
  <c r="C25" i="20" s="1"/>
  <c r="L7" i="21" a="1"/>
  <c r="L7" i="21" s="1"/>
  <c r="R34" i="21"/>
  <c r="AA11" i="23" a="1"/>
  <c r="AA11" i="23" s="1"/>
  <c r="HH13" i="23"/>
  <c r="O34" i="21" a="1"/>
  <c r="O34" i="21" s="1"/>
  <c r="M34" i="21" a="1"/>
  <c r="M34" i="21" s="1"/>
  <c r="K34" i="21" a="1"/>
  <c r="K34" i="21" s="1"/>
  <c r="L34" i="21" a="1"/>
  <c r="L34" i="21" s="1"/>
  <c r="J34" i="21" a="1"/>
  <c r="J34" i="21" s="1"/>
  <c r="H34" i="21" a="1"/>
  <c r="H34" i="21" s="1"/>
  <c r="I34" i="21" a="1"/>
  <c r="I34" i="21" s="1"/>
  <c r="E34" i="21" a="1"/>
  <c r="E34" i="21" s="1"/>
  <c r="G34" i="21" a="1"/>
  <c r="G34" i="21" s="1"/>
  <c r="F34" i="21" a="1"/>
  <c r="F34" i="21" s="1"/>
  <c r="D34" i="21" a="1"/>
  <c r="D34" i="21" s="1"/>
  <c r="N34" i="21" a="1"/>
  <c r="N34" i="21" s="1"/>
  <c r="L109" i="19"/>
  <c r="L115" i="19"/>
  <c r="N135" i="19"/>
  <c r="R51" i="22"/>
  <c r="M109" i="19"/>
  <c r="M115" i="19"/>
  <c r="L139" i="19"/>
  <c r="V12" i="23" a="1"/>
  <c r="V12" i="23" s="1"/>
  <c r="N109" i="19"/>
  <c r="N115" i="19"/>
  <c r="M139" i="19"/>
  <c r="U11" i="21"/>
  <c r="F11" i="21" s="1" a="1"/>
  <c r="F11" i="21" s="1"/>
  <c r="V30" i="22"/>
  <c r="Z51" i="22"/>
  <c r="HW13" i="23"/>
  <c r="HT14" i="23"/>
  <c r="L70" i="19"/>
  <c r="N139" i="19"/>
  <c r="V31" i="22"/>
  <c r="V32" i="22" s="1"/>
  <c r="V52" i="22"/>
  <c r="F52" i="22" s="1" a="1"/>
  <c r="F52" i="22" s="1"/>
  <c r="M70" i="19"/>
  <c r="L120" i="19"/>
  <c r="L150" i="19"/>
  <c r="C20" i="20" a="1"/>
  <c r="C20" i="20" s="1"/>
  <c r="D36" i="22" a="1"/>
  <c r="D36" i="22" s="1"/>
  <c r="D12" i="23" a="1"/>
  <c r="D12" i="23" s="1"/>
  <c r="AL12" i="23" a="1"/>
  <c r="AL12" i="23" s="1"/>
  <c r="N70" i="19"/>
  <c r="M120" i="19"/>
  <c r="M150" i="19"/>
  <c r="C21" i="20" a="1"/>
  <c r="C21" i="20" s="1"/>
  <c r="O10" i="21" a="1"/>
  <c r="O10" i="21" s="1"/>
  <c r="I36" i="22" a="1"/>
  <c r="I36" i="22" s="1"/>
  <c r="E12" i="23" a="1"/>
  <c r="E12" i="23" s="1"/>
  <c r="N118" i="19"/>
  <c r="L75" i="19"/>
  <c r="N120" i="19"/>
  <c r="N150" i="19"/>
  <c r="L36" i="22" a="1"/>
  <c r="L36" i="22" s="1"/>
  <c r="W45" i="24"/>
  <c r="C44" i="24" a="1"/>
  <c r="C44" i="24" s="1"/>
  <c r="U45" i="24"/>
  <c r="B44" i="24" a="1"/>
  <c r="B44" i="24" s="1"/>
  <c r="K14" i="23" a="1"/>
  <c r="K14" i="23" s="1"/>
  <c r="K13" i="23" a="1"/>
  <c r="K13" i="23" s="1"/>
  <c r="AQ13" i="23" a="1"/>
  <c r="AQ13" i="23" s="1"/>
  <c r="AA13" i="23" a="1"/>
  <c r="AA13" i="23" s="1"/>
  <c r="H12" i="23" a="1"/>
  <c r="H12" i="23" s="1"/>
  <c r="B12" i="23" a="1"/>
  <c r="B12" i="23" s="1"/>
  <c r="J12" i="23" a="1"/>
  <c r="J12" i="23" s="1"/>
  <c r="C12" i="23" a="1"/>
  <c r="C12" i="23" s="1"/>
  <c r="AA12" i="23" a="1"/>
  <c r="AA12" i="23" s="1"/>
  <c r="AQ25" i="23"/>
  <c r="AA6" i="23" a="1"/>
  <c r="AA6" i="23" s="1"/>
  <c r="L71" i="19"/>
  <c r="M99" i="19"/>
  <c r="L114" i="19"/>
  <c r="N44" i="19"/>
  <c r="L9" i="19"/>
  <c r="N17" i="19"/>
  <c r="L31" i="19"/>
  <c r="M39" i="19"/>
  <c r="N73" i="19"/>
  <c r="N99" i="19"/>
  <c r="L136" i="19"/>
  <c r="M9" i="19"/>
  <c r="M31" i="19"/>
  <c r="N39" i="19"/>
  <c r="L93" i="19"/>
  <c r="M107" i="19"/>
  <c r="M136" i="19"/>
  <c r="L148" i="19"/>
  <c r="M119" i="19"/>
  <c r="N9" i="19"/>
  <c r="M47" i="19"/>
  <c r="M93" i="19"/>
  <c r="N107" i="19"/>
  <c r="N121" i="19"/>
  <c r="M116" i="19"/>
  <c r="L122" i="19"/>
  <c r="L131" i="19"/>
  <c r="M12" i="19"/>
  <c r="N28" i="19"/>
  <c r="L76" i="19"/>
  <c r="L102" i="19"/>
  <c r="N116" i="19"/>
  <c r="N133" i="19"/>
  <c r="M73" i="19"/>
  <c r="N138" i="19"/>
  <c r="L13" i="19"/>
  <c r="M18" i="19"/>
  <c r="M26" i="19"/>
  <c r="L29" i="19"/>
  <c r="N31" i="19"/>
  <c r="N42" i="19"/>
  <c r="L48" i="19"/>
  <c r="M71" i="19"/>
  <c r="L74" i="19"/>
  <c r="N76" i="19"/>
  <c r="M88" i="19"/>
  <c r="L91" i="19"/>
  <c r="N93" i="19"/>
  <c r="N102" i="19"/>
  <c r="L108" i="19"/>
  <c r="M114" i="19"/>
  <c r="L117" i="19"/>
  <c r="N119" i="19"/>
  <c r="M122" i="19"/>
  <c r="M131" i="19"/>
  <c r="L134" i="19"/>
  <c r="N136" i="19"/>
  <c r="M148" i="19"/>
  <c r="L151" i="19"/>
  <c r="N153" i="19"/>
  <c r="M28" i="19"/>
  <c r="N87" i="19"/>
  <c r="N147" i="19"/>
  <c r="N12" i="19"/>
  <c r="M13" i="19"/>
  <c r="L16" i="19"/>
  <c r="N18" i="19"/>
  <c r="L24" i="19"/>
  <c r="N26" i="19"/>
  <c r="M29" i="19"/>
  <c r="L32" i="19"/>
  <c r="L43" i="19"/>
  <c r="M48" i="19"/>
  <c r="L69" i="19"/>
  <c r="N71" i="19"/>
  <c r="M74" i="19"/>
  <c r="L77" i="19"/>
  <c r="L86" i="19"/>
  <c r="N88" i="19"/>
  <c r="M91" i="19"/>
  <c r="L103" i="19"/>
  <c r="M108" i="19"/>
  <c r="N114" i="19"/>
  <c r="M117" i="19"/>
  <c r="N122" i="19"/>
  <c r="L129" i="19"/>
  <c r="N131" i="19"/>
  <c r="M134" i="19"/>
  <c r="L137" i="19"/>
  <c r="L146" i="19"/>
  <c r="N148" i="19"/>
  <c r="M151" i="19"/>
  <c r="M42" i="19"/>
  <c r="M102" i="19"/>
  <c r="L11" i="19"/>
  <c r="N13" i="19"/>
  <c r="M16" i="19"/>
  <c r="M24" i="19"/>
  <c r="L27" i="19"/>
  <c r="N29" i="19"/>
  <c r="M32" i="19"/>
  <c r="M43" i="19"/>
  <c r="L46" i="19"/>
  <c r="N48" i="19"/>
  <c r="M69" i="19"/>
  <c r="L72" i="19"/>
  <c r="N74" i="19"/>
  <c r="M77" i="19"/>
  <c r="M86" i="19"/>
  <c r="L89" i="19"/>
  <c r="N91" i="19"/>
  <c r="M103" i="19"/>
  <c r="L106" i="19"/>
  <c r="N108" i="19"/>
  <c r="N117" i="19"/>
  <c r="L123" i="19"/>
  <c r="M129" i="19"/>
  <c r="L132" i="19"/>
  <c r="N134" i="19"/>
  <c r="M137" i="19"/>
  <c r="M146" i="19"/>
  <c r="L149" i="19"/>
  <c r="N151" i="19"/>
  <c r="M11" i="19"/>
  <c r="L14" i="19"/>
  <c r="N16" i="19"/>
  <c r="N24" i="19"/>
  <c r="M27" i="19"/>
  <c r="N32" i="19"/>
  <c r="L41" i="19"/>
  <c r="N43" i="19"/>
  <c r="M46" i="19"/>
  <c r="N69" i="19"/>
  <c r="M72" i="19"/>
  <c r="N77" i="19"/>
  <c r="L84" i="19"/>
  <c r="N86" i="19"/>
  <c r="M89" i="19"/>
  <c r="L92" i="19"/>
  <c r="L101" i="19"/>
  <c r="N103" i="19"/>
  <c r="M106" i="19"/>
  <c r="L118" i="19"/>
  <c r="M123" i="19"/>
  <c r="N129" i="19"/>
  <c r="M132" i="19"/>
  <c r="N137" i="19"/>
  <c r="L144" i="19"/>
  <c r="N146" i="19"/>
  <c r="M149" i="19"/>
  <c r="L152" i="19"/>
  <c r="N78" i="19"/>
  <c r="M133" i="19"/>
  <c r="L18" i="19"/>
  <c r="N11" i="19"/>
  <c r="M14" i="19"/>
  <c r="L17" i="19"/>
  <c r="N27" i="19"/>
  <c r="L33" i="19"/>
  <c r="M41" i="19"/>
  <c r="L44" i="19"/>
  <c r="N46" i="19"/>
  <c r="N72" i="19"/>
  <c r="L78" i="19"/>
  <c r="M84" i="19"/>
  <c r="L87" i="19"/>
  <c r="N89" i="19"/>
  <c r="M92" i="19"/>
  <c r="M101" i="19"/>
  <c r="N123" i="19"/>
  <c r="L138" i="19"/>
  <c r="L147" i="19"/>
  <c r="N149" i="19"/>
  <c r="M152" i="19"/>
  <c r="N33" i="19"/>
  <c r="L28" i="19"/>
  <c r="M33" i="19"/>
  <c r="L39" i="19"/>
  <c r="N41" i="19"/>
  <c r="M44" i="19"/>
  <c r="L47" i="19"/>
  <c r="L73" i="19"/>
  <c r="M78" i="19"/>
  <c r="N84" i="19"/>
  <c r="M87" i="19"/>
  <c r="N92" i="19"/>
  <c r="N101" i="19"/>
  <c r="L116" i="19"/>
  <c r="M138" i="19"/>
  <c r="Z53" i="22"/>
  <c r="D59" i="22" a="1"/>
  <c r="D59" i="22" s="1"/>
  <c r="H59" i="22" a="1"/>
  <c r="H59" i="22" s="1"/>
  <c r="L59" i="22" a="1"/>
  <c r="L59" i="22" s="1"/>
  <c r="Z52" i="22"/>
  <c r="E59" i="22" a="1"/>
  <c r="E59" i="22" s="1"/>
  <c r="I59" i="22" a="1"/>
  <c r="I59" i="22" s="1"/>
  <c r="Z31" i="22"/>
  <c r="H38" i="22" a="1"/>
  <c r="H38" i="22" s="1"/>
  <c r="K38" i="22" a="1"/>
  <c r="K38" i="22" s="1"/>
  <c r="I38" i="22" a="1"/>
  <c r="I38" i="22" s="1"/>
  <c r="E36" i="22" a="1"/>
  <c r="E36" i="22" s="1"/>
  <c r="M36" i="22" a="1"/>
  <c r="M36" i="22" s="1"/>
  <c r="F36" i="22" a="1"/>
  <c r="F36" i="22" s="1"/>
  <c r="N36" i="22" a="1"/>
  <c r="N36" i="22" s="1"/>
  <c r="G36" i="22" a="1"/>
  <c r="G36" i="22" s="1"/>
  <c r="O36" i="22" a="1"/>
  <c r="O36" i="22" s="1"/>
  <c r="H36" i="22" a="1"/>
  <c r="H36" i="22" s="1"/>
  <c r="J36" i="22" a="1"/>
  <c r="J36" i="22" s="1"/>
  <c r="Z29" i="22"/>
  <c r="K36" i="22" a="1"/>
  <c r="K36" i="22" s="1"/>
  <c r="J38" i="22" a="1"/>
  <c r="J38" i="22" s="1"/>
  <c r="D38" i="22" a="1"/>
  <c r="D38" i="22" s="1"/>
  <c r="L38" i="22" a="1"/>
  <c r="L38" i="22" s="1"/>
  <c r="E38" i="22" a="1"/>
  <c r="E38" i="22" s="1"/>
  <c r="M38" i="22" a="1"/>
  <c r="M38" i="22" s="1"/>
  <c r="F38" i="22" a="1"/>
  <c r="F38" i="22" s="1"/>
  <c r="N38" i="22" a="1"/>
  <c r="N38" i="22" s="1"/>
  <c r="G38" i="22" a="1"/>
  <c r="G38" i="22" s="1"/>
  <c r="O38" i="22" a="1"/>
  <c r="O38" i="22" s="1"/>
  <c r="V34" i="22"/>
  <c r="J15" i="22" a="1"/>
  <c r="J15" i="22" s="1"/>
  <c r="Z8" i="22"/>
  <c r="K15" i="22" a="1"/>
  <c r="K15" i="22" s="1"/>
  <c r="I15" i="22" a="1"/>
  <c r="I15" i="22" s="1"/>
  <c r="I8" i="22" a="1"/>
  <c r="I8" i="22" s="1"/>
  <c r="I26" i="22" s="1"/>
  <c r="D15" i="22" a="1"/>
  <c r="D15" i="22" s="1"/>
  <c r="H15" i="22" a="1"/>
  <c r="H15" i="22" s="1"/>
  <c r="O15" i="22" a="1"/>
  <c r="O15" i="22" s="1"/>
  <c r="G15" i="22" a="1"/>
  <c r="G15" i="22" s="1"/>
  <c r="N15" i="22" a="1"/>
  <c r="N15" i="22" s="1"/>
  <c r="F15" i="22" a="1"/>
  <c r="F15" i="22" s="1"/>
  <c r="M15" i="22" a="1"/>
  <c r="M15" i="22" s="1"/>
  <c r="E15" i="22" a="1"/>
  <c r="E15" i="22" s="1"/>
  <c r="L8" i="22" a="1"/>
  <c r="L8" i="22" s="1"/>
  <c r="L26" i="22" s="1"/>
  <c r="V9" i="22"/>
  <c r="AC90" i="21"/>
  <c r="U64" i="21"/>
  <c r="U66" i="21"/>
  <c r="U63" i="21"/>
  <c r="U52" i="21"/>
  <c r="U50" i="21"/>
  <c r="U49" i="21"/>
  <c r="L52" i="22" a="1"/>
  <c r="L52" i="22" s="1"/>
  <c r="U36" i="21"/>
  <c r="U38" i="21"/>
  <c r="U35" i="21"/>
  <c r="I52" i="22" a="1"/>
  <c r="I52" i="22" s="1"/>
  <c r="U22" i="21"/>
  <c r="U24" i="21"/>
  <c r="J11" i="21" a="1"/>
  <c r="J11" i="21" s="1"/>
  <c r="L10" i="21" a="1"/>
  <c r="L10" i="21" s="1"/>
  <c r="G10" i="21" a="1"/>
  <c r="G10" i="21" s="1"/>
  <c r="M7" i="21" a="1"/>
  <c r="M7" i="21" s="1"/>
  <c r="M8" i="22" s="1" a="1"/>
  <c r="M8" i="22" s="1"/>
  <c r="M26" i="22" s="1"/>
  <c r="H7" i="21" a="1"/>
  <c r="H7" i="21" s="1"/>
  <c r="H8" i="22" s="1" a="1"/>
  <c r="H8" i="22" s="1"/>
  <c r="H26" i="22" s="1"/>
  <c r="I11" i="21" a="1"/>
  <c r="I11" i="21" s="1"/>
  <c r="G7" i="21" a="1"/>
  <c r="G7" i="21" s="1"/>
  <c r="G8" i="22" s="1" a="1"/>
  <c r="G8" i="22" s="1"/>
  <c r="N11" i="21" a="1"/>
  <c r="N11" i="21" s="1"/>
  <c r="E11" i="21" a="1"/>
  <c r="E11" i="21" s="1"/>
  <c r="M11" i="21" a="1"/>
  <c r="M11" i="21" s="1"/>
  <c r="H11" i="21" a="1"/>
  <c r="H11" i="21" s="1"/>
  <c r="K7" i="21" a="1"/>
  <c r="K7" i="21" s="1"/>
  <c r="K18" i="21" s="1"/>
  <c r="M6" i="21" a="1"/>
  <c r="M6" i="21" s="1"/>
  <c r="M6" i="22" s="1" a="1"/>
  <c r="M6" i="22" s="1"/>
  <c r="L11" i="21" a="1"/>
  <c r="L11" i="21" s="1"/>
  <c r="N10" i="21" a="1"/>
  <c r="N10" i="21" s="1"/>
  <c r="E10" i="21" a="1"/>
  <c r="E10" i="21" s="1"/>
  <c r="O7" i="21" a="1"/>
  <c r="O7" i="21" s="1"/>
  <c r="O8" i="22" s="1" a="1"/>
  <c r="O8" i="22" s="1"/>
  <c r="O26" i="22" s="1"/>
  <c r="F7" i="21" a="1"/>
  <c r="F7" i="21" s="1"/>
  <c r="F8" i="22" s="1" a="1"/>
  <c r="F8" i="22" s="1"/>
  <c r="F26" i="22" s="1"/>
  <c r="H6" i="21" a="1"/>
  <c r="H6" i="21" s="1"/>
  <c r="H6" i="22" s="1" a="1"/>
  <c r="H6" i="22" s="1"/>
  <c r="D11" i="21" a="1"/>
  <c r="D11" i="21" s="1"/>
  <c r="G11" i="21" a="1"/>
  <c r="G11" i="21" s="1"/>
  <c r="J7" i="21" a="1"/>
  <c r="J7" i="21" s="1"/>
  <c r="J8" i="22" s="1" a="1"/>
  <c r="J8" i="22" s="1"/>
  <c r="J26" i="22" s="1"/>
  <c r="K11" i="21" a="1"/>
  <c r="K11" i="21" s="1"/>
  <c r="M10" i="21" a="1"/>
  <c r="M10" i="21" s="1"/>
  <c r="N7" i="21" a="1"/>
  <c r="N7" i="21" s="1"/>
  <c r="N8" i="22" s="1" a="1"/>
  <c r="N8" i="22" s="1"/>
  <c r="N26" i="22" s="1"/>
  <c r="E7" i="21" a="1"/>
  <c r="E7" i="21" s="1"/>
  <c r="E13" i="21" s="1"/>
  <c r="U9" i="21"/>
  <c r="O11" i="21" a="1"/>
  <c r="O11" i="21" s="1"/>
  <c r="O6" i="21" a="1"/>
  <c r="O6" i="21" s="1"/>
  <c r="O17" i="21" s="1"/>
  <c r="AC20" i="21"/>
  <c r="F20" i="21" s="1" a="1"/>
  <c r="F20" i="21" s="1"/>
  <c r="F31" i="21" s="1"/>
  <c r="U23" i="21"/>
  <c r="L18" i="21"/>
  <c r="L13" i="21"/>
  <c r="I13" i="21"/>
  <c r="AC6" i="21"/>
  <c r="J6" i="21" s="1" a="1"/>
  <c r="J6" i="21" s="1"/>
  <c r="J6" i="22" s="1" a="1"/>
  <c r="J6" i="22" s="1"/>
  <c r="AE113" i="20"/>
  <c r="AE114" i="20" s="1"/>
  <c r="AE101" i="20"/>
  <c r="AE89" i="20"/>
  <c r="AE90" i="20" s="1"/>
  <c r="AE77" i="20"/>
  <c r="AE78" i="20" s="1"/>
  <c r="AE65" i="20"/>
  <c r="AE66" i="20" s="1"/>
  <c r="AE53" i="20"/>
  <c r="C44" i="20" a="1"/>
  <c r="C44" i="20" s="1"/>
  <c r="C45" i="20" a="1"/>
  <c r="C45" i="20" s="1"/>
  <c r="C42" i="20" a="1"/>
  <c r="C42" i="20" s="1"/>
  <c r="C49" i="20" a="1"/>
  <c r="C49" i="20" s="1"/>
  <c r="C46" i="20" a="1"/>
  <c r="C46" i="20" s="1"/>
  <c r="C32" i="20" a="1"/>
  <c r="C32" i="20" s="1"/>
  <c r="C33" i="20" a="1"/>
  <c r="C33" i="20" s="1"/>
  <c r="AE29" i="20"/>
  <c r="AE30" i="20" s="1"/>
  <c r="C36" i="20" a="1"/>
  <c r="C36" i="20" s="1"/>
  <c r="C37" i="20" a="1"/>
  <c r="C37" i="20" s="1"/>
  <c r="C34" i="20" a="1"/>
  <c r="C34" i="20" s="1"/>
  <c r="AE17" i="20"/>
  <c r="AE18" i="20" s="1"/>
  <c r="AE5" i="20"/>
  <c r="BD37" i="19"/>
  <c r="G37" i="19" s="1" a="1"/>
  <c r="G37" i="19" s="1"/>
  <c r="C37" i="19" a="1"/>
  <c r="C37" i="19" s="1"/>
  <c r="D22" i="19" a="1"/>
  <c r="D22" i="19" s="1"/>
  <c r="E22" i="19" a="1"/>
  <c r="E22" i="19" s="1"/>
  <c r="C22" i="19" a="1"/>
  <c r="C22" i="19" s="1"/>
  <c r="F22" i="19" a="1"/>
  <c r="F22" i="19" s="1"/>
  <c r="P34" i="19" s="1"/>
  <c r="P35" i="19" s="1"/>
  <c r="G22" i="19" a="1"/>
  <c r="G22" i="19" s="1"/>
  <c r="H22" i="19" a="1"/>
  <c r="H22" i="19" s="1"/>
  <c r="P33" i="19" s="1"/>
  <c r="W1" i="19"/>
  <c r="W5" i="19" s="1" a="1"/>
  <c r="W5" i="19" s="1"/>
  <c r="P19" i="19"/>
  <c r="P20" i="19" s="1"/>
  <c r="P17" i="19" a="1"/>
  <c r="P17" i="19" s="1"/>
  <c r="P16" i="19" a="1"/>
  <c r="P16" i="19" s="1"/>
  <c r="P15" i="19"/>
  <c r="P14" i="19" a="1"/>
  <c r="P14" i="19" s="1"/>
  <c r="P13" i="19" a="1"/>
  <c r="P13" i="19" s="1"/>
  <c r="O7" i="19"/>
  <c r="O18" i="4"/>
  <c r="M18" i="4"/>
  <c r="N12" i="4"/>
  <c r="M112" i="19" s="1"/>
  <c r="O12" i="4"/>
  <c r="N112" i="19" s="1"/>
  <c r="P12" i="4"/>
  <c r="M12" i="4"/>
  <c r="L112" i="19" s="1"/>
  <c r="G36" i="4"/>
  <c r="H36" i="4" s="1"/>
  <c r="G35" i="4"/>
  <c r="H35" i="4" s="1"/>
  <c r="G34" i="4"/>
  <c r="H34" i="4" s="1"/>
  <c r="E36" i="4"/>
  <c r="F36" i="4" s="1"/>
  <c r="E35" i="4"/>
  <c r="F35" i="4" s="1"/>
  <c r="E34" i="4"/>
  <c r="F34" i="4" s="1"/>
  <c r="C36" i="4"/>
  <c r="D36" i="4" s="1"/>
  <c r="C35" i="4"/>
  <c r="D35" i="4" s="1"/>
  <c r="C34" i="4"/>
  <c r="D34" i="4" s="1"/>
  <c r="C7" i="19" a="1"/>
  <c r="C7" i="19" s="1"/>
  <c r="Q113" i="18"/>
  <c r="Q112" i="18"/>
  <c r="Q101" i="18"/>
  <c r="Q100" i="18"/>
  <c r="Q89" i="18"/>
  <c r="Q88" i="18"/>
  <c r="Q17" i="23" a="1"/>
  <c r="Q17" i="23" s="1"/>
  <c r="Q77" i="18"/>
  <c r="Q76" i="18"/>
  <c r="Q65" i="18"/>
  <c r="Q64" i="18"/>
  <c r="AW15" i="23" a="1"/>
  <c r="AW15" i="23" s="1"/>
  <c r="Q15" i="23" a="1"/>
  <c r="Q15" i="23" s="1"/>
  <c r="Q53" i="18"/>
  <c r="Q52" i="18"/>
  <c r="Q41" i="18"/>
  <c r="Q40" i="18"/>
  <c r="D38" i="21" a="1"/>
  <c r="D38" i="21" s="1"/>
  <c r="D36" i="21" a="1"/>
  <c r="D36" i="21" s="1"/>
  <c r="W7" i="18"/>
  <c r="W8" i="18" s="1"/>
  <c r="W9" i="18" s="1"/>
  <c r="W10" i="18" s="1"/>
  <c r="W11" i="18" s="1"/>
  <c r="W12" i="18" s="1"/>
  <c r="W13" i="18" s="1"/>
  <c r="W14" i="18" s="1"/>
  <c r="W15" i="18" s="1"/>
  <c r="W16" i="18" s="1"/>
  <c r="W17" i="18" s="1"/>
  <c r="W18" i="18" s="1"/>
  <c r="W19" i="18" s="1"/>
  <c r="W20" i="18" s="1"/>
  <c r="W21" i="18" s="1"/>
  <c r="W22" i="18" s="1"/>
  <c r="W23" i="18" s="1"/>
  <c r="W24" i="18" s="1"/>
  <c r="W25" i="18" s="1"/>
  <c r="W26" i="18" s="1"/>
  <c r="W27" i="18" s="1"/>
  <c r="W28" i="18" s="1"/>
  <c r="W29" i="18" s="1"/>
  <c r="W30" i="18" s="1"/>
  <c r="W31" i="18" s="1"/>
  <c r="W32" i="18" s="1"/>
  <c r="W33" i="18" s="1"/>
  <c r="W34" i="18" s="1"/>
  <c r="W35" i="18" s="1"/>
  <c r="W36" i="18" s="1"/>
  <c r="W37" i="18" s="1"/>
  <c r="W38" i="18" s="1"/>
  <c r="W39" i="18" s="1"/>
  <c r="W40" i="18" s="1"/>
  <c r="W41" i="18" s="1"/>
  <c r="W42" i="18" s="1"/>
  <c r="W43" i="18" s="1"/>
  <c r="W44" i="18" s="1"/>
  <c r="W45" i="18" s="1"/>
  <c r="W46" i="18" s="1"/>
  <c r="W47" i="18" s="1"/>
  <c r="W48" i="18" s="1"/>
  <c r="W49" i="18" s="1"/>
  <c r="W50" i="18" s="1"/>
  <c r="W51" i="18" s="1"/>
  <c r="W52" i="18" s="1"/>
  <c r="W53" i="18" s="1"/>
  <c r="W54" i="18" s="1"/>
  <c r="W55" i="18" s="1"/>
  <c r="W56" i="18" s="1"/>
  <c r="W57" i="18" s="1"/>
  <c r="W58" i="18" s="1"/>
  <c r="W59" i="18" s="1"/>
  <c r="W60" i="18" s="1"/>
  <c r="W61" i="18" s="1"/>
  <c r="W62" i="18" s="1"/>
  <c r="W63" i="18" s="1"/>
  <c r="W64" i="18" s="1"/>
  <c r="W65" i="18" s="1"/>
  <c r="W66" i="18" s="1"/>
  <c r="W67" i="18" s="1"/>
  <c r="W68" i="18" s="1"/>
  <c r="W69" i="18" s="1"/>
  <c r="W70" i="18" s="1"/>
  <c r="W71" i="18" s="1"/>
  <c r="W72" i="18" s="1"/>
  <c r="W73" i="18" s="1"/>
  <c r="W74" i="18" s="1"/>
  <c r="W75" i="18" s="1"/>
  <c r="W76" i="18" s="1"/>
  <c r="W77" i="18" s="1"/>
  <c r="W78" i="18" s="1"/>
  <c r="W79" i="18" s="1"/>
  <c r="W80" i="18" s="1"/>
  <c r="W81" i="18" s="1"/>
  <c r="W82" i="18" s="1"/>
  <c r="W83" i="18" s="1"/>
  <c r="W84" i="18" s="1"/>
  <c r="W85" i="18" s="1"/>
  <c r="W86" i="18" s="1"/>
  <c r="W87" i="18" s="1"/>
  <c r="W88" i="18" s="1"/>
  <c r="W89" i="18" s="1"/>
  <c r="W90" i="18" s="1"/>
  <c r="W91" i="18" s="1"/>
  <c r="W92" i="18" s="1"/>
  <c r="W93" i="18" s="1"/>
  <c r="W94" i="18" s="1"/>
  <c r="W95" i="18" s="1"/>
  <c r="W96" i="18" s="1"/>
  <c r="W97" i="18" s="1"/>
  <c r="W98" i="18" s="1"/>
  <c r="W99" i="18" s="1"/>
  <c r="W100" i="18" s="1"/>
  <c r="W101" i="18" s="1"/>
  <c r="W102" i="18" s="1"/>
  <c r="W103" i="18" s="1"/>
  <c r="W104" i="18" s="1"/>
  <c r="W105" i="18" s="1"/>
  <c r="W106" i="18" s="1"/>
  <c r="W107" i="18" s="1"/>
  <c r="W108" i="18" s="1"/>
  <c r="W109" i="18" s="1"/>
  <c r="W110" i="18" s="1"/>
  <c r="W111" i="18" s="1"/>
  <c r="W112" i="18" s="1"/>
  <c r="W113" i="18" s="1"/>
  <c r="W114" i="18" s="1"/>
  <c r="W115" i="18" s="1"/>
  <c r="W116" i="18" s="1"/>
  <c r="W117" i="18" s="1"/>
  <c r="W118" i="18" s="1"/>
  <c r="W119" i="18" s="1"/>
  <c r="W120" i="18" s="1"/>
  <c r="W121" i="18" s="1"/>
  <c r="W122" i="18" s="1"/>
  <c r="W123" i="18" s="1"/>
  <c r="W124" i="18" s="1"/>
  <c r="W125" i="18" s="1"/>
  <c r="AA18" i="18"/>
  <c r="C18" i="18" s="1" a="1"/>
  <c r="C18" i="18" s="1"/>
  <c r="Q29" i="18"/>
  <c r="Q28" i="18"/>
  <c r="O39" i="22" a="1"/>
  <c r="O39" i="22" s="1"/>
  <c r="N39" i="22" a="1"/>
  <c r="N39" i="22" s="1"/>
  <c r="M39" i="22" a="1"/>
  <c r="M39" i="22" s="1"/>
  <c r="L39" i="22" a="1"/>
  <c r="L39" i="22" s="1"/>
  <c r="K39" i="22" a="1"/>
  <c r="K39" i="22" s="1"/>
  <c r="J39" i="22" a="1"/>
  <c r="J39" i="22" s="1"/>
  <c r="I39" i="22" a="1"/>
  <c r="I39" i="22" s="1"/>
  <c r="H39" i="22" a="1"/>
  <c r="H39" i="22" s="1"/>
  <c r="G39" i="22" a="1"/>
  <c r="G39" i="22" s="1"/>
  <c r="F39" i="22" a="1"/>
  <c r="F39" i="22" s="1"/>
  <c r="E39" i="22" a="1"/>
  <c r="E39" i="22" s="1"/>
  <c r="D39" i="22" a="1"/>
  <c r="D39" i="22" s="1"/>
  <c r="AM12" i="23" a="1"/>
  <c r="AM12" i="23" s="1"/>
  <c r="Q17" i="18"/>
  <c r="Q16" i="18"/>
  <c r="E10" i="18"/>
  <c r="D10" i="21" s="1" a="1"/>
  <c r="D10" i="21" s="1"/>
  <c r="I12" i="18" a="1"/>
  <c r="I12" i="18" s="1"/>
  <c r="I10" i="18"/>
  <c r="H10" i="21" s="1" a="1"/>
  <c r="H10" i="21" s="1"/>
  <c r="E14" i="22" a="1"/>
  <c r="E14" i="22" s="1"/>
  <c r="F14" i="22" a="1"/>
  <c r="F14" i="22" s="1"/>
  <c r="G14" i="22" a="1"/>
  <c r="G14" i="22" s="1"/>
  <c r="I9" i="18" a="1"/>
  <c r="I9" i="18" s="1"/>
  <c r="H14" i="22" s="1" a="1"/>
  <c r="H14" i="22" s="1"/>
  <c r="I14" i="22" a="1"/>
  <c r="I14" i="22" s="1"/>
  <c r="J14" i="22" a="1"/>
  <c r="J14" i="22" s="1"/>
  <c r="K14" i="22" a="1"/>
  <c r="K14" i="22" s="1"/>
  <c r="L14" i="22" a="1"/>
  <c r="L14" i="22" s="1"/>
  <c r="M14" i="22" a="1"/>
  <c r="M14" i="22" s="1"/>
  <c r="N14" i="22" a="1"/>
  <c r="N14" i="22" s="1"/>
  <c r="O14" i="22" a="1"/>
  <c r="O14" i="22" s="1"/>
  <c r="E9" i="18" a="1"/>
  <c r="E9" i="18" s="1"/>
  <c r="D14" i="22" s="1" a="1"/>
  <c r="D14" i="22" s="1"/>
  <c r="E8" i="21" a="1"/>
  <c r="E8" i="21" s="1"/>
  <c r="E7" i="22" s="1" a="1"/>
  <c r="E7" i="22" s="1"/>
  <c r="F8" i="21" a="1"/>
  <c r="F8" i="21" s="1"/>
  <c r="F7" i="22" s="1" a="1"/>
  <c r="F7" i="22" s="1"/>
  <c r="G8" i="21" a="1"/>
  <c r="G8" i="21" s="1"/>
  <c r="G7" i="22" s="1" a="1"/>
  <c r="G7" i="22" s="1"/>
  <c r="I7" i="18" a="1"/>
  <c r="I7" i="18" s="1"/>
  <c r="H8" i="21" s="1" a="1"/>
  <c r="H8" i="21" s="1"/>
  <c r="H7" i="22" s="1" a="1"/>
  <c r="H7" i="22" s="1"/>
  <c r="I8" i="21" a="1"/>
  <c r="I8" i="21" s="1"/>
  <c r="I7" i="22" s="1" a="1"/>
  <c r="I7" i="22" s="1"/>
  <c r="J8" i="21" a="1"/>
  <c r="J8" i="21" s="1"/>
  <c r="J7" i="22" s="1" a="1"/>
  <c r="J7" i="22" s="1"/>
  <c r="K8" i="21" a="1"/>
  <c r="K8" i="21" s="1"/>
  <c r="K7" i="22" s="1" a="1"/>
  <c r="K7" i="22" s="1"/>
  <c r="L8" i="21" a="1"/>
  <c r="L8" i="21" s="1"/>
  <c r="L7" i="22" s="1" a="1"/>
  <c r="L7" i="22" s="1"/>
  <c r="M8" i="21" a="1"/>
  <c r="M8" i="21" s="1"/>
  <c r="M7" i="22" s="1" a="1"/>
  <c r="M7" i="22" s="1"/>
  <c r="N8" i="21" a="1"/>
  <c r="N8" i="21" s="1"/>
  <c r="N7" i="22" s="1" a="1"/>
  <c r="N7" i="22" s="1"/>
  <c r="O8" i="21" a="1"/>
  <c r="O8" i="21" s="1"/>
  <c r="O7" i="22" s="1" a="1"/>
  <c r="O7" i="22" s="1"/>
  <c r="E7" i="18" a="1"/>
  <c r="E7" i="18" s="1"/>
  <c r="C6" i="18" a="1"/>
  <c r="C6" i="18" s="1"/>
  <c r="H8" i="16"/>
  <c r="B9" i="16"/>
  <c r="B22" i="19" s="1" a="1"/>
  <c r="B22" i="19" s="1"/>
  <c r="B10" i="16"/>
  <c r="C8" i="28" s="1" a="1"/>
  <c r="C8" i="28" s="1"/>
  <c r="B11" i="16"/>
  <c r="C9" i="28" s="1" a="1"/>
  <c r="C9" i="28" s="1"/>
  <c r="B12" i="16"/>
  <c r="C10" i="28" s="1" a="1"/>
  <c r="C10" i="28" s="1"/>
  <c r="B13" i="16"/>
  <c r="C11" i="28" s="1" a="1"/>
  <c r="C11" i="28" s="1"/>
  <c r="B14" i="16"/>
  <c r="C12" i="28" s="1" a="1"/>
  <c r="C12" i="28" s="1"/>
  <c r="B15" i="16"/>
  <c r="C13" i="28" s="1" a="1"/>
  <c r="C13" i="28" s="1"/>
  <c r="B16" i="16"/>
  <c r="C14" i="28" s="1" a="1"/>
  <c r="C14" i="28" s="1"/>
  <c r="B17" i="16"/>
  <c r="C15" i="28" s="1" a="1"/>
  <c r="C15" i="28" s="1"/>
  <c r="B8" i="16"/>
  <c r="K52" i="21" l="1" a="1"/>
  <c r="K52" i="21" s="1"/>
  <c r="J52" i="21" a="1"/>
  <c r="J52" i="21" s="1"/>
  <c r="D52" i="21" a="1"/>
  <c r="D52" i="21" s="1"/>
  <c r="I52" i="21" a="1"/>
  <c r="I52" i="21" s="1"/>
  <c r="F52" i="21" a="1"/>
  <c r="F52" i="21" s="1"/>
  <c r="H52" i="21" a="1"/>
  <c r="H52" i="21" s="1"/>
  <c r="G52" i="21" a="1"/>
  <c r="G52" i="21" s="1"/>
  <c r="E52" i="21" a="1"/>
  <c r="E52" i="21" s="1"/>
  <c r="O52" i="21" a="1"/>
  <c r="O52" i="21" s="1"/>
  <c r="N52" i="21" a="1"/>
  <c r="N52" i="21" s="1"/>
  <c r="L52" i="21" a="1"/>
  <c r="L52" i="21" s="1"/>
  <c r="M52" i="21" a="1"/>
  <c r="M52" i="21" s="1"/>
  <c r="B6" i="18" a="1"/>
  <c r="B6" i="18" s="1"/>
  <c r="C6" i="28" a="1"/>
  <c r="C6" i="28" s="1"/>
  <c r="A5" i="22" a="1"/>
  <c r="A5" i="22" s="1"/>
  <c r="A11" i="23" a="1"/>
  <c r="A11" i="23" s="1"/>
  <c r="A6" i="21" a="1"/>
  <c r="A6" i="21" s="1"/>
  <c r="A5" i="20" a="1"/>
  <c r="A5" i="20" s="1"/>
  <c r="E23" i="21" a="1"/>
  <c r="E23" i="21" s="1"/>
  <c r="J23" i="21" a="1"/>
  <c r="J23" i="21" s="1"/>
  <c r="K23" i="21" a="1"/>
  <c r="K23" i="21" s="1"/>
  <c r="D23" i="21" a="1"/>
  <c r="D23" i="21" s="1"/>
  <c r="N23" i="21" a="1"/>
  <c r="N23" i="21" s="1"/>
  <c r="L23" i="21" a="1"/>
  <c r="L23" i="21" s="1"/>
  <c r="G23" i="21" a="1"/>
  <c r="G23" i="21" s="1"/>
  <c r="H23" i="21" a="1"/>
  <c r="H23" i="21" s="1"/>
  <c r="I23" i="21" a="1"/>
  <c r="I23" i="21" s="1"/>
  <c r="M23" i="21" a="1"/>
  <c r="M23" i="21" s="1"/>
  <c r="F23" i="21" a="1"/>
  <c r="F23" i="21" s="1"/>
  <c r="F32" i="22" s="1" a="1"/>
  <c r="F32" i="22" s="1"/>
  <c r="O23" i="21" a="1"/>
  <c r="O23" i="21" s="1"/>
  <c r="M52" i="22" a="1"/>
  <c r="M52" i="22" s="1"/>
  <c r="D52" i="22" a="1"/>
  <c r="D52" i="22" s="1"/>
  <c r="V54" i="22"/>
  <c r="AA14" i="23" a="1"/>
  <c r="AA14" i="23" s="1"/>
  <c r="M40" i="21"/>
  <c r="M45" i="21"/>
  <c r="N20" i="21" a="1"/>
  <c r="N20" i="21" s="1"/>
  <c r="N31" i="21" s="1"/>
  <c r="E52" i="22" a="1"/>
  <c r="E52" i="22" s="1"/>
  <c r="N40" i="21"/>
  <c r="N45" i="21"/>
  <c r="A20" i="21" a="1"/>
  <c r="A20" i="21" s="1"/>
  <c r="D20" i="21" a="1"/>
  <c r="D20" i="21" s="1"/>
  <c r="D31" i="21" s="1"/>
  <c r="U25" i="21"/>
  <c r="O21" i="21" a="1"/>
  <c r="O21" i="21" s="1"/>
  <c r="N21" i="21" a="1"/>
  <c r="N21" i="21" s="1"/>
  <c r="E21" i="21" a="1"/>
  <c r="E21" i="21" s="1"/>
  <c r="M21" i="21" a="1"/>
  <c r="M21" i="21" s="1"/>
  <c r="L21" i="21" a="1"/>
  <c r="L21" i="21" s="1"/>
  <c r="K21" i="21" a="1"/>
  <c r="K21" i="21" s="1"/>
  <c r="J21" i="21" a="1"/>
  <c r="J21" i="21" s="1"/>
  <c r="I21" i="21" a="1"/>
  <c r="I21" i="21" s="1"/>
  <c r="G21" i="21" a="1"/>
  <c r="G21" i="21" s="1"/>
  <c r="F21" i="21" a="1"/>
  <c r="F21" i="21" s="1"/>
  <c r="D21" i="21" a="1"/>
  <c r="D21" i="21" s="1"/>
  <c r="H21" i="21" a="1"/>
  <c r="H21" i="21" s="1"/>
  <c r="O62" i="21" a="1"/>
  <c r="O62" i="21" s="1"/>
  <c r="O73" i="21" s="1"/>
  <c r="N62" i="21" a="1"/>
  <c r="N62" i="21" s="1"/>
  <c r="N73" i="21" s="1"/>
  <c r="M62" i="21" a="1"/>
  <c r="M62" i="21" s="1"/>
  <c r="M73" i="21" s="1"/>
  <c r="L62" i="21" a="1"/>
  <c r="L62" i="21" s="1"/>
  <c r="L73" i="21" s="1"/>
  <c r="K62" i="21" a="1"/>
  <c r="K62" i="21" s="1"/>
  <c r="K73" i="21" s="1"/>
  <c r="E62" i="21" a="1"/>
  <c r="E62" i="21" s="1"/>
  <c r="E73" i="21" s="1"/>
  <c r="J62" i="21" a="1"/>
  <c r="J62" i="21" s="1"/>
  <c r="J73" i="21" s="1"/>
  <c r="I62" i="21" a="1"/>
  <c r="I62" i="21" s="1"/>
  <c r="I73" i="21" s="1"/>
  <c r="H62" i="21" a="1"/>
  <c r="H62" i="21" s="1"/>
  <c r="H73" i="21" s="1"/>
  <c r="G62" i="21" a="1"/>
  <c r="G62" i="21" s="1"/>
  <c r="G73" i="21" s="1"/>
  <c r="F62" i="21" a="1"/>
  <c r="F62" i="21" s="1"/>
  <c r="F73" i="21" s="1"/>
  <c r="D62" i="21" a="1"/>
  <c r="D62" i="21" s="1"/>
  <c r="D73" i="21" s="1"/>
  <c r="U76" i="21"/>
  <c r="O35" i="21" a="1"/>
  <c r="O35" i="21" s="1"/>
  <c r="N35" i="21" a="1"/>
  <c r="N35" i="21" s="1"/>
  <c r="M35" i="21" a="1"/>
  <c r="M35" i="21" s="1"/>
  <c r="H35" i="21" a="1"/>
  <c r="H35" i="21" s="1"/>
  <c r="L35" i="21" a="1"/>
  <c r="L35" i="21" s="1"/>
  <c r="K35" i="21" a="1"/>
  <c r="K35" i="21" s="1"/>
  <c r="J35" i="21" a="1"/>
  <c r="J35" i="21" s="1"/>
  <c r="I35" i="21" a="1"/>
  <c r="I35" i="21" s="1"/>
  <c r="G35" i="21" a="1"/>
  <c r="G35" i="21" s="1"/>
  <c r="F35" i="21" a="1"/>
  <c r="F35" i="21" s="1"/>
  <c r="E35" i="21" a="1"/>
  <c r="E35" i="21" s="1"/>
  <c r="D35" i="21" a="1"/>
  <c r="D35" i="21" s="1"/>
  <c r="D54" i="22" s="1" a="1"/>
  <c r="D54" i="22" s="1"/>
  <c r="D72" i="22" s="1"/>
  <c r="D45" i="21"/>
  <c r="D40" i="21"/>
  <c r="L128" i="19"/>
  <c r="L98" i="19"/>
  <c r="L113" i="19"/>
  <c r="E29" i="22" a="1"/>
  <c r="E29" i="22" s="1"/>
  <c r="N52" i="22" a="1"/>
  <c r="N52" i="22" s="1"/>
  <c r="O49" i="21" a="1"/>
  <c r="O49" i="21" s="1"/>
  <c r="M49" i="21" a="1"/>
  <c r="M49" i="21" s="1"/>
  <c r="E49" i="21" a="1"/>
  <c r="E49" i="21" s="1"/>
  <c r="L49" i="21" a="1"/>
  <c r="L49" i="21" s="1"/>
  <c r="H49" i="21" a="1"/>
  <c r="H49" i="21" s="1"/>
  <c r="K49" i="21" a="1"/>
  <c r="K49" i="21" s="1"/>
  <c r="J49" i="21" a="1"/>
  <c r="J49" i="21" s="1"/>
  <c r="I49" i="21" a="1"/>
  <c r="I49" i="21" s="1"/>
  <c r="G49" i="21" a="1"/>
  <c r="G49" i="21" s="1"/>
  <c r="F49" i="21" a="1"/>
  <c r="F49" i="21" s="1"/>
  <c r="D49" i="21" a="1"/>
  <c r="D49" i="21" s="1"/>
  <c r="N49" i="21" a="1"/>
  <c r="N49" i="21" s="1"/>
  <c r="K64" i="21" a="1"/>
  <c r="K64" i="21" s="1"/>
  <c r="M64" i="21" a="1"/>
  <c r="M64" i="21" s="1"/>
  <c r="G64" i="21" a="1"/>
  <c r="G64" i="21" s="1"/>
  <c r="D64" i="21" a="1"/>
  <c r="D64" i="21" s="1"/>
  <c r="H64" i="21" a="1"/>
  <c r="H64" i="21" s="1"/>
  <c r="L64" i="21" a="1"/>
  <c r="L64" i="21" s="1"/>
  <c r="F64" i="21" a="1"/>
  <c r="F64" i="21" s="1"/>
  <c r="N64" i="21" a="1"/>
  <c r="N64" i="21" s="1"/>
  <c r="E64" i="21" a="1"/>
  <c r="E64" i="21" s="1"/>
  <c r="J64" i="21" a="1"/>
  <c r="J64" i="21" s="1"/>
  <c r="O64" i="21" a="1"/>
  <c r="O64" i="21" s="1"/>
  <c r="I64" i="21" a="1"/>
  <c r="I64" i="21" s="1"/>
  <c r="F45" i="21"/>
  <c r="F40" i="21"/>
  <c r="E20" i="21" a="1"/>
  <c r="E20" i="21" s="1"/>
  <c r="E31" i="21" s="1"/>
  <c r="A29" i="20" a="1"/>
  <c r="A29" i="20" s="1"/>
  <c r="N128" i="19"/>
  <c r="N98" i="19"/>
  <c r="N113" i="19"/>
  <c r="J52" i="22" a="1"/>
  <c r="J52" i="22" s="1"/>
  <c r="HT15" i="23"/>
  <c r="HT16" i="23" s="1"/>
  <c r="HT17" i="23" s="1"/>
  <c r="G45" i="21"/>
  <c r="G40" i="21"/>
  <c r="G20" i="21" a="1"/>
  <c r="G20" i="21" s="1"/>
  <c r="G31" i="21" s="1"/>
  <c r="HW14" i="23"/>
  <c r="AL13" i="23" a="1"/>
  <c r="AL13" i="23" s="1"/>
  <c r="V13" i="23" a="1"/>
  <c r="V13" i="23" s="1"/>
  <c r="BB13" i="23" a="1"/>
  <c r="BB13" i="23" s="1"/>
  <c r="E45" i="21"/>
  <c r="E40" i="21"/>
  <c r="H13" i="23" a="1"/>
  <c r="H13" i="23" s="1"/>
  <c r="G13" i="23" a="1"/>
  <c r="G13" i="23" s="1"/>
  <c r="F13" i="23" a="1"/>
  <c r="F13" i="23" s="1"/>
  <c r="E13" i="23" a="1"/>
  <c r="E13" i="23" s="1"/>
  <c r="D13" i="23" a="1"/>
  <c r="D13" i="23" s="1"/>
  <c r="HH14" i="23"/>
  <c r="C13" i="23" a="1"/>
  <c r="C13" i="23" s="1"/>
  <c r="B13" i="23" a="1"/>
  <c r="B13" i="23" s="1"/>
  <c r="A13" i="23" a="1"/>
  <c r="A13" i="23" s="1"/>
  <c r="J13" i="23" a="1"/>
  <c r="J13" i="23" s="1"/>
  <c r="I20" i="21" a="1"/>
  <c r="I20" i="21" s="1"/>
  <c r="I31" i="21" s="1"/>
  <c r="C47" i="20" a="1"/>
  <c r="C47" i="20" s="1"/>
  <c r="C48" i="20" a="1"/>
  <c r="C48" i="20" s="1"/>
  <c r="C41" i="20" a="1"/>
  <c r="C41" i="20" s="1"/>
  <c r="A41" i="20" a="1"/>
  <c r="A41" i="20" s="1"/>
  <c r="S53" i="20"/>
  <c r="F6" i="21" a="1"/>
  <c r="F6" i="21" s="1"/>
  <c r="A34" i="21" a="1"/>
  <c r="A34" i="21" s="1"/>
  <c r="M59" i="22" a="1"/>
  <c r="M59" i="22" s="1"/>
  <c r="F59" i="22" a="1"/>
  <c r="F59" i="22" s="1"/>
  <c r="J59" i="22" a="1"/>
  <c r="J59" i="22" s="1"/>
  <c r="Z74" i="22"/>
  <c r="O59" i="22" a="1"/>
  <c r="O59" i="22" s="1"/>
  <c r="N59" i="22" a="1"/>
  <c r="N59" i="22" s="1"/>
  <c r="K59" i="22" a="1"/>
  <c r="K59" i="22" s="1"/>
  <c r="G59" i="22" a="1"/>
  <c r="G59" i="22" s="1"/>
  <c r="I40" i="21"/>
  <c r="I45" i="21"/>
  <c r="J20" i="21" a="1"/>
  <c r="J20" i="21" s="1"/>
  <c r="J31" i="21" s="1"/>
  <c r="O45" i="21"/>
  <c r="O40" i="21"/>
  <c r="N24" i="21" a="1"/>
  <c r="N24" i="21" s="1"/>
  <c r="J24" i="21" a="1"/>
  <c r="J24" i="21" s="1"/>
  <c r="H24" i="21" a="1"/>
  <c r="H24" i="21" s="1"/>
  <c r="M24" i="21" a="1"/>
  <c r="M24" i="21" s="1"/>
  <c r="E24" i="21" a="1"/>
  <c r="E24" i="21" s="1"/>
  <c r="I24" i="21" a="1"/>
  <c r="I24" i="21" s="1"/>
  <c r="D24" i="21" a="1"/>
  <c r="D24" i="21" s="1"/>
  <c r="K24" i="21" a="1"/>
  <c r="K24" i="21" s="1"/>
  <c r="G24" i="21" a="1"/>
  <c r="G24" i="21" s="1"/>
  <c r="F24" i="21" a="1"/>
  <c r="F24" i="21" s="1"/>
  <c r="L24" i="21" a="1"/>
  <c r="L24" i="21" s="1"/>
  <c r="O24" i="21" a="1"/>
  <c r="O24" i="21" s="1"/>
  <c r="M38" i="21" a="1"/>
  <c r="M38" i="21" s="1"/>
  <c r="G38" i="21" a="1"/>
  <c r="G38" i="21" s="1"/>
  <c r="L38" i="21" a="1"/>
  <c r="L38" i="21" s="1"/>
  <c r="F38" i="21" a="1"/>
  <c r="F38" i="21" s="1"/>
  <c r="K38" i="21" a="1"/>
  <c r="K38" i="21" s="1"/>
  <c r="E38" i="21" a="1"/>
  <c r="E38" i="21" s="1"/>
  <c r="J38" i="21" a="1"/>
  <c r="J38" i="21" s="1"/>
  <c r="O38" i="21" a="1"/>
  <c r="O38" i="21" s="1"/>
  <c r="I38" i="21" a="1"/>
  <c r="I38" i="21" s="1"/>
  <c r="N38" i="21" a="1"/>
  <c r="N38" i="21" s="1"/>
  <c r="H38" i="21" a="1"/>
  <c r="H38" i="21" s="1"/>
  <c r="O63" i="21" a="1"/>
  <c r="O63" i="21" s="1"/>
  <c r="N63" i="21" a="1"/>
  <c r="N63" i="21" s="1"/>
  <c r="M63" i="21" a="1"/>
  <c r="M63" i="21" s="1"/>
  <c r="L63" i="21" a="1"/>
  <c r="L63" i="21" s="1"/>
  <c r="K63" i="21" a="1"/>
  <c r="K63" i="21" s="1"/>
  <c r="J63" i="21" a="1"/>
  <c r="J63" i="21" s="1"/>
  <c r="I63" i="21" a="1"/>
  <c r="I63" i="21" s="1"/>
  <c r="H63" i="21" a="1"/>
  <c r="H63" i="21" s="1"/>
  <c r="G63" i="21" a="1"/>
  <c r="G63" i="21" s="1"/>
  <c r="E63" i="21" a="1"/>
  <c r="E63" i="21" s="1"/>
  <c r="F63" i="21" a="1"/>
  <c r="F63" i="21" s="1"/>
  <c r="F74" i="21" s="1"/>
  <c r="D63" i="21" a="1"/>
  <c r="D63" i="21" s="1"/>
  <c r="BB11" i="23" a="1"/>
  <c r="BB11" i="23" s="1"/>
  <c r="BB12" i="23" a="1"/>
  <c r="BB12" i="23" s="1"/>
  <c r="B51" i="22" a="1"/>
  <c r="B51" i="22" s="1"/>
  <c r="R74" i="22"/>
  <c r="H45" i="21"/>
  <c r="H40" i="21"/>
  <c r="B34" i="21" a="1"/>
  <c r="B34" i="21" s="1"/>
  <c r="R48" i="21"/>
  <c r="K20" i="21" a="1"/>
  <c r="K20" i="21" s="1"/>
  <c r="K31" i="21" s="1"/>
  <c r="C7" i="28" a="1"/>
  <c r="C7" i="28" s="1"/>
  <c r="A17" i="20" a="1"/>
  <c r="A17" i="20" s="1"/>
  <c r="H22" i="21" a="1"/>
  <c r="H22" i="21" s="1"/>
  <c r="H30" i="22" s="1" a="1"/>
  <c r="H30" i="22" s="1"/>
  <c r="N22" i="21" a="1"/>
  <c r="N22" i="21" s="1"/>
  <c r="N30" i="22" s="1" a="1"/>
  <c r="N30" i="22" s="1"/>
  <c r="D22" i="21" a="1"/>
  <c r="D22" i="21" s="1"/>
  <c r="D30" i="22" s="1" a="1"/>
  <c r="D30" i="22" s="1"/>
  <c r="I22" i="21" a="1"/>
  <c r="I22" i="21" s="1"/>
  <c r="I30" i="22" s="1" a="1"/>
  <c r="I30" i="22" s="1"/>
  <c r="M22" i="21" a="1"/>
  <c r="M22" i="21" s="1"/>
  <c r="M30" i="22" s="1" a="1"/>
  <c r="M30" i="22" s="1"/>
  <c r="J22" i="21" a="1"/>
  <c r="J22" i="21" s="1"/>
  <c r="J30" i="22" s="1" a="1"/>
  <c r="J30" i="22" s="1"/>
  <c r="E22" i="21" a="1"/>
  <c r="E22" i="21" s="1"/>
  <c r="K22" i="21" a="1"/>
  <c r="K22" i="21" s="1"/>
  <c r="K30" i="22" s="1" a="1"/>
  <c r="K30" i="22" s="1"/>
  <c r="F22" i="21" a="1"/>
  <c r="F22" i="21" s="1"/>
  <c r="F30" i="22" s="1" a="1"/>
  <c r="F30" i="22" s="1"/>
  <c r="L22" i="21" a="1"/>
  <c r="L22" i="21" s="1"/>
  <c r="L30" i="22" s="1" a="1"/>
  <c r="L30" i="22" s="1"/>
  <c r="O22" i="21" a="1"/>
  <c r="O22" i="21" s="1"/>
  <c r="G22" i="21" a="1"/>
  <c r="G22" i="21" s="1"/>
  <c r="G30" i="22" s="1" a="1"/>
  <c r="G30" i="22" s="1"/>
  <c r="H36" i="21" a="1"/>
  <c r="H36" i="21" s="1"/>
  <c r="M36" i="21" a="1"/>
  <c r="M36" i="21" s="1"/>
  <c r="G36" i="21" a="1"/>
  <c r="G36" i="21" s="1"/>
  <c r="J36" i="21" a="1"/>
  <c r="J36" i="21" s="1"/>
  <c r="E36" i="21" a="1"/>
  <c r="E36" i="21" s="1"/>
  <c r="L36" i="21" a="1"/>
  <c r="L36" i="21" s="1"/>
  <c r="F36" i="21" a="1"/>
  <c r="F36" i="21" s="1"/>
  <c r="K36" i="21" a="1"/>
  <c r="K36" i="21" s="1"/>
  <c r="O36" i="21" a="1"/>
  <c r="O36" i="21" s="1"/>
  <c r="I36" i="21" a="1"/>
  <c r="I36" i="21" s="1"/>
  <c r="N36" i="21" a="1"/>
  <c r="N36" i="21" s="1"/>
  <c r="K50" i="21" a="1"/>
  <c r="K50" i="21" s="1"/>
  <c r="F50" i="21" a="1"/>
  <c r="F50" i="21" s="1"/>
  <c r="J50" i="21" a="1"/>
  <c r="J50" i="21" s="1"/>
  <c r="I50" i="21" a="1"/>
  <c r="I50" i="21" s="1"/>
  <c r="L50" i="21" a="1"/>
  <c r="L50" i="21" s="1"/>
  <c r="H50" i="21" a="1"/>
  <c r="H50" i="21" s="1"/>
  <c r="G50" i="21" a="1"/>
  <c r="G50" i="21" s="1"/>
  <c r="E50" i="21" a="1"/>
  <c r="E50" i="21" s="1"/>
  <c r="D50" i="21" a="1"/>
  <c r="D50" i="21" s="1"/>
  <c r="O50" i="21" a="1"/>
  <c r="O50" i="21" s="1"/>
  <c r="N50" i="21" a="1"/>
  <c r="N50" i="21" s="1"/>
  <c r="M50" i="21" a="1"/>
  <c r="M50" i="21" s="1"/>
  <c r="M66" i="21" a="1"/>
  <c r="M66" i="21" s="1"/>
  <c r="G66" i="21" a="1"/>
  <c r="G66" i="21" s="1"/>
  <c r="D66" i="21" a="1"/>
  <c r="D66" i="21" s="1"/>
  <c r="L66" i="21" a="1"/>
  <c r="L66" i="21" s="1"/>
  <c r="F66" i="21" a="1"/>
  <c r="F66" i="21" s="1"/>
  <c r="K66" i="21" a="1"/>
  <c r="K66" i="21" s="1"/>
  <c r="E66" i="21" a="1"/>
  <c r="E66" i="21" s="1"/>
  <c r="J66" i="21" a="1"/>
  <c r="J66" i="21" s="1"/>
  <c r="O66" i="21" a="1"/>
  <c r="O66" i="21" s="1"/>
  <c r="I66" i="21" a="1"/>
  <c r="I66" i="21" s="1"/>
  <c r="N66" i="21" a="1"/>
  <c r="N66" i="21" s="1"/>
  <c r="H66" i="21" a="1"/>
  <c r="H66" i="21" s="1"/>
  <c r="A28" i="22" a="1"/>
  <c r="A28" i="22" s="1"/>
  <c r="J40" i="21"/>
  <c r="J45" i="21"/>
  <c r="H20" i="21" a="1"/>
  <c r="H20" i="21" s="1"/>
  <c r="H31" i="21" s="1"/>
  <c r="V56" i="22"/>
  <c r="V53" i="22"/>
  <c r="V75" i="22"/>
  <c r="K52" i="22" a="1"/>
  <c r="K52" i="22" s="1"/>
  <c r="K70" i="22" s="1"/>
  <c r="O52" i="22" a="1"/>
  <c r="O52" i="22" s="1"/>
  <c r="A12" i="23" a="1"/>
  <c r="A12" i="23" s="1"/>
  <c r="L40" i="21"/>
  <c r="L45" i="21"/>
  <c r="L20" i="21" a="1"/>
  <c r="L20" i="21" s="1"/>
  <c r="L31" i="21" s="1"/>
  <c r="HU15" i="23"/>
  <c r="G52" i="22" a="1"/>
  <c r="G52" i="22" s="1"/>
  <c r="H52" i="22" a="1"/>
  <c r="H52" i="22" s="1"/>
  <c r="A51" i="22" a="1"/>
  <c r="A51" i="22" s="1"/>
  <c r="K40" i="21"/>
  <c r="K45" i="21"/>
  <c r="M20" i="21" a="1"/>
  <c r="M20" i="21" s="1"/>
  <c r="M31" i="21" s="1"/>
  <c r="W46" i="24"/>
  <c r="C45" i="24" a="1"/>
  <c r="C45" i="24" s="1"/>
  <c r="D7" i="21" a="1"/>
  <c r="D7" i="21" s="1"/>
  <c r="D8" i="22" s="1" a="1"/>
  <c r="D8" i="22" s="1"/>
  <c r="D26" i="22" s="1"/>
  <c r="D13" i="24" a="1"/>
  <c r="D13" i="24" s="1"/>
  <c r="D14" i="24" a="1"/>
  <c r="D14" i="24" s="1"/>
  <c r="D17" i="24" a="1"/>
  <c r="D17" i="24" s="1"/>
  <c r="D19" i="24" a="1"/>
  <c r="D19" i="24" s="1"/>
  <c r="D12" i="24" a="1"/>
  <c r="D12" i="24" s="1"/>
  <c r="D15" i="24" a="1"/>
  <c r="D15" i="24" s="1"/>
  <c r="D16" i="24" a="1"/>
  <c r="D16" i="24" s="1"/>
  <c r="D20" i="24" a="1"/>
  <c r="D20" i="24" s="1"/>
  <c r="D18" i="24" a="1"/>
  <c r="D18" i="24" s="1"/>
  <c r="U46" i="24"/>
  <c r="B45" i="24" a="1"/>
  <c r="B45" i="24" s="1"/>
  <c r="E70" i="22"/>
  <c r="O70" i="22"/>
  <c r="H70" i="22"/>
  <c r="N70" i="22"/>
  <c r="D70" i="22"/>
  <c r="J70" i="22"/>
  <c r="L70" i="22"/>
  <c r="F70" i="22"/>
  <c r="G70" i="22"/>
  <c r="M70" i="22"/>
  <c r="I70" i="22"/>
  <c r="AA30" i="18"/>
  <c r="H18" i="21"/>
  <c r="P31" i="19" a="1"/>
  <c r="P31" i="19" s="1"/>
  <c r="H9" i="16"/>
  <c r="C19" i="20" a="1"/>
  <c r="C19" i="20" s="1"/>
  <c r="Q19" i="23" a="1"/>
  <c r="Q19" i="23" s="1"/>
  <c r="AG19" i="23" a="1"/>
  <c r="AG19" i="23" s="1"/>
  <c r="AG13" i="23" a="1"/>
  <c r="AG13" i="23" s="1"/>
  <c r="AM13" i="23" a="1"/>
  <c r="AM13" i="23" s="1"/>
  <c r="BM13" i="23" a="1"/>
  <c r="BM13" i="23" s="1"/>
  <c r="AW19" i="23" a="1"/>
  <c r="AW19" i="23" s="1"/>
  <c r="Q20" i="23" a="1"/>
  <c r="Q20" i="23" s="1"/>
  <c r="W12" i="23" a="1"/>
  <c r="W12" i="23" s="1"/>
  <c r="D8" i="21" a="1"/>
  <c r="D8" i="21" s="1"/>
  <c r="D7" i="22" s="1" a="1"/>
  <c r="D7" i="22" s="1"/>
  <c r="Q11" i="23" a="1"/>
  <c r="Q11" i="23" s="1"/>
  <c r="W11" i="23" a="1"/>
  <c r="W11" i="23" s="1"/>
  <c r="W14" i="23" a="1"/>
  <c r="W14" i="23" s="1"/>
  <c r="Q14" i="23" a="1"/>
  <c r="Q14" i="23" s="1"/>
  <c r="AG20" i="23" a="1"/>
  <c r="AG20" i="23" s="1"/>
  <c r="AG11" i="23" a="1"/>
  <c r="AG11" i="23" s="1"/>
  <c r="AW17" i="23" a="1"/>
  <c r="AW17" i="23" s="1"/>
  <c r="AG15" i="23" a="1"/>
  <c r="AG15" i="23" s="1"/>
  <c r="AM14" i="23" a="1"/>
  <c r="AM14" i="23" s="1"/>
  <c r="AG14" i="23" a="1"/>
  <c r="AG14" i="23" s="1"/>
  <c r="BM15" i="23" a="1"/>
  <c r="BM15" i="23" s="1"/>
  <c r="Q18" i="23" a="1"/>
  <c r="Q18" i="23" s="1"/>
  <c r="AW20" i="23" a="1"/>
  <c r="AW20" i="23" s="1"/>
  <c r="K13" i="21"/>
  <c r="BC13" i="23" a="1"/>
  <c r="BC13" i="23" s="1"/>
  <c r="AW13" i="23" a="1"/>
  <c r="AW13" i="23" s="1"/>
  <c r="BC14" i="23" a="1"/>
  <c r="BC14" i="23" s="1"/>
  <c r="AW14" i="23" a="1"/>
  <c r="AW14" i="23" s="1"/>
  <c r="AG18" i="23" a="1"/>
  <c r="AG18" i="23" s="1"/>
  <c r="BM20" i="23" a="1"/>
  <c r="BM20" i="23" s="1"/>
  <c r="E30" i="22" a="1"/>
  <c r="E30" i="22" s="1"/>
  <c r="AG12" i="23" a="1"/>
  <c r="AG12" i="23" s="1"/>
  <c r="BM14" i="23" a="1"/>
  <c r="BM14" i="23" s="1"/>
  <c r="AW18" i="23" a="1"/>
  <c r="AW18" i="23" s="1"/>
  <c r="AM11" i="23" a="1"/>
  <c r="AM11" i="23" s="1"/>
  <c r="W13" i="23" a="1"/>
  <c r="W13" i="23" s="1"/>
  <c r="Q13" i="23" a="1"/>
  <c r="Q13" i="23" s="1"/>
  <c r="AG17" i="23" a="1"/>
  <c r="AG17" i="23" s="1"/>
  <c r="BM18" i="23" a="1"/>
  <c r="BM18" i="23" s="1"/>
  <c r="H13" i="21"/>
  <c r="Q12" i="23" a="1"/>
  <c r="Q12" i="23" s="1"/>
  <c r="BC12" i="23" a="1"/>
  <c r="BC12" i="23" s="1"/>
  <c r="AQ11" i="23" a="1"/>
  <c r="AQ11" i="23" s="1"/>
  <c r="AW12" i="23" a="1"/>
  <c r="AW12" i="23" s="1"/>
  <c r="BC11" i="23" a="1"/>
  <c r="BC11" i="23" s="1"/>
  <c r="AQ12" i="23" a="1"/>
  <c r="AQ12" i="23" s="1"/>
  <c r="AW11" i="23" a="1"/>
  <c r="AW11" i="23" s="1"/>
  <c r="P23" i="19" a="1"/>
  <c r="P23" i="19" s="1"/>
  <c r="I12" i="23" s="1" a="1"/>
  <c r="I12" i="23" s="1"/>
  <c r="BG25" i="23"/>
  <c r="BG6" i="23" a="1"/>
  <c r="BG6" i="23" s="1"/>
  <c r="AQ6" i="23" a="1"/>
  <c r="AQ6" i="23" s="1"/>
  <c r="N7" i="19"/>
  <c r="N52" i="19"/>
  <c r="M7" i="19"/>
  <c r="M52" i="19"/>
  <c r="L8" i="19"/>
  <c r="L53" i="19"/>
  <c r="N8" i="19"/>
  <c r="N53" i="19"/>
  <c r="L7" i="19"/>
  <c r="L52" i="19"/>
  <c r="K8" i="22" a="1"/>
  <c r="K8" i="22" s="1"/>
  <c r="K26" i="22" s="1"/>
  <c r="F17" i="21"/>
  <c r="F6" i="22" a="1"/>
  <c r="F6" i="22" s="1"/>
  <c r="E8" i="22" a="1"/>
  <c r="E8" i="22" s="1"/>
  <c r="E26" i="22" s="1"/>
  <c r="O6" i="22" a="1"/>
  <c r="O6" i="22" s="1"/>
  <c r="L60" i="22" a="1"/>
  <c r="L60" i="22" s="1"/>
  <c r="H60" i="22" a="1"/>
  <c r="H60" i="22" s="1"/>
  <c r="D60" i="22" a="1"/>
  <c r="D60" i="22" s="1"/>
  <c r="E60" i="22" a="1"/>
  <c r="E60" i="22" s="1"/>
  <c r="O60" i="22" a="1"/>
  <c r="O60" i="22" s="1"/>
  <c r="K60" i="22" a="1"/>
  <c r="K60" i="22" s="1"/>
  <c r="G60" i="22" a="1"/>
  <c r="G60" i="22" s="1"/>
  <c r="N60" i="22" a="1"/>
  <c r="N60" i="22" s="1"/>
  <c r="J60" i="22" a="1"/>
  <c r="J60" i="22" s="1"/>
  <c r="F60" i="22" a="1"/>
  <c r="F60" i="22" s="1"/>
  <c r="M60" i="22" a="1"/>
  <c r="M60" i="22" s="1"/>
  <c r="I60" i="22" a="1"/>
  <c r="I60" i="22" s="1"/>
  <c r="L61" i="22" a="1"/>
  <c r="L61" i="22" s="1"/>
  <c r="H61" i="22" a="1"/>
  <c r="H61" i="22" s="1"/>
  <c r="D61" i="22" a="1"/>
  <c r="D61" i="22" s="1"/>
  <c r="F61" i="22" a="1"/>
  <c r="F61" i="22" s="1"/>
  <c r="N61" i="22" a="1"/>
  <c r="N61" i="22" s="1"/>
  <c r="O61" i="22" a="1"/>
  <c r="O61" i="22" s="1"/>
  <c r="K61" i="22" a="1"/>
  <c r="K61" i="22" s="1"/>
  <c r="G61" i="22" a="1"/>
  <c r="G61" i="22" s="1"/>
  <c r="Z54" i="22"/>
  <c r="J61" i="22" a="1"/>
  <c r="J61" i="22" s="1"/>
  <c r="M61" i="22" a="1"/>
  <c r="M61" i="22" s="1"/>
  <c r="I61" i="22" a="1"/>
  <c r="I61" i="22" s="1"/>
  <c r="E61" i="22" a="1"/>
  <c r="E61" i="22" s="1"/>
  <c r="V55" i="22"/>
  <c r="V57" i="22"/>
  <c r="H37" i="22" a="1"/>
  <c r="H37" i="22" s="1"/>
  <c r="O37" i="22" a="1"/>
  <c r="O37" i="22" s="1"/>
  <c r="G37" i="22" a="1"/>
  <c r="G37" i="22" s="1"/>
  <c r="N37" i="22" a="1"/>
  <c r="N37" i="22" s="1"/>
  <c r="F37" i="22" a="1"/>
  <c r="F37" i="22" s="1"/>
  <c r="M37" i="22" a="1"/>
  <c r="M37" i="22" s="1"/>
  <c r="E37" i="22" a="1"/>
  <c r="E37" i="22" s="1"/>
  <c r="L37" i="22" a="1"/>
  <c r="L37" i="22" s="1"/>
  <c r="D37" i="22" a="1"/>
  <c r="D37" i="22" s="1"/>
  <c r="K37" i="22" a="1"/>
  <c r="K37" i="22" s="1"/>
  <c r="J37" i="22" a="1"/>
  <c r="J37" i="22" s="1"/>
  <c r="I37" i="22" a="1"/>
  <c r="I37" i="22" s="1"/>
  <c r="I16" i="22" a="1"/>
  <c r="I16" i="22" s="1"/>
  <c r="J16" i="22" a="1"/>
  <c r="J16" i="22" s="1"/>
  <c r="G16" i="22" a="1"/>
  <c r="G16" i="22" s="1"/>
  <c r="K16" i="22" a="1"/>
  <c r="K16" i="22" s="1"/>
  <c r="O16" i="22" a="1"/>
  <c r="O16" i="22" s="1"/>
  <c r="L16" i="22" a="1"/>
  <c r="L16" i="22" s="1"/>
  <c r="E16" i="22" a="1"/>
  <c r="E16" i="22" s="1"/>
  <c r="M16" i="22" a="1"/>
  <c r="M16" i="22" s="1"/>
  <c r="F16" i="22" a="1"/>
  <c r="F16" i="22" s="1"/>
  <c r="N16" i="22" a="1"/>
  <c r="N16" i="22" s="1"/>
  <c r="H16" i="22" a="1"/>
  <c r="H16" i="22" s="1"/>
  <c r="P30" i="19"/>
  <c r="O30" i="22" a="1"/>
  <c r="O30" i="22" s="1"/>
  <c r="O22" i="19"/>
  <c r="O23" i="19" s="1"/>
  <c r="O24" i="19" s="1"/>
  <c r="P28" i="19" a="1"/>
  <c r="P28" i="19" s="1"/>
  <c r="U67" i="21"/>
  <c r="U65" i="21"/>
  <c r="U53" i="21"/>
  <c r="U51" i="21"/>
  <c r="I53" i="22" a="1"/>
  <c r="I53" i="22" s="1"/>
  <c r="L53" i="22" a="1"/>
  <c r="L53" i="22" s="1"/>
  <c r="O53" i="22" a="1"/>
  <c r="O53" i="22" s="1"/>
  <c r="K53" i="22" a="1"/>
  <c r="K53" i="22" s="1"/>
  <c r="G53" i="22" a="1"/>
  <c r="G53" i="22" s="1"/>
  <c r="E53" i="22" a="1"/>
  <c r="E53" i="22" s="1"/>
  <c r="H53" i="22" a="1"/>
  <c r="H53" i="22" s="1"/>
  <c r="U37" i="21"/>
  <c r="D37" i="21" s="1" a="1"/>
  <c r="D37" i="21" s="1"/>
  <c r="M53" i="22" a="1"/>
  <c r="M53" i="22" s="1"/>
  <c r="N53" i="22" a="1"/>
  <c r="N53" i="22" s="1"/>
  <c r="J53" i="22" a="1"/>
  <c r="J53" i="22" s="1"/>
  <c r="F53" i="22" a="1"/>
  <c r="F53" i="22" s="1"/>
  <c r="D53" i="22" a="1"/>
  <c r="D53" i="22" s="1"/>
  <c r="O54" i="22" a="1"/>
  <c r="O54" i="22" s="1"/>
  <c r="O72" i="22" s="1"/>
  <c r="J54" i="22" a="1"/>
  <c r="J54" i="22" s="1"/>
  <c r="J72" i="22" s="1"/>
  <c r="M54" i="22" a="1"/>
  <c r="M54" i="22" s="1"/>
  <c r="M72" i="22" s="1"/>
  <c r="I54" i="22" a="1"/>
  <c r="I54" i="22" s="1"/>
  <c r="I72" i="22" s="1"/>
  <c r="E54" i="22" a="1"/>
  <c r="E54" i="22" s="1"/>
  <c r="E72" i="22" s="1"/>
  <c r="K54" i="22" a="1"/>
  <c r="K54" i="22" s="1"/>
  <c r="K72" i="22" s="1"/>
  <c r="G54" i="22" a="1"/>
  <c r="G54" i="22" s="1"/>
  <c r="G72" i="22" s="1"/>
  <c r="F54" i="22" a="1"/>
  <c r="F54" i="22" s="1"/>
  <c r="F72" i="22" s="1"/>
  <c r="U39" i="21"/>
  <c r="L54" i="22" a="1"/>
  <c r="L54" i="22" s="1"/>
  <c r="L72" i="22" s="1"/>
  <c r="H54" i="22" a="1"/>
  <c r="H54" i="22" s="1"/>
  <c r="H72" i="22" s="1"/>
  <c r="N54" i="22" a="1"/>
  <c r="N54" i="22" s="1"/>
  <c r="N72" i="22" s="1"/>
  <c r="J17" i="21"/>
  <c r="N13" i="21"/>
  <c r="N18" i="21"/>
  <c r="M18" i="21"/>
  <c r="M13" i="21"/>
  <c r="H17" i="21"/>
  <c r="M17" i="21"/>
  <c r="N6" i="21" a="1"/>
  <c r="N6" i="21" s="1"/>
  <c r="N6" i="22" s="1" a="1"/>
  <c r="N6" i="22" s="1"/>
  <c r="E6" i="21" a="1"/>
  <c r="E6" i="21" s="1"/>
  <c r="E6" i="22" s="1" a="1"/>
  <c r="E6" i="22" s="1"/>
  <c r="D6" i="21" a="1"/>
  <c r="D6" i="21" s="1"/>
  <c r="D6" i="22" s="1" a="1"/>
  <c r="D6" i="22" s="1"/>
  <c r="E18" i="21"/>
  <c r="F13" i="21"/>
  <c r="F18" i="21"/>
  <c r="I6" i="21" a="1"/>
  <c r="I6" i="21" s="1"/>
  <c r="I6" i="22" s="1" a="1"/>
  <c r="I6" i="22" s="1"/>
  <c r="E9" i="21" a="1"/>
  <c r="E9" i="21" s="1"/>
  <c r="E9" i="22" s="1" a="1"/>
  <c r="E9" i="22" s="1"/>
  <c r="N9" i="21" a="1"/>
  <c r="N9" i="21" s="1"/>
  <c r="N9" i="22" s="1" a="1"/>
  <c r="N9" i="22" s="1"/>
  <c r="J9" i="21" a="1"/>
  <c r="J9" i="21" s="1"/>
  <c r="J9" i="22" s="1" a="1"/>
  <c r="J9" i="22" s="1"/>
  <c r="O9" i="21" a="1"/>
  <c r="O9" i="21" s="1"/>
  <c r="O9" i="22" s="1" a="1"/>
  <c r="O9" i="22" s="1"/>
  <c r="F9" i="21" a="1"/>
  <c r="F9" i="21" s="1"/>
  <c r="F9" i="22" s="1" a="1"/>
  <c r="F9" i="22" s="1"/>
  <c r="K9" i="21" a="1"/>
  <c r="K9" i="21" s="1"/>
  <c r="K9" i="22" s="1" a="1"/>
  <c r="K9" i="22" s="1"/>
  <c r="G9" i="21" a="1"/>
  <c r="G9" i="21" s="1"/>
  <c r="G9" i="22" s="1" a="1"/>
  <c r="G9" i="22" s="1"/>
  <c r="M9" i="21" a="1"/>
  <c r="M9" i="21" s="1"/>
  <c r="M9" i="22" s="1" a="1"/>
  <c r="M9" i="22" s="1"/>
  <c r="L9" i="21" a="1"/>
  <c r="L9" i="21" s="1"/>
  <c r="L9" i="22" s="1" a="1"/>
  <c r="L9" i="22" s="1"/>
  <c r="H9" i="21" a="1"/>
  <c r="H9" i="21" s="1"/>
  <c r="H9" i="22" s="1" a="1"/>
  <c r="H9" i="22" s="1"/>
  <c r="I9" i="21" a="1"/>
  <c r="I9" i="21" s="1"/>
  <c r="I9" i="22" s="1" a="1"/>
  <c r="I9" i="22" s="1"/>
  <c r="G6" i="21" a="1"/>
  <c r="G6" i="21" s="1"/>
  <c r="G6" i="22" s="1" a="1"/>
  <c r="G6" i="22" s="1"/>
  <c r="O18" i="21"/>
  <c r="O13" i="21"/>
  <c r="G18" i="21"/>
  <c r="K6" i="21" a="1"/>
  <c r="K6" i="21" s="1"/>
  <c r="K6" i="22" s="1" a="1"/>
  <c r="K6" i="22" s="1"/>
  <c r="L6" i="21" a="1"/>
  <c r="L6" i="21" s="1"/>
  <c r="L6" i="22" s="1" a="1"/>
  <c r="L6" i="22" s="1"/>
  <c r="J13" i="21"/>
  <c r="J18" i="21"/>
  <c r="N29" i="22" a="1"/>
  <c r="N29" i="22" s="1"/>
  <c r="J29" i="22" a="1"/>
  <c r="J29" i="22" s="1"/>
  <c r="F29" i="22" a="1"/>
  <c r="F29" i="22" s="1"/>
  <c r="L29" i="22" a="1"/>
  <c r="L29" i="22" s="1"/>
  <c r="H29" i="22" a="1"/>
  <c r="H29" i="22" s="1"/>
  <c r="D29" i="22" a="1"/>
  <c r="D29" i="22" s="1"/>
  <c r="O29" i="22" a="1"/>
  <c r="O29" i="22" s="1"/>
  <c r="K29" i="22" a="1"/>
  <c r="K29" i="22" s="1"/>
  <c r="G29" i="22" a="1"/>
  <c r="G29" i="22" s="1"/>
  <c r="M32" i="22" a="1"/>
  <c r="M32" i="22" s="1"/>
  <c r="I32" i="22" a="1"/>
  <c r="I32" i="22" s="1"/>
  <c r="E32" i="22" a="1"/>
  <c r="E32" i="22" s="1"/>
  <c r="L32" i="22" a="1"/>
  <c r="L32" i="22" s="1"/>
  <c r="H32" i="22" a="1"/>
  <c r="H32" i="22" s="1"/>
  <c r="D32" i="22" a="1"/>
  <c r="D32" i="22" s="1"/>
  <c r="D42" i="22" s="1"/>
  <c r="O32" i="22" a="1"/>
  <c r="O32" i="22" s="1"/>
  <c r="K32" i="22" a="1"/>
  <c r="K32" i="22" s="1"/>
  <c r="G32" i="22" a="1"/>
  <c r="G32" i="22" s="1"/>
  <c r="N32" i="22" a="1"/>
  <c r="N32" i="22" s="1"/>
  <c r="J32" i="22" a="1"/>
  <c r="J32" i="22" s="1"/>
  <c r="P32" i="19" a="1"/>
  <c r="P32" i="19" s="1"/>
  <c r="AE102" i="20"/>
  <c r="AE54" i="20"/>
  <c r="AE6" i="20"/>
  <c r="P29" i="19" a="1"/>
  <c r="P29" i="19" s="1"/>
  <c r="D37" i="19" a="1"/>
  <c r="D37" i="19" s="1"/>
  <c r="H37" i="19" a="1"/>
  <c r="H37" i="19" s="1"/>
  <c r="P48" i="19" s="1"/>
  <c r="E37" i="19" a="1"/>
  <c r="E37" i="19" s="1"/>
  <c r="P46" i="19" s="1" a="1"/>
  <c r="P46" i="19" s="1"/>
  <c r="B37" i="19" a="1"/>
  <c r="B37" i="19" s="1"/>
  <c r="I37" i="19" a="1"/>
  <c r="I37" i="19" s="1"/>
  <c r="BD52" i="19"/>
  <c r="F37" i="19" a="1"/>
  <c r="F37" i="19" s="1"/>
  <c r="Z1" i="19"/>
  <c r="AC1" i="19" s="1"/>
  <c r="AF1" i="19" s="1"/>
  <c r="O8" i="19"/>
  <c r="O9" i="19" s="1"/>
  <c r="B7" i="19" a="1"/>
  <c r="B7" i="19" s="1"/>
  <c r="B18" i="18" a="1"/>
  <c r="B18" i="18" s="1"/>
  <c r="N69" i="21" l="1"/>
  <c r="N74" i="21"/>
  <c r="N55" i="21"/>
  <c r="N60" i="21"/>
  <c r="O46" i="21"/>
  <c r="O41" i="21"/>
  <c r="K32" i="21"/>
  <c r="K27" i="21"/>
  <c r="K31" i="22" a="1"/>
  <c r="K31" i="22" s="1"/>
  <c r="K49" i="22" s="1"/>
  <c r="O74" i="21"/>
  <c r="O69" i="21"/>
  <c r="L27" i="21"/>
  <c r="L32" i="21"/>
  <c r="L31" i="22" a="1"/>
  <c r="L31" i="22" s="1"/>
  <c r="L49" i="22" s="1"/>
  <c r="H51" i="21" a="1"/>
  <c r="H51" i="21" s="1"/>
  <c r="G51" i="21" a="1"/>
  <c r="G51" i="21" s="1"/>
  <c r="K51" i="21" a="1"/>
  <c r="K51" i="21" s="1"/>
  <c r="F51" i="21" a="1"/>
  <c r="F51" i="21" s="1"/>
  <c r="E51" i="21" a="1"/>
  <c r="E51" i="21" s="1"/>
  <c r="D51" i="21" a="1"/>
  <c r="D51" i="21" s="1"/>
  <c r="J51" i="21" a="1"/>
  <c r="J51" i="21" s="1"/>
  <c r="L51" i="21" a="1"/>
  <c r="L51" i="21" s="1"/>
  <c r="I51" i="21" a="1"/>
  <c r="I51" i="21" s="1"/>
  <c r="M51" i="21" a="1"/>
  <c r="M51" i="21" s="1"/>
  <c r="N51" i="21" a="1"/>
  <c r="N51" i="21" s="1"/>
  <c r="O51" i="21" a="1"/>
  <c r="O51" i="21" s="1"/>
  <c r="BR11" i="23" a="1"/>
  <c r="BR11" i="23" s="1"/>
  <c r="BG13" i="23" a="1"/>
  <c r="BG13" i="23" s="1"/>
  <c r="BR12" i="23" a="1"/>
  <c r="BR12" i="23" s="1"/>
  <c r="BS15" i="23" a="1"/>
  <c r="BS15" i="23" s="1"/>
  <c r="BM19" i="23" a="1"/>
  <c r="BM19" i="23" s="1"/>
  <c r="BS13" i="23" a="1"/>
  <c r="BS13" i="23" s="1"/>
  <c r="D69" i="21"/>
  <c r="D74" i="21"/>
  <c r="M82" i="22" a="1"/>
  <c r="M82" i="22" s="1"/>
  <c r="F82" i="22" a="1"/>
  <c r="F82" i="22" s="1"/>
  <c r="J82" i="22" a="1"/>
  <c r="J82" i="22" s="1"/>
  <c r="Z97" i="22"/>
  <c r="O82" i="22" a="1"/>
  <c r="O82" i="22" s="1"/>
  <c r="N82" i="22" a="1"/>
  <c r="N82" i="22" s="1"/>
  <c r="K82" i="22" a="1"/>
  <c r="K82" i="22" s="1"/>
  <c r="G82" i="22" a="1"/>
  <c r="G82" i="22" s="1"/>
  <c r="Z76" i="22"/>
  <c r="D82" i="22" a="1"/>
  <c r="D82" i="22" s="1"/>
  <c r="H82" i="22" a="1"/>
  <c r="H82" i="22" s="1"/>
  <c r="L82" i="22" a="1"/>
  <c r="L82" i="22" s="1"/>
  <c r="Z75" i="22"/>
  <c r="E82" i="22" a="1"/>
  <c r="E82" i="22" s="1"/>
  <c r="I82" i="22" a="1"/>
  <c r="I82" i="22" s="1"/>
  <c r="F55" i="21"/>
  <c r="F60" i="21"/>
  <c r="E41" i="21"/>
  <c r="E46" i="21"/>
  <c r="M27" i="21"/>
  <c r="M32" i="21"/>
  <c r="M31" i="22" a="1"/>
  <c r="M31" i="22" s="1"/>
  <c r="M49" i="22" s="1"/>
  <c r="O53" i="21" a="1"/>
  <c r="O53" i="21" s="1"/>
  <c r="N53" i="21" a="1"/>
  <c r="N53" i="21" s="1"/>
  <c r="E53" i="21" a="1"/>
  <c r="E53" i="21" s="1"/>
  <c r="M53" i="21" a="1"/>
  <c r="M53" i="21" s="1"/>
  <c r="L53" i="21" a="1"/>
  <c r="L53" i="21" s="1"/>
  <c r="K53" i="21" a="1"/>
  <c r="K53" i="21" s="1"/>
  <c r="J53" i="21" a="1"/>
  <c r="J53" i="21" s="1"/>
  <c r="H53" i="21" a="1"/>
  <c r="H53" i="21" s="1"/>
  <c r="I53" i="21" a="1"/>
  <c r="I53" i="21" s="1"/>
  <c r="G53" i="21" a="1"/>
  <c r="G53" i="21" s="1"/>
  <c r="F53" i="21" a="1"/>
  <c r="F53" i="21" s="1"/>
  <c r="D53" i="21" a="1"/>
  <c r="D53" i="21" s="1"/>
  <c r="G55" i="21"/>
  <c r="G60" i="21"/>
  <c r="F46" i="21"/>
  <c r="F41" i="21"/>
  <c r="F42" i="21" s="1"/>
  <c r="E32" i="21"/>
  <c r="E27" i="21"/>
  <c r="E31" i="22" a="1"/>
  <c r="E31" i="22" s="1"/>
  <c r="E49" i="22" s="1"/>
  <c r="F65" i="21" a="1"/>
  <c r="F65" i="21" s="1"/>
  <c r="D65" i="21" a="1"/>
  <c r="D65" i="21" s="1"/>
  <c r="E65" i="21" a="1"/>
  <c r="E65" i="21" s="1"/>
  <c r="J65" i="21" a="1"/>
  <c r="J65" i="21" s="1"/>
  <c r="I65" i="21" a="1"/>
  <c r="I65" i="21" s="1"/>
  <c r="H65" i="21" a="1"/>
  <c r="H65" i="21" s="1"/>
  <c r="G65" i="21" a="1"/>
  <c r="G65" i="21" s="1"/>
  <c r="L65" i="21" a="1"/>
  <c r="L65" i="21" s="1"/>
  <c r="K65" i="21" a="1"/>
  <c r="K65" i="21" s="1"/>
  <c r="N65" i="21" a="1"/>
  <c r="N65" i="21" s="1"/>
  <c r="M65" i="21" a="1"/>
  <c r="M65" i="21" s="1"/>
  <c r="O65" i="21" a="1"/>
  <c r="O65" i="21" s="1"/>
  <c r="E74" i="21"/>
  <c r="E69" i="21"/>
  <c r="BR14" i="23" a="1"/>
  <c r="BR14" i="23" s="1"/>
  <c r="BB14" i="23" a="1"/>
  <c r="BB14" i="23" s="1"/>
  <c r="HW15" i="23"/>
  <c r="AL14" i="23" a="1"/>
  <c r="AL14" i="23" s="1"/>
  <c r="V14" i="23" a="1"/>
  <c r="V14" i="23" s="1"/>
  <c r="I60" i="21"/>
  <c r="I55" i="21"/>
  <c r="G46" i="21"/>
  <c r="G41" i="21"/>
  <c r="N27" i="21"/>
  <c r="N32" i="21"/>
  <c r="N31" i="22" a="1"/>
  <c r="N31" i="22" s="1"/>
  <c r="N49" i="22" s="1"/>
  <c r="O67" i="21" a="1"/>
  <c r="O67" i="21" s="1"/>
  <c r="N67" i="21" a="1"/>
  <c r="N67" i="21" s="1"/>
  <c r="M67" i="21" a="1"/>
  <c r="M67" i="21" s="1"/>
  <c r="K67" i="21" a="1"/>
  <c r="K67" i="21" s="1"/>
  <c r="L67" i="21" a="1"/>
  <c r="L67" i="21" s="1"/>
  <c r="J67" i="21" a="1"/>
  <c r="J67" i="21" s="1"/>
  <c r="H67" i="21" a="1"/>
  <c r="H67" i="21" s="1"/>
  <c r="I67" i="21" a="1"/>
  <c r="I67" i="21" s="1"/>
  <c r="G67" i="21" a="1"/>
  <c r="G67" i="21" s="1"/>
  <c r="F67" i="21" a="1"/>
  <c r="F67" i="21" s="1"/>
  <c r="E67" i="21" a="1"/>
  <c r="E67" i="21" s="1"/>
  <c r="D67" i="21" a="1"/>
  <c r="D67" i="21" s="1"/>
  <c r="G69" i="21"/>
  <c r="G74" i="21"/>
  <c r="J55" i="21"/>
  <c r="J60" i="21"/>
  <c r="I41" i="21"/>
  <c r="I46" i="21"/>
  <c r="U90" i="21"/>
  <c r="U78" i="21"/>
  <c r="U79" i="21" s="1"/>
  <c r="U77" i="21"/>
  <c r="U81" i="21" s="1"/>
  <c r="U80" i="21"/>
  <c r="O27" i="21"/>
  <c r="O32" i="21"/>
  <c r="O31" i="22" a="1"/>
  <c r="O31" i="22" s="1"/>
  <c r="O49" i="22" s="1"/>
  <c r="B48" i="21" a="1"/>
  <c r="B48" i="21" s="1"/>
  <c r="R62" i="21"/>
  <c r="A48" i="21" a="1"/>
  <c r="A48" i="21" s="1"/>
  <c r="H74" i="21"/>
  <c r="H69" i="21"/>
  <c r="J42" i="21"/>
  <c r="J43" i="21" s="1"/>
  <c r="BR13" i="23" a="1"/>
  <c r="BR13" i="23" s="1"/>
  <c r="K55" i="21"/>
  <c r="K60" i="21"/>
  <c r="J41" i="21"/>
  <c r="J46" i="21"/>
  <c r="H32" i="21"/>
  <c r="H27" i="21"/>
  <c r="H31" i="22" a="1"/>
  <c r="H31" i="22" s="1"/>
  <c r="H49" i="22" s="1"/>
  <c r="O25" i="21" a="1"/>
  <c r="O25" i="21" s="1"/>
  <c r="H25" i="21" a="1"/>
  <c r="H25" i="21" s="1"/>
  <c r="N25" i="21" a="1"/>
  <c r="N25" i="21" s="1"/>
  <c r="M25" i="21" a="1"/>
  <c r="M25" i="21" s="1"/>
  <c r="L25" i="21" a="1"/>
  <c r="L25" i="21" s="1"/>
  <c r="E25" i="21" a="1"/>
  <c r="E25" i="21" s="1"/>
  <c r="K25" i="21" a="1"/>
  <c r="K25" i="21" s="1"/>
  <c r="J25" i="21" a="1"/>
  <c r="J25" i="21" s="1"/>
  <c r="I25" i="21" a="1"/>
  <c r="I25" i="21" s="1"/>
  <c r="G25" i="21" a="1"/>
  <c r="G25" i="21" s="1"/>
  <c r="F25" i="21" a="1"/>
  <c r="F25" i="21" s="1"/>
  <c r="D25" i="21" a="1"/>
  <c r="D25" i="21" s="1"/>
  <c r="D41" i="21"/>
  <c r="D46" i="21"/>
  <c r="O39" i="21" a="1"/>
  <c r="O39" i="21" s="1"/>
  <c r="N39" i="21" a="1"/>
  <c r="N39" i="21" s="1"/>
  <c r="E39" i="21" a="1"/>
  <c r="E39" i="21" s="1"/>
  <c r="E42" i="21" s="1"/>
  <c r="M39" i="21" a="1"/>
  <c r="M39" i="21" s="1"/>
  <c r="M42" i="21" s="1"/>
  <c r="L39" i="21" a="1"/>
  <c r="L39" i="21" s="1"/>
  <c r="K39" i="21" a="1"/>
  <c r="K39" i="21" s="1"/>
  <c r="H39" i="21" a="1"/>
  <c r="H39" i="21" s="1"/>
  <c r="H42" i="21" s="1"/>
  <c r="J39" i="21" a="1"/>
  <c r="J39" i="21" s="1"/>
  <c r="I39" i="21" a="1"/>
  <c r="I39" i="21" s="1"/>
  <c r="G39" i="21" a="1"/>
  <c r="G39" i="21" s="1"/>
  <c r="F39" i="21" a="1"/>
  <c r="F39" i="21" s="1"/>
  <c r="D39" i="21" a="1"/>
  <c r="D39" i="21" s="1"/>
  <c r="HU16" i="23"/>
  <c r="HU17" i="23" s="1"/>
  <c r="BG15" i="23" a="1"/>
  <c r="BG15" i="23" s="1"/>
  <c r="AQ15" i="23" a="1"/>
  <c r="AQ15" i="23" s="1"/>
  <c r="AA15" i="23" a="1"/>
  <c r="AA15" i="23" s="1"/>
  <c r="K15" i="23" a="1"/>
  <c r="K15" i="23" s="1"/>
  <c r="BW15" i="23" a="1"/>
  <c r="BW15" i="23" s="1"/>
  <c r="V79" i="22"/>
  <c r="V76" i="22"/>
  <c r="V98" i="22"/>
  <c r="I75" i="22" a="1"/>
  <c r="I75" i="22" s="1"/>
  <c r="M75" i="22" a="1"/>
  <c r="M75" i="22" s="1"/>
  <c r="V77" i="22"/>
  <c r="F75" i="22" a="1"/>
  <c r="F75" i="22" s="1"/>
  <c r="J75" i="22" a="1"/>
  <c r="J75" i="22" s="1"/>
  <c r="O75" i="22" a="1"/>
  <c r="O75" i="22" s="1"/>
  <c r="N75" i="22" a="1"/>
  <c r="N75" i="22" s="1"/>
  <c r="D75" i="22" a="1"/>
  <c r="D75" i="22" s="1"/>
  <c r="H75" i="22" a="1"/>
  <c r="H75" i="22" s="1"/>
  <c r="G75" i="22" a="1"/>
  <c r="G75" i="22" s="1"/>
  <c r="L75" i="22" a="1"/>
  <c r="L75" i="22" s="1"/>
  <c r="K75" i="22" a="1"/>
  <c r="K75" i="22" s="1"/>
  <c r="E75" i="22" a="1"/>
  <c r="E75" i="22" s="1"/>
  <c r="I74" i="21"/>
  <c r="I69" i="21"/>
  <c r="H60" i="21"/>
  <c r="H55" i="21"/>
  <c r="K46" i="21"/>
  <c r="K41" i="21"/>
  <c r="K42" i="21" s="1"/>
  <c r="K43" i="21" s="1"/>
  <c r="D27" i="21"/>
  <c r="D32" i="21"/>
  <c r="D31" i="22" a="1"/>
  <c r="D31" i="22" s="1"/>
  <c r="D49" i="22" s="1"/>
  <c r="D55" i="21"/>
  <c r="D60" i="21"/>
  <c r="BG14" i="23" a="1"/>
  <c r="BG14" i="23" s="1"/>
  <c r="J69" i="21"/>
  <c r="J74" i="21"/>
  <c r="L55" i="21"/>
  <c r="L60" i="21"/>
  <c r="L46" i="21"/>
  <c r="L41" i="21"/>
  <c r="F27" i="21"/>
  <c r="F32" i="21"/>
  <c r="F31" i="22" a="1"/>
  <c r="F31" i="22" s="1"/>
  <c r="F49" i="22" s="1"/>
  <c r="M37" i="21" a="1"/>
  <c r="M37" i="21" s="1"/>
  <c r="O37" i="21" a="1"/>
  <c r="O37" i="21" s="1"/>
  <c r="G37" i="21" a="1"/>
  <c r="G37" i="21" s="1"/>
  <c r="L37" i="21" a="1"/>
  <c r="L37" i="21" s="1"/>
  <c r="F37" i="21" a="1"/>
  <c r="F37" i="21" s="1"/>
  <c r="I37" i="21" a="1"/>
  <c r="I37" i="21" s="1"/>
  <c r="J37" i="21" a="1"/>
  <c r="J37" i="21" s="1"/>
  <c r="J55" i="22" s="1" a="1"/>
  <c r="J55" i="22" s="1"/>
  <c r="H37" i="21" a="1"/>
  <c r="H37" i="21" s="1"/>
  <c r="K37" i="21" a="1"/>
  <c r="K37" i="21" s="1"/>
  <c r="N37" i="21" a="1"/>
  <c r="N37" i="21" s="1"/>
  <c r="E37" i="21" a="1"/>
  <c r="E37" i="21" s="1"/>
  <c r="BS14" i="23" a="1"/>
  <c r="BS14" i="23" s="1"/>
  <c r="K74" i="21"/>
  <c r="K69" i="21"/>
  <c r="EZ14" i="23" a="1"/>
  <c r="EZ14" i="23" s="1"/>
  <c r="BX14" i="23" a="1"/>
  <c r="BX14" i="23" s="1"/>
  <c r="G14" i="23" a="1"/>
  <c r="G14" i="23" s="1"/>
  <c r="F14" i="23" a="1"/>
  <c r="F14" i="23" s="1"/>
  <c r="FP14" i="23" a="1"/>
  <c r="FP14" i="23" s="1"/>
  <c r="EJ14" i="23" a="1"/>
  <c r="EJ14" i="23" s="1"/>
  <c r="BH14" i="23" a="1"/>
  <c r="BH14" i="23" s="1"/>
  <c r="E14" i="23" a="1"/>
  <c r="E14" i="23" s="1"/>
  <c r="D14" i="23" a="1"/>
  <c r="D14" i="23" s="1"/>
  <c r="DT14" i="23" a="1"/>
  <c r="DT14" i="23" s="1"/>
  <c r="C14" i="23" a="1"/>
  <c r="C14" i="23" s="1"/>
  <c r="AR14" i="23" a="1"/>
  <c r="AR14" i="23" s="1"/>
  <c r="B14" i="23" a="1"/>
  <c r="B14" i="23" s="1"/>
  <c r="DD14" i="23" a="1"/>
  <c r="DD14" i="23" s="1"/>
  <c r="A14" i="23" a="1"/>
  <c r="A14" i="23" s="1"/>
  <c r="GF14" i="23" a="1"/>
  <c r="GF14" i="23" s="1"/>
  <c r="AB14" i="23" a="1"/>
  <c r="AB14" i="23" s="1"/>
  <c r="HH15" i="23"/>
  <c r="CN14" i="23" a="1"/>
  <c r="CN14" i="23" s="1"/>
  <c r="L14" i="23" a="1"/>
  <c r="L14" i="23" s="1"/>
  <c r="J14" i="23" a="1"/>
  <c r="J14" i="23" s="1"/>
  <c r="H14" i="23" a="1"/>
  <c r="H14" i="23" s="1"/>
  <c r="HT18" i="23"/>
  <c r="HT19" i="23" s="1"/>
  <c r="E55" i="21"/>
  <c r="E60" i="21"/>
  <c r="H46" i="21"/>
  <c r="H41" i="21"/>
  <c r="G32" i="21"/>
  <c r="G27" i="21"/>
  <c r="G31" i="22" a="1"/>
  <c r="G31" i="22" s="1"/>
  <c r="G49" i="22" s="1"/>
  <c r="BM17" i="23" a="1"/>
  <c r="BM17" i="23" s="1"/>
  <c r="D22" i="24"/>
  <c r="B74" i="22" a="1"/>
  <c r="B74" i="22" s="1"/>
  <c r="R97" i="22"/>
  <c r="A74" i="22" a="1"/>
  <c r="A74" i="22" s="1"/>
  <c r="L69" i="21"/>
  <c r="L74" i="21"/>
  <c r="L42" i="21"/>
  <c r="L44" i="21" s="1"/>
  <c r="M55" i="21"/>
  <c r="M60" i="21"/>
  <c r="M41" i="21"/>
  <c r="M46" i="21"/>
  <c r="I32" i="21"/>
  <c r="I27" i="21"/>
  <c r="I31" i="22" a="1"/>
  <c r="I31" i="22" s="1"/>
  <c r="I49" i="22" s="1"/>
  <c r="M69" i="21"/>
  <c r="M74" i="21"/>
  <c r="G42" i="21"/>
  <c r="G44" i="21" s="1"/>
  <c r="C59" i="20" a="1"/>
  <c r="C59" i="20" s="1"/>
  <c r="C61" i="20" a="1"/>
  <c r="C61" i="20" s="1"/>
  <c r="A53" i="20" a="1"/>
  <c r="A53" i="20" s="1"/>
  <c r="C54" i="20" a="1"/>
  <c r="C54" i="20" s="1"/>
  <c r="S65" i="20"/>
  <c r="C53" i="20" a="1"/>
  <c r="C53" i="20" s="1"/>
  <c r="C56" i="20" a="1"/>
  <c r="C56" i="20" s="1"/>
  <c r="C57" i="20" a="1"/>
  <c r="C57" i="20" s="1"/>
  <c r="C58" i="20" a="1"/>
  <c r="C58" i="20" s="1"/>
  <c r="C60" i="20" a="1"/>
  <c r="C60" i="20" s="1"/>
  <c r="O60" i="21"/>
  <c r="O55" i="21"/>
  <c r="N41" i="21"/>
  <c r="N46" i="21"/>
  <c r="J32" i="21"/>
  <c r="J27" i="21"/>
  <c r="J31" i="22" a="1"/>
  <c r="J31" i="22" s="1"/>
  <c r="J49" i="22" s="1"/>
  <c r="W47" i="24"/>
  <c r="C46" i="24" a="1"/>
  <c r="C46" i="24" s="1"/>
  <c r="K11" i="23" a="1"/>
  <c r="K11" i="23" s="1"/>
  <c r="E12" i="18" a="1"/>
  <c r="E12" i="18" s="1"/>
  <c r="U47" i="24"/>
  <c r="B46" i="24" a="1"/>
  <c r="B46" i="24" s="1"/>
  <c r="AA42" i="18"/>
  <c r="C30" i="18" a="1"/>
  <c r="C30" i="18" s="1"/>
  <c r="B30" i="18" a="1"/>
  <c r="B30" i="18" s="1"/>
  <c r="P47" i="19" a="1"/>
  <c r="P47" i="19" s="1"/>
  <c r="H10" i="16"/>
  <c r="C31" i="20" a="1"/>
  <c r="C31" i="20" s="1"/>
  <c r="D17" i="21"/>
  <c r="BS11" i="23" a="1"/>
  <c r="BS11" i="23" s="1"/>
  <c r="BG11" i="23" a="1"/>
  <c r="BG11" i="23" s="1"/>
  <c r="BM12" i="23" a="1"/>
  <c r="BM12" i="23" s="1"/>
  <c r="BG12" i="23" a="1"/>
  <c r="BG12" i="23" s="1"/>
  <c r="BM11" i="23" a="1"/>
  <c r="BM11" i="23" s="1"/>
  <c r="BS12" i="23" a="1"/>
  <c r="BS12" i="23" s="1"/>
  <c r="BW25" i="23"/>
  <c r="CH14" i="23" s="1" a="1"/>
  <c r="CH14" i="23" s="1"/>
  <c r="I29" i="22" a="1"/>
  <c r="I29" i="22" s="1"/>
  <c r="M29" i="22" a="1"/>
  <c r="M29" i="22" s="1"/>
  <c r="O62" i="22" a="1"/>
  <c r="O62" i="22" s="1"/>
  <c r="K62" i="22" a="1"/>
  <c r="K62" i="22" s="1"/>
  <c r="G62" i="22" a="1"/>
  <c r="G62" i="22" s="1"/>
  <c r="L62" i="22" a="1"/>
  <c r="L62" i="22" s="1"/>
  <c r="D62" i="22" a="1"/>
  <c r="D62" i="22" s="1"/>
  <c r="N62" i="22" a="1"/>
  <c r="N62" i="22" s="1"/>
  <c r="J62" i="22" a="1"/>
  <c r="J62" i="22" s="1"/>
  <c r="F62" i="22" a="1"/>
  <c r="F62" i="22" s="1"/>
  <c r="M62" i="22" a="1"/>
  <c r="M62" i="22" s="1"/>
  <c r="I62" i="22" a="1"/>
  <c r="I62" i="22" s="1"/>
  <c r="E62" i="22" a="1"/>
  <c r="E62" i="22" s="1"/>
  <c r="H62" i="22" a="1"/>
  <c r="H62" i="22" s="1"/>
  <c r="O55" i="22" a="1"/>
  <c r="O55" i="22" s="1"/>
  <c r="G55" i="22" a="1"/>
  <c r="G55" i="22" s="1"/>
  <c r="M55" i="22" a="1"/>
  <c r="M55" i="22" s="1"/>
  <c r="I55" i="22" a="1"/>
  <c r="I55" i="22" s="1"/>
  <c r="E55" i="22" a="1"/>
  <c r="E55" i="22" s="1"/>
  <c r="K55" i="22" a="1"/>
  <c r="K55" i="22" s="1"/>
  <c r="N55" i="22" a="1"/>
  <c r="N55" i="22" s="1"/>
  <c r="F55" i="22" a="1"/>
  <c r="F55" i="22" s="1"/>
  <c r="L55" i="22" a="1"/>
  <c r="L55" i="22" s="1"/>
  <c r="H55" i="22" a="1"/>
  <c r="H55" i="22" s="1"/>
  <c r="D55" i="22" a="1"/>
  <c r="D55" i="22" s="1"/>
  <c r="G17" i="21"/>
  <c r="L17" i="21"/>
  <c r="K17" i="21"/>
  <c r="E17" i="21"/>
  <c r="I17" i="21"/>
  <c r="N17" i="21"/>
  <c r="P45" i="19"/>
  <c r="P44" i="19" a="1"/>
  <c r="P44" i="19" s="1"/>
  <c r="P43" i="19" a="1"/>
  <c r="P43" i="19" s="1"/>
  <c r="P49" i="19"/>
  <c r="P50" i="19" s="1"/>
  <c r="P38" i="19" a="1"/>
  <c r="P38" i="19" s="1"/>
  <c r="I13" i="23" s="1" a="1"/>
  <c r="I13" i="23" s="1"/>
  <c r="O37" i="19"/>
  <c r="C52" i="19" a="1"/>
  <c r="C52" i="19" s="1"/>
  <c r="B52" i="19" a="1"/>
  <c r="B52" i="19" s="1"/>
  <c r="I52" i="19" a="1"/>
  <c r="I52" i="19" s="1"/>
  <c r="D52" i="19" a="1"/>
  <c r="D52" i="19" s="1"/>
  <c r="H52" i="19" a="1"/>
  <c r="H52" i="19" s="1"/>
  <c r="P63" i="19" s="1"/>
  <c r="BD67" i="19"/>
  <c r="G52" i="19" a="1"/>
  <c r="G52" i="19" s="1"/>
  <c r="E52" i="19" a="1"/>
  <c r="E52" i="19" s="1"/>
  <c r="F52" i="19" a="1"/>
  <c r="F52" i="19" s="1"/>
  <c r="O25" i="19"/>
  <c r="Z5" i="19" a="1"/>
  <c r="Z5" i="19" s="1"/>
  <c r="AF5" i="19" a="1"/>
  <c r="AF5" i="19" s="1"/>
  <c r="AI1" i="19"/>
  <c r="AC5" i="19" a="1"/>
  <c r="AC5" i="19" s="1"/>
  <c r="O10" i="19"/>
  <c r="F44" i="21" l="1"/>
  <c r="F43" i="21"/>
  <c r="E44" i="21"/>
  <c r="E43" i="21"/>
  <c r="E47" i="21" s="1"/>
  <c r="H44" i="21"/>
  <c r="H43" i="21"/>
  <c r="H47" i="21" s="1"/>
  <c r="M44" i="21"/>
  <c r="M43" i="21"/>
  <c r="M47" i="21" s="1"/>
  <c r="G43" i="21"/>
  <c r="G47" i="21" s="1"/>
  <c r="L43" i="21"/>
  <c r="L47" i="21" s="1"/>
  <c r="U91" i="21"/>
  <c r="O90" i="21" a="1"/>
  <c r="O90" i="21" s="1"/>
  <c r="N90" i="21" a="1"/>
  <c r="N90" i="21" s="1"/>
  <c r="M90" i="21" a="1"/>
  <c r="M90" i="21" s="1"/>
  <c r="L90" i="21" a="1"/>
  <c r="L90" i="21" s="1"/>
  <c r="K90" i="21" a="1"/>
  <c r="K90" i="21" s="1"/>
  <c r="J90" i="21" a="1"/>
  <c r="J90" i="21" s="1"/>
  <c r="I90" i="21" a="1"/>
  <c r="I90" i="21" s="1"/>
  <c r="H90" i="21" a="1"/>
  <c r="H90" i="21" s="1"/>
  <c r="E90" i="21" a="1"/>
  <c r="E90" i="21" s="1"/>
  <c r="G90" i="21" a="1"/>
  <c r="G90" i="21" s="1"/>
  <c r="F90" i="21" a="1"/>
  <c r="F90" i="21" s="1"/>
  <c r="D90" i="21" a="1"/>
  <c r="D90" i="21" s="1"/>
  <c r="U104" i="21"/>
  <c r="U92" i="21"/>
  <c r="U94" i="21"/>
  <c r="BR15" i="23" a="1"/>
  <c r="BR15" i="23" s="1"/>
  <c r="HW16" i="23"/>
  <c r="V15" i="23" a="1"/>
  <c r="V15" i="23" s="1"/>
  <c r="BB15" i="23" a="1"/>
  <c r="BB15" i="23" s="1"/>
  <c r="CH15" i="23" a="1"/>
  <c r="CH15" i="23" s="1"/>
  <c r="AL15" i="23" a="1"/>
  <c r="AL15" i="23" s="1"/>
  <c r="M105" i="22" a="1"/>
  <c r="M105" i="22" s="1"/>
  <c r="F105" i="22" a="1"/>
  <c r="F105" i="22" s="1"/>
  <c r="N105" i="22" a="1"/>
  <c r="N105" i="22" s="1"/>
  <c r="Z120" i="22"/>
  <c r="J105" i="22" a="1"/>
  <c r="J105" i="22" s="1"/>
  <c r="I105" i="22" a="1"/>
  <c r="I105" i="22" s="1"/>
  <c r="Z98" i="22"/>
  <c r="Z99" i="22"/>
  <c r="G105" i="22" a="1"/>
  <c r="G105" i="22" s="1"/>
  <c r="K105" i="22" a="1"/>
  <c r="K105" i="22" s="1"/>
  <c r="O105" i="22" a="1"/>
  <c r="O105" i="22" s="1"/>
  <c r="D105" i="22" a="1"/>
  <c r="D105" i="22" s="1"/>
  <c r="H105" i="22" a="1"/>
  <c r="H105" i="22" s="1"/>
  <c r="L105" i="22" a="1"/>
  <c r="L105" i="22" s="1"/>
  <c r="E105" i="22" a="1"/>
  <c r="E105" i="22" s="1"/>
  <c r="HT20" i="23"/>
  <c r="B97" i="22" a="1"/>
  <c r="B97" i="22" s="1"/>
  <c r="R120" i="22"/>
  <c r="A97" i="22" a="1"/>
  <c r="A97" i="22" s="1"/>
  <c r="A62" i="21" a="1"/>
  <c r="A62" i="21" s="1"/>
  <c r="B62" i="21" a="1"/>
  <c r="B62" i="21" s="1"/>
  <c r="R76" i="21"/>
  <c r="J44" i="21"/>
  <c r="J47" i="21" s="1"/>
  <c r="N42" i="21"/>
  <c r="N43" i="21" s="1"/>
  <c r="N56" i="22" s="1" a="1"/>
  <c r="N56" i="22" s="1"/>
  <c r="D83" i="22" a="1"/>
  <c r="D83" i="22" s="1"/>
  <c r="L83" i="22" a="1"/>
  <c r="L83" i="22" s="1"/>
  <c r="E83" i="22" a="1"/>
  <c r="E83" i="22" s="1"/>
  <c r="M83" i="22" a="1"/>
  <c r="M83" i="22" s="1"/>
  <c r="O83" i="22" a="1"/>
  <c r="O83" i="22" s="1"/>
  <c r="K83" i="22" a="1"/>
  <c r="K83" i="22" s="1"/>
  <c r="G83" i="22" a="1"/>
  <c r="G83" i="22" s="1"/>
  <c r="N83" i="22" a="1"/>
  <c r="N83" i="22" s="1"/>
  <c r="J83" i="22" a="1"/>
  <c r="J83" i="22" s="1"/>
  <c r="F83" i="22" a="1"/>
  <c r="F83" i="22" s="1"/>
  <c r="I83" i="22" a="1"/>
  <c r="I83" i="22" s="1"/>
  <c r="H83" i="22" a="1"/>
  <c r="H83" i="22" s="1"/>
  <c r="C71" i="20" a="1"/>
  <c r="C71" i="20" s="1"/>
  <c r="S77" i="20"/>
  <c r="C65" i="20" a="1"/>
  <c r="C65" i="20" s="1"/>
  <c r="A65" i="20" a="1"/>
  <c r="A65" i="20" s="1"/>
  <c r="C72" i="20" a="1"/>
  <c r="C72" i="20" s="1"/>
  <c r="C66" i="20" a="1"/>
  <c r="C66" i="20" s="1"/>
  <c r="C73" i="20" a="1"/>
  <c r="C73" i="20" s="1"/>
  <c r="C68" i="20" a="1"/>
  <c r="C68" i="20" s="1"/>
  <c r="C69" i="20" a="1"/>
  <c r="C69" i="20" s="1"/>
  <c r="C70" i="20" a="1"/>
  <c r="C70" i="20" s="1"/>
  <c r="V80" i="22"/>
  <c r="O77" i="22" a="1"/>
  <c r="O77" i="22" s="1"/>
  <c r="O95" i="22" s="1"/>
  <c r="K77" i="22" a="1"/>
  <c r="K77" i="22" s="1"/>
  <c r="K95" i="22" s="1"/>
  <c r="G77" i="22" a="1"/>
  <c r="G77" i="22" s="1"/>
  <c r="G95" i="22" s="1"/>
  <c r="N77" i="22" a="1"/>
  <c r="N77" i="22" s="1"/>
  <c r="N95" i="22" s="1"/>
  <c r="J77" i="22" a="1"/>
  <c r="J77" i="22" s="1"/>
  <c r="J95" i="22" s="1"/>
  <c r="M77" i="22" a="1"/>
  <c r="M77" i="22" s="1"/>
  <c r="M95" i="22" s="1"/>
  <c r="F77" i="22" a="1"/>
  <c r="F77" i="22" s="1"/>
  <c r="F95" i="22" s="1"/>
  <c r="I77" i="22" a="1"/>
  <c r="I77" i="22" s="1"/>
  <c r="I95" i="22" s="1"/>
  <c r="H77" i="22" a="1"/>
  <c r="H77" i="22" s="1"/>
  <c r="H95" i="22" s="1"/>
  <c r="E77" i="22" a="1"/>
  <c r="E77" i="22" s="1"/>
  <c r="E95" i="22" s="1"/>
  <c r="L77" i="22" a="1"/>
  <c r="L77" i="22" s="1"/>
  <c r="L95" i="22" s="1"/>
  <c r="V78" i="22"/>
  <c r="D77" i="22" a="1"/>
  <c r="D77" i="22" s="1"/>
  <c r="D95" i="22" s="1"/>
  <c r="O42" i="21"/>
  <c r="O43" i="21" s="1"/>
  <c r="I42" i="21"/>
  <c r="I43" i="21" s="1"/>
  <c r="K44" i="21"/>
  <c r="K47" i="21" s="1"/>
  <c r="DT15" i="23" a="1"/>
  <c r="DT15" i="23" s="1"/>
  <c r="FP15" i="23" a="1"/>
  <c r="FP15" i="23" s="1"/>
  <c r="D15" i="23" a="1"/>
  <c r="D15" i="23" s="1"/>
  <c r="C15" i="23" a="1"/>
  <c r="C15" i="23" s="1"/>
  <c r="HH16" i="23"/>
  <c r="AR15" i="23" a="1"/>
  <c r="AR15" i="23" s="1"/>
  <c r="B15" i="23" a="1"/>
  <c r="B15" i="23" s="1"/>
  <c r="A15" i="23" a="1"/>
  <c r="A15" i="23" s="1"/>
  <c r="BX15" i="23" a="1"/>
  <c r="BX15" i="23" s="1"/>
  <c r="L15" i="23" a="1"/>
  <c r="L15" i="23" s="1"/>
  <c r="DD15" i="23" a="1"/>
  <c r="DD15" i="23" s="1"/>
  <c r="J15" i="23" a="1"/>
  <c r="J15" i="23" s="1"/>
  <c r="H15" i="23" a="1"/>
  <c r="H15" i="23" s="1"/>
  <c r="F15" i="23" a="1"/>
  <c r="F15" i="23" s="1"/>
  <c r="G15" i="23" a="1"/>
  <c r="G15" i="23" s="1"/>
  <c r="E15" i="23" a="1"/>
  <c r="E15" i="23" s="1"/>
  <c r="EJ15" i="23" a="1"/>
  <c r="EJ15" i="23" s="1"/>
  <c r="CN15" i="23" a="1"/>
  <c r="CN15" i="23" s="1"/>
  <c r="AB15" i="23" a="1"/>
  <c r="AB15" i="23" s="1"/>
  <c r="EZ15" i="23" a="1"/>
  <c r="EZ15" i="23" s="1"/>
  <c r="GF15" i="23" a="1"/>
  <c r="GF15" i="23" s="1"/>
  <c r="BH15" i="23" a="1"/>
  <c r="BH15" i="23" s="1"/>
  <c r="AM15" i="23" a="1"/>
  <c r="AM15" i="23" s="1"/>
  <c r="W15" i="23" a="1"/>
  <c r="W15" i="23" s="1"/>
  <c r="BC15" i="23" a="1"/>
  <c r="BC15" i="23" s="1"/>
  <c r="V102" i="22"/>
  <c r="V99" i="22"/>
  <c r="V121" i="22"/>
  <c r="J98" i="22" a="1"/>
  <c r="J98" i="22" s="1"/>
  <c r="N98" i="22" a="1"/>
  <c r="N98" i="22" s="1"/>
  <c r="O98" i="22" a="1"/>
  <c r="O98" i="22" s="1"/>
  <c r="D98" i="22" a="1"/>
  <c r="D98" i="22" s="1"/>
  <c r="G98" i="22" a="1"/>
  <c r="G98" i="22" s="1"/>
  <c r="V100" i="22"/>
  <c r="H98" i="22" a="1"/>
  <c r="H98" i="22" s="1"/>
  <c r="K98" i="22" a="1"/>
  <c r="K98" i="22" s="1"/>
  <c r="L98" i="22" a="1"/>
  <c r="L98" i="22" s="1"/>
  <c r="M98" i="22" a="1"/>
  <c r="M98" i="22" s="1"/>
  <c r="E98" i="22" a="1"/>
  <c r="E98" i="22" s="1"/>
  <c r="I98" i="22" a="1"/>
  <c r="I98" i="22" s="1"/>
  <c r="F98" i="22" a="1"/>
  <c r="F98" i="22" s="1"/>
  <c r="D84" i="22" a="1"/>
  <c r="D84" i="22" s="1"/>
  <c r="O84" i="22" a="1"/>
  <c r="O84" i="22" s="1"/>
  <c r="K84" i="22" a="1"/>
  <c r="K84" i="22" s="1"/>
  <c r="G84" i="22" a="1"/>
  <c r="G84" i="22" s="1"/>
  <c r="Z77" i="22"/>
  <c r="N84" i="22" a="1"/>
  <c r="N84" i="22" s="1"/>
  <c r="J84" i="22" a="1"/>
  <c r="J84" i="22" s="1"/>
  <c r="F84" i="22" a="1"/>
  <c r="F84" i="22" s="1"/>
  <c r="M84" i="22" a="1"/>
  <c r="M84" i="22" s="1"/>
  <c r="I84" i="22" a="1"/>
  <c r="I84" i="22" s="1"/>
  <c r="L84" i="22" a="1"/>
  <c r="L84" i="22" s="1"/>
  <c r="H84" i="22" a="1"/>
  <c r="H84" i="22" s="1"/>
  <c r="E84" i="22" a="1"/>
  <c r="E84" i="22" s="1"/>
  <c r="AA17" i="23" a="1"/>
  <c r="AA17" i="23" s="1"/>
  <c r="DC17" i="23" a="1"/>
  <c r="DC17" i="23" s="1"/>
  <c r="K17" i="23" a="1"/>
  <c r="K17" i="23" s="1"/>
  <c r="CM17" i="23" a="1"/>
  <c r="CM17" i="23" s="1"/>
  <c r="BW17" i="23" a="1"/>
  <c r="BW17" i="23" s="1"/>
  <c r="HU18" i="23"/>
  <c r="BG17" i="23" a="1"/>
  <c r="BG17" i="23" s="1"/>
  <c r="AQ17" i="23" a="1"/>
  <c r="AQ17" i="23" s="1"/>
  <c r="CH11" i="23" a="1"/>
  <c r="CH11" i="23" s="1"/>
  <c r="BW13" i="23" a="1"/>
  <c r="BW13" i="23" s="1"/>
  <c r="CC15" i="23" a="1"/>
  <c r="CC15" i="23" s="1"/>
  <c r="BW14" i="23" a="1"/>
  <c r="BW14" i="23" s="1"/>
  <c r="CC17" i="23" a="1"/>
  <c r="CC17" i="23" s="1"/>
  <c r="CH12" i="23" a="1"/>
  <c r="CH12" i="23" s="1"/>
  <c r="CH13" i="23" a="1"/>
  <c r="CH13" i="23" s="1"/>
  <c r="CC14" i="23" a="1"/>
  <c r="CC14" i="23" s="1"/>
  <c r="CI14" i="23" a="1"/>
  <c r="CI14" i="23" s="1"/>
  <c r="CI15" i="23" a="1"/>
  <c r="CI15" i="23" s="1"/>
  <c r="CC20" i="23" a="1"/>
  <c r="CC20" i="23" s="1"/>
  <c r="CC18" i="23" a="1"/>
  <c r="CC18" i="23" s="1"/>
  <c r="CC19" i="23" a="1"/>
  <c r="CC19" i="23" s="1"/>
  <c r="CI13" i="23" a="1"/>
  <c r="CI13" i="23" s="1"/>
  <c r="CC13" i="23" a="1"/>
  <c r="CC13" i="23" s="1"/>
  <c r="F76" i="22" a="1"/>
  <c r="F76" i="22" s="1"/>
  <c r="M76" i="22" a="1"/>
  <c r="M76" i="22" s="1"/>
  <c r="I76" i="22" a="1"/>
  <c r="I76" i="22" s="1"/>
  <c r="N76" i="22" a="1"/>
  <c r="N76" i="22" s="1"/>
  <c r="E76" i="22" a="1"/>
  <c r="E76" i="22" s="1"/>
  <c r="L76" i="22" a="1"/>
  <c r="L76" i="22" s="1"/>
  <c r="H76" i="22" a="1"/>
  <c r="H76" i="22" s="1"/>
  <c r="O76" i="22" a="1"/>
  <c r="O76" i="22" s="1"/>
  <c r="D76" i="22" a="1"/>
  <c r="D76" i="22" s="1"/>
  <c r="K76" i="22" a="1"/>
  <c r="K76" i="22" s="1"/>
  <c r="G76" i="22" a="1"/>
  <c r="G76" i="22" s="1"/>
  <c r="J76" i="22" a="1"/>
  <c r="J76" i="22" s="1"/>
  <c r="D42" i="21"/>
  <c r="D43" i="21" s="1"/>
  <c r="W48" i="24"/>
  <c r="C47" i="24" a="1"/>
  <c r="C47" i="24" s="1"/>
  <c r="D16" i="22" a="1"/>
  <c r="D16" i="22" s="1"/>
  <c r="D9" i="21" a="1"/>
  <c r="D9" i="21" s="1"/>
  <c r="D9" i="22" s="1" a="1"/>
  <c r="D9" i="22" s="1"/>
  <c r="U48" i="24"/>
  <c r="B47" i="24" a="1"/>
  <c r="B47" i="24" s="1"/>
  <c r="C42" i="18" a="1"/>
  <c r="C42" i="18" s="1"/>
  <c r="AA54" i="18"/>
  <c r="B42" i="18" a="1"/>
  <c r="B42" i="18" s="1"/>
  <c r="D56" i="22" a="1"/>
  <c r="D56" i="22" s="1"/>
  <c r="L56" i="22" a="1"/>
  <c r="L56" i="22" s="1"/>
  <c r="J56" i="22" a="1"/>
  <c r="J56" i="22" s="1"/>
  <c r="H56" i="22" a="1"/>
  <c r="H56" i="22" s="1"/>
  <c r="H11" i="16"/>
  <c r="C43" i="20" a="1"/>
  <c r="C43" i="20" s="1"/>
  <c r="CM25" i="23"/>
  <c r="CC11" i="23" a="1"/>
  <c r="CC11" i="23" s="1"/>
  <c r="CI11" i="23" a="1"/>
  <c r="CI11" i="23" s="1"/>
  <c r="BW12" i="23" a="1"/>
  <c r="BW12" i="23" s="1"/>
  <c r="BW11" i="23" a="1"/>
  <c r="BW11" i="23" s="1"/>
  <c r="CC12" i="23" a="1"/>
  <c r="CC12" i="23" s="1"/>
  <c r="CI12" i="23" a="1"/>
  <c r="CI12" i="23" s="1"/>
  <c r="DC25" i="23"/>
  <c r="DN15" i="23" s="1" a="1"/>
  <c r="DN15" i="23" s="1"/>
  <c r="CM6" i="23" a="1"/>
  <c r="CM6" i="23" s="1"/>
  <c r="BW6" i="23" a="1"/>
  <c r="BW6" i="23" s="1"/>
  <c r="E56" i="22" a="1"/>
  <c r="E56" i="22" s="1"/>
  <c r="O56" i="22" a="1"/>
  <c r="O56" i="22" s="1"/>
  <c r="F56" i="22" a="1"/>
  <c r="F56" i="22" s="1"/>
  <c r="M56" i="22" a="1"/>
  <c r="M56" i="22" s="1"/>
  <c r="K56" i="22" a="1"/>
  <c r="K56" i="22" s="1"/>
  <c r="I56" i="22" a="1"/>
  <c r="I56" i="22" s="1"/>
  <c r="D18" i="21"/>
  <c r="D13" i="21"/>
  <c r="C67" i="19" a="1"/>
  <c r="C67" i="19" s="1"/>
  <c r="I67" i="19" a="1"/>
  <c r="I67" i="19" s="1"/>
  <c r="E67" i="19" a="1"/>
  <c r="E67" i="19" s="1"/>
  <c r="BD82" i="19"/>
  <c r="B67" i="19" a="1"/>
  <c r="B67" i="19" s="1"/>
  <c r="F67" i="19" a="1"/>
  <c r="F67" i="19" s="1"/>
  <c r="G67" i="19" a="1"/>
  <c r="G67" i="19" s="1"/>
  <c r="D67" i="19" a="1"/>
  <c r="D67" i="19" s="1"/>
  <c r="H67" i="19" a="1"/>
  <c r="H67" i="19" s="1"/>
  <c r="P78" i="19" s="1"/>
  <c r="P64" i="19"/>
  <c r="P65" i="19" s="1"/>
  <c r="P53" i="19" a="1"/>
  <c r="P53" i="19" s="1"/>
  <c r="I14" i="23" s="1" a="1"/>
  <c r="I14" i="23" s="1"/>
  <c r="O52" i="19"/>
  <c r="P60" i="19"/>
  <c r="P59" i="19" a="1"/>
  <c r="P59" i="19" s="1"/>
  <c r="P58" i="19" a="1"/>
  <c r="P58" i="19" s="1"/>
  <c r="O38" i="19"/>
  <c r="P62" i="19" a="1"/>
  <c r="P62" i="19" s="1"/>
  <c r="P61" i="19" a="1"/>
  <c r="P61" i="19" s="1"/>
  <c r="O26" i="19"/>
  <c r="AI5" i="19" a="1"/>
  <c r="AI5" i="19" s="1"/>
  <c r="AL1" i="19"/>
  <c r="O11" i="19"/>
  <c r="D78" i="22" l="1" a="1"/>
  <c r="D78" i="22" s="1"/>
  <c r="O78" i="22" a="1"/>
  <c r="O78" i="22" s="1"/>
  <c r="K78" i="22" a="1"/>
  <c r="K78" i="22" s="1"/>
  <c r="G78" i="22" a="1"/>
  <c r="G78" i="22" s="1"/>
  <c r="N78" i="22" a="1"/>
  <c r="N78" i="22" s="1"/>
  <c r="J78" i="22" a="1"/>
  <c r="J78" i="22" s="1"/>
  <c r="F78" i="22" a="1"/>
  <c r="F78" i="22" s="1"/>
  <c r="L78" i="22" a="1"/>
  <c r="L78" i="22" s="1"/>
  <c r="M78" i="22" a="1"/>
  <c r="M78" i="22" s="1"/>
  <c r="I78" i="22" a="1"/>
  <c r="I78" i="22" s="1"/>
  <c r="E78" i="22" a="1"/>
  <c r="E78" i="22" s="1"/>
  <c r="H78" i="22" a="1"/>
  <c r="H78" i="22" s="1"/>
  <c r="CH16" i="23" a="1"/>
  <c r="CH16" i="23" s="1"/>
  <c r="HW17" i="23"/>
  <c r="BR16" i="23" a="1"/>
  <c r="BR16" i="23" s="1"/>
  <c r="BB16" i="23" a="1"/>
  <c r="BB16" i="23" s="1"/>
  <c r="AL16" i="23" a="1"/>
  <c r="AL16" i="23" s="1"/>
  <c r="V16" i="23" a="1"/>
  <c r="V16" i="23" s="1"/>
  <c r="ED16" i="23" a="1"/>
  <c r="ED16" i="23" s="1"/>
  <c r="DN16" i="23" a="1"/>
  <c r="DN16" i="23" s="1"/>
  <c r="CX16" i="23" a="1"/>
  <c r="CX16" i="23" s="1"/>
  <c r="J96" i="21"/>
  <c r="J101" i="21"/>
  <c r="I101" i="21"/>
  <c r="I96" i="21"/>
  <c r="K96" i="21"/>
  <c r="K101" i="21"/>
  <c r="DT16" i="23" a="1"/>
  <c r="DT16" i="23" s="1"/>
  <c r="AB16" i="23" a="1"/>
  <c r="AB16" i="23" s="1"/>
  <c r="HH17" i="23"/>
  <c r="EZ16" i="23" a="1"/>
  <c r="EZ16" i="23" s="1"/>
  <c r="G16" i="23" a="1"/>
  <c r="G16" i="23" s="1"/>
  <c r="DD16" i="23" a="1"/>
  <c r="DD16" i="23" s="1"/>
  <c r="C16" i="23" a="1"/>
  <c r="C16" i="23" s="1"/>
  <c r="A16" i="23" a="1"/>
  <c r="A16" i="23" s="1"/>
  <c r="E16" i="23" a="1"/>
  <c r="E16" i="23" s="1"/>
  <c r="B16" i="23" a="1"/>
  <c r="B16" i="23" s="1"/>
  <c r="AR16" i="23" a="1"/>
  <c r="AR16" i="23" s="1"/>
  <c r="J16" i="23" a="1"/>
  <c r="J16" i="23" s="1"/>
  <c r="FP16" i="23" a="1"/>
  <c r="FP16" i="23" s="1"/>
  <c r="BX16" i="23" a="1"/>
  <c r="BX16" i="23" s="1"/>
  <c r="BH16" i="23" a="1"/>
  <c r="BH16" i="23" s="1"/>
  <c r="GF16" i="23" a="1"/>
  <c r="GF16" i="23" s="1"/>
  <c r="D16" i="23" a="1"/>
  <c r="D16" i="23" s="1"/>
  <c r="EJ16" i="23" a="1"/>
  <c r="EJ16" i="23" s="1"/>
  <c r="H16" i="23" a="1"/>
  <c r="H16" i="23" s="1"/>
  <c r="L16" i="23" a="1"/>
  <c r="L16" i="23" s="1"/>
  <c r="CN16" i="23" a="1"/>
  <c r="CN16" i="23" s="1"/>
  <c r="F16" i="23" a="1"/>
  <c r="F16" i="23" s="1"/>
  <c r="B76" i="21" a="1"/>
  <c r="B76" i="21" s="1"/>
  <c r="R90" i="21"/>
  <c r="A76" i="21" a="1"/>
  <c r="A76" i="21" s="1"/>
  <c r="L101" i="21"/>
  <c r="L96" i="21"/>
  <c r="K94" i="21" a="1"/>
  <c r="K94" i="21" s="1"/>
  <c r="J94" i="21" a="1"/>
  <c r="J94" i="21" s="1"/>
  <c r="F94" i="21" a="1"/>
  <c r="F94" i="21" s="1"/>
  <c r="I94" i="21" a="1"/>
  <c r="I94" i="21" s="1"/>
  <c r="H94" i="21" a="1"/>
  <c r="H94" i="21" s="1"/>
  <c r="G94" i="21" a="1"/>
  <c r="G94" i="21" s="1"/>
  <c r="D94" i="21" a="1"/>
  <c r="D94" i="21" s="1"/>
  <c r="E94" i="21" a="1"/>
  <c r="E94" i="21" s="1"/>
  <c r="O94" i="21" a="1"/>
  <c r="O94" i="21" s="1"/>
  <c r="N94" i="21" a="1"/>
  <c r="N94" i="21" s="1"/>
  <c r="L94" i="21" a="1"/>
  <c r="L94" i="21" s="1"/>
  <c r="M94" i="21" a="1"/>
  <c r="M94" i="21" s="1"/>
  <c r="M96" i="21"/>
  <c r="M101" i="21"/>
  <c r="G56" i="22" a="1"/>
  <c r="G56" i="22" s="1"/>
  <c r="I99" i="22" a="1"/>
  <c r="I99" i="22" s="1"/>
  <c r="E99" i="22" a="1"/>
  <c r="E99" i="22" s="1"/>
  <c r="L99" i="22" a="1"/>
  <c r="L99" i="22" s="1"/>
  <c r="H99" i="22" a="1"/>
  <c r="H99" i="22" s="1"/>
  <c r="O99" i="22" a="1"/>
  <c r="O99" i="22" s="1"/>
  <c r="D99" i="22" a="1"/>
  <c r="D99" i="22" s="1"/>
  <c r="K99" i="22" a="1"/>
  <c r="K99" i="22" s="1"/>
  <c r="G99" i="22" a="1"/>
  <c r="G99" i="22" s="1"/>
  <c r="N99" i="22" a="1"/>
  <c r="N99" i="22" s="1"/>
  <c r="J99" i="22" a="1"/>
  <c r="J99" i="22" s="1"/>
  <c r="M99" i="22" a="1"/>
  <c r="M99" i="22" s="1"/>
  <c r="F99" i="22" a="1"/>
  <c r="F99" i="22" s="1"/>
  <c r="K92" i="21" a="1"/>
  <c r="K92" i="21" s="1"/>
  <c r="L92" i="21" a="1"/>
  <c r="L92" i="21" s="1"/>
  <c r="J92" i="21" a="1"/>
  <c r="J92" i="21" s="1"/>
  <c r="D92" i="21" a="1"/>
  <c r="D92" i="21" s="1"/>
  <c r="I92" i="21" a="1"/>
  <c r="I92" i="21" s="1"/>
  <c r="F92" i="21" a="1"/>
  <c r="F92" i="21" s="1"/>
  <c r="H92" i="21" a="1"/>
  <c r="H92" i="21" s="1"/>
  <c r="G92" i="21" a="1"/>
  <c r="G92" i="21" s="1"/>
  <c r="E92" i="21" a="1"/>
  <c r="E92" i="21" s="1"/>
  <c r="O92" i="21" a="1"/>
  <c r="O92" i="21" s="1"/>
  <c r="N92" i="21" a="1"/>
  <c r="N92" i="21" s="1"/>
  <c r="M92" i="21" a="1"/>
  <c r="M92" i="21" s="1"/>
  <c r="U93" i="21"/>
  <c r="N101" i="21"/>
  <c r="N96" i="21"/>
  <c r="V144" i="22"/>
  <c r="V122" i="22"/>
  <c r="V123" i="22"/>
  <c r="V125" i="22"/>
  <c r="I44" i="21"/>
  <c r="I47" i="21" s="1"/>
  <c r="O104" i="21" a="1"/>
  <c r="O104" i="21" s="1"/>
  <c r="O115" i="21" s="1"/>
  <c r="N104" i="21" a="1"/>
  <c r="N104" i="21" s="1"/>
  <c r="N115" i="21" s="1"/>
  <c r="M104" i="21" a="1"/>
  <c r="M104" i="21" s="1"/>
  <c r="M115" i="21" s="1"/>
  <c r="L104" i="21" a="1"/>
  <c r="L104" i="21" s="1"/>
  <c r="L115" i="21" s="1"/>
  <c r="K104" i="21" a="1"/>
  <c r="K104" i="21" s="1"/>
  <c r="K115" i="21" s="1"/>
  <c r="J104" i="21" a="1"/>
  <c r="J104" i="21" s="1"/>
  <c r="J115" i="21" s="1"/>
  <c r="H104" i="21" a="1"/>
  <c r="H104" i="21" s="1"/>
  <c r="H115" i="21" s="1"/>
  <c r="I104" i="21" a="1"/>
  <c r="I104" i="21" s="1"/>
  <c r="I115" i="21" s="1"/>
  <c r="G104" i="21" a="1"/>
  <c r="G104" i="21" s="1"/>
  <c r="G115" i="21" s="1"/>
  <c r="E104" i="21" a="1"/>
  <c r="E104" i="21" s="1"/>
  <c r="E115" i="21" s="1"/>
  <c r="F104" i="21" a="1"/>
  <c r="F104" i="21" s="1"/>
  <c r="F115" i="21" s="1"/>
  <c r="D104" i="21" a="1"/>
  <c r="D104" i="21" s="1"/>
  <c r="D115" i="21" s="1"/>
  <c r="U118" i="21"/>
  <c r="U105" i="21"/>
  <c r="U106" i="21"/>
  <c r="U108" i="21"/>
  <c r="O101" i="21"/>
  <c r="O96" i="21"/>
  <c r="I107" i="22" a="1"/>
  <c r="I107" i="22" s="1"/>
  <c r="O107" i="22" a="1"/>
  <c r="O107" i="22" s="1"/>
  <c r="K107" i="22" a="1"/>
  <c r="K107" i="22" s="1"/>
  <c r="G107" i="22" a="1"/>
  <c r="G107" i="22" s="1"/>
  <c r="H107" i="22" a="1"/>
  <c r="H107" i="22" s="1"/>
  <c r="Z100" i="22"/>
  <c r="E107" i="22" a="1"/>
  <c r="E107" i="22" s="1"/>
  <c r="N107" i="22" a="1"/>
  <c r="N107" i="22" s="1"/>
  <c r="J107" i="22" a="1"/>
  <c r="J107" i="22" s="1"/>
  <c r="F107" i="22" a="1"/>
  <c r="F107" i="22" s="1"/>
  <c r="L107" i="22" a="1"/>
  <c r="L107" i="22" s="1"/>
  <c r="M107" i="22" a="1"/>
  <c r="M107" i="22" s="1"/>
  <c r="D107" i="22" a="1"/>
  <c r="D107" i="22" s="1"/>
  <c r="D96" i="21"/>
  <c r="D101" i="21"/>
  <c r="O91" i="21" a="1"/>
  <c r="O91" i="21" s="1"/>
  <c r="M91" i="21" a="1"/>
  <c r="M91" i="21" s="1"/>
  <c r="L91" i="21" a="1"/>
  <c r="L91" i="21" s="1"/>
  <c r="K91" i="21" a="1"/>
  <c r="K91" i="21" s="1"/>
  <c r="J91" i="21" a="1"/>
  <c r="J91" i="21" s="1"/>
  <c r="H91" i="21" a="1"/>
  <c r="H91" i="21" s="1"/>
  <c r="E91" i="21" a="1"/>
  <c r="E91" i="21" s="1"/>
  <c r="I91" i="21" a="1"/>
  <c r="I91" i="21" s="1"/>
  <c r="G91" i="21" a="1"/>
  <c r="G91" i="21" s="1"/>
  <c r="F91" i="21" a="1"/>
  <c r="F91" i="21" s="1"/>
  <c r="D91" i="21" a="1"/>
  <c r="D91" i="21" s="1"/>
  <c r="N91" i="21" a="1"/>
  <c r="N91" i="21" s="1"/>
  <c r="U95" i="21"/>
  <c r="AQ18" i="23" a="1"/>
  <c r="AQ18" i="23" s="1"/>
  <c r="DC18" i="23" a="1"/>
  <c r="DC18" i="23" s="1"/>
  <c r="CM18" i="23" a="1"/>
  <c r="CM18" i="23" s="1"/>
  <c r="AA18" i="23" a="1"/>
  <c r="AA18" i="23" s="1"/>
  <c r="BW18" i="23" a="1"/>
  <c r="BW18" i="23" s="1"/>
  <c r="K18" i="23" a="1"/>
  <c r="K18" i="23" s="1"/>
  <c r="BG18" i="23" a="1"/>
  <c r="BG18" i="23" s="1"/>
  <c r="HU19" i="23"/>
  <c r="B120" i="22" a="1"/>
  <c r="B120" i="22" s="1"/>
  <c r="R143" i="22"/>
  <c r="A120" i="22" a="1"/>
  <c r="A120" i="22" s="1"/>
  <c r="D106" i="22" a="1"/>
  <c r="D106" i="22" s="1"/>
  <c r="O106" i="22" a="1"/>
  <c r="O106" i="22" s="1"/>
  <c r="K106" i="22" a="1"/>
  <c r="K106" i="22" s="1"/>
  <c r="G106" i="22" a="1"/>
  <c r="G106" i="22" s="1"/>
  <c r="N106" i="22" a="1"/>
  <c r="N106" i="22" s="1"/>
  <c r="J106" i="22" a="1"/>
  <c r="J106" i="22" s="1"/>
  <c r="F106" i="22" a="1"/>
  <c r="F106" i="22" s="1"/>
  <c r="M106" i="22" a="1"/>
  <c r="M106" i="22" s="1"/>
  <c r="I106" i="22" a="1"/>
  <c r="I106" i="22" s="1"/>
  <c r="L106" i="22" a="1"/>
  <c r="L106" i="22" s="1"/>
  <c r="E106" i="22" a="1"/>
  <c r="E106" i="22" s="1"/>
  <c r="H106" i="22" a="1"/>
  <c r="H106" i="22" s="1"/>
  <c r="F101" i="21"/>
  <c r="F96" i="21"/>
  <c r="O44" i="21"/>
  <c r="CX11" i="23" a="1"/>
  <c r="CX11" i="23" s="1"/>
  <c r="CM13" i="23" a="1"/>
  <c r="CM13" i="23" s="1"/>
  <c r="CX12" i="23" a="1"/>
  <c r="CX12" i="23" s="1"/>
  <c r="CS14" i="23" a="1"/>
  <c r="CS14" i="23" s="1"/>
  <c r="CS20" i="23" a="1"/>
  <c r="CS20" i="23" s="1"/>
  <c r="CM14" i="23" a="1"/>
  <c r="CM14" i="23" s="1"/>
  <c r="CY13" i="23" a="1"/>
  <c r="CY13" i="23" s="1"/>
  <c r="CS13" i="23" a="1"/>
  <c r="CS13" i="23" s="1"/>
  <c r="CS18" i="23" a="1"/>
  <c r="CS18" i="23" s="1"/>
  <c r="CS17" i="23" a="1"/>
  <c r="CS17" i="23" s="1"/>
  <c r="CY15" i="23" a="1"/>
  <c r="CY15" i="23" s="1"/>
  <c r="CS15" i="23" a="1"/>
  <c r="CS15" i="23" s="1"/>
  <c r="CS19" i="23" a="1"/>
  <c r="CS19" i="23" s="1"/>
  <c r="CX13" i="23" a="1"/>
  <c r="CX13" i="23" s="1"/>
  <c r="CY14" i="23" a="1"/>
  <c r="CY14" i="23" s="1"/>
  <c r="CX14" i="23" a="1"/>
  <c r="CX14" i="23" s="1"/>
  <c r="CM15" i="23" a="1"/>
  <c r="CM15" i="23" s="1"/>
  <c r="G101" i="21"/>
  <c r="G96" i="21"/>
  <c r="D44" i="21"/>
  <c r="D47" i="21" s="1"/>
  <c r="X13" i="23" s="1" a="1"/>
  <c r="X13" i="23" s="1"/>
  <c r="Y13" i="23" s="1"/>
  <c r="F47" i="21"/>
  <c r="G100" i="22" a="1"/>
  <c r="G100" i="22" s="1"/>
  <c r="G118" i="22" s="1"/>
  <c r="N100" i="22" a="1"/>
  <c r="N100" i="22" s="1"/>
  <c r="N118" i="22" s="1"/>
  <c r="J100" i="22" a="1"/>
  <c r="J100" i="22" s="1"/>
  <c r="J118" i="22" s="1"/>
  <c r="M100" i="22" a="1"/>
  <c r="M100" i="22" s="1"/>
  <c r="M118" i="22" s="1"/>
  <c r="F100" i="22" a="1"/>
  <c r="F100" i="22" s="1"/>
  <c r="I100" i="22" a="1"/>
  <c r="I100" i="22" s="1"/>
  <c r="I118" i="22" s="1"/>
  <c r="E100" i="22" a="1"/>
  <c r="E100" i="22" s="1"/>
  <c r="E118" i="22" s="1"/>
  <c r="V101" i="22"/>
  <c r="L100" i="22" a="1"/>
  <c r="L100" i="22" s="1"/>
  <c r="L118" i="22" s="1"/>
  <c r="V103" i="22"/>
  <c r="H100" i="22" a="1"/>
  <c r="H100" i="22" s="1"/>
  <c r="H118" i="22" s="1"/>
  <c r="O100" i="22" a="1"/>
  <c r="O100" i="22" s="1"/>
  <c r="O118" i="22" s="1"/>
  <c r="D100" i="22" a="1"/>
  <c r="D100" i="22" s="1"/>
  <c r="D118" i="22" s="1"/>
  <c r="K100" i="22" a="1"/>
  <c r="K100" i="22" s="1"/>
  <c r="K118" i="22" s="1"/>
  <c r="C83" i="20" a="1"/>
  <c r="C83" i="20" s="1"/>
  <c r="C80" i="20" a="1"/>
  <c r="C80" i="20" s="1"/>
  <c r="C77" i="20" a="1"/>
  <c r="C77" i="20" s="1"/>
  <c r="S89" i="20"/>
  <c r="C78" i="20" a="1"/>
  <c r="C78" i="20" s="1"/>
  <c r="C81" i="20" a="1"/>
  <c r="C81" i="20" s="1"/>
  <c r="C84" i="20" a="1"/>
  <c r="C84" i="20" s="1"/>
  <c r="A77" i="20" a="1"/>
  <c r="A77" i="20" s="1"/>
  <c r="C82" i="20" a="1"/>
  <c r="C82" i="20" s="1"/>
  <c r="C85" i="20" a="1"/>
  <c r="C85" i="20" s="1"/>
  <c r="CX15" i="23" a="1"/>
  <c r="CX15" i="23" s="1"/>
  <c r="E101" i="21"/>
  <c r="E96" i="21"/>
  <c r="N44" i="21"/>
  <c r="N47" i="21" s="1"/>
  <c r="L85" i="22" a="1"/>
  <c r="L85" i="22" s="1"/>
  <c r="K85" i="22" a="1"/>
  <c r="K85" i="22" s="1"/>
  <c r="N85" i="22" a="1"/>
  <c r="N85" i="22" s="1"/>
  <c r="J85" i="22" a="1"/>
  <c r="J85" i="22" s="1"/>
  <c r="F85" i="22" a="1"/>
  <c r="F85" i="22" s="1"/>
  <c r="M85" i="22" a="1"/>
  <c r="M85" i="22" s="1"/>
  <c r="I85" i="22" a="1"/>
  <c r="I85" i="22" s="1"/>
  <c r="E85" i="22" a="1"/>
  <c r="E85" i="22" s="1"/>
  <c r="D85" i="22" a="1"/>
  <c r="D85" i="22" s="1"/>
  <c r="H85" i="22" a="1"/>
  <c r="H85" i="22" s="1"/>
  <c r="O85" i="22" a="1"/>
  <c r="O85" i="22" s="1"/>
  <c r="G85" i="22" a="1"/>
  <c r="G85" i="22" s="1"/>
  <c r="O47" i="21"/>
  <c r="DN11" i="23" a="1"/>
  <c r="DN11" i="23" s="1"/>
  <c r="DN12" i="23" a="1"/>
  <c r="DN12" i="23" s="1"/>
  <c r="DC13" i="23" a="1"/>
  <c r="DC13" i="23" s="1"/>
  <c r="DI15" i="23" a="1"/>
  <c r="DI15" i="23" s="1"/>
  <c r="DI14" i="23" a="1"/>
  <c r="DI14" i="23" s="1"/>
  <c r="DI19" i="23" a="1"/>
  <c r="DI19" i="23" s="1"/>
  <c r="DI17" i="23" a="1"/>
  <c r="DI17" i="23" s="1"/>
  <c r="DO15" i="23" a="1"/>
  <c r="DO15" i="23" s="1"/>
  <c r="DC14" i="23" a="1"/>
  <c r="DC14" i="23" s="1"/>
  <c r="DN13" i="23" a="1"/>
  <c r="DN13" i="23" s="1"/>
  <c r="DI20" i="23" a="1"/>
  <c r="DI20" i="23" s="1"/>
  <c r="DO13" i="23" a="1"/>
  <c r="DO13" i="23" s="1"/>
  <c r="DI13" i="23" a="1"/>
  <c r="DI13" i="23" s="1"/>
  <c r="DI18" i="23" a="1"/>
  <c r="DI18" i="23" s="1"/>
  <c r="DO14" i="23" a="1"/>
  <c r="DO14" i="23" s="1"/>
  <c r="DC15" i="23" a="1"/>
  <c r="DC15" i="23" s="1"/>
  <c r="DN14" i="23" a="1"/>
  <c r="DN14" i="23" s="1"/>
  <c r="Z143" i="22"/>
  <c r="Z121" i="22"/>
  <c r="Z122" i="22"/>
  <c r="Z123" i="22" s="1"/>
  <c r="H96" i="21"/>
  <c r="H101" i="21"/>
  <c r="W49" i="24"/>
  <c r="C48" i="24" a="1"/>
  <c r="C48" i="24" s="1"/>
  <c r="U49" i="24"/>
  <c r="B48" i="24" a="1"/>
  <c r="B48" i="24" s="1"/>
  <c r="AA66" i="18"/>
  <c r="C54" i="18" a="1"/>
  <c r="C54" i="18" s="1"/>
  <c r="B54" i="18" a="1"/>
  <c r="B54" i="18" s="1"/>
  <c r="L57" i="22" a="1"/>
  <c r="L57" i="22" s="1"/>
  <c r="AN13" i="23" a="1"/>
  <c r="AN13" i="23" s="1"/>
  <c r="AO13" i="23" s="1"/>
  <c r="BT13" i="23" a="1"/>
  <c r="BT13" i="23" s="1"/>
  <c r="BU13" i="23" s="1"/>
  <c r="J57" i="22" a="1"/>
  <c r="J57" i="22" s="1"/>
  <c r="F57" i="22" a="1"/>
  <c r="F57" i="22" s="1"/>
  <c r="CJ13" i="23" a="1"/>
  <c r="CJ13" i="23" s="1"/>
  <c r="CK13" i="23" s="1"/>
  <c r="H12" i="16"/>
  <c r="C55" i="20" a="1"/>
  <c r="C55" i="20" s="1"/>
  <c r="CY11" i="23" a="1"/>
  <c r="CY11" i="23" s="1"/>
  <c r="CM11" i="23" a="1"/>
  <c r="CM11" i="23" s="1"/>
  <c r="CS11" i="23" a="1"/>
  <c r="CS11" i="23" s="1"/>
  <c r="CY12" i="23" a="1"/>
  <c r="CY12" i="23" s="1"/>
  <c r="CM12" i="23" a="1"/>
  <c r="CM12" i="23" s="1"/>
  <c r="CS12" i="23" a="1"/>
  <c r="CS12" i="23" s="1"/>
  <c r="DS25" i="23"/>
  <c r="DS18" i="23" s="1" a="1"/>
  <c r="DS18" i="23" s="1"/>
  <c r="DI11" i="23" a="1"/>
  <c r="DI11" i="23" s="1"/>
  <c r="DO11" i="23" a="1"/>
  <c r="DO11" i="23" s="1"/>
  <c r="DC11" i="23" a="1"/>
  <c r="DC11" i="23" s="1"/>
  <c r="DO12" i="23" a="1"/>
  <c r="DO12" i="23" s="1"/>
  <c r="DC12" i="23" a="1"/>
  <c r="DC12" i="23" s="1"/>
  <c r="DI12" i="23" a="1"/>
  <c r="DI12" i="23" s="1"/>
  <c r="DS6" i="23" a="1"/>
  <c r="DS6" i="23" s="1"/>
  <c r="DC6" i="23" a="1"/>
  <c r="DC6" i="23" s="1"/>
  <c r="K57" i="22" a="1"/>
  <c r="K57" i="22" s="1"/>
  <c r="M57" i="22" a="1"/>
  <c r="M57" i="22" s="1"/>
  <c r="P76" i="19" a="1"/>
  <c r="P76" i="19" s="1"/>
  <c r="P77" i="19" a="1"/>
  <c r="P77" i="19" s="1"/>
  <c r="P74" i="19" a="1"/>
  <c r="P74" i="19" s="1"/>
  <c r="P73" i="19" a="1"/>
  <c r="P73" i="19" s="1"/>
  <c r="P79" i="19"/>
  <c r="P80" i="19" s="1"/>
  <c r="P68" i="19" a="1"/>
  <c r="P68" i="19" s="1"/>
  <c r="I15" i="23" s="1" a="1"/>
  <c r="I15" i="23" s="1"/>
  <c r="O67" i="19"/>
  <c r="P75" i="19"/>
  <c r="O53" i="19"/>
  <c r="H82" i="19" a="1"/>
  <c r="H82" i="19" s="1"/>
  <c r="P93" i="19" s="1"/>
  <c r="I82" i="19" a="1"/>
  <c r="I82" i="19" s="1"/>
  <c r="F82" i="19" a="1"/>
  <c r="F82" i="19" s="1"/>
  <c r="E82" i="19" a="1"/>
  <c r="E82" i="19" s="1"/>
  <c r="BD97" i="19"/>
  <c r="B82" i="19" a="1"/>
  <c r="B82" i="19" s="1"/>
  <c r="C82" i="19" a="1"/>
  <c r="C82" i="19" s="1"/>
  <c r="G82" i="19" a="1"/>
  <c r="G82" i="19" s="1"/>
  <c r="D82" i="19" a="1"/>
  <c r="D82" i="19" s="1"/>
  <c r="O39" i="19"/>
  <c r="O27" i="19"/>
  <c r="AL5" i="19" a="1"/>
  <c r="AL5" i="19" s="1"/>
  <c r="AO1" i="19"/>
  <c r="O12" i="19"/>
  <c r="C95" i="20" l="1" a="1"/>
  <c r="C95" i="20" s="1"/>
  <c r="S101" i="20"/>
  <c r="C96" i="20" a="1"/>
  <c r="C96" i="20" s="1"/>
  <c r="C93" i="20" a="1"/>
  <c r="C93" i="20" s="1"/>
  <c r="C89" i="20" a="1"/>
  <c r="C89" i="20" s="1"/>
  <c r="C92" i="20" a="1"/>
  <c r="C92" i="20" s="1"/>
  <c r="A89" i="20" a="1"/>
  <c r="A89" i="20" s="1"/>
  <c r="C97" i="20" a="1"/>
  <c r="C97" i="20" s="1"/>
  <c r="C94" i="20" a="1"/>
  <c r="C94" i="20" s="1"/>
  <c r="C90" i="20" a="1"/>
  <c r="C90" i="20" s="1"/>
  <c r="A143" i="22" a="1"/>
  <c r="A143" i="22" s="1"/>
  <c r="B143" i="22" a="1"/>
  <c r="B143" i="22" s="1"/>
  <c r="R166" i="22"/>
  <c r="K102" i="21"/>
  <c r="K97" i="21"/>
  <c r="O118" i="21" a="1"/>
  <c r="O118" i="21" s="1"/>
  <c r="N118" i="21" a="1"/>
  <c r="N118" i="21" s="1"/>
  <c r="M118" i="21" a="1"/>
  <c r="M118" i="21" s="1"/>
  <c r="L118" i="21" a="1"/>
  <c r="L118" i="21" s="1"/>
  <c r="K118" i="21" a="1"/>
  <c r="K118" i="21" s="1"/>
  <c r="J118" i="21" a="1"/>
  <c r="J118" i="21" s="1"/>
  <c r="I118" i="21" a="1"/>
  <c r="I118" i="21" s="1"/>
  <c r="H118" i="21" a="1"/>
  <c r="H118" i="21" s="1"/>
  <c r="G118" i="21" a="1"/>
  <c r="G118" i="21" s="1"/>
  <c r="E118" i="21" a="1"/>
  <c r="E118" i="21" s="1"/>
  <c r="F118" i="21" a="1"/>
  <c r="F118" i="21" s="1"/>
  <c r="D118" i="21" a="1"/>
  <c r="D118" i="21" s="1"/>
  <c r="U132" i="21"/>
  <c r="U119" i="21"/>
  <c r="U120" i="21"/>
  <c r="U122" i="21"/>
  <c r="CN17" i="23" a="1"/>
  <c r="CN17" i="23" s="1"/>
  <c r="A17" i="23" a="1"/>
  <c r="A17" i="23" s="1"/>
  <c r="C17" i="23" a="1"/>
  <c r="C17" i="23" s="1"/>
  <c r="DT17" i="23" a="1"/>
  <c r="DT17" i="23" s="1"/>
  <c r="DD17" i="23" a="1"/>
  <c r="DD17" i="23" s="1"/>
  <c r="L17" i="23" a="1"/>
  <c r="L17" i="23" s="1"/>
  <c r="J17" i="23" a="1"/>
  <c r="J17" i="23" s="1"/>
  <c r="H17" i="23" a="1"/>
  <c r="H17" i="23" s="1"/>
  <c r="G17" i="23" a="1"/>
  <c r="G17" i="23" s="1"/>
  <c r="GF17" i="23" a="1"/>
  <c r="GF17" i="23" s="1"/>
  <c r="BX17" i="23" a="1"/>
  <c r="BX17" i="23" s="1"/>
  <c r="F17" i="23" a="1"/>
  <c r="F17" i="23" s="1"/>
  <c r="FP17" i="23" a="1"/>
  <c r="FP17" i="23" s="1"/>
  <c r="E17" i="23" a="1"/>
  <c r="E17" i="23" s="1"/>
  <c r="D17" i="23" a="1"/>
  <c r="D17" i="23" s="1"/>
  <c r="HH18" i="23"/>
  <c r="AR17" i="23" a="1"/>
  <c r="AR17" i="23" s="1"/>
  <c r="B17" i="23" a="1"/>
  <c r="B17" i="23" s="1"/>
  <c r="BH17" i="23" a="1"/>
  <c r="BH17" i="23" s="1"/>
  <c r="AB17" i="23" a="1"/>
  <c r="AB17" i="23" s="1"/>
  <c r="EZ17" i="23" a="1"/>
  <c r="EZ17" i="23" s="1"/>
  <c r="EJ17" i="23" a="1"/>
  <c r="EJ17" i="23" s="1"/>
  <c r="AM17" i="23" a="1"/>
  <c r="AM17" i="23" s="1"/>
  <c r="W17" i="23" a="1"/>
  <c r="W17" i="23" s="1"/>
  <c r="BC17" i="23" a="1"/>
  <c r="BC17" i="23" s="1"/>
  <c r="BS17" i="23" a="1"/>
  <c r="BS17" i="23" s="1"/>
  <c r="CI17" i="23" a="1"/>
  <c r="CI17" i="23" s="1"/>
  <c r="M102" i="21"/>
  <c r="M97" i="21"/>
  <c r="M151" i="22" a="1"/>
  <c r="M151" i="22" s="1"/>
  <c r="Z166" i="22"/>
  <c r="O151" i="22" a="1"/>
  <c r="O151" i="22" s="1"/>
  <c r="D151" i="22" a="1"/>
  <c r="D151" i="22" s="1"/>
  <c r="H151" i="22" a="1"/>
  <c r="H151" i="22" s="1"/>
  <c r="L151" i="22" a="1"/>
  <c r="L151" i="22" s="1"/>
  <c r="Z144" i="22"/>
  <c r="F151" i="22" a="1"/>
  <c r="F151" i="22" s="1"/>
  <c r="E151" i="22" a="1"/>
  <c r="E151" i="22" s="1"/>
  <c r="J151" i="22" a="1"/>
  <c r="J151" i="22" s="1"/>
  <c r="I151" i="22" a="1"/>
  <c r="I151" i="22" s="1"/>
  <c r="N151" i="22" a="1"/>
  <c r="N151" i="22" s="1"/>
  <c r="Z145" i="22"/>
  <c r="K151" i="22" a="1"/>
  <c r="K151" i="22" s="1"/>
  <c r="G151" i="22" a="1"/>
  <c r="G151" i="22" s="1"/>
  <c r="DC19" i="23" a="1"/>
  <c r="DC19" i="23" s="1"/>
  <c r="HU20" i="23"/>
  <c r="CM19" i="23" a="1"/>
  <c r="CM19" i="23" s="1"/>
  <c r="BG19" i="23" a="1"/>
  <c r="BG19" i="23" s="1"/>
  <c r="K19" i="23" a="1"/>
  <c r="K19" i="23" s="1"/>
  <c r="AQ19" i="23" a="1"/>
  <c r="AQ19" i="23" s="1"/>
  <c r="BW19" i="23" a="1"/>
  <c r="BW19" i="23" s="1"/>
  <c r="DS19" i="23" a="1"/>
  <c r="DS19" i="23" s="1"/>
  <c r="AA19" i="23" a="1"/>
  <c r="AA19" i="23" s="1"/>
  <c r="O95" i="21" a="1"/>
  <c r="O95" i="21" s="1"/>
  <c r="N95" i="21" a="1"/>
  <c r="N95" i="21" s="1"/>
  <c r="M95" i="21" a="1"/>
  <c r="M95" i="21" s="1"/>
  <c r="M98" i="21" s="1"/>
  <c r="M99" i="21" s="1"/>
  <c r="L95" i="21" a="1"/>
  <c r="L95" i="21" s="1"/>
  <c r="L98" i="21" s="1"/>
  <c r="L99" i="21" s="1"/>
  <c r="K95" i="21" a="1"/>
  <c r="K95" i="21" s="1"/>
  <c r="K98" i="21" s="1"/>
  <c r="K99" i="21" s="1"/>
  <c r="J95" i="21" a="1"/>
  <c r="J95" i="21" s="1"/>
  <c r="I95" i="21" a="1"/>
  <c r="I95" i="21" s="1"/>
  <c r="H95" i="21" a="1"/>
  <c r="H95" i="21" s="1"/>
  <c r="G95" i="21" a="1"/>
  <c r="G95" i="21" s="1"/>
  <c r="F95" i="21" a="1"/>
  <c r="F95" i="21" s="1"/>
  <c r="D95" i="21" a="1"/>
  <c r="D95" i="21" s="1"/>
  <c r="E95" i="21" a="1"/>
  <c r="E95" i="21" s="1"/>
  <c r="O97" i="21"/>
  <c r="O102" i="21"/>
  <c r="N98" i="21"/>
  <c r="N100" i="21" s="1"/>
  <c r="N97" i="21"/>
  <c r="N102" i="21"/>
  <c r="V124" i="22"/>
  <c r="V126" i="22"/>
  <c r="B90" i="21" a="1"/>
  <c r="B90" i="21" s="1"/>
  <c r="R104" i="21"/>
  <c r="A90" i="21" a="1"/>
  <c r="A90" i="21" s="1"/>
  <c r="DO17" i="23" a="1"/>
  <c r="DO17" i="23" s="1"/>
  <c r="D102" i="21"/>
  <c r="D97" i="21"/>
  <c r="N108" i="22" a="1"/>
  <c r="N108" i="22" s="1"/>
  <c r="J108" i="22" a="1"/>
  <c r="J108" i="22" s="1"/>
  <c r="F108" i="22" a="1"/>
  <c r="F108" i="22" s="1"/>
  <c r="M108" i="22" a="1"/>
  <c r="M108" i="22" s="1"/>
  <c r="I108" i="22" a="1"/>
  <c r="I108" i="22" s="1"/>
  <c r="E108" i="22" a="1"/>
  <c r="E108" i="22" s="1"/>
  <c r="L108" i="22" a="1"/>
  <c r="L108" i="22" s="1"/>
  <c r="K108" i="22" a="1"/>
  <c r="K108" i="22" s="1"/>
  <c r="H108" i="22" a="1"/>
  <c r="H108" i="22" s="1"/>
  <c r="D108" i="22" a="1"/>
  <c r="D108" i="22" s="1"/>
  <c r="O108" i="22" a="1"/>
  <c r="O108" i="22" s="1"/>
  <c r="G108" i="22" a="1"/>
  <c r="G108" i="22" s="1"/>
  <c r="F97" i="21"/>
  <c r="F102" i="21"/>
  <c r="V146" i="22"/>
  <c r="V167" i="22"/>
  <c r="V145" i="22"/>
  <c r="N144" i="22" a="1"/>
  <c r="N144" i="22" s="1"/>
  <c r="N162" i="22" s="1"/>
  <c r="V148" i="22"/>
  <c r="J144" i="22" a="1"/>
  <c r="J144" i="22" s="1"/>
  <c r="J162" i="22" s="1"/>
  <c r="F144" i="22" a="1"/>
  <c r="F144" i="22" s="1"/>
  <c r="F162" i="22" s="1"/>
  <c r="O144" i="22" a="1"/>
  <c r="O144" i="22" s="1"/>
  <c r="O162" i="22" s="1"/>
  <c r="K144" i="22" a="1"/>
  <c r="K144" i="22" s="1"/>
  <c r="K162" i="22" s="1"/>
  <c r="G144" i="22" a="1"/>
  <c r="G144" i="22" s="1"/>
  <c r="G162" i="22" s="1"/>
  <c r="L144" i="22" a="1"/>
  <c r="L144" i="22" s="1"/>
  <c r="L162" i="22" s="1"/>
  <c r="D144" i="22" a="1"/>
  <c r="D144" i="22" s="1"/>
  <c r="D162" i="22" s="1"/>
  <c r="H144" i="22" a="1"/>
  <c r="H144" i="22" s="1"/>
  <c r="H162" i="22" s="1"/>
  <c r="M144" i="22" a="1"/>
  <c r="M144" i="22" s="1"/>
  <c r="M162" i="22" s="1"/>
  <c r="I144" i="22" a="1"/>
  <c r="I144" i="22" s="1"/>
  <c r="I162" i="22" s="1"/>
  <c r="E144" i="22" a="1"/>
  <c r="E144" i="22" s="1"/>
  <c r="E162" i="22" s="1"/>
  <c r="D98" i="21"/>
  <c r="D100" i="21" s="1"/>
  <c r="G97" i="21"/>
  <c r="G98" i="21" s="1"/>
  <c r="G99" i="21" s="1"/>
  <c r="G102" i="21"/>
  <c r="I102" i="21"/>
  <c r="I97" i="21"/>
  <c r="L97" i="21"/>
  <c r="L102" i="21"/>
  <c r="ED11" i="23" a="1"/>
  <c r="ED11" i="23" s="1"/>
  <c r="DS13" i="23" a="1"/>
  <c r="DS13" i="23" s="1"/>
  <c r="DY15" i="23" a="1"/>
  <c r="DY15" i="23" s="1"/>
  <c r="ED12" i="23" a="1"/>
  <c r="ED12" i="23" s="1"/>
  <c r="DY17" i="23" a="1"/>
  <c r="DY17" i="23" s="1"/>
  <c r="DS14" i="23" a="1"/>
  <c r="DS14" i="23" s="1"/>
  <c r="DY20" i="23" a="1"/>
  <c r="DY20" i="23" s="1"/>
  <c r="EE13" i="23" a="1"/>
  <c r="EE13" i="23" s="1"/>
  <c r="DY13" i="23" a="1"/>
  <c r="DY13" i="23" s="1"/>
  <c r="EE17" i="23" a="1"/>
  <c r="EE17" i="23" s="1"/>
  <c r="ED13" i="23" a="1"/>
  <c r="ED13" i="23" s="1"/>
  <c r="DY14" i="23" a="1"/>
  <c r="DY14" i="23" s="1"/>
  <c r="EE18" i="23" a="1"/>
  <c r="EE18" i="23" s="1"/>
  <c r="EE15" i="23" a="1"/>
  <c r="EE15" i="23" s="1"/>
  <c r="EE14" i="23" a="1"/>
  <c r="EE14" i="23" s="1"/>
  <c r="DY18" i="23" a="1"/>
  <c r="DY18" i="23" s="1"/>
  <c r="DY19" i="23" a="1"/>
  <c r="DY19" i="23" s="1"/>
  <c r="DS15" i="23" a="1"/>
  <c r="DS15" i="23" s="1"/>
  <c r="ED14" i="23" a="1"/>
  <c r="ED14" i="23" s="1"/>
  <c r="DS17" i="23" a="1"/>
  <c r="DS17" i="23" s="1"/>
  <c r="ED15" i="23" a="1"/>
  <c r="ED15" i="23" s="1"/>
  <c r="E97" i="21"/>
  <c r="E98" i="21" s="1"/>
  <c r="E99" i="21" s="1"/>
  <c r="E102" i="21"/>
  <c r="L108" i="21" a="1"/>
  <c r="L108" i="21" s="1"/>
  <c r="K108" i="21" a="1"/>
  <c r="K108" i="21" s="1"/>
  <c r="J108" i="21" a="1"/>
  <c r="J108" i="21" s="1"/>
  <c r="F108" i="21" a="1"/>
  <c r="F108" i="21" s="1"/>
  <c r="I108" i="21" a="1"/>
  <c r="I108" i="21" s="1"/>
  <c r="D108" i="21" a="1"/>
  <c r="D108" i="21" s="1"/>
  <c r="H108" i="21" a="1"/>
  <c r="H108" i="21" s="1"/>
  <c r="G108" i="21" a="1"/>
  <c r="G108" i="21" s="1"/>
  <c r="E108" i="21" a="1"/>
  <c r="E108" i="21" s="1"/>
  <c r="O108" i="21" a="1"/>
  <c r="O108" i="21" s="1"/>
  <c r="N108" i="21" a="1"/>
  <c r="N108" i="21" s="1"/>
  <c r="M108" i="21" a="1"/>
  <c r="M108" i="21" s="1"/>
  <c r="I93" i="21" a="1"/>
  <c r="I93" i="21" s="1"/>
  <c r="D93" i="21" a="1"/>
  <c r="D93" i="21" s="1"/>
  <c r="K93" i="21" a="1"/>
  <c r="K93" i="21" s="1"/>
  <c r="H93" i="21" a="1"/>
  <c r="H93" i="21" s="1"/>
  <c r="F93" i="21" a="1"/>
  <c r="F93" i="21" s="1"/>
  <c r="E93" i="21" a="1"/>
  <c r="E93" i="21" s="1"/>
  <c r="N93" i="21" a="1"/>
  <c r="N93" i="21" s="1"/>
  <c r="J93" i="21" a="1"/>
  <c r="J93" i="21" s="1"/>
  <c r="M93" i="21" a="1"/>
  <c r="M93" i="21" s="1"/>
  <c r="G93" i="21" a="1"/>
  <c r="G93" i="21" s="1"/>
  <c r="O93" i="21" a="1"/>
  <c r="O93" i="21" s="1"/>
  <c r="L93" i="21" a="1"/>
  <c r="L93" i="21" s="1"/>
  <c r="I98" i="21"/>
  <c r="I99" i="21" s="1"/>
  <c r="D101" i="22" a="1"/>
  <c r="D101" i="22" s="1"/>
  <c r="O101" i="22" a="1"/>
  <c r="O101" i="22" s="1"/>
  <c r="K101" i="22" a="1"/>
  <c r="K101" i="22" s="1"/>
  <c r="L101" i="22" a="1"/>
  <c r="L101" i="22" s="1"/>
  <c r="G101" i="22" a="1"/>
  <c r="G101" i="22" s="1"/>
  <c r="N101" i="22" a="1"/>
  <c r="N101" i="22" s="1"/>
  <c r="J101" i="22" a="1"/>
  <c r="J101" i="22" s="1"/>
  <c r="F101" i="22" a="1"/>
  <c r="F101" i="22" s="1"/>
  <c r="M101" i="22" a="1"/>
  <c r="M101" i="22" s="1"/>
  <c r="I101" i="22" a="1"/>
  <c r="I101" i="22" s="1"/>
  <c r="E101" i="22" a="1"/>
  <c r="E101" i="22" s="1"/>
  <c r="H101" i="22" a="1"/>
  <c r="H101" i="22" s="1"/>
  <c r="CY17" i="23" a="1"/>
  <c r="CY17" i="23" s="1"/>
  <c r="H102" i="21"/>
  <c r="H97" i="21"/>
  <c r="H98" i="21" s="1"/>
  <c r="K106" i="21" a="1"/>
  <c r="K106" i="21" s="1"/>
  <c r="F106" i="21" a="1"/>
  <c r="F106" i="21" s="1"/>
  <c r="J106" i="21" a="1"/>
  <c r="J106" i="21" s="1"/>
  <c r="I106" i="21" a="1"/>
  <c r="I106" i="21" s="1"/>
  <c r="L106" i="21" a="1"/>
  <c r="L106" i="21" s="1"/>
  <c r="H106" i="21" a="1"/>
  <c r="H106" i="21" s="1"/>
  <c r="G106" i="21" a="1"/>
  <c r="G106" i="21" s="1"/>
  <c r="E106" i="21" a="1"/>
  <c r="E106" i="21" s="1"/>
  <c r="D106" i="21" a="1"/>
  <c r="D106" i="21" s="1"/>
  <c r="O106" i="21" a="1"/>
  <c r="O106" i="21" s="1"/>
  <c r="N106" i="21" a="1"/>
  <c r="N106" i="21" s="1"/>
  <c r="M106" i="21" a="1"/>
  <c r="M106" i="21" s="1"/>
  <c r="U107" i="21"/>
  <c r="F98" i="21"/>
  <c r="F100" i="21" s="1"/>
  <c r="F99" i="21"/>
  <c r="F103" i="21" s="1"/>
  <c r="BD17" i="23" s="1" a="1"/>
  <c r="BD17" i="23" s="1"/>
  <c r="DN17" i="23" a="1"/>
  <c r="DN17" i="23" s="1"/>
  <c r="ED17" i="23" a="1"/>
  <c r="ED17" i="23" s="1"/>
  <c r="V17" i="23" a="1"/>
  <c r="V17" i="23" s="1"/>
  <c r="ET17" i="23" a="1"/>
  <c r="ET17" i="23" s="1"/>
  <c r="CX17" i="23" a="1"/>
  <c r="CX17" i="23" s="1"/>
  <c r="CH17" i="23" a="1"/>
  <c r="CH17" i="23" s="1"/>
  <c r="HW18" i="23"/>
  <c r="BR17" i="23" a="1"/>
  <c r="BR17" i="23" s="1"/>
  <c r="BB17" i="23" a="1"/>
  <c r="BB17" i="23" s="1"/>
  <c r="AL17" i="23" a="1"/>
  <c r="AL17" i="23" s="1"/>
  <c r="J97" i="21"/>
  <c r="J98" i="21" s="1"/>
  <c r="J102" i="21"/>
  <c r="O105" i="21" a="1"/>
  <c r="O105" i="21" s="1"/>
  <c r="N105" i="21" a="1"/>
  <c r="N105" i="21" s="1"/>
  <c r="M105" i="21" a="1"/>
  <c r="M105" i="21" s="1"/>
  <c r="L105" i="21" a="1"/>
  <c r="L105" i="21" s="1"/>
  <c r="K105" i="21" a="1"/>
  <c r="K105" i="21" s="1"/>
  <c r="J105" i="21" a="1"/>
  <c r="J105" i="21" s="1"/>
  <c r="I105" i="21" a="1"/>
  <c r="I105" i="21" s="1"/>
  <c r="H105" i="21" a="1"/>
  <c r="H105" i="21" s="1"/>
  <c r="G105" i="21" a="1"/>
  <c r="G105" i="21" s="1"/>
  <c r="F105" i="21" a="1"/>
  <c r="F105" i="21" s="1"/>
  <c r="E105" i="21" a="1"/>
  <c r="E105" i="21" s="1"/>
  <c r="D105" i="21" a="1"/>
  <c r="D105" i="21" s="1"/>
  <c r="U109" i="21"/>
  <c r="W50" i="24"/>
  <c r="C49" i="24" a="1"/>
  <c r="C49" i="24" s="1"/>
  <c r="U50" i="24"/>
  <c r="B49" i="24" a="1"/>
  <c r="B49" i="24" s="1"/>
  <c r="BD13" i="23" a="1"/>
  <c r="BD13" i="23" s="1"/>
  <c r="BE13" i="23" s="1"/>
  <c r="C66" i="18" a="1"/>
  <c r="C66" i="18" s="1"/>
  <c r="B66" i="18" a="1"/>
  <c r="B66" i="18" s="1"/>
  <c r="AA78" i="18"/>
  <c r="D57" i="22" a="1"/>
  <c r="D57" i="22" s="1"/>
  <c r="E57" i="22" a="1"/>
  <c r="E57" i="22" s="1"/>
  <c r="DP13" i="23" a="1"/>
  <c r="DP13" i="23" s="1"/>
  <c r="DQ13" i="23" s="1"/>
  <c r="EV13" i="23" a="1"/>
  <c r="EV13" i="23" s="1"/>
  <c r="G57" i="22" a="1"/>
  <c r="G57" i="22" s="1"/>
  <c r="O57" i="22" a="1"/>
  <c r="O57" i="22" s="1"/>
  <c r="H57" i="22" a="1"/>
  <c r="H57" i="22" s="1"/>
  <c r="C79" i="20" a="1"/>
  <c r="C79" i="20" s="1"/>
  <c r="C67" i="20" a="1"/>
  <c r="C67" i="20" s="1"/>
  <c r="EI25" i="23"/>
  <c r="DY11" i="23" a="1"/>
  <c r="DY11" i="23" s="1"/>
  <c r="DS11" i="23" a="1"/>
  <c r="DS11" i="23" s="1"/>
  <c r="EE11" i="23" a="1"/>
  <c r="EE11" i="23" s="1"/>
  <c r="DS12" i="23" a="1"/>
  <c r="DS12" i="23" s="1"/>
  <c r="DY12" i="23" a="1"/>
  <c r="DY12" i="23" s="1"/>
  <c r="EE12" i="23" a="1"/>
  <c r="EE12" i="23" s="1"/>
  <c r="CZ13" i="23" a="1"/>
  <c r="CZ13" i="23" s="1"/>
  <c r="DA13" i="23" s="1"/>
  <c r="I57" i="22" a="1"/>
  <c r="I57" i="22" s="1"/>
  <c r="N57" i="22" a="1"/>
  <c r="N57" i="22" s="1"/>
  <c r="EF13" i="23" a="1"/>
  <c r="EF13" i="23" s="1"/>
  <c r="E97" i="19" a="1"/>
  <c r="E97" i="19" s="1"/>
  <c r="I97" i="19" a="1"/>
  <c r="I97" i="19" s="1"/>
  <c r="D97" i="19" a="1"/>
  <c r="D97" i="19" s="1"/>
  <c r="F97" i="19" a="1"/>
  <c r="F97" i="19" s="1"/>
  <c r="C97" i="19" a="1"/>
  <c r="C97" i="19" s="1"/>
  <c r="H97" i="19" a="1"/>
  <c r="H97" i="19" s="1"/>
  <c r="P108" i="19" s="1"/>
  <c r="G97" i="19" a="1"/>
  <c r="G97" i="19" s="1"/>
  <c r="B97" i="19" a="1"/>
  <c r="B97" i="19" s="1"/>
  <c r="BD112" i="19"/>
  <c r="O54" i="19"/>
  <c r="P89" i="19" a="1"/>
  <c r="P89" i="19" s="1"/>
  <c r="P88" i="19" a="1"/>
  <c r="P88" i="19" s="1"/>
  <c r="P94" i="19"/>
  <c r="P95" i="19" s="1"/>
  <c r="O82" i="19"/>
  <c r="P83" i="19" a="1"/>
  <c r="P83" i="19" s="1"/>
  <c r="I16" i="23" s="1" a="1"/>
  <c r="I16" i="23" s="1"/>
  <c r="P90" i="19"/>
  <c r="O40" i="19"/>
  <c r="P92" i="19" a="1"/>
  <c r="P92" i="19" s="1"/>
  <c r="P91" i="19" a="1"/>
  <c r="P91" i="19" s="1"/>
  <c r="O68" i="19"/>
  <c r="O28" i="19"/>
  <c r="AR1" i="19"/>
  <c r="AO5" i="19" a="1"/>
  <c r="AO5" i="19" s="1"/>
  <c r="O13" i="19"/>
  <c r="H13" i="16"/>
  <c r="H14" i="16"/>
  <c r="C91" i="20" a="1"/>
  <c r="C91" i="20" s="1"/>
  <c r="J100" i="21" l="1"/>
  <c r="J99" i="21"/>
  <c r="J103" i="21" s="1"/>
  <c r="DP17" i="23" s="1" a="1"/>
  <c r="DP17" i="23" s="1"/>
  <c r="H100" i="21"/>
  <c r="H99" i="21"/>
  <c r="H103" i="21" s="1"/>
  <c r="CJ17" i="23" s="1" a="1"/>
  <c r="CJ17" i="23" s="1"/>
  <c r="K148" i="22" a="1"/>
  <c r="K148" i="22" s="1"/>
  <c r="I103" i="21"/>
  <c r="CZ17" i="23" s="1" a="1"/>
  <c r="CZ17" i="23" s="1"/>
  <c r="D111" i="21"/>
  <c r="D116" i="21"/>
  <c r="D99" i="21"/>
  <c r="D103" i="21" s="1"/>
  <c r="X17" i="23" s="1" a="1"/>
  <c r="X17" i="23" s="1"/>
  <c r="G129" i="21"/>
  <c r="G124" i="21"/>
  <c r="O109" i="21" a="1"/>
  <c r="O109" i="21" s="1"/>
  <c r="N109" i="21" a="1"/>
  <c r="N109" i="21" s="1"/>
  <c r="E109" i="21" a="1"/>
  <c r="E109" i="21" s="1"/>
  <c r="M109" i="21" a="1"/>
  <c r="M109" i="21" s="1"/>
  <c r="L109" i="21" a="1"/>
  <c r="L109" i="21" s="1"/>
  <c r="K109" i="21" a="1"/>
  <c r="K109" i="21" s="1"/>
  <c r="J109" i="21" a="1"/>
  <c r="J109" i="21" s="1"/>
  <c r="H109" i="21" a="1"/>
  <c r="H109" i="21" s="1"/>
  <c r="I109" i="21" a="1"/>
  <c r="I109" i="21" s="1"/>
  <c r="G109" i="21" a="1"/>
  <c r="G109" i="21" s="1"/>
  <c r="F109" i="21" a="1"/>
  <c r="F109" i="21" s="1"/>
  <c r="D109" i="21" a="1"/>
  <c r="D109" i="21" s="1"/>
  <c r="F111" i="21"/>
  <c r="F116" i="21"/>
  <c r="B104" i="21" a="1"/>
  <c r="B104" i="21" s="1"/>
  <c r="A104" i="21" a="1"/>
  <c r="A104" i="21" s="1"/>
  <c r="R118" i="21"/>
  <c r="E100" i="21"/>
  <c r="E103" i="21" s="1"/>
  <c r="AN17" i="23" s="1" a="1"/>
  <c r="AN17" i="23" s="1"/>
  <c r="I124" i="21"/>
  <c r="I129" i="21"/>
  <c r="E148" i="22" a="1"/>
  <c r="E148" i="22" s="1"/>
  <c r="J148" i="22" a="1"/>
  <c r="J148" i="22" s="1"/>
  <c r="F148" i="22" a="1"/>
  <c r="F148" i="22" s="1"/>
  <c r="H148" i="22" a="1"/>
  <c r="H148" i="22" s="1"/>
  <c r="M148" i="22" a="1"/>
  <c r="M148" i="22" s="1"/>
  <c r="G148" i="22" a="1"/>
  <c r="G148" i="22" s="1"/>
  <c r="I148" i="22" a="1"/>
  <c r="I148" i="22" s="1"/>
  <c r="M145" i="22" a="1"/>
  <c r="M145" i="22" s="1"/>
  <c r="I145" i="22" a="1"/>
  <c r="I145" i="22" s="1"/>
  <c r="E145" i="22" a="1"/>
  <c r="E145" i="22" s="1"/>
  <c r="H145" i="22" a="1"/>
  <c r="H145" i="22" s="1"/>
  <c r="F145" i="22" a="1"/>
  <c r="F145" i="22" s="1"/>
  <c r="O145" i="22" a="1"/>
  <c r="O145" i="22" s="1"/>
  <c r="D145" i="22" a="1"/>
  <c r="D145" i="22" s="1"/>
  <c r="K145" i="22" a="1"/>
  <c r="K145" i="22" s="1"/>
  <c r="G145" i="22" a="1"/>
  <c r="G145" i="22" s="1"/>
  <c r="N145" i="22" a="1"/>
  <c r="N145" i="22" s="1"/>
  <c r="J145" i="22" a="1"/>
  <c r="J145" i="22" s="1"/>
  <c r="L145" i="22" a="1"/>
  <c r="L145" i="22" s="1"/>
  <c r="J124" i="21"/>
  <c r="J129" i="21"/>
  <c r="O100" i="21"/>
  <c r="EG13" i="23"/>
  <c r="V171" i="22"/>
  <c r="V168" i="22"/>
  <c r="V190" i="22"/>
  <c r="N167" i="22" a="1"/>
  <c r="N167" i="22" s="1"/>
  <c r="O167" i="22" a="1"/>
  <c r="O167" i="22" s="1"/>
  <c r="D167" i="22" a="1"/>
  <c r="D167" i="22" s="1"/>
  <c r="G167" i="22" a="1"/>
  <c r="G167" i="22" s="1"/>
  <c r="H167" i="22" a="1"/>
  <c r="H167" i="22" s="1"/>
  <c r="K167" i="22" a="1"/>
  <c r="K167" i="22" s="1"/>
  <c r="L167" i="22" a="1"/>
  <c r="L167" i="22" s="1"/>
  <c r="F167" i="22" a="1"/>
  <c r="F167" i="22" s="1"/>
  <c r="E167" i="22" a="1"/>
  <c r="E167" i="22" s="1"/>
  <c r="I167" i="22" a="1"/>
  <c r="I167" i="22" s="1"/>
  <c r="V169" i="22"/>
  <c r="M167" i="22" a="1"/>
  <c r="M167" i="22" s="1"/>
  <c r="J167" i="22" a="1"/>
  <c r="J167" i="22" s="1"/>
  <c r="M174" i="22" a="1"/>
  <c r="M174" i="22" s="1"/>
  <c r="Z189" i="22"/>
  <c r="N174" i="22" a="1"/>
  <c r="N174" i="22" s="1"/>
  <c r="J174" i="22" a="1"/>
  <c r="J174" i="22" s="1"/>
  <c r="F174" i="22" a="1"/>
  <c r="F174" i="22" s="1"/>
  <c r="Z167" i="22"/>
  <c r="E174" i="22" a="1"/>
  <c r="E174" i="22" s="1"/>
  <c r="I174" i="22" a="1"/>
  <c r="I174" i="22" s="1"/>
  <c r="Z168" i="22"/>
  <c r="G174" i="22" a="1"/>
  <c r="G174" i="22" s="1"/>
  <c r="K174" i="22" a="1"/>
  <c r="K174" i="22" s="1"/>
  <c r="H174" i="22" a="1"/>
  <c r="H174" i="22" s="1"/>
  <c r="O174" i="22" a="1"/>
  <c r="O174" i="22" s="1"/>
  <c r="D174" i="22" a="1"/>
  <c r="D174" i="22" s="1"/>
  <c r="L174" i="22" a="1"/>
  <c r="L174" i="22" s="1"/>
  <c r="K124" i="21"/>
  <c r="K129" i="21"/>
  <c r="H116" i="21"/>
  <c r="H111" i="21"/>
  <c r="L148" i="22" a="1"/>
  <c r="L148" i="22" s="1"/>
  <c r="I116" i="21"/>
  <c r="I111" i="21"/>
  <c r="I107" i="21" a="1"/>
  <c r="I107" i="21" s="1"/>
  <c r="K107" i="21" a="1"/>
  <c r="K107" i="21" s="1"/>
  <c r="L107" i="21" a="1"/>
  <c r="L107" i="21" s="1"/>
  <c r="H107" i="21" a="1"/>
  <c r="H107" i="21" s="1"/>
  <c r="F107" i="21" a="1"/>
  <c r="F107" i="21" s="1"/>
  <c r="J107" i="21" a="1"/>
  <c r="J107" i="21" s="1"/>
  <c r="N107" i="21" a="1"/>
  <c r="N107" i="21" s="1"/>
  <c r="E107" i="21" a="1"/>
  <c r="E107" i="21" s="1"/>
  <c r="M107" i="21" a="1"/>
  <c r="M107" i="21" s="1"/>
  <c r="G107" i="21" a="1"/>
  <c r="G107" i="21" s="1"/>
  <c r="D107" i="21" a="1"/>
  <c r="D107" i="21" s="1"/>
  <c r="O107" i="21" a="1"/>
  <c r="O107" i="21" s="1"/>
  <c r="V147" i="22"/>
  <c r="D146" i="22" a="1"/>
  <c r="D146" i="22" s="1"/>
  <c r="D164" i="22" s="1"/>
  <c r="N146" i="22" a="1"/>
  <c r="N146" i="22" s="1"/>
  <c r="N164" i="22" s="1"/>
  <c r="O146" i="22" a="1"/>
  <c r="O146" i="22" s="1"/>
  <c r="O164" i="22" s="1"/>
  <c r="K146" i="22" a="1"/>
  <c r="K146" i="22" s="1"/>
  <c r="K164" i="22" s="1"/>
  <c r="F146" i="22" a="1"/>
  <c r="F146" i="22" s="1"/>
  <c r="F164" i="22" s="1"/>
  <c r="G146" i="22" a="1"/>
  <c r="G146" i="22" s="1"/>
  <c r="G164" i="22" s="1"/>
  <c r="M146" i="22" a="1"/>
  <c r="M146" i="22" s="1"/>
  <c r="M164" i="22" s="1"/>
  <c r="I146" i="22" a="1"/>
  <c r="I146" i="22" s="1"/>
  <c r="I164" i="22" s="1"/>
  <c r="L146" i="22" a="1"/>
  <c r="L146" i="22" s="1"/>
  <c r="L164" i="22" s="1"/>
  <c r="E146" i="22" a="1"/>
  <c r="E146" i="22" s="1"/>
  <c r="E164" i="22" s="1"/>
  <c r="V149" i="22"/>
  <c r="J146" i="22" a="1"/>
  <c r="J146" i="22" s="1"/>
  <c r="J164" i="22" s="1"/>
  <c r="H146" i="22" a="1"/>
  <c r="H146" i="22" s="1"/>
  <c r="H164" i="22" s="1"/>
  <c r="O98" i="21"/>
  <c r="O99" i="21" s="1"/>
  <c r="G100" i="21"/>
  <c r="G103" i="21" s="1"/>
  <c r="BT17" i="23" s="1" a="1"/>
  <c r="BT17" i="23" s="1"/>
  <c r="F153" i="22" a="1"/>
  <c r="F153" i="22" s="1"/>
  <c r="M153" i="22" a="1"/>
  <c r="M153" i="22" s="1"/>
  <c r="I153" i="22" a="1"/>
  <c r="I153" i="22" s="1"/>
  <c r="L153" i="22" a="1"/>
  <c r="L153" i="22" s="1"/>
  <c r="E153" i="22" a="1"/>
  <c r="E153" i="22" s="1"/>
  <c r="H153" i="22" a="1"/>
  <c r="H153" i="22" s="1"/>
  <c r="D153" i="22" a="1"/>
  <c r="D153" i="22" s="1"/>
  <c r="O153" i="22" a="1"/>
  <c r="O153" i="22" s="1"/>
  <c r="K153" i="22" a="1"/>
  <c r="K153" i="22" s="1"/>
  <c r="G153" i="22" a="1"/>
  <c r="G153" i="22" s="1"/>
  <c r="Z146" i="22"/>
  <c r="J153" i="22" a="1"/>
  <c r="J153" i="22" s="1"/>
  <c r="N153" i="22" a="1"/>
  <c r="N153" i="22" s="1"/>
  <c r="K122" i="21" a="1"/>
  <c r="K122" i="21" s="1"/>
  <c r="F122" i="21" a="1"/>
  <c r="F122" i="21" s="1"/>
  <c r="L122" i="21" a="1"/>
  <c r="L122" i="21" s="1"/>
  <c r="J122" i="21" a="1"/>
  <c r="J122" i="21" s="1"/>
  <c r="I122" i="21" a="1"/>
  <c r="I122" i="21" s="1"/>
  <c r="D122" i="21" a="1"/>
  <c r="D122" i="21" s="1"/>
  <c r="H122" i="21" a="1"/>
  <c r="H122" i="21" s="1"/>
  <c r="G122" i="21" a="1"/>
  <c r="G122" i="21" s="1"/>
  <c r="E122" i="21" a="1"/>
  <c r="E122" i="21" s="1"/>
  <c r="O122" i="21" a="1"/>
  <c r="O122" i="21" s="1"/>
  <c r="N122" i="21" a="1"/>
  <c r="N122" i="21" s="1"/>
  <c r="M122" i="21" a="1"/>
  <c r="M122" i="21" s="1"/>
  <c r="L129" i="21"/>
  <c r="L124" i="21"/>
  <c r="E116" i="21"/>
  <c r="E111" i="21"/>
  <c r="G116" i="21"/>
  <c r="G111" i="21"/>
  <c r="J116" i="21"/>
  <c r="J111" i="21"/>
  <c r="K120" i="21" a="1"/>
  <c r="K120" i="21" s="1"/>
  <c r="J120" i="21" a="1"/>
  <c r="J120" i="21" s="1"/>
  <c r="I120" i="21" a="1"/>
  <c r="I120" i="21" s="1"/>
  <c r="F120" i="21" a="1"/>
  <c r="F120" i="21" s="1"/>
  <c r="D120" i="21" a="1"/>
  <c r="D120" i="21" s="1"/>
  <c r="H120" i="21" a="1"/>
  <c r="H120" i="21" s="1"/>
  <c r="G120" i="21" a="1"/>
  <c r="G120" i="21" s="1"/>
  <c r="E120" i="21" a="1"/>
  <c r="E120" i="21" s="1"/>
  <c r="O120" i="21" a="1"/>
  <c r="O120" i="21" s="1"/>
  <c r="N120" i="21" a="1"/>
  <c r="N120" i="21" s="1"/>
  <c r="L120" i="21" a="1"/>
  <c r="L120" i="21" s="1"/>
  <c r="M120" i="21" a="1"/>
  <c r="M120" i="21" s="1"/>
  <c r="U121" i="21"/>
  <c r="M129" i="21"/>
  <c r="M124" i="21"/>
  <c r="ET11" i="23" a="1"/>
  <c r="ET11" i="23" s="1"/>
  <c r="EI13" i="23" a="1"/>
  <c r="EI13" i="23" s="1"/>
  <c r="EO15" i="23" a="1"/>
  <c r="EO15" i="23" s="1"/>
  <c r="ET12" i="23" a="1"/>
  <c r="ET12" i="23" s="1"/>
  <c r="EI14" i="23" a="1"/>
  <c r="EI14" i="23" s="1"/>
  <c r="EO17" i="23" a="1"/>
  <c r="EO17" i="23" s="1"/>
  <c r="EU14" i="23" a="1"/>
  <c r="EU14" i="23" s="1"/>
  <c r="EO14" i="23" a="1"/>
  <c r="EO14" i="23" s="1"/>
  <c r="EU18" i="23" a="1"/>
  <c r="EU18" i="23" s="1"/>
  <c r="EU13" i="23" a="1"/>
  <c r="EU13" i="23" s="1"/>
  <c r="EO18" i="23" a="1"/>
  <c r="EO18" i="23" s="1"/>
  <c r="EO19" i="23" a="1"/>
  <c r="EO19" i="23" s="1"/>
  <c r="EU17" i="23" a="1"/>
  <c r="EU17" i="23" s="1"/>
  <c r="EU19" i="23" a="1"/>
  <c r="EU19" i="23" s="1"/>
  <c r="EU15" i="23" a="1"/>
  <c r="EU15" i="23" s="1"/>
  <c r="EO20" i="23" a="1"/>
  <c r="EO20" i="23" s="1"/>
  <c r="ET13" i="23" a="1"/>
  <c r="ET13" i="23" s="1"/>
  <c r="EO13" i="23" a="1"/>
  <c r="EO13" i="23" s="1"/>
  <c r="EI15" i="23" a="1"/>
  <c r="EI15" i="23" s="1"/>
  <c r="ET14" i="23" a="1"/>
  <c r="ET14" i="23" s="1"/>
  <c r="EI17" i="23" a="1"/>
  <c r="EI17" i="23" s="1"/>
  <c r="ET15" i="23" a="1"/>
  <c r="ET15" i="23" s="1"/>
  <c r="ET16" i="23" a="1"/>
  <c r="ET16" i="23" s="1"/>
  <c r="EI18" i="23" a="1"/>
  <c r="EI18" i="23" s="1"/>
  <c r="K116" i="21"/>
  <c r="K111" i="21"/>
  <c r="DN18" i="23" a="1"/>
  <c r="DN18" i="23" s="1"/>
  <c r="AL18" i="23" a="1"/>
  <c r="AL18" i="23" s="1"/>
  <c r="CH18" i="23" a="1"/>
  <c r="CH18" i="23" s="1"/>
  <c r="V18" i="23" a="1"/>
  <c r="V18" i="23" s="1"/>
  <c r="HW19" i="23"/>
  <c r="ET18" i="23" a="1"/>
  <c r="ET18" i="23" s="1"/>
  <c r="BR18" i="23" a="1"/>
  <c r="BR18" i="23" s="1"/>
  <c r="BB18" i="23" a="1"/>
  <c r="BB18" i="23" s="1"/>
  <c r="CX18" i="23" a="1"/>
  <c r="CX18" i="23" s="1"/>
  <c r="ED18" i="23" a="1"/>
  <c r="ED18" i="23" s="1"/>
  <c r="I100" i="21"/>
  <c r="O119" i="21" a="1"/>
  <c r="O119" i="21" s="1"/>
  <c r="N119" i="21" a="1"/>
  <c r="N119" i="21" s="1"/>
  <c r="M119" i="21" a="1"/>
  <c r="M119" i="21" s="1"/>
  <c r="L119" i="21" a="1"/>
  <c r="L119" i="21" s="1"/>
  <c r="K119" i="21" a="1"/>
  <c r="K119" i="21" s="1"/>
  <c r="J119" i="21" a="1"/>
  <c r="J119" i="21" s="1"/>
  <c r="H119" i="21" a="1"/>
  <c r="H119" i="21" s="1"/>
  <c r="I119" i="21" a="1"/>
  <c r="I119" i="21" s="1"/>
  <c r="G119" i="21" a="1"/>
  <c r="G119" i="21" s="1"/>
  <c r="F119" i="21" a="1"/>
  <c r="F119" i="21" s="1"/>
  <c r="E119" i="21" a="1"/>
  <c r="E119" i="21" s="1"/>
  <c r="D119" i="21" a="1"/>
  <c r="D119" i="21" s="1"/>
  <c r="U123" i="21"/>
  <c r="N129" i="21"/>
  <c r="N124" i="21"/>
  <c r="EI20" i="23" a="1"/>
  <c r="EI20" i="23" s="1"/>
  <c r="BW20" i="23" a="1"/>
  <c r="BW20" i="23" s="1"/>
  <c r="K20" i="23" a="1"/>
  <c r="K20" i="23" s="1"/>
  <c r="DS20" i="23" a="1"/>
  <c r="DS20" i="23" s="1"/>
  <c r="BG20" i="23" a="1"/>
  <c r="BG20" i="23" s="1"/>
  <c r="DC20" i="23" a="1"/>
  <c r="DC20" i="23" s="1"/>
  <c r="AQ20" i="23" a="1"/>
  <c r="AQ20" i="23" s="1"/>
  <c r="CM20" i="23" a="1"/>
  <c r="CM20" i="23" s="1"/>
  <c r="AA20" i="23" a="1"/>
  <c r="AA20" i="23" s="1"/>
  <c r="EW13" i="23"/>
  <c r="L111" i="21"/>
  <c r="L116" i="21"/>
  <c r="EI19" i="23" a="1"/>
  <c r="EI19" i="23" s="1"/>
  <c r="U134" i="21"/>
  <c r="O132" i="21" a="1"/>
  <c r="O132" i="21" s="1"/>
  <c r="O143" i="21" s="1"/>
  <c r="N132" i="21" a="1"/>
  <c r="N132" i="21" s="1"/>
  <c r="N143" i="21" s="1"/>
  <c r="M132" i="21" a="1"/>
  <c r="M132" i="21" s="1"/>
  <c r="M143" i="21" s="1"/>
  <c r="L132" i="21" a="1"/>
  <c r="L132" i="21" s="1"/>
  <c r="L143" i="21" s="1"/>
  <c r="K132" i="21" a="1"/>
  <c r="K132" i="21" s="1"/>
  <c r="K143" i="21" s="1"/>
  <c r="J132" i="21" a="1"/>
  <c r="J132" i="21" s="1"/>
  <c r="J143" i="21" s="1"/>
  <c r="I132" i="21" a="1"/>
  <c r="I132" i="21" s="1"/>
  <c r="I143" i="21" s="1"/>
  <c r="H132" i="21" a="1"/>
  <c r="H132" i="21" s="1"/>
  <c r="H143" i="21" s="1"/>
  <c r="G132" i="21" a="1"/>
  <c r="G132" i="21" s="1"/>
  <c r="G143" i="21" s="1"/>
  <c r="F132" i="21" a="1"/>
  <c r="F132" i="21" s="1"/>
  <c r="F143" i="21" s="1"/>
  <c r="E132" i="21" a="1"/>
  <c r="E132" i="21" s="1"/>
  <c r="E143" i="21" s="1"/>
  <c r="D132" i="21" a="1"/>
  <c r="D132" i="21" s="1"/>
  <c r="D143" i="21" s="1"/>
  <c r="U133" i="21"/>
  <c r="U136" i="21"/>
  <c r="O129" i="21"/>
  <c r="O124" i="21"/>
  <c r="H124" i="21"/>
  <c r="H129" i="21"/>
  <c r="D148" i="22" a="1"/>
  <c r="D148" i="22" s="1"/>
  <c r="M111" i="21"/>
  <c r="M116" i="21"/>
  <c r="K100" i="21"/>
  <c r="K103" i="21" s="1"/>
  <c r="EF17" i="23" s="1" a="1"/>
  <c r="EF17" i="23" s="1"/>
  <c r="AR18" i="23" a="1"/>
  <c r="AR18" i="23" s="1"/>
  <c r="D18" i="23" a="1"/>
  <c r="D18" i="23" s="1"/>
  <c r="GF18" i="23" a="1"/>
  <c r="GF18" i="23" s="1"/>
  <c r="DD18" i="23" a="1"/>
  <c r="DD18" i="23" s="1"/>
  <c r="C18" i="23" a="1"/>
  <c r="C18" i="23" s="1"/>
  <c r="B18" i="23" a="1"/>
  <c r="B18" i="23" s="1"/>
  <c r="CN18" i="23" a="1"/>
  <c r="CN18" i="23" s="1"/>
  <c r="AB18" i="23" a="1"/>
  <c r="AB18" i="23" s="1"/>
  <c r="A18" i="23" a="1"/>
  <c r="A18" i="23" s="1"/>
  <c r="FP18" i="23" a="1"/>
  <c r="FP18" i="23" s="1"/>
  <c r="G18" i="23" a="1"/>
  <c r="G18" i="23" s="1"/>
  <c r="EZ18" i="23" a="1"/>
  <c r="EZ18" i="23" s="1"/>
  <c r="BX18" i="23" a="1"/>
  <c r="BX18" i="23" s="1"/>
  <c r="L18" i="23" a="1"/>
  <c r="L18" i="23" s="1"/>
  <c r="J18" i="23" a="1"/>
  <c r="J18" i="23" s="1"/>
  <c r="EJ18" i="23" a="1"/>
  <c r="EJ18" i="23" s="1"/>
  <c r="BH18" i="23" a="1"/>
  <c r="BH18" i="23" s="1"/>
  <c r="H18" i="23" a="1"/>
  <c r="H18" i="23" s="1"/>
  <c r="HH19" i="23"/>
  <c r="DT18" i="23" a="1"/>
  <c r="DT18" i="23" s="1"/>
  <c r="E18" i="23" a="1"/>
  <c r="E18" i="23" s="1"/>
  <c r="W18" i="23" a="1"/>
  <c r="W18" i="23" s="1"/>
  <c r="AM18" i="23" a="1"/>
  <c r="AM18" i="23" s="1"/>
  <c r="BS18" i="23" a="1"/>
  <c r="BS18" i="23" s="1"/>
  <c r="F18" i="23" a="1"/>
  <c r="F18" i="23" s="1"/>
  <c r="BC18" i="23" a="1"/>
  <c r="BC18" i="23" s="1"/>
  <c r="CI18" i="23" a="1"/>
  <c r="CI18" i="23" s="1"/>
  <c r="CY18" i="23" a="1"/>
  <c r="CY18" i="23" s="1"/>
  <c r="DO18" i="23" a="1"/>
  <c r="DO18" i="23" s="1"/>
  <c r="D129" i="21"/>
  <c r="D124" i="21"/>
  <c r="N111" i="21"/>
  <c r="N116" i="21"/>
  <c r="N99" i="21"/>
  <c r="N103" i="21" s="1"/>
  <c r="L100" i="21"/>
  <c r="L103" i="21" s="1"/>
  <c r="EV17" i="23" s="1" a="1"/>
  <c r="EV17" i="23" s="1"/>
  <c r="F129" i="21"/>
  <c r="F124" i="21"/>
  <c r="C107" i="20" a="1"/>
  <c r="C107" i="20" s="1"/>
  <c r="S113" i="20"/>
  <c r="C101" i="20" a="1"/>
  <c r="C101" i="20" s="1"/>
  <c r="A101" i="20" a="1"/>
  <c r="A101" i="20" s="1"/>
  <c r="C109" i="20" a="1"/>
  <c r="C109" i="20" s="1"/>
  <c r="C104" i="20" a="1"/>
  <c r="C104" i="20" s="1"/>
  <c r="C105" i="20" a="1"/>
  <c r="C105" i="20" s="1"/>
  <c r="C108" i="20" a="1"/>
  <c r="C108" i="20" s="1"/>
  <c r="C106" i="20" a="1"/>
  <c r="C106" i="20" s="1"/>
  <c r="C102" i="20" a="1"/>
  <c r="C102" i="20" s="1"/>
  <c r="O116" i="21"/>
  <c r="O111" i="21"/>
  <c r="M100" i="21"/>
  <c r="M103" i="21" s="1"/>
  <c r="M152" i="22" a="1"/>
  <c r="M152" i="22" s="1"/>
  <c r="I152" i="22" a="1"/>
  <c r="I152" i="22" s="1"/>
  <c r="E152" i="22" a="1"/>
  <c r="E152" i="22" s="1"/>
  <c r="L152" i="22" a="1"/>
  <c r="L152" i="22" s="1"/>
  <c r="H152" i="22" a="1"/>
  <c r="H152" i="22" s="1"/>
  <c r="D152" i="22" a="1"/>
  <c r="D152" i="22" s="1"/>
  <c r="O152" i="22" a="1"/>
  <c r="O152" i="22" s="1"/>
  <c r="K152" i="22" a="1"/>
  <c r="K152" i="22" s="1"/>
  <c r="G152" i="22" a="1"/>
  <c r="G152" i="22" s="1"/>
  <c r="N152" i="22" a="1"/>
  <c r="N152" i="22" s="1"/>
  <c r="J152" i="22" a="1"/>
  <c r="J152" i="22" s="1"/>
  <c r="F152" i="22" a="1"/>
  <c r="F152" i="22" s="1"/>
  <c r="E129" i="21"/>
  <c r="E124" i="21"/>
  <c r="B166" i="22" a="1"/>
  <c r="B166" i="22" s="1"/>
  <c r="R189" i="22"/>
  <c r="A166" i="22" a="1"/>
  <c r="A166" i="22" s="1"/>
  <c r="W51" i="24"/>
  <c r="C50" i="24" a="1"/>
  <c r="C50" i="24" s="1"/>
  <c r="U51" i="24"/>
  <c r="B50" i="24" a="1"/>
  <c r="B50" i="24" s="1"/>
  <c r="AA90" i="18"/>
  <c r="C78" i="18" a="1"/>
  <c r="C78" i="18" s="1"/>
  <c r="B78" i="18" a="1"/>
  <c r="B78" i="18" s="1"/>
  <c r="EI11" i="23" a="1"/>
  <c r="EI11" i="23" s="1"/>
  <c r="EO11" i="23" a="1"/>
  <c r="EO11" i="23" s="1"/>
  <c r="EU11" i="23" a="1"/>
  <c r="EU11" i="23" s="1"/>
  <c r="EU12" i="23" a="1"/>
  <c r="EU12" i="23" s="1"/>
  <c r="EI12" i="23" a="1"/>
  <c r="EI12" i="23" s="1"/>
  <c r="EO12" i="23" a="1"/>
  <c r="EO12" i="23" s="1"/>
  <c r="EY25" i="23"/>
  <c r="EY20" i="23" s="1" a="1"/>
  <c r="EY20" i="23" s="1"/>
  <c r="EI6" i="23" a="1"/>
  <c r="EI6" i="23" s="1"/>
  <c r="O83" i="19"/>
  <c r="O55" i="19"/>
  <c r="P98" i="19" a="1"/>
  <c r="P98" i="19" s="1"/>
  <c r="I17" i="23" s="1" a="1"/>
  <c r="I17" i="23" s="1"/>
  <c r="P105" i="19"/>
  <c r="P104" i="19" a="1"/>
  <c r="P104" i="19" s="1"/>
  <c r="O97" i="19"/>
  <c r="P103" i="19" a="1"/>
  <c r="P103" i="19" s="1"/>
  <c r="P109" i="19"/>
  <c r="P110" i="19" s="1"/>
  <c r="F112" i="19" a="1"/>
  <c r="F112" i="19" s="1"/>
  <c r="BD127" i="19"/>
  <c r="I112" i="19" a="1"/>
  <c r="I112" i="19" s="1"/>
  <c r="E112" i="19" a="1"/>
  <c r="E112" i="19" s="1"/>
  <c r="H112" i="19" a="1"/>
  <c r="H112" i="19" s="1"/>
  <c r="P123" i="19" s="1"/>
  <c r="D112" i="19" a="1"/>
  <c r="D112" i="19" s="1"/>
  <c r="B112" i="19" a="1"/>
  <c r="B112" i="19" s="1"/>
  <c r="C112" i="19" a="1"/>
  <c r="C112" i="19" s="1"/>
  <c r="G112" i="19" a="1"/>
  <c r="G112" i="19" s="1"/>
  <c r="O69" i="19"/>
  <c r="O41" i="19"/>
  <c r="P107" i="19" a="1"/>
  <c r="P107" i="19" s="1"/>
  <c r="P106" i="19" a="1"/>
  <c r="P106" i="19" s="1"/>
  <c r="O29" i="19"/>
  <c r="AR5" i="19" a="1"/>
  <c r="AR5" i="19" s="1"/>
  <c r="AU1" i="19"/>
  <c r="O14" i="19"/>
  <c r="C103" i="20" a="1"/>
  <c r="C103" i="20" s="1"/>
  <c r="H15" i="16"/>
  <c r="K136" i="21" l="1" a="1"/>
  <c r="K136" i="21" s="1"/>
  <c r="J136" i="21" a="1"/>
  <c r="J136" i="21" s="1"/>
  <c r="F136" i="21" a="1"/>
  <c r="F136" i="21" s="1"/>
  <c r="I136" i="21" a="1"/>
  <c r="I136" i="21" s="1"/>
  <c r="D136" i="21" a="1"/>
  <c r="D136" i="21" s="1"/>
  <c r="H136" i="21" a="1"/>
  <c r="H136" i="21" s="1"/>
  <c r="G136" i="21" a="1"/>
  <c r="G136" i="21" s="1"/>
  <c r="E136" i="21" a="1"/>
  <c r="E136" i="21" s="1"/>
  <c r="O136" i="21" a="1"/>
  <c r="O136" i="21" s="1"/>
  <c r="N136" i="21" a="1"/>
  <c r="N136" i="21" s="1"/>
  <c r="L136" i="21" a="1"/>
  <c r="L136" i="21" s="1"/>
  <c r="M136" i="21" a="1"/>
  <c r="M136" i="21" s="1"/>
  <c r="E125" i="21"/>
  <c r="E130" i="21"/>
  <c r="FJ18" i="23" a="1"/>
  <c r="FJ18" i="23" s="1"/>
  <c r="K134" i="21" a="1"/>
  <c r="K134" i="21" s="1"/>
  <c r="J134" i="21" a="1"/>
  <c r="J134" i="21" s="1"/>
  <c r="I134" i="21" a="1"/>
  <c r="I134" i="21" s="1"/>
  <c r="H134" i="21" a="1"/>
  <c r="H134" i="21" s="1"/>
  <c r="F134" i="21" a="1"/>
  <c r="F134" i="21" s="1"/>
  <c r="G134" i="21" a="1"/>
  <c r="G134" i="21" s="1"/>
  <c r="E134" i="21" a="1"/>
  <c r="E134" i="21" s="1"/>
  <c r="D134" i="21" a="1"/>
  <c r="D134" i="21" s="1"/>
  <c r="O134" i="21" a="1"/>
  <c r="O134" i="21" s="1"/>
  <c r="N134" i="21" a="1"/>
  <c r="N134" i="21" s="1"/>
  <c r="L134" i="21" a="1"/>
  <c r="L134" i="21" s="1"/>
  <c r="M134" i="21" a="1"/>
  <c r="M134" i="21" s="1"/>
  <c r="U135" i="21"/>
  <c r="G125" i="21"/>
  <c r="G130" i="21"/>
  <c r="M175" i="22" a="1"/>
  <c r="M175" i="22" s="1"/>
  <c r="I175" i="22" a="1"/>
  <c r="I175" i="22" s="1"/>
  <c r="E175" i="22" a="1"/>
  <c r="E175" i="22" s="1"/>
  <c r="J175" i="22" a="1"/>
  <c r="J175" i="22" s="1"/>
  <c r="L175" i="22" a="1"/>
  <c r="L175" i="22" s="1"/>
  <c r="H175" i="22" a="1"/>
  <c r="H175" i="22" s="1"/>
  <c r="D175" i="22" a="1"/>
  <c r="D175" i="22" s="1"/>
  <c r="O175" i="22" a="1"/>
  <c r="O175" i="22" s="1"/>
  <c r="K175" i="22" a="1"/>
  <c r="K175" i="22" s="1"/>
  <c r="G175" i="22" a="1"/>
  <c r="G175" i="22" s="1"/>
  <c r="N175" i="22" a="1"/>
  <c r="N175" i="22" s="1"/>
  <c r="F175" i="22" a="1"/>
  <c r="F175" i="22" s="1"/>
  <c r="C119" i="20" a="1"/>
  <c r="C119" i="20" s="1"/>
  <c r="C118" i="20" a="1"/>
  <c r="C118" i="20" s="1"/>
  <c r="C113" i="20" a="1"/>
  <c r="C113" i="20" s="1"/>
  <c r="A113" i="20" a="1"/>
  <c r="A113" i="20" s="1"/>
  <c r="C117" i="20" a="1"/>
  <c r="C117" i="20" s="1"/>
  <c r="C116" i="20" a="1"/>
  <c r="C116" i="20" s="1"/>
  <c r="C114" i="20" a="1"/>
  <c r="C114" i="20" s="1"/>
  <c r="C120" i="20" a="1"/>
  <c r="C120" i="20" s="1"/>
  <c r="C121" i="20" a="1"/>
  <c r="C121" i="20" s="1"/>
  <c r="I130" i="21"/>
  <c r="I125" i="21"/>
  <c r="M126" i="21"/>
  <c r="M128" i="21" s="1"/>
  <c r="B118" i="21" a="1"/>
  <c r="B118" i="21" s="1"/>
  <c r="R132" i="21"/>
  <c r="A118" i="21" a="1"/>
  <c r="A118" i="21" s="1"/>
  <c r="H125" i="21"/>
  <c r="H130" i="21"/>
  <c r="J130" i="21"/>
  <c r="J125" i="21"/>
  <c r="N154" i="22" a="1"/>
  <c r="N154" i="22" s="1"/>
  <c r="J154" i="22" a="1"/>
  <c r="J154" i="22" s="1"/>
  <c r="F154" i="22" a="1"/>
  <c r="F154" i="22" s="1"/>
  <c r="M154" i="22" a="1"/>
  <c r="M154" i="22" s="1"/>
  <c r="I154" i="22" a="1"/>
  <c r="I154" i="22" s="1"/>
  <c r="E154" i="22" a="1"/>
  <c r="E154" i="22" s="1"/>
  <c r="L154" i="22" a="1"/>
  <c r="L154" i="22" s="1"/>
  <c r="H154" i="22" a="1"/>
  <c r="H154" i="22" s="1"/>
  <c r="D154" i="22" a="1"/>
  <c r="D154" i="22" s="1"/>
  <c r="O154" i="22" a="1"/>
  <c r="O154" i="22" s="1"/>
  <c r="G154" i="22" a="1"/>
  <c r="G154" i="22" s="1"/>
  <c r="K154" i="22" a="1"/>
  <c r="K154" i="22" s="1"/>
  <c r="O103" i="21"/>
  <c r="N148" i="22" a="1"/>
  <c r="N148" i="22" s="1"/>
  <c r="EW17" i="23"/>
  <c r="K125" i="21"/>
  <c r="K130" i="21"/>
  <c r="HW20" i="23"/>
  <c r="V19" i="23" a="1"/>
  <c r="V19" i="23" s="1"/>
  <c r="CX19" i="23" a="1"/>
  <c r="CX19" i="23" s="1"/>
  <c r="DN19" i="23" a="1"/>
  <c r="DN19" i="23" s="1"/>
  <c r="FJ19" i="23" a="1"/>
  <c r="FJ19" i="23" s="1"/>
  <c r="CH19" i="23" a="1"/>
  <c r="CH19" i="23" s="1"/>
  <c r="ET19" i="23" a="1"/>
  <c r="ET19" i="23" s="1"/>
  <c r="BR19" i="23" a="1"/>
  <c r="BR19" i="23" s="1"/>
  <c r="AL19" i="23" a="1"/>
  <c r="AL19" i="23" s="1"/>
  <c r="ED19" i="23" a="1"/>
  <c r="ED19" i="23" s="1"/>
  <c r="BB19" i="23" a="1"/>
  <c r="BB19" i="23" s="1"/>
  <c r="D121" i="21" a="1"/>
  <c r="D121" i="21" s="1"/>
  <c r="O121" i="21" a="1"/>
  <c r="O121" i="21" s="1"/>
  <c r="L121" i="21" a="1"/>
  <c r="L121" i="21" s="1"/>
  <c r="E121" i="21" a="1"/>
  <c r="E121" i="21" s="1"/>
  <c r="F121" i="21" a="1"/>
  <c r="F121" i="21" s="1"/>
  <c r="G121" i="21" a="1"/>
  <c r="G121" i="21" s="1"/>
  <c r="I121" i="21" a="1"/>
  <c r="I121" i="21" s="1"/>
  <c r="M121" i="21" a="1"/>
  <c r="M121" i="21" s="1"/>
  <c r="K121" i="21" a="1"/>
  <c r="K121" i="21" s="1"/>
  <c r="J121" i="21" a="1"/>
  <c r="J121" i="21" s="1"/>
  <c r="H121" i="21" a="1"/>
  <c r="H121" i="21" s="1"/>
  <c r="N121" i="21" a="1"/>
  <c r="N121" i="21" s="1"/>
  <c r="M197" i="22" a="1"/>
  <c r="M197" i="22" s="1"/>
  <c r="Z212" i="22"/>
  <c r="Z190" i="22"/>
  <c r="N197" i="22" a="1"/>
  <c r="N197" i="22" s="1"/>
  <c r="G197" i="22" a="1"/>
  <c r="G197" i="22" s="1"/>
  <c r="E197" i="22" a="1"/>
  <c r="E197" i="22" s="1"/>
  <c r="H197" i="22" a="1"/>
  <c r="H197" i="22" s="1"/>
  <c r="K197" i="22" a="1"/>
  <c r="K197" i="22" s="1"/>
  <c r="I197" i="22" a="1"/>
  <c r="I197" i="22" s="1"/>
  <c r="O197" i="22" a="1"/>
  <c r="O197" i="22" s="1"/>
  <c r="F197" i="22" a="1"/>
  <c r="F197" i="22" s="1"/>
  <c r="J197" i="22" a="1"/>
  <c r="J197" i="22" s="1"/>
  <c r="D197" i="22" a="1"/>
  <c r="D197" i="22" s="1"/>
  <c r="Z191" i="22"/>
  <c r="L197" i="22" a="1"/>
  <c r="L197" i="22" s="1"/>
  <c r="O133" i="21" a="1"/>
  <c r="O133" i="21" s="1"/>
  <c r="N133" i="21" a="1"/>
  <c r="N133" i="21" s="1"/>
  <c r="M133" i="21" a="1"/>
  <c r="M133" i="21" s="1"/>
  <c r="L133" i="21" a="1"/>
  <c r="L133" i="21" s="1"/>
  <c r="K133" i="21" a="1"/>
  <c r="K133" i="21" s="1"/>
  <c r="J133" i="21" a="1"/>
  <c r="J133" i="21" s="1"/>
  <c r="H133" i="21" a="1"/>
  <c r="H133" i="21" s="1"/>
  <c r="I133" i="21" a="1"/>
  <c r="I133" i="21" s="1"/>
  <c r="G133" i="21" a="1"/>
  <c r="G133" i="21" s="1"/>
  <c r="E133" i="21" a="1"/>
  <c r="E133" i="21" s="1"/>
  <c r="F133" i="21" a="1"/>
  <c r="F133" i="21" s="1"/>
  <c r="D133" i="21" a="1"/>
  <c r="D133" i="21" s="1"/>
  <c r="U137" i="21"/>
  <c r="F125" i="21"/>
  <c r="F130" i="21"/>
  <c r="L130" i="21"/>
  <c r="L125" i="21"/>
  <c r="O147" i="22" a="1"/>
  <c r="O147" i="22" s="1"/>
  <c r="K147" i="22" a="1"/>
  <c r="K147" i="22" s="1"/>
  <c r="G147" i="22" a="1"/>
  <c r="G147" i="22" s="1"/>
  <c r="J147" i="22" a="1"/>
  <c r="J147" i="22" s="1"/>
  <c r="F147" i="22" a="1"/>
  <c r="F147" i="22" s="1"/>
  <c r="M147" i="22" a="1"/>
  <c r="M147" i="22" s="1"/>
  <c r="I147" i="22" a="1"/>
  <c r="I147" i="22" s="1"/>
  <c r="E147" i="22" a="1"/>
  <c r="E147" i="22" s="1"/>
  <c r="N147" i="22" a="1"/>
  <c r="N147" i="22" s="1"/>
  <c r="L147" i="22" a="1"/>
  <c r="L147" i="22" s="1"/>
  <c r="D147" i="22" a="1"/>
  <c r="D147" i="22" s="1"/>
  <c r="H147" i="22" a="1"/>
  <c r="H147" i="22" s="1"/>
  <c r="M125" i="21"/>
  <c r="M130" i="21"/>
  <c r="M149" i="22" a="1"/>
  <c r="M149" i="22" s="1"/>
  <c r="N149" i="22" a="1"/>
  <c r="N149" i="22" s="1"/>
  <c r="I149" i="22" a="1"/>
  <c r="I149" i="22" s="1"/>
  <c r="H149" i="22" a="1"/>
  <c r="H149" i="22" s="1"/>
  <c r="J149" i="22" a="1"/>
  <c r="J149" i="22" s="1"/>
  <c r="G149" i="22" a="1"/>
  <c r="G149" i="22" s="1"/>
  <c r="F149" i="22" a="1"/>
  <c r="F149" i="22" s="1"/>
  <c r="E149" i="22" a="1"/>
  <c r="E149" i="22" s="1"/>
  <c r="K149" i="22" a="1"/>
  <c r="K149" i="22" s="1"/>
  <c r="D149" i="22" a="1"/>
  <c r="D149" i="22" s="1"/>
  <c r="L149" i="22" a="1"/>
  <c r="L149" i="22" s="1"/>
  <c r="O149" i="22" a="1"/>
  <c r="O149" i="22" s="1"/>
  <c r="GF19" i="23" a="1"/>
  <c r="GF19" i="23" s="1"/>
  <c r="L19" i="23" a="1"/>
  <c r="L19" i="23" s="1"/>
  <c r="CN19" i="23" a="1"/>
  <c r="CN19" i="23" s="1"/>
  <c r="J19" i="23" a="1"/>
  <c r="J19" i="23" s="1"/>
  <c r="FP19" i="23" a="1"/>
  <c r="FP19" i="23" s="1"/>
  <c r="H19" i="23" a="1"/>
  <c r="H19" i="23" s="1"/>
  <c r="HH20" i="23"/>
  <c r="G19" i="23" a="1"/>
  <c r="G19" i="23" s="1"/>
  <c r="EZ19" i="23" a="1"/>
  <c r="EZ19" i="23" s="1"/>
  <c r="BX19" i="23" a="1"/>
  <c r="BX19" i="23" s="1"/>
  <c r="E19" i="23" a="1"/>
  <c r="E19" i="23" s="1"/>
  <c r="D19" i="23" a="1"/>
  <c r="D19" i="23" s="1"/>
  <c r="EJ19" i="23" a="1"/>
  <c r="EJ19" i="23" s="1"/>
  <c r="BH19" i="23" a="1"/>
  <c r="BH19" i="23" s="1"/>
  <c r="C19" i="23" a="1"/>
  <c r="C19" i="23" s="1"/>
  <c r="B19" i="23" a="1"/>
  <c r="B19" i="23" s="1"/>
  <c r="DT19" i="23" a="1"/>
  <c r="DT19" i="23" s="1"/>
  <c r="AR19" i="23" a="1"/>
  <c r="AR19" i="23" s="1"/>
  <c r="A19" i="23" a="1"/>
  <c r="A19" i="23" s="1"/>
  <c r="DD19" i="23" a="1"/>
  <c r="DD19" i="23" s="1"/>
  <c r="AB19" i="23" a="1"/>
  <c r="AB19" i="23" s="1"/>
  <c r="BC19" i="23" a="1"/>
  <c r="BC19" i="23" s="1"/>
  <c r="W19" i="23" a="1"/>
  <c r="W19" i="23" s="1"/>
  <c r="AM19" i="23" a="1"/>
  <c r="AM19" i="23" s="1"/>
  <c r="BS19" i="23" a="1"/>
  <c r="BS19" i="23" s="1"/>
  <c r="F19" i="23" a="1"/>
  <c r="F19" i="23" s="1"/>
  <c r="CI19" i="23" a="1"/>
  <c r="CI19" i="23" s="1"/>
  <c r="DO19" i="23" a="1"/>
  <c r="DO19" i="23" s="1"/>
  <c r="CY19" i="23" a="1"/>
  <c r="CY19" i="23" s="1"/>
  <c r="EE19" i="23" a="1"/>
  <c r="EE19" i="23" s="1"/>
  <c r="N125" i="21"/>
  <c r="N130" i="21"/>
  <c r="V213" i="22"/>
  <c r="V191" i="22"/>
  <c r="O190" i="22" a="1"/>
  <c r="O190" i="22" s="1"/>
  <c r="O208" i="22" s="1"/>
  <c r="K190" i="22" a="1"/>
  <c r="K190" i="22" s="1"/>
  <c r="K208" i="22" s="1"/>
  <c r="E190" i="22" a="1"/>
  <c r="E190" i="22" s="1"/>
  <c r="E208" i="22" s="1"/>
  <c r="V192" i="22"/>
  <c r="I190" i="22" a="1"/>
  <c r="I190" i="22" s="1"/>
  <c r="I208" i="22" s="1"/>
  <c r="M190" i="22" a="1"/>
  <c r="M190" i="22" s="1"/>
  <c r="M208" i="22" s="1"/>
  <c r="D190" i="22" a="1"/>
  <c r="D190" i="22" s="1"/>
  <c r="D208" i="22" s="1"/>
  <c r="V194" i="22"/>
  <c r="H190" i="22" a="1"/>
  <c r="H190" i="22" s="1"/>
  <c r="H208" i="22" s="1"/>
  <c r="F190" i="22" a="1"/>
  <c r="F190" i="22" s="1"/>
  <c r="F208" i="22" s="1"/>
  <c r="L190" i="22" a="1"/>
  <c r="L190" i="22" s="1"/>
  <c r="L208" i="22" s="1"/>
  <c r="J190" i="22" a="1"/>
  <c r="J190" i="22" s="1"/>
  <c r="J208" i="22" s="1"/>
  <c r="N190" i="22" a="1"/>
  <c r="N190" i="22" s="1"/>
  <c r="N208" i="22" s="1"/>
  <c r="G190" i="22" a="1"/>
  <c r="G190" i="22" s="1"/>
  <c r="G208" i="22" s="1"/>
  <c r="B189" i="22" a="1"/>
  <c r="B189" i="22" s="1"/>
  <c r="R212" i="22"/>
  <c r="A189" i="22" a="1"/>
  <c r="A189" i="22" s="1"/>
  <c r="O123" i="21" a="1"/>
  <c r="O123" i="21" s="1"/>
  <c r="O126" i="21" s="1"/>
  <c r="O127" i="21" s="1"/>
  <c r="N123" i="21" a="1"/>
  <c r="N123" i="21" s="1"/>
  <c r="N126" i="21" s="1"/>
  <c r="M123" i="21" a="1"/>
  <c r="M123" i="21" s="1"/>
  <c r="L123" i="21" a="1"/>
  <c r="L123" i="21" s="1"/>
  <c r="K123" i="21" a="1"/>
  <c r="K123" i="21" s="1"/>
  <c r="K126" i="21" s="1"/>
  <c r="K127" i="21" s="1"/>
  <c r="J123" i="21" a="1"/>
  <c r="J123" i="21" s="1"/>
  <c r="I123" i="21" a="1"/>
  <c r="I123" i="21" s="1"/>
  <c r="H123" i="21" a="1"/>
  <c r="H123" i="21" s="1"/>
  <c r="H126" i="21" s="1"/>
  <c r="G123" i="21" a="1"/>
  <c r="G123" i="21" s="1"/>
  <c r="G126" i="21" s="1"/>
  <c r="E123" i="21" a="1"/>
  <c r="E123" i="21" s="1"/>
  <c r="E126" i="21" s="1"/>
  <c r="F123" i="21" a="1"/>
  <c r="F123" i="21" s="1"/>
  <c r="F126" i="21" s="1"/>
  <c r="D123" i="21" a="1"/>
  <c r="D123" i="21" s="1"/>
  <c r="O125" i="21"/>
  <c r="O130" i="21"/>
  <c r="O148" i="22" a="1"/>
  <c r="O148" i="22" s="1"/>
  <c r="V170" i="22"/>
  <c r="N169" i="22" a="1"/>
  <c r="N169" i="22" s="1"/>
  <c r="N187" i="22" s="1"/>
  <c r="K169" i="22" a="1"/>
  <c r="K169" i="22" s="1"/>
  <c r="K187" i="22" s="1"/>
  <c r="V172" i="22"/>
  <c r="J169" i="22" a="1"/>
  <c r="J169" i="22" s="1"/>
  <c r="J187" i="22" s="1"/>
  <c r="M169" i="22" a="1"/>
  <c r="M169" i="22" s="1"/>
  <c r="M187" i="22" s="1"/>
  <c r="F169" i="22" a="1"/>
  <c r="F169" i="22" s="1"/>
  <c r="F187" i="22" s="1"/>
  <c r="I169" i="22" a="1"/>
  <c r="I169" i="22" s="1"/>
  <c r="I187" i="22" s="1"/>
  <c r="E169" i="22" a="1"/>
  <c r="E169" i="22" s="1"/>
  <c r="E187" i="22" s="1"/>
  <c r="L169" i="22" a="1"/>
  <c r="L169" i="22" s="1"/>
  <c r="L187" i="22" s="1"/>
  <c r="H169" i="22" a="1"/>
  <c r="H169" i="22" s="1"/>
  <c r="H187" i="22" s="1"/>
  <c r="D169" i="22" a="1"/>
  <c r="D169" i="22" s="1"/>
  <c r="D187" i="22" s="1"/>
  <c r="O169" i="22" a="1"/>
  <c r="O169" i="22" s="1"/>
  <c r="O187" i="22" s="1"/>
  <c r="G169" i="22" a="1"/>
  <c r="G169" i="22" s="1"/>
  <c r="G187" i="22" s="1"/>
  <c r="H168" i="22" a="1"/>
  <c r="H168" i="22" s="1"/>
  <c r="O168" i="22" a="1"/>
  <c r="O168" i="22" s="1"/>
  <c r="D168" i="22" a="1"/>
  <c r="D168" i="22" s="1"/>
  <c r="K168" i="22" a="1"/>
  <c r="K168" i="22" s="1"/>
  <c r="G168" i="22" a="1"/>
  <c r="G168" i="22" s="1"/>
  <c r="N168" i="22" a="1"/>
  <c r="N168" i="22" s="1"/>
  <c r="J168" i="22" a="1"/>
  <c r="J168" i="22" s="1"/>
  <c r="F168" i="22" a="1"/>
  <c r="F168" i="22" s="1"/>
  <c r="M168" i="22" a="1"/>
  <c r="M168" i="22" s="1"/>
  <c r="I168" i="22" a="1"/>
  <c r="I168" i="22" s="1"/>
  <c r="L168" i="22" a="1"/>
  <c r="L168" i="22" s="1"/>
  <c r="E168" i="22" a="1"/>
  <c r="E168" i="22" s="1"/>
  <c r="FJ11" i="23" a="1"/>
  <c r="FJ11" i="23" s="1"/>
  <c r="EY13" i="23" a="1"/>
  <c r="EY13" i="23" s="1"/>
  <c r="FJ12" i="23" a="1"/>
  <c r="FJ12" i="23" s="1"/>
  <c r="FK20" i="23" a="1"/>
  <c r="FK20" i="23" s="1"/>
  <c r="EY14" i="23" a="1"/>
  <c r="EY14" i="23" s="1"/>
  <c r="FE20" i="23" a="1"/>
  <c r="FE20" i="23" s="1"/>
  <c r="FK17" i="23" a="1"/>
  <c r="FK17" i="23" s="1"/>
  <c r="FE17" i="23" a="1"/>
  <c r="FE17" i="23" s="1"/>
  <c r="FE18" i="23" a="1"/>
  <c r="FE18" i="23" s="1"/>
  <c r="FK13" i="23" a="1"/>
  <c r="FK13" i="23" s="1"/>
  <c r="FK14" i="23" a="1"/>
  <c r="FK14" i="23" s="1"/>
  <c r="FK18" i="23" a="1"/>
  <c r="FK18" i="23" s="1"/>
  <c r="FE13" i="23" a="1"/>
  <c r="FE13" i="23" s="1"/>
  <c r="FJ13" i="23" a="1"/>
  <c r="FJ13" i="23" s="1"/>
  <c r="FE19" i="23" a="1"/>
  <c r="FE19" i="23" s="1"/>
  <c r="FE15" i="23" a="1"/>
  <c r="FE15" i="23" s="1"/>
  <c r="FE14" i="23" a="1"/>
  <c r="FE14" i="23" s="1"/>
  <c r="FK19" i="23" a="1"/>
  <c r="FK19" i="23" s="1"/>
  <c r="FK15" i="23" a="1"/>
  <c r="FK15" i="23" s="1"/>
  <c r="EY15" i="23" a="1"/>
  <c r="EY15" i="23" s="1"/>
  <c r="FJ14" i="23" a="1"/>
  <c r="FJ14" i="23" s="1"/>
  <c r="FJ15" i="23" a="1"/>
  <c r="FJ15" i="23" s="1"/>
  <c r="EY17" i="23" a="1"/>
  <c r="EY17" i="23" s="1"/>
  <c r="EY18" i="23" a="1"/>
  <c r="EY18" i="23" s="1"/>
  <c r="FJ16" i="23" a="1"/>
  <c r="FJ16" i="23" s="1"/>
  <c r="FL17" i="23" a="1"/>
  <c r="FL17" i="23" s="1"/>
  <c r="FL13" i="23" a="1"/>
  <c r="FL13" i="23" s="1"/>
  <c r="FJ17" i="23" a="1"/>
  <c r="FJ17" i="23" s="1"/>
  <c r="EY19" i="23" a="1"/>
  <c r="EY19" i="23" s="1"/>
  <c r="D130" i="21"/>
  <c r="D125" i="21"/>
  <c r="D126" i="21" s="1"/>
  <c r="D127" i="21" s="1"/>
  <c r="J126" i="21"/>
  <c r="J127" i="21"/>
  <c r="F176" i="22" a="1"/>
  <c r="F176" i="22" s="1"/>
  <c r="E176" i="22" a="1"/>
  <c r="E176" i="22" s="1"/>
  <c r="L176" i="22" a="1"/>
  <c r="L176" i="22" s="1"/>
  <c r="M176" i="22" a="1"/>
  <c r="M176" i="22" s="1"/>
  <c r="H176" i="22" a="1"/>
  <c r="H176" i="22" s="1"/>
  <c r="D176" i="22" a="1"/>
  <c r="D176" i="22" s="1"/>
  <c r="N176" i="22" a="1"/>
  <c r="N176" i="22" s="1"/>
  <c r="O176" i="22" a="1"/>
  <c r="O176" i="22" s="1"/>
  <c r="K176" i="22" a="1"/>
  <c r="K176" i="22" s="1"/>
  <c r="G176" i="22" a="1"/>
  <c r="G176" i="22" s="1"/>
  <c r="Z169" i="22"/>
  <c r="I176" i="22" a="1"/>
  <c r="I176" i="22" s="1"/>
  <c r="J176" i="22" a="1"/>
  <c r="J176" i="22" s="1"/>
  <c r="W52" i="24"/>
  <c r="C51" i="24" a="1"/>
  <c r="C51" i="24" s="1"/>
  <c r="U52" i="24"/>
  <c r="B51" i="24" a="1"/>
  <c r="B51" i="24" s="1"/>
  <c r="AA102" i="18"/>
  <c r="C90" i="18" a="1"/>
  <c r="C90" i="18" s="1"/>
  <c r="B90" i="18" a="1"/>
  <c r="B90" i="18" s="1"/>
  <c r="FM17" i="23"/>
  <c r="DQ17" i="23"/>
  <c r="BE17" i="23"/>
  <c r="BU17" i="23"/>
  <c r="AO17" i="23"/>
  <c r="DA17" i="23"/>
  <c r="CK17" i="23"/>
  <c r="Y17" i="23"/>
  <c r="EG17" i="23"/>
  <c r="FO25" i="23"/>
  <c r="FE11" i="23" a="1"/>
  <c r="FE11" i="23" s="1"/>
  <c r="EY11" i="23" a="1"/>
  <c r="EY11" i="23" s="1"/>
  <c r="FK11" i="23" a="1"/>
  <c r="FK11" i="23" s="1"/>
  <c r="FK12" i="23" a="1"/>
  <c r="FK12" i="23" s="1"/>
  <c r="EY12" i="23" a="1"/>
  <c r="EY12" i="23" s="1"/>
  <c r="FE12" i="23" a="1"/>
  <c r="FE12" i="23" s="1"/>
  <c r="EY6" i="23" a="1"/>
  <c r="EY6" i="23" s="1"/>
  <c r="O70" i="19"/>
  <c r="O42" i="19"/>
  <c r="P122" i="19" a="1"/>
  <c r="P122" i="19" s="1"/>
  <c r="P121" i="19" a="1"/>
  <c r="P121" i="19" s="1"/>
  <c r="P118" i="19" a="1"/>
  <c r="P118" i="19" s="1"/>
  <c r="P120" i="19"/>
  <c r="P119" i="19" a="1"/>
  <c r="P119" i="19" s="1"/>
  <c r="P113" i="19" a="1"/>
  <c r="P113" i="19" s="1"/>
  <c r="I18" i="23" s="1" a="1"/>
  <c r="I18" i="23" s="1"/>
  <c r="O112" i="19"/>
  <c r="P124" i="19"/>
  <c r="P125" i="19" s="1"/>
  <c r="O98" i="19"/>
  <c r="O84" i="19"/>
  <c r="H127" i="19" a="1"/>
  <c r="H127" i="19" s="1"/>
  <c r="P138" i="19" s="1"/>
  <c r="I127" i="19" a="1"/>
  <c r="I127" i="19" s="1"/>
  <c r="E127" i="19" a="1"/>
  <c r="E127" i="19" s="1"/>
  <c r="BD142" i="19"/>
  <c r="B127" i="19" a="1"/>
  <c r="B127" i="19" s="1"/>
  <c r="F127" i="19" a="1"/>
  <c r="F127" i="19" s="1"/>
  <c r="C127" i="19" a="1"/>
  <c r="C127" i="19" s="1"/>
  <c r="G127" i="19" a="1"/>
  <c r="G127" i="19" s="1"/>
  <c r="D127" i="19" a="1"/>
  <c r="D127" i="19" s="1"/>
  <c r="O56" i="19"/>
  <c r="O30" i="19"/>
  <c r="AU5" i="19" a="1"/>
  <c r="AU5" i="19" s="1"/>
  <c r="AX1" i="19"/>
  <c r="O15" i="19"/>
  <c r="H16" i="16"/>
  <c r="F128" i="21" l="1"/>
  <c r="F127" i="21"/>
  <c r="F131" i="21" s="1"/>
  <c r="BD19" i="23" s="1" a="1"/>
  <c r="BD19" i="23" s="1"/>
  <c r="N128" i="21"/>
  <c r="N127" i="21"/>
  <c r="N131" i="21" s="1"/>
  <c r="GB19" i="23" s="1" a="1"/>
  <c r="GB19" i="23" s="1"/>
  <c r="G128" i="21"/>
  <c r="G127" i="21"/>
  <c r="G131" i="21" s="1"/>
  <c r="BT19" i="23" s="1" a="1"/>
  <c r="BT19" i="23" s="1"/>
  <c r="H128" i="21"/>
  <c r="H127" i="21"/>
  <c r="H131" i="21" s="1"/>
  <c r="CJ19" i="23" s="1" a="1"/>
  <c r="CJ19" i="23" s="1"/>
  <c r="E128" i="21"/>
  <c r="E127" i="21"/>
  <c r="O144" i="21"/>
  <c r="O139" i="21"/>
  <c r="N139" i="21"/>
  <c r="N144" i="21"/>
  <c r="M127" i="21"/>
  <c r="M131" i="21" s="1"/>
  <c r="FL19" i="23" s="1" a="1"/>
  <c r="FL19" i="23" s="1"/>
  <c r="FZ11" i="23" a="1"/>
  <c r="FZ11" i="23" s="1"/>
  <c r="FZ12" i="23" a="1"/>
  <c r="FZ12" i="23" s="1"/>
  <c r="FU15" i="23" a="1"/>
  <c r="FU15" i="23" s="1"/>
  <c r="FO13" i="23" a="1"/>
  <c r="FO13" i="23" s="1"/>
  <c r="GA20" i="23" a="1"/>
  <c r="GA20" i="23" s="1"/>
  <c r="FU18" i="23" a="1"/>
  <c r="FU18" i="23" s="1"/>
  <c r="GA15" i="23" a="1"/>
  <c r="GA15" i="23" s="1"/>
  <c r="FU20" i="23" a="1"/>
  <c r="FU20" i="23" s="1"/>
  <c r="GA14" i="23" a="1"/>
  <c r="GA14" i="23" s="1"/>
  <c r="GA19" i="23" a="1"/>
  <c r="GA19" i="23" s="1"/>
  <c r="FU14" i="23" a="1"/>
  <c r="FU14" i="23" s="1"/>
  <c r="FU19" i="23" a="1"/>
  <c r="FU19" i="23" s="1"/>
  <c r="FZ13" i="23" a="1"/>
  <c r="FZ13" i="23" s="1"/>
  <c r="GA17" i="23" a="1"/>
  <c r="GA17" i="23" s="1"/>
  <c r="GA13" i="23" a="1"/>
  <c r="GA13" i="23" s="1"/>
  <c r="FU17" i="23" a="1"/>
  <c r="FU17" i="23" s="1"/>
  <c r="FU13" i="23" a="1"/>
  <c r="FU13" i="23" s="1"/>
  <c r="FO14" i="23" a="1"/>
  <c r="FO14" i="23" s="1"/>
  <c r="GA18" i="23" a="1"/>
  <c r="GA18" i="23" s="1"/>
  <c r="FZ14" i="23" a="1"/>
  <c r="FZ14" i="23" s="1"/>
  <c r="FO15" i="23" a="1"/>
  <c r="FO15" i="23" s="1"/>
  <c r="FZ15" i="23" a="1"/>
  <c r="FZ15" i="23" s="1"/>
  <c r="FO17" i="23" a="1"/>
  <c r="FO17" i="23" s="1"/>
  <c r="GB17" i="23" a="1"/>
  <c r="GB17" i="23" s="1"/>
  <c r="FO18" i="23" a="1"/>
  <c r="FO18" i="23" s="1"/>
  <c r="FZ16" i="23" a="1"/>
  <c r="FZ16" i="23" s="1"/>
  <c r="GB13" i="23" a="1"/>
  <c r="GB13" i="23" s="1"/>
  <c r="GC13" i="23" s="1"/>
  <c r="FZ17" i="23" a="1"/>
  <c r="FZ17" i="23" s="1"/>
  <c r="GC17" i="23" s="1"/>
  <c r="FO19" i="23" a="1"/>
  <c r="FO19" i="23" s="1"/>
  <c r="FO20" i="23" a="1"/>
  <c r="FO20" i="23" s="1"/>
  <c r="FZ18" i="23" a="1"/>
  <c r="FZ18" i="23" s="1"/>
  <c r="J131" i="21"/>
  <c r="DP19" i="23" s="1" a="1"/>
  <c r="DP19" i="23" s="1"/>
  <c r="M170" i="22" a="1"/>
  <c r="M170" i="22" s="1"/>
  <c r="I170" i="22" a="1"/>
  <c r="I170" i="22" s="1"/>
  <c r="E170" i="22" a="1"/>
  <c r="E170" i="22" s="1"/>
  <c r="L170" i="22" a="1"/>
  <c r="L170" i="22" s="1"/>
  <c r="H170" i="22" a="1"/>
  <c r="H170" i="22" s="1"/>
  <c r="D170" i="22" a="1"/>
  <c r="D170" i="22" s="1"/>
  <c r="O170" i="22" a="1"/>
  <c r="O170" i="22" s="1"/>
  <c r="K170" i="22" a="1"/>
  <c r="K170" i="22" s="1"/>
  <c r="G170" i="22" a="1"/>
  <c r="G170" i="22" s="1"/>
  <c r="J170" i="22" a="1"/>
  <c r="J170" i="22" s="1"/>
  <c r="N170" i="22" a="1"/>
  <c r="N170" i="22" s="1"/>
  <c r="F170" i="22" a="1"/>
  <c r="F170" i="22" s="1"/>
  <c r="J128" i="21"/>
  <c r="H213" i="22" a="1"/>
  <c r="H213" i="22" s="1"/>
  <c r="O213" i="22" a="1"/>
  <c r="O213" i="22" s="1"/>
  <c r="L213" i="22" a="1"/>
  <c r="L213" i="22" s="1"/>
  <c r="V214" i="22"/>
  <c r="E213" i="22" a="1"/>
  <c r="E213" i="22" s="1"/>
  <c r="G213" i="22" a="1"/>
  <c r="G213" i="22" s="1"/>
  <c r="V217" i="22"/>
  <c r="I213" i="22" a="1"/>
  <c r="I213" i="22" s="1"/>
  <c r="M213" i="22" a="1"/>
  <c r="M213" i="22" s="1"/>
  <c r="F213" i="22" a="1"/>
  <c r="F213" i="22" s="1"/>
  <c r="J213" i="22" a="1"/>
  <c r="J213" i="22" s="1"/>
  <c r="N213" i="22" a="1"/>
  <c r="N213" i="22" s="1"/>
  <c r="V215" i="22"/>
  <c r="D213" i="22" a="1"/>
  <c r="D213" i="22" s="1"/>
  <c r="K213" i="22" a="1"/>
  <c r="K213" i="22" s="1"/>
  <c r="D139" i="21"/>
  <c r="D144" i="21"/>
  <c r="D198" i="22" a="1"/>
  <c r="D198" i="22" s="1"/>
  <c r="O198" i="22" a="1"/>
  <c r="O198" i="22" s="1"/>
  <c r="K198" i="22" a="1"/>
  <c r="K198" i="22" s="1"/>
  <c r="G198" i="22" a="1"/>
  <c r="G198" i="22" s="1"/>
  <c r="N198" i="22" a="1"/>
  <c r="N198" i="22" s="1"/>
  <c r="J198" i="22" a="1"/>
  <c r="J198" i="22" s="1"/>
  <c r="F198" i="22" a="1"/>
  <c r="F198" i="22" s="1"/>
  <c r="M198" i="22" a="1"/>
  <c r="M198" i="22" s="1"/>
  <c r="I198" i="22" a="1"/>
  <c r="I198" i="22" s="1"/>
  <c r="L198" i="22" a="1"/>
  <c r="L198" i="22" s="1"/>
  <c r="E198" i="22" a="1"/>
  <c r="E198" i="22" s="1"/>
  <c r="H198" i="22" a="1"/>
  <c r="H198" i="22" s="1"/>
  <c r="N177" i="22" a="1"/>
  <c r="N177" i="22" s="1"/>
  <c r="J177" i="22" a="1"/>
  <c r="J177" i="22" s="1"/>
  <c r="F177" i="22" a="1"/>
  <c r="F177" i="22" s="1"/>
  <c r="M177" i="22" a="1"/>
  <c r="M177" i="22" s="1"/>
  <c r="I177" i="22" a="1"/>
  <c r="I177" i="22" s="1"/>
  <c r="E177" i="22" a="1"/>
  <c r="E177" i="22" s="1"/>
  <c r="L177" i="22" a="1"/>
  <c r="L177" i="22" s="1"/>
  <c r="K177" i="22" a="1"/>
  <c r="K177" i="22" s="1"/>
  <c r="H177" i="22" a="1"/>
  <c r="H177" i="22" s="1"/>
  <c r="D177" i="22" a="1"/>
  <c r="D177" i="22" s="1"/>
  <c r="O177" i="22" a="1"/>
  <c r="O177" i="22" s="1"/>
  <c r="G177" i="22" a="1"/>
  <c r="G177" i="22" s="1"/>
  <c r="K128" i="21"/>
  <c r="K131" i="21" s="1"/>
  <c r="EF19" i="23" s="1" a="1"/>
  <c r="EF19" i="23" s="1"/>
  <c r="F144" i="21"/>
  <c r="F139" i="21"/>
  <c r="O199" i="22" a="1"/>
  <c r="O199" i="22" s="1"/>
  <c r="K199" i="22" a="1"/>
  <c r="K199" i="22" s="1"/>
  <c r="G199" i="22" a="1"/>
  <c r="G199" i="22" s="1"/>
  <c r="Z192" i="22"/>
  <c r="H199" i="22" a="1"/>
  <c r="H199" i="22" s="1"/>
  <c r="N199" i="22" a="1"/>
  <c r="N199" i="22" s="1"/>
  <c r="J199" i="22" a="1"/>
  <c r="J199" i="22" s="1"/>
  <c r="F199" i="22" a="1"/>
  <c r="F199" i="22" s="1"/>
  <c r="M199" i="22" a="1"/>
  <c r="M199" i="22" s="1"/>
  <c r="I199" i="22" a="1"/>
  <c r="I199" i="22" s="1"/>
  <c r="L199" i="22" a="1"/>
  <c r="L199" i="22" s="1"/>
  <c r="E199" i="22" a="1"/>
  <c r="E199" i="22" s="1"/>
  <c r="D199" i="22" a="1"/>
  <c r="D199" i="22" s="1"/>
  <c r="M220" i="22" a="1"/>
  <c r="M220" i="22" s="1"/>
  <c r="D220" i="22" a="1"/>
  <c r="D220" i="22" s="1"/>
  <c r="H220" i="22" a="1"/>
  <c r="H220" i="22" s="1"/>
  <c r="L220" i="22" a="1"/>
  <c r="L220" i="22" s="1"/>
  <c r="F220" i="22" a="1"/>
  <c r="F220" i="22" s="1"/>
  <c r="Z213" i="22"/>
  <c r="J220" i="22" a="1"/>
  <c r="J220" i="22" s="1"/>
  <c r="E220" i="22" a="1"/>
  <c r="E220" i="22" s="1"/>
  <c r="N220" i="22" a="1"/>
  <c r="N220" i="22" s="1"/>
  <c r="I220" i="22" a="1"/>
  <c r="I220" i="22" s="1"/>
  <c r="Z214" i="22"/>
  <c r="O220" i="22" a="1"/>
  <c r="O220" i="22" s="1"/>
  <c r="G220" i="22" a="1"/>
  <c r="G220" i="22" s="1"/>
  <c r="K220" i="22" a="1"/>
  <c r="K220" i="22" s="1"/>
  <c r="FZ19" i="23" a="1"/>
  <c r="FZ19" i="23" s="1"/>
  <c r="E139" i="21"/>
  <c r="E144" i="21"/>
  <c r="I126" i="21"/>
  <c r="I127" i="21" s="1"/>
  <c r="F194" i="22" a="1"/>
  <c r="F194" i="22" s="1"/>
  <c r="I194" i="22" a="1"/>
  <c r="I194" i="22" s="1"/>
  <c r="E194" i="22" a="1"/>
  <c r="E194" i="22" s="1"/>
  <c r="K194" i="22" a="1"/>
  <c r="K194" i="22" s="1"/>
  <c r="G194" i="22" a="1"/>
  <c r="G194" i="22" s="1"/>
  <c r="M194" i="22" a="1"/>
  <c r="M194" i="22" s="1"/>
  <c r="J194" i="22" a="1"/>
  <c r="J194" i="22" s="1"/>
  <c r="N194" i="22" a="1"/>
  <c r="N194" i="22" s="1"/>
  <c r="D194" i="22" a="1"/>
  <c r="D194" i="22" s="1"/>
  <c r="O194" i="22" a="1"/>
  <c r="O194" i="22" s="1"/>
  <c r="G144" i="21"/>
  <c r="G139" i="21"/>
  <c r="E135" i="21" a="1"/>
  <c r="E135" i="21" s="1"/>
  <c r="N135" i="21" a="1"/>
  <c r="N135" i="21" s="1"/>
  <c r="M135" i="21" a="1"/>
  <c r="M135" i="21" s="1"/>
  <c r="G135" i="21" a="1"/>
  <c r="G135" i="21" s="1"/>
  <c r="O135" i="21" a="1"/>
  <c r="O135" i="21" s="1"/>
  <c r="D135" i="21" a="1"/>
  <c r="D135" i="21" s="1"/>
  <c r="L135" i="21" a="1"/>
  <c r="L135" i="21" s="1"/>
  <c r="I135" i="21" a="1"/>
  <c r="I135" i="21" s="1"/>
  <c r="K135" i="21" a="1"/>
  <c r="K135" i="21" s="1"/>
  <c r="H135" i="21" a="1"/>
  <c r="H135" i="21" s="1"/>
  <c r="F135" i="21" a="1"/>
  <c r="F135" i="21" s="1"/>
  <c r="J135" i="21" a="1"/>
  <c r="J135" i="21" s="1"/>
  <c r="L128" i="21"/>
  <c r="FP20" i="23" a="1"/>
  <c r="FP20" i="23" s="1"/>
  <c r="J20" i="23" a="1"/>
  <c r="J20" i="23" s="1"/>
  <c r="DT20" i="23" a="1"/>
  <c r="DT20" i="23" s="1"/>
  <c r="BH20" i="23" a="1"/>
  <c r="BH20" i="23" s="1"/>
  <c r="H20" i="23" a="1"/>
  <c r="H20" i="23" s="1"/>
  <c r="G20" i="23" a="1"/>
  <c r="G20" i="23" s="1"/>
  <c r="F20" i="23" a="1"/>
  <c r="F20" i="23" s="1"/>
  <c r="DD20" i="23" a="1"/>
  <c r="DD20" i="23" s="1"/>
  <c r="AR20" i="23" a="1"/>
  <c r="AR20" i="23" s="1"/>
  <c r="E20" i="23" a="1"/>
  <c r="E20" i="23" s="1"/>
  <c r="D20" i="23" a="1"/>
  <c r="D20" i="23" s="1"/>
  <c r="C20" i="23" a="1"/>
  <c r="C20" i="23" s="1"/>
  <c r="CN20" i="23" a="1"/>
  <c r="CN20" i="23" s="1"/>
  <c r="AB20" i="23" a="1"/>
  <c r="AB20" i="23" s="1"/>
  <c r="B20" i="23" a="1"/>
  <c r="B20" i="23" s="1"/>
  <c r="A20" i="23" a="1"/>
  <c r="A20" i="23" s="1"/>
  <c r="EJ20" i="23" a="1"/>
  <c r="EJ20" i="23" s="1"/>
  <c r="BX20" i="23" a="1"/>
  <c r="BX20" i="23" s="1"/>
  <c r="L20" i="23" a="1"/>
  <c r="L20" i="23" s="1"/>
  <c r="EZ20" i="23" a="1"/>
  <c r="EZ20" i="23" s="1"/>
  <c r="GF20" i="23" a="1"/>
  <c r="GF20" i="23" s="1"/>
  <c r="AM20" i="23" a="1"/>
  <c r="AM20" i="23" s="1"/>
  <c r="BS20" i="23" a="1"/>
  <c r="BS20" i="23" s="1"/>
  <c r="W20" i="23" a="1"/>
  <c r="W20" i="23" s="1"/>
  <c r="BC20" i="23" a="1"/>
  <c r="BC20" i="23" s="1"/>
  <c r="CI20" i="23" a="1"/>
  <c r="CI20" i="23" s="1"/>
  <c r="DO20" i="23" a="1"/>
  <c r="DO20" i="23" s="1"/>
  <c r="CY20" i="23" a="1"/>
  <c r="CY20" i="23" s="1"/>
  <c r="EE20" i="23" a="1"/>
  <c r="EE20" i="23" s="1"/>
  <c r="EU20" i="23" a="1"/>
  <c r="EU20" i="23" s="1"/>
  <c r="I144" i="21"/>
  <c r="I139" i="21"/>
  <c r="O137" i="21" a="1"/>
  <c r="O137" i="21" s="1"/>
  <c r="N137" i="21" a="1"/>
  <c r="N137" i="21" s="1"/>
  <c r="M137" i="21" a="1"/>
  <c r="M137" i="21" s="1"/>
  <c r="L137" i="21" a="1"/>
  <c r="L137" i="21" s="1"/>
  <c r="K137" i="21" a="1"/>
  <c r="K137" i="21" s="1"/>
  <c r="J137" i="21" a="1"/>
  <c r="J137" i="21" s="1"/>
  <c r="I137" i="21" a="1"/>
  <c r="I137" i="21" s="1"/>
  <c r="H137" i="21" a="1"/>
  <c r="H137" i="21" s="1"/>
  <c r="G137" i="21" a="1"/>
  <c r="G137" i="21" s="1"/>
  <c r="E137" i="21" a="1"/>
  <c r="E137" i="21" s="1"/>
  <c r="F137" i="21" a="1"/>
  <c r="F137" i="21" s="1"/>
  <c r="D137" i="21" a="1"/>
  <c r="D137" i="21" s="1"/>
  <c r="O128" i="21"/>
  <c r="O131" i="21" s="1"/>
  <c r="H139" i="21"/>
  <c r="H144" i="21"/>
  <c r="ED20" i="23" a="1"/>
  <c r="ED20" i="23" s="1"/>
  <c r="BR20" i="23" a="1"/>
  <c r="BR20" i="23" s="1"/>
  <c r="ET20" i="23" a="1"/>
  <c r="ET20" i="23" s="1"/>
  <c r="DN20" i="23" a="1"/>
  <c r="DN20" i="23" s="1"/>
  <c r="BB20" i="23" a="1"/>
  <c r="BB20" i="23" s="1"/>
  <c r="CH20" i="23" a="1"/>
  <c r="CH20" i="23" s="1"/>
  <c r="FZ20" i="23" a="1"/>
  <c r="FZ20" i="23" s="1"/>
  <c r="CX20" i="23" a="1"/>
  <c r="CX20" i="23" s="1"/>
  <c r="AL20" i="23" a="1"/>
  <c r="AL20" i="23" s="1"/>
  <c r="FJ20" i="23" a="1"/>
  <c r="FJ20" i="23" s="1"/>
  <c r="V20" i="23" a="1"/>
  <c r="V20" i="23" s="1"/>
  <c r="D128" i="21"/>
  <c r="D131" i="21" s="1"/>
  <c r="X19" i="23" s="1" a="1"/>
  <c r="X19" i="23" s="1"/>
  <c r="J144" i="21"/>
  <c r="J139" i="21"/>
  <c r="L126" i="21"/>
  <c r="L127" i="21" s="1"/>
  <c r="O191" i="22" a="1"/>
  <c r="O191" i="22" s="1"/>
  <c r="D191" i="22" a="1"/>
  <c r="D191" i="22" s="1"/>
  <c r="K191" i="22" a="1"/>
  <c r="K191" i="22" s="1"/>
  <c r="G191" i="22" a="1"/>
  <c r="G191" i="22" s="1"/>
  <c r="H191" i="22" a="1"/>
  <c r="H191" i="22" s="1"/>
  <c r="N191" i="22" a="1"/>
  <c r="N191" i="22" s="1"/>
  <c r="J191" i="22" a="1"/>
  <c r="J191" i="22" s="1"/>
  <c r="F191" i="22" a="1"/>
  <c r="F191" i="22" s="1"/>
  <c r="I191" i="22" a="1"/>
  <c r="I191" i="22" s="1"/>
  <c r="L191" i="22" a="1"/>
  <c r="L191" i="22" s="1"/>
  <c r="M191" i="22" a="1"/>
  <c r="M191" i="22" s="1"/>
  <c r="E191" i="22" a="1"/>
  <c r="E191" i="22" s="1"/>
  <c r="FM13" i="23"/>
  <c r="B212" i="22" a="1"/>
  <c r="B212" i="22" s="1"/>
  <c r="A212" i="22" a="1"/>
  <c r="A212" i="22" s="1"/>
  <c r="I192" i="22" a="1"/>
  <c r="I192" i="22" s="1"/>
  <c r="I210" i="22" s="1"/>
  <c r="E192" i="22" a="1"/>
  <c r="E192" i="22" s="1"/>
  <c r="E210" i="22" s="1"/>
  <c r="F192" i="22" a="1"/>
  <c r="F192" i="22" s="1"/>
  <c r="F210" i="22" s="1"/>
  <c r="N192" i="22" a="1"/>
  <c r="N192" i="22" s="1"/>
  <c r="N210" i="22" s="1"/>
  <c r="L192" i="22" a="1"/>
  <c r="L192" i="22" s="1"/>
  <c r="L210" i="22" s="1"/>
  <c r="H192" i="22" a="1"/>
  <c r="H192" i="22" s="1"/>
  <c r="H210" i="22" s="1"/>
  <c r="D192" i="22" a="1"/>
  <c r="D192" i="22" s="1"/>
  <c r="D210" i="22" s="1"/>
  <c r="J192" i="22" a="1"/>
  <c r="J192" i="22" s="1"/>
  <c r="J210" i="22" s="1"/>
  <c r="O192" i="22" a="1"/>
  <c r="O192" i="22" s="1"/>
  <c r="O210" i="22" s="1"/>
  <c r="K192" i="22" a="1"/>
  <c r="K192" i="22" s="1"/>
  <c r="K210" i="22" s="1"/>
  <c r="V195" i="22"/>
  <c r="M192" i="22" a="1"/>
  <c r="M192" i="22" s="1"/>
  <c r="M210" i="22" s="1"/>
  <c r="G192" i="22" a="1"/>
  <c r="G192" i="22" s="1"/>
  <c r="G210" i="22" s="1"/>
  <c r="V193" i="22"/>
  <c r="K144" i="21"/>
  <c r="K139" i="21"/>
  <c r="L144" i="21"/>
  <c r="L139" i="21"/>
  <c r="B132" i="21" a="1"/>
  <c r="B132" i="21" s="1"/>
  <c r="A132" i="21" a="1"/>
  <c r="A132" i="21" s="1"/>
  <c r="M139" i="21"/>
  <c r="M144" i="21"/>
  <c r="W53" i="24"/>
  <c r="C52" i="24" a="1"/>
  <c r="C52" i="24" s="1"/>
  <c r="U53" i="24"/>
  <c r="B52" i="24" a="1"/>
  <c r="B52" i="24" s="1"/>
  <c r="AA114" i="18"/>
  <c r="C102" i="18" a="1"/>
  <c r="C102" i="18" s="1"/>
  <c r="B102" i="18" a="1"/>
  <c r="B102" i="18" s="1"/>
  <c r="H17" i="16"/>
  <c r="C115" i="20" a="1"/>
  <c r="C115" i="20" s="1"/>
  <c r="FU11" i="23" a="1"/>
  <c r="FU11" i="23" s="1"/>
  <c r="GA11" i="23" a="1"/>
  <c r="GA11" i="23" s="1"/>
  <c r="FO11" i="23" a="1"/>
  <c r="FO11" i="23" s="1"/>
  <c r="FU12" i="23" a="1"/>
  <c r="FU12" i="23" s="1"/>
  <c r="FO12" i="23" a="1"/>
  <c r="FO12" i="23" s="1"/>
  <c r="GA12" i="23" a="1"/>
  <c r="GA12" i="23" s="1"/>
  <c r="GE25" i="23"/>
  <c r="GP20" i="23" s="1" a="1"/>
  <c r="GP20" i="23" s="1"/>
  <c r="FO6" i="23" a="1"/>
  <c r="FO6" i="23" s="1"/>
  <c r="O85" i="19"/>
  <c r="O57" i="19"/>
  <c r="P133" i="19" a="1"/>
  <c r="P133" i="19" s="1"/>
  <c r="O127" i="19"/>
  <c r="P128" i="19" a="1"/>
  <c r="P128" i="19" s="1"/>
  <c r="I19" i="23" s="1" a="1"/>
  <c r="I19" i="23" s="1"/>
  <c r="P139" i="19"/>
  <c r="P140" i="19" s="1"/>
  <c r="P135" i="19"/>
  <c r="P134" i="19" a="1"/>
  <c r="P134" i="19" s="1"/>
  <c r="O71" i="19"/>
  <c r="O99" i="19"/>
  <c r="G142" i="19" a="1"/>
  <c r="G142" i="19" s="1"/>
  <c r="I142" i="19" a="1"/>
  <c r="I142" i="19" s="1"/>
  <c r="D142" i="19" a="1"/>
  <c r="D142" i="19" s="1"/>
  <c r="E142" i="19" a="1"/>
  <c r="E142" i="19" s="1"/>
  <c r="B142" i="19" a="1"/>
  <c r="B142" i="19" s="1"/>
  <c r="F142" i="19" a="1"/>
  <c r="F142" i="19" s="1"/>
  <c r="C142" i="19" a="1"/>
  <c r="C142" i="19" s="1"/>
  <c r="H142" i="19" a="1"/>
  <c r="H142" i="19" s="1"/>
  <c r="P153" i="19" s="1"/>
  <c r="P137" i="19" a="1"/>
  <c r="P137" i="19" s="1"/>
  <c r="P136" i="19" a="1"/>
  <c r="P136" i="19" s="1"/>
  <c r="O113" i="19"/>
  <c r="O43" i="19"/>
  <c r="O31" i="19"/>
  <c r="AX5" i="19" a="1"/>
  <c r="AX5" i="19" s="1"/>
  <c r="O16" i="19"/>
  <c r="M193" i="22" l="1" a="1"/>
  <c r="M193" i="22" s="1"/>
  <c r="I193" i="22" a="1"/>
  <c r="I193" i="22" s="1"/>
  <c r="E193" i="22" a="1"/>
  <c r="E193" i="22" s="1"/>
  <c r="J193" i="22" a="1"/>
  <c r="J193" i="22" s="1"/>
  <c r="F193" i="22" a="1"/>
  <c r="F193" i="22" s="1"/>
  <c r="L193" i="22" a="1"/>
  <c r="L193" i="22" s="1"/>
  <c r="H193" i="22" a="1"/>
  <c r="H193" i="22" s="1"/>
  <c r="D193" i="22" a="1"/>
  <c r="D193" i="22" s="1"/>
  <c r="N193" i="22" a="1"/>
  <c r="N193" i="22" s="1"/>
  <c r="O193" i="22" a="1"/>
  <c r="O193" i="22" s="1"/>
  <c r="K193" i="22" a="1"/>
  <c r="K193" i="22" s="1"/>
  <c r="G193" i="22" a="1"/>
  <c r="G193" i="22" s="1"/>
  <c r="E214" i="22" a="1"/>
  <c r="E214" i="22" s="1"/>
  <c r="N214" i="22" a="1"/>
  <c r="N214" i="22" s="1"/>
  <c r="O214" i="22" a="1"/>
  <c r="O214" i="22" s="1"/>
  <c r="I214" i="22" a="1"/>
  <c r="I214" i="22" s="1"/>
  <c r="H214" i="22" a="1"/>
  <c r="H214" i="22" s="1"/>
  <c r="M214" i="22" a="1"/>
  <c r="M214" i="22" s="1"/>
  <c r="D214" i="22" a="1"/>
  <c r="D214" i="22" s="1"/>
  <c r="G214" i="22" a="1"/>
  <c r="G214" i="22" s="1"/>
  <c r="J214" i="22" a="1"/>
  <c r="J214" i="22" s="1"/>
  <c r="L214" i="22" a="1"/>
  <c r="L214" i="22" s="1"/>
  <c r="F214" i="22" a="1"/>
  <c r="F214" i="22" s="1"/>
  <c r="K214" i="22" a="1"/>
  <c r="K214" i="22" s="1"/>
  <c r="I221" i="22" a="1"/>
  <c r="I221" i="22" s="1"/>
  <c r="O221" i="22" a="1"/>
  <c r="O221" i="22" s="1"/>
  <c r="K221" i="22" a="1"/>
  <c r="K221" i="22" s="1"/>
  <c r="G221" i="22" a="1"/>
  <c r="G221" i="22" s="1"/>
  <c r="E221" i="22" a="1"/>
  <c r="E221" i="22" s="1"/>
  <c r="N221" i="22" a="1"/>
  <c r="N221" i="22" s="1"/>
  <c r="J221" i="22" a="1"/>
  <c r="J221" i="22" s="1"/>
  <c r="H221" i="22" a="1"/>
  <c r="H221" i="22" s="1"/>
  <c r="F221" i="22" a="1"/>
  <c r="F221" i="22" s="1"/>
  <c r="M221" i="22" a="1"/>
  <c r="M221" i="22" s="1"/>
  <c r="L221" i="22" a="1"/>
  <c r="L221" i="22" s="1"/>
  <c r="D221" i="22" a="1"/>
  <c r="D221" i="22" s="1"/>
  <c r="J195" i="22" a="1"/>
  <c r="J195" i="22" s="1"/>
  <c r="N195" i="22" a="1"/>
  <c r="N195" i="22" s="1"/>
  <c r="E195" i="22" a="1"/>
  <c r="E195" i="22" s="1"/>
  <c r="L195" i="22" a="1"/>
  <c r="L195" i="22" s="1"/>
  <c r="D195" i="22" a="1"/>
  <c r="D195" i="22" s="1"/>
  <c r="K195" i="22" a="1"/>
  <c r="K195" i="22" s="1"/>
  <c r="I195" i="22" a="1"/>
  <c r="I195" i="22" s="1"/>
  <c r="F195" i="22" a="1"/>
  <c r="F195" i="22" s="1"/>
  <c r="M195" i="22" a="1"/>
  <c r="M195" i="22" s="1"/>
  <c r="O195" i="22" a="1"/>
  <c r="O195" i="22" s="1"/>
  <c r="G195" i="22" a="1"/>
  <c r="G195" i="22" s="1"/>
  <c r="H195" i="22" a="1"/>
  <c r="H195" i="22" s="1"/>
  <c r="H194" i="22" a="1"/>
  <c r="H194" i="22" s="1"/>
  <c r="E215" i="22" a="1"/>
  <c r="E215" i="22" s="1"/>
  <c r="E233" i="22" s="1"/>
  <c r="M215" i="22" a="1"/>
  <c r="M215" i="22" s="1"/>
  <c r="M233" i="22" s="1"/>
  <c r="L215" i="22" a="1"/>
  <c r="L215" i="22" s="1"/>
  <c r="L233" i="22" s="1"/>
  <c r="H215" i="22" a="1"/>
  <c r="H215" i="22" s="1"/>
  <c r="H233" i="22" s="1"/>
  <c r="D215" i="22" a="1"/>
  <c r="D215" i="22" s="1"/>
  <c r="D233" i="22" s="1"/>
  <c r="O215" i="22" a="1"/>
  <c r="O215" i="22" s="1"/>
  <c r="O233" i="22" s="1"/>
  <c r="K215" i="22" a="1"/>
  <c r="K215" i="22" s="1"/>
  <c r="K233" i="22" s="1"/>
  <c r="V216" i="22"/>
  <c r="G215" i="22" a="1"/>
  <c r="G215" i="22" s="1"/>
  <c r="G233" i="22" s="1"/>
  <c r="V218" i="22"/>
  <c r="N215" i="22" a="1"/>
  <c r="N215" i="22" s="1"/>
  <c r="N233" i="22" s="1"/>
  <c r="J215" i="22" a="1"/>
  <c r="J215" i="22" s="1"/>
  <c r="J233" i="22" s="1"/>
  <c r="I215" i="22" a="1"/>
  <c r="I215" i="22" s="1"/>
  <c r="I233" i="22" s="1"/>
  <c r="F215" i="22" a="1"/>
  <c r="F215" i="22" s="1"/>
  <c r="F233" i="22" s="1"/>
  <c r="N200" i="22" a="1"/>
  <c r="N200" i="22" s="1"/>
  <c r="J200" i="22" a="1"/>
  <c r="J200" i="22" s="1"/>
  <c r="F200" i="22" a="1"/>
  <c r="F200" i="22" s="1"/>
  <c r="K200" i="22" a="1"/>
  <c r="K200" i="22" s="1"/>
  <c r="M200" i="22" a="1"/>
  <c r="M200" i="22" s="1"/>
  <c r="I200" i="22" a="1"/>
  <c r="I200" i="22" s="1"/>
  <c r="E200" i="22" a="1"/>
  <c r="E200" i="22" s="1"/>
  <c r="L200" i="22" a="1"/>
  <c r="L200" i="22" s="1"/>
  <c r="H200" i="22" a="1"/>
  <c r="H200" i="22" s="1"/>
  <c r="D200" i="22" a="1"/>
  <c r="D200" i="22" s="1"/>
  <c r="O200" i="22" a="1"/>
  <c r="O200" i="22" s="1"/>
  <c r="G200" i="22" a="1"/>
  <c r="G200" i="22" s="1"/>
  <c r="L131" i="21"/>
  <c r="EV19" i="23" s="1" a="1"/>
  <c r="EV19" i="23" s="1"/>
  <c r="L194" i="22" a="1"/>
  <c r="L194" i="22" s="1"/>
  <c r="I128" i="21"/>
  <c r="I131" i="21" s="1"/>
  <c r="CZ19" i="23" s="1" a="1"/>
  <c r="CZ19" i="23" s="1"/>
  <c r="DA19" i="23" s="1"/>
  <c r="GP11" i="23" a="1"/>
  <c r="GP11" i="23" s="1"/>
  <c r="GE13" i="23" a="1"/>
  <c r="GE13" i="23" s="1"/>
  <c r="GP12" i="23" a="1"/>
  <c r="GP12" i="23" s="1"/>
  <c r="GQ15" i="23" a="1"/>
  <c r="GQ15" i="23" s="1"/>
  <c r="GK20" i="23" a="1"/>
  <c r="GK20" i="23" s="1"/>
  <c r="GQ17" i="23" a="1"/>
  <c r="GQ17" i="23" s="1"/>
  <c r="GQ20" i="23" a="1"/>
  <c r="GQ20" i="23" s="1"/>
  <c r="GP13" i="23" a="1"/>
  <c r="GP13" i="23" s="1"/>
  <c r="GK17" i="23" a="1"/>
  <c r="GK17" i="23" s="1"/>
  <c r="GQ13" i="23" a="1"/>
  <c r="GQ13" i="23" s="1"/>
  <c r="GQ14" i="23" a="1"/>
  <c r="GQ14" i="23" s="1"/>
  <c r="GK13" i="23" a="1"/>
  <c r="GK13" i="23" s="1"/>
  <c r="GK14" i="23" a="1"/>
  <c r="GK14" i="23" s="1"/>
  <c r="GQ19" i="23" a="1"/>
  <c r="GQ19" i="23" s="1"/>
  <c r="GE14" i="23" a="1"/>
  <c r="GE14" i="23" s="1"/>
  <c r="GQ18" i="23" a="1"/>
  <c r="GQ18" i="23" s="1"/>
  <c r="GK18" i="23" a="1"/>
  <c r="GK18" i="23" s="1"/>
  <c r="GK19" i="23" a="1"/>
  <c r="GK19" i="23" s="1"/>
  <c r="GK15" i="23" a="1"/>
  <c r="GK15" i="23" s="1"/>
  <c r="GP14" i="23" a="1"/>
  <c r="GP14" i="23" s="1"/>
  <c r="GE15" i="23" a="1"/>
  <c r="GE15" i="23" s="1"/>
  <c r="GP15" i="23" a="1"/>
  <c r="GP15" i="23" s="1"/>
  <c r="GE17" i="23" a="1"/>
  <c r="GE17" i="23" s="1"/>
  <c r="GR13" i="23" a="1"/>
  <c r="GR13" i="23" s="1"/>
  <c r="GP16" i="23" a="1"/>
  <c r="GP16" i="23" s="1"/>
  <c r="GE18" i="23" a="1"/>
  <c r="GE18" i="23" s="1"/>
  <c r="GE19" i="23" a="1"/>
  <c r="GE19" i="23" s="1"/>
  <c r="GP17" i="23" a="1"/>
  <c r="GP17" i="23" s="1"/>
  <c r="GR19" i="23" a="1"/>
  <c r="GR19" i="23" s="1"/>
  <c r="GR17" i="23" a="1"/>
  <c r="GR17" i="23" s="1"/>
  <c r="GP18" i="23" a="1"/>
  <c r="GP18" i="23" s="1"/>
  <c r="GE20" i="23" a="1"/>
  <c r="GE20" i="23" s="1"/>
  <c r="GP19" i="23" a="1"/>
  <c r="GP19" i="23" s="1"/>
  <c r="GS19" i="23" s="1"/>
  <c r="J222" i="22" a="1"/>
  <c r="J222" i="22" s="1"/>
  <c r="F222" i="22" a="1"/>
  <c r="F222" i="22" s="1"/>
  <c r="M222" i="22" a="1"/>
  <c r="M222" i="22" s="1"/>
  <c r="I222" i="22" a="1"/>
  <c r="I222" i="22" s="1"/>
  <c r="L222" i="22" a="1"/>
  <c r="L222" i="22" s="1"/>
  <c r="E222" i="22" a="1"/>
  <c r="E222" i="22" s="1"/>
  <c r="H222" i="22" a="1"/>
  <c r="H222" i="22" s="1"/>
  <c r="D222" i="22" a="1"/>
  <c r="D222" i="22" s="1"/>
  <c r="O222" i="22" a="1"/>
  <c r="O222" i="22" s="1"/>
  <c r="K222" i="22" a="1"/>
  <c r="K222" i="22" s="1"/>
  <c r="G222" i="22" a="1"/>
  <c r="G222" i="22" s="1"/>
  <c r="Z215" i="22"/>
  <c r="N222" i="22" a="1"/>
  <c r="N222" i="22" s="1"/>
  <c r="E131" i="21"/>
  <c r="AN19" i="23" s="1" a="1"/>
  <c r="AN19" i="23" s="1"/>
  <c r="AO19" i="23" s="1"/>
  <c r="W54" i="24"/>
  <c r="C53" i="24" a="1"/>
  <c r="C53" i="24" s="1"/>
  <c r="U54" i="24"/>
  <c r="B53" i="24" a="1"/>
  <c r="B53" i="24" s="1"/>
  <c r="C114" i="18" a="1"/>
  <c r="C114" i="18" s="1"/>
  <c r="B114" i="18" a="1"/>
  <c r="B114" i="18" s="1"/>
  <c r="BE19" i="23"/>
  <c r="GC19" i="23"/>
  <c r="Y19" i="23"/>
  <c r="FM19" i="23"/>
  <c r="DQ19" i="23"/>
  <c r="EW19" i="23"/>
  <c r="CK19" i="23"/>
  <c r="BU19" i="23"/>
  <c r="EG19" i="23"/>
  <c r="GK11" i="23" a="1"/>
  <c r="GK11" i="23" s="1"/>
  <c r="GE11" i="23" a="1"/>
  <c r="GE11" i="23" s="1"/>
  <c r="GQ11" i="23" a="1"/>
  <c r="GQ11" i="23" s="1"/>
  <c r="GK12" i="23" a="1"/>
  <c r="GK12" i="23" s="1"/>
  <c r="GE12" i="23" a="1"/>
  <c r="GE12" i="23" s="1"/>
  <c r="GQ12" i="23" a="1"/>
  <c r="GQ12" i="23" s="1"/>
  <c r="GE6" i="23" a="1"/>
  <c r="GE6" i="23" s="1"/>
  <c r="P150" i="19"/>
  <c r="P149" i="19" a="1"/>
  <c r="P149" i="19" s="1"/>
  <c r="P148" i="19" a="1"/>
  <c r="P148" i="19" s="1"/>
  <c r="P154" i="19"/>
  <c r="P155" i="19" s="1"/>
  <c r="P143" i="19" a="1"/>
  <c r="P143" i="19" s="1"/>
  <c r="I20" i="23" s="1" a="1"/>
  <c r="I20" i="23" s="1"/>
  <c r="O142" i="19"/>
  <c r="O72" i="19"/>
  <c r="O128" i="19"/>
  <c r="O44" i="19"/>
  <c r="O100" i="19"/>
  <c r="P152" i="19" a="1"/>
  <c r="P152" i="19" s="1"/>
  <c r="P151" i="19" a="1"/>
  <c r="P151" i="19" s="1"/>
  <c r="O86" i="19"/>
  <c r="O114" i="19"/>
  <c r="O58" i="19"/>
  <c r="O32" i="19"/>
  <c r="O17" i="19"/>
  <c r="GS13" i="23" l="1"/>
  <c r="HC13" i="23" s="1"/>
  <c r="HD13" i="23" s="1"/>
  <c r="O216" i="22" a="1"/>
  <c r="O216" i="22" s="1"/>
  <c r="H216" i="22" a="1"/>
  <c r="H216" i="22" s="1"/>
  <c r="K216" i="22" a="1"/>
  <c r="K216" i="22" s="1"/>
  <c r="G216" i="22" a="1"/>
  <c r="G216" i="22" s="1"/>
  <c r="M216" i="22" a="1"/>
  <c r="M216" i="22" s="1"/>
  <c r="N216" i="22" a="1"/>
  <c r="N216" i="22" s="1"/>
  <c r="J216" i="22" a="1"/>
  <c r="J216" i="22" s="1"/>
  <c r="F216" i="22" a="1"/>
  <c r="F216" i="22" s="1"/>
  <c r="I216" i="22" a="1"/>
  <c r="I216" i="22" s="1"/>
  <c r="E216" i="22" a="1"/>
  <c r="E216" i="22" s="1"/>
  <c r="L216" i="22" a="1"/>
  <c r="L216" i="22" s="1"/>
  <c r="D216" i="22" a="1"/>
  <c r="D216" i="22" s="1"/>
  <c r="G223" i="22" a="1"/>
  <c r="G223" i="22" s="1"/>
  <c r="H223" i="22" a="1"/>
  <c r="H223" i="22" s="1"/>
  <c r="N223" i="22" a="1"/>
  <c r="N223" i="22" s="1"/>
  <c r="J223" i="22" a="1"/>
  <c r="J223" i="22" s="1"/>
  <c r="O223" i="22" a="1"/>
  <c r="O223" i="22" s="1"/>
  <c r="F223" i="22" a="1"/>
  <c r="F223" i="22" s="1"/>
  <c r="L223" i="22" a="1"/>
  <c r="L223" i="22" s="1"/>
  <c r="M223" i="22" a="1"/>
  <c r="M223" i="22" s="1"/>
  <c r="I223" i="22" a="1"/>
  <c r="I223" i="22" s="1"/>
  <c r="E223" i="22" a="1"/>
  <c r="E223" i="22" s="1"/>
  <c r="D223" i="22" a="1"/>
  <c r="D223" i="22" s="1"/>
  <c r="K223" i="22" a="1"/>
  <c r="K223" i="22" s="1"/>
  <c r="GS17" i="23"/>
  <c r="HC17" i="23" s="1"/>
  <c r="HD17" i="23" s="1"/>
  <c r="W55" i="24"/>
  <c r="C54" i="24" a="1"/>
  <c r="C54" i="24" s="1"/>
  <c r="U55" i="24"/>
  <c r="B54" i="24" a="1"/>
  <c r="B54" i="24" s="1"/>
  <c r="HC19" i="23"/>
  <c r="O59" i="19"/>
  <c r="O115" i="19"/>
  <c r="O87" i="19"/>
  <c r="O129" i="19"/>
  <c r="O101" i="19"/>
  <c r="O73" i="19"/>
  <c r="O45" i="19"/>
  <c r="O143" i="19"/>
  <c r="O33" i="19"/>
  <c r="O18" i="19"/>
  <c r="W56" i="24" l="1"/>
  <c r="C55" i="24" a="1"/>
  <c r="C55" i="24" s="1"/>
  <c r="U56" i="24"/>
  <c r="B55" i="24" a="1"/>
  <c r="B55" i="24" s="1"/>
  <c r="HD19" i="23"/>
  <c r="O46" i="19"/>
  <c r="O130" i="19"/>
  <c r="O144" i="19"/>
  <c r="O74" i="19"/>
  <c r="O116" i="19"/>
  <c r="O102" i="19"/>
  <c r="O60" i="19"/>
  <c r="O88" i="19"/>
  <c r="O34" i="19"/>
  <c r="O19" i="19"/>
  <c r="W57" i="24" l="1"/>
  <c r="C56" i="24" a="1"/>
  <c r="C56" i="24" s="1"/>
  <c r="U57" i="24"/>
  <c r="B56" i="24" a="1"/>
  <c r="B56" i="24" s="1"/>
  <c r="O145" i="19"/>
  <c r="O103" i="19"/>
  <c r="O75" i="19"/>
  <c r="O61" i="19"/>
  <c r="O117" i="19"/>
  <c r="O89" i="19"/>
  <c r="O131" i="19"/>
  <c r="O47" i="19"/>
  <c r="O35" i="19"/>
  <c r="O20" i="19"/>
  <c r="W58" i="24" l="1"/>
  <c r="C57" i="24" a="1"/>
  <c r="C57" i="24" s="1"/>
  <c r="U58" i="24"/>
  <c r="B57" i="24" a="1"/>
  <c r="B57" i="24" s="1"/>
  <c r="O48" i="19"/>
  <c r="O90" i="19"/>
  <c r="O62" i="19"/>
  <c r="O104" i="19"/>
  <c r="O146" i="19"/>
  <c r="O132" i="19"/>
  <c r="O118" i="19"/>
  <c r="O76" i="19"/>
  <c r="W59" i="24" l="1"/>
  <c r="C58" i="24" a="1"/>
  <c r="C58" i="24" s="1"/>
  <c r="U59" i="24"/>
  <c r="B58" i="24" a="1"/>
  <c r="B58" i="24" s="1"/>
  <c r="O105" i="19"/>
  <c r="O49" i="19"/>
  <c r="O77" i="19"/>
  <c r="O147" i="19"/>
  <c r="O63" i="19"/>
  <c r="O91" i="19"/>
  <c r="O119" i="19"/>
  <c r="O133" i="19"/>
  <c r="W60" i="24" l="1"/>
  <c r="C59" i="24" a="1"/>
  <c r="C59" i="24" s="1"/>
  <c r="U60" i="24"/>
  <c r="B59" i="24" a="1"/>
  <c r="B59" i="24" s="1"/>
  <c r="O134" i="19"/>
  <c r="O120" i="19"/>
  <c r="O148" i="19"/>
  <c r="O64" i="19"/>
  <c r="O50" i="19"/>
  <c r="O92" i="19"/>
  <c r="O78" i="19"/>
  <c r="O106" i="19"/>
  <c r="W61" i="24" l="1"/>
  <c r="C60" i="24" a="1"/>
  <c r="C60" i="24" s="1"/>
  <c r="U61" i="24"/>
  <c r="B60" i="24" a="1"/>
  <c r="B60" i="24" s="1"/>
  <c r="O107" i="19"/>
  <c r="O149" i="19"/>
  <c r="O79" i="19"/>
  <c r="O65" i="19"/>
  <c r="O121" i="19"/>
  <c r="O93" i="19"/>
  <c r="O135" i="19"/>
  <c r="W62" i="24" l="1"/>
  <c r="C61" i="24" a="1"/>
  <c r="C61" i="24" s="1"/>
  <c r="U62" i="24"/>
  <c r="B61" i="24" a="1"/>
  <c r="B61" i="24" s="1"/>
  <c r="O136" i="19"/>
  <c r="O108" i="19"/>
  <c r="O122" i="19"/>
  <c r="O80" i="19"/>
  <c r="O150" i="19"/>
  <c r="O94" i="19"/>
  <c r="W63" i="24" l="1"/>
  <c r="C62" i="24" a="1"/>
  <c r="C62" i="24" s="1"/>
  <c r="U63" i="24"/>
  <c r="B62" i="24" a="1"/>
  <c r="B62" i="24" s="1"/>
  <c r="O137" i="19"/>
  <c r="O95" i="19"/>
  <c r="O109" i="19"/>
  <c r="O151" i="19"/>
  <c r="O123" i="19"/>
  <c r="W64" i="24" l="1"/>
  <c r="C63" i="24" a="1"/>
  <c r="C63" i="24" s="1"/>
  <c r="U64" i="24"/>
  <c r="B63" i="24" a="1"/>
  <c r="B63" i="24" s="1"/>
  <c r="O152" i="19"/>
  <c r="O138" i="19"/>
  <c r="O110" i="19"/>
  <c r="O124" i="19"/>
  <c r="W65" i="24" l="1"/>
  <c r="C64" i="24" a="1"/>
  <c r="C64" i="24" s="1"/>
  <c r="U65" i="24"/>
  <c r="B64" i="24" a="1"/>
  <c r="B64" i="24" s="1"/>
  <c r="O153" i="19"/>
  <c r="O125" i="19"/>
  <c r="O139" i="19"/>
  <c r="W66" i="24" l="1"/>
  <c r="C65" i="24" a="1"/>
  <c r="C65" i="24" s="1"/>
  <c r="U66" i="24"/>
  <c r="B65" i="24" a="1"/>
  <c r="B65" i="24" s="1"/>
  <c r="O154" i="19"/>
  <c r="O140" i="19"/>
  <c r="W67" i="24" l="1"/>
  <c r="C66" i="24" a="1"/>
  <c r="C66" i="24" s="1"/>
  <c r="U67" i="24"/>
  <c r="B66" i="24" a="1"/>
  <c r="B66" i="24" s="1"/>
  <c r="O155" i="19"/>
  <c r="W68" i="24" l="1"/>
  <c r="C67" i="24" a="1"/>
  <c r="C67" i="24" s="1"/>
  <c r="U68" i="24"/>
  <c r="B67" i="24" a="1"/>
  <c r="B67" i="24" s="1"/>
  <c r="W69" i="24" l="1"/>
  <c r="C68" i="24" a="1"/>
  <c r="C68" i="24" s="1"/>
  <c r="U69" i="24"/>
  <c r="B68" i="24" a="1"/>
  <c r="B68" i="24" s="1"/>
  <c r="W70" i="24" l="1"/>
  <c r="C69" i="24" a="1"/>
  <c r="C69" i="24" s="1"/>
  <c r="U70" i="24"/>
  <c r="B69" i="24" a="1"/>
  <c r="B69" i="24" s="1"/>
  <c r="AF776" i="10"/>
  <c r="AF777" i="10" s="1"/>
  <c r="AF778" i="10" s="1"/>
  <c r="AF779" i="10" s="1"/>
  <c r="AF762" i="10"/>
  <c r="AF763" i="10" s="1"/>
  <c r="AF764" i="10" s="1"/>
  <c r="AF765" i="10" s="1"/>
  <c r="AF748" i="10"/>
  <c r="AF749" i="10" s="1"/>
  <c r="AF750" i="10" s="1"/>
  <c r="AF751" i="10" s="1"/>
  <c r="AF734" i="10"/>
  <c r="AF735" i="10" s="1"/>
  <c r="AF736" i="10" s="1"/>
  <c r="AF737" i="10" s="1"/>
  <c r="AF720" i="10"/>
  <c r="AF721" i="10" s="1"/>
  <c r="AF722" i="10" s="1"/>
  <c r="AF723" i="10" s="1"/>
  <c r="AF706" i="10"/>
  <c r="AF707" i="10" s="1"/>
  <c r="AF708" i="10" s="1"/>
  <c r="AF709" i="10" s="1"/>
  <c r="AF692" i="10"/>
  <c r="AF693" i="10" s="1"/>
  <c r="AF694" i="10" s="1"/>
  <c r="AF695" i="10" s="1"/>
  <c r="AF678" i="10"/>
  <c r="AF679" i="10" s="1"/>
  <c r="AF680" i="10" s="1"/>
  <c r="AF681" i="10" s="1"/>
  <c r="AF664" i="10"/>
  <c r="AF665" i="10" s="1"/>
  <c r="AF666" i="10" s="1"/>
  <c r="AF667" i="10" s="1"/>
  <c r="AF650" i="10"/>
  <c r="AF651" i="10" s="1"/>
  <c r="AF652" i="10" s="1"/>
  <c r="AF653" i="10" s="1"/>
  <c r="AF636" i="10"/>
  <c r="AF637" i="10" s="1"/>
  <c r="AF638" i="10" s="1"/>
  <c r="AF639" i="10" s="1"/>
  <c r="AF622" i="10"/>
  <c r="AF623" i="10" s="1"/>
  <c r="AF624" i="10" s="1"/>
  <c r="AF625" i="10" s="1"/>
  <c r="AF608" i="10"/>
  <c r="AF609" i="10" s="1"/>
  <c r="AF610" i="10" s="1"/>
  <c r="AF611" i="10" s="1"/>
  <c r="AF594" i="10"/>
  <c r="AF595" i="10" s="1"/>
  <c r="AF596" i="10" s="1"/>
  <c r="AF597" i="10" s="1"/>
  <c r="AF580" i="10"/>
  <c r="AF581" i="10" s="1"/>
  <c r="AF582" i="10" s="1"/>
  <c r="AF583" i="10" s="1"/>
  <c r="AF566" i="10"/>
  <c r="AF567" i="10" s="1"/>
  <c r="AF568" i="10" s="1"/>
  <c r="AF569" i="10" s="1"/>
  <c r="AF552" i="10"/>
  <c r="AF553" i="10" s="1"/>
  <c r="AF554" i="10" s="1"/>
  <c r="AF555" i="10" s="1"/>
  <c r="AF538" i="10"/>
  <c r="AF539" i="10" s="1"/>
  <c r="AF540" i="10" s="1"/>
  <c r="AF541" i="10" s="1"/>
  <c r="AF524" i="10"/>
  <c r="AF525" i="10" s="1"/>
  <c r="AF526" i="10" s="1"/>
  <c r="AF527" i="10" s="1"/>
  <c r="AF510" i="10"/>
  <c r="AF511" i="10" s="1"/>
  <c r="AF512" i="10" s="1"/>
  <c r="AF513" i="10" s="1"/>
  <c r="AF496" i="10"/>
  <c r="AF497" i="10" s="1"/>
  <c r="AF498" i="10" s="1"/>
  <c r="AF499" i="10" s="1"/>
  <c r="AF482" i="10"/>
  <c r="AF483" i="10" s="1"/>
  <c r="AF484" i="10" s="1"/>
  <c r="AF485" i="10" s="1"/>
  <c r="AF468" i="10"/>
  <c r="AF469" i="10" s="1"/>
  <c r="AF470" i="10" s="1"/>
  <c r="AF471" i="10" s="1"/>
  <c r="AF454" i="10"/>
  <c r="AF455" i="10" s="1"/>
  <c r="AF456" i="10" s="1"/>
  <c r="AF457" i="10" s="1"/>
  <c r="AF440" i="10"/>
  <c r="AF441" i="10" s="1"/>
  <c r="AF442" i="10" s="1"/>
  <c r="AF443" i="10" s="1"/>
  <c r="AF426" i="10"/>
  <c r="AF427" i="10" s="1"/>
  <c r="AF428" i="10" s="1"/>
  <c r="AF429" i="10" s="1"/>
  <c r="AF413" i="10"/>
  <c r="AF414" i="10" s="1"/>
  <c r="AF415" i="10" s="1"/>
  <c r="AF412" i="10"/>
  <c r="AF398" i="10"/>
  <c r="AF399" i="10" s="1"/>
  <c r="AF400" i="10" s="1"/>
  <c r="AF401" i="10" s="1"/>
  <c r="AF384" i="10"/>
  <c r="AF385" i="10" s="1"/>
  <c r="AF386" i="10" s="1"/>
  <c r="AF387" i="10" s="1"/>
  <c r="AF370" i="10"/>
  <c r="AF371" i="10" s="1"/>
  <c r="AF372" i="10" s="1"/>
  <c r="AF373" i="10" s="1"/>
  <c r="AF356" i="10"/>
  <c r="AF357" i="10" s="1"/>
  <c r="AF358" i="10" s="1"/>
  <c r="AF359" i="10" s="1"/>
  <c r="AF342" i="10"/>
  <c r="AF343" i="10" s="1"/>
  <c r="AF344" i="10" s="1"/>
  <c r="AF345" i="10" s="1"/>
  <c r="AF328" i="10"/>
  <c r="AF329" i="10" s="1"/>
  <c r="AF330" i="10" s="1"/>
  <c r="AF331" i="10" s="1"/>
  <c r="AF315" i="10"/>
  <c r="AF316" i="10" s="1"/>
  <c r="AF317" i="10" s="1"/>
  <c r="AF314" i="10"/>
  <c r="AF300" i="10"/>
  <c r="AF301" i="10" s="1"/>
  <c r="AF302" i="10" s="1"/>
  <c r="AF303" i="10" s="1"/>
  <c r="AF286" i="10"/>
  <c r="AF287" i="10" s="1"/>
  <c r="AF288" i="10" s="1"/>
  <c r="AF289" i="10" s="1"/>
  <c r="AF272" i="10"/>
  <c r="AF273" i="10" s="1"/>
  <c r="AF274" i="10" s="1"/>
  <c r="AF275" i="10" s="1"/>
  <c r="AF258" i="10"/>
  <c r="AF259" i="10" s="1"/>
  <c r="AF260" i="10" s="1"/>
  <c r="AF261" i="10" s="1"/>
  <c r="AF244" i="10"/>
  <c r="AF245" i="10" s="1"/>
  <c r="AF246" i="10" s="1"/>
  <c r="AF247" i="10" s="1"/>
  <c r="AF230" i="10"/>
  <c r="AF231" i="10" s="1"/>
  <c r="AF232" i="10" s="1"/>
  <c r="AF233" i="10" s="1"/>
  <c r="AF216" i="10"/>
  <c r="AF217" i="10" s="1"/>
  <c r="AF218" i="10" s="1"/>
  <c r="AF219" i="10" s="1"/>
  <c r="AF202" i="10"/>
  <c r="AF203" i="10" s="1"/>
  <c r="AF204" i="10" s="1"/>
  <c r="AF205" i="10" s="1"/>
  <c r="AF188" i="10"/>
  <c r="AF189" i="10" s="1"/>
  <c r="AF190" i="10" s="1"/>
  <c r="AF191" i="10" s="1"/>
  <c r="AF174" i="10"/>
  <c r="AF175" i="10" s="1"/>
  <c r="AF176" i="10" s="1"/>
  <c r="AF177" i="10" s="1"/>
  <c r="AF160" i="10"/>
  <c r="AF161" i="10" s="1"/>
  <c r="AF162" i="10" s="1"/>
  <c r="AF163" i="10" s="1"/>
  <c r="AF146" i="10"/>
  <c r="AF147" i="10" s="1"/>
  <c r="AF148" i="10" s="1"/>
  <c r="AF149" i="10" s="1"/>
  <c r="AF132" i="10"/>
  <c r="AF133" i="10" s="1"/>
  <c r="AF134" i="10" s="1"/>
  <c r="AF135" i="10" s="1"/>
  <c r="AF118" i="10"/>
  <c r="AF119" i="10" s="1"/>
  <c r="AF120" i="10" s="1"/>
  <c r="AF121" i="10" s="1"/>
  <c r="AF104" i="10"/>
  <c r="AF105" i="10" s="1"/>
  <c r="AF106" i="10" s="1"/>
  <c r="AF107" i="10" s="1"/>
  <c r="AF90" i="10"/>
  <c r="AF91" i="10" s="1"/>
  <c r="AF92" i="10" s="1"/>
  <c r="AF93" i="10" s="1"/>
  <c r="AF76" i="10"/>
  <c r="AF77" i="10" s="1"/>
  <c r="AF78" i="10" s="1"/>
  <c r="AF79" i="10" s="1"/>
  <c r="AF62" i="10"/>
  <c r="AF63" i="10" s="1"/>
  <c r="AF64" i="10" s="1"/>
  <c r="AF65" i="10" s="1"/>
  <c r="Q19" i="10"/>
  <c r="Q20" i="10" s="1"/>
  <c r="Q21" i="10" s="1"/>
  <c r="Q22" i="10" s="1"/>
  <c r="Q23" i="10" s="1"/>
  <c r="Q24" i="10" s="1"/>
  <c r="Q25" i="10" s="1"/>
  <c r="Q26" i="10" s="1"/>
  <c r="Q27" i="10" s="1"/>
  <c r="Q28" i="10" s="1"/>
  <c r="Q29" i="10" s="1"/>
  <c r="Q30" i="10" s="1"/>
  <c r="Q31" i="10" s="1"/>
  <c r="Q32" i="10" s="1"/>
  <c r="R19" i="10"/>
  <c r="IG12" i="9"/>
  <c r="IG13" i="9" s="1"/>
  <c r="IG14" i="9" s="1"/>
  <c r="IG15" i="9" s="1"/>
  <c r="IG16" i="9" s="1"/>
  <c r="IG17" i="9" s="1"/>
  <c r="IG18" i="9" s="1"/>
  <c r="IG19" i="9" s="1"/>
  <c r="IG20" i="9" s="1"/>
  <c r="IG21" i="9" s="1"/>
  <c r="IG22" i="9" s="1"/>
  <c r="IG23" i="9" s="1"/>
  <c r="IG24" i="9" s="1"/>
  <c r="IG25" i="9" s="1"/>
  <c r="IG26" i="9" s="1"/>
  <c r="IG27" i="9" s="1"/>
  <c r="IG28" i="9" s="1"/>
  <c r="IG29" i="9" s="1"/>
  <c r="IG30" i="9" s="1"/>
  <c r="IG31" i="9" s="1"/>
  <c r="IG32" i="9" s="1"/>
  <c r="IG33" i="9" s="1"/>
  <c r="IG34" i="9" s="1"/>
  <c r="IG35" i="9" s="1"/>
  <c r="IG36" i="9" s="1"/>
  <c r="IG37" i="9" s="1"/>
  <c r="IG38" i="9" s="1"/>
  <c r="IG39" i="9" s="1"/>
  <c r="IG40" i="9" s="1"/>
  <c r="IG41" i="9" s="1"/>
  <c r="IG42" i="9" s="1"/>
  <c r="IG43" i="9" s="1"/>
  <c r="IG44" i="9" s="1"/>
  <c r="IG45" i="9" s="1"/>
  <c r="IG46" i="9" s="1"/>
  <c r="IG47" i="9" s="1"/>
  <c r="IG48" i="9" s="1"/>
  <c r="IG49" i="9" s="1"/>
  <c r="IG50" i="9" s="1"/>
  <c r="IG51" i="9" s="1"/>
  <c r="IG52" i="9" s="1"/>
  <c r="IG53" i="9" s="1"/>
  <c r="IG54" i="9" s="1"/>
  <c r="IG55" i="9" s="1"/>
  <c r="IG56" i="9" s="1"/>
  <c r="IG57" i="9" s="1"/>
  <c r="IG58" i="9" s="1"/>
  <c r="IG59" i="9" s="1"/>
  <c r="IG60" i="9" s="1"/>
  <c r="IG61" i="9" s="1"/>
  <c r="IG62" i="9" s="1"/>
  <c r="IG63" i="9" s="1"/>
  <c r="IG64" i="9" s="1"/>
  <c r="IG65" i="9" s="1"/>
  <c r="IG66" i="9" s="1"/>
  <c r="IG67" i="9" s="1"/>
  <c r="IG68" i="9" s="1"/>
  <c r="IG69" i="9" s="1"/>
  <c r="IG70" i="9" s="1"/>
  <c r="IG71" i="9" s="1"/>
  <c r="IG72" i="9" s="1"/>
  <c r="IG73" i="9" s="1"/>
  <c r="IG74" i="9" s="1"/>
  <c r="IG75" i="9" s="1"/>
  <c r="IG76" i="9" s="1"/>
  <c r="IG77" i="9" s="1"/>
  <c r="HN12" i="9"/>
  <c r="HN13" i="9" s="1"/>
  <c r="HN14" i="9" s="1"/>
  <c r="HN15" i="9" s="1"/>
  <c r="HN16" i="9" s="1"/>
  <c r="HN17" i="9" s="1"/>
  <c r="HN18" i="9" s="1"/>
  <c r="HN19" i="9" s="1"/>
  <c r="HN20" i="9" s="1"/>
  <c r="HN21" i="9" s="1"/>
  <c r="HN22" i="9" s="1"/>
  <c r="HN23" i="9" s="1"/>
  <c r="HN24" i="9" s="1"/>
  <c r="HN25" i="9" s="1"/>
  <c r="HN26" i="9" s="1"/>
  <c r="HN27" i="9" s="1"/>
  <c r="HN28" i="9" s="1"/>
  <c r="HN29" i="9" s="1"/>
  <c r="HN30" i="9" s="1"/>
  <c r="HN31" i="9" s="1"/>
  <c r="HN32" i="9" s="1"/>
  <c r="HN33" i="9" s="1"/>
  <c r="HN34" i="9" s="1"/>
  <c r="HN35" i="9" s="1"/>
  <c r="HN36" i="9" s="1"/>
  <c r="HN37" i="9" s="1"/>
  <c r="HN38" i="9" s="1"/>
  <c r="HN39" i="9" s="1"/>
  <c r="HN40" i="9" s="1"/>
  <c r="HN41" i="9" s="1"/>
  <c r="HN42" i="9" s="1"/>
  <c r="HN43" i="9" s="1"/>
  <c r="HN44" i="9" s="1"/>
  <c r="HN45" i="9" s="1"/>
  <c r="HN46" i="9" s="1"/>
  <c r="HN47" i="9" s="1"/>
  <c r="HN48" i="9" s="1"/>
  <c r="HN49" i="9" s="1"/>
  <c r="HN50" i="9" s="1"/>
  <c r="HN51" i="9" s="1"/>
  <c r="HN52" i="9" s="1"/>
  <c r="HN53" i="9" s="1"/>
  <c r="HN54" i="9" s="1"/>
  <c r="HN55" i="9" s="1"/>
  <c r="HN56" i="9" s="1"/>
  <c r="HN57" i="9" s="1"/>
  <c r="HN58" i="9" s="1"/>
  <c r="HN59" i="9" s="1"/>
  <c r="HN60" i="9" s="1"/>
  <c r="HN61" i="9" s="1"/>
  <c r="HN62" i="9" s="1"/>
  <c r="HN63" i="9" s="1"/>
  <c r="HN64" i="9" s="1"/>
  <c r="HN65" i="9" s="1"/>
  <c r="HN66" i="9" s="1"/>
  <c r="HN67" i="9" s="1"/>
  <c r="HN68" i="9" s="1"/>
  <c r="HN69" i="9" s="1"/>
  <c r="HN70" i="9" s="1"/>
  <c r="HN71" i="9" s="1"/>
  <c r="HN72" i="9" s="1"/>
  <c r="HN73" i="9" s="1"/>
  <c r="HN74" i="9" s="1"/>
  <c r="HN75" i="9" s="1"/>
  <c r="HN76" i="9" s="1"/>
  <c r="HN77" i="9" s="1"/>
  <c r="GU12" i="9"/>
  <c r="GU13" i="9" s="1"/>
  <c r="GU14" i="9" s="1"/>
  <c r="GU15" i="9" s="1"/>
  <c r="GU16" i="9" s="1"/>
  <c r="GU17" i="9" s="1"/>
  <c r="GU18" i="9" s="1"/>
  <c r="GU19" i="9" s="1"/>
  <c r="GU20" i="9" s="1"/>
  <c r="GU21" i="9" s="1"/>
  <c r="GU22" i="9" s="1"/>
  <c r="GU23" i="9" s="1"/>
  <c r="GU24" i="9" s="1"/>
  <c r="GU25" i="9" s="1"/>
  <c r="GU26" i="9" s="1"/>
  <c r="GU27" i="9" s="1"/>
  <c r="GU28" i="9" s="1"/>
  <c r="GU29" i="9" s="1"/>
  <c r="GU30" i="9" s="1"/>
  <c r="GU31" i="9" s="1"/>
  <c r="GU32" i="9" s="1"/>
  <c r="GU33" i="9" s="1"/>
  <c r="GU34" i="9" s="1"/>
  <c r="GU35" i="9" s="1"/>
  <c r="GU36" i="9" s="1"/>
  <c r="GU37" i="9" s="1"/>
  <c r="GU38" i="9" s="1"/>
  <c r="GU39" i="9" s="1"/>
  <c r="GU40" i="9" s="1"/>
  <c r="GU41" i="9" s="1"/>
  <c r="GU42" i="9" s="1"/>
  <c r="GU43" i="9" s="1"/>
  <c r="GU44" i="9" s="1"/>
  <c r="GU45" i="9" s="1"/>
  <c r="GU46" i="9" s="1"/>
  <c r="GU47" i="9" s="1"/>
  <c r="GU48" i="9" s="1"/>
  <c r="GU49" i="9" s="1"/>
  <c r="GU50" i="9" s="1"/>
  <c r="GU51" i="9" s="1"/>
  <c r="GU52" i="9" s="1"/>
  <c r="GU53" i="9" s="1"/>
  <c r="GU54" i="9" s="1"/>
  <c r="GU55" i="9" s="1"/>
  <c r="GU56" i="9" s="1"/>
  <c r="GU57" i="9" s="1"/>
  <c r="GU58" i="9" s="1"/>
  <c r="GU59" i="9" s="1"/>
  <c r="GU60" i="9" s="1"/>
  <c r="GU61" i="9" s="1"/>
  <c r="GU62" i="9" s="1"/>
  <c r="GU63" i="9" s="1"/>
  <c r="GU64" i="9" s="1"/>
  <c r="GU65" i="9" s="1"/>
  <c r="GU66" i="9" s="1"/>
  <c r="GU67" i="9" s="1"/>
  <c r="GU68" i="9" s="1"/>
  <c r="GU69" i="9" s="1"/>
  <c r="GU70" i="9" s="1"/>
  <c r="GU71" i="9" s="1"/>
  <c r="GU72" i="9" s="1"/>
  <c r="GU73" i="9" s="1"/>
  <c r="GU74" i="9" s="1"/>
  <c r="GU75" i="9" s="1"/>
  <c r="GU76" i="9" s="1"/>
  <c r="GU77" i="9" s="1"/>
  <c r="GB12" i="9"/>
  <c r="GB13" i="9" s="1"/>
  <c r="GB14" i="9" s="1"/>
  <c r="GB15" i="9" s="1"/>
  <c r="GB16" i="9" s="1"/>
  <c r="GB17" i="9" s="1"/>
  <c r="GB18" i="9" s="1"/>
  <c r="GB19" i="9" s="1"/>
  <c r="GB20" i="9" s="1"/>
  <c r="GB21" i="9" s="1"/>
  <c r="GB22" i="9" s="1"/>
  <c r="GB23" i="9" s="1"/>
  <c r="GB24" i="9" s="1"/>
  <c r="GB25" i="9" s="1"/>
  <c r="GB26" i="9" s="1"/>
  <c r="GB27" i="9" s="1"/>
  <c r="GB28" i="9" s="1"/>
  <c r="GB29" i="9" s="1"/>
  <c r="GB30" i="9" s="1"/>
  <c r="GB31" i="9" s="1"/>
  <c r="GB32" i="9" s="1"/>
  <c r="GB33" i="9" s="1"/>
  <c r="GB34" i="9" s="1"/>
  <c r="GB35" i="9" s="1"/>
  <c r="GB36" i="9" s="1"/>
  <c r="GB37" i="9" s="1"/>
  <c r="GB38" i="9" s="1"/>
  <c r="GB39" i="9" s="1"/>
  <c r="GB40" i="9" s="1"/>
  <c r="GB41" i="9" s="1"/>
  <c r="GB42" i="9" s="1"/>
  <c r="GB43" i="9" s="1"/>
  <c r="GB44" i="9" s="1"/>
  <c r="GB45" i="9" s="1"/>
  <c r="GB46" i="9" s="1"/>
  <c r="GB47" i="9" s="1"/>
  <c r="GB48" i="9" s="1"/>
  <c r="GB49" i="9" s="1"/>
  <c r="GB50" i="9" s="1"/>
  <c r="GB51" i="9" s="1"/>
  <c r="GB52" i="9" s="1"/>
  <c r="GB53" i="9" s="1"/>
  <c r="GB54" i="9" s="1"/>
  <c r="GB55" i="9" s="1"/>
  <c r="GB56" i="9" s="1"/>
  <c r="GB57" i="9" s="1"/>
  <c r="GB58" i="9" s="1"/>
  <c r="GB59" i="9" s="1"/>
  <c r="GB60" i="9" s="1"/>
  <c r="GB61" i="9" s="1"/>
  <c r="GB62" i="9" s="1"/>
  <c r="GB63" i="9" s="1"/>
  <c r="GB64" i="9" s="1"/>
  <c r="GB65" i="9" s="1"/>
  <c r="GB66" i="9" s="1"/>
  <c r="GB67" i="9" s="1"/>
  <c r="GB68" i="9" s="1"/>
  <c r="GB69" i="9" s="1"/>
  <c r="GB70" i="9" s="1"/>
  <c r="GB71" i="9" s="1"/>
  <c r="GB72" i="9" s="1"/>
  <c r="GB73" i="9" s="1"/>
  <c r="GB74" i="9" s="1"/>
  <c r="GB75" i="9" s="1"/>
  <c r="GB76" i="9" s="1"/>
  <c r="GB77" i="9" s="1"/>
  <c r="KB12" i="9"/>
  <c r="KB13" i="9" s="1"/>
  <c r="KB14" i="9" s="1"/>
  <c r="KB15" i="9" s="1"/>
  <c r="KB16" i="9" s="1"/>
  <c r="KB17" i="9" s="1"/>
  <c r="KB18" i="9" s="1"/>
  <c r="KB19" i="9" s="1"/>
  <c r="KB20" i="9" s="1"/>
  <c r="KB21" i="9" s="1"/>
  <c r="KB22" i="9" s="1"/>
  <c r="KB23" i="9" s="1"/>
  <c r="KB24" i="9" s="1"/>
  <c r="KB25" i="9" s="1"/>
  <c r="KB26" i="9" s="1"/>
  <c r="KB27" i="9" s="1"/>
  <c r="KB28" i="9" s="1"/>
  <c r="KB29" i="9" s="1"/>
  <c r="KB30" i="9" s="1"/>
  <c r="KB31" i="9" s="1"/>
  <c r="KB32" i="9" s="1"/>
  <c r="KB33" i="9" s="1"/>
  <c r="KB34" i="9" s="1"/>
  <c r="KB35" i="9" s="1"/>
  <c r="KB36" i="9" s="1"/>
  <c r="KB37" i="9" s="1"/>
  <c r="KB38" i="9" s="1"/>
  <c r="KB39" i="9" s="1"/>
  <c r="KB40" i="9" s="1"/>
  <c r="KB41" i="9" s="1"/>
  <c r="KB42" i="9" s="1"/>
  <c r="KB43" i="9" s="1"/>
  <c r="KB44" i="9" s="1"/>
  <c r="KB45" i="9" s="1"/>
  <c r="KB46" i="9" s="1"/>
  <c r="KB47" i="9" s="1"/>
  <c r="KB48" i="9" s="1"/>
  <c r="KB49" i="9" s="1"/>
  <c r="KB50" i="9" s="1"/>
  <c r="KB51" i="9" s="1"/>
  <c r="KB52" i="9" s="1"/>
  <c r="KB53" i="9" s="1"/>
  <c r="KB54" i="9" s="1"/>
  <c r="KB55" i="9" s="1"/>
  <c r="KB56" i="9" s="1"/>
  <c r="KB57" i="9" s="1"/>
  <c r="KB58" i="9" s="1"/>
  <c r="KB59" i="9" s="1"/>
  <c r="KB60" i="9" s="1"/>
  <c r="KB61" i="9" s="1"/>
  <c r="KB62" i="9" s="1"/>
  <c r="KB63" i="9" s="1"/>
  <c r="KB64" i="9" s="1"/>
  <c r="KB65" i="9" s="1"/>
  <c r="KB66" i="9" s="1"/>
  <c r="KC12" i="9"/>
  <c r="KD12" i="9"/>
  <c r="KE12" i="9"/>
  <c r="KE13" i="9" s="1"/>
  <c r="KE14" i="9" s="1"/>
  <c r="KE15" i="9" s="1"/>
  <c r="KE16" i="9" s="1"/>
  <c r="KE17" i="9" s="1"/>
  <c r="KE18" i="9" s="1"/>
  <c r="KE19" i="9" s="1"/>
  <c r="KE20" i="9" s="1"/>
  <c r="KE21" i="9" s="1"/>
  <c r="KE22" i="9" s="1"/>
  <c r="KE23" i="9" s="1"/>
  <c r="KE24" i="9" s="1"/>
  <c r="KE25" i="9" s="1"/>
  <c r="KE26" i="9" s="1"/>
  <c r="KE27" i="9" s="1"/>
  <c r="KE28" i="9" s="1"/>
  <c r="KE29" i="9" s="1"/>
  <c r="KE30" i="9" s="1"/>
  <c r="KE31" i="9" s="1"/>
  <c r="KE32" i="9" s="1"/>
  <c r="KE33" i="9" s="1"/>
  <c r="KE34" i="9" s="1"/>
  <c r="KE35" i="9" s="1"/>
  <c r="KE36" i="9" s="1"/>
  <c r="KE37" i="9" s="1"/>
  <c r="KE38" i="9" s="1"/>
  <c r="KE39" i="9" s="1"/>
  <c r="KE40" i="9" s="1"/>
  <c r="KE41" i="9" s="1"/>
  <c r="KE42" i="9" s="1"/>
  <c r="KE43" i="9" s="1"/>
  <c r="KE44" i="9" s="1"/>
  <c r="KE45" i="9" s="1"/>
  <c r="KE46" i="9" s="1"/>
  <c r="KE47" i="9" s="1"/>
  <c r="KE48" i="9" s="1"/>
  <c r="KE49" i="9" s="1"/>
  <c r="KE50" i="9" s="1"/>
  <c r="KE51" i="9" s="1"/>
  <c r="KE52" i="9" s="1"/>
  <c r="KE53" i="9" s="1"/>
  <c r="KE54" i="9" s="1"/>
  <c r="KE55" i="9" s="1"/>
  <c r="KE56" i="9" s="1"/>
  <c r="KE57" i="9" s="1"/>
  <c r="KE58" i="9" s="1"/>
  <c r="KE59" i="9" s="1"/>
  <c r="KE60" i="9" s="1"/>
  <c r="KE61" i="9" s="1"/>
  <c r="KE62" i="9" s="1"/>
  <c r="KE63" i="9" s="1"/>
  <c r="KE64" i="9" s="1"/>
  <c r="KE65" i="9" s="1"/>
  <c r="KE66" i="9" s="1"/>
  <c r="KE67" i="9" s="1"/>
  <c r="KE68" i="9" s="1"/>
  <c r="KE69" i="9" s="1"/>
  <c r="KE70" i="9" s="1"/>
  <c r="KE71" i="9" s="1"/>
  <c r="KE72" i="9" s="1"/>
  <c r="KE73" i="9" s="1"/>
  <c r="KE74" i="9" s="1"/>
  <c r="KE75" i="9" s="1"/>
  <c r="KE76" i="9" s="1"/>
  <c r="KE77" i="9" s="1"/>
  <c r="KF12" i="9"/>
  <c r="KF13" i="9" s="1"/>
  <c r="KF14" i="9" s="1"/>
  <c r="KF15" i="9" s="1"/>
  <c r="KF16" i="9" s="1"/>
  <c r="KF17" i="9" s="1"/>
  <c r="KF18" i="9" s="1"/>
  <c r="KF19" i="9" s="1"/>
  <c r="KF20" i="9" s="1"/>
  <c r="KF21" i="9" s="1"/>
  <c r="KF22" i="9" s="1"/>
  <c r="KF23" i="9" s="1"/>
  <c r="KF24" i="9" s="1"/>
  <c r="KF25" i="9" s="1"/>
  <c r="KF26" i="9" s="1"/>
  <c r="KF27" i="9" s="1"/>
  <c r="KF28" i="9" s="1"/>
  <c r="KF29" i="9" s="1"/>
  <c r="KF30" i="9" s="1"/>
  <c r="KF31" i="9" s="1"/>
  <c r="KF32" i="9" s="1"/>
  <c r="KF33" i="9" s="1"/>
  <c r="KF34" i="9" s="1"/>
  <c r="KF35" i="9" s="1"/>
  <c r="KF36" i="9" s="1"/>
  <c r="KF37" i="9" s="1"/>
  <c r="KF38" i="9" s="1"/>
  <c r="KF39" i="9" s="1"/>
  <c r="KF40" i="9" s="1"/>
  <c r="KF41" i="9" s="1"/>
  <c r="KF42" i="9" s="1"/>
  <c r="KF43" i="9" s="1"/>
  <c r="KF44" i="9" s="1"/>
  <c r="KF45" i="9" s="1"/>
  <c r="KF46" i="9" s="1"/>
  <c r="KF47" i="9" s="1"/>
  <c r="KF48" i="9" s="1"/>
  <c r="KF49" i="9" s="1"/>
  <c r="KF50" i="9" s="1"/>
  <c r="KF51" i="9" s="1"/>
  <c r="KF52" i="9" s="1"/>
  <c r="KF53" i="9" s="1"/>
  <c r="KF54" i="9" s="1"/>
  <c r="KF55" i="9" s="1"/>
  <c r="KF56" i="9" s="1"/>
  <c r="KF57" i="9" s="1"/>
  <c r="KF58" i="9" s="1"/>
  <c r="KF59" i="9" s="1"/>
  <c r="KF60" i="9" s="1"/>
  <c r="KF61" i="9" s="1"/>
  <c r="KF62" i="9" s="1"/>
  <c r="KF63" i="9" s="1"/>
  <c r="KF64" i="9" s="1"/>
  <c r="KF65" i="9" s="1"/>
  <c r="KF66" i="9" s="1"/>
  <c r="KF67" i="9" s="1"/>
  <c r="KF68" i="9" s="1"/>
  <c r="KF69" i="9" s="1"/>
  <c r="KF70" i="9" s="1"/>
  <c r="KF71" i="9" s="1"/>
  <c r="KF72" i="9" s="1"/>
  <c r="KF73" i="9" s="1"/>
  <c r="KF74" i="9" s="1"/>
  <c r="KF75" i="9" s="1"/>
  <c r="KF76" i="9" s="1"/>
  <c r="KF77" i="9" s="1"/>
  <c r="KG12" i="9"/>
  <c r="KG13" i="9" s="1"/>
  <c r="KG14" i="9" s="1"/>
  <c r="KG15" i="9" s="1"/>
  <c r="KG16" i="9" s="1"/>
  <c r="KG17" i="9" s="1"/>
  <c r="KG18" i="9" s="1"/>
  <c r="KG19" i="9" s="1"/>
  <c r="KG20" i="9" s="1"/>
  <c r="KG21" i="9" s="1"/>
  <c r="KG22" i="9" s="1"/>
  <c r="KG23" i="9" s="1"/>
  <c r="KG24" i="9" s="1"/>
  <c r="KG25" i="9" s="1"/>
  <c r="KG26" i="9" s="1"/>
  <c r="KG27" i="9" s="1"/>
  <c r="KG28" i="9" s="1"/>
  <c r="KG29" i="9" s="1"/>
  <c r="KG30" i="9" s="1"/>
  <c r="KG31" i="9" s="1"/>
  <c r="KG32" i="9" s="1"/>
  <c r="KG33" i="9" s="1"/>
  <c r="KG34" i="9" s="1"/>
  <c r="KG35" i="9" s="1"/>
  <c r="KG36" i="9" s="1"/>
  <c r="KG37" i="9" s="1"/>
  <c r="KG38" i="9" s="1"/>
  <c r="KG39" i="9" s="1"/>
  <c r="KG40" i="9" s="1"/>
  <c r="KG41" i="9" s="1"/>
  <c r="KG42" i="9" s="1"/>
  <c r="KG43" i="9" s="1"/>
  <c r="KG44" i="9" s="1"/>
  <c r="KG45" i="9" s="1"/>
  <c r="KG46" i="9" s="1"/>
  <c r="KG47" i="9" s="1"/>
  <c r="KG48" i="9" s="1"/>
  <c r="KG49" i="9" s="1"/>
  <c r="KG50" i="9" s="1"/>
  <c r="KG51" i="9" s="1"/>
  <c r="KG52" i="9" s="1"/>
  <c r="KG53" i="9" s="1"/>
  <c r="KG54" i="9" s="1"/>
  <c r="KG55" i="9" s="1"/>
  <c r="KG56" i="9" s="1"/>
  <c r="KG57" i="9" s="1"/>
  <c r="KG58" i="9" s="1"/>
  <c r="KG59" i="9" s="1"/>
  <c r="KG60" i="9" s="1"/>
  <c r="KG61" i="9" s="1"/>
  <c r="KG62" i="9" s="1"/>
  <c r="KG63" i="9" s="1"/>
  <c r="KG64" i="9" s="1"/>
  <c r="KG65" i="9" s="1"/>
  <c r="KG66" i="9" s="1"/>
  <c r="KG67" i="9" s="1"/>
  <c r="KH12" i="9"/>
  <c r="KH13" i="9" s="1"/>
  <c r="KH14" i="9" s="1"/>
  <c r="KH15" i="9" s="1"/>
  <c r="KH16" i="9" s="1"/>
  <c r="KH17" i="9" s="1"/>
  <c r="KH18" i="9" s="1"/>
  <c r="KH19" i="9" s="1"/>
  <c r="KH20" i="9" s="1"/>
  <c r="KH21" i="9" s="1"/>
  <c r="KH22" i="9" s="1"/>
  <c r="KH23" i="9" s="1"/>
  <c r="KH24" i="9" s="1"/>
  <c r="KH25" i="9" s="1"/>
  <c r="KH26" i="9" s="1"/>
  <c r="KH27" i="9" s="1"/>
  <c r="KH28" i="9" s="1"/>
  <c r="KH29" i="9" s="1"/>
  <c r="KH30" i="9" s="1"/>
  <c r="KH31" i="9" s="1"/>
  <c r="KH32" i="9" s="1"/>
  <c r="KH33" i="9" s="1"/>
  <c r="KH34" i="9" s="1"/>
  <c r="KH35" i="9" s="1"/>
  <c r="KH36" i="9" s="1"/>
  <c r="KH37" i="9" s="1"/>
  <c r="KH38" i="9" s="1"/>
  <c r="KH39" i="9" s="1"/>
  <c r="KH40" i="9" s="1"/>
  <c r="KH41" i="9" s="1"/>
  <c r="KH42" i="9" s="1"/>
  <c r="KH43" i="9" s="1"/>
  <c r="KH44" i="9" s="1"/>
  <c r="KH45" i="9" s="1"/>
  <c r="KH46" i="9" s="1"/>
  <c r="KH47" i="9" s="1"/>
  <c r="KH48" i="9" s="1"/>
  <c r="KH49" i="9" s="1"/>
  <c r="KH50" i="9" s="1"/>
  <c r="KH51" i="9" s="1"/>
  <c r="KH52" i="9" s="1"/>
  <c r="KH53" i="9" s="1"/>
  <c r="KH54" i="9" s="1"/>
  <c r="KH55" i="9" s="1"/>
  <c r="KH56" i="9" s="1"/>
  <c r="KH57" i="9" s="1"/>
  <c r="KH58" i="9" s="1"/>
  <c r="KH59" i="9" s="1"/>
  <c r="KH60" i="9" s="1"/>
  <c r="KH61" i="9" s="1"/>
  <c r="KH62" i="9" s="1"/>
  <c r="KH63" i="9" s="1"/>
  <c r="KH64" i="9" s="1"/>
  <c r="KH65" i="9" s="1"/>
  <c r="KH66" i="9" s="1"/>
  <c r="KH67" i="9" s="1"/>
  <c r="KH68" i="9" s="1"/>
  <c r="KD13" i="9"/>
  <c r="KD14" i="9" s="1"/>
  <c r="KD15" i="9" s="1"/>
  <c r="KD16" i="9" s="1"/>
  <c r="KD17" i="9" s="1"/>
  <c r="KD18" i="9" s="1"/>
  <c r="KD19" i="9" s="1"/>
  <c r="KD20" i="9" s="1"/>
  <c r="KD21" i="9" s="1"/>
  <c r="KD22" i="9" s="1"/>
  <c r="KD23" i="9" s="1"/>
  <c r="KD24" i="9" s="1"/>
  <c r="KD25" i="9" s="1"/>
  <c r="KD26" i="9" s="1"/>
  <c r="KD27" i="9" s="1"/>
  <c r="KD28" i="9" s="1"/>
  <c r="KD29" i="9" s="1"/>
  <c r="KD30" i="9" s="1"/>
  <c r="KD31" i="9" s="1"/>
  <c r="KD32" i="9" s="1"/>
  <c r="KD33" i="9" s="1"/>
  <c r="KD34" i="9" s="1"/>
  <c r="KD35" i="9" s="1"/>
  <c r="KD36" i="9" s="1"/>
  <c r="KD37" i="9" s="1"/>
  <c r="KD38" i="9" s="1"/>
  <c r="KD39" i="9" s="1"/>
  <c r="KD40" i="9" s="1"/>
  <c r="KD41" i="9" s="1"/>
  <c r="KD42" i="9" s="1"/>
  <c r="KD43" i="9" s="1"/>
  <c r="KD44" i="9" s="1"/>
  <c r="KD45" i="9" s="1"/>
  <c r="KD46" i="9" s="1"/>
  <c r="KD47" i="9" s="1"/>
  <c r="KD48" i="9" s="1"/>
  <c r="KD49" i="9" s="1"/>
  <c r="KD50" i="9" s="1"/>
  <c r="KD51" i="9" s="1"/>
  <c r="KD52" i="9" s="1"/>
  <c r="KD53" i="9" s="1"/>
  <c r="KD54" i="9" s="1"/>
  <c r="KD55" i="9" s="1"/>
  <c r="KD56" i="9" s="1"/>
  <c r="KD57" i="9" s="1"/>
  <c r="KD58" i="9" s="1"/>
  <c r="KD59" i="9" s="1"/>
  <c r="KD60" i="9" s="1"/>
  <c r="KD61" i="9" s="1"/>
  <c r="KD62" i="9" s="1"/>
  <c r="KD63" i="9" s="1"/>
  <c r="KD64" i="9" s="1"/>
  <c r="KD65" i="9" s="1"/>
  <c r="KD66" i="9" s="1"/>
  <c r="KD67" i="9" s="1"/>
  <c r="FI12" i="9"/>
  <c r="FI13" i="9" s="1"/>
  <c r="FI14" i="9" s="1"/>
  <c r="FI15" i="9" s="1"/>
  <c r="FI16" i="9" s="1"/>
  <c r="FI17" i="9" s="1"/>
  <c r="FI18" i="9" s="1"/>
  <c r="FI19" i="9" s="1"/>
  <c r="FI20" i="9" s="1"/>
  <c r="FI21" i="9" s="1"/>
  <c r="FI22" i="9" s="1"/>
  <c r="FI23" i="9" s="1"/>
  <c r="FI24" i="9" s="1"/>
  <c r="FI25" i="9" s="1"/>
  <c r="FI26" i="9" s="1"/>
  <c r="FI27" i="9" s="1"/>
  <c r="FI28" i="9" s="1"/>
  <c r="FI29" i="9" s="1"/>
  <c r="FI30" i="9" s="1"/>
  <c r="FI31" i="9" s="1"/>
  <c r="FI32" i="9" s="1"/>
  <c r="FI33" i="9" s="1"/>
  <c r="FI34" i="9" s="1"/>
  <c r="FI35" i="9" s="1"/>
  <c r="FI36" i="9" s="1"/>
  <c r="FI37" i="9" s="1"/>
  <c r="FI38" i="9" s="1"/>
  <c r="FI39" i="9" s="1"/>
  <c r="FI40" i="9" s="1"/>
  <c r="FI41" i="9" s="1"/>
  <c r="FI42" i="9" s="1"/>
  <c r="FI43" i="9" s="1"/>
  <c r="FI44" i="9" s="1"/>
  <c r="FI45" i="9" s="1"/>
  <c r="FI46" i="9" s="1"/>
  <c r="FI47" i="9" s="1"/>
  <c r="FI48" i="9" s="1"/>
  <c r="FI49" i="9" s="1"/>
  <c r="FI50" i="9" s="1"/>
  <c r="FI51" i="9" s="1"/>
  <c r="FI52" i="9" s="1"/>
  <c r="FI53" i="9" s="1"/>
  <c r="FI54" i="9" s="1"/>
  <c r="FI55" i="9" s="1"/>
  <c r="FI56" i="9" s="1"/>
  <c r="FI57" i="9" s="1"/>
  <c r="FI58" i="9" s="1"/>
  <c r="FI59" i="9" s="1"/>
  <c r="FI60" i="9" s="1"/>
  <c r="FI61" i="9" s="1"/>
  <c r="FI62" i="9" s="1"/>
  <c r="FI63" i="9" s="1"/>
  <c r="FI64" i="9" s="1"/>
  <c r="FI65" i="9" s="1"/>
  <c r="FI66" i="9" s="1"/>
  <c r="FI67" i="9" s="1"/>
  <c r="FI68" i="9" s="1"/>
  <c r="FI69" i="9" s="1"/>
  <c r="FI70" i="9" s="1"/>
  <c r="FI71" i="9" s="1"/>
  <c r="FI72" i="9" s="1"/>
  <c r="FI73" i="9" s="1"/>
  <c r="FI74" i="9" s="1"/>
  <c r="FI75" i="9" s="1"/>
  <c r="FI76" i="9" s="1"/>
  <c r="FI77" i="9" s="1"/>
  <c r="EP12" i="9"/>
  <c r="EP13" i="9" s="1"/>
  <c r="EP14" i="9" s="1"/>
  <c r="EP15" i="9" s="1"/>
  <c r="EP16" i="9" s="1"/>
  <c r="EP17" i="9" s="1"/>
  <c r="EP18" i="9" s="1"/>
  <c r="EP19" i="9" s="1"/>
  <c r="EP20" i="9" s="1"/>
  <c r="EP21" i="9" s="1"/>
  <c r="EP22" i="9" s="1"/>
  <c r="EP23" i="9" s="1"/>
  <c r="EP24" i="9" s="1"/>
  <c r="EP25" i="9" s="1"/>
  <c r="EP26" i="9" s="1"/>
  <c r="EP27" i="9" s="1"/>
  <c r="EP28" i="9" s="1"/>
  <c r="EP29" i="9" s="1"/>
  <c r="EP30" i="9" s="1"/>
  <c r="EP31" i="9" s="1"/>
  <c r="EP32" i="9" s="1"/>
  <c r="EP33" i="9" s="1"/>
  <c r="EP34" i="9" s="1"/>
  <c r="EP35" i="9" s="1"/>
  <c r="EP36" i="9" s="1"/>
  <c r="EP37" i="9" s="1"/>
  <c r="EP38" i="9" s="1"/>
  <c r="EP39" i="9" s="1"/>
  <c r="EP40" i="9" s="1"/>
  <c r="EP41" i="9" s="1"/>
  <c r="EP42" i="9" s="1"/>
  <c r="EP43" i="9" s="1"/>
  <c r="EP44" i="9" s="1"/>
  <c r="EP45" i="9" s="1"/>
  <c r="EP46" i="9" s="1"/>
  <c r="EP47" i="9" s="1"/>
  <c r="EP48" i="9" s="1"/>
  <c r="EP49" i="9" s="1"/>
  <c r="EP50" i="9" s="1"/>
  <c r="EP51" i="9" s="1"/>
  <c r="EP52" i="9" s="1"/>
  <c r="EP53" i="9" s="1"/>
  <c r="EP54" i="9" s="1"/>
  <c r="EP55" i="9" s="1"/>
  <c r="EP56" i="9" s="1"/>
  <c r="EP57" i="9" s="1"/>
  <c r="EP58" i="9" s="1"/>
  <c r="EP59" i="9" s="1"/>
  <c r="EP60" i="9" s="1"/>
  <c r="EP61" i="9" s="1"/>
  <c r="EP62" i="9" s="1"/>
  <c r="EP63" i="9" s="1"/>
  <c r="EP64" i="9" s="1"/>
  <c r="EP65" i="9" s="1"/>
  <c r="EP66" i="9" s="1"/>
  <c r="EP67" i="9" s="1"/>
  <c r="EP68" i="9" s="1"/>
  <c r="EP69" i="9" s="1"/>
  <c r="EP70" i="9" s="1"/>
  <c r="EP71" i="9" s="1"/>
  <c r="EP72" i="9" s="1"/>
  <c r="EP73" i="9" s="1"/>
  <c r="EP74" i="9" s="1"/>
  <c r="EP75" i="9" s="1"/>
  <c r="EP76" i="9" s="1"/>
  <c r="EP77" i="9" s="1"/>
  <c r="DW12" i="9"/>
  <c r="DW13" i="9" s="1"/>
  <c r="DW14" i="9" s="1"/>
  <c r="DW15" i="9" s="1"/>
  <c r="DW16" i="9" s="1"/>
  <c r="DW17" i="9" s="1"/>
  <c r="DW18" i="9" s="1"/>
  <c r="DW19" i="9" s="1"/>
  <c r="DW20" i="9" s="1"/>
  <c r="DW21" i="9" s="1"/>
  <c r="DW22" i="9" s="1"/>
  <c r="DW23" i="9" s="1"/>
  <c r="DW24" i="9" s="1"/>
  <c r="DW25" i="9" s="1"/>
  <c r="DW26" i="9" s="1"/>
  <c r="DW27" i="9" s="1"/>
  <c r="DW28" i="9" s="1"/>
  <c r="DW29" i="9" s="1"/>
  <c r="DW30" i="9" s="1"/>
  <c r="DW31" i="9" s="1"/>
  <c r="DW32" i="9" s="1"/>
  <c r="DW33" i="9" s="1"/>
  <c r="DW34" i="9" s="1"/>
  <c r="DW35" i="9" s="1"/>
  <c r="DW36" i="9" s="1"/>
  <c r="DW37" i="9" s="1"/>
  <c r="DW38" i="9" s="1"/>
  <c r="DW39" i="9" s="1"/>
  <c r="DW40" i="9" s="1"/>
  <c r="DW41" i="9" s="1"/>
  <c r="DW42" i="9" s="1"/>
  <c r="DW43" i="9" s="1"/>
  <c r="DW44" i="9" s="1"/>
  <c r="DW45" i="9" s="1"/>
  <c r="DW46" i="9" s="1"/>
  <c r="DW47" i="9" s="1"/>
  <c r="DW48" i="9" s="1"/>
  <c r="DW49" i="9" s="1"/>
  <c r="DW50" i="9" s="1"/>
  <c r="DW51" i="9" s="1"/>
  <c r="DW52" i="9" s="1"/>
  <c r="DW53" i="9" s="1"/>
  <c r="DW54" i="9" s="1"/>
  <c r="DW55" i="9" s="1"/>
  <c r="DW56" i="9" s="1"/>
  <c r="DW57" i="9" s="1"/>
  <c r="DW58" i="9" s="1"/>
  <c r="DW59" i="9" s="1"/>
  <c r="DW60" i="9" s="1"/>
  <c r="DW61" i="9" s="1"/>
  <c r="DW62" i="9" s="1"/>
  <c r="DW63" i="9" s="1"/>
  <c r="DW64" i="9" s="1"/>
  <c r="DW65" i="9" s="1"/>
  <c r="DW66" i="9" s="1"/>
  <c r="DW67" i="9" s="1"/>
  <c r="DW68" i="9" s="1"/>
  <c r="DW69" i="9" s="1"/>
  <c r="DW70" i="9" s="1"/>
  <c r="DW71" i="9" s="1"/>
  <c r="DW72" i="9" s="1"/>
  <c r="DW73" i="9" s="1"/>
  <c r="DW74" i="9" s="1"/>
  <c r="DW75" i="9" s="1"/>
  <c r="DW76" i="9" s="1"/>
  <c r="DW77" i="9" s="1"/>
  <c r="P6" i="9" a="1"/>
  <c r="P6" i="9" s="1"/>
  <c r="DD12" i="9"/>
  <c r="DD13" i="9" s="1"/>
  <c r="DD14" i="9" s="1"/>
  <c r="DD15" i="9" s="1"/>
  <c r="DD16" i="9" s="1"/>
  <c r="DD17" i="9" s="1"/>
  <c r="DD18" i="9" s="1"/>
  <c r="DD19" i="9" s="1"/>
  <c r="DD20" i="9" s="1"/>
  <c r="DD21" i="9" s="1"/>
  <c r="DD22" i="9" s="1"/>
  <c r="DD23" i="9" s="1"/>
  <c r="DD24" i="9" s="1"/>
  <c r="DD25" i="9" s="1"/>
  <c r="DD26" i="9" s="1"/>
  <c r="DD27" i="9" s="1"/>
  <c r="DD28" i="9" s="1"/>
  <c r="DD29" i="9" s="1"/>
  <c r="DD30" i="9" s="1"/>
  <c r="DD31" i="9" s="1"/>
  <c r="DD32" i="9" s="1"/>
  <c r="DD33" i="9" s="1"/>
  <c r="DD34" i="9" s="1"/>
  <c r="DD35" i="9" s="1"/>
  <c r="DD36" i="9" s="1"/>
  <c r="DD37" i="9" s="1"/>
  <c r="DD38" i="9" s="1"/>
  <c r="DD39" i="9" s="1"/>
  <c r="DD40" i="9" s="1"/>
  <c r="DD41" i="9" s="1"/>
  <c r="DD42" i="9" s="1"/>
  <c r="DD43" i="9" s="1"/>
  <c r="DD44" i="9" s="1"/>
  <c r="DD45" i="9" s="1"/>
  <c r="DD46" i="9" s="1"/>
  <c r="DD47" i="9" s="1"/>
  <c r="DD48" i="9" s="1"/>
  <c r="DD49" i="9" s="1"/>
  <c r="DD50" i="9" s="1"/>
  <c r="DD51" i="9" s="1"/>
  <c r="DD52" i="9" s="1"/>
  <c r="DD53" i="9" s="1"/>
  <c r="DD54" i="9" s="1"/>
  <c r="DD55" i="9" s="1"/>
  <c r="DD56" i="9" s="1"/>
  <c r="DD57" i="9" s="1"/>
  <c r="DD58" i="9" s="1"/>
  <c r="DD59" i="9" s="1"/>
  <c r="DD60" i="9" s="1"/>
  <c r="DD61" i="9" s="1"/>
  <c r="DD62" i="9" s="1"/>
  <c r="DD63" i="9" s="1"/>
  <c r="DD64" i="9" s="1"/>
  <c r="DD65" i="9" s="1"/>
  <c r="DD66" i="9" s="1"/>
  <c r="DD67" i="9" s="1"/>
  <c r="DD68" i="9" s="1"/>
  <c r="DD69" i="9" s="1"/>
  <c r="DD70" i="9" s="1"/>
  <c r="DD71" i="9" s="1"/>
  <c r="DD72" i="9" s="1"/>
  <c r="DD73" i="9" s="1"/>
  <c r="DD74" i="9" s="1"/>
  <c r="DD75" i="9" s="1"/>
  <c r="DD76" i="9" s="1"/>
  <c r="DD77" i="9" s="1"/>
  <c r="CK12" i="9"/>
  <c r="CK13" i="9" s="1"/>
  <c r="CK14" i="9" s="1"/>
  <c r="CK15" i="9" s="1"/>
  <c r="CK16" i="9" s="1"/>
  <c r="CK17" i="9" s="1"/>
  <c r="CK18" i="9" s="1"/>
  <c r="CK19" i="9" s="1"/>
  <c r="CK20" i="9" s="1"/>
  <c r="CK21" i="9" s="1"/>
  <c r="CK22" i="9" s="1"/>
  <c r="CK23" i="9" s="1"/>
  <c r="CK24" i="9" s="1"/>
  <c r="CK25" i="9" s="1"/>
  <c r="CK26" i="9" s="1"/>
  <c r="CK27" i="9" s="1"/>
  <c r="CK28" i="9" s="1"/>
  <c r="CK29" i="9" s="1"/>
  <c r="CK30" i="9" s="1"/>
  <c r="CK31" i="9" s="1"/>
  <c r="CK32" i="9" s="1"/>
  <c r="CK33" i="9" s="1"/>
  <c r="CK34" i="9" s="1"/>
  <c r="CK35" i="9" s="1"/>
  <c r="CK36" i="9" s="1"/>
  <c r="CK37" i="9" s="1"/>
  <c r="CK38" i="9" s="1"/>
  <c r="CK39" i="9" s="1"/>
  <c r="CK40" i="9" s="1"/>
  <c r="CK41" i="9" s="1"/>
  <c r="CK42" i="9" s="1"/>
  <c r="CK43" i="9" s="1"/>
  <c r="CK44" i="9" s="1"/>
  <c r="CK45" i="9" s="1"/>
  <c r="CK46" i="9" s="1"/>
  <c r="CK47" i="9" s="1"/>
  <c r="CK48" i="9" s="1"/>
  <c r="CK49" i="9" s="1"/>
  <c r="CK50" i="9" s="1"/>
  <c r="CK51" i="9" s="1"/>
  <c r="CK52" i="9" s="1"/>
  <c r="CK53" i="9" s="1"/>
  <c r="CK54" i="9" s="1"/>
  <c r="CK55" i="9" s="1"/>
  <c r="CK56" i="9" s="1"/>
  <c r="CK57" i="9" s="1"/>
  <c r="CK58" i="9" s="1"/>
  <c r="CK59" i="9" s="1"/>
  <c r="CK60" i="9" s="1"/>
  <c r="CK61" i="9" s="1"/>
  <c r="CK62" i="9" s="1"/>
  <c r="CK63" i="9" s="1"/>
  <c r="CK64" i="9" s="1"/>
  <c r="CK65" i="9" s="1"/>
  <c r="CK66" i="9" s="1"/>
  <c r="CK67" i="9" s="1"/>
  <c r="CK68" i="9" s="1"/>
  <c r="CK69" i="9" s="1"/>
  <c r="CK70" i="9" s="1"/>
  <c r="CK71" i="9" s="1"/>
  <c r="CK72" i="9" s="1"/>
  <c r="CK73" i="9" s="1"/>
  <c r="CK74" i="9" s="1"/>
  <c r="CK75" i="9" s="1"/>
  <c r="CK76" i="9" s="1"/>
  <c r="CK77" i="9" s="1"/>
  <c r="BR12" i="9"/>
  <c r="BR13" i="9" s="1"/>
  <c r="BR14" i="9" s="1"/>
  <c r="BR15" i="9" s="1"/>
  <c r="BR16" i="9" s="1"/>
  <c r="BR17" i="9" s="1"/>
  <c r="BR18" i="9" s="1"/>
  <c r="BR19" i="9" s="1"/>
  <c r="BR20" i="9" s="1"/>
  <c r="BR21" i="9" s="1"/>
  <c r="BR22" i="9" s="1"/>
  <c r="BR23" i="9" s="1"/>
  <c r="BR24" i="9" s="1"/>
  <c r="BR25" i="9" s="1"/>
  <c r="BR26" i="9" s="1"/>
  <c r="BR27" i="9" s="1"/>
  <c r="BR28" i="9" s="1"/>
  <c r="BR29" i="9" s="1"/>
  <c r="BR30" i="9" s="1"/>
  <c r="BR31" i="9" s="1"/>
  <c r="BR32" i="9" s="1"/>
  <c r="BR33" i="9" s="1"/>
  <c r="BR34" i="9" s="1"/>
  <c r="BR35" i="9" s="1"/>
  <c r="BR36" i="9" s="1"/>
  <c r="BR37" i="9" s="1"/>
  <c r="BR38" i="9" s="1"/>
  <c r="BR39" i="9" s="1"/>
  <c r="BR40" i="9" s="1"/>
  <c r="BR41" i="9" s="1"/>
  <c r="BR42" i="9" s="1"/>
  <c r="BR43" i="9" s="1"/>
  <c r="BR44" i="9" s="1"/>
  <c r="BR45" i="9" s="1"/>
  <c r="BR46" i="9" s="1"/>
  <c r="BR47" i="9" s="1"/>
  <c r="BR48" i="9" s="1"/>
  <c r="BR49" i="9" s="1"/>
  <c r="BR50" i="9" s="1"/>
  <c r="BR51" i="9" s="1"/>
  <c r="BR52" i="9" s="1"/>
  <c r="BR53" i="9" s="1"/>
  <c r="BR54" i="9" s="1"/>
  <c r="BR55" i="9" s="1"/>
  <c r="BR56" i="9" s="1"/>
  <c r="BR57" i="9" s="1"/>
  <c r="BR58" i="9" s="1"/>
  <c r="BR59" i="9" s="1"/>
  <c r="BR60" i="9" s="1"/>
  <c r="BR61" i="9" s="1"/>
  <c r="BR62" i="9" s="1"/>
  <c r="BR63" i="9" s="1"/>
  <c r="BR64" i="9" s="1"/>
  <c r="BR65" i="9" s="1"/>
  <c r="BR66" i="9" s="1"/>
  <c r="BR67" i="9" s="1"/>
  <c r="BR68" i="9" s="1"/>
  <c r="BR69" i="9" s="1"/>
  <c r="BR70" i="9" s="1"/>
  <c r="BR71" i="9" s="1"/>
  <c r="BR72" i="9" s="1"/>
  <c r="BR73" i="9" s="1"/>
  <c r="BR74" i="9" s="1"/>
  <c r="BR75" i="9" s="1"/>
  <c r="BR76" i="9" s="1"/>
  <c r="BR77" i="9" s="1"/>
  <c r="AJ89" i="9"/>
  <c r="AS83" i="9" s="1"/>
  <c r="AI85" i="9"/>
  <c r="AI11" i="9" s="1" a="1"/>
  <c r="AI11" i="9" s="1"/>
  <c r="AY12" i="9"/>
  <c r="AY13" i="9" s="1"/>
  <c r="AY14" i="9" s="1"/>
  <c r="AY15" i="9" s="1"/>
  <c r="AY16" i="9" s="1"/>
  <c r="AY17" i="9" s="1"/>
  <c r="AY18" i="9" s="1"/>
  <c r="AY19" i="9" s="1"/>
  <c r="AY20" i="9" s="1"/>
  <c r="AY21" i="9" s="1"/>
  <c r="AY22" i="9" s="1"/>
  <c r="AY23" i="9" s="1"/>
  <c r="AY24" i="9" s="1"/>
  <c r="AY25" i="9" s="1"/>
  <c r="AY26" i="9" s="1"/>
  <c r="AY27" i="9" s="1"/>
  <c r="AY28" i="9" s="1"/>
  <c r="AY29" i="9" s="1"/>
  <c r="AY30" i="9" s="1"/>
  <c r="AY31" i="9" s="1"/>
  <c r="AY32" i="9" s="1"/>
  <c r="AY33" i="9" s="1"/>
  <c r="AY34" i="9" s="1"/>
  <c r="AY35" i="9" s="1"/>
  <c r="AY36" i="9" s="1"/>
  <c r="AY37" i="9" s="1"/>
  <c r="AY38" i="9" s="1"/>
  <c r="AY39" i="9" s="1"/>
  <c r="AY40" i="9" s="1"/>
  <c r="AY41" i="9" s="1"/>
  <c r="AY42" i="9" s="1"/>
  <c r="AY43" i="9" s="1"/>
  <c r="AY44" i="9" s="1"/>
  <c r="AY45" i="9" s="1"/>
  <c r="AY46" i="9" s="1"/>
  <c r="AY47" i="9" s="1"/>
  <c r="AY48" i="9" s="1"/>
  <c r="AY49" i="9" s="1"/>
  <c r="AY50" i="9" s="1"/>
  <c r="AY51" i="9" s="1"/>
  <c r="AY52" i="9" s="1"/>
  <c r="AY53" i="9" s="1"/>
  <c r="AY54" i="9" s="1"/>
  <c r="AY55" i="9" s="1"/>
  <c r="AY56" i="9" s="1"/>
  <c r="AY57" i="9" s="1"/>
  <c r="AY58" i="9" s="1"/>
  <c r="AY59" i="9" s="1"/>
  <c r="AY60" i="9" s="1"/>
  <c r="AY61" i="9" s="1"/>
  <c r="AY62" i="9" s="1"/>
  <c r="AY63" i="9" s="1"/>
  <c r="AY64" i="9" s="1"/>
  <c r="AY65" i="9" s="1"/>
  <c r="AY66" i="9" s="1"/>
  <c r="AY67" i="9" s="1"/>
  <c r="AY68" i="9" s="1"/>
  <c r="AY69" i="9" s="1"/>
  <c r="AY70" i="9" s="1"/>
  <c r="AY71" i="9" s="1"/>
  <c r="AY72" i="9" s="1"/>
  <c r="AY73" i="9" s="1"/>
  <c r="AY74" i="9" s="1"/>
  <c r="AY75" i="9" s="1"/>
  <c r="AY76" i="9" s="1"/>
  <c r="AY77" i="9" s="1"/>
  <c r="AF12" i="9"/>
  <c r="AF13" i="9" s="1"/>
  <c r="AF14" i="9" s="1"/>
  <c r="AF15" i="9" s="1"/>
  <c r="AF16" i="9" s="1"/>
  <c r="AF17" i="9" s="1"/>
  <c r="AF18" i="9" s="1"/>
  <c r="AF19" i="9" s="1"/>
  <c r="AF20" i="9" s="1"/>
  <c r="AF21" i="9" s="1"/>
  <c r="AF22" i="9" s="1"/>
  <c r="AF23" i="9" s="1"/>
  <c r="AF24" i="9" s="1"/>
  <c r="AF25" i="9" s="1"/>
  <c r="AF26" i="9" s="1"/>
  <c r="AF27" i="9" s="1"/>
  <c r="AF28" i="9" s="1"/>
  <c r="AF29" i="9" s="1"/>
  <c r="AF30" i="9" s="1"/>
  <c r="AF31" i="9" s="1"/>
  <c r="AF32" i="9" s="1"/>
  <c r="AF33" i="9" s="1"/>
  <c r="AF34" i="9" s="1"/>
  <c r="AF35" i="9" s="1"/>
  <c r="AF36" i="9" s="1"/>
  <c r="AF37" i="9" s="1"/>
  <c r="AF38" i="9" s="1"/>
  <c r="AF39" i="9" s="1"/>
  <c r="AF40" i="9" s="1"/>
  <c r="AF41" i="9" s="1"/>
  <c r="AF42" i="9" s="1"/>
  <c r="AF43" i="9" s="1"/>
  <c r="AF44" i="9" s="1"/>
  <c r="AF45" i="9" s="1"/>
  <c r="AF46" i="9" s="1"/>
  <c r="AF47" i="9" s="1"/>
  <c r="AF48" i="9" s="1"/>
  <c r="AF49" i="9" s="1"/>
  <c r="AF50" i="9" s="1"/>
  <c r="AF51" i="9" s="1"/>
  <c r="AF52" i="9" s="1"/>
  <c r="AF53" i="9" s="1"/>
  <c r="AF54" i="9" s="1"/>
  <c r="AF55" i="9" s="1"/>
  <c r="AF56" i="9" s="1"/>
  <c r="AF57" i="9" s="1"/>
  <c r="AF58" i="9" s="1"/>
  <c r="AF59" i="9" s="1"/>
  <c r="AF60" i="9" s="1"/>
  <c r="AF61" i="9" s="1"/>
  <c r="AF62" i="9" s="1"/>
  <c r="AF63" i="9" s="1"/>
  <c r="AF64" i="9" s="1"/>
  <c r="AF65" i="9" s="1"/>
  <c r="AF66" i="9" s="1"/>
  <c r="AF67" i="9" s="1"/>
  <c r="AF68" i="9" s="1"/>
  <c r="AF69" i="9" s="1"/>
  <c r="AF70" i="9" s="1"/>
  <c r="AF71" i="9" s="1"/>
  <c r="AF72" i="9" s="1"/>
  <c r="AF73" i="9" s="1"/>
  <c r="AF74" i="9" s="1"/>
  <c r="AF75" i="9" s="1"/>
  <c r="AF76" i="9" s="1"/>
  <c r="AF77" i="9" s="1"/>
  <c r="KK12" i="9"/>
  <c r="KK13" i="9" s="1"/>
  <c r="KK14" i="9" s="1"/>
  <c r="KK15" i="9" s="1"/>
  <c r="KL12" i="9"/>
  <c r="KL13" i="9" s="1"/>
  <c r="KL14" i="9" s="1"/>
  <c r="KL15" i="9" s="1"/>
  <c r="KL16" i="9" s="1"/>
  <c r="KL17" i="9" s="1"/>
  <c r="KL18" i="9" s="1"/>
  <c r="KL19" i="9" s="1"/>
  <c r="KL20" i="9" s="1"/>
  <c r="KL21" i="9" s="1"/>
  <c r="KL22" i="9" s="1"/>
  <c r="KL23" i="9" s="1"/>
  <c r="KL24" i="9" s="1"/>
  <c r="KL25" i="9" s="1"/>
  <c r="KL26" i="9" s="1"/>
  <c r="KL27" i="9" s="1"/>
  <c r="KL28" i="9" s="1"/>
  <c r="KL29" i="9" s="1"/>
  <c r="KL30" i="9" s="1"/>
  <c r="KL31" i="9" s="1"/>
  <c r="KL32" i="9" s="1"/>
  <c r="KL33" i="9" s="1"/>
  <c r="KL34" i="9" s="1"/>
  <c r="KL35" i="9" s="1"/>
  <c r="KL36" i="9" s="1"/>
  <c r="KL37" i="9" s="1"/>
  <c r="KL38" i="9" s="1"/>
  <c r="KL39" i="9" s="1"/>
  <c r="KL40" i="9" s="1"/>
  <c r="KL41" i="9" s="1"/>
  <c r="KL42" i="9" s="1"/>
  <c r="KL43" i="9" s="1"/>
  <c r="KL44" i="9" s="1"/>
  <c r="KL45" i="9" s="1"/>
  <c r="KL46" i="9" s="1"/>
  <c r="KL47" i="9" s="1"/>
  <c r="KL48" i="9" s="1"/>
  <c r="KL49" i="9" s="1"/>
  <c r="KL50" i="9" s="1"/>
  <c r="KL51" i="9" s="1"/>
  <c r="KL52" i="9" s="1"/>
  <c r="KL53" i="9" s="1"/>
  <c r="KL54" i="9" s="1"/>
  <c r="KL55" i="9" s="1"/>
  <c r="KL56" i="9" s="1"/>
  <c r="KL57" i="9" s="1"/>
  <c r="KL58" i="9" s="1"/>
  <c r="KL59" i="9" s="1"/>
  <c r="KL60" i="9" s="1"/>
  <c r="KL61" i="9" s="1"/>
  <c r="KL62" i="9" s="1"/>
  <c r="KL63" i="9" s="1"/>
  <c r="KL64" i="9" s="1"/>
  <c r="KL65" i="9" s="1"/>
  <c r="KL66" i="9" s="1"/>
  <c r="KL67" i="9" s="1"/>
  <c r="AA85" i="9"/>
  <c r="KJ12" i="9"/>
  <c r="KJ13" i="9" s="1"/>
  <c r="KJ14" i="9" s="1"/>
  <c r="KJ15" i="9" s="1"/>
  <c r="KJ16" i="9" s="1"/>
  <c r="KJ17" i="9" s="1"/>
  <c r="KJ18" i="9" s="1"/>
  <c r="KJ19" i="9" s="1"/>
  <c r="KJ20" i="9" s="1"/>
  <c r="KJ21" i="9" s="1"/>
  <c r="KJ22" i="9" s="1"/>
  <c r="KJ23" i="9" s="1"/>
  <c r="KJ24" i="9" s="1"/>
  <c r="KJ25" i="9" s="1"/>
  <c r="KJ26" i="9" s="1"/>
  <c r="KJ27" i="9" s="1"/>
  <c r="KJ28" i="9" s="1"/>
  <c r="KJ29" i="9" s="1"/>
  <c r="KJ30" i="9" s="1"/>
  <c r="KJ31" i="9" s="1"/>
  <c r="KJ32" i="9" s="1"/>
  <c r="KJ33" i="9" s="1"/>
  <c r="KJ34" i="9" s="1"/>
  <c r="KJ35" i="9" s="1"/>
  <c r="KJ36" i="9" s="1"/>
  <c r="KJ37" i="9" s="1"/>
  <c r="KJ38" i="9" s="1"/>
  <c r="KJ39" i="9" s="1"/>
  <c r="KJ40" i="9" s="1"/>
  <c r="KJ41" i="9" s="1"/>
  <c r="KJ42" i="9" s="1"/>
  <c r="KJ43" i="9" s="1"/>
  <c r="KJ44" i="9" s="1"/>
  <c r="KJ45" i="9" s="1"/>
  <c r="KJ46" i="9" s="1"/>
  <c r="KJ47" i="9" s="1"/>
  <c r="KJ48" i="9" s="1"/>
  <c r="KJ49" i="9" s="1"/>
  <c r="KJ50" i="9" s="1"/>
  <c r="KJ51" i="9" s="1"/>
  <c r="KJ52" i="9" s="1"/>
  <c r="KJ53" i="9" s="1"/>
  <c r="KJ54" i="9" s="1"/>
  <c r="KJ55" i="9" s="1"/>
  <c r="KJ56" i="9" s="1"/>
  <c r="KJ57" i="9" s="1"/>
  <c r="KJ58" i="9" s="1"/>
  <c r="KJ59" i="9" s="1"/>
  <c r="KJ60" i="9" s="1"/>
  <c r="KJ61" i="9" s="1"/>
  <c r="KJ62" i="9" s="1"/>
  <c r="KJ63" i="9" s="1"/>
  <c r="KJ64" i="9" s="1"/>
  <c r="KJ65" i="9" s="1"/>
  <c r="KJ66" i="9" s="1"/>
  <c r="KJ67" i="9" s="1"/>
  <c r="KI12" i="9"/>
  <c r="KI13" i="9" s="1"/>
  <c r="KI14" i="9" s="1"/>
  <c r="KI15" i="9" s="1"/>
  <c r="KI16" i="9" s="1"/>
  <c r="KI17" i="9" s="1"/>
  <c r="KI18" i="9" s="1"/>
  <c r="KI19" i="9" s="1"/>
  <c r="KI20" i="9" s="1"/>
  <c r="KI21" i="9" s="1"/>
  <c r="KI22" i="9" s="1"/>
  <c r="KI23" i="9" s="1"/>
  <c r="KI24" i="9" s="1"/>
  <c r="KI25" i="9" s="1"/>
  <c r="KI26" i="9" s="1"/>
  <c r="KI27" i="9" s="1"/>
  <c r="KI28" i="9" s="1"/>
  <c r="KI29" i="9" s="1"/>
  <c r="KI30" i="9" s="1"/>
  <c r="KI31" i="9" s="1"/>
  <c r="KI32" i="9" s="1"/>
  <c r="KI33" i="9" s="1"/>
  <c r="KI34" i="9" s="1"/>
  <c r="KI35" i="9" s="1"/>
  <c r="KI36" i="9" s="1"/>
  <c r="KI37" i="9" s="1"/>
  <c r="KI38" i="9" s="1"/>
  <c r="KI39" i="9" s="1"/>
  <c r="KI40" i="9" s="1"/>
  <c r="KI41" i="9" s="1"/>
  <c r="KI42" i="9" s="1"/>
  <c r="KI43" i="9" s="1"/>
  <c r="KI44" i="9" s="1"/>
  <c r="KI45" i="9" s="1"/>
  <c r="KI46" i="9" s="1"/>
  <c r="KI47" i="9" s="1"/>
  <c r="KI48" i="9" s="1"/>
  <c r="KI49" i="9" s="1"/>
  <c r="KI50" i="9" s="1"/>
  <c r="KI51" i="9" s="1"/>
  <c r="KI52" i="9" s="1"/>
  <c r="KI53" i="9" s="1"/>
  <c r="KI54" i="9" s="1"/>
  <c r="KI55" i="9" s="1"/>
  <c r="KI56" i="9" s="1"/>
  <c r="KI57" i="9" s="1"/>
  <c r="KI58" i="9" s="1"/>
  <c r="KI59" i="9" s="1"/>
  <c r="KI60" i="9" s="1"/>
  <c r="KI61" i="9" s="1"/>
  <c r="KI62" i="9" s="1"/>
  <c r="KI63" i="9" s="1"/>
  <c r="KI64" i="9" s="1"/>
  <c r="KI65" i="9" s="1"/>
  <c r="KI66" i="9" s="1"/>
  <c r="KI67" i="9" s="1"/>
  <c r="KI68" i="9" s="1"/>
  <c r="KI69" i="9" s="1"/>
  <c r="KI70" i="9" s="1"/>
  <c r="KI71" i="9" s="1"/>
  <c r="KI72" i="9" s="1"/>
  <c r="KI73" i="9" s="1"/>
  <c r="KI74" i="9" s="1"/>
  <c r="KI75" i="9" s="1"/>
  <c r="KI76" i="9" s="1"/>
  <c r="KI77" i="9" s="1"/>
  <c r="R89" i="9"/>
  <c r="AE776" i="10"/>
  <c r="AE777" i="10" s="1"/>
  <c r="AE778" i="10" s="1"/>
  <c r="AE779" i="10" s="1"/>
  <c r="AD776" i="10"/>
  <c r="AD777" i="10" s="1"/>
  <c r="AD778" i="10" s="1"/>
  <c r="AD779" i="10" s="1"/>
  <c r="AE762" i="10"/>
  <c r="AE763" i="10" s="1"/>
  <c r="AE764" i="10" s="1"/>
  <c r="AE765" i="10" s="1"/>
  <c r="AD762" i="10"/>
  <c r="AD763" i="10" s="1"/>
  <c r="AD764" i="10" s="1"/>
  <c r="AD765" i="10" s="1"/>
  <c r="AE748" i="10"/>
  <c r="AE749" i="10" s="1"/>
  <c r="AE750" i="10" s="1"/>
  <c r="AE751" i="10" s="1"/>
  <c r="AD748" i="10"/>
  <c r="AD749" i="10" s="1"/>
  <c r="AD750" i="10" s="1"/>
  <c r="AD751" i="10" s="1"/>
  <c r="AE734" i="10"/>
  <c r="AE735" i="10" s="1"/>
  <c r="AE736" i="10" s="1"/>
  <c r="AE737" i="10" s="1"/>
  <c r="AD734" i="10"/>
  <c r="AD735" i="10" s="1"/>
  <c r="AD736" i="10" s="1"/>
  <c r="AD737" i="10" s="1"/>
  <c r="AE720" i="10"/>
  <c r="AE721" i="10" s="1"/>
  <c r="AE722" i="10" s="1"/>
  <c r="AE723" i="10" s="1"/>
  <c r="AD720" i="10"/>
  <c r="AD721" i="10" s="1"/>
  <c r="AD722" i="10" s="1"/>
  <c r="AD723" i="10" s="1"/>
  <c r="AE706" i="10"/>
  <c r="AE707" i="10" s="1"/>
  <c r="AE708" i="10" s="1"/>
  <c r="AE709" i="10" s="1"/>
  <c r="AD706" i="10"/>
  <c r="AD707" i="10" s="1"/>
  <c r="AD708" i="10" s="1"/>
  <c r="AD709" i="10" s="1"/>
  <c r="AE692" i="10"/>
  <c r="AE693" i="10" s="1"/>
  <c r="AE694" i="10" s="1"/>
  <c r="AE695" i="10" s="1"/>
  <c r="AD692" i="10"/>
  <c r="AD693" i="10" s="1"/>
  <c r="AD694" i="10" s="1"/>
  <c r="AD695" i="10" s="1"/>
  <c r="AE678" i="10"/>
  <c r="AE679" i="10" s="1"/>
  <c r="AE680" i="10" s="1"/>
  <c r="AE681" i="10" s="1"/>
  <c r="AD678" i="10"/>
  <c r="AD679" i="10" s="1"/>
  <c r="AD680" i="10" s="1"/>
  <c r="AD681" i="10" s="1"/>
  <c r="AE664" i="10"/>
  <c r="AE665" i="10" s="1"/>
  <c r="AE666" i="10" s="1"/>
  <c r="AE667" i="10" s="1"/>
  <c r="AD664" i="10"/>
  <c r="AD665" i="10" s="1"/>
  <c r="AD666" i="10" s="1"/>
  <c r="AD667" i="10" s="1"/>
  <c r="AE650" i="10"/>
  <c r="AE651" i="10" s="1"/>
  <c r="AE652" i="10" s="1"/>
  <c r="AE653" i="10" s="1"/>
  <c r="AD650" i="10"/>
  <c r="AD651" i="10" s="1"/>
  <c r="AD652" i="10" s="1"/>
  <c r="AD653" i="10" s="1"/>
  <c r="AE637" i="10"/>
  <c r="AE638" i="10" s="1"/>
  <c r="AE639" i="10" s="1"/>
  <c r="AE636" i="10"/>
  <c r="AD636" i="10"/>
  <c r="AD637" i="10" s="1"/>
  <c r="AD638" i="10" s="1"/>
  <c r="AD639" i="10" s="1"/>
  <c r="AE622" i="10"/>
  <c r="AE623" i="10" s="1"/>
  <c r="AE624" i="10" s="1"/>
  <c r="AE625" i="10" s="1"/>
  <c r="AD622" i="10"/>
  <c r="AD623" i="10" s="1"/>
  <c r="AD624" i="10" s="1"/>
  <c r="AD625" i="10" s="1"/>
  <c r="AE608" i="10"/>
  <c r="AE609" i="10" s="1"/>
  <c r="AE610" i="10" s="1"/>
  <c r="AE611" i="10" s="1"/>
  <c r="AD608" i="10"/>
  <c r="AD609" i="10" s="1"/>
  <c r="AD610" i="10" s="1"/>
  <c r="AD611" i="10" s="1"/>
  <c r="AE594" i="10"/>
  <c r="AE595" i="10" s="1"/>
  <c r="AE596" i="10" s="1"/>
  <c r="AE597" i="10" s="1"/>
  <c r="AD594" i="10"/>
  <c r="AD595" i="10" s="1"/>
  <c r="AD596" i="10" s="1"/>
  <c r="AD597" i="10" s="1"/>
  <c r="AE580" i="10"/>
  <c r="AE581" i="10" s="1"/>
  <c r="AE582" i="10" s="1"/>
  <c r="AE583" i="10" s="1"/>
  <c r="AD580" i="10"/>
  <c r="AD581" i="10" s="1"/>
  <c r="AD582" i="10" s="1"/>
  <c r="AD583" i="10" s="1"/>
  <c r="AE566" i="10"/>
  <c r="AE567" i="10" s="1"/>
  <c r="AE568" i="10" s="1"/>
  <c r="AE569" i="10" s="1"/>
  <c r="AD566" i="10"/>
  <c r="AD567" i="10" s="1"/>
  <c r="AD568" i="10" s="1"/>
  <c r="AD569" i="10" s="1"/>
  <c r="AE552" i="10"/>
  <c r="AE553" i="10" s="1"/>
  <c r="AE554" i="10" s="1"/>
  <c r="AE555" i="10" s="1"/>
  <c r="AD552" i="10"/>
  <c r="AD553" i="10" s="1"/>
  <c r="AD554" i="10" s="1"/>
  <c r="AD555" i="10" s="1"/>
  <c r="AE538" i="10"/>
  <c r="AE539" i="10" s="1"/>
  <c r="AE540" i="10" s="1"/>
  <c r="AE541" i="10" s="1"/>
  <c r="AD538" i="10"/>
  <c r="AD539" i="10" s="1"/>
  <c r="AD540" i="10" s="1"/>
  <c r="AD541" i="10" s="1"/>
  <c r="AE524" i="10"/>
  <c r="AE525" i="10" s="1"/>
  <c r="AE526" i="10" s="1"/>
  <c r="AE527" i="10" s="1"/>
  <c r="AD524" i="10"/>
  <c r="AD525" i="10" s="1"/>
  <c r="AD526" i="10" s="1"/>
  <c r="AD527" i="10" s="1"/>
  <c r="AE510" i="10"/>
  <c r="AE511" i="10" s="1"/>
  <c r="AE512" i="10" s="1"/>
  <c r="AE513" i="10" s="1"/>
  <c r="AD510" i="10"/>
  <c r="AD511" i="10" s="1"/>
  <c r="AD512" i="10" s="1"/>
  <c r="AD513" i="10" s="1"/>
  <c r="AE496" i="10"/>
  <c r="AE497" i="10" s="1"/>
  <c r="AE498" i="10" s="1"/>
  <c r="AE499" i="10" s="1"/>
  <c r="AD496" i="10"/>
  <c r="AD497" i="10" s="1"/>
  <c r="AD498" i="10" s="1"/>
  <c r="AD499" i="10" s="1"/>
  <c r="AE482" i="10"/>
  <c r="AE483" i="10" s="1"/>
  <c r="AE484" i="10" s="1"/>
  <c r="AE485" i="10" s="1"/>
  <c r="AD482" i="10"/>
  <c r="AD483" i="10" s="1"/>
  <c r="AD484" i="10" s="1"/>
  <c r="AD485" i="10" s="1"/>
  <c r="AE468" i="10"/>
  <c r="AE469" i="10" s="1"/>
  <c r="AE470" i="10" s="1"/>
  <c r="AE471" i="10" s="1"/>
  <c r="AD468" i="10"/>
  <c r="AD469" i="10" s="1"/>
  <c r="AD470" i="10" s="1"/>
  <c r="AD471" i="10" s="1"/>
  <c r="AE454" i="10"/>
  <c r="AE455" i="10" s="1"/>
  <c r="AE456" i="10" s="1"/>
  <c r="AE457" i="10" s="1"/>
  <c r="AD454" i="10"/>
  <c r="AD455" i="10" s="1"/>
  <c r="AD456" i="10" s="1"/>
  <c r="AD457" i="10" s="1"/>
  <c r="AE440" i="10"/>
  <c r="AE441" i="10" s="1"/>
  <c r="AE442" i="10" s="1"/>
  <c r="AE443" i="10" s="1"/>
  <c r="AD440" i="10"/>
  <c r="AD441" i="10" s="1"/>
  <c r="AD442" i="10" s="1"/>
  <c r="AD443" i="10" s="1"/>
  <c r="AD427" i="10"/>
  <c r="AD428" i="10" s="1"/>
  <c r="AD429" i="10" s="1"/>
  <c r="AE426" i="10"/>
  <c r="AE427" i="10" s="1"/>
  <c r="AE428" i="10" s="1"/>
  <c r="AE429" i="10" s="1"/>
  <c r="AD426" i="10"/>
  <c r="AE412" i="10"/>
  <c r="AE413" i="10" s="1"/>
  <c r="AE414" i="10" s="1"/>
  <c r="AE415" i="10" s="1"/>
  <c r="AD412" i="10"/>
  <c r="AD413" i="10" s="1"/>
  <c r="AD414" i="10" s="1"/>
  <c r="AD415" i="10" s="1"/>
  <c r="AE398" i="10"/>
  <c r="AE399" i="10" s="1"/>
  <c r="AE400" i="10" s="1"/>
  <c r="AE401" i="10" s="1"/>
  <c r="AD398" i="10"/>
  <c r="AD399" i="10" s="1"/>
  <c r="AD400" i="10" s="1"/>
  <c r="AD401" i="10" s="1"/>
  <c r="AE384" i="10"/>
  <c r="AE385" i="10" s="1"/>
  <c r="AE386" i="10" s="1"/>
  <c r="AE387" i="10" s="1"/>
  <c r="AD384" i="10"/>
  <c r="AD385" i="10" s="1"/>
  <c r="AD386" i="10" s="1"/>
  <c r="AD387" i="10" s="1"/>
  <c r="AE370" i="10"/>
  <c r="AE371" i="10" s="1"/>
  <c r="AE372" i="10" s="1"/>
  <c r="AE373" i="10" s="1"/>
  <c r="AD370" i="10"/>
  <c r="AD371" i="10" s="1"/>
  <c r="AD372" i="10" s="1"/>
  <c r="AD373" i="10" s="1"/>
  <c r="AE356" i="10"/>
  <c r="AE357" i="10" s="1"/>
  <c r="AE358" i="10" s="1"/>
  <c r="AE359" i="10" s="1"/>
  <c r="AD356" i="10"/>
  <c r="AD357" i="10" s="1"/>
  <c r="AD358" i="10" s="1"/>
  <c r="AD359" i="10" s="1"/>
  <c r="AE342" i="10"/>
  <c r="AE343" i="10" s="1"/>
  <c r="AE344" i="10" s="1"/>
  <c r="AE345" i="10" s="1"/>
  <c r="AD342" i="10"/>
  <c r="AD343" i="10" s="1"/>
  <c r="AD344" i="10" s="1"/>
  <c r="AD345" i="10" s="1"/>
  <c r="AE328" i="10"/>
  <c r="AE329" i="10" s="1"/>
  <c r="AE330" i="10" s="1"/>
  <c r="AE331" i="10" s="1"/>
  <c r="AD328" i="10"/>
  <c r="AD329" i="10" s="1"/>
  <c r="AD330" i="10" s="1"/>
  <c r="AD331" i="10" s="1"/>
  <c r="AE314" i="10"/>
  <c r="AE315" i="10" s="1"/>
  <c r="AE316" i="10" s="1"/>
  <c r="AE317" i="10" s="1"/>
  <c r="AD314" i="10"/>
  <c r="AD315" i="10" s="1"/>
  <c r="AD316" i="10" s="1"/>
  <c r="AD317" i="10" s="1"/>
  <c r="AE300" i="10"/>
  <c r="AE301" i="10" s="1"/>
  <c r="AE302" i="10" s="1"/>
  <c r="AE303" i="10" s="1"/>
  <c r="AD300" i="10"/>
  <c r="AD301" i="10" s="1"/>
  <c r="AD302" i="10" s="1"/>
  <c r="AD303" i="10" s="1"/>
  <c r="AE286" i="10"/>
  <c r="AE287" i="10" s="1"/>
  <c r="AE288" i="10" s="1"/>
  <c r="AE289" i="10" s="1"/>
  <c r="AD286" i="10"/>
  <c r="AD287" i="10" s="1"/>
  <c r="AD288" i="10" s="1"/>
  <c r="AD289" i="10" s="1"/>
  <c r="AE272" i="10"/>
  <c r="AE273" i="10" s="1"/>
  <c r="AE274" i="10" s="1"/>
  <c r="AE275" i="10" s="1"/>
  <c r="AD272" i="10"/>
  <c r="AD273" i="10" s="1"/>
  <c r="AD274" i="10" s="1"/>
  <c r="AD275" i="10" s="1"/>
  <c r="AE258" i="10"/>
  <c r="AE259" i="10" s="1"/>
  <c r="AE260" i="10" s="1"/>
  <c r="AE261" i="10" s="1"/>
  <c r="AD258" i="10"/>
  <c r="AD259" i="10" s="1"/>
  <c r="AD260" i="10" s="1"/>
  <c r="AD261" i="10" s="1"/>
  <c r="AE244" i="10"/>
  <c r="AE245" i="10" s="1"/>
  <c r="AE246" i="10" s="1"/>
  <c r="AE247" i="10" s="1"/>
  <c r="AD244" i="10"/>
  <c r="AD245" i="10" s="1"/>
  <c r="AD246" i="10" s="1"/>
  <c r="AD247" i="10" s="1"/>
  <c r="AE230" i="10"/>
  <c r="AE231" i="10" s="1"/>
  <c r="AE232" i="10" s="1"/>
  <c r="AE233" i="10" s="1"/>
  <c r="AD230" i="10"/>
  <c r="AD231" i="10" s="1"/>
  <c r="AD232" i="10" s="1"/>
  <c r="AD233" i="10" s="1"/>
  <c r="AE216" i="10"/>
  <c r="AE217" i="10" s="1"/>
  <c r="AE218" i="10" s="1"/>
  <c r="AE219" i="10" s="1"/>
  <c r="AD216" i="10"/>
  <c r="AD217" i="10" s="1"/>
  <c r="AD218" i="10" s="1"/>
  <c r="AD219" i="10" s="1"/>
  <c r="AE202" i="10"/>
  <c r="AE203" i="10" s="1"/>
  <c r="AE204" i="10" s="1"/>
  <c r="AE205" i="10" s="1"/>
  <c r="AD202" i="10"/>
  <c r="AD203" i="10" s="1"/>
  <c r="AD204" i="10" s="1"/>
  <c r="AD205" i="10" s="1"/>
  <c r="AE189" i="10"/>
  <c r="AE190" i="10" s="1"/>
  <c r="AE191" i="10" s="1"/>
  <c r="AE188" i="10"/>
  <c r="AD188" i="10"/>
  <c r="AD189" i="10" s="1"/>
  <c r="AD190" i="10" s="1"/>
  <c r="AD191" i="10" s="1"/>
  <c r="AE174" i="10"/>
  <c r="AE175" i="10" s="1"/>
  <c r="AE176" i="10" s="1"/>
  <c r="AE177" i="10" s="1"/>
  <c r="AD174" i="10"/>
  <c r="AD175" i="10" s="1"/>
  <c r="AD176" i="10" s="1"/>
  <c r="AD177" i="10" s="1"/>
  <c r="AE160" i="10"/>
  <c r="AE161" i="10" s="1"/>
  <c r="AE162" i="10" s="1"/>
  <c r="AE163" i="10" s="1"/>
  <c r="AD160" i="10"/>
  <c r="AD161" i="10" s="1"/>
  <c r="AD162" i="10" s="1"/>
  <c r="AD163" i="10" s="1"/>
  <c r="AE146" i="10"/>
  <c r="AE147" i="10" s="1"/>
  <c r="AE148" i="10" s="1"/>
  <c r="AE149" i="10" s="1"/>
  <c r="AD146" i="10"/>
  <c r="AD147" i="10" s="1"/>
  <c r="AD148" i="10" s="1"/>
  <c r="AD149" i="10" s="1"/>
  <c r="AE132" i="10"/>
  <c r="AE133" i="10" s="1"/>
  <c r="AE134" i="10" s="1"/>
  <c r="AE135" i="10" s="1"/>
  <c r="AD132" i="10"/>
  <c r="AD133" i="10" s="1"/>
  <c r="AD134" i="10" s="1"/>
  <c r="AD135" i="10" s="1"/>
  <c r="AE118" i="10"/>
  <c r="AE119" i="10" s="1"/>
  <c r="AE120" i="10" s="1"/>
  <c r="AE121" i="10" s="1"/>
  <c r="AD118" i="10"/>
  <c r="AD119" i="10" s="1"/>
  <c r="AD120" i="10" s="1"/>
  <c r="AD121" i="10" s="1"/>
  <c r="AE104" i="10"/>
  <c r="AE105" i="10" s="1"/>
  <c r="AE106" i="10" s="1"/>
  <c r="AE107" i="10" s="1"/>
  <c r="AD104" i="10"/>
  <c r="AD105" i="10" s="1"/>
  <c r="AD106" i="10" s="1"/>
  <c r="AD107" i="10" s="1"/>
  <c r="AE90" i="10"/>
  <c r="AE91" i="10" s="1"/>
  <c r="AE92" i="10" s="1"/>
  <c r="AE93" i="10" s="1"/>
  <c r="AD90" i="10"/>
  <c r="AD91" i="10" s="1"/>
  <c r="AD92" i="10" s="1"/>
  <c r="AD93" i="10" s="1"/>
  <c r="AE76" i="10"/>
  <c r="AE77" i="10" s="1"/>
  <c r="AE78" i="10" s="1"/>
  <c r="AE79" i="10" s="1"/>
  <c r="AD76" i="10"/>
  <c r="AD77" i="10" s="1"/>
  <c r="AD78" i="10" s="1"/>
  <c r="AD79" i="10" s="1"/>
  <c r="AE62" i="10"/>
  <c r="AE63" i="10" s="1"/>
  <c r="AE64" i="10" s="1"/>
  <c r="AE65" i="10" s="1"/>
  <c r="AD62" i="10"/>
  <c r="AD63" i="10" s="1"/>
  <c r="AD64" i="10" s="1"/>
  <c r="AD65" i="10" s="1"/>
  <c r="AE48" i="10"/>
  <c r="AE49" i="10" s="1"/>
  <c r="AE50" i="10" s="1"/>
  <c r="AE51" i="10" s="1"/>
  <c r="AD48" i="10"/>
  <c r="AD49" i="10" s="1"/>
  <c r="AD50" i="10" s="1"/>
  <c r="AD51" i="10" s="1"/>
  <c r="AE34" i="10"/>
  <c r="AE35" i="10" s="1"/>
  <c r="AE36" i="10" s="1"/>
  <c r="AE37" i="10" s="1"/>
  <c r="AD34" i="10"/>
  <c r="AD35" i="10" s="1"/>
  <c r="AD36" i="10" s="1"/>
  <c r="AD37" i="10" s="1"/>
  <c r="AE20" i="10"/>
  <c r="AE21" i="10" s="1"/>
  <c r="AE22" i="10" s="1"/>
  <c r="AE23" i="10" s="1"/>
  <c r="AD20" i="10"/>
  <c r="AD21" i="10" s="1"/>
  <c r="AD22" i="10" s="1"/>
  <c r="AD23" i="10" s="1"/>
  <c r="E86" i="9"/>
  <c r="D7" i="13" a="1"/>
  <c r="D7" i="13" s="1"/>
  <c r="AE1887" i="13"/>
  <c r="AE1888" i="13" s="1"/>
  <c r="Z1875" i="13"/>
  <c r="AA1875" i="13" s="1"/>
  <c r="AE1853" i="13"/>
  <c r="AE1854" i="13" s="1"/>
  <c r="Z1841" i="13"/>
  <c r="AA1841" i="13" s="1"/>
  <c r="AE1819" i="13"/>
  <c r="AE1820" i="13" s="1"/>
  <c r="Z1807" i="13"/>
  <c r="AA1807" i="13" s="1"/>
  <c r="AE1785" i="13"/>
  <c r="AE1786" i="13" s="1"/>
  <c r="Z1773" i="13"/>
  <c r="AA1773" i="13" s="1"/>
  <c r="AE1751" i="13"/>
  <c r="AE1752" i="13" s="1"/>
  <c r="Z1739" i="13"/>
  <c r="AA1739" i="13" s="1"/>
  <c r="AE1717" i="13"/>
  <c r="AE1718" i="13" s="1"/>
  <c r="Z1705" i="13"/>
  <c r="AA1705" i="13" s="1"/>
  <c r="AE1683" i="13"/>
  <c r="AE1684" i="13" s="1"/>
  <c r="Z1671" i="13"/>
  <c r="AA1671" i="13" s="1"/>
  <c r="AE1649" i="13"/>
  <c r="AE1650" i="13" s="1"/>
  <c r="Z1637" i="13"/>
  <c r="AA1637" i="13" s="1"/>
  <c r="AE1615" i="13"/>
  <c r="AE1616" i="13" s="1"/>
  <c r="Z1603" i="13"/>
  <c r="AA1603" i="13" s="1"/>
  <c r="AE1581" i="13"/>
  <c r="AE1582" i="13" s="1"/>
  <c r="Z1569" i="13"/>
  <c r="AA1569" i="13" s="1"/>
  <c r="AE1547" i="13"/>
  <c r="AE1548" i="13" s="1"/>
  <c r="Z1535" i="13"/>
  <c r="AA1535" i="13" s="1"/>
  <c r="AE1513" i="13"/>
  <c r="AE1514" i="13" s="1"/>
  <c r="Z1501" i="13"/>
  <c r="AA1501" i="13" s="1"/>
  <c r="AE1479" i="13"/>
  <c r="AE1480" i="13" s="1"/>
  <c r="Z1467" i="13"/>
  <c r="AA1467" i="13" s="1"/>
  <c r="AE1445" i="13"/>
  <c r="AE1446" i="13" s="1"/>
  <c r="Z1433" i="13"/>
  <c r="AA1433" i="13" s="1"/>
  <c r="AE1411" i="13"/>
  <c r="AE1412" i="13" s="1"/>
  <c r="Z1399" i="13"/>
  <c r="AA1399" i="13" s="1"/>
  <c r="AE1377" i="13"/>
  <c r="AE1378" i="13" s="1"/>
  <c r="Z1365" i="13"/>
  <c r="AA1365" i="13" s="1"/>
  <c r="AE1343" i="13"/>
  <c r="AE1344" i="13" s="1"/>
  <c r="Z1331" i="13"/>
  <c r="AA1331" i="13" s="1"/>
  <c r="AE1309" i="13"/>
  <c r="AE1310" i="13" s="1"/>
  <c r="Z1297" i="13"/>
  <c r="AA1297" i="13" s="1"/>
  <c r="AE1275" i="13"/>
  <c r="AE1276" i="13" s="1"/>
  <c r="Z1263" i="13"/>
  <c r="AA1263" i="13" s="1"/>
  <c r="AE1241" i="13"/>
  <c r="AE1242" i="13" s="1"/>
  <c r="Z1229" i="13"/>
  <c r="AA1229" i="13" s="1"/>
  <c r="AE1207" i="13"/>
  <c r="AE1208" i="13" s="1"/>
  <c r="Z1195" i="13"/>
  <c r="AA1195" i="13" s="1"/>
  <c r="AE1173" i="13"/>
  <c r="AE1174" i="13" s="1"/>
  <c r="Z1161" i="13"/>
  <c r="AA1161" i="13" s="1"/>
  <c r="AE1139" i="13"/>
  <c r="AE1140" i="13" s="1"/>
  <c r="Z1127" i="13"/>
  <c r="AA1127" i="13" s="1"/>
  <c r="AE1105" i="13"/>
  <c r="AE1106" i="13" s="1"/>
  <c r="Z1093" i="13"/>
  <c r="AA1093" i="13" s="1"/>
  <c r="AE1071" i="13"/>
  <c r="AE1072" i="13" s="1"/>
  <c r="Z1059" i="13"/>
  <c r="AA1059" i="13" s="1"/>
  <c r="AE1037" i="13"/>
  <c r="AE1038" i="13" s="1"/>
  <c r="Z1025" i="13"/>
  <c r="AA1025" i="13" s="1"/>
  <c r="AE1003" i="13"/>
  <c r="AE1004" i="13" s="1"/>
  <c r="Z991" i="13"/>
  <c r="AA991" i="13" s="1"/>
  <c r="AE969" i="13"/>
  <c r="AE970" i="13" s="1"/>
  <c r="Z957" i="13"/>
  <c r="AA957" i="13" s="1"/>
  <c r="AE935" i="13"/>
  <c r="AE936" i="13" s="1"/>
  <c r="Z923" i="13"/>
  <c r="AA923" i="13" s="1"/>
  <c r="AE901" i="13"/>
  <c r="AE902" i="13" s="1"/>
  <c r="Z889" i="13"/>
  <c r="AA889" i="13" s="1"/>
  <c r="AE867" i="13"/>
  <c r="AE868" i="13" s="1"/>
  <c r="Z855" i="13"/>
  <c r="AA855" i="13" s="1"/>
  <c r="AE833" i="13"/>
  <c r="AE834" i="13" s="1"/>
  <c r="Z821" i="13"/>
  <c r="AA821" i="13" s="1"/>
  <c r="AE799" i="13"/>
  <c r="AE800" i="13" s="1"/>
  <c r="Z787" i="13"/>
  <c r="AA787" i="13" s="1"/>
  <c r="AE765" i="13"/>
  <c r="AE766" i="13" s="1"/>
  <c r="Z753" i="13"/>
  <c r="AA753" i="13" s="1"/>
  <c r="AE731" i="13"/>
  <c r="AE732" i="13" s="1"/>
  <c r="Z719" i="13"/>
  <c r="AA719" i="13" s="1"/>
  <c r="AE697" i="13"/>
  <c r="AE698" i="13" s="1"/>
  <c r="Z685" i="13"/>
  <c r="AA685" i="13" s="1"/>
  <c r="AE663" i="13"/>
  <c r="AE664" i="13" s="1"/>
  <c r="Z651" i="13"/>
  <c r="AA651" i="13" s="1"/>
  <c r="AE629" i="13"/>
  <c r="AE630" i="13" s="1"/>
  <c r="Z617" i="13"/>
  <c r="AA617" i="13" s="1"/>
  <c r="AE595" i="13"/>
  <c r="AE596" i="13" s="1"/>
  <c r="Z583" i="13"/>
  <c r="AA583" i="13" s="1"/>
  <c r="AE561" i="13"/>
  <c r="AE562" i="13" s="1"/>
  <c r="Z549" i="13"/>
  <c r="AA549" i="13" s="1"/>
  <c r="AE527" i="13"/>
  <c r="AE528" i="13" s="1"/>
  <c r="Z515" i="13"/>
  <c r="AA515" i="13" s="1"/>
  <c r="AE493" i="13"/>
  <c r="AE494" i="13" s="1"/>
  <c r="Z481" i="13"/>
  <c r="AA481" i="13" s="1"/>
  <c r="AE459" i="13"/>
  <c r="AE460" i="13" s="1"/>
  <c r="Z447" i="13"/>
  <c r="AA447" i="13" s="1"/>
  <c r="AE425" i="13"/>
  <c r="AE426" i="13" s="1"/>
  <c r="Z413" i="13"/>
  <c r="AA413" i="13" s="1"/>
  <c r="AE391" i="13"/>
  <c r="AE392" i="13" s="1"/>
  <c r="Z379" i="13"/>
  <c r="AA379" i="13" s="1"/>
  <c r="AE357" i="13"/>
  <c r="AE358" i="13" s="1"/>
  <c r="Z345" i="13"/>
  <c r="AA345" i="13" s="1"/>
  <c r="AE323" i="13"/>
  <c r="AE324" i="13" s="1"/>
  <c r="Z311" i="13"/>
  <c r="AA311" i="13" s="1"/>
  <c r="AE289" i="13"/>
  <c r="AE290" i="13" s="1"/>
  <c r="Z277" i="13"/>
  <c r="AA277" i="13" s="1"/>
  <c r="AE255" i="13"/>
  <c r="AE256" i="13" s="1"/>
  <c r="Z243" i="13"/>
  <c r="AA243" i="13" s="1"/>
  <c r="AE221" i="13"/>
  <c r="AE222" i="13" s="1"/>
  <c r="Z209" i="13"/>
  <c r="AA209" i="13" s="1"/>
  <c r="AE187" i="13"/>
  <c r="AE188" i="13" s="1"/>
  <c r="Z175" i="13"/>
  <c r="AA175" i="13" s="1"/>
  <c r="AE153" i="13"/>
  <c r="AE154" i="13" s="1"/>
  <c r="Z141" i="13"/>
  <c r="AA141" i="13" s="1"/>
  <c r="AE119" i="13"/>
  <c r="AE120" i="13" s="1"/>
  <c r="Z107" i="13"/>
  <c r="AA107" i="13" s="1"/>
  <c r="AE85" i="13"/>
  <c r="AE86" i="13" s="1"/>
  <c r="Z73" i="13"/>
  <c r="AA73" i="13" s="1"/>
  <c r="AF39" i="13"/>
  <c r="AF42" i="13" s="1"/>
  <c r="AF8" i="13"/>
  <c r="AF9" i="13" s="1"/>
  <c r="AF11" i="13" s="1"/>
  <c r="AD39" i="13"/>
  <c r="AD42" i="13" s="1"/>
  <c r="Q39" i="13"/>
  <c r="N41" i="13" s="1" a="1"/>
  <c r="N41" i="13" s="1"/>
  <c r="AE51" i="13"/>
  <c r="AE52" i="13" s="1"/>
  <c r="J41" i="13" a="1"/>
  <c r="J41" i="13" s="1"/>
  <c r="Z39" i="13"/>
  <c r="AA39" i="13" s="1"/>
  <c r="AD8" i="13"/>
  <c r="AD9" i="13" s="1"/>
  <c r="Q73" i="13" l="1"/>
  <c r="K74" i="13" s="1" a="1"/>
  <c r="K74" i="13" s="1"/>
  <c r="F66" i="9" a="1"/>
  <c r="F66" i="9" s="1"/>
  <c r="I66" i="9" s="1" a="1"/>
  <c r="I66" i="9" s="1"/>
  <c r="J66" i="9" s="1" a="1"/>
  <c r="J66" i="9" s="1"/>
  <c r="KB67" i="9"/>
  <c r="E66" i="9" a="1"/>
  <c r="E66" i="9" s="1"/>
  <c r="G66" i="9" a="1"/>
  <c r="G66" i="9" s="1"/>
  <c r="C66" i="9" a="1"/>
  <c r="C66" i="9" s="1"/>
  <c r="KD68" i="9"/>
  <c r="KJ68" i="9"/>
  <c r="KH69" i="9"/>
  <c r="KH70" i="9" s="1"/>
  <c r="KH71" i="9" s="1"/>
  <c r="KH72" i="9" s="1"/>
  <c r="KH73" i="9" s="1"/>
  <c r="KH74" i="9" s="1"/>
  <c r="KH75" i="9" s="1"/>
  <c r="KH76" i="9" s="1"/>
  <c r="KH77" i="9" s="1"/>
  <c r="KG68" i="9"/>
  <c r="KL68" i="9"/>
  <c r="KL69" i="9" s="1"/>
  <c r="KL70" i="9" s="1"/>
  <c r="KL71" i="9" s="1"/>
  <c r="KL72" i="9" s="1"/>
  <c r="KL73" i="9" s="1"/>
  <c r="KL74" i="9" s="1"/>
  <c r="KL75" i="9" s="1"/>
  <c r="KL76" i="9" s="1"/>
  <c r="KL77" i="9" s="1"/>
  <c r="W71" i="24"/>
  <c r="C70" i="24" a="1"/>
  <c r="C70" i="24" s="1"/>
  <c r="U71" i="24"/>
  <c r="B70" i="24" a="1"/>
  <c r="B70" i="24" s="1"/>
  <c r="KC13" i="9"/>
  <c r="KK16" i="9"/>
  <c r="AK89" i="9"/>
  <c r="AL91" i="9" s="1"/>
  <c r="AM91" i="9" s="1"/>
  <c r="AI6" i="9" a="1"/>
  <c r="AI6" i="9" s="1"/>
  <c r="S91" i="9"/>
  <c r="T91" i="9" s="1"/>
  <c r="W91" i="9" s="1"/>
  <c r="BB85" i="9"/>
  <c r="BB11" i="9" s="1" a="1"/>
  <c r="BB11" i="9" s="1"/>
  <c r="BC89" i="9"/>
  <c r="BL83" i="9" s="1"/>
  <c r="AE90" i="9"/>
  <c r="X89" i="9"/>
  <c r="AD73" i="13"/>
  <c r="Q107" i="13"/>
  <c r="H108" i="13" s="1" a="1"/>
  <c r="H108" i="13" s="1"/>
  <c r="AF73" i="13"/>
  <c r="G109" i="13" a="1"/>
  <c r="G109" i="13" s="1"/>
  <c r="K109" i="13" a="1"/>
  <c r="K109" i="13" s="1"/>
  <c r="O109" i="13" a="1"/>
  <c r="O109" i="13" s="1"/>
  <c r="D108" i="13" a="1"/>
  <c r="D108" i="13" s="1"/>
  <c r="L108" i="13" a="1"/>
  <c r="L108" i="13" s="1"/>
  <c r="D109" i="13" a="1"/>
  <c r="D109" i="13" s="1"/>
  <c r="H109" i="13" a="1"/>
  <c r="H109" i="13" s="1"/>
  <c r="L109" i="13" a="1"/>
  <c r="L109" i="13" s="1"/>
  <c r="E108" i="13" a="1"/>
  <c r="E108" i="13" s="1"/>
  <c r="I108" i="13" a="1"/>
  <c r="I108" i="13" s="1"/>
  <c r="M108" i="13" a="1"/>
  <c r="M108" i="13" s="1"/>
  <c r="E109" i="13" a="1"/>
  <c r="E109" i="13" s="1"/>
  <c r="I109" i="13" a="1"/>
  <c r="I109" i="13" s="1"/>
  <c r="M109" i="13" a="1"/>
  <c r="M109" i="13" s="1"/>
  <c r="G74" i="13" a="1"/>
  <c r="G74" i="13" s="1"/>
  <c r="N74" i="13" a="1"/>
  <c r="N74" i="13" s="1"/>
  <c r="J74" i="13" a="1"/>
  <c r="J74" i="13" s="1"/>
  <c r="F74" i="13" a="1"/>
  <c r="F74" i="13" s="1"/>
  <c r="M75" i="13" a="1"/>
  <c r="M75" i="13" s="1"/>
  <c r="I75" i="13" a="1"/>
  <c r="I75" i="13" s="1"/>
  <c r="E75" i="13" a="1"/>
  <c r="E75" i="13" s="1"/>
  <c r="M74" i="13" a="1"/>
  <c r="M74" i="13" s="1"/>
  <c r="I74" i="13" a="1"/>
  <c r="I74" i="13" s="1"/>
  <c r="E74" i="13" a="1"/>
  <c r="E74" i="13" s="1"/>
  <c r="L75" i="13" a="1"/>
  <c r="L75" i="13" s="1"/>
  <c r="H75" i="13" a="1"/>
  <c r="H75" i="13" s="1"/>
  <c r="D75" i="13" a="1"/>
  <c r="D75" i="13" s="1"/>
  <c r="L74" i="13" a="1"/>
  <c r="L74" i="13" s="1"/>
  <c r="H74" i="13" a="1"/>
  <c r="H74" i="13" s="1"/>
  <c r="O75" i="13" a="1"/>
  <c r="O75" i="13" s="1"/>
  <c r="K75" i="13" a="1"/>
  <c r="K75" i="13" s="1"/>
  <c r="G75" i="13" a="1"/>
  <c r="G75" i="13" s="1"/>
  <c r="N75" i="13" a="1"/>
  <c r="N75" i="13" s="1"/>
  <c r="D74" i="13" a="1"/>
  <c r="D74" i="13" s="1"/>
  <c r="F75" i="13" a="1"/>
  <c r="F75" i="13" s="1"/>
  <c r="O74" i="13" a="1"/>
  <c r="O74" i="13" s="1"/>
  <c r="J75" i="13" a="1"/>
  <c r="J75" i="13" s="1"/>
  <c r="L41" i="13" a="1"/>
  <c r="L41" i="13" s="1"/>
  <c r="O41" i="13" a="1"/>
  <c r="O41" i="13" s="1"/>
  <c r="D40" i="13" a="1"/>
  <c r="D40" i="13" s="1"/>
  <c r="J40" i="13" a="1"/>
  <c r="J40" i="13" s="1"/>
  <c r="F40" i="13" a="1"/>
  <c r="F40" i="13" s="1"/>
  <c r="I40" i="13" a="1"/>
  <c r="I40" i="13" s="1"/>
  <c r="F41" i="13" a="1"/>
  <c r="F41" i="13" s="1"/>
  <c r="AD10" i="13"/>
  <c r="AF18" i="13"/>
  <c r="AF12" i="13"/>
  <c r="AF13" i="13"/>
  <c r="AF14" i="13"/>
  <c r="AF15" i="13"/>
  <c r="AF16" i="13"/>
  <c r="AF17" i="13"/>
  <c r="AF52" i="13"/>
  <c r="AF46" i="13"/>
  <c r="AF47" i="13"/>
  <c r="AF48" i="13"/>
  <c r="AF49" i="13"/>
  <c r="AF50" i="13"/>
  <c r="AF43" i="13"/>
  <c r="AF45" i="13" s="1"/>
  <c r="AF51" i="13"/>
  <c r="AF44" i="13"/>
  <c r="AF10" i="13"/>
  <c r="AD43" i="13"/>
  <c r="K40" i="13" a="1"/>
  <c r="K40" i="13" s="1"/>
  <c r="K41" i="13" a="1"/>
  <c r="K41" i="13" s="1"/>
  <c r="E40" i="13" a="1"/>
  <c r="E40" i="13" s="1"/>
  <c r="G41" i="13" a="1"/>
  <c r="G41" i="13" s="1"/>
  <c r="G40" i="13" a="1"/>
  <c r="G40" i="13" s="1"/>
  <c r="M41" i="13" a="1"/>
  <c r="M41" i="13" s="1"/>
  <c r="H41" i="13" a="1"/>
  <c r="H41" i="13" s="1"/>
  <c r="N40" i="13" a="1"/>
  <c r="N40" i="13" s="1"/>
  <c r="D41" i="13" a="1"/>
  <c r="D41" i="13" s="1"/>
  <c r="I41" i="13" a="1"/>
  <c r="I41" i="13" s="1"/>
  <c r="L40" i="13" a="1"/>
  <c r="L40" i="13" s="1"/>
  <c r="M40" i="13" a="1"/>
  <c r="M40" i="13" s="1"/>
  <c r="H40" i="13" a="1"/>
  <c r="H40" i="13" s="1"/>
  <c r="O40" i="13" a="1"/>
  <c r="O40" i="13" s="1"/>
  <c r="E41" i="13" a="1"/>
  <c r="E41" i="13" s="1"/>
  <c r="K66" i="9" l="1"/>
  <c r="KB68" i="9"/>
  <c r="E67" i="9" a="1"/>
  <c r="E67" i="9" s="1"/>
  <c r="G67" i="9" a="1"/>
  <c r="G67" i="9" s="1"/>
  <c r="K67" i="9" s="1"/>
  <c r="F67" i="9" a="1"/>
  <c r="F67" i="9" s="1"/>
  <c r="I67" i="9" s="1" a="1"/>
  <c r="I67" i="9" s="1"/>
  <c r="J67" i="9" s="1" a="1"/>
  <c r="J67" i="9" s="1"/>
  <c r="C67" i="9" a="1"/>
  <c r="C67" i="9" s="1"/>
  <c r="KD69" i="9"/>
  <c r="AQ89" i="9"/>
  <c r="KG69" i="9"/>
  <c r="H66" i="9" a="1"/>
  <c r="H66" i="9" s="1"/>
  <c r="D66" i="9" s="1"/>
  <c r="KJ69" i="9"/>
  <c r="W72" i="24"/>
  <c r="C71" i="24" a="1"/>
  <c r="C71" i="24" s="1"/>
  <c r="U72" i="24"/>
  <c r="B71" i="24" a="1"/>
  <c r="B71" i="24" s="1"/>
  <c r="KC14" i="9"/>
  <c r="KK17" i="9"/>
  <c r="BB6" i="9" a="1"/>
  <c r="BB6" i="9" s="1"/>
  <c r="BV89" i="9"/>
  <c r="CE83" i="9" s="1"/>
  <c r="BU85" i="9"/>
  <c r="BD89" i="9"/>
  <c r="AX90" i="9"/>
  <c r="AT85" i="9"/>
  <c r="AP91" i="9"/>
  <c r="AF76" i="13"/>
  <c r="AF107" i="13"/>
  <c r="Q141" i="13"/>
  <c r="F109" i="13" a="1"/>
  <c r="F109" i="13" s="1"/>
  <c r="O108" i="13" a="1"/>
  <c r="O108" i="13" s="1"/>
  <c r="F108" i="13" a="1"/>
  <c r="F108" i="13" s="1"/>
  <c r="N108" i="13" a="1"/>
  <c r="N108" i="13" s="1"/>
  <c r="K108" i="13" a="1"/>
  <c r="K108" i="13" s="1"/>
  <c r="N109" i="13" a="1"/>
  <c r="N109" i="13" s="1"/>
  <c r="J108" i="13" a="1"/>
  <c r="J108" i="13" s="1"/>
  <c r="J109" i="13" a="1"/>
  <c r="J109" i="13" s="1"/>
  <c r="G108" i="13" a="1"/>
  <c r="G108" i="13" s="1"/>
  <c r="AD76" i="13"/>
  <c r="AD77" i="13" s="1"/>
  <c r="AD78" i="13" s="1"/>
  <c r="AD107" i="13"/>
  <c r="AD11" i="13"/>
  <c r="AD44" i="13"/>
  <c r="J143" i="13" l="1" a="1"/>
  <c r="J143" i="13" s="1"/>
  <c r="N142" i="13" a="1"/>
  <c r="N142" i="13" s="1"/>
  <c r="F142" i="13" a="1"/>
  <c r="F142" i="13" s="1"/>
  <c r="I143" i="13" a="1"/>
  <c r="I143" i="13" s="1"/>
  <c r="M142" i="13" a="1"/>
  <c r="M142" i="13" s="1"/>
  <c r="E142" i="13" a="1"/>
  <c r="E142" i="13" s="1"/>
  <c r="H143" i="13" a="1"/>
  <c r="H143" i="13" s="1"/>
  <c r="L142" i="13" a="1"/>
  <c r="L142" i="13" s="1"/>
  <c r="D142" i="13" a="1"/>
  <c r="D142" i="13" s="1"/>
  <c r="O143" i="13" a="1"/>
  <c r="O143" i="13" s="1"/>
  <c r="G143" i="13" a="1"/>
  <c r="G143" i="13" s="1"/>
  <c r="K142" i="13" a="1"/>
  <c r="K142" i="13" s="1"/>
  <c r="N143" i="13" a="1"/>
  <c r="N143" i="13" s="1"/>
  <c r="F143" i="13" a="1"/>
  <c r="F143" i="13" s="1"/>
  <c r="J142" i="13" a="1"/>
  <c r="J142" i="13" s="1"/>
  <c r="K143" i="13" a="1"/>
  <c r="K143" i="13" s="1"/>
  <c r="O142" i="13" a="1"/>
  <c r="O142" i="13" s="1"/>
  <c r="G142" i="13" a="1"/>
  <c r="G142" i="13" s="1"/>
  <c r="H142" i="13" a="1"/>
  <c r="H142" i="13" s="1"/>
  <c r="I142" i="13" a="1"/>
  <c r="I142" i="13" s="1"/>
  <c r="D143" i="13" a="1"/>
  <c r="D143" i="13" s="1"/>
  <c r="M143" i="13" a="1"/>
  <c r="M143" i="13" s="1"/>
  <c r="E143" i="13" a="1"/>
  <c r="E143" i="13" s="1"/>
  <c r="L143" i="13" a="1"/>
  <c r="L143" i="13" s="1"/>
  <c r="BU11" i="9" a="1"/>
  <c r="BU11" i="9" s="1"/>
  <c r="KG70" i="9"/>
  <c r="KJ70" i="9"/>
  <c r="H67" i="9" a="1"/>
  <c r="H67" i="9" s="1"/>
  <c r="KD70" i="9"/>
  <c r="C68" i="9" a="1"/>
  <c r="C68" i="9" s="1"/>
  <c r="KB69" i="9"/>
  <c r="E68" i="9" a="1"/>
  <c r="E68" i="9" s="1"/>
  <c r="G68" i="9" a="1"/>
  <c r="G68" i="9" s="1"/>
  <c r="K68" i="9" s="1"/>
  <c r="F68" i="9" a="1"/>
  <c r="F68" i="9" s="1"/>
  <c r="W73" i="24"/>
  <c r="C72" i="24" a="1"/>
  <c r="C72" i="24" s="1"/>
  <c r="D24" i="24" a="1"/>
  <c r="D24" i="24" s="1"/>
  <c r="U73" i="24"/>
  <c r="B72" i="24" a="1"/>
  <c r="B72" i="24" s="1"/>
  <c r="KC15" i="9"/>
  <c r="KK18" i="9"/>
  <c r="CN85" i="9"/>
  <c r="BU6" i="9" a="1"/>
  <c r="BU6" i="9" s="1"/>
  <c r="CO89" i="9"/>
  <c r="BW89" i="9"/>
  <c r="BE91" i="9"/>
  <c r="BJ89" i="9"/>
  <c r="BM85" i="9"/>
  <c r="BQ90" i="9"/>
  <c r="AD141" i="13"/>
  <c r="AD110" i="13"/>
  <c r="AD111" i="13" s="1"/>
  <c r="AD112" i="13" s="1"/>
  <c r="Q175" i="13"/>
  <c r="AF141" i="13"/>
  <c r="AF110" i="13"/>
  <c r="AF85" i="13"/>
  <c r="AF82" i="13"/>
  <c r="AF77" i="13"/>
  <c r="AF79" i="13" s="1"/>
  <c r="AF86" i="13"/>
  <c r="AF83" i="13"/>
  <c r="AF80" i="13"/>
  <c r="AF84" i="13"/>
  <c r="AF78" i="13"/>
  <c r="AF81" i="13"/>
  <c r="AD79" i="13"/>
  <c r="AD12" i="13"/>
  <c r="AD45" i="13"/>
  <c r="J177" i="13" l="1" a="1"/>
  <c r="J177" i="13" s="1"/>
  <c r="N176" i="13" a="1"/>
  <c r="N176" i="13" s="1"/>
  <c r="F176" i="13" a="1"/>
  <c r="F176" i="13" s="1"/>
  <c r="I177" i="13" a="1"/>
  <c r="I177" i="13" s="1"/>
  <c r="M176" i="13" a="1"/>
  <c r="M176" i="13" s="1"/>
  <c r="E176" i="13" a="1"/>
  <c r="E176" i="13" s="1"/>
  <c r="H177" i="13" a="1"/>
  <c r="H177" i="13" s="1"/>
  <c r="L176" i="13" a="1"/>
  <c r="L176" i="13" s="1"/>
  <c r="D176" i="13" a="1"/>
  <c r="D176" i="13" s="1"/>
  <c r="O177" i="13" a="1"/>
  <c r="O177" i="13" s="1"/>
  <c r="G177" i="13" a="1"/>
  <c r="G177" i="13" s="1"/>
  <c r="K176" i="13" a="1"/>
  <c r="K176" i="13" s="1"/>
  <c r="N177" i="13" a="1"/>
  <c r="N177" i="13" s="1"/>
  <c r="F177" i="13" a="1"/>
  <c r="F177" i="13" s="1"/>
  <c r="J176" i="13" a="1"/>
  <c r="J176" i="13" s="1"/>
  <c r="K177" i="13" a="1"/>
  <c r="K177" i="13" s="1"/>
  <c r="O176" i="13" a="1"/>
  <c r="O176" i="13" s="1"/>
  <c r="G176" i="13" a="1"/>
  <c r="G176" i="13" s="1"/>
  <c r="D177" i="13" a="1"/>
  <c r="D177" i="13" s="1"/>
  <c r="I176" i="13" a="1"/>
  <c r="I176" i="13" s="1"/>
  <c r="L177" i="13" a="1"/>
  <c r="L177" i="13" s="1"/>
  <c r="H176" i="13" a="1"/>
  <c r="H176" i="13" s="1"/>
  <c r="E177" i="13" a="1"/>
  <c r="E177" i="13" s="1"/>
  <c r="M177" i="13" a="1"/>
  <c r="M177" i="13" s="1"/>
  <c r="F69" i="9" a="1"/>
  <c r="F69" i="9" s="1"/>
  <c r="I69" i="9" s="1" a="1"/>
  <c r="I69" i="9" s="1"/>
  <c r="J69" i="9" s="1" a="1"/>
  <c r="J69" i="9" s="1"/>
  <c r="G69" i="9" a="1"/>
  <c r="G69" i="9" s="1"/>
  <c r="K69" i="9" s="1"/>
  <c r="KB70" i="9"/>
  <c r="C69" i="9" a="1"/>
  <c r="C69" i="9" s="1"/>
  <c r="E69" i="9" a="1"/>
  <c r="E69" i="9" s="1"/>
  <c r="KD71" i="9"/>
  <c r="KJ71" i="9"/>
  <c r="CN11" i="9" a="1"/>
  <c r="CN11" i="9" s="1"/>
  <c r="D67" i="9"/>
  <c r="KG71" i="9"/>
  <c r="I68" i="9" a="1"/>
  <c r="I68" i="9" s="1"/>
  <c r="J68" i="9" s="1" a="1"/>
  <c r="J68" i="9" s="1"/>
  <c r="H68" i="9" s="1" a="1"/>
  <c r="H68" i="9" s="1"/>
  <c r="DH89" i="9"/>
  <c r="DQ83" i="9" s="1"/>
  <c r="CX83" i="9"/>
  <c r="W74" i="24"/>
  <c r="C73" i="24" a="1"/>
  <c r="C73" i="24" s="1"/>
  <c r="U74" i="24"/>
  <c r="B73" i="24" a="1"/>
  <c r="B73" i="24" s="1"/>
  <c r="KC16" i="9"/>
  <c r="EA89" i="9"/>
  <c r="EJ83" i="9" s="1"/>
  <c r="DG6" i="9" a="1"/>
  <c r="DG6" i="9" s="1"/>
  <c r="DG85" i="9"/>
  <c r="BX91" i="9"/>
  <c r="CC89" i="9"/>
  <c r="CP89" i="9"/>
  <c r="CN6" i="9" a="1"/>
  <c r="CN6" i="9" s="1"/>
  <c r="CF85" i="9"/>
  <c r="CJ90" i="9"/>
  <c r="KK19" i="9"/>
  <c r="BF91" i="9"/>
  <c r="AF114" i="13"/>
  <c r="AF119" i="13"/>
  <c r="AF111" i="13"/>
  <c r="AF113" i="13" s="1"/>
  <c r="AF116" i="13"/>
  <c r="AF118" i="13"/>
  <c r="AF120" i="13"/>
  <c r="AF117" i="13"/>
  <c r="AF115" i="13"/>
  <c r="AF112" i="13"/>
  <c r="AF144" i="13"/>
  <c r="AF175" i="13"/>
  <c r="Q209" i="13"/>
  <c r="AD144" i="13"/>
  <c r="AD145" i="13" s="1"/>
  <c r="AD146" i="13" s="1"/>
  <c r="AD147" i="13" s="1"/>
  <c r="AD148" i="13" s="1"/>
  <c r="AD175" i="13"/>
  <c r="AD113" i="13"/>
  <c r="AD80" i="13"/>
  <c r="AD13" i="13"/>
  <c r="AD46" i="13"/>
  <c r="DI89" i="9" l="1"/>
  <c r="J211" i="13" a="1"/>
  <c r="J211" i="13" s="1"/>
  <c r="N210" i="13" a="1"/>
  <c r="N210" i="13" s="1"/>
  <c r="F210" i="13" a="1"/>
  <c r="F210" i="13" s="1"/>
  <c r="I211" i="13" a="1"/>
  <c r="I211" i="13" s="1"/>
  <c r="M210" i="13" a="1"/>
  <c r="M210" i="13" s="1"/>
  <c r="E210" i="13" a="1"/>
  <c r="E210" i="13" s="1"/>
  <c r="H211" i="13" a="1"/>
  <c r="H211" i="13" s="1"/>
  <c r="L210" i="13" a="1"/>
  <c r="L210" i="13" s="1"/>
  <c r="D210" i="13" a="1"/>
  <c r="D210" i="13" s="1"/>
  <c r="O211" i="13" a="1"/>
  <c r="O211" i="13" s="1"/>
  <c r="G211" i="13" a="1"/>
  <c r="G211" i="13" s="1"/>
  <c r="K210" i="13" a="1"/>
  <c r="K210" i="13" s="1"/>
  <c r="N211" i="13" a="1"/>
  <c r="N211" i="13" s="1"/>
  <c r="F211" i="13" a="1"/>
  <c r="F211" i="13" s="1"/>
  <c r="J210" i="13" a="1"/>
  <c r="J210" i="13" s="1"/>
  <c r="K211" i="13" a="1"/>
  <c r="K211" i="13" s="1"/>
  <c r="O210" i="13" a="1"/>
  <c r="O210" i="13" s="1"/>
  <c r="G210" i="13" a="1"/>
  <c r="G210" i="13" s="1"/>
  <c r="L211" i="13" a="1"/>
  <c r="L211" i="13" s="1"/>
  <c r="E211" i="13" a="1"/>
  <c r="E211" i="13" s="1"/>
  <c r="D211" i="13" a="1"/>
  <c r="D211" i="13" s="1"/>
  <c r="I210" i="13" a="1"/>
  <c r="I210" i="13" s="1"/>
  <c r="H210" i="13" a="1"/>
  <c r="H210" i="13" s="1"/>
  <c r="M211" i="13" a="1"/>
  <c r="M211" i="13" s="1"/>
  <c r="H69" i="9" a="1"/>
  <c r="H69" i="9" s="1"/>
  <c r="D69" i="9" s="1"/>
  <c r="D68" i="9"/>
  <c r="F70" i="9" a="1"/>
  <c r="F70" i="9" s="1"/>
  <c r="I70" i="9" s="1" a="1"/>
  <c r="I70" i="9" s="1"/>
  <c r="J70" i="9" s="1" a="1"/>
  <c r="J70" i="9" s="1"/>
  <c r="C70" i="9" a="1"/>
  <c r="C70" i="9" s="1"/>
  <c r="E70" i="9" a="1"/>
  <c r="E70" i="9" s="1"/>
  <c r="G70" i="9" a="1"/>
  <c r="G70" i="9" s="1"/>
  <c r="K70" i="9" s="1"/>
  <c r="KB71" i="9"/>
  <c r="DG11" i="9" a="1"/>
  <c r="DG11" i="9" s="1"/>
  <c r="KD72" i="9"/>
  <c r="KG72" i="9"/>
  <c r="KJ72" i="9"/>
  <c r="W75" i="24"/>
  <c r="C74" i="24" a="1"/>
  <c r="C74" i="24" s="1"/>
  <c r="U75" i="24"/>
  <c r="B74" i="24" a="1"/>
  <c r="B74" i="24" s="1"/>
  <c r="KC17" i="9"/>
  <c r="DV90" i="9"/>
  <c r="DR85" i="9"/>
  <c r="DJ91" i="9"/>
  <c r="DO89" i="9"/>
  <c r="DZ6" i="9" a="1"/>
  <c r="DZ6" i="9" s="1"/>
  <c r="ET89" i="9"/>
  <c r="EB89" i="9"/>
  <c r="DZ85" i="9"/>
  <c r="KK20" i="9"/>
  <c r="CY85" i="9"/>
  <c r="DC90" i="9"/>
  <c r="CV89" i="9"/>
  <c r="CQ91" i="9"/>
  <c r="BY91" i="9"/>
  <c r="BI91" i="9"/>
  <c r="Q243" i="13"/>
  <c r="AF209" i="13"/>
  <c r="AF178" i="13"/>
  <c r="AD209" i="13"/>
  <c r="AD178" i="13"/>
  <c r="AF145" i="13"/>
  <c r="AF147" i="13" s="1"/>
  <c r="AF154" i="13"/>
  <c r="AF149" i="13"/>
  <c r="AF151" i="13"/>
  <c r="AF148" i="13"/>
  <c r="AF153" i="13"/>
  <c r="AF150" i="13"/>
  <c r="AF152" i="13"/>
  <c r="AF146" i="13"/>
  <c r="AD114" i="13"/>
  <c r="AD149" i="13"/>
  <c r="AD81" i="13"/>
  <c r="AD14" i="13"/>
  <c r="AD47" i="13"/>
  <c r="J245" i="13" l="1" a="1"/>
  <c r="J245" i="13" s="1"/>
  <c r="N244" i="13" a="1"/>
  <c r="N244" i="13" s="1"/>
  <c r="F244" i="13" a="1"/>
  <c r="F244" i="13" s="1"/>
  <c r="I245" i="13" a="1"/>
  <c r="I245" i="13" s="1"/>
  <c r="M244" i="13" a="1"/>
  <c r="M244" i="13" s="1"/>
  <c r="E244" i="13" a="1"/>
  <c r="E244" i="13" s="1"/>
  <c r="H245" i="13" a="1"/>
  <c r="H245" i="13" s="1"/>
  <c r="L244" i="13" a="1"/>
  <c r="L244" i="13" s="1"/>
  <c r="D244" i="13" a="1"/>
  <c r="D244" i="13" s="1"/>
  <c r="O245" i="13" a="1"/>
  <c r="O245" i="13" s="1"/>
  <c r="G245" i="13" a="1"/>
  <c r="G245" i="13" s="1"/>
  <c r="K244" i="13" a="1"/>
  <c r="K244" i="13" s="1"/>
  <c r="N245" i="13" a="1"/>
  <c r="N245" i="13" s="1"/>
  <c r="F245" i="13" a="1"/>
  <c r="F245" i="13" s="1"/>
  <c r="J244" i="13" a="1"/>
  <c r="J244" i="13" s="1"/>
  <c r="K245" i="13" a="1"/>
  <c r="K245" i="13" s="1"/>
  <c r="O244" i="13" a="1"/>
  <c r="O244" i="13" s="1"/>
  <c r="G244" i="13" a="1"/>
  <c r="G244" i="13" s="1"/>
  <c r="M245" i="13" a="1"/>
  <c r="M245" i="13" s="1"/>
  <c r="L245" i="13" a="1"/>
  <c r="L245" i="13" s="1"/>
  <c r="I244" i="13" a="1"/>
  <c r="I244" i="13" s="1"/>
  <c r="E245" i="13" a="1"/>
  <c r="E245" i="13" s="1"/>
  <c r="D245" i="13" a="1"/>
  <c r="D245" i="13" s="1"/>
  <c r="H244" i="13" a="1"/>
  <c r="H244" i="13" s="1"/>
  <c r="H70" i="9" a="1"/>
  <c r="H70" i="9" s="1"/>
  <c r="D70" i="9" s="1"/>
  <c r="KG73" i="9"/>
  <c r="KD73" i="9"/>
  <c r="E71" i="9" a="1"/>
  <c r="E71" i="9" s="1"/>
  <c r="G71" i="9" a="1"/>
  <c r="G71" i="9" s="1"/>
  <c r="K71" i="9" s="1"/>
  <c r="KB72" i="9"/>
  <c r="C71" i="9" a="1"/>
  <c r="C71" i="9" s="1"/>
  <c r="F71" i="9" a="1"/>
  <c r="F71" i="9" s="1"/>
  <c r="I71" i="9" s="1" a="1"/>
  <c r="I71" i="9" s="1"/>
  <c r="J71" i="9" s="1" a="1"/>
  <c r="J71" i="9" s="1"/>
  <c r="KJ73" i="9"/>
  <c r="DZ11" i="9" a="1"/>
  <c r="DZ11" i="9" s="1"/>
  <c r="FM89" i="9"/>
  <c r="FV83" i="9" s="1"/>
  <c r="FC83" i="9"/>
  <c r="W76" i="24"/>
  <c r="C75" i="24" a="1"/>
  <c r="C75" i="24" s="1"/>
  <c r="U76" i="24"/>
  <c r="B75" i="24" a="1"/>
  <c r="B75" i="24" s="1"/>
  <c r="KC18" i="9"/>
  <c r="EK85" i="9"/>
  <c r="EO90" i="9"/>
  <c r="EU89" i="9"/>
  <c r="ES6" i="9" a="1"/>
  <c r="ES6" i="9" s="1"/>
  <c r="DK91" i="9"/>
  <c r="ES85" i="9"/>
  <c r="EC91" i="9"/>
  <c r="EH89" i="9"/>
  <c r="CB91" i="9"/>
  <c r="KK21" i="9"/>
  <c r="CR91" i="9"/>
  <c r="AF243" i="13"/>
  <c r="AF212" i="13"/>
  <c r="AD179" i="13"/>
  <c r="AD212" i="13"/>
  <c r="AD243" i="13"/>
  <c r="AF186" i="13"/>
  <c r="AF185" i="13"/>
  <c r="AF179" i="13"/>
  <c r="AF181" i="13" s="1"/>
  <c r="AF182" i="13"/>
  <c r="AF184" i="13"/>
  <c r="AF187" i="13"/>
  <c r="AF180" i="13"/>
  <c r="AF183" i="13"/>
  <c r="AF188" i="13"/>
  <c r="Q277" i="13"/>
  <c r="AD115" i="13"/>
  <c r="AD150" i="13"/>
  <c r="AD82" i="13"/>
  <c r="AD15" i="13"/>
  <c r="AD48" i="13"/>
  <c r="J279" i="13" l="1" a="1"/>
  <c r="J279" i="13" s="1"/>
  <c r="N278" i="13" a="1"/>
  <c r="N278" i="13" s="1"/>
  <c r="F278" i="13" a="1"/>
  <c r="F278" i="13" s="1"/>
  <c r="I279" i="13" a="1"/>
  <c r="I279" i="13" s="1"/>
  <c r="M278" i="13" a="1"/>
  <c r="M278" i="13" s="1"/>
  <c r="E278" i="13" a="1"/>
  <c r="E278" i="13" s="1"/>
  <c r="H279" i="13" a="1"/>
  <c r="H279" i="13" s="1"/>
  <c r="L278" i="13" a="1"/>
  <c r="L278" i="13" s="1"/>
  <c r="D278" i="13" a="1"/>
  <c r="D278" i="13" s="1"/>
  <c r="O279" i="13" a="1"/>
  <c r="O279" i="13" s="1"/>
  <c r="G279" i="13" a="1"/>
  <c r="G279" i="13" s="1"/>
  <c r="K278" i="13" a="1"/>
  <c r="K278" i="13" s="1"/>
  <c r="N279" i="13" a="1"/>
  <c r="N279" i="13" s="1"/>
  <c r="F279" i="13" a="1"/>
  <c r="F279" i="13" s="1"/>
  <c r="J278" i="13" a="1"/>
  <c r="J278" i="13" s="1"/>
  <c r="K279" i="13" a="1"/>
  <c r="K279" i="13" s="1"/>
  <c r="O278" i="13" a="1"/>
  <c r="O278" i="13" s="1"/>
  <c r="G278" i="13" a="1"/>
  <c r="G278" i="13" s="1"/>
  <c r="H278" i="13" a="1"/>
  <c r="H278" i="13" s="1"/>
  <c r="D279" i="13" a="1"/>
  <c r="D279" i="13" s="1"/>
  <c r="I278" i="13" a="1"/>
  <c r="I278" i="13" s="1"/>
  <c r="M279" i="13" a="1"/>
  <c r="M279" i="13" s="1"/>
  <c r="E279" i="13" a="1"/>
  <c r="E279" i="13" s="1"/>
  <c r="L279" i="13" a="1"/>
  <c r="L279" i="13" s="1"/>
  <c r="FN89" i="9"/>
  <c r="H71" i="9" a="1"/>
  <c r="H71" i="9" s="1"/>
  <c r="D71" i="9" s="1"/>
  <c r="KJ74" i="9"/>
  <c r="G72" i="9" a="1"/>
  <c r="G72" i="9" s="1"/>
  <c r="K72" i="9" s="1"/>
  <c r="E72" i="9" a="1"/>
  <c r="E72" i="9" s="1"/>
  <c r="KB73" i="9"/>
  <c r="F72" i="9" a="1"/>
  <c r="F72" i="9" s="1"/>
  <c r="C72" i="9" a="1"/>
  <c r="C72" i="9" s="1"/>
  <c r="FL6" i="9" a="1"/>
  <c r="FL6" i="9" s="1"/>
  <c r="GF89" i="9"/>
  <c r="KG74" i="9"/>
  <c r="KD74" i="9"/>
  <c r="FL85" i="9"/>
  <c r="GE85" i="9" s="1"/>
  <c r="ES11" i="9" a="1"/>
  <c r="ES11" i="9" s="1"/>
  <c r="GO83" i="9"/>
  <c r="GY89" i="9"/>
  <c r="W77" i="24"/>
  <c r="C76" i="24" a="1"/>
  <c r="C76" i="24" s="1"/>
  <c r="U77" i="24"/>
  <c r="B76" i="24" a="1"/>
  <c r="B76" i="24" s="1"/>
  <c r="GE6" i="9" a="1"/>
  <c r="GE6" i="9" s="1"/>
  <c r="GG89" i="9"/>
  <c r="FT89" i="9"/>
  <c r="FO91" i="9"/>
  <c r="FW85" i="9"/>
  <c r="GA90" i="9"/>
  <c r="KC19" i="9"/>
  <c r="FH90" i="9"/>
  <c r="FD85" i="9"/>
  <c r="DN91" i="9"/>
  <c r="FA89" i="9"/>
  <c r="EV91" i="9"/>
  <c r="ED91" i="9"/>
  <c r="KK22" i="9"/>
  <c r="CU91" i="9"/>
  <c r="AD180" i="13"/>
  <c r="Q311" i="13"/>
  <c r="AD277" i="13"/>
  <c r="AD246" i="13"/>
  <c r="AD213" i="13"/>
  <c r="AF214" i="13"/>
  <c r="AF222" i="13"/>
  <c r="AF219" i="13"/>
  <c r="AF216" i="13"/>
  <c r="AF221" i="13"/>
  <c r="AF218" i="13"/>
  <c r="AF220" i="13"/>
  <c r="AF213" i="13"/>
  <c r="AF215" i="13" s="1"/>
  <c r="AF217" i="13"/>
  <c r="AF277" i="13"/>
  <c r="AF246" i="13"/>
  <c r="AD116" i="13"/>
  <c r="AD151" i="13"/>
  <c r="AD83" i="13"/>
  <c r="AD49" i="13"/>
  <c r="J313" i="13" l="1" a="1"/>
  <c r="J313" i="13" s="1"/>
  <c r="N312" i="13" a="1"/>
  <c r="N312" i="13" s="1"/>
  <c r="F312" i="13" a="1"/>
  <c r="F312" i="13" s="1"/>
  <c r="I313" i="13" a="1"/>
  <c r="I313" i="13" s="1"/>
  <c r="M312" i="13" a="1"/>
  <c r="M312" i="13" s="1"/>
  <c r="E312" i="13" a="1"/>
  <c r="E312" i="13" s="1"/>
  <c r="H313" i="13" a="1"/>
  <c r="H313" i="13" s="1"/>
  <c r="L312" i="13" a="1"/>
  <c r="L312" i="13" s="1"/>
  <c r="D312" i="13" a="1"/>
  <c r="D312" i="13" s="1"/>
  <c r="O313" i="13" a="1"/>
  <c r="O313" i="13" s="1"/>
  <c r="G313" i="13" a="1"/>
  <c r="G313" i="13" s="1"/>
  <c r="K312" i="13" a="1"/>
  <c r="K312" i="13" s="1"/>
  <c r="N313" i="13" a="1"/>
  <c r="N313" i="13" s="1"/>
  <c r="F313" i="13" a="1"/>
  <c r="F313" i="13" s="1"/>
  <c r="J312" i="13" a="1"/>
  <c r="J312" i="13" s="1"/>
  <c r="K313" i="13" a="1"/>
  <c r="K313" i="13" s="1"/>
  <c r="O312" i="13" a="1"/>
  <c r="O312" i="13" s="1"/>
  <c r="G312" i="13" a="1"/>
  <c r="G312" i="13" s="1"/>
  <c r="D313" i="13" a="1"/>
  <c r="D313" i="13" s="1"/>
  <c r="I312" i="13" a="1"/>
  <c r="I312" i="13" s="1"/>
  <c r="H312" i="13" a="1"/>
  <c r="H312" i="13" s="1"/>
  <c r="E313" i="13" a="1"/>
  <c r="E313" i="13" s="1"/>
  <c r="L313" i="13" a="1"/>
  <c r="L313" i="13" s="1"/>
  <c r="M313" i="13" a="1"/>
  <c r="M313" i="13" s="1"/>
  <c r="I72" i="9" a="1"/>
  <c r="I72" i="9" s="1"/>
  <c r="J72" i="9" s="1" a="1"/>
  <c r="J72" i="9" s="1"/>
  <c r="H72" i="9" s="1" a="1"/>
  <c r="H72" i="9" s="1"/>
  <c r="E73" i="9" a="1"/>
  <c r="E73" i="9" s="1"/>
  <c r="F73" i="9" a="1"/>
  <c r="F73" i="9" s="1"/>
  <c r="G73" i="9" a="1"/>
  <c r="G73" i="9" s="1"/>
  <c r="K73" i="9" s="1"/>
  <c r="KB74" i="9"/>
  <c r="C73" i="9" a="1"/>
  <c r="C73" i="9" s="1"/>
  <c r="KJ75" i="9"/>
  <c r="KJ76" i="9" s="1"/>
  <c r="KJ77" i="9" s="1"/>
  <c r="KG75" i="9"/>
  <c r="KG76" i="9" s="1"/>
  <c r="KG77" i="9" s="1"/>
  <c r="FL11" i="9" a="1"/>
  <c r="FL11" i="9" s="1"/>
  <c r="KD75" i="9"/>
  <c r="KD76" i="9" s="1"/>
  <c r="HH83" i="9"/>
  <c r="HR89" i="9"/>
  <c r="GX6" i="9" a="1"/>
  <c r="GX6" i="9" s="1"/>
  <c r="GZ89" i="9"/>
  <c r="GE11" i="9" a="1"/>
  <c r="GE11" i="9" s="1"/>
  <c r="GX85" i="9"/>
  <c r="W78" i="24"/>
  <c r="C77" i="24" a="1"/>
  <c r="C77" i="24" s="1"/>
  <c r="U78" i="24"/>
  <c r="B77" i="24" a="1"/>
  <c r="B77" i="24" s="1"/>
  <c r="KC20" i="9"/>
  <c r="GT90" i="9"/>
  <c r="GP85" i="9"/>
  <c r="GM89" i="9"/>
  <c r="GH91" i="9"/>
  <c r="FP91" i="9"/>
  <c r="FW11" i="9" a="1"/>
  <c r="FW11" i="9" s="1"/>
  <c r="FX11" i="9" s="1"/>
  <c r="EG91" i="9"/>
  <c r="EW91" i="9"/>
  <c r="KK23" i="9"/>
  <c r="AD247" i="13"/>
  <c r="Q345" i="13"/>
  <c r="AD181" i="13"/>
  <c r="AD280" i="13"/>
  <c r="AD311" i="13"/>
  <c r="AF253" i="13"/>
  <c r="AF248" i="13"/>
  <c r="AF252" i="13"/>
  <c r="AF256" i="13"/>
  <c r="AF247" i="13"/>
  <c r="AF249" i="13" s="1"/>
  <c r="AF255" i="13"/>
  <c r="AF254" i="13"/>
  <c r="AF251" i="13"/>
  <c r="AF250" i="13"/>
  <c r="AF280" i="13"/>
  <c r="AF311" i="13"/>
  <c r="AD214" i="13"/>
  <c r="AD117" i="13"/>
  <c r="KD77" i="9" l="1"/>
  <c r="J347" i="13" a="1"/>
  <c r="J347" i="13" s="1"/>
  <c r="N346" i="13" a="1"/>
  <c r="N346" i="13" s="1"/>
  <c r="F346" i="13" a="1"/>
  <c r="F346" i="13" s="1"/>
  <c r="I347" i="13" a="1"/>
  <c r="I347" i="13" s="1"/>
  <c r="M346" i="13" a="1"/>
  <c r="M346" i="13" s="1"/>
  <c r="E346" i="13" a="1"/>
  <c r="E346" i="13" s="1"/>
  <c r="H347" i="13" a="1"/>
  <c r="H347" i="13" s="1"/>
  <c r="L346" i="13" a="1"/>
  <c r="L346" i="13" s="1"/>
  <c r="D346" i="13" a="1"/>
  <c r="D346" i="13" s="1"/>
  <c r="O347" i="13" a="1"/>
  <c r="O347" i="13" s="1"/>
  <c r="G347" i="13" a="1"/>
  <c r="G347" i="13" s="1"/>
  <c r="K346" i="13" a="1"/>
  <c r="K346" i="13" s="1"/>
  <c r="N347" i="13" a="1"/>
  <c r="N347" i="13" s="1"/>
  <c r="F347" i="13" a="1"/>
  <c r="F347" i="13" s="1"/>
  <c r="J346" i="13" a="1"/>
  <c r="J346" i="13" s="1"/>
  <c r="K347" i="13" a="1"/>
  <c r="K347" i="13" s="1"/>
  <c r="O346" i="13" a="1"/>
  <c r="O346" i="13" s="1"/>
  <c r="G346" i="13" a="1"/>
  <c r="G346" i="13" s="1"/>
  <c r="L347" i="13" a="1"/>
  <c r="L347" i="13" s="1"/>
  <c r="E347" i="13" a="1"/>
  <c r="E347" i="13" s="1"/>
  <c r="D347" i="13" a="1"/>
  <c r="D347" i="13" s="1"/>
  <c r="I346" i="13" a="1"/>
  <c r="I346" i="13" s="1"/>
  <c r="H346" i="13" a="1"/>
  <c r="H346" i="13" s="1"/>
  <c r="M347" i="13" a="1"/>
  <c r="M347" i="13" s="1"/>
  <c r="E74" i="9" a="1"/>
  <c r="E74" i="9" s="1"/>
  <c r="G74" i="9" a="1"/>
  <c r="G74" i="9" s="1"/>
  <c r="K74" i="9" s="1"/>
  <c r="F74" i="9" a="1"/>
  <c r="F74" i="9" s="1"/>
  <c r="KB75" i="9"/>
  <c r="KB76" i="9" s="1"/>
  <c r="C74" i="9" a="1"/>
  <c r="C74" i="9" s="1"/>
  <c r="I73" i="9" a="1"/>
  <c r="I73" i="9" s="1"/>
  <c r="J73" i="9" s="1" a="1"/>
  <c r="J73" i="9" s="1"/>
  <c r="H73" i="9" s="1" a="1"/>
  <c r="H73" i="9" s="1"/>
  <c r="D72" i="9"/>
  <c r="GX11" i="9" a="1"/>
  <c r="GX11" i="9" s="1"/>
  <c r="HQ85" i="9"/>
  <c r="HA91" i="9"/>
  <c r="HF89" i="9"/>
  <c r="HS89" i="9"/>
  <c r="IA83" i="9"/>
  <c r="HQ6" i="9" a="1"/>
  <c r="HQ6" i="9" s="1"/>
  <c r="HM90" i="9"/>
  <c r="HI85" i="9"/>
  <c r="W79" i="24"/>
  <c r="C78" i="24" a="1"/>
  <c r="C78" i="24" s="1"/>
  <c r="U79" i="24"/>
  <c r="U80" i="24" s="1"/>
  <c r="B78" i="24" a="1"/>
  <c r="B78" i="24" s="1"/>
  <c r="GP11" i="9" a="1"/>
  <c r="GP11" i="9" s="1"/>
  <c r="GQ11" i="9" s="1"/>
  <c r="FS91" i="9"/>
  <c r="GI91" i="9"/>
  <c r="KC21" i="9"/>
  <c r="EZ91" i="9"/>
  <c r="KK24" i="9"/>
  <c r="AD182" i="13"/>
  <c r="AF314" i="13"/>
  <c r="AF345" i="13"/>
  <c r="AD215" i="13"/>
  <c r="AF285" i="13"/>
  <c r="AF284" i="13"/>
  <c r="AF281" i="13"/>
  <c r="AF283" i="13" s="1"/>
  <c r="AF289" i="13"/>
  <c r="AF290" i="13"/>
  <c r="AF287" i="13"/>
  <c r="AF286" i="13"/>
  <c r="AF288" i="13"/>
  <c r="AF282" i="13"/>
  <c r="AD345" i="13"/>
  <c r="AD314" i="13"/>
  <c r="AD281" i="13"/>
  <c r="Q379" i="13"/>
  <c r="AD248" i="13"/>
  <c r="E76" i="9" l="1" a="1"/>
  <c r="E76" i="9" s="1"/>
  <c r="C76" i="9" a="1"/>
  <c r="C76" i="9" s="1"/>
  <c r="B76" i="9" a="1"/>
  <c r="B76" i="9" s="1"/>
  <c r="KB77" i="9"/>
  <c r="F76" i="9" a="1"/>
  <c r="F76" i="9" s="1"/>
  <c r="AA76" i="9" a="1"/>
  <c r="AA76" i="9" s="1"/>
  <c r="AB76" i="9" s="1"/>
  <c r="G76" i="9" a="1"/>
  <c r="G76" i="9" s="1"/>
  <c r="K76" i="9" s="1"/>
  <c r="P76" i="9" a="1"/>
  <c r="P76" i="9" s="1"/>
  <c r="AT76" i="9" a="1"/>
  <c r="AT76" i="9" s="1"/>
  <c r="AU76" i="9" s="1"/>
  <c r="AI76" i="9" a="1"/>
  <c r="AI76" i="9" s="1"/>
  <c r="BM76" i="9" a="1"/>
  <c r="BM76" i="9" s="1"/>
  <c r="BN76" i="9" s="1"/>
  <c r="BB76" i="9" a="1"/>
  <c r="BB76" i="9" s="1"/>
  <c r="BU76" i="9" a="1"/>
  <c r="BU76" i="9" s="1"/>
  <c r="CF76" i="9" a="1"/>
  <c r="CF76" i="9" s="1"/>
  <c r="CG76" i="9" s="1"/>
  <c r="CN76" i="9" a="1"/>
  <c r="CN76" i="9" s="1"/>
  <c r="CY76" i="9" a="1"/>
  <c r="CY76" i="9" s="1"/>
  <c r="CZ76" i="9" s="1"/>
  <c r="DR76" i="9" a="1"/>
  <c r="DR76" i="9" s="1"/>
  <c r="DS76" i="9" s="1"/>
  <c r="DG76" i="9" a="1"/>
  <c r="DG76" i="9" s="1"/>
  <c r="DZ76" i="9" a="1"/>
  <c r="DZ76" i="9" s="1"/>
  <c r="EK76" i="9" a="1"/>
  <c r="EK76" i="9" s="1"/>
  <c r="EL76" i="9" s="1"/>
  <c r="EM76" i="9" s="1"/>
  <c r="EN76" i="9" s="1"/>
  <c r="FD76" i="9" a="1"/>
  <c r="FD76" i="9" s="1"/>
  <c r="FE76" i="9" s="1"/>
  <c r="ES76" i="9" a="1"/>
  <c r="ES76" i="9" s="1"/>
  <c r="FL76" i="9" a="1"/>
  <c r="FL76" i="9" s="1"/>
  <c r="FW76" i="9" a="1"/>
  <c r="FW76" i="9" s="1"/>
  <c r="FX76" i="9" s="1"/>
  <c r="GP76" i="9" a="1"/>
  <c r="GP76" i="9" s="1"/>
  <c r="GQ76" i="9" s="1"/>
  <c r="GE76" i="9" a="1"/>
  <c r="GE76" i="9" s="1"/>
  <c r="GX76" i="9" a="1"/>
  <c r="GX76" i="9" s="1"/>
  <c r="HI76" i="9" a="1"/>
  <c r="HI76" i="9" s="1"/>
  <c r="HJ76" i="9" s="1"/>
  <c r="HQ76" i="9" a="1"/>
  <c r="HQ76" i="9" s="1"/>
  <c r="J381" i="13" a="1"/>
  <c r="J381" i="13" s="1"/>
  <c r="N380" i="13" a="1"/>
  <c r="N380" i="13" s="1"/>
  <c r="F380" i="13" a="1"/>
  <c r="F380" i="13" s="1"/>
  <c r="I381" i="13" a="1"/>
  <c r="I381" i="13" s="1"/>
  <c r="M380" i="13" a="1"/>
  <c r="M380" i="13" s="1"/>
  <c r="E380" i="13" a="1"/>
  <c r="E380" i="13" s="1"/>
  <c r="H381" i="13" a="1"/>
  <c r="H381" i="13" s="1"/>
  <c r="L380" i="13" a="1"/>
  <c r="L380" i="13" s="1"/>
  <c r="D380" i="13" a="1"/>
  <c r="D380" i="13" s="1"/>
  <c r="O381" i="13" a="1"/>
  <c r="O381" i="13" s="1"/>
  <c r="G381" i="13" a="1"/>
  <c r="G381" i="13" s="1"/>
  <c r="K380" i="13" a="1"/>
  <c r="K380" i="13" s="1"/>
  <c r="N381" i="13" a="1"/>
  <c r="N381" i="13" s="1"/>
  <c r="F381" i="13" a="1"/>
  <c r="F381" i="13" s="1"/>
  <c r="J380" i="13" a="1"/>
  <c r="J380" i="13" s="1"/>
  <c r="K381" i="13" a="1"/>
  <c r="K381" i="13" s="1"/>
  <c r="O380" i="13" a="1"/>
  <c r="O380" i="13" s="1"/>
  <c r="G380" i="13" a="1"/>
  <c r="G380" i="13" s="1"/>
  <c r="M381" i="13" a="1"/>
  <c r="M381" i="13" s="1"/>
  <c r="L381" i="13" a="1"/>
  <c r="L381" i="13" s="1"/>
  <c r="H380" i="13" a="1"/>
  <c r="H380" i="13" s="1"/>
  <c r="E381" i="13" a="1"/>
  <c r="E381" i="13" s="1"/>
  <c r="I380" i="13" a="1"/>
  <c r="I380" i="13" s="1"/>
  <c r="D381" i="13" a="1"/>
  <c r="D381" i="13" s="1"/>
  <c r="E75" i="9" a="1"/>
  <c r="E75" i="9" s="1"/>
  <c r="G75" i="9" a="1"/>
  <c r="G75" i="9" s="1"/>
  <c r="K75" i="9" s="1"/>
  <c r="C75" i="9" a="1"/>
  <c r="C75" i="9" s="1"/>
  <c r="F75" i="9" a="1"/>
  <c r="F75" i="9" s="1"/>
  <c r="I75" i="9" s="1" a="1"/>
  <c r="I75" i="9" s="1"/>
  <c r="J75" i="9" s="1" a="1"/>
  <c r="J75" i="9" s="1"/>
  <c r="HB91" i="9"/>
  <c r="HE91" i="9" s="1"/>
  <c r="D73" i="9"/>
  <c r="HQ11" i="9" a="1"/>
  <c r="HQ11" i="9" s="1"/>
  <c r="HI11" i="9" a="1"/>
  <c r="HI11" i="9" s="1"/>
  <c r="HJ11" i="9" s="1"/>
  <c r="I74" i="9" a="1"/>
  <c r="I74" i="9" s="1"/>
  <c r="J74" i="9" s="1" a="1"/>
  <c r="J74" i="9" s="1"/>
  <c r="H74" i="9" s="1" a="1"/>
  <c r="H74" i="9" s="1"/>
  <c r="IF90" i="9"/>
  <c r="IB85" i="9"/>
  <c r="IB76" i="9" s="1" a="1"/>
  <c r="IB76" i="9" s="1"/>
  <c r="IC76" i="9" s="1"/>
  <c r="ID76" i="9" s="1"/>
  <c r="IE76" i="9" s="1"/>
  <c r="HY89" i="9"/>
  <c r="HT91" i="9"/>
  <c r="U81" i="24"/>
  <c r="B80" i="24" a="1"/>
  <c r="B80" i="24" s="1"/>
  <c r="C79" i="24" a="1"/>
  <c r="C79" i="24" s="1"/>
  <c r="W80" i="24"/>
  <c r="B79" i="24" a="1"/>
  <c r="B79" i="24" s="1"/>
  <c r="GL91" i="9"/>
  <c r="KC22" i="9"/>
  <c r="KK25" i="9"/>
  <c r="AD282" i="13"/>
  <c r="AD249" i="13"/>
  <c r="AF379" i="13"/>
  <c r="AF348" i="13"/>
  <c r="AD216" i="13"/>
  <c r="AD315" i="13"/>
  <c r="AF322" i="13"/>
  <c r="AF321" i="13"/>
  <c r="AF320" i="13"/>
  <c r="AF324" i="13"/>
  <c r="AF323" i="13"/>
  <c r="AF315" i="13"/>
  <c r="AF317" i="13" s="1"/>
  <c r="AF319" i="13"/>
  <c r="AF318" i="13"/>
  <c r="AF316" i="13"/>
  <c r="AD379" i="13"/>
  <c r="AD348" i="13"/>
  <c r="Q413" i="13"/>
  <c r="AD183" i="13"/>
  <c r="AC76" i="9" l="1"/>
  <c r="AD76" i="9" s="1"/>
  <c r="DT76" i="9"/>
  <c r="DU76" i="9" s="1"/>
  <c r="HK76" i="9"/>
  <c r="HL76" i="9" s="1"/>
  <c r="DA76" i="9"/>
  <c r="DB76" i="9" s="1"/>
  <c r="C77" i="9" a="1"/>
  <c r="C77" i="9" s="1"/>
  <c r="G77" i="9" a="1"/>
  <c r="G77" i="9" s="1"/>
  <c r="K77" i="9" s="1"/>
  <c r="B77" i="9" a="1"/>
  <c r="B77" i="9" s="1"/>
  <c r="F77" i="9" a="1"/>
  <c r="F77" i="9" s="1"/>
  <c r="I77" i="9" s="1" a="1"/>
  <c r="I77" i="9" s="1"/>
  <c r="J77" i="9" s="1" a="1"/>
  <c r="J77" i="9" s="1"/>
  <c r="E77" i="9" a="1"/>
  <c r="E77" i="9" s="1"/>
  <c r="P77" i="9" a="1"/>
  <c r="P77" i="9" s="1"/>
  <c r="AA77" i="9" a="1"/>
  <c r="AA77" i="9" s="1"/>
  <c r="AB77" i="9" s="1"/>
  <c r="AT77" i="9" a="1"/>
  <c r="AT77" i="9" s="1"/>
  <c r="AU77" i="9" s="1"/>
  <c r="AI77" i="9" a="1"/>
  <c r="AI77" i="9" s="1"/>
  <c r="BM77" i="9" a="1"/>
  <c r="BM77" i="9" s="1"/>
  <c r="BN77" i="9" s="1"/>
  <c r="BB77" i="9" a="1"/>
  <c r="BB77" i="9" s="1"/>
  <c r="BU77" i="9" a="1"/>
  <c r="BU77" i="9" s="1"/>
  <c r="CF77" i="9" a="1"/>
  <c r="CF77" i="9" s="1"/>
  <c r="CG77" i="9" s="1"/>
  <c r="CH77" i="9" s="1"/>
  <c r="CI77" i="9" s="1"/>
  <c r="CY77" i="9" a="1"/>
  <c r="CY77" i="9" s="1"/>
  <c r="CZ77" i="9" s="1"/>
  <c r="DA77" i="9" s="1"/>
  <c r="DB77" i="9" s="1"/>
  <c r="CN77" i="9" a="1"/>
  <c r="CN77" i="9" s="1"/>
  <c r="DG77" i="9" a="1"/>
  <c r="DG77" i="9" s="1"/>
  <c r="DR77" i="9" a="1"/>
  <c r="DR77" i="9" s="1"/>
  <c r="DS77" i="9" s="1"/>
  <c r="DZ77" i="9" a="1"/>
  <c r="DZ77" i="9" s="1"/>
  <c r="EK77" i="9" a="1"/>
  <c r="EK77" i="9" s="1"/>
  <c r="EL77" i="9" s="1"/>
  <c r="ES77" i="9" a="1"/>
  <c r="ES77" i="9" s="1"/>
  <c r="FD77" i="9" a="1"/>
  <c r="FD77" i="9" s="1"/>
  <c r="FE77" i="9" s="1"/>
  <c r="FL77" i="9" a="1"/>
  <c r="FL77" i="9" s="1"/>
  <c r="FW77" i="9" a="1"/>
  <c r="FW77" i="9" s="1"/>
  <c r="FX77" i="9" s="1"/>
  <c r="FY77" i="9" s="1"/>
  <c r="FZ77" i="9" s="1"/>
  <c r="GE77" i="9" a="1"/>
  <c r="GE77" i="9" s="1"/>
  <c r="GP77" i="9" a="1"/>
  <c r="GP77" i="9" s="1"/>
  <c r="GQ77" i="9" s="1"/>
  <c r="GR77" i="9" s="1"/>
  <c r="GS77" i="9" s="1"/>
  <c r="GX77" i="9" a="1"/>
  <c r="GX77" i="9" s="1"/>
  <c r="HI77" i="9" a="1"/>
  <c r="HI77" i="9" s="1"/>
  <c r="HJ77" i="9" s="1"/>
  <c r="HK77" i="9" s="1"/>
  <c r="HL77" i="9" s="1"/>
  <c r="IB77" i="9" a="1"/>
  <c r="IB77" i="9" s="1"/>
  <c r="IC77" i="9" s="1"/>
  <c r="ID77" i="9" s="1"/>
  <c r="IE77" i="9" s="1"/>
  <c r="HQ77" i="9" a="1"/>
  <c r="HQ77" i="9" s="1"/>
  <c r="I76" i="9" a="1"/>
  <c r="I76" i="9" s="1"/>
  <c r="J76" i="9" s="1" a="1"/>
  <c r="J76" i="9" s="1"/>
  <c r="H76" i="9" s="1" a="1"/>
  <c r="H76" i="9" s="1"/>
  <c r="D76" i="9" s="1"/>
  <c r="CH76" i="9"/>
  <c r="CI76" i="9" s="1"/>
  <c r="GR76" i="9"/>
  <c r="GS76" i="9" s="1"/>
  <c r="FY76" i="9"/>
  <c r="FZ76" i="9" s="1"/>
  <c r="BO76" i="9"/>
  <c r="BP76" i="9" s="1"/>
  <c r="FF76" i="9"/>
  <c r="FG76" i="9" s="1"/>
  <c r="AV76" i="9"/>
  <c r="AW76" i="9" s="1"/>
  <c r="J415" i="13" a="1"/>
  <c r="J415" i="13" s="1"/>
  <c r="N414" i="13" a="1"/>
  <c r="N414" i="13" s="1"/>
  <c r="F414" i="13" a="1"/>
  <c r="F414" i="13" s="1"/>
  <c r="I415" i="13" a="1"/>
  <c r="I415" i="13" s="1"/>
  <c r="M414" i="13" a="1"/>
  <c r="M414" i="13" s="1"/>
  <c r="E414" i="13" a="1"/>
  <c r="E414" i="13" s="1"/>
  <c r="H415" i="13" a="1"/>
  <c r="H415" i="13" s="1"/>
  <c r="L414" i="13" a="1"/>
  <c r="L414" i="13" s="1"/>
  <c r="D414" i="13" a="1"/>
  <c r="D414" i="13" s="1"/>
  <c r="O415" i="13" a="1"/>
  <c r="O415" i="13" s="1"/>
  <c r="G415" i="13" a="1"/>
  <c r="G415" i="13" s="1"/>
  <c r="K414" i="13" a="1"/>
  <c r="K414" i="13" s="1"/>
  <c r="N415" i="13" a="1"/>
  <c r="N415" i="13" s="1"/>
  <c r="F415" i="13" a="1"/>
  <c r="F415" i="13" s="1"/>
  <c r="J414" i="13" a="1"/>
  <c r="J414" i="13" s="1"/>
  <c r="K415" i="13" a="1"/>
  <c r="K415" i="13" s="1"/>
  <c r="O414" i="13" a="1"/>
  <c r="O414" i="13" s="1"/>
  <c r="G414" i="13" a="1"/>
  <c r="G414" i="13" s="1"/>
  <c r="H414" i="13" a="1"/>
  <c r="H414" i="13" s="1"/>
  <c r="E415" i="13" a="1"/>
  <c r="E415" i="13" s="1"/>
  <c r="M415" i="13" a="1"/>
  <c r="M415" i="13" s="1"/>
  <c r="I414" i="13" a="1"/>
  <c r="I414" i="13" s="1"/>
  <c r="L415" i="13" a="1"/>
  <c r="L415" i="13" s="1"/>
  <c r="D415" i="13" a="1"/>
  <c r="D415" i="13" s="1"/>
  <c r="H75" i="9" a="1"/>
  <c r="H75" i="9" s="1"/>
  <c r="D75" i="9" s="1"/>
  <c r="D74" i="9"/>
  <c r="HU91" i="9"/>
  <c r="IB11" i="9" a="1"/>
  <c r="IB11" i="9" s="1"/>
  <c r="IC11" i="9" s="1"/>
  <c r="C80" i="24" a="1"/>
  <c r="C80" i="24" s="1"/>
  <c r="W81" i="24"/>
  <c r="U82" i="24"/>
  <c r="B81" i="24" a="1"/>
  <c r="B81" i="24" s="1"/>
  <c r="KC23" i="9"/>
  <c r="KK26" i="9"/>
  <c r="AD316" i="13"/>
  <c r="AD250" i="13"/>
  <c r="AD184" i="13"/>
  <c r="AD283" i="13"/>
  <c r="AD349" i="13"/>
  <c r="AD217" i="13"/>
  <c r="Q447" i="13"/>
  <c r="AD382" i="13"/>
  <c r="AD413" i="13"/>
  <c r="AF355" i="13"/>
  <c r="AF354" i="13"/>
  <c r="AF350" i="13"/>
  <c r="AF356" i="13"/>
  <c r="AF358" i="13"/>
  <c r="AF353" i="13"/>
  <c r="AF352" i="13"/>
  <c r="AF349" i="13"/>
  <c r="AF351" i="13" s="1"/>
  <c r="AF357" i="13"/>
  <c r="AF413" i="13"/>
  <c r="AF382" i="13"/>
  <c r="BO77" i="9" l="1"/>
  <c r="BP77" i="9" s="1"/>
  <c r="FF77" i="9"/>
  <c r="FG77" i="9" s="1"/>
  <c r="AV77" i="9"/>
  <c r="AW77" i="9" s="1"/>
  <c r="EM77" i="9"/>
  <c r="EN77" i="9" s="1"/>
  <c r="AC77" i="9"/>
  <c r="AD77" i="9" s="1"/>
  <c r="DT77" i="9"/>
  <c r="DU77" i="9" s="1"/>
  <c r="H77" i="9" a="1"/>
  <c r="H77" i="9" s="1"/>
  <c r="D77" i="9" s="1"/>
  <c r="J449" i="13" a="1"/>
  <c r="J449" i="13" s="1"/>
  <c r="N448" i="13" a="1"/>
  <c r="N448" i="13" s="1"/>
  <c r="F448" i="13" a="1"/>
  <c r="F448" i="13" s="1"/>
  <c r="I449" i="13" a="1"/>
  <c r="I449" i="13" s="1"/>
  <c r="M448" i="13" a="1"/>
  <c r="M448" i="13" s="1"/>
  <c r="E448" i="13" a="1"/>
  <c r="E448" i="13" s="1"/>
  <c r="H449" i="13" a="1"/>
  <c r="H449" i="13" s="1"/>
  <c r="L448" i="13" a="1"/>
  <c r="L448" i="13" s="1"/>
  <c r="D448" i="13" a="1"/>
  <c r="D448" i="13" s="1"/>
  <c r="O449" i="13" a="1"/>
  <c r="O449" i="13" s="1"/>
  <c r="G449" i="13" a="1"/>
  <c r="G449" i="13" s="1"/>
  <c r="K448" i="13" a="1"/>
  <c r="K448" i="13" s="1"/>
  <c r="N449" i="13" a="1"/>
  <c r="N449" i="13" s="1"/>
  <c r="F449" i="13" a="1"/>
  <c r="F449" i="13" s="1"/>
  <c r="J448" i="13" a="1"/>
  <c r="J448" i="13" s="1"/>
  <c r="K449" i="13" a="1"/>
  <c r="K449" i="13" s="1"/>
  <c r="O448" i="13" a="1"/>
  <c r="O448" i="13" s="1"/>
  <c r="G448" i="13" a="1"/>
  <c r="G448" i="13" s="1"/>
  <c r="D449" i="13" a="1"/>
  <c r="D449" i="13" s="1"/>
  <c r="I448" i="13" a="1"/>
  <c r="I448" i="13" s="1"/>
  <c r="L449" i="13" a="1"/>
  <c r="L449" i="13" s="1"/>
  <c r="E449" i="13" a="1"/>
  <c r="E449" i="13" s="1"/>
  <c r="H448" i="13" a="1"/>
  <c r="H448" i="13" s="1"/>
  <c r="M449" i="13" a="1"/>
  <c r="M449" i="13" s="1"/>
  <c r="HX91" i="9"/>
  <c r="B82" i="24" a="1"/>
  <c r="B82" i="24" s="1"/>
  <c r="U83" i="24"/>
  <c r="W82" i="24"/>
  <c r="C81" i="24" a="1"/>
  <c r="C81" i="24" s="1"/>
  <c r="KC24" i="9"/>
  <c r="KK27" i="9"/>
  <c r="AD284" i="13"/>
  <c r="AD383" i="13"/>
  <c r="AD251" i="13"/>
  <c r="AD416" i="13"/>
  <c r="AD447" i="13"/>
  <c r="AD317" i="13"/>
  <c r="AD350" i="13"/>
  <c r="AF387" i="13"/>
  <c r="AF391" i="13"/>
  <c r="AF386" i="13"/>
  <c r="AF392" i="13"/>
  <c r="AF389" i="13"/>
  <c r="AF384" i="13"/>
  <c r="AF383" i="13"/>
  <c r="AF385" i="13" s="1"/>
  <c r="AF390" i="13"/>
  <c r="AF388" i="13"/>
  <c r="AF416" i="13"/>
  <c r="AF447" i="13"/>
  <c r="Q481" i="13"/>
  <c r="AD218" i="13"/>
  <c r="AD185" i="13"/>
  <c r="J483" i="13" l="1" a="1"/>
  <c r="J483" i="13" s="1"/>
  <c r="N482" i="13" a="1"/>
  <c r="N482" i="13" s="1"/>
  <c r="F482" i="13" a="1"/>
  <c r="F482" i="13" s="1"/>
  <c r="I483" i="13" a="1"/>
  <c r="I483" i="13" s="1"/>
  <c r="M482" i="13" a="1"/>
  <c r="M482" i="13" s="1"/>
  <c r="E482" i="13" a="1"/>
  <c r="E482" i="13" s="1"/>
  <c r="H483" i="13" a="1"/>
  <c r="H483" i="13" s="1"/>
  <c r="L482" i="13" a="1"/>
  <c r="L482" i="13" s="1"/>
  <c r="D482" i="13" a="1"/>
  <c r="D482" i="13" s="1"/>
  <c r="O483" i="13" a="1"/>
  <c r="O483" i="13" s="1"/>
  <c r="G483" i="13" a="1"/>
  <c r="G483" i="13" s="1"/>
  <c r="K482" i="13" a="1"/>
  <c r="K482" i="13" s="1"/>
  <c r="N483" i="13" a="1"/>
  <c r="N483" i="13" s="1"/>
  <c r="F483" i="13" a="1"/>
  <c r="F483" i="13" s="1"/>
  <c r="J482" i="13" a="1"/>
  <c r="J482" i="13" s="1"/>
  <c r="K483" i="13" a="1"/>
  <c r="K483" i="13" s="1"/>
  <c r="O482" i="13" a="1"/>
  <c r="O482" i="13" s="1"/>
  <c r="G482" i="13" a="1"/>
  <c r="G482" i="13" s="1"/>
  <c r="L483" i="13" a="1"/>
  <c r="L483" i="13" s="1"/>
  <c r="E483" i="13" a="1"/>
  <c r="E483" i="13" s="1"/>
  <c r="D483" i="13" a="1"/>
  <c r="D483" i="13" s="1"/>
  <c r="I482" i="13" a="1"/>
  <c r="I482" i="13" s="1"/>
  <c r="H482" i="13" a="1"/>
  <c r="H482" i="13" s="1"/>
  <c r="M483" i="13" a="1"/>
  <c r="M483" i="13" s="1"/>
  <c r="C82" i="24" a="1"/>
  <c r="C82" i="24" s="1"/>
  <c r="W83" i="24"/>
  <c r="U84" i="24"/>
  <c r="B83" i="24" a="1"/>
  <c r="B83" i="24" s="1"/>
  <c r="KC25" i="9"/>
  <c r="KK28" i="9"/>
  <c r="AF481" i="13"/>
  <c r="AF450" i="13"/>
  <c r="AF417" i="13"/>
  <c r="AF419" i="13" s="1"/>
  <c r="AF423" i="13"/>
  <c r="AF426" i="13"/>
  <c r="AF420" i="13"/>
  <c r="AF425" i="13"/>
  <c r="AF424" i="13"/>
  <c r="AF422" i="13"/>
  <c r="AF421" i="13"/>
  <c r="AF418" i="13"/>
  <c r="AD318" i="13"/>
  <c r="Q515" i="13"/>
  <c r="AD481" i="13"/>
  <c r="AD450" i="13"/>
  <c r="AD417" i="13"/>
  <c r="AD252" i="13"/>
  <c r="AD285" i="13"/>
  <c r="AD219" i="13"/>
  <c r="AD351" i="13"/>
  <c r="AD384" i="13"/>
  <c r="J517" i="13" l="1" a="1"/>
  <c r="J517" i="13" s="1"/>
  <c r="N516" i="13" a="1"/>
  <c r="N516" i="13" s="1"/>
  <c r="F516" i="13" a="1"/>
  <c r="F516" i="13" s="1"/>
  <c r="I517" i="13" a="1"/>
  <c r="I517" i="13" s="1"/>
  <c r="M516" i="13" a="1"/>
  <c r="M516" i="13" s="1"/>
  <c r="E516" i="13" a="1"/>
  <c r="E516" i="13" s="1"/>
  <c r="H517" i="13" a="1"/>
  <c r="H517" i="13" s="1"/>
  <c r="L516" i="13" a="1"/>
  <c r="L516" i="13" s="1"/>
  <c r="D516" i="13" a="1"/>
  <c r="D516" i="13" s="1"/>
  <c r="O517" i="13" a="1"/>
  <c r="O517" i="13" s="1"/>
  <c r="G517" i="13" a="1"/>
  <c r="G517" i="13" s="1"/>
  <c r="K516" i="13" a="1"/>
  <c r="K516" i="13" s="1"/>
  <c r="N517" i="13" a="1"/>
  <c r="N517" i="13" s="1"/>
  <c r="F517" i="13" a="1"/>
  <c r="F517" i="13" s="1"/>
  <c r="J516" i="13" a="1"/>
  <c r="J516" i="13" s="1"/>
  <c r="K517" i="13" a="1"/>
  <c r="K517" i="13" s="1"/>
  <c r="O516" i="13" a="1"/>
  <c r="O516" i="13" s="1"/>
  <c r="G516" i="13" a="1"/>
  <c r="G516" i="13" s="1"/>
  <c r="M517" i="13" a="1"/>
  <c r="M517" i="13" s="1"/>
  <c r="L517" i="13" a="1"/>
  <c r="L517" i="13" s="1"/>
  <c r="E517" i="13" a="1"/>
  <c r="E517" i="13" s="1"/>
  <c r="I516" i="13" a="1"/>
  <c r="I516" i="13" s="1"/>
  <c r="D517" i="13" a="1"/>
  <c r="D517" i="13" s="1"/>
  <c r="H516" i="13" a="1"/>
  <c r="H516" i="13" s="1"/>
  <c r="B84" i="24" a="1"/>
  <c r="B84" i="24" s="1"/>
  <c r="U85" i="24"/>
  <c r="W84" i="24"/>
  <c r="C83" i="24" a="1"/>
  <c r="C83" i="24" s="1"/>
  <c r="KC26" i="9"/>
  <c r="KK29" i="9"/>
  <c r="AD286" i="13"/>
  <c r="AF515" i="13"/>
  <c r="AF484" i="13"/>
  <c r="AD385" i="13"/>
  <c r="AD451" i="13"/>
  <c r="AD515" i="13"/>
  <c r="AD484" i="13"/>
  <c r="Q549" i="13"/>
  <c r="AD319" i="13"/>
  <c r="AD253" i="13"/>
  <c r="AD418" i="13"/>
  <c r="AD352" i="13"/>
  <c r="AF460" i="13"/>
  <c r="AF459" i="13"/>
  <c r="AF457" i="13"/>
  <c r="AF456" i="13"/>
  <c r="AF452" i="13"/>
  <c r="AF455" i="13"/>
  <c r="AF451" i="13"/>
  <c r="AF453" i="13" s="1"/>
  <c r="AF454" i="13"/>
  <c r="AF458" i="13"/>
  <c r="J551" i="13" l="1" a="1"/>
  <c r="J551" i="13" s="1"/>
  <c r="N550" i="13" a="1"/>
  <c r="N550" i="13" s="1"/>
  <c r="F550" i="13" a="1"/>
  <c r="F550" i="13" s="1"/>
  <c r="I551" i="13" a="1"/>
  <c r="I551" i="13" s="1"/>
  <c r="M550" i="13" a="1"/>
  <c r="M550" i="13" s="1"/>
  <c r="E550" i="13" a="1"/>
  <c r="E550" i="13" s="1"/>
  <c r="H551" i="13" a="1"/>
  <c r="H551" i="13" s="1"/>
  <c r="L550" i="13" a="1"/>
  <c r="L550" i="13" s="1"/>
  <c r="D550" i="13" a="1"/>
  <c r="D550" i="13" s="1"/>
  <c r="O551" i="13" a="1"/>
  <c r="O551" i="13" s="1"/>
  <c r="G551" i="13" a="1"/>
  <c r="G551" i="13" s="1"/>
  <c r="K550" i="13" a="1"/>
  <c r="K550" i="13" s="1"/>
  <c r="N551" i="13" a="1"/>
  <c r="N551" i="13" s="1"/>
  <c r="F551" i="13" a="1"/>
  <c r="F551" i="13" s="1"/>
  <c r="J550" i="13" a="1"/>
  <c r="J550" i="13" s="1"/>
  <c r="K551" i="13" a="1"/>
  <c r="K551" i="13" s="1"/>
  <c r="O550" i="13" a="1"/>
  <c r="O550" i="13" s="1"/>
  <c r="G550" i="13" a="1"/>
  <c r="G550" i="13" s="1"/>
  <c r="H550" i="13" a="1"/>
  <c r="H550" i="13" s="1"/>
  <c r="D551" i="13" a="1"/>
  <c r="D551" i="13" s="1"/>
  <c r="E551" i="13" a="1"/>
  <c r="E551" i="13" s="1"/>
  <c r="I550" i="13" a="1"/>
  <c r="I550" i="13" s="1"/>
  <c r="M551" i="13" a="1"/>
  <c r="M551" i="13" s="1"/>
  <c r="L551" i="13" a="1"/>
  <c r="L551" i="13" s="1"/>
  <c r="C84" i="24" a="1"/>
  <c r="C84" i="24" s="1"/>
  <c r="W85" i="24"/>
  <c r="B85" i="24" a="1"/>
  <c r="B85" i="24" s="1"/>
  <c r="U86" i="24"/>
  <c r="KC27" i="9"/>
  <c r="KK30" i="9"/>
  <c r="AF491" i="13"/>
  <c r="AF490" i="13"/>
  <c r="AF494" i="13"/>
  <c r="AF488" i="13"/>
  <c r="AF493" i="13"/>
  <c r="AF489" i="13"/>
  <c r="AF486" i="13"/>
  <c r="AF485" i="13"/>
  <c r="AF487" i="13" s="1"/>
  <c r="AF492" i="13"/>
  <c r="AD485" i="13"/>
  <c r="AF549" i="13"/>
  <c r="AF518" i="13"/>
  <c r="AD419" i="13"/>
  <c r="AD518" i="13"/>
  <c r="AD549" i="13"/>
  <c r="AD287" i="13"/>
  <c r="AD353" i="13"/>
  <c r="AD320" i="13"/>
  <c r="AD386" i="13"/>
  <c r="AD452" i="13"/>
  <c r="Q583" i="13"/>
  <c r="J585" i="13" l="1" a="1"/>
  <c r="J585" i="13" s="1"/>
  <c r="N584" i="13" a="1"/>
  <c r="N584" i="13" s="1"/>
  <c r="F584" i="13" a="1"/>
  <c r="F584" i="13" s="1"/>
  <c r="I585" i="13" a="1"/>
  <c r="I585" i="13" s="1"/>
  <c r="M584" i="13" a="1"/>
  <c r="M584" i="13" s="1"/>
  <c r="E584" i="13" a="1"/>
  <c r="E584" i="13" s="1"/>
  <c r="H585" i="13" a="1"/>
  <c r="H585" i="13" s="1"/>
  <c r="L584" i="13" a="1"/>
  <c r="L584" i="13" s="1"/>
  <c r="D584" i="13" a="1"/>
  <c r="D584" i="13" s="1"/>
  <c r="O585" i="13" a="1"/>
  <c r="O585" i="13" s="1"/>
  <c r="G585" i="13" a="1"/>
  <c r="G585" i="13" s="1"/>
  <c r="K584" i="13" a="1"/>
  <c r="K584" i="13" s="1"/>
  <c r="N585" i="13" a="1"/>
  <c r="N585" i="13" s="1"/>
  <c r="F585" i="13" a="1"/>
  <c r="F585" i="13" s="1"/>
  <c r="J584" i="13" a="1"/>
  <c r="J584" i="13" s="1"/>
  <c r="K585" i="13" a="1"/>
  <c r="K585" i="13" s="1"/>
  <c r="O584" i="13" a="1"/>
  <c r="O584" i="13" s="1"/>
  <c r="G584" i="13" a="1"/>
  <c r="G584" i="13" s="1"/>
  <c r="D585" i="13" a="1"/>
  <c r="D585" i="13" s="1"/>
  <c r="I584" i="13" a="1"/>
  <c r="I584" i="13" s="1"/>
  <c r="E585" i="13" a="1"/>
  <c r="E585" i="13" s="1"/>
  <c r="H584" i="13" a="1"/>
  <c r="H584" i="13" s="1"/>
  <c r="L585" i="13" a="1"/>
  <c r="L585" i="13" s="1"/>
  <c r="M585" i="13" a="1"/>
  <c r="M585" i="13" s="1"/>
  <c r="B86" i="24" a="1"/>
  <c r="B86" i="24" s="1"/>
  <c r="U87" i="24"/>
  <c r="U88" i="24" s="1"/>
  <c r="U89" i="24" s="1"/>
  <c r="W86" i="24"/>
  <c r="C85" i="24" a="1"/>
  <c r="C85" i="24" s="1"/>
  <c r="KC28" i="9"/>
  <c r="KK31" i="9"/>
  <c r="AD453" i="13"/>
  <c r="AD354" i="13"/>
  <c r="AD552" i="13"/>
  <c r="AD583" i="13"/>
  <c r="AD387" i="13"/>
  <c r="Q617" i="13"/>
  <c r="AD321" i="13"/>
  <c r="AD420" i="13"/>
  <c r="AF524" i="13"/>
  <c r="AF526" i="13"/>
  <c r="AF520" i="13"/>
  <c r="AF525" i="13"/>
  <c r="AF528" i="13"/>
  <c r="AF522" i="13"/>
  <c r="AF519" i="13"/>
  <c r="AF521" i="13" s="1"/>
  <c r="AF527" i="13"/>
  <c r="AF523" i="13"/>
  <c r="AD519" i="13"/>
  <c r="AF552" i="13"/>
  <c r="AF583" i="13"/>
  <c r="AD486" i="13"/>
  <c r="U90" i="24" l="1"/>
  <c r="B89" i="24" a="1"/>
  <c r="B89" i="24" s="1"/>
  <c r="D89" i="24" a="1"/>
  <c r="D89" i="24" s="1"/>
  <c r="D88" i="24" a="1"/>
  <c r="D88" i="24" s="1"/>
  <c r="B88" i="24" a="1"/>
  <c r="B88" i="24" s="1"/>
  <c r="W88" i="24"/>
  <c r="J619" i="13" a="1"/>
  <c r="J619" i="13" s="1"/>
  <c r="N618" i="13" a="1"/>
  <c r="N618" i="13" s="1"/>
  <c r="F618" i="13" a="1"/>
  <c r="F618" i="13" s="1"/>
  <c r="I619" i="13" a="1"/>
  <c r="I619" i="13" s="1"/>
  <c r="M618" i="13" a="1"/>
  <c r="M618" i="13" s="1"/>
  <c r="E618" i="13" a="1"/>
  <c r="E618" i="13" s="1"/>
  <c r="H619" i="13" a="1"/>
  <c r="H619" i="13" s="1"/>
  <c r="L618" i="13" a="1"/>
  <c r="L618" i="13" s="1"/>
  <c r="D618" i="13" a="1"/>
  <c r="D618" i="13" s="1"/>
  <c r="O619" i="13" a="1"/>
  <c r="O619" i="13" s="1"/>
  <c r="G619" i="13" a="1"/>
  <c r="G619" i="13" s="1"/>
  <c r="K618" i="13" a="1"/>
  <c r="K618" i="13" s="1"/>
  <c r="N619" i="13" a="1"/>
  <c r="N619" i="13" s="1"/>
  <c r="F619" i="13" a="1"/>
  <c r="F619" i="13" s="1"/>
  <c r="J618" i="13" a="1"/>
  <c r="J618" i="13" s="1"/>
  <c r="K619" i="13" a="1"/>
  <c r="K619" i="13" s="1"/>
  <c r="O618" i="13" a="1"/>
  <c r="O618" i="13" s="1"/>
  <c r="G618" i="13" a="1"/>
  <c r="G618" i="13" s="1"/>
  <c r="L619" i="13" a="1"/>
  <c r="L619" i="13" s="1"/>
  <c r="E619" i="13" a="1"/>
  <c r="E619" i="13" s="1"/>
  <c r="D619" i="13" a="1"/>
  <c r="D619" i="13" s="1"/>
  <c r="I618" i="13" a="1"/>
  <c r="I618" i="13" s="1"/>
  <c r="M619" i="13" a="1"/>
  <c r="M619" i="13" s="1"/>
  <c r="H618" i="13" a="1"/>
  <c r="H618" i="13" s="1"/>
  <c r="C86" i="24" a="1"/>
  <c r="C86" i="24" s="1"/>
  <c r="W87" i="24"/>
  <c r="W89" i="24" s="1"/>
  <c r="C89" i="24" s="1" a="1"/>
  <c r="C89" i="24" s="1"/>
  <c r="B87" i="24" a="1"/>
  <c r="B87" i="24" s="1"/>
  <c r="B90" i="24" a="1"/>
  <c r="B90" i="24" s="1"/>
  <c r="KC29" i="9"/>
  <c r="KK32" i="9"/>
  <c r="AD520" i="13"/>
  <c r="AD586" i="13"/>
  <c r="AD617" i="13"/>
  <c r="AD553" i="13"/>
  <c r="AD487" i="13"/>
  <c r="AD421" i="13"/>
  <c r="AD388" i="13"/>
  <c r="AD355" i="13"/>
  <c r="AF586" i="13"/>
  <c r="AF617" i="13"/>
  <c r="Q651" i="13"/>
  <c r="AD454" i="13"/>
  <c r="AF554" i="13"/>
  <c r="AF562" i="13"/>
  <c r="AF556" i="13"/>
  <c r="AF561" i="13"/>
  <c r="AF558" i="13"/>
  <c r="AF560" i="13"/>
  <c r="AF553" i="13"/>
  <c r="AF555" i="13" s="1"/>
  <c r="AF557" i="13"/>
  <c r="AF559" i="13"/>
  <c r="C88" i="24" l="1" a="1"/>
  <c r="C88" i="24" s="1"/>
  <c r="J653" i="13" a="1"/>
  <c r="J653" i="13" s="1"/>
  <c r="N652" i="13" a="1"/>
  <c r="N652" i="13" s="1"/>
  <c r="F652" i="13" a="1"/>
  <c r="F652" i="13" s="1"/>
  <c r="I653" i="13" a="1"/>
  <c r="I653" i="13" s="1"/>
  <c r="M652" i="13" a="1"/>
  <c r="M652" i="13" s="1"/>
  <c r="E652" i="13" a="1"/>
  <c r="E652" i="13" s="1"/>
  <c r="H653" i="13" a="1"/>
  <c r="H653" i="13" s="1"/>
  <c r="L652" i="13" a="1"/>
  <c r="L652" i="13" s="1"/>
  <c r="D652" i="13" a="1"/>
  <c r="D652" i="13" s="1"/>
  <c r="O653" i="13" a="1"/>
  <c r="O653" i="13" s="1"/>
  <c r="G653" i="13" a="1"/>
  <c r="G653" i="13" s="1"/>
  <c r="K652" i="13" a="1"/>
  <c r="K652" i="13" s="1"/>
  <c r="N653" i="13" a="1"/>
  <c r="N653" i="13" s="1"/>
  <c r="F653" i="13" a="1"/>
  <c r="F653" i="13" s="1"/>
  <c r="J652" i="13" a="1"/>
  <c r="J652" i="13" s="1"/>
  <c r="K653" i="13" a="1"/>
  <c r="K653" i="13" s="1"/>
  <c r="O652" i="13" a="1"/>
  <c r="O652" i="13" s="1"/>
  <c r="G652" i="13" a="1"/>
  <c r="G652" i="13" s="1"/>
  <c r="M653" i="13" a="1"/>
  <c r="M653" i="13" s="1"/>
  <c r="L653" i="13" a="1"/>
  <c r="L653" i="13" s="1"/>
  <c r="H652" i="13" a="1"/>
  <c r="H652" i="13" s="1"/>
  <c r="E653" i="13" a="1"/>
  <c r="E653" i="13" s="1"/>
  <c r="I652" i="13" a="1"/>
  <c r="I652" i="13" s="1"/>
  <c r="D653" i="13" a="1"/>
  <c r="D653" i="13" s="1"/>
  <c r="W90" i="24"/>
  <c r="C87" i="24" a="1"/>
  <c r="C87" i="24" s="1"/>
  <c r="KC30" i="9"/>
  <c r="KK33" i="9"/>
  <c r="AD554" i="13"/>
  <c r="AD422" i="13"/>
  <c r="AD521" i="13"/>
  <c r="AD488" i="13"/>
  <c r="Q685" i="13"/>
  <c r="AD651" i="13"/>
  <c r="AD620" i="13"/>
  <c r="AF651" i="13"/>
  <c r="AF620" i="13"/>
  <c r="AD587" i="13"/>
  <c r="AD455" i="13"/>
  <c r="AF593" i="13"/>
  <c r="AF590" i="13"/>
  <c r="AF588" i="13"/>
  <c r="AF591" i="13"/>
  <c r="AF587" i="13"/>
  <c r="AF589" i="13" s="1"/>
  <c r="AF595" i="13"/>
  <c r="AF594" i="13"/>
  <c r="AF592" i="13"/>
  <c r="AF596" i="13"/>
  <c r="AD389" i="13"/>
  <c r="J687" i="13" l="1" a="1"/>
  <c r="J687" i="13" s="1"/>
  <c r="N686" i="13" a="1"/>
  <c r="N686" i="13" s="1"/>
  <c r="F686" i="13" a="1"/>
  <c r="F686" i="13" s="1"/>
  <c r="I687" i="13" a="1"/>
  <c r="I687" i="13" s="1"/>
  <c r="M686" i="13" a="1"/>
  <c r="M686" i="13" s="1"/>
  <c r="E686" i="13" a="1"/>
  <c r="E686" i="13" s="1"/>
  <c r="H687" i="13" a="1"/>
  <c r="H687" i="13" s="1"/>
  <c r="L686" i="13" a="1"/>
  <c r="L686" i="13" s="1"/>
  <c r="D686" i="13" a="1"/>
  <c r="D686" i="13" s="1"/>
  <c r="O687" i="13" a="1"/>
  <c r="O687" i="13" s="1"/>
  <c r="G687" i="13" a="1"/>
  <c r="G687" i="13" s="1"/>
  <c r="K686" i="13" a="1"/>
  <c r="K686" i="13" s="1"/>
  <c r="N687" i="13" a="1"/>
  <c r="N687" i="13" s="1"/>
  <c r="F687" i="13" a="1"/>
  <c r="F687" i="13" s="1"/>
  <c r="J686" i="13" a="1"/>
  <c r="J686" i="13" s="1"/>
  <c r="K687" i="13" a="1"/>
  <c r="K687" i="13" s="1"/>
  <c r="O686" i="13" a="1"/>
  <c r="O686" i="13" s="1"/>
  <c r="G686" i="13" a="1"/>
  <c r="G686" i="13" s="1"/>
  <c r="H686" i="13" a="1"/>
  <c r="H686" i="13" s="1"/>
  <c r="D687" i="13" a="1"/>
  <c r="D687" i="13" s="1"/>
  <c r="E687" i="13" a="1"/>
  <c r="E687" i="13" s="1"/>
  <c r="M687" i="13" a="1"/>
  <c r="M687" i="13" s="1"/>
  <c r="L687" i="13" a="1"/>
  <c r="L687" i="13" s="1"/>
  <c r="I686" i="13" a="1"/>
  <c r="I686" i="13" s="1"/>
  <c r="C90" i="24" a="1"/>
  <c r="C90" i="24" s="1"/>
  <c r="KC31" i="9"/>
  <c r="KK34" i="9"/>
  <c r="AF685" i="13"/>
  <c r="AF654" i="13"/>
  <c r="AD522" i="13"/>
  <c r="AD456" i="13"/>
  <c r="AD489" i="13"/>
  <c r="AD423" i="13"/>
  <c r="AD621" i="13"/>
  <c r="AD555" i="13"/>
  <c r="AD588" i="13"/>
  <c r="AD685" i="13"/>
  <c r="AD654" i="13"/>
  <c r="Q719" i="13"/>
  <c r="AF630" i="13"/>
  <c r="AF627" i="13"/>
  <c r="AF628" i="13"/>
  <c r="AF621" i="13"/>
  <c r="AF623" i="13" s="1"/>
  <c r="AF624" i="13"/>
  <c r="AF629" i="13"/>
  <c r="AF626" i="13"/>
  <c r="AF622" i="13"/>
  <c r="AF625" i="13"/>
  <c r="J721" i="13" l="1" a="1"/>
  <c r="J721" i="13" s="1"/>
  <c r="N720" i="13" a="1"/>
  <c r="N720" i="13" s="1"/>
  <c r="F720" i="13" a="1"/>
  <c r="F720" i="13" s="1"/>
  <c r="I721" i="13" a="1"/>
  <c r="I721" i="13" s="1"/>
  <c r="M720" i="13" a="1"/>
  <c r="M720" i="13" s="1"/>
  <c r="E720" i="13" a="1"/>
  <c r="E720" i="13" s="1"/>
  <c r="H721" i="13" a="1"/>
  <c r="H721" i="13" s="1"/>
  <c r="L720" i="13" a="1"/>
  <c r="L720" i="13" s="1"/>
  <c r="D720" i="13" a="1"/>
  <c r="D720" i="13" s="1"/>
  <c r="O721" i="13" a="1"/>
  <c r="O721" i="13" s="1"/>
  <c r="G721" i="13" a="1"/>
  <c r="G721" i="13" s="1"/>
  <c r="K720" i="13" a="1"/>
  <c r="K720" i="13" s="1"/>
  <c r="N721" i="13" a="1"/>
  <c r="N721" i="13" s="1"/>
  <c r="F721" i="13" a="1"/>
  <c r="F721" i="13" s="1"/>
  <c r="J720" i="13" a="1"/>
  <c r="J720" i="13" s="1"/>
  <c r="K721" i="13" a="1"/>
  <c r="K721" i="13" s="1"/>
  <c r="O720" i="13" a="1"/>
  <c r="O720" i="13" s="1"/>
  <c r="G720" i="13" a="1"/>
  <c r="G720" i="13" s="1"/>
  <c r="D721" i="13" a="1"/>
  <c r="D721" i="13" s="1"/>
  <c r="I720" i="13" a="1"/>
  <c r="I720" i="13" s="1"/>
  <c r="E721" i="13" a="1"/>
  <c r="E721" i="13" s="1"/>
  <c r="H720" i="13" a="1"/>
  <c r="H720" i="13" s="1"/>
  <c r="M721" i="13" a="1"/>
  <c r="M721" i="13" s="1"/>
  <c r="L721" i="13" a="1"/>
  <c r="L721" i="13" s="1"/>
  <c r="KC32" i="9"/>
  <c r="KK35" i="9"/>
  <c r="AD589" i="13"/>
  <c r="AD523" i="13"/>
  <c r="Q753" i="13"/>
  <c r="AD655" i="13"/>
  <c r="AD556" i="13"/>
  <c r="AD490" i="13"/>
  <c r="AF664" i="13"/>
  <c r="AF662" i="13"/>
  <c r="AF663" i="13"/>
  <c r="AF658" i="13"/>
  <c r="AF656" i="13"/>
  <c r="AF661" i="13"/>
  <c r="AF660" i="13"/>
  <c r="AF659" i="13"/>
  <c r="AF655" i="13"/>
  <c r="AF657" i="13" s="1"/>
  <c r="AD719" i="13"/>
  <c r="AD688" i="13"/>
  <c r="AF719" i="13"/>
  <c r="AF688" i="13"/>
  <c r="AD622" i="13"/>
  <c r="AD457" i="13"/>
  <c r="J755" i="13" l="1" a="1"/>
  <c r="J755" i="13" s="1"/>
  <c r="N754" i="13" a="1"/>
  <c r="N754" i="13" s="1"/>
  <c r="F754" i="13" a="1"/>
  <c r="F754" i="13" s="1"/>
  <c r="I755" i="13" a="1"/>
  <c r="I755" i="13" s="1"/>
  <c r="M754" i="13" a="1"/>
  <c r="M754" i="13" s="1"/>
  <c r="E754" i="13" a="1"/>
  <c r="E754" i="13" s="1"/>
  <c r="H755" i="13" a="1"/>
  <c r="H755" i="13" s="1"/>
  <c r="L754" i="13" a="1"/>
  <c r="L754" i="13" s="1"/>
  <c r="D754" i="13" a="1"/>
  <c r="D754" i="13" s="1"/>
  <c r="O755" i="13" a="1"/>
  <c r="O755" i="13" s="1"/>
  <c r="G755" i="13" a="1"/>
  <c r="G755" i="13" s="1"/>
  <c r="K754" i="13" a="1"/>
  <c r="K754" i="13" s="1"/>
  <c r="N755" i="13" a="1"/>
  <c r="N755" i="13" s="1"/>
  <c r="F755" i="13" a="1"/>
  <c r="F755" i="13" s="1"/>
  <c r="J754" i="13" a="1"/>
  <c r="J754" i="13" s="1"/>
  <c r="K755" i="13" a="1"/>
  <c r="K755" i="13" s="1"/>
  <c r="O754" i="13" a="1"/>
  <c r="O754" i="13" s="1"/>
  <c r="G754" i="13" a="1"/>
  <c r="G754" i="13" s="1"/>
  <c r="L755" i="13" a="1"/>
  <c r="L755" i="13" s="1"/>
  <c r="E755" i="13" a="1"/>
  <c r="E755" i="13" s="1"/>
  <c r="D755" i="13" a="1"/>
  <c r="D755" i="13" s="1"/>
  <c r="I754" i="13" a="1"/>
  <c r="I754" i="13" s="1"/>
  <c r="H754" i="13" a="1"/>
  <c r="H754" i="13" s="1"/>
  <c r="M755" i="13" a="1"/>
  <c r="M755" i="13" s="1"/>
  <c r="KC33" i="9"/>
  <c r="KK36" i="9"/>
  <c r="AD722" i="13"/>
  <c r="AD753" i="13"/>
  <c r="AD524" i="13"/>
  <c r="AD491" i="13"/>
  <c r="Q787" i="13"/>
  <c r="AD557" i="13"/>
  <c r="AD623" i="13"/>
  <c r="AF698" i="13"/>
  <c r="AF695" i="13"/>
  <c r="AF696" i="13"/>
  <c r="AF692" i="13"/>
  <c r="AF689" i="13"/>
  <c r="AF691" i="13" s="1"/>
  <c r="AF693" i="13"/>
  <c r="AF694" i="13"/>
  <c r="AF690" i="13"/>
  <c r="AF697" i="13"/>
  <c r="AF753" i="13"/>
  <c r="AF722" i="13"/>
  <c r="AD590" i="13"/>
  <c r="AD689" i="13"/>
  <c r="AD656" i="13"/>
  <c r="J789" i="13" l="1" a="1"/>
  <c r="J789" i="13" s="1"/>
  <c r="N788" i="13" a="1"/>
  <c r="N788" i="13" s="1"/>
  <c r="F788" i="13" a="1"/>
  <c r="F788" i="13" s="1"/>
  <c r="I789" i="13" a="1"/>
  <c r="I789" i="13" s="1"/>
  <c r="M788" i="13" a="1"/>
  <c r="M788" i="13" s="1"/>
  <c r="E788" i="13" a="1"/>
  <c r="E788" i="13" s="1"/>
  <c r="H789" i="13" a="1"/>
  <c r="H789" i="13" s="1"/>
  <c r="L788" i="13" a="1"/>
  <c r="L788" i="13" s="1"/>
  <c r="D788" i="13" a="1"/>
  <c r="D788" i="13" s="1"/>
  <c r="O789" i="13" a="1"/>
  <c r="O789" i="13" s="1"/>
  <c r="G789" i="13" a="1"/>
  <c r="G789" i="13" s="1"/>
  <c r="K788" i="13" a="1"/>
  <c r="K788" i="13" s="1"/>
  <c r="N789" i="13" a="1"/>
  <c r="N789" i="13" s="1"/>
  <c r="F789" i="13" a="1"/>
  <c r="F789" i="13" s="1"/>
  <c r="J788" i="13" a="1"/>
  <c r="J788" i="13" s="1"/>
  <c r="K789" i="13" a="1"/>
  <c r="K789" i="13" s="1"/>
  <c r="O788" i="13" a="1"/>
  <c r="O788" i="13" s="1"/>
  <c r="G788" i="13" a="1"/>
  <c r="G788" i="13" s="1"/>
  <c r="M789" i="13" a="1"/>
  <c r="M789" i="13" s="1"/>
  <c r="H788" i="13" a="1"/>
  <c r="H788" i="13" s="1"/>
  <c r="L789" i="13" a="1"/>
  <c r="L789" i="13" s="1"/>
  <c r="E789" i="13" a="1"/>
  <c r="E789" i="13" s="1"/>
  <c r="D789" i="13" a="1"/>
  <c r="D789" i="13" s="1"/>
  <c r="I788" i="13" a="1"/>
  <c r="I788" i="13" s="1"/>
  <c r="KC34" i="9"/>
  <c r="KK37" i="9"/>
  <c r="AD690" i="13"/>
  <c r="AD591" i="13"/>
  <c r="AD624" i="13"/>
  <c r="AD787" i="13"/>
  <c r="AD756" i="13"/>
  <c r="AD657" i="13"/>
  <c r="AD723" i="13"/>
  <c r="AD558" i="13"/>
  <c r="AF732" i="13"/>
  <c r="AF730" i="13"/>
  <c r="AF729" i="13"/>
  <c r="AF726" i="13"/>
  <c r="AF731" i="13"/>
  <c r="AF727" i="13"/>
  <c r="AF723" i="13"/>
  <c r="AF725" i="13" s="1"/>
  <c r="AF728" i="13"/>
  <c r="AF724" i="13"/>
  <c r="AF787" i="13"/>
  <c r="AF756" i="13"/>
  <c r="Q821" i="13"/>
  <c r="AD525" i="13"/>
  <c r="J823" i="13" l="1" a="1"/>
  <c r="J823" i="13" s="1"/>
  <c r="N822" i="13" a="1"/>
  <c r="N822" i="13" s="1"/>
  <c r="F822" i="13" a="1"/>
  <c r="F822" i="13" s="1"/>
  <c r="I823" i="13" a="1"/>
  <c r="I823" i="13" s="1"/>
  <c r="M822" i="13" a="1"/>
  <c r="M822" i="13" s="1"/>
  <c r="E822" i="13" a="1"/>
  <c r="E822" i="13" s="1"/>
  <c r="H823" i="13" a="1"/>
  <c r="H823" i="13" s="1"/>
  <c r="L822" i="13" a="1"/>
  <c r="L822" i="13" s="1"/>
  <c r="D822" i="13" a="1"/>
  <c r="D822" i="13" s="1"/>
  <c r="O823" i="13" a="1"/>
  <c r="O823" i="13" s="1"/>
  <c r="G823" i="13" a="1"/>
  <c r="G823" i="13" s="1"/>
  <c r="K822" i="13" a="1"/>
  <c r="K822" i="13" s="1"/>
  <c r="N823" i="13" a="1"/>
  <c r="N823" i="13" s="1"/>
  <c r="F823" i="13" a="1"/>
  <c r="F823" i="13" s="1"/>
  <c r="J822" i="13" a="1"/>
  <c r="J822" i="13" s="1"/>
  <c r="K823" i="13" a="1"/>
  <c r="K823" i="13" s="1"/>
  <c r="O822" i="13" a="1"/>
  <c r="O822" i="13" s="1"/>
  <c r="G822" i="13" a="1"/>
  <c r="G822" i="13" s="1"/>
  <c r="H822" i="13" a="1"/>
  <c r="H822" i="13" s="1"/>
  <c r="I822" i="13" a="1"/>
  <c r="I822" i="13" s="1"/>
  <c r="M823" i="13" a="1"/>
  <c r="M823" i="13" s="1"/>
  <c r="L823" i="13" a="1"/>
  <c r="L823" i="13" s="1"/>
  <c r="E823" i="13" a="1"/>
  <c r="E823" i="13" s="1"/>
  <c r="D823" i="13" a="1"/>
  <c r="D823" i="13" s="1"/>
  <c r="KC35" i="9"/>
  <c r="KK38" i="9"/>
  <c r="AD757" i="13"/>
  <c r="AD691" i="13"/>
  <c r="AD790" i="13"/>
  <c r="AD821" i="13"/>
  <c r="AD658" i="13"/>
  <c r="AD592" i="13"/>
  <c r="AD625" i="13"/>
  <c r="AF762" i="13"/>
  <c r="AF766" i="13"/>
  <c r="AF757" i="13"/>
  <c r="AF759" i="13" s="1"/>
  <c r="AF764" i="13"/>
  <c r="AF761" i="13"/>
  <c r="AF758" i="13"/>
  <c r="AF763" i="13"/>
  <c r="AF760" i="13"/>
  <c r="AF765" i="13"/>
  <c r="AD559" i="13"/>
  <c r="AD724" i="13"/>
  <c r="Q855" i="13"/>
  <c r="AF790" i="13"/>
  <c r="AF821" i="13"/>
  <c r="J857" i="13" l="1" a="1"/>
  <c r="J857" i="13" s="1"/>
  <c r="N856" i="13" a="1"/>
  <c r="N856" i="13" s="1"/>
  <c r="F856" i="13" a="1"/>
  <c r="F856" i="13" s="1"/>
  <c r="I857" i="13" a="1"/>
  <c r="I857" i="13" s="1"/>
  <c r="M856" i="13" a="1"/>
  <c r="M856" i="13" s="1"/>
  <c r="E856" i="13" a="1"/>
  <c r="E856" i="13" s="1"/>
  <c r="H857" i="13" a="1"/>
  <c r="H857" i="13" s="1"/>
  <c r="L856" i="13" a="1"/>
  <c r="L856" i="13" s="1"/>
  <c r="D856" i="13" a="1"/>
  <c r="D856" i="13" s="1"/>
  <c r="O857" i="13" a="1"/>
  <c r="O857" i="13" s="1"/>
  <c r="G857" i="13" a="1"/>
  <c r="G857" i="13" s="1"/>
  <c r="K856" i="13" a="1"/>
  <c r="K856" i="13" s="1"/>
  <c r="N857" i="13" a="1"/>
  <c r="N857" i="13" s="1"/>
  <c r="F857" i="13" a="1"/>
  <c r="F857" i="13" s="1"/>
  <c r="J856" i="13" a="1"/>
  <c r="J856" i="13" s="1"/>
  <c r="K857" i="13" a="1"/>
  <c r="K857" i="13" s="1"/>
  <c r="O856" i="13" a="1"/>
  <c r="O856" i="13" s="1"/>
  <c r="G856" i="13" a="1"/>
  <c r="G856" i="13" s="1"/>
  <c r="D857" i="13" a="1"/>
  <c r="D857" i="13" s="1"/>
  <c r="I856" i="13" a="1"/>
  <c r="I856" i="13" s="1"/>
  <c r="H856" i="13" a="1"/>
  <c r="H856" i="13" s="1"/>
  <c r="M857" i="13" a="1"/>
  <c r="M857" i="13" s="1"/>
  <c r="L857" i="13" a="1"/>
  <c r="L857" i="13" s="1"/>
  <c r="E857" i="13" a="1"/>
  <c r="E857" i="13" s="1"/>
  <c r="KC36" i="9"/>
  <c r="KK39" i="9"/>
  <c r="Q889" i="13"/>
  <c r="AD725" i="13"/>
  <c r="AD791" i="13"/>
  <c r="AD758" i="13"/>
  <c r="AF855" i="13"/>
  <c r="AF824" i="13"/>
  <c r="AD659" i="13"/>
  <c r="AF800" i="13"/>
  <c r="AF797" i="13"/>
  <c r="AF796" i="13"/>
  <c r="AF792" i="13"/>
  <c r="AF795" i="13"/>
  <c r="AF794" i="13"/>
  <c r="AF799" i="13"/>
  <c r="AF791" i="13"/>
  <c r="AF793" i="13" s="1"/>
  <c r="AF798" i="13"/>
  <c r="AD626" i="13"/>
  <c r="AD593" i="13"/>
  <c r="AD692" i="13"/>
  <c r="AD855" i="13"/>
  <c r="AD824" i="13"/>
  <c r="J891" i="13" l="1" a="1"/>
  <c r="J891" i="13" s="1"/>
  <c r="N890" i="13" a="1"/>
  <c r="N890" i="13" s="1"/>
  <c r="F890" i="13" a="1"/>
  <c r="F890" i="13" s="1"/>
  <c r="M891" i="13" a="1"/>
  <c r="M891" i="13" s="1"/>
  <c r="I891" i="13" a="1"/>
  <c r="I891" i="13" s="1"/>
  <c r="M890" i="13" a="1"/>
  <c r="M890" i="13" s="1"/>
  <c r="E890" i="13" a="1"/>
  <c r="E890" i="13" s="1"/>
  <c r="H891" i="13" a="1"/>
  <c r="H891" i="13" s="1"/>
  <c r="L890" i="13" a="1"/>
  <c r="L890" i="13" s="1"/>
  <c r="D890" i="13" a="1"/>
  <c r="D890" i="13" s="1"/>
  <c r="E891" i="13" a="1"/>
  <c r="E891" i="13" s="1"/>
  <c r="O891" i="13" a="1"/>
  <c r="O891" i="13" s="1"/>
  <c r="G891" i="13" a="1"/>
  <c r="G891" i="13" s="1"/>
  <c r="K890" i="13" a="1"/>
  <c r="K890" i="13" s="1"/>
  <c r="N891" i="13" a="1"/>
  <c r="N891" i="13" s="1"/>
  <c r="F891" i="13" a="1"/>
  <c r="F891" i="13" s="1"/>
  <c r="J890" i="13" a="1"/>
  <c r="J890" i="13" s="1"/>
  <c r="K891" i="13" a="1"/>
  <c r="K891" i="13" s="1"/>
  <c r="O890" i="13" a="1"/>
  <c r="O890" i="13" s="1"/>
  <c r="G890" i="13" a="1"/>
  <c r="G890" i="13" s="1"/>
  <c r="I890" i="13" a="1"/>
  <c r="I890" i="13" s="1"/>
  <c r="L891" i="13" a="1"/>
  <c r="L891" i="13" s="1"/>
  <c r="D891" i="13" a="1"/>
  <c r="D891" i="13" s="1"/>
  <c r="H890" i="13" a="1"/>
  <c r="H890" i="13" s="1"/>
  <c r="KC37" i="9"/>
  <c r="KK40" i="9"/>
  <c r="AD693" i="13"/>
  <c r="AD627" i="13"/>
  <c r="AD726" i="13"/>
  <c r="AD660" i="13"/>
  <c r="AF829" i="13"/>
  <c r="AF831" i="13"/>
  <c r="AF828" i="13"/>
  <c r="AF825" i="13"/>
  <c r="AF827" i="13" s="1"/>
  <c r="AF826" i="13"/>
  <c r="AF832" i="13"/>
  <c r="AF833" i="13"/>
  <c r="AF834" i="13"/>
  <c r="AF830" i="13"/>
  <c r="AF858" i="13"/>
  <c r="AF889" i="13"/>
  <c r="AD759" i="13"/>
  <c r="AD825" i="13"/>
  <c r="AD858" i="13"/>
  <c r="AD889" i="13"/>
  <c r="Q923" i="13"/>
  <c r="AD792" i="13"/>
  <c r="M925" i="13" l="1" a="1"/>
  <c r="M925" i="13" s="1"/>
  <c r="L925" i="13" a="1"/>
  <c r="L925" i="13" s="1"/>
  <c r="K925" i="13" a="1"/>
  <c r="K925" i="13" s="1"/>
  <c r="J925" i="13" a="1"/>
  <c r="J925" i="13" s="1"/>
  <c r="I925" i="13" a="1"/>
  <c r="I925" i="13" s="1"/>
  <c r="H925" i="13" a="1"/>
  <c r="H925" i="13" s="1"/>
  <c r="N925" i="13" a="1"/>
  <c r="N925" i="13" s="1"/>
  <c r="N924" i="13" a="1"/>
  <c r="N924" i="13" s="1"/>
  <c r="F924" i="13" a="1"/>
  <c r="F924" i="13" s="1"/>
  <c r="M924" i="13" a="1"/>
  <c r="M924" i="13" s="1"/>
  <c r="E924" i="13" a="1"/>
  <c r="E924" i="13" s="1"/>
  <c r="I924" i="13" a="1"/>
  <c r="I924" i="13" s="1"/>
  <c r="O925" i="13" a="1"/>
  <c r="O925" i="13" s="1"/>
  <c r="L924" i="13" a="1"/>
  <c r="L924" i="13" s="1"/>
  <c r="D924" i="13" a="1"/>
  <c r="D924" i="13" s="1"/>
  <c r="G925" i="13" a="1"/>
  <c r="G925" i="13" s="1"/>
  <c r="K924" i="13" a="1"/>
  <c r="K924" i="13" s="1"/>
  <c r="F925" i="13" a="1"/>
  <c r="F925" i="13" s="1"/>
  <c r="J924" i="13" a="1"/>
  <c r="J924" i="13" s="1"/>
  <c r="O924" i="13" a="1"/>
  <c r="O924" i="13" s="1"/>
  <c r="G924" i="13" a="1"/>
  <c r="G924" i="13" s="1"/>
  <c r="E925" i="13" a="1"/>
  <c r="E925" i="13" s="1"/>
  <c r="D925" i="13" a="1"/>
  <c r="D925" i="13" s="1"/>
  <c r="H924" i="13" a="1"/>
  <c r="H924" i="13" s="1"/>
  <c r="KC38" i="9"/>
  <c r="KK41" i="9"/>
  <c r="Q957" i="13"/>
  <c r="AF923" i="13"/>
  <c r="AF892" i="13"/>
  <c r="AF866" i="13"/>
  <c r="AF865" i="13"/>
  <c r="AF863" i="13"/>
  <c r="AF859" i="13"/>
  <c r="AF861" i="13" s="1"/>
  <c r="AF862" i="13"/>
  <c r="AF867" i="13"/>
  <c r="AF864" i="13"/>
  <c r="AF860" i="13"/>
  <c r="AF868" i="13"/>
  <c r="AD826" i="13"/>
  <c r="AD892" i="13"/>
  <c r="AD923" i="13"/>
  <c r="AD727" i="13"/>
  <c r="AD793" i="13"/>
  <c r="AD859" i="13"/>
  <c r="AD760" i="13"/>
  <c r="AD661" i="13"/>
  <c r="AD694" i="13"/>
  <c r="M959" i="13" l="1" a="1"/>
  <c r="M959" i="13" s="1"/>
  <c r="E959" i="13" a="1"/>
  <c r="E959" i="13" s="1"/>
  <c r="I958" i="13" a="1"/>
  <c r="I958" i="13" s="1"/>
  <c r="L959" i="13" a="1"/>
  <c r="L959" i="13" s="1"/>
  <c r="D959" i="13" a="1"/>
  <c r="D959" i="13" s="1"/>
  <c r="H958" i="13" a="1"/>
  <c r="H958" i="13" s="1"/>
  <c r="K959" i="13" a="1"/>
  <c r="K959" i="13" s="1"/>
  <c r="O958" i="13" a="1"/>
  <c r="O958" i="13" s="1"/>
  <c r="G958" i="13" a="1"/>
  <c r="G958" i="13" s="1"/>
  <c r="J959" i="13" a="1"/>
  <c r="J959" i="13" s="1"/>
  <c r="N958" i="13" a="1"/>
  <c r="N958" i="13" s="1"/>
  <c r="F958" i="13" a="1"/>
  <c r="F958" i="13" s="1"/>
  <c r="I959" i="13" a="1"/>
  <c r="I959" i="13" s="1"/>
  <c r="M958" i="13" a="1"/>
  <c r="M958" i="13" s="1"/>
  <c r="E958" i="13" a="1"/>
  <c r="E958" i="13" s="1"/>
  <c r="H959" i="13" a="1"/>
  <c r="H959" i="13" s="1"/>
  <c r="L958" i="13" a="1"/>
  <c r="L958" i="13" s="1"/>
  <c r="D958" i="13" a="1"/>
  <c r="D958" i="13" s="1"/>
  <c r="N959" i="13" a="1"/>
  <c r="N959" i="13" s="1"/>
  <c r="F959" i="13" a="1"/>
  <c r="F959" i="13" s="1"/>
  <c r="J958" i="13" a="1"/>
  <c r="J958" i="13" s="1"/>
  <c r="G959" i="13" a="1"/>
  <c r="G959" i="13" s="1"/>
  <c r="K958" i="13" a="1"/>
  <c r="K958" i="13" s="1"/>
  <c r="O959" i="13" a="1"/>
  <c r="O959" i="13" s="1"/>
  <c r="KC39" i="9"/>
  <c r="KK42" i="9"/>
  <c r="AD695" i="13"/>
  <c r="AD860" i="13"/>
  <c r="AD957" i="13"/>
  <c r="AD926" i="13"/>
  <c r="AD893" i="13"/>
  <c r="AF893" i="13"/>
  <c r="AF895" i="13" s="1"/>
  <c r="AF902" i="13"/>
  <c r="AF901" i="13"/>
  <c r="AF899" i="13"/>
  <c r="AF900" i="13"/>
  <c r="AF897" i="13"/>
  <c r="AF896" i="13"/>
  <c r="AF898" i="13"/>
  <c r="AF894" i="13"/>
  <c r="AD761" i="13"/>
  <c r="AF957" i="13"/>
  <c r="AF926" i="13"/>
  <c r="Q991" i="13"/>
  <c r="AD794" i="13"/>
  <c r="AD728" i="13"/>
  <c r="AD827" i="13"/>
  <c r="M993" i="13" l="1" a="1"/>
  <c r="M993" i="13" s="1"/>
  <c r="E993" i="13" a="1"/>
  <c r="E993" i="13" s="1"/>
  <c r="I992" i="13" a="1"/>
  <c r="I992" i="13" s="1"/>
  <c r="L993" i="13" a="1"/>
  <c r="L993" i="13" s="1"/>
  <c r="D993" i="13" a="1"/>
  <c r="D993" i="13" s="1"/>
  <c r="H992" i="13" a="1"/>
  <c r="H992" i="13" s="1"/>
  <c r="K993" i="13" a="1"/>
  <c r="K993" i="13" s="1"/>
  <c r="O992" i="13" a="1"/>
  <c r="O992" i="13" s="1"/>
  <c r="G992" i="13" a="1"/>
  <c r="G992" i="13" s="1"/>
  <c r="J993" i="13" a="1"/>
  <c r="J993" i="13" s="1"/>
  <c r="N992" i="13" a="1"/>
  <c r="N992" i="13" s="1"/>
  <c r="F992" i="13" a="1"/>
  <c r="F992" i="13" s="1"/>
  <c r="I993" i="13" a="1"/>
  <c r="I993" i="13" s="1"/>
  <c r="M992" i="13" a="1"/>
  <c r="M992" i="13" s="1"/>
  <c r="E992" i="13" a="1"/>
  <c r="E992" i="13" s="1"/>
  <c r="H993" i="13" a="1"/>
  <c r="H993" i="13" s="1"/>
  <c r="L992" i="13" a="1"/>
  <c r="L992" i="13" s="1"/>
  <c r="D992" i="13" a="1"/>
  <c r="D992" i="13" s="1"/>
  <c r="N993" i="13" a="1"/>
  <c r="N993" i="13" s="1"/>
  <c r="F993" i="13" a="1"/>
  <c r="F993" i="13" s="1"/>
  <c r="J992" i="13" a="1"/>
  <c r="J992" i="13" s="1"/>
  <c r="G993" i="13" a="1"/>
  <c r="G993" i="13" s="1"/>
  <c r="O993" i="13" a="1"/>
  <c r="O993" i="13" s="1"/>
  <c r="K992" i="13" a="1"/>
  <c r="K992" i="13" s="1"/>
  <c r="KC40" i="9"/>
  <c r="KK43" i="9"/>
  <c r="AD762" i="13"/>
  <c r="AD729" i="13"/>
  <c r="AF933" i="13"/>
  <c r="AF930" i="13"/>
  <c r="AF927" i="13"/>
  <c r="AF929" i="13" s="1"/>
  <c r="AF935" i="13"/>
  <c r="AF932" i="13"/>
  <c r="AF931" i="13"/>
  <c r="AF928" i="13"/>
  <c r="AF936" i="13"/>
  <c r="AF934" i="13"/>
  <c r="AD861" i="13"/>
  <c r="AD795" i="13"/>
  <c r="Q1025" i="13"/>
  <c r="AF991" i="13"/>
  <c r="AF960" i="13"/>
  <c r="AD828" i="13"/>
  <c r="AD894" i="13"/>
  <c r="AD927" i="13"/>
  <c r="AD991" i="13"/>
  <c r="AD960" i="13"/>
  <c r="M1027" i="13" l="1" a="1"/>
  <c r="M1027" i="13" s="1"/>
  <c r="E1027" i="13" a="1"/>
  <c r="E1027" i="13" s="1"/>
  <c r="I1026" i="13" a="1"/>
  <c r="I1026" i="13" s="1"/>
  <c r="L1027" i="13" a="1"/>
  <c r="L1027" i="13" s="1"/>
  <c r="D1027" i="13" a="1"/>
  <c r="D1027" i="13" s="1"/>
  <c r="H1026" i="13" a="1"/>
  <c r="H1026" i="13" s="1"/>
  <c r="K1027" i="13" a="1"/>
  <c r="K1027" i="13" s="1"/>
  <c r="O1026" i="13" a="1"/>
  <c r="O1026" i="13" s="1"/>
  <c r="G1026" i="13" a="1"/>
  <c r="G1026" i="13" s="1"/>
  <c r="J1027" i="13" a="1"/>
  <c r="J1027" i="13" s="1"/>
  <c r="N1026" i="13" a="1"/>
  <c r="N1026" i="13" s="1"/>
  <c r="F1026" i="13" a="1"/>
  <c r="F1026" i="13" s="1"/>
  <c r="I1027" i="13" a="1"/>
  <c r="I1027" i="13" s="1"/>
  <c r="M1026" i="13" a="1"/>
  <c r="M1026" i="13" s="1"/>
  <c r="E1026" i="13" a="1"/>
  <c r="E1026" i="13" s="1"/>
  <c r="H1027" i="13" a="1"/>
  <c r="H1027" i="13" s="1"/>
  <c r="L1026" i="13" a="1"/>
  <c r="L1026" i="13" s="1"/>
  <c r="D1026" i="13" a="1"/>
  <c r="D1026" i="13" s="1"/>
  <c r="N1027" i="13" a="1"/>
  <c r="N1027" i="13" s="1"/>
  <c r="F1027" i="13" a="1"/>
  <c r="F1027" i="13" s="1"/>
  <c r="J1026" i="13" a="1"/>
  <c r="J1026" i="13" s="1"/>
  <c r="O1027" i="13" a="1"/>
  <c r="O1027" i="13" s="1"/>
  <c r="G1027" i="13" a="1"/>
  <c r="G1027" i="13" s="1"/>
  <c r="K1026" i="13" a="1"/>
  <c r="K1026" i="13" s="1"/>
  <c r="KC41" i="9"/>
  <c r="KK44" i="9"/>
  <c r="AD928" i="13"/>
  <c r="AD895" i="13"/>
  <c r="AD796" i="13"/>
  <c r="AD961" i="13"/>
  <c r="AD829" i="13"/>
  <c r="AF962" i="13"/>
  <c r="AF967" i="13"/>
  <c r="AF964" i="13"/>
  <c r="AF970" i="13"/>
  <c r="AF961" i="13"/>
  <c r="AF963" i="13" s="1"/>
  <c r="AF965" i="13"/>
  <c r="AF969" i="13"/>
  <c r="AF966" i="13"/>
  <c r="AF968" i="13"/>
  <c r="AF994" i="13"/>
  <c r="AF1025" i="13"/>
  <c r="AD862" i="13"/>
  <c r="AD994" i="13"/>
  <c r="AD1025" i="13"/>
  <c r="Q1059" i="13"/>
  <c r="AD763" i="13"/>
  <c r="M1061" i="13" l="1" a="1"/>
  <c r="M1061" i="13" s="1"/>
  <c r="E1061" i="13" a="1"/>
  <c r="E1061" i="13" s="1"/>
  <c r="I1060" i="13" a="1"/>
  <c r="I1060" i="13" s="1"/>
  <c r="L1061" i="13" a="1"/>
  <c r="L1061" i="13" s="1"/>
  <c r="D1061" i="13" a="1"/>
  <c r="D1061" i="13" s="1"/>
  <c r="H1060" i="13" a="1"/>
  <c r="H1060" i="13" s="1"/>
  <c r="K1061" i="13" a="1"/>
  <c r="K1061" i="13" s="1"/>
  <c r="O1060" i="13" a="1"/>
  <c r="O1060" i="13" s="1"/>
  <c r="G1060" i="13" a="1"/>
  <c r="G1060" i="13" s="1"/>
  <c r="J1061" i="13" a="1"/>
  <c r="J1061" i="13" s="1"/>
  <c r="N1060" i="13" a="1"/>
  <c r="N1060" i="13" s="1"/>
  <c r="F1060" i="13" a="1"/>
  <c r="F1060" i="13" s="1"/>
  <c r="I1061" i="13" a="1"/>
  <c r="I1061" i="13" s="1"/>
  <c r="M1060" i="13" a="1"/>
  <c r="M1060" i="13" s="1"/>
  <c r="E1060" i="13" a="1"/>
  <c r="E1060" i="13" s="1"/>
  <c r="H1061" i="13" a="1"/>
  <c r="H1061" i="13" s="1"/>
  <c r="L1060" i="13" a="1"/>
  <c r="L1060" i="13" s="1"/>
  <c r="D1060" i="13" a="1"/>
  <c r="D1060" i="13" s="1"/>
  <c r="N1061" i="13" a="1"/>
  <c r="N1061" i="13" s="1"/>
  <c r="F1061" i="13" a="1"/>
  <c r="F1061" i="13" s="1"/>
  <c r="J1060" i="13" a="1"/>
  <c r="J1060" i="13" s="1"/>
  <c r="K1060" i="13" a="1"/>
  <c r="K1060" i="13" s="1"/>
  <c r="G1061" i="13" a="1"/>
  <c r="G1061" i="13" s="1"/>
  <c r="O1061" i="13" a="1"/>
  <c r="O1061" i="13" s="1"/>
  <c r="KC42" i="9"/>
  <c r="KK45" i="9"/>
  <c r="AD1028" i="13"/>
  <c r="AD1059" i="13"/>
  <c r="AD797" i="13"/>
  <c r="Q1093" i="13"/>
  <c r="AD962" i="13"/>
  <c r="AD896" i="13"/>
  <c r="AD995" i="13"/>
  <c r="AD863" i="13"/>
  <c r="AF1059" i="13"/>
  <c r="AF1028" i="13"/>
  <c r="AD830" i="13"/>
  <c r="AF1002" i="13"/>
  <c r="AF1004" i="13"/>
  <c r="AF1000" i="13"/>
  <c r="AF996" i="13"/>
  <c r="AF1001" i="13"/>
  <c r="AF998" i="13"/>
  <c r="AF999" i="13"/>
  <c r="AF995" i="13"/>
  <c r="AF997" i="13" s="1"/>
  <c r="AF1003" i="13"/>
  <c r="AD929" i="13"/>
  <c r="M1095" i="13" l="1" a="1"/>
  <c r="M1095" i="13" s="1"/>
  <c r="E1095" i="13" a="1"/>
  <c r="E1095" i="13" s="1"/>
  <c r="I1094" i="13" a="1"/>
  <c r="I1094" i="13" s="1"/>
  <c r="L1095" i="13" a="1"/>
  <c r="L1095" i="13" s="1"/>
  <c r="D1095" i="13" a="1"/>
  <c r="D1095" i="13" s="1"/>
  <c r="H1094" i="13" a="1"/>
  <c r="H1094" i="13" s="1"/>
  <c r="K1095" i="13" a="1"/>
  <c r="K1095" i="13" s="1"/>
  <c r="O1094" i="13" a="1"/>
  <c r="O1094" i="13" s="1"/>
  <c r="G1094" i="13" a="1"/>
  <c r="G1094" i="13" s="1"/>
  <c r="J1095" i="13" a="1"/>
  <c r="J1095" i="13" s="1"/>
  <c r="N1094" i="13" a="1"/>
  <c r="N1094" i="13" s="1"/>
  <c r="F1094" i="13" a="1"/>
  <c r="F1094" i="13" s="1"/>
  <c r="I1095" i="13" a="1"/>
  <c r="I1095" i="13" s="1"/>
  <c r="M1094" i="13" a="1"/>
  <c r="M1094" i="13" s="1"/>
  <c r="E1094" i="13" a="1"/>
  <c r="E1094" i="13" s="1"/>
  <c r="H1095" i="13" a="1"/>
  <c r="H1095" i="13" s="1"/>
  <c r="L1094" i="13" a="1"/>
  <c r="L1094" i="13" s="1"/>
  <c r="D1094" i="13" a="1"/>
  <c r="D1094" i="13" s="1"/>
  <c r="N1095" i="13" a="1"/>
  <c r="N1095" i="13" s="1"/>
  <c r="F1095" i="13" a="1"/>
  <c r="F1095" i="13" s="1"/>
  <c r="J1094" i="13" a="1"/>
  <c r="J1094" i="13" s="1"/>
  <c r="K1094" i="13" a="1"/>
  <c r="K1094" i="13" s="1"/>
  <c r="O1095" i="13" a="1"/>
  <c r="O1095" i="13" s="1"/>
  <c r="G1095" i="13" a="1"/>
  <c r="G1095" i="13" s="1"/>
  <c r="KC43" i="9"/>
  <c r="KK46" i="9"/>
  <c r="AD930" i="13"/>
  <c r="AF1093" i="13"/>
  <c r="AF1062" i="13"/>
  <c r="AD897" i="13"/>
  <c r="AD831" i="13"/>
  <c r="AD996" i="13"/>
  <c r="AD963" i="13"/>
  <c r="Q1127" i="13"/>
  <c r="AD864" i="13"/>
  <c r="AD1093" i="13"/>
  <c r="AD1062" i="13"/>
  <c r="AF1030" i="13"/>
  <c r="AF1038" i="13"/>
  <c r="AF1035" i="13"/>
  <c r="AF1032" i="13"/>
  <c r="AF1036" i="13"/>
  <c r="AF1037" i="13"/>
  <c r="AF1034" i="13"/>
  <c r="AF1029" i="13"/>
  <c r="AF1031" i="13" s="1"/>
  <c r="AF1033" i="13"/>
  <c r="AD1029" i="13"/>
  <c r="M1129" i="13" l="1" a="1"/>
  <c r="M1129" i="13" s="1"/>
  <c r="E1129" i="13" a="1"/>
  <c r="E1129" i="13" s="1"/>
  <c r="I1128" i="13" a="1"/>
  <c r="I1128" i="13" s="1"/>
  <c r="L1129" i="13" a="1"/>
  <c r="L1129" i="13" s="1"/>
  <c r="D1129" i="13" a="1"/>
  <c r="D1129" i="13" s="1"/>
  <c r="H1128" i="13" a="1"/>
  <c r="H1128" i="13" s="1"/>
  <c r="K1129" i="13" a="1"/>
  <c r="K1129" i="13" s="1"/>
  <c r="O1128" i="13" a="1"/>
  <c r="O1128" i="13" s="1"/>
  <c r="G1128" i="13" a="1"/>
  <c r="G1128" i="13" s="1"/>
  <c r="J1129" i="13" a="1"/>
  <c r="J1129" i="13" s="1"/>
  <c r="N1128" i="13" a="1"/>
  <c r="N1128" i="13" s="1"/>
  <c r="F1128" i="13" a="1"/>
  <c r="F1128" i="13" s="1"/>
  <c r="I1129" i="13" a="1"/>
  <c r="I1129" i="13" s="1"/>
  <c r="M1128" i="13" a="1"/>
  <c r="M1128" i="13" s="1"/>
  <c r="E1128" i="13" a="1"/>
  <c r="E1128" i="13" s="1"/>
  <c r="H1129" i="13" a="1"/>
  <c r="H1129" i="13" s="1"/>
  <c r="L1128" i="13" a="1"/>
  <c r="L1128" i="13" s="1"/>
  <c r="D1128" i="13" a="1"/>
  <c r="D1128" i="13" s="1"/>
  <c r="N1129" i="13" a="1"/>
  <c r="N1129" i="13" s="1"/>
  <c r="F1129" i="13" a="1"/>
  <c r="F1129" i="13" s="1"/>
  <c r="J1128" i="13" a="1"/>
  <c r="J1128" i="13" s="1"/>
  <c r="O1129" i="13" a="1"/>
  <c r="O1129" i="13" s="1"/>
  <c r="G1129" i="13" a="1"/>
  <c r="G1129" i="13" s="1"/>
  <c r="K1128" i="13" a="1"/>
  <c r="K1128" i="13" s="1"/>
  <c r="KC44" i="9"/>
  <c r="KK47" i="9"/>
  <c r="AF1096" i="13"/>
  <c r="AF1127" i="13"/>
  <c r="AD931" i="13"/>
  <c r="AD1030" i="13"/>
  <c r="AD1063" i="13"/>
  <c r="AD865" i="13"/>
  <c r="AD898" i="13"/>
  <c r="AD1096" i="13"/>
  <c r="AD1127" i="13"/>
  <c r="Q1161" i="13"/>
  <c r="AD964" i="13"/>
  <c r="AD997" i="13"/>
  <c r="AF1072" i="13"/>
  <c r="AF1064" i="13"/>
  <c r="AF1069" i="13"/>
  <c r="AF1066" i="13"/>
  <c r="AF1063" i="13"/>
  <c r="AF1065" i="13" s="1"/>
  <c r="AF1068" i="13"/>
  <c r="AF1070" i="13"/>
  <c r="AF1071" i="13"/>
  <c r="AF1067" i="13"/>
  <c r="M1163" i="13" l="1" a="1"/>
  <c r="M1163" i="13" s="1"/>
  <c r="E1163" i="13" a="1"/>
  <c r="E1163" i="13" s="1"/>
  <c r="I1162" i="13" a="1"/>
  <c r="I1162" i="13" s="1"/>
  <c r="L1163" i="13" a="1"/>
  <c r="L1163" i="13" s="1"/>
  <c r="D1163" i="13" a="1"/>
  <c r="D1163" i="13" s="1"/>
  <c r="H1162" i="13" a="1"/>
  <c r="H1162" i="13" s="1"/>
  <c r="K1163" i="13" a="1"/>
  <c r="K1163" i="13" s="1"/>
  <c r="O1162" i="13" a="1"/>
  <c r="O1162" i="13" s="1"/>
  <c r="G1162" i="13" a="1"/>
  <c r="G1162" i="13" s="1"/>
  <c r="J1163" i="13" a="1"/>
  <c r="J1163" i="13" s="1"/>
  <c r="N1162" i="13" a="1"/>
  <c r="N1162" i="13" s="1"/>
  <c r="F1162" i="13" a="1"/>
  <c r="F1162" i="13" s="1"/>
  <c r="I1163" i="13" a="1"/>
  <c r="I1163" i="13" s="1"/>
  <c r="M1162" i="13" a="1"/>
  <c r="M1162" i="13" s="1"/>
  <c r="E1162" i="13" a="1"/>
  <c r="E1162" i="13" s="1"/>
  <c r="H1163" i="13" a="1"/>
  <c r="H1163" i="13" s="1"/>
  <c r="L1162" i="13" a="1"/>
  <c r="L1162" i="13" s="1"/>
  <c r="D1162" i="13" a="1"/>
  <c r="D1162" i="13" s="1"/>
  <c r="N1163" i="13" a="1"/>
  <c r="N1163" i="13" s="1"/>
  <c r="F1163" i="13" a="1"/>
  <c r="F1163" i="13" s="1"/>
  <c r="J1162" i="13" a="1"/>
  <c r="J1162" i="13" s="1"/>
  <c r="O1163" i="13" a="1"/>
  <c r="O1163" i="13" s="1"/>
  <c r="K1162" i="13" a="1"/>
  <c r="K1162" i="13" s="1"/>
  <c r="G1163" i="13" a="1"/>
  <c r="G1163" i="13" s="1"/>
  <c r="KC45" i="9"/>
  <c r="KK48" i="9"/>
  <c r="AD899" i="13"/>
  <c r="AD932" i="13"/>
  <c r="AD1031" i="13"/>
  <c r="AD965" i="13"/>
  <c r="Q1195" i="13"/>
  <c r="AD1097" i="13"/>
  <c r="AF1161" i="13"/>
  <c r="AF1130" i="13"/>
  <c r="AD998" i="13"/>
  <c r="AD1161" i="13"/>
  <c r="AD1130" i="13"/>
  <c r="AD1064" i="13"/>
  <c r="AF1103" i="13"/>
  <c r="AF1100" i="13"/>
  <c r="AF1097" i="13"/>
  <c r="AF1099" i="13" s="1"/>
  <c r="AF1105" i="13"/>
  <c r="AF1104" i="13"/>
  <c r="AF1102" i="13"/>
  <c r="AF1101" i="13"/>
  <c r="AF1098" i="13"/>
  <c r="AF1106" i="13"/>
  <c r="M1197" i="13" l="1" a="1"/>
  <c r="M1197" i="13" s="1"/>
  <c r="E1197" i="13" a="1"/>
  <c r="E1197" i="13" s="1"/>
  <c r="I1196" i="13" a="1"/>
  <c r="I1196" i="13" s="1"/>
  <c r="L1197" i="13" a="1"/>
  <c r="L1197" i="13" s="1"/>
  <c r="D1197" i="13" a="1"/>
  <c r="D1197" i="13" s="1"/>
  <c r="H1196" i="13" a="1"/>
  <c r="H1196" i="13" s="1"/>
  <c r="K1197" i="13" a="1"/>
  <c r="K1197" i="13" s="1"/>
  <c r="O1196" i="13" a="1"/>
  <c r="O1196" i="13" s="1"/>
  <c r="G1196" i="13" a="1"/>
  <c r="G1196" i="13" s="1"/>
  <c r="J1197" i="13" a="1"/>
  <c r="J1197" i="13" s="1"/>
  <c r="N1196" i="13" a="1"/>
  <c r="N1196" i="13" s="1"/>
  <c r="F1196" i="13" a="1"/>
  <c r="F1196" i="13" s="1"/>
  <c r="I1197" i="13" a="1"/>
  <c r="I1197" i="13" s="1"/>
  <c r="M1196" i="13" a="1"/>
  <c r="M1196" i="13" s="1"/>
  <c r="E1196" i="13" a="1"/>
  <c r="E1196" i="13" s="1"/>
  <c r="H1197" i="13" a="1"/>
  <c r="H1197" i="13" s="1"/>
  <c r="L1196" i="13" a="1"/>
  <c r="L1196" i="13" s="1"/>
  <c r="D1196" i="13" a="1"/>
  <c r="D1196" i="13" s="1"/>
  <c r="N1197" i="13" a="1"/>
  <c r="N1197" i="13" s="1"/>
  <c r="F1197" i="13" a="1"/>
  <c r="F1197" i="13" s="1"/>
  <c r="J1196" i="13" a="1"/>
  <c r="J1196" i="13" s="1"/>
  <c r="O1197" i="13" a="1"/>
  <c r="O1197" i="13" s="1"/>
  <c r="G1197" i="13" a="1"/>
  <c r="G1197" i="13" s="1"/>
  <c r="K1196" i="13" a="1"/>
  <c r="K1196" i="13" s="1"/>
  <c r="KC46" i="9"/>
  <c r="KK49" i="9"/>
  <c r="AD1131" i="13"/>
  <c r="AD1032" i="13"/>
  <c r="AD1195" i="13"/>
  <c r="AD1164" i="13"/>
  <c r="AD966" i="13"/>
  <c r="AD933" i="13"/>
  <c r="AF1132" i="13"/>
  <c r="AF1140" i="13"/>
  <c r="AF1134" i="13"/>
  <c r="AF1137" i="13"/>
  <c r="AF1131" i="13"/>
  <c r="AF1133" i="13" s="1"/>
  <c r="AF1139" i="13"/>
  <c r="AF1136" i="13"/>
  <c r="AF1138" i="13"/>
  <c r="AF1135" i="13"/>
  <c r="Q1229" i="13"/>
  <c r="AD1065" i="13"/>
  <c r="AF1195" i="13"/>
  <c r="AF1164" i="13"/>
  <c r="AD1098" i="13"/>
  <c r="AD999" i="13"/>
  <c r="M1231" i="13" l="1" a="1"/>
  <c r="M1231" i="13" s="1"/>
  <c r="E1231" i="13" a="1"/>
  <c r="E1231" i="13" s="1"/>
  <c r="I1230" i="13" a="1"/>
  <c r="I1230" i="13" s="1"/>
  <c r="L1231" i="13" a="1"/>
  <c r="L1231" i="13" s="1"/>
  <c r="D1231" i="13" a="1"/>
  <c r="D1231" i="13" s="1"/>
  <c r="H1230" i="13" a="1"/>
  <c r="H1230" i="13" s="1"/>
  <c r="K1231" i="13" a="1"/>
  <c r="K1231" i="13" s="1"/>
  <c r="O1230" i="13" a="1"/>
  <c r="O1230" i="13" s="1"/>
  <c r="G1230" i="13" a="1"/>
  <c r="G1230" i="13" s="1"/>
  <c r="J1231" i="13" a="1"/>
  <c r="J1231" i="13" s="1"/>
  <c r="N1230" i="13" a="1"/>
  <c r="N1230" i="13" s="1"/>
  <c r="F1230" i="13" a="1"/>
  <c r="F1230" i="13" s="1"/>
  <c r="I1231" i="13" a="1"/>
  <c r="I1231" i="13" s="1"/>
  <c r="M1230" i="13" a="1"/>
  <c r="M1230" i="13" s="1"/>
  <c r="E1230" i="13" a="1"/>
  <c r="E1230" i="13" s="1"/>
  <c r="H1231" i="13" a="1"/>
  <c r="H1231" i="13" s="1"/>
  <c r="L1230" i="13" a="1"/>
  <c r="L1230" i="13" s="1"/>
  <c r="D1230" i="13" a="1"/>
  <c r="D1230" i="13" s="1"/>
  <c r="N1231" i="13" a="1"/>
  <c r="N1231" i="13" s="1"/>
  <c r="F1231" i="13" a="1"/>
  <c r="F1231" i="13" s="1"/>
  <c r="J1230" i="13" a="1"/>
  <c r="J1230" i="13" s="1"/>
  <c r="G1231" i="13" a="1"/>
  <c r="G1231" i="13" s="1"/>
  <c r="K1230" i="13" a="1"/>
  <c r="K1230" i="13" s="1"/>
  <c r="O1231" i="13" a="1"/>
  <c r="O1231" i="13" s="1"/>
  <c r="KC47" i="9"/>
  <c r="KK50" i="9"/>
  <c r="AF1172" i="13"/>
  <c r="AF1174" i="13"/>
  <c r="AF1169" i="13"/>
  <c r="AF1173" i="13"/>
  <c r="AF1171" i="13"/>
  <c r="AF1168" i="13"/>
  <c r="AF1165" i="13"/>
  <c r="AF1167" i="13" s="1"/>
  <c r="AF1166" i="13"/>
  <c r="AF1170" i="13"/>
  <c r="AD1229" i="13"/>
  <c r="AD1198" i="13"/>
  <c r="Q1263" i="13"/>
  <c r="AD1099" i="13"/>
  <c r="AF1198" i="13"/>
  <c r="AF1229" i="13"/>
  <c r="AD1066" i="13"/>
  <c r="AD1132" i="13"/>
  <c r="AD967" i="13"/>
  <c r="AD1033" i="13"/>
  <c r="AD1000" i="13"/>
  <c r="AD1165" i="13"/>
  <c r="M1265" i="13" l="1" a="1"/>
  <c r="M1265" i="13" s="1"/>
  <c r="E1265" i="13" a="1"/>
  <c r="E1265" i="13" s="1"/>
  <c r="I1264" i="13" a="1"/>
  <c r="I1264" i="13" s="1"/>
  <c r="L1265" i="13" a="1"/>
  <c r="L1265" i="13" s="1"/>
  <c r="D1265" i="13" a="1"/>
  <c r="D1265" i="13" s="1"/>
  <c r="H1264" i="13" a="1"/>
  <c r="H1264" i="13" s="1"/>
  <c r="K1265" i="13" a="1"/>
  <c r="K1265" i="13" s="1"/>
  <c r="O1264" i="13" a="1"/>
  <c r="O1264" i="13" s="1"/>
  <c r="G1264" i="13" a="1"/>
  <c r="G1264" i="13" s="1"/>
  <c r="J1265" i="13" a="1"/>
  <c r="J1265" i="13" s="1"/>
  <c r="N1264" i="13" a="1"/>
  <c r="N1264" i="13" s="1"/>
  <c r="F1264" i="13" a="1"/>
  <c r="F1264" i="13" s="1"/>
  <c r="I1265" i="13" a="1"/>
  <c r="I1265" i="13" s="1"/>
  <c r="M1264" i="13" a="1"/>
  <c r="M1264" i="13" s="1"/>
  <c r="E1264" i="13" a="1"/>
  <c r="E1264" i="13" s="1"/>
  <c r="H1265" i="13" a="1"/>
  <c r="H1265" i="13" s="1"/>
  <c r="L1264" i="13" a="1"/>
  <c r="L1264" i="13" s="1"/>
  <c r="D1264" i="13" a="1"/>
  <c r="D1264" i="13" s="1"/>
  <c r="N1265" i="13" a="1"/>
  <c r="N1265" i="13" s="1"/>
  <c r="F1265" i="13" a="1"/>
  <c r="F1265" i="13" s="1"/>
  <c r="J1264" i="13" a="1"/>
  <c r="J1264" i="13" s="1"/>
  <c r="O1265" i="13" a="1"/>
  <c r="O1265" i="13" s="1"/>
  <c r="G1265" i="13" a="1"/>
  <c r="G1265" i="13" s="1"/>
  <c r="K1264" i="13" a="1"/>
  <c r="K1264" i="13" s="1"/>
  <c r="KC48" i="9"/>
  <c r="KK51" i="9"/>
  <c r="AD1100" i="13"/>
  <c r="AD1166" i="13"/>
  <c r="AD1001" i="13"/>
  <c r="AD1034" i="13"/>
  <c r="AD1133" i="13"/>
  <c r="AD1067" i="13"/>
  <c r="AF1263" i="13"/>
  <c r="AF1232" i="13"/>
  <c r="Q1297" i="13"/>
  <c r="AF1205" i="13"/>
  <c r="AF1202" i="13"/>
  <c r="AF1204" i="13"/>
  <c r="AF1206" i="13"/>
  <c r="AF1207" i="13"/>
  <c r="AF1203" i="13"/>
  <c r="AF1200" i="13"/>
  <c r="AF1208" i="13"/>
  <c r="AF1199" i="13"/>
  <c r="AF1201" i="13" s="1"/>
  <c r="AD1199" i="13"/>
  <c r="AD1232" i="13"/>
  <c r="AD1263" i="13"/>
  <c r="M1299" i="13" l="1" a="1"/>
  <c r="M1299" i="13" s="1"/>
  <c r="E1299" i="13" a="1"/>
  <c r="E1299" i="13" s="1"/>
  <c r="I1298" i="13" a="1"/>
  <c r="I1298" i="13" s="1"/>
  <c r="L1299" i="13" a="1"/>
  <c r="L1299" i="13" s="1"/>
  <c r="D1299" i="13" a="1"/>
  <c r="D1299" i="13" s="1"/>
  <c r="H1298" i="13" a="1"/>
  <c r="H1298" i="13" s="1"/>
  <c r="K1299" i="13" a="1"/>
  <c r="K1299" i="13" s="1"/>
  <c r="O1298" i="13" a="1"/>
  <c r="O1298" i="13" s="1"/>
  <c r="G1298" i="13" a="1"/>
  <c r="G1298" i="13" s="1"/>
  <c r="J1299" i="13" a="1"/>
  <c r="J1299" i="13" s="1"/>
  <c r="N1298" i="13" a="1"/>
  <c r="N1298" i="13" s="1"/>
  <c r="F1298" i="13" a="1"/>
  <c r="F1298" i="13" s="1"/>
  <c r="I1299" i="13" a="1"/>
  <c r="I1299" i="13" s="1"/>
  <c r="M1298" i="13" a="1"/>
  <c r="M1298" i="13" s="1"/>
  <c r="E1298" i="13" a="1"/>
  <c r="E1298" i="13" s="1"/>
  <c r="H1299" i="13" a="1"/>
  <c r="H1299" i="13" s="1"/>
  <c r="L1298" i="13" a="1"/>
  <c r="L1298" i="13" s="1"/>
  <c r="D1298" i="13" a="1"/>
  <c r="D1298" i="13" s="1"/>
  <c r="N1299" i="13" a="1"/>
  <c r="N1299" i="13" s="1"/>
  <c r="F1299" i="13" a="1"/>
  <c r="F1299" i="13" s="1"/>
  <c r="J1298" i="13" a="1"/>
  <c r="J1298" i="13" s="1"/>
  <c r="O1299" i="13" a="1"/>
  <c r="O1299" i="13" s="1"/>
  <c r="G1299" i="13" a="1"/>
  <c r="G1299" i="13" s="1"/>
  <c r="K1298" i="13" a="1"/>
  <c r="K1298" i="13" s="1"/>
  <c r="KC49" i="9"/>
  <c r="KK52" i="9"/>
  <c r="AD1134" i="13"/>
  <c r="AD1068" i="13"/>
  <c r="Q1331" i="13"/>
  <c r="AD1035" i="13"/>
  <c r="AD1167" i="13"/>
  <c r="AD1297" i="13"/>
  <c r="AD1266" i="13"/>
  <c r="AF1240" i="13"/>
  <c r="AF1237" i="13"/>
  <c r="AF1242" i="13"/>
  <c r="AF1239" i="13"/>
  <c r="AF1234" i="13"/>
  <c r="AF1236" i="13"/>
  <c r="AF1233" i="13"/>
  <c r="AF1235" i="13" s="1"/>
  <c r="AF1241" i="13"/>
  <c r="AF1238" i="13"/>
  <c r="AD1200" i="13"/>
  <c r="AF1297" i="13"/>
  <c r="AF1266" i="13"/>
  <c r="AD1233" i="13"/>
  <c r="AD1101" i="13"/>
  <c r="M1333" i="13" l="1" a="1"/>
  <c r="M1333" i="13" s="1"/>
  <c r="E1333" i="13" a="1"/>
  <c r="E1333" i="13" s="1"/>
  <c r="I1332" i="13" a="1"/>
  <c r="I1332" i="13" s="1"/>
  <c r="L1333" i="13" a="1"/>
  <c r="L1333" i="13" s="1"/>
  <c r="D1333" i="13" a="1"/>
  <c r="D1333" i="13" s="1"/>
  <c r="H1332" i="13" a="1"/>
  <c r="H1332" i="13" s="1"/>
  <c r="K1333" i="13" a="1"/>
  <c r="K1333" i="13" s="1"/>
  <c r="O1332" i="13" a="1"/>
  <c r="O1332" i="13" s="1"/>
  <c r="G1332" i="13" a="1"/>
  <c r="G1332" i="13" s="1"/>
  <c r="J1333" i="13" a="1"/>
  <c r="J1333" i="13" s="1"/>
  <c r="N1332" i="13" a="1"/>
  <c r="N1332" i="13" s="1"/>
  <c r="F1332" i="13" a="1"/>
  <c r="F1332" i="13" s="1"/>
  <c r="I1333" i="13" a="1"/>
  <c r="I1333" i="13" s="1"/>
  <c r="M1332" i="13" a="1"/>
  <c r="M1332" i="13" s="1"/>
  <c r="E1332" i="13" a="1"/>
  <c r="E1332" i="13" s="1"/>
  <c r="H1333" i="13" a="1"/>
  <c r="H1333" i="13" s="1"/>
  <c r="L1332" i="13" a="1"/>
  <c r="L1332" i="13" s="1"/>
  <c r="D1332" i="13" a="1"/>
  <c r="D1332" i="13" s="1"/>
  <c r="N1333" i="13" a="1"/>
  <c r="N1333" i="13" s="1"/>
  <c r="F1333" i="13" a="1"/>
  <c r="F1333" i="13" s="1"/>
  <c r="J1332" i="13" a="1"/>
  <c r="J1332" i="13" s="1"/>
  <c r="K1332" i="13" a="1"/>
  <c r="K1332" i="13" s="1"/>
  <c r="G1333" i="13" a="1"/>
  <c r="G1333" i="13" s="1"/>
  <c r="O1333" i="13" a="1"/>
  <c r="O1333" i="13" s="1"/>
  <c r="KC50" i="9"/>
  <c r="KK53" i="9"/>
  <c r="AD1102" i="13"/>
  <c r="AD1331" i="13"/>
  <c r="AD1300" i="13"/>
  <c r="AD1168" i="13"/>
  <c r="AF1270" i="13"/>
  <c r="AF1267" i="13"/>
  <c r="AF1269" i="13" s="1"/>
  <c r="AF1275" i="13"/>
  <c r="AF1272" i="13"/>
  <c r="AF1268" i="13"/>
  <c r="AF1274" i="13"/>
  <c r="AF1276" i="13"/>
  <c r="AF1271" i="13"/>
  <c r="AF1273" i="13"/>
  <c r="AF1300" i="13"/>
  <c r="AF1331" i="13"/>
  <c r="AD1069" i="13"/>
  <c r="AD1201" i="13"/>
  <c r="AD1234" i="13"/>
  <c r="AD1267" i="13"/>
  <c r="Q1365" i="13"/>
  <c r="AD1135" i="13"/>
  <c r="M1367" i="13" l="1" a="1"/>
  <c r="M1367" i="13" s="1"/>
  <c r="E1367" i="13" a="1"/>
  <c r="E1367" i="13" s="1"/>
  <c r="I1366" i="13" a="1"/>
  <c r="I1366" i="13" s="1"/>
  <c r="L1367" i="13" a="1"/>
  <c r="L1367" i="13" s="1"/>
  <c r="D1367" i="13" a="1"/>
  <c r="D1367" i="13" s="1"/>
  <c r="H1366" i="13" a="1"/>
  <c r="H1366" i="13" s="1"/>
  <c r="K1367" i="13" a="1"/>
  <c r="K1367" i="13" s="1"/>
  <c r="O1366" i="13" a="1"/>
  <c r="O1366" i="13" s="1"/>
  <c r="G1366" i="13" a="1"/>
  <c r="G1366" i="13" s="1"/>
  <c r="J1367" i="13" a="1"/>
  <c r="J1367" i="13" s="1"/>
  <c r="N1366" i="13" a="1"/>
  <c r="N1366" i="13" s="1"/>
  <c r="F1366" i="13" a="1"/>
  <c r="F1366" i="13" s="1"/>
  <c r="I1367" i="13" a="1"/>
  <c r="I1367" i="13" s="1"/>
  <c r="M1366" i="13" a="1"/>
  <c r="M1366" i="13" s="1"/>
  <c r="E1366" i="13" a="1"/>
  <c r="E1366" i="13" s="1"/>
  <c r="H1367" i="13" a="1"/>
  <c r="H1367" i="13" s="1"/>
  <c r="L1366" i="13" a="1"/>
  <c r="L1366" i="13" s="1"/>
  <c r="D1366" i="13" a="1"/>
  <c r="D1366" i="13" s="1"/>
  <c r="N1367" i="13" a="1"/>
  <c r="N1367" i="13" s="1"/>
  <c r="F1367" i="13" a="1"/>
  <c r="F1367" i="13" s="1"/>
  <c r="J1366" i="13" a="1"/>
  <c r="J1366" i="13" s="1"/>
  <c r="O1367" i="13" a="1"/>
  <c r="O1367" i="13" s="1"/>
  <c r="K1366" i="13" a="1"/>
  <c r="K1366" i="13" s="1"/>
  <c r="G1367" i="13" a="1"/>
  <c r="G1367" i="13" s="1"/>
  <c r="KC51" i="9"/>
  <c r="KK54" i="9"/>
  <c r="AD1202" i="13"/>
  <c r="AD1169" i="13"/>
  <c r="Q1399" i="13"/>
  <c r="AF1365" i="13"/>
  <c r="AF1334" i="13"/>
  <c r="AF1308" i="13"/>
  <c r="AF1305" i="13"/>
  <c r="AF1310" i="13"/>
  <c r="AF1307" i="13"/>
  <c r="AF1301" i="13"/>
  <c r="AF1303" i="13" s="1"/>
  <c r="AF1304" i="13"/>
  <c r="AF1309" i="13"/>
  <c r="AF1302" i="13"/>
  <c r="AF1306" i="13"/>
  <c r="AD1103" i="13"/>
  <c r="AD1301" i="13"/>
  <c r="AD1136" i="13"/>
  <c r="AD1334" i="13"/>
  <c r="AD1365" i="13"/>
  <c r="AD1268" i="13"/>
  <c r="AD1235" i="13"/>
  <c r="M1401" i="13" l="1" a="1"/>
  <c r="M1401" i="13" s="1"/>
  <c r="E1401" i="13" a="1"/>
  <c r="E1401" i="13" s="1"/>
  <c r="I1400" i="13" a="1"/>
  <c r="I1400" i="13" s="1"/>
  <c r="L1401" i="13" a="1"/>
  <c r="L1401" i="13" s="1"/>
  <c r="D1401" i="13" a="1"/>
  <c r="D1401" i="13" s="1"/>
  <c r="H1400" i="13" a="1"/>
  <c r="H1400" i="13" s="1"/>
  <c r="K1401" i="13" a="1"/>
  <c r="K1401" i="13" s="1"/>
  <c r="O1400" i="13" a="1"/>
  <c r="O1400" i="13" s="1"/>
  <c r="G1400" i="13" a="1"/>
  <c r="G1400" i="13" s="1"/>
  <c r="J1401" i="13" a="1"/>
  <c r="J1401" i="13" s="1"/>
  <c r="N1400" i="13" a="1"/>
  <c r="N1400" i="13" s="1"/>
  <c r="F1400" i="13" a="1"/>
  <c r="F1400" i="13" s="1"/>
  <c r="I1401" i="13" a="1"/>
  <c r="I1401" i="13" s="1"/>
  <c r="M1400" i="13" a="1"/>
  <c r="M1400" i="13" s="1"/>
  <c r="E1400" i="13" a="1"/>
  <c r="E1400" i="13" s="1"/>
  <c r="H1401" i="13" a="1"/>
  <c r="H1401" i="13" s="1"/>
  <c r="L1400" i="13" a="1"/>
  <c r="L1400" i="13" s="1"/>
  <c r="D1400" i="13" a="1"/>
  <c r="D1400" i="13" s="1"/>
  <c r="N1401" i="13" a="1"/>
  <c r="N1401" i="13" s="1"/>
  <c r="F1401" i="13" a="1"/>
  <c r="F1401" i="13" s="1"/>
  <c r="J1400" i="13" a="1"/>
  <c r="J1400" i="13" s="1"/>
  <c r="O1401" i="13" a="1"/>
  <c r="O1401" i="13" s="1"/>
  <c r="G1401" i="13" a="1"/>
  <c r="G1401" i="13" s="1"/>
  <c r="K1400" i="13" a="1"/>
  <c r="K1400" i="13" s="1"/>
  <c r="KC52" i="9"/>
  <c r="KK55" i="9"/>
  <c r="AF1338" i="13"/>
  <c r="AF1344" i="13"/>
  <c r="AF1341" i="13"/>
  <c r="AF1343" i="13"/>
  <c r="AF1335" i="13"/>
  <c r="AF1337" i="13" s="1"/>
  <c r="AF1340" i="13"/>
  <c r="AF1342" i="13"/>
  <c r="AF1339" i="13"/>
  <c r="AF1336" i="13"/>
  <c r="AD1302" i="13"/>
  <c r="AF1399" i="13"/>
  <c r="AF1368" i="13"/>
  <c r="AD1203" i="13"/>
  <c r="AD1368" i="13"/>
  <c r="AD1399" i="13"/>
  <c r="AD1170" i="13"/>
  <c r="AD1236" i="13"/>
  <c r="AD1335" i="13"/>
  <c r="AD1137" i="13"/>
  <c r="AD1269" i="13"/>
  <c r="Q1433" i="13"/>
  <c r="M1435" i="13" l="1" a="1"/>
  <c r="M1435" i="13" s="1"/>
  <c r="E1435" i="13" a="1"/>
  <c r="E1435" i="13" s="1"/>
  <c r="I1434" i="13" a="1"/>
  <c r="I1434" i="13" s="1"/>
  <c r="L1435" i="13" a="1"/>
  <c r="L1435" i="13" s="1"/>
  <c r="D1435" i="13" a="1"/>
  <c r="D1435" i="13" s="1"/>
  <c r="H1434" i="13" a="1"/>
  <c r="H1434" i="13" s="1"/>
  <c r="K1435" i="13" a="1"/>
  <c r="K1435" i="13" s="1"/>
  <c r="O1434" i="13" a="1"/>
  <c r="O1434" i="13" s="1"/>
  <c r="G1434" i="13" a="1"/>
  <c r="G1434" i="13" s="1"/>
  <c r="J1435" i="13" a="1"/>
  <c r="J1435" i="13" s="1"/>
  <c r="N1434" i="13" a="1"/>
  <c r="N1434" i="13" s="1"/>
  <c r="F1434" i="13" a="1"/>
  <c r="F1434" i="13" s="1"/>
  <c r="I1435" i="13" a="1"/>
  <c r="I1435" i="13" s="1"/>
  <c r="M1434" i="13" a="1"/>
  <c r="M1434" i="13" s="1"/>
  <c r="E1434" i="13" a="1"/>
  <c r="E1434" i="13" s="1"/>
  <c r="H1435" i="13" a="1"/>
  <c r="H1435" i="13" s="1"/>
  <c r="L1434" i="13" a="1"/>
  <c r="L1434" i="13" s="1"/>
  <c r="D1434" i="13" a="1"/>
  <c r="D1434" i="13" s="1"/>
  <c r="N1435" i="13" a="1"/>
  <c r="N1435" i="13" s="1"/>
  <c r="F1435" i="13" a="1"/>
  <c r="F1435" i="13" s="1"/>
  <c r="J1434" i="13" a="1"/>
  <c r="J1434" i="13" s="1"/>
  <c r="O1435" i="13" a="1"/>
  <c r="O1435" i="13" s="1"/>
  <c r="K1434" i="13" a="1"/>
  <c r="K1434" i="13" s="1"/>
  <c r="G1435" i="13" a="1"/>
  <c r="G1435" i="13" s="1"/>
  <c r="KC53" i="9"/>
  <c r="KK56" i="9"/>
  <c r="AD1336" i="13"/>
  <c r="AD1204" i="13"/>
  <c r="Q1467" i="13"/>
  <c r="AD1402" i="13"/>
  <c r="AD1433" i="13"/>
  <c r="AF1377" i="13"/>
  <c r="AF1376" i="13"/>
  <c r="AF1374" i="13"/>
  <c r="AF1373" i="13"/>
  <c r="AF1370" i="13"/>
  <c r="AF1378" i="13"/>
  <c r="AF1372" i="13"/>
  <c r="AF1369" i="13"/>
  <c r="AF1371" i="13" s="1"/>
  <c r="AF1375" i="13"/>
  <c r="AD1270" i="13"/>
  <c r="AD1369" i="13"/>
  <c r="AF1402" i="13"/>
  <c r="AF1433" i="13"/>
  <c r="AD1171" i="13"/>
  <c r="AD1237" i="13"/>
  <c r="AD1303" i="13"/>
  <c r="M1469" i="13" l="1" a="1"/>
  <c r="M1469" i="13" s="1"/>
  <c r="E1469" i="13" a="1"/>
  <c r="E1469" i="13" s="1"/>
  <c r="I1468" i="13" a="1"/>
  <c r="I1468" i="13" s="1"/>
  <c r="L1469" i="13" a="1"/>
  <c r="L1469" i="13" s="1"/>
  <c r="D1469" i="13" a="1"/>
  <c r="D1469" i="13" s="1"/>
  <c r="H1468" i="13" a="1"/>
  <c r="H1468" i="13" s="1"/>
  <c r="K1469" i="13" a="1"/>
  <c r="K1469" i="13" s="1"/>
  <c r="O1468" i="13" a="1"/>
  <c r="O1468" i="13" s="1"/>
  <c r="G1468" i="13" a="1"/>
  <c r="G1468" i="13" s="1"/>
  <c r="J1469" i="13" a="1"/>
  <c r="J1469" i="13" s="1"/>
  <c r="N1468" i="13" a="1"/>
  <c r="N1468" i="13" s="1"/>
  <c r="F1468" i="13" a="1"/>
  <c r="F1468" i="13" s="1"/>
  <c r="I1469" i="13" a="1"/>
  <c r="I1469" i="13" s="1"/>
  <c r="M1468" i="13" a="1"/>
  <c r="M1468" i="13" s="1"/>
  <c r="E1468" i="13" a="1"/>
  <c r="E1468" i="13" s="1"/>
  <c r="H1469" i="13" a="1"/>
  <c r="H1469" i="13" s="1"/>
  <c r="L1468" i="13" a="1"/>
  <c r="L1468" i="13" s="1"/>
  <c r="D1468" i="13" a="1"/>
  <c r="D1468" i="13" s="1"/>
  <c r="N1469" i="13" a="1"/>
  <c r="N1469" i="13" s="1"/>
  <c r="F1469" i="13" a="1"/>
  <c r="F1469" i="13" s="1"/>
  <c r="J1468" i="13" a="1"/>
  <c r="J1468" i="13" s="1"/>
  <c r="O1469" i="13" a="1"/>
  <c r="O1469" i="13" s="1"/>
  <c r="G1469" i="13" a="1"/>
  <c r="G1469" i="13" s="1"/>
  <c r="K1468" i="13" a="1"/>
  <c r="K1468" i="13" s="1"/>
  <c r="KC54" i="9"/>
  <c r="KK57" i="9"/>
  <c r="AF1467" i="13"/>
  <c r="AF1436" i="13"/>
  <c r="AD1467" i="13"/>
  <c r="AD1436" i="13"/>
  <c r="Q1501" i="13"/>
  <c r="AD1304" i="13"/>
  <c r="AF1403" i="13"/>
  <c r="AF1405" i="13" s="1"/>
  <c r="AF1407" i="13"/>
  <c r="AF1404" i="13"/>
  <c r="AF1408" i="13"/>
  <c r="AF1411" i="13"/>
  <c r="AF1409" i="13"/>
  <c r="AF1412" i="13"/>
  <c r="AF1406" i="13"/>
  <c r="AF1410" i="13"/>
  <c r="AD1370" i="13"/>
  <c r="AD1403" i="13"/>
  <c r="AD1238" i="13"/>
  <c r="AD1271" i="13"/>
  <c r="AD1337" i="13"/>
  <c r="AD1205" i="13"/>
  <c r="M1503" i="13" l="1" a="1"/>
  <c r="M1503" i="13" s="1"/>
  <c r="E1503" i="13" a="1"/>
  <c r="E1503" i="13" s="1"/>
  <c r="I1502" i="13" a="1"/>
  <c r="I1502" i="13" s="1"/>
  <c r="L1503" i="13" a="1"/>
  <c r="L1503" i="13" s="1"/>
  <c r="D1503" i="13" a="1"/>
  <c r="D1503" i="13" s="1"/>
  <c r="H1502" i="13" a="1"/>
  <c r="H1502" i="13" s="1"/>
  <c r="K1503" i="13" a="1"/>
  <c r="K1503" i="13" s="1"/>
  <c r="O1502" i="13" a="1"/>
  <c r="O1502" i="13" s="1"/>
  <c r="G1502" i="13" a="1"/>
  <c r="G1502" i="13" s="1"/>
  <c r="J1503" i="13" a="1"/>
  <c r="J1503" i="13" s="1"/>
  <c r="N1502" i="13" a="1"/>
  <c r="N1502" i="13" s="1"/>
  <c r="F1502" i="13" a="1"/>
  <c r="F1502" i="13" s="1"/>
  <c r="I1503" i="13" a="1"/>
  <c r="I1503" i="13" s="1"/>
  <c r="M1502" i="13" a="1"/>
  <c r="M1502" i="13" s="1"/>
  <c r="E1502" i="13" a="1"/>
  <c r="E1502" i="13" s="1"/>
  <c r="H1503" i="13" a="1"/>
  <c r="H1503" i="13" s="1"/>
  <c r="L1502" i="13" a="1"/>
  <c r="L1502" i="13" s="1"/>
  <c r="D1502" i="13" a="1"/>
  <c r="D1502" i="13" s="1"/>
  <c r="N1503" i="13" a="1"/>
  <c r="N1503" i="13" s="1"/>
  <c r="F1503" i="13" a="1"/>
  <c r="F1503" i="13" s="1"/>
  <c r="J1502" i="13" a="1"/>
  <c r="J1502" i="13" s="1"/>
  <c r="G1503" i="13" a="1"/>
  <c r="G1503" i="13" s="1"/>
  <c r="K1502" i="13" a="1"/>
  <c r="K1502" i="13" s="1"/>
  <c r="O1503" i="13" a="1"/>
  <c r="O1503" i="13" s="1"/>
  <c r="KC55" i="9"/>
  <c r="KK58" i="9"/>
  <c r="Q1535" i="13"/>
  <c r="AF1501" i="13"/>
  <c r="AF1470" i="13"/>
  <c r="AD1305" i="13"/>
  <c r="AD1437" i="13"/>
  <c r="AD1470" i="13"/>
  <c r="AD1501" i="13"/>
  <c r="AD1371" i="13"/>
  <c r="AD1239" i="13"/>
  <c r="AD1338" i="13"/>
  <c r="AD1272" i="13"/>
  <c r="AD1404" i="13"/>
  <c r="AF1441" i="13"/>
  <c r="AF1446" i="13"/>
  <c r="AF1438" i="13"/>
  <c r="AF1440" i="13"/>
  <c r="AF1444" i="13"/>
  <c r="AF1443" i="13"/>
  <c r="AF1442" i="13"/>
  <c r="AF1437" i="13"/>
  <c r="AF1439" i="13" s="1"/>
  <c r="AF1445" i="13"/>
  <c r="M1537" i="13" l="1" a="1"/>
  <c r="M1537" i="13" s="1"/>
  <c r="E1537" i="13" a="1"/>
  <c r="E1537" i="13" s="1"/>
  <c r="I1536" i="13" a="1"/>
  <c r="I1536" i="13" s="1"/>
  <c r="L1537" i="13" a="1"/>
  <c r="L1537" i="13" s="1"/>
  <c r="D1537" i="13" a="1"/>
  <c r="D1537" i="13" s="1"/>
  <c r="H1536" i="13" a="1"/>
  <c r="H1536" i="13" s="1"/>
  <c r="K1537" i="13" a="1"/>
  <c r="K1537" i="13" s="1"/>
  <c r="O1536" i="13" a="1"/>
  <c r="O1536" i="13" s="1"/>
  <c r="G1536" i="13" a="1"/>
  <c r="G1536" i="13" s="1"/>
  <c r="J1537" i="13" a="1"/>
  <c r="J1537" i="13" s="1"/>
  <c r="N1536" i="13" a="1"/>
  <c r="N1536" i="13" s="1"/>
  <c r="F1536" i="13" a="1"/>
  <c r="F1536" i="13" s="1"/>
  <c r="I1537" i="13" a="1"/>
  <c r="I1537" i="13" s="1"/>
  <c r="M1536" i="13" a="1"/>
  <c r="M1536" i="13" s="1"/>
  <c r="E1536" i="13" a="1"/>
  <c r="E1536" i="13" s="1"/>
  <c r="H1537" i="13" a="1"/>
  <c r="H1537" i="13" s="1"/>
  <c r="L1536" i="13" a="1"/>
  <c r="L1536" i="13" s="1"/>
  <c r="D1536" i="13" a="1"/>
  <c r="D1536" i="13" s="1"/>
  <c r="N1537" i="13" a="1"/>
  <c r="N1537" i="13" s="1"/>
  <c r="F1537" i="13" a="1"/>
  <c r="F1537" i="13" s="1"/>
  <c r="J1536" i="13" a="1"/>
  <c r="J1536" i="13" s="1"/>
  <c r="G1537" i="13" a="1"/>
  <c r="G1537" i="13" s="1"/>
  <c r="O1537" i="13" a="1"/>
  <c r="O1537" i="13" s="1"/>
  <c r="K1536" i="13" a="1"/>
  <c r="K1536" i="13" s="1"/>
  <c r="KC56" i="9"/>
  <c r="KK59" i="9"/>
  <c r="AD1273" i="13"/>
  <c r="Q1569" i="13"/>
  <c r="AD1339" i="13"/>
  <c r="AD1306" i="13"/>
  <c r="AD1438" i="13"/>
  <c r="AF1476" i="13"/>
  <c r="AF1478" i="13"/>
  <c r="AF1475" i="13"/>
  <c r="AF1472" i="13"/>
  <c r="AF1477" i="13"/>
  <c r="AF1474" i="13"/>
  <c r="AF1471" i="13"/>
  <c r="AF1473" i="13" s="1"/>
  <c r="AF1479" i="13"/>
  <c r="AF1480" i="13"/>
  <c r="AD1372" i="13"/>
  <c r="AD1535" i="13"/>
  <c r="AD1504" i="13"/>
  <c r="AF1535" i="13"/>
  <c r="AF1504" i="13"/>
  <c r="AD1405" i="13"/>
  <c r="AD1471" i="13"/>
  <c r="M1571" i="13" l="1" a="1"/>
  <c r="M1571" i="13" s="1"/>
  <c r="E1571" i="13" a="1"/>
  <c r="E1571" i="13" s="1"/>
  <c r="I1570" i="13" a="1"/>
  <c r="I1570" i="13" s="1"/>
  <c r="L1571" i="13" a="1"/>
  <c r="L1571" i="13" s="1"/>
  <c r="D1571" i="13" a="1"/>
  <c r="D1571" i="13" s="1"/>
  <c r="H1570" i="13" a="1"/>
  <c r="H1570" i="13" s="1"/>
  <c r="K1571" i="13" a="1"/>
  <c r="K1571" i="13" s="1"/>
  <c r="O1570" i="13" a="1"/>
  <c r="O1570" i="13" s="1"/>
  <c r="G1570" i="13" a="1"/>
  <c r="G1570" i="13" s="1"/>
  <c r="J1571" i="13" a="1"/>
  <c r="J1571" i="13" s="1"/>
  <c r="N1570" i="13" a="1"/>
  <c r="N1570" i="13" s="1"/>
  <c r="F1570" i="13" a="1"/>
  <c r="F1570" i="13" s="1"/>
  <c r="I1571" i="13" a="1"/>
  <c r="I1571" i="13" s="1"/>
  <c r="M1570" i="13" a="1"/>
  <c r="M1570" i="13" s="1"/>
  <c r="E1570" i="13" a="1"/>
  <c r="E1570" i="13" s="1"/>
  <c r="H1571" i="13" a="1"/>
  <c r="H1571" i="13" s="1"/>
  <c r="L1570" i="13" a="1"/>
  <c r="L1570" i="13" s="1"/>
  <c r="D1570" i="13" a="1"/>
  <c r="D1570" i="13" s="1"/>
  <c r="N1571" i="13" a="1"/>
  <c r="N1571" i="13" s="1"/>
  <c r="F1571" i="13" a="1"/>
  <c r="F1571" i="13" s="1"/>
  <c r="J1570" i="13" a="1"/>
  <c r="J1570" i="13" s="1"/>
  <c r="O1571" i="13" a="1"/>
  <c r="O1571" i="13" s="1"/>
  <c r="G1571" i="13" a="1"/>
  <c r="G1571" i="13" s="1"/>
  <c r="K1570" i="13" a="1"/>
  <c r="K1570" i="13" s="1"/>
  <c r="KC57" i="9"/>
  <c r="KK60" i="9"/>
  <c r="AD1307" i="13"/>
  <c r="AD1569" i="13"/>
  <c r="AD1538" i="13"/>
  <c r="AF1511" i="13"/>
  <c r="AF1505" i="13"/>
  <c r="AF1507" i="13" s="1"/>
  <c r="AF1509" i="13"/>
  <c r="AF1513" i="13"/>
  <c r="AF1510" i="13"/>
  <c r="AF1512" i="13"/>
  <c r="AF1506" i="13"/>
  <c r="AF1514" i="13"/>
  <c r="AF1508" i="13"/>
  <c r="AD1340" i="13"/>
  <c r="AD1472" i="13"/>
  <c r="AD1406" i="13"/>
  <c r="AF1569" i="13"/>
  <c r="AF1538" i="13"/>
  <c r="AD1505" i="13"/>
  <c r="AD1373" i="13"/>
  <c r="AD1439" i="13"/>
  <c r="Q1603" i="13"/>
  <c r="M1605" i="13" l="1" a="1"/>
  <c r="M1605" i="13" s="1"/>
  <c r="E1605" i="13" a="1"/>
  <c r="E1605" i="13" s="1"/>
  <c r="I1604" i="13" a="1"/>
  <c r="I1604" i="13" s="1"/>
  <c r="L1605" i="13" a="1"/>
  <c r="L1605" i="13" s="1"/>
  <c r="D1605" i="13" a="1"/>
  <c r="D1605" i="13" s="1"/>
  <c r="H1604" i="13" a="1"/>
  <c r="H1604" i="13" s="1"/>
  <c r="K1605" i="13" a="1"/>
  <c r="K1605" i="13" s="1"/>
  <c r="O1604" i="13" a="1"/>
  <c r="O1604" i="13" s="1"/>
  <c r="G1604" i="13" a="1"/>
  <c r="G1604" i="13" s="1"/>
  <c r="J1605" i="13" a="1"/>
  <c r="J1605" i="13" s="1"/>
  <c r="N1604" i="13" a="1"/>
  <c r="N1604" i="13" s="1"/>
  <c r="F1604" i="13" a="1"/>
  <c r="F1604" i="13" s="1"/>
  <c r="I1605" i="13" a="1"/>
  <c r="I1605" i="13" s="1"/>
  <c r="M1604" i="13" a="1"/>
  <c r="M1604" i="13" s="1"/>
  <c r="E1604" i="13" a="1"/>
  <c r="E1604" i="13" s="1"/>
  <c r="H1605" i="13" a="1"/>
  <c r="H1605" i="13" s="1"/>
  <c r="L1604" i="13" a="1"/>
  <c r="L1604" i="13" s="1"/>
  <c r="D1604" i="13" a="1"/>
  <c r="D1604" i="13" s="1"/>
  <c r="N1605" i="13" a="1"/>
  <c r="N1605" i="13" s="1"/>
  <c r="F1605" i="13" a="1"/>
  <c r="F1605" i="13" s="1"/>
  <c r="J1604" i="13" a="1"/>
  <c r="J1604" i="13" s="1"/>
  <c r="K1604" i="13" a="1"/>
  <c r="K1604" i="13" s="1"/>
  <c r="G1605" i="13" a="1"/>
  <c r="G1605" i="13" s="1"/>
  <c r="O1605" i="13" a="1"/>
  <c r="O1605" i="13" s="1"/>
  <c r="KC58" i="9"/>
  <c r="KK61" i="9"/>
  <c r="AD1440" i="13"/>
  <c r="AD1539" i="13"/>
  <c r="AD1407" i="13"/>
  <c r="AD1572" i="13"/>
  <c r="AD1603" i="13"/>
  <c r="Q1637" i="13"/>
  <c r="AD1341" i="13"/>
  <c r="AD1374" i="13"/>
  <c r="AD1506" i="13"/>
  <c r="AD1473" i="13"/>
  <c r="AF1545" i="13"/>
  <c r="AF1544" i="13"/>
  <c r="AF1547" i="13"/>
  <c r="AF1542" i="13"/>
  <c r="AF1546" i="13"/>
  <c r="AF1543" i="13"/>
  <c r="AF1540" i="13"/>
  <c r="AF1539" i="13"/>
  <c r="AF1541" i="13" s="1"/>
  <c r="AF1548" i="13"/>
  <c r="AF1572" i="13"/>
  <c r="AF1603" i="13"/>
  <c r="M1639" i="13" l="1" a="1"/>
  <c r="M1639" i="13" s="1"/>
  <c r="E1639" i="13" a="1"/>
  <c r="E1639" i="13" s="1"/>
  <c r="I1638" i="13" a="1"/>
  <c r="I1638" i="13" s="1"/>
  <c r="L1639" i="13" a="1"/>
  <c r="L1639" i="13" s="1"/>
  <c r="D1639" i="13" a="1"/>
  <c r="D1639" i="13" s="1"/>
  <c r="H1638" i="13" a="1"/>
  <c r="H1638" i="13" s="1"/>
  <c r="K1639" i="13" a="1"/>
  <c r="K1639" i="13" s="1"/>
  <c r="O1638" i="13" a="1"/>
  <c r="O1638" i="13" s="1"/>
  <c r="G1638" i="13" a="1"/>
  <c r="G1638" i="13" s="1"/>
  <c r="J1639" i="13" a="1"/>
  <c r="J1639" i="13" s="1"/>
  <c r="N1638" i="13" a="1"/>
  <c r="N1638" i="13" s="1"/>
  <c r="F1638" i="13" a="1"/>
  <c r="F1638" i="13" s="1"/>
  <c r="I1639" i="13" a="1"/>
  <c r="I1639" i="13" s="1"/>
  <c r="M1638" i="13" a="1"/>
  <c r="M1638" i="13" s="1"/>
  <c r="E1638" i="13" a="1"/>
  <c r="E1638" i="13" s="1"/>
  <c r="H1639" i="13" a="1"/>
  <c r="H1639" i="13" s="1"/>
  <c r="L1638" i="13" a="1"/>
  <c r="L1638" i="13" s="1"/>
  <c r="D1638" i="13" a="1"/>
  <c r="D1638" i="13" s="1"/>
  <c r="N1639" i="13" a="1"/>
  <c r="N1639" i="13" s="1"/>
  <c r="F1639" i="13" a="1"/>
  <c r="F1639" i="13" s="1"/>
  <c r="J1638" i="13" a="1"/>
  <c r="J1638" i="13" s="1"/>
  <c r="K1638" i="13" a="1"/>
  <c r="K1638" i="13" s="1"/>
  <c r="O1639" i="13" a="1"/>
  <c r="O1639" i="13" s="1"/>
  <c r="G1639" i="13" a="1"/>
  <c r="G1639" i="13" s="1"/>
  <c r="KC59" i="9"/>
  <c r="KK62" i="9"/>
  <c r="AF1581" i="13"/>
  <c r="AF1580" i="13"/>
  <c r="AF1573" i="13"/>
  <c r="AF1575" i="13" s="1"/>
  <c r="AF1577" i="13"/>
  <c r="AF1574" i="13"/>
  <c r="AF1582" i="13"/>
  <c r="AF1579" i="13"/>
  <c r="AF1576" i="13"/>
  <c r="AF1578" i="13"/>
  <c r="AD1375" i="13"/>
  <c r="AD1507" i="13"/>
  <c r="AD1441" i="13"/>
  <c r="AD1637" i="13"/>
  <c r="AD1606" i="13"/>
  <c r="AD1573" i="13"/>
  <c r="Q1671" i="13"/>
  <c r="AF1637" i="13"/>
  <c r="AF1606" i="13"/>
  <c r="AD1474" i="13"/>
  <c r="AD1408" i="13"/>
  <c r="AD1540" i="13"/>
  <c r="M1673" i="13" l="1" a="1"/>
  <c r="M1673" i="13" s="1"/>
  <c r="E1673" i="13" a="1"/>
  <c r="E1673" i="13" s="1"/>
  <c r="I1672" i="13" a="1"/>
  <c r="I1672" i="13" s="1"/>
  <c r="L1673" i="13" a="1"/>
  <c r="L1673" i="13" s="1"/>
  <c r="D1673" i="13" a="1"/>
  <c r="D1673" i="13" s="1"/>
  <c r="H1672" i="13" a="1"/>
  <c r="H1672" i="13" s="1"/>
  <c r="K1673" i="13" a="1"/>
  <c r="K1673" i="13" s="1"/>
  <c r="O1672" i="13" a="1"/>
  <c r="O1672" i="13" s="1"/>
  <c r="G1672" i="13" a="1"/>
  <c r="G1672" i="13" s="1"/>
  <c r="J1673" i="13" a="1"/>
  <c r="J1673" i="13" s="1"/>
  <c r="N1672" i="13" a="1"/>
  <c r="N1672" i="13" s="1"/>
  <c r="F1672" i="13" a="1"/>
  <c r="F1672" i="13" s="1"/>
  <c r="I1673" i="13" a="1"/>
  <c r="I1673" i="13" s="1"/>
  <c r="M1672" i="13" a="1"/>
  <c r="M1672" i="13" s="1"/>
  <c r="E1672" i="13" a="1"/>
  <c r="E1672" i="13" s="1"/>
  <c r="H1673" i="13" a="1"/>
  <c r="H1673" i="13" s="1"/>
  <c r="L1672" i="13" a="1"/>
  <c r="L1672" i="13" s="1"/>
  <c r="D1672" i="13" a="1"/>
  <c r="D1672" i="13" s="1"/>
  <c r="N1673" i="13" a="1"/>
  <c r="N1673" i="13" s="1"/>
  <c r="F1673" i="13" a="1"/>
  <c r="F1673" i="13" s="1"/>
  <c r="J1672" i="13" a="1"/>
  <c r="J1672" i="13" s="1"/>
  <c r="O1673" i="13" a="1"/>
  <c r="O1673" i="13" s="1"/>
  <c r="G1673" i="13" a="1"/>
  <c r="G1673" i="13" s="1"/>
  <c r="K1672" i="13" a="1"/>
  <c r="K1672" i="13" s="1"/>
  <c r="KC60" i="9"/>
  <c r="KK63" i="9"/>
  <c r="AF1614" i="13"/>
  <c r="AF1612" i="13"/>
  <c r="AF1613" i="13"/>
  <c r="AF1616" i="13"/>
  <c r="AF1610" i="13"/>
  <c r="AF1608" i="13"/>
  <c r="AF1615" i="13"/>
  <c r="AF1611" i="13"/>
  <c r="AF1607" i="13"/>
  <c r="AF1609" i="13" s="1"/>
  <c r="AD1541" i="13"/>
  <c r="AD1409" i="13"/>
  <c r="Q1705" i="13"/>
  <c r="AF1640" i="13"/>
  <c r="AF1671" i="13"/>
  <c r="AD1607" i="13"/>
  <c r="AD1574" i="13"/>
  <c r="AD1640" i="13"/>
  <c r="AD1671" i="13"/>
  <c r="AD1442" i="13"/>
  <c r="AD1475" i="13"/>
  <c r="AD1508" i="13"/>
  <c r="M1707" i="13" l="1" a="1"/>
  <c r="M1707" i="13" s="1"/>
  <c r="E1707" i="13" a="1"/>
  <c r="E1707" i="13" s="1"/>
  <c r="I1706" i="13" a="1"/>
  <c r="I1706" i="13" s="1"/>
  <c r="L1707" i="13" a="1"/>
  <c r="L1707" i="13" s="1"/>
  <c r="D1707" i="13" a="1"/>
  <c r="D1707" i="13" s="1"/>
  <c r="H1706" i="13" a="1"/>
  <c r="H1706" i="13" s="1"/>
  <c r="K1707" i="13" a="1"/>
  <c r="K1707" i="13" s="1"/>
  <c r="O1706" i="13" a="1"/>
  <c r="O1706" i="13" s="1"/>
  <c r="G1706" i="13" a="1"/>
  <c r="G1706" i="13" s="1"/>
  <c r="J1707" i="13" a="1"/>
  <c r="J1707" i="13" s="1"/>
  <c r="N1706" i="13" a="1"/>
  <c r="N1706" i="13" s="1"/>
  <c r="F1706" i="13" a="1"/>
  <c r="F1706" i="13" s="1"/>
  <c r="I1707" i="13" a="1"/>
  <c r="I1707" i="13" s="1"/>
  <c r="M1706" i="13" a="1"/>
  <c r="M1706" i="13" s="1"/>
  <c r="E1706" i="13" a="1"/>
  <c r="E1706" i="13" s="1"/>
  <c r="H1707" i="13" a="1"/>
  <c r="H1707" i="13" s="1"/>
  <c r="L1706" i="13" a="1"/>
  <c r="L1706" i="13" s="1"/>
  <c r="D1706" i="13" a="1"/>
  <c r="D1706" i="13" s="1"/>
  <c r="N1707" i="13" a="1"/>
  <c r="N1707" i="13" s="1"/>
  <c r="F1707" i="13" a="1"/>
  <c r="F1707" i="13" s="1"/>
  <c r="J1706" i="13" a="1"/>
  <c r="J1706" i="13" s="1"/>
  <c r="O1707" i="13" a="1"/>
  <c r="O1707" i="13" s="1"/>
  <c r="K1706" i="13" a="1"/>
  <c r="K1706" i="13" s="1"/>
  <c r="G1707" i="13" a="1"/>
  <c r="G1707" i="13" s="1"/>
  <c r="KC61" i="9"/>
  <c r="KK64" i="9"/>
  <c r="AD1476" i="13"/>
  <c r="AD1575" i="13"/>
  <c r="AD1705" i="13"/>
  <c r="AD1674" i="13"/>
  <c r="AD1641" i="13"/>
  <c r="AD1608" i="13"/>
  <c r="Q1739" i="13"/>
  <c r="AD1542" i="13"/>
  <c r="AF1674" i="13"/>
  <c r="AF1705" i="13"/>
  <c r="AD1443" i="13"/>
  <c r="AD1509" i="13"/>
  <c r="AF1645" i="13"/>
  <c r="AF1642" i="13"/>
  <c r="AF1650" i="13"/>
  <c r="AF1647" i="13"/>
  <c r="AF1644" i="13"/>
  <c r="AF1646" i="13"/>
  <c r="AF1649" i="13"/>
  <c r="AF1648" i="13"/>
  <c r="AF1641" i="13"/>
  <c r="AF1643" i="13" s="1"/>
  <c r="M1741" i="13" l="1" a="1"/>
  <c r="M1741" i="13" s="1"/>
  <c r="E1741" i="13" a="1"/>
  <c r="E1741" i="13" s="1"/>
  <c r="I1740" i="13" a="1"/>
  <c r="I1740" i="13" s="1"/>
  <c r="L1741" i="13" a="1"/>
  <c r="L1741" i="13" s="1"/>
  <c r="D1741" i="13" a="1"/>
  <c r="D1741" i="13" s="1"/>
  <c r="H1740" i="13" a="1"/>
  <c r="H1740" i="13" s="1"/>
  <c r="K1741" i="13" a="1"/>
  <c r="K1741" i="13" s="1"/>
  <c r="O1740" i="13" a="1"/>
  <c r="O1740" i="13" s="1"/>
  <c r="G1740" i="13" a="1"/>
  <c r="G1740" i="13" s="1"/>
  <c r="J1741" i="13" a="1"/>
  <c r="J1741" i="13" s="1"/>
  <c r="N1740" i="13" a="1"/>
  <c r="N1740" i="13" s="1"/>
  <c r="F1740" i="13" a="1"/>
  <c r="F1740" i="13" s="1"/>
  <c r="I1741" i="13" a="1"/>
  <c r="I1741" i="13" s="1"/>
  <c r="M1740" i="13" a="1"/>
  <c r="M1740" i="13" s="1"/>
  <c r="E1740" i="13" a="1"/>
  <c r="E1740" i="13" s="1"/>
  <c r="H1741" i="13" a="1"/>
  <c r="H1741" i="13" s="1"/>
  <c r="L1740" i="13" a="1"/>
  <c r="L1740" i="13" s="1"/>
  <c r="D1740" i="13" a="1"/>
  <c r="D1740" i="13" s="1"/>
  <c r="N1741" i="13" a="1"/>
  <c r="N1741" i="13" s="1"/>
  <c r="F1741" i="13" a="1"/>
  <c r="F1741" i="13" s="1"/>
  <c r="J1740" i="13" a="1"/>
  <c r="J1740" i="13" s="1"/>
  <c r="O1741" i="13" a="1"/>
  <c r="O1741" i="13" s="1"/>
  <c r="G1741" i="13" a="1"/>
  <c r="G1741" i="13" s="1"/>
  <c r="K1740" i="13" a="1"/>
  <c r="K1740" i="13" s="1"/>
  <c r="KC62" i="9"/>
  <c r="KK65" i="9"/>
  <c r="KK66" i="9" s="1"/>
  <c r="AF1739" i="13"/>
  <c r="AF1708" i="13"/>
  <c r="AD1642" i="13"/>
  <c r="AD1510" i="13"/>
  <c r="AF1680" i="13"/>
  <c r="AF1683" i="13"/>
  <c r="AF1682" i="13"/>
  <c r="AF1675" i="13"/>
  <c r="AF1677" i="13" s="1"/>
  <c r="AF1679" i="13"/>
  <c r="AF1676" i="13"/>
  <c r="AF1684" i="13"/>
  <c r="AF1678" i="13"/>
  <c r="AF1681" i="13"/>
  <c r="AD1543" i="13"/>
  <c r="AD1609" i="13"/>
  <c r="AD1739" i="13"/>
  <c r="AD1708" i="13"/>
  <c r="AD1477" i="13"/>
  <c r="AD1675" i="13"/>
  <c r="AD1576" i="13"/>
  <c r="Q1773" i="13"/>
  <c r="M1775" i="13" l="1" a="1"/>
  <c r="M1775" i="13" s="1"/>
  <c r="E1775" i="13" a="1"/>
  <c r="E1775" i="13" s="1"/>
  <c r="I1774" i="13" a="1"/>
  <c r="I1774" i="13" s="1"/>
  <c r="L1775" i="13" a="1"/>
  <c r="L1775" i="13" s="1"/>
  <c r="D1775" i="13" a="1"/>
  <c r="D1775" i="13" s="1"/>
  <c r="H1774" i="13" a="1"/>
  <c r="H1774" i="13" s="1"/>
  <c r="K1775" i="13" a="1"/>
  <c r="K1775" i="13" s="1"/>
  <c r="O1774" i="13" a="1"/>
  <c r="O1774" i="13" s="1"/>
  <c r="G1774" i="13" a="1"/>
  <c r="G1774" i="13" s="1"/>
  <c r="J1775" i="13" a="1"/>
  <c r="J1775" i="13" s="1"/>
  <c r="N1774" i="13" a="1"/>
  <c r="N1774" i="13" s="1"/>
  <c r="F1774" i="13" a="1"/>
  <c r="F1774" i="13" s="1"/>
  <c r="I1775" i="13" a="1"/>
  <c r="I1775" i="13" s="1"/>
  <c r="M1774" i="13" a="1"/>
  <c r="M1774" i="13" s="1"/>
  <c r="E1774" i="13" a="1"/>
  <c r="E1774" i="13" s="1"/>
  <c r="H1775" i="13" a="1"/>
  <c r="H1775" i="13" s="1"/>
  <c r="L1774" i="13" a="1"/>
  <c r="L1774" i="13" s="1"/>
  <c r="D1774" i="13" a="1"/>
  <c r="D1774" i="13" s="1"/>
  <c r="N1775" i="13" a="1"/>
  <c r="N1775" i="13" s="1"/>
  <c r="F1775" i="13" a="1"/>
  <c r="F1775" i="13" s="1"/>
  <c r="J1774" i="13" a="1"/>
  <c r="J1774" i="13" s="1"/>
  <c r="G1775" i="13" a="1"/>
  <c r="G1775" i="13" s="1"/>
  <c r="K1774" i="13" a="1"/>
  <c r="K1774" i="13" s="1"/>
  <c r="O1775" i="13" a="1"/>
  <c r="O1775" i="13" s="1"/>
  <c r="KK67" i="9"/>
  <c r="KC63" i="9"/>
  <c r="AD1676" i="13"/>
  <c r="AD1643" i="13"/>
  <c r="Q1807" i="13"/>
  <c r="AD1709" i="13"/>
  <c r="AD1511" i="13"/>
  <c r="AF1718" i="13"/>
  <c r="AF1712" i="13"/>
  <c r="AF1709" i="13"/>
  <c r="AF1711" i="13" s="1"/>
  <c r="AF1717" i="13"/>
  <c r="AF1714" i="13"/>
  <c r="AF1716" i="13"/>
  <c r="AF1713" i="13"/>
  <c r="AF1710" i="13"/>
  <c r="AF1715" i="13"/>
  <c r="AD1773" i="13"/>
  <c r="AD1742" i="13"/>
  <c r="AD1610" i="13"/>
  <c r="AF1742" i="13"/>
  <c r="AF1773" i="13"/>
  <c r="AD1577" i="13"/>
  <c r="AD1544" i="13"/>
  <c r="M1809" i="13" l="1" a="1"/>
  <c r="M1809" i="13" s="1"/>
  <c r="E1809" i="13" a="1"/>
  <c r="E1809" i="13" s="1"/>
  <c r="I1808" i="13" a="1"/>
  <c r="I1808" i="13" s="1"/>
  <c r="L1809" i="13" a="1"/>
  <c r="L1809" i="13" s="1"/>
  <c r="D1809" i="13" a="1"/>
  <c r="D1809" i="13" s="1"/>
  <c r="H1808" i="13" a="1"/>
  <c r="H1808" i="13" s="1"/>
  <c r="K1809" i="13" a="1"/>
  <c r="K1809" i="13" s="1"/>
  <c r="O1808" i="13" a="1"/>
  <c r="O1808" i="13" s="1"/>
  <c r="G1808" i="13" a="1"/>
  <c r="G1808" i="13" s="1"/>
  <c r="J1809" i="13" a="1"/>
  <c r="J1809" i="13" s="1"/>
  <c r="N1808" i="13" a="1"/>
  <c r="N1808" i="13" s="1"/>
  <c r="F1808" i="13" a="1"/>
  <c r="F1808" i="13" s="1"/>
  <c r="I1809" i="13" a="1"/>
  <c r="I1809" i="13" s="1"/>
  <c r="M1808" i="13" a="1"/>
  <c r="M1808" i="13" s="1"/>
  <c r="E1808" i="13" a="1"/>
  <c r="E1808" i="13" s="1"/>
  <c r="H1809" i="13" a="1"/>
  <c r="H1809" i="13" s="1"/>
  <c r="L1808" i="13" a="1"/>
  <c r="L1808" i="13" s="1"/>
  <c r="D1808" i="13" a="1"/>
  <c r="D1808" i="13" s="1"/>
  <c r="N1809" i="13" a="1"/>
  <c r="N1809" i="13" s="1"/>
  <c r="F1809" i="13" a="1"/>
  <c r="F1809" i="13" s="1"/>
  <c r="J1808" i="13" a="1"/>
  <c r="J1808" i="13" s="1"/>
  <c r="O1809" i="13" a="1"/>
  <c r="O1809" i="13" s="1"/>
  <c r="G1809" i="13" a="1"/>
  <c r="G1809" i="13" s="1"/>
  <c r="K1808" i="13" a="1"/>
  <c r="K1808" i="13" s="1"/>
  <c r="KK68" i="9"/>
  <c r="KC64" i="9"/>
  <c r="Q1841" i="13"/>
  <c r="AD1644" i="13"/>
  <c r="AD1611" i="13"/>
  <c r="AD1807" i="13"/>
  <c r="AD1776" i="13"/>
  <c r="AD1710" i="13"/>
  <c r="AF1807" i="13"/>
  <c r="AF1776" i="13"/>
  <c r="AD1677" i="13"/>
  <c r="AD1545" i="13"/>
  <c r="AD1578" i="13"/>
  <c r="AF1744" i="13"/>
  <c r="AF1752" i="13"/>
  <c r="AF1749" i="13"/>
  <c r="AF1743" i="13"/>
  <c r="AF1745" i="13" s="1"/>
  <c r="AF1751" i="13"/>
  <c r="AF1748" i="13"/>
  <c r="AF1750" i="13"/>
  <c r="AF1746" i="13"/>
  <c r="AF1747" i="13"/>
  <c r="AD1743" i="13"/>
  <c r="M1843" i="13" l="1" a="1"/>
  <c r="M1843" i="13" s="1"/>
  <c r="E1843" i="13" a="1"/>
  <c r="E1843" i="13" s="1"/>
  <c r="I1842" i="13" a="1"/>
  <c r="I1842" i="13" s="1"/>
  <c r="L1843" i="13" a="1"/>
  <c r="L1843" i="13" s="1"/>
  <c r="D1843" i="13" a="1"/>
  <c r="D1843" i="13" s="1"/>
  <c r="H1842" i="13" a="1"/>
  <c r="H1842" i="13" s="1"/>
  <c r="K1843" i="13" a="1"/>
  <c r="K1843" i="13" s="1"/>
  <c r="O1842" i="13" a="1"/>
  <c r="O1842" i="13" s="1"/>
  <c r="G1842" i="13" a="1"/>
  <c r="G1842" i="13" s="1"/>
  <c r="J1843" i="13" a="1"/>
  <c r="J1843" i="13" s="1"/>
  <c r="N1842" i="13" a="1"/>
  <c r="N1842" i="13" s="1"/>
  <c r="F1842" i="13" a="1"/>
  <c r="F1842" i="13" s="1"/>
  <c r="I1843" i="13" a="1"/>
  <c r="I1843" i="13" s="1"/>
  <c r="M1842" i="13" a="1"/>
  <c r="M1842" i="13" s="1"/>
  <c r="E1842" i="13" a="1"/>
  <c r="E1842" i="13" s="1"/>
  <c r="H1843" i="13" a="1"/>
  <c r="H1843" i="13" s="1"/>
  <c r="L1842" i="13" a="1"/>
  <c r="L1842" i="13" s="1"/>
  <c r="D1842" i="13" a="1"/>
  <c r="D1842" i="13" s="1"/>
  <c r="N1843" i="13" a="1"/>
  <c r="N1843" i="13" s="1"/>
  <c r="F1843" i="13" a="1"/>
  <c r="F1843" i="13" s="1"/>
  <c r="J1842" i="13" a="1"/>
  <c r="J1842" i="13" s="1"/>
  <c r="O1843" i="13" a="1"/>
  <c r="O1843" i="13" s="1"/>
  <c r="G1843" i="13" a="1"/>
  <c r="G1843" i="13" s="1"/>
  <c r="K1842" i="13" a="1"/>
  <c r="K1842" i="13" s="1"/>
  <c r="KK69" i="9"/>
  <c r="KC65" i="9"/>
  <c r="KC66" i="9" s="1"/>
  <c r="KC67" i="9" s="1"/>
  <c r="AF1786" i="13"/>
  <c r="AF1783" i="13"/>
  <c r="AF1778" i="13"/>
  <c r="AF1780" i="13"/>
  <c r="AF1785" i="13"/>
  <c r="AF1777" i="13"/>
  <c r="AF1779" i="13" s="1"/>
  <c r="AF1782" i="13"/>
  <c r="AF1784" i="13"/>
  <c r="AF1781" i="13"/>
  <c r="AF1841" i="13"/>
  <c r="AF1810" i="13"/>
  <c r="AD1612" i="13"/>
  <c r="AD1744" i="13"/>
  <c r="Q1875" i="13"/>
  <c r="AD1678" i="13"/>
  <c r="AD1777" i="13"/>
  <c r="AD1579" i="13"/>
  <c r="AD1841" i="13"/>
  <c r="AD1810" i="13"/>
  <c r="AD1711" i="13"/>
  <c r="AD1645" i="13"/>
  <c r="Q1909" i="13" l="1"/>
  <c r="M1877" i="13" a="1"/>
  <c r="M1877" i="13" s="1"/>
  <c r="E1877" i="13" a="1"/>
  <c r="E1877" i="13" s="1"/>
  <c r="I1876" i="13" a="1"/>
  <c r="I1876" i="13" s="1"/>
  <c r="L1877" i="13" a="1"/>
  <c r="L1877" i="13" s="1"/>
  <c r="D1877" i="13" a="1"/>
  <c r="D1877" i="13" s="1"/>
  <c r="H1876" i="13" a="1"/>
  <c r="H1876" i="13" s="1"/>
  <c r="K1877" i="13" a="1"/>
  <c r="K1877" i="13" s="1"/>
  <c r="O1876" i="13" a="1"/>
  <c r="O1876" i="13" s="1"/>
  <c r="G1876" i="13" a="1"/>
  <c r="G1876" i="13" s="1"/>
  <c r="J1877" i="13" a="1"/>
  <c r="J1877" i="13" s="1"/>
  <c r="N1876" i="13" a="1"/>
  <c r="N1876" i="13" s="1"/>
  <c r="F1876" i="13" a="1"/>
  <c r="F1876" i="13" s="1"/>
  <c r="I1877" i="13" a="1"/>
  <c r="I1877" i="13" s="1"/>
  <c r="M1876" i="13" a="1"/>
  <c r="M1876" i="13" s="1"/>
  <c r="E1876" i="13" a="1"/>
  <c r="E1876" i="13" s="1"/>
  <c r="H1877" i="13" a="1"/>
  <c r="H1877" i="13" s="1"/>
  <c r="L1876" i="13" a="1"/>
  <c r="L1876" i="13" s="1"/>
  <c r="D1876" i="13" a="1"/>
  <c r="D1876" i="13" s="1"/>
  <c r="N1877" i="13" a="1"/>
  <c r="N1877" i="13" s="1"/>
  <c r="F1877" i="13" a="1"/>
  <c r="F1877" i="13" s="1"/>
  <c r="J1876" i="13" a="1"/>
  <c r="J1876" i="13" s="1"/>
  <c r="K1876" i="13" a="1"/>
  <c r="K1876" i="13" s="1"/>
  <c r="G1877" i="13" a="1"/>
  <c r="G1877" i="13" s="1"/>
  <c r="O1877" i="13" a="1"/>
  <c r="O1877" i="13" s="1"/>
  <c r="KK70" i="9"/>
  <c r="KC68" i="9"/>
  <c r="AD1646" i="13"/>
  <c r="AD1875" i="13"/>
  <c r="AD1844" i="13"/>
  <c r="AD1745" i="13"/>
  <c r="AD1811" i="13"/>
  <c r="AD1613" i="13"/>
  <c r="AD1778" i="13"/>
  <c r="AF1812" i="13"/>
  <c r="AF1819" i="13"/>
  <c r="AF1815" i="13"/>
  <c r="AF1818" i="13"/>
  <c r="AF1820" i="13"/>
  <c r="AF1814" i="13"/>
  <c r="AF1811" i="13"/>
  <c r="AF1813" i="13" s="1"/>
  <c r="AF1816" i="13"/>
  <c r="AF1817" i="13"/>
  <c r="AD1712" i="13"/>
  <c r="AD1679" i="13"/>
  <c r="AF1875" i="13"/>
  <c r="AF1844" i="13"/>
  <c r="AF1878" i="13" l="1"/>
  <c r="AF1909" i="13"/>
  <c r="AD1878" i="13"/>
  <c r="AD1909" i="13"/>
  <c r="Q1943" i="13"/>
  <c r="H1910" i="13" a="1"/>
  <c r="H1910" i="13" s="1"/>
  <c r="D1910" i="13" a="1"/>
  <c r="D1910" i="13" s="1"/>
  <c r="J1911" i="13" a="1"/>
  <c r="J1911" i="13" s="1"/>
  <c r="F1911" i="13" a="1"/>
  <c r="F1911" i="13" s="1"/>
  <c r="L1910" i="13" a="1"/>
  <c r="L1910" i="13" s="1"/>
  <c r="N1911" i="13" a="1"/>
  <c r="N1911" i="13" s="1"/>
  <c r="G1910" i="13" a="1"/>
  <c r="G1910" i="13" s="1"/>
  <c r="H1911" i="13" a="1"/>
  <c r="H1911" i="13" s="1"/>
  <c r="M1911" i="13" a="1"/>
  <c r="M1911" i="13" s="1"/>
  <c r="E1911" i="13" a="1"/>
  <c r="E1911" i="13" s="1"/>
  <c r="K1910" i="13" a="1"/>
  <c r="K1910" i="13" s="1"/>
  <c r="L1911" i="13" a="1"/>
  <c r="L1911" i="13" s="1"/>
  <c r="D1911" i="13" a="1"/>
  <c r="D1911" i="13" s="1"/>
  <c r="O1910" i="13" a="1"/>
  <c r="O1910" i="13" s="1"/>
  <c r="E1910" i="13" a="1"/>
  <c r="E1910" i="13" s="1"/>
  <c r="F1910" i="13" a="1"/>
  <c r="F1910" i="13" s="1"/>
  <c r="O1911" i="13" a="1"/>
  <c r="O1911" i="13" s="1"/>
  <c r="I1910" i="13" a="1"/>
  <c r="I1910" i="13" s="1"/>
  <c r="J1910" i="13" a="1"/>
  <c r="J1910" i="13" s="1"/>
  <c r="K1911" i="13" a="1"/>
  <c r="K1911" i="13" s="1"/>
  <c r="G1911" i="13" a="1"/>
  <c r="G1911" i="13" s="1"/>
  <c r="M1910" i="13" a="1"/>
  <c r="M1910" i="13" s="1"/>
  <c r="N1910" i="13" a="1"/>
  <c r="N1910" i="13" s="1"/>
  <c r="I1911" i="13" a="1"/>
  <c r="I1911" i="13" s="1"/>
  <c r="KC69" i="9"/>
  <c r="KK71" i="9"/>
  <c r="AD1845" i="13"/>
  <c r="AD1647" i="13"/>
  <c r="AD1680" i="13"/>
  <c r="AF1854" i="13"/>
  <c r="AF1848" i="13"/>
  <c r="AF1845" i="13"/>
  <c r="AF1847" i="13" s="1"/>
  <c r="AF1851" i="13"/>
  <c r="AF1853" i="13"/>
  <c r="AF1850" i="13"/>
  <c r="AF1852" i="13"/>
  <c r="AF1849" i="13"/>
  <c r="AF1846" i="13"/>
  <c r="AD1879" i="13"/>
  <c r="AD1779" i="13"/>
  <c r="AF1885" i="13"/>
  <c r="AF1882" i="13"/>
  <c r="AF1879" i="13"/>
  <c r="AF1881" i="13" s="1"/>
  <c r="AF1887" i="13"/>
  <c r="AF1884" i="13"/>
  <c r="AF1880" i="13"/>
  <c r="AF1883" i="13"/>
  <c r="AF1888" i="13"/>
  <c r="AF1886" i="13"/>
  <c r="AD1713" i="13"/>
  <c r="AD1812" i="13"/>
  <c r="AD1746" i="13"/>
  <c r="Q1977" i="13" l="1"/>
  <c r="H1945" i="13" a="1"/>
  <c r="H1945" i="13" s="1"/>
  <c r="K1944" i="13" a="1"/>
  <c r="K1944" i="13" s="1"/>
  <c r="I1944" i="13" a="1"/>
  <c r="I1944" i="13" s="1"/>
  <c r="E1945" i="13" a="1"/>
  <c r="E1945" i="13" s="1"/>
  <c r="M1944" i="13" a="1"/>
  <c r="M1944" i="13" s="1"/>
  <c r="J1944" i="13" a="1"/>
  <c r="J1944" i="13" s="1"/>
  <c r="D1945" i="13" a="1"/>
  <c r="D1945" i="13" s="1"/>
  <c r="G1944" i="13" a="1"/>
  <c r="G1944" i="13" s="1"/>
  <c r="N1945" i="13" a="1"/>
  <c r="N1945" i="13" s="1"/>
  <c r="K1945" i="13" a="1"/>
  <c r="K1945" i="13" s="1"/>
  <c r="N1944" i="13" a="1"/>
  <c r="N1944" i="13" s="1"/>
  <c r="L1944" i="13" a="1"/>
  <c r="L1944" i="13" s="1"/>
  <c r="J1945" i="13" a="1"/>
  <c r="J1945" i="13" s="1"/>
  <c r="O1944" i="13" a="1"/>
  <c r="O1944" i="13" s="1"/>
  <c r="M1945" i="13" a="1"/>
  <c r="M1945" i="13" s="1"/>
  <c r="H1944" i="13" a="1"/>
  <c r="H1944" i="13" s="1"/>
  <c r="F1944" i="13" a="1"/>
  <c r="F1944" i="13" s="1"/>
  <c r="G1945" i="13" a="1"/>
  <c r="G1945" i="13" s="1"/>
  <c r="L1945" i="13" a="1"/>
  <c r="L1945" i="13" s="1"/>
  <c r="I1945" i="13" a="1"/>
  <c r="I1945" i="13" s="1"/>
  <c r="O1945" i="13" a="1"/>
  <c r="O1945" i="13" s="1"/>
  <c r="F1945" i="13" a="1"/>
  <c r="F1945" i="13" s="1"/>
  <c r="E1944" i="13" a="1"/>
  <c r="E1944" i="13" s="1"/>
  <c r="D1944" i="13" a="1"/>
  <c r="D1944" i="13" s="1"/>
  <c r="AD1943" i="13"/>
  <c r="AD1912" i="13"/>
  <c r="AD1913" i="13" s="1"/>
  <c r="AD1914" i="13" s="1"/>
  <c r="AD1915" i="13" s="1"/>
  <c r="AD1916" i="13" s="1"/>
  <c r="AD1917" i="13" s="1"/>
  <c r="AD1918" i="13" s="1"/>
  <c r="AD1919" i="13" s="1"/>
  <c r="AF1943" i="13"/>
  <c r="AF1912" i="13"/>
  <c r="KK72" i="9"/>
  <c r="KC70" i="9"/>
  <c r="AD1714" i="13"/>
  <c r="AD1681" i="13"/>
  <c r="AD1813" i="13"/>
  <c r="AD1747" i="13"/>
  <c r="AD1846" i="13"/>
  <c r="AD1780" i="13"/>
  <c r="AD1880" i="13"/>
  <c r="AF1946" i="13" l="1"/>
  <c r="AF1977" i="13"/>
  <c r="AD1946" i="13"/>
  <c r="AD1947" i="13" s="1"/>
  <c r="AD1948" i="13" s="1"/>
  <c r="AD1949" i="13" s="1"/>
  <c r="AD1950" i="13" s="1"/>
  <c r="AD1951" i="13" s="1"/>
  <c r="AD1952" i="13" s="1"/>
  <c r="AD1953" i="13" s="1"/>
  <c r="AD1977" i="13"/>
  <c r="AF1922" i="13"/>
  <c r="AF1919" i="13"/>
  <c r="AF1916" i="13"/>
  <c r="AF1921" i="13"/>
  <c r="AF1920" i="13"/>
  <c r="AF1917" i="13"/>
  <c r="AF1918" i="13"/>
  <c r="AF1914" i="13"/>
  <c r="AF1913" i="13"/>
  <c r="AF1915" i="13" s="1"/>
  <c r="Q2011" i="13"/>
  <c r="K1979" i="13" a="1"/>
  <c r="K1979" i="13" s="1"/>
  <c r="J1978" i="13" a="1"/>
  <c r="J1978" i="13" s="1"/>
  <c r="E1979" i="13" a="1"/>
  <c r="E1979" i="13" s="1"/>
  <c r="L1978" i="13" a="1"/>
  <c r="L1978" i="13" s="1"/>
  <c r="J1979" i="13" a="1"/>
  <c r="J1979" i="13" s="1"/>
  <c r="H1978" i="13" a="1"/>
  <c r="H1978" i="13" s="1"/>
  <c r="M1979" i="13" a="1"/>
  <c r="M1979" i="13" s="1"/>
  <c r="I1979" i="13" a="1"/>
  <c r="I1979" i="13" s="1"/>
  <c r="F1978" i="13" a="1"/>
  <c r="F1978" i="13" s="1"/>
  <c r="O1979" i="13" a="1"/>
  <c r="O1979" i="13" s="1"/>
  <c r="G1979" i="13" a="1"/>
  <c r="G1979" i="13" s="1"/>
  <c r="D1978" i="13" a="1"/>
  <c r="D1978" i="13" s="1"/>
  <c r="N1979" i="13" a="1"/>
  <c r="N1979" i="13" s="1"/>
  <c r="F1979" i="13" a="1"/>
  <c r="F1979" i="13" s="1"/>
  <c r="N1978" i="13" a="1"/>
  <c r="N1978" i="13" s="1"/>
  <c r="M1978" i="13" a="1"/>
  <c r="M1978" i="13" s="1"/>
  <c r="O1978" i="13" a="1"/>
  <c r="O1978" i="13" s="1"/>
  <c r="D1979" i="13" a="1"/>
  <c r="D1979" i="13" s="1"/>
  <c r="H1979" i="13" a="1"/>
  <c r="H1979" i="13" s="1"/>
  <c r="K1978" i="13" a="1"/>
  <c r="K1978" i="13" s="1"/>
  <c r="L1979" i="13" a="1"/>
  <c r="L1979" i="13" s="1"/>
  <c r="E1978" i="13" a="1"/>
  <c r="E1978" i="13" s="1"/>
  <c r="I1978" i="13" a="1"/>
  <c r="I1978" i="13" s="1"/>
  <c r="G1978" i="13" a="1"/>
  <c r="G1978" i="13" s="1"/>
  <c r="KC71" i="9"/>
  <c r="KK73" i="9"/>
  <c r="AD1881" i="13"/>
  <c r="AD1715" i="13"/>
  <c r="AD1748" i="13"/>
  <c r="AD1847" i="13"/>
  <c r="AD1814" i="13"/>
  <c r="AD1781" i="13"/>
  <c r="K2013" i="13" l="1" a="1"/>
  <c r="K2013" i="13" s="1"/>
  <c r="Q2045" i="13"/>
  <c r="I2013" i="13" a="1"/>
  <c r="I2013" i="13" s="1"/>
  <c r="L2012" i="13" a="1"/>
  <c r="L2012" i="13" s="1"/>
  <c r="D2012" i="13" a="1"/>
  <c r="D2012" i="13" s="1"/>
  <c r="J2012" i="13" a="1"/>
  <c r="J2012" i="13" s="1"/>
  <c r="F2012" i="13" a="1"/>
  <c r="F2012" i="13" s="1"/>
  <c r="O2012" i="13" a="1"/>
  <c r="O2012" i="13" s="1"/>
  <c r="E2013" i="13" a="1"/>
  <c r="E2013" i="13" s="1"/>
  <c r="N2013" i="13" a="1"/>
  <c r="N2013" i="13" s="1"/>
  <c r="O2013" i="13" a="1"/>
  <c r="O2013" i="13" s="1"/>
  <c r="G2013" i="13" a="1"/>
  <c r="G2013" i="13" s="1"/>
  <c r="M2012" i="13" a="1"/>
  <c r="M2012" i="13" s="1"/>
  <c r="J2013" i="13" a="1"/>
  <c r="J2013" i="13" s="1"/>
  <c r="K2012" i="13" a="1"/>
  <c r="K2012" i="13" s="1"/>
  <c r="I2012" i="13" a="1"/>
  <c r="I2012" i="13" s="1"/>
  <c r="F2013" i="13" a="1"/>
  <c r="F2013" i="13" s="1"/>
  <c r="L2013" i="13" a="1"/>
  <c r="L2013" i="13" s="1"/>
  <c r="G2012" i="13" a="1"/>
  <c r="G2012" i="13" s="1"/>
  <c r="M2013" i="13" a="1"/>
  <c r="M2013" i="13" s="1"/>
  <c r="N2012" i="13" a="1"/>
  <c r="N2012" i="13" s="1"/>
  <c r="E2012" i="13" a="1"/>
  <c r="E2012" i="13" s="1"/>
  <c r="H2012" i="13" a="1"/>
  <c r="H2012" i="13" s="1"/>
  <c r="H2013" i="13" a="1"/>
  <c r="H2013" i="13" s="1"/>
  <c r="D2013" i="13" a="1"/>
  <c r="D2013" i="13" s="1"/>
  <c r="AD2011" i="13"/>
  <c r="AD1980" i="13"/>
  <c r="AD1981" i="13" s="1"/>
  <c r="AD1982" i="13" s="1"/>
  <c r="AD1983" i="13" s="1"/>
  <c r="AD1984" i="13" s="1"/>
  <c r="AD1985" i="13" s="1"/>
  <c r="AD1986" i="13" s="1"/>
  <c r="AD1987" i="13" s="1"/>
  <c r="AF2011" i="13"/>
  <c r="AF1980" i="13"/>
  <c r="AF1951" i="13"/>
  <c r="AF1952" i="13"/>
  <c r="AF1948" i="13"/>
  <c r="AF1956" i="13"/>
  <c r="AF1947" i="13"/>
  <c r="AF1949" i="13" s="1"/>
  <c r="AF1953" i="13"/>
  <c r="AF1950" i="13"/>
  <c r="AF1955" i="13"/>
  <c r="AF1954" i="13"/>
  <c r="KC72" i="9"/>
  <c r="KK74" i="9"/>
  <c r="AD1782" i="13"/>
  <c r="AD1815" i="13"/>
  <c r="AD1848" i="13"/>
  <c r="AD1749" i="13"/>
  <c r="AD1882" i="13"/>
  <c r="AF1982" i="13" l="1"/>
  <c r="AF1981" i="13"/>
  <c r="AF1983" i="13" s="1"/>
  <c r="AF1990" i="13"/>
  <c r="AF1987" i="13"/>
  <c r="AF1984" i="13"/>
  <c r="AF1985" i="13"/>
  <c r="AF1988" i="13"/>
  <c r="AF1989" i="13"/>
  <c r="AF1986" i="13"/>
  <c r="AF2014" i="13"/>
  <c r="AF2045" i="13"/>
  <c r="AD2014" i="13"/>
  <c r="AD2015" i="13" s="1"/>
  <c r="AD2016" i="13" s="1"/>
  <c r="AD2017" i="13" s="1"/>
  <c r="AD2018" i="13" s="1"/>
  <c r="AD2019" i="13" s="1"/>
  <c r="AD2020" i="13" s="1"/>
  <c r="AD2021" i="13" s="1"/>
  <c r="AD2045" i="13"/>
  <c r="Q2079" i="13"/>
  <c r="O2046" i="13" a="1"/>
  <c r="O2046" i="13" s="1"/>
  <c r="D2046" i="13" a="1"/>
  <c r="D2046" i="13" s="1"/>
  <c r="G2046" i="13" a="1"/>
  <c r="G2046" i="13" s="1"/>
  <c r="F2046" i="13" a="1"/>
  <c r="F2046" i="13" s="1"/>
  <c r="N2046" i="13" a="1"/>
  <c r="N2046" i="13" s="1"/>
  <c r="N2047" i="13" a="1"/>
  <c r="N2047" i="13" s="1"/>
  <c r="L2046" i="13" a="1"/>
  <c r="L2046" i="13" s="1"/>
  <c r="D2047" i="13" a="1"/>
  <c r="D2047" i="13" s="1"/>
  <c r="L2047" i="13" a="1"/>
  <c r="L2047" i="13" s="1"/>
  <c r="K2046" i="13" a="1"/>
  <c r="K2046" i="13" s="1"/>
  <c r="H2046" i="13" a="1"/>
  <c r="H2046" i="13" s="1"/>
  <c r="J2047" i="13" a="1"/>
  <c r="J2047" i="13" s="1"/>
  <c r="J2046" i="13" a="1"/>
  <c r="J2046" i="13" s="1"/>
  <c r="H2047" i="13" a="1"/>
  <c r="H2047" i="13" s="1"/>
  <c r="F2047" i="13" a="1"/>
  <c r="F2047" i="13" s="1"/>
  <c r="I2047" i="13" a="1"/>
  <c r="I2047" i="13" s="1"/>
  <c r="E2047" i="13" a="1"/>
  <c r="E2047" i="13" s="1"/>
  <c r="G2047" i="13" a="1"/>
  <c r="G2047" i="13" s="1"/>
  <c r="M2047" i="13" a="1"/>
  <c r="M2047" i="13" s="1"/>
  <c r="K2047" i="13" a="1"/>
  <c r="K2047" i="13" s="1"/>
  <c r="E2046" i="13" a="1"/>
  <c r="E2046" i="13" s="1"/>
  <c r="O2047" i="13" a="1"/>
  <c r="O2047" i="13" s="1"/>
  <c r="I2046" i="13" a="1"/>
  <c r="I2046" i="13" s="1"/>
  <c r="M2046" i="13" a="1"/>
  <c r="M2046" i="13" s="1"/>
  <c r="KK75" i="9"/>
  <c r="KK76" i="9" s="1"/>
  <c r="KK77" i="9" s="1"/>
  <c r="KC73" i="9"/>
  <c r="AD1883" i="13"/>
  <c r="AD1849" i="13"/>
  <c r="AD1783" i="13"/>
  <c r="AD1816" i="13"/>
  <c r="M2081" i="13" l="1" a="1"/>
  <c r="M2081" i="13" s="1"/>
  <c r="F2081" i="13" a="1"/>
  <c r="F2081" i="13" s="1"/>
  <c r="Q2113" i="13"/>
  <c r="H2081" i="13" a="1"/>
  <c r="H2081" i="13" s="1"/>
  <c r="J2081" i="13" a="1"/>
  <c r="J2081" i="13" s="1"/>
  <c r="H2080" i="13" a="1"/>
  <c r="H2080" i="13" s="1"/>
  <c r="K2081" i="13" a="1"/>
  <c r="K2081" i="13" s="1"/>
  <c r="N2080" i="13" a="1"/>
  <c r="N2080" i="13" s="1"/>
  <c r="D2081" i="13" a="1"/>
  <c r="D2081" i="13" s="1"/>
  <c r="J2080" i="13" a="1"/>
  <c r="J2080" i="13" s="1"/>
  <c r="L2080" i="13" a="1"/>
  <c r="L2080" i="13" s="1"/>
  <c r="O2080" i="13" a="1"/>
  <c r="O2080" i="13" s="1"/>
  <c r="O2081" i="13" a="1"/>
  <c r="O2081" i="13" s="1"/>
  <c r="N2081" i="13" a="1"/>
  <c r="N2081" i="13" s="1"/>
  <c r="E2081" i="13" a="1"/>
  <c r="E2081" i="13" s="1"/>
  <c r="L2081" i="13" a="1"/>
  <c r="L2081" i="13" s="1"/>
  <c r="K2080" i="13" a="1"/>
  <c r="K2080" i="13" s="1"/>
  <c r="I2081" i="13" a="1"/>
  <c r="I2081" i="13" s="1"/>
  <c r="F2080" i="13" a="1"/>
  <c r="F2080" i="13" s="1"/>
  <c r="M2080" i="13" a="1"/>
  <c r="M2080" i="13" s="1"/>
  <c r="G2080" i="13" a="1"/>
  <c r="G2080" i="13" s="1"/>
  <c r="D2080" i="13" a="1"/>
  <c r="D2080" i="13" s="1"/>
  <c r="I2080" i="13" a="1"/>
  <c r="I2080" i="13" s="1"/>
  <c r="E2080" i="13" a="1"/>
  <c r="E2080" i="13" s="1"/>
  <c r="G2081" i="13" a="1"/>
  <c r="G2081" i="13" s="1"/>
  <c r="AD2079" i="13"/>
  <c r="AD2048" i="13"/>
  <c r="AD2049" i="13" s="1"/>
  <c r="AD2050" i="13" s="1"/>
  <c r="AD2051" i="13" s="1"/>
  <c r="AD2052" i="13" s="1"/>
  <c r="AD2053" i="13" s="1"/>
  <c r="AD2054" i="13" s="1"/>
  <c r="AD2055" i="13" s="1"/>
  <c r="AF2079" i="13"/>
  <c r="AF2048" i="13"/>
  <c r="AF2021" i="13"/>
  <c r="AF2023" i="13"/>
  <c r="AF2019" i="13"/>
  <c r="AF2020" i="13"/>
  <c r="AF2015" i="13"/>
  <c r="AF2017" i="13" s="1"/>
  <c r="AF2022" i="13"/>
  <c r="AF2018" i="13"/>
  <c r="AF2016" i="13"/>
  <c r="AF2024" i="13"/>
  <c r="KC74" i="9"/>
  <c r="AD1850" i="13"/>
  <c r="AD1884" i="13"/>
  <c r="AD1817" i="13"/>
  <c r="AF2050" i="13" l="1"/>
  <c r="AF2054" i="13"/>
  <c r="AF2055" i="13"/>
  <c r="AF2058" i="13"/>
  <c r="AF2052" i="13"/>
  <c r="AF2057" i="13"/>
  <c r="AF2056" i="13"/>
  <c r="AF2049" i="13"/>
  <c r="AF2051" i="13" s="1"/>
  <c r="AF2053" i="13"/>
  <c r="AF2082" i="13"/>
  <c r="AF2113" i="13"/>
  <c r="Q2147" i="13"/>
  <c r="G2114" i="13" a="1"/>
  <c r="G2114" i="13" s="1"/>
  <c r="K2114" i="13" a="1"/>
  <c r="K2114" i="13" s="1"/>
  <c r="O2114" i="13" a="1"/>
  <c r="O2114" i="13" s="1"/>
  <c r="H2115" i="13" a="1"/>
  <c r="H2115" i="13" s="1"/>
  <c r="E2114" i="13" a="1"/>
  <c r="E2114" i="13" s="1"/>
  <c r="N2115" i="13" a="1"/>
  <c r="N2115" i="13" s="1"/>
  <c r="H2114" i="13" a="1"/>
  <c r="H2114" i="13" s="1"/>
  <c r="E2115" i="13" a="1"/>
  <c r="E2115" i="13" s="1"/>
  <c r="D2115" i="13" a="1"/>
  <c r="D2115" i="13" s="1"/>
  <c r="G2115" i="13" a="1"/>
  <c r="G2115" i="13" s="1"/>
  <c r="L2115" i="13" a="1"/>
  <c r="L2115" i="13" s="1"/>
  <c r="I2114" i="13" a="1"/>
  <c r="I2114" i="13" s="1"/>
  <c r="F2115" i="13" a="1"/>
  <c r="F2115" i="13" s="1"/>
  <c r="K2115" i="13" a="1"/>
  <c r="K2115" i="13" s="1"/>
  <c r="M2114" i="13" a="1"/>
  <c r="M2114" i="13" s="1"/>
  <c r="F2114" i="13" a="1"/>
  <c r="F2114" i="13" s="1"/>
  <c r="O2115" i="13" a="1"/>
  <c r="O2115" i="13" s="1"/>
  <c r="J2114" i="13" a="1"/>
  <c r="J2114" i="13" s="1"/>
  <c r="I2115" i="13" a="1"/>
  <c r="I2115" i="13" s="1"/>
  <c r="M2115" i="13" a="1"/>
  <c r="M2115" i="13" s="1"/>
  <c r="D2114" i="13" a="1"/>
  <c r="D2114" i="13" s="1"/>
  <c r="N2114" i="13" a="1"/>
  <c r="N2114" i="13" s="1"/>
  <c r="L2114" i="13" a="1"/>
  <c r="L2114" i="13" s="1"/>
  <c r="J2115" i="13" a="1"/>
  <c r="J2115" i="13" s="1"/>
  <c r="AD2082" i="13"/>
  <c r="AD2083" i="13" s="1"/>
  <c r="AD2084" i="13" s="1"/>
  <c r="AD2085" i="13" s="1"/>
  <c r="AD2086" i="13" s="1"/>
  <c r="AD2087" i="13" s="1"/>
  <c r="AD2088" i="13" s="1"/>
  <c r="AD2089" i="13" s="1"/>
  <c r="AD2113" i="13"/>
  <c r="KC75" i="9"/>
  <c r="KC76" i="9" s="1"/>
  <c r="AD1885" i="13"/>
  <c r="AD1851" i="13"/>
  <c r="KC77" i="9" l="1"/>
  <c r="AD2147" i="13"/>
  <c r="AD2116" i="13"/>
  <c r="AD2117" i="13" s="1"/>
  <c r="AD2118" i="13" s="1"/>
  <c r="AD2119" i="13" s="1"/>
  <c r="AD2120" i="13" s="1"/>
  <c r="AD2121" i="13" s="1"/>
  <c r="AD2122" i="13" s="1"/>
  <c r="AD2123" i="13" s="1"/>
  <c r="Q2181" i="13"/>
  <c r="E2148" i="13" a="1"/>
  <c r="E2148" i="13" s="1"/>
  <c r="G2149" i="13" a="1"/>
  <c r="G2149" i="13" s="1"/>
  <c r="F2148" i="13" a="1"/>
  <c r="F2148" i="13" s="1"/>
  <c r="L2149" i="13" a="1"/>
  <c r="L2149" i="13" s="1"/>
  <c r="O2148" i="13" a="1"/>
  <c r="O2148" i="13" s="1"/>
  <c r="N2149" i="13" a="1"/>
  <c r="N2149" i="13" s="1"/>
  <c r="N2148" i="13" a="1"/>
  <c r="N2148" i="13" s="1"/>
  <c r="H2149" i="13" a="1"/>
  <c r="H2149" i="13" s="1"/>
  <c r="K2148" i="13" a="1"/>
  <c r="K2148" i="13" s="1"/>
  <c r="E2149" i="13" a="1"/>
  <c r="E2149" i="13" s="1"/>
  <c r="M2148" i="13" a="1"/>
  <c r="M2148" i="13" s="1"/>
  <c r="J2148" i="13" a="1"/>
  <c r="J2148" i="13" s="1"/>
  <c r="M2149" i="13" a="1"/>
  <c r="M2149" i="13" s="1"/>
  <c r="D2149" i="13" a="1"/>
  <c r="D2149" i="13" s="1"/>
  <c r="G2148" i="13" a="1"/>
  <c r="G2148" i="13" s="1"/>
  <c r="F2149" i="13" a="1"/>
  <c r="F2149" i="13" s="1"/>
  <c r="K2149" i="13" a="1"/>
  <c r="K2149" i="13" s="1"/>
  <c r="I2149" i="13" a="1"/>
  <c r="I2149" i="13" s="1"/>
  <c r="L2148" i="13" a="1"/>
  <c r="L2148" i="13" s="1"/>
  <c r="J2149" i="13" a="1"/>
  <c r="J2149" i="13" s="1"/>
  <c r="D2148" i="13" a="1"/>
  <c r="D2148" i="13" s="1"/>
  <c r="H2148" i="13" a="1"/>
  <c r="H2148" i="13" s="1"/>
  <c r="O2149" i="13" a="1"/>
  <c r="O2149" i="13" s="1"/>
  <c r="I2148" i="13" a="1"/>
  <c r="I2148" i="13" s="1"/>
  <c r="AF2147" i="13"/>
  <c r="AF2116" i="13"/>
  <c r="AF2089" i="13"/>
  <c r="AF2084" i="13"/>
  <c r="AF2092" i="13"/>
  <c r="AF2083" i="13"/>
  <c r="AF2085" i="13" s="1"/>
  <c r="AF2087" i="13"/>
  <c r="AF2091" i="13"/>
  <c r="AF2088" i="13"/>
  <c r="AF2086" i="13"/>
  <c r="AF2090" i="13"/>
  <c r="Z5" i="13"/>
  <c r="AA5" i="13" s="1"/>
  <c r="E76" i="5"/>
  <c r="J826" i="14"/>
  <c r="F816" i="14"/>
  <c r="C816" i="14" s="1"/>
  <c r="B814" i="14"/>
  <c r="F810" i="14"/>
  <c r="C810" i="14"/>
  <c r="C814" i="14" s="1"/>
  <c r="B810" i="14"/>
  <c r="C809" i="14"/>
  <c r="B809" i="14"/>
  <c r="C808" i="14"/>
  <c r="B808" i="14"/>
  <c r="C807" i="14"/>
  <c r="B807" i="14"/>
  <c r="C805" i="14"/>
  <c r="B805" i="14"/>
  <c r="C801" i="14"/>
  <c r="B801" i="14"/>
  <c r="C800" i="14"/>
  <c r="B800" i="14"/>
  <c r="C799" i="14"/>
  <c r="B799" i="14"/>
  <c r="C798" i="14"/>
  <c r="B798" i="14"/>
  <c r="C797" i="14"/>
  <c r="B797" i="14"/>
  <c r="C796" i="14"/>
  <c r="B796" i="14"/>
  <c r="C795" i="14"/>
  <c r="B795" i="14"/>
  <c r="C794" i="14"/>
  <c r="B794" i="14"/>
  <c r="C793" i="14"/>
  <c r="B793" i="14"/>
  <c r="C791" i="14"/>
  <c r="B791" i="14"/>
  <c r="G788" i="14"/>
  <c r="I788" i="14" s="1"/>
  <c r="F788" i="14"/>
  <c r="H788" i="14" s="1"/>
  <c r="D788" i="14"/>
  <c r="B788" i="14"/>
  <c r="G787" i="14"/>
  <c r="I787" i="14" s="1"/>
  <c r="F787" i="14"/>
  <c r="H787" i="14" s="1"/>
  <c r="D787" i="14"/>
  <c r="B787" i="14"/>
  <c r="G224" i="14"/>
  <c r="H224" i="14" s="1"/>
  <c r="AF2122" i="13" l="1"/>
  <c r="AF2124" i="13"/>
  <c r="AF2121" i="13"/>
  <c r="AF2126" i="13"/>
  <c r="AF2120" i="13"/>
  <c r="AF2117" i="13"/>
  <c r="AF2119" i="13" s="1"/>
  <c r="AF2123" i="13"/>
  <c r="AF2125" i="13"/>
  <c r="AF2118" i="13"/>
  <c r="AF2150" i="13"/>
  <c r="AF2181" i="13"/>
  <c r="N2183" i="13" a="1"/>
  <c r="N2183" i="13" s="1"/>
  <c r="I2183" i="13" a="1"/>
  <c r="I2183" i="13" s="1"/>
  <c r="L2182" i="13" a="1"/>
  <c r="L2182" i="13" s="1"/>
  <c r="F2183" i="13" a="1"/>
  <c r="F2183" i="13" s="1"/>
  <c r="H2183" i="13" a="1"/>
  <c r="H2183" i="13" s="1"/>
  <c r="O2183" i="13" a="1"/>
  <c r="O2183" i="13" s="1"/>
  <c r="J2182" i="13" a="1"/>
  <c r="J2182" i="13" s="1"/>
  <c r="K2182" i="13" a="1"/>
  <c r="K2182" i="13" s="1"/>
  <c r="Q2215" i="13"/>
  <c r="E2183" i="13" a="1"/>
  <c r="E2183" i="13" s="1"/>
  <c r="N2182" i="13" a="1"/>
  <c r="N2182" i="13" s="1"/>
  <c r="M2182" i="13" a="1"/>
  <c r="M2182" i="13" s="1"/>
  <c r="J2183" i="13" a="1"/>
  <c r="J2183" i="13" s="1"/>
  <c r="L2183" i="13" a="1"/>
  <c r="L2183" i="13" s="1"/>
  <c r="K2183" i="13" a="1"/>
  <c r="K2183" i="13" s="1"/>
  <c r="I2182" i="13" a="1"/>
  <c r="I2182" i="13" s="1"/>
  <c r="F2182" i="13" a="1"/>
  <c r="F2182" i="13" s="1"/>
  <c r="D2183" i="13" a="1"/>
  <c r="D2183" i="13" s="1"/>
  <c r="M2183" i="13" a="1"/>
  <c r="M2183" i="13" s="1"/>
  <c r="H2182" i="13" a="1"/>
  <c r="H2182" i="13" s="1"/>
  <c r="O2182" i="13" a="1"/>
  <c r="O2182" i="13" s="1"/>
  <c r="E2182" i="13" a="1"/>
  <c r="E2182" i="13" s="1"/>
  <c r="G2182" i="13" a="1"/>
  <c r="G2182" i="13" s="1"/>
  <c r="D2182" i="13" a="1"/>
  <c r="D2182" i="13" s="1"/>
  <c r="G2183" i="13" a="1"/>
  <c r="G2183" i="13" s="1"/>
  <c r="AD2150" i="13"/>
  <c r="AD2151" i="13" s="1"/>
  <c r="AD2152" i="13" s="1"/>
  <c r="AD2153" i="13" s="1"/>
  <c r="AD2154" i="13" s="1"/>
  <c r="AD2155" i="13" s="1"/>
  <c r="AD2156" i="13" s="1"/>
  <c r="AD2157" i="13" s="1"/>
  <c r="AD2181" i="13"/>
  <c r="H794" i="14"/>
  <c r="E78" i="5"/>
  <c r="E77" i="5"/>
  <c r="B816" i="14"/>
  <c r="Q2249" i="13" l="1"/>
  <c r="D2217" i="13" a="1"/>
  <c r="D2217" i="13" s="1"/>
  <c r="I2216" i="13" a="1"/>
  <c r="I2216" i="13" s="1"/>
  <c r="D2216" i="13" a="1"/>
  <c r="D2216" i="13" s="1"/>
  <c r="N2217" i="13" a="1"/>
  <c r="N2217" i="13" s="1"/>
  <c r="O2216" i="13" a="1"/>
  <c r="O2216" i="13" s="1"/>
  <c r="L2216" i="13" a="1"/>
  <c r="L2216" i="13" s="1"/>
  <c r="J2217" i="13" a="1"/>
  <c r="J2217" i="13" s="1"/>
  <c r="E2216" i="13" a="1"/>
  <c r="E2216" i="13" s="1"/>
  <c r="K2216" i="13" a="1"/>
  <c r="K2216" i="13" s="1"/>
  <c r="G2217" i="13" a="1"/>
  <c r="G2217" i="13" s="1"/>
  <c r="M2216" i="13" a="1"/>
  <c r="M2216" i="13" s="1"/>
  <c r="H2216" i="13" a="1"/>
  <c r="H2216" i="13" s="1"/>
  <c r="G2216" i="13" a="1"/>
  <c r="G2216" i="13" s="1"/>
  <c r="O2217" i="13" a="1"/>
  <c r="O2217" i="13" s="1"/>
  <c r="M2217" i="13" a="1"/>
  <c r="M2217" i="13" s="1"/>
  <c r="L2217" i="13" a="1"/>
  <c r="L2217" i="13" s="1"/>
  <c r="K2217" i="13" a="1"/>
  <c r="K2217" i="13" s="1"/>
  <c r="J2216" i="13" a="1"/>
  <c r="J2216" i="13" s="1"/>
  <c r="E2217" i="13" a="1"/>
  <c r="E2217" i="13" s="1"/>
  <c r="I2217" i="13" a="1"/>
  <c r="I2217" i="13" s="1"/>
  <c r="F2216" i="13" a="1"/>
  <c r="F2216" i="13" s="1"/>
  <c r="H2217" i="13" a="1"/>
  <c r="H2217" i="13" s="1"/>
  <c r="N2216" i="13" a="1"/>
  <c r="N2216" i="13" s="1"/>
  <c r="F2217" i="13" a="1"/>
  <c r="F2217" i="13" s="1"/>
  <c r="AF2184" i="13"/>
  <c r="AF2215" i="13"/>
  <c r="AD2215" i="13"/>
  <c r="AD2184" i="13"/>
  <c r="AD2185" i="13" s="1"/>
  <c r="AD2186" i="13" s="1"/>
  <c r="AD2187" i="13" s="1"/>
  <c r="AD2188" i="13" s="1"/>
  <c r="AD2189" i="13" s="1"/>
  <c r="AD2190" i="13" s="1"/>
  <c r="AD2191" i="13" s="1"/>
  <c r="AF2156" i="13"/>
  <c r="AF2160" i="13"/>
  <c r="AF2158" i="13"/>
  <c r="AF2155" i="13"/>
  <c r="AF2157" i="13"/>
  <c r="AF2154" i="13"/>
  <c r="AF2151" i="13"/>
  <c r="AF2153" i="13" s="1"/>
  <c r="AF2159" i="13"/>
  <c r="AF2152" i="13"/>
  <c r="F6" i="13" a="1"/>
  <c r="F6" i="13" s="1"/>
  <c r="G6" i="13" a="1"/>
  <c r="G6" i="13" s="1"/>
  <c r="H6" i="13" a="1"/>
  <c r="H6" i="13" s="1"/>
  <c r="I6" i="13" a="1"/>
  <c r="I6" i="13" s="1"/>
  <c r="J6" i="13" a="1"/>
  <c r="J6" i="13" s="1"/>
  <c r="K6" i="13" a="1"/>
  <c r="K6" i="13" s="1"/>
  <c r="L6" i="13" a="1"/>
  <c r="L6" i="13" s="1"/>
  <c r="M6" i="13" a="1"/>
  <c r="M6" i="13" s="1"/>
  <c r="N6" i="13" a="1"/>
  <c r="N6" i="13" s="1"/>
  <c r="O6" i="13" a="1"/>
  <c r="O6" i="13" s="1"/>
  <c r="F7" i="13" a="1"/>
  <c r="F7" i="13" s="1"/>
  <c r="G7" i="13" a="1"/>
  <c r="G7" i="13" s="1"/>
  <c r="H7" i="13" a="1"/>
  <c r="H7" i="13" s="1"/>
  <c r="I7" i="13" a="1"/>
  <c r="I7" i="13" s="1"/>
  <c r="J7" i="13" a="1"/>
  <c r="J7" i="13" s="1"/>
  <c r="K7" i="13" a="1"/>
  <c r="K7" i="13" s="1"/>
  <c r="L7" i="13" a="1"/>
  <c r="L7" i="13" s="1"/>
  <c r="M7" i="13" a="1"/>
  <c r="M7" i="13" s="1"/>
  <c r="N7" i="13" a="1"/>
  <c r="N7" i="13" s="1"/>
  <c r="O7" i="13" a="1"/>
  <c r="O7" i="13" s="1"/>
  <c r="AE17" i="13"/>
  <c r="AE18" i="13" s="1"/>
  <c r="AD2218" i="13" l="1"/>
  <c r="AD2249" i="13"/>
  <c r="AD2252" i="13" s="1"/>
  <c r="AF2218" i="13"/>
  <c r="AF2249" i="13"/>
  <c r="AF2252" i="13" s="1"/>
  <c r="AF2189" i="13"/>
  <c r="AF2192" i="13"/>
  <c r="AF2193" i="13"/>
  <c r="AF2188" i="13"/>
  <c r="AF2194" i="13"/>
  <c r="AF2186" i="13"/>
  <c r="AF2191" i="13"/>
  <c r="AF2185" i="13"/>
  <c r="AF2187" i="13" s="1"/>
  <c r="AF2190" i="13"/>
  <c r="N2251" i="13" a="1"/>
  <c r="N2251" i="13" s="1"/>
  <c r="O2251" i="13" a="1"/>
  <c r="O2251" i="13" s="1"/>
  <c r="A2249" i="13" a="1"/>
  <c r="A2249" i="13" s="1"/>
  <c r="O2250" i="13" a="1"/>
  <c r="O2250" i="13" s="1"/>
  <c r="K2250" i="13" a="1"/>
  <c r="K2250" i="13" s="1"/>
  <c r="G2250" i="13" a="1"/>
  <c r="G2250" i="13" s="1"/>
  <c r="K2251" i="13" a="1"/>
  <c r="K2251" i="13" s="1"/>
  <c r="M2250" i="13" a="1"/>
  <c r="M2250" i="13" s="1"/>
  <c r="E2251" i="13" a="1"/>
  <c r="E2251" i="13" s="1"/>
  <c r="M2251" i="13" a="1"/>
  <c r="M2251" i="13" s="1"/>
  <c r="L2251" i="13" a="1"/>
  <c r="L2251" i="13" s="1"/>
  <c r="B2249" i="13" a="1"/>
  <c r="B2249" i="13" s="1"/>
  <c r="B2250" i="13" s="1"/>
  <c r="I2250" i="13" a="1"/>
  <c r="I2250" i="13" s="1"/>
  <c r="I2251" i="13" a="1"/>
  <c r="I2251" i="13" s="1"/>
  <c r="L2250" i="13" a="1"/>
  <c r="L2250" i="13" s="1"/>
  <c r="D2250" i="13" a="1"/>
  <c r="D2250" i="13" s="1"/>
  <c r="E2250" i="13" a="1"/>
  <c r="E2250" i="13" s="1"/>
  <c r="F2251" i="13" a="1"/>
  <c r="F2251" i="13" s="1"/>
  <c r="H2250" i="13" a="1"/>
  <c r="H2250" i="13" s="1"/>
  <c r="J2251" i="13" a="1"/>
  <c r="J2251" i="13" s="1"/>
  <c r="N2250" i="13" a="1"/>
  <c r="N2250" i="13" s="1"/>
  <c r="D2251" i="13" a="1"/>
  <c r="D2251" i="13" s="1"/>
  <c r="F2250" i="13" a="1"/>
  <c r="F2250" i="13" s="1"/>
  <c r="G2251" i="13" a="1"/>
  <c r="G2251" i="13" s="1"/>
  <c r="H2251" i="13" a="1"/>
  <c r="H2251" i="13" s="1"/>
  <c r="J2250" i="13" a="1"/>
  <c r="J2250" i="13" s="1"/>
  <c r="E7" i="13" a="1"/>
  <c r="E7" i="13" s="1"/>
  <c r="E6" i="13" a="1"/>
  <c r="E6" i="13" s="1"/>
  <c r="D6" i="13" a="1"/>
  <c r="D6" i="13" s="1"/>
  <c r="B5" i="13" a="1"/>
  <c r="B5" i="13" s="1"/>
  <c r="AJ776" i="10"/>
  <c r="AJ777" i="10" s="1"/>
  <c r="AJ778" i="10" s="1"/>
  <c r="AJ779" i="10" s="1"/>
  <c r="AI776" i="10"/>
  <c r="AI777" i="10" s="1"/>
  <c r="AI778" i="10" s="1"/>
  <c r="AI779" i="10" s="1"/>
  <c r="AH776" i="10"/>
  <c r="AH777" i="10" s="1"/>
  <c r="AH778" i="10" s="1"/>
  <c r="AH779" i="10" s="1"/>
  <c r="AG776" i="10"/>
  <c r="AG777" i="10" s="1"/>
  <c r="AG778" i="10" s="1"/>
  <c r="AG779" i="10" s="1"/>
  <c r="AC776" i="10"/>
  <c r="AC777" i="10" s="1"/>
  <c r="AC778" i="10" s="1"/>
  <c r="AC779" i="10" s="1"/>
  <c r="AB776" i="10"/>
  <c r="AB777" i="10" s="1"/>
  <c r="AB778" i="10" s="1"/>
  <c r="AB779" i="10" s="1"/>
  <c r="X776" i="10"/>
  <c r="X781" i="10" s="1"/>
  <c r="W776" i="10"/>
  <c r="W781" i="10" s="1"/>
  <c r="V776" i="10"/>
  <c r="V781" i="10" s="1"/>
  <c r="U776" i="10"/>
  <c r="U781" i="10" s="1"/>
  <c r="AK775" i="10"/>
  <c r="Y775" i="10"/>
  <c r="Z775" i="10" s="1"/>
  <c r="Z776" i="10" s="1"/>
  <c r="Z781" i="10" s="1"/>
  <c r="AJ762" i="10"/>
  <c r="AJ763" i="10" s="1"/>
  <c r="AJ764" i="10" s="1"/>
  <c r="AJ765" i="10" s="1"/>
  <c r="AI762" i="10"/>
  <c r="AI763" i="10" s="1"/>
  <c r="AI764" i="10" s="1"/>
  <c r="AI765" i="10" s="1"/>
  <c r="AH762" i="10"/>
  <c r="AH763" i="10" s="1"/>
  <c r="AH764" i="10" s="1"/>
  <c r="AH765" i="10" s="1"/>
  <c r="AG762" i="10"/>
  <c r="AG763" i="10" s="1"/>
  <c r="AG764" i="10" s="1"/>
  <c r="AG765" i="10" s="1"/>
  <c r="AC762" i="10"/>
  <c r="AC763" i="10" s="1"/>
  <c r="AC764" i="10" s="1"/>
  <c r="AC765" i="10" s="1"/>
  <c r="AB762" i="10"/>
  <c r="AB763" i="10" s="1"/>
  <c r="AB764" i="10" s="1"/>
  <c r="AB765" i="10" s="1"/>
  <c r="X762" i="10"/>
  <c r="X767" i="10" s="1"/>
  <c r="W762" i="10"/>
  <c r="W767" i="10" s="1"/>
  <c r="V762" i="10"/>
  <c r="V767" i="10" s="1"/>
  <c r="U762" i="10"/>
  <c r="U767" i="10" s="1"/>
  <c r="AK761" i="10"/>
  <c r="AL761" i="10" s="1"/>
  <c r="AL762" i="10" s="1"/>
  <c r="AL763" i="10" s="1"/>
  <c r="AL764" i="10" s="1"/>
  <c r="AL765" i="10" s="1"/>
  <c r="Y761" i="10"/>
  <c r="Y762" i="10" s="1"/>
  <c r="Y767" i="10" s="1"/>
  <c r="AJ748" i="10"/>
  <c r="AJ749" i="10" s="1"/>
  <c r="AJ750" i="10" s="1"/>
  <c r="AJ751" i="10" s="1"/>
  <c r="AI748" i="10"/>
  <c r="AI749" i="10" s="1"/>
  <c r="AI750" i="10" s="1"/>
  <c r="AI751" i="10" s="1"/>
  <c r="AH748" i="10"/>
  <c r="AH749" i="10" s="1"/>
  <c r="AH750" i="10" s="1"/>
  <c r="AH751" i="10" s="1"/>
  <c r="AG748" i="10"/>
  <c r="AG749" i="10" s="1"/>
  <c r="AG750" i="10" s="1"/>
  <c r="AG751" i="10" s="1"/>
  <c r="AC748" i="10"/>
  <c r="AC749" i="10" s="1"/>
  <c r="AC750" i="10" s="1"/>
  <c r="AC751" i="10" s="1"/>
  <c r="AB748" i="10"/>
  <c r="AB749" i="10" s="1"/>
  <c r="AB750" i="10" s="1"/>
  <c r="AB751" i="10" s="1"/>
  <c r="X748" i="10"/>
  <c r="X753" i="10" s="1"/>
  <c r="W748" i="10"/>
  <c r="W753" i="10" s="1"/>
  <c r="V748" i="10"/>
  <c r="V753" i="10" s="1"/>
  <c r="U748" i="10"/>
  <c r="U753" i="10" s="1"/>
  <c r="AK747" i="10"/>
  <c r="AK748" i="10" s="1"/>
  <c r="AK749" i="10" s="1"/>
  <c r="AK750" i="10" s="1"/>
  <c r="AK751" i="10" s="1"/>
  <c r="Y747" i="10"/>
  <c r="Y748" i="10" s="1"/>
  <c r="Y753" i="10" s="1"/>
  <c r="AJ734" i="10"/>
  <c r="AJ735" i="10" s="1"/>
  <c r="AJ736" i="10" s="1"/>
  <c r="AJ737" i="10" s="1"/>
  <c r="AI734" i="10"/>
  <c r="AI735" i="10" s="1"/>
  <c r="AI736" i="10" s="1"/>
  <c r="AI737" i="10" s="1"/>
  <c r="AH734" i="10"/>
  <c r="AH735" i="10" s="1"/>
  <c r="AH736" i="10" s="1"/>
  <c r="AH737" i="10" s="1"/>
  <c r="AG734" i="10"/>
  <c r="AG735" i="10" s="1"/>
  <c r="AG736" i="10" s="1"/>
  <c r="AG737" i="10" s="1"/>
  <c r="AC734" i="10"/>
  <c r="AC735" i="10" s="1"/>
  <c r="AC736" i="10" s="1"/>
  <c r="AC737" i="10" s="1"/>
  <c r="AB734" i="10"/>
  <c r="AB735" i="10" s="1"/>
  <c r="AB736" i="10" s="1"/>
  <c r="AB737" i="10" s="1"/>
  <c r="X734" i="10"/>
  <c r="X739" i="10" s="1"/>
  <c r="W734" i="10"/>
  <c r="W739" i="10" s="1"/>
  <c r="V734" i="10"/>
  <c r="V739" i="10" s="1"/>
  <c r="U734" i="10"/>
  <c r="U739" i="10" s="1"/>
  <c r="AK733" i="10"/>
  <c r="AK734" i="10" s="1"/>
  <c r="AK735" i="10" s="1"/>
  <c r="AK736" i="10" s="1"/>
  <c r="AK737" i="10" s="1"/>
  <c r="Y733" i="10"/>
  <c r="Y734" i="10" s="1"/>
  <c r="Y739" i="10" s="1"/>
  <c r="AJ720" i="10"/>
  <c r="AJ721" i="10" s="1"/>
  <c r="AJ722" i="10" s="1"/>
  <c r="AJ723" i="10" s="1"/>
  <c r="AI720" i="10"/>
  <c r="AI721" i="10" s="1"/>
  <c r="AI722" i="10" s="1"/>
  <c r="AI723" i="10" s="1"/>
  <c r="AH720" i="10"/>
  <c r="AH721" i="10" s="1"/>
  <c r="AH722" i="10" s="1"/>
  <c r="AH723" i="10" s="1"/>
  <c r="AG720" i="10"/>
  <c r="AG721" i="10" s="1"/>
  <c r="AG722" i="10" s="1"/>
  <c r="AG723" i="10" s="1"/>
  <c r="AC720" i="10"/>
  <c r="AC721" i="10" s="1"/>
  <c r="AC722" i="10" s="1"/>
  <c r="AC723" i="10" s="1"/>
  <c r="AB720" i="10"/>
  <c r="AB721" i="10" s="1"/>
  <c r="AB722" i="10" s="1"/>
  <c r="AB723" i="10" s="1"/>
  <c r="X720" i="10"/>
  <c r="X725" i="10" s="1"/>
  <c r="W720" i="10"/>
  <c r="W725" i="10" s="1"/>
  <c r="V720" i="10"/>
  <c r="V725" i="10" s="1"/>
  <c r="U720" i="10"/>
  <c r="U725" i="10" s="1"/>
  <c r="AK719" i="10"/>
  <c r="AL719" i="10" s="1"/>
  <c r="AL720" i="10" s="1"/>
  <c r="AL721" i="10" s="1"/>
  <c r="AL722" i="10" s="1"/>
  <c r="AL723" i="10" s="1"/>
  <c r="Y719" i="10"/>
  <c r="Y720" i="10" s="1"/>
  <c r="Y725" i="10" s="1"/>
  <c r="AJ706" i="10"/>
  <c r="AJ707" i="10" s="1"/>
  <c r="AJ708" i="10" s="1"/>
  <c r="AJ709" i="10" s="1"/>
  <c r="AI706" i="10"/>
  <c r="AI707" i="10" s="1"/>
  <c r="AI708" i="10" s="1"/>
  <c r="AI709" i="10" s="1"/>
  <c r="AH706" i="10"/>
  <c r="AH707" i="10" s="1"/>
  <c r="AH708" i="10" s="1"/>
  <c r="AH709" i="10" s="1"/>
  <c r="AG706" i="10"/>
  <c r="AG707" i="10" s="1"/>
  <c r="AG708" i="10" s="1"/>
  <c r="AG709" i="10" s="1"/>
  <c r="AC706" i="10"/>
  <c r="AC707" i="10" s="1"/>
  <c r="AC708" i="10" s="1"/>
  <c r="AC709" i="10" s="1"/>
  <c r="AB706" i="10"/>
  <c r="AB707" i="10" s="1"/>
  <c r="AB708" i="10" s="1"/>
  <c r="AB709" i="10" s="1"/>
  <c r="X706" i="10"/>
  <c r="X711" i="10" s="1"/>
  <c r="W706" i="10"/>
  <c r="W711" i="10" s="1"/>
  <c r="V706" i="10"/>
  <c r="V711" i="10" s="1"/>
  <c r="U706" i="10"/>
  <c r="U711" i="10" s="1"/>
  <c r="AK705" i="10"/>
  <c r="AK706" i="10" s="1"/>
  <c r="AK707" i="10" s="1"/>
  <c r="AK708" i="10" s="1"/>
  <c r="AK709" i="10" s="1"/>
  <c r="Y705" i="10"/>
  <c r="AJ692" i="10"/>
  <c r="AJ693" i="10" s="1"/>
  <c r="AJ694" i="10" s="1"/>
  <c r="AJ695" i="10" s="1"/>
  <c r="AI692" i="10"/>
  <c r="AI693" i="10" s="1"/>
  <c r="AI694" i="10" s="1"/>
  <c r="AI695" i="10" s="1"/>
  <c r="AH692" i="10"/>
  <c r="AH693" i="10" s="1"/>
  <c r="AH694" i="10" s="1"/>
  <c r="AH695" i="10" s="1"/>
  <c r="AG692" i="10"/>
  <c r="AG693" i="10" s="1"/>
  <c r="AG694" i="10" s="1"/>
  <c r="AG695" i="10" s="1"/>
  <c r="AC692" i="10"/>
  <c r="AC693" i="10" s="1"/>
  <c r="AC694" i="10" s="1"/>
  <c r="AC695" i="10" s="1"/>
  <c r="AB692" i="10"/>
  <c r="AB693" i="10" s="1"/>
  <c r="AB694" i="10" s="1"/>
  <c r="AB695" i="10" s="1"/>
  <c r="X692" i="10"/>
  <c r="X697" i="10" s="1"/>
  <c r="W692" i="10"/>
  <c r="W697" i="10" s="1"/>
  <c r="V692" i="10"/>
  <c r="V697" i="10" s="1"/>
  <c r="U692" i="10"/>
  <c r="U697" i="10" s="1"/>
  <c r="AK691" i="10"/>
  <c r="AK692" i="10" s="1"/>
  <c r="AK693" i="10" s="1"/>
  <c r="AK694" i="10" s="1"/>
  <c r="AK695" i="10" s="1"/>
  <c r="Y691" i="10"/>
  <c r="Z691" i="10" s="1"/>
  <c r="Z692" i="10" s="1"/>
  <c r="Z697" i="10" s="1"/>
  <c r="AJ678" i="10"/>
  <c r="AJ679" i="10" s="1"/>
  <c r="AJ680" i="10" s="1"/>
  <c r="AJ681" i="10" s="1"/>
  <c r="AI678" i="10"/>
  <c r="AI679" i="10" s="1"/>
  <c r="AI680" i="10" s="1"/>
  <c r="AI681" i="10" s="1"/>
  <c r="AH678" i="10"/>
  <c r="AH679" i="10" s="1"/>
  <c r="AH680" i="10" s="1"/>
  <c r="AH681" i="10" s="1"/>
  <c r="AG678" i="10"/>
  <c r="AG679" i="10" s="1"/>
  <c r="AG680" i="10" s="1"/>
  <c r="AG681" i="10" s="1"/>
  <c r="AC678" i="10"/>
  <c r="AC679" i="10" s="1"/>
  <c r="AC680" i="10" s="1"/>
  <c r="AC681" i="10" s="1"/>
  <c r="AB678" i="10"/>
  <c r="AB679" i="10" s="1"/>
  <c r="AB680" i="10" s="1"/>
  <c r="AB681" i="10" s="1"/>
  <c r="X678" i="10"/>
  <c r="X683" i="10" s="1"/>
  <c r="W678" i="10"/>
  <c r="W683" i="10" s="1"/>
  <c r="V678" i="10"/>
  <c r="V683" i="10" s="1"/>
  <c r="U678" i="10"/>
  <c r="U683" i="10" s="1"/>
  <c r="AK677" i="10"/>
  <c r="AK678" i="10" s="1"/>
  <c r="AK679" i="10" s="1"/>
  <c r="AK680" i="10" s="1"/>
  <c r="AK681" i="10" s="1"/>
  <c r="Y677" i="10"/>
  <c r="Y678" i="10" s="1"/>
  <c r="Y683" i="10" s="1"/>
  <c r="AJ664" i="10"/>
  <c r="AJ665" i="10" s="1"/>
  <c r="AJ666" i="10" s="1"/>
  <c r="AJ667" i="10" s="1"/>
  <c r="AI664" i="10"/>
  <c r="AI665" i="10" s="1"/>
  <c r="AI666" i="10" s="1"/>
  <c r="AI667" i="10" s="1"/>
  <c r="AH664" i="10"/>
  <c r="AH665" i="10" s="1"/>
  <c r="AH666" i="10" s="1"/>
  <c r="AH667" i="10" s="1"/>
  <c r="AG664" i="10"/>
  <c r="AG665" i="10" s="1"/>
  <c r="AG666" i="10" s="1"/>
  <c r="AG667" i="10" s="1"/>
  <c r="AC664" i="10"/>
  <c r="AC665" i="10" s="1"/>
  <c r="AC666" i="10" s="1"/>
  <c r="AC667" i="10" s="1"/>
  <c r="AB664" i="10"/>
  <c r="AB665" i="10" s="1"/>
  <c r="AB666" i="10" s="1"/>
  <c r="AB667" i="10" s="1"/>
  <c r="X664" i="10"/>
  <c r="X669" i="10" s="1"/>
  <c r="W664" i="10"/>
  <c r="W669" i="10" s="1"/>
  <c r="V664" i="10"/>
  <c r="V669" i="10" s="1"/>
  <c r="U664" i="10"/>
  <c r="U669" i="10" s="1"/>
  <c r="AK663" i="10"/>
  <c r="AL663" i="10" s="1"/>
  <c r="AL664" i="10" s="1"/>
  <c r="AL665" i="10" s="1"/>
  <c r="AL666" i="10" s="1"/>
  <c r="AL667" i="10" s="1"/>
  <c r="Y663" i="10"/>
  <c r="Z663" i="10" s="1"/>
  <c r="Z664" i="10" s="1"/>
  <c r="Z669" i="10" s="1"/>
  <c r="AJ650" i="10"/>
  <c r="AJ651" i="10" s="1"/>
  <c r="AJ652" i="10" s="1"/>
  <c r="AJ653" i="10" s="1"/>
  <c r="AI650" i="10"/>
  <c r="AI651" i="10" s="1"/>
  <c r="AI652" i="10" s="1"/>
  <c r="AI653" i="10" s="1"/>
  <c r="AH650" i="10"/>
  <c r="AH651" i="10" s="1"/>
  <c r="AH652" i="10" s="1"/>
  <c r="AH653" i="10" s="1"/>
  <c r="AG650" i="10"/>
  <c r="AG651" i="10" s="1"/>
  <c r="AG652" i="10" s="1"/>
  <c r="AG653" i="10" s="1"/>
  <c r="AC650" i="10"/>
  <c r="AC651" i="10" s="1"/>
  <c r="AC652" i="10" s="1"/>
  <c r="AC653" i="10" s="1"/>
  <c r="AB650" i="10"/>
  <c r="AB651" i="10" s="1"/>
  <c r="AB652" i="10" s="1"/>
  <c r="AB653" i="10" s="1"/>
  <c r="X650" i="10"/>
  <c r="X655" i="10" s="1"/>
  <c r="W650" i="10"/>
  <c r="W655" i="10" s="1"/>
  <c r="V650" i="10"/>
  <c r="V655" i="10" s="1"/>
  <c r="U650" i="10"/>
  <c r="U655" i="10" s="1"/>
  <c r="AK649" i="10"/>
  <c r="AL649" i="10" s="1"/>
  <c r="AL650" i="10" s="1"/>
  <c r="AL651" i="10" s="1"/>
  <c r="AL652" i="10" s="1"/>
  <c r="AL653" i="10" s="1"/>
  <c r="Y649" i="10"/>
  <c r="Z649" i="10" s="1"/>
  <c r="Z650" i="10" s="1"/>
  <c r="Z655" i="10" s="1"/>
  <c r="AJ636" i="10"/>
  <c r="AJ637" i="10" s="1"/>
  <c r="AJ638" i="10" s="1"/>
  <c r="AJ639" i="10" s="1"/>
  <c r="AI636" i="10"/>
  <c r="AI637" i="10" s="1"/>
  <c r="AI638" i="10" s="1"/>
  <c r="AI639" i="10" s="1"/>
  <c r="AH636" i="10"/>
  <c r="AH637" i="10" s="1"/>
  <c r="AH638" i="10" s="1"/>
  <c r="AH639" i="10" s="1"/>
  <c r="AG636" i="10"/>
  <c r="AG637" i="10" s="1"/>
  <c r="AG638" i="10" s="1"/>
  <c r="AG639" i="10" s="1"/>
  <c r="AC636" i="10"/>
  <c r="AC637" i="10" s="1"/>
  <c r="AC638" i="10" s="1"/>
  <c r="AC639" i="10" s="1"/>
  <c r="AB636" i="10"/>
  <c r="AB637" i="10" s="1"/>
  <c r="AB638" i="10" s="1"/>
  <c r="AB639" i="10" s="1"/>
  <c r="X636" i="10"/>
  <c r="X641" i="10" s="1"/>
  <c r="W636" i="10"/>
  <c r="W641" i="10" s="1"/>
  <c r="V636" i="10"/>
  <c r="V641" i="10" s="1"/>
  <c r="U636" i="10"/>
  <c r="U641" i="10" s="1"/>
  <c r="AK635" i="10"/>
  <c r="AL635" i="10" s="1"/>
  <c r="AL636" i="10" s="1"/>
  <c r="AL637" i="10" s="1"/>
  <c r="AL638" i="10" s="1"/>
  <c r="AL639" i="10" s="1"/>
  <c r="Y635" i="10"/>
  <c r="Z635" i="10" s="1"/>
  <c r="Z636" i="10" s="1"/>
  <c r="Z641" i="10" s="1"/>
  <c r="AJ622" i="10"/>
  <c r="AJ623" i="10" s="1"/>
  <c r="AJ624" i="10" s="1"/>
  <c r="AJ625" i="10" s="1"/>
  <c r="AI622" i="10"/>
  <c r="AI623" i="10" s="1"/>
  <c r="AI624" i="10" s="1"/>
  <c r="AI625" i="10" s="1"/>
  <c r="AH622" i="10"/>
  <c r="AH623" i="10" s="1"/>
  <c r="AH624" i="10" s="1"/>
  <c r="AH625" i="10" s="1"/>
  <c r="AG622" i="10"/>
  <c r="AG623" i="10" s="1"/>
  <c r="AG624" i="10" s="1"/>
  <c r="AG625" i="10" s="1"/>
  <c r="AC622" i="10"/>
  <c r="AC623" i="10" s="1"/>
  <c r="AC624" i="10" s="1"/>
  <c r="AC625" i="10" s="1"/>
  <c r="AB622" i="10"/>
  <c r="AB623" i="10" s="1"/>
  <c r="AB624" i="10" s="1"/>
  <c r="AB625" i="10" s="1"/>
  <c r="X622" i="10"/>
  <c r="X627" i="10" s="1"/>
  <c r="W622" i="10"/>
  <c r="W627" i="10" s="1"/>
  <c r="V622" i="10"/>
  <c r="V627" i="10" s="1"/>
  <c r="U622" i="10"/>
  <c r="U627" i="10" s="1"/>
  <c r="AK621" i="10"/>
  <c r="AK622" i="10" s="1"/>
  <c r="AK623" i="10" s="1"/>
  <c r="AK624" i="10" s="1"/>
  <c r="AK625" i="10" s="1"/>
  <c r="Y621" i="10"/>
  <c r="Y622" i="10" s="1"/>
  <c r="Y627" i="10" s="1"/>
  <c r="AJ608" i="10"/>
  <c r="AJ609" i="10" s="1"/>
  <c r="AJ610" i="10" s="1"/>
  <c r="AJ611" i="10" s="1"/>
  <c r="AI608" i="10"/>
  <c r="AI609" i="10" s="1"/>
  <c r="AI610" i="10" s="1"/>
  <c r="AI611" i="10" s="1"/>
  <c r="AH608" i="10"/>
  <c r="AH609" i="10" s="1"/>
  <c r="AH610" i="10" s="1"/>
  <c r="AH611" i="10" s="1"/>
  <c r="AG608" i="10"/>
  <c r="AG609" i="10" s="1"/>
  <c r="AG610" i="10" s="1"/>
  <c r="AG611" i="10" s="1"/>
  <c r="AC608" i="10"/>
  <c r="AC609" i="10" s="1"/>
  <c r="AC610" i="10" s="1"/>
  <c r="AC611" i="10" s="1"/>
  <c r="AB608" i="10"/>
  <c r="AB609" i="10" s="1"/>
  <c r="AB610" i="10" s="1"/>
  <c r="AB611" i="10" s="1"/>
  <c r="X608" i="10"/>
  <c r="X613" i="10" s="1"/>
  <c r="W608" i="10"/>
  <c r="W613" i="10" s="1"/>
  <c r="V608" i="10"/>
  <c r="V613" i="10" s="1"/>
  <c r="U608" i="10"/>
  <c r="U613" i="10" s="1"/>
  <c r="AK607" i="10"/>
  <c r="AK608" i="10" s="1"/>
  <c r="AK609" i="10" s="1"/>
  <c r="AK610" i="10" s="1"/>
  <c r="AK611" i="10" s="1"/>
  <c r="Y607" i="10"/>
  <c r="Z607" i="10" s="1"/>
  <c r="AJ594" i="10"/>
  <c r="AJ595" i="10" s="1"/>
  <c r="AJ596" i="10" s="1"/>
  <c r="AJ597" i="10" s="1"/>
  <c r="AI594" i="10"/>
  <c r="AI595" i="10" s="1"/>
  <c r="AI596" i="10" s="1"/>
  <c r="AI597" i="10" s="1"/>
  <c r="AH594" i="10"/>
  <c r="AH595" i="10" s="1"/>
  <c r="AH596" i="10" s="1"/>
  <c r="AH597" i="10" s="1"/>
  <c r="AG594" i="10"/>
  <c r="AG595" i="10" s="1"/>
  <c r="AG596" i="10" s="1"/>
  <c r="AG597" i="10" s="1"/>
  <c r="AC594" i="10"/>
  <c r="AC595" i="10" s="1"/>
  <c r="AC596" i="10" s="1"/>
  <c r="AC597" i="10" s="1"/>
  <c r="AB594" i="10"/>
  <c r="AB595" i="10" s="1"/>
  <c r="AB596" i="10" s="1"/>
  <c r="AB597" i="10" s="1"/>
  <c r="X594" i="10"/>
  <c r="X599" i="10" s="1"/>
  <c r="W594" i="10"/>
  <c r="W599" i="10" s="1"/>
  <c r="V594" i="10"/>
  <c r="V599" i="10" s="1"/>
  <c r="U594" i="10"/>
  <c r="U599" i="10" s="1"/>
  <c r="AK593" i="10"/>
  <c r="AL593" i="10" s="1"/>
  <c r="AL594" i="10" s="1"/>
  <c r="AL595" i="10" s="1"/>
  <c r="AL596" i="10" s="1"/>
  <c r="AL597" i="10" s="1"/>
  <c r="Y593" i="10"/>
  <c r="Y594" i="10" s="1"/>
  <c r="Y599" i="10" s="1"/>
  <c r="AJ580" i="10"/>
  <c r="AJ581" i="10" s="1"/>
  <c r="AJ582" i="10" s="1"/>
  <c r="AJ583" i="10" s="1"/>
  <c r="AI580" i="10"/>
  <c r="AI581" i="10" s="1"/>
  <c r="AI582" i="10" s="1"/>
  <c r="AI583" i="10" s="1"/>
  <c r="AH580" i="10"/>
  <c r="AH581" i="10" s="1"/>
  <c r="AH582" i="10" s="1"/>
  <c r="AH583" i="10" s="1"/>
  <c r="AG580" i="10"/>
  <c r="AG581" i="10" s="1"/>
  <c r="AG582" i="10" s="1"/>
  <c r="AG583" i="10" s="1"/>
  <c r="AC580" i="10"/>
  <c r="AC581" i="10" s="1"/>
  <c r="AC582" i="10" s="1"/>
  <c r="AC583" i="10" s="1"/>
  <c r="AB580" i="10"/>
  <c r="AB581" i="10" s="1"/>
  <c r="AB582" i="10" s="1"/>
  <c r="AB583" i="10" s="1"/>
  <c r="X580" i="10"/>
  <c r="X585" i="10" s="1"/>
  <c r="W580" i="10"/>
  <c r="W585" i="10" s="1"/>
  <c r="V580" i="10"/>
  <c r="V585" i="10" s="1"/>
  <c r="U580" i="10"/>
  <c r="U585" i="10" s="1"/>
  <c r="AK579" i="10"/>
  <c r="AL579" i="10" s="1"/>
  <c r="AL580" i="10" s="1"/>
  <c r="AL581" i="10" s="1"/>
  <c r="AL582" i="10" s="1"/>
  <c r="AL583" i="10" s="1"/>
  <c r="Y579" i="10"/>
  <c r="Z579" i="10" s="1"/>
  <c r="Z580" i="10" s="1"/>
  <c r="Z585" i="10" s="1"/>
  <c r="AJ566" i="10"/>
  <c r="AJ567" i="10" s="1"/>
  <c r="AJ568" i="10" s="1"/>
  <c r="AJ569" i="10" s="1"/>
  <c r="AI566" i="10"/>
  <c r="AI567" i="10" s="1"/>
  <c r="AI568" i="10" s="1"/>
  <c r="AI569" i="10" s="1"/>
  <c r="AH566" i="10"/>
  <c r="AH567" i="10" s="1"/>
  <c r="AH568" i="10" s="1"/>
  <c r="AH569" i="10" s="1"/>
  <c r="AG566" i="10"/>
  <c r="AG567" i="10" s="1"/>
  <c r="AG568" i="10" s="1"/>
  <c r="AG569" i="10" s="1"/>
  <c r="AC566" i="10"/>
  <c r="AC567" i="10" s="1"/>
  <c r="AC568" i="10" s="1"/>
  <c r="AC569" i="10" s="1"/>
  <c r="AB566" i="10"/>
  <c r="AB567" i="10" s="1"/>
  <c r="AB568" i="10" s="1"/>
  <c r="AB569" i="10" s="1"/>
  <c r="X566" i="10"/>
  <c r="X571" i="10" s="1"/>
  <c r="W566" i="10"/>
  <c r="W571" i="10" s="1"/>
  <c r="V566" i="10"/>
  <c r="V571" i="10" s="1"/>
  <c r="U566" i="10"/>
  <c r="U571" i="10" s="1"/>
  <c r="AK565" i="10"/>
  <c r="AK566" i="10" s="1"/>
  <c r="AK567" i="10" s="1"/>
  <c r="AK568" i="10" s="1"/>
  <c r="AK569" i="10" s="1"/>
  <c r="Y565" i="10"/>
  <c r="Y566" i="10" s="1"/>
  <c r="Y571" i="10" s="1"/>
  <c r="AJ552" i="10"/>
  <c r="AJ553" i="10" s="1"/>
  <c r="AJ554" i="10" s="1"/>
  <c r="AJ555" i="10" s="1"/>
  <c r="AI552" i="10"/>
  <c r="AI553" i="10" s="1"/>
  <c r="AI554" i="10" s="1"/>
  <c r="AI555" i="10" s="1"/>
  <c r="AH552" i="10"/>
  <c r="AH553" i="10" s="1"/>
  <c r="AH554" i="10" s="1"/>
  <c r="AH555" i="10" s="1"/>
  <c r="AG552" i="10"/>
  <c r="AG553" i="10" s="1"/>
  <c r="AG554" i="10" s="1"/>
  <c r="AG555" i="10" s="1"/>
  <c r="AC552" i="10"/>
  <c r="AC553" i="10" s="1"/>
  <c r="AC554" i="10" s="1"/>
  <c r="AC555" i="10" s="1"/>
  <c r="AB552" i="10"/>
  <c r="AB553" i="10" s="1"/>
  <c r="AB554" i="10" s="1"/>
  <c r="AB555" i="10" s="1"/>
  <c r="X552" i="10"/>
  <c r="X557" i="10" s="1"/>
  <c r="W552" i="10"/>
  <c r="W557" i="10" s="1"/>
  <c r="V552" i="10"/>
  <c r="V557" i="10" s="1"/>
  <c r="U552" i="10"/>
  <c r="U557" i="10" s="1"/>
  <c r="AK551" i="10"/>
  <c r="AL551" i="10" s="1"/>
  <c r="AL552" i="10" s="1"/>
  <c r="AL553" i="10" s="1"/>
  <c r="AL554" i="10" s="1"/>
  <c r="AL555" i="10" s="1"/>
  <c r="Y551" i="10"/>
  <c r="Y552" i="10" s="1"/>
  <c r="Y557" i="10" s="1"/>
  <c r="AJ538" i="10"/>
  <c r="AJ539" i="10" s="1"/>
  <c r="AJ540" i="10" s="1"/>
  <c r="AJ541" i="10" s="1"/>
  <c r="AI538" i="10"/>
  <c r="AI539" i="10" s="1"/>
  <c r="AI540" i="10" s="1"/>
  <c r="AI541" i="10" s="1"/>
  <c r="AH538" i="10"/>
  <c r="AH539" i="10" s="1"/>
  <c r="AH540" i="10" s="1"/>
  <c r="AH541" i="10" s="1"/>
  <c r="AG538" i="10"/>
  <c r="AG539" i="10" s="1"/>
  <c r="AG540" i="10" s="1"/>
  <c r="AG541" i="10" s="1"/>
  <c r="AC538" i="10"/>
  <c r="AC539" i="10" s="1"/>
  <c r="AC540" i="10" s="1"/>
  <c r="AC541" i="10" s="1"/>
  <c r="AB538" i="10"/>
  <c r="AB539" i="10" s="1"/>
  <c r="AB540" i="10" s="1"/>
  <c r="AB541" i="10" s="1"/>
  <c r="X538" i="10"/>
  <c r="X543" i="10" s="1"/>
  <c r="W538" i="10"/>
  <c r="W543" i="10" s="1"/>
  <c r="V538" i="10"/>
  <c r="V543" i="10" s="1"/>
  <c r="U538" i="10"/>
  <c r="U543" i="10" s="1"/>
  <c r="AK537" i="10"/>
  <c r="AK538" i="10" s="1"/>
  <c r="AK539" i="10" s="1"/>
  <c r="AK540" i="10" s="1"/>
  <c r="AK541" i="10" s="1"/>
  <c r="Y537" i="10"/>
  <c r="Z537" i="10" s="1"/>
  <c r="Z538" i="10" s="1"/>
  <c r="Z543" i="10" s="1"/>
  <c r="AJ524" i="10"/>
  <c r="AJ525" i="10" s="1"/>
  <c r="AJ526" i="10" s="1"/>
  <c r="AJ527" i="10" s="1"/>
  <c r="AI524" i="10"/>
  <c r="AI525" i="10" s="1"/>
  <c r="AI526" i="10" s="1"/>
  <c r="AI527" i="10" s="1"/>
  <c r="AH524" i="10"/>
  <c r="AH525" i="10" s="1"/>
  <c r="AH526" i="10" s="1"/>
  <c r="AH527" i="10" s="1"/>
  <c r="AG524" i="10"/>
  <c r="AG525" i="10" s="1"/>
  <c r="AG526" i="10" s="1"/>
  <c r="AG527" i="10" s="1"/>
  <c r="AC524" i="10"/>
  <c r="AC525" i="10" s="1"/>
  <c r="AC526" i="10" s="1"/>
  <c r="AC527" i="10" s="1"/>
  <c r="AB524" i="10"/>
  <c r="AB525" i="10" s="1"/>
  <c r="AB526" i="10" s="1"/>
  <c r="AB527" i="10" s="1"/>
  <c r="X524" i="10"/>
  <c r="X529" i="10" s="1"/>
  <c r="W524" i="10"/>
  <c r="W529" i="10" s="1"/>
  <c r="V524" i="10"/>
  <c r="V529" i="10" s="1"/>
  <c r="U524" i="10"/>
  <c r="U529" i="10" s="1"/>
  <c r="AK523" i="10"/>
  <c r="Y523" i="10"/>
  <c r="Y524" i="10" s="1"/>
  <c r="Y529" i="10" s="1"/>
  <c r="AJ510" i="10"/>
  <c r="AJ511" i="10" s="1"/>
  <c r="AJ512" i="10" s="1"/>
  <c r="AJ513" i="10" s="1"/>
  <c r="AI510" i="10"/>
  <c r="AI511" i="10" s="1"/>
  <c r="AI512" i="10" s="1"/>
  <c r="AI513" i="10" s="1"/>
  <c r="AH510" i="10"/>
  <c r="AH511" i="10" s="1"/>
  <c r="AH512" i="10" s="1"/>
  <c r="AH513" i="10" s="1"/>
  <c r="AG510" i="10"/>
  <c r="AG511" i="10" s="1"/>
  <c r="AG512" i="10" s="1"/>
  <c r="AG513" i="10" s="1"/>
  <c r="AC510" i="10"/>
  <c r="AC511" i="10" s="1"/>
  <c r="AC512" i="10" s="1"/>
  <c r="AC513" i="10" s="1"/>
  <c r="AB510" i="10"/>
  <c r="AB511" i="10" s="1"/>
  <c r="AB512" i="10" s="1"/>
  <c r="AB513" i="10" s="1"/>
  <c r="X510" i="10"/>
  <c r="X515" i="10" s="1"/>
  <c r="W510" i="10"/>
  <c r="W515" i="10" s="1"/>
  <c r="V510" i="10"/>
  <c r="V515" i="10" s="1"/>
  <c r="U510" i="10"/>
  <c r="U515" i="10" s="1"/>
  <c r="AK509" i="10"/>
  <c r="AL509" i="10" s="1"/>
  <c r="AL510" i="10" s="1"/>
  <c r="AL511" i="10" s="1"/>
  <c r="AL512" i="10" s="1"/>
  <c r="AL513" i="10" s="1"/>
  <c r="Y509" i="10"/>
  <c r="Z509" i="10" s="1"/>
  <c r="Z510" i="10" s="1"/>
  <c r="Z515" i="10" s="1"/>
  <c r="AJ496" i="10"/>
  <c r="AJ497" i="10" s="1"/>
  <c r="AJ498" i="10" s="1"/>
  <c r="AJ499" i="10" s="1"/>
  <c r="AI496" i="10"/>
  <c r="AI497" i="10" s="1"/>
  <c r="AI498" i="10" s="1"/>
  <c r="AI499" i="10" s="1"/>
  <c r="AH496" i="10"/>
  <c r="AH497" i="10" s="1"/>
  <c r="AH498" i="10" s="1"/>
  <c r="AH499" i="10" s="1"/>
  <c r="AG496" i="10"/>
  <c r="AG497" i="10" s="1"/>
  <c r="AG498" i="10" s="1"/>
  <c r="AG499" i="10" s="1"/>
  <c r="AC496" i="10"/>
  <c r="AC497" i="10" s="1"/>
  <c r="AC498" i="10" s="1"/>
  <c r="AC499" i="10" s="1"/>
  <c r="AB496" i="10"/>
  <c r="AB497" i="10" s="1"/>
  <c r="AB498" i="10" s="1"/>
  <c r="AB499" i="10" s="1"/>
  <c r="X496" i="10"/>
  <c r="X501" i="10" s="1"/>
  <c r="W496" i="10"/>
  <c r="W501" i="10" s="1"/>
  <c r="V496" i="10"/>
  <c r="V501" i="10" s="1"/>
  <c r="U496" i="10"/>
  <c r="U501" i="10" s="1"/>
  <c r="AK495" i="10"/>
  <c r="AK496" i="10" s="1"/>
  <c r="AK497" i="10" s="1"/>
  <c r="AK498" i="10" s="1"/>
  <c r="AK499" i="10" s="1"/>
  <c r="Y495" i="10"/>
  <c r="Z495" i="10" s="1"/>
  <c r="Z496" i="10" s="1"/>
  <c r="Z501" i="10" s="1"/>
  <c r="AJ482" i="10"/>
  <c r="AJ483" i="10" s="1"/>
  <c r="AJ484" i="10" s="1"/>
  <c r="AJ485" i="10" s="1"/>
  <c r="AI482" i="10"/>
  <c r="AI483" i="10" s="1"/>
  <c r="AI484" i="10" s="1"/>
  <c r="AI485" i="10" s="1"/>
  <c r="AH482" i="10"/>
  <c r="AH483" i="10" s="1"/>
  <c r="AH484" i="10" s="1"/>
  <c r="AH485" i="10" s="1"/>
  <c r="AG482" i="10"/>
  <c r="AG483" i="10" s="1"/>
  <c r="AG484" i="10" s="1"/>
  <c r="AG485" i="10" s="1"/>
  <c r="AC482" i="10"/>
  <c r="AC483" i="10" s="1"/>
  <c r="AC484" i="10" s="1"/>
  <c r="AC485" i="10" s="1"/>
  <c r="AB482" i="10"/>
  <c r="AB483" i="10" s="1"/>
  <c r="AB484" i="10" s="1"/>
  <c r="AB485" i="10" s="1"/>
  <c r="X482" i="10"/>
  <c r="X487" i="10" s="1"/>
  <c r="W482" i="10"/>
  <c r="W487" i="10" s="1"/>
  <c r="V482" i="10"/>
  <c r="V487" i="10" s="1"/>
  <c r="U482" i="10"/>
  <c r="U487" i="10" s="1"/>
  <c r="AK481" i="10"/>
  <c r="AL481" i="10" s="1"/>
  <c r="Y481" i="10"/>
  <c r="Z481" i="10" s="1"/>
  <c r="Z482" i="10" s="1"/>
  <c r="Z487" i="10" s="1"/>
  <c r="AJ468" i="10"/>
  <c r="AJ469" i="10" s="1"/>
  <c r="AJ470" i="10" s="1"/>
  <c r="AJ471" i="10" s="1"/>
  <c r="AI468" i="10"/>
  <c r="AI469" i="10" s="1"/>
  <c r="AI470" i="10" s="1"/>
  <c r="AI471" i="10" s="1"/>
  <c r="AH468" i="10"/>
  <c r="AH469" i="10" s="1"/>
  <c r="AH470" i="10" s="1"/>
  <c r="AH471" i="10" s="1"/>
  <c r="AG468" i="10"/>
  <c r="AG469" i="10" s="1"/>
  <c r="AG470" i="10" s="1"/>
  <c r="AG471" i="10" s="1"/>
  <c r="AC468" i="10"/>
  <c r="AC469" i="10" s="1"/>
  <c r="AC470" i="10" s="1"/>
  <c r="AC471" i="10" s="1"/>
  <c r="AB468" i="10"/>
  <c r="AB469" i="10" s="1"/>
  <c r="AB470" i="10" s="1"/>
  <c r="AB471" i="10" s="1"/>
  <c r="X468" i="10"/>
  <c r="X473" i="10" s="1"/>
  <c r="W468" i="10"/>
  <c r="W473" i="10" s="1"/>
  <c r="V468" i="10"/>
  <c r="V473" i="10" s="1"/>
  <c r="U468" i="10"/>
  <c r="U473" i="10" s="1"/>
  <c r="AK467" i="10"/>
  <c r="AL467" i="10" s="1"/>
  <c r="AL468" i="10" s="1"/>
  <c r="AL469" i="10" s="1"/>
  <c r="AL470" i="10" s="1"/>
  <c r="AL471" i="10" s="1"/>
  <c r="Y467" i="10"/>
  <c r="Z467" i="10" s="1"/>
  <c r="Z468" i="10" s="1"/>
  <c r="Z473" i="10" s="1"/>
  <c r="AJ454" i="10"/>
  <c r="AJ455" i="10" s="1"/>
  <c r="AJ456" i="10" s="1"/>
  <c r="AJ457" i="10" s="1"/>
  <c r="AI454" i="10"/>
  <c r="AI455" i="10" s="1"/>
  <c r="AI456" i="10" s="1"/>
  <c r="AI457" i="10" s="1"/>
  <c r="AH454" i="10"/>
  <c r="AH455" i="10" s="1"/>
  <c r="AH456" i="10" s="1"/>
  <c r="AH457" i="10" s="1"/>
  <c r="AG454" i="10"/>
  <c r="AG455" i="10" s="1"/>
  <c r="AG456" i="10" s="1"/>
  <c r="AG457" i="10" s="1"/>
  <c r="AC454" i="10"/>
  <c r="AC455" i="10" s="1"/>
  <c r="AC456" i="10" s="1"/>
  <c r="AC457" i="10" s="1"/>
  <c r="AB454" i="10"/>
  <c r="AB455" i="10" s="1"/>
  <c r="AB456" i="10" s="1"/>
  <c r="AB457" i="10" s="1"/>
  <c r="X454" i="10"/>
  <c r="X459" i="10" s="1"/>
  <c r="W454" i="10"/>
  <c r="W459" i="10" s="1"/>
  <c r="V454" i="10"/>
  <c r="V459" i="10" s="1"/>
  <c r="U454" i="10"/>
  <c r="U459" i="10" s="1"/>
  <c r="AK453" i="10"/>
  <c r="AL453" i="10" s="1"/>
  <c r="AL454" i="10" s="1"/>
  <c r="AL455" i="10" s="1"/>
  <c r="AL456" i="10" s="1"/>
  <c r="AL457" i="10" s="1"/>
  <c r="Y453" i="10"/>
  <c r="Z453" i="10" s="1"/>
  <c r="Z454" i="10" s="1"/>
  <c r="Z459" i="10" s="1"/>
  <c r="AJ440" i="10"/>
  <c r="AJ441" i="10" s="1"/>
  <c r="AJ442" i="10" s="1"/>
  <c r="AJ443" i="10" s="1"/>
  <c r="AI440" i="10"/>
  <c r="AI441" i="10" s="1"/>
  <c r="AI442" i="10" s="1"/>
  <c r="AI443" i="10" s="1"/>
  <c r="AH440" i="10"/>
  <c r="AH441" i="10" s="1"/>
  <c r="AH442" i="10" s="1"/>
  <c r="AH443" i="10" s="1"/>
  <c r="AG440" i="10"/>
  <c r="AG441" i="10" s="1"/>
  <c r="AG442" i="10" s="1"/>
  <c r="AG443" i="10" s="1"/>
  <c r="AC440" i="10"/>
  <c r="AC441" i="10" s="1"/>
  <c r="AC442" i="10" s="1"/>
  <c r="AC443" i="10" s="1"/>
  <c r="AB440" i="10"/>
  <c r="AB441" i="10" s="1"/>
  <c r="AB442" i="10" s="1"/>
  <c r="AB443" i="10" s="1"/>
  <c r="X440" i="10"/>
  <c r="X445" i="10" s="1"/>
  <c r="W440" i="10"/>
  <c r="W445" i="10" s="1"/>
  <c r="V440" i="10"/>
  <c r="V445" i="10" s="1"/>
  <c r="U440" i="10"/>
  <c r="U445" i="10" s="1"/>
  <c r="AK439" i="10"/>
  <c r="AK440" i="10" s="1"/>
  <c r="AK441" i="10" s="1"/>
  <c r="AK442" i="10" s="1"/>
  <c r="AK443" i="10" s="1"/>
  <c r="Y439" i="10"/>
  <c r="Z439" i="10" s="1"/>
  <c r="Z440" i="10" s="1"/>
  <c r="Z445" i="10" s="1"/>
  <c r="AJ426" i="10"/>
  <c r="AJ427" i="10" s="1"/>
  <c r="AJ428" i="10" s="1"/>
  <c r="AJ429" i="10" s="1"/>
  <c r="AI426" i="10"/>
  <c r="AI427" i="10" s="1"/>
  <c r="AI428" i="10" s="1"/>
  <c r="AI429" i="10" s="1"/>
  <c r="AH426" i="10"/>
  <c r="AH427" i="10" s="1"/>
  <c r="AH428" i="10" s="1"/>
  <c r="AH429" i="10" s="1"/>
  <c r="AG426" i="10"/>
  <c r="AG427" i="10" s="1"/>
  <c r="AG428" i="10" s="1"/>
  <c r="AG429" i="10" s="1"/>
  <c r="AC426" i="10"/>
  <c r="AC427" i="10" s="1"/>
  <c r="AC428" i="10" s="1"/>
  <c r="AC429" i="10" s="1"/>
  <c r="AB426" i="10"/>
  <c r="AB427" i="10" s="1"/>
  <c r="AB428" i="10" s="1"/>
  <c r="AB429" i="10" s="1"/>
  <c r="X426" i="10"/>
  <c r="X431" i="10" s="1"/>
  <c r="W426" i="10"/>
  <c r="W431" i="10" s="1"/>
  <c r="V426" i="10"/>
  <c r="V431" i="10" s="1"/>
  <c r="U426" i="10"/>
  <c r="U431" i="10" s="1"/>
  <c r="AK425" i="10"/>
  <c r="AK426" i="10" s="1"/>
  <c r="AK427" i="10" s="1"/>
  <c r="AK428" i="10" s="1"/>
  <c r="AK429" i="10" s="1"/>
  <c r="Y425" i="10"/>
  <c r="Z425" i="10" s="1"/>
  <c r="Z426" i="10" s="1"/>
  <c r="Z431" i="10" s="1"/>
  <c r="AJ412" i="10"/>
  <c r="AJ413" i="10" s="1"/>
  <c r="AJ414" i="10" s="1"/>
  <c r="AJ415" i="10" s="1"/>
  <c r="AI412" i="10"/>
  <c r="AI413" i="10" s="1"/>
  <c r="AI414" i="10" s="1"/>
  <c r="AI415" i="10" s="1"/>
  <c r="AH412" i="10"/>
  <c r="AH413" i="10" s="1"/>
  <c r="AH414" i="10" s="1"/>
  <c r="AH415" i="10" s="1"/>
  <c r="AG412" i="10"/>
  <c r="AG413" i="10" s="1"/>
  <c r="AG414" i="10" s="1"/>
  <c r="AG415" i="10" s="1"/>
  <c r="AC412" i="10"/>
  <c r="AC413" i="10" s="1"/>
  <c r="AC414" i="10" s="1"/>
  <c r="AC415" i="10" s="1"/>
  <c r="AB412" i="10"/>
  <c r="AB413" i="10" s="1"/>
  <c r="AB414" i="10" s="1"/>
  <c r="AB415" i="10" s="1"/>
  <c r="X412" i="10"/>
  <c r="X417" i="10" s="1"/>
  <c r="W412" i="10"/>
  <c r="W417" i="10" s="1"/>
  <c r="V412" i="10"/>
  <c r="V417" i="10" s="1"/>
  <c r="U412" i="10"/>
  <c r="U417" i="10" s="1"/>
  <c r="AK411" i="10"/>
  <c r="AL411" i="10" s="1"/>
  <c r="AL412" i="10" s="1"/>
  <c r="AL413" i="10" s="1"/>
  <c r="AL414" i="10" s="1"/>
  <c r="AL415" i="10" s="1"/>
  <c r="Y411" i="10"/>
  <c r="Z411" i="10" s="1"/>
  <c r="Z412" i="10" s="1"/>
  <c r="Z417" i="10" s="1"/>
  <c r="AJ398" i="10"/>
  <c r="AJ399" i="10" s="1"/>
  <c r="AJ400" i="10" s="1"/>
  <c r="AJ401" i="10" s="1"/>
  <c r="AI398" i="10"/>
  <c r="AI399" i="10" s="1"/>
  <c r="AI400" i="10" s="1"/>
  <c r="AI401" i="10" s="1"/>
  <c r="AH398" i="10"/>
  <c r="AH399" i="10" s="1"/>
  <c r="AH400" i="10" s="1"/>
  <c r="AH401" i="10" s="1"/>
  <c r="AG398" i="10"/>
  <c r="AG399" i="10" s="1"/>
  <c r="AG400" i="10" s="1"/>
  <c r="AG401" i="10" s="1"/>
  <c r="AC398" i="10"/>
  <c r="AC399" i="10" s="1"/>
  <c r="AC400" i="10" s="1"/>
  <c r="AC401" i="10" s="1"/>
  <c r="AB398" i="10"/>
  <c r="AB399" i="10" s="1"/>
  <c r="AB400" i="10" s="1"/>
  <c r="AB401" i="10" s="1"/>
  <c r="X398" i="10"/>
  <c r="X403" i="10" s="1"/>
  <c r="W398" i="10"/>
  <c r="W403" i="10" s="1"/>
  <c r="V398" i="10"/>
  <c r="V403" i="10" s="1"/>
  <c r="U398" i="10"/>
  <c r="U403" i="10" s="1"/>
  <c r="AK397" i="10"/>
  <c r="Y397" i="10"/>
  <c r="Y398" i="10" s="1"/>
  <c r="Y403" i="10" s="1"/>
  <c r="AJ384" i="10"/>
  <c r="AJ385" i="10" s="1"/>
  <c r="AJ386" i="10" s="1"/>
  <c r="AJ387" i="10" s="1"/>
  <c r="AI384" i="10"/>
  <c r="AI385" i="10" s="1"/>
  <c r="AI386" i="10" s="1"/>
  <c r="AI387" i="10" s="1"/>
  <c r="AH384" i="10"/>
  <c r="AH385" i="10" s="1"/>
  <c r="AH386" i="10" s="1"/>
  <c r="AH387" i="10" s="1"/>
  <c r="AG384" i="10"/>
  <c r="AG385" i="10" s="1"/>
  <c r="AG386" i="10" s="1"/>
  <c r="AG387" i="10" s="1"/>
  <c r="AC384" i="10"/>
  <c r="AC385" i="10" s="1"/>
  <c r="AC386" i="10" s="1"/>
  <c r="AC387" i="10" s="1"/>
  <c r="AB384" i="10"/>
  <c r="AB385" i="10" s="1"/>
  <c r="AB386" i="10" s="1"/>
  <c r="AB387" i="10" s="1"/>
  <c r="X384" i="10"/>
  <c r="X389" i="10" s="1"/>
  <c r="W384" i="10"/>
  <c r="W389" i="10" s="1"/>
  <c r="V384" i="10"/>
  <c r="V389" i="10" s="1"/>
  <c r="U384" i="10"/>
  <c r="U389" i="10" s="1"/>
  <c r="AK383" i="10"/>
  <c r="AL383" i="10" s="1"/>
  <c r="AL384" i="10" s="1"/>
  <c r="AL385" i="10" s="1"/>
  <c r="AL386" i="10" s="1"/>
  <c r="AL387" i="10" s="1"/>
  <c r="Y383" i="10"/>
  <c r="Y384" i="10" s="1"/>
  <c r="Y389" i="10" s="1"/>
  <c r="AJ370" i="10"/>
  <c r="AJ371" i="10" s="1"/>
  <c r="AJ372" i="10" s="1"/>
  <c r="AJ373" i="10" s="1"/>
  <c r="AI370" i="10"/>
  <c r="AI371" i="10" s="1"/>
  <c r="AI372" i="10" s="1"/>
  <c r="AI373" i="10" s="1"/>
  <c r="AH370" i="10"/>
  <c r="AH371" i="10" s="1"/>
  <c r="AH372" i="10" s="1"/>
  <c r="AH373" i="10" s="1"/>
  <c r="AG370" i="10"/>
  <c r="AG371" i="10" s="1"/>
  <c r="AG372" i="10" s="1"/>
  <c r="AG373" i="10" s="1"/>
  <c r="AC370" i="10"/>
  <c r="AC371" i="10" s="1"/>
  <c r="AC372" i="10" s="1"/>
  <c r="AC373" i="10" s="1"/>
  <c r="AB370" i="10"/>
  <c r="AB371" i="10" s="1"/>
  <c r="AB372" i="10" s="1"/>
  <c r="AB373" i="10" s="1"/>
  <c r="X370" i="10"/>
  <c r="X375" i="10" s="1"/>
  <c r="W370" i="10"/>
  <c r="W375" i="10" s="1"/>
  <c r="V370" i="10"/>
  <c r="V375" i="10" s="1"/>
  <c r="U370" i="10"/>
  <c r="U375" i="10" s="1"/>
  <c r="AK369" i="10"/>
  <c r="AL369" i="10" s="1"/>
  <c r="AL370" i="10" s="1"/>
  <c r="AL371" i="10" s="1"/>
  <c r="AL372" i="10" s="1"/>
  <c r="AL373" i="10" s="1"/>
  <c r="Y369" i="10"/>
  <c r="Z369" i="10" s="1"/>
  <c r="Z370" i="10" s="1"/>
  <c r="Z375" i="10" s="1"/>
  <c r="AJ356" i="10"/>
  <c r="AJ357" i="10" s="1"/>
  <c r="AJ358" i="10" s="1"/>
  <c r="AJ359" i="10" s="1"/>
  <c r="AI356" i="10"/>
  <c r="AI357" i="10" s="1"/>
  <c r="AI358" i="10" s="1"/>
  <c r="AI359" i="10" s="1"/>
  <c r="AH356" i="10"/>
  <c r="AH357" i="10" s="1"/>
  <c r="AH358" i="10" s="1"/>
  <c r="AH359" i="10" s="1"/>
  <c r="AG356" i="10"/>
  <c r="AG357" i="10" s="1"/>
  <c r="AG358" i="10" s="1"/>
  <c r="AG359" i="10" s="1"/>
  <c r="AC356" i="10"/>
  <c r="AC357" i="10" s="1"/>
  <c r="AC358" i="10" s="1"/>
  <c r="AC359" i="10" s="1"/>
  <c r="AB356" i="10"/>
  <c r="AB357" i="10" s="1"/>
  <c r="AB358" i="10" s="1"/>
  <c r="AB359" i="10" s="1"/>
  <c r="X356" i="10"/>
  <c r="X361" i="10" s="1"/>
  <c r="W356" i="10"/>
  <c r="W361" i="10" s="1"/>
  <c r="V356" i="10"/>
  <c r="V361" i="10" s="1"/>
  <c r="U356" i="10"/>
  <c r="U361" i="10" s="1"/>
  <c r="AK355" i="10"/>
  <c r="AK356" i="10" s="1"/>
  <c r="AK357" i="10" s="1"/>
  <c r="AK358" i="10" s="1"/>
  <c r="AK359" i="10" s="1"/>
  <c r="Y355" i="10"/>
  <c r="Z355" i="10" s="1"/>
  <c r="Z356" i="10" s="1"/>
  <c r="Z361" i="10" s="1"/>
  <c r="AJ342" i="10"/>
  <c r="AJ343" i="10" s="1"/>
  <c r="AJ344" i="10" s="1"/>
  <c r="AJ345" i="10" s="1"/>
  <c r="AI342" i="10"/>
  <c r="AI343" i="10" s="1"/>
  <c r="AI344" i="10" s="1"/>
  <c r="AI345" i="10" s="1"/>
  <c r="AH342" i="10"/>
  <c r="AH343" i="10" s="1"/>
  <c r="AH344" i="10" s="1"/>
  <c r="AH345" i="10" s="1"/>
  <c r="AG342" i="10"/>
  <c r="AG343" i="10" s="1"/>
  <c r="AG344" i="10" s="1"/>
  <c r="AG345" i="10" s="1"/>
  <c r="AC342" i="10"/>
  <c r="AC343" i="10" s="1"/>
  <c r="AC344" i="10" s="1"/>
  <c r="AC345" i="10" s="1"/>
  <c r="AB342" i="10"/>
  <c r="AB343" i="10" s="1"/>
  <c r="AB344" i="10" s="1"/>
  <c r="AB345" i="10" s="1"/>
  <c r="X342" i="10"/>
  <c r="X347" i="10" s="1"/>
  <c r="W342" i="10"/>
  <c r="W347" i="10" s="1"/>
  <c r="V342" i="10"/>
  <c r="V347" i="10" s="1"/>
  <c r="U342" i="10"/>
  <c r="U347" i="10" s="1"/>
  <c r="AK341" i="10"/>
  <c r="AL341" i="10" s="1"/>
  <c r="AL342" i="10" s="1"/>
  <c r="AL343" i="10" s="1"/>
  <c r="AL344" i="10" s="1"/>
  <c r="AL345" i="10" s="1"/>
  <c r="Y341" i="10"/>
  <c r="Z341" i="10" s="1"/>
  <c r="Z342" i="10" s="1"/>
  <c r="Z347" i="10" s="1"/>
  <c r="AJ328" i="10"/>
  <c r="AJ329" i="10" s="1"/>
  <c r="AJ330" i="10" s="1"/>
  <c r="AJ331" i="10" s="1"/>
  <c r="AI328" i="10"/>
  <c r="AI329" i="10" s="1"/>
  <c r="AI330" i="10" s="1"/>
  <c r="AI331" i="10" s="1"/>
  <c r="AH328" i="10"/>
  <c r="AH329" i="10" s="1"/>
  <c r="AH330" i="10" s="1"/>
  <c r="AH331" i="10" s="1"/>
  <c r="AG328" i="10"/>
  <c r="AG329" i="10" s="1"/>
  <c r="AG330" i="10" s="1"/>
  <c r="AG331" i="10" s="1"/>
  <c r="AC328" i="10"/>
  <c r="AC329" i="10" s="1"/>
  <c r="AC330" i="10" s="1"/>
  <c r="AC331" i="10" s="1"/>
  <c r="AB328" i="10"/>
  <c r="AB329" i="10" s="1"/>
  <c r="AB330" i="10" s="1"/>
  <c r="AB331" i="10" s="1"/>
  <c r="X328" i="10"/>
  <c r="X333" i="10" s="1"/>
  <c r="W328" i="10"/>
  <c r="W333" i="10" s="1"/>
  <c r="V328" i="10"/>
  <c r="V333" i="10" s="1"/>
  <c r="U328" i="10"/>
  <c r="U333" i="10" s="1"/>
  <c r="AK327" i="10"/>
  <c r="AK328" i="10" s="1"/>
  <c r="AK329" i="10" s="1"/>
  <c r="AK330" i="10" s="1"/>
  <c r="AK331" i="10" s="1"/>
  <c r="Y327" i="10"/>
  <c r="AJ314" i="10"/>
  <c r="AJ315" i="10" s="1"/>
  <c r="AJ316" i="10" s="1"/>
  <c r="AJ317" i="10" s="1"/>
  <c r="AI314" i="10"/>
  <c r="AI315" i="10" s="1"/>
  <c r="AI316" i="10" s="1"/>
  <c r="AI317" i="10" s="1"/>
  <c r="AH314" i="10"/>
  <c r="AH315" i="10" s="1"/>
  <c r="AH316" i="10" s="1"/>
  <c r="AH317" i="10" s="1"/>
  <c r="AG314" i="10"/>
  <c r="AG315" i="10" s="1"/>
  <c r="AG316" i="10" s="1"/>
  <c r="AG317" i="10" s="1"/>
  <c r="AC314" i="10"/>
  <c r="AC315" i="10" s="1"/>
  <c r="AC316" i="10" s="1"/>
  <c r="AC317" i="10" s="1"/>
  <c r="AB314" i="10"/>
  <c r="AB315" i="10" s="1"/>
  <c r="AB316" i="10" s="1"/>
  <c r="AB317" i="10" s="1"/>
  <c r="X314" i="10"/>
  <c r="X319" i="10" s="1"/>
  <c r="W314" i="10"/>
  <c r="W319" i="10" s="1"/>
  <c r="V314" i="10"/>
  <c r="V319" i="10" s="1"/>
  <c r="U314" i="10"/>
  <c r="U319" i="10" s="1"/>
  <c r="AK313" i="10"/>
  <c r="AK314" i="10" s="1"/>
  <c r="AK315" i="10" s="1"/>
  <c r="AK316" i="10" s="1"/>
  <c r="AK317" i="10" s="1"/>
  <c r="Y313" i="10"/>
  <c r="Z313" i="10" s="1"/>
  <c r="AJ300" i="10"/>
  <c r="AJ301" i="10" s="1"/>
  <c r="AJ302" i="10" s="1"/>
  <c r="AJ303" i="10" s="1"/>
  <c r="AI300" i="10"/>
  <c r="AI301" i="10" s="1"/>
  <c r="AI302" i="10" s="1"/>
  <c r="AI303" i="10" s="1"/>
  <c r="AH300" i="10"/>
  <c r="AH301" i="10" s="1"/>
  <c r="AH302" i="10" s="1"/>
  <c r="AH303" i="10" s="1"/>
  <c r="AG300" i="10"/>
  <c r="AG301" i="10" s="1"/>
  <c r="AG302" i="10" s="1"/>
  <c r="AG303" i="10" s="1"/>
  <c r="AC300" i="10"/>
  <c r="AC301" i="10" s="1"/>
  <c r="AC302" i="10" s="1"/>
  <c r="AC303" i="10" s="1"/>
  <c r="AB300" i="10"/>
  <c r="AB301" i="10" s="1"/>
  <c r="AB302" i="10" s="1"/>
  <c r="AB303" i="10" s="1"/>
  <c r="X300" i="10"/>
  <c r="X305" i="10" s="1"/>
  <c r="W300" i="10"/>
  <c r="W305" i="10" s="1"/>
  <c r="V300" i="10"/>
  <c r="V305" i="10" s="1"/>
  <c r="U300" i="10"/>
  <c r="U305" i="10" s="1"/>
  <c r="AK299" i="10"/>
  <c r="AK300" i="10" s="1"/>
  <c r="AK301" i="10" s="1"/>
  <c r="AK302" i="10" s="1"/>
  <c r="AK303" i="10" s="1"/>
  <c r="Y299" i="10"/>
  <c r="AJ286" i="10"/>
  <c r="AJ287" i="10" s="1"/>
  <c r="AJ288" i="10" s="1"/>
  <c r="AJ289" i="10" s="1"/>
  <c r="AI286" i="10"/>
  <c r="AI287" i="10" s="1"/>
  <c r="AI288" i="10" s="1"/>
  <c r="AI289" i="10" s="1"/>
  <c r="AH286" i="10"/>
  <c r="AH287" i="10" s="1"/>
  <c r="AH288" i="10" s="1"/>
  <c r="AH289" i="10" s="1"/>
  <c r="AG286" i="10"/>
  <c r="AG287" i="10" s="1"/>
  <c r="AG288" i="10" s="1"/>
  <c r="AG289" i="10" s="1"/>
  <c r="AC286" i="10"/>
  <c r="AC287" i="10" s="1"/>
  <c r="AC288" i="10" s="1"/>
  <c r="AC289" i="10" s="1"/>
  <c r="AB286" i="10"/>
  <c r="AB287" i="10" s="1"/>
  <c r="AB288" i="10" s="1"/>
  <c r="AB289" i="10" s="1"/>
  <c r="X286" i="10"/>
  <c r="X291" i="10" s="1"/>
  <c r="W286" i="10"/>
  <c r="W291" i="10" s="1"/>
  <c r="V286" i="10"/>
  <c r="V291" i="10" s="1"/>
  <c r="U286" i="10"/>
  <c r="U291" i="10" s="1"/>
  <c r="AK285" i="10"/>
  <c r="AL285" i="10" s="1"/>
  <c r="AL286" i="10" s="1"/>
  <c r="AL287" i="10" s="1"/>
  <c r="AL288" i="10" s="1"/>
  <c r="AL289" i="10" s="1"/>
  <c r="Y285" i="10"/>
  <c r="Z285" i="10" s="1"/>
  <c r="Z286" i="10" s="1"/>
  <c r="Z291" i="10" s="1"/>
  <c r="AJ272" i="10"/>
  <c r="AJ273" i="10" s="1"/>
  <c r="AJ274" i="10" s="1"/>
  <c r="AJ275" i="10" s="1"/>
  <c r="AI272" i="10"/>
  <c r="AI273" i="10" s="1"/>
  <c r="AI274" i="10" s="1"/>
  <c r="AI275" i="10" s="1"/>
  <c r="AH272" i="10"/>
  <c r="AH273" i="10" s="1"/>
  <c r="AH274" i="10" s="1"/>
  <c r="AH275" i="10" s="1"/>
  <c r="AG272" i="10"/>
  <c r="AG273" i="10" s="1"/>
  <c r="AG274" i="10" s="1"/>
  <c r="AG275" i="10" s="1"/>
  <c r="AC272" i="10"/>
  <c r="AC273" i="10" s="1"/>
  <c r="AC274" i="10" s="1"/>
  <c r="AC275" i="10" s="1"/>
  <c r="AB272" i="10"/>
  <c r="AB273" i="10" s="1"/>
  <c r="AB274" i="10" s="1"/>
  <c r="AB275" i="10" s="1"/>
  <c r="X272" i="10"/>
  <c r="X277" i="10" s="1"/>
  <c r="W272" i="10"/>
  <c r="W277" i="10" s="1"/>
  <c r="V272" i="10"/>
  <c r="V277" i="10" s="1"/>
  <c r="U272" i="10"/>
  <c r="U277" i="10" s="1"/>
  <c r="AK271" i="10"/>
  <c r="AK272" i="10" s="1"/>
  <c r="AK273" i="10" s="1"/>
  <c r="AK274" i="10" s="1"/>
  <c r="AK275" i="10" s="1"/>
  <c r="Y271" i="10"/>
  <c r="Y272" i="10" s="1"/>
  <c r="Y277" i="10" s="1"/>
  <c r="AJ258" i="10"/>
  <c r="AJ259" i="10" s="1"/>
  <c r="AJ260" i="10" s="1"/>
  <c r="AJ261" i="10" s="1"/>
  <c r="AI258" i="10"/>
  <c r="AI259" i="10" s="1"/>
  <c r="AI260" i="10" s="1"/>
  <c r="AI261" i="10" s="1"/>
  <c r="AH258" i="10"/>
  <c r="AH259" i="10" s="1"/>
  <c r="AH260" i="10" s="1"/>
  <c r="AH261" i="10" s="1"/>
  <c r="AG258" i="10"/>
  <c r="AG259" i="10" s="1"/>
  <c r="AG260" i="10" s="1"/>
  <c r="AG261" i="10" s="1"/>
  <c r="AC258" i="10"/>
  <c r="AC259" i="10" s="1"/>
  <c r="AC260" i="10" s="1"/>
  <c r="AC261" i="10" s="1"/>
  <c r="AB258" i="10"/>
  <c r="AB259" i="10" s="1"/>
  <c r="AB260" i="10" s="1"/>
  <c r="AB261" i="10" s="1"/>
  <c r="X258" i="10"/>
  <c r="X263" i="10" s="1"/>
  <c r="W258" i="10"/>
  <c r="W263" i="10" s="1"/>
  <c r="V258" i="10"/>
  <c r="V263" i="10" s="1"/>
  <c r="U258" i="10"/>
  <c r="U263" i="10" s="1"/>
  <c r="AK257" i="10"/>
  <c r="AK258" i="10" s="1"/>
  <c r="AK259" i="10" s="1"/>
  <c r="AK260" i="10" s="1"/>
  <c r="AK261" i="10" s="1"/>
  <c r="Y257" i="10"/>
  <c r="Z257" i="10" s="1"/>
  <c r="Z258" i="10" s="1"/>
  <c r="Z263" i="10" s="1"/>
  <c r="AJ244" i="10"/>
  <c r="AJ245" i="10" s="1"/>
  <c r="AJ246" i="10" s="1"/>
  <c r="AJ247" i="10" s="1"/>
  <c r="AI244" i="10"/>
  <c r="AI245" i="10" s="1"/>
  <c r="AI246" i="10" s="1"/>
  <c r="AI247" i="10" s="1"/>
  <c r="AH244" i="10"/>
  <c r="AH245" i="10" s="1"/>
  <c r="AH246" i="10" s="1"/>
  <c r="AH247" i="10" s="1"/>
  <c r="AG244" i="10"/>
  <c r="AG245" i="10" s="1"/>
  <c r="AG246" i="10" s="1"/>
  <c r="AG247" i="10" s="1"/>
  <c r="AC244" i="10"/>
  <c r="AC245" i="10" s="1"/>
  <c r="AC246" i="10" s="1"/>
  <c r="AC247" i="10" s="1"/>
  <c r="AB244" i="10"/>
  <c r="AB245" i="10" s="1"/>
  <c r="AB246" i="10" s="1"/>
  <c r="AB247" i="10" s="1"/>
  <c r="X244" i="10"/>
  <c r="X249" i="10" s="1"/>
  <c r="W244" i="10"/>
  <c r="W249" i="10" s="1"/>
  <c r="V244" i="10"/>
  <c r="V249" i="10" s="1"/>
  <c r="U244" i="10"/>
  <c r="U249" i="10" s="1"/>
  <c r="AK243" i="10"/>
  <c r="AK244" i="10" s="1"/>
  <c r="AK245" i="10" s="1"/>
  <c r="AK246" i="10" s="1"/>
  <c r="AK247" i="10" s="1"/>
  <c r="Y243" i="10"/>
  <c r="Z243" i="10" s="1"/>
  <c r="Z244" i="10" s="1"/>
  <c r="Z249" i="10" s="1"/>
  <c r="AJ230" i="10"/>
  <c r="AJ231" i="10" s="1"/>
  <c r="AJ232" i="10" s="1"/>
  <c r="AJ233" i="10" s="1"/>
  <c r="AI230" i="10"/>
  <c r="AI231" i="10" s="1"/>
  <c r="AI232" i="10" s="1"/>
  <c r="AI233" i="10" s="1"/>
  <c r="AH230" i="10"/>
  <c r="AH231" i="10" s="1"/>
  <c r="AH232" i="10" s="1"/>
  <c r="AH233" i="10" s="1"/>
  <c r="AG230" i="10"/>
  <c r="AG231" i="10" s="1"/>
  <c r="AG232" i="10" s="1"/>
  <c r="AG233" i="10" s="1"/>
  <c r="AC230" i="10"/>
  <c r="AC231" i="10" s="1"/>
  <c r="AC232" i="10" s="1"/>
  <c r="AC233" i="10" s="1"/>
  <c r="AB230" i="10"/>
  <c r="AB231" i="10" s="1"/>
  <c r="AB232" i="10" s="1"/>
  <c r="AB233" i="10" s="1"/>
  <c r="X230" i="10"/>
  <c r="X235" i="10" s="1"/>
  <c r="W230" i="10"/>
  <c r="W235" i="10" s="1"/>
  <c r="V230" i="10"/>
  <c r="V235" i="10" s="1"/>
  <c r="U230" i="10"/>
  <c r="U235" i="10" s="1"/>
  <c r="AK229" i="10"/>
  <c r="AK230" i="10" s="1"/>
  <c r="AK231" i="10" s="1"/>
  <c r="AK232" i="10" s="1"/>
  <c r="AK233" i="10" s="1"/>
  <c r="Y229" i="10"/>
  <c r="Z229" i="10" s="1"/>
  <c r="Z230" i="10" s="1"/>
  <c r="Z235" i="10" s="1"/>
  <c r="AJ216" i="10"/>
  <c r="AJ217" i="10" s="1"/>
  <c r="AJ218" i="10" s="1"/>
  <c r="AJ219" i="10" s="1"/>
  <c r="AI216" i="10"/>
  <c r="AI217" i="10" s="1"/>
  <c r="AI218" i="10" s="1"/>
  <c r="AI219" i="10" s="1"/>
  <c r="AH216" i="10"/>
  <c r="AH217" i="10" s="1"/>
  <c r="AH218" i="10" s="1"/>
  <c r="AH219" i="10" s="1"/>
  <c r="AG216" i="10"/>
  <c r="AG217" i="10" s="1"/>
  <c r="AG218" i="10" s="1"/>
  <c r="AG219" i="10" s="1"/>
  <c r="AC216" i="10"/>
  <c r="AC217" i="10" s="1"/>
  <c r="AC218" i="10" s="1"/>
  <c r="AC219" i="10" s="1"/>
  <c r="AB216" i="10"/>
  <c r="AB217" i="10" s="1"/>
  <c r="AB218" i="10" s="1"/>
  <c r="AB219" i="10" s="1"/>
  <c r="X216" i="10"/>
  <c r="X221" i="10" s="1"/>
  <c r="W216" i="10"/>
  <c r="W221" i="10" s="1"/>
  <c r="V216" i="10"/>
  <c r="V221" i="10" s="1"/>
  <c r="U216" i="10"/>
  <c r="U221" i="10" s="1"/>
  <c r="AK215" i="10"/>
  <c r="AK216" i="10" s="1"/>
  <c r="AK217" i="10" s="1"/>
  <c r="AK218" i="10" s="1"/>
  <c r="AK219" i="10" s="1"/>
  <c r="Y215" i="10"/>
  <c r="Z215" i="10" s="1"/>
  <c r="Z216" i="10" s="1"/>
  <c r="Z221" i="10" s="1"/>
  <c r="AJ202" i="10"/>
  <c r="AJ203" i="10" s="1"/>
  <c r="AJ204" i="10" s="1"/>
  <c r="AJ205" i="10" s="1"/>
  <c r="AI202" i="10"/>
  <c r="AI203" i="10" s="1"/>
  <c r="AI204" i="10" s="1"/>
  <c r="AI205" i="10" s="1"/>
  <c r="AH202" i="10"/>
  <c r="AH203" i="10" s="1"/>
  <c r="AH204" i="10" s="1"/>
  <c r="AH205" i="10" s="1"/>
  <c r="AG202" i="10"/>
  <c r="AG203" i="10" s="1"/>
  <c r="AG204" i="10" s="1"/>
  <c r="AG205" i="10" s="1"/>
  <c r="AC202" i="10"/>
  <c r="AC203" i="10" s="1"/>
  <c r="AC204" i="10" s="1"/>
  <c r="AC205" i="10" s="1"/>
  <c r="AB202" i="10"/>
  <c r="AB203" i="10" s="1"/>
  <c r="AB204" i="10" s="1"/>
  <c r="AB205" i="10" s="1"/>
  <c r="X202" i="10"/>
  <c r="X207" i="10" s="1"/>
  <c r="W202" i="10"/>
  <c r="W207" i="10" s="1"/>
  <c r="V202" i="10"/>
  <c r="V207" i="10" s="1"/>
  <c r="U202" i="10"/>
  <c r="U207" i="10" s="1"/>
  <c r="AK201" i="10"/>
  <c r="AL201" i="10" s="1"/>
  <c r="AL202" i="10" s="1"/>
  <c r="AL203" i="10" s="1"/>
  <c r="AL204" i="10" s="1"/>
  <c r="AL205" i="10" s="1"/>
  <c r="Y201" i="10"/>
  <c r="Y202" i="10" s="1"/>
  <c r="Y207" i="10" s="1"/>
  <c r="AJ188" i="10"/>
  <c r="AJ189" i="10" s="1"/>
  <c r="AJ190" i="10" s="1"/>
  <c r="AJ191" i="10" s="1"/>
  <c r="AI188" i="10"/>
  <c r="AI189" i="10" s="1"/>
  <c r="AI190" i="10" s="1"/>
  <c r="AI191" i="10" s="1"/>
  <c r="AH188" i="10"/>
  <c r="AH189" i="10" s="1"/>
  <c r="AH190" i="10" s="1"/>
  <c r="AH191" i="10" s="1"/>
  <c r="AG188" i="10"/>
  <c r="AG189" i="10" s="1"/>
  <c r="AG190" i="10" s="1"/>
  <c r="AG191" i="10" s="1"/>
  <c r="AC188" i="10"/>
  <c r="AC189" i="10" s="1"/>
  <c r="AC190" i="10" s="1"/>
  <c r="AC191" i="10" s="1"/>
  <c r="AB188" i="10"/>
  <c r="AB189" i="10" s="1"/>
  <c r="AB190" i="10" s="1"/>
  <c r="AB191" i="10" s="1"/>
  <c r="X188" i="10"/>
  <c r="X193" i="10" s="1"/>
  <c r="W188" i="10"/>
  <c r="W193" i="10" s="1"/>
  <c r="V188" i="10"/>
  <c r="V193" i="10" s="1"/>
  <c r="U188" i="10"/>
  <c r="U193" i="10" s="1"/>
  <c r="AK187" i="10"/>
  <c r="Y187" i="10"/>
  <c r="Y188" i="10" s="1"/>
  <c r="Y193" i="10" s="1"/>
  <c r="AJ174" i="10"/>
  <c r="AJ175" i="10" s="1"/>
  <c r="AJ176" i="10" s="1"/>
  <c r="AJ177" i="10" s="1"/>
  <c r="AI174" i="10"/>
  <c r="AI175" i="10" s="1"/>
  <c r="AI176" i="10" s="1"/>
  <c r="AI177" i="10" s="1"/>
  <c r="AH174" i="10"/>
  <c r="AH175" i="10" s="1"/>
  <c r="AH176" i="10" s="1"/>
  <c r="AH177" i="10" s="1"/>
  <c r="AG174" i="10"/>
  <c r="AG175" i="10" s="1"/>
  <c r="AG176" i="10" s="1"/>
  <c r="AG177" i="10" s="1"/>
  <c r="AC174" i="10"/>
  <c r="AC175" i="10" s="1"/>
  <c r="AC176" i="10" s="1"/>
  <c r="AC177" i="10" s="1"/>
  <c r="AB174" i="10"/>
  <c r="AB175" i="10" s="1"/>
  <c r="AB176" i="10" s="1"/>
  <c r="AB177" i="10" s="1"/>
  <c r="X174" i="10"/>
  <c r="X179" i="10" s="1"/>
  <c r="W174" i="10"/>
  <c r="W179" i="10" s="1"/>
  <c r="V174" i="10"/>
  <c r="V179" i="10" s="1"/>
  <c r="U174" i="10"/>
  <c r="U179" i="10" s="1"/>
  <c r="AK173" i="10"/>
  <c r="AL173" i="10" s="1"/>
  <c r="AL174" i="10" s="1"/>
  <c r="AL175" i="10" s="1"/>
  <c r="AL176" i="10" s="1"/>
  <c r="AL177" i="10" s="1"/>
  <c r="Y173" i="10"/>
  <c r="Y174" i="10" s="1"/>
  <c r="Y179" i="10" s="1"/>
  <c r="AJ160" i="10"/>
  <c r="AJ161" i="10" s="1"/>
  <c r="AJ162" i="10" s="1"/>
  <c r="AJ163" i="10" s="1"/>
  <c r="AI160" i="10"/>
  <c r="AI161" i="10" s="1"/>
  <c r="AI162" i="10" s="1"/>
  <c r="AI163" i="10" s="1"/>
  <c r="AH160" i="10"/>
  <c r="AH161" i="10" s="1"/>
  <c r="AH162" i="10" s="1"/>
  <c r="AH163" i="10" s="1"/>
  <c r="AG160" i="10"/>
  <c r="AG161" i="10" s="1"/>
  <c r="AG162" i="10" s="1"/>
  <c r="AG163" i="10" s="1"/>
  <c r="AC160" i="10"/>
  <c r="AC161" i="10" s="1"/>
  <c r="AC162" i="10" s="1"/>
  <c r="AC163" i="10" s="1"/>
  <c r="AB160" i="10"/>
  <c r="AB161" i="10" s="1"/>
  <c r="AB162" i="10" s="1"/>
  <c r="AB163" i="10" s="1"/>
  <c r="X160" i="10"/>
  <c r="X165" i="10" s="1"/>
  <c r="W160" i="10"/>
  <c r="W165" i="10" s="1"/>
  <c r="V160" i="10"/>
  <c r="V165" i="10" s="1"/>
  <c r="U160" i="10"/>
  <c r="U165" i="10" s="1"/>
  <c r="AK159" i="10"/>
  <c r="AL159" i="10" s="1"/>
  <c r="AL160" i="10" s="1"/>
  <c r="AL161" i="10" s="1"/>
  <c r="AL162" i="10" s="1"/>
  <c r="AL163" i="10" s="1"/>
  <c r="Y159" i="10"/>
  <c r="Z159" i="10" s="1"/>
  <c r="Z160" i="10" s="1"/>
  <c r="Z165" i="10" s="1"/>
  <c r="AJ146" i="10"/>
  <c r="AJ147" i="10" s="1"/>
  <c r="AJ148" i="10" s="1"/>
  <c r="AJ149" i="10" s="1"/>
  <c r="AI146" i="10"/>
  <c r="AI147" i="10" s="1"/>
  <c r="AI148" i="10" s="1"/>
  <c r="AI149" i="10" s="1"/>
  <c r="AH146" i="10"/>
  <c r="AH147" i="10" s="1"/>
  <c r="AH148" i="10" s="1"/>
  <c r="AH149" i="10" s="1"/>
  <c r="AG146" i="10"/>
  <c r="AG147" i="10" s="1"/>
  <c r="AG148" i="10" s="1"/>
  <c r="AG149" i="10" s="1"/>
  <c r="AC146" i="10"/>
  <c r="AC147" i="10" s="1"/>
  <c r="AC148" i="10" s="1"/>
  <c r="AC149" i="10" s="1"/>
  <c r="AB146" i="10"/>
  <c r="AB147" i="10" s="1"/>
  <c r="AB148" i="10" s="1"/>
  <c r="AB149" i="10" s="1"/>
  <c r="X146" i="10"/>
  <c r="X151" i="10" s="1"/>
  <c r="W146" i="10"/>
  <c r="W151" i="10" s="1"/>
  <c r="V146" i="10"/>
  <c r="V151" i="10" s="1"/>
  <c r="U146" i="10"/>
  <c r="U151" i="10" s="1"/>
  <c r="AK145" i="10"/>
  <c r="AK146" i="10" s="1"/>
  <c r="AK147" i="10" s="1"/>
  <c r="AK148" i="10" s="1"/>
  <c r="AK149" i="10" s="1"/>
  <c r="Y145" i="10"/>
  <c r="Z145" i="10" s="1"/>
  <c r="Z146" i="10" s="1"/>
  <c r="Z151" i="10" s="1"/>
  <c r="AJ132" i="10"/>
  <c r="AJ133" i="10" s="1"/>
  <c r="AJ134" i="10" s="1"/>
  <c r="AJ135" i="10" s="1"/>
  <c r="AI132" i="10"/>
  <c r="AI133" i="10" s="1"/>
  <c r="AI134" i="10" s="1"/>
  <c r="AI135" i="10" s="1"/>
  <c r="AH132" i="10"/>
  <c r="AH133" i="10" s="1"/>
  <c r="AH134" i="10" s="1"/>
  <c r="AH135" i="10" s="1"/>
  <c r="AG132" i="10"/>
  <c r="AG133" i="10" s="1"/>
  <c r="AG134" i="10" s="1"/>
  <c r="AG135" i="10" s="1"/>
  <c r="AC132" i="10"/>
  <c r="AC133" i="10" s="1"/>
  <c r="AC134" i="10" s="1"/>
  <c r="AC135" i="10" s="1"/>
  <c r="AB132" i="10"/>
  <c r="AB133" i="10" s="1"/>
  <c r="AB134" i="10" s="1"/>
  <c r="AB135" i="10" s="1"/>
  <c r="X132" i="10"/>
  <c r="X137" i="10" s="1"/>
  <c r="W132" i="10"/>
  <c r="W137" i="10" s="1"/>
  <c r="V132" i="10"/>
  <c r="V137" i="10" s="1"/>
  <c r="U132" i="10"/>
  <c r="U137" i="10" s="1"/>
  <c r="AK131" i="10"/>
  <c r="AK132" i="10" s="1"/>
  <c r="AK133" i="10" s="1"/>
  <c r="AK134" i="10" s="1"/>
  <c r="AK135" i="10" s="1"/>
  <c r="Y131" i="10"/>
  <c r="Z131" i="10" s="1"/>
  <c r="Z132" i="10" s="1"/>
  <c r="Z137" i="10" s="1"/>
  <c r="AJ118" i="10"/>
  <c r="AJ119" i="10" s="1"/>
  <c r="AJ120" i="10" s="1"/>
  <c r="AJ121" i="10" s="1"/>
  <c r="AI118" i="10"/>
  <c r="AI119" i="10" s="1"/>
  <c r="AI120" i="10" s="1"/>
  <c r="AI121" i="10" s="1"/>
  <c r="AH118" i="10"/>
  <c r="AH119" i="10" s="1"/>
  <c r="AH120" i="10" s="1"/>
  <c r="AH121" i="10" s="1"/>
  <c r="AG118" i="10"/>
  <c r="AG119" i="10" s="1"/>
  <c r="AG120" i="10" s="1"/>
  <c r="AG121" i="10" s="1"/>
  <c r="AC118" i="10"/>
  <c r="AC119" i="10" s="1"/>
  <c r="AC120" i="10" s="1"/>
  <c r="AC121" i="10" s="1"/>
  <c r="AB118" i="10"/>
  <c r="AB119" i="10" s="1"/>
  <c r="AB120" i="10" s="1"/>
  <c r="AB121" i="10" s="1"/>
  <c r="X118" i="10"/>
  <c r="X123" i="10" s="1"/>
  <c r="W118" i="10"/>
  <c r="W123" i="10" s="1"/>
  <c r="V118" i="10"/>
  <c r="V123" i="10" s="1"/>
  <c r="U118" i="10"/>
  <c r="U123" i="10" s="1"/>
  <c r="AK117" i="10"/>
  <c r="AL117" i="10" s="1"/>
  <c r="AL118" i="10" s="1"/>
  <c r="AL119" i="10" s="1"/>
  <c r="AL120" i="10" s="1"/>
  <c r="AL121" i="10" s="1"/>
  <c r="Y117" i="10"/>
  <c r="Y118" i="10" s="1"/>
  <c r="Y123" i="10" s="1"/>
  <c r="AJ104" i="10"/>
  <c r="AJ105" i="10" s="1"/>
  <c r="AJ106" i="10" s="1"/>
  <c r="AJ107" i="10" s="1"/>
  <c r="AI104" i="10"/>
  <c r="AI105" i="10" s="1"/>
  <c r="AI106" i="10" s="1"/>
  <c r="AI107" i="10" s="1"/>
  <c r="AH104" i="10"/>
  <c r="AH105" i="10" s="1"/>
  <c r="AH106" i="10" s="1"/>
  <c r="AH107" i="10" s="1"/>
  <c r="AG104" i="10"/>
  <c r="AG105" i="10" s="1"/>
  <c r="AG106" i="10" s="1"/>
  <c r="AG107" i="10" s="1"/>
  <c r="AC104" i="10"/>
  <c r="AC105" i="10" s="1"/>
  <c r="AC106" i="10" s="1"/>
  <c r="AC107" i="10" s="1"/>
  <c r="AB104" i="10"/>
  <c r="AB105" i="10" s="1"/>
  <c r="AB106" i="10" s="1"/>
  <c r="AB107" i="10" s="1"/>
  <c r="X104" i="10"/>
  <c r="X109" i="10" s="1"/>
  <c r="W104" i="10"/>
  <c r="W109" i="10" s="1"/>
  <c r="V104" i="10"/>
  <c r="V109" i="10" s="1"/>
  <c r="U104" i="10"/>
  <c r="U109" i="10" s="1"/>
  <c r="AK103" i="10"/>
  <c r="AL103" i="10" s="1"/>
  <c r="Y103" i="10"/>
  <c r="Z103" i="10" s="1"/>
  <c r="Z104" i="10" s="1"/>
  <c r="Z109" i="10" s="1"/>
  <c r="AJ90" i="10"/>
  <c r="AJ91" i="10" s="1"/>
  <c r="AJ92" i="10" s="1"/>
  <c r="AJ93" i="10" s="1"/>
  <c r="AI90" i="10"/>
  <c r="AI91" i="10" s="1"/>
  <c r="AI92" i="10" s="1"/>
  <c r="AI93" i="10" s="1"/>
  <c r="AH90" i="10"/>
  <c r="AH91" i="10" s="1"/>
  <c r="AH92" i="10" s="1"/>
  <c r="AH93" i="10" s="1"/>
  <c r="AG90" i="10"/>
  <c r="AG91" i="10" s="1"/>
  <c r="AG92" i="10" s="1"/>
  <c r="AG93" i="10" s="1"/>
  <c r="AC90" i="10"/>
  <c r="AC91" i="10" s="1"/>
  <c r="AC92" i="10" s="1"/>
  <c r="AC93" i="10" s="1"/>
  <c r="AB90" i="10"/>
  <c r="AB91" i="10" s="1"/>
  <c r="AB92" i="10" s="1"/>
  <c r="AB93" i="10" s="1"/>
  <c r="X90" i="10"/>
  <c r="X95" i="10" s="1"/>
  <c r="W90" i="10"/>
  <c r="W95" i="10" s="1"/>
  <c r="V90" i="10"/>
  <c r="V95" i="10" s="1"/>
  <c r="U90" i="10"/>
  <c r="U95" i="10" s="1"/>
  <c r="AK89" i="10"/>
  <c r="AL89" i="10" s="1"/>
  <c r="AL90" i="10" s="1"/>
  <c r="AL91" i="10" s="1"/>
  <c r="AL92" i="10" s="1"/>
  <c r="AL93" i="10" s="1"/>
  <c r="Y89" i="10"/>
  <c r="Y90" i="10" s="1"/>
  <c r="Y95" i="10" s="1"/>
  <c r="AJ78" i="10"/>
  <c r="AJ79" i="10" s="1"/>
  <c r="AJ76" i="10"/>
  <c r="AJ77" i="10" s="1"/>
  <c r="AI76" i="10"/>
  <c r="AI77" i="10" s="1"/>
  <c r="AI78" i="10" s="1"/>
  <c r="AI79" i="10" s="1"/>
  <c r="AH76" i="10"/>
  <c r="AH77" i="10" s="1"/>
  <c r="AH78" i="10" s="1"/>
  <c r="AH79" i="10" s="1"/>
  <c r="AG76" i="10"/>
  <c r="AG77" i="10" s="1"/>
  <c r="AG78" i="10" s="1"/>
  <c r="AG79" i="10" s="1"/>
  <c r="AC76" i="10"/>
  <c r="AC77" i="10" s="1"/>
  <c r="AC78" i="10" s="1"/>
  <c r="AC79" i="10" s="1"/>
  <c r="AB76" i="10"/>
  <c r="AB77" i="10" s="1"/>
  <c r="AB78" i="10" s="1"/>
  <c r="AB79" i="10" s="1"/>
  <c r="X76" i="10"/>
  <c r="X81" i="10" s="1"/>
  <c r="W76" i="10"/>
  <c r="W81" i="10" s="1"/>
  <c r="V76" i="10"/>
  <c r="V81" i="10" s="1"/>
  <c r="U76" i="10"/>
  <c r="U81" i="10" s="1"/>
  <c r="AK75" i="10"/>
  <c r="AL75" i="10" s="1"/>
  <c r="AL76" i="10" s="1"/>
  <c r="AL77" i="10" s="1"/>
  <c r="AL78" i="10" s="1"/>
  <c r="AL79" i="10" s="1"/>
  <c r="Y75" i="10"/>
  <c r="AJ62" i="10"/>
  <c r="AJ63" i="10" s="1"/>
  <c r="AJ64" i="10" s="1"/>
  <c r="AJ65" i="10" s="1"/>
  <c r="AI62" i="10"/>
  <c r="AI63" i="10" s="1"/>
  <c r="AI64" i="10" s="1"/>
  <c r="AI65" i="10" s="1"/>
  <c r="AH62" i="10"/>
  <c r="AH63" i="10" s="1"/>
  <c r="AH64" i="10" s="1"/>
  <c r="AH65" i="10" s="1"/>
  <c r="AG62" i="10"/>
  <c r="AG63" i="10" s="1"/>
  <c r="AG64" i="10" s="1"/>
  <c r="AG65" i="10" s="1"/>
  <c r="AC62" i="10"/>
  <c r="AC63" i="10" s="1"/>
  <c r="AC64" i="10" s="1"/>
  <c r="AC65" i="10" s="1"/>
  <c r="AB62" i="10"/>
  <c r="AB63" i="10" s="1"/>
  <c r="AB64" i="10" s="1"/>
  <c r="AB65" i="10" s="1"/>
  <c r="X62" i="10"/>
  <c r="X67" i="10" s="1"/>
  <c r="W62" i="10"/>
  <c r="W67" i="10" s="1"/>
  <c r="V62" i="10"/>
  <c r="V67" i="10" s="1"/>
  <c r="U62" i="10"/>
  <c r="U67" i="10" s="1"/>
  <c r="AK61" i="10"/>
  <c r="AK62" i="10" s="1"/>
  <c r="AK63" i="10" s="1"/>
  <c r="AK64" i="10" s="1"/>
  <c r="AK65" i="10" s="1"/>
  <c r="Y61" i="10"/>
  <c r="Y62" i="10" s="1"/>
  <c r="Y67" i="10" s="1"/>
  <c r="AJ48" i="10"/>
  <c r="AJ49" i="10" s="1"/>
  <c r="AJ50" i="10" s="1"/>
  <c r="AJ51" i="10" s="1"/>
  <c r="AI48" i="10"/>
  <c r="AI49" i="10" s="1"/>
  <c r="AI50" i="10" s="1"/>
  <c r="AI51" i="10" s="1"/>
  <c r="AH48" i="10"/>
  <c r="AH49" i="10" s="1"/>
  <c r="AH50" i="10" s="1"/>
  <c r="AH51" i="10" s="1"/>
  <c r="AG48" i="10"/>
  <c r="AG49" i="10" s="1"/>
  <c r="AG50" i="10" s="1"/>
  <c r="AG51" i="10" s="1"/>
  <c r="AF48" i="10"/>
  <c r="AF49" i="10" s="1"/>
  <c r="AF50" i="10" s="1"/>
  <c r="AF51" i="10" s="1"/>
  <c r="AC48" i="10"/>
  <c r="AC49" i="10" s="1"/>
  <c r="AC50" i="10" s="1"/>
  <c r="AC51" i="10" s="1"/>
  <c r="AB48" i="10"/>
  <c r="AB49" i="10" s="1"/>
  <c r="AB50" i="10" s="1"/>
  <c r="AB51" i="10" s="1"/>
  <c r="X48" i="10"/>
  <c r="X53" i="10" s="1"/>
  <c r="W48" i="10"/>
  <c r="W53" i="10" s="1"/>
  <c r="V48" i="10"/>
  <c r="V53" i="10" s="1"/>
  <c r="U48" i="10"/>
  <c r="U53" i="10" s="1"/>
  <c r="AK47" i="10"/>
  <c r="Y47" i="10"/>
  <c r="Z47" i="10" s="1"/>
  <c r="Z48" i="10" s="1"/>
  <c r="Z53" i="10" s="1"/>
  <c r="AJ34" i="10"/>
  <c r="AJ35" i="10" s="1"/>
  <c r="AJ36" i="10" s="1"/>
  <c r="AJ37" i="10" s="1"/>
  <c r="AI34" i="10"/>
  <c r="AI35" i="10" s="1"/>
  <c r="AI36" i="10" s="1"/>
  <c r="AI37" i="10" s="1"/>
  <c r="AH34" i="10"/>
  <c r="AH35" i="10" s="1"/>
  <c r="AH36" i="10" s="1"/>
  <c r="AH37" i="10" s="1"/>
  <c r="AG34" i="10"/>
  <c r="AG35" i="10" s="1"/>
  <c r="AG36" i="10" s="1"/>
  <c r="AG37" i="10" s="1"/>
  <c r="AF34" i="10"/>
  <c r="AF35" i="10" s="1"/>
  <c r="AF36" i="10" s="1"/>
  <c r="AF37" i="10" s="1"/>
  <c r="AC34" i="10"/>
  <c r="AC35" i="10" s="1"/>
  <c r="AC36" i="10" s="1"/>
  <c r="AC37" i="10" s="1"/>
  <c r="AB34" i="10"/>
  <c r="AB35" i="10" s="1"/>
  <c r="AB36" i="10" s="1"/>
  <c r="AB37" i="10" s="1"/>
  <c r="X34" i="10"/>
  <c r="X39" i="10" s="1"/>
  <c r="W34" i="10"/>
  <c r="W39" i="10" s="1"/>
  <c r="V34" i="10"/>
  <c r="V39" i="10" s="1"/>
  <c r="U34" i="10"/>
  <c r="U39" i="10" s="1"/>
  <c r="AK33" i="10"/>
  <c r="AL33" i="10" s="1"/>
  <c r="AL34" i="10" s="1"/>
  <c r="AL35" i="10" s="1"/>
  <c r="AL36" i="10" s="1"/>
  <c r="AL37" i="10" s="1"/>
  <c r="Y33" i="10"/>
  <c r="Y34" i="10" s="1"/>
  <c r="Y39" i="10" s="1"/>
  <c r="S19" i="10"/>
  <c r="S33" i="10" s="1"/>
  <c r="S47" i="10" s="1"/>
  <c r="S61" i="10" s="1"/>
  <c r="S75" i="10" s="1"/>
  <c r="S89" i="10" s="1"/>
  <c r="S103" i="10" s="1"/>
  <c r="S117" i="10" s="1"/>
  <c r="S131" i="10" s="1"/>
  <c r="S145" i="10" s="1"/>
  <c r="S159" i="10" s="1"/>
  <c r="S173" i="10" s="1"/>
  <c r="S187" i="10" s="1"/>
  <c r="S201" i="10" s="1"/>
  <c r="S215" i="10" s="1"/>
  <c r="S229" i="10" s="1"/>
  <c r="S243" i="10" s="1"/>
  <c r="S257" i="10" s="1"/>
  <c r="S271" i="10" s="1"/>
  <c r="S285" i="10" s="1"/>
  <c r="S299" i="10" s="1"/>
  <c r="S313" i="10" s="1"/>
  <c r="S327" i="10" s="1"/>
  <c r="S341" i="10" s="1"/>
  <c r="S355" i="10" s="1"/>
  <c r="S369" i="10" s="1"/>
  <c r="S383" i="10" s="1"/>
  <c r="S397" i="10" s="1"/>
  <c r="S411" i="10" s="1"/>
  <c r="S425" i="10" s="1"/>
  <c r="S439" i="10" s="1"/>
  <c r="S453" i="10" s="1"/>
  <c r="S467" i="10" s="1"/>
  <c r="S481" i="10" s="1"/>
  <c r="S495" i="10" s="1"/>
  <c r="S509" i="10" s="1"/>
  <c r="S523" i="10" s="1"/>
  <c r="S537" i="10" s="1"/>
  <c r="S551" i="10" s="1"/>
  <c r="S565" i="10" s="1"/>
  <c r="S579" i="10" s="1"/>
  <c r="S593" i="10" s="1"/>
  <c r="S607" i="10" s="1"/>
  <c r="S621" i="10" s="1"/>
  <c r="S635" i="10" s="1"/>
  <c r="S649" i="10" s="1"/>
  <c r="S663" i="10" s="1"/>
  <c r="S677" i="10" s="1"/>
  <c r="S691" i="10" s="1"/>
  <c r="S705" i="10" s="1"/>
  <c r="S719" i="10" s="1"/>
  <c r="S733" i="10" s="1"/>
  <c r="S747" i="10" s="1"/>
  <c r="S761" i="10" s="1"/>
  <c r="S775" i="10" s="1"/>
  <c r="S789" i="10" s="1"/>
  <c r="S803" i="10" s="1"/>
  <c r="S817" i="10" s="1"/>
  <c r="S831" i="10" s="1"/>
  <c r="S845" i="10" s="1"/>
  <c r="S859" i="10" s="1"/>
  <c r="S873" i="10" s="1"/>
  <c r="S887" i="10" s="1"/>
  <c r="S901" i="10" s="1"/>
  <c r="S915" i="10" s="1"/>
  <c r="S929" i="10" s="1"/>
  <c r="AJ20" i="10"/>
  <c r="AJ21" i="10" s="1"/>
  <c r="AJ22" i="10" s="1"/>
  <c r="AJ23" i="10" s="1"/>
  <c r="AI20" i="10"/>
  <c r="AI21" i="10" s="1"/>
  <c r="AI22" i="10" s="1"/>
  <c r="AI23" i="10" s="1"/>
  <c r="AH20" i="10"/>
  <c r="AH21" i="10" s="1"/>
  <c r="AH22" i="10" s="1"/>
  <c r="AH23" i="10" s="1"/>
  <c r="AG20" i="10"/>
  <c r="AG21" i="10" s="1"/>
  <c r="AG22" i="10" s="1"/>
  <c r="AG23" i="10" s="1"/>
  <c r="AF20" i="10"/>
  <c r="AF21" i="10" s="1"/>
  <c r="AF22" i="10" s="1"/>
  <c r="AF23" i="10" s="1"/>
  <c r="AC20" i="10"/>
  <c r="AC21" i="10" s="1"/>
  <c r="AC22" i="10" s="1"/>
  <c r="AC23" i="10" s="1"/>
  <c r="AB20" i="10"/>
  <c r="AB21" i="10" s="1"/>
  <c r="AB22" i="10" s="1"/>
  <c r="AB23" i="10" s="1"/>
  <c r="AB6" i="10"/>
  <c r="AB7" i="10" s="1"/>
  <c r="AB8" i="10" s="1"/>
  <c r="AB9" i="10" s="1"/>
  <c r="AC6" i="10"/>
  <c r="AC7" i="10" s="1"/>
  <c r="AC8" i="10" s="1"/>
  <c r="AC9" i="10" s="1"/>
  <c r="AD6" i="10"/>
  <c r="AD7" i="10" s="1"/>
  <c r="AD8" i="10" s="1"/>
  <c r="AD9" i="10" s="1"/>
  <c r="AE6" i="10"/>
  <c r="AE7" i="10" s="1"/>
  <c r="AE8" i="10" s="1"/>
  <c r="AE9" i="10" s="1"/>
  <c r="AF6" i="10"/>
  <c r="AF7" i="10" s="1"/>
  <c r="AF8" i="10" s="1"/>
  <c r="AF9" i="10" s="1"/>
  <c r="AG6" i="10"/>
  <c r="AG7" i="10" s="1"/>
  <c r="AG8" i="10" s="1"/>
  <c r="AG9" i="10" s="1"/>
  <c r="AH6" i="10"/>
  <c r="AH7" i="10" s="1"/>
  <c r="AH8" i="10" s="1"/>
  <c r="AH9" i="10" s="1"/>
  <c r="AI6" i="10"/>
  <c r="AI7" i="10" s="1"/>
  <c r="AI8" i="10" s="1"/>
  <c r="AI9" i="10" s="1"/>
  <c r="AJ6" i="10"/>
  <c r="AJ7" i="10" s="1"/>
  <c r="AJ8" i="10" s="1"/>
  <c r="AJ9" i="10" s="1"/>
  <c r="AA6" i="10"/>
  <c r="AA7" i="10" s="1"/>
  <c r="AA19" i="10"/>
  <c r="AA20" i="10" s="1"/>
  <c r="AA21" i="10" s="1"/>
  <c r="X20" i="10"/>
  <c r="X25" i="10" s="1"/>
  <c r="W20" i="10"/>
  <c r="W25" i="10" s="1"/>
  <c r="V20" i="10"/>
  <c r="V25" i="10" s="1"/>
  <c r="U20" i="10"/>
  <c r="U25" i="10" s="1"/>
  <c r="AK19" i="10"/>
  <c r="Y19" i="10"/>
  <c r="Z19" i="10" s="1"/>
  <c r="Z20" i="10" s="1"/>
  <c r="Z25" i="10" s="1"/>
  <c r="Z621" i="10" l="1"/>
  <c r="Z622" i="10" s="1"/>
  <c r="Z627" i="10" s="1"/>
  <c r="AF2259" i="13"/>
  <c r="AF2261" i="13"/>
  <c r="AF2258" i="13"/>
  <c r="AF2262" i="13"/>
  <c r="AF2254" i="13"/>
  <c r="AF2257" i="13"/>
  <c r="AF2260" i="13"/>
  <c r="AF2256" i="13"/>
  <c r="AF2253" i="13"/>
  <c r="AF2255" i="13" s="1"/>
  <c r="AF2224" i="13"/>
  <c r="AF2220" i="13"/>
  <c r="AF2228" i="13"/>
  <c r="AF2222" i="13"/>
  <c r="AF2225" i="13"/>
  <c r="AF2219" i="13"/>
  <c r="AF2221" i="13" s="1"/>
  <c r="AF2226" i="13"/>
  <c r="AF2223" i="13"/>
  <c r="AF2227" i="13"/>
  <c r="AD2253" i="13"/>
  <c r="B2251" i="13"/>
  <c r="B2252" i="13" s="1"/>
  <c r="B2253" i="13" s="1"/>
  <c r="B2254" i="13"/>
  <c r="B2255" i="13" s="1"/>
  <c r="AD2219" i="13"/>
  <c r="Y286" i="10"/>
  <c r="Y291" i="10" s="1"/>
  <c r="AL677" i="10"/>
  <c r="AL678" i="10" s="1"/>
  <c r="AL679" i="10" s="1"/>
  <c r="AL680" i="10" s="1"/>
  <c r="AL681" i="10" s="1"/>
  <c r="Z117" i="10"/>
  <c r="Z118" i="10" s="1"/>
  <c r="Z123" i="10" s="1"/>
  <c r="AL327" i="10"/>
  <c r="AL328" i="10" s="1"/>
  <c r="AL329" i="10" s="1"/>
  <c r="AL330" i="10" s="1"/>
  <c r="AL331" i="10" s="1"/>
  <c r="Z523" i="10"/>
  <c r="Z524" i="10" s="1"/>
  <c r="Z529" i="10" s="1"/>
  <c r="Z33" i="10"/>
  <c r="Z34" i="10" s="1"/>
  <c r="Z39" i="10" s="1"/>
  <c r="Z719" i="10"/>
  <c r="Z720" i="10" s="1"/>
  <c r="Z725" i="10" s="1"/>
  <c r="AA22" i="10"/>
  <c r="Y160" i="10"/>
  <c r="Y165" i="10" s="1"/>
  <c r="Y440" i="10"/>
  <c r="Y445" i="10" s="1"/>
  <c r="AK762" i="10"/>
  <c r="AK763" i="10" s="1"/>
  <c r="AK764" i="10" s="1"/>
  <c r="AK765" i="10" s="1"/>
  <c r="Z565" i="10"/>
  <c r="Z566" i="10" s="1"/>
  <c r="Z571" i="10" s="1"/>
  <c r="Z747" i="10"/>
  <c r="Z748" i="10" s="1"/>
  <c r="Z753" i="10" s="1"/>
  <c r="AK20" i="10"/>
  <c r="AK21" i="10" s="1"/>
  <c r="AK22" i="10" s="1"/>
  <c r="AK23" i="10" s="1"/>
  <c r="AL229" i="10"/>
  <c r="AL230" i="10" s="1"/>
  <c r="AL231" i="10" s="1"/>
  <c r="AL232" i="10" s="1"/>
  <c r="AL233" i="10" s="1"/>
  <c r="AL271" i="10"/>
  <c r="AL272" i="10" s="1"/>
  <c r="AL273" i="10" s="1"/>
  <c r="AL274" i="10" s="1"/>
  <c r="AL275" i="10" s="1"/>
  <c r="AL439" i="10"/>
  <c r="AL440" i="10" s="1"/>
  <c r="AL441" i="10" s="1"/>
  <c r="AL442" i="10" s="1"/>
  <c r="AL443" i="10" s="1"/>
  <c r="AL565" i="10"/>
  <c r="AL215" i="10"/>
  <c r="AL216" i="10" s="1"/>
  <c r="AL217" i="10" s="1"/>
  <c r="AL218" i="10" s="1"/>
  <c r="AL219" i="10" s="1"/>
  <c r="Y636" i="10"/>
  <c r="Y641" i="10" s="1"/>
  <c r="B6" i="13"/>
  <c r="AA33" i="10"/>
  <c r="AL145" i="10"/>
  <c r="AL146" i="10" s="1"/>
  <c r="AL147" i="10" s="1"/>
  <c r="AL148" i="10" s="1"/>
  <c r="AL149" i="10" s="1"/>
  <c r="Z201" i="10"/>
  <c r="Z202" i="10" s="1"/>
  <c r="Z207" i="10" s="1"/>
  <c r="AL425" i="10"/>
  <c r="AL426" i="10" s="1"/>
  <c r="AL427" i="10" s="1"/>
  <c r="AL428" i="10" s="1"/>
  <c r="AL429" i="10" s="1"/>
  <c r="AL537" i="10"/>
  <c r="AL538" i="10" s="1"/>
  <c r="AL539" i="10" s="1"/>
  <c r="AL540" i="10" s="1"/>
  <c r="AL541" i="10" s="1"/>
  <c r="Z593" i="10"/>
  <c r="Z594" i="10" s="1"/>
  <c r="Z599" i="10" s="1"/>
  <c r="AL705" i="10"/>
  <c r="AL706" i="10" s="1"/>
  <c r="AL707" i="10" s="1"/>
  <c r="AL708" i="10" s="1"/>
  <c r="AL709" i="10" s="1"/>
  <c r="AL747" i="10"/>
  <c r="AL748" i="10" s="1"/>
  <c r="AL749" i="10" s="1"/>
  <c r="AL750" i="10" s="1"/>
  <c r="AL751" i="10" s="1"/>
  <c r="Z761" i="10"/>
  <c r="Z762" i="10" s="1"/>
  <c r="Z767" i="10" s="1"/>
  <c r="AL61" i="10"/>
  <c r="AL62" i="10" s="1"/>
  <c r="AL63" i="10" s="1"/>
  <c r="AL64" i="10" s="1"/>
  <c r="AL65" i="10" s="1"/>
  <c r="Z271" i="10"/>
  <c r="Z272" i="10" s="1"/>
  <c r="Z277" i="10" s="1"/>
  <c r="Y510" i="10"/>
  <c r="Y515" i="10" s="1"/>
  <c r="AK90" i="10"/>
  <c r="AK91" i="10" s="1"/>
  <c r="AK92" i="10" s="1"/>
  <c r="AK93" i="10" s="1"/>
  <c r="Z551" i="10"/>
  <c r="Z552" i="10" s="1"/>
  <c r="Z557" i="10" s="1"/>
  <c r="Y650" i="10"/>
  <c r="Y655" i="10" s="1"/>
  <c r="Y664" i="10"/>
  <c r="Y669" i="10" s="1"/>
  <c r="AL733" i="10"/>
  <c r="AL734" i="10" s="1"/>
  <c r="AL735" i="10" s="1"/>
  <c r="AL736" i="10" s="1"/>
  <c r="AL737" i="10" s="1"/>
  <c r="Y104" i="10"/>
  <c r="Y109" i="10" s="1"/>
  <c r="AL131" i="10"/>
  <c r="AL132" i="10" s="1"/>
  <c r="AL133" i="10" s="1"/>
  <c r="AL134" i="10" s="1"/>
  <c r="AL135" i="10" s="1"/>
  <c r="Y412" i="10"/>
  <c r="Y417" i="10" s="1"/>
  <c r="Y482" i="10"/>
  <c r="Y487" i="10" s="1"/>
  <c r="AL607" i="10"/>
  <c r="AL608" i="10" s="1"/>
  <c r="AL609" i="10" s="1"/>
  <c r="AL610" i="10" s="1"/>
  <c r="AL611" i="10" s="1"/>
  <c r="AL621" i="10"/>
  <c r="AL622" i="10" s="1"/>
  <c r="AL623" i="10" s="1"/>
  <c r="AL624" i="10" s="1"/>
  <c r="AL625" i="10" s="1"/>
  <c r="AL243" i="10"/>
  <c r="AL244" i="10" s="1"/>
  <c r="AL245" i="10" s="1"/>
  <c r="AL246" i="10" s="1"/>
  <c r="AL247" i="10" s="1"/>
  <c r="AL691" i="10"/>
  <c r="AL692" i="10" s="1"/>
  <c r="AL693" i="10" s="1"/>
  <c r="AL694" i="10" s="1"/>
  <c r="AL695" i="10" s="1"/>
  <c r="Y146" i="10"/>
  <c r="Y151" i="10" s="1"/>
  <c r="Z173" i="10"/>
  <c r="Z174" i="10" s="1"/>
  <c r="Z179" i="10" s="1"/>
  <c r="AL299" i="10"/>
  <c r="AL300" i="10" s="1"/>
  <c r="AL301" i="10" s="1"/>
  <c r="AL302" i="10" s="1"/>
  <c r="AL303" i="10" s="1"/>
  <c r="AL313" i="10"/>
  <c r="AL314" i="10" s="1"/>
  <c r="AL315" i="10" s="1"/>
  <c r="AL316" i="10" s="1"/>
  <c r="AL317" i="10" s="1"/>
  <c r="AL355" i="10"/>
  <c r="AL356" i="10" s="1"/>
  <c r="AL357" i="10" s="1"/>
  <c r="AL358" i="10" s="1"/>
  <c r="AL359" i="10" s="1"/>
  <c r="Z397" i="10"/>
  <c r="Z398" i="10" s="1"/>
  <c r="Z403" i="10" s="1"/>
  <c r="AL495" i="10"/>
  <c r="AL496" i="10" s="1"/>
  <c r="AL497" i="10" s="1"/>
  <c r="AL498" i="10" s="1"/>
  <c r="AL499" i="10" s="1"/>
  <c r="Y538" i="10"/>
  <c r="Y543" i="10" s="1"/>
  <c r="Z61" i="10"/>
  <c r="Z62" i="10" s="1"/>
  <c r="Z67" i="10" s="1"/>
  <c r="AK468" i="10"/>
  <c r="AK469" i="10" s="1"/>
  <c r="AK470" i="10" s="1"/>
  <c r="AK471" i="10" s="1"/>
  <c r="AL775" i="10"/>
  <c r="Y776" i="10"/>
  <c r="Y781" i="10" s="1"/>
  <c r="AK776" i="10"/>
  <c r="AK777" i="10" s="1"/>
  <c r="AK778" i="10" s="1"/>
  <c r="AK779" i="10" s="1"/>
  <c r="Z733" i="10"/>
  <c r="Z734" i="10" s="1"/>
  <c r="Z739" i="10" s="1"/>
  <c r="Z705" i="10"/>
  <c r="Z706" i="10" s="1"/>
  <c r="Z711" i="10" s="1"/>
  <c r="Y706" i="10"/>
  <c r="Y711" i="10" s="1"/>
  <c r="AK720" i="10"/>
  <c r="AK721" i="10" s="1"/>
  <c r="AK722" i="10" s="1"/>
  <c r="AK723" i="10" s="1"/>
  <c r="Y692" i="10"/>
  <c r="Y697" i="10" s="1"/>
  <c r="AK650" i="10"/>
  <c r="AK651" i="10" s="1"/>
  <c r="AK652" i="10" s="1"/>
  <c r="AK653" i="10" s="1"/>
  <c r="Z677" i="10"/>
  <c r="Z678" i="10" s="1"/>
  <c r="Z683" i="10" s="1"/>
  <c r="AK664" i="10"/>
  <c r="AK665" i="10" s="1"/>
  <c r="AK666" i="10" s="1"/>
  <c r="AK667" i="10" s="1"/>
  <c r="Z608" i="10"/>
  <c r="Z613" i="10" s="1"/>
  <c r="Y608" i="10"/>
  <c r="Y613" i="10" s="1"/>
  <c r="AK636" i="10"/>
  <c r="AK637" i="10" s="1"/>
  <c r="AK638" i="10" s="1"/>
  <c r="AK639" i="10" s="1"/>
  <c r="AL566" i="10"/>
  <c r="AL567" i="10" s="1"/>
  <c r="AL568" i="10" s="1"/>
  <c r="AL569" i="10" s="1"/>
  <c r="AK580" i="10"/>
  <c r="AK581" i="10" s="1"/>
  <c r="AK582" i="10" s="1"/>
  <c r="AK583" i="10" s="1"/>
  <c r="AK594" i="10"/>
  <c r="AK595" i="10" s="1"/>
  <c r="AK596" i="10" s="1"/>
  <c r="AK597" i="10" s="1"/>
  <c r="Y580" i="10"/>
  <c r="Y585" i="10" s="1"/>
  <c r="AL523" i="10"/>
  <c r="AL524" i="10" s="1"/>
  <c r="AL525" i="10" s="1"/>
  <c r="AL526" i="10" s="1"/>
  <c r="AL527" i="10" s="1"/>
  <c r="AK524" i="10"/>
  <c r="AK525" i="10" s="1"/>
  <c r="AK526" i="10" s="1"/>
  <c r="AK527" i="10" s="1"/>
  <c r="AK552" i="10"/>
  <c r="AK553" i="10" s="1"/>
  <c r="AK554" i="10" s="1"/>
  <c r="AK555" i="10" s="1"/>
  <c r="AL482" i="10"/>
  <c r="AL483" i="10" s="1"/>
  <c r="AL484" i="10" s="1"/>
  <c r="AL485" i="10" s="1"/>
  <c r="AK482" i="10"/>
  <c r="AK483" i="10" s="1"/>
  <c r="AK484" i="10" s="1"/>
  <c r="AK485" i="10" s="1"/>
  <c r="AK510" i="10"/>
  <c r="AK511" i="10" s="1"/>
  <c r="AK512" i="10" s="1"/>
  <c r="AK513" i="10" s="1"/>
  <c r="Y496" i="10"/>
  <c r="Y501" i="10" s="1"/>
  <c r="Y454" i="10"/>
  <c r="Y459" i="10" s="1"/>
  <c r="AK454" i="10"/>
  <c r="AK455" i="10" s="1"/>
  <c r="AK456" i="10" s="1"/>
  <c r="AK457" i="10" s="1"/>
  <c r="Y468" i="10"/>
  <c r="Y473" i="10" s="1"/>
  <c r="AL397" i="10"/>
  <c r="AK398" i="10"/>
  <c r="AK399" i="10" s="1"/>
  <c r="AK400" i="10" s="1"/>
  <c r="AK401" i="10" s="1"/>
  <c r="AK412" i="10"/>
  <c r="AK413" i="10" s="1"/>
  <c r="AK414" i="10" s="1"/>
  <c r="AK415" i="10" s="1"/>
  <c r="Y426" i="10"/>
  <c r="Y431" i="10" s="1"/>
  <c r="Y356" i="10"/>
  <c r="Y361" i="10" s="1"/>
  <c r="Y370" i="10"/>
  <c r="Y375" i="10" s="1"/>
  <c r="Z383" i="10"/>
  <c r="Z384" i="10" s="1"/>
  <c r="Z389" i="10" s="1"/>
  <c r="AK384" i="10"/>
  <c r="AK385" i="10" s="1"/>
  <c r="AK386" i="10" s="1"/>
  <c r="AK387" i="10" s="1"/>
  <c r="AK370" i="10"/>
  <c r="AK371" i="10" s="1"/>
  <c r="AK372" i="10" s="1"/>
  <c r="AK373" i="10" s="1"/>
  <c r="Z314" i="10"/>
  <c r="Z319" i="10" s="1"/>
  <c r="Y314" i="10"/>
  <c r="Y319" i="10" s="1"/>
  <c r="Z327" i="10"/>
  <c r="Z328" i="10" s="1"/>
  <c r="Z333" i="10" s="1"/>
  <c r="Y328" i="10"/>
  <c r="Y333" i="10" s="1"/>
  <c r="AK342" i="10"/>
  <c r="AK343" i="10" s="1"/>
  <c r="AK344" i="10" s="1"/>
  <c r="AK345" i="10" s="1"/>
  <c r="Y342" i="10"/>
  <c r="Y347" i="10" s="1"/>
  <c r="Z299" i="10"/>
  <c r="Z300" i="10" s="1"/>
  <c r="Z305" i="10" s="1"/>
  <c r="Y300" i="10"/>
  <c r="Y305" i="10" s="1"/>
  <c r="AK286" i="10"/>
  <c r="AK287" i="10" s="1"/>
  <c r="AK288" i="10" s="1"/>
  <c r="AK289" i="10" s="1"/>
  <c r="Y244" i="10"/>
  <c r="Y249" i="10" s="1"/>
  <c r="Y230" i="10"/>
  <c r="Y235" i="10" s="1"/>
  <c r="AL257" i="10"/>
  <c r="AL258" i="10" s="1"/>
  <c r="AL259" i="10" s="1"/>
  <c r="AL260" i="10" s="1"/>
  <c r="AL261" i="10" s="1"/>
  <c r="Y258" i="10"/>
  <c r="Y263" i="10" s="1"/>
  <c r="Z187" i="10"/>
  <c r="Z188" i="10" s="1"/>
  <c r="Z193" i="10" s="1"/>
  <c r="AL187" i="10"/>
  <c r="AL188" i="10" s="1"/>
  <c r="AL189" i="10" s="1"/>
  <c r="AL190" i="10" s="1"/>
  <c r="AL191" i="10" s="1"/>
  <c r="AK188" i="10"/>
  <c r="AK189" i="10" s="1"/>
  <c r="AK190" i="10" s="1"/>
  <c r="AK191" i="10" s="1"/>
  <c r="AK202" i="10"/>
  <c r="AK203" i="10" s="1"/>
  <c r="AK204" i="10" s="1"/>
  <c r="AK205" i="10" s="1"/>
  <c r="Y216" i="10"/>
  <c r="Y221" i="10" s="1"/>
  <c r="AK174" i="10"/>
  <c r="AK175" i="10" s="1"/>
  <c r="AK176" i="10" s="1"/>
  <c r="AK177" i="10" s="1"/>
  <c r="AK160" i="10"/>
  <c r="AK161" i="10" s="1"/>
  <c r="AK162" i="10" s="1"/>
  <c r="AK163" i="10" s="1"/>
  <c r="AL104" i="10"/>
  <c r="AL105" i="10" s="1"/>
  <c r="AL106" i="10" s="1"/>
  <c r="AL107" i="10" s="1"/>
  <c r="AK104" i="10"/>
  <c r="AK105" i="10" s="1"/>
  <c r="AK106" i="10" s="1"/>
  <c r="AK107" i="10" s="1"/>
  <c r="AK118" i="10"/>
  <c r="AK119" i="10" s="1"/>
  <c r="AK120" i="10" s="1"/>
  <c r="AK121" i="10" s="1"/>
  <c r="Y132" i="10"/>
  <c r="Y137" i="10" s="1"/>
  <c r="Z75" i="10"/>
  <c r="Z76" i="10" s="1"/>
  <c r="Z81" i="10" s="1"/>
  <c r="Y76" i="10"/>
  <c r="Y81" i="10" s="1"/>
  <c r="Z89" i="10"/>
  <c r="Z90" i="10" s="1"/>
  <c r="Z95" i="10" s="1"/>
  <c r="AK76" i="10"/>
  <c r="AK77" i="10" s="1"/>
  <c r="AK78" i="10" s="1"/>
  <c r="AK79" i="10" s="1"/>
  <c r="AL47" i="10"/>
  <c r="AL48" i="10" s="1"/>
  <c r="AL49" i="10" s="1"/>
  <c r="AL50" i="10" s="1"/>
  <c r="AL51" i="10" s="1"/>
  <c r="AK48" i="10"/>
  <c r="AK49" i="10" s="1"/>
  <c r="AK50" i="10" s="1"/>
  <c r="AK51" i="10" s="1"/>
  <c r="Y48" i="10"/>
  <c r="Y53" i="10" s="1"/>
  <c r="AK34" i="10"/>
  <c r="AK35" i="10" s="1"/>
  <c r="AK36" i="10" s="1"/>
  <c r="AK37" i="10" s="1"/>
  <c r="AA8" i="10"/>
  <c r="Y20" i="10"/>
  <c r="Y25" i="10" s="1"/>
  <c r="AL19" i="10"/>
  <c r="AL20" i="10" s="1"/>
  <c r="AL21" i="10" s="1"/>
  <c r="AL22" i="10" s="1"/>
  <c r="AL23" i="10" s="1"/>
  <c r="AD2220" i="13" l="1"/>
  <c r="B2260" i="13"/>
  <c r="B2261" i="13" s="1"/>
  <c r="B2262" i="13" s="1"/>
  <c r="B2263" i="13" s="1"/>
  <c r="B2264" i="13" s="1"/>
  <c r="B2265" i="13" s="1"/>
  <c r="B2266" i="13" s="1"/>
  <c r="B2267" i="13" s="1"/>
  <c r="B2268" i="13" s="1"/>
  <c r="B2269" i="13" s="1"/>
  <c r="B2270" i="13" s="1"/>
  <c r="B2271" i="13" s="1"/>
  <c r="B2272" i="13" s="1"/>
  <c r="B2256" i="13"/>
  <c r="B2257" i="13" s="1"/>
  <c r="B2258" i="13" s="1"/>
  <c r="B2259" i="13" s="1"/>
  <c r="AD2254" i="13"/>
  <c r="R28" i="10" a="1"/>
  <c r="R28" i="10" s="1"/>
  <c r="AA23" i="10"/>
  <c r="B7" i="13"/>
  <c r="B8" i="13" s="1"/>
  <c r="B9" i="13" s="1"/>
  <c r="B10" i="13"/>
  <c r="B11" i="13" s="1"/>
  <c r="B12" i="13" s="1"/>
  <c r="B13" i="13" s="1"/>
  <c r="B14" i="13" s="1"/>
  <c r="B15" i="13" s="1"/>
  <c r="AA34" i="10"/>
  <c r="AA35" i="10" s="1"/>
  <c r="AA47" i="10"/>
  <c r="AL776" i="10"/>
  <c r="AL777" i="10" s="1"/>
  <c r="AL778" i="10" s="1"/>
  <c r="AL779" i="10" s="1"/>
  <c r="AL398" i="10"/>
  <c r="AL399" i="10" s="1"/>
  <c r="AL400" i="10" s="1"/>
  <c r="AL401" i="10" s="1"/>
  <c r="AA9" i="10"/>
  <c r="B2278" i="13" l="1"/>
  <c r="B2273" i="13"/>
  <c r="AD2221" i="13"/>
  <c r="AD2255" i="13"/>
  <c r="AA36" i="10"/>
  <c r="B16" i="13"/>
  <c r="B17" i="13" s="1"/>
  <c r="B18" i="13" s="1"/>
  <c r="AA48" i="10"/>
  <c r="AA49" i="10" s="1"/>
  <c r="AA61" i="10"/>
  <c r="B2274" i="13" l="1"/>
  <c r="B2275" i="13" s="1"/>
  <c r="B2276" i="13" s="1"/>
  <c r="B2277" i="13" s="1"/>
  <c r="B2279" i="13"/>
  <c r="B2280" i="13" s="1"/>
  <c r="B2281" i="13" s="1"/>
  <c r="B2282" i="13" s="1"/>
  <c r="AD2222" i="13"/>
  <c r="AD2256" i="13"/>
  <c r="AA37" i="10"/>
  <c r="B19" i="13"/>
  <c r="B20" i="13" s="1"/>
  <c r="B21" i="13" s="1"/>
  <c r="B22" i="13" s="1"/>
  <c r="B23" i="13" s="1"/>
  <c r="B24" i="13" s="1"/>
  <c r="B25" i="13" s="1"/>
  <c r="B26" i="13" s="1"/>
  <c r="B27" i="13" s="1"/>
  <c r="B28" i="13" s="1"/>
  <c r="AA75" i="10"/>
  <c r="AA62" i="10"/>
  <c r="AA63" i="10" s="1"/>
  <c r="AA50" i="10"/>
  <c r="AD2223" i="13" l="1"/>
  <c r="AD2257" i="13"/>
  <c r="B34" i="13"/>
  <c r="B29" i="13"/>
  <c r="AA51" i="10"/>
  <c r="AA64" i="10"/>
  <c r="AA76" i="10"/>
  <c r="AA77" i="10" s="1"/>
  <c r="AA89" i="10"/>
  <c r="AD2224" i="13" l="1"/>
  <c r="AD2258" i="13"/>
  <c r="B30" i="13"/>
  <c r="B31" i="13" s="1"/>
  <c r="B32" i="13" s="1"/>
  <c r="B33" i="13" s="1"/>
  <c r="B35" i="13"/>
  <c r="B36" i="13" s="1"/>
  <c r="B37" i="13" s="1"/>
  <c r="B38" i="13" s="1"/>
  <c r="AA90" i="10"/>
  <c r="AA91" i="10" s="1"/>
  <c r="AA103" i="10"/>
  <c r="AA78" i="10"/>
  <c r="AA65" i="10"/>
  <c r="AD2225" i="13" l="1"/>
  <c r="AD2259" i="13"/>
  <c r="AA79" i="10"/>
  <c r="AA117" i="10"/>
  <c r="AA104" i="10"/>
  <c r="AA105" i="10" s="1"/>
  <c r="AA92" i="10"/>
  <c r="AA93" i="10" l="1"/>
  <c r="AA106" i="10"/>
  <c r="AA118" i="10"/>
  <c r="AA119" i="10" s="1"/>
  <c r="AA131" i="10"/>
  <c r="AA132" i="10" l="1"/>
  <c r="AA133" i="10" s="1"/>
  <c r="AA145" i="10"/>
  <c r="AA120" i="10"/>
  <c r="AA107" i="10"/>
  <c r="AA121" i="10" l="1"/>
  <c r="AA146" i="10"/>
  <c r="AA147" i="10" s="1"/>
  <c r="AA159" i="10"/>
  <c r="AA134" i="10"/>
  <c r="AK5" i="10"/>
  <c r="V6" i="10"/>
  <c r="V11" i="10" s="1"/>
  <c r="W6" i="10"/>
  <c r="W11" i="10" s="1"/>
  <c r="X6" i="10"/>
  <c r="X11" i="10" s="1"/>
  <c r="U6" i="10"/>
  <c r="U11" i="10" s="1"/>
  <c r="U781" i="12"/>
  <c r="V781" i="12" s="1"/>
  <c r="Y781" i="12" s="1"/>
  <c r="V780" i="12"/>
  <c r="Y780" i="12" s="1"/>
  <c r="Z780" i="12" s="1"/>
  <c r="U779" i="12"/>
  <c r="V779" i="12" s="1"/>
  <c r="Y779" i="12" s="1"/>
  <c r="Z779" i="12" s="1"/>
  <c r="V778" i="12"/>
  <c r="Y778" i="12" s="1"/>
  <c r="Z778" i="12" s="1"/>
  <c r="U777" i="12"/>
  <c r="V776" i="12"/>
  <c r="Y776" i="12" s="1"/>
  <c r="U767" i="12"/>
  <c r="V766" i="12"/>
  <c r="Y766" i="12" s="1"/>
  <c r="Z766" i="12" s="1"/>
  <c r="U765" i="12"/>
  <c r="V764" i="12"/>
  <c r="Y764" i="12" s="1"/>
  <c r="Z764" i="12" s="1"/>
  <c r="U763" i="12"/>
  <c r="V763" i="12" s="1"/>
  <c r="Y763" i="12" s="1"/>
  <c r="Z763" i="12" s="1"/>
  <c r="V762" i="12"/>
  <c r="Y762" i="12" s="1"/>
  <c r="Z762" i="12" s="1"/>
  <c r="U753" i="12"/>
  <c r="V753" i="12" s="1"/>
  <c r="Y753" i="12" s="1"/>
  <c r="Z753" i="12" s="1"/>
  <c r="V752" i="12"/>
  <c r="Y752" i="12" s="1"/>
  <c r="Z752" i="12" s="1"/>
  <c r="U751" i="12"/>
  <c r="V750" i="12"/>
  <c r="Y750" i="12" s="1"/>
  <c r="Z750" i="12" s="1"/>
  <c r="U749" i="12"/>
  <c r="Y748" i="12"/>
  <c r="Z748" i="12" s="1"/>
  <c r="V748" i="12"/>
  <c r="U739" i="12"/>
  <c r="V739" i="12" s="1"/>
  <c r="Y739" i="12" s="1"/>
  <c r="V738" i="12"/>
  <c r="Y738" i="12" s="1"/>
  <c r="Z738" i="12" s="1"/>
  <c r="U737" i="12"/>
  <c r="V736" i="12"/>
  <c r="Y736" i="12" s="1"/>
  <c r="Z736" i="12" s="1"/>
  <c r="U735" i="12"/>
  <c r="V735" i="12" s="1"/>
  <c r="Y735" i="12" s="1"/>
  <c r="Z735" i="12" s="1"/>
  <c r="V734" i="12"/>
  <c r="Y734" i="12" s="1"/>
  <c r="Z734" i="12" s="1"/>
  <c r="U725" i="12"/>
  <c r="V725" i="12" s="1"/>
  <c r="Y725" i="12" s="1"/>
  <c r="Z725" i="12" s="1"/>
  <c r="V724" i="12"/>
  <c r="Y724" i="12" s="1"/>
  <c r="Z724" i="12" s="1"/>
  <c r="U723" i="12"/>
  <c r="V723" i="12" s="1"/>
  <c r="Y723" i="12" s="1"/>
  <c r="Z723" i="12" s="1"/>
  <c r="V722" i="12"/>
  <c r="Y722" i="12" s="1"/>
  <c r="Z722" i="12" s="1"/>
  <c r="U721" i="12"/>
  <c r="V721" i="12" s="1"/>
  <c r="Y721" i="12" s="1"/>
  <c r="Z721" i="12" s="1"/>
  <c r="Y720" i="12"/>
  <c r="Z720" i="12" s="1"/>
  <c r="V720" i="12"/>
  <c r="U711" i="12"/>
  <c r="V711" i="12" s="1"/>
  <c r="Y711" i="12" s="1"/>
  <c r="V710" i="12"/>
  <c r="Y710" i="12" s="1"/>
  <c r="Z710" i="12" s="1"/>
  <c r="U709" i="12"/>
  <c r="V709" i="12" s="1"/>
  <c r="Y709" i="12" s="1"/>
  <c r="Z709" i="12" s="1"/>
  <c r="V708" i="12"/>
  <c r="Y708" i="12" s="1"/>
  <c r="Z708" i="12" s="1"/>
  <c r="U707" i="12"/>
  <c r="V707" i="12" s="1"/>
  <c r="Y707" i="12" s="1"/>
  <c r="Z707" i="12" s="1"/>
  <c r="V706" i="12"/>
  <c r="Y706" i="12" s="1"/>
  <c r="Z706" i="12" s="1"/>
  <c r="U697" i="12"/>
  <c r="V696" i="12"/>
  <c r="Y696" i="12" s="1"/>
  <c r="Z696" i="12" s="1"/>
  <c r="U695" i="12"/>
  <c r="V694" i="12"/>
  <c r="Y694" i="12" s="1"/>
  <c r="Z694" i="12" s="1"/>
  <c r="U693" i="12"/>
  <c r="V693" i="12" s="1"/>
  <c r="Y693" i="12" s="1"/>
  <c r="V692" i="12"/>
  <c r="Y692" i="12" s="1"/>
  <c r="U683" i="12"/>
  <c r="V682" i="12"/>
  <c r="Y682" i="12" s="1"/>
  <c r="Z682" i="12" s="1"/>
  <c r="U681" i="12"/>
  <c r="V681" i="12" s="1"/>
  <c r="Y681" i="12" s="1"/>
  <c r="Z681" i="12" s="1"/>
  <c r="V680" i="12"/>
  <c r="Y680" i="12" s="1"/>
  <c r="Z680" i="12" s="1"/>
  <c r="U679" i="12"/>
  <c r="V679" i="12" s="1"/>
  <c r="Y679" i="12" s="1"/>
  <c r="Z679" i="12" s="1"/>
  <c r="V678" i="12"/>
  <c r="Y678" i="12" s="1"/>
  <c r="Z678" i="12" s="1"/>
  <c r="U669" i="12"/>
  <c r="V668" i="12"/>
  <c r="Y668" i="12" s="1"/>
  <c r="Z668" i="12" s="1"/>
  <c r="U667" i="12"/>
  <c r="V666" i="12"/>
  <c r="Y666" i="12" s="1"/>
  <c r="Z666" i="12" s="1"/>
  <c r="U665" i="12"/>
  <c r="V665" i="12" s="1"/>
  <c r="Y665" i="12" s="1"/>
  <c r="Z665" i="12" s="1"/>
  <c r="V664" i="12"/>
  <c r="Y664" i="12" s="1"/>
  <c r="Z664" i="12" s="1"/>
  <c r="U655" i="12"/>
  <c r="Y654" i="12"/>
  <c r="Z654" i="12" s="1"/>
  <c r="V654" i="12"/>
  <c r="U653" i="12"/>
  <c r="V653" i="12" s="1"/>
  <c r="Y653" i="12" s="1"/>
  <c r="V652" i="12"/>
  <c r="Y652" i="12" s="1"/>
  <c r="Z652" i="12" s="1"/>
  <c r="U651" i="12"/>
  <c r="V651" i="12" s="1"/>
  <c r="Y651" i="12" s="1"/>
  <c r="Z651" i="12" s="1"/>
  <c r="V650" i="12"/>
  <c r="Y650" i="12" s="1"/>
  <c r="Z650" i="12" s="1"/>
  <c r="U641" i="12"/>
  <c r="V640" i="12"/>
  <c r="Y640" i="12" s="1"/>
  <c r="Z640" i="12" s="1"/>
  <c r="U639" i="12"/>
  <c r="V638" i="12"/>
  <c r="Y638" i="12" s="1"/>
  <c r="Z638" i="12" s="1"/>
  <c r="U637" i="12"/>
  <c r="Y636" i="12"/>
  <c r="Z636" i="12" s="1"/>
  <c r="V636" i="12"/>
  <c r="V627" i="12"/>
  <c r="Y627" i="12" s="1"/>
  <c r="U627" i="12"/>
  <c r="V626" i="12"/>
  <c r="Y626" i="12" s="1"/>
  <c r="Z626" i="12" s="1"/>
  <c r="U625" i="12"/>
  <c r="V625" i="12" s="1"/>
  <c r="Y625" i="12" s="1"/>
  <c r="Z625" i="12" s="1"/>
  <c r="V624" i="12"/>
  <c r="Y624" i="12" s="1"/>
  <c r="Z624" i="12" s="1"/>
  <c r="U623" i="12"/>
  <c r="V623" i="12" s="1"/>
  <c r="Y623" i="12" s="1"/>
  <c r="Z623" i="12" s="1"/>
  <c r="V622" i="12"/>
  <c r="Y622" i="12" s="1"/>
  <c r="Z622" i="12" s="1"/>
  <c r="U613" i="12"/>
  <c r="V612" i="12"/>
  <c r="Y612" i="12" s="1"/>
  <c r="Z612" i="12" s="1"/>
  <c r="U611" i="12"/>
  <c r="Y610" i="12"/>
  <c r="Z610" i="12" s="1"/>
  <c r="V610" i="12"/>
  <c r="U609" i="12"/>
  <c r="V609" i="12" s="1"/>
  <c r="Y609" i="12" s="1"/>
  <c r="V608" i="12"/>
  <c r="Y608" i="12" s="1"/>
  <c r="U599" i="12"/>
  <c r="V598" i="12"/>
  <c r="Y598" i="12" s="1"/>
  <c r="Z598" i="12" s="1"/>
  <c r="U597" i="12"/>
  <c r="V597" i="12" s="1"/>
  <c r="Y597" i="12" s="1"/>
  <c r="V596" i="12"/>
  <c r="Y596" i="12" s="1"/>
  <c r="Z596" i="12" s="1"/>
  <c r="U595" i="12"/>
  <c r="V595" i="12" s="1"/>
  <c r="Y595" i="12" s="1"/>
  <c r="V594" i="12"/>
  <c r="Y594" i="12" s="1"/>
  <c r="Z594" i="12" s="1"/>
  <c r="U585" i="12"/>
  <c r="V585" i="12" s="1"/>
  <c r="Y585" i="12" s="1"/>
  <c r="V584" i="12"/>
  <c r="Y584" i="12" s="1"/>
  <c r="Z584" i="12" s="1"/>
  <c r="U583" i="12"/>
  <c r="V583" i="12" s="1"/>
  <c r="Y583" i="12" s="1"/>
  <c r="Z583" i="12" s="1"/>
  <c r="V582" i="12"/>
  <c r="Y582" i="12" s="1"/>
  <c r="Z582" i="12" s="1"/>
  <c r="U581" i="12"/>
  <c r="V581" i="12" s="1"/>
  <c r="Y581" i="12" s="1"/>
  <c r="Z581" i="12" s="1"/>
  <c r="V580" i="12"/>
  <c r="Y580" i="12" s="1"/>
  <c r="Z580" i="12" s="1"/>
  <c r="U571" i="12"/>
  <c r="V570" i="12"/>
  <c r="Y570" i="12" s="1"/>
  <c r="U569" i="12"/>
  <c r="V569" i="12" s="1"/>
  <c r="Y569" i="12" s="1"/>
  <c r="Z569" i="12" s="1"/>
  <c r="V568" i="12"/>
  <c r="Y568" i="12" s="1"/>
  <c r="U567" i="12"/>
  <c r="Y566" i="12"/>
  <c r="V566" i="12"/>
  <c r="U557" i="12"/>
  <c r="V557" i="12" s="1"/>
  <c r="Y557" i="12" s="1"/>
  <c r="V556" i="12"/>
  <c r="Y556" i="12" s="1"/>
  <c r="Z556" i="12" s="1"/>
  <c r="U555" i="12"/>
  <c r="V554" i="12"/>
  <c r="Y554" i="12" s="1"/>
  <c r="Z554" i="12" s="1"/>
  <c r="U553" i="12"/>
  <c r="V553" i="12" s="1"/>
  <c r="Y553" i="12" s="1"/>
  <c r="Z553" i="12" s="1"/>
  <c r="V552" i="12"/>
  <c r="Y552" i="12" s="1"/>
  <c r="Z552" i="12" s="1"/>
  <c r="U543" i="12"/>
  <c r="V543" i="12" s="1"/>
  <c r="Y543" i="12" s="1"/>
  <c r="V542" i="12"/>
  <c r="Y542" i="12" s="1"/>
  <c r="Z542" i="12" s="1"/>
  <c r="U541" i="12"/>
  <c r="V541" i="12" s="1"/>
  <c r="Y541" i="12" s="1"/>
  <c r="Z541" i="12" s="1"/>
  <c r="V540" i="12"/>
  <c r="Y540" i="12" s="1"/>
  <c r="Z540" i="12" s="1"/>
  <c r="Z539" i="12"/>
  <c r="U539" i="12"/>
  <c r="V539" i="12" s="1"/>
  <c r="Y539" i="12" s="1"/>
  <c r="V538" i="12"/>
  <c r="Y538" i="12" s="1"/>
  <c r="Z538" i="12" s="1"/>
  <c r="U529" i="12"/>
  <c r="V529" i="12" s="1"/>
  <c r="Y529" i="12" s="1"/>
  <c r="Z529" i="12" s="1"/>
  <c r="V528" i="12"/>
  <c r="Y528" i="12" s="1"/>
  <c r="Z528" i="12" s="1"/>
  <c r="U527" i="12"/>
  <c r="V527" i="12" s="1"/>
  <c r="Y527" i="12" s="1"/>
  <c r="Z527" i="12" s="1"/>
  <c r="V526" i="12"/>
  <c r="Y526" i="12" s="1"/>
  <c r="Z526" i="12" s="1"/>
  <c r="U525" i="12"/>
  <c r="V525" i="12" s="1"/>
  <c r="Y525" i="12" s="1"/>
  <c r="Z525" i="12" s="1"/>
  <c r="V524" i="12"/>
  <c r="Y524" i="12" s="1"/>
  <c r="U515" i="12"/>
  <c r="V515" i="12" s="1"/>
  <c r="Y515" i="12" s="1"/>
  <c r="Z515" i="12" s="1"/>
  <c r="V514" i="12"/>
  <c r="Y514" i="12" s="1"/>
  <c r="Z514" i="12" s="1"/>
  <c r="U513" i="12"/>
  <c r="V513" i="12" s="1"/>
  <c r="Y513" i="12" s="1"/>
  <c r="Z513" i="12" s="1"/>
  <c r="V512" i="12"/>
  <c r="Y512" i="12" s="1"/>
  <c r="Z512" i="12" s="1"/>
  <c r="U511" i="12"/>
  <c r="V511" i="12" s="1"/>
  <c r="Y511" i="12" s="1"/>
  <c r="V510" i="12"/>
  <c r="Y510" i="12" s="1"/>
  <c r="Z510" i="12" s="1"/>
  <c r="U501" i="12"/>
  <c r="V501" i="12" s="1"/>
  <c r="Y501" i="12" s="1"/>
  <c r="V500" i="12"/>
  <c r="Y500" i="12" s="1"/>
  <c r="Z500" i="12" s="1"/>
  <c r="U499" i="12"/>
  <c r="V499" i="12" s="1"/>
  <c r="Y499" i="12" s="1"/>
  <c r="Z499" i="12" s="1"/>
  <c r="V498" i="12"/>
  <c r="Y498" i="12" s="1"/>
  <c r="Z498" i="12" s="1"/>
  <c r="U497" i="12"/>
  <c r="V497" i="12" s="1"/>
  <c r="Y497" i="12" s="1"/>
  <c r="Z497" i="12" s="1"/>
  <c r="V496" i="12"/>
  <c r="Y496" i="12" s="1"/>
  <c r="Z496" i="12" s="1"/>
  <c r="U487" i="12"/>
  <c r="V487" i="12" s="1"/>
  <c r="Y487" i="12" s="1"/>
  <c r="V486" i="12"/>
  <c r="Y486" i="12" s="1"/>
  <c r="U485" i="12"/>
  <c r="V485" i="12" s="1"/>
  <c r="Y485" i="12" s="1"/>
  <c r="Z485" i="12" s="1"/>
  <c r="V484" i="12"/>
  <c r="Y484" i="12" s="1"/>
  <c r="Z484" i="12" s="1"/>
  <c r="U483" i="12"/>
  <c r="V483" i="12" s="1"/>
  <c r="Y483" i="12" s="1"/>
  <c r="Z483" i="12" s="1"/>
  <c r="V482" i="12"/>
  <c r="Y482" i="12" s="1"/>
  <c r="U473" i="12"/>
  <c r="V473" i="12" s="1"/>
  <c r="Y473" i="12" s="1"/>
  <c r="Z473" i="12" s="1"/>
  <c r="V472" i="12"/>
  <c r="Y472" i="12" s="1"/>
  <c r="Z472" i="12" s="1"/>
  <c r="U471" i="12"/>
  <c r="V471" i="12" s="1"/>
  <c r="Y471" i="12" s="1"/>
  <c r="Z471" i="12" s="1"/>
  <c r="V470" i="12"/>
  <c r="Y470" i="12" s="1"/>
  <c r="Z470" i="12" s="1"/>
  <c r="U469" i="12"/>
  <c r="V469" i="12" s="1"/>
  <c r="Y469" i="12" s="1"/>
  <c r="Z469" i="12" s="1"/>
  <c r="V468" i="12"/>
  <c r="Y468" i="12" s="1"/>
  <c r="Z468" i="12" s="1"/>
  <c r="U459" i="12"/>
  <c r="V458" i="12"/>
  <c r="Y458" i="12" s="1"/>
  <c r="Z458" i="12" s="1"/>
  <c r="U457" i="12"/>
  <c r="V457" i="12" s="1"/>
  <c r="Y457" i="12" s="1"/>
  <c r="V456" i="12"/>
  <c r="Y456" i="12" s="1"/>
  <c r="Z456" i="12" s="1"/>
  <c r="U455" i="12"/>
  <c r="V455" i="12" s="1"/>
  <c r="Y455" i="12" s="1"/>
  <c r="V454" i="12"/>
  <c r="Y454" i="12" s="1"/>
  <c r="Z454" i="12" s="1"/>
  <c r="U445" i="12"/>
  <c r="V445" i="12" s="1"/>
  <c r="Y445" i="12" s="1"/>
  <c r="V444" i="12"/>
  <c r="Y444" i="12" s="1"/>
  <c r="Z444" i="12" s="1"/>
  <c r="U443" i="12"/>
  <c r="V443" i="12" s="1"/>
  <c r="Y443" i="12" s="1"/>
  <c r="Z443" i="12" s="1"/>
  <c r="V442" i="12"/>
  <c r="Y442" i="12" s="1"/>
  <c r="Z442" i="12" s="1"/>
  <c r="U441" i="12"/>
  <c r="V440" i="12"/>
  <c r="Y440" i="12" s="1"/>
  <c r="U431" i="12"/>
  <c r="V431" i="12" s="1"/>
  <c r="Y431" i="12" s="1"/>
  <c r="Z431" i="12" s="1"/>
  <c r="V430" i="12"/>
  <c r="Y430" i="12" s="1"/>
  <c r="Z430" i="12" s="1"/>
  <c r="U429" i="12"/>
  <c r="V429" i="12" s="1"/>
  <c r="Y429" i="12" s="1"/>
  <c r="Z429" i="12" s="1"/>
  <c r="V428" i="12"/>
  <c r="Y428" i="12" s="1"/>
  <c r="Z428" i="12" s="1"/>
  <c r="U427" i="12"/>
  <c r="V427" i="12" s="1"/>
  <c r="Y427" i="12" s="1"/>
  <c r="Z427" i="12" s="1"/>
  <c r="V426" i="12"/>
  <c r="Y426" i="12" s="1"/>
  <c r="Z426" i="12" s="1"/>
  <c r="U417" i="12"/>
  <c r="V416" i="12"/>
  <c r="Y416" i="12" s="1"/>
  <c r="Z416" i="12" s="1"/>
  <c r="U415" i="12"/>
  <c r="V415" i="12" s="1"/>
  <c r="Y415" i="12" s="1"/>
  <c r="Z415" i="12" s="1"/>
  <c r="V414" i="12"/>
  <c r="Y414" i="12" s="1"/>
  <c r="Z414" i="12" s="1"/>
  <c r="U413" i="12"/>
  <c r="V413" i="12" s="1"/>
  <c r="Y413" i="12" s="1"/>
  <c r="Z413" i="12" s="1"/>
  <c r="V412" i="12"/>
  <c r="Y412" i="12" s="1"/>
  <c r="Z412" i="12" s="1"/>
  <c r="U403" i="12"/>
  <c r="V403" i="12" s="1"/>
  <c r="Y403" i="12" s="1"/>
  <c r="V402" i="12"/>
  <c r="Y402" i="12" s="1"/>
  <c r="Z402" i="12" s="1"/>
  <c r="U401" i="12"/>
  <c r="V401" i="12" s="1"/>
  <c r="Y401" i="12" s="1"/>
  <c r="Z401" i="12" s="1"/>
  <c r="V400" i="12"/>
  <c r="Y400" i="12" s="1"/>
  <c r="Z400" i="12" s="1"/>
  <c r="U399" i="12"/>
  <c r="V399" i="12" s="1"/>
  <c r="Y399" i="12" s="1"/>
  <c r="Z399" i="12" s="1"/>
  <c r="V398" i="12"/>
  <c r="Y398" i="12" s="1"/>
  <c r="U389" i="12"/>
  <c r="V388" i="12"/>
  <c r="Y388" i="12" s="1"/>
  <c r="Z388" i="12" s="1"/>
  <c r="U387" i="12"/>
  <c r="V386" i="12"/>
  <c r="Y386" i="12" s="1"/>
  <c r="Z386" i="12" s="1"/>
  <c r="U385" i="12"/>
  <c r="V385" i="12" s="1"/>
  <c r="Y385" i="12" s="1"/>
  <c r="Z385" i="12" s="1"/>
  <c r="V384" i="12"/>
  <c r="Y384" i="12" s="1"/>
  <c r="Z384" i="12" s="1"/>
  <c r="U375" i="12"/>
  <c r="V375" i="12" s="1"/>
  <c r="Y375" i="12" s="1"/>
  <c r="V374" i="12"/>
  <c r="Y374" i="12" s="1"/>
  <c r="Z374" i="12" s="1"/>
  <c r="U373" i="12"/>
  <c r="V373" i="12" s="1"/>
  <c r="Y373" i="12" s="1"/>
  <c r="Z373" i="12" s="1"/>
  <c r="V372" i="12"/>
  <c r="Y372" i="12" s="1"/>
  <c r="Z372" i="12" s="1"/>
  <c r="U371" i="12"/>
  <c r="V371" i="12" s="1"/>
  <c r="Y371" i="12" s="1"/>
  <c r="Z371" i="12" s="1"/>
  <c r="V370" i="12"/>
  <c r="Y370" i="12" s="1"/>
  <c r="Z370" i="12" s="1"/>
  <c r="U361" i="12"/>
  <c r="V361" i="12" s="1"/>
  <c r="Y361" i="12" s="1"/>
  <c r="Z361" i="12" s="1"/>
  <c r="Y360" i="12"/>
  <c r="Z360" i="12" s="1"/>
  <c r="V360" i="12"/>
  <c r="U359" i="12"/>
  <c r="V359" i="12" s="1"/>
  <c r="Y359" i="12" s="1"/>
  <c r="V358" i="12"/>
  <c r="Y358" i="12" s="1"/>
  <c r="Z358" i="12" s="1"/>
  <c r="U357" i="12"/>
  <c r="V356" i="12"/>
  <c r="Y356" i="12" s="1"/>
  <c r="U347" i="12"/>
  <c r="V346" i="12"/>
  <c r="Y346" i="12" s="1"/>
  <c r="Z346" i="12" s="1"/>
  <c r="U345" i="12"/>
  <c r="V344" i="12"/>
  <c r="Y344" i="12" s="1"/>
  <c r="Z344" i="12" s="1"/>
  <c r="U343" i="12"/>
  <c r="V343" i="12" s="1"/>
  <c r="Y343" i="12" s="1"/>
  <c r="Z343" i="12" s="1"/>
  <c r="V342" i="12"/>
  <c r="Y342" i="12" s="1"/>
  <c r="Z342" i="12" s="1"/>
  <c r="U333" i="12"/>
  <c r="V333" i="12" s="1"/>
  <c r="Y333" i="12" s="1"/>
  <c r="V332" i="12"/>
  <c r="Y332" i="12" s="1"/>
  <c r="Z332" i="12" s="1"/>
  <c r="U331" i="12"/>
  <c r="V330" i="12"/>
  <c r="Y330" i="12" s="1"/>
  <c r="Z330" i="12" s="1"/>
  <c r="U329" i="12"/>
  <c r="V329" i="12" s="1"/>
  <c r="Y329" i="12" s="1"/>
  <c r="Z329" i="12" s="1"/>
  <c r="V328" i="12"/>
  <c r="Y328" i="12" s="1"/>
  <c r="Z328" i="12" s="1"/>
  <c r="U319" i="12"/>
  <c r="V318" i="12"/>
  <c r="Y318" i="12" s="1"/>
  <c r="Z318" i="12" s="1"/>
  <c r="U317" i="12"/>
  <c r="V317" i="12" s="1"/>
  <c r="Y317" i="12" s="1"/>
  <c r="Z317" i="12" s="1"/>
  <c r="V316" i="12"/>
  <c r="Y316" i="12" s="1"/>
  <c r="Z316" i="12" s="1"/>
  <c r="U315" i="12"/>
  <c r="V315" i="12" s="1"/>
  <c r="Y315" i="12" s="1"/>
  <c r="Z315" i="12" s="1"/>
  <c r="V314" i="12"/>
  <c r="Y314" i="12" s="1"/>
  <c r="Z314" i="12" s="1"/>
  <c r="U305" i="12"/>
  <c r="V304" i="12"/>
  <c r="Y304" i="12" s="1"/>
  <c r="Z304" i="12" s="1"/>
  <c r="U303" i="12"/>
  <c r="V302" i="12"/>
  <c r="Y302" i="12" s="1"/>
  <c r="Z302" i="12" s="1"/>
  <c r="U301" i="12"/>
  <c r="V300" i="12"/>
  <c r="Y300" i="12" s="1"/>
  <c r="Z300" i="12" s="1"/>
  <c r="U291" i="12"/>
  <c r="V291" i="12" s="1"/>
  <c r="Y291" i="12" s="1"/>
  <c r="Z291" i="12" s="1"/>
  <c r="V290" i="12"/>
  <c r="Y290" i="12" s="1"/>
  <c r="Z290" i="12" s="1"/>
  <c r="U289" i="12"/>
  <c r="V289" i="12" s="1"/>
  <c r="Y289" i="12" s="1"/>
  <c r="V288" i="12"/>
  <c r="Y288" i="12" s="1"/>
  <c r="Z288" i="12" s="1"/>
  <c r="U287" i="12"/>
  <c r="V287" i="12" s="1"/>
  <c r="Y287" i="12" s="1"/>
  <c r="V286" i="12"/>
  <c r="Y286" i="12" s="1"/>
  <c r="Z286" i="12" s="1"/>
  <c r="U277" i="12"/>
  <c r="V276" i="12"/>
  <c r="Y276" i="12" s="1"/>
  <c r="Z276" i="12" s="1"/>
  <c r="U275" i="12"/>
  <c r="V275" i="12" s="1"/>
  <c r="Y275" i="12" s="1"/>
  <c r="Z275" i="12" s="1"/>
  <c r="V274" i="12"/>
  <c r="Y274" i="12" s="1"/>
  <c r="Z274" i="12" s="1"/>
  <c r="U273" i="12"/>
  <c r="V273" i="12" s="1"/>
  <c r="Y273" i="12" s="1"/>
  <c r="Z273" i="12" s="1"/>
  <c r="V272" i="12"/>
  <c r="Y272" i="12" s="1"/>
  <c r="U263" i="12"/>
  <c r="V262" i="12"/>
  <c r="Y262" i="12" s="1"/>
  <c r="Z262" i="12" s="1"/>
  <c r="U261" i="12"/>
  <c r="V261" i="12" s="1"/>
  <c r="Y261" i="12" s="1"/>
  <c r="Z261" i="12" s="1"/>
  <c r="V260" i="12"/>
  <c r="Y260" i="12" s="1"/>
  <c r="Z260" i="12" s="1"/>
  <c r="U259" i="12"/>
  <c r="V259" i="12" s="1"/>
  <c r="Y259" i="12" s="1"/>
  <c r="Z259" i="12" s="1"/>
  <c r="V258" i="12"/>
  <c r="Y258" i="12" s="1"/>
  <c r="Z258" i="12" s="1"/>
  <c r="U249" i="12"/>
  <c r="V249" i="12" s="1"/>
  <c r="Y249" i="12" s="1"/>
  <c r="V248" i="12"/>
  <c r="Y248" i="12" s="1"/>
  <c r="Z248" i="12" s="1"/>
  <c r="U247" i="12"/>
  <c r="V247" i="12" s="1"/>
  <c r="Y247" i="12" s="1"/>
  <c r="Z247" i="12" s="1"/>
  <c r="V246" i="12"/>
  <c r="Y246" i="12" s="1"/>
  <c r="Z246" i="12" s="1"/>
  <c r="U245" i="12"/>
  <c r="V245" i="12" s="1"/>
  <c r="Y245" i="12" s="1"/>
  <c r="Z245" i="12" s="1"/>
  <c r="V244" i="12"/>
  <c r="Y244" i="12" s="1"/>
  <c r="Z244" i="12" s="1"/>
  <c r="U235" i="12"/>
  <c r="V234" i="12"/>
  <c r="Y234" i="12" s="1"/>
  <c r="Z234" i="12" s="1"/>
  <c r="U233" i="12"/>
  <c r="V233" i="12" s="1"/>
  <c r="Y233" i="12" s="1"/>
  <c r="V232" i="12"/>
  <c r="Y232" i="12" s="1"/>
  <c r="Z232" i="12" s="1"/>
  <c r="U231" i="12"/>
  <c r="V231" i="12" s="1"/>
  <c r="Y231" i="12" s="1"/>
  <c r="V230" i="12"/>
  <c r="Y230" i="12" s="1"/>
  <c r="U221" i="12"/>
  <c r="V220" i="12"/>
  <c r="Y220" i="12" s="1"/>
  <c r="Z220" i="12" s="1"/>
  <c r="U219" i="12"/>
  <c r="V218" i="12"/>
  <c r="Y218" i="12" s="1"/>
  <c r="Z218" i="12" s="1"/>
  <c r="V217" i="12"/>
  <c r="Y217" i="12" s="1"/>
  <c r="Z217" i="12" s="1"/>
  <c r="U217" i="12"/>
  <c r="V216" i="12"/>
  <c r="Y216" i="12" s="1"/>
  <c r="Z216" i="12" s="1"/>
  <c r="U207" i="12"/>
  <c r="V207" i="12" s="1"/>
  <c r="Y207" i="12" s="1"/>
  <c r="V206" i="12"/>
  <c r="Y206" i="12" s="1"/>
  <c r="Z206" i="12" s="1"/>
  <c r="U205" i="12"/>
  <c r="V204" i="12"/>
  <c r="Y204" i="12" s="1"/>
  <c r="Z204" i="12" s="1"/>
  <c r="U203" i="12"/>
  <c r="V203" i="12" s="1"/>
  <c r="Y203" i="12" s="1"/>
  <c r="Z203" i="12" s="1"/>
  <c r="V202" i="12"/>
  <c r="Y202" i="12" s="1"/>
  <c r="Z202" i="12" s="1"/>
  <c r="U193" i="12"/>
  <c r="V192" i="12"/>
  <c r="Y192" i="12" s="1"/>
  <c r="Z192" i="12" s="1"/>
  <c r="U191" i="12"/>
  <c r="V191" i="12" s="1"/>
  <c r="Y191" i="12" s="1"/>
  <c r="V190" i="12"/>
  <c r="Y190" i="12" s="1"/>
  <c r="Z190" i="12" s="1"/>
  <c r="U189" i="12"/>
  <c r="V189" i="12" s="1"/>
  <c r="Y189" i="12" s="1"/>
  <c r="V188" i="12"/>
  <c r="Y188" i="12" s="1"/>
  <c r="U179" i="12"/>
  <c r="V179" i="12" s="1"/>
  <c r="Y179" i="12" s="1"/>
  <c r="Z179" i="12" s="1"/>
  <c r="V178" i="12"/>
  <c r="Y178" i="12" s="1"/>
  <c r="Z178" i="12" s="1"/>
  <c r="U177" i="12"/>
  <c r="V176" i="12"/>
  <c r="Y176" i="12" s="1"/>
  <c r="Z176" i="12" s="1"/>
  <c r="U175" i="12"/>
  <c r="V175" i="12" s="1"/>
  <c r="Y175" i="12" s="1"/>
  <c r="V174" i="12"/>
  <c r="Y174" i="12" s="1"/>
  <c r="Z174" i="12" s="1"/>
  <c r="U165" i="12"/>
  <c r="V164" i="12"/>
  <c r="Y164" i="12" s="1"/>
  <c r="Z164" i="12" s="1"/>
  <c r="U163" i="12"/>
  <c r="V162" i="12"/>
  <c r="Y162" i="12" s="1"/>
  <c r="Z162" i="12" s="1"/>
  <c r="U161" i="12"/>
  <c r="V161" i="12" s="1"/>
  <c r="Y161" i="12" s="1"/>
  <c r="Z161" i="12" s="1"/>
  <c r="V160" i="12"/>
  <c r="Y160" i="12" s="1"/>
  <c r="Z160" i="12" s="1"/>
  <c r="U151" i="12"/>
  <c r="V151" i="12" s="1"/>
  <c r="Y151" i="12" s="1"/>
  <c r="V150" i="12"/>
  <c r="Y150" i="12" s="1"/>
  <c r="Z150" i="12" s="1"/>
  <c r="U149" i="12"/>
  <c r="V149" i="12" s="1"/>
  <c r="Y149" i="12" s="1"/>
  <c r="Z149" i="12" s="1"/>
  <c r="V148" i="12"/>
  <c r="Y148" i="12" s="1"/>
  <c r="Z148" i="12" s="1"/>
  <c r="U147" i="12"/>
  <c r="Y146" i="12"/>
  <c r="Z146" i="12" s="1"/>
  <c r="V146" i="12"/>
  <c r="U137" i="12"/>
  <c r="V136" i="12"/>
  <c r="Y136" i="12" s="1"/>
  <c r="Z136" i="12" s="1"/>
  <c r="U135" i="12"/>
  <c r="V134" i="12"/>
  <c r="Y134" i="12" s="1"/>
  <c r="Z134" i="12" s="1"/>
  <c r="U133" i="12"/>
  <c r="V133" i="12" s="1"/>
  <c r="Y133" i="12" s="1"/>
  <c r="Z133" i="12" s="1"/>
  <c r="V132" i="12"/>
  <c r="Y132" i="12" s="1"/>
  <c r="Z132" i="12" s="1"/>
  <c r="U123" i="12"/>
  <c r="V122" i="12"/>
  <c r="Y122" i="12" s="1"/>
  <c r="Z122" i="12" s="1"/>
  <c r="U121" i="12"/>
  <c r="V121" i="12" s="1"/>
  <c r="Y121" i="12" s="1"/>
  <c r="V120" i="12"/>
  <c r="Y120" i="12" s="1"/>
  <c r="Z120" i="12" s="1"/>
  <c r="U119" i="12"/>
  <c r="V119" i="12" s="1"/>
  <c r="Y119" i="12" s="1"/>
  <c r="V118" i="12"/>
  <c r="Y118" i="12" s="1"/>
  <c r="Z118" i="12" s="1"/>
  <c r="U109" i="12"/>
  <c r="V109" i="12" s="1"/>
  <c r="Y109" i="12" s="1"/>
  <c r="V108" i="12"/>
  <c r="Y108" i="12" s="1"/>
  <c r="Z108" i="12" s="1"/>
  <c r="U107" i="12"/>
  <c r="V107" i="12" s="1"/>
  <c r="Y107" i="12" s="1"/>
  <c r="Z107" i="12" s="1"/>
  <c r="V106" i="12"/>
  <c r="Y106" i="12" s="1"/>
  <c r="Z106" i="12" s="1"/>
  <c r="U105" i="12"/>
  <c r="V104" i="12"/>
  <c r="Y104" i="12" s="1"/>
  <c r="Z95" i="12"/>
  <c r="U95" i="12"/>
  <c r="V95" i="12" s="1"/>
  <c r="Y95" i="12" s="1"/>
  <c r="V94" i="12"/>
  <c r="Y94" i="12" s="1"/>
  <c r="Z94" i="12" s="1"/>
  <c r="U93" i="12"/>
  <c r="V92" i="12"/>
  <c r="Y92" i="12" s="1"/>
  <c r="Z92" i="12" s="1"/>
  <c r="U91" i="12"/>
  <c r="V91" i="12" s="1"/>
  <c r="Y91" i="12" s="1"/>
  <c r="Z91" i="12" s="1"/>
  <c r="V90" i="12"/>
  <c r="Y90" i="12" s="1"/>
  <c r="Z90" i="12" s="1"/>
  <c r="U81" i="12"/>
  <c r="V81" i="12" s="1"/>
  <c r="Y81" i="12" s="1"/>
  <c r="V80" i="12"/>
  <c r="Y80" i="12" s="1"/>
  <c r="Z80" i="12" s="1"/>
  <c r="V79" i="12"/>
  <c r="Y79" i="12" s="1"/>
  <c r="Z79" i="12" s="1"/>
  <c r="U79" i="12"/>
  <c r="V78" i="12"/>
  <c r="Y78" i="12" s="1"/>
  <c r="Z78" i="12" s="1"/>
  <c r="U77" i="12"/>
  <c r="V77" i="12" s="1"/>
  <c r="Y77" i="12" s="1"/>
  <c r="Z77" i="12" s="1"/>
  <c r="V76" i="12"/>
  <c r="Y76" i="12" s="1"/>
  <c r="Z76" i="12" s="1"/>
  <c r="U67" i="12"/>
  <c r="V67" i="12" s="1"/>
  <c r="Y67" i="12" s="1"/>
  <c r="Z67" i="12" s="1"/>
  <c r="Y66" i="12"/>
  <c r="Z66" i="12" s="1"/>
  <c r="V66" i="12"/>
  <c r="U65" i="12"/>
  <c r="V65" i="12" s="1"/>
  <c r="Y65" i="12" s="1"/>
  <c r="Z65" i="12" s="1"/>
  <c r="V64" i="12"/>
  <c r="Y64" i="12" s="1"/>
  <c r="Z64" i="12" s="1"/>
  <c r="U63" i="12"/>
  <c r="V62" i="12"/>
  <c r="Y62" i="12" s="1"/>
  <c r="Y5" i="10"/>
  <c r="Z5" i="10" s="1"/>
  <c r="Z6" i="10" s="1"/>
  <c r="Z11" i="10" s="1"/>
  <c r="U53" i="12"/>
  <c r="V52" i="12"/>
  <c r="Y52" i="12" s="1"/>
  <c r="Z52" i="12" s="1"/>
  <c r="U51" i="12"/>
  <c r="V50" i="12"/>
  <c r="Y50" i="12" s="1"/>
  <c r="Z50" i="12" s="1"/>
  <c r="U49" i="12"/>
  <c r="V49" i="12" s="1"/>
  <c r="Y49" i="12" s="1"/>
  <c r="V48" i="12"/>
  <c r="Y48" i="12" s="1"/>
  <c r="U39" i="12"/>
  <c r="V38" i="12"/>
  <c r="Y38" i="12" s="1"/>
  <c r="Z38" i="12" s="1"/>
  <c r="U37" i="12"/>
  <c r="V37" i="12" s="1"/>
  <c r="Y37" i="12" s="1"/>
  <c r="V36" i="12"/>
  <c r="Y36" i="12" s="1"/>
  <c r="Z36" i="12" s="1"/>
  <c r="U35" i="12"/>
  <c r="V34" i="12"/>
  <c r="Y34" i="12" s="1"/>
  <c r="R20" i="12"/>
  <c r="R21" i="12" s="1"/>
  <c r="U25" i="12"/>
  <c r="V25" i="12" s="1"/>
  <c r="Y25" i="12" s="1"/>
  <c r="Z25" i="12" s="1"/>
  <c r="V24" i="12"/>
  <c r="Y24" i="12" s="1"/>
  <c r="Z24" i="12" s="1"/>
  <c r="U23" i="12"/>
  <c r="V22" i="12"/>
  <c r="Y22" i="12" s="1"/>
  <c r="U21" i="12"/>
  <c r="V21" i="12" s="1"/>
  <c r="Y21" i="12" s="1"/>
  <c r="V20" i="12"/>
  <c r="Y20" i="12" s="1"/>
  <c r="E21" i="12" l="1" a="1"/>
  <c r="E21" i="12" s="1"/>
  <c r="AA160" i="10"/>
  <c r="AA161" i="10" s="1"/>
  <c r="AA173" i="10"/>
  <c r="AA148" i="10"/>
  <c r="AA135" i="10"/>
  <c r="AK6" i="10"/>
  <c r="AK7" i="10" s="1"/>
  <c r="AK8" i="10" s="1"/>
  <c r="AK9" i="10" s="1"/>
  <c r="AL5" i="10"/>
  <c r="Y6" i="10"/>
  <c r="Y11" i="10" s="1"/>
  <c r="V205" i="12"/>
  <c r="Y205" i="12" s="1"/>
  <c r="Z205" i="12" s="1"/>
  <c r="Z289" i="12"/>
  <c r="Z445" i="12"/>
  <c r="V163" i="12"/>
  <c r="Y163" i="12" s="1"/>
  <c r="Z163" i="12" s="1"/>
  <c r="V193" i="12"/>
  <c r="Y193" i="12" s="1"/>
  <c r="Z193" i="12" s="1"/>
  <c r="Z543" i="12"/>
  <c r="Z121" i="12"/>
  <c r="Z207" i="12"/>
  <c r="V331" i="12"/>
  <c r="Y331" i="12" s="1"/>
  <c r="Z331" i="12" s="1"/>
  <c r="V571" i="12"/>
  <c r="Y571" i="12" s="1"/>
  <c r="Z571" i="12" s="1"/>
  <c r="Z597" i="12"/>
  <c r="Z487" i="12"/>
  <c r="Z557" i="12"/>
  <c r="Z609" i="12"/>
  <c r="Z151" i="12"/>
  <c r="Z403" i="12"/>
  <c r="Z233" i="12"/>
  <c r="Z595" i="12"/>
  <c r="V669" i="12"/>
  <c r="Y669" i="12" s="1"/>
  <c r="Z669" i="12" s="1"/>
  <c r="Z776" i="12"/>
  <c r="V777" i="12"/>
  <c r="Y777" i="12" s="1"/>
  <c r="Z777" i="12" s="1"/>
  <c r="Z781" i="12"/>
  <c r="V737" i="12"/>
  <c r="Y737" i="12" s="1"/>
  <c r="Z737" i="12" s="1"/>
  <c r="Z739" i="12"/>
  <c r="V749" i="12"/>
  <c r="Y749" i="12" s="1"/>
  <c r="Z749" i="12" s="1"/>
  <c r="V765" i="12"/>
  <c r="Y765" i="12" s="1"/>
  <c r="Z765" i="12" s="1"/>
  <c r="V751" i="12"/>
  <c r="Y751" i="12" s="1"/>
  <c r="Z751" i="12" s="1"/>
  <c r="V767" i="12"/>
  <c r="Y767" i="12" s="1"/>
  <c r="Z767" i="12" s="1"/>
  <c r="Z693" i="12"/>
  <c r="Z692" i="12"/>
  <c r="V695" i="12"/>
  <c r="Y695" i="12" s="1"/>
  <c r="Z695" i="12" s="1"/>
  <c r="V697" i="12"/>
  <c r="Y697" i="12" s="1"/>
  <c r="Z697" i="12" s="1"/>
  <c r="Z711" i="12"/>
  <c r="Z653" i="12"/>
  <c r="V655" i="12"/>
  <c r="Y655" i="12" s="1"/>
  <c r="Z655" i="12" s="1"/>
  <c r="V667" i="12"/>
  <c r="Y667" i="12" s="1"/>
  <c r="Z667" i="12" s="1"/>
  <c r="V683" i="12"/>
  <c r="Y683" i="12" s="1"/>
  <c r="Z683" i="12" s="1"/>
  <c r="Z608" i="12"/>
  <c r="Z627" i="12"/>
  <c r="V611" i="12"/>
  <c r="Y611" i="12" s="1"/>
  <c r="Z611" i="12" s="1"/>
  <c r="V613" i="12"/>
  <c r="Y613" i="12" s="1"/>
  <c r="Z613" i="12" s="1"/>
  <c r="V637" i="12"/>
  <c r="Y637" i="12" s="1"/>
  <c r="Z637" i="12" s="1"/>
  <c r="V639" i="12"/>
  <c r="Y639" i="12" s="1"/>
  <c r="Z639" i="12" s="1"/>
  <c r="V641" i="12"/>
  <c r="Y641" i="12" s="1"/>
  <c r="Z641" i="12" s="1"/>
  <c r="Z568" i="12"/>
  <c r="V567" i="12"/>
  <c r="Y567" i="12" s="1"/>
  <c r="Z567" i="12" s="1"/>
  <c r="Z585" i="12"/>
  <c r="Z566" i="12"/>
  <c r="Z570" i="12"/>
  <c r="V599" i="12"/>
  <c r="Y599" i="12" s="1"/>
  <c r="Z599" i="12" s="1"/>
  <c r="Z524" i="12"/>
  <c r="V555" i="12"/>
  <c r="Y555" i="12" s="1"/>
  <c r="Z555" i="12" s="1"/>
  <c r="Z482" i="12"/>
  <c r="Z486" i="12"/>
  <c r="Z501" i="12"/>
  <c r="Z511" i="12"/>
  <c r="Z441" i="12"/>
  <c r="Z440" i="12"/>
  <c r="V441" i="12"/>
  <c r="Y441" i="12" s="1"/>
  <c r="Z455" i="12"/>
  <c r="Z457" i="12"/>
  <c r="V459" i="12"/>
  <c r="Y459" i="12" s="1"/>
  <c r="Z459" i="12" s="1"/>
  <c r="Z398" i="12"/>
  <c r="V417" i="12"/>
  <c r="Y417" i="12" s="1"/>
  <c r="Z417" i="12" s="1"/>
  <c r="Z356" i="12"/>
  <c r="V357" i="12"/>
  <c r="Y357" i="12" s="1"/>
  <c r="Z357" i="12" s="1"/>
  <c r="Z375" i="12"/>
  <c r="Z359" i="12"/>
  <c r="V387" i="12"/>
  <c r="Y387" i="12" s="1"/>
  <c r="Z387" i="12" s="1"/>
  <c r="V389" i="12"/>
  <c r="Y389" i="12" s="1"/>
  <c r="Z389" i="12" s="1"/>
  <c r="Z333" i="12"/>
  <c r="V319" i="12"/>
  <c r="Y319" i="12" s="1"/>
  <c r="Z319" i="12" s="1"/>
  <c r="V345" i="12"/>
  <c r="Y345" i="12" s="1"/>
  <c r="Z345" i="12" s="1"/>
  <c r="V347" i="12"/>
  <c r="Y347" i="12" s="1"/>
  <c r="Z347" i="12" s="1"/>
  <c r="Z272" i="12"/>
  <c r="V277" i="12"/>
  <c r="Y277" i="12" s="1"/>
  <c r="Z277" i="12" s="1"/>
  <c r="V301" i="12"/>
  <c r="Y301" i="12" s="1"/>
  <c r="Z301" i="12" s="1"/>
  <c r="Z287" i="12"/>
  <c r="V303" i="12"/>
  <c r="Y303" i="12" s="1"/>
  <c r="Z303" i="12" s="1"/>
  <c r="V305" i="12"/>
  <c r="Y305" i="12" s="1"/>
  <c r="Z305" i="12" s="1"/>
  <c r="Z231" i="12"/>
  <c r="Z230" i="12"/>
  <c r="Z249" i="12"/>
  <c r="V235" i="12"/>
  <c r="Y235" i="12" s="1"/>
  <c r="Z235" i="12" s="1"/>
  <c r="V263" i="12"/>
  <c r="Y263" i="12" s="1"/>
  <c r="Z263" i="12" s="1"/>
  <c r="Z189" i="12"/>
  <c r="Z188" i="12"/>
  <c r="Z191" i="12"/>
  <c r="Z221" i="12"/>
  <c r="V219" i="12"/>
  <c r="Y219" i="12" s="1"/>
  <c r="Z219" i="12" s="1"/>
  <c r="V221" i="12"/>
  <c r="Y221" i="12" s="1"/>
  <c r="Z175" i="12"/>
  <c r="V147" i="12"/>
  <c r="Y147" i="12" s="1"/>
  <c r="V165" i="12"/>
  <c r="Y165" i="12" s="1"/>
  <c r="Z165" i="12" s="1"/>
  <c r="V177" i="12"/>
  <c r="Y177" i="12" s="1"/>
  <c r="Z177" i="12" s="1"/>
  <c r="Z104" i="12"/>
  <c r="Z109" i="12"/>
  <c r="V105" i="12"/>
  <c r="Y105" i="12" s="1"/>
  <c r="Z105" i="12" s="1"/>
  <c r="Z119" i="12"/>
  <c r="V123" i="12"/>
  <c r="Y123" i="12" s="1"/>
  <c r="Z123" i="12" s="1"/>
  <c r="V135" i="12"/>
  <c r="Y135" i="12" s="1"/>
  <c r="Z135" i="12" s="1"/>
  <c r="V137" i="12"/>
  <c r="Y137" i="12" s="1"/>
  <c r="Z137" i="12" s="1"/>
  <c r="Z62" i="12"/>
  <c r="Z81" i="12"/>
  <c r="V63" i="12"/>
  <c r="Y63" i="12" s="1"/>
  <c r="Z63" i="12" s="1"/>
  <c r="V93" i="12"/>
  <c r="Y93" i="12" s="1"/>
  <c r="Z93" i="12" s="1"/>
  <c r="R34" i="12"/>
  <c r="R36" i="12" s="1"/>
  <c r="Z34" i="12"/>
  <c r="R48" i="12"/>
  <c r="R62" i="12" s="1"/>
  <c r="Z37" i="12"/>
  <c r="Z49" i="12"/>
  <c r="Z48" i="12"/>
  <c r="V51" i="12"/>
  <c r="Y51" i="12" s="1"/>
  <c r="Z51" i="12" s="1"/>
  <c r="V53" i="12"/>
  <c r="Y53" i="12" s="1"/>
  <c r="Z53" i="12" s="1"/>
  <c r="R38" i="12"/>
  <c r="V35" i="12"/>
  <c r="Y35" i="12" s="1"/>
  <c r="Z35" i="12" s="1"/>
  <c r="V39" i="12"/>
  <c r="Y39" i="12" s="1"/>
  <c r="Z39" i="12" s="1"/>
  <c r="R22" i="12"/>
  <c r="Z21" i="12"/>
  <c r="I21" i="12" s="1" a="1"/>
  <c r="I21" i="12" s="1"/>
  <c r="Z22" i="12"/>
  <c r="Z20" i="12"/>
  <c r="R23" i="12"/>
  <c r="V23" i="12"/>
  <c r="Y23" i="12" s="1"/>
  <c r="Z23" i="12" s="1"/>
  <c r="U11" i="12"/>
  <c r="V11" i="12" s="1"/>
  <c r="U9" i="12"/>
  <c r="V9" i="12" s="1"/>
  <c r="Y9" i="12" s="1"/>
  <c r="V8" i="12"/>
  <c r="Y8" i="12" s="1"/>
  <c r="Z8" i="12" s="1"/>
  <c r="V10" i="12"/>
  <c r="Y10" i="12" s="1"/>
  <c r="Z10" i="12" s="1"/>
  <c r="U7" i="12"/>
  <c r="V7" i="12" s="1"/>
  <c r="V6" i="12"/>
  <c r="Y6" i="12" s="1"/>
  <c r="B6" i="12" a="1"/>
  <c r="B6" i="12" s="1"/>
  <c r="R8" i="12"/>
  <c r="R10" i="12" s="1"/>
  <c r="R7" i="12"/>
  <c r="R9" i="12" s="1"/>
  <c r="R11" i="12" s="1"/>
  <c r="I32" i="12" l="1"/>
  <c r="I27" i="12"/>
  <c r="E27" i="12"/>
  <c r="E32" i="12"/>
  <c r="M21" i="12" a="1"/>
  <c r="M21" i="12" s="1"/>
  <c r="F21" i="12" a="1"/>
  <c r="F21" i="12" s="1"/>
  <c r="N21" i="12" a="1"/>
  <c r="N21" i="12" s="1"/>
  <c r="K21" i="12" a="1"/>
  <c r="K21" i="12" s="1"/>
  <c r="G21" i="12" a="1"/>
  <c r="G21" i="12" s="1"/>
  <c r="R35" i="12"/>
  <c r="J21" i="12" a="1"/>
  <c r="J21" i="12" s="1"/>
  <c r="O21" i="12" a="1"/>
  <c r="O21" i="12" s="1"/>
  <c r="O44" i="13" s="1" a="1"/>
  <c r="O44" i="13" s="1"/>
  <c r="O71" i="13" s="1"/>
  <c r="M23" i="12" a="1"/>
  <c r="M23" i="12" s="1"/>
  <c r="E23" i="12" a="1"/>
  <c r="E23" i="12" s="1"/>
  <c r="L23" i="12" a="1"/>
  <c r="L23" i="12" s="1"/>
  <c r="D23" i="12" a="1"/>
  <c r="D23" i="12" s="1"/>
  <c r="K23" i="12" a="1"/>
  <c r="K23" i="12" s="1"/>
  <c r="J23" i="12" a="1"/>
  <c r="J23" i="12" s="1"/>
  <c r="I23" i="12" a="1"/>
  <c r="I23" i="12" s="1"/>
  <c r="H23" i="12" a="1"/>
  <c r="H23" i="12" s="1"/>
  <c r="N23" i="12" a="1"/>
  <c r="N23" i="12" s="1"/>
  <c r="F23" i="12" a="1"/>
  <c r="F23" i="12" s="1"/>
  <c r="O23" i="12" a="1"/>
  <c r="O23" i="12" s="1"/>
  <c r="G23" i="12" a="1"/>
  <c r="G23" i="12" s="1"/>
  <c r="I38" i="12" a="1"/>
  <c r="I38" i="12" s="1"/>
  <c r="H38" i="12" a="1"/>
  <c r="H38" i="12" s="1"/>
  <c r="O38" i="12" a="1"/>
  <c r="O38" i="12" s="1"/>
  <c r="G38" i="12" a="1"/>
  <c r="G38" i="12" s="1"/>
  <c r="N38" i="12" a="1"/>
  <c r="N38" i="12" s="1"/>
  <c r="F38" i="12" a="1"/>
  <c r="F38" i="12" s="1"/>
  <c r="M38" i="12" a="1"/>
  <c r="M38" i="12" s="1"/>
  <c r="E38" i="12" a="1"/>
  <c r="E38" i="12" s="1"/>
  <c r="L38" i="12" a="1"/>
  <c r="L38" i="12" s="1"/>
  <c r="D38" i="12" a="1"/>
  <c r="D38" i="12" s="1"/>
  <c r="J38" i="12" a="1"/>
  <c r="J38" i="12" s="1"/>
  <c r="K38" i="12" a="1"/>
  <c r="K38" i="12" s="1"/>
  <c r="D21" i="12" a="1"/>
  <c r="D21" i="12" s="1"/>
  <c r="H21" i="12" a="1"/>
  <c r="H21" i="12" s="1"/>
  <c r="L21" i="12" a="1"/>
  <c r="L21" i="12" s="1"/>
  <c r="AA174" i="10"/>
  <c r="AA175" i="10" s="1"/>
  <c r="AA187" i="10"/>
  <c r="AA162" i="10"/>
  <c r="AA149" i="10"/>
  <c r="AL6" i="10"/>
  <c r="AL7" i="10" s="1"/>
  <c r="AL8" i="10" s="1"/>
  <c r="AL9" i="10" s="1"/>
  <c r="R63" i="12"/>
  <c r="R65" i="12" s="1"/>
  <c r="R76" i="12"/>
  <c r="R64" i="12"/>
  <c r="Z147" i="12"/>
  <c r="G10" i="12" a="1"/>
  <c r="G10" i="12" s="1"/>
  <c r="R24" i="12"/>
  <c r="R50" i="12"/>
  <c r="R49" i="12"/>
  <c r="R37" i="12"/>
  <c r="R25" i="12"/>
  <c r="Z9" i="12"/>
  <c r="Y7" i="12"/>
  <c r="Z7" i="12" s="1"/>
  <c r="D7" i="12" s="1" a="1"/>
  <c r="D7" i="12" s="1"/>
  <c r="D13" i="12" s="1"/>
  <c r="Z6" i="12"/>
  <c r="E6" i="12" s="1" a="1"/>
  <c r="E6" i="12" s="1"/>
  <c r="E12" i="12" s="1"/>
  <c r="Y11" i="12"/>
  <c r="Z11" i="12" s="1"/>
  <c r="O10" i="12" a="1"/>
  <c r="O10" i="12" s="1"/>
  <c r="J10" i="12" a="1"/>
  <c r="J10" i="12" s="1"/>
  <c r="N10" i="12" a="1"/>
  <c r="N10" i="12" s="1"/>
  <c r="H10" i="12" a="1"/>
  <c r="H10" i="12" s="1"/>
  <c r="D10" i="12" a="1"/>
  <c r="D10" i="12" s="1"/>
  <c r="K10" i="12" a="1"/>
  <c r="K10" i="12" s="1"/>
  <c r="I10" i="12" a="1"/>
  <c r="I10" i="12" s="1"/>
  <c r="E10" i="12" a="1"/>
  <c r="E10" i="12" s="1"/>
  <c r="L10" i="12" a="1"/>
  <c r="L10" i="12" s="1"/>
  <c r="F10" i="12" a="1"/>
  <c r="F10" i="12" s="1"/>
  <c r="M10" i="12" a="1"/>
  <c r="M10" i="12" s="1"/>
  <c r="M37" i="12" l="1" a="1"/>
  <c r="M37" i="12" s="1"/>
  <c r="E37" i="12" a="1"/>
  <c r="E37" i="12" s="1"/>
  <c r="L37" i="12" a="1"/>
  <c r="L37" i="12" s="1"/>
  <c r="D37" i="12" a="1"/>
  <c r="D37" i="12" s="1"/>
  <c r="K37" i="12" a="1"/>
  <c r="K37" i="12" s="1"/>
  <c r="J37" i="12" a="1"/>
  <c r="J37" i="12" s="1"/>
  <c r="I37" i="12" a="1"/>
  <c r="I37" i="12" s="1"/>
  <c r="H37" i="12" a="1"/>
  <c r="H37" i="12" s="1"/>
  <c r="N37" i="12" a="1"/>
  <c r="N37" i="12" s="1"/>
  <c r="F37" i="12" a="1"/>
  <c r="F37" i="12" s="1"/>
  <c r="O37" i="12" a="1"/>
  <c r="O37" i="12" s="1"/>
  <c r="G37" i="12" a="1"/>
  <c r="G37" i="12" s="1"/>
  <c r="L27" i="12"/>
  <c r="L32" i="12"/>
  <c r="N32" i="12"/>
  <c r="N27" i="12"/>
  <c r="I49" i="12" a="1"/>
  <c r="I49" i="12" s="1"/>
  <c r="H49" i="12" a="1"/>
  <c r="H49" i="12" s="1"/>
  <c r="O49" i="12" a="1"/>
  <c r="O49" i="12" s="1"/>
  <c r="G49" i="12" a="1"/>
  <c r="G49" i="12" s="1"/>
  <c r="N49" i="12" a="1"/>
  <c r="N49" i="12" s="1"/>
  <c r="F49" i="12" a="1"/>
  <c r="F49" i="12" s="1"/>
  <c r="M49" i="12" a="1"/>
  <c r="M49" i="12" s="1"/>
  <c r="E49" i="12" a="1"/>
  <c r="E49" i="12" s="1"/>
  <c r="L49" i="12" a="1"/>
  <c r="L49" i="12" s="1"/>
  <c r="D49" i="12" a="1"/>
  <c r="D49" i="12" s="1"/>
  <c r="J49" i="12" a="1"/>
  <c r="J49" i="12" s="1"/>
  <c r="K49" i="12" a="1"/>
  <c r="K49" i="12" s="1"/>
  <c r="I63" i="12" a="1"/>
  <c r="I63" i="12" s="1"/>
  <c r="H63" i="12" a="1"/>
  <c r="H63" i="12" s="1"/>
  <c r="O63" i="12" a="1"/>
  <c r="O63" i="12" s="1"/>
  <c r="G63" i="12" a="1"/>
  <c r="G63" i="12" s="1"/>
  <c r="N63" i="12" a="1"/>
  <c r="N63" i="12" s="1"/>
  <c r="F63" i="12" a="1"/>
  <c r="F63" i="12" s="1"/>
  <c r="M63" i="12" a="1"/>
  <c r="M63" i="12" s="1"/>
  <c r="E63" i="12" a="1"/>
  <c r="E63" i="12" s="1"/>
  <c r="L63" i="12" a="1"/>
  <c r="L63" i="12" s="1"/>
  <c r="D63" i="12" a="1"/>
  <c r="D63" i="12" s="1"/>
  <c r="J63" i="12" a="1"/>
  <c r="J63" i="12" s="1"/>
  <c r="K63" i="12" a="1"/>
  <c r="K63" i="12" s="1"/>
  <c r="H32" i="12"/>
  <c r="H27" i="12"/>
  <c r="F27" i="12"/>
  <c r="F32" i="12"/>
  <c r="M25" i="12" a="1"/>
  <c r="M25" i="12" s="1"/>
  <c r="E25" i="12" a="1"/>
  <c r="E25" i="12" s="1"/>
  <c r="L25" i="12" a="1"/>
  <c r="L25" i="12" s="1"/>
  <c r="D25" i="12" a="1"/>
  <c r="D25" i="12" s="1"/>
  <c r="K25" i="12" a="1"/>
  <c r="K25" i="12" s="1"/>
  <c r="J25" i="12" a="1"/>
  <c r="J25" i="12" s="1"/>
  <c r="I25" i="12" a="1"/>
  <c r="I25" i="12" s="1"/>
  <c r="H25" i="12" a="1"/>
  <c r="H25" i="12" s="1"/>
  <c r="N25" i="12" a="1"/>
  <c r="N25" i="12" s="1"/>
  <c r="F25" i="12" a="1"/>
  <c r="F25" i="12" s="1"/>
  <c r="O25" i="12" a="1"/>
  <c r="O25" i="12" s="1"/>
  <c r="G25" i="12" a="1"/>
  <c r="G25" i="12" s="1"/>
  <c r="K32" i="12"/>
  <c r="K27" i="12"/>
  <c r="D27" i="12"/>
  <c r="D32" i="12"/>
  <c r="M27" i="12"/>
  <c r="M32" i="12"/>
  <c r="I24" i="12" a="1"/>
  <c r="I24" i="12" s="1"/>
  <c r="H24" i="12" a="1"/>
  <c r="H24" i="12" s="1"/>
  <c r="O24" i="12" a="1"/>
  <c r="O24" i="12" s="1"/>
  <c r="G24" i="12" a="1"/>
  <c r="G24" i="12" s="1"/>
  <c r="N24" i="12" a="1"/>
  <c r="N24" i="12" s="1"/>
  <c r="F24" i="12" a="1"/>
  <c r="F24" i="12" s="1"/>
  <c r="M24" i="12" a="1"/>
  <c r="M24" i="12" s="1"/>
  <c r="E24" i="12" a="1"/>
  <c r="E24" i="12" s="1"/>
  <c r="L24" i="12" a="1"/>
  <c r="L24" i="12" s="1"/>
  <c r="D24" i="12" a="1"/>
  <c r="D24" i="12" s="1"/>
  <c r="J24" i="12" a="1"/>
  <c r="J24" i="12" s="1"/>
  <c r="K24" i="12" a="1"/>
  <c r="K24" i="12" s="1"/>
  <c r="O27" i="12"/>
  <c r="O49" i="13" s="1" a="1"/>
  <c r="O49" i="13" s="1"/>
  <c r="O32" i="12"/>
  <c r="J27" i="12"/>
  <c r="J32" i="12"/>
  <c r="M65" i="12" a="1"/>
  <c r="M65" i="12" s="1"/>
  <c r="M147" i="13" s="1" a="1"/>
  <c r="M147" i="13" s="1"/>
  <c r="E65" i="12" a="1"/>
  <c r="E65" i="12" s="1"/>
  <c r="E147" i="13" s="1" a="1"/>
  <c r="E147" i="13" s="1"/>
  <c r="L65" i="12" a="1"/>
  <c r="L65" i="12" s="1"/>
  <c r="L147" i="13" s="1" a="1"/>
  <c r="L147" i="13" s="1"/>
  <c r="D65" i="12" a="1"/>
  <c r="D65" i="12" s="1"/>
  <c r="D147" i="13" s="1" a="1"/>
  <c r="D147" i="13" s="1"/>
  <c r="K65" i="12" a="1"/>
  <c r="K65" i="12" s="1"/>
  <c r="K147" i="13" s="1" a="1"/>
  <c r="K147" i="13" s="1"/>
  <c r="J65" i="12" a="1"/>
  <c r="J65" i="12" s="1"/>
  <c r="J147" i="13" s="1" a="1"/>
  <c r="J147" i="13" s="1"/>
  <c r="I65" i="12" a="1"/>
  <c r="I65" i="12" s="1"/>
  <c r="I147" i="13" s="1" a="1"/>
  <c r="I147" i="13" s="1"/>
  <c r="H65" i="12" a="1"/>
  <c r="H65" i="12" s="1"/>
  <c r="H147" i="13" s="1" a="1"/>
  <c r="H147" i="13" s="1"/>
  <c r="N65" i="12" a="1"/>
  <c r="N65" i="12" s="1"/>
  <c r="N147" i="13" s="1" a="1"/>
  <c r="N147" i="13" s="1"/>
  <c r="F65" i="12" a="1"/>
  <c r="F65" i="12" s="1"/>
  <c r="F147" i="13" s="1" a="1"/>
  <c r="F147" i="13" s="1"/>
  <c r="O65" i="12" a="1"/>
  <c r="O65" i="12" s="1"/>
  <c r="O147" i="13" s="1" a="1"/>
  <c r="O147" i="13" s="1"/>
  <c r="G65" i="12" a="1"/>
  <c r="G65" i="12" s="1"/>
  <c r="G147" i="13" s="1" a="1"/>
  <c r="G147" i="13" s="1"/>
  <c r="I35" i="12" a="1"/>
  <c r="I35" i="12" s="1"/>
  <c r="H35" i="12" a="1"/>
  <c r="H35" i="12" s="1"/>
  <c r="H78" i="13" s="1" a="1"/>
  <c r="H78" i="13" s="1"/>
  <c r="H105" i="13" s="1"/>
  <c r="O35" i="12" a="1"/>
  <c r="O35" i="12" s="1"/>
  <c r="G35" i="12" a="1"/>
  <c r="G35" i="12" s="1"/>
  <c r="G78" i="13" s="1" a="1"/>
  <c r="G78" i="13" s="1"/>
  <c r="G105" i="13" s="1"/>
  <c r="N35" i="12" a="1"/>
  <c r="N35" i="12" s="1"/>
  <c r="N78" i="13" s="1" a="1"/>
  <c r="N78" i="13" s="1"/>
  <c r="N105" i="13" s="1"/>
  <c r="F35" i="12" a="1"/>
  <c r="F35" i="12" s="1"/>
  <c r="F78" i="13" s="1" a="1"/>
  <c r="F78" i="13" s="1"/>
  <c r="F105" i="13" s="1"/>
  <c r="M35" i="12" a="1"/>
  <c r="M35" i="12" s="1"/>
  <c r="M78" i="13" s="1" a="1"/>
  <c r="M78" i="13" s="1"/>
  <c r="M105" i="13" s="1"/>
  <c r="E35" i="12" a="1"/>
  <c r="E35" i="12" s="1"/>
  <c r="E78" i="13" s="1" a="1"/>
  <c r="E78" i="13" s="1"/>
  <c r="E105" i="13" s="1"/>
  <c r="L35" i="12" a="1"/>
  <c r="L35" i="12" s="1"/>
  <c r="L78" i="13" s="1" a="1"/>
  <c r="L78" i="13" s="1"/>
  <c r="L105" i="13" s="1"/>
  <c r="D35" i="12" a="1"/>
  <c r="D35" i="12" s="1"/>
  <c r="D78" i="13" s="1" a="1"/>
  <c r="D78" i="13" s="1"/>
  <c r="D105" i="13" s="1"/>
  <c r="J35" i="12" a="1"/>
  <c r="J35" i="12" s="1"/>
  <c r="J78" i="13" s="1" a="1"/>
  <c r="J78" i="13" s="1"/>
  <c r="J105" i="13" s="1"/>
  <c r="K35" i="12" a="1"/>
  <c r="K35" i="12" s="1"/>
  <c r="K78" i="13" s="1" a="1"/>
  <c r="K78" i="13" s="1"/>
  <c r="K105" i="13" s="1"/>
  <c r="G27" i="12"/>
  <c r="G32" i="12"/>
  <c r="K44" i="13" a="1"/>
  <c r="K44" i="13" s="1"/>
  <c r="K71" i="13" s="1"/>
  <c r="E8" i="13" a="1"/>
  <c r="E8" i="13" s="1"/>
  <c r="E35" i="13" s="1"/>
  <c r="D10" i="13" a="1"/>
  <c r="D10" i="13" s="1"/>
  <c r="D37" i="13" s="1"/>
  <c r="E44" i="13" a="1"/>
  <c r="E44" i="13" s="1"/>
  <c r="E71" i="13" s="1"/>
  <c r="M44" i="13" a="1"/>
  <c r="M44" i="13" s="1"/>
  <c r="M71" i="13" s="1"/>
  <c r="H44" i="13" a="1"/>
  <c r="H44" i="13" s="1"/>
  <c r="H71" i="13" s="1"/>
  <c r="N44" i="13" a="1"/>
  <c r="N44" i="13" s="1"/>
  <c r="N71" i="13" s="1"/>
  <c r="J44" i="13" a="1"/>
  <c r="J44" i="13" s="1"/>
  <c r="J71" i="13" s="1"/>
  <c r="L44" i="13" a="1"/>
  <c r="L44" i="13" s="1"/>
  <c r="L71" i="13" s="1"/>
  <c r="F44" i="13" a="1"/>
  <c r="F44" i="13" s="1"/>
  <c r="F71" i="13" s="1"/>
  <c r="D44" i="13" a="1"/>
  <c r="D44" i="13" s="1"/>
  <c r="D71" i="13" s="1"/>
  <c r="I44" i="13" a="1"/>
  <c r="I44" i="13" s="1"/>
  <c r="I71" i="13" s="1"/>
  <c r="G44" i="13" a="1"/>
  <c r="G44" i="13" s="1"/>
  <c r="G71" i="13" s="1"/>
  <c r="AA163" i="10"/>
  <c r="AA201" i="10"/>
  <c r="AA188" i="10"/>
  <c r="AA189" i="10" s="1"/>
  <c r="AA176" i="10"/>
  <c r="R66" i="12"/>
  <c r="R78" i="12"/>
  <c r="R77" i="12"/>
  <c r="R90" i="12"/>
  <c r="R67" i="12"/>
  <c r="K7" i="12" a="1"/>
  <c r="K7" i="12" s="1"/>
  <c r="K13" i="12" s="1"/>
  <c r="L7" i="12" a="1"/>
  <c r="L7" i="12" s="1"/>
  <c r="L13" i="12" s="1"/>
  <c r="O7" i="12" a="1"/>
  <c r="O7" i="12" s="1"/>
  <c r="O13" i="12" s="1"/>
  <c r="H7" i="12" a="1"/>
  <c r="H7" i="12" s="1"/>
  <c r="H13" i="12" s="1"/>
  <c r="R51" i="12"/>
  <c r="R52" i="12"/>
  <c r="R39" i="12"/>
  <c r="E17" i="12"/>
  <c r="D18" i="12"/>
  <c r="J7" i="12" a="1"/>
  <c r="J7" i="12" s="1"/>
  <c r="J13" i="12" s="1"/>
  <c r="G7" i="12" a="1"/>
  <c r="G7" i="12" s="1"/>
  <c r="G13" i="12" s="1"/>
  <c r="I7" i="12" a="1"/>
  <c r="I7" i="12" s="1"/>
  <c r="I13" i="12" s="1"/>
  <c r="M7" i="12" a="1"/>
  <c r="M7" i="12" s="1"/>
  <c r="M13" i="12" s="1"/>
  <c r="E7" i="12" a="1"/>
  <c r="E7" i="12" s="1"/>
  <c r="E13" i="12" s="1"/>
  <c r="N7" i="12" a="1"/>
  <c r="N7" i="12" s="1"/>
  <c r="N13" i="12" s="1"/>
  <c r="F7" i="12" a="1"/>
  <c r="F7" i="12" s="1"/>
  <c r="F13" i="12" s="1"/>
  <c r="K6" i="12" a="1"/>
  <c r="K6" i="12" s="1"/>
  <c r="K12" i="12" s="1"/>
  <c r="F6" i="12" a="1"/>
  <c r="F6" i="12" s="1"/>
  <c r="F12" i="12" s="1"/>
  <c r="M6" i="12" a="1"/>
  <c r="M6" i="12" s="1"/>
  <c r="M12" i="12" s="1"/>
  <c r="H6" i="12" a="1"/>
  <c r="H6" i="12" s="1"/>
  <c r="H12" i="12" s="1"/>
  <c r="O6" i="12" a="1"/>
  <c r="O6" i="12" s="1"/>
  <c r="O12" i="12" s="1"/>
  <c r="I6" i="12" a="1"/>
  <c r="I6" i="12" s="1"/>
  <c r="I12" i="12" s="1"/>
  <c r="N6" i="12" a="1"/>
  <c r="N6" i="12" s="1"/>
  <c r="N12" i="12" s="1"/>
  <c r="D6" i="12" a="1"/>
  <c r="D6" i="12" s="1"/>
  <c r="D12" i="12" s="1"/>
  <c r="J6" i="12" a="1"/>
  <c r="J6" i="12" s="1"/>
  <c r="J12" i="12" s="1"/>
  <c r="L6" i="12" a="1"/>
  <c r="L6" i="12" s="1"/>
  <c r="L12" i="12" s="1"/>
  <c r="G6" i="12" a="1"/>
  <c r="G6" i="12" s="1"/>
  <c r="G12" i="12" s="1"/>
  <c r="G11" i="12" a="1"/>
  <c r="G11" i="12" s="1"/>
  <c r="I11" i="12" a="1"/>
  <c r="I11" i="12" s="1"/>
  <c r="N11" i="12" a="1"/>
  <c r="N11" i="12" s="1"/>
  <c r="K11" i="12" a="1"/>
  <c r="K11" i="12" s="1"/>
  <c r="F11" i="12" a="1"/>
  <c r="F11" i="12" s="1"/>
  <c r="M11" i="12" a="1"/>
  <c r="M11" i="12" s="1"/>
  <c r="H11" i="12" a="1"/>
  <c r="H11" i="12" s="1"/>
  <c r="J11" i="12" a="1"/>
  <c r="J11" i="12" s="1"/>
  <c r="L11" i="12" a="1"/>
  <c r="L11" i="12" s="1"/>
  <c r="O11" i="12" a="1"/>
  <c r="O11" i="12" s="1"/>
  <c r="B5" i="10" a="1"/>
  <c r="B5" i="10" s="1"/>
  <c r="E1213" i="11"/>
  <c r="E1212" i="11"/>
  <c r="E1211" i="11"/>
  <c r="E1210" i="11"/>
  <c r="E1209" i="11"/>
  <c r="E1208" i="11"/>
  <c r="E1207" i="11"/>
  <c r="E1206" i="11"/>
  <c r="E1205" i="11"/>
  <c r="E1204" i="11"/>
  <c r="E1203" i="11"/>
  <c r="E1202" i="11"/>
  <c r="E1201" i="11"/>
  <c r="E1200" i="11"/>
  <c r="E1199" i="11"/>
  <c r="E1198" i="11"/>
  <c r="E1197" i="11"/>
  <c r="E1196" i="11"/>
  <c r="E1195" i="11"/>
  <c r="E1194" i="11"/>
  <c r="E1193" i="11"/>
  <c r="E1192" i="11"/>
  <c r="E1191" i="11"/>
  <c r="E1190" i="11"/>
  <c r="E1189" i="11"/>
  <c r="E1188" i="11"/>
  <c r="E1187" i="11"/>
  <c r="E1186" i="11"/>
  <c r="E1185" i="11"/>
  <c r="E1184" i="11"/>
  <c r="E1183" i="11"/>
  <c r="E1182" i="11"/>
  <c r="E1181" i="11"/>
  <c r="E1180" i="11"/>
  <c r="E1179" i="11"/>
  <c r="E1178" i="11"/>
  <c r="E1177" i="11"/>
  <c r="E1176" i="11"/>
  <c r="E1175" i="11"/>
  <c r="E1174" i="11"/>
  <c r="E1173" i="11"/>
  <c r="E1172" i="11"/>
  <c r="E1171" i="11"/>
  <c r="E1170" i="11"/>
  <c r="E1169" i="11"/>
  <c r="E1168" i="11"/>
  <c r="E1167" i="11"/>
  <c r="E1166" i="11"/>
  <c r="E1165" i="11"/>
  <c r="E1164" i="11"/>
  <c r="E1163" i="11"/>
  <c r="E1162" i="11"/>
  <c r="E1161" i="11"/>
  <c r="E1160" i="11"/>
  <c r="E1159" i="11"/>
  <c r="E1158" i="11"/>
  <c r="E1157" i="11"/>
  <c r="E1156" i="11"/>
  <c r="E1155" i="11"/>
  <c r="E1154" i="11"/>
  <c r="E1153" i="11"/>
  <c r="E1152" i="11"/>
  <c r="E1151" i="11"/>
  <c r="E1150" i="11"/>
  <c r="E1149" i="11"/>
  <c r="E1148" i="11"/>
  <c r="E1147" i="11"/>
  <c r="E1146" i="11"/>
  <c r="E1145" i="11"/>
  <c r="E1144" i="11"/>
  <c r="E1143" i="11"/>
  <c r="E1142" i="11"/>
  <c r="E1141" i="11"/>
  <c r="E1140" i="11"/>
  <c r="E1139" i="11"/>
  <c r="E1138" i="11"/>
  <c r="E1137" i="11"/>
  <c r="E1136" i="11"/>
  <c r="E1135" i="11"/>
  <c r="E1134" i="11"/>
  <c r="E1133" i="11"/>
  <c r="E1132" i="11"/>
  <c r="E1131" i="11"/>
  <c r="E1130" i="11"/>
  <c r="E1129" i="11"/>
  <c r="E1128" i="11"/>
  <c r="E1127" i="11"/>
  <c r="E1126" i="11"/>
  <c r="E1125" i="11"/>
  <c r="E1124" i="11"/>
  <c r="E1123" i="11"/>
  <c r="E1122" i="11"/>
  <c r="E1121" i="11"/>
  <c r="E1120" i="11"/>
  <c r="E1119" i="11"/>
  <c r="E1118" i="11"/>
  <c r="E1117" i="11"/>
  <c r="E1116" i="11"/>
  <c r="E1115" i="11"/>
  <c r="E1114" i="11"/>
  <c r="E1113" i="11"/>
  <c r="E1112" i="11"/>
  <c r="E1111" i="11"/>
  <c r="E1110" i="11"/>
  <c r="E1109" i="11"/>
  <c r="E1108" i="11"/>
  <c r="E1107" i="11"/>
  <c r="E1106" i="11"/>
  <c r="E1105" i="11"/>
  <c r="E1104" i="11"/>
  <c r="E1103" i="11"/>
  <c r="E1102" i="11"/>
  <c r="E1101" i="11"/>
  <c r="E1100" i="11"/>
  <c r="E1099" i="11"/>
  <c r="E1098" i="11"/>
  <c r="E1097" i="11"/>
  <c r="E1096" i="11"/>
  <c r="E1095" i="11"/>
  <c r="E1094" i="11"/>
  <c r="E1093" i="11"/>
  <c r="E1092" i="11"/>
  <c r="E1091" i="11"/>
  <c r="E1090" i="11"/>
  <c r="E1089" i="11"/>
  <c r="E1088" i="11"/>
  <c r="E1087" i="11"/>
  <c r="E1086" i="11"/>
  <c r="E1085" i="11"/>
  <c r="E1084" i="11"/>
  <c r="E1083" i="11"/>
  <c r="E1082" i="11"/>
  <c r="E1081" i="11"/>
  <c r="E1080" i="11"/>
  <c r="E1079" i="11"/>
  <c r="E1078" i="11"/>
  <c r="E1077" i="11"/>
  <c r="E1076" i="11"/>
  <c r="E1075" i="11"/>
  <c r="E1074" i="11"/>
  <c r="E1073" i="11"/>
  <c r="E1072" i="11"/>
  <c r="E1071" i="11"/>
  <c r="E1070" i="11"/>
  <c r="E1069" i="11"/>
  <c r="E1068" i="11"/>
  <c r="E1067" i="11"/>
  <c r="E1066" i="11"/>
  <c r="E1065" i="11"/>
  <c r="E1064" i="11"/>
  <c r="E1063" i="11"/>
  <c r="E1062" i="11"/>
  <c r="E1061" i="11"/>
  <c r="E1060" i="11"/>
  <c r="E1059" i="11"/>
  <c r="E1058" i="11"/>
  <c r="E1057" i="11"/>
  <c r="E1056" i="11"/>
  <c r="E1055" i="11"/>
  <c r="E1054" i="11"/>
  <c r="E1053" i="11"/>
  <c r="E1052" i="11"/>
  <c r="E1051" i="11"/>
  <c r="E1050" i="11"/>
  <c r="E1049" i="11"/>
  <c r="E1048" i="11"/>
  <c r="E1047" i="11"/>
  <c r="E1046" i="11"/>
  <c r="E1045" i="11"/>
  <c r="E1044" i="11"/>
  <c r="E1043" i="11"/>
  <c r="E1042" i="11"/>
  <c r="E1041" i="11"/>
  <c r="E1040" i="11"/>
  <c r="E1039" i="11"/>
  <c r="E1038" i="11"/>
  <c r="E1037" i="11"/>
  <c r="E1036" i="11"/>
  <c r="E1035" i="11"/>
  <c r="E1034" i="11"/>
  <c r="E1033" i="11"/>
  <c r="E1032" i="11"/>
  <c r="E1031" i="11"/>
  <c r="E1030" i="11"/>
  <c r="E1029" i="11"/>
  <c r="E1028" i="11"/>
  <c r="E1027" i="11"/>
  <c r="E1026" i="11"/>
  <c r="E1025" i="11"/>
  <c r="E1024" i="11"/>
  <c r="E1023" i="11"/>
  <c r="E1022" i="11"/>
  <c r="E1021" i="11"/>
  <c r="E1020" i="11"/>
  <c r="E1019" i="11"/>
  <c r="E1018" i="11"/>
  <c r="E1017" i="11"/>
  <c r="E1016" i="11"/>
  <c r="E1015" i="11"/>
  <c r="E1014" i="11"/>
  <c r="E1013" i="11"/>
  <c r="E1012" i="11"/>
  <c r="E1011" i="11"/>
  <c r="E1010" i="11"/>
  <c r="E1009" i="11"/>
  <c r="E1008" i="11"/>
  <c r="E1007" i="11"/>
  <c r="E1006" i="11"/>
  <c r="E1005" i="11"/>
  <c r="E1004" i="11"/>
  <c r="E1003" i="11"/>
  <c r="E1002" i="11"/>
  <c r="E1001" i="11"/>
  <c r="E1000" i="11"/>
  <c r="E999" i="11"/>
  <c r="E998" i="11"/>
  <c r="E997" i="11"/>
  <c r="E996" i="11"/>
  <c r="E995" i="11"/>
  <c r="E994" i="11"/>
  <c r="E993" i="11"/>
  <c r="E992" i="11"/>
  <c r="E991" i="11"/>
  <c r="E990" i="11"/>
  <c r="E989" i="11"/>
  <c r="E988" i="11"/>
  <c r="E987" i="11"/>
  <c r="E986" i="11"/>
  <c r="E985" i="11"/>
  <c r="E984" i="11"/>
  <c r="E983" i="11"/>
  <c r="E982" i="11"/>
  <c r="E981" i="11"/>
  <c r="E980" i="11"/>
  <c r="E979" i="11"/>
  <c r="E978" i="11"/>
  <c r="E977" i="11"/>
  <c r="E976" i="11"/>
  <c r="E975" i="11"/>
  <c r="E974" i="11"/>
  <c r="E973" i="11"/>
  <c r="E972" i="11"/>
  <c r="E971" i="11"/>
  <c r="E970" i="11"/>
  <c r="E969" i="11"/>
  <c r="E968" i="11"/>
  <c r="E967" i="11"/>
  <c r="E966" i="11"/>
  <c r="E965" i="11"/>
  <c r="E964" i="11"/>
  <c r="E963" i="11"/>
  <c r="E962" i="11"/>
  <c r="E961" i="11"/>
  <c r="E960" i="11"/>
  <c r="E959" i="11"/>
  <c r="E958" i="11"/>
  <c r="E957" i="11"/>
  <c r="E956" i="11"/>
  <c r="E955" i="11"/>
  <c r="E954" i="11"/>
  <c r="E953" i="11"/>
  <c r="E952" i="11"/>
  <c r="E951" i="11"/>
  <c r="E950" i="11"/>
  <c r="E949" i="11"/>
  <c r="E948" i="11"/>
  <c r="E947" i="11"/>
  <c r="E946" i="11"/>
  <c r="E945" i="11"/>
  <c r="E944" i="11"/>
  <c r="E943" i="11"/>
  <c r="E942" i="11"/>
  <c r="E941" i="11"/>
  <c r="E940" i="11"/>
  <c r="E939" i="11"/>
  <c r="E938" i="11"/>
  <c r="E937" i="11"/>
  <c r="E936" i="11"/>
  <c r="E935" i="11"/>
  <c r="E934" i="11"/>
  <c r="E933" i="11"/>
  <c r="E932" i="11"/>
  <c r="E931" i="11"/>
  <c r="E930" i="11"/>
  <c r="E929" i="11"/>
  <c r="E928" i="11"/>
  <c r="E927" i="11"/>
  <c r="E926" i="11"/>
  <c r="E925" i="11"/>
  <c r="E924" i="11"/>
  <c r="E923" i="11"/>
  <c r="E922" i="11"/>
  <c r="E921" i="11"/>
  <c r="E920" i="11"/>
  <c r="E919" i="11"/>
  <c r="E918" i="11"/>
  <c r="E917" i="11"/>
  <c r="E916" i="11"/>
  <c r="E915" i="11"/>
  <c r="E914" i="11"/>
  <c r="E913" i="11"/>
  <c r="E912" i="11"/>
  <c r="E911" i="11"/>
  <c r="E910" i="11"/>
  <c r="E909" i="11"/>
  <c r="E908" i="11"/>
  <c r="E907" i="11"/>
  <c r="E906" i="11"/>
  <c r="E905" i="11"/>
  <c r="E904" i="11"/>
  <c r="E903" i="11"/>
  <c r="E902" i="11"/>
  <c r="E901" i="11"/>
  <c r="E900" i="11"/>
  <c r="E899" i="11"/>
  <c r="E898" i="11"/>
  <c r="E897" i="11"/>
  <c r="E896" i="11"/>
  <c r="E895" i="11"/>
  <c r="E894" i="11"/>
  <c r="E893" i="11"/>
  <c r="E892" i="11"/>
  <c r="E891" i="11"/>
  <c r="E890" i="11"/>
  <c r="E889" i="11"/>
  <c r="E888" i="11"/>
  <c r="E887" i="11"/>
  <c r="E886" i="11"/>
  <c r="E885" i="11"/>
  <c r="E884" i="11"/>
  <c r="E883" i="11"/>
  <c r="E882" i="11"/>
  <c r="E881" i="11"/>
  <c r="E880" i="11"/>
  <c r="E879" i="11"/>
  <c r="E878" i="11"/>
  <c r="E877" i="11"/>
  <c r="E876" i="11"/>
  <c r="E875" i="11"/>
  <c r="E874" i="11"/>
  <c r="E873" i="11"/>
  <c r="E872" i="11"/>
  <c r="E871" i="11"/>
  <c r="E870" i="11"/>
  <c r="E869" i="11"/>
  <c r="E868" i="11"/>
  <c r="E867" i="11"/>
  <c r="E866" i="11"/>
  <c r="E865" i="11"/>
  <c r="E864" i="11"/>
  <c r="E863" i="11"/>
  <c r="E862" i="11"/>
  <c r="E861" i="11"/>
  <c r="E860" i="11"/>
  <c r="E859" i="11"/>
  <c r="E858" i="11"/>
  <c r="E857" i="11"/>
  <c r="E856" i="11"/>
  <c r="E855" i="11"/>
  <c r="E854" i="11"/>
  <c r="E853" i="11"/>
  <c r="E852" i="11"/>
  <c r="E851" i="11"/>
  <c r="E850" i="11"/>
  <c r="E849" i="11"/>
  <c r="E848" i="11"/>
  <c r="E847" i="11"/>
  <c r="E846" i="11"/>
  <c r="E845" i="11"/>
  <c r="E844" i="11"/>
  <c r="E843" i="11"/>
  <c r="E842" i="11"/>
  <c r="E841" i="11"/>
  <c r="E840" i="11"/>
  <c r="E839" i="11"/>
  <c r="E838" i="11"/>
  <c r="E837" i="11"/>
  <c r="E836" i="11"/>
  <c r="E835" i="11"/>
  <c r="E834" i="11"/>
  <c r="E833" i="11"/>
  <c r="E832" i="11"/>
  <c r="E831" i="11"/>
  <c r="E830" i="11"/>
  <c r="E829" i="11"/>
  <c r="E828" i="11"/>
  <c r="E827" i="11"/>
  <c r="E826" i="11"/>
  <c r="E825" i="11"/>
  <c r="E824" i="11"/>
  <c r="E823" i="11"/>
  <c r="E822" i="11"/>
  <c r="E821" i="11"/>
  <c r="E820" i="11"/>
  <c r="E819" i="11"/>
  <c r="E818" i="11"/>
  <c r="E817" i="11"/>
  <c r="E816" i="11"/>
  <c r="E815" i="11"/>
  <c r="E814" i="11"/>
  <c r="E813" i="11"/>
  <c r="E812" i="11"/>
  <c r="E811" i="11"/>
  <c r="E810" i="11"/>
  <c r="E809" i="11"/>
  <c r="E808" i="11"/>
  <c r="E807" i="11"/>
  <c r="E806" i="11"/>
  <c r="E805" i="11"/>
  <c r="E804" i="11"/>
  <c r="E803" i="11"/>
  <c r="E802" i="11"/>
  <c r="E801" i="11"/>
  <c r="E800" i="11"/>
  <c r="E799" i="11"/>
  <c r="E798" i="11"/>
  <c r="E797" i="11"/>
  <c r="E796" i="11"/>
  <c r="E795" i="11"/>
  <c r="E794" i="11"/>
  <c r="E793" i="11"/>
  <c r="E792" i="11"/>
  <c r="E791" i="11"/>
  <c r="E790" i="11"/>
  <c r="E789" i="11"/>
  <c r="E788" i="11"/>
  <c r="E787" i="11"/>
  <c r="E786" i="11"/>
  <c r="E785" i="11"/>
  <c r="E784" i="11"/>
  <c r="E783" i="11"/>
  <c r="E782" i="11"/>
  <c r="E781" i="11"/>
  <c r="E780" i="11"/>
  <c r="E779" i="11"/>
  <c r="E778" i="11"/>
  <c r="E777" i="11"/>
  <c r="E776" i="11"/>
  <c r="E775" i="11"/>
  <c r="E774" i="11"/>
  <c r="E773" i="11"/>
  <c r="E772" i="11"/>
  <c r="E771" i="11"/>
  <c r="E770" i="11"/>
  <c r="E769" i="11"/>
  <c r="E768" i="11"/>
  <c r="E767" i="11"/>
  <c r="E766" i="11"/>
  <c r="E765" i="11"/>
  <c r="E764" i="11"/>
  <c r="E763" i="11"/>
  <c r="E762" i="11"/>
  <c r="E761" i="11"/>
  <c r="E760" i="11"/>
  <c r="E759" i="11"/>
  <c r="E758" i="11"/>
  <c r="E757" i="11"/>
  <c r="E756" i="11"/>
  <c r="E755" i="11"/>
  <c r="E754" i="11"/>
  <c r="E753" i="11"/>
  <c r="E752" i="11"/>
  <c r="E751" i="11"/>
  <c r="E750" i="11"/>
  <c r="E749" i="11"/>
  <c r="E748" i="11"/>
  <c r="E747" i="11"/>
  <c r="E746" i="11"/>
  <c r="E745" i="11"/>
  <c r="E744" i="11"/>
  <c r="E743" i="11"/>
  <c r="E742" i="11"/>
  <c r="E741" i="11"/>
  <c r="E740" i="11"/>
  <c r="E739" i="11"/>
  <c r="E738" i="11"/>
  <c r="E737" i="11"/>
  <c r="E736" i="11"/>
  <c r="E735" i="11"/>
  <c r="E734" i="11"/>
  <c r="E733" i="11"/>
  <c r="E732" i="11"/>
  <c r="E731" i="11"/>
  <c r="E730" i="11"/>
  <c r="E729" i="11"/>
  <c r="E728" i="11"/>
  <c r="E727" i="11"/>
  <c r="E726" i="11"/>
  <c r="E725" i="11"/>
  <c r="E724" i="11"/>
  <c r="E723" i="11"/>
  <c r="E722" i="11"/>
  <c r="E721" i="11"/>
  <c r="E720" i="11"/>
  <c r="E719" i="11"/>
  <c r="E718" i="11"/>
  <c r="E717" i="11"/>
  <c r="E716" i="11"/>
  <c r="E715" i="11"/>
  <c r="E714" i="11"/>
  <c r="E713" i="11"/>
  <c r="E712" i="11"/>
  <c r="E711" i="11"/>
  <c r="E710" i="11"/>
  <c r="E709" i="11"/>
  <c r="E708" i="11"/>
  <c r="E707" i="11"/>
  <c r="E706" i="11"/>
  <c r="E705" i="11"/>
  <c r="E704" i="11"/>
  <c r="E703" i="11"/>
  <c r="E702" i="11"/>
  <c r="E701" i="11"/>
  <c r="E700" i="11"/>
  <c r="E699" i="11"/>
  <c r="E698" i="11"/>
  <c r="E697" i="11"/>
  <c r="E696" i="11"/>
  <c r="E695" i="11"/>
  <c r="E694" i="11"/>
  <c r="E693" i="11"/>
  <c r="E692" i="11"/>
  <c r="E691" i="11"/>
  <c r="E690" i="11"/>
  <c r="E689" i="11"/>
  <c r="E688" i="11"/>
  <c r="E687" i="11"/>
  <c r="E686" i="11"/>
  <c r="E685" i="11"/>
  <c r="E684" i="11"/>
  <c r="E683" i="11"/>
  <c r="E682" i="11"/>
  <c r="E681" i="11"/>
  <c r="E680" i="11"/>
  <c r="E679" i="11"/>
  <c r="E678" i="11"/>
  <c r="E677" i="11"/>
  <c r="E676" i="11"/>
  <c r="E675" i="11"/>
  <c r="E674" i="11"/>
  <c r="E673" i="11"/>
  <c r="E672" i="11"/>
  <c r="E671" i="11"/>
  <c r="E670" i="11"/>
  <c r="E669" i="11"/>
  <c r="E668" i="11"/>
  <c r="E667" i="11"/>
  <c r="E666" i="11"/>
  <c r="E665" i="11"/>
  <c r="E664" i="11"/>
  <c r="E663" i="11"/>
  <c r="E662" i="11"/>
  <c r="E661" i="11"/>
  <c r="E660" i="11"/>
  <c r="E659" i="11"/>
  <c r="E658" i="11"/>
  <c r="E657" i="11"/>
  <c r="E656" i="11"/>
  <c r="E655" i="11"/>
  <c r="E654" i="11"/>
  <c r="E653" i="11"/>
  <c r="E652" i="11"/>
  <c r="E651" i="11"/>
  <c r="E650" i="11"/>
  <c r="E649" i="11"/>
  <c r="E648" i="11"/>
  <c r="E647" i="11"/>
  <c r="E646" i="11"/>
  <c r="E645" i="11"/>
  <c r="E644" i="11"/>
  <c r="E643" i="11"/>
  <c r="E642" i="11"/>
  <c r="E641" i="11"/>
  <c r="E640" i="11"/>
  <c r="E639" i="11"/>
  <c r="E638" i="11"/>
  <c r="E637" i="11"/>
  <c r="E636" i="11"/>
  <c r="E635" i="11"/>
  <c r="E634" i="11"/>
  <c r="E633" i="11"/>
  <c r="E632" i="11"/>
  <c r="E631" i="11"/>
  <c r="E630" i="11"/>
  <c r="E629" i="11"/>
  <c r="E628" i="11"/>
  <c r="E627" i="11"/>
  <c r="E626" i="11"/>
  <c r="E625" i="11"/>
  <c r="E624" i="11"/>
  <c r="E623" i="11"/>
  <c r="E622" i="11"/>
  <c r="E621" i="11"/>
  <c r="E620" i="11"/>
  <c r="E619" i="11"/>
  <c r="E618" i="11"/>
  <c r="E617" i="11"/>
  <c r="E616" i="11"/>
  <c r="E615" i="11"/>
  <c r="E614" i="11"/>
  <c r="E613" i="11"/>
  <c r="E612" i="11"/>
  <c r="E611" i="11"/>
  <c r="E610" i="11"/>
  <c r="E609" i="11"/>
  <c r="E608" i="11"/>
  <c r="E607" i="11"/>
  <c r="E606" i="11"/>
  <c r="E605" i="11"/>
  <c r="E604" i="11"/>
  <c r="E603" i="11"/>
  <c r="E602" i="11"/>
  <c r="E601" i="11"/>
  <c r="E600" i="11"/>
  <c r="E599" i="11"/>
  <c r="E598" i="11"/>
  <c r="E597" i="11"/>
  <c r="E596" i="11"/>
  <c r="E595" i="11"/>
  <c r="E594" i="11"/>
  <c r="E593" i="11"/>
  <c r="E592" i="11"/>
  <c r="E591" i="11"/>
  <c r="E590" i="11"/>
  <c r="E589" i="11"/>
  <c r="E588" i="11"/>
  <c r="E587" i="11"/>
  <c r="E586" i="11"/>
  <c r="E585" i="11"/>
  <c r="E584" i="11"/>
  <c r="E583" i="11"/>
  <c r="E582" i="11"/>
  <c r="E581" i="11"/>
  <c r="E580" i="11"/>
  <c r="E579" i="11"/>
  <c r="E578" i="11"/>
  <c r="E577" i="11"/>
  <c r="E576" i="11"/>
  <c r="E575" i="11"/>
  <c r="E574" i="11"/>
  <c r="E573" i="11"/>
  <c r="E572" i="11"/>
  <c r="E571" i="11"/>
  <c r="E570" i="11"/>
  <c r="E569" i="11"/>
  <c r="E568" i="11"/>
  <c r="E567" i="11"/>
  <c r="E566" i="11"/>
  <c r="E565" i="11"/>
  <c r="E564" i="11"/>
  <c r="E563" i="11"/>
  <c r="E562" i="11"/>
  <c r="E561" i="11"/>
  <c r="E560" i="11"/>
  <c r="E559" i="11"/>
  <c r="E558" i="11"/>
  <c r="E557" i="11"/>
  <c r="E556" i="11"/>
  <c r="E555" i="11"/>
  <c r="E554" i="11"/>
  <c r="E553" i="11"/>
  <c r="E552" i="11"/>
  <c r="E551" i="11"/>
  <c r="E550" i="11"/>
  <c r="E549" i="11"/>
  <c r="E548" i="11"/>
  <c r="E547" i="11"/>
  <c r="E546" i="11"/>
  <c r="E545" i="11"/>
  <c r="E544" i="11"/>
  <c r="E543" i="11"/>
  <c r="E542" i="11"/>
  <c r="E541" i="11"/>
  <c r="E540" i="11"/>
  <c r="E539" i="11"/>
  <c r="E538" i="11"/>
  <c r="E537" i="11"/>
  <c r="E536" i="11"/>
  <c r="E535" i="11"/>
  <c r="E534" i="11"/>
  <c r="E533" i="11"/>
  <c r="E532" i="11"/>
  <c r="E531" i="11"/>
  <c r="E530" i="11"/>
  <c r="E529" i="11"/>
  <c r="E528" i="11"/>
  <c r="E527" i="11"/>
  <c r="E526" i="11"/>
  <c r="E525" i="11"/>
  <c r="E524" i="11"/>
  <c r="E523" i="11"/>
  <c r="E522" i="11"/>
  <c r="E521" i="11"/>
  <c r="E520" i="11"/>
  <c r="E519" i="11"/>
  <c r="E518" i="11"/>
  <c r="E517" i="11"/>
  <c r="E516" i="11"/>
  <c r="E515" i="11"/>
  <c r="E514" i="11"/>
  <c r="E513" i="11"/>
  <c r="E512" i="11"/>
  <c r="E511" i="11"/>
  <c r="E510" i="11"/>
  <c r="E509" i="11"/>
  <c r="E508" i="11"/>
  <c r="E507" i="11"/>
  <c r="E506" i="11"/>
  <c r="E505" i="11"/>
  <c r="E504" i="11"/>
  <c r="E503" i="11"/>
  <c r="E502" i="11"/>
  <c r="E501" i="11"/>
  <c r="E500" i="11"/>
  <c r="E499" i="11"/>
  <c r="E498" i="11"/>
  <c r="E497" i="11"/>
  <c r="E496" i="11"/>
  <c r="E495" i="11"/>
  <c r="E494" i="11"/>
  <c r="E493" i="11"/>
  <c r="E492" i="11"/>
  <c r="E491" i="11"/>
  <c r="E490" i="11"/>
  <c r="E489" i="11"/>
  <c r="E488" i="11"/>
  <c r="E487" i="11"/>
  <c r="E486" i="11"/>
  <c r="E485" i="11"/>
  <c r="E484" i="11"/>
  <c r="E483" i="11"/>
  <c r="E482" i="11"/>
  <c r="E481" i="11"/>
  <c r="E480" i="11"/>
  <c r="E479" i="11"/>
  <c r="E478" i="11"/>
  <c r="E477" i="11"/>
  <c r="E476" i="11"/>
  <c r="E475" i="11"/>
  <c r="E474" i="11"/>
  <c r="E473" i="11"/>
  <c r="E472" i="11"/>
  <c r="E471" i="11"/>
  <c r="E470" i="11"/>
  <c r="E469" i="11"/>
  <c r="E468" i="11"/>
  <c r="E467" i="11"/>
  <c r="E466" i="11"/>
  <c r="E465" i="11"/>
  <c r="E464" i="11"/>
  <c r="E463" i="11"/>
  <c r="E462" i="11"/>
  <c r="E461" i="11"/>
  <c r="E460" i="11"/>
  <c r="E459" i="11"/>
  <c r="E458" i="11"/>
  <c r="E457" i="11"/>
  <c r="E456" i="11"/>
  <c r="E455" i="11"/>
  <c r="E454" i="11"/>
  <c r="E453" i="11"/>
  <c r="E452" i="11"/>
  <c r="E451" i="11"/>
  <c r="E450" i="11"/>
  <c r="E449" i="11"/>
  <c r="E448" i="11"/>
  <c r="E447" i="11"/>
  <c r="E446" i="11"/>
  <c r="E445" i="11"/>
  <c r="E444" i="11"/>
  <c r="E443" i="11"/>
  <c r="E442" i="11"/>
  <c r="E441" i="11"/>
  <c r="E440" i="11"/>
  <c r="E439" i="11"/>
  <c r="E438" i="11"/>
  <c r="E437" i="11"/>
  <c r="E436" i="11"/>
  <c r="E435" i="11"/>
  <c r="E434" i="11"/>
  <c r="E433" i="11"/>
  <c r="E432" i="11"/>
  <c r="E431" i="11"/>
  <c r="E430" i="11"/>
  <c r="E429" i="11"/>
  <c r="E428" i="11"/>
  <c r="E427" i="11"/>
  <c r="E426" i="11"/>
  <c r="E425" i="11"/>
  <c r="E424" i="11"/>
  <c r="E423" i="11"/>
  <c r="E422" i="11"/>
  <c r="E421" i="11"/>
  <c r="E420" i="11"/>
  <c r="E419" i="11"/>
  <c r="E418" i="11"/>
  <c r="E417" i="11"/>
  <c r="E416" i="11"/>
  <c r="E415" i="11"/>
  <c r="E414" i="11"/>
  <c r="E413" i="11"/>
  <c r="E412" i="11"/>
  <c r="E411" i="11"/>
  <c r="E410" i="11"/>
  <c r="E409" i="11"/>
  <c r="E408" i="11"/>
  <c r="E407" i="11"/>
  <c r="E406" i="11"/>
  <c r="E405" i="11"/>
  <c r="E404" i="11"/>
  <c r="E403" i="11"/>
  <c r="E402" i="11"/>
  <c r="E401" i="11"/>
  <c r="E400" i="11"/>
  <c r="E399" i="11"/>
  <c r="E398" i="11"/>
  <c r="E397" i="11"/>
  <c r="E396" i="11"/>
  <c r="E395" i="11"/>
  <c r="E394" i="11"/>
  <c r="E393" i="11"/>
  <c r="E392" i="11"/>
  <c r="E391" i="11"/>
  <c r="E390" i="11"/>
  <c r="E389" i="11"/>
  <c r="E388" i="11"/>
  <c r="E387" i="11"/>
  <c r="E386" i="11"/>
  <c r="E385" i="11"/>
  <c r="E384" i="11"/>
  <c r="E383" i="11"/>
  <c r="E382" i="11"/>
  <c r="E381" i="11"/>
  <c r="E380" i="11"/>
  <c r="E379" i="11"/>
  <c r="E378" i="11"/>
  <c r="E377" i="11"/>
  <c r="E376" i="11"/>
  <c r="E375" i="11"/>
  <c r="E374" i="11"/>
  <c r="E373" i="11"/>
  <c r="E372" i="11"/>
  <c r="E371" i="11"/>
  <c r="E370" i="11"/>
  <c r="E369" i="11"/>
  <c r="E368" i="11"/>
  <c r="E367" i="11"/>
  <c r="E366" i="11"/>
  <c r="E365" i="11"/>
  <c r="E364" i="11"/>
  <c r="E363" i="11"/>
  <c r="E362" i="11"/>
  <c r="E361" i="11"/>
  <c r="E360" i="11"/>
  <c r="E359" i="11"/>
  <c r="E358" i="11"/>
  <c r="E357" i="11"/>
  <c r="E356" i="11"/>
  <c r="E355" i="11"/>
  <c r="E354" i="11"/>
  <c r="E353" i="11"/>
  <c r="E352" i="11"/>
  <c r="E351" i="11"/>
  <c r="E350" i="11"/>
  <c r="E349" i="11"/>
  <c r="E348" i="11"/>
  <c r="E347" i="11"/>
  <c r="E346" i="11"/>
  <c r="E345" i="11"/>
  <c r="E344" i="11"/>
  <c r="E343" i="11"/>
  <c r="E342" i="11"/>
  <c r="E341" i="11"/>
  <c r="E340" i="11"/>
  <c r="E339" i="11"/>
  <c r="E338" i="11"/>
  <c r="E337" i="11"/>
  <c r="E336" i="11"/>
  <c r="E335" i="11"/>
  <c r="E334" i="11"/>
  <c r="E333" i="11"/>
  <c r="E332" i="11"/>
  <c r="E331" i="11"/>
  <c r="E330" i="11"/>
  <c r="E329" i="11"/>
  <c r="E328" i="11"/>
  <c r="E327" i="11"/>
  <c r="E326" i="11"/>
  <c r="E325" i="11"/>
  <c r="E324" i="11"/>
  <c r="E323" i="11"/>
  <c r="E322" i="11"/>
  <c r="E321" i="11"/>
  <c r="E320" i="11"/>
  <c r="E319" i="11"/>
  <c r="E318" i="11"/>
  <c r="E317" i="11"/>
  <c r="E316" i="11"/>
  <c r="E315" i="11"/>
  <c r="E314" i="11"/>
  <c r="E313" i="11"/>
  <c r="E312" i="11"/>
  <c r="E311" i="11"/>
  <c r="E310" i="11"/>
  <c r="E309" i="11"/>
  <c r="E308" i="11"/>
  <c r="E307" i="11"/>
  <c r="E306" i="11"/>
  <c r="E305" i="11"/>
  <c r="E304" i="11"/>
  <c r="E303" i="11"/>
  <c r="E302" i="11"/>
  <c r="E301" i="11"/>
  <c r="E300" i="11"/>
  <c r="E299" i="11"/>
  <c r="E298" i="11"/>
  <c r="E297" i="11"/>
  <c r="E296" i="11"/>
  <c r="E295" i="11"/>
  <c r="E294" i="11"/>
  <c r="E293" i="11"/>
  <c r="E292" i="11"/>
  <c r="E291" i="11"/>
  <c r="E290" i="11"/>
  <c r="E289" i="11"/>
  <c r="E288" i="11"/>
  <c r="E287" i="11"/>
  <c r="E286" i="11"/>
  <c r="E285" i="11"/>
  <c r="E284" i="11"/>
  <c r="E283" i="11"/>
  <c r="E282" i="11"/>
  <c r="E281" i="11"/>
  <c r="E280" i="11"/>
  <c r="E279" i="11"/>
  <c r="E278" i="11"/>
  <c r="E277" i="11"/>
  <c r="E276" i="11"/>
  <c r="E275" i="11"/>
  <c r="E274" i="11"/>
  <c r="E273" i="11"/>
  <c r="E272" i="11"/>
  <c r="E271" i="11"/>
  <c r="E270" i="11"/>
  <c r="E269" i="11"/>
  <c r="E268" i="11"/>
  <c r="E267" i="11"/>
  <c r="E266" i="11"/>
  <c r="E265" i="11"/>
  <c r="E264" i="11"/>
  <c r="E263" i="11"/>
  <c r="E262" i="11"/>
  <c r="E261" i="11"/>
  <c r="E260" i="11"/>
  <c r="E259" i="11"/>
  <c r="E258" i="11"/>
  <c r="E257" i="11"/>
  <c r="E256" i="11"/>
  <c r="E255" i="11"/>
  <c r="E254" i="11"/>
  <c r="E253" i="11"/>
  <c r="E252" i="11"/>
  <c r="E251" i="11"/>
  <c r="E250" i="11"/>
  <c r="E249" i="11"/>
  <c r="E248" i="11"/>
  <c r="E247" i="11"/>
  <c r="E246" i="11"/>
  <c r="E245" i="11"/>
  <c r="E244" i="11"/>
  <c r="E243" i="11"/>
  <c r="E242" i="11"/>
  <c r="E241" i="11"/>
  <c r="E240" i="11"/>
  <c r="E239" i="11"/>
  <c r="E238" i="11"/>
  <c r="E237" i="11"/>
  <c r="E236" i="11"/>
  <c r="E235" i="11"/>
  <c r="E234" i="11"/>
  <c r="E233" i="11"/>
  <c r="E232" i="11"/>
  <c r="E231" i="11"/>
  <c r="E230" i="11"/>
  <c r="E229" i="11"/>
  <c r="E228" i="11"/>
  <c r="E227" i="11"/>
  <c r="E226" i="11"/>
  <c r="E225" i="11"/>
  <c r="E224" i="11"/>
  <c r="E223" i="11"/>
  <c r="E222" i="11"/>
  <c r="E221" i="11"/>
  <c r="E220" i="11"/>
  <c r="E219" i="11"/>
  <c r="E218" i="11"/>
  <c r="E217" i="11"/>
  <c r="E216" i="11"/>
  <c r="E215" i="11"/>
  <c r="E214" i="11"/>
  <c r="E213" i="11"/>
  <c r="E212" i="11"/>
  <c r="E211" i="11"/>
  <c r="E210" i="11"/>
  <c r="E209" i="11"/>
  <c r="E208" i="11"/>
  <c r="E207" i="11"/>
  <c r="E206" i="11"/>
  <c r="E205" i="11"/>
  <c r="E204" i="11"/>
  <c r="E203" i="11"/>
  <c r="E202" i="11"/>
  <c r="E201" i="11"/>
  <c r="E200" i="11"/>
  <c r="E199" i="11"/>
  <c r="E198" i="11"/>
  <c r="E197" i="11"/>
  <c r="E196" i="11"/>
  <c r="E195" i="11"/>
  <c r="E194" i="11"/>
  <c r="E193" i="11"/>
  <c r="E192" i="11"/>
  <c r="E191" i="11"/>
  <c r="E190" i="11"/>
  <c r="E189" i="11"/>
  <c r="E188" i="11"/>
  <c r="E187" i="11"/>
  <c r="E186" i="11"/>
  <c r="E185" i="11"/>
  <c r="E184" i="11"/>
  <c r="E183" i="11"/>
  <c r="E182" i="11"/>
  <c r="E181" i="11"/>
  <c r="E180" i="11"/>
  <c r="E179" i="11"/>
  <c r="E178" i="11"/>
  <c r="E177" i="11"/>
  <c r="E176" i="11"/>
  <c r="E175" i="11"/>
  <c r="E174" i="11"/>
  <c r="E173" i="11"/>
  <c r="E172" i="11"/>
  <c r="E171" i="11"/>
  <c r="E170" i="11"/>
  <c r="E169" i="11"/>
  <c r="E168" i="11"/>
  <c r="E167" i="11"/>
  <c r="E166" i="11"/>
  <c r="E165" i="11"/>
  <c r="E164" i="11"/>
  <c r="E163" i="11"/>
  <c r="E162" i="11"/>
  <c r="E161" i="11"/>
  <c r="E160" i="11"/>
  <c r="E159" i="11"/>
  <c r="E158" i="11"/>
  <c r="E157" i="11"/>
  <c r="E156" i="11"/>
  <c r="E155" i="11"/>
  <c r="E154" i="11"/>
  <c r="E153" i="11"/>
  <c r="E152" i="11"/>
  <c r="E151" i="11"/>
  <c r="E150" i="11"/>
  <c r="E149" i="11"/>
  <c r="E148" i="11"/>
  <c r="E147" i="11"/>
  <c r="E146" i="11"/>
  <c r="E145" i="11"/>
  <c r="E144" i="11"/>
  <c r="E143" i="11"/>
  <c r="E142" i="11"/>
  <c r="E141" i="11"/>
  <c r="E140" i="11"/>
  <c r="E139" i="11"/>
  <c r="E138" i="11"/>
  <c r="E137" i="11"/>
  <c r="E136" i="11"/>
  <c r="E135" i="11"/>
  <c r="E134" i="11"/>
  <c r="E133" i="11"/>
  <c r="E132" i="11"/>
  <c r="E131" i="11"/>
  <c r="E130" i="11"/>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8"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E9" i="11"/>
  <c r="E8" i="11"/>
  <c r="E7" i="11"/>
  <c r="E6" i="11"/>
  <c r="E5" i="11"/>
  <c r="E4" i="11"/>
  <c r="B39" i="13" a="1"/>
  <c r="B39" i="13" s="1"/>
  <c r="B40" i="13" s="1"/>
  <c r="CM388" i="1"/>
  <c r="CM6" i="1" s="1" a="1"/>
  <c r="CM6" i="1" s="1"/>
  <c r="CL6" i="1" a="1"/>
  <c r="CL6" i="1" s="1"/>
  <c r="CA388" i="1"/>
  <c r="CA6" i="1" s="1" a="1"/>
  <c r="CA6" i="1" s="1"/>
  <c r="BZ6" i="1" a="1"/>
  <c r="BZ6" i="1" s="1"/>
  <c r="O9" i="12" a="1"/>
  <c r="O9" i="12" s="1"/>
  <c r="O8" i="12" a="1"/>
  <c r="O8" i="12" s="1"/>
  <c r="N9" i="12" a="1"/>
  <c r="N9" i="12" s="1"/>
  <c r="N8" i="12" a="1"/>
  <c r="N8" i="12" s="1"/>
  <c r="M9" i="12" a="1"/>
  <c r="M9" i="12" s="1"/>
  <c r="M8" i="12" a="1"/>
  <c r="M8" i="12" s="1"/>
  <c r="L9" i="12" a="1"/>
  <c r="L9" i="12" s="1"/>
  <c r="L8" i="12" a="1"/>
  <c r="L8" i="12" s="1"/>
  <c r="K9" i="12" a="1"/>
  <c r="K9" i="12" s="1"/>
  <c r="K8" i="12" a="1"/>
  <c r="K8" i="12" s="1"/>
  <c r="J9" i="12" a="1"/>
  <c r="J9" i="12" s="1"/>
  <c r="J8" i="12" a="1"/>
  <c r="J8" i="12" s="1"/>
  <c r="I9" i="12" a="1"/>
  <c r="I9" i="12" s="1"/>
  <c r="I8" i="12" a="1"/>
  <c r="I8" i="12" s="1"/>
  <c r="H9" i="12" a="1"/>
  <c r="H9" i="12" s="1"/>
  <c r="H8" i="12" a="1"/>
  <c r="H8" i="12" s="1"/>
  <c r="G9" i="12" a="1"/>
  <c r="G9" i="12" s="1"/>
  <c r="G8" i="12" a="1"/>
  <c r="G8" i="12" s="1"/>
  <c r="F9" i="12" a="1"/>
  <c r="F9" i="12" s="1"/>
  <c r="E11" i="12" a="1"/>
  <c r="E11" i="12" s="1"/>
  <c r="E9" i="12" a="1"/>
  <c r="E9" i="12" s="1"/>
  <c r="D9" i="12" a="1"/>
  <c r="D9" i="12" s="1"/>
  <c r="K11" i="8"/>
  <c r="H11" i="8"/>
  <c r="I11" i="8" s="1"/>
  <c r="F11" i="8"/>
  <c r="H10" i="8"/>
  <c r="F10" i="8"/>
  <c r="K10" i="8" s="1"/>
  <c r="I9" i="8"/>
  <c r="H9" i="8"/>
  <c r="H8" i="8"/>
  <c r="H7" i="8"/>
  <c r="I7" i="8" s="1"/>
  <c r="H6" i="8"/>
  <c r="H5" i="8"/>
  <c r="I5" i="8" s="1"/>
  <c r="L5" i="8" s="1"/>
  <c r="E5" i="8"/>
  <c r="F5" i="8" s="1"/>
  <c r="K5" i="8" s="1"/>
  <c r="S4" i="8"/>
  <c r="R4" i="8"/>
  <c r="R5" i="8" s="1"/>
  <c r="R6" i="8" s="1"/>
  <c r="R7" i="8" s="1"/>
  <c r="R8" i="8" s="1"/>
  <c r="R9" i="8" s="1"/>
  <c r="R10" i="8" s="1"/>
  <c r="H4" i="8"/>
  <c r="F4" i="8"/>
  <c r="K4" i="8" s="1"/>
  <c r="S3" i="8"/>
  <c r="H3" i="8"/>
  <c r="F3" i="8"/>
  <c r="K3" i="8" s="1"/>
  <c r="K12" i="7"/>
  <c r="F12" i="7"/>
  <c r="F11" i="7"/>
  <c r="K11" i="7" s="1"/>
  <c r="F10" i="7"/>
  <c r="K10" i="7" s="1"/>
  <c r="F9" i="7"/>
  <c r="K9" i="7" s="1"/>
  <c r="K8" i="7"/>
  <c r="F8" i="7"/>
  <c r="F7" i="7"/>
  <c r="K7" i="7" s="1"/>
  <c r="F6" i="7"/>
  <c r="K6" i="7" s="1"/>
  <c r="G5" i="7"/>
  <c r="G6" i="7" s="1"/>
  <c r="F5" i="7"/>
  <c r="K5" i="7" s="1"/>
  <c r="R4" i="7"/>
  <c r="R5" i="7" s="1"/>
  <c r="K4" i="7"/>
  <c r="F4" i="7"/>
  <c r="S3" i="7"/>
  <c r="F3" i="7"/>
  <c r="K3" i="7" s="1"/>
  <c r="H14" i="6"/>
  <c r="E14" i="6"/>
  <c r="H13" i="6"/>
  <c r="E13" i="6"/>
  <c r="H12" i="6"/>
  <c r="E12" i="6"/>
  <c r="F12" i="6" s="1"/>
  <c r="K11" i="6"/>
  <c r="H11" i="6"/>
  <c r="F11" i="6"/>
  <c r="E11" i="6"/>
  <c r="H10" i="6"/>
  <c r="E10" i="6"/>
  <c r="E9" i="6"/>
  <c r="E8" i="6"/>
  <c r="F8" i="6" s="1"/>
  <c r="E7" i="6"/>
  <c r="K6" i="6"/>
  <c r="F6" i="6"/>
  <c r="E6" i="6"/>
  <c r="G5" i="6"/>
  <c r="G6" i="6" s="1"/>
  <c r="F5" i="6"/>
  <c r="E5" i="6"/>
  <c r="H4" i="6"/>
  <c r="E4" i="6"/>
  <c r="F4" i="6" s="1"/>
  <c r="K4" i="6" s="1"/>
  <c r="R4" i="6"/>
  <c r="H3" i="6"/>
  <c r="I4" i="6" s="1"/>
  <c r="E3" i="6"/>
  <c r="C85" i="5"/>
  <c r="D48" i="5"/>
  <c r="C48" i="5"/>
  <c r="D11" i="12" a="1"/>
  <c r="D11" i="12" s="1"/>
  <c r="R5" i="1" a="1"/>
  <c r="R5" i="1" s="1"/>
  <c r="W388" i="1"/>
  <c r="AB388" i="1" s="1"/>
  <c r="D17" i="3"/>
  <c r="D8" i="4"/>
  <c r="D9" i="4"/>
  <c r="D10" i="4"/>
  <c r="D12" i="4"/>
  <c r="D13" i="4"/>
  <c r="D14" i="4"/>
  <c r="D15" i="4"/>
  <c r="D16" i="4"/>
  <c r="D17" i="4"/>
  <c r="D18" i="4"/>
  <c r="D19" i="4"/>
  <c r="D20" i="4"/>
  <c r="D11" i="4"/>
  <c r="D7" i="4"/>
  <c r="F3" i="6" l="1"/>
  <c r="P5" i="10"/>
  <c r="F9" i="6"/>
  <c r="K9" i="6" s="1"/>
  <c r="M18" i="20"/>
  <c r="K17" i="20"/>
  <c r="K20" i="20" s="1"/>
  <c r="N30" i="20"/>
  <c r="T7" i="19"/>
  <c r="Q7" i="19"/>
  <c r="J19" i="20"/>
  <c r="H17" i="20"/>
  <c r="L31" i="20"/>
  <c r="F18" i="20"/>
  <c r="K18" i="20"/>
  <c r="M31" i="20"/>
  <c r="L30" i="20"/>
  <c r="F31" i="20"/>
  <c r="G18" i="20"/>
  <c r="L29" i="20"/>
  <c r="L32" i="20" s="1"/>
  <c r="I17" i="20"/>
  <c r="K7" i="20"/>
  <c r="L7" i="20"/>
  <c r="P30" i="20"/>
  <c r="E19" i="20"/>
  <c r="F30" i="20"/>
  <c r="M29" i="20"/>
  <c r="F17" i="20"/>
  <c r="F20" i="20" s="1"/>
  <c r="P7" i="20"/>
  <c r="N7" i="20"/>
  <c r="N18" i="20"/>
  <c r="G31" i="20"/>
  <c r="G30" i="20"/>
  <c r="E17" i="20"/>
  <c r="G5" i="20"/>
  <c r="H7" i="20"/>
  <c r="N17" i="20"/>
  <c r="N20" i="20" s="1"/>
  <c r="K5" i="20"/>
  <c r="H30" i="20"/>
  <c r="P29" i="20"/>
  <c r="P32" i="20" s="1"/>
  <c r="J31" i="20"/>
  <c r="H19" i="20"/>
  <c r="J7" i="20"/>
  <c r="P5" i="20"/>
  <c r="I30" i="20"/>
  <c r="K31" i="20"/>
  <c r="N31" i="20"/>
  <c r="K30" i="20"/>
  <c r="E30" i="20"/>
  <c r="L17" i="20"/>
  <c r="N5" i="20"/>
  <c r="H5" i="20"/>
  <c r="E29" i="20"/>
  <c r="I7" i="20"/>
  <c r="T22" i="19"/>
  <c r="F29" i="20"/>
  <c r="F32" i="20" s="1"/>
  <c r="G29" i="20"/>
  <c r="G32" i="20" s="1"/>
  <c r="M5" i="20"/>
  <c r="M7" i="20"/>
  <c r="I5" i="20"/>
  <c r="H29" i="20"/>
  <c r="H32" i="20" s="1"/>
  <c r="G17" i="20"/>
  <c r="G20" i="20" s="1"/>
  <c r="J18" i="20"/>
  <c r="Q22" i="19"/>
  <c r="F5" i="20"/>
  <c r="O5" i="20"/>
  <c r="I19" i="20"/>
  <c r="L18" i="20"/>
  <c r="G19" i="20"/>
  <c r="O30" i="20"/>
  <c r="K29" i="20"/>
  <c r="K32" i="20" s="1"/>
  <c r="M17" i="20"/>
  <c r="M20" i="20" s="1"/>
  <c r="F7" i="20"/>
  <c r="J5" i="20"/>
  <c r="W22" i="19"/>
  <c r="I18" i="20"/>
  <c r="F19" i="20"/>
  <c r="N19" i="20"/>
  <c r="E31" i="20"/>
  <c r="H18" i="20"/>
  <c r="J17" i="20"/>
  <c r="J20" i="20" s="1"/>
  <c r="O18" i="20"/>
  <c r="W7" i="19"/>
  <c r="J29" i="20"/>
  <c r="I29" i="20"/>
  <c r="I32" i="20" s="1"/>
  <c r="P19" i="20"/>
  <c r="O7" i="20"/>
  <c r="O19" i="20"/>
  <c r="N29" i="20"/>
  <c r="P17" i="20"/>
  <c r="O17" i="20"/>
  <c r="O20" i="20" s="1"/>
  <c r="H31" i="20"/>
  <c r="E18" i="20"/>
  <c r="O31" i="20"/>
  <c r="P31" i="20"/>
  <c r="M30" i="20"/>
  <c r="I31" i="20"/>
  <c r="M19" i="20"/>
  <c r="E7" i="20"/>
  <c r="E5" i="20"/>
  <c r="K19" i="20"/>
  <c r="J30" i="20"/>
  <c r="O29" i="20"/>
  <c r="O32" i="20" s="1"/>
  <c r="L19" i="20"/>
  <c r="L5" i="20"/>
  <c r="G7" i="20"/>
  <c r="P18" i="20"/>
  <c r="J41" i="20"/>
  <c r="J43" i="20"/>
  <c r="G43" i="20"/>
  <c r="O54" i="20"/>
  <c r="E6" i="20"/>
  <c r="G42" i="20"/>
  <c r="P43" i="20"/>
  <c r="O42" i="20"/>
  <c r="AC22" i="19"/>
  <c r="K54" i="20"/>
  <c r="J6" i="20"/>
  <c r="J8" i="20" s="1"/>
  <c r="AC37" i="19"/>
  <c r="T37" i="19"/>
  <c r="N41" i="20"/>
  <c r="M42" i="20"/>
  <c r="I42" i="20"/>
  <c r="I54" i="20"/>
  <c r="K6" i="20"/>
  <c r="K8" i="20" s="1"/>
  <c r="I43" i="20"/>
  <c r="L42" i="20"/>
  <c r="E41" i="20"/>
  <c r="AF22" i="19"/>
  <c r="M54" i="20"/>
  <c r="M6" i="20"/>
  <c r="M8" i="20" s="1"/>
  <c r="E43" i="20"/>
  <c r="F42" i="20"/>
  <c r="G41" i="20"/>
  <c r="G44" i="20" s="1"/>
  <c r="N54" i="20"/>
  <c r="F6" i="20"/>
  <c r="F8" i="20" s="1"/>
  <c r="L54" i="20"/>
  <c r="AC7" i="19"/>
  <c r="O43" i="20"/>
  <c r="J42" i="20"/>
  <c r="I41" i="20"/>
  <c r="I44" i="20" s="1"/>
  <c r="Z22" i="19"/>
  <c r="H54" i="20"/>
  <c r="P6" i="20"/>
  <c r="AF7" i="19"/>
  <c r="F41" i="20"/>
  <c r="F44" i="20" s="1"/>
  <c r="F54" i="20"/>
  <c r="M43" i="20"/>
  <c r="F43" i="20"/>
  <c r="M41" i="20"/>
  <c r="M44" i="20" s="1"/>
  <c r="K43" i="20"/>
  <c r="P42" i="20"/>
  <c r="N42" i="20"/>
  <c r="O41" i="20"/>
  <c r="O44" i="20" s="1"/>
  <c r="Q37" i="19"/>
  <c r="P54" i="20"/>
  <c r="L6" i="20"/>
  <c r="L8" i="20" s="1"/>
  <c r="AF37" i="19"/>
  <c r="G6" i="20"/>
  <c r="G8" i="20" s="1"/>
  <c r="H41" i="20"/>
  <c r="L43" i="20"/>
  <c r="E42" i="20"/>
  <c r="G54" i="20"/>
  <c r="O6" i="20"/>
  <c r="O8" i="20" s="1"/>
  <c r="L41" i="20"/>
  <c r="L44" i="20" s="1"/>
  <c r="N43" i="20"/>
  <c r="K41" i="20"/>
  <c r="W37" i="19"/>
  <c r="E54" i="20"/>
  <c r="H6" i="20"/>
  <c r="H8" i="20" s="1"/>
  <c r="Z37" i="19"/>
  <c r="H43" i="20"/>
  <c r="P41" i="20"/>
  <c r="H42" i="20"/>
  <c r="K42" i="20"/>
  <c r="J54" i="20"/>
  <c r="J56" i="20" s="1"/>
  <c r="N6" i="20"/>
  <c r="N8" i="20" s="1"/>
  <c r="Z7" i="19"/>
  <c r="I6" i="20"/>
  <c r="I8" i="20" s="1"/>
  <c r="N55" i="20"/>
  <c r="O53" i="20"/>
  <c r="Z52" i="19"/>
  <c r="T52" i="19"/>
  <c r="I53" i="20"/>
  <c r="I55" i="20"/>
  <c r="O55" i="20"/>
  <c r="G53" i="20"/>
  <c r="W52" i="19"/>
  <c r="AI37" i="19"/>
  <c r="L53" i="20"/>
  <c r="E55" i="20"/>
  <c r="AI52" i="19"/>
  <c r="AI22" i="19"/>
  <c r="M53" i="20"/>
  <c r="J53" i="20"/>
  <c r="K55" i="20"/>
  <c r="AF52" i="19"/>
  <c r="J55" i="20"/>
  <c r="M55" i="20"/>
  <c r="AC52" i="19"/>
  <c r="Q52" i="19"/>
  <c r="G55" i="20"/>
  <c r="P53" i="20"/>
  <c r="P55" i="20"/>
  <c r="H55" i="20"/>
  <c r="F53" i="20"/>
  <c r="N53" i="20"/>
  <c r="E53" i="20"/>
  <c r="K53" i="20"/>
  <c r="H53" i="20"/>
  <c r="AI7" i="19"/>
  <c r="F55" i="20"/>
  <c r="L55" i="20"/>
  <c r="H66" i="20"/>
  <c r="N67" i="20"/>
  <c r="I66" i="20"/>
  <c r="M65" i="20"/>
  <c r="M68" i="20" s="1"/>
  <c r="L67" i="20"/>
  <c r="I67" i="20"/>
  <c r="T67" i="19"/>
  <c r="M66" i="20"/>
  <c r="M67" i="20"/>
  <c r="E66" i="20"/>
  <c r="AL67" i="19"/>
  <c r="G66" i="20"/>
  <c r="J65" i="20"/>
  <c r="J68" i="20" s="1"/>
  <c r="K65" i="20"/>
  <c r="AF67" i="19"/>
  <c r="AL7" i="19"/>
  <c r="F67" i="20"/>
  <c r="J67" i="20"/>
  <c r="P66" i="20"/>
  <c r="K67" i="20"/>
  <c r="AL37" i="19"/>
  <c r="AL52" i="19"/>
  <c r="AI67" i="19"/>
  <c r="G67" i="20"/>
  <c r="H65" i="20"/>
  <c r="H68" i="20" s="1"/>
  <c r="O66" i="20"/>
  <c r="AL22" i="19"/>
  <c r="Z67" i="19"/>
  <c r="G65" i="20"/>
  <c r="G68" i="20" s="1"/>
  <c r="N66" i="20"/>
  <c r="O65" i="20"/>
  <c r="AC67" i="19"/>
  <c r="J66" i="20"/>
  <c r="I65" i="20"/>
  <c r="I68" i="20" s="1"/>
  <c r="L66" i="20"/>
  <c r="F66" i="20"/>
  <c r="K66" i="20"/>
  <c r="H67" i="20"/>
  <c r="O67" i="20"/>
  <c r="W67" i="19"/>
  <c r="F65" i="20"/>
  <c r="F68" i="20" s="1"/>
  <c r="L65" i="20"/>
  <c r="N65" i="20"/>
  <c r="N68" i="20" s="1"/>
  <c r="P65" i="20"/>
  <c r="P68" i="20" s="1"/>
  <c r="Q67" i="19"/>
  <c r="E67" i="20"/>
  <c r="P67" i="20"/>
  <c r="E65" i="20"/>
  <c r="P77" i="20"/>
  <c r="P80" i="20" s="1"/>
  <c r="O78" i="20"/>
  <c r="I78" i="20"/>
  <c r="F78" i="20"/>
  <c r="E79" i="20"/>
  <c r="P78" i="20"/>
  <c r="Z82" i="19"/>
  <c r="Q82" i="19"/>
  <c r="H77" i="20"/>
  <c r="G79" i="20"/>
  <c r="J77" i="20"/>
  <c r="J80" i="20" s="1"/>
  <c r="AC82" i="19"/>
  <c r="L78" i="20"/>
  <c r="H78" i="20"/>
  <c r="K78" i="20"/>
  <c r="T82" i="19"/>
  <c r="AO52" i="19"/>
  <c r="N78" i="20"/>
  <c r="O79" i="20"/>
  <c r="G77" i="20"/>
  <c r="W82" i="19"/>
  <c r="E78" i="20"/>
  <c r="N79" i="20"/>
  <c r="J79" i="20"/>
  <c r="M78" i="20"/>
  <c r="Q78" i="20" s="1"/>
  <c r="AO22" i="19"/>
  <c r="F79" i="20"/>
  <c r="E77" i="20"/>
  <c r="M79" i="20"/>
  <c r="AO37" i="19"/>
  <c r="L79" i="20"/>
  <c r="AO82" i="19"/>
  <c r="H79" i="20"/>
  <c r="J78" i="20"/>
  <c r="N77" i="20"/>
  <c r="N80" i="20" s="1"/>
  <c r="K77" i="20"/>
  <c r="L77" i="20"/>
  <c r="L80" i="20" s="1"/>
  <c r="O77" i="20"/>
  <c r="O80" i="20" s="1"/>
  <c r="P79" i="20"/>
  <c r="M77" i="20"/>
  <c r="M80" i="20" s="1"/>
  <c r="F77" i="20"/>
  <c r="AL82" i="19"/>
  <c r="G78" i="20"/>
  <c r="AI82" i="19"/>
  <c r="I77" i="20"/>
  <c r="I80" i="20" s="1"/>
  <c r="K79" i="20"/>
  <c r="I79" i="20"/>
  <c r="AO67" i="19"/>
  <c r="AF82" i="19"/>
  <c r="AO7" i="19"/>
  <c r="L91" i="20"/>
  <c r="E91" i="20"/>
  <c r="L90" i="20"/>
  <c r="Q97" i="19"/>
  <c r="Z97" i="19"/>
  <c r="E90" i="20"/>
  <c r="J89" i="20"/>
  <c r="F89" i="20"/>
  <c r="AR37" i="19"/>
  <c r="AC97" i="19"/>
  <c r="AF97" i="19"/>
  <c r="O89" i="20"/>
  <c r="I90" i="20"/>
  <c r="P91" i="20"/>
  <c r="K90" i="20"/>
  <c r="AR22" i="19"/>
  <c r="I91" i="20"/>
  <c r="M91" i="20"/>
  <c r="K91" i="20"/>
  <c r="AR52" i="19"/>
  <c r="AI97" i="19"/>
  <c r="N89" i="20"/>
  <c r="M89" i="20"/>
  <c r="M92" i="20" s="1"/>
  <c r="F90" i="20"/>
  <c r="AR67" i="19"/>
  <c r="AR82" i="19"/>
  <c r="AL97" i="19"/>
  <c r="AO97" i="19"/>
  <c r="N91" i="20"/>
  <c r="M90" i="20"/>
  <c r="H89" i="20"/>
  <c r="H92" i="20" s="1"/>
  <c r="L89" i="20"/>
  <c r="K89" i="20"/>
  <c r="K92" i="20" s="1"/>
  <c r="H91" i="20"/>
  <c r="AR97" i="19"/>
  <c r="N90" i="20"/>
  <c r="N92" i="20" s="1"/>
  <c r="AR7" i="19"/>
  <c r="E89" i="20"/>
  <c r="G89" i="20"/>
  <c r="G92" i="20" s="1"/>
  <c r="P90" i="20"/>
  <c r="H90" i="20"/>
  <c r="O91" i="20"/>
  <c r="F91" i="20"/>
  <c r="T97" i="19"/>
  <c r="J90" i="20"/>
  <c r="G90" i="20"/>
  <c r="P89" i="20"/>
  <c r="P92" i="20" s="1"/>
  <c r="W97" i="19"/>
  <c r="J91" i="20"/>
  <c r="O90" i="20"/>
  <c r="G91" i="20"/>
  <c r="I89" i="20"/>
  <c r="I92" i="20" s="1"/>
  <c r="K103" i="20"/>
  <c r="G103" i="20"/>
  <c r="L102" i="20"/>
  <c r="Z112" i="19"/>
  <c r="AL112" i="19"/>
  <c r="H101" i="20"/>
  <c r="I101" i="20"/>
  <c r="J102" i="20"/>
  <c r="T112" i="19"/>
  <c r="E102" i="20"/>
  <c r="AU67" i="19"/>
  <c r="P101" i="20"/>
  <c r="K101" i="20"/>
  <c r="G102" i="20"/>
  <c r="AC112" i="19"/>
  <c r="AU112" i="19"/>
  <c r="AF112" i="19"/>
  <c r="Q112" i="19"/>
  <c r="J103" i="20"/>
  <c r="O103" i="20"/>
  <c r="N102" i="20"/>
  <c r="N104" i="20" s="1"/>
  <c r="L103" i="20"/>
  <c r="F103" i="20"/>
  <c r="M103" i="20"/>
  <c r="O102" i="20"/>
  <c r="AO112" i="19"/>
  <c r="F101" i="20"/>
  <c r="G101" i="20"/>
  <c r="I102" i="20"/>
  <c r="I104" i="20" s="1"/>
  <c r="AU97" i="19"/>
  <c r="AR112" i="19"/>
  <c r="AU22" i="19"/>
  <c r="E101" i="20"/>
  <c r="N103" i="20"/>
  <c r="E103" i="20"/>
  <c r="H102" i="20"/>
  <c r="H104" i="20" s="1"/>
  <c r="AI112" i="19"/>
  <c r="N101" i="20"/>
  <c r="O101" i="20"/>
  <c r="F102" i="20"/>
  <c r="F104" i="20" s="1"/>
  <c r="J101" i="20"/>
  <c r="I103" i="20"/>
  <c r="P102" i="20"/>
  <c r="P104" i="20" s="1"/>
  <c r="AU37" i="19"/>
  <c r="W112" i="19"/>
  <c r="H103" i="20"/>
  <c r="L101" i="20"/>
  <c r="M102" i="20"/>
  <c r="AU52" i="19"/>
  <c r="P103" i="20"/>
  <c r="M101" i="20"/>
  <c r="K102" i="20"/>
  <c r="K104" i="20" s="1"/>
  <c r="AU82" i="19"/>
  <c r="AU7" i="19"/>
  <c r="O114" i="20"/>
  <c r="N115" i="20"/>
  <c r="K114" i="20"/>
  <c r="AX67" i="19"/>
  <c r="AC127" i="19"/>
  <c r="AX7" i="19"/>
  <c r="AF127" i="19"/>
  <c r="M114" i="20"/>
  <c r="P114" i="20"/>
  <c r="K115" i="20"/>
  <c r="G113" i="20"/>
  <c r="G116" i="20" s="1"/>
  <c r="AX82" i="19"/>
  <c r="T127" i="19"/>
  <c r="Q127" i="19"/>
  <c r="AI127" i="19"/>
  <c r="J114" i="20"/>
  <c r="M113" i="20"/>
  <c r="M116" i="20" s="1"/>
  <c r="F114" i="20"/>
  <c r="AX97" i="19"/>
  <c r="W127" i="19"/>
  <c r="AO127" i="19"/>
  <c r="H115" i="20"/>
  <c r="G115" i="20"/>
  <c r="L115" i="20"/>
  <c r="I113" i="20"/>
  <c r="J115" i="20"/>
  <c r="L114" i="20"/>
  <c r="AX127" i="19"/>
  <c r="E115" i="20"/>
  <c r="E113" i="20"/>
  <c r="I115" i="20"/>
  <c r="AX112" i="19"/>
  <c r="AR127" i="19"/>
  <c r="AU127" i="19"/>
  <c r="N113" i="20"/>
  <c r="N116" i="20" s="1"/>
  <c r="M115" i="20"/>
  <c r="N114" i="20"/>
  <c r="AX37" i="19"/>
  <c r="L113" i="20"/>
  <c r="L116" i="20" s="1"/>
  <c r="K113" i="20"/>
  <c r="K116" i="20" s="1"/>
  <c r="H113" i="20"/>
  <c r="AL127" i="19"/>
  <c r="E114" i="20"/>
  <c r="F115" i="20"/>
  <c r="O113" i="20"/>
  <c r="O115" i="20"/>
  <c r="I114" i="20"/>
  <c r="I116" i="20" s="1"/>
  <c r="P115" i="20"/>
  <c r="F113" i="20"/>
  <c r="F116" i="20" s="1"/>
  <c r="AX22" i="19"/>
  <c r="P113" i="20"/>
  <c r="P116" i="20" s="1"/>
  <c r="H114" i="20"/>
  <c r="G114" i="20"/>
  <c r="AX52" i="19"/>
  <c r="Z127" i="19"/>
  <c r="J113" i="20"/>
  <c r="AR142" i="19"/>
  <c r="AC142" i="19"/>
  <c r="AL142" i="19"/>
  <c r="W142" i="19"/>
  <c r="T142" i="19"/>
  <c r="AO142" i="19"/>
  <c r="AF142" i="19"/>
  <c r="Z142" i="19"/>
  <c r="Q142" i="19"/>
  <c r="AU142" i="19"/>
  <c r="AX142" i="19"/>
  <c r="AI142" i="19"/>
  <c r="F13" i="6"/>
  <c r="K13" i="6" s="1"/>
  <c r="S4" i="7"/>
  <c r="I10" i="8"/>
  <c r="L10" i="8" s="1"/>
  <c r="I13" i="6"/>
  <c r="K5" i="6"/>
  <c r="F10" i="6"/>
  <c r="K10" i="6" s="1"/>
  <c r="L11" i="8"/>
  <c r="K14" i="6"/>
  <c r="S5" i="8"/>
  <c r="F14" i="6"/>
  <c r="E6" i="8"/>
  <c r="E7" i="8" s="1"/>
  <c r="N66" i="9" a="1"/>
  <c r="N66" i="9" s="1"/>
  <c r="M66" i="9" a="1"/>
  <c r="M66" i="9" s="1"/>
  <c r="M67" i="9" a="1"/>
  <c r="M67" i="9" s="1"/>
  <c r="N67" i="9" a="1"/>
  <c r="N67" i="9" s="1"/>
  <c r="O67" i="9" s="1"/>
  <c r="M68" i="9" a="1"/>
  <c r="M68" i="9" s="1"/>
  <c r="N68" i="9" a="1"/>
  <c r="N68" i="9" s="1"/>
  <c r="M69" i="9" a="1"/>
  <c r="M69" i="9" s="1"/>
  <c r="N69" i="9" a="1"/>
  <c r="N69" i="9" s="1"/>
  <c r="M70" i="9" a="1"/>
  <c r="M70" i="9" s="1"/>
  <c r="N70" i="9" a="1"/>
  <c r="N70" i="9" s="1"/>
  <c r="O70" i="9" s="1"/>
  <c r="N71" i="9" a="1"/>
  <c r="N71" i="9" s="1"/>
  <c r="M71" i="9" a="1"/>
  <c r="M71" i="9" s="1"/>
  <c r="M72" i="9" a="1"/>
  <c r="M72" i="9" s="1"/>
  <c r="N72" i="9" a="1"/>
  <c r="N72" i="9" s="1"/>
  <c r="O72" i="9" s="1"/>
  <c r="N73" i="9" a="1"/>
  <c r="N73" i="9" s="1"/>
  <c r="M73" i="9" a="1"/>
  <c r="M73" i="9" s="1"/>
  <c r="M74" i="9" a="1"/>
  <c r="M74" i="9" s="1"/>
  <c r="N74" i="9" a="1"/>
  <c r="N74" i="9" s="1"/>
  <c r="N76" i="9" a="1"/>
  <c r="N76" i="9" s="1"/>
  <c r="O76" i="9" s="1"/>
  <c r="M76" i="9" a="1"/>
  <c r="M76" i="9" s="1"/>
  <c r="M75" i="9" a="1"/>
  <c r="M75" i="9" s="1"/>
  <c r="N75" i="9" a="1"/>
  <c r="N75" i="9" s="1"/>
  <c r="O75" i="9" s="1"/>
  <c r="N77" i="9" a="1"/>
  <c r="N77" i="9" s="1"/>
  <c r="M77" i="9" a="1"/>
  <c r="M77" i="9" s="1"/>
  <c r="I11" i="6"/>
  <c r="L11" i="6" s="1"/>
  <c r="K3" i="6"/>
  <c r="K12" i="6"/>
  <c r="M51" i="12" a="1"/>
  <c r="M51" i="12" s="1"/>
  <c r="E51" i="12" a="1"/>
  <c r="E51" i="12" s="1"/>
  <c r="L51" i="12" a="1"/>
  <c r="L51" i="12" s="1"/>
  <c r="D51" i="12" a="1"/>
  <c r="D51" i="12" s="1"/>
  <c r="K51" i="12" a="1"/>
  <c r="K51" i="12" s="1"/>
  <c r="J51" i="12" a="1"/>
  <c r="J51" i="12" s="1"/>
  <c r="I51" i="12" a="1"/>
  <c r="I51" i="12" s="1"/>
  <c r="H51" i="12" a="1"/>
  <c r="H51" i="12" s="1"/>
  <c r="N51" i="12" a="1"/>
  <c r="N51" i="12" s="1"/>
  <c r="F51" i="12" a="1"/>
  <c r="F51" i="12" s="1"/>
  <c r="G51" i="12" a="1"/>
  <c r="G51" i="12" s="1"/>
  <c r="O51" i="12" a="1"/>
  <c r="O51" i="12" s="1"/>
  <c r="F41" i="12"/>
  <c r="F83" i="13" s="1" a="1"/>
  <c r="F83" i="13" s="1"/>
  <c r="F46" i="12"/>
  <c r="K146" i="13" a="1"/>
  <c r="K146" i="13" s="1"/>
  <c r="K173" i="13" s="1"/>
  <c r="K74" i="12"/>
  <c r="K69" i="12"/>
  <c r="K151" i="13" s="1" a="1"/>
  <c r="K151" i="13" s="1"/>
  <c r="G146" i="13" a="1"/>
  <c r="G146" i="13" s="1"/>
  <c r="G173" i="13" s="1"/>
  <c r="G69" i="12"/>
  <c r="G151" i="13" s="1" a="1"/>
  <c r="G151" i="13" s="1"/>
  <c r="G74" i="12"/>
  <c r="E55" i="12"/>
  <c r="E60" i="12"/>
  <c r="K46" i="12"/>
  <c r="K41" i="12"/>
  <c r="K83" i="13" s="1" a="1"/>
  <c r="K83" i="13" s="1"/>
  <c r="G41" i="12"/>
  <c r="G83" i="13" s="1" a="1"/>
  <c r="G83" i="13" s="1"/>
  <c r="G46" i="12"/>
  <c r="D69" i="12"/>
  <c r="D151" i="13" s="1" a="1"/>
  <c r="D151" i="13" s="1"/>
  <c r="D146" i="13" a="1"/>
  <c r="D146" i="13" s="1"/>
  <c r="D173" i="13" s="1"/>
  <c r="D74" i="12"/>
  <c r="H74" i="12"/>
  <c r="H146" i="13" a="1"/>
  <c r="H146" i="13" s="1"/>
  <c r="H173" i="13" s="1"/>
  <c r="H69" i="12"/>
  <c r="H151" i="13" s="1" a="1"/>
  <c r="H151" i="13" s="1"/>
  <c r="F55" i="12"/>
  <c r="F60" i="12"/>
  <c r="J46" i="12"/>
  <c r="J41" i="12"/>
  <c r="J83" i="13" s="1" a="1"/>
  <c r="J83" i="13" s="1"/>
  <c r="O41" i="12"/>
  <c r="O83" i="13" s="1" a="1"/>
  <c r="O83" i="13" s="1"/>
  <c r="O46" i="12"/>
  <c r="L74" i="12"/>
  <c r="L69" i="12"/>
  <c r="L151" i="13" s="1" a="1"/>
  <c r="L151" i="13" s="1"/>
  <c r="L146" i="13" a="1"/>
  <c r="L146" i="13" s="1"/>
  <c r="L173" i="13" s="1"/>
  <c r="I146" i="13" a="1"/>
  <c r="I146" i="13" s="1"/>
  <c r="I173" i="13" s="1"/>
  <c r="I74" i="12"/>
  <c r="I69" i="12"/>
  <c r="I151" i="13" s="1" a="1"/>
  <c r="I151" i="13" s="1"/>
  <c r="N55" i="12"/>
  <c r="N60" i="12"/>
  <c r="J146" i="13" a="1"/>
  <c r="J146" i="13" s="1"/>
  <c r="J173" i="13" s="1"/>
  <c r="J74" i="12"/>
  <c r="J69" i="12"/>
  <c r="J151" i="13" s="1" a="1"/>
  <c r="J151" i="13" s="1"/>
  <c r="O78" i="13" a="1"/>
  <c r="O78" i="13" s="1"/>
  <c r="O105" i="13" s="1"/>
  <c r="D41" i="12"/>
  <c r="D83" i="13" s="1" a="1"/>
  <c r="D83" i="13" s="1"/>
  <c r="D46" i="12"/>
  <c r="H46" i="12"/>
  <c r="H41" i="12"/>
  <c r="H83" i="13" s="1" a="1"/>
  <c r="H83" i="13" s="1"/>
  <c r="E146" i="13" a="1"/>
  <c r="E146" i="13" s="1"/>
  <c r="E173" i="13" s="1"/>
  <c r="E74" i="12"/>
  <c r="E69" i="12"/>
  <c r="E151" i="13" s="1" a="1"/>
  <c r="E151" i="13" s="1"/>
  <c r="K60" i="12"/>
  <c r="K55" i="12"/>
  <c r="G55" i="12"/>
  <c r="G60" i="12"/>
  <c r="I66" i="12" a="1"/>
  <c r="I66" i="12" s="1"/>
  <c r="H66" i="12" a="1"/>
  <c r="H66" i="12" s="1"/>
  <c r="O66" i="12" a="1"/>
  <c r="O66" i="12" s="1"/>
  <c r="G66" i="12" a="1"/>
  <c r="G66" i="12" s="1"/>
  <c r="N66" i="12" a="1"/>
  <c r="N66" i="12" s="1"/>
  <c r="F66" i="12" a="1"/>
  <c r="F66" i="12" s="1"/>
  <c r="M66" i="12" a="1"/>
  <c r="M66" i="12" s="1"/>
  <c r="E66" i="12" a="1"/>
  <c r="E66" i="12" s="1"/>
  <c r="L66" i="12" a="1"/>
  <c r="L66" i="12" s="1"/>
  <c r="D66" i="12" a="1"/>
  <c r="D66" i="12" s="1"/>
  <c r="J66" i="12" a="1"/>
  <c r="J66" i="12" s="1"/>
  <c r="K66" i="12" a="1"/>
  <c r="K66" i="12" s="1"/>
  <c r="M67" i="12" a="1"/>
  <c r="M67" i="12" s="1"/>
  <c r="E67" i="12" a="1"/>
  <c r="E67" i="12" s="1"/>
  <c r="L67" i="12" a="1"/>
  <c r="L67" i="12" s="1"/>
  <c r="D67" i="12" a="1"/>
  <c r="D67" i="12" s="1"/>
  <c r="K67" i="12" a="1"/>
  <c r="K67" i="12" s="1"/>
  <c r="J67" i="12" a="1"/>
  <c r="J67" i="12" s="1"/>
  <c r="I67" i="12" a="1"/>
  <c r="I67" i="12" s="1"/>
  <c r="H67" i="12" a="1"/>
  <c r="H67" i="12" s="1"/>
  <c r="N67" i="12" a="1"/>
  <c r="N67" i="12" s="1"/>
  <c r="F67" i="12" a="1"/>
  <c r="F67" i="12" s="1"/>
  <c r="O67" i="12" a="1"/>
  <c r="O67" i="12" s="1"/>
  <c r="G67" i="12" a="1"/>
  <c r="G67" i="12" s="1"/>
  <c r="L41" i="12"/>
  <c r="L83" i="13" s="1" a="1"/>
  <c r="L83" i="13" s="1"/>
  <c r="L46" i="12"/>
  <c r="I46" i="12"/>
  <c r="I41" i="12"/>
  <c r="I83" i="13" s="1" a="1"/>
  <c r="I83" i="13" s="1"/>
  <c r="M146" i="13" a="1"/>
  <c r="M146" i="13" s="1"/>
  <c r="M173" i="13" s="1"/>
  <c r="M69" i="12"/>
  <c r="M151" i="13" s="1" a="1"/>
  <c r="M151" i="13" s="1"/>
  <c r="M74" i="12"/>
  <c r="J55" i="12"/>
  <c r="J60" i="12"/>
  <c r="O60" i="12"/>
  <c r="O55" i="12"/>
  <c r="N46" i="12"/>
  <c r="N41" i="12"/>
  <c r="N83" i="13" s="1" a="1"/>
  <c r="N83" i="13" s="1"/>
  <c r="M60" i="12"/>
  <c r="M55" i="12"/>
  <c r="M39" i="12" a="1"/>
  <c r="M39" i="12" s="1"/>
  <c r="E39" i="12" a="1"/>
  <c r="E39" i="12" s="1"/>
  <c r="L39" i="12" a="1"/>
  <c r="L39" i="12" s="1"/>
  <c r="D39" i="12" a="1"/>
  <c r="D39" i="12" s="1"/>
  <c r="K39" i="12" a="1"/>
  <c r="K39" i="12" s="1"/>
  <c r="J39" i="12" a="1"/>
  <c r="J39" i="12" s="1"/>
  <c r="I39" i="12" a="1"/>
  <c r="I39" i="12" s="1"/>
  <c r="H39" i="12" a="1"/>
  <c r="H39" i="12" s="1"/>
  <c r="N39" i="12" a="1"/>
  <c r="N39" i="12" s="1"/>
  <c r="F39" i="12" a="1"/>
  <c r="F39" i="12" s="1"/>
  <c r="O39" i="12" a="1"/>
  <c r="O39" i="12" s="1"/>
  <c r="G39" i="12" a="1"/>
  <c r="G39" i="12" s="1"/>
  <c r="I78" i="13" a="1"/>
  <c r="I78" i="13" s="1"/>
  <c r="I105" i="13" s="1"/>
  <c r="E41" i="12"/>
  <c r="E83" i="13" s="1" a="1"/>
  <c r="E83" i="13" s="1"/>
  <c r="E46" i="12"/>
  <c r="F146" i="13" a="1"/>
  <c r="F146" i="13" s="1"/>
  <c r="F173" i="13" s="1"/>
  <c r="F69" i="12"/>
  <c r="F151" i="13" s="1" a="1"/>
  <c r="F151" i="13" s="1"/>
  <c r="F74" i="12"/>
  <c r="D55" i="12"/>
  <c r="D60" i="12"/>
  <c r="H60" i="12"/>
  <c r="H55" i="12"/>
  <c r="O146" i="13" a="1"/>
  <c r="O146" i="13" s="1"/>
  <c r="O173" i="13" s="1"/>
  <c r="O74" i="12"/>
  <c r="O69" i="12"/>
  <c r="O151" i="13" s="1" a="1"/>
  <c r="O151" i="13" s="1"/>
  <c r="I52" i="12" a="1"/>
  <c r="I52" i="12" s="1"/>
  <c r="H52" i="12" a="1"/>
  <c r="H52" i="12" s="1"/>
  <c r="O52" i="12" a="1"/>
  <c r="O52" i="12" s="1"/>
  <c r="G52" i="12" a="1"/>
  <c r="G52" i="12" s="1"/>
  <c r="N52" i="12" a="1"/>
  <c r="N52" i="12" s="1"/>
  <c r="F52" i="12" a="1"/>
  <c r="F52" i="12" s="1"/>
  <c r="M52" i="12" a="1"/>
  <c r="M52" i="12" s="1"/>
  <c r="E52" i="12" a="1"/>
  <c r="E52" i="12" s="1"/>
  <c r="L52" i="12" a="1"/>
  <c r="L52" i="12" s="1"/>
  <c r="D52" i="12" a="1"/>
  <c r="D52" i="12" s="1"/>
  <c r="J52" i="12" a="1"/>
  <c r="J52" i="12" s="1"/>
  <c r="K52" i="12" a="1"/>
  <c r="K52" i="12" s="1"/>
  <c r="I77" i="12" a="1"/>
  <c r="I77" i="12" s="1"/>
  <c r="H77" i="12" a="1"/>
  <c r="H77" i="12" s="1"/>
  <c r="O77" i="12" a="1"/>
  <c r="O77" i="12" s="1"/>
  <c r="G77" i="12" a="1"/>
  <c r="G77" i="12" s="1"/>
  <c r="N77" i="12" a="1"/>
  <c r="N77" i="12" s="1"/>
  <c r="F77" i="12" a="1"/>
  <c r="F77" i="12" s="1"/>
  <c r="M77" i="12" a="1"/>
  <c r="M77" i="12" s="1"/>
  <c r="E77" i="12" a="1"/>
  <c r="E77" i="12" s="1"/>
  <c r="L77" i="12" a="1"/>
  <c r="L77" i="12" s="1"/>
  <c r="D77" i="12" a="1"/>
  <c r="D77" i="12" s="1"/>
  <c r="J77" i="12" a="1"/>
  <c r="J77" i="12" s="1"/>
  <c r="K77" i="12" a="1"/>
  <c r="K77" i="12" s="1"/>
  <c r="M41" i="12"/>
  <c r="M83" i="13" s="1" a="1"/>
  <c r="M83" i="13" s="1"/>
  <c r="M46" i="12"/>
  <c r="N146" i="13" a="1"/>
  <c r="N146" i="13" s="1"/>
  <c r="N173" i="13" s="1"/>
  <c r="N69" i="12"/>
  <c r="N151" i="13" s="1" a="1"/>
  <c r="N151" i="13" s="1"/>
  <c r="N74" i="12"/>
  <c r="L55" i="12"/>
  <c r="L60" i="12"/>
  <c r="I60" i="12"/>
  <c r="I55" i="12"/>
  <c r="W5" i="1" a="1"/>
  <c r="W5" i="1" s="1"/>
  <c r="C21" i="28" a="1"/>
  <c r="C21" i="28" s="1"/>
  <c r="A5" i="13" a="1"/>
  <c r="A5" i="13" s="1"/>
  <c r="A6" i="12" a="1"/>
  <c r="A6" i="12" s="1"/>
  <c r="A5" i="10" a="1"/>
  <c r="A5" i="10" s="1"/>
  <c r="G26" i="22"/>
  <c r="F118" i="22"/>
  <c r="J14" i="12"/>
  <c r="J15" i="12" s="1"/>
  <c r="L14" i="12"/>
  <c r="L15" i="12" s="1"/>
  <c r="I14" i="12"/>
  <c r="I16" i="12" s="1"/>
  <c r="F14" i="12"/>
  <c r="F16" i="12" s="1"/>
  <c r="K14" i="12"/>
  <c r="K16" i="12" s="1"/>
  <c r="E14" i="12"/>
  <c r="E15" i="12" s="1"/>
  <c r="H14" i="12"/>
  <c r="H16" i="12" s="1"/>
  <c r="G14" i="12"/>
  <c r="G16" i="12" s="1"/>
  <c r="M14" i="12"/>
  <c r="M16" i="12" s="1"/>
  <c r="D14" i="12"/>
  <c r="D15" i="12" s="1"/>
  <c r="N14" i="12"/>
  <c r="N15" i="12" s="1"/>
  <c r="O14" i="12"/>
  <c r="O16" i="12" s="1"/>
  <c r="C98" i="20" a="1"/>
  <c r="C98" i="20" s="1"/>
  <c r="C15" i="20" a="1"/>
  <c r="C15" i="20" s="1"/>
  <c r="C86" i="20" a="1"/>
  <c r="C86" i="20" s="1"/>
  <c r="C122" i="20" a="1"/>
  <c r="C122" i="20" s="1"/>
  <c r="C27" i="20" a="1"/>
  <c r="C27" i="20" s="1"/>
  <c r="C26" i="20" a="1"/>
  <c r="C26" i="20" s="1"/>
  <c r="C14" i="20" a="1"/>
  <c r="C14" i="20" s="1"/>
  <c r="C123" i="20" a="1"/>
  <c r="C123" i="20" s="1"/>
  <c r="C63" i="20" a="1"/>
  <c r="C63" i="20" s="1"/>
  <c r="C39" i="20" a="1"/>
  <c r="C39" i="20" s="1"/>
  <c r="C74" i="20" a="1"/>
  <c r="C74" i="20" s="1"/>
  <c r="C87" i="20" a="1"/>
  <c r="C87" i="20" s="1"/>
  <c r="C38" i="20" a="1"/>
  <c r="C38" i="20" s="1"/>
  <c r="C62" i="20" a="1"/>
  <c r="C62" i="20" s="1"/>
  <c r="C99" i="20" a="1"/>
  <c r="C99" i="20" s="1"/>
  <c r="C50" i="20" a="1"/>
  <c r="C50" i="20" s="1"/>
  <c r="C75" i="20" a="1"/>
  <c r="C75" i="20" s="1"/>
  <c r="C111" i="20" a="1"/>
  <c r="C111" i="20" s="1"/>
  <c r="C51" i="20" a="1"/>
  <c r="C51" i="20" s="1"/>
  <c r="C110" i="20" a="1"/>
  <c r="C110" i="20" s="1"/>
  <c r="J9" i="13" a="1"/>
  <c r="J9" i="13" s="1"/>
  <c r="F45" i="13" a="1"/>
  <c r="F45" i="13" s="1"/>
  <c r="J10" i="13" a="1"/>
  <c r="J10" i="13" s="1"/>
  <c r="J37" i="13" s="1"/>
  <c r="J11" i="13" a="1"/>
  <c r="J11" i="13" s="1"/>
  <c r="M79" i="13" a="1"/>
  <c r="M79" i="13" s="1"/>
  <c r="G9" i="13" a="1"/>
  <c r="G9" i="13" s="1"/>
  <c r="K9" i="13" a="1"/>
  <c r="K9" i="13" s="1"/>
  <c r="O9" i="13" a="1"/>
  <c r="O9" i="13" s="1"/>
  <c r="H45" i="13" a="1"/>
  <c r="H45" i="13" s="1"/>
  <c r="F79" i="13" a="1"/>
  <c r="F79" i="13" s="1"/>
  <c r="N79" i="13" a="1"/>
  <c r="N79" i="13" s="1"/>
  <c r="D8" i="13" a="1"/>
  <c r="D8" i="13" s="1"/>
  <c r="D35" i="13" s="1"/>
  <c r="F10" i="13" a="1"/>
  <c r="F10" i="13" s="1"/>
  <c r="F37" i="13" s="1"/>
  <c r="D15" i="13" a="1"/>
  <c r="D15" i="13" s="1"/>
  <c r="E112" i="13" a="1"/>
  <c r="E112" i="13" s="1"/>
  <c r="E139" i="13" s="1"/>
  <c r="N112" i="13" a="1"/>
  <c r="N112" i="13" s="1"/>
  <c r="N139" i="13" s="1"/>
  <c r="M49" i="13" a="1"/>
  <c r="M49" i="13" s="1"/>
  <c r="L79" i="13" a="1"/>
  <c r="L79" i="13" s="1"/>
  <c r="N9" i="13" a="1"/>
  <c r="N9" i="13" s="1"/>
  <c r="D79" i="13" a="1"/>
  <c r="D79" i="13" s="1"/>
  <c r="F8" i="13" a="1"/>
  <c r="F8" i="13" s="1"/>
  <c r="F35" i="13" s="1"/>
  <c r="F11" i="13" a="1"/>
  <c r="F11" i="13" s="1"/>
  <c r="J8" i="13" a="1"/>
  <c r="J8" i="13" s="1"/>
  <c r="J35" i="13" s="1"/>
  <c r="I112" i="13" a="1"/>
  <c r="I112" i="13" s="1"/>
  <c r="I139" i="13" s="1"/>
  <c r="K11" i="13" a="1"/>
  <c r="K11" i="13" s="1"/>
  <c r="O79" i="13" a="1"/>
  <c r="O79" i="13" s="1"/>
  <c r="N8" i="13" a="1"/>
  <c r="N8" i="13" s="1"/>
  <c r="N35" i="13" s="1"/>
  <c r="N10" i="13" a="1"/>
  <c r="N10" i="13" s="1"/>
  <c r="N37" i="13" s="1"/>
  <c r="E49" i="13" a="1"/>
  <c r="E49" i="13" s="1"/>
  <c r="K112" i="13" a="1"/>
  <c r="K112" i="13" s="1"/>
  <c r="K139" i="13" s="1"/>
  <c r="J112" i="13" a="1"/>
  <c r="J112" i="13" s="1"/>
  <c r="J139" i="13" s="1"/>
  <c r="N49" i="13" a="1"/>
  <c r="N49" i="13" s="1"/>
  <c r="H9" i="13" a="1"/>
  <c r="H9" i="13" s="1"/>
  <c r="D45" i="13" a="1"/>
  <c r="D45" i="13" s="1"/>
  <c r="J45" i="13" a="1"/>
  <c r="J45" i="13" s="1"/>
  <c r="H79" i="13" a="1"/>
  <c r="H79" i="13" s="1"/>
  <c r="I8" i="13" a="1"/>
  <c r="I8" i="13" s="1"/>
  <c r="I35" i="13" s="1"/>
  <c r="E10" i="13" a="1"/>
  <c r="E10" i="13" s="1"/>
  <c r="E37" i="13" s="1"/>
  <c r="E13" i="13" a="1"/>
  <c r="E13" i="13" s="1"/>
  <c r="D112" i="13" a="1"/>
  <c r="D112" i="13" s="1"/>
  <c r="D139" i="13" s="1"/>
  <c r="J49" i="13" a="1"/>
  <c r="J49" i="13" s="1"/>
  <c r="N45" i="13" a="1"/>
  <c r="N45" i="13" s="1"/>
  <c r="L8" i="13" a="1"/>
  <c r="L8" i="13" s="1"/>
  <c r="L35" i="13" s="1"/>
  <c r="L112" i="13" a="1"/>
  <c r="L112" i="13" s="1"/>
  <c r="L139" i="13" s="1"/>
  <c r="I49" i="13" a="1"/>
  <c r="I49" i="13" s="1"/>
  <c r="O45" i="13" a="1"/>
  <c r="O45" i="13" s="1"/>
  <c r="G49" i="13" a="1"/>
  <c r="G49" i="13" s="1"/>
  <c r="D49" i="13" a="1"/>
  <c r="D49" i="13" s="1"/>
  <c r="G11" i="13" a="1"/>
  <c r="G11" i="13" s="1"/>
  <c r="O11" i="13" a="1"/>
  <c r="O11" i="13" s="1"/>
  <c r="I45" i="13" a="1"/>
  <c r="I45" i="13" s="1"/>
  <c r="G79" i="13" a="1"/>
  <c r="G79" i="13" s="1"/>
  <c r="F49" i="13" a="1"/>
  <c r="F49" i="13" s="1"/>
  <c r="D11" i="13" a="1"/>
  <c r="D11" i="13" s="1"/>
  <c r="L9" i="13" a="1"/>
  <c r="L9" i="13" s="1"/>
  <c r="H11" i="13" a="1"/>
  <c r="H11" i="13" s="1"/>
  <c r="L11" i="13" a="1"/>
  <c r="L11" i="13" s="1"/>
  <c r="K45" i="13" a="1"/>
  <c r="K45" i="13" s="1"/>
  <c r="I79" i="13" a="1"/>
  <c r="I79" i="13" s="1"/>
  <c r="O8" i="13" a="1"/>
  <c r="O8" i="13" s="1"/>
  <c r="O35" i="13" s="1"/>
  <c r="M10" i="13" a="1"/>
  <c r="M10" i="13" s="1"/>
  <c r="M37" i="13" s="1"/>
  <c r="K49" i="13" a="1"/>
  <c r="K49" i="13" s="1"/>
  <c r="H112" i="13" a="1"/>
  <c r="H112" i="13" s="1"/>
  <c r="H139" i="13" s="1"/>
  <c r="F112" i="13" a="1"/>
  <c r="F112" i="13" s="1"/>
  <c r="F139" i="13" s="1"/>
  <c r="H49" i="13" a="1"/>
  <c r="H49" i="13" s="1"/>
  <c r="N11" i="13" a="1"/>
  <c r="N11" i="13" s="1"/>
  <c r="G45" i="13" a="1"/>
  <c r="G45" i="13" s="1"/>
  <c r="E79" i="13" a="1"/>
  <c r="E79" i="13" s="1"/>
  <c r="K8" i="13" a="1"/>
  <c r="K8" i="13" s="1"/>
  <c r="K35" i="13" s="1"/>
  <c r="O112" i="13" a="1"/>
  <c r="O112" i="13" s="1"/>
  <c r="O139" i="13" s="1"/>
  <c r="E11" i="13" a="1"/>
  <c r="E11" i="13" s="1"/>
  <c r="I9" i="13" a="1"/>
  <c r="I9" i="13" s="1"/>
  <c r="M9" i="13" a="1"/>
  <c r="M9" i="13" s="1"/>
  <c r="E45" i="13" a="1"/>
  <c r="E45" i="13" s="1"/>
  <c r="L45" i="13" a="1"/>
  <c r="L45" i="13" s="1"/>
  <c r="J79" i="13" a="1"/>
  <c r="J79" i="13" s="1"/>
  <c r="H8" i="13" a="1"/>
  <c r="H8" i="13" s="1"/>
  <c r="H35" i="13" s="1"/>
  <c r="I10" i="13" a="1"/>
  <c r="I10" i="13" s="1"/>
  <c r="I37" i="13" s="1"/>
  <c r="G112" i="13" a="1"/>
  <c r="G112" i="13" s="1"/>
  <c r="G139" i="13" s="1"/>
  <c r="I11" i="13" a="1"/>
  <c r="I11" i="13" s="1"/>
  <c r="M11" i="13" a="1"/>
  <c r="M11" i="13" s="1"/>
  <c r="M45" i="13" a="1"/>
  <c r="M45" i="13" s="1"/>
  <c r="K79" i="13" a="1"/>
  <c r="K79" i="13" s="1"/>
  <c r="G8" i="13" a="1"/>
  <c r="G8" i="13" s="1"/>
  <c r="G35" i="13" s="1"/>
  <c r="M8" i="13" a="1"/>
  <c r="M8" i="13" s="1"/>
  <c r="M35" i="13" s="1"/>
  <c r="G10" i="13" a="1"/>
  <c r="G10" i="13" s="1"/>
  <c r="G37" i="13" s="1"/>
  <c r="M112" i="13" a="1"/>
  <c r="M112" i="13" s="1"/>
  <c r="M139" i="13" s="1"/>
  <c r="L49" i="13" a="1"/>
  <c r="L49" i="13" s="1"/>
  <c r="F8" i="12" a="1"/>
  <c r="F8" i="12" s="1"/>
  <c r="D8" i="12" a="1"/>
  <c r="D8" i="12" s="1"/>
  <c r="E8" i="12" a="1"/>
  <c r="E8" i="12" s="1"/>
  <c r="I5" i="10"/>
  <c r="D5" i="10"/>
  <c r="J5" i="10"/>
  <c r="E5" i="10"/>
  <c r="K5" i="10"/>
  <c r="F5" i="10"/>
  <c r="L5" i="10"/>
  <c r="M5" i="10"/>
  <c r="N5" i="10"/>
  <c r="O5" i="10"/>
  <c r="H5" i="10"/>
  <c r="G5" i="10"/>
  <c r="B44" i="13"/>
  <c r="B45" i="13" s="1"/>
  <c r="B41" i="13"/>
  <c r="B42" i="13" s="1"/>
  <c r="B43" i="13" s="1"/>
  <c r="H10" i="13" a="1"/>
  <c r="H10" i="13" s="1"/>
  <c r="H37" i="13" s="1"/>
  <c r="K10" i="13" a="1"/>
  <c r="K10" i="13" s="1"/>
  <c r="K37" i="13" s="1"/>
  <c r="O10" i="13" a="1"/>
  <c r="O10" i="13" s="1"/>
  <c r="O37" i="13" s="1"/>
  <c r="L10" i="13" a="1"/>
  <c r="L10" i="13" s="1"/>
  <c r="L37" i="13" s="1"/>
  <c r="AA215" i="10"/>
  <c r="AA202" i="10"/>
  <c r="AA203" i="10" s="1"/>
  <c r="AA177" i="10"/>
  <c r="AA190" i="10"/>
  <c r="B20" i="12" a="1"/>
  <c r="B20" i="12" s="1"/>
  <c r="R104" i="12"/>
  <c r="R92" i="12"/>
  <c r="R91" i="12"/>
  <c r="R79" i="12"/>
  <c r="R80" i="12"/>
  <c r="K18" i="12"/>
  <c r="O18" i="12"/>
  <c r="L18" i="12"/>
  <c r="H18" i="12"/>
  <c r="R53" i="12"/>
  <c r="H17" i="12"/>
  <c r="I18" i="12"/>
  <c r="G17" i="12"/>
  <c r="M17" i="12"/>
  <c r="G18" i="12"/>
  <c r="L17" i="12"/>
  <c r="F17" i="12"/>
  <c r="J18" i="12"/>
  <c r="J17" i="12"/>
  <c r="K17" i="12"/>
  <c r="D17" i="12"/>
  <c r="F18" i="12"/>
  <c r="N17" i="12"/>
  <c r="N18" i="12"/>
  <c r="I17" i="12"/>
  <c r="E18" i="12"/>
  <c r="O17" i="12"/>
  <c r="M18" i="12"/>
  <c r="B6" i="10"/>
  <c r="P6" i="10" s="1"/>
  <c r="AB5" i="1" a="1"/>
  <c r="AB5" i="1" s="1"/>
  <c r="AG388" i="1"/>
  <c r="CB388" i="1"/>
  <c r="CN388" i="1"/>
  <c r="H6" i="6"/>
  <c r="G7" i="6"/>
  <c r="L4" i="6"/>
  <c r="R11" i="8"/>
  <c r="S11" i="8" s="1"/>
  <c r="S10" i="8"/>
  <c r="S4" i="6"/>
  <c r="R5" i="6"/>
  <c r="R6" i="6" s="1"/>
  <c r="F7" i="8"/>
  <c r="K7" i="8" s="1"/>
  <c r="L7" i="8" s="1"/>
  <c r="E8" i="8"/>
  <c r="S7" i="8"/>
  <c r="R6" i="7"/>
  <c r="S5" i="7"/>
  <c r="I3" i="6"/>
  <c r="S3" i="6"/>
  <c r="H5" i="6"/>
  <c r="F7" i="6"/>
  <c r="K7" i="6" s="1"/>
  <c r="G7" i="7"/>
  <c r="K8" i="6"/>
  <c r="I12" i="6"/>
  <c r="L12" i="6" s="1"/>
  <c r="I14" i="6"/>
  <c r="L14" i="6" s="1"/>
  <c r="I3" i="8"/>
  <c r="L3" i="8" s="1"/>
  <c r="M3" i="8" s="1"/>
  <c r="F6" i="8"/>
  <c r="I4" i="8"/>
  <c r="L4" i="8" s="1"/>
  <c r="I6" i="8"/>
  <c r="S6" i="8"/>
  <c r="I8" i="8"/>
  <c r="K6" i="8"/>
  <c r="AI98" i="19" l="1"/>
  <c r="AJ97" i="19"/>
  <c r="AK97" i="19" s="1" a="1"/>
  <c r="AK97" i="19" s="1"/>
  <c r="O73" i="9"/>
  <c r="W143" i="19"/>
  <c r="X142" i="19"/>
  <c r="Y142" i="19" s="1" a="1"/>
  <c r="Y142" i="19" s="1"/>
  <c r="AX83" i="19"/>
  <c r="AY82" i="19"/>
  <c r="AZ82" i="19" s="1" a="1"/>
  <c r="AZ82" i="19" s="1"/>
  <c r="AV7" i="19"/>
  <c r="AW7" i="19" s="1" a="1"/>
  <c r="AW7" i="19" s="1"/>
  <c r="FP11" i="23" a="1"/>
  <c r="FP11" i="23" s="1"/>
  <c r="AU8" i="19"/>
  <c r="AU98" i="19"/>
  <c r="AV97" i="19"/>
  <c r="AW97" i="19" s="1" a="1"/>
  <c r="AW97" i="19" s="1"/>
  <c r="Q113" i="19"/>
  <c r="R112" i="19"/>
  <c r="S112" i="19" s="1" a="1"/>
  <c r="S112" i="19" s="1"/>
  <c r="AC98" i="19"/>
  <c r="AD97" i="19"/>
  <c r="AE97" i="19" s="1" a="1"/>
  <c r="AE97" i="19" s="1"/>
  <c r="AO68" i="19"/>
  <c r="AP67" i="19"/>
  <c r="AQ67" i="19" s="1" a="1"/>
  <c r="AQ67" i="19" s="1"/>
  <c r="K80" i="20"/>
  <c r="AC83" i="19"/>
  <c r="AD82" i="19"/>
  <c r="AE82" i="19" s="1" a="1"/>
  <c r="AE82" i="19" s="1"/>
  <c r="E68" i="20"/>
  <c r="Q65" i="20"/>
  <c r="Q53" i="19"/>
  <c r="R52" i="19"/>
  <c r="S52" i="19" s="1" a="1"/>
  <c r="S52" i="19" s="1"/>
  <c r="DD13" i="23" a="1"/>
  <c r="DD13" i="23" s="1"/>
  <c r="AI38" i="19"/>
  <c r="AJ37" i="19"/>
  <c r="AK37" i="19" s="1" a="1"/>
  <c r="AK37" i="19" s="1"/>
  <c r="AF23" i="19"/>
  <c r="AG22" i="19"/>
  <c r="AH22" i="19" s="1" a="1"/>
  <c r="AH22" i="19" s="1"/>
  <c r="CN12" i="23" a="1"/>
  <c r="CN12" i="23" s="1"/>
  <c r="K56" i="20"/>
  <c r="Q18" i="20"/>
  <c r="I20" i="20"/>
  <c r="I21" i="20" s="1" a="1"/>
  <c r="I21" i="20" s="1"/>
  <c r="I22" i="20" s="1"/>
  <c r="T8" i="19"/>
  <c r="AB11" i="23" a="1"/>
  <c r="AB11" i="23" s="1"/>
  <c r="U7" i="19"/>
  <c r="V7" i="19" s="1" a="1"/>
  <c r="V7" i="19" s="1"/>
  <c r="AU83" i="19"/>
  <c r="AV82" i="19"/>
  <c r="AW82" i="19" s="1" a="1"/>
  <c r="AW82" i="19" s="1"/>
  <c r="EZ13" i="23" a="1"/>
  <c r="EZ13" i="23" s="1"/>
  <c r="AR38" i="19"/>
  <c r="AS37" i="19"/>
  <c r="AT37" i="19" s="1" a="1"/>
  <c r="AT37" i="19" s="1"/>
  <c r="AC23" i="19"/>
  <c r="BX12" i="23" a="1"/>
  <c r="BX12" i="23" s="1"/>
  <c r="AD22" i="19"/>
  <c r="AE22" i="19" s="1" a="1"/>
  <c r="AE22" i="19" s="1"/>
  <c r="O66" i="9"/>
  <c r="AC143" i="19"/>
  <c r="AD142" i="19"/>
  <c r="AE142" i="19" s="1" a="1"/>
  <c r="AE142" i="19" s="1"/>
  <c r="AU128" i="19"/>
  <c r="AV127" i="19"/>
  <c r="AW127" i="19" s="1" a="1"/>
  <c r="AW127" i="19" s="1"/>
  <c r="AU113" i="19"/>
  <c r="AV112" i="19"/>
  <c r="AW112" i="19" s="1" a="1"/>
  <c r="AW112" i="19" s="1"/>
  <c r="Z113" i="19"/>
  <c r="AA112" i="19"/>
  <c r="AB112" i="19" s="1" a="1"/>
  <c r="AB112" i="19" s="1"/>
  <c r="T98" i="19"/>
  <c r="U97" i="19"/>
  <c r="V97" i="19" s="1" a="1"/>
  <c r="V97" i="19" s="1"/>
  <c r="AS52" i="19"/>
  <c r="AT52" i="19" s="1" a="1"/>
  <c r="AT52" i="19" s="1"/>
  <c r="AR53" i="19"/>
  <c r="F92" i="20"/>
  <c r="Q67" i="20"/>
  <c r="AL53" i="19"/>
  <c r="AM52" i="19"/>
  <c r="AN52" i="19" s="1" a="1"/>
  <c r="AN52" i="19" s="1"/>
  <c r="Q66" i="20"/>
  <c r="AJ7" i="19"/>
  <c r="AK7" i="19" s="1" a="1"/>
  <c r="AK7" i="19" s="1"/>
  <c r="AI8" i="19"/>
  <c r="DD11" i="23" a="1"/>
  <c r="DD11" i="23" s="1"/>
  <c r="G56" i="20"/>
  <c r="Q31" i="20"/>
  <c r="T23" i="19"/>
  <c r="AB12" i="23" a="1"/>
  <c r="AB12" i="23" s="1"/>
  <c r="U22" i="19"/>
  <c r="V22" i="19" s="1" a="1"/>
  <c r="V22" i="19" s="1"/>
  <c r="AR143" i="19"/>
  <c r="AS142" i="19"/>
  <c r="AT142" i="19" s="1" a="1"/>
  <c r="AT142" i="19" s="1"/>
  <c r="O116" i="20"/>
  <c r="AR128" i="19"/>
  <c r="AS127" i="19"/>
  <c r="AT127" i="19" s="1" a="1"/>
  <c r="AT127" i="19" s="1"/>
  <c r="AO128" i="19"/>
  <c r="AP127" i="19"/>
  <c r="AQ127" i="19" s="1" a="1"/>
  <c r="AQ127" i="19" s="1"/>
  <c r="AC113" i="19"/>
  <c r="AD112" i="19"/>
  <c r="AE112" i="19" s="1" a="1"/>
  <c r="AE112" i="19" s="1"/>
  <c r="L104" i="20"/>
  <c r="J92" i="20"/>
  <c r="W83" i="19"/>
  <c r="X82" i="19"/>
  <c r="Y82" i="19" s="1" a="1"/>
  <c r="Y82" i="19" s="1"/>
  <c r="H80" i="20"/>
  <c r="Q68" i="19"/>
  <c r="R67" i="19"/>
  <c r="S67" i="19" s="1" a="1"/>
  <c r="S67" i="19" s="1"/>
  <c r="DT13" i="23" a="1"/>
  <c r="DT13" i="23" s="1"/>
  <c r="AL38" i="19"/>
  <c r="AM37" i="19"/>
  <c r="AN37" i="19" s="1" a="1"/>
  <c r="AN37" i="19" s="1"/>
  <c r="Q42" i="20"/>
  <c r="AD7" i="19"/>
  <c r="AE7" i="19" s="1" a="1"/>
  <c r="AE7" i="19" s="1"/>
  <c r="AC8" i="19"/>
  <c r="BX11" i="23" a="1"/>
  <c r="BX11" i="23" s="1"/>
  <c r="P20" i="20"/>
  <c r="AF113" i="19"/>
  <c r="AG112" i="19"/>
  <c r="AH112" i="19" s="1" a="1"/>
  <c r="AH112" i="19" s="1"/>
  <c r="W53" i="19"/>
  <c r="X52" i="19"/>
  <c r="Y52" i="19" s="1" a="1"/>
  <c r="Y52" i="19" s="1"/>
  <c r="O77" i="9"/>
  <c r="O71" i="9"/>
  <c r="AI143" i="19"/>
  <c r="AJ142" i="19"/>
  <c r="AK142" i="19" s="1" a="1"/>
  <c r="AK142" i="19" s="1"/>
  <c r="J116" i="20"/>
  <c r="AX113" i="19"/>
  <c r="AY112" i="19"/>
  <c r="AZ112" i="19" s="1" a="1"/>
  <c r="AZ112" i="19" s="1"/>
  <c r="W128" i="19"/>
  <c r="X127" i="19"/>
  <c r="Y127" i="19" s="1" a="1"/>
  <c r="Y127" i="19" s="1"/>
  <c r="AO113" i="19"/>
  <c r="AP112" i="19"/>
  <c r="AQ112" i="19" s="1" a="1"/>
  <c r="AQ112" i="19" s="1"/>
  <c r="G104" i="20"/>
  <c r="Q90" i="20"/>
  <c r="AI83" i="19"/>
  <c r="AJ82" i="19"/>
  <c r="AK82" i="19" s="1" a="1"/>
  <c r="AK82" i="19" s="1"/>
  <c r="AO83" i="19"/>
  <c r="AP82" i="19"/>
  <c r="AQ82" i="19" s="1" a="1"/>
  <c r="AQ82" i="19" s="1"/>
  <c r="G80" i="20"/>
  <c r="Q83" i="19"/>
  <c r="R82" i="19"/>
  <c r="S82" i="19" s="1" a="1"/>
  <c r="S82" i="19" s="1"/>
  <c r="AC68" i="19"/>
  <c r="AD67" i="19"/>
  <c r="AE67" i="19" s="1" a="1"/>
  <c r="AE67" i="19" s="1"/>
  <c r="AF53" i="19"/>
  <c r="AG52" i="19"/>
  <c r="AH52" i="19" s="1" a="1"/>
  <c r="AH52" i="19" s="1"/>
  <c r="P44" i="20"/>
  <c r="L56" i="20"/>
  <c r="N32" i="20"/>
  <c r="Q29" i="20"/>
  <c r="E32" i="20"/>
  <c r="AL68" i="19"/>
  <c r="AM67" i="19"/>
  <c r="AN67" i="19" s="1" a="1"/>
  <c r="AN67" i="19" s="1"/>
  <c r="S5" i="6"/>
  <c r="AX143" i="19"/>
  <c r="AY142" i="19"/>
  <c r="AZ142" i="19" s="1" a="1"/>
  <c r="AZ142" i="19" s="1"/>
  <c r="Z128" i="19"/>
  <c r="AA127" i="19"/>
  <c r="AB127" i="19" s="1" a="1"/>
  <c r="AB127" i="19" s="1"/>
  <c r="Q114" i="20"/>
  <c r="AX98" i="19"/>
  <c r="AY97" i="19"/>
  <c r="AZ97" i="19" s="1" a="1"/>
  <c r="AZ97" i="19" s="1"/>
  <c r="AF128" i="19"/>
  <c r="AG127" i="19"/>
  <c r="AH127" i="19" s="1" a="1"/>
  <c r="AH127" i="19" s="1"/>
  <c r="AU53" i="19"/>
  <c r="AV52" i="19"/>
  <c r="AW52" i="19" s="1" a="1"/>
  <c r="AW52" i="19" s="1"/>
  <c r="AI113" i="19"/>
  <c r="AJ112" i="19"/>
  <c r="AK112" i="19" s="1" a="1"/>
  <c r="AK112" i="19" s="1"/>
  <c r="O104" i="20"/>
  <c r="Z98" i="19"/>
  <c r="AA97" i="19"/>
  <c r="AB97" i="19" s="1" a="1"/>
  <c r="AB97" i="19" s="1"/>
  <c r="Z83" i="19"/>
  <c r="AA82" i="19"/>
  <c r="AB82" i="19" s="1" a="1"/>
  <c r="AB82" i="19" s="1"/>
  <c r="O68" i="20"/>
  <c r="T68" i="19"/>
  <c r="U67" i="19"/>
  <c r="V67" i="19" s="1" a="1"/>
  <c r="V67" i="19" s="1"/>
  <c r="Q53" i="20"/>
  <c r="E56" i="20"/>
  <c r="H44" i="20"/>
  <c r="I56" i="20"/>
  <c r="Q6" i="20"/>
  <c r="E8" i="20"/>
  <c r="Q5" i="20"/>
  <c r="R22" i="19"/>
  <c r="S22" i="19" s="1" a="1"/>
  <c r="S22" i="19" s="1"/>
  <c r="L12" i="23" a="1"/>
  <c r="L12" i="23" s="1"/>
  <c r="Q23" i="19"/>
  <c r="AC53" i="19"/>
  <c r="AD52" i="19"/>
  <c r="AE52" i="19" s="1" a="1"/>
  <c r="AE52" i="19" s="1"/>
  <c r="AU143" i="19"/>
  <c r="AV142" i="19"/>
  <c r="AW142" i="19" s="1" a="1"/>
  <c r="AW142" i="19" s="1"/>
  <c r="AX53" i="19"/>
  <c r="AY52" i="19"/>
  <c r="AZ52" i="19" s="1" a="1"/>
  <c r="AZ52" i="19" s="1"/>
  <c r="AL128" i="19"/>
  <c r="AM127" i="19"/>
  <c r="AN127" i="19" s="1" a="1"/>
  <c r="AN127" i="19" s="1"/>
  <c r="Q113" i="20"/>
  <c r="E116" i="20"/>
  <c r="AY7" i="19"/>
  <c r="AZ7" i="19" s="1" a="1"/>
  <c r="AZ7" i="19" s="1"/>
  <c r="GF11" i="23" a="1"/>
  <c r="GF11" i="23" s="1"/>
  <c r="AX8" i="19"/>
  <c r="M104" i="20"/>
  <c r="AO98" i="19"/>
  <c r="AP97" i="19"/>
  <c r="AQ97" i="19" s="1" a="1"/>
  <c r="AQ97" i="19" s="1"/>
  <c r="EZ12" i="23" a="1"/>
  <c r="EZ12" i="23" s="1"/>
  <c r="AR23" i="19"/>
  <c r="AS22" i="19"/>
  <c r="AT22" i="19" s="1" a="1"/>
  <c r="AT22" i="19" s="1"/>
  <c r="Q98" i="19"/>
  <c r="R97" i="19"/>
  <c r="S97" i="19" s="1" a="1"/>
  <c r="S97" i="19" s="1"/>
  <c r="AL83" i="19"/>
  <c r="AM82" i="19"/>
  <c r="AN82" i="19" s="1" a="1"/>
  <c r="AN82" i="19" s="1"/>
  <c r="EJ13" i="23" a="1"/>
  <c r="EJ13" i="23" s="1"/>
  <c r="AO38" i="19"/>
  <c r="AP37" i="19"/>
  <c r="AQ37" i="19" s="1" a="1"/>
  <c r="AQ37" i="19" s="1"/>
  <c r="L68" i="20"/>
  <c r="T53" i="19"/>
  <c r="U52" i="19"/>
  <c r="V52" i="19" s="1" a="1"/>
  <c r="V52" i="19" s="1"/>
  <c r="Z38" i="19"/>
  <c r="BH13" i="23" a="1"/>
  <c r="BH13" i="23" s="1"/>
  <c r="AA37" i="19"/>
  <c r="AB37" i="19" s="1" a="1"/>
  <c r="AB37" i="19" s="1"/>
  <c r="F56" i="20"/>
  <c r="N56" i="20"/>
  <c r="O56" i="20"/>
  <c r="Q7" i="20"/>
  <c r="W23" i="19"/>
  <c r="X22" i="19"/>
  <c r="Y22" i="19" s="1" a="1"/>
  <c r="Y22" i="19" s="1"/>
  <c r="AR12" i="23" a="1"/>
  <c r="AR12" i="23" s="1"/>
  <c r="M32" i="20"/>
  <c r="AI68" i="19"/>
  <c r="AJ67" i="19"/>
  <c r="AK67" i="19" s="1" a="1"/>
  <c r="AK67" i="19" s="1"/>
  <c r="O69" i="9"/>
  <c r="Q143" i="19"/>
  <c r="R142" i="19"/>
  <c r="S142" i="19" s="1" a="1"/>
  <c r="S142" i="19" s="1"/>
  <c r="H116" i="20"/>
  <c r="Q115" i="20"/>
  <c r="AC128" i="19"/>
  <c r="AD127" i="19"/>
  <c r="AE127" i="19" s="1" a="1"/>
  <c r="AE127" i="19" s="1"/>
  <c r="Q103" i="20"/>
  <c r="AV67" i="19"/>
  <c r="AW67" i="19" s="1" a="1"/>
  <c r="AW67" i="19" s="1"/>
  <c r="AU68" i="19"/>
  <c r="AL98" i="19"/>
  <c r="AM97" i="19"/>
  <c r="AN97" i="19" s="1" a="1"/>
  <c r="AN97" i="19" s="1"/>
  <c r="L92" i="20"/>
  <c r="F80" i="20"/>
  <c r="AO53" i="19"/>
  <c r="AP52" i="19"/>
  <c r="AQ52" i="19" s="1" a="1"/>
  <c r="AQ52" i="19" s="1"/>
  <c r="Q79" i="20"/>
  <c r="Z53" i="19"/>
  <c r="AA52" i="19"/>
  <c r="AB52" i="19" s="1" a="1"/>
  <c r="AB52" i="19" s="1"/>
  <c r="AG37" i="19"/>
  <c r="AH37" i="19" s="1" a="1"/>
  <c r="AH37" i="19" s="1"/>
  <c r="AF38" i="19"/>
  <c r="CN13" i="23" a="1"/>
  <c r="CN13" i="23" s="1"/>
  <c r="L20" i="20"/>
  <c r="AL113" i="19"/>
  <c r="AM112" i="19"/>
  <c r="AN112" i="19" s="1" a="1"/>
  <c r="AN112" i="19" s="1"/>
  <c r="Z143" i="19"/>
  <c r="AA142" i="19"/>
  <c r="AB142" i="19" s="1" a="1"/>
  <c r="AB142" i="19" s="1"/>
  <c r="AX128" i="19"/>
  <c r="AY127" i="19"/>
  <c r="AZ127" i="19" s="1" a="1"/>
  <c r="AZ127" i="19" s="1"/>
  <c r="AX68" i="19"/>
  <c r="AY67" i="19"/>
  <c r="AZ67" i="19" s="1" a="1"/>
  <c r="AZ67" i="19" s="1"/>
  <c r="Q102" i="20"/>
  <c r="E92" i="20"/>
  <c r="Q89" i="20"/>
  <c r="AR83" i="19"/>
  <c r="AS82" i="19"/>
  <c r="AT82" i="19" s="1" a="1"/>
  <c r="AT82" i="19" s="1"/>
  <c r="Q91" i="20"/>
  <c r="E80" i="20"/>
  <c r="Q77" i="20"/>
  <c r="T83" i="19"/>
  <c r="U82" i="19"/>
  <c r="V82" i="19" s="1" a="1"/>
  <c r="V82" i="19" s="1"/>
  <c r="W68" i="19"/>
  <c r="X67" i="19"/>
  <c r="Y67" i="19" s="1" a="1"/>
  <c r="Y67" i="19" s="1"/>
  <c r="Z68" i="19"/>
  <c r="AA67" i="19"/>
  <c r="AB67" i="19" s="1" a="1"/>
  <c r="AB67" i="19" s="1"/>
  <c r="DT11" i="23" a="1"/>
  <c r="DT11" i="23" s="1"/>
  <c r="AM7" i="19"/>
  <c r="AN7" i="19" s="1" a="1"/>
  <c r="AN7" i="19" s="1"/>
  <c r="AL8" i="19"/>
  <c r="AI23" i="19"/>
  <c r="AJ22" i="19"/>
  <c r="AK22" i="19" s="1" a="1"/>
  <c r="AK22" i="19" s="1"/>
  <c r="DD12" i="23" a="1"/>
  <c r="DD12" i="23" s="1"/>
  <c r="Q54" i="20"/>
  <c r="AF8" i="19"/>
  <c r="AG7" i="19"/>
  <c r="AH7" i="19" s="1" a="1"/>
  <c r="AH7" i="19" s="1"/>
  <c r="CN11" i="23" a="1"/>
  <c r="CN11" i="23" s="1"/>
  <c r="N44" i="20"/>
  <c r="Q30" i="20"/>
  <c r="Q19" i="20"/>
  <c r="O74" i="9"/>
  <c r="O68" i="9"/>
  <c r="AF143" i="19"/>
  <c r="AG142" i="19"/>
  <c r="AH142" i="19" s="1" a="1"/>
  <c r="AH142" i="19" s="1"/>
  <c r="AI128" i="19"/>
  <c r="AJ127" i="19"/>
  <c r="AK127" i="19" s="1" a="1"/>
  <c r="AK127" i="19" s="1"/>
  <c r="W113" i="19"/>
  <c r="X112" i="19"/>
  <c r="Y112" i="19" s="1" a="1"/>
  <c r="Y112" i="19" s="1"/>
  <c r="Q101" i="20"/>
  <c r="E104" i="20"/>
  <c r="T113" i="19"/>
  <c r="U112" i="19"/>
  <c r="V112" i="19" s="1" a="1"/>
  <c r="V112" i="19" s="1"/>
  <c r="AS7" i="19"/>
  <c r="AT7" i="19" s="1" a="1"/>
  <c r="AT7" i="19" s="1"/>
  <c r="AR8" i="19"/>
  <c r="EZ11" i="23" a="1"/>
  <c r="EZ11" i="23" s="1"/>
  <c r="AS67" i="19"/>
  <c r="AT67" i="19" s="1" a="1"/>
  <c r="AT67" i="19" s="1"/>
  <c r="AR68" i="19"/>
  <c r="DT12" i="23" a="1"/>
  <c r="DT12" i="23" s="1"/>
  <c r="AM22" i="19"/>
  <c r="AN22" i="19" s="1" a="1"/>
  <c r="AN22" i="19" s="1"/>
  <c r="AL23" i="19"/>
  <c r="AF68" i="19"/>
  <c r="AG67" i="19"/>
  <c r="AH67" i="19" s="1" a="1"/>
  <c r="AH67" i="19" s="1"/>
  <c r="AI53" i="19"/>
  <c r="AJ52" i="19"/>
  <c r="AK52" i="19" s="1" a="1"/>
  <c r="AK52" i="19" s="1"/>
  <c r="AR13" i="23" a="1"/>
  <c r="AR13" i="23" s="1"/>
  <c r="W38" i="19"/>
  <c r="X37" i="19"/>
  <c r="Y37" i="19" s="1" a="1"/>
  <c r="Y37" i="19" s="1"/>
  <c r="P56" i="20"/>
  <c r="P8" i="20"/>
  <c r="Q43" i="20"/>
  <c r="T38" i="19"/>
  <c r="AB13" i="23" a="1"/>
  <c r="AB13" i="23" s="1"/>
  <c r="U37" i="19"/>
  <c r="V37" i="19" s="1" a="1"/>
  <c r="V37" i="19" s="1"/>
  <c r="J44" i="20"/>
  <c r="J32" i="20"/>
  <c r="J33" i="20" s="1" a="1"/>
  <c r="J33" i="20" s="1"/>
  <c r="J34" i="20" s="1"/>
  <c r="H20" i="20"/>
  <c r="Q41" i="20"/>
  <c r="E44" i="20"/>
  <c r="L3" i="6"/>
  <c r="M3" i="6" s="1"/>
  <c r="N3" i="6" s="1"/>
  <c r="C73" i="5" s="1"/>
  <c r="C72" i="5" s="1"/>
  <c r="AO143" i="19"/>
  <c r="AP142" i="19"/>
  <c r="AQ142" i="19" s="1" a="1"/>
  <c r="AQ142" i="19" s="1"/>
  <c r="GF12" i="23" a="1"/>
  <c r="GF12" i="23" s="1"/>
  <c r="AX23" i="19"/>
  <c r="AY22" i="19"/>
  <c r="AZ22" i="19" s="1" a="1"/>
  <c r="AZ22" i="19" s="1"/>
  <c r="GF13" i="23" a="1"/>
  <c r="GF13" i="23" s="1"/>
  <c r="AY37" i="19"/>
  <c r="AZ37" i="19" s="1" a="1"/>
  <c r="AZ37" i="19" s="1"/>
  <c r="AX38" i="19"/>
  <c r="Q128" i="19"/>
  <c r="R127" i="19"/>
  <c r="S127" i="19" s="1" a="1"/>
  <c r="S127" i="19" s="1"/>
  <c r="FP13" i="23" a="1"/>
  <c r="FP13" i="23" s="1"/>
  <c r="AV37" i="19"/>
  <c r="AW37" i="19" s="1" a="1"/>
  <c r="AW37" i="19" s="1"/>
  <c r="AU38" i="19"/>
  <c r="AV22" i="19"/>
  <c r="AW22" i="19" s="1" a="1"/>
  <c r="AW22" i="19" s="1"/>
  <c r="FP12" i="23" a="1"/>
  <c r="FP12" i="23" s="1"/>
  <c r="AU23" i="19"/>
  <c r="J104" i="20"/>
  <c r="W98" i="19"/>
  <c r="X97" i="19"/>
  <c r="Y97" i="19" s="1" a="1"/>
  <c r="Y97" i="19" s="1"/>
  <c r="O92" i="20"/>
  <c r="AP7" i="19"/>
  <c r="AQ7" i="19" s="1" a="1"/>
  <c r="AQ7" i="19" s="1"/>
  <c r="AO8" i="19"/>
  <c r="EJ11" i="23" a="1"/>
  <c r="EJ11" i="23" s="1"/>
  <c r="AP22" i="19"/>
  <c r="AQ22" i="19" s="1" a="1"/>
  <c r="AQ22" i="19" s="1"/>
  <c r="AO23" i="19"/>
  <c r="EJ12" i="23" a="1"/>
  <c r="EJ12" i="23" s="1"/>
  <c r="K68" i="20"/>
  <c r="Q55" i="20"/>
  <c r="K44" i="20"/>
  <c r="Q38" i="19"/>
  <c r="L13" i="23" a="1"/>
  <c r="L13" i="23" s="1"/>
  <c r="R37" i="19"/>
  <c r="S37" i="19" s="1" a="1"/>
  <c r="S37" i="19" s="1"/>
  <c r="H56" i="20"/>
  <c r="AC38" i="19"/>
  <c r="BX13" i="23" a="1"/>
  <c r="BX13" i="23" s="1"/>
  <c r="AD37" i="19"/>
  <c r="AE37" i="19" s="1" a="1"/>
  <c r="AE37" i="19" s="1"/>
  <c r="W8" i="19"/>
  <c r="X7" i="19"/>
  <c r="Y7" i="19" s="1" a="1"/>
  <c r="Y7" i="19" s="1"/>
  <c r="AR11" i="23" a="1"/>
  <c r="AR11" i="23" s="1"/>
  <c r="AL143" i="19"/>
  <c r="AM142" i="19"/>
  <c r="AN142" i="19" s="1" a="1"/>
  <c r="AN142" i="19" s="1"/>
  <c r="L13" i="6"/>
  <c r="T143" i="19"/>
  <c r="U142" i="19"/>
  <c r="V142" i="19" s="1" a="1"/>
  <c r="V142" i="19" s="1"/>
  <c r="T128" i="19"/>
  <c r="U127" i="19"/>
  <c r="V127" i="19" s="1" a="1"/>
  <c r="V127" i="19" s="1"/>
  <c r="AR113" i="19"/>
  <c r="AS112" i="19"/>
  <c r="AT112" i="19" s="1" a="1"/>
  <c r="AT112" i="19" s="1"/>
  <c r="AR98" i="19"/>
  <c r="AS97" i="19"/>
  <c r="AT97" i="19" s="1" a="1"/>
  <c r="AT97" i="19" s="1"/>
  <c r="AF98" i="19"/>
  <c r="AG97" i="19"/>
  <c r="AH97" i="19" s="1" a="1"/>
  <c r="AH97" i="19" s="1"/>
  <c r="AF83" i="19"/>
  <c r="AG82" i="19"/>
  <c r="AH82" i="19" s="1" a="1"/>
  <c r="AH82" i="19" s="1"/>
  <c r="AA7" i="19"/>
  <c r="AB7" i="19" s="1" a="1"/>
  <c r="AB7" i="19" s="1"/>
  <c r="Z8" i="19"/>
  <c r="BH11" i="23" a="1"/>
  <c r="BH11" i="23" s="1"/>
  <c r="Z23" i="19"/>
  <c r="BH12" i="23" a="1"/>
  <c r="BH12" i="23" s="1"/>
  <c r="AA22" i="19"/>
  <c r="AB22" i="19" s="1" a="1"/>
  <c r="AB22" i="19" s="1"/>
  <c r="M56" i="20"/>
  <c r="E20" i="20"/>
  <c r="Q17" i="20"/>
  <c r="Q8" i="19"/>
  <c r="L11" i="23" a="1"/>
  <c r="L11" i="23" s="1"/>
  <c r="R7" i="19"/>
  <c r="S7" i="19" s="1" a="1"/>
  <c r="S7" i="19" s="1"/>
  <c r="M180" i="13" a="1"/>
  <c r="M180" i="13" s="1"/>
  <c r="M207" i="13" s="1"/>
  <c r="M83" i="12"/>
  <c r="M185" i="13" s="1" a="1"/>
  <c r="M185" i="13" s="1"/>
  <c r="M88" i="12"/>
  <c r="N180" i="13" a="1"/>
  <c r="N180" i="13" s="1"/>
  <c r="N207" i="13" s="1"/>
  <c r="N88" i="12"/>
  <c r="N83" i="12"/>
  <c r="N185" i="13" s="1" a="1"/>
  <c r="N185" i="13" s="1"/>
  <c r="F180" i="13" a="1"/>
  <c r="F180" i="13" s="1"/>
  <c r="F207" i="13" s="1"/>
  <c r="F83" i="12"/>
  <c r="F185" i="13" s="1" a="1"/>
  <c r="F185" i="13" s="1"/>
  <c r="F88" i="12"/>
  <c r="I80" i="12" a="1"/>
  <c r="I80" i="12" s="1"/>
  <c r="H80" i="12" a="1"/>
  <c r="H80" i="12" s="1"/>
  <c r="O80" i="12" a="1"/>
  <c r="O80" i="12" s="1"/>
  <c r="G80" i="12" a="1"/>
  <c r="G80" i="12" s="1"/>
  <c r="N80" i="12" a="1"/>
  <c r="N80" i="12" s="1"/>
  <c r="F80" i="12" a="1"/>
  <c r="F80" i="12" s="1"/>
  <c r="M80" i="12" a="1"/>
  <c r="M80" i="12" s="1"/>
  <c r="E80" i="12" a="1"/>
  <c r="E80" i="12" s="1"/>
  <c r="L80" i="12" a="1"/>
  <c r="L80" i="12" s="1"/>
  <c r="D80" i="12" a="1"/>
  <c r="D80" i="12" s="1"/>
  <c r="J80" i="12" a="1"/>
  <c r="J80" i="12" s="1"/>
  <c r="K80" i="12" a="1"/>
  <c r="K80" i="12" s="1"/>
  <c r="K180" i="13" a="1"/>
  <c r="K180" i="13" s="1"/>
  <c r="K207" i="13" s="1"/>
  <c r="K83" i="12"/>
  <c r="K185" i="13" s="1" a="1"/>
  <c r="K185" i="13" s="1"/>
  <c r="K88" i="12"/>
  <c r="G180" i="13" a="1"/>
  <c r="G180" i="13" s="1"/>
  <c r="G207" i="13" s="1"/>
  <c r="G83" i="12"/>
  <c r="G185" i="13" s="1" a="1"/>
  <c r="G185" i="13" s="1"/>
  <c r="G88" i="12"/>
  <c r="M79" i="12" a="1"/>
  <c r="M79" i="12" s="1"/>
  <c r="M181" i="13" s="1" a="1"/>
  <c r="M181" i="13" s="1"/>
  <c r="E79" i="12" a="1"/>
  <c r="E79" i="12" s="1"/>
  <c r="E181" i="13" s="1" a="1"/>
  <c r="E181" i="13" s="1"/>
  <c r="L79" i="12" a="1"/>
  <c r="L79" i="12" s="1"/>
  <c r="L181" i="13" s="1" a="1"/>
  <c r="L181" i="13" s="1"/>
  <c r="D79" i="12" a="1"/>
  <c r="D79" i="12" s="1"/>
  <c r="D181" i="13" s="1" a="1"/>
  <c r="D181" i="13" s="1"/>
  <c r="K79" i="12" a="1"/>
  <c r="K79" i="12" s="1"/>
  <c r="K181" i="13" s="1" a="1"/>
  <c r="K181" i="13" s="1"/>
  <c r="J79" i="12" a="1"/>
  <c r="J79" i="12" s="1"/>
  <c r="J181" i="13" s="1" a="1"/>
  <c r="J181" i="13" s="1"/>
  <c r="I79" i="12" a="1"/>
  <c r="I79" i="12" s="1"/>
  <c r="I181" i="13" s="1" a="1"/>
  <c r="I181" i="13" s="1"/>
  <c r="H79" i="12" a="1"/>
  <c r="H79" i="12" s="1"/>
  <c r="H181" i="13" s="1" a="1"/>
  <c r="H181" i="13" s="1"/>
  <c r="N79" i="12" a="1"/>
  <c r="N79" i="12" s="1"/>
  <c r="N181" i="13" s="1" a="1"/>
  <c r="N181" i="13" s="1"/>
  <c r="F79" i="12" a="1"/>
  <c r="F79" i="12" s="1"/>
  <c r="F181" i="13" s="1" a="1"/>
  <c r="F181" i="13" s="1"/>
  <c r="O79" i="12" a="1"/>
  <c r="O79" i="12" s="1"/>
  <c r="O181" i="13" s="1" a="1"/>
  <c r="O181" i="13" s="1"/>
  <c r="G79" i="12" a="1"/>
  <c r="G79" i="12" s="1"/>
  <c r="G181" i="13" s="1" a="1"/>
  <c r="G181" i="13" s="1"/>
  <c r="J180" i="13" a="1"/>
  <c r="J180" i="13" s="1"/>
  <c r="J207" i="13" s="1"/>
  <c r="J88" i="12"/>
  <c r="J83" i="12"/>
  <c r="J185" i="13" s="1" a="1"/>
  <c r="J185" i="13" s="1"/>
  <c r="O180" i="13" a="1"/>
  <c r="O180" i="13" s="1"/>
  <c r="O207" i="13" s="1"/>
  <c r="O83" i="12"/>
  <c r="O185" i="13" s="1" a="1"/>
  <c r="O185" i="13" s="1"/>
  <c r="O88" i="12"/>
  <c r="I91" i="12" a="1"/>
  <c r="I91" i="12" s="1"/>
  <c r="H91" i="12" a="1"/>
  <c r="H91" i="12" s="1"/>
  <c r="O91" i="12" a="1"/>
  <c r="O91" i="12" s="1"/>
  <c r="G91" i="12" a="1"/>
  <c r="G91" i="12" s="1"/>
  <c r="N91" i="12" a="1"/>
  <c r="N91" i="12" s="1"/>
  <c r="F91" i="12" a="1"/>
  <c r="F91" i="12" s="1"/>
  <c r="M91" i="12" a="1"/>
  <c r="M91" i="12" s="1"/>
  <c r="E91" i="12" a="1"/>
  <c r="E91" i="12" s="1"/>
  <c r="L91" i="12" a="1"/>
  <c r="L91" i="12" s="1"/>
  <c r="D91" i="12" a="1"/>
  <c r="D91" i="12" s="1"/>
  <c r="J91" i="12" a="1"/>
  <c r="J91" i="12" s="1"/>
  <c r="K91" i="12" a="1"/>
  <c r="K91" i="12" s="1"/>
  <c r="D180" i="13" a="1"/>
  <c r="D180" i="13" s="1"/>
  <c r="D207" i="13" s="1"/>
  <c r="D88" i="12"/>
  <c r="D83" i="12"/>
  <c r="D185" i="13" s="1" a="1"/>
  <c r="D185" i="13" s="1"/>
  <c r="H88" i="12"/>
  <c r="H83" i="12"/>
  <c r="H185" i="13" s="1" a="1"/>
  <c r="H185" i="13" s="1"/>
  <c r="H180" i="13" a="1"/>
  <c r="H180" i="13" s="1"/>
  <c r="H207" i="13" s="1"/>
  <c r="M53" i="12" a="1"/>
  <c r="M53" i="12" s="1"/>
  <c r="E53" i="12" a="1"/>
  <c r="E53" i="12" s="1"/>
  <c r="L53" i="12" a="1"/>
  <c r="L53" i="12" s="1"/>
  <c r="D53" i="12" a="1"/>
  <c r="D53" i="12" s="1"/>
  <c r="K53" i="12" a="1"/>
  <c r="K53" i="12" s="1"/>
  <c r="J53" i="12" a="1"/>
  <c r="J53" i="12" s="1"/>
  <c r="I53" i="12" a="1"/>
  <c r="I53" i="12" s="1"/>
  <c r="H53" i="12" a="1"/>
  <c r="H53" i="12" s="1"/>
  <c r="N53" i="12" a="1"/>
  <c r="N53" i="12" s="1"/>
  <c r="F53" i="12" a="1"/>
  <c r="F53" i="12" s="1"/>
  <c r="O53" i="12" a="1"/>
  <c r="O53" i="12" s="1"/>
  <c r="G53" i="12" a="1"/>
  <c r="G53" i="12" s="1"/>
  <c r="L83" i="12"/>
  <c r="L185" i="13" s="1" a="1"/>
  <c r="L185" i="13" s="1"/>
  <c r="L88" i="12"/>
  <c r="L180" i="13" a="1"/>
  <c r="L180" i="13" s="1"/>
  <c r="L207" i="13" s="1"/>
  <c r="I180" i="13" a="1"/>
  <c r="I180" i="13" s="1"/>
  <c r="I207" i="13" s="1"/>
  <c r="I88" i="12"/>
  <c r="I83" i="12"/>
  <c r="I185" i="13" s="1" a="1"/>
  <c r="I185" i="13" s="1"/>
  <c r="E180" i="13" a="1"/>
  <c r="E180" i="13" s="1"/>
  <c r="E207" i="13" s="1"/>
  <c r="E83" i="12"/>
  <c r="E185" i="13" s="1" a="1"/>
  <c r="E185" i="13" s="1"/>
  <c r="E88" i="12"/>
  <c r="C23" i="28" a="1"/>
  <c r="C23" i="28" s="1"/>
  <c r="A73" i="13" a="1"/>
  <c r="A73" i="13" s="1"/>
  <c r="A34" i="12" a="1"/>
  <c r="A34" i="12" s="1"/>
  <c r="D20" i="12" a="1"/>
  <c r="D20" i="12" s="1"/>
  <c r="C22" i="28" a="1"/>
  <c r="C22" i="28" s="1"/>
  <c r="A39" i="13" a="1"/>
  <c r="A39" i="13" s="1"/>
  <c r="A20" i="12" a="1"/>
  <c r="A20" i="12" s="1"/>
  <c r="K15" i="12"/>
  <c r="J16" i="12"/>
  <c r="P33" i="20" a="1"/>
  <c r="P33" i="20" s="1"/>
  <c r="P34" i="20" s="1"/>
  <c r="N33" i="20" a="1"/>
  <c r="N33" i="20" s="1"/>
  <c r="N34" i="20" s="1"/>
  <c r="L33" i="20" a="1"/>
  <c r="L33" i="20" s="1"/>
  <c r="L34" i="20" s="1"/>
  <c r="H33" i="20" a="1"/>
  <c r="H33" i="20" s="1"/>
  <c r="H34" i="20" s="1"/>
  <c r="K33" i="20" a="1"/>
  <c r="K33" i="20" s="1"/>
  <c r="K34" i="20" s="1"/>
  <c r="I33" i="20" a="1"/>
  <c r="I33" i="20" s="1"/>
  <c r="E33" i="20" a="1"/>
  <c r="E33" i="20" s="1"/>
  <c r="E34" i="20" s="1"/>
  <c r="M13" i="23" s="1" a="1"/>
  <c r="M13" i="23" s="1"/>
  <c r="E13" i="27" s="1" a="1"/>
  <c r="E13" i="27" s="1"/>
  <c r="M33" i="20" a="1"/>
  <c r="M33" i="20" s="1"/>
  <c r="M34" i="20" s="1"/>
  <c r="O33" i="20" a="1"/>
  <c r="O33" i="20" s="1"/>
  <c r="O34" i="20" s="1"/>
  <c r="G33" i="20" a="1"/>
  <c r="G33" i="20" s="1"/>
  <c r="G34" i="20" s="1"/>
  <c r="F33" i="20" a="1"/>
  <c r="F33" i="20" s="1"/>
  <c r="F34" i="20" s="1"/>
  <c r="L9" i="20" a="1"/>
  <c r="L9" i="20" s="1"/>
  <c r="L10" i="20" s="1"/>
  <c r="M9" i="20" a="1"/>
  <c r="M9" i="20" s="1"/>
  <c r="M10" i="20" s="1"/>
  <c r="F9" i="20" a="1"/>
  <c r="F9" i="20" s="1"/>
  <c r="F10" i="20" s="1"/>
  <c r="H9" i="20" a="1"/>
  <c r="H9" i="20" s="1"/>
  <c r="H10" i="20" s="1"/>
  <c r="O9" i="20" a="1"/>
  <c r="O9" i="20" s="1"/>
  <c r="O10" i="20" s="1"/>
  <c r="K9" i="20" a="1"/>
  <c r="K9" i="20" s="1"/>
  <c r="K10" i="20" s="1"/>
  <c r="N9" i="20" a="1"/>
  <c r="N9" i="20" s="1"/>
  <c r="N10" i="20" s="1"/>
  <c r="I9" i="20" a="1"/>
  <c r="I9" i="20" s="1"/>
  <c r="I10" i="20" s="1"/>
  <c r="J9" i="20" a="1"/>
  <c r="J9" i="20" s="1"/>
  <c r="J10" i="20" s="1"/>
  <c r="P9" i="20" a="1"/>
  <c r="P9" i="20" s="1"/>
  <c r="E9" i="20" a="1"/>
  <c r="E9" i="20" s="1"/>
  <c r="E10" i="20" s="1"/>
  <c r="M11" i="23" s="1" a="1"/>
  <c r="M11" i="23" s="1"/>
  <c r="E11" i="27" s="1" a="1"/>
  <c r="E11" i="27" s="1"/>
  <c r="G9" i="20" a="1"/>
  <c r="G9" i="20" s="1"/>
  <c r="G10" i="20" s="1"/>
  <c r="F69" i="21"/>
  <c r="F15" i="12"/>
  <c r="I15" i="12"/>
  <c r="L16" i="12"/>
  <c r="D16" i="12"/>
  <c r="G15" i="12"/>
  <c r="M15" i="12"/>
  <c r="E16" i="12"/>
  <c r="H15" i="12"/>
  <c r="O15" i="12"/>
  <c r="N16" i="12"/>
  <c r="HM11" i="9" a="1"/>
  <c r="HM11" i="9" s="1"/>
  <c r="CJ11" i="9" a="1"/>
  <c r="CJ11" i="9" s="1"/>
  <c r="G13" i="21"/>
  <c r="GA11" i="9" a="1"/>
  <c r="GA11" i="9" s="1"/>
  <c r="EO11" i="9" a="1"/>
  <c r="EO11" i="9" s="1"/>
  <c r="IF11" i="9" a="1"/>
  <c r="IF11" i="9" s="1"/>
  <c r="DC11" i="9" a="1"/>
  <c r="DC11" i="9" s="1"/>
  <c r="C64" i="20"/>
  <c r="C16" i="20"/>
  <c r="C28" i="20"/>
  <c r="C52" i="20"/>
  <c r="C40" i="20"/>
  <c r="C112" i="20"/>
  <c r="G21" i="20" a="1"/>
  <c r="G21" i="20" s="1"/>
  <c r="G22" i="20" s="1"/>
  <c r="J21" i="20" a="1"/>
  <c r="J21" i="20" s="1"/>
  <c r="J22" i="20" s="1"/>
  <c r="M21" i="20" a="1"/>
  <c r="M21" i="20" s="1"/>
  <c r="M22" i="20" s="1"/>
  <c r="H21" i="20" a="1"/>
  <c r="H21" i="20" s="1"/>
  <c r="H22" i="20" s="1"/>
  <c r="N21" i="20" a="1"/>
  <c r="N21" i="20" s="1"/>
  <c r="N22" i="20" s="1"/>
  <c r="O21" i="20" a="1"/>
  <c r="O21" i="20" s="1"/>
  <c r="O22" i="20" s="1"/>
  <c r="K21" i="20" a="1"/>
  <c r="K21" i="20" s="1"/>
  <c r="K22" i="20" s="1"/>
  <c r="L21" i="20" a="1"/>
  <c r="L21" i="20" s="1"/>
  <c r="L22" i="20" s="1"/>
  <c r="F21" i="20" a="1"/>
  <c r="F21" i="20" s="1"/>
  <c r="F22" i="20" s="1"/>
  <c r="P21" i="20" a="1"/>
  <c r="P21" i="20" s="1"/>
  <c r="P22" i="20" s="1"/>
  <c r="E21" i="20" a="1"/>
  <c r="E21" i="20" s="1"/>
  <c r="C88" i="20"/>
  <c r="C76" i="20"/>
  <c r="I34" i="20"/>
  <c r="P10" i="20"/>
  <c r="C124" i="20"/>
  <c r="C100" i="20"/>
  <c r="FH11" i="9" a="1"/>
  <c r="FH11" i="9" s="1"/>
  <c r="GT11" i="9" a="1"/>
  <c r="GT11" i="9" s="1"/>
  <c r="DV11" i="9" a="1"/>
  <c r="DV11" i="9" s="1"/>
  <c r="J13" i="13" a="1"/>
  <c r="J13" i="13" s="1"/>
  <c r="F117" i="13" a="1"/>
  <c r="F117" i="13" s="1"/>
  <c r="L15" i="13" a="1"/>
  <c r="L15" i="13" s="1"/>
  <c r="F9" i="13" a="1"/>
  <c r="F9" i="13" s="1"/>
  <c r="N113" i="13" a="1"/>
  <c r="N113" i="13" s="1"/>
  <c r="M113" i="13" a="1"/>
  <c r="M113" i="13" s="1"/>
  <c r="D9" i="13" a="1"/>
  <c r="D9" i="13" s="1"/>
  <c r="N13" i="13" a="1"/>
  <c r="N13" i="13" s="1"/>
  <c r="J113" i="13" a="1"/>
  <c r="J113" i="13" s="1"/>
  <c r="D117" i="13" a="1"/>
  <c r="D117" i="13" s="1"/>
  <c r="E117" i="13" a="1"/>
  <c r="E117" i="13" s="1"/>
  <c r="H13" i="13" a="1"/>
  <c r="H13" i="13" s="1"/>
  <c r="L113" i="13" a="1"/>
  <c r="L113" i="13" s="1"/>
  <c r="F15" i="13" a="1"/>
  <c r="F15" i="13" s="1"/>
  <c r="J15" i="13" a="1"/>
  <c r="J15" i="13" s="1"/>
  <c r="M13" i="13" a="1"/>
  <c r="M13" i="13" s="1"/>
  <c r="I117" i="13" a="1"/>
  <c r="I117" i="13" s="1"/>
  <c r="H117" i="13" a="1"/>
  <c r="H117" i="13" s="1"/>
  <c r="O15" i="13" a="1"/>
  <c r="O15" i="13" s="1"/>
  <c r="O13" i="13" a="1"/>
  <c r="O13" i="13" s="1"/>
  <c r="M117" i="13" a="1"/>
  <c r="M117" i="13" s="1"/>
  <c r="O113" i="13" a="1"/>
  <c r="O113" i="13" s="1"/>
  <c r="E113" i="13" a="1"/>
  <c r="E113" i="13" s="1"/>
  <c r="J117" i="13" a="1"/>
  <c r="J117" i="13" s="1"/>
  <c r="E9" i="13" a="1"/>
  <c r="E9" i="13" s="1"/>
  <c r="I13" i="13" a="1"/>
  <c r="I13" i="13" s="1"/>
  <c r="D13" i="13" a="1"/>
  <c r="D13" i="13" s="1"/>
  <c r="F13" i="13" a="1"/>
  <c r="F13" i="13" s="1"/>
  <c r="G13" i="13" a="1"/>
  <c r="G13" i="13" s="1"/>
  <c r="O117" i="13" a="1"/>
  <c r="O117" i="13" s="1"/>
  <c r="F113" i="13" a="1"/>
  <c r="F113" i="13" s="1"/>
  <c r="G113" i="13" a="1"/>
  <c r="G113" i="13" s="1"/>
  <c r="K117" i="13" a="1"/>
  <c r="K117" i="13" s="1"/>
  <c r="K15" i="13" a="1"/>
  <c r="K15" i="13" s="1"/>
  <c r="D113" i="13" a="1"/>
  <c r="D113" i="13" s="1"/>
  <c r="I113" i="13" a="1"/>
  <c r="I113" i="13" s="1"/>
  <c r="G15" i="13" a="1"/>
  <c r="G15" i="13" s="1"/>
  <c r="M15" i="13" a="1"/>
  <c r="M15" i="13" s="1"/>
  <c r="N15" i="13" a="1"/>
  <c r="N15" i="13" s="1"/>
  <c r="K13" i="13" a="1"/>
  <c r="K13" i="13" s="1"/>
  <c r="L13" i="13" a="1"/>
  <c r="L13" i="13" s="1"/>
  <c r="I15" i="13" a="1"/>
  <c r="I15" i="13" s="1"/>
  <c r="L117" i="13" a="1"/>
  <c r="L117" i="13" s="1"/>
  <c r="G117" i="13" a="1"/>
  <c r="G117" i="13" s="1"/>
  <c r="H113" i="13" a="1"/>
  <c r="H113" i="13" s="1"/>
  <c r="K113" i="13" a="1"/>
  <c r="K113" i="13" s="1"/>
  <c r="N117" i="13" a="1"/>
  <c r="N117" i="13" s="1"/>
  <c r="H15" i="13" a="1"/>
  <c r="H15" i="13" s="1"/>
  <c r="B7" i="10"/>
  <c r="B8" i="10" s="1"/>
  <c r="B9" i="10" s="1"/>
  <c r="F6" i="10"/>
  <c r="F13" i="10" s="1"/>
  <c r="J6" i="10"/>
  <c r="J13" i="10" s="1"/>
  <c r="K6" i="10"/>
  <c r="K13" i="10" s="1"/>
  <c r="L6" i="10"/>
  <c r="L13" i="10" s="1"/>
  <c r="M6" i="10"/>
  <c r="M13" i="10" s="1"/>
  <c r="N6" i="10"/>
  <c r="N13" i="10" s="1"/>
  <c r="O6" i="10"/>
  <c r="O13" i="10" s="1"/>
  <c r="D6" i="10"/>
  <c r="D13" i="10" s="1"/>
  <c r="H6" i="10"/>
  <c r="H13" i="10" s="1"/>
  <c r="G6" i="10"/>
  <c r="G13" i="10" s="1"/>
  <c r="E6" i="10"/>
  <c r="E13" i="10" s="1"/>
  <c r="I6" i="10"/>
  <c r="I13" i="10" s="1"/>
  <c r="B73" i="13" a="1"/>
  <c r="B73" i="13" s="1"/>
  <c r="B74" i="13" s="1"/>
  <c r="B50" i="13"/>
  <c r="B51" i="13" s="1"/>
  <c r="B52" i="13" s="1"/>
  <c r="B53" i="13" s="1"/>
  <c r="B54" i="13" s="1"/>
  <c r="B55" i="13" s="1"/>
  <c r="B56" i="13" s="1"/>
  <c r="B57" i="13" s="1"/>
  <c r="B58" i="13" s="1"/>
  <c r="B59" i="13" s="1"/>
  <c r="B60" i="13" s="1"/>
  <c r="B61" i="13" s="1"/>
  <c r="B62" i="13" s="1"/>
  <c r="B46" i="13"/>
  <c r="B47" i="13" s="1"/>
  <c r="B48" i="13" s="1"/>
  <c r="B49" i="13" s="1"/>
  <c r="E15" i="13" a="1"/>
  <c r="E15" i="13" s="1"/>
  <c r="AA204" i="10"/>
  <c r="AA191" i="10"/>
  <c r="AA216" i="10"/>
  <c r="AA217" i="10" s="1"/>
  <c r="AA229" i="10"/>
  <c r="B34" i="12" a="1"/>
  <c r="B34" i="12" s="1"/>
  <c r="B10" i="10"/>
  <c r="B11" i="10" s="1"/>
  <c r="P13" i="10"/>
  <c r="R81" i="12"/>
  <c r="R118" i="12"/>
  <c r="R106" i="12"/>
  <c r="R105" i="12"/>
  <c r="R93" i="12"/>
  <c r="R94" i="12"/>
  <c r="CO388" i="1"/>
  <c r="CN6" i="1" a="1"/>
  <c r="CN6" i="1" s="1"/>
  <c r="CC388" i="1"/>
  <c r="CB6" i="1" a="1"/>
  <c r="CB6" i="1" s="1"/>
  <c r="AG5" i="1" a="1"/>
  <c r="AG5" i="1" s="1"/>
  <c r="AL388" i="1"/>
  <c r="G8" i="7"/>
  <c r="R7" i="7"/>
  <c r="S6" i="7"/>
  <c r="E9" i="8"/>
  <c r="K8" i="8"/>
  <c r="L8" i="8" s="1"/>
  <c r="S8" i="8"/>
  <c r="F8" i="8"/>
  <c r="R7" i="6"/>
  <c r="S6" i="6"/>
  <c r="M4" i="8"/>
  <c r="N3" i="8"/>
  <c r="M4" i="6"/>
  <c r="H7" i="6"/>
  <c r="G8" i="6"/>
  <c r="I5" i="6"/>
  <c r="L5" i="6" s="1"/>
  <c r="L6" i="8"/>
  <c r="I6" i="6"/>
  <c r="L6" i="6" s="1"/>
  <c r="T144" i="19" l="1"/>
  <c r="U143" i="19"/>
  <c r="V143" i="19" s="1" a="1"/>
  <c r="V143" i="19" s="1"/>
  <c r="BA37" i="19"/>
  <c r="Q104" i="20"/>
  <c r="Z69" i="19"/>
  <c r="AA68" i="19"/>
  <c r="AB68" i="19" s="1" a="1"/>
  <c r="AB68" i="19" s="1"/>
  <c r="Q32" i="20"/>
  <c r="AC9" i="19"/>
  <c r="AD8" i="19"/>
  <c r="AE8" i="19" s="1" a="1"/>
  <c r="AE8" i="19" s="1"/>
  <c r="T24" i="19"/>
  <c r="U23" i="19"/>
  <c r="V23" i="19" s="1" a="1"/>
  <c r="V23" i="19" s="1"/>
  <c r="AU9" i="19"/>
  <c r="AV8" i="19"/>
  <c r="AW8" i="19" s="1" a="1"/>
  <c r="AW8" i="19" s="1"/>
  <c r="Q39" i="19"/>
  <c r="R38" i="19"/>
  <c r="S38" i="19" s="1" a="1"/>
  <c r="S38" i="19" s="1"/>
  <c r="W99" i="19"/>
  <c r="X98" i="19"/>
  <c r="Y98" i="19" s="1" a="1"/>
  <c r="Y98" i="19" s="1"/>
  <c r="AF69" i="19"/>
  <c r="AG68" i="19"/>
  <c r="AH68" i="19" s="1" a="1"/>
  <c r="AH68" i="19" s="1"/>
  <c r="BA67" i="19"/>
  <c r="W24" i="19"/>
  <c r="X23" i="19"/>
  <c r="Y23" i="19" s="1" a="1"/>
  <c r="Y23" i="19" s="1"/>
  <c r="AO39" i="19"/>
  <c r="AP38" i="19"/>
  <c r="AQ38" i="19" s="1" a="1"/>
  <c r="AQ38" i="19" s="1"/>
  <c r="AX9" i="19"/>
  <c r="AY8" i="19"/>
  <c r="AZ8" i="19" s="1" a="1"/>
  <c r="AZ8" i="19" s="1"/>
  <c r="AC54" i="19"/>
  <c r="AD53" i="19"/>
  <c r="AE53" i="19" s="1" a="1"/>
  <c r="AE53" i="19" s="1"/>
  <c r="T69" i="19"/>
  <c r="U68" i="19"/>
  <c r="V68" i="19" s="1" a="1"/>
  <c r="V68" i="19" s="1"/>
  <c r="AF129" i="19"/>
  <c r="AG128" i="19"/>
  <c r="AH128" i="19" s="1" a="1"/>
  <c r="AH128" i="19" s="1"/>
  <c r="AO84" i="19"/>
  <c r="AP83" i="19"/>
  <c r="AQ83" i="19" s="1" a="1"/>
  <c r="AQ83" i="19" s="1"/>
  <c r="AC84" i="19"/>
  <c r="AD83" i="19"/>
  <c r="AE83" i="19" s="1" a="1"/>
  <c r="AE83" i="19" s="1"/>
  <c r="Z9" i="19"/>
  <c r="AA8" i="19"/>
  <c r="AB8" i="19" s="1" a="1"/>
  <c r="AB8" i="19" s="1"/>
  <c r="Q92" i="20"/>
  <c r="AO99" i="19"/>
  <c r="AP98" i="19"/>
  <c r="AQ98" i="19" s="1" a="1"/>
  <c r="AQ98" i="19" s="1"/>
  <c r="Q68" i="20"/>
  <c r="AF84" i="19"/>
  <c r="AG83" i="19"/>
  <c r="AH83" i="19" s="1" a="1"/>
  <c r="AH83" i="19" s="1"/>
  <c r="BA22" i="19"/>
  <c r="AL24" i="19"/>
  <c r="AM23" i="19"/>
  <c r="AN23" i="19" s="1" a="1"/>
  <c r="AN23" i="19" s="1"/>
  <c r="W69" i="19"/>
  <c r="X68" i="19"/>
  <c r="Y68" i="19" s="1" a="1"/>
  <c r="Y68" i="19" s="1"/>
  <c r="AX69" i="19"/>
  <c r="AY68" i="19"/>
  <c r="AZ68" i="19" s="1" a="1"/>
  <c r="AZ68" i="19" s="1"/>
  <c r="Z54" i="19"/>
  <c r="AA53" i="19"/>
  <c r="AB53" i="19" s="1" a="1"/>
  <c r="AB53" i="19" s="1"/>
  <c r="AC129" i="19"/>
  <c r="AD128" i="19"/>
  <c r="AE128" i="19" s="1" a="1"/>
  <c r="AE128" i="19" s="1"/>
  <c r="Q24" i="19"/>
  <c r="R23" i="19"/>
  <c r="S23" i="19" s="1" a="1"/>
  <c r="S23" i="19" s="1"/>
  <c r="BA97" i="19"/>
  <c r="AI144" i="19"/>
  <c r="AJ143" i="19"/>
  <c r="AK143" i="19" s="1" a="1"/>
  <c r="AK143" i="19" s="1"/>
  <c r="AC114" i="19"/>
  <c r="AD113" i="19"/>
  <c r="AE113" i="19" s="1" a="1"/>
  <c r="AE113" i="19" s="1"/>
  <c r="T99" i="19"/>
  <c r="U98" i="19"/>
  <c r="V98" i="19" s="1" a="1"/>
  <c r="V98" i="19" s="1"/>
  <c r="AD23" i="19"/>
  <c r="AE23" i="19" s="1" a="1"/>
  <c r="AE23" i="19" s="1"/>
  <c r="AC24" i="19"/>
  <c r="BA82" i="19"/>
  <c r="AU144" i="19"/>
  <c r="AV143" i="19"/>
  <c r="AW143" i="19" s="1" a="1"/>
  <c r="AW143" i="19" s="1"/>
  <c r="AL69" i="19"/>
  <c r="AM68" i="19"/>
  <c r="AN68" i="19" s="1" a="1"/>
  <c r="AN68" i="19" s="1"/>
  <c r="Q9" i="19"/>
  <c r="R8" i="19"/>
  <c r="S8" i="19" s="1" a="1"/>
  <c r="S8" i="19" s="1"/>
  <c r="AL144" i="19"/>
  <c r="AM143" i="19"/>
  <c r="AN143" i="19" s="1" a="1"/>
  <c r="AN143" i="19" s="1"/>
  <c r="AU24" i="19"/>
  <c r="AV23" i="19"/>
  <c r="AW23" i="19" s="1" a="1"/>
  <c r="AW23" i="19" s="1"/>
  <c r="AX24" i="19"/>
  <c r="AY23" i="19"/>
  <c r="AZ23" i="19" s="1" a="1"/>
  <c r="AZ23" i="19" s="1"/>
  <c r="T39" i="19"/>
  <c r="U38" i="19"/>
  <c r="V38" i="19" s="1" a="1"/>
  <c r="V38" i="19" s="1"/>
  <c r="W114" i="19"/>
  <c r="X113" i="19"/>
  <c r="Y113" i="19" s="1" a="1"/>
  <c r="Y113" i="19" s="1"/>
  <c r="AF9" i="19"/>
  <c r="AG8" i="19"/>
  <c r="AH8" i="19" s="1" a="1"/>
  <c r="AH8" i="19" s="1"/>
  <c r="BA7" i="19"/>
  <c r="AY98" i="19"/>
  <c r="AZ98" i="19" s="1" a="1"/>
  <c r="AZ98" i="19" s="1"/>
  <c r="AX99" i="19"/>
  <c r="AI84" i="19"/>
  <c r="AJ83" i="19"/>
  <c r="AK83" i="19" s="1" a="1"/>
  <c r="AK83" i="19" s="1"/>
  <c r="AX84" i="19"/>
  <c r="AY83" i="19"/>
  <c r="AZ83" i="19" s="1" a="1"/>
  <c r="AZ83" i="19" s="1"/>
  <c r="AF99" i="19"/>
  <c r="AG98" i="19"/>
  <c r="AH98" i="19" s="1" a="1"/>
  <c r="AH98" i="19" s="1"/>
  <c r="T84" i="19"/>
  <c r="U83" i="19"/>
  <c r="V83" i="19" s="1" a="1"/>
  <c r="V83" i="19" s="1"/>
  <c r="AX129" i="19"/>
  <c r="AY128" i="19"/>
  <c r="AZ128" i="19" s="1" a="1"/>
  <c r="AZ128" i="19" s="1"/>
  <c r="AL84" i="19"/>
  <c r="AM83" i="19"/>
  <c r="AN83" i="19" s="1" a="1"/>
  <c r="AN83" i="19" s="1"/>
  <c r="Q116" i="20"/>
  <c r="Z84" i="19"/>
  <c r="AA83" i="19"/>
  <c r="AB83" i="19" s="1" a="1"/>
  <c r="AB83" i="19" s="1"/>
  <c r="AL39" i="19"/>
  <c r="AM38" i="19"/>
  <c r="AN38" i="19" s="1" a="1"/>
  <c r="AN38" i="19" s="1"/>
  <c r="AO129" i="19"/>
  <c r="AP128" i="19"/>
  <c r="AQ128" i="19" s="1" a="1"/>
  <c r="AQ128" i="19" s="1"/>
  <c r="AJ8" i="19"/>
  <c r="AK8" i="19" s="1" a="1"/>
  <c r="AK8" i="19" s="1"/>
  <c r="AI9" i="19"/>
  <c r="Z114" i="19"/>
  <c r="AA113" i="19"/>
  <c r="AB113" i="19" s="1" a="1"/>
  <c r="AB113" i="19" s="1"/>
  <c r="AR39" i="19"/>
  <c r="AS38" i="19"/>
  <c r="AT38" i="19" s="1" a="1"/>
  <c r="AT38" i="19" s="1"/>
  <c r="AF24" i="19"/>
  <c r="AG23" i="19"/>
  <c r="AH23" i="19" s="1" a="1"/>
  <c r="AH23" i="19" s="1"/>
  <c r="AO69" i="19"/>
  <c r="AP68" i="19"/>
  <c r="AQ68" i="19" s="1" a="1"/>
  <c r="AQ68" i="19" s="1"/>
  <c r="Q20" i="20"/>
  <c r="AR69" i="19"/>
  <c r="AS68" i="19"/>
  <c r="AT68" i="19" s="1" a="1"/>
  <c r="AT68" i="19" s="1"/>
  <c r="AI129" i="19"/>
  <c r="AJ128" i="19"/>
  <c r="AK128" i="19" s="1" a="1"/>
  <c r="AK128" i="19" s="1"/>
  <c r="AO54" i="19"/>
  <c r="AP53" i="19"/>
  <c r="AQ53" i="19" s="1" a="1"/>
  <c r="AQ53" i="19" s="1"/>
  <c r="BA142" i="19"/>
  <c r="W144" i="19"/>
  <c r="X143" i="19"/>
  <c r="Y143" i="19" s="1" a="1"/>
  <c r="Y143" i="19" s="1"/>
  <c r="AX114" i="19"/>
  <c r="AY113" i="19"/>
  <c r="AZ113" i="19" s="1" a="1"/>
  <c r="AZ113" i="19" s="1"/>
  <c r="AR99" i="19"/>
  <c r="AS98" i="19"/>
  <c r="AT98" i="19" s="1" a="1"/>
  <c r="AT98" i="19" s="1"/>
  <c r="W9" i="19"/>
  <c r="X8" i="19"/>
  <c r="Y8" i="19" s="1" a="1"/>
  <c r="Y8" i="19" s="1"/>
  <c r="AO24" i="19"/>
  <c r="AP23" i="19"/>
  <c r="AQ23" i="19" s="1" a="1"/>
  <c r="AQ23" i="19" s="1"/>
  <c r="AV38" i="19"/>
  <c r="AW38" i="19" s="1" a="1"/>
  <c r="AW38" i="19" s="1"/>
  <c r="AU39" i="19"/>
  <c r="AO144" i="19"/>
  <c r="AP143" i="19"/>
  <c r="AQ143" i="19" s="1" a="1"/>
  <c r="AQ143" i="19" s="1"/>
  <c r="Q80" i="20"/>
  <c r="Z144" i="19"/>
  <c r="AA143" i="19"/>
  <c r="AB143" i="19" s="1" a="1"/>
  <c r="AB143" i="19" s="1"/>
  <c r="Q144" i="19"/>
  <c r="R143" i="19"/>
  <c r="S143" i="19" s="1" a="1"/>
  <c r="S143" i="19" s="1"/>
  <c r="Q99" i="19"/>
  <c r="R98" i="19"/>
  <c r="S98" i="19" s="1" a="1"/>
  <c r="S98" i="19" s="1"/>
  <c r="Q8" i="20"/>
  <c r="Z99" i="19"/>
  <c r="AA98" i="19"/>
  <c r="AB98" i="19" s="1" a="1"/>
  <c r="AB98" i="19" s="1"/>
  <c r="Z129" i="19"/>
  <c r="AA128" i="19"/>
  <c r="AB128" i="19" s="1" a="1"/>
  <c r="AB128" i="19" s="1"/>
  <c r="AF54" i="19"/>
  <c r="AG53" i="19"/>
  <c r="AH53" i="19" s="1" a="1"/>
  <c r="AH53" i="19" s="1"/>
  <c r="AR129" i="19"/>
  <c r="AS128" i="19"/>
  <c r="AT128" i="19" s="1" a="1"/>
  <c r="AT128" i="19" s="1"/>
  <c r="AU114" i="19"/>
  <c r="AV113" i="19"/>
  <c r="AW113" i="19" s="1" a="1"/>
  <c r="AW113" i="19" s="1"/>
  <c r="AI39" i="19"/>
  <c r="AJ38" i="19"/>
  <c r="AK38" i="19" s="1" a="1"/>
  <c r="AK38" i="19" s="1"/>
  <c r="AC99" i="19"/>
  <c r="AD98" i="19"/>
  <c r="AE98" i="19" s="1" a="1"/>
  <c r="AE98" i="19" s="1"/>
  <c r="AV53" i="19"/>
  <c r="AW53" i="19" s="1" a="1"/>
  <c r="AW53" i="19" s="1"/>
  <c r="AU54" i="19"/>
  <c r="AR54" i="19"/>
  <c r="AS53" i="19"/>
  <c r="AT53" i="19" s="1" a="1"/>
  <c r="AT53" i="19" s="1"/>
  <c r="AF144" i="19"/>
  <c r="AG143" i="19"/>
  <c r="AH143" i="19" s="1" a="1"/>
  <c r="AH143" i="19" s="1"/>
  <c r="AI24" i="19"/>
  <c r="AJ23" i="19"/>
  <c r="AK23" i="19" s="1" a="1"/>
  <c r="AK23" i="19" s="1"/>
  <c r="AL129" i="19"/>
  <c r="AM128" i="19"/>
  <c r="AN128" i="19" s="1" a="1"/>
  <c r="AN128" i="19" s="1"/>
  <c r="AO114" i="19"/>
  <c r="AP113" i="19"/>
  <c r="AQ113" i="19" s="1" a="1"/>
  <c r="AQ113" i="19" s="1"/>
  <c r="W54" i="19"/>
  <c r="X53" i="19"/>
  <c r="Y53" i="19" s="1" a="1"/>
  <c r="Y53" i="19" s="1"/>
  <c r="Q69" i="19"/>
  <c r="R68" i="19"/>
  <c r="S68" i="19" s="1" a="1"/>
  <c r="S68" i="19" s="1"/>
  <c r="AV83" i="19"/>
  <c r="AW83" i="19" s="1" a="1"/>
  <c r="AW83" i="19" s="1"/>
  <c r="AU84" i="19"/>
  <c r="AR114" i="19"/>
  <c r="AS113" i="19"/>
  <c r="AT113" i="19" s="1" a="1"/>
  <c r="AT113" i="19" s="1"/>
  <c r="Q44" i="20"/>
  <c r="W39" i="19"/>
  <c r="X38" i="19"/>
  <c r="Y38" i="19" s="1" a="1"/>
  <c r="Y38" i="19" s="1"/>
  <c r="AS8" i="19"/>
  <c r="AT8" i="19" s="1" a="1"/>
  <c r="AT8" i="19" s="1"/>
  <c r="AR9" i="19"/>
  <c r="AM8" i="19"/>
  <c r="AN8" i="19" s="1" a="1"/>
  <c r="AN8" i="19" s="1"/>
  <c r="AL9" i="19"/>
  <c r="AL114" i="19"/>
  <c r="AM113" i="19"/>
  <c r="AN113" i="19" s="1" a="1"/>
  <c r="AN113" i="19" s="1"/>
  <c r="Z39" i="19"/>
  <c r="AA38" i="19"/>
  <c r="AB38" i="19" s="1" a="1"/>
  <c r="AB38" i="19" s="1"/>
  <c r="AR24" i="19"/>
  <c r="AS23" i="19"/>
  <c r="AT23" i="19" s="1" a="1"/>
  <c r="AT23" i="19" s="1"/>
  <c r="BA52" i="19"/>
  <c r="AX144" i="19"/>
  <c r="AY143" i="19"/>
  <c r="AZ143" i="19" s="1" a="1"/>
  <c r="AZ143" i="19" s="1"/>
  <c r="AC69" i="19"/>
  <c r="AD68" i="19"/>
  <c r="AE68" i="19" s="1" a="1"/>
  <c r="AE68" i="19" s="1"/>
  <c r="AL54" i="19"/>
  <c r="AM53" i="19"/>
  <c r="AN53" i="19" s="1" a="1"/>
  <c r="AN53" i="19" s="1"/>
  <c r="AU129" i="19"/>
  <c r="AV128" i="19"/>
  <c r="AW128" i="19" s="1" a="1"/>
  <c r="AW128" i="19" s="1"/>
  <c r="Q114" i="19"/>
  <c r="R113" i="19"/>
  <c r="S113" i="19" s="1" a="1"/>
  <c r="S113" i="19" s="1"/>
  <c r="BA113" i="19" s="1"/>
  <c r="AI99" i="19"/>
  <c r="AJ98" i="19"/>
  <c r="AK98" i="19" s="1" a="1"/>
  <c r="AK98" i="19" s="1"/>
  <c r="AY38" i="19"/>
  <c r="AZ38" i="19" s="1" a="1"/>
  <c r="AZ38" i="19" s="1"/>
  <c r="AX39" i="19"/>
  <c r="AI54" i="19"/>
  <c r="AJ53" i="19"/>
  <c r="AK53" i="19" s="1" a="1"/>
  <c r="AK53" i="19" s="1"/>
  <c r="T114" i="19"/>
  <c r="U113" i="19"/>
  <c r="V113" i="19" s="1" a="1"/>
  <c r="V113" i="19" s="1"/>
  <c r="AF39" i="19"/>
  <c r="AG38" i="19"/>
  <c r="AH38" i="19" s="1" a="1"/>
  <c r="AH38" i="19" s="1"/>
  <c r="Z24" i="19"/>
  <c r="AA23" i="19"/>
  <c r="AB23" i="19" s="1" a="1"/>
  <c r="AB23" i="19" s="1"/>
  <c r="AC39" i="19"/>
  <c r="AD38" i="19"/>
  <c r="AE38" i="19" s="1" a="1"/>
  <c r="AE38" i="19" s="1"/>
  <c r="AO9" i="19"/>
  <c r="AP8" i="19"/>
  <c r="AQ8" i="19" s="1" a="1"/>
  <c r="AQ8" i="19" s="1"/>
  <c r="BA127" i="19"/>
  <c r="AR84" i="19"/>
  <c r="AS83" i="19"/>
  <c r="AT83" i="19" s="1" a="1"/>
  <c r="AT83" i="19" s="1"/>
  <c r="AL99" i="19"/>
  <c r="AM98" i="19"/>
  <c r="AN98" i="19" s="1" a="1"/>
  <c r="AN98" i="19" s="1"/>
  <c r="AI69" i="19"/>
  <c r="AJ68" i="19"/>
  <c r="AK68" i="19" s="1" a="1"/>
  <c r="AK68" i="19" s="1"/>
  <c r="AX54" i="19"/>
  <c r="AY53" i="19"/>
  <c r="AZ53" i="19" s="1" a="1"/>
  <c r="AZ53" i="19" s="1"/>
  <c r="AI114" i="19"/>
  <c r="AJ113" i="19"/>
  <c r="AK113" i="19" s="1" a="1"/>
  <c r="AK113" i="19" s="1"/>
  <c r="W129" i="19"/>
  <c r="X128" i="19"/>
  <c r="Y128" i="19" s="1" a="1"/>
  <c r="Y128" i="19" s="1"/>
  <c r="AF114" i="19"/>
  <c r="AG113" i="19"/>
  <c r="AH113" i="19" s="1" a="1"/>
  <c r="AH113" i="19" s="1"/>
  <c r="AR144" i="19"/>
  <c r="AS143" i="19"/>
  <c r="AT143" i="19" s="1" a="1"/>
  <c r="AT143" i="19" s="1"/>
  <c r="Q54" i="19"/>
  <c r="R53" i="19"/>
  <c r="S53" i="19" s="1" a="1"/>
  <c r="S53" i="19" s="1"/>
  <c r="T129" i="19"/>
  <c r="U128" i="19"/>
  <c r="V128" i="19" s="1" a="1"/>
  <c r="V128" i="19" s="1"/>
  <c r="Q129" i="19"/>
  <c r="R128" i="19"/>
  <c r="S128" i="19" s="1" a="1"/>
  <c r="S128" i="19" s="1"/>
  <c r="AU69" i="19"/>
  <c r="AV68" i="19"/>
  <c r="AW68" i="19" s="1" a="1"/>
  <c r="AW68" i="19" s="1"/>
  <c r="T54" i="19"/>
  <c r="U53" i="19"/>
  <c r="V53" i="19" s="1" a="1"/>
  <c r="V53" i="19" s="1"/>
  <c r="Q56" i="20"/>
  <c r="Q84" i="19"/>
  <c r="R83" i="19"/>
  <c r="S83" i="19" s="1" a="1"/>
  <c r="S83" i="19" s="1"/>
  <c r="BA112" i="19"/>
  <c r="W84" i="19"/>
  <c r="X83" i="19"/>
  <c r="Y83" i="19" s="1" a="1"/>
  <c r="Y83" i="19" s="1"/>
  <c r="AC144" i="19"/>
  <c r="AD143" i="19"/>
  <c r="AE143" i="19" s="1" a="1"/>
  <c r="AE143" i="19" s="1"/>
  <c r="T9" i="19"/>
  <c r="U8" i="19"/>
  <c r="V8" i="19" s="1" a="1"/>
  <c r="V8" i="19" s="1"/>
  <c r="AU99" i="19"/>
  <c r="AV98" i="19"/>
  <c r="AW98" i="19" s="1" a="1"/>
  <c r="AW98" i="19" s="1"/>
  <c r="K214" i="13" a="1"/>
  <c r="K214" i="13" s="1"/>
  <c r="K241" i="13" s="1"/>
  <c r="K102" i="12"/>
  <c r="K97" i="12"/>
  <c r="K219" i="13" s="1" a="1"/>
  <c r="K219" i="13" s="1"/>
  <c r="I105" i="12" a="1"/>
  <c r="I105" i="12" s="1"/>
  <c r="H105" i="12" a="1"/>
  <c r="H105" i="12" s="1"/>
  <c r="O105" i="12" a="1"/>
  <c r="O105" i="12" s="1"/>
  <c r="G105" i="12" a="1"/>
  <c r="G105" i="12" s="1"/>
  <c r="N105" i="12" a="1"/>
  <c r="N105" i="12" s="1"/>
  <c r="F105" i="12" a="1"/>
  <c r="F105" i="12" s="1"/>
  <c r="M105" i="12" a="1"/>
  <c r="M105" i="12" s="1"/>
  <c r="E105" i="12" a="1"/>
  <c r="E105" i="12" s="1"/>
  <c r="L105" i="12" a="1"/>
  <c r="L105" i="12" s="1"/>
  <c r="D105" i="12" a="1"/>
  <c r="D105" i="12" s="1"/>
  <c r="J105" i="12" a="1"/>
  <c r="J105" i="12" s="1"/>
  <c r="K105" i="12" a="1"/>
  <c r="K105" i="12" s="1"/>
  <c r="J214" i="13" a="1"/>
  <c r="J214" i="13" s="1"/>
  <c r="J241" i="13" s="1"/>
  <c r="J97" i="12"/>
  <c r="J219" i="13" s="1" a="1"/>
  <c r="J219" i="13" s="1"/>
  <c r="J102" i="12"/>
  <c r="O214" i="13" a="1"/>
  <c r="O214" i="13" s="1"/>
  <c r="O241" i="13" s="1"/>
  <c r="O97" i="12"/>
  <c r="O219" i="13" s="1" a="1"/>
  <c r="O219" i="13" s="1"/>
  <c r="O102" i="12"/>
  <c r="L214" i="13" a="1"/>
  <c r="L214" i="13" s="1"/>
  <c r="L241" i="13" s="1"/>
  <c r="L97" i="12"/>
  <c r="L219" i="13" s="1" a="1"/>
  <c r="L219" i="13" s="1"/>
  <c r="L102" i="12"/>
  <c r="I102" i="12"/>
  <c r="I97" i="12"/>
  <c r="I219" i="13" s="1" a="1"/>
  <c r="I219" i="13" s="1"/>
  <c r="I214" i="13" a="1"/>
  <c r="I214" i="13" s="1"/>
  <c r="I241" i="13" s="1"/>
  <c r="D214" i="13" a="1"/>
  <c r="D214" i="13" s="1"/>
  <c r="D241" i="13" s="1"/>
  <c r="D97" i="12"/>
  <c r="D219" i="13" s="1" a="1"/>
  <c r="D219" i="13" s="1"/>
  <c r="D102" i="12"/>
  <c r="E102" i="12"/>
  <c r="E97" i="12"/>
  <c r="E219" i="13" s="1" a="1"/>
  <c r="E219" i="13" s="1"/>
  <c r="E214" i="13" a="1"/>
  <c r="E214" i="13" s="1"/>
  <c r="E241" i="13" s="1"/>
  <c r="M81" i="12" a="1"/>
  <c r="M81" i="12" s="1"/>
  <c r="E81" i="12" a="1"/>
  <c r="E81" i="12" s="1"/>
  <c r="L81" i="12" a="1"/>
  <c r="L81" i="12" s="1"/>
  <c r="D81" i="12" a="1"/>
  <c r="D81" i="12" s="1"/>
  <c r="K81" i="12" a="1"/>
  <c r="K81" i="12" s="1"/>
  <c r="J81" i="12" a="1"/>
  <c r="J81" i="12" s="1"/>
  <c r="I81" i="12" a="1"/>
  <c r="I81" i="12" s="1"/>
  <c r="H81" i="12" a="1"/>
  <c r="H81" i="12" s="1"/>
  <c r="N81" i="12" a="1"/>
  <c r="N81" i="12" s="1"/>
  <c r="F81" i="12" a="1"/>
  <c r="F81" i="12" s="1"/>
  <c r="O81" i="12" a="1"/>
  <c r="O81" i="12" s="1"/>
  <c r="G81" i="12" a="1"/>
  <c r="G81" i="12" s="1"/>
  <c r="M97" i="12"/>
  <c r="M219" i="13" s="1" a="1"/>
  <c r="M219" i="13" s="1"/>
  <c r="M102" i="12"/>
  <c r="M214" i="13" a="1"/>
  <c r="M214" i="13" s="1"/>
  <c r="M241" i="13" s="1"/>
  <c r="H214" i="13" a="1"/>
  <c r="H214" i="13" s="1"/>
  <c r="H241" i="13" s="1"/>
  <c r="H102" i="12"/>
  <c r="H97" i="12"/>
  <c r="H219" i="13" s="1" a="1"/>
  <c r="H219" i="13" s="1"/>
  <c r="F214" i="13" a="1"/>
  <c r="F214" i="13" s="1"/>
  <c r="F241" i="13" s="1"/>
  <c r="F97" i="12"/>
  <c r="F219" i="13" s="1" a="1"/>
  <c r="F219" i="13" s="1"/>
  <c r="F102" i="12"/>
  <c r="I94" i="12" a="1"/>
  <c r="I94" i="12" s="1"/>
  <c r="H94" i="12" a="1"/>
  <c r="H94" i="12" s="1"/>
  <c r="O94" i="12" a="1"/>
  <c r="O94" i="12" s="1"/>
  <c r="G94" i="12" a="1"/>
  <c r="G94" i="12" s="1"/>
  <c r="N94" i="12" a="1"/>
  <c r="N94" i="12" s="1"/>
  <c r="F94" i="12" a="1"/>
  <c r="F94" i="12" s="1"/>
  <c r="M94" i="12" a="1"/>
  <c r="M94" i="12" s="1"/>
  <c r="E94" i="12" a="1"/>
  <c r="E94" i="12" s="1"/>
  <c r="L94" i="12" a="1"/>
  <c r="L94" i="12" s="1"/>
  <c r="D94" i="12" a="1"/>
  <c r="D94" i="12" s="1"/>
  <c r="J94" i="12" a="1"/>
  <c r="J94" i="12" s="1"/>
  <c r="K94" i="12" a="1"/>
  <c r="K94" i="12" s="1"/>
  <c r="N214" i="13" a="1"/>
  <c r="N214" i="13" s="1"/>
  <c r="N241" i="13" s="1"/>
  <c r="N97" i="12"/>
  <c r="N219" i="13" s="1" a="1"/>
  <c r="N219" i="13" s="1"/>
  <c r="N102" i="12"/>
  <c r="M93" i="12" a="1"/>
  <c r="M93" i="12" s="1"/>
  <c r="M215" i="13" s="1" a="1"/>
  <c r="M215" i="13" s="1"/>
  <c r="E93" i="12" a="1"/>
  <c r="E93" i="12" s="1"/>
  <c r="E215" i="13" s="1" a="1"/>
  <c r="E215" i="13" s="1"/>
  <c r="L93" i="12" a="1"/>
  <c r="L93" i="12" s="1"/>
  <c r="L215" i="13" s="1" a="1"/>
  <c r="L215" i="13" s="1"/>
  <c r="D93" i="12" a="1"/>
  <c r="D93" i="12" s="1"/>
  <c r="D215" i="13" s="1" a="1"/>
  <c r="D215" i="13" s="1"/>
  <c r="K93" i="12" a="1"/>
  <c r="K93" i="12" s="1"/>
  <c r="K215" i="13" s="1" a="1"/>
  <c r="K215" i="13" s="1"/>
  <c r="J93" i="12" a="1"/>
  <c r="J93" i="12" s="1"/>
  <c r="J215" i="13" s="1" a="1"/>
  <c r="J215" i="13" s="1"/>
  <c r="I93" i="12" a="1"/>
  <c r="I93" i="12" s="1"/>
  <c r="I215" i="13" s="1" a="1"/>
  <c r="I215" i="13" s="1"/>
  <c r="H93" i="12" a="1"/>
  <c r="H93" i="12" s="1"/>
  <c r="H215" i="13" s="1" a="1"/>
  <c r="H215" i="13" s="1"/>
  <c r="N93" i="12" a="1"/>
  <c r="N93" i="12" s="1"/>
  <c r="N215" i="13" s="1" a="1"/>
  <c r="N215" i="13" s="1"/>
  <c r="F93" i="12" a="1"/>
  <c r="F93" i="12" s="1"/>
  <c r="F215" i="13" s="1" a="1"/>
  <c r="F215" i="13" s="1"/>
  <c r="O93" i="12" a="1"/>
  <c r="O93" i="12" s="1"/>
  <c r="O215" i="13" s="1" a="1"/>
  <c r="O215" i="13" s="1"/>
  <c r="G93" i="12" a="1"/>
  <c r="G93" i="12" s="1"/>
  <c r="G215" i="13" s="1" a="1"/>
  <c r="G215" i="13" s="1"/>
  <c r="G214" i="13" a="1"/>
  <c r="G214" i="13" s="1"/>
  <c r="G241" i="13" s="1"/>
  <c r="G102" i="12"/>
  <c r="G97" i="12"/>
  <c r="G219" i="13" s="1" a="1"/>
  <c r="G219" i="13" s="1"/>
  <c r="D22" i="12" a="1"/>
  <c r="D22" i="12" s="1"/>
  <c r="D43" i="13" s="1" a="1"/>
  <c r="D43" i="13" s="1"/>
  <c r="AE12" i="9" s="1" a="1"/>
  <c r="AE12" i="9" s="1"/>
  <c r="D36" i="12" a="1"/>
  <c r="D36" i="12" s="1"/>
  <c r="D77" i="13" s="1" a="1"/>
  <c r="D77" i="13" s="1"/>
  <c r="AE13" i="9" s="1" a="1"/>
  <c r="AE13" i="9" s="1"/>
  <c r="D34" i="12" a="1"/>
  <c r="D34" i="12" s="1"/>
  <c r="FW12" i="9" a="1"/>
  <c r="FW12" i="9" s="1"/>
  <c r="FX12" i="9" s="1"/>
  <c r="D31" i="12"/>
  <c r="D26" i="12"/>
  <c r="D42" i="13" a="1"/>
  <c r="D42" i="13" s="1"/>
  <c r="D69" i="13" s="1"/>
  <c r="E22" i="12" a="1"/>
  <c r="E22" i="12" s="1"/>
  <c r="E43" i="13" s="1" a="1"/>
  <c r="E43" i="13" s="1"/>
  <c r="AX12" i="9" s="1" a="1"/>
  <c r="AX12" i="9" s="1"/>
  <c r="AI12" i="9" a="1"/>
  <c r="AI12" i="9" s="1"/>
  <c r="E20" i="12" a="1"/>
  <c r="E20" i="12" s="1"/>
  <c r="F58" i="22" a="1"/>
  <c r="F58" i="22" s="1"/>
  <c r="F63" i="22" s="1"/>
  <c r="F64" i="22" s="1"/>
  <c r="AS13" i="23" a="1"/>
  <c r="AS13" i="23" s="1"/>
  <c r="G13" i="27" s="1" a="1"/>
  <c r="G13" i="27" s="1"/>
  <c r="K58" i="22" a="1"/>
  <c r="K58" i="22" s="1"/>
  <c r="DU13" i="23" a="1"/>
  <c r="DU13" i="23" s="1"/>
  <c r="L13" i="27" s="1" a="1"/>
  <c r="L13" i="27" s="1"/>
  <c r="M12" i="22" a="1"/>
  <c r="M12" i="22" s="1"/>
  <c r="FA11" i="23" a="1"/>
  <c r="FA11" i="23" s="1"/>
  <c r="N11" i="27" s="1" a="1"/>
  <c r="N11" i="27" s="1"/>
  <c r="J35" i="22" a="1"/>
  <c r="J35" i="22" s="1"/>
  <c r="J40" i="22" s="1"/>
  <c r="DE12" i="23" a="1"/>
  <c r="DE12" i="23" s="1"/>
  <c r="K12" i="27" s="1" a="1"/>
  <c r="K12" i="27" s="1"/>
  <c r="I12" i="22" a="1"/>
  <c r="I12" i="22" s="1"/>
  <c r="CO11" i="23" a="1"/>
  <c r="CO11" i="23" s="1"/>
  <c r="J11" i="27" s="1" a="1"/>
  <c r="J11" i="27" s="1"/>
  <c r="J58" i="22" a="1"/>
  <c r="J58" i="22" s="1"/>
  <c r="DE13" i="23" a="1"/>
  <c r="DE13" i="23" s="1"/>
  <c r="K13" i="27" s="1" a="1"/>
  <c r="K13" i="27" s="1"/>
  <c r="K35" i="22" a="1"/>
  <c r="K35" i="22" s="1"/>
  <c r="K40" i="22" s="1"/>
  <c r="DU12" i="23" a="1"/>
  <c r="DU12" i="23" s="1"/>
  <c r="L12" i="27" s="1" a="1"/>
  <c r="L12" i="27" s="1"/>
  <c r="F35" i="22" a="1"/>
  <c r="F35" i="22" s="1"/>
  <c r="F40" i="22" s="1"/>
  <c r="AS12" i="23" a="1"/>
  <c r="AS12" i="23" s="1"/>
  <c r="G12" i="27" s="1" a="1"/>
  <c r="G12" i="27" s="1"/>
  <c r="O12" i="22" a="1"/>
  <c r="O12" i="22" s="1"/>
  <c r="GG11" i="23" a="1"/>
  <c r="GG11" i="23" s="1"/>
  <c r="P11" i="27" s="1" a="1"/>
  <c r="P11" i="27" s="1"/>
  <c r="H58" i="22" a="1"/>
  <c r="H58" i="22" s="1"/>
  <c r="BY13" i="23" a="1"/>
  <c r="BY13" i="23" s="1"/>
  <c r="I13" i="27" s="1" a="1"/>
  <c r="I13" i="27" s="1"/>
  <c r="G58" i="22" a="1"/>
  <c r="G58" i="22" s="1"/>
  <c r="BI13" i="23" a="1"/>
  <c r="BI13" i="23" s="1"/>
  <c r="H13" i="27" s="1" a="1"/>
  <c r="H13" i="27" s="1"/>
  <c r="N35" i="22" a="1"/>
  <c r="N35" i="22" s="1"/>
  <c r="N40" i="22" s="1"/>
  <c r="FQ12" i="23" a="1"/>
  <c r="FQ12" i="23" s="1"/>
  <c r="O12" i="27" s="1" a="1"/>
  <c r="O12" i="27" s="1"/>
  <c r="N58" i="22" a="1"/>
  <c r="N58" i="22" s="1"/>
  <c r="N63" i="22" s="1"/>
  <c r="N64" i="22" s="1"/>
  <c r="FQ13" i="23" a="1"/>
  <c r="FQ13" i="23" s="1"/>
  <c r="O13" i="27" s="1" a="1"/>
  <c r="O13" i="27" s="1"/>
  <c r="E58" i="22" a="1"/>
  <c r="E58" i="22" s="1"/>
  <c r="AC13" i="23" a="1"/>
  <c r="AC13" i="23" s="1"/>
  <c r="F13" i="27" s="1" a="1"/>
  <c r="F13" i="27" s="1"/>
  <c r="K12" i="22" a="1"/>
  <c r="K12" i="22" s="1"/>
  <c r="DU11" i="23" a="1"/>
  <c r="DU11" i="23" s="1"/>
  <c r="L11" i="27" s="1" a="1"/>
  <c r="L11" i="27" s="1"/>
  <c r="L58" i="22" a="1"/>
  <c r="L58" i="22" s="1"/>
  <c r="L63" i="22" s="1"/>
  <c r="L64" i="22" s="1"/>
  <c r="EK13" i="23" a="1"/>
  <c r="EK13" i="23" s="1"/>
  <c r="M13" i="27" s="1" a="1"/>
  <c r="M13" i="27" s="1"/>
  <c r="M35" i="22" a="1"/>
  <c r="M35" i="22" s="1"/>
  <c r="M40" i="22" s="1"/>
  <c r="FA12" i="23" a="1"/>
  <c r="FA12" i="23" s="1"/>
  <c r="N12" i="27" s="1" a="1"/>
  <c r="N12" i="27" s="1"/>
  <c r="L12" i="22" a="1"/>
  <c r="L12" i="22" s="1"/>
  <c r="EK11" i="23" a="1"/>
  <c r="EK11" i="23" s="1"/>
  <c r="M11" i="27" s="1" a="1"/>
  <c r="M11" i="27" s="1"/>
  <c r="E12" i="22" a="1"/>
  <c r="E12" i="22" s="1"/>
  <c r="AC11" i="23" a="1"/>
  <c r="AC11" i="23" s="1"/>
  <c r="F11" i="27" s="1" a="1"/>
  <c r="F11" i="27" s="1"/>
  <c r="H12" i="22" a="1"/>
  <c r="H12" i="22" s="1"/>
  <c r="BY11" i="23" a="1"/>
  <c r="BY11" i="23" s="1"/>
  <c r="I11" i="27" s="1" a="1"/>
  <c r="I11" i="27" s="1"/>
  <c r="M58" i="22" a="1"/>
  <c r="M58" i="22" s="1"/>
  <c r="M63" i="22" s="1"/>
  <c r="M64" i="22" s="1"/>
  <c r="FA13" i="23" a="1"/>
  <c r="FA13" i="23" s="1"/>
  <c r="N13" i="27" s="1" a="1"/>
  <c r="N13" i="27" s="1"/>
  <c r="G35" i="22" a="1"/>
  <c r="G35" i="22" s="1"/>
  <c r="G40" i="22" s="1"/>
  <c r="BI12" i="23" a="1"/>
  <c r="BI12" i="23" s="1"/>
  <c r="H12" i="27" s="1" a="1"/>
  <c r="H12" i="27" s="1"/>
  <c r="F12" i="22" a="1"/>
  <c r="F12" i="22" s="1"/>
  <c r="AS11" i="23" a="1"/>
  <c r="AS11" i="23" s="1"/>
  <c r="G11" i="27" s="1" a="1"/>
  <c r="G11" i="27" s="1"/>
  <c r="I58" i="22" a="1"/>
  <c r="I58" i="22" s="1"/>
  <c r="I63" i="22" s="1"/>
  <c r="I64" i="22" s="1"/>
  <c r="CO13" i="23" a="1"/>
  <c r="CO13" i="23" s="1"/>
  <c r="J13" i="27" s="1" a="1"/>
  <c r="J13" i="27" s="1"/>
  <c r="H35" i="22" a="1"/>
  <c r="H35" i="22" s="1"/>
  <c r="H40" i="22" s="1"/>
  <c r="BY12" i="23" a="1"/>
  <c r="BY12" i="23" s="1"/>
  <c r="I12" i="27" s="1" a="1"/>
  <c r="I12" i="27" s="1"/>
  <c r="J12" i="22" a="1"/>
  <c r="J12" i="22" s="1"/>
  <c r="DE11" i="23" a="1"/>
  <c r="DE11" i="23" s="1"/>
  <c r="K11" i="27" s="1" a="1"/>
  <c r="K11" i="27" s="1"/>
  <c r="O35" i="22" a="1"/>
  <c r="O35" i="22" s="1"/>
  <c r="O40" i="22" s="1"/>
  <c r="GG12" i="23" a="1"/>
  <c r="GG12" i="23" s="1"/>
  <c r="P12" i="27" s="1" a="1"/>
  <c r="P12" i="27" s="1"/>
  <c r="L35" i="22" a="1"/>
  <c r="L35" i="22" s="1"/>
  <c r="L40" i="22" s="1"/>
  <c r="EK12" i="23" a="1"/>
  <c r="EK12" i="23" s="1"/>
  <c r="M12" i="27" s="1" a="1"/>
  <c r="M12" i="27" s="1"/>
  <c r="G12" i="22" a="1"/>
  <c r="G12" i="22" s="1"/>
  <c r="G17" i="22" s="1"/>
  <c r="BI11" i="23" a="1"/>
  <c r="BI11" i="23" s="1"/>
  <c r="H11" i="27" s="1" a="1"/>
  <c r="H11" i="27" s="1"/>
  <c r="N12" i="22" a="1"/>
  <c r="N12" i="22" s="1"/>
  <c r="FQ11" i="23" a="1"/>
  <c r="FQ11" i="23" s="1"/>
  <c r="O11" i="27" s="1" a="1"/>
  <c r="O11" i="27" s="1"/>
  <c r="O58" i="22" a="1"/>
  <c r="O58" i="22" s="1"/>
  <c r="O63" i="22" s="1"/>
  <c r="O64" i="22" s="1"/>
  <c r="GG13" i="23" a="1"/>
  <c r="GG13" i="23" s="1"/>
  <c r="P13" i="27" s="1" a="1"/>
  <c r="P13" i="27" s="1"/>
  <c r="E35" i="22" a="1"/>
  <c r="E35" i="22" s="1"/>
  <c r="E40" i="22" s="1"/>
  <c r="AC12" i="23" a="1"/>
  <c r="AC12" i="23" s="1"/>
  <c r="F12" i="27" s="1" a="1"/>
  <c r="F12" i="27" s="1"/>
  <c r="I35" i="22" a="1"/>
  <c r="I35" i="22" s="1"/>
  <c r="I40" i="22" s="1"/>
  <c r="CO12" i="23" a="1"/>
  <c r="CO12" i="23" s="1"/>
  <c r="J12" i="27" s="1" a="1"/>
  <c r="J12" i="27" s="1"/>
  <c r="I117" i="20" a="1"/>
  <c r="I117" i="20" s="1"/>
  <c r="I118" i="20" s="1"/>
  <c r="N117" i="20" a="1"/>
  <c r="N117" i="20" s="1"/>
  <c r="N118" i="20" s="1"/>
  <c r="H117" i="20" a="1"/>
  <c r="H117" i="20" s="1"/>
  <c r="H118" i="20" s="1"/>
  <c r="F117" i="20" a="1"/>
  <c r="F117" i="20" s="1"/>
  <c r="F118" i="20" s="1"/>
  <c r="J117" i="20" a="1"/>
  <c r="J117" i="20" s="1"/>
  <c r="J118" i="20" s="1"/>
  <c r="O117" i="20" a="1"/>
  <c r="O117" i="20" s="1"/>
  <c r="O118" i="20" s="1"/>
  <c r="G117" i="20" a="1"/>
  <c r="G117" i="20" s="1"/>
  <c r="G118" i="20" s="1"/>
  <c r="E117" i="20" a="1"/>
  <c r="E117" i="20" s="1"/>
  <c r="K117" i="20" a="1"/>
  <c r="K117" i="20" s="1"/>
  <c r="K118" i="20" s="1"/>
  <c r="M117" i="20" a="1"/>
  <c r="M117" i="20" s="1"/>
  <c r="M118" i="20" s="1"/>
  <c r="P117" i="20" a="1"/>
  <c r="P117" i="20" s="1"/>
  <c r="P118" i="20" s="1"/>
  <c r="L117" i="20" a="1"/>
  <c r="L117" i="20" s="1"/>
  <c r="L118" i="20" s="1"/>
  <c r="L57" i="20" a="1"/>
  <c r="L57" i="20" s="1"/>
  <c r="L58" i="20" s="1"/>
  <c r="K57" i="20" a="1"/>
  <c r="K57" i="20" s="1"/>
  <c r="K58" i="20" s="1"/>
  <c r="O57" i="20" a="1"/>
  <c r="O57" i="20" s="1"/>
  <c r="O58" i="20" s="1"/>
  <c r="J57" i="20" a="1"/>
  <c r="J57" i="20" s="1"/>
  <c r="J58" i="20" s="1"/>
  <c r="N57" i="20" a="1"/>
  <c r="N57" i="20" s="1"/>
  <c r="N58" i="20" s="1"/>
  <c r="P57" i="20" a="1"/>
  <c r="P57" i="20" s="1"/>
  <c r="P58" i="20" s="1"/>
  <c r="M57" i="20" a="1"/>
  <c r="M57" i="20" s="1"/>
  <c r="M58" i="20" s="1"/>
  <c r="F57" i="20" a="1"/>
  <c r="F57" i="20" s="1"/>
  <c r="F58" i="20" s="1"/>
  <c r="I57" i="20" a="1"/>
  <c r="I57" i="20" s="1"/>
  <c r="I58" i="20" s="1"/>
  <c r="G57" i="20" a="1"/>
  <c r="G57" i="20" s="1"/>
  <c r="G58" i="20" s="1"/>
  <c r="H57" i="20" a="1"/>
  <c r="H57" i="20" s="1"/>
  <c r="H58" i="20" s="1"/>
  <c r="E57" i="20" a="1"/>
  <c r="E57" i="20" s="1"/>
  <c r="Q33" i="20"/>
  <c r="Q9" i="20"/>
  <c r="J93" i="20" a="1"/>
  <c r="J93" i="20" s="1"/>
  <c r="J94" i="20" s="1"/>
  <c r="O93" i="20" a="1"/>
  <c r="O93" i="20" s="1"/>
  <c r="O94" i="20" s="1"/>
  <c r="G93" i="20" a="1"/>
  <c r="G93" i="20" s="1"/>
  <c r="G94" i="20" s="1"/>
  <c r="E93" i="20" a="1"/>
  <c r="E93" i="20" s="1"/>
  <c r="L93" i="20" a="1"/>
  <c r="L93" i="20" s="1"/>
  <c r="L94" i="20" s="1"/>
  <c r="H93" i="20" a="1"/>
  <c r="H93" i="20" s="1"/>
  <c r="H94" i="20" s="1"/>
  <c r="P93" i="20" a="1"/>
  <c r="P93" i="20" s="1"/>
  <c r="P94" i="20" s="1"/>
  <c r="N93" i="20" a="1"/>
  <c r="N93" i="20" s="1"/>
  <c r="N94" i="20" s="1"/>
  <c r="I93" i="20" a="1"/>
  <c r="I93" i="20" s="1"/>
  <c r="I94" i="20" s="1"/>
  <c r="M93" i="20" a="1"/>
  <c r="M93" i="20" s="1"/>
  <c r="M94" i="20" s="1"/>
  <c r="F93" i="20" a="1"/>
  <c r="F93" i="20" s="1"/>
  <c r="F94" i="20" s="1"/>
  <c r="K93" i="20" a="1"/>
  <c r="K93" i="20" s="1"/>
  <c r="K94" i="20" s="1"/>
  <c r="O105" i="20" a="1"/>
  <c r="O105" i="20" s="1"/>
  <c r="O106" i="20" s="1"/>
  <c r="P105" i="20" a="1"/>
  <c r="P105" i="20" s="1"/>
  <c r="P106" i="20" s="1"/>
  <c r="K105" i="20" a="1"/>
  <c r="K105" i="20" s="1"/>
  <c r="K106" i="20" s="1"/>
  <c r="G105" i="20" a="1"/>
  <c r="G105" i="20" s="1"/>
  <c r="G106" i="20" s="1"/>
  <c r="I105" i="20" a="1"/>
  <c r="I105" i="20" s="1"/>
  <c r="I106" i="20" s="1"/>
  <c r="H105" i="20" a="1"/>
  <c r="H105" i="20" s="1"/>
  <c r="H106" i="20" s="1"/>
  <c r="L105" i="20" a="1"/>
  <c r="L105" i="20" s="1"/>
  <c r="L106" i="20" s="1"/>
  <c r="N105" i="20" a="1"/>
  <c r="N105" i="20" s="1"/>
  <c r="N106" i="20" s="1"/>
  <c r="F105" i="20" a="1"/>
  <c r="F105" i="20" s="1"/>
  <c r="F106" i="20" s="1"/>
  <c r="M105" i="20" a="1"/>
  <c r="M105" i="20" s="1"/>
  <c r="M106" i="20" s="1"/>
  <c r="J105" i="20" a="1"/>
  <c r="J105" i="20" s="1"/>
  <c r="J106" i="20" s="1"/>
  <c r="E105" i="20" a="1"/>
  <c r="E105" i="20" s="1"/>
  <c r="G69" i="20" a="1"/>
  <c r="G69" i="20" s="1"/>
  <c r="G70" i="20" s="1"/>
  <c r="H69" i="20" a="1"/>
  <c r="H69" i="20" s="1"/>
  <c r="H70" i="20" s="1"/>
  <c r="K69" i="20" a="1"/>
  <c r="K69" i="20" s="1"/>
  <c r="K70" i="20" s="1"/>
  <c r="P69" i="20" a="1"/>
  <c r="P69" i="20" s="1"/>
  <c r="P70" i="20" s="1"/>
  <c r="I69" i="20" a="1"/>
  <c r="I69" i="20" s="1"/>
  <c r="I70" i="20" s="1"/>
  <c r="N69" i="20" a="1"/>
  <c r="N69" i="20" s="1"/>
  <c r="N70" i="20" s="1"/>
  <c r="M69" i="20" a="1"/>
  <c r="M69" i="20" s="1"/>
  <c r="M70" i="20" s="1"/>
  <c r="L69" i="20" a="1"/>
  <c r="L69" i="20" s="1"/>
  <c r="L70" i="20" s="1"/>
  <c r="J69" i="20" a="1"/>
  <c r="J69" i="20" s="1"/>
  <c r="J70" i="20" s="1"/>
  <c r="O69" i="20" a="1"/>
  <c r="O69" i="20" s="1"/>
  <c r="O70" i="20" s="1"/>
  <c r="F69" i="20" a="1"/>
  <c r="F69" i="20" s="1"/>
  <c r="F70" i="20" s="1"/>
  <c r="E69" i="20" a="1"/>
  <c r="E69" i="20" s="1"/>
  <c r="P45" i="20" a="1"/>
  <c r="P45" i="20" s="1"/>
  <c r="P46" i="20" s="1"/>
  <c r="K45" i="20" a="1"/>
  <c r="K45" i="20" s="1"/>
  <c r="K46" i="20" s="1"/>
  <c r="G45" i="20" a="1"/>
  <c r="G45" i="20" s="1"/>
  <c r="G46" i="20" s="1"/>
  <c r="L45" i="20" a="1"/>
  <c r="L45" i="20" s="1"/>
  <c r="L46" i="20" s="1"/>
  <c r="J45" i="20" a="1"/>
  <c r="J45" i="20" s="1"/>
  <c r="J46" i="20" s="1"/>
  <c r="O45" i="20" a="1"/>
  <c r="O45" i="20" s="1"/>
  <c r="O46" i="20" s="1"/>
  <c r="I45" i="20" a="1"/>
  <c r="I45" i="20" s="1"/>
  <c r="I46" i="20" s="1"/>
  <c r="H45" i="20" a="1"/>
  <c r="H45" i="20" s="1"/>
  <c r="H46" i="20" s="1"/>
  <c r="M45" i="20" a="1"/>
  <c r="M45" i="20" s="1"/>
  <c r="M46" i="20" s="1"/>
  <c r="E45" i="20" a="1"/>
  <c r="E45" i="20" s="1"/>
  <c r="F45" i="20" a="1"/>
  <c r="F45" i="20" s="1"/>
  <c r="F46" i="20" s="1"/>
  <c r="N45" i="20" a="1"/>
  <c r="N45" i="20" s="1"/>
  <c r="N46" i="20" s="1"/>
  <c r="H81" i="20" a="1"/>
  <c r="H81" i="20" s="1"/>
  <c r="H82" i="20" s="1"/>
  <c r="J81" i="20" a="1"/>
  <c r="J81" i="20" s="1"/>
  <c r="J82" i="20" s="1"/>
  <c r="O81" i="20" a="1"/>
  <c r="O81" i="20" s="1"/>
  <c r="O82" i="20" s="1"/>
  <c r="L81" i="20" a="1"/>
  <c r="L81" i="20" s="1"/>
  <c r="L82" i="20" s="1"/>
  <c r="G81" i="20" a="1"/>
  <c r="G81" i="20" s="1"/>
  <c r="G82" i="20" s="1"/>
  <c r="E81" i="20" a="1"/>
  <c r="E81" i="20" s="1"/>
  <c r="P81" i="20" a="1"/>
  <c r="P81" i="20" s="1"/>
  <c r="P82" i="20" s="1"/>
  <c r="K81" i="20" a="1"/>
  <c r="K81" i="20" s="1"/>
  <c r="K82" i="20" s="1"/>
  <c r="I81" i="20" a="1"/>
  <c r="I81" i="20" s="1"/>
  <c r="I82" i="20" s="1"/>
  <c r="N81" i="20" a="1"/>
  <c r="N81" i="20" s="1"/>
  <c r="N82" i="20" s="1"/>
  <c r="F81" i="20" a="1"/>
  <c r="F81" i="20" s="1"/>
  <c r="F82" i="20" s="1"/>
  <c r="M81" i="20" a="1"/>
  <c r="M81" i="20" s="1"/>
  <c r="M82" i="20" s="1"/>
  <c r="N226" i="22"/>
  <c r="I42" i="22"/>
  <c r="O180" i="22"/>
  <c r="I180" i="22"/>
  <c r="J226" i="22"/>
  <c r="G111" i="22"/>
  <c r="K111" i="22"/>
  <c r="M65" i="22"/>
  <c r="M66" i="22" s="1"/>
  <c r="N88" i="22"/>
  <c r="K42" i="22"/>
  <c r="F42" i="22"/>
  <c r="I111" i="22"/>
  <c r="E42" i="22"/>
  <c r="H180" i="22"/>
  <c r="G226" i="22"/>
  <c r="N111" i="22"/>
  <c r="J111" i="22"/>
  <c r="I65" i="22"/>
  <c r="I66" i="22" s="1"/>
  <c r="J42" i="22"/>
  <c r="E226" i="22"/>
  <c r="L226" i="22"/>
  <c r="E111" i="22"/>
  <c r="H111" i="22"/>
  <c r="G19" i="22"/>
  <c r="F65" i="22"/>
  <c r="F66" i="22" s="1"/>
  <c r="L88" i="22"/>
  <c r="N42" i="22"/>
  <c r="E180" i="22"/>
  <c r="L65" i="22"/>
  <c r="L66" i="22" s="1"/>
  <c r="K88" i="22"/>
  <c r="K180" i="22"/>
  <c r="F226" i="22"/>
  <c r="K226" i="22"/>
  <c r="H88" i="22"/>
  <c r="M42" i="22"/>
  <c r="G180" i="22"/>
  <c r="E88" i="22"/>
  <c r="F180" i="22"/>
  <c r="H226" i="22"/>
  <c r="M111" i="22"/>
  <c r="J63" i="22"/>
  <c r="J64" i="22" s="1"/>
  <c r="J65" i="22"/>
  <c r="J66" i="22" s="1"/>
  <c r="I88" i="22"/>
  <c r="G88" i="22"/>
  <c r="G42" i="22"/>
  <c r="E63" i="22"/>
  <c r="E64" i="22" s="1"/>
  <c r="E65" i="22"/>
  <c r="E66" i="22" s="1"/>
  <c r="K63" i="22"/>
  <c r="K64" i="22" s="1"/>
  <c r="K65" i="22"/>
  <c r="K66" i="22" s="1"/>
  <c r="M88" i="22"/>
  <c r="O88" i="22"/>
  <c r="H42" i="22"/>
  <c r="M180" i="22"/>
  <c r="N180" i="22"/>
  <c r="I226" i="22"/>
  <c r="M226" i="22"/>
  <c r="L111" i="22"/>
  <c r="J180" i="22"/>
  <c r="L180" i="22"/>
  <c r="O226" i="22"/>
  <c r="O111" i="22"/>
  <c r="H63" i="22"/>
  <c r="H64" i="22" s="1"/>
  <c r="H65" i="22"/>
  <c r="H66" i="22" s="1"/>
  <c r="G63" i="22"/>
  <c r="G64" i="22" s="1"/>
  <c r="G65" i="22"/>
  <c r="G66" i="22" s="1"/>
  <c r="J88" i="22"/>
  <c r="F88" i="22"/>
  <c r="O42" i="22"/>
  <c r="L42" i="22"/>
  <c r="D58" i="22" a="1"/>
  <c r="D58" i="22" s="1"/>
  <c r="Q34" i="20"/>
  <c r="Q21" i="20"/>
  <c r="E22" i="20"/>
  <c r="M12" i="23" s="1" a="1"/>
  <c r="M12" i="23" s="1"/>
  <c r="E12" i="27" s="1" a="1"/>
  <c r="E12" i="27" s="1"/>
  <c r="Q10" i="20"/>
  <c r="D12" i="22" a="1"/>
  <c r="D12" i="22" s="1"/>
  <c r="AX11" i="9" a="1"/>
  <c r="AX11" i="9" s="1"/>
  <c r="AE11" i="9" a="1"/>
  <c r="AE11" i="9" s="1"/>
  <c r="BQ11" i="9" a="1"/>
  <c r="BQ11" i="9" s="1"/>
  <c r="M14" i="13" a="1"/>
  <c r="M14" i="13" s="1"/>
  <c r="H14" i="13" a="1"/>
  <c r="H14" i="13" s="1"/>
  <c r="K14" i="13" a="1"/>
  <c r="K14" i="13" s="1"/>
  <c r="N14" i="13" a="1"/>
  <c r="N14" i="13" s="1"/>
  <c r="D14" i="13" a="1"/>
  <c r="D14" i="13" s="1"/>
  <c r="E12" i="13" a="1"/>
  <c r="E12" i="13" s="1"/>
  <c r="G12" i="13" a="1"/>
  <c r="G12" i="13" s="1"/>
  <c r="I12" i="13" a="1"/>
  <c r="I12" i="13" s="1"/>
  <c r="L14" i="13" a="1"/>
  <c r="L14" i="13" s="1"/>
  <c r="O14" i="13" a="1"/>
  <c r="O14" i="13" s="1"/>
  <c r="F14" i="13" a="1"/>
  <c r="F14" i="13" s="1"/>
  <c r="J14" i="13" a="1"/>
  <c r="J14" i="13" s="1"/>
  <c r="B12" i="10"/>
  <c r="B13" i="10" s="1"/>
  <c r="B14" i="10" s="1"/>
  <c r="B15" i="10" s="1"/>
  <c r="B16" i="10" s="1"/>
  <c r="B17" i="10" s="1"/>
  <c r="B18" i="10" s="1"/>
  <c r="D11" i="10"/>
  <c r="B107" i="13" a="1"/>
  <c r="B107" i="13" s="1"/>
  <c r="B108" i="13" s="1"/>
  <c r="B63" i="13"/>
  <c r="B68" i="13"/>
  <c r="B75" i="13"/>
  <c r="B76" i="13" s="1"/>
  <c r="B77" i="13" s="1"/>
  <c r="B78" i="13"/>
  <c r="B79" i="13" s="1"/>
  <c r="AA205" i="10"/>
  <c r="AA243" i="10"/>
  <c r="AA230" i="10"/>
  <c r="AA231" i="10" s="1"/>
  <c r="AA218" i="10"/>
  <c r="B48" i="12" a="1"/>
  <c r="B48" i="12" s="1"/>
  <c r="G11" i="10"/>
  <c r="N11" i="10"/>
  <c r="F11" i="10"/>
  <c r="M11" i="10"/>
  <c r="E11" i="10"/>
  <c r="L11" i="10"/>
  <c r="K11" i="10"/>
  <c r="I11" i="10"/>
  <c r="J11" i="10"/>
  <c r="P11" i="10"/>
  <c r="H11" i="10"/>
  <c r="O11" i="10"/>
  <c r="R95" i="12"/>
  <c r="R108" i="12"/>
  <c r="R107" i="12"/>
  <c r="R120" i="12"/>
  <c r="R119" i="12"/>
  <c r="R132" i="12"/>
  <c r="N10" i="10"/>
  <c r="K10" i="10"/>
  <c r="F10" i="10"/>
  <c r="M10" i="10"/>
  <c r="P10" i="10"/>
  <c r="L10" i="10"/>
  <c r="J10" i="10"/>
  <c r="I10" i="10"/>
  <c r="H10" i="10"/>
  <c r="O10" i="10"/>
  <c r="G10" i="10"/>
  <c r="D10" i="10"/>
  <c r="E10" i="10"/>
  <c r="CO6" i="1" a="1"/>
  <c r="CO6" i="1" s="1"/>
  <c r="CP388" i="1"/>
  <c r="AL5" i="1" a="1"/>
  <c r="AL5" i="1" s="1"/>
  <c r="AQ388" i="1"/>
  <c r="CD388" i="1"/>
  <c r="CC6" i="1" a="1"/>
  <c r="CC6" i="1" s="1"/>
  <c r="F9" i="8"/>
  <c r="K9" i="8"/>
  <c r="L9" i="8" s="1"/>
  <c r="O3" i="8" s="1"/>
  <c r="P3" i="8" s="1"/>
  <c r="S9" i="8"/>
  <c r="K84" i="5" s="1"/>
  <c r="R8" i="7"/>
  <c r="S7" i="7"/>
  <c r="M5" i="6"/>
  <c r="N4" i="6"/>
  <c r="G9" i="6"/>
  <c r="H9" i="6" s="1"/>
  <c r="H8" i="6"/>
  <c r="R8" i="6"/>
  <c r="S7" i="6"/>
  <c r="M5" i="8"/>
  <c r="N4" i="8"/>
  <c r="I7" i="6"/>
  <c r="L7" i="6" s="1"/>
  <c r="G9" i="7"/>
  <c r="C84" i="5" l="1"/>
  <c r="B84" i="5"/>
  <c r="W10" i="19"/>
  <c r="X9" i="19"/>
  <c r="Y9" i="19" s="1" a="1"/>
  <c r="Y9" i="19" s="1"/>
  <c r="T55" i="19"/>
  <c r="U54" i="19"/>
  <c r="V54" i="19" s="1" a="1"/>
  <c r="V54" i="19" s="1"/>
  <c r="AO115" i="19"/>
  <c r="AP114" i="19"/>
  <c r="AQ114" i="19" s="1" a="1"/>
  <c r="AQ114" i="19" s="1"/>
  <c r="AV54" i="19"/>
  <c r="AW54" i="19" s="1" a="1"/>
  <c r="AW54" i="19" s="1"/>
  <c r="AU55" i="19"/>
  <c r="AF55" i="19"/>
  <c r="AG54" i="19"/>
  <c r="AH54" i="19" s="1" a="1"/>
  <c r="AH54" i="19" s="1"/>
  <c r="AR100" i="19"/>
  <c r="AS99" i="19"/>
  <c r="AT99" i="19" s="1" a="1"/>
  <c r="AT99" i="19" s="1"/>
  <c r="AI10" i="19"/>
  <c r="AJ9" i="19"/>
  <c r="AK9" i="19" s="1" a="1"/>
  <c r="AK9" i="19" s="1"/>
  <c r="AL85" i="19"/>
  <c r="AM84" i="19"/>
  <c r="AN84" i="19" s="1" a="1"/>
  <c r="AN84" i="19" s="1"/>
  <c r="T40" i="19"/>
  <c r="U39" i="19"/>
  <c r="V39" i="19" s="1" a="1"/>
  <c r="V39" i="19" s="1"/>
  <c r="AU145" i="19"/>
  <c r="AV144" i="19"/>
  <c r="AW144" i="19" s="1" a="1"/>
  <c r="AW144" i="19" s="1"/>
  <c r="AY9" i="19"/>
  <c r="AZ9" i="19" s="1" a="1"/>
  <c r="AZ9" i="19" s="1"/>
  <c r="AX10" i="19"/>
  <c r="AU100" i="19"/>
  <c r="AV99" i="19"/>
  <c r="AW99" i="19" s="1" a="1"/>
  <c r="AW99" i="19" s="1"/>
  <c r="AL100" i="19"/>
  <c r="AM99" i="19"/>
  <c r="AN99" i="19" s="1" a="1"/>
  <c r="AN99" i="19" s="1"/>
  <c r="Q115" i="19"/>
  <c r="R114" i="19"/>
  <c r="S114" i="19" s="1" a="1"/>
  <c r="S114" i="19" s="1"/>
  <c r="Z145" i="19"/>
  <c r="AA144" i="19"/>
  <c r="AB144" i="19" s="1" a="1"/>
  <c r="AB144" i="19" s="1"/>
  <c r="Z115" i="19"/>
  <c r="AA114" i="19"/>
  <c r="AB114" i="19" s="1" a="1"/>
  <c r="AB114" i="19" s="1"/>
  <c r="W70" i="19"/>
  <c r="X69" i="19"/>
  <c r="Y69" i="19" s="1" a="1"/>
  <c r="Y69" i="19" s="1"/>
  <c r="Z10" i="19"/>
  <c r="AA9" i="19"/>
  <c r="AB9" i="19" s="1" a="1"/>
  <c r="AB9" i="19" s="1"/>
  <c r="U9" i="19"/>
  <c r="V9" i="19" s="1" a="1"/>
  <c r="V9" i="19" s="1"/>
  <c r="T10" i="19"/>
  <c r="AF115" i="19"/>
  <c r="AG114" i="19"/>
  <c r="AH114" i="19" s="1" a="1"/>
  <c r="AH114" i="19" s="1"/>
  <c r="AR85" i="19"/>
  <c r="AS84" i="19"/>
  <c r="AT84" i="19" s="1" a="1"/>
  <c r="AT84" i="19" s="1"/>
  <c r="AF40" i="19"/>
  <c r="AG39" i="19"/>
  <c r="AH39" i="19" s="1" a="1"/>
  <c r="AH39" i="19" s="1"/>
  <c r="AR25" i="19"/>
  <c r="AS24" i="19"/>
  <c r="AT24" i="19" s="1" a="1"/>
  <c r="AT24" i="19" s="1"/>
  <c r="AR70" i="19"/>
  <c r="AS69" i="19"/>
  <c r="AT69" i="19" s="1" a="1"/>
  <c r="AT69" i="19" s="1"/>
  <c r="AI85" i="19"/>
  <c r="AJ84" i="19"/>
  <c r="AK84" i="19" s="1" a="1"/>
  <c r="AK84" i="19" s="1"/>
  <c r="BA23" i="19"/>
  <c r="AL25" i="19"/>
  <c r="AM24" i="19"/>
  <c r="AN24" i="19" s="1" a="1"/>
  <c r="AN24" i="19" s="1"/>
  <c r="Q40" i="19"/>
  <c r="R39" i="19"/>
  <c r="S39" i="19" s="1" a="1"/>
  <c r="S39" i="19" s="1"/>
  <c r="Z25" i="19"/>
  <c r="AA24" i="19"/>
  <c r="AB24" i="19" s="1" a="1"/>
  <c r="AB24" i="19" s="1"/>
  <c r="AI145" i="19"/>
  <c r="AJ144" i="19"/>
  <c r="AK144" i="19" s="1" a="1"/>
  <c r="AK144" i="19" s="1"/>
  <c r="W100" i="19"/>
  <c r="X99" i="19"/>
  <c r="Y99" i="19" s="1" a="1"/>
  <c r="Y99" i="19" s="1"/>
  <c r="AU70" i="19"/>
  <c r="AV69" i="19"/>
  <c r="AW69" i="19" s="1" a="1"/>
  <c r="AW69" i="19" s="1"/>
  <c r="AR115" i="19"/>
  <c r="AS114" i="19"/>
  <c r="AT114" i="19" s="1" a="1"/>
  <c r="AT114" i="19" s="1"/>
  <c r="AL130" i="19"/>
  <c r="AM129" i="19"/>
  <c r="AN129" i="19" s="1" a="1"/>
  <c r="AN129" i="19" s="1"/>
  <c r="Z130" i="19"/>
  <c r="AA129" i="19"/>
  <c r="AB129" i="19" s="1" a="1"/>
  <c r="AB129" i="19" s="1"/>
  <c r="AX115" i="19"/>
  <c r="AY114" i="19"/>
  <c r="AZ114" i="19" s="1" a="1"/>
  <c r="AZ114" i="19" s="1"/>
  <c r="AY99" i="19"/>
  <c r="AZ99" i="19" s="1" a="1"/>
  <c r="AZ99" i="19" s="1"/>
  <c r="AX100" i="19"/>
  <c r="AY24" i="19"/>
  <c r="AZ24" i="19" s="1" a="1"/>
  <c r="AZ24" i="19" s="1"/>
  <c r="BA24" i="19" s="1"/>
  <c r="AX25" i="19"/>
  <c r="AC85" i="19"/>
  <c r="AD84" i="19"/>
  <c r="AE84" i="19" s="1" a="1"/>
  <c r="AE84" i="19" s="1"/>
  <c r="AO40" i="19"/>
  <c r="AP39" i="19"/>
  <c r="AQ39" i="19" s="1" a="1"/>
  <c r="AQ39" i="19" s="1"/>
  <c r="Z70" i="19"/>
  <c r="AA69" i="19"/>
  <c r="AB69" i="19" s="1" a="1"/>
  <c r="AB69" i="19" s="1"/>
  <c r="W55" i="19"/>
  <c r="X54" i="19"/>
  <c r="Y54" i="19" s="1" a="1"/>
  <c r="Y54" i="19" s="1"/>
  <c r="AR130" i="19"/>
  <c r="AS129" i="19"/>
  <c r="AT129" i="19" s="1" a="1"/>
  <c r="AT129" i="19" s="1"/>
  <c r="AL70" i="19"/>
  <c r="AM69" i="19"/>
  <c r="AN69" i="19" s="1" a="1"/>
  <c r="AN69" i="19" s="1"/>
  <c r="AR145" i="19"/>
  <c r="AS144" i="19"/>
  <c r="AT144" i="19" s="1" a="1"/>
  <c r="AT144" i="19" s="1"/>
  <c r="W40" i="19"/>
  <c r="X39" i="19"/>
  <c r="Y39" i="19" s="1" a="1"/>
  <c r="Y39" i="19" s="1"/>
  <c r="AR55" i="19"/>
  <c r="AS54" i="19"/>
  <c r="AT54" i="19" s="1" a="1"/>
  <c r="AT54" i="19" s="1"/>
  <c r="AI130" i="19"/>
  <c r="AJ129" i="19"/>
  <c r="AK129" i="19" s="1" a="1"/>
  <c r="AK129" i="19" s="1"/>
  <c r="AC145" i="19"/>
  <c r="AD144" i="19"/>
  <c r="AE144" i="19" s="1" a="1"/>
  <c r="AE144" i="19" s="1"/>
  <c r="BA128" i="19"/>
  <c r="W130" i="19"/>
  <c r="X129" i="19"/>
  <c r="Y129" i="19" s="1" a="1"/>
  <c r="Y129" i="19" s="1"/>
  <c r="T115" i="19"/>
  <c r="U114" i="19"/>
  <c r="V114" i="19" s="1" a="1"/>
  <c r="V114" i="19" s="1"/>
  <c r="AU130" i="19"/>
  <c r="AV129" i="19"/>
  <c r="AW129" i="19" s="1" a="1"/>
  <c r="AW129" i="19" s="1"/>
  <c r="Z40" i="19"/>
  <c r="AA39" i="19"/>
  <c r="AB39" i="19" s="1" a="1"/>
  <c r="AB39" i="19" s="1"/>
  <c r="AC100" i="19"/>
  <c r="AD99" i="19"/>
  <c r="AE99" i="19" s="1" a="1"/>
  <c r="AE99" i="19" s="1"/>
  <c r="AO130" i="19"/>
  <c r="AP129" i="19"/>
  <c r="AQ129" i="19" s="1" a="1"/>
  <c r="AQ129" i="19" s="1"/>
  <c r="AX130" i="19"/>
  <c r="AY129" i="19"/>
  <c r="AZ129" i="19" s="1" a="1"/>
  <c r="AZ129" i="19" s="1"/>
  <c r="BA98" i="19"/>
  <c r="Q25" i="19"/>
  <c r="R24" i="19"/>
  <c r="S24" i="19" s="1" a="1"/>
  <c r="S24" i="19" s="1"/>
  <c r="BA8" i="19"/>
  <c r="Q130" i="19"/>
  <c r="R129" i="19"/>
  <c r="S129" i="19" s="1" a="1"/>
  <c r="S129" i="19" s="1"/>
  <c r="Z100" i="19"/>
  <c r="AA99" i="19"/>
  <c r="AB99" i="19" s="1" a="1"/>
  <c r="AB99" i="19" s="1"/>
  <c r="AO145" i="19"/>
  <c r="AP144" i="19"/>
  <c r="AQ144" i="19" s="1" a="1"/>
  <c r="AQ144" i="19" s="1"/>
  <c r="W145" i="19"/>
  <c r="X144" i="19"/>
  <c r="Y144" i="19" s="1" a="1"/>
  <c r="Y144" i="19" s="1"/>
  <c r="AV24" i="19"/>
  <c r="AW24" i="19" s="1" a="1"/>
  <c r="AW24" i="19" s="1"/>
  <c r="AU25" i="19"/>
  <c r="AC25" i="19"/>
  <c r="AD24" i="19"/>
  <c r="AE24" i="19" s="1" a="1"/>
  <c r="AE24" i="19" s="1"/>
  <c r="AO85" i="19"/>
  <c r="AP84" i="19"/>
  <c r="AQ84" i="19" s="1" a="1"/>
  <c r="AQ84" i="19" s="1"/>
  <c r="W25" i="19"/>
  <c r="X24" i="19"/>
  <c r="Y24" i="19" s="1" a="1"/>
  <c r="Y24" i="19" s="1"/>
  <c r="AU10" i="19"/>
  <c r="AV9" i="19"/>
  <c r="AW9" i="19" s="1" a="1"/>
  <c r="AW9" i="19" s="1"/>
  <c r="AC55" i="19"/>
  <c r="AD54" i="19"/>
  <c r="AE54" i="19" s="1" a="1"/>
  <c r="AE54" i="19" s="1"/>
  <c r="W85" i="19"/>
  <c r="X84" i="19"/>
  <c r="Y84" i="19" s="1" a="1"/>
  <c r="Y84" i="19" s="1"/>
  <c r="AI115" i="19"/>
  <c r="AJ114" i="19"/>
  <c r="AK114" i="19" s="1" a="1"/>
  <c r="AK114" i="19" s="1"/>
  <c r="AI55" i="19"/>
  <c r="AJ54" i="19"/>
  <c r="AK54" i="19" s="1" a="1"/>
  <c r="AK54" i="19" s="1"/>
  <c r="AL55" i="19"/>
  <c r="AM54" i="19"/>
  <c r="AN54" i="19" s="1" a="1"/>
  <c r="AN54" i="19" s="1"/>
  <c r="AL115" i="19"/>
  <c r="AM114" i="19"/>
  <c r="AN114" i="19" s="1" a="1"/>
  <c r="AN114" i="19" s="1"/>
  <c r="AV84" i="19"/>
  <c r="AW84" i="19" s="1" a="1"/>
  <c r="AW84" i="19" s="1"/>
  <c r="AU85" i="19"/>
  <c r="AI25" i="19"/>
  <c r="AJ24" i="19"/>
  <c r="AK24" i="19" s="1" a="1"/>
  <c r="AK24" i="19" s="1"/>
  <c r="AJ39" i="19"/>
  <c r="AK39" i="19" s="1" a="1"/>
  <c r="AK39" i="19" s="1"/>
  <c r="AI40" i="19"/>
  <c r="AU40" i="19"/>
  <c r="AV39" i="19"/>
  <c r="AW39" i="19" s="1" a="1"/>
  <c r="AW39" i="19" s="1"/>
  <c r="AO70" i="19"/>
  <c r="AP69" i="19"/>
  <c r="AQ69" i="19" s="1" a="1"/>
  <c r="AQ69" i="19" s="1"/>
  <c r="AM39" i="19"/>
  <c r="AN39" i="19" s="1" a="1"/>
  <c r="AN39" i="19" s="1"/>
  <c r="AL40" i="19"/>
  <c r="T85" i="19"/>
  <c r="U84" i="19"/>
  <c r="V84" i="19" s="1" a="1"/>
  <c r="V84" i="19" s="1"/>
  <c r="AC130" i="19"/>
  <c r="AD129" i="19"/>
  <c r="AE129" i="19" s="1" a="1"/>
  <c r="AE129" i="19" s="1"/>
  <c r="AF85" i="19"/>
  <c r="AG84" i="19"/>
  <c r="AH84" i="19" s="1" a="1"/>
  <c r="AH84" i="19" s="1"/>
  <c r="BA53" i="19"/>
  <c r="AY39" i="19"/>
  <c r="AZ39" i="19" s="1" a="1"/>
  <c r="AZ39" i="19" s="1"/>
  <c r="BA39" i="19" s="1"/>
  <c r="AX40" i="19"/>
  <c r="AM9" i="19"/>
  <c r="AN9" i="19" s="1" a="1"/>
  <c r="AN9" i="19" s="1"/>
  <c r="AL10" i="19"/>
  <c r="AL145" i="19"/>
  <c r="AM144" i="19"/>
  <c r="AN144" i="19" s="1" a="1"/>
  <c r="AN144" i="19" s="1"/>
  <c r="AF130" i="19"/>
  <c r="AG129" i="19"/>
  <c r="AH129" i="19" s="1" a="1"/>
  <c r="AH129" i="19" s="1"/>
  <c r="T130" i="19"/>
  <c r="U129" i="19"/>
  <c r="V129" i="19" s="1" a="1"/>
  <c r="V129" i="19" s="1"/>
  <c r="AY54" i="19"/>
  <c r="AZ54" i="19" s="1" a="1"/>
  <c r="AZ54" i="19" s="1"/>
  <c r="AX55" i="19"/>
  <c r="AO10" i="19"/>
  <c r="AP9" i="19"/>
  <c r="AQ9" i="19" s="1" a="1"/>
  <c r="AQ9" i="19" s="1"/>
  <c r="BA38" i="19"/>
  <c r="AC70" i="19"/>
  <c r="AD69" i="19"/>
  <c r="AE69" i="19" s="1" a="1"/>
  <c r="AE69" i="19" s="1"/>
  <c r="AF145" i="19"/>
  <c r="AG144" i="19"/>
  <c r="AH144" i="19" s="1" a="1"/>
  <c r="AH144" i="19" s="1"/>
  <c r="Q100" i="19"/>
  <c r="R99" i="19"/>
  <c r="S99" i="19" s="1" a="1"/>
  <c r="S99" i="19" s="1"/>
  <c r="AF25" i="19"/>
  <c r="AG24" i="19"/>
  <c r="AH24" i="19" s="1" a="1"/>
  <c r="AH24" i="19" s="1"/>
  <c r="AF100" i="19"/>
  <c r="AG99" i="19"/>
  <c r="AH99" i="19" s="1" a="1"/>
  <c r="AH99" i="19" s="1"/>
  <c r="AF10" i="19"/>
  <c r="AG9" i="19"/>
  <c r="AH9" i="19" s="1" a="1"/>
  <c r="AH9" i="19" s="1"/>
  <c r="T100" i="19"/>
  <c r="U99" i="19"/>
  <c r="V99" i="19" s="1" a="1"/>
  <c r="V99" i="19" s="1"/>
  <c r="Z55" i="19"/>
  <c r="AA54" i="19"/>
  <c r="AB54" i="19" s="1" a="1"/>
  <c r="AB54" i="19" s="1"/>
  <c r="T145" i="19"/>
  <c r="U144" i="19"/>
  <c r="V144" i="19" s="1" a="1"/>
  <c r="V144" i="19" s="1"/>
  <c r="Q85" i="19"/>
  <c r="R84" i="19"/>
  <c r="S84" i="19" s="1" a="1"/>
  <c r="S84" i="19" s="1"/>
  <c r="AR10" i="19"/>
  <c r="AS9" i="19"/>
  <c r="AT9" i="19" s="1" a="1"/>
  <c r="AT9" i="19" s="1"/>
  <c r="Q70" i="19"/>
  <c r="R69" i="19"/>
  <c r="S69" i="19" s="1" a="1"/>
  <c r="S69" i="19" s="1"/>
  <c r="AU115" i="19"/>
  <c r="AV114" i="19"/>
  <c r="AW114" i="19" s="1" a="1"/>
  <c r="AW114" i="19" s="1"/>
  <c r="BA143" i="19"/>
  <c r="AP24" i="19"/>
  <c r="AQ24" i="19" s="1" a="1"/>
  <c r="AQ24" i="19" s="1"/>
  <c r="AO25" i="19"/>
  <c r="Z85" i="19"/>
  <c r="AA84" i="19"/>
  <c r="AB84" i="19" s="1" a="1"/>
  <c r="AB84" i="19" s="1"/>
  <c r="BA83" i="19"/>
  <c r="Q10" i="19"/>
  <c r="R9" i="19"/>
  <c r="S9" i="19" s="1" a="1"/>
  <c r="S9" i="19" s="1"/>
  <c r="BA68" i="19"/>
  <c r="AO100" i="19"/>
  <c r="AP99" i="19"/>
  <c r="AQ99" i="19" s="1" a="1"/>
  <c r="AQ99" i="19" s="1"/>
  <c r="T70" i="19"/>
  <c r="U69" i="19"/>
  <c r="V69" i="19" s="1" a="1"/>
  <c r="V69" i="19" s="1"/>
  <c r="AF70" i="19"/>
  <c r="AG69" i="19"/>
  <c r="AH69" i="19" s="1" a="1"/>
  <c r="AH69" i="19" s="1"/>
  <c r="T25" i="19"/>
  <c r="U24" i="19"/>
  <c r="V24" i="19" s="1" a="1"/>
  <c r="V24" i="19" s="1"/>
  <c r="AC10" i="19"/>
  <c r="AD9" i="19"/>
  <c r="AE9" i="19" s="1" a="1"/>
  <c r="AE9" i="19" s="1"/>
  <c r="Q55" i="19"/>
  <c r="R54" i="19"/>
  <c r="S54" i="19" s="1" a="1"/>
  <c r="S54" i="19" s="1"/>
  <c r="AI70" i="19"/>
  <c r="AJ69" i="19"/>
  <c r="AK69" i="19" s="1" a="1"/>
  <c r="AK69" i="19" s="1"/>
  <c r="AC40" i="19"/>
  <c r="AD39" i="19"/>
  <c r="AE39" i="19" s="1" a="1"/>
  <c r="AE39" i="19" s="1"/>
  <c r="AI100" i="19"/>
  <c r="AJ99" i="19"/>
  <c r="AK99" i="19" s="1" a="1"/>
  <c r="AK99" i="19" s="1"/>
  <c r="AX145" i="19"/>
  <c r="AY144" i="19"/>
  <c r="AZ144" i="19" s="1" a="1"/>
  <c r="AZ144" i="19" s="1"/>
  <c r="Q145" i="19"/>
  <c r="R144" i="19"/>
  <c r="S144" i="19" s="1" a="1"/>
  <c r="S144" i="19" s="1"/>
  <c r="AO55" i="19"/>
  <c r="AP54" i="19"/>
  <c r="AQ54" i="19" s="1" a="1"/>
  <c r="AQ54" i="19" s="1"/>
  <c r="AR40" i="19"/>
  <c r="AS39" i="19"/>
  <c r="AT39" i="19" s="1" a="1"/>
  <c r="AT39" i="19" s="1"/>
  <c r="AX85" i="19"/>
  <c r="AY84" i="19"/>
  <c r="AZ84" i="19" s="1" a="1"/>
  <c r="AZ84" i="19" s="1"/>
  <c r="W115" i="19"/>
  <c r="X114" i="19"/>
  <c r="Y114" i="19" s="1" a="1"/>
  <c r="Y114" i="19" s="1"/>
  <c r="AC115" i="19"/>
  <c r="AD114" i="19"/>
  <c r="AE114" i="19" s="1" a="1"/>
  <c r="AE114" i="19" s="1"/>
  <c r="AX70" i="19"/>
  <c r="AY69" i="19"/>
  <c r="AZ69" i="19" s="1" a="1"/>
  <c r="AZ69" i="19" s="1"/>
  <c r="N65" i="22"/>
  <c r="N66" i="22" s="1"/>
  <c r="O65" i="22"/>
  <c r="O66" i="22" s="1"/>
  <c r="O67" i="22" s="1"/>
  <c r="O69" i="22" s="1"/>
  <c r="N248" i="13" a="1"/>
  <c r="N248" i="13" s="1"/>
  <c r="N275" i="13" s="1"/>
  <c r="N116" i="12"/>
  <c r="N111" i="12"/>
  <c r="N253" i="13" s="1" a="1"/>
  <c r="N253" i="13" s="1"/>
  <c r="K248" i="13" a="1"/>
  <c r="K248" i="13" s="1"/>
  <c r="K275" i="13" s="1"/>
  <c r="K116" i="12"/>
  <c r="K111" i="12"/>
  <c r="K253" i="13" s="1" a="1"/>
  <c r="K253" i="13" s="1"/>
  <c r="G248" i="13" a="1"/>
  <c r="G248" i="13" s="1"/>
  <c r="G275" i="13" s="1"/>
  <c r="G111" i="12"/>
  <c r="G253" i="13" s="1" a="1"/>
  <c r="G253" i="13" s="1"/>
  <c r="G116" i="12"/>
  <c r="J248" i="13" a="1"/>
  <c r="J248" i="13" s="1"/>
  <c r="J275" i="13" s="1"/>
  <c r="J116" i="12"/>
  <c r="J111" i="12"/>
  <c r="J253" i="13" s="1" a="1"/>
  <c r="J253" i="13" s="1"/>
  <c r="O248" i="13" a="1"/>
  <c r="O248" i="13" s="1"/>
  <c r="O275" i="13" s="1"/>
  <c r="O111" i="12"/>
  <c r="O253" i="13" s="1" a="1"/>
  <c r="O253" i="13" s="1"/>
  <c r="O116" i="12"/>
  <c r="D248" i="13" a="1"/>
  <c r="D248" i="13" s="1"/>
  <c r="D275" i="13" s="1"/>
  <c r="D116" i="12"/>
  <c r="D111" i="12"/>
  <c r="D253" i="13" s="1" a="1"/>
  <c r="D253" i="13" s="1"/>
  <c r="H248" i="13" a="1"/>
  <c r="H248" i="13" s="1"/>
  <c r="H275" i="13" s="1"/>
  <c r="H116" i="12"/>
  <c r="H111" i="12"/>
  <c r="H253" i="13" s="1" a="1"/>
  <c r="H253" i="13" s="1"/>
  <c r="I108" i="12" a="1"/>
  <c r="I108" i="12" s="1"/>
  <c r="H108" i="12" a="1"/>
  <c r="H108" i="12" s="1"/>
  <c r="O108" i="12" a="1"/>
  <c r="O108" i="12" s="1"/>
  <c r="G108" i="12" a="1"/>
  <c r="G108" i="12" s="1"/>
  <c r="N108" i="12" a="1"/>
  <c r="N108" i="12" s="1"/>
  <c r="F108" i="12" a="1"/>
  <c r="F108" i="12" s="1"/>
  <c r="M108" i="12" a="1"/>
  <c r="M108" i="12" s="1"/>
  <c r="E108" i="12" a="1"/>
  <c r="E108" i="12" s="1"/>
  <c r="L108" i="12" a="1"/>
  <c r="L108" i="12" s="1"/>
  <c r="D108" i="12" a="1"/>
  <c r="D108" i="12" s="1"/>
  <c r="J108" i="12" a="1"/>
  <c r="J108" i="12" s="1"/>
  <c r="K108" i="12" a="1"/>
  <c r="K108" i="12" s="1"/>
  <c r="L248" i="13" a="1"/>
  <c r="L248" i="13" s="1"/>
  <c r="L275" i="13" s="1"/>
  <c r="L111" i="12"/>
  <c r="L253" i="13" s="1" a="1"/>
  <c r="L253" i="13" s="1"/>
  <c r="L116" i="12"/>
  <c r="I116" i="12"/>
  <c r="I248" i="13" a="1"/>
  <c r="I248" i="13" s="1"/>
  <c r="I275" i="13" s="1"/>
  <c r="I111" i="12"/>
  <c r="I253" i="13" s="1" a="1"/>
  <c r="I253" i="13" s="1"/>
  <c r="E111" i="12"/>
  <c r="E253" i="13" s="1" a="1"/>
  <c r="E253" i="13" s="1"/>
  <c r="E116" i="12"/>
  <c r="E248" i="13" a="1"/>
  <c r="E248" i="13" s="1"/>
  <c r="E275" i="13" s="1"/>
  <c r="M107" i="12" a="1"/>
  <c r="M107" i="12" s="1"/>
  <c r="M249" i="13" s="1" a="1"/>
  <c r="M249" i="13" s="1"/>
  <c r="E107" i="12" a="1"/>
  <c r="E107" i="12" s="1"/>
  <c r="E249" i="13" s="1" a="1"/>
  <c r="E249" i="13" s="1"/>
  <c r="L107" i="12" a="1"/>
  <c r="L107" i="12" s="1"/>
  <c r="L249" i="13" s="1" a="1"/>
  <c r="L249" i="13" s="1"/>
  <c r="D107" i="12" a="1"/>
  <c r="D107" i="12" s="1"/>
  <c r="D249" i="13" s="1" a="1"/>
  <c r="D249" i="13" s="1"/>
  <c r="K107" i="12" a="1"/>
  <c r="K107" i="12" s="1"/>
  <c r="K249" i="13" s="1" a="1"/>
  <c r="K249" i="13" s="1"/>
  <c r="J107" i="12" a="1"/>
  <c r="J107" i="12" s="1"/>
  <c r="J249" i="13" s="1" a="1"/>
  <c r="J249" i="13" s="1"/>
  <c r="I107" i="12" a="1"/>
  <c r="I107" i="12" s="1"/>
  <c r="I249" i="13" s="1" a="1"/>
  <c r="I249" i="13" s="1"/>
  <c r="H107" i="12" a="1"/>
  <c r="H107" i="12" s="1"/>
  <c r="H249" i="13" s="1" a="1"/>
  <c r="H249" i="13" s="1"/>
  <c r="N107" i="12" a="1"/>
  <c r="N107" i="12" s="1"/>
  <c r="N249" i="13" s="1" a="1"/>
  <c r="N249" i="13" s="1"/>
  <c r="F107" i="12" a="1"/>
  <c r="F107" i="12" s="1"/>
  <c r="F249" i="13" s="1" a="1"/>
  <c r="F249" i="13" s="1"/>
  <c r="G107" i="12" a="1"/>
  <c r="G107" i="12" s="1"/>
  <c r="G249" i="13" s="1" a="1"/>
  <c r="G249" i="13" s="1"/>
  <c r="O107" i="12" a="1"/>
  <c r="O107" i="12" s="1"/>
  <c r="O249" i="13" s="1" a="1"/>
  <c r="O249" i="13" s="1"/>
  <c r="M95" i="12" a="1"/>
  <c r="M95" i="12" s="1"/>
  <c r="E95" i="12" a="1"/>
  <c r="E95" i="12" s="1"/>
  <c r="L95" i="12" a="1"/>
  <c r="L95" i="12" s="1"/>
  <c r="D95" i="12" a="1"/>
  <c r="D95" i="12" s="1"/>
  <c r="K95" i="12" a="1"/>
  <c r="K95" i="12" s="1"/>
  <c r="J95" i="12" a="1"/>
  <c r="J95" i="12" s="1"/>
  <c r="I95" i="12" a="1"/>
  <c r="I95" i="12" s="1"/>
  <c r="H95" i="12" a="1"/>
  <c r="H95" i="12" s="1"/>
  <c r="N95" i="12" a="1"/>
  <c r="N95" i="12" s="1"/>
  <c r="F95" i="12" a="1"/>
  <c r="F95" i="12" s="1"/>
  <c r="O95" i="12" a="1"/>
  <c r="O95" i="12" s="1"/>
  <c r="G95" i="12" a="1"/>
  <c r="G95" i="12" s="1"/>
  <c r="M111" i="12"/>
  <c r="M253" i="13" s="1" a="1"/>
  <c r="M253" i="13" s="1"/>
  <c r="M248" i="13" a="1"/>
  <c r="M248" i="13" s="1"/>
  <c r="M275" i="13" s="1"/>
  <c r="M116" i="12"/>
  <c r="I119" i="12" a="1"/>
  <c r="I119" i="12" s="1"/>
  <c r="H119" i="12" a="1"/>
  <c r="H119" i="12" s="1"/>
  <c r="O119" i="12" a="1"/>
  <c r="O119" i="12" s="1"/>
  <c r="G119" i="12" a="1"/>
  <c r="G119" i="12" s="1"/>
  <c r="N119" i="12" a="1"/>
  <c r="N119" i="12" s="1"/>
  <c r="F119" i="12" a="1"/>
  <c r="F119" i="12" s="1"/>
  <c r="M119" i="12" a="1"/>
  <c r="M119" i="12" s="1"/>
  <c r="E119" i="12" a="1"/>
  <c r="E119" i="12" s="1"/>
  <c r="L119" i="12" a="1"/>
  <c r="L119" i="12" s="1"/>
  <c r="D119" i="12" a="1"/>
  <c r="D119" i="12" s="1"/>
  <c r="J119" i="12" a="1"/>
  <c r="J119" i="12" s="1"/>
  <c r="K119" i="12" a="1"/>
  <c r="K119" i="12" s="1"/>
  <c r="F248" i="13" a="1"/>
  <c r="F248" i="13" s="1"/>
  <c r="F275" i="13" s="1"/>
  <c r="F116" i="12"/>
  <c r="F111" i="12"/>
  <c r="F253" i="13" s="1" a="1"/>
  <c r="F253" i="13" s="1"/>
  <c r="E26" i="12"/>
  <c r="E31" i="12"/>
  <c r="E42" i="13" a="1"/>
  <c r="E42" i="13" s="1"/>
  <c r="E69" i="13" s="1"/>
  <c r="D28" i="12"/>
  <c r="D30" i="12" s="1"/>
  <c r="D48" i="13" s="1" a="1"/>
  <c r="D48" i="13" s="1"/>
  <c r="D47" i="13" a="1"/>
  <c r="D47" i="13" s="1"/>
  <c r="D45" i="12"/>
  <c r="D40" i="12"/>
  <c r="D76" i="13" a="1"/>
  <c r="D76" i="13" s="1"/>
  <c r="D103" i="13" s="1"/>
  <c r="D50" i="12" a="1"/>
  <c r="D50" i="12" s="1"/>
  <c r="D111" i="13" s="1" a="1"/>
  <c r="D111" i="13" s="1"/>
  <c r="AE14" i="9" s="1" a="1"/>
  <c r="AE14" i="9" s="1"/>
  <c r="D48" i="12" a="1"/>
  <c r="D48" i="12" s="1"/>
  <c r="F22" i="12" a="1"/>
  <c r="F22" i="12" s="1"/>
  <c r="F43" i="13" s="1" a="1"/>
  <c r="F43" i="13" s="1"/>
  <c r="BQ12" i="9" s="1" a="1"/>
  <c r="BQ12" i="9" s="1"/>
  <c r="BB12" i="9" a="1"/>
  <c r="BB12" i="9" s="1"/>
  <c r="F20" i="12" a="1"/>
  <c r="F20" i="12" s="1"/>
  <c r="GP12" i="9" a="1"/>
  <c r="GP12" i="9" s="1"/>
  <c r="GQ12" i="9" s="1"/>
  <c r="E36" i="12" a="1"/>
  <c r="E36" i="12" s="1"/>
  <c r="E77" i="13" s="1" a="1"/>
  <c r="E77" i="13" s="1"/>
  <c r="AX13" i="9" s="1" a="1"/>
  <c r="AX13" i="9" s="1"/>
  <c r="AI13" i="9" a="1"/>
  <c r="AI13" i="9" s="1"/>
  <c r="E34" i="12" a="1"/>
  <c r="E34" i="12" s="1"/>
  <c r="C24" i="28" a="1"/>
  <c r="C24" i="28" s="1"/>
  <c r="A107" i="13" a="1"/>
  <c r="A107" i="13" s="1"/>
  <c r="A48" i="12" a="1"/>
  <c r="A48" i="12" s="1"/>
  <c r="FW13" i="9" a="1"/>
  <c r="FW13" i="9" s="1"/>
  <c r="FX13" i="9" s="1"/>
  <c r="L67" i="22"/>
  <c r="L69" i="22" s="1"/>
  <c r="N67" i="22"/>
  <c r="N69" i="22" s="1"/>
  <c r="I67" i="22"/>
  <c r="I69" i="22" s="1"/>
  <c r="F67" i="22"/>
  <c r="F69" i="22" s="1"/>
  <c r="H67" i="22"/>
  <c r="H69" i="22" s="1"/>
  <c r="K67" i="22"/>
  <c r="K69" i="22" s="1"/>
  <c r="E67" i="22"/>
  <c r="E69" i="22" s="1"/>
  <c r="M67" i="22"/>
  <c r="M69" i="22" s="1"/>
  <c r="G67" i="22"/>
  <c r="G69" i="22" s="1"/>
  <c r="J67" i="22"/>
  <c r="J69" i="22" s="1"/>
  <c r="H17" i="22"/>
  <c r="H19" i="22"/>
  <c r="F17" i="22"/>
  <c r="F19" i="22"/>
  <c r="K17" i="22"/>
  <c r="K19" i="22"/>
  <c r="M17" i="22"/>
  <c r="M19" i="22"/>
  <c r="N17" i="22"/>
  <c r="N19" i="22"/>
  <c r="J17" i="22"/>
  <c r="J19" i="22"/>
  <c r="L17" i="22"/>
  <c r="L19" i="22"/>
  <c r="O17" i="22"/>
  <c r="O19" i="22"/>
  <c r="I17" i="22"/>
  <c r="I19" i="22"/>
  <c r="E17" i="22"/>
  <c r="E19" i="22"/>
  <c r="D17" i="22"/>
  <c r="D19" i="22"/>
  <c r="F150" i="22" a="1"/>
  <c r="F150" i="22" s="1"/>
  <c r="AS17" i="23" a="1"/>
  <c r="AS17" i="23" s="1"/>
  <c r="G17" i="27" s="1" a="1"/>
  <c r="G17" i="27" s="1"/>
  <c r="M81" i="22" a="1"/>
  <c r="M81" i="22" s="1"/>
  <c r="M86" i="22" s="1"/>
  <c r="FA14" i="23" a="1"/>
  <c r="FA14" i="23" s="1"/>
  <c r="N14" i="27" s="1" a="1"/>
  <c r="N14" i="27" s="1"/>
  <c r="K81" i="22" a="1"/>
  <c r="K81" i="22" s="1"/>
  <c r="K86" i="22" s="1"/>
  <c r="DU14" i="23" a="1"/>
  <c r="DU14" i="23" s="1"/>
  <c r="L14" i="27" s="1" a="1"/>
  <c r="L14" i="27" s="1"/>
  <c r="K127" i="22" a="1"/>
  <c r="K127" i="22" s="1"/>
  <c r="DU16" i="23" a="1"/>
  <c r="DU16" i="23" s="1"/>
  <c r="L16" i="27" s="1" a="1"/>
  <c r="L16" i="27" s="1"/>
  <c r="M196" i="22" a="1"/>
  <c r="M196" i="22" s="1"/>
  <c r="FA19" i="23" a="1"/>
  <c r="FA19" i="23" s="1"/>
  <c r="N19" i="27" s="1" a="1"/>
  <c r="N19" i="27" s="1"/>
  <c r="J173" i="22" a="1"/>
  <c r="J173" i="22" s="1"/>
  <c r="J178" i="22" s="1"/>
  <c r="DE18" i="23" a="1"/>
  <c r="DE18" i="23" s="1"/>
  <c r="K18" i="27" s="1" a="1"/>
  <c r="K18" i="27" s="1"/>
  <c r="O104" i="22" a="1"/>
  <c r="O104" i="22" s="1"/>
  <c r="O109" i="22" s="1"/>
  <c r="GG15" i="23" a="1"/>
  <c r="GG15" i="23" s="1"/>
  <c r="P15" i="27" s="1" a="1"/>
  <c r="P15" i="27" s="1"/>
  <c r="L219" i="22" a="1"/>
  <c r="L219" i="22" s="1"/>
  <c r="L224" i="22" s="1"/>
  <c r="EK20" i="23" a="1"/>
  <c r="EK20" i="23" s="1"/>
  <c r="M20" i="27" s="1" a="1"/>
  <c r="M20" i="27" s="1"/>
  <c r="M219" i="22" a="1"/>
  <c r="M219" i="22" s="1"/>
  <c r="M224" i="22" s="1"/>
  <c r="FA20" i="23" a="1"/>
  <c r="FA20" i="23" s="1"/>
  <c r="N20" i="27" s="1" a="1"/>
  <c r="N20" i="27" s="1"/>
  <c r="L150" i="22" a="1"/>
  <c r="L150" i="22" s="1"/>
  <c r="EK17" i="23" a="1"/>
  <c r="EK17" i="23" s="1"/>
  <c r="M17" i="27" s="1" a="1"/>
  <c r="M17" i="27" s="1"/>
  <c r="K150" i="22" a="1"/>
  <c r="K150" i="22" s="1"/>
  <c r="DU17" i="23" a="1"/>
  <c r="DU17" i="23" s="1"/>
  <c r="L17" i="27" s="1" a="1"/>
  <c r="L17" i="27" s="1"/>
  <c r="E81" i="22" a="1"/>
  <c r="E81" i="22" s="1"/>
  <c r="E86" i="22" s="1"/>
  <c r="AC14" i="23" a="1"/>
  <c r="AC14" i="23" s="1"/>
  <c r="F14" i="27" s="1" a="1"/>
  <c r="F14" i="27" s="1"/>
  <c r="F81" i="22" a="1"/>
  <c r="F81" i="22" s="1"/>
  <c r="F86" i="22" s="1"/>
  <c r="AS14" i="23" a="1"/>
  <c r="AS14" i="23" s="1"/>
  <c r="G14" i="27" s="1" a="1"/>
  <c r="G14" i="27" s="1"/>
  <c r="L127" i="22" a="1"/>
  <c r="L127" i="22" s="1"/>
  <c r="EK16" i="23" a="1"/>
  <c r="EK16" i="23" s="1"/>
  <c r="M16" i="27" s="1" a="1"/>
  <c r="M16" i="27" s="1"/>
  <c r="K196" i="22" a="1"/>
  <c r="K196" i="22" s="1"/>
  <c r="DU19" i="23" a="1"/>
  <c r="DU19" i="23" s="1"/>
  <c r="L19" i="27" s="1" a="1"/>
  <c r="L19" i="27" s="1"/>
  <c r="E173" i="22" a="1"/>
  <c r="E173" i="22" s="1"/>
  <c r="E178" i="22" s="1"/>
  <c r="AC18" i="23" a="1"/>
  <c r="AC18" i="23" s="1"/>
  <c r="F18" i="27" s="1" a="1"/>
  <c r="F18" i="27" s="1"/>
  <c r="F173" i="22" a="1"/>
  <c r="F173" i="22" s="1"/>
  <c r="F178" i="22" s="1"/>
  <c r="AS18" i="23" a="1"/>
  <c r="AS18" i="23" s="1"/>
  <c r="G18" i="27" s="1" a="1"/>
  <c r="G18" i="27" s="1"/>
  <c r="M104" i="22" a="1"/>
  <c r="M104" i="22" s="1"/>
  <c r="M109" i="22" s="1"/>
  <c r="FA15" i="23" a="1"/>
  <c r="FA15" i="23" s="1"/>
  <c r="N15" i="27" s="1" a="1"/>
  <c r="N15" i="27" s="1"/>
  <c r="J219" i="22" a="1"/>
  <c r="J219" i="22" s="1"/>
  <c r="J224" i="22" s="1"/>
  <c r="DE20" i="23" a="1"/>
  <c r="DE20" i="23" s="1"/>
  <c r="K20" i="27" s="1" a="1"/>
  <c r="K20" i="27" s="1"/>
  <c r="H219" i="22" a="1"/>
  <c r="H219" i="22" s="1"/>
  <c r="H224" i="22" s="1"/>
  <c r="BY20" i="23" a="1"/>
  <c r="BY20" i="23" s="1"/>
  <c r="I20" i="27" s="1" a="1"/>
  <c r="I20" i="27" s="1"/>
  <c r="E150" i="22" a="1"/>
  <c r="E150" i="22" s="1"/>
  <c r="AC17" i="23" a="1"/>
  <c r="AC17" i="23" s="1"/>
  <c r="F17" i="27" s="1" a="1"/>
  <c r="F17" i="27" s="1"/>
  <c r="N150" i="22" a="1"/>
  <c r="N150" i="22" s="1"/>
  <c r="FQ17" i="23" a="1"/>
  <c r="FQ17" i="23" s="1"/>
  <c r="O17" i="27" s="1" a="1"/>
  <c r="O17" i="27" s="1"/>
  <c r="J81" i="22" a="1"/>
  <c r="J81" i="22" s="1"/>
  <c r="J86" i="22" s="1"/>
  <c r="DE14" i="23" a="1"/>
  <c r="DE14" i="23" s="1"/>
  <c r="K14" i="27" s="1" a="1"/>
  <c r="K14" i="27" s="1"/>
  <c r="M127" i="22" a="1"/>
  <c r="M127" i="22" s="1"/>
  <c r="FA16" i="23" a="1"/>
  <c r="FA16" i="23" s="1"/>
  <c r="N16" i="27" s="1" a="1"/>
  <c r="N16" i="27" s="1"/>
  <c r="G196" i="22" a="1"/>
  <c r="G196" i="22" s="1"/>
  <c r="BI19" i="23" a="1"/>
  <c r="BI19" i="23" s="1"/>
  <c r="H19" i="27" s="1" a="1"/>
  <c r="H19" i="27" s="1"/>
  <c r="L173" i="22" a="1"/>
  <c r="L173" i="22" s="1"/>
  <c r="L178" i="22" s="1"/>
  <c r="EK18" i="23" a="1"/>
  <c r="EK18" i="23" s="1"/>
  <c r="M18" i="27" s="1" a="1"/>
  <c r="M18" i="27" s="1"/>
  <c r="N173" i="22" a="1"/>
  <c r="N173" i="22" s="1"/>
  <c r="N178" i="22" s="1"/>
  <c r="FQ18" i="23" a="1"/>
  <c r="FQ18" i="23" s="1"/>
  <c r="O18" i="27" s="1" a="1"/>
  <c r="O18" i="27" s="1"/>
  <c r="I104" i="22" a="1"/>
  <c r="I104" i="22" s="1"/>
  <c r="I109" i="22" s="1"/>
  <c r="CO15" i="23" a="1"/>
  <c r="CO15" i="23" s="1"/>
  <c r="J15" i="27" s="1" a="1"/>
  <c r="J15" i="27" s="1"/>
  <c r="M150" i="22" a="1"/>
  <c r="M150" i="22" s="1"/>
  <c r="FA17" i="23" a="1"/>
  <c r="FA17" i="23" s="1"/>
  <c r="N17" i="27" s="1" a="1"/>
  <c r="N17" i="27" s="1"/>
  <c r="I150" i="22" a="1"/>
  <c r="I150" i="22" s="1"/>
  <c r="CO17" i="23" a="1"/>
  <c r="CO17" i="23" s="1"/>
  <c r="J17" i="27" s="1" a="1"/>
  <c r="J17" i="27" s="1"/>
  <c r="L81" i="22" a="1"/>
  <c r="L81" i="22" s="1"/>
  <c r="L86" i="22" s="1"/>
  <c r="EK14" i="23" a="1"/>
  <c r="EK14" i="23" s="1"/>
  <c r="M14" i="27" s="1" a="1"/>
  <c r="M14" i="27" s="1"/>
  <c r="O81" i="22" a="1"/>
  <c r="O81" i="22" s="1"/>
  <c r="O86" i="22" s="1"/>
  <c r="GG14" i="23" a="1"/>
  <c r="GG14" i="23" s="1"/>
  <c r="P14" i="27" s="1" a="1"/>
  <c r="P14" i="27" s="1"/>
  <c r="H127" i="22" a="1"/>
  <c r="H127" i="22" s="1"/>
  <c r="BY16" i="23" a="1"/>
  <c r="BY16" i="23" s="1"/>
  <c r="I16" i="27" s="1" a="1"/>
  <c r="I16" i="27" s="1"/>
  <c r="H196" i="22" a="1"/>
  <c r="H196" i="22" s="1"/>
  <c r="BY19" i="23" a="1"/>
  <c r="BY19" i="23" s="1"/>
  <c r="I19" i="27" s="1" a="1"/>
  <c r="I19" i="27" s="1"/>
  <c r="H173" i="22" a="1"/>
  <c r="H173" i="22" s="1"/>
  <c r="H178" i="22" s="1"/>
  <c r="BY18" i="23" a="1"/>
  <c r="BY18" i="23" s="1"/>
  <c r="I18" i="27" s="1" a="1"/>
  <c r="I18" i="27" s="1"/>
  <c r="I173" i="22" a="1"/>
  <c r="I173" i="22" s="1"/>
  <c r="I178" i="22" s="1"/>
  <c r="CO18" i="23" a="1"/>
  <c r="CO18" i="23" s="1"/>
  <c r="J18" i="27" s="1" a="1"/>
  <c r="J18" i="27" s="1"/>
  <c r="G104" i="22" a="1"/>
  <c r="G104" i="22" s="1"/>
  <c r="G109" i="22" s="1"/>
  <c r="BI15" i="23" a="1"/>
  <c r="BI15" i="23" s="1"/>
  <c r="H15" i="27" s="1" a="1"/>
  <c r="H15" i="27" s="1"/>
  <c r="N104" i="22" a="1"/>
  <c r="N104" i="22" s="1"/>
  <c r="N109" i="22" s="1"/>
  <c r="FQ15" i="23" a="1"/>
  <c r="FQ15" i="23" s="1"/>
  <c r="O15" i="27" s="1" a="1"/>
  <c r="O15" i="27" s="1"/>
  <c r="F219" i="22" a="1"/>
  <c r="F219" i="22" s="1"/>
  <c r="F224" i="22" s="1"/>
  <c r="AS20" i="23" a="1"/>
  <c r="AS20" i="23" s="1"/>
  <c r="G20" i="27" s="1" a="1"/>
  <c r="G20" i="27" s="1"/>
  <c r="H150" i="22" a="1"/>
  <c r="H150" i="22" s="1"/>
  <c r="BY17" i="23" a="1"/>
  <c r="BY17" i="23" s="1"/>
  <c r="I17" i="27" s="1" a="1"/>
  <c r="I17" i="27" s="1"/>
  <c r="G150" i="22" a="1"/>
  <c r="G150" i="22" s="1"/>
  <c r="BI17" i="23" a="1"/>
  <c r="BI17" i="23" s="1"/>
  <c r="H17" i="27" s="1" a="1"/>
  <c r="H17" i="27" s="1"/>
  <c r="G81" i="22" a="1"/>
  <c r="G81" i="22" s="1"/>
  <c r="G86" i="22" s="1"/>
  <c r="BI14" i="23" a="1"/>
  <c r="BI14" i="23" s="1"/>
  <c r="H14" i="27" s="1" a="1"/>
  <c r="H14" i="27" s="1"/>
  <c r="O127" i="22" a="1"/>
  <c r="O127" i="22" s="1"/>
  <c r="GG16" i="23" a="1"/>
  <c r="GG16" i="23" s="1"/>
  <c r="P16" i="27" s="1" a="1"/>
  <c r="P16" i="27" s="1"/>
  <c r="F196" i="22" a="1"/>
  <c r="F196" i="22" s="1"/>
  <c r="AS19" i="23" a="1"/>
  <c r="AS19" i="23" s="1"/>
  <c r="G19" i="27" s="1" a="1"/>
  <c r="G19" i="27" s="1"/>
  <c r="M173" i="22" a="1"/>
  <c r="M173" i="22" s="1"/>
  <c r="M178" i="22" s="1"/>
  <c r="FA18" i="23" a="1"/>
  <c r="FA18" i="23" s="1"/>
  <c r="N18" i="27" s="1" a="1"/>
  <c r="N18" i="27" s="1"/>
  <c r="F104" i="22" a="1"/>
  <c r="F104" i="22" s="1"/>
  <c r="AS15" i="23" a="1"/>
  <c r="AS15" i="23" s="1"/>
  <c r="G15" i="27" s="1" a="1"/>
  <c r="G15" i="27" s="1"/>
  <c r="J104" i="22" a="1"/>
  <c r="J104" i="22" s="1"/>
  <c r="J109" i="22" s="1"/>
  <c r="DE15" i="23" a="1"/>
  <c r="DE15" i="23" s="1"/>
  <c r="K15" i="27" s="1" a="1"/>
  <c r="K15" i="27" s="1"/>
  <c r="N219" i="22" a="1"/>
  <c r="N219" i="22" s="1"/>
  <c r="N224" i="22" s="1"/>
  <c r="FQ20" i="23" a="1"/>
  <c r="FQ20" i="23" s="1"/>
  <c r="O20" i="27" s="1" a="1"/>
  <c r="O20" i="27" s="1"/>
  <c r="J150" i="22" a="1"/>
  <c r="J150" i="22" s="1"/>
  <c r="DE17" i="23" a="1"/>
  <c r="DE17" i="23" s="1"/>
  <c r="K17" i="27" s="1" a="1"/>
  <c r="K17" i="27" s="1"/>
  <c r="H81" i="22" a="1"/>
  <c r="H81" i="22" s="1"/>
  <c r="H86" i="22" s="1"/>
  <c r="BY14" i="23" a="1"/>
  <c r="BY14" i="23" s="1"/>
  <c r="I14" i="27" s="1" a="1"/>
  <c r="I14" i="27" s="1"/>
  <c r="E127" i="22" a="1"/>
  <c r="E127" i="22" s="1"/>
  <c r="AC16" i="23" a="1"/>
  <c r="AC16" i="23" s="1"/>
  <c r="F16" i="27" s="1" a="1"/>
  <c r="F16" i="27" s="1"/>
  <c r="J127" i="22" a="1"/>
  <c r="J127" i="22" s="1"/>
  <c r="DE16" i="23" a="1"/>
  <c r="DE16" i="23" s="1"/>
  <c r="K16" i="27" s="1" a="1"/>
  <c r="K16" i="27" s="1"/>
  <c r="I196" i="22" a="1"/>
  <c r="I196" i="22" s="1"/>
  <c r="CO19" i="23" a="1"/>
  <c r="CO19" i="23" s="1"/>
  <c r="J19" i="27" s="1" a="1"/>
  <c r="J19" i="27" s="1"/>
  <c r="J196" i="22" a="1"/>
  <c r="J196" i="22" s="1"/>
  <c r="DE19" i="23" a="1"/>
  <c r="DE19" i="23" s="1"/>
  <c r="K19" i="27" s="1" a="1"/>
  <c r="K19" i="27" s="1"/>
  <c r="O173" i="22" a="1"/>
  <c r="O173" i="22" s="1"/>
  <c r="O178" i="22" s="1"/>
  <c r="GG18" i="23" a="1"/>
  <c r="GG18" i="23" s="1"/>
  <c r="P18" i="27" s="1" a="1"/>
  <c r="P18" i="27" s="1"/>
  <c r="H104" i="22" a="1"/>
  <c r="H104" i="22" s="1"/>
  <c r="H109" i="22" s="1"/>
  <c r="BY15" i="23" a="1"/>
  <c r="BY15" i="23" s="1"/>
  <c r="I15" i="27" s="1" a="1"/>
  <c r="I15" i="27" s="1"/>
  <c r="K104" i="22" a="1"/>
  <c r="K104" i="22" s="1"/>
  <c r="K109" i="22" s="1"/>
  <c r="DU15" i="23" a="1"/>
  <c r="DU15" i="23" s="1"/>
  <c r="L15" i="27" s="1" a="1"/>
  <c r="L15" i="27" s="1"/>
  <c r="I219" i="22" a="1"/>
  <c r="I219" i="22" s="1"/>
  <c r="I224" i="22" s="1"/>
  <c r="CO20" i="23" a="1"/>
  <c r="CO20" i="23" s="1"/>
  <c r="J20" i="27" s="1" a="1"/>
  <c r="J20" i="27" s="1"/>
  <c r="O150" i="22" a="1"/>
  <c r="O150" i="22" s="1"/>
  <c r="GG17" i="23" a="1"/>
  <c r="GG17" i="23" s="1"/>
  <c r="P17" i="27" s="1" a="1"/>
  <c r="P17" i="27" s="1"/>
  <c r="N81" i="22" a="1"/>
  <c r="N81" i="22" s="1"/>
  <c r="N86" i="22" s="1"/>
  <c r="FQ14" i="23" a="1"/>
  <c r="FQ14" i="23" s="1"/>
  <c r="O14" i="27" s="1" a="1"/>
  <c r="O14" i="27" s="1"/>
  <c r="N127" i="22" a="1"/>
  <c r="N127" i="22" s="1"/>
  <c r="FQ16" i="23" a="1"/>
  <c r="FQ16" i="23" s="1"/>
  <c r="O16" i="27" s="1" a="1"/>
  <c r="O16" i="27" s="1"/>
  <c r="G127" i="22" a="1"/>
  <c r="G127" i="22" s="1"/>
  <c r="BI16" i="23" a="1"/>
  <c r="BI16" i="23" s="1"/>
  <c r="H16" i="27" s="1" a="1"/>
  <c r="H16" i="27" s="1"/>
  <c r="L196" i="22" a="1"/>
  <c r="L196" i="22" s="1"/>
  <c r="EK19" i="23" a="1"/>
  <c r="EK19" i="23" s="1"/>
  <c r="M19" i="27" s="1" a="1"/>
  <c r="M19" i="27" s="1"/>
  <c r="O196" i="22" a="1"/>
  <c r="O196" i="22" s="1"/>
  <c r="GG19" i="23" a="1"/>
  <c r="GG19" i="23" s="1"/>
  <c r="P19" i="27" s="1" a="1"/>
  <c r="P19" i="27" s="1"/>
  <c r="G173" i="22" a="1"/>
  <c r="G173" i="22" s="1"/>
  <c r="G178" i="22" s="1"/>
  <c r="BI18" i="23" a="1"/>
  <c r="BI18" i="23" s="1"/>
  <c r="H18" i="27" s="1" a="1"/>
  <c r="H18" i="27" s="1"/>
  <c r="E104" i="22" a="1"/>
  <c r="E104" i="22" s="1"/>
  <c r="E109" i="22" s="1"/>
  <c r="AC15" i="23" a="1"/>
  <c r="AC15" i="23" s="1"/>
  <c r="F15" i="27" s="1" a="1"/>
  <c r="F15" i="27" s="1"/>
  <c r="K219" i="22" a="1"/>
  <c r="K219" i="22" s="1"/>
  <c r="K224" i="22" s="1"/>
  <c r="DU20" i="23" a="1"/>
  <c r="DU20" i="23" s="1"/>
  <c r="L20" i="27" s="1" a="1"/>
  <c r="L20" i="27" s="1"/>
  <c r="E219" i="22" a="1"/>
  <c r="E219" i="22" s="1"/>
  <c r="E224" i="22" s="1"/>
  <c r="AC20" i="23" a="1"/>
  <c r="AC20" i="23" s="1"/>
  <c r="F20" i="27" s="1" a="1"/>
  <c r="F20" i="27" s="1"/>
  <c r="I81" i="22" a="1"/>
  <c r="I81" i="22" s="1"/>
  <c r="I86" i="22" s="1"/>
  <c r="CO14" i="23" a="1"/>
  <c r="CO14" i="23" s="1"/>
  <c r="J14" i="27" s="1" a="1"/>
  <c r="J14" i="27" s="1"/>
  <c r="I127" i="22" a="1"/>
  <c r="I127" i="22" s="1"/>
  <c r="CO16" i="23" a="1"/>
  <c r="CO16" i="23" s="1"/>
  <c r="J16" i="27" s="1" a="1"/>
  <c r="J16" i="27" s="1"/>
  <c r="F127" i="22" a="1"/>
  <c r="F127" i="22" s="1"/>
  <c r="AS16" i="23" a="1"/>
  <c r="AS16" i="23" s="1"/>
  <c r="G16" i="27" s="1" a="1"/>
  <c r="G16" i="27" s="1"/>
  <c r="E196" i="22" a="1"/>
  <c r="E196" i="22" s="1"/>
  <c r="AC19" i="23" a="1"/>
  <c r="AC19" i="23" s="1"/>
  <c r="F19" i="27" s="1" a="1"/>
  <c r="F19" i="27" s="1"/>
  <c r="N196" i="22" a="1"/>
  <c r="N196" i="22" s="1"/>
  <c r="FQ19" i="23" a="1"/>
  <c r="FQ19" i="23" s="1"/>
  <c r="O19" i="27" s="1" a="1"/>
  <c r="O19" i="27" s="1"/>
  <c r="K173" i="22" a="1"/>
  <c r="K173" i="22" s="1"/>
  <c r="K178" i="22" s="1"/>
  <c r="DU18" i="23" a="1"/>
  <c r="DU18" i="23" s="1"/>
  <c r="L18" i="27" s="1" a="1"/>
  <c r="L18" i="27" s="1"/>
  <c r="L104" i="22" a="1"/>
  <c r="L104" i="22" s="1"/>
  <c r="L109" i="22" s="1"/>
  <c r="EK15" i="23" a="1"/>
  <c r="EK15" i="23" s="1"/>
  <c r="M15" i="27" s="1" a="1"/>
  <c r="M15" i="27" s="1"/>
  <c r="O219" i="22" a="1"/>
  <c r="O219" i="22" s="1"/>
  <c r="O224" i="22" s="1"/>
  <c r="GG20" i="23" a="1"/>
  <c r="GG20" i="23" s="1"/>
  <c r="P20" i="27" s="1" a="1"/>
  <c r="P20" i="27" s="1"/>
  <c r="G219" i="22" a="1"/>
  <c r="G219" i="22" s="1"/>
  <c r="G224" i="22" s="1"/>
  <c r="BI20" i="23" a="1"/>
  <c r="BI20" i="23" s="1"/>
  <c r="H20" i="27" s="1" a="1"/>
  <c r="H20" i="27" s="1"/>
  <c r="Q81" i="20"/>
  <c r="E82" i="20"/>
  <c r="M17" i="23" s="1" a="1"/>
  <c r="M17" i="23" s="1"/>
  <c r="E17" i="27" s="1" a="1"/>
  <c r="E17" i="27" s="1"/>
  <c r="Q69" i="20"/>
  <c r="E70" i="20"/>
  <c r="M16" i="23" s="1" a="1"/>
  <c r="M16" i="23" s="1"/>
  <c r="E16" i="27" s="1" a="1"/>
  <c r="E16" i="27" s="1"/>
  <c r="Q57" i="20"/>
  <c r="E58" i="20"/>
  <c r="M15" i="23" s="1" a="1"/>
  <c r="M15" i="23" s="1"/>
  <c r="E15" i="27" s="1" a="1"/>
  <c r="E15" i="27" s="1"/>
  <c r="Q117" i="20"/>
  <c r="E118" i="20"/>
  <c r="M20" i="23" s="1" a="1"/>
  <c r="M20" i="23" s="1"/>
  <c r="E20" i="27" s="1" a="1"/>
  <c r="E20" i="27" s="1"/>
  <c r="Q105" i="20"/>
  <c r="E106" i="20"/>
  <c r="M19" i="23" s="1" a="1"/>
  <c r="M19" i="23" s="1"/>
  <c r="E19" i="27" s="1" a="1"/>
  <c r="E19" i="27" s="1"/>
  <c r="Q45" i="20"/>
  <c r="E46" i="20"/>
  <c r="M14" i="23" s="1" a="1"/>
  <c r="M14" i="23" s="1"/>
  <c r="E14" i="27" s="1" a="1"/>
  <c r="E14" i="27" s="1"/>
  <c r="Q93" i="20"/>
  <c r="E94" i="20"/>
  <c r="M18" i="23" s="1" a="1"/>
  <c r="M18" i="23" s="1"/>
  <c r="E18" i="27" s="1" a="1"/>
  <c r="E18" i="27" s="1"/>
  <c r="D111" i="22"/>
  <c r="D180" i="22"/>
  <c r="D226" i="22"/>
  <c r="D63" i="22"/>
  <c r="D64" i="22" s="1"/>
  <c r="D65" i="22"/>
  <c r="D66" i="22" s="1"/>
  <c r="D88" i="22"/>
  <c r="Q22" i="20"/>
  <c r="D35" i="22" a="1"/>
  <c r="D35" i="22" s="1"/>
  <c r="D40" i="22" s="1"/>
  <c r="E14" i="13" a="1"/>
  <c r="E14" i="13" s="1"/>
  <c r="D12" i="13" a="1"/>
  <c r="D12" i="13" s="1"/>
  <c r="B84" i="13"/>
  <c r="B85" i="13" s="1"/>
  <c r="B86" i="13" s="1"/>
  <c r="B87" i="13" s="1"/>
  <c r="B88" i="13" s="1"/>
  <c r="B89" i="13" s="1"/>
  <c r="B90" i="13" s="1"/>
  <c r="B91" i="13" s="1"/>
  <c r="B92" i="13" s="1"/>
  <c r="B93" i="13" s="1"/>
  <c r="B94" i="13" s="1"/>
  <c r="B95" i="13" s="1"/>
  <c r="B96" i="13" s="1"/>
  <c r="B80" i="13"/>
  <c r="B81" i="13" s="1"/>
  <c r="B82" i="13" s="1"/>
  <c r="B83" i="13" s="1"/>
  <c r="B141" i="13" a="1"/>
  <c r="B141" i="13" s="1"/>
  <c r="B142" i="13" s="1"/>
  <c r="B64" i="13"/>
  <c r="B65" i="13" s="1"/>
  <c r="B66" i="13" s="1"/>
  <c r="B67" i="13" s="1"/>
  <c r="B69" i="13"/>
  <c r="B70" i="13" s="1"/>
  <c r="B71" i="13" s="1"/>
  <c r="B72" i="13" s="1"/>
  <c r="B109" i="13"/>
  <c r="B110" i="13" s="1"/>
  <c r="B111" i="13" s="1"/>
  <c r="B112" i="13"/>
  <c r="B113" i="13" s="1"/>
  <c r="E19" i="12"/>
  <c r="J19" i="12"/>
  <c r="J12" i="13" a="1"/>
  <c r="J12" i="13" s="1"/>
  <c r="N19" i="12"/>
  <c r="N12" i="13" a="1"/>
  <c r="N12" i="13" s="1"/>
  <c r="L19" i="12"/>
  <c r="L12" i="13" a="1"/>
  <c r="L12" i="13" s="1"/>
  <c r="M19" i="12"/>
  <c r="M12" i="13" a="1"/>
  <c r="M12" i="13" s="1"/>
  <c r="I19" i="12"/>
  <c r="I14" i="13" a="1"/>
  <c r="I14" i="13" s="1"/>
  <c r="F19" i="12"/>
  <c r="F12" i="13" a="1"/>
  <c r="F12" i="13" s="1"/>
  <c r="O19" i="12"/>
  <c r="O12" i="13" a="1"/>
  <c r="O12" i="13" s="1"/>
  <c r="K19" i="12"/>
  <c r="K12" i="13" a="1"/>
  <c r="K12" i="13" s="1"/>
  <c r="H19" i="12"/>
  <c r="H12" i="13" a="1"/>
  <c r="H12" i="13" s="1"/>
  <c r="G19" i="12"/>
  <c r="G14" i="13" a="1"/>
  <c r="G14" i="13" s="1"/>
  <c r="D19" i="12"/>
  <c r="AA232" i="10"/>
  <c r="AA219" i="10"/>
  <c r="AA244" i="10"/>
  <c r="AA245" i="10" s="1"/>
  <c r="AA257" i="10"/>
  <c r="B62" i="12" a="1"/>
  <c r="B62" i="12" s="1"/>
  <c r="R146" i="12"/>
  <c r="R134" i="12"/>
  <c r="R133" i="12"/>
  <c r="R121" i="12"/>
  <c r="R122" i="12"/>
  <c r="R109" i="12"/>
  <c r="CE388" i="1"/>
  <c r="CD6" i="1" a="1"/>
  <c r="CD6" i="1" s="1"/>
  <c r="AQ5" i="1" a="1"/>
  <c r="AQ5" i="1" s="1"/>
  <c r="AV388" i="1"/>
  <c r="CP6" i="1" a="1"/>
  <c r="CP6" i="1" s="1"/>
  <c r="CQ388" i="1"/>
  <c r="G10" i="7"/>
  <c r="R9" i="7"/>
  <c r="S8" i="7"/>
  <c r="O5" i="8"/>
  <c r="P5" i="8" s="1"/>
  <c r="M6" i="8"/>
  <c r="N5" i="8"/>
  <c r="R9" i="6"/>
  <c r="S8" i="6"/>
  <c r="I9" i="6"/>
  <c r="L9" i="6" s="1"/>
  <c r="I10" i="6"/>
  <c r="L10" i="6" s="1"/>
  <c r="I8" i="6"/>
  <c r="L8" i="6" s="1"/>
  <c r="O4" i="8"/>
  <c r="P4" i="8" s="1"/>
  <c r="M6" i="6"/>
  <c r="N5" i="6"/>
  <c r="O3" i="6" l="1"/>
  <c r="P3" i="6" s="1"/>
  <c r="B73" i="5" s="1"/>
  <c r="B72" i="5" s="1"/>
  <c r="Q71" i="19"/>
  <c r="R70" i="19"/>
  <c r="S70" i="19" s="1" a="1"/>
  <c r="S70" i="19" s="1"/>
  <c r="AF11" i="19"/>
  <c r="AG10" i="19"/>
  <c r="AH10" i="19" s="1" a="1"/>
  <c r="AH10" i="19" s="1"/>
  <c r="AX41" i="19"/>
  <c r="AY40" i="19"/>
  <c r="AZ40" i="19" s="1" a="1"/>
  <c r="AZ40" i="19" s="1"/>
  <c r="AO71" i="19"/>
  <c r="AP70" i="19"/>
  <c r="AQ70" i="19" s="1" a="1"/>
  <c r="AQ70" i="19" s="1"/>
  <c r="AL56" i="19"/>
  <c r="AM55" i="19"/>
  <c r="AN55" i="19" s="1" a="1"/>
  <c r="AN55" i="19" s="1"/>
  <c r="W26" i="19"/>
  <c r="X25" i="19"/>
  <c r="Y25" i="19" s="1" a="1"/>
  <c r="Y25" i="19" s="1"/>
  <c r="AL71" i="19"/>
  <c r="AM70" i="19"/>
  <c r="AN70" i="19" s="1" a="1"/>
  <c r="AN70" i="19" s="1"/>
  <c r="AX26" i="19"/>
  <c r="AY25" i="19"/>
  <c r="AZ25" i="19" s="1" a="1"/>
  <c r="AZ25" i="19" s="1"/>
  <c r="AF116" i="19"/>
  <c r="AG115" i="19"/>
  <c r="AH115" i="19" s="1" a="1"/>
  <c r="AH115" i="19" s="1"/>
  <c r="Q116" i="19"/>
  <c r="R115" i="19"/>
  <c r="S115" i="19" s="1" a="1"/>
  <c r="S115" i="19" s="1"/>
  <c r="AL86" i="19"/>
  <c r="AM85" i="19"/>
  <c r="AN85" i="19" s="1" a="1"/>
  <c r="AN85" i="19" s="1"/>
  <c r="T56" i="19"/>
  <c r="U55" i="19"/>
  <c r="V55" i="19" s="1" a="1"/>
  <c r="V55" i="19" s="1"/>
  <c r="BA69" i="19"/>
  <c r="BA144" i="19"/>
  <c r="Q11" i="19"/>
  <c r="R10" i="19"/>
  <c r="S10" i="19" s="1" a="1"/>
  <c r="S10" i="19" s="1"/>
  <c r="AS10" i="19"/>
  <c r="AT10" i="19" s="1" a="1"/>
  <c r="AT10" i="19" s="1"/>
  <c r="AR11" i="19"/>
  <c r="AF101" i="19"/>
  <c r="AG100" i="19"/>
  <c r="AH100" i="19" s="1" a="1"/>
  <c r="AH100" i="19" s="1"/>
  <c r="AX56" i="19"/>
  <c r="AY55" i="19"/>
  <c r="AZ55" i="19" s="1" a="1"/>
  <c r="AZ55" i="19" s="1"/>
  <c r="AU41" i="19"/>
  <c r="AV40" i="19"/>
  <c r="AW40" i="19" s="1" a="1"/>
  <c r="AW40" i="19" s="1"/>
  <c r="AI56" i="19"/>
  <c r="AJ55" i="19"/>
  <c r="AK55" i="19" s="1" a="1"/>
  <c r="AK55" i="19" s="1"/>
  <c r="AO86" i="19"/>
  <c r="AP85" i="19"/>
  <c r="AQ85" i="19" s="1" a="1"/>
  <c r="AQ85" i="19" s="1"/>
  <c r="AC146" i="19"/>
  <c r="AD145" i="19"/>
  <c r="AE145" i="19" s="1" a="1"/>
  <c r="AE145" i="19" s="1"/>
  <c r="AR131" i="19"/>
  <c r="AS130" i="19"/>
  <c r="AT130" i="19" s="1" a="1"/>
  <c r="AT130" i="19" s="1"/>
  <c r="AX101" i="19"/>
  <c r="AY100" i="19"/>
  <c r="AZ100" i="19" s="1" a="1"/>
  <c r="AZ100" i="19" s="1"/>
  <c r="AI86" i="19"/>
  <c r="AJ85" i="19"/>
  <c r="AK85" i="19" s="1" a="1"/>
  <c r="AK85" i="19" s="1"/>
  <c r="AL101" i="19"/>
  <c r="AM100" i="19"/>
  <c r="AN100" i="19" s="1" a="1"/>
  <c r="AN100" i="19" s="1"/>
  <c r="AI11" i="19"/>
  <c r="AJ10" i="19"/>
  <c r="AK10" i="19" s="1" a="1"/>
  <c r="AK10" i="19" s="1"/>
  <c r="W11" i="19"/>
  <c r="X10" i="19"/>
  <c r="Y10" i="19" s="1" a="1"/>
  <c r="Y10" i="19" s="1"/>
  <c r="AY70" i="19"/>
  <c r="AZ70" i="19" s="1" a="1"/>
  <c r="AZ70" i="19" s="1"/>
  <c r="AX71" i="19"/>
  <c r="Q146" i="19"/>
  <c r="R145" i="19"/>
  <c r="S145" i="19" s="1" a="1"/>
  <c r="S145" i="19" s="1"/>
  <c r="AC11" i="19"/>
  <c r="AD10" i="19"/>
  <c r="AE10" i="19" s="1" a="1"/>
  <c r="AE10" i="19" s="1"/>
  <c r="BA54" i="19"/>
  <c r="AI41" i="19"/>
  <c r="AJ40" i="19"/>
  <c r="AK40" i="19" s="1" a="1"/>
  <c r="AK40" i="19" s="1"/>
  <c r="AC101" i="19"/>
  <c r="AD100" i="19"/>
  <c r="AE100" i="19" s="1" a="1"/>
  <c r="AE100" i="19" s="1"/>
  <c r="BA99" i="19"/>
  <c r="W101" i="19"/>
  <c r="X100" i="19"/>
  <c r="Y100" i="19" s="1" a="1"/>
  <c r="Y100" i="19" s="1"/>
  <c r="AO11" i="19"/>
  <c r="AP10" i="19"/>
  <c r="AQ10" i="19" s="1" a="1"/>
  <c r="AQ10" i="19" s="1"/>
  <c r="Q86" i="19"/>
  <c r="R85" i="19"/>
  <c r="S85" i="19" s="1" a="1"/>
  <c r="S85" i="19" s="1"/>
  <c r="AF26" i="19"/>
  <c r="AG25" i="19"/>
  <c r="AH25" i="19" s="1" a="1"/>
  <c r="AH25" i="19" s="1"/>
  <c r="AF86" i="19"/>
  <c r="AG85" i="19"/>
  <c r="AH85" i="19" s="1" a="1"/>
  <c r="AH85" i="19" s="1"/>
  <c r="AI116" i="19"/>
  <c r="AJ115" i="19"/>
  <c r="AK115" i="19" s="1" a="1"/>
  <c r="AK115" i="19" s="1"/>
  <c r="AD25" i="19"/>
  <c r="AE25" i="19" s="1" a="1"/>
  <c r="AE25" i="19" s="1"/>
  <c r="AC26" i="19"/>
  <c r="BA129" i="19"/>
  <c r="AI131" i="19"/>
  <c r="AJ130" i="19"/>
  <c r="AK130" i="19" s="1" a="1"/>
  <c r="AK130" i="19" s="1"/>
  <c r="W56" i="19"/>
  <c r="X55" i="19"/>
  <c r="Y55" i="19" s="1" a="1"/>
  <c r="Y55" i="19" s="1"/>
  <c r="AR71" i="19"/>
  <c r="AS70" i="19"/>
  <c r="AT70" i="19" s="1" a="1"/>
  <c r="AT70" i="19" s="1"/>
  <c r="AA10" i="19"/>
  <c r="AB10" i="19" s="1" a="1"/>
  <c r="AB10" i="19" s="1"/>
  <c r="Z11" i="19"/>
  <c r="AU101" i="19"/>
  <c r="AV100" i="19"/>
  <c r="AW100" i="19" s="1" a="1"/>
  <c r="AW100" i="19" s="1"/>
  <c r="AR101" i="19"/>
  <c r="AS100" i="19"/>
  <c r="AT100" i="19" s="1" a="1"/>
  <c r="AT100" i="19" s="1"/>
  <c r="AC116" i="19"/>
  <c r="AD115" i="19"/>
  <c r="AE115" i="19" s="1" a="1"/>
  <c r="AE115" i="19" s="1"/>
  <c r="AX146" i="19"/>
  <c r="AY145" i="19"/>
  <c r="AZ145" i="19" s="1" a="1"/>
  <c r="AZ145" i="19" s="1"/>
  <c r="T26" i="19"/>
  <c r="U25" i="19"/>
  <c r="V25" i="19" s="1" a="1"/>
  <c r="V25" i="19" s="1"/>
  <c r="Z86" i="19"/>
  <c r="AA85" i="19"/>
  <c r="AB85" i="19" s="1" a="1"/>
  <c r="AB85" i="19" s="1"/>
  <c r="T131" i="19"/>
  <c r="U130" i="19"/>
  <c r="V130" i="19" s="1" a="1"/>
  <c r="V130" i="19" s="1"/>
  <c r="AU26" i="19"/>
  <c r="AV25" i="19"/>
  <c r="AW25" i="19" s="1" a="1"/>
  <c r="AW25" i="19" s="1"/>
  <c r="Q131" i="19"/>
  <c r="R130" i="19"/>
  <c r="S130" i="19" s="1" a="1"/>
  <c r="S130" i="19" s="1"/>
  <c r="Z41" i="19"/>
  <c r="AA40" i="19"/>
  <c r="AB40" i="19" s="1" a="1"/>
  <c r="AB40" i="19" s="1"/>
  <c r="AX116" i="19"/>
  <c r="AY115" i="19"/>
  <c r="AZ115" i="19" s="1" a="1"/>
  <c r="AZ115" i="19" s="1"/>
  <c r="AI146" i="19"/>
  <c r="AJ145" i="19"/>
  <c r="AK145" i="19" s="1" a="1"/>
  <c r="AK145" i="19" s="1"/>
  <c r="AX11" i="19"/>
  <c r="AY10" i="19"/>
  <c r="AZ10" i="19" s="1" a="1"/>
  <c r="AZ10" i="19" s="1"/>
  <c r="AO26" i="19"/>
  <c r="AP25" i="19"/>
  <c r="AQ25" i="19" s="1" a="1"/>
  <c r="AQ25" i="19" s="1"/>
  <c r="T146" i="19"/>
  <c r="U145" i="19"/>
  <c r="V145" i="19" s="1" a="1"/>
  <c r="V145" i="19" s="1"/>
  <c r="Q101" i="19"/>
  <c r="R100" i="19"/>
  <c r="S100" i="19" s="1" a="1"/>
  <c r="S100" i="19" s="1"/>
  <c r="AC131" i="19"/>
  <c r="AD130" i="19"/>
  <c r="AE130" i="19" s="1" a="1"/>
  <c r="AE130" i="19" s="1"/>
  <c r="AI26" i="19"/>
  <c r="AJ25" i="19"/>
  <c r="AK25" i="19" s="1" a="1"/>
  <c r="AK25" i="19" s="1"/>
  <c r="W86" i="19"/>
  <c r="X85" i="19"/>
  <c r="Y85" i="19" s="1" a="1"/>
  <c r="Y85" i="19" s="1"/>
  <c r="AS55" i="19"/>
  <c r="AT55" i="19" s="1" a="1"/>
  <c r="AT55" i="19" s="1"/>
  <c r="AR56" i="19"/>
  <c r="Z71" i="19"/>
  <c r="AA70" i="19"/>
  <c r="AB70" i="19" s="1" a="1"/>
  <c r="AB70" i="19" s="1"/>
  <c r="AR26" i="19"/>
  <c r="AS25" i="19"/>
  <c r="AT25" i="19" s="1" a="1"/>
  <c r="AT25" i="19" s="1"/>
  <c r="W71" i="19"/>
  <c r="X70" i="19"/>
  <c r="Y70" i="19" s="1" a="1"/>
  <c r="Y70" i="19" s="1"/>
  <c r="BA9" i="19"/>
  <c r="AF56" i="19"/>
  <c r="AG55" i="19"/>
  <c r="AH55" i="19" s="1" a="1"/>
  <c r="AH55" i="19" s="1"/>
  <c r="T11" i="19"/>
  <c r="U10" i="19"/>
  <c r="V10" i="19" s="1" a="1"/>
  <c r="V10" i="19" s="1"/>
  <c r="W116" i="19"/>
  <c r="X115" i="19"/>
  <c r="Y115" i="19" s="1" a="1"/>
  <c r="Y115" i="19" s="1"/>
  <c r="AI101" i="19"/>
  <c r="AJ100" i="19"/>
  <c r="AK100" i="19" s="1" a="1"/>
  <c r="AK100" i="19" s="1"/>
  <c r="AF71" i="19"/>
  <c r="AG70" i="19"/>
  <c r="AH70" i="19" s="1" a="1"/>
  <c r="AH70" i="19" s="1"/>
  <c r="AF131" i="19"/>
  <c r="AG130" i="19"/>
  <c r="AH130" i="19" s="1" a="1"/>
  <c r="AH130" i="19" s="1"/>
  <c r="AU86" i="19"/>
  <c r="AV85" i="19"/>
  <c r="AW85" i="19" s="1" a="1"/>
  <c r="AW85" i="19" s="1"/>
  <c r="AU131" i="19"/>
  <c r="AV130" i="19"/>
  <c r="AW130" i="19" s="1" a="1"/>
  <c r="AW130" i="19" s="1"/>
  <c r="Z131" i="19"/>
  <c r="AA130" i="19"/>
  <c r="AB130" i="19" s="1" a="1"/>
  <c r="AB130" i="19" s="1"/>
  <c r="Z26" i="19"/>
  <c r="AA25" i="19"/>
  <c r="AB25" i="19" s="1" a="1"/>
  <c r="AB25" i="19" s="1"/>
  <c r="AU56" i="19"/>
  <c r="AV55" i="19"/>
  <c r="AW55" i="19" s="1" a="1"/>
  <c r="AW55" i="19" s="1"/>
  <c r="BA84" i="19"/>
  <c r="Z56" i="19"/>
  <c r="AA55" i="19"/>
  <c r="AB55" i="19" s="1" a="1"/>
  <c r="AB55" i="19" s="1"/>
  <c r="AF146" i="19"/>
  <c r="AG145" i="19"/>
  <c r="AH145" i="19" s="1" a="1"/>
  <c r="AH145" i="19" s="1"/>
  <c r="T86" i="19"/>
  <c r="U85" i="19"/>
  <c r="V85" i="19" s="1" a="1"/>
  <c r="V85" i="19" s="1"/>
  <c r="AC56" i="19"/>
  <c r="AD55" i="19"/>
  <c r="AE55" i="19" s="1" a="1"/>
  <c r="AE55" i="19" s="1"/>
  <c r="Q26" i="19"/>
  <c r="R25" i="19"/>
  <c r="S25" i="19" s="1" a="1"/>
  <c r="S25" i="19" s="1"/>
  <c r="W41" i="19"/>
  <c r="X40" i="19"/>
  <c r="Y40" i="19" s="1" a="1"/>
  <c r="Y40" i="19" s="1"/>
  <c r="AO41" i="19"/>
  <c r="AP40" i="19"/>
  <c r="AQ40" i="19" s="1" a="1"/>
  <c r="AQ40" i="19" s="1"/>
  <c r="AF41" i="19"/>
  <c r="AG40" i="19"/>
  <c r="AH40" i="19" s="1" a="1"/>
  <c r="AH40" i="19" s="1"/>
  <c r="Z116" i="19"/>
  <c r="AA115" i="19"/>
  <c r="AB115" i="19" s="1" a="1"/>
  <c r="AB115" i="19" s="1"/>
  <c r="AU146" i="19"/>
  <c r="AV145" i="19"/>
  <c r="AW145" i="19" s="1" a="1"/>
  <c r="AW145" i="19" s="1"/>
  <c r="AX86" i="19"/>
  <c r="AY85" i="19"/>
  <c r="AZ85" i="19" s="1" a="1"/>
  <c r="AZ85" i="19" s="1"/>
  <c r="AC41" i="19"/>
  <c r="AD40" i="19"/>
  <c r="AE40" i="19" s="1" a="1"/>
  <c r="AE40" i="19" s="1"/>
  <c r="T71" i="19"/>
  <c r="U70" i="19"/>
  <c r="V70" i="19" s="1" a="1"/>
  <c r="V70" i="19" s="1"/>
  <c r="AL146" i="19"/>
  <c r="AM145" i="19"/>
  <c r="AN145" i="19" s="1" a="1"/>
  <c r="AN145" i="19" s="1"/>
  <c r="AM40" i="19"/>
  <c r="AN40" i="19" s="1" a="1"/>
  <c r="AN40" i="19" s="1"/>
  <c r="AL41" i="19"/>
  <c r="W146" i="19"/>
  <c r="X145" i="19"/>
  <c r="Y145" i="19" s="1" a="1"/>
  <c r="Y145" i="19" s="1"/>
  <c r="T116" i="19"/>
  <c r="U115" i="19"/>
  <c r="V115" i="19" s="1" a="1"/>
  <c r="V115" i="19" s="1"/>
  <c r="AL131" i="19"/>
  <c r="AM130" i="19"/>
  <c r="AN130" i="19" s="1" a="1"/>
  <c r="AN130" i="19" s="1"/>
  <c r="Q41" i="19"/>
  <c r="R40" i="19"/>
  <c r="S40" i="19" s="1" a="1"/>
  <c r="S40" i="19" s="1"/>
  <c r="Q56" i="19"/>
  <c r="R55" i="19"/>
  <c r="S55" i="19" s="1" a="1"/>
  <c r="S55" i="19" s="1"/>
  <c r="Z101" i="19"/>
  <c r="AA100" i="19"/>
  <c r="AB100" i="19" s="1" a="1"/>
  <c r="AB100" i="19" s="1"/>
  <c r="AO131" i="19"/>
  <c r="AP130" i="19"/>
  <c r="AQ130" i="19" s="1" a="1"/>
  <c r="AQ130" i="19" s="1"/>
  <c r="AU71" i="19"/>
  <c r="AV70" i="19"/>
  <c r="AW70" i="19" s="1" a="1"/>
  <c r="AW70" i="19" s="1"/>
  <c r="AU116" i="19"/>
  <c r="AV115" i="19"/>
  <c r="AW115" i="19" s="1" a="1"/>
  <c r="AW115" i="19" s="1"/>
  <c r="T101" i="19"/>
  <c r="U100" i="19"/>
  <c r="V100" i="19" s="1" a="1"/>
  <c r="V100" i="19" s="1"/>
  <c r="AC71" i="19"/>
  <c r="AD70" i="19"/>
  <c r="AE70" i="19" s="1" a="1"/>
  <c r="AE70" i="19" s="1"/>
  <c r="AL11" i="19"/>
  <c r="AM10" i="19"/>
  <c r="AN10" i="19" s="1" a="1"/>
  <c r="AN10" i="19" s="1"/>
  <c r="AL116" i="19"/>
  <c r="AM115" i="19"/>
  <c r="AN115" i="19" s="1" a="1"/>
  <c r="AN115" i="19" s="1"/>
  <c r="AV10" i="19"/>
  <c r="AW10" i="19" s="1" a="1"/>
  <c r="AW10" i="19" s="1"/>
  <c r="AU11" i="19"/>
  <c r="AR146" i="19"/>
  <c r="AS145" i="19"/>
  <c r="AT145" i="19" s="1" a="1"/>
  <c r="AT145" i="19" s="1"/>
  <c r="AC86" i="19"/>
  <c r="AD85" i="19"/>
  <c r="AE85" i="19" s="1" a="1"/>
  <c r="AE85" i="19" s="1"/>
  <c r="AR86" i="19"/>
  <c r="AS85" i="19"/>
  <c r="AT85" i="19" s="1" a="1"/>
  <c r="AT85" i="19" s="1"/>
  <c r="Z146" i="19"/>
  <c r="AA145" i="19"/>
  <c r="AB145" i="19" s="1" a="1"/>
  <c r="AB145" i="19" s="1"/>
  <c r="T41" i="19"/>
  <c r="U40" i="19"/>
  <c r="V40" i="19" s="1" a="1"/>
  <c r="V40" i="19" s="1"/>
  <c r="AO116" i="19"/>
  <c r="AP115" i="19"/>
  <c r="AQ115" i="19" s="1" a="1"/>
  <c r="AQ115" i="19" s="1"/>
  <c r="E68" i="21"/>
  <c r="F68" i="21"/>
  <c r="F70" i="21" s="1"/>
  <c r="D68" i="21"/>
  <c r="F12" i="21"/>
  <c r="D12" i="21"/>
  <c r="E12" i="21"/>
  <c r="G12" i="21"/>
  <c r="G14" i="21" s="1"/>
  <c r="E110" i="21"/>
  <c r="O26" i="21"/>
  <c r="K138" i="21"/>
  <c r="N138" i="21"/>
  <c r="E54" i="21"/>
  <c r="K12" i="21"/>
  <c r="K110" i="21"/>
  <c r="L26" i="21"/>
  <c r="F110" i="21"/>
  <c r="N110" i="21"/>
  <c r="H26" i="21"/>
  <c r="I12" i="21"/>
  <c r="N12" i="21"/>
  <c r="J110" i="21"/>
  <c r="H138" i="21"/>
  <c r="M110" i="21"/>
  <c r="I110" i="21"/>
  <c r="D138" i="21"/>
  <c r="L12" i="21"/>
  <c r="L138" i="21"/>
  <c r="H68" i="21"/>
  <c r="K54" i="21"/>
  <c r="D110" i="21"/>
  <c r="L110" i="21"/>
  <c r="N68" i="21"/>
  <c r="J26" i="21"/>
  <c r="G110" i="21"/>
  <c r="J68" i="21"/>
  <c r="O68" i="21"/>
  <c r="N54" i="21"/>
  <c r="G138" i="21"/>
  <c r="D26" i="21"/>
  <c r="G68" i="21"/>
  <c r="K68" i="21"/>
  <c r="D54" i="21"/>
  <c r="F54" i="21"/>
  <c r="L54" i="21"/>
  <c r="F138" i="21"/>
  <c r="M68" i="21"/>
  <c r="H54" i="21"/>
  <c r="G26" i="21"/>
  <c r="M54" i="21"/>
  <c r="H12" i="21"/>
  <c r="O138" i="21"/>
  <c r="G54" i="21"/>
  <c r="E26" i="21"/>
  <c r="N26" i="21"/>
  <c r="M26" i="21"/>
  <c r="M12" i="21"/>
  <c r="J54" i="21"/>
  <c r="M138" i="21"/>
  <c r="O54" i="21"/>
  <c r="I26" i="21"/>
  <c r="H110" i="21"/>
  <c r="O12" i="21"/>
  <c r="E138" i="21"/>
  <c r="O110" i="21"/>
  <c r="F26" i="21"/>
  <c r="K26" i="21"/>
  <c r="I68" i="21"/>
  <c r="J12" i="21"/>
  <c r="J138" i="21"/>
  <c r="L68" i="21"/>
  <c r="I138" i="21"/>
  <c r="I54" i="21"/>
  <c r="AP55" i="19"/>
  <c r="AQ55" i="19" s="1" a="1"/>
  <c r="AQ55" i="19" s="1"/>
  <c r="AO56" i="19"/>
  <c r="AR41" i="19"/>
  <c r="AS40" i="19"/>
  <c r="AT40" i="19" s="1" a="1"/>
  <c r="AT40" i="19" s="1"/>
  <c r="AI71" i="19"/>
  <c r="AJ70" i="19"/>
  <c r="AK70" i="19" s="1" a="1"/>
  <c r="AK70" i="19" s="1"/>
  <c r="AO101" i="19"/>
  <c r="AP100" i="19"/>
  <c r="AQ100" i="19" s="1" a="1"/>
  <c r="AQ100" i="19" s="1"/>
  <c r="AO146" i="19"/>
  <c r="AP145" i="19"/>
  <c r="AQ145" i="19" s="1" a="1"/>
  <c r="AQ145" i="19" s="1"/>
  <c r="AX131" i="19"/>
  <c r="AY130" i="19"/>
  <c r="AZ130" i="19" s="1" a="1"/>
  <c r="AZ130" i="19" s="1"/>
  <c r="W131" i="19"/>
  <c r="X130" i="19"/>
  <c r="Y130" i="19" s="1" a="1"/>
  <c r="Y130" i="19" s="1"/>
  <c r="AR116" i="19"/>
  <c r="AS115" i="19"/>
  <c r="AT115" i="19" s="1" a="1"/>
  <c r="AT115" i="19" s="1"/>
  <c r="AM25" i="19"/>
  <c r="AN25" i="19" s="1" a="1"/>
  <c r="AN25" i="19" s="1"/>
  <c r="AL26" i="19"/>
  <c r="BA114" i="19"/>
  <c r="L231" i="22"/>
  <c r="J185" i="22"/>
  <c r="N116" i="22"/>
  <c r="G116" i="22"/>
  <c r="I24" i="22"/>
  <c r="M47" i="22"/>
  <c r="E93" i="22"/>
  <c r="M24" i="22"/>
  <c r="F93" i="22"/>
  <c r="N93" i="22"/>
  <c r="D47" i="22"/>
  <c r="I47" i="22"/>
  <c r="E185" i="22"/>
  <c r="D231" i="22"/>
  <c r="F185" i="22"/>
  <c r="J116" i="22"/>
  <c r="H47" i="22"/>
  <c r="J24" i="22"/>
  <c r="I185" i="22"/>
  <c r="K93" i="22"/>
  <c r="O231" i="22"/>
  <c r="L24" i="22"/>
  <c r="D185" i="22"/>
  <c r="O116" i="22"/>
  <c r="O185" i="22"/>
  <c r="D93" i="22"/>
  <c r="K24" i="22"/>
  <c r="M116" i="22"/>
  <c r="L93" i="22"/>
  <c r="I93" i="22"/>
  <c r="K231" i="22"/>
  <c r="N24" i="22"/>
  <c r="H24" i="22"/>
  <c r="F231" i="22"/>
  <c r="H231" i="22"/>
  <c r="G231" i="22"/>
  <c r="K47" i="22"/>
  <c r="E231" i="22"/>
  <c r="M231" i="22"/>
  <c r="E47" i="22"/>
  <c r="L185" i="22"/>
  <c r="M185" i="22"/>
  <c r="K116" i="22"/>
  <c r="O47" i="22"/>
  <c r="K185" i="22"/>
  <c r="I231" i="22"/>
  <c r="N231" i="22"/>
  <c r="H185" i="22"/>
  <c r="H116" i="22"/>
  <c r="L116" i="22"/>
  <c r="F47" i="22"/>
  <c r="J47" i="22"/>
  <c r="O93" i="22"/>
  <c r="G185" i="22"/>
  <c r="G93" i="22"/>
  <c r="H93" i="22"/>
  <c r="L47" i="22"/>
  <c r="G47" i="22"/>
  <c r="J93" i="22"/>
  <c r="I116" i="22"/>
  <c r="N185" i="22"/>
  <c r="J231" i="22"/>
  <c r="M93" i="22"/>
  <c r="O24" i="22"/>
  <c r="N47" i="22"/>
  <c r="G24" i="22"/>
  <c r="D24" i="22"/>
  <c r="E24" i="22"/>
  <c r="F24" i="22"/>
  <c r="E116" i="22"/>
  <c r="D116" i="22"/>
  <c r="F116" i="22"/>
  <c r="J201" i="22"/>
  <c r="J202" i="22" s="1"/>
  <c r="J203" i="22"/>
  <c r="J204" i="22" s="1"/>
  <c r="F201" i="22"/>
  <c r="F202" i="22" s="1"/>
  <c r="F203" i="22"/>
  <c r="F204" i="22" s="1"/>
  <c r="E201" i="22"/>
  <c r="E202" i="22" s="1"/>
  <c r="E203" i="22"/>
  <c r="E204" i="22" s="1"/>
  <c r="L201" i="22"/>
  <c r="L202" i="22" s="1"/>
  <c r="L205" i="22" s="1"/>
  <c r="L203" i="22"/>
  <c r="L204" i="22" s="1"/>
  <c r="H201" i="22"/>
  <c r="H202" i="22" s="1"/>
  <c r="H203" i="22"/>
  <c r="H204" i="22" s="1"/>
  <c r="G201" i="22"/>
  <c r="G202" i="22" s="1"/>
  <c r="G203" i="22"/>
  <c r="G204" i="22" s="1"/>
  <c r="K201" i="22"/>
  <c r="K202" i="22" s="1"/>
  <c r="K203" i="22"/>
  <c r="K204" i="22" s="1"/>
  <c r="M201" i="22"/>
  <c r="M202" i="22" s="1"/>
  <c r="M203" i="22"/>
  <c r="M204" i="22" s="1"/>
  <c r="I201" i="22"/>
  <c r="I202" i="22" s="1"/>
  <c r="I203" i="22"/>
  <c r="I204" i="22" s="1"/>
  <c r="N201" i="22"/>
  <c r="N202" i="22" s="1"/>
  <c r="N203" i="22"/>
  <c r="N204" i="22" s="1"/>
  <c r="O201" i="22"/>
  <c r="O202" i="22" s="1"/>
  <c r="O203" i="22"/>
  <c r="O204" i="22" s="1"/>
  <c r="K155" i="22"/>
  <c r="K156" i="22" s="1"/>
  <c r="K159" i="22" s="1"/>
  <c r="DV17" i="23" s="1" a="1"/>
  <c r="DV17" i="23" s="1"/>
  <c r="K157" i="22"/>
  <c r="K158" i="22" s="1"/>
  <c r="F155" i="22"/>
  <c r="F156" i="22" s="1"/>
  <c r="F159" i="22" s="1"/>
  <c r="F157" i="22"/>
  <c r="F158" i="22" s="1"/>
  <c r="H155" i="22"/>
  <c r="H156" i="22" s="1"/>
  <c r="H159" i="22" s="1"/>
  <c r="H161" i="22" s="1"/>
  <c r="H157" i="22"/>
  <c r="H158" i="22" s="1"/>
  <c r="O155" i="22"/>
  <c r="O156" i="22" s="1"/>
  <c r="O159" i="22" s="1"/>
  <c r="O161" i="22" s="1"/>
  <c r="O157" i="22"/>
  <c r="O158" i="22" s="1"/>
  <c r="M155" i="22"/>
  <c r="M156" i="22" s="1"/>
  <c r="M159" i="22" s="1"/>
  <c r="M157" i="22"/>
  <c r="M158" i="22" s="1"/>
  <c r="E155" i="22"/>
  <c r="E156" i="22" s="1"/>
  <c r="E159" i="22" s="1"/>
  <c r="AD17" i="23" s="1" a="1"/>
  <c r="AD17" i="23" s="1"/>
  <c r="E157" i="22"/>
  <c r="E158" i="22" s="1"/>
  <c r="J155" i="22"/>
  <c r="J156" i="22" s="1"/>
  <c r="J159" i="22" s="1"/>
  <c r="J161" i="22" s="1"/>
  <c r="J157" i="22"/>
  <c r="J158" i="22" s="1"/>
  <c r="G155" i="22"/>
  <c r="G156" i="22" s="1"/>
  <c r="G159" i="22" s="1"/>
  <c r="G161" i="22" s="1"/>
  <c r="G157" i="22"/>
  <c r="G158" i="22" s="1"/>
  <c r="I155" i="22"/>
  <c r="I156" i="22" s="1"/>
  <c r="I159" i="22" s="1"/>
  <c r="CP17" i="23" s="1" a="1"/>
  <c r="CP17" i="23" s="1"/>
  <c r="I157" i="22"/>
  <c r="I158" i="22" s="1"/>
  <c r="N155" i="22"/>
  <c r="N156" i="22" s="1"/>
  <c r="N159" i="22" s="1"/>
  <c r="FR17" i="23" s="1" a="1"/>
  <c r="FR17" i="23" s="1"/>
  <c r="N157" i="22"/>
  <c r="N158" i="22" s="1"/>
  <c r="L155" i="22"/>
  <c r="L156" i="22" s="1"/>
  <c r="L159" i="22" s="1"/>
  <c r="L157" i="22"/>
  <c r="L158" i="22" s="1"/>
  <c r="I133" i="12" a="1"/>
  <c r="I133" i="12" s="1"/>
  <c r="H133" i="12" a="1"/>
  <c r="H133" i="12" s="1"/>
  <c r="O133" i="12" a="1"/>
  <c r="O133" i="12" s="1"/>
  <c r="G133" i="12" a="1"/>
  <c r="G133" i="12" s="1"/>
  <c r="N133" i="12" a="1"/>
  <c r="N133" i="12" s="1"/>
  <c r="F133" i="12" a="1"/>
  <c r="F133" i="12" s="1"/>
  <c r="M133" i="12" a="1"/>
  <c r="M133" i="12" s="1"/>
  <c r="E133" i="12" a="1"/>
  <c r="E133" i="12" s="1"/>
  <c r="L133" i="12" a="1"/>
  <c r="L133" i="12" s="1"/>
  <c r="D133" i="12" a="1"/>
  <c r="D133" i="12" s="1"/>
  <c r="J133" i="12" a="1"/>
  <c r="J133" i="12" s="1"/>
  <c r="K133" i="12" a="1"/>
  <c r="K133" i="12" s="1"/>
  <c r="D282" i="13" a="1"/>
  <c r="D282" i="13" s="1"/>
  <c r="D309" i="13" s="1"/>
  <c r="D130" i="12"/>
  <c r="D125" i="12"/>
  <c r="D287" i="13" s="1" a="1"/>
  <c r="D287" i="13" s="1"/>
  <c r="H282" i="13" a="1"/>
  <c r="H282" i="13" s="1"/>
  <c r="H309" i="13" s="1"/>
  <c r="H130" i="12"/>
  <c r="H125" i="12"/>
  <c r="H287" i="13" s="1" a="1"/>
  <c r="H287" i="13" s="1"/>
  <c r="L282" i="13" a="1"/>
  <c r="L282" i="13" s="1"/>
  <c r="L309" i="13" s="1"/>
  <c r="L125" i="12"/>
  <c r="L287" i="13" s="1" a="1"/>
  <c r="L287" i="13" s="1"/>
  <c r="L130" i="12"/>
  <c r="I282" i="13" a="1"/>
  <c r="I282" i="13" s="1"/>
  <c r="I309" i="13" s="1"/>
  <c r="I125" i="12"/>
  <c r="I287" i="13" s="1" a="1"/>
  <c r="I287" i="13" s="1"/>
  <c r="I130" i="12"/>
  <c r="O282" i="13" a="1"/>
  <c r="O282" i="13" s="1"/>
  <c r="O309" i="13" s="1"/>
  <c r="O125" i="12"/>
  <c r="O287" i="13" s="1" a="1"/>
  <c r="O287" i="13" s="1"/>
  <c r="O130" i="12"/>
  <c r="E282" i="13" a="1"/>
  <c r="E282" i="13" s="1"/>
  <c r="E309" i="13" s="1"/>
  <c r="E125" i="12"/>
  <c r="E287" i="13" s="1" a="1"/>
  <c r="E287" i="13" s="1"/>
  <c r="E130" i="12"/>
  <c r="M282" i="13" a="1"/>
  <c r="M282" i="13" s="1"/>
  <c r="M309" i="13" s="1"/>
  <c r="M125" i="12"/>
  <c r="M287" i="13" s="1" a="1"/>
  <c r="M287" i="13" s="1"/>
  <c r="M130" i="12"/>
  <c r="J282" i="13" a="1"/>
  <c r="J282" i="13" s="1"/>
  <c r="J309" i="13" s="1"/>
  <c r="J130" i="12"/>
  <c r="J125" i="12"/>
  <c r="J287" i="13" s="1" a="1"/>
  <c r="J287" i="13" s="1"/>
  <c r="F282" i="13" a="1"/>
  <c r="F282" i="13" s="1"/>
  <c r="F309" i="13" s="1"/>
  <c r="F130" i="12"/>
  <c r="F125" i="12"/>
  <c r="F287" i="13" s="1" a="1"/>
  <c r="F287" i="13" s="1"/>
  <c r="M109" i="12" a="1"/>
  <c r="M109" i="12" s="1"/>
  <c r="E109" i="12" a="1"/>
  <c r="E109" i="12" s="1"/>
  <c r="L109" i="12" a="1"/>
  <c r="L109" i="12" s="1"/>
  <c r="D109" i="12" a="1"/>
  <c r="D109" i="12" s="1"/>
  <c r="K109" i="12" a="1"/>
  <c r="K109" i="12" s="1"/>
  <c r="J109" i="12" a="1"/>
  <c r="J109" i="12" s="1"/>
  <c r="I109" i="12" a="1"/>
  <c r="I109" i="12" s="1"/>
  <c r="H109" i="12" a="1"/>
  <c r="H109" i="12" s="1"/>
  <c r="N109" i="12" a="1"/>
  <c r="N109" i="12" s="1"/>
  <c r="F109" i="12" a="1"/>
  <c r="F109" i="12" s="1"/>
  <c r="O109" i="12" a="1"/>
  <c r="O109" i="12" s="1"/>
  <c r="G109" i="12" a="1"/>
  <c r="G109" i="12" s="1"/>
  <c r="N282" i="13" a="1"/>
  <c r="N282" i="13" s="1"/>
  <c r="N309" i="13" s="1"/>
  <c r="N125" i="12"/>
  <c r="N287" i="13" s="1" a="1"/>
  <c r="N287" i="13" s="1"/>
  <c r="N130" i="12"/>
  <c r="M121" i="12" a="1"/>
  <c r="M121" i="12" s="1"/>
  <c r="M283" i="13" s="1" a="1"/>
  <c r="M283" i="13" s="1"/>
  <c r="E121" i="12" a="1"/>
  <c r="E121" i="12" s="1"/>
  <c r="E283" i="13" s="1" a="1"/>
  <c r="E283" i="13" s="1"/>
  <c r="L121" i="12" a="1"/>
  <c r="L121" i="12" s="1"/>
  <c r="L283" i="13" s="1" a="1"/>
  <c r="L283" i="13" s="1"/>
  <c r="D121" i="12" a="1"/>
  <c r="D121" i="12" s="1"/>
  <c r="D283" i="13" s="1" a="1"/>
  <c r="D283" i="13" s="1"/>
  <c r="K121" i="12" a="1"/>
  <c r="K121" i="12" s="1"/>
  <c r="K283" i="13" s="1" a="1"/>
  <c r="K283" i="13" s="1"/>
  <c r="J121" i="12" a="1"/>
  <c r="J121" i="12" s="1"/>
  <c r="J283" i="13" s="1" a="1"/>
  <c r="J283" i="13" s="1"/>
  <c r="I121" i="12" a="1"/>
  <c r="I121" i="12" s="1"/>
  <c r="I283" i="13" s="1" a="1"/>
  <c r="I283" i="13" s="1"/>
  <c r="H121" i="12" a="1"/>
  <c r="H121" i="12" s="1"/>
  <c r="H283" i="13" s="1" a="1"/>
  <c r="H283" i="13" s="1"/>
  <c r="N121" i="12" a="1"/>
  <c r="N121" i="12" s="1"/>
  <c r="N283" i="13" s="1" a="1"/>
  <c r="N283" i="13" s="1"/>
  <c r="F121" i="12" a="1"/>
  <c r="F121" i="12" s="1"/>
  <c r="F283" i="13" s="1" a="1"/>
  <c r="F283" i="13" s="1"/>
  <c r="O121" i="12" a="1"/>
  <c r="O121" i="12" s="1"/>
  <c r="O283" i="13" s="1" a="1"/>
  <c r="O283" i="13" s="1"/>
  <c r="G121" i="12" a="1"/>
  <c r="G121" i="12" s="1"/>
  <c r="G283" i="13" s="1" a="1"/>
  <c r="G283" i="13" s="1"/>
  <c r="I122" i="12" a="1"/>
  <c r="I122" i="12" s="1"/>
  <c r="H122" i="12" a="1"/>
  <c r="H122" i="12" s="1"/>
  <c r="O122" i="12" a="1"/>
  <c r="O122" i="12" s="1"/>
  <c r="G122" i="12" a="1"/>
  <c r="G122" i="12" s="1"/>
  <c r="N122" i="12" a="1"/>
  <c r="N122" i="12" s="1"/>
  <c r="F122" i="12" a="1"/>
  <c r="F122" i="12" s="1"/>
  <c r="M122" i="12" a="1"/>
  <c r="M122" i="12" s="1"/>
  <c r="E122" i="12" a="1"/>
  <c r="E122" i="12" s="1"/>
  <c r="L122" i="12" a="1"/>
  <c r="L122" i="12" s="1"/>
  <c r="D122" i="12" a="1"/>
  <c r="D122" i="12" s="1"/>
  <c r="J122" i="12" a="1"/>
  <c r="J122" i="12" s="1"/>
  <c r="K122" i="12" a="1"/>
  <c r="K122" i="12" s="1"/>
  <c r="K282" i="13" a="1"/>
  <c r="K282" i="13" s="1"/>
  <c r="K309" i="13" s="1"/>
  <c r="K130" i="12"/>
  <c r="K125" i="12"/>
  <c r="K287" i="13" s="1" a="1"/>
  <c r="K287" i="13" s="1"/>
  <c r="G282" i="13" a="1"/>
  <c r="G282" i="13" s="1"/>
  <c r="G309" i="13" s="1"/>
  <c r="G130" i="12"/>
  <c r="G125" i="12"/>
  <c r="G287" i="13" s="1" a="1"/>
  <c r="G287" i="13" s="1"/>
  <c r="D29" i="12"/>
  <c r="D46" i="13" s="1" a="1"/>
  <c r="D46" i="13" s="1"/>
  <c r="D64" i="12" a="1"/>
  <c r="D64" i="12" s="1"/>
  <c r="D145" i="13" s="1" a="1"/>
  <c r="D145" i="13" s="1"/>
  <c r="AE15" i="9" s="1" a="1"/>
  <c r="AE15" i="9" s="1"/>
  <c r="D62" i="12" a="1"/>
  <c r="D62" i="12" s="1"/>
  <c r="E45" i="12"/>
  <c r="E40" i="12"/>
  <c r="E76" i="13" a="1"/>
  <c r="E76" i="13" s="1"/>
  <c r="E103" i="13" s="1"/>
  <c r="F36" i="12" a="1"/>
  <c r="F36" i="12" s="1"/>
  <c r="F77" i="13" s="1" a="1"/>
  <c r="F77" i="13" s="1"/>
  <c r="BQ13" i="9" s="1" a="1"/>
  <c r="BQ13" i="9" s="1"/>
  <c r="BB13" i="9" a="1"/>
  <c r="BB13" i="9" s="1"/>
  <c r="F34" i="12" a="1"/>
  <c r="F34" i="12" s="1"/>
  <c r="D59" i="12"/>
  <c r="D54" i="12"/>
  <c r="D110" i="13" a="1"/>
  <c r="D110" i="13" s="1"/>
  <c r="D137" i="13" s="1"/>
  <c r="GP13" i="9" a="1"/>
  <c r="GP13" i="9" s="1"/>
  <c r="GQ13" i="9" s="1"/>
  <c r="E50" i="12" a="1"/>
  <c r="E50" i="12" s="1"/>
  <c r="E111" i="13" s="1" a="1"/>
  <c r="E111" i="13" s="1"/>
  <c r="AX14" i="9" s="1" a="1"/>
  <c r="AX14" i="9" s="1"/>
  <c r="AI14" i="9" a="1"/>
  <c r="AI14" i="9" s="1"/>
  <c r="E48" i="12" a="1"/>
  <c r="E48" i="12" s="1"/>
  <c r="IB12" i="9" a="1"/>
  <c r="IB12" i="9" s="1"/>
  <c r="IC12" i="9" s="1"/>
  <c r="HI12" i="9" a="1"/>
  <c r="HI12" i="9" s="1"/>
  <c r="HJ12" i="9" s="1"/>
  <c r="E28" i="12"/>
  <c r="E47" i="13" a="1"/>
  <c r="E47" i="13" s="1"/>
  <c r="BU12" i="9" a="1"/>
  <c r="BU12" i="9" s="1"/>
  <c r="G20" i="12" a="1"/>
  <c r="G20" i="12" s="1"/>
  <c r="C25" i="28" a="1"/>
  <c r="C25" i="28" s="1"/>
  <c r="A141" i="13" a="1"/>
  <c r="A141" i="13" s="1"/>
  <c r="A62" i="12" a="1"/>
  <c r="A62" i="12" s="1"/>
  <c r="F31" i="12"/>
  <c r="F26" i="12"/>
  <c r="F42" i="13" a="1"/>
  <c r="F42" i="13" s="1"/>
  <c r="F69" i="13" s="1"/>
  <c r="D42" i="12"/>
  <c r="D44" i="12" s="1"/>
  <c r="D82" i="13" s="1" a="1"/>
  <c r="D82" i="13" s="1"/>
  <c r="D81" i="13" a="1"/>
  <c r="D81" i="13" s="1"/>
  <c r="FW14" i="9" a="1"/>
  <c r="FW14" i="9" s="1"/>
  <c r="FX14" i="9" s="1"/>
  <c r="G205" i="22"/>
  <c r="BJ19" i="23" s="1" a="1"/>
  <c r="BJ19" i="23" s="1"/>
  <c r="D67" i="22"/>
  <c r="D69" i="22" s="1"/>
  <c r="F111" i="22"/>
  <c r="F109" i="22"/>
  <c r="Q118" i="20"/>
  <c r="D219" i="22" a="1"/>
  <c r="D219" i="22" s="1"/>
  <c r="D224" i="22" s="1"/>
  <c r="D127" i="22" a="1"/>
  <c r="D127" i="22" s="1"/>
  <c r="Q70" i="20"/>
  <c r="D196" i="22" a="1"/>
  <c r="D196" i="22" s="1"/>
  <c r="Q106" i="20"/>
  <c r="Q58" i="20"/>
  <c r="D104" i="22" a="1"/>
  <c r="D104" i="22" s="1"/>
  <c r="D109" i="22" s="1"/>
  <c r="Q94" i="20"/>
  <c r="D173" i="22" a="1"/>
  <c r="D173" i="22" s="1"/>
  <c r="D178" i="22" s="1"/>
  <c r="D150" i="22" a="1"/>
  <c r="D150" i="22" s="1"/>
  <c r="Q82" i="20"/>
  <c r="Q46" i="20"/>
  <c r="D81" i="22" a="1"/>
  <c r="D81" i="22" s="1"/>
  <c r="D86" i="22" s="1"/>
  <c r="M68" i="22"/>
  <c r="FC13" i="23" s="1" a="1"/>
  <c r="FC13" i="23" s="1"/>
  <c r="FB13" i="23" a="1"/>
  <c r="FB13" i="23" s="1"/>
  <c r="G68" i="22"/>
  <c r="BK13" i="23" s="1" a="1"/>
  <c r="BK13" i="23" s="1"/>
  <c r="BJ13" i="23" a="1"/>
  <c r="BJ13" i="23" s="1"/>
  <c r="N68" i="22"/>
  <c r="FS13" i="23" s="1" a="1"/>
  <c r="FS13" i="23" s="1"/>
  <c r="FR13" i="23" a="1"/>
  <c r="FR13" i="23" s="1"/>
  <c r="J68" i="22"/>
  <c r="DG13" i="23" s="1" a="1"/>
  <c r="DG13" i="23" s="1"/>
  <c r="DF13" i="23" a="1"/>
  <c r="DF13" i="23" s="1"/>
  <c r="M71" i="22"/>
  <c r="M73" i="22" s="1"/>
  <c r="H68" i="22"/>
  <c r="CA13" i="23" s="1" a="1"/>
  <c r="CA13" i="23" s="1"/>
  <c r="BZ13" i="23" a="1"/>
  <c r="BZ13" i="23" s="1"/>
  <c r="L68" i="22"/>
  <c r="EM13" i="23" s="1" a="1"/>
  <c r="EM13" i="23" s="1"/>
  <c r="EL13" i="23" a="1"/>
  <c r="EL13" i="23" s="1"/>
  <c r="F68" i="22"/>
  <c r="AU13" i="23" s="1" a="1"/>
  <c r="AU13" i="23" s="1"/>
  <c r="AT13" i="23" a="1"/>
  <c r="AT13" i="23" s="1"/>
  <c r="E68" i="22"/>
  <c r="AE13" i="23" s="1" a="1"/>
  <c r="AE13" i="23" s="1"/>
  <c r="AD13" i="23" a="1"/>
  <c r="AD13" i="23" s="1"/>
  <c r="O68" i="22"/>
  <c r="GI13" i="23" s="1" a="1"/>
  <c r="GI13" i="23" s="1"/>
  <c r="GH13" i="23" a="1"/>
  <c r="GH13" i="23" s="1"/>
  <c r="K68" i="22"/>
  <c r="DW13" i="23" s="1" a="1"/>
  <c r="DW13" i="23" s="1"/>
  <c r="DV13" i="23" a="1"/>
  <c r="DV13" i="23" s="1"/>
  <c r="I68" i="22"/>
  <c r="CQ13" i="23" s="1" a="1"/>
  <c r="CQ13" i="23" s="1"/>
  <c r="CP13" i="23" a="1"/>
  <c r="CP13" i="23" s="1"/>
  <c r="K71" i="22"/>
  <c r="K73" i="22" s="1"/>
  <c r="O71" i="22"/>
  <c r="O73" i="22" s="1"/>
  <c r="I71" i="22"/>
  <c r="I73" i="22" s="1"/>
  <c r="H71" i="22"/>
  <c r="H73" i="22" s="1"/>
  <c r="J71" i="22"/>
  <c r="J73" i="22" s="1"/>
  <c r="L71" i="22"/>
  <c r="L73" i="22" s="1"/>
  <c r="E71" i="22"/>
  <c r="E73" i="22" s="1"/>
  <c r="F71" i="22"/>
  <c r="G71" i="22"/>
  <c r="G73" i="22" s="1"/>
  <c r="N71" i="22"/>
  <c r="N73" i="22" s="1"/>
  <c r="B175" i="13" a="1"/>
  <c r="B175" i="13" s="1"/>
  <c r="B176" i="13" s="1"/>
  <c r="B146" i="13"/>
  <c r="B147" i="13" s="1"/>
  <c r="B143" i="13"/>
  <c r="B144" i="13" s="1"/>
  <c r="B145" i="13" s="1"/>
  <c r="B102" i="13"/>
  <c r="B97" i="13"/>
  <c r="B114" i="13"/>
  <c r="B115" i="13" s="1"/>
  <c r="B116" i="13" s="1"/>
  <c r="B117" i="13" s="1"/>
  <c r="B118" i="13"/>
  <c r="B119" i="13" s="1"/>
  <c r="B120" i="13" s="1"/>
  <c r="B121" i="13" s="1"/>
  <c r="B122" i="13" s="1"/>
  <c r="B123" i="13" s="1"/>
  <c r="B124" i="13" s="1"/>
  <c r="B125" i="13" s="1"/>
  <c r="B126" i="13" s="1"/>
  <c r="B127" i="13" s="1"/>
  <c r="B128" i="13" s="1"/>
  <c r="B129" i="13" s="1"/>
  <c r="B130" i="13" s="1"/>
  <c r="AA233" i="10"/>
  <c r="AA258" i="10"/>
  <c r="AA259" i="10" s="1"/>
  <c r="AA271" i="10"/>
  <c r="AA246" i="10"/>
  <c r="B76" i="12" a="1"/>
  <c r="B76" i="12" s="1"/>
  <c r="R136" i="12"/>
  <c r="R123" i="12"/>
  <c r="R135" i="12"/>
  <c r="R160" i="12"/>
  <c r="R147" i="12"/>
  <c r="R148" i="12"/>
  <c r="CF388" i="1"/>
  <c r="CE6" i="1" a="1"/>
  <c r="CE6" i="1" s="1"/>
  <c r="CR388" i="1"/>
  <c r="CQ6" i="1" a="1"/>
  <c r="CQ6" i="1" s="1"/>
  <c r="AV5" i="1" a="1"/>
  <c r="AV5" i="1" s="1"/>
  <c r="BA388" i="1"/>
  <c r="M7" i="8"/>
  <c r="O6" i="8"/>
  <c r="P6" i="8" s="1"/>
  <c r="N6" i="8"/>
  <c r="O5" i="6"/>
  <c r="P5" i="6" s="1"/>
  <c r="O6" i="6"/>
  <c r="P6" i="6" s="1"/>
  <c r="M7" i="6"/>
  <c r="N6" i="6"/>
  <c r="S9" i="6"/>
  <c r="R10" i="6"/>
  <c r="R10" i="7"/>
  <c r="S9" i="7"/>
  <c r="O4" i="6"/>
  <c r="P4" i="6" s="1"/>
  <c r="G11" i="7"/>
  <c r="AR117" i="19" l="1"/>
  <c r="AS116" i="19"/>
  <c r="AT116" i="19" s="1" a="1"/>
  <c r="AT116" i="19" s="1"/>
  <c r="K28" i="21"/>
  <c r="K30" i="21" s="1"/>
  <c r="K34" i="22" s="1" a="1"/>
  <c r="K34" i="22" s="1"/>
  <c r="K43" i="22" s="1"/>
  <c r="N28" i="21"/>
  <c r="N30" i="21" s="1"/>
  <c r="N34" i="22" s="1" a="1"/>
  <c r="N34" i="22" s="1"/>
  <c r="N43" i="22" s="1"/>
  <c r="D56" i="21"/>
  <c r="D58" i="21" s="1"/>
  <c r="D80" i="22" s="1" a="1"/>
  <c r="D80" i="22" s="1"/>
  <c r="D89" i="22" s="1"/>
  <c r="D57" i="21"/>
  <c r="D112" i="21"/>
  <c r="D114" i="21" s="1"/>
  <c r="D172" i="22" s="1" a="1"/>
  <c r="D172" i="22" s="1"/>
  <c r="D181" i="22" s="1"/>
  <c r="H28" i="21"/>
  <c r="H30" i="21" s="1"/>
  <c r="H34" i="22" s="1" a="1"/>
  <c r="H34" i="22" s="1"/>
  <c r="H43" i="22" s="1"/>
  <c r="E14" i="21"/>
  <c r="E16" i="21" s="1"/>
  <c r="E11" i="22" s="1" a="1"/>
  <c r="E11" i="22" s="1"/>
  <c r="E20" i="22" s="1"/>
  <c r="E15" i="21"/>
  <c r="AU72" i="19"/>
  <c r="AV71" i="19"/>
  <c r="AW71" i="19" s="1" a="1"/>
  <c r="AW71" i="19" s="1"/>
  <c r="T117" i="19"/>
  <c r="U116" i="19"/>
  <c r="V116" i="19" s="1" a="1"/>
  <c r="V116" i="19" s="1"/>
  <c r="AX87" i="19"/>
  <c r="AY86" i="19"/>
  <c r="AZ86" i="19" s="1" a="1"/>
  <c r="AZ86" i="19" s="1"/>
  <c r="Z87" i="19"/>
  <c r="AA86" i="19"/>
  <c r="AB86" i="19" s="1" a="1"/>
  <c r="AB86" i="19" s="1"/>
  <c r="AR102" i="19"/>
  <c r="AS101" i="19"/>
  <c r="AT101" i="19" s="1" a="1"/>
  <c r="AT101" i="19" s="1"/>
  <c r="AD26" i="19"/>
  <c r="AE26" i="19" s="1" a="1"/>
  <c r="AE26" i="19" s="1"/>
  <c r="AC27" i="19"/>
  <c r="AO12" i="19"/>
  <c r="AP11" i="19"/>
  <c r="AQ11" i="19" s="1" a="1"/>
  <c r="AQ11" i="19" s="1"/>
  <c r="AC147" i="19"/>
  <c r="AD146" i="19"/>
  <c r="AE146" i="19" s="1" a="1"/>
  <c r="AE146" i="19" s="1"/>
  <c r="AF117" i="19"/>
  <c r="AG116" i="19"/>
  <c r="AH116" i="19" s="1" a="1"/>
  <c r="AH116" i="19" s="1"/>
  <c r="AX42" i="19"/>
  <c r="AY41" i="19"/>
  <c r="AZ41" i="19" s="1" a="1"/>
  <c r="AZ41" i="19" s="1"/>
  <c r="AR42" i="19"/>
  <c r="AS41" i="19"/>
  <c r="AT41" i="19" s="1" a="1"/>
  <c r="AT41" i="19" s="1"/>
  <c r="F28" i="21"/>
  <c r="F30" i="21" s="1"/>
  <c r="F34" i="22" s="1" a="1"/>
  <c r="F34" i="22" s="1"/>
  <c r="F43" i="22" s="1"/>
  <c r="E28" i="21"/>
  <c r="E30" i="21" s="1"/>
  <c r="E34" i="22" s="1" a="1"/>
  <c r="E34" i="22" s="1"/>
  <c r="E43" i="22" s="1"/>
  <c r="K70" i="21"/>
  <c r="K72" i="21" s="1"/>
  <c r="K103" i="22" s="1" a="1"/>
  <c r="K103" i="22" s="1"/>
  <c r="K112" i="22" s="1"/>
  <c r="K71" i="21"/>
  <c r="K56" i="21"/>
  <c r="K58" i="21" s="1"/>
  <c r="K80" i="22" s="1" a="1"/>
  <c r="K80" i="22" s="1"/>
  <c r="K89" i="22" s="1"/>
  <c r="K57" i="21"/>
  <c r="N112" i="21"/>
  <c r="N114" i="21" s="1"/>
  <c r="N172" i="22" s="1" a="1"/>
  <c r="N172" i="22" s="1"/>
  <c r="N181" i="22" s="1"/>
  <c r="D14" i="21"/>
  <c r="D16" i="21" s="1"/>
  <c r="D11" i="22" s="1" a="1"/>
  <c r="D11" i="22" s="1"/>
  <c r="AR87" i="19"/>
  <c r="AS86" i="19"/>
  <c r="AT86" i="19" s="1" a="1"/>
  <c r="AT86" i="19" s="1"/>
  <c r="AM11" i="19"/>
  <c r="AN11" i="19" s="1" a="1"/>
  <c r="AN11" i="19" s="1"/>
  <c r="AL12" i="19"/>
  <c r="AO42" i="19"/>
  <c r="AP41" i="19"/>
  <c r="AQ41" i="19" s="1" a="1"/>
  <c r="AQ41" i="19" s="1"/>
  <c r="Z57" i="19"/>
  <c r="AA56" i="19"/>
  <c r="AB56" i="19" s="1" a="1"/>
  <c r="AB56" i="19" s="1"/>
  <c r="Z72" i="19"/>
  <c r="AA71" i="19"/>
  <c r="AB71" i="19" s="1" a="1"/>
  <c r="AB71" i="19" s="1"/>
  <c r="T147" i="19"/>
  <c r="U146" i="19"/>
  <c r="V146" i="19" s="1" a="1"/>
  <c r="V146" i="19" s="1"/>
  <c r="AX117" i="19"/>
  <c r="AY116" i="19"/>
  <c r="AZ116" i="19" s="1" a="1"/>
  <c r="AZ116" i="19" s="1"/>
  <c r="AI12" i="19"/>
  <c r="AJ11" i="19"/>
  <c r="AK11" i="19" s="1" a="1"/>
  <c r="AK11" i="19" s="1"/>
  <c r="BA25" i="19"/>
  <c r="O112" i="21"/>
  <c r="O114" i="21" s="1"/>
  <c r="O172" i="22" s="1" a="1"/>
  <c r="O172" i="22" s="1"/>
  <c r="O181" i="22" s="1"/>
  <c r="G56" i="21"/>
  <c r="G58" i="21" s="1"/>
  <c r="G80" i="22" s="1" a="1"/>
  <c r="G80" i="22" s="1"/>
  <c r="G89" i="22" s="1"/>
  <c r="G70" i="21"/>
  <c r="G72" i="21" s="1"/>
  <c r="G103" i="22" s="1" a="1"/>
  <c r="G103" i="22" s="1"/>
  <c r="G112" i="22" s="1"/>
  <c r="H70" i="21"/>
  <c r="H72" i="21" s="1"/>
  <c r="H103" i="22" s="1" a="1"/>
  <c r="H103" i="22" s="1"/>
  <c r="H112" i="22" s="1"/>
  <c r="H71" i="21"/>
  <c r="F112" i="21"/>
  <c r="F114" i="21" s="1"/>
  <c r="F172" i="22" s="1" a="1"/>
  <c r="F172" i="22" s="1"/>
  <c r="F181" i="22" s="1"/>
  <c r="F113" i="21"/>
  <c r="F14" i="21"/>
  <c r="F16" i="21" s="1"/>
  <c r="F11" i="22" s="1" a="1"/>
  <c r="F11" i="22" s="1"/>
  <c r="F20" i="22" s="1"/>
  <c r="AO132" i="19"/>
  <c r="AP131" i="19"/>
  <c r="AQ131" i="19" s="1" a="1"/>
  <c r="AQ131" i="19" s="1"/>
  <c r="W147" i="19"/>
  <c r="X146" i="19"/>
  <c r="Y146" i="19" s="1" a="1"/>
  <c r="Y146" i="19" s="1"/>
  <c r="AU87" i="19"/>
  <c r="AV86" i="19"/>
  <c r="AW86" i="19" s="1" a="1"/>
  <c r="AW86" i="19" s="1"/>
  <c r="AR57" i="19"/>
  <c r="AS56" i="19"/>
  <c r="AT56" i="19" s="1" a="1"/>
  <c r="AT56" i="19" s="1"/>
  <c r="T27" i="19"/>
  <c r="U26" i="19"/>
  <c r="V26" i="19" s="1" a="1"/>
  <c r="V26" i="19" s="1"/>
  <c r="AU102" i="19"/>
  <c r="AV101" i="19"/>
  <c r="AW101" i="19" s="1" a="1"/>
  <c r="AW101" i="19" s="1"/>
  <c r="AD11" i="19"/>
  <c r="AE11" i="19" s="1" a="1"/>
  <c r="AE11" i="19" s="1"/>
  <c r="AC12" i="19"/>
  <c r="AO87" i="19"/>
  <c r="AP86" i="19"/>
  <c r="AQ86" i="19" s="1" a="1"/>
  <c r="AQ86" i="19" s="1"/>
  <c r="Q12" i="19"/>
  <c r="R11" i="19"/>
  <c r="S11" i="19" s="1" a="1"/>
  <c r="S11" i="19" s="1"/>
  <c r="AX27" i="19"/>
  <c r="AY26" i="19"/>
  <c r="AZ26" i="19" s="1" a="1"/>
  <c r="AZ26" i="19" s="1"/>
  <c r="AF12" i="19"/>
  <c r="AG11" i="19"/>
  <c r="AH11" i="19" s="1" a="1"/>
  <c r="AH11" i="19" s="1"/>
  <c r="W132" i="19"/>
  <c r="X131" i="19"/>
  <c r="Y131" i="19" s="1" a="1"/>
  <c r="Y131" i="19" s="1"/>
  <c r="E140" i="21"/>
  <c r="E142" i="21" s="1"/>
  <c r="E218" i="22" s="1" a="1"/>
  <c r="E218" i="22" s="1"/>
  <c r="E227" i="22" s="1"/>
  <c r="O140" i="21"/>
  <c r="O142" i="21" s="1"/>
  <c r="O218" i="22" s="1" a="1"/>
  <c r="O218" i="22" s="1"/>
  <c r="O227" i="22" s="1"/>
  <c r="D28" i="21"/>
  <c r="D30" i="21" s="1"/>
  <c r="D34" i="22" s="1" a="1"/>
  <c r="D34" i="22" s="1"/>
  <c r="D43" i="22" s="1"/>
  <c r="L140" i="21"/>
  <c r="L142" i="21" s="1"/>
  <c r="L218" i="22" s="1" a="1"/>
  <c r="L218" i="22" s="1"/>
  <c r="L227" i="22" s="1"/>
  <c r="L141" i="21"/>
  <c r="L28" i="21"/>
  <c r="L30" i="21" s="1"/>
  <c r="L34" i="22" s="1" a="1"/>
  <c r="L34" i="22" s="1"/>
  <c r="L43" i="22" s="1"/>
  <c r="L29" i="21"/>
  <c r="D70" i="21"/>
  <c r="D72" i="21" s="1"/>
  <c r="D103" i="22" s="1" a="1"/>
  <c r="D103" i="22" s="1"/>
  <c r="D112" i="22" s="1"/>
  <c r="AC72" i="19"/>
  <c r="AD71" i="19"/>
  <c r="AE71" i="19" s="1" a="1"/>
  <c r="AE71" i="19" s="1"/>
  <c r="AL42" i="19"/>
  <c r="AM41" i="19"/>
  <c r="AN41" i="19" s="1" a="1"/>
  <c r="AN41" i="19" s="1"/>
  <c r="W42" i="19"/>
  <c r="X41" i="19"/>
  <c r="Y41" i="19" s="1" a="1"/>
  <c r="Y41" i="19" s="1"/>
  <c r="U11" i="19"/>
  <c r="V11" i="19" s="1" a="1"/>
  <c r="V11" i="19" s="1"/>
  <c r="T12" i="19"/>
  <c r="AO27" i="19"/>
  <c r="AP26" i="19"/>
  <c r="AQ26" i="19" s="1" a="1"/>
  <c r="AQ26" i="19" s="1"/>
  <c r="Z42" i="19"/>
  <c r="AA41" i="19"/>
  <c r="AB41" i="19" s="1" a="1"/>
  <c r="AB41" i="19" s="1"/>
  <c r="AA11" i="19"/>
  <c r="AB11" i="19" s="1" a="1"/>
  <c r="AB11" i="19" s="1"/>
  <c r="Z12" i="19"/>
  <c r="AI117" i="19"/>
  <c r="AJ116" i="19"/>
  <c r="AK116" i="19" s="1" a="1"/>
  <c r="AK116" i="19" s="1"/>
  <c r="BA145" i="19"/>
  <c r="AL102" i="19"/>
  <c r="AM101" i="19"/>
  <c r="AN101" i="19" s="1" a="1"/>
  <c r="AN101" i="19" s="1"/>
  <c r="AO57" i="19"/>
  <c r="AP56" i="19"/>
  <c r="AQ56" i="19" s="1" a="1"/>
  <c r="AQ56" i="19" s="1"/>
  <c r="O14" i="21"/>
  <c r="O16" i="21" s="1"/>
  <c r="O11" i="22" s="1" a="1"/>
  <c r="O11" i="22" s="1"/>
  <c r="O20" i="22" s="1"/>
  <c r="H14" i="21"/>
  <c r="H16" i="21" s="1"/>
  <c r="H11" i="22" s="1" a="1"/>
  <c r="H11" i="22" s="1"/>
  <c r="H20" i="22" s="1"/>
  <c r="H15" i="21"/>
  <c r="G140" i="21"/>
  <c r="G142" i="21" s="1"/>
  <c r="G218" i="22" s="1" a="1"/>
  <c r="G218" i="22" s="1"/>
  <c r="G227" i="22" s="1"/>
  <c r="G141" i="21"/>
  <c r="L14" i="21"/>
  <c r="L16" i="21" s="1"/>
  <c r="L11" i="22" s="1" a="1"/>
  <c r="L11" i="22" s="1"/>
  <c r="L20" i="22" s="1"/>
  <c r="K112" i="21"/>
  <c r="K114" i="21" s="1"/>
  <c r="K172" i="22" s="1" a="1"/>
  <c r="K172" i="22" s="1"/>
  <c r="K181" i="22" s="1"/>
  <c r="K113" i="21"/>
  <c r="F71" i="21"/>
  <c r="F102" i="22" s="1" a="1"/>
  <c r="F102" i="22" s="1"/>
  <c r="F72" i="21"/>
  <c r="AC87" i="19"/>
  <c r="AD86" i="19"/>
  <c r="AE86" i="19" s="1" a="1"/>
  <c r="AE86" i="19" s="1"/>
  <c r="Z102" i="19"/>
  <c r="AA101" i="19"/>
  <c r="AB101" i="19" s="1" a="1"/>
  <c r="AB101" i="19" s="1"/>
  <c r="AF132" i="19"/>
  <c r="AG131" i="19"/>
  <c r="AH131" i="19" s="1" a="1"/>
  <c r="AH131" i="19" s="1"/>
  <c r="BA130" i="19"/>
  <c r="AX147" i="19"/>
  <c r="AY146" i="19"/>
  <c r="AZ146" i="19" s="1" a="1"/>
  <c r="AZ146" i="19" s="1"/>
  <c r="Q147" i="19"/>
  <c r="R146" i="19"/>
  <c r="S146" i="19" s="1" a="1"/>
  <c r="S146" i="19" s="1"/>
  <c r="AI57" i="19"/>
  <c r="AJ56" i="19"/>
  <c r="AK56" i="19" s="1" a="1"/>
  <c r="AK56" i="19" s="1"/>
  <c r="AL72" i="19"/>
  <c r="AM71" i="19"/>
  <c r="AN71" i="19" s="1" a="1"/>
  <c r="AN71" i="19" s="1"/>
  <c r="Q72" i="19"/>
  <c r="R71" i="19"/>
  <c r="S71" i="19" s="1" a="1"/>
  <c r="S71" i="19" s="1"/>
  <c r="AX132" i="19"/>
  <c r="AY131" i="19"/>
  <c r="AZ131" i="19" s="1" a="1"/>
  <c r="AZ131" i="19" s="1"/>
  <c r="H112" i="21"/>
  <c r="H114" i="21" s="1"/>
  <c r="H172" i="22" s="1" a="1"/>
  <c r="H172" i="22" s="1"/>
  <c r="H181" i="22" s="1"/>
  <c r="M56" i="21"/>
  <c r="M58" i="21" s="1"/>
  <c r="M80" i="22" s="1" a="1"/>
  <c r="M80" i="22" s="1"/>
  <c r="M89" i="22" s="1"/>
  <c r="M57" i="21"/>
  <c r="N56" i="21"/>
  <c r="N58" i="21" s="1"/>
  <c r="N80" i="22" s="1" a="1"/>
  <c r="N80" i="22" s="1"/>
  <c r="N89" i="22" s="1"/>
  <c r="D140" i="21"/>
  <c r="D142" i="21" s="1"/>
  <c r="D218" i="22" s="1" a="1"/>
  <c r="D218" i="22" s="1"/>
  <c r="D227" i="22" s="1"/>
  <c r="K14" i="21"/>
  <c r="K16" i="21" s="1"/>
  <c r="K11" i="22" s="1" a="1"/>
  <c r="K11" i="22" s="1"/>
  <c r="K20" i="22" s="1"/>
  <c r="E70" i="21"/>
  <c r="E72" i="21" s="1"/>
  <c r="E103" i="22" s="1" a="1"/>
  <c r="E103" i="22" s="1"/>
  <c r="E112" i="22" s="1"/>
  <c r="T102" i="19"/>
  <c r="U101" i="19"/>
  <c r="V101" i="19" s="1" a="1"/>
  <c r="V101" i="19" s="1"/>
  <c r="Q27" i="19"/>
  <c r="R26" i="19"/>
  <c r="S26" i="19" s="1" a="1"/>
  <c r="S26" i="19" s="1"/>
  <c r="AV56" i="19"/>
  <c r="AW56" i="19" s="1" a="1"/>
  <c r="AW56" i="19" s="1"/>
  <c r="AU57" i="19"/>
  <c r="W87" i="19"/>
  <c r="X86" i="19"/>
  <c r="Y86" i="19" s="1" a="1"/>
  <c r="Y86" i="19" s="1"/>
  <c r="Q132" i="19"/>
  <c r="R131" i="19"/>
  <c r="S131" i="19" s="1" a="1"/>
  <c r="S131" i="19" s="1"/>
  <c r="AF87" i="19"/>
  <c r="AG86" i="19"/>
  <c r="AH86" i="19" s="1" a="1"/>
  <c r="AH86" i="19" s="1"/>
  <c r="W102" i="19"/>
  <c r="X101" i="19"/>
  <c r="Y101" i="19" s="1" a="1"/>
  <c r="Y101" i="19" s="1"/>
  <c r="AX72" i="19"/>
  <c r="AY71" i="19"/>
  <c r="AZ71" i="19" s="1" a="1"/>
  <c r="AZ71" i="19" s="1"/>
  <c r="I56" i="21"/>
  <c r="I58" i="21" s="1"/>
  <c r="I80" i="22" s="1" a="1"/>
  <c r="I80" i="22" s="1"/>
  <c r="I89" i="22" s="1"/>
  <c r="I28" i="21"/>
  <c r="I30" i="21" s="1"/>
  <c r="I34" i="22" s="1" a="1"/>
  <c r="I34" i="22" s="1"/>
  <c r="I43" i="22" s="1"/>
  <c r="G28" i="21"/>
  <c r="G30" i="21" s="1"/>
  <c r="G34" i="22" s="1" a="1"/>
  <c r="G34" i="22" s="1"/>
  <c r="G43" i="22" s="1"/>
  <c r="O70" i="21"/>
  <c r="O72" i="21" s="1"/>
  <c r="O103" i="22" s="1" a="1"/>
  <c r="O103" i="22" s="1"/>
  <c r="O112" i="22" s="1"/>
  <c r="I112" i="21"/>
  <c r="I114" i="21" s="1"/>
  <c r="I172" i="22" s="1" a="1"/>
  <c r="I172" i="22" s="1"/>
  <c r="I181" i="22" s="1"/>
  <c r="E56" i="21"/>
  <c r="E58" i="21" s="1"/>
  <c r="E80" i="22" s="1" a="1"/>
  <c r="E80" i="22" s="1"/>
  <c r="E89" i="22" s="1"/>
  <c r="E57" i="21"/>
  <c r="AR147" i="19"/>
  <c r="AS146" i="19"/>
  <c r="AT146" i="19" s="1" a="1"/>
  <c r="AT146" i="19" s="1"/>
  <c r="Q57" i="19"/>
  <c r="R56" i="19"/>
  <c r="S56" i="19" s="1" a="1"/>
  <c r="S56" i="19" s="1"/>
  <c r="AL147" i="19"/>
  <c r="AM146" i="19"/>
  <c r="AN146" i="19" s="1" a="1"/>
  <c r="AN146" i="19" s="1"/>
  <c r="AU147" i="19"/>
  <c r="AV146" i="19"/>
  <c r="AW146" i="19" s="1" a="1"/>
  <c r="AW146" i="19" s="1"/>
  <c r="AF57" i="19"/>
  <c r="AG56" i="19"/>
  <c r="AH56" i="19" s="1" a="1"/>
  <c r="AH56" i="19" s="1"/>
  <c r="AC117" i="19"/>
  <c r="AD116" i="19"/>
  <c r="AE116" i="19" s="1" a="1"/>
  <c r="AE116" i="19" s="1"/>
  <c r="AS71" i="19"/>
  <c r="AT71" i="19" s="1" a="1"/>
  <c r="AT71" i="19" s="1"/>
  <c r="AR72" i="19"/>
  <c r="BA70" i="19"/>
  <c r="AI87" i="19"/>
  <c r="AJ86" i="19"/>
  <c r="AK86" i="19" s="1" a="1"/>
  <c r="AK86" i="19" s="1"/>
  <c r="AV41" i="19"/>
  <c r="AW41" i="19" s="1" a="1"/>
  <c r="AW41" i="19" s="1"/>
  <c r="AU42" i="19"/>
  <c r="T57" i="19"/>
  <c r="U56" i="19"/>
  <c r="V56" i="19" s="1" a="1"/>
  <c r="V56" i="19" s="1"/>
  <c r="W27" i="19"/>
  <c r="X26" i="19"/>
  <c r="Y26" i="19" s="1" a="1"/>
  <c r="Y26" i="19" s="1"/>
  <c r="AO147" i="19"/>
  <c r="AP146" i="19"/>
  <c r="AQ146" i="19" s="1" a="1"/>
  <c r="AQ146" i="19" s="1"/>
  <c r="I140" i="21"/>
  <c r="I142" i="21" s="1"/>
  <c r="I218" i="22" s="1" a="1"/>
  <c r="I218" i="22" s="1"/>
  <c r="I227" i="22" s="1"/>
  <c r="I141" i="21"/>
  <c r="O56" i="21"/>
  <c r="O58" i="21" s="1"/>
  <c r="O80" i="22" s="1" a="1"/>
  <c r="O80" i="22" s="1"/>
  <c r="O89" i="22" s="1"/>
  <c r="O57" i="21"/>
  <c r="H56" i="21"/>
  <c r="H58" i="21" s="1"/>
  <c r="H80" i="22" s="1" a="1"/>
  <c r="H80" i="22" s="1"/>
  <c r="H89" i="22" s="1"/>
  <c r="J70" i="21"/>
  <c r="J72" i="21" s="1"/>
  <c r="J103" i="22" s="1" a="1"/>
  <c r="J103" i="22" s="1"/>
  <c r="J112" i="22" s="1"/>
  <c r="J71" i="21"/>
  <c r="M112" i="21"/>
  <c r="M114" i="21" s="1"/>
  <c r="M172" i="22" s="1" a="1"/>
  <c r="M172" i="22" s="1"/>
  <c r="M181" i="22" s="1"/>
  <c r="M113" i="21"/>
  <c r="N140" i="21"/>
  <c r="N142" i="21" s="1"/>
  <c r="N218" i="22" s="1" a="1"/>
  <c r="N218" i="22" s="1"/>
  <c r="N227" i="22" s="1"/>
  <c r="AO117" i="19"/>
  <c r="AP116" i="19"/>
  <c r="AQ116" i="19" s="1" a="1"/>
  <c r="AQ116" i="19" s="1"/>
  <c r="AU12" i="19"/>
  <c r="AV11" i="19"/>
  <c r="AW11" i="19" s="1" a="1"/>
  <c r="AW11" i="19" s="1"/>
  <c r="AU117" i="19"/>
  <c r="AV116" i="19"/>
  <c r="AW116" i="19" s="1" a="1"/>
  <c r="AW116" i="19" s="1"/>
  <c r="AC57" i="19"/>
  <c r="AD56" i="19"/>
  <c r="AE56" i="19" s="1" a="1"/>
  <c r="AE56" i="19" s="1"/>
  <c r="Z27" i="19"/>
  <c r="AA26" i="19"/>
  <c r="AB26" i="19" s="1" a="1"/>
  <c r="AB26" i="19" s="1"/>
  <c r="AF72" i="19"/>
  <c r="AG71" i="19"/>
  <c r="AH71" i="19" s="1" a="1"/>
  <c r="AH71" i="19" s="1"/>
  <c r="AJ26" i="19"/>
  <c r="AK26" i="19" s="1" a="1"/>
  <c r="AK26" i="19" s="1"/>
  <c r="AI27" i="19"/>
  <c r="BA10" i="19"/>
  <c r="AU27" i="19"/>
  <c r="AV26" i="19"/>
  <c r="AW26" i="19" s="1" a="1"/>
  <c r="AW26" i="19" s="1"/>
  <c r="AF27" i="19"/>
  <c r="AG26" i="19"/>
  <c r="AH26" i="19" s="1" a="1"/>
  <c r="AH26" i="19" s="1"/>
  <c r="BA100" i="19"/>
  <c r="BA55" i="19"/>
  <c r="L70" i="21"/>
  <c r="L72" i="21" s="1"/>
  <c r="L103" i="22" s="1" a="1"/>
  <c r="L103" i="22" s="1"/>
  <c r="L112" i="22" s="1"/>
  <c r="M140" i="21"/>
  <c r="M142" i="21" s="1"/>
  <c r="M218" i="22" s="1" a="1"/>
  <c r="M218" i="22" s="1"/>
  <c r="M227" i="22" s="1"/>
  <c r="M141" i="21"/>
  <c r="M70" i="21"/>
  <c r="M72" i="21" s="1"/>
  <c r="M103" i="22" s="1" a="1"/>
  <c r="M103" i="22" s="1"/>
  <c r="M112" i="22" s="1"/>
  <c r="M71" i="21"/>
  <c r="G112" i="21"/>
  <c r="G114" i="21" s="1"/>
  <c r="G172" i="22" s="1" a="1"/>
  <c r="G172" i="22" s="1"/>
  <c r="G181" i="22" s="1"/>
  <c r="H140" i="21"/>
  <c r="H142" i="21" s="1"/>
  <c r="H218" i="22" s="1" a="1"/>
  <c r="H218" i="22" s="1"/>
  <c r="H227" i="22" s="1"/>
  <c r="H141" i="21"/>
  <c r="K140" i="21"/>
  <c r="K142" i="21" s="1"/>
  <c r="K218" i="22" s="1" a="1"/>
  <c r="K218" i="22" s="1"/>
  <c r="K227" i="22" s="1"/>
  <c r="K141" i="21"/>
  <c r="Q42" i="19"/>
  <c r="R41" i="19"/>
  <c r="S41" i="19" s="1" a="1"/>
  <c r="S41" i="19" s="1"/>
  <c r="T72" i="19"/>
  <c r="U71" i="19"/>
  <c r="V71" i="19" s="1" a="1"/>
  <c r="V71" i="19" s="1"/>
  <c r="Z117" i="19"/>
  <c r="AA116" i="19"/>
  <c r="AB116" i="19" s="1" a="1"/>
  <c r="AB116" i="19" s="1"/>
  <c r="AX12" i="19"/>
  <c r="AY11" i="19"/>
  <c r="AZ11" i="19" s="1" a="1"/>
  <c r="AZ11" i="19" s="1"/>
  <c r="W57" i="19"/>
  <c r="X56" i="19"/>
  <c r="Y56" i="19" s="1" a="1"/>
  <c r="Y56" i="19" s="1"/>
  <c r="AC102" i="19"/>
  <c r="AD101" i="19"/>
  <c r="AE101" i="19" s="1" a="1"/>
  <c r="AE101" i="19" s="1"/>
  <c r="AX102" i="19"/>
  <c r="AY101" i="19"/>
  <c r="AZ101" i="19" s="1" a="1"/>
  <c r="AZ101" i="19" s="1"/>
  <c r="AX57" i="19"/>
  <c r="AY56" i="19"/>
  <c r="AZ56" i="19" s="1" a="1"/>
  <c r="AZ56" i="19" s="1"/>
  <c r="BA56" i="19" s="1"/>
  <c r="AL87" i="19"/>
  <c r="AM86" i="19"/>
  <c r="AN86" i="19" s="1" a="1"/>
  <c r="AN86" i="19" s="1"/>
  <c r="AL57" i="19"/>
  <c r="AM56" i="19"/>
  <c r="AN56" i="19" s="1" a="1"/>
  <c r="AN56" i="19" s="1"/>
  <c r="F110" i="22"/>
  <c r="AM26" i="19"/>
  <c r="AN26" i="19" s="1" a="1"/>
  <c r="AN26" i="19" s="1"/>
  <c r="AL27" i="19"/>
  <c r="AO102" i="19"/>
  <c r="AP101" i="19"/>
  <c r="AQ101" i="19" s="1" a="1"/>
  <c r="AQ101" i="19" s="1"/>
  <c r="J140" i="21"/>
  <c r="J142" i="21" s="1"/>
  <c r="J218" i="22" s="1" a="1"/>
  <c r="J218" i="22" s="1"/>
  <c r="J227" i="22" s="1"/>
  <c r="J141" i="21"/>
  <c r="J56" i="21"/>
  <c r="J58" i="21" s="1"/>
  <c r="J80" i="22" s="1" a="1"/>
  <c r="J80" i="22" s="1"/>
  <c r="J89" i="22" s="1"/>
  <c r="J57" i="21"/>
  <c r="F140" i="21"/>
  <c r="F142" i="21" s="1"/>
  <c r="F218" i="22" s="1" a="1"/>
  <c r="F218" i="22" s="1"/>
  <c r="F227" i="22" s="1"/>
  <c r="J28" i="21"/>
  <c r="J30" i="21" s="1"/>
  <c r="J34" i="22" s="1" a="1"/>
  <c r="J34" i="22" s="1"/>
  <c r="J43" i="22" s="1"/>
  <c r="J29" i="21"/>
  <c r="J112" i="21"/>
  <c r="J114" i="21" s="1"/>
  <c r="J172" i="22" s="1" a="1"/>
  <c r="J172" i="22" s="1"/>
  <c r="J181" i="22" s="1"/>
  <c r="O28" i="21"/>
  <c r="O30" i="21" s="1"/>
  <c r="O34" i="22" s="1" a="1"/>
  <c r="O34" i="22" s="1"/>
  <c r="O43" i="22" s="1"/>
  <c r="T42" i="19"/>
  <c r="U41" i="19"/>
  <c r="V41" i="19" s="1" a="1"/>
  <c r="V41" i="19" s="1"/>
  <c r="T87" i="19"/>
  <c r="U86" i="19"/>
  <c r="V86" i="19" s="1" a="1"/>
  <c r="V86" i="19" s="1"/>
  <c r="Z132" i="19"/>
  <c r="AA131" i="19"/>
  <c r="AB131" i="19" s="1" a="1"/>
  <c r="AB131" i="19" s="1"/>
  <c r="AI102" i="19"/>
  <c r="AJ101" i="19"/>
  <c r="AK101" i="19" s="1" a="1"/>
  <c r="AK101" i="19" s="1"/>
  <c r="W72" i="19"/>
  <c r="X71" i="19"/>
  <c r="Y71" i="19" s="1" a="1"/>
  <c r="Y71" i="19" s="1"/>
  <c r="AC132" i="19"/>
  <c r="AD131" i="19"/>
  <c r="AE131" i="19" s="1" a="1"/>
  <c r="AE131" i="19" s="1"/>
  <c r="Q87" i="19"/>
  <c r="R86" i="19"/>
  <c r="S86" i="19" s="1" a="1"/>
  <c r="S86" i="19" s="1"/>
  <c r="BA115" i="19"/>
  <c r="J14" i="21"/>
  <c r="J16" i="21" s="1"/>
  <c r="J11" i="22" s="1" a="1"/>
  <c r="J11" i="22" s="1"/>
  <c r="J20" i="22" s="1"/>
  <c r="M14" i="21"/>
  <c r="M16" i="21" s="1"/>
  <c r="M11" i="22" s="1" a="1"/>
  <c r="M11" i="22" s="1"/>
  <c r="M20" i="22" s="1"/>
  <c r="M15" i="21"/>
  <c r="L56" i="21"/>
  <c r="L58" i="21" s="1"/>
  <c r="L80" i="22" s="1" a="1"/>
  <c r="L80" i="22" s="1"/>
  <c r="L89" i="22" s="1"/>
  <c r="N70" i="21"/>
  <c r="N72" i="21" s="1"/>
  <c r="N103" i="22" s="1" a="1"/>
  <c r="N103" i="22" s="1"/>
  <c r="N112" i="22" s="1"/>
  <c r="N14" i="21"/>
  <c r="N16" i="21" s="1"/>
  <c r="N11" i="22" s="1" a="1"/>
  <c r="N11" i="22" s="1"/>
  <c r="N20" i="22" s="1"/>
  <c r="N15" i="21"/>
  <c r="E112" i="21"/>
  <c r="E114" i="21" s="1"/>
  <c r="E172" i="22" s="1" a="1"/>
  <c r="E172" i="22" s="1"/>
  <c r="E181" i="22" s="1"/>
  <c r="AL117" i="19"/>
  <c r="AM116" i="19"/>
  <c r="AN116" i="19" s="1" a="1"/>
  <c r="AN116" i="19" s="1"/>
  <c r="AL132" i="19"/>
  <c r="AM131" i="19"/>
  <c r="AN131" i="19" s="1" a="1"/>
  <c r="AN131" i="19" s="1"/>
  <c r="AC42" i="19"/>
  <c r="AD41" i="19"/>
  <c r="AE41" i="19" s="1" a="1"/>
  <c r="AE41" i="19" s="1"/>
  <c r="AF42" i="19"/>
  <c r="AG41" i="19"/>
  <c r="AH41" i="19" s="1" a="1"/>
  <c r="AH41" i="19" s="1"/>
  <c r="T132" i="19"/>
  <c r="U131" i="19"/>
  <c r="V131" i="19" s="1" a="1"/>
  <c r="V131" i="19" s="1"/>
  <c r="AI132" i="19"/>
  <c r="AJ131" i="19"/>
  <c r="AK131" i="19" s="1" a="1"/>
  <c r="AK131" i="19" s="1"/>
  <c r="AI42" i="19"/>
  <c r="AJ41" i="19"/>
  <c r="AK41" i="19" s="1" a="1"/>
  <c r="AK41" i="19" s="1"/>
  <c r="AR132" i="19"/>
  <c r="AS131" i="19"/>
  <c r="AT131" i="19" s="1" a="1"/>
  <c r="AT131" i="19" s="1"/>
  <c r="AF102" i="19"/>
  <c r="AG101" i="19"/>
  <c r="AH101" i="19" s="1" a="1"/>
  <c r="AH101" i="19" s="1"/>
  <c r="Q117" i="19"/>
  <c r="R116" i="19"/>
  <c r="S116" i="19" s="1" a="1"/>
  <c r="S116" i="19" s="1"/>
  <c r="AO72" i="19"/>
  <c r="AP71" i="19"/>
  <c r="AQ71" i="19" s="1" a="1"/>
  <c r="AQ71" i="19" s="1"/>
  <c r="AI72" i="19"/>
  <c r="AJ71" i="19"/>
  <c r="AK71" i="19" s="1" a="1"/>
  <c r="AK71" i="19" s="1"/>
  <c r="I70" i="21"/>
  <c r="I72" i="21" s="1"/>
  <c r="I103" i="22" s="1" a="1"/>
  <c r="I103" i="22" s="1"/>
  <c r="I112" i="22" s="1"/>
  <c r="M28" i="21"/>
  <c r="M30" i="21" s="1"/>
  <c r="M34" i="22" s="1" a="1"/>
  <c r="M34" i="22" s="1"/>
  <c r="M43" i="22" s="1"/>
  <c r="M29" i="21"/>
  <c r="F56" i="21"/>
  <c r="F58" i="21" s="1"/>
  <c r="F80" i="22" s="1" a="1"/>
  <c r="F80" i="22" s="1"/>
  <c r="F89" i="22" s="1"/>
  <c r="L112" i="21"/>
  <c r="L114" i="21" s="1"/>
  <c r="L172" i="22" s="1" a="1"/>
  <c r="L172" i="22" s="1"/>
  <c r="L181" i="22" s="1"/>
  <c r="I14" i="21"/>
  <c r="I16" i="21" s="1"/>
  <c r="I11" i="22" s="1" a="1"/>
  <c r="I11" i="22" s="1"/>
  <c r="I20" i="22" s="1"/>
  <c r="I15" i="21"/>
  <c r="G15" i="21"/>
  <c r="G16" i="21"/>
  <c r="G11" i="22" s="1" a="1"/>
  <c r="G11" i="22" s="1"/>
  <c r="G20" i="22" s="1"/>
  <c r="Z147" i="19"/>
  <c r="AA146" i="19"/>
  <c r="AB146" i="19" s="1" a="1"/>
  <c r="AB146" i="19" s="1"/>
  <c r="BA85" i="19"/>
  <c r="AF147" i="19"/>
  <c r="AG146" i="19"/>
  <c r="AH146" i="19" s="1" a="1"/>
  <c r="AH146" i="19" s="1"/>
  <c r="AU132" i="19"/>
  <c r="AV131" i="19"/>
  <c r="AW131" i="19" s="1" a="1"/>
  <c r="AW131" i="19" s="1"/>
  <c r="W117" i="19"/>
  <c r="X116" i="19"/>
  <c r="Y116" i="19" s="1" a="1"/>
  <c r="Y116" i="19" s="1"/>
  <c r="AS26" i="19"/>
  <c r="AT26" i="19" s="1" a="1"/>
  <c r="AT26" i="19" s="1"/>
  <c r="AR27" i="19"/>
  <c r="Q102" i="19"/>
  <c r="R101" i="19"/>
  <c r="S101" i="19" s="1" a="1"/>
  <c r="S101" i="19" s="1"/>
  <c r="AI147" i="19"/>
  <c r="AJ146" i="19"/>
  <c r="AK146" i="19" s="1" a="1"/>
  <c r="AK146" i="19" s="1"/>
  <c r="W12" i="19"/>
  <c r="X11" i="19"/>
  <c r="Y11" i="19" s="1" a="1"/>
  <c r="Y11" i="19" s="1"/>
  <c r="AS11" i="19"/>
  <c r="AT11" i="19" s="1" a="1"/>
  <c r="AT11" i="19" s="1"/>
  <c r="AR12" i="19"/>
  <c r="BA40" i="19"/>
  <c r="F205" i="22"/>
  <c r="AT19" i="23" s="1" a="1"/>
  <c r="AT19" i="23" s="1"/>
  <c r="N205" i="22"/>
  <c r="N207" i="22" s="1"/>
  <c r="M205" i="22"/>
  <c r="FB19" i="23" s="1" a="1"/>
  <c r="FB19" i="23" s="1"/>
  <c r="I205" i="22"/>
  <c r="CP19" i="23" s="1" a="1"/>
  <c r="CP19" i="23" s="1"/>
  <c r="J19" i="25" s="1" a="1"/>
  <c r="J19" i="25" s="1"/>
  <c r="H205" i="22"/>
  <c r="BZ19" i="23" s="1" a="1"/>
  <c r="BZ19" i="23" s="1"/>
  <c r="O205" i="22"/>
  <c r="O207" i="22" s="1"/>
  <c r="K205" i="22"/>
  <c r="DV19" i="23" s="1" a="1"/>
  <c r="DV19" i="23" s="1"/>
  <c r="L19" i="25" s="1" a="1"/>
  <c r="L19" i="25" s="1"/>
  <c r="E205" i="22"/>
  <c r="AD19" i="23" s="1" a="1"/>
  <c r="AD19" i="23" s="1"/>
  <c r="F19" i="25" s="1" a="1"/>
  <c r="F19" i="25" s="1"/>
  <c r="J205" i="22"/>
  <c r="DF19" i="23" s="1" a="1"/>
  <c r="DF19" i="23" s="1"/>
  <c r="L207" i="22"/>
  <c r="EL19" i="23" a="1"/>
  <c r="EL19" i="23" s="1"/>
  <c r="BZ17" i="23" a="1"/>
  <c r="BZ17" i="23" s="1"/>
  <c r="I17" i="25" s="1" a="1"/>
  <c r="I17" i="25" s="1"/>
  <c r="D201" i="22"/>
  <c r="D202" i="22" s="1"/>
  <c r="D205" i="22" s="1"/>
  <c r="N19" i="23" s="1" a="1"/>
  <c r="N19" i="23" s="1"/>
  <c r="D203" i="22"/>
  <c r="D204" i="22" s="1"/>
  <c r="D155" i="22"/>
  <c r="D156" i="22" s="1"/>
  <c r="D157" i="22"/>
  <c r="D158" i="22" s="1"/>
  <c r="GH17" i="23" a="1"/>
  <c r="GH17" i="23" s="1"/>
  <c r="P17" i="25" s="1" a="1"/>
  <c r="P17" i="25" s="1"/>
  <c r="M316" i="13" a="1"/>
  <c r="M316" i="13" s="1"/>
  <c r="M343" i="13" s="1"/>
  <c r="M139" i="12"/>
  <c r="M321" i="13" s="1" a="1"/>
  <c r="M321" i="13" s="1"/>
  <c r="M144" i="12"/>
  <c r="E316" i="13" a="1"/>
  <c r="E316" i="13" s="1"/>
  <c r="E343" i="13" s="1"/>
  <c r="E139" i="12"/>
  <c r="E321" i="13" s="1" a="1"/>
  <c r="E321" i="13" s="1"/>
  <c r="E144" i="12"/>
  <c r="M135" i="12" a="1"/>
  <c r="M135" i="12" s="1"/>
  <c r="M317" i="13" s="1" a="1"/>
  <c r="M317" i="13" s="1"/>
  <c r="E135" i="12" a="1"/>
  <c r="E135" i="12" s="1"/>
  <c r="E317" i="13" s="1" a="1"/>
  <c r="E317" i="13" s="1"/>
  <c r="L135" i="12" a="1"/>
  <c r="L135" i="12" s="1"/>
  <c r="L317" i="13" s="1" a="1"/>
  <c r="L317" i="13" s="1"/>
  <c r="D135" i="12" a="1"/>
  <c r="D135" i="12" s="1"/>
  <c r="D317" i="13" s="1" a="1"/>
  <c r="D317" i="13" s="1"/>
  <c r="K135" i="12" a="1"/>
  <c r="K135" i="12" s="1"/>
  <c r="K317" i="13" s="1" a="1"/>
  <c r="K317" i="13" s="1"/>
  <c r="J135" i="12" a="1"/>
  <c r="J135" i="12" s="1"/>
  <c r="J317" i="13" s="1" a="1"/>
  <c r="J317" i="13" s="1"/>
  <c r="I135" i="12" a="1"/>
  <c r="I135" i="12" s="1"/>
  <c r="I317" i="13" s="1" a="1"/>
  <c r="I317" i="13" s="1"/>
  <c r="H135" i="12" a="1"/>
  <c r="H135" i="12" s="1"/>
  <c r="H317" i="13" s="1" a="1"/>
  <c r="H317" i="13" s="1"/>
  <c r="N135" i="12" a="1"/>
  <c r="N135" i="12" s="1"/>
  <c r="N317" i="13" s="1" a="1"/>
  <c r="N317" i="13" s="1"/>
  <c r="F135" i="12" a="1"/>
  <c r="F135" i="12" s="1"/>
  <c r="F317" i="13" s="1" a="1"/>
  <c r="F317" i="13" s="1"/>
  <c r="O135" i="12" a="1"/>
  <c r="O135" i="12" s="1"/>
  <c r="O317" i="13" s="1" a="1"/>
  <c r="O317" i="13" s="1"/>
  <c r="G135" i="12" a="1"/>
  <c r="G135" i="12" s="1"/>
  <c r="G317" i="13" s="1" a="1"/>
  <c r="G317" i="13" s="1"/>
  <c r="F316" i="13" a="1"/>
  <c r="F316" i="13" s="1"/>
  <c r="F343" i="13" s="1"/>
  <c r="F139" i="12"/>
  <c r="F321" i="13" s="1" a="1"/>
  <c r="F321" i="13" s="1"/>
  <c r="F144" i="12"/>
  <c r="N316" i="13" a="1"/>
  <c r="N316" i="13" s="1"/>
  <c r="N343" i="13" s="1"/>
  <c r="N139" i="12"/>
  <c r="N321" i="13" s="1" a="1"/>
  <c r="N321" i="13" s="1"/>
  <c r="N144" i="12"/>
  <c r="I136" i="12" a="1"/>
  <c r="I136" i="12" s="1"/>
  <c r="H136" i="12" a="1"/>
  <c r="H136" i="12" s="1"/>
  <c r="O136" i="12" a="1"/>
  <c r="O136" i="12" s="1"/>
  <c r="G136" i="12" a="1"/>
  <c r="G136" i="12" s="1"/>
  <c r="N136" i="12" a="1"/>
  <c r="N136" i="12" s="1"/>
  <c r="F136" i="12" a="1"/>
  <c r="F136" i="12" s="1"/>
  <c r="M136" i="12" a="1"/>
  <c r="M136" i="12" s="1"/>
  <c r="E136" i="12" a="1"/>
  <c r="E136" i="12" s="1"/>
  <c r="L136" i="12" a="1"/>
  <c r="L136" i="12" s="1"/>
  <c r="D136" i="12" a="1"/>
  <c r="D136" i="12" s="1"/>
  <c r="J136" i="12" a="1"/>
  <c r="J136" i="12" s="1"/>
  <c r="K136" i="12" a="1"/>
  <c r="K136" i="12" s="1"/>
  <c r="K316" i="13" a="1"/>
  <c r="K316" i="13" s="1"/>
  <c r="K343" i="13" s="1"/>
  <c r="K144" i="12"/>
  <c r="K139" i="12"/>
  <c r="K321" i="13" s="1" a="1"/>
  <c r="K321" i="13" s="1"/>
  <c r="G316" i="13" a="1"/>
  <c r="G316" i="13" s="1"/>
  <c r="G343" i="13" s="1"/>
  <c r="G139" i="12"/>
  <c r="G321" i="13" s="1" a="1"/>
  <c r="G321" i="13" s="1"/>
  <c r="G144" i="12"/>
  <c r="J316" i="13" a="1"/>
  <c r="J316" i="13" s="1"/>
  <c r="J343" i="13" s="1"/>
  <c r="J144" i="12"/>
  <c r="J139" i="12"/>
  <c r="J321" i="13" s="1" a="1"/>
  <c r="J321" i="13" s="1"/>
  <c r="O316" i="13" a="1"/>
  <c r="O316" i="13" s="1"/>
  <c r="O343" i="13" s="1"/>
  <c r="O139" i="12"/>
  <c r="O321" i="13" s="1" a="1"/>
  <c r="O321" i="13" s="1"/>
  <c r="O144" i="12"/>
  <c r="D316" i="13" a="1"/>
  <c r="D316" i="13" s="1"/>
  <c r="D343" i="13" s="1"/>
  <c r="D144" i="12"/>
  <c r="D139" i="12"/>
  <c r="D321" i="13" s="1" a="1"/>
  <c r="D321" i="13" s="1"/>
  <c r="H316" i="13" a="1"/>
  <c r="H316" i="13" s="1"/>
  <c r="H343" i="13" s="1"/>
  <c r="H144" i="12"/>
  <c r="H139" i="12"/>
  <c r="H321" i="13" s="1" a="1"/>
  <c r="H321" i="13" s="1"/>
  <c r="M147" i="12" a="1"/>
  <c r="M147" i="12" s="1"/>
  <c r="E147" i="12" a="1"/>
  <c r="E147" i="12" s="1"/>
  <c r="L147" i="12" a="1"/>
  <c r="L147" i="12" s="1"/>
  <c r="D147" i="12" a="1"/>
  <c r="D147" i="12" s="1"/>
  <c r="K147" i="12" a="1"/>
  <c r="K147" i="12" s="1"/>
  <c r="J147" i="12" a="1"/>
  <c r="J147" i="12" s="1"/>
  <c r="I147" i="12" a="1"/>
  <c r="I147" i="12" s="1"/>
  <c r="H147" i="12" a="1"/>
  <c r="H147" i="12" s="1"/>
  <c r="N147" i="12" a="1"/>
  <c r="N147" i="12" s="1"/>
  <c r="F147" i="12" a="1"/>
  <c r="F147" i="12" s="1"/>
  <c r="O147" i="12" a="1"/>
  <c r="O147" i="12" s="1"/>
  <c r="G147" i="12" a="1"/>
  <c r="G147" i="12" s="1"/>
  <c r="M123" i="12" a="1"/>
  <c r="M123" i="12" s="1"/>
  <c r="E123" i="12" a="1"/>
  <c r="E123" i="12" s="1"/>
  <c r="L123" i="12" a="1"/>
  <c r="L123" i="12" s="1"/>
  <c r="D123" i="12" a="1"/>
  <c r="D123" i="12" s="1"/>
  <c r="K123" i="12" a="1"/>
  <c r="K123" i="12" s="1"/>
  <c r="J123" i="12" a="1"/>
  <c r="J123" i="12" s="1"/>
  <c r="I123" i="12" a="1"/>
  <c r="I123" i="12" s="1"/>
  <c r="H123" i="12" a="1"/>
  <c r="H123" i="12" s="1"/>
  <c r="N123" i="12" a="1"/>
  <c r="N123" i="12" s="1"/>
  <c r="F123" i="12" a="1"/>
  <c r="F123" i="12" s="1"/>
  <c r="O123" i="12" a="1"/>
  <c r="O123" i="12" s="1"/>
  <c r="G123" i="12" a="1"/>
  <c r="G123" i="12" s="1"/>
  <c r="L316" i="13" a="1"/>
  <c r="L316" i="13" s="1"/>
  <c r="L343" i="13" s="1"/>
  <c r="L144" i="12"/>
  <c r="L139" i="12"/>
  <c r="L321" i="13" s="1" a="1"/>
  <c r="L321" i="13" s="1"/>
  <c r="I316" i="13" a="1"/>
  <c r="I316" i="13" s="1"/>
  <c r="I343" i="13" s="1"/>
  <c r="I144" i="12"/>
  <c r="I139" i="12"/>
  <c r="I321" i="13" s="1" a="1"/>
  <c r="I321" i="13" s="1"/>
  <c r="BJ17" i="23" a="1"/>
  <c r="BJ17" i="23" s="1"/>
  <c r="H17" i="25" s="1" a="1"/>
  <c r="H17" i="25" s="1"/>
  <c r="G22" i="12" a="1"/>
  <c r="G22" i="12" s="1"/>
  <c r="G43" i="13" s="1" a="1"/>
  <c r="G43" i="13" s="1"/>
  <c r="CJ12" i="9" s="1" a="1"/>
  <c r="CJ12" i="9" s="1"/>
  <c r="D33" i="12"/>
  <c r="D92" i="12" a="1"/>
  <c r="D92" i="12" s="1"/>
  <c r="D213" i="13" s="1" a="1"/>
  <c r="D213" i="13" s="1"/>
  <c r="AE17" i="9" s="1" a="1"/>
  <c r="AE17" i="9" s="1"/>
  <c r="D90" i="12" a="1"/>
  <c r="D90" i="12" s="1"/>
  <c r="C27" i="28" a="1"/>
  <c r="C27" i="28" s="1"/>
  <c r="A209" i="13" a="1"/>
  <c r="A209" i="13" s="1"/>
  <c r="A90" i="12" a="1"/>
  <c r="A90" i="12" s="1"/>
  <c r="H22" i="12" a="1"/>
  <c r="H22" i="12" s="1"/>
  <c r="H43" i="13" s="1" a="1"/>
  <c r="H43" i="13" s="1"/>
  <c r="DC12" i="9" s="1" a="1"/>
  <c r="DC12" i="9" s="1"/>
  <c r="CN12" i="9" a="1"/>
  <c r="CN12" i="9" s="1"/>
  <c r="H20" i="12" a="1"/>
  <c r="H20" i="12" s="1"/>
  <c r="E42" i="12"/>
  <c r="E44" i="12" s="1"/>
  <c r="E82" i="13" s="1" a="1"/>
  <c r="E82" i="13" s="1"/>
  <c r="E81" i="13" a="1"/>
  <c r="E81" i="13" s="1"/>
  <c r="C26" i="28" a="1"/>
  <c r="C26" i="28" s="1"/>
  <c r="A175" i="13" a="1"/>
  <c r="A175" i="13" s="1"/>
  <c r="A76" i="12" a="1"/>
  <c r="A76" i="12" s="1"/>
  <c r="F28" i="12"/>
  <c r="F47" i="13" a="1"/>
  <c r="F47" i="13" s="1"/>
  <c r="F50" i="12" a="1"/>
  <c r="F50" i="12" s="1"/>
  <c r="F111" i="13" s="1" a="1"/>
  <c r="F111" i="13" s="1"/>
  <c r="BQ14" i="9" s="1" a="1"/>
  <c r="BQ14" i="9" s="1"/>
  <c r="BB14" i="9" a="1"/>
  <c r="BB14" i="9" s="1"/>
  <c r="F48" i="12" a="1"/>
  <c r="F48" i="12" s="1"/>
  <c r="D73" i="12"/>
  <c r="D68" i="12"/>
  <c r="D144" i="13" a="1"/>
  <c r="D144" i="13" s="1"/>
  <c r="D171" i="13" s="1"/>
  <c r="F45" i="12"/>
  <c r="F40" i="12"/>
  <c r="F76" i="13" a="1"/>
  <c r="F76" i="13" s="1"/>
  <c r="F103" i="13" s="1"/>
  <c r="D78" i="12" a="1"/>
  <c r="D78" i="12" s="1"/>
  <c r="D179" i="13" s="1" a="1"/>
  <c r="D179" i="13" s="1"/>
  <c r="AE16" i="9" s="1" a="1"/>
  <c r="AE16" i="9" s="1"/>
  <c r="D76" i="12" a="1"/>
  <c r="D76" i="12" s="1"/>
  <c r="E29" i="12"/>
  <c r="E46" i="13" s="1" a="1"/>
  <c r="E46" i="13" s="1"/>
  <c r="E30" i="12"/>
  <c r="BU13" i="9" a="1"/>
  <c r="BU13" i="9" s="1"/>
  <c r="G36" i="12" a="1"/>
  <c r="G36" i="12" s="1"/>
  <c r="G77" i="13" s="1" a="1"/>
  <c r="G77" i="13" s="1"/>
  <c r="CJ13" i="9" s="1" a="1"/>
  <c r="CJ13" i="9" s="1"/>
  <c r="G34" i="12" a="1"/>
  <c r="G34" i="12" s="1"/>
  <c r="E64" i="12" a="1"/>
  <c r="E64" i="12" s="1"/>
  <c r="E145" i="13" s="1" a="1"/>
  <c r="E145" i="13" s="1"/>
  <c r="AX15" i="9" s="1" a="1"/>
  <c r="AX15" i="9" s="1"/>
  <c r="AI15" i="9" a="1"/>
  <c r="AI15" i="9" s="1"/>
  <c r="E62" i="12" a="1"/>
  <c r="E62" i="12" s="1"/>
  <c r="HI13" i="9" a="1"/>
  <c r="HI13" i="9" s="1"/>
  <c r="HJ13" i="9" s="1"/>
  <c r="GP14" i="9" a="1"/>
  <c r="GP14" i="9" s="1"/>
  <c r="GQ14" i="9" s="1"/>
  <c r="FW15" i="9" a="1"/>
  <c r="FW15" i="9" s="1"/>
  <c r="FX15" i="9" s="1"/>
  <c r="D43" i="12"/>
  <c r="G31" i="12"/>
  <c r="G26" i="12"/>
  <c r="G42" i="13" a="1"/>
  <c r="G42" i="13" s="1"/>
  <c r="G69" i="13" s="1"/>
  <c r="E59" i="12"/>
  <c r="E54" i="12"/>
  <c r="E110" i="13" a="1"/>
  <c r="E110" i="13" s="1"/>
  <c r="E137" i="13" s="1"/>
  <c r="D56" i="12"/>
  <c r="D58" i="12" s="1"/>
  <c r="D116" i="13" s="1" a="1"/>
  <c r="D116" i="13" s="1"/>
  <c r="D115" i="13" a="1"/>
  <c r="D115" i="13" s="1"/>
  <c r="F206" i="22"/>
  <c r="AU19" i="23" s="1" a="1"/>
  <c r="AU19" i="23" s="1"/>
  <c r="F209" i="22"/>
  <c r="H206" i="22"/>
  <c r="CA19" i="23" s="1" a="1"/>
  <c r="CA19" i="23" s="1"/>
  <c r="H209" i="22"/>
  <c r="F207" i="22"/>
  <c r="H207" i="22"/>
  <c r="E206" i="22"/>
  <c r="AE19" i="23" s="1" a="1"/>
  <c r="AE19" i="23" s="1"/>
  <c r="N209" i="22"/>
  <c r="N211" i="22" s="1"/>
  <c r="FT19" i="23" s="1" a="1"/>
  <c r="FT19" i="23" s="1"/>
  <c r="L206" i="22"/>
  <c r="EM19" i="23" s="1" a="1"/>
  <c r="EM19" i="23" s="1"/>
  <c r="L209" i="22"/>
  <c r="M206" i="22"/>
  <c r="FC19" i="23" s="1" a="1"/>
  <c r="FC19" i="23" s="1"/>
  <c r="M209" i="22"/>
  <c r="J206" i="22"/>
  <c r="DG19" i="23" s="1" a="1"/>
  <c r="DG19" i="23" s="1"/>
  <c r="J209" i="22"/>
  <c r="M207" i="22"/>
  <c r="J207" i="22"/>
  <c r="G206" i="22"/>
  <c r="BK19" i="23" s="1" a="1"/>
  <c r="BK19" i="23" s="1"/>
  <c r="G209" i="22"/>
  <c r="K206" i="22"/>
  <c r="DW19" i="23" s="1" a="1"/>
  <c r="DW19" i="23" s="1"/>
  <c r="K209" i="22"/>
  <c r="G207" i="22"/>
  <c r="K160" i="22"/>
  <c r="DW17" i="23" s="1" a="1"/>
  <c r="DW17" i="23" s="1"/>
  <c r="K163" i="22"/>
  <c r="E160" i="22"/>
  <c r="AE17" i="23" s="1" a="1"/>
  <c r="AE17" i="23" s="1"/>
  <c r="E163" i="22"/>
  <c r="K161" i="22"/>
  <c r="E161" i="22"/>
  <c r="L160" i="22"/>
  <c r="EM17" i="23" s="1" a="1"/>
  <c r="EM17" i="23" s="1"/>
  <c r="L163" i="22"/>
  <c r="EL17" i="23" a="1"/>
  <c r="EL17" i="23" s="1"/>
  <c r="M17" i="25" s="1" a="1"/>
  <c r="M17" i="25" s="1"/>
  <c r="J160" i="22"/>
  <c r="DG17" i="23" s="1" a="1"/>
  <c r="DG17" i="23" s="1"/>
  <c r="J163" i="22"/>
  <c r="J165" i="22" s="1"/>
  <c r="DH17" i="23" s="1" a="1"/>
  <c r="DH17" i="23" s="1"/>
  <c r="DF17" i="23" a="1"/>
  <c r="DF17" i="23" s="1"/>
  <c r="K17" i="25" s="1" a="1"/>
  <c r="K17" i="25" s="1"/>
  <c r="O160" i="22"/>
  <c r="GI17" i="23" s="1" a="1"/>
  <c r="GI17" i="23" s="1"/>
  <c r="O163" i="22"/>
  <c r="O165" i="22" s="1"/>
  <c r="GJ17" i="23" s="1" a="1"/>
  <c r="GJ17" i="23" s="1"/>
  <c r="L161" i="22"/>
  <c r="N160" i="22"/>
  <c r="FS17" i="23" s="1" a="1"/>
  <c r="FS17" i="23" s="1"/>
  <c r="N163" i="22"/>
  <c r="D159" i="22"/>
  <c r="D161" i="22" s="1"/>
  <c r="M160" i="22"/>
  <c r="FC17" i="23" s="1" a="1"/>
  <c r="FC17" i="23" s="1"/>
  <c r="FB17" i="23" a="1"/>
  <c r="FB17" i="23" s="1"/>
  <c r="N17" i="25" s="1" a="1"/>
  <c r="N17" i="25" s="1"/>
  <c r="M163" i="22"/>
  <c r="F160" i="22"/>
  <c r="AU17" i="23" s="1" a="1"/>
  <c r="AU17" i="23" s="1"/>
  <c r="F163" i="22"/>
  <c r="AT17" i="23" a="1"/>
  <c r="AT17" i="23" s="1"/>
  <c r="G17" i="25" s="1" a="1"/>
  <c r="G17" i="25" s="1"/>
  <c r="N161" i="22"/>
  <c r="N165" i="22" s="1"/>
  <c r="M161" i="22"/>
  <c r="F161" i="22"/>
  <c r="I160" i="22"/>
  <c r="CQ17" i="23" s="1" a="1"/>
  <c r="CQ17" i="23" s="1"/>
  <c r="I163" i="22"/>
  <c r="G160" i="22"/>
  <c r="BK17" i="23" s="1" a="1"/>
  <c r="BK17" i="23" s="1"/>
  <c r="G163" i="22"/>
  <c r="G165" i="22" s="1"/>
  <c r="BL17" i="23" s="1" a="1"/>
  <c r="BL17" i="23" s="1"/>
  <c r="H160" i="22"/>
  <c r="CA17" i="23" s="1" a="1"/>
  <c r="CA17" i="23" s="1"/>
  <c r="H163" i="22"/>
  <c r="H165" i="22" s="1"/>
  <c r="CB17" i="23" s="1" a="1"/>
  <c r="CB17" i="23" s="1"/>
  <c r="I161" i="22"/>
  <c r="H13" i="25" a="1"/>
  <c r="H13" i="25" s="1"/>
  <c r="J13" i="25" a="1"/>
  <c r="J13" i="25" s="1"/>
  <c r="H19" i="25" a="1"/>
  <c r="H19" i="25" s="1"/>
  <c r="F13" i="25" a="1"/>
  <c r="F13" i="25" s="1"/>
  <c r="P13" i="25" a="1"/>
  <c r="P13" i="25" s="1"/>
  <c r="M13" i="25" a="1"/>
  <c r="M13" i="25" s="1"/>
  <c r="K19" i="25" a="1"/>
  <c r="K19" i="25" s="1"/>
  <c r="G19" i="25" a="1"/>
  <c r="G19" i="25" s="1"/>
  <c r="I13" i="25" a="1"/>
  <c r="I13" i="25" s="1"/>
  <c r="N13" i="25" a="1"/>
  <c r="N13" i="25" s="1"/>
  <c r="M19" i="25" a="1"/>
  <c r="M19" i="25" s="1"/>
  <c r="L13" i="25" a="1"/>
  <c r="L13" i="25" s="1"/>
  <c r="F17" i="25" a="1"/>
  <c r="F17" i="25" s="1"/>
  <c r="N19" i="25" a="1"/>
  <c r="N19" i="25" s="1"/>
  <c r="O13" i="25" a="1"/>
  <c r="O13" i="25" s="1"/>
  <c r="K13" i="25" a="1"/>
  <c r="K13" i="25" s="1"/>
  <c r="J17" i="25" a="1"/>
  <c r="J17" i="25" s="1"/>
  <c r="I19" i="25" a="1"/>
  <c r="I19" i="25" s="1"/>
  <c r="L17" i="25" a="1"/>
  <c r="L17" i="25" s="1"/>
  <c r="G13" i="25" a="1"/>
  <c r="G13" i="25" s="1"/>
  <c r="O17" i="25" a="1"/>
  <c r="O17" i="25" s="1"/>
  <c r="F73" i="22"/>
  <c r="AV13" i="23" s="1" a="1"/>
  <c r="AV13" i="23" s="1"/>
  <c r="FT13" i="23" a="1"/>
  <c r="FT13" i="23" s="1"/>
  <c r="FV13" i="23" s="1" a="1"/>
  <c r="FV13" i="23" s="1"/>
  <c r="FD13" i="23" a="1"/>
  <c r="FD13" i="23" s="1"/>
  <c r="DH13" i="23" a="1"/>
  <c r="DH13" i="23" s="1"/>
  <c r="DJ13" i="23" s="1" a="1"/>
  <c r="DJ13" i="23" s="1"/>
  <c r="FT17" i="23" a="1"/>
  <c r="FT17" i="23" s="1"/>
  <c r="GJ13" i="23" a="1"/>
  <c r="GJ13" i="23" s="1"/>
  <c r="GL13" i="23" s="1" a="1"/>
  <c r="GL13" i="23" s="1"/>
  <c r="EN13" i="23" a="1"/>
  <c r="EN13" i="23" s="1"/>
  <c r="EP13" i="23" s="1" a="1"/>
  <c r="EP13" i="23" s="1"/>
  <c r="D68" i="22"/>
  <c r="O13" i="23" s="1" a="1"/>
  <c r="O13" i="23" s="1"/>
  <c r="N13" i="23" a="1"/>
  <c r="N13" i="23" s="1"/>
  <c r="BL13" i="23" a="1"/>
  <c r="BL13" i="23" s="1"/>
  <c r="AF13" i="23" a="1"/>
  <c r="AF13" i="23" s="1"/>
  <c r="AK13" i="23" s="1" a="1"/>
  <c r="AK13" i="23" s="1"/>
  <c r="DX13" i="23" a="1"/>
  <c r="DX13" i="23" s="1"/>
  <c r="EC13" i="23" s="1" a="1"/>
  <c r="EC13" i="23" s="1"/>
  <c r="CB13" i="23" a="1"/>
  <c r="CB13" i="23" s="1"/>
  <c r="CD13" i="23" s="1" a="1"/>
  <c r="CD13" i="23" s="1"/>
  <c r="CR13" i="23" a="1"/>
  <c r="CR13" i="23" s="1"/>
  <c r="CT13" i="23" s="1" a="1"/>
  <c r="CT13" i="23" s="1"/>
  <c r="D71" i="22"/>
  <c r="D73" i="22" s="1"/>
  <c r="B98" i="13"/>
  <c r="B99" i="13" s="1"/>
  <c r="B100" i="13" s="1"/>
  <c r="B101" i="13" s="1"/>
  <c r="B103" i="13"/>
  <c r="B104" i="13" s="1"/>
  <c r="B105" i="13" s="1"/>
  <c r="B106" i="13" s="1"/>
  <c r="B148" i="13"/>
  <c r="B149" i="13" s="1"/>
  <c r="B150" i="13" s="1"/>
  <c r="B151" i="13" s="1"/>
  <c r="B152" i="13"/>
  <c r="B153" i="13" s="1"/>
  <c r="B154" i="13" s="1"/>
  <c r="B155" i="13" s="1"/>
  <c r="B156" i="13" s="1"/>
  <c r="B157" i="13" s="1"/>
  <c r="B158" i="13" s="1"/>
  <c r="B159" i="13" s="1"/>
  <c r="B160" i="13" s="1"/>
  <c r="B161" i="13" s="1"/>
  <c r="B162" i="13" s="1"/>
  <c r="B163" i="13" s="1"/>
  <c r="B164" i="13" s="1"/>
  <c r="B209" i="13" a="1"/>
  <c r="B209" i="13" s="1"/>
  <c r="B210" i="13" s="1"/>
  <c r="B131" i="13"/>
  <c r="B136" i="13"/>
  <c r="B177" i="13"/>
  <c r="B178" i="13" s="1"/>
  <c r="B179" i="13" s="1"/>
  <c r="B180" i="13"/>
  <c r="B181" i="13" s="1"/>
  <c r="AA285" i="10"/>
  <c r="AA272" i="10"/>
  <c r="AA273" i="10" s="1"/>
  <c r="AA260" i="10"/>
  <c r="AA247" i="10"/>
  <c r="B90" i="12" a="1"/>
  <c r="B90" i="12" s="1"/>
  <c r="R150" i="12"/>
  <c r="R162" i="12"/>
  <c r="R174" i="12"/>
  <c r="R161" i="12"/>
  <c r="R137" i="12"/>
  <c r="R149" i="12"/>
  <c r="CR6" i="1" a="1"/>
  <c r="CR6" i="1" s="1"/>
  <c r="CS388" i="1"/>
  <c r="BF388" i="1"/>
  <c r="BA5" i="1" a="1"/>
  <c r="BA5" i="1" s="1"/>
  <c r="CG388" i="1"/>
  <c r="CF6" i="1" a="1"/>
  <c r="CF6" i="1" s="1"/>
  <c r="G12" i="7"/>
  <c r="M8" i="6"/>
  <c r="O7" i="6"/>
  <c r="P7" i="6" s="1"/>
  <c r="N7" i="6"/>
  <c r="R11" i="7"/>
  <c r="S10" i="7"/>
  <c r="R11" i="6"/>
  <c r="S10" i="6"/>
  <c r="O7" i="8"/>
  <c r="P7" i="8" s="1"/>
  <c r="M8" i="8"/>
  <c r="N7" i="8"/>
  <c r="AU133" i="19" l="1"/>
  <c r="AV132" i="19"/>
  <c r="AW132" i="19" s="1" a="1"/>
  <c r="AW132" i="19" s="1"/>
  <c r="F57" i="21"/>
  <c r="L57" i="21"/>
  <c r="J113" i="21"/>
  <c r="AM27" i="19"/>
  <c r="AN27" i="19" s="1" a="1"/>
  <c r="AN27" i="19" s="1"/>
  <c r="AL28" i="19"/>
  <c r="AC103" i="19"/>
  <c r="AD102" i="19"/>
  <c r="AE102" i="19" s="1" a="1"/>
  <c r="AE102" i="19" s="1"/>
  <c r="K217" i="22" a="1"/>
  <c r="K217" i="22" s="1"/>
  <c r="K225" i="22" s="1"/>
  <c r="K228" i="22" s="1"/>
  <c r="K145" i="21"/>
  <c r="EF20" i="23" s="1" a="1"/>
  <c r="EF20" i="23" s="1"/>
  <c r="EG20" i="23" s="1"/>
  <c r="M117" i="21"/>
  <c r="FL18" i="23" s="1" a="1"/>
  <c r="FL18" i="23" s="1"/>
  <c r="FM18" i="23" s="1"/>
  <c r="M171" i="22" a="1"/>
  <c r="M171" i="22" s="1"/>
  <c r="M179" i="22" s="1"/>
  <c r="M182" i="22" s="1"/>
  <c r="AC118" i="19"/>
  <c r="AD117" i="19"/>
  <c r="AE117" i="19" s="1" a="1"/>
  <c r="AE117" i="19" s="1"/>
  <c r="AX73" i="19"/>
  <c r="AY72" i="19"/>
  <c r="AZ72" i="19" s="1" a="1"/>
  <c r="AZ72" i="19" s="1"/>
  <c r="Q28" i="19"/>
  <c r="R27" i="19"/>
  <c r="S27" i="19" s="1" a="1"/>
  <c r="S27" i="19" s="1"/>
  <c r="BA146" i="19"/>
  <c r="F75" i="21"/>
  <c r="BD15" i="23" s="1" a="1"/>
  <c r="BD15" i="23" s="1"/>
  <c r="BE15" i="23" s="1"/>
  <c r="F103" i="22" a="1"/>
  <c r="F103" i="22" s="1"/>
  <c r="F112" i="22" s="1"/>
  <c r="F113" i="22" s="1"/>
  <c r="F115" i="22" s="1"/>
  <c r="AO28" i="19"/>
  <c r="AP27" i="19"/>
  <c r="AQ27" i="19" s="1" a="1"/>
  <c r="AQ27" i="19" s="1"/>
  <c r="AF13" i="19"/>
  <c r="AG12" i="19"/>
  <c r="AH12" i="19" s="1" a="1"/>
  <c r="AH12" i="19" s="1"/>
  <c r="T28" i="19"/>
  <c r="U27" i="19"/>
  <c r="V27" i="19" s="1" a="1"/>
  <c r="V27" i="19" s="1"/>
  <c r="F29" i="21"/>
  <c r="AC28" i="19"/>
  <c r="AD27" i="19"/>
  <c r="AE27" i="19" s="1" a="1"/>
  <c r="AE27" i="19" s="1"/>
  <c r="E19" i="21"/>
  <c r="AN11" i="23" s="1" a="1"/>
  <c r="AN11" i="23" s="1"/>
  <c r="AO11" i="23" s="1"/>
  <c r="E10" i="22" a="1"/>
  <c r="E10" i="22" s="1"/>
  <c r="E18" i="22" s="1"/>
  <c r="F117" i="21"/>
  <c r="BD18" i="23" s="1" a="1"/>
  <c r="BD18" i="23" s="1"/>
  <c r="BE18" i="23" s="1"/>
  <c r="F171" i="22" a="1"/>
  <c r="F171" i="22" s="1"/>
  <c r="F179" i="22" s="1"/>
  <c r="F182" i="22" s="1"/>
  <c r="W13" i="19"/>
  <c r="X12" i="19"/>
  <c r="Y12" i="19" s="1" a="1"/>
  <c r="Y12" i="19" s="1"/>
  <c r="AF103" i="19"/>
  <c r="AG102" i="19"/>
  <c r="AH102" i="19" s="1" a="1"/>
  <c r="AH102" i="19" s="1"/>
  <c r="AC43" i="19"/>
  <c r="AD42" i="19"/>
  <c r="AE42" i="19" s="1" a="1"/>
  <c r="AE42" i="19" s="1"/>
  <c r="W73" i="19"/>
  <c r="X72" i="19"/>
  <c r="Y72" i="19" s="1" a="1"/>
  <c r="Y72" i="19" s="1"/>
  <c r="Z28" i="19"/>
  <c r="AA27" i="19"/>
  <c r="AB27" i="19" s="1" a="1"/>
  <c r="AB27" i="19" s="1"/>
  <c r="W28" i="19"/>
  <c r="X27" i="19"/>
  <c r="Y27" i="19" s="1" a="1"/>
  <c r="Y27" i="19" s="1"/>
  <c r="I113" i="21"/>
  <c r="H113" i="21"/>
  <c r="Q148" i="19"/>
  <c r="R147" i="19"/>
  <c r="S147" i="19" s="1" a="1"/>
  <c r="S147" i="19" s="1"/>
  <c r="AP57" i="19"/>
  <c r="AQ57" i="19" s="1" a="1"/>
  <c r="AQ57" i="19" s="1"/>
  <c r="AO58" i="19"/>
  <c r="U12" i="19"/>
  <c r="V12" i="19" s="1" a="1"/>
  <c r="V12" i="19" s="1"/>
  <c r="T13" i="19"/>
  <c r="L145" i="21"/>
  <c r="EV20" i="23" s="1" a="1"/>
  <c r="EV20" i="23" s="1"/>
  <c r="EW20" i="23" s="1"/>
  <c r="L217" i="22" a="1"/>
  <c r="L217" i="22" s="1"/>
  <c r="L225" i="22" s="1"/>
  <c r="L228" i="22" s="1"/>
  <c r="L230" i="22" s="1"/>
  <c r="BA26" i="19"/>
  <c r="H75" i="21"/>
  <c r="CJ15" i="23" s="1" a="1"/>
  <c r="CJ15" i="23" s="1"/>
  <c r="CK15" i="23" s="1"/>
  <c r="H102" i="22" a="1"/>
  <c r="H102" i="22" s="1"/>
  <c r="H110" i="22" s="1"/>
  <c r="AX118" i="19"/>
  <c r="AY117" i="19"/>
  <c r="AZ117" i="19" s="1" a="1"/>
  <c r="AZ117" i="19" s="1"/>
  <c r="AR88" i="19"/>
  <c r="AS87" i="19"/>
  <c r="AT87" i="19" s="1" a="1"/>
  <c r="AT87" i="19" s="1"/>
  <c r="AR118" i="19"/>
  <c r="AS117" i="19"/>
  <c r="AT117" i="19" s="1" a="1"/>
  <c r="AT117" i="19" s="1"/>
  <c r="AF43" i="19"/>
  <c r="AG42" i="19"/>
  <c r="AH42" i="19" s="1" a="1"/>
  <c r="AH42" i="19" s="1"/>
  <c r="M61" i="21"/>
  <c r="FL14" i="23" s="1" a="1"/>
  <c r="FL14" i="23" s="1"/>
  <c r="FM14" i="23" s="1"/>
  <c r="M79" i="22" a="1"/>
  <c r="M79" i="22" s="1"/>
  <c r="M87" i="22" s="1"/>
  <c r="AC88" i="19"/>
  <c r="AD87" i="19"/>
  <c r="AE87" i="19" s="1" a="1"/>
  <c r="AE87" i="19" s="1"/>
  <c r="AU73" i="19"/>
  <c r="AV72" i="19"/>
  <c r="AW72" i="19" s="1" a="1"/>
  <c r="AW72" i="19" s="1"/>
  <c r="AF148" i="19"/>
  <c r="AG147" i="19"/>
  <c r="AH147" i="19" s="1" a="1"/>
  <c r="AH147" i="19" s="1"/>
  <c r="M33" i="21"/>
  <c r="FL12" i="23" s="1" a="1"/>
  <c r="FL12" i="23" s="1"/>
  <c r="FM12" i="23" s="1"/>
  <c r="M33" i="22" a="1"/>
  <c r="M33" i="22" s="1"/>
  <c r="M41" i="22" s="1"/>
  <c r="M44" i="22" s="1"/>
  <c r="M46" i="22" s="1"/>
  <c r="M19" i="21"/>
  <c r="FL11" i="23" s="1" a="1"/>
  <c r="FL11" i="23" s="1"/>
  <c r="FM11" i="23" s="1"/>
  <c r="M10" i="22" a="1"/>
  <c r="M10" i="22" s="1"/>
  <c r="M18" i="22" s="1"/>
  <c r="M21" i="22" s="1"/>
  <c r="J33" i="22" a="1"/>
  <c r="J33" i="22" s="1"/>
  <c r="J41" i="22" s="1"/>
  <c r="J33" i="21"/>
  <c r="DP12" i="23" s="1" a="1"/>
  <c r="DP12" i="23" s="1"/>
  <c r="DQ12" i="23" s="1"/>
  <c r="W58" i="19"/>
  <c r="X57" i="19"/>
  <c r="Y57" i="19" s="1" a="1"/>
  <c r="Y57" i="19" s="1"/>
  <c r="H217" i="22" a="1"/>
  <c r="H217" i="22" s="1"/>
  <c r="H225" i="22" s="1"/>
  <c r="H145" i="21"/>
  <c r="CJ20" i="23" s="1" a="1"/>
  <c r="CJ20" i="23" s="1"/>
  <c r="CK20" i="23" s="1"/>
  <c r="J102" i="22" a="1"/>
  <c r="J102" i="22" s="1"/>
  <c r="J110" i="22" s="1"/>
  <c r="J75" i="21"/>
  <c r="DP15" i="23" s="1" a="1"/>
  <c r="DP15" i="23" s="1"/>
  <c r="DQ15" i="23" s="1"/>
  <c r="AF58" i="19"/>
  <c r="AG57" i="19"/>
  <c r="AH57" i="19" s="1" a="1"/>
  <c r="AH57" i="19" s="1"/>
  <c r="W103" i="19"/>
  <c r="X102" i="19"/>
  <c r="Y102" i="19" s="1" a="1"/>
  <c r="Y102" i="19" s="1"/>
  <c r="T103" i="19"/>
  <c r="U102" i="19"/>
  <c r="V102" i="19" s="1" a="1"/>
  <c r="V102" i="19" s="1"/>
  <c r="K117" i="21"/>
  <c r="EF18" i="23" s="1" a="1"/>
  <c r="EF18" i="23" s="1"/>
  <c r="EG18" i="23" s="1"/>
  <c r="K171" i="22" a="1"/>
  <c r="K171" i="22" s="1"/>
  <c r="K179" i="22" s="1"/>
  <c r="AX28" i="19"/>
  <c r="AY27" i="19"/>
  <c r="AZ27" i="19" s="1" a="1"/>
  <c r="AZ27" i="19" s="1"/>
  <c r="BA27" i="19" s="1"/>
  <c r="AR58" i="19"/>
  <c r="AS57" i="19"/>
  <c r="AT57" i="19" s="1" a="1"/>
  <c r="AT57" i="19" s="1"/>
  <c r="D15" i="21"/>
  <c r="H29" i="21"/>
  <c r="BA71" i="19"/>
  <c r="AI58" i="19"/>
  <c r="AJ57" i="19"/>
  <c r="AK57" i="19" s="1" a="1"/>
  <c r="AK57" i="19" s="1"/>
  <c r="AR133" i="19"/>
  <c r="AS132" i="19"/>
  <c r="AT132" i="19" s="1" a="1"/>
  <c r="AT132" i="19" s="1"/>
  <c r="AL133" i="19"/>
  <c r="AM132" i="19"/>
  <c r="AN132" i="19" s="1" a="1"/>
  <c r="AN132" i="19" s="1"/>
  <c r="AI103" i="19"/>
  <c r="AJ102" i="19"/>
  <c r="AK102" i="19" s="1" a="1"/>
  <c r="AK102" i="19" s="1"/>
  <c r="BA11" i="19"/>
  <c r="AF28" i="19"/>
  <c r="AG27" i="19"/>
  <c r="AH27" i="19" s="1" a="1"/>
  <c r="AH27" i="19" s="1"/>
  <c r="AC58" i="19"/>
  <c r="AD57" i="19"/>
  <c r="AE57" i="19" s="1" a="1"/>
  <c r="AE57" i="19" s="1"/>
  <c r="T58" i="19"/>
  <c r="U57" i="19"/>
  <c r="V57" i="19" s="1" a="1"/>
  <c r="V57" i="19" s="1"/>
  <c r="O71" i="21"/>
  <c r="E71" i="21"/>
  <c r="AX148" i="19"/>
  <c r="AY147" i="19"/>
  <c r="AZ147" i="19" s="1" a="1"/>
  <c r="AZ147" i="19" s="1"/>
  <c r="AL103" i="19"/>
  <c r="AM102" i="19"/>
  <c r="AN102" i="19" s="1" a="1"/>
  <c r="AN102" i="19" s="1"/>
  <c r="D29" i="21"/>
  <c r="G71" i="21"/>
  <c r="T148" i="19"/>
  <c r="U147" i="19"/>
  <c r="V147" i="19" s="1" a="1"/>
  <c r="V147" i="19" s="1"/>
  <c r="AS42" i="19"/>
  <c r="AT42" i="19" s="1" a="1"/>
  <c r="AT42" i="19" s="1"/>
  <c r="AR43" i="19"/>
  <c r="AR103" i="19"/>
  <c r="AS102" i="19"/>
  <c r="AT102" i="19" s="1" a="1"/>
  <c r="AT102" i="19" s="1"/>
  <c r="Q118" i="19"/>
  <c r="R117" i="19"/>
  <c r="S117" i="19" s="1" a="1"/>
  <c r="S117" i="19" s="1"/>
  <c r="AC133" i="19"/>
  <c r="AD132" i="19"/>
  <c r="AE132" i="19" s="1" a="1"/>
  <c r="AE132" i="19" s="1"/>
  <c r="AO103" i="19"/>
  <c r="AP102" i="19"/>
  <c r="AQ102" i="19" s="1" a="1"/>
  <c r="AQ102" i="19" s="1"/>
  <c r="AF73" i="19"/>
  <c r="AG72" i="19"/>
  <c r="AH72" i="19" s="1" a="1"/>
  <c r="AH72" i="19" s="1"/>
  <c r="AO148" i="19"/>
  <c r="AP147" i="19"/>
  <c r="AQ147" i="19" s="1" a="1"/>
  <c r="AQ147" i="19" s="1"/>
  <c r="E61" i="21"/>
  <c r="AN14" i="23" s="1" a="1"/>
  <c r="AN14" i="23" s="1"/>
  <c r="AO14" i="23" s="1"/>
  <c r="E79" i="22" a="1"/>
  <c r="E79" i="22" s="1"/>
  <c r="E87" i="22" s="1"/>
  <c r="E90" i="22" s="1"/>
  <c r="L33" i="21"/>
  <c r="EV12" i="23" s="1" a="1"/>
  <c r="EV12" i="23" s="1"/>
  <c r="EW12" i="23" s="1"/>
  <c r="L33" i="22" a="1"/>
  <c r="L33" i="22" s="1"/>
  <c r="L41" i="22" s="1"/>
  <c r="L44" i="22" s="1"/>
  <c r="L46" i="22" s="1"/>
  <c r="AI13" i="19"/>
  <c r="AJ12" i="19"/>
  <c r="AK12" i="19" s="1" a="1"/>
  <c r="AK12" i="19" s="1"/>
  <c r="AP12" i="19"/>
  <c r="AQ12" i="19" s="1" a="1"/>
  <c r="AQ12" i="19" s="1"/>
  <c r="AO13" i="19"/>
  <c r="AI148" i="19"/>
  <c r="AJ147" i="19"/>
  <c r="AK147" i="19" s="1" a="1"/>
  <c r="AK147" i="19" s="1"/>
  <c r="I71" i="21"/>
  <c r="J15" i="21"/>
  <c r="F141" i="21"/>
  <c r="AL58" i="19"/>
  <c r="AM57" i="19"/>
  <c r="AN57" i="19" s="1" a="1"/>
  <c r="AN57" i="19" s="1"/>
  <c r="AX13" i="19"/>
  <c r="AY12" i="19"/>
  <c r="AZ12" i="19" s="1" a="1"/>
  <c r="AZ12" i="19" s="1"/>
  <c r="G113" i="21"/>
  <c r="H57" i="21"/>
  <c r="AU43" i="19"/>
  <c r="AV42" i="19"/>
  <c r="AW42" i="19" s="1" a="1"/>
  <c r="AW42" i="19" s="1"/>
  <c r="AU148" i="19"/>
  <c r="AV147" i="19"/>
  <c r="AW147" i="19" s="1" a="1"/>
  <c r="AW147" i="19" s="1"/>
  <c r="AF88" i="19"/>
  <c r="AG87" i="19"/>
  <c r="AH87" i="19" s="1" a="1"/>
  <c r="AH87" i="19" s="1"/>
  <c r="AX133" i="19"/>
  <c r="AY132" i="19"/>
  <c r="AZ132" i="19" s="1" a="1"/>
  <c r="AZ132" i="19" s="1"/>
  <c r="L15" i="21"/>
  <c r="W43" i="19"/>
  <c r="X42" i="19"/>
  <c r="Y42" i="19" s="1" a="1"/>
  <c r="Y42" i="19" s="1"/>
  <c r="Q13" i="19"/>
  <c r="R12" i="19"/>
  <c r="S12" i="19" s="1" a="1"/>
  <c r="S12" i="19" s="1"/>
  <c r="AU88" i="19"/>
  <c r="AV87" i="19"/>
  <c r="AW87" i="19" s="1" a="1"/>
  <c r="AW87" i="19" s="1"/>
  <c r="N113" i="21"/>
  <c r="BA41" i="19"/>
  <c r="D113" i="21"/>
  <c r="Z148" i="19"/>
  <c r="AA147" i="19"/>
  <c r="AB147" i="19" s="1" a="1"/>
  <c r="AB147" i="19" s="1"/>
  <c r="AI43" i="19"/>
  <c r="AJ42" i="19"/>
  <c r="AK42" i="19" s="1" a="1"/>
  <c r="AK42" i="19" s="1"/>
  <c r="AL118" i="19"/>
  <c r="AM117" i="19"/>
  <c r="AN117" i="19" s="1" a="1"/>
  <c r="AN117" i="19" s="1"/>
  <c r="Z133" i="19"/>
  <c r="AA132" i="19"/>
  <c r="AB132" i="19" s="1" a="1"/>
  <c r="AB132" i="19" s="1"/>
  <c r="AU28" i="19"/>
  <c r="AV27" i="19"/>
  <c r="AW27" i="19" s="1" a="1"/>
  <c r="AW27" i="19" s="1"/>
  <c r="AU118" i="19"/>
  <c r="AV117" i="19"/>
  <c r="AW117" i="19" s="1" a="1"/>
  <c r="AW117" i="19" s="1"/>
  <c r="G29" i="21"/>
  <c r="BA131" i="19"/>
  <c r="K15" i="21"/>
  <c r="O141" i="21"/>
  <c r="G57" i="21"/>
  <c r="Z73" i="19"/>
  <c r="AA72" i="19"/>
  <c r="AB72" i="19" s="1" a="1"/>
  <c r="AB72" i="19" s="1"/>
  <c r="AX43" i="19"/>
  <c r="AY42" i="19"/>
  <c r="AZ42" i="19" s="1" a="1"/>
  <c r="AZ42" i="19" s="1"/>
  <c r="Z88" i="19"/>
  <c r="AA87" i="19"/>
  <c r="AB87" i="19" s="1" a="1"/>
  <c r="AB87" i="19" s="1"/>
  <c r="Q103" i="19"/>
  <c r="R102" i="19"/>
  <c r="S102" i="19" s="1" a="1"/>
  <c r="S102" i="19" s="1"/>
  <c r="E113" i="21"/>
  <c r="J61" i="21"/>
  <c r="DP14" i="23" s="1" a="1"/>
  <c r="DP14" i="23" s="1"/>
  <c r="DQ14" i="23" s="1"/>
  <c r="J79" i="22" a="1"/>
  <c r="J79" i="22" s="1"/>
  <c r="J87" i="22" s="1"/>
  <c r="AL88" i="19"/>
  <c r="AM87" i="19"/>
  <c r="AN87" i="19" s="1" a="1"/>
  <c r="AN87" i="19" s="1"/>
  <c r="Z118" i="19"/>
  <c r="AA117" i="19"/>
  <c r="AB117" i="19" s="1" a="1"/>
  <c r="AB117" i="19" s="1"/>
  <c r="M75" i="21"/>
  <c r="FL15" i="23" s="1" a="1"/>
  <c r="FL15" i="23" s="1"/>
  <c r="FM15" i="23" s="1"/>
  <c r="M102" i="22" a="1"/>
  <c r="M102" i="22" s="1"/>
  <c r="M110" i="22" s="1"/>
  <c r="O61" i="21"/>
  <c r="GR14" i="23" s="1" a="1"/>
  <c r="GR14" i="23" s="1"/>
  <c r="GS14" i="23" s="1"/>
  <c r="O79" i="22" a="1"/>
  <c r="O79" i="22" s="1"/>
  <c r="O87" i="22" s="1"/>
  <c r="O90" i="22" s="1"/>
  <c r="AL148" i="19"/>
  <c r="AM147" i="19"/>
  <c r="AN147" i="19" s="1" a="1"/>
  <c r="AN147" i="19" s="1"/>
  <c r="Q133" i="19"/>
  <c r="R132" i="19"/>
  <c r="S132" i="19" s="1" a="1"/>
  <c r="S132" i="19" s="1"/>
  <c r="G145" i="21"/>
  <c r="BT20" i="23" s="1" a="1"/>
  <c r="BT20" i="23" s="1"/>
  <c r="BU20" i="23" s="1"/>
  <c r="G217" i="22" a="1"/>
  <c r="G217" i="22" s="1"/>
  <c r="G225" i="22" s="1"/>
  <c r="G228" i="22" s="1"/>
  <c r="AI118" i="19"/>
  <c r="AJ117" i="19"/>
  <c r="AK117" i="19" s="1" a="1"/>
  <c r="AK117" i="19" s="1"/>
  <c r="AL43" i="19"/>
  <c r="AM42" i="19"/>
  <c r="AN42" i="19" s="1" a="1"/>
  <c r="AN42" i="19" s="1"/>
  <c r="AO88" i="19"/>
  <c r="AP87" i="19"/>
  <c r="AQ87" i="19" s="1" a="1"/>
  <c r="AQ87" i="19" s="1"/>
  <c r="W148" i="19"/>
  <c r="X147" i="19"/>
  <c r="Y147" i="19" s="1" a="1"/>
  <c r="Y147" i="19" s="1"/>
  <c r="K61" i="21"/>
  <c r="EF14" i="23" s="1" a="1"/>
  <c r="EF14" i="23" s="1"/>
  <c r="EG14" i="23" s="1"/>
  <c r="K79" i="22" a="1"/>
  <c r="K79" i="22" s="1"/>
  <c r="K87" i="22" s="1"/>
  <c r="BA86" i="19"/>
  <c r="D61" i="21"/>
  <c r="X14" i="23" s="1" a="1"/>
  <c r="X14" i="23" s="1"/>
  <c r="Y14" i="23" s="1"/>
  <c r="D79" i="22" a="1"/>
  <c r="D79" i="22" s="1"/>
  <c r="D87" i="22" s="1"/>
  <c r="AR28" i="19"/>
  <c r="AS27" i="19"/>
  <c r="AT27" i="19" s="1" a="1"/>
  <c r="AT27" i="19" s="1"/>
  <c r="G10" i="22" a="1"/>
  <c r="G10" i="22" s="1"/>
  <c r="G18" i="22" s="1"/>
  <c r="G19" i="21"/>
  <c r="BT11" i="23" s="1" a="1"/>
  <c r="BT11" i="23" s="1"/>
  <c r="BU11" i="23" s="1"/>
  <c r="AI73" i="19"/>
  <c r="AJ72" i="19"/>
  <c r="AK72" i="19" s="1" a="1"/>
  <c r="AK72" i="19" s="1"/>
  <c r="AI133" i="19"/>
  <c r="AJ132" i="19"/>
  <c r="AK132" i="19" s="1" a="1"/>
  <c r="AK132" i="19" s="1"/>
  <c r="T88" i="19"/>
  <c r="U87" i="19"/>
  <c r="V87" i="19" s="1" a="1"/>
  <c r="V87" i="19" s="1"/>
  <c r="AV12" i="19"/>
  <c r="AW12" i="19" s="1" a="1"/>
  <c r="AW12" i="19" s="1"/>
  <c r="AU13" i="19"/>
  <c r="AI88" i="19"/>
  <c r="AJ87" i="19"/>
  <c r="AK87" i="19" s="1" a="1"/>
  <c r="AK87" i="19" s="1"/>
  <c r="I29" i="21"/>
  <c r="D141" i="21"/>
  <c r="Q73" i="19"/>
  <c r="R72" i="19"/>
  <c r="S72" i="19" s="1" a="1"/>
  <c r="S72" i="19" s="1"/>
  <c r="AF133" i="19"/>
  <c r="AG132" i="19"/>
  <c r="AH132" i="19" s="1" a="1"/>
  <c r="AH132" i="19" s="1"/>
  <c r="Z13" i="19"/>
  <c r="AA12" i="19"/>
  <c r="AB12" i="19" s="1" a="1"/>
  <c r="AB12" i="19" s="1"/>
  <c r="E141" i="21"/>
  <c r="AD12" i="19"/>
  <c r="AE12" i="19" s="1" a="1"/>
  <c r="AE12" i="19" s="1"/>
  <c r="AC13" i="19"/>
  <c r="O113" i="21"/>
  <c r="Z58" i="19"/>
  <c r="AA57" i="19"/>
  <c r="AB57" i="19" s="1" a="1"/>
  <c r="AB57" i="19" s="1"/>
  <c r="AF118" i="19"/>
  <c r="AG117" i="19"/>
  <c r="AH117" i="19" s="1" a="1"/>
  <c r="AH117" i="19" s="1"/>
  <c r="AY87" i="19"/>
  <c r="AZ87" i="19" s="1" a="1"/>
  <c r="AZ87" i="19" s="1"/>
  <c r="AX88" i="19"/>
  <c r="I19" i="21"/>
  <c r="CZ11" i="23" s="1" a="1"/>
  <c r="CZ11" i="23" s="1"/>
  <c r="DA11" i="23" s="1"/>
  <c r="I10" i="22" a="1"/>
  <c r="I10" i="22" s="1"/>
  <c r="I18" i="22" s="1"/>
  <c r="I21" i="22" s="1"/>
  <c r="I23" i="22" s="1"/>
  <c r="N19" i="21"/>
  <c r="GB11" i="23" s="1" a="1"/>
  <c r="GB11" i="23" s="1"/>
  <c r="GC11" i="23" s="1"/>
  <c r="N10" i="22" a="1"/>
  <c r="N10" i="22" s="1"/>
  <c r="N18" i="22" s="1"/>
  <c r="N21" i="22" s="1"/>
  <c r="N23" i="22" s="1"/>
  <c r="J145" i="21"/>
  <c r="DP20" i="23" s="1" a="1"/>
  <c r="DP20" i="23" s="1"/>
  <c r="DQ20" i="23" s="1"/>
  <c r="J217" i="22" a="1"/>
  <c r="J217" i="22" s="1"/>
  <c r="J225" i="22" s="1"/>
  <c r="J228" i="22" s="1"/>
  <c r="AY57" i="19"/>
  <c r="AZ57" i="19" s="1" a="1"/>
  <c r="AZ57" i="19" s="1"/>
  <c r="AX58" i="19"/>
  <c r="T73" i="19"/>
  <c r="U72" i="19"/>
  <c r="V72" i="19" s="1" a="1"/>
  <c r="V72" i="19" s="1"/>
  <c r="M145" i="21"/>
  <c r="FL20" i="23" s="1" a="1"/>
  <c r="FL20" i="23" s="1"/>
  <c r="FM20" i="23" s="1"/>
  <c r="M217" i="22" a="1"/>
  <c r="M217" i="22" s="1"/>
  <c r="M225" i="22" s="1"/>
  <c r="AJ27" i="19"/>
  <c r="AK27" i="19" s="1" a="1"/>
  <c r="AK27" i="19" s="1"/>
  <c r="AI28" i="19"/>
  <c r="I217" i="22" a="1"/>
  <c r="I217" i="22" s="1"/>
  <c r="I225" i="22" s="1"/>
  <c r="I228" i="22" s="1"/>
  <c r="I145" i="21"/>
  <c r="CZ20" i="23" s="1" a="1"/>
  <c r="CZ20" i="23" s="1"/>
  <c r="DA20" i="23" s="1"/>
  <c r="Q58" i="19"/>
  <c r="R57" i="19"/>
  <c r="S57" i="19" s="1" a="1"/>
  <c r="S57" i="19" s="1"/>
  <c r="W88" i="19"/>
  <c r="X87" i="19"/>
  <c r="Y87" i="19" s="1" a="1"/>
  <c r="Y87" i="19" s="1"/>
  <c r="H19" i="21"/>
  <c r="CJ11" i="23" s="1" a="1"/>
  <c r="CJ11" i="23" s="1"/>
  <c r="CK11" i="23" s="1"/>
  <c r="H10" i="22" a="1"/>
  <c r="H10" i="22" s="1"/>
  <c r="H18" i="22" s="1"/>
  <c r="AC73" i="19"/>
  <c r="AD72" i="19"/>
  <c r="AE72" i="19" s="1" a="1"/>
  <c r="AE72" i="19" s="1"/>
  <c r="AO133" i="19"/>
  <c r="AP132" i="19"/>
  <c r="AQ132" i="19" s="1" a="1"/>
  <c r="AQ132" i="19" s="1"/>
  <c r="K102" i="22" a="1"/>
  <c r="K102" i="22" s="1"/>
  <c r="K110" i="22" s="1"/>
  <c r="K75" i="21"/>
  <c r="EF15" i="23" s="1" a="1"/>
  <c r="EF15" i="23" s="1"/>
  <c r="EG15" i="23" s="1"/>
  <c r="N29" i="21"/>
  <c r="K207" i="22"/>
  <c r="AO73" i="19"/>
  <c r="AP72" i="19"/>
  <c r="AQ72" i="19" s="1" a="1"/>
  <c r="AQ72" i="19" s="1"/>
  <c r="T133" i="19"/>
  <c r="U132" i="19"/>
  <c r="V132" i="19" s="1" a="1"/>
  <c r="V132" i="19" s="1"/>
  <c r="Q88" i="19"/>
  <c r="R87" i="19"/>
  <c r="S87" i="19" s="1" a="1"/>
  <c r="S87" i="19" s="1"/>
  <c r="T43" i="19"/>
  <c r="U42" i="19"/>
  <c r="V42" i="19" s="1" a="1"/>
  <c r="V42" i="19" s="1"/>
  <c r="BA101" i="19"/>
  <c r="AO118" i="19"/>
  <c r="AP117" i="19"/>
  <c r="AQ117" i="19" s="1" a="1"/>
  <c r="AQ117" i="19" s="1"/>
  <c r="AR73" i="19"/>
  <c r="AS72" i="19"/>
  <c r="AT72" i="19" s="1" a="1"/>
  <c r="AT72" i="19" s="1"/>
  <c r="I57" i="21"/>
  <c r="AU58" i="19"/>
  <c r="AV57" i="19"/>
  <c r="AW57" i="19" s="1" a="1"/>
  <c r="AW57" i="19" s="1"/>
  <c r="N57" i="21"/>
  <c r="AL73" i="19"/>
  <c r="AM72" i="19"/>
  <c r="AN72" i="19" s="1" a="1"/>
  <c r="AN72" i="19" s="1"/>
  <c r="Z103" i="19"/>
  <c r="AA102" i="19"/>
  <c r="AB102" i="19" s="1" a="1"/>
  <c r="AB102" i="19" s="1"/>
  <c r="D71" i="21"/>
  <c r="F15" i="21"/>
  <c r="AP42" i="19"/>
  <c r="AQ42" i="19" s="1" a="1"/>
  <c r="AQ42" i="19" s="1"/>
  <c r="AO43" i="19"/>
  <c r="AC148" i="19"/>
  <c r="AD147" i="19"/>
  <c r="AE147" i="19" s="1" a="1"/>
  <c r="AE147" i="19" s="1"/>
  <c r="T118" i="19"/>
  <c r="U117" i="19"/>
  <c r="V117" i="19" s="1" a="1"/>
  <c r="V117" i="19" s="1"/>
  <c r="AR13" i="19"/>
  <c r="AS12" i="19"/>
  <c r="AT12" i="19" s="1" a="1"/>
  <c r="AT12" i="19" s="1"/>
  <c r="W118" i="19"/>
  <c r="X117" i="19"/>
  <c r="Y117" i="19" s="1" a="1"/>
  <c r="Y117" i="19" s="1"/>
  <c r="L113" i="21"/>
  <c r="BA116" i="19"/>
  <c r="N71" i="21"/>
  <c r="O29" i="21"/>
  <c r="AX103" i="19"/>
  <c r="AY102" i="19"/>
  <c r="AZ102" i="19" s="1" a="1"/>
  <c r="AZ102" i="19" s="1"/>
  <c r="Q43" i="19"/>
  <c r="R42" i="19"/>
  <c r="S42" i="19" s="1" a="1"/>
  <c r="S42" i="19" s="1"/>
  <c r="L71" i="21"/>
  <c r="N141" i="21"/>
  <c r="AR148" i="19"/>
  <c r="AS147" i="19"/>
  <c r="AT147" i="19" s="1" a="1"/>
  <c r="AT147" i="19" s="1"/>
  <c r="O15" i="21"/>
  <c r="Z43" i="19"/>
  <c r="AA42" i="19"/>
  <c r="AB42" i="19" s="1" a="1"/>
  <c r="AB42" i="19" s="1"/>
  <c r="W133" i="19"/>
  <c r="X132" i="19"/>
  <c r="Y132" i="19" s="1" a="1"/>
  <c r="Y132" i="19" s="1"/>
  <c r="AU103" i="19"/>
  <c r="AV102" i="19"/>
  <c r="AW102" i="19" s="1" a="1"/>
  <c r="AW102" i="19" s="1"/>
  <c r="AM12" i="19"/>
  <c r="AN12" i="19" s="1" a="1"/>
  <c r="AN12" i="19" s="1"/>
  <c r="AL13" i="19"/>
  <c r="E29" i="21"/>
  <c r="K29" i="21"/>
  <c r="GH19" i="23" a="1"/>
  <c r="GH19" i="23" s="1"/>
  <c r="P19" i="25" s="1" a="1"/>
  <c r="P19" i="25" s="1"/>
  <c r="L211" i="22"/>
  <c r="EN19" i="23" s="1" a="1"/>
  <c r="EN19" i="23" s="1"/>
  <c r="ES19" i="23" s="1" a="1"/>
  <c r="ES19" i="23" s="1"/>
  <c r="O206" i="22"/>
  <c r="GI19" i="23" s="1" a="1"/>
  <c r="GI19" i="23" s="1"/>
  <c r="GO19" i="23" s="1" a="1"/>
  <c r="GO19" i="23" s="1"/>
  <c r="FR19" i="23" a="1"/>
  <c r="FR19" i="23" s="1"/>
  <c r="O19" i="25" s="1" a="1"/>
  <c r="O19" i="25" s="1"/>
  <c r="O209" i="22"/>
  <c r="O211" i="22" s="1"/>
  <c r="GJ19" i="23" s="1" a="1"/>
  <c r="GJ19" i="23" s="1"/>
  <c r="N206" i="22"/>
  <c r="FS19" i="23" s="1" a="1"/>
  <c r="FS19" i="23" s="1"/>
  <c r="I207" i="22"/>
  <c r="I209" i="22"/>
  <c r="E207" i="22"/>
  <c r="K211" i="22"/>
  <c r="DX19" i="23" s="1" a="1"/>
  <c r="DX19" i="23" s="1"/>
  <c r="I206" i="22"/>
  <c r="CQ19" i="23" s="1" a="1"/>
  <c r="CQ19" i="23" s="1"/>
  <c r="E209" i="22"/>
  <c r="L165" i="22"/>
  <c r="EN17" i="23" s="1" a="1"/>
  <c r="EN17" i="23" s="1"/>
  <c r="FY17" i="23" a="1"/>
  <c r="FY17" i="23" s="1"/>
  <c r="J211" i="22"/>
  <c r="DH19" i="23" s="1" a="1"/>
  <c r="DH19" i="23" s="1"/>
  <c r="DJ19" i="23" s="1" a="1"/>
  <c r="DJ19" i="23" s="1"/>
  <c r="GL17" i="23" a="1"/>
  <c r="GL17" i="23" s="1"/>
  <c r="DJ17" i="23" a="1"/>
  <c r="DJ17" i="23" s="1"/>
  <c r="FY19" i="23" a="1"/>
  <c r="FY19" i="23" s="1"/>
  <c r="D118" i="12" a="1"/>
  <c r="D118" i="12" s="1"/>
  <c r="D124" i="12" s="1"/>
  <c r="M161" i="12" a="1"/>
  <c r="M161" i="12" s="1"/>
  <c r="E161" i="12" a="1"/>
  <c r="E161" i="12" s="1"/>
  <c r="L161" i="12" a="1"/>
  <c r="L161" i="12" s="1"/>
  <c r="D161" i="12" a="1"/>
  <c r="D161" i="12" s="1"/>
  <c r="K161" i="12" a="1"/>
  <c r="K161" i="12" s="1"/>
  <c r="J161" i="12" a="1"/>
  <c r="J161" i="12" s="1"/>
  <c r="I161" i="12" a="1"/>
  <c r="I161" i="12" s="1"/>
  <c r="H161" i="12" a="1"/>
  <c r="H161" i="12" s="1"/>
  <c r="N161" i="12" a="1"/>
  <c r="N161" i="12" s="1"/>
  <c r="F161" i="12" a="1"/>
  <c r="F161" i="12" s="1"/>
  <c r="G161" i="12" a="1"/>
  <c r="G161" i="12" s="1"/>
  <c r="O161" i="12" a="1"/>
  <c r="O161" i="12" s="1"/>
  <c r="F350" i="13" a="1"/>
  <c r="F350" i="13" s="1"/>
  <c r="F377" i="13" s="1"/>
  <c r="F153" i="12"/>
  <c r="F355" i="13" s="1" a="1"/>
  <c r="F355" i="13" s="1"/>
  <c r="F158" i="12"/>
  <c r="E350" i="13" a="1"/>
  <c r="E350" i="13" s="1"/>
  <c r="E377" i="13" s="1"/>
  <c r="E153" i="12"/>
  <c r="E355" i="13" s="1" a="1"/>
  <c r="E355" i="13" s="1"/>
  <c r="E158" i="12"/>
  <c r="H350" i="13" a="1"/>
  <c r="H350" i="13" s="1"/>
  <c r="H377" i="13" s="1"/>
  <c r="H153" i="12"/>
  <c r="H355" i="13" s="1" a="1"/>
  <c r="H355" i="13" s="1"/>
  <c r="H158" i="12"/>
  <c r="M150" i="12" a="1"/>
  <c r="M150" i="12" s="1"/>
  <c r="E150" i="12" a="1"/>
  <c r="E150" i="12" s="1"/>
  <c r="L150" i="12" a="1"/>
  <c r="L150" i="12" s="1"/>
  <c r="D150" i="12" a="1"/>
  <c r="D150" i="12" s="1"/>
  <c r="K150" i="12" a="1"/>
  <c r="K150" i="12" s="1"/>
  <c r="J150" i="12" a="1"/>
  <c r="J150" i="12" s="1"/>
  <c r="I150" i="12" a="1"/>
  <c r="I150" i="12" s="1"/>
  <c r="H150" i="12" a="1"/>
  <c r="H150" i="12" s="1"/>
  <c r="N150" i="12" a="1"/>
  <c r="N150" i="12" s="1"/>
  <c r="F150" i="12" a="1"/>
  <c r="F150" i="12" s="1"/>
  <c r="O150" i="12" a="1"/>
  <c r="O150" i="12" s="1"/>
  <c r="G150" i="12" a="1"/>
  <c r="G150" i="12" s="1"/>
  <c r="I350" i="13" a="1"/>
  <c r="I350" i="13" s="1"/>
  <c r="I377" i="13" s="1"/>
  <c r="I153" i="12"/>
  <c r="I355" i="13" s="1" a="1"/>
  <c r="I355" i="13" s="1"/>
  <c r="I158" i="12"/>
  <c r="N350" i="13" a="1"/>
  <c r="N350" i="13" s="1"/>
  <c r="N377" i="13" s="1"/>
  <c r="N153" i="12"/>
  <c r="N355" i="13" s="1" a="1"/>
  <c r="N355" i="13" s="1"/>
  <c r="N158" i="12"/>
  <c r="J350" i="13" a="1"/>
  <c r="J350" i="13" s="1"/>
  <c r="J377" i="13" s="1"/>
  <c r="J158" i="12"/>
  <c r="J153" i="12"/>
  <c r="J355" i="13" s="1" a="1"/>
  <c r="J355" i="13" s="1"/>
  <c r="K350" i="13" a="1"/>
  <c r="K350" i="13" s="1"/>
  <c r="K377" i="13" s="1"/>
  <c r="K153" i="12"/>
  <c r="K355" i="13" s="1" a="1"/>
  <c r="K355" i="13" s="1"/>
  <c r="K158" i="12"/>
  <c r="I149" i="12" a="1"/>
  <c r="I149" i="12" s="1"/>
  <c r="I351" i="13" s="1" a="1"/>
  <c r="I351" i="13" s="1"/>
  <c r="H149" i="12" a="1"/>
  <c r="H149" i="12" s="1"/>
  <c r="H351" i="13" s="1" a="1"/>
  <c r="H351" i="13" s="1"/>
  <c r="O149" i="12" a="1"/>
  <c r="O149" i="12" s="1"/>
  <c r="O351" i="13" s="1" a="1"/>
  <c r="O351" i="13" s="1"/>
  <c r="G149" i="12" a="1"/>
  <c r="G149" i="12" s="1"/>
  <c r="G351" i="13" s="1" a="1"/>
  <c r="G351" i="13" s="1"/>
  <c r="N149" i="12" a="1"/>
  <c r="N149" i="12" s="1"/>
  <c r="N351" i="13" s="1" a="1"/>
  <c r="N351" i="13" s="1"/>
  <c r="F149" i="12" a="1"/>
  <c r="F149" i="12" s="1"/>
  <c r="F351" i="13" s="1" a="1"/>
  <c r="F351" i="13" s="1"/>
  <c r="M149" i="12" a="1"/>
  <c r="M149" i="12" s="1"/>
  <c r="M351" i="13" s="1" a="1"/>
  <c r="M351" i="13" s="1"/>
  <c r="E149" i="12" a="1"/>
  <c r="E149" i="12" s="1"/>
  <c r="E351" i="13" s="1" a="1"/>
  <c r="E351" i="13" s="1"/>
  <c r="L149" i="12" a="1"/>
  <c r="L149" i="12" s="1"/>
  <c r="L351" i="13" s="1" a="1"/>
  <c r="L351" i="13" s="1"/>
  <c r="D149" i="12" a="1"/>
  <c r="D149" i="12" s="1"/>
  <c r="D351" i="13" s="1" a="1"/>
  <c r="D351" i="13" s="1"/>
  <c r="J149" i="12" a="1"/>
  <c r="J149" i="12" s="1"/>
  <c r="J351" i="13" s="1" a="1"/>
  <c r="J351" i="13" s="1"/>
  <c r="K149" i="12" a="1"/>
  <c r="K149" i="12" s="1"/>
  <c r="K351" i="13" s="1" a="1"/>
  <c r="K351" i="13" s="1"/>
  <c r="G350" i="13" a="1"/>
  <c r="G350" i="13" s="1"/>
  <c r="G377" i="13" s="1"/>
  <c r="G158" i="12"/>
  <c r="G153" i="12"/>
  <c r="G355" i="13" s="1" a="1"/>
  <c r="G355" i="13" s="1"/>
  <c r="D350" i="13" a="1"/>
  <c r="D350" i="13" s="1"/>
  <c r="D377" i="13" s="1"/>
  <c r="D158" i="12"/>
  <c r="D153" i="12"/>
  <c r="D355" i="13" s="1" a="1"/>
  <c r="D355" i="13" s="1"/>
  <c r="M350" i="13" a="1"/>
  <c r="M350" i="13" s="1"/>
  <c r="M377" i="13" s="1"/>
  <c r="M153" i="12"/>
  <c r="M355" i="13" s="1" a="1"/>
  <c r="M355" i="13" s="1"/>
  <c r="M158" i="12"/>
  <c r="M137" i="12" a="1"/>
  <c r="M137" i="12" s="1"/>
  <c r="E137" i="12" a="1"/>
  <c r="E137" i="12" s="1"/>
  <c r="L137" i="12" a="1"/>
  <c r="L137" i="12" s="1"/>
  <c r="D137" i="12" a="1"/>
  <c r="D137" i="12" s="1"/>
  <c r="K137" i="12" a="1"/>
  <c r="K137" i="12" s="1"/>
  <c r="J137" i="12" a="1"/>
  <c r="J137" i="12" s="1"/>
  <c r="I137" i="12" a="1"/>
  <c r="I137" i="12" s="1"/>
  <c r="H137" i="12" a="1"/>
  <c r="H137" i="12" s="1"/>
  <c r="N137" i="12" a="1"/>
  <c r="N137" i="12" s="1"/>
  <c r="F137" i="12" a="1"/>
  <c r="F137" i="12" s="1"/>
  <c r="O137" i="12" a="1"/>
  <c r="O137" i="12" s="1"/>
  <c r="G137" i="12" a="1"/>
  <c r="G137" i="12" s="1"/>
  <c r="O350" i="13" a="1"/>
  <c r="O350" i="13" s="1"/>
  <c r="O377" i="13" s="1"/>
  <c r="O153" i="12"/>
  <c r="O355" i="13" s="1" a="1"/>
  <c r="O355" i="13" s="1"/>
  <c r="O158" i="12"/>
  <c r="L350" i="13" a="1"/>
  <c r="L350" i="13" s="1"/>
  <c r="L377" i="13" s="1"/>
  <c r="L153" i="12"/>
  <c r="L355" i="13" s="1" a="1"/>
  <c r="L355" i="13" s="1"/>
  <c r="L158" i="12"/>
  <c r="C29" i="28" a="1"/>
  <c r="C29" i="28" s="1"/>
  <c r="FW17" i="9" a="1"/>
  <c r="FW17" i="9" s="1"/>
  <c r="FX17" i="9" s="1"/>
  <c r="D212" i="13" a="1"/>
  <c r="D212" i="13" s="1"/>
  <c r="D239" i="13" s="1"/>
  <c r="D96" i="12"/>
  <c r="D101" i="12"/>
  <c r="C28" i="28" a="1"/>
  <c r="C28" i="28" s="1"/>
  <c r="A243" i="13" a="1"/>
  <c r="A243" i="13" s="1"/>
  <c r="A104" i="12" a="1"/>
  <c r="A104" i="12" s="1"/>
  <c r="E92" i="12" a="1"/>
  <c r="E92" i="12" s="1"/>
  <c r="E213" i="13" s="1" a="1"/>
  <c r="E213" i="13" s="1"/>
  <c r="AX17" i="9" s="1" a="1"/>
  <c r="AX17" i="9" s="1"/>
  <c r="AI17" i="9" a="1"/>
  <c r="AI17" i="9" s="1"/>
  <c r="E90" i="12" a="1"/>
  <c r="E90" i="12" s="1"/>
  <c r="D106" i="12" a="1"/>
  <c r="D106" i="12" s="1"/>
  <c r="D247" i="13" s="1" a="1"/>
  <c r="D247" i="13" s="1"/>
  <c r="AE18" i="9" s="1" a="1"/>
  <c r="AE18" i="9" s="1"/>
  <c r="D104" i="12" a="1"/>
  <c r="D104" i="12" s="1"/>
  <c r="D57" i="12"/>
  <c r="D61" i="12" s="1"/>
  <c r="E56" i="12"/>
  <c r="E58" i="12" s="1"/>
  <c r="E116" i="13" s="1" a="1"/>
  <c r="E116" i="13" s="1"/>
  <c r="E115" i="13" a="1"/>
  <c r="E115" i="13" s="1"/>
  <c r="E43" i="12"/>
  <c r="D87" i="12"/>
  <c r="D178" i="13" a="1"/>
  <c r="D178" i="13" s="1"/>
  <c r="D205" i="13" s="1"/>
  <c r="D82" i="12"/>
  <c r="F42" i="12"/>
  <c r="F81" i="13" a="1"/>
  <c r="F81" i="13" s="1"/>
  <c r="BU14" i="9" a="1"/>
  <c r="BU14" i="9" s="1"/>
  <c r="G50" i="12" a="1"/>
  <c r="G50" i="12" s="1"/>
  <c r="G111" i="13" s="1" a="1"/>
  <c r="G111" i="13" s="1"/>
  <c r="CJ14" i="9" s="1" a="1"/>
  <c r="CJ14" i="9" s="1"/>
  <c r="G48" i="12" a="1"/>
  <c r="G48" i="12" s="1"/>
  <c r="HI14" i="9" a="1"/>
  <c r="HI14" i="9" s="1"/>
  <c r="HJ14" i="9" s="1"/>
  <c r="F64" i="12" a="1"/>
  <c r="F64" i="12" s="1"/>
  <c r="F145" i="13" s="1" a="1"/>
  <c r="F145" i="13" s="1"/>
  <c r="BQ15" i="9" s="1" a="1"/>
  <c r="BQ15" i="9" s="1"/>
  <c r="BB15" i="9" a="1"/>
  <c r="BB15" i="9" s="1"/>
  <c r="F62" i="12" a="1"/>
  <c r="F62" i="12" s="1"/>
  <c r="H26" i="12"/>
  <c r="H31" i="12"/>
  <c r="H42" i="13" a="1"/>
  <c r="H42" i="13" s="1"/>
  <c r="H69" i="13" s="1"/>
  <c r="GP15" i="9" a="1"/>
  <c r="GP15" i="9" s="1"/>
  <c r="GQ15" i="9" s="1"/>
  <c r="D25" i="24" a="1"/>
  <c r="D25" i="24" s="1"/>
  <c r="G28" i="12"/>
  <c r="G30" i="12" s="1"/>
  <c r="G48" i="13" s="1" a="1"/>
  <c r="G48" i="13" s="1"/>
  <c r="G47" i="13" a="1"/>
  <c r="G47" i="13" s="1"/>
  <c r="G45" i="12"/>
  <c r="G40" i="12"/>
  <c r="G76" i="13" a="1"/>
  <c r="G76" i="13" s="1"/>
  <c r="G103" i="13" s="1"/>
  <c r="E78" i="12" a="1"/>
  <c r="E78" i="12" s="1"/>
  <c r="E179" i="13" s="1" a="1"/>
  <c r="E179" i="13" s="1"/>
  <c r="AX16" i="9" s="1" a="1"/>
  <c r="AX16" i="9" s="1"/>
  <c r="AI16" i="9" a="1"/>
  <c r="AI16" i="9" s="1"/>
  <c r="E76" i="12" a="1"/>
  <c r="E76" i="12" s="1"/>
  <c r="F29" i="12"/>
  <c r="F46" i="13" s="1" a="1"/>
  <c r="F46" i="13" s="1"/>
  <c r="F30" i="12"/>
  <c r="E33" i="12"/>
  <c r="E48" i="13" a="1"/>
  <c r="E48" i="13" s="1"/>
  <c r="IB13" i="9" a="1"/>
  <c r="IB13" i="9" s="1"/>
  <c r="IC13" i="9" s="1"/>
  <c r="D26" i="24" a="1"/>
  <c r="D26" i="24" s="1"/>
  <c r="CN13" i="9" a="1"/>
  <c r="CN13" i="9" s="1"/>
  <c r="H36" i="12" a="1"/>
  <c r="H36" i="12" s="1"/>
  <c r="H77" i="13" s="1" a="1"/>
  <c r="H77" i="13" s="1"/>
  <c r="DC13" i="9" s="1" a="1"/>
  <c r="DC13" i="9" s="1"/>
  <c r="H34" i="12" a="1"/>
  <c r="H34" i="12" s="1"/>
  <c r="D70" i="12"/>
  <c r="D72" i="12" s="1"/>
  <c r="D150" i="13" s="1" a="1"/>
  <c r="D150" i="13" s="1"/>
  <c r="D149" i="13" a="1"/>
  <c r="D149" i="13" s="1"/>
  <c r="E144" i="13" a="1"/>
  <c r="E144" i="13" s="1"/>
  <c r="E171" i="13" s="1"/>
  <c r="E73" i="12"/>
  <c r="E68" i="12"/>
  <c r="D47" i="12"/>
  <c r="D80" i="13" a="1"/>
  <c r="D80" i="13" s="1"/>
  <c r="I22" i="12" a="1"/>
  <c r="I22" i="12" s="1"/>
  <c r="I43" i="13" s="1" a="1"/>
  <c r="I43" i="13" s="1"/>
  <c r="DV12" i="9" s="1" a="1"/>
  <c r="DV12" i="9" s="1"/>
  <c r="DG12" i="9" a="1"/>
  <c r="DG12" i="9" s="1"/>
  <c r="I20" i="12" a="1"/>
  <c r="I20" i="12" s="1"/>
  <c r="FW16" i="9" a="1"/>
  <c r="FW16" i="9" s="1"/>
  <c r="FX16" i="9" s="1"/>
  <c r="FW19" i="9" a="1"/>
  <c r="FW19" i="9" s="1"/>
  <c r="FX19" i="9" s="1"/>
  <c r="F54" i="12"/>
  <c r="F59" i="12"/>
  <c r="F110" i="13" a="1"/>
  <c r="F110" i="13" s="1"/>
  <c r="F137" i="13" s="1"/>
  <c r="DZ19" i="23" a="1"/>
  <c r="DZ19" i="23" s="1"/>
  <c r="EC19" i="23" a="1"/>
  <c r="EC19" i="23" s="1"/>
  <c r="D206" i="22"/>
  <c r="O19" i="23" s="1" a="1"/>
  <c r="O19" i="23" s="1"/>
  <c r="D209" i="22"/>
  <c r="I165" i="22"/>
  <c r="CR17" i="23" s="1" a="1"/>
  <c r="CR17" i="23" s="1"/>
  <c r="CT17" i="23" s="1" a="1"/>
  <c r="CT17" i="23" s="1"/>
  <c r="M165" i="22"/>
  <c r="FD17" i="23" s="1" a="1"/>
  <c r="FD17" i="23" s="1"/>
  <c r="D207" i="22"/>
  <c r="CG17" i="23" a="1"/>
  <c r="CG17" i="23" s="1"/>
  <c r="BQ17" i="23" a="1"/>
  <c r="BQ17" i="23" s="1"/>
  <c r="G211" i="22"/>
  <c r="BL19" i="23" s="1" a="1"/>
  <c r="BL19" i="23" s="1"/>
  <c r="BQ19" i="23" s="1" a="1"/>
  <c r="BQ19" i="23" s="1"/>
  <c r="E165" i="22"/>
  <c r="AF17" i="23" s="1" a="1"/>
  <c r="AF17" i="23" s="1"/>
  <c r="AK17" i="23" s="1" a="1"/>
  <c r="AK17" i="23" s="1"/>
  <c r="M211" i="22"/>
  <c r="FD19" i="23" s="1" a="1"/>
  <c r="FD19" i="23" s="1"/>
  <c r="H211" i="22"/>
  <c r="CB19" i="23" s="1" a="1"/>
  <c r="CB19" i="23" s="1"/>
  <c r="CG19" i="23" s="1" a="1"/>
  <c r="CG19" i="23" s="1"/>
  <c r="K165" i="22"/>
  <c r="DX17" i="23" s="1" a="1"/>
  <c r="DX17" i="23" s="1"/>
  <c r="F211" i="22"/>
  <c r="AV19" i="23" s="1" a="1"/>
  <c r="AV19" i="23" s="1"/>
  <c r="BA19" i="23" s="1" a="1"/>
  <c r="BA19" i="23" s="1"/>
  <c r="F165" i="22"/>
  <c r="AV17" i="23" s="1" a="1"/>
  <c r="AV17" i="23" s="1"/>
  <c r="AX17" i="23" s="1" a="1"/>
  <c r="AX17" i="23" s="1"/>
  <c r="D160" i="22"/>
  <c r="O17" i="23" s="1" a="1"/>
  <c r="O17" i="23" s="1"/>
  <c r="D163" i="22"/>
  <c r="D165" i="22" s="1"/>
  <c r="P17" i="23" s="1" a="1"/>
  <c r="P17" i="23" s="1"/>
  <c r="N17" i="23" a="1"/>
  <c r="N17" i="23" s="1"/>
  <c r="E17" i="25" s="1" a="1"/>
  <c r="E17" i="25" s="1"/>
  <c r="Q17" i="25" s="1"/>
  <c r="F114" i="22"/>
  <c r="AU15" i="23" s="1" a="1"/>
  <c r="AU15" i="23" s="1"/>
  <c r="EL20" i="23" a="1"/>
  <c r="EL20" i="23" s="1"/>
  <c r="M20" i="25" s="1" a="1"/>
  <c r="M20" i="25" s="1"/>
  <c r="L232" i="22"/>
  <c r="L234" i="22" s="1"/>
  <c r="EN20" i="23" s="1" a="1"/>
  <c r="EN20" i="23" s="1"/>
  <c r="L229" i="22"/>
  <c r="EM20" i="23" s="1" a="1"/>
  <c r="EM20" i="23" s="1"/>
  <c r="F117" i="22"/>
  <c r="F119" i="22" s="1"/>
  <c r="AV15" i="23" s="1" a="1"/>
  <c r="AV15" i="23" s="1"/>
  <c r="AT15" i="23" a="1"/>
  <c r="AT15" i="23" s="1"/>
  <c r="G15" i="25" s="1" a="1"/>
  <c r="G15" i="25" s="1"/>
  <c r="E13" i="25" a="1"/>
  <c r="E13" i="25" s="1"/>
  <c r="Q13" i="25" s="1"/>
  <c r="E19" i="25" a="1"/>
  <c r="E19" i="25" s="1"/>
  <c r="Q19" i="25" s="1"/>
  <c r="F21" i="27"/>
  <c r="EL12" i="23" a="1"/>
  <c r="EL12" i="23" s="1"/>
  <c r="BA13" i="23" a="1"/>
  <c r="BA13" i="23" s="1"/>
  <c r="AX13" i="23" a="1"/>
  <c r="AX13" i="23" s="1"/>
  <c r="I22" i="22"/>
  <c r="CQ11" i="23" s="1" a="1"/>
  <c r="CQ11" i="23" s="1"/>
  <c r="I25" i="22"/>
  <c r="I27" i="22" s="1"/>
  <c r="CR11" i="23" s="1" a="1"/>
  <c r="CR11" i="23" s="1"/>
  <c r="N25" i="22"/>
  <c r="N27" i="22" s="1"/>
  <c r="FT11" i="23" s="1" a="1"/>
  <c r="FT11" i="23" s="1"/>
  <c r="N22" i="22"/>
  <c r="FS11" i="23" s="1" a="1"/>
  <c r="FS11" i="23" s="1"/>
  <c r="CP11" i="23" a="1"/>
  <c r="CP11" i="23" s="1"/>
  <c r="FR11" i="23" a="1"/>
  <c r="FR11" i="23" s="1"/>
  <c r="M48" i="22"/>
  <c r="M50" i="22" s="1"/>
  <c r="FD12" i="23" s="1" a="1"/>
  <c r="FD12" i="23" s="1"/>
  <c r="M45" i="22"/>
  <c r="FC12" i="23" s="1" a="1"/>
  <c r="FC12" i="23" s="1"/>
  <c r="FB12" i="23" a="1"/>
  <c r="FB12" i="23" s="1"/>
  <c r="L48" i="22"/>
  <c r="L50" i="22" s="1"/>
  <c r="EN12" i="23" s="1" a="1"/>
  <c r="EN12" i="23" s="1"/>
  <c r="L45" i="22"/>
  <c r="EM12" i="23" s="1" a="1"/>
  <c r="EM12" i="23" s="1"/>
  <c r="FY13" i="23" a="1"/>
  <c r="FY13" i="23" s="1"/>
  <c r="FI13" i="23" a="1"/>
  <c r="FI13" i="23" s="1"/>
  <c r="FF13" i="23" a="1"/>
  <c r="FF13" i="23" s="1"/>
  <c r="FV19" i="23" a="1"/>
  <c r="FV19" i="23" s="1"/>
  <c r="DM13" i="23" a="1"/>
  <c r="DM13" i="23" s="1"/>
  <c r="BN17" i="23" a="1"/>
  <c r="BN17" i="23" s="1"/>
  <c r="CD17" i="23" a="1"/>
  <c r="CD17" i="23" s="1"/>
  <c r="GO13" i="23" a="1"/>
  <c r="GO13" i="23" s="1"/>
  <c r="ES13" i="23" a="1"/>
  <c r="ES13" i="23" s="1"/>
  <c r="DM19" i="23" a="1"/>
  <c r="DM19" i="23" s="1"/>
  <c r="FV17" i="23" a="1"/>
  <c r="FV17" i="23" s="1"/>
  <c r="BN13" i="23" a="1"/>
  <c r="BN13" i="23" s="1"/>
  <c r="BQ13" i="23" a="1"/>
  <c r="BQ13" i="23" s="1"/>
  <c r="DM17" i="23" a="1"/>
  <c r="DM17" i="23" s="1"/>
  <c r="AH13" i="23" a="1"/>
  <c r="AH13" i="23" s="1"/>
  <c r="DZ13" i="23" a="1"/>
  <c r="DZ13" i="23" s="1"/>
  <c r="CW13" i="23" a="1"/>
  <c r="CW13" i="23" s="1"/>
  <c r="GO17" i="23" a="1"/>
  <c r="GO17" i="23" s="1"/>
  <c r="CG13" i="23" a="1"/>
  <c r="CG13" i="23" s="1"/>
  <c r="P13" i="23" a="1"/>
  <c r="P13" i="23" s="1"/>
  <c r="B243" i="13" a="1"/>
  <c r="B243" i="13" s="1"/>
  <c r="B244" i="13" s="1"/>
  <c r="B211" i="13"/>
  <c r="B212" i="13" s="1"/>
  <c r="B213" i="13" s="1"/>
  <c r="B214" i="13"/>
  <c r="B215" i="13" s="1"/>
  <c r="B170" i="13"/>
  <c r="B165" i="13"/>
  <c r="B132" i="13"/>
  <c r="B133" i="13" s="1"/>
  <c r="B134" i="13" s="1"/>
  <c r="B135" i="13" s="1"/>
  <c r="B137" i="13"/>
  <c r="B138" i="13" s="1"/>
  <c r="B139" i="13" s="1"/>
  <c r="B140" i="13" s="1"/>
  <c r="B182" i="13"/>
  <c r="B183" i="13" s="1"/>
  <c r="B184" i="13" s="1"/>
  <c r="B185" i="13" s="1"/>
  <c r="B186" i="13"/>
  <c r="B187" i="13" s="1"/>
  <c r="B188" i="13" s="1"/>
  <c r="B189" i="13" s="1"/>
  <c r="B190" i="13" s="1"/>
  <c r="B191" i="13" s="1"/>
  <c r="B192" i="13" s="1"/>
  <c r="B193" i="13" s="1"/>
  <c r="B194" i="13" s="1"/>
  <c r="B195" i="13" s="1"/>
  <c r="B196" i="13" s="1"/>
  <c r="B197" i="13" s="1"/>
  <c r="B198" i="13" s="1"/>
  <c r="AA261" i="10"/>
  <c r="AA274" i="10"/>
  <c r="AA286" i="10"/>
  <c r="AA287" i="10" s="1"/>
  <c r="AA299" i="10"/>
  <c r="B104" i="12" a="1"/>
  <c r="B104" i="12" s="1"/>
  <c r="R151" i="12"/>
  <c r="R163" i="12"/>
  <c r="R188" i="12"/>
  <c r="R176" i="12"/>
  <c r="R175" i="12"/>
  <c r="R164" i="12"/>
  <c r="CH388" i="1"/>
  <c r="CG6" i="1" a="1"/>
  <c r="CG6" i="1" s="1"/>
  <c r="BF5" i="1" a="1"/>
  <c r="BF5" i="1" s="1"/>
  <c r="BK388" i="1"/>
  <c r="CS6" i="1" a="1"/>
  <c r="CS6" i="1" s="1"/>
  <c r="CT388" i="1"/>
  <c r="H12" i="7"/>
  <c r="H4" i="7"/>
  <c r="H3" i="7"/>
  <c r="H5" i="7"/>
  <c r="H6" i="7"/>
  <c r="H7" i="7"/>
  <c r="H8" i="7"/>
  <c r="H9" i="7"/>
  <c r="H10" i="7"/>
  <c r="S11" i="6"/>
  <c r="R12" i="6"/>
  <c r="R12" i="7"/>
  <c r="S12" i="7" s="1"/>
  <c r="K83" i="5" s="1"/>
  <c r="S11" i="7"/>
  <c r="M9" i="8"/>
  <c r="O8" i="8"/>
  <c r="P8" i="8" s="1"/>
  <c r="N8" i="8"/>
  <c r="O8" i="6"/>
  <c r="P8" i="6" s="1"/>
  <c r="M9" i="6"/>
  <c r="N8" i="6"/>
  <c r="H11" i="7"/>
  <c r="I79" i="22" l="1" a="1"/>
  <c r="I79" i="22" s="1"/>
  <c r="I87" i="22" s="1"/>
  <c r="I61" i="21"/>
  <c r="CZ14" i="23" s="1" a="1"/>
  <c r="CZ14" i="23" s="1"/>
  <c r="DA14" i="23" s="1"/>
  <c r="AF119" i="19"/>
  <c r="AG118" i="19"/>
  <c r="AH118" i="19" s="1" a="1"/>
  <c r="AH118" i="19" s="1"/>
  <c r="J117" i="21"/>
  <c r="DP18" i="23" s="1" a="1"/>
  <c r="DP18" i="23" s="1"/>
  <c r="DQ18" i="23" s="1"/>
  <c r="J171" i="22" a="1"/>
  <c r="J171" i="22" s="1"/>
  <c r="J179" i="22" s="1"/>
  <c r="D145" i="21"/>
  <c r="X20" i="23" s="1" a="1"/>
  <c r="X20" i="23" s="1"/>
  <c r="Y20" i="23" s="1"/>
  <c r="D217" i="22" a="1"/>
  <c r="D217" i="22" s="1"/>
  <c r="D225" i="22" s="1"/>
  <c r="D228" i="22" s="1"/>
  <c r="H228" i="22"/>
  <c r="H230" i="22" s="1"/>
  <c r="EP19" i="23" a="1"/>
  <c r="EP19" i="23" s="1"/>
  <c r="L117" i="21"/>
  <c r="EV18" i="23" s="1" a="1"/>
  <c r="EV18" i="23" s="1"/>
  <c r="EW18" i="23" s="1"/>
  <c r="L171" i="22" a="1"/>
  <c r="L171" i="22" s="1"/>
  <c r="L179" i="22" s="1"/>
  <c r="AR74" i="19"/>
  <c r="AS73" i="19"/>
  <c r="AT73" i="19" s="1" a="1"/>
  <c r="AT73" i="19" s="1"/>
  <c r="J230" i="22"/>
  <c r="DF20" i="23" a="1"/>
  <c r="DF20" i="23" s="1"/>
  <c r="K20" i="25" s="1" a="1"/>
  <c r="K20" i="25" s="1"/>
  <c r="J232" i="22"/>
  <c r="J229" i="22"/>
  <c r="DG20" i="23" s="1" a="1"/>
  <c r="DG20" i="23" s="1"/>
  <c r="Z59" i="19"/>
  <c r="AA58" i="19"/>
  <c r="AB58" i="19" s="1" a="1"/>
  <c r="AB58" i="19" s="1"/>
  <c r="I33" i="21"/>
  <c r="CZ12" i="23" s="1" a="1"/>
  <c r="CZ12" i="23" s="1"/>
  <c r="DA12" i="23" s="1"/>
  <c r="I33" i="22" a="1"/>
  <c r="I33" i="22" s="1"/>
  <c r="I41" i="22" s="1"/>
  <c r="G21" i="22"/>
  <c r="M113" i="22"/>
  <c r="M115" i="22" s="1"/>
  <c r="Z89" i="19"/>
  <c r="AA88" i="19"/>
  <c r="AB88" i="19" s="1" a="1"/>
  <c r="AB88" i="19" s="1"/>
  <c r="D117" i="21"/>
  <c r="X18" i="23" s="1" a="1"/>
  <c r="X18" i="23" s="1"/>
  <c r="Y18" i="23" s="1"/>
  <c r="D171" i="22" a="1"/>
  <c r="D171" i="22" s="1"/>
  <c r="D179" i="22" s="1"/>
  <c r="F145" i="21"/>
  <c r="BD20" i="23" s="1" a="1"/>
  <c r="BD20" i="23" s="1"/>
  <c r="BE20" i="23" s="1"/>
  <c r="F217" i="22" a="1"/>
  <c r="F217" i="22" s="1"/>
  <c r="F225" i="22" s="1"/>
  <c r="AR104" i="19"/>
  <c r="AS103" i="19"/>
  <c r="AT103" i="19" s="1" a="1"/>
  <c r="AT103" i="19" s="1"/>
  <c r="O102" i="22" a="1"/>
  <c r="O102" i="22" s="1"/>
  <c r="O110" i="22" s="1"/>
  <c r="O75" i="21"/>
  <c r="GR15" i="23" s="1" a="1"/>
  <c r="GR15" i="23" s="1"/>
  <c r="GS15" i="23" s="1"/>
  <c r="K182" i="22"/>
  <c r="K184" i="22" s="1"/>
  <c r="AX119" i="19"/>
  <c r="AY118" i="19"/>
  <c r="AZ118" i="19" s="1" a="1"/>
  <c r="AZ118" i="19" s="1"/>
  <c r="Q149" i="19"/>
  <c r="R148" i="19"/>
  <c r="S148" i="19" s="1" a="1"/>
  <c r="S148" i="19" s="1"/>
  <c r="AF104" i="19"/>
  <c r="AG103" i="19"/>
  <c r="AH103" i="19" s="1" a="1"/>
  <c r="AH103" i="19" s="1"/>
  <c r="F61" i="21"/>
  <c r="BD14" i="23" s="1" a="1"/>
  <c r="BD14" i="23" s="1"/>
  <c r="BE14" i="23" s="1"/>
  <c r="F79" i="22" a="1"/>
  <c r="F79" i="22" s="1"/>
  <c r="F87" i="22" s="1"/>
  <c r="O92" i="22"/>
  <c r="O94" i="22"/>
  <c r="GH14" i="23" a="1"/>
  <c r="GH14" i="23" s="1"/>
  <c r="P14" i="25" s="1" a="1"/>
  <c r="P14" i="25" s="1"/>
  <c r="O91" i="22"/>
  <c r="GI14" i="23" s="1" a="1"/>
  <c r="GI14" i="23" s="1"/>
  <c r="Z149" i="19"/>
  <c r="AA148" i="19"/>
  <c r="AB148" i="19" s="1" a="1"/>
  <c r="AB148" i="19" s="1"/>
  <c r="L79" i="22" a="1"/>
  <c r="L79" i="22" s="1"/>
  <c r="L87" i="22" s="1"/>
  <c r="L61" i="21"/>
  <c r="EV14" i="23" s="1" a="1"/>
  <c r="EV14" i="23" s="1"/>
  <c r="EW14" i="23" s="1"/>
  <c r="K33" i="21"/>
  <c r="EF12" i="23" s="1" a="1"/>
  <c r="EF12" i="23" s="1"/>
  <c r="EG12" i="23" s="1"/>
  <c r="K33" i="22" a="1"/>
  <c r="K33" i="22" s="1"/>
  <c r="K41" i="22" s="1"/>
  <c r="F19" i="21"/>
  <c r="BD11" i="23" s="1" a="1"/>
  <c r="BD11" i="23" s="1"/>
  <c r="BE11" i="23" s="1"/>
  <c r="F10" i="22" a="1"/>
  <c r="F10" i="22" s="1"/>
  <c r="F18" i="22" s="1"/>
  <c r="N33" i="21"/>
  <c r="GB12" i="23" s="1" a="1"/>
  <c r="GB12" i="23" s="1"/>
  <c r="GC12" i="23" s="1"/>
  <c r="N33" i="22" a="1"/>
  <c r="N33" i="22" s="1"/>
  <c r="N41" i="22" s="1"/>
  <c r="N44" i="22" s="1"/>
  <c r="Q59" i="19"/>
  <c r="R58" i="19"/>
  <c r="S58" i="19" s="1" a="1"/>
  <c r="S58" i="19" s="1"/>
  <c r="O171" i="22" a="1"/>
  <c r="O171" i="22" s="1"/>
  <c r="O179" i="22" s="1"/>
  <c r="O117" i="21"/>
  <c r="GR18" i="23" s="1" a="1"/>
  <c r="GR18" i="23" s="1"/>
  <c r="GS18" i="23" s="1"/>
  <c r="AL44" i="19"/>
  <c r="AM43" i="19"/>
  <c r="AN43" i="19" s="1" a="1"/>
  <c r="AN43" i="19" s="1"/>
  <c r="BA42" i="19"/>
  <c r="AU119" i="19"/>
  <c r="AV118" i="19"/>
  <c r="AW118" i="19" s="1" a="1"/>
  <c r="AW118" i="19" s="1"/>
  <c r="AF89" i="19"/>
  <c r="AG88" i="19"/>
  <c r="AH88" i="19" s="1" a="1"/>
  <c r="AH88" i="19" s="1"/>
  <c r="J19" i="21"/>
  <c r="DP11" i="23" s="1" a="1"/>
  <c r="DP11" i="23" s="1"/>
  <c r="DQ11" i="23" s="1"/>
  <c r="J10" i="22" a="1"/>
  <c r="J10" i="22" s="1"/>
  <c r="J18" i="22" s="1"/>
  <c r="AR44" i="19"/>
  <c r="AS43" i="19"/>
  <c r="AT43" i="19" s="1" a="1"/>
  <c r="AT43" i="19" s="1"/>
  <c r="AR134" i="19"/>
  <c r="AS133" i="19"/>
  <c r="AT133" i="19" s="1" a="1"/>
  <c r="AT133" i="19" s="1"/>
  <c r="W59" i="19"/>
  <c r="X58" i="19"/>
  <c r="Y58" i="19" s="1" a="1"/>
  <c r="Y58" i="19" s="1"/>
  <c r="AC89" i="19"/>
  <c r="AD88" i="19"/>
  <c r="AE88" i="19" s="1" a="1"/>
  <c r="AE88" i="19" s="1"/>
  <c r="H113" i="22"/>
  <c r="H115" i="22"/>
  <c r="H117" i="21"/>
  <c r="CJ18" i="23" s="1" a="1"/>
  <c r="CJ18" i="23" s="1"/>
  <c r="CK18" i="23" s="1"/>
  <c r="H171" i="22" a="1"/>
  <c r="H171" i="22" s="1"/>
  <c r="H179" i="22" s="1"/>
  <c r="AF14" i="19"/>
  <c r="AG13" i="19"/>
  <c r="AH13" i="19" s="1" a="1"/>
  <c r="AH13" i="19" s="1"/>
  <c r="AC119" i="19"/>
  <c r="AD118" i="19"/>
  <c r="AE118" i="19" s="1" a="1"/>
  <c r="AE118" i="19" s="1"/>
  <c r="AX59" i="19"/>
  <c r="AY58" i="19"/>
  <c r="AZ58" i="19" s="1" a="1"/>
  <c r="AZ58" i="19" s="1"/>
  <c r="Q104" i="19"/>
  <c r="R103" i="19"/>
  <c r="S103" i="19" s="1" a="1"/>
  <c r="S103" i="19" s="1"/>
  <c r="BA72" i="19"/>
  <c r="E33" i="22" a="1"/>
  <c r="E33" i="22" s="1"/>
  <c r="E41" i="22" s="1"/>
  <c r="E44" i="22" s="1"/>
  <c r="E33" i="21"/>
  <c r="AN12" i="23" s="1" a="1"/>
  <c r="AN12" i="23" s="1"/>
  <c r="AO12" i="23" s="1"/>
  <c r="AR149" i="19"/>
  <c r="AS148" i="19"/>
  <c r="AT148" i="19" s="1" a="1"/>
  <c r="AT148" i="19" s="1"/>
  <c r="W119" i="19"/>
  <c r="X118" i="19"/>
  <c r="Y118" i="19" s="1" a="1"/>
  <c r="Y118" i="19" s="1"/>
  <c r="D75" i="21"/>
  <c r="X15" i="23" s="1" a="1"/>
  <c r="X15" i="23" s="1"/>
  <c r="Y15" i="23" s="1"/>
  <c r="D102" i="22" a="1"/>
  <c r="D102" i="22" s="1"/>
  <c r="D110" i="22" s="1"/>
  <c r="AO119" i="19"/>
  <c r="AP118" i="19"/>
  <c r="AQ118" i="19" s="1" a="1"/>
  <c r="AQ118" i="19" s="1"/>
  <c r="AD13" i="19"/>
  <c r="AE13" i="19" s="1" a="1"/>
  <c r="AE13" i="19" s="1"/>
  <c r="AC14" i="19"/>
  <c r="AI89" i="19"/>
  <c r="AJ88" i="19"/>
  <c r="AK88" i="19" s="1" a="1"/>
  <c r="AK88" i="19" s="1"/>
  <c r="AR29" i="19"/>
  <c r="AS28" i="19"/>
  <c r="AT28" i="19" s="1" a="1"/>
  <c r="AT28" i="19" s="1"/>
  <c r="AY43" i="19"/>
  <c r="AZ43" i="19" s="1" a="1"/>
  <c r="AZ43" i="19" s="1"/>
  <c r="AX44" i="19"/>
  <c r="N117" i="21"/>
  <c r="GB18" i="23" s="1" a="1"/>
  <c r="GB18" i="23" s="1"/>
  <c r="GC18" i="23" s="1"/>
  <c r="N171" i="22" a="1"/>
  <c r="N171" i="22" s="1"/>
  <c r="N179" i="22" s="1"/>
  <c r="I75" i="21"/>
  <c r="CZ15" i="23" s="1" a="1"/>
  <c r="CZ15" i="23" s="1"/>
  <c r="DA15" i="23" s="1"/>
  <c r="I102" i="22" a="1"/>
  <c r="I102" i="22" s="1"/>
  <c r="I110" i="22" s="1"/>
  <c r="AO149" i="19"/>
  <c r="AP148" i="19"/>
  <c r="AQ148" i="19" s="1" a="1"/>
  <c r="AQ148" i="19" s="1"/>
  <c r="T59" i="19"/>
  <c r="U58" i="19"/>
  <c r="V58" i="19" s="1" a="1"/>
  <c r="V58" i="19" s="1"/>
  <c r="M90" i="22"/>
  <c r="M92" i="22" s="1"/>
  <c r="I117" i="21"/>
  <c r="CZ18" i="23" s="1" a="1"/>
  <c r="CZ18" i="23" s="1"/>
  <c r="DA18" i="23" s="1"/>
  <c r="I171" i="22" a="1"/>
  <c r="I171" i="22" s="1"/>
  <c r="I179" i="22" s="1"/>
  <c r="W14" i="19"/>
  <c r="X13" i="19"/>
  <c r="Y13" i="19" s="1" a="1"/>
  <c r="Y13" i="19" s="1"/>
  <c r="M184" i="22"/>
  <c r="M186" i="22"/>
  <c r="M183" i="22"/>
  <c r="FC18" i="23" s="1" a="1"/>
  <c r="FC18" i="23" s="1"/>
  <c r="FB18" i="23" a="1"/>
  <c r="FB18" i="23" s="1"/>
  <c r="N18" i="25" s="1" a="1"/>
  <c r="N18" i="25" s="1"/>
  <c r="AU134" i="19"/>
  <c r="AV133" i="19"/>
  <c r="AW133" i="19" s="1" a="1"/>
  <c r="AW133" i="19" s="1"/>
  <c r="AY28" i="19"/>
  <c r="AZ28" i="19" s="1" a="1"/>
  <c r="AZ28" i="19" s="1"/>
  <c r="AX29" i="19"/>
  <c r="AM13" i="19"/>
  <c r="AN13" i="19" s="1" a="1"/>
  <c r="AN13" i="19" s="1"/>
  <c r="AL14" i="19"/>
  <c r="N217" i="22" a="1"/>
  <c r="N217" i="22" s="1"/>
  <c r="N225" i="22" s="1"/>
  <c r="N228" i="22" s="1"/>
  <c r="N145" i="21"/>
  <c r="GB20" i="23" s="1" a="1"/>
  <c r="GB20" i="23" s="1"/>
  <c r="GC20" i="23" s="1"/>
  <c r="K113" i="22"/>
  <c r="K115" i="22"/>
  <c r="I230" i="22"/>
  <c r="CP20" i="23" a="1"/>
  <c r="CP20" i="23" s="1"/>
  <c r="J20" i="25" s="1" a="1"/>
  <c r="J20" i="25" s="1"/>
  <c r="I232" i="22"/>
  <c r="I229" i="22"/>
  <c r="CQ20" i="23" s="1" a="1"/>
  <c r="CQ20" i="23" s="1"/>
  <c r="AU14" i="19"/>
  <c r="AV13" i="19"/>
  <c r="AW13" i="19" s="1" a="1"/>
  <c r="AW13" i="19" s="1"/>
  <c r="D90" i="22"/>
  <c r="D92" i="22" s="1"/>
  <c r="AI119" i="19"/>
  <c r="AJ118" i="19"/>
  <c r="AK118" i="19" s="1" a="1"/>
  <c r="AK118" i="19" s="1"/>
  <c r="Z119" i="19"/>
  <c r="AA118" i="19"/>
  <c r="AB118" i="19" s="1" a="1"/>
  <c r="AB118" i="19" s="1"/>
  <c r="AU29" i="19"/>
  <c r="AV28" i="19"/>
  <c r="AW28" i="19" s="1" a="1"/>
  <c r="AW28" i="19" s="1"/>
  <c r="AU149" i="19"/>
  <c r="AV148" i="19"/>
  <c r="AW148" i="19" s="1" a="1"/>
  <c r="AW148" i="19" s="1"/>
  <c r="AI59" i="19"/>
  <c r="AJ58" i="19"/>
  <c r="AK58" i="19" s="1" a="1"/>
  <c r="AK58" i="19" s="1"/>
  <c r="T104" i="19"/>
  <c r="U103" i="19"/>
  <c r="V103" i="19" s="1" a="1"/>
  <c r="V103" i="19" s="1"/>
  <c r="J44" i="22"/>
  <c r="J46" i="22" s="1"/>
  <c r="F184" i="22"/>
  <c r="F186" i="22"/>
  <c r="F188" i="22" s="1"/>
  <c r="AV18" i="23" s="1" a="1"/>
  <c r="AV18" i="23" s="1"/>
  <c r="F183" i="22"/>
  <c r="AU18" i="23" s="1" a="1"/>
  <c r="AU18" i="23" s="1"/>
  <c r="AT18" i="23" a="1"/>
  <c r="AT18" i="23" s="1"/>
  <c r="G18" i="25" s="1" a="1"/>
  <c r="G18" i="25" s="1"/>
  <c r="AO29" i="19"/>
  <c r="AP28" i="19"/>
  <c r="AQ28" i="19" s="1" a="1"/>
  <c r="AQ28" i="19" s="1"/>
  <c r="AX149" i="19"/>
  <c r="AY148" i="19"/>
  <c r="AZ148" i="19" s="1" a="1"/>
  <c r="AZ148" i="19" s="1"/>
  <c r="AR89" i="19"/>
  <c r="AS88" i="19"/>
  <c r="AT88" i="19" s="1" a="1"/>
  <c r="AT88" i="19" s="1"/>
  <c r="AO89" i="19"/>
  <c r="AP88" i="19"/>
  <c r="AQ88" i="19" s="1" a="1"/>
  <c r="AQ88" i="19" s="1"/>
  <c r="L75" i="21"/>
  <c r="EV15" i="23" s="1" a="1"/>
  <c r="EV15" i="23" s="1"/>
  <c r="EW15" i="23" s="1"/>
  <c r="L102" i="22" a="1"/>
  <c r="L102" i="22" s="1"/>
  <c r="L110" i="22" s="1"/>
  <c r="L113" i="22" s="1"/>
  <c r="AR14" i="19"/>
  <c r="AS13" i="19"/>
  <c r="AT13" i="19" s="1" a="1"/>
  <c r="AT13" i="19" s="1"/>
  <c r="Z104" i="19"/>
  <c r="AA103" i="19"/>
  <c r="AB103" i="19" s="1" a="1"/>
  <c r="AB103" i="19" s="1"/>
  <c r="AI29" i="19"/>
  <c r="AJ28" i="19"/>
  <c r="AK28" i="19" s="1" a="1"/>
  <c r="AK28" i="19" s="1"/>
  <c r="E145" i="21"/>
  <c r="AN20" i="23" s="1" a="1"/>
  <c r="AN20" i="23" s="1"/>
  <c r="AO20" i="23" s="1"/>
  <c r="E217" i="22" a="1"/>
  <c r="E217" i="22" s="1"/>
  <c r="E225" i="22" s="1"/>
  <c r="G230" i="22"/>
  <c r="G229" i="22"/>
  <c r="BK20" i="23" s="1" a="1"/>
  <c r="BK20" i="23" s="1"/>
  <c r="G232" i="22"/>
  <c r="G234" i="22" s="1"/>
  <c r="BL20" i="23" s="1" a="1"/>
  <c r="BL20" i="23" s="1"/>
  <c r="BJ20" i="23" a="1"/>
  <c r="BJ20" i="23" s="1"/>
  <c r="H20" i="25" s="1" a="1"/>
  <c r="H20" i="25" s="1"/>
  <c r="Z74" i="19"/>
  <c r="AA73" i="19"/>
  <c r="AB73" i="19" s="1" a="1"/>
  <c r="AB73" i="19" s="1"/>
  <c r="AV88" i="19"/>
  <c r="AW88" i="19" s="1" a="1"/>
  <c r="AW88" i="19" s="1"/>
  <c r="AU89" i="19"/>
  <c r="AI149" i="19"/>
  <c r="AJ148" i="19"/>
  <c r="AK148" i="19" s="1" a="1"/>
  <c r="AK148" i="19" s="1"/>
  <c r="AF74" i="19"/>
  <c r="AG73" i="19"/>
  <c r="AH73" i="19" s="1" a="1"/>
  <c r="AH73" i="19" s="1"/>
  <c r="T149" i="19"/>
  <c r="U148" i="19"/>
  <c r="V148" i="19" s="1" a="1"/>
  <c r="V148" i="19" s="1"/>
  <c r="AC59" i="19"/>
  <c r="AD58" i="19"/>
  <c r="AE58" i="19" s="1" a="1"/>
  <c r="AE58" i="19" s="1"/>
  <c r="M23" i="22"/>
  <c r="M25" i="22"/>
  <c r="M22" i="22"/>
  <c r="FC11" i="23" s="1" a="1"/>
  <c r="FC11" i="23" s="1"/>
  <c r="FB11" i="23" a="1"/>
  <c r="FB11" i="23" s="1"/>
  <c r="N11" i="25" s="1" a="1"/>
  <c r="N11" i="25" s="1"/>
  <c r="W29" i="19"/>
  <c r="X28" i="19"/>
  <c r="Y28" i="19" s="1" a="1"/>
  <c r="Y28" i="19" s="1"/>
  <c r="Z44" i="19"/>
  <c r="AA43" i="19"/>
  <c r="AB43" i="19" s="1" a="1"/>
  <c r="AB43" i="19" s="1"/>
  <c r="Q119" i="19"/>
  <c r="R118" i="19"/>
  <c r="S118" i="19" s="1" a="1"/>
  <c r="S118" i="19" s="1"/>
  <c r="AC44" i="19"/>
  <c r="AD43" i="19"/>
  <c r="AE43" i="19" s="1" a="1"/>
  <c r="AE43" i="19" s="1"/>
  <c r="AO44" i="19"/>
  <c r="AP43" i="19"/>
  <c r="AQ43" i="19" s="1" a="1"/>
  <c r="AQ43" i="19" s="1"/>
  <c r="W89" i="19"/>
  <c r="X88" i="19"/>
  <c r="Y88" i="19" s="1" a="1"/>
  <c r="Y88" i="19" s="1"/>
  <c r="AX134" i="19"/>
  <c r="AY133" i="19"/>
  <c r="AZ133" i="19" s="1" a="1"/>
  <c r="AZ133" i="19" s="1"/>
  <c r="E102" i="22" a="1"/>
  <c r="E102" i="22" s="1"/>
  <c r="E110" i="22" s="1"/>
  <c r="E75" i="21"/>
  <c r="AN15" i="23" s="1" a="1"/>
  <c r="AN15" i="23" s="1"/>
  <c r="AO15" i="23" s="1"/>
  <c r="AL134" i="19"/>
  <c r="AM133" i="19"/>
  <c r="AN133" i="19" s="1" a="1"/>
  <c r="AN133" i="19" s="1"/>
  <c r="AU74" i="19"/>
  <c r="AV73" i="19"/>
  <c r="AW73" i="19" s="1" a="1"/>
  <c r="AW73" i="19" s="1"/>
  <c r="T44" i="19"/>
  <c r="U43" i="19"/>
  <c r="V43" i="19" s="1" a="1"/>
  <c r="V43" i="19" s="1"/>
  <c r="AO134" i="19"/>
  <c r="AP133" i="19"/>
  <c r="AQ133" i="19" s="1" a="1"/>
  <c r="AQ133" i="19" s="1"/>
  <c r="AL89" i="19"/>
  <c r="AM88" i="19"/>
  <c r="AN88" i="19" s="1" a="1"/>
  <c r="AN88" i="19" s="1"/>
  <c r="G61" i="21"/>
  <c r="BT14" i="23" s="1" a="1"/>
  <c r="BT14" i="23" s="1"/>
  <c r="BU14" i="23" s="1"/>
  <c r="HC14" i="23" s="1"/>
  <c r="HD14" i="23" s="1"/>
  <c r="G79" i="22" a="1"/>
  <c r="G79" i="22" s="1"/>
  <c r="G87" i="22" s="1"/>
  <c r="G90" i="22" s="1"/>
  <c r="Z134" i="19"/>
  <c r="AA133" i="19"/>
  <c r="AB133" i="19" s="1" a="1"/>
  <c r="AB133" i="19" s="1"/>
  <c r="AV43" i="19"/>
  <c r="AW43" i="19" s="1" a="1"/>
  <c r="AW43" i="19" s="1"/>
  <c r="AU44" i="19"/>
  <c r="AP13" i="19"/>
  <c r="AQ13" i="19" s="1" a="1"/>
  <c r="AQ13" i="19" s="1"/>
  <c r="AO14" i="19"/>
  <c r="G102" i="22" a="1"/>
  <c r="G102" i="22" s="1"/>
  <c r="G110" i="22" s="1"/>
  <c r="G113" i="22" s="1"/>
  <c r="G75" i="21"/>
  <c r="BT15" i="23" s="1" a="1"/>
  <c r="BT15" i="23" s="1"/>
  <c r="BU15" i="23" s="1"/>
  <c r="W104" i="19"/>
  <c r="X103" i="19"/>
  <c r="Y103" i="19" s="1" a="1"/>
  <c r="Y103" i="19" s="1"/>
  <c r="AF44" i="19"/>
  <c r="AG43" i="19"/>
  <c r="AH43" i="19" s="1" a="1"/>
  <c r="AH43" i="19" s="1"/>
  <c r="E21" i="22"/>
  <c r="E23" i="22"/>
  <c r="K230" i="22"/>
  <c r="K229" i="22"/>
  <c r="DW20" i="23" s="1" a="1"/>
  <c r="DW20" i="23" s="1"/>
  <c r="K232" i="22"/>
  <c r="DV20" i="23" a="1"/>
  <c r="DV20" i="23" s="1"/>
  <c r="L20" i="25" s="1" a="1"/>
  <c r="L20" i="25" s="1"/>
  <c r="AC149" i="19"/>
  <c r="AD148" i="19"/>
  <c r="AE148" i="19" s="1" a="1"/>
  <c r="AE148" i="19" s="1"/>
  <c r="Q74" i="19"/>
  <c r="R73" i="19"/>
  <c r="S73" i="19" s="1" a="1"/>
  <c r="S73" i="19" s="1"/>
  <c r="BA147" i="19"/>
  <c r="AU104" i="19"/>
  <c r="AV103" i="19"/>
  <c r="AW103" i="19" s="1" a="1"/>
  <c r="AW103" i="19" s="1"/>
  <c r="Q44" i="19"/>
  <c r="R43" i="19"/>
  <c r="S43" i="19" s="1" a="1"/>
  <c r="S43" i="19" s="1"/>
  <c r="AL74" i="19"/>
  <c r="AM73" i="19"/>
  <c r="AN73" i="19" s="1" a="1"/>
  <c r="AN73" i="19" s="1"/>
  <c r="M228" i="22"/>
  <c r="M230" i="22" s="1"/>
  <c r="Z14" i="19"/>
  <c r="AA13" i="19"/>
  <c r="AB13" i="19" s="1" a="1"/>
  <c r="AB13" i="19" s="1"/>
  <c r="T89" i="19"/>
  <c r="U88" i="19"/>
  <c r="V88" i="19" s="1" a="1"/>
  <c r="V88" i="19" s="1"/>
  <c r="K90" i="22"/>
  <c r="K92" i="22"/>
  <c r="BA132" i="19"/>
  <c r="J90" i="22"/>
  <c r="O217" i="22" a="1"/>
  <c r="O217" i="22" s="1"/>
  <c r="O225" i="22" s="1"/>
  <c r="O145" i="21"/>
  <c r="GR20" i="23" s="1" a="1"/>
  <c r="GR20" i="23" s="1"/>
  <c r="GS20" i="23" s="1"/>
  <c r="Q14" i="19"/>
  <c r="R13" i="19"/>
  <c r="S13" i="19" s="1" a="1"/>
  <c r="S13" i="19" s="1"/>
  <c r="H79" i="22" a="1"/>
  <c r="H79" i="22" s="1"/>
  <c r="H87" i="22" s="1"/>
  <c r="H61" i="21"/>
  <c r="CJ14" i="23" s="1" a="1"/>
  <c r="CJ14" i="23" s="1"/>
  <c r="CK14" i="23" s="1"/>
  <c r="AO104" i="19"/>
  <c r="AP103" i="19"/>
  <c r="AQ103" i="19" s="1" a="1"/>
  <c r="AQ103" i="19" s="1"/>
  <c r="D33" i="21"/>
  <c r="X12" i="23" s="1" a="1"/>
  <c r="X12" i="23" s="1"/>
  <c r="Y12" i="23" s="1"/>
  <c r="D33" i="22" a="1"/>
  <c r="D33" i="22" s="1"/>
  <c r="D41" i="22" s="1"/>
  <c r="AF29" i="19"/>
  <c r="AG28" i="19"/>
  <c r="AH28" i="19" s="1" a="1"/>
  <c r="AH28" i="19" s="1"/>
  <c r="H33" i="21"/>
  <c r="CJ12" i="23" s="1" a="1"/>
  <c r="CJ12" i="23" s="1"/>
  <c r="CK12" i="23" s="1"/>
  <c r="H33" i="22" a="1"/>
  <c r="H33" i="22" s="1"/>
  <c r="H41" i="22" s="1"/>
  <c r="Z29" i="19"/>
  <c r="AA28" i="19"/>
  <c r="AB28" i="19" s="1" a="1"/>
  <c r="AB28" i="19" s="1"/>
  <c r="O19" i="21"/>
  <c r="GR11" i="23" s="1" a="1"/>
  <c r="GR11" i="23" s="1"/>
  <c r="GS11" i="23" s="1"/>
  <c r="O10" i="22" a="1"/>
  <c r="O10" i="22" s="1"/>
  <c r="O18" i="22" s="1"/>
  <c r="AO74" i="19"/>
  <c r="AP73" i="19"/>
  <c r="AQ73" i="19" s="1" a="1"/>
  <c r="AQ73" i="19" s="1"/>
  <c r="AL59" i="19"/>
  <c r="AM58" i="19"/>
  <c r="AN58" i="19" s="1" a="1"/>
  <c r="AN58" i="19" s="1"/>
  <c r="T29" i="19"/>
  <c r="U28" i="19"/>
  <c r="V28" i="19" s="1" a="1"/>
  <c r="V28" i="19" s="1"/>
  <c r="BA102" i="19"/>
  <c r="N61" i="21"/>
  <c r="GB14" i="23" s="1" a="1"/>
  <c r="GB14" i="23" s="1"/>
  <c r="GC14" i="23" s="1"/>
  <c r="N79" i="22" a="1"/>
  <c r="N79" i="22" s="1"/>
  <c r="N87" i="22" s="1"/>
  <c r="Q89" i="19"/>
  <c r="R88" i="19"/>
  <c r="S88" i="19" s="1" a="1"/>
  <c r="S88" i="19" s="1"/>
  <c r="AC74" i="19"/>
  <c r="AD73" i="19"/>
  <c r="AE73" i="19" s="1" a="1"/>
  <c r="AE73" i="19" s="1"/>
  <c r="AX89" i="19"/>
  <c r="AY88" i="19"/>
  <c r="AZ88" i="19" s="1" a="1"/>
  <c r="AZ88" i="19" s="1"/>
  <c r="Q134" i="19"/>
  <c r="R133" i="19"/>
  <c r="S133" i="19" s="1" a="1"/>
  <c r="S133" i="19" s="1"/>
  <c r="AL119" i="19"/>
  <c r="AM118" i="19"/>
  <c r="AN118" i="19" s="1" a="1"/>
  <c r="AN118" i="19" s="1"/>
  <c r="G171" i="22" a="1"/>
  <c r="G171" i="22" s="1"/>
  <c r="G179" i="22" s="1"/>
  <c r="G117" i="21"/>
  <c r="BT18" i="23" s="1" a="1"/>
  <c r="BT18" i="23" s="1"/>
  <c r="BU18" i="23" s="1"/>
  <c r="D19" i="21"/>
  <c r="X11" i="23" s="1" a="1"/>
  <c r="X11" i="23" s="1"/>
  <c r="Y11" i="23" s="1"/>
  <c r="D10" i="22" a="1"/>
  <c r="D10" i="22" s="1"/>
  <c r="AF59" i="19"/>
  <c r="AG58" i="19"/>
  <c r="AH58" i="19" s="1" a="1"/>
  <c r="AH58" i="19" s="1"/>
  <c r="T14" i="19"/>
  <c r="U13" i="19"/>
  <c r="V13" i="19" s="1" a="1"/>
  <c r="V13" i="19" s="1"/>
  <c r="AC104" i="19"/>
  <c r="AD103" i="19"/>
  <c r="AE103" i="19" s="1" a="1"/>
  <c r="AE103" i="19" s="1"/>
  <c r="AI74" i="19"/>
  <c r="AJ73" i="19"/>
  <c r="AK73" i="19" s="1" a="1"/>
  <c r="AK73" i="19" s="1"/>
  <c r="BA57" i="19"/>
  <c r="AY73" i="19"/>
  <c r="AZ73" i="19" s="1" a="1"/>
  <c r="AZ73" i="19" s="1"/>
  <c r="AX74" i="19"/>
  <c r="W134" i="19"/>
  <c r="X133" i="19"/>
  <c r="Y133" i="19" s="1" a="1"/>
  <c r="Y133" i="19" s="1"/>
  <c r="AX104" i="19"/>
  <c r="AY103" i="19"/>
  <c r="AZ103" i="19" s="1" a="1"/>
  <c r="AZ103" i="19" s="1"/>
  <c r="BA103" i="19" s="1"/>
  <c r="T119" i="19"/>
  <c r="U118" i="19"/>
  <c r="V118" i="19" s="1" a="1"/>
  <c r="V118" i="19" s="1"/>
  <c r="H21" i="22"/>
  <c r="H23" i="22" s="1"/>
  <c r="BA87" i="19"/>
  <c r="AF134" i="19"/>
  <c r="AG133" i="19"/>
  <c r="AH133" i="19" s="1" a="1"/>
  <c r="AH133" i="19" s="1"/>
  <c r="AI134" i="19"/>
  <c r="AJ133" i="19"/>
  <c r="AK133" i="19" s="1" a="1"/>
  <c r="AK133" i="19" s="1"/>
  <c r="E117" i="21"/>
  <c r="AN18" i="23" s="1" a="1"/>
  <c r="AN18" i="23" s="1"/>
  <c r="AO18" i="23" s="1"/>
  <c r="E171" i="22" a="1"/>
  <c r="E171" i="22" s="1"/>
  <c r="E179" i="22" s="1"/>
  <c r="K19" i="21"/>
  <c r="EF11" i="23" s="1" a="1"/>
  <c r="EF11" i="23" s="1"/>
  <c r="EG11" i="23" s="1"/>
  <c r="K10" i="22" a="1"/>
  <c r="K10" i="22" s="1"/>
  <c r="K18" i="22" s="1"/>
  <c r="W44" i="19"/>
  <c r="X43" i="19"/>
  <c r="Y43" i="19" s="1" a="1"/>
  <c r="Y43" i="19" s="1"/>
  <c r="BA12" i="19"/>
  <c r="AJ13" i="19"/>
  <c r="AK13" i="19" s="1" a="1"/>
  <c r="AK13" i="19" s="1"/>
  <c r="AI14" i="19"/>
  <c r="AC134" i="19"/>
  <c r="AD133" i="19"/>
  <c r="AE133" i="19" s="1" a="1"/>
  <c r="AE133" i="19" s="1"/>
  <c r="AL104" i="19"/>
  <c r="AM103" i="19"/>
  <c r="AN103" i="19" s="1" a="1"/>
  <c r="AN103" i="19" s="1"/>
  <c r="AR119" i="19"/>
  <c r="AS118" i="19"/>
  <c r="AT118" i="19" s="1" a="1"/>
  <c r="AT118" i="19" s="1"/>
  <c r="W74" i="19"/>
  <c r="X73" i="19"/>
  <c r="Y73" i="19" s="1" a="1"/>
  <c r="Y73" i="19" s="1"/>
  <c r="AD28" i="19"/>
  <c r="AE28" i="19" s="1" a="1"/>
  <c r="AE28" i="19" s="1"/>
  <c r="AC29" i="19"/>
  <c r="AL29" i="19"/>
  <c r="AM28" i="19"/>
  <c r="AN28" i="19" s="1" a="1"/>
  <c r="AN28" i="19" s="1"/>
  <c r="N75" i="21"/>
  <c r="GB15" i="23" s="1" a="1"/>
  <c r="GB15" i="23" s="1"/>
  <c r="GC15" i="23" s="1"/>
  <c r="N102" i="22" a="1"/>
  <c r="N102" i="22" s="1"/>
  <c r="N110" i="22" s="1"/>
  <c r="N113" i="22" s="1"/>
  <c r="G33" i="21"/>
  <c r="BT12" i="23" s="1" a="1"/>
  <c r="BT12" i="23" s="1"/>
  <c r="BU12" i="23" s="1"/>
  <c r="G33" i="22" a="1"/>
  <c r="G33" i="22" s="1"/>
  <c r="G41" i="22" s="1"/>
  <c r="E92" i="22"/>
  <c r="AD14" i="23" a="1"/>
  <c r="AD14" i="23" s="1"/>
  <c r="F14" i="25" s="1" a="1"/>
  <c r="F14" i="25" s="1"/>
  <c r="E94" i="22"/>
  <c r="E91" i="22"/>
  <c r="AE14" i="23" s="1" a="1"/>
  <c r="AE14" i="23" s="1"/>
  <c r="O33" i="21"/>
  <c r="GR12" i="23" s="1" a="1"/>
  <c r="GR12" i="23" s="1"/>
  <c r="GS12" i="23" s="1"/>
  <c r="O33" i="22" a="1"/>
  <c r="O33" i="22" s="1"/>
  <c r="O41" i="22" s="1"/>
  <c r="AV58" i="19"/>
  <c r="AW58" i="19" s="1" a="1"/>
  <c r="AW58" i="19" s="1"/>
  <c r="AU59" i="19"/>
  <c r="T134" i="19"/>
  <c r="U133" i="19"/>
  <c r="V133" i="19" s="1" a="1"/>
  <c r="V133" i="19" s="1"/>
  <c r="T74" i="19"/>
  <c r="U73" i="19"/>
  <c r="V73" i="19" s="1" a="1"/>
  <c r="V73" i="19" s="1"/>
  <c r="W149" i="19"/>
  <c r="X148" i="19"/>
  <c r="Y148" i="19" s="1" a="1"/>
  <c r="Y148" i="19" s="1"/>
  <c r="AL149" i="19"/>
  <c r="AM148" i="19"/>
  <c r="AN148" i="19" s="1" a="1"/>
  <c r="AN148" i="19" s="1"/>
  <c r="AI44" i="19"/>
  <c r="AJ43" i="19"/>
  <c r="AK43" i="19" s="1" a="1"/>
  <c r="AK43" i="19" s="1"/>
  <c r="L19" i="21"/>
  <c r="EV11" i="23" s="1" a="1"/>
  <c r="EV11" i="23" s="1"/>
  <c r="EW11" i="23" s="1"/>
  <c r="L10" i="22" a="1"/>
  <c r="L10" i="22" s="1"/>
  <c r="L18" i="22" s="1"/>
  <c r="AX14" i="19"/>
  <c r="AY13" i="19"/>
  <c r="AZ13" i="19" s="1" a="1"/>
  <c r="AZ13" i="19" s="1"/>
  <c r="BA13" i="19" s="1"/>
  <c r="BA117" i="19"/>
  <c r="AI104" i="19"/>
  <c r="AJ103" i="19"/>
  <c r="AK103" i="19" s="1" a="1"/>
  <c r="AK103" i="19" s="1"/>
  <c r="AR59" i="19"/>
  <c r="AS58" i="19"/>
  <c r="AT58" i="19" s="1" a="1"/>
  <c r="AT58" i="19" s="1"/>
  <c r="J113" i="22"/>
  <c r="J115" i="22"/>
  <c r="AF149" i="19"/>
  <c r="AG148" i="19"/>
  <c r="AH148" i="19" s="1" a="1"/>
  <c r="AH148" i="19" s="1"/>
  <c r="AO59" i="19"/>
  <c r="AP58" i="19"/>
  <c r="AQ58" i="19" s="1" a="1"/>
  <c r="AQ58" i="19" s="1"/>
  <c r="F33" i="21"/>
  <c r="BD12" i="23" s="1" a="1"/>
  <c r="BD12" i="23" s="1"/>
  <c r="BE12" i="23" s="1"/>
  <c r="F33" i="22" a="1"/>
  <c r="F33" i="22" s="1"/>
  <c r="F41" i="22" s="1"/>
  <c r="Q29" i="19"/>
  <c r="R28" i="19"/>
  <c r="S28" i="19" s="1" a="1"/>
  <c r="S28" i="19" s="1"/>
  <c r="BN19" i="23" a="1"/>
  <c r="BN19" i="23" s="1"/>
  <c r="GL19" i="23" a="1"/>
  <c r="GL19" i="23" s="1"/>
  <c r="E211" i="22"/>
  <c r="AF19" i="23" s="1" a="1"/>
  <c r="AF19" i="23" s="1"/>
  <c r="AH19" i="23" s="1" a="1"/>
  <c r="AH19" i="23" s="1"/>
  <c r="I211" i="22"/>
  <c r="CR19" i="23" s="1" a="1"/>
  <c r="CR19" i="23" s="1"/>
  <c r="CT19" i="23" s="1" a="1"/>
  <c r="CT19" i="23" s="1"/>
  <c r="AH17" i="23" a="1"/>
  <c r="AH17" i="23" s="1"/>
  <c r="CW17" i="23" a="1"/>
  <c r="CW17" i="23" s="1"/>
  <c r="FI17" i="23" a="1"/>
  <c r="FI17" i="23" s="1"/>
  <c r="FF17" i="23" a="1"/>
  <c r="FF17" i="23" s="1"/>
  <c r="EC17" i="23" a="1"/>
  <c r="EC17" i="23" s="1"/>
  <c r="DZ17" i="23" a="1"/>
  <c r="DZ17" i="23" s="1"/>
  <c r="AX19" i="23" a="1"/>
  <c r="AX19" i="23" s="1"/>
  <c r="EP17" i="23" a="1"/>
  <c r="EP17" i="23" s="1"/>
  <c r="ES17" i="23" a="1"/>
  <c r="ES17" i="23" s="1"/>
  <c r="BA17" i="23" a="1"/>
  <c r="BA17" i="23" s="1"/>
  <c r="D280" i="13" a="1"/>
  <c r="D280" i="13" s="1"/>
  <c r="D307" i="13" s="1"/>
  <c r="CD19" i="23" a="1"/>
  <c r="CD19" i="23" s="1"/>
  <c r="D129" i="12"/>
  <c r="D211" i="22"/>
  <c r="P19" i="23" s="1" a="1"/>
  <c r="P19" i="23" s="1"/>
  <c r="U19" i="23" s="1" a="1"/>
  <c r="U19" i="23" s="1"/>
  <c r="A118" i="12" a="1"/>
  <c r="A118" i="12" s="1"/>
  <c r="H384" i="13" a="1"/>
  <c r="H384" i="13" s="1"/>
  <c r="H411" i="13" s="1"/>
  <c r="H172" i="12"/>
  <c r="H167" i="12"/>
  <c r="H389" i="13" s="1" a="1"/>
  <c r="H389" i="13" s="1"/>
  <c r="L163" i="12" a="1"/>
  <c r="L163" i="12" s="1"/>
  <c r="L385" i="13" s="1" a="1"/>
  <c r="L385" i="13" s="1"/>
  <c r="D163" i="12" a="1"/>
  <c r="D163" i="12" s="1"/>
  <c r="D385" i="13" s="1" a="1"/>
  <c r="D385" i="13" s="1"/>
  <c r="K163" i="12" a="1"/>
  <c r="K163" i="12" s="1"/>
  <c r="K385" i="13" s="1" a="1"/>
  <c r="K385" i="13" s="1"/>
  <c r="I163" i="12" a="1"/>
  <c r="I163" i="12" s="1"/>
  <c r="I385" i="13" s="1" a="1"/>
  <c r="I385" i="13" s="1"/>
  <c r="J163" i="12" a="1"/>
  <c r="J163" i="12" s="1"/>
  <c r="J385" i="13" s="1" a="1"/>
  <c r="J385" i="13" s="1"/>
  <c r="M163" i="12" a="1"/>
  <c r="M163" i="12" s="1"/>
  <c r="M385" i="13" s="1" a="1"/>
  <c r="M385" i="13" s="1"/>
  <c r="H163" i="12" a="1"/>
  <c r="H163" i="12" s="1"/>
  <c r="H385" i="13" s="1" a="1"/>
  <c r="H385" i="13" s="1"/>
  <c r="O163" i="12" a="1"/>
  <c r="O163" i="12" s="1"/>
  <c r="O385" i="13" s="1" a="1"/>
  <c r="O385" i="13" s="1"/>
  <c r="G163" i="12" a="1"/>
  <c r="G163" i="12" s="1"/>
  <c r="G385" i="13" s="1" a="1"/>
  <c r="G385" i="13" s="1"/>
  <c r="E163" i="12" a="1"/>
  <c r="E163" i="12" s="1"/>
  <c r="E385" i="13" s="1" a="1"/>
  <c r="E385" i="13" s="1"/>
  <c r="N163" i="12" a="1"/>
  <c r="N163" i="12" s="1"/>
  <c r="N385" i="13" s="1" a="1"/>
  <c r="N385" i="13" s="1"/>
  <c r="F163" i="12" a="1"/>
  <c r="F163" i="12" s="1"/>
  <c r="F385" i="13" s="1" a="1"/>
  <c r="F385" i="13" s="1"/>
  <c r="J384" i="13" a="1"/>
  <c r="J384" i="13" s="1"/>
  <c r="J411" i="13" s="1"/>
  <c r="J172" i="12"/>
  <c r="J167" i="12"/>
  <c r="J389" i="13" s="1" a="1"/>
  <c r="J389" i="13" s="1"/>
  <c r="I384" i="13" a="1"/>
  <c r="I384" i="13" s="1"/>
  <c r="I411" i="13" s="1"/>
  <c r="I172" i="12"/>
  <c r="I167" i="12"/>
  <c r="I389" i="13" s="1" a="1"/>
  <c r="I389" i="13" s="1"/>
  <c r="I151" i="12" a="1"/>
  <c r="I151" i="12" s="1"/>
  <c r="H151" i="12" a="1"/>
  <c r="H151" i="12" s="1"/>
  <c r="O151" i="12" a="1"/>
  <c r="O151" i="12" s="1"/>
  <c r="G151" i="12" a="1"/>
  <c r="G151" i="12" s="1"/>
  <c r="N151" i="12" a="1"/>
  <c r="N151" i="12" s="1"/>
  <c r="F151" i="12" a="1"/>
  <c r="F151" i="12" s="1"/>
  <c r="M151" i="12" a="1"/>
  <c r="M151" i="12" s="1"/>
  <c r="E151" i="12" a="1"/>
  <c r="E151" i="12" s="1"/>
  <c r="L151" i="12" a="1"/>
  <c r="L151" i="12" s="1"/>
  <c r="D151" i="12" a="1"/>
  <c r="D151" i="12" s="1"/>
  <c r="J151" i="12" a="1"/>
  <c r="J151" i="12" s="1"/>
  <c r="K151" i="12" a="1"/>
  <c r="K151" i="12" s="1"/>
  <c r="K384" i="13" a="1"/>
  <c r="K384" i="13" s="1"/>
  <c r="K411" i="13" s="1"/>
  <c r="K172" i="12"/>
  <c r="K167" i="12"/>
  <c r="K389" i="13" s="1" a="1"/>
  <c r="K389" i="13" s="1"/>
  <c r="O167" i="12"/>
  <c r="O389" i="13" s="1" a="1"/>
  <c r="O389" i="13" s="1"/>
  <c r="O172" i="12"/>
  <c r="O384" i="13" a="1"/>
  <c r="O384" i="13" s="1"/>
  <c r="O411" i="13" s="1"/>
  <c r="D384" i="13" a="1"/>
  <c r="D384" i="13" s="1"/>
  <c r="D411" i="13" s="1"/>
  <c r="D172" i="12"/>
  <c r="D167" i="12"/>
  <c r="D389" i="13" s="1" a="1"/>
  <c r="D389" i="13" s="1"/>
  <c r="G384" i="13" a="1"/>
  <c r="G384" i="13" s="1"/>
  <c r="G411" i="13" s="1"/>
  <c r="G167" i="12"/>
  <c r="G389" i="13" s="1" a="1"/>
  <c r="G389" i="13" s="1"/>
  <c r="G172" i="12"/>
  <c r="L384" i="13" a="1"/>
  <c r="L384" i="13" s="1"/>
  <c r="L411" i="13" s="1"/>
  <c r="L167" i="12"/>
  <c r="L389" i="13" s="1" a="1"/>
  <c r="L389" i="13" s="1"/>
  <c r="L172" i="12"/>
  <c r="I164" i="12" a="1"/>
  <c r="I164" i="12" s="1"/>
  <c r="H164" i="12" a="1"/>
  <c r="H164" i="12" s="1"/>
  <c r="O164" i="12" a="1"/>
  <c r="O164" i="12" s="1"/>
  <c r="G164" i="12" a="1"/>
  <c r="G164" i="12" s="1"/>
  <c r="N164" i="12" a="1"/>
  <c r="N164" i="12" s="1"/>
  <c r="F164" i="12" a="1"/>
  <c r="F164" i="12" s="1"/>
  <c r="M164" i="12" a="1"/>
  <c r="M164" i="12" s="1"/>
  <c r="E164" i="12" a="1"/>
  <c r="E164" i="12" s="1"/>
  <c r="L164" i="12" a="1"/>
  <c r="L164" i="12" s="1"/>
  <c r="D164" i="12" a="1"/>
  <c r="D164" i="12" s="1"/>
  <c r="J164" i="12" a="1"/>
  <c r="J164" i="12" s="1"/>
  <c r="K164" i="12" a="1"/>
  <c r="K164" i="12" s="1"/>
  <c r="F384" i="13" a="1"/>
  <c r="F384" i="13" s="1"/>
  <c r="F411" i="13" s="1"/>
  <c r="F167" i="12"/>
  <c r="F389" i="13" s="1" a="1"/>
  <c r="F389" i="13" s="1"/>
  <c r="F172" i="12"/>
  <c r="E384" i="13" a="1"/>
  <c r="E384" i="13" s="1"/>
  <c r="E411" i="13" s="1"/>
  <c r="E172" i="12"/>
  <c r="E167" i="12"/>
  <c r="E389" i="13" s="1" a="1"/>
  <c r="E389" i="13" s="1"/>
  <c r="H175" i="12" a="1"/>
  <c r="H175" i="12" s="1"/>
  <c r="O175" i="12" a="1"/>
  <c r="O175" i="12" s="1"/>
  <c r="G175" i="12" a="1"/>
  <c r="G175" i="12" s="1"/>
  <c r="N175" i="12" a="1"/>
  <c r="N175" i="12" s="1"/>
  <c r="F175" i="12" a="1"/>
  <c r="F175" i="12" s="1"/>
  <c r="M175" i="12" a="1"/>
  <c r="M175" i="12" s="1"/>
  <c r="E175" i="12" a="1"/>
  <c r="E175" i="12" s="1"/>
  <c r="L175" i="12" a="1"/>
  <c r="L175" i="12" s="1"/>
  <c r="D175" i="12" a="1"/>
  <c r="D175" i="12" s="1"/>
  <c r="K175" i="12" a="1"/>
  <c r="K175" i="12" s="1"/>
  <c r="I175" i="12" a="1"/>
  <c r="I175" i="12" s="1"/>
  <c r="J175" i="12" a="1"/>
  <c r="J175" i="12" s="1"/>
  <c r="N384" i="13" a="1"/>
  <c r="N384" i="13" s="1"/>
  <c r="N411" i="13" s="1"/>
  <c r="N167" i="12"/>
  <c r="N389" i="13" s="1" a="1"/>
  <c r="N389" i="13" s="1"/>
  <c r="N172" i="12"/>
  <c r="M167" i="12"/>
  <c r="M389" i="13" s="1" a="1"/>
  <c r="M389" i="13" s="1"/>
  <c r="M384" i="13" a="1"/>
  <c r="M384" i="13" s="1"/>
  <c r="M411" i="13" s="1"/>
  <c r="M172" i="12"/>
  <c r="A277" i="13" a="1"/>
  <c r="A277" i="13" s="1"/>
  <c r="D114" i="13" a="1"/>
  <c r="D114" i="13" s="1"/>
  <c r="AI19" i="9" a="1"/>
  <c r="AI19" i="9" s="1"/>
  <c r="E118" i="12" a="1"/>
  <c r="E118" i="12" s="1"/>
  <c r="E106" i="12" a="1"/>
  <c r="E106" i="12" s="1"/>
  <c r="E247" i="13" s="1" a="1"/>
  <c r="E247" i="13" s="1"/>
  <c r="AX18" i="9" s="1" a="1"/>
  <c r="AX18" i="9" s="1"/>
  <c r="AI18" i="9" a="1"/>
  <c r="AI18" i="9" s="1"/>
  <c r="E104" i="12" a="1"/>
  <c r="E104" i="12" s="1"/>
  <c r="FW18" i="9" a="1"/>
  <c r="FW18" i="9" s="1"/>
  <c r="FX18" i="9" s="1"/>
  <c r="D126" i="12"/>
  <c r="D128" i="12" s="1"/>
  <c r="D286" i="13" s="1" a="1"/>
  <c r="D286" i="13" s="1"/>
  <c r="D285" i="13" a="1"/>
  <c r="D285" i="13" s="1"/>
  <c r="F92" i="12" a="1"/>
  <c r="F92" i="12" s="1"/>
  <c r="F213" i="13" s="1" a="1"/>
  <c r="F213" i="13" s="1"/>
  <c r="BQ17" i="9" s="1" a="1"/>
  <c r="BQ17" i="9" s="1"/>
  <c r="BB17" i="9" a="1"/>
  <c r="BB17" i="9" s="1"/>
  <c r="F90" i="12" a="1"/>
  <c r="F90" i="12" s="1"/>
  <c r="E212" i="13" a="1"/>
  <c r="E212" i="13" s="1"/>
  <c r="E239" i="13" s="1"/>
  <c r="E96" i="12"/>
  <c r="E101" i="12"/>
  <c r="D98" i="12"/>
  <c r="D217" i="13" a="1"/>
  <c r="D217" i="13" s="1"/>
  <c r="GP17" i="9" a="1"/>
  <c r="GP17" i="9" s="1"/>
  <c r="GQ17" i="9" s="1"/>
  <c r="D120" i="12" a="1"/>
  <c r="D120" i="12" s="1"/>
  <c r="D281" i="13" s="1" a="1"/>
  <c r="D281" i="13" s="1"/>
  <c r="AE19" i="9" s="1" a="1"/>
  <c r="AE19" i="9" s="1"/>
  <c r="D246" i="13" a="1"/>
  <c r="D246" i="13" s="1"/>
  <c r="D273" i="13" s="1"/>
  <c r="D110" i="12"/>
  <c r="D115" i="12"/>
  <c r="C30" i="28" a="1"/>
  <c r="C30" i="28" s="1"/>
  <c r="A311" i="13" a="1"/>
  <c r="A311" i="13" s="1"/>
  <c r="A132" i="12" a="1"/>
  <c r="A132" i="12" s="1"/>
  <c r="D71" i="12"/>
  <c r="D75" i="12" s="1"/>
  <c r="E57" i="12"/>
  <c r="E114" i="13" s="1" a="1"/>
  <c r="E114" i="13" s="1"/>
  <c r="F43" i="12"/>
  <c r="F80" i="13" s="1" a="1"/>
  <c r="F80" i="13" s="1"/>
  <c r="F44" i="12"/>
  <c r="J22" i="12" a="1"/>
  <c r="J22" i="12" s="1"/>
  <c r="J43" i="13" s="1" a="1"/>
  <c r="J43" i="13" s="1"/>
  <c r="EO12" i="9" s="1" a="1"/>
  <c r="EO12" i="9" s="1"/>
  <c r="DZ12" i="9" a="1"/>
  <c r="DZ12" i="9" s="1"/>
  <c r="J20" i="12" a="1"/>
  <c r="J20" i="12" s="1"/>
  <c r="G42" i="12"/>
  <c r="G44" i="12" s="1"/>
  <c r="G82" i="13" s="1" a="1"/>
  <c r="G82" i="13" s="1"/>
  <c r="G81" i="13" a="1"/>
  <c r="G81" i="13" s="1"/>
  <c r="HI15" i="9" a="1"/>
  <c r="HI15" i="9" s="1"/>
  <c r="HJ15" i="9" s="1"/>
  <c r="D84" i="12"/>
  <c r="D86" i="12" s="1"/>
  <c r="D184" i="13" s="1" a="1"/>
  <c r="D184" i="13" s="1"/>
  <c r="D183" i="13" a="1"/>
  <c r="D183" i="13" s="1"/>
  <c r="GP16" i="9" a="1"/>
  <c r="GP16" i="9" s="1"/>
  <c r="GQ16" i="9" s="1"/>
  <c r="E70" i="12"/>
  <c r="E72" i="12" s="1"/>
  <c r="E150" i="13" s="1" a="1"/>
  <c r="E150" i="13" s="1"/>
  <c r="E149" i="13" a="1"/>
  <c r="E149" i="13" s="1"/>
  <c r="H40" i="12"/>
  <c r="H45" i="12"/>
  <c r="H76" i="13" a="1"/>
  <c r="H76" i="13" s="1"/>
  <c r="H103" i="13" s="1"/>
  <c r="F33" i="12"/>
  <c r="F48" i="13" a="1"/>
  <c r="F48" i="13" s="1"/>
  <c r="IB14" i="9" a="1"/>
  <c r="IB14" i="9" s="1"/>
  <c r="IC14" i="9" s="1"/>
  <c r="D27" i="24" a="1"/>
  <c r="D27" i="24" s="1"/>
  <c r="G59" i="12"/>
  <c r="G54" i="12"/>
  <c r="G110" i="13" a="1"/>
  <c r="G110" i="13" s="1"/>
  <c r="G137" i="13" s="1"/>
  <c r="E178" i="13" a="1"/>
  <c r="E178" i="13" s="1"/>
  <c r="E205" i="13" s="1"/>
  <c r="E87" i="12"/>
  <c r="E82" i="12"/>
  <c r="G29" i="12"/>
  <c r="H28" i="12"/>
  <c r="H47" i="13" a="1"/>
  <c r="H47" i="13" s="1"/>
  <c r="H50" i="12" a="1"/>
  <c r="H50" i="12" s="1"/>
  <c r="H111" i="13" s="1" a="1"/>
  <c r="H111" i="13" s="1"/>
  <c r="DC14" i="9" s="1" a="1"/>
  <c r="DC14" i="9" s="1"/>
  <c r="CN14" i="9" a="1"/>
  <c r="CN14" i="9" s="1"/>
  <c r="H48" i="12" a="1"/>
  <c r="H48" i="12" s="1"/>
  <c r="E47" i="12"/>
  <c r="E80" i="13" a="1"/>
  <c r="E80" i="13" s="1"/>
  <c r="GP19" i="9" a="1"/>
  <c r="GP19" i="9" s="1"/>
  <c r="GQ19" i="9" s="1"/>
  <c r="I36" i="12" a="1"/>
  <c r="I36" i="12" s="1"/>
  <c r="I77" i="13" s="1" a="1"/>
  <c r="I77" i="13" s="1"/>
  <c r="DV13" i="9" s="1" a="1"/>
  <c r="DV13" i="9" s="1"/>
  <c r="DG13" i="9" a="1"/>
  <c r="DG13" i="9" s="1"/>
  <c r="I34" i="12" a="1"/>
  <c r="I34" i="12" s="1"/>
  <c r="F144" i="13" a="1"/>
  <c r="F144" i="13" s="1"/>
  <c r="F171" i="13" s="1"/>
  <c r="F73" i="12"/>
  <c r="F68" i="12"/>
  <c r="F56" i="12"/>
  <c r="F115" i="13" a="1"/>
  <c r="F115" i="13" s="1"/>
  <c r="I26" i="12"/>
  <c r="I31" i="12"/>
  <c r="I42" i="13" a="1"/>
  <c r="I42" i="13" s="1"/>
  <c r="I69" i="13" s="1"/>
  <c r="BU15" i="9" a="1"/>
  <c r="BU15" i="9" s="1"/>
  <c r="G64" i="12" a="1"/>
  <c r="G64" i="12" s="1"/>
  <c r="G145" i="13" s="1" a="1"/>
  <c r="G145" i="13" s="1"/>
  <c r="CJ15" i="9" s="1" a="1"/>
  <c r="CJ15" i="9" s="1"/>
  <c r="G62" i="12" a="1"/>
  <c r="G62" i="12" s="1"/>
  <c r="BB16" i="9" a="1"/>
  <c r="BB16" i="9" s="1"/>
  <c r="F78" i="12" a="1"/>
  <c r="F78" i="12" s="1"/>
  <c r="F179" i="13" s="1" a="1"/>
  <c r="F179" i="13" s="1"/>
  <c r="BQ16" i="9" s="1" a="1"/>
  <c r="BQ16" i="9" s="1"/>
  <c r="F76" i="12" a="1"/>
  <c r="F76" i="12" s="1"/>
  <c r="FI19" i="23" a="1"/>
  <c r="FI19" i="23" s="1"/>
  <c r="FF19" i="23" a="1"/>
  <c r="FF19" i="23" s="1"/>
  <c r="U17" i="23" a="1"/>
  <c r="U17" i="23" s="1"/>
  <c r="AX15" i="23" a="1"/>
  <c r="AX15" i="23" s="1"/>
  <c r="BA15" i="23" a="1"/>
  <c r="BA15" i="23" s="1"/>
  <c r="ES20" i="23" a="1"/>
  <c r="ES20" i="23" s="1"/>
  <c r="EP20" i="23" a="1"/>
  <c r="EP20" i="23" s="1"/>
  <c r="I21" i="27"/>
  <c r="G21" i="27"/>
  <c r="H21" i="27"/>
  <c r="N21" i="27"/>
  <c r="N12" i="25" a="1"/>
  <c r="N12" i="25" s="1"/>
  <c r="K21" i="27"/>
  <c r="M12" i="25" a="1"/>
  <c r="M12" i="25" s="1"/>
  <c r="O11" i="25" a="1"/>
  <c r="O11" i="25" s="1"/>
  <c r="J21" i="27"/>
  <c r="J11" i="25" a="1"/>
  <c r="J11" i="25" s="1"/>
  <c r="L21" i="27"/>
  <c r="P21" i="27"/>
  <c r="CW11" i="23" a="1"/>
  <c r="CW11" i="23" s="1"/>
  <c r="CT11" i="23" a="1"/>
  <c r="CT11" i="23" s="1"/>
  <c r="FY11" i="23" a="1"/>
  <c r="FY11" i="23" s="1"/>
  <c r="FV11" i="23" a="1"/>
  <c r="FV11" i="23" s="1"/>
  <c r="ES12" i="23" a="1"/>
  <c r="ES12" i="23" s="1"/>
  <c r="EP12" i="23" a="1"/>
  <c r="EP12" i="23" s="1"/>
  <c r="FF12" i="23" a="1"/>
  <c r="FF12" i="23" s="1"/>
  <c r="FI12" i="23" a="1"/>
  <c r="FI12" i="23" s="1"/>
  <c r="U13" i="23" a="1"/>
  <c r="U13" i="23" s="1"/>
  <c r="R13" i="23" a="1"/>
  <c r="R13" i="23" s="1"/>
  <c r="GU13" i="23" s="1"/>
  <c r="R17" i="23" a="1"/>
  <c r="R17" i="23" s="1"/>
  <c r="B220" i="13"/>
  <c r="B221" i="13" s="1"/>
  <c r="B222" i="13" s="1"/>
  <c r="B223" i="13" s="1"/>
  <c r="B224" i="13" s="1"/>
  <c r="B225" i="13" s="1"/>
  <c r="B226" i="13" s="1"/>
  <c r="B227" i="13" s="1"/>
  <c r="B228" i="13" s="1"/>
  <c r="B229" i="13" s="1"/>
  <c r="B230" i="13" s="1"/>
  <c r="B231" i="13" s="1"/>
  <c r="B232" i="13" s="1"/>
  <c r="B216" i="13"/>
  <c r="B217" i="13" s="1"/>
  <c r="B218" i="13" s="1"/>
  <c r="B219" i="13" s="1"/>
  <c r="B277" i="13" a="1"/>
  <c r="B277" i="13" s="1"/>
  <c r="B278" i="13" s="1"/>
  <c r="B245" i="13"/>
  <c r="B246" i="13" s="1"/>
  <c r="B247" i="13" s="1"/>
  <c r="B248" i="13"/>
  <c r="B249" i="13" s="1"/>
  <c r="B204" i="13"/>
  <c r="B199" i="13"/>
  <c r="B166" i="13"/>
  <c r="B167" i="13" s="1"/>
  <c r="B168" i="13" s="1"/>
  <c r="B169" i="13" s="1"/>
  <c r="B171" i="13"/>
  <c r="B172" i="13" s="1"/>
  <c r="B173" i="13" s="1"/>
  <c r="B174" i="13" s="1"/>
  <c r="AA300" i="10"/>
  <c r="AA301" i="10" s="1"/>
  <c r="AA313" i="10"/>
  <c r="AA275" i="10"/>
  <c r="AA288" i="10"/>
  <c r="B118" i="12" a="1"/>
  <c r="B118" i="12" s="1"/>
  <c r="R189" i="12"/>
  <c r="R202" i="12"/>
  <c r="R190" i="12"/>
  <c r="R177" i="12"/>
  <c r="R178" i="12"/>
  <c r="R165" i="12"/>
  <c r="CI388" i="1"/>
  <c r="CH6" i="1" a="1"/>
  <c r="CH6" i="1" s="1"/>
  <c r="CT6" i="1" a="1"/>
  <c r="CT6" i="1" s="1"/>
  <c r="CU388" i="1"/>
  <c r="BK5" i="1" a="1"/>
  <c r="BK5" i="1" s="1"/>
  <c r="BP388" i="1"/>
  <c r="I4" i="7"/>
  <c r="L4" i="7" s="1"/>
  <c r="I8" i="7"/>
  <c r="L8" i="7" s="1"/>
  <c r="I9" i="7"/>
  <c r="L9" i="7" s="1"/>
  <c r="M10" i="8"/>
  <c r="O9" i="8"/>
  <c r="P9" i="8" s="1"/>
  <c r="N9" i="8"/>
  <c r="I7" i="7"/>
  <c r="L7" i="7" s="1"/>
  <c r="I6" i="7"/>
  <c r="L6" i="7" s="1"/>
  <c r="I12" i="7"/>
  <c r="L12" i="7" s="1"/>
  <c r="I11" i="7"/>
  <c r="L11" i="7" s="1"/>
  <c r="I5" i="7"/>
  <c r="L5" i="7" s="1"/>
  <c r="M10" i="6"/>
  <c r="O9" i="6"/>
  <c r="P9" i="6" s="1"/>
  <c r="N9" i="6"/>
  <c r="I10" i="7"/>
  <c r="L10" i="7" s="1"/>
  <c r="R13" i="6"/>
  <c r="S12" i="6"/>
  <c r="I3" i="7"/>
  <c r="L3" i="7" s="1"/>
  <c r="M3" i="7" s="1"/>
  <c r="N3" i="7" s="1"/>
  <c r="C83" i="5" s="1"/>
  <c r="T60" i="19" l="1"/>
  <c r="U59" i="19"/>
  <c r="V59" i="19" s="1" a="1"/>
  <c r="V59" i="19" s="1"/>
  <c r="BJ11" i="23" a="1"/>
  <c r="BJ11" i="23" s="1"/>
  <c r="H11" i="25" s="1" a="1"/>
  <c r="H11" i="25" s="1"/>
  <c r="G22" i="22"/>
  <c r="BK11" i="23" s="1" a="1"/>
  <c r="BK11" i="23" s="1"/>
  <c r="G25" i="22"/>
  <c r="AC45" i="19"/>
  <c r="AD44" i="19"/>
  <c r="AE44" i="19" s="1" a="1"/>
  <c r="AE44" i="19" s="1"/>
  <c r="AC60" i="19"/>
  <c r="AD59" i="19"/>
  <c r="AE59" i="19" s="1" a="1"/>
  <c r="AE59" i="19" s="1"/>
  <c r="AD14" i="19"/>
  <c r="AE14" i="19" s="1" a="1"/>
  <c r="AE14" i="19" s="1"/>
  <c r="AC15" i="19"/>
  <c r="F21" i="22"/>
  <c r="F23" i="22"/>
  <c r="AX15" i="19"/>
  <c r="AY14" i="19"/>
  <c r="AZ14" i="19" s="1" a="1"/>
  <c r="AZ14" i="19" s="1"/>
  <c r="T135" i="19"/>
  <c r="U134" i="19"/>
  <c r="V134" i="19" s="1" a="1"/>
  <c r="V134" i="19" s="1"/>
  <c r="G44" i="22"/>
  <c r="G46" i="22"/>
  <c r="E182" i="22"/>
  <c r="E184" i="22" s="1"/>
  <c r="AX105" i="19"/>
  <c r="AY104" i="19"/>
  <c r="AZ104" i="19" s="1" a="1"/>
  <c r="AZ104" i="19" s="1"/>
  <c r="U14" i="19"/>
  <c r="V14" i="19" s="1" a="1"/>
  <c r="V14" i="19" s="1"/>
  <c r="T15" i="19"/>
  <c r="AY89" i="19"/>
  <c r="AZ89" i="19" s="1" a="1"/>
  <c r="AZ89" i="19" s="1"/>
  <c r="AX90" i="19"/>
  <c r="AL60" i="19"/>
  <c r="AM59" i="19"/>
  <c r="AN59" i="19" s="1" a="1"/>
  <c r="AN59" i="19" s="1"/>
  <c r="HC12" i="23"/>
  <c r="HD12" i="23" s="1"/>
  <c r="K96" i="22"/>
  <c r="DX14" i="23" s="1" a="1"/>
  <c r="DX14" i="23" s="1"/>
  <c r="BA118" i="19"/>
  <c r="BN20" i="23" a="1"/>
  <c r="BN20" i="23" s="1"/>
  <c r="BQ20" i="23" a="1"/>
  <c r="BQ20" i="23" s="1"/>
  <c r="K119" i="22"/>
  <c r="DX15" i="23" s="1" a="1"/>
  <c r="DX15" i="23" s="1"/>
  <c r="EC15" i="23" s="1" a="1"/>
  <c r="EC15" i="23" s="1"/>
  <c r="FF18" i="23" a="1"/>
  <c r="FF18" i="23" s="1"/>
  <c r="AO150" i="19"/>
  <c r="AP149" i="19"/>
  <c r="AQ149" i="19" s="1" a="1"/>
  <c r="AQ149" i="19" s="1"/>
  <c r="AR105" i="19"/>
  <c r="AS104" i="19"/>
  <c r="AT104" i="19" s="1" a="1"/>
  <c r="AT104" i="19" s="1"/>
  <c r="AI90" i="19"/>
  <c r="AJ89" i="19"/>
  <c r="AK89" i="19" s="1" a="1"/>
  <c r="AK89" i="19" s="1"/>
  <c r="BA88" i="19"/>
  <c r="Q45" i="19"/>
  <c r="R44" i="19"/>
  <c r="S44" i="19" s="1" a="1"/>
  <c r="S44" i="19" s="1"/>
  <c r="AF90" i="19"/>
  <c r="AG89" i="19"/>
  <c r="AH89" i="19" s="1" a="1"/>
  <c r="AH89" i="19" s="1"/>
  <c r="F90" i="22"/>
  <c r="F92" i="22" s="1"/>
  <c r="I44" i="22"/>
  <c r="I46" i="22" s="1"/>
  <c r="AO60" i="19"/>
  <c r="AP59" i="19"/>
  <c r="AQ59" i="19" s="1" a="1"/>
  <c r="AQ59" i="19" s="1"/>
  <c r="L21" i="22"/>
  <c r="L23" i="22" s="1"/>
  <c r="AV59" i="19"/>
  <c r="AW59" i="19" s="1" a="1"/>
  <c r="AW59" i="19" s="1"/>
  <c r="AU60" i="19"/>
  <c r="AL105" i="19"/>
  <c r="AM104" i="19"/>
  <c r="AN104" i="19" s="1" a="1"/>
  <c r="AN104" i="19" s="1"/>
  <c r="K91" i="22"/>
  <c r="DW14" i="23" s="1" a="1"/>
  <c r="DW14" i="23" s="1"/>
  <c r="K94" i="22"/>
  <c r="DV14" i="23" a="1"/>
  <c r="DV14" i="23" s="1"/>
  <c r="L14" i="25" s="1" a="1"/>
  <c r="L14" i="25" s="1"/>
  <c r="AU105" i="19"/>
  <c r="AV104" i="19"/>
  <c r="AW104" i="19" s="1" a="1"/>
  <c r="AW104" i="19" s="1"/>
  <c r="E22" i="22"/>
  <c r="AE11" i="23" s="1" a="1"/>
  <c r="AE11" i="23" s="1"/>
  <c r="E25" i="22"/>
  <c r="E27" i="22" s="1"/>
  <c r="AF11" i="23" s="1" a="1"/>
  <c r="AF11" i="23" s="1"/>
  <c r="AH11" i="23" s="1" a="1"/>
  <c r="AH11" i="23" s="1"/>
  <c r="AD11" i="23" a="1"/>
  <c r="AD11" i="23" s="1"/>
  <c r="F11" i="25" s="1" a="1"/>
  <c r="F11" i="25" s="1"/>
  <c r="Z135" i="19"/>
  <c r="AA134" i="19"/>
  <c r="AB134" i="19" s="1" a="1"/>
  <c r="AB134" i="19" s="1"/>
  <c r="AL135" i="19"/>
  <c r="AM134" i="19"/>
  <c r="AN134" i="19" s="1" a="1"/>
  <c r="AN134" i="19" s="1"/>
  <c r="Q120" i="19"/>
  <c r="R119" i="19"/>
  <c r="S119" i="19" s="1" a="1"/>
  <c r="S119" i="19" s="1"/>
  <c r="T150" i="19"/>
  <c r="U149" i="19"/>
  <c r="V149" i="19" s="1" a="1"/>
  <c r="V149" i="19" s="1"/>
  <c r="Z120" i="19"/>
  <c r="AA119" i="19"/>
  <c r="AB119" i="19" s="1" a="1"/>
  <c r="AB119" i="19" s="1"/>
  <c r="K114" i="22"/>
  <c r="DW15" i="23" s="1" a="1"/>
  <c r="DW15" i="23" s="1"/>
  <c r="K117" i="22"/>
  <c r="DV15" i="23" a="1"/>
  <c r="DV15" i="23" s="1"/>
  <c r="L15" i="25" s="1" a="1"/>
  <c r="L15" i="25" s="1"/>
  <c r="M188" i="22"/>
  <c r="FD18" i="23" s="1" a="1"/>
  <c r="FD18" i="23" s="1"/>
  <c r="FI18" i="23" s="1" a="1"/>
  <c r="FI18" i="23" s="1"/>
  <c r="I113" i="22"/>
  <c r="I115" i="22"/>
  <c r="Q105" i="19"/>
  <c r="R104" i="19"/>
  <c r="S104" i="19" s="1" a="1"/>
  <c r="S104" i="19" s="1"/>
  <c r="AC90" i="19"/>
  <c r="AD89" i="19"/>
  <c r="AE89" i="19" s="1" a="1"/>
  <c r="AE89" i="19" s="1"/>
  <c r="AU120" i="19"/>
  <c r="AV119" i="19"/>
  <c r="AW119" i="19" s="1" a="1"/>
  <c r="AW119" i="19" s="1"/>
  <c r="K44" i="22"/>
  <c r="K46" i="22" s="1"/>
  <c r="F228" i="22"/>
  <c r="F230" i="22"/>
  <c r="H232" i="22"/>
  <c r="H234" i="22" s="1"/>
  <c r="CB20" i="23" s="1" a="1"/>
  <c r="CB20" i="23" s="1"/>
  <c r="BZ20" i="23" a="1"/>
  <c r="BZ20" i="23" s="1"/>
  <c r="I20" i="25" s="1" a="1"/>
  <c r="I20" i="25" s="1"/>
  <c r="H229" i="22"/>
  <c r="CA20" i="23" s="1" a="1"/>
  <c r="CA20" i="23" s="1"/>
  <c r="Q135" i="19"/>
  <c r="R134" i="19"/>
  <c r="S134" i="19" s="1" a="1"/>
  <c r="S134" i="19" s="1"/>
  <c r="N115" i="22"/>
  <c r="N114" i="22"/>
  <c r="FS15" i="23" s="1" a="1"/>
  <c r="FS15" i="23" s="1"/>
  <c r="FR15" i="23" a="1"/>
  <c r="FR15" i="23" s="1"/>
  <c r="O15" i="25" s="1" a="1"/>
  <c r="O15" i="25" s="1"/>
  <c r="N117" i="22"/>
  <c r="N119" i="22" s="1"/>
  <c r="FT15" i="23" s="1" a="1"/>
  <c r="FT15" i="23" s="1"/>
  <c r="W135" i="19"/>
  <c r="X134" i="19"/>
  <c r="Y134" i="19" s="1" a="1"/>
  <c r="Y134" i="19" s="1"/>
  <c r="AF60" i="19"/>
  <c r="AG59" i="19"/>
  <c r="AH59" i="19" s="1" a="1"/>
  <c r="AH59" i="19" s="1"/>
  <c r="AC75" i="19"/>
  <c r="AD74" i="19"/>
  <c r="AE74" i="19" s="1" a="1"/>
  <c r="AE74" i="19" s="1"/>
  <c r="AO75" i="19"/>
  <c r="AP74" i="19"/>
  <c r="AQ74" i="19" s="1" a="1"/>
  <c r="AQ74" i="19" s="1"/>
  <c r="AO105" i="19"/>
  <c r="AP104" i="19"/>
  <c r="AQ104" i="19" s="1" a="1"/>
  <c r="AQ104" i="19" s="1"/>
  <c r="G92" i="22"/>
  <c r="G94" i="22"/>
  <c r="G96" i="22" s="1"/>
  <c r="BL14" i="23" s="1" a="1"/>
  <c r="BL14" i="23" s="1"/>
  <c r="G91" i="22"/>
  <c r="BK14" i="23" s="1" a="1"/>
  <c r="BK14" i="23" s="1"/>
  <c r="BJ14" i="23" a="1"/>
  <c r="BJ14" i="23" s="1"/>
  <c r="H14" i="25" s="1" a="1"/>
  <c r="H14" i="25" s="1"/>
  <c r="AO90" i="19"/>
  <c r="AP89" i="19"/>
  <c r="AQ89" i="19" s="1" a="1"/>
  <c r="AQ89" i="19" s="1"/>
  <c r="AO120" i="19"/>
  <c r="AP119" i="19"/>
  <c r="AQ119" i="19" s="1" a="1"/>
  <c r="AQ119" i="19" s="1"/>
  <c r="BA58" i="19"/>
  <c r="AF105" i="19"/>
  <c r="AG104" i="19"/>
  <c r="AH104" i="19" s="1" a="1"/>
  <c r="AH104" i="19" s="1"/>
  <c r="Z60" i="19"/>
  <c r="AA59" i="19"/>
  <c r="AB59" i="19" s="1" a="1"/>
  <c r="AB59" i="19" s="1"/>
  <c r="D230" i="22"/>
  <c r="N20" i="23" a="1"/>
  <c r="N20" i="23" s="1"/>
  <c r="E20" i="25" s="1" a="1"/>
  <c r="E20" i="25" s="1"/>
  <c r="D232" i="22"/>
  <c r="D229" i="22"/>
  <c r="O20" i="23" s="1" a="1"/>
  <c r="O20" i="23" s="1"/>
  <c r="J91" i="22"/>
  <c r="DG14" i="23" s="1" a="1"/>
  <c r="DG14" i="23" s="1"/>
  <c r="J94" i="22"/>
  <c r="DF14" i="23" a="1"/>
  <c r="DF14" i="23" s="1"/>
  <c r="K14" i="25" s="1" a="1"/>
  <c r="K14" i="25" s="1"/>
  <c r="BA18" i="23" a="1"/>
  <c r="BA18" i="23" s="1"/>
  <c r="AX18" i="23" a="1"/>
  <c r="AX18" i="23" s="1"/>
  <c r="O113" i="22"/>
  <c r="O115" i="22" s="1"/>
  <c r="D44" i="22"/>
  <c r="D46" i="22"/>
  <c r="AV29" i="19"/>
  <c r="AW29" i="19" s="1" a="1"/>
  <c r="AW29" i="19" s="1"/>
  <c r="AU30" i="19"/>
  <c r="AF150" i="19"/>
  <c r="AG149" i="19"/>
  <c r="AH149" i="19" s="1" a="1"/>
  <c r="AH149" i="19" s="1"/>
  <c r="O44" i="22"/>
  <c r="AC135" i="19"/>
  <c r="AD134" i="19"/>
  <c r="AE134" i="19" s="1" a="1"/>
  <c r="AE134" i="19" s="1"/>
  <c r="AI135" i="19"/>
  <c r="AJ134" i="19"/>
  <c r="AK134" i="19" s="1" a="1"/>
  <c r="AK134" i="19" s="1"/>
  <c r="AX75" i="19"/>
  <c r="AY74" i="19"/>
  <c r="AZ74" i="19" s="1" a="1"/>
  <c r="AZ74" i="19" s="1"/>
  <c r="O21" i="22"/>
  <c r="O23" i="22"/>
  <c r="T90" i="19"/>
  <c r="U89" i="19"/>
  <c r="V89" i="19" s="1" a="1"/>
  <c r="V89" i="19" s="1"/>
  <c r="AF45" i="19"/>
  <c r="AG44" i="19"/>
  <c r="AH44" i="19" s="1" a="1"/>
  <c r="AH44" i="19" s="1"/>
  <c r="E113" i="22"/>
  <c r="E115" i="22"/>
  <c r="Z45" i="19"/>
  <c r="AA44" i="19"/>
  <c r="AB44" i="19" s="1" a="1"/>
  <c r="AB44" i="19" s="1"/>
  <c r="AF75" i="19"/>
  <c r="AG74" i="19"/>
  <c r="AH74" i="19" s="1" a="1"/>
  <c r="AH74" i="19" s="1"/>
  <c r="E228" i="22"/>
  <c r="E230" i="22"/>
  <c r="DF12" i="23" a="1"/>
  <c r="DF12" i="23" s="1"/>
  <c r="K12" i="25" s="1" a="1"/>
  <c r="K12" i="25" s="1"/>
  <c r="J48" i="22"/>
  <c r="J50" i="22" s="1"/>
  <c r="DH12" i="23" s="1" a="1"/>
  <c r="DH12" i="23" s="1"/>
  <c r="J45" i="22"/>
  <c r="DG12" i="23" s="1" a="1"/>
  <c r="DG12" i="23" s="1"/>
  <c r="AI120" i="19"/>
  <c r="AJ119" i="19"/>
  <c r="AK119" i="19" s="1" a="1"/>
  <c r="AK119" i="19" s="1"/>
  <c r="N230" i="22"/>
  <c r="N229" i="22"/>
  <c r="FS20" i="23" s="1" a="1"/>
  <c r="FS20" i="23" s="1"/>
  <c r="FR20" i="23" a="1"/>
  <c r="FR20" i="23" s="1"/>
  <c r="O20" i="25" s="1" a="1"/>
  <c r="O20" i="25" s="1"/>
  <c r="N232" i="22"/>
  <c r="N182" i="22"/>
  <c r="N184" i="22" s="1"/>
  <c r="D113" i="22"/>
  <c r="D115" i="22"/>
  <c r="AX60" i="19"/>
  <c r="AY59" i="19"/>
  <c r="AZ59" i="19" s="1" a="1"/>
  <c r="AZ59" i="19" s="1"/>
  <c r="W60" i="19"/>
  <c r="X59" i="19"/>
  <c r="Y59" i="19" s="1" a="1"/>
  <c r="Y59" i="19" s="1"/>
  <c r="BA148" i="19"/>
  <c r="D182" i="22"/>
  <c r="D184" i="22"/>
  <c r="DM20" i="23" a="1"/>
  <c r="DM20" i="23" s="1"/>
  <c r="DJ20" i="23" a="1"/>
  <c r="DJ20" i="23" s="1"/>
  <c r="HC20" i="23"/>
  <c r="HD20" i="23" s="1"/>
  <c r="AC105" i="19"/>
  <c r="AD104" i="19"/>
  <c r="AE104" i="19" s="1" a="1"/>
  <c r="AE104" i="19" s="1"/>
  <c r="E46" i="22"/>
  <c r="AD12" i="23" a="1"/>
  <c r="AD12" i="23" s="1"/>
  <c r="F12" i="25" s="1" a="1"/>
  <c r="F12" i="25" s="1"/>
  <c r="E45" i="22"/>
  <c r="AE12" i="23" s="1" a="1"/>
  <c r="AE12" i="23" s="1"/>
  <c r="E48" i="22"/>
  <c r="AR120" i="19"/>
  <c r="AS119" i="19"/>
  <c r="AT119" i="19" s="1" a="1"/>
  <c r="AT119" i="19" s="1"/>
  <c r="H117" i="22"/>
  <c r="H119" i="22" s="1"/>
  <c r="CB15" i="23" s="1" a="1"/>
  <c r="CB15" i="23" s="1"/>
  <c r="BZ15" i="23" a="1"/>
  <c r="BZ15" i="23" s="1"/>
  <c r="I15" i="25" s="1" a="1"/>
  <c r="I15" i="25" s="1"/>
  <c r="H114" i="22"/>
  <c r="CA15" i="23" s="1" a="1"/>
  <c r="CA15" i="23" s="1"/>
  <c r="AI45" i="19"/>
  <c r="AJ44" i="19"/>
  <c r="AK44" i="19" s="1" a="1"/>
  <c r="AK44" i="19" s="1"/>
  <c r="AI15" i="19"/>
  <c r="AJ14" i="19"/>
  <c r="AK14" i="19" s="1" a="1"/>
  <c r="AK14" i="19" s="1"/>
  <c r="BA73" i="19"/>
  <c r="HC11" i="23"/>
  <c r="Q90" i="19"/>
  <c r="R89" i="19"/>
  <c r="S89" i="19" s="1" a="1"/>
  <c r="S89" i="19" s="1"/>
  <c r="H90" i="22"/>
  <c r="H92" i="22"/>
  <c r="AR90" i="19"/>
  <c r="AS89" i="19"/>
  <c r="AT89" i="19" s="1" a="1"/>
  <c r="AT89" i="19" s="1"/>
  <c r="AM14" i="19"/>
  <c r="AN14" i="19" s="1" a="1"/>
  <c r="AN14" i="19" s="1"/>
  <c r="AL15" i="19"/>
  <c r="W15" i="19"/>
  <c r="X14" i="19"/>
  <c r="Y14" i="19" s="1" a="1"/>
  <c r="Y14" i="19" s="1"/>
  <c r="HC15" i="23"/>
  <c r="HD15" i="23" s="1"/>
  <c r="AL45" i="19"/>
  <c r="AM44" i="19"/>
  <c r="AN44" i="19" s="1" a="1"/>
  <c r="AN44" i="19" s="1"/>
  <c r="L90" i="22"/>
  <c r="L92" i="22" s="1"/>
  <c r="Q150" i="19"/>
  <c r="R149" i="19"/>
  <c r="S149" i="19" s="1" a="1"/>
  <c r="S149" i="19" s="1"/>
  <c r="HC18" i="23"/>
  <c r="HD18" i="23" s="1"/>
  <c r="J234" i="22"/>
  <c r="DH20" i="23" s="1" a="1"/>
  <c r="DH20" i="23" s="1"/>
  <c r="J182" i="22"/>
  <c r="J184" i="22"/>
  <c r="F44" i="22"/>
  <c r="J114" i="22"/>
  <c r="DG15" i="23" s="1" a="1"/>
  <c r="DG15" i="23" s="1"/>
  <c r="J117" i="22"/>
  <c r="J119" i="22" s="1"/>
  <c r="DH15" i="23" s="1" a="1"/>
  <c r="DH15" i="23" s="1"/>
  <c r="DM15" i="23" s="1" a="1"/>
  <c r="DM15" i="23" s="1"/>
  <c r="DF15" i="23" a="1"/>
  <c r="DF15" i="23" s="1"/>
  <c r="K15" i="25" s="1" a="1"/>
  <c r="K15" i="25" s="1"/>
  <c r="AL30" i="19"/>
  <c r="AM29" i="19"/>
  <c r="AN29" i="19" s="1" a="1"/>
  <c r="AN29" i="19" s="1"/>
  <c r="AF135" i="19"/>
  <c r="AG134" i="19"/>
  <c r="AH134" i="19" s="1" a="1"/>
  <c r="AH134" i="19" s="1"/>
  <c r="N90" i="22"/>
  <c r="N92" i="22"/>
  <c r="AA14" i="19"/>
  <c r="AB14" i="19" s="1" a="1"/>
  <c r="AB14" i="19" s="1"/>
  <c r="Z15" i="19"/>
  <c r="Q75" i="19"/>
  <c r="R74" i="19"/>
  <c r="S74" i="19" s="1" a="1"/>
  <c r="S74" i="19" s="1"/>
  <c r="W105" i="19"/>
  <c r="X104" i="19"/>
  <c r="Y104" i="19" s="1" a="1"/>
  <c r="Y104" i="19" s="1"/>
  <c r="AL90" i="19"/>
  <c r="AM89" i="19"/>
  <c r="AN89" i="19" s="1" a="1"/>
  <c r="AN89" i="19" s="1"/>
  <c r="AX135" i="19"/>
  <c r="AY134" i="19"/>
  <c r="AZ134" i="19" s="1" a="1"/>
  <c r="AZ134" i="19" s="1"/>
  <c r="W30" i="19"/>
  <c r="X29" i="19"/>
  <c r="Y29" i="19" s="1" a="1"/>
  <c r="Y29" i="19" s="1"/>
  <c r="AI150" i="19"/>
  <c r="AJ149" i="19"/>
  <c r="AK149" i="19" s="1" a="1"/>
  <c r="AK149" i="19" s="1"/>
  <c r="T105" i="19"/>
  <c r="U104" i="19"/>
  <c r="V104" i="19" s="1" a="1"/>
  <c r="V104" i="19" s="1"/>
  <c r="D94" i="22"/>
  <c r="D96" i="22" s="1"/>
  <c r="P14" i="23" s="1" a="1"/>
  <c r="P14" i="23" s="1"/>
  <c r="R14" i="23" s="1" a="1"/>
  <c r="R14" i="23" s="1"/>
  <c r="D91" i="22"/>
  <c r="O14" i="23" s="1" a="1"/>
  <c r="O14" i="23" s="1"/>
  <c r="N14" i="23" a="1"/>
  <c r="N14" i="23" s="1"/>
  <c r="E14" i="25" s="1" a="1"/>
  <c r="E14" i="25" s="1"/>
  <c r="I182" i="22"/>
  <c r="I184" i="22" s="1"/>
  <c r="AX45" i="19"/>
  <c r="AY44" i="19"/>
  <c r="AZ44" i="19" s="1" a="1"/>
  <c r="AZ44" i="19" s="1"/>
  <c r="AC120" i="19"/>
  <c r="AD119" i="19"/>
  <c r="AE119" i="19" s="1" a="1"/>
  <c r="AE119" i="19" s="1"/>
  <c r="AR135" i="19"/>
  <c r="AS134" i="19"/>
  <c r="AT134" i="19" s="1" a="1"/>
  <c r="AT134" i="19" s="1"/>
  <c r="T120" i="19"/>
  <c r="U119" i="19"/>
  <c r="V119" i="19" s="1" a="1"/>
  <c r="V119" i="19" s="1"/>
  <c r="AF30" i="19"/>
  <c r="AG29" i="19"/>
  <c r="AH29" i="19" s="1" a="1"/>
  <c r="AH29" i="19" s="1"/>
  <c r="AU45" i="19"/>
  <c r="AV44" i="19"/>
  <c r="AW44" i="19" s="1" a="1"/>
  <c r="AW44" i="19" s="1"/>
  <c r="AU75" i="19"/>
  <c r="AV74" i="19"/>
  <c r="AW74" i="19" s="1" a="1"/>
  <c r="AW74" i="19" s="1"/>
  <c r="AL150" i="19"/>
  <c r="AM149" i="19"/>
  <c r="AN149" i="19" s="1" a="1"/>
  <c r="AN149" i="19" s="1"/>
  <c r="AD29" i="19"/>
  <c r="AE29" i="19" s="1" a="1"/>
  <c r="AE29" i="19" s="1"/>
  <c r="AC30" i="19"/>
  <c r="G182" i="22"/>
  <c r="G184" i="22"/>
  <c r="Z30" i="19"/>
  <c r="AA29" i="19"/>
  <c r="AB29" i="19" s="1" a="1"/>
  <c r="AB29" i="19" s="1"/>
  <c r="Q15" i="19"/>
  <c r="R14" i="19"/>
  <c r="S14" i="19" s="1" a="1"/>
  <c r="S14" i="19" s="1"/>
  <c r="AV89" i="19"/>
  <c r="AW89" i="19" s="1" a="1"/>
  <c r="AW89" i="19" s="1"/>
  <c r="AU90" i="19"/>
  <c r="AJ29" i="19"/>
  <c r="AK29" i="19" s="1" a="1"/>
  <c r="AK29" i="19" s="1"/>
  <c r="AI30" i="19"/>
  <c r="AX150" i="19"/>
  <c r="AY149" i="19"/>
  <c r="AZ149" i="19" s="1" a="1"/>
  <c r="AZ149" i="19" s="1"/>
  <c r="BA43" i="19"/>
  <c r="W120" i="19"/>
  <c r="X119" i="19"/>
  <c r="Y119" i="19" s="1" a="1"/>
  <c r="Y119" i="19" s="1"/>
  <c r="O182" i="22"/>
  <c r="O184" i="22" s="1"/>
  <c r="Z150" i="19"/>
  <c r="AA149" i="19"/>
  <c r="AB149" i="19" s="1" a="1"/>
  <c r="AB149" i="19" s="1"/>
  <c r="AX120" i="19"/>
  <c r="AY119" i="19"/>
  <c r="AZ119" i="19" s="1" a="1"/>
  <c r="AZ119" i="19" s="1"/>
  <c r="Z90" i="19"/>
  <c r="AA89" i="19"/>
  <c r="AB89" i="19" s="1" a="1"/>
  <c r="AB89" i="19" s="1"/>
  <c r="K21" i="22"/>
  <c r="K23" i="22" s="1"/>
  <c r="T30" i="19"/>
  <c r="U29" i="19"/>
  <c r="V29" i="19" s="1" a="1"/>
  <c r="V29" i="19" s="1"/>
  <c r="AR15" i="19"/>
  <c r="AS14" i="19"/>
  <c r="AT14" i="19" s="1" a="1"/>
  <c r="AT14" i="19" s="1"/>
  <c r="AU135" i="19"/>
  <c r="AV134" i="19"/>
  <c r="AW134" i="19" s="1" a="1"/>
  <c r="AW134" i="19" s="1"/>
  <c r="L115" i="22"/>
  <c r="L117" i="22"/>
  <c r="L119" i="22" s="1"/>
  <c r="EN15" i="23" s="1" a="1"/>
  <c r="EN15" i="23" s="1"/>
  <c r="L114" i="22"/>
  <c r="EM15" i="23" s="1" a="1"/>
  <c r="EM15" i="23" s="1"/>
  <c r="EL15" i="23" a="1"/>
  <c r="EL15" i="23" s="1"/>
  <c r="M15" i="25" s="1" a="1"/>
  <c r="M15" i="25" s="1"/>
  <c r="AR60" i="19"/>
  <c r="AS59" i="19"/>
  <c r="AT59" i="19" s="1" a="1"/>
  <c r="AT59" i="19" s="1"/>
  <c r="H44" i="22"/>
  <c r="H46" i="22"/>
  <c r="FB20" i="23" a="1"/>
  <c r="FB20" i="23" s="1"/>
  <c r="N20" i="25" s="1" a="1"/>
  <c r="N20" i="25" s="1"/>
  <c r="M232" i="22"/>
  <c r="M234" i="22" s="1"/>
  <c r="FD20" i="23" s="1" a="1"/>
  <c r="FD20" i="23" s="1"/>
  <c r="M229" i="22"/>
  <c r="FC20" i="23" s="1" a="1"/>
  <c r="FC20" i="23" s="1"/>
  <c r="AC150" i="19"/>
  <c r="AD149" i="19"/>
  <c r="AE149" i="19" s="1" a="1"/>
  <c r="AE149" i="19" s="1"/>
  <c r="G115" i="22"/>
  <c r="BJ15" i="23" a="1"/>
  <c r="BJ15" i="23" s="1"/>
  <c r="H15" i="25" s="1" a="1"/>
  <c r="H15" i="25" s="1"/>
  <c r="G117" i="22"/>
  <c r="G114" i="22"/>
  <c r="BK15" i="23" s="1" a="1"/>
  <c r="BK15" i="23" s="1"/>
  <c r="AO135" i="19"/>
  <c r="AP134" i="19"/>
  <c r="AQ134" i="19" s="1" a="1"/>
  <c r="AQ134" i="19" s="1"/>
  <c r="W90" i="19"/>
  <c r="X89" i="19"/>
  <c r="Y89" i="19" s="1" a="1"/>
  <c r="Y89" i="19" s="1"/>
  <c r="AI60" i="19"/>
  <c r="AJ59" i="19"/>
  <c r="AK59" i="19" s="1" a="1"/>
  <c r="AK59" i="19" s="1"/>
  <c r="AU15" i="19"/>
  <c r="AV14" i="19"/>
  <c r="AW14" i="19" s="1" a="1"/>
  <c r="AW14" i="19" s="1"/>
  <c r="AY29" i="19"/>
  <c r="AZ29" i="19" s="1" a="1"/>
  <c r="AZ29" i="19" s="1"/>
  <c r="AX30" i="19"/>
  <c r="AF15" i="19"/>
  <c r="AG14" i="19"/>
  <c r="AH14" i="19" s="1" a="1"/>
  <c r="AH14" i="19" s="1"/>
  <c r="AR45" i="19"/>
  <c r="AS44" i="19"/>
  <c r="AT44" i="19" s="1" a="1"/>
  <c r="AT44" i="19" s="1"/>
  <c r="AF120" i="19"/>
  <c r="AG119" i="19"/>
  <c r="AH119" i="19" s="1" a="1"/>
  <c r="AH119" i="19" s="1"/>
  <c r="T75" i="19"/>
  <c r="U74" i="19"/>
  <c r="V74" i="19" s="1" a="1"/>
  <c r="V74" i="19" s="1"/>
  <c r="W150" i="19"/>
  <c r="X149" i="19"/>
  <c r="Y149" i="19" s="1" a="1"/>
  <c r="Y149" i="19" s="1"/>
  <c r="AH14" i="23" a="1"/>
  <c r="AH14" i="23" s="1"/>
  <c r="AK14" i="23" a="1"/>
  <c r="AK14" i="23" s="1"/>
  <c r="BZ11" i="23" a="1"/>
  <c r="BZ11" i="23" s="1"/>
  <c r="I11" i="25" s="1" a="1"/>
  <c r="I11" i="25" s="1"/>
  <c r="H22" i="22"/>
  <c r="CA11" i="23" s="1" a="1"/>
  <c r="CA11" i="23" s="1"/>
  <c r="H25" i="22"/>
  <c r="H27" i="22" s="1"/>
  <c r="CB11" i="23" s="1" a="1"/>
  <c r="CB11" i="23" s="1"/>
  <c r="CG11" i="23" s="1" a="1"/>
  <c r="CG11" i="23" s="1"/>
  <c r="AI75" i="19"/>
  <c r="AJ74" i="19"/>
  <c r="AK74" i="19" s="1" a="1"/>
  <c r="AK74" i="19" s="1"/>
  <c r="AL120" i="19"/>
  <c r="AM119" i="19"/>
  <c r="AN119" i="19" s="1" a="1"/>
  <c r="AN119" i="19" s="1"/>
  <c r="O228" i="22"/>
  <c r="O230" i="22" s="1"/>
  <c r="AO15" i="19"/>
  <c r="AP14" i="19"/>
  <c r="AQ14" i="19" s="1" a="1"/>
  <c r="AQ14" i="19" s="1"/>
  <c r="M27" i="22"/>
  <c r="FD11" i="23" s="1" a="1"/>
  <c r="FD11" i="23" s="1"/>
  <c r="FI11" i="23" s="1" a="1"/>
  <c r="FI11" i="23" s="1"/>
  <c r="Z105" i="19"/>
  <c r="AA104" i="19"/>
  <c r="AB104" i="19" s="1" a="1"/>
  <c r="AB104" i="19" s="1"/>
  <c r="AO30" i="19"/>
  <c r="AP29" i="19"/>
  <c r="AQ29" i="19" s="1" a="1"/>
  <c r="AQ29" i="19" s="1"/>
  <c r="CW20" i="23" a="1"/>
  <c r="CW20" i="23" s="1"/>
  <c r="CT20" i="23" a="1"/>
  <c r="CT20" i="23" s="1"/>
  <c r="BA28" i="19"/>
  <c r="FB14" i="23" a="1"/>
  <c r="FB14" i="23" s="1"/>
  <c r="N14" i="25" s="1" a="1"/>
  <c r="N14" i="25" s="1"/>
  <c r="M94" i="22"/>
  <c r="M96" i="22" s="1"/>
  <c r="FD14" i="23" s="1" a="1"/>
  <c r="FD14" i="23" s="1"/>
  <c r="FF14" i="23" s="1" a="1"/>
  <c r="FF14" i="23" s="1"/>
  <c r="M91" i="22"/>
  <c r="FC14" i="23" s="1" a="1"/>
  <c r="FC14" i="23" s="1"/>
  <c r="AR30" i="19"/>
  <c r="AS29" i="19"/>
  <c r="AT29" i="19" s="1" a="1"/>
  <c r="AT29" i="19" s="1"/>
  <c r="AR150" i="19"/>
  <c r="AS149" i="19"/>
  <c r="AT149" i="19" s="1" a="1"/>
  <c r="AT149" i="19" s="1"/>
  <c r="H182" i="22"/>
  <c r="H184" i="22"/>
  <c r="J21" i="22"/>
  <c r="J23" i="22"/>
  <c r="Q60" i="19"/>
  <c r="R59" i="19"/>
  <c r="S59" i="19" s="1" a="1"/>
  <c r="S59" i="19" s="1"/>
  <c r="K186" i="22"/>
  <c r="K188" i="22" s="1"/>
  <c r="DX18" i="23" s="1" a="1"/>
  <c r="DX18" i="23" s="1"/>
  <c r="DZ18" i="23" s="1" a="1"/>
  <c r="DZ18" i="23" s="1"/>
  <c r="DV18" i="23" a="1"/>
  <c r="DV18" i="23" s="1"/>
  <c r="L18" i="25" s="1" a="1"/>
  <c r="L18" i="25" s="1"/>
  <c r="K183" i="22"/>
  <c r="DW18" i="23" s="1" a="1"/>
  <c r="DW18" i="23" s="1"/>
  <c r="M117" i="22"/>
  <c r="M119" i="22" s="1"/>
  <c r="FD15" i="23" s="1" a="1"/>
  <c r="FD15" i="23" s="1"/>
  <c r="FF15" i="23" s="1" a="1"/>
  <c r="FF15" i="23" s="1"/>
  <c r="M114" i="22"/>
  <c r="FC15" i="23" s="1" a="1"/>
  <c r="FC15" i="23" s="1"/>
  <c r="FB15" i="23" a="1"/>
  <c r="FB15" i="23" s="1"/>
  <c r="N15" i="25" s="1" a="1"/>
  <c r="N15" i="25" s="1"/>
  <c r="AR75" i="19"/>
  <c r="AS74" i="19"/>
  <c r="AT74" i="19" s="1" a="1"/>
  <c r="AT74" i="19" s="1"/>
  <c r="Q30" i="19"/>
  <c r="R29" i="19"/>
  <c r="S29" i="19" s="1" a="1"/>
  <c r="S29" i="19" s="1"/>
  <c r="AI105" i="19"/>
  <c r="AJ104" i="19"/>
  <c r="AK104" i="19" s="1" a="1"/>
  <c r="AK104" i="19" s="1"/>
  <c r="E96" i="22"/>
  <c r="AF14" i="23" s="1" a="1"/>
  <c r="AF14" i="23" s="1"/>
  <c r="W75" i="19"/>
  <c r="X74" i="19"/>
  <c r="Y74" i="19" s="1" a="1"/>
  <c r="Y74" i="19" s="1"/>
  <c r="W45" i="19"/>
  <c r="X44" i="19"/>
  <c r="Y44" i="19" s="1" a="1"/>
  <c r="Y44" i="19" s="1"/>
  <c r="BA133" i="19"/>
  <c r="J92" i="22"/>
  <c r="AL75" i="19"/>
  <c r="AM74" i="19"/>
  <c r="AN74" i="19" s="1" a="1"/>
  <c r="AN74" i="19" s="1"/>
  <c r="K234" i="22"/>
  <c r="DX20" i="23" s="1" a="1"/>
  <c r="DX20" i="23" s="1"/>
  <c r="DZ20" i="23" s="1" a="1"/>
  <c r="DZ20" i="23" s="1"/>
  <c r="T45" i="19"/>
  <c r="U44" i="19"/>
  <c r="V44" i="19" s="1" a="1"/>
  <c r="V44" i="19" s="1"/>
  <c r="AO45" i="19"/>
  <c r="AP44" i="19"/>
  <c r="AQ44" i="19" s="1" a="1"/>
  <c r="AQ44" i="19" s="1"/>
  <c r="Z75" i="19"/>
  <c r="AA74" i="19"/>
  <c r="AB74" i="19" s="1" a="1"/>
  <c r="AB74" i="19" s="1"/>
  <c r="AU150" i="19"/>
  <c r="AV149" i="19"/>
  <c r="AW149" i="19" s="1" a="1"/>
  <c r="AW149" i="19" s="1"/>
  <c r="I234" i="22"/>
  <c r="CR20" i="23" s="1" a="1"/>
  <c r="CR20" i="23" s="1"/>
  <c r="N46" i="22"/>
  <c r="FR12" i="23" a="1"/>
  <c r="FR12" i="23" s="1"/>
  <c r="O12" i="25" s="1" a="1"/>
  <c r="O12" i="25" s="1"/>
  <c r="N48" i="22"/>
  <c r="N50" i="22" s="1"/>
  <c r="FT12" i="23" s="1" a="1"/>
  <c r="FT12" i="23" s="1"/>
  <c r="N45" i="22"/>
  <c r="FS12" i="23" s="1" a="1"/>
  <c r="FS12" i="23" s="1"/>
  <c r="O96" i="22"/>
  <c r="GJ14" i="23" s="1" a="1"/>
  <c r="GJ14" i="23" s="1"/>
  <c r="GL14" i="23" s="1" a="1"/>
  <c r="GL14" i="23" s="1"/>
  <c r="G23" i="22"/>
  <c r="G27" i="22" s="1"/>
  <c r="BL11" i="23" s="1" a="1"/>
  <c r="BL11" i="23" s="1"/>
  <c r="L182" i="22"/>
  <c r="L184" i="22" s="1"/>
  <c r="I90" i="22"/>
  <c r="I92" i="22"/>
  <c r="AK19" i="23" a="1"/>
  <c r="AK19" i="23" s="1"/>
  <c r="CW19" i="23" a="1"/>
  <c r="CW19" i="23" s="1"/>
  <c r="R19" i="23" a="1"/>
  <c r="R19" i="23" s="1"/>
  <c r="GU17" i="23"/>
  <c r="GV17" i="23" s="1"/>
  <c r="GY17" i="23"/>
  <c r="GZ17" i="23" s="1"/>
  <c r="E61" i="12"/>
  <c r="L177" i="12" a="1"/>
  <c r="L177" i="12" s="1"/>
  <c r="L419" i="13" s="1" a="1"/>
  <c r="L419" i="13" s="1"/>
  <c r="D177" i="12" a="1"/>
  <c r="D177" i="12" s="1"/>
  <c r="D419" i="13" s="1" a="1"/>
  <c r="D419" i="13" s="1"/>
  <c r="K177" i="12" a="1"/>
  <c r="K177" i="12" s="1"/>
  <c r="K419" i="13" s="1" a="1"/>
  <c r="K419" i="13" s="1"/>
  <c r="J177" i="12" a="1"/>
  <c r="J177" i="12" s="1"/>
  <c r="J419" i="13" s="1" a="1"/>
  <c r="J419" i="13" s="1"/>
  <c r="I177" i="12" a="1"/>
  <c r="I177" i="12" s="1"/>
  <c r="I419" i="13" s="1" a="1"/>
  <c r="I419" i="13" s="1"/>
  <c r="H177" i="12" a="1"/>
  <c r="H177" i="12" s="1"/>
  <c r="H419" i="13" s="1" a="1"/>
  <c r="H419" i="13" s="1"/>
  <c r="G177" i="12" a="1"/>
  <c r="G177" i="12" s="1"/>
  <c r="G419" i="13" s="1" a="1"/>
  <c r="G419" i="13" s="1"/>
  <c r="M177" i="12" a="1"/>
  <c r="M177" i="12" s="1"/>
  <c r="M419" i="13" s="1" a="1"/>
  <c r="M419" i="13" s="1"/>
  <c r="E177" i="12" a="1"/>
  <c r="E177" i="12" s="1"/>
  <c r="E419" i="13" s="1" a="1"/>
  <c r="E419" i="13" s="1"/>
  <c r="F177" i="12" a="1"/>
  <c r="F177" i="12" s="1"/>
  <c r="F419" i="13" s="1" a="1"/>
  <c r="F419" i="13" s="1"/>
  <c r="N177" i="12" a="1"/>
  <c r="N177" i="12" s="1"/>
  <c r="N419" i="13" s="1" a="1"/>
  <c r="N419" i="13" s="1"/>
  <c r="O177" i="12" a="1"/>
  <c r="O177" i="12" s="1"/>
  <c r="O419" i="13" s="1" a="1"/>
  <c r="O419" i="13" s="1"/>
  <c r="M181" i="12"/>
  <c r="M423" i="13" s="1" a="1"/>
  <c r="M423" i="13" s="1"/>
  <c r="M418" i="13" a="1"/>
  <c r="M418" i="13" s="1"/>
  <c r="M445" i="13" s="1"/>
  <c r="M186" i="12"/>
  <c r="J418" i="13" a="1"/>
  <c r="J418" i="13" s="1"/>
  <c r="J445" i="13" s="1"/>
  <c r="J186" i="12"/>
  <c r="J181" i="12"/>
  <c r="J423" i="13" s="1" a="1"/>
  <c r="J423" i="13" s="1"/>
  <c r="N418" i="13" a="1"/>
  <c r="N418" i="13" s="1"/>
  <c r="N445" i="13" s="1"/>
  <c r="N181" i="12"/>
  <c r="N423" i="13" s="1" a="1"/>
  <c r="N423" i="13" s="1"/>
  <c r="N186" i="12"/>
  <c r="F418" i="13" a="1"/>
  <c r="F418" i="13" s="1"/>
  <c r="F445" i="13" s="1"/>
  <c r="F181" i="12"/>
  <c r="F423" i="13" s="1" a="1"/>
  <c r="F423" i="13" s="1"/>
  <c r="F186" i="12"/>
  <c r="J189" i="12" a="1"/>
  <c r="J189" i="12" s="1"/>
  <c r="I189" i="12" a="1"/>
  <c r="I189" i="12" s="1"/>
  <c r="H189" i="12" a="1"/>
  <c r="H189" i="12" s="1"/>
  <c r="O189" i="12" a="1"/>
  <c r="O189" i="12" s="1"/>
  <c r="G189" i="12" a="1"/>
  <c r="G189" i="12" s="1"/>
  <c r="N189" i="12" a="1"/>
  <c r="N189" i="12" s="1"/>
  <c r="F189" i="12" a="1"/>
  <c r="F189" i="12" s="1"/>
  <c r="M189" i="12" a="1"/>
  <c r="M189" i="12" s="1"/>
  <c r="E189" i="12" a="1"/>
  <c r="E189" i="12" s="1"/>
  <c r="K189" i="12" a="1"/>
  <c r="K189" i="12" s="1"/>
  <c r="L189" i="12" a="1"/>
  <c r="L189" i="12" s="1"/>
  <c r="D189" i="12" a="1"/>
  <c r="D189" i="12" s="1"/>
  <c r="I181" i="12"/>
  <c r="I423" i="13" s="1" a="1"/>
  <c r="I423" i="13" s="1"/>
  <c r="I186" i="12"/>
  <c r="I418" i="13" a="1"/>
  <c r="I418" i="13" s="1"/>
  <c r="I445" i="13" s="1"/>
  <c r="G418" i="13" a="1"/>
  <c r="G418" i="13" s="1"/>
  <c r="G445" i="13" s="1"/>
  <c r="G181" i="12"/>
  <c r="G423" i="13" s="1" a="1"/>
  <c r="G423" i="13" s="1"/>
  <c r="G186" i="12"/>
  <c r="K418" i="13" a="1"/>
  <c r="K418" i="13" s="1"/>
  <c r="K445" i="13" s="1"/>
  <c r="K186" i="12"/>
  <c r="K181" i="12"/>
  <c r="K423" i="13" s="1" a="1"/>
  <c r="K423" i="13" s="1"/>
  <c r="O418" i="13" a="1"/>
  <c r="O418" i="13" s="1"/>
  <c r="O445" i="13" s="1"/>
  <c r="O181" i="12"/>
  <c r="O423" i="13" s="1" a="1"/>
  <c r="O423" i="13" s="1"/>
  <c r="O186" i="12"/>
  <c r="D418" i="13" a="1"/>
  <c r="D418" i="13" s="1"/>
  <c r="D445" i="13" s="1"/>
  <c r="D181" i="12"/>
  <c r="D423" i="13" s="1" a="1"/>
  <c r="D423" i="13" s="1"/>
  <c r="D186" i="12"/>
  <c r="H418" i="13" a="1"/>
  <c r="H418" i="13" s="1"/>
  <c r="H445" i="13" s="1"/>
  <c r="H186" i="12"/>
  <c r="H181" i="12"/>
  <c r="H423" i="13" s="1" a="1"/>
  <c r="H423" i="13" s="1"/>
  <c r="L418" i="13" a="1"/>
  <c r="L418" i="13" s="1"/>
  <c r="L445" i="13" s="1"/>
  <c r="L186" i="12"/>
  <c r="L181" i="12"/>
  <c r="L423" i="13" s="1" a="1"/>
  <c r="L423" i="13" s="1"/>
  <c r="M165" i="12" a="1"/>
  <c r="M165" i="12" s="1"/>
  <c r="E165" i="12" a="1"/>
  <c r="E165" i="12" s="1"/>
  <c r="L165" i="12" a="1"/>
  <c r="L165" i="12" s="1"/>
  <c r="D165" i="12" a="1"/>
  <c r="D165" i="12" s="1"/>
  <c r="K165" i="12" a="1"/>
  <c r="K165" i="12" s="1"/>
  <c r="J165" i="12" a="1"/>
  <c r="J165" i="12" s="1"/>
  <c r="I165" i="12" a="1"/>
  <c r="I165" i="12" s="1"/>
  <c r="H165" i="12" a="1"/>
  <c r="H165" i="12" s="1"/>
  <c r="N165" i="12" a="1"/>
  <c r="N165" i="12" s="1"/>
  <c r="F165" i="12" a="1"/>
  <c r="F165" i="12" s="1"/>
  <c r="O165" i="12" a="1"/>
  <c r="O165" i="12" s="1"/>
  <c r="G165" i="12" a="1"/>
  <c r="G165" i="12" s="1"/>
  <c r="J178" i="12" a="1"/>
  <c r="J178" i="12" s="1"/>
  <c r="I178" i="12" a="1"/>
  <c r="I178" i="12" s="1"/>
  <c r="H178" i="12" a="1"/>
  <c r="H178" i="12" s="1"/>
  <c r="O178" i="12" a="1"/>
  <c r="O178" i="12" s="1"/>
  <c r="G178" i="12" a="1"/>
  <c r="G178" i="12" s="1"/>
  <c r="N178" i="12" a="1"/>
  <c r="N178" i="12" s="1"/>
  <c r="F178" i="12" a="1"/>
  <c r="F178" i="12" s="1"/>
  <c r="M178" i="12" a="1"/>
  <c r="M178" i="12" s="1"/>
  <c r="E178" i="12" a="1"/>
  <c r="E178" i="12" s="1"/>
  <c r="K178" i="12" a="1"/>
  <c r="K178" i="12" s="1"/>
  <c r="L178" i="12" a="1"/>
  <c r="L178" i="12" s="1"/>
  <c r="D178" i="12" a="1"/>
  <c r="D178" i="12" s="1"/>
  <c r="E181" i="12"/>
  <c r="E423" i="13" s="1" a="1"/>
  <c r="E423" i="13" s="1"/>
  <c r="E186" i="12"/>
  <c r="E418" i="13" a="1"/>
  <c r="E418" i="13" s="1"/>
  <c r="E445" i="13" s="1"/>
  <c r="GU19" i="23"/>
  <c r="D134" i="12" a="1"/>
  <c r="D134" i="12" s="1"/>
  <c r="D315" i="13" s="1" a="1"/>
  <c r="D315" i="13" s="1"/>
  <c r="AE20" i="9" s="1" a="1"/>
  <c r="AE20" i="9" s="1"/>
  <c r="E132" i="12" a="1"/>
  <c r="E132" i="12" s="1"/>
  <c r="A345" i="13" a="1"/>
  <c r="A345" i="13" s="1"/>
  <c r="D132" i="12" a="1"/>
  <c r="D132" i="12" s="1"/>
  <c r="D148" i="13" a="1"/>
  <c r="D148" i="13" s="1"/>
  <c r="E120" i="12" a="1"/>
  <c r="E120" i="12" s="1"/>
  <c r="E281" i="13" s="1" a="1"/>
  <c r="E281" i="13" s="1"/>
  <c r="AX19" i="9" s="1" a="1"/>
  <c r="AX19" i="9" s="1"/>
  <c r="IB17" i="9" a="1"/>
  <c r="IB17" i="9" s="1"/>
  <c r="IC17" i="9" s="1"/>
  <c r="HI17" i="9" a="1"/>
  <c r="HI17" i="9" s="1"/>
  <c r="HJ17" i="9" s="1"/>
  <c r="D99" i="12"/>
  <c r="D100" i="12"/>
  <c r="D218" i="13" s="1" a="1"/>
  <c r="D218" i="13" s="1"/>
  <c r="D127" i="12"/>
  <c r="F106" i="12" a="1"/>
  <c r="F106" i="12" s="1"/>
  <c r="F247" i="13" s="1" a="1"/>
  <c r="F247" i="13" s="1"/>
  <c r="BQ18" i="9" s="1" a="1"/>
  <c r="BQ18" i="9" s="1"/>
  <c r="BB18" i="9" a="1"/>
  <c r="BB18" i="9" s="1"/>
  <c r="F104" i="12" a="1"/>
  <c r="F104" i="12" s="1"/>
  <c r="D112" i="12"/>
  <c r="D251" i="13" a="1"/>
  <c r="D251" i="13" s="1"/>
  <c r="G92" i="12" a="1"/>
  <c r="G92" i="12" s="1"/>
  <c r="G213" i="13" s="1" a="1"/>
  <c r="G213" i="13" s="1"/>
  <c r="CJ17" i="9" s="1" a="1"/>
  <c r="CJ17" i="9" s="1"/>
  <c r="G90" i="12" a="1"/>
  <c r="G90" i="12" s="1"/>
  <c r="E98" i="12"/>
  <c r="E100" i="12" s="1"/>
  <c r="E218" i="13" s="1" a="1"/>
  <c r="E218" i="13" s="1"/>
  <c r="E217" i="13" a="1"/>
  <c r="E217" i="13" s="1"/>
  <c r="F212" i="13" a="1"/>
  <c r="F212" i="13" s="1"/>
  <c r="F239" i="13" s="1"/>
  <c r="F101" i="12"/>
  <c r="F96" i="12"/>
  <c r="GP18" i="9" a="1"/>
  <c r="GP18" i="9" s="1"/>
  <c r="GQ18" i="9" s="1"/>
  <c r="E280" i="13" a="1"/>
  <c r="E280" i="13" s="1"/>
  <c r="E307" i="13" s="1"/>
  <c r="E129" i="12"/>
  <c r="E124" i="12"/>
  <c r="BB19" i="9" a="1"/>
  <c r="BB19" i="9" s="1"/>
  <c r="F118" i="12" a="1"/>
  <c r="F118" i="12" s="1"/>
  <c r="E71" i="12"/>
  <c r="E148" i="13" s="1" a="1"/>
  <c r="E148" i="13" s="1"/>
  <c r="E246" i="13" a="1"/>
  <c r="E246" i="13" s="1"/>
  <c r="E273" i="13" s="1"/>
  <c r="E110" i="12"/>
  <c r="E115" i="12"/>
  <c r="G43" i="12"/>
  <c r="G80" i="13" s="1" a="1"/>
  <c r="G80" i="13" s="1"/>
  <c r="H64" i="12" a="1"/>
  <c r="H64" i="12" s="1"/>
  <c r="H145" i="13" s="1" a="1"/>
  <c r="H145" i="13" s="1"/>
  <c r="DC15" i="9" s="1" a="1"/>
  <c r="DC15" i="9" s="1"/>
  <c r="CN15" i="9" a="1"/>
  <c r="CN15" i="9" s="1"/>
  <c r="H62" i="12" a="1"/>
  <c r="H62" i="12" s="1"/>
  <c r="F149" i="13" a="1"/>
  <c r="F149" i="13" s="1"/>
  <c r="F70" i="12"/>
  <c r="F72" i="12" s="1"/>
  <c r="F150" i="13" s="1" a="1"/>
  <c r="F150" i="13" s="1"/>
  <c r="IB16" i="9" a="1"/>
  <c r="IB16" i="9" s="1"/>
  <c r="IC16" i="9" s="1"/>
  <c r="HI16" i="9" a="1"/>
  <c r="HI16" i="9" s="1"/>
  <c r="HJ16" i="9" s="1"/>
  <c r="BU16" i="9" a="1"/>
  <c r="BU16" i="9" s="1"/>
  <c r="G78" i="12" a="1"/>
  <c r="G78" i="12" s="1"/>
  <c r="G179" i="13" s="1" a="1"/>
  <c r="G179" i="13" s="1"/>
  <c r="CJ16" i="9" s="1" a="1"/>
  <c r="CJ16" i="9" s="1"/>
  <c r="G76" i="12" a="1"/>
  <c r="G76" i="12" s="1"/>
  <c r="HI19" i="9" a="1"/>
  <c r="HI19" i="9" s="1"/>
  <c r="HJ19" i="9" s="1"/>
  <c r="H29" i="12"/>
  <c r="H46" i="13" s="1" a="1"/>
  <c r="H46" i="13" s="1"/>
  <c r="H30" i="12"/>
  <c r="G56" i="12"/>
  <c r="G115" i="13" a="1"/>
  <c r="G115" i="13" s="1"/>
  <c r="D85" i="12"/>
  <c r="J31" i="12"/>
  <c r="J26" i="12"/>
  <c r="J42" i="13" a="1"/>
  <c r="J42" i="13" s="1"/>
  <c r="J69" i="13" s="1"/>
  <c r="F57" i="12"/>
  <c r="F114" i="13" s="1" a="1"/>
  <c r="F114" i="13" s="1"/>
  <c r="F58" i="12"/>
  <c r="I50" i="12" a="1"/>
  <c r="I50" i="12" s="1"/>
  <c r="I111" i="13" s="1" a="1"/>
  <c r="I111" i="13" s="1"/>
  <c r="DV14" i="9" s="1" a="1"/>
  <c r="DV14" i="9" s="1"/>
  <c r="DG14" i="9" a="1"/>
  <c r="DG14" i="9" s="1"/>
  <c r="I48" i="12" a="1"/>
  <c r="I48" i="12" s="1"/>
  <c r="G33" i="12"/>
  <c r="G46" i="13" a="1"/>
  <c r="G46" i="13" s="1"/>
  <c r="I45" i="12"/>
  <c r="I40" i="12"/>
  <c r="I76" i="13" a="1"/>
  <c r="I76" i="13" s="1"/>
  <c r="I103" i="13" s="1"/>
  <c r="E183" i="13" a="1"/>
  <c r="E183" i="13" s="1"/>
  <c r="E84" i="12"/>
  <c r="E86" i="12" s="1"/>
  <c r="E184" i="13" s="1" a="1"/>
  <c r="E184" i="13" s="1"/>
  <c r="K22" i="12" a="1"/>
  <c r="K22" i="12" s="1"/>
  <c r="K43" i="13" s="1" a="1"/>
  <c r="K43" i="13" s="1"/>
  <c r="FH12" i="9" s="1" a="1"/>
  <c r="FH12" i="9" s="1"/>
  <c r="ES12" i="9" a="1"/>
  <c r="ES12" i="9" s="1"/>
  <c r="K20" i="12" a="1"/>
  <c r="K20" i="12" s="1"/>
  <c r="DZ13" i="9" a="1"/>
  <c r="DZ13" i="9" s="1"/>
  <c r="J36" i="12" a="1"/>
  <c r="J36" i="12" s="1"/>
  <c r="J77" i="13" s="1" a="1"/>
  <c r="J77" i="13" s="1"/>
  <c r="EO13" i="9" s="1" a="1"/>
  <c r="EO13" i="9" s="1"/>
  <c r="J34" i="12" a="1"/>
  <c r="J34" i="12" s="1"/>
  <c r="H54" i="12"/>
  <c r="H59" i="12"/>
  <c r="H110" i="13" a="1"/>
  <c r="H110" i="13" s="1"/>
  <c r="H137" i="13" s="1"/>
  <c r="I28" i="12"/>
  <c r="I30" i="12" s="1"/>
  <c r="I48" i="13" s="1" a="1"/>
  <c r="I48" i="13" s="1"/>
  <c r="I47" i="13" a="1"/>
  <c r="I47" i="13" s="1"/>
  <c r="IB15" i="9" a="1"/>
  <c r="IB15" i="9" s="1"/>
  <c r="IC15" i="9" s="1"/>
  <c r="F47" i="12"/>
  <c r="F82" i="13" a="1"/>
  <c r="F82" i="13" s="1"/>
  <c r="F178" i="13" a="1"/>
  <c r="F178" i="13" s="1"/>
  <c r="F205" i="13" s="1"/>
  <c r="F87" i="12"/>
  <c r="F82" i="12"/>
  <c r="G144" i="13" a="1"/>
  <c r="G144" i="13" s="1"/>
  <c r="G171" i="13" s="1"/>
  <c r="G73" i="12"/>
  <c r="G68" i="12"/>
  <c r="G118" i="12" a="1"/>
  <c r="G118" i="12" s="1"/>
  <c r="H42" i="12"/>
  <c r="H81" i="13" a="1"/>
  <c r="H81" i="13" s="1"/>
  <c r="M21" i="27"/>
  <c r="O21" i="27"/>
  <c r="GV13" i="23"/>
  <c r="GY13" i="23"/>
  <c r="GZ13" i="23" s="1"/>
  <c r="B238" i="13"/>
  <c r="B233" i="13"/>
  <c r="B200" i="13"/>
  <c r="B201" i="13" s="1"/>
  <c r="B202" i="13" s="1"/>
  <c r="B203" i="13" s="1"/>
  <c r="B205" i="13"/>
  <c r="B206" i="13" s="1"/>
  <c r="B207" i="13" s="1"/>
  <c r="B208" i="13" s="1"/>
  <c r="B279" i="13"/>
  <c r="B280" i="13" s="1"/>
  <c r="B281" i="13" s="1"/>
  <c r="B282" i="13"/>
  <c r="B283" i="13" s="1"/>
  <c r="B311" i="13" a="1"/>
  <c r="B311" i="13" s="1"/>
  <c r="B312" i="13" s="1"/>
  <c r="B254" i="13"/>
  <c r="B255" i="13" s="1"/>
  <c r="B256" i="13" s="1"/>
  <c r="B257" i="13" s="1"/>
  <c r="B258" i="13" s="1"/>
  <c r="B259" i="13" s="1"/>
  <c r="B260" i="13" s="1"/>
  <c r="B261" i="13" s="1"/>
  <c r="B262" i="13" s="1"/>
  <c r="B263" i="13" s="1"/>
  <c r="B264" i="13" s="1"/>
  <c r="B265" i="13" s="1"/>
  <c r="B266" i="13" s="1"/>
  <c r="B250" i="13"/>
  <c r="B251" i="13" s="1"/>
  <c r="B252" i="13" s="1"/>
  <c r="B253" i="13" s="1"/>
  <c r="AA302" i="10"/>
  <c r="AA327" i="10"/>
  <c r="AA314" i="10"/>
  <c r="AA315" i="10" s="1"/>
  <c r="AA289" i="10"/>
  <c r="B132" i="12" a="1"/>
  <c r="B132" i="12" s="1"/>
  <c r="R191" i="12"/>
  <c r="R192" i="12"/>
  <c r="R179" i="12"/>
  <c r="R216" i="12"/>
  <c r="R203" i="12"/>
  <c r="R204" i="12"/>
  <c r="BU388" i="1"/>
  <c r="BU5" i="1" s="1" a="1"/>
  <c r="BU5" i="1" s="1"/>
  <c r="BP5" i="1" a="1"/>
  <c r="BP5" i="1" s="1"/>
  <c r="CV388" i="1"/>
  <c r="CU6" i="1" a="1"/>
  <c r="CU6" i="1" s="1"/>
  <c r="CJ388" i="1"/>
  <c r="CI6" i="1" a="1"/>
  <c r="CI6" i="1" s="1"/>
  <c r="M4" i="7"/>
  <c r="O3" i="7"/>
  <c r="P3" i="7" s="1"/>
  <c r="B83" i="5" s="1"/>
  <c r="M11" i="6"/>
  <c r="O10" i="6"/>
  <c r="P10" i="6" s="1"/>
  <c r="N10" i="6"/>
  <c r="S13" i="6"/>
  <c r="R14" i="6"/>
  <c r="S14" i="6" s="1"/>
  <c r="O10" i="8"/>
  <c r="P10" i="8" s="1"/>
  <c r="M11" i="8"/>
  <c r="N10" i="8"/>
  <c r="I188" i="22" l="1"/>
  <c r="CR18" i="23" s="1" a="1"/>
  <c r="CR18" i="23" s="1"/>
  <c r="CW18" i="23" s="1" a="1"/>
  <c r="CW18" i="23" s="1"/>
  <c r="AX121" i="19"/>
  <c r="AY120" i="19"/>
  <c r="AZ120" i="19" s="1" a="1"/>
  <c r="AZ120" i="19" s="1"/>
  <c r="AJ15" i="19"/>
  <c r="AK15" i="19" s="1" a="1"/>
  <c r="AK15" i="19" s="1"/>
  <c r="AI16" i="19"/>
  <c r="Q31" i="19"/>
  <c r="R30" i="19"/>
  <c r="S30" i="19" s="1" a="1"/>
  <c r="S30" i="19" s="1"/>
  <c r="J22" i="22"/>
  <c r="DG11" i="23" s="1" a="1"/>
  <c r="DG11" i="23" s="1"/>
  <c r="J25" i="22"/>
  <c r="J27" i="22" s="1"/>
  <c r="DH11" i="23" s="1" a="1"/>
  <c r="DH11" i="23" s="1"/>
  <c r="DF11" i="23" a="1"/>
  <c r="DF11" i="23" s="1"/>
  <c r="K11" i="25" s="1" a="1"/>
  <c r="K11" i="25" s="1"/>
  <c r="AF121" i="19"/>
  <c r="AG120" i="19"/>
  <c r="AH120" i="19" s="1" a="1"/>
  <c r="AH120" i="19" s="1"/>
  <c r="AI61" i="19"/>
  <c r="AJ60" i="19"/>
  <c r="AK60" i="19" s="1" a="1"/>
  <c r="AK60" i="19" s="1"/>
  <c r="AC151" i="19"/>
  <c r="AD150" i="19"/>
  <c r="AE150" i="19" s="1" a="1"/>
  <c r="AE150" i="19" s="1"/>
  <c r="BA44" i="19"/>
  <c r="W31" i="19"/>
  <c r="X30" i="19"/>
  <c r="Y30" i="19" s="1" a="1"/>
  <c r="Y30" i="19" s="1"/>
  <c r="FR14" i="23" a="1"/>
  <c r="FR14" i="23" s="1"/>
  <c r="O14" i="25" s="1" a="1"/>
  <c r="O14" i="25" s="1"/>
  <c r="N94" i="22"/>
  <c r="N91" i="22"/>
  <c r="FS14" i="23" s="1" a="1"/>
  <c r="FS14" i="23" s="1"/>
  <c r="J183" i="22"/>
  <c r="DG18" i="23" s="1" a="1"/>
  <c r="DG18" i="23" s="1"/>
  <c r="J186" i="22"/>
  <c r="DF18" i="23" a="1"/>
  <c r="DF18" i="23" s="1"/>
  <c r="K18" i="25" s="1" a="1"/>
  <c r="K18" i="25" s="1"/>
  <c r="AL16" i="19"/>
  <c r="AM15" i="19"/>
  <c r="AN15" i="19" s="1" a="1"/>
  <c r="AN15" i="19" s="1"/>
  <c r="T91" i="19"/>
  <c r="U90" i="19"/>
  <c r="V90" i="19" s="1" a="1"/>
  <c r="V90" i="19" s="1"/>
  <c r="AF151" i="19"/>
  <c r="AG150" i="19"/>
  <c r="AH150" i="19" s="1" a="1"/>
  <c r="AH150" i="19" s="1"/>
  <c r="AO91" i="19"/>
  <c r="AP90" i="19"/>
  <c r="AQ90" i="19" s="1" a="1"/>
  <c r="AQ90" i="19" s="1"/>
  <c r="AF61" i="19"/>
  <c r="AG60" i="19"/>
  <c r="AH60" i="19" s="1" a="1"/>
  <c r="AH60" i="19" s="1"/>
  <c r="AU61" i="19"/>
  <c r="AV60" i="19"/>
  <c r="AW60" i="19" s="1" a="1"/>
  <c r="AW60" i="19" s="1"/>
  <c r="BA104" i="19"/>
  <c r="AC16" i="19"/>
  <c r="AD15" i="19"/>
  <c r="AE15" i="19" s="1" a="1"/>
  <c r="AE15" i="19" s="1"/>
  <c r="EC20" i="23" a="1"/>
  <c r="EC20" i="23" s="1"/>
  <c r="AC76" i="19"/>
  <c r="AD75" i="19"/>
  <c r="AE75" i="19" s="1" a="1"/>
  <c r="AE75" i="19" s="1"/>
  <c r="AU91" i="19"/>
  <c r="AV90" i="19"/>
  <c r="AW90" i="19" s="1" a="1"/>
  <c r="AW90" i="19" s="1"/>
  <c r="AY60" i="19"/>
  <c r="AZ60" i="19" s="1" a="1"/>
  <c r="AZ60" i="19" s="1"/>
  <c r="AX61" i="19"/>
  <c r="F25" i="22"/>
  <c r="F22" i="22"/>
  <c r="AU11" i="23" s="1" a="1"/>
  <c r="AU11" i="23" s="1"/>
  <c r="AT11" i="23" a="1"/>
  <c r="AT11" i="23" s="1"/>
  <c r="G11" i="25" s="1" a="1"/>
  <c r="G11" i="25" s="1"/>
  <c r="GY19" i="23"/>
  <c r="GZ19" i="23" s="1"/>
  <c r="AL76" i="19"/>
  <c r="AM75" i="19"/>
  <c r="AN75" i="19" s="1" a="1"/>
  <c r="AN75" i="19" s="1"/>
  <c r="AI76" i="19"/>
  <c r="AJ75" i="19"/>
  <c r="AK75" i="19" s="1" a="1"/>
  <c r="AK75" i="19" s="1"/>
  <c r="GO14" i="23" a="1"/>
  <c r="GO14" i="23" s="1"/>
  <c r="FF11" i="23" a="1"/>
  <c r="FF11" i="23" s="1"/>
  <c r="FF20" i="23" a="1"/>
  <c r="FF20" i="23" s="1"/>
  <c r="FI20" i="23" a="1"/>
  <c r="FI20" i="23" s="1"/>
  <c r="AU136" i="19"/>
  <c r="AV135" i="19"/>
  <c r="AW135" i="19" s="1" a="1"/>
  <c r="AW135" i="19" s="1"/>
  <c r="Z151" i="19"/>
  <c r="AA150" i="19"/>
  <c r="AB150" i="19" s="1" a="1"/>
  <c r="AB150" i="19" s="1"/>
  <c r="AU76" i="19"/>
  <c r="AV75" i="19"/>
  <c r="AW75" i="19" s="1" a="1"/>
  <c r="AW75" i="19" s="1"/>
  <c r="AX46" i="19"/>
  <c r="AY45" i="19"/>
  <c r="AZ45" i="19" s="1" a="1"/>
  <c r="AZ45" i="19" s="1"/>
  <c r="BA45" i="19" s="1"/>
  <c r="AI46" i="19"/>
  <c r="AJ45" i="19"/>
  <c r="AK45" i="19" s="1" a="1"/>
  <c r="AK45" i="19" s="1"/>
  <c r="AC106" i="19"/>
  <c r="AD105" i="19"/>
  <c r="AE105" i="19" s="1" a="1"/>
  <c r="AE105" i="19" s="1"/>
  <c r="N15" i="23" a="1"/>
  <c r="N15" i="23" s="1"/>
  <c r="E15" i="25" s="1" a="1"/>
  <c r="E15" i="25" s="1"/>
  <c r="D117" i="22"/>
  <c r="D119" i="22" s="1"/>
  <c r="P15" i="23" s="1" a="1"/>
  <c r="P15" i="23" s="1"/>
  <c r="R15" i="23" s="1" a="1"/>
  <c r="R15" i="23" s="1"/>
  <c r="D114" i="22"/>
  <c r="O15" i="23" s="1" a="1"/>
  <c r="O15" i="23" s="1"/>
  <c r="O27" i="22"/>
  <c r="GJ11" i="23" s="1" a="1"/>
  <c r="GJ11" i="23" s="1"/>
  <c r="AV30" i="19"/>
  <c r="AW30" i="19" s="1" a="1"/>
  <c r="AW30" i="19" s="1"/>
  <c r="AU31" i="19"/>
  <c r="D234" i="22"/>
  <c r="P20" i="23" s="1" a="1"/>
  <c r="P20" i="23" s="1"/>
  <c r="U20" i="23" s="1" a="1"/>
  <c r="U20" i="23" s="1"/>
  <c r="AT20" i="23" a="1"/>
  <c r="AT20" i="23" s="1"/>
  <c r="G20" i="25" s="1" a="1"/>
  <c r="G20" i="25" s="1"/>
  <c r="F229" i="22"/>
  <c r="AU20" i="23" s="1" a="1"/>
  <c r="AU20" i="23" s="1"/>
  <c r="F232" i="22"/>
  <c r="F234" i="22" s="1"/>
  <c r="AV20" i="23" s="1" a="1"/>
  <c r="AV20" i="23" s="1"/>
  <c r="Z136" i="19"/>
  <c r="AA135" i="19"/>
  <c r="AB135" i="19" s="1" a="1"/>
  <c r="AB135" i="19" s="1"/>
  <c r="Q46" i="19"/>
  <c r="R45" i="19"/>
  <c r="S45" i="19" s="1" a="1"/>
  <c r="S45" i="19" s="1"/>
  <c r="AY105" i="19"/>
  <c r="AZ105" i="19" s="1" a="1"/>
  <c r="AZ105" i="19" s="1"/>
  <c r="AX106" i="19"/>
  <c r="GH12" i="23" a="1"/>
  <c r="GH12" i="23" s="1"/>
  <c r="P12" i="25" s="1" a="1"/>
  <c r="P12" i="25" s="1"/>
  <c r="O45" i="22"/>
  <c r="GI12" i="23" s="1" a="1"/>
  <c r="GI12" i="23" s="1"/>
  <c r="O48" i="22"/>
  <c r="T16" i="19"/>
  <c r="U15" i="19"/>
  <c r="V15" i="19" s="1" a="1"/>
  <c r="V15" i="19" s="1"/>
  <c r="AC121" i="19"/>
  <c r="AD120" i="19"/>
  <c r="AE120" i="19" s="1" a="1"/>
  <c r="AE120" i="19" s="1"/>
  <c r="J96" i="22"/>
  <c r="DH14" i="23" s="1" a="1"/>
  <c r="DH14" i="23" s="1"/>
  <c r="DJ14" i="23" s="1" a="1"/>
  <c r="DJ14" i="23" s="1"/>
  <c r="AR76" i="19"/>
  <c r="AS75" i="19"/>
  <c r="AT75" i="19" s="1" a="1"/>
  <c r="AT75" i="19" s="1"/>
  <c r="H183" i="22"/>
  <c r="CA18" i="23" s="1" a="1"/>
  <c r="CA18" i="23" s="1"/>
  <c r="H186" i="22"/>
  <c r="H188" i="22" s="1"/>
  <c r="CB18" i="23" s="1" a="1"/>
  <c r="CB18" i="23" s="1"/>
  <c r="CG18" i="23" s="1" a="1"/>
  <c r="CG18" i="23" s="1"/>
  <c r="BZ18" i="23" a="1"/>
  <c r="BZ18" i="23" s="1"/>
  <c r="I18" i="25" s="1" a="1"/>
  <c r="I18" i="25" s="1"/>
  <c r="AO31" i="19"/>
  <c r="AP30" i="19"/>
  <c r="AQ30" i="19" s="1" a="1"/>
  <c r="AQ30" i="19" s="1"/>
  <c r="Q16" i="19"/>
  <c r="R15" i="19"/>
  <c r="S15" i="19" s="1" a="1"/>
  <c r="S15" i="19" s="1"/>
  <c r="AX136" i="19"/>
  <c r="AY135" i="19"/>
  <c r="AZ135" i="19" s="1" a="1"/>
  <c r="AZ135" i="19" s="1"/>
  <c r="AF136" i="19"/>
  <c r="AG135" i="19"/>
  <c r="AH135" i="19" s="1" a="1"/>
  <c r="AH135" i="19" s="1"/>
  <c r="E232" i="22"/>
  <c r="E234" i="22" s="1"/>
  <c r="AF20" i="23" s="1" a="1"/>
  <c r="AF20" i="23" s="1"/>
  <c r="AH20" i="23" s="1" a="1"/>
  <c r="AH20" i="23" s="1"/>
  <c r="E229" i="22"/>
  <c r="AE20" i="23" s="1" a="1"/>
  <c r="AE20" i="23" s="1"/>
  <c r="AD20" i="23" a="1"/>
  <c r="AD20" i="23" s="1"/>
  <c r="F20" i="25" s="1" a="1"/>
  <c r="F20" i="25" s="1"/>
  <c r="Q20" i="25" s="1"/>
  <c r="O25" i="22"/>
  <c r="O22" i="22"/>
  <c r="GI11" i="23" s="1" a="1"/>
  <c r="GI11" i="23" s="1"/>
  <c r="GH11" i="23" a="1"/>
  <c r="GH11" i="23" s="1"/>
  <c r="P11" i="25" s="1" a="1"/>
  <c r="P11" i="25" s="1"/>
  <c r="BN14" i="23" a="1"/>
  <c r="BN14" i="23" s="1"/>
  <c r="BQ14" i="23" a="1"/>
  <c r="BQ14" i="23" s="1"/>
  <c r="W136" i="19"/>
  <c r="X135" i="19"/>
  <c r="Y135" i="19" s="1" a="1"/>
  <c r="Y135" i="19" s="1"/>
  <c r="T46" i="19"/>
  <c r="U45" i="19"/>
  <c r="V45" i="19" s="1" a="1"/>
  <c r="V45" i="19" s="1"/>
  <c r="BA59" i="19"/>
  <c r="AF46" i="19"/>
  <c r="AG45" i="19"/>
  <c r="AH45" i="19" s="1" a="1"/>
  <c r="AH45" i="19" s="1"/>
  <c r="AO121" i="19"/>
  <c r="AP120" i="19"/>
  <c r="AQ120" i="19" s="1" a="1"/>
  <c r="AQ120" i="19" s="1"/>
  <c r="T61" i="19"/>
  <c r="U60" i="19"/>
  <c r="V60" i="19" s="1" a="1"/>
  <c r="V60" i="19" s="1"/>
  <c r="N96" i="22"/>
  <c r="FT14" i="23" s="1" a="1"/>
  <c r="FT14" i="23" s="1"/>
  <c r="AL106" i="19"/>
  <c r="AM105" i="19"/>
  <c r="AN105" i="19" s="1" a="1"/>
  <c r="AN105" i="19" s="1"/>
  <c r="CD11" i="23" a="1"/>
  <c r="CD11" i="23" s="1"/>
  <c r="AS15" i="19"/>
  <c r="AT15" i="19" s="1" a="1"/>
  <c r="AT15" i="19" s="1"/>
  <c r="AR16" i="19"/>
  <c r="O183" i="22"/>
  <c r="GI18" i="23" s="1" a="1"/>
  <c r="GI18" i="23" s="1"/>
  <c r="O186" i="22"/>
  <c r="O188" i="22" s="1"/>
  <c r="GJ18" i="23" s="1" a="1"/>
  <c r="GJ18" i="23" s="1"/>
  <c r="GL18" i="23" s="1" a="1"/>
  <c r="GL18" i="23" s="1"/>
  <c r="GH18" i="23" a="1"/>
  <c r="GH18" i="23" s="1"/>
  <c r="P18" i="25" s="1" a="1"/>
  <c r="P18" i="25" s="1"/>
  <c r="AV45" i="19"/>
  <c r="AW45" i="19" s="1" a="1"/>
  <c r="AW45" i="19" s="1"/>
  <c r="AU46" i="19"/>
  <c r="CP18" i="23" a="1"/>
  <c r="CP18" i="23" s="1"/>
  <c r="J18" i="25" s="1" a="1"/>
  <c r="J18" i="25" s="1"/>
  <c r="I186" i="22"/>
  <c r="I183" i="22"/>
  <c r="CQ18" i="23" s="1" a="1"/>
  <c r="CQ18" i="23" s="1"/>
  <c r="BA149" i="19"/>
  <c r="AR91" i="19"/>
  <c r="AS90" i="19"/>
  <c r="AT90" i="19" s="1" a="1"/>
  <c r="AT90" i="19" s="1"/>
  <c r="CG15" i="23" a="1"/>
  <c r="CG15" i="23" s="1"/>
  <c r="CD15" i="23" a="1"/>
  <c r="CD15" i="23" s="1"/>
  <c r="FR18" i="23" a="1"/>
  <c r="FR18" i="23" s="1"/>
  <c r="O18" i="25" s="1" a="1"/>
  <c r="O18" i="25" s="1"/>
  <c r="N186" i="22"/>
  <c r="N188" i="22" s="1"/>
  <c r="FT18" i="23" s="1" a="1"/>
  <c r="FT18" i="23" s="1"/>
  <c r="N183" i="22"/>
  <c r="FS18" i="23" s="1" a="1"/>
  <c r="FS18" i="23" s="1"/>
  <c r="BA74" i="19"/>
  <c r="D50" i="22"/>
  <c r="P12" i="23" s="1" a="1"/>
  <c r="P12" i="23" s="1"/>
  <c r="U12" i="23" s="1" a="1"/>
  <c r="U12" i="23" s="1"/>
  <c r="DV12" i="23" a="1"/>
  <c r="DV12" i="23" s="1"/>
  <c r="L12" i="25" s="1" a="1"/>
  <c r="L12" i="25" s="1"/>
  <c r="K45" i="22"/>
  <c r="DW12" i="23" s="1" a="1"/>
  <c r="DW12" i="23" s="1"/>
  <c r="K48" i="22"/>
  <c r="K50" i="22" s="1"/>
  <c r="DX12" i="23" s="1" a="1"/>
  <c r="DX12" i="23" s="1"/>
  <c r="DZ15" i="23" a="1"/>
  <c r="DZ15" i="23" s="1"/>
  <c r="EL11" i="23" a="1"/>
  <c r="EL11" i="23" s="1"/>
  <c r="M11" i="25" s="1" a="1"/>
  <c r="M11" i="25" s="1"/>
  <c r="L25" i="22"/>
  <c r="L27" i="22" s="1"/>
  <c r="EN11" i="23" s="1" a="1"/>
  <c r="EN11" i="23" s="1"/>
  <c r="L22" i="22"/>
  <c r="EM11" i="23" s="1" a="1"/>
  <c r="EM11" i="23" s="1"/>
  <c r="AD18" i="23" a="1"/>
  <c r="AD18" i="23" s="1"/>
  <c r="F18" i="25" s="1" a="1"/>
  <c r="F18" i="25" s="1"/>
  <c r="E183" i="22"/>
  <c r="AE18" i="23" s="1" a="1"/>
  <c r="AE18" i="23" s="1"/>
  <c r="E186" i="22"/>
  <c r="E188" i="22" s="1"/>
  <c r="AF18" i="23" s="1" a="1"/>
  <c r="AF18" i="23" s="1"/>
  <c r="AK18" i="23" s="1" a="1"/>
  <c r="AK18" i="23" s="1"/>
  <c r="AC61" i="19"/>
  <c r="AD60" i="19"/>
  <c r="AE60" i="19" s="1" a="1"/>
  <c r="AE60" i="19" s="1"/>
  <c r="AT12" i="23" a="1"/>
  <c r="AT12" i="23" s="1"/>
  <c r="G12" i="25" s="1" a="1"/>
  <c r="G12" i="25" s="1"/>
  <c r="F48" i="22"/>
  <c r="F45" i="22"/>
  <c r="AU12" i="23" s="1" a="1"/>
  <c r="AU12" i="23" s="1"/>
  <c r="AL151" i="19"/>
  <c r="AM150" i="19"/>
  <c r="AN150" i="19" s="1" a="1"/>
  <c r="AN150" i="19" s="1"/>
  <c r="W16" i="19"/>
  <c r="X15" i="19"/>
  <c r="Y15" i="19" s="1" a="1"/>
  <c r="Y15" i="19" s="1"/>
  <c r="AF91" i="19"/>
  <c r="AG90" i="19"/>
  <c r="AH90" i="19" s="1" a="1"/>
  <c r="AH90" i="19" s="1"/>
  <c r="AU151" i="19"/>
  <c r="AV150" i="19"/>
  <c r="AW150" i="19" s="1" a="1"/>
  <c r="AW150" i="19" s="1"/>
  <c r="FI15" i="23" a="1"/>
  <c r="FI15" i="23" s="1"/>
  <c r="AR151" i="19"/>
  <c r="AS150" i="19"/>
  <c r="AT150" i="19" s="1" a="1"/>
  <c r="AT150" i="19" s="1"/>
  <c r="Z106" i="19"/>
  <c r="AA105" i="19"/>
  <c r="AB105" i="19" s="1" a="1"/>
  <c r="AB105" i="19" s="1"/>
  <c r="AR46" i="19"/>
  <c r="AS45" i="19"/>
  <c r="AT45" i="19" s="1" a="1"/>
  <c r="AT45" i="19" s="1"/>
  <c r="W91" i="19"/>
  <c r="X90" i="19"/>
  <c r="Y90" i="19" s="1" a="1"/>
  <c r="Y90" i="19" s="1"/>
  <c r="Z31" i="19"/>
  <c r="AA30" i="19"/>
  <c r="AB30" i="19" s="1" a="1"/>
  <c r="AB30" i="19" s="1"/>
  <c r="AL91" i="19"/>
  <c r="AM90" i="19"/>
  <c r="AN90" i="19" s="1" a="1"/>
  <c r="AN90" i="19" s="1"/>
  <c r="AL31" i="19"/>
  <c r="AM30" i="19"/>
  <c r="AN30" i="19" s="1" a="1"/>
  <c r="AN30" i="19" s="1"/>
  <c r="Q151" i="19"/>
  <c r="R150" i="19"/>
  <c r="S150" i="19" s="1" a="1"/>
  <c r="S150" i="19" s="1"/>
  <c r="N234" i="22"/>
  <c r="FT20" i="23" s="1" a="1"/>
  <c r="FT20" i="23" s="1"/>
  <c r="AF76" i="19"/>
  <c r="AG75" i="19"/>
  <c r="AH75" i="19" s="1" a="1"/>
  <c r="AH75" i="19" s="1"/>
  <c r="AY75" i="19"/>
  <c r="AZ75" i="19" s="1" a="1"/>
  <c r="AZ75" i="19" s="1"/>
  <c r="AX76" i="19"/>
  <c r="N12" i="23" a="1"/>
  <c r="N12" i="23" s="1"/>
  <c r="E12" i="25" s="1" a="1"/>
  <c r="E12" i="25" s="1"/>
  <c r="D48" i="22"/>
  <c r="D45" i="22"/>
  <c r="O12" i="23" s="1" a="1"/>
  <c r="O12" i="23" s="1"/>
  <c r="AK11" i="23" a="1"/>
  <c r="AK11" i="23" s="1"/>
  <c r="AI91" i="19"/>
  <c r="AJ90" i="19"/>
  <c r="AK90" i="19" s="1" a="1"/>
  <c r="AK90" i="19" s="1"/>
  <c r="I114" i="22"/>
  <c r="CQ15" i="23" s="1" a="1"/>
  <c r="CQ15" i="23" s="1"/>
  <c r="CP15" i="23" a="1"/>
  <c r="CP15" i="23" s="1"/>
  <c r="J15" i="25" s="1" a="1"/>
  <c r="J15" i="25" s="1"/>
  <c r="I117" i="22"/>
  <c r="I119" i="22" s="1"/>
  <c r="CR15" i="23" s="1" a="1"/>
  <c r="CR15" i="23" s="1"/>
  <c r="CW15" i="23" s="1" a="1"/>
  <c r="CW15" i="23" s="1"/>
  <c r="CP14" i="23" a="1"/>
  <c r="CP14" i="23" s="1"/>
  <c r="J14" i="25" s="1" a="1"/>
  <c r="J14" i="25" s="1"/>
  <c r="I91" i="22"/>
  <c r="CQ14" i="23" s="1" a="1"/>
  <c r="CQ14" i="23" s="1"/>
  <c r="I94" i="22"/>
  <c r="I96" i="22" s="1"/>
  <c r="CR14" i="23" s="1" a="1"/>
  <c r="CR14" i="23" s="1"/>
  <c r="CW14" i="23" s="1" a="1"/>
  <c r="CW14" i="23" s="1"/>
  <c r="W46" i="19"/>
  <c r="X45" i="19"/>
  <c r="Y45" i="19" s="1" a="1"/>
  <c r="Y45" i="19" s="1"/>
  <c r="BZ12" i="23" a="1"/>
  <c r="BZ12" i="23" s="1"/>
  <c r="I12" i="25" s="1" a="1"/>
  <c r="I12" i="25" s="1"/>
  <c r="H48" i="22"/>
  <c r="H50" i="22" s="1"/>
  <c r="CB12" i="23" s="1" a="1"/>
  <c r="CB12" i="23" s="1"/>
  <c r="CG12" i="23" s="1" a="1"/>
  <c r="CG12" i="23" s="1"/>
  <c r="H45" i="22"/>
  <c r="CA12" i="23" s="1" a="1"/>
  <c r="CA12" i="23" s="1"/>
  <c r="T31" i="19"/>
  <c r="U30" i="19"/>
  <c r="V30" i="19" s="1" a="1"/>
  <c r="V30" i="19" s="1"/>
  <c r="W121" i="19"/>
  <c r="X120" i="19"/>
  <c r="Y120" i="19" s="1" a="1"/>
  <c r="Y120" i="19" s="1"/>
  <c r="G188" i="22"/>
  <c r="BL18" i="23" s="1" a="1"/>
  <c r="BL18" i="23" s="1"/>
  <c r="AF31" i="19"/>
  <c r="AG30" i="19"/>
  <c r="AH30" i="19" s="1" a="1"/>
  <c r="AH30" i="19" s="1"/>
  <c r="U14" i="23" a="1"/>
  <c r="U14" i="23" s="1"/>
  <c r="H91" i="22"/>
  <c r="CA14" i="23" s="1" a="1"/>
  <c r="CA14" i="23" s="1"/>
  <c r="BZ14" i="23" a="1"/>
  <c r="BZ14" i="23" s="1"/>
  <c r="I14" i="25" s="1" a="1"/>
  <c r="I14" i="25" s="1"/>
  <c r="H94" i="22"/>
  <c r="H96" i="22" s="1"/>
  <c r="CB14" i="23" s="1" a="1"/>
  <c r="CB14" i="23" s="1"/>
  <c r="CD14" i="23" s="1" a="1"/>
  <c r="CD14" i="23" s="1"/>
  <c r="Z61" i="19"/>
  <c r="AA60" i="19"/>
  <c r="AB60" i="19" s="1" a="1"/>
  <c r="AB60" i="19" s="1"/>
  <c r="FV15" i="23" a="1"/>
  <c r="FV15" i="23" s="1"/>
  <c r="FY15" i="23" a="1"/>
  <c r="FY15" i="23" s="1"/>
  <c r="AU121" i="19"/>
  <c r="AV120" i="19"/>
  <c r="AW120" i="19" s="1" a="1"/>
  <c r="AW120" i="19" s="1"/>
  <c r="Z121" i="19"/>
  <c r="AA120" i="19"/>
  <c r="AB120" i="19" s="1" a="1"/>
  <c r="AB120" i="19" s="1"/>
  <c r="AO61" i="19"/>
  <c r="AP60" i="19"/>
  <c r="AQ60" i="19" s="1" a="1"/>
  <c r="AQ60" i="19" s="1"/>
  <c r="BJ12" i="23" a="1"/>
  <c r="BJ12" i="23" s="1"/>
  <c r="H12" i="25" s="1" a="1"/>
  <c r="H12" i="25" s="1"/>
  <c r="G48" i="22"/>
  <c r="G50" i="22" s="1"/>
  <c r="BL12" i="23" s="1" a="1"/>
  <c r="BL12" i="23" s="1"/>
  <c r="BQ12" i="23" s="1" a="1"/>
  <c r="BQ12" i="23" s="1"/>
  <c r="G45" i="22"/>
  <c r="BK12" i="23" s="1" a="1"/>
  <c r="BK12" i="23" s="1"/>
  <c r="AC46" i="19"/>
  <c r="AD45" i="19"/>
  <c r="AE45" i="19" s="1" a="1"/>
  <c r="AE45" i="19" s="1"/>
  <c r="AU16" i="19"/>
  <c r="AV15" i="19"/>
  <c r="AW15" i="19" s="1" a="1"/>
  <c r="AW15" i="19" s="1"/>
  <c r="Z76" i="19"/>
  <c r="AA75" i="19"/>
  <c r="AB75" i="19" s="1" a="1"/>
  <c r="AB75" i="19" s="1"/>
  <c r="EC18" i="23" a="1"/>
  <c r="EC18" i="23" s="1"/>
  <c r="AR31" i="19"/>
  <c r="AS30" i="19"/>
  <c r="AT30" i="19" s="1" a="1"/>
  <c r="AT30" i="19" s="1"/>
  <c r="AG15" i="19"/>
  <c r="AH15" i="19" s="1" a="1"/>
  <c r="AH15" i="19" s="1"/>
  <c r="AF16" i="19"/>
  <c r="AO136" i="19"/>
  <c r="AP135" i="19"/>
  <c r="AQ135" i="19" s="1" a="1"/>
  <c r="AQ135" i="19" s="1"/>
  <c r="BJ18" i="23" a="1"/>
  <c r="BJ18" i="23" s="1"/>
  <c r="H18" i="25" s="1" a="1"/>
  <c r="H18" i="25" s="1"/>
  <c r="G186" i="22"/>
  <c r="G183" i="22"/>
  <c r="BK18" i="23" s="1" a="1"/>
  <c r="BK18" i="23" s="1"/>
  <c r="BQ18" i="23" s="1" a="1"/>
  <c r="BQ18" i="23" s="1"/>
  <c r="W106" i="19"/>
  <c r="X105" i="19"/>
  <c r="Y105" i="19" s="1" a="1"/>
  <c r="Y105" i="19" s="1"/>
  <c r="EL14" i="23" a="1"/>
  <c r="EL14" i="23" s="1"/>
  <c r="M14" i="25" s="1" a="1"/>
  <c r="M14" i="25" s="1"/>
  <c r="L94" i="22"/>
  <c r="L96" i="22" s="1"/>
  <c r="EN14" i="23" s="1" a="1"/>
  <c r="EN14" i="23" s="1"/>
  <c r="ES14" i="23" s="1" a="1"/>
  <c r="ES14" i="23" s="1"/>
  <c r="L91" i="22"/>
  <c r="EM14" i="23" s="1" a="1"/>
  <c r="EM14" i="23" s="1"/>
  <c r="D183" i="22"/>
  <c r="O18" i="23" s="1" a="1"/>
  <c r="O18" i="23" s="1"/>
  <c r="N18" i="23" a="1"/>
  <c r="N18" i="23" s="1"/>
  <c r="E18" i="25" s="1" a="1"/>
  <c r="E18" i="25" s="1"/>
  <c r="D186" i="22"/>
  <c r="D188" i="22" s="1"/>
  <c r="P18" i="23" s="1" a="1"/>
  <c r="P18" i="23" s="1"/>
  <c r="U18" i="23" s="1" a="1"/>
  <c r="U18" i="23" s="1"/>
  <c r="FY20" i="23" a="1"/>
  <c r="FY20" i="23" s="1"/>
  <c r="FV20" i="23" a="1"/>
  <c r="FV20" i="23" s="1"/>
  <c r="Z46" i="19"/>
  <c r="AA45" i="19"/>
  <c r="AB45" i="19" s="1" a="1"/>
  <c r="AB45" i="19" s="1"/>
  <c r="AI136" i="19"/>
  <c r="AJ135" i="19"/>
  <c r="AK135" i="19" s="1" a="1"/>
  <c r="AK135" i="19" s="1"/>
  <c r="O114" i="22"/>
  <c r="GI15" i="23" s="1" a="1"/>
  <c r="GI15" i="23" s="1"/>
  <c r="GH15" i="23" a="1"/>
  <c r="GH15" i="23" s="1"/>
  <c r="P15" i="25" s="1" a="1"/>
  <c r="P15" i="25" s="1"/>
  <c r="O117" i="22"/>
  <c r="O119" i="22" s="1"/>
  <c r="GJ15" i="23" s="1" a="1"/>
  <c r="GJ15" i="23" s="1"/>
  <c r="AO106" i="19"/>
  <c r="AP105" i="19"/>
  <c r="AQ105" i="19" s="1" a="1"/>
  <c r="AQ105" i="19" s="1"/>
  <c r="AU106" i="19"/>
  <c r="AV105" i="19"/>
  <c r="AW105" i="19" s="1" a="1"/>
  <c r="AW105" i="19" s="1"/>
  <c r="AR106" i="19"/>
  <c r="AS105" i="19"/>
  <c r="AT105" i="19" s="1" a="1"/>
  <c r="AT105" i="19" s="1"/>
  <c r="AI151" i="19"/>
  <c r="AJ150" i="19"/>
  <c r="AK150" i="19" s="1" a="1"/>
  <c r="AK150" i="19" s="1"/>
  <c r="DM12" i="23" a="1"/>
  <c r="DM12" i="23" s="1"/>
  <c r="DJ12" i="23" a="1"/>
  <c r="DJ12" i="23" s="1"/>
  <c r="F27" i="22"/>
  <c r="AV11" i="23" s="1" a="1"/>
  <c r="AV11" i="23" s="1"/>
  <c r="AX11" i="23" s="1" a="1"/>
  <c r="AX11" i="23" s="1"/>
  <c r="AL121" i="19"/>
  <c r="AM120" i="19"/>
  <c r="AN120" i="19" s="1" a="1"/>
  <c r="AN120" i="19" s="1"/>
  <c r="DM14" i="23" a="1"/>
  <c r="DM14" i="23" s="1"/>
  <c r="EL18" i="23" a="1"/>
  <c r="EL18" i="23" s="1"/>
  <c r="M18" i="25" s="1" a="1"/>
  <c r="M18" i="25" s="1"/>
  <c r="L183" i="22"/>
  <c r="EM18" i="23" s="1" a="1"/>
  <c r="EM18" i="23" s="1"/>
  <c r="L186" i="22"/>
  <c r="L188" i="22" s="1"/>
  <c r="EN18" i="23" s="1" a="1"/>
  <c r="EN18" i="23" s="1"/>
  <c r="ES18" i="23" s="1" a="1"/>
  <c r="ES18" i="23" s="1"/>
  <c r="W76" i="19"/>
  <c r="X75" i="19"/>
  <c r="Y75" i="19" s="1" a="1"/>
  <c r="Y75" i="19" s="1"/>
  <c r="FI14" i="23" a="1"/>
  <c r="FI14" i="23" s="1"/>
  <c r="AP15" i="19"/>
  <c r="AQ15" i="19" s="1" a="1"/>
  <c r="AQ15" i="19" s="1"/>
  <c r="AO16" i="19"/>
  <c r="AX31" i="19"/>
  <c r="AY30" i="19"/>
  <c r="AZ30" i="19" s="1" a="1"/>
  <c r="AZ30" i="19" s="1"/>
  <c r="BQ15" i="23" a="1"/>
  <c r="BQ15" i="23" s="1"/>
  <c r="AR61" i="19"/>
  <c r="AS60" i="19"/>
  <c r="AT60" i="19" s="1" a="1"/>
  <c r="AT60" i="19" s="1"/>
  <c r="DV11" i="23" a="1"/>
  <c r="DV11" i="23" s="1"/>
  <c r="L11" i="25" s="1" a="1"/>
  <c r="L11" i="25" s="1"/>
  <c r="K22" i="22"/>
  <c r="DW11" i="23" s="1" a="1"/>
  <c r="DW11" i="23" s="1"/>
  <c r="K25" i="22"/>
  <c r="K27" i="22" s="1"/>
  <c r="DX11" i="23" s="1" a="1"/>
  <c r="DX11" i="23" s="1"/>
  <c r="DZ11" i="23" s="1" a="1"/>
  <c r="DZ11" i="23" s="1"/>
  <c r="T121" i="19"/>
  <c r="U120" i="19"/>
  <c r="V120" i="19" s="1" a="1"/>
  <c r="V120" i="19" s="1"/>
  <c r="DJ15" i="23" a="1"/>
  <c r="DJ15" i="23" s="1"/>
  <c r="Q91" i="19"/>
  <c r="R90" i="19"/>
  <c r="S90" i="19" s="1" a="1"/>
  <c r="S90" i="19" s="1"/>
  <c r="AR121" i="19"/>
  <c r="AS120" i="19"/>
  <c r="AT120" i="19" s="1" a="1"/>
  <c r="AT120" i="19" s="1"/>
  <c r="AF106" i="19"/>
  <c r="AG105" i="19"/>
  <c r="AH105" i="19" s="1" a="1"/>
  <c r="AH105" i="19" s="1"/>
  <c r="BA134" i="19"/>
  <c r="AC91" i="19"/>
  <c r="AD90" i="19"/>
  <c r="AE90" i="19" s="1" a="1"/>
  <c r="AE90" i="19" s="1"/>
  <c r="T151" i="19"/>
  <c r="U150" i="19"/>
  <c r="V150" i="19" s="1" a="1"/>
  <c r="V150" i="19" s="1"/>
  <c r="CP12" i="23" a="1"/>
  <c r="CP12" i="23" s="1"/>
  <c r="J12" i="25" s="1" a="1"/>
  <c r="J12" i="25" s="1"/>
  <c r="I45" i="22"/>
  <c r="CQ12" i="23" s="1" a="1"/>
  <c r="CQ12" i="23" s="1"/>
  <c r="I48" i="22"/>
  <c r="I50" i="22" s="1"/>
  <c r="CR12" i="23" s="1" a="1"/>
  <c r="CR12" i="23" s="1"/>
  <c r="CT12" i="23" s="1" a="1"/>
  <c r="CT12" i="23" s="1"/>
  <c r="AL61" i="19"/>
  <c r="AM60" i="19"/>
  <c r="AN60" i="19" s="1" a="1"/>
  <c r="AN60" i="19" s="1"/>
  <c r="T136" i="19"/>
  <c r="U135" i="19"/>
  <c r="V135" i="19" s="1" a="1"/>
  <c r="V135" i="19" s="1"/>
  <c r="BN11" i="23" a="1"/>
  <c r="BN11" i="23" s="1"/>
  <c r="BQ11" i="23" a="1"/>
  <c r="BQ11" i="23" s="1"/>
  <c r="FV12" i="23" a="1"/>
  <c r="FV12" i="23" s="1"/>
  <c r="FY12" i="23" a="1"/>
  <c r="FY12" i="23" s="1"/>
  <c r="Q61" i="19"/>
  <c r="R60" i="19"/>
  <c r="S60" i="19" s="1" a="1"/>
  <c r="S60" i="19" s="1"/>
  <c r="T76" i="19"/>
  <c r="U75" i="19"/>
  <c r="V75" i="19" s="1" a="1"/>
  <c r="V75" i="19" s="1"/>
  <c r="AO46" i="19"/>
  <c r="AP45" i="19"/>
  <c r="AQ45" i="19" s="1" a="1"/>
  <c r="AQ45" i="19" s="1"/>
  <c r="W151" i="19"/>
  <c r="X150" i="19"/>
  <c r="Y150" i="19" s="1" a="1"/>
  <c r="Y150" i="19" s="1"/>
  <c r="BA29" i="19"/>
  <c r="G119" i="22"/>
  <c r="BL15" i="23" s="1" a="1"/>
  <c r="BL15" i="23" s="1"/>
  <c r="BN15" i="23" s="1" a="1"/>
  <c r="BN15" i="23" s="1"/>
  <c r="AX151" i="19"/>
  <c r="AY150" i="19"/>
  <c r="AZ150" i="19" s="1" a="1"/>
  <c r="AZ150" i="19" s="1"/>
  <c r="AC31" i="19"/>
  <c r="AD30" i="19"/>
  <c r="AE30" i="19" s="1" a="1"/>
  <c r="AE30" i="19" s="1"/>
  <c r="T106" i="19"/>
  <c r="U105" i="19"/>
  <c r="V105" i="19" s="1" a="1"/>
  <c r="V105" i="19" s="1"/>
  <c r="Q76" i="19"/>
  <c r="R75" i="19"/>
  <c r="S75" i="19" s="1" a="1"/>
  <c r="S75" i="19" s="1"/>
  <c r="AL46" i="19"/>
  <c r="AM45" i="19"/>
  <c r="AN45" i="19" s="1" a="1"/>
  <c r="AN45" i="19" s="1"/>
  <c r="E50" i="22"/>
  <c r="AF12" i="23" s="1" a="1"/>
  <c r="AF12" i="23" s="1"/>
  <c r="E117" i="22"/>
  <c r="E119" i="22" s="1"/>
  <c r="AF15" i="23" s="1" a="1"/>
  <c r="AF15" i="23" s="1"/>
  <c r="AD15" i="23" a="1"/>
  <c r="AD15" i="23" s="1"/>
  <c r="F15" i="25" s="1" a="1"/>
  <c r="F15" i="25" s="1"/>
  <c r="E114" i="22"/>
  <c r="AE15" i="23" s="1" a="1"/>
  <c r="AE15" i="23" s="1"/>
  <c r="AC136" i="19"/>
  <c r="AD135" i="19"/>
  <c r="AE135" i="19" s="1" a="1"/>
  <c r="AE135" i="19" s="1"/>
  <c r="AO76" i="19"/>
  <c r="AP75" i="19"/>
  <c r="AQ75" i="19" s="1" a="1"/>
  <c r="AQ75" i="19" s="1"/>
  <c r="Q136" i="19"/>
  <c r="R135" i="19"/>
  <c r="S135" i="19" s="1" a="1"/>
  <c r="S135" i="19" s="1"/>
  <c r="BA119" i="19"/>
  <c r="AO151" i="19"/>
  <c r="AP150" i="19"/>
  <c r="AQ150" i="19" s="1" a="1"/>
  <c r="AQ150" i="19" s="1"/>
  <c r="AX91" i="19"/>
  <c r="AY90" i="19"/>
  <c r="AZ90" i="19" s="1" a="1"/>
  <c r="AZ90" i="19" s="1"/>
  <c r="BA14" i="19"/>
  <c r="AI106" i="19"/>
  <c r="AJ105" i="19"/>
  <c r="AK105" i="19" s="1" a="1"/>
  <c r="AK105" i="19" s="1"/>
  <c r="J188" i="22"/>
  <c r="DH18" i="23" s="1" a="1"/>
  <c r="DH18" i="23" s="1"/>
  <c r="AL136" i="19"/>
  <c r="AM135" i="19"/>
  <c r="AN135" i="19" s="1" a="1"/>
  <c r="AN135" i="19" s="1"/>
  <c r="O229" i="22"/>
  <c r="GI20" i="23" s="1" a="1"/>
  <c r="GI20" i="23" s="1"/>
  <c r="O232" i="22"/>
  <c r="O234" i="22" s="1"/>
  <c r="GJ20" i="23" s="1" a="1"/>
  <c r="GJ20" i="23" s="1"/>
  <c r="GH20" i="23" a="1"/>
  <c r="GH20" i="23" s="1"/>
  <c r="P20" i="25" s="1" a="1"/>
  <c r="P20" i="25" s="1"/>
  <c r="ES15" i="23" a="1"/>
  <c r="ES15" i="23" s="1"/>
  <c r="EP15" i="23" a="1"/>
  <c r="EP15" i="23" s="1"/>
  <c r="Z91" i="19"/>
  <c r="AA90" i="19"/>
  <c r="AB90" i="19" s="1" a="1"/>
  <c r="AB90" i="19" s="1"/>
  <c r="AI31" i="19"/>
  <c r="AJ30" i="19"/>
  <c r="AK30" i="19" s="1" a="1"/>
  <c r="AK30" i="19" s="1"/>
  <c r="AR136" i="19"/>
  <c r="AS135" i="19"/>
  <c r="AT135" i="19" s="1" a="1"/>
  <c r="AT135" i="19" s="1"/>
  <c r="AA15" i="19"/>
  <c r="AB15" i="19" s="1" a="1"/>
  <c r="AB15" i="19" s="1"/>
  <c r="Z16" i="19"/>
  <c r="F46" i="22"/>
  <c r="F50" i="22" s="1"/>
  <c r="AV12" i="23" s="1" a="1"/>
  <c r="AV12" i="23" s="1"/>
  <c r="BA12" i="23" s="1" a="1"/>
  <c r="BA12" i="23" s="1"/>
  <c r="AH12" i="23" a="1"/>
  <c r="AH12" i="23" s="1"/>
  <c r="AK12" i="23" a="1"/>
  <c r="AK12" i="23" s="1"/>
  <c r="W61" i="19"/>
  <c r="X60" i="19"/>
  <c r="Y60" i="19" s="1" a="1"/>
  <c r="Y60" i="19" s="1"/>
  <c r="AI121" i="19"/>
  <c r="AJ120" i="19"/>
  <c r="AK120" i="19" s="1" a="1"/>
  <c r="AK120" i="19" s="1"/>
  <c r="O46" i="22"/>
  <c r="CD20" i="23" a="1"/>
  <c r="CD20" i="23" s="1"/>
  <c r="CG20" i="23" a="1"/>
  <c r="CG20" i="23" s="1"/>
  <c r="Q106" i="19"/>
  <c r="R105" i="19"/>
  <c r="S105" i="19" s="1" a="1"/>
  <c r="S105" i="19" s="1"/>
  <c r="Q121" i="19"/>
  <c r="R120" i="19"/>
  <c r="S120" i="19" s="1" a="1"/>
  <c r="S120" i="19" s="1"/>
  <c r="EC14" i="23" a="1"/>
  <c r="EC14" i="23" s="1"/>
  <c r="DZ14" i="23" a="1"/>
  <c r="DZ14" i="23" s="1"/>
  <c r="AT14" i="23" a="1"/>
  <c r="AT14" i="23" s="1"/>
  <c r="G14" i="25" s="1" a="1"/>
  <c r="G14" i="25" s="1"/>
  <c r="Q14" i="25" s="1"/>
  <c r="F94" i="22"/>
  <c r="F96" i="22" s="1"/>
  <c r="AV14" i="23" s="1" a="1"/>
  <c r="AV14" i="23" s="1"/>
  <c r="AX14" i="23" s="1" a="1"/>
  <c r="AX14" i="23" s="1"/>
  <c r="F91" i="22"/>
  <c r="AU14" i="23" s="1" a="1"/>
  <c r="AU14" i="23" s="1"/>
  <c r="BA89" i="19"/>
  <c r="AY15" i="19"/>
  <c r="AZ15" i="19" s="1" a="1"/>
  <c r="AZ15" i="19" s="1"/>
  <c r="AX16" i="19"/>
  <c r="GV19" i="23"/>
  <c r="AI20" i="9" a="1"/>
  <c r="AI20" i="9" s="1"/>
  <c r="H203" i="12" a="1"/>
  <c r="H203" i="12" s="1"/>
  <c r="O203" i="12" a="1"/>
  <c r="O203" i="12" s="1"/>
  <c r="G203" i="12" a="1"/>
  <c r="G203" i="12" s="1"/>
  <c r="N203" i="12" a="1"/>
  <c r="N203" i="12" s="1"/>
  <c r="F203" i="12" a="1"/>
  <c r="F203" i="12" s="1"/>
  <c r="M203" i="12" a="1"/>
  <c r="M203" i="12" s="1"/>
  <c r="E203" i="12" a="1"/>
  <c r="E203" i="12" s="1"/>
  <c r="L203" i="12" a="1"/>
  <c r="L203" i="12" s="1"/>
  <c r="D203" i="12" a="1"/>
  <c r="D203" i="12" s="1"/>
  <c r="K203" i="12" a="1"/>
  <c r="K203" i="12" s="1"/>
  <c r="I203" i="12" a="1"/>
  <c r="I203" i="12" s="1"/>
  <c r="J203" i="12" a="1"/>
  <c r="J203" i="12" s="1"/>
  <c r="M195" i="12"/>
  <c r="M457" i="13" s="1" a="1"/>
  <c r="M457" i="13" s="1"/>
  <c r="M452" i="13" a="1"/>
  <c r="M452" i="13" s="1"/>
  <c r="M479" i="13" s="1"/>
  <c r="M200" i="12"/>
  <c r="F452" i="13" a="1"/>
  <c r="F452" i="13" s="1"/>
  <c r="F479" i="13" s="1"/>
  <c r="F195" i="12"/>
  <c r="F457" i="13" s="1" a="1"/>
  <c r="F457" i="13" s="1"/>
  <c r="F200" i="12"/>
  <c r="N452" i="13" a="1"/>
  <c r="N452" i="13" s="1"/>
  <c r="N479" i="13" s="1"/>
  <c r="N195" i="12"/>
  <c r="N457" i="13" s="1" a="1"/>
  <c r="N457" i="13" s="1"/>
  <c r="N200" i="12"/>
  <c r="G452" i="13" a="1"/>
  <c r="G452" i="13" s="1"/>
  <c r="G479" i="13" s="1"/>
  <c r="G200" i="12"/>
  <c r="G195" i="12"/>
  <c r="G457" i="13" s="1" a="1"/>
  <c r="G457" i="13" s="1"/>
  <c r="D191" i="12" a="1"/>
  <c r="D191" i="12" s="1"/>
  <c r="D453" i="13" s="1" a="1"/>
  <c r="D453" i="13" s="1"/>
  <c r="O191" i="12" a="1"/>
  <c r="O191" i="12" s="1"/>
  <c r="O453" i="13" s="1" a="1"/>
  <c r="O453" i="13" s="1"/>
  <c r="L191" i="12" a="1"/>
  <c r="L191" i="12" s="1"/>
  <c r="L453" i="13" s="1" a="1"/>
  <c r="L453" i="13" s="1"/>
  <c r="N191" i="12" a="1"/>
  <c r="N191" i="12" s="1"/>
  <c r="N453" i="13" s="1" a="1"/>
  <c r="N453" i="13" s="1"/>
  <c r="M191" i="12" a="1"/>
  <c r="M191" i="12" s="1"/>
  <c r="M453" i="13" s="1" a="1"/>
  <c r="M453" i="13" s="1"/>
  <c r="K191" i="12" a="1"/>
  <c r="K191" i="12" s="1"/>
  <c r="K453" i="13" s="1" a="1"/>
  <c r="K453" i="13" s="1"/>
  <c r="G191" i="12" a="1"/>
  <c r="G191" i="12" s="1"/>
  <c r="G453" i="13" s="1" a="1"/>
  <c r="G453" i="13" s="1"/>
  <c r="F191" i="12" a="1"/>
  <c r="F191" i="12" s="1"/>
  <c r="F453" i="13" s="1" a="1"/>
  <c r="F453" i="13" s="1"/>
  <c r="E191" i="12" a="1"/>
  <c r="E191" i="12" s="1"/>
  <c r="E453" i="13" s="1" a="1"/>
  <c r="E453" i="13" s="1"/>
  <c r="H191" i="12" a="1"/>
  <c r="H191" i="12" s="1"/>
  <c r="H453" i="13" s="1" a="1"/>
  <c r="H453" i="13" s="1"/>
  <c r="J191" i="12" a="1"/>
  <c r="J191" i="12" s="1"/>
  <c r="J453" i="13" s="1" a="1"/>
  <c r="J453" i="13" s="1"/>
  <c r="I191" i="12" a="1"/>
  <c r="I191" i="12" s="1"/>
  <c r="I453" i="13" s="1" a="1"/>
  <c r="I453" i="13" s="1"/>
  <c r="D452" i="13" a="1"/>
  <c r="D452" i="13" s="1"/>
  <c r="D479" i="13" s="1"/>
  <c r="D195" i="12"/>
  <c r="D457" i="13" s="1" a="1"/>
  <c r="D457" i="13" s="1"/>
  <c r="D200" i="12"/>
  <c r="O452" i="13" a="1"/>
  <c r="O452" i="13" s="1"/>
  <c r="O479" i="13" s="1"/>
  <c r="O195" i="12"/>
  <c r="O457" i="13" s="1" a="1"/>
  <c r="O457" i="13" s="1"/>
  <c r="O200" i="12"/>
  <c r="N179" i="12" a="1"/>
  <c r="N179" i="12" s="1"/>
  <c r="F179" i="12" a="1"/>
  <c r="F179" i="12" s="1"/>
  <c r="M179" i="12" a="1"/>
  <c r="M179" i="12" s="1"/>
  <c r="E179" i="12" a="1"/>
  <c r="E179" i="12" s="1"/>
  <c r="L179" i="12" a="1"/>
  <c r="L179" i="12" s="1"/>
  <c r="D179" i="12" a="1"/>
  <c r="D179" i="12" s="1"/>
  <c r="K179" i="12" a="1"/>
  <c r="K179" i="12" s="1"/>
  <c r="J179" i="12" a="1"/>
  <c r="J179" i="12" s="1"/>
  <c r="I179" i="12" a="1"/>
  <c r="I179" i="12" s="1"/>
  <c r="O179" i="12" a="1"/>
  <c r="O179" i="12" s="1"/>
  <c r="G179" i="12" a="1"/>
  <c r="G179" i="12" s="1"/>
  <c r="H179" i="12" a="1"/>
  <c r="H179" i="12" s="1"/>
  <c r="M192" i="12" a="1"/>
  <c r="M192" i="12" s="1"/>
  <c r="E192" i="12" a="1"/>
  <c r="E192" i="12" s="1"/>
  <c r="L192" i="12" a="1"/>
  <c r="L192" i="12" s="1"/>
  <c r="D192" i="12" a="1"/>
  <c r="D192" i="12" s="1"/>
  <c r="K192" i="12" a="1"/>
  <c r="K192" i="12" s="1"/>
  <c r="J192" i="12" a="1"/>
  <c r="J192" i="12" s="1"/>
  <c r="I192" i="12" a="1"/>
  <c r="I192" i="12" s="1"/>
  <c r="H192" i="12" a="1"/>
  <c r="H192" i="12" s="1"/>
  <c r="N192" i="12" a="1"/>
  <c r="N192" i="12" s="1"/>
  <c r="F192" i="12" a="1"/>
  <c r="F192" i="12" s="1"/>
  <c r="O192" i="12" a="1"/>
  <c r="O192" i="12" s="1"/>
  <c r="G192" i="12" a="1"/>
  <c r="G192" i="12" s="1"/>
  <c r="L452" i="13" a="1"/>
  <c r="L452" i="13" s="1"/>
  <c r="L479" i="13" s="1"/>
  <c r="L200" i="12"/>
  <c r="L195" i="12"/>
  <c r="L457" i="13" s="1" a="1"/>
  <c r="L457" i="13" s="1"/>
  <c r="H452" i="13" a="1"/>
  <c r="H452" i="13" s="1"/>
  <c r="H479" i="13" s="1"/>
  <c r="H195" i="12"/>
  <c r="H457" i="13" s="1" a="1"/>
  <c r="H457" i="13" s="1"/>
  <c r="H200" i="12"/>
  <c r="K452" i="13" a="1"/>
  <c r="K452" i="13" s="1"/>
  <c r="K479" i="13" s="1"/>
  <c r="K195" i="12"/>
  <c r="K457" i="13" s="1" a="1"/>
  <c r="K457" i="13" s="1"/>
  <c r="K200" i="12"/>
  <c r="I200" i="12"/>
  <c r="I452" i="13" a="1"/>
  <c r="I452" i="13" s="1"/>
  <c r="I479" i="13" s="1"/>
  <c r="I195" i="12"/>
  <c r="I457" i="13" s="1" a="1"/>
  <c r="I457" i="13" s="1"/>
  <c r="E452" i="13" a="1"/>
  <c r="E452" i="13" s="1"/>
  <c r="E479" i="13" s="1"/>
  <c r="E200" i="12"/>
  <c r="E195" i="12"/>
  <c r="E457" i="13" s="1" a="1"/>
  <c r="E457" i="13" s="1"/>
  <c r="J452" i="13" a="1"/>
  <c r="J452" i="13" s="1"/>
  <c r="J479" i="13" s="1"/>
  <c r="J200" i="12"/>
  <c r="J195" i="12"/>
  <c r="J457" i="13" s="1" a="1"/>
  <c r="J457" i="13" s="1"/>
  <c r="C31" i="28" a="1"/>
  <c r="C31" i="28" s="1"/>
  <c r="GP20" i="9" a="1"/>
  <c r="GP20" i="9" s="1"/>
  <c r="GQ20" i="9" s="1"/>
  <c r="D148" i="12" a="1"/>
  <c r="D148" i="12" s="1"/>
  <c r="D349" i="13" s="1" a="1"/>
  <c r="D349" i="13" s="1"/>
  <c r="AE21" i="9" s="1" a="1"/>
  <c r="AE21" i="9" s="1"/>
  <c r="E146" i="12" a="1"/>
  <c r="E146" i="12" s="1"/>
  <c r="D146" i="12" a="1"/>
  <c r="D146" i="12" s="1"/>
  <c r="D314" i="13" a="1"/>
  <c r="D314" i="13" s="1"/>
  <c r="D341" i="13" s="1"/>
  <c r="D143" i="12"/>
  <c r="D138" i="12"/>
  <c r="E134" i="12" a="1"/>
  <c r="E134" i="12" s="1"/>
  <c r="E315" i="13" s="1" a="1"/>
  <c r="E315" i="13" s="1"/>
  <c r="AX20" i="9" s="1" a="1"/>
  <c r="AX20" i="9" s="1"/>
  <c r="BB20" i="9" a="1"/>
  <c r="BB20" i="9" s="1"/>
  <c r="A146" i="12" a="1"/>
  <c r="A146" i="12" s="1"/>
  <c r="FW20" i="9" a="1"/>
  <c r="FW20" i="9" s="1"/>
  <c r="FX20" i="9" s="1"/>
  <c r="E75" i="12"/>
  <c r="D30" i="24" a="1"/>
  <c r="D30" i="24" s="1"/>
  <c r="G47" i="12"/>
  <c r="E99" i="12"/>
  <c r="E103" i="12" s="1"/>
  <c r="G212" i="13" a="1"/>
  <c r="G212" i="13" s="1"/>
  <c r="G239" i="13" s="1"/>
  <c r="G96" i="12"/>
  <c r="G101" i="12"/>
  <c r="D216" i="13" a="1"/>
  <c r="D216" i="13" s="1"/>
  <c r="D103" i="12"/>
  <c r="G280" i="13" a="1"/>
  <c r="G280" i="13" s="1"/>
  <c r="G307" i="13" s="1"/>
  <c r="G124" i="12"/>
  <c r="G129" i="12"/>
  <c r="E112" i="12"/>
  <c r="E114" i="12" s="1"/>
  <c r="E252" i="13" s="1" a="1"/>
  <c r="E252" i="13" s="1"/>
  <c r="E251" i="13" a="1"/>
  <c r="E251" i="13" s="1"/>
  <c r="CN17" i="9" a="1"/>
  <c r="CN17" i="9" s="1"/>
  <c r="H92" i="12" a="1"/>
  <c r="H92" i="12" s="1"/>
  <c r="H213" i="13" s="1" a="1"/>
  <c r="H213" i="13" s="1"/>
  <c r="DC17" i="9" s="1" a="1"/>
  <c r="DC17" i="9" s="1"/>
  <c r="H90" i="12" a="1"/>
  <c r="H90" i="12" s="1"/>
  <c r="F246" i="13" a="1"/>
  <c r="F246" i="13" s="1"/>
  <c r="F273" i="13" s="1"/>
  <c r="F110" i="12"/>
  <c r="F115" i="12"/>
  <c r="IB18" i="9" a="1"/>
  <c r="IB18" i="9" s="1"/>
  <c r="IC18" i="9" s="1"/>
  <c r="HI18" i="9" a="1"/>
  <c r="HI18" i="9" s="1"/>
  <c r="HJ18" i="9" s="1"/>
  <c r="F280" i="13" a="1"/>
  <c r="F280" i="13" s="1"/>
  <c r="F307" i="13" s="1"/>
  <c r="F124" i="12"/>
  <c r="F129" i="12"/>
  <c r="F98" i="12"/>
  <c r="F100" i="12" s="1"/>
  <c r="F218" i="13" s="1" a="1"/>
  <c r="F218" i="13" s="1"/>
  <c r="F217" i="13" a="1"/>
  <c r="F217" i="13" s="1"/>
  <c r="G106" i="12" a="1"/>
  <c r="G106" i="12" s="1"/>
  <c r="G247" i="13" s="1" a="1"/>
  <c r="G247" i="13" s="1"/>
  <c r="CJ18" i="9" s="1" a="1"/>
  <c r="CJ18" i="9" s="1"/>
  <c r="G104" i="12" a="1"/>
  <c r="G104" i="12" s="1"/>
  <c r="C32" i="28" a="1"/>
  <c r="C32" i="28" s="1"/>
  <c r="A379" i="13" a="1"/>
  <c r="A379" i="13" s="1"/>
  <c r="A160" i="12" a="1"/>
  <c r="A160" i="12" s="1"/>
  <c r="E126" i="12"/>
  <c r="E128" i="12" s="1"/>
  <c r="E286" i="13" s="1" a="1"/>
  <c r="E286" i="13" s="1"/>
  <c r="E285" i="13" a="1"/>
  <c r="E285" i="13" s="1"/>
  <c r="E314" i="13" a="1"/>
  <c r="E314" i="13" s="1"/>
  <c r="E341" i="13" s="1"/>
  <c r="E143" i="12"/>
  <c r="E138" i="12"/>
  <c r="D284" i="13" a="1"/>
  <c r="D284" i="13" s="1"/>
  <c r="D131" i="12"/>
  <c r="F120" i="12" a="1"/>
  <c r="F120" i="12" s="1"/>
  <c r="F281" i="13" s="1" a="1"/>
  <c r="F281" i="13" s="1"/>
  <c r="BQ19" i="9" s="1" a="1"/>
  <c r="BQ19" i="9" s="1"/>
  <c r="D113" i="12"/>
  <c r="D114" i="12"/>
  <c r="D252" i="13" s="1" a="1"/>
  <c r="D252" i="13" s="1"/>
  <c r="E85" i="12"/>
  <c r="E89" i="12" s="1"/>
  <c r="J50" i="12" a="1"/>
  <c r="J50" i="12" s="1"/>
  <c r="J111" i="13" s="1" a="1"/>
  <c r="J111" i="13" s="1"/>
  <c r="EO14" i="9" s="1" a="1"/>
  <c r="EO14" i="9" s="1"/>
  <c r="DZ14" i="9" a="1"/>
  <c r="DZ14" i="9" s="1"/>
  <c r="J48" i="12" a="1"/>
  <c r="J48" i="12" s="1"/>
  <c r="G57" i="12"/>
  <c r="G114" i="13" s="1" a="1"/>
  <c r="G114" i="13" s="1"/>
  <c r="G58" i="12"/>
  <c r="G178" i="13" a="1"/>
  <c r="G178" i="13" s="1"/>
  <c r="G205" i="13" s="1"/>
  <c r="G87" i="12"/>
  <c r="G82" i="12"/>
  <c r="F71" i="12"/>
  <c r="F84" i="12"/>
  <c r="F86" i="12" s="1"/>
  <c r="F184" i="13" s="1" a="1"/>
  <c r="F184" i="13" s="1"/>
  <c r="F183" i="13" a="1"/>
  <c r="F183" i="13" s="1"/>
  <c r="F61" i="12"/>
  <c r="F116" i="13" a="1"/>
  <c r="F116" i="13" s="1"/>
  <c r="H33" i="12"/>
  <c r="H48" i="13" a="1"/>
  <c r="H48" i="13" s="1"/>
  <c r="CN16" i="9" a="1"/>
  <c r="CN16" i="9" s="1"/>
  <c r="H78" i="12" a="1"/>
  <c r="H78" i="12" s="1"/>
  <c r="H179" i="13" s="1" a="1"/>
  <c r="H179" i="13" s="1"/>
  <c r="DC16" i="9" s="1" a="1"/>
  <c r="DC16" i="9" s="1"/>
  <c r="H76" i="12" a="1"/>
  <c r="H76" i="12" s="1"/>
  <c r="I42" i="12"/>
  <c r="I44" i="12" s="1"/>
  <c r="I82" i="13" s="1" a="1"/>
  <c r="I82" i="13" s="1"/>
  <c r="I81" i="13" a="1"/>
  <c r="I81" i="13" s="1"/>
  <c r="L22" i="12" a="1"/>
  <c r="L22" i="12" s="1"/>
  <c r="L43" i="13" s="1" a="1"/>
  <c r="L43" i="13" s="1"/>
  <c r="GA12" i="9" s="1" a="1"/>
  <c r="GA12" i="9" s="1"/>
  <c r="FL12" i="9" a="1"/>
  <c r="FL12" i="9" s="1"/>
  <c r="L20" i="12" a="1"/>
  <c r="L20" i="12" s="1"/>
  <c r="K31" i="12"/>
  <c r="K26" i="12"/>
  <c r="K42" i="13" a="1"/>
  <c r="K42" i="13" s="1"/>
  <c r="K69" i="13" s="1"/>
  <c r="BU17" i="9" a="1"/>
  <c r="BU17" i="9" s="1"/>
  <c r="J40" i="12"/>
  <c r="J45" i="12"/>
  <c r="J76" i="13" a="1"/>
  <c r="J76" i="13" s="1"/>
  <c r="J103" i="13" s="1"/>
  <c r="H144" i="13" a="1"/>
  <c r="H144" i="13" s="1"/>
  <c r="H171" i="13" s="1"/>
  <c r="H73" i="12"/>
  <c r="H68" i="12"/>
  <c r="D29" i="24" a="1"/>
  <c r="D29" i="24" s="1"/>
  <c r="G149" i="13" a="1"/>
  <c r="G149" i="13" s="1"/>
  <c r="G70" i="12"/>
  <c r="G72" i="12" s="1"/>
  <c r="G150" i="13" s="1" a="1"/>
  <c r="G150" i="13" s="1"/>
  <c r="J28" i="12"/>
  <c r="J47" i="13" a="1"/>
  <c r="J47" i="13" s="1"/>
  <c r="H56" i="12"/>
  <c r="H115" i="13" a="1"/>
  <c r="H115" i="13" s="1"/>
  <c r="I59" i="12"/>
  <c r="I54" i="12"/>
  <c r="I110" i="13" a="1"/>
  <c r="I110" i="13" s="1"/>
  <c r="I137" i="13" s="1"/>
  <c r="I64" i="12" a="1"/>
  <c r="I64" i="12" s="1"/>
  <c r="I145" i="13" s="1" a="1"/>
  <c r="I145" i="13" s="1"/>
  <c r="DV15" i="9" s="1" a="1"/>
  <c r="DV15" i="9" s="1"/>
  <c r="DG15" i="9" a="1"/>
  <c r="DG15" i="9" s="1"/>
  <c r="I62" i="12" a="1"/>
  <c r="I62" i="12" s="1"/>
  <c r="H43" i="12"/>
  <c r="H80" i="13" s="1" a="1"/>
  <c r="H80" i="13" s="1"/>
  <c r="H44" i="12"/>
  <c r="D28" i="24" a="1"/>
  <c r="D28" i="24" s="1"/>
  <c r="I29" i="12"/>
  <c r="K36" i="12" a="1"/>
  <c r="K36" i="12" s="1"/>
  <c r="K77" i="13" s="1" a="1"/>
  <c r="K77" i="13" s="1"/>
  <c r="FH13" i="9" s="1" a="1"/>
  <c r="FH13" i="9" s="1"/>
  <c r="ES13" i="9" a="1"/>
  <c r="ES13" i="9" s="1"/>
  <c r="K34" i="12" a="1"/>
  <c r="K34" i="12" s="1"/>
  <c r="D89" i="12"/>
  <c r="D182" i="13" a="1"/>
  <c r="D182" i="13" s="1"/>
  <c r="B267" i="13"/>
  <c r="B272" i="13"/>
  <c r="B288" i="13"/>
  <c r="B289" i="13" s="1"/>
  <c r="B290" i="13" s="1"/>
  <c r="B291" i="13" s="1"/>
  <c r="B292" i="13" s="1"/>
  <c r="B293" i="13" s="1"/>
  <c r="B294" i="13" s="1"/>
  <c r="B295" i="13" s="1"/>
  <c r="B296" i="13" s="1"/>
  <c r="B297" i="13" s="1"/>
  <c r="B298" i="13" s="1"/>
  <c r="B299" i="13" s="1"/>
  <c r="B300" i="13" s="1"/>
  <c r="B284" i="13"/>
  <c r="B285" i="13" s="1"/>
  <c r="B286" i="13" s="1"/>
  <c r="B287" i="13" s="1"/>
  <c r="B239" i="13"/>
  <c r="B240" i="13" s="1"/>
  <c r="B241" i="13" s="1"/>
  <c r="B242" i="13" s="1"/>
  <c r="B234" i="13"/>
  <c r="B235" i="13" s="1"/>
  <c r="B236" i="13" s="1"/>
  <c r="B237" i="13" s="1"/>
  <c r="B316" i="13"/>
  <c r="B317" i="13" s="1"/>
  <c r="B313" i="13"/>
  <c r="B314" i="13" s="1"/>
  <c r="B315" i="13" s="1"/>
  <c r="B345" i="13" a="1"/>
  <c r="B345" i="13" s="1"/>
  <c r="B346" i="13" s="1"/>
  <c r="AA316" i="10"/>
  <c r="AA328" i="10"/>
  <c r="AA329" i="10" s="1"/>
  <c r="AA341" i="10"/>
  <c r="AA303" i="10"/>
  <c r="B146" i="12" a="1"/>
  <c r="B146" i="12" s="1"/>
  <c r="R205" i="12"/>
  <c r="R206" i="12"/>
  <c r="R230" i="12"/>
  <c r="R218" i="12"/>
  <c r="R217" i="12"/>
  <c r="R193" i="12"/>
  <c r="CK388" i="1"/>
  <c r="CK6" i="1" s="1" a="1"/>
  <c r="CK6" i="1" s="1"/>
  <c r="CJ6" i="1" a="1"/>
  <c r="CJ6" i="1" s="1"/>
  <c r="CW388" i="1"/>
  <c r="CV6" i="1" a="1"/>
  <c r="CV6" i="1" s="1"/>
  <c r="M12" i="6"/>
  <c r="O11" i="6"/>
  <c r="P11" i="6" s="1"/>
  <c r="N11" i="6"/>
  <c r="O11" i="8"/>
  <c r="P11" i="8" s="1"/>
  <c r="N11" i="8"/>
  <c r="M5" i="7"/>
  <c r="O4" i="7"/>
  <c r="P4" i="7" s="1"/>
  <c r="N4" i="7"/>
  <c r="AR122" i="19" l="1"/>
  <c r="AS121" i="19"/>
  <c r="AT121" i="19" s="1" a="1"/>
  <c r="AT121" i="19" s="1"/>
  <c r="O50" i="22"/>
  <c r="GJ12" i="23" s="1" a="1"/>
  <c r="GJ12" i="23" s="1"/>
  <c r="GL12" i="23" s="1" a="1"/>
  <c r="GL12" i="23" s="1"/>
  <c r="T107" i="19"/>
  <c r="U106" i="19"/>
  <c r="V106" i="19" s="1" a="1"/>
  <c r="V106" i="19" s="1"/>
  <c r="AL62" i="19"/>
  <c r="AM61" i="19"/>
  <c r="AN61" i="19" s="1" a="1"/>
  <c r="AN61" i="19" s="1"/>
  <c r="Q18" i="25"/>
  <c r="AF17" i="19"/>
  <c r="AG16" i="19"/>
  <c r="AH16" i="19" s="1" a="1"/>
  <c r="AH16" i="19" s="1"/>
  <c r="CD12" i="23" a="1"/>
  <c r="CD12" i="23" s="1"/>
  <c r="FV18" i="23" a="1"/>
  <c r="FV18" i="23" s="1"/>
  <c r="FY18" i="23" a="1"/>
  <c r="FY18" i="23" s="1"/>
  <c r="Q17" i="19"/>
  <c r="R16" i="19"/>
  <c r="S16" i="19" s="1" a="1"/>
  <c r="S16" i="19" s="1"/>
  <c r="T17" i="19"/>
  <c r="U16" i="19"/>
  <c r="V16" i="19" s="1" a="1"/>
  <c r="V16" i="19" s="1"/>
  <c r="AI47" i="19"/>
  <c r="AJ46" i="19"/>
  <c r="AK46" i="19" s="1" a="1"/>
  <c r="AK46" i="19" s="1"/>
  <c r="AL17" i="19"/>
  <c r="AM16" i="19"/>
  <c r="AN16" i="19" s="1" a="1"/>
  <c r="AN16" i="19" s="1"/>
  <c r="AU92" i="19"/>
  <c r="AV91" i="19"/>
  <c r="AW91" i="19" s="1" a="1"/>
  <c r="AW91" i="19" s="1"/>
  <c r="AF62" i="19"/>
  <c r="AG61" i="19"/>
  <c r="AH61" i="19" s="1" a="1"/>
  <c r="AH61" i="19" s="1"/>
  <c r="AI62" i="19"/>
  <c r="AJ61" i="19"/>
  <c r="AK61" i="19" s="1" a="1"/>
  <c r="AK61" i="19" s="1"/>
  <c r="AX122" i="19"/>
  <c r="AY121" i="19"/>
  <c r="AZ121" i="19" s="1" a="1"/>
  <c r="AZ121" i="19" s="1"/>
  <c r="AI122" i="19"/>
  <c r="AJ121" i="19"/>
  <c r="AK121" i="19" s="1" a="1"/>
  <c r="AK121" i="19" s="1"/>
  <c r="AC137" i="19"/>
  <c r="AD136" i="19"/>
  <c r="AE136" i="19" s="1" a="1"/>
  <c r="AE136" i="19" s="1"/>
  <c r="AC32" i="19"/>
  <c r="AD31" i="19"/>
  <c r="AE31" i="19" s="1" a="1"/>
  <c r="AE31" i="19" s="1"/>
  <c r="T77" i="19"/>
  <c r="U76" i="19"/>
  <c r="V76" i="19" s="1" a="1"/>
  <c r="V76" i="19" s="1"/>
  <c r="CW12" i="23" a="1"/>
  <c r="CW12" i="23" s="1"/>
  <c r="BA30" i="19"/>
  <c r="AL122" i="19"/>
  <c r="AM121" i="19"/>
  <c r="AN121" i="19" s="1" a="1"/>
  <c r="AN121" i="19" s="1"/>
  <c r="EP14" i="23" a="1"/>
  <c r="EP14" i="23" s="1"/>
  <c r="W92" i="19"/>
  <c r="X91" i="19"/>
  <c r="Y91" i="19" s="1" a="1"/>
  <c r="Y91" i="19" s="1"/>
  <c r="AF92" i="19"/>
  <c r="AG91" i="19"/>
  <c r="AH91" i="19" s="1" a="1"/>
  <c r="AH91" i="19" s="1"/>
  <c r="GL11" i="23" a="1"/>
  <c r="GL11" i="23" s="1"/>
  <c r="GO11" i="23" a="1"/>
  <c r="GO11" i="23" s="1"/>
  <c r="AO32" i="19"/>
  <c r="AP31" i="19"/>
  <c r="AQ31" i="19" s="1" a="1"/>
  <c r="AQ31" i="19" s="1"/>
  <c r="GO12" i="23" a="1"/>
  <c r="GO12" i="23" s="1"/>
  <c r="AV31" i="19"/>
  <c r="AW31" i="19" s="1" a="1"/>
  <c r="AW31" i="19" s="1"/>
  <c r="AU32" i="19"/>
  <c r="AY46" i="19"/>
  <c r="AZ46" i="19" s="1" a="1"/>
  <c r="AZ46" i="19" s="1"/>
  <c r="AX47" i="19"/>
  <c r="AI77" i="19"/>
  <c r="AJ76" i="19"/>
  <c r="AK76" i="19" s="1" a="1"/>
  <c r="AK76" i="19" s="1"/>
  <c r="Z92" i="19"/>
  <c r="AA91" i="19"/>
  <c r="AB91" i="19" s="1" a="1"/>
  <c r="AB91" i="19" s="1"/>
  <c r="BA90" i="19"/>
  <c r="AH15" i="23" a="1"/>
  <c r="AH15" i="23" s="1"/>
  <c r="AK15" i="23" a="1"/>
  <c r="AK15" i="23" s="1"/>
  <c r="Q92" i="19"/>
  <c r="R91" i="19"/>
  <c r="S91" i="19" s="1" a="1"/>
  <c r="S91" i="19" s="1"/>
  <c r="AX32" i="19"/>
  <c r="AY31" i="19"/>
  <c r="AZ31" i="19" s="1" a="1"/>
  <c r="AZ31" i="19" s="1"/>
  <c r="AR32" i="19"/>
  <c r="AS31" i="19"/>
  <c r="AT31" i="19" s="1" a="1"/>
  <c r="AT31" i="19" s="1"/>
  <c r="AO62" i="19"/>
  <c r="AP61" i="19"/>
  <c r="AQ61" i="19" s="1" a="1"/>
  <c r="AQ61" i="19" s="1"/>
  <c r="CG14" i="23" a="1"/>
  <c r="CG14" i="23" s="1"/>
  <c r="AI92" i="19"/>
  <c r="AJ91" i="19"/>
  <c r="AK91" i="19" s="1" a="1"/>
  <c r="AK91" i="19" s="1"/>
  <c r="BA150" i="19"/>
  <c r="EP11" i="23" a="1"/>
  <c r="EP11" i="23" s="1"/>
  <c r="ES11" i="23" a="1"/>
  <c r="ES11" i="23" s="1"/>
  <c r="GO18" i="23" a="1"/>
  <c r="GO18" i="23" s="1"/>
  <c r="AF47" i="19"/>
  <c r="AG46" i="19"/>
  <c r="AH46" i="19" s="1" a="1"/>
  <c r="AH46" i="19" s="1"/>
  <c r="AC77" i="19"/>
  <c r="AD76" i="19"/>
  <c r="AE76" i="19" s="1" a="1"/>
  <c r="AE76" i="19" s="1"/>
  <c r="AO92" i="19"/>
  <c r="AP91" i="19"/>
  <c r="AQ91" i="19" s="1" a="1"/>
  <c r="AQ91" i="19" s="1"/>
  <c r="DJ18" i="23" a="1"/>
  <c r="DJ18" i="23" s="1"/>
  <c r="DM18" i="23" a="1"/>
  <c r="DM18" i="23" s="1"/>
  <c r="AF122" i="19"/>
  <c r="AG121" i="19"/>
  <c r="AH121" i="19" s="1" a="1"/>
  <c r="AH121" i="19" s="1"/>
  <c r="W62" i="19"/>
  <c r="X61" i="19"/>
  <c r="Y61" i="19" s="1" a="1"/>
  <c r="Y61" i="19" s="1"/>
  <c r="AX92" i="19"/>
  <c r="AY91" i="19"/>
  <c r="AZ91" i="19" s="1" a="1"/>
  <c r="AZ91" i="19" s="1"/>
  <c r="AX152" i="19"/>
  <c r="AY151" i="19"/>
  <c r="AZ151" i="19" s="1" a="1"/>
  <c r="AZ151" i="19" s="1"/>
  <c r="Q62" i="19"/>
  <c r="R61" i="19"/>
  <c r="S61" i="19" s="1" a="1"/>
  <c r="S61" i="19" s="1"/>
  <c r="AP16" i="19"/>
  <c r="AQ16" i="19" s="1" a="1"/>
  <c r="AQ16" i="19" s="1"/>
  <c r="AO17" i="19"/>
  <c r="GL15" i="23" a="1"/>
  <c r="GL15" i="23" s="1"/>
  <c r="GO15" i="23" a="1"/>
  <c r="GO15" i="23" s="1"/>
  <c r="Q152" i="19"/>
  <c r="R151" i="19"/>
  <c r="S151" i="19" s="1" a="1"/>
  <c r="S151" i="19" s="1"/>
  <c r="AR47" i="19"/>
  <c r="AS46" i="19"/>
  <c r="AT46" i="19" s="1" a="1"/>
  <c r="AT46" i="19" s="1"/>
  <c r="W17" i="19"/>
  <c r="X16" i="19"/>
  <c r="Y16" i="19" s="1" a="1"/>
  <c r="Y16" i="19" s="1"/>
  <c r="AS16" i="19"/>
  <c r="AT16" i="19" s="1" a="1"/>
  <c r="AT16" i="19" s="1"/>
  <c r="AR17" i="19"/>
  <c r="AY106" i="19"/>
  <c r="AZ106" i="19" s="1" a="1"/>
  <c r="AZ106" i="19" s="1"/>
  <c r="AX107" i="19"/>
  <c r="AV76" i="19"/>
  <c r="AW76" i="19" s="1" a="1"/>
  <c r="AW76" i="19" s="1"/>
  <c r="AU77" i="19"/>
  <c r="R20" i="23" a="1"/>
  <c r="R20" i="23" s="1"/>
  <c r="FY14" i="23" a="1"/>
  <c r="FY14" i="23" s="1"/>
  <c r="FV14" i="23" a="1"/>
  <c r="FV14" i="23" s="1"/>
  <c r="T152" i="19"/>
  <c r="U151" i="19"/>
  <c r="V151" i="19" s="1" a="1"/>
  <c r="V151" i="19" s="1"/>
  <c r="Z122" i="19"/>
  <c r="AA121" i="19"/>
  <c r="AB121" i="19" s="1" a="1"/>
  <c r="AB121" i="19" s="1"/>
  <c r="W47" i="19"/>
  <c r="X46" i="19"/>
  <c r="Y46" i="19" s="1" a="1"/>
  <c r="Y46" i="19" s="1"/>
  <c r="R12" i="23" a="1"/>
  <c r="R12" i="23" s="1"/>
  <c r="GU12" i="23" s="1"/>
  <c r="GV12" i="23" s="1"/>
  <c r="AK20" i="23" a="1"/>
  <c r="AK20" i="23" s="1"/>
  <c r="CD18" i="23" a="1"/>
  <c r="CD18" i="23" s="1"/>
  <c r="BA105" i="19"/>
  <c r="AL77" i="19"/>
  <c r="AM76" i="19"/>
  <c r="AN76" i="19" s="1" a="1"/>
  <c r="AN76" i="19" s="1"/>
  <c r="BA14" i="23" a="1"/>
  <c r="BA14" i="23" s="1"/>
  <c r="AO122" i="19"/>
  <c r="AP121" i="19"/>
  <c r="AQ121" i="19" s="1" a="1"/>
  <c r="AQ121" i="19" s="1"/>
  <c r="BA120" i="19"/>
  <c r="AO152" i="19"/>
  <c r="AP151" i="19"/>
  <c r="AQ151" i="19" s="1" a="1"/>
  <c r="AQ151" i="19" s="1"/>
  <c r="T122" i="19"/>
  <c r="U121" i="19"/>
  <c r="V121" i="19" s="1" a="1"/>
  <c r="V121" i="19" s="1"/>
  <c r="AI137" i="19"/>
  <c r="AJ136" i="19"/>
  <c r="AK136" i="19" s="1" a="1"/>
  <c r="AK136" i="19" s="1"/>
  <c r="W107" i="19"/>
  <c r="X106" i="19"/>
  <c r="Y106" i="19" s="1" a="1"/>
  <c r="Y106" i="19" s="1"/>
  <c r="Z77" i="19"/>
  <c r="AA76" i="19"/>
  <c r="AB76" i="19" s="1" a="1"/>
  <c r="AB76" i="19" s="1"/>
  <c r="AF32" i="19"/>
  <c r="AG31" i="19"/>
  <c r="AH31" i="19" s="1" a="1"/>
  <c r="AH31" i="19" s="1"/>
  <c r="AL32" i="19"/>
  <c r="AM31" i="19"/>
  <c r="AN31" i="19" s="1" a="1"/>
  <c r="AN31" i="19" s="1"/>
  <c r="Z107" i="19"/>
  <c r="AA106" i="19"/>
  <c r="AB106" i="19" s="1" a="1"/>
  <c r="AB106" i="19" s="1"/>
  <c r="AL152" i="19"/>
  <c r="AM151" i="19"/>
  <c r="AN151" i="19" s="1" a="1"/>
  <c r="AN151" i="19" s="1"/>
  <c r="AR92" i="19"/>
  <c r="AS91" i="19"/>
  <c r="AT91" i="19" s="1" a="1"/>
  <c r="AT91" i="19" s="1"/>
  <c r="U15" i="23" a="1"/>
  <c r="U15" i="23" s="1"/>
  <c r="Z152" i="19"/>
  <c r="AA151" i="19"/>
  <c r="AB151" i="19" s="1" a="1"/>
  <c r="AB151" i="19" s="1"/>
  <c r="AD16" i="19"/>
  <c r="AE16" i="19" s="1" a="1"/>
  <c r="AE16" i="19" s="1"/>
  <c r="AC17" i="19"/>
  <c r="R18" i="23" a="1"/>
  <c r="R18" i="23" s="1"/>
  <c r="GU18" i="23" s="1"/>
  <c r="Q122" i="19"/>
  <c r="R121" i="19"/>
  <c r="S121" i="19" s="1" a="1"/>
  <c r="S121" i="19" s="1"/>
  <c r="AC92" i="19"/>
  <c r="AD91" i="19"/>
  <c r="AE91" i="19" s="1" a="1"/>
  <c r="AE91" i="19" s="1"/>
  <c r="AI152" i="19"/>
  <c r="AJ151" i="19"/>
  <c r="AK151" i="19" s="1" a="1"/>
  <c r="AK151" i="19" s="1"/>
  <c r="AU122" i="19"/>
  <c r="AV121" i="19"/>
  <c r="AW121" i="19" s="1" a="1"/>
  <c r="AW121" i="19" s="1"/>
  <c r="BN18" i="23" a="1"/>
  <c r="BN18" i="23" s="1"/>
  <c r="CT14" i="23" a="1"/>
  <c r="CT14" i="23" s="1"/>
  <c r="GU14" i="23" s="1"/>
  <c r="Q12" i="25"/>
  <c r="AX12" i="23" a="1"/>
  <c r="AX12" i="23" s="1"/>
  <c r="T47" i="19"/>
  <c r="U46" i="19"/>
  <c r="V46" i="19" s="1" a="1"/>
  <c r="V46" i="19" s="1"/>
  <c r="AR77" i="19"/>
  <c r="AS76" i="19"/>
  <c r="AT76" i="19" s="1" a="1"/>
  <c r="AT76" i="19" s="1"/>
  <c r="Q47" i="19"/>
  <c r="R46" i="19"/>
  <c r="S46" i="19" s="1" a="1"/>
  <c r="S46" i="19" s="1"/>
  <c r="AF152" i="19"/>
  <c r="AG151" i="19"/>
  <c r="AH151" i="19" s="1" a="1"/>
  <c r="AH151" i="19" s="1"/>
  <c r="DJ11" i="23" a="1"/>
  <c r="DJ11" i="23" s="1"/>
  <c r="DM11" i="23" a="1"/>
  <c r="DM11" i="23" s="1"/>
  <c r="AI32" i="19"/>
  <c r="AJ31" i="19"/>
  <c r="AK31" i="19" s="1" a="1"/>
  <c r="AK31" i="19" s="1"/>
  <c r="AO107" i="19"/>
  <c r="AP106" i="19"/>
  <c r="AQ106" i="19" s="1" a="1"/>
  <c r="AQ106" i="19" s="1"/>
  <c r="AH18" i="23" a="1"/>
  <c r="AH18" i="23" s="1"/>
  <c r="AA16" i="19"/>
  <c r="AB16" i="19" s="1" a="1"/>
  <c r="AB16" i="19" s="1"/>
  <c r="Z17" i="19"/>
  <c r="GL20" i="23" a="1"/>
  <c r="GL20" i="23" s="1"/>
  <c r="GO20" i="23" a="1"/>
  <c r="GO20" i="23" s="1"/>
  <c r="BA135" i="19"/>
  <c r="AL47" i="19"/>
  <c r="AM46" i="19"/>
  <c r="AN46" i="19" s="1" a="1"/>
  <c r="AN46" i="19" s="1"/>
  <c r="W152" i="19"/>
  <c r="X151" i="19"/>
  <c r="Y151" i="19" s="1" a="1"/>
  <c r="Y151" i="19" s="1"/>
  <c r="EC11" i="23" a="1"/>
  <c r="EC11" i="23" s="1"/>
  <c r="W77" i="19"/>
  <c r="X76" i="19"/>
  <c r="Y76" i="19" s="1" a="1"/>
  <c r="Y76" i="19" s="1"/>
  <c r="Z47" i="19"/>
  <c r="AA46" i="19"/>
  <c r="AB46" i="19" s="1" a="1"/>
  <c r="AB46" i="19" s="1"/>
  <c r="AU17" i="19"/>
  <c r="AV16" i="19"/>
  <c r="AW16" i="19" s="1" a="1"/>
  <c r="AW16" i="19" s="1"/>
  <c r="AY76" i="19"/>
  <c r="AZ76" i="19" s="1" a="1"/>
  <c r="AZ76" i="19" s="1"/>
  <c r="AX77" i="19"/>
  <c r="AL92" i="19"/>
  <c r="AM91" i="19"/>
  <c r="AN91" i="19" s="1" a="1"/>
  <c r="AN91" i="19" s="1"/>
  <c r="AR152" i="19"/>
  <c r="AS151" i="19"/>
  <c r="AT151" i="19" s="1" a="1"/>
  <c r="AT151" i="19" s="1"/>
  <c r="EC12" i="23" a="1"/>
  <c r="EC12" i="23" s="1"/>
  <c r="DZ12" i="23" a="1"/>
  <c r="DZ12" i="23" s="1"/>
  <c r="CT18" i="23" a="1"/>
  <c r="CT18" i="23" s="1"/>
  <c r="AL107" i="19"/>
  <c r="AM106" i="19"/>
  <c r="AN106" i="19" s="1" a="1"/>
  <c r="AN106" i="19" s="1"/>
  <c r="AF137" i="19"/>
  <c r="AG136" i="19"/>
  <c r="AH136" i="19" s="1" a="1"/>
  <c r="AH136" i="19" s="1"/>
  <c r="Q15" i="25"/>
  <c r="AU137" i="19"/>
  <c r="AV136" i="19"/>
  <c r="AW136" i="19" s="1" a="1"/>
  <c r="AW136" i="19" s="1"/>
  <c r="BA11" i="23" a="1"/>
  <c r="BA11" i="23" s="1"/>
  <c r="W32" i="19"/>
  <c r="X31" i="19"/>
  <c r="Y31" i="19" s="1" a="1"/>
  <c r="Y31" i="19" s="1"/>
  <c r="Q107" i="19"/>
  <c r="R106" i="19"/>
  <c r="S106" i="19" s="1" a="1"/>
  <c r="S106" i="19" s="1"/>
  <c r="Q137" i="19"/>
  <c r="R136" i="19"/>
  <c r="S136" i="19" s="1" a="1"/>
  <c r="S136" i="19" s="1"/>
  <c r="AR107" i="19"/>
  <c r="AS106" i="19"/>
  <c r="AT106" i="19" s="1" a="1"/>
  <c r="AT106" i="19" s="1"/>
  <c r="W122" i="19"/>
  <c r="X121" i="19"/>
  <c r="Y121" i="19" s="1" a="1"/>
  <c r="Y121" i="19" s="1"/>
  <c r="BA75" i="19"/>
  <c r="W137" i="19"/>
  <c r="X136" i="19"/>
  <c r="Y136" i="19" s="1" a="1"/>
  <c r="Y136" i="19" s="1"/>
  <c r="Z137" i="19"/>
  <c r="AA136" i="19"/>
  <c r="AB136" i="19" s="1" a="1"/>
  <c r="AB136" i="19" s="1"/>
  <c r="T92" i="19"/>
  <c r="U91" i="19"/>
  <c r="V91" i="19" s="1" a="1"/>
  <c r="V91" i="19" s="1"/>
  <c r="Q32" i="19"/>
  <c r="R31" i="19"/>
  <c r="S31" i="19" s="1" a="1"/>
  <c r="S31" i="19" s="1"/>
  <c r="AY16" i="19"/>
  <c r="AZ16" i="19" s="1" a="1"/>
  <c r="AZ16" i="19" s="1"/>
  <c r="AX17" i="19"/>
  <c r="AL137" i="19"/>
  <c r="AM136" i="19"/>
  <c r="AN136" i="19" s="1" a="1"/>
  <c r="AN136" i="19" s="1"/>
  <c r="Q77" i="19"/>
  <c r="R76" i="19"/>
  <c r="S76" i="19" s="1" a="1"/>
  <c r="S76" i="19" s="1"/>
  <c r="AO47" i="19"/>
  <c r="AP46" i="19"/>
  <c r="AQ46" i="19" s="1" a="1"/>
  <c r="AQ46" i="19" s="1"/>
  <c r="T137" i="19"/>
  <c r="U136" i="19"/>
  <c r="V136" i="19" s="1" a="1"/>
  <c r="V136" i="19" s="1"/>
  <c r="AF107" i="19"/>
  <c r="AG106" i="19"/>
  <c r="AH106" i="19" s="1" a="1"/>
  <c r="AH106" i="19" s="1"/>
  <c r="EP18" i="23" a="1"/>
  <c r="EP18" i="23" s="1"/>
  <c r="AC47" i="19"/>
  <c r="AD46" i="19"/>
  <c r="AE46" i="19" s="1" a="1"/>
  <c r="AE46" i="19" s="1"/>
  <c r="AX137" i="19"/>
  <c r="AY136" i="19"/>
  <c r="AZ136" i="19" s="1" a="1"/>
  <c r="AZ136" i="19" s="1"/>
  <c r="AC122" i="19"/>
  <c r="AD121" i="19"/>
  <c r="AE121" i="19" s="1" a="1"/>
  <c r="AE121" i="19" s="1"/>
  <c r="AC107" i="19"/>
  <c r="AD106" i="19"/>
  <c r="AE106" i="19" s="1" a="1"/>
  <c r="AE106" i="19" s="1"/>
  <c r="AY61" i="19"/>
  <c r="AZ61" i="19" s="1" a="1"/>
  <c r="AZ61" i="19" s="1"/>
  <c r="AX62" i="19"/>
  <c r="AV61" i="19"/>
  <c r="AW61" i="19" s="1" a="1"/>
  <c r="AW61" i="19" s="1"/>
  <c r="AU62" i="19"/>
  <c r="AI17" i="19"/>
  <c r="AJ16" i="19"/>
  <c r="AK16" i="19" s="1" a="1"/>
  <c r="AK16" i="19" s="1"/>
  <c r="AI107" i="19"/>
  <c r="AJ106" i="19"/>
  <c r="AK106" i="19" s="1" a="1"/>
  <c r="AK106" i="19" s="1"/>
  <c r="BA15" i="19"/>
  <c r="AR137" i="19"/>
  <c r="AS136" i="19"/>
  <c r="AT136" i="19" s="1" a="1"/>
  <c r="AT136" i="19" s="1"/>
  <c r="AO77" i="19"/>
  <c r="AP76" i="19"/>
  <c r="AQ76" i="19" s="1" a="1"/>
  <c r="AQ76" i="19" s="1"/>
  <c r="AS61" i="19"/>
  <c r="AT61" i="19" s="1" a="1"/>
  <c r="AT61" i="19" s="1"/>
  <c r="AR62" i="19"/>
  <c r="AU107" i="19"/>
  <c r="AV106" i="19"/>
  <c r="AW106" i="19" s="1" a="1"/>
  <c r="AW106" i="19" s="1"/>
  <c r="AO137" i="19"/>
  <c r="AP136" i="19"/>
  <c r="AQ136" i="19" s="1" a="1"/>
  <c r="AQ136" i="19" s="1"/>
  <c r="BN12" i="23" a="1"/>
  <c r="BN12" i="23" s="1"/>
  <c r="Z62" i="19"/>
  <c r="AA61" i="19"/>
  <c r="AB61" i="19" s="1" a="1"/>
  <c r="AB61" i="19" s="1"/>
  <c r="T32" i="19"/>
  <c r="U31" i="19"/>
  <c r="V31" i="19" s="1" a="1"/>
  <c r="V31" i="19" s="1"/>
  <c r="CT15" i="23" a="1"/>
  <c r="CT15" i="23" s="1"/>
  <c r="GU15" i="23" s="1"/>
  <c r="AF77" i="19"/>
  <c r="AG76" i="19"/>
  <c r="AH76" i="19" s="1" a="1"/>
  <c r="AH76" i="19" s="1"/>
  <c r="Z32" i="19"/>
  <c r="AA31" i="19"/>
  <c r="AB31" i="19" s="1" a="1"/>
  <c r="AB31" i="19" s="1"/>
  <c r="AU152" i="19"/>
  <c r="AV151" i="19"/>
  <c r="AW151" i="19" s="1" a="1"/>
  <c r="AW151" i="19" s="1"/>
  <c r="AC62" i="19"/>
  <c r="AD61" i="19"/>
  <c r="AE61" i="19" s="1" a="1"/>
  <c r="AE61" i="19" s="1"/>
  <c r="AU47" i="19"/>
  <c r="AV46" i="19"/>
  <c r="AW46" i="19" s="1" a="1"/>
  <c r="AW46" i="19" s="1"/>
  <c r="T62" i="19"/>
  <c r="U61" i="19"/>
  <c r="V61" i="19" s="1" a="1"/>
  <c r="V61" i="19" s="1"/>
  <c r="BA20" i="23" a="1"/>
  <c r="BA20" i="23" s="1"/>
  <c r="AX20" i="23" a="1"/>
  <c r="AX20" i="23" s="1"/>
  <c r="BA60" i="19"/>
  <c r="AC152" i="19"/>
  <c r="AD151" i="19"/>
  <c r="AE151" i="19" s="1" a="1"/>
  <c r="AE151" i="19" s="1"/>
  <c r="E216" i="13" a="1"/>
  <c r="E216" i="13" s="1"/>
  <c r="I193" i="12" a="1"/>
  <c r="I193" i="12" s="1"/>
  <c r="H193" i="12" a="1"/>
  <c r="H193" i="12" s="1"/>
  <c r="O193" i="12" a="1"/>
  <c r="O193" i="12" s="1"/>
  <c r="G193" i="12" a="1"/>
  <c r="G193" i="12" s="1"/>
  <c r="N193" i="12" a="1"/>
  <c r="N193" i="12" s="1"/>
  <c r="F193" i="12" a="1"/>
  <c r="F193" i="12" s="1"/>
  <c r="M193" i="12" a="1"/>
  <c r="M193" i="12" s="1"/>
  <c r="E193" i="12" a="1"/>
  <c r="E193" i="12" s="1"/>
  <c r="L193" i="12" a="1"/>
  <c r="L193" i="12" s="1"/>
  <c r="D193" i="12" a="1"/>
  <c r="D193" i="12" s="1"/>
  <c r="J193" i="12" a="1"/>
  <c r="J193" i="12" s="1"/>
  <c r="K193" i="12" a="1"/>
  <c r="K193" i="12" s="1"/>
  <c r="L486" i="13" a="1"/>
  <c r="L486" i="13" s="1"/>
  <c r="L513" i="13" s="1"/>
  <c r="L209" i="12"/>
  <c r="L491" i="13" s="1" a="1"/>
  <c r="L491" i="13" s="1"/>
  <c r="L214" i="12"/>
  <c r="M217" i="12" a="1"/>
  <c r="M217" i="12" s="1"/>
  <c r="E217" i="12" a="1"/>
  <c r="E217" i="12" s="1"/>
  <c r="L217" i="12" a="1"/>
  <c r="L217" i="12" s="1"/>
  <c r="D217" i="12" a="1"/>
  <c r="D217" i="12" s="1"/>
  <c r="K217" i="12" a="1"/>
  <c r="K217" i="12" s="1"/>
  <c r="J217" i="12" a="1"/>
  <c r="J217" i="12" s="1"/>
  <c r="I217" i="12" a="1"/>
  <c r="I217" i="12" s="1"/>
  <c r="H217" i="12" a="1"/>
  <c r="H217" i="12" s="1"/>
  <c r="O217" i="12" a="1"/>
  <c r="O217" i="12" s="1"/>
  <c r="G217" i="12" a="1"/>
  <c r="G217" i="12" s="1"/>
  <c r="F217" i="12" a="1"/>
  <c r="F217" i="12" s="1"/>
  <c r="N217" i="12" a="1"/>
  <c r="N217" i="12" s="1"/>
  <c r="E486" i="13" a="1"/>
  <c r="E486" i="13" s="1"/>
  <c r="E513" i="13" s="1"/>
  <c r="E209" i="12"/>
  <c r="E491" i="13" s="1" a="1"/>
  <c r="E491" i="13" s="1"/>
  <c r="E214" i="12"/>
  <c r="M486" i="13" a="1"/>
  <c r="M486" i="13" s="1"/>
  <c r="M513" i="13" s="1"/>
  <c r="M209" i="12"/>
  <c r="M491" i="13" s="1" a="1"/>
  <c r="M491" i="13" s="1"/>
  <c r="M214" i="12"/>
  <c r="F486" i="13" a="1"/>
  <c r="F486" i="13" s="1"/>
  <c r="F513" i="13" s="1"/>
  <c r="F214" i="12"/>
  <c r="F209" i="12"/>
  <c r="F491" i="13" s="1" a="1"/>
  <c r="F491" i="13" s="1"/>
  <c r="H206" i="12" a="1"/>
  <c r="H206" i="12" s="1"/>
  <c r="O206" i="12" a="1"/>
  <c r="O206" i="12" s="1"/>
  <c r="G206" i="12" a="1"/>
  <c r="G206" i="12" s="1"/>
  <c r="N206" i="12" a="1"/>
  <c r="N206" i="12" s="1"/>
  <c r="F206" i="12" a="1"/>
  <c r="F206" i="12" s="1"/>
  <c r="M206" i="12" a="1"/>
  <c r="M206" i="12" s="1"/>
  <c r="E206" i="12" a="1"/>
  <c r="E206" i="12" s="1"/>
  <c r="L206" i="12" a="1"/>
  <c r="L206" i="12" s="1"/>
  <c r="D206" i="12" a="1"/>
  <c r="D206" i="12" s="1"/>
  <c r="K206" i="12" a="1"/>
  <c r="K206" i="12" s="1"/>
  <c r="I206" i="12" a="1"/>
  <c r="I206" i="12" s="1"/>
  <c r="J206" i="12" a="1"/>
  <c r="J206" i="12" s="1"/>
  <c r="J486" i="13" a="1"/>
  <c r="J486" i="13" s="1"/>
  <c r="J513" i="13" s="1"/>
  <c r="J214" i="12"/>
  <c r="J209" i="12"/>
  <c r="J491" i="13" s="1" a="1"/>
  <c r="J491" i="13" s="1"/>
  <c r="N486" i="13" a="1"/>
  <c r="N486" i="13" s="1"/>
  <c r="N513" i="13" s="1"/>
  <c r="N209" i="12"/>
  <c r="N491" i="13" s="1" a="1"/>
  <c r="N491" i="13" s="1"/>
  <c r="N214" i="12"/>
  <c r="L205" i="12" a="1"/>
  <c r="L205" i="12" s="1"/>
  <c r="L487" i="13" s="1" a="1"/>
  <c r="L487" i="13" s="1"/>
  <c r="D205" i="12" a="1"/>
  <c r="D205" i="12" s="1"/>
  <c r="D487" i="13" s="1" a="1"/>
  <c r="D487" i="13" s="1"/>
  <c r="K205" i="12" a="1"/>
  <c r="K205" i="12" s="1"/>
  <c r="K487" i="13" s="1" a="1"/>
  <c r="K487" i="13" s="1"/>
  <c r="J205" i="12" a="1"/>
  <c r="J205" i="12" s="1"/>
  <c r="J487" i="13" s="1" a="1"/>
  <c r="J487" i="13" s="1"/>
  <c r="I205" i="12" a="1"/>
  <c r="I205" i="12" s="1"/>
  <c r="I487" i="13" s="1" a="1"/>
  <c r="I487" i="13" s="1"/>
  <c r="H205" i="12" a="1"/>
  <c r="H205" i="12" s="1"/>
  <c r="H487" i="13" s="1" a="1"/>
  <c r="H487" i="13" s="1"/>
  <c r="O205" i="12" a="1"/>
  <c r="O205" i="12" s="1"/>
  <c r="O487" i="13" s="1" a="1"/>
  <c r="O487" i="13" s="1"/>
  <c r="G205" i="12" a="1"/>
  <c r="G205" i="12" s="1"/>
  <c r="G487" i="13" s="1" a="1"/>
  <c r="G487" i="13" s="1"/>
  <c r="M205" i="12" a="1"/>
  <c r="M205" i="12" s="1"/>
  <c r="M487" i="13" s="1" a="1"/>
  <c r="M487" i="13" s="1"/>
  <c r="E205" i="12" a="1"/>
  <c r="E205" i="12" s="1"/>
  <c r="E487" i="13" s="1" a="1"/>
  <c r="E487" i="13" s="1"/>
  <c r="N205" i="12" a="1"/>
  <c r="N205" i="12" s="1"/>
  <c r="N487" i="13" s="1" a="1"/>
  <c r="N487" i="13" s="1"/>
  <c r="F205" i="12" a="1"/>
  <c r="F205" i="12" s="1"/>
  <c r="F487" i="13" s="1" a="1"/>
  <c r="F487" i="13" s="1"/>
  <c r="I486" i="13" a="1"/>
  <c r="I486" i="13" s="1"/>
  <c r="I513" i="13" s="1"/>
  <c r="I209" i="12"/>
  <c r="I491" i="13" s="1" a="1"/>
  <c r="I491" i="13" s="1"/>
  <c r="I214" i="12"/>
  <c r="G486" i="13" a="1"/>
  <c r="G486" i="13" s="1"/>
  <c r="G513" i="13" s="1"/>
  <c r="G209" i="12"/>
  <c r="G491" i="13" s="1" a="1"/>
  <c r="G491" i="13" s="1"/>
  <c r="G214" i="12"/>
  <c r="K486" i="13" a="1"/>
  <c r="K486" i="13" s="1"/>
  <c r="K513" i="13" s="1"/>
  <c r="K214" i="12"/>
  <c r="K209" i="12"/>
  <c r="K491" i="13" s="1" a="1"/>
  <c r="K491" i="13" s="1"/>
  <c r="O486" i="13" a="1"/>
  <c r="O486" i="13" s="1"/>
  <c r="O513" i="13" s="1"/>
  <c r="O209" i="12"/>
  <c r="O491" i="13" s="1" a="1"/>
  <c r="O491" i="13" s="1"/>
  <c r="O214" i="12"/>
  <c r="D486" i="13" a="1"/>
  <c r="D486" i="13" s="1"/>
  <c r="D513" i="13" s="1"/>
  <c r="D214" i="12"/>
  <c r="D209" i="12"/>
  <c r="D491" i="13" s="1" a="1"/>
  <c r="D491" i="13" s="1"/>
  <c r="H486" i="13" a="1"/>
  <c r="H486" i="13" s="1"/>
  <c r="H513" i="13" s="1"/>
  <c r="H214" i="12"/>
  <c r="H209" i="12"/>
  <c r="H491" i="13" s="1" a="1"/>
  <c r="H491" i="13" s="1"/>
  <c r="FW21" i="9" a="1"/>
  <c r="FW21" i="9" s="1"/>
  <c r="FX21" i="9" s="1"/>
  <c r="GP21" i="9" a="1"/>
  <c r="GP21" i="9" s="1"/>
  <c r="GQ21" i="9" s="1"/>
  <c r="F134" i="12" a="1"/>
  <c r="F134" i="12" s="1"/>
  <c r="F315" i="13" s="1" a="1"/>
  <c r="F315" i="13" s="1"/>
  <c r="BQ20" i="9" s="1" a="1"/>
  <c r="BQ20" i="9" s="1"/>
  <c r="AI21" i="9" a="1"/>
  <c r="AI21" i="9" s="1"/>
  <c r="AI22" i="9" a="1"/>
  <c r="AI22" i="9" s="1"/>
  <c r="D162" i="12" a="1"/>
  <c r="D162" i="12" s="1"/>
  <c r="D383" i="13" s="1" a="1"/>
  <c r="D383" i="13" s="1"/>
  <c r="AE22" i="9" s="1" a="1"/>
  <c r="AE22" i="9" s="1"/>
  <c r="D319" i="13" a="1"/>
  <c r="D319" i="13" s="1"/>
  <c r="D140" i="12"/>
  <c r="G132" i="12" a="1"/>
  <c r="G132" i="12" s="1"/>
  <c r="G314" i="13" s="1" a="1"/>
  <c r="G314" i="13" s="1"/>
  <c r="G341" i="13" s="1"/>
  <c r="A174" i="12" a="1"/>
  <c r="A174" i="12" s="1"/>
  <c r="D174" i="12" a="1"/>
  <c r="D174" i="12" s="1"/>
  <c r="D348" i="13" a="1"/>
  <c r="D348" i="13" s="1"/>
  <c r="D375" i="13" s="1"/>
  <c r="D152" i="12"/>
  <c r="D157" i="12"/>
  <c r="E148" i="12" a="1"/>
  <c r="E148" i="12" s="1"/>
  <c r="E349" i="13" s="1" a="1"/>
  <c r="E349" i="13" s="1"/>
  <c r="AX21" i="9" s="1" a="1"/>
  <c r="AX21" i="9" s="1"/>
  <c r="F146" i="12" a="1"/>
  <c r="F146" i="12" s="1"/>
  <c r="F132" i="12" a="1"/>
  <c r="F132" i="12" s="1"/>
  <c r="F143" i="12" s="1"/>
  <c r="D160" i="12" a="1"/>
  <c r="D160" i="12" s="1"/>
  <c r="E182" i="13" a="1"/>
  <c r="E182" i="13" s="1"/>
  <c r="E113" i="12"/>
  <c r="E250" i="13" s="1" a="1"/>
  <c r="E250" i="13" s="1"/>
  <c r="G285" i="13" a="1"/>
  <c r="G285" i="13" s="1"/>
  <c r="G126" i="12"/>
  <c r="G120" i="12" a="1"/>
  <c r="G120" i="12" s="1"/>
  <c r="G281" i="13" s="1" a="1"/>
  <c r="G281" i="13" s="1"/>
  <c r="CJ19" i="9" s="1" a="1"/>
  <c r="CJ19" i="9" s="1"/>
  <c r="E127" i="12"/>
  <c r="F99" i="12"/>
  <c r="IB19" i="9" a="1"/>
  <c r="IB19" i="9" s="1"/>
  <c r="IC19" i="9" s="1"/>
  <c r="CN19" i="9" a="1"/>
  <c r="CN19" i="9" s="1"/>
  <c r="H118" i="12" a="1"/>
  <c r="H118" i="12" s="1"/>
  <c r="D250" i="13" a="1"/>
  <c r="D250" i="13" s="1"/>
  <c r="D117" i="12"/>
  <c r="G246" i="13" a="1"/>
  <c r="G246" i="13" s="1"/>
  <c r="G273" i="13" s="1"/>
  <c r="G110" i="12"/>
  <c r="G115" i="12"/>
  <c r="F112" i="12"/>
  <c r="F114" i="12" s="1"/>
  <c r="F252" i="13" s="1" a="1"/>
  <c r="F252" i="13" s="1"/>
  <c r="F251" i="13" a="1"/>
  <c r="F251" i="13" s="1"/>
  <c r="CN18" i="9" a="1"/>
  <c r="CN18" i="9" s="1"/>
  <c r="H106" i="12" a="1"/>
  <c r="H106" i="12" s="1"/>
  <c r="H247" i="13" s="1" a="1"/>
  <c r="H247" i="13" s="1"/>
  <c r="DC18" i="9" s="1" a="1"/>
  <c r="DC18" i="9" s="1"/>
  <c r="H104" i="12" a="1"/>
  <c r="H104" i="12" s="1"/>
  <c r="C33" i="28" a="1"/>
  <c r="C33" i="28" s="1"/>
  <c r="F285" i="13" a="1"/>
  <c r="F285" i="13" s="1"/>
  <c r="F126" i="12"/>
  <c r="F128" i="12" s="1"/>
  <c r="F286" i="13" s="1" a="1"/>
  <c r="F286" i="13" s="1"/>
  <c r="H212" i="13" a="1"/>
  <c r="H212" i="13" s="1"/>
  <c r="H239" i="13" s="1"/>
  <c r="H96" i="12"/>
  <c r="H101" i="12"/>
  <c r="G98" i="12"/>
  <c r="G100" i="12" s="1"/>
  <c r="G218" i="13" s="1" a="1"/>
  <c r="G218" i="13" s="1"/>
  <c r="G217" i="13" a="1"/>
  <c r="G217" i="13" s="1"/>
  <c r="E348" i="13" a="1"/>
  <c r="E348" i="13" s="1"/>
  <c r="E375" i="13" s="1"/>
  <c r="E152" i="12"/>
  <c r="E157" i="12"/>
  <c r="E319" i="13" a="1"/>
  <c r="E319" i="13" s="1"/>
  <c r="E140" i="12"/>
  <c r="DG17" i="9" a="1"/>
  <c r="DG17" i="9" s="1"/>
  <c r="I92" i="12" a="1"/>
  <c r="I92" i="12" s="1"/>
  <c r="I213" i="13" s="1" a="1"/>
  <c r="I213" i="13" s="1"/>
  <c r="DV17" i="9" s="1" a="1"/>
  <c r="DV17" i="9" s="1"/>
  <c r="I90" i="12" a="1"/>
  <c r="I90" i="12" s="1"/>
  <c r="D31" i="24" a="1"/>
  <c r="D31" i="24" s="1"/>
  <c r="G71" i="12"/>
  <c r="G148" i="13" s="1" a="1"/>
  <c r="G148" i="13" s="1"/>
  <c r="K50" i="12" a="1"/>
  <c r="K50" i="12" s="1"/>
  <c r="K111" i="13" s="1" a="1"/>
  <c r="K111" i="13" s="1"/>
  <c r="FH14" i="9" s="1" a="1"/>
  <c r="FH14" i="9" s="1"/>
  <c r="ES14" i="9" a="1"/>
  <c r="ES14" i="9" s="1"/>
  <c r="K48" i="12" a="1"/>
  <c r="K48" i="12" s="1"/>
  <c r="I144" i="13" a="1"/>
  <c r="I144" i="13" s="1"/>
  <c r="I171" i="13" s="1"/>
  <c r="I68" i="12"/>
  <c r="I73" i="12"/>
  <c r="I56" i="12"/>
  <c r="I58" i="12" s="1"/>
  <c r="I116" i="13" s="1" a="1"/>
  <c r="I116" i="13" s="1"/>
  <c r="I115" i="13" a="1"/>
  <c r="I115" i="13" s="1"/>
  <c r="K28" i="12"/>
  <c r="K47" i="13" a="1"/>
  <c r="K47" i="13" s="1"/>
  <c r="M22" i="12" a="1"/>
  <c r="M22" i="12" s="1"/>
  <c r="M43" i="13" s="1" a="1"/>
  <c r="M43" i="13" s="1"/>
  <c r="GT12" i="9" s="1" a="1"/>
  <c r="GT12" i="9" s="1"/>
  <c r="GE12" i="9" a="1"/>
  <c r="GE12" i="9" s="1"/>
  <c r="M20" i="12" a="1"/>
  <c r="M20" i="12" s="1"/>
  <c r="H82" i="12"/>
  <c r="H178" i="13" a="1"/>
  <c r="H178" i="13" s="1"/>
  <c r="H205" i="13" s="1"/>
  <c r="H87" i="12"/>
  <c r="G183" i="13" a="1"/>
  <c r="G183" i="13" s="1"/>
  <c r="G84" i="12"/>
  <c r="I33" i="12"/>
  <c r="I46" i="13" a="1"/>
  <c r="I46" i="13" s="1"/>
  <c r="H57" i="12"/>
  <c r="H114" i="13" s="1" a="1"/>
  <c r="H114" i="13" s="1"/>
  <c r="H58" i="12"/>
  <c r="DG16" i="9" a="1"/>
  <c r="DG16" i="9" s="1"/>
  <c r="I78" i="12" a="1"/>
  <c r="I78" i="12" s="1"/>
  <c r="I179" i="13" s="1" a="1"/>
  <c r="I179" i="13" s="1"/>
  <c r="DV16" i="9" s="1" a="1"/>
  <c r="DV16" i="9" s="1"/>
  <c r="I76" i="12" a="1"/>
  <c r="I76" i="12" s="1"/>
  <c r="J42" i="12"/>
  <c r="J44" i="12" s="1"/>
  <c r="J82" i="13" s="1" a="1"/>
  <c r="J82" i="13" s="1"/>
  <c r="J81" i="13" a="1"/>
  <c r="J81" i="13" s="1"/>
  <c r="J64" i="12" a="1"/>
  <c r="J64" i="12" s="1"/>
  <c r="J145" i="13" s="1" a="1"/>
  <c r="J145" i="13" s="1"/>
  <c r="EO15" i="9" s="1" a="1"/>
  <c r="EO15" i="9" s="1"/>
  <c r="DZ15" i="9" a="1"/>
  <c r="DZ15" i="9" s="1"/>
  <c r="J62" i="12" a="1"/>
  <c r="J62" i="12" s="1"/>
  <c r="H149" i="13" a="1"/>
  <c r="H149" i="13" s="1"/>
  <c r="H70" i="12"/>
  <c r="G61" i="12"/>
  <c r="G116" i="13" a="1"/>
  <c r="G116" i="13" s="1"/>
  <c r="F75" i="12"/>
  <c r="F148" i="13" a="1"/>
  <c r="F148" i="13" s="1"/>
  <c r="H47" i="12"/>
  <c r="H82" i="13" a="1"/>
  <c r="H82" i="13" s="1"/>
  <c r="F85" i="12"/>
  <c r="K40" i="12"/>
  <c r="K45" i="12"/>
  <c r="K76" i="13" a="1"/>
  <c r="K76" i="13" s="1"/>
  <c r="K103" i="13" s="1"/>
  <c r="BU18" i="9" a="1"/>
  <c r="BU18" i="9" s="1"/>
  <c r="L31" i="12"/>
  <c r="L26" i="12"/>
  <c r="L42" i="13" a="1"/>
  <c r="L42" i="13" s="1"/>
  <c r="L69" i="13" s="1"/>
  <c r="J54" i="12"/>
  <c r="J59" i="12"/>
  <c r="J110" i="13" a="1"/>
  <c r="J110" i="13" s="1"/>
  <c r="J137" i="13" s="1"/>
  <c r="L36" i="12" a="1"/>
  <c r="L36" i="12" s="1"/>
  <c r="L77" i="13" s="1" a="1"/>
  <c r="L77" i="13" s="1"/>
  <c r="GA13" i="9" s="1" a="1"/>
  <c r="GA13" i="9" s="1"/>
  <c r="FL13" i="9" a="1"/>
  <c r="FL13" i="9" s="1"/>
  <c r="L34" i="12" a="1"/>
  <c r="L34" i="12" s="1"/>
  <c r="J29" i="12"/>
  <c r="J46" i="13" s="1" a="1"/>
  <c r="J46" i="13" s="1"/>
  <c r="J30" i="12"/>
  <c r="I43" i="12"/>
  <c r="B379" i="13" a="1"/>
  <c r="B379" i="13" s="1"/>
  <c r="B380" i="13" s="1"/>
  <c r="B347" i="13"/>
  <c r="B348" i="13" s="1"/>
  <c r="B349" i="13" s="1"/>
  <c r="B350" i="13"/>
  <c r="B351" i="13" s="1"/>
  <c r="B268" i="13"/>
  <c r="B269" i="13" s="1"/>
  <c r="B270" i="13" s="1"/>
  <c r="B271" i="13" s="1"/>
  <c r="B273" i="13"/>
  <c r="B274" i="13" s="1"/>
  <c r="B275" i="13" s="1"/>
  <c r="B276" i="13" s="1"/>
  <c r="B306" i="13"/>
  <c r="B301" i="13"/>
  <c r="B318" i="13"/>
  <c r="B319" i="13" s="1"/>
  <c r="B320" i="13" s="1"/>
  <c r="B321" i="13" s="1"/>
  <c r="B322" i="13"/>
  <c r="B323" i="13" s="1"/>
  <c r="B324" i="13" s="1"/>
  <c r="B325" i="13" s="1"/>
  <c r="B326" i="13" s="1"/>
  <c r="B327" i="13" s="1"/>
  <c r="B328" i="13" s="1"/>
  <c r="B329" i="13" s="1"/>
  <c r="B330" i="13" s="1"/>
  <c r="B331" i="13" s="1"/>
  <c r="B332" i="13" s="1"/>
  <c r="B333" i="13" s="1"/>
  <c r="B334" i="13" s="1"/>
  <c r="AA342" i="10"/>
  <c r="AA343" i="10" s="1"/>
  <c r="AA355" i="10"/>
  <c r="AA330" i="10"/>
  <c r="AA317" i="10"/>
  <c r="B160" i="12" a="1"/>
  <c r="B160" i="12" s="1"/>
  <c r="R219" i="12"/>
  <c r="R220" i="12"/>
  <c r="R207" i="12"/>
  <c r="R244" i="12"/>
  <c r="R232" i="12"/>
  <c r="R231" i="12"/>
  <c r="CW6" i="1" a="1"/>
  <c r="CW6" i="1" s="1"/>
  <c r="CX388" i="1"/>
  <c r="CX6" i="1" s="1" a="1"/>
  <c r="CX6" i="1" s="1"/>
  <c r="O5" i="7"/>
  <c r="P5" i="7" s="1"/>
  <c r="M6" i="7"/>
  <c r="N5" i="7"/>
  <c r="M13" i="6"/>
  <c r="O12" i="6"/>
  <c r="P12" i="6" s="1"/>
  <c r="N12" i="6"/>
  <c r="GV14" i="23" l="1"/>
  <c r="GV15" i="23"/>
  <c r="T63" i="19"/>
  <c r="U62" i="19"/>
  <c r="V62" i="19" s="1" a="1"/>
  <c r="V62" i="19" s="1"/>
  <c r="AO78" i="19"/>
  <c r="AP77" i="19"/>
  <c r="AQ77" i="19" s="1" a="1"/>
  <c r="AQ77" i="19" s="1"/>
  <c r="BA61" i="19"/>
  <c r="BA16" i="19"/>
  <c r="AU138" i="19"/>
  <c r="AV137" i="19"/>
  <c r="AW137" i="19" s="1" a="1"/>
  <c r="AW137" i="19" s="1"/>
  <c r="AL93" i="19"/>
  <c r="AM92" i="19"/>
  <c r="AN92" i="19" s="1" a="1"/>
  <c r="AN92" i="19" s="1"/>
  <c r="W153" i="19"/>
  <c r="X152" i="19"/>
  <c r="Y152" i="19" s="1" a="1"/>
  <c r="Y152" i="19" s="1"/>
  <c r="AI33" i="19"/>
  <c r="AJ32" i="19"/>
  <c r="AK32" i="19" s="1" a="1"/>
  <c r="AK32" i="19" s="1"/>
  <c r="Q123" i="19"/>
  <c r="R122" i="19"/>
  <c r="S122" i="19" s="1" a="1"/>
  <c r="S122" i="19" s="1"/>
  <c r="Z108" i="19"/>
  <c r="AA107" i="19"/>
  <c r="AB107" i="19" s="1" a="1"/>
  <c r="AB107" i="19" s="1"/>
  <c r="AO18" i="19"/>
  <c r="AP17" i="19"/>
  <c r="AQ17" i="19" s="1" a="1"/>
  <c r="AQ17" i="19" s="1"/>
  <c r="T18" i="19"/>
  <c r="U17" i="19"/>
  <c r="V17" i="19" s="1" a="1"/>
  <c r="V17" i="19" s="1"/>
  <c r="GY20" i="23"/>
  <c r="GZ20" i="23" s="1"/>
  <c r="W123" i="19"/>
  <c r="X122" i="19"/>
  <c r="Y122" i="19" s="1" a="1"/>
  <c r="Y122" i="19" s="1"/>
  <c r="T123" i="19"/>
  <c r="U122" i="19"/>
  <c r="V122" i="19" s="1" a="1"/>
  <c r="V122" i="19" s="1"/>
  <c r="W18" i="19"/>
  <c r="X17" i="19"/>
  <c r="Y17" i="19" s="1" a="1"/>
  <c r="Y17" i="19" s="1"/>
  <c r="AI93" i="19"/>
  <c r="AJ92" i="19"/>
  <c r="AK92" i="19" s="1" a="1"/>
  <c r="AK92" i="19" s="1"/>
  <c r="AI63" i="19"/>
  <c r="AJ62" i="19"/>
  <c r="AK62" i="19" s="1" a="1"/>
  <c r="AK62" i="19" s="1"/>
  <c r="AV47" i="19"/>
  <c r="AW47" i="19" s="1" a="1"/>
  <c r="AW47" i="19" s="1"/>
  <c r="AU48" i="19"/>
  <c r="AC108" i="19"/>
  <c r="AD107" i="19"/>
  <c r="AE107" i="19" s="1" a="1"/>
  <c r="AE107" i="19" s="1"/>
  <c r="Q33" i="19"/>
  <c r="R32" i="19"/>
  <c r="S32" i="19" s="1" a="1"/>
  <c r="S32" i="19" s="1"/>
  <c r="BA76" i="19"/>
  <c r="AM47" i="19"/>
  <c r="AN47" i="19" s="1" a="1"/>
  <c r="AN47" i="19" s="1"/>
  <c r="AL48" i="19"/>
  <c r="AC18" i="19"/>
  <c r="AD17" i="19"/>
  <c r="AE17" i="19" s="1" a="1"/>
  <c r="AE17" i="19" s="1"/>
  <c r="AM32" i="19"/>
  <c r="AN32" i="19" s="1" a="1"/>
  <c r="AN32" i="19" s="1"/>
  <c r="AL33" i="19"/>
  <c r="T78" i="19"/>
  <c r="U77" i="19"/>
  <c r="V77" i="19" s="1" a="1"/>
  <c r="V77" i="19" s="1"/>
  <c r="Q18" i="19"/>
  <c r="R17" i="19"/>
  <c r="S17" i="19" s="1" a="1"/>
  <c r="S17" i="19" s="1"/>
  <c r="T33" i="19"/>
  <c r="U32" i="19"/>
  <c r="V32" i="19" s="1" a="1"/>
  <c r="V32" i="19" s="1"/>
  <c r="AO33" i="19"/>
  <c r="AP32" i="19"/>
  <c r="AQ32" i="19" s="1" a="1"/>
  <c r="AQ32" i="19" s="1"/>
  <c r="T108" i="19"/>
  <c r="U107" i="19"/>
  <c r="V107" i="19" s="1" a="1"/>
  <c r="V107" i="19" s="1"/>
  <c r="Z63" i="19"/>
  <c r="AA62" i="19"/>
  <c r="AB62" i="19" s="1" a="1"/>
  <c r="AB62" i="19" s="1"/>
  <c r="AR138" i="19"/>
  <c r="AS137" i="19"/>
  <c r="AT137" i="19" s="1" a="1"/>
  <c r="AT137" i="19" s="1"/>
  <c r="T138" i="19"/>
  <c r="U137" i="19"/>
  <c r="V137" i="19" s="1" a="1"/>
  <c r="V137" i="19" s="1"/>
  <c r="AR108" i="19"/>
  <c r="AS107" i="19"/>
  <c r="AT107" i="19" s="1" a="1"/>
  <c r="AT107" i="19" s="1"/>
  <c r="AF138" i="19"/>
  <c r="AG137" i="19"/>
  <c r="AH137" i="19" s="1" a="1"/>
  <c r="AH137" i="19" s="1"/>
  <c r="AO153" i="19"/>
  <c r="AP152" i="19"/>
  <c r="AQ152" i="19" s="1" a="1"/>
  <c r="AQ152" i="19" s="1"/>
  <c r="W48" i="19"/>
  <c r="X47" i="19"/>
  <c r="Y47" i="19" s="1" a="1"/>
  <c r="Y47" i="19" s="1"/>
  <c r="GU20" i="23"/>
  <c r="AR48" i="19"/>
  <c r="AS47" i="19"/>
  <c r="AT47" i="19" s="1" a="1"/>
  <c r="AT47" i="19" s="1"/>
  <c r="Q63" i="19"/>
  <c r="R62" i="19"/>
  <c r="S62" i="19" s="1" a="1"/>
  <c r="S62" i="19" s="1"/>
  <c r="AO93" i="19"/>
  <c r="AP92" i="19"/>
  <c r="AQ92" i="19" s="1" a="1"/>
  <c r="AQ92" i="19" s="1"/>
  <c r="Z93" i="19"/>
  <c r="AA92" i="19"/>
  <c r="AB92" i="19" s="1" a="1"/>
  <c r="AB92" i="19" s="1"/>
  <c r="AF63" i="19"/>
  <c r="AG62" i="19"/>
  <c r="AH62" i="19" s="1" a="1"/>
  <c r="AH62" i="19" s="1"/>
  <c r="AX78" i="19"/>
  <c r="AY77" i="19"/>
  <c r="AZ77" i="19" s="1" a="1"/>
  <c r="AZ77" i="19" s="1"/>
  <c r="AC63" i="19"/>
  <c r="AD62" i="19"/>
  <c r="AE62" i="19" s="1" a="1"/>
  <c r="AE62" i="19" s="1"/>
  <c r="AC123" i="19"/>
  <c r="AD122" i="19"/>
  <c r="AE122" i="19" s="1" a="1"/>
  <c r="AE122" i="19" s="1"/>
  <c r="T93" i="19"/>
  <c r="U92" i="19"/>
  <c r="V92" i="19" s="1" a="1"/>
  <c r="V92" i="19" s="1"/>
  <c r="BA136" i="19"/>
  <c r="AF153" i="19"/>
  <c r="AG152" i="19"/>
  <c r="AH152" i="19" s="1" a="1"/>
  <c r="AH152" i="19" s="1"/>
  <c r="AU123" i="19"/>
  <c r="AV122" i="19"/>
  <c r="AW122" i="19" s="1" a="1"/>
  <c r="AW122" i="19" s="1"/>
  <c r="AF33" i="19"/>
  <c r="AG32" i="19"/>
  <c r="AH32" i="19" s="1" a="1"/>
  <c r="AH32" i="19" s="1"/>
  <c r="BA151" i="19"/>
  <c r="AP62" i="19"/>
  <c r="AQ62" i="19" s="1" a="1"/>
  <c r="AQ62" i="19" s="1"/>
  <c r="AO63" i="19"/>
  <c r="AC33" i="19"/>
  <c r="AD32" i="19"/>
  <c r="AE32" i="19" s="1" a="1"/>
  <c r="AE32" i="19" s="1"/>
  <c r="AR123" i="19"/>
  <c r="AS122" i="19"/>
  <c r="AT122" i="19" s="1" a="1"/>
  <c r="AT122" i="19" s="1"/>
  <c r="GV18" i="23"/>
  <c r="AO48" i="19"/>
  <c r="AP47" i="19"/>
  <c r="AQ47" i="19" s="1" a="1"/>
  <c r="AQ47" i="19" s="1"/>
  <c r="Q138" i="19"/>
  <c r="R137" i="19"/>
  <c r="S137" i="19" s="1" a="1"/>
  <c r="S137" i="19" s="1"/>
  <c r="AL108" i="19"/>
  <c r="AM107" i="19"/>
  <c r="AN107" i="19" s="1" a="1"/>
  <c r="AN107" i="19" s="1"/>
  <c r="AU18" i="19"/>
  <c r="AV17" i="19"/>
  <c r="AW17" i="19" s="1" a="1"/>
  <c r="AW17" i="19" s="1"/>
  <c r="Z153" i="19"/>
  <c r="AA152" i="19"/>
  <c r="AB152" i="19" s="1" a="1"/>
  <c r="AB152" i="19" s="1"/>
  <c r="Z123" i="19"/>
  <c r="AA122" i="19"/>
  <c r="AB122" i="19" s="1" a="1"/>
  <c r="AB122" i="19" s="1"/>
  <c r="AU78" i="19"/>
  <c r="AV77" i="19"/>
  <c r="AW77" i="19" s="1" a="1"/>
  <c r="AW77" i="19" s="1"/>
  <c r="Q153" i="19"/>
  <c r="R152" i="19"/>
  <c r="S152" i="19" s="1" a="1"/>
  <c r="S152" i="19" s="1"/>
  <c r="AX153" i="19"/>
  <c r="AY152" i="19"/>
  <c r="AZ152" i="19" s="1" a="1"/>
  <c r="AZ152" i="19" s="1"/>
  <c r="AC78" i="19"/>
  <c r="AD77" i="19"/>
  <c r="AE77" i="19" s="1" a="1"/>
  <c r="AE77" i="19" s="1"/>
  <c r="AF93" i="19"/>
  <c r="AG92" i="19"/>
  <c r="AH92" i="19" s="1" a="1"/>
  <c r="AH92" i="19" s="1"/>
  <c r="AU93" i="19"/>
  <c r="AV92" i="19"/>
  <c r="AW92" i="19" s="1" a="1"/>
  <c r="AW92" i="19" s="1"/>
  <c r="AU153" i="19"/>
  <c r="AV152" i="19"/>
  <c r="AW152" i="19" s="1" a="1"/>
  <c r="AW152" i="19" s="1"/>
  <c r="AO138" i="19"/>
  <c r="AP137" i="19"/>
  <c r="AQ137" i="19" s="1" a="1"/>
  <c r="AQ137" i="19" s="1"/>
  <c r="AI108" i="19"/>
  <c r="AJ107" i="19"/>
  <c r="AK107" i="19" s="1" a="1"/>
  <c r="AK107" i="19" s="1"/>
  <c r="AX138" i="19"/>
  <c r="AY137" i="19"/>
  <c r="AZ137" i="19" s="1" a="1"/>
  <c r="AZ137" i="19" s="1"/>
  <c r="AA17" i="19"/>
  <c r="AB17" i="19" s="1" a="1"/>
  <c r="AB17" i="19" s="1"/>
  <c r="Z18" i="19"/>
  <c r="Q48" i="19"/>
  <c r="R47" i="19"/>
  <c r="S47" i="19" s="1" a="1"/>
  <c r="S47" i="19" s="1"/>
  <c r="GY15" i="23"/>
  <c r="GZ15" i="23" s="1"/>
  <c r="Z78" i="19"/>
  <c r="AA77" i="19"/>
  <c r="AB77" i="19" s="1" a="1"/>
  <c r="AB77" i="19" s="1"/>
  <c r="AO123" i="19"/>
  <c r="AP122" i="19"/>
  <c r="AQ122" i="19" s="1" a="1"/>
  <c r="AQ122" i="19" s="1"/>
  <c r="BA91" i="19"/>
  <c r="AR33" i="19"/>
  <c r="AS32" i="19"/>
  <c r="AT32" i="19" s="1" a="1"/>
  <c r="AT32" i="19" s="1"/>
  <c r="AI78" i="19"/>
  <c r="AJ77" i="19"/>
  <c r="AK77" i="19" s="1" a="1"/>
  <c r="AK77" i="19" s="1"/>
  <c r="AC138" i="19"/>
  <c r="AD137" i="19"/>
  <c r="AE137" i="19" s="1" a="1"/>
  <c r="AE137" i="19" s="1"/>
  <c r="AC153" i="19"/>
  <c r="AD152" i="19"/>
  <c r="AE152" i="19" s="1" a="1"/>
  <c r="AE152" i="19" s="1"/>
  <c r="Q78" i="19"/>
  <c r="R77" i="19"/>
  <c r="S77" i="19" s="1" a="1"/>
  <c r="S77" i="19" s="1"/>
  <c r="Z138" i="19"/>
  <c r="AA137" i="19"/>
  <c r="AB137" i="19" s="1" a="1"/>
  <c r="AB137" i="19" s="1"/>
  <c r="Q108" i="19"/>
  <c r="R107" i="19"/>
  <c r="S107" i="19" s="1" a="1"/>
  <c r="S107" i="19" s="1"/>
  <c r="Z48" i="19"/>
  <c r="AA47" i="19"/>
  <c r="AB47" i="19" s="1" a="1"/>
  <c r="AB47" i="19" s="1"/>
  <c r="AI153" i="19"/>
  <c r="AJ152" i="19"/>
  <c r="AK152" i="19" s="1" a="1"/>
  <c r="AK152" i="19" s="1"/>
  <c r="AY107" i="19"/>
  <c r="AZ107" i="19" s="1" a="1"/>
  <c r="AZ107" i="19" s="1"/>
  <c r="AX108" i="19"/>
  <c r="AX93" i="19"/>
  <c r="AY92" i="19"/>
  <c r="AZ92" i="19" s="1" a="1"/>
  <c r="AZ92" i="19" s="1"/>
  <c r="AF48" i="19"/>
  <c r="AG47" i="19"/>
  <c r="AH47" i="19" s="1" a="1"/>
  <c r="AH47" i="19" s="1"/>
  <c r="BA31" i="19"/>
  <c r="AX48" i="19"/>
  <c r="AY47" i="19"/>
  <c r="AZ47" i="19" s="1" a="1"/>
  <c r="AZ47" i="19" s="1"/>
  <c r="BA47" i="19" s="1"/>
  <c r="W93" i="19"/>
  <c r="X92" i="19"/>
  <c r="Y92" i="19" s="1" a="1"/>
  <c r="Y92" i="19" s="1"/>
  <c r="AM17" i="19"/>
  <c r="AN17" i="19" s="1" a="1"/>
  <c r="AN17" i="19" s="1"/>
  <c r="AL18" i="19"/>
  <c r="AG17" i="19"/>
  <c r="AH17" i="19" s="1" a="1"/>
  <c r="AH17" i="19" s="1"/>
  <c r="AF18" i="19"/>
  <c r="Z33" i="19"/>
  <c r="AA32" i="19"/>
  <c r="AB32" i="19" s="1" a="1"/>
  <c r="AB32" i="19" s="1"/>
  <c r="AU108" i="19"/>
  <c r="AV107" i="19"/>
  <c r="AW107" i="19" s="1" a="1"/>
  <c r="AW107" i="19" s="1"/>
  <c r="AI18" i="19"/>
  <c r="AJ17" i="19"/>
  <c r="AK17" i="19" s="1" a="1"/>
  <c r="AK17" i="19" s="1"/>
  <c r="GY12" i="23"/>
  <c r="GZ12" i="23" s="1"/>
  <c r="AR78" i="19"/>
  <c r="AS77" i="19"/>
  <c r="AT77" i="19" s="1" a="1"/>
  <c r="AT77" i="19" s="1"/>
  <c r="AR93" i="19"/>
  <c r="AS92" i="19"/>
  <c r="AT92" i="19" s="1" a="1"/>
  <c r="AT92" i="19" s="1"/>
  <c r="W108" i="19"/>
  <c r="X107" i="19"/>
  <c r="Y107" i="19" s="1" a="1"/>
  <c r="Y107" i="19" s="1"/>
  <c r="T153" i="19"/>
  <c r="U152" i="19"/>
  <c r="V152" i="19" s="1" a="1"/>
  <c r="V152" i="19" s="1"/>
  <c r="BA106" i="19"/>
  <c r="GY14" i="23"/>
  <c r="GZ14" i="23" s="1"/>
  <c r="AX33" i="19"/>
  <c r="AY32" i="19"/>
  <c r="AZ32" i="19" s="1" a="1"/>
  <c r="AZ32" i="19" s="1"/>
  <c r="BA46" i="19"/>
  <c r="AI123" i="19"/>
  <c r="AJ122" i="19"/>
  <c r="AK122" i="19" s="1" a="1"/>
  <c r="AK122" i="19" s="1"/>
  <c r="GY18" i="23"/>
  <c r="GZ18" i="23" s="1"/>
  <c r="AF108" i="19"/>
  <c r="AG107" i="19"/>
  <c r="AH107" i="19" s="1" a="1"/>
  <c r="AH107" i="19" s="1"/>
  <c r="AR63" i="19"/>
  <c r="AS62" i="19"/>
  <c r="AT62" i="19" s="1" a="1"/>
  <c r="AT62" i="19" s="1"/>
  <c r="AV62" i="19"/>
  <c r="AW62" i="19" s="1" a="1"/>
  <c r="AW62" i="19" s="1"/>
  <c r="AU63" i="19"/>
  <c r="AC48" i="19"/>
  <c r="AD47" i="19"/>
  <c r="AE47" i="19" s="1" a="1"/>
  <c r="AE47" i="19" s="1"/>
  <c r="AL138" i="19"/>
  <c r="AM137" i="19"/>
  <c r="AN137" i="19" s="1" a="1"/>
  <c r="AN137" i="19" s="1"/>
  <c r="W138" i="19"/>
  <c r="X137" i="19"/>
  <c r="Y137" i="19" s="1" a="1"/>
  <c r="Y137" i="19" s="1"/>
  <c r="W33" i="19"/>
  <c r="X32" i="19"/>
  <c r="Y32" i="19" s="1" a="1"/>
  <c r="Y32" i="19" s="1"/>
  <c r="W78" i="19"/>
  <c r="X77" i="19"/>
  <c r="Y77" i="19" s="1" a="1"/>
  <c r="Y77" i="19" s="1"/>
  <c r="AC93" i="19"/>
  <c r="AD92" i="19"/>
  <c r="AE92" i="19" s="1" a="1"/>
  <c r="AE92" i="19" s="1"/>
  <c r="AL78" i="19"/>
  <c r="AM77" i="19"/>
  <c r="AN77" i="19" s="1" a="1"/>
  <c r="AN77" i="19" s="1"/>
  <c r="AS17" i="19"/>
  <c r="AT17" i="19" s="1" a="1"/>
  <c r="AT17" i="19" s="1"/>
  <c r="AR18" i="19"/>
  <c r="W63" i="19"/>
  <c r="X62" i="19"/>
  <c r="Y62" i="19" s="1" a="1"/>
  <c r="Y62" i="19" s="1"/>
  <c r="AU33" i="19"/>
  <c r="AV32" i="19"/>
  <c r="AW32" i="19" s="1" a="1"/>
  <c r="AW32" i="19" s="1"/>
  <c r="AF78" i="19"/>
  <c r="AG77" i="19"/>
  <c r="AH77" i="19" s="1" a="1"/>
  <c r="AH77" i="19" s="1"/>
  <c r="AR153" i="19"/>
  <c r="AS152" i="19"/>
  <c r="AT152" i="19" s="1" a="1"/>
  <c r="AT152" i="19" s="1"/>
  <c r="AO108" i="19"/>
  <c r="AP107" i="19"/>
  <c r="AQ107" i="19" s="1" a="1"/>
  <c r="AQ107" i="19" s="1"/>
  <c r="T48" i="19"/>
  <c r="U47" i="19"/>
  <c r="V47" i="19" s="1" a="1"/>
  <c r="V47" i="19" s="1"/>
  <c r="AL153" i="19"/>
  <c r="AM152" i="19"/>
  <c r="AN152" i="19" s="1" a="1"/>
  <c r="AN152" i="19" s="1"/>
  <c r="AI138" i="19"/>
  <c r="AJ137" i="19"/>
  <c r="AK137" i="19" s="1" a="1"/>
  <c r="AK137" i="19" s="1"/>
  <c r="Q93" i="19"/>
  <c r="R92" i="19"/>
  <c r="S92" i="19" s="1" a="1"/>
  <c r="S92" i="19" s="1"/>
  <c r="AL123" i="19"/>
  <c r="AM122" i="19"/>
  <c r="AN122" i="19" s="1" a="1"/>
  <c r="AN122" i="19" s="1"/>
  <c r="AI48" i="19"/>
  <c r="AJ47" i="19"/>
  <c r="AK47" i="19" s="1" a="1"/>
  <c r="AK47" i="19" s="1"/>
  <c r="AY62" i="19"/>
  <c r="AZ62" i="19" s="1" a="1"/>
  <c r="AZ62" i="19" s="1"/>
  <c r="AX63" i="19"/>
  <c r="AX18" i="19"/>
  <c r="AY17" i="19"/>
  <c r="AZ17" i="19" s="1" a="1"/>
  <c r="AZ17" i="19" s="1"/>
  <c r="BA121" i="19"/>
  <c r="AF123" i="19"/>
  <c r="AG122" i="19"/>
  <c r="AH122" i="19" s="1" a="1"/>
  <c r="AH122" i="19" s="1"/>
  <c r="AX123" i="19"/>
  <c r="AY122" i="19"/>
  <c r="AZ122" i="19" s="1" a="1"/>
  <c r="AZ122" i="19" s="1"/>
  <c r="AL63" i="19"/>
  <c r="AM62" i="19"/>
  <c r="AN62" i="19" s="1" a="1"/>
  <c r="AN62" i="19" s="1"/>
  <c r="BB21" i="9" a="1"/>
  <c r="BB21" i="9" s="1"/>
  <c r="O520" i="13" a="1"/>
  <c r="O520" i="13" s="1"/>
  <c r="O547" i="13" s="1"/>
  <c r="O223" i="12"/>
  <c r="O525" i="13" s="1" a="1"/>
  <c r="O525" i="13" s="1"/>
  <c r="O228" i="12"/>
  <c r="M520" i="13" a="1"/>
  <c r="M520" i="13" s="1"/>
  <c r="M547" i="13" s="1"/>
  <c r="M228" i="12"/>
  <c r="M223" i="12"/>
  <c r="M525" i="13" s="1" a="1"/>
  <c r="M525" i="13" s="1"/>
  <c r="H223" i="12"/>
  <c r="H525" i="13" s="1" a="1"/>
  <c r="H525" i="13" s="1"/>
  <c r="H228" i="12"/>
  <c r="H520" i="13" a="1"/>
  <c r="H520" i="13" s="1"/>
  <c r="H547" i="13" s="1"/>
  <c r="I520" i="13" a="1"/>
  <c r="I520" i="13" s="1"/>
  <c r="I547" i="13" s="1"/>
  <c r="I228" i="12"/>
  <c r="I223" i="12"/>
  <c r="I525" i="13" s="1" a="1"/>
  <c r="I525" i="13" s="1"/>
  <c r="J520" i="13" a="1"/>
  <c r="J520" i="13" s="1"/>
  <c r="J547" i="13" s="1"/>
  <c r="J223" i="12"/>
  <c r="J525" i="13" s="1" a="1"/>
  <c r="J525" i="13" s="1"/>
  <c r="J228" i="12"/>
  <c r="K520" i="13" a="1"/>
  <c r="K520" i="13" s="1"/>
  <c r="K547" i="13" s="1"/>
  <c r="K228" i="12"/>
  <c r="K223" i="12"/>
  <c r="K525" i="13" s="1" a="1"/>
  <c r="K525" i="13" s="1"/>
  <c r="M231" i="12" a="1"/>
  <c r="M231" i="12" s="1"/>
  <c r="E231" i="12" a="1"/>
  <c r="E231" i="12" s="1"/>
  <c r="L231" i="12" a="1"/>
  <c r="L231" i="12" s="1"/>
  <c r="D231" i="12" a="1"/>
  <c r="D231" i="12" s="1"/>
  <c r="K231" i="12" a="1"/>
  <c r="K231" i="12" s="1"/>
  <c r="J231" i="12" a="1"/>
  <c r="J231" i="12" s="1"/>
  <c r="I231" i="12" a="1"/>
  <c r="I231" i="12" s="1"/>
  <c r="H231" i="12" a="1"/>
  <c r="H231" i="12" s="1"/>
  <c r="O231" i="12" a="1"/>
  <c r="O231" i="12" s="1"/>
  <c r="G231" i="12" a="1"/>
  <c r="G231" i="12" s="1"/>
  <c r="N231" i="12" a="1"/>
  <c r="N231" i="12" s="1"/>
  <c r="F231" i="12" a="1"/>
  <c r="F231" i="12" s="1"/>
  <c r="L207" i="12" a="1"/>
  <c r="L207" i="12" s="1"/>
  <c r="D207" i="12" a="1"/>
  <c r="D207" i="12" s="1"/>
  <c r="K207" i="12" a="1"/>
  <c r="K207" i="12" s="1"/>
  <c r="J207" i="12" a="1"/>
  <c r="J207" i="12" s="1"/>
  <c r="I207" i="12" a="1"/>
  <c r="I207" i="12" s="1"/>
  <c r="H207" i="12" a="1"/>
  <c r="H207" i="12" s="1"/>
  <c r="O207" i="12" a="1"/>
  <c r="O207" i="12" s="1"/>
  <c r="G207" i="12" a="1"/>
  <c r="G207" i="12" s="1"/>
  <c r="M207" i="12" a="1"/>
  <c r="M207" i="12" s="1"/>
  <c r="E207" i="12" a="1"/>
  <c r="E207" i="12" s="1"/>
  <c r="N207" i="12" a="1"/>
  <c r="N207" i="12" s="1"/>
  <c r="F207" i="12" a="1"/>
  <c r="F207" i="12" s="1"/>
  <c r="M220" i="12" a="1"/>
  <c r="M220" i="12" s="1"/>
  <c r="E220" i="12" a="1"/>
  <c r="E220" i="12" s="1"/>
  <c r="L220" i="12" a="1"/>
  <c r="L220" i="12" s="1"/>
  <c r="D220" i="12" a="1"/>
  <c r="D220" i="12" s="1"/>
  <c r="K220" i="12" a="1"/>
  <c r="K220" i="12" s="1"/>
  <c r="J220" i="12" a="1"/>
  <c r="J220" i="12" s="1"/>
  <c r="I220" i="12" a="1"/>
  <c r="I220" i="12" s="1"/>
  <c r="H220" i="12" a="1"/>
  <c r="H220" i="12" s="1"/>
  <c r="O220" i="12" a="1"/>
  <c r="O220" i="12" s="1"/>
  <c r="G220" i="12" a="1"/>
  <c r="G220" i="12" s="1"/>
  <c r="N220" i="12" a="1"/>
  <c r="N220" i="12" s="1"/>
  <c r="F220" i="12" a="1"/>
  <c r="F220" i="12" s="1"/>
  <c r="I219" i="12" a="1"/>
  <c r="I219" i="12" s="1"/>
  <c r="I521" i="13" s="1" a="1"/>
  <c r="I521" i="13" s="1"/>
  <c r="H219" i="12" a="1"/>
  <c r="H219" i="12" s="1"/>
  <c r="H521" i="13" s="1" a="1"/>
  <c r="H521" i="13" s="1"/>
  <c r="O219" i="12" a="1"/>
  <c r="O219" i="12" s="1"/>
  <c r="O521" i="13" s="1" a="1"/>
  <c r="O521" i="13" s="1"/>
  <c r="G219" i="12" a="1"/>
  <c r="G219" i="12" s="1"/>
  <c r="G521" i="13" s="1" a="1"/>
  <c r="G521" i="13" s="1"/>
  <c r="N219" i="12" a="1"/>
  <c r="N219" i="12" s="1"/>
  <c r="N521" i="13" s="1" a="1"/>
  <c r="N521" i="13" s="1"/>
  <c r="F219" i="12" a="1"/>
  <c r="F219" i="12" s="1"/>
  <c r="F521" i="13" s="1" a="1"/>
  <c r="F521" i="13" s="1"/>
  <c r="M219" i="12" a="1"/>
  <c r="M219" i="12" s="1"/>
  <c r="M521" i="13" s="1" a="1"/>
  <c r="M521" i="13" s="1"/>
  <c r="E219" i="12" a="1"/>
  <c r="E219" i="12" s="1"/>
  <c r="E521" i="13" s="1" a="1"/>
  <c r="E521" i="13" s="1"/>
  <c r="L219" i="12" a="1"/>
  <c r="L219" i="12" s="1"/>
  <c r="L521" i="13" s="1" a="1"/>
  <c r="L521" i="13" s="1"/>
  <c r="D219" i="12" a="1"/>
  <c r="D219" i="12" s="1"/>
  <c r="D521" i="13" s="1" a="1"/>
  <c r="D521" i="13" s="1"/>
  <c r="K219" i="12" a="1"/>
  <c r="K219" i="12" s="1"/>
  <c r="K521" i="13" s="1" a="1"/>
  <c r="K521" i="13" s="1"/>
  <c r="J219" i="12" a="1"/>
  <c r="J219" i="12" s="1"/>
  <c r="J521" i="13" s="1" a="1"/>
  <c r="J521" i="13" s="1"/>
  <c r="N520" i="13" a="1"/>
  <c r="N520" i="13" s="1"/>
  <c r="N547" i="13" s="1"/>
  <c r="N228" i="12"/>
  <c r="N223" i="12"/>
  <c r="N525" i="13" s="1" a="1"/>
  <c r="N525" i="13" s="1"/>
  <c r="D223" i="12"/>
  <c r="D525" i="13" s="1" a="1"/>
  <c r="D525" i="13" s="1"/>
  <c r="D520" i="13" a="1"/>
  <c r="D520" i="13" s="1"/>
  <c r="D547" i="13" s="1"/>
  <c r="D228" i="12"/>
  <c r="F520" i="13" a="1"/>
  <c r="F520" i="13" s="1"/>
  <c r="F547" i="13" s="1"/>
  <c r="F223" i="12"/>
  <c r="F525" i="13" s="1" a="1"/>
  <c r="F525" i="13" s="1"/>
  <c r="F228" i="12"/>
  <c r="L223" i="12"/>
  <c r="L525" i="13" s="1" a="1"/>
  <c r="L525" i="13" s="1"/>
  <c r="L228" i="12"/>
  <c r="L520" i="13" a="1"/>
  <c r="L520" i="13" s="1"/>
  <c r="L547" i="13" s="1"/>
  <c r="G520" i="13" a="1"/>
  <c r="G520" i="13" s="1"/>
  <c r="G547" i="13" s="1"/>
  <c r="G223" i="12"/>
  <c r="G525" i="13" s="1" a="1"/>
  <c r="G525" i="13" s="1"/>
  <c r="G228" i="12"/>
  <c r="E520" i="13" a="1"/>
  <c r="E520" i="13" s="1"/>
  <c r="E547" i="13" s="1"/>
  <c r="E223" i="12"/>
  <c r="E525" i="13" s="1" a="1"/>
  <c r="E525" i="13" s="1"/>
  <c r="E228" i="12"/>
  <c r="A413" i="13" a="1"/>
  <c r="A413" i="13" s="1"/>
  <c r="G138" i="12"/>
  <c r="G319" i="13" s="1" a="1"/>
  <c r="G319" i="13" s="1"/>
  <c r="G143" i="12"/>
  <c r="F113" i="12"/>
  <c r="F250" i="13" s="1" a="1"/>
  <c r="F250" i="13" s="1"/>
  <c r="D180" i="12"/>
  <c r="D421" i="13" s="1" a="1"/>
  <c r="D421" i="13" s="1"/>
  <c r="D185" i="12"/>
  <c r="F138" i="12"/>
  <c r="F140" i="12" s="1"/>
  <c r="F142" i="12" s="1"/>
  <c r="F320" i="13" s="1" a="1"/>
  <c r="F320" i="13" s="1"/>
  <c r="F314" i="13" a="1"/>
  <c r="F314" i="13" s="1"/>
  <c r="F341" i="13" s="1"/>
  <c r="E117" i="12"/>
  <c r="E160" i="12" a="1"/>
  <c r="E160" i="12" s="1"/>
  <c r="E166" i="12" s="1"/>
  <c r="D166" i="12"/>
  <c r="D382" i="13" a="1"/>
  <c r="D382" i="13" s="1"/>
  <c r="D409" i="13" s="1"/>
  <c r="D171" i="12"/>
  <c r="D142" i="12"/>
  <c r="D320" i="13" s="1" a="1"/>
  <c r="D320" i="13" s="1"/>
  <c r="D141" i="12"/>
  <c r="D176" i="12" a="1"/>
  <c r="D176" i="12" s="1"/>
  <c r="D417" i="13" s="1" a="1"/>
  <c r="D417" i="13" s="1"/>
  <c r="AE23" i="9" s="1" a="1"/>
  <c r="AE23" i="9" s="1"/>
  <c r="AI23" i="9" a="1"/>
  <c r="AI23" i="9" s="1"/>
  <c r="FW22" i="9" a="1"/>
  <c r="FW22" i="9" s="1"/>
  <c r="FX22" i="9" s="1"/>
  <c r="F148" i="12" a="1"/>
  <c r="F148" i="12" s="1"/>
  <c r="F349" i="13" s="1" a="1"/>
  <c r="F349" i="13" s="1"/>
  <c r="BQ21" i="9" s="1" a="1"/>
  <c r="BQ21" i="9" s="1"/>
  <c r="F160" i="12" a="1"/>
  <c r="F160" i="12" s="1"/>
  <c r="E162" i="12" a="1"/>
  <c r="E162" i="12" s="1"/>
  <c r="E383" i="13" s="1" a="1"/>
  <c r="E383" i="13" s="1"/>
  <c r="AX22" i="9" s="1" a="1"/>
  <c r="AX22" i="9" s="1"/>
  <c r="D188" i="12" a="1"/>
  <c r="D188" i="12" s="1"/>
  <c r="D194" i="12" s="1"/>
  <c r="C34" i="28" a="1"/>
  <c r="C34" i="28" s="1"/>
  <c r="D416" i="13" a="1"/>
  <c r="D416" i="13" s="1"/>
  <c r="D443" i="13" s="1"/>
  <c r="GP22" i="9" a="1"/>
  <c r="GP22" i="9" s="1"/>
  <c r="GQ22" i="9" s="1"/>
  <c r="D154" i="12"/>
  <c r="D353" i="13" a="1"/>
  <c r="D353" i="13" s="1"/>
  <c r="G134" i="12" a="1"/>
  <c r="G134" i="12" s="1"/>
  <c r="G315" i="13" s="1" a="1"/>
  <c r="G315" i="13" s="1"/>
  <c r="CJ20" i="9" s="1" a="1"/>
  <c r="CJ20" i="9" s="1"/>
  <c r="CN20" i="9" a="1"/>
  <c r="CN20" i="9" s="1"/>
  <c r="F127" i="12"/>
  <c r="F131" i="12" s="1"/>
  <c r="G75" i="12"/>
  <c r="E353" i="13" a="1"/>
  <c r="E353" i="13" s="1"/>
  <c r="E154" i="12"/>
  <c r="E156" i="12" s="1"/>
  <c r="E354" i="13" s="1" a="1"/>
  <c r="E354" i="13" s="1"/>
  <c r="J43" i="12"/>
  <c r="J47" i="12" s="1"/>
  <c r="IB20" i="9" a="1"/>
  <c r="IB20" i="9" s="1"/>
  <c r="IC20" i="9" s="1"/>
  <c r="A188" i="12" a="1"/>
  <c r="A188" i="12" s="1"/>
  <c r="I96" i="12"/>
  <c r="I212" i="13" a="1"/>
  <c r="I212" i="13" s="1"/>
  <c r="I239" i="13" s="1"/>
  <c r="I101" i="12"/>
  <c r="DG18" i="9" a="1"/>
  <c r="DG18" i="9" s="1"/>
  <c r="I106" i="12" a="1"/>
  <c r="I106" i="12" s="1"/>
  <c r="I247" i="13" s="1" a="1"/>
  <c r="I247" i="13" s="1"/>
  <c r="DV18" i="9" s="1" a="1"/>
  <c r="DV18" i="9" s="1"/>
  <c r="I104" i="12" a="1"/>
  <c r="I104" i="12" s="1"/>
  <c r="F216" i="13" a="1"/>
  <c r="F216" i="13" s="1"/>
  <c r="F103" i="12"/>
  <c r="DG19" i="9" a="1"/>
  <c r="DG19" i="9" s="1"/>
  <c r="I118" i="12" a="1"/>
  <c r="I118" i="12" s="1"/>
  <c r="G99" i="12"/>
  <c r="E131" i="12"/>
  <c r="E284" i="13" a="1"/>
  <c r="E284" i="13" s="1"/>
  <c r="DZ17" i="9" a="1"/>
  <c r="DZ17" i="9" s="1"/>
  <c r="J92" i="12" a="1"/>
  <c r="J92" i="12" s="1"/>
  <c r="J213" i="13" s="1" a="1"/>
  <c r="J213" i="13" s="1"/>
  <c r="EO17" i="9" s="1" a="1"/>
  <c r="EO17" i="9" s="1"/>
  <c r="J90" i="12" a="1"/>
  <c r="J90" i="12" s="1"/>
  <c r="H280" i="13" a="1"/>
  <c r="H280" i="13" s="1"/>
  <c r="H307" i="13" s="1"/>
  <c r="H129" i="12"/>
  <c r="H124" i="12"/>
  <c r="H120" i="12" a="1"/>
  <c r="H120" i="12" s="1"/>
  <c r="H281" i="13" s="1" a="1"/>
  <c r="H281" i="13" s="1"/>
  <c r="DC19" i="9" s="1" a="1"/>
  <c r="DC19" i="9" s="1"/>
  <c r="E141" i="12"/>
  <c r="E142" i="12"/>
  <c r="E320" i="13" s="1" a="1"/>
  <c r="E320" i="13" s="1"/>
  <c r="F348" i="13" a="1"/>
  <c r="F348" i="13" s="1"/>
  <c r="F375" i="13" s="1"/>
  <c r="F152" i="12"/>
  <c r="F157" i="12"/>
  <c r="G112" i="12"/>
  <c r="G114" i="12" s="1"/>
  <c r="G252" i="13" s="1" a="1"/>
  <c r="G252" i="13" s="1"/>
  <c r="G251" i="13" a="1"/>
  <c r="G251" i="13" s="1"/>
  <c r="G127" i="12"/>
  <c r="G128" i="12"/>
  <c r="G286" i="13" s="1" a="1"/>
  <c r="G286" i="13" s="1"/>
  <c r="D32" i="24" a="1"/>
  <c r="D32" i="24" s="1"/>
  <c r="H98" i="12"/>
  <c r="H100" i="12" s="1"/>
  <c r="H218" i="13" s="1" a="1"/>
  <c r="H218" i="13" s="1"/>
  <c r="H217" i="13" a="1"/>
  <c r="H217" i="13" s="1"/>
  <c r="H246" i="13" a="1"/>
  <c r="H246" i="13" s="1"/>
  <c r="H273" i="13" s="1"/>
  <c r="H115" i="12"/>
  <c r="H110" i="12"/>
  <c r="I47" i="12"/>
  <c r="I80" i="13" a="1"/>
  <c r="I80" i="13" s="1"/>
  <c r="M36" i="12" a="1"/>
  <c r="M36" i="12" s="1"/>
  <c r="M77" i="13" s="1" a="1"/>
  <c r="M77" i="13" s="1"/>
  <c r="GT13" i="9" s="1" a="1"/>
  <c r="GT13" i="9" s="1"/>
  <c r="GE13" i="9" a="1"/>
  <c r="GE13" i="9" s="1"/>
  <c r="M34" i="12" a="1"/>
  <c r="M34" i="12" s="1"/>
  <c r="F89" i="12"/>
  <c r="F182" i="13" a="1"/>
  <c r="F182" i="13" s="1"/>
  <c r="K64" i="12" a="1"/>
  <c r="K64" i="12" s="1"/>
  <c r="K145" i="13" s="1" a="1"/>
  <c r="K145" i="13" s="1"/>
  <c r="FH15" i="9" s="1" a="1"/>
  <c r="FH15" i="9" s="1"/>
  <c r="ES15" i="9" a="1"/>
  <c r="ES15" i="9" s="1"/>
  <c r="K62" i="12" a="1"/>
  <c r="K62" i="12" s="1"/>
  <c r="K29" i="12"/>
  <c r="K46" i="13" s="1" a="1"/>
  <c r="K46" i="13" s="1"/>
  <c r="K30" i="12"/>
  <c r="L28" i="12"/>
  <c r="L30" i="12" s="1"/>
  <c r="L48" i="13" s="1" a="1"/>
  <c r="L48" i="13" s="1"/>
  <c r="L47" i="13" a="1"/>
  <c r="L47" i="13" s="1"/>
  <c r="BU19" i="9" a="1"/>
  <c r="BU19" i="9" s="1"/>
  <c r="H71" i="12"/>
  <c r="H72" i="12"/>
  <c r="H150" i="13" s="1" a="1"/>
  <c r="H150" i="13" s="1"/>
  <c r="I149" i="13" a="1"/>
  <c r="I149" i="13" s="1"/>
  <c r="I70" i="12"/>
  <c r="I72" i="12" s="1"/>
  <c r="I150" i="13" s="1" a="1"/>
  <c r="I150" i="13" s="1"/>
  <c r="H61" i="12"/>
  <c r="H116" i="13" a="1"/>
  <c r="H116" i="13" s="1"/>
  <c r="H183" i="13" a="1"/>
  <c r="H183" i="13" s="1"/>
  <c r="H84" i="12"/>
  <c r="I178" i="13" a="1"/>
  <c r="I178" i="13" s="1"/>
  <c r="I205" i="13" s="1"/>
  <c r="I87" i="12"/>
  <c r="I82" i="12"/>
  <c r="M31" i="12"/>
  <c r="M26" i="12"/>
  <c r="M42" i="13" a="1"/>
  <c r="M42" i="13" s="1"/>
  <c r="M69" i="13" s="1"/>
  <c r="K59" i="12"/>
  <c r="K54" i="12"/>
  <c r="K110" i="13" a="1"/>
  <c r="K110" i="13" s="1"/>
  <c r="K137" i="13" s="1"/>
  <c r="K42" i="12"/>
  <c r="K81" i="13" a="1"/>
  <c r="K81" i="13" s="1"/>
  <c r="L45" i="12"/>
  <c r="L40" i="12"/>
  <c r="L76" i="13" a="1"/>
  <c r="L76" i="13" s="1"/>
  <c r="L103" i="13" s="1"/>
  <c r="J56" i="12"/>
  <c r="J58" i="12" s="1"/>
  <c r="J116" i="13" s="1" a="1"/>
  <c r="J116" i="13" s="1"/>
  <c r="J115" i="13" a="1"/>
  <c r="J115" i="13" s="1"/>
  <c r="DZ16" i="9" a="1"/>
  <c r="DZ16" i="9" s="1"/>
  <c r="J78" i="12" a="1"/>
  <c r="J78" i="12" s="1"/>
  <c r="J179" i="13" s="1" a="1"/>
  <c r="J179" i="13" s="1"/>
  <c r="EO16" i="9" s="1" a="1"/>
  <c r="EO16" i="9" s="1"/>
  <c r="J76" i="12" a="1"/>
  <c r="J76" i="12" s="1"/>
  <c r="N22" i="12" a="1"/>
  <c r="N22" i="12" s="1"/>
  <c r="N43" i="13" s="1" a="1"/>
  <c r="N43" i="13" s="1"/>
  <c r="HM12" i="9" s="1" a="1"/>
  <c r="HM12" i="9" s="1"/>
  <c r="GX12" i="9" a="1"/>
  <c r="GX12" i="9" s="1"/>
  <c r="N20" i="12" a="1"/>
  <c r="N20" i="12" s="1"/>
  <c r="J33" i="12"/>
  <c r="J48" i="13" a="1"/>
  <c r="J48" i="13" s="1"/>
  <c r="J144" i="13" a="1"/>
  <c r="J144" i="13" s="1"/>
  <c r="J171" i="13" s="1"/>
  <c r="J68" i="12"/>
  <c r="J73" i="12"/>
  <c r="G85" i="12"/>
  <c r="G86" i="12"/>
  <c r="G184" i="13" s="1" a="1"/>
  <c r="G184" i="13" s="1"/>
  <c r="I57" i="12"/>
  <c r="L50" i="12" a="1"/>
  <c r="L50" i="12" s="1"/>
  <c r="L111" i="13" s="1" a="1"/>
  <c r="L111" i="13" s="1"/>
  <c r="GA14" i="9" s="1" a="1"/>
  <c r="GA14" i="9" s="1"/>
  <c r="FL14" i="9" a="1"/>
  <c r="FL14" i="9" s="1"/>
  <c r="L48" i="12" a="1"/>
  <c r="L48" i="12" s="1"/>
  <c r="B335" i="13"/>
  <c r="B340" i="13"/>
  <c r="B381" i="13"/>
  <c r="B382" i="13" s="1"/>
  <c r="B383" i="13" s="1"/>
  <c r="B384" i="13"/>
  <c r="B385" i="13" s="1"/>
  <c r="B413" i="13" a="1"/>
  <c r="B413" i="13" s="1"/>
  <c r="B414" i="13" s="1"/>
  <c r="B352" i="13"/>
  <c r="B353" i="13" s="1"/>
  <c r="B354" i="13" s="1"/>
  <c r="B355" i="13" s="1"/>
  <c r="B356" i="13"/>
  <c r="B357" i="13" s="1"/>
  <c r="B358" i="13" s="1"/>
  <c r="B359" i="13" s="1"/>
  <c r="B360" i="13" s="1"/>
  <c r="B361" i="13" s="1"/>
  <c r="B362" i="13" s="1"/>
  <c r="B363" i="13" s="1"/>
  <c r="B364" i="13" s="1"/>
  <c r="B365" i="13" s="1"/>
  <c r="B366" i="13" s="1"/>
  <c r="B367" i="13" s="1"/>
  <c r="B368" i="13" s="1"/>
  <c r="B307" i="13"/>
  <c r="B308" i="13" s="1"/>
  <c r="B309" i="13" s="1"/>
  <c r="B310" i="13" s="1"/>
  <c r="B302" i="13"/>
  <c r="B303" i="13" s="1"/>
  <c r="B304" i="13" s="1"/>
  <c r="B305" i="13" s="1"/>
  <c r="AA331" i="10"/>
  <c r="AA369" i="10"/>
  <c r="AA356" i="10"/>
  <c r="AA357" i="10" s="1"/>
  <c r="AA344" i="10"/>
  <c r="B174" i="12" a="1"/>
  <c r="B174" i="12" s="1"/>
  <c r="R234" i="12"/>
  <c r="R221" i="12"/>
  <c r="R233" i="12"/>
  <c r="R258" i="12"/>
  <c r="R245" i="12"/>
  <c r="R246" i="12"/>
  <c r="M14" i="6"/>
  <c r="O13" i="6"/>
  <c r="P13" i="6" s="1"/>
  <c r="N13" i="6"/>
  <c r="M7" i="7"/>
  <c r="O6" i="7"/>
  <c r="P6" i="7" s="1"/>
  <c r="N6" i="7"/>
  <c r="AC94" i="19" l="1"/>
  <c r="AD93" i="19"/>
  <c r="AE93" i="19" s="1" a="1"/>
  <c r="AE93" i="19" s="1"/>
  <c r="AF124" i="19"/>
  <c r="AG123" i="19"/>
  <c r="AH123" i="19" s="1" a="1"/>
  <c r="AH123" i="19" s="1"/>
  <c r="BA32" i="19"/>
  <c r="AS78" i="19"/>
  <c r="AT78" i="19" s="1" a="1"/>
  <c r="AT78" i="19" s="1"/>
  <c r="AR79" i="19"/>
  <c r="AC154" i="19"/>
  <c r="AD153" i="19"/>
  <c r="AE153" i="19" s="1" a="1"/>
  <c r="AE153" i="19" s="1"/>
  <c r="AF34" i="19"/>
  <c r="AG33" i="19"/>
  <c r="AH33" i="19" s="1" a="1"/>
  <c r="AH33" i="19" s="1"/>
  <c r="AC64" i="19"/>
  <c r="AD63" i="19"/>
  <c r="AE63" i="19" s="1" a="1"/>
  <c r="AE63" i="19" s="1"/>
  <c r="T139" i="19"/>
  <c r="U138" i="19"/>
  <c r="V138" i="19" s="1" a="1"/>
  <c r="V138" i="19" s="1"/>
  <c r="AO19" i="19"/>
  <c r="AP18" i="19"/>
  <c r="AQ18" i="19" s="1" a="1"/>
  <c r="AQ18" i="19" s="1"/>
  <c r="AX19" i="19"/>
  <c r="AY18" i="19"/>
  <c r="AZ18" i="19" s="1" a="1"/>
  <c r="AZ18" i="19" s="1"/>
  <c r="AL79" i="19"/>
  <c r="AM78" i="19"/>
  <c r="AN78" i="19" s="1" a="1"/>
  <c r="AN78" i="19" s="1"/>
  <c r="AC49" i="19"/>
  <c r="AD48" i="19"/>
  <c r="AE48" i="19" s="1" a="1"/>
  <c r="AE48" i="19" s="1"/>
  <c r="AX34" i="19"/>
  <c r="AY33" i="19"/>
  <c r="AZ33" i="19" s="1" a="1"/>
  <c r="AZ33" i="19" s="1"/>
  <c r="AU154" i="19"/>
  <c r="AV153" i="19"/>
  <c r="AW153" i="19" s="1" a="1"/>
  <c r="AW153" i="19" s="1"/>
  <c r="AU79" i="19"/>
  <c r="AV78" i="19"/>
  <c r="AW78" i="19" s="1" a="1"/>
  <c r="AW78" i="19" s="1"/>
  <c r="AP48" i="19"/>
  <c r="AQ48" i="19" s="1" a="1"/>
  <c r="AQ48" i="19" s="1"/>
  <c r="AO49" i="19"/>
  <c r="BA77" i="19"/>
  <c r="AR49" i="19"/>
  <c r="AS48" i="19"/>
  <c r="AT48" i="19" s="1" a="1"/>
  <c r="AT48" i="19" s="1"/>
  <c r="Q19" i="19"/>
  <c r="R18" i="19"/>
  <c r="S18" i="19" s="1" a="1"/>
  <c r="S18" i="19" s="1"/>
  <c r="W19" i="19"/>
  <c r="X18" i="19"/>
  <c r="Y18" i="19" s="1" a="1"/>
  <c r="Y18" i="19" s="1"/>
  <c r="AU139" i="19"/>
  <c r="AV138" i="19"/>
  <c r="AW138" i="19" s="1" a="1"/>
  <c r="AW138" i="19" s="1"/>
  <c r="BA17" i="19"/>
  <c r="AI139" i="19"/>
  <c r="AJ138" i="19"/>
  <c r="AK138" i="19" s="1" a="1"/>
  <c r="AK138" i="19" s="1"/>
  <c r="AF79" i="19"/>
  <c r="AG78" i="19"/>
  <c r="AH78" i="19" s="1" a="1"/>
  <c r="AH78" i="19" s="1"/>
  <c r="AV63" i="19"/>
  <c r="AW63" i="19" s="1" a="1"/>
  <c r="AW63" i="19" s="1"/>
  <c r="AU64" i="19"/>
  <c r="W94" i="19"/>
  <c r="X93" i="19"/>
  <c r="Y93" i="19" s="1" a="1"/>
  <c r="Y93" i="19" s="1"/>
  <c r="AI154" i="19"/>
  <c r="AJ153" i="19"/>
  <c r="AK153" i="19" s="1" a="1"/>
  <c r="AK153" i="19" s="1"/>
  <c r="AC139" i="19"/>
  <c r="AD138" i="19"/>
  <c r="AE138" i="19" s="1" a="1"/>
  <c r="AE138" i="19" s="1"/>
  <c r="AU124" i="19"/>
  <c r="AV123" i="19"/>
  <c r="AW123" i="19" s="1" a="1"/>
  <c r="AW123" i="19" s="1"/>
  <c r="AX79" i="19"/>
  <c r="AY78" i="19"/>
  <c r="AZ78" i="19" s="1" a="1"/>
  <c r="AZ78" i="19" s="1"/>
  <c r="GV20" i="23"/>
  <c r="AR139" i="19"/>
  <c r="AS138" i="19"/>
  <c r="AT138" i="19" s="1" a="1"/>
  <c r="AT138" i="19" s="1"/>
  <c r="T79" i="19"/>
  <c r="U78" i="19"/>
  <c r="V78" i="19" s="1" a="1"/>
  <c r="V78" i="19" s="1"/>
  <c r="AY63" i="19"/>
  <c r="AZ63" i="19" s="1" a="1"/>
  <c r="AZ63" i="19" s="1"/>
  <c r="AX64" i="19"/>
  <c r="AL154" i="19"/>
  <c r="AM153" i="19"/>
  <c r="AN153" i="19" s="1" a="1"/>
  <c r="AN153" i="19" s="1"/>
  <c r="AI19" i="19"/>
  <c r="AJ18" i="19"/>
  <c r="AK18" i="19" s="1" a="1"/>
  <c r="AK18" i="19" s="1"/>
  <c r="AY48" i="19"/>
  <c r="AZ48" i="19" s="1" a="1"/>
  <c r="AZ48" i="19" s="1"/>
  <c r="AX49" i="19"/>
  <c r="Z49" i="19"/>
  <c r="AA48" i="19"/>
  <c r="AB48" i="19" s="1" a="1"/>
  <c r="AB48" i="19" s="1"/>
  <c r="AI79" i="19"/>
  <c r="AJ78" i="19"/>
  <c r="AK78" i="19" s="1" a="1"/>
  <c r="AK78" i="19" s="1"/>
  <c r="AA18" i="19"/>
  <c r="AB18" i="19" s="1" a="1"/>
  <c r="AB18" i="19" s="1"/>
  <c r="Z19" i="19"/>
  <c r="AF154" i="19"/>
  <c r="AG153" i="19"/>
  <c r="AH153" i="19" s="1" a="1"/>
  <c r="AH153" i="19" s="1"/>
  <c r="W49" i="19"/>
  <c r="X48" i="19"/>
  <c r="Y48" i="19" s="1" a="1"/>
  <c r="Y48" i="19" s="1"/>
  <c r="Z64" i="19"/>
  <c r="AA63" i="19"/>
  <c r="AB63" i="19" s="1" a="1"/>
  <c r="AB63" i="19" s="1"/>
  <c r="BA122" i="19"/>
  <c r="Q34" i="19"/>
  <c r="R33" i="19"/>
  <c r="S33" i="19" s="1" a="1"/>
  <c r="S33" i="19" s="1"/>
  <c r="BA62" i="19"/>
  <c r="W79" i="19"/>
  <c r="X78" i="19"/>
  <c r="Y78" i="19" s="1" a="1"/>
  <c r="Y78" i="19" s="1"/>
  <c r="AR64" i="19"/>
  <c r="AS63" i="19"/>
  <c r="AT63" i="19" s="1" a="1"/>
  <c r="AT63" i="19" s="1"/>
  <c r="AF94" i="19"/>
  <c r="AG93" i="19"/>
  <c r="AH93" i="19" s="1" a="1"/>
  <c r="AH93" i="19" s="1"/>
  <c r="Z154" i="19"/>
  <c r="AA153" i="19"/>
  <c r="AB153" i="19" s="1" a="1"/>
  <c r="AB153" i="19" s="1"/>
  <c r="AR124" i="19"/>
  <c r="AS123" i="19"/>
  <c r="AT123" i="19" s="1" a="1"/>
  <c r="AT123" i="19" s="1"/>
  <c r="AF64" i="19"/>
  <c r="AG63" i="19"/>
  <c r="AH63" i="19" s="1" a="1"/>
  <c r="AH63" i="19" s="1"/>
  <c r="AC109" i="19"/>
  <c r="AD108" i="19"/>
  <c r="AE108" i="19" s="1" a="1"/>
  <c r="AE108" i="19" s="1"/>
  <c r="W124" i="19"/>
  <c r="X123" i="19"/>
  <c r="Y123" i="19" s="1" a="1"/>
  <c r="Y123" i="19" s="1"/>
  <c r="Q124" i="19"/>
  <c r="R123" i="19"/>
  <c r="S123" i="19" s="1" a="1"/>
  <c r="S123" i="19" s="1"/>
  <c r="AO79" i="19"/>
  <c r="AP78" i="19"/>
  <c r="AQ78" i="19" s="1" a="1"/>
  <c r="AQ78" i="19" s="1"/>
  <c r="Z109" i="19"/>
  <c r="AA108" i="19"/>
  <c r="AB108" i="19" s="1" a="1"/>
  <c r="AB108" i="19" s="1"/>
  <c r="AL64" i="19"/>
  <c r="AM63" i="19"/>
  <c r="AN63" i="19" s="1" a="1"/>
  <c r="AN63" i="19" s="1"/>
  <c r="T49" i="19"/>
  <c r="U48" i="19"/>
  <c r="V48" i="19" s="1" a="1"/>
  <c r="V48" i="19" s="1"/>
  <c r="AU34" i="19"/>
  <c r="AV33" i="19"/>
  <c r="AW33" i="19" s="1" a="1"/>
  <c r="AW33" i="19" s="1"/>
  <c r="T154" i="19"/>
  <c r="U153" i="19"/>
  <c r="V153" i="19" s="1" a="1"/>
  <c r="V153" i="19" s="1"/>
  <c r="AU109" i="19"/>
  <c r="AV108" i="19"/>
  <c r="AW108" i="19" s="1" a="1"/>
  <c r="AW108" i="19" s="1"/>
  <c r="Q109" i="19"/>
  <c r="R108" i="19"/>
  <c r="S108" i="19" s="1" a="1"/>
  <c r="S108" i="19" s="1"/>
  <c r="AR34" i="19"/>
  <c r="AS33" i="19"/>
  <c r="AT33" i="19" s="1" a="1"/>
  <c r="AT33" i="19" s="1"/>
  <c r="AO154" i="19"/>
  <c r="AP153" i="19"/>
  <c r="AQ153" i="19" s="1" a="1"/>
  <c r="AQ153" i="19" s="1"/>
  <c r="AU49" i="19"/>
  <c r="AV48" i="19"/>
  <c r="AW48" i="19" s="1" a="1"/>
  <c r="AW48" i="19" s="1"/>
  <c r="AU94" i="19"/>
  <c r="AV93" i="19"/>
  <c r="AW93" i="19" s="1" a="1"/>
  <c r="AW93" i="19" s="1"/>
  <c r="Z124" i="19"/>
  <c r="AA123" i="19"/>
  <c r="AB123" i="19" s="1" a="1"/>
  <c r="AB123" i="19" s="1"/>
  <c r="T124" i="19"/>
  <c r="U123" i="19"/>
  <c r="V123" i="19" s="1" a="1"/>
  <c r="V123" i="19" s="1"/>
  <c r="AI49" i="19"/>
  <c r="AJ48" i="19"/>
  <c r="AK48" i="19" s="1" a="1"/>
  <c r="AK48" i="19" s="1"/>
  <c r="W34" i="19"/>
  <c r="X33" i="19"/>
  <c r="Y33" i="19" s="1" a="1"/>
  <c r="Y33" i="19" s="1"/>
  <c r="AF109" i="19"/>
  <c r="AG108" i="19"/>
  <c r="AH108" i="19" s="1" a="1"/>
  <c r="AH108" i="19" s="1"/>
  <c r="AF49" i="19"/>
  <c r="AG48" i="19"/>
  <c r="AH48" i="19" s="1" a="1"/>
  <c r="AH48" i="19" s="1"/>
  <c r="AX139" i="19"/>
  <c r="AY138" i="19"/>
  <c r="AZ138" i="19" s="1" a="1"/>
  <c r="AZ138" i="19" s="1"/>
  <c r="AC79" i="19"/>
  <c r="AD78" i="19"/>
  <c r="AE78" i="19" s="1" a="1"/>
  <c r="AE78" i="19" s="1"/>
  <c r="AU19" i="19"/>
  <c r="AV18" i="19"/>
  <c r="AW18" i="19" s="1" a="1"/>
  <c r="AW18" i="19" s="1"/>
  <c r="AC34" i="19"/>
  <c r="AD33" i="19"/>
  <c r="AE33" i="19" s="1" a="1"/>
  <c r="AE33" i="19" s="1"/>
  <c r="Z94" i="19"/>
  <c r="AA93" i="19"/>
  <c r="AB93" i="19" s="1" a="1"/>
  <c r="AB93" i="19" s="1"/>
  <c r="T109" i="19"/>
  <c r="U108" i="19"/>
  <c r="V108" i="19" s="1" a="1"/>
  <c r="V108" i="19" s="1"/>
  <c r="AL34" i="19"/>
  <c r="AM33" i="19"/>
  <c r="AN33" i="19" s="1" a="1"/>
  <c r="AN33" i="19" s="1"/>
  <c r="AI34" i="19"/>
  <c r="AJ33" i="19"/>
  <c r="AK33" i="19" s="1" a="1"/>
  <c r="AK33" i="19" s="1"/>
  <c r="T64" i="19"/>
  <c r="U63" i="19"/>
  <c r="V63" i="19" s="1" a="1"/>
  <c r="V63" i="19" s="1"/>
  <c r="AX124" i="19"/>
  <c r="AY123" i="19"/>
  <c r="AZ123" i="19" s="1" a="1"/>
  <c r="AZ123" i="19" s="1"/>
  <c r="AO109" i="19"/>
  <c r="AP108" i="19"/>
  <c r="AQ108" i="19" s="1" a="1"/>
  <c r="AQ108" i="19" s="1"/>
  <c r="W109" i="19"/>
  <c r="X108" i="19"/>
  <c r="Y108" i="19" s="1" a="1"/>
  <c r="Y108" i="19" s="1"/>
  <c r="Z34" i="19"/>
  <c r="AA33" i="19"/>
  <c r="AB33" i="19" s="1" a="1"/>
  <c r="AB33" i="19" s="1"/>
  <c r="BA92" i="19"/>
  <c r="Z139" i="19"/>
  <c r="AA138" i="19"/>
  <c r="AB138" i="19" s="1" a="1"/>
  <c r="AB138" i="19" s="1"/>
  <c r="AO64" i="19"/>
  <c r="AP63" i="19"/>
  <c r="AQ63" i="19" s="1" a="1"/>
  <c r="AQ63" i="19" s="1"/>
  <c r="T94" i="19"/>
  <c r="U93" i="19"/>
  <c r="V93" i="19" s="1" a="1"/>
  <c r="V93" i="19" s="1"/>
  <c r="AF139" i="19"/>
  <c r="AG138" i="19"/>
  <c r="AH138" i="19" s="1" a="1"/>
  <c r="AH138" i="19" s="1"/>
  <c r="U18" i="19"/>
  <c r="V18" i="19" s="1" a="1"/>
  <c r="V18" i="19" s="1"/>
  <c r="T19" i="19"/>
  <c r="Q49" i="19"/>
  <c r="R48" i="19"/>
  <c r="S48" i="19" s="1" a="1"/>
  <c r="S48" i="19" s="1"/>
  <c r="AL124" i="19"/>
  <c r="AM123" i="19"/>
  <c r="AN123" i="19" s="1" a="1"/>
  <c r="AN123" i="19" s="1"/>
  <c r="W64" i="19"/>
  <c r="X63" i="19"/>
  <c r="Y63" i="19" s="1" a="1"/>
  <c r="Y63" i="19" s="1"/>
  <c r="W139" i="19"/>
  <c r="X138" i="19"/>
  <c r="Y138" i="19" s="1" a="1"/>
  <c r="Y138" i="19" s="1"/>
  <c r="AG18" i="19"/>
  <c r="AH18" i="19" s="1" a="1"/>
  <c r="AH18" i="19" s="1"/>
  <c r="AF19" i="19"/>
  <c r="AX94" i="19"/>
  <c r="AY93" i="19"/>
  <c r="AZ93" i="19" s="1" a="1"/>
  <c r="AZ93" i="19" s="1"/>
  <c r="AO124" i="19"/>
  <c r="AP123" i="19"/>
  <c r="AQ123" i="19" s="1" a="1"/>
  <c r="AQ123" i="19" s="1"/>
  <c r="AI109" i="19"/>
  <c r="AJ108" i="19"/>
  <c r="AK108" i="19" s="1" a="1"/>
  <c r="AK108" i="19" s="1"/>
  <c r="AX154" i="19"/>
  <c r="AY153" i="19"/>
  <c r="AZ153" i="19" s="1" a="1"/>
  <c r="AZ153" i="19" s="1"/>
  <c r="AL109" i="19"/>
  <c r="AM108" i="19"/>
  <c r="AN108" i="19" s="1" a="1"/>
  <c r="AN108" i="19" s="1"/>
  <c r="AO94" i="19"/>
  <c r="AP93" i="19"/>
  <c r="AQ93" i="19" s="1" a="1"/>
  <c r="AQ93" i="19" s="1"/>
  <c r="AO34" i="19"/>
  <c r="AP33" i="19"/>
  <c r="AQ33" i="19" s="1" a="1"/>
  <c r="AQ33" i="19" s="1"/>
  <c r="AI64" i="19"/>
  <c r="AJ63" i="19"/>
  <c r="AK63" i="19" s="1" a="1"/>
  <c r="AK63" i="19" s="1"/>
  <c r="W154" i="19"/>
  <c r="X153" i="19"/>
  <c r="Y153" i="19" s="1" a="1"/>
  <c r="Y153" i="19" s="1"/>
  <c r="AR19" i="19"/>
  <c r="AS18" i="19"/>
  <c r="AT18" i="19" s="1" a="1"/>
  <c r="AT18" i="19" s="1"/>
  <c r="AI124" i="19"/>
  <c r="AJ123" i="19"/>
  <c r="AK123" i="19" s="1" a="1"/>
  <c r="AK123" i="19" s="1"/>
  <c r="AR94" i="19"/>
  <c r="AS93" i="19"/>
  <c r="AT93" i="19" s="1" a="1"/>
  <c r="AT93" i="19" s="1"/>
  <c r="AX109" i="19"/>
  <c r="AY108" i="19"/>
  <c r="AZ108" i="19" s="1" a="1"/>
  <c r="AZ108" i="19" s="1"/>
  <c r="Q79" i="19"/>
  <c r="R78" i="19"/>
  <c r="S78" i="19" s="1" a="1"/>
  <c r="S78" i="19" s="1"/>
  <c r="BA152" i="19"/>
  <c r="BA137" i="19"/>
  <c r="AC124" i="19"/>
  <c r="AD123" i="19"/>
  <c r="AE123" i="19" s="1" a="1"/>
  <c r="AE123" i="19" s="1"/>
  <c r="AR109" i="19"/>
  <c r="AS108" i="19"/>
  <c r="AT108" i="19" s="1" a="1"/>
  <c r="AT108" i="19" s="1"/>
  <c r="AC19" i="19"/>
  <c r="AD18" i="19"/>
  <c r="AE18" i="19" s="1" a="1"/>
  <c r="AE18" i="19" s="1"/>
  <c r="Q94" i="19"/>
  <c r="R93" i="19"/>
  <c r="S93" i="19" s="1" a="1"/>
  <c r="S93" i="19" s="1"/>
  <c r="AR154" i="19"/>
  <c r="AS153" i="19"/>
  <c r="AT153" i="19" s="1" a="1"/>
  <c r="AT153" i="19" s="1"/>
  <c r="AL139" i="19"/>
  <c r="AM138" i="19"/>
  <c r="AN138" i="19" s="1" a="1"/>
  <c r="AN138" i="19" s="1"/>
  <c r="AM18" i="19"/>
  <c r="AN18" i="19" s="1" a="1"/>
  <c r="AN18" i="19" s="1"/>
  <c r="AL19" i="19"/>
  <c r="BA107" i="19"/>
  <c r="Z79" i="19"/>
  <c r="AA78" i="19"/>
  <c r="AB78" i="19" s="1" a="1"/>
  <c r="AB78" i="19" s="1"/>
  <c r="AO139" i="19"/>
  <c r="AP138" i="19"/>
  <c r="AQ138" i="19" s="1" a="1"/>
  <c r="AQ138" i="19" s="1"/>
  <c r="Q154" i="19"/>
  <c r="R153" i="19"/>
  <c r="S153" i="19" s="1" a="1"/>
  <c r="S153" i="19" s="1"/>
  <c r="BA153" i="19" s="1"/>
  <c r="Q139" i="19"/>
  <c r="R138" i="19"/>
  <c r="S138" i="19" s="1" a="1"/>
  <c r="S138" i="19" s="1"/>
  <c r="Q64" i="19"/>
  <c r="R63" i="19"/>
  <c r="S63" i="19" s="1" a="1"/>
  <c r="S63" i="19" s="1"/>
  <c r="T34" i="19"/>
  <c r="U33" i="19"/>
  <c r="V33" i="19" s="1" a="1"/>
  <c r="V33" i="19" s="1"/>
  <c r="AM48" i="19"/>
  <c r="AN48" i="19" s="1" a="1"/>
  <c r="AN48" i="19" s="1"/>
  <c r="AL49" i="19"/>
  <c r="AI94" i="19"/>
  <c r="AJ93" i="19"/>
  <c r="AK93" i="19" s="1" a="1"/>
  <c r="AK93" i="19" s="1"/>
  <c r="AL94" i="19"/>
  <c r="AM93" i="19"/>
  <c r="AN93" i="19" s="1" a="1"/>
  <c r="AN93" i="19" s="1"/>
  <c r="D182" i="12"/>
  <c r="D184" i="12" s="1"/>
  <c r="D422" i="13" s="1" a="1"/>
  <c r="D422" i="13" s="1"/>
  <c r="G140" i="12"/>
  <c r="G142" i="12" s="1"/>
  <c r="G320" i="13" s="1" a="1"/>
  <c r="G320" i="13" s="1"/>
  <c r="A447" i="13" a="1"/>
  <c r="A447" i="13" s="1"/>
  <c r="J554" i="13" a="1"/>
  <c r="J554" i="13" s="1"/>
  <c r="J581" i="13" s="1"/>
  <c r="J242" i="12"/>
  <c r="J237" i="12"/>
  <c r="J559" i="13" s="1" a="1"/>
  <c r="J559" i="13" s="1"/>
  <c r="K554" i="13" a="1"/>
  <c r="K554" i="13" s="1"/>
  <c r="K581" i="13" s="1"/>
  <c r="K237" i="12"/>
  <c r="K559" i="13" s="1" a="1"/>
  <c r="K559" i="13" s="1"/>
  <c r="K242" i="12"/>
  <c r="L233" i="12" a="1"/>
  <c r="L233" i="12" s="1"/>
  <c r="L555" i="13" s="1" a="1"/>
  <c r="L555" i="13" s="1"/>
  <c r="K233" i="12" a="1"/>
  <c r="K233" i="12" s="1"/>
  <c r="K555" i="13" s="1" a="1"/>
  <c r="K555" i="13" s="1"/>
  <c r="J233" i="12" a="1"/>
  <c r="J233" i="12" s="1"/>
  <c r="J555" i="13" s="1" a="1"/>
  <c r="J555" i="13" s="1"/>
  <c r="I233" i="12" a="1"/>
  <c r="I233" i="12" s="1"/>
  <c r="I555" i="13" s="1" a="1"/>
  <c r="I555" i="13" s="1"/>
  <c r="H233" i="12" a="1"/>
  <c r="H233" i="12" s="1"/>
  <c r="H555" i="13" s="1" a="1"/>
  <c r="H555" i="13" s="1"/>
  <c r="O233" i="12" a="1"/>
  <c r="O233" i="12" s="1"/>
  <c r="O555" i="13" s="1" a="1"/>
  <c r="O555" i="13" s="1"/>
  <c r="G233" i="12" a="1"/>
  <c r="G233" i="12" s="1"/>
  <c r="G555" i="13" s="1" a="1"/>
  <c r="G555" i="13" s="1"/>
  <c r="M233" i="12" a="1"/>
  <c r="M233" i="12" s="1"/>
  <c r="M555" i="13" s="1" a="1"/>
  <c r="M555" i="13" s="1"/>
  <c r="N233" i="12" a="1"/>
  <c r="N233" i="12" s="1"/>
  <c r="N555" i="13" s="1" a="1"/>
  <c r="N555" i="13" s="1"/>
  <c r="F233" i="12" a="1"/>
  <c r="F233" i="12" s="1"/>
  <c r="F555" i="13" s="1" a="1"/>
  <c r="F555" i="13" s="1"/>
  <c r="E233" i="12" a="1"/>
  <c r="E233" i="12" s="1"/>
  <c r="E555" i="13" s="1" a="1"/>
  <c r="E555" i="13" s="1"/>
  <c r="D233" i="12" a="1"/>
  <c r="D233" i="12" s="1"/>
  <c r="D555" i="13" s="1" a="1"/>
  <c r="D555" i="13" s="1"/>
  <c r="F554" i="13" a="1"/>
  <c r="F554" i="13" s="1"/>
  <c r="F581" i="13" s="1"/>
  <c r="F237" i="12"/>
  <c r="F559" i="13" s="1" a="1"/>
  <c r="F559" i="13" s="1"/>
  <c r="F242" i="12"/>
  <c r="D237" i="12"/>
  <c r="D559" i="13" s="1" a="1"/>
  <c r="D559" i="13" s="1"/>
  <c r="D554" i="13" a="1"/>
  <c r="D554" i="13" s="1"/>
  <c r="D581" i="13" s="1"/>
  <c r="D242" i="12"/>
  <c r="I221" i="12" a="1"/>
  <c r="I221" i="12" s="1"/>
  <c r="H221" i="12" a="1"/>
  <c r="H221" i="12" s="1"/>
  <c r="O221" i="12" a="1"/>
  <c r="O221" i="12" s="1"/>
  <c r="G221" i="12" a="1"/>
  <c r="G221" i="12" s="1"/>
  <c r="N221" i="12" a="1"/>
  <c r="N221" i="12" s="1"/>
  <c r="F221" i="12" a="1"/>
  <c r="F221" i="12" s="1"/>
  <c r="M221" i="12" a="1"/>
  <c r="M221" i="12" s="1"/>
  <c r="E221" i="12" a="1"/>
  <c r="E221" i="12" s="1"/>
  <c r="L221" i="12" a="1"/>
  <c r="L221" i="12" s="1"/>
  <c r="D221" i="12" a="1"/>
  <c r="D221" i="12" s="1"/>
  <c r="K221" i="12" a="1"/>
  <c r="K221" i="12" s="1"/>
  <c r="J221" i="12" a="1"/>
  <c r="J221" i="12" s="1"/>
  <c r="N242" i="12"/>
  <c r="N237" i="12"/>
  <c r="N559" i="13" s="1" a="1"/>
  <c r="N559" i="13" s="1"/>
  <c r="N554" i="13" a="1"/>
  <c r="N554" i="13" s="1"/>
  <c r="N581" i="13" s="1"/>
  <c r="L237" i="12"/>
  <c r="L559" i="13" s="1" a="1"/>
  <c r="L559" i="13" s="1"/>
  <c r="L554" i="13" a="1"/>
  <c r="L554" i="13" s="1"/>
  <c r="L581" i="13" s="1"/>
  <c r="L242" i="12"/>
  <c r="H234" i="12" a="1"/>
  <c r="H234" i="12" s="1"/>
  <c r="O234" i="12" a="1"/>
  <c r="O234" i="12" s="1"/>
  <c r="G234" i="12" a="1"/>
  <c r="G234" i="12" s="1"/>
  <c r="N234" i="12" a="1"/>
  <c r="N234" i="12" s="1"/>
  <c r="F234" i="12" a="1"/>
  <c r="F234" i="12" s="1"/>
  <c r="M234" i="12" a="1"/>
  <c r="M234" i="12" s="1"/>
  <c r="E234" i="12" a="1"/>
  <c r="E234" i="12" s="1"/>
  <c r="L234" i="12" a="1"/>
  <c r="L234" i="12" s="1"/>
  <c r="D234" i="12" a="1"/>
  <c r="D234" i="12" s="1"/>
  <c r="K234" i="12" a="1"/>
  <c r="K234" i="12" s="1"/>
  <c r="I234" i="12" a="1"/>
  <c r="I234" i="12" s="1"/>
  <c r="J234" i="12" a="1"/>
  <c r="J234" i="12" s="1"/>
  <c r="F319" i="13" a="1"/>
  <c r="F319" i="13" s="1"/>
  <c r="G554" i="13" a="1"/>
  <c r="G554" i="13" s="1"/>
  <c r="G581" i="13" s="1"/>
  <c r="G237" i="12"/>
  <c r="G559" i="13" s="1" a="1"/>
  <c r="G559" i="13" s="1"/>
  <c r="G242" i="12"/>
  <c r="E554" i="13" a="1"/>
  <c r="E554" i="13" s="1"/>
  <c r="E581" i="13" s="1"/>
  <c r="E237" i="12"/>
  <c r="E559" i="13" s="1" a="1"/>
  <c r="E559" i="13" s="1"/>
  <c r="E242" i="12"/>
  <c r="O554" i="13" a="1"/>
  <c r="O554" i="13" s="1"/>
  <c r="O581" i="13" s="1"/>
  <c r="O242" i="12"/>
  <c r="O237" i="12"/>
  <c r="O559" i="13" s="1" a="1"/>
  <c r="O559" i="13" s="1"/>
  <c r="M554" i="13" a="1"/>
  <c r="M554" i="13" s="1"/>
  <c r="M581" i="13" s="1"/>
  <c r="M242" i="12"/>
  <c r="M237" i="12"/>
  <c r="M559" i="13" s="1" a="1"/>
  <c r="M559" i="13" s="1"/>
  <c r="H554" i="13" a="1"/>
  <c r="H554" i="13" s="1"/>
  <c r="H581" i="13" s="1"/>
  <c r="H237" i="12"/>
  <c r="H559" i="13" s="1" a="1"/>
  <c r="H559" i="13" s="1"/>
  <c r="H242" i="12"/>
  <c r="M245" i="12" a="1"/>
  <c r="M245" i="12" s="1"/>
  <c r="E245" i="12" a="1"/>
  <c r="E245" i="12" s="1"/>
  <c r="L245" i="12" a="1"/>
  <c r="L245" i="12" s="1"/>
  <c r="D245" i="12" a="1"/>
  <c r="D245" i="12" s="1"/>
  <c r="K245" i="12" a="1"/>
  <c r="K245" i="12" s="1"/>
  <c r="J245" i="12" a="1"/>
  <c r="J245" i="12" s="1"/>
  <c r="I245" i="12" a="1"/>
  <c r="I245" i="12" s="1"/>
  <c r="H245" i="12" a="1"/>
  <c r="H245" i="12" s="1"/>
  <c r="O245" i="12" a="1"/>
  <c r="O245" i="12" s="1"/>
  <c r="G245" i="12" a="1"/>
  <c r="G245" i="12" s="1"/>
  <c r="N245" i="12" a="1"/>
  <c r="N245" i="12" s="1"/>
  <c r="F245" i="12" a="1"/>
  <c r="F245" i="12" s="1"/>
  <c r="I554" i="13" a="1"/>
  <c r="I554" i="13" s="1"/>
  <c r="I581" i="13" s="1"/>
  <c r="I237" i="12"/>
  <c r="I559" i="13" s="1" a="1"/>
  <c r="I559" i="13" s="1"/>
  <c r="I242" i="12"/>
  <c r="HI20" i="9" a="1"/>
  <c r="HI20" i="9" s="1"/>
  <c r="HJ20" i="9" s="1"/>
  <c r="D33" i="24" a="1"/>
  <c r="D33" i="24" s="1"/>
  <c r="F117" i="12"/>
  <c r="E382" i="13" a="1"/>
  <c r="E382" i="13" s="1"/>
  <c r="E409" i="13" s="1"/>
  <c r="FW23" i="9" a="1"/>
  <c r="FW23" i="9" s="1"/>
  <c r="FX23" i="9" s="1"/>
  <c r="H132" i="12" a="1"/>
  <c r="H132" i="12" s="1"/>
  <c r="H314" i="13" s="1" a="1"/>
  <c r="H314" i="13" s="1"/>
  <c r="H341" i="13" s="1"/>
  <c r="E174" i="12" a="1"/>
  <c r="E174" i="12" s="1"/>
  <c r="E185" i="12" s="1"/>
  <c r="E171" i="12"/>
  <c r="F284" i="13" a="1"/>
  <c r="F284" i="13" s="1"/>
  <c r="F162" i="12" a="1"/>
  <c r="F162" i="12" s="1"/>
  <c r="F383" i="13" s="1" a="1"/>
  <c r="F383" i="13" s="1"/>
  <c r="BQ22" i="9" s="1" a="1"/>
  <c r="BQ22" i="9" s="1"/>
  <c r="BB22" i="9" a="1"/>
  <c r="BB22" i="9" s="1"/>
  <c r="D156" i="12"/>
  <c r="D354" i="13" s="1" a="1"/>
  <c r="D354" i="13" s="1"/>
  <c r="D155" i="12"/>
  <c r="D318" i="13" a="1"/>
  <c r="D318" i="13" s="1"/>
  <c r="D145" i="12"/>
  <c r="G160" i="12" a="1"/>
  <c r="G160" i="12" s="1"/>
  <c r="G382" i="13" s="1" a="1"/>
  <c r="G382" i="13" s="1"/>
  <c r="G409" i="13" s="1"/>
  <c r="D450" i="13" a="1"/>
  <c r="D450" i="13" s="1"/>
  <c r="D477" i="13" s="1"/>
  <c r="G148" i="12" a="1"/>
  <c r="G148" i="12" s="1"/>
  <c r="G349" i="13" s="1" a="1"/>
  <c r="G349" i="13" s="1"/>
  <c r="CJ21" i="9" s="1" a="1"/>
  <c r="CJ21" i="9" s="1"/>
  <c r="CN21" i="9" a="1"/>
  <c r="CN21" i="9" s="1"/>
  <c r="D199" i="12"/>
  <c r="H134" i="12" a="1"/>
  <c r="H134" i="12" s="1"/>
  <c r="H315" i="13" s="1" a="1"/>
  <c r="H315" i="13" s="1"/>
  <c r="DC20" i="9" s="1" a="1"/>
  <c r="DC20" i="9" s="1"/>
  <c r="D190" i="12" a="1"/>
  <c r="D190" i="12" s="1"/>
  <c r="D451" i="13" s="1" a="1"/>
  <c r="D451" i="13" s="1"/>
  <c r="AE24" i="9" s="1" a="1"/>
  <c r="AE24" i="9" s="1"/>
  <c r="E188" i="12" a="1"/>
  <c r="E188" i="12" s="1"/>
  <c r="D168" i="12"/>
  <c r="D387" i="13" a="1"/>
  <c r="D387" i="13" s="1"/>
  <c r="BB23" i="9" a="1"/>
  <c r="BB23" i="9" s="1"/>
  <c r="E176" i="12" a="1"/>
  <c r="E176" i="12" s="1"/>
  <c r="E417" i="13" s="1" a="1"/>
  <c r="E417" i="13" s="1"/>
  <c r="AX23" i="9" s="1" a="1"/>
  <c r="AX23" i="9" s="1"/>
  <c r="G146" i="12" a="1"/>
  <c r="G146" i="12" s="1"/>
  <c r="J80" i="13" a="1"/>
  <c r="J80" i="13" s="1"/>
  <c r="H99" i="12"/>
  <c r="H103" i="12" s="1"/>
  <c r="F353" i="13" a="1"/>
  <c r="F353" i="13" s="1"/>
  <c r="F154" i="12"/>
  <c r="F156" i="12" s="1"/>
  <c r="F354" i="13" s="1" a="1"/>
  <c r="F354" i="13" s="1"/>
  <c r="I280" i="13" a="1"/>
  <c r="I280" i="13" s="1"/>
  <c r="I307" i="13" s="1"/>
  <c r="I124" i="12"/>
  <c r="I129" i="12"/>
  <c r="H126" i="12"/>
  <c r="H128" i="12" s="1"/>
  <c r="H286" i="13" s="1" a="1"/>
  <c r="H286" i="13" s="1"/>
  <c r="H285" i="13" a="1"/>
  <c r="H285" i="13" s="1"/>
  <c r="J212" i="13" a="1"/>
  <c r="J212" i="13" s="1"/>
  <c r="J239" i="13" s="1"/>
  <c r="J96" i="12"/>
  <c r="J101" i="12"/>
  <c r="J106" i="12" a="1"/>
  <c r="J106" i="12" s="1"/>
  <c r="J247" i="13" s="1" a="1"/>
  <c r="J247" i="13" s="1"/>
  <c r="EO18" i="9" s="1" a="1"/>
  <c r="EO18" i="9" s="1"/>
  <c r="DZ18" i="9" a="1"/>
  <c r="DZ18" i="9" s="1"/>
  <c r="J104" i="12" a="1"/>
  <c r="J104" i="12" s="1"/>
  <c r="L29" i="12"/>
  <c r="L46" i="13" s="1" a="1"/>
  <c r="L46" i="13" s="1"/>
  <c r="ES17" i="9" a="1"/>
  <c r="ES17" i="9" s="1"/>
  <c r="K92" i="12" a="1"/>
  <c r="K92" i="12" s="1"/>
  <c r="K213" i="13" s="1" a="1"/>
  <c r="K213" i="13" s="1"/>
  <c r="FH17" i="9" s="1" a="1"/>
  <c r="FH17" i="9" s="1"/>
  <c r="K90" i="12" a="1"/>
  <c r="K90" i="12" s="1"/>
  <c r="G103" i="12"/>
  <c r="G216" i="13" a="1"/>
  <c r="G216" i="13" s="1"/>
  <c r="E155" i="12"/>
  <c r="G284" i="13" a="1"/>
  <c r="G284" i="13" s="1"/>
  <c r="G131" i="12"/>
  <c r="E318" i="13" a="1"/>
  <c r="E318" i="13" s="1"/>
  <c r="E145" i="12"/>
  <c r="F382" i="13" a="1"/>
  <c r="F382" i="13" s="1"/>
  <c r="F409" i="13" s="1"/>
  <c r="F171" i="12"/>
  <c r="F166" i="12"/>
  <c r="G113" i="12"/>
  <c r="F141" i="12"/>
  <c r="E387" i="13" a="1"/>
  <c r="E387" i="13" s="1"/>
  <c r="E168" i="12"/>
  <c r="I217" i="13" a="1"/>
  <c r="I217" i="13" s="1"/>
  <c r="I98" i="12"/>
  <c r="I120" i="12" a="1"/>
  <c r="I120" i="12" s="1"/>
  <c r="I281" i="13" s="1" a="1"/>
  <c r="I281" i="13" s="1"/>
  <c r="DV19" i="9" s="1" a="1"/>
  <c r="DV19" i="9" s="1"/>
  <c r="A202" i="12" a="1"/>
  <c r="A202" i="12" s="1"/>
  <c r="C35" i="28" a="1"/>
  <c r="C35" i="28" s="1"/>
  <c r="A481" i="13" a="1"/>
  <c r="A481" i="13" s="1"/>
  <c r="H251" i="13" a="1"/>
  <c r="H251" i="13" s="1"/>
  <c r="H112" i="12"/>
  <c r="IB21" i="9" a="1"/>
  <c r="IB21" i="9" s="1"/>
  <c r="IC21" i="9" s="1"/>
  <c r="DZ19" i="9" a="1"/>
  <c r="DZ19" i="9" s="1"/>
  <c r="J118" i="12" a="1"/>
  <c r="J118" i="12" s="1"/>
  <c r="I110" i="12"/>
  <c r="I246" i="13" a="1"/>
  <c r="I246" i="13" s="1"/>
  <c r="I273" i="13" s="1"/>
  <c r="I115" i="12"/>
  <c r="D196" i="12"/>
  <c r="D198" i="12" s="1"/>
  <c r="D456" i="13" s="1" a="1"/>
  <c r="D456" i="13" s="1"/>
  <c r="D455" i="13" a="1"/>
  <c r="D455" i="13" s="1"/>
  <c r="J178" i="13" a="1"/>
  <c r="J178" i="13" s="1"/>
  <c r="J205" i="13" s="1"/>
  <c r="J87" i="12"/>
  <c r="J82" i="12"/>
  <c r="K56" i="12"/>
  <c r="K115" i="13" a="1"/>
  <c r="K115" i="13" s="1"/>
  <c r="H148" i="13" a="1"/>
  <c r="H148" i="13" s="1"/>
  <c r="H75" i="12"/>
  <c r="H85" i="12"/>
  <c r="H86" i="12"/>
  <c r="H184" i="13" s="1" a="1"/>
  <c r="H184" i="13" s="1"/>
  <c r="K144" i="13" a="1"/>
  <c r="K144" i="13" s="1"/>
  <c r="K171" i="13" s="1"/>
  <c r="K68" i="12"/>
  <c r="K73" i="12"/>
  <c r="M45" i="12"/>
  <c r="M40" i="12"/>
  <c r="M76" i="13" a="1"/>
  <c r="M76" i="13" s="1"/>
  <c r="M103" i="13" s="1"/>
  <c r="M50" i="12" a="1"/>
  <c r="M50" i="12" s="1"/>
  <c r="M111" i="13" s="1" a="1"/>
  <c r="M111" i="13" s="1"/>
  <c r="GT14" i="9" s="1" a="1"/>
  <c r="GT14" i="9" s="1"/>
  <c r="GE14" i="9" a="1"/>
  <c r="GE14" i="9" s="1"/>
  <c r="M48" i="12" a="1"/>
  <c r="M48" i="12" s="1"/>
  <c r="I61" i="12"/>
  <c r="I114" i="13" a="1"/>
  <c r="I114" i="13" s="1"/>
  <c r="J57" i="12"/>
  <c r="BU20" i="9" a="1"/>
  <c r="BU20" i="9" s="1"/>
  <c r="I71" i="12"/>
  <c r="ES16" i="9" a="1"/>
  <c r="ES16" i="9" s="1"/>
  <c r="K78" i="12" a="1"/>
  <c r="K78" i="12" s="1"/>
  <c r="K179" i="13" s="1" a="1"/>
  <c r="K179" i="13" s="1"/>
  <c r="FH16" i="9" s="1" a="1"/>
  <c r="FH16" i="9" s="1"/>
  <c r="K76" i="12" a="1"/>
  <c r="K76" i="12" s="1"/>
  <c r="GX13" i="9" a="1"/>
  <c r="GX13" i="9" s="1"/>
  <c r="N36" i="12" a="1"/>
  <c r="N36" i="12" s="1"/>
  <c r="N77" i="13" s="1" a="1"/>
  <c r="N77" i="13" s="1"/>
  <c r="HM13" i="9" s="1" a="1"/>
  <c r="HM13" i="9" s="1"/>
  <c r="N34" i="12" a="1"/>
  <c r="N34" i="12" s="1"/>
  <c r="N31" i="12"/>
  <c r="N26" i="12"/>
  <c r="N42" i="13" a="1"/>
  <c r="N42" i="13" s="1"/>
  <c r="N69" i="13" s="1"/>
  <c r="O22" i="12" a="1"/>
  <c r="O22" i="12" s="1"/>
  <c r="O43" i="13" s="1" a="1"/>
  <c r="O43" i="13" s="1"/>
  <c r="IF12" i="9" s="1" a="1"/>
  <c r="IF12" i="9" s="1"/>
  <c r="HQ12" i="9" a="1"/>
  <c r="HQ12" i="9" s="1"/>
  <c r="O20" i="12" a="1"/>
  <c r="O20" i="12" s="1"/>
  <c r="M28" i="12"/>
  <c r="M47" i="13" a="1"/>
  <c r="M47" i="13" s="1"/>
  <c r="L64" i="12" a="1"/>
  <c r="L64" i="12" s="1"/>
  <c r="L145" i="13" s="1" a="1"/>
  <c r="L145" i="13" s="1"/>
  <c r="GA15" i="9" s="1" a="1"/>
  <c r="GA15" i="9" s="1"/>
  <c r="FL15" i="9" a="1"/>
  <c r="FL15" i="9" s="1"/>
  <c r="L62" i="12" a="1"/>
  <c r="L62" i="12" s="1"/>
  <c r="G182" i="13" a="1"/>
  <c r="G182" i="13" s="1"/>
  <c r="G89" i="12"/>
  <c r="L59" i="12"/>
  <c r="L54" i="12"/>
  <c r="L110" i="13" a="1"/>
  <c r="L110" i="13" s="1"/>
  <c r="L137" i="13" s="1"/>
  <c r="J149" i="13" a="1"/>
  <c r="J149" i="13" s="1"/>
  <c r="J70" i="12"/>
  <c r="J72" i="12" s="1"/>
  <c r="J150" i="13" s="1" a="1"/>
  <c r="J150" i="13" s="1"/>
  <c r="L42" i="12"/>
  <c r="L44" i="12" s="1"/>
  <c r="L82" i="13" s="1" a="1"/>
  <c r="L82" i="13" s="1"/>
  <c r="L81" i="13" a="1"/>
  <c r="L81" i="13" s="1"/>
  <c r="K43" i="12"/>
  <c r="K80" i="13" s="1" a="1"/>
  <c r="K80" i="13" s="1"/>
  <c r="K44" i="12"/>
  <c r="K33" i="12"/>
  <c r="K48" i="13" a="1"/>
  <c r="K48" i="13" s="1"/>
  <c r="I183" i="13" a="1"/>
  <c r="I183" i="13" s="1"/>
  <c r="I84" i="12"/>
  <c r="B386" i="13"/>
  <c r="B387" i="13" s="1"/>
  <c r="B388" i="13" s="1"/>
  <c r="B389" i="13" s="1"/>
  <c r="B390" i="13"/>
  <c r="B391" i="13" s="1"/>
  <c r="B392" i="13" s="1"/>
  <c r="B393" i="13" s="1"/>
  <c r="B394" i="13" s="1"/>
  <c r="B395" i="13" s="1"/>
  <c r="B396" i="13" s="1"/>
  <c r="B397" i="13" s="1"/>
  <c r="B398" i="13" s="1"/>
  <c r="B399" i="13" s="1"/>
  <c r="B400" i="13" s="1"/>
  <c r="B401" i="13" s="1"/>
  <c r="B402" i="13" s="1"/>
  <c r="B369" i="13"/>
  <c r="B374" i="13"/>
  <c r="B336" i="13"/>
  <c r="B337" i="13" s="1"/>
  <c r="B338" i="13" s="1"/>
  <c r="B339" i="13" s="1"/>
  <c r="B341" i="13"/>
  <c r="B342" i="13" s="1"/>
  <c r="B343" i="13" s="1"/>
  <c r="B344" i="13" s="1"/>
  <c r="B418" i="13"/>
  <c r="B419" i="13" s="1"/>
  <c r="B415" i="13"/>
  <c r="B416" i="13" s="1"/>
  <c r="B417" i="13" s="1"/>
  <c r="B447" i="13" a="1"/>
  <c r="B447" i="13" s="1"/>
  <c r="B448" i="13" s="1"/>
  <c r="AA358" i="10"/>
  <c r="AA370" i="10"/>
  <c r="AA371" i="10" s="1"/>
  <c r="AA383" i="10"/>
  <c r="AA345" i="10"/>
  <c r="B188" i="12" a="1"/>
  <c r="B188" i="12" s="1"/>
  <c r="R248" i="12"/>
  <c r="R272" i="12"/>
  <c r="R260" i="12"/>
  <c r="R259" i="12"/>
  <c r="R235" i="12"/>
  <c r="R247" i="12"/>
  <c r="O7" i="7"/>
  <c r="P7" i="7" s="1"/>
  <c r="M8" i="7"/>
  <c r="N7" i="7"/>
  <c r="O14" i="6"/>
  <c r="P14" i="6" s="1"/>
  <c r="N14" i="6"/>
  <c r="Q50" i="19" l="1"/>
  <c r="R50" i="19" s="1"/>
  <c r="S50" i="19" s="1" a="1"/>
  <c r="S50" i="19" s="1"/>
  <c r="R49" i="19"/>
  <c r="S49" i="19" s="1" a="1"/>
  <c r="S49" i="19" s="1"/>
  <c r="Q140" i="19"/>
  <c r="R140" i="19" s="1"/>
  <c r="S140" i="19" s="1" a="1"/>
  <c r="S140" i="19" s="1"/>
  <c r="R139" i="19"/>
  <c r="S139" i="19" s="1" a="1"/>
  <c r="S139" i="19" s="1"/>
  <c r="AI35" i="19"/>
  <c r="AJ35" i="19" s="1"/>
  <c r="AK35" i="19" s="1" a="1"/>
  <c r="AK35" i="19" s="1"/>
  <c r="AJ34" i="19"/>
  <c r="AK34" i="19" s="1" a="1"/>
  <c r="AK34" i="19" s="1"/>
  <c r="AC80" i="19"/>
  <c r="AD80" i="19" s="1"/>
  <c r="AE80" i="19" s="1" a="1"/>
  <c r="AE80" i="19" s="1"/>
  <c r="AD79" i="19"/>
  <c r="AE79" i="19" s="1" a="1"/>
  <c r="AE79" i="19" s="1"/>
  <c r="T125" i="19"/>
  <c r="U125" i="19" s="1"/>
  <c r="V125" i="19" s="1" a="1"/>
  <c r="V125" i="19" s="1"/>
  <c r="V126" i="19" s="1"/>
  <c r="AI18" i="23" s="1" a="1"/>
  <c r="AI18" i="23" s="1"/>
  <c r="AJ18" i="23" s="1"/>
  <c r="AP18" i="23" s="1"/>
  <c r="G19" i="24" s="1" a="1"/>
  <c r="G19" i="24" s="1"/>
  <c r="U124" i="19"/>
  <c r="V124" i="19" s="1" a="1"/>
  <c r="V124" i="19" s="1"/>
  <c r="Q110" i="19"/>
  <c r="R110" i="19" s="1"/>
  <c r="S110" i="19" s="1" a="1"/>
  <c r="S110" i="19" s="1"/>
  <c r="R109" i="19"/>
  <c r="S109" i="19" s="1" a="1"/>
  <c r="S109" i="19" s="1"/>
  <c r="Z110" i="19"/>
  <c r="AA110" i="19" s="1"/>
  <c r="AB110" i="19" s="1" a="1"/>
  <c r="AB110" i="19" s="1"/>
  <c r="AA109" i="19"/>
  <c r="AB109" i="19" s="1" a="1"/>
  <c r="AB109" i="19" s="1"/>
  <c r="AR125" i="19"/>
  <c r="AS125" i="19" s="1"/>
  <c r="AT125" i="19" s="1" a="1"/>
  <c r="AT125" i="19" s="1"/>
  <c r="AT126" i="19" s="1"/>
  <c r="FG18" i="23" s="1" a="1"/>
  <c r="FG18" i="23" s="1"/>
  <c r="FH18" i="23" s="1"/>
  <c r="FN18" i="23" s="1"/>
  <c r="O19" i="24" s="1" a="1"/>
  <c r="O19" i="24" s="1"/>
  <c r="AS124" i="19"/>
  <c r="AT124" i="19" s="1" a="1"/>
  <c r="AT124" i="19" s="1"/>
  <c r="Z50" i="19"/>
  <c r="AA50" i="19" s="1"/>
  <c r="AB50" i="19" s="1" a="1"/>
  <c r="AB50" i="19" s="1"/>
  <c r="AA49" i="19"/>
  <c r="AB49" i="19" s="1" a="1"/>
  <c r="AB49" i="19" s="1"/>
  <c r="AR140" i="19"/>
  <c r="AS140" i="19" s="1"/>
  <c r="AT140" i="19" s="1" a="1"/>
  <c r="AT140" i="19" s="1"/>
  <c r="AS139" i="19"/>
  <c r="AT139" i="19" s="1" a="1"/>
  <c r="AT139" i="19" s="1"/>
  <c r="W95" i="19"/>
  <c r="X95" i="19" s="1"/>
  <c r="Y95" i="19" s="1" a="1"/>
  <c r="Y95" i="19" s="1"/>
  <c r="Y96" i="19" s="1"/>
  <c r="AY16" i="23" s="1" a="1"/>
  <c r="AY16" i="23" s="1"/>
  <c r="X94" i="19"/>
  <c r="Y94" i="19" s="1" a="1"/>
  <c r="Y94" i="19" s="1"/>
  <c r="AY34" i="19"/>
  <c r="AZ34" i="19" s="1" a="1"/>
  <c r="AZ34" i="19" s="1"/>
  <c r="AX35" i="19"/>
  <c r="AY35" i="19" s="1"/>
  <c r="AZ35" i="19" s="1" a="1"/>
  <c r="AZ35" i="19" s="1"/>
  <c r="AZ36" i="19" s="1"/>
  <c r="GM12" i="23" s="1" a="1"/>
  <c r="GM12" i="23" s="1"/>
  <c r="GN12" i="23" s="1"/>
  <c r="GT12" i="23" s="1"/>
  <c r="Q13" i="24" s="1" a="1"/>
  <c r="Q13" i="24" s="1"/>
  <c r="AC65" i="19"/>
  <c r="AD65" i="19" s="1"/>
  <c r="AE65" i="19" s="1" a="1"/>
  <c r="AE65" i="19" s="1"/>
  <c r="AD64" i="19"/>
  <c r="AE64" i="19" s="1" a="1"/>
  <c r="AE64" i="19" s="1"/>
  <c r="AL95" i="19"/>
  <c r="AM95" i="19" s="1"/>
  <c r="AN95" i="19" s="1" a="1"/>
  <c r="AN95" i="19" s="1"/>
  <c r="AN96" i="19" s="1"/>
  <c r="EA16" i="23" s="1" a="1"/>
  <c r="EA16" i="23" s="1"/>
  <c r="AM94" i="19"/>
  <c r="AN94" i="19" s="1" a="1"/>
  <c r="AN94" i="19" s="1"/>
  <c r="Q155" i="19"/>
  <c r="R155" i="19" s="1"/>
  <c r="S155" i="19" s="1" a="1"/>
  <c r="S155" i="19" s="1"/>
  <c r="R154" i="19"/>
  <c r="S154" i="19" s="1" a="1"/>
  <c r="S154" i="19" s="1"/>
  <c r="BA108" i="19"/>
  <c r="BA93" i="19"/>
  <c r="U19" i="19"/>
  <c r="V19" i="19" s="1" a="1"/>
  <c r="V19" i="19" s="1"/>
  <c r="T20" i="19"/>
  <c r="U20" i="19" s="1"/>
  <c r="V20" i="19" s="1" a="1"/>
  <c r="V20" i="19" s="1"/>
  <c r="Z35" i="19"/>
  <c r="AA35" i="19" s="1"/>
  <c r="AB35" i="19" s="1" a="1"/>
  <c r="AB35" i="19" s="1"/>
  <c r="AA34" i="19"/>
  <c r="AB34" i="19" s="1" a="1"/>
  <c r="AB34" i="19" s="1"/>
  <c r="AL35" i="19"/>
  <c r="AM35" i="19" s="1"/>
  <c r="AN35" i="19" s="1" a="1"/>
  <c r="AN35" i="19" s="1"/>
  <c r="AM34" i="19"/>
  <c r="AN34" i="19" s="1" a="1"/>
  <c r="AN34" i="19" s="1"/>
  <c r="AX140" i="19"/>
  <c r="AY140" i="19" s="1"/>
  <c r="AZ140" i="19" s="1" a="1"/>
  <c r="AZ140" i="19" s="1"/>
  <c r="AZ141" i="19" s="1"/>
  <c r="GM19" i="23" s="1" a="1"/>
  <c r="GM19" i="23" s="1"/>
  <c r="GN19" i="23" s="1"/>
  <c r="GT19" i="23" s="1"/>
  <c r="Q20" i="24" s="1" a="1"/>
  <c r="Q20" i="24" s="1"/>
  <c r="AY139" i="19"/>
  <c r="AZ139" i="19" s="1" a="1"/>
  <c r="AZ139" i="19" s="1"/>
  <c r="Z125" i="19"/>
  <c r="AA125" i="19" s="1"/>
  <c r="AB125" i="19" s="1" a="1"/>
  <c r="AB125" i="19" s="1"/>
  <c r="AA124" i="19"/>
  <c r="AB124" i="19" s="1" a="1"/>
  <c r="AB124" i="19" s="1"/>
  <c r="AU110" i="19"/>
  <c r="AV110" i="19" s="1"/>
  <c r="AW110" i="19" s="1" a="1"/>
  <c r="AW110" i="19" s="1"/>
  <c r="AV109" i="19"/>
  <c r="AW109" i="19" s="1" a="1"/>
  <c r="AW109" i="19" s="1"/>
  <c r="AO80" i="19"/>
  <c r="AP80" i="19" s="1"/>
  <c r="AQ80" i="19" s="1" a="1"/>
  <c r="AQ80" i="19" s="1"/>
  <c r="AQ81" i="19" s="1"/>
  <c r="EQ15" i="23" s="1" a="1"/>
  <c r="EQ15" i="23" s="1"/>
  <c r="ER15" i="23" s="1"/>
  <c r="EX15" i="23" s="1"/>
  <c r="N16" i="24" s="1" a="1"/>
  <c r="N16" i="24" s="1"/>
  <c r="AP79" i="19"/>
  <c r="AQ79" i="19" s="1" a="1"/>
  <c r="AQ79" i="19" s="1"/>
  <c r="Z155" i="19"/>
  <c r="AA155" i="19" s="1"/>
  <c r="AB155" i="19" s="1" a="1"/>
  <c r="AB155" i="19" s="1"/>
  <c r="AA154" i="19"/>
  <c r="AB154" i="19" s="1" a="1"/>
  <c r="AB154" i="19" s="1"/>
  <c r="Z65" i="19"/>
  <c r="AA65" i="19" s="1"/>
  <c r="AB65" i="19" s="1" a="1"/>
  <c r="AB65" i="19" s="1"/>
  <c r="AA64" i="19"/>
  <c r="AB64" i="19" s="1" a="1"/>
  <c r="AB64" i="19" s="1"/>
  <c r="BA48" i="19"/>
  <c r="AC50" i="19"/>
  <c r="AD50" i="19" s="1"/>
  <c r="AE50" i="19" s="1" a="1"/>
  <c r="AE50" i="19" s="1"/>
  <c r="AD49" i="19"/>
  <c r="AE49" i="19" s="1" a="1"/>
  <c r="AE49" i="19" s="1"/>
  <c r="AF35" i="19"/>
  <c r="AG35" i="19" s="1"/>
  <c r="AH35" i="19" s="1" a="1"/>
  <c r="AH35" i="19" s="1"/>
  <c r="AH36" i="19" s="1"/>
  <c r="CU12" i="23" s="1" a="1"/>
  <c r="CU12" i="23" s="1"/>
  <c r="CV12" i="23" s="1"/>
  <c r="DB12" i="23" s="1"/>
  <c r="K13" i="24" s="1" a="1"/>
  <c r="K13" i="24" s="1"/>
  <c r="AG34" i="19"/>
  <c r="AH34" i="19" s="1" a="1"/>
  <c r="AH34" i="19" s="1"/>
  <c r="Q95" i="19"/>
  <c r="R95" i="19" s="1"/>
  <c r="S95" i="19" s="1" a="1"/>
  <c r="S95" i="19" s="1"/>
  <c r="R94" i="19"/>
  <c r="S94" i="19" s="1" a="1"/>
  <c r="S94" i="19" s="1"/>
  <c r="AX110" i="19"/>
  <c r="AY110" i="19" s="1"/>
  <c r="AZ110" i="19" s="1" a="1"/>
  <c r="AZ110" i="19" s="1"/>
  <c r="AY109" i="19"/>
  <c r="AZ109" i="19" s="1" a="1"/>
  <c r="AZ109" i="19" s="1"/>
  <c r="AP34" i="19"/>
  <c r="AQ34" i="19" s="1" a="1"/>
  <c r="AQ34" i="19" s="1"/>
  <c r="AO35" i="19"/>
  <c r="AP35" i="19" s="1"/>
  <c r="AQ35" i="19" s="1" a="1"/>
  <c r="AQ35" i="19" s="1"/>
  <c r="AQ36" i="19" s="1"/>
  <c r="EQ12" i="23" s="1" a="1"/>
  <c r="EQ12" i="23" s="1"/>
  <c r="ER12" i="23" s="1"/>
  <c r="EX12" i="23" s="1"/>
  <c r="N13" i="24" s="1" a="1"/>
  <c r="N13" i="24" s="1"/>
  <c r="AY94" i="19"/>
  <c r="AZ94" i="19" s="1" a="1"/>
  <c r="AZ94" i="19" s="1"/>
  <c r="AX95" i="19"/>
  <c r="AY95" i="19" s="1"/>
  <c r="AZ95" i="19" s="1" a="1"/>
  <c r="AZ95" i="19" s="1"/>
  <c r="BA123" i="19"/>
  <c r="BA78" i="19"/>
  <c r="AR50" i="19"/>
  <c r="AS50" i="19" s="1"/>
  <c r="AT50" i="19" s="1" a="1"/>
  <c r="AT50" i="19" s="1"/>
  <c r="AT51" i="19" s="1"/>
  <c r="FG13" i="23" s="1" a="1"/>
  <c r="FG13" i="23" s="1"/>
  <c r="FH13" i="23" s="1"/>
  <c r="FN13" i="23" s="1"/>
  <c r="O14" i="24" s="1" a="1"/>
  <c r="O14" i="24" s="1"/>
  <c r="AS49" i="19"/>
  <c r="AT49" i="19" s="1" a="1"/>
  <c r="AT49" i="19" s="1"/>
  <c r="Q80" i="19"/>
  <c r="R80" i="19" s="1"/>
  <c r="S80" i="19" s="1" a="1"/>
  <c r="S80" i="19" s="1"/>
  <c r="R79" i="19"/>
  <c r="S79" i="19" s="1" a="1"/>
  <c r="S79" i="19" s="1"/>
  <c r="AI95" i="19"/>
  <c r="AJ95" i="19" s="1"/>
  <c r="AK95" i="19" s="1" a="1"/>
  <c r="AK95" i="19" s="1"/>
  <c r="AJ94" i="19"/>
  <c r="AK94" i="19" s="1" a="1"/>
  <c r="AK94" i="19" s="1"/>
  <c r="AO140" i="19"/>
  <c r="AP140" i="19" s="1"/>
  <c r="AQ140" i="19" s="1" a="1"/>
  <c r="AQ140" i="19" s="1"/>
  <c r="AP139" i="19"/>
  <c r="AQ139" i="19" s="1" a="1"/>
  <c r="AQ139" i="19" s="1"/>
  <c r="AG19" i="19"/>
  <c r="AH19" i="19" s="1" a="1"/>
  <c r="AH19" i="19" s="1"/>
  <c r="AF20" i="19"/>
  <c r="AG20" i="19" s="1"/>
  <c r="AH20" i="19" s="1" a="1"/>
  <c r="AH20" i="19" s="1"/>
  <c r="AH21" i="19" s="1"/>
  <c r="CU11" i="23" s="1" a="1"/>
  <c r="CU11" i="23" s="1"/>
  <c r="CV11" i="23" s="1"/>
  <c r="DB11" i="23" s="1"/>
  <c r="K12" i="24" s="1" a="1"/>
  <c r="K12" i="24" s="1"/>
  <c r="W110" i="19"/>
  <c r="X110" i="19" s="1"/>
  <c r="Y110" i="19" s="1" a="1"/>
  <c r="Y110" i="19" s="1"/>
  <c r="X109" i="19"/>
  <c r="Y109" i="19" s="1" a="1"/>
  <c r="Y109" i="19" s="1"/>
  <c r="T110" i="19"/>
  <c r="U110" i="19" s="1"/>
  <c r="V110" i="19" s="1" a="1"/>
  <c r="V110" i="19" s="1"/>
  <c r="V111" i="19" s="1"/>
  <c r="AI17" i="23" s="1" a="1"/>
  <c r="AI17" i="23" s="1"/>
  <c r="AJ17" i="23" s="1"/>
  <c r="AP17" i="23" s="1"/>
  <c r="G18" i="24" s="1" a="1"/>
  <c r="G18" i="24" s="1"/>
  <c r="U109" i="19"/>
  <c r="V109" i="19" s="1" a="1"/>
  <c r="V109" i="19" s="1"/>
  <c r="AF50" i="19"/>
  <c r="AG50" i="19" s="1"/>
  <c r="AH50" i="19" s="1" a="1"/>
  <c r="AH50" i="19" s="1"/>
  <c r="AG49" i="19"/>
  <c r="AH49" i="19" s="1" a="1"/>
  <c r="AH49" i="19" s="1"/>
  <c r="AU95" i="19"/>
  <c r="AV95" i="19" s="1"/>
  <c r="AW95" i="19" s="1" a="1"/>
  <c r="AW95" i="19" s="1"/>
  <c r="AW96" i="19" s="1"/>
  <c r="FW16" i="23" s="1" a="1"/>
  <c r="FW16" i="23" s="1"/>
  <c r="AV94" i="19"/>
  <c r="AW94" i="19" s="1" a="1"/>
  <c r="AW94" i="19" s="1"/>
  <c r="T155" i="19"/>
  <c r="U155" i="19" s="1"/>
  <c r="V155" i="19" s="1" a="1"/>
  <c r="V155" i="19" s="1"/>
  <c r="U154" i="19"/>
  <c r="V154" i="19" s="1" a="1"/>
  <c r="V154" i="19" s="1"/>
  <c r="Q125" i="19"/>
  <c r="R125" i="19" s="1"/>
  <c r="S125" i="19" s="1" a="1"/>
  <c r="S125" i="19" s="1"/>
  <c r="R124" i="19"/>
  <c r="S124" i="19" s="1" a="1"/>
  <c r="S124" i="19" s="1"/>
  <c r="AF95" i="19"/>
  <c r="AG95" i="19" s="1"/>
  <c r="AH95" i="19" s="1" a="1"/>
  <c r="AH95" i="19" s="1"/>
  <c r="AG94" i="19"/>
  <c r="AH94" i="19" s="1" a="1"/>
  <c r="AH94" i="19" s="1"/>
  <c r="W50" i="19"/>
  <c r="X50" i="19" s="1"/>
  <c r="Y50" i="19" s="1" a="1"/>
  <c r="Y50" i="19" s="1"/>
  <c r="Y51" i="19" s="1"/>
  <c r="AY13" i="23" s="1" a="1"/>
  <c r="AY13" i="23" s="1"/>
  <c r="AZ13" i="23" s="1"/>
  <c r="BF13" i="23" s="1"/>
  <c r="H14" i="24" s="1" a="1"/>
  <c r="H14" i="24" s="1"/>
  <c r="X49" i="19"/>
  <c r="Y49" i="19" s="1" a="1"/>
  <c r="Y49" i="19" s="1"/>
  <c r="AI20" i="19"/>
  <c r="AJ20" i="19" s="1"/>
  <c r="AK20" i="19" s="1" a="1"/>
  <c r="AK20" i="19" s="1"/>
  <c r="AJ19" i="19"/>
  <c r="AK19" i="19" s="1" a="1"/>
  <c r="AK19" i="19" s="1"/>
  <c r="AX80" i="19"/>
  <c r="AY80" i="19" s="1"/>
  <c r="AZ80" i="19" s="1" a="1"/>
  <c r="AZ80" i="19" s="1"/>
  <c r="AZ81" i="19" s="1"/>
  <c r="GM15" i="23" s="1" a="1"/>
  <c r="GM15" i="23" s="1"/>
  <c r="GN15" i="23" s="1"/>
  <c r="GT15" i="23" s="1"/>
  <c r="Q16" i="24" s="1" a="1"/>
  <c r="Q16" i="24" s="1"/>
  <c r="AY79" i="19"/>
  <c r="AZ79" i="19" s="1" a="1"/>
  <c r="AZ79" i="19" s="1"/>
  <c r="AF80" i="19"/>
  <c r="AG80" i="19" s="1"/>
  <c r="AH80" i="19" s="1" a="1"/>
  <c r="AH80" i="19" s="1"/>
  <c r="AG79" i="19"/>
  <c r="AH79" i="19" s="1" a="1"/>
  <c r="AH79" i="19" s="1"/>
  <c r="AL80" i="19"/>
  <c r="AM80" i="19" s="1"/>
  <c r="AN80" i="19" s="1" a="1"/>
  <c r="AN80" i="19" s="1"/>
  <c r="AM79" i="19"/>
  <c r="AN79" i="19" s="1" a="1"/>
  <c r="AN79" i="19" s="1"/>
  <c r="AC155" i="19"/>
  <c r="AD155" i="19" s="1"/>
  <c r="AE155" i="19" s="1" a="1"/>
  <c r="AE155" i="19" s="1"/>
  <c r="AE156" i="19" s="1"/>
  <c r="CE20" i="23" s="1" a="1"/>
  <c r="CE20" i="23" s="1"/>
  <c r="CF20" i="23" s="1"/>
  <c r="CL20" i="23" s="1"/>
  <c r="J21" i="24" s="1" a="1"/>
  <c r="J21" i="24" s="1"/>
  <c r="AD154" i="19"/>
  <c r="AE154" i="19" s="1" a="1"/>
  <c r="AE154" i="19" s="1"/>
  <c r="AI65" i="19"/>
  <c r="AJ65" i="19" s="1"/>
  <c r="AK65" i="19" s="1" a="1"/>
  <c r="AK65" i="19" s="1"/>
  <c r="AK66" i="19" s="1"/>
  <c r="DK14" i="23" s="1" a="1"/>
  <c r="DK14" i="23" s="1"/>
  <c r="DL14" i="23" s="1"/>
  <c r="DR14" i="23" s="1"/>
  <c r="L15" i="24" s="1" a="1"/>
  <c r="L15" i="24" s="1"/>
  <c r="AJ64" i="19"/>
  <c r="AK64" i="19" s="1" a="1"/>
  <c r="AK64" i="19" s="1"/>
  <c r="AL50" i="19"/>
  <c r="AM50" i="19" s="1"/>
  <c r="AN50" i="19" s="1" a="1"/>
  <c r="AN50" i="19" s="1"/>
  <c r="AM49" i="19"/>
  <c r="AN49" i="19" s="1" a="1"/>
  <c r="AN49" i="19" s="1"/>
  <c r="AD19" i="19"/>
  <c r="AE19" i="19" s="1" a="1"/>
  <c r="AE19" i="19" s="1"/>
  <c r="AC20" i="19"/>
  <c r="AD20" i="19" s="1"/>
  <c r="AE20" i="19" s="1" a="1"/>
  <c r="AE20" i="19" s="1"/>
  <c r="AR95" i="19"/>
  <c r="AS95" i="19" s="1"/>
  <c r="AT95" i="19" s="1" a="1"/>
  <c r="AT95" i="19" s="1"/>
  <c r="AS94" i="19"/>
  <c r="AT94" i="19" s="1" a="1"/>
  <c r="AT94" i="19" s="1"/>
  <c r="AO95" i="19"/>
  <c r="AP95" i="19" s="1"/>
  <c r="AQ95" i="19" s="1" a="1"/>
  <c r="AQ95" i="19" s="1"/>
  <c r="AP94" i="19"/>
  <c r="AQ94" i="19" s="1" a="1"/>
  <c r="AQ94" i="19" s="1"/>
  <c r="AF140" i="19"/>
  <c r="AG140" i="19" s="1"/>
  <c r="AH140" i="19" s="1" a="1"/>
  <c r="AH140" i="19" s="1"/>
  <c r="AH141" i="19" s="1"/>
  <c r="CU19" i="23" s="1" a="1"/>
  <c r="CU19" i="23" s="1"/>
  <c r="CV19" i="23" s="1"/>
  <c r="DB19" i="23" s="1"/>
  <c r="K20" i="24" s="1" a="1"/>
  <c r="K20" i="24" s="1"/>
  <c r="AG139" i="19"/>
  <c r="AH139" i="19" s="1" a="1"/>
  <c r="AH139" i="19" s="1"/>
  <c r="AO50" i="19"/>
  <c r="AP50" i="19" s="1"/>
  <c r="AQ50" i="19" s="1" a="1"/>
  <c r="AQ50" i="19" s="1"/>
  <c r="AQ51" i="19" s="1"/>
  <c r="EQ13" i="23" s="1" a="1"/>
  <c r="EQ13" i="23" s="1"/>
  <c r="ER13" i="23" s="1"/>
  <c r="EX13" i="23" s="1"/>
  <c r="N14" i="24" s="1" a="1"/>
  <c r="N14" i="24" s="1"/>
  <c r="AP49" i="19"/>
  <c r="AQ49" i="19" s="1" a="1"/>
  <c r="AQ49" i="19" s="1"/>
  <c r="BA18" i="19"/>
  <c r="AS79" i="19"/>
  <c r="AT79" i="19" s="1" a="1"/>
  <c r="AT79" i="19" s="1"/>
  <c r="AR80" i="19"/>
  <c r="AS80" i="19" s="1"/>
  <c r="AT80" i="19" s="1" a="1"/>
  <c r="AT80" i="19" s="1"/>
  <c r="Z80" i="19"/>
  <c r="AA80" i="19" s="1"/>
  <c r="AB80" i="19" s="1" a="1"/>
  <c r="AB80" i="19" s="1"/>
  <c r="AA79" i="19"/>
  <c r="AB79" i="19" s="1" a="1"/>
  <c r="AB79" i="19" s="1"/>
  <c r="AO110" i="19"/>
  <c r="AP110" i="19" s="1"/>
  <c r="AQ110" i="19" s="1" a="1"/>
  <c r="AQ110" i="19" s="1"/>
  <c r="AP109" i="19"/>
  <c r="AQ109" i="19" s="1" a="1"/>
  <c r="AQ109" i="19" s="1"/>
  <c r="Z95" i="19"/>
  <c r="AA95" i="19" s="1"/>
  <c r="AB95" i="19" s="1" a="1"/>
  <c r="AB95" i="19" s="1"/>
  <c r="AB96" i="19" s="1"/>
  <c r="BO16" i="23" s="1" a="1"/>
  <c r="BO16" i="23" s="1"/>
  <c r="AA94" i="19"/>
  <c r="AB94" i="19" s="1" a="1"/>
  <c r="AB94" i="19" s="1"/>
  <c r="AF110" i="19"/>
  <c r="AG110" i="19" s="1"/>
  <c r="AH110" i="19" s="1" a="1"/>
  <c r="AH110" i="19" s="1"/>
  <c r="AG109" i="19"/>
  <c r="AH109" i="19" s="1" a="1"/>
  <c r="AH109" i="19" s="1"/>
  <c r="AU50" i="19"/>
  <c r="AV50" i="19" s="1"/>
  <c r="AW50" i="19" s="1" a="1"/>
  <c r="AW50" i="19" s="1"/>
  <c r="AV49" i="19"/>
  <c r="AW49" i="19" s="1" a="1"/>
  <c r="AW49" i="19" s="1"/>
  <c r="AU35" i="19"/>
  <c r="AV35" i="19" s="1"/>
  <c r="AW35" i="19" s="1" a="1"/>
  <c r="AW35" i="19" s="1"/>
  <c r="AW36" i="19" s="1"/>
  <c r="FW12" i="23" s="1" a="1"/>
  <c r="FW12" i="23" s="1"/>
  <c r="FX12" i="23" s="1"/>
  <c r="GD12" i="23" s="1"/>
  <c r="P13" i="24" s="1" a="1"/>
  <c r="P13" i="24" s="1"/>
  <c r="AV34" i="19"/>
  <c r="AW34" i="19" s="1" a="1"/>
  <c r="AW34" i="19" s="1"/>
  <c r="W125" i="19"/>
  <c r="X125" i="19" s="1"/>
  <c r="Y125" i="19" s="1" a="1"/>
  <c r="Y125" i="19" s="1"/>
  <c r="X124" i="19"/>
  <c r="Y124" i="19" s="1" a="1"/>
  <c r="Y124" i="19" s="1"/>
  <c r="AS64" i="19"/>
  <c r="AT64" i="19" s="1" a="1"/>
  <c r="AT64" i="19" s="1"/>
  <c r="AR65" i="19"/>
  <c r="AS65" i="19" s="1"/>
  <c r="AT65" i="19" s="1" a="1"/>
  <c r="AT65" i="19" s="1"/>
  <c r="AT66" i="19" s="1"/>
  <c r="FG14" i="23" s="1" a="1"/>
  <c r="FG14" i="23" s="1"/>
  <c r="FH14" i="23" s="1"/>
  <c r="FN14" i="23" s="1"/>
  <c r="O15" i="24" s="1" a="1"/>
  <c r="O15" i="24" s="1"/>
  <c r="AF155" i="19"/>
  <c r="AG155" i="19" s="1"/>
  <c r="AH155" i="19" s="1" a="1"/>
  <c r="AH155" i="19" s="1"/>
  <c r="AH156" i="19" s="1"/>
  <c r="CU20" i="23" s="1" a="1"/>
  <c r="CU20" i="23" s="1"/>
  <c r="CV20" i="23" s="1"/>
  <c r="DB20" i="23" s="1"/>
  <c r="K21" i="24" s="1" a="1"/>
  <c r="K21" i="24" s="1"/>
  <c r="AG154" i="19"/>
  <c r="AH154" i="19" s="1" a="1"/>
  <c r="AH154" i="19" s="1"/>
  <c r="AL155" i="19"/>
  <c r="AM155" i="19" s="1"/>
  <c r="AN155" i="19" s="1" a="1"/>
  <c r="AN155" i="19" s="1"/>
  <c r="AM154" i="19"/>
  <c r="AN154" i="19" s="1" a="1"/>
  <c r="AN154" i="19" s="1"/>
  <c r="AU125" i="19"/>
  <c r="AV125" i="19" s="1"/>
  <c r="AW125" i="19" s="1" a="1"/>
  <c r="AW125" i="19" s="1"/>
  <c r="AV124" i="19"/>
  <c r="AW124" i="19" s="1" a="1"/>
  <c r="AW124" i="19" s="1"/>
  <c r="AI140" i="19"/>
  <c r="AJ140" i="19" s="1"/>
  <c r="AK140" i="19" s="1" a="1"/>
  <c r="AK140" i="19" s="1"/>
  <c r="AK141" i="19" s="1"/>
  <c r="DK19" i="23" s="1" a="1"/>
  <c r="DK19" i="23" s="1"/>
  <c r="DL19" i="23" s="1"/>
  <c r="DR19" i="23" s="1"/>
  <c r="L20" i="24" s="1" a="1"/>
  <c r="L20" i="24" s="1"/>
  <c r="AJ139" i="19"/>
  <c r="AK139" i="19" s="1" a="1"/>
  <c r="AK139" i="19" s="1"/>
  <c r="AY19" i="19"/>
  <c r="AZ19" i="19" s="1" a="1"/>
  <c r="AZ19" i="19" s="1"/>
  <c r="AX20" i="19"/>
  <c r="AY20" i="19" s="1"/>
  <c r="AZ20" i="19" s="1" a="1"/>
  <c r="AZ20" i="19" s="1"/>
  <c r="Q20" i="19"/>
  <c r="R20" i="19" s="1"/>
  <c r="S20" i="19" s="1" a="1"/>
  <c r="S20" i="19" s="1"/>
  <c r="R19" i="19"/>
  <c r="S19" i="19" s="1" a="1"/>
  <c r="S19" i="19" s="1"/>
  <c r="AR110" i="19"/>
  <c r="AS110" i="19" s="1"/>
  <c r="AT110" i="19" s="1" a="1"/>
  <c r="AT110" i="19" s="1"/>
  <c r="AT111" i="19" s="1"/>
  <c r="FG17" i="23" s="1" a="1"/>
  <c r="FG17" i="23" s="1"/>
  <c r="FH17" i="23" s="1"/>
  <c r="FN17" i="23" s="1"/>
  <c r="O18" i="24" s="1" a="1"/>
  <c r="O18" i="24" s="1"/>
  <c r="AS109" i="19"/>
  <c r="AT109" i="19" s="1" a="1"/>
  <c r="AT109" i="19" s="1"/>
  <c r="AI125" i="19"/>
  <c r="AJ125" i="19" s="1"/>
  <c r="AK125" i="19" s="1" a="1"/>
  <c r="AK125" i="19" s="1"/>
  <c r="AJ124" i="19"/>
  <c r="AK124" i="19" s="1" a="1"/>
  <c r="AK124" i="19" s="1"/>
  <c r="AL110" i="19"/>
  <c r="AM110" i="19" s="1"/>
  <c r="AN110" i="19" s="1" a="1"/>
  <c r="AN110" i="19" s="1"/>
  <c r="AM109" i="19"/>
  <c r="AN109" i="19" s="1" a="1"/>
  <c r="AN109" i="19" s="1"/>
  <c r="W140" i="19"/>
  <c r="X140" i="19" s="1"/>
  <c r="Y140" i="19" s="1" a="1"/>
  <c r="Y140" i="19" s="1"/>
  <c r="Y141" i="19" s="1"/>
  <c r="AY19" i="23" s="1" a="1"/>
  <c r="AY19" i="23" s="1"/>
  <c r="AZ19" i="23" s="1"/>
  <c r="BF19" i="23" s="1"/>
  <c r="H20" i="24" s="1" a="1"/>
  <c r="H20" i="24" s="1"/>
  <c r="X139" i="19"/>
  <c r="Y139" i="19" s="1" a="1"/>
  <c r="Y139" i="19" s="1"/>
  <c r="T95" i="19"/>
  <c r="U95" i="19" s="1"/>
  <c r="V95" i="19" s="1" a="1"/>
  <c r="V95" i="19" s="1"/>
  <c r="V96" i="19" s="1"/>
  <c r="AI16" i="23" s="1" a="1"/>
  <c r="AI16" i="23" s="1"/>
  <c r="U94" i="19"/>
  <c r="V94" i="19" s="1" a="1"/>
  <c r="V94" i="19" s="1"/>
  <c r="AA19" i="19"/>
  <c r="AB19" i="19" s="1" a="1"/>
  <c r="AB19" i="19" s="1"/>
  <c r="Z20" i="19"/>
  <c r="AA20" i="19" s="1"/>
  <c r="AB20" i="19" s="1" a="1"/>
  <c r="AB20" i="19" s="1"/>
  <c r="AB21" i="19" s="1"/>
  <c r="BO11" i="23" s="1" a="1"/>
  <c r="BO11" i="23" s="1"/>
  <c r="BP11" i="23" s="1"/>
  <c r="BV11" i="23" s="1"/>
  <c r="I12" i="24" s="1" a="1"/>
  <c r="I12" i="24" s="1"/>
  <c r="AY64" i="19"/>
  <c r="AZ64" i="19" s="1" a="1"/>
  <c r="AZ64" i="19" s="1"/>
  <c r="AX65" i="19"/>
  <c r="AY65" i="19" s="1"/>
  <c r="AZ65" i="19" s="1" a="1"/>
  <c r="AZ65" i="19" s="1"/>
  <c r="AR155" i="19"/>
  <c r="AS155" i="19" s="1"/>
  <c r="AT155" i="19" s="1" a="1"/>
  <c r="AT155" i="19" s="1"/>
  <c r="AS154" i="19"/>
  <c r="AT154" i="19" s="1" a="1"/>
  <c r="AT154" i="19" s="1"/>
  <c r="AX50" i="19"/>
  <c r="AY50" i="19" s="1"/>
  <c r="AZ50" i="19" s="1" a="1"/>
  <c r="AZ50" i="19" s="1"/>
  <c r="AY49" i="19"/>
  <c r="AZ49" i="19" s="1" a="1"/>
  <c r="AZ49" i="19" s="1"/>
  <c r="T35" i="19"/>
  <c r="U35" i="19" s="1"/>
  <c r="V35" i="19" s="1" a="1"/>
  <c r="V35" i="19" s="1"/>
  <c r="V36" i="19" s="1"/>
  <c r="AI12" i="23" s="1" a="1"/>
  <c r="AI12" i="23" s="1"/>
  <c r="AJ12" i="23" s="1"/>
  <c r="AP12" i="23" s="1"/>
  <c r="G13" i="24" s="1" a="1"/>
  <c r="G13" i="24" s="1"/>
  <c r="U34" i="19"/>
  <c r="V34" i="19" s="1" a="1"/>
  <c r="V34" i="19" s="1"/>
  <c r="AM19" i="19"/>
  <c r="AN19" i="19" s="1" a="1"/>
  <c r="AN19" i="19" s="1"/>
  <c r="AL20" i="19"/>
  <c r="AM20" i="19" s="1"/>
  <c r="AN20" i="19" s="1" a="1"/>
  <c r="AN20" i="19" s="1"/>
  <c r="AX125" i="19"/>
  <c r="AY125" i="19" s="1"/>
  <c r="AZ125" i="19" s="1" a="1"/>
  <c r="AZ125" i="19" s="1"/>
  <c r="AY124" i="19"/>
  <c r="AZ124" i="19" s="1" a="1"/>
  <c r="AZ124" i="19" s="1"/>
  <c r="AC35" i="19"/>
  <c r="AD35" i="19" s="1"/>
  <c r="AE35" i="19" s="1" a="1"/>
  <c r="AE35" i="19" s="1"/>
  <c r="AE36" i="19" s="1"/>
  <c r="CE12" i="23" s="1" a="1"/>
  <c r="CE12" i="23" s="1"/>
  <c r="CF12" i="23" s="1"/>
  <c r="CL12" i="23" s="1"/>
  <c r="J13" i="24" s="1" a="1"/>
  <c r="J13" i="24" s="1"/>
  <c r="AD34" i="19"/>
  <c r="AE34" i="19" s="1" a="1"/>
  <c r="AE34" i="19" s="1"/>
  <c r="W35" i="19"/>
  <c r="X35" i="19" s="1"/>
  <c r="Y35" i="19" s="1" a="1"/>
  <c r="Y35" i="19" s="1"/>
  <c r="X34" i="19"/>
  <c r="Y34" i="19" s="1" a="1"/>
  <c r="Y34" i="19" s="1"/>
  <c r="AO155" i="19"/>
  <c r="AP155" i="19" s="1"/>
  <c r="AQ155" i="19" s="1" a="1"/>
  <c r="AQ155" i="19" s="1"/>
  <c r="AP154" i="19"/>
  <c r="AQ154" i="19" s="1" a="1"/>
  <c r="AQ154" i="19" s="1"/>
  <c r="T50" i="19"/>
  <c r="U50" i="19" s="1"/>
  <c r="V50" i="19" s="1" a="1"/>
  <c r="V50" i="19" s="1"/>
  <c r="V51" i="19" s="1"/>
  <c r="AI13" i="23" s="1" a="1"/>
  <c r="AI13" i="23" s="1"/>
  <c r="AJ13" i="23" s="1"/>
  <c r="AP13" i="23" s="1"/>
  <c r="G14" i="24" s="1" a="1"/>
  <c r="G14" i="24" s="1"/>
  <c r="U49" i="19"/>
  <c r="V49" i="19" s="1" a="1"/>
  <c r="V49" i="19" s="1"/>
  <c r="AC110" i="19"/>
  <c r="AD110" i="19" s="1"/>
  <c r="AE110" i="19" s="1" a="1"/>
  <c r="AE110" i="19" s="1"/>
  <c r="AE111" i="19" s="1"/>
  <c r="CE17" i="23" s="1" a="1"/>
  <c r="CE17" i="23" s="1"/>
  <c r="CF17" i="23" s="1"/>
  <c r="CL17" i="23" s="1"/>
  <c r="J18" i="24" s="1" a="1"/>
  <c r="J18" i="24" s="1"/>
  <c r="AD109" i="19"/>
  <c r="AE109" i="19" s="1" a="1"/>
  <c r="AE109" i="19" s="1"/>
  <c r="W80" i="19"/>
  <c r="X80" i="19" s="1"/>
  <c r="Y80" i="19" s="1" a="1"/>
  <c r="Y80" i="19" s="1"/>
  <c r="X79" i="19"/>
  <c r="Y79" i="19" s="1" a="1"/>
  <c r="Y79" i="19" s="1"/>
  <c r="BA63" i="19"/>
  <c r="AC140" i="19"/>
  <c r="AD140" i="19" s="1"/>
  <c r="AE140" i="19" s="1" a="1"/>
  <c r="AE140" i="19" s="1"/>
  <c r="AE141" i="19" s="1"/>
  <c r="CE19" i="23" s="1" a="1"/>
  <c r="CE19" i="23" s="1"/>
  <c r="CF19" i="23" s="1"/>
  <c r="CL19" i="23" s="1"/>
  <c r="J20" i="24" s="1" a="1"/>
  <c r="J20" i="24" s="1"/>
  <c r="AD139" i="19"/>
  <c r="AE139" i="19" s="1" a="1"/>
  <c r="AE139" i="19" s="1"/>
  <c r="AV79" i="19"/>
  <c r="AW79" i="19" s="1" a="1"/>
  <c r="AW79" i="19" s="1"/>
  <c r="AU80" i="19"/>
  <c r="AV80" i="19" s="1"/>
  <c r="AW80" i="19" s="1" a="1"/>
  <c r="AW80" i="19" s="1"/>
  <c r="AO20" i="19"/>
  <c r="AP20" i="19" s="1"/>
  <c r="AQ20" i="19" s="1" a="1"/>
  <c r="AQ20" i="19" s="1"/>
  <c r="AP19" i="19"/>
  <c r="AQ19" i="19" s="1" a="1"/>
  <c r="AQ19" i="19" s="1"/>
  <c r="AO125" i="19"/>
  <c r="AP125" i="19" s="1"/>
  <c r="AQ125" i="19" s="1" a="1"/>
  <c r="AQ125" i="19" s="1"/>
  <c r="AP124" i="19"/>
  <c r="AQ124" i="19" s="1" a="1"/>
  <c r="AQ124" i="19" s="1"/>
  <c r="AU65" i="19"/>
  <c r="AV65" i="19" s="1"/>
  <c r="AW65" i="19" s="1" a="1"/>
  <c r="AW65" i="19" s="1"/>
  <c r="AV64" i="19"/>
  <c r="AW64" i="19" s="1" a="1"/>
  <c r="AW64" i="19" s="1"/>
  <c r="AC125" i="19"/>
  <c r="AD125" i="19" s="1"/>
  <c r="AE125" i="19" s="1" a="1"/>
  <c r="AE125" i="19" s="1"/>
  <c r="AD124" i="19"/>
  <c r="AE124" i="19" s="1" a="1"/>
  <c r="AE124" i="19" s="1"/>
  <c r="AS19" i="19"/>
  <c r="AT19" i="19" s="1" a="1"/>
  <c r="AT19" i="19" s="1"/>
  <c r="AR20" i="19"/>
  <c r="AS20" i="19" s="1"/>
  <c r="AT20" i="19" s="1" a="1"/>
  <c r="AT20" i="19" s="1"/>
  <c r="AX155" i="19"/>
  <c r="AY155" i="19" s="1"/>
  <c r="AZ155" i="19" s="1" a="1"/>
  <c r="AZ155" i="19" s="1"/>
  <c r="AZ156" i="19" s="1"/>
  <c r="GM20" i="23" s="1" a="1"/>
  <c r="GM20" i="23" s="1"/>
  <c r="GN20" i="23" s="1"/>
  <c r="GT20" i="23" s="1"/>
  <c r="Q21" i="24" s="1" a="1"/>
  <c r="Q21" i="24" s="1"/>
  <c r="AY154" i="19"/>
  <c r="AZ154" i="19" s="1" a="1"/>
  <c r="AZ154" i="19" s="1"/>
  <c r="W65" i="19"/>
  <c r="X65" i="19" s="1"/>
  <c r="Y65" i="19" s="1" a="1"/>
  <c r="Y65" i="19" s="1"/>
  <c r="X64" i="19"/>
  <c r="Y64" i="19" s="1" a="1"/>
  <c r="Y64" i="19" s="1"/>
  <c r="AO65" i="19"/>
  <c r="AP65" i="19" s="1"/>
  <c r="AQ65" i="19" s="1" a="1"/>
  <c r="AQ65" i="19" s="1"/>
  <c r="AQ66" i="19" s="1"/>
  <c r="EQ14" i="23" s="1" a="1"/>
  <c r="EQ14" i="23" s="1"/>
  <c r="ER14" i="23" s="1"/>
  <c r="EX14" i="23" s="1"/>
  <c r="N15" i="24" s="1" a="1"/>
  <c r="N15" i="24" s="1"/>
  <c r="AP64" i="19"/>
  <c r="AQ64" i="19" s="1" a="1"/>
  <c r="AQ64" i="19" s="1"/>
  <c r="AU140" i="19"/>
  <c r="AV140" i="19" s="1"/>
  <c r="AW140" i="19" s="1" a="1"/>
  <c r="AW140" i="19" s="1"/>
  <c r="AV139" i="19"/>
  <c r="AW139" i="19" s="1" a="1"/>
  <c r="AW139" i="19" s="1"/>
  <c r="AF125" i="19"/>
  <c r="AG125" i="19" s="1"/>
  <c r="AH125" i="19" s="1" a="1"/>
  <c r="AH125" i="19" s="1"/>
  <c r="AG124" i="19"/>
  <c r="AH124" i="19" s="1" a="1"/>
  <c r="AH124" i="19" s="1"/>
  <c r="Q65" i="19"/>
  <c r="R65" i="19" s="1"/>
  <c r="S65" i="19" s="1" a="1"/>
  <c r="S65" i="19" s="1"/>
  <c r="R64" i="19"/>
  <c r="S64" i="19" s="1" a="1"/>
  <c r="S64" i="19" s="1"/>
  <c r="T65" i="19"/>
  <c r="U65" i="19" s="1"/>
  <c r="V65" i="19" s="1" a="1"/>
  <c r="V65" i="19" s="1"/>
  <c r="V66" i="19" s="1"/>
  <c r="AI14" i="23" s="1" a="1"/>
  <c r="AI14" i="23" s="1"/>
  <c r="AJ14" i="23" s="1"/>
  <c r="AP14" i="23" s="1"/>
  <c r="G15" i="24" s="1" a="1"/>
  <c r="G15" i="24" s="1"/>
  <c r="U64" i="19"/>
  <c r="V64" i="19" s="1" a="1"/>
  <c r="V64" i="19" s="1"/>
  <c r="AV19" i="19"/>
  <c r="AW19" i="19" s="1" a="1"/>
  <c r="AW19" i="19" s="1"/>
  <c r="AU20" i="19"/>
  <c r="AV20" i="19" s="1"/>
  <c r="AW20" i="19" s="1" a="1"/>
  <c r="AW20" i="19" s="1"/>
  <c r="AW21" i="19" s="1"/>
  <c r="FW11" i="23" s="1" a="1"/>
  <c r="FW11" i="23" s="1"/>
  <c r="FX11" i="23" s="1"/>
  <c r="GD11" i="23" s="1"/>
  <c r="P12" i="24" s="1" a="1"/>
  <c r="P12" i="24" s="1"/>
  <c r="AI50" i="19"/>
  <c r="AJ50" i="19" s="1"/>
  <c r="AK50" i="19" s="1" a="1"/>
  <c r="AK50" i="19" s="1"/>
  <c r="AK51" i="19" s="1"/>
  <c r="DK13" i="23" s="1" a="1"/>
  <c r="DK13" i="23" s="1"/>
  <c r="DL13" i="23" s="1"/>
  <c r="DR13" i="23" s="1"/>
  <c r="L14" i="24" s="1" a="1"/>
  <c r="L14" i="24" s="1"/>
  <c r="AJ49" i="19"/>
  <c r="AK49" i="19" s="1" a="1"/>
  <c r="AK49" i="19" s="1"/>
  <c r="AR35" i="19"/>
  <c r="AS35" i="19" s="1"/>
  <c r="AT35" i="19" s="1" a="1"/>
  <c r="AT35" i="19" s="1"/>
  <c r="AS34" i="19"/>
  <c r="AT34" i="19" s="1" a="1"/>
  <c r="AT34" i="19" s="1"/>
  <c r="AL65" i="19"/>
  <c r="AM65" i="19" s="1"/>
  <c r="AN65" i="19" s="1" a="1"/>
  <c r="AN65" i="19" s="1"/>
  <c r="AM64" i="19"/>
  <c r="AN64" i="19" s="1" a="1"/>
  <c r="AN64" i="19" s="1"/>
  <c r="AF65" i="19"/>
  <c r="AG65" i="19" s="1"/>
  <c r="AH65" i="19" s="1" a="1"/>
  <c r="AH65" i="19" s="1"/>
  <c r="AH66" i="19" s="1"/>
  <c r="CU14" i="23" s="1" a="1"/>
  <c r="CU14" i="23" s="1"/>
  <c r="CV14" i="23" s="1"/>
  <c r="DB14" i="23" s="1"/>
  <c r="K15" i="24" s="1" a="1"/>
  <c r="K15" i="24" s="1"/>
  <c r="AG64" i="19"/>
  <c r="AH64" i="19" s="1" a="1"/>
  <c r="AH64" i="19" s="1"/>
  <c r="AI80" i="19"/>
  <c r="AJ80" i="19" s="1"/>
  <c r="AK80" i="19" s="1" a="1"/>
  <c r="AK80" i="19" s="1"/>
  <c r="AK81" i="19" s="1"/>
  <c r="DK15" i="23" s="1" a="1"/>
  <c r="DK15" i="23" s="1"/>
  <c r="DL15" i="23" s="1"/>
  <c r="DR15" i="23" s="1"/>
  <c r="L16" i="24" s="1" a="1"/>
  <c r="L16" i="24" s="1"/>
  <c r="AJ79" i="19"/>
  <c r="AK79" i="19" s="1" a="1"/>
  <c r="AK79" i="19" s="1"/>
  <c r="T80" i="19"/>
  <c r="U80" i="19" s="1"/>
  <c r="V80" i="19" s="1" a="1"/>
  <c r="V80" i="19" s="1"/>
  <c r="U79" i="19"/>
  <c r="V79" i="19" s="1" a="1"/>
  <c r="V79" i="19" s="1"/>
  <c r="AI155" i="19"/>
  <c r="AJ155" i="19" s="1"/>
  <c r="AK155" i="19" s="1" a="1"/>
  <c r="AK155" i="19" s="1"/>
  <c r="AK156" i="19" s="1"/>
  <c r="DK20" i="23" s="1" a="1"/>
  <c r="DK20" i="23" s="1"/>
  <c r="DL20" i="23" s="1"/>
  <c r="DR20" i="23" s="1"/>
  <c r="L21" i="24" s="1" a="1"/>
  <c r="L21" i="24" s="1"/>
  <c r="AJ154" i="19"/>
  <c r="AK154" i="19" s="1" a="1"/>
  <c r="AK154" i="19" s="1"/>
  <c r="AU155" i="19"/>
  <c r="AV155" i="19" s="1"/>
  <c r="AW155" i="19" s="1" a="1"/>
  <c r="AW155" i="19" s="1"/>
  <c r="AV154" i="19"/>
  <c r="AW154" i="19" s="1" a="1"/>
  <c r="AW154" i="19" s="1"/>
  <c r="T140" i="19"/>
  <c r="U140" i="19" s="1"/>
  <c r="V140" i="19" s="1" a="1"/>
  <c r="V140" i="19" s="1"/>
  <c r="U139" i="19"/>
  <c r="V139" i="19" s="1" a="1"/>
  <c r="V139" i="19" s="1"/>
  <c r="BA138" i="19"/>
  <c r="AL140" i="19"/>
  <c r="AM140" i="19" s="1"/>
  <c r="AN140" i="19" s="1" a="1"/>
  <c r="AN140" i="19" s="1"/>
  <c r="AM139" i="19"/>
  <c r="AN139" i="19" s="1" a="1"/>
  <c r="AN139" i="19" s="1"/>
  <c r="W155" i="19"/>
  <c r="X155" i="19" s="1"/>
  <c r="Y155" i="19" s="1" a="1"/>
  <c r="Y155" i="19" s="1"/>
  <c r="X154" i="19"/>
  <c r="Y154" i="19" s="1" a="1"/>
  <c r="Y154" i="19" s="1"/>
  <c r="AI110" i="19"/>
  <c r="AJ110" i="19" s="1"/>
  <c r="AK110" i="19" s="1" a="1"/>
  <c r="AK110" i="19" s="1"/>
  <c r="AK111" i="19" s="1"/>
  <c r="DK17" i="23" s="1" a="1"/>
  <c r="DK17" i="23" s="1"/>
  <c r="DL17" i="23" s="1"/>
  <c r="DR17" i="23" s="1"/>
  <c r="L18" i="24" s="1" a="1"/>
  <c r="L18" i="24" s="1"/>
  <c r="AJ109" i="19"/>
  <c r="AK109" i="19" s="1" a="1"/>
  <c r="AK109" i="19" s="1"/>
  <c r="AL125" i="19"/>
  <c r="AM125" i="19" s="1"/>
  <c r="AN125" i="19" s="1" a="1"/>
  <c r="AN125" i="19" s="1"/>
  <c r="AN126" i="19" s="1"/>
  <c r="EA18" i="23" s="1" a="1"/>
  <c r="EA18" i="23" s="1"/>
  <c r="EB18" i="23" s="1"/>
  <c r="EH18" i="23" s="1"/>
  <c r="M19" i="24" s="1" a="1"/>
  <c r="M19" i="24" s="1"/>
  <c r="AM124" i="19"/>
  <c r="AN124" i="19" s="1" a="1"/>
  <c r="AN124" i="19" s="1"/>
  <c r="Z140" i="19"/>
  <c r="AA140" i="19" s="1"/>
  <c r="AB140" i="19" s="1" a="1"/>
  <c r="AB140" i="19" s="1"/>
  <c r="AA139" i="19"/>
  <c r="AB139" i="19" s="1" a="1"/>
  <c r="AB139" i="19" s="1"/>
  <c r="Q35" i="19"/>
  <c r="R35" i="19" s="1"/>
  <c r="S35" i="19" s="1" a="1"/>
  <c r="S35" i="19" s="1"/>
  <c r="R34" i="19"/>
  <c r="S34" i="19" s="1" a="1"/>
  <c r="S34" i="19" s="1"/>
  <c r="W20" i="19"/>
  <c r="X20" i="19" s="1"/>
  <c r="Y20" i="19" s="1" a="1"/>
  <c r="Y20" i="19" s="1"/>
  <c r="X19" i="19"/>
  <c r="Y19" i="19" s="1" a="1"/>
  <c r="Y19" i="19" s="1"/>
  <c r="BA33" i="19"/>
  <c r="AC95" i="19"/>
  <c r="AD95" i="19" s="1"/>
  <c r="AE95" i="19" s="1" a="1"/>
  <c r="AE95" i="19" s="1"/>
  <c r="AD94" i="19"/>
  <c r="AE94" i="19" s="1" a="1"/>
  <c r="AE94" i="19" s="1"/>
  <c r="D183" i="12"/>
  <c r="D420" i="13" s="1" a="1"/>
  <c r="D420" i="13" s="1"/>
  <c r="G141" i="12"/>
  <c r="G318" i="13" s="1" a="1"/>
  <c r="G318" i="13" s="1"/>
  <c r="H143" i="12"/>
  <c r="H138" i="12"/>
  <c r="H319" i="13" s="1" a="1"/>
  <c r="H319" i="13" s="1"/>
  <c r="E180" i="12"/>
  <c r="E182" i="12" s="1"/>
  <c r="E184" i="12" s="1"/>
  <c r="E422" i="13" s="1" a="1"/>
  <c r="E422" i="13" s="1"/>
  <c r="E416" i="13" a="1"/>
  <c r="E416" i="13" s="1"/>
  <c r="E443" i="13" s="1"/>
  <c r="F174" i="12" a="1"/>
  <c r="F174" i="12" s="1"/>
  <c r="F185" i="12" s="1"/>
  <c r="L235" i="12" a="1"/>
  <c r="L235" i="12" s="1"/>
  <c r="D235" i="12" a="1"/>
  <c r="D235" i="12" s="1"/>
  <c r="K235" i="12" a="1"/>
  <c r="K235" i="12" s="1"/>
  <c r="J235" i="12" a="1"/>
  <c r="J235" i="12" s="1"/>
  <c r="I235" i="12" a="1"/>
  <c r="I235" i="12" s="1"/>
  <c r="H235" i="12" a="1"/>
  <c r="H235" i="12" s="1"/>
  <c r="O235" i="12" a="1"/>
  <c r="O235" i="12" s="1"/>
  <c r="G235" i="12" a="1"/>
  <c r="G235" i="12" s="1"/>
  <c r="M235" i="12" a="1"/>
  <c r="M235" i="12" s="1"/>
  <c r="E235" i="12" a="1"/>
  <c r="E235" i="12" s="1"/>
  <c r="F235" i="12" a="1"/>
  <c r="F235" i="12" s="1"/>
  <c r="N235" i="12" a="1"/>
  <c r="N235" i="12" s="1"/>
  <c r="I247" i="12" a="1"/>
  <c r="I247" i="12" s="1"/>
  <c r="I589" i="13" s="1" a="1"/>
  <c r="I589" i="13" s="1"/>
  <c r="H247" i="12" a="1"/>
  <c r="H247" i="12" s="1"/>
  <c r="H589" i="13" s="1" a="1"/>
  <c r="H589" i="13" s="1"/>
  <c r="O247" i="12" a="1"/>
  <c r="O247" i="12" s="1"/>
  <c r="O589" i="13" s="1" a="1"/>
  <c r="O589" i="13" s="1"/>
  <c r="G247" i="12" a="1"/>
  <c r="G247" i="12" s="1"/>
  <c r="G589" i="13" s="1" a="1"/>
  <c r="G589" i="13" s="1"/>
  <c r="N247" i="12" a="1"/>
  <c r="N247" i="12" s="1"/>
  <c r="N589" i="13" s="1" a="1"/>
  <c r="N589" i="13" s="1"/>
  <c r="F247" i="12" a="1"/>
  <c r="F247" i="12" s="1"/>
  <c r="F589" i="13" s="1" a="1"/>
  <c r="F589" i="13" s="1"/>
  <c r="M247" i="12" a="1"/>
  <c r="M247" i="12" s="1"/>
  <c r="M589" i="13" s="1" a="1"/>
  <c r="M589" i="13" s="1"/>
  <c r="E247" i="12" a="1"/>
  <c r="E247" i="12" s="1"/>
  <c r="E589" i="13" s="1" a="1"/>
  <c r="E589" i="13" s="1"/>
  <c r="L247" i="12" a="1"/>
  <c r="L247" i="12" s="1"/>
  <c r="L589" i="13" s="1" a="1"/>
  <c r="L589" i="13" s="1"/>
  <c r="D247" i="12" a="1"/>
  <c r="D247" i="12" s="1"/>
  <c r="D589" i="13" s="1" a="1"/>
  <c r="D589" i="13" s="1"/>
  <c r="K247" i="12" a="1"/>
  <c r="K247" i="12" s="1"/>
  <c r="K589" i="13" s="1" a="1"/>
  <c r="K589" i="13" s="1"/>
  <c r="J247" i="12" a="1"/>
  <c r="J247" i="12" s="1"/>
  <c r="J589" i="13" s="1" a="1"/>
  <c r="J589" i="13" s="1"/>
  <c r="G588" i="13" a="1"/>
  <c r="G588" i="13" s="1"/>
  <c r="G615" i="13" s="1"/>
  <c r="G251" i="12"/>
  <c r="G593" i="13" s="1" a="1"/>
  <c r="G593" i="13" s="1"/>
  <c r="G256" i="12"/>
  <c r="E588" i="13" a="1"/>
  <c r="E588" i="13" s="1"/>
  <c r="E615" i="13" s="1"/>
  <c r="E256" i="12"/>
  <c r="E251" i="12"/>
  <c r="E593" i="13" s="1" a="1"/>
  <c r="E593" i="13" s="1"/>
  <c r="M259" i="12" a="1"/>
  <c r="M259" i="12" s="1"/>
  <c r="E259" i="12" a="1"/>
  <c r="E259" i="12" s="1"/>
  <c r="L259" i="12" a="1"/>
  <c r="L259" i="12" s="1"/>
  <c r="D259" i="12" a="1"/>
  <c r="D259" i="12" s="1"/>
  <c r="K259" i="12" a="1"/>
  <c r="K259" i="12" s="1"/>
  <c r="J259" i="12" a="1"/>
  <c r="J259" i="12" s="1"/>
  <c r="I259" i="12" a="1"/>
  <c r="I259" i="12" s="1"/>
  <c r="H259" i="12" a="1"/>
  <c r="H259" i="12" s="1"/>
  <c r="O259" i="12" a="1"/>
  <c r="O259" i="12" s="1"/>
  <c r="G259" i="12" a="1"/>
  <c r="G259" i="12" s="1"/>
  <c r="N259" i="12" a="1"/>
  <c r="N259" i="12" s="1"/>
  <c r="F259" i="12" a="1"/>
  <c r="F259" i="12" s="1"/>
  <c r="H588" i="13" a="1"/>
  <c r="H588" i="13" s="1"/>
  <c r="H615" i="13" s="1"/>
  <c r="H251" i="12"/>
  <c r="H593" i="13" s="1" a="1"/>
  <c r="H593" i="13" s="1"/>
  <c r="H256" i="12"/>
  <c r="I588" i="13" a="1"/>
  <c r="I588" i="13" s="1"/>
  <c r="I615" i="13" s="1"/>
  <c r="I251" i="12"/>
  <c r="I593" i="13" s="1" a="1"/>
  <c r="I593" i="13" s="1"/>
  <c r="I256" i="12"/>
  <c r="O588" i="13" a="1"/>
  <c r="O588" i="13" s="1"/>
  <c r="O615" i="13" s="1"/>
  <c r="O251" i="12"/>
  <c r="O593" i="13" s="1" a="1"/>
  <c r="O593" i="13" s="1"/>
  <c r="O256" i="12"/>
  <c r="J588" i="13" a="1"/>
  <c r="J588" i="13" s="1"/>
  <c r="J615" i="13" s="1"/>
  <c r="J256" i="12"/>
  <c r="J251" i="12"/>
  <c r="J593" i="13" s="1" a="1"/>
  <c r="J593" i="13" s="1"/>
  <c r="M248" i="12" a="1"/>
  <c r="M248" i="12" s="1"/>
  <c r="E248" i="12" a="1"/>
  <c r="E248" i="12" s="1"/>
  <c r="L248" i="12" a="1"/>
  <c r="L248" i="12" s="1"/>
  <c r="D248" i="12" a="1"/>
  <c r="D248" i="12" s="1"/>
  <c r="K248" i="12" a="1"/>
  <c r="K248" i="12" s="1"/>
  <c r="J248" i="12" a="1"/>
  <c r="J248" i="12" s="1"/>
  <c r="I248" i="12" a="1"/>
  <c r="I248" i="12" s="1"/>
  <c r="H248" i="12" a="1"/>
  <c r="H248" i="12" s="1"/>
  <c r="O248" i="12" a="1"/>
  <c r="O248" i="12" s="1"/>
  <c r="G248" i="12" a="1"/>
  <c r="G248" i="12" s="1"/>
  <c r="N248" i="12" a="1"/>
  <c r="N248" i="12" s="1"/>
  <c r="F248" i="12" a="1"/>
  <c r="F248" i="12" s="1"/>
  <c r="K588" i="13" a="1"/>
  <c r="K588" i="13" s="1"/>
  <c r="K615" i="13" s="1"/>
  <c r="K256" i="12"/>
  <c r="K251" i="12"/>
  <c r="K593" i="13" s="1" a="1"/>
  <c r="K593" i="13" s="1"/>
  <c r="M588" i="13" a="1"/>
  <c r="M588" i="13" s="1"/>
  <c r="M615" i="13" s="1"/>
  <c r="M251" i="12"/>
  <c r="M593" i="13" s="1" a="1"/>
  <c r="M593" i="13" s="1"/>
  <c r="M256" i="12"/>
  <c r="F588" i="13" a="1"/>
  <c r="F588" i="13" s="1"/>
  <c r="F615" i="13" s="1"/>
  <c r="F251" i="12"/>
  <c r="F593" i="13" s="1" a="1"/>
  <c r="F593" i="13" s="1"/>
  <c r="F256" i="12"/>
  <c r="D251" i="12"/>
  <c r="D593" i="13" s="1" a="1"/>
  <c r="D593" i="13" s="1"/>
  <c r="D588" i="13" a="1"/>
  <c r="D588" i="13" s="1"/>
  <c r="D615" i="13" s="1"/>
  <c r="D256" i="12"/>
  <c r="N588" i="13" a="1"/>
  <c r="N588" i="13" s="1"/>
  <c r="N615" i="13" s="1"/>
  <c r="N256" i="12"/>
  <c r="N251" i="12"/>
  <c r="N593" i="13" s="1" a="1"/>
  <c r="N593" i="13" s="1"/>
  <c r="L588" i="13" a="1"/>
  <c r="L588" i="13" s="1"/>
  <c r="L615" i="13" s="1"/>
  <c r="L251" i="12"/>
  <c r="L593" i="13" s="1" a="1"/>
  <c r="L593" i="13" s="1"/>
  <c r="L256" i="12"/>
  <c r="HI21" i="9" a="1"/>
  <c r="HI21" i="9" s="1"/>
  <c r="HJ21" i="9" s="1"/>
  <c r="D34" i="24" a="1"/>
  <c r="D34" i="24" s="1"/>
  <c r="L33" i="12"/>
  <c r="AI24" i="9" a="1"/>
  <c r="AI24" i="9" s="1"/>
  <c r="G171" i="12"/>
  <c r="G166" i="12"/>
  <c r="G387" i="13" s="1" a="1"/>
  <c r="G387" i="13" s="1"/>
  <c r="H146" i="12" a="1"/>
  <c r="H146" i="12" s="1"/>
  <c r="H348" i="13" s="1" a="1"/>
  <c r="H348" i="13" s="1"/>
  <c r="H375" i="13" s="1"/>
  <c r="J132" i="12" a="1"/>
  <c r="J132" i="12" s="1"/>
  <c r="I134" i="12" a="1"/>
  <c r="I134" i="12" s="1"/>
  <c r="I315" i="13" s="1" a="1"/>
  <c r="I315" i="13" s="1"/>
  <c r="DV20" i="9" s="1" a="1"/>
  <c r="DV20" i="9" s="1"/>
  <c r="G174" i="12" a="1"/>
  <c r="G174" i="12" s="1"/>
  <c r="F176" i="12" a="1"/>
  <c r="F176" i="12" s="1"/>
  <c r="F417" i="13" s="1" a="1"/>
  <c r="F417" i="13" s="1"/>
  <c r="BQ23" i="9" s="1" a="1"/>
  <c r="BQ23" i="9" s="1"/>
  <c r="FW24" i="9" a="1"/>
  <c r="FW24" i="9" s="1"/>
  <c r="FX24" i="9" s="1"/>
  <c r="D170" i="12"/>
  <c r="D388" i="13" s="1" a="1"/>
  <c r="D388" i="13" s="1"/>
  <c r="D169" i="12"/>
  <c r="D352" i="13" a="1"/>
  <c r="D352" i="13" s="1"/>
  <c r="D159" i="12"/>
  <c r="DG20" i="9" a="1"/>
  <c r="DG20" i="9" s="1"/>
  <c r="E190" i="12" a="1"/>
  <c r="E190" i="12" s="1"/>
  <c r="E451" i="13" s="1" a="1"/>
  <c r="E451" i="13" s="1"/>
  <c r="AX24" i="9" s="1" a="1"/>
  <c r="AX24" i="9" s="1"/>
  <c r="BB24" i="9" a="1"/>
  <c r="BB24" i="9" s="1"/>
  <c r="I132" i="12" a="1"/>
  <c r="I132" i="12" s="1"/>
  <c r="I314" i="13" s="1" a="1"/>
  <c r="I314" i="13" s="1"/>
  <c r="I341" i="13" s="1"/>
  <c r="DG21" i="9" a="1"/>
  <c r="DG21" i="9" s="1"/>
  <c r="H148" i="12" a="1"/>
  <c r="H148" i="12" s="1"/>
  <c r="H349" i="13" s="1" a="1"/>
  <c r="H349" i="13" s="1"/>
  <c r="DC21" i="9" s="1" a="1"/>
  <c r="DC21" i="9" s="1"/>
  <c r="H216" i="13" a="1"/>
  <c r="H216" i="13" s="1"/>
  <c r="G348" i="13" a="1"/>
  <c r="G348" i="13" s="1"/>
  <c r="G375" i="13" s="1"/>
  <c r="G152" i="12"/>
  <c r="G157" i="12"/>
  <c r="CN22" i="9" a="1"/>
  <c r="CN22" i="9" s="1"/>
  <c r="G162" i="12" a="1"/>
  <c r="G162" i="12" s="1"/>
  <c r="G383" i="13" s="1" a="1"/>
  <c r="G383" i="13" s="1"/>
  <c r="CJ22" i="9" s="1" a="1"/>
  <c r="CJ22" i="9" s="1"/>
  <c r="ES19" i="9" a="1"/>
  <c r="ES19" i="9" s="1"/>
  <c r="K118" i="12" a="1"/>
  <c r="K118" i="12" s="1"/>
  <c r="J120" i="12" a="1"/>
  <c r="J120" i="12" s="1"/>
  <c r="J281" i="13" s="1" a="1"/>
  <c r="J281" i="13" s="1"/>
  <c r="EO19" i="9" s="1" a="1"/>
  <c r="EO19" i="9" s="1"/>
  <c r="H113" i="12"/>
  <c r="H114" i="12"/>
  <c r="H252" i="13" s="1" a="1"/>
  <c r="H252" i="13" s="1"/>
  <c r="D204" i="12" a="1"/>
  <c r="D204" i="12" s="1"/>
  <c r="D485" i="13" s="1" a="1"/>
  <c r="D485" i="13" s="1"/>
  <c r="AE25" i="9" s="1" a="1"/>
  <c r="AE25" i="9" s="1"/>
  <c r="ES18" i="9" a="1"/>
  <c r="ES18" i="9" s="1"/>
  <c r="K106" i="12" a="1"/>
  <c r="K106" i="12" s="1"/>
  <c r="K247" i="13" s="1" a="1"/>
  <c r="K247" i="13" s="1"/>
  <c r="FH18" i="9" s="1" a="1"/>
  <c r="FH18" i="9" s="1"/>
  <c r="K104" i="12" a="1"/>
  <c r="K104" i="12" s="1"/>
  <c r="J280" i="13" a="1"/>
  <c r="J280" i="13" s="1"/>
  <c r="J307" i="13" s="1"/>
  <c r="J129" i="12"/>
  <c r="J124" i="12"/>
  <c r="I99" i="12"/>
  <c r="I216" i="13" s="1" a="1"/>
  <c r="I216" i="13" s="1"/>
  <c r="I100" i="12"/>
  <c r="G250" i="13" a="1"/>
  <c r="G250" i="13" s="1"/>
  <c r="G117" i="12"/>
  <c r="K212" i="13" a="1"/>
  <c r="K212" i="13" s="1"/>
  <c r="K239" i="13" s="1"/>
  <c r="K101" i="12"/>
  <c r="K96" i="12"/>
  <c r="I126" i="12"/>
  <c r="I128" i="12" s="1"/>
  <c r="I286" i="13" s="1" a="1"/>
  <c r="I286" i="13" s="1"/>
  <c r="I285" i="13" a="1"/>
  <c r="I285" i="13" s="1"/>
  <c r="F387" i="13" a="1"/>
  <c r="F387" i="13" s="1"/>
  <c r="F168" i="12"/>
  <c r="F170" i="12" s="1"/>
  <c r="F388" i="13" s="1" a="1"/>
  <c r="F388" i="13" s="1"/>
  <c r="IB22" i="9" a="1"/>
  <c r="IB22" i="9" s="1"/>
  <c r="IC22" i="9" s="1"/>
  <c r="C36" i="28" a="1"/>
  <c r="C36" i="28" s="1"/>
  <c r="A216" i="12" a="1"/>
  <c r="A216" i="12" s="1"/>
  <c r="A515" i="13" a="1"/>
  <c r="A515" i="13" s="1"/>
  <c r="D197" i="12"/>
  <c r="E169" i="12"/>
  <c r="E170" i="12"/>
  <c r="E388" i="13" s="1" a="1"/>
  <c r="E388" i="13" s="1"/>
  <c r="FL17" i="9" a="1"/>
  <c r="FL17" i="9" s="1"/>
  <c r="L92" i="12" a="1"/>
  <c r="L92" i="12" s="1"/>
  <c r="L213" i="13" s="1" a="1"/>
  <c r="L213" i="13" s="1"/>
  <c r="GA17" i="9" s="1" a="1"/>
  <c r="GA17" i="9" s="1"/>
  <c r="L90" i="12" a="1"/>
  <c r="L90" i="12" s="1"/>
  <c r="J98" i="12"/>
  <c r="J100" i="12" s="1"/>
  <c r="J218" i="13" s="1" a="1"/>
  <c r="J218" i="13" s="1"/>
  <c r="J217" i="13" a="1"/>
  <c r="J217" i="13" s="1"/>
  <c r="F155" i="12"/>
  <c r="E450" i="13" a="1"/>
  <c r="E450" i="13" s="1"/>
  <c r="E477" i="13" s="1"/>
  <c r="E199" i="12"/>
  <c r="E194" i="12"/>
  <c r="F318" i="13" a="1"/>
  <c r="F318" i="13" s="1"/>
  <c r="F145" i="12"/>
  <c r="H127" i="12"/>
  <c r="AI25" i="9" a="1"/>
  <c r="AI25" i="9" s="1"/>
  <c r="E202" i="12" a="1"/>
  <c r="E202" i="12" s="1"/>
  <c r="I251" i="13" a="1"/>
  <c r="I251" i="13" s="1"/>
  <c r="I112" i="12"/>
  <c r="E159" i="12"/>
  <c r="E352" i="13" a="1"/>
  <c r="E352" i="13" s="1"/>
  <c r="J246" i="13" a="1"/>
  <c r="J246" i="13" s="1"/>
  <c r="J273" i="13" s="1"/>
  <c r="J110" i="12"/>
  <c r="J115" i="12"/>
  <c r="G145" i="12"/>
  <c r="L43" i="12"/>
  <c r="L80" i="13" s="1" a="1"/>
  <c r="L80" i="13" s="1"/>
  <c r="K47" i="12"/>
  <c r="K82" i="13" a="1"/>
  <c r="K82" i="13" s="1"/>
  <c r="GE15" i="9" a="1"/>
  <c r="GE15" i="9" s="1"/>
  <c r="M64" i="12" a="1"/>
  <c r="M64" i="12" s="1"/>
  <c r="M145" i="13" s="1" a="1"/>
  <c r="M145" i="13" s="1"/>
  <c r="GT15" i="9" s="1" a="1"/>
  <c r="GT15" i="9" s="1"/>
  <c r="M62" i="12" a="1"/>
  <c r="M62" i="12" s="1"/>
  <c r="BU21" i="9" a="1"/>
  <c r="BU21" i="9" s="1"/>
  <c r="M54" i="12"/>
  <c r="M59" i="12"/>
  <c r="M110" i="13" a="1"/>
  <c r="M110" i="13" s="1"/>
  <c r="M137" i="13" s="1"/>
  <c r="K70" i="12"/>
  <c r="K72" i="12" s="1"/>
  <c r="K150" i="13" s="1" a="1"/>
  <c r="K150" i="13" s="1"/>
  <c r="K149" i="13" a="1"/>
  <c r="K149" i="13" s="1"/>
  <c r="K57" i="12"/>
  <c r="K114" i="13" s="1" a="1"/>
  <c r="K114" i="13" s="1"/>
  <c r="K58" i="12"/>
  <c r="M29" i="12"/>
  <c r="M46" i="13" s="1" a="1"/>
  <c r="M46" i="13" s="1"/>
  <c r="M30" i="12"/>
  <c r="J71" i="12"/>
  <c r="O31" i="12"/>
  <c r="O26" i="12"/>
  <c r="O42" i="13" a="1"/>
  <c r="O42" i="13" s="1"/>
  <c r="O69" i="13" s="1"/>
  <c r="HQ13" i="9" a="1"/>
  <c r="HQ13" i="9" s="1"/>
  <c r="O36" i="12" a="1"/>
  <c r="O36" i="12" s="1"/>
  <c r="O77" i="13" s="1" a="1"/>
  <c r="O77" i="13" s="1"/>
  <c r="IF13" i="9" s="1" a="1"/>
  <c r="IF13" i="9" s="1"/>
  <c r="O34" i="12" a="1"/>
  <c r="O34" i="12" s="1"/>
  <c r="N50" i="12" a="1"/>
  <c r="N50" i="12" s="1"/>
  <c r="N111" i="13" s="1" a="1"/>
  <c r="N111" i="13" s="1"/>
  <c r="HM14" i="9" s="1" a="1"/>
  <c r="HM14" i="9" s="1"/>
  <c r="GX14" i="9" a="1"/>
  <c r="GX14" i="9" s="1"/>
  <c r="N48" i="12" a="1"/>
  <c r="N48" i="12" s="1"/>
  <c r="J61" i="12"/>
  <c r="J114" i="13" a="1"/>
  <c r="J114" i="13" s="1"/>
  <c r="H182" i="13" a="1"/>
  <c r="H182" i="13" s="1"/>
  <c r="H89" i="12"/>
  <c r="J183" i="13" a="1"/>
  <c r="J183" i="13" s="1"/>
  <c r="J84" i="12"/>
  <c r="J86" i="12" s="1"/>
  <c r="J184" i="13" s="1" a="1"/>
  <c r="J184" i="13" s="1"/>
  <c r="I85" i="12"/>
  <c r="I86" i="12"/>
  <c r="I184" i="13" s="1" a="1"/>
  <c r="I184" i="13" s="1"/>
  <c r="L73" i="12"/>
  <c r="L144" i="13" a="1"/>
  <c r="L144" i="13" s="1"/>
  <c r="L171" i="13" s="1"/>
  <c r="L68" i="12"/>
  <c r="K178" i="13" a="1"/>
  <c r="K178" i="13" s="1"/>
  <c r="K205" i="13" s="1"/>
  <c r="K82" i="12"/>
  <c r="K87" i="12"/>
  <c r="M42" i="12"/>
  <c r="M44" i="12" s="1"/>
  <c r="M82" i="13" s="1" a="1"/>
  <c r="M82" i="13" s="1"/>
  <c r="M81" i="13" a="1"/>
  <c r="M81" i="13" s="1"/>
  <c r="N45" i="12"/>
  <c r="N40" i="12"/>
  <c r="N76" i="13" a="1"/>
  <c r="N76" i="13" s="1"/>
  <c r="N103" i="13" s="1"/>
  <c r="I148" i="13" a="1"/>
  <c r="I148" i="13" s="1"/>
  <c r="I75" i="12"/>
  <c r="L56" i="12"/>
  <c r="L58" i="12" s="1"/>
  <c r="L116" i="13" s="1" a="1"/>
  <c r="L116" i="13" s="1"/>
  <c r="L115" i="13" a="1"/>
  <c r="L115" i="13" s="1"/>
  <c r="N28" i="12"/>
  <c r="N30" i="12" s="1"/>
  <c r="N48" i="13" s="1" a="1"/>
  <c r="N48" i="13" s="1"/>
  <c r="N47" i="13" a="1"/>
  <c r="N47" i="13" s="1"/>
  <c r="FL16" i="9" a="1"/>
  <c r="FL16" i="9" s="1"/>
  <c r="L78" i="12" a="1"/>
  <c r="L78" i="12" s="1"/>
  <c r="L179" i="13" s="1" a="1"/>
  <c r="L179" i="13" s="1"/>
  <c r="GA16" i="9" s="1" a="1"/>
  <c r="GA16" i="9" s="1"/>
  <c r="L76" i="12" a="1"/>
  <c r="L76" i="12" s="1"/>
  <c r="B370" i="13"/>
  <c r="B371" i="13" s="1"/>
  <c r="B372" i="13" s="1"/>
  <c r="B373" i="13" s="1"/>
  <c r="B375" i="13"/>
  <c r="B376" i="13" s="1"/>
  <c r="B377" i="13" s="1"/>
  <c r="B378" i="13" s="1"/>
  <c r="B403" i="13"/>
  <c r="B408" i="13"/>
  <c r="B420" i="13"/>
  <c r="B421" i="13" s="1"/>
  <c r="B422" i="13" s="1"/>
  <c r="B423" i="13" s="1"/>
  <c r="B424" i="13"/>
  <c r="B425" i="13" s="1"/>
  <c r="B426" i="13" s="1"/>
  <c r="B427" i="13" s="1"/>
  <c r="B428" i="13" s="1"/>
  <c r="B429" i="13" s="1"/>
  <c r="B430" i="13" s="1"/>
  <c r="B431" i="13" s="1"/>
  <c r="B432" i="13" s="1"/>
  <c r="B433" i="13" s="1"/>
  <c r="B434" i="13" s="1"/>
  <c r="B435" i="13" s="1"/>
  <c r="B436" i="13" s="1"/>
  <c r="B452" i="13"/>
  <c r="B453" i="13" s="1"/>
  <c r="B449" i="13"/>
  <c r="B450" i="13" s="1"/>
  <c r="B451" i="13" s="1"/>
  <c r="B481" i="13" a="1"/>
  <c r="B481" i="13" s="1"/>
  <c r="B482" i="13" s="1"/>
  <c r="AA359" i="10"/>
  <c r="AA384" i="10"/>
  <c r="AA385" i="10" s="1"/>
  <c r="AA397" i="10"/>
  <c r="AA372" i="10"/>
  <c r="B202" i="12" a="1"/>
  <c r="B202" i="12" s="1"/>
  <c r="R261" i="12"/>
  <c r="R262" i="12"/>
  <c r="R249" i="12"/>
  <c r="R286" i="12"/>
  <c r="R274" i="12"/>
  <c r="R273" i="12"/>
  <c r="M9" i="7"/>
  <c r="O8" i="7"/>
  <c r="P8" i="7" s="1"/>
  <c r="N8" i="7"/>
  <c r="AW156" i="19" l="1"/>
  <c r="FW20" i="23" s="1" a="1"/>
  <c r="FW20" i="23" s="1"/>
  <c r="FX20" i="23" s="1"/>
  <c r="GD20" i="23" s="1"/>
  <c r="P21" i="24" s="1" a="1"/>
  <c r="P21" i="24" s="1"/>
  <c r="AT36" i="19"/>
  <c r="FG12" i="23" s="1" a="1"/>
  <c r="FG12" i="23" s="1"/>
  <c r="FH12" i="23" s="1"/>
  <c r="FN12" i="23" s="1"/>
  <c r="O13" i="24" s="1" a="1"/>
  <c r="O13" i="24" s="1"/>
  <c r="AW141" i="19"/>
  <c r="FW19" i="23" s="1" a="1"/>
  <c r="FW19" i="23" s="1"/>
  <c r="FX19" i="23" s="1"/>
  <c r="GD19" i="23" s="1"/>
  <c r="P20" i="24" s="1" a="1"/>
  <c r="P20" i="24" s="1"/>
  <c r="AW66" i="19"/>
  <c r="FW14" i="23" s="1" a="1"/>
  <c r="FW14" i="23" s="1"/>
  <c r="FX14" i="23" s="1"/>
  <c r="GD14" i="23" s="1"/>
  <c r="P15" i="24" s="1" a="1"/>
  <c r="P15" i="24" s="1"/>
  <c r="AN21" i="19"/>
  <c r="EA11" i="23" s="1" a="1"/>
  <c r="EA11" i="23" s="1"/>
  <c r="EB11" i="23" s="1"/>
  <c r="EH11" i="23" s="1"/>
  <c r="M12" i="24" s="1" a="1"/>
  <c r="M12" i="24" s="1"/>
  <c r="BA20" i="19"/>
  <c r="AZ21" i="19"/>
  <c r="GM11" i="23" s="1" a="1"/>
  <c r="GM11" i="23" s="1"/>
  <c r="GN11" i="23" s="1"/>
  <c r="GT11" i="23" s="1"/>
  <c r="Q12" i="24" s="1" a="1"/>
  <c r="Q12" i="24" s="1"/>
  <c r="AT96" i="19"/>
  <c r="FG16" i="23" s="1" a="1"/>
  <c r="FG16" i="23" s="1"/>
  <c r="AH81" i="19"/>
  <c r="CU15" i="23" s="1" a="1"/>
  <c r="CU15" i="23" s="1"/>
  <c r="CV15" i="23" s="1"/>
  <c r="DB15" i="23" s="1"/>
  <c r="K16" i="24" s="1" a="1"/>
  <c r="K16" i="24" s="1"/>
  <c r="V156" i="19"/>
  <c r="AI20" i="23" s="1" a="1"/>
  <c r="AI20" i="23" s="1"/>
  <c r="AJ20" i="23" s="1"/>
  <c r="AP20" i="23" s="1"/>
  <c r="G21" i="24" s="1" a="1"/>
  <c r="G21" i="24" s="1"/>
  <c r="AQ141" i="19"/>
  <c r="EQ19" i="23" s="1" a="1"/>
  <c r="EQ19" i="23" s="1"/>
  <c r="ER19" i="23" s="1"/>
  <c r="EX19" i="23" s="1"/>
  <c r="N20" i="24" s="1" a="1"/>
  <c r="N20" i="24" s="1"/>
  <c r="BA19" i="19"/>
  <c r="Y126" i="19"/>
  <c r="AY18" i="23" s="1" a="1"/>
  <c r="AY18" i="23" s="1"/>
  <c r="AZ18" i="23" s="1"/>
  <c r="BF18" i="23" s="1"/>
  <c r="H19" i="24" s="1" a="1"/>
  <c r="H19" i="24" s="1"/>
  <c r="AB81" i="19"/>
  <c r="BO15" i="23" s="1" a="1"/>
  <c r="BO15" i="23" s="1"/>
  <c r="BP15" i="23" s="1"/>
  <c r="BV15" i="23" s="1"/>
  <c r="I16" i="24" s="1" a="1"/>
  <c r="I16" i="24" s="1"/>
  <c r="AE21" i="19"/>
  <c r="CE11" i="23" s="1" a="1"/>
  <c r="CE11" i="23" s="1"/>
  <c r="CF11" i="23" s="1"/>
  <c r="CL11" i="23" s="1"/>
  <c r="J12" i="24" s="1" a="1"/>
  <c r="J12" i="24" s="1"/>
  <c r="BA79" i="19"/>
  <c r="BA109" i="19"/>
  <c r="AB156" i="19"/>
  <c r="BO20" i="23" s="1" a="1"/>
  <c r="BO20" i="23" s="1"/>
  <c r="BP20" i="23" s="1"/>
  <c r="BV20" i="23" s="1"/>
  <c r="I21" i="24" s="1" a="1"/>
  <c r="I21" i="24" s="1"/>
  <c r="AB36" i="19"/>
  <c r="BO12" i="23" s="1" a="1"/>
  <c r="BO12" i="23" s="1"/>
  <c r="BP12" i="23" s="1"/>
  <c r="BV12" i="23" s="1"/>
  <c r="I13" i="24" s="1" a="1"/>
  <c r="I13" i="24" s="1"/>
  <c r="BA34" i="19"/>
  <c r="BA110" i="19"/>
  <c r="S111" i="19"/>
  <c r="AQ126" i="19"/>
  <c r="EQ18" i="23" s="1" a="1"/>
  <c r="EQ18" i="23" s="1"/>
  <c r="ER18" i="23" s="1"/>
  <c r="EX18" i="23" s="1"/>
  <c r="N19" i="24" s="1" a="1"/>
  <c r="N19" i="24" s="1"/>
  <c r="AT81" i="19"/>
  <c r="FG15" i="23" s="1" a="1"/>
  <c r="FG15" i="23" s="1"/>
  <c r="FH15" i="23" s="1"/>
  <c r="FN15" i="23" s="1"/>
  <c r="O16" i="24" s="1" a="1"/>
  <c r="O16" i="24" s="1"/>
  <c r="AK96" i="19"/>
  <c r="DK16" i="23" s="1" a="1"/>
  <c r="DK16" i="23" s="1"/>
  <c r="AZ111" i="19"/>
  <c r="GM17" i="23" s="1" a="1"/>
  <c r="GM17" i="23" s="1"/>
  <c r="GN17" i="23" s="1"/>
  <c r="GT17" i="23" s="1"/>
  <c r="Q18" i="24" s="1" a="1"/>
  <c r="Q18" i="24" s="1"/>
  <c r="V21" i="19"/>
  <c r="AI11" i="23" s="1" a="1"/>
  <c r="AI11" i="23" s="1"/>
  <c r="AJ11" i="23" s="1"/>
  <c r="AP11" i="23" s="1"/>
  <c r="G12" i="24" s="1" a="1"/>
  <c r="G12" i="24" s="1"/>
  <c r="AE96" i="19"/>
  <c r="CE16" i="23" s="1" a="1"/>
  <c r="CE16" i="23" s="1"/>
  <c r="V81" i="19"/>
  <c r="AI15" i="23" s="1" a="1"/>
  <c r="AI15" i="23" s="1"/>
  <c r="AJ15" i="23" s="1"/>
  <c r="AP15" i="23" s="1"/>
  <c r="G16" i="24" s="1" a="1"/>
  <c r="G16" i="24" s="1"/>
  <c r="Y66" i="19"/>
  <c r="AY14" i="23" s="1" a="1"/>
  <c r="AY14" i="23" s="1"/>
  <c r="AZ14" i="23" s="1"/>
  <c r="BF14" i="23" s="1"/>
  <c r="H15" i="24" s="1" a="1"/>
  <c r="H15" i="24" s="1"/>
  <c r="AQ21" i="19"/>
  <c r="EQ11" i="23" s="1" a="1"/>
  <c r="EQ11" i="23" s="1"/>
  <c r="ER11" i="23" s="1"/>
  <c r="EX11" i="23" s="1"/>
  <c r="N12" i="24" s="1" a="1"/>
  <c r="N12" i="24" s="1"/>
  <c r="BA49" i="19"/>
  <c r="AN51" i="19"/>
  <c r="EA13" i="23" s="1" a="1"/>
  <c r="EA13" i="23" s="1"/>
  <c r="EB13" i="23" s="1"/>
  <c r="EH13" i="23" s="1"/>
  <c r="M14" i="24" s="1" a="1"/>
  <c r="M14" i="24" s="1"/>
  <c r="AK21" i="19"/>
  <c r="DK11" i="23" s="1" a="1"/>
  <c r="DK11" i="23" s="1"/>
  <c r="DL11" i="23" s="1"/>
  <c r="DR11" i="23" s="1"/>
  <c r="L12" i="24" s="1" a="1"/>
  <c r="L12" i="24" s="1"/>
  <c r="AH51" i="19"/>
  <c r="CU13" i="23" s="1" a="1"/>
  <c r="CU13" i="23" s="1"/>
  <c r="CV13" i="23" s="1"/>
  <c r="DB13" i="23" s="1"/>
  <c r="K14" i="24" s="1" a="1"/>
  <c r="K14" i="24" s="1"/>
  <c r="S81" i="19"/>
  <c r="BA80" i="19"/>
  <c r="S96" i="19"/>
  <c r="Y156" i="19"/>
  <c r="AY20" i="23" s="1" a="1"/>
  <c r="AY20" i="23" s="1"/>
  <c r="AZ20" i="23" s="1"/>
  <c r="BF20" i="23" s="1"/>
  <c r="H21" i="24" s="1" a="1"/>
  <c r="H21" i="24" s="1"/>
  <c r="AW81" i="19"/>
  <c r="FW15" i="23" s="1" a="1"/>
  <c r="FW15" i="23" s="1"/>
  <c r="FX15" i="23" s="1"/>
  <c r="GD15" i="23" s="1"/>
  <c r="P16" i="24" s="1" a="1"/>
  <c r="P16" i="24" s="1"/>
  <c r="AQ156" i="19"/>
  <c r="EQ20" i="23" s="1" a="1"/>
  <c r="EQ20" i="23" s="1"/>
  <c r="ER20" i="23" s="1"/>
  <c r="EX20" i="23" s="1"/>
  <c r="N21" i="24" s="1" a="1"/>
  <c r="N21" i="24" s="1"/>
  <c r="BA50" i="19"/>
  <c r="AZ51" i="19"/>
  <c r="GM13" i="23" s="1" a="1"/>
  <c r="GM13" i="23" s="1"/>
  <c r="GN13" i="23" s="1"/>
  <c r="GT13" i="23" s="1"/>
  <c r="Q14" i="24" s="1" a="1"/>
  <c r="Q14" i="24" s="1"/>
  <c r="AN111" i="19"/>
  <c r="EA17" i="23" s="1" a="1"/>
  <c r="EA17" i="23" s="1"/>
  <c r="EB17" i="23" s="1"/>
  <c r="EH17" i="23" s="1"/>
  <c r="M18" i="24" s="1" a="1"/>
  <c r="M18" i="24" s="1"/>
  <c r="AW126" i="19"/>
  <c r="FW18" i="23" s="1" a="1"/>
  <c r="FW18" i="23" s="1"/>
  <c r="FX18" i="23" s="1"/>
  <c r="GD18" i="23" s="1"/>
  <c r="P19" i="24" s="1" a="1"/>
  <c r="P19" i="24" s="1"/>
  <c r="AW51" i="19"/>
  <c r="FW13" i="23" s="1" a="1"/>
  <c r="FW13" i="23" s="1"/>
  <c r="FX13" i="23" s="1"/>
  <c r="GD13" i="23" s="1"/>
  <c r="P14" i="24" s="1" a="1"/>
  <c r="P14" i="24" s="1"/>
  <c r="AW111" i="19"/>
  <c r="FW17" i="23" s="1" a="1"/>
  <c r="FW17" i="23" s="1"/>
  <c r="FX17" i="23" s="1"/>
  <c r="GD17" i="23" s="1"/>
  <c r="P18" i="24" s="1" a="1"/>
  <c r="P18" i="24" s="1"/>
  <c r="AT141" i="19"/>
  <c r="FG19" i="23" s="1" a="1"/>
  <c r="FG19" i="23" s="1"/>
  <c r="FH19" i="23" s="1"/>
  <c r="FN19" i="23" s="1"/>
  <c r="O20" i="24" s="1" a="1"/>
  <c r="O20" i="24" s="1"/>
  <c r="AE81" i="19"/>
  <c r="CE15" i="23" s="1" a="1"/>
  <c r="CE15" i="23" s="1"/>
  <c r="CF15" i="23" s="1"/>
  <c r="CL15" i="23" s="1"/>
  <c r="J16" i="24" s="1" a="1"/>
  <c r="J16" i="24" s="1"/>
  <c r="BA154" i="19"/>
  <c r="Y21" i="19"/>
  <c r="AY11" i="23" s="1" a="1"/>
  <c r="AY11" i="23" s="1"/>
  <c r="AZ11" i="23" s="1"/>
  <c r="BF11" i="23" s="1"/>
  <c r="H12" i="24" s="1" a="1"/>
  <c r="H12" i="24" s="1"/>
  <c r="AN141" i="19"/>
  <c r="EA19" i="23" s="1" a="1"/>
  <c r="EA19" i="23" s="1"/>
  <c r="EB19" i="23" s="1"/>
  <c r="EH19" i="23" s="1"/>
  <c r="M20" i="24" s="1" a="1"/>
  <c r="M20" i="24" s="1"/>
  <c r="AT21" i="19"/>
  <c r="FG11" i="23" s="1" a="1"/>
  <c r="FG11" i="23" s="1"/>
  <c r="FH11" i="23" s="1"/>
  <c r="FN11" i="23" s="1"/>
  <c r="O12" i="24" s="1" a="1"/>
  <c r="O12" i="24" s="1"/>
  <c r="Y36" i="19"/>
  <c r="AY12" i="23" s="1" a="1"/>
  <c r="AY12" i="23" s="1"/>
  <c r="AZ12" i="23" s="1"/>
  <c r="BF12" i="23" s="1"/>
  <c r="H13" i="24" s="1" a="1"/>
  <c r="H13" i="24" s="1"/>
  <c r="AT156" i="19"/>
  <c r="FG20" i="23" s="1" a="1"/>
  <c r="FG20" i="23" s="1"/>
  <c r="FH20" i="23" s="1"/>
  <c r="FN20" i="23" s="1"/>
  <c r="O21" i="24" s="1" a="1"/>
  <c r="O21" i="24" s="1"/>
  <c r="AK126" i="19"/>
  <c r="DK18" i="23" s="1" a="1"/>
  <c r="DK18" i="23" s="1"/>
  <c r="DL18" i="23" s="1"/>
  <c r="DR18" i="23" s="1"/>
  <c r="L19" i="24" s="1" a="1"/>
  <c r="L19" i="24" s="1"/>
  <c r="AN156" i="19"/>
  <c r="EA20" i="23" s="1" a="1"/>
  <c r="EA20" i="23" s="1"/>
  <c r="EB20" i="23" s="1"/>
  <c r="EH20" i="23" s="1"/>
  <c r="M21" i="24" s="1" a="1"/>
  <c r="M21" i="24" s="1"/>
  <c r="AH111" i="19"/>
  <c r="CU17" i="23" s="1" a="1"/>
  <c r="CU17" i="23" s="1"/>
  <c r="CV17" i="23" s="1"/>
  <c r="DB17" i="23" s="1"/>
  <c r="K18" i="24" s="1" a="1"/>
  <c r="K18" i="24" s="1"/>
  <c r="AB126" i="19"/>
  <c r="BO18" i="23" s="1" a="1"/>
  <c r="BO18" i="23" s="1"/>
  <c r="BP18" i="23" s="1"/>
  <c r="BV18" i="23" s="1"/>
  <c r="I19" i="24" s="1" a="1"/>
  <c r="I19" i="24" s="1"/>
  <c r="BA155" i="19"/>
  <c r="S156" i="19"/>
  <c r="AB51" i="19"/>
  <c r="BO13" i="23" s="1" a="1"/>
  <c r="BO13" i="23" s="1"/>
  <c r="BP13" i="23" s="1"/>
  <c r="BV13" i="23" s="1"/>
  <c r="I14" i="24" s="1" a="1"/>
  <c r="I14" i="24" s="1"/>
  <c r="AK36" i="19"/>
  <c r="DK12" i="23" s="1" a="1"/>
  <c r="DK12" i="23" s="1"/>
  <c r="DL12" i="23" s="1"/>
  <c r="DR12" i="23" s="1"/>
  <c r="L13" i="24" s="1" a="1"/>
  <c r="L13" i="24" s="1"/>
  <c r="BA65" i="19"/>
  <c r="S66" i="19"/>
  <c r="AZ66" i="19"/>
  <c r="GM14" i="23" s="1" a="1"/>
  <c r="GM14" i="23" s="1"/>
  <c r="GN14" i="23" s="1"/>
  <c r="GT14" i="23" s="1"/>
  <c r="Q15" i="24" s="1" a="1"/>
  <c r="Q15" i="24" s="1"/>
  <c r="AH96" i="19"/>
  <c r="CU16" i="23" s="1" a="1"/>
  <c r="CU16" i="23" s="1"/>
  <c r="Y111" i="19"/>
  <c r="AY17" i="23" s="1" a="1"/>
  <c r="AY17" i="23" s="1"/>
  <c r="AZ17" i="23" s="1"/>
  <c r="BF17" i="23" s="1"/>
  <c r="H18" i="24" s="1" a="1"/>
  <c r="H18" i="24" s="1"/>
  <c r="AE51" i="19"/>
  <c r="CE13" i="23" s="1" a="1"/>
  <c r="CE13" i="23" s="1"/>
  <c r="CF13" i="23" s="1"/>
  <c r="CL13" i="23" s="1"/>
  <c r="J14" i="24" s="1" a="1"/>
  <c r="J14" i="24" s="1"/>
  <c r="BA139" i="19"/>
  <c r="BA35" i="19"/>
  <c r="S36" i="19"/>
  <c r="BA64" i="19"/>
  <c r="BA124" i="19"/>
  <c r="BA95" i="19"/>
  <c r="AZ96" i="19"/>
  <c r="GM16" i="23" s="1" a="1"/>
  <c r="GM16" i="23" s="1"/>
  <c r="BA140" i="19"/>
  <c r="S141" i="19"/>
  <c r="V141" i="19"/>
  <c r="AI19" i="23" s="1" a="1"/>
  <c r="AI19" i="23" s="1"/>
  <c r="AJ19" i="23" s="1"/>
  <c r="AP19" i="23" s="1"/>
  <c r="G20" i="24" s="1" a="1"/>
  <c r="G20" i="24" s="1"/>
  <c r="AN66" i="19"/>
  <c r="EA14" i="23" s="1" a="1"/>
  <c r="EA14" i="23" s="1"/>
  <c r="EB14" i="23" s="1"/>
  <c r="EH14" i="23" s="1"/>
  <c r="M15" i="24" s="1" a="1"/>
  <c r="M15" i="24" s="1"/>
  <c r="AH126" i="19"/>
  <c r="CU18" i="23" s="1" a="1"/>
  <c r="CU18" i="23" s="1"/>
  <c r="CV18" i="23" s="1"/>
  <c r="DB18" i="23" s="1"/>
  <c r="K19" i="24" s="1" a="1"/>
  <c r="K19" i="24" s="1"/>
  <c r="AE126" i="19"/>
  <c r="CE18" i="23" s="1" a="1"/>
  <c r="CE18" i="23" s="1"/>
  <c r="CF18" i="23" s="1"/>
  <c r="CL18" i="23" s="1"/>
  <c r="J19" i="24" s="1" a="1"/>
  <c r="J19" i="24" s="1"/>
  <c r="AQ96" i="19"/>
  <c r="EQ16" i="23" s="1" a="1"/>
  <c r="EQ16" i="23" s="1"/>
  <c r="AN81" i="19"/>
  <c r="EA15" i="23" s="1" a="1"/>
  <c r="EA15" i="23" s="1"/>
  <c r="EB15" i="23" s="1"/>
  <c r="EH15" i="23" s="1"/>
  <c r="M16" i="24" s="1" a="1"/>
  <c r="M16" i="24" s="1"/>
  <c r="BA125" i="19"/>
  <c r="S126" i="19"/>
  <c r="BA94" i="19"/>
  <c r="AB141" i="19"/>
  <c r="BO19" i="23" s="1" a="1"/>
  <c r="BO19" i="23" s="1"/>
  <c r="BP19" i="23" s="1"/>
  <c r="BV19" i="23" s="1"/>
  <c r="I20" i="24" s="1" a="1"/>
  <c r="I20" i="24" s="1"/>
  <c r="Y81" i="19"/>
  <c r="AY15" i="23" s="1" a="1"/>
  <c r="AY15" i="23" s="1"/>
  <c r="AZ15" i="23" s="1"/>
  <c r="BF15" i="23" s="1"/>
  <c r="H16" i="24" s="1" a="1"/>
  <c r="H16" i="24" s="1"/>
  <c r="AZ126" i="19"/>
  <c r="GM18" i="23" s="1" a="1"/>
  <c r="GM18" i="23" s="1"/>
  <c r="GN18" i="23" s="1"/>
  <c r="GT18" i="23" s="1"/>
  <c r="Q19" i="24" s="1" a="1"/>
  <c r="Q19" i="24" s="1"/>
  <c r="S21" i="19"/>
  <c r="AQ111" i="19"/>
  <c r="EQ17" i="23" s="1" a="1"/>
  <c r="EQ17" i="23" s="1"/>
  <c r="ER17" i="23" s="1"/>
  <c r="EX17" i="23" s="1"/>
  <c r="N18" i="24" s="1" a="1"/>
  <c r="N18" i="24" s="1"/>
  <c r="AB66" i="19"/>
  <c r="BO14" i="23" s="1" a="1"/>
  <c r="BO14" i="23" s="1"/>
  <c r="BP14" i="23" s="1"/>
  <c r="BV14" i="23" s="1"/>
  <c r="I15" i="24" s="1" a="1"/>
  <c r="I15" i="24" s="1"/>
  <c r="AN36" i="19"/>
  <c r="EA12" i="23" s="1" a="1"/>
  <c r="EA12" i="23" s="1"/>
  <c r="EB12" i="23" s="1"/>
  <c r="EH12" i="23" s="1"/>
  <c r="M13" i="24" s="1" a="1"/>
  <c r="M13" i="24" s="1"/>
  <c r="AE66" i="19"/>
  <c r="CE14" i="23" s="1" a="1"/>
  <c r="CE14" i="23" s="1"/>
  <c r="CF14" i="23" s="1"/>
  <c r="CL14" i="23" s="1"/>
  <c r="J15" i="24" s="1" a="1"/>
  <c r="J15" i="24" s="1"/>
  <c r="AB111" i="19"/>
  <c r="BO17" i="23" s="1" a="1"/>
  <c r="BO17" i="23" s="1"/>
  <c r="BP17" i="23" s="1"/>
  <c r="BV17" i="23" s="1"/>
  <c r="I18" i="24" s="1" a="1"/>
  <c r="I18" i="24" s="1"/>
  <c r="S51" i="19"/>
  <c r="H140" i="12"/>
  <c r="H141" i="12" s="1"/>
  <c r="D187" i="12"/>
  <c r="E421" i="13" a="1"/>
  <c r="E421" i="13" s="1"/>
  <c r="F416" i="13" a="1"/>
  <c r="F416" i="13" s="1"/>
  <c r="F443" i="13" s="1"/>
  <c r="F180" i="12"/>
  <c r="F182" i="12" s="1"/>
  <c r="F184" i="12" s="1"/>
  <c r="F422" i="13" s="1" a="1"/>
  <c r="F422" i="13" s="1"/>
  <c r="DZ20" i="9" a="1"/>
  <c r="DZ20" i="9" s="1"/>
  <c r="H152" i="12"/>
  <c r="H353" i="13" s="1" a="1"/>
  <c r="H353" i="13" s="1"/>
  <c r="O622" i="13" a="1"/>
  <c r="O622" i="13" s="1"/>
  <c r="O649" i="13" s="1"/>
  <c r="O265" i="12"/>
  <c r="O627" i="13" s="1" a="1"/>
  <c r="O627" i="13" s="1"/>
  <c r="O270" i="12"/>
  <c r="M622" i="13" a="1"/>
  <c r="M622" i="13" s="1"/>
  <c r="M649" i="13" s="1"/>
  <c r="M265" i="12"/>
  <c r="M627" i="13" s="1" a="1"/>
  <c r="M627" i="13" s="1"/>
  <c r="M270" i="12"/>
  <c r="M262" i="12" a="1"/>
  <c r="M262" i="12" s="1"/>
  <c r="E262" i="12" a="1"/>
  <c r="E262" i="12" s="1"/>
  <c r="L262" i="12" a="1"/>
  <c r="L262" i="12" s="1"/>
  <c r="D262" i="12" a="1"/>
  <c r="D262" i="12" s="1"/>
  <c r="K262" i="12" a="1"/>
  <c r="K262" i="12" s="1"/>
  <c r="J262" i="12" a="1"/>
  <c r="J262" i="12" s="1"/>
  <c r="I262" i="12" a="1"/>
  <c r="I262" i="12" s="1"/>
  <c r="H262" i="12" a="1"/>
  <c r="H262" i="12" s="1"/>
  <c r="O262" i="12" a="1"/>
  <c r="O262" i="12" s="1"/>
  <c r="G262" i="12" a="1"/>
  <c r="G262" i="12" s="1"/>
  <c r="N262" i="12" a="1"/>
  <c r="N262" i="12" s="1"/>
  <c r="F262" i="12" a="1"/>
  <c r="F262" i="12" s="1"/>
  <c r="H270" i="12"/>
  <c r="H622" i="13" a="1"/>
  <c r="H622" i="13" s="1"/>
  <c r="H649" i="13" s="1"/>
  <c r="H265" i="12"/>
  <c r="H627" i="13" s="1" a="1"/>
  <c r="H627" i="13" s="1"/>
  <c r="I622" i="13" a="1"/>
  <c r="I622" i="13" s="1"/>
  <c r="I649" i="13" s="1"/>
  <c r="I265" i="12"/>
  <c r="I627" i="13" s="1" a="1"/>
  <c r="I627" i="13" s="1"/>
  <c r="I270" i="12"/>
  <c r="G622" i="13" a="1"/>
  <c r="G622" i="13" s="1"/>
  <c r="G649" i="13" s="1"/>
  <c r="G265" i="12"/>
  <c r="G627" i="13" s="1" a="1"/>
  <c r="G627" i="13" s="1"/>
  <c r="G270" i="12"/>
  <c r="I249" i="12" a="1"/>
  <c r="I249" i="12" s="1"/>
  <c r="H249" i="12" a="1"/>
  <c r="H249" i="12" s="1"/>
  <c r="O249" i="12" a="1"/>
  <c r="O249" i="12" s="1"/>
  <c r="G249" i="12" a="1"/>
  <c r="G249" i="12" s="1"/>
  <c r="N249" i="12" a="1"/>
  <c r="N249" i="12" s="1"/>
  <c r="F249" i="12" a="1"/>
  <c r="F249" i="12" s="1"/>
  <c r="M249" i="12" a="1"/>
  <c r="M249" i="12" s="1"/>
  <c r="E249" i="12" a="1"/>
  <c r="E249" i="12" s="1"/>
  <c r="L249" i="12" a="1"/>
  <c r="L249" i="12" s="1"/>
  <c r="D249" i="12" a="1"/>
  <c r="D249" i="12" s="1"/>
  <c r="K249" i="12" a="1"/>
  <c r="K249" i="12" s="1"/>
  <c r="J249" i="12" a="1"/>
  <c r="J249" i="12" s="1"/>
  <c r="J622" i="13" a="1"/>
  <c r="J622" i="13" s="1"/>
  <c r="J649" i="13" s="1"/>
  <c r="J270" i="12"/>
  <c r="J265" i="12"/>
  <c r="J627" i="13" s="1" a="1"/>
  <c r="J627" i="13" s="1"/>
  <c r="K622" i="13" a="1"/>
  <c r="K622" i="13" s="1"/>
  <c r="K649" i="13" s="1"/>
  <c r="K270" i="12"/>
  <c r="K265" i="12"/>
  <c r="K627" i="13" s="1" a="1"/>
  <c r="K627" i="13" s="1"/>
  <c r="I261" i="12" a="1"/>
  <c r="I261" i="12" s="1"/>
  <c r="I623" i="13" s="1" a="1"/>
  <c r="I623" i="13" s="1"/>
  <c r="H261" i="12" a="1"/>
  <c r="H261" i="12" s="1"/>
  <c r="H623" i="13" s="1" a="1"/>
  <c r="H623" i="13" s="1"/>
  <c r="O261" i="12" a="1"/>
  <c r="O261" i="12" s="1"/>
  <c r="O623" i="13" s="1" a="1"/>
  <c r="O623" i="13" s="1"/>
  <c r="G261" i="12" a="1"/>
  <c r="G261" i="12" s="1"/>
  <c r="G623" i="13" s="1" a="1"/>
  <c r="G623" i="13" s="1"/>
  <c r="N261" i="12" a="1"/>
  <c r="N261" i="12" s="1"/>
  <c r="N623" i="13" s="1" a="1"/>
  <c r="N623" i="13" s="1"/>
  <c r="F261" i="12" a="1"/>
  <c r="F261" i="12" s="1"/>
  <c r="F623" i="13" s="1" a="1"/>
  <c r="F623" i="13" s="1"/>
  <c r="M261" i="12" a="1"/>
  <c r="M261" i="12" s="1"/>
  <c r="M623" i="13" s="1" a="1"/>
  <c r="M623" i="13" s="1"/>
  <c r="E261" i="12" a="1"/>
  <c r="E261" i="12" s="1"/>
  <c r="E623" i="13" s="1" a="1"/>
  <c r="E623" i="13" s="1"/>
  <c r="L261" i="12" a="1"/>
  <c r="L261" i="12" s="1"/>
  <c r="L623" i="13" s="1" a="1"/>
  <c r="L623" i="13" s="1"/>
  <c r="D261" i="12" a="1"/>
  <c r="D261" i="12" s="1"/>
  <c r="D623" i="13" s="1" a="1"/>
  <c r="D623" i="13" s="1"/>
  <c r="K261" i="12" a="1"/>
  <c r="K261" i="12" s="1"/>
  <c r="K623" i="13" s="1" a="1"/>
  <c r="K623" i="13" s="1"/>
  <c r="J261" i="12" a="1"/>
  <c r="J261" i="12" s="1"/>
  <c r="J623" i="13" s="1" a="1"/>
  <c r="J623" i="13" s="1"/>
  <c r="F622" i="13" a="1"/>
  <c r="F622" i="13" s="1"/>
  <c r="F649" i="13" s="1"/>
  <c r="F265" i="12"/>
  <c r="F627" i="13" s="1" a="1"/>
  <c r="F627" i="13" s="1"/>
  <c r="F270" i="12"/>
  <c r="D622" i="13" a="1"/>
  <c r="D622" i="13" s="1"/>
  <c r="D649" i="13" s="1"/>
  <c r="D265" i="12"/>
  <c r="D627" i="13" s="1" a="1"/>
  <c r="D627" i="13" s="1"/>
  <c r="D270" i="12"/>
  <c r="E622" i="13" a="1"/>
  <c r="E622" i="13" s="1"/>
  <c r="E649" i="13" s="1"/>
  <c r="E265" i="12"/>
  <c r="E627" i="13" s="1" a="1"/>
  <c r="E627" i="13" s="1"/>
  <c r="E270" i="12"/>
  <c r="M273" i="12" a="1"/>
  <c r="M273" i="12" s="1"/>
  <c r="E273" i="12" a="1"/>
  <c r="E273" i="12" s="1"/>
  <c r="L273" i="12" a="1"/>
  <c r="L273" i="12" s="1"/>
  <c r="D273" i="12" a="1"/>
  <c r="D273" i="12" s="1"/>
  <c r="K273" i="12" a="1"/>
  <c r="K273" i="12" s="1"/>
  <c r="J273" i="12" a="1"/>
  <c r="J273" i="12" s="1"/>
  <c r="I273" i="12" a="1"/>
  <c r="I273" i="12" s="1"/>
  <c r="H273" i="12" a="1"/>
  <c r="H273" i="12" s="1"/>
  <c r="O273" i="12" a="1"/>
  <c r="O273" i="12" s="1"/>
  <c r="G273" i="12" a="1"/>
  <c r="G273" i="12" s="1"/>
  <c r="F273" i="12" a="1"/>
  <c r="F273" i="12" s="1"/>
  <c r="N273" i="12" a="1"/>
  <c r="N273" i="12" s="1"/>
  <c r="N622" i="13" a="1"/>
  <c r="N622" i="13" s="1"/>
  <c r="N649" i="13" s="1"/>
  <c r="N265" i="12"/>
  <c r="N627" i="13" s="1" a="1"/>
  <c r="N627" i="13" s="1"/>
  <c r="N270" i="12"/>
  <c r="L622" i="13" a="1"/>
  <c r="L622" i="13" s="1"/>
  <c r="L649" i="13" s="1"/>
  <c r="L265" i="12"/>
  <c r="L627" i="13" s="1" a="1"/>
  <c r="L627" i="13" s="1"/>
  <c r="L270" i="12"/>
  <c r="I146" i="12" a="1"/>
  <c r="I146" i="12" s="1"/>
  <c r="I152" i="12" s="1"/>
  <c r="G168" i="12"/>
  <c r="G170" i="12" s="1"/>
  <c r="G388" i="13" s="1" a="1"/>
  <c r="G388" i="13" s="1"/>
  <c r="HI22" i="9" a="1"/>
  <c r="HI22" i="9" s="1"/>
  <c r="HJ22" i="9" s="1"/>
  <c r="H157" i="12"/>
  <c r="I143" i="12"/>
  <c r="I138" i="12"/>
  <c r="I319" i="13" s="1" a="1"/>
  <c r="I319" i="13" s="1"/>
  <c r="H160" i="12" a="1"/>
  <c r="H160" i="12" s="1"/>
  <c r="H382" i="13" s="1" a="1"/>
  <c r="H382" i="13" s="1"/>
  <c r="H409" i="13" s="1"/>
  <c r="F188" i="12" a="1"/>
  <c r="F188" i="12" s="1"/>
  <c r="F450" i="13" s="1" a="1"/>
  <c r="F450" i="13" s="1"/>
  <c r="F477" i="13" s="1"/>
  <c r="G416" i="13" a="1"/>
  <c r="G416" i="13" s="1"/>
  <c r="G443" i="13" s="1"/>
  <c r="G185" i="12"/>
  <c r="G180" i="12"/>
  <c r="G421" i="13" s="1" a="1"/>
  <c r="G421" i="13" s="1"/>
  <c r="DZ21" i="9" a="1"/>
  <c r="DZ21" i="9" s="1"/>
  <c r="I148" i="12" a="1"/>
  <c r="I148" i="12" s="1"/>
  <c r="I349" i="13" s="1" a="1"/>
  <c r="I349" i="13" s="1"/>
  <c r="DV21" i="9" s="1" a="1"/>
  <c r="DV21" i="9" s="1"/>
  <c r="D173" i="12"/>
  <c r="D386" i="13" a="1"/>
  <c r="D386" i="13" s="1"/>
  <c r="H162" i="12" a="1"/>
  <c r="H162" i="12" s="1"/>
  <c r="H383" i="13" s="1" a="1"/>
  <c r="H383" i="13" s="1"/>
  <c r="DC22" i="9" s="1" a="1"/>
  <c r="DC22" i="9" s="1"/>
  <c r="BU24" i="9" a="1"/>
  <c r="BU24" i="9" s="1"/>
  <c r="G353" i="13" a="1"/>
  <c r="G353" i="13" s="1"/>
  <c r="G154" i="12"/>
  <c r="G176" i="12" a="1"/>
  <c r="G176" i="12" s="1"/>
  <c r="G417" i="13" s="1" a="1"/>
  <c r="G417" i="13" s="1"/>
  <c r="CJ23" i="9" s="1" a="1"/>
  <c r="CJ23" i="9" s="1"/>
  <c r="CN23" i="9" a="1"/>
  <c r="CN23" i="9" s="1"/>
  <c r="J134" i="12" a="1"/>
  <c r="J134" i="12" s="1"/>
  <c r="J315" i="13" s="1" a="1"/>
  <c r="J315" i="13" s="1"/>
  <c r="EO20" i="9" s="1" a="1"/>
  <c r="EO20" i="9" s="1"/>
  <c r="ES20" i="9" a="1"/>
  <c r="ES20" i="9" s="1"/>
  <c r="L47" i="12"/>
  <c r="E216" i="12" a="1"/>
  <c r="E216" i="12" s="1"/>
  <c r="AI26" i="9" a="1"/>
  <c r="AI26" i="9" s="1"/>
  <c r="D35" i="24" a="1"/>
  <c r="D35" i="24" s="1"/>
  <c r="G188" i="12" a="1"/>
  <c r="G188" i="12" s="1"/>
  <c r="D454" i="13" a="1"/>
  <c r="D454" i="13" s="1"/>
  <c r="D201" i="12"/>
  <c r="L106" i="12" a="1"/>
  <c r="L106" i="12" s="1"/>
  <c r="L247" i="13" s="1" a="1"/>
  <c r="L247" i="13" s="1"/>
  <c r="GA18" i="9" s="1" a="1"/>
  <c r="GA18" i="9" s="1"/>
  <c r="FL18" i="9" a="1"/>
  <c r="FL18" i="9" s="1"/>
  <c r="L104" i="12" a="1"/>
  <c r="L104" i="12" s="1"/>
  <c r="L212" i="13" a="1"/>
  <c r="L212" i="13" s="1"/>
  <c r="L239" i="13" s="1"/>
  <c r="L96" i="12"/>
  <c r="L101" i="12"/>
  <c r="F169" i="12"/>
  <c r="K217" i="13" a="1"/>
  <c r="K217" i="13" s="1"/>
  <c r="K98" i="12"/>
  <c r="K100" i="12" s="1"/>
  <c r="K218" i="13" s="1" a="1"/>
  <c r="K218" i="13" s="1"/>
  <c r="H142" i="12"/>
  <c r="H320" i="13" s="1" a="1"/>
  <c r="H320" i="13" s="1"/>
  <c r="E196" i="12"/>
  <c r="E198" i="12" s="1"/>
  <c r="E456" i="13" s="1" a="1"/>
  <c r="E456" i="13" s="1"/>
  <c r="E455" i="13" a="1"/>
  <c r="E455" i="13" s="1"/>
  <c r="GE17" i="9" a="1"/>
  <c r="GE17" i="9" s="1"/>
  <c r="M92" i="12" a="1"/>
  <c r="M92" i="12" s="1"/>
  <c r="M213" i="13" s="1" a="1"/>
  <c r="M213" i="13" s="1"/>
  <c r="GT17" i="9" s="1" a="1"/>
  <c r="GT17" i="9" s="1"/>
  <c r="M90" i="12" a="1"/>
  <c r="M90" i="12" s="1"/>
  <c r="H250" i="13" a="1"/>
  <c r="H250" i="13" s="1"/>
  <c r="H117" i="12"/>
  <c r="J251" i="13" a="1"/>
  <c r="J251" i="13" s="1"/>
  <c r="J112" i="12"/>
  <c r="J114" i="12" s="1"/>
  <c r="J252" i="13" s="1" a="1"/>
  <c r="J252" i="13" s="1"/>
  <c r="J126" i="12"/>
  <c r="J128" i="12" s="1"/>
  <c r="J286" i="13" s="1" a="1"/>
  <c r="J286" i="13" s="1"/>
  <c r="J285" i="13" a="1"/>
  <c r="J285" i="13" s="1"/>
  <c r="K120" i="12" a="1"/>
  <c r="K120" i="12" s="1"/>
  <c r="K281" i="13" s="1" a="1"/>
  <c r="K281" i="13" s="1"/>
  <c r="FH19" i="9" s="1" a="1"/>
  <c r="FH19" i="9" s="1"/>
  <c r="E204" i="12" a="1"/>
  <c r="E204" i="12" s="1"/>
  <c r="E485" i="13" s="1" a="1"/>
  <c r="E485" i="13" s="1"/>
  <c r="AX25" i="9" s="1" a="1"/>
  <c r="AX25" i="9" s="1"/>
  <c r="I113" i="12"/>
  <c r="I114" i="12"/>
  <c r="I252" i="13" s="1" a="1"/>
  <c r="I252" i="13" s="1"/>
  <c r="K246" i="13" a="1"/>
  <c r="K246" i="13" s="1"/>
  <c r="K273" i="13" s="1"/>
  <c r="K110" i="12"/>
  <c r="K115" i="12"/>
  <c r="D218" i="12" a="1"/>
  <c r="D218" i="12" s="1"/>
  <c r="D519" i="13" s="1" a="1"/>
  <c r="D519" i="13" s="1"/>
  <c r="AE26" i="9" s="1" a="1"/>
  <c r="AE26" i="9" s="1"/>
  <c r="FL19" i="9" a="1"/>
  <c r="FL19" i="9" s="1"/>
  <c r="L118" i="12" a="1"/>
  <c r="L118" i="12" s="1"/>
  <c r="BB25" i="9" a="1"/>
  <c r="BB25" i="9" s="1"/>
  <c r="F202" i="12" a="1"/>
  <c r="F202" i="12" s="1"/>
  <c r="K71" i="12"/>
  <c r="K75" i="12" s="1"/>
  <c r="A230" i="12" a="1"/>
  <c r="A230" i="12" s="1"/>
  <c r="C37" i="28" a="1"/>
  <c r="C37" i="28" s="1"/>
  <c r="A549" i="13" a="1"/>
  <c r="A549" i="13" s="1"/>
  <c r="F352" i="13" a="1"/>
  <c r="F352" i="13" s="1"/>
  <c r="F159" i="12"/>
  <c r="J314" i="13" a="1"/>
  <c r="J314" i="13" s="1"/>
  <c r="J341" i="13" s="1"/>
  <c r="J138" i="12"/>
  <c r="J143" i="12"/>
  <c r="K280" i="13" a="1"/>
  <c r="K280" i="13" s="1"/>
  <c r="K307" i="13" s="1"/>
  <c r="K129" i="12"/>
  <c r="K124" i="12"/>
  <c r="H131" i="12"/>
  <c r="H284" i="13" a="1"/>
  <c r="H284" i="13" s="1"/>
  <c r="IB23" i="9" a="1"/>
  <c r="IB23" i="9" s="1"/>
  <c r="IC23" i="9" s="1"/>
  <c r="F190" i="12" a="1"/>
  <c r="F190" i="12" s="1"/>
  <c r="F451" i="13" s="1" a="1"/>
  <c r="F451" i="13" s="1"/>
  <c r="BQ24" i="9" s="1" a="1"/>
  <c r="BQ24" i="9" s="1"/>
  <c r="E213" i="12"/>
  <c r="E484" i="13" a="1"/>
  <c r="E484" i="13" s="1"/>
  <c r="E511" i="13" s="1"/>
  <c r="E208" i="12"/>
  <c r="E183" i="12"/>
  <c r="J99" i="12"/>
  <c r="E386" i="13" a="1"/>
  <c r="E386" i="13" s="1"/>
  <c r="E173" i="12"/>
  <c r="I127" i="12"/>
  <c r="I103" i="12"/>
  <c r="I218" i="13" a="1"/>
  <c r="I218" i="13" s="1"/>
  <c r="M43" i="12"/>
  <c r="M47" i="12" s="1"/>
  <c r="L57" i="12"/>
  <c r="L61" i="12" s="1"/>
  <c r="J85" i="12"/>
  <c r="J182" i="13" s="1" a="1"/>
  <c r="J182" i="13" s="1"/>
  <c r="N42" i="12"/>
  <c r="N44" i="12" s="1"/>
  <c r="N82" i="13" s="1" a="1"/>
  <c r="N82" i="13" s="1"/>
  <c r="N81" i="13" a="1"/>
  <c r="N81" i="13" s="1"/>
  <c r="J148" i="13" a="1"/>
  <c r="J148" i="13" s="1"/>
  <c r="J75" i="12"/>
  <c r="O28" i="12"/>
  <c r="O30" i="12" s="1"/>
  <c r="O48" i="13" s="1" a="1"/>
  <c r="O48" i="13" s="1"/>
  <c r="O47" i="13" a="1"/>
  <c r="O47" i="13" s="1"/>
  <c r="O50" i="12" a="1"/>
  <c r="O50" i="12" s="1"/>
  <c r="O111" i="13" s="1" a="1"/>
  <c r="O111" i="13" s="1"/>
  <c r="IF14" i="9" s="1" a="1"/>
  <c r="IF14" i="9" s="1"/>
  <c r="HQ14" i="9" a="1"/>
  <c r="HQ14" i="9" s="1"/>
  <c r="O48" i="12" a="1"/>
  <c r="O48" i="12" s="1"/>
  <c r="L87" i="12"/>
  <c r="L178" i="13" a="1"/>
  <c r="L178" i="13" s="1"/>
  <c r="L205" i="13" s="1"/>
  <c r="L82" i="12"/>
  <c r="N29" i="12"/>
  <c r="BU22" i="9" a="1"/>
  <c r="BU22" i="9" s="1"/>
  <c r="M144" i="13" a="1"/>
  <c r="M144" i="13" s="1"/>
  <c r="M171" i="13" s="1"/>
  <c r="M73" i="12"/>
  <c r="M68" i="12"/>
  <c r="M78" i="12" a="1"/>
  <c r="M78" i="12" s="1"/>
  <c r="M179" i="13" s="1" a="1"/>
  <c r="M179" i="13" s="1"/>
  <c r="GT16" i="9" s="1" a="1"/>
  <c r="GT16" i="9" s="1"/>
  <c r="GE16" i="9" a="1"/>
  <c r="GE16" i="9" s="1"/>
  <c r="M76" i="12" a="1"/>
  <c r="M76" i="12" s="1"/>
  <c r="O40" i="12"/>
  <c r="O45" i="12"/>
  <c r="O76" i="13" a="1"/>
  <c r="O76" i="13" s="1"/>
  <c r="O103" i="13" s="1"/>
  <c r="M33" i="12"/>
  <c r="M48" i="13" a="1"/>
  <c r="M48" i="13" s="1"/>
  <c r="L70" i="12"/>
  <c r="L72" i="12" s="1"/>
  <c r="L150" i="13" s="1" a="1"/>
  <c r="L150" i="13" s="1"/>
  <c r="L149" i="13" a="1"/>
  <c r="L149" i="13" s="1"/>
  <c r="K183" i="13" a="1"/>
  <c r="K183" i="13" s="1"/>
  <c r="K84" i="12"/>
  <c r="I182" i="13" a="1"/>
  <c r="I182" i="13" s="1"/>
  <c r="I89" i="12"/>
  <c r="N59" i="12"/>
  <c r="N54" i="12"/>
  <c r="N110" i="13" a="1"/>
  <c r="N110" i="13" s="1"/>
  <c r="N137" i="13" s="1"/>
  <c r="K61" i="12"/>
  <c r="K116" i="13" a="1"/>
  <c r="K116" i="13" s="1"/>
  <c r="M56" i="12"/>
  <c r="M58" i="12" s="1"/>
  <c r="M116" i="13" s="1" a="1"/>
  <c r="M116" i="13" s="1"/>
  <c r="M115" i="13" a="1"/>
  <c r="M115" i="13" s="1"/>
  <c r="GX15" i="9" a="1"/>
  <c r="GX15" i="9" s="1"/>
  <c r="N64" i="12" a="1"/>
  <c r="N64" i="12" s="1"/>
  <c r="N145" i="13" s="1" a="1"/>
  <c r="N145" i="13" s="1"/>
  <c r="HM15" i="9" s="1" a="1"/>
  <c r="HM15" i="9" s="1"/>
  <c r="N62" i="12" a="1"/>
  <c r="N62" i="12" s="1"/>
  <c r="B458" i="13"/>
  <c r="B459" i="13" s="1"/>
  <c r="B460" i="13" s="1"/>
  <c r="B461" i="13" s="1"/>
  <c r="B462" i="13" s="1"/>
  <c r="B463" i="13" s="1"/>
  <c r="B464" i="13" s="1"/>
  <c r="B465" i="13" s="1"/>
  <c r="B466" i="13" s="1"/>
  <c r="B467" i="13" s="1"/>
  <c r="B468" i="13" s="1"/>
  <c r="B469" i="13" s="1"/>
  <c r="B470" i="13" s="1"/>
  <c r="B454" i="13"/>
  <c r="B455" i="13" s="1"/>
  <c r="B456" i="13" s="1"/>
  <c r="B457" i="13" s="1"/>
  <c r="B486" i="13"/>
  <c r="B487" i="13" s="1"/>
  <c r="B483" i="13"/>
  <c r="B484" i="13" s="1"/>
  <c r="B485" i="13" s="1"/>
  <c r="B409" i="13"/>
  <c r="B410" i="13" s="1"/>
  <c r="B411" i="13" s="1"/>
  <c r="B412" i="13" s="1"/>
  <c r="B404" i="13"/>
  <c r="B405" i="13" s="1"/>
  <c r="B406" i="13" s="1"/>
  <c r="B407" i="13" s="1"/>
  <c r="B515" i="13" a="1"/>
  <c r="B515" i="13" s="1"/>
  <c r="B516" i="13" s="1"/>
  <c r="B442" i="13"/>
  <c r="B437" i="13"/>
  <c r="AA411" i="10"/>
  <c r="AA398" i="10"/>
  <c r="AA399" i="10" s="1"/>
  <c r="AA386" i="10"/>
  <c r="AA373" i="10"/>
  <c r="B216" i="12" a="1"/>
  <c r="B216" i="12" s="1"/>
  <c r="R287" i="12"/>
  <c r="R288" i="12"/>
  <c r="R300" i="12"/>
  <c r="R276" i="12"/>
  <c r="R275" i="12"/>
  <c r="R263" i="12"/>
  <c r="M10" i="7"/>
  <c r="O9" i="7"/>
  <c r="P9" i="7" s="1"/>
  <c r="N9" i="7"/>
  <c r="S12" i="23" l="1" a="1"/>
  <c r="S12" i="23" s="1"/>
  <c r="T12" i="23" s="1"/>
  <c r="BA36" i="19"/>
  <c r="S15" i="23" a="1"/>
  <c r="S15" i="23" s="1"/>
  <c r="T15" i="23" s="1"/>
  <c r="BA81" i="19"/>
  <c r="S17" i="23" a="1"/>
  <c r="S17" i="23" s="1"/>
  <c r="T17" i="23" s="1"/>
  <c r="BA111" i="19"/>
  <c r="S11" i="23" a="1"/>
  <c r="S11" i="23" s="1"/>
  <c r="BA21" i="19"/>
  <c r="BA141" i="19"/>
  <c r="S19" i="23" a="1"/>
  <c r="S19" i="23" s="1"/>
  <c r="T19" i="23" s="1"/>
  <c r="S14" i="23" a="1"/>
  <c r="S14" i="23" s="1"/>
  <c r="T14" i="23" s="1"/>
  <c r="BA66" i="19"/>
  <c r="BA126" i="19"/>
  <c r="S18" i="23" a="1"/>
  <c r="S18" i="23" s="1"/>
  <c r="T18" i="23" s="1"/>
  <c r="S16" i="23" a="1"/>
  <c r="S16" i="23" s="1"/>
  <c r="BA96" i="19"/>
  <c r="S13" i="23" a="1"/>
  <c r="S13" i="23" s="1"/>
  <c r="T13" i="23" s="1"/>
  <c r="BA51" i="19"/>
  <c r="BA156" i="19"/>
  <c r="S20" i="23" a="1"/>
  <c r="S20" i="23" s="1"/>
  <c r="T20" i="23" s="1"/>
  <c r="G182" i="12"/>
  <c r="G184" i="12" s="1"/>
  <c r="G422" i="13" s="1" a="1"/>
  <c r="G422" i="13" s="1"/>
  <c r="F421" i="13" a="1"/>
  <c r="F421" i="13" s="1"/>
  <c r="H154" i="12"/>
  <c r="H155" i="12" s="1"/>
  <c r="I157" i="12"/>
  <c r="I348" i="13" a="1"/>
  <c r="I348" i="13" s="1"/>
  <c r="I375" i="13" s="1"/>
  <c r="I140" i="12"/>
  <c r="I142" i="12" s="1"/>
  <c r="I320" i="13" s="1" a="1"/>
  <c r="I320" i="13" s="1"/>
  <c r="L114" i="13" a="1"/>
  <c r="L114" i="13" s="1"/>
  <c r="H166" i="12"/>
  <c r="H168" i="12" s="1"/>
  <c r="H170" i="12" s="1"/>
  <c r="H388" i="13" s="1" a="1"/>
  <c r="H388" i="13" s="1"/>
  <c r="H171" i="12"/>
  <c r="M287" i="12" a="1"/>
  <c r="M287" i="12" s="1"/>
  <c r="E287" i="12" a="1"/>
  <c r="E287" i="12" s="1"/>
  <c r="L287" i="12" a="1"/>
  <c r="L287" i="12" s="1"/>
  <c r="D287" i="12" a="1"/>
  <c r="D287" i="12" s="1"/>
  <c r="K287" i="12" a="1"/>
  <c r="K287" i="12" s="1"/>
  <c r="J287" i="12" a="1"/>
  <c r="J287" i="12" s="1"/>
  <c r="I287" i="12" a="1"/>
  <c r="I287" i="12" s="1"/>
  <c r="H287" i="12" a="1"/>
  <c r="H287" i="12" s="1"/>
  <c r="O287" i="12" a="1"/>
  <c r="O287" i="12" s="1"/>
  <c r="G287" i="12" a="1"/>
  <c r="G287" i="12" s="1"/>
  <c r="N287" i="12" a="1"/>
  <c r="N287" i="12" s="1"/>
  <c r="F287" i="12" a="1"/>
  <c r="F287" i="12" s="1"/>
  <c r="J656" i="13" a="1"/>
  <c r="J656" i="13" s="1"/>
  <c r="J683" i="13" s="1"/>
  <c r="J284" i="12"/>
  <c r="J279" i="12"/>
  <c r="J661" i="13" s="1" a="1"/>
  <c r="J661" i="13" s="1"/>
  <c r="N656" i="13" a="1"/>
  <c r="N656" i="13" s="1"/>
  <c r="N683" i="13" s="1"/>
  <c r="N279" i="12"/>
  <c r="N661" i="13" s="1" a="1"/>
  <c r="N661" i="13" s="1"/>
  <c r="N284" i="12"/>
  <c r="D279" i="12"/>
  <c r="D661" i="13" s="1" a="1"/>
  <c r="D661" i="13" s="1"/>
  <c r="D656" i="13" a="1"/>
  <c r="D656" i="13" s="1"/>
  <c r="D683" i="13" s="1"/>
  <c r="D284" i="12"/>
  <c r="F656" i="13" a="1"/>
  <c r="F656" i="13" s="1"/>
  <c r="F683" i="13" s="1"/>
  <c r="F279" i="12"/>
  <c r="F661" i="13" s="1" a="1"/>
  <c r="F661" i="13" s="1"/>
  <c r="F284" i="12"/>
  <c r="L656" i="13" a="1"/>
  <c r="L656" i="13" s="1"/>
  <c r="L683" i="13" s="1"/>
  <c r="L279" i="12"/>
  <c r="L661" i="13" s="1" a="1"/>
  <c r="L661" i="13" s="1"/>
  <c r="L284" i="12"/>
  <c r="K656" i="13" a="1"/>
  <c r="K656" i="13" s="1"/>
  <c r="K683" i="13" s="1"/>
  <c r="K284" i="12"/>
  <c r="K279" i="12"/>
  <c r="K661" i="13" s="1" a="1"/>
  <c r="K661" i="13" s="1"/>
  <c r="G656" i="13" a="1"/>
  <c r="G656" i="13" s="1"/>
  <c r="G683" i="13" s="1"/>
  <c r="G279" i="12"/>
  <c r="G661" i="13" s="1" a="1"/>
  <c r="G661" i="13" s="1"/>
  <c r="G284" i="12"/>
  <c r="E656" i="13" a="1"/>
  <c r="E656" i="13" s="1"/>
  <c r="E683" i="13" s="1"/>
  <c r="E279" i="12"/>
  <c r="E661" i="13" s="1" a="1"/>
  <c r="E661" i="13" s="1"/>
  <c r="E284" i="12"/>
  <c r="O656" i="13" a="1"/>
  <c r="O656" i="13" s="1"/>
  <c r="O683" i="13" s="1"/>
  <c r="O279" i="12"/>
  <c r="O661" i="13" s="1" a="1"/>
  <c r="O661" i="13" s="1"/>
  <c r="O284" i="12"/>
  <c r="M656" i="13" a="1"/>
  <c r="M656" i="13" s="1"/>
  <c r="M683" i="13" s="1"/>
  <c r="M279" i="12"/>
  <c r="M661" i="13" s="1" a="1"/>
  <c r="M661" i="13" s="1"/>
  <c r="M284" i="12"/>
  <c r="I263" i="12" a="1"/>
  <c r="I263" i="12" s="1"/>
  <c r="H263" i="12" a="1"/>
  <c r="H263" i="12" s="1"/>
  <c r="O263" i="12" a="1"/>
  <c r="O263" i="12" s="1"/>
  <c r="G263" i="12" a="1"/>
  <c r="G263" i="12" s="1"/>
  <c r="N263" i="12" a="1"/>
  <c r="N263" i="12" s="1"/>
  <c r="F263" i="12" a="1"/>
  <c r="F263" i="12" s="1"/>
  <c r="M263" i="12" a="1"/>
  <c r="M263" i="12" s="1"/>
  <c r="E263" i="12" a="1"/>
  <c r="E263" i="12" s="1"/>
  <c r="L263" i="12" a="1"/>
  <c r="L263" i="12" s="1"/>
  <c r="D263" i="12" a="1"/>
  <c r="D263" i="12" s="1"/>
  <c r="K263" i="12" a="1"/>
  <c r="K263" i="12" s="1"/>
  <c r="J263" i="12" a="1"/>
  <c r="J263" i="12" s="1"/>
  <c r="H284" i="12"/>
  <c r="H656" i="13" a="1"/>
  <c r="H656" i="13" s="1"/>
  <c r="H683" i="13" s="1"/>
  <c r="H279" i="12"/>
  <c r="H661" i="13" s="1" a="1"/>
  <c r="H661" i="13" s="1"/>
  <c r="I275" i="12" a="1"/>
  <c r="I275" i="12" s="1"/>
  <c r="I657" i="13" s="1" a="1"/>
  <c r="I657" i="13" s="1"/>
  <c r="H275" i="12" a="1"/>
  <c r="H275" i="12" s="1"/>
  <c r="H657" i="13" s="1" a="1"/>
  <c r="H657" i="13" s="1"/>
  <c r="O275" i="12" a="1"/>
  <c r="O275" i="12" s="1"/>
  <c r="O657" i="13" s="1" a="1"/>
  <c r="O657" i="13" s="1"/>
  <c r="G275" i="12" a="1"/>
  <c r="G275" i="12" s="1"/>
  <c r="G657" i="13" s="1" a="1"/>
  <c r="G657" i="13" s="1"/>
  <c r="N275" i="12" a="1"/>
  <c r="N275" i="12" s="1"/>
  <c r="N657" i="13" s="1" a="1"/>
  <c r="N657" i="13" s="1"/>
  <c r="F275" i="12" a="1"/>
  <c r="F275" i="12" s="1"/>
  <c r="F657" i="13" s="1" a="1"/>
  <c r="F657" i="13" s="1"/>
  <c r="M275" i="12" a="1"/>
  <c r="M275" i="12" s="1"/>
  <c r="M657" i="13" s="1" a="1"/>
  <c r="M657" i="13" s="1"/>
  <c r="E275" i="12" a="1"/>
  <c r="E275" i="12" s="1"/>
  <c r="E657" i="13" s="1" a="1"/>
  <c r="E657" i="13" s="1"/>
  <c r="L275" i="12" a="1"/>
  <c r="L275" i="12" s="1"/>
  <c r="L657" i="13" s="1" a="1"/>
  <c r="L657" i="13" s="1"/>
  <c r="D275" i="12" a="1"/>
  <c r="D275" i="12" s="1"/>
  <c r="D657" i="13" s="1" a="1"/>
  <c r="D657" i="13" s="1"/>
  <c r="K275" i="12" a="1"/>
  <c r="K275" i="12" s="1"/>
  <c r="K657" i="13" s="1" a="1"/>
  <c r="K657" i="13" s="1"/>
  <c r="J275" i="12" a="1"/>
  <c r="J275" i="12" s="1"/>
  <c r="J657" i="13" s="1" a="1"/>
  <c r="J657" i="13" s="1"/>
  <c r="M276" i="12" a="1"/>
  <c r="M276" i="12" s="1"/>
  <c r="E276" i="12" a="1"/>
  <c r="E276" i="12" s="1"/>
  <c r="L276" i="12" a="1"/>
  <c r="L276" i="12" s="1"/>
  <c r="D276" i="12" a="1"/>
  <c r="D276" i="12" s="1"/>
  <c r="K276" i="12" a="1"/>
  <c r="K276" i="12" s="1"/>
  <c r="J276" i="12" a="1"/>
  <c r="J276" i="12" s="1"/>
  <c r="I276" i="12" a="1"/>
  <c r="I276" i="12" s="1"/>
  <c r="H276" i="12" a="1"/>
  <c r="H276" i="12" s="1"/>
  <c r="O276" i="12" a="1"/>
  <c r="O276" i="12" s="1"/>
  <c r="G276" i="12" a="1"/>
  <c r="G276" i="12" s="1"/>
  <c r="N276" i="12" a="1"/>
  <c r="N276" i="12" s="1"/>
  <c r="F276" i="12" a="1"/>
  <c r="F276" i="12" s="1"/>
  <c r="G169" i="12"/>
  <c r="I656" i="13" a="1"/>
  <c r="I656" i="13" s="1"/>
  <c r="I683" i="13" s="1"/>
  <c r="I284" i="12"/>
  <c r="I279" i="12"/>
  <c r="I661" i="13" s="1" a="1"/>
  <c r="I661" i="13" s="1"/>
  <c r="J146" i="12" a="1"/>
  <c r="J146" i="12" s="1"/>
  <c r="J157" i="12" s="1"/>
  <c r="GP23" i="9" a="1"/>
  <c r="GP23" i="9" s="1"/>
  <c r="GQ23" i="9" s="1"/>
  <c r="F194" i="12"/>
  <c r="F455" i="13" s="1" a="1"/>
  <c r="F455" i="13" s="1"/>
  <c r="F199" i="12"/>
  <c r="K132" i="12" a="1"/>
  <c r="K132" i="12" s="1"/>
  <c r="K314" i="13" s="1" a="1"/>
  <c r="K314" i="13" s="1"/>
  <c r="K341" i="13" s="1"/>
  <c r="H174" i="12" a="1"/>
  <c r="H174" i="12" s="1"/>
  <c r="H180" i="12" s="1"/>
  <c r="H176" i="12" a="1"/>
  <c r="H176" i="12" s="1"/>
  <c r="H417" i="13" s="1" a="1"/>
  <c r="H417" i="13" s="1"/>
  <c r="DC23" i="9" s="1" a="1"/>
  <c r="DC23" i="9" s="1"/>
  <c r="DG23" i="9" a="1"/>
  <c r="DG23" i="9" s="1"/>
  <c r="G156" i="12"/>
  <c r="G354" i="13" s="1" a="1"/>
  <c r="G354" i="13" s="1"/>
  <c r="G155" i="12"/>
  <c r="ES21" i="9" a="1"/>
  <c r="ES21" i="9" s="1"/>
  <c r="J148" i="12" a="1"/>
  <c r="J148" i="12" s="1"/>
  <c r="J349" i="13" s="1" a="1"/>
  <c r="J349" i="13" s="1"/>
  <c r="EO21" i="9" s="1" a="1"/>
  <c r="EO21" i="9" s="1"/>
  <c r="I162" i="12" a="1"/>
  <c r="I162" i="12" s="1"/>
  <c r="I383" i="13" s="1" a="1"/>
  <c r="I383" i="13" s="1"/>
  <c r="DV22" i="9" s="1" a="1"/>
  <c r="DV22" i="9" s="1"/>
  <c r="I160" i="12" a="1"/>
  <c r="I160" i="12" s="1"/>
  <c r="I171" i="12" s="1"/>
  <c r="G190" i="12" a="1"/>
  <c r="G190" i="12" s="1"/>
  <c r="G451" i="13" s="1" a="1"/>
  <c r="G451" i="13" s="1"/>
  <c r="CJ24" i="9" s="1" a="1"/>
  <c r="CJ24" i="9" s="1"/>
  <c r="CN24" i="9" a="1"/>
  <c r="CN24" i="9" s="1"/>
  <c r="DG22" i="9" a="1"/>
  <c r="DG22" i="9" s="1"/>
  <c r="FL20" i="9" a="1"/>
  <c r="FL20" i="9" s="1"/>
  <c r="K134" i="12" a="1"/>
  <c r="K134" i="12" s="1"/>
  <c r="K315" i="13" s="1" a="1"/>
  <c r="K315" i="13" s="1"/>
  <c r="FH20" i="9" s="1" a="1"/>
  <c r="FH20" i="9" s="1"/>
  <c r="M80" i="13" a="1"/>
  <c r="M80" i="13" s="1"/>
  <c r="K148" i="13" a="1"/>
  <c r="K148" i="13" s="1"/>
  <c r="J127" i="12"/>
  <c r="J131" i="12" s="1"/>
  <c r="J89" i="12"/>
  <c r="D36" i="24" a="1"/>
  <c r="D36" i="24" s="1"/>
  <c r="E187" i="12"/>
  <c r="E420" i="13" a="1"/>
  <c r="E420" i="13" s="1"/>
  <c r="I154" i="12"/>
  <c r="I156" i="12" s="1"/>
  <c r="I354" i="13" s="1" a="1"/>
  <c r="I354" i="13" s="1"/>
  <c r="I353" i="13" a="1"/>
  <c r="I353" i="13" s="1"/>
  <c r="GX17" i="9" a="1"/>
  <c r="GX17" i="9" s="1"/>
  <c r="N92" i="12" a="1"/>
  <c r="N92" i="12" s="1"/>
  <c r="N213" i="13" s="1" a="1"/>
  <c r="N213" i="13" s="1"/>
  <c r="HM17" i="9" s="1" a="1"/>
  <c r="HM17" i="9" s="1"/>
  <c r="N90" i="12" a="1"/>
  <c r="N90" i="12" s="1"/>
  <c r="K99" i="12"/>
  <c r="F183" i="12"/>
  <c r="F204" i="12" a="1"/>
  <c r="F204" i="12" s="1"/>
  <c r="F485" i="13" s="1" a="1"/>
  <c r="F485" i="13" s="1"/>
  <c r="BQ25" i="9" s="1" a="1"/>
  <c r="BQ25" i="9" s="1"/>
  <c r="A244" i="12" a="1"/>
  <c r="A244" i="12" s="1"/>
  <c r="A583" i="13" a="1"/>
  <c r="A583" i="13" s="1"/>
  <c r="C38" i="28" a="1"/>
  <c r="C38" i="28" s="1"/>
  <c r="K251" i="13" a="1"/>
  <c r="K251" i="13" s="1"/>
  <c r="K112" i="12"/>
  <c r="K114" i="12" s="1"/>
  <c r="K252" i="13" s="1" a="1"/>
  <c r="K252" i="13" s="1"/>
  <c r="L120" i="12" a="1"/>
  <c r="L120" i="12" s="1"/>
  <c r="L281" i="13" s="1" a="1"/>
  <c r="L281" i="13" s="1"/>
  <c r="GA19" i="9" s="1" a="1"/>
  <c r="GA19" i="9" s="1"/>
  <c r="K285" i="13" a="1"/>
  <c r="K285" i="13" s="1"/>
  <c r="K126" i="12"/>
  <c r="K128" i="12" s="1"/>
  <c r="K286" i="13" s="1" a="1"/>
  <c r="K286" i="13" s="1"/>
  <c r="GE19" i="9" a="1"/>
  <c r="GE19" i="9" s="1"/>
  <c r="M118" i="12" a="1"/>
  <c r="M118" i="12" s="1"/>
  <c r="F484" i="13" a="1"/>
  <c r="F484" i="13" s="1"/>
  <c r="F511" i="13" s="1"/>
  <c r="F213" i="12"/>
  <c r="F208" i="12"/>
  <c r="E197" i="12"/>
  <c r="F386" i="13" a="1"/>
  <c r="F386" i="13" s="1"/>
  <c r="F173" i="12"/>
  <c r="G450" i="13" a="1"/>
  <c r="G450" i="13" s="1"/>
  <c r="G477" i="13" s="1"/>
  <c r="G199" i="12"/>
  <c r="G194" i="12"/>
  <c r="I131" i="12"/>
  <c r="I284" i="13" a="1"/>
  <c r="I284" i="13" s="1"/>
  <c r="L246" i="13" a="1"/>
  <c r="L246" i="13" s="1"/>
  <c r="L273" i="13" s="1"/>
  <c r="L115" i="12"/>
  <c r="L110" i="12"/>
  <c r="E210" i="12"/>
  <c r="E212" i="12" s="1"/>
  <c r="E490" i="13" s="1" a="1"/>
  <c r="E490" i="13" s="1"/>
  <c r="E489" i="13" a="1"/>
  <c r="E489" i="13" s="1"/>
  <c r="D232" i="12" a="1"/>
  <c r="D232" i="12" s="1"/>
  <c r="D553" i="13" s="1" a="1"/>
  <c r="D553" i="13" s="1"/>
  <c r="AE27" i="9" s="1" a="1"/>
  <c r="AE27" i="9" s="1"/>
  <c r="AI27" i="9" a="1"/>
  <c r="AI27" i="9" s="1"/>
  <c r="E230" i="12" a="1"/>
  <c r="E230" i="12" s="1"/>
  <c r="I174" i="12" a="1"/>
  <c r="I174" i="12" s="1"/>
  <c r="L280" i="13" a="1"/>
  <c r="L280" i="13" s="1"/>
  <c r="L307" i="13" s="1"/>
  <c r="L129" i="12"/>
  <c r="L124" i="12"/>
  <c r="J113" i="12"/>
  <c r="L217" i="13" a="1"/>
  <c r="L217" i="13" s="1"/>
  <c r="L98" i="12"/>
  <c r="L100" i="12" s="1"/>
  <c r="L218" i="13" s="1" a="1"/>
  <c r="L218" i="13" s="1"/>
  <c r="GE18" i="9" a="1"/>
  <c r="GE18" i="9" s="1"/>
  <c r="M106" i="12" a="1"/>
  <c r="M106" i="12" s="1"/>
  <c r="M247" i="13" s="1" a="1"/>
  <c r="M247" i="13" s="1"/>
  <c r="GT18" i="9" s="1" a="1"/>
  <c r="GT18" i="9" s="1"/>
  <c r="M104" i="12" a="1"/>
  <c r="M104" i="12" s="1"/>
  <c r="E218" i="12" a="1"/>
  <c r="E218" i="12" s="1"/>
  <c r="E519" i="13" s="1" a="1"/>
  <c r="E519" i="13" s="1"/>
  <c r="AX26" i="9" s="1" a="1"/>
  <c r="AX26" i="9" s="1"/>
  <c r="J140" i="12"/>
  <c r="J142" i="12" s="1"/>
  <c r="J320" i="13" s="1" a="1"/>
  <c r="J320" i="13" s="1"/>
  <c r="J319" i="13" a="1"/>
  <c r="J319" i="13" s="1"/>
  <c r="BB26" i="9" a="1"/>
  <c r="BB26" i="9" s="1"/>
  <c r="F216" i="12" a="1"/>
  <c r="F216" i="12" s="1"/>
  <c r="J103" i="12"/>
  <c r="J216" i="13" a="1"/>
  <c r="J216" i="13" s="1"/>
  <c r="I250" i="13" a="1"/>
  <c r="I250" i="13" s="1"/>
  <c r="I117" i="12"/>
  <c r="M101" i="12"/>
  <c r="M212" i="13" a="1"/>
  <c r="M212" i="13" s="1"/>
  <c r="M239" i="13" s="1"/>
  <c r="M96" i="12"/>
  <c r="H318" i="13" a="1"/>
  <c r="H318" i="13" s="1"/>
  <c r="H145" i="12"/>
  <c r="E227" i="12"/>
  <c r="E518" i="13" a="1"/>
  <c r="E518" i="13" s="1"/>
  <c r="E545" i="13" s="1"/>
  <c r="E222" i="12"/>
  <c r="N43" i="12"/>
  <c r="N47" i="12" s="1"/>
  <c r="M57" i="12"/>
  <c r="M61" i="12" s="1"/>
  <c r="N144" i="13" a="1"/>
  <c r="N144" i="13" s="1"/>
  <c r="N171" i="13" s="1"/>
  <c r="N68" i="12"/>
  <c r="N73" i="12"/>
  <c r="BU23" i="9" a="1"/>
  <c r="BU23" i="9" s="1"/>
  <c r="L71" i="12"/>
  <c r="O29" i="12"/>
  <c r="N33" i="12"/>
  <c r="N46" i="13" a="1"/>
  <c r="N46" i="13" s="1"/>
  <c r="N56" i="12"/>
  <c r="N115" i="13" a="1"/>
  <c r="N115" i="13" s="1"/>
  <c r="L84" i="12"/>
  <c r="L86" i="12" s="1"/>
  <c r="L184" i="13" s="1" a="1"/>
  <c r="L184" i="13" s="1"/>
  <c r="L183" i="13" a="1"/>
  <c r="L183" i="13" s="1"/>
  <c r="N78" i="12" a="1"/>
  <c r="N78" i="12" s="1"/>
  <c r="N179" i="13" s="1" a="1"/>
  <c r="N179" i="13" s="1"/>
  <c r="HM16" i="9" s="1" a="1"/>
  <c r="HM16" i="9" s="1"/>
  <c r="GX16" i="9" a="1"/>
  <c r="GX16" i="9" s="1"/>
  <c r="N76" i="12" a="1"/>
  <c r="N76" i="12" s="1"/>
  <c r="M149" i="13" a="1"/>
  <c r="M149" i="13" s="1"/>
  <c r="M70" i="12"/>
  <c r="HQ15" i="9" a="1"/>
  <c r="HQ15" i="9" s="1"/>
  <c r="O62" i="12" a="1"/>
  <c r="O62" i="12" s="1"/>
  <c r="K85" i="12"/>
  <c r="K86" i="12"/>
  <c r="K184" i="13" s="1" a="1"/>
  <c r="K184" i="13" s="1"/>
  <c r="O59" i="12"/>
  <c r="O54" i="12"/>
  <c r="O110" i="13" a="1"/>
  <c r="O110" i="13" s="1"/>
  <c r="O137" i="13" s="1"/>
  <c r="O42" i="12"/>
  <c r="O44" i="12" s="1"/>
  <c r="O82" i="13" s="1" a="1"/>
  <c r="O82" i="13" s="1"/>
  <c r="O81" i="13" a="1"/>
  <c r="O81" i="13" s="1"/>
  <c r="M178" i="13" a="1"/>
  <c r="M178" i="13" s="1"/>
  <c r="M205" i="13" s="1"/>
  <c r="M87" i="12"/>
  <c r="M82" i="12"/>
  <c r="B438" i="13"/>
  <c r="B439" i="13" s="1"/>
  <c r="B440" i="13" s="1"/>
  <c r="B441" i="13" s="1"/>
  <c r="B443" i="13"/>
  <c r="B444" i="13" s="1"/>
  <c r="B445" i="13" s="1"/>
  <c r="B446" i="13" s="1"/>
  <c r="B471" i="13"/>
  <c r="B476" i="13"/>
  <c r="B488" i="13"/>
  <c r="B489" i="13" s="1"/>
  <c r="B490" i="13" s="1"/>
  <c r="B491" i="13" s="1"/>
  <c r="B492" i="13"/>
  <c r="B493" i="13" s="1"/>
  <c r="B494" i="13" s="1"/>
  <c r="B495" i="13" s="1"/>
  <c r="B496" i="13" s="1"/>
  <c r="B497" i="13" s="1"/>
  <c r="B498" i="13" s="1"/>
  <c r="B499" i="13" s="1"/>
  <c r="B500" i="13" s="1"/>
  <c r="B501" i="13" s="1"/>
  <c r="B502" i="13" s="1"/>
  <c r="B503" i="13" s="1"/>
  <c r="B504" i="13" s="1"/>
  <c r="B549" i="13" a="1"/>
  <c r="B549" i="13" s="1"/>
  <c r="B550" i="13" s="1"/>
  <c r="B520" i="13"/>
  <c r="B521" i="13" s="1"/>
  <c r="B517" i="13"/>
  <c r="B518" i="13" s="1"/>
  <c r="B519" i="13" s="1"/>
  <c r="AA387" i="10"/>
  <c r="AA400" i="10"/>
  <c r="AA412" i="10"/>
  <c r="AA413" i="10" s="1"/>
  <c r="AA425" i="10"/>
  <c r="B230" i="12" a="1"/>
  <c r="B230" i="12" s="1"/>
  <c r="R277" i="12"/>
  <c r="R290" i="12"/>
  <c r="R314" i="12"/>
  <c r="R301" i="12"/>
  <c r="R302" i="12"/>
  <c r="R289" i="12"/>
  <c r="M11" i="7"/>
  <c r="O10" i="7"/>
  <c r="P10" i="7" s="1"/>
  <c r="N10" i="7"/>
  <c r="H156" i="12" l="1"/>
  <c r="H354" i="13" s="1" a="1"/>
  <c r="H354" i="13" s="1"/>
  <c r="GW14" i="23"/>
  <c r="Z14" i="23"/>
  <c r="F15" i="24" s="1" a="1"/>
  <c r="F15" i="24" s="1"/>
  <c r="R15" i="24" s="1"/>
  <c r="S15" i="24" s="1"/>
  <c r="M9" i="28" s="1" a="1"/>
  <c r="M9" i="28" s="1"/>
  <c r="GW19" i="23"/>
  <c r="Z19" i="23"/>
  <c r="F20" i="24" s="1" a="1"/>
  <c r="F20" i="24" s="1"/>
  <c r="R20" i="24" s="1"/>
  <c r="S20" i="24" s="1"/>
  <c r="M14" i="28" s="1" a="1"/>
  <c r="M14" i="28" s="1"/>
  <c r="GW20" i="23"/>
  <c r="Z20" i="23"/>
  <c r="F21" i="24" s="1" a="1"/>
  <c r="F21" i="24" s="1"/>
  <c r="R21" i="24" s="1"/>
  <c r="S21" i="24" s="1"/>
  <c r="M15" i="28" s="1" a="1"/>
  <c r="M15" i="28" s="1"/>
  <c r="GW13" i="23"/>
  <c r="Z13" i="23"/>
  <c r="F14" i="24" s="1" a="1"/>
  <c r="F14" i="24" s="1"/>
  <c r="R14" i="24" s="1"/>
  <c r="S14" i="24" s="1"/>
  <c r="M8" i="28" s="1" a="1"/>
  <c r="M8" i="28" s="1"/>
  <c r="Z17" i="23"/>
  <c r="F18" i="24" s="1" a="1"/>
  <c r="F18" i="24" s="1"/>
  <c r="R18" i="24" s="1"/>
  <c r="S18" i="24" s="1"/>
  <c r="M12" i="28" s="1" a="1"/>
  <c r="M12" i="28" s="1"/>
  <c r="GW17" i="23"/>
  <c r="GW15" i="23"/>
  <c r="Z15" i="23"/>
  <c r="F16" i="24" s="1" a="1"/>
  <c r="F16" i="24" s="1"/>
  <c r="R16" i="24" s="1"/>
  <c r="S16" i="24" s="1"/>
  <c r="M10" i="28" s="1" a="1"/>
  <c r="M10" i="28" s="1"/>
  <c r="GW18" i="23"/>
  <c r="Z18" i="23"/>
  <c r="F19" i="24" s="1" a="1"/>
  <c r="F19" i="24" s="1"/>
  <c r="R19" i="24" s="1"/>
  <c r="S19" i="24" s="1"/>
  <c r="M13" i="28" s="1" a="1"/>
  <c r="M13" i="28" s="1"/>
  <c r="Z12" i="23"/>
  <c r="F13" i="24" s="1" a="1"/>
  <c r="F13" i="24" s="1"/>
  <c r="R13" i="24" s="1"/>
  <c r="S13" i="24" s="1"/>
  <c r="M7" i="28" s="1" a="1"/>
  <c r="M7" i="28" s="1"/>
  <c r="GW12" i="23"/>
  <c r="I141" i="12"/>
  <c r="I318" i="13" s="1" a="1"/>
  <c r="I318" i="13" s="1"/>
  <c r="G183" i="12"/>
  <c r="G420" i="13" s="1" a="1"/>
  <c r="G420" i="13" s="1"/>
  <c r="J152" i="12"/>
  <c r="J348" i="13" a="1"/>
  <c r="J348" i="13" s="1"/>
  <c r="J375" i="13" s="1"/>
  <c r="H387" i="13" a="1"/>
  <c r="H387" i="13" s="1"/>
  <c r="F196" i="12"/>
  <c r="F198" i="12" s="1"/>
  <c r="F456" i="13" s="1" a="1"/>
  <c r="F456" i="13" s="1"/>
  <c r="K146" i="12" a="1"/>
  <c r="K146" i="12" s="1"/>
  <c r="K348" i="13" s="1" a="1"/>
  <c r="K348" i="13" s="1"/>
  <c r="K375" i="13" s="1"/>
  <c r="J284" i="13" a="1"/>
  <c r="J284" i="13" s="1"/>
  <c r="M301" i="12" a="1"/>
  <c r="M301" i="12" s="1"/>
  <c r="E301" i="12" a="1"/>
  <c r="E301" i="12" s="1"/>
  <c r="L301" i="12" a="1"/>
  <c r="L301" i="12" s="1"/>
  <c r="D301" i="12" a="1"/>
  <c r="D301" i="12" s="1"/>
  <c r="K301" i="12" a="1"/>
  <c r="K301" i="12" s="1"/>
  <c r="J301" i="12" a="1"/>
  <c r="J301" i="12" s="1"/>
  <c r="I301" i="12" a="1"/>
  <c r="I301" i="12" s="1"/>
  <c r="H301" i="12" a="1"/>
  <c r="H301" i="12" s="1"/>
  <c r="O301" i="12" a="1"/>
  <c r="O301" i="12" s="1"/>
  <c r="G301" i="12" a="1"/>
  <c r="G301" i="12" s="1"/>
  <c r="N301" i="12" a="1"/>
  <c r="N301" i="12" s="1"/>
  <c r="F301" i="12" a="1"/>
  <c r="F301" i="12" s="1"/>
  <c r="H298" i="12"/>
  <c r="H690" i="13" a="1"/>
  <c r="H690" i="13" s="1"/>
  <c r="H717" i="13" s="1"/>
  <c r="H293" i="12"/>
  <c r="H695" i="13" s="1" a="1"/>
  <c r="H695" i="13" s="1"/>
  <c r="K143" i="12"/>
  <c r="J690" i="13" a="1"/>
  <c r="J690" i="13" s="1"/>
  <c r="J717" i="13" s="1"/>
  <c r="J298" i="12"/>
  <c r="J293" i="12"/>
  <c r="J695" i="13" s="1" a="1"/>
  <c r="J695" i="13" s="1"/>
  <c r="I690" i="13" a="1"/>
  <c r="I690" i="13" s="1"/>
  <c r="I717" i="13" s="1"/>
  <c r="I298" i="12"/>
  <c r="I293" i="12"/>
  <c r="I695" i="13" s="1" a="1"/>
  <c r="I695" i="13" s="1"/>
  <c r="M290" i="12" a="1"/>
  <c r="M290" i="12" s="1"/>
  <c r="E290" i="12" a="1"/>
  <c r="E290" i="12" s="1"/>
  <c r="L290" i="12" a="1"/>
  <c r="L290" i="12" s="1"/>
  <c r="D290" i="12" a="1"/>
  <c r="D290" i="12" s="1"/>
  <c r="K290" i="12" a="1"/>
  <c r="K290" i="12" s="1"/>
  <c r="J290" i="12" a="1"/>
  <c r="J290" i="12" s="1"/>
  <c r="I290" i="12" a="1"/>
  <c r="I290" i="12" s="1"/>
  <c r="H290" i="12" a="1"/>
  <c r="H290" i="12" s="1"/>
  <c r="O290" i="12" a="1"/>
  <c r="O290" i="12" s="1"/>
  <c r="G290" i="12" a="1"/>
  <c r="G290" i="12" s="1"/>
  <c r="N290" i="12" a="1"/>
  <c r="N290" i="12" s="1"/>
  <c r="F290" i="12" a="1"/>
  <c r="F290" i="12" s="1"/>
  <c r="I277" i="12" a="1"/>
  <c r="I277" i="12" s="1"/>
  <c r="H277" i="12" a="1"/>
  <c r="H277" i="12" s="1"/>
  <c r="O277" i="12" a="1"/>
  <c r="O277" i="12" s="1"/>
  <c r="G277" i="12" a="1"/>
  <c r="G277" i="12" s="1"/>
  <c r="N277" i="12" a="1"/>
  <c r="N277" i="12" s="1"/>
  <c r="F277" i="12" a="1"/>
  <c r="F277" i="12" s="1"/>
  <c r="M277" i="12" a="1"/>
  <c r="M277" i="12" s="1"/>
  <c r="E277" i="12" a="1"/>
  <c r="E277" i="12" s="1"/>
  <c r="L277" i="12" a="1"/>
  <c r="L277" i="12" s="1"/>
  <c r="D277" i="12" a="1"/>
  <c r="D277" i="12" s="1"/>
  <c r="K277" i="12" a="1"/>
  <c r="K277" i="12" s="1"/>
  <c r="J277" i="12" a="1"/>
  <c r="J277" i="12" s="1"/>
  <c r="K138" i="12"/>
  <c r="K140" i="12" s="1"/>
  <c r="K690" i="13" a="1"/>
  <c r="K690" i="13" s="1"/>
  <c r="K717" i="13" s="1"/>
  <c r="K298" i="12"/>
  <c r="K293" i="12"/>
  <c r="K695" i="13" s="1" a="1"/>
  <c r="K695" i="13" s="1"/>
  <c r="F690" i="13" a="1"/>
  <c r="F690" i="13" s="1"/>
  <c r="F717" i="13" s="1"/>
  <c r="F293" i="12"/>
  <c r="F695" i="13" s="1" a="1"/>
  <c r="F695" i="13" s="1"/>
  <c r="F298" i="12"/>
  <c r="D293" i="12"/>
  <c r="D695" i="13" s="1" a="1"/>
  <c r="D695" i="13" s="1"/>
  <c r="D690" i="13" a="1"/>
  <c r="D690" i="13" s="1"/>
  <c r="D717" i="13" s="1"/>
  <c r="D298" i="12"/>
  <c r="N690" i="13" a="1"/>
  <c r="N690" i="13" s="1"/>
  <c r="N717" i="13" s="1"/>
  <c r="N293" i="12"/>
  <c r="N695" i="13" s="1" a="1"/>
  <c r="N695" i="13" s="1"/>
  <c r="N298" i="12"/>
  <c r="L293" i="12"/>
  <c r="L695" i="13" s="1" a="1"/>
  <c r="L695" i="13" s="1"/>
  <c r="L298" i="12"/>
  <c r="L690" i="13" a="1"/>
  <c r="L690" i="13" s="1"/>
  <c r="L717" i="13" s="1"/>
  <c r="G386" i="13" a="1"/>
  <c r="G386" i="13" s="1"/>
  <c r="G173" i="12"/>
  <c r="G690" i="13" a="1"/>
  <c r="G690" i="13" s="1"/>
  <c r="G717" i="13" s="1"/>
  <c r="G293" i="12"/>
  <c r="G695" i="13" s="1" a="1"/>
  <c r="G695" i="13" s="1"/>
  <c r="G298" i="12"/>
  <c r="E690" i="13" a="1"/>
  <c r="E690" i="13" s="1"/>
  <c r="E717" i="13" s="1"/>
  <c r="E298" i="12"/>
  <c r="E293" i="12"/>
  <c r="E695" i="13" s="1" a="1"/>
  <c r="E695" i="13" s="1"/>
  <c r="I289" i="12" a="1"/>
  <c r="I289" i="12" s="1"/>
  <c r="I691" i="13" s="1" a="1"/>
  <c r="I691" i="13" s="1"/>
  <c r="H289" i="12" a="1"/>
  <c r="H289" i="12" s="1"/>
  <c r="H691" i="13" s="1" a="1"/>
  <c r="H691" i="13" s="1"/>
  <c r="O289" i="12" a="1"/>
  <c r="O289" i="12" s="1"/>
  <c r="O691" i="13" s="1" a="1"/>
  <c r="O691" i="13" s="1"/>
  <c r="G289" i="12" a="1"/>
  <c r="G289" i="12" s="1"/>
  <c r="G691" i="13" s="1" a="1"/>
  <c r="G691" i="13" s="1"/>
  <c r="N289" i="12" a="1"/>
  <c r="N289" i="12" s="1"/>
  <c r="N691" i="13" s="1" a="1"/>
  <c r="N691" i="13" s="1"/>
  <c r="F289" i="12" a="1"/>
  <c r="F289" i="12" s="1"/>
  <c r="F691" i="13" s="1" a="1"/>
  <c r="F691" i="13" s="1"/>
  <c r="M289" i="12" a="1"/>
  <c r="M289" i="12" s="1"/>
  <c r="M691" i="13" s="1" a="1"/>
  <c r="M691" i="13" s="1"/>
  <c r="E289" i="12" a="1"/>
  <c r="E289" i="12" s="1"/>
  <c r="E691" i="13" s="1" a="1"/>
  <c r="E691" i="13" s="1"/>
  <c r="L289" i="12" a="1"/>
  <c r="L289" i="12" s="1"/>
  <c r="L691" i="13" s="1" a="1"/>
  <c r="L691" i="13" s="1"/>
  <c r="D289" i="12" a="1"/>
  <c r="D289" i="12" s="1"/>
  <c r="D691" i="13" s="1" a="1"/>
  <c r="D691" i="13" s="1"/>
  <c r="K289" i="12" a="1"/>
  <c r="K289" i="12" s="1"/>
  <c r="K691" i="13" s="1" a="1"/>
  <c r="K691" i="13" s="1"/>
  <c r="J289" i="12" a="1"/>
  <c r="J289" i="12" s="1"/>
  <c r="J691" i="13" s="1" a="1"/>
  <c r="J691" i="13" s="1"/>
  <c r="O690" i="13" a="1"/>
  <c r="O690" i="13" s="1"/>
  <c r="O717" i="13" s="1"/>
  <c r="O293" i="12"/>
  <c r="O695" i="13" s="1" a="1"/>
  <c r="O695" i="13" s="1"/>
  <c r="O298" i="12"/>
  <c r="M690" i="13" a="1"/>
  <c r="M690" i="13" s="1"/>
  <c r="M717" i="13" s="1"/>
  <c r="M293" i="12"/>
  <c r="M695" i="13" s="1" a="1"/>
  <c r="M695" i="13" s="1"/>
  <c r="M298" i="12"/>
  <c r="HI23" i="9" a="1"/>
  <c r="HI23" i="9" s="1"/>
  <c r="HJ23" i="9" s="1"/>
  <c r="I382" i="13" a="1"/>
  <c r="I382" i="13" s="1"/>
  <c r="I409" i="13" s="1"/>
  <c r="O64" i="12" a="1"/>
  <c r="O64" i="12" s="1"/>
  <c r="O145" i="13" s="1" a="1"/>
  <c r="O145" i="13" s="1"/>
  <c r="IF15" i="9" s="1" a="1"/>
  <c r="IF15" i="9" s="1"/>
  <c r="H416" i="13" a="1"/>
  <c r="H416" i="13" s="1"/>
  <c r="H443" i="13" s="1"/>
  <c r="H185" i="12"/>
  <c r="I166" i="12"/>
  <c r="I168" i="12" s="1"/>
  <c r="I170" i="12" s="1"/>
  <c r="I388" i="13" s="1" a="1"/>
  <c r="I388" i="13" s="1"/>
  <c r="H188" i="12" a="1"/>
  <c r="H188" i="12" s="1"/>
  <c r="H450" i="13" s="1" a="1"/>
  <c r="H450" i="13" s="1"/>
  <c r="H477" i="13" s="1"/>
  <c r="L132" i="12" a="1"/>
  <c r="L132" i="12" s="1"/>
  <c r="L138" i="12" s="1"/>
  <c r="L134" i="12" a="1"/>
  <c r="L134" i="12" s="1"/>
  <c r="L315" i="13" s="1" a="1"/>
  <c r="L315" i="13" s="1"/>
  <c r="GA20" i="9" s="1" a="1"/>
  <c r="GA20" i="9" s="1"/>
  <c r="GE20" i="9" a="1"/>
  <c r="GE20" i="9" s="1"/>
  <c r="FL21" i="9" a="1"/>
  <c r="FL21" i="9" s="1"/>
  <c r="K148" i="12" a="1"/>
  <c r="K148" i="12" s="1"/>
  <c r="K349" i="13" s="1" a="1"/>
  <c r="K349" i="13" s="1"/>
  <c r="FH21" i="9" s="1" a="1"/>
  <c r="FH21" i="9" s="1"/>
  <c r="G352" i="13" a="1"/>
  <c r="G352" i="13" s="1"/>
  <c r="G159" i="12"/>
  <c r="J162" i="12" a="1"/>
  <c r="J162" i="12" s="1"/>
  <c r="J383" i="13" s="1" a="1"/>
  <c r="J383" i="13" s="1"/>
  <c r="EO22" i="9" s="1" a="1"/>
  <c r="EO22" i="9" s="1"/>
  <c r="I188" i="12" a="1"/>
  <c r="I188" i="12" s="1"/>
  <c r="I199" i="12" s="1"/>
  <c r="H190" i="12" a="1"/>
  <c r="H190" i="12" s="1"/>
  <c r="H451" i="13" s="1" a="1"/>
  <c r="H451" i="13" s="1"/>
  <c r="DC24" i="9" s="1" a="1"/>
  <c r="DC24" i="9" s="1"/>
  <c r="J160" i="12" a="1"/>
  <c r="J160" i="12" s="1"/>
  <c r="J382" i="13" s="1" a="1"/>
  <c r="J382" i="13" s="1"/>
  <c r="J409" i="13" s="1"/>
  <c r="I176" i="12" a="1"/>
  <c r="I176" i="12" s="1"/>
  <c r="I417" i="13" s="1" a="1"/>
  <c r="I417" i="13" s="1"/>
  <c r="DV23" i="9" s="1" a="1"/>
  <c r="DV23" i="9" s="1"/>
  <c r="DZ23" i="9" a="1"/>
  <c r="DZ23" i="9" s="1"/>
  <c r="DZ22" i="9" a="1"/>
  <c r="DZ22" i="9" s="1"/>
  <c r="N80" i="13" a="1"/>
  <c r="N80" i="13" s="1"/>
  <c r="H169" i="12"/>
  <c r="H173" i="12" s="1"/>
  <c r="J141" i="12"/>
  <c r="J145" i="12" s="1"/>
  <c r="E211" i="12"/>
  <c r="E488" i="13" s="1" a="1"/>
  <c r="E488" i="13" s="1"/>
  <c r="L99" i="12"/>
  <c r="L216" i="13" s="1" a="1"/>
  <c r="L216" i="13" s="1"/>
  <c r="M114" i="13" a="1"/>
  <c r="M114" i="13" s="1"/>
  <c r="G216" i="12" a="1"/>
  <c r="G216" i="12" s="1"/>
  <c r="BU26" i="9" a="1"/>
  <c r="BU26" i="9" s="1"/>
  <c r="E236" i="12"/>
  <c r="E552" i="13" a="1"/>
  <c r="E552" i="13" s="1"/>
  <c r="E579" i="13" s="1"/>
  <c r="E241" i="12"/>
  <c r="F489" i="13" a="1"/>
  <c r="F489" i="13" s="1"/>
  <c r="F210" i="12"/>
  <c r="F212" i="12" s="1"/>
  <c r="F490" i="13" s="1" a="1"/>
  <c r="F490" i="13" s="1"/>
  <c r="K127" i="12"/>
  <c r="I155" i="12"/>
  <c r="F218" i="12" a="1"/>
  <c r="F218" i="12" s="1"/>
  <c r="F519" i="13" s="1" a="1"/>
  <c r="F519" i="13" s="1"/>
  <c r="BQ26" i="9" s="1" a="1"/>
  <c r="BQ26" i="9" s="1"/>
  <c r="CN25" i="9" a="1"/>
  <c r="CN25" i="9" s="1"/>
  <c r="H202" i="12" a="1"/>
  <c r="H202" i="12" s="1"/>
  <c r="AI28" i="9" a="1"/>
  <c r="AI28" i="9" s="1"/>
  <c r="E244" i="12" a="1"/>
  <c r="E244" i="12" s="1"/>
  <c r="M120" i="12" a="1"/>
  <c r="M120" i="12" s="1"/>
  <c r="M281" i="13" s="1" a="1"/>
  <c r="M281" i="13" s="1"/>
  <c r="GT19" i="9" s="1" a="1"/>
  <c r="GT19" i="9" s="1"/>
  <c r="E523" i="13" a="1"/>
  <c r="E523" i="13" s="1"/>
  <c r="E224" i="12"/>
  <c r="E226" i="12" s="1"/>
  <c r="E524" i="13" s="1" a="1"/>
  <c r="E524" i="13" s="1"/>
  <c r="K113" i="12"/>
  <c r="F187" i="12"/>
  <c r="F420" i="13" a="1"/>
  <c r="F420" i="13" s="1"/>
  <c r="M98" i="12"/>
  <c r="M100" i="12" s="1"/>
  <c r="M218" i="13" s="1" a="1"/>
  <c r="M218" i="13" s="1"/>
  <c r="M217" i="13" a="1"/>
  <c r="M217" i="13" s="1"/>
  <c r="D246" i="12" a="1"/>
  <c r="D246" i="12" s="1"/>
  <c r="D587" i="13" s="1" a="1"/>
  <c r="D587" i="13" s="1"/>
  <c r="AE28" i="9" s="1" a="1"/>
  <c r="AE28" i="9" s="1"/>
  <c r="GX19" i="9" a="1"/>
  <c r="GX19" i="9" s="1"/>
  <c r="N118" i="12" a="1"/>
  <c r="N118" i="12" s="1"/>
  <c r="J250" i="13" a="1"/>
  <c r="J250" i="13" s="1"/>
  <c r="J117" i="12"/>
  <c r="L112" i="12"/>
  <c r="L114" i="12" s="1"/>
  <c r="L252" i="13" s="1" a="1"/>
  <c r="L252" i="13" s="1"/>
  <c r="L251" i="13" a="1"/>
  <c r="L251" i="13" s="1"/>
  <c r="K103" i="12"/>
  <c r="K216" i="13" a="1"/>
  <c r="K216" i="13" s="1"/>
  <c r="G187" i="12"/>
  <c r="M280" i="13" a="1"/>
  <c r="M280" i="13" s="1"/>
  <c r="M307" i="13" s="1"/>
  <c r="M124" i="12"/>
  <c r="M129" i="12"/>
  <c r="F518" i="13" a="1"/>
  <c r="F518" i="13" s="1"/>
  <c r="F545" i="13" s="1"/>
  <c r="F227" i="12"/>
  <c r="F222" i="12"/>
  <c r="M115" i="12"/>
  <c r="M110" i="12"/>
  <c r="M246" i="13" a="1"/>
  <c r="M246" i="13" s="1"/>
  <c r="M273" i="13" s="1"/>
  <c r="L285" i="13" a="1"/>
  <c r="L285" i="13" s="1"/>
  <c r="L126" i="12"/>
  <c r="L128" i="12" s="1"/>
  <c r="L286" i="13" s="1" a="1"/>
  <c r="L286" i="13" s="1"/>
  <c r="E454" i="13" a="1"/>
  <c r="E454" i="13" s="1"/>
  <c r="E201" i="12"/>
  <c r="N212" i="13" a="1"/>
  <c r="N212" i="13" s="1"/>
  <c r="N239" i="13" s="1"/>
  <c r="N101" i="12"/>
  <c r="N96" i="12"/>
  <c r="C39" i="28" a="1"/>
  <c r="C39" i="28" s="1"/>
  <c r="A617" i="13" a="1"/>
  <c r="A617" i="13" s="1"/>
  <c r="A258" i="12" a="1"/>
  <c r="A258" i="12" s="1"/>
  <c r="BB27" i="9" a="1"/>
  <c r="BB27" i="9" s="1"/>
  <c r="F230" i="12" a="1"/>
  <c r="F230" i="12" s="1"/>
  <c r="ES22" i="9" a="1"/>
  <c r="ES22" i="9" s="1"/>
  <c r="K160" i="12" a="1"/>
  <c r="K160" i="12" s="1"/>
  <c r="H352" i="13" a="1"/>
  <c r="H352" i="13" s="1"/>
  <c r="H159" i="12"/>
  <c r="O92" i="12" a="1"/>
  <c r="O92" i="12" s="1"/>
  <c r="O213" i="13" s="1" a="1"/>
  <c r="O213" i="13" s="1"/>
  <c r="IF17" i="9" s="1" a="1"/>
  <c r="IF17" i="9" s="1"/>
  <c r="HQ17" i="9" a="1"/>
  <c r="HQ17" i="9" s="1"/>
  <c r="O90" i="12" a="1"/>
  <c r="O90" i="12" s="1"/>
  <c r="H421" i="13" a="1"/>
  <c r="H421" i="13" s="1"/>
  <c r="H182" i="12"/>
  <c r="H184" i="12" s="1"/>
  <c r="H422" i="13" s="1" a="1"/>
  <c r="H422" i="13" s="1"/>
  <c r="D37" i="24" a="1"/>
  <c r="D37" i="24" s="1"/>
  <c r="E232" i="12" a="1"/>
  <c r="E232" i="12" s="1"/>
  <c r="E553" i="13" s="1" a="1"/>
  <c r="E553" i="13" s="1"/>
  <c r="AX27" i="9" s="1" a="1"/>
  <c r="AX27" i="9" s="1"/>
  <c r="G204" i="12" a="1"/>
  <c r="G204" i="12" s="1"/>
  <c r="G485" i="13" s="1" a="1"/>
  <c r="G485" i="13" s="1"/>
  <c r="CJ25" i="9" s="1" a="1"/>
  <c r="CJ25" i="9" s="1"/>
  <c r="GX18" i="9" a="1"/>
  <c r="GX18" i="9" s="1"/>
  <c r="N106" i="12" a="1"/>
  <c r="N106" i="12" s="1"/>
  <c r="N247" i="13" s="1" a="1"/>
  <c r="N247" i="13" s="1"/>
  <c r="HM18" i="9" s="1" a="1"/>
  <c r="HM18" i="9" s="1"/>
  <c r="N104" i="12" a="1"/>
  <c r="N104" i="12" s="1"/>
  <c r="I180" i="12"/>
  <c r="I416" i="13" a="1"/>
  <c r="I416" i="13" s="1"/>
  <c r="I443" i="13" s="1"/>
  <c r="I185" i="12"/>
  <c r="G455" i="13" a="1"/>
  <c r="G455" i="13" s="1"/>
  <c r="G196" i="12"/>
  <c r="G198" i="12" s="1"/>
  <c r="G456" i="13" s="1" a="1"/>
  <c r="G456" i="13" s="1"/>
  <c r="J154" i="12"/>
  <c r="J156" i="12" s="1"/>
  <c r="J354" i="13" s="1" a="1"/>
  <c r="J354" i="13" s="1"/>
  <c r="J353" i="13" a="1"/>
  <c r="J353" i="13" s="1"/>
  <c r="O56" i="12"/>
  <c r="O58" i="12" s="1"/>
  <c r="O116" i="13" s="1" a="1"/>
  <c r="O116" i="13" s="1"/>
  <c r="O115" i="13" a="1"/>
  <c r="O115" i="13" s="1"/>
  <c r="K182" i="13" a="1"/>
  <c r="K182" i="13" s="1"/>
  <c r="K89" i="12"/>
  <c r="O144" i="13" a="1"/>
  <c r="O144" i="13" s="1"/>
  <c r="O171" i="13" s="1"/>
  <c r="O73" i="12"/>
  <c r="O68" i="12"/>
  <c r="N178" i="13" a="1"/>
  <c r="N178" i="13" s="1"/>
  <c r="N205" i="13" s="1"/>
  <c r="N82" i="12"/>
  <c r="N87" i="12"/>
  <c r="L85" i="12"/>
  <c r="O43" i="12"/>
  <c r="O33" i="12"/>
  <c r="O46" i="13" a="1"/>
  <c r="O46" i="13" s="1"/>
  <c r="M71" i="12"/>
  <c r="M72" i="12"/>
  <c r="M150" i="13" s="1" a="1"/>
  <c r="M150" i="13" s="1"/>
  <c r="HQ16" i="9" a="1"/>
  <c r="HQ16" i="9" s="1"/>
  <c r="O76" i="12" a="1"/>
  <c r="O76" i="12" s="1"/>
  <c r="L75" i="12"/>
  <c r="L148" i="13" a="1"/>
  <c r="L148" i="13" s="1"/>
  <c r="N149" i="13" a="1"/>
  <c r="N149" i="13" s="1"/>
  <c r="N70" i="12"/>
  <c r="N72" i="12" s="1"/>
  <c r="N150" i="13" s="1" a="1"/>
  <c r="N150" i="13" s="1"/>
  <c r="N57" i="12"/>
  <c r="N114" i="13" s="1" a="1"/>
  <c r="N114" i="13" s="1"/>
  <c r="N58" i="12"/>
  <c r="M84" i="12"/>
  <c r="M86" i="12" s="1"/>
  <c r="M184" i="13" s="1" a="1"/>
  <c r="M184" i="13" s="1"/>
  <c r="M183" i="13" a="1"/>
  <c r="M183" i="13" s="1"/>
  <c r="B551" i="13"/>
  <c r="B552" i="13" s="1"/>
  <c r="B553" i="13" s="1"/>
  <c r="B554" i="13"/>
  <c r="B555" i="13" s="1"/>
  <c r="B472" i="13"/>
  <c r="B473" i="13" s="1"/>
  <c r="B474" i="13" s="1"/>
  <c r="B475" i="13" s="1"/>
  <c r="B477" i="13"/>
  <c r="B478" i="13" s="1"/>
  <c r="B479" i="13" s="1"/>
  <c r="B480" i="13" s="1"/>
  <c r="B583" i="13" a="1"/>
  <c r="B583" i="13" s="1"/>
  <c r="B584" i="13" s="1"/>
  <c r="B526" i="13"/>
  <c r="B527" i="13" s="1"/>
  <c r="B528" i="13" s="1"/>
  <c r="B529" i="13" s="1"/>
  <c r="B530" i="13" s="1"/>
  <c r="B531" i="13" s="1"/>
  <c r="B532" i="13" s="1"/>
  <c r="B533" i="13" s="1"/>
  <c r="B534" i="13" s="1"/>
  <c r="B535" i="13" s="1"/>
  <c r="B536" i="13" s="1"/>
  <c r="B537" i="13" s="1"/>
  <c r="B538" i="13" s="1"/>
  <c r="B522" i="13"/>
  <c r="B523" i="13" s="1"/>
  <c r="B524" i="13" s="1"/>
  <c r="B525" i="13" s="1"/>
  <c r="B510" i="13"/>
  <c r="B505" i="13"/>
  <c r="AA401" i="10"/>
  <c r="AA426" i="10"/>
  <c r="AA427" i="10" s="1"/>
  <c r="AA439" i="10"/>
  <c r="AA414" i="10"/>
  <c r="B244" i="12" a="1"/>
  <c r="B244" i="12" s="1"/>
  <c r="R291" i="12"/>
  <c r="R303" i="12"/>
  <c r="R315" i="12"/>
  <c r="R316" i="12"/>
  <c r="R328" i="12"/>
  <c r="R304" i="12"/>
  <c r="M12" i="7"/>
  <c r="O11" i="7"/>
  <c r="P11" i="7" s="1"/>
  <c r="N11" i="7"/>
  <c r="GX15" i="23" l="1"/>
  <c r="HA15" i="23"/>
  <c r="GX17" i="23"/>
  <c r="HA17" i="23"/>
  <c r="GX13" i="23"/>
  <c r="HA13" i="23"/>
  <c r="GX20" i="23"/>
  <c r="HA20" i="23"/>
  <c r="GX12" i="23"/>
  <c r="HA12" i="23"/>
  <c r="GX19" i="23"/>
  <c r="HA19" i="23"/>
  <c r="GX18" i="23"/>
  <c r="HA18" i="23"/>
  <c r="GX14" i="23"/>
  <c r="HA14" i="23"/>
  <c r="I145" i="12"/>
  <c r="K152" i="12"/>
  <c r="K353" i="13" s="1" a="1"/>
  <c r="K353" i="13" s="1"/>
  <c r="F197" i="12"/>
  <c r="F454" i="13" s="1" a="1"/>
  <c r="F454" i="13" s="1"/>
  <c r="L314" i="13" a="1"/>
  <c r="L314" i="13" s="1"/>
  <c r="L341" i="13" s="1"/>
  <c r="K157" i="12"/>
  <c r="L143" i="12"/>
  <c r="J318" i="13" a="1"/>
  <c r="J318" i="13" s="1"/>
  <c r="M132" i="12" a="1"/>
  <c r="M132" i="12" s="1"/>
  <c r="M138" i="12" s="1"/>
  <c r="J166" i="12"/>
  <c r="J168" i="12" s="1"/>
  <c r="H312" i="12"/>
  <c r="H724" i="13" a="1"/>
  <c r="H724" i="13" s="1"/>
  <c r="H751" i="13" s="1"/>
  <c r="H307" i="12"/>
  <c r="H729" i="13" s="1" a="1"/>
  <c r="H729" i="13" s="1"/>
  <c r="I303" i="12" a="1"/>
  <c r="I303" i="12" s="1"/>
  <c r="I725" i="13" s="1" a="1"/>
  <c r="I725" i="13" s="1"/>
  <c r="H303" i="12" a="1"/>
  <c r="H303" i="12" s="1"/>
  <c r="H725" i="13" s="1" a="1"/>
  <c r="H725" i="13" s="1"/>
  <c r="O303" i="12" a="1"/>
  <c r="O303" i="12" s="1"/>
  <c r="O725" i="13" s="1" a="1"/>
  <c r="O725" i="13" s="1"/>
  <c r="G303" i="12" a="1"/>
  <c r="G303" i="12" s="1"/>
  <c r="G725" i="13" s="1" a="1"/>
  <c r="G725" i="13" s="1"/>
  <c r="N303" i="12" a="1"/>
  <c r="N303" i="12" s="1"/>
  <c r="N725" i="13" s="1" a="1"/>
  <c r="N725" i="13" s="1"/>
  <c r="F303" i="12" a="1"/>
  <c r="F303" i="12" s="1"/>
  <c r="F725" i="13" s="1" a="1"/>
  <c r="F725" i="13" s="1"/>
  <c r="M303" i="12" a="1"/>
  <c r="M303" i="12" s="1"/>
  <c r="M725" i="13" s="1" a="1"/>
  <c r="M725" i="13" s="1"/>
  <c r="E303" i="12" a="1"/>
  <c r="E303" i="12" s="1"/>
  <c r="E725" i="13" s="1" a="1"/>
  <c r="E725" i="13" s="1"/>
  <c r="L303" i="12" a="1"/>
  <c r="L303" i="12" s="1"/>
  <c r="L725" i="13" s="1" a="1"/>
  <c r="L725" i="13" s="1"/>
  <c r="D303" i="12" a="1"/>
  <c r="D303" i="12" s="1"/>
  <c r="D725" i="13" s="1" a="1"/>
  <c r="D725" i="13" s="1"/>
  <c r="K303" i="12" a="1"/>
  <c r="K303" i="12" s="1"/>
  <c r="K725" i="13" s="1" a="1"/>
  <c r="K725" i="13" s="1"/>
  <c r="J303" i="12" a="1"/>
  <c r="J303" i="12" s="1"/>
  <c r="J725" i="13" s="1" a="1"/>
  <c r="J725" i="13" s="1"/>
  <c r="I387" i="13" a="1"/>
  <c r="I387" i="13" s="1"/>
  <c r="J724" i="13" a="1"/>
  <c r="J724" i="13" s="1"/>
  <c r="J751" i="13" s="1"/>
  <c r="J312" i="12"/>
  <c r="J307" i="12"/>
  <c r="J729" i="13" s="1" a="1"/>
  <c r="J729" i="13" s="1"/>
  <c r="I724" i="13" a="1"/>
  <c r="I724" i="13" s="1"/>
  <c r="I751" i="13" s="1"/>
  <c r="I312" i="12"/>
  <c r="I307" i="12"/>
  <c r="I729" i="13" s="1" a="1"/>
  <c r="I729" i="13" s="1"/>
  <c r="I291" i="12" a="1"/>
  <c r="I291" i="12" s="1"/>
  <c r="H291" i="12" a="1"/>
  <c r="H291" i="12" s="1"/>
  <c r="O291" i="12" a="1"/>
  <c r="O291" i="12" s="1"/>
  <c r="G291" i="12" a="1"/>
  <c r="G291" i="12" s="1"/>
  <c r="N291" i="12" a="1"/>
  <c r="N291" i="12" s="1"/>
  <c r="F291" i="12" a="1"/>
  <c r="F291" i="12" s="1"/>
  <c r="M291" i="12" a="1"/>
  <c r="M291" i="12" s="1"/>
  <c r="E291" i="12" a="1"/>
  <c r="E291" i="12" s="1"/>
  <c r="L291" i="12" a="1"/>
  <c r="L291" i="12" s="1"/>
  <c r="D291" i="12" a="1"/>
  <c r="D291" i="12" s="1"/>
  <c r="K291" i="12" a="1"/>
  <c r="K291" i="12" s="1"/>
  <c r="J291" i="12" a="1"/>
  <c r="J291" i="12" s="1"/>
  <c r="K724" i="13" a="1"/>
  <c r="K724" i="13" s="1"/>
  <c r="K751" i="13" s="1"/>
  <c r="K312" i="12"/>
  <c r="K307" i="12"/>
  <c r="K729" i="13" s="1" a="1"/>
  <c r="K729" i="13" s="1"/>
  <c r="M315" i="12" a="1"/>
  <c r="M315" i="12" s="1"/>
  <c r="E315" i="12" a="1"/>
  <c r="E315" i="12" s="1"/>
  <c r="L315" i="12" a="1"/>
  <c r="L315" i="12" s="1"/>
  <c r="D315" i="12" a="1"/>
  <c r="D315" i="12" s="1"/>
  <c r="K315" i="12" a="1"/>
  <c r="K315" i="12" s="1"/>
  <c r="J315" i="12" a="1"/>
  <c r="J315" i="12" s="1"/>
  <c r="I315" i="12" a="1"/>
  <c r="I315" i="12" s="1"/>
  <c r="H315" i="12" a="1"/>
  <c r="H315" i="12" s="1"/>
  <c r="O315" i="12" a="1"/>
  <c r="O315" i="12" s="1"/>
  <c r="G315" i="12" a="1"/>
  <c r="G315" i="12" s="1"/>
  <c r="N315" i="12" a="1"/>
  <c r="N315" i="12" s="1"/>
  <c r="F315" i="12" a="1"/>
  <c r="F315" i="12" s="1"/>
  <c r="F724" i="13" a="1"/>
  <c r="F724" i="13" s="1"/>
  <c r="F751" i="13" s="1"/>
  <c r="F307" i="12"/>
  <c r="F729" i="13" s="1" a="1"/>
  <c r="F729" i="13" s="1"/>
  <c r="F312" i="12"/>
  <c r="D307" i="12"/>
  <c r="D729" i="13" s="1" a="1"/>
  <c r="D729" i="13" s="1"/>
  <c r="D724" i="13" a="1"/>
  <c r="D724" i="13" s="1"/>
  <c r="D751" i="13" s="1"/>
  <c r="D312" i="12"/>
  <c r="K319" i="13" a="1"/>
  <c r="K319" i="13" s="1"/>
  <c r="N724" i="13" a="1"/>
  <c r="N724" i="13" s="1"/>
  <c r="N751" i="13" s="1"/>
  <c r="N307" i="12"/>
  <c r="N729" i="13" s="1" a="1"/>
  <c r="N729" i="13" s="1"/>
  <c r="N312" i="12"/>
  <c r="L307" i="12"/>
  <c r="L729" i="13" s="1" a="1"/>
  <c r="L729" i="13" s="1"/>
  <c r="L724" i="13" a="1"/>
  <c r="L724" i="13" s="1"/>
  <c r="L751" i="13" s="1"/>
  <c r="L312" i="12"/>
  <c r="G724" i="13" a="1"/>
  <c r="G724" i="13" s="1"/>
  <c r="G751" i="13" s="1"/>
  <c r="G307" i="12"/>
  <c r="G729" i="13" s="1" a="1"/>
  <c r="G729" i="13" s="1"/>
  <c r="G312" i="12"/>
  <c r="E724" i="13" a="1"/>
  <c r="E724" i="13" s="1"/>
  <c r="E751" i="13" s="1"/>
  <c r="E312" i="12"/>
  <c r="E307" i="12"/>
  <c r="E729" i="13" s="1" a="1"/>
  <c r="E729" i="13" s="1"/>
  <c r="M304" i="12" a="1"/>
  <c r="M304" i="12" s="1"/>
  <c r="E304" i="12" a="1"/>
  <c r="E304" i="12" s="1"/>
  <c r="L304" i="12" a="1"/>
  <c r="L304" i="12" s="1"/>
  <c r="D304" i="12" a="1"/>
  <c r="D304" i="12" s="1"/>
  <c r="K304" i="12" a="1"/>
  <c r="K304" i="12" s="1"/>
  <c r="J304" i="12" a="1"/>
  <c r="J304" i="12" s="1"/>
  <c r="I304" i="12" a="1"/>
  <c r="I304" i="12" s="1"/>
  <c r="H304" i="12" a="1"/>
  <c r="H304" i="12" s="1"/>
  <c r="O304" i="12" a="1"/>
  <c r="O304" i="12" s="1"/>
  <c r="G304" i="12" a="1"/>
  <c r="G304" i="12" s="1"/>
  <c r="N304" i="12" a="1"/>
  <c r="N304" i="12" s="1"/>
  <c r="F304" i="12" a="1"/>
  <c r="F304" i="12" s="1"/>
  <c r="O724" i="13" a="1"/>
  <c r="O724" i="13" s="1"/>
  <c r="O751" i="13" s="1"/>
  <c r="O307" i="12"/>
  <c r="O729" i="13" s="1" a="1"/>
  <c r="O729" i="13" s="1"/>
  <c r="O312" i="12"/>
  <c r="M724" i="13" a="1"/>
  <c r="M724" i="13" s="1"/>
  <c r="M751" i="13" s="1"/>
  <c r="M307" i="12"/>
  <c r="M729" i="13" s="1" a="1"/>
  <c r="M729" i="13" s="1"/>
  <c r="M312" i="12"/>
  <c r="E215" i="12"/>
  <c r="J174" i="12" a="1"/>
  <c r="J174" i="12" s="1"/>
  <c r="J185" i="12" s="1"/>
  <c r="O78" i="12" a="1"/>
  <c r="O78" i="12" s="1"/>
  <c r="O179" i="13" s="1" a="1"/>
  <c r="O179" i="13" s="1"/>
  <c r="IF16" i="9" s="1" a="1"/>
  <c r="IF16" i="9" s="1"/>
  <c r="H194" i="12"/>
  <c r="H196" i="12" s="1"/>
  <c r="H198" i="12" s="1"/>
  <c r="H456" i="13" s="1" a="1"/>
  <c r="H456" i="13" s="1"/>
  <c r="H199" i="12"/>
  <c r="J171" i="12"/>
  <c r="H386" i="13" a="1"/>
  <c r="H386" i="13" s="1"/>
  <c r="I450" i="13" a="1"/>
  <c r="I450" i="13" s="1"/>
  <c r="I477" i="13" s="1"/>
  <c r="L146" i="12" a="1"/>
  <c r="L146" i="12" s="1"/>
  <c r="L157" i="12" s="1"/>
  <c r="J176" i="12" a="1"/>
  <c r="J176" i="12" s="1"/>
  <c r="J417" i="13" s="1" a="1"/>
  <c r="J417" i="13" s="1"/>
  <c r="EO23" i="9" s="1" a="1"/>
  <c r="EO23" i="9" s="1"/>
  <c r="ES23" i="9" a="1"/>
  <c r="ES23" i="9" s="1"/>
  <c r="I194" i="12"/>
  <c r="I455" i="13" s="1" a="1"/>
  <c r="I455" i="13" s="1"/>
  <c r="GE21" i="9" a="1"/>
  <c r="GE21" i="9" s="1"/>
  <c r="L148" i="12" a="1"/>
  <c r="L148" i="12" s="1"/>
  <c r="L349" i="13" s="1" a="1"/>
  <c r="L349" i="13" s="1"/>
  <c r="GA21" i="9" s="1" a="1"/>
  <c r="GA21" i="9" s="1"/>
  <c r="DZ24" i="9" a="1"/>
  <c r="DZ24" i="9" s="1"/>
  <c r="I190" i="12" a="1"/>
  <c r="I190" i="12" s="1"/>
  <c r="I451" i="13" s="1" a="1"/>
  <c r="I451" i="13" s="1"/>
  <c r="DV24" i="9" s="1" a="1"/>
  <c r="DV24" i="9" s="1"/>
  <c r="M134" i="12" a="1"/>
  <c r="M134" i="12" s="1"/>
  <c r="M315" i="13" s="1" a="1"/>
  <c r="M315" i="13" s="1"/>
  <c r="GT20" i="9" s="1" a="1"/>
  <c r="GT20" i="9" s="1"/>
  <c r="GX20" i="9" a="1"/>
  <c r="GX20" i="9" s="1"/>
  <c r="K162" i="12" a="1"/>
  <c r="K162" i="12" s="1"/>
  <c r="K383" i="13" s="1" a="1"/>
  <c r="K383" i="13" s="1"/>
  <c r="FH22" i="9" s="1" a="1"/>
  <c r="FH22" i="9" s="1"/>
  <c r="L160" i="12" a="1"/>
  <c r="L160" i="12" s="1"/>
  <c r="L103" i="12"/>
  <c r="H183" i="12"/>
  <c r="H420" i="13" s="1" a="1"/>
  <c r="H420" i="13" s="1"/>
  <c r="L127" i="12"/>
  <c r="L284" i="13" s="1" a="1"/>
  <c r="L284" i="13" s="1"/>
  <c r="G197" i="12"/>
  <c r="G201" i="12" s="1"/>
  <c r="M99" i="12"/>
  <c r="M103" i="12" s="1"/>
  <c r="I169" i="12"/>
  <c r="I386" i="13" s="1" a="1"/>
  <c r="I386" i="13" s="1"/>
  <c r="E225" i="12"/>
  <c r="E522" i="13" s="1" a="1"/>
  <c r="E522" i="13" s="1"/>
  <c r="D38" i="24" a="1"/>
  <c r="D38" i="24" s="1"/>
  <c r="A272" i="12" a="1"/>
  <c r="A272" i="12" s="1"/>
  <c r="C40" i="28" a="1"/>
  <c r="C40" i="28" s="1"/>
  <c r="A651" i="13" a="1"/>
  <c r="A651" i="13" s="1"/>
  <c r="D260" i="12" a="1"/>
  <c r="D260" i="12" s="1"/>
  <c r="D621" i="13" s="1" a="1"/>
  <c r="D621" i="13" s="1"/>
  <c r="AE29" i="9" s="1" a="1"/>
  <c r="AE29" i="9" s="1"/>
  <c r="J155" i="12"/>
  <c r="K382" i="13" a="1"/>
  <c r="K382" i="13" s="1"/>
  <c r="K409" i="13" s="1"/>
  <c r="K166" i="12"/>
  <c r="K171" i="12"/>
  <c r="N280" i="13" a="1"/>
  <c r="N280" i="13" s="1"/>
  <c r="N307" i="13" s="1"/>
  <c r="N124" i="12"/>
  <c r="N129" i="12"/>
  <c r="E586" i="13" a="1"/>
  <c r="E586" i="13" s="1"/>
  <c r="E613" i="13" s="1"/>
  <c r="E255" i="12"/>
  <c r="E250" i="12"/>
  <c r="I352" i="13" a="1"/>
  <c r="I352" i="13" s="1"/>
  <c r="I159" i="12"/>
  <c r="G222" i="12"/>
  <c r="G518" i="13" a="1"/>
  <c r="G518" i="13" s="1"/>
  <c r="G545" i="13" s="1"/>
  <c r="G227" i="12"/>
  <c r="F236" i="12"/>
  <c r="F241" i="12"/>
  <c r="F552" i="13" a="1"/>
  <c r="F552" i="13" s="1"/>
  <c r="F579" i="13" s="1"/>
  <c r="L319" i="13" a="1"/>
  <c r="L319" i="13" s="1"/>
  <c r="L140" i="12"/>
  <c r="M112" i="12"/>
  <c r="M114" i="12" s="1"/>
  <c r="M252" i="13" s="1" a="1"/>
  <c r="M252" i="13" s="1"/>
  <c r="M251" i="13" a="1"/>
  <c r="M251" i="13" s="1"/>
  <c r="M285" i="13" a="1"/>
  <c r="M285" i="13" s="1"/>
  <c r="M126" i="12"/>
  <c r="F211" i="12"/>
  <c r="F232" i="12" a="1"/>
  <c r="F232" i="12" s="1"/>
  <c r="F553" i="13" s="1" a="1"/>
  <c r="F553" i="13" s="1"/>
  <c r="BQ27" i="9" s="1" a="1"/>
  <c r="BQ27" i="9" s="1"/>
  <c r="BB28" i="9" a="1"/>
  <c r="BB28" i="9" s="1"/>
  <c r="F244" i="12" a="1"/>
  <c r="F244" i="12" s="1"/>
  <c r="I202" i="12" a="1"/>
  <c r="I202" i="12" s="1"/>
  <c r="DG25" i="9" a="1"/>
  <c r="DG25" i="9" s="1"/>
  <c r="I182" i="12"/>
  <c r="I184" i="12" s="1"/>
  <c r="I422" i="13" s="1" a="1"/>
  <c r="I422" i="13" s="1"/>
  <c r="I421" i="13" a="1"/>
  <c r="I421" i="13" s="1"/>
  <c r="L113" i="12"/>
  <c r="K250" i="13" a="1"/>
  <c r="K250" i="13" s="1"/>
  <c r="K117" i="12"/>
  <c r="E246" i="12" a="1"/>
  <c r="E246" i="12" s="1"/>
  <c r="E587" i="13" s="1" a="1"/>
  <c r="E587" i="13" s="1"/>
  <c r="AX28" i="9" s="1" a="1"/>
  <c r="AX28" i="9" s="1"/>
  <c r="G218" i="12" a="1"/>
  <c r="G218" i="12" s="1"/>
  <c r="G519" i="13" s="1" a="1"/>
  <c r="G519" i="13" s="1"/>
  <c r="CJ26" i="9" s="1" a="1"/>
  <c r="CJ26" i="9" s="1"/>
  <c r="H204" i="12" a="1"/>
  <c r="H204" i="12" s="1"/>
  <c r="H485" i="13" s="1" a="1"/>
  <c r="H485" i="13" s="1"/>
  <c r="DC25" i="9" s="1" a="1"/>
  <c r="DC25" i="9" s="1"/>
  <c r="N246" i="13" a="1"/>
  <c r="N246" i="13" s="1"/>
  <c r="N273" i="13" s="1"/>
  <c r="N115" i="12"/>
  <c r="N110" i="12"/>
  <c r="K141" i="12"/>
  <c r="K142" i="12"/>
  <c r="K320" i="13" s="1" a="1"/>
  <c r="K320" i="13" s="1"/>
  <c r="F523" i="13" a="1"/>
  <c r="F523" i="13" s="1"/>
  <c r="F224" i="12"/>
  <c r="F226" i="12" s="1"/>
  <c r="F524" i="13" s="1" a="1"/>
  <c r="F524" i="13" s="1"/>
  <c r="H484" i="13" a="1"/>
  <c r="H484" i="13" s="1"/>
  <c r="H511" i="13" s="1"/>
  <c r="H208" i="12"/>
  <c r="H213" i="12"/>
  <c r="K131" i="12"/>
  <c r="K284" i="13" a="1"/>
  <c r="K284" i="13" s="1"/>
  <c r="IB26" i="9" a="1"/>
  <c r="IB26" i="9" s="1"/>
  <c r="IC26" i="9" s="1"/>
  <c r="CN26" i="9" a="1"/>
  <c r="CN26" i="9" s="1"/>
  <c r="H216" i="12" a="1"/>
  <c r="H216" i="12" s="1"/>
  <c r="N120" i="12" a="1"/>
  <c r="N120" i="12" s="1"/>
  <c r="N281" i="13" s="1" a="1"/>
  <c r="N281" i="13" s="1"/>
  <c r="HM19" i="9" s="1" a="1"/>
  <c r="HM19" i="9" s="1"/>
  <c r="O212" i="13" a="1"/>
  <c r="O212" i="13" s="1"/>
  <c r="O239" i="13" s="1"/>
  <c r="O101" i="12"/>
  <c r="O96" i="12"/>
  <c r="N98" i="12"/>
  <c r="N100" i="12" s="1"/>
  <c r="N218" i="13" s="1" a="1"/>
  <c r="N218" i="13" s="1"/>
  <c r="N217" i="13" a="1"/>
  <c r="N217" i="13" s="1"/>
  <c r="HQ19" i="9" a="1"/>
  <c r="HQ19" i="9" s="1"/>
  <c r="O118" i="12" a="1"/>
  <c r="O118" i="12" s="1"/>
  <c r="E258" i="12" a="1"/>
  <c r="E258" i="12" s="1"/>
  <c r="AI29" i="9" a="1"/>
  <c r="AI29" i="9" s="1"/>
  <c r="HQ18" i="9" a="1"/>
  <c r="HQ18" i="9" s="1"/>
  <c r="O104" i="12" a="1"/>
  <c r="O104" i="12" s="1"/>
  <c r="E557" i="13" a="1"/>
  <c r="E557" i="13" s="1"/>
  <c r="E238" i="12"/>
  <c r="E240" i="12" s="1"/>
  <c r="E558" i="13" s="1" a="1"/>
  <c r="E558" i="13" s="1"/>
  <c r="O57" i="12"/>
  <c r="O61" i="12" s="1"/>
  <c r="O178" i="13" a="1"/>
  <c r="O178" i="13" s="1"/>
  <c r="O205" i="13" s="1"/>
  <c r="O82" i="12"/>
  <c r="O87" i="12"/>
  <c r="BU25" i="9" a="1"/>
  <c r="BU25" i="9" s="1"/>
  <c r="O47" i="12"/>
  <c r="O80" i="13" a="1"/>
  <c r="O80" i="13" s="1"/>
  <c r="L89" i="12"/>
  <c r="L182" i="13" a="1"/>
  <c r="L182" i="13" s="1"/>
  <c r="M85" i="12"/>
  <c r="N61" i="12"/>
  <c r="N116" i="13" a="1"/>
  <c r="N116" i="13" s="1"/>
  <c r="N71" i="12"/>
  <c r="N84" i="12"/>
  <c r="N86" i="12" s="1"/>
  <c r="N184" i="13" s="1" a="1"/>
  <c r="N184" i="13" s="1"/>
  <c r="N183" i="13" a="1"/>
  <c r="N183" i="13" s="1"/>
  <c r="O70" i="12"/>
  <c r="O72" i="12" s="1"/>
  <c r="O150" i="13" s="1" a="1"/>
  <c r="O150" i="13" s="1"/>
  <c r="O149" i="13" a="1"/>
  <c r="O149" i="13" s="1"/>
  <c r="M148" i="13" a="1"/>
  <c r="M148" i="13" s="1"/>
  <c r="M75" i="12"/>
  <c r="B506" i="13"/>
  <c r="B507" i="13" s="1"/>
  <c r="B508" i="13" s="1"/>
  <c r="B509" i="13" s="1"/>
  <c r="B511" i="13"/>
  <c r="B512" i="13" s="1"/>
  <c r="B513" i="13" s="1"/>
  <c r="B514" i="13" s="1"/>
  <c r="B556" i="13"/>
  <c r="B557" i="13" s="1"/>
  <c r="B558" i="13" s="1"/>
  <c r="B559" i="13" s="1"/>
  <c r="B560" i="13"/>
  <c r="B561" i="13" s="1"/>
  <c r="B562" i="13" s="1"/>
  <c r="B563" i="13" s="1"/>
  <c r="B564" i="13" s="1"/>
  <c r="B565" i="13" s="1"/>
  <c r="B566" i="13" s="1"/>
  <c r="B567" i="13" s="1"/>
  <c r="B568" i="13" s="1"/>
  <c r="B569" i="13" s="1"/>
  <c r="B570" i="13" s="1"/>
  <c r="B571" i="13" s="1"/>
  <c r="B572" i="13" s="1"/>
  <c r="B617" i="13" a="1"/>
  <c r="B617" i="13" s="1"/>
  <c r="B618" i="13" s="1"/>
  <c r="B539" i="13"/>
  <c r="B544" i="13"/>
  <c r="B585" i="13"/>
  <c r="B586" i="13" s="1"/>
  <c r="B587" i="13" s="1"/>
  <c r="B588" i="13"/>
  <c r="B589" i="13" s="1"/>
  <c r="AA415" i="10"/>
  <c r="AA453" i="10"/>
  <c r="AA440" i="10"/>
  <c r="AA441" i="10" s="1"/>
  <c r="AA428" i="10"/>
  <c r="B258" i="12" a="1"/>
  <c r="B258" i="12" s="1"/>
  <c r="R329" i="12"/>
  <c r="R330" i="12"/>
  <c r="R342" i="12"/>
  <c r="R318" i="12"/>
  <c r="R305" i="12"/>
  <c r="R317" i="12"/>
  <c r="O12" i="7"/>
  <c r="P12" i="7" s="1"/>
  <c r="N12" i="7"/>
  <c r="HB19" i="23" l="1"/>
  <c r="HE19" i="23"/>
  <c r="HF19" i="23" s="1"/>
  <c r="HB20" i="23"/>
  <c r="HE20" i="23"/>
  <c r="HF20" i="23" s="1"/>
  <c r="HB13" i="23"/>
  <c r="HE13" i="23"/>
  <c r="HF13" i="23" s="1"/>
  <c r="HE14" i="23"/>
  <c r="HF14" i="23" s="1"/>
  <c r="HB14" i="23"/>
  <c r="HE17" i="23"/>
  <c r="HF17" i="23" s="1"/>
  <c r="HB17" i="23"/>
  <c r="HE12" i="23"/>
  <c r="HF12" i="23" s="1"/>
  <c r="HB12" i="23"/>
  <c r="HE18" i="23"/>
  <c r="HF18" i="23" s="1"/>
  <c r="HB18" i="23"/>
  <c r="HE15" i="23"/>
  <c r="HF15" i="23" s="1"/>
  <c r="HB15" i="23"/>
  <c r="K154" i="12"/>
  <c r="K156" i="12" s="1"/>
  <c r="K354" i="13" s="1" a="1"/>
  <c r="K354" i="13" s="1"/>
  <c r="F201" i="12"/>
  <c r="M143" i="12"/>
  <c r="M314" i="13" a="1"/>
  <c r="M314" i="13" s="1"/>
  <c r="M341" i="13" s="1"/>
  <c r="J387" i="13" a="1"/>
  <c r="J387" i="13" s="1"/>
  <c r="J180" i="12"/>
  <c r="J182" i="12" s="1"/>
  <c r="J184" i="12" s="1"/>
  <c r="J422" i="13" s="1" a="1"/>
  <c r="J422" i="13" s="1"/>
  <c r="J416" i="13" a="1"/>
  <c r="J416" i="13" s="1"/>
  <c r="J443" i="13" s="1"/>
  <c r="L152" i="12"/>
  <c r="L353" i="13" s="1" a="1"/>
  <c r="L353" i="13" s="1"/>
  <c r="L348" i="13" a="1"/>
  <c r="L348" i="13" s="1"/>
  <c r="L375" i="13" s="1"/>
  <c r="N758" i="13" a="1"/>
  <c r="N758" i="13" s="1"/>
  <c r="N785" i="13" s="1"/>
  <c r="N321" i="12"/>
  <c r="N763" i="13" s="1" a="1"/>
  <c r="N763" i="13" s="1"/>
  <c r="N326" i="12"/>
  <c r="L321" i="12"/>
  <c r="L763" i="13" s="1" a="1"/>
  <c r="L763" i="13" s="1"/>
  <c r="L758" i="13" a="1"/>
  <c r="L758" i="13" s="1"/>
  <c r="L785" i="13" s="1"/>
  <c r="L326" i="12"/>
  <c r="E758" i="13" a="1"/>
  <c r="E758" i="13" s="1"/>
  <c r="E785" i="13" s="1"/>
  <c r="E321" i="12"/>
  <c r="E763" i="13" s="1" a="1"/>
  <c r="E763" i="13" s="1"/>
  <c r="E326" i="12"/>
  <c r="O758" i="13" a="1"/>
  <c r="O758" i="13" s="1"/>
  <c r="O785" i="13" s="1"/>
  <c r="O321" i="12"/>
  <c r="O763" i="13" s="1" a="1"/>
  <c r="O763" i="13" s="1"/>
  <c r="O326" i="12"/>
  <c r="M758" i="13" a="1"/>
  <c r="M758" i="13" s="1"/>
  <c r="M785" i="13" s="1"/>
  <c r="M321" i="12"/>
  <c r="M763" i="13" s="1" a="1"/>
  <c r="M763" i="13" s="1"/>
  <c r="M326" i="12"/>
  <c r="G758" i="13" a="1"/>
  <c r="G758" i="13" s="1"/>
  <c r="G785" i="13" s="1"/>
  <c r="G321" i="12"/>
  <c r="G763" i="13" s="1" a="1"/>
  <c r="G763" i="13" s="1"/>
  <c r="G326" i="12"/>
  <c r="H326" i="12"/>
  <c r="H758" i="13" a="1"/>
  <c r="H758" i="13" s="1"/>
  <c r="H785" i="13" s="1"/>
  <c r="H321" i="12"/>
  <c r="H763" i="13" s="1" a="1"/>
  <c r="H763" i="13" s="1"/>
  <c r="I317" i="12" a="1"/>
  <c r="I317" i="12" s="1"/>
  <c r="I759" i="13" s="1" a="1"/>
  <c r="I759" i="13" s="1"/>
  <c r="H317" i="12" a="1"/>
  <c r="H317" i="12" s="1"/>
  <c r="H759" i="13" s="1" a="1"/>
  <c r="H759" i="13" s="1"/>
  <c r="O317" i="12" a="1"/>
  <c r="O317" i="12" s="1"/>
  <c r="O759" i="13" s="1" a="1"/>
  <c r="O759" i="13" s="1"/>
  <c r="G317" i="12" a="1"/>
  <c r="G317" i="12" s="1"/>
  <c r="G759" i="13" s="1" a="1"/>
  <c r="G759" i="13" s="1"/>
  <c r="N317" i="12" a="1"/>
  <c r="N317" i="12" s="1"/>
  <c r="N759" i="13" s="1" a="1"/>
  <c r="N759" i="13" s="1"/>
  <c r="F317" i="12" a="1"/>
  <c r="F317" i="12" s="1"/>
  <c r="F759" i="13" s="1" a="1"/>
  <c r="F759" i="13" s="1"/>
  <c r="M317" i="12" a="1"/>
  <c r="M317" i="12" s="1"/>
  <c r="M759" i="13" s="1" a="1"/>
  <c r="M759" i="13" s="1"/>
  <c r="E317" i="12" a="1"/>
  <c r="E317" i="12" s="1"/>
  <c r="E759" i="13" s="1" a="1"/>
  <c r="E759" i="13" s="1"/>
  <c r="L317" i="12" a="1"/>
  <c r="L317" i="12" s="1"/>
  <c r="L759" i="13" s="1" a="1"/>
  <c r="L759" i="13" s="1"/>
  <c r="D317" i="12" a="1"/>
  <c r="D317" i="12" s="1"/>
  <c r="D759" i="13" s="1" a="1"/>
  <c r="D759" i="13" s="1"/>
  <c r="K317" i="12" a="1"/>
  <c r="K317" i="12" s="1"/>
  <c r="K759" i="13" s="1" a="1"/>
  <c r="K759" i="13" s="1"/>
  <c r="J317" i="12" a="1"/>
  <c r="J317" i="12" s="1"/>
  <c r="J759" i="13" s="1" a="1"/>
  <c r="J759" i="13" s="1"/>
  <c r="I758" i="13" a="1"/>
  <c r="I758" i="13" s="1"/>
  <c r="I785" i="13" s="1"/>
  <c r="I321" i="12"/>
  <c r="I763" i="13" s="1" a="1"/>
  <c r="I763" i="13" s="1"/>
  <c r="I326" i="12"/>
  <c r="I305" i="12" a="1"/>
  <c r="I305" i="12" s="1"/>
  <c r="H305" i="12" a="1"/>
  <c r="H305" i="12" s="1"/>
  <c r="O305" i="12" a="1"/>
  <c r="O305" i="12" s="1"/>
  <c r="G305" i="12" a="1"/>
  <c r="G305" i="12" s="1"/>
  <c r="N305" i="12" a="1"/>
  <c r="N305" i="12" s="1"/>
  <c r="F305" i="12" a="1"/>
  <c r="F305" i="12" s="1"/>
  <c r="M305" i="12" a="1"/>
  <c r="M305" i="12" s="1"/>
  <c r="E305" i="12" a="1"/>
  <c r="E305" i="12" s="1"/>
  <c r="L305" i="12" a="1"/>
  <c r="L305" i="12" s="1"/>
  <c r="D305" i="12" a="1"/>
  <c r="D305" i="12" s="1"/>
  <c r="K305" i="12" a="1"/>
  <c r="K305" i="12" s="1"/>
  <c r="J305" i="12" a="1"/>
  <c r="J305" i="12" s="1"/>
  <c r="J758" i="13" a="1"/>
  <c r="J758" i="13" s="1"/>
  <c r="J785" i="13" s="1"/>
  <c r="J326" i="12"/>
  <c r="J321" i="12"/>
  <c r="J763" i="13" s="1" a="1"/>
  <c r="J763" i="13" s="1"/>
  <c r="M329" i="12" a="1"/>
  <c r="M329" i="12" s="1"/>
  <c r="E329" i="12" a="1"/>
  <c r="E329" i="12" s="1"/>
  <c r="L329" i="12" a="1"/>
  <c r="L329" i="12" s="1"/>
  <c r="D329" i="12" a="1"/>
  <c r="D329" i="12" s="1"/>
  <c r="K329" i="12" a="1"/>
  <c r="K329" i="12" s="1"/>
  <c r="J329" i="12" a="1"/>
  <c r="J329" i="12" s="1"/>
  <c r="I329" i="12" a="1"/>
  <c r="I329" i="12" s="1"/>
  <c r="H329" i="12" a="1"/>
  <c r="H329" i="12" s="1"/>
  <c r="O329" i="12" a="1"/>
  <c r="O329" i="12" s="1"/>
  <c r="G329" i="12" a="1"/>
  <c r="G329" i="12" s="1"/>
  <c r="F329" i="12" a="1"/>
  <c r="F329" i="12" s="1"/>
  <c r="N329" i="12" a="1"/>
  <c r="N329" i="12" s="1"/>
  <c r="M318" i="12" a="1"/>
  <c r="M318" i="12" s="1"/>
  <c r="E318" i="12" a="1"/>
  <c r="E318" i="12" s="1"/>
  <c r="L318" i="12" a="1"/>
  <c r="L318" i="12" s="1"/>
  <c r="D318" i="12" a="1"/>
  <c r="D318" i="12" s="1"/>
  <c r="K318" i="12" a="1"/>
  <c r="K318" i="12" s="1"/>
  <c r="J318" i="12" a="1"/>
  <c r="J318" i="12" s="1"/>
  <c r="I318" i="12" a="1"/>
  <c r="I318" i="12" s="1"/>
  <c r="H318" i="12" a="1"/>
  <c r="H318" i="12" s="1"/>
  <c r="O318" i="12" a="1"/>
  <c r="O318" i="12" s="1"/>
  <c r="G318" i="12" a="1"/>
  <c r="G318" i="12" s="1"/>
  <c r="N318" i="12" a="1"/>
  <c r="N318" i="12" s="1"/>
  <c r="F318" i="12" a="1"/>
  <c r="F318" i="12" s="1"/>
  <c r="H455" i="13" a="1"/>
  <c r="H455" i="13" s="1"/>
  <c r="K758" i="13" a="1"/>
  <c r="K758" i="13" s="1"/>
  <c r="K785" i="13" s="1"/>
  <c r="K326" i="12"/>
  <c r="K321" i="12"/>
  <c r="K763" i="13" s="1" a="1"/>
  <c r="K763" i="13" s="1"/>
  <c r="F758" i="13" a="1"/>
  <c r="F758" i="13" s="1"/>
  <c r="F785" i="13" s="1"/>
  <c r="F321" i="12"/>
  <c r="F763" i="13" s="1" a="1"/>
  <c r="F763" i="13" s="1"/>
  <c r="F326" i="12"/>
  <c r="D321" i="12"/>
  <c r="D763" i="13" s="1" a="1"/>
  <c r="D763" i="13" s="1"/>
  <c r="D758" i="13" a="1"/>
  <c r="D758" i="13" s="1"/>
  <c r="D785" i="13" s="1"/>
  <c r="D326" i="12"/>
  <c r="N132" i="12" a="1"/>
  <c r="N132" i="12" s="1"/>
  <c r="N143" i="12" s="1"/>
  <c r="FL22" i="9" a="1"/>
  <c r="FL22" i="9" s="1"/>
  <c r="O106" i="12" a="1"/>
  <c r="O106" i="12" s="1"/>
  <c r="O247" i="13" s="1" a="1"/>
  <c r="O247" i="13" s="1"/>
  <c r="IF18" i="9" s="1" a="1"/>
  <c r="IF18" i="9" s="1"/>
  <c r="J188" i="12" a="1"/>
  <c r="J188" i="12" s="1"/>
  <c r="J194" i="12" s="1"/>
  <c r="I196" i="12"/>
  <c r="I198" i="12" s="1"/>
  <c r="I456" i="13" s="1" a="1"/>
  <c r="I456" i="13" s="1"/>
  <c r="L131" i="12"/>
  <c r="K174" i="12" a="1"/>
  <c r="K174" i="12" s="1"/>
  <c r="K180" i="12" s="1"/>
  <c r="H187" i="12"/>
  <c r="ES24" i="9" a="1"/>
  <c r="ES24" i="9" s="1"/>
  <c r="J190" i="12" a="1"/>
  <c r="J190" i="12" s="1"/>
  <c r="J451" i="13" s="1" a="1"/>
  <c r="J451" i="13" s="1"/>
  <c r="EO24" i="9" s="1" a="1"/>
  <c r="EO24" i="9" s="1"/>
  <c r="G454" i="13" a="1"/>
  <c r="G454" i="13" s="1"/>
  <c r="L162" i="12" a="1"/>
  <c r="L162" i="12" s="1"/>
  <c r="L383" i="13" s="1" a="1"/>
  <c r="L383" i="13" s="1"/>
  <c r="GA22" i="9" s="1" a="1"/>
  <c r="GA22" i="9" s="1"/>
  <c r="M216" i="13" a="1"/>
  <c r="M216" i="13" s="1"/>
  <c r="K176" i="12" a="1"/>
  <c r="K176" i="12" s="1"/>
  <c r="K417" i="13" s="1" a="1"/>
  <c r="K417" i="13" s="1"/>
  <c r="FH23" i="9" s="1" a="1"/>
  <c r="FH23" i="9" s="1"/>
  <c r="M148" i="12" a="1"/>
  <c r="M148" i="12" s="1"/>
  <c r="M349" i="13" s="1" a="1"/>
  <c r="M349" i="13" s="1"/>
  <c r="GT21" i="9" s="1" a="1"/>
  <c r="GT21" i="9" s="1"/>
  <c r="GX21" i="9" a="1"/>
  <c r="GX21" i="9" s="1"/>
  <c r="M146" i="12" a="1"/>
  <c r="M146" i="12" s="1"/>
  <c r="M152" i="12" s="1"/>
  <c r="N134" i="12" a="1"/>
  <c r="N134" i="12" s="1"/>
  <c r="N315" i="13" s="1" a="1"/>
  <c r="N315" i="13" s="1"/>
  <c r="HM20" i="9" s="1" a="1"/>
  <c r="HM20" i="9" s="1"/>
  <c r="K155" i="12"/>
  <c r="K159" i="12" s="1"/>
  <c r="I173" i="12"/>
  <c r="E229" i="12"/>
  <c r="M113" i="12"/>
  <c r="M117" i="12" s="1"/>
  <c r="O114" i="13" a="1"/>
  <c r="O114" i="13" s="1"/>
  <c r="I183" i="12"/>
  <c r="I420" i="13" s="1" a="1"/>
  <c r="I420" i="13" s="1"/>
  <c r="F246" i="12" a="1"/>
  <c r="F246" i="12" s="1"/>
  <c r="F587" i="13" s="1" a="1"/>
  <c r="F587" i="13" s="1"/>
  <c r="BQ28" i="9" s="1" a="1"/>
  <c r="BQ28" i="9" s="1"/>
  <c r="H218" i="12" a="1"/>
  <c r="H218" i="12" s="1"/>
  <c r="H519" i="13" s="1" a="1"/>
  <c r="H519" i="13" s="1"/>
  <c r="DC26" i="9" s="1" a="1"/>
  <c r="DC26" i="9" s="1"/>
  <c r="E239" i="12"/>
  <c r="O280" i="13" a="1"/>
  <c r="O280" i="13" s="1"/>
  <c r="O307" i="13" s="1"/>
  <c r="O124" i="12"/>
  <c r="O129" i="12"/>
  <c r="H489" i="13" a="1"/>
  <c r="H489" i="13" s="1"/>
  <c r="H210" i="12"/>
  <c r="H212" i="12" s="1"/>
  <c r="H490" i="13" s="1" a="1"/>
  <c r="H490" i="13" s="1"/>
  <c r="M140" i="12"/>
  <c r="M142" i="12" s="1"/>
  <c r="M320" i="13" s="1" a="1"/>
  <c r="M320" i="13" s="1"/>
  <c r="M319" i="13" a="1"/>
  <c r="M319" i="13" s="1"/>
  <c r="H197" i="12"/>
  <c r="DG26" i="9" a="1"/>
  <c r="DG26" i="9" s="1"/>
  <c r="I216" i="12" a="1"/>
  <c r="I216" i="12" s="1"/>
  <c r="CN27" i="9" a="1"/>
  <c r="CN27" i="9" s="1"/>
  <c r="H230" i="12" a="1"/>
  <c r="H230" i="12" s="1"/>
  <c r="AI30" i="9" a="1"/>
  <c r="AI30" i="9" s="1"/>
  <c r="E272" i="12" a="1"/>
  <c r="E272" i="12" s="1"/>
  <c r="L382" i="13" a="1"/>
  <c r="L382" i="13" s="1"/>
  <c r="L409" i="13" s="1"/>
  <c r="L166" i="12"/>
  <c r="L171" i="12"/>
  <c r="O217" i="13" a="1"/>
  <c r="O217" i="13" s="1"/>
  <c r="O98" i="12"/>
  <c r="G523" i="13" a="1"/>
  <c r="G523" i="13" s="1"/>
  <c r="G224" i="12"/>
  <c r="G226" i="12" s="1"/>
  <c r="G524" i="13" s="1" a="1"/>
  <c r="G524" i="13" s="1"/>
  <c r="L117" i="12"/>
  <c r="L250" i="13" a="1"/>
  <c r="L250" i="13" s="1"/>
  <c r="D40" i="24" a="1"/>
  <c r="D40" i="24" s="1"/>
  <c r="D274" i="12" a="1"/>
  <c r="D274" i="12" s="1"/>
  <c r="D655" i="13" s="1" a="1"/>
  <c r="D655" i="13" s="1"/>
  <c r="AE30" i="9" s="1" a="1"/>
  <c r="AE30" i="9" s="1"/>
  <c r="O246" i="13" a="1"/>
  <c r="O246" i="13" s="1"/>
  <c r="O273" i="13" s="1"/>
  <c r="O115" i="12"/>
  <c r="O110" i="12"/>
  <c r="J169" i="12"/>
  <c r="J170" i="12"/>
  <c r="J388" i="13" s="1" a="1"/>
  <c r="J388" i="13" s="1"/>
  <c r="F238" i="12"/>
  <c r="F240" i="12" s="1"/>
  <c r="F558" i="13" s="1" a="1"/>
  <c r="F558" i="13" s="1"/>
  <c r="F557" i="13" a="1"/>
  <c r="F557" i="13" s="1"/>
  <c r="N285" i="13" a="1"/>
  <c r="N285" i="13" s="1"/>
  <c r="N126" i="12"/>
  <c r="N128" i="12" s="1"/>
  <c r="N286" i="13" s="1" a="1"/>
  <c r="N286" i="13" s="1"/>
  <c r="J352" i="13" a="1"/>
  <c r="J352" i="13" s="1"/>
  <c r="J159" i="12"/>
  <c r="G232" i="12" a="1"/>
  <c r="G232" i="12" s="1"/>
  <c r="G553" i="13" s="1" a="1"/>
  <c r="G553" i="13" s="1"/>
  <c r="CJ27" i="9" s="1" a="1"/>
  <c r="CJ27" i="9" s="1"/>
  <c r="E260" i="12" a="1"/>
  <c r="E260" i="12" s="1"/>
  <c r="E621" i="13" s="1" a="1"/>
  <c r="E621" i="13" s="1"/>
  <c r="AX29" i="9" s="1" a="1"/>
  <c r="AX29" i="9" s="1"/>
  <c r="K318" i="13" a="1"/>
  <c r="K318" i="13" s="1"/>
  <c r="K145" i="12"/>
  <c r="I484" i="13" a="1"/>
  <c r="I484" i="13" s="1"/>
  <c r="I511" i="13" s="1"/>
  <c r="I208" i="12"/>
  <c r="I213" i="12"/>
  <c r="L141" i="12"/>
  <c r="L142" i="12"/>
  <c r="L320" i="13" s="1" a="1"/>
  <c r="L320" i="13" s="1"/>
  <c r="F258" i="12" a="1"/>
  <c r="F258" i="12" s="1"/>
  <c r="BB29" i="9" a="1"/>
  <c r="BB29" i="9" s="1"/>
  <c r="I204" i="12" a="1"/>
  <c r="I204" i="12" s="1"/>
  <c r="I485" i="13" s="1" a="1"/>
  <c r="I485" i="13" s="1"/>
  <c r="DV25" i="9" s="1" a="1"/>
  <c r="DV25" i="9" s="1"/>
  <c r="IB27" i="9" a="1"/>
  <c r="IB27" i="9" s="1"/>
  <c r="IC27" i="9" s="1"/>
  <c r="F225" i="12"/>
  <c r="N251" i="13" a="1"/>
  <c r="N251" i="13" s="1"/>
  <c r="N112" i="12"/>
  <c r="F586" i="13" a="1"/>
  <c r="F586" i="13" s="1"/>
  <c r="F613" i="13" s="1"/>
  <c r="F255" i="12"/>
  <c r="F250" i="12"/>
  <c r="C41" i="28" a="1"/>
  <c r="C41" i="28" s="1"/>
  <c r="A685" i="13" a="1"/>
  <c r="A685" i="13" s="1"/>
  <c r="A286" i="12" a="1"/>
  <c r="A286" i="12" s="1"/>
  <c r="O120" i="12" a="1"/>
  <c r="O120" i="12" s="1"/>
  <c r="O281" i="13" s="1" a="1"/>
  <c r="O281" i="13" s="1"/>
  <c r="IF19" i="9" s="1" a="1"/>
  <c r="IF19" i="9" s="1"/>
  <c r="DZ25" i="9" a="1"/>
  <c r="DZ25" i="9" s="1"/>
  <c r="J202" i="12" a="1"/>
  <c r="J202" i="12" s="1"/>
  <c r="D39" i="24" a="1"/>
  <c r="D39" i="24" s="1"/>
  <c r="H518" i="13" a="1"/>
  <c r="H518" i="13" s="1"/>
  <c r="H545" i="13" s="1"/>
  <c r="H227" i="12"/>
  <c r="H222" i="12"/>
  <c r="F215" i="12"/>
  <c r="F488" i="13" a="1"/>
  <c r="F488" i="13" s="1"/>
  <c r="K387" i="13" a="1"/>
  <c r="K387" i="13" s="1"/>
  <c r="K168" i="12"/>
  <c r="K170" i="12" s="1"/>
  <c r="K388" i="13" s="1" a="1"/>
  <c r="K388" i="13" s="1"/>
  <c r="G244" i="12" a="1"/>
  <c r="G244" i="12" s="1"/>
  <c r="BU28" i="9" a="1"/>
  <c r="BU28" i="9" s="1"/>
  <c r="E620" i="13" a="1"/>
  <c r="E620" i="13" s="1"/>
  <c r="E647" i="13" s="1"/>
  <c r="E264" i="12"/>
  <c r="E269" i="12"/>
  <c r="N99" i="12"/>
  <c r="M127" i="12"/>
  <c r="M128" i="12"/>
  <c r="M286" i="13" s="1" a="1"/>
  <c r="M286" i="13" s="1"/>
  <c r="E591" i="13" a="1"/>
  <c r="E591" i="13" s="1"/>
  <c r="E252" i="12"/>
  <c r="E254" i="12" s="1"/>
  <c r="E592" i="13" s="1" a="1"/>
  <c r="E592" i="13" s="1"/>
  <c r="O71" i="12"/>
  <c r="O148" i="13" s="1" a="1"/>
  <c r="O148" i="13" s="1"/>
  <c r="DG24" i="9" a="1"/>
  <c r="DG24" i="9" s="1"/>
  <c r="M89" i="12"/>
  <c r="M182" i="13" a="1"/>
  <c r="M182" i="13" s="1"/>
  <c r="O183" i="13" a="1"/>
  <c r="O183" i="13" s="1"/>
  <c r="O84" i="12"/>
  <c r="O86" i="12" s="1"/>
  <c r="O184" i="13" s="1" a="1"/>
  <c r="O184" i="13" s="1"/>
  <c r="N85" i="12"/>
  <c r="N75" i="12"/>
  <c r="N148" i="13" a="1"/>
  <c r="N148" i="13" s="1"/>
  <c r="B590" i="13"/>
  <c r="B591" i="13" s="1"/>
  <c r="B592" i="13" s="1"/>
  <c r="B593" i="13" s="1"/>
  <c r="B594" i="13"/>
  <c r="B595" i="13" s="1"/>
  <c r="B596" i="13" s="1"/>
  <c r="B597" i="13" s="1"/>
  <c r="B598" i="13" s="1"/>
  <c r="B599" i="13" s="1"/>
  <c r="B600" i="13" s="1"/>
  <c r="B601" i="13" s="1"/>
  <c r="B602" i="13" s="1"/>
  <c r="B603" i="13" s="1"/>
  <c r="B604" i="13" s="1"/>
  <c r="B605" i="13" s="1"/>
  <c r="B606" i="13" s="1"/>
  <c r="B540" i="13"/>
  <c r="B541" i="13" s="1"/>
  <c r="B542" i="13" s="1"/>
  <c r="B543" i="13" s="1"/>
  <c r="B545" i="13"/>
  <c r="B546" i="13" s="1"/>
  <c r="B547" i="13" s="1"/>
  <c r="B548" i="13" s="1"/>
  <c r="B651" i="13" a="1"/>
  <c r="B651" i="13" s="1"/>
  <c r="B652" i="13" s="1"/>
  <c r="B619" i="13"/>
  <c r="B620" i="13" s="1"/>
  <c r="B621" i="13" s="1"/>
  <c r="B622" i="13"/>
  <c r="B623" i="13" s="1"/>
  <c r="B578" i="13"/>
  <c r="B573" i="13"/>
  <c r="AA442" i="10"/>
  <c r="AA454" i="10"/>
  <c r="AA455" i="10" s="1"/>
  <c r="AA467" i="10"/>
  <c r="AA429" i="10"/>
  <c r="B272" i="12" a="1"/>
  <c r="B272" i="12" s="1"/>
  <c r="R332" i="12"/>
  <c r="R331" i="12"/>
  <c r="R319" i="12"/>
  <c r="R356" i="12"/>
  <c r="R344" i="12"/>
  <c r="R343" i="12"/>
  <c r="J421" i="13" l="1" a="1"/>
  <c r="J421" i="13" s="1"/>
  <c r="L154" i="12"/>
  <c r="L156" i="12" s="1"/>
  <c r="L354" i="13" s="1" a="1"/>
  <c r="L354" i="13" s="1"/>
  <c r="N138" i="12"/>
  <c r="N319" i="13" s="1" a="1"/>
  <c r="N319" i="13" s="1"/>
  <c r="N314" i="13" a="1"/>
  <c r="N314" i="13" s="1"/>
  <c r="N341" i="13" s="1"/>
  <c r="J199" i="12"/>
  <c r="J450" i="13" a="1"/>
  <c r="J450" i="13" s="1"/>
  <c r="J477" i="13" s="1"/>
  <c r="K792" i="13" a="1"/>
  <c r="K792" i="13" s="1"/>
  <c r="K819" i="13" s="1"/>
  <c r="K340" i="12"/>
  <c r="K335" i="12"/>
  <c r="K797" i="13" s="1" a="1"/>
  <c r="K797" i="13" s="1"/>
  <c r="M343" i="12" a="1"/>
  <c r="M343" i="12" s="1"/>
  <c r="E343" i="12" a="1"/>
  <c r="E343" i="12" s="1"/>
  <c r="L343" i="12" a="1"/>
  <c r="L343" i="12" s="1"/>
  <c r="D343" i="12" a="1"/>
  <c r="D343" i="12" s="1"/>
  <c r="K343" i="12" a="1"/>
  <c r="K343" i="12" s="1"/>
  <c r="J343" i="12" a="1"/>
  <c r="J343" i="12" s="1"/>
  <c r="I343" i="12" a="1"/>
  <c r="I343" i="12" s="1"/>
  <c r="H343" i="12" a="1"/>
  <c r="H343" i="12" s="1"/>
  <c r="O343" i="12" a="1"/>
  <c r="O343" i="12" s="1"/>
  <c r="G343" i="12" a="1"/>
  <c r="G343" i="12" s="1"/>
  <c r="N343" i="12" a="1"/>
  <c r="N343" i="12" s="1"/>
  <c r="F343" i="12" a="1"/>
  <c r="F343" i="12" s="1"/>
  <c r="F792" i="13" a="1"/>
  <c r="F792" i="13" s="1"/>
  <c r="F819" i="13" s="1"/>
  <c r="F335" i="12"/>
  <c r="F797" i="13" s="1" a="1"/>
  <c r="F797" i="13" s="1"/>
  <c r="F340" i="12"/>
  <c r="L792" i="13" a="1"/>
  <c r="L792" i="13" s="1"/>
  <c r="L819" i="13" s="1"/>
  <c r="L340" i="12"/>
  <c r="L335" i="12"/>
  <c r="L797" i="13" s="1" a="1"/>
  <c r="L797" i="13" s="1"/>
  <c r="N792" i="13" a="1"/>
  <c r="N792" i="13" s="1"/>
  <c r="N819" i="13" s="1"/>
  <c r="N335" i="12"/>
  <c r="N797" i="13" s="1" a="1"/>
  <c r="N797" i="13" s="1"/>
  <c r="N340" i="12"/>
  <c r="G792" i="13" a="1"/>
  <c r="G792" i="13" s="1"/>
  <c r="G819" i="13" s="1"/>
  <c r="G335" i="12"/>
  <c r="G797" i="13" s="1" a="1"/>
  <c r="G797" i="13" s="1"/>
  <c r="G340" i="12"/>
  <c r="E792" i="13" a="1"/>
  <c r="E792" i="13" s="1"/>
  <c r="E819" i="13" s="1"/>
  <c r="E335" i="12"/>
  <c r="E797" i="13" s="1" a="1"/>
  <c r="E797" i="13" s="1"/>
  <c r="E340" i="12"/>
  <c r="O792" i="13" a="1"/>
  <c r="O792" i="13" s="1"/>
  <c r="O819" i="13" s="1"/>
  <c r="O335" i="12"/>
  <c r="O797" i="13" s="1" a="1"/>
  <c r="O797" i="13" s="1"/>
  <c r="O340" i="12"/>
  <c r="M792" i="13" a="1"/>
  <c r="M792" i="13" s="1"/>
  <c r="M819" i="13" s="1"/>
  <c r="M335" i="12"/>
  <c r="M797" i="13" s="1" a="1"/>
  <c r="M797" i="13" s="1"/>
  <c r="M340" i="12"/>
  <c r="H792" i="13" a="1"/>
  <c r="H792" i="13" s="1"/>
  <c r="H819" i="13" s="1"/>
  <c r="H340" i="12"/>
  <c r="H335" i="12"/>
  <c r="H797" i="13" s="1" a="1"/>
  <c r="H797" i="13" s="1"/>
  <c r="D792" i="13" a="1"/>
  <c r="D792" i="13" s="1"/>
  <c r="D819" i="13" s="1"/>
  <c r="D335" i="12"/>
  <c r="D797" i="13" s="1" a="1"/>
  <c r="D797" i="13" s="1"/>
  <c r="D340" i="12"/>
  <c r="I319" i="12" a="1"/>
  <c r="I319" i="12" s="1"/>
  <c r="H319" i="12" a="1"/>
  <c r="H319" i="12" s="1"/>
  <c r="O319" i="12" a="1"/>
  <c r="O319" i="12" s="1"/>
  <c r="G319" i="12" a="1"/>
  <c r="G319" i="12" s="1"/>
  <c r="N319" i="12" a="1"/>
  <c r="N319" i="12" s="1"/>
  <c r="F319" i="12" a="1"/>
  <c r="F319" i="12" s="1"/>
  <c r="M319" i="12" a="1"/>
  <c r="M319" i="12" s="1"/>
  <c r="E319" i="12" a="1"/>
  <c r="E319" i="12" s="1"/>
  <c r="L319" i="12" a="1"/>
  <c r="L319" i="12" s="1"/>
  <c r="D319" i="12" a="1"/>
  <c r="D319" i="12" s="1"/>
  <c r="K319" i="12" a="1"/>
  <c r="K319" i="12" s="1"/>
  <c r="J319" i="12" a="1"/>
  <c r="J319" i="12" s="1"/>
  <c r="I331" i="12" a="1"/>
  <c r="I331" i="12" s="1"/>
  <c r="I793" i="13" s="1" a="1"/>
  <c r="I793" i="13" s="1"/>
  <c r="H331" i="12" a="1"/>
  <c r="H331" i="12" s="1"/>
  <c r="H793" i="13" s="1" a="1"/>
  <c r="H793" i="13" s="1"/>
  <c r="O331" i="12" a="1"/>
  <c r="O331" i="12" s="1"/>
  <c r="O793" i="13" s="1" a="1"/>
  <c r="O793" i="13" s="1"/>
  <c r="G331" i="12" a="1"/>
  <c r="G331" i="12" s="1"/>
  <c r="G793" i="13" s="1" a="1"/>
  <c r="G793" i="13" s="1"/>
  <c r="N331" i="12" a="1"/>
  <c r="N331" i="12" s="1"/>
  <c r="N793" i="13" s="1" a="1"/>
  <c r="N793" i="13" s="1"/>
  <c r="F331" i="12" a="1"/>
  <c r="F331" i="12" s="1"/>
  <c r="F793" i="13" s="1" a="1"/>
  <c r="F793" i="13" s="1"/>
  <c r="M331" i="12" a="1"/>
  <c r="M331" i="12" s="1"/>
  <c r="M793" i="13" s="1" a="1"/>
  <c r="M793" i="13" s="1"/>
  <c r="E331" i="12" a="1"/>
  <c r="E331" i="12" s="1"/>
  <c r="E793" i="13" s="1" a="1"/>
  <c r="E793" i="13" s="1"/>
  <c r="L331" i="12" a="1"/>
  <c r="L331" i="12" s="1"/>
  <c r="L793" i="13" s="1" a="1"/>
  <c r="L793" i="13" s="1"/>
  <c r="D331" i="12" a="1"/>
  <c r="D331" i="12" s="1"/>
  <c r="D793" i="13" s="1" a="1"/>
  <c r="D793" i="13" s="1"/>
  <c r="K331" i="12" a="1"/>
  <c r="K331" i="12" s="1"/>
  <c r="K793" i="13" s="1" a="1"/>
  <c r="K793" i="13" s="1"/>
  <c r="J331" i="12" a="1"/>
  <c r="J331" i="12" s="1"/>
  <c r="J793" i="13" s="1" a="1"/>
  <c r="J793" i="13" s="1"/>
  <c r="I792" i="13" a="1"/>
  <c r="I792" i="13" s="1"/>
  <c r="I819" i="13" s="1"/>
  <c r="I340" i="12"/>
  <c r="I335" i="12"/>
  <c r="I797" i="13" s="1" a="1"/>
  <c r="I797" i="13" s="1"/>
  <c r="M332" i="12" a="1"/>
  <c r="M332" i="12" s="1"/>
  <c r="E332" i="12" a="1"/>
  <c r="E332" i="12" s="1"/>
  <c r="L332" i="12" a="1"/>
  <c r="L332" i="12" s="1"/>
  <c r="D332" i="12" a="1"/>
  <c r="D332" i="12" s="1"/>
  <c r="K332" i="12" a="1"/>
  <c r="K332" i="12" s="1"/>
  <c r="J332" i="12" a="1"/>
  <c r="J332" i="12" s="1"/>
  <c r="I332" i="12" a="1"/>
  <c r="I332" i="12" s="1"/>
  <c r="H332" i="12" a="1"/>
  <c r="H332" i="12" s="1"/>
  <c r="O332" i="12" a="1"/>
  <c r="O332" i="12" s="1"/>
  <c r="G332" i="12" a="1"/>
  <c r="G332" i="12" s="1"/>
  <c r="N332" i="12" a="1"/>
  <c r="N332" i="12" s="1"/>
  <c r="F332" i="12" a="1"/>
  <c r="F332" i="12" s="1"/>
  <c r="J792" i="13" a="1"/>
  <c r="J792" i="13" s="1"/>
  <c r="J819" i="13" s="1"/>
  <c r="J340" i="12"/>
  <c r="J335" i="12"/>
  <c r="J797" i="13" s="1" a="1"/>
  <c r="J797" i="13" s="1"/>
  <c r="D202" i="12" a="1"/>
  <c r="D202" i="12" s="1"/>
  <c r="GP24" i="9" a="1"/>
  <c r="GP24" i="9" s="1"/>
  <c r="GQ24" i="9" s="1"/>
  <c r="O132" i="12" a="1"/>
  <c r="O132" i="12" s="1"/>
  <c r="O314" i="13" s="1" a="1"/>
  <c r="O314" i="13" s="1"/>
  <c r="O341" i="13" s="1"/>
  <c r="I197" i="12"/>
  <c r="I454" i="13" s="1" a="1"/>
  <c r="I454" i="13" s="1"/>
  <c r="K416" i="13" a="1"/>
  <c r="K416" i="13" s="1"/>
  <c r="K443" i="13" s="1"/>
  <c r="K185" i="12"/>
  <c r="M157" i="12"/>
  <c r="M348" i="13" a="1"/>
  <c r="M348" i="13" s="1"/>
  <c r="M375" i="13" s="1"/>
  <c r="N146" i="12" a="1"/>
  <c r="N146" i="12" s="1"/>
  <c r="N348" i="13" s="1" a="1"/>
  <c r="N348" i="13" s="1"/>
  <c r="N375" i="13" s="1"/>
  <c r="K188" i="12" a="1"/>
  <c r="K188" i="12" s="1"/>
  <c r="K199" i="12" s="1"/>
  <c r="HQ20" i="9" a="1"/>
  <c r="HQ20" i="9" s="1"/>
  <c r="K352" i="13" a="1"/>
  <c r="K352" i="13" s="1"/>
  <c r="L176" i="12" a="1"/>
  <c r="L176" i="12" s="1"/>
  <c r="L417" i="13" s="1" a="1"/>
  <c r="L417" i="13" s="1"/>
  <c r="GA23" i="9" s="1" a="1"/>
  <c r="GA23" i="9" s="1"/>
  <c r="GE23" i="9" a="1"/>
  <c r="GE23" i="9" s="1"/>
  <c r="M162" i="12" a="1"/>
  <c r="M162" i="12" s="1"/>
  <c r="M383" i="13" s="1" a="1"/>
  <c r="M383" i="13" s="1"/>
  <c r="GT22" i="9" s="1" a="1"/>
  <c r="GT22" i="9" s="1"/>
  <c r="M160" i="12" a="1"/>
  <c r="M160" i="12" s="1"/>
  <c r="M166" i="12" s="1"/>
  <c r="FL23" i="9" a="1"/>
  <c r="FL23" i="9" s="1"/>
  <c r="L188" i="12" a="1"/>
  <c r="L188" i="12" s="1"/>
  <c r="K190" i="12" a="1"/>
  <c r="K190" i="12" s="1"/>
  <c r="K451" i="13" s="1" a="1"/>
  <c r="K451" i="13" s="1"/>
  <c r="FH24" i="9" s="1" a="1"/>
  <c r="FH24" i="9" s="1"/>
  <c r="GE22" i="9" a="1"/>
  <c r="GE22" i="9" s="1"/>
  <c r="L174" i="12" a="1"/>
  <c r="L174" i="12" s="1"/>
  <c r="L416" i="13" s="1" a="1"/>
  <c r="L416" i="13" s="1"/>
  <c r="L443" i="13" s="1"/>
  <c r="I187" i="12"/>
  <c r="M250" i="13" a="1"/>
  <c r="M250" i="13" s="1"/>
  <c r="J183" i="12"/>
  <c r="J420" i="13" s="1" a="1"/>
  <c r="J420" i="13" s="1"/>
  <c r="N127" i="12"/>
  <c r="N131" i="12" s="1"/>
  <c r="O75" i="12"/>
  <c r="M141" i="12"/>
  <c r="M145" i="12" s="1"/>
  <c r="E253" i="12"/>
  <c r="E590" i="13" s="1" a="1"/>
  <c r="E590" i="13" s="1"/>
  <c r="H211" i="12"/>
  <c r="H215" i="12" s="1"/>
  <c r="F239" i="12"/>
  <c r="F556" i="13" s="1" a="1"/>
  <c r="F556" i="13" s="1"/>
  <c r="D41" i="24" a="1"/>
  <c r="D41" i="24" s="1"/>
  <c r="H232" i="12" a="1"/>
  <c r="H232" i="12" s="1"/>
  <c r="H553" i="13" s="1" a="1"/>
  <c r="H553" i="13" s="1"/>
  <c r="DC27" i="9" s="1" a="1"/>
  <c r="DC27" i="9" s="1"/>
  <c r="IB28" i="9" a="1"/>
  <c r="IB28" i="9" s="1"/>
  <c r="IC28" i="9" s="1"/>
  <c r="H224" i="12"/>
  <c r="H226" i="12" s="1"/>
  <c r="H524" i="13" s="1" a="1"/>
  <c r="H524" i="13" s="1"/>
  <c r="H523" i="13" a="1"/>
  <c r="H523" i="13" s="1"/>
  <c r="I489" i="13" a="1"/>
  <c r="I489" i="13" s="1"/>
  <c r="I210" i="12"/>
  <c r="I212" i="12" s="1"/>
  <c r="I490" i="13" s="1" a="1"/>
  <c r="I490" i="13" s="1"/>
  <c r="O112" i="12"/>
  <c r="O251" i="13" a="1"/>
  <c r="O251" i="13" s="1"/>
  <c r="M353" i="13" a="1"/>
  <c r="M353" i="13" s="1"/>
  <c r="M154" i="12"/>
  <c r="M156" i="12" s="1"/>
  <c r="M354" i="13" s="1" a="1"/>
  <c r="M354" i="13" s="1"/>
  <c r="CN28" i="9" a="1"/>
  <c r="CN28" i="9" s="1"/>
  <c r="H244" i="12" a="1"/>
  <c r="H244" i="12" s="1"/>
  <c r="G246" i="12" a="1"/>
  <c r="G246" i="12" s="1"/>
  <c r="G587" i="13" s="1" a="1"/>
  <c r="G587" i="13" s="1"/>
  <c r="CJ28" i="9" s="1" a="1"/>
  <c r="CJ28" i="9" s="1"/>
  <c r="D288" i="12" a="1"/>
  <c r="D288" i="12" s="1"/>
  <c r="D689" i="13" s="1" a="1"/>
  <c r="D689" i="13" s="1"/>
  <c r="AE31" i="9" s="1" a="1"/>
  <c r="AE31" i="9" s="1"/>
  <c r="O134" i="12" a="1"/>
  <c r="O134" i="12" s="1"/>
  <c r="O315" i="13" s="1" a="1"/>
  <c r="O315" i="13" s="1"/>
  <c r="IF20" i="9" s="1" a="1"/>
  <c r="IF20" i="9" s="1"/>
  <c r="J484" i="13" a="1"/>
  <c r="J484" i="13" s="1"/>
  <c r="J511" i="13" s="1"/>
  <c r="J208" i="12"/>
  <c r="J213" i="12"/>
  <c r="N113" i="12"/>
  <c r="N114" i="12"/>
  <c r="N252" i="13" s="1" a="1"/>
  <c r="N252" i="13" s="1"/>
  <c r="F260" i="12" a="1"/>
  <c r="F260" i="12" s="1"/>
  <c r="F621" i="13" s="1" a="1"/>
  <c r="F621" i="13" s="1"/>
  <c r="BQ29" i="9" s="1" a="1"/>
  <c r="BQ29" i="9" s="1"/>
  <c r="AI31" i="9" a="1"/>
  <c r="AI31" i="9" s="1"/>
  <c r="E286" i="12" a="1"/>
  <c r="E286" i="12" s="1"/>
  <c r="N216" i="13" a="1"/>
  <c r="N216" i="13" s="1"/>
  <c r="N103" i="12"/>
  <c r="J455" i="13" a="1"/>
  <c r="J455" i="13" s="1"/>
  <c r="J196" i="12"/>
  <c r="J198" i="12" s="1"/>
  <c r="J456" i="13" s="1" a="1"/>
  <c r="J456" i="13" s="1"/>
  <c r="K421" i="13" a="1"/>
  <c r="K421" i="13" s="1"/>
  <c r="K182" i="12"/>
  <c r="K184" i="12" s="1"/>
  <c r="K422" i="13" s="1" a="1"/>
  <c r="K422" i="13" s="1"/>
  <c r="H236" i="12"/>
  <c r="H241" i="12"/>
  <c r="H552" i="13" a="1"/>
  <c r="H552" i="13" s="1"/>
  <c r="H579" i="13" s="1"/>
  <c r="I518" i="13" a="1"/>
  <c r="I518" i="13" s="1"/>
  <c r="I545" i="13" s="1"/>
  <c r="I222" i="12"/>
  <c r="I227" i="12"/>
  <c r="E556" i="13" a="1"/>
  <c r="E556" i="13" s="1"/>
  <c r="E243" i="12"/>
  <c r="G586" i="13" a="1"/>
  <c r="G586" i="13" s="1"/>
  <c r="G613" i="13" s="1"/>
  <c r="G250" i="12"/>
  <c r="G255" i="12"/>
  <c r="F591" i="13" a="1"/>
  <c r="F591" i="13" s="1"/>
  <c r="F252" i="12"/>
  <c r="F254" i="12" s="1"/>
  <c r="F592" i="13" s="1" a="1"/>
  <c r="F592" i="13" s="1"/>
  <c r="F229" i="12"/>
  <c r="F522" i="13" a="1"/>
  <c r="F522" i="13" s="1"/>
  <c r="F620" i="13" a="1"/>
  <c r="F620" i="13" s="1"/>
  <c r="F647" i="13" s="1"/>
  <c r="F264" i="12"/>
  <c r="F269" i="12"/>
  <c r="O99" i="12"/>
  <c r="O100" i="12"/>
  <c r="O218" i="13" s="1" a="1"/>
  <c r="O218" i="13" s="1"/>
  <c r="C42" i="28" a="1"/>
  <c r="C42" i="28" s="1"/>
  <c r="A300" i="12" a="1"/>
  <c r="A300" i="12" s="1"/>
  <c r="A719" i="13" a="1"/>
  <c r="A719" i="13" s="1"/>
  <c r="K202" i="12" a="1"/>
  <c r="K202" i="12" s="1"/>
  <c r="ES25" i="9" a="1"/>
  <c r="ES25" i="9" s="1"/>
  <c r="E625" i="13" a="1"/>
  <c r="E625" i="13" s="1"/>
  <c r="E266" i="12"/>
  <c r="E268" i="12" s="1"/>
  <c r="E626" i="13" s="1" a="1"/>
  <c r="E626" i="13" s="1"/>
  <c r="K169" i="12"/>
  <c r="J386" i="13" a="1"/>
  <c r="J386" i="13" s="1"/>
  <c r="J173" i="12"/>
  <c r="I230" i="12" a="1"/>
  <c r="I230" i="12" s="1"/>
  <c r="DG27" i="9" a="1"/>
  <c r="DG27" i="9" s="1"/>
  <c r="BB30" i="9" a="1"/>
  <c r="BB30" i="9" s="1"/>
  <c r="F272" i="12" a="1"/>
  <c r="F272" i="12" s="1"/>
  <c r="J216" i="12" a="1"/>
  <c r="J216" i="12" s="1"/>
  <c r="DZ26" i="9" a="1"/>
  <c r="DZ26" i="9" s="1"/>
  <c r="L318" i="13" a="1"/>
  <c r="L318" i="13" s="1"/>
  <c r="L145" i="12"/>
  <c r="E654" i="13" a="1"/>
  <c r="E654" i="13" s="1"/>
  <c r="E681" i="13" s="1"/>
  <c r="E278" i="12"/>
  <c r="E283" i="12"/>
  <c r="J204" i="12" a="1"/>
  <c r="J204" i="12" s="1"/>
  <c r="J485" i="13" s="1" a="1"/>
  <c r="J485" i="13" s="1"/>
  <c r="EO25" i="9" s="1" a="1"/>
  <c r="EO25" i="9" s="1"/>
  <c r="E274" i="12" a="1"/>
  <c r="E274" i="12" s="1"/>
  <c r="E655" i="13" s="1" a="1"/>
  <c r="E655" i="13" s="1"/>
  <c r="AX30" i="9" s="1" a="1"/>
  <c r="AX30" i="9" s="1"/>
  <c r="I218" i="12" a="1"/>
  <c r="I218" i="12" s="1"/>
  <c r="I519" i="13" s="1" a="1"/>
  <c r="I519" i="13" s="1"/>
  <c r="DV26" i="9" s="1" a="1"/>
  <c r="DV26" i="9" s="1"/>
  <c r="M284" i="13" a="1"/>
  <c r="M284" i="13" s="1"/>
  <c r="M131" i="12"/>
  <c r="G225" i="12"/>
  <c r="L168" i="12"/>
  <c r="L170" i="12" s="1"/>
  <c r="L388" i="13" s="1" a="1"/>
  <c r="L388" i="13" s="1"/>
  <c r="L387" i="13" a="1"/>
  <c r="L387" i="13" s="1"/>
  <c r="H201" i="12"/>
  <c r="H454" i="13" a="1"/>
  <c r="H454" i="13" s="1"/>
  <c r="O285" i="13" a="1"/>
  <c r="O285" i="13" s="1"/>
  <c r="O126" i="12"/>
  <c r="O128" i="12" s="1"/>
  <c r="O286" i="13" s="1" a="1"/>
  <c r="O286" i="13" s="1"/>
  <c r="N89" i="12"/>
  <c r="N182" i="13" a="1"/>
  <c r="N182" i="13" s="1"/>
  <c r="O85" i="12"/>
  <c r="BU27" i="9" a="1"/>
  <c r="BU27" i="9" s="1"/>
  <c r="B656" i="13"/>
  <c r="B657" i="13" s="1"/>
  <c r="B653" i="13"/>
  <c r="B654" i="13" s="1"/>
  <c r="B655" i="13" s="1"/>
  <c r="B607" i="13"/>
  <c r="B612" i="13"/>
  <c r="B685" i="13" a="1"/>
  <c r="B685" i="13" s="1"/>
  <c r="B686" i="13" s="1"/>
  <c r="B628" i="13"/>
  <c r="B629" i="13" s="1"/>
  <c r="B630" i="13" s="1"/>
  <c r="B631" i="13" s="1"/>
  <c r="B632" i="13" s="1"/>
  <c r="B633" i="13" s="1"/>
  <c r="B634" i="13" s="1"/>
  <c r="B635" i="13" s="1"/>
  <c r="B636" i="13" s="1"/>
  <c r="B637" i="13" s="1"/>
  <c r="B638" i="13" s="1"/>
  <c r="B639" i="13" s="1"/>
  <c r="B640" i="13" s="1"/>
  <c r="B624" i="13"/>
  <c r="B625" i="13" s="1"/>
  <c r="B626" i="13" s="1"/>
  <c r="B627" i="13" s="1"/>
  <c r="B579" i="13"/>
  <c r="B580" i="13" s="1"/>
  <c r="B581" i="13" s="1"/>
  <c r="B582" i="13" s="1"/>
  <c r="B574" i="13"/>
  <c r="B575" i="13" s="1"/>
  <c r="B576" i="13" s="1"/>
  <c r="B577" i="13" s="1"/>
  <c r="AA456" i="10"/>
  <c r="AA443" i="10"/>
  <c r="AA468" i="10"/>
  <c r="AA469" i="10" s="1"/>
  <c r="AA481" i="10"/>
  <c r="B286" i="12" a="1"/>
  <c r="B286" i="12" s="1"/>
  <c r="R370" i="12"/>
  <c r="R358" i="12"/>
  <c r="R357" i="12"/>
  <c r="R345" i="12"/>
  <c r="R333" i="12"/>
  <c r="R346" i="12"/>
  <c r="N140" i="12" l="1"/>
  <c r="L155" i="12"/>
  <c r="K194" i="12"/>
  <c r="K196" i="12" s="1"/>
  <c r="K198" i="12" s="1"/>
  <c r="K456" i="13" s="1" a="1"/>
  <c r="K456" i="13" s="1"/>
  <c r="I201" i="12"/>
  <c r="O143" i="12"/>
  <c r="K826" i="13" a="1"/>
  <c r="K826" i="13" s="1"/>
  <c r="K853" i="13" s="1"/>
  <c r="K354" i="12"/>
  <c r="K349" i="12"/>
  <c r="K831" i="13" s="1" a="1"/>
  <c r="K831" i="13" s="1"/>
  <c r="I333" i="12" a="1"/>
  <c r="I333" i="12" s="1"/>
  <c r="H333" i="12" a="1"/>
  <c r="H333" i="12" s="1"/>
  <c r="O333" i="12" a="1"/>
  <c r="O333" i="12" s="1"/>
  <c r="G333" i="12" a="1"/>
  <c r="G333" i="12" s="1"/>
  <c r="N333" i="12" a="1"/>
  <c r="N333" i="12" s="1"/>
  <c r="F333" i="12" a="1"/>
  <c r="F333" i="12" s="1"/>
  <c r="M333" i="12" a="1"/>
  <c r="M333" i="12" s="1"/>
  <c r="E333" i="12" a="1"/>
  <c r="E333" i="12" s="1"/>
  <c r="L333" i="12" a="1"/>
  <c r="L333" i="12" s="1"/>
  <c r="D333" i="12" a="1"/>
  <c r="D333" i="12" s="1"/>
  <c r="K333" i="12" a="1"/>
  <c r="K333" i="12" s="1"/>
  <c r="J333" i="12" a="1"/>
  <c r="J333" i="12" s="1"/>
  <c r="O138" i="12"/>
  <c r="O140" i="12" s="1"/>
  <c r="O142" i="12" s="1"/>
  <c r="O320" i="13" s="1" a="1"/>
  <c r="O320" i="13" s="1"/>
  <c r="F826" i="13" a="1"/>
  <c r="F826" i="13" s="1"/>
  <c r="F853" i="13" s="1"/>
  <c r="F349" i="12"/>
  <c r="F831" i="13" s="1" a="1"/>
  <c r="F831" i="13" s="1"/>
  <c r="F354" i="12"/>
  <c r="D826" i="13" a="1"/>
  <c r="D826" i="13" s="1"/>
  <c r="D853" i="13" s="1"/>
  <c r="D349" i="12"/>
  <c r="D831" i="13" s="1" a="1"/>
  <c r="D831" i="13" s="1"/>
  <c r="D354" i="12"/>
  <c r="I345" i="12" a="1"/>
  <c r="I345" i="12" s="1"/>
  <c r="I827" i="13" s="1" a="1"/>
  <c r="I827" i="13" s="1"/>
  <c r="H345" i="12" a="1"/>
  <c r="H345" i="12" s="1"/>
  <c r="H827" i="13" s="1" a="1"/>
  <c r="H827" i="13" s="1"/>
  <c r="O345" i="12" a="1"/>
  <c r="O345" i="12" s="1"/>
  <c r="O827" i="13" s="1" a="1"/>
  <c r="O827" i="13" s="1"/>
  <c r="G345" i="12" a="1"/>
  <c r="G345" i="12" s="1"/>
  <c r="G827" i="13" s="1" a="1"/>
  <c r="G827" i="13" s="1"/>
  <c r="N345" i="12" a="1"/>
  <c r="N345" i="12" s="1"/>
  <c r="N827" i="13" s="1" a="1"/>
  <c r="N827" i="13" s="1"/>
  <c r="F345" i="12" a="1"/>
  <c r="F345" i="12" s="1"/>
  <c r="F827" i="13" s="1" a="1"/>
  <c r="F827" i="13" s="1"/>
  <c r="M345" i="12" a="1"/>
  <c r="M345" i="12" s="1"/>
  <c r="M827" i="13" s="1" a="1"/>
  <c r="M827" i="13" s="1"/>
  <c r="E345" i="12" a="1"/>
  <c r="E345" i="12" s="1"/>
  <c r="E827" i="13" s="1" a="1"/>
  <c r="E827" i="13" s="1"/>
  <c r="L345" i="12" a="1"/>
  <c r="L345" i="12" s="1"/>
  <c r="L827" i="13" s="1" a="1"/>
  <c r="L827" i="13" s="1"/>
  <c r="D345" i="12" a="1"/>
  <c r="D345" i="12" s="1"/>
  <c r="D827" i="13" s="1" a="1"/>
  <c r="D827" i="13" s="1"/>
  <c r="K345" i="12" a="1"/>
  <c r="K345" i="12" s="1"/>
  <c r="K827" i="13" s="1" a="1"/>
  <c r="K827" i="13" s="1"/>
  <c r="J345" i="12" a="1"/>
  <c r="J345" i="12" s="1"/>
  <c r="J827" i="13" s="1" a="1"/>
  <c r="J827" i="13" s="1"/>
  <c r="N826" i="13" a="1"/>
  <c r="N826" i="13" s="1"/>
  <c r="N853" i="13" s="1"/>
  <c r="N349" i="12"/>
  <c r="N831" i="13" s="1" a="1"/>
  <c r="N831" i="13" s="1"/>
  <c r="N354" i="12"/>
  <c r="L826" i="13" a="1"/>
  <c r="L826" i="13" s="1"/>
  <c r="L853" i="13" s="1"/>
  <c r="L349" i="12"/>
  <c r="L831" i="13" s="1" a="1"/>
  <c r="L831" i="13" s="1"/>
  <c r="L354" i="12"/>
  <c r="M357" i="12" a="1"/>
  <c r="M357" i="12" s="1"/>
  <c r="E357" i="12" a="1"/>
  <c r="E357" i="12" s="1"/>
  <c r="L357" i="12" a="1"/>
  <c r="L357" i="12" s="1"/>
  <c r="D357" i="12" a="1"/>
  <c r="D357" i="12" s="1"/>
  <c r="K357" i="12" a="1"/>
  <c r="K357" i="12" s="1"/>
  <c r="J357" i="12" a="1"/>
  <c r="J357" i="12" s="1"/>
  <c r="I357" i="12" a="1"/>
  <c r="I357" i="12" s="1"/>
  <c r="H357" i="12" a="1"/>
  <c r="H357" i="12" s="1"/>
  <c r="O357" i="12" a="1"/>
  <c r="O357" i="12" s="1"/>
  <c r="G357" i="12" a="1"/>
  <c r="G357" i="12" s="1"/>
  <c r="N357" i="12" a="1"/>
  <c r="N357" i="12" s="1"/>
  <c r="F357" i="12" a="1"/>
  <c r="F357" i="12" s="1"/>
  <c r="O826" i="13" a="1"/>
  <c r="O826" i="13" s="1"/>
  <c r="O853" i="13" s="1"/>
  <c r="O349" i="12"/>
  <c r="O831" i="13" s="1" a="1"/>
  <c r="O831" i="13" s="1"/>
  <c r="O354" i="12"/>
  <c r="M826" i="13" a="1"/>
  <c r="M826" i="13" s="1"/>
  <c r="M853" i="13" s="1"/>
  <c r="M349" i="12"/>
  <c r="M831" i="13" s="1" a="1"/>
  <c r="M831" i="13" s="1"/>
  <c r="M354" i="12"/>
  <c r="M346" i="12" a="1"/>
  <c r="M346" i="12" s="1"/>
  <c r="E346" i="12" a="1"/>
  <c r="E346" i="12" s="1"/>
  <c r="L346" i="12" a="1"/>
  <c r="L346" i="12" s="1"/>
  <c r="D346" i="12" a="1"/>
  <c r="D346" i="12" s="1"/>
  <c r="K346" i="12" a="1"/>
  <c r="K346" i="12" s="1"/>
  <c r="J346" i="12" a="1"/>
  <c r="J346" i="12" s="1"/>
  <c r="I346" i="12" a="1"/>
  <c r="I346" i="12" s="1"/>
  <c r="H346" i="12" a="1"/>
  <c r="H346" i="12" s="1"/>
  <c r="O346" i="12" a="1"/>
  <c r="O346" i="12" s="1"/>
  <c r="G346" i="12" a="1"/>
  <c r="G346" i="12" s="1"/>
  <c r="N346" i="12" a="1"/>
  <c r="N346" i="12" s="1"/>
  <c r="F346" i="12" a="1"/>
  <c r="F346" i="12" s="1"/>
  <c r="G826" i="13" a="1"/>
  <c r="G826" i="13" s="1"/>
  <c r="G853" i="13" s="1"/>
  <c r="G349" i="12"/>
  <c r="G831" i="13" s="1" a="1"/>
  <c r="G831" i="13" s="1"/>
  <c r="G354" i="12"/>
  <c r="H826" i="13" a="1"/>
  <c r="H826" i="13" s="1"/>
  <c r="H853" i="13" s="1"/>
  <c r="H354" i="12"/>
  <c r="H349" i="12"/>
  <c r="H831" i="13" s="1" a="1"/>
  <c r="H831" i="13" s="1"/>
  <c r="E826" i="13" a="1"/>
  <c r="E826" i="13" s="1"/>
  <c r="E853" i="13" s="1"/>
  <c r="E349" i="12"/>
  <c r="E831" i="13" s="1" a="1"/>
  <c r="E831" i="13" s="1"/>
  <c r="E354" i="12"/>
  <c r="I826" i="13" a="1"/>
  <c r="I826" i="13" s="1"/>
  <c r="I853" i="13" s="1"/>
  <c r="I354" i="12"/>
  <c r="I349" i="12"/>
  <c r="I831" i="13" s="1" a="1"/>
  <c r="I831" i="13" s="1"/>
  <c r="J826" i="13" a="1"/>
  <c r="J826" i="13" s="1"/>
  <c r="J853" i="13" s="1"/>
  <c r="J354" i="12"/>
  <c r="J349" i="12"/>
  <c r="J831" i="13" s="1" a="1"/>
  <c r="J831" i="13" s="1"/>
  <c r="N157" i="12"/>
  <c r="N152" i="12"/>
  <c r="N353" i="13" s="1" a="1"/>
  <c r="N353" i="13" s="1"/>
  <c r="D216" i="12" a="1"/>
  <c r="D216" i="12" s="1"/>
  <c r="HI24" i="9" a="1"/>
  <c r="HI24" i="9" s="1"/>
  <c r="HJ24" i="9" s="1"/>
  <c r="IB24" i="9" a="1"/>
  <c r="IB24" i="9" s="1"/>
  <c r="IC24" i="9" s="1"/>
  <c r="D208" i="12"/>
  <c r="D213" i="12"/>
  <c r="D484" i="13" a="1"/>
  <c r="D484" i="13" s="1"/>
  <c r="D511" i="13" s="1"/>
  <c r="FW25" i="9" a="1"/>
  <c r="FW25" i="9" s="1"/>
  <c r="FX25" i="9" s="1"/>
  <c r="M382" i="13" a="1"/>
  <c r="M382" i="13" s="1"/>
  <c r="M409" i="13" s="1"/>
  <c r="M171" i="12"/>
  <c r="J187" i="12"/>
  <c r="N148" i="12" a="1"/>
  <c r="N148" i="12" s="1"/>
  <c r="N349" i="13" s="1" a="1"/>
  <c r="N349" i="13" s="1"/>
  <c r="HM21" i="9" s="1" a="1"/>
  <c r="HM21" i="9" s="1"/>
  <c r="M174" i="12" a="1"/>
  <c r="M174" i="12" s="1"/>
  <c r="M185" i="12" s="1"/>
  <c r="K450" i="13" a="1"/>
  <c r="K450" i="13" s="1"/>
  <c r="K477" i="13" s="1"/>
  <c r="N284" i="13" a="1"/>
  <c r="N284" i="13" s="1"/>
  <c r="FL24" i="9" a="1"/>
  <c r="FL24" i="9" s="1"/>
  <c r="HQ21" i="9" a="1"/>
  <c r="HQ21" i="9" s="1"/>
  <c r="GX23" i="9" a="1"/>
  <c r="GX23" i="9" s="1"/>
  <c r="L180" i="12"/>
  <c r="L182" i="12" s="1"/>
  <c r="L184" i="12" s="1"/>
  <c r="L422" i="13" s="1" a="1"/>
  <c r="L422" i="13" s="1"/>
  <c r="L190" i="12" a="1"/>
  <c r="L190" i="12" s="1"/>
  <c r="L451" i="13" s="1" a="1"/>
  <c r="L451" i="13" s="1"/>
  <c r="GA24" i="9" s="1" a="1"/>
  <c r="GA24" i="9" s="1"/>
  <c r="GE24" i="9" a="1"/>
  <c r="GE24" i="9" s="1"/>
  <c r="O146" i="12" a="1"/>
  <c r="O146" i="12" s="1"/>
  <c r="O348" i="13" s="1" a="1"/>
  <c r="O348" i="13" s="1"/>
  <c r="O375" i="13" s="1"/>
  <c r="N160" i="12" a="1"/>
  <c r="N160" i="12" s="1"/>
  <c r="N166" i="12" s="1"/>
  <c r="L185" i="12"/>
  <c r="GX22" i="9" a="1"/>
  <c r="GX22" i="9" s="1"/>
  <c r="M318" i="13" a="1"/>
  <c r="M318" i="13" s="1"/>
  <c r="I211" i="12"/>
  <c r="I215" i="12" s="1"/>
  <c r="E257" i="12"/>
  <c r="H488" i="13" a="1"/>
  <c r="H488" i="13" s="1"/>
  <c r="K183" i="12"/>
  <c r="K187" i="12" s="1"/>
  <c r="F253" i="12"/>
  <c r="F257" i="12" s="1"/>
  <c r="L169" i="12"/>
  <c r="L386" i="13" s="1" a="1"/>
  <c r="L386" i="13" s="1"/>
  <c r="O127" i="12"/>
  <c r="O284" i="13" s="1" a="1"/>
  <c r="O284" i="13" s="1"/>
  <c r="F243" i="12"/>
  <c r="J197" i="12"/>
  <c r="J454" i="13" s="1" a="1"/>
  <c r="J454" i="13" s="1"/>
  <c r="M168" i="12"/>
  <c r="M170" i="12" s="1"/>
  <c r="M388" i="13" s="1" a="1"/>
  <c r="M388" i="13" s="1"/>
  <c r="M387" i="13" a="1"/>
  <c r="M387" i="13" s="1"/>
  <c r="O148" i="12" a="1"/>
  <c r="O148" i="12" s="1"/>
  <c r="O349" i="13" s="1" a="1"/>
  <c r="O349" i="13" s="1"/>
  <c r="IF21" i="9" s="1" a="1"/>
  <c r="IF21" i="9" s="1"/>
  <c r="F283" i="12"/>
  <c r="F654" i="13" a="1"/>
  <c r="F654" i="13" s="1"/>
  <c r="F681" i="13" s="1"/>
  <c r="F278" i="12"/>
  <c r="E688" i="13" a="1"/>
  <c r="E688" i="13" s="1"/>
  <c r="E715" i="13" s="1"/>
  <c r="E292" i="12"/>
  <c r="E297" i="12"/>
  <c r="AI32" i="9" a="1"/>
  <c r="AI32" i="9" s="1"/>
  <c r="E300" i="12" a="1"/>
  <c r="E300" i="12" s="1"/>
  <c r="C43" i="28" a="1"/>
  <c r="C43" i="28" s="1"/>
  <c r="A753" i="13" a="1"/>
  <c r="A753" i="13" s="1"/>
  <c r="A314" i="12" a="1"/>
  <c r="A314" i="12" s="1"/>
  <c r="G591" i="13" a="1"/>
  <c r="G591" i="13" s="1"/>
  <c r="G252" i="12"/>
  <c r="G254" i="12" s="1"/>
  <c r="G592" i="13" s="1" a="1"/>
  <c r="G592" i="13" s="1"/>
  <c r="CN29" i="9" a="1"/>
  <c r="CN29" i="9" s="1"/>
  <c r="H258" i="12" a="1"/>
  <c r="H258" i="12" s="1"/>
  <c r="H246" i="12" a="1"/>
  <c r="H246" i="12" s="1"/>
  <c r="H587" i="13" s="1" a="1"/>
  <c r="H587" i="13" s="1"/>
  <c r="DC28" i="9" s="1" a="1"/>
  <c r="DC28" i="9" s="1"/>
  <c r="D302" i="12" a="1"/>
  <c r="D302" i="12" s="1"/>
  <c r="D723" i="13" s="1" a="1"/>
  <c r="D723" i="13" s="1"/>
  <c r="AE32" i="9" s="1" a="1"/>
  <c r="AE32" i="9" s="1"/>
  <c r="E280" i="12"/>
  <c r="E282" i="12" s="1"/>
  <c r="E660" i="13" s="1" a="1"/>
  <c r="E660" i="13" s="1"/>
  <c r="E659" i="13" a="1"/>
  <c r="E659" i="13" s="1"/>
  <c r="I552" i="13" a="1"/>
  <c r="I552" i="13" s="1"/>
  <c r="I579" i="13" s="1"/>
  <c r="I236" i="12"/>
  <c r="I241" i="12"/>
  <c r="K208" i="12"/>
  <c r="K484" i="13" a="1"/>
  <c r="K484" i="13" s="1"/>
  <c r="K511" i="13" s="1"/>
  <c r="K213" i="12"/>
  <c r="H557" i="13" a="1"/>
  <c r="H557" i="13" s="1"/>
  <c r="H238" i="12"/>
  <c r="H240" i="12" s="1"/>
  <c r="H558" i="13" s="1" a="1"/>
  <c r="H558" i="13" s="1"/>
  <c r="H250" i="12"/>
  <c r="H586" i="13" a="1"/>
  <c r="H586" i="13" s="1"/>
  <c r="H613" i="13" s="1"/>
  <c r="H255" i="12"/>
  <c r="O113" i="12"/>
  <c r="O114" i="12"/>
  <c r="O252" i="13" s="1" a="1"/>
  <c r="O252" i="13" s="1"/>
  <c r="I232" i="12" a="1"/>
  <c r="I232" i="12" s="1"/>
  <c r="I553" i="13" s="1" a="1"/>
  <c r="I553" i="13" s="1"/>
  <c r="DV27" i="9" s="1" a="1"/>
  <c r="DV27" i="9" s="1"/>
  <c r="F286" i="12" a="1"/>
  <c r="F286" i="12" s="1"/>
  <c r="BB31" i="9" a="1"/>
  <c r="BB31" i="9" s="1"/>
  <c r="ES26" i="9" a="1"/>
  <c r="ES26" i="9" s="1"/>
  <c r="K216" i="12" a="1"/>
  <c r="K216" i="12" s="1"/>
  <c r="I244" i="12" a="1"/>
  <c r="I244" i="12" s="1"/>
  <c r="DG28" i="9" a="1"/>
  <c r="DG28" i="9" s="1"/>
  <c r="L159" i="12"/>
  <c r="L352" i="13" a="1"/>
  <c r="L352" i="13" s="1"/>
  <c r="K455" i="13" a="1"/>
  <c r="K455" i="13" s="1"/>
  <c r="F625" i="13" a="1"/>
  <c r="F625" i="13" s="1"/>
  <c r="F266" i="12"/>
  <c r="F268" i="12" s="1"/>
  <c r="F626" i="13" s="1" a="1"/>
  <c r="F626" i="13" s="1"/>
  <c r="DZ27" i="9" a="1"/>
  <c r="DZ27" i="9" s="1"/>
  <c r="J230" i="12" a="1"/>
  <c r="J230" i="12" s="1"/>
  <c r="E288" i="12" a="1"/>
  <c r="E288" i="12" s="1"/>
  <c r="E689" i="13" s="1" a="1"/>
  <c r="E689" i="13" s="1"/>
  <c r="AX31" i="9" s="1" a="1"/>
  <c r="AX31" i="9" s="1"/>
  <c r="IB29" i="9" a="1"/>
  <c r="IB29" i="9" s="1"/>
  <c r="IC29" i="9" s="1"/>
  <c r="G522" i="13" a="1"/>
  <c r="G522" i="13" s="1"/>
  <c r="G229" i="12"/>
  <c r="N141" i="12"/>
  <c r="N142" i="12"/>
  <c r="N320" i="13" s="1" a="1"/>
  <c r="N320" i="13" s="1"/>
  <c r="J210" i="12"/>
  <c r="J212" i="12" s="1"/>
  <c r="J490" i="13" s="1" a="1"/>
  <c r="J490" i="13" s="1"/>
  <c r="J489" i="13" a="1"/>
  <c r="J489" i="13" s="1"/>
  <c r="F274" i="12" a="1"/>
  <c r="F274" i="12" s="1"/>
  <c r="F655" i="13" s="1" a="1"/>
  <c r="F655" i="13" s="1"/>
  <c r="BQ30" i="9" s="1" a="1"/>
  <c r="BQ30" i="9" s="1"/>
  <c r="G260" i="12" a="1"/>
  <c r="G260" i="12" s="1"/>
  <c r="G621" i="13" s="1" a="1"/>
  <c r="G621" i="13" s="1"/>
  <c r="CJ29" i="9" s="1" a="1"/>
  <c r="CJ29" i="9" s="1"/>
  <c r="L202" i="12" a="1"/>
  <c r="L202" i="12" s="1"/>
  <c r="FL25" i="9" a="1"/>
  <c r="FL25" i="9" s="1"/>
  <c r="K173" i="12"/>
  <c r="K386" i="13" a="1"/>
  <c r="K386" i="13" s="1"/>
  <c r="L450" i="13" a="1"/>
  <c r="L450" i="13" s="1"/>
  <c r="L477" i="13" s="1"/>
  <c r="L194" i="12"/>
  <c r="L199" i="12"/>
  <c r="J218" i="12" a="1"/>
  <c r="J218" i="12" s="1"/>
  <c r="J519" i="13" s="1" a="1"/>
  <c r="J519" i="13" s="1"/>
  <c r="EO26" i="9" s="1" a="1"/>
  <c r="EO26" i="9" s="1"/>
  <c r="K204" i="12" a="1"/>
  <c r="K204" i="12" s="1"/>
  <c r="K485" i="13" s="1" a="1"/>
  <c r="K485" i="13" s="1"/>
  <c r="FH25" i="9" s="1" a="1"/>
  <c r="FH25" i="9" s="1"/>
  <c r="J227" i="12"/>
  <c r="J518" i="13" a="1"/>
  <c r="J518" i="13" s="1"/>
  <c r="J545" i="13" s="1"/>
  <c r="J222" i="12"/>
  <c r="E267" i="12"/>
  <c r="O216" i="13" a="1"/>
  <c r="O216" i="13" s="1"/>
  <c r="O103" i="12"/>
  <c r="I523" i="13" a="1"/>
  <c r="I523" i="13" s="1"/>
  <c r="I224" i="12"/>
  <c r="I226" i="12" s="1"/>
  <c r="I524" i="13" s="1" a="1"/>
  <c r="I524" i="13" s="1"/>
  <c r="N250" i="13" a="1"/>
  <c r="N250" i="13" s="1"/>
  <c r="N117" i="12"/>
  <c r="M155" i="12"/>
  <c r="H225" i="12"/>
  <c r="O182" i="13" a="1"/>
  <c r="O182" i="13" s="1"/>
  <c r="O89" i="12"/>
  <c r="B690" i="13"/>
  <c r="B691" i="13" s="1"/>
  <c r="B687" i="13"/>
  <c r="B688" i="13" s="1"/>
  <c r="B689" i="13" s="1"/>
  <c r="B719" i="13" a="1"/>
  <c r="B719" i="13" s="1"/>
  <c r="B720" i="13" s="1"/>
  <c r="B641" i="13"/>
  <c r="B646" i="13"/>
  <c r="B662" i="13"/>
  <c r="B663" i="13" s="1"/>
  <c r="B664" i="13" s="1"/>
  <c r="B665" i="13" s="1"/>
  <c r="B666" i="13" s="1"/>
  <c r="B667" i="13" s="1"/>
  <c r="B668" i="13" s="1"/>
  <c r="B669" i="13" s="1"/>
  <c r="B670" i="13" s="1"/>
  <c r="B671" i="13" s="1"/>
  <c r="B672" i="13" s="1"/>
  <c r="B673" i="13" s="1"/>
  <c r="B674" i="13" s="1"/>
  <c r="B658" i="13"/>
  <c r="B659" i="13" s="1"/>
  <c r="B660" i="13" s="1"/>
  <c r="B661" i="13" s="1"/>
  <c r="B608" i="13"/>
  <c r="B609" i="13" s="1"/>
  <c r="B610" i="13" s="1"/>
  <c r="B611" i="13" s="1"/>
  <c r="B613" i="13"/>
  <c r="B614" i="13" s="1"/>
  <c r="B615" i="13" s="1"/>
  <c r="B616" i="13" s="1"/>
  <c r="AA457" i="10"/>
  <c r="AA495" i="10"/>
  <c r="AA482" i="10"/>
  <c r="AA483" i="10" s="1"/>
  <c r="AA470" i="10"/>
  <c r="B300" i="12" a="1"/>
  <c r="B300" i="12" s="1"/>
  <c r="R360" i="12"/>
  <c r="R371" i="12"/>
  <c r="R372" i="12"/>
  <c r="R384" i="12"/>
  <c r="R347" i="12"/>
  <c r="R359" i="12"/>
  <c r="M180" i="12" l="1"/>
  <c r="M182" i="12" s="1"/>
  <c r="M184" i="12" s="1"/>
  <c r="M422" i="13" s="1" a="1"/>
  <c r="M422" i="13" s="1"/>
  <c r="M416" i="13" a="1"/>
  <c r="M416" i="13" s="1"/>
  <c r="M443" i="13" s="1"/>
  <c r="N154" i="12"/>
  <c r="N156" i="12" s="1"/>
  <c r="N354" i="13" s="1" a="1"/>
  <c r="N354" i="13" s="1"/>
  <c r="H368" i="12"/>
  <c r="H860" i="13" a="1"/>
  <c r="H860" i="13" s="1"/>
  <c r="H887" i="13" s="1"/>
  <c r="H363" i="12"/>
  <c r="H865" i="13" s="1" a="1"/>
  <c r="H865" i="13" s="1"/>
  <c r="I860" i="13" a="1"/>
  <c r="I860" i="13" s="1"/>
  <c r="I887" i="13" s="1"/>
  <c r="I368" i="12"/>
  <c r="I363" i="12"/>
  <c r="I865" i="13" s="1" a="1"/>
  <c r="I865" i="13" s="1"/>
  <c r="M371" i="12" a="1"/>
  <c r="M371" i="12" s="1"/>
  <c r="E371" i="12" a="1"/>
  <c r="E371" i="12" s="1"/>
  <c r="L371" i="12" a="1"/>
  <c r="L371" i="12" s="1"/>
  <c r="D371" i="12" a="1"/>
  <c r="D371" i="12" s="1"/>
  <c r="K371" i="12" a="1"/>
  <c r="K371" i="12" s="1"/>
  <c r="J371" i="12" a="1"/>
  <c r="J371" i="12" s="1"/>
  <c r="I371" i="12" a="1"/>
  <c r="I371" i="12" s="1"/>
  <c r="H371" i="12" a="1"/>
  <c r="H371" i="12" s="1"/>
  <c r="O371" i="12" a="1"/>
  <c r="O371" i="12" s="1"/>
  <c r="G371" i="12" a="1"/>
  <c r="G371" i="12" s="1"/>
  <c r="N371" i="12" a="1"/>
  <c r="N371" i="12" s="1"/>
  <c r="F371" i="12" a="1"/>
  <c r="F371" i="12" s="1"/>
  <c r="J860" i="13" a="1"/>
  <c r="J860" i="13" s="1"/>
  <c r="J887" i="13" s="1"/>
  <c r="J368" i="12"/>
  <c r="J363" i="12"/>
  <c r="J865" i="13" s="1" a="1"/>
  <c r="J865" i="13" s="1"/>
  <c r="M360" i="12" a="1"/>
  <c r="M360" i="12" s="1"/>
  <c r="E360" i="12" a="1"/>
  <c r="E360" i="12" s="1"/>
  <c r="L360" i="12" a="1"/>
  <c r="L360" i="12" s="1"/>
  <c r="D360" i="12" a="1"/>
  <c r="D360" i="12" s="1"/>
  <c r="K360" i="12" a="1"/>
  <c r="K360" i="12" s="1"/>
  <c r="J360" i="12" a="1"/>
  <c r="J360" i="12" s="1"/>
  <c r="I360" i="12" a="1"/>
  <c r="I360" i="12" s="1"/>
  <c r="H360" i="12" a="1"/>
  <c r="H360" i="12" s="1"/>
  <c r="O360" i="12" a="1"/>
  <c r="O360" i="12" s="1"/>
  <c r="G360" i="12" a="1"/>
  <c r="G360" i="12" s="1"/>
  <c r="N360" i="12" a="1"/>
  <c r="N360" i="12" s="1"/>
  <c r="F360" i="12" a="1"/>
  <c r="F360" i="12" s="1"/>
  <c r="O319" i="13" a="1"/>
  <c r="O319" i="13" s="1"/>
  <c r="K860" i="13" a="1"/>
  <c r="K860" i="13" s="1"/>
  <c r="K887" i="13" s="1"/>
  <c r="K368" i="12"/>
  <c r="K363" i="12"/>
  <c r="K865" i="13" s="1" a="1"/>
  <c r="K865" i="13" s="1"/>
  <c r="F860" i="13" a="1"/>
  <c r="F860" i="13" s="1"/>
  <c r="F887" i="13" s="1"/>
  <c r="F363" i="12"/>
  <c r="F865" i="13" s="1" a="1"/>
  <c r="F865" i="13" s="1"/>
  <c r="F368" i="12"/>
  <c r="D860" i="13" a="1"/>
  <c r="D860" i="13" s="1"/>
  <c r="D887" i="13" s="1"/>
  <c r="D363" i="12"/>
  <c r="D865" i="13" s="1" a="1"/>
  <c r="D865" i="13" s="1"/>
  <c r="D368" i="12"/>
  <c r="N860" i="13" a="1"/>
  <c r="N860" i="13" s="1"/>
  <c r="N887" i="13" s="1"/>
  <c r="N363" i="12"/>
  <c r="N865" i="13" s="1" a="1"/>
  <c r="N865" i="13" s="1"/>
  <c r="N368" i="12"/>
  <c r="L363" i="12"/>
  <c r="L865" i="13" s="1" a="1"/>
  <c r="L865" i="13" s="1"/>
  <c r="L860" i="13" a="1"/>
  <c r="L860" i="13" s="1"/>
  <c r="L887" i="13" s="1"/>
  <c r="L368" i="12"/>
  <c r="I359" i="12" a="1"/>
  <c r="I359" i="12" s="1"/>
  <c r="I861" i="13" s="1" a="1"/>
  <c r="I861" i="13" s="1"/>
  <c r="H359" i="12" a="1"/>
  <c r="H359" i="12" s="1"/>
  <c r="H861" i="13" s="1" a="1"/>
  <c r="H861" i="13" s="1"/>
  <c r="O359" i="12" a="1"/>
  <c r="O359" i="12" s="1"/>
  <c r="O861" i="13" s="1" a="1"/>
  <c r="O861" i="13" s="1"/>
  <c r="G359" i="12" a="1"/>
  <c r="G359" i="12" s="1"/>
  <c r="G861" i="13" s="1" a="1"/>
  <c r="G861" i="13" s="1"/>
  <c r="N359" i="12" a="1"/>
  <c r="N359" i="12" s="1"/>
  <c r="N861" i="13" s="1" a="1"/>
  <c r="N861" i="13" s="1"/>
  <c r="F359" i="12" a="1"/>
  <c r="F359" i="12" s="1"/>
  <c r="F861" i="13" s="1" a="1"/>
  <c r="F861" i="13" s="1"/>
  <c r="M359" i="12" a="1"/>
  <c r="M359" i="12" s="1"/>
  <c r="M861" i="13" s="1" a="1"/>
  <c r="M861" i="13" s="1"/>
  <c r="E359" i="12" a="1"/>
  <c r="E359" i="12" s="1"/>
  <c r="E861" i="13" s="1" a="1"/>
  <c r="E861" i="13" s="1"/>
  <c r="L359" i="12" a="1"/>
  <c r="L359" i="12" s="1"/>
  <c r="L861" i="13" s="1" a="1"/>
  <c r="L861" i="13" s="1"/>
  <c r="D359" i="12" a="1"/>
  <c r="D359" i="12" s="1"/>
  <c r="D861" i="13" s="1" a="1"/>
  <c r="D861" i="13" s="1"/>
  <c r="K359" i="12" a="1"/>
  <c r="K359" i="12" s="1"/>
  <c r="K861" i="13" s="1" a="1"/>
  <c r="K861" i="13" s="1"/>
  <c r="J359" i="12" a="1"/>
  <c r="J359" i="12" s="1"/>
  <c r="J861" i="13" s="1" a="1"/>
  <c r="J861" i="13" s="1"/>
  <c r="G860" i="13" a="1"/>
  <c r="G860" i="13" s="1"/>
  <c r="G887" i="13" s="1"/>
  <c r="G363" i="12"/>
  <c r="G865" i="13" s="1" a="1"/>
  <c r="G865" i="13" s="1"/>
  <c r="G368" i="12"/>
  <c r="E860" i="13" a="1"/>
  <c r="E860" i="13" s="1"/>
  <c r="E887" i="13" s="1"/>
  <c r="E363" i="12"/>
  <c r="E865" i="13" s="1" a="1"/>
  <c r="E865" i="13" s="1"/>
  <c r="E368" i="12"/>
  <c r="I347" i="12" a="1"/>
  <c r="I347" i="12" s="1"/>
  <c r="H347" i="12" a="1"/>
  <c r="H347" i="12" s="1"/>
  <c r="O347" i="12" a="1"/>
  <c r="O347" i="12" s="1"/>
  <c r="G347" i="12" a="1"/>
  <c r="G347" i="12" s="1"/>
  <c r="N347" i="12" a="1"/>
  <c r="N347" i="12" s="1"/>
  <c r="F347" i="12" a="1"/>
  <c r="F347" i="12" s="1"/>
  <c r="M347" i="12" a="1"/>
  <c r="M347" i="12" s="1"/>
  <c r="E347" i="12" a="1"/>
  <c r="E347" i="12" s="1"/>
  <c r="L347" i="12" a="1"/>
  <c r="L347" i="12" s="1"/>
  <c r="D347" i="12" a="1"/>
  <c r="D347" i="12" s="1"/>
  <c r="K347" i="12" a="1"/>
  <c r="K347" i="12" s="1"/>
  <c r="J347" i="12" a="1"/>
  <c r="J347" i="12" s="1"/>
  <c r="O860" i="13" a="1"/>
  <c r="O860" i="13" s="1"/>
  <c r="O887" i="13" s="1"/>
  <c r="O363" i="12"/>
  <c r="O865" i="13" s="1" a="1"/>
  <c r="O865" i="13" s="1"/>
  <c r="O368" i="12"/>
  <c r="M860" i="13" a="1"/>
  <c r="M860" i="13" s="1"/>
  <c r="M887" i="13" s="1"/>
  <c r="M363" i="12"/>
  <c r="M865" i="13" s="1" a="1"/>
  <c r="M865" i="13" s="1"/>
  <c r="M368" i="12"/>
  <c r="D230" i="12" a="1"/>
  <c r="D230" i="12" s="1"/>
  <c r="FW26" i="9" a="1"/>
  <c r="FW26" i="9" s="1"/>
  <c r="FX26" i="9" s="1"/>
  <c r="GP25" i="9" a="1"/>
  <c r="GP25" i="9" s="1"/>
  <c r="GQ25" i="9" s="1"/>
  <c r="D210" i="12"/>
  <c r="D212" i="12" s="1"/>
  <c r="D490" i="13" s="1" a="1"/>
  <c r="D490" i="13" s="1"/>
  <c r="D489" i="13" a="1"/>
  <c r="D489" i="13" s="1"/>
  <c r="FW27" i="9" a="1"/>
  <c r="FW27" i="9" s="1"/>
  <c r="FX27" i="9" s="1"/>
  <c r="D227" i="12"/>
  <c r="D518" i="13" a="1"/>
  <c r="D518" i="13" s="1"/>
  <c r="D545" i="13" s="1"/>
  <c r="D222" i="12"/>
  <c r="N171" i="12"/>
  <c r="K420" i="13" a="1"/>
  <c r="K420" i="13" s="1"/>
  <c r="N382" i="13" a="1"/>
  <c r="N382" i="13" s="1"/>
  <c r="N409" i="13" s="1"/>
  <c r="M188" i="12" a="1"/>
  <c r="M188" i="12" s="1"/>
  <c r="M450" i="13" s="1" a="1"/>
  <c r="M450" i="13" s="1"/>
  <c r="M477" i="13" s="1"/>
  <c r="M176" i="12" a="1"/>
  <c r="M176" i="12" s="1"/>
  <c r="M417" i="13" s="1" a="1"/>
  <c r="M417" i="13" s="1"/>
  <c r="GT23" i="9" s="1" a="1"/>
  <c r="GT23" i="9" s="1"/>
  <c r="N162" i="12" a="1"/>
  <c r="N162" i="12" s="1"/>
  <c r="N383" i="13" s="1" a="1"/>
  <c r="N383" i="13" s="1"/>
  <c r="HM22" i="9" s="1" a="1"/>
  <c r="HM22" i="9" s="1"/>
  <c r="N174" i="12" a="1"/>
  <c r="N174" i="12" s="1"/>
  <c r="N416" i="13" s="1" a="1"/>
  <c r="N416" i="13" s="1"/>
  <c r="N443" i="13" s="1"/>
  <c r="L421" i="13" a="1"/>
  <c r="L421" i="13" s="1"/>
  <c r="O157" i="12"/>
  <c r="O152" i="12"/>
  <c r="O353" i="13" s="1" a="1"/>
  <c r="O353" i="13" s="1"/>
  <c r="I488" i="13" a="1"/>
  <c r="I488" i="13" s="1"/>
  <c r="J201" i="12"/>
  <c r="M190" i="12" a="1"/>
  <c r="M190" i="12" s="1"/>
  <c r="M451" i="13" s="1" a="1"/>
  <c r="M451" i="13" s="1"/>
  <c r="GT24" i="9" s="1" a="1"/>
  <c r="GT24" i="9" s="1"/>
  <c r="O131" i="12"/>
  <c r="O160" i="12" a="1"/>
  <c r="O160" i="12" s="1"/>
  <c r="O166" i="12" s="1"/>
  <c r="HQ22" i="9" a="1"/>
  <c r="HQ22" i="9" s="1"/>
  <c r="F590" i="13" a="1"/>
  <c r="F590" i="13" s="1"/>
  <c r="L173" i="12"/>
  <c r="M169" i="12"/>
  <c r="M386" i="13" s="1" a="1"/>
  <c r="M386" i="13" s="1"/>
  <c r="H239" i="12"/>
  <c r="H556" i="13" s="1" a="1"/>
  <c r="H556" i="13" s="1"/>
  <c r="O141" i="12"/>
  <c r="O318" i="13" s="1" a="1"/>
  <c r="O318" i="13" s="1"/>
  <c r="J211" i="12"/>
  <c r="J215" i="12" s="1"/>
  <c r="I225" i="12"/>
  <c r="I522" i="13" s="1" a="1"/>
  <c r="I522" i="13" s="1"/>
  <c r="K197" i="12"/>
  <c r="K454" i="13" s="1" a="1"/>
  <c r="K454" i="13" s="1"/>
  <c r="O162" i="12" a="1"/>
  <c r="O162" i="12" s="1"/>
  <c r="O383" i="13" s="1" a="1"/>
  <c r="O383" i="13" s="1"/>
  <c r="IF22" i="9" s="1" a="1"/>
  <c r="IF22" i="9" s="1"/>
  <c r="BU31" i="9" a="1"/>
  <c r="BU31" i="9" s="1"/>
  <c r="G286" i="12" a="1"/>
  <c r="G286" i="12" s="1"/>
  <c r="L455" i="13" a="1"/>
  <c r="L455" i="13" s="1"/>
  <c r="L196" i="12"/>
  <c r="L198" i="12" s="1"/>
  <c r="L456" i="13" s="1" a="1"/>
  <c r="L456" i="13" s="1"/>
  <c r="L208" i="12"/>
  <c r="L484" i="13" a="1"/>
  <c r="L484" i="13" s="1"/>
  <c r="L511" i="13" s="1"/>
  <c r="L213" i="12"/>
  <c r="H591" i="13" a="1"/>
  <c r="H591" i="13" s="1"/>
  <c r="H252" i="12"/>
  <c r="H254" i="12" s="1"/>
  <c r="H592" i="13" s="1" a="1"/>
  <c r="H592" i="13" s="1"/>
  <c r="I238" i="12"/>
  <c r="I240" i="12" s="1"/>
  <c r="I558" i="13" s="1" a="1"/>
  <c r="I558" i="13" s="1"/>
  <c r="I557" i="13" a="1"/>
  <c r="I557" i="13" s="1"/>
  <c r="G253" i="12"/>
  <c r="N387" i="13" a="1"/>
  <c r="N387" i="13" s="1"/>
  <c r="N168" i="12"/>
  <c r="N170" i="12" s="1"/>
  <c r="N388" i="13" s="1" a="1"/>
  <c r="N388" i="13" s="1"/>
  <c r="F288" i="12" a="1"/>
  <c r="F288" i="12" s="1"/>
  <c r="F689" i="13" s="1" a="1"/>
  <c r="F689" i="13" s="1"/>
  <c r="BQ31" i="9" s="1" a="1"/>
  <c r="BQ31" i="9" s="1"/>
  <c r="D316" i="12" a="1"/>
  <c r="D316" i="12" s="1"/>
  <c r="D757" i="13" s="1" a="1"/>
  <c r="D757" i="13" s="1"/>
  <c r="AE33" i="9" s="1" a="1"/>
  <c r="AE33" i="9" s="1"/>
  <c r="H260" i="12" a="1"/>
  <c r="H260" i="12" s="1"/>
  <c r="H621" i="13" s="1" a="1"/>
  <c r="H621" i="13" s="1"/>
  <c r="DC29" i="9" s="1" a="1"/>
  <c r="DC29" i="9" s="1"/>
  <c r="L204" i="12" a="1"/>
  <c r="L204" i="12" s="1"/>
  <c r="L485" i="13" s="1" a="1"/>
  <c r="L485" i="13" s="1"/>
  <c r="GA25" i="9" s="1" a="1"/>
  <c r="GA25" i="9" s="1"/>
  <c r="L216" i="12" a="1"/>
  <c r="L216" i="12" s="1"/>
  <c r="FL26" i="9" a="1"/>
  <c r="FL26" i="9" s="1"/>
  <c r="ES27" i="9" a="1"/>
  <c r="ES27" i="9" s="1"/>
  <c r="K230" i="12" a="1"/>
  <c r="K230" i="12" s="1"/>
  <c r="L183" i="12"/>
  <c r="E281" i="12"/>
  <c r="I586" i="13" a="1"/>
  <c r="I586" i="13" s="1"/>
  <c r="I613" i="13" s="1"/>
  <c r="I250" i="12"/>
  <c r="I255" i="12"/>
  <c r="K218" i="12" a="1"/>
  <c r="K218" i="12" s="1"/>
  <c r="K519" i="13" s="1" a="1"/>
  <c r="K519" i="13" s="1"/>
  <c r="FH26" i="9" s="1" a="1"/>
  <c r="FH26" i="9" s="1"/>
  <c r="IB30" i="9" a="1"/>
  <c r="IB30" i="9" s="1"/>
  <c r="IC30" i="9" s="1"/>
  <c r="J232" i="12" a="1"/>
  <c r="J232" i="12" s="1"/>
  <c r="J553" i="13" s="1" a="1"/>
  <c r="J553" i="13" s="1"/>
  <c r="EO27" i="9" s="1" a="1"/>
  <c r="EO27" i="9" s="1"/>
  <c r="J552" i="13" a="1"/>
  <c r="J552" i="13" s="1"/>
  <c r="J579" i="13" s="1"/>
  <c r="J241" i="12"/>
  <c r="J236" i="12"/>
  <c r="N155" i="12"/>
  <c r="H620" i="13" a="1"/>
  <c r="H620" i="13" s="1"/>
  <c r="H647" i="13" s="1"/>
  <c r="H264" i="12"/>
  <c r="H269" i="12"/>
  <c r="E722" i="13" a="1"/>
  <c r="E722" i="13" s="1"/>
  <c r="E749" i="13" s="1"/>
  <c r="E306" i="12"/>
  <c r="E311" i="12"/>
  <c r="E294" i="12"/>
  <c r="E296" i="12" s="1"/>
  <c r="E694" i="13" s="1" a="1"/>
  <c r="E694" i="13" s="1"/>
  <c r="E693" i="13" a="1"/>
  <c r="E693" i="13" s="1"/>
  <c r="M202" i="12" a="1"/>
  <c r="M202" i="12" s="1"/>
  <c r="GE25" i="9" a="1"/>
  <c r="GE25" i="9" s="1"/>
  <c r="DG29" i="9" a="1"/>
  <c r="DG29" i="9" s="1"/>
  <c r="I258" i="12" a="1"/>
  <c r="I258" i="12" s="1"/>
  <c r="I246" i="12" a="1"/>
  <c r="I246" i="12" s="1"/>
  <c r="I587" i="13" s="1" a="1"/>
  <c r="I587" i="13" s="1"/>
  <c r="DV28" i="9" s="1" a="1"/>
  <c r="DV28" i="9" s="1"/>
  <c r="G274" i="12" a="1"/>
  <c r="G274" i="12" s="1"/>
  <c r="G655" i="13" s="1" a="1"/>
  <c r="G655" i="13" s="1"/>
  <c r="CJ30" i="9" s="1" a="1"/>
  <c r="CJ30" i="9" s="1"/>
  <c r="D42" i="24" a="1"/>
  <c r="D42" i="24" s="1"/>
  <c r="K518" i="13" a="1"/>
  <c r="K518" i="13" s="1"/>
  <c r="K545" i="13" s="1"/>
  <c r="K222" i="12"/>
  <c r="K227" i="12"/>
  <c r="AI33" i="9" a="1"/>
  <c r="AI33" i="9" s="1"/>
  <c r="E314" i="12" a="1"/>
  <c r="E314" i="12" s="1"/>
  <c r="DZ28" i="9" a="1"/>
  <c r="DZ28" i="9" s="1"/>
  <c r="J244" i="12" a="1"/>
  <c r="J244" i="12" s="1"/>
  <c r="CN30" i="9" a="1"/>
  <c r="CN30" i="9" s="1"/>
  <c r="H272" i="12" a="1"/>
  <c r="H272" i="12" s="1"/>
  <c r="A328" i="12" a="1"/>
  <c r="A328" i="12" s="1"/>
  <c r="A787" i="13" a="1"/>
  <c r="A787" i="13" s="1"/>
  <c r="C44" i="28" a="1"/>
  <c r="C44" i="28" s="1"/>
  <c r="H522" i="13" a="1"/>
  <c r="H522" i="13" s="1"/>
  <c r="H229" i="12"/>
  <c r="O250" i="13" a="1"/>
  <c r="O250" i="13" s="1"/>
  <c r="O117" i="12"/>
  <c r="F659" i="13" a="1"/>
  <c r="F659" i="13" s="1"/>
  <c r="F280" i="12"/>
  <c r="F282" i="12" s="1"/>
  <c r="F660" i="13" s="1" a="1"/>
  <c r="F660" i="13" s="1"/>
  <c r="BB32" i="9" a="1"/>
  <c r="BB32" i="9" s="1"/>
  <c r="F300" i="12" a="1"/>
  <c r="F300" i="12" s="1"/>
  <c r="M159" i="12"/>
  <c r="M352" i="13" a="1"/>
  <c r="M352" i="13" s="1"/>
  <c r="E271" i="12"/>
  <c r="E624" i="13" a="1"/>
  <c r="E624" i="13" s="1"/>
  <c r="N318" i="13" a="1"/>
  <c r="N318" i="13" s="1"/>
  <c r="N145" i="12"/>
  <c r="K210" i="12"/>
  <c r="K212" i="12" s="1"/>
  <c r="K490" i="13" s="1" a="1"/>
  <c r="K490" i="13" s="1"/>
  <c r="K489" i="13" a="1"/>
  <c r="K489" i="13" s="1"/>
  <c r="E302" i="12" a="1"/>
  <c r="E302" i="12" s="1"/>
  <c r="E723" i="13" s="1" a="1"/>
  <c r="E723" i="13" s="1"/>
  <c r="AX32" i="9" s="1" a="1"/>
  <c r="AX32" i="9" s="1"/>
  <c r="J224" i="12"/>
  <c r="J226" i="12" s="1"/>
  <c r="J524" i="13" s="1" a="1"/>
  <c r="J524" i="13" s="1"/>
  <c r="J523" i="13" a="1"/>
  <c r="J523" i="13" s="1"/>
  <c r="F267" i="12"/>
  <c r="F297" i="12"/>
  <c r="F688" i="13" a="1"/>
  <c r="F688" i="13" s="1"/>
  <c r="F715" i="13" s="1"/>
  <c r="F292" i="12"/>
  <c r="BU29" i="9" a="1"/>
  <c r="BU29" i="9" s="1"/>
  <c r="B675" i="13"/>
  <c r="B680" i="13"/>
  <c r="B642" i="13"/>
  <c r="B643" i="13" s="1"/>
  <c r="B644" i="13" s="1"/>
  <c r="B645" i="13" s="1"/>
  <c r="B647" i="13"/>
  <c r="B648" i="13" s="1"/>
  <c r="B649" i="13" s="1"/>
  <c r="B650" i="13" s="1"/>
  <c r="B753" i="13" a="1"/>
  <c r="B753" i="13" s="1"/>
  <c r="B754" i="13" s="1"/>
  <c r="B692" i="13"/>
  <c r="B693" i="13" s="1"/>
  <c r="B694" i="13" s="1"/>
  <c r="B695" i="13" s="1"/>
  <c r="B696" i="13"/>
  <c r="B697" i="13" s="1"/>
  <c r="B698" i="13" s="1"/>
  <c r="B699" i="13" s="1"/>
  <c r="B700" i="13" s="1"/>
  <c r="B701" i="13" s="1"/>
  <c r="B702" i="13" s="1"/>
  <c r="B703" i="13" s="1"/>
  <c r="B704" i="13" s="1"/>
  <c r="B705" i="13" s="1"/>
  <c r="B706" i="13" s="1"/>
  <c r="B707" i="13" s="1"/>
  <c r="B708" i="13" s="1"/>
  <c r="B724" i="13"/>
  <c r="B725" i="13" s="1"/>
  <c r="B721" i="13"/>
  <c r="B722" i="13" s="1"/>
  <c r="B723" i="13" s="1"/>
  <c r="AA484" i="10"/>
  <c r="AA496" i="10"/>
  <c r="AA497" i="10" s="1"/>
  <c r="AA509" i="10"/>
  <c r="AA471" i="10"/>
  <c r="B314" i="12" a="1"/>
  <c r="B314" i="12" s="1"/>
  <c r="R361" i="12"/>
  <c r="R398" i="12"/>
  <c r="R386" i="12"/>
  <c r="R385" i="12"/>
  <c r="R374" i="12"/>
  <c r="R373" i="12"/>
  <c r="M421" i="13" l="1" a="1"/>
  <c r="M421" i="13" s="1"/>
  <c r="M199" i="12"/>
  <c r="O382" i="13" a="1"/>
  <c r="O382" i="13" s="1"/>
  <c r="O409" i="13" s="1"/>
  <c r="O154" i="12"/>
  <c r="O156" i="12" s="1"/>
  <c r="O354" i="13" s="1" a="1"/>
  <c r="O354" i="13" s="1"/>
  <c r="M194" i="12"/>
  <c r="M196" i="12" s="1"/>
  <c r="M198" i="12" s="1"/>
  <c r="M456" i="13" s="1" a="1"/>
  <c r="M456" i="13" s="1"/>
  <c r="O174" i="12" a="1"/>
  <c r="O174" i="12" s="1"/>
  <c r="O185" i="12" s="1"/>
  <c r="M374" i="12" a="1"/>
  <c r="M374" i="12" s="1"/>
  <c r="E374" i="12" a="1"/>
  <c r="E374" i="12" s="1"/>
  <c r="L374" i="12" a="1"/>
  <c r="L374" i="12" s="1"/>
  <c r="D374" i="12" a="1"/>
  <c r="D374" i="12" s="1"/>
  <c r="K374" i="12" a="1"/>
  <c r="K374" i="12" s="1"/>
  <c r="J374" i="12" a="1"/>
  <c r="J374" i="12" s="1"/>
  <c r="I374" i="12" a="1"/>
  <c r="I374" i="12" s="1"/>
  <c r="H374" i="12" a="1"/>
  <c r="H374" i="12" s="1"/>
  <c r="O374" i="12" a="1"/>
  <c r="O374" i="12" s="1"/>
  <c r="G374" i="12" a="1"/>
  <c r="G374" i="12" s="1"/>
  <c r="N374" i="12" a="1"/>
  <c r="N374" i="12" s="1"/>
  <c r="F374" i="12" a="1"/>
  <c r="F374" i="12" s="1"/>
  <c r="G894" i="13" a="1"/>
  <c r="G894" i="13" s="1"/>
  <c r="G921" i="13" s="1"/>
  <c r="G377" i="12"/>
  <c r="G899" i="13" s="1" a="1"/>
  <c r="G899" i="13" s="1"/>
  <c r="G382" i="12"/>
  <c r="E894" i="13" a="1"/>
  <c r="E894" i="13" s="1"/>
  <c r="E921" i="13" s="1"/>
  <c r="E377" i="12"/>
  <c r="E899" i="13" s="1" a="1"/>
  <c r="E899" i="13" s="1"/>
  <c r="E382" i="12"/>
  <c r="J385" i="12" a="1"/>
  <c r="J385" i="12" s="1"/>
  <c r="I385" i="12" a="1"/>
  <c r="I385" i="12" s="1"/>
  <c r="H385" i="12" a="1"/>
  <c r="H385" i="12" s="1"/>
  <c r="O385" i="12" a="1"/>
  <c r="O385" i="12" s="1"/>
  <c r="G385" i="12" a="1"/>
  <c r="G385" i="12" s="1"/>
  <c r="N385" i="12" a="1"/>
  <c r="N385" i="12" s="1"/>
  <c r="F385" i="12" a="1"/>
  <c r="F385" i="12" s="1"/>
  <c r="M385" i="12" a="1"/>
  <c r="M385" i="12" s="1"/>
  <c r="E385" i="12" a="1"/>
  <c r="E385" i="12" s="1"/>
  <c r="L385" i="12" a="1"/>
  <c r="L385" i="12" s="1"/>
  <c r="D385" i="12" a="1"/>
  <c r="D385" i="12" s="1"/>
  <c r="K385" i="12" a="1"/>
  <c r="K385" i="12" s="1"/>
  <c r="O894" i="13" a="1"/>
  <c r="O894" i="13" s="1"/>
  <c r="O921" i="13" s="1"/>
  <c r="O382" i="12"/>
  <c r="O377" i="12"/>
  <c r="O899" i="13" s="1" a="1"/>
  <c r="O899" i="13" s="1"/>
  <c r="M894" i="13" a="1"/>
  <c r="M894" i="13" s="1"/>
  <c r="M921" i="13" s="1"/>
  <c r="M377" i="12"/>
  <c r="M899" i="13" s="1" a="1"/>
  <c r="M899" i="13" s="1"/>
  <c r="M382" i="12"/>
  <c r="H382" i="12"/>
  <c r="H894" i="13" a="1"/>
  <c r="H894" i="13" s="1"/>
  <c r="H921" i="13" s="1"/>
  <c r="H377" i="12"/>
  <c r="H899" i="13" s="1" a="1"/>
  <c r="H899" i="13" s="1"/>
  <c r="D211" i="12"/>
  <c r="D215" i="12" s="1"/>
  <c r="I894" i="13" a="1"/>
  <c r="I894" i="13" s="1"/>
  <c r="I921" i="13" s="1"/>
  <c r="I377" i="12"/>
  <c r="I899" i="13" s="1" a="1"/>
  <c r="I899" i="13" s="1"/>
  <c r="I382" i="12"/>
  <c r="I361" i="12" a="1"/>
  <c r="I361" i="12" s="1"/>
  <c r="H361" i="12" a="1"/>
  <c r="H361" i="12" s="1"/>
  <c r="O361" i="12" a="1"/>
  <c r="O361" i="12" s="1"/>
  <c r="G361" i="12" a="1"/>
  <c r="G361" i="12" s="1"/>
  <c r="N361" i="12" a="1"/>
  <c r="N361" i="12" s="1"/>
  <c r="F361" i="12" a="1"/>
  <c r="F361" i="12" s="1"/>
  <c r="M361" i="12" a="1"/>
  <c r="M361" i="12" s="1"/>
  <c r="E361" i="12" a="1"/>
  <c r="E361" i="12" s="1"/>
  <c r="L361" i="12" a="1"/>
  <c r="L361" i="12" s="1"/>
  <c r="D361" i="12" a="1"/>
  <c r="D361" i="12" s="1"/>
  <c r="K361" i="12" a="1"/>
  <c r="K361" i="12" s="1"/>
  <c r="J361" i="12" a="1"/>
  <c r="J361" i="12" s="1"/>
  <c r="J894" i="13" a="1"/>
  <c r="J894" i="13" s="1"/>
  <c r="J921" i="13" s="1"/>
  <c r="J377" i="12"/>
  <c r="J899" i="13" s="1" a="1"/>
  <c r="J899" i="13" s="1"/>
  <c r="J382" i="12"/>
  <c r="K894" i="13" a="1"/>
  <c r="K894" i="13" s="1"/>
  <c r="K921" i="13" s="1"/>
  <c r="K382" i="12"/>
  <c r="K377" i="12"/>
  <c r="K899" i="13" s="1" a="1"/>
  <c r="K899" i="13" s="1"/>
  <c r="F894" i="13" a="1"/>
  <c r="F894" i="13" s="1"/>
  <c r="F921" i="13" s="1"/>
  <c r="F377" i="12"/>
  <c r="F899" i="13" s="1" a="1"/>
  <c r="F899" i="13" s="1"/>
  <c r="F382" i="12"/>
  <c r="D377" i="12"/>
  <c r="D899" i="13" s="1" a="1"/>
  <c r="D899" i="13" s="1"/>
  <c r="D894" i="13" a="1"/>
  <c r="D894" i="13" s="1"/>
  <c r="D921" i="13" s="1"/>
  <c r="D382" i="12"/>
  <c r="I373" i="12" a="1"/>
  <c r="I373" i="12" s="1"/>
  <c r="I895" i="13" s="1" a="1"/>
  <c r="I895" i="13" s="1"/>
  <c r="H373" i="12" a="1"/>
  <c r="H373" i="12" s="1"/>
  <c r="H895" i="13" s="1" a="1"/>
  <c r="H895" i="13" s="1"/>
  <c r="O373" i="12" a="1"/>
  <c r="O373" i="12" s="1"/>
  <c r="O895" i="13" s="1" a="1"/>
  <c r="O895" i="13" s="1"/>
  <c r="G373" i="12" a="1"/>
  <c r="G373" i="12" s="1"/>
  <c r="G895" i="13" s="1" a="1"/>
  <c r="G895" i="13" s="1"/>
  <c r="N373" i="12" a="1"/>
  <c r="N373" i="12" s="1"/>
  <c r="N895" i="13" s="1" a="1"/>
  <c r="N895" i="13" s="1"/>
  <c r="F373" i="12" a="1"/>
  <c r="F373" i="12" s="1"/>
  <c r="F895" i="13" s="1" a="1"/>
  <c r="F895" i="13" s="1"/>
  <c r="M373" i="12" a="1"/>
  <c r="M373" i="12" s="1"/>
  <c r="M895" i="13" s="1" a="1"/>
  <c r="M895" i="13" s="1"/>
  <c r="E373" i="12" a="1"/>
  <c r="E373" i="12" s="1"/>
  <c r="E895" i="13" s="1" a="1"/>
  <c r="E895" i="13" s="1"/>
  <c r="L373" i="12" a="1"/>
  <c r="L373" i="12" s="1"/>
  <c r="L895" i="13" s="1" a="1"/>
  <c r="L895" i="13" s="1"/>
  <c r="D373" i="12" a="1"/>
  <c r="D373" i="12" s="1"/>
  <c r="D895" i="13" s="1" a="1"/>
  <c r="D895" i="13" s="1"/>
  <c r="K373" i="12" a="1"/>
  <c r="K373" i="12" s="1"/>
  <c r="K895" i="13" s="1" a="1"/>
  <c r="K895" i="13" s="1"/>
  <c r="J373" i="12" a="1"/>
  <c r="J373" i="12" s="1"/>
  <c r="J895" i="13" s="1" a="1"/>
  <c r="J895" i="13" s="1"/>
  <c r="N894" i="13" a="1"/>
  <c r="N894" i="13" s="1"/>
  <c r="N921" i="13" s="1"/>
  <c r="N377" i="12"/>
  <c r="N899" i="13" s="1" a="1"/>
  <c r="N899" i="13" s="1"/>
  <c r="N382" i="12"/>
  <c r="L377" i="12"/>
  <c r="L899" i="13" s="1" a="1"/>
  <c r="L899" i="13" s="1"/>
  <c r="L894" i="13" a="1"/>
  <c r="L894" i="13" s="1"/>
  <c r="L921" i="13" s="1"/>
  <c r="L382" i="12"/>
  <c r="D224" i="12"/>
  <c r="D226" i="12" s="1"/>
  <c r="D524" i="13" s="1" a="1"/>
  <c r="D524" i="13" s="1"/>
  <c r="D523" i="13" a="1"/>
  <c r="D523" i="13" s="1"/>
  <c r="FW28" i="9" a="1"/>
  <c r="FW28" i="9" s="1"/>
  <c r="FX28" i="9" s="1"/>
  <c r="D244" i="12" a="1"/>
  <c r="D244" i="12" s="1"/>
  <c r="HI25" i="9" a="1"/>
  <c r="HI25" i="9" s="1"/>
  <c r="HJ25" i="9" s="1"/>
  <c r="IB25" i="9" a="1"/>
  <c r="IB25" i="9" s="1"/>
  <c r="IC25" i="9" s="1"/>
  <c r="GP27" i="9" a="1"/>
  <c r="GP27" i="9" s="1"/>
  <c r="GQ27" i="9" s="1"/>
  <c r="G202" i="12" a="1"/>
  <c r="G202" i="12" s="1"/>
  <c r="N180" i="12"/>
  <c r="N421" i="13" s="1" a="1"/>
  <c r="N421" i="13" s="1"/>
  <c r="N185" i="12"/>
  <c r="GP26" i="9" a="1"/>
  <c r="GP26" i="9" s="1"/>
  <c r="GQ26" i="9" s="1"/>
  <c r="D241" i="12"/>
  <c r="D552" i="13" a="1"/>
  <c r="D552" i="13" s="1"/>
  <c r="D579" i="13" s="1"/>
  <c r="D236" i="12"/>
  <c r="HQ23" i="9" a="1"/>
  <c r="HQ23" i="9" s="1"/>
  <c r="N176" i="12" a="1"/>
  <c r="N176" i="12" s="1"/>
  <c r="N417" i="13" s="1" a="1"/>
  <c r="N417" i="13" s="1"/>
  <c r="HM23" i="9" s="1" a="1"/>
  <c r="HM23" i="9" s="1"/>
  <c r="O171" i="12"/>
  <c r="M173" i="12"/>
  <c r="N190" i="12" a="1"/>
  <c r="N190" i="12" s="1"/>
  <c r="N451" i="13" s="1" a="1"/>
  <c r="N451" i="13" s="1"/>
  <c r="HM24" i="9" s="1" a="1"/>
  <c r="HM24" i="9" s="1"/>
  <c r="N188" i="12" a="1"/>
  <c r="N188" i="12" s="1"/>
  <c r="N450" i="13" s="1" a="1"/>
  <c r="N450" i="13" s="1"/>
  <c r="N477" i="13" s="1"/>
  <c r="GX24" i="9" a="1"/>
  <c r="GX24" i="9" s="1"/>
  <c r="J488" i="13" a="1"/>
  <c r="J488" i="13" s="1"/>
  <c r="O145" i="12"/>
  <c r="H243" i="12"/>
  <c r="J225" i="12"/>
  <c r="J522" i="13" s="1" a="1"/>
  <c r="J522" i="13" s="1"/>
  <c r="K201" i="12"/>
  <c r="E295" i="12"/>
  <c r="E299" i="12" s="1"/>
  <c r="I229" i="12"/>
  <c r="K211" i="12"/>
  <c r="K488" i="13" s="1" a="1"/>
  <c r="K488" i="13" s="1"/>
  <c r="I239" i="12"/>
  <c r="I243" i="12" s="1"/>
  <c r="N169" i="12"/>
  <c r="N173" i="12" s="1"/>
  <c r="H274" i="12" a="1"/>
  <c r="H274" i="12" s="1"/>
  <c r="H655" i="13" s="1" a="1"/>
  <c r="H655" i="13" s="1"/>
  <c r="DC30" i="9" s="1" a="1"/>
  <c r="DC30" i="9" s="1"/>
  <c r="K244" i="12" a="1"/>
  <c r="K244" i="12" s="1"/>
  <c r="ES28" i="9" a="1"/>
  <c r="ES28" i="9" s="1"/>
  <c r="L218" i="12" a="1"/>
  <c r="L218" i="12" s="1"/>
  <c r="L519" i="13" s="1" a="1"/>
  <c r="L519" i="13" s="1"/>
  <c r="GA26" i="9" s="1" a="1"/>
  <c r="GA26" i="9" s="1"/>
  <c r="F624" i="13" a="1"/>
  <c r="F624" i="13" s="1"/>
  <c r="F271" i="12"/>
  <c r="I252" i="12"/>
  <c r="I254" i="12" s="1"/>
  <c r="I592" i="13" s="1" a="1"/>
  <c r="I592" i="13" s="1"/>
  <c r="I591" i="13" a="1"/>
  <c r="I591" i="13" s="1"/>
  <c r="J246" i="12" a="1"/>
  <c r="J246" i="12" s="1"/>
  <c r="J587" i="13" s="1" a="1"/>
  <c r="J587" i="13" s="1"/>
  <c r="EO28" i="9" s="1" a="1"/>
  <c r="EO28" i="9" s="1"/>
  <c r="I260" i="12" a="1"/>
  <c r="I260" i="12" s="1"/>
  <c r="I621" i="13" s="1" a="1"/>
  <c r="I621" i="13" s="1"/>
  <c r="DV29" i="9" s="1" a="1"/>
  <c r="DV29" i="9" s="1"/>
  <c r="E316" i="12" a="1"/>
  <c r="E316" i="12" s="1"/>
  <c r="E757" i="13" s="1" a="1"/>
  <c r="E757" i="13" s="1"/>
  <c r="AX33" i="9" s="1" a="1"/>
  <c r="AX33" i="9" s="1"/>
  <c r="G288" i="12" a="1"/>
  <c r="G288" i="12" s="1"/>
  <c r="G689" i="13" s="1" a="1"/>
  <c r="G689" i="13" s="1"/>
  <c r="CJ31" i="9" s="1" a="1"/>
  <c r="CJ31" i="9" s="1"/>
  <c r="J250" i="12"/>
  <c r="J586" i="13" a="1"/>
  <c r="J586" i="13" s="1"/>
  <c r="J613" i="13" s="1"/>
  <c r="J255" i="12"/>
  <c r="M208" i="12"/>
  <c r="M484" i="13" a="1"/>
  <c r="M484" i="13" s="1"/>
  <c r="M511" i="13" s="1"/>
  <c r="M213" i="12"/>
  <c r="H625" i="13" a="1"/>
  <c r="H625" i="13" s="1"/>
  <c r="H266" i="12"/>
  <c r="H268" i="12" s="1"/>
  <c r="H626" i="13" s="1" a="1"/>
  <c r="H626" i="13" s="1"/>
  <c r="L518" i="13" a="1"/>
  <c r="L518" i="13" s="1"/>
  <c r="L545" i="13" s="1"/>
  <c r="L222" i="12"/>
  <c r="L227" i="12"/>
  <c r="H253" i="12"/>
  <c r="G688" i="13" a="1"/>
  <c r="G688" i="13" s="1"/>
  <c r="G715" i="13" s="1"/>
  <c r="G297" i="12"/>
  <c r="G292" i="12"/>
  <c r="D43" i="24" a="1"/>
  <c r="D43" i="24" s="1"/>
  <c r="E285" i="12"/>
  <c r="E658" i="13" a="1"/>
  <c r="E658" i="13" s="1"/>
  <c r="A342" i="12" a="1"/>
  <c r="A342" i="12" s="1"/>
  <c r="C45" i="28" a="1"/>
  <c r="C45" i="28" s="1"/>
  <c r="A821" i="13" a="1"/>
  <c r="A821" i="13" s="1"/>
  <c r="F314" i="12" a="1"/>
  <c r="F314" i="12" s="1"/>
  <c r="BB33" i="9" a="1"/>
  <c r="BB33" i="9" s="1"/>
  <c r="N202" i="12" a="1"/>
  <c r="N202" i="12" s="1"/>
  <c r="GX25" i="9" a="1"/>
  <c r="GX25" i="9" s="1"/>
  <c r="D330" i="12" a="1"/>
  <c r="D330" i="12" s="1"/>
  <c r="D791" i="13" s="1" a="1"/>
  <c r="D791" i="13" s="1"/>
  <c r="AE34" i="9" s="1" a="1"/>
  <c r="AE34" i="9" s="1"/>
  <c r="O176" i="12" a="1"/>
  <c r="O176" i="12" s="1"/>
  <c r="O417" i="13" s="1" a="1"/>
  <c r="O417" i="13" s="1"/>
  <c r="IF23" i="9" s="1" a="1"/>
  <c r="IF23" i="9" s="1"/>
  <c r="O168" i="12"/>
  <c r="O170" i="12" s="1"/>
  <c r="O388" i="13" s="1" a="1"/>
  <c r="O388" i="13" s="1"/>
  <c r="O387" i="13" a="1"/>
  <c r="O387" i="13" s="1"/>
  <c r="F281" i="12"/>
  <c r="N352" i="13" a="1"/>
  <c r="N352" i="13" s="1"/>
  <c r="N159" i="12"/>
  <c r="L210" i="12"/>
  <c r="L212" i="12" s="1"/>
  <c r="L490" i="13" s="1" a="1"/>
  <c r="L490" i="13" s="1"/>
  <c r="L489" i="13" a="1"/>
  <c r="L489" i="13" s="1"/>
  <c r="F302" i="12" a="1"/>
  <c r="F302" i="12" s="1"/>
  <c r="F723" i="13" s="1" a="1"/>
  <c r="F723" i="13" s="1"/>
  <c r="BQ32" i="9" s="1" a="1"/>
  <c r="BQ32" i="9" s="1"/>
  <c r="M204" i="12" a="1"/>
  <c r="M204" i="12" s="1"/>
  <c r="M485" i="13" s="1" a="1"/>
  <c r="M485" i="13" s="1"/>
  <c r="GT25" i="9" s="1" a="1"/>
  <c r="GT25" i="9" s="1"/>
  <c r="DZ29" i="9" a="1"/>
  <c r="DZ29" i="9" s="1"/>
  <c r="J258" i="12" a="1"/>
  <c r="J258" i="12" s="1"/>
  <c r="J557" i="13" a="1"/>
  <c r="J557" i="13" s="1"/>
  <c r="J238" i="12"/>
  <c r="J240" i="12" s="1"/>
  <c r="J558" i="13" s="1" a="1"/>
  <c r="J558" i="13" s="1"/>
  <c r="L197" i="12"/>
  <c r="DG30" i="9" a="1"/>
  <c r="DG30" i="9" s="1"/>
  <c r="I272" i="12" a="1"/>
  <c r="I272" i="12" s="1"/>
  <c r="GE26" i="9" a="1"/>
  <c r="GE26" i="9" s="1"/>
  <c r="M216" i="12" a="1"/>
  <c r="M216" i="12" s="1"/>
  <c r="K232" i="12" a="1"/>
  <c r="K232" i="12" s="1"/>
  <c r="K553" i="13" s="1" a="1"/>
  <c r="K553" i="13" s="1"/>
  <c r="FH27" i="9" s="1" a="1"/>
  <c r="FH27" i="9" s="1"/>
  <c r="F294" i="12"/>
  <c r="F296" i="12" s="1"/>
  <c r="F694" i="13" s="1" a="1"/>
  <c r="F694" i="13" s="1"/>
  <c r="F693" i="13" a="1"/>
  <c r="F693" i="13" s="1"/>
  <c r="F722" i="13" a="1"/>
  <c r="F722" i="13" s="1"/>
  <c r="F749" i="13" s="1"/>
  <c r="F311" i="12"/>
  <c r="F306" i="12"/>
  <c r="M183" i="12"/>
  <c r="H278" i="12"/>
  <c r="H283" i="12"/>
  <c r="H654" i="13" a="1"/>
  <c r="H654" i="13" s="1"/>
  <c r="H681" i="13" s="1"/>
  <c r="E756" i="13" a="1"/>
  <c r="E756" i="13" s="1"/>
  <c r="E783" i="13" s="1"/>
  <c r="E320" i="12"/>
  <c r="E325" i="12"/>
  <c r="K224" i="12"/>
  <c r="K226" i="12" s="1"/>
  <c r="K524" i="13" s="1" a="1"/>
  <c r="K524" i="13" s="1"/>
  <c r="K523" i="13" a="1"/>
  <c r="K523" i="13" s="1"/>
  <c r="L420" i="13" a="1"/>
  <c r="L420" i="13" s="1"/>
  <c r="L187" i="12"/>
  <c r="G257" i="12"/>
  <c r="G590" i="13" a="1"/>
  <c r="G590" i="13" s="1"/>
  <c r="AI34" i="9" a="1"/>
  <c r="AI34" i="9" s="1"/>
  <c r="E328" i="12" a="1"/>
  <c r="E328" i="12" s="1"/>
  <c r="FL27" i="9" a="1"/>
  <c r="FL27" i="9" s="1"/>
  <c r="L230" i="12" a="1"/>
  <c r="L230" i="12" s="1"/>
  <c r="I620" i="13" a="1"/>
  <c r="I620" i="13" s="1"/>
  <c r="I647" i="13" s="1"/>
  <c r="I264" i="12"/>
  <c r="I269" i="12"/>
  <c r="E727" i="13" a="1"/>
  <c r="E727" i="13" s="1"/>
  <c r="E308" i="12"/>
  <c r="E310" i="12" s="1"/>
  <c r="E728" i="13" s="1" a="1"/>
  <c r="E728" i="13" s="1"/>
  <c r="K552" i="13" a="1"/>
  <c r="K552" i="13" s="1"/>
  <c r="K579" i="13" s="1"/>
  <c r="K236" i="12"/>
  <c r="K241" i="12"/>
  <c r="BU30" i="9" a="1"/>
  <c r="BU30" i="9" s="1"/>
  <c r="B755" i="13"/>
  <c r="B756" i="13" s="1"/>
  <c r="B757" i="13" s="1"/>
  <c r="B758" i="13"/>
  <c r="B759" i="13" s="1"/>
  <c r="B787" i="13" a="1"/>
  <c r="B787" i="13" s="1"/>
  <c r="B788" i="13" s="1"/>
  <c r="B730" i="13"/>
  <c r="B731" i="13" s="1"/>
  <c r="B732" i="13" s="1"/>
  <c r="B733" i="13" s="1"/>
  <c r="B734" i="13" s="1"/>
  <c r="B735" i="13" s="1"/>
  <c r="B736" i="13" s="1"/>
  <c r="B737" i="13" s="1"/>
  <c r="B738" i="13" s="1"/>
  <c r="B739" i="13" s="1"/>
  <c r="B740" i="13" s="1"/>
  <c r="B741" i="13" s="1"/>
  <c r="B742" i="13" s="1"/>
  <c r="B726" i="13"/>
  <c r="B727" i="13" s="1"/>
  <c r="B728" i="13" s="1"/>
  <c r="B729" i="13" s="1"/>
  <c r="B681" i="13"/>
  <c r="B682" i="13" s="1"/>
  <c r="B683" i="13" s="1"/>
  <c r="B684" i="13" s="1"/>
  <c r="B676" i="13"/>
  <c r="B677" i="13" s="1"/>
  <c r="B678" i="13" s="1"/>
  <c r="B679" i="13" s="1"/>
  <c r="B709" i="13"/>
  <c r="B714" i="13"/>
  <c r="AA510" i="10"/>
  <c r="AA511" i="10" s="1"/>
  <c r="AA523" i="10"/>
  <c r="AA498" i="10"/>
  <c r="AA485" i="10"/>
  <c r="B328" i="12" a="1"/>
  <c r="B328" i="12" s="1"/>
  <c r="R412" i="12"/>
  <c r="R399" i="12"/>
  <c r="R400" i="12"/>
  <c r="R387" i="12"/>
  <c r="R375" i="12"/>
  <c r="R388" i="12"/>
  <c r="O155" i="12" l="1"/>
  <c r="M455" i="13" a="1"/>
  <c r="M455" i="13" s="1"/>
  <c r="O180" i="12"/>
  <c r="O182" i="12" s="1"/>
  <c r="O184" i="12" s="1"/>
  <c r="O422" i="13" s="1" a="1"/>
  <c r="O422" i="13" s="1"/>
  <c r="O416" i="13" a="1"/>
  <c r="O416" i="13" s="1"/>
  <c r="O443" i="13" s="1"/>
  <c r="N182" i="12"/>
  <c r="N184" i="12" s="1"/>
  <c r="N422" i="13" s="1" a="1"/>
  <c r="N422" i="13" s="1"/>
  <c r="HQ24" i="9" a="1"/>
  <c r="HQ24" i="9" s="1"/>
  <c r="O188" i="12" a="1"/>
  <c r="O188" i="12" s="1"/>
  <c r="O450" i="13" s="1" a="1"/>
  <c r="O450" i="13" s="1"/>
  <c r="O477" i="13" s="1"/>
  <c r="D225" i="12"/>
  <c r="D229" i="12" s="1"/>
  <c r="G928" i="13" a="1"/>
  <c r="G928" i="13" s="1"/>
  <c r="G955" i="13" s="1"/>
  <c r="G391" i="12"/>
  <c r="G933" i="13" s="1" a="1"/>
  <c r="G933" i="13" s="1"/>
  <c r="G396" i="12"/>
  <c r="N928" i="13" a="1"/>
  <c r="N928" i="13" s="1"/>
  <c r="N955" i="13" s="1"/>
  <c r="N391" i="12"/>
  <c r="N933" i="13" s="1" a="1"/>
  <c r="N933" i="13" s="1"/>
  <c r="N396" i="12"/>
  <c r="D488" i="13" a="1"/>
  <c r="D488" i="13" s="1"/>
  <c r="K928" i="13" a="1"/>
  <c r="K928" i="13" s="1"/>
  <c r="K955" i="13" s="1"/>
  <c r="K396" i="12"/>
  <c r="K391" i="12"/>
  <c r="K933" i="13" s="1" a="1"/>
  <c r="K933" i="13" s="1"/>
  <c r="O928" i="13" a="1"/>
  <c r="O928" i="13" s="1"/>
  <c r="O955" i="13" s="1"/>
  <c r="O396" i="12"/>
  <c r="O391" i="12"/>
  <c r="O933" i="13" s="1" a="1"/>
  <c r="O933" i="13" s="1"/>
  <c r="D391" i="12"/>
  <c r="D933" i="13" s="1" a="1"/>
  <c r="D933" i="13" s="1"/>
  <c r="D928" i="13" a="1"/>
  <c r="D928" i="13" s="1"/>
  <c r="D955" i="13" s="1"/>
  <c r="D396" i="12"/>
  <c r="H396" i="12"/>
  <c r="H928" i="13" a="1"/>
  <c r="H928" i="13" s="1"/>
  <c r="H955" i="13" s="1"/>
  <c r="H391" i="12"/>
  <c r="H933" i="13" s="1" a="1"/>
  <c r="H933" i="13" s="1"/>
  <c r="J388" i="12" a="1"/>
  <c r="J388" i="12" s="1"/>
  <c r="I388" i="12" a="1"/>
  <c r="I388" i="12" s="1"/>
  <c r="H388" i="12" a="1"/>
  <c r="H388" i="12" s="1"/>
  <c r="O388" i="12" a="1"/>
  <c r="O388" i="12" s="1"/>
  <c r="G388" i="12" a="1"/>
  <c r="G388" i="12" s="1"/>
  <c r="N388" i="12" a="1"/>
  <c r="N388" i="12" s="1"/>
  <c r="F388" i="12" a="1"/>
  <c r="F388" i="12" s="1"/>
  <c r="M388" i="12" a="1"/>
  <c r="M388" i="12" s="1"/>
  <c r="E388" i="12" a="1"/>
  <c r="E388" i="12" s="1"/>
  <c r="L388" i="12" a="1"/>
  <c r="L388" i="12" s="1"/>
  <c r="D388" i="12" a="1"/>
  <c r="D388" i="12" s="1"/>
  <c r="K388" i="12" a="1"/>
  <c r="K388" i="12" s="1"/>
  <c r="I375" i="12" a="1"/>
  <c r="I375" i="12" s="1"/>
  <c r="H375" i="12" a="1"/>
  <c r="H375" i="12" s="1"/>
  <c r="O375" i="12" a="1"/>
  <c r="O375" i="12" s="1"/>
  <c r="G375" i="12" a="1"/>
  <c r="G375" i="12" s="1"/>
  <c r="N375" i="12" a="1"/>
  <c r="N375" i="12" s="1"/>
  <c r="F375" i="12" a="1"/>
  <c r="F375" i="12" s="1"/>
  <c r="M375" i="12" a="1"/>
  <c r="M375" i="12" s="1"/>
  <c r="E375" i="12" a="1"/>
  <c r="E375" i="12" s="1"/>
  <c r="L375" i="12" a="1"/>
  <c r="L375" i="12" s="1"/>
  <c r="D375" i="12" a="1"/>
  <c r="D375" i="12" s="1"/>
  <c r="K375" i="12" a="1"/>
  <c r="K375" i="12" s="1"/>
  <c r="J375" i="12" a="1"/>
  <c r="J375" i="12" s="1"/>
  <c r="L391" i="12"/>
  <c r="L933" i="13" s="1" a="1"/>
  <c r="L933" i="13" s="1"/>
  <c r="L928" i="13" a="1"/>
  <c r="L928" i="13" s="1"/>
  <c r="L955" i="13" s="1"/>
  <c r="L396" i="12"/>
  <c r="I928" i="13" a="1"/>
  <c r="I928" i="13" s="1"/>
  <c r="I955" i="13" s="1"/>
  <c r="I391" i="12"/>
  <c r="I933" i="13" s="1" a="1"/>
  <c r="I933" i="13" s="1"/>
  <c r="I396" i="12"/>
  <c r="N387" i="12" a="1"/>
  <c r="N387" i="12" s="1"/>
  <c r="N929" i="13" s="1" a="1"/>
  <c r="N929" i="13" s="1"/>
  <c r="F387" i="12" a="1"/>
  <c r="F387" i="12" s="1"/>
  <c r="F929" i="13" s="1" a="1"/>
  <c r="F929" i="13" s="1"/>
  <c r="M387" i="12" a="1"/>
  <c r="M387" i="12" s="1"/>
  <c r="M929" i="13" s="1" a="1"/>
  <c r="M929" i="13" s="1"/>
  <c r="E387" i="12" a="1"/>
  <c r="E387" i="12" s="1"/>
  <c r="E929" i="13" s="1" a="1"/>
  <c r="E929" i="13" s="1"/>
  <c r="L387" i="12" a="1"/>
  <c r="L387" i="12" s="1"/>
  <c r="L929" i="13" s="1" a="1"/>
  <c r="L929" i="13" s="1"/>
  <c r="D387" i="12" a="1"/>
  <c r="D387" i="12" s="1"/>
  <c r="D929" i="13" s="1" a="1"/>
  <c r="D929" i="13" s="1"/>
  <c r="K387" i="12" a="1"/>
  <c r="K387" i="12" s="1"/>
  <c r="K929" i="13" s="1" a="1"/>
  <c r="K929" i="13" s="1"/>
  <c r="J387" i="12" a="1"/>
  <c r="J387" i="12" s="1"/>
  <c r="J929" i="13" s="1" a="1"/>
  <c r="J929" i="13" s="1"/>
  <c r="I387" i="12" a="1"/>
  <c r="I387" i="12" s="1"/>
  <c r="I929" i="13" s="1" a="1"/>
  <c r="I929" i="13" s="1"/>
  <c r="H387" i="12" a="1"/>
  <c r="H387" i="12" s="1"/>
  <c r="H929" i="13" s="1" a="1"/>
  <c r="H929" i="13" s="1"/>
  <c r="O387" i="12" a="1"/>
  <c r="O387" i="12" s="1"/>
  <c r="O929" i="13" s="1" a="1"/>
  <c r="O929" i="13" s="1"/>
  <c r="G387" i="12" a="1"/>
  <c r="G387" i="12" s="1"/>
  <c r="G929" i="13" s="1" a="1"/>
  <c r="G929" i="13" s="1"/>
  <c r="E928" i="13" a="1"/>
  <c r="E928" i="13" s="1"/>
  <c r="E955" i="13" s="1"/>
  <c r="E391" i="12"/>
  <c r="E933" i="13" s="1" a="1"/>
  <c r="E933" i="13" s="1"/>
  <c r="E396" i="12"/>
  <c r="J928" i="13" a="1"/>
  <c r="J928" i="13" s="1"/>
  <c r="J955" i="13" s="1"/>
  <c r="J396" i="12"/>
  <c r="J391" i="12"/>
  <c r="J933" i="13" s="1" a="1"/>
  <c r="J933" i="13" s="1"/>
  <c r="M928" i="13" a="1"/>
  <c r="M928" i="13" s="1"/>
  <c r="M955" i="13" s="1"/>
  <c r="M396" i="12"/>
  <c r="M391" i="12"/>
  <c r="M933" i="13" s="1" a="1"/>
  <c r="M933" i="13" s="1"/>
  <c r="M399" i="12" a="1"/>
  <c r="M399" i="12" s="1"/>
  <c r="E399" i="12" a="1"/>
  <c r="E399" i="12" s="1"/>
  <c r="L399" i="12" a="1"/>
  <c r="L399" i="12" s="1"/>
  <c r="D399" i="12" a="1"/>
  <c r="D399" i="12" s="1"/>
  <c r="K399" i="12" a="1"/>
  <c r="K399" i="12" s="1"/>
  <c r="J399" i="12" a="1"/>
  <c r="J399" i="12" s="1"/>
  <c r="I399" i="12" a="1"/>
  <c r="I399" i="12" s="1"/>
  <c r="H399" i="12" a="1"/>
  <c r="H399" i="12" s="1"/>
  <c r="O399" i="12" a="1"/>
  <c r="O399" i="12" s="1"/>
  <c r="G399" i="12" a="1"/>
  <c r="G399" i="12" s="1"/>
  <c r="N399" i="12" a="1"/>
  <c r="N399" i="12" s="1"/>
  <c r="F399" i="12" a="1"/>
  <c r="F399" i="12" s="1"/>
  <c r="F928" i="13" a="1"/>
  <c r="F928" i="13" s="1"/>
  <c r="F955" i="13" s="1"/>
  <c r="F391" i="12"/>
  <c r="F933" i="13" s="1" a="1"/>
  <c r="F933" i="13" s="1"/>
  <c r="F396" i="12"/>
  <c r="D238" i="12"/>
  <c r="D240" i="12" s="1"/>
  <c r="D558" i="13" s="1" a="1"/>
  <c r="D558" i="13" s="1"/>
  <c r="D557" i="13" a="1"/>
  <c r="D557" i="13" s="1"/>
  <c r="D586" i="13" a="1"/>
  <c r="D586" i="13" s="1"/>
  <c r="D613" i="13" s="1"/>
  <c r="D255" i="12"/>
  <c r="D250" i="12"/>
  <c r="D258" i="12" a="1"/>
  <c r="D258" i="12" s="1"/>
  <c r="HI26" i="9" a="1"/>
  <c r="HI26" i="9" s="1"/>
  <c r="HJ26" i="9" s="1"/>
  <c r="G213" i="12"/>
  <c r="G484" i="13" a="1"/>
  <c r="G484" i="13" s="1"/>
  <c r="G511" i="13" s="1"/>
  <c r="G208" i="12"/>
  <c r="GP28" i="9" a="1"/>
  <c r="GP28" i="9" s="1"/>
  <c r="GQ28" i="9" s="1"/>
  <c r="HI27" i="9" a="1"/>
  <c r="HI27" i="9" s="1"/>
  <c r="HJ27" i="9" s="1"/>
  <c r="N199" i="12"/>
  <c r="N194" i="12"/>
  <c r="N455" i="13" s="1" a="1"/>
  <c r="N455" i="13" s="1"/>
  <c r="E692" i="13" a="1"/>
  <c r="E692" i="13" s="1"/>
  <c r="I556" i="13" a="1"/>
  <c r="I556" i="13" s="1"/>
  <c r="K215" i="12"/>
  <c r="J229" i="12"/>
  <c r="N386" i="13" a="1"/>
  <c r="N386" i="13" s="1"/>
  <c r="H267" i="12"/>
  <c r="H624" i="13" s="1" a="1"/>
  <c r="H624" i="13" s="1"/>
  <c r="F295" i="12"/>
  <c r="F692" i="13" s="1" a="1"/>
  <c r="F692" i="13" s="1"/>
  <c r="E309" i="12"/>
  <c r="E313" i="12" s="1"/>
  <c r="K225" i="12"/>
  <c r="K522" i="13" s="1" a="1"/>
  <c r="K522" i="13" s="1"/>
  <c r="J239" i="12"/>
  <c r="J556" i="13" s="1" a="1"/>
  <c r="J556" i="13" s="1"/>
  <c r="J260" i="12" a="1"/>
  <c r="J260" i="12" s="1"/>
  <c r="J621" i="13" s="1" a="1"/>
  <c r="J621" i="13" s="1"/>
  <c r="EO29" i="9" s="1" a="1"/>
  <c r="EO29" i="9" s="1"/>
  <c r="DG31" i="9" a="1"/>
  <c r="DG31" i="9" s="1"/>
  <c r="I286" i="12" a="1"/>
  <c r="I286" i="12" s="1"/>
  <c r="G302" i="12" a="1"/>
  <c r="G302" i="12" s="1"/>
  <c r="G723" i="13" s="1" a="1"/>
  <c r="G723" i="13" s="1"/>
  <c r="CJ32" i="9" s="1" a="1"/>
  <c r="CJ32" i="9" s="1"/>
  <c r="O202" i="12" a="1"/>
  <c r="O202" i="12" s="1"/>
  <c r="HQ25" i="9" a="1"/>
  <c r="HQ25" i="9" s="1"/>
  <c r="E339" i="12"/>
  <c r="E334" i="12"/>
  <c r="E790" i="13" a="1"/>
  <c r="E790" i="13" s="1"/>
  <c r="E817" i="13" s="1"/>
  <c r="O169" i="12"/>
  <c r="N208" i="12"/>
  <c r="N484" i="13" a="1"/>
  <c r="N484" i="13" s="1"/>
  <c r="N511" i="13" s="1"/>
  <c r="N213" i="12"/>
  <c r="M218" i="12" a="1"/>
  <c r="M218" i="12" s="1"/>
  <c r="M519" i="13" s="1" a="1"/>
  <c r="M519" i="13" s="1"/>
  <c r="GT26" i="9" s="1" a="1"/>
  <c r="GT26" i="9" s="1"/>
  <c r="D344" i="12" a="1"/>
  <c r="D344" i="12" s="1"/>
  <c r="D825" i="13" s="1" a="1"/>
  <c r="D825" i="13" s="1"/>
  <c r="AE35" i="9" s="1" a="1"/>
  <c r="AE35" i="9" s="1"/>
  <c r="M187" i="12"/>
  <c r="M420" i="13" a="1"/>
  <c r="M420" i="13" s="1"/>
  <c r="F756" i="13" a="1"/>
  <c r="F756" i="13" s="1"/>
  <c r="F783" i="13" s="1"/>
  <c r="F325" i="12"/>
  <c r="F320" i="12"/>
  <c r="H590" i="13" a="1"/>
  <c r="H590" i="13" s="1"/>
  <c r="H257" i="12"/>
  <c r="K586" i="13" a="1"/>
  <c r="K586" i="13" s="1"/>
  <c r="K613" i="13" s="1"/>
  <c r="K250" i="12"/>
  <c r="K255" i="12"/>
  <c r="GX26" i="9" a="1"/>
  <c r="GX26" i="9" s="1"/>
  <c r="N216" i="12" a="1"/>
  <c r="N216" i="12" s="1"/>
  <c r="AI35" i="9" a="1"/>
  <c r="AI35" i="9" s="1"/>
  <c r="E342" i="12" a="1"/>
  <c r="E342" i="12" s="1"/>
  <c r="I625" i="13" a="1"/>
  <c r="I625" i="13" s="1"/>
  <c r="I266" i="12"/>
  <c r="I268" i="12" s="1"/>
  <c r="I626" i="13" s="1" a="1"/>
  <c r="I626" i="13" s="1"/>
  <c r="F727" i="13" a="1"/>
  <c r="F727" i="13" s="1"/>
  <c r="F308" i="12"/>
  <c r="F310" i="12" s="1"/>
  <c r="F728" i="13" s="1" a="1"/>
  <c r="F728" i="13" s="1"/>
  <c r="M222" i="12"/>
  <c r="M518" i="13" a="1"/>
  <c r="M518" i="13" s="1"/>
  <c r="M545" i="13" s="1"/>
  <c r="M227" i="12"/>
  <c r="M489" i="13" a="1"/>
  <c r="M489" i="13" s="1"/>
  <c r="M210" i="12"/>
  <c r="M212" i="12" s="1"/>
  <c r="M490" i="13" s="1" a="1"/>
  <c r="M490" i="13" s="1"/>
  <c r="E330" i="12" a="1"/>
  <c r="E330" i="12" s="1"/>
  <c r="E791" i="13" s="1" a="1"/>
  <c r="E791" i="13" s="1"/>
  <c r="AX34" i="9" s="1" a="1"/>
  <c r="AX34" i="9" s="1"/>
  <c r="BB34" i="9" a="1"/>
  <c r="BB34" i="9" s="1"/>
  <c r="F328" i="12" a="1"/>
  <c r="F328" i="12" s="1"/>
  <c r="I274" i="12" a="1"/>
  <c r="I274" i="12" s="1"/>
  <c r="I655" i="13" s="1" a="1"/>
  <c r="I655" i="13" s="1"/>
  <c r="DV30" i="9" s="1" a="1"/>
  <c r="DV30" i="9" s="1"/>
  <c r="L224" i="12"/>
  <c r="L226" i="12" s="1"/>
  <c r="L524" i="13" s="1" a="1"/>
  <c r="L524" i="13" s="1"/>
  <c r="L523" i="13" a="1"/>
  <c r="L523" i="13" s="1"/>
  <c r="K258" i="12" a="1"/>
  <c r="K258" i="12" s="1"/>
  <c r="ES29" i="9" a="1"/>
  <c r="ES29" i="9" s="1"/>
  <c r="H280" i="12"/>
  <c r="H282" i="12" s="1"/>
  <c r="H660" i="13" s="1" a="1"/>
  <c r="H660" i="13" s="1"/>
  <c r="H659" i="13" a="1"/>
  <c r="H659" i="13" s="1"/>
  <c r="FL28" i="9" a="1"/>
  <c r="FL28" i="9" s="1"/>
  <c r="L244" i="12" a="1"/>
  <c r="L244" i="12" s="1"/>
  <c r="O190" i="12" a="1"/>
  <c r="O190" i="12" s="1"/>
  <c r="O451" i="13" s="1" a="1"/>
  <c r="O451" i="13" s="1"/>
  <c r="IF24" i="9" s="1" a="1"/>
  <c r="IF24" i="9" s="1"/>
  <c r="K557" i="13" a="1"/>
  <c r="K557" i="13" s="1"/>
  <c r="K238" i="12"/>
  <c r="K240" i="12" s="1"/>
  <c r="K558" i="13" s="1" a="1"/>
  <c r="K558" i="13" s="1"/>
  <c r="O352" i="13" a="1"/>
  <c r="O352" i="13" s="1"/>
  <c r="O159" i="12"/>
  <c r="E761" i="13" a="1"/>
  <c r="E761" i="13" s="1"/>
  <c r="E322" i="12"/>
  <c r="E324" i="12" s="1"/>
  <c r="E762" i="13" s="1" a="1"/>
  <c r="E762" i="13" s="1"/>
  <c r="I278" i="12"/>
  <c r="I283" i="12"/>
  <c r="I654" i="13" a="1"/>
  <c r="I654" i="13" s="1"/>
  <c r="I681" i="13" s="1"/>
  <c r="J269" i="12"/>
  <c r="J620" i="13" a="1"/>
  <c r="J620" i="13" s="1"/>
  <c r="J647" i="13" s="1"/>
  <c r="J264" i="12"/>
  <c r="L232" i="12" a="1"/>
  <c r="L232" i="12" s="1"/>
  <c r="L553" i="13" s="1" a="1"/>
  <c r="L553" i="13" s="1"/>
  <c r="GA27" i="9" s="1" a="1"/>
  <c r="GA27" i="9" s="1"/>
  <c r="D44" i="24" a="1"/>
  <c r="D44" i="24" s="1"/>
  <c r="K246" i="12" a="1"/>
  <c r="K246" i="12" s="1"/>
  <c r="K587" i="13" s="1" a="1"/>
  <c r="K587" i="13" s="1"/>
  <c r="FH28" i="9" s="1" a="1"/>
  <c r="FH28" i="9" s="1"/>
  <c r="GE27" i="9" a="1"/>
  <c r="GE27" i="9" s="1"/>
  <c r="M230" i="12" a="1"/>
  <c r="M230" i="12" s="1"/>
  <c r="N204" i="12" a="1"/>
  <c r="N204" i="12" s="1"/>
  <c r="N485" i="13" s="1" a="1"/>
  <c r="N485" i="13" s="1"/>
  <c r="HM25" i="9" s="1" a="1"/>
  <c r="HM25" i="9" s="1"/>
  <c r="L552" i="13" a="1"/>
  <c r="L552" i="13" s="1"/>
  <c r="L579" i="13" s="1"/>
  <c r="L236" i="12"/>
  <c r="L241" i="12"/>
  <c r="J591" i="13" a="1"/>
  <c r="J591" i="13" s="1"/>
  <c r="J252" i="12"/>
  <c r="J254" i="12" s="1"/>
  <c r="J592" i="13" s="1" a="1"/>
  <c r="J592" i="13" s="1"/>
  <c r="DZ30" i="9" a="1"/>
  <c r="DZ30" i="9" s="1"/>
  <c r="J272" i="12" a="1"/>
  <c r="J272" i="12" s="1"/>
  <c r="F316" i="12" a="1"/>
  <c r="F316" i="12" s="1"/>
  <c r="F757" i="13" s="1" a="1"/>
  <c r="F757" i="13" s="1"/>
  <c r="BQ33" i="9" s="1" a="1"/>
  <c r="BQ33" i="9" s="1"/>
  <c r="H288" i="12" a="1"/>
  <c r="H288" i="12" s="1"/>
  <c r="H689" i="13" s="1" a="1"/>
  <c r="H689" i="13" s="1"/>
  <c r="DC31" i="9" s="1" a="1"/>
  <c r="DC31" i="9" s="1"/>
  <c r="CN32" i="9" a="1"/>
  <c r="CN32" i="9" s="1"/>
  <c r="H300" i="12" a="1"/>
  <c r="H300" i="12" s="1"/>
  <c r="A356" i="12" a="1"/>
  <c r="A356" i="12" s="1"/>
  <c r="C46" i="28" a="1"/>
  <c r="C46" i="28" s="1"/>
  <c r="A855" i="13" a="1"/>
  <c r="A855" i="13" s="1"/>
  <c r="IB32" i="9" a="1"/>
  <c r="IB32" i="9" s="1"/>
  <c r="IC32" i="9" s="1"/>
  <c r="M197" i="12"/>
  <c r="L454" i="13" a="1"/>
  <c r="L454" i="13" s="1"/>
  <c r="L201" i="12"/>
  <c r="L211" i="12"/>
  <c r="F285" i="12"/>
  <c r="F658" i="13" a="1"/>
  <c r="F658" i="13" s="1"/>
  <c r="G693" i="13" a="1"/>
  <c r="G693" i="13" s="1"/>
  <c r="G294" i="12"/>
  <c r="G296" i="12" s="1"/>
  <c r="G694" i="13" s="1" a="1"/>
  <c r="G694" i="13" s="1"/>
  <c r="I253" i="12"/>
  <c r="B748" i="13"/>
  <c r="B743" i="13"/>
  <c r="B760" i="13"/>
  <c r="B761" i="13" s="1"/>
  <c r="B762" i="13" s="1"/>
  <c r="B763" i="13" s="1"/>
  <c r="B764" i="13"/>
  <c r="B765" i="13" s="1"/>
  <c r="B766" i="13" s="1"/>
  <c r="B767" i="13" s="1"/>
  <c r="B768" i="13" s="1"/>
  <c r="B769" i="13" s="1"/>
  <c r="B770" i="13" s="1"/>
  <c r="B771" i="13" s="1"/>
  <c r="B772" i="13" s="1"/>
  <c r="B773" i="13" s="1"/>
  <c r="B774" i="13" s="1"/>
  <c r="B775" i="13" s="1"/>
  <c r="B776" i="13" s="1"/>
  <c r="B821" i="13" a="1"/>
  <c r="B821" i="13" s="1"/>
  <c r="B822" i="13" s="1"/>
  <c r="B710" i="13"/>
  <c r="B711" i="13" s="1"/>
  <c r="B712" i="13" s="1"/>
  <c r="B713" i="13" s="1"/>
  <c r="B715" i="13"/>
  <c r="B716" i="13" s="1"/>
  <c r="B717" i="13" s="1"/>
  <c r="B718" i="13" s="1"/>
  <c r="B789" i="13"/>
  <c r="B790" i="13" s="1"/>
  <c r="B791" i="13" s="1"/>
  <c r="B792" i="13"/>
  <c r="B793" i="13" s="1"/>
  <c r="AA499" i="10"/>
  <c r="AA537" i="10"/>
  <c r="AA524" i="10"/>
  <c r="AA525" i="10" s="1"/>
  <c r="AA512" i="10"/>
  <c r="B342" i="12" a="1"/>
  <c r="B342" i="12" s="1"/>
  <c r="R389" i="12"/>
  <c r="R402" i="12"/>
  <c r="R401" i="12"/>
  <c r="R414" i="12"/>
  <c r="R426" i="12"/>
  <c r="R413" i="12"/>
  <c r="O421" i="13" l="1" a="1"/>
  <c r="O421" i="13" s="1"/>
  <c r="N183" i="12"/>
  <c r="O194" i="12"/>
  <c r="O199" i="12"/>
  <c r="D522" i="13" a="1"/>
  <c r="D522" i="13" s="1"/>
  <c r="E962" i="13" a="1"/>
  <c r="E962" i="13" s="1"/>
  <c r="E989" i="13" s="1"/>
  <c r="E410" i="12"/>
  <c r="E405" i="12"/>
  <c r="E967" i="13" s="1" a="1"/>
  <c r="E967" i="13" s="1"/>
  <c r="O962" i="13" a="1"/>
  <c r="O962" i="13" s="1"/>
  <c r="O989" i="13" s="1"/>
  <c r="O405" i="12"/>
  <c r="O967" i="13" s="1" a="1"/>
  <c r="O967" i="13" s="1"/>
  <c r="O410" i="12"/>
  <c r="M962" i="13" a="1"/>
  <c r="M962" i="13" s="1"/>
  <c r="M989" i="13" s="1"/>
  <c r="M405" i="12"/>
  <c r="M967" i="13" s="1" a="1"/>
  <c r="M967" i="13" s="1"/>
  <c r="M410" i="12"/>
  <c r="G962" i="13" a="1"/>
  <c r="G962" i="13" s="1"/>
  <c r="G989" i="13" s="1"/>
  <c r="G405" i="12"/>
  <c r="G967" i="13" s="1" a="1"/>
  <c r="G967" i="13" s="1"/>
  <c r="G410" i="12"/>
  <c r="J413" i="12" a="1"/>
  <c r="J413" i="12" s="1"/>
  <c r="I413" i="12" a="1"/>
  <c r="I413" i="12" s="1"/>
  <c r="H413" i="12" a="1"/>
  <c r="H413" i="12" s="1"/>
  <c r="O413" i="12" a="1"/>
  <c r="O413" i="12" s="1"/>
  <c r="G413" i="12" a="1"/>
  <c r="G413" i="12" s="1"/>
  <c r="N413" i="12" a="1"/>
  <c r="N413" i="12" s="1"/>
  <c r="F413" i="12" a="1"/>
  <c r="F413" i="12" s="1"/>
  <c r="M413" i="12" a="1"/>
  <c r="M413" i="12" s="1"/>
  <c r="E413" i="12" a="1"/>
  <c r="E413" i="12" s="1"/>
  <c r="L413" i="12" a="1"/>
  <c r="L413" i="12" s="1"/>
  <c r="D413" i="12" a="1"/>
  <c r="D413" i="12" s="1"/>
  <c r="K413" i="12" a="1"/>
  <c r="K413" i="12" s="1"/>
  <c r="H410" i="12"/>
  <c r="H962" i="13" a="1"/>
  <c r="H962" i="13" s="1"/>
  <c r="H989" i="13" s="1"/>
  <c r="H405" i="12"/>
  <c r="H967" i="13" s="1" a="1"/>
  <c r="H967" i="13" s="1"/>
  <c r="J962" i="13" a="1"/>
  <c r="J962" i="13" s="1"/>
  <c r="J989" i="13" s="1"/>
  <c r="J405" i="12"/>
  <c r="J967" i="13" s="1" a="1"/>
  <c r="J967" i="13" s="1"/>
  <c r="J410" i="12"/>
  <c r="K962" i="13" a="1"/>
  <c r="K962" i="13" s="1"/>
  <c r="K989" i="13" s="1"/>
  <c r="K410" i="12"/>
  <c r="K405" i="12"/>
  <c r="K967" i="13" s="1" a="1"/>
  <c r="K967" i="13" s="1"/>
  <c r="I962" i="13" a="1"/>
  <c r="I962" i="13" s="1"/>
  <c r="I989" i="13" s="1"/>
  <c r="I405" i="12"/>
  <c r="I967" i="13" s="1" a="1"/>
  <c r="I967" i="13" s="1"/>
  <c r="I410" i="12"/>
  <c r="M402" i="12" a="1"/>
  <c r="M402" i="12" s="1"/>
  <c r="E402" i="12" a="1"/>
  <c r="E402" i="12" s="1"/>
  <c r="L402" i="12" a="1"/>
  <c r="L402" i="12" s="1"/>
  <c r="D402" i="12" a="1"/>
  <c r="D402" i="12" s="1"/>
  <c r="K402" i="12" a="1"/>
  <c r="K402" i="12" s="1"/>
  <c r="J402" i="12" a="1"/>
  <c r="J402" i="12" s="1"/>
  <c r="I402" i="12" a="1"/>
  <c r="I402" i="12" s="1"/>
  <c r="H402" i="12" a="1"/>
  <c r="H402" i="12" s="1"/>
  <c r="O402" i="12" a="1"/>
  <c r="O402" i="12" s="1"/>
  <c r="G402" i="12" a="1"/>
  <c r="G402" i="12" s="1"/>
  <c r="N402" i="12" a="1"/>
  <c r="N402" i="12" s="1"/>
  <c r="F402" i="12" a="1"/>
  <c r="F402" i="12" s="1"/>
  <c r="F962" i="13" a="1"/>
  <c r="F962" i="13" s="1"/>
  <c r="F989" i="13" s="1"/>
  <c r="F405" i="12"/>
  <c r="F967" i="13" s="1" a="1"/>
  <c r="F967" i="13" s="1"/>
  <c r="F410" i="12"/>
  <c r="D405" i="12"/>
  <c r="D967" i="13" s="1" a="1"/>
  <c r="D967" i="13" s="1"/>
  <c r="D962" i="13" a="1"/>
  <c r="D962" i="13" s="1"/>
  <c r="D989" i="13" s="1"/>
  <c r="D410" i="12"/>
  <c r="I401" i="12" a="1"/>
  <c r="I401" i="12" s="1"/>
  <c r="I963" i="13" s="1" a="1"/>
  <c r="I963" i="13" s="1"/>
  <c r="H401" i="12" a="1"/>
  <c r="H401" i="12" s="1"/>
  <c r="H963" i="13" s="1" a="1"/>
  <c r="H963" i="13" s="1"/>
  <c r="O401" i="12" a="1"/>
  <c r="O401" i="12" s="1"/>
  <c r="O963" i="13" s="1" a="1"/>
  <c r="O963" i="13" s="1"/>
  <c r="G401" i="12" a="1"/>
  <c r="G401" i="12" s="1"/>
  <c r="G963" i="13" s="1" a="1"/>
  <c r="G963" i="13" s="1"/>
  <c r="N401" i="12" a="1"/>
  <c r="N401" i="12" s="1"/>
  <c r="N963" i="13" s="1" a="1"/>
  <c r="N963" i="13" s="1"/>
  <c r="F401" i="12" a="1"/>
  <c r="F401" i="12" s="1"/>
  <c r="F963" i="13" s="1" a="1"/>
  <c r="F963" i="13" s="1"/>
  <c r="M401" i="12" a="1"/>
  <c r="M401" i="12" s="1"/>
  <c r="M963" i="13" s="1" a="1"/>
  <c r="M963" i="13" s="1"/>
  <c r="E401" i="12" a="1"/>
  <c r="E401" i="12" s="1"/>
  <c r="E963" i="13" s="1" a="1"/>
  <c r="E963" i="13" s="1"/>
  <c r="L401" i="12" a="1"/>
  <c r="L401" i="12" s="1"/>
  <c r="L963" i="13" s="1" a="1"/>
  <c r="L963" i="13" s="1"/>
  <c r="D401" i="12" a="1"/>
  <c r="D401" i="12" s="1"/>
  <c r="D963" i="13" s="1" a="1"/>
  <c r="D963" i="13" s="1"/>
  <c r="K401" i="12" a="1"/>
  <c r="K401" i="12" s="1"/>
  <c r="K963" i="13" s="1" a="1"/>
  <c r="K963" i="13" s="1"/>
  <c r="J401" i="12" a="1"/>
  <c r="J401" i="12" s="1"/>
  <c r="J963" i="13" s="1" a="1"/>
  <c r="J963" i="13" s="1"/>
  <c r="O389" i="12" a="1"/>
  <c r="O389" i="12" s="1"/>
  <c r="N389" i="12" a="1"/>
  <c r="N389" i="12" s="1"/>
  <c r="M389" i="12" a="1"/>
  <c r="M389" i="12" s="1"/>
  <c r="L389" i="12" a="1"/>
  <c r="L389" i="12" s="1"/>
  <c r="F389" i="12" a="1"/>
  <c r="F389" i="12" s="1"/>
  <c r="E389" i="12" a="1"/>
  <c r="E389" i="12" s="1"/>
  <c r="D389" i="12" a="1"/>
  <c r="D389" i="12" s="1"/>
  <c r="K389" i="12" a="1"/>
  <c r="K389" i="12" s="1"/>
  <c r="J389" i="12" a="1"/>
  <c r="J389" i="12" s="1"/>
  <c r="I389" i="12" a="1"/>
  <c r="I389" i="12" s="1"/>
  <c r="H389" i="12" a="1"/>
  <c r="H389" i="12" s="1"/>
  <c r="G389" i="12" a="1"/>
  <c r="G389" i="12" s="1"/>
  <c r="N962" i="13" a="1"/>
  <c r="N962" i="13" s="1"/>
  <c r="N989" i="13" s="1"/>
  <c r="N410" i="12"/>
  <c r="N405" i="12"/>
  <c r="N967" i="13" s="1" a="1"/>
  <c r="N967" i="13" s="1"/>
  <c r="L962" i="13" a="1"/>
  <c r="L962" i="13" s="1"/>
  <c r="L989" i="13" s="1"/>
  <c r="L405" i="12"/>
  <c r="L967" i="13" s="1" a="1"/>
  <c r="L967" i="13" s="1"/>
  <c r="L410" i="12"/>
  <c r="N196" i="12"/>
  <c r="N198" i="12" s="1"/>
  <c r="N456" i="13" s="1" a="1"/>
  <c r="N456" i="13" s="1"/>
  <c r="HI28" i="9" a="1"/>
  <c r="HI28" i="9" s="1"/>
  <c r="HJ28" i="9" s="1"/>
  <c r="D620" i="13" a="1"/>
  <c r="D620" i="13" s="1"/>
  <c r="D647" i="13" s="1"/>
  <c r="D269" i="12"/>
  <c r="D264" i="12"/>
  <c r="G210" i="12"/>
  <c r="G212" i="12" s="1"/>
  <c r="G490" i="13" s="1" a="1"/>
  <c r="G490" i="13" s="1"/>
  <c r="G489" i="13" a="1"/>
  <c r="G489" i="13" s="1"/>
  <c r="G230" i="12" a="1"/>
  <c r="G230" i="12" s="1"/>
  <c r="FW29" i="9" a="1"/>
  <c r="FW29" i="9" s="1"/>
  <c r="FX29" i="9" s="1"/>
  <c r="D239" i="12"/>
  <c r="D591" i="13" a="1"/>
  <c r="D591" i="13" s="1"/>
  <c r="D252" i="12"/>
  <c r="D254" i="12" s="1"/>
  <c r="D592" i="13" s="1" a="1"/>
  <c r="D592" i="13" s="1"/>
  <c r="D272" i="12" a="1"/>
  <c r="D272" i="12" s="1"/>
  <c r="H271" i="12"/>
  <c r="F299" i="12"/>
  <c r="E726" i="13" a="1"/>
  <c r="E726" i="13" s="1"/>
  <c r="K229" i="12"/>
  <c r="J243" i="12"/>
  <c r="O183" i="12"/>
  <c r="O420" i="13" s="1" a="1"/>
  <c r="O420" i="13" s="1"/>
  <c r="I267" i="12"/>
  <c r="I271" i="12" s="1"/>
  <c r="E323" i="12"/>
  <c r="E760" i="13" s="1" a="1"/>
  <c r="E760" i="13" s="1"/>
  <c r="M211" i="12"/>
  <c r="M215" i="12" s="1"/>
  <c r="F309" i="12"/>
  <c r="F313" i="12" s="1"/>
  <c r="IB33" i="9" a="1"/>
  <c r="IB33" i="9" s="1"/>
  <c r="IC33" i="9" s="1"/>
  <c r="E344" i="12" a="1"/>
  <c r="E344" i="12" s="1"/>
  <c r="E825" i="13" s="1" a="1"/>
  <c r="E825" i="13" s="1"/>
  <c r="AX35" i="9" s="1" a="1"/>
  <c r="AX35" i="9" s="1"/>
  <c r="M232" i="12" a="1"/>
  <c r="M232" i="12" s="1"/>
  <c r="M553" i="13" s="1" a="1"/>
  <c r="M553" i="13" s="1"/>
  <c r="GT27" i="9" s="1" a="1"/>
  <c r="GT27" i="9" s="1"/>
  <c r="G295" i="12"/>
  <c r="H306" i="12"/>
  <c r="H311" i="12"/>
  <c r="H722" i="13" a="1"/>
  <c r="H722" i="13" s="1"/>
  <c r="H749" i="13" s="1"/>
  <c r="J253" i="12"/>
  <c r="L225" i="12"/>
  <c r="F339" i="12"/>
  <c r="F790" i="13" a="1"/>
  <c r="F790" i="13" s="1"/>
  <c r="F817" i="13" s="1"/>
  <c r="F334" i="12"/>
  <c r="E824" i="13" a="1"/>
  <c r="E824" i="13" s="1"/>
  <c r="E851" i="13" s="1"/>
  <c r="E353" i="12"/>
  <c r="E348" i="12"/>
  <c r="L255" i="12"/>
  <c r="L586" i="13" a="1"/>
  <c r="L586" i="13" s="1"/>
  <c r="L613" i="13" s="1"/>
  <c r="L250" i="12"/>
  <c r="I292" i="12"/>
  <c r="I688" i="13" a="1"/>
  <c r="I688" i="13" s="1"/>
  <c r="I715" i="13" s="1"/>
  <c r="I297" i="12"/>
  <c r="O204" i="12" a="1"/>
  <c r="O204" i="12" s="1"/>
  <c r="O485" i="13" s="1" a="1"/>
  <c r="O485" i="13" s="1"/>
  <c r="IF25" i="9" s="1" a="1"/>
  <c r="IF25" i="9" s="1"/>
  <c r="A889" i="13" a="1"/>
  <c r="A889" i="13" s="1"/>
  <c r="C47" i="28" a="1"/>
  <c r="C47" i="28" s="1"/>
  <c r="A370" i="12" a="1"/>
  <c r="A370" i="12" s="1"/>
  <c r="F330" i="12" a="1"/>
  <c r="F330" i="12" s="1"/>
  <c r="F791" i="13" s="1" a="1"/>
  <c r="F791" i="13" s="1"/>
  <c r="BQ34" i="9" s="1" a="1"/>
  <c r="BQ34" i="9" s="1"/>
  <c r="M201" i="12"/>
  <c r="M454" i="13" a="1"/>
  <c r="M454" i="13" s="1"/>
  <c r="N227" i="12"/>
  <c r="N518" i="13" a="1"/>
  <c r="N518" i="13" s="1"/>
  <c r="N545" i="13" s="1"/>
  <c r="N222" i="12"/>
  <c r="H302" i="12" a="1"/>
  <c r="H302" i="12" s="1"/>
  <c r="H723" i="13" s="1" a="1"/>
  <c r="H723" i="13" s="1"/>
  <c r="DC32" i="9" s="1" a="1"/>
  <c r="DC32" i="9" s="1"/>
  <c r="GE28" i="9" a="1"/>
  <c r="GE28" i="9" s="1"/>
  <c r="M244" i="12" a="1"/>
  <c r="M244" i="12" s="1"/>
  <c r="BU34" i="9" a="1"/>
  <c r="BU34" i="9" s="1"/>
  <c r="G328" i="12" a="1"/>
  <c r="G328" i="12" s="1"/>
  <c r="D45" i="24" a="1"/>
  <c r="D45" i="24" s="1"/>
  <c r="L238" i="12"/>
  <c r="L240" i="12" s="1"/>
  <c r="L558" i="13" s="1" a="1"/>
  <c r="L558" i="13" s="1"/>
  <c r="L557" i="13" a="1"/>
  <c r="L557" i="13" s="1"/>
  <c r="H281" i="12"/>
  <c r="E795" i="13" a="1"/>
  <c r="E795" i="13" s="1"/>
  <c r="E336" i="12"/>
  <c r="E338" i="12" s="1"/>
  <c r="E796" i="13" s="1" a="1"/>
  <c r="E796" i="13" s="1"/>
  <c r="DG32" i="9" a="1"/>
  <c r="DG32" i="9" s="1"/>
  <c r="I300" i="12" a="1"/>
  <c r="I300" i="12" s="1"/>
  <c r="J286" i="12" a="1"/>
  <c r="J286" i="12" s="1"/>
  <c r="DZ31" i="9" a="1"/>
  <c r="DZ31" i="9" s="1"/>
  <c r="J274" i="12" a="1"/>
  <c r="J274" i="12" s="1"/>
  <c r="J655" i="13" s="1" a="1"/>
  <c r="J655" i="13" s="1"/>
  <c r="EO30" i="9" s="1" a="1"/>
  <c r="EO30" i="9" s="1"/>
  <c r="K239" i="12"/>
  <c r="D358" i="12" a="1"/>
  <c r="D358" i="12" s="1"/>
  <c r="D859" i="13" s="1" a="1"/>
  <c r="D859" i="13" s="1"/>
  <c r="AE36" i="9" s="1" a="1"/>
  <c r="AE36" i="9" s="1"/>
  <c r="ES30" i="9" a="1"/>
  <c r="ES30" i="9" s="1"/>
  <c r="K272" i="12" a="1"/>
  <c r="K272" i="12" s="1"/>
  <c r="N218" i="12" a="1"/>
  <c r="N218" i="12" s="1"/>
  <c r="N519" i="13" s="1" a="1"/>
  <c r="N519" i="13" s="1"/>
  <c r="HM26" i="9" s="1" a="1"/>
  <c r="HM26" i="9" s="1"/>
  <c r="L488" i="13" a="1"/>
  <c r="L488" i="13" s="1"/>
  <c r="L215" i="12"/>
  <c r="K252" i="12"/>
  <c r="K254" i="12" s="1"/>
  <c r="K592" i="13" s="1" a="1"/>
  <c r="K592" i="13" s="1"/>
  <c r="K591" i="13" a="1"/>
  <c r="K591" i="13" s="1"/>
  <c r="F322" i="12"/>
  <c r="F324" i="12" s="1"/>
  <c r="F762" i="13" s="1" a="1"/>
  <c r="F762" i="13" s="1"/>
  <c r="F761" i="13" a="1"/>
  <c r="F761" i="13" s="1"/>
  <c r="N489" i="13" a="1"/>
  <c r="N489" i="13" s="1"/>
  <c r="N210" i="12"/>
  <c r="N212" i="12" s="1"/>
  <c r="N490" i="13" s="1" a="1"/>
  <c r="N490" i="13" s="1"/>
  <c r="K260" i="12" a="1"/>
  <c r="K260" i="12" s="1"/>
  <c r="K621" i="13" s="1" a="1"/>
  <c r="K621" i="13" s="1"/>
  <c r="FH29" i="9" s="1" a="1"/>
  <c r="FH29" i="9" s="1"/>
  <c r="BB35" i="9" a="1"/>
  <c r="BB35" i="9" s="1"/>
  <c r="F342" i="12" a="1"/>
  <c r="F342" i="12" s="1"/>
  <c r="AI36" i="9" a="1"/>
  <c r="AI36" i="9" s="1"/>
  <c r="E356" i="12" a="1"/>
  <c r="E356" i="12" s="1"/>
  <c r="L258" i="12" a="1"/>
  <c r="L258" i="12" s="1"/>
  <c r="FL29" i="9" a="1"/>
  <c r="FL29" i="9" s="1"/>
  <c r="HQ26" i="9" a="1"/>
  <c r="HQ26" i="9" s="1"/>
  <c r="O216" i="12" a="1"/>
  <c r="O216" i="12" s="1"/>
  <c r="G316" i="12" a="1"/>
  <c r="G316" i="12" s="1"/>
  <c r="G757" i="13" s="1" a="1"/>
  <c r="G757" i="13" s="1"/>
  <c r="CJ33" i="9" s="1" a="1"/>
  <c r="CJ33" i="9" s="1"/>
  <c r="J654" i="13" a="1"/>
  <c r="J654" i="13" s="1"/>
  <c r="J681" i="13" s="1"/>
  <c r="J283" i="12"/>
  <c r="J278" i="12"/>
  <c r="O455" i="13" a="1"/>
  <c r="O455" i="13" s="1"/>
  <c r="O196" i="12"/>
  <c r="O198" i="12" s="1"/>
  <c r="O456" i="13" s="1" a="1"/>
  <c r="O456" i="13" s="1"/>
  <c r="I659" i="13" a="1"/>
  <c r="I659" i="13" s="1"/>
  <c r="I280" i="12"/>
  <c r="I282" i="12" s="1"/>
  <c r="I660" i="13" s="1" a="1"/>
  <c r="I660" i="13" s="1"/>
  <c r="M224" i="12"/>
  <c r="M226" i="12" s="1"/>
  <c r="M524" i="13" s="1" a="1"/>
  <c r="M524" i="13" s="1"/>
  <c r="M523" i="13" a="1"/>
  <c r="M523" i="13" s="1"/>
  <c r="O386" i="13" a="1"/>
  <c r="O386" i="13" s="1"/>
  <c r="O173" i="12"/>
  <c r="O484" i="13" a="1"/>
  <c r="O484" i="13" s="1"/>
  <c r="O511" i="13" s="1"/>
  <c r="O213" i="12"/>
  <c r="O208" i="12"/>
  <c r="L246" i="12" a="1"/>
  <c r="L246" i="12" s="1"/>
  <c r="L587" i="13" s="1" a="1"/>
  <c r="L587" i="13" s="1"/>
  <c r="GA28" i="9" s="1" a="1"/>
  <c r="GA28" i="9" s="1"/>
  <c r="I288" i="12" a="1"/>
  <c r="I288" i="12" s="1"/>
  <c r="I689" i="13" s="1" a="1"/>
  <c r="I689" i="13" s="1"/>
  <c r="DV31" i="9" s="1" a="1"/>
  <c r="DV31" i="9" s="1"/>
  <c r="GX27" i="9" a="1"/>
  <c r="GX27" i="9" s="1"/>
  <c r="N230" i="12" a="1"/>
  <c r="N230" i="12" s="1"/>
  <c r="H314" i="12" a="1"/>
  <c r="H314" i="12" s="1"/>
  <c r="CN33" i="9" a="1"/>
  <c r="CN33" i="9" s="1"/>
  <c r="I257" i="12"/>
  <c r="I590" i="13" a="1"/>
  <c r="I590" i="13" s="1"/>
  <c r="M552" i="13" a="1"/>
  <c r="M552" i="13" s="1"/>
  <c r="M579" i="13" s="1"/>
  <c r="M241" i="12"/>
  <c r="M236" i="12"/>
  <c r="J266" i="12"/>
  <c r="J268" i="12" s="1"/>
  <c r="J626" i="13" s="1" a="1"/>
  <c r="J626" i="13" s="1"/>
  <c r="J625" i="13" a="1"/>
  <c r="J625" i="13" s="1"/>
  <c r="K620" i="13" a="1"/>
  <c r="K620" i="13" s="1"/>
  <c r="K647" i="13" s="1"/>
  <c r="K269" i="12"/>
  <c r="K264" i="12"/>
  <c r="N420" i="13" a="1"/>
  <c r="N420" i="13" s="1"/>
  <c r="N187" i="12"/>
  <c r="CN31" i="9" a="1"/>
  <c r="CN31" i="9" s="1"/>
  <c r="BU32" i="9" a="1"/>
  <c r="BU32" i="9" s="1"/>
  <c r="B855" i="13" a="1"/>
  <c r="B855" i="13" s="1"/>
  <c r="B856" i="13" s="1"/>
  <c r="B823" i="13"/>
  <c r="B824" i="13" s="1"/>
  <c r="B825" i="13" s="1"/>
  <c r="B826" i="13"/>
  <c r="B827" i="13" s="1"/>
  <c r="B782" i="13"/>
  <c r="B777" i="13"/>
  <c r="B798" i="13"/>
  <c r="B799" i="13" s="1"/>
  <c r="B800" i="13" s="1"/>
  <c r="B801" i="13" s="1"/>
  <c r="B802" i="13" s="1"/>
  <c r="B803" i="13" s="1"/>
  <c r="B804" i="13" s="1"/>
  <c r="B805" i="13" s="1"/>
  <c r="B806" i="13" s="1"/>
  <c r="B807" i="13" s="1"/>
  <c r="B808" i="13" s="1"/>
  <c r="B809" i="13" s="1"/>
  <c r="B810" i="13" s="1"/>
  <c r="B794" i="13"/>
  <c r="B795" i="13" s="1"/>
  <c r="B796" i="13" s="1"/>
  <c r="B797" i="13" s="1"/>
  <c r="B749" i="13"/>
  <c r="B750" i="13" s="1"/>
  <c r="B751" i="13" s="1"/>
  <c r="B752" i="13" s="1"/>
  <c r="B744" i="13"/>
  <c r="B745" i="13" s="1"/>
  <c r="B746" i="13" s="1"/>
  <c r="B747" i="13" s="1"/>
  <c r="AA526" i="10"/>
  <c r="AA538" i="10"/>
  <c r="AA539" i="10" s="1"/>
  <c r="AA551" i="10"/>
  <c r="AA513" i="10"/>
  <c r="B356" i="12" a="1"/>
  <c r="B356" i="12" s="1"/>
  <c r="R416" i="12"/>
  <c r="R415" i="12"/>
  <c r="R403" i="12"/>
  <c r="R440" i="12"/>
  <c r="R427" i="12"/>
  <c r="R428" i="12"/>
  <c r="N197" i="12" l="1"/>
  <c r="N454" i="13" s="1" a="1"/>
  <c r="N454" i="13" s="1"/>
  <c r="D996" i="13" a="1"/>
  <c r="D996" i="13" s="1"/>
  <c r="D1023" i="13" s="1"/>
  <c r="D419" i="12"/>
  <c r="D1001" i="13" s="1" a="1"/>
  <c r="D1001" i="13" s="1"/>
  <c r="D424" i="12"/>
  <c r="H996" i="13" a="1"/>
  <c r="H996" i="13" s="1"/>
  <c r="H1023" i="13" s="1"/>
  <c r="H424" i="12"/>
  <c r="H419" i="12"/>
  <c r="H1001" i="13" s="1" a="1"/>
  <c r="H1001" i="13" s="1"/>
  <c r="K996" i="13" a="1"/>
  <c r="K996" i="13" s="1"/>
  <c r="K1023" i="13" s="1"/>
  <c r="K424" i="12"/>
  <c r="K419" i="12"/>
  <c r="K1001" i="13" s="1" a="1"/>
  <c r="K1001" i="13" s="1"/>
  <c r="O996" i="13" a="1"/>
  <c r="O996" i="13" s="1"/>
  <c r="O1023" i="13" s="1"/>
  <c r="O419" i="12"/>
  <c r="O1001" i="13" s="1" a="1"/>
  <c r="O1001" i="13" s="1"/>
  <c r="O424" i="12"/>
  <c r="L996" i="13" a="1"/>
  <c r="L996" i="13" s="1"/>
  <c r="L1023" i="13" s="1"/>
  <c r="L419" i="12"/>
  <c r="L1001" i="13" s="1" a="1"/>
  <c r="L1001" i="13" s="1"/>
  <c r="L424" i="12"/>
  <c r="I996" i="13" a="1"/>
  <c r="I996" i="13" s="1"/>
  <c r="I1023" i="13" s="1"/>
  <c r="I424" i="12"/>
  <c r="I419" i="12"/>
  <c r="I1001" i="13" s="1" a="1"/>
  <c r="I1001" i="13" s="1"/>
  <c r="E996" i="13" a="1"/>
  <c r="E996" i="13" s="1"/>
  <c r="E1023" i="13" s="1"/>
  <c r="E419" i="12"/>
  <c r="E1001" i="13" s="1" a="1"/>
  <c r="E1001" i="13" s="1"/>
  <c r="E424" i="12"/>
  <c r="J996" i="13" a="1"/>
  <c r="J996" i="13" s="1"/>
  <c r="J1023" i="13" s="1"/>
  <c r="J424" i="12"/>
  <c r="J419" i="12"/>
  <c r="J1001" i="13" s="1" a="1"/>
  <c r="J1001" i="13" s="1"/>
  <c r="M996" i="13" a="1"/>
  <c r="M996" i="13" s="1"/>
  <c r="M1023" i="13" s="1"/>
  <c r="M424" i="12"/>
  <c r="M419" i="12"/>
  <c r="M1001" i="13" s="1" a="1"/>
  <c r="M1001" i="13" s="1"/>
  <c r="F996" i="13" a="1"/>
  <c r="F996" i="13" s="1"/>
  <c r="F1023" i="13" s="1"/>
  <c r="F424" i="12"/>
  <c r="F419" i="12"/>
  <c r="F1001" i="13" s="1" a="1"/>
  <c r="F1001" i="13" s="1"/>
  <c r="N996" i="13" a="1"/>
  <c r="N996" i="13" s="1"/>
  <c r="N1023" i="13" s="1"/>
  <c r="N419" i="12"/>
  <c r="N1001" i="13" s="1" a="1"/>
  <c r="N1001" i="13" s="1"/>
  <c r="N424" i="12"/>
  <c r="J427" i="12" a="1"/>
  <c r="J427" i="12" s="1"/>
  <c r="I427" i="12" a="1"/>
  <c r="I427" i="12" s="1"/>
  <c r="H427" i="12" a="1"/>
  <c r="H427" i="12" s="1"/>
  <c r="O427" i="12" a="1"/>
  <c r="O427" i="12" s="1"/>
  <c r="G427" i="12" a="1"/>
  <c r="G427" i="12" s="1"/>
  <c r="N427" i="12" a="1"/>
  <c r="N427" i="12" s="1"/>
  <c r="F427" i="12" a="1"/>
  <c r="F427" i="12" s="1"/>
  <c r="M427" i="12" a="1"/>
  <c r="M427" i="12" s="1"/>
  <c r="E427" i="12" a="1"/>
  <c r="E427" i="12" s="1"/>
  <c r="L427" i="12" a="1"/>
  <c r="L427" i="12" s="1"/>
  <c r="D427" i="12" a="1"/>
  <c r="D427" i="12" s="1"/>
  <c r="K427" i="12" a="1"/>
  <c r="K427" i="12" s="1"/>
  <c r="I403" i="12" a="1"/>
  <c r="I403" i="12" s="1"/>
  <c r="H403" i="12" a="1"/>
  <c r="H403" i="12" s="1"/>
  <c r="O403" i="12" a="1"/>
  <c r="O403" i="12" s="1"/>
  <c r="G403" i="12" a="1"/>
  <c r="G403" i="12" s="1"/>
  <c r="N403" i="12" a="1"/>
  <c r="N403" i="12" s="1"/>
  <c r="F403" i="12" a="1"/>
  <c r="F403" i="12" s="1"/>
  <c r="M403" i="12" a="1"/>
  <c r="M403" i="12" s="1"/>
  <c r="E403" i="12" a="1"/>
  <c r="E403" i="12" s="1"/>
  <c r="L403" i="12" a="1"/>
  <c r="L403" i="12" s="1"/>
  <c r="D403" i="12" a="1"/>
  <c r="D403" i="12" s="1"/>
  <c r="K403" i="12" a="1"/>
  <c r="K403" i="12" s="1"/>
  <c r="J403" i="12" a="1"/>
  <c r="J403" i="12" s="1"/>
  <c r="N415" i="12" a="1"/>
  <c r="N415" i="12" s="1"/>
  <c r="N997" i="13" s="1" a="1"/>
  <c r="N997" i="13" s="1"/>
  <c r="F415" i="12" a="1"/>
  <c r="F415" i="12" s="1"/>
  <c r="F997" i="13" s="1" a="1"/>
  <c r="F997" i="13" s="1"/>
  <c r="M415" i="12" a="1"/>
  <c r="M415" i="12" s="1"/>
  <c r="M997" i="13" s="1" a="1"/>
  <c r="M997" i="13" s="1"/>
  <c r="E415" i="12" a="1"/>
  <c r="E415" i="12" s="1"/>
  <c r="E997" i="13" s="1" a="1"/>
  <c r="E997" i="13" s="1"/>
  <c r="L415" i="12" a="1"/>
  <c r="L415" i="12" s="1"/>
  <c r="L997" i="13" s="1" a="1"/>
  <c r="L997" i="13" s="1"/>
  <c r="D415" i="12" a="1"/>
  <c r="D415" i="12" s="1"/>
  <c r="D997" i="13" s="1" a="1"/>
  <c r="D997" i="13" s="1"/>
  <c r="K415" i="12" a="1"/>
  <c r="K415" i="12" s="1"/>
  <c r="K997" i="13" s="1" a="1"/>
  <c r="K997" i="13" s="1"/>
  <c r="J415" i="12" a="1"/>
  <c r="J415" i="12" s="1"/>
  <c r="J997" i="13" s="1" a="1"/>
  <c r="J997" i="13" s="1"/>
  <c r="I415" i="12" a="1"/>
  <c r="I415" i="12" s="1"/>
  <c r="I997" i="13" s="1" a="1"/>
  <c r="I997" i="13" s="1"/>
  <c r="H415" i="12" a="1"/>
  <c r="H415" i="12" s="1"/>
  <c r="H997" i="13" s="1" a="1"/>
  <c r="H997" i="13" s="1"/>
  <c r="G415" i="12" a="1"/>
  <c r="G415" i="12" s="1"/>
  <c r="G997" i="13" s="1" a="1"/>
  <c r="G997" i="13" s="1"/>
  <c r="O415" i="12" a="1"/>
  <c r="O415" i="12" s="1"/>
  <c r="O997" i="13" s="1" a="1"/>
  <c r="O997" i="13" s="1"/>
  <c r="J416" i="12" a="1"/>
  <c r="J416" i="12" s="1"/>
  <c r="I416" i="12" a="1"/>
  <c r="I416" i="12" s="1"/>
  <c r="H416" i="12" a="1"/>
  <c r="H416" i="12" s="1"/>
  <c r="O416" i="12" a="1"/>
  <c r="O416" i="12" s="1"/>
  <c r="G416" i="12" a="1"/>
  <c r="G416" i="12" s="1"/>
  <c r="N416" i="12" a="1"/>
  <c r="N416" i="12" s="1"/>
  <c r="F416" i="12" a="1"/>
  <c r="F416" i="12" s="1"/>
  <c r="M416" i="12" a="1"/>
  <c r="M416" i="12" s="1"/>
  <c r="E416" i="12" a="1"/>
  <c r="E416" i="12" s="1"/>
  <c r="L416" i="12" a="1"/>
  <c r="L416" i="12" s="1"/>
  <c r="D416" i="12" a="1"/>
  <c r="D416" i="12" s="1"/>
  <c r="K416" i="12" a="1"/>
  <c r="K416" i="12" s="1"/>
  <c r="G996" i="13" a="1"/>
  <c r="G996" i="13" s="1"/>
  <c r="G1023" i="13" s="1"/>
  <c r="G424" i="12"/>
  <c r="G419" i="12"/>
  <c r="G1001" i="13" s="1" a="1"/>
  <c r="G1001" i="13" s="1"/>
  <c r="D253" i="12"/>
  <c r="D590" i="13" s="1" a="1"/>
  <c r="D590" i="13" s="1"/>
  <c r="FW30" i="9" a="1"/>
  <c r="FW30" i="9" s="1"/>
  <c r="FX30" i="9" s="1"/>
  <c r="GP29" i="9" a="1"/>
  <c r="GP29" i="9" s="1"/>
  <c r="GQ29" i="9" s="1"/>
  <c r="D243" i="12"/>
  <c r="D556" i="13" a="1"/>
  <c r="D556" i="13" s="1"/>
  <c r="G211" i="12"/>
  <c r="D266" i="12"/>
  <c r="D268" i="12" s="1"/>
  <c r="D626" i="13" s="1" a="1"/>
  <c r="D626" i="13" s="1"/>
  <c r="D625" i="13" a="1"/>
  <c r="D625" i="13" s="1"/>
  <c r="D286" i="12" a="1"/>
  <c r="D286" i="12" s="1"/>
  <c r="G236" i="12"/>
  <c r="G552" i="13" a="1"/>
  <c r="G552" i="13" s="1"/>
  <c r="G579" i="13" s="1"/>
  <c r="G241" i="12"/>
  <c r="D654" i="13" a="1"/>
  <c r="D654" i="13" s="1"/>
  <c r="D681" i="13" s="1"/>
  <c r="D283" i="12"/>
  <c r="D278" i="12"/>
  <c r="O187" i="12"/>
  <c r="I624" i="13" a="1"/>
  <c r="I624" i="13" s="1"/>
  <c r="E327" i="12"/>
  <c r="M488" i="13" a="1"/>
  <c r="M488" i="13" s="1"/>
  <c r="F726" i="13" a="1"/>
  <c r="F726" i="13" s="1"/>
  <c r="J267" i="12"/>
  <c r="J271" i="12" s="1"/>
  <c r="N211" i="12"/>
  <c r="N488" i="13" s="1" a="1"/>
  <c r="N488" i="13" s="1"/>
  <c r="E337" i="12"/>
  <c r="E794" i="13" s="1" a="1"/>
  <c r="E794" i="13" s="1"/>
  <c r="M225" i="12"/>
  <c r="M522" i="13" s="1" a="1"/>
  <c r="M522" i="13" s="1"/>
  <c r="I281" i="12"/>
  <c r="I658" i="13" s="1" a="1"/>
  <c r="I658" i="13" s="1"/>
  <c r="O197" i="12"/>
  <c r="O454" i="13" s="1" a="1"/>
  <c r="O454" i="13" s="1"/>
  <c r="I302" i="12" a="1"/>
  <c r="I302" i="12" s="1"/>
  <c r="I723" i="13" s="1" a="1"/>
  <c r="I723" i="13" s="1"/>
  <c r="DV32" i="9" s="1" a="1"/>
  <c r="DV32" i="9" s="1"/>
  <c r="J300" i="12" a="1"/>
  <c r="J300" i="12" s="1"/>
  <c r="DZ32" i="9" a="1"/>
  <c r="DZ32" i="9" s="1"/>
  <c r="E358" i="12" a="1"/>
  <c r="E358" i="12" s="1"/>
  <c r="E859" i="13" s="1" a="1"/>
  <c r="E859" i="13" s="1"/>
  <c r="AX36" i="9" s="1" a="1"/>
  <c r="AX36" i="9" s="1"/>
  <c r="H756" i="13" a="1"/>
  <c r="H756" i="13" s="1"/>
  <c r="H783" i="13" s="1"/>
  <c r="H320" i="12"/>
  <c r="H325" i="12"/>
  <c r="F353" i="12"/>
  <c r="F348" i="12"/>
  <c r="F824" i="13" a="1"/>
  <c r="F824" i="13" s="1"/>
  <c r="F851" i="13" s="1"/>
  <c r="G790" i="13" a="1"/>
  <c r="G790" i="13" s="1"/>
  <c r="G817" i="13" s="1"/>
  <c r="G334" i="12"/>
  <c r="G339" i="12"/>
  <c r="F336" i="12"/>
  <c r="F338" i="12" s="1"/>
  <c r="F796" i="13" s="1" a="1"/>
  <c r="F796" i="13" s="1"/>
  <c r="F795" i="13" a="1"/>
  <c r="F795" i="13" s="1"/>
  <c r="G692" i="13" a="1"/>
  <c r="G692" i="13" s="1"/>
  <c r="G299" i="12"/>
  <c r="D372" i="12" a="1"/>
  <c r="D372" i="12" s="1"/>
  <c r="D893" i="13" s="1" a="1"/>
  <c r="D893" i="13" s="1"/>
  <c r="AE37" i="9" s="1" a="1"/>
  <c r="AE37" i="9" s="1"/>
  <c r="O489" i="13" a="1"/>
  <c r="O489" i="13" s="1"/>
  <c r="O210" i="12"/>
  <c r="O212" i="12" s="1"/>
  <c r="O490" i="13" s="1" a="1"/>
  <c r="O490" i="13" s="1"/>
  <c r="AI37" i="9" a="1"/>
  <c r="AI37" i="9" s="1"/>
  <c r="E370" i="12" a="1"/>
  <c r="E370" i="12" s="1"/>
  <c r="BB36" i="9" a="1"/>
  <c r="BB36" i="9" s="1"/>
  <c r="F356" i="12" a="1"/>
  <c r="F356" i="12" s="1"/>
  <c r="O218" i="12" a="1"/>
  <c r="O218" i="12" s="1"/>
  <c r="O519" i="13" s="1" a="1"/>
  <c r="O519" i="13" s="1"/>
  <c r="IF26" i="9" s="1" a="1"/>
  <c r="IF26" i="9" s="1"/>
  <c r="N552" i="13" a="1"/>
  <c r="N552" i="13" s="1"/>
  <c r="N579" i="13" s="1"/>
  <c r="N236" i="12"/>
  <c r="N241" i="12"/>
  <c r="I693" i="13" a="1"/>
  <c r="I693" i="13" s="1"/>
  <c r="I294" i="12"/>
  <c r="I296" i="12" s="1"/>
  <c r="I694" i="13" s="1" a="1"/>
  <c r="I694" i="13" s="1"/>
  <c r="G330" i="12" a="1"/>
  <c r="G330" i="12" s="1"/>
  <c r="G791" i="13" s="1" a="1"/>
  <c r="G791" i="13" s="1"/>
  <c r="CJ34" i="9" s="1" a="1"/>
  <c r="CJ34" i="9" s="1"/>
  <c r="K266" i="12"/>
  <c r="K268" i="12" s="1"/>
  <c r="K626" i="13" s="1" a="1"/>
  <c r="K626" i="13" s="1"/>
  <c r="K625" i="13" a="1"/>
  <c r="K625" i="13" s="1"/>
  <c r="M238" i="12"/>
  <c r="M240" i="12" s="1"/>
  <c r="M558" i="13" s="1" a="1"/>
  <c r="M558" i="13" s="1"/>
  <c r="M557" i="13" a="1"/>
  <c r="M557" i="13" s="1"/>
  <c r="O227" i="12"/>
  <c r="O222" i="12"/>
  <c r="O518" i="13" a="1"/>
  <c r="O518" i="13" s="1"/>
  <c r="O545" i="13" s="1"/>
  <c r="F323" i="12"/>
  <c r="J688" i="13" a="1"/>
  <c r="J688" i="13" s="1"/>
  <c r="J715" i="13" s="1"/>
  <c r="J292" i="12"/>
  <c r="J297" i="12"/>
  <c r="H658" i="13" a="1"/>
  <c r="H658" i="13" s="1"/>
  <c r="H285" i="12"/>
  <c r="M255" i="12"/>
  <c r="M250" i="12"/>
  <c r="M586" i="13" a="1"/>
  <c r="M586" i="13" s="1"/>
  <c r="M613" i="13" s="1"/>
  <c r="N224" i="12"/>
  <c r="N226" i="12" s="1"/>
  <c r="N524" i="13" s="1" a="1"/>
  <c r="N524" i="13" s="1"/>
  <c r="N523" i="13" a="1"/>
  <c r="N523" i="13" s="1"/>
  <c r="L252" i="12"/>
  <c r="L254" i="12" s="1"/>
  <c r="L592" i="13" s="1" a="1"/>
  <c r="L592" i="13" s="1"/>
  <c r="L591" i="13" a="1"/>
  <c r="L591" i="13" s="1"/>
  <c r="L260" i="12" a="1"/>
  <c r="L260" i="12" s="1"/>
  <c r="L621" i="13" s="1" a="1"/>
  <c r="L621" i="13" s="1"/>
  <c r="GA29" i="9" s="1" a="1"/>
  <c r="GA29" i="9" s="1"/>
  <c r="BU35" i="9" a="1"/>
  <c r="BU35" i="9" s="1"/>
  <c r="G342" i="12" a="1"/>
  <c r="G342" i="12" s="1"/>
  <c r="O230" i="12" a="1"/>
  <c r="O230" i="12" s="1"/>
  <c r="HQ27" i="9" a="1"/>
  <c r="HQ27" i="9" s="1"/>
  <c r="J288" i="12" a="1"/>
  <c r="J288" i="12" s="1"/>
  <c r="J689" i="13" s="1" a="1"/>
  <c r="J689" i="13" s="1"/>
  <c r="EO31" i="9" s="1" a="1"/>
  <c r="EO31" i="9" s="1"/>
  <c r="I722" i="13" a="1"/>
  <c r="I722" i="13" s="1"/>
  <c r="I749" i="13" s="1"/>
  <c r="I306" i="12"/>
  <c r="I311" i="12"/>
  <c r="L239" i="12"/>
  <c r="L522" i="13" a="1"/>
  <c r="L522" i="13" s="1"/>
  <c r="L229" i="12"/>
  <c r="C48" i="28" a="1"/>
  <c r="C48" i="28" s="1"/>
  <c r="A384" i="12" a="1"/>
  <c r="A384" i="12" s="1"/>
  <c r="A923" i="13" a="1"/>
  <c r="A923" i="13" s="1"/>
  <c r="N232" i="12" a="1"/>
  <c r="N232" i="12" s="1"/>
  <c r="N553" i="13" s="1" a="1"/>
  <c r="N553" i="13" s="1"/>
  <c r="HM27" i="9" s="1" a="1"/>
  <c r="HM27" i="9" s="1"/>
  <c r="H316" i="12" a="1"/>
  <c r="H316" i="12" s="1"/>
  <c r="H757" i="13" s="1" a="1"/>
  <c r="H757" i="13" s="1"/>
  <c r="DC33" i="9" s="1" a="1"/>
  <c r="DC33" i="9" s="1"/>
  <c r="M246" i="12" a="1"/>
  <c r="M246" i="12" s="1"/>
  <c r="M587" i="13" s="1" a="1"/>
  <c r="M587" i="13" s="1"/>
  <c r="GT28" i="9" s="1" a="1"/>
  <c r="GT28" i="9" s="1"/>
  <c r="ES31" i="9" a="1"/>
  <c r="ES31" i="9" s="1"/>
  <c r="K286" i="12" a="1"/>
  <c r="K286" i="12" s="1"/>
  <c r="J590" i="13" a="1"/>
  <c r="J590" i="13" s="1"/>
  <c r="J257" i="12"/>
  <c r="FL30" i="9" a="1"/>
  <c r="FL30" i="9" s="1"/>
  <c r="L272" i="12" a="1"/>
  <c r="L272" i="12" s="1"/>
  <c r="H727" i="13" a="1"/>
  <c r="H727" i="13" s="1"/>
  <c r="H308" i="12"/>
  <c r="H310" i="12" s="1"/>
  <c r="H728" i="13" s="1" a="1"/>
  <c r="H728" i="13" s="1"/>
  <c r="DG33" i="9" a="1"/>
  <c r="DG33" i="9" s="1"/>
  <c r="I314" i="12" a="1"/>
  <c r="I314" i="12" s="1"/>
  <c r="F344" i="12" a="1"/>
  <c r="F344" i="12" s="1"/>
  <c r="F825" i="13" s="1" a="1"/>
  <c r="F825" i="13" s="1"/>
  <c r="BQ35" i="9" s="1" a="1"/>
  <c r="BQ35" i="9" s="1"/>
  <c r="N244" i="12" a="1"/>
  <c r="N244" i="12" s="1"/>
  <c r="GX28" i="9" a="1"/>
  <c r="GX28" i="9" s="1"/>
  <c r="J659" i="13" a="1"/>
  <c r="J659" i="13" s="1"/>
  <c r="J280" i="12"/>
  <c r="J282" i="12" s="1"/>
  <c r="J660" i="13" s="1" a="1"/>
  <c r="J660" i="13" s="1"/>
  <c r="L620" i="13" a="1"/>
  <c r="L620" i="13" s="1"/>
  <c r="L647" i="13" s="1"/>
  <c r="L269" i="12"/>
  <c r="L264" i="12"/>
  <c r="K253" i="12"/>
  <c r="E829" i="13" a="1"/>
  <c r="E829" i="13" s="1"/>
  <c r="E350" i="12"/>
  <c r="E352" i="12" s="1"/>
  <c r="E830" i="13" s="1" a="1"/>
  <c r="E830" i="13" s="1"/>
  <c r="D46" i="24" a="1"/>
  <c r="D46" i="24" s="1"/>
  <c r="H328" i="12" a="1"/>
  <c r="H328" i="12" s="1"/>
  <c r="CN34" i="9" a="1"/>
  <c r="CN34" i="9" s="1"/>
  <c r="GE29" i="9" a="1"/>
  <c r="GE29" i="9" s="1"/>
  <c r="M258" i="12" a="1"/>
  <c r="M258" i="12" s="1"/>
  <c r="K274" i="12" a="1"/>
  <c r="K274" i="12" s="1"/>
  <c r="K655" i="13" s="1" a="1"/>
  <c r="K655" i="13" s="1"/>
  <c r="FH30" i="9" s="1" a="1"/>
  <c r="FH30" i="9" s="1"/>
  <c r="E858" i="13" a="1"/>
  <c r="E858" i="13" s="1"/>
  <c r="E885" i="13" s="1"/>
  <c r="E362" i="12"/>
  <c r="E367" i="12"/>
  <c r="K283" i="12"/>
  <c r="K278" i="12"/>
  <c r="K654" i="13" a="1"/>
  <c r="K654" i="13" s="1"/>
  <c r="K681" i="13" s="1"/>
  <c r="K243" i="12"/>
  <c r="K556" i="13" a="1"/>
  <c r="K556" i="13" s="1"/>
  <c r="BU33" i="9" a="1"/>
  <c r="BU33" i="9" s="1"/>
  <c r="B783" i="13"/>
  <c r="B784" i="13" s="1"/>
  <c r="B785" i="13" s="1"/>
  <c r="B786" i="13" s="1"/>
  <c r="B778" i="13"/>
  <c r="B779" i="13" s="1"/>
  <c r="B780" i="13" s="1"/>
  <c r="B781" i="13" s="1"/>
  <c r="B811" i="13"/>
  <c r="B816" i="13"/>
  <c r="B828" i="13"/>
  <c r="B829" i="13" s="1"/>
  <c r="B830" i="13" s="1"/>
  <c r="B831" i="13" s="1"/>
  <c r="B832" i="13"/>
  <c r="B833" i="13" s="1"/>
  <c r="B834" i="13" s="1"/>
  <c r="B835" i="13" s="1"/>
  <c r="B836" i="13" s="1"/>
  <c r="B837" i="13" s="1"/>
  <c r="B838" i="13" s="1"/>
  <c r="B839" i="13" s="1"/>
  <c r="B840" i="13" s="1"/>
  <c r="B841" i="13" s="1"/>
  <c r="B842" i="13" s="1"/>
  <c r="B843" i="13" s="1"/>
  <c r="B844" i="13" s="1"/>
  <c r="B889" i="13" a="1"/>
  <c r="B889" i="13" s="1"/>
  <c r="B890" i="13" s="1"/>
  <c r="B860" i="13"/>
  <c r="B861" i="13" s="1"/>
  <c r="B857" i="13"/>
  <c r="B858" i="13" s="1"/>
  <c r="B859" i="13" s="1"/>
  <c r="AA540" i="10"/>
  <c r="AA527" i="10"/>
  <c r="AA552" i="10"/>
  <c r="AA553" i="10" s="1"/>
  <c r="AA565" i="10"/>
  <c r="B370" i="12" a="1"/>
  <c r="B370" i="12" s="1"/>
  <c r="R454" i="12"/>
  <c r="R442" i="12"/>
  <c r="R441" i="12"/>
  <c r="R430" i="12"/>
  <c r="R417" i="12"/>
  <c r="R429" i="12"/>
  <c r="N201" i="12" l="1"/>
  <c r="D257" i="12"/>
  <c r="O201" i="12"/>
  <c r="J624" i="13" a="1"/>
  <c r="J624" i="13" s="1"/>
  <c r="N1030" i="13" a="1"/>
  <c r="N1030" i="13" s="1"/>
  <c r="N1057" i="13" s="1"/>
  <c r="N433" i="12"/>
  <c r="N1035" i="13" s="1" a="1"/>
  <c r="N1035" i="13" s="1"/>
  <c r="N438" i="12"/>
  <c r="F1030" i="13" a="1"/>
  <c r="F1030" i="13" s="1"/>
  <c r="F1057" i="13" s="1"/>
  <c r="F433" i="12"/>
  <c r="F1035" i="13" s="1" a="1"/>
  <c r="F1035" i="13" s="1"/>
  <c r="F438" i="12"/>
  <c r="G1030" i="13" a="1"/>
  <c r="G1030" i="13" s="1"/>
  <c r="G1057" i="13" s="1"/>
  <c r="G433" i="12"/>
  <c r="G1035" i="13" s="1" a="1"/>
  <c r="G1035" i="13" s="1"/>
  <c r="G438" i="12"/>
  <c r="N429" i="12" a="1"/>
  <c r="N429" i="12" s="1"/>
  <c r="N1031" i="13" s="1" a="1"/>
  <c r="N1031" i="13" s="1"/>
  <c r="F429" i="12" a="1"/>
  <c r="F429" i="12" s="1"/>
  <c r="F1031" i="13" s="1" a="1"/>
  <c r="F1031" i="13" s="1"/>
  <c r="M429" i="12" a="1"/>
  <c r="M429" i="12" s="1"/>
  <c r="M1031" i="13" s="1" a="1"/>
  <c r="M1031" i="13" s="1"/>
  <c r="E429" i="12" a="1"/>
  <c r="E429" i="12" s="1"/>
  <c r="E1031" i="13" s="1" a="1"/>
  <c r="E1031" i="13" s="1"/>
  <c r="L429" i="12" a="1"/>
  <c r="L429" i="12" s="1"/>
  <c r="L1031" i="13" s="1" a="1"/>
  <c r="L1031" i="13" s="1"/>
  <c r="D429" i="12" a="1"/>
  <c r="D429" i="12" s="1"/>
  <c r="D1031" i="13" s="1" a="1"/>
  <c r="D1031" i="13" s="1"/>
  <c r="K429" i="12" a="1"/>
  <c r="K429" i="12" s="1"/>
  <c r="K1031" i="13" s="1" a="1"/>
  <c r="K1031" i="13" s="1"/>
  <c r="J429" i="12" a="1"/>
  <c r="J429" i="12" s="1"/>
  <c r="J1031" i="13" s="1" a="1"/>
  <c r="J1031" i="13" s="1"/>
  <c r="I429" i="12" a="1"/>
  <c r="I429" i="12" s="1"/>
  <c r="I1031" i="13" s="1" a="1"/>
  <c r="I1031" i="13" s="1"/>
  <c r="H429" i="12" a="1"/>
  <c r="H429" i="12" s="1"/>
  <c r="H1031" i="13" s="1" a="1"/>
  <c r="H1031" i="13" s="1"/>
  <c r="O429" i="12" a="1"/>
  <c r="O429" i="12" s="1"/>
  <c r="O1031" i="13" s="1" a="1"/>
  <c r="O1031" i="13" s="1"/>
  <c r="G429" i="12" a="1"/>
  <c r="G429" i="12" s="1"/>
  <c r="G1031" i="13" s="1" a="1"/>
  <c r="G1031" i="13" s="1"/>
  <c r="N417" i="12" a="1"/>
  <c r="N417" i="12" s="1"/>
  <c r="F417" i="12" a="1"/>
  <c r="F417" i="12" s="1"/>
  <c r="M417" i="12" a="1"/>
  <c r="M417" i="12" s="1"/>
  <c r="E417" i="12" a="1"/>
  <c r="E417" i="12" s="1"/>
  <c r="L417" i="12" a="1"/>
  <c r="L417" i="12" s="1"/>
  <c r="D417" i="12" a="1"/>
  <c r="D417" i="12" s="1"/>
  <c r="K417" i="12" a="1"/>
  <c r="K417" i="12" s="1"/>
  <c r="J417" i="12" a="1"/>
  <c r="J417" i="12" s="1"/>
  <c r="I417" i="12" a="1"/>
  <c r="I417" i="12" s="1"/>
  <c r="H417" i="12" a="1"/>
  <c r="H417" i="12" s="1"/>
  <c r="O417" i="12" a="1"/>
  <c r="O417" i="12" s="1"/>
  <c r="G417" i="12" a="1"/>
  <c r="G417" i="12" s="1"/>
  <c r="J430" i="12" a="1"/>
  <c r="J430" i="12" s="1"/>
  <c r="I430" i="12" a="1"/>
  <c r="I430" i="12" s="1"/>
  <c r="H430" i="12" a="1"/>
  <c r="H430" i="12" s="1"/>
  <c r="O430" i="12" a="1"/>
  <c r="O430" i="12" s="1"/>
  <c r="G430" i="12" a="1"/>
  <c r="G430" i="12" s="1"/>
  <c r="N430" i="12" a="1"/>
  <c r="N430" i="12" s="1"/>
  <c r="F430" i="12" a="1"/>
  <c r="F430" i="12" s="1"/>
  <c r="M430" i="12" a="1"/>
  <c r="M430" i="12" s="1"/>
  <c r="E430" i="12" a="1"/>
  <c r="E430" i="12" s="1"/>
  <c r="L430" i="12" a="1"/>
  <c r="L430" i="12" s="1"/>
  <c r="D430" i="12" a="1"/>
  <c r="D430" i="12" s="1"/>
  <c r="K430" i="12" a="1"/>
  <c r="K430" i="12" s="1"/>
  <c r="K1030" i="13" a="1"/>
  <c r="K1030" i="13" s="1"/>
  <c r="K1057" i="13" s="1"/>
  <c r="K438" i="12"/>
  <c r="K433" i="12"/>
  <c r="K1035" i="13" s="1" a="1"/>
  <c r="K1035" i="13" s="1"/>
  <c r="O1030" i="13" a="1"/>
  <c r="O1030" i="13" s="1"/>
  <c r="O1057" i="13" s="1"/>
  <c r="O433" i="12"/>
  <c r="O1035" i="13" s="1" a="1"/>
  <c r="O1035" i="13" s="1"/>
  <c r="O438" i="12"/>
  <c r="D1030" i="13" a="1"/>
  <c r="D1030" i="13" s="1"/>
  <c r="D1057" i="13" s="1"/>
  <c r="D433" i="12"/>
  <c r="D1035" i="13" s="1" a="1"/>
  <c r="D1035" i="13" s="1"/>
  <c r="D438" i="12"/>
  <c r="H1030" i="13" a="1"/>
  <c r="H1030" i="13" s="1"/>
  <c r="H1057" i="13" s="1"/>
  <c r="H433" i="12"/>
  <c r="H1035" i="13" s="1" a="1"/>
  <c r="H1035" i="13" s="1"/>
  <c r="H438" i="12"/>
  <c r="L1030" i="13" a="1"/>
  <c r="L1030" i="13" s="1"/>
  <c r="L1057" i="13" s="1"/>
  <c r="L433" i="12"/>
  <c r="L1035" i="13" s="1" a="1"/>
  <c r="L1035" i="13" s="1"/>
  <c r="L438" i="12"/>
  <c r="I1030" i="13" a="1"/>
  <c r="I1030" i="13" s="1"/>
  <c r="I1057" i="13" s="1"/>
  <c r="I438" i="12"/>
  <c r="I433" i="12"/>
  <c r="I1035" i="13" s="1" a="1"/>
  <c r="I1035" i="13" s="1"/>
  <c r="E1030" i="13" a="1"/>
  <c r="E1030" i="13" s="1"/>
  <c r="E1057" i="13" s="1"/>
  <c r="E433" i="12"/>
  <c r="E1035" i="13" s="1" a="1"/>
  <c r="E1035" i="13" s="1"/>
  <c r="E438" i="12"/>
  <c r="J1030" i="13" a="1"/>
  <c r="J1030" i="13" s="1"/>
  <c r="J1057" i="13" s="1"/>
  <c r="J433" i="12"/>
  <c r="J1035" i="13" s="1" a="1"/>
  <c r="J1035" i="13" s="1"/>
  <c r="J438" i="12"/>
  <c r="J441" i="12" a="1"/>
  <c r="J441" i="12" s="1"/>
  <c r="I441" i="12" a="1"/>
  <c r="I441" i="12" s="1"/>
  <c r="H441" i="12" a="1"/>
  <c r="H441" i="12" s="1"/>
  <c r="O441" i="12" a="1"/>
  <c r="O441" i="12" s="1"/>
  <c r="G441" i="12" a="1"/>
  <c r="G441" i="12" s="1"/>
  <c r="N441" i="12" a="1"/>
  <c r="N441" i="12" s="1"/>
  <c r="F441" i="12" a="1"/>
  <c r="F441" i="12" s="1"/>
  <c r="M441" i="12" a="1"/>
  <c r="M441" i="12" s="1"/>
  <c r="E441" i="12" a="1"/>
  <c r="E441" i="12" s="1"/>
  <c r="L441" i="12" a="1"/>
  <c r="L441" i="12" s="1"/>
  <c r="D441" i="12" a="1"/>
  <c r="D441" i="12" s="1"/>
  <c r="K441" i="12" a="1"/>
  <c r="K441" i="12" s="1"/>
  <c r="M1030" i="13" a="1"/>
  <c r="M1030" i="13" s="1"/>
  <c r="M1057" i="13" s="1"/>
  <c r="M433" i="12"/>
  <c r="M1035" i="13" s="1" a="1"/>
  <c r="M1035" i="13" s="1"/>
  <c r="M438" i="12"/>
  <c r="G258" i="12" a="1"/>
  <c r="G258" i="12" s="1"/>
  <c r="D292" i="12"/>
  <c r="D297" i="12"/>
  <c r="D688" i="13" a="1"/>
  <c r="D688" i="13" s="1"/>
  <c r="D715" i="13" s="1"/>
  <c r="G215" i="12"/>
  <c r="G488" i="13" a="1"/>
  <c r="G488" i="13" s="1"/>
  <c r="HI29" i="9" a="1"/>
  <c r="HI29" i="9" s="1"/>
  <c r="HJ29" i="9" s="1"/>
  <c r="GP30" i="9" a="1"/>
  <c r="GP30" i="9" s="1"/>
  <c r="GQ30" i="9" s="1"/>
  <c r="FW31" i="9" a="1"/>
  <c r="FW31" i="9" s="1"/>
  <c r="FX31" i="9" s="1"/>
  <c r="G238" i="12"/>
  <c r="G240" i="12" s="1"/>
  <c r="G558" i="13" s="1" a="1"/>
  <c r="G558" i="13" s="1"/>
  <c r="G557" i="13" a="1"/>
  <c r="G557" i="13" s="1"/>
  <c r="D300" i="12" a="1"/>
  <c r="D300" i="12" s="1"/>
  <c r="D280" i="12"/>
  <c r="D282" i="12" s="1"/>
  <c r="D660" i="13" s="1" a="1"/>
  <c r="D660" i="13" s="1"/>
  <c r="D659" i="13" a="1"/>
  <c r="D659" i="13" s="1"/>
  <c r="D267" i="12"/>
  <c r="E341" i="12"/>
  <c r="N215" i="12"/>
  <c r="M229" i="12"/>
  <c r="I285" i="12"/>
  <c r="L253" i="12"/>
  <c r="L590" i="13" s="1" a="1"/>
  <c r="L590" i="13" s="1"/>
  <c r="K267" i="12"/>
  <c r="K271" i="12" s="1"/>
  <c r="L274" i="12" a="1"/>
  <c r="L274" i="12" s="1"/>
  <c r="L655" i="13" s="1" a="1"/>
  <c r="L655" i="13" s="1"/>
  <c r="GA30" i="9" s="1" a="1"/>
  <c r="GA30" i="9" s="1"/>
  <c r="I316" i="12" a="1"/>
  <c r="I316" i="12" s="1"/>
  <c r="I757" i="13" s="1" a="1"/>
  <c r="I757" i="13" s="1"/>
  <c r="DV33" i="9" s="1" a="1"/>
  <c r="DV33" i="9" s="1"/>
  <c r="AI38" i="9" a="1"/>
  <c r="AI38" i="9" s="1"/>
  <c r="E384" i="12" a="1"/>
  <c r="E384" i="12" s="1"/>
  <c r="IB35" i="9" a="1"/>
  <c r="IB35" i="9" s="1"/>
  <c r="IC35" i="9" s="1"/>
  <c r="G356" i="12" a="1"/>
  <c r="G356" i="12" s="1"/>
  <c r="BU36" i="9" a="1"/>
  <c r="BU36" i="9" s="1"/>
  <c r="C49" i="28" a="1"/>
  <c r="C49" i="28" s="1"/>
  <c r="A957" i="13" a="1"/>
  <c r="A957" i="13" s="1"/>
  <c r="A398" i="12" a="1"/>
  <c r="A398" i="12" s="1"/>
  <c r="H309" i="12"/>
  <c r="G795" i="13" a="1"/>
  <c r="G795" i="13" s="1"/>
  <c r="G336" i="12"/>
  <c r="G338" i="12" s="1"/>
  <c r="G796" i="13" s="1" a="1"/>
  <c r="G796" i="13" s="1"/>
  <c r="K288" i="12" a="1"/>
  <c r="K288" i="12" s="1"/>
  <c r="K689" i="13" s="1" a="1"/>
  <c r="K689" i="13" s="1"/>
  <c r="FH31" i="9" s="1" a="1"/>
  <c r="FH31" i="9" s="1"/>
  <c r="BB37" i="9" a="1"/>
  <c r="BB37" i="9" s="1"/>
  <c r="F370" i="12" a="1"/>
  <c r="F370" i="12" s="1"/>
  <c r="DG34" i="9" a="1"/>
  <c r="DG34" i="9" s="1"/>
  <c r="I328" i="12" a="1"/>
  <c r="I328" i="12" s="1"/>
  <c r="K280" i="12"/>
  <c r="K282" i="12" s="1"/>
  <c r="K660" i="13" s="1" a="1"/>
  <c r="K660" i="13" s="1"/>
  <c r="K659" i="13" a="1"/>
  <c r="K659" i="13" s="1"/>
  <c r="E351" i="12"/>
  <c r="L243" i="12"/>
  <c r="L556" i="13" a="1"/>
  <c r="L556" i="13" s="1"/>
  <c r="GX29" i="9" a="1"/>
  <c r="GX29" i="9" s="1"/>
  <c r="N258" i="12" a="1"/>
  <c r="N258" i="12" s="1"/>
  <c r="FL31" i="9" a="1"/>
  <c r="FL31" i="9" s="1"/>
  <c r="L286" i="12" a="1"/>
  <c r="L286" i="12" s="1"/>
  <c r="E372" i="12" a="1"/>
  <c r="E372" i="12" s="1"/>
  <c r="E893" i="13" s="1" a="1"/>
  <c r="E893" i="13" s="1"/>
  <c r="AX37" i="9" s="1" a="1"/>
  <c r="AX37" i="9" s="1"/>
  <c r="HQ28" i="9" a="1"/>
  <c r="HQ28" i="9" s="1"/>
  <c r="O244" i="12" a="1"/>
  <c r="O244" i="12" s="1"/>
  <c r="K590" i="13" a="1"/>
  <c r="K590" i="13" s="1"/>
  <c r="K257" i="12"/>
  <c r="N586" i="13" a="1"/>
  <c r="N586" i="13" s="1"/>
  <c r="N613" i="13" s="1"/>
  <c r="N250" i="12"/>
  <c r="N255" i="12"/>
  <c r="O241" i="12"/>
  <c r="O552" i="13" a="1"/>
  <c r="O552" i="13" s="1"/>
  <c r="O579" i="13" s="1"/>
  <c r="O236" i="12"/>
  <c r="O224" i="12"/>
  <c r="O226" i="12" s="1"/>
  <c r="O524" i="13" s="1" a="1"/>
  <c r="O524" i="13" s="1"/>
  <c r="O523" i="13" a="1"/>
  <c r="O523" i="13" s="1"/>
  <c r="E892" i="13" a="1"/>
  <c r="E892" i="13" s="1"/>
  <c r="E919" i="13" s="1"/>
  <c r="E381" i="12"/>
  <c r="E376" i="12"/>
  <c r="F829" i="13" a="1"/>
  <c r="F829" i="13" s="1"/>
  <c r="F350" i="12"/>
  <c r="F352" i="12" s="1"/>
  <c r="F830" i="13" s="1" a="1"/>
  <c r="F830" i="13" s="1"/>
  <c r="J722" i="13" a="1"/>
  <c r="J722" i="13" s="1"/>
  <c r="J749" i="13" s="1"/>
  <c r="J306" i="12"/>
  <c r="J311" i="12"/>
  <c r="H330" i="12" a="1"/>
  <c r="H330" i="12" s="1"/>
  <c r="H791" i="13" s="1" a="1"/>
  <c r="H791" i="13" s="1"/>
  <c r="DC34" i="9" s="1" a="1"/>
  <c r="DC34" i="9" s="1"/>
  <c r="M260" i="12" a="1"/>
  <c r="M260" i="12" s="1"/>
  <c r="M621" i="13" s="1" a="1"/>
  <c r="M621" i="13" s="1"/>
  <c r="GT29" i="9" s="1" a="1"/>
  <c r="GT29" i="9" s="1"/>
  <c r="N246" i="12" a="1"/>
  <c r="N246" i="12" s="1"/>
  <c r="N587" i="13" s="1" a="1"/>
  <c r="N587" i="13" s="1"/>
  <c r="HM28" i="9" s="1" a="1"/>
  <c r="HM28" i="9" s="1"/>
  <c r="M620" i="13" a="1"/>
  <c r="M620" i="13" s="1"/>
  <c r="M647" i="13" s="1"/>
  <c r="M264" i="12"/>
  <c r="M269" i="12"/>
  <c r="L266" i="12"/>
  <c r="L268" i="12" s="1"/>
  <c r="L626" i="13" s="1" a="1"/>
  <c r="L626" i="13" s="1"/>
  <c r="L625" i="13" a="1"/>
  <c r="L625" i="13" s="1"/>
  <c r="I727" i="13" a="1"/>
  <c r="I727" i="13" s="1"/>
  <c r="I308" i="12"/>
  <c r="I310" i="12" s="1"/>
  <c r="I728" i="13" s="1" a="1"/>
  <c r="I728" i="13" s="1"/>
  <c r="F337" i="12"/>
  <c r="G344" i="12" a="1"/>
  <c r="G344" i="12" s="1"/>
  <c r="G825" i="13" s="1" a="1"/>
  <c r="G825" i="13" s="1"/>
  <c r="CJ35" i="9" s="1" a="1"/>
  <c r="CJ35" i="9" s="1"/>
  <c r="F327" i="12"/>
  <c r="F760" i="13" a="1"/>
  <c r="F760" i="13" s="1"/>
  <c r="D48" i="24" a="1"/>
  <c r="D48" i="24" s="1"/>
  <c r="J302" i="12" a="1"/>
  <c r="J302" i="12" s="1"/>
  <c r="J723" i="13" s="1" a="1"/>
  <c r="J723" i="13" s="1"/>
  <c r="EO32" i="9" s="1" a="1"/>
  <c r="EO32" i="9" s="1"/>
  <c r="E863" i="13" a="1"/>
  <c r="E863" i="13" s="1"/>
  <c r="E364" i="12"/>
  <c r="E366" i="12" s="1"/>
  <c r="E864" i="13" s="1" a="1"/>
  <c r="E864" i="13" s="1"/>
  <c r="L654" i="13" a="1"/>
  <c r="L654" i="13" s="1"/>
  <c r="L681" i="13" s="1"/>
  <c r="L283" i="12"/>
  <c r="L278" i="12"/>
  <c r="K297" i="12"/>
  <c r="K688" i="13" a="1"/>
  <c r="K688" i="13" s="1"/>
  <c r="K715" i="13" s="1"/>
  <c r="K292" i="12"/>
  <c r="N225" i="12"/>
  <c r="N238" i="12"/>
  <c r="N240" i="12" s="1"/>
  <c r="N558" i="13" s="1" a="1"/>
  <c r="N558" i="13" s="1"/>
  <c r="N557" i="13" a="1"/>
  <c r="N557" i="13" s="1"/>
  <c r="O211" i="12"/>
  <c r="M252" i="12"/>
  <c r="M254" i="12" s="1"/>
  <c r="M592" i="13" s="1" a="1"/>
  <c r="M592" i="13" s="1"/>
  <c r="M591" i="13" a="1"/>
  <c r="M591" i="13" s="1"/>
  <c r="F367" i="12"/>
  <c r="F858" i="13" a="1"/>
  <c r="F858" i="13" s="1"/>
  <c r="F885" i="13" s="1"/>
  <c r="F362" i="12"/>
  <c r="ES32" i="9" a="1"/>
  <c r="ES32" i="9" s="1"/>
  <c r="K300" i="12" a="1"/>
  <c r="K300" i="12" s="1"/>
  <c r="I756" i="13" a="1"/>
  <c r="I756" i="13" s="1"/>
  <c r="I783" i="13" s="1"/>
  <c r="I325" i="12"/>
  <c r="I320" i="12"/>
  <c r="G824" i="13" a="1"/>
  <c r="G824" i="13" s="1"/>
  <c r="G851" i="13" s="1"/>
  <c r="G348" i="12"/>
  <c r="G353" i="12"/>
  <c r="J693" i="13" a="1"/>
  <c r="J693" i="13" s="1"/>
  <c r="J294" i="12"/>
  <c r="J296" i="12" s="1"/>
  <c r="J694" i="13" s="1" a="1"/>
  <c r="J694" i="13" s="1"/>
  <c r="H322" i="12"/>
  <c r="H324" i="12" s="1"/>
  <c r="H762" i="13" s="1" a="1"/>
  <c r="H762" i="13" s="1"/>
  <c r="H761" i="13" a="1"/>
  <c r="H761" i="13" s="1"/>
  <c r="D47" i="24" a="1"/>
  <c r="D47" i="24" s="1"/>
  <c r="GE30" i="9" a="1"/>
  <c r="GE30" i="9" s="1"/>
  <c r="M272" i="12" a="1"/>
  <c r="M272" i="12" s="1"/>
  <c r="DZ33" i="9" a="1"/>
  <c r="DZ33" i="9" s="1"/>
  <c r="J314" i="12" a="1"/>
  <c r="J314" i="12" s="1"/>
  <c r="D386" i="12" a="1"/>
  <c r="D386" i="12" s="1"/>
  <c r="D927" i="13" s="1" a="1"/>
  <c r="D927" i="13" s="1"/>
  <c r="AE38" i="9" s="1" a="1"/>
  <c r="AE38" i="9" s="1"/>
  <c r="O232" i="12" a="1"/>
  <c r="O232" i="12" s="1"/>
  <c r="O553" i="13" s="1" a="1"/>
  <c r="O553" i="13" s="1"/>
  <c r="IF27" i="9" s="1" a="1"/>
  <c r="IF27" i="9" s="1"/>
  <c r="F358" i="12" a="1"/>
  <c r="F358" i="12" s="1"/>
  <c r="F859" i="13" s="1" a="1"/>
  <c r="F859" i="13" s="1"/>
  <c r="BQ36" i="9" s="1" a="1"/>
  <c r="BQ36" i="9" s="1"/>
  <c r="H790" i="13" a="1"/>
  <c r="H790" i="13" s="1"/>
  <c r="H817" i="13" s="1"/>
  <c r="H339" i="12"/>
  <c r="H334" i="12"/>
  <c r="J281" i="12"/>
  <c r="M239" i="12"/>
  <c r="I295" i="12"/>
  <c r="B850" i="13"/>
  <c r="B845" i="13"/>
  <c r="B862" i="13"/>
  <c r="B863" i="13" s="1"/>
  <c r="B864" i="13" s="1"/>
  <c r="B865" i="13" s="1"/>
  <c r="B866" i="13"/>
  <c r="B867" i="13" s="1"/>
  <c r="B868" i="13" s="1"/>
  <c r="B869" i="13" s="1"/>
  <c r="B870" i="13" s="1"/>
  <c r="B871" i="13" s="1"/>
  <c r="B872" i="13" s="1"/>
  <c r="B873" i="13" s="1"/>
  <c r="B874" i="13" s="1"/>
  <c r="B875" i="13" s="1"/>
  <c r="B876" i="13" s="1"/>
  <c r="B877" i="13" s="1"/>
  <c r="B878" i="13" s="1"/>
  <c r="B923" i="13" a="1"/>
  <c r="B923" i="13" s="1"/>
  <c r="B924" i="13" s="1"/>
  <c r="B812" i="13"/>
  <c r="B813" i="13" s="1"/>
  <c r="B814" i="13" s="1"/>
  <c r="B815" i="13" s="1"/>
  <c r="B817" i="13"/>
  <c r="B818" i="13" s="1"/>
  <c r="B819" i="13" s="1"/>
  <c r="B820" i="13" s="1"/>
  <c r="B894" i="13"/>
  <c r="B895" i="13" s="1"/>
  <c r="B891" i="13"/>
  <c r="B892" i="13" s="1"/>
  <c r="B893" i="13" s="1"/>
  <c r="AA579" i="10"/>
  <c r="AA566" i="10"/>
  <c r="AA567" i="10" s="1"/>
  <c r="AA554" i="10"/>
  <c r="AA541" i="10"/>
  <c r="B384" i="12" a="1"/>
  <c r="B384" i="12" s="1"/>
  <c r="R431" i="12"/>
  <c r="R444" i="12"/>
  <c r="R456" i="12"/>
  <c r="R468" i="12"/>
  <c r="R455" i="12"/>
  <c r="R443" i="12"/>
  <c r="L257" i="12" l="1"/>
  <c r="E447" i="12"/>
  <c r="E1069" i="13" s="1" a="1"/>
  <c r="E1069" i="13" s="1"/>
  <c r="E1064" i="13" a="1"/>
  <c r="E1064" i="13" s="1"/>
  <c r="E1091" i="13" s="1"/>
  <c r="E452" i="12"/>
  <c r="J1064" i="13" a="1"/>
  <c r="J1064" i="13" s="1"/>
  <c r="J1091" i="13" s="1"/>
  <c r="J452" i="12"/>
  <c r="J447" i="12"/>
  <c r="J1069" i="13" s="1" a="1"/>
  <c r="J1069" i="13" s="1"/>
  <c r="L1064" i="13" a="1"/>
  <c r="L1064" i="13" s="1"/>
  <c r="L1091" i="13" s="1"/>
  <c r="L447" i="12"/>
  <c r="L1069" i="13" s="1" a="1"/>
  <c r="L1069" i="13" s="1"/>
  <c r="L452" i="12"/>
  <c r="M1064" i="13" a="1"/>
  <c r="M1064" i="13" s="1"/>
  <c r="M1091" i="13" s="1"/>
  <c r="M447" i="12"/>
  <c r="M1069" i="13" s="1" a="1"/>
  <c r="M1069" i="13" s="1"/>
  <c r="M452" i="12"/>
  <c r="F1064" i="13" a="1"/>
  <c r="F1064" i="13" s="1"/>
  <c r="F1091" i="13" s="1"/>
  <c r="F447" i="12"/>
  <c r="F1069" i="13" s="1" a="1"/>
  <c r="F1069" i="13" s="1"/>
  <c r="F452" i="12"/>
  <c r="J444" i="12" a="1"/>
  <c r="J444" i="12" s="1"/>
  <c r="I444" i="12" a="1"/>
  <c r="I444" i="12" s="1"/>
  <c r="H444" i="12" a="1"/>
  <c r="H444" i="12" s="1"/>
  <c r="O444" i="12" a="1"/>
  <c r="O444" i="12" s="1"/>
  <c r="G444" i="12" a="1"/>
  <c r="G444" i="12" s="1"/>
  <c r="N444" i="12" a="1"/>
  <c r="N444" i="12" s="1"/>
  <c r="F444" i="12" a="1"/>
  <c r="F444" i="12" s="1"/>
  <c r="M444" i="12" a="1"/>
  <c r="M444" i="12" s="1"/>
  <c r="E444" i="12" a="1"/>
  <c r="E444" i="12" s="1"/>
  <c r="L444" i="12" a="1"/>
  <c r="L444" i="12" s="1"/>
  <c r="D444" i="12" a="1"/>
  <c r="D444" i="12" s="1"/>
  <c r="K444" i="12" a="1"/>
  <c r="K444" i="12" s="1"/>
  <c r="N1064" i="13" a="1"/>
  <c r="N1064" i="13" s="1"/>
  <c r="N1091" i="13" s="1"/>
  <c r="N447" i="12"/>
  <c r="N1069" i="13" s="1" a="1"/>
  <c r="N1069" i="13" s="1"/>
  <c r="N452" i="12"/>
  <c r="G1064" i="13" a="1"/>
  <c r="G1064" i="13" s="1"/>
  <c r="G1091" i="13" s="1"/>
  <c r="G447" i="12"/>
  <c r="G1069" i="13" s="1" a="1"/>
  <c r="G1069" i="13" s="1"/>
  <c r="G452" i="12"/>
  <c r="J455" i="12" a="1"/>
  <c r="J455" i="12" s="1"/>
  <c r="I455" i="12" a="1"/>
  <c r="I455" i="12" s="1"/>
  <c r="H455" i="12" a="1"/>
  <c r="H455" i="12" s="1"/>
  <c r="O455" i="12" a="1"/>
  <c r="O455" i="12" s="1"/>
  <c r="G455" i="12" a="1"/>
  <c r="G455" i="12" s="1"/>
  <c r="N455" i="12" a="1"/>
  <c r="N455" i="12" s="1"/>
  <c r="F455" i="12" a="1"/>
  <c r="F455" i="12" s="1"/>
  <c r="M455" i="12" a="1"/>
  <c r="M455" i="12" s="1"/>
  <c r="E455" i="12" a="1"/>
  <c r="E455" i="12" s="1"/>
  <c r="L455" i="12" a="1"/>
  <c r="L455" i="12" s="1"/>
  <c r="D455" i="12" a="1"/>
  <c r="D455" i="12" s="1"/>
  <c r="K455" i="12" a="1"/>
  <c r="K455" i="12" s="1"/>
  <c r="N431" i="12" a="1"/>
  <c r="N431" i="12" s="1"/>
  <c r="F431" i="12" a="1"/>
  <c r="F431" i="12" s="1"/>
  <c r="M431" i="12" a="1"/>
  <c r="M431" i="12" s="1"/>
  <c r="E431" i="12" a="1"/>
  <c r="E431" i="12" s="1"/>
  <c r="L431" i="12" a="1"/>
  <c r="L431" i="12" s="1"/>
  <c r="D431" i="12" a="1"/>
  <c r="D431" i="12" s="1"/>
  <c r="K431" i="12" a="1"/>
  <c r="K431" i="12" s="1"/>
  <c r="J431" i="12" a="1"/>
  <c r="J431" i="12" s="1"/>
  <c r="I431" i="12" a="1"/>
  <c r="I431" i="12" s="1"/>
  <c r="H431" i="12" a="1"/>
  <c r="H431" i="12" s="1"/>
  <c r="O431" i="12" a="1"/>
  <c r="O431" i="12" s="1"/>
  <c r="G431" i="12" a="1"/>
  <c r="G431" i="12" s="1"/>
  <c r="K1064" i="13" a="1"/>
  <c r="K1064" i="13" s="1"/>
  <c r="K1091" i="13" s="1"/>
  <c r="K452" i="12"/>
  <c r="K447" i="12"/>
  <c r="K1069" i="13" s="1" a="1"/>
  <c r="K1069" i="13" s="1"/>
  <c r="O1064" i="13" a="1"/>
  <c r="O1064" i="13" s="1"/>
  <c r="O1091" i="13" s="1"/>
  <c r="O452" i="12"/>
  <c r="O447" i="12"/>
  <c r="O1069" i="13" s="1" a="1"/>
  <c r="O1069" i="13" s="1"/>
  <c r="I1064" i="13" a="1"/>
  <c r="I1064" i="13" s="1"/>
  <c r="I1091" i="13" s="1"/>
  <c r="I452" i="12"/>
  <c r="I447" i="12"/>
  <c r="I1069" i="13" s="1" a="1"/>
  <c r="I1069" i="13" s="1"/>
  <c r="N443" i="12" a="1"/>
  <c r="N443" i="12" s="1"/>
  <c r="N1065" i="13" s="1" a="1"/>
  <c r="N1065" i="13" s="1"/>
  <c r="F443" i="12" a="1"/>
  <c r="F443" i="12" s="1"/>
  <c r="F1065" i="13" s="1" a="1"/>
  <c r="F1065" i="13" s="1"/>
  <c r="M443" i="12" a="1"/>
  <c r="M443" i="12" s="1"/>
  <c r="M1065" i="13" s="1" a="1"/>
  <c r="M1065" i="13" s="1"/>
  <c r="E443" i="12" a="1"/>
  <c r="E443" i="12" s="1"/>
  <c r="E1065" i="13" s="1" a="1"/>
  <c r="E1065" i="13" s="1"/>
  <c r="L443" i="12" a="1"/>
  <c r="L443" i="12" s="1"/>
  <c r="L1065" i="13" s="1" a="1"/>
  <c r="L1065" i="13" s="1"/>
  <c r="D443" i="12" a="1"/>
  <c r="D443" i="12" s="1"/>
  <c r="D1065" i="13" s="1" a="1"/>
  <c r="D1065" i="13" s="1"/>
  <c r="K443" i="12" a="1"/>
  <c r="K443" i="12" s="1"/>
  <c r="K1065" i="13" s="1" a="1"/>
  <c r="K1065" i="13" s="1"/>
  <c r="J443" i="12" a="1"/>
  <c r="J443" i="12" s="1"/>
  <c r="J1065" i="13" s="1" a="1"/>
  <c r="J1065" i="13" s="1"/>
  <c r="I443" i="12" a="1"/>
  <c r="I443" i="12" s="1"/>
  <c r="I1065" i="13" s="1" a="1"/>
  <c r="I1065" i="13" s="1"/>
  <c r="H443" i="12" a="1"/>
  <c r="H443" i="12" s="1"/>
  <c r="H1065" i="13" s="1" a="1"/>
  <c r="H1065" i="13" s="1"/>
  <c r="O443" i="12" a="1"/>
  <c r="O443" i="12" s="1"/>
  <c r="O1065" i="13" s="1" a="1"/>
  <c r="O1065" i="13" s="1"/>
  <c r="G443" i="12" a="1"/>
  <c r="G443" i="12" s="1"/>
  <c r="G1065" i="13" s="1" a="1"/>
  <c r="G1065" i="13" s="1"/>
  <c r="D1064" i="13" a="1"/>
  <c r="D1064" i="13" s="1"/>
  <c r="D1091" i="13" s="1"/>
  <c r="D447" i="12"/>
  <c r="D1069" i="13" s="1" a="1"/>
  <c r="D1069" i="13" s="1"/>
  <c r="D452" i="12"/>
  <c r="H1064" i="13" a="1"/>
  <c r="H1064" i="13" s="1"/>
  <c r="H1091" i="13" s="1"/>
  <c r="H452" i="12"/>
  <c r="H447" i="12"/>
  <c r="H1069" i="13" s="1" a="1"/>
  <c r="H1069" i="13" s="1"/>
  <c r="FW32" i="9" a="1"/>
  <c r="FW32" i="9" s="1"/>
  <c r="FX32" i="9" s="1"/>
  <c r="D271" i="12"/>
  <c r="D624" i="13" a="1"/>
  <c r="D624" i="13" s="1"/>
  <c r="GP31" i="9" a="1"/>
  <c r="GP31" i="9" s="1"/>
  <c r="GQ31" i="9" s="1"/>
  <c r="G272" i="12" a="1"/>
  <c r="G272" i="12" s="1"/>
  <c r="D294" i="12"/>
  <c r="D296" i="12" s="1"/>
  <c r="D694" i="13" s="1" a="1"/>
  <c r="D694" i="13" s="1"/>
  <c r="D693" i="13" a="1"/>
  <c r="D693" i="13" s="1"/>
  <c r="HI30" i="9" a="1"/>
  <c r="HI30" i="9" s="1"/>
  <c r="HJ30" i="9" s="1"/>
  <c r="D311" i="12"/>
  <c r="D722" i="13" a="1"/>
  <c r="D722" i="13" s="1"/>
  <c r="D749" i="13" s="1"/>
  <c r="D306" i="12"/>
  <c r="D281" i="12"/>
  <c r="G239" i="12"/>
  <c r="D314" i="12" a="1"/>
  <c r="D314" i="12" s="1"/>
  <c r="G620" i="13" a="1"/>
  <c r="G620" i="13" s="1"/>
  <c r="G647" i="13" s="1"/>
  <c r="G264" i="12"/>
  <c r="G269" i="12"/>
  <c r="N239" i="12"/>
  <c r="N556" i="13" s="1" a="1"/>
  <c r="N556" i="13" s="1"/>
  <c r="K624" i="13" a="1"/>
  <c r="K624" i="13" s="1"/>
  <c r="J295" i="12"/>
  <c r="J299" i="12" s="1"/>
  <c r="O225" i="12"/>
  <c r="O522" i="13" s="1" a="1"/>
  <c r="O522" i="13" s="1"/>
  <c r="H323" i="12"/>
  <c r="H327" i="12" s="1"/>
  <c r="I309" i="12"/>
  <c r="I726" i="13" s="1" a="1"/>
  <c r="I726" i="13" s="1"/>
  <c r="FL32" i="9" a="1"/>
  <c r="FL32" i="9" s="1"/>
  <c r="L300" i="12" a="1"/>
  <c r="L300" i="12" s="1"/>
  <c r="DG35" i="9" a="1"/>
  <c r="DG35" i="9" s="1"/>
  <c r="I342" i="12" a="1"/>
  <c r="I342" i="12" s="1"/>
  <c r="G358" i="12" a="1"/>
  <c r="G358" i="12" s="1"/>
  <c r="G859" i="13" s="1" a="1"/>
  <c r="G859" i="13" s="1"/>
  <c r="CJ36" i="9" s="1" a="1"/>
  <c r="CJ36" i="9" s="1"/>
  <c r="ES33" i="9" a="1"/>
  <c r="ES33" i="9" s="1"/>
  <c r="K314" i="12" a="1"/>
  <c r="K314" i="12" s="1"/>
  <c r="IB36" i="9" a="1"/>
  <c r="IB36" i="9" s="1"/>
  <c r="IC36" i="9" s="1"/>
  <c r="M278" i="12"/>
  <c r="M283" i="12"/>
  <c r="M654" i="13" a="1"/>
  <c r="M654" i="13" s="1"/>
  <c r="M681" i="13" s="1"/>
  <c r="K306" i="12"/>
  <c r="K722" i="13" a="1"/>
  <c r="K722" i="13" s="1"/>
  <c r="K749" i="13" s="1"/>
  <c r="K311" i="12"/>
  <c r="K693" i="13" a="1"/>
  <c r="K693" i="13" s="1"/>
  <c r="K294" i="12"/>
  <c r="K296" i="12" s="1"/>
  <c r="K694" i="13" s="1" a="1"/>
  <c r="K694" i="13" s="1"/>
  <c r="E897" i="13" a="1"/>
  <c r="E897" i="13" s="1"/>
  <c r="E378" i="12"/>
  <c r="E380" i="12" s="1"/>
  <c r="E898" i="13" s="1" a="1"/>
  <c r="E898" i="13" s="1"/>
  <c r="E386" i="12" a="1"/>
  <c r="E386" i="12" s="1"/>
  <c r="E927" i="13" s="1" a="1"/>
  <c r="E927" i="13" s="1"/>
  <c r="AX38" i="9" s="1" a="1"/>
  <c r="AX38" i="9" s="1"/>
  <c r="H344" i="12" a="1"/>
  <c r="H344" i="12" s="1"/>
  <c r="H825" i="13" s="1" a="1"/>
  <c r="H825" i="13" s="1"/>
  <c r="DC35" i="9" s="1" a="1"/>
  <c r="DC35" i="9" s="1"/>
  <c r="C50" i="28" a="1"/>
  <c r="C50" i="28" s="1"/>
  <c r="A412" i="12" a="1"/>
  <c r="A412" i="12" s="1"/>
  <c r="A991" i="13" a="1"/>
  <c r="A991" i="13" s="1"/>
  <c r="F794" i="13" a="1"/>
  <c r="F794" i="13" s="1"/>
  <c r="F341" i="12"/>
  <c r="M625" i="13" a="1"/>
  <c r="M625" i="13" s="1"/>
  <c r="M266" i="12"/>
  <c r="M268" i="12" s="1"/>
  <c r="M626" i="13" s="1" a="1"/>
  <c r="M626" i="13" s="1"/>
  <c r="G337" i="12"/>
  <c r="J316" i="12" a="1"/>
  <c r="J316" i="12" s="1"/>
  <c r="J757" i="13" s="1" a="1"/>
  <c r="J757" i="13" s="1"/>
  <c r="EO33" i="9" s="1" a="1"/>
  <c r="EO33" i="9" s="1"/>
  <c r="N522" i="13" a="1"/>
  <c r="N522" i="13" s="1"/>
  <c r="N229" i="12"/>
  <c r="GX30" i="9" a="1"/>
  <c r="GX30" i="9" s="1"/>
  <c r="N272" i="12" a="1"/>
  <c r="N272" i="12" s="1"/>
  <c r="I692" i="13" a="1"/>
  <c r="I692" i="13" s="1"/>
  <c r="I299" i="12"/>
  <c r="F863" i="13" a="1"/>
  <c r="F863" i="13" s="1"/>
  <c r="F364" i="12"/>
  <c r="F366" i="12" s="1"/>
  <c r="F864" i="13" s="1" a="1"/>
  <c r="F864" i="13" s="1"/>
  <c r="N252" i="12"/>
  <c r="N254" i="12" s="1"/>
  <c r="N592" i="13" s="1" a="1"/>
  <c r="N592" i="13" s="1"/>
  <c r="N591" i="13" a="1"/>
  <c r="N591" i="13" s="1"/>
  <c r="L688" i="13" a="1"/>
  <c r="L688" i="13" s="1"/>
  <c r="L715" i="13" s="1"/>
  <c r="L297" i="12"/>
  <c r="L292" i="12"/>
  <c r="M274" i="12" a="1"/>
  <c r="M274" i="12" s="1"/>
  <c r="M655" i="13" s="1" a="1"/>
  <c r="M655" i="13" s="1"/>
  <c r="GT30" i="9" s="1" a="1"/>
  <c r="GT30" i="9" s="1"/>
  <c r="D400" i="12" a="1"/>
  <c r="D400" i="12" s="1"/>
  <c r="D961" i="13" s="1" a="1"/>
  <c r="D961" i="13" s="1"/>
  <c r="AE39" i="9" s="1" a="1"/>
  <c r="AE39" i="9" s="1"/>
  <c r="M556" i="13" a="1"/>
  <c r="M556" i="13" s="1"/>
  <c r="M243" i="12"/>
  <c r="G829" i="13" a="1"/>
  <c r="G829" i="13" s="1"/>
  <c r="G350" i="12"/>
  <c r="G352" i="12" s="1"/>
  <c r="G830" i="13" s="1" a="1"/>
  <c r="G830" i="13" s="1"/>
  <c r="O215" i="12"/>
  <c r="O488" i="13" a="1"/>
  <c r="O488" i="13" s="1"/>
  <c r="L659" i="13" a="1"/>
  <c r="L659" i="13" s="1"/>
  <c r="L280" i="12"/>
  <c r="L282" i="12" s="1"/>
  <c r="L660" i="13" s="1" a="1"/>
  <c r="L660" i="13" s="1"/>
  <c r="J308" i="12"/>
  <c r="J310" i="12" s="1"/>
  <c r="J728" i="13" s="1" a="1"/>
  <c r="J728" i="13" s="1"/>
  <c r="J727" i="13" a="1"/>
  <c r="J727" i="13" s="1"/>
  <c r="I334" i="12"/>
  <c r="I339" i="12"/>
  <c r="I790" i="13" a="1"/>
  <c r="I790" i="13" s="1"/>
  <c r="I817" i="13" s="1"/>
  <c r="G362" i="12"/>
  <c r="G858" i="13" a="1"/>
  <c r="G858" i="13" s="1"/>
  <c r="G885" i="13" s="1"/>
  <c r="G367" i="12"/>
  <c r="I330" i="12" a="1"/>
  <c r="I330" i="12" s="1"/>
  <c r="I791" i="13" s="1" a="1"/>
  <c r="I791" i="13" s="1"/>
  <c r="DV34" i="9" s="1" a="1"/>
  <c r="DV34" i="9" s="1"/>
  <c r="E398" i="12" a="1"/>
  <c r="E398" i="12" s="1"/>
  <c r="AI39" i="9" a="1"/>
  <c r="AI39" i="9" s="1"/>
  <c r="J285" i="12"/>
  <c r="J658" i="13" a="1"/>
  <c r="J658" i="13" s="1"/>
  <c r="N269" i="12"/>
  <c r="N264" i="12"/>
  <c r="N620" i="13" a="1"/>
  <c r="N620" i="13" s="1"/>
  <c r="N647" i="13" s="1"/>
  <c r="E828" i="13" a="1"/>
  <c r="E828" i="13" s="1"/>
  <c r="E355" i="12"/>
  <c r="N260" i="12" a="1"/>
  <c r="N260" i="12" s="1"/>
  <c r="N621" i="13" s="1" a="1"/>
  <c r="N621" i="13" s="1"/>
  <c r="HM29" i="9" s="1" a="1"/>
  <c r="HM29" i="9" s="1"/>
  <c r="L288" i="12" a="1"/>
  <c r="L288" i="12" s="1"/>
  <c r="L689" i="13" s="1" a="1"/>
  <c r="L689" i="13" s="1"/>
  <c r="GA31" i="9" s="1" a="1"/>
  <c r="GA31" i="9" s="1"/>
  <c r="H795" i="13" a="1"/>
  <c r="H795" i="13" s="1"/>
  <c r="H336" i="12"/>
  <c r="H338" i="12" s="1"/>
  <c r="H796" i="13" s="1" a="1"/>
  <c r="H796" i="13" s="1"/>
  <c r="I322" i="12"/>
  <c r="I324" i="12" s="1"/>
  <c r="I762" i="13" s="1" a="1"/>
  <c r="I762" i="13" s="1"/>
  <c r="I761" i="13" a="1"/>
  <c r="I761" i="13" s="1"/>
  <c r="M253" i="12"/>
  <c r="L267" i="12"/>
  <c r="F351" i="12"/>
  <c r="K281" i="12"/>
  <c r="F376" i="12"/>
  <c r="F892" i="13" a="1"/>
  <c r="F892" i="13" s="1"/>
  <c r="F919" i="13" s="1"/>
  <c r="F381" i="12"/>
  <c r="D49" i="24" a="1"/>
  <c r="D49" i="24" s="1"/>
  <c r="O258" i="12" a="1"/>
  <c r="O258" i="12" s="1"/>
  <c r="HQ29" i="9" a="1"/>
  <c r="HQ29" i="9" s="1"/>
  <c r="F384" i="12" a="1"/>
  <c r="F384" i="12" s="1"/>
  <c r="BB38" i="9" a="1"/>
  <c r="BB38" i="9" s="1"/>
  <c r="K302" i="12" a="1"/>
  <c r="K302" i="12" s="1"/>
  <c r="K723" i="13" s="1" a="1"/>
  <c r="K723" i="13" s="1"/>
  <c r="FH32" i="9" s="1" a="1"/>
  <c r="FH32" i="9" s="1"/>
  <c r="O246" i="12" a="1"/>
  <c r="O246" i="12" s="1"/>
  <c r="O587" i="13" s="1" a="1"/>
  <c r="O587" i="13" s="1"/>
  <c r="IF28" i="9" s="1" a="1"/>
  <c r="IF28" i="9" s="1"/>
  <c r="DZ34" i="9" a="1"/>
  <c r="DZ34" i="9" s="1"/>
  <c r="J328" i="12" a="1"/>
  <c r="J328" i="12" s="1"/>
  <c r="F372" i="12" a="1"/>
  <c r="F372" i="12" s="1"/>
  <c r="F893" i="13" s="1" a="1"/>
  <c r="F893" i="13" s="1"/>
  <c r="BQ37" i="9" s="1" a="1"/>
  <c r="BQ37" i="9" s="1"/>
  <c r="M286" i="12" a="1"/>
  <c r="M286" i="12" s="1"/>
  <c r="GE31" i="9" a="1"/>
  <c r="GE31" i="9" s="1"/>
  <c r="J756" i="13" a="1"/>
  <c r="J756" i="13" s="1"/>
  <c r="J783" i="13" s="1"/>
  <c r="J325" i="12"/>
  <c r="J320" i="12"/>
  <c r="E365" i="12"/>
  <c r="O557" i="13" a="1"/>
  <c r="O557" i="13" s="1"/>
  <c r="O238" i="12"/>
  <c r="O240" i="12" s="1"/>
  <c r="O558" i="13" s="1" a="1"/>
  <c r="O558" i="13" s="1"/>
  <c r="O586" i="13" a="1"/>
  <c r="O586" i="13" s="1"/>
  <c r="O613" i="13" s="1"/>
  <c r="O250" i="12"/>
  <c r="O255" i="12"/>
  <c r="H726" i="13" a="1"/>
  <c r="H726" i="13" s="1"/>
  <c r="H313" i="12"/>
  <c r="E390" i="12"/>
  <c r="E926" i="13" a="1"/>
  <c r="E926" i="13" s="1"/>
  <c r="E953" i="13" s="1"/>
  <c r="E395" i="12"/>
  <c r="B928" i="13"/>
  <c r="B929" i="13" s="1"/>
  <c r="B925" i="13"/>
  <c r="B926" i="13" s="1"/>
  <c r="B927" i="13" s="1"/>
  <c r="B957" i="13" a="1"/>
  <c r="B957" i="13" s="1"/>
  <c r="B958" i="13" s="1"/>
  <c r="B900" i="13"/>
  <c r="B901" i="13" s="1"/>
  <c r="B902" i="13" s="1"/>
  <c r="B903" i="13" s="1"/>
  <c r="B904" i="13" s="1"/>
  <c r="B905" i="13" s="1"/>
  <c r="B906" i="13" s="1"/>
  <c r="B907" i="13" s="1"/>
  <c r="B908" i="13" s="1"/>
  <c r="B909" i="13" s="1"/>
  <c r="B910" i="13" s="1"/>
  <c r="B911" i="13" s="1"/>
  <c r="B912" i="13" s="1"/>
  <c r="B896" i="13"/>
  <c r="B897" i="13" s="1"/>
  <c r="B898" i="13" s="1"/>
  <c r="B899" i="13" s="1"/>
  <c r="B879" i="13"/>
  <c r="B884" i="13"/>
  <c r="B846" i="13"/>
  <c r="B847" i="13" s="1"/>
  <c r="B848" i="13" s="1"/>
  <c r="B849" i="13" s="1"/>
  <c r="B851" i="13"/>
  <c r="B852" i="13" s="1"/>
  <c r="B853" i="13" s="1"/>
  <c r="B854" i="13" s="1"/>
  <c r="AA568" i="10"/>
  <c r="AA580" i="10"/>
  <c r="AA581" i="10" s="1"/>
  <c r="AA593" i="10"/>
  <c r="AA555" i="10"/>
  <c r="B398" i="12" a="1"/>
  <c r="B398" i="12" s="1"/>
  <c r="R445" i="12"/>
  <c r="R457" i="12"/>
  <c r="R482" i="12"/>
  <c r="R469" i="12"/>
  <c r="R470" i="12"/>
  <c r="R458" i="12"/>
  <c r="N243" i="12" l="1"/>
  <c r="J692" i="13" a="1"/>
  <c r="J692" i="13" s="1"/>
  <c r="N1098" i="13" a="1"/>
  <c r="N1098" i="13" s="1"/>
  <c r="N1125" i="13" s="1"/>
  <c r="N466" i="12"/>
  <c r="N461" i="12"/>
  <c r="N1103" i="13" s="1" a="1"/>
  <c r="N1103" i="13" s="1"/>
  <c r="O229" i="12"/>
  <c r="F1098" i="13" a="1"/>
  <c r="F1098" i="13" s="1"/>
  <c r="F1125" i="13" s="1"/>
  <c r="F461" i="12"/>
  <c r="F1103" i="13" s="1" a="1"/>
  <c r="F1103" i="13" s="1"/>
  <c r="F466" i="12"/>
  <c r="G1098" i="13" a="1"/>
  <c r="G1098" i="13" s="1"/>
  <c r="G1125" i="13" s="1"/>
  <c r="G461" i="12"/>
  <c r="G1103" i="13" s="1" a="1"/>
  <c r="G1103" i="13" s="1"/>
  <c r="G466" i="12"/>
  <c r="J469" i="12" a="1"/>
  <c r="J469" i="12" s="1"/>
  <c r="I469" i="12" a="1"/>
  <c r="I469" i="12" s="1"/>
  <c r="H469" i="12" a="1"/>
  <c r="H469" i="12" s="1"/>
  <c r="O469" i="12" a="1"/>
  <c r="O469" i="12" s="1"/>
  <c r="G469" i="12" a="1"/>
  <c r="G469" i="12" s="1"/>
  <c r="N469" i="12" a="1"/>
  <c r="N469" i="12" s="1"/>
  <c r="F469" i="12" a="1"/>
  <c r="F469" i="12" s="1"/>
  <c r="M469" i="12" a="1"/>
  <c r="M469" i="12" s="1"/>
  <c r="E469" i="12" a="1"/>
  <c r="E469" i="12" s="1"/>
  <c r="L469" i="12" a="1"/>
  <c r="L469" i="12" s="1"/>
  <c r="D469" i="12" a="1"/>
  <c r="D469" i="12" s="1"/>
  <c r="K469" i="12" a="1"/>
  <c r="K469" i="12" s="1"/>
  <c r="N457" i="12" a="1"/>
  <c r="N457" i="12" s="1"/>
  <c r="N1099" i="13" s="1" a="1"/>
  <c r="N1099" i="13" s="1"/>
  <c r="F457" i="12" a="1"/>
  <c r="F457" i="12" s="1"/>
  <c r="F1099" i="13" s="1" a="1"/>
  <c r="F1099" i="13" s="1"/>
  <c r="M457" i="12" a="1"/>
  <c r="M457" i="12" s="1"/>
  <c r="M1099" i="13" s="1" a="1"/>
  <c r="M1099" i="13" s="1"/>
  <c r="E457" i="12" a="1"/>
  <c r="E457" i="12" s="1"/>
  <c r="E1099" i="13" s="1" a="1"/>
  <c r="E1099" i="13" s="1"/>
  <c r="L457" i="12" a="1"/>
  <c r="L457" i="12" s="1"/>
  <c r="L1099" i="13" s="1" a="1"/>
  <c r="L1099" i="13" s="1"/>
  <c r="D457" i="12" a="1"/>
  <c r="D457" i="12" s="1"/>
  <c r="D1099" i="13" s="1" a="1"/>
  <c r="D1099" i="13" s="1"/>
  <c r="K457" i="12" a="1"/>
  <c r="K457" i="12" s="1"/>
  <c r="K1099" i="13" s="1" a="1"/>
  <c r="K1099" i="13" s="1"/>
  <c r="J457" i="12" a="1"/>
  <c r="J457" i="12" s="1"/>
  <c r="J1099" i="13" s="1" a="1"/>
  <c r="J1099" i="13" s="1"/>
  <c r="I457" i="12" a="1"/>
  <c r="I457" i="12" s="1"/>
  <c r="I1099" i="13" s="1" a="1"/>
  <c r="I1099" i="13" s="1"/>
  <c r="H457" i="12" a="1"/>
  <c r="H457" i="12" s="1"/>
  <c r="H1099" i="13" s="1" a="1"/>
  <c r="H1099" i="13" s="1"/>
  <c r="O457" i="12" a="1"/>
  <c r="O457" i="12" s="1"/>
  <c r="O1099" i="13" s="1" a="1"/>
  <c r="O1099" i="13" s="1"/>
  <c r="G457" i="12" a="1"/>
  <c r="G457" i="12" s="1"/>
  <c r="G1099" i="13" s="1" a="1"/>
  <c r="G1099" i="13" s="1"/>
  <c r="K1098" i="13" a="1"/>
  <c r="K1098" i="13" s="1"/>
  <c r="K1125" i="13" s="1"/>
  <c r="K461" i="12"/>
  <c r="K1103" i="13" s="1" a="1"/>
  <c r="K1103" i="13" s="1"/>
  <c r="K466" i="12"/>
  <c r="O1098" i="13" a="1"/>
  <c r="O1098" i="13" s="1"/>
  <c r="O1125" i="13" s="1"/>
  <c r="O461" i="12"/>
  <c r="O1103" i="13" s="1" a="1"/>
  <c r="O1103" i="13" s="1"/>
  <c r="O466" i="12"/>
  <c r="D1098" i="13" a="1"/>
  <c r="D1098" i="13" s="1"/>
  <c r="D1125" i="13" s="1"/>
  <c r="D466" i="12"/>
  <c r="D461" i="12"/>
  <c r="D1103" i="13" s="1" a="1"/>
  <c r="D1103" i="13" s="1"/>
  <c r="H1098" i="13" a="1"/>
  <c r="H1098" i="13" s="1"/>
  <c r="H1125" i="13" s="1"/>
  <c r="H466" i="12"/>
  <c r="H461" i="12"/>
  <c r="H1103" i="13" s="1" a="1"/>
  <c r="H1103" i="13" s="1"/>
  <c r="N445" i="12" a="1"/>
  <c r="N445" i="12" s="1"/>
  <c r="F445" i="12" a="1"/>
  <c r="F445" i="12" s="1"/>
  <c r="M445" i="12" a="1"/>
  <c r="M445" i="12" s="1"/>
  <c r="E445" i="12" a="1"/>
  <c r="E445" i="12" s="1"/>
  <c r="L445" i="12" a="1"/>
  <c r="L445" i="12" s="1"/>
  <c r="D445" i="12" a="1"/>
  <c r="D445" i="12" s="1"/>
  <c r="K445" i="12" a="1"/>
  <c r="K445" i="12" s="1"/>
  <c r="J445" i="12" a="1"/>
  <c r="J445" i="12" s="1"/>
  <c r="I445" i="12" a="1"/>
  <c r="I445" i="12" s="1"/>
  <c r="H445" i="12" a="1"/>
  <c r="H445" i="12" s="1"/>
  <c r="O445" i="12" a="1"/>
  <c r="O445" i="12" s="1"/>
  <c r="G445" i="12" a="1"/>
  <c r="G445" i="12" s="1"/>
  <c r="L1098" i="13" a="1"/>
  <c r="L1098" i="13" s="1"/>
  <c r="L1125" i="13" s="1"/>
  <c r="L461" i="12"/>
  <c r="L1103" i="13" s="1" a="1"/>
  <c r="L1103" i="13" s="1"/>
  <c r="L466" i="12"/>
  <c r="I1098" i="13" a="1"/>
  <c r="I1098" i="13" s="1"/>
  <c r="I1125" i="13" s="1"/>
  <c r="I466" i="12"/>
  <c r="I461" i="12"/>
  <c r="I1103" i="13" s="1" a="1"/>
  <c r="I1103" i="13" s="1"/>
  <c r="E461" i="12"/>
  <c r="E1103" i="13" s="1" a="1"/>
  <c r="E1103" i="13" s="1"/>
  <c r="E1098" i="13" a="1"/>
  <c r="E1098" i="13" s="1"/>
  <c r="E1125" i="13" s="1"/>
  <c r="E466" i="12"/>
  <c r="J1098" i="13" a="1"/>
  <c r="J1098" i="13" s="1"/>
  <c r="J1125" i="13" s="1"/>
  <c r="J466" i="12"/>
  <c r="J461" i="12"/>
  <c r="J1103" i="13" s="1" a="1"/>
  <c r="J1103" i="13" s="1"/>
  <c r="J458" i="12" a="1"/>
  <c r="J458" i="12" s="1"/>
  <c r="I458" i="12" a="1"/>
  <c r="I458" i="12" s="1"/>
  <c r="H458" i="12" a="1"/>
  <c r="H458" i="12" s="1"/>
  <c r="O458" i="12" a="1"/>
  <c r="O458" i="12" s="1"/>
  <c r="G458" i="12" a="1"/>
  <c r="G458" i="12" s="1"/>
  <c r="N458" i="12" a="1"/>
  <c r="N458" i="12" s="1"/>
  <c r="F458" i="12" a="1"/>
  <c r="F458" i="12" s="1"/>
  <c r="M458" i="12" a="1"/>
  <c r="M458" i="12" s="1"/>
  <c r="E458" i="12" a="1"/>
  <c r="E458" i="12" s="1"/>
  <c r="L458" i="12" a="1"/>
  <c r="L458" i="12" s="1"/>
  <c r="D458" i="12" a="1"/>
  <c r="D458" i="12" s="1"/>
  <c r="K458" i="12" a="1"/>
  <c r="K458" i="12" s="1"/>
  <c r="M461" i="12"/>
  <c r="M1103" i="13" s="1" a="1"/>
  <c r="M1103" i="13" s="1"/>
  <c r="M1098" i="13" a="1"/>
  <c r="M1098" i="13" s="1"/>
  <c r="M1125" i="13" s="1"/>
  <c r="M466" i="12"/>
  <c r="D328" i="12" a="1"/>
  <c r="D328" i="12" s="1"/>
  <c r="FW33" i="9" a="1"/>
  <c r="FW33" i="9" s="1"/>
  <c r="FX33" i="9" s="1"/>
  <c r="D320" i="12"/>
  <c r="D325" i="12"/>
  <c r="D756" i="13" a="1"/>
  <c r="D756" i="13" s="1"/>
  <c r="D783" i="13" s="1"/>
  <c r="D727" i="13" a="1"/>
  <c r="D727" i="13" s="1"/>
  <c r="D308" i="12"/>
  <c r="D310" i="12" s="1"/>
  <c r="D728" i="13" s="1" a="1"/>
  <c r="D728" i="13" s="1"/>
  <c r="G654" i="13" a="1"/>
  <c r="G654" i="13" s="1"/>
  <c r="G681" i="13" s="1"/>
  <c r="G283" i="12"/>
  <c r="G278" i="12"/>
  <c r="G266" i="12"/>
  <c r="G268" i="12" s="1"/>
  <c r="G626" i="13" s="1" a="1"/>
  <c r="G626" i="13" s="1"/>
  <c r="G625" i="13" a="1"/>
  <c r="G625" i="13" s="1"/>
  <c r="G243" i="12"/>
  <c r="G556" i="13" a="1"/>
  <c r="G556" i="13" s="1"/>
  <c r="HI31" i="9" a="1"/>
  <c r="HI31" i="9" s="1"/>
  <c r="HJ31" i="9" s="1"/>
  <c r="GP32" i="9" a="1"/>
  <c r="GP32" i="9" s="1"/>
  <c r="GQ32" i="9" s="1"/>
  <c r="D285" i="12"/>
  <c r="D658" i="13" a="1"/>
  <c r="D658" i="13" s="1"/>
  <c r="D295" i="12"/>
  <c r="H760" i="13" a="1"/>
  <c r="H760" i="13" s="1"/>
  <c r="J309" i="12"/>
  <c r="J313" i="12" s="1"/>
  <c r="I313" i="12"/>
  <c r="M267" i="12"/>
  <c r="M624" i="13" s="1" a="1"/>
  <c r="M624" i="13" s="1"/>
  <c r="L281" i="12"/>
  <c r="L658" i="13" s="1" a="1"/>
  <c r="L658" i="13" s="1"/>
  <c r="N253" i="12"/>
  <c r="N257" i="12" s="1"/>
  <c r="HQ30" i="9" a="1"/>
  <c r="HQ30" i="9" s="1"/>
  <c r="O272" i="12" a="1"/>
  <c r="O272" i="12" s="1"/>
  <c r="K328" i="12" a="1"/>
  <c r="K328" i="12" s="1"/>
  <c r="ES34" i="9" a="1"/>
  <c r="ES34" i="9" s="1"/>
  <c r="A426" i="12" a="1"/>
  <c r="A426" i="12" s="1"/>
  <c r="C51" i="28" a="1"/>
  <c r="C51" i="28" s="1"/>
  <c r="A1025" i="13" a="1"/>
  <c r="A1025" i="13" s="1"/>
  <c r="GX31" i="9" a="1"/>
  <c r="GX31" i="9" s="1"/>
  <c r="N286" i="12" a="1"/>
  <c r="N286" i="12" s="1"/>
  <c r="BB39" i="9" a="1"/>
  <c r="BB39" i="9" s="1"/>
  <c r="F398" i="12" a="1"/>
  <c r="F398" i="12" s="1"/>
  <c r="E392" i="12"/>
  <c r="E394" i="12" s="1"/>
  <c r="E932" i="13" s="1" a="1"/>
  <c r="E932" i="13" s="1"/>
  <c r="E931" i="13" a="1"/>
  <c r="E931" i="13" s="1"/>
  <c r="F926" i="13" a="1"/>
  <c r="F926" i="13" s="1"/>
  <c r="F953" i="13" s="1"/>
  <c r="F395" i="12"/>
  <c r="F390" i="12"/>
  <c r="K756" i="13" a="1"/>
  <c r="K756" i="13" s="1"/>
  <c r="K783" i="13" s="1"/>
  <c r="K325" i="12"/>
  <c r="K320" i="12"/>
  <c r="F386" i="12" a="1"/>
  <c r="F386" i="12" s="1"/>
  <c r="F927" i="13" s="1" a="1"/>
  <c r="F927" i="13" s="1"/>
  <c r="BQ38" i="9" s="1" a="1"/>
  <c r="BQ38" i="9" s="1"/>
  <c r="J761" i="13" a="1"/>
  <c r="J761" i="13" s="1"/>
  <c r="J322" i="12"/>
  <c r="J324" i="12" s="1"/>
  <c r="J762" i="13" s="1" a="1"/>
  <c r="J762" i="13" s="1"/>
  <c r="O620" i="13" a="1"/>
  <c r="O620" i="13" s="1"/>
  <c r="O647" i="13" s="1"/>
  <c r="O269" i="12"/>
  <c r="O264" i="12"/>
  <c r="F897" i="13" a="1"/>
  <c r="F897" i="13" s="1"/>
  <c r="F378" i="12"/>
  <c r="F380" i="12" s="1"/>
  <c r="F898" i="13" s="1" a="1"/>
  <c r="F898" i="13" s="1"/>
  <c r="H337" i="12"/>
  <c r="G364" i="12"/>
  <c r="G366" i="12" s="1"/>
  <c r="G864" i="13" s="1" a="1"/>
  <c r="G864" i="13" s="1"/>
  <c r="G863" i="13" a="1"/>
  <c r="G863" i="13" s="1"/>
  <c r="G351" i="12"/>
  <c r="E379" i="12"/>
  <c r="K727" i="13" a="1"/>
  <c r="K727" i="13" s="1"/>
  <c r="K308" i="12"/>
  <c r="K310" i="12" s="1"/>
  <c r="K728" i="13" s="1" a="1"/>
  <c r="K728" i="13" s="1"/>
  <c r="N274" i="12" a="1"/>
  <c r="N274" i="12" s="1"/>
  <c r="N655" i="13" s="1" a="1"/>
  <c r="N655" i="13" s="1"/>
  <c r="HM30" i="9" s="1" a="1"/>
  <c r="HM30" i="9" s="1"/>
  <c r="G341" i="12"/>
  <c r="G794" i="13" a="1"/>
  <c r="G794" i="13" s="1"/>
  <c r="G384" i="12" a="1"/>
  <c r="G384" i="12" s="1"/>
  <c r="BU38" i="9" a="1"/>
  <c r="BU38" i="9" s="1"/>
  <c r="K285" i="12"/>
  <c r="K658" i="13" a="1"/>
  <c r="K658" i="13" s="1"/>
  <c r="E960" i="13" a="1"/>
  <c r="E960" i="13" s="1"/>
  <c r="E987" i="13" s="1"/>
  <c r="E409" i="12"/>
  <c r="E404" i="12"/>
  <c r="N654" i="13" a="1"/>
  <c r="N654" i="13" s="1"/>
  <c r="N681" i="13" s="1"/>
  <c r="N283" i="12"/>
  <c r="N278" i="12"/>
  <c r="D414" i="12" a="1"/>
  <c r="D414" i="12" s="1"/>
  <c r="D995" i="13" s="1" a="1"/>
  <c r="D995" i="13" s="1"/>
  <c r="AE40" i="9" s="1" a="1"/>
  <c r="AE40" i="9" s="1"/>
  <c r="IB37" i="9" a="1"/>
  <c r="IB37" i="9" s="1"/>
  <c r="IC37" i="9" s="1"/>
  <c r="E412" i="12" a="1"/>
  <c r="E412" i="12" s="1"/>
  <c r="AI40" i="9" a="1"/>
  <c r="AI40" i="9" s="1"/>
  <c r="GE32" i="9" a="1"/>
  <c r="GE32" i="9" s="1"/>
  <c r="M300" i="12" a="1"/>
  <c r="M300" i="12" s="1"/>
  <c r="K316" i="12" a="1"/>
  <c r="K316" i="12" s="1"/>
  <c r="K757" i="13" s="1" a="1"/>
  <c r="K757" i="13" s="1"/>
  <c r="FH33" i="9" s="1" a="1"/>
  <c r="FH33" i="9" s="1"/>
  <c r="I344" i="12" a="1"/>
  <c r="I344" i="12" s="1"/>
  <c r="I825" i="13" s="1" a="1"/>
  <c r="I825" i="13" s="1"/>
  <c r="DV35" i="9" s="1" a="1"/>
  <c r="DV35" i="9" s="1"/>
  <c r="O591" i="13" a="1"/>
  <c r="O591" i="13" s="1"/>
  <c r="O252" i="12"/>
  <c r="O254" i="12" s="1"/>
  <c r="O592" i="13" s="1" a="1"/>
  <c r="O592" i="13" s="1"/>
  <c r="F355" i="12"/>
  <c r="F828" i="13" a="1"/>
  <c r="F828" i="13" s="1"/>
  <c r="K295" i="12"/>
  <c r="I824" i="13" a="1"/>
  <c r="I824" i="13" s="1"/>
  <c r="I851" i="13" s="1"/>
  <c r="I353" i="12"/>
  <c r="I348" i="12"/>
  <c r="J330" i="12" a="1"/>
  <c r="J330" i="12" s="1"/>
  <c r="J791" i="13" s="1" a="1"/>
  <c r="J791" i="13" s="1"/>
  <c r="EO34" i="9" s="1" a="1"/>
  <c r="EO34" i="9" s="1"/>
  <c r="J790" i="13" a="1"/>
  <c r="J790" i="13" s="1"/>
  <c r="J817" i="13" s="1"/>
  <c r="J334" i="12"/>
  <c r="J339" i="12"/>
  <c r="L302" i="12" a="1"/>
  <c r="L302" i="12" s="1"/>
  <c r="L723" i="13" s="1" a="1"/>
  <c r="L723" i="13" s="1"/>
  <c r="GA32" i="9" s="1" a="1"/>
  <c r="GA32" i="9" s="1"/>
  <c r="L314" i="12" a="1"/>
  <c r="L314" i="12" s="1"/>
  <c r="FL33" i="9" a="1"/>
  <c r="FL33" i="9" s="1"/>
  <c r="DZ35" i="9" a="1"/>
  <c r="DZ35" i="9" s="1"/>
  <c r="J342" i="12" a="1"/>
  <c r="J342" i="12" s="1"/>
  <c r="H358" i="12" a="1"/>
  <c r="H358" i="12" s="1"/>
  <c r="H859" i="13" s="1" a="1"/>
  <c r="H859" i="13" s="1"/>
  <c r="DC36" i="9" s="1" a="1"/>
  <c r="DC36" i="9" s="1"/>
  <c r="L624" i="13" a="1"/>
  <c r="L624" i="13" s="1"/>
  <c r="L271" i="12"/>
  <c r="I795" i="13" a="1"/>
  <c r="I795" i="13" s="1"/>
  <c r="I336" i="12"/>
  <c r="I338" i="12" s="1"/>
  <c r="I796" i="13" s="1" a="1"/>
  <c r="I796" i="13" s="1"/>
  <c r="M659" i="13" a="1"/>
  <c r="M659" i="13" s="1"/>
  <c r="M280" i="12"/>
  <c r="M282" i="12" s="1"/>
  <c r="M660" i="13" s="1" a="1"/>
  <c r="M660" i="13" s="1"/>
  <c r="O260" i="12" a="1"/>
  <c r="O260" i="12" s="1"/>
  <c r="O621" i="13" s="1" a="1"/>
  <c r="O621" i="13" s="1"/>
  <c r="IF29" i="9" s="1" a="1"/>
  <c r="IF29" i="9" s="1"/>
  <c r="G372" i="12" a="1"/>
  <c r="G372" i="12" s="1"/>
  <c r="G893" i="13" s="1" a="1"/>
  <c r="G893" i="13" s="1"/>
  <c r="CJ37" i="9" s="1" a="1"/>
  <c r="CJ37" i="9" s="1"/>
  <c r="I356" i="12" a="1"/>
  <c r="I356" i="12" s="1"/>
  <c r="DG36" i="9" a="1"/>
  <c r="DG36" i="9" s="1"/>
  <c r="O239" i="12"/>
  <c r="M688" i="13" a="1"/>
  <c r="M688" i="13" s="1"/>
  <c r="M715" i="13" s="1"/>
  <c r="M292" i="12"/>
  <c r="M297" i="12"/>
  <c r="M590" i="13" a="1"/>
  <c r="M590" i="13" s="1"/>
  <c r="M257" i="12"/>
  <c r="L294" i="12"/>
  <c r="L296" i="12" s="1"/>
  <c r="L694" i="13" s="1" a="1"/>
  <c r="L694" i="13" s="1"/>
  <c r="L693" i="13" a="1"/>
  <c r="L693" i="13" s="1"/>
  <c r="F365" i="12"/>
  <c r="L311" i="12"/>
  <c r="L722" i="13" a="1"/>
  <c r="L722" i="13" s="1"/>
  <c r="L749" i="13" s="1"/>
  <c r="L306" i="12"/>
  <c r="E862" i="13" a="1"/>
  <c r="E862" i="13" s="1"/>
  <c r="E369" i="12"/>
  <c r="CN37" i="9" a="1"/>
  <c r="CN37" i="9" s="1"/>
  <c r="H370" i="12" a="1"/>
  <c r="H370" i="12" s="1"/>
  <c r="M288" i="12" a="1"/>
  <c r="M288" i="12" s="1"/>
  <c r="M689" i="13" s="1" a="1"/>
  <c r="M689" i="13" s="1"/>
  <c r="GT31" i="9" s="1" a="1"/>
  <c r="GT31" i="9" s="1"/>
  <c r="E400" i="12" a="1"/>
  <c r="E400" i="12" s="1"/>
  <c r="E961" i="13" s="1" a="1"/>
  <c r="E961" i="13" s="1"/>
  <c r="AX39" i="9" s="1" a="1"/>
  <c r="AX39" i="9" s="1"/>
  <c r="I323" i="12"/>
  <c r="N625" i="13" a="1"/>
  <c r="N625" i="13" s="1"/>
  <c r="N266" i="12"/>
  <c r="N268" i="12" s="1"/>
  <c r="N626" i="13" s="1" a="1"/>
  <c r="N626" i="13" s="1"/>
  <c r="CN35" i="9" a="1"/>
  <c r="CN35" i="9" s="1"/>
  <c r="B930" i="13"/>
  <c r="B931" i="13" s="1"/>
  <c r="B932" i="13" s="1"/>
  <c r="B933" i="13" s="1"/>
  <c r="B934" i="13"/>
  <c r="B935" i="13" s="1"/>
  <c r="B936" i="13" s="1"/>
  <c r="B937" i="13" s="1"/>
  <c r="B938" i="13" s="1"/>
  <c r="B939" i="13" s="1"/>
  <c r="B940" i="13" s="1"/>
  <c r="B941" i="13" s="1"/>
  <c r="B942" i="13" s="1"/>
  <c r="B943" i="13" s="1"/>
  <c r="B944" i="13" s="1"/>
  <c r="B945" i="13" s="1"/>
  <c r="B946" i="13" s="1"/>
  <c r="B991" i="13" a="1"/>
  <c r="B991" i="13" s="1"/>
  <c r="B992" i="13" s="1"/>
  <c r="B918" i="13"/>
  <c r="B913" i="13"/>
  <c r="B880" i="13"/>
  <c r="B881" i="13" s="1"/>
  <c r="B882" i="13" s="1"/>
  <c r="B883" i="13" s="1"/>
  <c r="B885" i="13"/>
  <c r="B886" i="13" s="1"/>
  <c r="B887" i="13" s="1"/>
  <c r="B888" i="13" s="1"/>
  <c r="B959" i="13"/>
  <c r="B960" i="13" s="1"/>
  <c r="B961" i="13" s="1"/>
  <c r="B962" i="13"/>
  <c r="B963" i="13" s="1"/>
  <c r="AA569" i="10"/>
  <c r="AA594" i="10"/>
  <c r="AA595" i="10" s="1"/>
  <c r="AA607" i="10"/>
  <c r="AA582" i="10"/>
  <c r="B412" i="12" a="1"/>
  <c r="B412" i="12" s="1"/>
  <c r="R472" i="12"/>
  <c r="R471" i="12"/>
  <c r="R459" i="12"/>
  <c r="R483" i="12"/>
  <c r="R484" i="12"/>
  <c r="R496" i="12"/>
  <c r="J726" i="13" l="1" a="1"/>
  <c r="J726" i="13" s="1"/>
  <c r="N471" i="12" a="1"/>
  <c r="N471" i="12" s="1"/>
  <c r="N1133" i="13" s="1" a="1"/>
  <c r="N1133" i="13" s="1"/>
  <c r="F471" i="12" a="1"/>
  <c r="F471" i="12" s="1"/>
  <c r="F1133" i="13" s="1" a="1"/>
  <c r="F1133" i="13" s="1"/>
  <c r="M471" i="12" a="1"/>
  <c r="M471" i="12" s="1"/>
  <c r="M1133" i="13" s="1" a="1"/>
  <c r="M1133" i="13" s="1"/>
  <c r="E471" i="12" a="1"/>
  <c r="E471" i="12" s="1"/>
  <c r="E1133" i="13" s="1" a="1"/>
  <c r="E1133" i="13" s="1"/>
  <c r="L471" i="12" a="1"/>
  <c r="L471" i="12" s="1"/>
  <c r="L1133" i="13" s="1" a="1"/>
  <c r="L1133" i="13" s="1"/>
  <c r="D471" i="12" a="1"/>
  <c r="D471" i="12" s="1"/>
  <c r="D1133" i="13" s="1" a="1"/>
  <c r="D1133" i="13" s="1"/>
  <c r="K471" i="12" a="1"/>
  <c r="K471" i="12" s="1"/>
  <c r="K1133" i="13" s="1" a="1"/>
  <c r="K1133" i="13" s="1"/>
  <c r="J471" i="12" a="1"/>
  <c r="J471" i="12" s="1"/>
  <c r="J1133" i="13" s="1" a="1"/>
  <c r="J1133" i="13" s="1"/>
  <c r="I471" i="12" a="1"/>
  <c r="I471" i="12" s="1"/>
  <c r="I1133" i="13" s="1" a="1"/>
  <c r="I1133" i="13" s="1"/>
  <c r="H471" i="12" a="1"/>
  <c r="H471" i="12" s="1"/>
  <c r="H1133" i="13" s="1" a="1"/>
  <c r="H1133" i="13" s="1"/>
  <c r="G471" i="12" a="1"/>
  <c r="G471" i="12" s="1"/>
  <c r="G1133" i="13" s="1" a="1"/>
  <c r="G1133" i="13" s="1"/>
  <c r="O471" i="12" a="1"/>
  <c r="O471" i="12" s="1"/>
  <c r="O1133" i="13" s="1" a="1"/>
  <c r="O1133" i="13" s="1"/>
  <c r="N1132" i="13" a="1"/>
  <c r="N1132" i="13" s="1"/>
  <c r="N1159" i="13" s="1"/>
  <c r="N475" i="12"/>
  <c r="N1137" i="13" s="1" a="1"/>
  <c r="N1137" i="13" s="1"/>
  <c r="N480" i="12"/>
  <c r="K1132" i="13" a="1"/>
  <c r="K1132" i="13" s="1"/>
  <c r="K1159" i="13" s="1"/>
  <c r="K480" i="12"/>
  <c r="K475" i="12"/>
  <c r="K1137" i="13" s="1" a="1"/>
  <c r="K1137" i="13" s="1"/>
  <c r="O1132" i="13" a="1"/>
  <c r="O1132" i="13" s="1"/>
  <c r="O1159" i="13" s="1"/>
  <c r="O480" i="12"/>
  <c r="O475" i="12"/>
  <c r="O1137" i="13" s="1" a="1"/>
  <c r="O1137" i="13" s="1"/>
  <c r="D1132" i="13" a="1"/>
  <c r="D1132" i="13" s="1"/>
  <c r="D1159" i="13" s="1"/>
  <c r="D475" i="12"/>
  <c r="D1137" i="13" s="1" a="1"/>
  <c r="D1137" i="13" s="1"/>
  <c r="D480" i="12"/>
  <c r="H1132" i="13" a="1"/>
  <c r="H1132" i="13" s="1"/>
  <c r="H1159" i="13" s="1"/>
  <c r="H475" i="12"/>
  <c r="H1137" i="13" s="1" a="1"/>
  <c r="H1137" i="13" s="1"/>
  <c r="H480" i="12"/>
  <c r="L1132" i="13" a="1"/>
  <c r="L1132" i="13" s="1"/>
  <c r="L1159" i="13" s="1"/>
  <c r="L475" i="12"/>
  <c r="L1137" i="13" s="1" a="1"/>
  <c r="L1137" i="13" s="1"/>
  <c r="L480" i="12"/>
  <c r="I1132" i="13" a="1"/>
  <c r="I1132" i="13" s="1"/>
  <c r="I1159" i="13" s="1"/>
  <c r="I480" i="12"/>
  <c r="I475" i="12"/>
  <c r="I1137" i="13" s="1" a="1"/>
  <c r="I1137" i="13" s="1"/>
  <c r="E1132" i="13" a="1"/>
  <c r="E1132" i="13" s="1"/>
  <c r="E1159" i="13" s="1"/>
  <c r="E475" i="12"/>
  <c r="E1137" i="13" s="1" a="1"/>
  <c r="E1137" i="13" s="1"/>
  <c r="E480" i="12"/>
  <c r="J1132" i="13" a="1"/>
  <c r="J1132" i="13" s="1"/>
  <c r="J1159" i="13" s="1"/>
  <c r="J480" i="12"/>
  <c r="J475" i="12"/>
  <c r="J1137" i="13" s="1" a="1"/>
  <c r="J1137" i="13" s="1"/>
  <c r="J472" i="12" a="1"/>
  <c r="J472" i="12" s="1"/>
  <c r="I472" i="12" a="1"/>
  <c r="I472" i="12" s="1"/>
  <c r="H472" i="12" a="1"/>
  <c r="H472" i="12" s="1"/>
  <c r="O472" i="12" a="1"/>
  <c r="O472" i="12" s="1"/>
  <c r="G472" i="12" a="1"/>
  <c r="G472" i="12" s="1"/>
  <c r="N472" i="12" a="1"/>
  <c r="N472" i="12" s="1"/>
  <c r="F472" i="12" a="1"/>
  <c r="F472" i="12" s="1"/>
  <c r="M472" i="12" a="1"/>
  <c r="M472" i="12" s="1"/>
  <c r="E472" i="12" a="1"/>
  <c r="E472" i="12" s="1"/>
  <c r="L472" i="12" a="1"/>
  <c r="L472" i="12" s="1"/>
  <c r="D472" i="12" a="1"/>
  <c r="D472" i="12" s="1"/>
  <c r="K472" i="12" a="1"/>
  <c r="K472" i="12" s="1"/>
  <c r="J483" i="12" a="1"/>
  <c r="J483" i="12" s="1"/>
  <c r="I483" i="12" a="1"/>
  <c r="I483" i="12" s="1"/>
  <c r="H483" i="12" a="1"/>
  <c r="H483" i="12" s="1"/>
  <c r="O483" i="12" a="1"/>
  <c r="O483" i="12" s="1"/>
  <c r="G483" i="12" a="1"/>
  <c r="G483" i="12" s="1"/>
  <c r="N483" i="12" a="1"/>
  <c r="N483" i="12" s="1"/>
  <c r="F483" i="12" a="1"/>
  <c r="F483" i="12" s="1"/>
  <c r="M483" i="12" a="1"/>
  <c r="M483" i="12" s="1"/>
  <c r="E483" i="12" a="1"/>
  <c r="E483" i="12" s="1"/>
  <c r="L483" i="12" a="1"/>
  <c r="L483" i="12" s="1"/>
  <c r="D483" i="12" a="1"/>
  <c r="D483" i="12" s="1"/>
  <c r="K483" i="12" a="1"/>
  <c r="K483" i="12" s="1"/>
  <c r="M1132" i="13" a="1"/>
  <c r="M1132" i="13" s="1"/>
  <c r="M1159" i="13" s="1"/>
  <c r="M480" i="12"/>
  <c r="M475" i="12"/>
  <c r="M1137" i="13" s="1" a="1"/>
  <c r="M1137" i="13" s="1"/>
  <c r="G1132" i="13" a="1"/>
  <c r="G1132" i="13" s="1"/>
  <c r="G1159" i="13" s="1"/>
  <c r="G475" i="12"/>
  <c r="G1137" i="13" s="1" a="1"/>
  <c r="G1137" i="13" s="1"/>
  <c r="G480" i="12"/>
  <c r="N459" i="12" a="1"/>
  <c r="N459" i="12" s="1"/>
  <c r="F459" i="12" a="1"/>
  <c r="F459" i="12" s="1"/>
  <c r="M459" i="12" a="1"/>
  <c r="M459" i="12" s="1"/>
  <c r="E459" i="12" a="1"/>
  <c r="E459" i="12" s="1"/>
  <c r="L459" i="12" a="1"/>
  <c r="L459" i="12" s="1"/>
  <c r="D459" i="12" a="1"/>
  <c r="D459" i="12" s="1"/>
  <c r="K459" i="12" a="1"/>
  <c r="K459" i="12" s="1"/>
  <c r="J459" i="12" a="1"/>
  <c r="J459" i="12" s="1"/>
  <c r="I459" i="12" a="1"/>
  <c r="I459" i="12" s="1"/>
  <c r="H459" i="12" a="1"/>
  <c r="H459" i="12" s="1"/>
  <c r="O459" i="12" a="1"/>
  <c r="O459" i="12" s="1"/>
  <c r="G459" i="12" a="1"/>
  <c r="G459" i="12" s="1"/>
  <c r="F1132" i="13" a="1"/>
  <c r="F1132" i="13" s="1"/>
  <c r="F1159" i="13" s="1"/>
  <c r="F475" i="12"/>
  <c r="F1137" i="13" s="1" a="1"/>
  <c r="F1137" i="13" s="1"/>
  <c r="F480" i="12"/>
  <c r="N590" i="13" a="1"/>
  <c r="N590" i="13" s="1"/>
  <c r="D761" i="13" a="1"/>
  <c r="D761" i="13" s="1"/>
  <c r="D322" i="12"/>
  <c r="D324" i="12" s="1"/>
  <c r="D762" i="13" s="1" a="1"/>
  <c r="D762" i="13" s="1"/>
  <c r="G267" i="12"/>
  <c r="GP33" i="9" a="1"/>
  <c r="GP33" i="9" s="1"/>
  <c r="GQ33" i="9" s="1"/>
  <c r="D334" i="12"/>
  <c r="D790" i="13" a="1"/>
  <c r="D790" i="13" s="1"/>
  <c r="D817" i="13" s="1"/>
  <c r="D339" i="12"/>
  <c r="FW34" i="9" a="1"/>
  <c r="FW34" i="9" s="1"/>
  <c r="FX34" i="9" s="1"/>
  <c r="HI32" i="9" a="1"/>
  <c r="HI32" i="9" s="1"/>
  <c r="HJ32" i="9" s="1"/>
  <c r="D342" i="12" a="1"/>
  <c r="D342" i="12" s="1"/>
  <c r="D309" i="12"/>
  <c r="H286" i="12" a="1"/>
  <c r="H286" i="12" s="1"/>
  <c r="FW35" i="9" a="1"/>
  <c r="FW35" i="9" s="1"/>
  <c r="FX35" i="9" s="1"/>
  <c r="IB31" i="9" a="1"/>
  <c r="IB31" i="9" s="1"/>
  <c r="IC31" i="9" s="1"/>
  <c r="G300" i="12" a="1"/>
  <c r="G300" i="12" s="1"/>
  <c r="D299" i="12"/>
  <c r="D692" i="13" a="1"/>
  <c r="D692" i="13" s="1"/>
  <c r="G280" i="12"/>
  <c r="G282" i="12" s="1"/>
  <c r="G660" i="13" s="1" a="1"/>
  <c r="G660" i="13" s="1"/>
  <c r="G659" i="13" a="1"/>
  <c r="G659" i="13" s="1"/>
  <c r="L285" i="12"/>
  <c r="M271" i="12"/>
  <c r="F379" i="12"/>
  <c r="F383" i="12" s="1"/>
  <c r="M281" i="12"/>
  <c r="M658" i="13" s="1" a="1"/>
  <c r="M658" i="13" s="1"/>
  <c r="N267" i="12"/>
  <c r="N271" i="12" s="1"/>
  <c r="D428" i="12" a="1"/>
  <c r="D428" i="12" s="1"/>
  <c r="D1029" i="13" s="1" a="1"/>
  <c r="D1029" i="13" s="1"/>
  <c r="AE41" i="9" s="1" a="1"/>
  <c r="AE41" i="9" s="1"/>
  <c r="F400" i="12" a="1"/>
  <c r="F400" i="12" s="1"/>
  <c r="F961" i="13" s="1" a="1"/>
  <c r="F961" i="13" s="1"/>
  <c r="BQ39" i="9" s="1" a="1"/>
  <c r="BQ39" i="9" s="1"/>
  <c r="DG37" i="9" a="1"/>
  <c r="DG37" i="9" s="1"/>
  <c r="I370" i="12" a="1"/>
  <c r="I370" i="12" s="1"/>
  <c r="L316" i="12" a="1"/>
  <c r="L316" i="12" s="1"/>
  <c r="L757" i="13" s="1" a="1"/>
  <c r="L757" i="13" s="1"/>
  <c r="GA33" i="9" s="1" a="1"/>
  <c r="GA33" i="9" s="1"/>
  <c r="AI41" i="9" a="1"/>
  <c r="AI41" i="9" s="1"/>
  <c r="E426" i="12" a="1"/>
  <c r="E426" i="12" s="1"/>
  <c r="K342" i="12" a="1"/>
  <c r="K342" i="12" s="1"/>
  <c r="ES35" i="9" a="1"/>
  <c r="ES35" i="9" s="1"/>
  <c r="A1059" i="13" a="1"/>
  <c r="A1059" i="13" s="1"/>
  <c r="C52" i="28" a="1"/>
  <c r="C52" i="28" s="1"/>
  <c r="A440" i="12" a="1"/>
  <c r="A440" i="12" s="1"/>
  <c r="I367" i="12"/>
  <c r="I362" i="12"/>
  <c r="I858" i="13" a="1"/>
  <c r="I858" i="13" s="1"/>
  <c r="I885" i="13" s="1"/>
  <c r="O253" i="12"/>
  <c r="H794" i="13" a="1"/>
  <c r="H794" i="13" s="1"/>
  <c r="H341" i="12"/>
  <c r="BB40" i="9" a="1"/>
  <c r="BB40" i="9" s="1"/>
  <c r="F412" i="12" a="1"/>
  <c r="F412" i="12" s="1"/>
  <c r="E414" i="12" a="1"/>
  <c r="E414" i="12" s="1"/>
  <c r="E995" i="13" s="1" a="1"/>
  <c r="E995" i="13" s="1"/>
  <c r="AX40" i="9" s="1" a="1"/>
  <c r="AX40" i="9" s="1"/>
  <c r="K330" i="12" a="1"/>
  <c r="K330" i="12" s="1"/>
  <c r="K791" i="13" s="1" a="1"/>
  <c r="K791" i="13" s="1"/>
  <c r="FH34" i="9" s="1" a="1"/>
  <c r="FH34" i="9" s="1"/>
  <c r="M302" i="12" a="1"/>
  <c r="M302" i="12" s="1"/>
  <c r="M723" i="13" s="1" a="1"/>
  <c r="M723" i="13" s="1"/>
  <c r="GT32" i="9" s="1" a="1"/>
  <c r="GT32" i="9" s="1"/>
  <c r="L308" i="12"/>
  <c r="L310" i="12" s="1"/>
  <c r="L728" i="13" s="1" a="1"/>
  <c r="L728" i="13" s="1"/>
  <c r="L727" i="13" a="1"/>
  <c r="L727" i="13" s="1"/>
  <c r="L325" i="12"/>
  <c r="L756" i="13" a="1"/>
  <c r="L756" i="13" s="1"/>
  <c r="L783" i="13" s="1"/>
  <c r="L320" i="12"/>
  <c r="I350" i="12"/>
  <c r="I352" i="12" s="1"/>
  <c r="I830" i="13" s="1" a="1"/>
  <c r="I830" i="13" s="1"/>
  <c r="I829" i="13" a="1"/>
  <c r="I829" i="13" s="1"/>
  <c r="E994" i="13" a="1"/>
  <c r="E994" i="13" s="1"/>
  <c r="E1021" i="13" s="1"/>
  <c r="E418" i="12"/>
  <c r="E423" i="12"/>
  <c r="G390" i="12"/>
  <c r="G395" i="12"/>
  <c r="G926" i="13" a="1"/>
  <c r="G926" i="13" s="1"/>
  <c r="G953" i="13" s="1"/>
  <c r="E383" i="12"/>
  <c r="E896" i="13" a="1"/>
  <c r="E896" i="13" s="1"/>
  <c r="E393" i="12"/>
  <c r="H376" i="12"/>
  <c r="H892" i="13" a="1"/>
  <c r="H892" i="13" s="1"/>
  <c r="H919" i="13" s="1"/>
  <c r="H381" i="12"/>
  <c r="G386" i="12" a="1"/>
  <c r="G386" i="12" s="1"/>
  <c r="G927" i="13" s="1" a="1"/>
  <c r="G927" i="13" s="1"/>
  <c r="CJ38" i="9" s="1" a="1"/>
  <c r="CJ38" i="9" s="1"/>
  <c r="L328" i="12" a="1"/>
  <c r="L328" i="12" s="1"/>
  <c r="FL34" i="9" a="1"/>
  <c r="FL34" i="9" s="1"/>
  <c r="GX32" i="9" a="1"/>
  <c r="GX32" i="9" s="1"/>
  <c r="N300" i="12" a="1"/>
  <c r="N300" i="12" s="1"/>
  <c r="O286" i="12" a="1"/>
  <c r="O286" i="12" s="1"/>
  <c r="HQ31" i="9" a="1"/>
  <c r="HQ31" i="9" s="1"/>
  <c r="M294" i="12"/>
  <c r="M296" i="12" s="1"/>
  <c r="M694" i="13" s="1" a="1"/>
  <c r="M694" i="13" s="1"/>
  <c r="M693" i="13" a="1"/>
  <c r="M693" i="13" s="1"/>
  <c r="E406" i="12"/>
  <c r="E408" i="12" s="1"/>
  <c r="E966" i="13" s="1" a="1"/>
  <c r="E966" i="13" s="1"/>
  <c r="E965" i="13" a="1"/>
  <c r="E965" i="13" s="1"/>
  <c r="G828" i="13" a="1"/>
  <c r="G828" i="13" s="1"/>
  <c r="G355" i="12"/>
  <c r="O625" i="13" a="1"/>
  <c r="O625" i="13" s="1"/>
  <c r="O266" i="12"/>
  <c r="O268" i="12" s="1"/>
  <c r="O626" i="13" s="1" a="1"/>
  <c r="O626" i="13" s="1"/>
  <c r="O274" i="12" a="1"/>
  <c r="O274" i="12" s="1"/>
  <c r="O655" i="13" s="1" a="1"/>
  <c r="O655" i="13" s="1"/>
  <c r="IF30" i="9" s="1" a="1"/>
  <c r="IF30" i="9" s="1"/>
  <c r="D50" i="24" a="1"/>
  <c r="D50" i="24" s="1"/>
  <c r="N288" i="12" a="1"/>
  <c r="N288" i="12" s="1"/>
  <c r="N689" i="13" s="1" a="1"/>
  <c r="N689" i="13" s="1"/>
  <c r="HM31" i="9" s="1" a="1"/>
  <c r="HM31" i="9" s="1"/>
  <c r="IB38" i="9" a="1"/>
  <c r="IB38" i="9" s="1"/>
  <c r="IC38" i="9" s="1"/>
  <c r="F862" i="13" a="1"/>
  <c r="F862" i="13" s="1"/>
  <c r="F369" i="12"/>
  <c r="K692" i="13" a="1"/>
  <c r="K692" i="13" s="1"/>
  <c r="K299" i="12"/>
  <c r="G365" i="12"/>
  <c r="F960" i="13" a="1"/>
  <c r="F960" i="13" s="1"/>
  <c r="F987" i="13" s="1"/>
  <c r="F409" i="12"/>
  <c r="F404" i="12"/>
  <c r="K790" i="13" a="1"/>
  <c r="K790" i="13" s="1"/>
  <c r="K817" i="13" s="1"/>
  <c r="K334" i="12"/>
  <c r="K339" i="12"/>
  <c r="N659" i="13" a="1"/>
  <c r="N659" i="13" s="1"/>
  <c r="N280" i="12"/>
  <c r="N282" i="12" s="1"/>
  <c r="N660" i="13" s="1" a="1"/>
  <c r="N660" i="13" s="1"/>
  <c r="DZ36" i="9" a="1"/>
  <c r="DZ36" i="9" s="1"/>
  <c r="J356" i="12" a="1"/>
  <c r="J356" i="12" s="1"/>
  <c r="I327" i="12"/>
  <c r="I760" i="13" a="1"/>
  <c r="I760" i="13" s="1"/>
  <c r="L295" i="12"/>
  <c r="O556" i="13" a="1"/>
  <c r="O556" i="13" s="1"/>
  <c r="O243" i="12"/>
  <c r="J795" i="13" a="1"/>
  <c r="J795" i="13" s="1"/>
  <c r="J336" i="12"/>
  <c r="J338" i="12" s="1"/>
  <c r="J796" i="13" s="1" a="1"/>
  <c r="J796" i="13" s="1"/>
  <c r="O283" i="12"/>
  <c r="O654" i="13" a="1"/>
  <c r="O654" i="13" s="1"/>
  <c r="O681" i="13" s="1"/>
  <c r="O278" i="12"/>
  <c r="H372" i="12" a="1"/>
  <c r="H372" i="12" s="1"/>
  <c r="H893" i="13" s="1" a="1"/>
  <c r="H893" i="13" s="1"/>
  <c r="DC37" i="9" s="1" a="1"/>
  <c r="DC37" i="9" s="1"/>
  <c r="M314" i="12" a="1"/>
  <c r="M314" i="12" s="1"/>
  <c r="GE33" i="9" a="1"/>
  <c r="GE33" i="9" s="1"/>
  <c r="I358" i="12" a="1"/>
  <c r="I358" i="12" s="1"/>
  <c r="I859" i="13" s="1" a="1"/>
  <c r="I859" i="13" s="1"/>
  <c r="DV36" i="9" s="1" a="1"/>
  <c r="DV36" i="9" s="1"/>
  <c r="J344" i="12" a="1"/>
  <c r="J344" i="12" s="1"/>
  <c r="J825" i="13" s="1" a="1"/>
  <c r="J825" i="13" s="1"/>
  <c r="EO35" i="9" s="1" a="1"/>
  <c r="EO35" i="9" s="1"/>
  <c r="I337" i="12"/>
  <c r="J824" i="13" a="1"/>
  <c r="J824" i="13" s="1"/>
  <c r="J851" i="13" s="1"/>
  <c r="J353" i="12"/>
  <c r="J348" i="12"/>
  <c r="M722" i="13" a="1"/>
  <c r="M722" i="13" s="1"/>
  <c r="M749" i="13" s="1"/>
  <c r="M311" i="12"/>
  <c r="M306" i="12"/>
  <c r="K309" i="12"/>
  <c r="J323" i="12"/>
  <c r="K322" i="12"/>
  <c r="K324" i="12" s="1"/>
  <c r="K762" i="13" s="1" a="1"/>
  <c r="K762" i="13" s="1"/>
  <c r="K761" i="13" a="1"/>
  <c r="K761" i="13" s="1"/>
  <c r="F392" i="12"/>
  <c r="F394" i="12" s="1"/>
  <c r="F932" i="13" s="1" a="1"/>
  <c r="F932" i="13" s="1"/>
  <c r="F931" i="13" a="1"/>
  <c r="F931" i="13" s="1"/>
  <c r="N297" i="12"/>
  <c r="N292" i="12"/>
  <c r="N688" i="13" a="1"/>
  <c r="N688" i="13" s="1"/>
  <c r="N715" i="13" s="1"/>
  <c r="CN36" i="9" a="1"/>
  <c r="CN36" i="9" s="1"/>
  <c r="BU37" i="9" a="1"/>
  <c r="BU37" i="9" s="1"/>
  <c r="B996" i="13"/>
  <c r="B997" i="13" s="1"/>
  <c r="B993" i="13"/>
  <c r="B994" i="13" s="1"/>
  <c r="B995" i="13" s="1"/>
  <c r="B964" i="13"/>
  <c r="B965" i="13" s="1"/>
  <c r="B966" i="13" s="1"/>
  <c r="B967" i="13" s="1"/>
  <c r="B968" i="13"/>
  <c r="B969" i="13" s="1"/>
  <c r="B970" i="13" s="1"/>
  <c r="B971" i="13" s="1"/>
  <c r="B972" i="13" s="1"/>
  <c r="B973" i="13" s="1"/>
  <c r="B974" i="13" s="1"/>
  <c r="B975" i="13" s="1"/>
  <c r="B976" i="13" s="1"/>
  <c r="B977" i="13" s="1"/>
  <c r="B978" i="13" s="1"/>
  <c r="B979" i="13" s="1"/>
  <c r="B980" i="13" s="1"/>
  <c r="B1025" i="13" a="1"/>
  <c r="B1025" i="13" s="1"/>
  <c r="B1026" i="13" s="1"/>
  <c r="B919" i="13"/>
  <c r="B920" i="13" s="1"/>
  <c r="B921" i="13" s="1"/>
  <c r="B922" i="13" s="1"/>
  <c r="B914" i="13"/>
  <c r="B915" i="13" s="1"/>
  <c r="B916" i="13" s="1"/>
  <c r="B917" i="13" s="1"/>
  <c r="B952" i="13"/>
  <c r="B947" i="13"/>
  <c r="AA621" i="10"/>
  <c r="AA608" i="10"/>
  <c r="AA609" i="10" s="1"/>
  <c r="AA596" i="10"/>
  <c r="AA583" i="10"/>
  <c r="B426" i="12" a="1"/>
  <c r="B426" i="12" s="1"/>
  <c r="R486" i="12"/>
  <c r="R485" i="12"/>
  <c r="R498" i="12"/>
  <c r="R510" i="12"/>
  <c r="R497" i="12"/>
  <c r="R473" i="12"/>
  <c r="F896" i="13" l="1" a="1"/>
  <c r="F896" i="13" s="1"/>
  <c r="O1166" i="13" a="1"/>
  <c r="O1166" i="13" s="1"/>
  <c r="O1193" i="13" s="1"/>
  <c r="O489" i="12"/>
  <c r="O1171" i="13" s="1" a="1"/>
  <c r="O1171" i="13" s="1"/>
  <c r="O494" i="12"/>
  <c r="N473" i="12" a="1"/>
  <c r="N473" i="12" s="1"/>
  <c r="F473" i="12" a="1"/>
  <c r="F473" i="12" s="1"/>
  <c r="M473" i="12" a="1"/>
  <c r="M473" i="12" s="1"/>
  <c r="E473" i="12" a="1"/>
  <c r="E473" i="12" s="1"/>
  <c r="L473" i="12" a="1"/>
  <c r="L473" i="12" s="1"/>
  <c r="D473" i="12" a="1"/>
  <c r="D473" i="12" s="1"/>
  <c r="K473" i="12" a="1"/>
  <c r="K473" i="12" s="1"/>
  <c r="J473" i="12" a="1"/>
  <c r="J473" i="12" s="1"/>
  <c r="I473" i="12" a="1"/>
  <c r="I473" i="12" s="1"/>
  <c r="H473" i="12" a="1"/>
  <c r="H473" i="12" s="1"/>
  <c r="O473" i="12" a="1"/>
  <c r="O473" i="12" s="1"/>
  <c r="G473" i="12" a="1"/>
  <c r="G473" i="12" s="1"/>
  <c r="G1166" i="13" a="1"/>
  <c r="G1166" i="13" s="1"/>
  <c r="G1193" i="13" s="1"/>
  <c r="G489" i="12"/>
  <c r="G1171" i="13" s="1" a="1"/>
  <c r="G1171" i="13" s="1"/>
  <c r="G494" i="12"/>
  <c r="D1166" i="13" a="1"/>
  <c r="D1166" i="13" s="1"/>
  <c r="D1193" i="13" s="1"/>
  <c r="D489" i="12"/>
  <c r="D1171" i="13" s="1" a="1"/>
  <c r="D1171" i="13" s="1"/>
  <c r="D494" i="12"/>
  <c r="H1166" i="13" a="1"/>
  <c r="H1166" i="13" s="1"/>
  <c r="H1193" i="13" s="1"/>
  <c r="H494" i="12"/>
  <c r="H489" i="12"/>
  <c r="H1171" i="13" s="1" a="1"/>
  <c r="H1171" i="13" s="1"/>
  <c r="K1166" i="13" a="1"/>
  <c r="K1166" i="13" s="1"/>
  <c r="K1193" i="13" s="1"/>
  <c r="K494" i="12"/>
  <c r="K489" i="12"/>
  <c r="K1171" i="13" s="1" a="1"/>
  <c r="K1171" i="13" s="1"/>
  <c r="L1166" i="13" a="1"/>
  <c r="L1166" i="13" s="1"/>
  <c r="L1193" i="13" s="1"/>
  <c r="L489" i="12"/>
  <c r="L1171" i="13" s="1" a="1"/>
  <c r="L1171" i="13" s="1"/>
  <c r="L494" i="12"/>
  <c r="I1166" i="13" a="1"/>
  <c r="I1166" i="13" s="1"/>
  <c r="I1193" i="13" s="1"/>
  <c r="I489" i="12"/>
  <c r="I1171" i="13" s="1" a="1"/>
  <c r="I1171" i="13" s="1"/>
  <c r="I494" i="12"/>
  <c r="J497" i="12" a="1"/>
  <c r="J497" i="12" s="1"/>
  <c r="I497" i="12" a="1"/>
  <c r="I497" i="12" s="1"/>
  <c r="H497" i="12" a="1"/>
  <c r="H497" i="12" s="1"/>
  <c r="O497" i="12" a="1"/>
  <c r="O497" i="12" s="1"/>
  <c r="G497" i="12" a="1"/>
  <c r="G497" i="12" s="1"/>
  <c r="N497" i="12" a="1"/>
  <c r="N497" i="12" s="1"/>
  <c r="F497" i="12" a="1"/>
  <c r="F497" i="12" s="1"/>
  <c r="M497" i="12" a="1"/>
  <c r="M497" i="12" s="1"/>
  <c r="E497" i="12" a="1"/>
  <c r="E497" i="12" s="1"/>
  <c r="L497" i="12" a="1"/>
  <c r="L497" i="12" s="1"/>
  <c r="D497" i="12" a="1"/>
  <c r="D497" i="12" s="1"/>
  <c r="K497" i="12" a="1"/>
  <c r="K497" i="12" s="1"/>
  <c r="N485" i="12" a="1"/>
  <c r="N485" i="12" s="1"/>
  <c r="N1167" i="13" s="1" a="1"/>
  <c r="N1167" i="13" s="1"/>
  <c r="F485" i="12" a="1"/>
  <c r="F485" i="12" s="1"/>
  <c r="F1167" i="13" s="1" a="1"/>
  <c r="F1167" i="13" s="1"/>
  <c r="M485" i="12" a="1"/>
  <c r="M485" i="12" s="1"/>
  <c r="M1167" i="13" s="1" a="1"/>
  <c r="M1167" i="13" s="1"/>
  <c r="E485" i="12" a="1"/>
  <c r="E485" i="12" s="1"/>
  <c r="E1167" i="13" s="1" a="1"/>
  <c r="E1167" i="13" s="1"/>
  <c r="L485" i="12" a="1"/>
  <c r="L485" i="12" s="1"/>
  <c r="L1167" i="13" s="1" a="1"/>
  <c r="L1167" i="13" s="1"/>
  <c r="D485" i="12" a="1"/>
  <c r="D485" i="12" s="1"/>
  <c r="D1167" i="13" s="1" a="1"/>
  <c r="D1167" i="13" s="1"/>
  <c r="K485" i="12" a="1"/>
  <c r="K485" i="12" s="1"/>
  <c r="K1167" i="13" s="1" a="1"/>
  <c r="K1167" i="13" s="1"/>
  <c r="J485" i="12" a="1"/>
  <c r="J485" i="12" s="1"/>
  <c r="J1167" i="13" s="1" a="1"/>
  <c r="J1167" i="13" s="1"/>
  <c r="I485" i="12" a="1"/>
  <c r="I485" i="12" s="1"/>
  <c r="I1167" i="13" s="1" a="1"/>
  <c r="I1167" i="13" s="1"/>
  <c r="H485" i="12" a="1"/>
  <c r="H485" i="12" s="1"/>
  <c r="H1167" i="13" s="1" a="1"/>
  <c r="H1167" i="13" s="1"/>
  <c r="O485" i="12" a="1"/>
  <c r="O485" i="12" s="1"/>
  <c r="O1167" i="13" s="1" a="1"/>
  <c r="O1167" i="13" s="1"/>
  <c r="G485" i="12" a="1"/>
  <c r="G485" i="12" s="1"/>
  <c r="G1167" i="13" s="1" a="1"/>
  <c r="G1167" i="13" s="1"/>
  <c r="E1166" i="13" a="1"/>
  <c r="E1166" i="13" s="1"/>
  <c r="E1193" i="13" s="1"/>
  <c r="E489" i="12"/>
  <c r="E1171" i="13" s="1" a="1"/>
  <c r="E1171" i="13" s="1"/>
  <c r="E494" i="12"/>
  <c r="J1166" i="13" a="1"/>
  <c r="J1166" i="13" s="1"/>
  <c r="J1193" i="13" s="1"/>
  <c r="J489" i="12"/>
  <c r="J1171" i="13" s="1" a="1"/>
  <c r="J1171" i="13" s="1"/>
  <c r="J494" i="12"/>
  <c r="M1166" i="13" a="1"/>
  <c r="M1166" i="13" s="1"/>
  <c r="M1193" i="13" s="1"/>
  <c r="M489" i="12"/>
  <c r="M1171" i="13" s="1" a="1"/>
  <c r="M1171" i="13" s="1"/>
  <c r="M494" i="12"/>
  <c r="F1166" i="13" a="1"/>
  <c r="F1166" i="13" s="1"/>
  <c r="F1193" i="13" s="1"/>
  <c r="F489" i="12"/>
  <c r="F1171" i="13" s="1" a="1"/>
  <c r="F1171" i="13" s="1"/>
  <c r="F494" i="12"/>
  <c r="J486" i="12" a="1"/>
  <c r="J486" i="12" s="1"/>
  <c r="I486" i="12" a="1"/>
  <c r="I486" i="12" s="1"/>
  <c r="H486" i="12" a="1"/>
  <c r="H486" i="12" s="1"/>
  <c r="O486" i="12" a="1"/>
  <c r="O486" i="12" s="1"/>
  <c r="G486" i="12" a="1"/>
  <c r="G486" i="12" s="1"/>
  <c r="N486" i="12" a="1"/>
  <c r="N486" i="12" s="1"/>
  <c r="F486" i="12" a="1"/>
  <c r="F486" i="12" s="1"/>
  <c r="M486" i="12" a="1"/>
  <c r="M486" i="12" s="1"/>
  <c r="E486" i="12" a="1"/>
  <c r="E486" i="12" s="1"/>
  <c r="L486" i="12" a="1"/>
  <c r="L486" i="12" s="1"/>
  <c r="D486" i="12" a="1"/>
  <c r="D486" i="12" s="1"/>
  <c r="K486" i="12" a="1"/>
  <c r="K486" i="12" s="1"/>
  <c r="N1166" i="13" a="1"/>
  <c r="N1166" i="13" s="1"/>
  <c r="N1193" i="13" s="1"/>
  <c r="N494" i="12"/>
  <c r="N489" i="12"/>
  <c r="N1171" i="13" s="1" a="1"/>
  <c r="N1171" i="13" s="1"/>
  <c r="D356" i="12" a="1"/>
  <c r="D356" i="12" s="1"/>
  <c r="D348" i="12"/>
  <c r="D353" i="12"/>
  <c r="D824" i="13" a="1"/>
  <c r="D824" i="13" s="1"/>
  <c r="D851" i="13" s="1"/>
  <c r="D795" i="13" a="1"/>
  <c r="D795" i="13" s="1"/>
  <c r="D336" i="12"/>
  <c r="D338" i="12" s="1"/>
  <c r="D796" i="13" s="1" a="1"/>
  <c r="D796" i="13" s="1"/>
  <c r="FW36" i="9" a="1"/>
  <c r="FW36" i="9" s="1"/>
  <c r="FX36" i="9" s="1"/>
  <c r="G311" i="12"/>
  <c r="G722" i="13" a="1"/>
  <c r="G722" i="13" s="1"/>
  <c r="G749" i="13" s="1"/>
  <c r="G306" i="12"/>
  <c r="G271" i="12"/>
  <c r="G624" i="13" a="1"/>
  <c r="G624" i="13" s="1"/>
  <c r="H292" i="12"/>
  <c r="H688" i="13" a="1"/>
  <c r="H688" i="13" s="1"/>
  <c r="H715" i="13" s="1"/>
  <c r="H297" i="12"/>
  <c r="HI33" i="9" a="1"/>
  <c r="HI33" i="9" s="1"/>
  <c r="HJ33" i="9" s="1"/>
  <c r="G314" i="12" a="1"/>
  <c r="G314" i="12" s="1"/>
  <c r="GP34" i="9" a="1"/>
  <c r="GP34" i="9" s="1"/>
  <c r="GQ34" i="9" s="1"/>
  <c r="D323" i="12"/>
  <c r="D726" i="13" a="1"/>
  <c r="D726" i="13" s="1"/>
  <c r="D313" i="12"/>
  <c r="G281" i="12"/>
  <c r="GP35" i="9" a="1"/>
  <c r="GP35" i="9" s="1"/>
  <c r="GQ35" i="9" s="1"/>
  <c r="M285" i="12"/>
  <c r="N624" i="13" a="1"/>
  <c r="N624" i="13" s="1"/>
  <c r="K323" i="12"/>
  <c r="K327" i="12" s="1"/>
  <c r="O267" i="12"/>
  <c r="O624" i="13" s="1" a="1"/>
  <c r="O624" i="13" s="1"/>
  <c r="J337" i="12"/>
  <c r="J794" i="13" s="1" a="1"/>
  <c r="J794" i="13" s="1"/>
  <c r="J350" i="12"/>
  <c r="J352" i="12" s="1"/>
  <c r="J830" i="13" s="1" a="1"/>
  <c r="J830" i="13" s="1"/>
  <c r="J829" i="13" a="1"/>
  <c r="J829" i="13" s="1"/>
  <c r="DZ37" i="9" a="1"/>
  <c r="DZ37" i="9" s="1"/>
  <c r="J370" i="12" a="1"/>
  <c r="J370" i="12" s="1"/>
  <c r="M316" i="12" a="1"/>
  <c r="M316" i="12" s="1"/>
  <c r="M757" i="13" s="1" a="1"/>
  <c r="M757" i="13" s="1"/>
  <c r="GT33" i="9" s="1" a="1"/>
  <c r="GT33" i="9" s="1"/>
  <c r="K356" i="12" a="1"/>
  <c r="K356" i="12" s="1"/>
  <c r="ES36" i="9" a="1"/>
  <c r="ES36" i="9" s="1"/>
  <c r="O280" i="12"/>
  <c r="O282" i="12" s="1"/>
  <c r="O660" i="13" s="1" a="1"/>
  <c r="O660" i="13" s="1"/>
  <c r="O659" i="13" a="1"/>
  <c r="O659" i="13" s="1"/>
  <c r="K336" i="12"/>
  <c r="K338" i="12" s="1"/>
  <c r="K796" i="13" s="1" a="1"/>
  <c r="K796" i="13" s="1"/>
  <c r="K795" i="13" a="1"/>
  <c r="K795" i="13" s="1"/>
  <c r="F414" i="12" a="1"/>
  <c r="F414" i="12" s="1"/>
  <c r="F995" i="13" s="1" a="1"/>
  <c r="F995" i="13" s="1"/>
  <c r="BQ40" i="9" s="1" a="1"/>
  <c r="BQ40" i="9" s="1"/>
  <c r="L330" i="12" a="1"/>
  <c r="L330" i="12" s="1"/>
  <c r="L791" i="13" s="1" a="1"/>
  <c r="L791" i="13" s="1"/>
  <c r="GA34" i="9" s="1" a="1"/>
  <c r="GA34" i="9" s="1"/>
  <c r="H386" i="12" a="1"/>
  <c r="H386" i="12" s="1"/>
  <c r="H927" i="13" s="1" a="1"/>
  <c r="H927" i="13" s="1"/>
  <c r="DC38" i="9" s="1" a="1"/>
  <c r="DC38" i="9" s="1"/>
  <c r="M756" i="13" a="1"/>
  <c r="M756" i="13" s="1"/>
  <c r="M783" i="13" s="1"/>
  <c r="M320" i="12"/>
  <c r="M325" i="12"/>
  <c r="N281" i="12"/>
  <c r="N306" i="12"/>
  <c r="N722" i="13" a="1"/>
  <c r="N722" i="13" s="1"/>
  <c r="N749" i="13" s="1"/>
  <c r="N311" i="12"/>
  <c r="G392" i="12"/>
  <c r="G394" i="12" s="1"/>
  <c r="G932" i="13" s="1" a="1"/>
  <c r="G932" i="13" s="1"/>
  <c r="G931" i="13" a="1"/>
  <c r="G931" i="13" s="1"/>
  <c r="I892" i="13" a="1"/>
  <c r="I892" i="13" s="1"/>
  <c r="I919" i="13" s="1"/>
  <c r="I376" i="12"/>
  <c r="I381" i="12"/>
  <c r="L761" i="13" a="1"/>
  <c r="L761" i="13" s="1"/>
  <c r="L322" i="12"/>
  <c r="L324" i="12" s="1"/>
  <c r="L762" i="13" s="1" a="1"/>
  <c r="L762" i="13" s="1"/>
  <c r="D442" i="12" a="1"/>
  <c r="D442" i="12" s="1"/>
  <c r="D1063" i="13" s="1" a="1"/>
  <c r="D1063" i="13" s="1"/>
  <c r="AE42" i="9" s="1" a="1"/>
  <c r="AE42" i="9" s="1"/>
  <c r="C53" i="28" a="1"/>
  <c r="C53" i="28" s="1"/>
  <c r="A1093" i="13" a="1"/>
  <c r="A1093" i="13" s="1"/>
  <c r="A454" i="12" a="1"/>
  <c r="A454" i="12" s="1"/>
  <c r="D51" i="24" a="1"/>
  <c r="D51" i="24" s="1"/>
  <c r="I384" i="12" a="1"/>
  <c r="I384" i="12" s="1"/>
  <c r="DG38" i="9" a="1"/>
  <c r="DG38" i="9" s="1"/>
  <c r="L692" i="13" a="1"/>
  <c r="L692" i="13" s="1"/>
  <c r="L299" i="12"/>
  <c r="F965" i="13" a="1"/>
  <c r="F965" i="13" s="1"/>
  <c r="F406" i="12"/>
  <c r="F408" i="12" s="1"/>
  <c r="F966" i="13" s="1" a="1"/>
  <c r="F966" i="13" s="1"/>
  <c r="I372" i="12" a="1"/>
  <c r="I372" i="12" s="1"/>
  <c r="I893" i="13" s="1" a="1"/>
  <c r="I893" i="13" s="1"/>
  <c r="DV37" i="9" s="1" a="1"/>
  <c r="DV37" i="9" s="1"/>
  <c r="BB41" i="9" a="1"/>
  <c r="BB41" i="9" s="1"/>
  <c r="F426" i="12" a="1"/>
  <c r="F426" i="12" s="1"/>
  <c r="CN39" i="9" a="1"/>
  <c r="CN39" i="9" s="1"/>
  <c r="H398" i="12" a="1"/>
  <c r="H398" i="12" s="1"/>
  <c r="AI42" i="9" a="1"/>
  <c r="AI42" i="9" s="1"/>
  <c r="E440" i="12" a="1"/>
  <c r="E440" i="12" s="1"/>
  <c r="N294" i="12"/>
  <c r="N296" i="12" s="1"/>
  <c r="N694" i="13" s="1" a="1"/>
  <c r="N694" i="13" s="1"/>
  <c r="N693" i="13" a="1"/>
  <c r="N693" i="13" s="1"/>
  <c r="J327" i="12"/>
  <c r="J760" i="13" a="1"/>
  <c r="J760" i="13" s="1"/>
  <c r="I794" i="13" a="1"/>
  <c r="I794" i="13" s="1"/>
  <c r="I341" i="12"/>
  <c r="H378" i="12"/>
  <c r="H380" i="12" s="1"/>
  <c r="H898" i="13" s="1" a="1"/>
  <c r="H898" i="13" s="1"/>
  <c r="H897" i="13" a="1"/>
  <c r="H897" i="13" s="1"/>
  <c r="E999" i="13" a="1"/>
  <c r="E999" i="13" s="1"/>
  <c r="E420" i="12"/>
  <c r="E422" i="12" s="1"/>
  <c r="E1000" i="13" s="1" a="1"/>
  <c r="E1000" i="13" s="1"/>
  <c r="F994" i="13" a="1"/>
  <c r="F994" i="13" s="1"/>
  <c r="F1021" i="13" s="1"/>
  <c r="F423" i="12"/>
  <c r="F418" i="12"/>
  <c r="E428" i="12" a="1"/>
  <c r="E428" i="12" s="1"/>
  <c r="E1029" i="13" s="1" a="1"/>
  <c r="E1029" i="13" s="1"/>
  <c r="AX41" i="9" s="1" a="1"/>
  <c r="AX41" i="9" s="1"/>
  <c r="O288" i="12" a="1"/>
  <c r="O288" i="12" s="1"/>
  <c r="O689" i="13" s="1" a="1"/>
  <c r="O689" i="13" s="1"/>
  <c r="IF31" i="9" s="1" a="1"/>
  <c r="IF31" i="9" s="1"/>
  <c r="K313" i="12"/>
  <c r="K726" i="13" a="1"/>
  <c r="K726" i="13" s="1"/>
  <c r="M295" i="12"/>
  <c r="L790" i="13" a="1"/>
  <c r="L790" i="13" s="1"/>
  <c r="L817" i="13" s="1"/>
  <c r="L339" i="12"/>
  <c r="L334" i="12"/>
  <c r="E930" i="13" a="1"/>
  <c r="E930" i="13" s="1"/>
  <c r="E397" i="12"/>
  <c r="L309" i="12"/>
  <c r="O590" i="13" a="1"/>
  <c r="O590" i="13" s="1"/>
  <c r="O257" i="12"/>
  <c r="K353" i="12"/>
  <c r="K348" i="12"/>
  <c r="K824" i="13" a="1"/>
  <c r="K824" i="13" s="1"/>
  <c r="K851" i="13" s="1"/>
  <c r="GX33" i="9" a="1"/>
  <c r="GX33" i="9" s="1"/>
  <c r="N314" i="12" a="1"/>
  <c r="N314" i="12" s="1"/>
  <c r="G400" i="12" a="1"/>
  <c r="G400" i="12" s="1"/>
  <c r="G961" i="13" s="1" a="1"/>
  <c r="G961" i="13" s="1"/>
  <c r="CJ39" i="9" s="1" a="1"/>
  <c r="CJ39" i="9" s="1"/>
  <c r="O300" i="12" a="1"/>
  <c r="O300" i="12" s="1"/>
  <c r="HQ32" i="9" a="1"/>
  <c r="HQ32" i="9" s="1"/>
  <c r="F393" i="12"/>
  <c r="M727" i="13" a="1"/>
  <c r="M727" i="13" s="1"/>
  <c r="M308" i="12"/>
  <c r="M310" i="12" s="1"/>
  <c r="M728" i="13" s="1" a="1"/>
  <c r="M728" i="13" s="1"/>
  <c r="J858" i="13" a="1"/>
  <c r="J858" i="13" s="1"/>
  <c r="J885" i="13" s="1"/>
  <c r="J362" i="12"/>
  <c r="J367" i="12"/>
  <c r="G369" i="12"/>
  <c r="G862" i="13" a="1"/>
  <c r="G862" i="13" s="1"/>
  <c r="E407" i="12"/>
  <c r="I351" i="12"/>
  <c r="E1028" i="13" a="1"/>
  <c r="E1028" i="13" s="1"/>
  <c r="E1055" i="13" s="1"/>
  <c r="E437" i="12"/>
  <c r="E432" i="12"/>
  <c r="L342" i="12" a="1"/>
  <c r="L342" i="12" s="1"/>
  <c r="FL35" i="9" a="1"/>
  <c r="FL35" i="9" s="1"/>
  <c r="GE34" i="9" a="1"/>
  <c r="GE34" i="9" s="1"/>
  <c r="M328" i="12" a="1"/>
  <c r="M328" i="12" s="1"/>
  <c r="K344" i="12" a="1"/>
  <c r="K344" i="12" s="1"/>
  <c r="K825" i="13" s="1" a="1"/>
  <c r="K825" i="13" s="1"/>
  <c r="FH35" i="9" s="1" a="1"/>
  <c r="FH35" i="9" s="1"/>
  <c r="N302" i="12" a="1"/>
  <c r="N302" i="12" s="1"/>
  <c r="N723" i="13" s="1" a="1"/>
  <c r="N723" i="13" s="1"/>
  <c r="HM32" i="9" s="1" a="1"/>
  <c r="HM32" i="9" s="1"/>
  <c r="J358" i="12" a="1"/>
  <c r="J358" i="12" s="1"/>
  <c r="J859" i="13" s="1" a="1"/>
  <c r="J859" i="13" s="1"/>
  <c r="EO36" i="9" s="1" a="1"/>
  <c r="EO36" i="9" s="1"/>
  <c r="O292" i="12"/>
  <c r="O297" i="12"/>
  <c r="O688" i="13" a="1"/>
  <c r="O688" i="13" s="1"/>
  <c r="O715" i="13" s="1"/>
  <c r="I364" i="12"/>
  <c r="I366" i="12" s="1"/>
  <c r="I864" i="13" s="1" a="1"/>
  <c r="I864" i="13" s="1"/>
  <c r="I863" i="13" a="1"/>
  <c r="I863" i="13" s="1"/>
  <c r="B953" i="13"/>
  <c r="B954" i="13" s="1"/>
  <c r="B955" i="13" s="1"/>
  <c r="B956" i="13" s="1"/>
  <c r="B948" i="13"/>
  <c r="B949" i="13" s="1"/>
  <c r="B950" i="13" s="1"/>
  <c r="B951" i="13" s="1"/>
  <c r="B981" i="13"/>
  <c r="B986" i="13"/>
  <c r="B1030" i="13"/>
  <c r="B1031" i="13" s="1"/>
  <c r="B1027" i="13"/>
  <c r="B1028" i="13" s="1"/>
  <c r="B1029" i="13" s="1"/>
  <c r="B1059" i="13" a="1"/>
  <c r="B1059" i="13" s="1"/>
  <c r="B1060" i="13" s="1"/>
  <c r="B998" i="13"/>
  <c r="B999" i="13" s="1"/>
  <c r="B1000" i="13" s="1"/>
  <c r="B1001" i="13" s="1"/>
  <c r="B1002" i="13"/>
  <c r="B1003" i="13" s="1"/>
  <c r="B1004" i="13" s="1"/>
  <c r="B1005" i="13" s="1"/>
  <c r="B1006" i="13" s="1"/>
  <c r="B1007" i="13" s="1"/>
  <c r="B1008" i="13" s="1"/>
  <c r="B1009" i="13" s="1"/>
  <c r="B1010" i="13" s="1"/>
  <c r="B1011" i="13" s="1"/>
  <c r="B1012" i="13" s="1"/>
  <c r="B1013" i="13" s="1"/>
  <c r="B1014" i="13" s="1"/>
  <c r="AA610" i="10"/>
  <c r="AA635" i="10"/>
  <c r="AA622" i="10"/>
  <c r="AA623" i="10" s="1"/>
  <c r="AA597" i="10"/>
  <c r="B440" i="12" a="1"/>
  <c r="B440" i="12" s="1"/>
  <c r="R499" i="12"/>
  <c r="R487" i="12"/>
  <c r="R524" i="12"/>
  <c r="R512" i="12"/>
  <c r="R511" i="12"/>
  <c r="R500" i="12"/>
  <c r="O271" i="12" l="1"/>
  <c r="F1200" i="13" a="1"/>
  <c r="F1200" i="13" s="1"/>
  <c r="F1227" i="13" s="1"/>
  <c r="F503" i="12"/>
  <c r="F1205" i="13" s="1" a="1"/>
  <c r="F1205" i="13" s="1"/>
  <c r="F508" i="12"/>
  <c r="G1200" i="13" a="1"/>
  <c r="G1200" i="13" s="1"/>
  <c r="G1227" i="13" s="1"/>
  <c r="G503" i="12"/>
  <c r="G1205" i="13" s="1" a="1"/>
  <c r="G1205" i="13" s="1"/>
  <c r="G508" i="12"/>
  <c r="J511" i="12" a="1"/>
  <c r="J511" i="12" s="1"/>
  <c r="I511" i="12" a="1"/>
  <c r="I511" i="12" s="1"/>
  <c r="H511" i="12" a="1"/>
  <c r="H511" i="12" s="1"/>
  <c r="O511" i="12" a="1"/>
  <c r="O511" i="12" s="1"/>
  <c r="G511" i="12" a="1"/>
  <c r="G511" i="12" s="1"/>
  <c r="N511" i="12" a="1"/>
  <c r="N511" i="12" s="1"/>
  <c r="F511" i="12" a="1"/>
  <c r="F511" i="12" s="1"/>
  <c r="M511" i="12" a="1"/>
  <c r="M511" i="12" s="1"/>
  <c r="E511" i="12" a="1"/>
  <c r="E511" i="12" s="1"/>
  <c r="L511" i="12" a="1"/>
  <c r="L511" i="12" s="1"/>
  <c r="D511" i="12" a="1"/>
  <c r="D511" i="12" s="1"/>
  <c r="K511" i="12" a="1"/>
  <c r="K511" i="12" s="1"/>
  <c r="K1200" i="13" a="1"/>
  <c r="K1200" i="13" s="1"/>
  <c r="K1227" i="13" s="1"/>
  <c r="K508" i="12"/>
  <c r="K503" i="12"/>
  <c r="K1205" i="13" s="1" a="1"/>
  <c r="K1205" i="13" s="1"/>
  <c r="O1200" i="13" a="1"/>
  <c r="O1200" i="13" s="1"/>
  <c r="O1227" i="13" s="1"/>
  <c r="O503" i="12"/>
  <c r="O1205" i="13" s="1" a="1"/>
  <c r="O1205" i="13" s="1"/>
  <c r="O508" i="12"/>
  <c r="J500" i="12" a="1"/>
  <c r="J500" i="12" s="1"/>
  <c r="I500" i="12" a="1"/>
  <c r="I500" i="12" s="1"/>
  <c r="H500" i="12" a="1"/>
  <c r="H500" i="12" s="1"/>
  <c r="O500" i="12" a="1"/>
  <c r="O500" i="12" s="1"/>
  <c r="G500" i="12" a="1"/>
  <c r="G500" i="12" s="1"/>
  <c r="N500" i="12" a="1"/>
  <c r="N500" i="12" s="1"/>
  <c r="F500" i="12" a="1"/>
  <c r="F500" i="12" s="1"/>
  <c r="M500" i="12" a="1"/>
  <c r="M500" i="12" s="1"/>
  <c r="E500" i="12" a="1"/>
  <c r="E500" i="12" s="1"/>
  <c r="L500" i="12" a="1"/>
  <c r="L500" i="12" s="1"/>
  <c r="D500" i="12" a="1"/>
  <c r="D500" i="12" s="1"/>
  <c r="K500" i="12" a="1"/>
  <c r="K500" i="12" s="1"/>
  <c r="N1200" i="13" a="1"/>
  <c r="N1200" i="13" s="1"/>
  <c r="N1227" i="13" s="1"/>
  <c r="N503" i="12"/>
  <c r="N1205" i="13" s="1" a="1"/>
  <c r="N1205" i="13" s="1"/>
  <c r="N508" i="12"/>
  <c r="D503" i="12"/>
  <c r="D1205" i="13" s="1" a="1"/>
  <c r="D1205" i="13" s="1"/>
  <c r="D1200" i="13" a="1"/>
  <c r="D1200" i="13" s="1"/>
  <c r="D1227" i="13" s="1"/>
  <c r="D508" i="12"/>
  <c r="H1200" i="13" a="1"/>
  <c r="H1200" i="13" s="1"/>
  <c r="H1227" i="13" s="1"/>
  <c r="H503" i="12"/>
  <c r="H1205" i="13" s="1" a="1"/>
  <c r="H1205" i="13" s="1"/>
  <c r="H508" i="12"/>
  <c r="N487" i="12" a="1"/>
  <c r="N487" i="12" s="1"/>
  <c r="F487" i="12" a="1"/>
  <c r="F487" i="12" s="1"/>
  <c r="M487" i="12" a="1"/>
  <c r="M487" i="12" s="1"/>
  <c r="E487" i="12" a="1"/>
  <c r="E487" i="12" s="1"/>
  <c r="L487" i="12" a="1"/>
  <c r="L487" i="12" s="1"/>
  <c r="D487" i="12" a="1"/>
  <c r="D487" i="12" s="1"/>
  <c r="K487" i="12" a="1"/>
  <c r="K487" i="12" s="1"/>
  <c r="J487" i="12" a="1"/>
  <c r="J487" i="12" s="1"/>
  <c r="I487" i="12" a="1"/>
  <c r="I487" i="12" s="1"/>
  <c r="H487" i="12" a="1"/>
  <c r="H487" i="12" s="1"/>
  <c r="O487" i="12" a="1"/>
  <c r="O487" i="12" s="1"/>
  <c r="G487" i="12" a="1"/>
  <c r="G487" i="12" s="1"/>
  <c r="D337" i="12"/>
  <c r="D794" i="13" s="1" a="1"/>
  <c r="D794" i="13" s="1"/>
  <c r="L503" i="12"/>
  <c r="L1205" i="13" s="1" a="1"/>
  <c r="L1205" i="13" s="1"/>
  <c r="L508" i="12"/>
  <c r="L1200" i="13" a="1"/>
  <c r="L1200" i="13" s="1"/>
  <c r="L1227" i="13" s="1"/>
  <c r="I1200" i="13" a="1"/>
  <c r="I1200" i="13" s="1"/>
  <c r="I1227" i="13" s="1"/>
  <c r="I508" i="12"/>
  <c r="I503" i="12"/>
  <c r="I1205" i="13" s="1" a="1"/>
  <c r="I1205" i="13" s="1"/>
  <c r="N499" i="12" a="1"/>
  <c r="N499" i="12" s="1"/>
  <c r="N1201" i="13" s="1" a="1"/>
  <c r="N1201" i="13" s="1"/>
  <c r="F499" i="12" a="1"/>
  <c r="F499" i="12" s="1"/>
  <c r="F1201" i="13" s="1" a="1"/>
  <c r="F1201" i="13" s="1"/>
  <c r="M499" i="12" a="1"/>
  <c r="M499" i="12" s="1"/>
  <c r="M1201" i="13" s="1" a="1"/>
  <c r="M1201" i="13" s="1"/>
  <c r="E499" i="12" a="1"/>
  <c r="E499" i="12" s="1"/>
  <c r="E1201" i="13" s="1" a="1"/>
  <c r="E1201" i="13" s="1"/>
  <c r="L499" i="12" a="1"/>
  <c r="L499" i="12" s="1"/>
  <c r="L1201" i="13" s="1" a="1"/>
  <c r="L1201" i="13" s="1"/>
  <c r="D499" i="12" a="1"/>
  <c r="D499" i="12" s="1"/>
  <c r="D1201" i="13" s="1" a="1"/>
  <c r="D1201" i="13" s="1"/>
  <c r="K499" i="12" a="1"/>
  <c r="K499" i="12" s="1"/>
  <c r="K1201" i="13" s="1" a="1"/>
  <c r="K1201" i="13" s="1"/>
  <c r="J499" i="12" a="1"/>
  <c r="J499" i="12" s="1"/>
  <c r="J1201" i="13" s="1" a="1"/>
  <c r="J1201" i="13" s="1"/>
  <c r="I499" i="12" a="1"/>
  <c r="I499" i="12" s="1"/>
  <c r="I1201" i="13" s="1" a="1"/>
  <c r="I1201" i="13" s="1"/>
  <c r="H499" i="12" a="1"/>
  <c r="H499" i="12" s="1"/>
  <c r="H1201" i="13" s="1" a="1"/>
  <c r="H1201" i="13" s="1"/>
  <c r="O499" i="12" a="1"/>
  <c r="O499" i="12" s="1"/>
  <c r="O1201" i="13" s="1" a="1"/>
  <c r="O1201" i="13" s="1"/>
  <c r="G499" i="12" a="1"/>
  <c r="G499" i="12" s="1"/>
  <c r="G1201" i="13" s="1" a="1"/>
  <c r="G1201" i="13" s="1"/>
  <c r="E1200" i="13" a="1"/>
  <c r="E1200" i="13" s="1"/>
  <c r="E1227" i="13" s="1"/>
  <c r="E503" i="12"/>
  <c r="E1205" i="13" s="1" a="1"/>
  <c r="E1205" i="13" s="1"/>
  <c r="E508" i="12"/>
  <c r="J1200" i="13" a="1"/>
  <c r="J1200" i="13" s="1"/>
  <c r="J1227" i="13" s="1"/>
  <c r="J508" i="12"/>
  <c r="J503" i="12"/>
  <c r="J1205" i="13" s="1" a="1"/>
  <c r="J1205" i="13" s="1"/>
  <c r="M1200" i="13" a="1"/>
  <c r="M1200" i="13" s="1"/>
  <c r="M1227" i="13" s="1"/>
  <c r="M503" i="12"/>
  <c r="M1205" i="13" s="1" a="1"/>
  <c r="M1205" i="13" s="1"/>
  <c r="M508" i="12"/>
  <c r="G658" i="13" a="1"/>
  <c r="G658" i="13" s="1"/>
  <c r="G285" i="12"/>
  <c r="D370" i="12" a="1"/>
  <c r="D370" i="12" s="1"/>
  <c r="G320" i="12"/>
  <c r="G325" i="12"/>
  <c r="G756" i="13" a="1"/>
  <c r="G756" i="13" s="1"/>
  <c r="G783" i="13" s="1"/>
  <c r="D367" i="12"/>
  <c r="D858" i="13" a="1"/>
  <c r="D858" i="13" s="1"/>
  <c r="D885" i="13" s="1"/>
  <c r="D362" i="12"/>
  <c r="D760" i="13" a="1"/>
  <c r="D760" i="13" s="1"/>
  <c r="D327" i="12"/>
  <c r="G727" i="13" a="1"/>
  <c r="G727" i="13" s="1"/>
  <c r="G308" i="12"/>
  <c r="G310" i="12" s="1"/>
  <c r="G728" i="13" s="1" a="1"/>
  <c r="G728" i="13" s="1"/>
  <c r="HI35" i="9" a="1"/>
  <c r="HI35" i="9" s="1"/>
  <c r="HJ35" i="9" s="1"/>
  <c r="H693" i="13" a="1"/>
  <c r="H693" i="13" s="1"/>
  <c r="H294" i="12"/>
  <c r="H296" i="12" s="1"/>
  <c r="H694" i="13" s="1" a="1"/>
  <c r="H694" i="13" s="1"/>
  <c r="HI34" i="9" a="1"/>
  <c r="HI34" i="9" s="1"/>
  <c r="HJ34" i="9" s="1"/>
  <c r="D350" i="12"/>
  <c r="D352" i="12" s="1"/>
  <c r="D830" i="13" s="1" a="1"/>
  <c r="D830" i="13" s="1"/>
  <c r="D829" i="13" a="1"/>
  <c r="D829" i="13" s="1"/>
  <c r="GP36" i="9" a="1"/>
  <c r="GP36" i="9" s="1"/>
  <c r="GQ36" i="9" s="1"/>
  <c r="J341" i="12"/>
  <c r="K760" i="13" a="1"/>
  <c r="K760" i="13" s="1"/>
  <c r="H379" i="12"/>
  <c r="H896" i="13" s="1" a="1"/>
  <c r="H896" i="13" s="1"/>
  <c r="E421" i="12"/>
  <c r="E425" i="12" s="1"/>
  <c r="O281" i="12"/>
  <c r="O285" i="12" s="1"/>
  <c r="J351" i="12"/>
  <c r="J828" i="13" s="1" a="1"/>
  <c r="J828" i="13" s="1"/>
  <c r="G393" i="12"/>
  <c r="G397" i="12" s="1"/>
  <c r="N295" i="12"/>
  <c r="N299" i="12" s="1"/>
  <c r="F407" i="12"/>
  <c r="F411" i="12" s="1"/>
  <c r="L323" i="12"/>
  <c r="L327" i="12" s="1"/>
  <c r="K337" i="12"/>
  <c r="K794" i="13" s="1" a="1"/>
  <c r="K794" i="13" s="1"/>
  <c r="GX34" i="9" a="1"/>
  <c r="GX34" i="9" s="1"/>
  <c r="N328" i="12" a="1"/>
  <c r="N328" i="12" s="1"/>
  <c r="F428" i="12" a="1"/>
  <c r="F428" i="12" s="1"/>
  <c r="F1029" i="13" s="1" a="1"/>
  <c r="F1029" i="13" s="1"/>
  <c r="BQ41" i="9" s="1" a="1"/>
  <c r="BQ41" i="9" s="1"/>
  <c r="J372" i="12" a="1"/>
  <c r="J372" i="12" s="1"/>
  <c r="J893" i="13" s="1" a="1"/>
  <c r="J893" i="13" s="1"/>
  <c r="EO37" i="9" s="1" a="1"/>
  <c r="EO37" i="9" s="1"/>
  <c r="J364" i="12"/>
  <c r="J366" i="12" s="1"/>
  <c r="J864" i="13" s="1" a="1"/>
  <c r="J864" i="13" s="1"/>
  <c r="J863" i="13" a="1"/>
  <c r="J863" i="13" s="1"/>
  <c r="L795" i="13" a="1"/>
  <c r="L795" i="13" s="1"/>
  <c r="L336" i="12"/>
  <c r="L338" i="12" s="1"/>
  <c r="L796" i="13" s="1" a="1"/>
  <c r="L796" i="13" s="1"/>
  <c r="F420" i="12"/>
  <c r="F422" i="12" s="1"/>
  <c r="F1000" i="13" s="1" a="1"/>
  <c r="F1000" i="13" s="1"/>
  <c r="F999" i="13" a="1"/>
  <c r="F999" i="13" s="1"/>
  <c r="M761" i="13" a="1"/>
  <c r="M761" i="13" s="1"/>
  <c r="M322" i="12"/>
  <c r="M324" i="12" s="1"/>
  <c r="M762" i="13" s="1" a="1"/>
  <c r="M762" i="13" s="1"/>
  <c r="ES37" i="9" a="1"/>
  <c r="ES37" i="9" s="1"/>
  <c r="K370" i="12" a="1"/>
  <c r="K370" i="12" s="1"/>
  <c r="F930" i="13" a="1"/>
  <c r="F930" i="13" s="1"/>
  <c r="F397" i="12"/>
  <c r="O314" i="12" a="1"/>
  <c r="O314" i="12" s="1"/>
  <c r="HQ33" i="9" a="1"/>
  <c r="HQ33" i="9" s="1"/>
  <c r="M339" i="12"/>
  <c r="M790" i="13" a="1"/>
  <c r="M790" i="13" s="1"/>
  <c r="M817" i="13" s="1"/>
  <c r="M334" i="12"/>
  <c r="O722" i="13" a="1"/>
  <c r="O722" i="13" s="1"/>
  <c r="O749" i="13" s="1"/>
  <c r="O311" i="12"/>
  <c r="O306" i="12"/>
  <c r="K829" i="13" a="1"/>
  <c r="K829" i="13" s="1"/>
  <c r="K350" i="12"/>
  <c r="K352" i="12" s="1"/>
  <c r="K830" i="13" s="1" a="1"/>
  <c r="K830" i="13" s="1"/>
  <c r="K362" i="12"/>
  <c r="K367" i="12"/>
  <c r="K858" i="13" a="1"/>
  <c r="K858" i="13" s="1"/>
  <c r="K885" i="13" s="1"/>
  <c r="BB42" i="9" a="1"/>
  <c r="BB42" i="9" s="1"/>
  <c r="F440" i="12" a="1"/>
  <c r="F440" i="12" s="1"/>
  <c r="BU41" i="9" a="1"/>
  <c r="BU41" i="9" s="1"/>
  <c r="G426" i="12" a="1"/>
  <c r="G426" i="12" s="1"/>
  <c r="D52" i="24" a="1"/>
  <c r="D52" i="24" s="1"/>
  <c r="DZ38" i="9" a="1"/>
  <c r="DZ38" i="9" s="1"/>
  <c r="J384" i="12" a="1"/>
  <c r="J384" i="12" s="1"/>
  <c r="N316" i="12" a="1"/>
  <c r="N316" i="12" s="1"/>
  <c r="N757" i="13" s="1" a="1"/>
  <c r="N757" i="13" s="1"/>
  <c r="HM33" i="9" s="1" a="1"/>
  <c r="HM33" i="9" s="1"/>
  <c r="O693" i="13" a="1"/>
  <c r="O693" i="13" s="1"/>
  <c r="O294" i="12"/>
  <c r="O296" i="12" s="1"/>
  <c r="O694" i="13" s="1" a="1"/>
  <c r="O694" i="13" s="1"/>
  <c r="E1062" i="13" a="1"/>
  <c r="E1062" i="13" s="1"/>
  <c r="E1089" i="13" s="1"/>
  <c r="E446" i="12"/>
  <c r="E451" i="12"/>
  <c r="I390" i="12"/>
  <c r="I926" i="13" a="1"/>
  <c r="I926" i="13" s="1"/>
  <c r="I953" i="13" s="1"/>
  <c r="I395" i="12"/>
  <c r="J892" i="13" a="1"/>
  <c r="J892" i="13" s="1"/>
  <c r="J919" i="13" s="1"/>
  <c r="J376" i="12"/>
  <c r="J381" i="12"/>
  <c r="A1127" i="13" a="1"/>
  <c r="A1127" i="13" s="1"/>
  <c r="C54" i="28" a="1"/>
  <c r="C54" i="28" s="1"/>
  <c r="A468" i="12" a="1"/>
  <c r="A468" i="12" s="1"/>
  <c r="I386" i="12" a="1"/>
  <c r="I386" i="12" s="1"/>
  <c r="I927" i="13" s="1" a="1"/>
  <c r="I927" i="13" s="1"/>
  <c r="DV38" i="9" s="1" a="1"/>
  <c r="DV38" i="9" s="1"/>
  <c r="K358" i="12" a="1"/>
  <c r="K358" i="12" s="1"/>
  <c r="K859" i="13" s="1" a="1"/>
  <c r="K859" i="13" s="1"/>
  <c r="FH36" i="9" s="1" a="1"/>
  <c r="FH36" i="9" s="1"/>
  <c r="I355" i="12"/>
  <c r="I828" i="13" a="1"/>
  <c r="I828" i="13" s="1"/>
  <c r="M299" i="12"/>
  <c r="M692" i="13" a="1"/>
  <c r="M692" i="13" s="1"/>
  <c r="M342" i="12" a="1"/>
  <c r="M342" i="12" s="1"/>
  <c r="GE35" i="9" a="1"/>
  <c r="GE35" i="9" s="1"/>
  <c r="E442" i="12" a="1"/>
  <c r="E442" i="12" s="1"/>
  <c r="E1063" i="13" s="1" a="1"/>
  <c r="E1063" i="13" s="1"/>
  <c r="AX42" i="9" s="1" a="1"/>
  <c r="AX42" i="9" s="1"/>
  <c r="H400" i="12" a="1"/>
  <c r="H400" i="12" s="1"/>
  <c r="H961" i="13" s="1" a="1"/>
  <c r="H961" i="13" s="1"/>
  <c r="DC39" i="9" s="1" a="1"/>
  <c r="DC39" i="9" s="1"/>
  <c r="O302" i="12" a="1"/>
  <c r="O302" i="12" s="1"/>
  <c r="O723" i="13" s="1" a="1"/>
  <c r="O723" i="13" s="1"/>
  <c r="IF32" i="9" s="1" a="1"/>
  <c r="IF32" i="9" s="1"/>
  <c r="FL36" i="9" a="1"/>
  <c r="FL36" i="9" s="1"/>
  <c r="L356" i="12" a="1"/>
  <c r="L356" i="12" s="1"/>
  <c r="L824" i="13" a="1"/>
  <c r="L824" i="13" s="1"/>
  <c r="L851" i="13" s="1"/>
  <c r="L348" i="12"/>
  <c r="L353" i="12"/>
  <c r="E964" i="13" a="1"/>
  <c r="E964" i="13" s="1"/>
  <c r="E411" i="12"/>
  <c r="M309" i="12"/>
  <c r="H409" i="12"/>
  <c r="H404" i="12"/>
  <c r="H960" i="13" a="1"/>
  <c r="H960" i="13" s="1"/>
  <c r="H987" i="13" s="1"/>
  <c r="DG39" i="9" a="1"/>
  <c r="DG39" i="9" s="1"/>
  <c r="I398" i="12" a="1"/>
  <c r="I398" i="12" s="1"/>
  <c r="G414" i="12" a="1"/>
  <c r="G414" i="12" s="1"/>
  <c r="G995" i="13" s="1" a="1"/>
  <c r="G995" i="13" s="1"/>
  <c r="CJ40" i="9" s="1" a="1"/>
  <c r="CJ40" i="9" s="1"/>
  <c r="D456" i="12" a="1"/>
  <c r="D456" i="12" s="1"/>
  <c r="D1097" i="13" s="1" a="1"/>
  <c r="D1097" i="13" s="1"/>
  <c r="AE43" i="9" s="1" a="1"/>
  <c r="AE43" i="9" s="1"/>
  <c r="I365" i="12"/>
  <c r="E1033" i="13" a="1"/>
  <c r="E1033" i="13" s="1"/>
  <c r="E434" i="12"/>
  <c r="E436" i="12" s="1"/>
  <c r="E1034" i="13" s="1" a="1"/>
  <c r="E1034" i="13" s="1"/>
  <c r="L313" i="12"/>
  <c r="L726" i="13" a="1"/>
  <c r="L726" i="13" s="1"/>
  <c r="N308" i="12"/>
  <c r="N310" i="12" s="1"/>
  <c r="N728" i="13" s="1" a="1"/>
  <c r="N728" i="13" s="1"/>
  <c r="N727" i="13" a="1"/>
  <c r="N727" i="13" s="1"/>
  <c r="M330" i="12" a="1"/>
  <c r="M330" i="12" s="1"/>
  <c r="M791" i="13" s="1" a="1"/>
  <c r="M791" i="13" s="1"/>
  <c r="GT34" i="9" s="1" a="1"/>
  <c r="GT34" i="9" s="1"/>
  <c r="L344" i="12" a="1"/>
  <c r="L344" i="12" s="1"/>
  <c r="L825" i="13" s="1" a="1"/>
  <c r="L825" i="13" s="1"/>
  <c r="GA35" i="9" s="1" a="1"/>
  <c r="GA35" i="9" s="1"/>
  <c r="CN40" i="9" a="1"/>
  <c r="CN40" i="9" s="1"/>
  <c r="H412" i="12" a="1"/>
  <c r="H412" i="12" s="1"/>
  <c r="AI43" i="9" a="1"/>
  <c r="AI43" i="9" s="1"/>
  <c r="E454" i="12" a="1"/>
  <c r="E454" i="12" s="1"/>
  <c r="N756" i="13" a="1"/>
  <c r="N756" i="13" s="1"/>
  <c r="N783" i="13" s="1"/>
  <c r="N325" i="12"/>
  <c r="N320" i="12"/>
  <c r="F437" i="12"/>
  <c r="F1028" i="13" a="1"/>
  <c r="F1028" i="13" s="1"/>
  <c r="F1055" i="13" s="1"/>
  <c r="F432" i="12"/>
  <c r="I378" i="12"/>
  <c r="I380" i="12" s="1"/>
  <c r="I898" i="13" s="1" a="1"/>
  <c r="I898" i="13" s="1"/>
  <c r="I897" i="13" a="1"/>
  <c r="I897" i="13" s="1"/>
  <c r="N658" i="13" a="1"/>
  <c r="N658" i="13" s="1"/>
  <c r="N285" i="12"/>
  <c r="CN38" i="9" a="1"/>
  <c r="CN38" i="9" s="1"/>
  <c r="BU39" i="9" a="1"/>
  <c r="BU39" i="9" s="1"/>
  <c r="B1036" i="13"/>
  <c r="B1037" i="13" s="1"/>
  <c r="B1038" i="13" s="1"/>
  <c r="B1039" i="13" s="1"/>
  <c r="B1040" i="13" s="1"/>
  <c r="B1041" i="13" s="1"/>
  <c r="B1042" i="13" s="1"/>
  <c r="B1043" i="13" s="1"/>
  <c r="B1044" i="13" s="1"/>
  <c r="B1045" i="13" s="1"/>
  <c r="B1046" i="13" s="1"/>
  <c r="B1047" i="13" s="1"/>
  <c r="B1048" i="13" s="1"/>
  <c r="B1032" i="13"/>
  <c r="B1033" i="13" s="1"/>
  <c r="B1034" i="13" s="1"/>
  <c r="B1035" i="13" s="1"/>
  <c r="B1020" i="13"/>
  <c r="B1015" i="13"/>
  <c r="B1064" i="13"/>
  <c r="B1065" i="13" s="1"/>
  <c r="B1061" i="13"/>
  <c r="B1062" i="13" s="1"/>
  <c r="B1063" i="13" s="1"/>
  <c r="B1093" i="13" a="1"/>
  <c r="B1093" i="13" s="1"/>
  <c r="B1094" i="13" s="1"/>
  <c r="B982" i="13"/>
  <c r="B983" i="13" s="1"/>
  <c r="B984" i="13" s="1"/>
  <c r="B985" i="13" s="1"/>
  <c r="B987" i="13"/>
  <c r="B988" i="13" s="1"/>
  <c r="B989" i="13" s="1"/>
  <c r="B990" i="13" s="1"/>
  <c r="AA624" i="10"/>
  <c r="AA611" i="10"/>
  <c r="AA649" i="10"/>
  <c r="AA636" i="10"/>
  <c r="AA637" i="10" s="1"/>
  <c r="B454" i="12" a="1"/>
  <c r="B454" i="12" s="1"/>
  <c r="R514" i="12"/>
  <c r="R538" i="12"/>
  <c r="R525" i="12"/>
  <c r="R526" i="12"/>
  <c r="R501" i="12"/>
  <c r="R513" i="12"/>
  <c r="H383" i="12" l="1"/>
  <c r="O658" i="13" a="1"/>
  <c r="O658" i="13" s="1"/>
  <c r="D341" i="12"/>
  <c r="L517" i="12"/>
  <c r="L1239" i="13" s="1" a="1"/>
  <c r="L1239" i="13" s="1"/>
  <c r="L1234" i="13" a="1"/>
  <c r="L1234" i="13" s="1"/>
  <c r="L1261" i="13" s="1"/>
  <c r="L522" i="12"/>
  <c r="I1234" i="13" a="1"/>
  <c r="I1234" i="13" s="1"/>
  <c r="I1261" i="13" s="1"/>
  <c r="I522" i="12"/>
  <c r="I517" i="12"/>
  <c r="I1239" i="13" s="1" a="1"/>
  <c r="I1239" i="13" s="1"/>
  <c r="E1234" i="13" a="1"/>
  <c r="E1234" i="13" s="1"/>
  <c r="E1261" i="13" s="1"/>
  <c r="E522" i="12"/>
  <c r="E517" i="12"/>
  <c r="E1239" i="13" s="1" a="1"/>
  <c r="E1239" i="13" s="1"/>
  <c r="J1234" i="13" a="1"/>
  <c r="J1234" i="13" s="1"/>
  <c r="J1261" i="13" s="1"/>
  <c r="J522" i="12"/>
  <c r="J517" i="12"/>
  <c r="J1239" i="13" s="1" a="1"/>
  <c r="J1239" i="13" s="1"/>
  <c r="N513" i="12" a="1"/>
  <c r="N513" i="12" s="1"/>
  <c r="N1235" i="13" s="1" a="1"/>
  <c r="N1235" i="13" s="1"/>
  <c r="F513" i="12" a="1"/>
  <c r="F513" i="12" s="1"/>
  <c r="F1235" i="13" s="1" a="1"/>
  <c r="F1235" i="13" s="1"/>
  <c r="M513" i="12" a="1"/>
  <c r="M513" i="12" s="1"/>
  <c r="M1235" i="13" s="1" a="1"/>
  <c r="M1235" i="13" s="1"/>
  <c r="E513" i="12" a="1"/>
  <c r="E513" i="12" s="1"/>
  <c r="E1235" i="13" s="1" a="1"/>
  <c r="E1235" i="13" s="1"/>
  <c r="L513" i="12" a="1"/>
  <c r="L513" i="12" s="1"/>
  <c r="L1235" i="13" s="1" a="1"/>
  <c r="L1235" i="13" s="1"/>
  <c r="D513" i="12" a="1"/>
  <c r="D513" i="12" s="1"/>
  <c r="D1235" i="13" s="1" a="1"/>
  <c r="D1235" i="13" s="1"/>
  <c r="K513" i="12" a="1"/>
  <c r="K513" i="12" s="1"/>
  <c r="K1235" i="13" s="1" a="1"/>
  <c r="K1235" i="13" s="1"/>
  <c r="J513" i="12" a="1"/>
  <c r="J513" i="12" s="1"/>
  <c r="J1235" i="13" s="1" a="1"/>
  <c r="J1235" i="13" s="1"/>
  <c r="I513" i="12" a="1"/>
  <c r="I513" i="12" s="1"/>
  <c r="I1235" i="13" s="1" a="1"/>
  <c r="I1235" i="13" s="1"/>
  <c r="H513" i="12" a="1"/>
  <c r="H513" i="12" s="1"/>
  <c r="H1235" i="13" s="1" a="1"/>
  <c r="H1235" i="13" s="1"/>
  <c r="O513" i="12" a="1"/>
  <c r="O513" i="12" s="1"/>
  <c r="O1235" i="13" s="1" a="1"/>
  <c r="O1235" i="13" s="1"/>
  <c r="G513" i="12" a="1"/>
  <c r="G513" i="12" s="1"/>
  <c r="G1235" i="13" s="1" a="1"/>
  <c r="G1235" i="13" s="1"/>
  <c r="M1234" i="13" a="1"/>
  <c r="M1234" i="13" s="1"/>
  <c r="M1261" i="13" s="1"/>
  <c r="M522" i="12"/>
  <c r="M517" i="12"/>
  <c r="M1239" i="13" s="1" a="1"/>
  <c r="M1239" i="13" s="1"/>
  <c r="F1234" i="13" a="1"/>
  <c r="F1234" i="13" s="1"/>
  <c r="F1261" i="13" s="1"/>
  <c r="F522" i="12"/>
  <c r="F517" i="12"/>
  <c r="F1239" i="13" s="1" a="1"/>
  <c r="F1239" i="13" s="1"/>
  <c r="N501" i="12" a="1"/>
  <c r="N501" i="12" s="1"/>
  <c r="F501" i="12" a="1"/>
  <c r="F501" i="12" s="1"/>
  <c r="M501" i="12" a="1"/>
  <c r="M501" i="12" s="1"/>
  <c r="E501" i="12" a="1"/>
  <c r="E501" i="12" s="1"/>
  <c r="L501" i="12" a="1"/>
  <c r="L501" i="12" s="1"/>
  <c r="D501" i="12" a="1"/>
  <c r="D501" i="12" s="1"/>
  <c r="K501" i="12" a="1"/>
  <c r="K501" i="12" s="1"/>
  <c r="J501" i="12" a="1"/>
  <c r="J501" i="12" s="1"/>
  <c r="I501" i="12" a="1"/>
  <c r="I501" i="12" s="1"/>
  <c r="H501" i="12" a="1"/>
  <c r="H501" i="12" s="1"/>
  <c r="O501" i="12" a="1"/>
  <c r="O501" i="12" s="1"/>
  <c r="G501" i="12" a="1"/>
  <c r="G501" i="12" s="1"/>
  <c r="E998" i="13" a="1"/>
  <c r="E998" i="13" s="1"/>
  <c r="N1234" i="13" a="1"/>
  <c r="N1234" i="13" s="1"/>
  <c r="N1261" i="13" s="1"/>
  <c r="N517" i="12"/>
  <c r="N1239" i="13" s="1" a="1"/>
  <c r="N1239" i="13" s="1"/>
  <c r="N522" i="12"/>
  <c r="G1234" i="13" a="1"/>
  <c r="G1234" i="13" s="1"/>
  <c r="G1261" i="13" s="1"/>
  <c r="G517" i="12"/>
  <c r="G1239" i="13" s="1" a="1"/>
  <c r="G1239" i="13" s="1"/>
  <c r="G522" i="12"/>
  <c r="J525" i="12" a="1"/>
  <c r="J525" i="12" s="1"/>
  <c r="I525" i="12" a="1"/>
  <c r="I525" i="12" s="1"/>
  <c r="H525" i="12" a="1"/>
  <c r="H525" i="12" s="1"/>
  <c r="O525" i="12" a="1"/>
  <c r="O525" i="12" s="1"/>
  <c r="G525" i="12" a="1"/>
  <c r="G525" i="12" s="1"/>
  <c r="M525" i="12" a="1"/>
  <c r="M525" i="12" s="1"/>
  <c r="E525" i="12" a="1"/>
  <c r="E525" i="12" s="1"/>
  <c r="L525" i="12" a="1"/>
  <c r="L525" i="12" s="1"/>
  <c r="D525" i="12" a="1"/>
  <c r="D525" i="12" s="1"/>
  <c r="N525" i="12" a="1"/>
  <c r="N525" i="12" s="1"/>
  <c r="K525" i="12" a="1"/>
  <c r="K525" i="12" s="1"/>
  <c r="F525" i="12" a="1"/>
  <c r="F525" i="12" s="1"/>
  <c r="H295" i="12"/>
  <c r="H299" i="12" s="1"/>
  <c r="K1234" i="13" a="1"/>
  <c r="K1234" i="13" s="1"/>
  <c r="K1261" i="13" s="1"/>
  <c r="K517" i="12"/>
  <c r="K1239" i="13" s="1" a="1"/>
  <c r="K1239" i="13" s="1"/>
  <c r="K522" i="12"/>
  <c r="O1234" i="13" a="1"/>
  <c r="O1234" i="13" s="1"/>
  <c r="O1261" i="13" s="1"/>
  <c r="O522" i="12"/>
  <c r="O517" i="12"/>
  <c r="O1239" i="13" s="1" a="1"/>
  <c r="O1239" i="13" s="1"/>
  <c r="J514" i="12" a="1"/>
  <c r="J514" i="12" s="1"/>
  <c r="I514" i="12" a="1"/>
  <c r="I514" i="12" s="1"/>
  <c r="H514" i="12" a="1"/>
  <c r="H514" i="12" s="1"/>
  <c r="O514" i="12" a="1"/>
  <c r="O514" i="12" s="1"/>
  <c r="G514" i="12" a="1"/>
  <c r="G514" i="12" s="1"/>
  <c r="N514" i="12" a="1"/>
  <c r="N514" i="12" s="1"/>
  <c r="F514" i="12" a="1"/>
  <c r="F514" i="12" s="1"/>
  <c r="M514" i="12" a="1"/>
  <c r="M514" i="12" s="1"/>
  <c r="E514" i="12" a="1"/>
  <c r="E514" i="12" s="1"/>
  <c r="L514" i="12" a="1"/>
  <c r="L514" i="12" s="1"/>
  <c r="D514" i="12" a="1"/>
  <c r="D514" i="12" s="1"/>
  <c r="K514" i="12" a="1"/>
  <c r="K514" i="12" s="1"/>
  <c r="D351" i="12"/>
  <c r="D355" i="12" s="1"/>
  <c r="D517" i="12"/>
  <c r="D1239" i="13" s="1" a="1"/>
  <c r="D1239" i="13" s="1"/>
  <c r="D1234" i="13" a="1"/>
  <c r="D1234" i="13" s="1"/>
  <c r="D1261" i="13" s="1"/>
  <c r="D522" i="12"/>
  <c r="H522" i="12"/>
  <c r="H1234" i="13" a="1"/>
  <c r="H1234" i="13" s="1"/>
  <c r="H1261" i="13" s="1"/>
  <c r="H517" i="12"/>
  <c r="H1239" i="13" s="1" a="1"/>
  <c r="H1239" i="13" s="1"/>
  <c r="G309" i="12"/>
  <c r="G761" i="13" a="1"/>
  <c r="G761" i="13" s="1"/>
  <c r="G322" i="12"/>
  <c r="G324" i="12" s="1"/>
  <c r="G762" i="13" s="1" a="1"/>
  <c r="G762" i="13" s="1"/>
  <c r="FW37" i="9" a="1"/>
  <c r="FW37" i="9" s="1"/>
  <c r="FX37" i="9" s="1"/>
  <c r="D381" i="12"/>
  <c r="D892" i="13" a="1"/>
  <c r="D892" i="13" s="1"/>
  <c r="D919" i="13" s="1"/>
  <c r="D376" i="12"/>
  <c r="HI36" i="9" a="1"/>
  <c r="HI36" i="9" s="1"/>
  <c r="HJ36" i="9" s="1"/>
  <c r="IB34" i="9" a="1"/>
  <c r="IB34" i="9" s="1"/>
  <c r="IC34" i="9" s="1"/>
  <c r="D863" i="13" a="1"/>
  <c r="D863" i="13" s="1"/>
  <c r="D364" i="12"/>
  <c r="D366" i="12" s="1"/>
  <c r="D864" i="13" s="1" a="1"/>
  <c r="D864" i="13" s="1"/>
  <c r="D384" i="12" a="1"/>
  <c r="D384" i="12" s="1"/>
  <c r="J355" i="12"/>
  <c r="F421" i="12"/>
  <c r="F425" i="12" s="1"/>
  <c r="N692" i="13" a="1"/>
  <c r="N692" i="13" s="1"/>
  <c r="O295" i="12"/>
  <c r="O692" i="13" s="1" a="1"/>
  <c r="O692" i="13" s="1"/>
  <c r="G930" i="13" a="1"/>
  <c r="G930" i="13" s="1"/>
  <c r="K341" i="12"/>
  <c r="L760" i="13" a="1"/>
  <c r="L760" i="13" s="1"/>
  <c r="N309" i="12"/>
  <c r="N726" i="13" s="1" a="1"/>
  <c r="N726" i="13" s="1"/>
  <c r="F964" i="13" a="1"/>
  <c r="F964" i="13" s="1"/>
  <c r="I379" i="12"/>
  <c r="I896" i="13" s="1" a="1"/>
  <c r="I896" i="13" s="1"/>
  <c r="K351" i="12"/>
  <c r="K355" i="12" s="1"/>
  <c r="G428" i="12" a="1"/>
  <c r="G428" i="12" s="1"/>
  <c r="G1029" i="13" s="1" a="1"/>
  <c r="G1029" i="13" s="1"/>
  <c r="CJ41" i="9" s="1" a="1"/>
  <c r="CJ41" i="9" s="1"/>
  <c r="M356" i="12" a="1"/>
  <c r="M356" i="12" s="1"/>
  <c r="GE36" i="9" a="1"/>
  <c r="GE36" i="9" s="1"/>
  <c r="D470" i="12" a="1"/>
  <c r="D470" i="12" s="1"/>
  <c r="D1131" i="13" s="1" a="1"/>
  <c r="D1131" i="13" s="1"/>
  <c r="AE44" i="9" s="1" a="1"/>
  <c r="AE44" i="9" s="1"/>
  <c r="ES38" i="9" a="1"/>
  <c r="ES38" i="9" s="1"/>
  <c r="K384" i="12" a="1"/>
  <c r="K384" i="12" s="1"/>
  <c r="I862" i="13" a="1"/>
  <c r="I862" i="13" s="1"/>
  <c r="I369" i="12"/>
  <c r="I404" i="12"/>
  <c r="I960" i="13" a="1"/>
  <c r="I960" i="13" s="1"/>
  <c r="I987" i="13" s="1"/>
  <c r="I409" i="12"/>
  <c r="J395" i="12"/>
  <c r="J926" i="13" a="1"/>
  <c r="J926" i="13" s="1"/>
  <c r="J953" i="13" s="1"/>
  <c r="J390" i="12"/>
  <c r="K892" i="13" a="1"/>
  <c r="K892" i="13" s="1"/>
  <c r="K919" i="13" s="1"/>
  <c r="K376" i="12"/>
  <c r="K381" i="12"/>
  <c r="L829" i="13" a="1"/>
  <c r="L829" i="13" s="1"/>
  <c r="L350" i="12"/>
  <c r="L352" i="12" s="1"/>
  <c r="L830" i="13" s="1" a="1"/>
  <c r="L830" i="13" s="1"/>
  <c r="HQ34" i="9" a="1"/>
  <c r="HQ34" i="9" s="1"/>
  <c r="O328" i="12" a="1"/>
  <c r="O328" i="12" s="1"/>
  <c r="L358" i="12" a="1"/>
  <c r="L358" i="12" s="1"/>
  <c r="L859" i="13" s="1" a="1"/>
  <c r="L859" i="13" s="1"/>
  <c r="GA36" i="9" s="1" a="1"/>
  <c r="GA36" i="9" s="1"/>
  <c r="L858" i="13" a="1"/>
  <c r="L858" i="13" s="1"/>
  <c r="L885" i="13" s="1"/>
  <c r="L362" i="12"/>
  <c r="L367" i="12"/>
  <c r="J897" i="13" a="1"/>
  <c r="J897" i="13" s="1"/>
  <c r="J378" i="12"/>
  <c r="J380" i="12" s="1"/>
  <c r="J898" i="13" s="1" a="1"/>
  <c r="J898" i="13" s="1"/>
  <c r="E1067" i="13" a="1"/>
  <c r="E1067" i="13" s="1"/>
  <c r="E448" i="12"/>
  <c r="E450" i="12" s="1"/>
  <c r="E1068" i="13" s="1" a="1"/>
  <c r="E1068" i="13" s="1"/>
  <c r="M336" i="12"/>
  <c r="M338" i="12" s="1"/>
  <c r="M796" i="13" s="1" a="1"/>
  <c r="M796" i="13" s="1"/>
  <c r="M795" i="13" a="1"/>
  <c r="M795" i="13" s="1"/>
  <c r="I392" i="12"/>
  <c r="I394" i="12" s="1"/>
  <c r="I932" i="13" s="1" a="1"/>
  <c r="I932" i="13" s="1"/>
  <c r="I931" i="13" a="1"/>
  <c r="I931" i="13" s="1"/>
  <c r="N330" i="12" a="1"/>
  <c r="N330" i="12" s="1"/>
  <c r="N791" i="13" s="1" a="1"/>
  <c r="N791" i="13" s="1"/>
  <c r="HM34" i="9" s="1" a="1"/>
  <c r="HM34" i="9" s="1"/>
  <c r="E465" i="12"/>
  <c r="E1096" i="13" a="1"/>
  <c r="E1096" i="13" s="1"/>
  <c r="E1123" i="13" s="1"/>
  <c r="E460" i="12"/>
  <c r="M824" i="13" a="1"/>
  <c r="M824" i="13" s="1"/>
  <c r="M851" i="13" s="1"/>
  <c r="M348" i="12"/>
  <c r="M353" i="12"/>
  <c r="K364" i="12"/>
  <c r="K366" i="12" s="1"/>
  <c r="K864" i="13" s="1" a="1"/>
  <c r="K864" i="13" s="1"/>
  <c r="K863" i="13" a="1"/>
  <c r="K863" i="13" s="1"/>
  <c r="L337" i="12"/>
  <c r="J386" i="12" a="1"/>
  <c r="J386" i="12" s="1"/>
  <c r="J927" i="13" s="1" a="1"/>
  <c r="J927" i="13" s="1"/>
  <c r="EO38" i="9" s="1" a="1"/>
  <c r="EO38" i="9" s="1"/>
  <c r="FL37" i="9" a="1"/>
  <c r="FL37" i="9" s="1"/>
  <c r="L370" i="12" a="1"/>
  <c r="L370" i="12" s="1"/>
  <c r="I400" i="12" a="1"/>
  <c r="I400" i="12" s="1"/>
  <c r="I961" i="13" s="1" a="1"/>
  <c r="I961" i="13" s="1"/>
  <c r="DV39" i="9" s="1" a="1"/>
  <c r="DV39" i="9" s="1"/>
  <c r="M313" i="12"/>
  <c r="M726" i="13" a="1"/>
  <c r="M726" i="13" s="1"/>
  <c r="F442" i="12" a="1"/>
  <c r="F442" i="12" s="1"/>
  <c r="F1063" i="13" s="1" a="1"/>
  <c r="F1063" i="13" s="1"/>
  <c r="BQ42" i="9" s="1" a="1"/>
  <c r="BQ42" i="9" s="1"/>
  <c r="DG40" i="9" a="1"/>
  <c r="DG40" i="9" s="1"/>
  <c r="I412" i="12" a="1"/>
  <c r="I412" i="12" s="1"/>
  <c r="M344" i="12" a="1"/>
  <c r="M344" i="12" s="1"/>
  <c r="M825" i="13" s="1" a="1"/>
  <c r="M825" i="13" s="1"/>
  <c r="GT35" i="9" s="1" a="1"/>
  <c r="GT35" i="9" s="1"/>
  <c r="J398" i="12" a="1"/>
  <c r="J398" i="12" s="1"/>
  <c r="DZ39" i="9" a="1"/>
  <c r="DZ39" i="9" s="1"/>
  <c r="O316" i="12" a="1"/>
  <c r="O316" i="12" s="1"/>
  <c r="O757" i="13" s="1" a="1"/>
  <c r="O757" i="13" s="1"/>
  <c r="IF33" i="9" s="1" a="1"/>
  <c r="IF33" i="9" s="1"/>
  <c r="F1033" i="13" a="1"/>
  <c r="F1033" i="13" s="1"/>
  <c r="F434" i="12"/>
  <c r="F436" i="12" s="1"/>
  <c r="F1034" i="13" s="1" a="1"/>
  <c r="F1034" i="13" s="1"/>
  <c r="H994" i="13" a="1"/>
  <c r="H994" i="13" s="1"/>
  <c r="H1021" i="13" s="1"/>
  <c r="H423" i="12"/>
  <c r="H418" i="12"/>
  <c r="G432" i="12"/>
  <c r="G1028" i="13" a="1"/>
  <c r="G1028" i="13" s="1"/>
  <c r="G1055" i="13" s="1"/>
  <c r="G437" i="12"/>
  <c r="M323" i="12"/>
  <c r="K372" i="12" a="1"/>
  <c r="K372" i="12" s="1"/>
  <c r="K893" i="13" s="1" a="1"/>
  <c r="K893" i="13" s="1"/>
  <c r="FH37" i="9" s="1" a="1"/>
  <c r="FH37" i="9" s="1"/>
  <c r="N761" i="13" a="1"/>
  <c r="N761" i="13" s="1"/>
  <c r="N322" i="12"/>
  <c r="N324" i="12" s="1"/>
  <c r="N762" i="13" s="1" a="1"/>
  <c r="N762" i="13" s="1"/>
  <c r="H414" i="12" a="1"/>
  <c r="H414" i="12" s="1"/>
  <c r="H995" i="13" s="1" a="1"/>
  <c r="H995" i="13" s="1"/>
  <c r="DC40" i="9" s="1" a="1"/>
  <c r="DC40" i="9" s="1"/>
  <c r="E435" i="12"/>
  <c r="H965" i="13" a="1"/>
  <c r="H965" i="13" s="1"/>
  <c r="H406" i="12"/>
  <c r="H408" i="12" s="1"/>
  <c r="H966" i="13" s="1" a="1"/>
  <c r="H966" i="13" s="1"/>
  <c r="O325" i="12"/>
  <c r="O756" i="13" a="1"/>
  <c r="O756" i="13" s="1"/>
  <c r="O783" i="13" s="1"/>
  <c r="O320" i="12"/>
  <c r="J365" i="12"/>
  <c r="N790" i="13" a="1"/>
  <c r="N790" i="13" s="1"/>
  <c r="N817" i="13" s="1"/>
  <c r="N339" i="12"/>
  <c r="N334" i="12"/>
  <c r="BB43" i="9" a="1"/>
  <c r="BB43" i="9" s="1"/>
  <c r="F454" i="12" a="1"/>
  <c r="F454" i="12" s="1"/>
  <c r="E468" i="12" a="1"/>
  <c r="E468" i="12" s="1"/>
  <c r="AI44" i="9" a="1"/>
  <c r="AI44" i="9" s="1"/>
  <c r="D53" i="24" a="1"/>
  <c r="D53" i="24" s="1"/>
  <c r="A1161" i="13" a="1"/>
  <c r="A1161" i="13" s="1"/>
  <c r="A482" i="12" a="1"/>
  <c r="A482" i="12" s="1"/>
  <c r="C55" i="28" a="1"/>
  <c r="C55" i="28" s="1"/>
  <c r="E456" i="12" a="1"/>
  <c r="E456" i="12" s="1"/>
  <c r="E1097" i="13" s="1" a="1"/>
  <c r="E1097" i="13" s="1"/>
  <c r="AX43" i="9" s="1" a="1"/>
  <c r="AX43" i="9" s="1"/>
  <c r="GX35" i="9" a="1"/>
  <c r="GX35" i="9" s="1"/>
  <c r="N342" i="12" a="1"/>
  <c r="N342" i="12" s="1"/>
  <c r="F1062" i="13" a="1"/>
  <c r="F1062" i="13" s="1"/>
  <c r="F1089" i="13" s="1"/>
  <c r="F446" i="12"/>
  <c r="F451" i="12"/>
  <c r="O727" i="13" a="1"/>
  <c r="O727" i="13" s="1"/>
  <c r="O308" i="12"/>
  <c r="O310" i="12" s="1"/>
  <c r="O728" i="13" s="1" a="1"/>
  <c r="O728" i="13" s="1"/>
  <c r="BU40" i="9" a="1"/>
  <c r="BU40" i="9" s="1"/>
  <c r="B1098" i="13"/>
  <c r="B1099" i="13" s="1"/>
  <c r="B1095" i="13"/>
  <c r="B1096" i="13" s="1"/>
  <c r="B1097" i="13" s="1"/>
  <c r="B1127" i="13" a="1"/>
  <c r="B1127" i="13" s="1"/>
  <c r="B1128" i="13" s="1"/>
  <c r="B1016" i="13"/>
  <c r="B1017" i="13" s="1"/>
  <c r="B1018" i="13" s="1"/>
  <c r="B1019" i="13" s="1"/>
  <c r="B1021" i="13"/>
  <c r="B1022" i="13" s="1"/>
  <c r="B1023" i="13" s="1"/>
  <c r="B1024" i="13" s="1"/>
  <c r="B1070" i="13"/>
  <c r="B1071" i="13" s="1"/>
  <c r="B1072" i="13" s="1"/>
  <c r="B1073" i="13" s="1"/>
  <c r="B1074" i="13" s="1"/>
  <c r="B1075" i="13" s="1"/>
  <c r="B1076" i="13" s="1"/>
  <c r="B1077" i="13" s="1"/>
  <c r="B1078" i="13" s="1"/>
  <c r="B1079" i="13" s="1"/>
  <c r="B1080" i="13" s="1"/>
  <c r="B1081" i="13" s="1"/>
  <c r="B1082" i="13" s="1"/>
  <c r="B1066" i="13"/>
  <c r="B1067" i="13" s="1"/>
  <c r="B1068" i="13" s="1"/>
  <c r="B1069" i="13" s="1"/>
  <c r="B1049" i="13"/>
  <c r="B1054" i="13"/>
  <c r="AA625" i="10"/>
  <c r="AA638" i="10"/>
  <c r="AA650" i="10"/>
  <c r="AA651" i="10" s="1"/>
  <c r="AA663" i="10"/>
  <c r="B468" i="12" a="1"/>
  <c r="B468" i="12" s="1"/>
  <c r="R515" i="12"/>
  <c r="R552" i="12"/>
  <c r="R539" i="12"/>
  <c r="R540" i="12"/>
  <c r="R528" i="12"/>
  <c r="R527" i="12"/>
  <c r="D828" i="13" l="1" a="1"/>
  <c r="D828" i="13" s="1"/>
  <c r="H692" i="13" a="1"/>
  <c r="H692" i="13" s="1"/>
  <c r="E1268" i="13" a="1"/>
  <c r="E1268" i="13" s="1"/>
  <c r="E1295" i="13" s="1"/>
  <c r="E536" i="12"/>
  <c r="E531" i="12"/>
  <c r="E1273" i="13" s="1" a="1"/>
  <c r="E1273" i="13" s="1"/>
  <c r="G1268" i="13" a="1"/>
  <c r="G1268" i="13" s="1"/>
  <c r="G1295" i="13" s="1"/>
  <c r="G536" i="12"/>
  <c r="G531" i="12"/>
  <c r="G1273" i="13" s="1" a="1"/>
  <c r="G1273" i="13" s="1"/>
  <c r="J528" i="12" a="1"/>
  <c r="J528" i="12" s="1"/>
  <c r="I528" i="12" a="1"/>
  <c r="I528" i="12" s="1"/>
  <c r="H528" i="12" a="1"/>
  <c r="H528" i="12" s="1"/>
  <c r="O528" i="12" a="1"/>
  <c r="O528" i="12" s="1"/>
  <c r="G528" i="12" a="1"/>
  <c r="G528" i="12" s="1"/>
  <c r="M528" i="12" a="1"/>
  <c r="M528" i="12" s="1"/>
  <c r="E528" i="12" a="1"/>
  <c r="E528" i="12" s="1"/>
  <c r="L528" i="12" a="1"/>
  <c r="L528" i="12" s="1"/>
  <c r="D528" i="12" a="1"/>
  <c r="D528" i="12" s="1"/>
  <c r="F528" i="12" a="1"/>
  <c r="F528" i="12" s="1"/>
  <c r="N528" i="12" a="1"/>
  <c r="N528" i="12" s="1"/>
  <c r="K528" i="12" a="1"/>
  <c r="K528" i="12" s="1"/>
  <c r="F998" i="13" a="1"/>
  <c r="F998" i="13" s="1"/>
  <c r="F1268" i="13" a="1"/>
  <c r="F1268" i="13" s="1"/>
  <c r="F1295" i="13" s="1"/>
  <c r="F536" i="12"/>
  <c r="F531" i="12"/>
  <c r="F1273" i="13" s="1" a="1"/>
  <c r="F1273" i="13" s="1"/>
  <c r="O1268" i="13" a="1"/>
  <c r="O1268" i="13" s="1"/>
  <c r="O1295" i="13" s="1"/>
  <c r="O531" i="12"/>
  <c r="O1273" i="13" s="1" a="1"/>
  <c r="O1273" i="13" s="1"/>
  <c r="O536" i="12"/>
  <c r="K1268" i="13" a="1"/>
  <c r="K1268" i="13" s="1"/>
  <c r="K1295" i="13" s="1"/>
  <c r="K536" i="12"/>
  <c r="K531" i="12"/>
  <c r="K1273" i="13" s="1" a="1"/>
  <c r="K1273" i="13" s="1"/>
  <c r="H1268" i="13" a="1"/>
  <c r="H1268" i="13" s="1"/>
  <c r="H1295" i="13" s="1"/>
  <c r="H536" i="12"/>
  <c r="H531" i="12"/>
  <c r="H1273" i="13" s="1" a="1"/>
  <c r="H1273" i="13" s="1"/>
  <c r="N527" i="12" a="1"/>
  <c r="N527" i="12" s="1"/>
  <c r="N1269" i="13" s="1" a="1"/>
  <c r="N1269" i="13" s="1"/>
  <c r="F527" i="12" a="1"/>
  <c r="F527" i="12" s="1"/>
  <c r="F1269" i="13" s="1" a="1"/>
  <c r="F1269" i="13" s="1"/>
  <c r="M527" i="12" a="1"/>
  <c r="M527" i="12" s="1"/>
  <c r="M1269" i="13" s="1" a="1"/>
  <c r="M1269" i="13" s="1"/>
  <c r="E527" i="12" a="1"/>
  <c r="E527" i="12" s="1"/>
  <c r="E1269" i="13" s="1" a="1"/>
  <c r="E1269" i="13" s="1"/>
  <c r="L527" i="12" a="1"/>
  <c r="L527" i="12" s="1"/>
  <c r="L1269" i="13" s="1" a="1"/>
  <c r="L1269" i="13" s="1"/>
  <c r="D527" i="12" a="1"/>
  <c r="D527" i="12" s="1"/>
  <c r="D1269" i="13" s="1" a="1"/>
  <c r="D1269" i="13" s="1"/>
  <c r="K527" i="12" a="1"/>
  <c r="K527" i="12" s="1"/>
  <c r="K1269" i="13" s="1" a="1"/>
  <c r="K1269" i="13" s="1"/>
  <c r="I527" i="12" a="1"/>
  <c r="I527" i="12" s="1"/>
  <c r="I1269" i="13" s="1" a="1"/>
  <c r="I1269" i="13" s="1"/>
  <c r="H527" i="12" a="1"/>
  <c r="H527" i="12" s="1"/>
  <c r="H1269" i="13" s="1" a="1"/>
  <c r="H1269" i="13" s="1"/>
  <c r="O527" i="12" a="1"/>
  <c r="O527" i="12" s="1"/>
  <c r="O1269" i="13" s="1" a="1"/>
  <c r="O1269" i="13" s="1"/>
  <c r="J527" i="12" a="1"/>
  <c r="J527" i="12" s="1"/>
  <c r="J1269" i="13" s="1" a="1"/>
  <c r="J1269" i="13" s="1"/>
  <c r="G527" i="12" a="1"/>
  <c r="G527" i="12" s="1"/>
  <c r="G1269" i="13" s="1" a="1"/>
  <c r="G1269" i="13" s="1"/>
  <c r="N1268" i="13" a="1"/>
  <c r="N1268" i="13" s="1"/>
  <c r="N1295" i="13" s="1"/>
  <c r="N531" i="12"/>
  <c r="N1273" i="13" s="1" a="1"/>
  <c r="N1273" i="13" s="1"/>
  <c r="N536" i="12"/>
  <c r="I1268" i="13" a="1"/>
  <c r="I1268" i="13" s="1"/>
  <c r="I1295" i="13" s="1"/>
  <c r="I536" i="12"/>
  <c r="I531" i="12"/>
  <c r="I1273" i="13" s="1" a="1"/>
  <c r="I1273" i="13" s="1"/>
  <c r="J539" i="12" a="1"/>
  <c r="J539" i="12" s="1"/>
  <c r="I539" i="12" a="1"/>
  <c r="I539" i="12" s="1"/>
  <c r="H539" i="12" a="1"/>
  <c r="H539" i="12" s="1"/>
  <c r="O539" i="12" a="1"/>
  <c r="O539" i="12" s="1"/>
  <c r="G539" i="12" a="1"/>
  <c r="G539" i="12" s="1"/>
  <c r="N539" i="12" a="1"/>
  <c r="N539" i="12" s="1"/>
  <c r="F539" i="12" a="1"/>
  <c r="F539" i="12" s="1"/>
  <c r="M539" i="12" a="1"/>
  <c r="M539" i="12" s="1"/>
  <c r="E539" i="12" a="1"/>
  <c r="E539" i="12" s="1"/>
  <c r="L539" i="12" a="1"/>
  <c r="L539" i="12" s="1"/>
  <c r="D539" i="12" a="1"/>
  <c r="D539" i="12" s="1"/>
  <c r="K539" i="12" a="1"/>
  <c r="K539" i="12" s="1"/>
  <c r="N515" i="12" a="1"/>
  <c r="N515" i="12" s="1"/>
  <c r="F515" i="12" a="1"/>
  <c r="F515" i="12" s="1"/>
  <c r="M515" i="12" a="1"/>
  <c r="M515" i="12" s="1"/>
  <c r="E515" i="12" a="1"/>
  <c r="E515" i="12" s="1"/>
  <c r="L515" i="12" a="1"/>
  <c r="L515" i="12" s="1"/>
  <c r="D515" i="12" a="1"/>
  <c r="D515" i="12" s="1"/>
  <c r="K515" i="12" a="1"/>
  <c r="K515" i="12" s="1"/>
  <c r="J515" i="12" a="1"/>
  <c r="J515" i="12" s="1"/>
  <c r="I515" i="12" a="1"/>
  <c r="I515" i="12" s="1"/>
  <c r="H515" i="12" a="1"/>
  <c r="H515" i="12" s="1"/>
  <c r="O515" i="12" a="1"/>
  <c r="O515" i="12" s="1"/>
  <c r="G515" i="12" a="1"/>
  <c r="G515" i="12" s="1"/>
  <c r="D1268" i="13" a="1"/>
  <c r="D1268" i="13" s="1"/>
  <c r="D1295" i="13" s="1"/>
  <c r="D531" i="12"/>
  <c r="D1273" i="13" s="1" a="1"/>
  <c r="D1273" i="13" s="1"/>
  <c r="D536" i="12"/>
  <c r="J1268" i="13" a="1"/>
  <c r="J1268" i="13" s="1"/>
  <c r="J1295" i="13" s="1"/>
  <c r="J536" i="12"/>
  <c r="J531" i="12"/>
  <c r="J1273" i="13" s="1" a="1"/>
  <c r="J1273" i="13" s="1"/>
  <c r="M1268" i="13" a="1"/>
  <c r="M1268" i="13" s="1"/>
  <c r="M1295" i="13" s="1"/>
  <c r="M531" i="12"/>
  <c r="M1273" i="13" s="1" a="1"/>
  <c r="M1273" i="13" s="1"/>
  <c r="M536" i="12"/>
  <c r="L1268" i="13" a="1"/>
  <c r="L1268" i="13" s="1"/>
  <c r="L1295" i="13" s="1"/>
  <c r="L536" i="12"/>
  <c r="L531" i="12"/>
  <c r="L1273" i="13" s="1" a="1"/>
  <c r="L1273" i="13" s="1"/>
  <c r="H342" i="12" a="1"/>
  <c r="H342" i="12" s="1"/>
  <c r="D390" i="12"/>
  <c r="D926" i="13" a="1"/>
  <c r="D926" i="13" s="1"/>
  <c r="D953" i="13" s="1"/>
  <c r="D395" i="12"/>
  <c r="G323" i="12"/>
  <c r="D365" i="12"/>
  <c r="FW38" i="9" a="1"/>
  <c r="FW38" i="9" s="1"/>
  <c r="FX38" i="9" s="1"/>
  <c r="GP37" i="9" a="1"/>
  <c r="GP37" i="9" s="1"/>
  <c r="GQ37" i="9" s="1"/>
  <c r="D378" i="12"/>
  <c r="D380" i="12" s="1"/>
  <c r="D898" i="13" s="1" a="1"/>
  <c r="D898" i="13" s="1"/>
  <c r="D897" i="13" a="1"/>
  <c r="D897" i="13" s="1"/>
  <c r="D398" i="12" a="1"/>
  <c r="D398" i="12" s="1"/>
  <c r="G726" i="13" a="1"/>
  <c r="G726" i="13" s="1"/>
  <c r="G313" i="12"/>
  <c r="O299" i="12"/>
  <c r="I383" i="12"/>
  <c r="N313" i="12"/>
  <c r="N323" i="12"/>
  <c r="N760" i="13" s="1" a="1"/>
  <c r="N760" i="13" s="1"/>
  <c r="F435" i="12"/>
  <c r="F439" i="12" s="1"/>
  <c r="O309" i="12"/>
  <c r="O313" i="12" s="1"/>
  <c r="K828" i="13" a="1"/>
  <c r="K828" i="13" s="1"/>
  <c r="K365" i="12"/>
  <c r="K862" i="13" s="1" a="1"/>
  <c r="K862" i="13" s="1"/>
  <c r="L351" i="12"/>
  <c r="L355" i="12" s="1"/>
  <c r="E449" i="12"/>
  <c r="E1066" i="13" s="1" a="1"/>
  <c r="E1066" i="13" s="1"/>
  <c r="I393" i="12"/>
  <c r="I397" i="12" s="1"/>
  <c r="L384" i="12" a="1"/>
  <c r="L384" i="12" s="1"/>
  <c r="FL38" i="9" a="1"/>
  <c r="FL38" i="9" s="1"/>
  <c r="F468" i="12" a="1"/>
  <c r="F468" i="12" s="1"/>
  <c r="BB44" i="9" a="1"/>
  <c r="BB44" i="9" s="1"/>
  <c r="G434" i="12"/>
  <c r="G436" i="12" s="1"/>
  <c r="G1034" i="13" s="1" a="1"/>
  <c r="G1034" i="13" s="1"/>
  <c r="G1033" i="13" a="1"/>
  <c r="G1033" i="13" s="1"/>
  <c r="K386" i="12" a="1"/>
  <c r="K386" i="12" s="1"/>
  <c r="K927" i="13" s="1" a="1"/>
  <c r="K927" i="13" s="1"/>
  <c r="FH38" i="9" s="1" a="1"/>
  <c r="FH38" i="9" s="1"/>
  <c r="E470" i="12" a="1"/>
  <c r="E470" i="12" s="1"/>
  <c r="E1131" i="13" s="1" a="1"/>
  <c r="E1131" i="13" s="1"/>
  <c r="AX44" i="9" s="1" a="1"/>
  <c r="AX44" i="9" s="1"/>
  <c r="J400" i="12" a="1"/>
  <c r="J400" i="12" s="1"/>
  <c r="J961" i="13" s="1" a="1"/>
  <c r="J961" i="13" s="1"/>
  <c r="EO39" i="9" s="1" a="1"/>
  <c r="EO39" i="9" s="1"/>
  <c r="F1096" i="13" a="1"/>
  <c r="F1096" i="13" s="1"/>
  <c r="F1123" i="13" s="1"/>
  <c r="F460" i="12"/>
  <c r="F465" i="12"/>
  <c r="H999" i="13" a="1"/>
  <c r="H999" i="13" s="1"/>
  <c r="H420" i="12"/>
  <c r="H422" i="12" s="1"/>
  <c r="H1000" i="13" s="1" a="1"/>
  <c r="H1000" i="13" s="1"/>
  <c r="M337" i="12"/>
  <c r="O790" i="13" a="1"/>
  <c r="O790" i="13" s="1"/>
  <c r="O817" i="13" s="1"/>
  <c r="O339" i="12"/>
  <c r="O334" i="12"/>
  <c r="J392" i="12"/>
  <c r="J394" i="12" s="1"/>
  <c r="J932" i="13" s="1" a="1"/>
  <c r="J932" i="13" s="1"/>
  <c r="J931" i="13" a="1"/>
  <c r="J931" i="13" s="1"/>
  <c r="L372" i="12" a="1"/>
  <c r="L372" i="12" s="1"/>
  <c r="L893" i="13" s="1" a="1"/>
  <c r="L893" i="13" s="1"/>
  <c r="GA37" i="9" s="1" a="1"/>
  <c r="GA37" i="9" s="1"/>
  <c r="E482" i="12" a="1"/>
  <c r="E482" i="12" s="1"/>
  <c r="AI45" i="9" a="1"/>
  <c r="AI45" i="9" s="1"/>
  <c r="H428" i="12" a="1"/>
  <c r="H428" i="12" s="1"/>
  <c r="H1029" i="13" s="1" a="1"/>
  <c r="H1029" i="13" s="1"/>
  <c r="DC41" i="9" s="1" a="1"/>
  <c r="DC41" i="9" s="1"/>
  <c r="HQ35" i="9" a="1"/>
  <c r="HQ35" i="9" s="1"/>
  <c r="O342" i="12" a="1"/>
  <c r="O342" i="12" s="1"/>
  <c r="H407" i="12"/>
  <c r="J404" i="12"/>
  <c r="J960" i="13" a="1"/>
  <c r="J960" i="13" s="1"/>
  <c r="J987" i="13" s="1"/>
  <c r="J409" i="12"/>
  <c r="L794" i="13" a="1"/>
  <c r="L794" i="13" s="1"/>
  <c r="L341" i="12"/>
  <c r="GE37" i="9" a="1"/>
  <c r="GE37" i="9" s="1"/>
  <c r="M370" i="12" a="1"/>
  <c r="M370" i="12" s="1"/>
  <c r="N336" i="12"/>
  <c r="N338" i="12" s="1"/>
  <c r="N796" i="13" s="1" a="1"/>
  <c r="N796" i="13" s="1"/>
  <c r="N795" i="13" a="1"/>
  <c r="N795" i="13" s="1"/>
  <c r="L364" i="12"/>
  <c r="L366" i="12" s="1"/>
  <c r="L864" i="13" s="1" a="1"/>
  <c r="L864" i="13" s="1"/>
  <c r="L863" i="13" a="1"/>
  <c r="L863" i="13" s="1"/>
  <c r="CN42" i="9" a="1"/>
  <c r="CN42" i="9" s="1"/>
  <c r="H440" i="12" a="1"/>
  <c r="H440" i="12" s="1"/>
  <c r="K398" i="12" a="1"/>
  <c r="K398" i="12" s="1"/>
  <c r="ES39" i="9" a="1"/>
  <c r="ES39" i="9" s="1"/>
  <c r="K926" i="13" a="1"/>
  <c r="K926" i="13" s="1"/>
  <c r="K953" i="13" s="1"/>
  <c r="K390" i="12"/>
  <c r="K395" i="12"/>
  <c r="D484" i="12" a="1"/>
  <c r="D484" i="12" s="1"/>
  <c r="D1165" i="13" s="1" a="1"/>
  <c r="D1165" i="13" s="1"/>
  <c r="AE45" i="9" s="1" a="1"/>
  <c r="AE45" i="9" s="1"/>
  <c r="DG41" i="9" a="1"/>
  <c r="DG41" i="9" s="1"/>
  <c r="I426" i="12" a="1"/>
  <c r="I426" i="12" s="1"/>
  <c r="N344" i="12" a="1"/>
  <c r="N344" i="12" s="1"/>
  <c r="N825" i="13" s="1" a="1"/>
  <c r="N825" i="13" s="1"/>
  <c r="HM35" i="9" s="1" a="1"/>
  <c r="HM35" i="9" s="1"/>
  <c r="E462" i="12"/>
  <c r="E464" i="12" s="1"/>
  <c r="E1102" i="13" s="1" a="1"/>
  <c r="E1102" i="13" s="1"/>
  <c r="E1101" i="13" a="1"/>
  <c r="E1101" i="13" s="1"/>
  <c r="G442" i="12" a="1"/>
  <c r="G442" i="12" s="1"/>
  <c r="G1063" i="13" s="1" a="1"/>
  <c r="G1063" i="13" s="1"/>
  <c r="CJ42" i="9" s="1" a="1"/>
  <c r="CJ42" i="9" s="1"/>
  <c r="M358" i="12" a="1"/>
  <c r="M358" i="12" s="1"/>
  <c r="M859" i="13" s="1" a="1"/>
  <c r="M859" i="13" s="1"/>
  <c r="GT36" i="9" s="1" a="1"/>
  <c r="GT36" i="9" s="1"/>
  <c r="D54" i="24" a="1"/>
  <c r="D54" i="24" s="1"/>
  <c r="E439" i="12"/>
  <c r="E1032" i="13" a="1"/>
  <c r="E1032" i="13" s="1"/>
  <c r="M760" i="13" a="1"/>
  <c r="M760" i="13" s="1"/>
  <c r="M327" i="12"/>
  <c r="I423" i="12"/>
  <c r="I994" i="13" a="1"/>
  <c r="I994" i="13" s="1"/>
  <c r="I1021" i="13" s="1"/>
  <c r="I418" i="12"/>
  <c r="I965" i="13" a="1"/>
  <c r="I965" i="13" s="1"/>
  <c r="I406" i="12"/>
  <c r="I408" i="12" s="1"/>
  <c r="I966" i="13" s="1" a="1"/>
  <c r="I966" i="13" s="1"/>
  <c r="M858" i="13" a="1"/>
  <c r="M858" i="13" s="1"/>
  <c r="M885" i="13" s="1"/>
  <c r="M362" i="12"/>
  <c r="M367" i="12"/>
  <c r="E474" i="12"/>
  <c r="E1130" i="13" a="1"/>
  <c r="E1130" i="13" s="1"/>
  <c r="E1157" i="13" s="1"/>
  <c r="E479" i="12"/>
  <c r="M350" i="12"/>
  <c r="M352" i="12" s="1"/>
  <c r="M830" i="13" s="1" a="1"/>
  <c r="M830" i="13" s="1"/>
  <c r="M829" i="13" a="1"/>
  <c r="M829" i="13" s="1"/>
  <c r="N356" i="12" a="1"/>
  <c r="N356" i="12" s="1"/>
  <c r="GX36" i="9" a="1"/>
  <c r="GX36" i="9" s="1"/>
  <c r="C56" i="28" a="1"/>
  <c r="C56" i="28" s="1"/>
  <c r="A496" i="12" a="1"/>
  <c r="A496" i="12" s="1"/>
  <c r="A1195" i="13" a="1"/>
  <c r="A1195" i="13" s="1"/>
  <c r="BU43" i="9" a="1"/>
  <c r="BU43" i="9" s="1"/>
  <c r="G454" i="12" a="1"/>
  <c r="G454" i="12" s="1"/>
  <c r="N824" i="13" a="1"/>
  <c r="N824" i="13" s="1"/>
  <c r="N851" i="13" s="1"/>
  <c r="N353" i="12"/>
  <c r="N348" i="12"/>
  <c r="J369" i="12"/>
  <c r="J862" i="13" a="1"/>
  <c r="J862" i="13" s="1"/>
  <c r="L892" i="13" a="1"/>
  <c r="L892" i="13" s="1"/>
  <c r="L919" i="13" s="1"/>
  <c r="L381" i="12"/>
  <c r="L376" i="12"/>
  <c r="K378" i="12"/>
  <c r="K380" i="12" s="1"/>
  <c r="K898" i="13" s="1" a="1"/>
  <c r="K898" i="13" s="1"/>
  <c r="K897" i="13" a="1"/>
  <c r="K897" i="13" s="1"/>
  <c r="O330" i="12" a="1"/>
  <c r="O330" i="12" s="1"/>
  <c r="O791" i="13" s="1" a="1"/>
  <c r="O791" i="13" s="1"/>
  <c r="IF34" i="9" s="1" a="1"/>
  <c r="IF34" i="9" s="1"/>
  <c r="DZ40" i="9" a="1"/>
  <c r="DZ40" i="9" s="1"/>
  <c r="J412" i="12" a="1"/>
  <c r="J412" i="12" s="1"/>
  <c r="F456" i="12" a="1"/>
  <c r="F456" i="12" s="1"/>
  <c r="F1097" i="13" s="1" a="1"/>
  <c r="F1097" i="13" s="1"/>
  <c r="BQ43" i="9" s="1" a="1"/>
  <c r="BQ43" i="9" s="1"/>
  <c r="I414" i="12" a="1"/>
  <c r="I414" i="12" s="1"/>
  <c r="I995" i="13" s="1" a="1"/>
  <c r="I995" i="13" s="1"/>
  <c r="DV40" i="9" s="1" a="1"/>
  <c r="DV40" i="9" s="1"/>
  <c r="F448" i="12"/>
  <c r="F450" i="12" s="1"/>
  <c r="F1068" i="13" s="1" a="1"/>
  <c r="F1068" i="13" s="1"/>
  <c r="F1067" i="13" a="1"/>
  <c r="F1067" i="13" s="1"/>
  <c r="O322" i="12"/>
  <c r="O324" i="12" s="1"/>
  <c r="O762" i="13" s="1" a="1"/>
  <c r="O762" i="13" s="1"/>
  <c r="O761" i="13" a="1"/>
  <c r="O761" i="13" s="1"/>
  <c r="J379" i="12"/>
  <c r="B1088" i="13"/>
  <c r="B1083" i="13"/>
  <c r="B1129" i="13"/>
  <c r="B1130" i="13" s="1"/>
  <c r="B1131" i="13" s="1"/>
  <c r="B1132" i="13"/>
  <c r="B1133" i="13" s="1"/>
  <c r="B1104" i="13"/>
  <c r="B1105" i="13" s="1"/>
  <c r="B1106" i="13" s="1"/>
  <c r="B1107" i="13" s="1"/>
  <c r="B1108" i="13" s="1"/>
  <c r="B1109" i="13" s="1"/>
  <c r="B1110" i="13" s="1"/>
  <c r="B1111" i="13" s="1"/>
  <c r="B1112" i="13" s="1"/>
  <c r="B1113" i="13" s="1"/>
  <c r="B1114" i="13" s="1"/>
  <c r="B1115" i="13" s="1"/>
  <c r="B1116" i="13" s="1"/>
  <c r="B1100" i="13"/>
  <c r="B1101" i="13" s="1"/>
  <c r="B1102" i="13" s="1"/>
  <c r="B1103" i="13" s="1"/>
  <c r="B1161" i="13" a="1"/>
  <c r="B1161" i="13" s="1"/>
  <c r="B1162" i="13" s="1"/>
  <c r="B1050" i="13"/>
  <c r="B1051" i="13" s="1"/>
  <c r="B1052" i="13" s="1"/>
  <c r="B1053" i="13" s="1"/>
  <c r="B1055" i="13"/>
  <c r="B1056" i="13" s="1"/>
  <c r="B1057" i="13" s="1"/>
  <c r="B1058" i="13" s="1"/>
  <c r="AA639" i="10"/>
  <c r="AA664" i="10"/>
  <c r="AA665" i="10" s="1"/>
  <c r="AA677" i="10"/>
  <c r="AA652" i="10"/>
  <c r="B482" i="12" a="1"/>
  <c r="B482" i="12" s="1"/>
  <c r="R542" i="12"/>
  <c r="R529" i="12"/>
  <c r="R541" i="12"/>
  <c r="R566" i="12"/>
  <c r="R554" i="12"/>
  <c r="R553" i="12"/>
  <c r="I930" i="13" l="1" a="1"/>
  <c r="I930" i="13" s="1"/>
  <c r="F1302" i="13" a="1"/>
  <c r="F1302" i="13" s="1"/>
  <c r="F1329" i="13" s="1"/>
  <c r="F545" i="12"/>
  <c r="F1307" i="13" s="1" a="1"/>
  <c r="F1307" i="13" s="1"/>
  <c r="F550" i="12"/>
  <c r="N529" i="12" a="1"/>
  <c r="N529" i="12" s="1"/>
  <c r="F529" i="12" a="1"/>
  <c r="F529" i="12" s="1"/>
  <c r="M529" i="12" a="1"/>
  <c r="M529" i="12" s="1"/>
  <c r="E529" i="12" a="1"/>
  <c r="E529" i="12" s="1"/>
  <c r="L529" i="12" a="1"/>
  <c r="L529" i="12" s="1"/>
  <c r="D529" i="12" a="1"/>
  <c r="D529" i="12" s="1"/>
  <c r="K529" i="12" a="1"/>
  <c r="K529" i="12" s="1"/>
  <c r="J529" i="12" a="1"/>
  <c r="J529" i="12" s="1"/>
  <c r="I529" i="12" a="1"/>
  <c r="I529" i="12" s="1"/>
  <c r="H529" i="12" a="1"/>
  <c r="H529" i="12" s="1"/>
  <c r="O529" i="12" a="1"/>
  <c r="O529" i="12" s="1"/>
  <c r="G529" i="12" a="1"/>
  <c r="G529" i="12" s="1"/>
  <c r="J542" i="12" a="1"/>
  <c r="J542" i="12" s="1"/>
  <c r="I542" i="12" a="1"/>
  <c r="I542" i="12" s="1"/>
  <c r="H542" i="12" a="1"/>
  <c r="H542" i="12" s="1"/>
  <c r="O542" i="12" a="1"/>
  <c r="O542" i="12" s="1"/>
  <c r="G542" i="12" a="1"/>
  <c r="G542" i="12" s="1"/>
  <c r="N542" i="12" a="1"/>
  <c r="N542" i="12" s="1"/>
  <c r="F542" i="12" a="1"/>
  <c r="F542" i="12" s="1"/>
  <c r="M542" i="12" a="1"/>
  <c r="M542" i="12" s="1"/>
  <c r="E542" i="12" a="1"/>
  <c r="E542" i="12" s="1"/>
  <c r="L542" i="12" a="1"/>
  <c r="L542" i="12" s="1"/>
  <c r="D542" i="12" a="1"/>
  <c r="D542" i="12" s="1"/>
  <c r="K542" i="12" a="1"/>
  <c r="K542" i="12" s="1"/>
  <c r="G1302" i="13" a="1"/>
  <c r="G1302" i="13" s="1"/>
  <c r="G1329" i="13" s="1"/>
  <c r="G545" i="12"/>
  <c r="G1307" i="13" s="1" a="1"/>
  <c r="G1307" i="13" s="1"/>
  <c r="G550" i="12"/>
  <c r="N541" i="12" a="1"/>
  <c r="N541" i="12" s="1"/>
  <c r="N1303" i="13" s="1" a="1"/>
  <c r="N1303" i="13" s="1"/>
  <c r="F541" i="12" a="1"/>
  <c r="F541" i="12" s="1"/>
  <c r="F1303" i="13" s="1" a="1"/>
  <c r="F1303" i="13" s="1"/>
  <c r="M541" i="12" a="1"/>
  <c r="M541" i="12" s="1"/>
  <c r="M1303" i="13" s="1" a="1"/>
  <c r="M1303" i="13" s="1"/>
  <c r="E541" i="12" a="1"/>
  <c r="E541" i="12" s="1"/>
  <c r="E1303" i="13" s="1" a="1"/>
  <c r="E1303" i="13" s="1"/>
  <c r="L541" i="12" a="1"/>
  <c r="L541" i="12" s="1"/>
  <c r="L1303" i="13" s="1" a="1"/>
  <c r="L1303" i="13" s="1"/>
  <c r="D541" i="12" a="1"/>
  <c r="D541" i="12" s="1"/>
  <c r="D1303" i="13" s="1" a="1"/>
  <c r="D1303" i="13" s="1"/>
  <c r="K541" i="12" a="1"/>
  <c r="K541" i="12" s="1"/>
  <c r="K1303" i="13" s="1" a="1"/>
  <c r="K1303" i="13" s="1"/>
  <c r="J541" i="12" a="1"/>
  <c r="J541" i="12" s="1"/>
  <c r="J1303" i="13" s="1" a="1"/>
  <c r="J1303" i="13" s="1"/>
  <c r="I541" i="12" a="1"/>
  <c r="I541" i="12" s="1"/>
  <c r="I1303" i="13" s="1" a="1"/>
  <c r="I1303" i="13" s="1"/>
  <c r="H541" i="12" a="1"/>
  <c r="H541" i="12" s="1"/>
  <c r="H1303" i="13" s="1" a="1"/>
  <c r="H1303" i="13" s="1"/>
  <c r="O541" i="12" a="1"/>
  <c r="O541" i="12" s="1"/>
  <c r="O1303" i="13" s="1" a="1"/>
  <c r="O1303" i="13" s="1"/>
  <c r="G541" i="12" a="1"/>
  <c r="G541" i="12" s="1"/>
  <c r="G1303" i="13" s="1" a="1"/>
  <c r="G1303" i="13" s="1"/>
  <c r="K1302" i="13" a="1"/>
  <c r="K1302" i="13" s="1"/>
  <c r="K1329" i="13" s="1"/>
  <c r="K550" i="12"/>
  <c r="K545" i="12"/>
  <c r="K1307" i="13" s="1" a="1"/>
  <c r="K1307" i="13" s="1"/>
  <c r="O1302" i="13" a="1"/>
  <c r="O1302" i="13" s="1"/>
  <c r="O1329" i="13" s="1"/>
  <c r="O545" i="12"/>
  <c r="O1307" i="13" s="1" a="1"/>
  <c r="O1307" i="13" s="1"/>
  <c r="O550" i="12"/>
  <c r="D1302" i="13" a="1"/>
  <c r="D1302" i="13" s="1"/>
  <c r="D1329" i="13" s="1"/>
  <c r="D545" i="12"/>
  <c r="D1307" i="13" s="1" a="1"/>
  <c r="D1307" i="13" s="1"/>
  <c r="D550" i="12"/>
  <c r="H1302" i="13" a="1"/>
  <c r="H1302" i="13" s="1"/>
  <c r="H1329" i="13" s="1"/>
  <c r="H545" i="12"/>
  <c r="H1307" i="13" s="1" a="1"/>
  <c r="H1307" i="13" s="1"/>
  <c r="H550" i="12"/>
  <c r="N1302" i="13" a="1"/>
  <c r="N1302" i="13" s="1"/>
  <c r="N1329" i="13" s="1"/>
  <c r="N545" i="12"/>
  <c r="N1307" i="13" s="1" a="1"/>
  <c r="N1307" i="13" s="1"/>
  <c r="N550" i="12"/>
  <c r="D379" i="12"/>
  <c r="D383" i="12" s="1"/>
  <c r="L1302" i="13" a="1"/>
  <c r="L1302" i="13" s="1"/>
  <c r="L1329" i="13" s="1"/>
  <c r="L545" i="12"/>
  <c r="L1307" i="13" s="1" a="1"/>
  <c r="L1307" i="13" s="1"/>
  <c r="L550" i="12"/>
  <c r="I1302" i="13" a="1"/>
  <c r="I1302" i="13" s="1"/>
  <c r="I1329" i="13" s="1"/>
  <c r="I545" i="12"/>
  <c r="I1307" i="13" s="1" a="1"/>
  <c r="I1307" i="13" s="1"/>
  <c r="I550" i="12"/>
  <c r="J553" i="12" a="1"/>
  <c r="J553" i="12" s="1"/>
  <c r="G553" i="12" a="1"/>
  <c r="G553" i="12" s="1"/>
  <c r="I553" i="12" a="1"/>
  <c r="I553" i="12" s="1"/>
  <c r="H553" i="12" a="1"/>
  <c r="H553" i="12" s="1"/>
  <c r="O553" i="12" a="1"/>
  <c r="O553" i="12" s="1"/>
  <c r="N553" i="12" a="1"/>
  <c r="N553" i="12" s="1"/>
  <c r="F553" i="12" a="1"/>
  <c r="F553" i="12" s="1"/>
  <c r="M553" i="12" a="1"/>
  <c r="M553" i="12" s="1"/>
  <c r="E553" i="12" a="1"/>
  <c r="E553" i="12" s="1"/>
  <c r="L553" i="12" a="1"/>
  <c r="L553" i="12" s="1"/>
  <c r="D553" i="12" a="1"/>
  <c r="D553" i="12" s="1"/>
  <c r="K553" i="12" a="1"/>
  <c r="K553" i="12" s="1"/>
  <c r="E1302" i="13" a="1"/>
  <c r="E1302" i="13" s="1"/>
  <c r="E1329" i="13" s="1"/>
  <c r="E545" i="12"/>
  <c r="E1307" i="13" s="1" a="1"/>
  <c r="E1307" i="13" s="1"/>
  <c r="E550" i="12"/>
  <c r="J1302" i="13" a="1"/>
  <c r="J1302" i="13" s="1"/>
  <c r="J1329" i="13" s="1"/>
  <c r="J545" i="12"/>
  <c r="J1307" i="13" s="1" a="1"/>
  <c r="J1307" i="13" s="1"/>
  <c r="J550" i="12"/>
  <c r="M1302" i="13" a="1"/>
  <c r="M1302" i="13" s="1"/>
  <c r="M1329" i="13" s="1"/>
  <c r="M545" i="12"/>
  <c r="M1307" i="13" s="1" a="1"/>
  <c r="M1307" i="13" s="1"/>
  <c r="M550" i="12"/>
  <c r="N327" i="12"/>
  <c r="GP38" i="9" a="1"/>
  <c r="GP38" i="9" s="1"/>
  <c r="GQ38" i="9" s="1"/>
  <c r="D931" i="13" a="1"/>
  <c r="D931" i="13" s="1"/>
  <c r="D392" i="12"/>
  <c r="D394" i="12" s="1"/>
  <c r="D932" i="13" s="1" a="1"/>
  <c r="D932" i="13" s="1"/>
  <c r="FW39" i="9" a="1"/>
  <c r="FW39" i="9" s="1"/>
  <c r="FX39" i="9" s="1"/>
  <c r="H356" i="12" a="1"/>
  <c r="H356" i="12" s="1"/>
  <c r="D369" i="12"/>
  <c r="D862" i="13" a="1"/>
  <c r="D862" i="13" s="1"/>
  <c r="D412" i="12" a="1"/>
  <c r="D412" i="12" s="1"/>
  <c r="G327" i="12"/>
  <c r="G760" i="13" a="1"/>
  <c r="G760" i="13" s="1"/>
  <c r="HI37" i="9" a="1"/>
  <c r="HI37" i="9" s="1"/>
  <c r="HJ37" i="9" s="1"/>
  <c r="G370" i="12" a="1"/>
  <c r="G370" i="12" s="1"/>
  <c r="D960" i="13" a="1"/>
  <c r="D960" i="13" s="1"/>
  <c r="D987" i="13" s="1"/>
  <c r="D404" i="12"/>
  <c r="D409" i="12"/>
  <c r="H824" i="13" a="1"/>
  <c r="H824" i="13" s="1"/>
  <c r="H851" i="13" s="1"/>
  <c r="H348" i="12"/>
  <c r="H353" i="12"/>
  <c r="K369" i="12"/>
  <c r="F1032" i="13" a="1"/>
  <c r="F1032" i="13" s="1"/>
  <c r="O726" i="13" a="1"/>
  <c r="O726" i="13" s="1"/>
  <c r="L828" i="13" a="1"/>
  <c r="L828" i="13" s="1"/>
  <c r="E453" i="12"/>
  <c r="F449" i="12"/>
  <c r="F453" i="12" s="1"/>
  <c r="M351" i="12"/>
  <c r="M355" i="12" s="1"/>
  <c r="I407" i="12"/>
  <c r="I411" i="12" s="1"/>
  <c r="H421" i="12"/>
  <c r="H425" i="12" s="1"/>
  <c r="H411" i="12"/>
  <c r="H964" i="13" a="1"/>
  <c r="H964" i="13" s="1"/>
  <c r="HQ36" i="9" a="1"/>
  <c r="HQ36" i="9" s="1"/>
  <c r="O356" i="12" a="1"/>
  <c r="O356" i="12" s="1"/>
  <c r="ES40" i="9" a="1"/>
  <c r="ES40" i="9" s="1"/>
  <c r="K412" i="12" a="1"/>
  <c r="K412" i="12" s="1"/>
  <c r="K400" i="12" a="1"/>
  <c r="K400" i="12" s="1"/>
  <c r="K961" i="13" s="1" a="1"/>
  <c r="K961" i="13" s="1"/>
  <c r="FH39" i="9" s="1" a="1"/>
  <c r="FH39" i="9" s="1"/>
  <c r="I428" i="12" a="1"/>
  <c r="I428" i="12" s="1"/>
  <c r="I1029" i="13" s="1" a="1"/>
  <c r="I1029" i="13" s="1"/>
  <c r="DV41" i="9" s="1" a="1"/>
  <c r="DV41" i="9" s="1"/>
  <c r="DG42" i="9" a="1"/>
  <c r="DG42" i="9" s="1"/>
  <c r="I440" i="12" a="1"/>
  <c r="I440" i="12" s="1"/>
  <c r="CN43" i="9" a="1"/>
  <c r="CN43" i="9" s="1"/>
  <c r="H454" i="12" a="1"/>
  <c r="H454" i="12" s="1"/>
  <c r="O323" i="12"/>
  <c r="K379" i="12"/>
  <c r="N350" i="12"/>
  <c r="N352" i="12" s="1"/>
  <c r="N830" i="13" s="1" a="1"/>
  <c r="N830" i="13" s="1"/>
  <c r="N829" i="13" a="1"/>
  <c r="N829" i="13" s="1"/>
  <c r="I420" i="12"/>
  <c r="I422" i="12" s="1"/>
  <c r="I1000" i="13" s="1" a="1"/>
  <c r="I1000" i="13" s="1"/>
  <c r="I999" i="13" a="1"/>
  <c r="I999" i="13" s="1"/>
  <c r="L365" i="12"/>
  <c r="N337" i="12"/>
  <c r="O348" i="12"/>
  <c r="O353" i="12"/>
  <c r="O824" i="13" a="1"/>
  <c r="O824" i="13" s="1"/>
  <c r="O851" i="13" s="1"/>
  <c r="J393" i="12"/>
  <c r="G435" i="12"/>
  <c r="K392" i="12"/>
  <c r="K394" i="12" s="1"/>
  <c r="K932" i="13" s="1" a="1"/>
  <c r="K932" i="13" s="1"/>
  <c r="K931" i="13" a="1"/>
  <c r="K931" i="13" s="1"/>
  <c r="IB43" i="9" a="1"/>
  <c r="IB43" i="9" s="1"/>
  <c r="IC43" i="9" s="1"/>
  <c r="N370" i="12" a="1"/>
  <c r="N370" i="12" s="1"/>
  <c r="GX37" i="9" a="1"/>
  <c r="GX37" i="9" s="1"/>
  <c r="L386" i="12" a="1"/>
  <c r="L386" i="12" s="1"/>
  <c r="L927" i="13" s="1" a="1"/>
  <c r="L927" i="13" s="1"/>
  <c r="GA38" i="9" s="1" a="1"/>
  <c r="GA38" i="9" s="1"/>
  <c r="H442" i="12" a="1"/>
  <c r="H442" i="12" s="1"/>
  <c r="H1063" i="13" s="1" a="1"/>
  <c r="H1063" i="13" s="1"/>
  <c r="DC42" i="9" s="1" a="1"/>
  <c r="DC42" i="9" s="1"/>
  <c r="N858" i="13" a="1"/>
  <c r="N858" i="13" s="1"/>
  <c r="N885" i="13" s="1"/>
  <c r="N362" i="12"/>
  <c r="N367" i="12"/>
  <c r="E1135" i="13" a="1"/>
  <c r="E1135" i="13" s="1"/>
  <c r="E476" i="12"/>
  <c r="E478" i="12" s="1"/>
  <c r="E1136" i="13" s="1" a="1"/>
  <c r="E1136" i="13" s="1"/>
  <c r="E463" i="12"/>
  <c r="N358" i="12" a="1"/>
  <c r="N358" i="12" s="1"/>
  <c r="N859" i="13" s="1" a="1"/>
  <c r="N859" i="13" s="1"/>
  <c r="HM36" i="9" s="1" a="1"/>
  <c r="HM36" i="9" s="1"/>
  <c r="M372" i="12" a="1"/>
  <c r="M372" i="12" s="1"/>
  <c r="M893" i="13" s="1" a="1"/>
  <c r="M893" i="13" s="1"/>
  <c r="GT37" i="9" s="1" a="1"/>
  <c r="GT37" i="9" s="1"/>
  <c r="GE38" i="9" a="1"/>
  <c r="GE38" i="9" s="1"/>
  <c r="M384" i="12" a="1"/>
  <c r="M384" i="12" s="1"/>
  <c r="FL39" i="9" a="1"/>
  <c r="FL39" i="9" s="1"/>
  <c r="L398" i="12" a="1"/>
  <c r="L398" i="12" s="1"/>
  <c r="I1028" i="13" a="1"/>
  <c r="I1028" i="13" s="1"/>
  <c r="I1055" i="13" s="1"/>
  <c r="I432" i="12"/>
  <c r="I437" i="12"/>
  <c r="K960" i="13" a="1"/>
  <c r="K960" i="13" s="1"/>
  <c r="K987" i="13" s="1"/>
  <c r="K404" i="12"/>
  <c r="K409" i="12"/>
  <c r="D55" i="24" a="1"/>
  <c r="D55" i="24" s="1"/>
  <c r="O344" i="12" a="1"/>
  <c r="O344" i="12" s="1"/>
  <c r="O825" i="13" s="1" a="1"/>
  <c r="O825" i="13" s="1"/>
  <c r="IF35" i="9" s="1" a="1"/>
  <c r="IF35" i="9" s="1"/>
  <c r="C57" i="28" a="1"/>
  <c r="C57" i="28" s="1"/>
  <c r="A1229" i="13" a="1"/>
  <c r="A1229" i="13" s="1"/>
  <c r="A510" i="12" a="1"/>
  <c r="A510" i="12" s="1"/>
  <c r="F470" i="12" a="1"/>
  <c r="F470" i="12" s="1"/>
  <c r="F1131" i="13" s="1" a="1"/>
  <c r="F1131" i="13" s="1"/>
  <c r="BQ44" i="9" s="1" a="1"/>
  <c r="BQ44" i="9" s="1"/>
  <c r="L378" i="12"/>
  <c r="L380" i="12" s="1"/>
  <c r="L898" i="13" s="1" a="1"/>
  <c r="L898" i="13" s="1"/>
  <c r="L897" i="13" a="1"/>
  <c r="L897" i="13" s="1"/>
  <c r="G1096" i="13" a="1"/>
  <c r="G1096" i="13" s="1"/>
  <c r="G1123" i="13" s="1"/>
  <c r="G465" i="12"/>
  <c r="G460" i="12"/>
  <c r="M863" i="13" a="1"/>
  <c r="M863" i="13" s="1"/>
  <c r="M364" i="12"/>
  <c r="M366" i="12" s="1"/>
  <c r="M864" i="13" s="1" a="1"/>
  <c r="M864" i="13" s="1"/>
  <c r="H446" i="12"/>
  <c r="H1062" i="13" a="1"/>
  <c r="H1062" i="13" s="1"/>
  <c r="H1089" i="13" s="1"/>
  <c r="H451" i="12"/>
  <c r="O336" i="12"/>
  <c r="O338" i="12" s="1"/>
  <c r="O796" i="13" s="1" a="1"/>
  <c r="O796" i="13" s="1"/>
  <c r="O795" i="13" a="1"/>
  <c r="O795" i="13" s="1"/>
  <c r="F1101" i="13" a="1"/>
  <c r="F1101" i="13" s="1"/>
  <c r="F462" i="12"/>
  <c r="F464" i="12" s="1"/>
  <c r="F1102" i="13" s="1" a="1"/>
  <c r="F1102" i="13" s="1"/>
  <c r="F482" i="12" a="1"/>
  <c r="F482" i="12" s="1"/>
  <c r="BB45" i="9" a="1"/>
  <c r="BB45" i="9" s="1"/>
  <c r="G468" i="12" a="1"/>
  <c r="G468" i="12" s="1"/>
  <c r="BU44" i="9" a="1"/>
  <c r="BU44" i="9" s="1"/>
  <c r="J994" i="13" a="1"/>
  <c r="J994" i="13" s="1"/>
  <c r="J1021" i="13" s="1"/>
  <c r="J418" i="12"/>
  <c r="J423" i="12"/>
  <c r="F474" i="12"/>
  <c r="F479" i="12"/>
  <c r="F1130" i="13" a="1"/>
  <c r="F1130" i="13" s="1"/>
  <c r="F1157" i="13" s="1"/>
  <c r="J414" i="12" a="1"/>
  <c r="J414" i="12" s="1"/>
  <c r="J995" i="13" s="1" a="1"/>
  <c r="J995" i="13" s="1"/>
  <c r="EO40" i="9" s="1" a="1"/>
  <c r="EO40" i="9" s="1"/>
  <c r="J426" i="12" a="1"/>
  <c r="J426" i="12" s="1"/>
  <c r="DZ41" i="9" a="1"/>
  <c r="DZ41" i="9" s="1"/>
  <c r="D498" i="12" a="1"/>
  <c r="D498" i="12" s="1"/>
  <c r="D1199" i="13" s="1" a="1"/>
  <c r="D1199" i="13" s="1"/>
  <c r="AE46" i="9" s="1" a="1"/>
  <c r="AE46" i="9" s="1"/>
  <c r="M376" i="12"/>
  <c r="M381" i="12"/>
  <c r="M892" i="13" a="1"/>
  <c r="M892" i="13" s="1"/>
  <c r="M919" i="13" s="1"/>
  <c r="E1164" i="13" a="1"/>
  <c r="E1164" i="13" s="1"/>
  <c r="E1191" i="13" s="1"/>
  <c r="E493" i="12"/>
  <c r="E488" i="12"/>
  <c r="G456" i="12" a="1"/>
  <c r="G456" i="12" s="1"/>
  <c r="G1097" i="13" s="1" a="1"/>
  <c r="G1097" i="13" s="1"/>
  <c r="CJ43" i="9" s="1" a="1"/>
  <c r="CJ43" i="9" s="1"/>
  <c r="J896" i="13" a="1"/>
  <c r="J896" i="13" s="1"/>
  <c r="J383" i="12"/>
  <c r="E484" i="12" a="1"/>
  <c r="E484" i="12" s="1"/>
  <c r="E1165" i="13" s="1" a="1"/>
  <c r="E1165" i="13" s="1"/>
  <c r="AX45" i="9" s="1" a="1"/>
  <c r="AX45" i="9" s="1"/>
  <c r="E496" i="12" a="1"/>
  <c r="E496" i="12" s="1"/>
  <c r="AI46" i="9" a="1"/>
  <c r="AI46" i="9" s="1"/>
  <c r="J965" i="13" a="1"/>
  <c r="J965" i="13" s="1"/>
  <c r="J406" i="12"/>
  <c r="J408" i="12" s="1"/>
  <c r="J966" i="13" s="1" a="1"/>
  <c r="J966" i="13" s="1"/>
  <c r="M341" i="12"/>
  <c r="M794" i="13" a="1"/>
  <c r="M794" i="13" s="1"/>
  <c r="L395" i="12"/>
  <c r="L390" i="12"/>
  <c r="L926" i="13" a="1"/>
  <c r="L926" i="13" s="1"/>
  <c r="L953" i="13" s="1"/>
  <c r="BU42" i="9" a="1"/>
  <c r="BU42" i="9" s="1"/>
  <c r="CN41" i="9" a="1"/>
  <c r="CN41" i="9" s="1"/>
  <c r="B1084" i="13"/>
  <c r="B1085" i="13" s="1"/>
  <c r="B1086" i="13" s="1"/>
  <c r="B1087" i="13" s="1"/>
  <c r="B1089" i="13"/>
  <c r="B1090" i="13" s="1"/>
  <c r="B1091" i="13" s="1"/>
  <c r="B1092" i="13" s="1"/>
  <c r="B1117" i="13"/>
  <c r="B1122" i="13"/>
  <c r="B1138" i="13"/>
  <c r="B1139" i="13" s="1"/>
  <c r="B1140" i="13" s="1"/>
  <c r="B1141" i="13" s="1"/>
  <c r="B1142" i="13" s="1"/>
  <c r="B1143" i="13" s="1"/>
  <c r="B1144" i="13" s="1"/>
  <c r="B1145" i="13" s="1"/>
  <c r="B1146" i="13" s="1"/>
  <c r="B1147" i="13" s="1"/>
  <c r="B1148" i="13" s="1"/>
  <c r="B1149" i="13" s="1"/>
  <c r="B1150" i="13" s="1"/>
  <c r="B1134" i="13"/>
  <c r="B1135" i="13" s="1"/>
  <c r="B1136" i="13" s="1"/>
  <c r="B1137" i="13" s="1"/>
  <c r="B1195" i="13" a="1"/>
  <c r="B1195" i="13" s="1"/>
  <c r="B1196" i="13" s="1"/>
  <c r="B1163" i="13"/>
  <c r="B1164" i="13" s="1"/>
  <c r="B1165" i="13" s="1"/>
  <c r="B1166" i="13"/>
  <c r="B1167" i="13" s="1"/>
  <c r="AA653" i="10"/>
  <c r="AA678" i="10"/>
  <c r="AA679" i="10" s="1"/>
  <c r="AA691" i="10"/>
  <c r="AA666" i="10"/>
  <c r="B496" i="12" a="1"/>
  <c r="B496" i="12" s="1"/>
  <c r="R555" i="12"/>
  <c r="R556" i="12"/>
  <c r="R580" i="12"/>
  <c r="R568" i="12"/>
  <c r="R567" i="12"/>
  <c r="R543" i="12"/>
  <c r="D896" i="13" l="1" a="1"/>
  <c r="D896" i="13" s="1"/>
  <c r="M1336" i="13" a="1"/>
  <c r="M1336" i="13" s="1"/>
  <c r="M1363" i="13" s="1"/>
  <c r="M564" i="12"/>
  <c r="M559" i="12"/>
  <c r="M1341" i="13" s="1" a="1"/>
  <c r="M1341" i="13" s="1"/>
  <c r="J567" i="12" a="1"/>
  <c r="J567" i="12" s="1"/>
  <c r="G567" i="12" a="1"/>
  <c r="G567" i="12" s="1"/>
  <c r="I567" i="12" a="1"/>
  <c r="I567" i="12" s="1"/>
  <c r="H567" i="12" a="1"/>
  <c r="H567" i="12" s="1"/>
  <c r="O567" i="12" a="1"/>
  <c r="O567" i="12" s="1"/>
  <c r="N567" i="12" a="1"/>
  <c r="N567" i="12" s="1"/>
  <c r="F567" i="12" a="1"/>
  <c r="F567" i="12" s="1"/>
  <c r="M567" i="12" a="1"/>
  <c r="M567" i="12" s="1"/>
  <c r="E567" i="12" a="1"/>
  <c r="E567" i="12" s="1"/>
  <c r="L567" i="12" a="1"/>
  <c r="L567" i="12" s="1"/>
  <c r="D567" i="12" a="1"/>
  <c r="D567" i="12" s="1"/>
  <c r="K567" i="12" a="1"/>
  <c r="K567" i="12" s="1"/>
  <c r="N1336" i="13" a="1"/>
  <c r="N1336" i="13" s="1"/>
  <c r="N1363" i="13" s="1"/>
  <c r="N559" i="12"/>
  <c r="N1341" i="13" s="1" a="1"/>
  <c r="N1341" i="13" s="1"/>
  <c r="N564" i="12"/>
  <c r="F1336" i="13" a="1"/>
  <c r="F1336" i="13" s="1"/>
  <c r="F1363" i="13" s="1"/>
  <c r="F559" i="12"/>
  <c r="F1341" i="13" s="1" a="1"/>
  <c r="F1341" i="13" s="1"/>
  <c r="F564" i="12"/>
  <c r="O1336" i="13" a="1"/>
  <c r="O1336" i="13" s="1"/>
  <c r="O1363" i="13" s="1"/>
  <c r="O559" i="12"/>
  <c r="O1341" i="13" s="1" a="1"/>
  <c r="O1341" i="13" s="1"/>
  <c r="O564" i="12"/>
  <c r="K1336" i="13" a="1"/>
  <c r="K1336" i="13" s="1"/>
  <c r="K1363" i="13" s="1"/>
  <c r="K564" i="12"/>
  <c r="K559" i="12"/>
  <c r="K1341" i="13" s="1" a="1"/>
  <c r="K1341" i="13" s="1"/>
  <c r="H559" i="12"/>
  <c r="H1341" i="13" s="1" a="1"/>
  <c r="H1341" i="13" s="1"/>
  <c r="H1336" i="13" a="1"/>
  <c r="H1336" i="13" s="1"/>
  <c r="H1363" i="13" s="1"/>
  <c r="H564" i="12"/>
  <c r="D559" i="12"/>
  <c r="D1341" i="13" s="1" a="1"/>
  <c r="D1341" i="13" s="1"/>
  <c r="D1336" i="13" a="1"/>
  <c r="D1336" i="13" s="1"/>
  <c r="D1363" i="13" s="1"/>
  <c r="D564" i="12"/>
  <c r="I1336" i="13" a="1"/>
  <c r="I1336" i="13" s="1"/>
  <c r="I1363" i="13" s="1"/>
  <c r="I564" i="12"/>
  <c r="I559" i="12"/>
  <c r="I1341" i="13" s="1" a="1"/>
  <c r="I1341" i="13" s="1"/>
  <c r="N543" i="12" a="1"/>
  <c r="N543" i="12" s="1"/>
  <c r="F543" i="12" a="1"/>
  <c r="F543" i="12" s="1"/>
  <c r="M543" i="12" a="1"/>
  <c r="M543" i="12" s="1"/>
  <c r="E543" i="12" a="1"/>
  <c r="E543" i="12" s="1"/>
  <c r="L543" i="12" a="1"/>
  <c r="L543" i="12" s="1"/>
  <c r="D543" i="12" a="1"/>
  <c r="D543" i="12" s="1"/>
  <c r="K543" i="12" a="1"/>
  <c r="K543" i="12" s="1"/>
  <c r="J543" i="12" a="1"/>
  <c r="J543" i="12" s="1"/>
  <c r="I543" i="12" a="1"/>
  <c r="I543" i="12" s="1"/>
  <c r="H543" i="12" a="1"/>
  <c r="H543" i="12" s="1"/>
  <c r="O543" i="12" a="1"/>
  <c r="O543" i="12" s="1"/>
  <c r="G543" i="12" a="1"/>
  <c r="G543" i="12" s="1"/>
  <c r="J556" i="12" a="1"/>
  <c r="J556" i="12" s="1"/>
  <c r="O556" i="12" a="1"/>
  <c r="O556" i="12" s="1"/>
  <c r="I556" i="12" a="1"/>
  <c r="I556" i="12" s="1"/>
  <c r="H556" i="12" a="1"/>
  <c r="H556" i="12" s="1"/>
  <c r="G556" i="12" a="1"/>
  <c r="G556" i="12" s="1"/>
  <c r="K556" i="12" a="1"/>
  <c r="K556" i="12" s="1"/>
  <c r="N556" i="12" a="1"/>
  <c r="N556" i="12" s="1"/>
  <c r="F556" i="12" a="1"/>
  <c r="F556" i="12" s="1"/>
  <c r="M556" i="12" a="1"/>
  <c r="M556" i="12" s="1"/>
  <c r="E556" i="12" a="1"/>
  <c r="E556" i="12" s="1"/>
  <c r="L556" i="12" a="1"/>
  <c r="L556" i="12" s="1"/>
  <c r="D556" i="12" a="1"/>
  <c r="D556" i="12" s="1"/>
  <c r="N555" i="12" a="1"/>
  <c r="N555" i="12" s="1"/>
  <c r="N1337" i="13" s="1" a="1"/>
  <c r="N1337" i="13" s="1"/>
  <c r="F555" i="12" a="1"/>
  <c r="F555" i="12" s="1"/>
  <c r="F1337" i="13" s="1" a="1"/>
  <c r="F1337" i="13" s="1"/>
  <c r="M555" i="12" a="1"/>
  <c r="M555" i="12" s="1"/>
  <c r="M1337" i="13" s="1" a="1"/>
  <c r="M1337" i="13" s="1"/>
  <c r="E555" i="12" a="1"/>
  <c r="E555" i="12" s="1"/>
  <c r="E1337" i="13" s="1" a="1"/>
  <c r="E1337" i="13" s="1"/>
  <c r="K555" i="12" a="1"/>
  <c r="K555" i="12" s="1"/>
  <c r="K1337" i="13" s="1" a="1"/>
  <c r="K1337" i="13" s="1"/>
  <c r="L555" i="12" a="1"/>
  <c r="L555" i="12" s="1"/>
  <c r="L1337" i="13" s="1" a="1"/>
  <c r="L1337" i="13" s="1"/>
  <c r="D555" i="12" a="1"/>
  <c r="D555" i="12" s="1"/>
  <c r="D1337" i="13" s="1" a="1"/>
  <c r="D1337" i="13" s="1"/>
  <c r="J555" i="12" a="1"/>
  <c r="J555" i="12" s="1"/>
  <c r="J1337" i="13" s="1" a="1"/>
  <c r="J1337" i="13" s="1"/>
  <c r="G555" i="12" a="1"/>
  <c r="G555" i="12" s="1"/>
  <c r="G1337" i="13" s="1" a="1"/>
  <c r="G1337" i="13" s="1"/>
  <c r="I555" i="12" a="1"/>
  <c r="I555" i="12" s="1"/>
  <c r="I1337" i="13" s="1" a="1"/>
  <c r="I1337" i="13" s="1"/>
  <c r="O555" i="12" a="1"/>
  <c r="O555" i="12" s="1"/>
  <c r="O1337" i="13" s="1" a="1"/>
  <c r="O1337" i="13" s="1"/>
  <c r="H555" i="12" a="1"/>
  <c r="H555" i="12" s="1"/>
  <c r="H1337" i="13" s="1" a="1"/>
  <c r="H1337" i="13" s="1"/>
  <c r="L564" i="12"/>
  <c r="L559" i="12"/>
  <c r="L1341" i="13" s="1" a="1"/>
  <c r="L1341" i="13" s="1"/>
  <c r="L1336" i="13" a="1"/>
  <c r="L1336" i="13" s="1"/>
  <c r="L1363" i="13" s="1"/>
  <c r="G1336" i="13" a="1"/>
  <c r="G1336" i="13" s="1"/>
  <c r="G1363" i="13" s="1"/>
  <c r="G559" i="12"/>
  <c r="G1341" i="13" s="1" a="1"/>
  <c r="G1341" i="13" s="1"/>
  <c r="G564" i="12"/>
  <c r="E1336" i="13" a="1"/>
  <c r="E1336" i="13" s="1"/>
  <c r="E1363" i="13" s="1"/>
  <c r="E559" i="12"/>
  <c r="E1341" i="13" s="1" a="1"/>
  <c r="E1341" i="13" s="1"/>
  <c r="E564" i="12"/>
  <c r="J1336" i="13" a="1"/>
  <c r="J1336" i="13" s="1"/>
  <c r="J1363" i="13" s="1"/>
  <c r="J559" i="12"/>
  <c r="J1341" i="13" s="1" a="1"/>
  <c r="J1341" i="13" s="1"/>
  <c r="J564" i="12"/>
  <c r="D426" i="12" a="1"/>
  <c r="D426" i="12" s="1"/>
  <c r="FW40" i="9" a="1"/>
  <c r="FW40" i="9" s="1"/>
  <c r="FX40" i="9" s="1"/>
  <c r="G892" i="13" a="1"/>
  <c r="G892" i="13" s="1"/>
  <c r="G919" i="13" s="1"/>
  <c r="G376" i="12"/>
  <c r="G381" i="12"/>
  <c r="H829" i="13" a="1"/>
  <c r="H829" i="13" s="1"/>
  <c r="H350" i="12"/>
  <c r="H352" i="12" s="1"/>
  <c r="H830" i="13" s="1" a="1"/>
  <c r="H830" i="13" s="1"/>
  <c r="HI38" i="9" a="1"/>
  <c r="HI38" i="9" s="1"/>
  <c r="HJ38" i="9" s="1"/>
  <c r="H367" i="12"/>
  <c r="H362" i="12"/>
  <c r="H858" i="13" a="1"/>
  <c r="H858" i="13" s="1"/>
  <c r="H885" i="13" s="1"/>
  <c r="GP39" i="9" a="1"/>
  <c r="GP39" i="9" s="1"/>
  <c r="GQ39" i="9" s="1"/>
  <c r="D406" i="12"/>
  <c r="D408" i="12" s="1"/>
  <c r="D966" i="13" s="1" a="1"/>
  <c r="D966" i="13" s="1"/>
  <c r="D965" i="13" a="1"/>
  <c r="D965" i="13" s="1"/>
  <c r="D418" i="12"/>
  <c r="D994" i="13" a="1"/>
  <c r="D994" i="13" s="1"/>
  <c r="D1021" i="13" s="1"/>
  <c r="D423" i="12"/>
  <c r="D393" i="12"/>
  <c r="F1066" i="13" a="1"/>
  <c r="F1066" i="13" s="1"/>
  <c r="M828" i="13" a="1"/>
  <c r="M828" i="13" s="1"/>
  <c r="I964" i="13" a="1"/>
  <c r="I964" i="13" s="1"/>
  <c r="H998" i="13" a="1"/>
  <c r="H998" i="13" s="1"/>
  <c r="I421" i="12"/>
  <c r="I425" i="12" s="1"/>
  <c r="E477" i="12"/>
  <c r="E1134" i="13" s="1" a="1"/>
  <c r="E1134" i="13" s="1"/>
  <c r="F463" i="12"/>
  <c r="F1100" i="13" s="1" a="1"/>
  <c r="F1100" i="13" s="1"/>
  <c r="K393" i="12"/>
  <c r="K930" i="13" s="1" a="1"/>
  <c r="K930" i="13" s="1"/>
  <c r="M365" i="12"/>
  <c r="M369" i="12" s="1"/>
  <c r="N351" i="12"/>
  <c r="N828" i="13" s="1" a="1"/>
  <c r="N828" i="13" s="1"/>
  <c r="J999" i="13" a="1"/>
  <c r="J999" i="13" s="1"/>
  <c r="J420" i="12"/>
  <c r="J422" i="12" s="1"/>
  <c r="J1000" i="13" s="1" a="1"/>
  <c r="J1000" i="13" s="1"/>
  <c r="I442" i="12" a="1"/>
  <c r="I442" i="12" s="1"/>
  <c r="I1063" i="13" s="1" a="1"/>
  <c r="I1063" i="13" s="1"/>
  <c r="DV42" i="9" s="1" a="1"/>
  <c r="DV42" i="9" s="1"/>
  <c r="BU45" i="9" a="1"/>
  <c r="BU45" i="9" s="1"/>
  <c r="G482" i="12" a="1"/>
  <c r="G482" i="12" s="1"/>
  <c r="GX38" i="9" a="1"/>
  <c r="GX38" i="9" s="1"/>
  <c r="N384" i="12" a="1"/>
  <c r="N384" i="12" s="1"/>
  <c r="L931" i="13" a="1"/>
  <c r="L931" i="13" s="1"/>
  <c r="L392" i="12"/>
  <c r="L394" i="12" s="1"/>
  <c r="L932" i="13" s="1" a="1"/>
  <c r="L932" i="13" s="1"/>
  <c r="E507" i="12"/>
  <c r="E1198" i="13" a="1"/>
  <c r="E1198" i="13" s="1"/>
  <c r="E1225" i="13" s="1"/>
  <c r="E502" i="12"/>
  <c r="L379" i="12"/>
  <c r="M926" i="13" a="1"/>
  <c r="M926" i="13" s="1"/>
  <c r="M953" i="13" s="1"/>
  <c r="M390" i="12"/>
  <c r="M395" i="12"/>
  <c r="L862" i="13" a="1"/>
  <c r="L862" i="13" s="1"/>
  <c r="L369" i="12"/>
  <c r="O760" i="13" a="1"/>
  <c r="O760" i="13" s="1"/>
  <c r="O327" i="12"/>
  <c r="M386" i="12" a="1"/>
  <c r="M386" i="12" s="1"/>
  <c r="M927" i="13" s="1" a="1"/>
  <c r="M927" i="13" s="1"/>
  <c r="GT38" i="9" s="1" a="1"/>
  <c r="GT38" i="9" s="1"/>
  <c r="L412" i="12" a="1"/>
  <c r="L412" i="12" s="1"/>
  <c r="FL40" i="9" a="1"/>
  <c r="FL40" i="9" s="1"/>
  <c r="K383" i="12"/>
  <c r="K896" i="13" a="1"/>
  <c r="K896" i="13" s="1"/>
  <c r="D56" i="24" a="1"/>
  <c r="D56" i="24" s="1"/>
  <c r="DZ42" i="9" a="1"/>
  <c r="DZ42" i="9" s="1"/>
  <c r="J440" i="12" a="1"/>
  <c r="J440" i="12" s="1"/>
  <c r="K414" i="12" a="1"/>
  <c r="K414" i="12" s="1"/>
  <c r="K995" i="13" s="1" a="1"/>
  <c r="K995" i="13" s="1"/>
  <c r="FH40" i="9" s="1" a="1"/>
  <c r="FH40" i="9" s="1"/>
  <c r="H1067" i="13" a="1"/>
  <c r="H1067" i="13" s="1"/>
  <c r="H448" i="12"/>
  <c r="H450" i="12" s="1"/>
  <c r="H1068" i="13" s="1" a="1"/>
  <c r="H1068" i="13" s="1"/>
  <c r="K406" i="12"/>
  <c r="K408" i="12" s="1"/>
  <c r="K966" i="13" s="1" a="1"/>
  <c r="K966" i="13" s="1"/>
  <c r="K965" i="13" a="1"/>
  <c r="K965" i="13" s="1"/>
  <c r="H1096" i="13" a="1"/>
  <c r="H1096" i="13" s="1"/>
  <c r="H1123" i="13" s="1"/>
  <c r="H465" i="12"/>
  <c r="H460" i="12"/>
  <c r="K423" i="12"/>
  <c r="K994" i="13" a="1"/>
  <c r="K994" i="13" s="1"/>
  <c r="K1021" i="13" s="1"/>
  <c r="K418" i="12"/>
  <c r="E498" i="12" a="1"/>
  <c r="E498" i="12" s="1"/>
  <c r="E1199" i="13" s="1" a="1"/>
  <c r="E1199" i="13" s="1"/>
  <c r="AX46" i="9" s="1" a="1"/>
  <c r="AX46" i="9" s="1"/>
  <c r="O358" i="12" a="1"/>
  <c r="O358" i="12" s="1"/>
  <c r="O859" i="13" s="1" a="1"/>
  <c r="O859" i="13" s="1"/>
  <c r="IF36" i="9" s="1" a="1"/>
  <c r="IF36" i="9" s="1"/>
  <c r="E490" i="12"/>
  <c r="E492" i="12" s="1"/>
  <c r="E1170" i="13" s="1" a="1"/>
  <c r="E1170" i="13" s="1"/>
  <c r="E1169" i="13" a="1"/>
  <c r="E1169" i="13" s="1"/>
  <c r="G474" i="12"/>
  <c r="G479" i="12"/>
  <c r="G1130" i="13" a="1"/>
  <c r="G1130" i="13" s="1"/>
  <c r="G1157" i="13" s="1"/>
  <c r="N381" i="12"/>
  <c r="N892" i="13" a="1"/>
  <c r="N892" i="13" s="1"/>
  <c r="N919" i="13" s="1"/>
  <c r="N376" i="12"/>
  <c r="G439" i="12"/>
  <c r="G1032" i="13" a="1"/>
  <c r="G1032" i="13" s="1"/>
  <c r="N341" i="12"/>
  <c r="N794" i="13" a="1"/>
  <c r="N794" i="13" s="1"/>
  <c r="F484" i="12" a="1"/>
  <c r="F484" i="12" s="1"/>
  <c r="F1165" i="13" s="1" a="1"/>
  <c r="F1165" i="13" s="1"/>
  <c r="BQ45" i="9" s="1" a="1"/>
  <c r="BQ45" i="9" s="1"/>
  <c r="GE39" i="9" a="1"/>
  <c r="GE39" i="9" s="1"/>
  <c r="M398" i="12" a="1"/>
  <c r="M398" i="12" s="1"/>
  <c r="BB46" i="9" a="1"/>
  <c r="BB46" i="9" s="1"/>
  <c r="F496" i="12" a="1"/>
  <c r="F496" i="12" s="1"/>
  <c r="N372" i="12" a="1"/>
  <c r="N372" i="12" s="1"/>
  <c r="N893" i="13" s="1" a="1"/>
  <c r="N893" i="13" s="1"/>
  <c r="HM37" i="9" s="1" a="1"/>
  <c r="HM37" i="9" s="1"/>
  <c r="F476" i="12"/>
  <c r="F478" i="12" s="1"/>
  <c r="F1136" i="13" s="1" a="1"/>
  <c r="F1136" i="13" s="1"/>
  <c r="F1135" i="13" a="1"/>
  <c r="F1135" i="13" s="1"/>
  <c r="O337" i="12"/>
  <c r="N364" i="12"/>
  <c r="N366" i="12" s="1"/>
  <c r="N864" i="13" s="1" a="1"/>
  <c r="N864" i="13" s="1"/>
  <c r="N863" i="13" a="1"/>
  <c r="N863" i="13" s="1"/>
  <c r="J930" i="13" a="1"/>
  <c r="J930" i="13" s="1"/>
  <c r="J397" i="12"/>
  <c r="I446" i="12"/>
  <c r="I1062" i="13" a="1"/>
  <c r="I1062" i="13" s="1"/>
  <c r="I1089" i="13" s="1"/>
  <c r="I451" i="12"/>
  <c r="O362" i="12"/>
  <c r="O367" i="12"/>
  <c r="O858" i="13" a="1"/>
  <c r="O858" i="13" s="1"/>
  <c r="O885" i="13" s="1"/>
  <c r="A524" i="12" a="1"/>
  <c r="A524" i="12" s="1"/>
  <c r="C58" i="28" a="1"/>
  <c r="C58" i="28" s="1"/>
  <c r="A1263" i="13" a="1"/>
  <c r="A1263" i="13" s="1"/>
  <c r="M897" i="13" a="1"/>
  <c r="M897" i="13" s="1"/>
  <c r="M378" i="12"/>
  <c r="M380" i="12" s="1"/>
  <c r="M898" i="13" s="1" a="1"/>
  <c r="M898" i="13" s="1"/>
  <c r="H456" i="12" a="1"/>
  <c r="H456" i="12" s="1"/>
  <c r="H1097" i="13" s="1" a="1"/>
  <c r="H1097" i="13" s="1"/>
  <c r="DC43" i="9" s="1" a="1"/>
  <c r="DC43" i="9" s="1"/>
  <c r="IB44" i="9" a="1"/>
  <c r="IB44" i="9" s="1"/>
  <c r="IC44" i="9" s="1"/>
  <c r="L400" i="12" a="1"/>
  <c r="L400" i="12" s="1"/>
  <c r="L961" i="13" s="1" a="1"/>
  <c r="L961" i="13" s="1"/>
  <c r="GA39" i="9" s="1" a="1"/>
  <c r="GA39" i="9" s="1"/>
  <c r="HQ37" i="9" a="1"/>
  <c r="HQ37" i="9" s="1"/>
  <c r="O370" i="12" a="1"/>
  <c r="O370" i="12" s="1"/>
  <c r="J407" i="12"/>
  <c r="F493" i="12"/>
  <c r="F488" i="12"/>
  <c r="F1164" i="13" a="1"/>
  <c r="F1164" i="13" s="1"/>
  <c r="F1191" i="13" s="1"/>
  <c r="I434" i="12"/>
  <c r="I436" i="12" s="1"/>
  <c r="I1034" i="13" s="1" a="1"/>
  <c r="I1034" i="13" s="1"/>
  <c r="I1033" i="13" a="1"/>
  <c r="I1033" i="13" s="1"/>
  <c r="D512" i="12" a="1"/>
  <c r="D512" i="12" s="1"/>
  <c r="D1233" i="13" s="1" a="1"/>
  <c r="D1233" i="13" s="1"/>
  <c r="AE47" i="9" s="1" a="1"/>
  <c r="AE47" i="9" s="1"/>
  <c r="G462" i="12"/>
  <c r="G464" i="12" s="1"/>
  <c r="G1102" i="13" s="1" a="1"/>
  <c r="G1102" i="13" s="1"/>
  <c r="G1101" i="13" a="1"/>
  <c r="G1101" i="13" s="1"/>
  <c r="DG43" i="9" a="1"/>
  <c r="DG43" i="9" s="1"/>
  <c r="I454" i="12" a="1"/>
  <c r="I454" i="12" s="1"/>
  <c r="J428" i="12" a="1"/>
  <c r="J428" i="12" s="1"/>
  <c r="J1029" i="13" s="1" a="1"/>
  <c r="J1029" i="13" s="1"/>
  <c r="EO41" i="9" s="1" a="1"/>
  <c r="EO41" i="9" s="1"/>
  <c r="G470" i="12" a="1"/>
  <c r="G470" i="12" s="1"/>
  <c r="G1131" i="13" s="1" a="1"/>
  <c r="G1131" i="13" s="1"/>
  <c r="CJ44" i="9" s="1" a="1"/>
  <c r="CJ44" i="9" s="1"/>
  <c r="AI47" i="9" a="1"/>
  <c r="AI47" i="9" s="1"/>
  <c r="E510" i="12" a="1"/>
  <c r="E510" i="12" s="1"/>
  <c r="K426" i="12" a="1"/>
  <c r="K426" i="12" s="1"/>
  <c r="ES41" i="9" a="1"/>
  <c r="ES41" i="9" s="1"/>
  <c r="J1028" i="13" a="1"/>
  <c r="J1028" i="13" s="1"/>
  <c r="J1055" i="13" s="1"/>
  <c r="J432" i="12"/>
  <c r="J437" i="12"/>
  <c r="L404" i="12"/>
  <c r="L960" i="13" a="1"/>
  <c r="L960" i="13" s="1"/>
  <c r="L987" i="13" s="1"/>
  <c r="L409" i="12"/>
  <c r="E1100" i="13" a="1"/>
  <c r="E1100" i="13" s="1"/>
  <c r="E467" i="12"/>
  <c r="O829" i="13" a="1"/>
  <c r="O829" i="13" s="1"/>
  <c r="O350" i="12"/>
  <c r="O352" i="12" s="1"/>
  <c r="O830" i="13" s="1" a="1"/>
  <c r="O830" i="13" s="1"/>
  <c r="B1118" i="13"/>
  <c r="B1119" i="13" s="1"/>
  <c r="B1120" i="13" s="1"/>
  <c r="B1121" i="13" s="1"/>
  <c r="B1123" i="13"/>
  <c r="B1124" i="13" s="1"/>
  <c r="B1125" i="13" s="1"/>
  <c r="B1126" i="13" s="1"/>
  <c r="B1172" i="13"/>
  <c r="B1173" i="13" s="1"/>
  <c r="B1174" i="13" s="1"/>
  <c r="B1175" i="13" s="1"/>
  <c r="B1176" i="13" s="1"/>
  <c r="B1177" i="13" s="1"/>
  <c r="B1178" i="13" s="1"/>
  <c r="B1179" i="13" s="1"/>
  <c r="B1180" i="13" s="1"/>
  <c r="B1181" i="13" s="1"/>
  <c r="B1182" i="13" s="1"/>
  <c r="B1183" i="13" s="1"/>
  <c r="B1184" i="13" s="1"/>
  <c r="B1168" i="13"/>
  <c r="B1169" i="13" s="1"/>
  <c r="B1170" i="13" s="1"/>
  <c r="B1171" i="13" s="1"/>
  <c r="B1151" i="13"/>
  <c r="B1156" i="13"/>
  <c r="B1229" i="13" a="1"/>
  <c r="B1229" i="13" s="1"/>
  <c r="B1230" i="13" s="1"/>
  <c r="B1197" i="13"/>
  <c r="B1198" i="13" s="1"/>
  <c r="B1199" i="13" s="1"/>
  <c r="B1200" i="13"/>
  <c r="B1201" i="13" s="1"/>
  <c r="AA705" i="10"/>
  <c r="AA692" i="10"/>
  <c r="AA693" i="10" s="1"/>
  <c r="AA680" i="10"/>
  <c r="AA667" i="10"/>
  <c r="B510" i="12" a="1"/>
  <c r="B510" i="12" s="1"/>
  <c r="R569" i="12"/>
  <c r="R570" i="12"/>
  <c r="R557" i="12"/>
  <c r="R582" i="12"/>
  <c r="R594" i="12"/>
  <c r="R581" i="12"/>
  <c r="H351" i="12" l="1"/>
  <c r="H355" i="12" s="1"/>
  <c r="O1370" i="13" a="1"/>
  <c r="O1370" i="13" s="1"/>
  <c r="O1397" i="13" s="1"/>
  <c r="O573" i="12"/>
  <c r="O1375" i="13" s="1" a="1"/>
  <c r="O1375" i="13" s="1"/>
  <c r="O578" i="12"/>
  <c r="N569" i="12" a="1"/>
  <c r="N569" i="12" s="1"/>
  <c r="N1371" i="13" s="1" a="1"/>
  <c r="N1371" i="13" s="1"/>
  <c r="F569" i="12" a="1"/>
  <c r="F569" i="12" s="1"/>
  <c r="F1371" i="13" s="1" a="1"/>
  <c r="F1371" i="13" s="1"/>
  <c r="M569" i="12" a="1"/>
  <c r="M569" i="12" s="1"/>
  <c r="M1371" i="13" s="1" a="1"/>
  <c r="M1371" i="13" s="1"/>
  <c r="E569" i="12" a="1"/>
  <c r="E569" i="12" s="1"/>
  <c r="E1371" i="13" s="1" a="1"/>
  <c r="E1371" i="13" s="1"/>
  <c r="L569" i="12" a="1"/>
  <c r="L569" i="12" s="1"/>
  <c r="L1371" i="13" s="1" a="1"/>
  <c r="L1371" i="13" s="1"/>
  <c r="D569" i="12" a="1"/>
  <c r="D569" i="12" s="1"/>
  <c r="D1371" i="13" s="1" a="1"/>
  <c r="D1371" i="13" s="1"/>
  <c r="K569" i="12" a="1"/>
  <c r="K569" i="12" s="1"/>
  <c r="K1371" i="13" s="1" a="1"/>
  <c r="K1371" i="13" s="1"/>
  <c r="J569" i="12" a="1"/>
  <c r="J569" i="12" s="1"/>
  <c r="J1371" i="13" s="1" a="1"/>
  <c r="J1371" i="13" s="1"/>
  <c r="O569" i="12" a="1"/>
  <c r="O569" i="12" s="1"/>
  <c r="O1371" i="13" s="1" a="1"/>
  <c r="O1371" i="13" s="1"/>
  <c r="I569" i="12" a="1"/>
  <c r="I569" i="12" s="1"/>
  <c r="I1371" i="13" s="1" a="1"/>
  <c r="I1371" i="13" s="1"/>
  <c r="G569" i="12" a="1"/>
  <c r="G569" i="12" s="1"/>
  <c r="G1371" i="13" s="1" a="1"/>
  <c r="G1371" i="13" s="1"/>
  <c r="H569" i="12" a="1"/>
  <c r="H569" i="12" s="1"/>
  <c r="H1371" i="13" s="1" a="1"/>
  <c r="H1371" i="13" s="1"/>
  <c r="K1370" i="13" a="1"/>
  <c r="K1370" i="13" s="1"/>
  <c r="K1397" i="13" s="1"/>
  <c r="K578" i="12"/>
  <c r="K573" i="12"/>
  <c r="K1375" i="13" s="1" a="1"/>
  <c r="K1375" i="13" s="1"/>
  <c r="H573" i="12"/>
  <c r="H1375" i="13" s="1" a="1"/>
  <c r="H1375" i="13" s="1"/>
  <c r="H1370" i="13" a="1"/>
  <c r="H1370" i="13" s="1"/>
  <c r="H1397" i="13" s="1"/>
  <c r="H578" i="12"/>
  <c r="D578" i="12"/>
  <c r="D1370" i="13" a="1"/>
  <c r="D1370" i="13" s="1"/>
  <c r="D1397" i="13" s="1"/>
  <c r="D573" i="12"/>
  <c r="D1375" i="13" s="1" a="1"/>
  <c r="D1375" i="13" s="1"/>
  <c r="I578" i="12"/>
  <c r="I1370" i="13" a="1"/>
  <c r="I1370" i="13" s="1"/>
  <c r="I1397" i="13" s="1"/>
  <c r="I573" i="12"/>
  <c r="I1375" i="13" s="1" a="1"/>
  <c r="I1375" i="13" s="1"/>
  <c r="J570" i="12" a="1"/>
  <c r="J570" i="12" s="1"/>
  <c r="I570" i="12" a="1"/>
  <c r="I570" i="12" s="1"/>
  <c r="G570" i="12" a="1"/>
  <c r="G570" i="12" s="1"/>
  <c r="K570" i="12" a="1"/>
  <c r="K570" i="12" s="1"/>
  <c r="H570" i="12" a="1"/>
  <c r="H570" i="12" s="1"/>
  <c r="O570" i="12" a="1"/>
  <c r="O570" i="12" s="1"/>
  <c r="N570" i="12" a="1"/>
  <c r="N570" i="12" s="1"/>
  <c r="F570" i="12" a="1"/>
  <c r="F570" i="12" s="1"/>
  <c r="M570" i="12" a="1"/>
  <c r="M570" i="12" s="1"/>
  <c r="E570" i="12" a="1"/>
  <c r="E570" i="12" s="1"/>
  <c r="L570" i="12" a="1"/>
  <c r="L570" i="12" s="1"/>
  <c r="D570" i="12" a="1"/>
  <c r="D570" i="12" s="1"/>
  <c r="L578" i="12"/>
  <c r="L1370" i="13" a="1"/>
  <c r="L1370" i="13" s="1"/>
  <c r="L1397" i="13" s="1"/>
  <c r="L573" i="12"/>
  <c r="L1375" i="13" s="1" a="1"/>
  <c r="L1375" i="13" s="1"/>
  <c r="G1370" i="13" a="1"/>
  <c r="G1370" i="13" s="1"/>
  <c r="G1397" i="13" s="1"/>
  <c r="G573" i="12"/>
  <c r="G1375" i="13" s="1" a="1"/>
  <c r="G1375" i="13" s="1"/>
  <c r="G578" i="12"/>
  <c r="E573" i="12"/>
  <c r="E1375" i="13" s="1" a="1"/>
  <c r="E1375" i="13" s="1"/>
  <c r="E1370" i="13" a="1"/>
  <c r="E1370" i="13" s="1"/>
  <c r="E1397" i="13" s="1"/>
  <c r="E578" i="12"/>
  <c r="J1370" i="13" a="1"/>
  <c r="J1370" i="13" s="1"/>
  <c r="J1397" i="13" s="1"/>
  <c r="J578" i="12"/>
  <c r="J573" i="12"/>
  <c r="J1375" i="13" s="1" a="1"/>
  <c r="J1375" i="13" s="1"/>
  <c r="M1370" i="13" a="1"/>
  <c r="M1370" i="13" s="1"/>
  <c r="M1397" i="13" s="1"/>
  <c r="M578" i="12"/>
  <c r="M573" i="12"/>
  <c r="M1375" i="13" s="1" a="1"/>
  <c r="M1375" i="13" s="1"/>
  <c r="J581" i="12" a="1"/>
  <c r="J581" i="12" s="1"/>
  <c r="K581" i="12" a="1"/>
  <c r="K581" i="12" s="1"/>
  <c r="I581" i="12" a="1"/>
  <c r="I581" i="12" s="1"/>
  <c r="H581" i="12" a="1"/>
  <c r="H581" i="12" s="1"/>
  <c r="O581" i="12" a="1"/>
  <c r="O581" i="12" s="1"/>
  <c r="G581" i="12" a="1"/>
  <c r="G581" i="12" s="1"/>
  <c r="N581" i="12" a="1"/>
  <c r="N581" i="12" s="1"/>
  <c r="F581" i="12" a="1"/>
  <c r="F581" i="12" s="1"/>
  <c r="M581" i="12" a="1"/>
  <c r="M581" i="12" s="1"/>
  <c r="E581" i="12" a="1"/>
  <c r="E581" i="12" s="1"/>
  <c r="L581" i="12" a="1"/>
  <c r="L581" i="12" s="1"/>
  <c r="D581" i="12" a="1"/>
  <c r="D581" i="12" s="1"/>
  <c r="N355" i="12"/>
  <c r="D407" i="12"/>
  <c r="D964" i="13" s="1" a="1"/>
  <c r="D964" i="13" s="1"/>
  <c r="F573" i="12"/>
  <c r="F1375" i="13" s="1" a="1"/>
  <c r="F1375" i="13" s="1"/>
  <c r="F1370" i="13" a="1"/>
  <c r="F1370" i="13" s="1"/>
  <c r="F1397" i="13" s="1"/>
  <c r="F578" i="12"/>
  <c r="N557" i="12" a="1"/>
  <c r="N557" i="12" s="1"/>
  <c r="F557" i="12" a="1"/>
  <c r="F557" i="12" s="1"/>
  <c r="O557" i="12" a="1"/>
  <c r="O557" i="12" s="1"/>
  <c r="M557" i="12" a="1"/>
  <c r="M557" i="12" s="1"/>
  <c r="E557" i="12" a="1"/>
  <c r="E557" i="12" s="1"/>
  <c r="G557" i="12" a="1"/>
  <c r="G557" i="12" s="1"/>
  <c r="L557" i="12" a="1"/>
  <c r="L557" i="12" s="1"/>
  <c r="D557" i="12" a="1"/>
  <c r="D557" i="12" s="1"/>
  <c r="K557" i="12" a="1"/>
  <c r="K557" i="12" s="1"/>
  <c r="J557" i="12" a="1"/>
  <c r="J557" i="12" s="1"/>
  <c r="I557" i="12" a="1"/>
  <c r="I557" i="12" s="1"/>
  <c r="H557" i="12" a="1"/>
  <c r="H557" i="12" s="1"/>
  <c r="N573" i="12"/>
  <c r="N1375" i="13" s="1" a="1"/>
  <c r="N1375" i="13" s="1"/>
  <c r="N1370" i="13" a="1"/>
  <c r="N1370" i="13" s="1"/>
  <c r="N1397" i="13" s="1"/>
  <c r="N578" i="12"/>
  <c r="H863" i="13" a="1"/>
  <c r="H863" i="13" s="1"/>
  <c r="H364" i="12"/>
  <c r="H366" i="12" s="1"/>
  <c r="H864" i="13" s="1" a="1"/>
  <c r="H864" i="13" s="1"/>
  <c r="GP40" i="9" a="1"/>
  <c r="GP40" i="9" s="1"/>
  <c r="GQ40" i="9" s="1"/>
  <c r="D397" i="12"/>
  <c r="D930" i="13" a="1"/>
  <c r="D930" i="13" s="1"/>
  <c r="D440" i="12" a="1"/>
  <c r="D440" i="12" s="1"/>
  <c r="HI39" i="9" a="1"/>
  <c r="HI39" i="9" s="1"/>
  <c r="HJ39" i="9" s="1"/>
  <c r="H384" i="12" a="1"/>
  <c r="H384" i="12" s="1"/>
  <c r="D432" i="12"/>
  <c r="D437" i="12"/>
  <c r="D1028" i="13" a="1"/>
  <c r="D1028" i="13" s="1"/>
  <c r="D1055" i="13" s="1"/>
  <c r="D420" i="12"/>
  <c r="D422" i="12" s="1"/>
  <c r="D1000" i="13" s="1" a="1"/>
  <c r="D1000" i="13" s="1"/>
  <c r="D999" i="13" a="1"/>
  <c r="D999" i="13" s="1"/>
  <c r="G398" i="12" a="1"/>
  <c r="G398" i="12" s="1"/>
  <c r="FW41" i="9" a="1"/>
  <c r="FW41" i="9" s="1"/>
  <c r="FX41" i="9" s="1"/>
  <c r="G378" i="12"/>
  <c r="G380" i="12" s="1"/>
  <c r="G898" i="13" s="1" a="1"/>
  <c r="G898" i="13" s="1"/>
  <c r="G897" i="13" a="1"/>
  <c r="G897" i="13" s="1"/>
  <c r="E481" i="12"/>
  <c r="I998" i="13" a="1"/>
  <c r="I998" i="13" s="1"/>
  <c r="K397" i="12"/>
  <c r="F467" i="12"/>
  <c r="M862" i="13" a="1"/>
  <c r="M862" i="13" s="1"/>
  <c r="E491" i="12"/>
  <c r="E1168" i="13" s="1" a="1"/>
  <c r="E1168" i="13" s="1"/>
  <c r="M379" i="12"/>
  <c r="M383" i="12" s="1"/>
  <c r="L393" i="12"/>
  <c r="L930" i="13" s="1" a="1"/>
  <c r="L930" i="13" s="1"/>
  <c r="J421" i="12"/>
  <c r="J998" i="13" s="1" a="1"/>
  <c r="J998" i="13" s="1"/>
  <c r="I435" i="12"/>
  <c r="I439" i="12" s="1"/>
  <c r="G463" i="12"/>
  <c r="G467" i="12" s="1"/>
  <c r="E1232" i="13" a="1"/>
  <c r="E1232" i="13" s="1"/>
  <c r="E1259" i="13" s="1"/>
  <c r="E521" i="12"/>
  <c r="E516" i="12"/>
  <c r="F498" i="12" a="1"/>
  <c r="F498" i="12" s="1"/>
  <c r="F1199" i="13" s="1" a="1"/>
  <c r="F1199" i="13" s="1"/>
  <c r="BQ46" i="9" s="1" a="1"/>
  <c r="BQ46" i="9" s="1"/>
  <c r="DG44" i="9" a="1"/>
  <c r="DG44" i="9" s="1"/>
  <c r="I468" i="12" a="1"/>
  <c r="I468" i="12" s="1"/>
  <c r="I456" i="12" a="1"/>
  <c r="I456" i="12" s="1"/>
  <c r="I1097" i="13" s="1" a="1"/>
  <c r="I1097" i="13" s="1"/>
  <c r="DV43" i="9" s="1" a="1"/>
  <c r="DV43" i="9" s="1"/>
  <c r="J442" i="12" a="1"/>
  <c r="J442" i="12" s="1"/>
  <c r="J1063" i="13" s="1" a="1"/>
  <c r="J1063" i="13" s="1"/>
  <c r="EO42" i="9" s="1" a="1"/>
  <c r="EO42" i="9" s="1"/>
  <c r="K432" i="12"/>
  <c r="K437" i="12"/>
  <c r="K1028" i="13" a="1"/>
  <c r="K1028" i="13" s="1"/>
  <c r="K1055" i="13" s="1"/>
  <c r="L994" i="13" a="1"/>
  <c r="L994" i="13" s="1"/>
  <c r="L1021" i="13" s="1"/>
  <c r="L423" i="12"/>
  <c r="L418" i="12"/>
  <c r="M931" i="13" a="1"/>
  <c r="M931" i="13" s="1"/>
  <c r="M392" i="12"/>
  <c r="M394" i="12" s="1"/>
  <c r="M932" i="13" s="1" a="1"/>
  <c r="M932" i="13" s="1"/>
  <c r="G484" i="12" a="1"/>
  <c r="G484" i="12" s="1"/>
  <c r="G1165" i="13" s="1" a="1"/>
  <c r="G1165" i="13" s="1"/>
  <c r="CJ45" i="9" s="1" a="1"/>
  <c r="CJ45" i="9" s="1"/>
  <c r="D57" i="24" a="1"/>
  <c r="D57" i="24" s="1"/>
  <c r="BB47" i="9" a="1"/>
  <c r="BB47" i="9" s="1"/>
  <c r="F510" i="12" a="1"/>
  <c r="F510" i="12" s="1"/>
  <c r="N365" i="12"/>
  <c r="H1101" i="13" a="1"/>
  <c r="H1101" i="13" s="1"/>
  <c r="H462" i="12"/>
  <c r="H464" i="12" s="1"/>
  <c r="H1102" i="13" s="1" a="1"/>
  <c r="H1102" i="13" s="1"/>
  <c r="H449" i="12"/>
  <c r="L383" i="12"/>
  <c r="L896" i="13" a="1"/>
  <c r="L896" i="13" s="1"/>
  <c r="G496" i="12" a="1"/>
  <c r="G496" i="12" s="1"/>
  <c r="BU46" i="9" a="1"/>
  <c r="BU46" i="9" s="1"/>
  <c r="F1198" i="13" a="1"/>
  <c r="F1198" i="13" s="1"/>
  <c r="F1225" i="13" s="1"/>
  <c r="F507" i="12"/>
  <c r="F502" i="12"/>
  <c r="K428" i="12" a="1"/>
  <c r="K428" i="12" s="1"/>
  <c r="K1029" i="13" s="1" a="1"/>
  <c r="K1029" i="13" s="1"/>
  <c r="FH41" i="9" s="1" a="1"/>
  <c r="FH41" i="9" s="1"/>
  <c r="F1169" i="13" a="1"/>
  <c r="F1169" i="13" s="1"/>
  <c r="F490" i="12"/>
  <c r="F492" i="12" s="1"/>
  <c r="F1170" i="13" s="1" a="1"/>
  <c r="F1170" i="13" s="1"/>
  <c r="O863" i="13" a="1"/>
  <c r="O863" i="13" s="1"/>
  <c r="O364" i="12"/>
  <c r="O366" i="12" s="1"/>
  <c r="O864" i="13" s="1" a="1"/>
  <c r="O864" i="13" s="1"/>
  <c r="G1135" i="13" a="1"/>
  <c r="G1135" i="13" s="1"/>
  <c r="G476" i="12"/>
  <c r="G478" i="12" s="1"/>
  <c r="G1136" i="13" s="1" a="1"/>
  <c r="G1136" i="13" s="1"/>
  <c r="E512" i="12" a="1"/>
  <c r="E512" i="12" s="1"/>
  <c r="E1233" i="13" s="1" a="1"/>
  <c r="E1233" i="13" s="1"/>
  <c r="AX47" i="9" s="1" a="1"/>
  <c r="AX47" i="9" s="1"/>
  <c r="ES42" i="9" a="1"/>
  <c r="ES42" i="9" s="1"/>
  <c r="K440" i="12" a="1"/>
  <c r="K440" i="12" s="1"/>
  <c r="O384" i="12" a="1"/>
  <c r="O384" i="12" s="1"/>
  <c r="HQ38" i="9" a="1"/>
  <c r="HQ38" i="9" s="1"/>
  <c r="C59" i="28" a="1"/>
  <c r="C59" i="28" s="1"/>
  <c r="A1297" i="13" a="1"/>
  <c r="A1297" i="13" s="1"/>
  <c r="A538" i="12" a="1"/>
  <c r="A538" i="12" s="1"/>
  <c r="L414" i="12" a="1"/>
  <c r="L414" i="12" s="1"/>
  <c r="L995" i="13" s="1" a="1"/>
  <c r="L995" i="13" s="1"/>
  <c r="GA40" i="9" s="1" a="1"/>
  <c r="GA40" i="9" s="1"/>
  <c r="M400" i="12" a="1"/>
  <c r="M400" i="12" s="1"/>
  <c r="M961" i="13" s="1" a="1"/>
  <c r="M961" i="13" s="1"/>
  <c r="GT39" i="9" s="1" a="1"/>
  <c r="GT39" i="9" s="1"/>
  <c r="FL41" i="9" a="1"/>
  <c r="FL41" i="9" s="1"/>
  <c r="L426" i="12" a="1"/>
  <c r="L426" i="12" s="1"/>
  <c r="J1033" i="13" a="1"/>
  <c r="J1033" i="13" s="1"/>
  <c r="J434" i="12"/>
  <c r="J436" i="12" s="1"/>
  <c r="J1034" i="13" s="1" a="1"/>
  <c r="J1034" i="13" s="1"/>
  <c r="O341" i="12"/>
  <c r="O794" i="13" a="1"/>
  <c r="O794" i="13" s="1"/>
  <c r="M960" i="13" a="1"/>
  <c r="M960" i="13" s="1"/>
  <c r="M987" i="13" s="1"/>
  <c r="M409" i="12"/>
  <c r="M404" i="12"/>
  <c r="N378" i="12"/>
  <c r="N380" i="12" s="1"/>
  <c r="N898" i="13" s="1" a="1"/>
  <c r="N898" i="13" s="1"/>
  <c r="N897" i="13" a="1"/>
  <c r="N897" i="13" s="1"/>
  <c r="N395" i="12"/>
  <c r="N390" i="12"/>
  <c r="N926" i="13" a="1"/>
  <c r="N926" i="13" s="1"/>
  <c r="N953" i="13" s="1"/>
  <c r="N386" i="12" a="1"/>
  <c r="N386" i="12" s="1"/>
  <c r="N927" i="13" s="1" a="1"/>
  <c r="N927" i="13" s="1"/>
  <c r="HM38" i="9" s="1" a="1"/>
  <c r="HM38" i="9" s="1"/>
  <c r="D526" i="12" a="1"/>
  <c r="D526" i="12" s="1"/>
  <c r="D1267" i="13" s="1" a="1"/>
  <c r="D1267" i="13" s="1"/>
  <c r="AE48" i="9" s="1" a="1"/>
  <c r="AE48" i="9" s="1"/>
  <c r="GE40" i="9" a="1"/>
  <c r="GE40" i="9" s="1"/>
  <c r="M412" i="12" a="1"/>
  <c r="M412" i="12" s="1"/>
  <c r="GX39" i="9" a="1"/>
  <c r="GX39" i="9" s="1"/>
  <c r="N398" i="12" a="1"/>
  <c r="N398" i="12" s="1"/>
  <c r="L965" i="13" a="1"/>
  <c r="L965" i="13" s="1"/>
  <c r="L406" i="12"/>
  <c r="L408" i="12" s="1"/>
  <c r="L966" i="13" s="1" a="1"/>
  <c r="L966" i="13" s="1"/>
  <c r="J964" i="13" a="1"/>
  <c r="J964" i="13" s="1"/>
  <c r="J411" i="12"/>
  <c r="F477" i="12"/>
  <c r="O372" i="12" a="1"/>
  <c r="O372" i="12" s="1"/>
  <c r="O893" i="13" s="1" a="1"/>
  <c r="O893" i="13" s="1"/>
  <c r="IF37" i="9" s="1" a="1"/>
  <c r="IF37" i="9" s="1"/>
  <c r="AI48" i="9" a="1"/>
  <c r="AI48" i="9" s="1"/>
  <c r="E524" i="12" a="1"/>
  <c r="E524" i="12" s="1"/>
  <c r="H470" i="12" a="1"/>
  <c r="H470" i="12" s="1"/>
  <c r="H1131" i="13" s="1" a="1"/>
  <c r="H1131" i="13" s="1"/>
  <c r="DC44" i="9" s="1" a="1"/>
  <c r="DC44" i="9" s="1"/>
  <c r="J454" i="12" a="1"/>
  <c r="J454" i="12" s="1"/>
  <c r="DZ43" i="9" a="1"/>
  <c r="DZ43" i="9" s="1"/>
  <c r="O351" i="12"/>
  <c r="I1096" i="13" a="1"/>
  <c r="I1096" i="13" s="1"/>
  <c r="I1123" i="13" s="1"/>
  <c r="I460" i="12"/>
  <c r="I465" i="12"/>
  <c r="O892" i="13" a="1"/>
  <c r="O892" i="13" s="1"/>
  <c r="O919" i="13" s="1"/>
  <c r="O381" i="12"/>
  <c r="O376" i="12"/>
  <c r="I448" i="12"/>
  <c r="I450" i="12" s="1"/>
  <c r="I1068" i="13" s="1" a="1"/>
  <c r="I1068" i="13" s="1"/>
  <c r="I1067" i="13" a="1"/>
  <c r="I1067" i="13" s="1"/>
  <c r="K420" i="12"/>
  <c r="K422" i="12" s="1"/>
  <c r="K1000" i="13" s="1" a="1"/>
  <c r="K1000" i="13" s="1"/>
  <c r="K999" i="13" a="1"/>
  <c r="K999" i="13" s="1"/>
  <c r="K407" i="12"/>
  <c r="J1062" i="13" a="1"/>
  <c r="J1062" i="13" s="1"/>
  <c r="J1089" i="13" s="1"/>
  <c r="J446" i="12"/>
  <c r="J451" i="12"/>
  <c r="E1203" i="13" a="1"/>
  <c r="E1203" i="13" s="1"/>
  <c r="E504" i="12"/>
  <c r="E506" i="12" s="1"/>
  <c r="E1204" i="13" s="1" a="1"/>
  <c r="E1204" i="13" s="1"/>
  <c r="G1164" i="13" a="1"/>
  <c r="G1164" i="13" s="1"/>
  <c r="G1191" i="13" s="1"/>
  <c r="G493" i="12"/>
  <c r="G488" i="12"/>
  <c r="B1157" i="13"/>
  <c r="B1158" i="13" s="1"/>
  <c r="B1159" i="13" s="1"/>
  <c r="B1160" i="13" s="1"/>
  <c r="B1152" i="13"/>
  <c r="B1153" i="13" s="1"/>
  <c r="B1154" i="13" s="1"/>
  <c r="B1155" i="13" s="1"/>
  <c r="B1234" i="13"/>
  <c r="B1235" i="13" s="1"/>
  <c r="B1231" i="13"/>
  <c r="B1232" i="13" s="1"/>
  <c r="B1233" i="13" s="1"/>
  <c r="B1202" i="13"/>
  <c r="B1203" i="13" s="1"/>
  <c r="B1204" i="13" s="1"/>
  <c r="B1205" i="13" s="1"/>
  <c r="B1206" i="13"/>
  <c r="B1207" i="13" s="1"/>
  <c r="B1208" i="13" s="1"/>
  <c r="B1209" i="13" s="1"/>
  <c r="B1210" i="13" s="1"/>
  <c r="B1211" i="13" s="1"/>
  <c r="B1212" i="13" s="1"/>
  <c r="B1213" i="13" s="1"/>
  <c r="B1214" i="13" s="1"/>
  <c r="B1215" i="13" s="1"/>
  <c r="B1216" i="13" s="1"/>
  <c r="B1217" i="13" s="1"/>
  <c r="B1218" i="13" s="1"/>
  <c r="B1263" i="13" a="1"/>
  <c r="B1263" i="13" s="1"/>
  <c r="B1264" i="13" s="1"/>
  <c r="B1185" i="13"/>
  <c r="B1190" i="13"/>
  <c r="AA681" i="10"/>
  <c r="AA694" i="10"/>
  <c r="AA706" i="10"/>
  <c r="AA707" i="10" s="1"/>
  <c r="AA719" i="10"/>
  <c r="B524" i="12" a="1"/>
  <c r="B524" i="12" s="1"/>
  <c r="R583" i="12"/>
  <c r="R584" i="12"/>
  <c r="R571" i="12"/>
  <c r="R608" i="12"/>
  <c r="R596" i="12"/>
  <c r="R595" i="12"/>
  <c r="H828" i="13" l="1" a="1"/>
  <c r="H828" i="13" s="1"/>
  <c r="D411" i="12"/>
  <c r="D421" i="12"/>
  <c r="D425" i="12" s="1"/>
  <c r="M1404" i="13" a="1"/>
  <c r="M1404" i="13" s="1"/>
  <c r="M1431" i="13" s="1"/>
  <c r="M592" i="12"/>
  <c r="M587" i="12"/>
  <c r="M1409" i="13" s="1" a="1"/>
  <c r="M1409" i="13" s="1"/>
  <c r="J1404" i="13" a="1"/>
  <c r="J1404" i="13" s="1"/>
  <c r="J1431" i="13" s="1"/>
  <c r="J587" i="12"/>
  <c r="J1409" i="13" s="1" a="1"/>
  <c r="J1409" i="13" s="1"/>
  <c r="J592" i="12"/>
  <c r="E1404" i="13" a="1"/>
  <c r="E1404" i="13" s="1"/>
  <c r="E1431" i="13" s="1"/>
  <c r="E592" i="12"/>
  <c r="E587" i="12"/>
  <c r="E1409" i="13" s="1" a="1"/>
  <c r="E1409" i="13" s="1"/>
  <c r="F1404" i="13" a="1"/>
  <c r="F1404" i="13" s="1"/>
  <c r="F1431" i="13" s="1"/>
  <c r="F592" i="12"/>
  <c r="F587" i="12"/>
  <c r="F1409" i="13" s="1" a="1"/>
  <c r="F1409" i="13" s="1"/>
  <c r="H595" i="12" a="1"/>
  <c r="H595" i="12" s="1"/>
  <c r="O595" i="12" a="1"/>
  <c r="O595" i="12" s="1"/>
  <c r="G595" i="12" a="1"/>
  <c r="G595" i="12" s="1"/>
  <c r="N595" i="12" a="1"/>
  <c r="N595" i="12" s="1"/>
  <c r="M595" i="12" a="1"/>
  <c r="M595" i="12" s="1"/>
  <c r="L595" i="12" a="1"/>
  <c r="L595" i="12" s="1"/>
  <c r="K595" i="12" a="1"/>
  <c r="K595" i="12" s="1"/>
  <c r="J595" i="12" a="1"/>
  <c r="J595" i="12" s="1"/>
  <c r="I595" i="12" a="1"/>
  <c r="I595" i="12" s="1"/>
  <c r="F595" i="12" a="1"/>
  <c r="F595" i="12" s="1"/>
  <c r="E595" i="12" a="1"/>
  <c r="E595" i="12" s="1"/>
  <c r="D595" i="12" a="1"/>
  <c r="D595" i="12" s="1"/>
  <c r="N587" i="12"/>
  <c r="N1409" i="13" s="1" a="1"/>
  <c r="N1409" i="13" s="1"/>
  <c r="N592" i="12"/>
  <c r="N1404" i="13" a="1"/>
  <c r="N1404" i="13" s="1"/>
  <c r="N1431" i="13" s="1"/>
  <c r="G1404" i="13" a="1"/>
  <c r="G1404" i="13" s="1"/>
  <c r="G1431" i="13" s="1"/>
  <c r="G592" i="12"/>
  <c r="G587" i="12"/>
  <c r="G1409" i="13" s="1" a="1"/>
  <c r="G1409" i="13" s="1"/>
  <c r="O592" i="12"/>
  <c r="O1404" i="13" a="1"/>
  <c r="O1404" i="13" s="1"/>
  <c r="O1431" i="13" s="1"/>
  <c r="O587" i="12"/>
  <c r="O1409" i="13" s="1" a="1"/>
  <c r="O1409" i="13" s="1"/>
  <c r="K1404" i="13" a="1"/>
  <c r="K1404" i="13" s="1"/>
  <c r="K1431" i="13" s="1"/>
  <c r="K587" i="12"/>
  <c r="K1409" i="13" s="1" a="1"/>
  <c r="K1409" i="13" s="1"/>
  <c r="K592" i="12"/>
  <c r="N571" i="12" a="1"/>
  <c r="N571" i="12" s="1"/>
  <c r="F571" i="12" a="1"/>
  <c r="F571" i="12" s="1"/>
  <c r="M571" i="12" a="1"/>
  <c r="M571" i="12" s="1"/>
  <c r="E571" i="12" a="1"/>
  <c r="E571" i="12" s="1"/>
  <c r="L571" i="12" a="1"/>
  <c r="L571" i="12" s="1"/>
  <c r="D571" i="12" a="1"/>
  <c r="D571" i="12" s="1"/>
  <c r="O571" i="12" a="1"/>
  <c r="O571" i="12" s="1"/>
  <c r="K571" i="12" a="1"/>
  <c r="K571" i="12" s="1"/>
  <c r="J571" i="12" a="1"/>
  <c r="J571" i="12" s="1"/>
  <c r="I571" i="12" a="1"/>
  <c r="I571" i="12" s="1"/>
  <c r="H571" i="12" a="1"/>
  <c r="H571" i="12" s="1"/>
  <c r="G571" i="12" a="1"/>
  <c r="G571" i="12" s="1"/>
  <c r="D592" i="12"/>
  <c r="D1404" i="13" a="1"/>
  <c r="D1404" i="13" s="1"/>
  <c r="D1431" i="13" s="1"/>
  <c r="D587" i="12"/>
  <c r="D1409" i="13" s="1" a="1"/>
  <c r="D1409" i="13" s="1"/>
  <c r="H1404" i="13" a="1"/>
  <c r="H1404" i="13" s="1"/>
  <c r="H1431" i="13" s="1"/>
  <c r="H587" i="12"/>
  <c r="H1409" i="13" s="1" a="1"/>
  <c r="H1409" i="13" s="1"/>
  <c r="H592" i="12"/>
  <c r="N583" i="12" a="1"/>
  <c r="N583" i="12" s="1"/>
  <c r="N1405" i="13" s="1" a="1"/>
  <c r="N1405" i="13" s="1"/>
  <c r="F583" i="12" a="1"/>
  <c r="F583" i="12" s="1"/>
  <c r="F1405" i="13" s="1" a="1"/>
  <c r="F1405" i="13" s="1"/>
  <c r="M583" i="12" a="1"/>
  <c r="M583" i="12" s="1"/>
  <c r="M1405" i="13" s="1" a="1"/>
  <c r="M1405" i="13" s="1"/>
  <c r="E583" i="12" a="1"/>
  <c r="E583" i="12" s="1"/>
  <c r="E1405" i="13" s="1" a="1"/>
  <c r="E1405" i="13" s="1"/>
  <c r="G583" i="12" a="1"/>
  <c r="G583" i="12" s="1"/>
  <c r="G1405" i="13" s="1" a="1"/>
  <c r="G1405" i="13" s="1"/>
  <c r="L583" i="12" a="1"/>
  <c r="L583" i="12" s="1"/>
  <c r="L1405" i="13" s="1" a="1"/>
  <c r="L1405" i="13" s="1"/>
  <c r="D583" i="12" a="1"/>
  <c r="D583" i="12" s="1"/>
  <c r="D1405" i="13" s="1" a="1"/>
  <c r="D1405" i="13" s="1"/>
  <c r="K583" i="12" a="1"/>
  <c r="K583" i="12" s="1"/>
  <c r="K1405" i="13" s="1" a="1"/>
  <c r="K1405" i="13" s="1"/>
  <c r="J583" i="12" a="1"/>
  <c r="J583" i="12" s="1"/>
  <c r="J1405" i="13" s="1" a="1"/>
  <c r="J1405" i="13" s="1"/>
  <c r="I583" i="12" a="1"/>
  <c r="I583" i="12" s="1"/>
  <c r="I1405" i="13" s="1" a="1"/>
  <c r="I1405" i="13" s="1"/>
  <c r="O583" i="12" a="1"/>
  <c r="O583" i="12" s="1"/>
  <c r="O1405" i="13" s="1" a="1"/>
  <c r="O1405" i="13" s="1"/>
  <c r="H583" i="12" a="1"/>
  <c r="H583" i="12" s="1"/>
  <c r="H1405" i="13" s="1" a="1"/>
  <c r="H1405" i="13" s="1"/>
  <c r="J584" i="12" a="1"/>
  <c r="J584" i="12" s="1"/>
  <c r="I584" i="12" a="1"/>
  <c r="I584" i="12" s="1"/>
  <c r="H584" i="12" a="1"/>
  <c r="H584" i="12" s="1"/>
  <c r="O584" i="12" a="1"/>
  <c r="O584" i="12" s="1"/>
  <c r="G584" i="12" a="1"/>
  <c r="G584" i="12" s="1"/>
  <c r="N584" i="12" a="1"/>
  <c r="N584" i="12" s="1"/>
  <c r="F584" i="12" a="1"/>
  <c r="F584" i="12" s="1"/>
  <c r="M584" i="12" a="1"/>
  <c r="M584" i="12" s="1"/>
  <c r="E584" i="12" a="1"/>
  <c r="E584" i="12" s="1"/>
  <c r="L584" i="12" a="1"/>
  <c r="L584" i="12" s="1"/>
  <c r="D584" i="12" a="1"/>
  <c r="D584" i="12" s="1"/>
  <c r="K584" i="12" a="1"/>
  <c r="K584" i="12" s="1"/>
  <c r="L587" i="12"/>
  <c r="L1409" i="13" s="1" a="1"/>
  <c r="L1409" i="13" s="1"/>
  <c r="L1404" i="13" a="1"/>
  <c r="L1404" i="13" s="1"/>
  <c r="L1431" i="13" s="1"/>
  <c r="L592" i="12"/>
  <c r="I1404" i="13" a="1"/>
  <c r="I1404" i="13" s="1"/>
  <c r="I1431" i="13" s="1"/>
  <c r="I587" i="12"/>
  <c r="I1409" i="13" s="1" a="1"/>
  <c r="I1409" i="13" s="1"/>
  <c r="I592" i="12"/>
  <c r="G379" i="12"/>
  <c r="G896" i="13" s="1" a="1"/>
  <c r="G896" i="13" s="1"/>
  <c r="FW42" i="9" a="1"/>
  <c r="FW42" i="9" s="1"/>
  <c r="FX42" i="9" s="1"/>
  <c r="GP41" i="9" a="1"/>
  <c r="GP41" i="9" s="1"/>
  <c r="GQ41" i="9" s="1"/>
  <c r="H365" i="12"/>
  <c r="D1033" i="13" a="1"/>
  <c r="D1033" i="13" s="1"/>
  <c r="D434" i="12"/>
  <c r="D436" i="12" s="1"/>
  <c r="D1034" i="13" s="1" a="1"/>
  <c r="D1034" i="13" s="1"/>
  <c r="D446" i="12"/>
  <c r="D1062" i="13" a="1"/>
  <c r="D1062" i="13" s="1"/>
  <c r="D1089" i="13" s="1"/>
  <c r="D451" i="12"/>
  <c r="D454" i="12" a="1"/>
  <c r="D454" i="12" s="1"/>
  <c r="G960" i="13" a="1"/>
  <c r="G960" i="13" s="1"/>
  <c r="G987" i="13" s="1"/>
  <c r="G404" i="12"/>
  <c r="G409" i="12"/>
  <c r="HI40" i="9" a="1"/>
  <c r="HI40" i="9" s="1"/>
  <c r="HJ40" i="9" s="1"/>
  <c r="H390" i="12"/>
  <c r="H926" i="13" a="1"/>
  <c r="H926" i="13" s="1"/>
  <c r="H953" i="13" s="1"/>
  <c r="H395" i="12"/>
  <c r="G412" i="12" a="1"/>
  <c r="G412" i="12" s="1"/>
  <c r="IB39" i="9" a="1"/>
  <c r="IB39" i="9" s="1"/>
  <c r="IC39" i="9" s="1"/>
  <c r="E495" i="12"/>
  <c r="M896" i="13" a="1"/>
  <c r="M896" i="13" s="1"/>
  <c r="L397" i="12"/>
  <c r="G1100" i="13" a="1"/>
  <c r="G1100" i="13" s="1"/>
  <c r="I1032" i="13" a="1"/>
  <c r="I1032" i="13" s="1"/>
  <c r="J425" i="12"/>
  <c r="I449" i="12"/>
  <c r="I1066" i="13" s="1" a="1"/>
  <c r="I1066" i="13" s="1"/>
  <c r="N379" i="12"/>
  <c r="N383" i="12" s="1"/>
  <c r="L407" i="12"/>
  <c r="L964" i="13" s="1" a="1"/>
  <c r="L964" i="13" s="1"/>
  <c r="G498" i="12" a="1"/>
  <c r="G498" i="12" s="1"/>
  <c r="G1199" i="13" s="1" a="1"/>
  <c r="G1199" i="13" s="1"/>
  <c r="CJ46" i="9" s="1" a="1"/>
  <c r="CJ46" i="9" s="1"/>
  <c r="AI49" i="9" a="1"/>
  <c r="AI49" i="9" s="1"/>
  <c r="E538" i="12" a="1"/>
  <c r="E538" i="12" s="1"/>
  <c r="GX40" i="9" a="1"/>
  <c r="GX40" i="9" s="1"/>
  <c r="N412" i="12" a="1"/>
  <c r="N412" i="12" s="1"/>
  <c r="L440" i="12" a="1"/>
  <c r="L440" i="12" s="1"/>
  <c r="FL42" i="9" a="1"/>
  <c r="FL42" i="9" s="1"/>
  <c r="D540" i="12" a="1"/>
  <c r="D540" i="12" s="1"/>
  <c r="D1301" i="13" s="1" a="1"/>
  <c r="D1301" i="13" s="1"/>
  <c r="AE49" i="9" s="1" a="1"/>
  <c r="AE49" i="9" s="1"/>
  <c r="O828" i="13" a="1"/>
  <c r="O828" i="13" s="1"/>
  <c r="O355" i="12"/>
  <c r="O926" i="13" a="1"/>
  <c r="O926" i="13" s="1"/>
  <c r="O953" i="13" s="1"/>
  <c r="O395" i="12"/>
  <c r="O390" i="12"/>
  <c r="G1198" i="13" a="1"/>
  <c r="G1198" i="13" s="1"/>
  <c r="G1225" i="13" s="1"/>
  <c r="G502" i="12"/>
  <c r="G507" i="12"/>
  <c r="F521" i="12"/>
  <c r="F1232" i="13" a="1"/>
  <c r="F1232" i="13" s="1"/>
  <c r="F1259" i="13" s="1"/>
  <c r="F516" i="12"/>
  <c r="I479" i="12"/>
  <c r="I474" i="12"/>
  <c r="I1130" i="13" a="1"/>
  <c r="I1130" i="13" s="1"/>
  <c r="I1157" i="13" s="1"/>
  <c r="I482" i="12" a="1"/>
  <c r="I482" i="12" s="1"/>
  <c r="DG45" i="9" a="1"/>
  <c r="DG45" i="9" s="1"/>
  <c r="HQ39" i="9" a="1"/>
  <c r="HQ39" i="9" s="1"/>
  <c r="O398" i="12" a="1"/>
  <c r="O398" i="12" s="1"/>
  <c r="J448" i="12"/>
  <c r="J450" i="12" s="1"/>
  <c r="J1068" i="13" s="1" a="1"/>
  <c r="J1068" i="13" s="1"/>
  <c r="J1067" i="13" a="1"/>
  <c r="J1067" i="13" s="1"/>
  <c r="K446" i="12"/>
  <c r="K451" i="12"/>
  <c r="K1062" i="13" a="1"/>
  <c r="K1062" i="13" s="1"/>
  <c r="K1089" i="13" s="1"/>
  <c r="O365" i="12"/>
  <c r="M393" i="12"/>
  <c r="GE41" i="9" a="1"/>
  <c r="GE41" i="9" s="1"/>
  <c r="M426" i="12" a="1"/>
  <c r="M426" i="12" s="1"/>
  <c r="G1169" i="13" a="1"/>
  <c r="G1169" i="13" s="1"/>
  <c r="G490" i="12"/>
  <c r="G492" i="12" s="1"/>
  <c r="G1170" i="13" s="1" a="1"/>
  <c r="G1170" i="13" s="1"/>
  <c r="O378" i="12"/>
  <c r="O380" i="12" s="1"/>
  <c r="O898" i="13" s="1" a="1"/>
  <c r="O898" i="13" s="1"/>
  <c r="O897" i="13" a="1"/>
  <c r="O897" i="13" s="1"/>
  <c r="J460" i="12"/>
  <c r="J465" i="12"/>
  <c r="J1096" i="13" a="1"/>
  <c r="J1096" i="13" s="1"/>
  <c r="J1123" i="13" s="1"/>
  <c r="K442" i="12" a="1"/>
  <c r="K442" i="12" s="1"/>
  <c r="K1063" i="13" s="1" a="1"/>
  <c r="K1063" i="13" s="1"/>
  <c r="FH42" i="9" s="1" a="1"/>
  <c r="FH42" i="9" s="1"/>
  <c r="H484" i="12" a="1"/>
  <c r="H484" i="12" s="1"/>
  <c r="H1165" i="13" s="1" a="1"/>
  <c r="H1165" i="13" s="1"/>
  <c r="DC45" i="9" s="1" a="1"/>
  <c r="DC45" i="9" s="1"/>
  <c r="J456" i="12" a="1"/>
  <c r="J456" i="12" s="1"/>
  <c r="J1097" i="13" s="1" a="1"/>
  <c r="J1097" i="13" s="1"/>
  <c r="EO43" i="9" s="1" a="1"/>
  <c r="EO43" i="9" s="1"/>
  <c r="N400" i="12" a="1"/>
  <c r="N400" i="12" s="1"/>
  <c r="N961" i="13" s="1" a="1"/>
  <c r="N961" i="13" s="1"/>
  <c r="HM39" i="9" s="1" a="1"/>
  <c r="HM39" i="9" s="1"/>
  <c r="L428" i="12" a="1"/>
  <c r="L428" i="12" s="1"/>
  <c r="L1029" i="13" s="1" a="1"/>
  <c r="L1029" i="13" s="1"/>
  <c r="GA41" i="9" s="1" a="1"/>
  <c r="GA41" i="9" s="1"/>
  <c r="K964" i="13" a="1"/>
  <c r="K964" i="13" s="1"/>
  <c r="K411" i="12"/>
  <c r="N960" i="13" a="1"/>
  <c r="N960" i="13" s="1"/>
  <c r="N987" i="13" s="1"/>
  <c r="N404" i="12"/>
  <c r="N409" i="12"/>
  <c r="J435" i="12"/>
  <c r="K1033" i="13" a="1"/>
  <c r="K1033" i="13" s="1"/>
  <c r="K434" i="12"/>
  <c r="K436" i="12" s="1"/>
  <c r="K1034" i="13" s="1" a="1"/>
  <c r="K1034" i="13" s="1"/>
  <c r="ES43" i="9" a="1"/>
  <c r="ES43" i="9" s="1"/>
  <c r="K454" i="12" a="1"/>
  <c r="K454" i="12" s="1"/>
  <c r="K421" i="12"/>
  <c r="F504" i="12"/>
  <c r="F506" i="12" s="1"/>
  <c r="F1204" i="13" s="1" a="1"/>
  <c r="F1204" i="13" s="1"/>
  <c r="F1203" i="13" a="1"/>
  <c r="F1203" i="13" s="1"/>
  <c r="N862" i="13" a="1"/>
  <c r="N862" i="13" s="1"/>
  <c r="N369" i="12"/>
  <c r="L999" i="13" a="1"/>
  <c r="L999" i="13" s="1"/>
  <c r="L420" i="12"/>
  <c r="L422" i="12" s="1"/>
  <c r="L1000" i="13" s="1" a="1"/>
  <c r="L1000" i="13" s="1"/>
  <c r="E518" i="12"/>
  <c r="E520" i="12" s="1"/>
  <c r="E1238" i="13" s="1" a="1"/>
  <c r="E1238" i="13" s="1"/>
  <c r="E1237" i="13" a="1"/>
  <c r="E1237" i="13" s="1"/>
  <c r="N931" i="13" a="1"/>
  <c r="N931" i="13" s="1"/>
  <c r="N392" i="12"/>
  <c r="N394" i="12" s="1"/>
  <c r="N932" i="13" s="1" a="1"/>
  <c r="N932" i="13" s="1"/>
  <c r="C60" i="28" a="1"/>
  <c r="C60" i="28" s="1"/>
  <c r="A552" i="12" a="1"/>
  <c r="A552" i="12" s="1"/>
  <c r="A1331" i="13" a="1"/>
  <c r="A1331" i="13" s="1"/>
  <c r="E526" i="12" a="1"/>
  <c r="E526" i="12" s="1"/>
  <c r="E1267" i="13" s="1" a="1"/>
  <c r="E1267" i="13" s="1"/>
  <c r="AX48" i="9" s="1" a="1"/>
  <c r="AX48" i="9" s="1"/>
  <c r="F512" i="12" a="1"/>
  <c r="F512" i="12" s="1"/>
  <c r="F1233" i="13" s="1" a="1"/>
  <c r="F1233" i="13" s="1"/>
  <c r="BQ47" i="9" s="1" a="1"/>
  <c r="BQ47" i="9" s="1"/>
  <c r="O386" i="12" a="1"/>
  <c r="O386" i="12" s="1"/>
  <c r="O927" i="13" s="1" a="1"/>
  <c r="O927" i="13" s="1"/>
  <c r="IF38" i="9" s="1" a="1"/>
  <c r="IF38" i="9" s="1"/>
  <c r="I470" i="12" a="1"/>
  <c r="I470" i="12" s="1"/>
  <c r="I1131" i="13" s="1" a="1"/>
  <c r="I1131" i="13" s="1"/>
  <c r="DV44" i="9" s="1" a="1"/>
  <c r="DV44" i="9" s="1"/>
  <c r="E505" i="12"/>
  <c r="E1266" i="13" a="1"/>
  <c r="E1266" i="13" s="1"/>
  <c r="E1293" i="13" s="1"/>
  <c r="E535" i="12"/>
  <c r="E530" i="12"/>
  <c r="F481" i="12"/>
  <c r="F1134" i="13" a="1"/>
  <c r="F1134" i="13" s="1"/>
  <c r="M994" i="13" a="1"/>
  <c r="M994" i="13" s="1"/>
  <c r="M1021" i="13" s="1"/>
  <c r="M418" i="12"/>
  <c r="M423" i="12"/>
  <c r="G477" i="12"/>
  <c r="F491" i="12"/>
  <c r="H453" i="12"/>
  <c r="H1066" i="13" a="1"/>
  <c r="H1066" i="13" s="1"/>
  <c r="M414" i="12" a="1"/>
  <c r="M414" i="12" s="1"/>
  <c r="M995" i="13" s="1" a="1"/>
  <c r="M995" i="13" s="1"/>
  <c r="GT40" i="9" s="1" a="1"/>
  <c r="GT40" i="9" s="1"/>
  <c r="BB48" i="9" a="1"/>
  <c r="BB48" i="9" s="1"/>
  <c r="F524" i="12" a="1"/>
  <c r="F524" i="12" s="1"/>
  <c r="D58" i="24" a="1"/>
  <c r="D58" i="24" s="1"/>
  <c r="J468" i="12" a="1"/>
  <c r="J468" i="12" s="1"/>
  <c r="DZ44" i="9" a="1"/>
  <c r="DZ44" i="9" s="1"/>
  <c r="I1101" i="13" a="1"/>
  <c r="I1101" i="13" s="1"/>
  <c r="I462" i="12"/>
  <c r="I464" i="12" s="1"/>
  <c r="I1102" i="13" s="1" a="1"/>
  <c r="I1102" i="13" s="1"/>
  <c r="M965" i="13" a="1"/>
  <c r="M965" i="13" s="1"/>
  <c r="M406" i="12"/>
  <c r="M408" i="12" s="1"/>
  <c r="M966" i="13" s="1" a="1"/>
  <c r="M966" i="13" s="1"/>
  <c r="L1028" i="13" a="1"/>
  <c r="L1028" i="13" s="1"/>
  <c r="L1055" i="13" s="1"/>
  <c r="L432" i="12"/>
  <c r="L437" i="12"/>
  <c r="H463" i="12"/>
  <c r="CN44" i="9" a="1"/>
  <c r="CN44" i="9" s="1"/>
  <c r="B1268" i="13"/>
  <c r="B1269" i="13" s="1"/>
  <c r="B1265" i="13"/>
  <c r="B1266" i="13" s="1"/>
  <c r="B1267" i="13" s="1"/>
  <c r="B1224" i="13"/>
  <c r="B1219" i="13"/>
  <c r="B1297" i="13" a="1"/>
  <c r="B1297" i="13" s="1"/>
  <c r="B1298" i="13" s="1"/>
  <c r="B1186" i="13"/>
  <c r="B1187" i="13" s="1"/>
  <c r="B1188" i="13" s="1"/>
  <c r="B1189" i="13" s="1"/>
  <c r="B1191" i="13"/>
  <c r="B1192" i="13" s="1"/>
  <c r="B1193" i="13" s="1"/>
  <c r="B1194" i="13" s="1"/>
  <c r="B1240" i="13"/>
  <c r="B1241" i="13" s="1"/>
  <c r="B1242" i="13" s="1"/>
  <c r="B1243" i="13" s="1"/>
  <c r="B1244" i="13" s="1"/>
  <c r="B1245" i="13" s="1"/>
  <c r="B1246" i="13" s="1"/>
  <c r="B1247" i="13" s="1"/>
  <c r="B1248" i="13" s="1"/>
  <c r="B1249" i="13" s="1"/>
  <c r="B1250" i="13" s="1"/>
  <c r="B1251" i="13" s="1"/>
  <c r="B1252" i="13" s="1"/>
  <c r="B1236" i="13"/>
  <c r="B1237" i="13" s="1"/>
  <c r="B1238" i="13" s="1"/>
  <c r="B1239" i="13" s="1"/>
  <c r="AA708" i="10"/>
  <c r="AA720" i="10"/>
  <c r="AA721" i="10" s="1"/>
  <c r="AA733" i="10"/>
  <c r="AA695" i="10"/>
  <c r="B538" i="12" a="1"/>
  <c r="B538" i="12" s="1"/>
  <c r="R585" i="12"/>
  <c r="R597" i="12"/>
  <c r="R598" i="12"/>
  <c r="R610" i="12"/>
  <c r="R609" i="12"/>
  <c r="R622" i="12"/>
  <c r="D998" i="13" l="1" a="1"/>
  <c r="D998" i="13" s="1"/>
  <c r="G383" i="12"/>
  <c r="D1438" i="13" a="1"/>
  <c r="D1438" i="13" s="1"/>
  <c r="D1465" i="13" s="1"/>
  <c r="D601" i="12"/>
  <c r="D1443" i="13" s="1" a="1"/>
  <c r="D1443" i="13" s="1"/>
  <c r="D606" i="12"/>
  <c r="N606" i="12"/>
  <c r="N1438" i="13" a="1"/>
  <c r="N1438" i="13" s="1"/>
  <c r="N1465" i="13" s="1"/>
  <c r="N601" i="12"/>
  <c r="N1443" i="13" s="1" a="1"/>
  <c r="N1443" i="13" s="1"/>
  <c r="H609" i="12" a="1"/>
  <c r="H609" i="12" s="1"/>
  <c r="O609" i="12" a="1"/>
  <c r="O609" i="12" s="1"/>
  <c r="G609" i="12" a="1"/>
  <c r="G609" i="12" s="1"/>
  <c r="N609" i="12" a="1"/>
  <c r="N609" i="12" s="1"/>
  <c r="F609" i="12" a="1"/>
  <c r="F609" i="12" s="1"/>
  <c r="M609" i="12" a="1"/>
  <c r="M609" i="12" s="1"/>
  <c r="E609" i="12" a="1"/>
  <c r="E609" i="12" s="1"/>
  <c r="L609" i="12" a="1"/>
  <c r="L609" i="12" s="1"/>
  <c r="D609" i="12" a="1"/>
  <c r="D609" i="12" s="1"/>
  <c r="K609" i="12" a="1"/>
  <c r="K609" i="12" s="1"/>
  <c r="J609" i="12" a="1"/>
  <c r="J609" i="12" s="1"/>
  <c r="I609" i="12" a="1"/>
  <c r="I609" i="12" s="1"/>
  <c r="F606" i="12"/>
  <c r="F1438" i="13" a="1"/>
  <c r="F1438" i="13" s="1"/>
  <c r="F1465" i="13" s="1"/>
  <c r="F601" i="12"/>
  <c r="F1443" i="13" s="1" a="1"/>
  <c r="F1443" i="13" s="1"/>
  <c r="O1438" i="13" a="1"/>
  <c r="O1438" i="13" s="1"/>
  <c r="O1465" i="13" s="1"/>
  <c r="O601" i="12"/>
  <c r="O1443" i="13" s="1" a="1"/>
  <c r="O1443" i="13" s="1"/>
  <c r="O606" i="12"/>
  <c r="I1438" i="13" a="1"/>
  <c r="I1438" i="13" s="1"/>
  <c r="I1465" i="13" s="1"/>
  <c r="I606" i="12"/>
  <c r="I601" i="12"/>
  <c r="I1443" i="13" s="1" a="1"/>
  <c r="I1443" i="13" s="1"/>
  <c r="H1438" i="13" a="1"/>
  <c r="H1438" i="13" s="1"/>
  <c r="H1465" i="13" s="1"/>
  <c r="H606" i="12"/>
  <c r="H601" i="12"/>
  <c r="H1443" i="13" s="1" a="1"/>
  <c r="H1443" i="13" s="1"/>
  <c r="E1438" i="13" a="1"/>
  <c r="E1438" i="13" s="1"/>
  <c r="E1465" i="13" s="1"/>
  <c r="E601" i="12"/>
  <c r="E1443" i="13" s="1" a="1"/>
  <c r="E1443" i="13" s="1"/>
  <c r="E606" i="12"/>
  <c r="J1438" i="13" a="1"/>
  <c r="J1438" i="13" s="1"/>
  <c r="J1465" i="13" s="1"/>
  <c r="J601" i="12"/>
  <c r="J1443" i="13" s="1" a="1"/>
  <c r="J1443" i="13" s="1"/>
  <c r="J606" i="12"/>
  <c r="G601" i="12"/>
  <c r="G1443" i="13" s="1" a="1"/>
  <c r="G1443" i="13" s="1"/>
  <c r="G1438" i="13" a="1"/>
  <c r="G1438" i="13" s="1"/>
  <c r="G1465" i="13" s="1"/>
  <c r="G606" i="12"/>
  <c r="H598" i="12" a="1"/>
  <c r="H598" i="12" s="1"/>
  <c r="O598" i="12" a="1"/>
  <c r="O598" i="12" s="1"/>
  <c r="G598" i="12" a="1"/>
  <c r="G598" i="12" s="1"/>
  <c r="N598" i="12" a="1"/>
  <c r="N598" i="12" s="1"/>
  <c r="F598" i="12" a="1"/>
  <c r="F598" i="12" s="1"/>
  <c r="M598" i="12" a="1"/>
  <c r="M598" i="12" s="1"/>
  <c r="E598" i="12" a="1"/>
  <c r="E598" i="12" s="1"/>
  <c r="L598" i="12" a="1"/>
  <c r="L598" i="12" s="1"/>
  <c r="D598" i="12" a="1"/>
  <c r="D598" i="12" s="1"/>
  <c r="K598" i="12" a="1"/>
  <c r="K598" i="12" s="1"/>
  <c r="J598" i="12" a="1"/>
  <c r="J598" i="12" s="1"/>
  <c r="I598" i="12" a="1"/>
  <c r="I598" i="12" s="1"/>
  <c r="L597" i="12" a="1"/>
  <c r="L597" i="12" s="1"/>
  <c r="L1439" i="13" s="1" a="1"/>
  <c r="L1439" i="13" s="1"/>
  <c r="D597" i="12" a="1"/>
  <c r="D597" i="12" s="1"/>
  <c r="D1439" i="13" s="1" a="1"/>
  <c r="D1439" i="13" s="1"/>
  <c r="K597" i="12" a="1"/>
  <c r="K597" i="12" s="1"/>
  <c r="K1439" i="13" s="1" a="1"/>
  <c r="K1439" i="13" s="1"/>
  <c r="J597" i="12" a="1"/>
  <c r="J597" i="12" s="1"/>
  <c r="J1439" i="13" s="1" a="1"/>
  <c r="J1439" i="13" s="1"/>
  <c r="I597" i="12" a="1"/>
  <c r="I597" i="12" s="1"/>
  <c r="I1439" i="13" s="1" a="1"/>
  <c r="I1439" i="13" s="1"/>
  <c r="H597" i="12" a="1"/>
  <c r="H597" i="12" s="1"/>
  <c r="H1439" i="13" s="1" a="1"/>
  <c r="H1439" i="13" s="1"/>
  <c r="O597" i="12" a="1"/>
  <c r="O597" i="12" s="1"/>
  <c r="O1439" i="13" s="1" a="1"/>
  <c r="O1439" i="13" s="1"/>
  <c r="G597" i="12" a="1"/>
  <c r="G597" i="12" s="1"/>
  <c r="G1439" i="13" s="1" a="1"/>
  <c r="G1439" i="13" s="1"/>
  <c r="N597" i="12" a="1"/>
  <c r="N597" i="12" s="1"/>
  <c r="N1439" i="13" s="1" a="1"/>
  <c r="N1439" i="13" s="1"/>
  <c r="F597" i="12" a="1"/>
  <c r="F597" i="12" s="1"/>
  <c r="F1439" i="13" s="1" a="1"/>
  <c r="F1439" i="13" s="1"/>
  <c r="M597" i="12" a="1"/>
  <c r="M597" i="12" s="1"/>
  <c r="M1439" i="13" s="1" a="1"/>
  <c r="M1439" i="13" s="1"/>
  <c r="E597" i="12" a="1"/>
  <c r="E597" i="12" s="1"/>
  <c r="E1439" i="13" s="1" a="1"/>
  <c r="E1439" i="13" s="1"/>
  <c r="K1438" i="13" a="1"/>
  <c r="K1438" i="13" s="1"/>
  <c r="K1465" i="13" s="1"/>
  <c r="K606" i="12"/>
  <c r="K601" i="12"/>
  <c r="K1443" i="13" s="1" a="1"/>
  <c r="K1443" i="13" s="1"/>
  <c r="N585" i="12" a="1"/>
  <c r="N585" i="12" s="1"/>
  <c r="F585" i="12" a="1"/>
  <c r="F585" i="12" s="1"/>
  <c r="M585" i="12" a="1"/>
  <c r="M585" i="12" s="1"/>
  <c r="E585" i="12" a="1"/>
  <c r="E585" i="12" s="1"/>
  <c r="L585" i="12" a="1"/>
  <c r="L585" i="12" s="1"/>
  <c r="D585" i="12" a="1"/>
  <c r="D585" i="12" s="1"/>
  <c r="O585" i="12" a="1"/>
  <c r="O585" i="12" s="1"/>
  <c r="K585" i="12" a="1"/>
  <c r="K585" i="12" s="1"/>
  <c r="J585" i="12" a="1"/>
  <c r="J585" i="12" s="1"/>
  <c r="G585" i="12" a="1"/>
  <c r="G585" i="12" s="1"/>
  <c r="I585" i="12" a="1"/>
  <c r="I585" i="12" s="1"/>
  <c r="H585" i="12" a="1"/>
  <c r="H585" i="12" s="1"/>
  <c r="L1438" i="13" a="1"/>
  <c r="L1438" i="13" s="1"/>
  <c r="L1465" i="13" s="1"/>
  <c r="L606" i="12"/>
  <c r="L601" i="12"/>
  <c r="L1443" i="13" s="1" a="1"/>
  <c r="L1443" i="13" s="1"/>
  <c r="M1438" i="13" a="1"/>
  <c r="M1438" i="13" s="1"/>
  <c r="M1465" i="13" s="1"/>
  <c r="M601" i="12"/>
  <c r="M1443" i="13" s="1" a="1"/>
  <c r="M1443" i="13" s="1"/>
  <c r="M606" i="12"/>
  <c r="D435" i="12"/>
  <c r="D1032" i="13" s="1" a="1"/>
  <c r="D1032" i="13" s="1"/>
  <c r="D448" i="12"/>
  <c r="D450" i="12" s="1"/>
  <c r="D1068" i="13" s="1" a="1"/>
  <c r="D1068" i="13" s="1"/>
  <c r="D1067" i="13" a="1"/>
  <c r="D1067" i="13" s="1"/>
  <c r="H369" i="12"/>
  <c r="H862" i="13" a="1"/>
  <c r="H862" i="13" s="1"/>
  <c r="FW43" i="9" a="1"/>
  <c r="FW43" i="9" s="1"/>
  <c r="FX43" i="9" s="1"/>
  <c r="GP42" i="9" a="1"/>
  <c r="GP42" i="9" s="1"/>
  <c r="GQ42" i="9" s="1"/>
  <c r="H931" i="13" a="1"/>
  <c r="H931" i="13" s="1"/>
  <c r="H392" i="12"/>
  <c r="H394" i="12" s="1"/>
  <c r="H932" i="13" s="1" a="1"/>
  <c r="H932" i="13" s="1"/>
  <c r="G406" i="12"/>
  <c r="G408" i="12" s="1"/>
  <c r="G966" i="13" s="1" a="1"/>
  <c r="G966" i="13" s="1"/>
  <c r="G965" i="13" a="1"/>
  <c r="G965" i="13" s="1"/>
  <c r="D468" i="12" a="1"/>
  <c r="D468" i="12" s="1"/>
  <c r="D1096" i="13" a="1"/>
  <c r="D1096" i="13" s="1"/>
  <c r="D1123" i="13" s="1"/>
  <c r="D460" i="12"/>
  <c r="D465" i="12"/>
  <c r="G994" i="13" a="1"/>
  <c r="G994" i="13" s="1"/>
  <c r="G1021" i="13" s="1"/>
  <c r="G423" i="12"/>
  <c r="G418" i="12"/>
  <c r="IB40" i="9" a="1"/>
  <c r="IB40" i="9" s="1"/>
  <c r="IC40" i="9" s="1"/>
  <c r="HI41" i="9" a="1"/>
  <c r="HI41" i="9" s="1"/>
  <c r="HJ41" i="9" s="1"/>
  <c r="IB41" i="9" a="1"/>
  <c r="IB41" i="9" s="1"/>
  <c r="IC41" i="9" s="1"/>
  <c r="M407" i="12"/>
  <c r="M964" i="13" s="1" a="1"/>
  <c r="M964" i="13" s="1"/>
  <c r="E519" i="12"/>
  <c r="E523" i="12" s="1"/>
  <c r="N896" i="13" a="1"/>
  <c r="N896" i="13" s="1"/>
  <c r="F505" i="12"/>
  <c r="F509" i="12" s="1"/>
  <c r="L411" i="12"/>
  <c r="I453" i="12"/>
  <c r="L421" i="12"/>
  <c r="L425" i="12" s="1"/>
  <c r="I463" i="12"/>
  <c r="I1100" i="13" s="1" a="1"/>
  <c r="I1100" i="13" s="1"/>
  <c r="E540" i="12" a="1"/>
  <c r="E540" i="12" s="1"/>
  <c r="E1301" i="13" s="1" a="1"/>
  <c r="E1301" i="13" s="1"/>
  <c r="AX49" i="9" s="1" a="1"/>
  <c r="AX49" i="9" s="1"/>
  <c r="H498" i="12" a="1"/>
  <c r="H498" i="12" s="1"/>
  <c r="H1199" i="13" s="1" a="1"/>
  <c r="H1199" i="13" s="1"/>
  <c r="DC46" i="9" s="1" a="1"/>
  <c r="DC46" i="9" s="1"/>
  <c r="J482" i="12" a="1"/>
  <c r="J482" i="12" s="1"/>
  <c r="DZ45" i="9" a="1"/>
  <c r="DZ45" i="9" s="1"/>
  <c r="GX41" i="9" a="1"/>
  <c r="GX41" i="9" s="1"/>
  <c r="N426" i="12" a="1"/>
  <c r="N426" i="12" s="1"/>
  <c r="FL43" i="9" a="1"/>
  <c r="FL43" i="9" s="1"/>
  <c r="L454" i="12" a="1"/>
  <c r="L454" i="12" s="1"/>
  <c r="E1202" i="13" a="1"/>
  <c r="E1202" i="13" s="1"/>
  <c r="E509" i="12"/>
  <c r="K1067" i="13" a="1"/>
  <c r="K1067" i="13" s="1"/>
  <c r="K448" i="12"/>
  <c r="K450" i="12" s="1"/>
  <c r="K1068" i="13" s="1" a="1"/>
  <c r="K1068" i="13" s="1"/>
  <c r="G1203" i="13" a="1"/>
  <c r="G1203" i="13" s="1"/>
  <c r="G504" i="12"/>
  <c r="G506" i="12" s="1"/>
  <c r="G1204" i="13" s="1" a="1"/>
  <c r="G1204" i="13" s="1"/>
  <c r="N414" i="12" a="1"/>
  <c r="N414" i="12" s="1"/>
  <c r="N995" i="13" s="1" a="1"/>
  <c r="N995" i="13" s="1"/>
  <c r="HM40" i="9" s="1" a="1"/>
  <c r="HM40" i="9" s="1"/>
  <c r="IB47" i="9" a="1"/>
  <c r="IB47" i="9" s="1"/>
  <c r="IC47" i="9" s="1"/>
  <c r="F538" i="12" a="1"/>
  <c r="F538" i="12" s="1"/>
  <c r="BB49" i="9" a="1"/>
  <c r="BB49" i="9" s="1"/>
  <c r="DG46" i="9" a="1"/>
  <c r="DG46" i="9" s="1"/>
  <c r="I496" i="12" a="1"/>
  <c r="I496" i="12" s="1"/>
  <c r="M428" i="12" a="1"/>
  <c r="M428" i="12" s="1"/>
  <c r="M1029" i="13" s="1" a="1"/>
  <c r="M1029" i="13" s="1"/>
  <c r="GT41" i="9" s="1" a="1"/>
  <c r="GT41" i="9" s="1"/>
  <c r="L442" i="12" a="1"/>
  <c r="L442" i="12" s="1"/>
  <c r="L1063" i="13" s="1" a="1"/>
  <c r="L1063" i="13" s="1"/>
  <c r="GA42" i="9" s="1" a="1"/>
  <c r="GA42" i="9" s="1"/>
  <c r="J1130" i="13" a="1"/>
  <c r="J1130" i="13" s="1"/>
  <c r="J1157" i="13" s="1"/>
  <c r="J474" i="12"/>
  <c r="J479" i="12"/>
  <c r="M999" i="13" a="1"/>
  <c r="M999" i="13" s="1"/>
  <c r="M420" i="12"/>
  <c r="M422" i="12" s="1"/>
  <c r="M1000" i="13" s="1" a="1"/>
  <c r="M1000" i="13" s="1"/>
  <c r="M437" i="12"/>
  <c r="M432" i="12"/>
  <c r="M1028" i="13" a="1"/>
  <c r="M1028" i="13" s="1"/>
  <c r="M1055" i="13" s="1"/>
  <c r="J449" i="12"/>
  <c r="I476" i="12"/>
  <c r="I478" i="12" s="1"/>
  <c r="I1136" i="13" s="1" a="1"/>
  <c r="I1136" i="13" s="1"/>
  <c r="I1135" i="13" a="1"/>
  <c r="I1135" i="13" s="1"/>
  <c r="O931" i="13" a="1"/>
  <c r="O931" i="13" s="1"/>
  <c r="O392" i="12"/>
  <c r="O394" i="12" s="1"/>
  <c r="O932" i="13" s="1" a="1"/>
  <c r="O932" i="13" s="1"/>
  <c r="I484" i="12" a="1"/>
  <c r="I484" i="12" s="1"/>
  <c r="I1165" i="13" s="1" a="1"/>
  <c r="I1165" i="13" s="1"/>
  <c r="DV45" i="9" s="1" a="1"/>
  <c r="DV45" i="9" s="1"/>
  <c r="G481" i="12"/>
  <c r="G1134" i="13" a="1"/>
  <c r="G1134" i="13" s="1"/>
  <c r="HQ40" i="9" a="1"/>
  <c r="HQ40" i="9" s="1"/>
  <c r="O412" i="12" a="1"/>
  <c r="O412" i="12" s="1"/>
  <c r="F526" i="12" a="1"/>
  <c r="F526" i="12" s="1"/>
  <c r="F1267" i="13" s="1" a="1"/>
  <c r="F1267" i="13" s="1"/>
  <c r="BQ48" i="9" s="1" a="1"/>
  <c r="BQ48" i="9" s="1"/>
  <c r="C61" i="28" a="1"/>
  <c r="C61" i="28" s="1"/>
  <c r="A1365" i="13" a="1"/>
  <c r="A1365" i="13" s="1"/>
  <c r="A566" i="12" a="1"/>
  <c r="A566" i="12" s="1"/>
  <c r="GE42" i="9" a="1"/>
  <c r="GE42" i="9" s="1"/>
  <c r="M440" i="12" a="1"/>
  <c r="M440" i="12" s="1"/>
  <c r="J470" i="12" a="1"/>
  <c r="J470" i="12" s="1"/>
  <c r="J1131" i="13" s="1" a="1"/>
  <c r="J1131" i="13" s="1"/>
  <c r="EO44" i="9" s="1" a="1"/>
  <c r="EO44" i="9" s="1"/>
  <c r="N965" i="13" a="1"/>
  <c r="N965" i="13" s="1"/>
  <c r="N406" i="12"/>
  <c r="N408" i="12" s="1"/>
  <c r="N966" i="13" s="1" a="1"/>
  <c r="N966" i="13" s="1"/>
  <c r="J1101" i="13" a="1"/>
  <c r="J1101" i="13" s="1"/>
  <c r="J462" i="12"/>
  <c r="J464" i="12" s="1"/>
  <c r="J1102" i="13" s="1" a="1"/>
  <c r="J1102" i="13" s="1"/>
  <c r="D554" i="12" a="1"/>
  <c r="D554" i="12" s="1"/>
  <c r="D1335" i="13" s="1" a="1"/>
  <c r="D1335" i="13" s="1"/>
  <c r="AE50" i="9" s="1" a="1"/>
  <c r="AE50" i="9" s="1"/>
  <c r="H467" i="12"/>
  <c r="H1100" i="13" a="1"/>
  <c r="H1100" i="13" s="1"/>
  <c r="K435" i="12"/>
  <c r="O379" i="12"/>
  <c r="M930" i="13" a="1"/>
  <c r="M930" i="13" s="1"/>
  <c r="M397" i="12"/>
  <c r="F518" i="12"/>
  <c r="F520" i="12" s="1"/>
  <c r="F1238" i="13" s="1" a="1"/>
  <c r="F1238" i="13" s="1"/>
  <c r="F1237" i="13" a="1"/>
  <c r="F1237" i="13" s="1"/>
  <c r="E1300" i="13" a="1"/>
  <c r="E1300" i="13" s="1"/>
  <c r="E1327" i="13" s="1"/>
  <c r="E544" i="12"/>
  <c r="E549" i="12"/>
  <c r="O400" i="12" a="1"/>
  <c r="O400" i="12" s="1"/>
  <c r="O961" i="13" s="1" a="1"/>
  <c r="O961" i="13" s="1"/>
  <c r="IF39" i="9" s="1" a="1"/>
  <c r="IF39" i="9" s="1"/>
  <c r="AI50" i="9" a="1"/>
  <c r="AI50" i="9" s="1"/>
  <c r="E552" i="12" a="1"/>
  <c r="E552" i="12" s="1"/>
  <c r="K468" i="12" a="1"/>
  <c r="K468" i="12" s="1"/>
  <c r="ES44" i="9" a="1"/>
  <c r="ES44" i="9" s="1"/>
  <c r="F535" i="12"/>
  <c r="F530" i="12"/>
  <c r="F1266" i="13" a="1"/>
  <c r="F1266" i="13" s="1"/>
  <c r="F1293" i="13" s="1"/>
  <c r="N393" i="12"/>
  <c r="O960" i="13" a="1"/>
  <c r="O960" i="13" s="1"/>
  <c r="O987" i="13" s="1"/>
  <c r="O404" i="12"/>
  <c r="O409" i="12"/>
  <c r="I1164" i="13" a="1"/>
  <c r="I1164" i="13" s="1"/>
  <c r="I1191" i="13" s="1"/>
  <c r="I488" i="12"/>
  <c r="I493" i="12"/>
  <c r="G512" i="12" a="1"/>
  <c r="G512" i="12" s="1"/>
  <c r="G1233" i="13" s="1" a="1"/>
  <c r="G1233" i="13" s="1"/>
  <c r="CJ47" i="9" s="1" a="1"/>
  <c r="CJ47" i="9" s="1"/>
  <c r="D59" i="24" a="1"/>
  <c r="D59" i="24" s="1"/>
  <c r="L1033" i="13" a="1"/>
  <c r="L1033" i="13" s="1"/>
  <c r="L434" i="12"/>
  <c r="L436" i="12" s="1"/>
  <c r="L1034" i="13" s="1" a="1"/>
  <c r="L1034" i="13" s="1"/>
  <c r="E1271" i="13" a="1"/>
  <c r="E1271" i="13" s="1"/>
  <c r="E532" i="12"/>
  <c r="E534" i="12" s="1"/>
  <c r="E1272" i="13" s="1" a="1"/>
  <c r="E1272" i="13" s="1"/>
  <c r="K998" i="13" a="1"/>
  <c r="K998" i="13" s="1"/>
  <c r="K425" i="12"/>
  <c r="O369" i="12"/>
  <c r="O862" i="13" a="1"/>
  <c r="O862" i="13" s="1"/>
  <c r="K456" i="12" a="1"/>
  <c r="K456" i="12" s="1"/>
  <c r="K1097" i="13" s="1" a="1"/>
  <c r="K1097" i="13" s="1"/>
  <c r="FH43" i="9" s="1" a="1"/>
  <c r="FH43" i="9" s="1"/>
  <c r="N994" i="13" a="1"/>
  <c r="N994" i="13" s="1"/>
  <c r="N1021" i="13" s="1"/>
  <c r="N418" i="12"/>
  <c r="N423" i="12"/>
  <c r="CN47" i="9" a="1"/>
  <c r="CN47" i="9" s="1"/>
  <c r="H510" i="12" a="1"/>
  <c r="H510" i="12" s="1"/>
  <c r="F1168" i="13" a="1"/>
  <c r="F1168" i="13" s="1"/>
  <c r="F495" i="12"/>
  <c r="K1096" i="13" a="1"/>
  <c r="K1096" i="13" s="1"/>
  <c r="K1123" i="13" s="1"/>
  <c r="K465" i="12"/>
  <c r="K460" i="12"/>
  <c r="J1032" i="13" a="1"/>
  <c r="J1032" i="13" s="1"/>
  <c r="J439" i="12"/>
  <c r="G491" i="12"/>
  <c r="L446" i="12"/>
  <c r="L451" i="12"/>
  <c r="L1062" i="13" a="1"/>
  <c r="L1062" i="13" s="1"/>
  <c r="L1089" i="13" s="1"/>
  <c r="CN45" i="9" a="1"/>
  <c r="CN45" i="9" s="1"/>
  <c r="B1225" i="13"/>
  <c r="B1226" i="13" s="1"/>
  <c r="B1227" i="13" s="1"/>
  <c r="B1228" i="13" s="1"/>
  <c r="B1220" i="13"/>
  <c r="B1221" i="13" s="1"/>
  <c r="B1222" i="13" s="1"/>
  <c r="B1223" i="13" s="1"/>
  <c r="B1331" i="13" a="1"/>
  <c r="B1331" i="13" s="1"/>
  <c r="B1332" i="13" s="1"/>
  <c r="B1302" i="13"/>
  <c r="B1303" i="13" s="1"/>
  <c r="B1299" i="13"/>
  <c r="B1300" i="13" s="1"/>
  <c r="B1301" i="13" s="1"/>
  <c r="B1274" i="13"/>
  <c r="B1275" i="13" s="1"/>
  <c r="B1276" i="13" s="1"/>
  <c r="B1277" i="13" s="1"/>
  <c r="B1278" i="13" s="1"/>
  <c r="B1279" i="13" s="1"/>
  <c r="B1280" i="13" s="1"/>
  <c r="B1281" i="13" s="1"/>
  <c r="B1282" i="13" s="1"/>
  <c r="B1283" i="13" s="1"/>
  <c r="B1284" i="13" s="1"/>
  <c r="B1285" i="13" s="1"/>
  <c r="B1286" i="13" s="1"/>
  <c r="B1270" i="13"/>
  <c r="B1271" i="13" s="1"/>
  <c r="B1272" i="13" s="1"/>
  <c r="B1273" i="13" s="1"/>
  <c r="B1258" i="13"/>
  <c r="B1253" i="13"/>
  <c r="AA722" i="10"/>
  <c r="AA747" i="10"/>
  <c r="AA734" i="10"/>
  <c r="AA735" i="10" s="1"/>
  <c r="AA709" i="10"/>
  <c r="B552" i="12" a="1"/>
  <c r="B552" i="12" s="1"/>
  <c r="R599" i="12"/>
  <c r="R623" i="12"/>
  <c r="R636" i="12"/>
  <c r="R624" i="12"/>
  <c r="R611" i="12"/>
  <c r="R612" i="12"/>
  <c r="D439" i="12" l="1"/>
  <c r="F1202" i="13" a="1"/>
  <c r="F1202" i="13" s="1"/>
  <c r="L998" i="13" a="1"/>
  <c r="L998" i="13" s="1"/>
  <c r="D620" i="12"/>
  <c r="D1472" i="13" a="1"/>
  <c r="D1472" i="13" s="1"/>
  <c r="D1499" i="13" s="1"/>
  <c r="D615" i="12"/>
  <c r="D1477" i="13" s="1" a="1"/>
  <c r="D1477" i="13" s="1"/>
  <c r="K1472" i="13" a="1"/>
  <c r="K1472" i="13" s="1"/>
  <c r="K1499" i="13" s="1"/>
  <c r="K615" i="12"/>
  <c r="K1477" i="13" s="1" a="1"/>
  <c r="K1477" i="13" s="1"/>
  <c r="K620" i="12"/>
  <c r="O1472" i="13" a="1"/>
  <c r="O1472" i="13" s="1"/>
  <c r="O1499" i="13" s="1"/>
  <c r="O620" i="12"/>
  <c r="O615" i="12"/>
  <c r="O1477" i="13" s="1" a="1"/>
  <c r="O1477" i="13" s="1"/>
  <c r="H620" i="12"/>
  <c r="H1472" i="13" a="1"/>
  <c r="H1472" i="13" s="1"/>
  <c r="H1499" i="13" s="1"/>
  <c r="H615" i="12"/>
  <c r="H1477" i="13" s="1" a="1"/>
  <c r="H1477" i="13" s="1"/>
  <c r="H623" i="12" a="1"/>
  <c r="H623" i="12" s="1"/>
  <c r="O623" i="12" a="1"/>
  <c r="O623" i="12" s="1"/>
  <c r="G623" i="12" a="1"/>
  <c r="G623" i="12" s="1"/>
  <c r="N623" i="12" a="1"/>
  <c r="N623" i="12" s="1"/>
  <c r="F623" i="12" a="1"/>
  <c r="F623" i="12" s="1"/>
  <c r="M623" i="12" a="1"/>
  <c r="M623" i="12" s="1"/>
  <c r="E623" i="12" a="1"/>
  <c r="E623" i="12" s="1"/>
  <c r="L623" i="12" a="1"/>
  <c r="L623" i="12" s="1"/>
  <c r="D623" i="12" a="1"/>
  <c r="D623" i="12" s="1"/>
  <c r="K623" i="12" a="1"/>
  <c r="K623" i="12" s="1"/>
  <c r="J623" i="12" a="1"/>
  <c r="J623" i="12" s="1"/>
  <c r="I623" i="12" a="1"/>
  <c r="I623" i="12" s="1"/>
  <c r="L620" i="12"/>
  <c r="L1472" i="13" a="1"/>
  <c r="L1472" i="13" s="1"/>
  <c r="L1499" i="13" s="1"/>
  <c r="L615" i="12"/>
  <c r="L1477" i="13" s="1" a="1"/>
  <c r="L1477" i="13" s="1"/>
  <c r="E1472" i="13" a="1"/>
  <c r="E1472" i="13" s="1"/>
  <c r="E1499" i="13" s="1"/>
  <c r="E620" i="12"/>
  <c r="E615" i="12"/>
  <c r="E1477" i="13" s="1" a="1"/>
  <c r="E1477" i="13" s="1"/>
  <c r="M1472" i="13" a="1"/>
  <c r="M1472" i="13" s="1"/>
  <c r="M1499" i="13" s="1"/>
  <c r="M620" i="12"/>
  <c r="M615" i="12"/>
  <c r="M1477" i="13" s="1" a="1"/>
  <c r="M1477" i="13" s="1"/>
  <c r="F1472" i="13" a="1"/>
  <c r="F1472" i="13" s="1"/>
  <c r="F1499" i="13" s="1"/>
  <c r="F620" i="12"/>
  <c r="F615" i="12"/>
  <c r="F1477" i="13" s="1" a="1"/>
  <c r="F1477" i="13" s="1"/>
  <c r="L599" i="12" a="1"/>
  <c r="L599" i="12" s="1"/>
  <c r="D599" i="12" a="1"/>
  <c r="D599" i="12" s="1"/>
  <c r="K599" i="12" a="1"/>
  <c r="K599" i="12" s="1"/>
  <c r="J599" i="12" a="1"/>
  <c r="J599" i="12" s="1"/>
  <c r="I599" i="12" a="1"/>
  <c r="I599" i="12" s="1"/>
  <c r="H599" i="12" a="1"/>
  <c r="H599" i="12" s="1"/>
  <c r="O599" i="12" a="1"/>
  <c r="O599" i="12" s="1"/>
  <c r="G599" i="12" a="1"/>
  <c r="G599" i="12" s="1"/>
  <c r="N599" i="12" a="1"/>
  <c r="N599" i="12" s="1"/>
  <c r="F599" i="12" a="1"/>
  <c r="F599" i="12" s="1"/>
  <c r="E599" i="12" a="1"/>
  <c r="E599" i="12" s="1"/>
  <c r="M599" i="12" a="1"/>
  <c r="M599" i="12" s="1"/>
  <c r="H612" i="12" a="1"/>
  <c r="H612" i="12" s="1"/>
  <c r="O612" i="12" a="1"/>
  <c r="O612" i="12" s="1"/>
  <c r="G612" i="12" a="1"/>
  <c r="G612" i="12" s="1"/>
  <c r="N612" i="12" a="1"/>
  <c r="N612" i="12" s="1"/>
  <c r="F612" i="12" a="1"/>
  <c r="F612" i="12" s="1"/>
  <c r="M612" i="12" a="1"/>
  <c r="M612" i="12" s="1"/>
  <c r="E612" i="12" a="1"/>
  <c r="E612" i="12" s="1"/>
  <c r="L612" i="12" a="1"/>
  <c r="L612" i="12" s="1"/>
  <c r="D612" i="12" a="1"/>
  <c r="D612" i="12" s="1"/>
  <c r="K612" i="12" a="1"/>
  <c r="K612" i="12" s="1"/>
  <c r="J612" i="12" a="1"/>
  <c r="J612" i="12" s="1"/>
  <c r="I612" i="12" a="1"/>
  <c r="I612" i="12" s="1"/>
  <c r="I1472" i="13" a="1"/>
  <c r="I1472" i="13" s="1"/>
  <c r="I1499" i="13" s="1"/>
  <c r="I615" i="12"/>
  <c r="I1477" i="13" s="1" a="1"/>
  <c r="I1477" i="13" s="1"/>
  <c r="I620" i="12"/>
  <c r="N1472" i="13" a="1"/>
  <c r="N1472" i="13" s="1"/>
  <c r="N1499" i="13" s="1"/>
  <c r="N620" i="12"/>
  <c r="N615" i="12"/>
  <c r="N1477" i="13" s="1" a="1"/>
  <c r="N1477" i="13" s="1"/>
  <c r="L611" i="12" a="1"/>
  <c r="L611" i="12" s="1"/>
  <c r="L1473" i="13" s="1" a="1"/>
  <c r="L1473" i="13" s="1"/>
  <c r="D611" i="12" a="1"/>
  <c r="D611" i="12" s="1"/>
  <c r="D1473" i="13" s="1" a="1"/>
  <c r="D1473" i="13" s="1"/>
  <c r="K611" i="12" a="1"/>
  <c r="K611" i="12" s="1"/>
  <c r="K1473" i="13" s="1" a="1"/>
  <c r="K1473" i="13" s="1"/>
  <c r="J611" i="12" a="1"/>
  <c r="J611" i="12" s="1"/>
  <c r="J1473" i="13" s="1" a="1"/>
  <c r="J1473" i="13" s="1"/>
  <c r="I611" i="12" a="1"/>
  <c r="I611" i="12" s="1"/>
  <c r="I1473" i="13" s="1" a="1"/>
  <c r="I1473" i="13" s="1"/>
  <c r="H611" i="12" a="1"/>
  <c r="H611" i="12" s="1"/>
  <c r="H1473" i="13" s="1" a="1"/>
  <c r="H1473" i="13" s="1"/>
  <c r="O611" i="12" a="1"/>
  <c r="O611" i="12" s="1"/>
  <c r="O1473" i="13" s="1" a="1"/>
  <c r="O1473" i="13" s="1"/>
  <c r="G611" i="12" a="1"/>
  <c r="G611" i="12" s="1"/>
  <c r="G1473" i="13" s="1" a="1"/>
  <c r="G1473" i="13" s="1"/>
  <c r="N611" i="12" a="1"/>
  <c r="N611" i="12" s="1"/>
  <c r="N1473" i="13" s="1" a="1"/>
  <c r="N1473" i="13" s="1"/>
  <c r="F611" i="12" a="1"/>
  <c r="F611" i="12" s="1"/>
  <c r="F1473" i="13" s="1" a="1"/>
  <c r="F1473" i="13" s="1"/>
  <c r="M611" i="12" a="1"/>
  <c r="M611" i="12" s="1"/>
  <c r="M1473" i="13" s="1" a="1"/>
  <c r="M1473" i="13" s="1"/>
  <c r="E611" i="12" a="1"/>
  <c r="E611" i="12" s="1"/>
  <c r="E1473" i="13" s="1" a="1"/>
  <c r="E1473" i="13" s="1"/>
  <c r="J620" i="12"/>
  <c r="J615" i="12"/>
  <c r="J1477" i="13" s="1" a="1"/>
  <c r="J1477" i="13" s="1"/>
  <c r="J1472" i="13" a="1"/>
  <c r="J1472" i="13" s="1"/>
  <c r="J1499" i="13" s="1"/>
  <c r="G1472" i="13" a="1"/>
  <c r="G1472" i="13" s="1"/>
  <c r="G1499" i="13" s="1"/>
  <c r="G620" i="12"/>
  <c r="G615" i="12"/>
  <c r="G1477" i="13" s="1" a="1"/>
  <c r="G1477" i="13" s="1"/>
  <c r="D1101" i="13" a="1"/>
  <c r="D1101" i="13" s="1"/>
  <c r="D462" i="12"/>
  <c r="D464" i="12" s="1"/>
  <c r="D1102" i="13" s="1" a="1"/>
  <c r="D1102" i="13" s="1"/>
  <c r="G440" i="12" a="1"/>
  <c r="G440" i="12" s="1"/>
  <c r="FW44" i="9" a="1"/>
  <c r="FW44" i="9" s="1"/>
  <c r="FX44" i="9" s="1"/>
  <c r="D449" i="12"/>
  <c r="H426" i="12" a="1"/>
  <c r="H426" i="12" s="1"/>
  <c r="GP43" i="9" a="1"/>
  <c r="GP43" i="9" s="1"/>
  <c r="GQ43" i="9" s="1"/>
  <c r="G999" i="13" a="1"/>
  <c r="G999" i="13" s="1"/>
  <c r="G420" i="12"/>
  <c r="G422" i="12" s="1"/>
  <c r="G1000" i="13" s="1" a="1"/>
  <c r="G1000" i="13" s="1"/>
  <c r="H393" i="12"/>
  <c r="HI42" i="9" a="1"/>
  <c r="HI42" i="9" s="1"/>
  <c r="HJ42" i="9" s="1"/>
  <c r="IB42" i="9" a="1"/>
  <c r="IB42" i="9" s="1"/>
  <c r="IC42" i="9" s="1"/>
  <c r="D482" i="12" a="1"/>
  <c r="D482" i="12" s="1"/>
  <c r="D1130" i="13" a="1"/>
  <c r="D1130" i="13" s="1"/>
  <c r="D1157" i="13" s="1"/>
  <c r="D474" i="12"/>
  <c r="D479" i="12"/>
  <c r="G407" i="12"/>
  <c r="M411" i="12"/>
  <c r="E1236" i="13" a="1"/>
  <c r="E1236" i="13" s="1"/>
  <c r="I467" i="12"/>
  <c r="J463" i="12"/>
  <c r="J467" i="12" s="1"/>
  <c r="M421" i="12"/>
  <c r="M998" i="13" s="1" a="1"/>
  <c r="M998" i="13" s="1"/>
  <c r="O393" i="12"/>
  <c r="O397" i="12" s="1"/>
  <c r="K449" i="12"/>
  <c r="K1066" i="13" s="1" a="1"/>
  <c r="K1066" i="13" s="1"/>
  <c r="G505" i="12"/>
  <c r="G1202" i="13" s="1" a="1"/>
  <c r="G1202" i="13" s="1"/>
  <c r="H524" i="12" a="1"/>
  <c r="H524" i="12" s="1"/>
  <c r="CN48" i="9" a="1"/>
  <c r="CN48" i="9" s="1"/>
  <c r="ES45" i="9" a="1"/>
  <c r="ES45" i="9" s="1"/>
  <c r="K482" i="12" a="1"/>
  <c r="K482" i="12" s="1"/>
  <c r="I498" i="12" a="1"/>
  <c r="I498" i="12" s="1"/>
  <c r="I1199" i="13" s="1" a="1"/>
  <c r="I1199" i="13" s="1"/>
  <c r="DV46" i="9" s="1" a="1"/>
  <c r="DV46" i="9" s="1"/>
  <c r="L435" i="12"/>
  <c r="I490" i="12"/>
  <c r="I492" i="12" s="1"/>
  <c r="I1170" i="13" s="1" a="1"/>
  <c r="I1170" i="13" s="1"/>
  <c r="I1169" i="13" a="1"/>
  <c r="I1169" i="13" s="1"/>
  <c r="N930" i="13" a="1"/>
  <c r="N930" i="13" s="1"/>
  <c r="N397" i="12"/>
  <c r="E546" i="12"/>
  <c r="E548" i="12" s="1"/>
  <c r="E1306" i="13" s="1" a="1"/>
  <c r="E1306" i="13" s="1"/>
  <c r="E1305" i="13" a="1"/>
  <c r="E1305" i="13" s="1"/>
  <c r="K1032" i="13" a="1"/>
  <c r="K1032" i="13" s="1"/>
  <c r="K439" i="12"/>
  <c r="N432" i="12"/>
  <c r="N1028" i="13" a="1"/>
  <c r="N1028" i="13" s="1"/>
  <c r="N1055" i="13" s="1"/>
  <c r="N437" i="12"/>
  <c r="E558" i="12"/>
  <c r="E1334" i="13" a="1"/>
  <c r="E1334" i="13" s="1"/>
  <c r="E1361" i="13" s="1"/>
  <c r="E563" i="12"/>
  <c r="F549" i="12"/>
  <c r="F1300" i="13" a="1"/>
  <c r="F1300" i="13" s="1"/>
  <c r="F1327" i="13" s="1"/>
  <c r="F544" i="12"/>
  <c r="BB50" i="9" a="1"/>
  <c r="BB50" i="9" s="1"/>
  <c r="F552" i="12" a="1"/>
  <c r="F552" i="12" s="1"/>
  <c r="D60" i="24" a="1"/>
  <c r="D60" i="24" s="1"/>
  <c r="N428" i="12" a="1"/>
  <c r="N428" i="12" s="1"/>
  <c r="N1029" i="13" s="1" a="1"/>
  <c r="N1029" i="13" s="1"/>
  <c r="HM41" i="9" s="1" a="1"/>
  <c r="HM41" i="9" s="1"/>
  <c r="L448" i="12"/>
  <c r="L450" i="12" s="1"/>
  <c r="L1068" i="13" s="1" a="1"/>
  <c r="L1068" i="13" s="1"/>
  <c r="L1067" i="13" a="1"/>
  <c r="L1067" i="13" s="1"/>
  <c r="E533" i="12"/>
  <c r="F1271" i="13" a="1"/>
  <c r="F1271" i="13" s="1"/>
  <c r="F532" i="12"/>
  <c r="F534" i="12" s="1"/>
  <c r="F1272" i="13" s="1" a="1"/>
  <c r="F1272" i="13" s="1"/>
  <c r="F519" i="12"/>
  <c r="N407" i="12"/>
  <c r="J453" i="12"/>
  <c r="J1066" i="13" a="1"/>
  <c r="J1066" i="13" s="1"/>
  <c r="J488" i="12"/>
  <c r="J1164" i="13" a="1"/>
  <c r="J1164" i="13" s="1"/>
  <c r="J1191" i="13" s="1"/>
  <c r="J493" i="12"/>
  <c r="HQ41" i="9" a="1"/>
  <c r="HQ41" i="9" s="1"/>
  <c r="O426" i="12" a="1"/>
  <c r="O426" i="12" s="1"/>
  <c r="DG47" i="9" a="1"/>
  <c r="DG47" i="9" s="1"/>
  <c r="I510" i="12" a="1"/>
  <c r="I510" i="12" s="1"/>
  <c r="G526" i="12" a="1"/>
  <c r="G526" i="12" s="1"/>
  <c r="G1267" i="13" s="1" a="1"/>
  <c r="G1267" i="13" s="1"/>
  <c r="CJ48" i="9" s="1" a="1"/>
  <c r="CJ48" i="9" s="1"/>
  <c r="O406" i="12"/>
  <c r="O408" i="12" s="1"/>
  <c r="O966" i="13" s="1" a="1"/>
  <c r="O966" i="13" s="1"/>
  <c r="O965" i="13" a="1"/>
  <c r="O965" i="13" s="1"/>
  <c r="O994" i="13" a="1"/>
  <c r="O994" i="13" s="1"/>
  <c r="O1021" i="13" s="1"/>
  <c r="O418" i="12"/>
  <c r="O423" i="12"/>
  <c r="M1033" i="13" a="1"/>
  <c r="M1033" i="13" s="1"/>
  <c r="M434" i="12"/>
  <c r="M436" i="12" s="1"/>
  <c r="M1034" i="13" s="1" a="1"/>
  <c r="M1034" i="13" s="1"/>
  <c r="N999" i="13" a="1"/>
  <c r="N999" i="13" s="1"/>
  <c r="N420" i="12"/>
  <c r="N422" i="12" s="1"/>
  <c r="N1000" i="13" s="1" a="1"/>
  <c r="N1000" i="13" s="1"/>
  <c r="E554" i="12" a="1"/>
  <c r="E554" i="12" s="1"/>
  <c r="E1335" i="13" s="1" a="1"/>
  <c r="E1335" i="13" s="1"/>
  <c r="AX50" i="9" s="1" a="1"/>
  <c r="AX50" i="9" s="1"/>
  <c r="K470" i="12" a="1"/>
  <c r="K470" i="12" s="1"/>
  <c r="K1131" i="13" s="1" a="1"/>
  <c r="K1131" i="13" s="1"/>
  <c r="FH44" i="9" s="1" a="1"/>
  <c r="FH44" i="9" s="1"/>
  <c r="H512" i="12" a="1"/>
  <c r="H512" i="12" s="1"/>
  <c r="H1233" i="13" s="1" a="1"/>
  <c r="H1233" i="13" s="1"/>
  <c r="DC47" i="9" s="1" a="1"/>
  <c r="DC47" i="9" s="1"/>
  <c r="M442" i="12" a="1"/>
  <c r="M442" i="12" s="1"/>
  <c r="M1063" i="13" s="1" a="1"/>
  <c r="M1063" i="13" s="1"/>
  <c r="GT42" i="9" s="1" a="1"/>
  <c r="GT42" i="9" s="1"/>
  <c r="C62" i="28" a="1"/>
  <c r="C62" i="28" s="1"/>
  <c r="A1399" i="13" a="1"/>
  <c r="A1399" i="13" s="1"/>
  <c r="A580" i="12" a="1"/>
  <c r="A580" i="12" s="1"/>
  <c r="GE43" i="9" a="1"/>
  <c r="GE43" i="9" s="1"/>
  <c r="M454" i="12" a="1"/>
  <c r="M454" i="12" s="1"/>
  <c r="F540" i="12" a="1"/>
  <c r="F540" i="12" s="1"/>
  <c r="F1301" i="13" s="1" a="1"/>
  <c r="F1301" i="13" s="1"/>
  <c r="BQ49" i="9" s="1" a="1"/>
  <c r="BQ49" i="9" s="1"/>
  <c r="K1130" i="13" a="1"/>
  <c r="K1130" i="13" s="1"/>
  <c r="K1157" i="13" s="1"/>
  <c r="K474" i="12"/>
  <c r="K479" i="12"/>
  <c r="M1062" i="13" a="1"/>
  <c r="M1062" i="13" s="1"/>
  <c r="M1089" i="13" s="1"/>
  <c r="M446" i="12"/>
  <c r="M451" i="12"/>
  <c r="J476" i="12"/>
  <c r="J478" i="12" s="1"/>
  <c r="J1136" i="13" s="1" a="1"/>
  <c r="J1136" i="13" s="1"/>
  <c r="J1135" i="13" a="1"/>
  <c r="J1135" i="13" s="1"/>
  <c r="O414" i="12" a="1"/>
  <c r="O414" i="12" s="1"/>
  <c r="O995" i="13" s="1" a="1"/>
  <c r="O995" i="13" s="1"/>
  <c r="IF40" i="9" s="1" a="1"/>
  <c r="IF40" i="9" s="1"/>
  <c r="D568" i="12" a="1"/>
  <c r="D568" i="12" s="1"/>
  <c r="D1369" i="13" s="1" a="1"/>
  <c r="D1369" i="13" s="1"/>
  <c r="AE51" i="9" s="1" a="1"/>
  <c r="AE51" i="9" s="1"/>
  <c r="FL44" i="9" a="1"/>
  <c r="FL44" i="9" s="1"/>
  <c r="L468" i="12" a="1"/>
  <c r="L468" i="12" s="1"/>
  <c r="GX42" i="9" a="1"/>
  <c r="GX42" i="9" s="1"/>
  <c r="N440" i="12" a="1"/>
  <c r="N440" i="12" s="1"/>
  <c r="L456" i="12" a="1"/>
  <c r="L456" i="12" s="1"/>
  <c r="L1097" i="13" s="1" a="1"/>
  <c r="L1097" i="13" s="1"/>
  <c r="GA43" i="9" s="1" a="1"/>
  <c r="GA43" i="9" s="1"/>
  <c r="BU49" i="9" a="1"/>
  <c r="BU49" i="9" s="1"/>
  <c r="G538" i="12" a="1"/>
  <c r="G538" i="12" s="1"/>
  <c r="K462" i="12"/>
  <c r="K464" i="12" s="1"/>
  <c r="K1102" i="13" s="1" a="1"/>
  <c r="K1102" i="13" s="1"/>
  <c r="K1101" i="13" a="1"/>
  <c r="K1101" i="13" s="1"/>
  <c r="H1232" i="13" a="1"/>
  <c r="H1232" i="13" s="1"/>
  <c r="H1259" i="13" s="1"/>
  <c r="H516" i="12"/>
  <c r="H521" i="12"/>
  <c r="I502" i="12"/>
  <c r="I1198" i="13" a="1"/>
  <c r="I1198" i="13" s="1"/>
  <c r="I1225" i="13" s="1"/>
  <c r="I507" i="12"/>
  <c r="L1096" i="13" a="1"/>
  <c r="L1096" i="13" s="1"/>
  <c r="L1123" i="13" s="1"/>
  <c r="L460" i="12"/>
  <c r="L465" i="12"/>
  <c r="G1168" i="13" a="1"/>
  <c r="G1168" i="13" s="1"/>
  <c r="G495" i="12"/>
  <c r="E566" i="12" a="1"/>
  <c r="E566" i="12" s="1"/>
  <c r="AI51" i="9" a="1"/>
  <c r="AI51" i="9" s="1"/>
  <c r="J484" i="12" a="1"/>
  <c r="J484" i="12" s="1"/>
  <c r="J1165" i="13" s="1" a="1"/>
  <c r="J1165" i="13" s="1"/>
  <c r="EO45" i="9" s="1" a="1"/>
  <c r="EO45" i="9" s="1"/>
  <c r="J496" i="12" a="1"/>
  <c r="J496" i="12" s="1"/>
  <c r="DZ46" i="9" a="1"/>
  <c r="DZ46" i="9" s="1"/>
  <c r="O896" i="13" a="1"/>
  <c r="O896" i="13" s="1"/>
  <c r="O383" i="12"/>
  <c r="I477" i="12"/>
  <c r="CN46" i="9" a="1"/>
  <c r="CN46" i="9" s="1"/>
  <c r="BU47" i="9" a="1"/>
  <c r="BU47" i="9" s="1"/>
  <c r="B1365" i="13" a="1"/>
  <c r="B1365" i="13" s="1"/>
  <c r="B1366" i="13" s="1"/>
  <c r="B1336" i="13"/>
  <c r="B1337" i="13" s="1"/>
  <c r="B1333" i="13"/>
  <c r="B1334" i="13" s="1"/>
  <c r="B1335" i="13" s="1"/>
  <c r="B1287" i="13"/>
  <c r="B1292" i="13"/>
  <c r="B1254" i="13"/>
  <c r="B1255" i="13" s="1"/>
  <c r="B1256" i="13" s="1"/>
  <c r="B1257" i="13" s="1"/>
  <c r="B1259" i="13"/>
  <c r="B1260" i="13" s="1"/>
  <c r="B1261" i="13" s="1"/>
  <c r="B1262" i="13" s="1"/>
  <c r="B1304" i="13"/>
  <c r="B1305" i="13" s="1"/>
  <c r="B1306" i="13" s="1"/>
  <c r="B1307" i="13" s="1"/>
  <c r="B1308" i="13"/>
  <c r="B1309" i="13" s="1"/>
  <c r="B1310" i="13" s="1"/>
  <c r="B1311" i="13" s="1"/>
  <c r="B1312" i="13" s="1"/>
  <c r="B1313" i="13" s="1"/>
  <c r="B1314" i="13" s="1"/>
  <c r="B1315" i="13" s="1"/>
  <c r="B1316" i="13" s="1"/>
  <c r="B1317" i="13" s="1"/>
  <c r="B1318" i="13" s="1"/>
  <c r="B1319" i="13" s="1"/>
  <c r="B1320" i="13" s="1"/>
  <c r="AA736" i="10"/>
  <c r="AA723" i="10"/>
  <c r="AA761" i="10"/>
  <c r="AA748" i="10"/>
  <c r="AA749" i="10" s="1"/>
  <c r="B566" i="12" a="1"/>
  <c r="B566" i="12" s="1"/>
  <c r="R625" i="12"/>
  <c r="R613" i="12"/>
  <c r="R626" i="12"/>
  <c r="R650" i="12"/>
  <c r="R637" i="12"/>
  <c r="R638" i="12"/>
  <c r="J634" i="12" l="1"/>
  <c r="J1506" i="13" a="1"/>
  <c r="J1506" i="13" s="1"/>
  <c r="J1533" i="13" s="1"/>
  <c r="J629" i="12"/>
  <c r="J1511" i="13" s="1" a="1"/>
  <c r="J1511" i="13" s="1"/>
  <c r="G1506" i="13" a="1"/>
  <c r="G1506" i="13" s="1"/>
  <c r="G1533" i="13" s="1"/>
  <c r="G634" i="12"/>
  <c r="G629" i="12"/>
  <c r="G1511" i="13" s="1" a="1"/>
  <c r="G1511" i="13" s="1"/>
  <c r="I1506" i="13" a="1"/>
  <c r="I1506" i="13" s="1"/>
  <c r="I1533" i="13" s="1"/>
  <c r="I634" i="12"/>
  <c r="I629" i="12"/>
  <c r="I1511" i="13" s="1" a="1"/>
  <c r="I1511" i="13" s="1"/>
  <c r="N634" i="12"/>
  <c r="N629" i="12"/>
  <c r="N1511" i="13" s="1" a="1"/>
  <c r="N1511" i="13" s="1"/>
  <c r="N1506" i="13" a="1"/>
  <c r="N1506" i="13" s="1"/>
  <c r="N1533" i="13" s="1"/>
  <c r="H637" i="12" a="1"/>
  <c r="H637" i="12" s="1"/>
  <c r="O637" i="12" a="1"/>
  <c r="O637" i="12" s="1"/>
  <c r="G637" i="12" a="1"/>
  <c r="G637" i="12" s="1"/>
  <c r="N637" i="12" a="1"/>
  <c r="N637" i="12" s="1"/>
  <c r="F637" i="12" a="1"/>
  <c r="F637" i="12" s="1"/>
  <c r="M637" i="12" a="1"/>
  <c r="M637" i="12" s="1"/>
  <c r="E637" i="12" a="1"/>
  <c r="E637" i="12" s="1"/>
  <c r="L637" i="12" a="1"/>
  <c r="L637" i="12" s="1"/>
  <c r="D637" i="12" a="1"/>
  <c r="D637" i="12" s="1"/>
  <c r="K637" i="12" a="1"/>
  <c r="K637" i="12" s="1"/>
  <c r="J637" i="12" a="1"/>
  <c r="J637" i="12" s="1"/>
  <c r="I637" i="12" a="1"/>
  <c r="I637" i="12" s="1"/>
  <c r="K1506" i="13" a="1"/>
  <c r="K1506" i="13" s="1"/>
  <c r="K1533" i="13" s="1"/>
  <c r="K629" i="12"/>
  <c r="K1511" i="13" s="1" a="1"/>
  <c r="K1511" i="13" s="1"/>
  <c r="K634" i="12"/>
  <c r="O1506" i="13" a="1"/>
  <c r="O1506" i="13" s="1"/>
  <c r="O1533" i="13" s="1"/>
  <c r="O634" i="12"/>
  <c r="O629" i="12"/>
  <c r="O1511" i="13" s="1" a="1"/>
  <c r="O1511" i="13" s="1"/>
  <c r="D1506" i="13" a="1"/>
  <c r="D1506" i="13" s="1"/>
  <c r="D1533" i="13" s="1"/>
  <c r="D634" i="12"/>
  <c r="D629" i="12"/>
  <c r="D1511" i="13" s="1" a="1"/>
  <c r="D1511" i="13" s="1"/>
  <c r="H1506" i="13" a="1"/>
  <c r="H1506" i="13" s="1"/>
  <c r="H1533" i="13" s="1"/>
  <c r="H629" i="12"/>
  <c r="H1511" i="13" s="1" a="1"/>
  <c r="H1511" i="13" s="1"/>
  <c r="H634" i="12"/>
  <c r="L613" i="12" a="1"/>
  <c r="L613" i="12" s="1"/>
  <c r="D613" i="12" a="1"/>
  <c r="D613" i="12" s="1"/>
  <c r="K613" i="12" a="1"/>
  <c r="K613" i="12" s="1"/>
  <c r="J613" i="12" a="1"/>
  <c r="J613" i="12" s="1"/>
  <c r="I613" i="12" a="1"/>
  <c r="I613" i="12" s="1"/>
  <c r="H613" i="12" a="1"/>
  <c r="H613" i="12" s="1"/>
  <c r="O613" i="12" a="1"/>
  <c r="O613" i="12" s="1"/>
  <c r="G613" i="12" a="1"/>
  <c r="G613" i="12" s="1"/>
  <c r="N613" i="12" a="1"/>
  <c r="N613" i="12" s="1"/>
  <c r="F613" i="12" a="1"/>
  <c r="F613" i="12" s="1"/>
  <c r="M613" i="12" a="1"/>
  <c r="M613" i="12" s="1"/>
  <c r="E613" i="12" a="1"/>
  <c r="E613" i="12" s="1"/>
  <c r="L1506" i="13" a="1"/>
  <c r="L1506" i="13" s="1"/>
  <c r="L1533" i="13" s="1"/>
  <c r="L629" i="12"/>
  <c r="L1511" i="13" s="1" a="1"/>
  <c r="L1511" i="13" s="1"/>
  <c r="L634" i="12"/>
  <c r="E634" i="12"/>
  <c r="E1506" i="13" a="1"/>
  <c r="E1506" i="13" s="1"/>
  <c r="E1533" i="13" s="1"/>
  <c r="E629" i="12"/>
  <c r="E1511" i="13" s="1" a="1"/>
  <c r="E1511" i="13" s="1"/>
  <c r="L625" i="12" a="1"/>
  <c r="L625" i="12" s="1"/>
  <c r="L1507" i="13" s="1" a="1"/>
  <c r="L1507" i="13" s="1"/>
  <c r="D625" i="12" a="1"/>
  <c r="D625" i="12" s="1"/>
  <c r="D1507" i="13" s="1" a="1"/>
  <c r="D1507" i="13" s="1"/>
  <c r="K625" i="12" a="1"/>
  <c r="K625" i="12" s="1"/>
  <c r="K1507" i="13" s="1" a="1"/>
  <c r="K1507" i="13" s="1"/>
  <c r="J625" i="12" a="1"/>
  <c r="J625" i="12" s="1"/>
  <c r="J1507" i="13" s="1" a="1"/>
  <c r="J1507" i="13" s="1"/>
  <c r="I625" i="12" a="1"/>
  <c r="I625" i="12" s="1"/>
  <c r="I1507" i="13" s="1" a="1"/>
  <c r="I1507" i="13" s="1"/>
  <c r="H625" i="12" a="1"/>
  <c r="H625" i="12" s="1"/>
  <c r="H1507" i="13" s="1" a="1"/>
  <c r="H1507" i="13" s="1"/>
  <c r="O625" i="12" a="1"/>
  <c r="O625" i="12" s="1"/>
  <c r="O1507" i="13" s="1" a="1"/>
  <c r="O1507" i="13" s="1"/>
  <c r="G625" i="12" a="1"/>
  <c r="G625" i="12" s="1"/>
  <c r="G1507" i="13" s="1" a="1"/>
  <c r="G1507" i="13" s="1"/>
  <c r="N625" i="12" a="1"/>
  <c r="N625" i="12" s="1"/>
  <c r="N1507" i="13" s="1" a="1"/>
  <c r="N1507" i="13" s="1"/>
  <c r="F625" i="12" a="1"/>
  <c r="F625" i="12" s="1"/>
  <c r="F1507" i="13" s="1" a="1"/>
  <c r="F1507" i="13" s="1"/>
  <c r="M625" i="12" a="1"/>
  <c r="M625" i="12" s="1"/>
  <c r="M1507" i="13" s="1" a="1"/>
  <c r="M1507" i="13" s="1"/>
  <c r="E625" i="12" a="1"/>
  <c r="E625" i="12" s="1"/>
  <c r="E1507" i="13" s="1" a="1"/>
  <c r="E1507" i="13" s="1"/>
  <c r="M629" i="12"/>
  <c r="M1511" i="13" s="1" a="1"/>
  <c r="M1511" i="13" s="1"/>
  <c r="M1506" i="13" a="1"/>
  <c r="M1506" i="13" s="1"/>
  <c r="M1533" i="13" s="1"/>
  <c r="M634" i="12"/>
  <c r="H626" i="12" a="1"/>
  <c r="H626" i="12" s="1"/>
  <c r="O626" i="12" a="1"/>
  <c r="O626" i="12" s="1"/>
  <c r="G626" i="12" a="1"/>
  <c r="G626" i="12" s="1"/>
  <c r="N626" i="12" a="1"/>
  <c r="N626" i="12" s="1"/>
  <c r="F626" i="12" a="1"/>
  <c r="F626" i="12" s="1"/>
  <c r="M626" i="12" a="1"/>
  <c r="M626" i="12" s="1"/>
  <c r="E626" i="12" a="1"/>
  <c r="E626" i="12" s="1"/>
  <c r="L626" i="12" a="1"/>
  <c r="L626" i="12" s="1"/>
  <c r="D626" i="12" a="1"/>
  <c r="D626" i="12" s="1"/>
  <c r="K626" i="12" a="1"/>
  <c r="K626" i="12" s="1"/>
  <c r="J626" i="12" a="1"/>
  <c r="J626" i="12" s="1"/>
  <c r="I626" i="12" a="1"/>
  <c r="I626" i="12" s="1"/>
  <c r="F629" i="12"/>
  <c r="F1511" i="13" s="1" a="1"/>
  <c r="F1511" i="13" s="1"/>
  <c r="F1506" i="13" a="1"/>
  <c r="F1506" i="13" s="1"/>
  <c r="F1533" i="13" s="1"/>
  <c r="F634" i="12"/>
  <c r="O930" i="13" a="1"/>
  <c r="O930" i="13" s="1"/>
  <c r="D463" i="12"/>
  <c r="D467" i="12" s="1"/>
  <c r="FW45" i="9" a="1"/>
  <c r="FW45" i="9" s="1"/>
  <c r="FX45" i="9" s="1"/>
  <c r="D493" i="12"/>
  <c r="D1164" i="13" a="1"/>
  <c r="D1164" i="13" s="1"/>
  <c r="D1191" i="13" s="1"/>
  <c r="D488" i="12"/>
  <c r="GP44" i="9" a="1"/>
  <c r="GP44" i="9" s="1"/>
  <c r="GQ44" i="9" s="1"/>
  <c r="HI43" i="9" a="1"/>
  <c r="HI43" i="9" s="1"/>
  <c r="HJ43" i="9" s="1"/>
  <c r="D496" i="12" a="1"/>
  <c r="D496" i="12" s="1"/>
  <c r="D1135" i="13" a="1"/>
  <c r="D1135" i="13" s="1"/>
  <c r="D476" i="12"/>
  <c r="D478" i="12" s="1"/>
  <c r="D1136" i="13" s="1" a="1"/>
  <c r="D1136" i="13" s="1"/>
  <c r="H397" i="12"/>
  <c r="H930" i="13" a="1"/>
  <c r="H930" i="13" s="1"/>
  <c r="G451" i="12"/>
  <c r="G1062" i="13" a="1"/>
  <c r="G1062" i="13" s="1"/>
  <c r="G1089" i="13" s="1"/>
  <c r="G446" i="12"/>
  <c r="G411" i="12"/>
  <c r="G964" i="13" a="1"/>
  <c r="G964" i="13" s="1"/>
  <c r="H437" i="12"/>
  <c r="H1028" i="13" a="1"/>
  <c r="H1028" i="13" s="1"/>
  <c r="H1055" i="13" s="1"/>
  <c r="H432" i="12"/>
  <c r="G421" i="12"/>
  <c r="D453" i="12"/>
  <c r="D1066" i="13" a="1"/>
  <c r="D1066" i="13" s="1"/>
  <c r="J1100" i="13" a="1"/>
  <c r="J1100" i="13" s="1"/>
  <c r="M425" i="12"/>
  <c r="K453" i="12"/>
  <c r="J477" i="12"/>
  <c r="J1134" i="13" s="1" a="1"/>
  <c r="J1134" i="13" s="1"/>
  <c r="F533" i="12"/>
  <c r="F537" i="12" s="1"/>
  <c r="G509" i="12"/>
  <c r="K463" i="12"/>
  <c r="K467" i="12" s="1"/>
  <c r="N421" i="12"/>
  <c r="N425" i="12" s="1"/>
  <c r="E547" i="12"/>
  <c r="E1304" i="13" s="1" a="1"/>
  <c r="E1304" i="13" s="1"/>
  <c r="D61" i="24" a="1"/>
  <c r="D61" i="24" s="1"/>
  <c r="AI52" i="9" a="1"/>
  <c r="AI52" i="9" s="1"/>
  <c r="E580" i="12" a="1"/>
  <c r="E580" i="12" s="1"/>
  <c r="I1134" i="13" a="1"/>
  <c r="I1134" i="13" s="1"/>
  <c r="I481" i="12"/>
  <c r="E577" i="12"/>
  <c r="E572" i="12"/>
  <c r="E1368" i="13" a="1"/>
  <c r="E1368" i="13" s="1"/>
  <c r="E1395" i="13" s="1"/>
  <c r="K476" i="12"/>
  <c r="K478" i="12" s="1"/>
  <c r="K1136" i="13" s="1" a="1"/>
  <c r="K1136" i="13" s="1"/>
  <c r="K1135" i="13" a="1"/>
  <c r="K1135" i="13" s="1"/>
  <c r="F523" i="12"/>
  <c r="F1236" i="13" a="1"/>
  <c r="F1236" i="13" s="1"/>
  <c r="J507" i="12"/>
  <c r="J502" i="12"/>
  <c r="J1198" i="13" a="1"/>
  <c r="J1198" i="13" s="1"/>
  <c r="J1225" i="13" s="1"/>
  <c r="L474" i="12"/>
  <c r="L479" i="12"/>
  <c r="L1130" i="13" a="1"/>
  <c r="L1130" i="13" s="1"/>
  <c r="L1157" i="13" s="1"/>
  <c r="J490" i="12"/>
  <c r="J492" i="12" s="1"/>
  <c r="J1170" i="13" s="1" a="1"/>
  <c r="J1170" i="13" s="1"/>
  <c r="J1169" i="13" a="1"/>
  <c r="J1169" i="13" s="1"/>
  <c r="L1032" i="13" a="1"/>
  <c r="L1032" i="13" s="1"/>
  <c r="L439" i="12"/>
  <c r="N442" i="12" a="1"/>
  <c r="N442" i="12" s="1"/>
  <c r="N1063" i="13" s="1" a="1"/>
  <c r="N1063" i="13" s="1"/>
  <c r="HM42" i="9" s="1" a="1"/>
  <c r="HM42" i="9" s="1"/>
  <c r="I1203" i="13" a="1"/>
  <c r="I1203" i="13" s="1"/>
  <c r="I504" i="12"/>
  <c r="I506" i="12" s="1"/>
  <c r="I1204" i="13" s="1" a="1"/>
  <c r="I1204" i="13" s="1"/>
  <c r="F546" i="12"/>
  <c r="F548" i="12" s="1"/>
  <c r="F1306" i="13" s="1" a="1"/>
  <c r="F1306" i="13" s="1"/>
  <c r="F1305" i="13" a="1"/>
  <c r="F1305" i="13" s="1"/>
  <c r="J498" i="12" a="1"/>
  <c r="J498" i="12" s="1"/>
  <c r="J1199" i="13" s="1" a="1"/>
  <c r="J1199" i="13" s="1"/>
  <c r="EO46" i="9" s="1" a="1"/>
  <c r="EO46" i="9" s="1"/>
  <c r="E568" i="12" a="1"/>
  <c r="E568" i="12" s="1"/>
  <c r="E1369" i="13" s="1" a="1"/>
  <c r="E1369" i="13" s="1"/>
  <c r="AX51" i="9" s="1" a="1"/>
  <c r="AX51" i="9" s="1"/>
  <c r="I524" i="12" a="1"/>
  <c r="I524" i="12" s="1"/>
  <c r="DG48" i="9" a="1"/>
  <c r="DG48" i="9" s="1"/>
  <c r="G549" i="12"/>
  <c r="G1300" i="13" a="1"/>
  <c r="G1300" i="13" s="1"/>
  <c r="G1327" i="13" s="1"/>
  <c r="G544" i="12"/>
  <c r="I1232" i="13" a="1"/>
  <c r="I1232" i="13" s="1"/>
  <c r="I1259" i="13" s="1"/>
  <c r="I516" i="12"/>
  <c r="I521" i="12"/>
  <c r="H526" i="12" a="1"/>
  <c r="H526" i="12" s="1"/>
  <c r="H1267" i="13" s="1" a="1"/>
  <c r="H1267" i="13" s="1"/>
  <c r="DC48" i="9" s="1" a="1"/>
  <c r="DC48" i="9" s="1"/>
  <c r="K496" i="12" a="1"/>
  <c r="K496" i="12" s="1"/>
  <c r="ES46" i="9" a="1"/>
  <c r="ES46" i="9" s="1"/>
  <c r="D62" i="24" a="1"/>
  <c r="D62" i="24" s="1"/>
  <c r="G540" i="12" a="1"/>
  <c r="G540" i="12" s="1"/>
  <c r="G1301" i="13" s="1" a="1"/>
  <c r="G1301" i="13" s="1"/>
  <c r="CJ49" i="9" s="1" a="1"/>
  <c r="CJ49" i="9" s="1"/>
  <c r="M456" i="12" a="1"/>
  <c r="M456" i="12" s="1"/>
  <c r="M1097" i="13" s="1" a="1"/>
  <c r="M1097" i="13" s="1"/>
  <c r="GT43" i="9" s="1" a="1"/>
  <c r="GT43" i="9" s="1"/>
  <c r="F566" i="12" a="1"/>
  <c r="F566" i="12" s="1"/>
  <c r="BB51" i="9" a="1"/>
  <c r="BB51" i="9" s="1"/>
  <c r="L462" i="12"/>
  <c r="L464" i="12" s="1"/>
  <c r="L1102" i="13" s="1" a="1"/>
  <c r="L1102" i="13" s="1"/>
  <c r="L1101" i="13" a="1"/>
  <c r="L1101" i="13" s="1"/>
  <c r="O999" i="13" a="1"/>
  <c r="O999" i="13" s="1"/>
  <c r="O420" i="12"/>
  <c r="O422" i="12" s="1"/>
  <c r="O1000" i="13" s="1" a="1"/>
  <c r="O1000" i="13" s="1"/>
  <c r="K1164" i="13" a="1"/>
  <c r="K1164" i="13" s="1"/>
  <c r="K1191" i="13" s="1"/>
  <c r="K488" i="12"/>
  <c r="K493" i="12"/>
  <c r="FL45" i="9" a="1"/>
  <c r="FL45" i="9" s="1"/>
  <c r="L482" i="12" a="1"/>
  <c r="L482" i="12" s="1"/>
  <c r="GX43" i="9" a="1"/>
  <c r="GX43" i="9" s="1"/>
  <c r="N454" i="12" a="1"/>
  <c r="N454" i="12" s="1"/>
  <c r="IB49" i="9" a="1"/>
  <c r="IB49" i="9" s="1"/>
  <c r="IC49" i="9" s="1"/>
  <c r="M448" i="12"/>
  <c r="M450" i="12" s="1"/>
  <c r="M1068" i="13" s="1" a="1"/>
  <c r="M1068" i="13" s="1"/>
  <c r="M1067" i="13" a="1"/>
  <c r="M1067" i="13" s="1"/>
  <c r="O1028" i="13" a="1"/>
  <c r="O1028" i="13" s="1"/>
  <c r="O1055" i="13" s="1"/>
  <c r="O437" i="12"/>
  <c r="O432" i="12"/>
  <c r="F554" i="12" a="1"/>
  <c r="F554" i="12" s="1"/>
  <c r="F1335" i="13" s="1" a="1"/>
  <c r="F1335" i="13" s="1"/>
  <c r="BQ50" i="9" s="1" a="1"/>
  <c r="BQ50" i="9" s="1"/>
  <c r="C63" i="28" a="1"/>
  <c r="C63" i="28" s="1"/>
  <c r="A594" i="12" a="1"/>
  <c r="A594" i="12" s="1"/>
  <c r="A1433" i="13" a="1"/>
  <c r="A1433" i="13" s="1"/>
  <c r="L470" i="12" a="1"/>
  <c r="L470" i="12" s="1"/>
  <c r="L1131" i="13" s="1" a="1"/>
  <c r="L1131" i="13" s="1"/>
  <c r="GA44" i="9" s="1" a="1"/>
  <c r="GA44" i="9" s="1"/>
  <c r="K484" i="12" a="1"/>
  <c r="K484" i="12" s="1"/>
  <c r="K1165" i="13" s="1" a="1"/>
  <c r="K1165" i="13" s="1"/>
  <c r="FH45" i="9" s="1" a="1"/>
  <c r="FH45" i="9" s="1"/>
  <c r="O428" i="12" a="1"/>
  <c r="O428" i="12" s="1"/>
  <c r="O1029" i="13" s="1" a="1"/>
  <c r="O1029" i="13" s="1"/>
  <c r="IF41" i="9" s="1" a="1"/>
  <c r="IF41" i="9" s="1"/>
  <c r="I512" i="12" a="1"/>
  <c r="I512" i="12" s="1"/>
  <c r="I1233" i="13" s="1" a="1"/>
  <c r="I1233" i="13" s="1"/>
  <c r="DV47" i="9" s="1" a="1"/>
  <c r="DV47" i="9" s="1"/>
  <c r="H518" i="12"/>
  <c r="H520" i="12" s="1"/>
  <c r="H1238" i="13" s="1" a="1"/>
  <c r="H1238" i="13" s="1"/>
  <c r="H1237" i="13" a="1"/>
  <c r="H1237" i="13" s="1"/>
  <c r="M1096" i="13" a="1"/>
  <c r="M1096" i="13" s="1"/>
  <c r="M1123" i="13" s="1"/>
  <c r="M460" i="12"/>
  <c r="M465" i="12"/>
  <c r="M435" i="12"/>
  <c r="O407" i="12"/>
  <c r="E1270" i="13" a="1"/>
  <c r="E1270" i="13" s="1"/>
  <c r="E537" i="12"/>
  <c r="F1334" i="13" a="1"/>
  <c r="F1334" i="13" s="1"/>
  <c r="F1361" i="13" s="1"/>
  <c r="F563" i="12"/>
  <c r="F558" i="12"/>
  <c r="N1033" i="13" a="1"/>
  <c r="N1033" i="13" s="1"/>
  <c r="N434" i="12"/>
  <c r="N436" i="12" s="1"/>
  <c r="N1034" i="13" s="1" a="1"/>
  <c r="N1034" i="13" s="1"/>
  <c r="I491" i="12"/>
  <c r="HQ42" i="9" a="1"/>
  <c r="HQ42" i="9" s="1"/>
  <c r="O440" i="12" a="1"/>
  <c r="O440" i="12" s="1"/>
  <c r="E1339" i="13" a="1"/>
  <c r="E1339" i="13" s="1"/>
  <c r="E560" i="12"/>
  <c r="E562" i="12" s="1"/>
  <c r="E1340" i="13" s="1" a="1"/>
  <c r="E1340" i="13" s="1"/>
  <c r="M468" i="12" a="1"/>
  <c r="M468" i="12" s="1"/>
  <c r="GE44" i="9" a="1"/>
  <c r="GE44" i="9" s="1"/>
  <c r="D582" i="12" a="1"/>
  <c r="D582" i="12" s="1"/>
  <c r="D1403" i="13" s="1" a="1"/>
  <c r="D1403" i="13" s="1"/>
  <c r="AE52" i="9" s="1" a="1"/>
  <c r="AE52" i="9" s="1"/>
  <c r="DZ47" i="9" a="1"/>
  <c r="DZ47" i="9" s="1"/>
  <c r="J510" i="12" a="1"/>
  <c r="J510" i="12" s="1"/>
  <c r="N1062" i="13" a="1"/>
  <c r="N1062" i="13" s="1"/>
  <c r="N1089" i="13" s="1"/>
  <c r="N446" i="12"/>
  <c r="N451" i="12"/>
  <c r="N411" i="12"/>
  <c r="N964" i="13" a="1"/>
  <c r="N964" i="13" s="1"/>
  <c r="L449" i="12"/>
  <c r="H1266" i="13" a="1"/>
  <c r="H1266" i="13" s="1"/>
  <c r="H1293" i="13" s="1"/>
  <c r="H535" i="12"/>
  <c r="H530" i="12"/>
  <c r="BU48" i="9" a="1"/>
  <c r="BU48" i="9" s="1"/>
  <c r="B1321" i="13"/>
  <c r="B1326" i="13"/>
  <c r="B1338" i="13"/>
  <c r="B1339" i="13" s="1"/>
  <c r="B1340" i="13" s="1"/>
  <c r="B1341" i="13" s="1"/>
  <c r="B1342" i="13"/>
  <c r="B1343" i="13" s="1"/>
  <c r="B1344" i="13" s="1"/>
  <c r="B1345" i="13" s="1"/>
  <c r="B1346" i="13" s="1"/>
  <c r="B1347" i="13" s="1"/>
  <c r="B1348" i="13" s="1"/>
  <c r="B1349" i="13" s="1"/>
  <c r="B1350" i="13" s="1"/>
  <c r="B1351" i="13" s="1"/>
  <c r="B1352" i="13" s="1"/>
  <c r="B1353" i="13" s="1"/>
  <c r="B1354" i="13" s="1"/>
  <c r="B1293" i="13"/>
  <c r="B1294" i="13" s="1"/>
  <c r="B1295" i="13" s="1"/>
  <c r="B1296" i="13" s="1"/>
  <c r="B1288" i="13"/>
  <c r="B1289" i="13" s="1"/>
  <c r="B1290" i="13" s="1"/>
  <c r="B1291" i="13" s="1"/>
  <c r="B1370" i="13"/>
  <c r="B1371" i="13" s="1"/>
  <c r="B1367" i="13"/>
  <c r="B1368" i="13" s="1"/>
  <c r="B1369" i="13" s="1"/>
  <c r="B1399" i="13" a="1"/>
  <c r="B1399" i="13" s="1"/>
  <c r="B1400" i="13" s="1"/>
  <c r="AA750" i="10"/>
  <c r="AA762" i="10"/>
  <c r="AA763" i="10" s="1"/>
  <c r="AA775" i="10"/>
  <c r="AA737" i="10"/>
  <c r="B580" i="12" a="1"/>
  <c r="B580" i="12" s="1"/>
  <c r="R639" i="12"/>
  <c r="R640" i="12"/>
  <c r="R664" i="12"/>
  <c r="R651" i="12"/>
  <c r="R652" i="12"/>
  <c r="R627" i="12"/>
  <c r="E551" i="12" l="1"/>
  <c r="F1270" i="13" a="1"/>
  <c r="F1270" i="13" s="1"/>
  <c r="D1100" i="13" a="1"/>
  <c r="D1100" i="13" s="1"/>
  <c r="J643" i="12"/>
  <c r="J1545" i="13" s="1" a="1"/>
  <c r="J1545" i="13" s="1"/>
  <c r="J1540" i="13" a="1"/>
  <c r="J1540" i="13" s="1"/>
  <c r="J1567" i="13" s="1"/>
  <c r="J648" i="12"/>
  <c r="G648" i="12"/>
  <c r="G1540" i="13" a="1"/>
  <c r="G1540" i="13" s="1"/>
  <c r="G1567" i="13" s="1"/>
  <c r="G643" i="12"/>
  <c r="G1545" i="13" s="1" a="1"/>
  <c r="G1545" i="13" s="1"/>
  <c r="L627" i="12" a="1"/>
  <c r="L627" i="12" s="1"/>
  <c r="D627" i="12" a="1"/>
  <c r="D627" i="12" s="1"/>
  <c r="K627" i="12" a="1"/>
  <c r="K627" i="12" s="1"/>
  <c r="J627" i="12" a="1"/>
  <c r="J627" i="12" s="1"/>
  <c r="I627" i="12" a="1"/>
  <c r="I627" i="12" s="1"/>
  <c r="H627" i="12" a="1"/>
  <c r="H627" i="12" s="1"/>
  <c r="O627" i="12" a="1"/>
  <c r="O627" i="12" s="1"/>
  <c r="G627" i="12" a="1"/>
  <c r="G627" i="12" s="1"/>
  <c r="N627" i="12" a="1"/>
  <c r="N627" i="12" s="1"/>
  <c r="F627" i="12" a="1"/>
  <c r="F627" i="12" s="1"/>
  <c r="M627" i="12" a="1"/>
  <c r="M627" i="12" s="1"/>
  <c r="E627" i="12" a="1"/>
  <c r="E627" i="12" s="1"/>
  <c r="K643" i="12"/>
  <c r="K1545" i="13" s="1" a="1"/>
  <c r="K1545" i="13" s="1"/>
  <c r="K1540" i="13" a="1"/>
  <c r="K1540" i="13" s="1"/>
  <c r="K1567" i="13" s="1"/>
  <c r="K648" i="12"/>
  <c r="O1540" i="13" a="1"/>
  <c r="O1540" i="13" s="1"/>
  <c r="O1567" i="13" s="1"/>
  <c r="O648" i="12"/>
  <c r="O643" i="12"/>
  <c r="O1545" i="13" s="1" a="1"/>
  <c r="O1545" i="13" s="1"/>
  <c r="D1540" i="13" a="1"/>
  <c r="D1540" i="13" s="1"/>
  <c r="D1567" i="13" s="1"/>
  <c r="D648" i="12"/>
  <c r="D643" i="12"/>
  <c r="D1545" i="13" s="1" a="1"/>
  <c r="D1545" i="13" s="1"/>
  <c r="H1540" i="13" a="1"/>
  <c r="H1540" i="13" s="1"/>
  <c r="H1567" i="13" s="1"/>
  <c r="H643" i="12"/>
  <c r="H1545" i="13" s="1" a="1"/>
  <c r="H1545" i="13" s="1"/>
  <c r="H648" i="12"/>
  <c r="I1540" i="13" a="1"/>
  <c r="I1540" i="13" s="1"/>
  <c r="I1567" i="13" s="1"/>
  <c r="I648" i="12"/>
  <c r="I643" i="12"/>
  <c r="I1545" i="13" s="1" a="1"/>
  <c r="I1545" i="13" s="1"/>
  <c r="L1540" i="13" a="1"/>
  <c r="L1540" i="13" s="1"/>
  <c r="L1567" i="13" s="1"/>
  <c r="L643" i="12"/>
  <c r="L1545" i="13" s="1" a="1"/>
  <c r="L1545" i="13" s="1"/>
  <c r="L648" i="12"/>
  <c r="N648" i="12"/>
  <c r="N1540" i="13" a="1"/>
  <c r="N1540" i="13" s="1"/>
  <c r="N1567" i="13" s="1"/>
  <c r="N643" i="12"/>
  <c r="N1545" i="13" s="1" a="1"/>
  <c r="N1545" i="13" s="1"/>
  <c r="H651" i="12" a="1"/>
  <c r="H651" i="12" s="1"/>
  <c r="O651" i="12" a="1"/>
  <c r="O651" i="12" s="1"/>
  <c r="G651" i="12" a="1"/>
  <c r="G651" i="12" s="1"/>
  <c r="N651" i="12" a="1"/>
  <c r="N651" i="12" s="1"/>
  <c r="F651" i="12" a="1"/>
  <c r="F651" i="12" s="1"/>
  <c r="M651" i="12" a="1"/>
  <c r="M651" i="12" s="1"/>
  <c r="E651" i="12" a="1"/>
  <c r="E651" i="12" s="1"/>
  <c r="L651" i="12" a="1"/>
  <c r="L651" i="12" s="1"/>
  <c r="D651" i="12" a="1"/>
  <c r="D651" i="12" s="1"/>
  <c r="K651" i="12" a="1"/>
  <c r="K651" i="12" s="1"/>
  <c r="J651" i="12" a="1"/>
  <c r="J651" i="12" s="1"/>
  <c r="I651" i="12" a="1"/>
  <c r="I651" i="12" s="1"/>
  <c r="E1540" i="13" a="1"/>
  <c r="E1540" i="13" s="1"/>
  <c r="E1567" i="13" s="1"/>
  <c r="E643" i="12"/>
  <c r="E1545" i="13" s="1" a="1"/>
  <c r="E1545" i="13" s="1"/>
  <c r="E648" i="12"/>
  <c r="M1540" i="13" a="1"/>
  <c r="M1540" i="13" s="1"/>
  <c r="M1567" i="13" s="1"/>
  <c r="M643" i="12"/>
  <c r="M1545" i="13" s="1" a="1"/>
  <c r="M1545" i="13" s="1"/>
  <c r="M648" i="12"/>
  <c r="H640" i="12" a="1"/>
  <c r="H640" i="12" s="1"/>
  <c r="O640" i="12" a="1"/>
  <c r="O640" i="12" s="1"/>
  <c r="G640" i="12" a="1"/>
  <c r="G640" i="12" s="1"/>
  <c r="N640" i="12" a="1"/>
  <c r="N640" i="12" s="1"/>
  <c r="F640" i="12" a="1"/>
  <c r="F640" i="12" s="1"/>
  <c r="M640" i="12" a="1"/>
  <c r="M640" i="12" s="1"/>
  <c r="E640" i="12" a="1"/>
  <c r="E640" i="12" s="1"/>
  <c r="L640" i="12" a="1"/>
  <c r="L640" i="12" s="1"/>
  <c r="D640" i="12" a="1"/>
  <c r="D640" i="12" s="1"/>
  <c r="K640" i="12" a="1"/>
  <c r="K640" i="12" s="1"/>
  <c r="J640" i="12" a="1"/>
  <c r="J640" i="12" s="1"/>
  <c r="I640" i="12" a="1"/>
  <c r="I640" i="12" s="1"/>
  <c r="L639" i="12" a="1"/>
  <c r="L639" i="12" s="1"/>
  <c r="L1541" i="13" s="1" a="1"/>
  <c r="L1541" i="13" s="1"/>
  <c r="D639" i="12" a="1"/>
  <c r="D639" i="12" s="1"/>
  <c r="D1541" i="13" s="1" a="1"/>
  <c r="D1541" i="13" s="1"/>
  <c r="K639" i="12" a="1"/>
  <c r="K639" i="12" s="1"/>
  <c r="K1541" i="13" s="1" a="1"/>
  <c r="K1541" i="13" s="1"/>
  <c r="J639" i="12" a="1"/>
  <c r="J639" i="12" s="1"/>
  <c r="J1541" i="13" s="1" a="1"/>
  <c r="J1541" i="13" s="1"/>
  <c r="I639" i="12" a="1"/>
  <c r="I639" i="12" s="1"/>
  <c r="I1541" i="13" s="1" a="1"/>
  <c r="I1541" i="13" s="1"/>
  <c r="H639" i="12" a="1"/>
  <c r="H639" i="12" s="1"/>
  <c r="H1541" i="13" s="1" a="1"/>
  <c r="H1541" i="13" s="1"/>
  <c r="O639" i="12" a="1"/>
  <c r="O639" i="12" s="1"/>
  <c r="O1541" i="13" s="1" a="1"/>
  <c r="O1541" i="13" s="1"/>
  <c r="G639" i="12" a="1"/>
  <c r="G639" i="12" s="1"/>
  <c r="G1541" i="13" s="1" a="1"/>
  <c r="G1541" i="13" s="1"/>
  <c r="N639" i="12" a="1"/>
  <c r="N639" i="12" s="1"/>
  <c r="N1541" i="13" s="1" a="1"/>
  <c r="N1541" i="13" s="1"/>
  <c r="F639" i="12" a="1"/>
  <c r="F639" i="12" s="1"/>
  <c r="F1541" i="13" s="1" a="1"/>
  <c r="F1541" i="13" s="1"/>
  <c r="E639" i="12" a="1"/>
  <c r="E639" i="12" s="1"/>
  <c r="E1541" i="13" s="1" a="1"/>
  <c r="E1541" i="13" s="1"/>
  <c r="M639" i="12" a="1"/>
  <c r="M639" i="12" s="1"/>
  <c r="M1541" i="13" s="1" a="1"/>
  <c r="M1541" i="13" s="1"/>
  <c r="F648" i="12"/>
  <c r="F1540" i="13" a="1"/>
  <c r="F1540" i="13" s="1"/>
  <c r="F1567" i="13" s="1"/>
  <c r="F643" i="12"/>
  <c r="F1545" i="13" s="1" a="1"/>
  <c r="F1545" i="13" s="1"/>
  <c r="AA776" i="10"/>
  <c r="AA777" i="10" s="1"/>
  <c r="AA789" i="10"/>
  <c r="G425" i="12"/>
  <c r="G998" i="13" a="1"/>
  <c r="G998" i="13" s="1"/>
  <c r="FW46" i="9" a="1"/>
  <c r="FW46" i="9" s="1"/>
  <c r="FX46" i="9" s="1"/>
  <c r="G448" i="12"/>
  <c r="G450" i="12" s="1"/>
  <c r="G1068" i="13" s="1" a="1"/>
  <c r="G1068" i="13" s="1"/>
  <c r="G1067" i="13" a="1"/>
  <c r="G1067" i="13" s="1"/>
  <c r="D502" i="12"/>
  <c r="D507" i="12"/>
  <c r="D1198" i="13" a="1"/>
  <c r="D1198" i="13" s="1"/>
  <c r="D1225" i="13" s="1"/>
  <c r="D477" i="12"/>
  <c r="D510" i="12" a="1"/>
  <c r="D510" i="12" s="1"/>
  <c r="D1169" i="13" a="1"/>
  <c r="D1169" i="13" s="1"/>
  <c r="D490" i="12"/>
  <c r="D492" i="12" s="1"/>
  <c r="D1170" i="13" s="1" a="1"/>
  <c r="D1170" i="13" s="1"/>
  <c r="J481" i="12"/>
  <c r="H434" i="12"/>
  <c r="H436" i="12" s="1"/>
  <c r="H1034" i="13" s="1" a="1"/>
  <c r="H1034" i="13" s="1"/>
  <c r="H1033" i="13" a="1"/>
  <c r="H1033" i="13" s="1"/>
  <c r="GP45" i="9" a="1"/>
  <c r="GP45" i="9" s="1"/>
  <c r="GQ45" i="9" s="1"/>
  <c r="HI44" i="9" a="1"/>
  <c r="HI44" i="9" s="1"/>
  <c r="HJ44" i="9" s="1"/>
  <c r="M449" i="12"/>
  <c r="M453" i="12" s="1"/>
  <c r="F547" i="12"/>
  <c r="F1304" i="13" s="1" a="1"/>
  <c r="F1304" i="13" s="1"/>
  <c r="K1100" i="13" a="1"/>
  <c r="K1100" i="13" s="1"/>
  <c r="N998" i="13" a="1"/>
  <c r="N998" i="13" s="1"/>
  <c r="J491" i="12"/>
  <c r="J1168" i="13" s="1" a="1"/>
  <c r="J1168" i="13" s="1"/>
  <c r="O421" i="12"/>
  <c r="O425" i="12" s="1"/>
  <c r="E561" i="12"/>
  <c r="E565" i="12" s="1"/>
  <c r="E1373" i="13" a="1"/>
  <c r="E1373" i="13" s="1"/>
  <c r="E574" i="12"/>
  <c r="E576" i="12" s="1"/>
  <c r="E1374" i="13" s="1" a="1"/>
  <c r="E1374" i="13" s="1"/>
  <c r="HQ43" i="9" a="1"/>
  <c r="HQ43" i="9" s="1"/>
  <c r="O454" i="12" a="1"/>
  <c r="O454" i="12" s="1"/>
  <c r="I538" i="12" a="1"/>
  <c r="I538" i="12" s="1"/>
  <c r="DG49" i="9" a="1"/>
  <c r="DG49" i="9" s="1"/>
  <c r="GE45" i="9" a="1"/>
  <c r="GE45" i="9" s="1"/>
  <c r="M482" i="12" a="1"/>
  <c r="M482" i="12" s="1"/>
  <c r="ES47" i="9" a="1"/>
  <c r="ES47" i="9" s="1"/>
  <c r="K510" i="12" a="1"/>
  <c r="K510" i="12" s="1"/>
  <c r="L453" i="12"/>
  <c r="L1066" i="13" a="1"/>
  <c r="L1066" i="13" s="1"/>
  <c r="F560" i="12"/>
  <c r="F562" i="12" s="1"/>
  <c r="F1340" i="13" s="1" a="1"/>
  <c r="F1340" i="13" s="1"/>
  <c r="F1339" i="13" a="1"/>
  <c r="F1339" i="13" s="1"/>
  <c r="M1101" i="13" a="1"/>
  <c r="M1101" i="13" s="1"/>
  <c r="M462" i="12"/>
  <c r="M464" i="12" s="1"/>
  <c r="M1102" i="13" s="1" a="1"/>
  <c r="M1102" i="13" s="1"/>
  <c r="K1169" i="13" a="1"/>
  <c r="K1169" i="13" s="1"/>
  <c r="K490" i="12"/>
  <c r="K492" i="12" s="1"/>
  <c r="K1170" i="13" s="1" a="1"/>
  <c r="K1170" i="13" s="1"/>
  <c r="H540" i="12" a="1"/>
  <c r="H540" i="12" s="1"/>
  <c r="H1301" i="13" s="1" a="1"/>
  <c r="H1301" i="13" s="1"/>
  <c r="DC49" i="9" s="1" a="1"/>
  <c r="DC49" i="9" s="1"/>
  <c r="DZ48" i="9" a="1"/>
  <c r="DZ48" i="9" s="1"/>
  <c r="J524" i="12" a="1"/>
  <c r="J524" i="12" s="1"/>
  <c r="N456" i="12" a="1"/>
  <c r="N456" i="12" s="1"/>
  <c r="N1097" i="13" s="1" a="1"/>
  <c r="N1097" i="13" s="1"/>
  <c r="HM43" i="9" s="1" a="1"/>
  <c r="HM43" i="9" s="1"/>
  <c r="K498" i="12" a="1"/>
  <c r="K498" i="12" s="1"/>
  <c r="K1199" i="13" s="1" a="1"/>
  <c r="K1199" i="13" s="1"/>
  <c r="FH46" i="9" s="1" a="1"/>
  <c r="FH46" i="9" s="1"/>
  <c r="J512" i="12" a="1"/>
  <c r="J512" i="12" s="1"/>
  <c r="J1233" i="13" s="1" a="1"/>
  <c r="J1233" i="13" s="1"/>
  <c r="EO47" i="9" s="1" a="1"/>
  <c r="EO47" i="9" s="1"/>
  <c r="N465" i="12"/>
  <c r="N1096" i="13" a="1"/>
  <c r="N1096" i="13" s="1"/>
  <c r="N1123" i="13" s="1"/>
  <c r="N460" i="12"/>
  <c r="F1368" i="13" a="1"/>
  <c r="F1368" i="13" s="1"/>
  <c r="F1395" i="13" s="1"/>
  <c r="F577" i="12"/>
  <c r="F572" i="12"/>
  <c r="K1198" i="13" a="1"/>
  <c r="K1198" i="13" s="1"/>
  <c r="K1225" i="13" s="1"/>
  <c r="K502" i="12"/>
  <c r="K507" i="12"/>
  <c r="G1305" i="13" a="1"/>
  <c r="G1305" i="13" s="1"/>
  <c r="G546" i="12"/>
  <c r="G548" i="12" s="1"/>
  <c r="G1306" i="13" s="1" a="1"/>
  <c r="G1306" i="13" s="1"/>
  <c r="K477" i="12"/>
  <c r="I526" i="12" a="1"/>
  <c r="I526" i="12" s="1"/>
  <c r="I1267" i="13" s="1" a="1"/>
  <c r="I1267" i="13" s="1"/>
  <c r="DV48" i="9" s="1" a="1"/>
  <c r="DV48" i="9" s="1"/>
  <c r="A608" i="12" a="1"/>
  <c r="A608" i="12" s="1"/>
  <c r="A1467" i="13" a="1"/>
  <c r="A1467" i="13" s="1"/>
  <c r="C64" i="28" a="1"/>
  <c r="C64" i="28" s="1"/>
  <c r="FL46" i="9" a="1"/>
  <c r="FL46" i="9" s="1"/>
  <c r="L496" i="12" a="1"/>
  <c r="L496" i="12" s="1"/>
  <c r="E594" i="12" a="1"/>
  <c r="E594" i="12" s="1"/>
  <c r="AI53" i="9" a="1"/>
  <c r="AI53" i="9" s="1"/>
  <c r="GX44" i="9" a="1"/>
  <c r="GX44" i="9" s="1"/>
  <c r="N468" i="12" a="1"/>
  <c r="N468" i="12" s="1"/>
  <c r="O1062" i="13" a="1"/>
  <c r="O1062" i="13" s="1"/>
  <c r="O1089" i="13" s="1"/>
  <c r="O446" i="12"/>
  <c r="O451" i="12"/>
  <c r="H519" i="12"/>
  <c r="L484" i="12" a="1"/>
  <c r="L484" i="12" s="1"/>
  <c r="L1165" i="13" s="1" a="1"/>
  <c r="L1165" i="13" s="1"/>
  <c r="GA45" i="9" s="1" a="1"/>
  <c r="GA45" i="9" s="1"/>
  <c r="G554" i="12" a="1"/>
  <c r="G554" i="12" s="1"/>
  <c r="G1335" i="13" s="1" a="1"/>
  <c r="G1335" i="13" s="1"/>
  <c r="CJ50" i="9" s="1" a="1"/>
  <c r="CJ50" i="9" s="1"/>
  <c r="D596" i="12" a="1"/>
  <c r="D596" i="12" s="1"/>
  <c r="D1437" i="13" s="1" a="1"/>
  <c r="D1437" i="13" s="1"/>
  <c r="AE53" i="9" s="1" a="1"/>
  <c r="AE53" i="9" s="1"/>
  <c r="F580" i="12" a="1"/>
  <c r="F580" i="12" s="1"/>
  <c r="BB52" i="9" a="1"/>
  <c r="BB52" i="9" s="1"/>
  <c r="M470" i="12" a="1"/>
  <c r="M470" i="12" s="1"/>
  <c r="M1131" i="13" s="1" a="1"/>
  <c r="M1131" i="13" s="1"/>
  <c r="GT44" i="9" s="1" a="1"/>
  <c r="GT44" i="9" s="1"/>
  <c r="M479" i="12"/>
  <c r="M1130" i="13" a="1"/>
  <c r="M1130" i="13" s="1"/>
  <c r="M1157" i="13" s="1"/>
  <c r="M474" i="12"/>
  <c r="L1164" i="13" a="1"/>
  <c r="L1164" i="13" s="1"/>
  <c r="L1191" i="13" s="1"/>
  <c r="L493" i="12"/>
  <c r="L488" i="12"/>
  <c r="L1135" i="13" a="1"/>
  <c r="L1135" i="13" s="1"/>
  <c r="L476" i="12"/>
  <c r="L478" i="12" s="1"/>
  <c r="L1136" i="13" s="1" a="1"/>
  <c r="L1136" i="13" s="1"/>
  <c r="E1402" i="13" a="1"/>
  <c r="E1402" i="13" s="1"/>
  <c r="E1429" i="13" s="1"/>
  <c r="E586" i="12"/>
  <c r="E591" i="12"/>
  <c r="H552" i="12" a="1"/>
  <c r="H552" i="12" s="1"/>
  <c r="CN50" i="9" a="1"/>
  <c r="CN50" i="9" s="1"/>
  <c r="E582" i="12" a="1"/>
  <c r="E582" i="12" s="1"/>
  <c r="E1403" i="13" s="1" a="1"/>
  <c r="E1403" i="13" s="1"/>
  <c r="AX52" i="9" s="1" a="1"/>
  <c r="AX52" i="9" s="1"/>
  <c r="O442" i="12" a="1"/>
  <c r="O442" i="12" s="1"/>
  <c r="O1063" i="13" s="1" a="1"/>
  <c r="O1063" i="13" s="1"/>
  <c r="IF42" i="9" s="1" a="1"/>
  <c r="IF42" i="9" s="1"/>
  <c r="BU51" i="9" a="1"/>
  <c r="BU51" i="9" s="1"/>
  <c r="G566" i="12" a="1"/>
  <c r="G566" i="12" s="1"/>
  <c r="N1067" i="13" a="1"/>
  <c r="N1067" i="13" s="1"/>
  <c r="N448" i="12"/>
  <c r="N450" i="12" s="1"/>
  <c r="N1068" i="13" s="1" a="1"/>
  <c r="N1068" i="13" s="1"/>
  <c r="I495" i="12"/>
  <c r="I1168" i="13" a="1"/>
  <c r="I1168" i="13" s="1"/>
  <c r="O1033" i="13" a="1"/>
  <c r="O1033" i="13" s="1"/>
  <c r="O434" i="12"/>
  <c r="O436" i="12" s="1"/>
  <c r="O1034" i="13" s="1" a="1"/>
  <c r="O1034" i="13" s="1"/>
  <c r="F568" i="12" a="1"/>
  <c r="F568" i="12" s="1"/>
  <c r="F1369" i="13" s="1" a="1"/>
  <c r="F1369" i="13" s="1"/>
  <c r="BQ51" i="9" s="1" a="1"/>
  <c r="BQ51" i="9" s="1"/>
  <c r="H1271" i="13" a="1"/>
  <c r="H1271" i="13" s="1"/>
  <c r="H532" i="12"/>
  <c r="H534" i="12" s="1"/>
  <c r="H1272" i="13" s="1" a="1"/>
  <c r="H1272" i="13" s="1"/>
  <c r="N435" i="12"/>
  <c r="O964" i="13" a="1"/>
  <c r="O964" i="13" s="1"/>
  <c r="O411" i="12"/>
  <c r="L463" i="12"/>
  <c r="I518" i="12"/>
  <c r="I520" i="12" s="1"/>
  <c r="I1238" i="13" s="1" a="1"/>
  <c r="I1238" i="13" s="1"/>
  <c r="I1237" i="13" a="1"/>
  <c r="I1237" i="13" s="1"/>
  <c r="I535" i="12"/>
  <c r="I530" i="12"/>
  <c r="I1266" i="13" a="1"/>
  <c r="I1266" i="13" s="1"/>
  <c r="I1293" i="13" s="1"/>
  <c r="I505" i="12"/>
  <c r="J504" i="12"/>
  <c r="J506" i="12" s="1"/>
  <c r="J1204" i="13" s="1" a="1"/>
  <c r="J1204" i="13" s="1"/>
  <c r="J1203" i="13" a="1"/>
  <c r="J1203" i="13" s="1"/>
  <c r="J516" i="12"/>
  <c r="J1232" i="13" a="1"/>
  <c r="J1232" i="13" s="1"/>
  <c r="J1259" i="13" s="1"/>
  <c r="J521" i="12"/>
  <c r="M1032" i="13" a="1"/>
  <c r="M1032" i="13" s="1"/>
  <c r="M439" i="12"/>
  <c r="B1433" i="13" a="1"/>
  <c r="B1433" i="13" s="1"/>
  <c r="B1434" i="13" s="1"/>
  <c r="B1322" i="13"/>
  <c r="B1323" i="13" s="1"/>
  <c r="B1324" i="13" s="1"/>
  <c r="B1325" i="13" s="1"/>
  <c r="B1327" i="13"/>
  <c r="B1328" i="13" s="1"/>
  <c r="B1329" i="13" s="1"/>
  <c r="B1330" i="13" s="1"/>
  <c r="B1404" i="13"/>
  <c r="B1405" i="13" s="1"/>
  <c r="B1401" i="13"/>
  <c r="B1402" i="13" s="1"/>
  <c r="B1403" i="13" s="1"/>
  <c r="B1376" i="13"/>
  <c r="B1377" i="13" s="1"/>
  <c r="B1378" i="13" s="1"/>
  <c r="B1379" i="13" s="1"/>
  <c r="B1380" i="13" s="1"/>
  <c r="B1381" i="13" s="1"/>
  <c r="B1382" i="13" s="1"/>
  <c r="B1383" i="13" s="1"/>
  <c r="B1384" i="13" s="1"/>
  <c r="B1385" i="13" s="1"/>
  <c r="B1386" i="13" s="1"/>
  <c r="B1387" i="13" s="1"/>
  <c r="B1388" i="13" s="1"/>
  <c r="B1372" i="13"/>
  <c r="B1373" i="13" s="1"/>
  <c r="B1374" i="13" s="1"/>
  <c r="B1375" i="13" s="1"/>
  <c r="B1355" i="13"/>
  <c r="B1360" i="13"/>
  <c r="AA778" i="10"/>
  <c r="AA764" i="10"/>
  <c r="AA751" i="10"/>
  <c r="B594" i="12" a="1"/>
  <c r="B594" i="12" s="1"/>
  <c r="R653" i="12"/>
  <c r="R641" i="12"/>
  <c r="R666" i="12"/>
  <c r="R678" i="12"/>
  <c r="R665" i="12"/>
  <c r="R654" i="12"/>
  <c r="L657" i="12" l="1"/>
  <c r="L1579" i="13" s="1" a="1"/>
  <c r="L1579" i="13" s="1"/>
  <c r="L1574" i="13" a="1"/>
  <c r="L1574" i="13" s="1"/>
  <c r="L1601" i="13" s="1"/>
  <c r="L662" i="12"/>
  <c r="L641" i="12" a="1"/>
  <c r="L641" i="12" s="1"/>
  <c r="D641" i="12" a="1"/>
  <c r="D641" i="12" s="1"/>
  <c r="K641" i="12" a="1"/>
  <c r="K641" i="12" s="1"/>
  <c r="J641" i="12" a="1"/>
  <c r="J641" i="12" s="1"/>
  <c r="I641" i="12" a="1"/>
  <c r="I641" i="12" s="1"/>
  <c r="H641" i="12" a="1"/>
  <c r="H641" i="12" s="1"/>
  <c r="O641" i="12" a="1"/>
  <c r="O641" i="12" s="1"/>
  <c r="G641" i="12" a="1"/>
  <c r="G641" i="12" s="1"/>
  <c r="N641" i="12" a="1"/>
  <c r="N641" i="12" s="1"/>
  <c r="F641" i="12" a="1"/>
  <c r="F641" i="12" s="1"/>
  <c r="M641" i="12" a="1"/>
  <c r="M641" i="12" s="1"/>
  <c r="E641" i="12" a="1"/>
  <c r="E641" i="12" s="1"/>
  <c r="L653" i="12" a="1"/>
  <c r="L653" i="12" s="1"/>
  <c r="L1575" i="13" s="1" a="1"/>
  <c r="L1575" i="13" s="1"/>
  <c r="D653" i="12" a="1"/>
  <c r="D653" i="12" s="1"/>
  <c r="D1575" i="13" s="1" a="1"/>
  <c r="D1575" i="13" s="1"/>
  <c r="K653" i="12" a="1"/>
  <c r="K653" i="12" s="1"/>
  <c r="K1575" i="13" s="1" a="1"/>
  <c r="K1575" i="13" s="1"/>
  <c r="J653" i="12" a="1"/>
  <c r="J653" i="12" s="1"/>
  <c r="J1575" i="13" s="1" a="1"/>
  <c r="J1575" i="13" s="1"/>
  <c r="I653" i="12" a="1"/>
  <c r="I653" i="12" s="1"/>
  <c r="I1575" i="13" s="1" a="1"/>
  <c r="I1575" i="13" s="1"/>
  <c r="H653" i="12" a="1"/>
  <c r="H653" i="12" s="1"/>
  <c r="H1575" i="13" s="1" a="1"/>
  <c r="H1575" i="13" s="1"/>
  <c r="O653" i="12" a="1"/>
  <c r="O653" i="12" s="1"/>
  <c r="O1575" i="13" s="1" a="1"/>
  <c r="O1575" i="13" s="1"/>
  <c r="G653" i="12" a="1"/>
  <c r="G653" i="12" s="1"/>
  <c r="G1575" i="13" s="1" a="1"/>
  <c r="G1575" i="13" s="1"/>
  <c r="N653" i="12" a="1"/>
  <c r="N653" i="12" s="1"/>
  <c r="N1575" i="13" s="1" a="1"/>
  <c r="N1575" i="13" s="1"/>
  <c r="F653" i="12" a="1"/>
  <c r="F653" i="12" s="1"/>
  <c r="F1575" i="13" s="1" a="1"/>
  <c r="F1575" i="13" s="1"/>
  <c r="M653" i="12" a="1"/>
  <c r="M653" i="12" s="1"/>
  <c r="M1575" i="13" s="1" a="1"/>
  <c r="M1575" i="13" s="1"/>
  <c r="E653" i="12" a="1"/>
  <c r="E653" i="12" s="1"/>
  <c r="E1575" i="13" s="1" a="1"/>
  <c r="E1575" i="13" s="1"/>
  <c r="E1574" i="13" a="1"/>
  <c r="E1574" i="13" s="1"/>
  <c r="E1601" i="13" s="1"/>
  <c r="E657" i="12"/>
  <c r="E1579" i="13" s="1" a="1"/>
  <c r="E1579" i="13" s="1"/>
  <c r="E662" i="12"/>
  <c r="M662" i="12"/>
  <c r="M657" i="12"/>
  <c r="M1579" i="13" s="1" a="1"/>
  <c r="M1579" i="13" s="1"/>
  <c r="M1574" i="13" a="1"/>
  <c r="M1574" i="13" s="1"/>
  <c r="M1601" i="13" s="1"/>
  <c r="H1574" i="13" a="1"/>
  <c r="H1574" i="13" s="1"/>
  <c r="H1601" i="13" s="1"/>
  <c r="H662" i="12"/>
  <c r="H657" i="12"/>
  <c r="H1579" i="13" s="1" a="1"/>
  <c r="H1579" i="13" s="1"/>
  <c r="F657" i="12"/>
  <c r="F1579" i="13" s="1" a="1"/>
  <c r="F1579" i="13" s="1"/>
  <c r="F1574" i="13" a="1"/>
  <c r="F1574" i="13" s="1"/>
  <c r="F1601" i="13" s="1"/>
  <c r="F662" i="12"/>
  <c r="H654" i="12" a="1"/>
  <c r="H654" i="12" s="1"/>
  <c r="O654" i="12" a="1"/>
  <c r="O654" i="12" s="1"/>
  <c r="G654" i="12" a="1"/>
  <c r="G654" i="12" s="1"/>
  <c r="N654" i="12" a="1"/>
  <c r="N654" i="12" s="1"/>
  <c r="F654" i="12" a="1"/>
  <c r="F654" i="12" s="1"/>
  <c r="M654" i="12" a="1"/>
  <c r="M654" i="12" s="1"/>
  <c r="E654" i="12" a="1"/>
  <c r="E654" i="12" s="1"/>
  <c r="L654" i="12" a="1"/>
  <c r="L654" i="12" s="1"/>
  <c r="D654" i="12" a="1"/>
  <c r="D654" i="12" s="1"/>
  <c r="K654" i="12" a="1"/>
  <c r="K654" i="12" s="1"/>
  <c r="J654" i="12" a="1"/>
  <c r="J654" i="12" s="1"/>
  <c r="I654" i="12" a="1"/>
  <c r="I654" i="12" s="1"/>
  <c r="I657" i="12"/>
  <c r="I1579" i="13" s="1" a="1"/>
  <c r="I1579" i="13" s="1"/>
  <c r="I662" i="12"/>
  <c r="I1574" i="13" a="1"/>
  <c r="I1574" i="13" s="1"/>
  <c r="I1601" i="13" s="1"/>
  <c r="N1574" i="13" a="1"/>
  <c r="N1574" i="13" s="1"/>
  <c r="N1601" i="13" s="1"/>
  <c r="N657" i="12"/>
  <c r="N1579" i="13" s="1" a="1"/>
  <c r="N1579" i="13" s="1"/>
  <c r="N662" i="12"/>
  <c r="H665" i="12" a="1"/>
  <c r="H665" i="12" s="1"/>
  <c r="O665" i="12" a="1"/>
  <c r="O665" i="12" s="1"/>
  <c r="G665" i="12" a="1"/>
  <c r="G665" i="12" s="1"/>
  <c r="N665" i="12" a="1"/>
  <c r="N665" i="12" s="1"/>
  <c r="F665" i="12" a="1"/>
  <c r="F665" i="12" s="1"/>
  <c r="M665" i="12" a="1"/>
  <c r="M665" i="12" s="1"/>
  <c r="E665" i="12" a="1"/>
  <c r="E665" i="12" s="1"/>
  <c r="L665" i="12" a="1"/>
  <c r="L665" i="12" s="1"/>
  <c r="D665" i="12" a="1"/>
  <c r="D665" i="12" s="1"/>
  <c r="K665" i="12" a="1"/>
  <c r="K665" i="12" s="1"/>
  <c r="J665" i="12" a="1"/>
  <c r="J665" i="12" s="1"/>
  <c r="I665" i="12" a="1"/>
  <c r="I665" i="12" s="1"/>
  <c r="J662" i="12"/>
  <c r="J657" i="12"/>
  <c r="J1579" i="13" s="1" a="1"/>
  <c r="J1579" i="13" s="1"/>
  <c r="J1574" i="13" a="1"/>
  <c r="J1574" i="13" s="1"/>
  <c r="J1601" i="13" s="1"/>
  <c r="G1574" i="13" a="1"/>
  <c r="G1574" i="13" s="1"/>
  <c r="G1601" i="13" s="1"/>
  <c r="G657" i="12"/>
  <c r="G1579" i="13" s="1" a="1"/>
  <c r="G1579" i="13" s="1"/>
  <c r="G662" i="12"/>
  <c r="D657" i="12"/>
  <c r="D1579" i="13" s="1" a="1"/>
  <c r="D1579" i="13" s="1"/>
  <c r="D662" i="12"/>
  <c r="D1574" i="13" a="1"/>
  <c r="D1574" i="13" s="1"/>
  <c r="D1601" i="13" s="1"/>
  <c r="K1574" i="13" a="1"/>
  <c r="K1574" i="13" s="1"/>
  <c r="K1601" i="13" s="1"/>
  <c r="K662" i="12"/>
  <c r="K657" i="12"/>
  <c r="K1579" i="13" s="1" a="1"/>
  <c r="K1579" i="13" s="1"/>
  <c r="O1574" i="13" a="1"/>
  <c r="O1574" i="13" s="1"/>
  <c r="O1601" i="13" s="1"/>
  <c r="O657" i="12"/>
  <c r="O1579" i="13" s="1" a="1"/>
  <c r="O1579" i="13" s="1"/>
  <c r="O662" i="12"/>
  <c r="AA803" i="10"/>
  <c r="AA790" i="10"/>
  <c r="AA791" i="10" s="1"/>
  <c r="M1066" i="13" a="1"/>
  <c r="M1066" i="13" s="1"/>
  <c r="HI45" i="9" a="1"/>
  <c r="HI45" i="9" s="1"/>
  <c r="HJ45" i="9" s="1"/>
  <c r="IB45" i="9" a="1"/>
  <c r="IB45" i="9" s="1"/>
  <c r="IC45" i="9" s="1"/>
  <c r="D491" i="12"/>
  <c r="D524" i="12" a="1"/>
  <c r="D524" i="12" s="1"/>
  <c r="D1134" i="13" a="1"/>
  <c r="D1134" i="13" s="1"/>
  <c r="D481" i="12"/>
  <c r="GP46" i="9" a="1"/>
  <c r="GP46" i="9" s="1"/>
  <c r="GQ46" i="9" s="1"/>
  <c r="FW47" i="9" a="1"/>
  <c r="FW47" i="9" s="1"/>
  <c r="FX47" i="9" s="1"/>
  <c r="D1232" i="13" a="1"/>
  <c r="D1232" i="13" s="1"/>
  <c r="D1259" i="13" s="1"/>
  <c r="D516" i="12"/>
  <c r="D521" i="12"/>
  <c r="D1203" i="13" a="1"/>
  <c r="D1203" i="13" s="1"/>
  <c r="D504" i="12"/>
  <c r="D506" i="12" s="1"/>
  <c r="D1204" i="13" s="1" a="1"/>
  <c r="D1204" i="13" s="1"/>
  <c r="H435" i="12"/>
  <c r="H468" i="12" a="1"/>
  <c r="H468" i="12" s="1"/>
  <c r="G449" i="12"/>
  <c r="J495" i="12"/>
  <c r="N449" i="12"/>
  <c r="N1066" i="13" s="1" a="1"/>
  <c r="N1066" i="13" s="1"/>
  <c r="F551" i="12"/>
  <c r="J505" i="12"/>
  <c r="J509" i="12" s="1"/>
  <c r="E1338" i="13" a="1"/>
  <c r="E1338" i="13" s="1"/>
  <c r="O998" i="13" a="1"/>
  <c r="O998" i="13" s="1"/>
  <c r="K491" i="12"/>
  <c r="K495" i="12" s="1"/>
  <c r="I519" i="12"/>
  <c r="I523" i="12" s="1"/>
  <c r="L477" i="12"/>
  <c r="L1134" i="13" s="1" a="1"/>
  <c r="L1134" i="13" s="1"/>
  <c r="F561" i="12"/>
  <c r="F1338" i="13" s="1" a="1"/>
  <c r="F1338" i="13" s="1"/>
  <c r="HQ44" i="9" a="1"/>
  <c r="HQ44" i="9" s="1"/>
  <c r="O468" i="12" a="1"/>
  <c r="O468" i="12" s="1"/>
  <c r="K512" i="12" a="1"/>
  <c r="K512" i="12" s="1"/>
  <c r="K1233" i="13" s="1" a="1"/>
  <c r="K1233" i="13" s="1"/>
  <c r="FH47" i="9" s="1" a="1"/>
  <c r="FH47" i="9" s="1"/>
  <c r="E1407" i="13" a="1"/>
  <c r="E1407" i="13" s="1"/>
  <c r="E588" i="12"/>
  <c r="E590" i="12" s="1"/>
  <c r="E1408" i="13" s="1" a="1"/>
  <c r="E1408" i="13" s="1"/>
  <c r="L1169" i="13" a="1"/>
  <c r="L1169" i="13" s="1"/>
  <c r="L490" i="12"/>
  <c r="L492" i="12" s="1"/>
  <c r="L1170" i="13" s="1" a="1"/>
  <c r="L1170" i="13" s="1"/>
  <c r="N474" i="12"/>
  <c r="N1130" i="13" a="1"/>
  <c r="N1130" i="13" s="1"/>
  <c r="N1157" i="13" s="1"/>
  <c r="N479" i="12"/>
  <c r="J535" i="12"/>
  <c r="J1266" i="13" a="1"/>
  <c r="J1266" i="13" s="1"/>
  <c r="J1293" i="13" s="1"/>
  <c r="J530" i="12"/>
  <c r="A622" i="12" a="1"/>
  <c r="A622" i="12" s="1"/>
  <c r="C65" i="28" a="1"/>
  <c r="C65" i="28" s="1"/>
  <c r="A1501" i="13" a="1"/>
  <c r="A1501" i="13" s="1"/>
  <c r="M484" i="12" a="1"/>
  <c r="M484" i="12" s="1"/>
  <c r="M1165" i="13" s="1" a="1"/>
  <c r="M1165" i="13" s="1"/>
  <c r="GT45" i="9" s="1" a="1"/>
  <c r="GT45" i="9" s="1"/>
  <c r="J1237" i="13" a="1"/>
  <c r="J1237" i="13" s="1"/>
  <c r="J518" i="12"/>
  <c r="J520" i="12" s="1"/>
  <c r="J1238" i="13" s="1" a="1"/>
  <c r="J1238" i="13" s="1"/>
  <c r="F586" i="12"/>
  <c r="F1402" i="13" a="1"/>
  <c r="F1402" i="13" s="1"/>
  <c r="F1429" i="13" s="1"/>
  <c r="F591" i="12"/>
  <c r="I544" i="12"/>
  <c r="I1300" i="13" a="1"/>
  <c r="I1300" i="13" s="1"/>
  <c r="I1327" i="13" s="1"/>
  <c r="I549" i="12"/>
  <c r="I532" i="12"/>
  <c r="I534" i="12" s="1"/>
  <c r="I1272" i="13" s="1" a="1"/>
  <c r="I1272" i="13" s="1"/>
  <c r="I1271" i="13" a="1"/>
  <c r="I1271" i="13" s="1"/>
  <c r="O456" i="12" a="1"/>
  <c r="O456" i="12" s="1"/>
  <c r="O1097" i="13" s="1" a="1"/>
  <c r="O1097" i="13" s="1"/>
  <c r="IF43" i="9" s="1" a="1"/>
  <c r="IF43" i="9" s="1"/>
  <c r="G580" i="12" a="1"/>
  <c r="G580" i="12" s="1"/>
  <c r="BU52" i="9" a="1"/>
  <c r="BU52" i="9" s="1"/>
  <c r="N482" i="12" a="1"/>
  <c r="N482" i="12" s="1"/>
  <c r="GX45" i="9" a="1"/>
  <c r="GX45" i="9" s="1"/>
  <c r="K504" i="12"/>
  <c r="K506" i="12" s="1"/>
  <c r="K1204" i="13" s="1" a="1"/>
  <c r="K1204" i="13" s="1"/>
  <c r="K1203" i="13" a="1"/>
  <c r="K1203" i="13" s="1"/>
  <c r="O460" i="12"/>
  <c r="O465" i="12"/>
  <c r="O1096" i="13" a="1"/>
  <c r="O1096" i="13" s="1"/>
  <c r="O1123" i="13" s="1"/>
  <c r="GE46" i="9" a="1"/>
  <c r="GE46" i="9" s="1"/>
  <c r="M496" i="12" a="1"/>
  <c r="M496" i="12" s="1"/>
  <c r="I540" i="12" a="1"/>
  <c r="I540" i="12" s="1"/>
  <c r="I1301" i="13" s="1" a="1"/>
  <c r="I1301" i="13" s="1"/>
  <c r="DV49" i="9" s="1" a="1"/>
  <c r="DV49" i="9" s="1"/>
  <c r="D63" i="24" a="1"/>
  <c r="D63" i="24" s="1"/>
  <c r="J538" i="12" a="1"/>
  <c r="J538" i="12" s="1"/>
  <c r="DZ49" i="9" a="1"/>
  <c r="DZ49" i="9" s="1"/>
  <c r="G568" i="12" a="1"/>
  <c r="G568" i="12" s="1"/>
  <c r="G1369" i="13" s="1" a="1"/>
  <c r="G1369" i="13" s="1"/>
  <c r="CJ51" i="9" s="1" a="1"/>
  <c r="CJ51" i="9" s="1"/>
  <c r="H533" i="12"/>
  <c r="M1135" i="13" a="1"/>
  <c r="M1135" i="13" s="1"/>
  <c r="M476" i="12"/>
  <c r="M478" i="12" s="1"/>
  <c r="M1136" i="13" s="1" a="1"/>
  <c r="M1136" i="13" s="1"/>
  <c r="E1436" i="13" a="1"/>
  <c r="E1436" i="13" s="1"/>
  <c r="E1463" i="13" s="1"/>
  <c r="E600" i="12"/>
  <c r="E605" i="12"/>
  <c r="N439" i="12"/>
  <c r="N1032" i="13" a="1"/>
  <c r="N1032" i="13" s="1"/>
  <c r="L498" i="12" a="1"/>
  <c r="L498" i="12" s="1"/>
  <c r="L1199" i="13" s="1" a="1"/>
  <c r="L1199" i="13" s="1"/>
  <c r="GA46" i="9" s="1" a="1"/>
  <c r="GA46" i="9" s="1"/>
  <c r="AI54" i="9" a="1"/>
  <c r="AI54" i="9" s="1"/>
  <c r="E608" i="12" a="1"/>
  <c r="E608" i="12" s="1"/>
  <c r="F582" i="12" a="1"/>
  <c r="F582" i="12" s="1"/>
  <c r="F1403" i="13" s="1" a="1"/>
  <c r="F1403" i="13" s="1"/>
  <c r="BQ52" i="9" s="1" a="1"/>
  <c r="BQ52" i="9" s="1"/>
  <c r="CN51" i="9" a="1"/>
  <c r="CN51" i="9" s="1"/>
  <c r="H566" i="12" a="1"/>
  <c r="H566" i="12" s="1"/>
  <c r="F594" i="12" a="1"/>
  <c r="F594" i="12" s="1"/>
  <c r="BB53" i="9" a="1"/>
  <c r="BB53" i="9" s="1"/>
  <c r="L467" i="12"/>
  <c r="L1100" i="13" a="1"/>
  <c r="L1100" i="13" s="1"/>
  <c r="H563" i="12"/>
  <c r="H1334" i="13" a="1"/>
  <c r="H1334" i="13" s="1"/>
  <c r="H1361" i="13" s="1"/>
  <c r="H558" i="12"/>
  <c r="H523" i="12"/>
  <c r="H1236" i="13" a="1"/>
  <c r="H1236" i="13" s="1"/>
  <c r="L502" i="12"/>
  <c r="L507" i="12"/>
  <c r="L1198" i="13" a="1"/>
  <c r="L1198" i="13" s="1"/>
  <c r="L1225" i="13" s="1"/>
  <c r="F574" i="12"/>
  <c r="F576" i="12" s="1"/>
  <c r="F1374" i="13" s="1" a="1"/>
  <c r="F1374" i="13" s="1"/>
  <c r="F1373" i="13" a="1"/>
  <c r="F1373" i="13" s="1"/>
  <c r="M463" i="12"/>
  <c r="K516" i="12"/>
  <c r="K1232" i="13" a="1"/>
  <c r="K1232" i="13" s="1"/>
  <c r="K1259" i="13" s="1"/>
  <c r="K521" i="12"/>
  <c r="E575" i="12"/>
  <c r="N462" i="12"/>
  <c r="N464" i="12" s="1"/>
  <c r="N1102" i="13" s="1" a="1"/>
  <c r="N1102" i="13" s="1"/>
  <c r="N1101" i="13" a="1"/>
  <c r="N1101" i="13" s="1"/>
  <c r="FL47" i="9" a="1"/>
  <c r="FL47" i="9" s="1"/>
  <c r="L510" i="12" a="1"/>
  <c r="L510" i="12" s="1"/>
  <c r="D610" i="12" a="1"/>
  <c r="D610" i="12" s="1"/>
  <c r="D1471" i="13" s="1" a="1"/>
  <c r="D1471" i="13" s="1"/>
  <c r="AE54" i="9" s="1" a="1"/>
  <c r="AE54" i="9" s="1"/>
  <c r="DG50" i="9" a="1"/>
  <c r="DG50" i="9" s="1"/>
  <c r="I552" i="12" a="1"/>
  <c r="I552" i="12" s="1"/>
  <c r="J526" i="12" a="1"/>
  <c r="J526" i="12" s="1"/>
  <c r="J1267" i="13" s="1" a="1"/>
  <c r="J1267" i="13" s="1"/>
  <c r="EO48" i="9" s="1" a="1"/>
  <c r="EO48" i="9" s="1"/>
  <c r="E596" i="12" a="1"/>
  <c r="E596" i="12" s="1"/>
  <c r="E1437" i="13" s="1" a="1"/>
  <c r="E1437" i="13" s="1"/>
  <c r="AX53" i="9" s="1" a="1"/>
  <c r="AX53" i="9" s="1"/>
  <c r="I509" i="12"/>
  <c r="I1202" i="13" a="1"/>
  <c r="I1202" i="13" s="1"/>
  <c r="O435" i="12"/>
  <c r="G1368" i="13" a="1"/>
  <c r="G1368" i="13" s="1"/>
  <c r="G1395" i="13" s="1"/>
  <c r="G572" i="12"/>
  <c r="G577" i="12"/>
  <c r="K481" i="12"/>
  <c r="K1134" i="13" a="1"/>
  <c r="K1134" i="13" s="1"/>
  <c r="N470" i="12" a="1"/>
  <c r="N470" i="12" s="1"/>
  <c r="N1131" i="13" s="1" a="1"/>
  <c r="N1131" i="13" s="1"/>
  <c r="HM44" i="9" s="1" a="1"/>
  <c r="HM44" i="9" s="1"/>
  <c r="H554" i="12" a="1"/>
  <c r="H554" i="12" s="1"/>
  <c r="H1335" i="13" s="1" a="1"/>
  <c r="H1335" i="13" s="1"/>
  <c r="DC50" i="9" s="1" a="1"/>
  <c r="DC50" i="9" s="1"/>
  <c r="K524" i="12" a="1"/>
  <c r="K524" i="12" s="1"/>
  <c r="ES48" i="9" a="1"/>
  <c r="ES48" i="9" s="1"/>
  <c r="O448" i="12"/>
  <c r="O450" i="12" s="1"/>
  <c r="O1068" i="13" s="1" a="1"/>
  <c r="O1068" i="13" s="1"/>
  <c r="O1067" i="13" a="1"/>
  <c r="O1067" i="13" s="1"/>
  <c r="G547" i="12"/>
  <c r="M493" i="12"/>
  <c r="M488" i="12"/>
  <c r="M1164" i="13" a="1"/>
  <c r="M1164" i="13" s="1"/>
  <c r="M1191" i="13" s="1"/>
  <c r="BU50" i="9" a="1"/>
  <c r="BU50" i="9" s="1"/>
  <c r="CN49" i="9" a="1"/>
  <c r="CN49" i="9" s="1"/>
  <c r="B1410" i="13"/>
  <c r="B1411" i="13" s="1"/>
  <c r="B1412" i="13" s="1"/>
  <c r="B1413" i="13" s="1"/>
  <c r="B1414" i="13" s="1"/>
  <c r="B1415" i="13" s="1"/>
  <c r="B1416" i="13" s="1"/>
  <c r="B1417" i="13" s="1"/>
  <c r="B1418" i="13" s="1"/>
  <c r="B1419" i="13" s="1"/>
  <c r="B1420" i="13" s="1"/>
  <c r="B1421" i="13" s="1"/>
  <c r="B1422" i="13" s="1"/>
  <c r="B1406" i="13"/>
  <c r="B1407" i="13" s="1"/>
  <c r="B1408" i="13" s="1"/>
  <c r="B1409" i="13" s="1"/>
  <c r="B1356" i="13"/>
  <c r="B1357" i="13" s="1"/>
  <c r="B1358" i="13" s="1"/>
  <c r="B1359" i="13" s="1"/>
  <c r="B1361" i="13"/>
  <c r="B1362" i="13" s="1"/>
  <c r="B1363" i="13" s="1"/>
  <c r="B1364" i="13" s="1"/>
  <c r="B1438" i="13"/>
  <c r="B1439" i="13" s="1"/>
  <c r="B1435" i="13"/>
  <c r="B1436" i="13" s="1"/>
  <c r="B1437" i="13" s="1"/>
  <c r="B1467" i="13" a="1"/>
  <c r="B1467" i="13" s="1"/>
  <c r="B1468" i="13" s="1"/>
  <c r="B1394" i="13"/>
  <c r="B1389" i="13"/>
  <c r="AA765" i="10"/>
  <c r="AA779" i="10"/>
  <c r="B608" i="12" a="1"/>
  <c r="B608" i="12" s="1"/>
  <c r="R668" i="12"/>
  <c r="R667" i="12"/>
  <c r="R692" i="12"/>
  <c r="R679" i="12"/>
  <c r="R680" i="12"/>
  <c r="R655" i="12"/>
  <c r="D65" i="24" l="1" a="1"/>
  <c r="D65" i="24" s="1"/>
  <c r="J1202" i="13" a="1"/>
  <c r="J1202" i="13" s="1"/>
  <c r="L655" i="12" a="1"/>
  <c r="L655" i="12" s="1"/>
  <c r="D655" i="12" a="1"/>
  <c r="D655" i="12" s="1"/>
  <c r="K655" i="12" a="1"/>
  <c r="K655" i="12" s="1"/>
  <c r="J655" i="12" a="1"/>
  <c r="J655" i="12" s="1"/>
  <c r="I655" i="12" a="1"/>
  <c r="I655" i="12" s="1"/>
  <c r="H655" i="12" a="1"/>
  <c r="H655" i="12" s="1"/>
  <c r="O655" i="12" a="1"/>
  <c r="O655" i="12" s="1"/>
  <c r="G655" i="12" a="1"/>
  <c r="G655" i="12" s="1"/>
  <c r="N655" i="12" a="1"/>
  <c r="N655" i="12" s="1"/>
  <c r="F655" i="12" a="1"/>
  <c r="F655" i="12" s="1"/>
  <c r="E655" i="12" a="1"/>
  <c r="E655" i="12" s="1"/>
  <c r="M655" i="12" a="1"/>
  <c r="M655" i="12" s="1"/>
  <c r="F565" i="12"/>
  <c r="E671" i="12"/>
  <c r="E1613" i="13" s="1" a="1"/>
  <c r="E1613" i="13" s="1"/>
  <c r="E1608" i="13" a="1"/>
  <c r="E1608" i="13" s="1"/>
  <c r="E1635" i="13" s="1"/>
  <c r="E676" i="12"/>
  <c r="M676" i="12"/>
  <c r="M671" i="12"/>
  <c r="M1613" i="13" s="1" a="1"/>
  <c r="M1613" i="13" s="1"/>
  <c r="M1608" i="13" a="1"/>
  <c r="M1608" i="13" s="1"/>
  <c r="M1635" i="13" s="1"/>
  <c r="H679" i="12" a="1"/>
  <c r="H679" i="12" s="1"/>
  <c r="O679" i="12" a="1"/>
  <c r="O679" i="12" s="1"/>
  <c r="G679" i="12" a="1"/>
  <c r="G679" i="12" s="1"/>
  <c r="N679" i="12" a="1"/>
  <c r="N679" i="12" s="1"/>
  <c r="F679" i="12" a="1"/>
  <c r="F679" i="12" s="1"/>
  <c r="M679" i="12" a="1"/>
  <c r="M679" i="12" s="1"/>
  <c r="E679" i="12" a="1"/>
  <c r="E679" i="12" s="1"/>
  <c r="L679" i="12" a="1"/>
  <c r="L679" i="12" s="1"/>
  <c r="D679" i="12" a="1"/>
  <c r="D679" i="12" s="1"/>
  <c r="K679" i="12" a="1"/>
  <c r="K679" i="12" s="1"/>
  <c r="J679" i="12" a="1"/>
  <c r="J679" i="12" s="1"/>
  <c r="I679" i="12" a="1"/>
  <c r="I679" i="12" s="1"/>
  <c r="F1608" i="13" a="1"/>
  <c r="F1608" i="13" s="1"/>
  <c r="F1635" i="13" s="1"/>
  <c r="F671" i="12"/>
  <c r="F1613" i="13" s="1" a="1"/>
  <c r="F1613" i="13" s="1"/>
  <c r="F676" i="12"/>
  <c r="I1608" i="13" a="1"/>
  <c r="I1608" i="13" s="1"/>
  <c r="I1635" i="13" s="1"/>
  <c r="I676" i="12"/>
  <c r="I671" i="12"/>
  <c r="I1613" i="13" s="1" a="1"/>
  <c r="I1613" i="13" s="1"/>
  <c r="N1608" i="13" a="1"/>
  <c r="N1608" i="13" s="1"/>
  <c r="N1635" i="13" s="1"/>
  <c r="N676" i="12"/>
  <c r="N671" i="12"/>
  <c r="N1613" i="13" s="1" a="1"/>
  <c r="N1613" i="13" s="1"/>
  <c r="L667" i="12" a="1"/>
  <c r="L667" i="12" s="1"/>
  <c r="L1609" i="13" s="1" a="1"/>
  <c r="L1609" i="13" s="1"/>
  <c r="D667" i="12" a="1"/>
  <c r="D667" i="12" s="1"/>
  <c r="D1609" i="13" s="1" a="1"/>
  <c r="D1609" i="13" s="1"/>
  <c r="K667" i="12" a="1"/>
  <c r="K667" i="12" s="1"/>
  <c r="K1609" i="13" s="1" a="1"/>
  <c r="K1609" i="13" s="1"/>
  <c r="J667" i="12" a="1"/>
  <c r="J667" i="12" s="1"/>
  <c r="J1609" i="13" s="1" a="1"/>
  <c r="J1609" i="13" s="1"/>
  <c r="I667" i="12" a="1"/>
  <c r="I667" i="12" s="1"/>
  <c r="I1609" i="13" s="1" a="1"/>
  <c r="I1609" i="13" s="1"/>
  <c r="H667" i="12" a="1"/>
  <c r="H667" i="12" s="1"/>
  <c r="H1609" i="13" s="1" a="1"/>
  <c r="H1609" i="13" s="1"/>
  <c r="O667" i="12" a="1"/>
  <c r="O667" i="12" s="1"/>
  <c r="O1609" i="13" s="1" a="1"/>
  <c r="O1609" i="13" s="1"/>
  <c r="G667" i="12" a="1"/>
  <c r="G667" i="12" s="1"/>
  <c r="G1609" i="13" s="1" a="1"/>
  <c r="G1609" i="13" s="1"/>
  <c r="N667" i="12" a="1"/>
  <c r="N667" i="12" s="1"/>
  <c r="N1609" i="13" s="1" a="1"/>
  <c r="N1609" i="13" s="1"/>
  <c r="F667" i="12" a="1"/>
  <c r="F667" i="12" s="1"/>
  <c r="F1609" i="13" s="1" a="1"/>
  <c r="F1609" i="13" s="1"/>
  <c r="M667" i="12" a="1"/>
  <c r="M667" i="12" s="1"/>
  <c r="M1609" i="13" s="1" a="1"/>
  <c r="M1609" i="13" s="1"/>
  <c r="E667" i="12" a="1"/>
  <c r="E667" i="12" s="1"/>
  <c r="E1609" i="13" s="1" a="1"/>
  <c r="E1609" i="13" s="1"/>
  <c r="J1608" i="13" a="1"/>
  <c r="J1608" i="13" s="1"/>
  <c r="J1635" i="13" s="1"/>
  <c r="J676" i="12"/>
  <c r="J671" i="12"/>
  <c r="J1613" i="13" s="1" a="1"/>
  <c r="J1613" i="13" s="1"/>
  <c r="G1608" i="13" a="1"/>
  <c r="G1608" i="13" s="1"/>
  <c r="G1635" i="13" s="1"/>
  <c r="G676" i="12"/>
  <c r="G671" i="12"/>
  <c r="G1613" i="13" s="1" a="1"/>
  <c r="G1613" i="13" s="1"/>
  <c r="K1608" i="13" a="1"/>
  <c r="K1608" i="13" s="1"/>
  <c r="K1635" i="13" s="1"/>
  <c r="K671" i="12"/>
  <c r="K1613" i="13" s="1" a="1"/>
  <c r="K1613" i="13" s="1"/>
  <c r="K676" i="12"/>
  <c r="O1608" i="13" a="1"/>
  <c r="O1608" i="13" s="1"/>
  <c r="O1635" i="13" s="1"/>
  <c r="O671" i="12"/>
  <c r="O1613" i="13" s="1" a="1"/>
  <c r="O1613" i="13" s="1"/>
  <c r="O676" i="12"/>
  <c r="H668" i="12" a="1"/>
  <c r="H668" i="12" s="1"/>
  <c r="O668" i="12" a="1"/>
  <c r="O668" i="12" s="1"/>
  <c r="G668" i="12" a="1"/>
  <c r="G668" i="12" s="1"/>
  <c r="N668" i="12" a="1"/>
  <c r="N668" i="12" s="1"/>
  <c r="F668" i="12" a="1"/>
  <c r="F668" i="12" s="1"/>
  <c r="M668" i="12" a="1"/>
  <c r="M668" i="12" s="1"/>
  <c r="E668" i="12" a="1"/>
  <c r="E668" i="12" s="1"/>
  <c r="L668" i="12" a="1"/>
  <c r="L668" i="12" s="1"/>
  <c r="D668" i="12" a="1"/>
  <c r="D668" i="12" s="1"/>
  <c r="K668" i="12" a="1"/>
  <c r="K668" i="12" s="1"/>
  <c r="J668" i="12" a="1"/>
  <c r="J668" i="12" s="1"/>
  <c r="I668" i="12" a="1"/>
  <c r="I668" i="12" s="1"/>
  <c r="N453" i="12"/>
  <c r="D1608" i="13" a="1"/>
  <c r="D1608" i="13" s="1"/>
  <c r="D1635" i="13" s="1"/>
  <c r="D671" i="12"/>
  <c r="D1613" i="13" s="1" a="1"/>
  <c r="D1613" i="13" s="1"/>
  <c r="D676" i="12"/>
  <c r="H1608" i="13" a="1"/>
  <c r="H1608" i="13" s="1"/>
  <c r="H1635" i="13" s="1"/>
  <c r="H676" i="12"/>
  <c r="H671" i="12"/>
  <c r="H1613" i="13" s="1" a="1"/>
  <c r="H1613" i="13" s="1"/>
  <c r="L1608" i="13" a="1"/>
  <c r="L1608" i="13" s="1"/>
  <c r="L1635" i="13" s="1"/>
  <c r="L676" i="12"/>
  <c r="L671" i="12"/>
  <c r="L1613" i="13" s="1" a="1"/>
  <c r="L1613" i="13" s="1"/>
  <c r="P791" i="10" a="1"/>
  <c r="P791" i="10" s="1"/>
  <c r="J791" i="10" a="1"/>
  <c r="J791" i="10" s="1"/>
  <c r="AA792" i="10"/>
  <c r="L791" i="10" a="1"/>
  <c r="L791" i="10" s="1"/>
  <c r="F791" i="10" a="1"/>
  <c r="F791" i="10" s="1"/>
  <c r="N791" i="10" a="1"/>
  <c r="N791" i="10" s="1"/>
  <c r="H791" i="10" a="1"/>
  <c r="H791" i="10" s="1"/>
  <c r="D791" i="10" a="1"/>
  <c r="D791" i="10" s="1"/>
  <c r="M791" i="10" a="1"/>
  <c r="M791" i="10" s="1"/>
  <c r="O791" i="10" a="1"/>
  <c r="O791" i="10" s="1"/>
  <c r="I791" i="10" a="1"/>
  <c r="I791" i="10" s="1"/>
  <c r="K791" i="10" a="1"/>
  <c r="K791" i="10" s="1"/>
  <c r="E791" i="10" a="1"/>
  <c r="E791" i="10" s="1"/>
  <c r="G791" i="10" a="1"/>
  <c r="G791" i="10" s="1"/>
  <c r="AA804" i="10"/>
  <c r="AA805" i="10" s="1"/>
  <c r="AA817" i="10"/>
  <c r="G1066" i="13" a="1"/>
  <c r="G1066" i="13" s="1"/>
  <c r="G453" i="12"/>
  <c r="D495" i="12"/>
  <c r="D1168" i="13" a="1"/>
  <c r="D1168" i="13" s="1"/>
  <c r="D538" i="12" a="1"/>
  <c r="D538" i="12" s="1"/>
  <c r="FW48" i="9" a="1"/>
  <c r="FW48" i="9" s="1"/>
  <c r="FX48" i="9" s="1"/>
  <c r="FW49" i="9" a="1"/>
  <c r="FW49" i="9" s="1"/>
  <c r="FX49" i="9" s="1"/>
  <c r="H1130" i="13" a="1"/>
  <c r="H1130" i="13" s="1"/>
  <c r="H1157" i="13" s="1"/>
  <c r="H474" i="12"/>
  <c r="H479" i="12"/>
  <c r="D1237" i="13" a="1"/>
  <c r="D1237" i="13" s="1"/>
  <c r="D518" i="12"/>
  <c r="D520" i="12" s="1"/>
  <c r="D1238" i="13" s="1" a="1"/>
  <c r="D1238" i="13" s="1"/>
  <c r="HI46" i="9" a="1"/>
  <c r="HI46" i="9" s="1"/>
  <c r="HJ46" i="9" s="1"/>
  <c r="IB46" i="9" a="1"/>
  <c r="IB46" i="9" s="1"/>
  <c r="IC46" i="9" s="1"/>
  <c r="H439" i="12"/>
  <c r="H1032" i="13" a="1"/>
  <c r="H1032" i="13" s="1"/>
  <c r="D505" i="12"/>
  <c r="GP47" i="9" a="1"/>
  <c r="GP47" i="9" s="1"/>
  <c r="GQ47" i="9" s="1"/>
  <c r="D535" i="12"/>
  <c r="D1266" i="13" a="1"/>
  <c r="D1266" i="13" s="1"/>
  <c r="D1293" i="13" s="1"/>
  <c r="D530" i="12"/>
  <c r="H482" i="12" a="1"/>
  <c r="H482" i="12" s="1"/>
  <c r="O449" i="12"/>
  <c r="O453" i="12" s="1"/>
  <c r="L481" i="12"/>
  <c r="I1236" i="13" a="1"/>
  <c r="I1236" i="13" s="1"/>
  <c r="K1168" i="13" a="1"/>
  <c r="K1168" i="13" s="1"/>
  <c r="M477" i="12"/>
  <c r="M1134" i="13" s="1" a="1"/>
  <c r="M1134" i="13" s="1"/>
  <c r="E589" i="12"/>
  <c r="E593" i="12" s="1"/>
  <c r="M498" i="12" a="1"/>
  <c r="M498" i="12" s="1"/>
  <c r="M1199" i="13" s="1" a="1"/>
  <c r="M1199" i="13" s="1"/>
  <c r="GT46" i="9" s="1" a="1"/>
  <c r="GT46" i="9" s="1"/>
  <c r="G582" i="12" a="1"/>
  <c r="G582" i="12" s="1"/>
  <c r="G1403" i="13" s="1" a="1"/>
  <c r="G1403" i="13" s="1"/>
  <c r="CJ52" i="9" s="1" a="1"/>
  <c r="CJ52" i="9" s="1"/>
  <c r="E610" i="12" a="1"/>
  <c r="E610" i="12" s="1"/>
  <c r="E1471" i="13" s="1" a="1"/>
  <c r="E1471" i="13" s="1"/>
  <c r="AX54" i="9" s="1" a="1"/>
  <c r="AX54" i="9" s="1"/>
  <c r="G551" i="12"/>
  <c r="G1304" i="13" a="1"/>
  <c r="G1304" i="13" s="1"/>
  <c r="O439" i="12"/>
  <c r="O1032" i="13" a="1"/>
  <c r="O1032" i="13" s="1"/>
  <c r="E1372" i="13" a="1"/>
  <c r="E1372" i="13" s="1"/>
  <c r="E579" i="12"/>
  <c r="E614" i="12"/>
  <c r="E1470" i="13" a="1"/>
  <c r="E1470" i="13" s="1"/>
  <c r="E1497" i="13" s="1"/>
  <c r="E619" i="12"/>
  <c r="J549" i="12"/>
  <c r="J544" i="12"/>
  <c r="J1300" i="13" a="1"/>
  <c r="J1300" i="13" s="1"/>
  <c r="J1327" i="13" s="1"/>
  <c r="G586" i="12"/>
  <c r="G591" i="12"/>
  <c r="G1402" i="13" a="1"/>
  <c r="G1402" i="13" s="1"/>
  <c r="G1429" i="13" s="1"/>
  <c r="F1407" i="13" a="1"/>
  <c r="F1407" i="13" s="1"/>
  <c r="F588" i="12"/>
  <c r="F590" i="12" s="1"/>
  <c r="F1408" i="13" s="1" a="1"/>
  <c r="F1408" i="13" s="1"/>
  <c r="GX46" i="9" a="1"/>
  <c r="GX46" i="9" s="1"/>
  <c r="N496" i="12" a="1"/>
  <c r="N496" i="12" s="1"/>
  <c r="L512" i="12" a="1"/>
  <c r="L512" i="12" s="1"/>
  <c r="L1233" i="13" s="1" a="1"/>
  <c r="L1233" i="13" s="1"/>
  <c r="GA47" i="9" s="1" a="1"/>
  <c r="GA47" i="9" s="1"/>
  <c r="ES49" i="9" a="1"/>
  <c r="ES49" i="9" s="1"/>
  <c r="K538" i="12" a="1"/>
  <c r="K538" i="12" s="1"/>
  <c r="CN52" i="9" a="1"/>
  <c r="CN52" i="9" s="1"/>
  <c r="H580" i="12" a="1"/>
  <c r="H580" i="12" s="1"/>
  <c r="E602" i="12"/>
  <c r="E604" i="12" s="1"/>
  <c r="E1442" i="13" s="1" a="1"/>
  <c r="E1442" i="13" s="1"/>
  <c r="E1441" i="13" a="1"/>
  <c r="E1441" i="13" s="1"/>
  <c r="FL48" i="9" a="1"/>
  <c r="FL48" i="9" s="1"/>
  <c r="L524" i="12" a="1"/>
  <c r="L524" i="12" s="1"/>
  <c r="F596" i="12" a="1"/>
  <c r="F596" i="12" s="1"/>
  <c r="F1437" i="13" s="1" a="1"/>
  <c r="F1437" i="13" s="1"/>
  <c r="BQ53" i="9" s="1" a="1"/>
  <c r="BQ53" i="9" s="1"/>
  <c r="DZ50" i="9" a="1"/>
  <c r="DZ50" i="9" s="1"/>
  <c r="J552" i="12" a="1"/>
  <c r="J552" i="12" s="1"/>
  <c r="IB52" i="9" a="1"/>
  <c r="IB52" i="9" s="1"/>
  <c r="IC52" i="9" s="1"/>
  <c r="M510" i="12" a="1"/>
  <c r="M510" i="12" s="1"/>
  <c r="GE47" i="9" a="1"/>
  <c r="GE47" i="9" s="1"/>
  <c r="J540" i="12" a="1"/>
  <c r="J540" i="12" s="1"/>
  <c r="J1301" i="13" s="1" a="1"/>
  <c r="J1301" i="13" s="1"/>
  <c r="EO49" i="9" s="1" a="1"/>
  <c r="EO49" i="9" s="1"/>
  <c r="O470" i="12" a="1"/>
  <c r="O470" i="12" s="1"/>
  <c r="O1131" i="13" s="1" a="1"/>
  <c r="O1131" i="13" s="1"/>
  <c r="IF44" i="9" s="1" a="1"/>
  <c r="IF44" i="9" s="1"/>
  <c r="D64" i="24" a="1"/>
  <c r="D64" i="24" s="1"/>
  <c r="C66" i="28" a="1"/>
  <c r="C66" i="28" s="1"/>
  <c r="A636" i="12" a="1"/>
  <c r="A636" i="12" s="1"/>
  <c r="A1535" i="13" a="1"/>
  <c r="A1535" i="13" s="1"/>
  <c r="L504" i="12"/>
  <c r="L506" i="12" s="1"/>
  <c r="L1204" i="13" s="1" a="1"/>
  <c r="L1204" i="13" s="1"/>
  <c r="L1203" i="13" a="1"/>
  <c r="L1203" i="13" s="1"/>
  <c r="AI55" i="9" a="1"/>
  <c r="AI55" i="9" s="1"/>
  <c r="E622" i="12" a="1"/>
  <c r="E622" i="12" s="1"/>
  <c r="BB54" i="9" a="1"/>
  <c r="BB54" i="9" s="1"/>
  <c r="F608" i="12" a="1"/>
  <c r="F608" i="12" s="1"/>
  <c r="I558" i="12"/>
  <c r="I1334" i="13" a="1"/>
  <c r="I1334" i="13" s="1"/>
  <c r="I1361" i="13" s="1"/>
  <c r="I563" i="12"/>
  <c r="K526" i="12" a="1"/>
  <c r="K526" i="12" s="1"/>
  <c r="K1267" i="13" s="1" a="1"/>
  <c r="K1267" i="13" s="1"/>
  <c r="FH48" i="9" s="1" a="1"/>
  <c r="FH48" i="9" s="1"/>
  <c r="I554" i="12" a="1"/>
  <c r="I554" i="12" s="1"/>
  <c r="I1335" i="13" s="1" a="1"/>
  <c r="I1335" i="13" s="1"/>
  <c r="DV50" i="9" s="1" a="1"/>
  <c r="DV50" i="9" s="1"/>
  <c r="L521" i="12"/>
  <c r="L1232" i="13" a="1"/>
  <c r="L1232" i="13" s="1"/>
  <c r="L1259" i="13" s="1"/>
  <c r="L516" i="12"/>
  <c r="K518" i="12"/>
  <c r="K520" i="12" s="1"/>
  <c r="K1238" i="13" s="1" a="1"/>
  <c r="K1238" i="13" s="1"/>
  <c r="K1237" i="13" a="1"/>
  <c r="K1237" i="13" s="1"/>
  <c r="F600" i="12"/>
  <c r="F1436" i="13" a="1"/>
  <c r="F1436" i="13" s="1"/>
  <c r="F1463" i="13" s="1"/>
  <c r="F605" i="12"/>
  <c r="O1101" i="13" a="1"/>
  <c r="O1101" i="13" s="1"/>
  <c r="O462" i="12"/>
  <c r="O464" i="12" s="1"/>
  <c r="O1102" i="13" s="1" a="1"/>
  <c r="O1102" i="13" s="1"/>
  <c r="I546" i="12"/>
  <c r="I548" i="12" s="1"/>
  <c r="I1306" i="13" s="1" a="1"/>
  <c r="I1306" i="13" s="1"/>
  <c r="I1305" i="13" a="1"/>
  <c r="I1305" i="13" s="1"/>
  <c r="N1135" i="13" a="1"/>
  <c r="N1135" i="13" s="1"/>
  <c r="N476" i="12"/>
  <c r="N478" i="12" s="1"/>
  <c r="N1136" i="13" s="1" a="1"/>
  <c r="N1136" i="13" s="1"/>
  <c r="N484" i="12" a="1"/>
  <c r="N484" i="12" s="1"/>
  <c r="N1165" i="13" s="1" a="1"/>
  <c r="N1165" i="13" s="1"/>
  <c r="HM45" i="9" s="1" a="1"/>
  <c r="HM45" i="9" s="1"/>
  <c r="HQ45" i="9" a="1"/>
  <c r="HQ45" i="9" s="1"/>
  <c r="O482" i="12" a="1"/>
  <c r="O482" i="12" s="1"/>
  <c r="M1100" i="13" a="1"/>
  <c r="M1100" i="13" s="1"/>
  <c r="M467" i="12"/>
  <c r="H572" i="12"/>
  <c r="H577" i="12"/>
  <c r="H1368" i="13" a="1"/>
  <c r="H1368" i="13" s="1"/>
  <c r="H1395" i="13" s="1"/>
  <c r="H1270" i="13" a="1"/>
  <c r="H1270" i="13" s="1"/>
  <c r="H537" i="12"/>
  <c r="K505" i="12"/>
  <c r="L491" i="12"/>
  <c r="H568" i="12" a="1"/>
  <c r="H568" i="12" s="1"/>
  <c r="H1369" i="13" s="1" a="1"/>
  <c r="H1369" i="13" s="1"/>
  <c r="DC51" i="9" s="1" a="1"/>
  <c r="DC51" i="9" s="1"/>
  <c r="M1169" i="13" a="1"/>
  <c r="M1169" i="13" s="1"/>
  <c r="M490" i="12"/>
  <c r="M492" i="12" s="1"/>
  <c r="M1170" i="13" s="1" a="1"/>
  <c r="M1170" i="13" s="1"/>
  <c r="K530" i="12"/>
  <c r="K1266" i="13" a="1"/>
  <c r="K1266" i="13" s="1"/>
  <c r="K1293" i="13" s="1"/>
  <c r="K535" i="12"/>
  <c r="N463" i="12"/>
  <c r="F575" i="12"/>
  <c r="H1339" i="13" a="1"/>
  <c r="H1339" i="13" s="1"/>
  <c r="H560" i="12"/>
  <c r="H562" i="12" s="1"/>
  <c r="H1340" i="13" s="1" a="1"/>
  <c r="H1340" i="13" s="1"/>
  <c r="M507" i="12"/>
  <c r="M1198" i="13" a="1"/>
  <c r="M1198" i="13" s="1"/>
  <c r="M1225" i="13" s="1"/>
  <c r="M502" i="12"/>
  <c r="O474" i="12"/>
  <c r="O1130" i="13" a="1"/>
  <c r="O1130" i="13" s="1"/>
  <c r="O1157" i="13" s="1"/>
  <c r="O479" i="12"/>
  <c r="DG51" i="9" a="1"/>
  <c r="DG51" i="9" s="1"/>
  <c r="I566" i="12" a="1"/>
  <c r="I566" i="12" s="1"/>
  <c r="D624" i="12" a="1"/>
  <c r="D624" i="12" s="1"/>
  <c r="D1505" i="13" s="1" a="1"/>
  <c r="D1505" i="13" s="1"/>
  <c r="AE55" i="9" s="1" a="1"/>
  <c r="AE55" i="9" s="1"/>
  <c r="G1373" i="13" a="1"/>
  <c r="G1373" i="13" s="1"/>
  <c r="G574" i="12"/>
  <c r="G576" i="12" s="1"/>
  <c r="G1374" i="13" s="1" a="1"/>
  <c r="G1374" i="13" s="1"/>
  <c r="N488" i="12"/>
  <c r="N493" i="12"/>
  <c r="N1164" i="13" a="1"/>
  <c r="N1164" i="13" s="1"/>
  <c r="N1191" i="13" s="1"/>
  <c r="I533" i="12"/>
  <c r="J519" i="12"/>
  <c r="J532" i="12"/>
  <c r="J534" i="12" s="1"/>
  <c r="J1272" i="13" s="1" a="1"/>
  <c r="J1272" i="13" s="1"/>
  <c r="J1271" i="13" a="1"/>
  <c r="J1271" i="13" s="1"/>
  <c r="B1440" i="13"/>
  <c r="B1441" i="13" s="1"/>
  <c r="B1442" i="13" s="1"/>
  <c r="B1443" i="13" s="1"/>
  <c r="B1444" i="13"/>
  <c r="B1445" i="13" s="1"/>
  <c r="B1446" i="13" s="1"/>
  <c r="B1447" i="13" s="1"/>
  <c r="B1448" i="13" s="1"/>
  <c r="B1449" i="13" s="1"/>
  <c r="B1450" i="13" s="1"/>
  <c r="B1451" i="13" s="1"/>
  <c r="B1452" i="13" s="1"/>
  <c r="B1453" i="13" s="1"/>
  <c r="B1454" i="13" s="1"/>
  <c r="B1455" i="13" s="1"/>
  <c r="B1456" i="13" s="1"/>
  <c r="B1395" i="13"/>
  <c r="B1396" i="13" s="1"/>
  <c r="B1397" i="13" s="1"/>
  <c r="B1398" i="13" s="1"/>
  <c r="B1390" i="13"/>
  <c r="B1391" i="13" s="1"/>
  <c r="B1392" i="13" s="1"/>
  <c r="B1393" i="13" s="1"/>
  <c r="B1423" i="13"/>
  <c r="B1428" i="13"/>
  <c r="B1469" i="13"/>
  <c r="B1470" i="13" s="1"/>
  <c r="B1471" i="13" s="1"/>
  <c r="B1472" i="13"/>
  <c r="B1473" i="13" s="1"/>
  <c r="B1501" i="13" a="1"/>
  <c r="B1501" i="13" s="1"/>
  <c r="B1502" i="13" s="1"/>
  <c r="B622" i="12" a="1"/>
  <c r="B622" i="12" s="1"/>
  <c r="R693" i="12"/>
  <c r="R706" i="12"/>
  <c r="R694" i="12"/>
  <c r="R681" i="12"/>
  <c r="R682" i="12"/>
  <c r="R669" i="12"/>
  <c r="O1066" i="13" l="1" a="1"/>
  <c r="O1066" i="13" s="1"/>
  <c r="I690" i="12"/>
  <c r="I1642" i="13" a="1"/>
  <c r="I1642" i="13" s="1"/>
  <c r="I1669" i="13" s="1"/>
  <c r="I685" i="12"/>
  <c r="I1647" i="13" s="1" a="1"/>
  <c r="I1647" i="13" s="1"/>
  <c r="N1642" i="13" a="1"/>
  <c r="N1642" i="13" s="1"/>
  <c r="N1669" i="13" s="1"/>
  <c r="N685" i="12"/>
  <c r="N1647" i="13" s="1" a="1"/>
  <c r="N1647" i="13" s="1"/>
  <c r="N690" i="12"/>
  <c r="J1642" i="13" a="1"/>
  <c r="J1642" i="13" s="1"/>
  <c r="J1669" i="13" s="1"/>
  <c r="J690" i="12"/>
  <c r="J685" i="12"/>
  <c r="J1647" i="13" s="1" a="1"/>
  <c r="J1647" i="13" s="1"/>
  <c r="G1642" i="13" a="1"/>
  <c r="G1642" i="13" s="1"/>
  <c r="G1669" i="13" s="1"/>
  <c r="G685" i="12"/>
  <c r="G1647" i="13" s="1" a="1"/>
  <c r="G1647" i="13" s="1"/>
  <c r="G690" i="12"/>
  <c r="L681" i="12" a="1"/>
  <c r="L681" i="12" s="1"/>
  <c r="L1643" i="13" s="1" a="1"/>
  <c r="L1643" i="13" s="1"/>
  <c r="D681" i="12" a="1"/>
  <c r="D681" i="12" s="1"/>
  <c r="D1643" i="13" s="1" a="1"/>
  <c r="D1643" i="13" s="1"/>
  <c r="K681" i="12" a="1"/>
  <c r="K681" i="12" s="1"/>
  <c r="K1643" i="13" s="1" a="1"/>
  <c r="K1643" i="13" s="1"/>
  <c r="J681" i="12" a="1"/>
  <c r="J681" i="12" s="1"/>
  <c r="J1643" i="13" s="1" a="1"/>
  <c r="J1643" i="13" s="1"/>
  <c r="I681" i="12" a="1"/>
  <c r="I681" i="12" s="1"/>
  <c r="I1643" i="13" s="1" a="1"/>
  <c r="I1643" i="13" s="1"/>
  <c r="H681" i="12" a="1"/>
  <c r="H681" i="12" s="1"/>
  <c r="H1643" i="13" s="1" a="1"/>
  <c r="H1643" i="13" s="1"/>
  <c r="O681" i="12" a="1"/>
  <c r="O681" i="12" s="1"/>
  <c r="O1643" i="13" s="1" a="1"/>
  <c r="O1643" i="13" s="1"/>
  <c r="G681" i="12" a="1"/>
  <c r="G681" i="12" s="1"/>
  <c r="G1643" i="13" s="1" a="1"/>
  <c r="G1643" i="13" s="1"/>
  <c r="N681" i="12" a="1"/>
  <c r="N681" i="12" s="1"/>
  <c r="N1643" i="13" s="1" a="1"/>
  <c r="N1643" i="13" s="1"/>
  <c r="F681" i="12" a="1"/>
  <c r="F681" i="12" s="1"/>
  <c r="F1643" i="13" s="1" a="1"/>
  <c r="F1643" i="13" s="1"/>
  <c r="M681" i="12" a="1"/>
  <c r="M681" i="12" s="1"/>
  <c r="M1643" i="13" s="1" a="1"/>
  <c r="M1643" i="13" s="1"/>
  <c r="E681" i="12" a="1"/>
  <c r="E681" i="12" s="1"/>
  <c r="E1643" i="13" s="1" a="1"/>
  <c r="E1643" i="13" s="1"/>
  <c r="K1642" i="13" a="1"/>
  <c r="K1642" i="13" s="1"/>
  <c r="K1669" i="13" s="1"/>
  <c r="K690" i="12"/>
  <c r="K685" i="12"/>
  <c r="K1647" i="13" s="1" a="1"/>
  <c r="K1647" i="13" s="1"/>
  <c r="O1642" i="13" a="1"/>
  <c r="O1642" i="13" s="1"/>
  <c r="O1669" i="13" s="1"/>
  <c r="O685" i="12"/>
  <c r="O1647" i="13" s="1" a="1"/>
  <c r="O1647" i="13" s="1"/>
  <c r="O690" i="12"/>
  <c r="F1642" i="13" a="1"/>
  <c r="F1642" i="13" s="1"/>
  <c r="F1669" i="13" s="1"/>
  <c r="F685" i="12"/>
  <c r="F1647" i="13" s="1" a="1"/>
  <c r="F1647" i="13" s="1"/>
  <c r="F690" i="12"/>
  <c r="D1642" i="13" a="1"/>
  <c r="D1642" i="13" s="1"/>
  <c r="D1669" i="13" s="1"/>
  <c r="D685" i="12"/>
  <c r="D1647" i="13" s="1" a="1"/>
  <c r="D1647" i="13" s="1"/>
  <c r="D690" i="12"/>
  <c r="H1642" i="13" a="1"/>
  <c r="H1642" i="13" s="1"/>
  <c r="H1669" i="13" s="1"/>
  <c r="H690" i="12"/>
  <c r="H685" i="12"/>
  <c r="H1647" i="13" s="1" a="1"/>
  <c r="H1647" i="13" s="1"/>
  <c r="L1642" i="13" a="1"/>
  <c r="L1642" i="13" s="1"/>
  <c r="L1669" i="13" s="1"/>
  <c r="L685" i="12"/>
  <c r="L1647" i="13" s="1" a="1"/>
  <c r="L1647" i="13" s="1"/>
  <c r="L690" i="12"/>
  <c r="L669" i="12" a="1"/>
  <c r="L669" i="12" s="1"/>
  <c r="D669" i="12" a="1"/>
  <c r="D669" i="12" s="1"/>
  <c r="K669" i="12" a="1"/>
  <c r="K669" i="12" s="1"/>
  <c r="J669" i="12" a="1"/>
  <c r="J669" i="12" s="1"/>
  <c r="I669" i="12" a="1"/>
  <c r="I669" i="12" s="1"/>
  <c r="H669" i="12" a="1"/>
  <c r="H669" i="12" s="1"/>
  <c r="O669" i="12" a="1"/>
  <c r="O669" i="12" s="1"/>
  <c r="G669" i="12" a="1"/>
  <c r="G669" i="12" s="1"/>
  <c r="N669" i="12" a="1"/>
  <c r="N669" i="12" s="1"/>
  <c r="F669" i="12" a="1"/>
  <c r="F669" i="12" s="1"/>
  <c r="M669" i="12" a="1"/>
  <c r="M669" i="12" s="1"/>
  <c r="E669" i="12" a="1"/>
  <c r="E669" i="12" s="1"/>
  <c r="H682" i="12" a="1"/>
  <c r="H682" i="12" s="1"/>
  <c r="O682" i="12" a="1"/>
  <c r="O682" i="12" s="1"/>
  <c r="G682" i="12" a="1"/>
  <c r="G682" i="12" s="1"/>
  <c r="N682" i="12" a="1"/>
  <c r="N682" i="12" s="1"/>
  <c r="F682" i="12" a="1"/>
  <c r="F682" i="12" s="1"/>
  <c r="M682" i="12" a="1"/>
  <c r="M682" i="12" s="1"/>
  <c r="E682" i="12" a="1"/>
  <c r="E682" i="12" s="1"/>
  <c r="L682" i="12" a="1"/>
  <c r="L682" i="12" s="1"/>
  <c r="D682" i="12" a="1"/>
  <c r="D682" i="12" s="1"/>
  <c r="K682" i="12" a="1"/>
  <c r="K682" i="12" s="1"/>
  <c r="J682" i="12" a="1"/>
  <c r="J682" i="12" s="1"/>
  <c r="I682" i="12" a="1"/>
  <c r="I682" i="12" s="1"/>
  <c r="H693" i="12" a="1"/>
  <c r="H693" i="12" s="1"/>
  <c r="O693" i="12" a="1"/>
  <c r="O693" i="12" s="1"/>
  <c r="G693" i="12" a="1"/>
  <c r="G693" i="12" s="1"/>
  <c r="N693" i="12" a="1"/>
  <c r="N693" i="12" s="1"/>
  <c r="F693" i="12" a="1"/>
  <c r="F693" i="12" s="1"/>
  <c r="M693" i="12" a="1"/>
  <c r="M693" i="12" s="1"/>
  <c r="E693" i="12" a="1"/>
  <c r="E693" i="12" s="1"/>
  <c r="L693" i="12" a="1"/>
  <c r="L693" i="12" s="1"/>
  <c r="D693" i="12" a="1"/>
  <c r="D693" i="12" s="1"/>
  <c r="K693" i="12" a="1"/>
  <c r="K693" i="12" s="1"/>
  <c r="J693" i="12" a="1"/>
  <c r="J693" i="12" s="1"/>
  <c r="I693" i="12" a="1"/>
  <c r="I693" i="12" s="1"/>
  <c r="E685" i="12"/>
  <c r="E1647" i="13" s="1" a="1"/>
  <c r="E1647" i="13" s="1"/>
  <c r="E1642" i="13" a="1"/>
  <c r="E1642" i="13" s="1"/>
  <c r="E1669" i="13" s="1"/>
  <c r="E690" i="12"/>
  <c r="D519" i="12"/>
  <c r="D1236" i="13" s="1" a="1"/>
  <c r="D1236" i="13" s="1"/>
  <c r="M685" i="12"/>
  <c r="M1647" i="13" s="1" a="1"/>
  <c r="M1647" i="13" s="1"/>
  <c r="M1642" i="13" a="1"/>
  <c r="M1642" i="13" s="1"/>
  <c r="M1669" i="13" s="1"/>
  <c r="M690" i="12"/>
  <c r="I805" i="10" a="1"/>
  <c r="I805" i="10" s="1"/>
  <c r="K805" i="10" a="1"/>
  <c r="K805" i="10" s="1"/>
  <c r="E805" i="10" a="1"/>
  <c r="E805" i="10" s="1"/>
  <c r="G805" i="10" a="1"/>
  <c r="G805" i="10" s="1"/>
  <c r="AA806" i="10"/>
  <c r="O805" i="10" a="1"/>
  <c r="O805" i="10" s="1"/>
  <c r="P805" i="10" a="1"/>
  <c r="P805" i="10" s="1"/>
  <c r="N805" i="10" a="1"/>
  <c r="N805" i="10" s="1"/>
  <c r="L805" i="10" a="1"/>
  <c r="L805" i="10" s="1"/>
  <c r="M805" i="10" a="1"/>
  <c r="M805" i="10" s="1"/>
  <c r="J805" i="10" a="1"/>
  <c r="J805" i="10" s="1"/>
  <c r="H805" i="10" a="1"/>
  <c r="H805" i="10" s="1"/>
  <c r="F805" i="10" a="1"/>
  <c r="F805" i="10" s="1"/>
  <c r="D805" i="10" a="1"/>
  <c r="D805" i="10" s="1"/>
  <c r="AA831" i="10"/>
  <c r="AA818" i="10"/>
  <c r="AA819" i="10" s="1"/>
  <c r="I792" i="10" a="1"/>
  <c r="I792" i="10" s="1"/>
  <c r="N792" i="10" a="1"/>
  <c r="N792" i="10" s="1"/>
  <c r="E792" i="10" a="1"/>
  <c r="E792" i="10" s="1"/>
  <c r="J792" i="10" a="1"/>
  <c r="J792" i="10" s="1"/>
  <c r="F792" i="10" a="1"/>
  <c r="F792" i="10" s="1"/>
  <c r="O792" i="10" a="1"/>
  <c r="O792" i="10" s="1"/>
  <c r="AA793" i="10"/>
  <c r="K792" i="10" a="1"/>
  <c r="K792" i="10" s="1"/>
  <c r="D792" i="10" a="1"/>
  <c r="D792" i="10" s="1"/>
  <c r="P792" i="10" a="1"/>
  <c r="P792" i="10" s="1"/>
  <c r="G792" i="10" a="1"/>
  <c r="G792" i="10" s="1"/>
  <c r="L792" i="10" a="1"/>
  <c r="L792" i="10" s="1"/>
  <c r="M792" i="10" a="1"/>
  <c r="M792" i="10" s="1"/>
  <c r="H792" i="10" a="1"/>
  <c r="H792" i="10" s="1"/>
  <c r="H1135" i="13" a="1"/>
  <c r="H1135" i="13" s="1"/>
  <c r="H476" i="12"/>
  <c r="H478" i="12" s="1"/>
  <c r="H1136" i="13" s="1" a="1"/>
  <c r="H1136" i="13" s="1"/>
  <c r="H496" i="12" a="1"/>
  <c r="H496" i="12" s="1"/>
  <c r="HI47" i="9" a="1"/>
  <c r="HI47" i="9" s="1"/>
  <c r="HJ47" i="9" s="1"/>
  <c r="GP49" i="9" a="1"/>
  <c r="GP49" i="9" s="1"/>
  <c r="GQ49" i="9" s="1"/>
  <c r="D552" i="12" a="1"/>
  <c r="D552" i="12" s="1"/>
  <c r="D1202" i="13" a="1"/>
  <c r="D1202" i="13" s="1"/>
  <c r="D509" i="12"/>
  <c r="GP48" i="9" a="1"/>
  <c r="GP48" i="9" s="1"/>
  <c r="GQ48" i="9" s="1"/>
  <c r="D1300" i="13" a="1"/>
  <c r="D1300" i="13" s="1"/>
  <c r="D1327" i="13" s="1"/>
  <c r="D544" i="12"/>
  <c r="D549" i="12"/>
  <c r="H493" i="12"/>
  <c r="H1164" i="13" a="1"/>
  <c r="H1164" i="13" s="1"/>
  <c r="H1191" i="13" s="1"/>
  <c r="H488" i="12"/>
  <c r="D532" i="12"/>
  <c r="D534" i="12" s="1"/>
  <c r="D1272" i="13" s="1" a="1"/>
  <c r="D1272" i="13" s="1"/>
  <c r="D1271" i="13" a="1"/>
  <c r="D1271" i="13" s="1"/>
  <c r="G510" i="12" a="1"/>
  <c r="G510" i="12" s="1"/>
  <c r="M481" i="12"/>
  <c r="E1406" i="13" a="1"/>
  <c r="E1406" i="13" s="1"/>
  <c r="E603" i="12"/>
  <c r="E607" i="12" s="1"/>
  <c r="L505" i="12"/>
  <c r="L509" i="12" s="1"/>
  <c r="G575" i="12"/>
  <c r="G1372" i="13" s="1" a="1"/>
  <c r="G1372" i="13" s="1"/>
  <c r="I547" i="12"/>
  <c r="I1304" i="13" s="1" a="1"/>
  <c r="I1304" i="13" s="1"/>
  <c r="J533" i="12"/>
  <c r="J1270" i="13" s="1" a="1"/>
  <c r="J1270" i="13" s="1"/>
  <c r="M512" i="12" a="1"/>
  <c r="M512" i="12" s="1"/>
  <c r="M1233" i="13" s="1" a="1"/>
  <c r="M1233" i="13" s="1"/>
  <c r="GT47" i="9" s="1" a="1"/>
  <c r="GT47" i="9" s="1"/>
  <c r="L526" i="12" a="1"/>
  <c r="L526" i="12" s="1"/>
  <c r="L1267" i="13" s="1" a="1"/>
  <c r="L1267" i="13" s="1"/>
  <c r="GA48" i="9" s="1" a="1"/>
  <c r="GA48" i="9" s="1"/>
  <c r="N1169" i="13" a="1"/>
  <c r="N1169" i="13" s="1"/>
  <c r="N490" i="12"/>
  <c r="N492" i="12" s="1"/>
  <c r="N1170" i="13" s="1" a="1"/>
  <c r="N1170" i="13" s="1"/>
  <c r="N477" i="12"/>
  <c r="E616" i="12"/>
  <c r="E618" i="12" s="1"/>
  <c r="E1476" i="13" s="1" a="1"/>
  <c r="E1476" i="13" s="1"/>
  <c r="E1475" i="13" a="1"/>
  <c r="E1475" i="13" s="1"/>
  <c r="L1237" i="13" a="1"/>
  <c r="L1237" i="13" s="1"/>
  <c r="L518" i="12"/>
  <c r="L520" i="12" s="1"/>
  <c r="L1238" i="13" s="1" a="1"/>
  <c r="L1238" i="13" s="1"/>
  <c r="J554" i="12" a="1"/>
  <c r="J554" i="12" s="1"/>
  <c r="J1335" i="13" s="1" a="1"/>
  <c r="J1335" i="13" s="1"/>
  <c r="EO50" i="9" s="1" a="1"/>
  <c r="EO50" i="9" s="1"/>
  <c r="GE48" i="9" a="1"/>
  <c r="GE48" i="9" s="1"/>
  <c r="M524" i="12" a="1"/>
  <c r="M524" i="12" s="1"/>
  <c r="F579" i="12"/>
  <c r="F1372" i="13" a="1"/>
  <c r="F1372" i="13" s="1"/>
  <c r="J1334" i="13" a="1"/>
  <c r="J1334" i="13" s="1"/>
  <c r="J1361" i="13" s="1"/>
  <c r="J563" i="12"/>
  <c r="J558" i="12"/>
  <c r="N510" i="12" a="1"/>
  <c r="N510" i="12" s="1"/>
  <c r="GX47" i="9" a="1"/>
  <c r="GX47" i="9" s="1"/>
  <c r="K540" i="12" a="1"/>
  <c r="K540" i="12" s="1"/>
  <c r="K1301" i="13" s="1" a="1"/>
  <c r="K1301" i="13" s="1"/>
  <c r="FH49" i="9" s="1" a="1"/>
  <c r="FH49" i="9" s="1"/>
  <c r="H582" i="12" a="1"/>
  <c r="H582" i="12" s="1"/>
  <c r="H1403" i="13" s="1" a="1"/>
  <c r="H1403" i="13" s="1"/>
  <c r="DC52" i="9" s="1" a="1"/>
  <c r="DC52" i="9" s="1"/>
  <c r="ES50" i="9" a="1"/>
  <c r="ES50" i="9" s="1"/>
  <c r="K552" i="12" a="1"/>
  <c r="K552" i="12" s="1"/>
  <c r="AI56" i="9" a="1"/>
  <c r="AI56" i="9" s="1"/>
  <c r="E636" i="12" a="1"/>
  <c r="E636" i="12" s="1"/>
  <c r="O1135" i="13" a="1"/>
  <c r="O1135" i="13" s="1"/>
  <c r="O476" i="12"/>
  <c r="O478" i="12" s="1"/>
  <c r="O1136" i="13" s="1" a="1"/>
  <c r="O1136" i="13" s="1"/>
  <c r="N467" i="12"/>
  <c r="N1100" i="13" a="1"/>
  <c r="N1100" i="13" s="1"/>
  <c r="I560" i="12"/>
  <c r="I562" i="12" s="1"/>
  <c r="I1340" i="13" s="1" a="1"/>
  <c r="I1340" i="13" s="1"/>
  <c r="I1339" i="13" a="1"/>
  <c r="I1339" i="13" s="1"/>
  <c r="G1407" i="13" a="1"/>
  <c r="G1407" i="13" s="1"/>
  <c r="G588" i="12"/>
  <c r="G590" i="12" s="1"/>
  <c r="G1408" i="13" s="1" a="1"/>
  <c r="G1408" i="13" s="1"/>
  <c r="I568" i="12" a="1"/>
  <c r="I568" i="12" s="1"/>
  <c r="I1369" i="13" s="1" a="1"/>
  <c r="I1369" i="13" s="1"/>
  <c r="DV51" i="9" s="1" a="1"/>
  <c r="DV51" i="9" s="1"/>
  <c r="A650" i="12" a="1"/>
  <c r="A650" i="12" s="1"/>
  <c r="C67" i="28" a="1"/>
  <c r="C67" i="28" s="1"/>
  <c r="A1569" i="13" a="1"/>
  <c r="A1569" i="13" s="1"/>
  <c r="L538" i="12" a="1"/>
  <c r="L538" i="12" s="1"/>
  <c r="FL49" i="9" a="1"/>
  <c r="FL49" i="9" s="1"/>
  <c r="O484" i="12" a="1"/>
  <c r="O484" i="12" s="1"/>
  <c r="O1165" i="13" s="1" a="1"/>
  <c r="O1165" i="13" s="1"/>
  <c r="IF45" i="9" s="1" a="1"/>
  <c r="IF45" i="9" s="1"/>
  <c r="I580" i="12" a="1"/>
  <c r="I580" i="12" s="1"/>
  <c r="DG52" i="9" a="1"/>
  <c r="DG52" i="9" s="1"/>
  <c r="D638" i="12" a="1"/>
  <c r="D638" i="12" s="1"/>
  <c r="D1539" i="13" s="1" a="1"/>
  <c r="D1539" i="13" s="1"/>
  <c r="AE56" i="9" s="1" a="1"/>
  <c r="AE56" i="9" s="1"/>
  <c r="M1203" i="13" a="1"/>
  <c r="M1203" i="13" s="1"/>
  <c r="M504" i="12"/>
  <c r="M506" i="12" s="1"/>
  <c r="M1204" i="13" s="1" a="1"/>
  <c r="M1204" i="13" s="1"/>
  <c r="L495" i="12"/>
  <c r="L1168" i="13" a="1"/>
  <c r="L1168" i="13" s="1"/>
  <c r="F602" i="12"/>
  <c r="F604" i="12" s="1"/>
  <c r="F1442" i="13" s="1" a="1"/>
  <c r="F1442" i="13" s="1"/>
  <c r="F1441" i="13" a="1"/>
  <c r="F1441" i="13" s="1"/>
  <c r="F1470" i="13" a="1"/>
  <c r="F1470" i="13" s="1"/>
  <c r="F1497" i="13" s="1"/>
  <c r="F619" i="12"/>
  <c r="F614" i="12"/>
  <c r="N1198" i="13" a="1"/>
  <c r="N1198" i="13" s="1"/>
  <c r="N1225" i="13" s="1"/>
  <c r="N507" i="12"/>
  <c r="N502" i="12"/>
  <c r="K1202" i="13" a="1"/>
  <c r="K1202" i="13" s="1"/>
  <c r="K509" i="12"/>
  <c r="G596" i="12" a="1"/>
  <c r="G596" i="12" s="1"/>
  <c r="G1437" i="13" s="1" a="1"/>
  <c r="G1437" i="13" s="1"/>
  <c r="CJ53" i="9" s="1" a="1"/>
  <c r="CJ53" i="9" s="1"/>
  <c r="J1236" i="13" a="1"/>
  <c r="J1236" i="13" s="1"/>
  <c r="J523" i="12"/>
  <c r="H574" i="12"/>
  <c r="H576" i="12" s="1"/>
  <c r="H1374" i="13" s="1" a="1"/>
  <c r="H1374" i="13" s="1"/>
  <c r="H1373" i="13" a="1"/>
  <c r="H1373" i="13" s="1"/>
  <c r="O493" i="12"/>
  <c r="O488" i="12"/>
  <c r="O1164" i="13" a="1"/>
  <c r="O1164" i="13" s="1"/>
  <c r="O1191" i="13" s="1"/>
  <c r="K519" i="12"/>
  <c r="H591" i="12"/>
  <c r="H586" i="12"/>
  <c r="H1402" i="13" a="1"/>
  <c r="H1402" i="13" s="1"/>
  <c r="H1429" i="13" s="1"/>
  <c r="K1300" i="13" a="1"/>
  <c r="K1300" i="13" s="1"/>
  <c r="K1327" i="13" s="1"/>
  <c r="K544" i="12"/>
  <c r="K549" i="12"/>
  <c r="J546" i="12"/>
  <c r="J548" i="12" s="1"/>
  <c r="J1306" i="13" s="1" a="1"/>
  <c r="J1306" i="13" s="1"/>
  <c r="J1305" i="13" a="1"/>
  <c r="J1305" i="13" s="1"/>
  <c r="N498" i="12" a="1"/>
  <c r="N498" i="12" s="1"/>
  <c r="N1199" i="13" s="1" a="1"/>
  <c r="N1199" i="13" s="1"/>
  <c r="HM46" i="9" s="1" a="1"/>
  <c r="HM46" i="9" s="1"/>
  <c r="J566" i="12" a="1"/>
  <c r="J566" i="12" s="1"/>
  <c r="DZ51" i="9" a="1"/>
  <c r="DZ51" i="9" s="1"/>
  <c r="F610" i="12" a="1"/>
  <c r="F610" i="12" s="1"/>
  <c r="F1471" i="13" s="1" a="1"/>
  <c r="F1471" i="13" s="1"/>
  <c r="BQ54" i="9" s="1" a="1"/>
  <c r="BQ54" i="9" s="1"/>
  <c r="H594" i="12" a="1"/>
  <c r="H594" i="12" s="1"/>
  <c r="CN53" i="9" a="1"/>
  <c r="CN53" i="9" s="1"/>
  <c r="I1270" i="13" a="1"/>
  <c r="I1270" i="13" s="1"/>
  <c r="I537" i="12"/>
  <c r="K532" i="12"/>
  <c r="K534" i="12" s="1"/>
  <c r="K1272" i="13" s="1" a="1"/>
  <c r="K1272" i="13" s="1"/>
  <c r="K1271" i="13" a="1"/>
  <c r="K1271" i="13" s="1"/>
  <c r="E1504" i="13" a="1"/>
  <c r="E1504" i="13" s="1"/>
  <c r="E1531" i="13" s="1"/>
  <c r="E633" i="12"/>
  <c r="E628" i="12"/>
  <c r="L535" i="12"/>
  <c r="L530" i="12"/>
  <c r="L1266" i="13" a="1"/>
  <c r="L1266" i="13" s="1"/>
  <c r="L1293" i="13" s="1"/>
  <c r="F589" i="12"/>
  <c r="BB55" i="9" a="1"/>
  <c r="BB55" i="9" s="1"/>
  <c r="F622" i="12" a="1"/>
  <c r="F622" i="12" s="1"/>
  <c r="BU54" i="9" a="1"/>
  <c r="BU54" i="9" s="1"/>
  <c r="G608" i="12" a="1"/>
  <c r="G608" i="12" s="1"/>
  <c r="E624" i="12" a="1"/>
  <c r="E624" i="12" s="1"/>
  <c r="E1505" i="13" s="1" a="1"/>
  <c r="E1505" i="13" s="1"/>
  <c r="AX55" i="9" s="1" a="1"/>
  <c r="AX55" i="9" s="1"/>
  <c r="HQ46" i="9" a="1"/>
  <c r="HQ46" i="9" s="1"/>
  <c r="O496" i="12" a="1"/>
  <c r="O496" i="12" s="1"/>
  <c r="I577" i="12"/>
  <c r="I572" i="12"/>
  <c r="I1368" i="13" a="1"/>
  <c r="I1368" i="13" s="1"/>
  <c r="I1395" i="13" s="1"/>
  <c r="H561" i="12"/>
  <c r="M491" i="12"/>
  <c r="O463" i="12"/>
  <c r="M1232" i="13" a="1"/>
  <c r="M1232" i="13" s="1"/>
  <c r="M1259" i="13" s="1"/>
  <c r="M521" i="12"/>
  <c r="M516" i="12"/>
  <c r="B1424" i="13"/>
  <c r="B1425" i="13" s="1"/>
  <c r="B1426" i="13" s="1"/>
  <c r="B1427" i="13" s="1"/>
  <c r="B1429" i="13"/>
  <c r="B1430" i="13" s="1"/>
  <c r="B1431" i="13" s="1"/>
  <c r="B1432" i="13" s="1"/>
  <c r="B1462" i="13"/>
  <c r="B1457" i="13"/>
  <c r="B1535" i="13" a="1"/>
  <c r="B1535" i="13" s="1"/>
  <c r="B1536" i="13" s="1"/>
  <c r="B1503" i="13"/>
  <c r="B1504" i="13" s="1"/>
  <c r="B1505" i="13" s="1"/>
  <c r="B1506" i="13"/>
  <c r="B1507" i="13" s="1"/>
  <c r="B1474" i="13"/>
  <c r="B1475" i="13" s="1"/>
  <c r="B1476" i="13" s="1"/>
  <c r="B1477" i="13" s="1"/>
  <c r="B1478" i="13"/>
  <c r="B1479" i="13" s="1"/>
  <c r="B1480" i="13" s="1"/>
  <c r="B1481" i="13" s="1"/>
  <c r="B1482" i="13" s="1"/>
  <c r="B1483" i="13" s="1"/>
  <c r="B1484" i="13" s="1"/>
  <c r="B1485" i="13" s="1"/>
  <c r="B1486" i="13" s="1"/>
  <c r="B1487" i="13" s="1"/>
  <c r="B1488" i="13" s="1"/>
  <c r="B1489" i="13" s="1"/>
  <c r="B1490" i="13" s="1"/>
  <c r="B636" i="12" a="1"/>
  <c r="B636" i="12" s="1"/>
  <c r="R683" i="12"/>
  <c r="R707" i="12"/>
  <c r="R720" i="12"/>
  <c r="R708" i="12"/>
  <c r="R695" i="12"/>
  <c r="R696" i="12"/>
  <c r="D523" i="12" l="1"/>
  <c r="H696" i="12" a="1"/>
  <c r="H696" i="12" s="1"/>
  <c r="O696" i="12" a="1"/>
  <c r="O696" i="12" s="1"/>
  <c r="G696" i="12" a="1"/>
  <c r="G696" i="12" s="1"/>
  <c r="N696" i="12" a="1"/>
  <c r="N696" i="12" s="1"/>
  <c r="F696" i="12" a="1"/>
  <c r="F696" i="12" s="1"/>
  <c r="M696" i="12" a="1"/>
  <c r="M696" i="12" s="1"/>
  <c r="E696" i="12" a="1"/>
  <c r="E696" i="12" s="1"/>
  <c r="L696" i="12" a="1"/>
  <c r="L696" i="12" s="1"/>
  <c r="D696" i="12" a="1"/>
  <c r="D696" i="12" s="1"/>
  <c r="K696" i="12" a="1"/>
  <c r="K696" i="12" s="1"/>
  <c r="J696" i="12" a="1"/>
  <c r="J696" i="12" s="1"/>
  <c r="I696" i="12" a="1"/>
  <c r="I696" i="12" s="1"/>
  <c r="M1676" i="13" a="1"/>
  <c r="M1676" i="13" s="1"/>
  <c r="M1703" i="13" s="1"/>
  <c r="M704" i="12"/>
  <c r="M699" i="12"/>
  <c r="M1681" i="13" s="1" a="1"/>
  <c r="M1681" i="13" s="1"/>
  <c r="I1676" i="13" a="1"/>
  <c r="I1676" i="13" s="1"/>
  <c r="I1703" i="13" s="1"/>
  <c r="I699" i="12"/>
  <c r="I1681" i="13" s="1" a="1"/>
  <c r="I1681" i="13" s="1"/>
  <c r="I704" i="12"/>
  <c r="N1676" i="13" a="1"/>
  <c r="N1676" i="13" s="1"/>
  <c r="N1703" i="13" s="1"/>
  <c r="N704" i="12"/>
  <c r="N699" i="12"/>
  <c r="N1681" i="13" s="1" a="1"/>
  <c r="N1681" i="13" s="1"/>
  <c r="J1676" i="13" a="1"/>
  <c r="J1676" i="13" s="1"/>
  <c r="J1703" i="13" s="1"/>
  <c r="J704" i="12"/>
  <c r="J699" i="12"/>
  <c r="J1681" i="13" s="1" a="1"/>
  <c r="J1681" i="13" s="1"/>
  <c r="G1676" i="13" a="1"/>
  <c r="G1676" i="13" s="1"/>
  <c r="G1703" i="13" s="1"/>
  <c r="G704" i="12"/>
  <c r="G699" i="12"/>
  <c r="G1681" i="13" s="1" a="1"/>
  <c r="G1681" i="13" s="1"/>
  <c r="F1676" i="13" a="1"/>
  <c r="F1676" i="13" s="1"/>
  <c r="F1703" i="13" s="1"/>
  <c r="F699" i="12"/>
  <c r="F1681" i="13" s="1" a="1"/>
  <c r="F1681" i="13" s="1"/>
  <c r="F704" i="12"/>
  <c r="K1676" i="13" a="1"/>
  <c r="K1676" i="13" s="1"/>
  <c r="K1703" i="13" s="1"/>
  <c r="K699" i="12"/>
  <c r="K1681" i="13" s="1" a="1"/>
  <c r="K1681" i="13" s="1"/>
  <c r="K704" i="12"/>
  <c r="O1676" i="13" a="1"/>
  <c r="O1676" i="13" s="1"/>
  <c r="O1703" i="13" s="1"/>
  <c r="O704" i="12"/>
  <c r="O699" i="12"/>
  <c r="O1681" i="13" s="1" a="1"/>
  <c r="O1681" i="13" s="1"/>
  <c r="L695" i="12" a="1"/>
  <c r="L695" i="12" s="1"/>
  <c r="L1677" i="13" s="1" a="1"/>
  <c r="L1677" i="13" s="1"/>
  <c r="D695" i="12" a="1"/>
  <c r="D695" i="12" s="1"/>
  <c r="D1677" i="13" s="1" a="1"/>
  <c r="D1677" i="13" s="1"/>
  <c r="K695" i="12" a="1"/>
  <c r="K695" i="12" s="1"/>
  <c r="K1677" i="13" s="1" a="1"/>
  <c r="K1677" i="13" s="1"/>
  <c r="J695" i="12" a="1"/>
  <c r="J695" i="12" s="1"/>
  <c r="J1677" i="13" s="1" a="1"/>
  <c r="J1677" i="13" s="1"/>
  <c r="I695" i="12" a="1"/>
  <c r="I695" i="12" s="1"/>
  <c r="I1677" i="13" s="1" a="1"/>
  <c r="I1677" i="13" s="1"/>
  <c r="H695" i="12" a="1"/>
  <c r="H695" i="12" s="1"/>
  <c r="H1677" i="13" s="1" a="1"/>
  <c r="H1677" i="13" s="1"/>
  <c r="O695" i="12" a="1"/>
  <c r="O695" i="12" s="1"/>
  <c r="O1677" i="13" s="1" a="1"/>
  <c r="O1677" i="13" s="1"/>
  <c r="G695" i="12" a="1"/>
  <c r="G695" i="12" s="1"/>
  <c r="G1677" i="13" s="1" a="1"/>
  <c r="G1677" i="13" s="1"/>
  <c r="N695" i="12" a="1"/>
  <c r="N695" i="12" s="1"/>
  <c r="N1677" i="13" s="1" a="1"/>
  <c r="N1677" i="13" s="1"/>
  <c r="F695" i="12" a="1"/>
  <c r="F695" i="12" s="1"/>
  <c r="F1677" i="13" s="1" a="1"/>
  <c r="F1677" i="13" s="1"/>
  <c r="E695" i="12" a="1"/>
  <c r="E695" i="12" s="1"/>
  <c r="E1677" i="13" s="1" a="1"/>
  <c r="E1677" i="13" s="1"/>
  <c r="M695" i="12" a="1"/>
  <c r="M695" i="12" s="1"/>
  <c r="M1677" i="13" s="1" a="1"/>
  <c r="M1677" i="13" s="1"/>
  <c r="D1676" i="13" a="1"/>
  <c r="D1676" i="13" s="1"/>
  <c r="D1703" i="13" s="1"/>
  <c r="D699" i="12"/>
  <c r="D1681" i="13" s="1" a="1"/>
  <c r="D1681" i="13" s="1"/>
  <c r="D704" i="12"/>
  <c r="H1676" i="13" a="1"/>
  <c r="H1676" i="13" s="1"/>
  <c r="H1703" i="13" s="1"/>
  <c r="H704" i="12"/>
  <c r="H699" i="12"/>
  <c r="H1681" i="13" s="1" a="1"/>
  <c r="H1681" i="13" s="1"/>
  <c r="H707" i="12" a="1"/>
  <c r="H707" i="12" s="1"/>
  <c r="O707" i="12" a="1"/>
  <c r="O707" i="12" s="1"/>
  <c r="G707" i="12" a="1"/>
  <c r="G707" i="12" s="1"/>
  <c r="N707" i="12" a="1"/>
  <c r="N707" i="12" s="1"/>
  <c r="F707" i="12" a="1"/>
  <c r="F707" i="12" s="1"/>
  <c r="M707" i="12" a="1"/>
  <c r="M707" i="12" s="1"/>
  <c r="E707" i="12" a="1"/>
  <c r="E707" i="12" s="1"/>
  <c r="L707" i="12" a="1"/>
  <c r="L707" i="12" s="1"/>
  <c r="D707" i="12" a="1"/>
  <c r="D707" i="12" s="1"/>
  <c r="K707" i="12" a="1"/>
  <c r="K707" i="12" s="1"/>
  <c r="J707" i="12" a="1"/>
  <c r="J707" i="12" s="1"/>
  <c r="I707" i="12" a="1"/>
  <c r="I707" i="12" s="1"/>
  <c r="L683" i="12" a="1"/>
  <c r="L683" i="12" s="1"/>
  <c r="D683" i="12" a="1"/>
  <c r="D683" i="12" s="1"/>
  <c r="K683" i="12" a="1"/>
  <c r="K683" i="12" s="1"/>
  <c r="J683" i="12" a="1"/>
  <c r="J683" i="12" s="1"/>
  <c r="I683" i="12" a="1"/>
  <c r="I683" i="12" s="1"/>
  <c r="H683" i="12" a="1"/>
  <c r="H683" i="12" s="1"/>
  <c r="O683" i="12" a="1"/>
  <c r="O683" i="12" s="1"/>
  <c r="G683" i="12" a="1"/>
  <c r="G683" i="12" s="1"/>
  <c r="N683" i="12" a="1"/>
  <c r="N683" i="12" s="1"/>
  <c r="F683" i="12" a="1"/>
  <c r="F683" i="12" s="1"/>
  <c r="M683" i="12" a="1"/>
  <c r="M683" i="12" s="1"/>
  <c r="E683" i="12" a="1"/>
  <c r="E683" i="12" s="1"/>
  <c r="L1676" i="13" a="1"/>
  <c r="L1676" i="13" s="1"/>
  <c r="L1703" i="13" s="1"/>
  <c r="L699" i="12"/>
  <c r="L1681" i="13" s="1" a="1"/>
  <c r="L1681" i="13" s="1"/>
  <c r="L704" i="12"/>
  <c r="E704" i="12"/>
  <c r="E1676" i="13" a="1"/>
  <c r="E1676" i="13" s="1"/>
  <c r="E1703" i="13" s="1"/>
  <c r="E699" i="12"/>
  <c r="E1681" i="13" s="1" a="1"/>
  <c r="E1681" i="13" s="1"/>
  <c r="P793" i="10" a="1"/>
  <c r="P793" i="10" s="1"/>
  <c r="E793" i="10" a="1"/>
  <c r="E793" i="10" s="1"/>
  <c r="L793" i="10" a="1"/>
  <c r="L793" i="10" s="1"/>
  <c r="F793" i="10" a="1"/>
  <c r="F793" i="10" s="1"/>
  <c r="N793" i="10" a="1"/>
  <c r="N793" i="10" s="1"/>
  <c r="H793" i="10" a="1"/>
  <c r="H793" i="10" s="1"/>
  <c r="J793" i="10" a="1"/>
  <c r="J793" i="10" s="1"/>
  <c r="D793" i="10" a="1"/>
  <c r="D793" i="10" s="1"/>
  <c r="O793" i="10" a="1"/>
  <c r="O793" i="10" s="1"/>
  <c r="M793" i="10" a="1"/>
  <c r="M793" i="10" s="1"/>
  <c r="K793" i="10" a="1"/>
  <c r="K793" i="10" s="1"/>
  <c r="I793" i="10" a="1"/>
  <c r="I793" i="10" s="1"/>
  <c r="G793" i="10" a="1"/>
  <c r="G793" i="10" s="1"/>
  <c r="AA832" i="10"/>
  <c r="AA833" i="10" s="1"/>
  <c r="AA845" i="10"/>
  <c r="AA820" i="10"/>
  <c r="N819" i="10" a="1"/>
  <c r="N819" i="10" s="1"/>
  <c r="P819" i="10" a="1"/>
  <c r="P819" i="10" s="1"/>
  <c r="J819" i="10" a="1"/>
  <c r="J819" i="10" s="1"/>
  <c r="L819" i="10" a="1"/>
  <c r="L819" i="10" s="1"/>
  <c r="F819" i="10" a="1"/>
  <c r="F819" i="10" s="1"/>
  <c r="E819" i="10" a="1"/>
  <c r="E819" i="10" s="1"/>
  <c r="H819" i="10" a="1"/>
  <c r="H819" i="10" s="1"/>
  <c r="G819" i="10" a="1"/>
  <c r="G819" i="10" s="1"/>
  <c r="D819" i="10" a="1"/>
  <c r="D819" i="10" s="1"/>
  <c r="M819" i="10" a="1"/>
  <c r="M819" i="10" s="1"/>
  <c r="O819" i="10" a="1"/>
  <c r="O819" i="10" s="1"/>
  <c r="I819" i="10" a="1"/>
  <c r="I819" i="10" s="1"/>
  <c r="K819" i="10" a="1"/>
  <c r="K819" i="10" s="1"/>
  <c r="I806" i="10" a="1"/>
  <c r="I806" i="10" s="1"/>
  <c r="D806" i="10" a="1"/>
  <c r="D806" i="10" s="1"/>
  <c r="E806" i="10" a="1"/>
  <c r="E806" i="10" s="1"/>
  <c r="K806" i="10" a="1"/>
  <c r="K806" i="10" s="1"/>
  <c r="G806" i="10" a="1"/>
  <c r="G806" i="10" s="1"/>
  <c r="H806" i="10" a="1"/>
  <c r="H806" i="10" s="1"/>
  <c r="AA807" i="10"/>
  <c r="M806" i="10" a="1"/>
  <c r="M806" i="10" s="1"/>
  <c r="N806" i="10" a="1"/>
  <c r="N806" i="10" s="1"/>
  <c r="O806" i="10" a="1"/>
  <c r="O806" i="10" s="1"/>
  <c r="J806" i="10" a="1"/>
  <c r="J806" i="10" s="1"/>
  <c r="P806" i="10" a="1"/>
  <c r="P806" i="10" s="1"/>
  <c r="F806" i="10" a="1"/>
  <c r="F806" i="10" s="1"/>
  <c r="L806" i="10" a="1"/>
  <c r="L806" i="10" s="1"/>
  <c r="D533" i="12"/>
  <c r="D1305" i="13" a="1"/>
  <c r="D1305" i="13" s="1"/>
  <c r="D546" i="12"/>
  <c r="D548" i="12" s="1"/>
  <c r="D1306" i="13" s="1" a="1"/>
  <c r="D1306" i="13" s="1"/>
  <c r="D563" i="12"/>
  <c r="D1334" i="13" a="1"/>
  <c r="D1334" i="13" s="1"/>
  <c r="D1361" i="13" s="1"/>
  <c r="D558" i="12"/>
  <c r="G521" i="12"/>
  <c r="G516" i="12"/>
  <c r="G1232" i="13" a="1"/>
  <c r="G1232" i="13" s="1"/>
  <c r="G1259" i="13" s="1"/>
  <c r="H1198" i="13" a="1"/>
  <c r="H1198" i="13" s="1"/>
  <c r="H1225" i="13" s="1"/>
  <c r="H507" i="12"/>
  <c r="H502" i="12"/>
  <c r="H490" i="12"/>
  <c r="H492" i="12" s="1"/>
  <c r="H1170" i="13" s="1" a="1"/>
  <c r="H1170" i="13" s="1"/>
  <c r="H1169" i="13" a="1"/>
  <c r="H1169" i="13" s="1"/>
  <c r="HI48" i="9" a="1"/>
  <c r="HI48" i="9" s="1"/>
  <c r="HJ48" i="9" s="1"/>
  <c r="H477" i="12"/>
  <c r="FW50" i="9" a="1"/>
  <c r="FW50" i="9" s="1"/>
  <c r="FX50" i="9" s="1"/>
  <c r="HI49" i="9" a="1"/>
  <c r="HI49" i="9" s="1"/>
  <c r="HJ49" i="9" s="1"/>
  <c r="G524" i="12" a="1"/>
  <c r="G524" i="12" s="1"/>
  <c r="D566" i="12" a="1"/>
  <c r="D566" i="12" s="1"/>
  <c r="J537" i="12"/>
  <c r="E1440" i="13" a="1"/>
  <c r="E1440" i="13" s="1"/>
  <c r="H575" i="12"/>
  <c r="H1372" i="13" s="1" a="1"/>
  <c r="H1372" i="13" s="1"/>
  <c r="G579" i="12"/>
  <c r="I551" i="12"/>
  <c r="L1202" i="13" a="1"/>
  <c r="L1202" i="13" s="1"/>
  <c r="I561" i="12"/>
  <c r="I565" i="12" s="1"/>
  <c r="O477" i="12"/>
  <c r="O1134" i="13" s="1" a="1"/>
  <c r="O1134" i="13" s="1"/>
  <c r="K533" i="12"/>
  <c r="K1270" i="13" s="1" a="1"/>
  <c r="K1270" i="13" s="1"/>
  <c r="F633" i="12"/>
  <c r="F1504" i="13" a="1"/>
  <c r="F1504" i="13" s="1"/>
  <c r="F1531" i="13" s="1"/>
  <c r="F628" i="12"/>
  <c r="I582" i="12" a="1"/>
  <c r="I582" i="12" s="1"/>
  <c r="I1403" i="13" s="1" a="1"/>
  <c r="I1403" i="13" s="1"/>
  <c r="DV52" i="9" s="1" a="1"/>
  <c r="DV52" i="9" s="1"/>
  <c r="D67" i="24" a="1"/>
  <c r="D67" i="24" s="1"/>
  <c r="BB56" i="9" a="1"/>
  <c r="BB56" i="9" s="1"/>
  <c r="F636" i="12" a="1"/>
  <c r="F636" i="12" s="1"/>
  <c r="F624" i="12" a="1"/>
  <c r="F624" i="12" s="1"/>
  <c r="F1505" i="13" s="1" a="1"/>
  <c r="F1505" i="13" s="1"/>
  <c r="BQ55" i="9" s="1" a="1"/>
  <c r="BQ55" i="9" s="1"/>
  <c r="N512" i="12" a="1"/>
  <c r="N512" i="12" s="1"/>
  <c r="N1233" i="13" s="1" a="1"/>
  <c r="N1233" i="13" s="1"/>
  <c r="HM47" i="9" s="1" a="1"/>
  <c r="HM47" i="9" s="1"/>
  <c r="DG53" i="9" a="1"/>
  <c r="DG53" i="9" s="1"/>
  <c r="I594" i="12" a="1"/>
  <c r="I594" i="12" s="1"/>
  <c r="H605" i="12"/>
  <c r="H600" i="12"/>
  <c r="H1436" i="13" a="1"/>
  <c r="H1436" i="13" s="1"/>
  <c r="H1463" i="13" s="1"/>
  <c r="K523" i="12"/>
  <c r="K1236" i="13" a="1"/>
  <c r="K1236" i="13" s="1"/>
  <c r="L544" i="12"/>
  <c r="L549" i="12"/>
  <c r="L1300" i="13" a="1"/>
  <c r="L1300" i="13" s="1"/>
  <c r="L1327" i="13" s="1"/>
  <c r="E617" i="12"/>
  <c r="GX48" i="9" a="1"/>
  <c r="GX48" i="9" s="1"/>
  <c r="N524" i="12" a="1"/>
  <c r="N524" i="12" s="1"/>
  <c r="L552" i="12" a="1"/>
  <c r="L552" i="12" s="1"/>
  <c r="FL50" i="9" a="1"/>
  <c r="FL50" i="9" s="1"/>
  <c r="D652" i="12" a="1"/>
  <c r="D652" i="12" s="1"/>
  <c r="D1573" i="13" s="1" a="1"/>
  <c r="D1573" i="13" s="1"/>
  <c r="AE57" i="9" s="1" a="1"/>
  <c r="AE57" i="9" s="1"/>
  <c r="M518" i="12"/>
  <c r="M520" i="12" s="1"/>
  <c r="M1238" i="13" s="1" a="1"/>
  <c r="M1238" i="13" s="1"/>
  <c r="M1237" i="13" a="1"/>
  <c r="M1237" i="13" s="1"/>
  <c r="O1169" i="13" a="1"/>
  <c r="O1169" i="13" s="1"/>
  <c r="O490" i="12"/>
  <c r="O492" i="12" s="1"/>
  <c r="O1170" i="13" s="1" a="1"/>
  <c r="O1170" i="13" s="1"/>
  <c r="BU55" i="9" a="1"/>
  <c r="BU55" i="9" s="1"/>
  <c r="G622" i="12" a="1"/>
  <c r="G622" i="12" s="1"/>
  <c r="D66" i="24" a="1"/>
  <c r="D66" i="24" s="1"/>
  <c r="J568" i="12" a="1"/>
  <c r="J568" i="12" s="1"/>
  <c r="J1369" i="13" s="1" a="1"/>
  <c r="J1369" i="13" s="1"/>
  <c r="EO51" i="9" s="1" a="1"/>
  <c r="EO51" i="9" s="1"/>
  <c r="K554" i="12" a="1"/>
  <c r="K554" i="12" s="1"/>
  <c r="K1335" i="13" s="1" a="1"/>
  <c r="K1335" i="13" s="1"/>
  <c r="FH50" i="9" s="1" a="1"/>
  <c r="FH50" i="9" s="1"/>
  <c r="AI57" i="9" a="1"/>
  <c r="AI57" i="9" s="1"/>
  <c r="E650" i="12" a="1"/>
  <c r="E650" i="12" s="1"/>
  <c r="O1198" i="13" a="1"/>
  <c r="O1198" i="13" s="1"/>
  <c r="O1225" i="13" s="1"/>
  <c r="O507" i="12"/>
  <c r="O502" i="12"/>
  <c r="F1406" i="13" a="1"/>
  <c r="F1406" i="13" s="1"/>
  <c r="F593" i="12"/>
  <c r="K546" i="12"/>
  <c r="K548" i="12" s="1"/>
  <c r="K1306" i="13" s="1" a="1"/>
  <c r="K1306" i="13" s="1"/>
  <c r="K1305" i="13" a="1"/>
  <c r="K1305" i="13" s="1"/>
  <c r="M526" i="12" a="1"/>
  <c r="M526" i="12" s="1"/>
  <c r="M1267" i="13" s="1" a="1"/>
  <c r="M1267" i="13" s="1"/>
  <c r="GT48" i="9" s="1" a="1"/>
  <c r="GT48" i="9" s="1"/>
  <c r="K566" i="12" a="1"/>
  <c r="K566" i="12" s="1"/>
  <c r="ES51" i="9" a="1"/>
  <c r="ES51" i="9" s="1"/>
  <c r="GE49" i="9" a="1"/>
  <c r="GE49" i="9" s="1"/>
  <c r="M538" i="12" a="1"/>
  <c r="M538" i="12" s="1"/>
  <c r="O498" i="12" a="1"/>
  <c r="O498" i="12" s="1"/>
  <c r="O1199" i="13" s="1" a="1"/>
  <c r="O1199" i="13" s="1"/>
  <c r="IF46" i="9" s="1" a="1"/>
  <c r="IF46" i="9" s="1"/>
  <c r="J572" i="12"/>
  <c r="J1368" i="13" a="1"/>
  <c r="J1368" i="13" s="1"/>
  <c r="J1395" i="13" s="1"/>
  <c r="J577" i="12"/>
  <c r="F1475" i="13" a="1"/>
  <c r="F1475" i="13" s="1"/>
  <c r="F616" i="12"/>
  <c r="F618" i="12" s="1"/>
  <c r="F1476" i="13" s="1" a="1"/>
  <c r="F1476" i="13" s="1"/>
  <c r="I1402" i="13" a="1"/>
  <c r="I1402" i="13" s="1"/>
  <c r="I1429" i="13" s="1"/>
  <c r="I586" i="12"/>
  <c r="I591" i="12"/>
  <c r="E642" i="12"/>
  <c r="E647" i="12"/>
  <c r="E1538" i="13" a="1"/>
  <c r="E1538" i="13" s="1"/>
  <c r="E1565" i="13" s="1"/>
  <c r="I574" i="12"/>
  <c r="I576" i="12" s="1"/>
  <c r="I1374" i="13" s="1" a="1"/>
  <c r="I1374" i="13" s="1"/>
  <c r="I1373" i="13" a="1"/>
  <c r="I1373" i="13" s="1"/>
  <c r="IB54" i="9" a="1"/>
  <c r="IB54" i="9" s="1"/>
  <c r="IC54" i="9" s="1"/>
  <c r="O1100" i="13" a="1"/>
  <c r="O1100" i="13" s="1"/>
  <c r="O467" i="12"/>
  <c r="L532" i="12"/>
  <c r="L534" i="12" s="1"/>
  <c r="L1272" i="13" s="1" a="1"/>
  <c r="L1272" i="13" s="1"/>
  <c r="L1271" i="13" a="1"/>
  <c r="L1271" i="13" s="1"/>
  <c r="N1232" i="13" a="1"/>
  <c r="N1232" i="13" s="1"/>
  <c r="N1259" i="13" s="1"/>
  <c r="N516" i="12"/>
  <c r="N521" i="12"/>
  <c r="DZ52" i="9" a="1"/>
  <c r="DZ52" i="9" s="1"/>
  <c r="J580" i="12" a="1"/>
  <c r="J580" i="12" s="1"/>
  <c r="HQ47" i="9" a="1"/>
  <c r="HQ47" i="9" s="1"/>
  <c r="O510" i="12" a="1"/>
  <c r="O510" i="12" s="1"/>
  <c r="N1203" i="13" a="1"/>
  <c r="N1203" i="13" s="1"/>
  <c r="N504" i="12"/>
  <c r="N506" i="12" s="1"/>
  <c r="N1204" i="13" s="1" a="1"/>
  <c r="N1204" i="13" s="1"/>
  <c r="L540" i="12" a="1"/>
  <c r="L540" i="12" s="1"/>
  <c r="L1301" i="13" s="1" a="1"/>
  <c r="L1301" i="13" s="1"/>
  <c r="GA49" i="9" s="1" a="1"/>
  <c r="GA49" i="9" s="1"/>
  <c r="G610" i="12" a="1"/>
  <c r="G610" i="12" s="1"/>
  <c r="G1471" i="13" s="1" a="1"/>
  <c r="G1471" i="13" s="1"/>
  <c r="CJ54" i="9" s="1" a="1"/>
  <c r="CJ54" i="9" s="1"/>
  <c r="M1168" i="13" a="1"/>
  <c r="M1168" i="13" s="1"/>
  <c r="M495" i="12"/>
  <c r="H588" i="12"/>
  <c r="H590" i="12" s="1"/>
  <c r="H1408" i="13" s="1" a="1"/>
  <c r="H1408" i="13" s="1"/>
  <c r="H1407" i="13" a="1"/>
  <c r="H1407" i="13" s="1"/>
  <c r="M505" i="12"/>
  <c r="G589" i="12"/>
  <c r="K1334" i="13" a="1"/>
  <c r="K1334" i="13" s="1"/>
  <c r="K1361" i="13" s="1"/>
  <c r="K558" i="12"/>
  <c r="K563" i="12"/>
  <c r="J560" i="12"/>
  <c r="J562" i="12" s="1"/>
  <c r="J1340" i="13" s="1" a="1"/>
  <c r="J1340" i="13" s="1"/>
  <c r="J1339" i="13" a="1"/>
  <c r="J1339" i="13" s="1"/>
  <c r="N1134" i="13" a="1"/>
  <c r="N1134" i="13" s="1"/>
  <c r="N481" i="12"/>
  <c r="M535" i="12"/>
  <c r="M1266" i="13" a="1"/>
  <c r="M1266" i="13" s="1"/>
  <c r="M1293" i="13" s="1"/>
  <c r="M530" i="12"/>
  <c r="A664" i="12" a="1"/>
  <c r="A664" i="12" s="1"/>
  <c r="C68" i="28" a="1"/>
  <c r="C68" i="28" s="1"/>
  <c r="A1603" i="13" a="1"/>
  <c r="A1603" i="13" s="1"/>
  <c r="E638" i="12" a="1"/>
  <c r="E638" i="12" s="1"/>
  <c r="E1539" i="13" s="1" a="1"/>
  <c r="E1539" i="13" s="1"/>
  <c r="AX56" i="9" s="1" a="1"/>
  <c r="AX56" i="9" s="1"/>
  <c r="H596" i="12" a="1"/>
  <c r="H596" i="12" s="1"/>
  <c r="H1437" i="13" s="1" a="1"/>
  <c r="H1437" i="13" s="1"/>
  <c r="DC53" i="9" s="1" a="1"/>
  <c r="DC53" i="9" s="1"/>
  <c r="CN54" i="9" a="1"/>
  <c r="CN54" i="9" s="1"/>
  <c r="H608" i="12" a="1"/>
  <c r="H608" i="12" s="1"/>
  <c r="H1338" i="13" a="1"/>
  <c r="H1338" i="13" s="1"/>
  <c r="H565" i="12"/>
  <c r="G1470" i="13" a="1"/>
  <c r="G1470" i="13" s="1"/>
  <c r="G1497" i="13" s="1"/>
  <c r="G614" i="12"/>
  <c r="G619" i="12"/>
  <c r="E1509" i="13" a="1"/>
  <c r="E1509" i="13" s="1"/>
  <c r="E630" i="12"/>
  <c r="E632" i="12" s="1"/>
  <c r="E1510" i="13" s="1" a="1"/>
  <c r="E1510" i="13" s="1"/>
  <c r="J547" i="12"/>
  <c r="F603" i="12"/>
  <c r="L519" i="12"/>
  <c r="N491" i="12"/>
  <c r="BU53" i="9" a="1"/>
  <c r="BU53" i="9" s="1"/>
  <c r="B1491" i="13"/>
  <c r="B1496" i="13"/>
  <c r="B1508" i="13"/>
  <c r="B1509" i="13" s="1"/>
  <c r="B1510" i="13" s="1"/>
  <c r="B1511" i="13" s="1"/>
  <c r="B1512" i="13"/>
  <c r="B1513" i="13" s="1"/>
  <c r="B1514" i="13" s="1"/>
  <c r="B1515" i="13" s="1"/>
  <c r="B1516" i="13" s="1"/>
  <c r="B1517" i="13" s="1"/>
  <c r="B1518" i="13" s="1"/>
  <c r="B1519" i="13" s="1"/>
  <c r="B1520" i="13" s="1"/>
  <c r="B1521" i="13" s="1"/>
  <c r="B1522" i="13" s="1"/>
  <c r="B1523" i="13" s="1"/>
  <c r="B1524" i="13" s="1"/>
  <c r="B1458" i="13"/>
  <c r="B1459" i="13" s="1"/>
  <c r="B1460" i="13" s="1"/>
  <c r="B1461" i="13" s="1"/>
  <c r="B1463" i="13"/>
  <c r="B1464" i="13" s="1"/>
  <c r="B1465" i="13" s="1"/>
  <c r="B1466" i="13" s="1"/>
  <c r="B1569" i="13" a="1"/>
  <c r="B1569" i="13" s="1"/>
  <c r="B1570" i="13" s="1"/>
  <c r="B1537" i="13"/>
  <c r="B1538" i="13" s="1"/>
  <c r="B1539" i="13" s="1"/>
  <c r="B1540" i="13"/>
  <c r="B1541" i="13" s="1"/>
  <c r="B1909" i="13" a="1"/>
  <c r="B1909" i="13" s="1"/>
  <c r="B1910" i="13" s="1"/>
  <c r="B650" i="12" a="1"/>
  <c r="B650" i="12" s="1"/>
  <c r="R709" i="12"/>
  <c r="R697" i="12"/>
  <c r="R734" i="12"/>
  <c r="R722" i="12"/>
  <c r="R721" i="12"/>
  <c r="R710" i="12"/>
  <c r="H579" i="12" l="1"/>
  <c r="B1911" i="13"/>
  <c r="B1912" i="13" s="1"/>
  <c r="B1913" i="13" s="1"/>
  <c r="B1914" i="13"/>
  <c r="B1915" i="13" s="1"/>
  <c r="O1710" i="13" a="1"/>
  <c r="O1710" i="13" s="1"/>
  <c r="O1737" i="13" s="1"/>
  <c r="O718" i="12"/>
  <c r="O713" i="12"/>
  <c r="O1715" i="13" s="1" a="1"/>
  <c r="O1715" i="13" s="1"/>
  <c r="D718" i="12"/>
  <c r="D1710" i="13" a="1"/>
  <c r="D1710" i="13" s="1"/>
  <c r="D1737" i="13" s="1"/>
  <c r="D713" i="12"/>
  <c r="D1715" i="13" s="1" a="1"/>
  <c r="D1715" i="13" s="1"/>
  <c r="H718" i="12"/>
  <c r="H1710" i="13" a="1"/>
  <c r="H1710" i="13" s="1"/>
  <c r="H1737" i="13" s="1"/>
  <c r="H713" i="12"/>
  <c r="H1715" i="13" s="1" a="1"/>
  <c r="H1715" i="13" s="1"/>
  <c r="K1710" i="13" a="1"/>
  <c r="K1710" i="13" s="1"/>
  <c r="K1737" i="13" s="1"/>
  <c r="K713" i="12"/>
  <c r="K1715" i="13" s="1" a="1"/>
  <c r="K1715" i="13" s="1"/>
  <c r="K718" i="12"/>
  <c r="H710" i="12" a="1"/>
  <c r="H710" i="12" s="1"/>
  <c r="O710" i="12" a="1"/>
  <c r="O710" i="12" s="1"/>
  <c r="G710" i="12" a="1"/>
  <c r="G710" i="12" s="1"/>
  <c r="N710" i="12" a="1"/>
  <c r="N710" i="12" s="1"/>
  <c r="F710" i="12" a="1"/>
  <c r="F710" i="12" s="1"/>
  <c r="M710" i="12" a="1"/>
  <c r="M710" i="12" s="1"/>
  <c r="E710" i="12" a="1"/>
  <c r="E710" i="12" s="1"/>
  <c r="L710" i="12" a="1"/>
  <c r="L710" i="12" s="1"/>
  <c r="D710" i="12" a="1"/>
  <c r="D710" i="12" s="1"/>
  <c r="K710" i="12" a="1"/>
  <c r="K710" i="12" s="1"/>
  <c r="J710" i="12" a="1"/>
  <c r="J710" i="12" s="1"/>
  <c r="I710" i="12" a="1"/>
  <c r="I710" i="12" s="1"/>
  <c r="L713" i="12"/>
  <c r="L1715" i="13" s="1" a="1"/>
  <c r="L1715" i="13" s="1"/>
  <c r="L718" i="12"/>
  <c r="L1710" i="13" a="1"/>
  <c r="L1710" i="13" s="1"/>
  <c r="L1737" i="13" s="1"/>
  <c r="E718" i="12"/>
  <c r="E1710" i="13" a="1"/>
  <c r="E1710" i="13" s="1"/>
  <c r="E1737" i="13" s="1"/>
  <c r="E713" i="12"/>
  <c r="E1715" i="13" s="1" a="1"/>
  <c r="E1715" i="13" s="1"/>
  <c r="M718" i="12"/>
  <c r="M1710" i="13" a="1"/>
  <c r="M1710" i="13" s="1"/>
  <c r="M1737" i="13" s="1"/>
  <c r="M713" i="12"/>
  <c r="M1715" i="13" s="1" a="1"/>
  <c r="M1715" i="13" s="1"/>
  <c r="F718" i="12"/>
  <c r="F1710" i="13" a="1"/>
  <c r="F1710" i="13" s="1"/>
  <c r="F1737" i="13" s="1"/>
  <c r="F713" i="12"/>
  <c r="F1715" i="13" s="1" a="1"/>
  <c r="F1715" i="13" s="1"/>
  <c r="H721" i="12" a="1"/>
  <c r="H721" i="12" s="1"/>
  <c r="O721" i="12" a="1"/>
  <c r="O721" i="12" s="1"/>
  <c r="G721" i="12" a="1"/>
  <c r="G721" i="12" s="1"/>
  <c r="N721" i="12" a="1"/>
  <c r="N721" i="12" s="1"/>
  <c r="F721" i="12" a="1"/>
  <c r="F721" i="12" s="1"/>
  <c r="M721" i="12" a="1"/>
  <c r="M721" i="12" s="1"/>
  <c r="E721" i="12" a="1"/>
  <c r="E721" i="12" s="1"/>
  <c r="L721" i="12" a="1"/>
  <c r="L721" i="12" s="1"/>
  <c r="D721" i="12" a="1"/>
  <c r="D721" i="12" s="1"/>
  <c r="K721" i="12" a="1"/>
  <c r="K721" i="12" s="1"/>
  <c r="J721" i="12" a="1"/>
  <c r="J721" i="12" s="1"/>
  <c r="I721" i="12" a="1"/>
  <c r="I721" i="12" s="1"/>
  <c r="L697" i="12" a="1"/>
  <c r="L697" i="12" s="1"/>
  <c r="D697" i="12" a="1"/>
  <c r="D697" i="12" s="1"/>
  <c r="K697" i="12" a="1"/>
  <c r="K697" i="12" s="1"/>
  <c r="J697" i="12" a="1"/>
  <c r="J697" i="12" s="1"/>
  <c r="I697" i="12" a="1"/>
  <c r="I697" i="12" s="1"/>
  <c r="H697" i="12" a="1"/>
  <c r="H697" i="12" s="1"/>
  <c r="O697" i="12" a="1"/>
  <c r="O697" i="12" s="1"/>
  <c r="G697" i="12" a="1"/>
  <c r="G697" i="12" s="1"/>
  <c r="N697" i="12" a="1"/>
  <c r="N697" i="12" s="1"/>
  <c r="F697" i="12" a="1"/>
  <c r="F697" i="12" s="1"/>
  <c r="M697" i="12" a="1"/>
  <c r="M697" i="12" s="1"/>
  <c r="E697" i="12" a="1"/>
  <c r="E697" i="12" s="1"/>
  <c r="H491" i="12"/>
  <c r="H1168" i="13" s="1" a="1"/>
  <c r="H1168" i="13" s="1"/>
  <c r="I718" i="12"/>
  <c r="I713" i="12"/>
  <c r="I1715" i="13" s="1" a="1"/>
  <c r="I1715" i="13" s="1"/>
  <c r="I1710" i="13" a="1"/>
  <c r="I1710" i="13" s="1"/>
  <c r="I1737" i="13" s="1"/>
  <c r="N1710" i="13" a="1"/>
  <c r="N1710" i="13" s="1"/>
  <c r="N1737" i="13" s="1"/>
  <c r="N713" i="12"/>
  <c r="N1715" i="13" s="1" a="1"/>
  <c r="N1715" i="13" s="1"/>
  <c r="N718" i="12"/>
  <c r="L709" i="12" a="1"/>
  <c r="L709" i="12" s="1"/>
  <c r="L1711" i="13" s="1" a="1"/>
  <c r="L1711" i="13" s="1"/>
  <c r="D709" i="12" a="1"/>
  <c r="D709" i="12" s="1"/>
  <c r="D1711" i="13" s="1" a="1"/>
  <c r="D1711" i="13" s="1"/>
  <c r="K709" i="12" a="1"/>
  <c r="K709" i="12" s="1"/>
  <c r="K1711" i="13" s="1" a="1"/>
  <c r="K1711" i="13" s="1"/>
  <c r="J709" i="12" a="1"/>
  <c r="J709" i="12" s="1"/>
  <c r="J1711" i="13" s="1" a="1"/>
  <c r="J1711" i="13" s="1"/>
  <c r="I709" i="12" a="1"/>
  <c r="I709" i="12" s="1"/>
  <c r="I1711" i="13" s="1" a="1"/>
  <c r="I1711" i="13" s="1"/>
  <c r="H709" i="12" a="1"/>
  <c r="H709" i="12" s="1"/>
  <c r="H1711" i="13" s="1" a="1"/>
  <c r="H1711" i="13" s="1"/>
  <c r="O709" i="12" a="1"/>
  <c r="O709" i="12" s="1"/>
  <c r="O1711" i="13" s="1" a="1"/>
  <c r="O1711" i="13" s="1"/>
  <c r="G709" i="12" a="1"/>
  <c r="G709" i="12" s="1"/>
  <c r="G1711" i="13" s="1" a="1"/>
  <c r="G1711" i="13" s="1"/>
  <c r="N709" i="12" a="1"/>
  <c r="N709" i="12" s="1"/>
  <c r="N1711" i="13" s="1" a="1"/>
  <c r="N1711" i="13" s="1"/>
  <c r="F709" i="12" a="1"/>
  <c r="F709" i="12" s="1"/>
  <c r="F1711" i="13" s="1" a="1"/>
  <c r="F1711" i="13" s="1"/>
  <c r="M709" i="12" a="1"/>
  <c r="M709" i="12" s="1"/>
  <c r="M1711" i="13" s="1" a="1"/>
  <c r="M1711" i="13" s="1"/>
  <c r="E709" i="12" a="1"/>
  <c r="E709" i="12" s="1"/>
  <c r="E1711" i="13" s="1" a="1"/>
  <c r="E1711" i="13" s="1"/>
  <c r="J1710" i="13" a="1"/>
  <c r="J1710" i="13" s="1"/>
  <c r="J1737" i="13" s="1"/>
  <c r="J713" i="12"/>
  <c r="J1715" i="13" s="1" a="1"/>
  <c r="J1715" i="13" s="1"/>
  <c r="J718" i="12"/>
  <c r="G1710" i="13" a="1"/>
  <c r="G1710" i="13" s="1"/>
  <c r="G1737" i="13" s="1"/>
  <c r="G718" i="12"/>
  <c r="G713" i="12"/>
  <c r="G1715" i="13" s="1" a="1"/>
  <c r="G1715" i="13" s="1"/>
  <c r="AA859" i="10"/>
  <c r="AA846" i="10"/>
  <c r="AA847" i="10" s="1"/>
  <c r="AA821" i="10"/>
  <c r="F820" i="10" a="1"/>
  <c r="F820" i="10" s="1"/>
  <c r="P820" i="10" a="1"/>
  <c r="P820" i="10" s="1"/>
  <c r="N820" i="10" a="1"/>
  <c r="N820" i="10" s="1"/>
  <c r="L820" i="10" a="1"/>
  <c r="L820" i="10" s="1"/>
  <c r="J820" i="10" a="1"/>
  <c r="J820" i="10" s="1"/>
  <c r="H820" i="10" a="1"/>
  <c r="H820" i="10" s="1"/>
  <c r="D820" i="10" a="1"/>
  <c r="D820" i="10" s="1"/>
  <c r="M820" i="10" a="1"/>
  <c r="M820" i="10" s="1"/>
  <c r="O820" i="10" a="1"/>
  <c r="O820" i="10" s="1"/>
  <c r="G820" i="10" a="1"/>
  <c r="G820" i="10" s="1"/>
  <c r="I820" i="10" a="1"/>
  <c r="I820" i="10" s="1"/>
  <c r="K820" i="10" a="1"/>
  <c r="K820" i="10" s="1"/>
  <c r="E820" i="10" a="1"/>
  <c r="E820" i="10" s="1"/>
  <c r="AA834" i="10"/>
  <c r="G833" i="10" a="1"/>
  <c r="G833" i="10" s="1"/>
  <c r="P833" i="10" a="1"/>
  <c r="P833" i="10" s="1"/>
  <c r="N833" i="10" a="1"/>
  <c r="N833" i="10" s="1"/>
  <c r="L833" i="10" a="1"/>
  <c r="L833" i="10" s="1"/>
  <c r="J833" i="10" a="1"/>
  <c r="J833" i="10" s="1"/>
  <c r="H833" i="10" a="1"/>
  <c r="H833" i="10" s="1"/>
  <c r="F833" i="10" a="1"/>
  <c r="F833" i="10" s="1"/>
  <c r="D833" i="10" a="1"/>
  <c r="D833" i="10" s="1"/>
  <c r="M833" i="10" a="1"/>
  <c r="M833" i="10" s="1"/>
  <c r="O833" i="10" a="1"/>
  <c r="O833" i="10" s="1"/>
  <c r="E833" i="10" a="1"/>
  <c r="E833" i="10" s="1"/>
  <c r="I833" i="10" a="1"/>
  <c r="I833" i="10" s="1"/>
  <c r="K833" i="10" a="1"/>
  <c r="K833" i="10" s="1"/>
  <c r="K807" i="10" a="1"/>
  <c r="K807" i="10" s="1"/>
  <c r="P807" i="10" a="1"/>
  <c r="P807" i="10" s="1"/>
  <c r="F807" i="10" a="1"/>
  <c r="F807" i="10" s="1"/>
  <c r="G807" i="10" a="1"/>
  <c r="G807" i="10" s="1"/>
  <c r="L807" i="10" a="1"/>
  <c r="L807" i="10" s="1"/>
  <c r="N807" i="10" a="1"/>
  <c r="N807" i="10" s="1"/>
  <c r="H807" i="10" a="1"/>
  <c r="H807" i="10" s="1"/>
  <c r="I807" i="10" a="1"/>
  <c r="I807" i="10" s="1"/>
  <c r="O807" i="10" a="1"/>
  <c r="O807" i="10" s="1"/>
  <c r="J807" i="10" a="1"/>
  <c r="J807" i="10" s="1"/>
  <c r="D807" i="10" a="1"/>
  <c r="D807" i="10" s="1"/>
  <c r="M807" i="10" a="1"/>
  <c r="M807" i="10" s="1"/>
  <c r="E807" i="10" a="1"/>
  <c r="E807" i="10" s="1"/>
  <c r="FW51" i="9" a="1"/>
  <c r="FW51" i="9" s="1"/>
  <c r="FX51" i="9" s="1"/>
  <c r="H1203" i="13" a="1"/>
  <c r="H1203" i="13" s="1"/>
  <c r="H504" i="12"/>
  <c r="H506" i="12" s="1"/>
  <c r="H1204" i="13" s="1" a="1"/>
  <c r="H1204" i="13" s="1"/>
  <c r="IB48" i="9" a="1"/>
  <c r="IB48" i="9" s="1"/>
  <c r="IC48" i="9" s="1"/>
  <c r="D547" i="12"/>
  <c r="G1237" i="13" a="1"/>
  <c r="G1237" i="13" s="1"/>
  <c r="G518" i="12"/>
  <c r="G520" i="12" s="1"/>
  <c r="G1238" i="13" s="1" a="1"/>
  <c r="G1238" i="13" s="1"/>
  <c r="D1368" i="13" a="1"/>
  <c r="D1368" i="13" s="1"/>
  <c r="D1395" i="13" s="1"/>
  <c r="D572" i="12"/>
  <c r="D577" i="12"/>
  <c r="GP50" i="9" a="1"/>
  <c r="GP50" i="9" s="1"/>
  <c r="GQ50" i="9" s="1"/>
  <c r="D580" i="12" a="1"/>
  <c r="D580" i="12" s="1"/>
  <c r="D537" i="12"/>
  <c r="D1270" i="13" a="1"/>
  <c r="D1270" i="13" s="1"/>
  <c r="H481" i="12"/>
  <c r="H1134" i="13" a="1"/>
  <c r="H1134" i="13" s="1"/>
  <c r="G530" i="12"/>
  <c r="G535" i="12"/>
  <c r="G1266" i="13" a="1"/>
  <c r="G1266" i="13" s="1"/>
  <c r="G1293" i="13" s="1"/>
  <c r="FW52" i="9" a="1"/>
  <c r="FW52" i="9" s="1"/>
  <c r="FX52" i="9" s="1"/>
  <c r="D1339" i="13" a="1"/>
  <c r="D1339" i="13" s="1"/>
  <c r="D560" i="12"/>
  <c r="D562" i="12" s="1"/>
  <c r="D1340" i="13" s="1" a="1"/>
  <c r="D1340" i="13" s="1"/>
  <c r="I1338" i="13" a="1"/>
  <c r="I1338" i="13" s="1"/>
  <c r="K537" i="12"/>
  <c r="H589" i="12"/>
  <c r="H1406" i="13" s="1" a="1"/>
  <c r="H1406" i="13" s="1"/>
  <c r="F617" i="12"/>
  <c r="F1474" i="13" s="1" a="1"/>
  <c r="F1474" i="13" s="1"/>
  <c r="O491" i="12"/>
  <c r="O1168" i="13" s="1" a="1"/>
  <c r="O1168" i="13" s="1"/>
  <c r="O481" i="12"/>
  <c r="E631" i="12"/>
  <c r="E1508" i="13" s="1" a="1"/>
  <c r="E1508" i="13" s="1"/>
  <c r="N505" i="12"/>
  <c r="N509" i="12" s="1"/>
  <c r="J561" i="12"/>
  <c r="J1338" i="13" s="1" a="1"/>
  <c r="J1338" i="13" s="1"/>
  <c r="HQ48" i="9" a="1"/>
  <c r="HQ48" i="9" s="1"/>
  <c r="O524" i="12" a="1"/>
  <c r="O524" i="12" s="1"/>
  <c r="F638" i="12" a="1"/>
  <c r="F638" i="12" s="1"/>
  <c r="F1539" i="13" s="1" a="1"/>
  <c r="F1539" i="13" s="1"/>
  <c r="BQ56" i="9" s="1" a="1"/>
  <c r="BQ56" i="9" s="1"/>
  <c r="GX49" i="9" a="1"/>
  <c r="GX49" i="9" s="1"/>
  <c r="N538" i="12" a="1"/>
  <c r="N538" i="12" s="1"/>
  <c r="CN55" i="9" a="1"/>
  <c r="CN55" i="9" s="1"/>
  <c r="H622" i="12" a="1"/>
  <c r="H622" i="12" s="1"/>
  <c r="I588" i="12"/>
  <c r="I590" i="12" s="1"/>
  <c r="I1408" i="13" s="1" a="1"/>
  <c r="I1408" i="13" s="1"/>
  <c r="I1407" i="13" a="1"/>
  <c r="I1407" i="13" s="1"/>
  <c r="O1203" i="13" a="1"/>
  <c r="O1203" i="13" s="1"/>
  <c r="O504" i="12"/>
  <c r="O506" i="12" s="1"/>
  <c r="O1204" i="13" s="1" a="1"/>
  <c r="O1204" i="13" s="1"/>
  <c r="L1334" i="13" a="1"/>
  <c r="L1334" i="13" s="1"/>
  <c r="L1361" i="13" s="1"/>
  <c r="L563" i="12"/>
  <c r="L558" i="12"/>
  <c r="N518" i="12"/>
  <c r="N520" i="12" s="1"/>
  <c r="N1238" i="13" s="1" a="1"/>
  <c r="N1238" i="13" s="1"/>
  <c r="N1237" i="13" a="1"/>
  <c r="N1237" i="13" s="1"/>
  <c r="H610" i="12" a="1"/>
  <c r="H610" i="12" s="1"/>
  <c r="H1471" i="13" s="1" a="1"/>
  <c r="H1471" i="13" s="1"/>
  <c r="DC54" i="9" s="1" a="1"/>
  <c r="DC54" i="9" s="1"/>
  <c r="AI58" i="9" a="1"/>
  <c r="AI58" i="9" s="1"/>
  <c r="E664" i="12" a="1"/>
  <c r="E664" i="12" s="1"/>
  <c r="C69" i="28" a="1"/>
  <c r="C69" i="28" s="1"/>
  <c r="A1637" i="13" a="1"/>
  <c r="A1637" i="13" s="1"/>
  <c r="A678" i="12" a="1"/>
  <c r="A678" i="12" s="1"/>
  <c r="ES52" i="9" a="1"/>
  <c r="ES52" i="9" s="1"/>
  <c r="K580" i="12" a="1"/>
  <c r="K580" i="12" s="1"/>
  <c r="DZ53" i="9" a="1"/>
  <c r="DZ53" i="9" s="1"/>
  <c r="J594" i="12" a="1"/>
  <c r="J594" i="12" s="1"/>
  <c r="N526" i="12" a="1"/>
  <c r="N526" i="12" s="1"/>
  <c r="N1267" i="13" s="1" a="1"/>
  <c r="N1267" i="13" s="1"/>
  <c r="HM48" i="9" s="1" a="1"/>
  <c r="HM48" i="9" s="1"/>
  <c r="H614" i="12"/>
  <c r="H1470" i="13" a="1"/>
  <c r="H1470" i="13" s="1"/>
  <c r="H1497" i="13" s="1"/>
  <c r="H619" i="12"/>
  <c r="M519" i="12"/>
  <c r="D666" i="12" a="1"/>
  <c r="D666" i="12" s="1"/>
  <c r="D1607" i="13" s="1" a="1"/>
  <c r="D1607" i="13" s="1"/>
  <c r="AE58" i="9" s="1" a="1"/>
  <c r="AE58" i="9" s="1"/>
  <c r="J582" i="12" a="1"/>
  <c r="J582" i="12" s="1"/>
  <c r="J1403" i="13" s="1" a="1"/>
  <c r="J1403" i="13" s="1"/>
  <c r="EO52" i="9" s="1" a="1"/>
  <c r="EO52" i="9" s="1"/>
  <c r="IB55" i="9" a="1"/>
  <c r="IB55" i="9" s="1"/>
  <c r="IC55" i="9" s="1"/>
  <c r="M532" i="12"/>
  <c r="M534" i="12" s="1"/>
  <c r="M1272" i="13" s="1" a="1"/>
  <c r="M1272" i="13" s="1"/>
  <c r="M1271" i="13" a="1"/>
  <c r="M1271" i="13" s="1"/>
  <c r="K547" i="12"/>
  <c r="E1572" i="13" a="1"/>
  <c r="E1572" i="13" s="1"/>
  <c r="E1599" i="13" s="1"/>
  <c r="E661" i="12"/>
  <c r="E656" i="12"/>
  <c r="G628" i="12"/>
  <c r="G1504" i="13" a="1"/>
  <c r="G1504" i="13" s="1"/>
  <c r="G1531" i="13" s="1"/>
  <c r="G633" i="12"/>
  <c r="J1373" i="13" a="1"/>
  <c r="J1373" i="13" s="1"/>
  <c r="J574" i="12"/>
  <c r="J576" i="12" s="1"/>
  <c r="J1374" i="13" s="1" a="1"/>
  <c r="J1374" i="13" s="1"/>
  <c r="N535" i="12"/>
  <c r="N530" i="12"/>
  <c r="N1266" i="13" a="1"/>
  <c r="N1266" i="13" s="1"/>
  <c r="N1293" i="13" s="1"/>
  <c r="I596" i="12" a="1"/>
  <c r="I596" i="12" s="1"/>
  <c r="I1437" i="13" s="1" a="1"/>
  <c r="I1437" i="13" s="1"/>
  <c r="DV53" i="9" s="1" a="1"/>
  <c r="DV53" i="9" s="1"/>
  <c r="L554" i="12" a="1"/>
  <c r="L554" i="12" s="1"/>
  <c r="L1335" i="13" s="1" a="1"/>
  <c r="L1335" i="13" s="1"/>
  <c r="GA50" i="9" s="1" a="1"/>
  <c r="GA50" i="9" s="1"/>
  <c r="N1168" i="13" a="1"/>
  <c r="N1168" i="13" s="1"/>
  <c r="N495" i="12"/>
  <c r="K1339" i="13" a="1"/>
  <c r="K1339" i="13" s="1"/>
  <c r="K560" i="12"/>
  <c r="K562" i="12" s="1"/>
  <c r="K1340" i="13" s="1" a="1"/>
  <c r="K1340" i="13" s="1"/>
  <c r="O516" i="12"/>
  <c r="O521" i="12"/>
  <c r="O1232" i="13" a="1"/>
  <c r="O1232" i="13" s="1"/>
  <c r="O1259" i="13" s="1"/>
  <c r="E644" i="12"/>
  <c r="E646" i="12" s="1"/>
  <c r="E1544" i="13" s="1" a="1"/>
  <c r="E1544" i="13" s="1"/>
  <c r="E1543" i="13" a="1"/>
  <c r="E1543" i="13" s="1"/>
  <c r="M544" i="12"/>
  <c r="M1300" i="13" a="1"/>
  <c r="M1300" i="13" s="1"/>
  <c r="M1327" i="13" s="1"/>
  <c r="M549" i="12"/>
  <c r="GE50" i="9" a="1"/>
  <c r="GE50" i="9" s="1"/>
  <c r="M552" i="12" a="1"/>
  <c r="M552" i="12" s="1"/>
  <c r="K568" i="12" a="1"/>
  <c r="K568" i="12" s="1"/>
  <c r="K1369" i="13" s="1" a="1"/>
  <c r="K1369" i="13" s="1"/>
  <c r="FH51" i="9" s="1" a="1"/>
  <c r="FH51" i="9" s="1"/>
  <c r="L523" i="12"/>
  <c r="L1236" i="13" a="1"/>
  <c r="L1236" i="13" s="1"/>
  <c r="O495" i="12"/>
  <c r="H1441" i="13" a="1"/>
  <c r="H1441" i="13" s="1"/>
  <c r="H602" i="12"/>
  <c r="H604" i="12" s="1"/>
  <c r="H1442" i="13" s="1" a="1"/>
  <c r="H1442" i="13" s="1"/>
  <c r="F647" i="12"/>
  <c r="F1538" i="13" a="1"/>
  <c r="F1538" i="13" s="1"/>
  <c r="F1565" i="13" s="1"/>
  <c r="F642" i="12"/>
  <c r="F630" i="12"/>
  <c r="F632" i="12" s="1"/>
  <c r="F1510" i="13" s="1" a="1"/>
  <c r="F1510" i="13" s="1"/>
  <c r="F1509" i="13" a="1"/>
  <c r="F1509" i="13" s="1"/>
  <c r="L546" i="12"/>
  <c r="L548" i="12" s="1"/>
  <c r="L1306" i="13" s="1" a="1"/>
  <c r="L1306" i="13" s="1"/>
  <c r="L1305" i="13" a="1"/>
  <c r="L1305" i="13" s="1"/>
  <c r="E652" i="12" a="1"/>
  <c r="E652" i="12" s="1"/>
  <c r="E1573" i="13" s="1" a="1"/>
  <c r="E1573" i="13" s="1"/>
  <c r="AX57" i="9" s="1" a="1"/>
  <c r="AX57" i="9" s="1"/>
  <c r="BB57" i="9" a="1"/>
  <c r="BB57" i="9" s="1"/>
  <c r="F650" i="12" a="1"/>
  <c r="F650" i="12" s="1"/>
  <c r="L566" i="12" a="1"/>
  <c r="L566" i="12" s="1"/>
  <c r="FL51" i="9" a="1"/>
  <c r="FL51" i="9" s="1"/>
  <c r="F1440" i="13" a="1"/>
  <c r="F1440" i="13" s="1"/>
  <c r="F607" i="12"/>
  <c r="G616" i="12"/>
  <c r="G618" i="12" s="1"/>
  <c r="G1476" i="13" s="1" a="1"/>
  <c r="G1476" i="13" s="1"/>
  <c r="G1475" i="13" a="1"/>
  <c r="G1475" i="13" s="1"/>
  <c r="G1406" i="13" a="1"/>
  <c r="G1406" i="13" s="1"/>
  <c r="G593" i="12"/>
  <c r="J586" i="12"/>
  <c r="J591" i="12"/>
  <c r="J1402" i="13" a="1"/>
  <c r="J1402" i="13" s="1"/>
  <c r="J1429" i="13" s="1"/>
  <c r="L533" i="12"/>
  <c r="E621" i="12"/>
  <c r="E1474" i="13" a="1"/>
  <c r="E1474" i="13" s="1"/>
  <c r="J551" i="12"/>
  <c r="J1304" i="13" a="1"/>
  <c r="J1304" i="13" s="1"/>
  <c r="O512" i="12" a="1"/>
  <c r="O512" i="12" s="1"/>
  <c r="O1233" i="13" s="1" a="1"/>
  <c r="O1233" i="13" s="1"/>
  <c r="IF47" i="9" s="1" a="1"/>
  <c r="IF47" i="9" s="1"/>
  <c r="M540" i="12" a="1"/>
  <c r="M540" i="12" s="1"/>
  <c r="M1301" i="13" s="1" a="1"/>
  <c r="M1301" i="13" s="1"/>
  <c r="GT49" i="9" s="1" a="1"/>
  <c r="GT49" i="9" s="1"/>
  <c r="G624" i="12" a="1"/>
  <c r="G624" i="12" s="1"/>
  <c r="G1505" i="13" s="1" a="1"/>
  <c r="G1505" i="13" s="1"/>
  <c r="CJ55" i="9" s="1" a="1"/>
  <c r="CJ55" i="9" s="1"/>
  <c r="M509" i="12"/>
  <c r="M1202" i="13" a="1"/>
  <c r="M1202" i="13" s="1"/>
  <c r="I575" i="12"/>
  <c r="K1368" i="13" a="1"/>
  <c r="K1368" i="13" s="1"/>
  <c r="K1395" i="13" s="1"/>
  <c r="K572" i="12"/>
  <c r="K577" i="12"/>
  <c r="I605" i="12"/>
  <c r="I600" i="12"/>
  <c r="I1436" i="13" a="1"/>
  <c r="I1436" i="13" s="1"/>
  <c r="I1463" i="13" s="1"/>
  <c r="B1603" i="13" a="1"/>
  <c r="B1603" i="13" s="1"/>
  <c r="B1604" i="13" s="1"/>
  <c r="B1542" i="13"/>
  <c r="B1543" i="13" s="1"/>
  <c r="B1544" i="13" s="1"/>
  <c r="B1545" i="13" s="1"/>
  <c r="B1546" i="13"/>
  <c r="B1547" i="13" s="1"/>
  <c r="B1548" i="13" s="1"/>
  <c r="B1549" i="13" s="1"/>
  <c r="B1550" i="13" s="1"/>
  <c r="B1551" i="13" s="1"/>
  <c r="B1552" i="13" s="1"/>
  <c r="B1553" i="13" s="1"/>
  <c r="B1554" i="13" s="1"/>
  <c r="B1555" i="13" s="1"/>
  <c r="B1556" i="13" s="1"/>
  <c r="B1557" i="13" s="1"/>
  <c r="B1558" i="13" s="1"/>
  <c r="B1497" i="13"/>
  <c r="B1498" i="13" s="1"/>
  <c r="B1499" i="13" s="1"/>
  <c r="B1500" i="13" s="1"/>
  <c r="B1492" i="13"/>
  <c r="B1493" i="13" s="1"/>
  <c r="B1494" i="13" s="1"/>
  <c r="B1495" i="13" s="1"/>
  <c r="B1574" i="13"/>
  <c r="B1575" i="13" s="1"/>
  <c r="B1571" i="13"/>
  <c r="B1572" i="13" s="1"/>
  <c r="B1573" i="13" s="1"/>
  <c r="B1525" i="13"/>
  <c r="B1530" i="13"/>
  <c r="B1943" i="13" a="1"/>
  <c r="B1943" i="13" s="1"/>
  <c r="B1944" i="13" s="1"/>
  <c r="B664" i="12" a="1"/>
  <c r="B664" i="12" s="1"/>
  <c r="R723" i="12"/>
  <c r="R724" i="12"/>
  <c r="R748" i="12"/>
  <c r="R735" i="12"/>
  <c r="R736" i="12"/>
  <c r="R711" i="12"/>
  <c r="H495" i="12" l="1"/>
  <c r="B1945" i="13"/>
  <c r="B1946" i="13" s="1"/>
  <c r="B1947" i="13" s="1"/>
  <c r="B1948" i="13"/>
  <c r="B1949" i="13" s="1"/>
  <c r="B1920" i="13"/>
  <c r="B1921" i="13" s="1"/>
  <c r="B1922" i="13" s="1"/>
  <c r="B1923" i="13" s="1"/>
  <c r="B1924" i="13" s="1"/>
  <c r="B1925" i="13" s="1"/>
  <c r="B1926" i="13" s="1"/>
  <c r="B1927" i="13" s="1"/>
  <c r="B1928" i="13" s="1"/>
  <c r="B1929" i="13" s="1"/>
  <c r="B1930" i="13" s="1"/>
  <c r="B1931" i="13" s="1"/>
  <c r="B1932" i="13" s="1"/>
  <c r="B1916" i="13"/>
  <c r="B1917" i="13" s="1"/>
  <c r="B1918" i="13" s="1"/>
  <c r="B1919" i="13" s="1"/>
  <c r="H735" i="12" a="1"/>
  <c r="H735" i="12" s="1"/>
  <c r="O735" i="12" a="1"/>
  <c r="O735" i="12" s="1"/>
  <c r="G735" i="12" a="1"/>
  <c r="G735" i="12" s="1"/>
  <c r="N735" i="12" a="1"/>
  <c r="N735" i="12" s="1"/>
  <c r="F735" i="12" a="1"/>
  <c r="F735" i="12" s="1"/>
  <c r="M735" i="12" a="1"/>
  <c r="M735" i="12" s="1"/>
  <c r="E735" i="12" a="1"/>
  <c r="E735" i="12" s="1"/>
  <c r="L735" i="12" a="1"/>
  <c r="L735" i="12" s="1"/>
  <c r="D735" i="12" a="1"/>
  <c r="D735" i="12" s="1"/>
  <c r="K735" i="12" a="1"/>
  <c r="K735" i="12" s="1"/>
  <c r="J735" i="12" a="1"/>
  <c r="J735" i="12" s="1"/>
  <c r="I735" i="12" a="1"/>
  <c r="I735" i="12" s="1"/>
  <c r="J727" i="12"/>
  <c r="J1749" i="13" s="1" a="1"/>
  <c r="J1749" i="13" s="1"/>
  <c r="J732" i="12"/>
  <c r="J1744" i="13" a="1"/>
  <c r="J1744" i="13" s="1"/>
  <c r="J1771" i="13" s="1"/>
  <c r="G1744" i="13" a="1"/>
  <c r="G1744" i="13" s="1"/>
  <c r="G1771" i="13" s="1"/>
  <c r="G732" i="12"/>
  <c r="G727" i="12"/>
  <c r="G1749" i="13" s="1" a="1"/>
  <c r="G1749" i="13" s="1"/>
  <c r="I1744" i="13" a="1"/>
  <c r="I1744" i="13" s="1"/>
  <c r="I1771" i="13" s="1"/>
  <c r="I732" i="12"/>
  <c r="I727" i="12"/>
  <c r="I1749" i="13" s="1" a="1"/>
  <c r="I1749" i="13" s="1"/>
  <c r="K1744" i="13" a="1"/>
  <c r="K1744" i="13" s="1"/>
  <c r="K1771" i="13" s="1"/>
  <c r="K727" i="12"/>
  <c r="K1749" i="13" s="1" a="1"/>
  <c r="K1749" i="13" s="1"/>
  <c r="K732" i="12"/>
  <c r="O1744" i="13" a="1"/>
  <c r="O1744" i="13" s="1"/>
  <c r="O1771" i="13" s="1"/>
  <c r="O732" i="12"/>
  <c r="O727" i="12"/>
  <c r="O1749" i="13" s="1" a="1"/>
  <c r="O1749" i="13" s="1"/>
  <c r="N1744" i="13" a="1"/>
  <c r="N1744" i="13" s="1"/>
  <c r="N1771" i="13" s="1"/>
  <c r="N727" i="12"/>
  <c r="N1749" i="13" s="1" a="1"/>
  <c r="N1749" i="13" s="1"/>
  <c r="N732" i="12"/>
  <c r="H724" i="12" a="1"/>
  <c r="H724" i="12" s="1"/>
  <c r="O724" i="12" a="1"/>
  <c r="O724" i="12" s="1"/>
  <c r="G724" i="12" a="1"/>
  <c r="G724" i="12" s="1"/>
  <c r="N724" i="12" a="1"/>
  <c r="N724" i="12" s="1"/>
  <c r="F724" i="12" a="1"/>
  <c r="F724" i="12" s="1"/>
  <c r="M724" i="12" a="1"/>
  <c r="M724" i="12" s="1"/>
  <c r="E724" i="12" a="1"/>
  <c r="E724" i="12" s="1"/>
  <c r="L724" i="12" a="1"/>
  <c r="L724" i="12" s="1"/>
  <c r="D724" i="12" a="1"/>
  <c r="D724" i="12" s="1"/>
  <c r="K724" i="12" a="1"/>
  <c r="K724" i="12" s="1"/>
  <c r="J724" i="12" a="1"/>
  <c r="J724" i="12" s="1"/>
  <c r="I724" i="12" a="1"/>
  <c r="I724" i="12" s="1"/>
  <c r="D1744" i="13" a="1"/>
  <c r="D1744" i="13" s="1"/>
  <c r="D1771" i="13" s="1"/>
  <c r="D727" i="12"/>
  <c r="D1749" i="13" s="1" a="1"/>
  <c r="D1749" i="13" s="1"/>
  <c r="D732" i="12"/>
  <c r="H732" i="12"/>
  <c r="H1744" i="13" a="1"/>
  <c r="H1744" i="13" s="1"/>
  <c r="H1771" i="13" s="1"/>
  <c r="H727" i="12"/>
  <c r="H1749" i="13" s="1" a="1"/>
  <c r="H1749" i="13" s="1"/>
  <c r="L727" i="12"/>
  <c r="L1749" i="13" s="1" a="1"/>
  <c r="L1749" i="13" s="1"/>
  <c r="L1744" i="13" a="1"/>
  <c r="L1744" i="13" s="1"/>
  <c r="L1771" i="13" s="1"/>
  <c r="L732" i="12"/>
  <c r="E1744" i="13" a="1"/>
  <c r="E1744" i="13" s="1"/>
  <c r="E1771" i="13" s="1"/>
  <c r="E732" i="12"/>
  <c r="E727" i="12"/>
  <c r="E1749" i="13" s="1" a="1"/>
  <c r="E1749" i="13" s="1"/>
  <c r="L723" i="12" a="1"/>
  <c r="L723" i="12" s="1"/>
  <c r="L1745" i="13" s="1" a="1"/>
  <c r="L1745" i="13" s="1"/>
  <c r="D723" i="12" a="1"/>
  <c r="D723" i="12" s="1"/>
  <c r="D1745" i="13" s="1" a="1"/>
  <c r="D1745" i="13" s="1"/>
  <c r="K723" i="12" a="1"/>
  <c r="K723" i="12" s="1"/>
  <c r="K1745" i="13" s="1" a="1"/>
  <c r="K1745" i="13" s="1"/>
  <c r="J723" i="12" a="1"/>
  <c r="J723" i="12" s="1"/>
  <c r="J1745" i="13" s="1" a="1"/>
  <c r="J1745" i="13" s="1"/>
  <c r="I723" i="12" a="1"/>
  <c r="I723" i="12" s="1"/>
  <c r="I1745" i="13" s="1" a="1"/>
  <c r="I1745" i="13" s="1"/>
  <c r="H723" i="12" a="1"/>
  <c r="H723" i="12" s="1"/>
  <c r="H1745" i="13" s="1" a="1"/>
  <c r="H1745" i="13" s="1"/>
  <c r="O723" i="12" a="1"/>
  <c r="O723" i="12" s="1"/>
  <c r="O1745" i="13" s="1" a="1"/>
  <c r="O1745" i="13" s="1"/>
  <c r="G723" i="12" a="1"/>
  <c r="G723" i="12" s="1"/>
  <c r="G1745" i="13" s="1" a="1"/>
  <c r="G1745" i="13" s="1"/>
  <c r="N723" i="12" a="1"/>
  <c r="N723" i="12" s="1"/>
  <c r="N1745" i="13" s="1" a="1"/>
  <c r="N1745" i="13" s="1"/>
  <c r="F723" i="12" a="1"/>
  <c r="F723" i="12" s="1"/>
  <c r="F1745" i="13" s="1" a="1"/>
  <c r="F1745" i="13" s="1"/>
  <c r="M723" i="12" a="1"/>
  <c r="M723" i="12" s="1"/>
  <c r="M1745" i="13" s="1" a="1"/>
  <c r="M1745" i="13" s="1"/>
  <c r="E723" i="12" a="1"/>
  <c r="E723" i="12" s="1"/>
  <c r="E1745" i="13" s="1" a="1"/>
  <c r="E1745" i="13" s="1"/>
  <c r="M1744" i="13" a="1"/>
  <c r="M1744" i="13" s="1"/>
  <c r="M1771" i="13" s="1"/>
  <c r="M727" i="12"/>
  <c r="M1749" i="13" s="1" a="1"/>
  <c r="M1749" i="13" s="1"/>
  <c r="M732" i="12"/>
  <c r="L711" i="12" a="1"/>
  <c r="L711" i="12" s="1"/>
  <c r="D711" i="12" a="1"/>
  <c r="D711" i="12" s="1"/>
  <c r="K711" i="12" a="1"/>
  <c r="K711" i="12" s="1"/>
  <c r="J711" i="12" a="1"/>
  <c r="J711" i="12" s="1"/>
  <c r="I711" i="12" a="1"/>
  <c r="I711" i="12" s="1"/>
  <c r="H711" i="12" a="1"/>
  <c r="H711" i="12" s="1"/>
  <c r="O711" i="12" a="1"/>
  <c r="O711" i="12" s="1"/>
  <c r="G711" i="12" a="1"/>
  <c r="G711" i="12" s="1"/>
  <c r="N711" i="12" a="1"/>
  <c r="N711" i="12" s="1"/>
  <c r="F711" i="12" a="1"/>
  <c r="F711" i="12" s="1"/>
  <c r="E711" i="12" a="1"/>
  <c r="E711" i="12" s="1"/>
  <c r="M711" i="12" a="1"/>
  <c r="M711" i="12" s="1"/>
  <c r="F1744" i="13" a="1"/>
  <c r="F1744" i="13" s="1"/>
  <c r="F1771" i="13" s="1"/>
  <c r="F727" i="12"/>
  <c r="F1749" i="13" s="1" a="1"/>
  <c r="F1749" i="13" s="1"/>
  <c r="F732" i="12"/>
  <c r="AA860" i="10"/>
  <c r="AA861" i="10" s="1"/>
  <c r="AA873" i="10"/>
  <c r="E847" i="10" a="1"/>
  <c r="E847" i="10" s="1"/>
  <c r="G847" i="10" a="1"/>
  <c r="G847" i="10" s="1"/>
  <c r="AA848" i="10"/>
  <c r="N847" i="10" a="1"/>
  <c r="N847" i="10" s="1"/>
  <c r="I847" i="10" a="1"/>
  <c r="I847" i="10" s="1"/>
  <c r="P847" i="10" a="1"/>
  <c r="P847" i="10" s="1"/>
  <c r="J847" i="10" a="1"/>
  <c r="J847" i="10" s="1"/>
  <c r="L847" i="10" a="1"/>
  <c r="L847" i="10" s="1"/>
  <c r="F847" i="10" a="1"/>
  <c r="F847" i="10" s="1"/>
  <c r="K847" i="10" a="1"/>
  <c r="K847" i="10" s="1"/>
  <c r="H847" i="10" a="1"/>
  <c r="H847" i="10" s="1"/>
  <c r="D847" i="10" a="1"/>
  <c r="D847" i="10" s="1"/>
  <c r="M847" i="10" a="1"/>
  <c r="M847" i="10" s="1"/>
  <c r="O847" i="10" a="1"/>
  <c r="O847" i="10" s="1"/>
  <c r="J821" i="10" a="1"/>
  <c r="J821" i="10" s="1"/>
  <c r="D821" i="10" a="1"/>
  <c r="D821" i="10" s="1"/>
  <c r="F821" i="10" a="1"/>
  <c r="F821" i="10" s="1"/>
  <c r="O821" i="10" a="1"/>
  <c r="O821" i="10" s="1"/>
  <c r="E821" i="10" a="1"/>
  <c r="E821" i="10" s="1"/>
  <c r="N821" i="10" a="1"/>
  <c r="N821" i="10" s="1"/>
  <c r="M821" i="10" a="1"/>
  <c r="M821" i="10" s="1"/>
  <c r="K821" i="10" a="1"/>
  <c r="K821" i="10" s="1"/>
  <c r="I821" i="10" a="1"/>
  <c r="I821" i="10" s="1"/>
  <c r="G821" i="10" a="1"/>
  <c r="G821" i="10" s="1"/>
  <c r="P821" i="10" a="1"/>
  <c r="P821" i="10" s="1"/>
  <c r="L821" i="10" a="1"/>
  <c r="L821" i="10" s="1"/>
  <c r="H821" i="10" a="1"/>
  <c r="H821" i="10" s="1"/>
  <c r="F834" i="10" a="1"/>
  <c r="F834" i="10" s="1"/>
  <c r="H834" i="10" a="1"/>
  <c r="H834" i="10" s="1"/>
  <c r="J834" i="10" a="1"/>
  <c r="J834" i="10" s="1"/>
  <c r="M834" i="10" a="1"/>
  <c r="M834" i="10" s="1"/>
  <c r="D834" i="10" a="1"/>
  <c r="D834" i="10" s="1"/>
  <c r="L834" i="10" a="1"/>
  <c r="L834" i="10" s="1"/>
  <c r="I834" i="10" a="1"/>
  <c r="I834" i="10" s="1"/>
  <c r="O834" i="10" a="1"/>
  <c r="O834" i="10" s="1"/>
  <c r="E834" i="10" a="1"/>
  <c r="E834" i="10" s="1"/>
  <c r="K834" i="10" a="1"/>
  <c r="K834" i="10" s="1"/>
  <c r="AA835" i="10"/>
  <c r="G834" i="10" a="1"/>
  <c r="G834" i="10" s="1"/>
  <c r="N834" i="10" a="1"/>
  <c r="N834" i="10" s="1"/>
  <c r="P834" i="10" a="1"/>
  <c r="P834" i="10" s="1"/>
  <c r="HI50" i="9" a="1"/>
  <c r="HI50" i="9" s="1"/>
  <c r="HJ50" i="9" s="1"/>
  <c r="IB50" i="9" a="1"/>
  <c r="IB50" i="9" s="1"/>
  <c r="IC50" i="9" s="1"/>
  <c r="H538" i="12" a="1"/>
  <c r="H538" i="12" s="1"/>
  <c r="D594" i="12" a="1"/>
  <c r="D594" i="12" s="1"/>
  <c r="H505" i="12"/>
  <c r="G552" i="12" a="1"/>
  <c r="G552" i="12" s="1"/>
  <c r="D561" i="12"/>
  <c r="D591" i="12"/>
  <c r="D586" i="12"/>
  <c r="D1402" i="13" a="1"/>
  <c r="D1402" i="13" s="1"/>
  <c r="D1429" i="13" s="1"/>
  <c r="D1373" i="13" a="1"/>
  <c r="D1373" i="13" s="1"/>
  <c r="D574" i="12"/>
  <c r="D576" i="12" s="1"/>
  <c r="D1374" i="13" s="1" a="1"/>
  <c r="D1374" i="13" s="1"/>
  <c r="G532" i="12"/>
  <c r="G534" i="12" s="1"/>
  <c r="G1272" i="13" s="1" a="1"/>
  <c r="G1272" i="13" s="1"/>
  <c r="G1271" i="13" a="1"/>
  <c r="G1271" i="13" s="1"/>
  <c r="D551" i="12"/>
  <c r="D1304" i="13" a="1"/>
  <c r="D1304" i="13" s="1"/>
  <c r="GP51" i="9" a="1"/>
  <c r="GP51" i="9" s="1"/>
  <c r="GQ51" i="9" s="1"/>
  <c r="G519" i="12"/>
  <c r="GP52" i="9" a="1"/>
  <c r="GP52" i="9" s="1"/>
  <c r="GQ52" i="9" s="1"/>
  <c r="H593" i="12"/>
  <c r="E635" i="12"/>
  <c r="N1202" i="13" a="1"/>
  <c r="N1202" i="13" s="1"/>
  <c r="L547" i="12"/>
  <c r="L551" i="12" s="1"/>
  <c r="F621" i="12"/>
  <c r="J565" i="12"/>
  <c r="O505" i="12"/>
  <c r="O1202" i="13" s="1" a="1"/>
  <c r="O1202" i="13" s="1"/>
  <c r="G617" i="12"/>
  <c r="G1474" i="13" s="1" a="1"/>
  <c r="G1474" i="13" s="1"/>
  <c r="J575" i="12"/>
  <c r="J1372" i="13" s="1" a="1"/>
  <c r="J1372" i="13" s="1"/>
  <c r="N519" i="12"/>
  <c r="N523" i="12" s="1"/>
  <c r="M533" i="12"/>
  <c r="M1270" i="13" s="1" a="1"/>
  <c r="M1270" i="13" s="1"/>
  <c r="O526" i="12" a="1"/>
  <c r="O526" i="12" s="1"/>
  <c r="O1267" i="13" s="1" a="1"/>
  <c r="O1267" i="13" s="1"/>
  <c r="IF48" i="9" s="1" a="1"/>
  <c r="IF48" i="9" s="1"/>
  <c r="M546" i="12"/>
  <c r="M548" i="12" s="1"/>
  <c r="M1306" i="13" s="1" a="1"/>
  <c r="M1306" i="13" s="1"/>
  <c r="M1305" i="13" a="1"/>
  <c r="M1305" i="13" s="1"/>
  <c r="F664" i="12" a="1"/>
  <c r="F664" i="12" s="1"/>
  <c r="BB58" i="9" a="1"/>
  <c r="BB58" i="9" s="1"/>
  <c r="H603" i="12"/>
  <c r="E645" i="12"/>
  <c r="E670" i="12"/>
  <c r="E1606" i="13" a="1"/>
  <c r="E1606" i="13" s="1"/>
  <c r="E1633" i="13" s="1"/>
  <c r="E675" i="12"/>
  <c r="IB56" i="9" a="1"/>
  <c r="IB56" i="9" s="1"/>
  <c r="IC56" i="9" s="1"/>
  <c r="E666" i="12" a="1"/>
  <c r="E666" i="12" s="1"/>
  <c r="E1607" i="13" s="1" a="1"/>
  <c r="E1607" i="13" s="1"/>
  <c r="AX58" i="9" s="1" a="1"/>
  <c r="AX58" i="9" s="1"/>
  <c r="I1441" i="13" a="1"/>
  <c r="I1441" i="13" s="1"/>
  <c r="I602" i="12"/>
  <c r="I604" i="12" s="1"/>
  <c r="I1442" i="13" s="1" a="1"/>
  <c r="I1442" i="13" s="1"/>
  <c r="J588" i="12"/>
  <c r="J590" i="12" s="1"/>
  <c r="J1408" i="13" s="1" a="1"/>
  <c r="J1408" i="13" s="1"/>
  <c r="J1407" i="13" a="1"/>
  <c r="J1407" i="13" s="1"/>
  <c r="K1304" i="13" a="1"/>
  <c r="K1304" i="13" s="1"/>
  <c r="K551" i="12"/>
  <c r="J605" i="12"/>
  <c r="J1436" i="13" a="1"/>
  <c r="J1436" i="13" s="1"/>
  <c r="J1463" i="13" s="1"/>
  <c r="J600" i="12"/>
  <c r="F652" i="12" a="1"/>
  <c r="F652" i="12" s="1"/>
  <c r="F1573" i="13" s="1" a="1"/>
  <c r="F1573" i="13" s="1"/>
  <c r="BQ57" i="9" s="1" a="1"/>
  <c r="BQ57" i="9" s="1"/>
  <c r="L1368" i="13" a="1"/>
  <c r="L1368" i="13" s="1"/>
  <c r="L1395" i="13" s="1"/>
  <c r="L577" i="12"/>
  <c r="L572" i="12"/>
  <c r="F631" i="12"/>
  <c r="I610" i="12" a="1"/>
  <c r="I610" i="12" s="1"/>
  <c r="I1471" i="13" s="1" a="1"/>
  <c r="I1471" i="13" s="1"/>
  <c r="DV54" i="9" s="1" a="1"/>
  <c r="DV54" i="9" s="1"/>
  <c r="J596" i="12" a="1"/>
  <c r="J596" i="12" s="1"/>
  <c r="J1437" i="13" s="1" a="1"/>
  <c r="J1437" i="13" s="1"/>
  <c r="EO53" i="9" s="1" a="1"/>
  <c r="EO53" i="9" s="1"/>
  <c r="F661" i="12"/>
  <c r="F1572" i="13" a="1"/>
  <c r="F1572" i="13" s="1"/>
  <c r="F1599" i="13" s="1"/>
  <c r="F656" i="12"/>
  <c r="M563" i="12"/>
  <c r="M1334" i="13" a="1"/>
  <c r="M1334" i="13" s="1"/>
  <c r="M1361" i="13" s="1"/>
  <c r="M558" i="12"/>
  <c r="N1271" i="13" a="1"/>
  <c r="N1271" i="13" s="1"/>
  <c r="N532" i="12"/>
  <c r="N534" i="12" s="1"/>
  <c r="N1272" i="13" s="1" a="1"/>
  <c r="N1272" i="13" s="1"/>
  <c r="K586" i="12"/>
  <c r="K591" i="12"/>
  <c r="K1402" i="13" a="1"/>
  <c r="K1402" i="13" s="1"/>
  <c r="K1429" i="13" s="1"/>
  <c r="L1339" i="13" a="1"/>
  <c r="L1339" i="13" s="1"/>
  <c r="L560" i="12"/>
  <c r="L562" i="12" s="1"/>
  <c r="L1340" i="13" s="1" a="1"/>
  <c r="L1340" i="13" s="1"/>
  <c r="N540" i="12" a="1"/>
  <c r="N540" i="12" s="1"/>
  <c r="N1301" i="13" s="1" a="1"/>
  <c r="N1301" i="13" s="1"/>
  <c r="HM49" i="9" s="1" a="1"/>
  <c r="HM49" i="9" s="1"/>
  <c r="ES53" i="9" a="1"/>
  <c r="ES53" i="9" s="1"/>
  <c r="K594" i="12" a="1"/>
  <c r="K594" i="12" s="1"/>
  <c r="K1373" i="13" a="1"/>
  <c r="K1373" i="13" s="1"/>
  <c r="K574" i="12"/>
  <c r="K576" i="12" s="1"/>
  <c r="K1374" i="13" s="1" a="1"/>
  <c r="K1374" i="13" s="1"/>
  <c r="H616" i="12"/>
  <c r="H618" i="12" s="1"/>
  <c r="H1476" i="13" s="1" a="1"/>
  <c r="H1476" i="13" s="1"/>
  <c r="H1475" i="13" a="1"/>
  <c r="H1475" i="13" s="1"/>
  <c r="H633" i="12"/>
  <c r="H1504" i="13" a="1"/>
  <c r="H1504" i="13" s="1"/>
  <c r="H1531" i="13" s="1"/>
  <c r="H628" i="12"/>
  <c r="H624" i="12" a="1"/>
  <c r="H624" i="12" s="1"/>
  <c r="H1505" i="13" s="1" a="1"/>
  <c r="H1505" i="13" s="1"/>
  <c r="DC55" i="9" s="1" a="1"/>
  <c r="DC55" i="9" s="1"/>
  <c r="CN56" i="9" a="1"/>
  <c r="CN56" i="9" s="1"/>
  <c r="H636" i="12" a="1"/>
  <c r="H636" i="12" s="1"/>
  <c r="L580" i="12" a="1"/>
  <c r="L580" i="12" s="1"/>
  <c r="FL52" i="9" a="1"/>
  <c r="FL52" i="9" s="1"/>
  <c r="D68" i="24" a="1"/>
  <c r="D68" i="24" s="1"/>
  <c r="I622" i="12" a="1"/>
  <c r="I622" i="12" s="1"/>
  <c r="DG55" i="9" a="1"/>
  <c r="DG55" i="9" s="1"/>
  <c r="HQ49" i="9" a="1"/>
  <c r="HQ49" i="9" s="1"/>
  <c r="O538" i="12" a="1"/>
  <c r="O538" i="12" s="1"/>
  <c r="DZ54" i="9" a="1"/>
  <c r="DZ54" i="9" s="1"/>
  <c r="J608" i="12" a="1"/>
  <c r="J608" i="12" s="1"/>
  <c r="AI59" i="9" a="1"/>
  <c r="AI59" i="9" s="1"/>
  <c r="E678" i="12" a="1"/>
  <c r="E678" i="12" s="1"/>
  <c r="GE51" i="9" a="1"/>
  <c r="GE51" i="9" s="1"/>
  <c r="M566" i="12" a="1"/>
  <c r="M566" i="12" s="1"/>
  <c r="GX50" i="9" a="1"/>
  <c r="GX50" i="9" s="1"/>
  <c r="N552" i="12" a="1"/>
  <c r="N552" i="12" s="1"/>
  <c r="F644" i="12"/>
  <c r="F646" i="12" s="1"/>
  <c r="F1544" i="13" s="1" a="1"/>
  <c r="F1544" i="13" s="1"/>
  <c r="F1543" i="13" a="1"/>
  <c r="F1543" i="13" s="1"/>
  <c r="O518" i="12"/>
  <c r="O520" i="12" s="1"/>
  <c r="O1238" i="13" s="1" a="1"/>
  <c r="O1238" i="13" s="1"/>
  <c r="O1237" i="13" a="1"/>
  <c r="O1237" i="13" s="1"/>
  <c r="G630" i="12"/>
  <c r="G632" i="12" s="1"/>
  <c r="G1510" i="13" s="1" a="1"/>
  <c r="G1510" i="13" s="1"/>
  <c r="G1509" i="13" a="1"/>
  <c r="G1509" i="13" s="1"/>
  <c r="M1236" i="13" a="1"/>
  <c r="M1236" i="13" s="1"/>
  <c r="M523" i="12"/>
  <c r="I589" i="12"/>
  <c r="O535" i="12"/>
  <c r="O530" i="12"/>
  <c r="O1266" i="13" a="1"/>
  <c r="O1266" i="13" s="1"/>
  <c r="O1293" i="13" s="1"/>
  <c r="A692" i="12" a="1"/>
  <c r="A692" i="12" s="1"/>
  <c r="C70" i="28" a="1"/>
  <c r="C70" i="28" s="1"/>
  <c r="A1671" i="13" a="1"/>
  <c r="A1671" i="13" s="1"/>
  <c r="G638" i="12" a="1"/>
  <c r="G638" i="12" s="1"/>
  <c r="G1539" i="13" s="1" a="1"/>
  <c r="G1539" i="13" s="1"/>
  <c r="CJ56" i="9" s="1" a="1"/>
  <c r="CJ56" i="9" s="1"/>
  <c r="K582" i="12" a="1"/>
  <c r="K582" i="12" s="1"/>
  <c r="K1403" i="13" s="1" a="1"/>
  <c r="K1403" i="13" s="1"/>
  <c r="FH52" i="9" s="1" a="1"/>
  <c r="FH52" i="9" s="1"/>
  <c r="D680" i="12" a="1"/>
  <c r="D680" i="12" s="1"/>
  <c r="D1641" i="13" s="1" a="1"/>
  <c r="D1641" i="13" s="1"/>
  <c r="AE59" i="9" s="1" a="1"/>
  <c r="AE59" i="9" s="1"/>
  <c r="L568" i="12" a="1"/>
  <c r="L568" i="12" s="1"/>
  <c r="L1369" i="13" s="1" a="1"/>
  <c r="L1369" i="13" s="1"/>
  <c r="GA51" i="9" s="1" a="1"/>
  <c r="GA51" i="9" s="1"/>
  <c r="M554" i="12" a="1"/>
  <c r="M554" i="12" s="1"/>
  <c r="M1335" i="13" s="1" a="1"/>
  <c r="M1335" i="13" s="1"/>
  <c r="GT50" i="9" s="1" a="1"/>
  <c r="GT50" i="9" s="1"/>
  <c r="I1372" i="13" a="1"/>
  <c r="I1372" i="13" s="1"/>
  <c r="I579" i="12"/>
  <c r="L1270" i="13" a="1"/>
  <c r="L1270" i="13" s="1"/>
  <c r="L537" i="12"/>
  <c r="K561" i="12"/>
  <c r="E658" i="12"/>
  <c r="E660" i="12" s="1"/>
  <c r="E1578" i="13" s="1" a="1"/>
  <c r="E1578" i="13" s="1"/>
  <c r="E1577" i="13" a="1"/>
  <c r="E1577" i="13" s="1"/>
  <c r="N1300" i="13" a="1"/>
  <c r="N1300" i="13" s="1"/>
  <c r="N1327" i="13" s="1"/>
  <c r="N549" i="12"/>
  <c r="N544" i="12"/>
  <c r="B1531" i="13"/>
  <c r="B1532" i="13" s="1"/>
  <c r="B1533" i="13" s="1"/>
  <c r="B1534" i="13" s="1"/>
  <c r="B1526" i="13"/>
  <c r="B1527" i="13" s="1"/>
  <c r="B1528" i="13" s="1"/>
  <c r="B1529" i="13" s="1"/>
  <c r="B1608" i="13"/>
  <c r="B1609" i="13" s="1"/>
  <c r="B1605" i="13"/>
  <c r="B1606" i="13" s="1"/>
  <c r="B1607" i="13" s="1"/>
  <c r="B1637" i="13" a="1"/>
  <c r="B1637" i="13" s="1"/>
  <c r="B1638" i="13" s="1"/>
  <c r="B1580" i="13"/>
  <c r="B1581" i="13" s="1"/>
  <c r="B1582" i="13" s="1"/>
  <c r="B1583" i="13" s="1"/>
  <c r="B1584" i="13" s="1"/>
  <c r="B1585" i="13" s="1"/>
  <c r="B1586" i="13" s="1"/>
  <c r="B1587" i="13" s="1"/>
  <c r="B1588" i="13" s="1"/>
  <c r="B1589" i="13" s="1"/>
  <c r="B1590" i="13" s="1"/>
  <c r="B1591" i="13" s="1"/>
  <c r="B1592" i="13" s="1"/>
  <c r="B1576" i="13"/>
  <c r="B1577" i="13" s="1"/>
  <c r="B1578" i="13" s="1"/>
  <c r="B1579" i="13" s="1"/>
  <c r="B1564" i="13"/>
  <c r="B1559" i="13"/>
  <c r="B1977" i="13" a="1"/>
  <c r="B1977" i="13" s="1"/>
  <c r="B1978" i="13" s="1"/>
  <c r="B678" i="12" a="1"/>
  <c r="B678" i="12" s="1"/>
  <c r="R725" i="12"/>
  <c r="R738" i="12"/>
  <c r="R737" i="12"/>
  <c r="R750" i="12"/>
  <c r="R749" i="12"/>
  <c r="R762" i="12"/>
  <c r="B1982" i="13" l="1"/>
  <c r="B1983" i="13" s="1"/>
  <c r="B1979" i="13"/>
  <c r="B1980" i="13" s="1"/>
  <c r="B1981" i="13" s="1"/>
  <c r="B1938" i="13"/>
  <c r="B1933" i="13"/>
  <c r="B1954" i="13"/>
  <c r="B1955" i="13" s="1"/>
  <c r="B1956" i="13" s="1"/>
  <c r="B1957" i="13" s="1"/>
  <c r="B1958" i="13" s="1"/>
  <c r="B1959" i="13" s="1"/>
  <c r="B1960" i="13" s="1"/>
  <c r="B1961" i="13" s="1"/>
  <c r="B1962" i="13" s="1"/>
  <c r="B1963" i="13" s="1"/>
  <c r="B1964" i="13" s="1"/>
  <c r="B1965" i="13" s="1"/>
  <c r="B1966" i="13" s="1"/>
  <c r="B1950" i="13"/>
  <c r="B1951" i="13" s="1"/>
  <c r="B1952" i="13" s="1"/>
  <c r="B1953" i="13" s="1"/>
  <c r="L737" i="12" a="1"/>
  <c r="L737" i="12" s="1"/>
  <c r="L1779" i="13" s="1" a="1"/>
  <c r="L1779" i="13" s="1"/>
  <c r="D737" i="12" a="1"/>
  <c r="D737" i="12" s="1"/>
  <c r="D1779" i="13" s="1" a="1"/>
  <c r="D1779" i="13" s="1"/>
  <c r="K737" i="12" a="1"/>
  <c r="K737" i="12" s="1"/>
  <c r="K1779" i="13" s="1" a="1"/>
  <c r="K1779" i="13" s="1"/>
  <c r="J737" i="12" a="1"/>
  <c r="J737" i="12" s="1"/>
  <c r="J1779" i="13" s="1" a="1"/>
  <c r="J1779" i="13" s="1"/>
  <c r="I737" i="12" a="1"/>
  <c r="I737" i="12" s="1"/>
  <c r="I1779" i="13" s="1" a="1"/>
  <c r="I1779" i="13" s="1"/>
  <c r="H737" i="12" a="1"/>
  <c r="H737" i="12" s="1"/>
  <c r="H1779" i="13" s="1" a="1"/>
  <c r="H1779" i="13" s="1"/>
  <c r="O737" i="12" a="1"/>
  <c r="O737" i="12" s="1"/>
  <c r="O1779" i="13" s="1" a="1"/>
  <c r="O1779" i="13" s="1"/>
  <c r="G737" i="12" a="1"/>
  <c r="G737" i="12" s="1"/>
  <c r="G1779" i="13" s="1" a="1"/>
  <c r="G1779" i="13" s="1"/>
  <c r="N737" i="12" a="1"/>
  <c r="N737" i="12" s="1"/>
  <c r="N1779" i="13" s="1" a="1"/>
  <c r="N1779" i="13" s="1"/>
  <c r="F737" i="12" a="1"/>
  <c r="F737" i="12" s="1"/>
  <c r="F1779" i="13" s="1" a="1"/>
  <c r="F1779" i="13" s="1"/>
  <c r="M737" i="12" a="1"/>
  <c r="M737" i="12" s="1"/>
  <c r="M1779" i="13" s="1" a="1"/>
  <c r="M1779" i="13" s="1"/>
  <c r="E737" i="12" a="1"/>
  <c r="E737" i="12" s="1"/>
  <c r="E1779" i="13" s="1" a="1"/>
  <c r="E1779" i="13" s="1"/>
  <c r="H738" i="12" a="1"/>
  <c r="H738" i="12" s="1"/>
  <c r="O738" i="12" a="1"/>
  <c r="O738" i="12" s="1"/>
  <c r="G738" i="12" a="1"/>
  <c r="G738" i="12" s="1"/>
  <c r="N738" i="12" a="1"/>
  <c r="N738" i="12" s="1"/>
  <c r="F738" i="12" a="1"/>
  <c r="F738" i="12" s="1"/>
  <c r="M738" i="12" a="1"/>
  <c r="M738" i="12" s="1"/>
  <c r="E738" i="12" a="1"/>
  <c r="E738" i="12" s="1"/>
  <c r="L738" i="12" a="1"/>
  <c r="L738" i="12" s="1"/>
  <c r="D738" i="12" a="1"/>
  <c r="D738" i="12" s="1"/>
  <c r="K738" i="12" a="1"/>
  <c r="K738" i="12" s="1"/>
  <c r="J738" i="12" a="1"/>
  <c r="J738" i="12" s="1"/>
  <c r="I738" i="12" a="1"/>
  <c r="I738" i="12" s="1"/>
  <c r="L1778" i="13" a="1"/>
  <c r="L1778" i="13" s="1"/>
  <c r="L1805" i="13" s="1"/>
  <c r="L746" i="12"/>
  <c r="L741" i="12"/>
  <c r="L1783" i="13" s="1" a="1"/>
  <c r="L1783" i="13" s="1"/>
  <c r="M1778" i="13" a="1"/>
  <c r="M1778" i="13" s="1"/>
  <c r="M1805" i="13" s="1"/>
  <c r="M741" i="12"/>
  <c r="M1783" i="13" s="1" a="1"/>
  <c r="M1783" i="13" s="1"/>
  <c r="M746" i="12"/>
  <c r="F1778" i="13" a="1"/>
  <c r="F1778" i="13" s="1"/>
  <c r="F1805" i="13" s="1"/>
  <c r="F746" i="12"/>
  <c r="F741" i="12"/>
  <c r="F1783" i="13" s="1" a="1"/>
  <c r="F1783" i="13" s="1"/>
  <c r="I741" i="12"/>
  <c r="I1783" i="13" s="1" a="1"/>
  <c r="I1783" i="13" s="1"/>
  <c r="I746" i="12"/>
  <c r="I1778" i="13" a="1"/>
  <c r="I1778" i="13" s="1"/>
  <c r="I1805" i="13" s="1"/>
  <c r="N1778" i="13" a="1"/>
  <c r="N1778" i="13" s="1"/>
  <c r="N1805" i="13" s="1"/>
  <c r="N741" i="12"/>
  <c r="N1783" i="13" s="1" a="1"/>
  <c r="N1783" i="13" s="1"/>
  <c r="N746" i="12"/>
  <c r="L725" i="12" a="1"/>
  <c r="L725" i="12" s="1"/>
  <c r="D725" i="12" a="1"/>
  <c r="D725" i="12" s="1"/>
  <c r="K725" i="12" a="1"/>
  <c r="K725" i="12" s="1"/>
  <c r="J725" i="12" a="1"/>
  <c r="J725" i="12" s="1"/>
  <c r="I725" i="12" a="1"/>
  <c r="I725" i="12" s="1"/>
  <c r="H725" i="12" a="1"/>
  <c r="H725" i="12" s="1"/>
  <c r="O725" i="12" a="1"/>
  <c r="O725" i="12" s="1"/>
  <c r="G725" i="12" a="1"/>
  <c r="G725" i="12" s="1"/>
  <c r="N725" i="12" a="1"/>
  <c r="N725" i="12" s="1"/>
  <c r="F725" i="12" a="1"/>
  <c r="F725" i="12" s="1"/>
  <c r="M725" i="12" a="1"/>
  <c r="M725" i="12" s="1"/>
  <c r="E725" i="12" a="1"/>
  <c r="E725" i="12" s="1"/>
  <c r="E741" i="12"/>
  <c r="E1783" i="13" s="1" a="1"/>
  <c r="E1783" i="13" s="1"/>
  <c r="E1778" i="13" a="1"/>
  <c r="E1778" i="13" s="1"/>
  <c r="E1805" i="13" s="1"/>
  <c r="E746" i="12"/>
  <c r="H749" i="12" a="1"/>
  <c r="H749" i="12" s="1"/>
  <c r="O749" i="12" a="1"/>
  <c r="O749" i="12" s="1"/>
  <c r="G749" i="12" a="1"/>
  <c r="G749" i="12" s="1"/>
  <c r="N749" i="12" a="1"/>
  <c r="N749" i="12" s="1"/>
  <c r="F749" i="12" a="1"/>
  <c r="F749" i="12" s="1"/>
  <c r="M749" i="12" a="1"/>
  <c r="M749" i="12" s="1"/>
  <c r="E749" i="12" a="1"/>
  <c r="E749" i="12" s="1"/>
  <c r="L749" i="12" a="1"/>
  <c r="L749" i="12" s="1"/>
  <c r="D749" i="12" a="1"/>
  <c r="D749" i="12" s="1"/>
  <c r="K749" i="12" a="1"/>
  <c r="K749" i="12" s="1"/>
  <c r="J749" i="12" a="1"/>
  <c r="J749" i="12" s="1"/>
  <c r="I749" i="12" a="1"/>
  <c r="I749" i="12" s="1"/>
  <c r="J1778" i="13" a="1"/>
  <c r="J1778" i="13" s="1"/>
  <c r="J1805" i="13" s="1"/>
  <c r="J746" i="12"/>
  <c r="J741" i="12"/>
  <c r="J1783" i="13" s="1" a="1"/>
  <c r="J1783" i="13" s="1"/>
  <c r="G1778" i="13" a="1"/>
  <c r="G1778" i="13" s="1"/>
  <c r="G1805" i="13" s="1"/>
  <c r="G746" i="12"/>
  <c r="G741" i="12"/>
  <c r="G1783" i="13" s="1" a="1"/>
  <c r="G1783" i="13" s="1"/>
  <c r="L1304" i="13" a="1"/>
  <c r="L1304" i="13" s="1"/>
  <c r="K1778" i="13" a="1"/>
  <c r="K1778" i="13" s="1"/>
  <c r="K1805" i="13" s="1"/>
  <c r="K741" i="12"/>
  <c r="K1783" i="13" s="1" a="1"/>
  <c r="K1783" i="13" s="1"/>
  <c r="K746" i="12"/>
  <c r="O1778" i="13" a="1"/>
  <c r="O1778" i="13" s="1"/>
  <c r="O1805" i="13" s="1"/>
  <c r="O746" i="12"/>
  <c r="O741" i="12"/>
  <c r="O1783" i="13" s="1" a="1"/>
  <c r="O1783" i="13" s="1"/>
  <c r="D741" i="12"/>
  <c r="D1783" i="13" s="1" a="1"/>
  <c r="D1783" i="13" s="1"/>
  <c r="D746" i="12"/>
  <c r="D1778" i="13" a="1"/>
  <c r="D1778" i="13" s="1"/>
  <c r="D1805" i="13" s="1"/>
  <c r="H1778" i="13" a="1"/>
  <c r="H1778" i="13" s="1"/>
  <c r="H1805" i="13" s="1"/>
  <c r="H741" i="12"/>
  <c r="H1783" i="13" s="1" a="1"/>
  <c r="H1783" i="13" s="1"/>
  <c r="H746" i="12"/>
  <c r="I861" i="10" a="1"/>
  <c r="I861" i="10" s="1"/>
  <c r="D861" i="10" a="1"/>
  <c r="D861" i="10" s="1"/>
  <c r="E861" i="10" a="1"/>
  <c r="E861" i="10" s="1"/>
  <c r="K861" i="10" a="1"/>
  <c r="K861" i="10" s="1"/>
  <c r="H861" i="10" a="1"/>
  <c r="H861" i="10" s="1"/>
  <c r="O861" i="10" a="1"/>
  <c r="O861" i="10" s="1"/>
  <c r="AA862" i="10"/>
  <c r="N861" i="10" a="1"/>
  <c r="N861" i="10" s="1"/>
  <c r="G861" i="10" a="1"/>
  <c r="G861" i="10" s="1"/>
  <c r="M861" i="10" a="1"/>
  <c r="M861" i="10" s="1"/>
  <c r="J861" i="10" a="1"/>
  <c r="J861" i="10" s="1"/>
  <c r="P861" i="10" a="1"/>
  <c r="P861" i="10" s="1"/>
  <c r="F861" i="10" a="1"/>
  <c r="F861" i="10" s="1"/>
  <c r="L861" i="10" a="1"/>
  <c r="L861" i="10" s="1"/>
  <c r="I835" i="10" a="1"/>
  <c r="I835" i="10" s="1"/>
  <c r="M835" i="10" a="1"/>
  <c r="M835" i="10" s="1"/>
  <c r="O835" i="10" a="1"/>
  <c r="O835" i="10" s="1"/>
  <c r="E835" i="10" a="1"/>
  <c r="E835" i="10" s="1"/>
  <c r="K835" i="10" a="1"/>
  <c r="K835" i="10" s="1"/>
  <c r="P835" i="10" a="1"/>
  <c r="P835" i="10" s="1"/>
  <c r="N835" i="10" a="1"/>
  <c r="N835" i="10" s="1"/>
  <c r="G835" i="10" a="1"/>
  <c r="G835" i="10" s="1"/>
  <c r="L835" i="10" a="1"/>
  <c r="L835" i="10" s="1"/>
  <c r="H835" i="10" a="1"/>
  <c r="H835" i="10" s="1"/>
  <c r="J835" i="10" a="1"/>
  <c r="J835" i="10" s="1"/>
  <c r="D835" i="10" a="1"/>
  <c r="D835" i="10" s="1"/>
  <c r="F835" i="10" a="1"/>
  <c r="F835" i="10" s="1"/>
  <c r="M848" i="10" a="1"/>
  <c r="M848" i="10" s="1"/>
  <c r="O848" i="10" a="1"/>
  <c r="O848" i="10" s="1"/>
  <c r="I848" i="10" a="1"/>
  <c r="I848" i="10" s="1"/>
  <c r="K848" i="10" a="1"/>
  <c r="K848" i="10" s="1"/>
  <c r="P848" i="10" a="1"/>
  <c r="P848" i="10" s="1"/>
  <c r="E848" i="10" a="1"/>
  <c r="E848" i="10" s="1"/>
  <c r="G848" i="10" a="1"/>
  <c r="G848" i="10" s="1"/>
  <c r="AA849" i="10"/>
  <c r="N848" i="10" a="1"/>
  <c r="N848" i="10" s="1"/>
  <c r="J848" i="10" a="1"/>
  <c r="J848" i="10" s="1"/>
  <c r="L848" i="10" a="1"/>
  <c r="L848" i="10" s="1"/>
  <c r="F848" i="10" a="1"/>
  <c r="F848" i="10" s="1"/>
  <c r="H848" i="10" a="1"/>
  <c r="H848" i="10" s="1"/>
  <c r="D848" i="10" a="1"/>
  <c r="D848" i="10" s="1"/>
  <c r="AA887" i="10"/>
  <c r="AA874" i="10"/>
  <c r="AA875" i="10" s="1"/>
  <c r="G533" i="12"/>
  <c r="G1270" i="13" s="1" a="1"/>
  <c r="G1270" i="13" s="1"/>
  <c r="D588" i="12"/>
  <c r="D590" i="12" s="1"/>
  <c r="D1408" i="13" s="1" a="1"/>
  <c r="D1408" i="13" s="1"/>
  <c r="D1407" i="13" a="1"/>
  <c r="D1407" i="13" s="1"/>
  <c r="FW54" i="9" a="1"/>
  <c r="FW54" i="9" s="1"/>
  <c r="FX54" i="9" s="1"/>
  <c r="HI51" i="9" a="1"/>
  <c r="HI51" i="9" s="1"/>
  <c r="HJ51" i="9" s="1"/>
  <c r="IB51" i="9" a="1"/>
  <c r="IB51" i="9" s="1"/>
  <c r="IC51" i="9" s="1"/>
  <c r="D1436" i="13" a="1"/>
  <c r="D1436" i="13" s="1"/>
  <c r="D1463" i="13" s="1"/>
  <c r="D600" i="12"/>
  <c r="D605" i="12"/>
  <c r="D1338" i="13" a="1"/>
  <c r="D1338" i="13" s="1"/>
  <c r="D565" i="12"/>
  <c r="HI52" i="9" a="1"/>
  <c r="HI52" i="9" s="1"/>
  <c r="HJ52" i="9" s="1"/>
  <c r="G1334" i="13" a="1"/>
  <c r="G1334" i="13" s="1"/>
  <c r="G1361" i="13" s="1"/>
  <c r="G563" i="12"/>
  <c r="G558" i="12"/>
  <c r="FW53" i="9" a="1"/>
  <c r="FW53" i="9" s="1"/>
  <c r="FX53" i="9" s="1"/>
  <c r="D575" i="12"/>
  <c r="H1202" i="13" a="1"/>
  <c r="H1202" i="13" s="1"/>
  <c r="H509" i="12"/>
  <c r="H1300" i="13" a="1"/>
  <c r="H1300" i="13" s="1"/>
  <c r="H1327" i="13" s="1"/>
  <c r="H544" i="12"/>
  <c r="H549" i="12"/>
  <c r="G523" i="12"/>
  <c r="G1236" i="13" a="1"/>
  <c r="G1236" i="13" s="1"/>
  <c r="D608" i="12" a="1"/>
  <c r="D608" i="12" s="1"/>
  <c r="G621" i="12"/>
  <c r="O509" i="12"/>
  <c r="J579" i="12"/>
  <c r="N1236" i="13" a="1"/>
  <c r="N1236" i="13" s="1"/>
  <c r="J589" i="12"/>
  <c r="J1406" i="13" s="1" a="1"/>
  <c r="J1406" i="13" s="1"/>
  <c r="M537" i="12"/>
  <c r="E659" i="12"/>
  <c r="E663" i="12" s="1"/>
  <c r="O519" i="12"/>
  <c r="O1236" i="13" s="1" a="1"/>
  <c r="O1236" i="13" s="1"/>
  <c r="M547" i="12"/>
  <c r="M1304" i="13" s="1" a="1"/>
  <c r="M1304" i="13" s="1"/>
  <c r="H617" i="12"/>
  <c r="H1474" i="13" s="1" a="1"/>
  <c r="H1474" i="13" s="1"/>
  <c r="K596" i="12" a="1"/>
  <c r="K596" i="12" s="1"/>
  <c r="K1437" i="13" s="1" a="1"/>
  <c r="K1437" i="13" s="1"/>
  <c r="FH53" i="9" s="1" a="1"/>
  <c r="FH53" i="9" s="1"/>
  <c r="GX51" i="9" a="1"/>
  <c r="GX51" i="9" s="1"/>
  <c r="N566" i="12" a="1"/>
  <c r="N566" i="12" s="1"/>
  <c r="D694" i="12" a="1"/>
  <c r="D694" i="12" s="1"/>
  <c r="D1675" i="13" s="1" a="1"/>
  <c r="D1675" i="13" s="1"/>
  <c r="AE60" i="9" s="1" a="1"/>
  <c r="AE60" i="9" s="1"/>
  <c r="O1271" i="13" a="1"/>
  <c r="O1271" i="13" s="1"/>
  <c r="O532" i="12"/>
  <c r="O534" i="12" s="1"/>
  <c r="O1272" i="13" s="1" a="1"/>
  <c r="O1272" i="13" s="1"/>
  <c r="N558" i="12"/>
  <c r="N1334" i="13" a="1"/>
  <c r="N1334" i="13" s="1"/>
  <c r="N1361" i="13" s="1"/>
  <c r="N563" i="12"/>
  <c r="O549" i="12"/>
  <c r="O544" i="12"/>
  <c r="O1300" i="13" a="1"/>
  <c r="O1300" i="13" s="1"/>
  <c r="O1327" i="13" s="1"/>
  <c r="H642" i="12"/>
  <c r="H1538" i="13" a="1"/>
  <c r="H1538" i="13" s="1"/>
  <c r="H1565" i="13" s="1"/>
  <c r="H647" i="12"/>
  <c r="J602" i="12"/>
  <c r="J604" i="12" s="1"/>
  <c r="J1442" i="13" s="1" a="1"/>
  <c r="J1442" i="13" s="1"/>
  <c r="J1441" i="13" a="1"/>
  <c r="J1441" i="13" s="1"/>
  <c r="HQ50" i="9" a="1"/>
  <c r="HQ50" i="9" s="1"/>
  <c r="O552" i="12" a="1"/>
  <c r="O552" i="12" s="1"/>
  <c r="K608" i="12" a="1"/>
  <c r="K608" i="12" s="1"/>
  <c r="ES54" i="9" a="1"/>
  <c r="ES54" i="9" s="1"/>
  <c r="AI60" i="9" a="1"/>
  <c r="AI60" i="9" s="1"/>
  <c r="E692" i="12" a="1"/>
  <c r="E692" i="12" s="1"/>
  <c r="K1436" i="13" a="1"/>
  <c r="K1436" i="13" s="1"/>
  <c r="K1463" i="13" s="1"/>
  <c r="K600" i="12"/>
  <c r="K605" i="12"/>
  <c r="F1577" i="13" a="1"/>
  <c r="F1577" i="13" s="1"/>
  <c r="F658" i="12"/>
  <c r="F660" i="12" s="1"/>
  <c r="F1578" i="13" s="1" a="1"/>
  <c r="F1578" i="13" s="1"/>
  <c r="E1611" i="13" a="1"/>
  <c r="E1611" i="13" s="1"/>
  <c r="E672" i="12"/>
  <c r="E674" i="12" s="1"/>
  <c r="E1612" i="13" s="1" a="1"/>
  <c r="E1612" i="13" s="1"/>
  <c r="I1406" i="13" a="1"/>
  <c r="I1406" i="13" s="1"/>
  <c r="I593" i="12"/>
  <c r="M572" i="12"/>
  <c r="M1368" i="13" a="1"/>
  <c r="M1368" i="13" s="1"/>
  <c r="M1395" i="13" s="1"/>
  <c r="M577" i="12"/>
  <c r="K1407" i="13" a="1"/>
  <c r="K1407" i="13" s="1"/>
  <c r="K588" i="12"/>
  <c r="K590" i="12" s="1"/>
  <c r="K1408" i="13" s="1" a="1"/>
  <c r="K1408" i="13" s="1"/>
  <c r="J610" i="12" a="1"/>
  <c r="J610" i="12" s="1"/>
  <c r="J1471" i="13" s="1" a="1"/>
  <c r="J1471" i="13" s="1"/>
  <c r="EO54" i="9" s="1" a="1"/>
  <c r="EO54" i="9" s="1"/>
  <c r="A1705" i="13" a="1"/>
  <c r="A1705" i="13" s="1"/>
  <c r="A706" i="12" a="1"/>
  <c r="A706" i="12" s="1"/>
  <c r="C71" i="28" a="1"/>
  <c r="C71" i="28" s="1"/>
  <c r="H638" i="12" a="1"/>
  <c r="H638" i="12" s="1"/>
  <c r="H1539" i="13" s="1" a="1"/>
  <c r="H1539" i="13" s="1"/>
  <c r="DC56" i="9" s="1" a="1"/>
  <c r="DC56" i="9" s="1"/>
  <c r="I628" i="12"/>
  <c r="I633" i="12"/>
  <c r="I1504" i="13" a="1"/>
  <c r="I1504" i="13" s="1"/>
  <c r="I1531" i="13" s="1"/>
  <c r="N533" i="12"/>
  <c r="E1542" i="13" a="1"/>
  <c r="E1542" i="13" s="1"/>
  <c r="E649" i="12"/>
  <c r="I624" i="12" a="1"/>
  <c r="I624" i="12" s="1"/>
  <c r="I1505" i="13" s="1" a="1"/>
  <c r="I1505" i="13" s="1"/>
  <c r="DV55" i="9" s="1" a="1"/>
  <c r="DV55" i="9" s="1"/>
  <c r="IB57" i="9" a="1"/>
  <c r="IB57" i="9" s="1"/>
  <c r="IC57" i="9" s="1"/>
  <c r="L591" i="12"/>
  <c r="L586" i="12"/>
  <c r="L1402" i="13" a="1"/>
  <c r="L1402" i="13" s="1"/>
  <c r="L1429" i="13" s="1"/>
  <c r="O540" i="12" a="1"/>
  <c r="O540" i="12" s="1"/>
  <c r="O1301" i="13" s="1" a="1"/>
  <c r="O1301" i="13" s="1"/>
  <c r="IF49" i="9" s="1" a="1"/>
  <c r="IF49" i="9" s="1"/>
  <c r="E680" i="12" a="1"/>
  <c r="E680" i="12" s="1"/>
  <c r="E1641" i="13" s="1" a="1"/>
  <c r="E1641" i="13" s="1"/>
  <c r="AX59" i="9" s="1" a="1"/>
  <c r="AX59" i="9" s="1"/>
  <c r="DG56" i="9" a="1"/>
  <c r="DG56" i="9" s="1"/>
  <c r="I636" i="12" a="1"/>
  <c r="I636" i="12" s="1"/>
  <c r="E689" i="12"/>
  <c r="E1640" i="13" a="1"/>
  <c r="E1640" i="13" s="1"/>
  <c r="E1667" i="13" s="1"/>
  <c r="E684" i="12"/>
  <c r="H630" i="12"/>
  <c r="H632" i="12" s="1"/>
  <c r="H1510" i="13" s="1" a="1"/>
  <c r="H1510" i="13" s="1"/>
  <c r="H1509" i="13" a="1"/>
  <c r="H1509" i="13" s="1"/>
  <c r="F1508" i="13" a="1"/>
  <c r="F1508" i="13" s="1"/>
  <c r="F635" i="12"/>
  <c r="H1440" i="13" a="1"/>
  <c r="H1440" i="13" s="1"/>
  <c r="H607" i="12"/>
  <c r="N1305" i="13" a="1"/>
  <c r="N1305" i="13" s="1"/>
  <c r="N546" i="12"/>
  <c r="N548" i="12" s="1"/>
  <c r="N1306" i="13" s="1" a="1"/>
  <c r="N1306" i="13" s="1"/>
  <c r="N554" i="12" a="1"/>
  <c r="N554" i="12" s="1"/>
  <c r="N1335" i="13" s="1" a="1"/>
  <c r="N1335" i="13" s="1"/>
  <c r="HM50" i="9" s="1" a="1"/>
  <c r="HM50" i="9" s="1"/>
  <c r="D69" i="24" a="1"/>
  <c r="D69" i="24" s="1"/>
  <c r="L582" i="12" a="1"/>
  <c r="L582" i="12" s="1"/>
  <c r="L1403" i="13" s="1" a="1"/>
  <c r="L1403" i="13" s="1"/>
  <c r="GA52" i="9" s="1" a="1"/>
  <c r="GA52" i="9" s="1"/>
  <c r="BB59" i="9" a="1"/>
  <c r="BB59" i="9" s="1"/>
  <c r="F678" i="12" a="1"/>
  <c r="F678" i="12" s="1"/>
  <c r="G652" i="12" a="1"/>
  <c r="G652" i="12" s="1"/>
  <c r="G1573" i="13" s="1" a="1"/>
  <c r="G1573" i="13" s="1"/>
  <c r="CJ57" i="9" s="1" a="1"/>
  <c r="CJ57" i="9" s="1"/>
  <c r="K565" i="12"/>
  <c r="K1338" i="13" a="1"/>
  <c r="K1338" i="13" s="1"/>
  <c r="G631" i="12"/>
  <c r="F645" i="12"/>
  <c r="L561" i="12"/>
  <c r="L1373" i="13" a="1"/>
  <c r="L1373" i="13" s="1"/>
  <c r="L574" i="12"/>
  <c r="L576" i="12" s="1"/>
  <c r="L1374" i="13" s="1" a="1"/>
  <c r="L1374" i="13" s="1"/>
  <c r="M568" i="12" a="1"/>
  <c r="M568" i="12" s="1"/>
  <c r="M1369" i="13" s="1" a="1"/>
  <c r="M1369" i="13" s="1"/>
  <c r="GT51" i="9" s="1" a="1"/>
  <c r="GT51" i="9" s="1"/>
  <c r="M580" i="12" a="1"/>
  <c r="M580" i="12" s="1"/>
  <c r="GE52" i="9" a="1"/>
  <c r="GE52" i="9" s="1"/>
  <c r="DZ55" i="9" a="1"/>
  <c r="DZ55" i="9" s="1"/>
  <c r="J622" i="12" a="1"/>
  <c r="J622" i="12" s="1"/>
  <c r="FL53" i="9" a="1"/>
  <c r="FL53" i="9" s="1"/>
  <c r="L594" i="12" a="1"/>
  <c r="L594" i="12" s="1"/>
  <c r="H650" i="12" a="1"/>
  <c r="H650" i="12" s="1"/>
  <c r="CN57" i="9" a="1"/>
  <c r="CN57" i="9" s="1"/>
  <c r="F666" i="12" a="1"/>
  <c r="F666" i="12" s="1"/>
  <c r="F1607" i="13" s="1" a="1"/>
  <c r="F1607" i="13" s="1"/>
  <c r="BQ58" i="9" s="1" a="1"/>
  <c r="BQ58" i="9" s="1"/>
  <c r="J1470" i="13" a="1"/>
  <c r="J1470" i="13" s="1"/>
  <c r="J1497" i="13" s="1"/>
  <c r="J619" i="12"/>
  <c r="J614" i="12"/>
  <c r="K575" i="12"/>
  <c r="M1339" i="13" a="1"/>
  <c r="M1339" i="13" s="1"/>
  <c r="M560" i="12"/>
  <c r="M562" i="12" s="1"/>
  <c r="M1340" i="13" s="1" a="1"/>
  <c r="M1340" i="13" s="1"/>
  <c r="I603" i="12"/>
  <c r="F1606" i="13" a="1"/>
  <c r="F1606" i="13" s="1"/>
  <c r="F1633" i="13" s="1"/>
  <c r="F675" i="12"/>
  <c r="F670" i="12"/>
  <c r="BU56" i="9" a="1"/>
  <c r="BU56" i="9" s="1"/>
  <c r="DG54" i="9" a="1"/>
  <c r="DG54" i="9" s="1"/>
  <c r="B1671" i="13" a="1"/>
  <c r="B1671" i="13" s="1"/>
  <c r="B1672" i="13" s="1"/>
  <c r="B1598" i="13"/>
  <c r="B1593" i="13"/>
  <c r="B1610" i="13"/>
  <c r="B1611" i="13" s="1"/>
  <c r="B1612" i="13" s="1"/>
  <c r="B1613" i="13" s="1"/>
  <c r="B1614" i="13"/>
  <c r="B1615" i="13" s="1"/>
  <c r="B1616" i="13" s="1"/>
  <c r="B1617" i="13" s="1"/>
  <c r="B1618" i="13" s="1"/>
  <c r="B1619" i="13" s="1"/>
  <c r="B1620" i="13" s="1"/>
  <c r="B1621" i="13" s="1"/>
  <c r="B1622" i="13" s="1"/>
  <c r="B1623" i="13" s="1"/>
  <c r="B1624" i="13" s="1"/>
  <c r="B1625" i="13" s="1"/>
  <c r="B1626" i="13" s="1"/>
  <c r="B1565" i="13"/>
  <c r="B1566" i="13" s="1"/>
  <c r="B1567" i="13" s="1"/>
  <c r="B1568" i="13" s="1"/>
  <c r="B1560" i="13"/>
  <c r="B1561" i="13" s="1"/>
  <c r="B1562" i="13" s="1"/>
  <c r="B1563" i="13" s="1"/>
  <c r="B1639" i="13"/>
  <c r="B1640" i="13" s="1"/>
  <c r="B1641" i="13" s="1"/>
  <c r="B1642" i="13"/>
  <c r="B1643" i="13" s="1"/>
  <c r="B2011" i="13" a="1"/>
  <c r="B2011" i="13" s="1"/>
  <c r="B2012" i="13" s="1"/>
  <c r="B692" i="12" a="1"/>
  <c r="B692" i="12" s="1"/>
  <c r="R752" i="12"/>
  <c r="R776" i="12"/>
  <c r="R790" i="12" s="1"/>
  <c r="R764" i="12"/>
  <c r="R763" i="12"/>
  <c r="R739" i="12"/>
  <c r="R751" i="12"/>
  <c r="B2013" i="13" l="1"/>
  <c r="B2014" i="13" s="1"/>
  <c r="B2015" i="13" s="1"/>
  <c r="B2016" i="13"/>
  <c r="B2017" i="13" s="1"/>
  <c r="D589" i="12"/>
  <c r="D593" i="12" s="1"/>
  <c r="B1967" i="13"/>
  <c r="B1972" i="13"/>
  <c r="B1939" i="13"/>
  <c r="B1940" i="13" s="1"/>
  <c r="B1941" i="13" s="1"/>
  <c r="B1942" i="13" s="1"/>
  <c r="B1934" i="13"/>
  <c r="B1935" i="13" s="1"/>
  <c r="B1936" i="13" s="1"/>
  <c r="B1937" i="13" s="1"/>
  <c r="B1984" i="13"/>
  <c r="B1985" i="13" s="1"/>
  <c r="B1986" i="13" s="1"/>
  <c r="B1987" i="13" s="1"/>
  <c r="B1988" i="13"/>
  <c r="B1989" i="13" s="1"/>
  <c r="B1990" i="13" s="1"/>
  <c r="B1991" i="13" s="1"/>
  <c r="B1992" i="13" s="1"/>
  <c r="B1993" i="13" s="1"/>
  <c r="B1994" i="13" s="1"/>
  <c r="B1995" i="13" s="1"/>
  <c r="B1996" i="13" s="1"/>
  <c r="B1997" i="13" s="1"/>
  <c r="B1998" i="13" s="1"/>
  <c r="B1999" i="13" s="1"/>
  <c r="B2000" i="13" s="1"/>
  <c r="R792" i="12"/>
  <c r="R791" i="12"/>
  <c r="B790" i="12" a="1"/>
  <c r="B790" i="12" s="1"/>
  <c r="R804" i="12"/>
  <c r="L751" i="12" a="1"/>
  <c r="L751" i="12" s="1"/>
  <c r="L1813" i="13" s="1" a="1"/>
  <c r="L1813" i="13" s="1"/>
  <c r="D751" i="12" a="1"/>
  <c r="D751" i="12" s="1"/>
  <c r="D1813" i="13" s="1" a="1"/>
  <c r="D1813" i="13" s="1"/>
  <c r="K751" i="12" a="1"/>
  <c r="K751" i="12" s="1"/>
  <c r="K1813" i="13" s="1" a="1"/>
  <c r="K1813" i="13" s="1"/>
  <c r="J751" i="12" a="1"/>
  <c r="J751" i="12" s="1"/>
  <c r="J1813" i="13" s="1" a="1"/>
  <c r="J1813" i="13" s="1"/>
  <c r="I751" i="12" a="1"/>
  <c r="I751" i="12" s="1"/>
  <c r="I1813" i="13" s="1" a="1"/>
  <c r="I1813" i="13" s="1"/>
  <c r="H751" i="12" a="1"/>
  <c r="H751" i="12" s="1"/>
  <c r="H1813" i="13" s="1" a="1"/>
  <c r="H1813" i="13" s="1"/>
  <c r="O751" i="12" a="1"/>
  <c r="O751" i="12" s="1"/>
  <c r="O1813" i="13" s="1" a="1"/>
  <c r="O1813" i="13" s="1"/>
  <c r="G751" i="12" a="1"/>
  <c r="G751" i="12" s="1"/>
  <c r="G1813" i="13" s="1" a="1"/>
  <c r="G1813" i="13" s="1"/>
  <c r="N751" i="12" a="1"/>
  <c r="N751" i="12" s="1"/>
  <c r="N1813" i="13" s="1" a="1"/>
  <c r="N1813" i="13" s="1"/>
  <c r="F751" i="12" a="1"/>
  <c r="F751" i="12" s="1"/>
  <c r="F1813" i="13" s="1" a="1"/>
  <c r="F1813" i="13" s="1"/>
  <c r="E751" i="12" a="1"/>
  <c r="E751" i="12" s="1"/>
  <c r="E1813" i="13" s="1" a="1"/>
  <c r="E1813" i="13" s="1"/>
  <c r="M751" i="12" a="1"/>
  <c r="M751" i="12" s="1"/>
  <c r="M1813" i="13" s="1" a="1"/>
  <c r="M1813" i="13" s="1"/>
  <c r="K1812" i="13" a="1"/>
  <c r="K1812" i="13" s="1"/>
  <c r="K1839" i="13" s="1"/>
  <c r="K755" i="12"/>
  <c r="K1817" i="13" s="1" a="1"/>
  <c r="K1817" i="13" s="1"/>
  <c r="K760" i="12"/>
  <c r="O1812" i="13" a="1"/>
  <c r="O1812" i="13" s="1"/>
  <c r="O1839" i="13" s="1"/>
  <c r="O760" i="12"/>
  <c r="O755" i="12"/>
  <c r="O1817" i="13" s="1" a="1"/>
  <c r="O1817" i="13" s="1"/>
  <c r="D1812" i="13" a="1"/>
  <c r="D1812" i="13" s="1"/>
  <c r="D1839" i="13" s="1"/>
  <c r="D755" i="12"/>
  <c r="D1817" i="13" s="1" a="1"/>
  <c r="D1817" i="13" s="1"/>
  <c r="D760" i="12"/>
  <c r="H763" i="12" a="1"/>
  <c r="H763" i="12" s="1"/>
  <c r="O763" i="12" a="1"/>
  <c r="O763" i="12" s="1"/>
  <c r="G763" i="12" a="1"/>
  <c r="G763" i="12" s="1"/>
  <c r="N763" i="12" a="1"/>
  <c r="N763" i="12" s="1"/>
  <c r="F763" i="12" a="1"/>
  <c r="F763" i="12" s="1"/>
  <c r="M763" i="12" a="1"/>
  <c r="M763" i="12" s="1"/>
  <c r="E763" i="12" a="1"/>
  <c r="E763" i="12" s="1"/>
  <c r="L763" i="12" a="1"/>
  <c r="L763" i="12" s="1"/>
  <c r="D763" i="12" a="1"/>
  <c r="D763" i="12" s="1"/>
  <c r="K763" i="12" a="1"/>
  <c r="K763" i="12" s="1"/>
  <c r="J763" i="12" a="1"/>
  <c r="J763" i="12" s="1"/>
  <c r="I763" i="12" a="1"/>
  <c r="I763" i="12" s="1"/>
  <c r="L1812" i="13" a="1"/>
  <c r="L1812" i="13" s="1"/>
  <c r="L1839" i="13" s="1"/>
  <c r="L760" i="12"/>
  <c r="L755" i="12"/>
  <c r="L1817" i="13" s="1" a="1"/>
  <c r="L1817" i="13" s="1"/>
  <c r="E1812" i="13" a="1"/>
  <c r="E1812" i="13" s="1"/>
  <c r="E1839" i="13" s="1"/>
  <c r="E755" i="12"/>
  <c r="E1817" i="13" s="1" a="1"/>
  <c r="E1817" i="13" s="1"/>
  <c r="E760" i="12"/>
  <c r="L739" i="12" a="1"/>
  <c r="L739" i="12" s="1"/>
  <c r="D739" i="12" a="1"/>
  <c r="D739" i="12" s="1"/>
  <c r="K739" i="12" a="1"/>
  <c r="K739" i="12" s="1"/>
  <c r="J739" i="12" a="1"/>
  <c r="J739" i="12" s="1"/>
  <c r="I739" i="12" a="1"/>
  <c r="I739" i="12" s="1"/>
  <c r="H739" i="12" a="1"/>
  <c r="H739" i="12" s="1"/>
  <c r="O739" i="12" a="1"/>
  <c r="O739" i="12" s="1"/>
  <c r="G739" i="12" a="1"/>
  <c r="G739" i="12" s="1"/>
  <c r="N739" i="12" a="1"/>
  <c r="N739" i="12" s="1"/>
  <c r="F739" i="12" a="1"/>
  <c r="F739" i="12" s="1"/>
  <c r="M739" i="12" a="1"/>
  <c r="M739" i="12" s="1"/>
  <c r="E739" i="12" a="1"/>
  <c r="E739" i="12" s="1"/>
  <c r="M1812" i="13" a="1"/>
  <c r="M1812" i="13" s="1"/>
  <c r="M1839" i="13" s="1"/>
  <c r="M755" i="12"/>
  <c r="M1817" i="13" s="1" a="1"/>
  <c r="M1817" i="13" s="1"/>
  <c r="M760" i="12"/>
  <c r="H752" i="12" a="1"/>
  <c r="H752" i="12" s="1"/>
  <c r="O752" i="12" a="1"/>
  <c r="O752" i="12" s="1"/>
  <c r="G752" i="12" a="1"/>
  <c r="G752" i="12" s="1"/>
  <c r="N752" i="12" a="1"/>
  <c r="N752" i="12" s="1"/>
  <c r="F752" i="12" a="1"/>
  <c r="F752" i="12" s="1"/>
  <c r="M752" i="12" a="1"/>
  <c r="M752" i="12" s="1"/>
  <c r="E752" i="12" a="1"/>
  <c r="E752" i="12" s="1"/>
  <c r="L752" i="12" a="1"/>
  <c r="L752" i="12" s="1"/>
  <c r="D752" i="12" a="1"/>
  <c r="D752" i="12" s="1"/>
  <c r="K752" i="12" a="1"/>
  <c r="K752" i="12" s="1"/>
  <c r="J752" i="12" a="1"/>
  <c r="J752" i="12" s="1"/>
  <c r="I752" i="12" a="1"/>
  <c r="I752" i="12" s="1"/>
  <c r="G537" i="12"/>
  <c r="F760" i="12"/>
  <c r="F755" i="12"/>
  <c r="F1817" i="13" s="1" a="1"/>
  <c r="F1817" i="13" s="1"/>
  <c r="F1812" i="13" a="1"/>
  <c r="F1812" i="13" s="1"/>
  <c r="F1839" i="13" s="1"/>
  <c r="I1812" i="13" a="1"/>
  <c r="I1812" i="13" s="1"/>
  <c r="I1839" i="13" s="1"/>
  <c r="I760" i="12"/>
  <c r="I755" i="12"/>
  <c r="I1817" i="13" s="1" a="1"/>
  <c r="I1817" i="13" s="1"/>
  <c r="N760" i="12"/>
  <c r="N1812" i="13" a="1"/>
  <c r="N1812" i="13" s="1"/>
  <c r="N1839" i="13" s="1"/>
  <c r="N755" i="12"/>
  <c r="N1817" i="13" s="1" a="1"/>
  <c r="N1817" i="13" s="1"/>
  <c r="H1812" i="13" a="1"/>
  <c r="H1812" i="13" s="1"/>
  <c r="H1839" i="13" s="1"/>
  <c r="H755" i="12"/>
  <c r="H1817" i="13" s="1" a="1"/>
  <c r="H1817" i="13" s="1"/>
  <c r="H760" i="12"/>
  <c r="J755" i="12"/>
  <c r="J1817" i="13" s="1" a="1"/>
  <c r="J1817" i="13" s="1"/>
  <c r="J1812" i="13" a="1"/>
  <c r="J1812" i="13" s="1"/>
  <c r="J1839" i="13" s="1"/>
  <c r="J760" i="12"/>
  <c r="G760" i="12"/>
  <c r="G1812" i="13" a="1"/>
  <c r="G1812" i="13" s="1"/>
  <c r="G1839" i="13" s="1"/>
  <c r="G755" i="12"/>
  <c r="G1817" i="13" s="1" a="1"/>
  <c r="G1817" i="13" s="1"/>
  <c r="I875" i="10" a="1"/>
  <c r="I875" i="10" s="1"/>
  <c r="K875" i="10" a="1"/>
  <c r="K875" i="10" s="1"/>
  <c r="E875" i="10" a="1"/>
  <c r="E875" i="10" s="1"/>
  <c r="G875" i="10" a="1"/>
  <c r="G875" i="10" s="1"/>
  <c r="M875" i="10" a="1"/>
  <c r="M875" i="10" s="1"/>
  <c r="AA876" i="10"/>
  <c r="N875" i="10" a="1"/>
  <c r="N875" i="10" s="1"/>
  <c r="P875" i="10" a="1"/>
  <c r="P875" i="10" s="1"/>
  <c r="J875" i="10" a="1"/>
  <c r="J875" i="10" s="1"/>
  <c r="L875" i="10" a="1"/>
  <c r="L875" i="10" s="1"/>
  <c r="F875" i="10" a="1"/>
  <c r="F875" i="10" s="1"/>
  <c r="O875" i="10" a="1"/>
  <c r="O875" i="10" s="1"/>
  <c r="H875" i="10" a="1"/>
  <c r="H875" i="10" s="1"/>
  <c r="D875" i="10" a="1"/>
  <c r="D875" i="10" s="1"/>
  <c r="L849" i="10" a="1"/>
  <c r="L849" i="10" s="1"/>
  <c r="N849" i="10" a="1"/>
  <c r="N849" i="10" s="1"/>
  <c r="H849" i="10" a="1"/>
  <c r="H849" i="10" s="1"/>
  <c r="J849" i="10" a="1"/>
  <c r="J849" i="10" s="1"/>
  <c r="D849" i="10" a="1"/>
  <c r="D849" i="10" s="1"/>
  <c r="F849" i="10" a="1"/>
  <c r="F849" i="10" s="1"/>
  <c r="K849" i="10" a="1"/>
  <c r="K849" i="10" s="1"/>
  <c r="M849" i="10" a="1"/>
  <c r="M849" i="10" s="1"/>
  <c r="G849" i="10" a="1"/>
  <c r="G849" i="10" s="1"/>
  <c r="I849" i="10" a="1"/>
  <c r="I849" i="10" s="1"/>
  <c r="O849" i="10" a="1"/>
  <c r="O849" i="10" s="1"/>
  <c r="E849" i="10" a="1"/>
  <c r="E849" i="10" s="1"/>
  <c r="P849" i="10" a="1"/>
  <c r="P849" i="10" s="1"/>
  <c r="AA888" i="10"/>
  <c r="AA889" i="10" s="1"/>
  <c r="AA901" i="10"/>
  <c r="E862" i="10" a="1"/>
  <c r="E862" i="10" s="1"/>
  <c r="G862" i="10" a="1"/>
  <c r="G862" i="10" s="1"/>
  <c r="K862" i="10" a="1"/>
  <c r="K862" i="10" s="1"/>
  <c r="AA863" i="10"/>
  <c r="J862" i="10" a="1"/>
  <c r="J862" i="10" s="1"/>
  <c r="P862" i="10" a="1"/>
  <c r="P862" i="10" s="1"/>
  <c r="N862" i="10" a="1"/>
  <c r="N862" i="10" s="1"/>
  <c r="L862" i="10" a="1"/>
  <c r="L862" i="10" s="1"/>
  <c r="H862" i="10" a="1"/>
  <c r="H862" i="10" s="1"/>
  <c r="F862" i="10" a="1"/>
  <c r="F862" i="10" s="1"/>
  <c r="D862" i="10" a="1"/>
  <c r="D862" i="10" s="1"/>
  <c r="M862" i="10" a="1"/>
  <c r="M862" i="10" s="1"/>
  <c r="O862" i="10" a="1"/>
  <c r="O862" i="10" s="1"/>
  <c r="I862" i="10" a="1"/>
  <c r="I862" i="10" s="1"/>
  <c r="GP53" i="9" a="1"/>
  <c r="GP53" i="9" s="1"/>
  <c r="GQ53" i="9" s="1"/>
  <c r="GP54" i="9" a="1"/>
  <c r="GP54" i="9" s="1"/>
  <c r="GQ54" i="9" s="1"/>
  <c r="H1305" i="13" a="1"/>
  <c r="H1305" i="13" s="1"/>
  <c r="H546" i="12"/>
  <c r="H548" i="12" s="1"/>
  <c r="H1306" i="13" s="1" a="1"/>
  <c r="H1306" i="13" s="1"/>
  <c r="D602" i="12"/>
  <c r="D604" i="12" s="1"/>
  <c r="D1442" i="13" s="1" a="1"/>
  <c r="D1442" i="13" s="1"/>
  <c r="D1441" i="13" a="1"/>
  <c r="D1441" i="13" s="1"/>
  <c r="D1470" i="13" a="1"/>
  <c r="D1470" i="13" s="1"/>
  <c r="D1497" i="13" s="1"/>
  <c r="D614" i="12"/>
  <c r="D619" i="12"/>
  <c r="G1339" i="13" a="1"/>
  <c r="G1339" i="13" s="1"/>
  <c r="G560" i="12"/>
  <c r="G562" i="12" s="1"/>
  <c r="G1340" i="13" s="1" a="1"/>
  <c r="G1340" i="13" s="1"/>
  <c r="D622" i="12" a="1"/>
  <c r="D622" i="12" s="1"/>
  <c r="H621" i="12"/>
  <c r="D1372" i="13" a="1"/>
  <c r="D1372" i="13" s="1"/>
  <c r="D579" i="12"/>
  <c r="E1576" i="13" a="1"/>
  <c r="E1576" i="13" s="1"/>
  <c r="M551" i="12"/>
  <c r="J593" i="12"/>
  <c r="L575" i="12"/>
  <c r="L579" i="12" s="1"/>
  <c r="O523" i="12"/>
  <c r="H631" i="12"/>
  <c r="H1508" i="13" s="1" a="1"/>
  <c r="H1508" i="13" s="1"/>
  <c r="HQ51" i="9" a="1"/>
  <c r="HQ51" i="9" s="1"/>
  <c r="O566" i="12" a="1"/>
  <c r="O566" i="12" s="1"/>
  <c r="N580" i="12" a="1"/>
  <c r="N580" i="12" s="1"/>
  <c r="GX52" i="9" a="1"/>
  <c r="GX52" i="9" s="1"/>
  <c r="D708" i="12" a="1"/>
  <c r="D708" i="12" s="1"/>
  <c r="D1709" i="13" s="1" a="1"/>
  <c r="D1709" i="13" s="1"/>
  <c r="AE61" i="9" s="1" a="1"/>
  <c r="AE61" i="9" s="1"/>
  <c r="C72" i="28" a="1"/>
  <c r="C72" i="28" s="1"/>
  <c r="A1739" i="13" a="1"/>
  <c r="A1739" i="13" s="1"/>
  <c r="A720" i="12" a="1"/>
  <c r="A720" i="12" s="1"/>
  <c r="K579" i="12"/>
  <c r="K1372" i="13" a="1"/>
  <c r="K1372" i="13" s="1"/>
  <c r="L600" i="12"/>
  <c r="L605" i="12"/>
  <c r="L1436" i="13" a="1"/>
  <c r="L1436" i="13" s="1"/>
  <c r="L1463" i="13" s="1"/>
  <c r="K619" i="12"/>
  <c r="K1470" i="13" a="1"/>
  <c r="K1470" i="13" s="1"/>
  <c r="K1497" i="13" s="1"/>
  <c r="K614" i="12"/>
  <c r="J603" i="12"/>
  <c r="N568" i="12" a="1"/>
  <c r="N568" i="12" s="1"/>
  <c r="N1369" i="13" s="1" a="1"/>
  <c r="N1369" i="13" s="1"/>
  <c r="HM51" i="9" s="1" a="1"/>
  <c r="HM51" i="9" s="1"/>
  <c r="L596" i="12" a="1"/>
  <c r="L596" i="12" s="1"/>
  <c r="L1437" i="13" s="1" a="1"/>
  <c r="L1437" i="13" s="1"/>
  <c r="GA53" i="9" s="1" a="1"/>
  <c r="GA53" i="9" s="1"/>
  <c r="F1611" i="13" a="1"/>
  <c r="F1611" i="13" s="1"/>
  <c r="F672" i="12"/>
  <c r="F674" i="12" s="1"/>
  <c r="F1612" i="13" s="1" a="1"/>
  <c r="F1612" i="13" s="1"/>
  <c r="J616" i="12"/>
  <c r="J618" i="12" s="1"/>
  <c r="J1476" i="13" s="1" a="1"/>
  <c r="J1476" i="13" s="1"/>
  <c r="J1475" i="13" a="1"/>
  <c r="J1475" i="13" s="1"/>
  <c r="E686" i="12"/>
  <c r="E688" i="12" s="1"/>
  <c r="E1646" i="13" s="1" a="1"/>
  <c r="E1646" i="13" s="1"/>
  <c r="E1645" i="13" a="1"/>
  <c r="E1645" i="13" s="1"/>
  <c r="K602" i="12"/>
  <c r="K604" i="12" s="1"/>
  <c r="K1442" i="13" s="1" a="1"/>
  <c r="K1442" i="13" s="1"/>
  <c r="K1441" i="13" a="1"/>
  <c r="K1441" i="13" s="1"/>
  <c r="O563" i="12"/>
  <c r="O1334" i="13" a="1"/>
  <c r="O1334" i="13" s="1"/>
  <c r="O1361" i="13" s="1"/>
  <c r="O558" i="12"/>
  <c r="M582" i="12" a="1"/>
  <c r="M582" i="12" s="1"/>
  <c r="M1403" i="13" s="1" a="1"/>
  <c r="M1403" i="13" s="1"/>
  <c r="GT52" i="9" s="1" a="1"/>
  <c r="GT52" i="9" s="1"/>
  <c r="J1504" i="13" a="1"/>
  <c r="J1504" i="13" s="1"/>
  <c r="J1531" i="13" s="1"/>
  <c r="J628" i="12"/>
  <c r="J633" i="12"/>
  <c r="M1373" i="13" a="1"/>
  <c r="M1373" i="13" s="1"/>
  <c r="M574" i="12"/>
  <c r="M576" i="12" s="1"/>
  <c r="M1374" i="13" s="1" a="1"/>
  <c r="M1374" i="13" s="1"/>
  <c r="I638" i="12" a="1"/>
  <c r="I638" i="12" s="1"/>
  <c r="I1539" i="13" s="1" a="1"/>
  <c r="I1539" i="13" s="1"/>
  <c r="DV56" i="9" s="1" a="1"/>
  <c r="DV56" i="9" s="1"/>
  <c r="F680" i="12" a="1"/>
  <c r="F680" i="12" s="1"/>
  <c r="F1641" i="13" s="1" a="1"/>
  <c r="F1641" i="13" s="1"/>
  <c r="BQ59" i="9" s="1" a="1"/>
  <c r="BQ59" i="9" s="1"/>
  <c r="DZ56" i="9" a="1"/>
  <c r="DZ56" i="9" s="1"/>
  <c r="J636" i="12" a="1"/>
  <c r="J636" i="12" s="1"/>
  <c r="E694" i="12" a="1"/>
  <c r="E694" i="12" s="1"/>
  <c r="E1675" i="13" s="1" a="1"/>
  <c r="E1675" i="13" s="1"/>
  <c r="AX60" i="9" s="1" a="1"/>
  <c r="AX60" i="9" s="1"/>
  <c r="I650" i="12" a="1"/>
  <c r="I650" i="12" s="1"/>
  <c r="DG57" i="9" a="1"/>
  <c r="DG57" i="9" s="1"/>
  <c r="L588" i="12"/>
  <c r="L590" i="12" s="1"/>
  <c r="L1408" i="13" s="1" a="1"/>
  <c r="L1408" i="13" s="1"/>
  <c r="L1407" i="13" a="1"/>
  <c r="L1407" i="13" s="1"/>
  <c r="N1339" i="13" a="1"/>
  <c r="N1339" i="13" s="1"/>
  <c r="N560" i="12"/>
  <c r="N562" i="12" s="1"/>
  <c r="N1340" i="13" s="1" a="1"/>
  <c r="N1340" i="13" s="1"/>
  <c r="H652" i="12" a="1"/>
  <c r="H652" i="12" s="1"/>
  <c r="H1573" i="13" s="1" a="1"/>
  <c r="H1573" i="13" s="1"/>
  <c r="DC57" i="9" s="1" a="1"/>
  <c r="DC57" i="9" s="1"/>
  <c r="G666" i="12" a="1"/>
  <c r="G666" i="12" s="1"/>
  <c r="G1607" i="13" s="1" a="1"/>
  <c r="G1607" i="13" s="1"/>
  <c r="CJ58" i="9" s="1" a="1"/>
  <c r="CJ58" i="9" s="1"/>
  <c r="I1440" i="13" a="1"/>
  <c r="I1440" i="13" s="1"/>
  <c r="I607" i="12"/>
  <c r="F1640" i="13" a="1"/>
  <c r="F1640" i="13" s="1"/>
  <c r="F1667" i="13" s="1"/>
  <c r="F684" i="12"/>
  <c r="F689" i="12"/>
  <c r="I647" i="12"/>
  <c r="I642" i="12"/>
  <c r="I1538" i="13" a="1"/>
  <c r="I1538" i="13" s="1"/>
  <c r="I1565" i="13" s="1"/>
  <c r="N1270" i="13" a="1"/>
  <c r="N1270" i="13" s="1"/>
  <c r="N537" i="12"/>
  <c r="O533" i="12"/>
  <c r="N577" i="12"/>
  <c r="N1368" i="13" a="1"/>
  <c r="N1368" i="13" s="1"/>
  <c r="N1395" i="13" s="1"/>
  <c r="N572" i="12"/>
  <c r="BB60" i="9" a="1"/>
  <c r="BB60" i="9" s="1"/>
  <c r="F692" i="12" a="1"/>
  <c r="F692" i="12" s="1"/>
  <c r="CN58" i="9" a="1"/>
  <c r="CN58" i="9" s="1"/>
  <c r="H664" i="12" a="1"/>
  <c r="H664" i="12" s="1"/>
  <c r="J624" i="12" a="1"/>
  <c r="J624" i="12" s="1"/>
  <c r="J1505" i="13" s="1" a="1"/>
  <c r="J1505" i="13" s="1"/>
  <c r="EO55" i="9" s="1" a="1"/>
  <c r="EO55" i="9" s="1"/>
  <c r="K610" i="12" a="1"/>
  <c r="K610" i="12" s="1"/>
  <c r="K1471" i="13" s="1" a="1"/>
  <c r="K1471" i="13" s="1"/>
  <c r="FH54" i="9" s="1" a="1"/>
  <c r="FH54" i="9" s="1"/>
  <c r="D70" i="24" a="1"/>
  <c r="D70" i="24" s="1"/>
  <c r="M561" i="12"/>
  <c r="M591" i="12"/>
  <c r="M1402" i="13" a="1"/>
  <c r="M1402" i="13" s="1"/>
  <c r="M1429" i="13" s="1"/>
  <c r="M586" i="12"/>
  <c r="L1338" i="13" a="1"/>
  <c r="L1338" i="13" s="1"/>
  <c r="L565" i="12"/>
  <c r="K589" i="12"/>
  <c r="F659" i="12"/>
  <c r="E1674" i="13" a="1"/>
  <c r="E1674" i="13" s="1"/>
  <c r="E1701" i="13" s="1"/>
  <c r="E703" i="12"/>
  <c r="E698" i="12"/>
  <c r="H644" i="12"/>
  <c r="H646" i="12" s="1"/>
  <c r="H1544" i="13" s="1" a="1"/>
  <c r="H1544" i="13" s="1"/>
  <c r="H1543" i="13" a="1"/>
  <c r="H1543" i="13" s="1"/>
  <c r="FL54" i="9" a="1"/>
  <c r="FL54" i="9" s="1"/>
  <c r="L608" i="12" a="1"/>
  <c r="L608" i="12" s="1"/>
  <c r="F1542" i="13" a="1"/>
  <c r="F1542" i="13" s="1"/>
  <c r="F649" i="12"/>
  <c r="O554" i="12" a="1"/>
  <c r="O554" i="12" s="1"/>
  <c r="O1335" i="13" s="1" a="1"/>
  <c r="O1335" i="13" s="1"/>
  <c r="IF50" i="9" s="1" a="1"/>
  <c r="IF50" i="9" s="1"/>
  <c r="ES55" i="9" a="1"/>
  <c r="ES55" i="9" s="1"/>
  <c r="K622" i="12" a="1"/>
  <c r="K622" i="12" s="1"/>
  <c r="M594" i="12" a="1"/>
  <c r="M594" i="12" s="1"/>
  <c r="GE53" i="9" a="1"/>
  <c r="GE53" i="9" s="1"/>
  <c r="AI61" i="9" a="1"/>
  <c r="AI61" i="9" s="1"/>
  <c r="E706" i="12" a="1"/>
  <c r="E706" i="12" s="1"/>
  <c r="H661" i="12"/>
  <c r="H1572" i="13" a="1"/>
  <c r="H1572" i="13" s="1"/>
  <c r="H1599" i="13" s="1"/>
  <c r="H656" i="12"/>
  <c r="G1508" i="13" a="1"/>
  <c r="G1508" i="13" s="1"/>
  <c r="G635" i="12"/>
  <c r="N547" i="12"/>
  <c r="I1509" i="13" a="1"/>
  <c r="I1509" i="13" s="1"/>
  <c r="I630" i="12"/>
  <c r="I632" i="12" s="1"/>
  <c r="I1510" i="13" s="1" a="1"/>
  <c r="I1510" i="13" s="1"/>
  <c r="E673" i="12"/>
  <c r="O546" i="12"/>
  <c r="O548" i="12" s="1"/>
  <c r="O1306" i="13" s="1" a="1"/>
  <c r="O1306" i="13" s="1"/>
  <c r="O1305" i="13" a="1"/>
  <c r="O1305" i="13" s="1"/>
  <c r="BU57" i="9" a="1"/>
  <c r="BU57" i="9" s="1"/>
  <c r="B1594" i="13"/>
  <c r="B1595" i="13" s="1"/>
  <c r="B1596" i="13" s="1"/>
  <c r="B1597" i="13" s="1"/>
  <c r="B1599" i="13"/>
  <c r="B1600" i="13" s="1"/>
  <c r="B1601" i="13" s="1"/>
  <c r="B1602" i="13" s="1"/>
  <c r="B1648" i="13"/>
  <c r="B1649" i="13" s="1"/>
  <c r="B1650" i="13" s="1"/>
  <c r="B1651" i="13" s="1"/>
  <c r="B1652" i="13" s="1"/>
  <c r="B1653" i="13" s="1"/>
  <c r="B1654" i="13" s="1"/>
  <c r="B1655" i="13" s="1"/>
  <c r="B1656" i="13" s="1"/>
  <c r="B1657" i="13" s="1"/>
  <c r="B1658" i="13" s="1"/>
  <c r="B1659" i="13" s="1"/>
  <c r="B1660" i="13" s="1"/>
  <c r="B1644" i="13"/>
  <c r="B1645" i="13" s="1"/>
  <c r="B1646" i="13" s="1"/>
  <c r="B1647" i="13" s="1"/>
  <c r="B1676" i="13"/>
  <c r="B1677" i="13" s="1"/>
  <c r="B1673" i="13"/>
  <c r="B1674" i="13" s="1"/>
  <c r="B1675" i="13" s="1"/>
  <c r="B1632" i="13"/>
  <c r="B1627" i="13"/>
  <c r="B1705" i="13" a="1"/>
  <c r="B1705" i="13" s="1"/>
  <c r="B1706" i="13" s="1"/>
  <c r="B2045" i="13" a="1"/>
  <c r="B2045" i="13" s="1"/>
  <c r="B2046" i="13" s="1"/>
  <c r="B706" i="12" a="1"/>
  <c r="B706" i="12" s="1"/>
  <c r="R753" i="12"/>
  <c r="R765" i="12"/>
  <c r="R766" i="12"/>
  <c r="R777" i="12"/>
  <c r="R778" i="12"/>
  <c r="AA902" i="10" l="1"/>
  <c r="AA903" i="10" s="1"/>
  <c r="AA915" i="10"/>
  <c r="D1406" i="13" a="1"/>
  <c r="D1406" i="13" s="1"/>
  <c r="B2047" i="13"/>
  <c r="B2048" i="13" s="1"/>
  <c r="B2049" i="13" s="1"/>
  <c r="B2050" i="13"/>
  <c r="B2051" i="13" s="1"/>
  <c r="B1968" i="13"/>
  <c r="B1969" i="13" s="1"/>
  <c r="B1970" i="13" s="1"/>
  <c r="B1971" i="13" s="1"/>
  <c r="B1973" i="13"/>
  <c r="B1974" i="13" s="1"/>
  <c r="B1975" i="13" s="1"/>
  <c r="B1976" i="13" s="1"/>
  <c r="B2022" i="13"/>
  <c r="B2023" i="13" s="1"/>
  <c r="B2024" i="13" s="1"/>
  <c r="B2025" i="13" s="1"/>
  <c r="B2026" i="13" s="1"/>
  <c r="B2027" i="13" s="1"/>
  <c r="B2028" i="13" s="1"/>
  <c r="B2029" i="13" s="1"/>
  <c r="B2030" i="13" s="1"/>
  <c r="B2031" i="13" s="1"/>
  <c r="B2032" i="13" s="1"/>
  <c r="B2033" i="13" s="1"/>
  <c r="B2034" i="13" s="1"/>
  <c r="B2018" i="13"/>
  <c r="B2019" i="13" s="1"/>
  <c r="B2020" i="13" s="1"/>
  <c r="B2021" i="13" s="1"/>
  <c r="B2001" i="13"/>
  <c r="B2006" i="13"/>
  <c r="L753" i="12" a="1"/>
  <c r="L753" i="12" s="1"/>
  <c r="D753" i="12" a="1"/>
  <c r="D753" i="12" s="1"/>
  <c r="K753" i="12" a="1"/>
  <c r="K753" i="12" s="1"/>
  <c r="J753" i="12" a="1"/>
  <c r="J753" i="12" s="1"/>
  <c r="I753" i="12" a="1"/>
  <c r="I753" i="12" s="1"/>
  <c r="H753" i="12" a="1"/>
  <c r="H753" i="12" s="1"/>
  <c r="O753" i="12" a="1"/>
  <c r="O753" i="12" s="1"/>
  <c r="G753" i="12" a="1"/>
  <c r="G753" i="12" s="1"/>
  <c r="N753" i="12" a="1"/>
  <c r="N753" i="12" s="1"/>
  <c r="F753" i="12" a="1"/>
  <c r="F753" i="12" s="1"/>
  <c r="M753" i="12" a="1"/>
  <c r="M753" i="12" s="1"/>
  <c r="E753" i="12" a="1"/>
  <c r="E753" i="12" s="1"/>
  <c r="K1846" i="13" a="1"/>
  <c r="K1846" i="13" s="1"/>
  <c r="K1873" i="13" s="1"/>
  <c r="K769" i="12"/>
  <c r="K1851" i="13" s="1" a="1"/>
  <c r="K1851" i="13" s="1"/>
  <c r="K774" i="12"/>
  <c r="O1846" i="13" a="1"/>
  <c r="O1846" i="13" s="1"/>
  <c r="O1873" i="13" s="1"/>
  <c r="O774" i="12"/>
  <c r="O769" i="12"/>
  <c r="O1851" i="13" s="1" a="1"/>
  <c r="O1851" i="13" s="1"/>
  <c r="L1846" i="13" a="1"/>
  <c r="L1846" i="13" s="1"/>
  <c r="L1873" i="13" s="1"/>
  <c r="L769" i="12"/>
  <c r="L1851" i="13" s="1" a="1"/>
  <c r="L1851" i="13" s="1"/>
  <c r="L774" i="12"/>
  <c r="E1846" i="13" a="1"/>
  <c r="E1846" i="13" s="1"/>
  <c r="E1873" i="13" s="1"/>
  <c r="E769" i="12"/>
  <c r="E1851" i="13" s="1" a="1"/>
  <c r="E1851" i="13" s="1"/>
  <c r="E774" i="12"/>
  <c r="R818" i="12"/>
  <c r="B804" i="12" a="1"/>
  <c r="B804" i="12" s="1"/>
  <c r="R806" i="12"/>
  <c r="R805" i="12"/>
  <c r="M1846" i="13" a="1"/>
  <c r="M1846" i="13" s="1"/>
  <c r="M1873" i="13" s="1"/>
  <c r="M774" i="12"/>
  <c r="M769" i="12"/>
  <c r="M1851" i="13" s="1" a="1"/>
  <c r="M1851" i="13" s="1"/>
  <c r="D1846" i="13" a="1"/>
  <c r="D1846" i="13" s="1"/>
  <c r="D1873" i="13" s="1"/>
  <c r="D774" i="12"/>
  <c r="D769" i="12"/>
  <c r="D1851" i="13" s="1" a="1"/>
  <c r="D1851" i="13" s="1"/>
  <c r="F769" i="12"/>
  <c r="F1851" i="13" s="1" a="1"/>
  <c r="F1851" i="13" s="1"/>
  <c r="F774" i="12"/>
  <c r="F1846" i="13" a="1"/>
  <c r="F1846" i="13" s="1"/>
  <c r="F1873" i="13" s="1"/>
  <c r="E791" i="12" a="1"/>
  <c r="E791" i="12" s="1"/>
  <c r="E1914" i="13" s="1" a="1"/>
  <c r="E1914" i="13" s="1"/>
  <c r="E1941" i="13" s="1"/>
  <c r="O791" i="12" a="1"/>
  <c r="O791" i="12" s="1"/>
  <c r="O1914" i="13" s="1" a="1"/>
  <c r="O1914" i="13" s="1"/>
  <c r="O1941" i="13" s="1"/>
  <c r="D791" i="12" a="1"/>
  <c r="D791" i="12" s="1"/>
  <c r="D1914" i="13" s="1" a="1"/>
  <c r="D1914" i="13" s="1"/>
  <c r="D1941" i="13" s="1"/>
  <c r="G791" i="12" a="1"/>
  <c r="G791" i="12" s="1"/>
  <c r="G1914" i="13" s="1" a="1"/>
  <c r="G1914" i="13" s="1"/>
  <c r="G1941" i="13" s="1"/>
  <c r="R793" i="12"/>
  <c r="N791" i="12" a="1"/>
  <c r="N791" i="12" s="1"/>
  <c r="N1914" i="13" s="1" a="1"/>
  <c r="N1914" i="13" s="1"/>
  <c r="N1941" i="13" s="1"/>
  <c r="L791" i="12" a="1"/>
  <c r="L791" i="12" s="1"/>
  <c r="L1914" i="13" s="1" a="1"/>
  <c r="L1914" i="13" s="1"/>
  <c r="L1941" i="13" s="1"/>
  <c r="J791" i="12" a="1"/>
  <c r="J791" i="12" s="1"/>
  <c r="J1914" i="13" s="1" a="1"/>
  <c r="J1914" i="13" s="1"/>
  <c r="J1941" i="13" s="1"/>
  <c r="H791" i="12" a="1"/>
  <c r="H791" i="12" s="1"/>
  <c r="H1914" i="13" s="1" a="1"/>
  <c r="H1914" i="13" s="1"/>
  <c r="H1941" i="13" s="1"/>
  <c r="F791" i="12" a="1"/>
  <c r="F791" i="12" s="1"/>
  <c r="F1914" i="13" s="1" a="1"/>
  <c r="F1914" i="13" s="1"/>
  <c r="F1941" i="13" s="1"/>
  <c r="M791" i="12" a="1"/>
  <c r="M791" i="12" s="1"/>
  <c r="M1914" i="13" s="1" a="1"/>
  <c r="M1914" i="13" s="1"/>
  <c r="M1941" i="13" s="1"/>
  <c r="K791" i="12" a="1"/>
  <c r="K791" i="12" s="1"/>
  <c r="K1914" i="13" s="1" a="1"/>
  <c r="K1914" i="13" s="1"/>
  <c r="K1941" i="13" s="1"/>
  <c r="I791" i="12" a="1"/>
  <c r="I791" i="12" s="1"/>
  <c r="I1914" i="13" s="1" a="1"/>
  <c r="I1914" i="13" s="1"/>
  <c r="I1941" i="13" s="1"/>
  <c r="J766" i="12" a="1"/>
  <c r="J766" i="12" s="1"/>
  <c r="I766" i="12" a="1"/>
  <c r="I766" i="12" s="1"/>
  <c r="H766" i="12" a="1"/>
  <c r="H766" i="12" s="1"/>
  <c r="O766" i="12" a="1"/>
  <c r="O766" i="12" s="1"/>
  <c r="G766" i="12" a="1"/>
  <c r="G766" i="12" s="1"/>
  <c r="M766" i="12" a="1"/>
  <c r="M766" i="12" s="1"/>
  <c r="E766" i="12" a="1"/>
  <c r="E766" i="12" s="1"/>
  <c r="L766" i="12" a="1"/>
  <c r="L766" i="12" s="1"/>
  <c r="D766" i="12" a="1"/>
  <c r="D766" i="12" s="1"/>
  <c r="F766" i="12" a="1"/>
  <c r="F766" i="12" s="1"/>
  <c r="N766" i="12" a="1"/>
  <c r="N766" i="12" s="1"/>
  <c r="K766" i="12" a="1"/>
  <c r="K766" i="12" s="1"/>
  <c r="I1846" i="13" a="1"/>
  <c r="I1846" i="13" s="1"/>
  <c r="I1873" i="13" s="1"/>
  <c r="I774" i="12"/>
  <c r="I769" i="12"/>
  <c r="I1851" i="13" s="1" a="1"/>
  <c r="I1851" i="13" s="1"/>
  <c r="N769" i="12"/>
  <c r="N1851" i="13" s="1" a="1"/>
  <c r="N1851" i="13" s="1"/>
  <c r="N774" i="12"/>
  <c r="N1846" i="13" a="1"/>
  <c r="N1846" i="13" s="1"/>
  <c r="N1873" i="13" s="1"/>
  <c r="H1846" i="13" a="1"/>
  <c r="H1846" i="13" s="1"/>
  <c r="H1873" i="13" s="1"/>
  <c r="H769" i="12"/>
  <c r="H1851" i="13" s="1" a="1"/>
  <c r="H1851" i="13" s="1"/>
  <c r="H774" i="12"/>
  <c r="J777" i="12" a="1"/>
  <c r="J777" i="12" s="1"/>
  <c r="I777" i="12" a="1"/>
  <c r="I777" i="12" s="1"/>
  <c r="H777" i="12" a="1"/>
  <c r="H777" i="12" s="1"/>
  <c r="O777" i="12" a="1"/>
  <c r="O777" i="12" s="1"/>
  <c r="G777" i="12" a="1"/>
  <c r="G777" i="12" s="1"/>
  <c r="M777" i="12" a="1"/>
  <c r="M777" i="12" s="1"/>
  <c r="E777" i="12" a="1"/>
  <c r="E777" i="12" s="1"/>
  <c r="L777" i="12" a="1"/>
  <c r="L777" i="12" s="1"/>
  <c r="D777" i="12" a="1"/>
  <c r="D777" i="12" s="1"/>
  <c r="N777" i="12" a="1"/>
  <c r="N777" i="12" s="1"/>
  <c r="K777" i="12" a="1"/>
  <c r="K777" i="12" s="1"/>
  <c r="F777" i="12" a="1"/>
  <c r="F777" i="12" s="1"/>
  <c r="N765" i="12" a="1"/>
  <c r="N765" i="12" s="1"/>
  <c r="N1847" i="13" s="1" a="1"/>
  <c r="N1847" i="13" s="1"/>
  <c r="G765" i="12" a="1"/>
  <c r="G765" i="12" s="1"/>
  <c r="G1847" i="13" s="1" a="1"/>
  <c r="G1847" i="13" s="1"/>
  <c r="M765" i="12" a="1"/>
  <c r="M765" i="12" s="1"/>
  <c r="M1847" i="13" s="1" a="1"/>
  <c r="M1847" i="13" s="1"/>
  <c r="O765" i="12" a="1"/>
  <c r="O765" i="12" s="1"/>
  <c r="O1847" i="13" s="1" a="1"/>
  <c r="O1847" i="13" s="1"/>
  <c r="L765" i="12" a="1"/>
  <c r="L765" i="12" s="1"/>
  <c r="L1847" i="13" s="1" a="1"/>
  <c r="L1847" i="13" s="1"/>
  <c r="K765" i="12" a="1"/>
  <c r="K765" i="12" s="1"/>
  <c r="K1847" i="13" s="1" a="1"/>
  <c r="K1847" i="13" s="1"/>
  <c r="J765" i="12" a="1"/>
  <c r="J765" i="12" s="1"/>
  <c r="J1847" i="13" s="1" a="1"/>
  <c r="J1847" i="13" s="1"/>
  <c r="I765" i="12" a="1"/>
  <c r="I765" i="12" s="1"/>
  <c r="I1847" i="13" s="1" a="1"/>
  <c r="I1847" i="13" s="1"/>
  <c r="H765" i="12" a="1"/>
  <c r="H765" i="12" s="1"/>
  <c r="H1847" i="13" s="1" a="1"/>
  <c r="H1847" i="13" s="1"/>
  <c r="F765" i="12" a="1"/>
  <c r="F765" i="12" s="1"/>
  <c r="F1847" i="13" s="1" a="1"/>
  <c r="F1847" i="13" s="1"/>
  <c r="D765" i="12" a="1"/>
  <c r="D765" i="12" s="1"/>
  <c r="D1847" i="13" s="1" a="1"/>
  <c r="D1847" i="13" s="1"/>
  <c r="E765" i="12" a="1"/>
  <c r="E765" i="12" s="1"/>
  <c r="E1847" i="13" s="1" a="1"/>
  <c r="E1847" i="13" s="1"/>
  <c r="J1846" i="13" a="1"/>
  <c r="J1846" i="13" s="1"/>
  <c r="J1873" i="13" s="1"/>
  <c r="J769" i="12"/>
  <c r="J1851" i="13" s="1" a="1"/>
  <c r="J1851" i="13" s="1"/>
  <c r="J774" i="12"/>
  <c r="G774" i="12"/>
  <c r="G1846" i="13" a="1"/>
  <c r="G1846" i="13" s="1"/>
  <c r="G1873" i="13" s="1"/>
  <c r="G769" i="12"/>
  <c r="G1851" i="13" s="1" a="1"/>
  <c r="G1851" i="13" s="1"/>
  <c r="R794" i="12"/>
  <c r="E903" i="10" a="1"/>
  <c r="E903" i="10" s="1"/>
  <c r="G903" i="10" a="1"/>
  <c r="G903" i="10" s="1"/>
  <c r="AA904" i="10"/>
  <c r="F903" i="10" a="1"/>
  <c r="F903" i="10" s="1"/>
  <c r="P903" i="10" a="1"/>
  <c r="P903" i="10" s="1"/>
  <c r="N903" i="10" a="1"/>
  <c r="N903" i="10" s="1"/>
  <c r="L903" i="10" a="1"/>
  <c r="L903" i="10" s="1"/>
  <c r="J903" i="10" a="1"/>
  <c r="J903" i="10" s="1"/>
  <c r="H903" i="10" a="1"/>
  <c r="H903" i="10" s="1"/>
  <c r="K903" i="10" a="1"/>
  <c r="K903" i="10" s="1"/>
  <c r="D903" i="10" a="1"/>
  <c r="D903" i="10" s="1"/>
  <c r="I903" i="10" a="1"/>
  <c r="I903" i="10" s="1"/>
  <c r="M903" i="10" a="1"/>
  <c r="M903" i="10" s="1"/>
  <c r="O903" i="10" a="1"/>
  <c r="O903" i="10" s="1"/>
  <c r="E889" i="10" a="1"/>
  <c r="E889" i="10" s="1"/>
  <c r="G889" i="10" a="1"/>
  <c r="G889" i="10" s="1"/>
  <c r="AA890" i="10"/>
  <c r="P889" i="10" a="1"/>
  <c r="P889" i="10" s="1"/>
  <c r="K889" i="10" a="1"/>
  <c r="K889" i="10" s="1"/>
  <c r="N889" i="10" a="1"/>
  <c r="N889" i="10" s="1"/>
  <c r="L889" i="10" a="1"/>
  <c r="L889" i="10" s="1"/>
  <c r="I889" i="10" a="1"/>
  <c r="I889" i="10" s="1"/>
  <c r="J889" i="10" a="1"/>
  <c r="J889" i="10" s="1"/>
  <c r="H889" i="10" a="1"/>
  <c r="H889" i="10" s="1"/>
  <c r="F889" i="10" a="1"/>
  <c r="F889" i="10" s="1"/>
  <c r="D889" i="10" a="1"/>
  <c r="D889" i="10" s="1"/>
  <c r="M889" i="10" a="1"/>
  <c r="M889" i="10" s="1"/>
  <c r="O889" i="10" a="1"/>
  <c r="O889" i="10" s="1"/>
  <c r="D876" i="10" a="1"/>
  <c r="D876" i="10" s="1"/>
  <c r="M876" i="10" a="1"/>
  <c r="M876" i="10" s="1"/>
  <c r="O876" i="10" a="1"/>
  <c r="O876" i="10" s="1"/>
  <c r="H876" i="10" a="1"/>
  <c r="H876" i="10" s="1"/>
  <c r="I876" i="10" a="1"/>
  <c r="I876" i="10" s="1"/>
  <c r="K876" i="10" a="1"/>
  <c r="K876" i="10" s="1"/>
  <c r="E876" i="10" a="1"/>
  <c r="E876" i="10" s="1"/>
  <c r="G876" i="10" a="1"/>
  <c r="G876" i="10" s="1"/>
  <c r="AA877" i="10"/>
  <c r="F876" i="10" a="1"/>
  <c r="F876" i="10" s="1"/>
  <c r="P876" i="10" a="1"/>
  <c r="P876" i="10" s="1"/>
  <c r="J876" i="10" a="1"/>
  <c r="J876" i="10" s="1"/>
  <c r="L876" i="10" a="1"/>
  <c r="L876" i="10" s="1"/>
  <c r="N876" i="10" a="1"/>
  <c r="N876" i="10" s="1"/>
  <c r="K863" i="10" a="1"/>
  <c r="K863" i="10" s="1"/>
  <c r="L863" i="10" a="1"/>
  <c r="L863" i="10" s="1"/>
  <c r="D863" i="10" a="1"/>
  <c r="D863" i="10" s="1"/>
  <c r="G863" i="10" a="1"/>
  <c r="G863" i="10" s="1"/>
  <c r="M863" i="10" a="1"/>
  <c r="M863" i="10" s="1"/>
  <c r="H863" i="10" a="1"/>
  <c r="H863" i="10" s="1"/>
  <c r="I863" i="10" a="1"/>
  <c r="I863" i="10" s="1"/>
  <c r="P863" i="10" a="1"/>
  <c r="P863" i="10" s="1"/>
  <c r="E863" i="10" a="1"/>
  <c r="E863" i="10" s="1"/>
  <c r="N863" i="10" a="1"/>
  <c r="N863" i="10" s="1"/>
  <c r="F863" i="10" a="1"/>
  <c r="F863" i="10" s="1"/>
  <c r="O863" i="10" a="1"/>
  <c r="O863" i="10" s="1"/>
  <c r="J863" i="10" a="1"/>
  <c r="J863" i="10" s="1"/>
  <c r="G561" i="12"/>
  <c r="G1338" i="13" s="1" a="1"/>
  <c r="G1338" i="13" s="1"/>
  <c r="H547" i="12"/>
  <c r="H1304" i="13" s="1" a="1"/>
  <c r="H1304" i="13" s="1"/>
  <c r="D636" i="12" a="1"/>
  <c r="D636" i="12" s="1"/>
  <c r="D1475" i="13" a="1"/>
  <c r="D1475" i="13" s="1"/>
  <c r="D616" i="12"/>
  <c r="D618" i="12" s="1"/>
  <c r="D1476" i="13" s="1" a="1"/>
  <c r="D1476" i="13" s="1"/>
  <c r="D633" i="12"/>
  <c r="D628" i="12"/>
  <c r="D1504" i="13" a="1"/>
  <c r="D1504" i="13" s="1"/>
  <c r="D1531" i="13" s="1"/>
  <c r="FW55" i="9" a="1"/>
  <c r="FW55" i="9" s="1"/>
  <c r="FX55" i="9" s="1"/>
  <c r="G594" i="12" a="1"/>
  <c r="G594" i="12" s="1"/>
  <c r="HI54" i="9" a="1"/>
  <c r="HI54" i="9" s="1"/>
  <c r="HJ54" i="9" s="1"/>
  <c r="D603" i="12"/>
  <c r="HI53" i="9" a="1"/>
  <c r="HI53" i="9" s="1"/>
  <c r="HJ53" i="9" s="1"/>
  <c r="J617" i="12"/>
  <c r="J1474" i="13" s="1" a="1"/>
  <c r="J1474" i="13" s="1"/>
  <c r="H635" i="12"/>
  <c r="L1372" i="13" a="1"/>
  <c r="L1372" i="13" s="1"/>
  <c r="M575" i="12"/>
  <c r="M1372" i="13" s="1" a="1"/>
  <c r="M1372" i="13" s="1"/>
  <c r="K603" i="12"/>
  <c r="K1440" i="13" s="1" a="1"/>
  <c r="K1440" i="13" s="1"/>
  <c r="O547" i="12"/>
  <c r="O551" i="12" s="1"/>
  <c r="N561" i="12"/>
  <c r="N1338" i="13" s="1" a="1"/>
  <c r="N1338" i="13" s="1"/>
  <c r="I631" i="12"/>
  <c r="I635" i="12" s="1"/>
  <c r="E687" i="12"/>
  <c r="E1644" i="13" s="1" a="1"/>
  <c r="E1644" i="13" s="1"/>
  <c r="F673" i="12"/>
  <c r="F1610" i="13" s="1" a="1"/>
  <c r="F1610" i="13" s="1"/>
  <c r="G680" i="12" a="1"/>
  <c r="G680" i="12" s="1"/>
  <c r="G1641" i="13" s="1" a="1"/>
  <c r="G1641" i="13" s="1"/>
  <c r="CJ59" i="9" s="1" a="1"/>
  <c r="CJ59" i="9" s="1"/>
  <c r="N582" i="12" a="1"/>
  <c r="N582" i="12" s="1"/>
  <c r="N1403" i="13" s="1" a="1"/>
  <c r="N1403" i="13" s="1"/>
  <c r="HM52" i="9" s="1" a="1"/>
  <c r="HM52" i="9" s="1"/>
  <c r="GX53" i="9" a="1"/>
  <c r="GX53" i="9" s="1"/>
  <c r="N594" i="12" a="1"/>
  <c r="N594" i="12" s="1"/>
  <c r="H645" i="12"/>
  <c r="N1373" i="13" a="1"/>
  <c r="N1373" i="13" s="1"/>
  <c r="N574" i="12"/>
  <c r="N576" i="12" s="1"/>
  <c r="N1374" i="13" s="1" a="1"/>
  <c r="N1374" i="13" s="1"/>
  <c r="L589" i="12"/>
  <c r="J1509" i="13" a="1"/>
  <c r="J1509" i="13" s="1"/>
  <c r="J630" i="12"/>
  <c r="J632" i="12" s="1"/>
  <c r="J1510" i="13" s="1" a="1"/>
  <c r="J1510" i="13" s="1"/>
  <c r="I652" i="12" a="1"/>
  <c r="I652" i="12" s="1"/>
  <c r="I1573" i="13" s="1" a="1"/>
  <c r="I1573" i="13" s="1"/>
  <c r="DV57" i="9" s="1" a="1"/>
  <c r="DV57" i="9" s="1"/>
  <c r="E708" i="12" a="1"/>
  <c r="E708" i="12" s="1"/>
  <c r="E1709" i="13" s="1" a="1"/>
  <c r="E1709" i="13" s="1"/>
  <c r="AX61" i="9" s="1" a="1"/>
  <c r="AX61" i="9" s="1"/>
  <c r="HQ52" i="9" a="1"/>
  <c r="HQ52" i="9" s="1"/>
  <c r="O580" i="12" a="1"/>
  <c r="O580" i="12" s="1"/>
  <c r="N1304" i="13" a="1"/>
  <c r="N1304" i="13" s="1"/>
  <c r="N551" i="12"/>
  <c r="J1440" i="13" a="1"/>
  <c r="J1440" i="13" s="1"/>
  <c r="J607" i="12"/>
  <c r="L602" i="12"/>
  <c r="L604" i="12" s="1"/>
  <c r="L1442" i="13" s="1" a="1"/>
  <c r="L1442" i="13" s="1"/>
  <c r="L1441" i="13" a="1"/>
  <c r="L1441" i="13" s="1"/>
  <c r="H666" i="12" a="1"/>
  <c r="H666" i="12" s="1"/>
  <c r="H1607" i="13" s="1" a="1"/>
  <c r="H1607" i="13" s="1"/>
  <c r="DC58" i="9" s="1" a="1"/>
  <c r="DC58" i="9" s="1"/>
  <c r="F706" i="12" a="1"/>
  <c r="F706" i="12" s="1"/>
  <c r="BB61" i="9" a="1"/>
  <c r="BB61" i="9" s="1"/>
  <c r="M600" i="12"/>
  <c r="M1436" i="13" a="1"/>
  <c r="M1436" i="13" s="1"/>
  <c r="M1463" i="13" s="1"/>
  <c r="M605" i="12"/>
  <c r="M1407" i="13" a="1"/>
  <c r="M1407" i="13" s="1"/>
  <c r="M588" i="12"/>
  <c r="M590" i="12" s="1"/>
  <c r="M1408" i="13" s="1" a="1"/>
  <c r="M1408" i="13" s="1"/>
  <c r="F686" i="12"/>
  <c r="F688" i="12" s="1"/>
  <c r="F1646" i="13" s="1" a="1"/>
  <c r="F1646" i="13" s="1"/>
  <c r="F1645" i="13" a="1"/>
  <c r="F1645" i="13" s="1"/>
  <c r="J642" i="12"/>
  <c r="J647" i="12"/>
  <c r="J1538" i="13" a="1"/>
  <c r="J1538" i="13" s="1"/>
  <c r="J1565" i="13" s="1"/>
  <c r="K1475" i="13" a="1"/>
  <c r="K1475" i="13" s="1"/>
  <c r="K616" i="12"/>
  <c r="K618" i="12" s="1"/>
  <c r="K1476" i="13" s="1" a="1"/>
  <c r="K1476" i="13" s="1"/>
  <c r="DZ57" i="9" a="1"/>
  <c r="DZ57" i="9" s="1"/>
  <c r="J650" i="12" a="1"/>
  <c r="J650" i="12" s="1"/>
  <c r="FL55" i="9" a="1"/>
  <c r="FL55" i="9" s="1"/>
  <c r="L622" i="12" a="1"/>
  <c r="L622" i="12" s="1"/>
  <c r="K1504" i="13" a="1"/>
  <c r="K1504" i="13" s="1"/>
  <c r="K1531" i="13" s="1"/>
  <c r="K633" i="12"/>
  <c r="K628" i="12"/>
  <c r="E1679" i="13" a="1"/>
  <c r="E1679" i="13" s="1"/>
  <c r="E700" i="12"/>
  <c r="E702" i="12" s="1"/>
  <c r="E1680" i="13" s="1" a="1"/>
  <c r="E1680" i="13" s="1"/>
  <c r="O1270" i="13" a="1"/>
  <c r="O1270" i="13" s="1"/>
  <c r="O537" i="12"/>
  <c r="D722" i="12" a="1"/>
  <c r="D722" i="12" s="1"/>
  <c r="D1743" i="13" s="1" a="1"/>
  <c r="D1743" i="13" s="1"/>
  <c r="AE62" i="9" s="1" a="1"/>
  <c r="AE62" i="9" s="1"/>
  <c r="DG58" i="9" a="1"/>
  <c r="DG58" i="9" s="1"/>
  <c r="I664" i="12" a="1"/>
  <c r="I664" i="12" s="1"/>
  <c r="K624" i="12" a="1"/>
  <c r="K624" i="12" s="1"/>
  <c r="K1505" i="13" s="1" a="1"/>
  <c r="K1505" i="13" s="1"/>
  <c r="FH55" i="9" s="1" a="1"/>
  <c r="FH55" i="9" s="1"/>
  <c r="H658" i="12"/>
  <c r="H660" i="12" s="1"/>
  <c r="H1578" i="13" s="1" a="1"/>
  <c r="H1578" i="13" s="1"/>
  <c r="H1577" i="13" a="1"/>
  <c r="H1577" i="13" s="1"/>
  <c r="H1606" i="13" a="1"/>
  <c r="H1606" i="13" s="1"/>
  <c r="H1633" i="13" s="1"/>
  <c r="H675" i="12"/>
  <c r="H670" i="12"/>
  <c r="I661" i="12"/>
  <c r="I1572" i="13" a="1"/>
  <c r="I1572" i="13" s="1"/>
  <c r="I1599" i="13" s="1"/>
  <c r="I656" i="12"/>
  <c r="O1339" i="13" a="1"/>
  <c r="O1339" i="13" s="1"/>
  <c r="O560" i="12"/>
  <c r="O562" i="12" s="1"/>
  <c r="O1340" i="13" s="1" a="1"/>
  <c r="O1340" i="13" s="1"/>
  <c r="E720" i="12" a="1"/>
  <c r="E720" i="12" s="1"/>
  <c r="AI62" i="9" a="1"/>
  <c r="AI62" i="9" s="1"/>
  <c r="C73" i="28" a="1"/>
  <c r="C73" i="28" s="1"/>
  <c r="A734" i="12" a="1"/>
  <c r="A734" i="12" s="1"/>
  <c r="A1773" i="13" a="1"/>
  <c r="A1773" i="13" s="1"/>
  <c r="F694" i="12" a="1"/>
  <c r="F694" i="12" s="1"/>
  <c r="F1675" i="13" s="1" a="1"/>
  <c r="F1675" i="13" s="1"/>
  <c r="BQ60" i="9" s="1" a="1"/>
  <c r="BQ60" i="9" s="1"/>
  <c r="L610" i="12" a="1"/>
  <c r="L610" i="12" s="1"/>
  <c r="L1471" i="13" s="1" a="1"/>
  <c r="L1471" i="13" s="1"/>
  <c r="GA54" i="9" s="1" a="1"/>
  <c r="GA54" i="9" s="1"/>
  <c r="E1610" i="13" a="1"/>
  <c r="E1610" i="13" s="1"/>
  <c r="E677" i="12"/>
  <c r="M565" i="12"/>
  <c r="M1338" i="13" a="1"/>
  <c r="M1338" i="13" s="1"/>
  <c r="N1402" i="13" a="1"/>
  <c r="N1402" i="13" s="1"/>
  <c r="N1429" i="13" s="1"/>
  <c r="N586" i="12"/>
  <c r="N591" i="12"/>
  <c r="M608" i="12" a="1"/>
  <c r="M608" i="12" s="1"/>
  <c r="GE54" i="9" a="1"/>
  <c r="GE54" i="9" s="1"/>
  <c r="ES56" i="9" a="1"/>
  <c r="ES56" i="9" s="1"/>
  <c r="K636" i="12" a="1"/>
  <c r="K636" i="12" s="1"/>
  <c r="L614" i="12"/>
  <c r="L619" i="12"/>
  <c r="L1470" i="13" a="1"/>
  <c r="L1470" i="13" s="1"/>
  <c r="L1497" i="13" s="1"/>
  <c r="F1576" i="13" a="1"/>
  <c r="F1576" i="13" s="1"/>
  <c r="F663" i="12"/>
  <c r="F1674" i="13" a="1"/>
  <c r="F1674" i="13" s="1"/>
  <c r="F1701" i="13" s="1"/>
  <c r="F703" i="12"/>
  <c r="F698" i="12"/>
  <c r="O572" i="12"/>
  <c r="O577" i="12"/>
  <c r="O1368" i="13" a="1"/>
  <c r="O1368" i="13" s="1"/>
  <c r="O1395" i="13" s="1"/>
  <c r="O568" i="12" a="1"/>
  <c r="O568" i="12" s="1"/>
  <c r="O1369" i="13" s="1" a="1"/>
  <c r="O1369" i="13" s="1"/>
  <c r="IF51" i="9" s="1" a="1"/>
  <c r="IF51" i="9" s="1"/>
  <c r="D71" i="24" a="1"/>
  <c r="D71" i="24" s="1"/>
  <c r="CN59" i="9" a="1"/>
  <c r="CN59" i="9" s="1"/>
  <c r="H678" i="12" a="1"/>
  <c r="H678" i="12" s="1"/>
  <c r="J638" i="12" a="1"/>
  <c r="J638" i="12" s="1"/>
  <c r="J1539" i="13" s="1" a="1"/>
  <c r="J1539" i="13" s="1"/>
  <c r="EO56" i="9" s="1" a="1"/>
  <c r="EO56" i="9" s="1"/>
  <c r="M596" i="12" a="1"/>
  <c r="M596" i="12" s="1"/>
  <c r="M1437" i="13" s="1" a="1"/>
  <c r="M1437" i="13" s="1"/>
  <c r="GT53" i="9" s="1" a="1"/>
  <c r="GT53" i="9" s="1"/>
  <c r="E717" i="12"/>
  <c r="E712" i="12"/>
  <c r="E1708" i="13" a="1"/>
  <c r="E1708" i="13" s="1"/>
  <c r="E1735" i="13" s="1"/>
  <c r="K593" i="12"/>
  <c r="K1406" i="13" a="1"/>
  <c r="K1406" i="13" s="1"/>
  <c r="I1543" i="13" a="1"/>
  <c r="I1543" i="13" s="1"/>
  <c r="I644" i="12"/>
  <c r="I646" i="12" s="1"/>
  <c r="I1544" i="13" s="1" a="1"/>
  <c r="I1544" i="13" s="1"/>
  <c r="J621" i="12"/>
  <c r="BU58" i="9" a="1"/>
  <c r="BU58" i="9" s="1"/>
  <c r="B1633" i="13"/>
  <c r="B1634" i="13" s="1"/>
  <c r="B1635" i="13" s="1"/>
  <c r="B1636" i="13" s="1"/>
  <c r="B1628" i="13"/>
  <c r="B1629" i="13" s="1"/>
  <c r="B1630" i="13" s="1"/>
  <c r="B1631" i="13" s="1"/>
  <c r="B1666" i="13"/>
  <c r="B1661" i="13"/>
  <c r="B1739" i="13" a="1"/>
  <c r="B1739" i="13" s="1"/>
  <c r="B1740" i="13" s="1"/>
  <c r="B1710" i="13"/>
  <c r="B1711" i="13" s="1"/>
  <c r="B1707" i="13"/>
  <c r="B1708" i="13" s="1"/>
  <c r="B1709" i="13" s="1"/>
  <c r="B1682" i="13"/>
  <c r="B1683" i="13" s="1"/>
  <c r="B1684" i="13" s="1"/>
  <c r="B1685" i="13" s="1"/>
  <c r="B1686" i="13" s="1"/>
  <c r="B1687" i="13" s="1"/>
  <c r="B1688" i="13" s="1"/>
  <c r="B1689" i="13" s="1"/>
  <c r="B1690" i="13" s="1"/>
  <c r="B1691" i="13" s="1"/>
  <c r="B1692" i="13" s="1"/>
  <c r="B1693" i="13" s="1"/>
  <c r="B1694" i="13" s="1"/>
  <c r="B1678" i="13"/>
  <c r="B1679" i="13" s="1"/>
  <c r="B1680" i="13" s="1"/>
  <c r="B1681" i="13" s="1"/>
  <c r="B2079" i="13" a="1"/>
  <c r="B2079" i="13" s="1"/>
  <c r="B2080" i="13" s="1"/>
  <c r="B720" i="12" a="1"/>
  <c r="B720" i="12" s="1"/>
  <c r="R767" i="12"/>
  <c r="R780" i="12"/>
  <c r="R779" i="12"/>
  <c r="AA929" i="10" l="1"/>
  <c r="AA930" i="10" s="1"/>
  <c r="AA931" i="10" s="1"/>
  <c r="AA916" i="10"/>
  <c r="AA917" i="10" s="1"/>
  <c r="G565" i="12"/>
  <c r="B2007" i="13"/>
  <c r="B2008" i="13" s="1"/>
  <c r="B2009" i="13" s="1"/>
  <c r="B2010" i="13" s="1"/>
  <c r="B2002" i="13"/>
  <c r="B2003" i="13" s="1"/>
  <c r="B2004" i="13" s="1"/>
  <c r="B2005" i="13" s="1"/>
  <c r="B2040" i="13"/>
  <c r="B2035" i="13"/>
  <c r="B2081" i="13"/>
  <c r="B2082" i="13" s="1"/>
  <c r="B2083" i="13" s="1"/>
  <c r="B2084" i="13"/>
  <c r="B2085" i="13" s="1"/>
  <c r="B2052" i="13"/>
  <c r="B2053" i="13" s="1"/>
  <c r="B2054" i="13" s="1"/>
  <c r="B2055" i="13" s="1"/>
  <c r="B2056" i="13"/>
  <c r="B2057" i="13" s="1"/>
  <c r="B2058" i="13" s="1"/>
  <c r="B2059" i="13" s="1"/>
  <c r="B2060" i="13" s="1"/>
  <c r="B2061" i="13" s="1"/>
  <c r="B2062" i="13" s="1"/>
  <c r="B2063" i="13" s="1"/>
  <c r="B2064" i="13" s="1"/>
  <c r="B2065" i="13" s="1"/>
  <c r="B2066" i="13" s="1"/>
  <c r="B2067" i="13" s="1"/>
  <c r="B2068" i="13" s="1"/>
  <c r="N779" i="12" a="1"/>
  <c r="N779" i="12" s="1"/>
  <c r="N1881" i="13" s="1" a="1"/>
  <c r="N1881" i="13" s="1"/>
  <c r="F779" i="12" a="1"/>
  <c r="F779" i="12" s="1"/>
  <c r="F1881" i="13" s="1" a="1"/>
  <c r="F1881" i="13" s="1"/>
  <c r="M779" i="12" a="1"/>
  <c r="M779" i="12" s="1"/>
  <c r="M1881" i="13" s="1" a="1"/>
  <c r="M1881" i="13" s="1"/>
  <c r="E779" i="12" a="1"/>
  <c r="E779" i="12" s="1"/>
  <c r="E1881" i="13" s="1" a="1"/>
  <c r="E1881" i="13" s="1"/>
  <c r="L779" i="12" a="1"/>
  <c r="L779" i="12" s="1"/>
  <c r="L1881" i="13" s="1" a="1"/>
  <c r="L1881" i="13" s="1"/>
  <c r="D779" i="12" a="1"/>
  <c r="D779" i="12" s="1"/>
  <c r="D1881" i="13" s="1" a="1"/>
  <c r="D1881" i="13" s="1"/>
  <c r="K779" i="12" a="1"/>
  <c r="K779" i="12" s="1"/>
  <c r="K1881" i="13" s="1" a="1"/>
  <c r="K1881" i="13" s="1"/>
  <c r="I779" i="12" a="1"/>
  <c r="I779" i="12" s="1"/>
  <c r="I1881" i="13" s="1" a="1"/>
  <c r="I1881" i="13" s="1"/>
  <c r="H779" i="12" a="1"/>
  <c r="H779" i="12" s="1"/>
  <c r="H1881" i="13" s="1" a="1"/>
  <c r="H1881" i="13" s="1"/>
  <c r="O779" i="12" a="1"/>
  <c r="O779" i="12" s="1"/>
  <c r="O1881" i="13" s="1" a="1"/>
  <c r="O1881" i="13" s="1"/>
  <c r="J779" i="12" a="1"/>
  <c r="J779" i="12" s="1"/>
  <c r="J1881" i="13" s="1" a="1"/>
  <c r="J1881" i="13" s="1"/>
  <c r="G779" i="12" a="1"/>
  <c r="G779" i="12" s="1"/>
  <c r="G1881" i="13" s="1" a="1"/>
  <c r="G1881" i="13" s="1"/>
  <c r="G794" i="12" a="1"/>
  <c r="G794" i="12" s="1"/>
  <c r="E794" i="12" a="1"/>
  <c r="E794" i="12" s="1"/>
  <c r="O794" i="12" a="1"/>
  <c r="O794" i="12" s="1"/>
  <c r="H794" i="12" a="1"/>
  <c r="H794" i="12" s="1"/>
  <c r="N794" i="12" a="1"/>
  <c r="N794" i="12" s="1"/>
  <c r="J794" i="12" a="1"/>
  <c r="J794" i="12" s="1"/>
  <c r="F794" i="12" a="1"/>
  <c r="F794" i="12" s="1"/>
  <c r="D794" i="12" a="1"/>
  <c r="D794" i="12" s="1"/>
  <c r="L794" i="12" a="1"/>
  <c r="L794" i="12" s="1"/>
  <c r="K794" i="12" a="1"/>
  <c r="K794" i="12" s="1"/>
  <c r="I794" i="12" a="1"/>
  <c r="I794" i="12" s="1"/>
  <c r="M794" i="12" a="1"/>
  <c r="M794" i="12" s="1"/>
  <c r="L788" i="12"/>
  <c r="L1880" i="13" a="1"/>
  <c r="L1880" i="13" s="1"/>
  <c r="L1907" i="13" s="1"/>
  <c r="L783" i="12"/>
  <c r="L1885" i="13" s="1" a="1"/>
  <c r="L1885" i="13" s="1"/>
  <c r="K802" i="12"/>
  <c r="K797" i="12"/>
  <c r="K1919" i="13" s="1" a="1"/>
  <c r="K1919" i="13" s="1"/>
  <c r="G802" i="12"/>
  <c r="G797" i="12"/>
  <c r="G1919" i="13" s="1" a="1"/>
  <c r="G1919" i="13" s="1"/>
  <c r="M1880" i="13" a="1"/>
  <c r="M1880" i="13" s="1"/>
  <c r="M1907" i="13" s="1"/>
  <c r="M783" i="12"/>
  <c r="M1885" i="13" s="1" a="1"/>
  <c r="M1885" i="13" s="1"/>
  <c r="M788" i="12"/>
  <c r="F797" i="12"/>
  <c r="F1919" i="13" s="1" a="1"/>
  <c r="F1919" i="13" s="1"/>
  <c r="F802" i="12"/>
  <c r="O797" i="12"/>
  <c r="O1919" i="13" s="1" a="1"/>
  <c r="O1919" i="13" s="1"/>
  <c r="O802" i="12"/>
  <c r="D797" i="12"/>
  <c r="D1919" i="13" s="1" a="1"/>
  <c r="D1919" i="13" s="1"/>
  <c r="D802" i="12"/>
  <c r="G1880" i="13" a="1"/>
  <c r="G1880" i="13" s="1"/>
  <c r="G1907" i="13" s="1"/>
  <c r="G788" i="12"/>
  <c r="G783" i="12"/>
  <c r="G1885" i="13" s="1" a="1"/>
  <c r="G1885" i="13" s="1"/>
  <c r="H802" i="12"/>
  <c r="H797" i="12"/>
  <c r="H1919" i="13" s="1" a="1"/>
  <c r="H1919" i="13" s="1"/>
  <c r="E797" i="12"/>
  <c r="E1919" i="13" s="1" a="1"/>
  <c r="E1919" i="13" s="1"/>
  <c r="E802" i="12"/>
  <c r="R820" i="12"/>
  <c r="R819" i="12"/>
  <c r="B818" i="12" a="1"/>
  <c r="B818" i="12" s="1"/>
  <c r="R832" i="12"/>
  <c r="O1304" i="13" a="1"/>
  <c r="O1304" i="13" s="1"/>
  <c r="F1880" i="13" a="1"/>
  <c r="F1880" i="13" s="1"/>
  <c r="F1907" i="13" s="1"/>
  <c r="F783" i="12"/>
  <c r="F1885" i="13" s="1" a="1"/>
  <c r="F1885" i="13" s="1"/>
  <c r="F788" i="12"/>
  <c r="O1880" i="13" a="1"/>
  <c r="O1880" i="13" s="1"/>
  <c r="O1907" i="13" s="1"/>
  <c r="O788" i="12"/>
  <c r="O783" i="12"/>
  <c r="O1885" i="13" s="1" a="1"/>
  <c r="O1885" i="13" s="1"/>
  <c r="J802" i="12"/>
  <c r="J797" i="12"/>
  <c r="J1919" i="13" s="1" a="1"/>
  <c r="J1919" i="13" s="1"/>
  <c r="M805" i="12" a="1"/>
  <c r="M805" i="12" s="1"/>
  <c r="M1948" i="13" s="1" a="1"/>
  <c r="M1948" i="13" s="1"/>
  <c r="M1975" i="13" s="1"/>
  <c r="I805" i="12" a="1"/>
  <c r="I805" i="12" s="1"/>
  <c r="I1948" i="13" s="1" a="1"/>
  <c r="I1948" i="13" s="1"/>
  <c r="I1975" i="13" s="1"/>
  <c r="O805" i="12" a="1"/>
  <c r="O805" i="12" s="1"/>
  <c r="O1948" i="13" s="1" a="1"/>
  <c r="O1948" i="13" s="1"/>
  <c r="O1975" i="13" s="1"/>
  <c r="E805" i="12" a="1"/>
  <c r="E805" i="12" s="1"/>
  <c r="E1948" i="13" s="1" a="1"/>
  <c r="E1948" i="13" s="1"/>
  <c r="E1975" i="13" s="1"/>
  <c r="K805" i="12" a="1"/>
  <c r="K805" i="12" s="1"/>
  <c r="K1948" i="13" s="1" a="1"/>
  <c r="K1948" i="13" s="1"/>
  <c r="K1975" i="13" s="1"/>
  <c r="R807" i="12"/>
  <c r="J805" i="12" a="1"/>
  <c r="J805" i="12" s="1"/>
  <c r="J1948" i="13" s="1" a="1"/>
  <c r="J1948" i="13" s="1"/>
  <c r="J1975" i="13" s="1"/>
  <c r="G805" i="12" a="1"/>
  <c r="G805" i="12" s="1"/>
  <c r="G1948" i="13" s="1" a="1"/>
  <c r="G1948" i="13" s="1"/>
  <c r="G1975" i="13" s="1"/>
  <c r="L805" i="12" a="1"/>
  <c r="L805" i="12" s="1"/>
  <c r="L1948" i="13" s="1" a="1"/>
  <c r="L1948" i="13" s="1"/>
  <c r="L1975" i="13" s="1"/>
  <c r="N805" i="12" a="1"/>
  <c r="N805" i="12" s="1"/>
  <c r="N1948" i="13" s="1" a="1"/>
  <c r="N1948" i="13" s="1"/>
  <c r="N1975" i="13" s="1"/>
  <c r="H805" i="12" a="1"/>
  <c r="H805" i="12" s="1"/>
  <c r="H1948" i="13" s="1" a="1"/>
  <c r="H1948" i="13" s="1"/>
  <c r="H1975" i="13" s="1"/>
  <c r="D805" i="12" a="1"/>
  <c r="D805" i="12" s="1"/>
  <c r="D1948" i="13" s="1" a="1"/>
  <c r="D1948" i="13" s="1"/>
  <c r="D1975" i="13" s="1"/>
  <c r="F805" i="12" a="1"/>
  <c r="F805" i="12" s="1"/>
  <c r="F1948" i="13" s="1" a="1"/>
  <c r="F1948" i="13" s="1"/>
  <c r="F1975" i="13" s="1"/>
  <c r="H551" i="12"/>
  <c r="K1880" i="13" a="1"/>
  <c r="K1880" i="13" s="1"/>
  <c r="K1907" i="13" s="1"/>
  <c r="K783" i="12"/>
  <c r="K1885" i="13" s="1" a="1"/>
  <c r="K1885" i="13" s="1"/>
  <c r="K788" i="12"/>
  <c r="H1880" i="13" a="1"/>
  <c r="H1880" i="13" s="1"/>
  <c r="H1907" i="13" s="1"/>
  <c r="H788" i="12"/>
  <c r="H783" i="12"/>
  <c r="H1885" i="13" s="1" a="1"/>
  <c r="H1885" i="13" s="1"/>
  <c r="L797" i="12"/>
  <c r="L1919" i="13" s="1" a="1"/>
  <c r="L1919" i="13" s="1"/>
  <c r="L802" i="12"/>
  <c r="R808" i="12"/>
  <c r="E1880" i="13" a="1"/>
  <c r="E1880" i="13" s="1"/>
  <c r="E1907" i="13" s="1"/>
  <c r="E783" i="12"/>
  <c r="E1885" i="13" s="1" a="1"/>
  <c r="E1885" i="13" s="1"/>
  <c r="E788" i="12"/>
  <c r="J780" i="12" a="1"/>
  <c r="J780" i="12" s="1"/>
  <c r="I780" i="12" a="1"/>
  <c r="I780" i="12" s="1"/>
  <c r="H780" i="12" a="1"/>
  <c r="H780" i="12" s="1"/>
  <c r="O780" i="12" a="1"/>
  <c r="O780" i="12" s="1"/>
  <c r="G780" i="12" a="1"/>
  <c r="G780" i="12" s="1"/>
  <c r="M780" i="12" a="1"/>
  <c r="M780" i="12" s="1"/>
  <c r="E780" i="12" a="1"/>
  <c r="E780" i="12" s="1"/>
  <c r="L780" i="12" a="1"/>
  <c r="L780" i="12" s="1"/>
  <c r="D780" i="12" a="1"/>
  <c r="D780" i="12" s="1"/>
  <c r="N780" i="12" a="1"/>
  <c r="N780" i="12" s="1"/>
  <c r="K780" i="12" a="1"/>
  <c r="K780" i="12" s="1"/>
  <c r="F780" i="12" a="1"/>
  <c r="F780" i="12" s="1"/>
  <c r="N767" i="12" a="1"/>
  <c r="N767" i="12" s="1"/>
  <c r="F767" i="12" a="1"/>
  <c r="F767" i="12" s="1"/>
  <c r="M767" i="12" a="1"/>
  <c r="M767" i="12" s="1"/>
  <c r="E767" i="12" a="1"/>
  <c r="E767" i="12" s="1"/>
  <c r="L767" i="12" a="1"/>
  <c r="L767" i="12" s="1"/>
  <c r="D767" i="12" a="1"/>
  <c r="D767" i="12" s="1"/>
  <c r="K767" i="12" a="1"/>
  <c r="K767" i="12" s="1"/>
  <c r="I767" i="12" a="1"/>
  <c r="I767" i="12" s="1"/>
  <c r="H767" i="12" a="1"/>
  <c r="H767" i="12" s="1"/>
  <c r="O767" i="12" a="1"/>
  <c r="O767" i="12" s="1"/>
  <c r="J767" i="12" a="1"/>
  <c r="J767" i="12" s="1"/>
  <c r="G767" i="12" a="1"/>
  <c r="G767" i="12" s="1"/>
  <c r="N1880" i="13" a="1"/>
  <c r="N1880" i="13" s="1"/>
  <c r="N1907" i="13" s="1"/>
  <c r="N788" i="12"/>
  <c r="N783" i="12"/>
  <c r="N1885" i="13" s="1" a="1"/>
  <c r="N1885" i="13" s="1"/>
  <c r="I1880" i="13" a="1"/>
  <c r="I1880" i="13" s="1"/>
  <c r="I1907" i="13" s="1"/>
  <c r="I783" i="12"/>
  <c r="I1885" i="13" s="1" a="1"/>
  <c r="I1885" i="13" s="1"/>
  <c r="I788" i="12"/>
  <c r="N797" i="12"/>
  <c r="N1919" i="13" s="1" a="1"/>
  <c r="N1919" i="13" s="1"/>
  <c r="N802" i="12"/>
  <c r="M797" i="12"/>
  <c r="M1919" i="13" s="1" a="1"/>
  <c r="M1919" i="13" s="1"/>
  <c r="M802" i="12"/>
  <c r="D788" i="12"/>
  <c r="D1880" i="13" a="1"/>
  <c r="D1880" i="13" s="1"/>
  <c r="D1907" i="13" s="1"/>
  <c r="D783" i="12"/>
  <c r="D1885" i="13" s="1" a="1"/>
  <c r="D1885" i="13" s="1"/>
  <c r="J1880" i="13" a="1"/>
  <c r="J1880" i="13" s="1"/>
  <c r="J1907" i="13" s="1"/>
  <c r="J788" i="12"/>
  <c r="J783" i="12"/>
  <c r="J1885" i="13" s="1" a="1"/>
  <c r="J1885" i="13" s="1"/>
  <c r="I802" i="12"/>
  <c r="I797" i="12"/>
  <c r="I1919" i="13" s="1" a="1"/>
  <c r="I1919" i="13" s="1"/>
  <c r="N793" i="12" a="1"/>
  <c r="N793" i="12" s="1"/>
  <c r="N1915" i="13" s="1" a="1"/>
  <c r="N1915" i="13" s="1"/>
  <c r="H793" i="12" a="1"/>
  <c r="H793" i="12" s="1"/>
  <c r="H1915" i="13" s="1" a="1"/>
  <c r="H1915" i="13" s="1"/>
  <c r="J793" i="12" a="1"/>
  <c r="J793" i="12" s="1"/>
  <c r="J1915" i="13" s="1" a="1"/>
  <c r="J1915" i="13" s="1"/>
  <c r="D793" i="12" a="1"/>
  <c r="D793" i="12" s="1"/>
  <c r="D1915" i="13" s="1" a="1"/>
  <c r="D1915" i="13" s="1"/>
  <c r="F793" i="12" a="1"/>
  <c r="F793" i="12" s="1"/>
  <c r="F1915" i="13" s="1" a="1"/>
  <c r="F1915" i="13" s="1"/>
  <c r="O793" i="12" a="1"/>
  <c r="O793" i="12" s="1"/>
  <c r="O1915" i="13" s="1" a="1"/>
  <c r="O1915" i="13" s="1"/>
  <c r="M793" i="12" a="1"/>
  <c r="M793" i="12" s="1"/>
  <c r="M1915" i="13" s="1" a="1"/>
  <c r="M1915" i="13" s="1"/>
  <c r="K793" i="12" a="1"/>
  <c r="K793" i="12" s="1"/>
  <c r="K1915" i="13" s="1" a="1"/>
  <c r="K1915" i="13" s="1"/>
  <c r="I793" i="12" a="1"/>
  <c r="I793" i="12" s="1"/>
  <c r="I1915" i="13" s="1" a="1"/>
  <c r="I1915" i="13" s="1"/>
  <c r="G793" i="12" a="1"/>
  <c r="G793" i="12" s="1"/>
  <c r="G1915" i="13" s="1" a="1"/>
  <c r="G1915" i="13" s="1"/>
  <c r="E793" i="12" a="1"/>
  <c r="E793" i="12" s="1"/>
  <c r="E1915" i="13" s="1" a="1"/>
  <c r="E1915" i="13" s="1"/>
  <c r="R795" i="12"/>
  <c r="L793" i="12" a="1"/>
  <c r="L793" i="12" s="1"/>
  <c r="L1915" i="13" s="1" a="1"/>
  <c r="L1915" i="13" s="1"/>
  <c r="I877" i="10" a="1"/>
  <c r="I877" i="10" s="1"/>
  <c r="G877" i="10" a="1"/>
  <c r="G877" i="10" s="1"/>
  <c r="E877" i="10" a="1"/>
  <c r="E877" i="10" s="1"/>
  <c r="H877" i="10" a="1"/>
  <c r="H877" i="10" s="1"/>
  <c r="P877" i="10" a="1"/>
  <c r="P877" i="10" s="1"/>
  <c r="P880" i="10" s="1"/>
  <c r="L877" i="10" a="1"/>
  <c r="L877" i="10" s="1"/>
  <c r="N877" i="10" a="1"/>
  <c r="N877" i="10" s="1"/>
  <c r="K877" i="10" a="1"/>
  <c r="K877" i="10" s="1"/>
  <c r="J877" i="10" a="1"/>
  <c r="J877" i="10" s="1"/>
  <c r="D877" i="10" a="1"/>
  <c r="D877" i="10" s="1"/>
  <c r="F877" i="10" a="1"/>
  <c r="F877" i="10" s="1"/>
  <c r="O877" i="10" a="1"/>
  <c r="O877" i="10" s="1"/>
  <c r="M877" i="10" a="1"/>
  <c r="M877" i="10" s="1"/>
  <c r="E890" i="10" a="1"/>
  <c r="E890" i="10" s="1"/>
  <c r="AA891" i="10"/>
  <c r="I890" i="10" a="1"/>
  <c r="I890" i="10" s="1"/>
  <c r="N890" i="10" a="1"/>
  <c r="N890" i="10" s="1"/>
  <c r="G890" i="10" a="1"/>
  <c r="G890" i="10" s="1"/>
  <c r="J890" i="10" a="1"/>
  <c r="J890" i="10" s="1"/>
  <c r="P890" i="10" a="1"/>
  <c r="P890" i="10" s="1"/>
  <c r="K890" i="10" a="1"/>
  <c r="K890" i="10" s="1"/>
  <c r="F890" i="10" a="1"/>
  <c r="F890" i="10" s="1"/>
  <c r="L890" i="10" a="1"/>
  <c r="L890" i="10" s="1"/>
  <c r="O890" i="10" a="1"/>
  <c r="O890" i="10" s="1"/>
  <c r="H890" i="10" a="1"/>
  <c r="H890" i="10" s="1"/>
  <c r="M890" i="10" a="1"/>
  <c r="M890" i="10" s="1"/>
  <c r="D890" i="10" a="1"/>
  <c r="D890" i="10" s="1"/>
  <c r="D904" i="10" a="1"/>
  <c r="D904" i="10" s="1"/>
  <c r="H904" i="10" a="1"/>
  <c r="H904" i="10" s="1"/>
  <c r="M904" i="10" a="1"/>
  <c r="M904" i="10" s="1"/>
  <c r="O904" i="10" a="1"/>
  <c r="O904" i="10" s="1"/>
  <c r="AA905" i="10"/>
  <c r="I904" i="10" a="1"/>
  <c r="I904" i="10" s="1"/>
  <c r="K904" i="10" a="1"/>
  <c r="K904" i="10" s="1"/>
  <c r="E904" i="10" a="1"/>
  <c r="E904" i="10" s="1"/>
  <c r="G904" i="10" a="1"/>
  <c r="G904" i="10" s="1"/>
  <c r="N904" i="10" a="1"/>
  <c r="N904" i="10" s="1"/>
  <c r="P904" i="10" a="1"/>
  <c r="P904" i="10" s="1"/>
  <c r="J904" i="10" a="1"/>
  <c r="J904" i="10" s="1"/>
  <c r="L904" i="10" a="1"/>
  <c r="L904" i="10" s="1"/>
  <c r="F904" i="10" a="1"/>
  <c r="F904" i="10" s="1"/>
  <c r="D1440" i="13" a="1"/>
  <c r="D1440" i="13" s="1"/>
  <c r="D607" i="12"/>
  <c r="G1436" i="13" a="1"/>
  <c r="G1436" i="13" s="1"/>
  <c r="G1463" i="13" s="1"/>
  <c r="G605" i="12"/>
  <c r="G600" i="12"/>
  <c r="D617" i="12"/>
  <c r="GP55" i="9" a="1"/>
  <c r="GP55" i="9" s="1"/>
  <c r="GQ55" i="9" s="1"/>
  <c r="FW56" i="9" a="1"/>
  <c r="FW56" i="9" s="1"/>
  <c r="FX56" i="9" s="1"/>
  <c r="IB53" i="9" a="1"/>
  <c r="IB53" i="9" s="1"/>
  <c r="IC53" i="9" s="1"/>
  <c r="D650" i="12" a="1"/>
  <c r="D650" i="12" s="1"/>
  <c r="D1509" i="13" a="1"/>
  <c r="D1509" i="13" s="1"/>
  <c r="D630" i="12"/>
  <c r="D632" i="12" s="1"/>
  <c r="D1510" i="13" s="1" a="1"/>
  <c r="D1510" i="13" s="1"/>
  <c r="D647" i="12"/>
  <c r="D1538" i="13" a="1"/>
  <c r="D1538" i="13" s="1"/>
  <c r="D1565" i="13" s="1"/>
  <c r="D642" i="12"/>
  <c r="N565" i="12"/>
  <c r="K607" i="12"/>
  <c r="M579" i="12"/>
  <c r="I1508" i="13" a="1"/>
  <c r="I1508" i="13" s="1"/>
  <c r="O561" i="12"/>
  <c r="O1338" i="13" s="1" a="1"/>
  <c r="O1338" i="13" s="1"/>
  <c r="E691" i="12"/>
  <c r="F677" i="12"/>
  <c r="M589" i="12"/>
  <c r="M1406" i="13" s="1" a="1"/>
  <c r="M1406" i="13" s="1"/>
  <c r="J631" i="12"/>
  <c r="J1508" i="13" s="1" a="1"/>
  <c r="J1508" i="13" s="1"/>
  <c r="F687" i="12"/>
  <c r="F1644" i="13" s="1" a="1"/>
  <c r="F1644" i="13" s="1"/>
  <c r="I645" i="12"/>
  <c r="I1542" i="13" s="1" a="1"/>
  <c r="I1542" i="13" s="1"/>
  <c r="E701" i="12"/>
  <c r="E705" i="12" s="1"/>
  <c r="L603" i="12"/>
  <c r="L1440" i="13" s="1" a="1"/>
  <c r="L1440" i="13" s="1"/>
  <c r="F708" i="12" a="1"/>
  <c r="F708" i="12" s="1"/>
  <c r="F1709" i="13" s="1" a="1"/>
  <c r="F1709" i="13" s="1"/>
  <c r="BQ61" i="9" s="1" a="1"/>
  <c r="BQ61" i="9" s="1"/>
  <c r="K638" i="12" a="1"/>
  <c r="K638" i="12" s="1"/>
  <c r="K1539" i="13" s="1" a="1"/>
  <c r="K1539" i="13" s="1"/>
  <c r="FH56" i="9" s="1" a="1"/>
  <c r="FH56" i="9" s="1"/>
  <c r="L624" i="12" a="1"/>
  <c r="L624" i="12" s="1"/>
  <c r="L1505" i="13" s="1" a="1"/>
  <c r="L1505" i="13" s="1"/>
  <c r="GA55" i="9" s="1" a="1"/>
  <c r="GA55" i="9" s="1"/>
  <c r="D72" i="24" a="1"/>
  <c r="D72" i="24" s="1"/>
  <c r="O574" i="12"/>
  <c r="O576" i="12" s="1"/>
  <c r="O1374" i="13" s="1" a="1"/>
  <c r="O1374" i="13" s="1"/>
  <c r="O1373" i="13" a="1"/>
  <c r="O1373" i="13" s="1"/>
  <c r="L616" i="12"/>
  <c r="L618" i="12" s="1"/>
  <c r="L1476" i="13" s="1" a="1"/>
  <c r="L1476" i="13" s="1"/>
  <c r="L1475" i="13" a="1"/>
  <c r="L1475" i="13" s="1"/>
  <c r="N588" i="12"/>
  <c r="N590" i="12" s="1"/>
  <c r="N1408" i="13" s="1" a="1"/>
  <c r="N1408" i="13" s="1"/>
  <c r="N1407" i="13" a="1"/>
  <c r="N1407" i="13" s="1"/>
  <c r="E731" i="12"/>
  <c r="E1742" i="13" a="1"/>
  <c r="E1742" i="13" s="1"/>
  <c r="E1769" i="13" s="1"/>
  <c r="E726" i="12"/>
  <c r="J661" i="12"/>
  <c r="J1572" i="13" a="1"/>
  <c r="J1572" i="13" s="1"/>
  <c r="J1599" i="13" s="1"/>
  <c r="J656" i="12"/>
  <c r="M602" i="12"/>
  <c r="M604" i="12" s="1"/>
  <c r="M1442" i="13" s="1" a="1"/>
  <c r="M1442" i="13" s="1"/>
  <c r="M1441" i="13" a="1"/>
  <c r="M1441" i="13" s="1"/>
  <c r="I670" i="12"/>
  <c r="I675" i="12"/>
  <c r="I1606" i="13" a="1"/>
  <c r="I1606" i="13" s="1"/>
  <c r="I1633" i="13" s="1"/>
  <c r="J664" i="12" a="1"/>
  <c r="J664" i="12" s="1"/>
  <c r="DZ58" i="9" a="1"/>
  <c r="DZ58" i="9" s="1"/>
  <c r="A748" i="12" a="1"/>
  <c r="A748" i="12" s="1"/>
  <c r="C74" i="28" a="1"/>
  <c r="C74" i="28" s="1"/>
  <c r="A1807" i="13" a="1"/>
  <c r="A1807" i="13" s="1"/>
  <c r="FL56" i="9" a="1"/>
  <c r="FL56" i="9" s="1"/>
  <c r="L636" i="12" a="1"/>
  <c r="L636" i="12" s="1"/>
  <c r="M622" i="12" a="1"/>
  <c r="M622" i="12" s="1"/>
  <c r="GE55" i="9" a="1"/>
  <c r="GE55" i="9" s="1"/>
  <c r="GX54" i="9" a="1"/>
  <c r="GX54" i="9" s="1"/>
  <c r="N608" i="12" a="1"/>
  <c r="N608" i="12" s="1"/>
  <c r="F1679" i="13" a="1"/>
  <c r="F1679" i="13" s="1"/>
  <c r="F700" i="12"/>
  <c r="F702" i="12" s="1"/>
  <c r="F1680" i="13" s="1" a="1"/>
  <c r="F1680" i="13" s="1"/>
  <c r="N1436" i="13" a="1"/>
  <c r="N1436" i="13" s="1"/>
  <c r="N1463" i="13" s="1"/>
  <c r="N605" i="12"/>
  <c r="N600" i="12"/>
  <c r="H1542" i="13" a="1"/>
  <c r="H1542" i="13" s="1"/>
  <c r="H649" i="12"/>
  <c r="I666" i="12" a="1"/>
  <c r="I666" i="12" s="1"/>
  <c r="I1607" i="13" s="1" a="1"/>
  <c r="I1607" i="13" s="1"/>
  <c r="DV58" i="9" s="1" a="1"/>
  <c r="DV58" i="9" s="1"/>
  <c r="IB60" i="9" a="1"/>
  <c r="IB60" i="9" s="1"/>
  <c r="IC60" i="9" s="1"/>
  <c r="M610" i="12" a="1"/>
  <c r="M610" i="12" s="1"/>
  <c r="M1471" i="13" s="1" a="1"/>
  <c r="M1471" i="13" s="1"/>
  <c r="GT54" i="9" s="1" a="1"/>
  <c r="GT54" i="9" s="1"/>
  <c r="FW63" i="9" a="1"/>
  <c r="FW63" i="9" s="1"/>
  <c r="FX63" i="9" s="1"/>
  <c r="E722" i="12" a="1"/>
  <c r="E722" i="12" s="1"/>
  <c r="E1743" i="13" s="1" a="1"/>
  <c r="E1743" i="13" s="1"/>
  <c r="AX62" i="9" s="1" a="1"/>
  <c r="AX62" i="9" s="1"/>
  <c r="H659" i="12"/>
  <c r="K617" i="12"/>
  <c r="O1402" i="13" a="1"/>
  <c r="O1402" i="13" s="1"/>
  <c r="O1429" i="13" s="1"/>
  <c r="O586" i="12"/>
  <c r="O591" i="12"/>
  <c r="J652" i="12" a="1"/>
  <c r="J652" i="12" s="1"/>
  <c r="J1573" i="13" s="1" a="1"/>
  <c r="J1573" i="13" s="1"/>
  <c r="EO57" i="9" s="1" a="1"/>
  <c r="EO57" i="9" s="1"/>
  <c r="BB62" i="9" a="1"/>
  <c r="BB62" i="9" s="1"/>
  <c r="F720" i="12" a="1"/>
  <c r="F720" i="12" s="1"/>
  <c r="K642" i="12"/>
  <c r="K1538" i="13" a="1"/>
  <c r="K1538" i="13" s="1"/>
  <c r="K1565" i="13" s="1"/>
  <c r="K647" i="12"/>
  <c r="K630" i="12"/>
  <c r="K632" i="12" s="1"/>
  <c r="K1510" i="13" s="1" a="1"/>
  <c r="K1510" i="13" s="1"/>
  <c r="K1509" i="13" a="1"/>
  <c r="K1509" i="13" s="1"/>
  <c r="L1406" i="13" a="1"/>
  <c r="L1406" i="13" s="1"/>
  <c r="L593" i="12"/>
  <c r="G694" i="12" a="1"/>
  <c r="G694" i="12" s="1"/>
  <c r="G1675" i="13" s="1" a="1"/>
  <c r="G1675" i="13" s="1"/>
  <c r="CJ60" i="9" s="1" a="1"/>
  <c r="CJ60" i="9" s="1"/>
  <c r="I1577" i="13" a="1"/>
  <c r="I1577" i="13" s="1"/>
  <c r="I658" i="12"/>
  <c r="I660" i="12" s="1"/>
  <c r="I1578" i="13" s="1" a="1"/>
  <c r="I1578" i="13" s="1"/>
  <c r="F717" i="12"/>
  <c r="F712" i="12"/>
  <c r="F1708" i="13" a="1"/>
  <c r="F1708" i="13" s="1"/>
  <c r="F1735" i="13" s="1"/>
  <c r="N575" i="12"/>
  <c r="I678" i="12" a="1"/>
  <c r="I678" i="12" s="1"/>
  <c r="DG59" i="9" a="1"/>
  <c r="DG59" i="9" s="1"/>
  <c r="N596" i="12" a="1"/>
  <c r="N596" i="12" s="1"/>
  <c r="N1437" i="13" s="1" a="1"/>
  <c r="N1437" i="13" s="1"/>
  <c r="HM53" i="9" s="1" a="1"/>
  <c r="HM53" i="9" s="1"/>
  <c r="CN60" i="9" a="1"/>
  <c r="CN60" i="9" s="1"/>
  <c r="H692" i="12" a="1"/>
  <c r="H692" i="12" s="1"/>
  <c r="O582" i="12" a="1"/>
  <c r="O582" i="12" s="1"/>
  <c r="O1403" i="13" s="1" a="1"/>
  <c r="O1403" i="13" s="1"/>
  <c r="IF52" i="9" s="1" a="1"/>
  <c r="IF52" i="9" s="1"/>
  <c r="E734" i="12" a="1"/>
  <c r="E734" i="12" s="1"/>
  <c r="AI63" i="9" a="1"/>
  <c r="AI63" i="9" s="1"/>
  <c r="E1713" i="13" a="1"/>
  <c r="E1713" i="13" s="1"/>
  <c r="E714" i="12"/>
  <c r="E716" i="12" s="1"/>
  <c r="E1714" i="13" s="1" a="1"/>
  <c r="E1714" i="13" s="1"/>
  <c r="H1640" i="13" a="1"/>
  <c r="H1640" i="13" s="1"/>
  <c r="H1667" i="13" s="1"/>
  <c r="H689" i="12"/>
  <c r="H684" i="12"/>
  <c r="J1543" i="13" a="1"/>
  <c r="J1543" i="13" s="1"/>
  <c r="J644" i="12"/>
  <c r="J646" i="12" s="1"/>
  <c r="J1544" i="13" s="1" a="1"/>
  <c r="J1544" i="13" s="1"/>
  <c r="H672" i="12"/>
  <c r="H674" i="12" s="1"/>
  <c r="H1612" i="13" s="1" a="1"/>
  <c r="H1612" i="13" s="1"/>
  <c r="H1611" i="13" a="1"/>
  <c r="H1611" i="13" s="1"/>
  <c r="O594" i="12" a="1"/>
  <c r="O594" i="12" s="1"/>
  <c r="HQ53" i="9" a="1"/>
  <c r="HQ53" i="9" s="1"/>
  <c r="K650" i="12" a="1"/>
  <c r="K650" i="12" s="1"/>
  <c r="ES57" i="9" a="1"/>
  <c r="ES57" i="9" s="1"/>
  <c r="H680" i="12" a="1"/>
  <c r="H680" i="12" s="1"/>
  <c r="H1641" i="13" s="1" a="1"/>
  <c r="H1641" i="13" s="1"/>
  <c r="DC59" i="9" s="1" a="1"/>
  <c r="DC59" i="9" s="1"/>
  <c r="M1470" i="13" a="1"/>
  <c r="M1470" i="13" s="1"/>
  <c r="M1497" i="13" s="1"/>
  <c r="M614" i="12"/>
  <c r="M619" i="12"/>
  <c r="L1504" i="13" a="1"/>
  <c r="L1504" i="13" s="1"/>
  <c r="L1531" i="13" s="1"/>
  <c r="L628" i="12"/>
  <c r="L633" i="12"/>
  <c r="BU59" i="9" a="1"/>
  <c r="BU59" i="9" s="1"/>
  <c r="B1667" i="13"/>
  <c r="B1668" i="13" s="1"/>
  <c r="B1669" i="13" s="1"/>
  <c r="B1670" i="13" s="1"/>
  <c r="B1662" i="13"/>
  <c r="B1663" i="13" s="1"/>
  <c r="B1664" i="13" s="1"/>
  <c r="B1665" i="13" s="1"/>
  <c r="B1700" i="13"/>
  <c r="B1695" i="13"/>
  <c r="B1712" i="13"/>
  <c r="B1713" i="13" s="1"/>
  <c r="B1714" i="13" s="1"/>
  <c r="B1715" i="13" s="1"/>
  <c r="B1716" i="13"/>
  <c r="B1717" i="13" s="1"/>
  <c r="B1718" i="13" s="1"/>
  <c r="B1719" i="13" s="1"/>
  <c r="B1720" i="13" s="1"/>
  <c r="B1721" i="13" s="1"/>
  <c r="B1722" i="13" s="1"/>
  <c r="B1723" i="13" s="1"/>
  <c r="B1724" i="13" s="1"/>
  <c r="B1725" i="13" s="1"/>
  <c r="B1726" i="13" s="1"/>
  <c r="B1727" i="13" s="1"/>
  <c r="B1728" i="13" s="1"/>
  <c r="B1773" i="13" a="1"/>
  <c r="B1773" i="13" s="1"/>
  <c r="B1774" i="13" s="1"/>
  <c r="B1744" i="13"/>
  <c r="B1745" i="13" s="1"/>
  <c r="B1741" i="13"/>
  <c r="B1742" i="13" s="1"/>
  <c r="B1743" i="13" s="1"/>
  <c r="B2113" i="13" a="1"/>
  <c r="B2113" i="13" s="1"/>
  <c r="B2114" i="13" s="1"/>
  <c r="B734" i="12" a="1"/>
  <c r="B734" i="12" s="1"/>
  <c r="R781" i="12"/>
  <c r="I917" i="10" l="1" a="1"/>
  <c r="I917" i="10" s="1"/>
  <c r="N917" i="10" a="1"/>
  <c r="N917" i="10" s="1"/>
  <c r="E917" i="10" a="1"/>
  <c r="E917" i="10" s="1"/>
  <c r="AA918" i="10"/>
  <c r="P917" i="10" a="1"/>
  <c r="P917" i="10" s="1"/>
  <c r="F917" i="10" a="1"/>
  <c r="F917" i="10" s="1"/>
  <c r="L917" i="10" a="1"/>
  <c r="L917" i="10" s="1"/>
  <c r="H917" i="10" a="1"/>
  <c r="H917" i="10" s="1"/>
  <c r="M917" i="10" a="1"/>
  <c r="M917" i="10" s="1"/>
  <c r="D917" i="10" a="1"/>
  <c r="D917" i="10" s="1"/>
  <c r="O917" i="10" a="1"/>
  <c r="O917" i="10" s="1"/>
  <c r="K917" i="10" a="1"/>
  <c r="K917" i="10" s="1"/>
  <c r="G917" i="10" a="1"/>
  <c r="G917" i="10" s="1"/>
  <c r="J917" i="10" a="1"/>
  <c r="J917" i="10" s="1"/>
  <c r="AA932" i="10"/>
  <c r="G931" i="10" a="1"/>
  <c r="G931" i="10" s="1"/>
  <c r="E931" i="10" a="1"/>
  <c r="E931" i="10" s="1"/>
  <c r="N931" i="10" a="1"/>
  <c r="N931" i="10" s="1"/>
  <c r="F931" i="10" a="1"/>
  <c r="F931" i="10" s="1"/>
  <c r="L931" i="10" a="1"/>
  <c r="L931" i="10" s="1"/>
  <c r="H931" i="10" a="1"/>
  <c r="H931" i="10" s="1"/>
  <c r="J931" i="10" a="1"/>
  <c r="J931" i="10" s="1"/>
  <c r="K931" i="10" a="1"/>
  <c r="K931" i="10" s="1"/>
  <c r="P931" i="10" a="1"/>
  <c r="P931" i="10" s="1"/>
  <c r="D931" i="10" a="1"/>
  <c r="D931" i="10" s="1"/>
  <c r="M931" i="10" a="1"/>
  <c r="M931" i="10" s="1"/>
  <c r="O931" i="10" a="1"/>
  <c r="O931" i="10" s="1"/>
  <c r="I931" i="10" a="1"/>
  <c r="I931" i="10" s="1"/>
  <c r="L607" i="12"/>
  <c r="O565" i="12"/>
  <c r="B2074" i="13"/>
  <c r="B2069" i="13"/>
  <c r="B2090" i="13"/>
  <c r="B2091" i="13" s="1"/>
  <c r="B2092" i="13" s="1"/>
  <c r="B2093" i="13" s="1"/>
  <c r="B2094" i="13" s="1"/>
  <c r="B2095" i="13" s="1"/>
  <c r="B2096" i="13" s="1"/>
  <c r="B2097" i="13" s="1"/>
  <c r="B2098" i="13" s="1"/>
  <c r="B2099" i="13" s="1"/>
  <c r="B2100" i="13" s="1"/>
  <c r="B2101" i="13" s="1"/>
  <c r="B2102" i="13" s="1"/>
  <c r="B2086" i="13"/>
  <c r="B2087" i="13" s="1"/>
  <c r="B2088" i="13" s="1"/>
  <c r="B2089" i="13" s="1"/>
  <c r="D631" i="12"/>
  <c r="D635" i="12" s="1"/>
  <c r="B2036" i="13"/>
  <c r="B2037" i="13" s="1"/>
  <c r="B2038" i="13" s="1"/>
  <c r="B2039" i="13" s="1"/>
  <c r="B2041" i="13"/>
  <c r="B2042" i="13" s="1"/>
  <c r="B2043" i="13" s="1"/>
  <c r="B2044" i="13" s="1"/>
  <c r="B2118" i="13"/>
  <c r="B2119" i="13" s="1"/>
  <c r="B2115" i="13"/>
  <c r="B2116" i="13" s="1"/>
  <c r="B2117" i="13" s="1"/>
  <c r="O808" i="12" a="1"/>
  <c r="O808" i="12" s="1"/>
  <c r="E808" i="12" a="1"/>
  <c r="E808" i="12" s="1"/>
  <c r="K808" i="12" a="1"/>
  <c r="K808" i="12" s="1"/>
  <c r="D808" i="12" a="1"/>
  <c r="D808" i="12" s="1"/>
  <c r="G808" i="12" a="1"/>
  <c r="G808" i="12" s="1"/>
  <c r="N808" i="12" a="1"/>
  <c r="N808" i="12" s="1"/>
  <c r="J808" i="12" a="1"/>
  <c r="J808" i="12" s="1"/>
  <c r="L808" i="12" a="1"/>
  <c r="L808" i="12" s="1"/>
  <c r="F808" i="12" a="1"/>
  <c r="F808" i="12" s="1"/>
  <c r="H808" i="12" a="1"/>
  <c r="H808" i="12" s="1"/>
  <c r="M808" i="12" a="1"/>
  <c r="M808" i="12" s="1"/>
  <c r="I808" i="12" a="1"/>
  <c r="I808" i="12" s="1"/>
  <c r="F811" i="12"/>
  <c r="F1953" i="13" s="1" a="1"/>
  <c r="F1953" i="13" s="1"/>
  <c r="F816" i="12"/>
  <c r="K816" i="12"/>
  <c r="K811" i="12"/>
  <c r="K1953" i="13" s="1" a="1"/>
  <c r="K1953" i="13" s="1"/>
  <c r="R846" i="12"/>
  <c r="B832" i="12" a="1"/>
  <c r="B832" i="12" s="1"/>
  <c r="R834" i="12"/>
  <c r="R833" i="12"/>
  <c r="E811" i="12"/>
  <c r="E1953" i="13" s="1" a="1"/>
  <c r="E1953" i="13" s="1"/>
  <c r="E816" i="12"/>
  <c r="H816" i="12"/>
  <c r="H811" i="12"/>
  <c r="H1953" i="13" s="1" a="1"/>
  <c r="H1953" i="13" s="1"/>
  <c r="O816" i="12"/>
  <c r="O811" i="12"/>
  <c r="O1953" i="13" s="1" a="1"/>
  <c r="O1953" i="13" s="1"/>
  <c r="D811" i="12"/>
  <c r="D1953" i="13" s="1" a="1"/>
  <c r="D1953" i="13" s="1"/>
  <c r="D816" i="12"/>
  <c r="N811" i="12"/>
  <c r="N1953" i="13" s="1" a="1"/>
  <c r="N1953" i="13" s="1"/>
  <c r="N816" i="12"/>
  <c r="I816" i="12"/>
  <c r="I811" i="12"/>
  <c r="I1953" i="13" s="1" a="1"/>
  <c r="I1953" i="13" s="1"/>
  <c r="L816" i="12"/>
  <c r="L811" i="12"/>
  <c r="L1953" i="13" s="1" a="1"/>
  <c r="L1953" i="13" s="1"/>
  <c r="M811" i="12"/>
  <c r="M1953" i="13" s="1" a="1"/>
  <c r="M1953" i="13" s="1"/>
  <c r="M816" i="12"/>
  <c r="G811" i="12"/>
  <c r="G1953" i="13" s="1" a="1"/>
  <c r="G1953" i="13" s="1"/>
  <c r="G816" i="12"/>
  <c r="N781" i="12" a="1"/>
  <c r="N781" i="12" s="1"/>
  <c r="F781" i="12" a="1"/>
  <c r="F781" i="12" s="1"/>
  <c r="M781" i="12" a="1"/>
  <c r="M781" i="12" s="1"/>
  <c r="E781" i="12" a="1"/>
  <c r="E781" i="12" s="1"/>
  <c r="L781" i="12" a="1"/>
  <c r="L781" i="12" s="1"/>
  <c r="D781" i="12" a="1"/>
  <c r="D781" i="12" s="1"/>
  <c r="K781" i="12" a="1"/>
  <c r="K781" i="12" s="1"/>
  <c r="I781" i="12" a="1"/>
  <c r="I781" i="12" s="1"/>
  <c r="H781" i="12" a="1"/>
  <c r="H781" i="12" s="1"/>
  <c r="J781" i="12" a="1"/>
  <c r="J781" i="12" s="1"/>
  <c r="G781" i="12" a="1"/>
  <c r="G781" i="12" s="1"/>
  <c r="O781" i="12" a="1"/>
  <c r="O781" i="12" s="1"/>
  <c r="J816" i="12"/>
  <c r="J811" i="12"/>
  <c r="J1953" i="13" s="1" a="1"/>
  <c r="J1953" i="13" s="1"/>
  <c r="M819" i="12" a="1"/>
  <c r="M819" i="12" s="1"/>
  <c r="M1982" i="13" s="1" a="1"/>
  <c r="M1982" i="13" s="1"/>
  <c r="M2009" i="13" s="1"/>
  <c r="O819" i="12" a="1"/>
  <c r="O819" i="12" s="1"/>
  <c r="O1982" i="13" s="1" a="1"/>
  <c r="O1982" i="13" s="1"/>
  <c r="O2009" i="13" s="1"/>
  <c r="I819" i="12" a="1"/>
  <c r="I819" i="12" s="1"/>
  <c r="I1982" i="13" s="1" a="1"/>
  <c r="I1982" i="13" s="1"/>
  <c r="I2009" i="13" s="1"/>
  <c r="E819" i="12" a="1"/>
  <c r="E819" i="12" s="1"/>
  <c r="E1982" i="13" s="1" a="1"/>
  <c r="E1982" i="13" s="1"/>
  <c r="E2009" i="13" s="1"/>
  <c r="D819" i="12" a="1"/>
  <c r="D819" i="12" s="1"/>
  <c r="D1982" i="13" s="1" a="1"/>
  <c r="D1982" i="13" s="1"/>
  <c r="D2009" i="13" s="1"/>
  <c r="N819" i="12" a="1"/>
  <c r="N819" i="12" s="1"/>
  <c r="N1982" i="13" s="1" a="1"/>
  <c r="N1982" i="13" s="1"/>
  <c r="N2009" i="13" s="1"/>
  <c r="R821" i="12"/>
  <c r="J819" i="12" a="1"/>
  <c r="J819" i="12" s="1"/>
  <c r="J1982" i="13" s="1" a="1"/>
  <c r="J1982" i="13" s="1"/>
  <c r="J2009" i="13" s="1"/>
  <c r="L819" i="12" a="1"/>
  <c r="L819" i="12" s="1"/>
  <c r="L1982" i="13" s="1" a="1"/>
  <c r="L1982" i="13" s="1"/>
  <c r="L2009" i="13" s="1"/>
  <c r="F819" i="12" a="1"/>
  <c r="F819" i="12" s="1"/>
  <c r="F1982" i="13" s="1" a="1"/>
  <c r="F1982" i="13" s="1"/>
  <c r="F2009" i="13" s="1"/>
  <c r="H819" i="12" a="1"/>
  <c r="H819" i="12" s="1"/>
  <c r="H1982" i="13" s="1" a="1"/>
  <c r="H1982" i="13" s="1"/>
  <c r="H2009" i="13" s="1"/>
  <c r="K819" i="12" a="1"/>
  <c r="K819" i="12" s="1"/>
  <c r="K1982" i="13" s="1" a="1"/>
  <c r="K1982" i="13" s="1"/>
  <c r="K2009" i="13" s="1"/>
  <c r="G819" i="12" a="1"/>
  <c r="G819" i="12" s="1"/>
  <c r="G1982" i="13" s="1" a="1"/>
  <c r="G1982" i="13" s="1"/>
  <c r="G2009" i="13" s="1"/>
  <c r="I795" i="12" a="1"/>
  <c r="I795" i="12" s="1"/>
  <c r="K795" i="12" a="1"/>
  <c r="K795" i="12" s="1"/>
  <c r="E795" i="12" a="1"/>
  <c r="E795" i="12" s="1"/>
  <c r="G795" i="12" a="1"/>
  <c r="G795" i="12" s="1"/>
  <c r="N795" i="12" a="1"/>
  <c r="N795" i="12" s="1"/>
  <c r="J795" i="12" a="1"/>
  <c r="J795" i="12" s="1"/>
  <c r="M795" i="12" a="1"/>
  <c r="M795" i="12" s="1"/>
  <c r="F795" i="12" a="1"/>
  <c r="F795" i="12" s="1"/>
  <c r="L795" i="12" a="1"/>
  <c r="L795" i="12" s="1"/>
  <c r="H795" i="12" a="1"/>
  <c r="H795" i="12" s="1"/>
  <c r="O795" i="12" a="1"/>
  <c r="O795" i="12" s="1"/>
  <c r="D795" i="12" a="1"/>
  <c r="D795" i="12" s="1"/>
  <c r="F807" i="12" a="1"/>
  <c r="F807" i="12" s="1"/>
  <c r="F1949" i="13" s="1" a="1"/>
  <c r="F1949" i="13" s="1"/>
  <c r="D807" i="12" a="1"/>
  <c r="D807" i="12" s="1"/>
  <c r="D1949" i="13" s="1" a="1"/>
  <c r="D1949" i="13" s="1"/>
  <c r="J807" i="12" a="1"/>
  <c r="J807" i="12" s="1"/>
  <c r="J1949" i="13" s="1" a="1"/>
  <c r="J1949" i="13" s="1"/>
  <c r="M807" i="12" a="1"/>
  <c r="M807" i="12" s="1"/>
  <c r="M1949" i="13" s="1" a="1"/>
  <c r="M1949" i="13" s="1"/>
  <c r="O807" i="12" a="1"/>
  <c r="O807" i="12" s="1"/>
  <c r="O1949" i="13" s="1" a="1"/>
  <c r="O1949" i="13" s="1"/>
  <c r="I807" i="12" a="1"/>
  <c r="I807" i="12" s="1"/>
  <c r="I1949" i="13" s="1" a="1"/>
  <c r="I1949" i="13" s="1"/>
  <c r="E807" i="12" a="1"/>
  <c r="E807" i="12" s="1"/>
  <c r="E1949" i="13" s="1" a="1"/>
  <c r="E1949" i="13" s="1"/>
  <c r="H807" i="12" a="1"/>
  <c r="H807" i="12" s="1"/>
  <c r="H1949" i="13" s="1" a="1"/>
  <c r="H1949" i="13" s="1"/>
  <c r="R809" i="12"/>
  <c r="G807" i="12" a="1"/>
  <c r="G807" i="12" s="1"/>
  <c r="G1949" i="13" s="1" a="1"/>
  <c r="G1949" i="13" s="1"/>
  <c r="K807" i="12" a="1"/>
  <c r="K807" i="12" s="1"/>
  <c r="K1949" i="13" s="1" a="1"/>
  <c r="K1949" i="13" s="1"/>
  <c r="N807" i="12" a="1"/>
  <c r="N807" i="12" s="1"/>
  <c r="N1949" i="13" s="1" a="1"/>
  <c r="N1949" i="13" s="1"/>
  <c r="L807" i="12" a="1"/>
  <c r="L807" i="12" s="1"/>
  <c r="L1949" i="13" s="1" a="1"/>
  <c r="L1949" i="13" s="1"/>
  <c r="R822" i="12"/>
  <c r="H880" i="10"/>
  <c r="CO73" i="9" s="1" a="1"/>
  <c r="CO73" i="9" s="1"/>
  <c r="N905" i="10" a="1"/>
  <c r="N905" i="10" s="1"/>
  <c r="H905" i="10" a="1"/>
  <c r="H905" i="10" s="1"/>
  <c r="L905" i="10" a="1"/>
  <c r="L905" i="10" s="1"/>
  <c r="J905" i="10" a="1"/>
  <c r="J905" i="10" s="1"/>
  <c r="D905" i="10" a="1"/>
  <c r="D905" i="10" s="1"/>
  <c r="F905" i="10" a="1"/>
  <c r="F905" i="10" s="1"/>
  <c r="O905" i="10" a="1"/>
  <c r="O905" i="10" s="1"/>
  <c r="M905" i="10" a="1"/>
  <c r="M905" i="10" s="1"/>
  <c r="K905" i="10" a="1"/>
  <c r="K905" i="10" s="1"/>
  <c r="I905" i="10" a="1"/>
  <c r="I905" i="10" s="1"/>
  <c r="G905" i="10" a="1"/>
  <c r="G905" i="10" s="1"/>
  <c r="E905" i="10" a="1"/>
  <c r="E905" i="10" s="1"/>
  <c r="P905" i="10" a="1"/>
  <c r="P905" i="10" s="1"/>
  <c r="D880" i="10"/>
  <c r="Q73" i="9" s="1" a="1"/>
  <c r="Q73" i="9" s="1"/>
  <c r="G880" i="10"/>
  <c r="BV73" i="9" s="1" a="1"/>
  <c r="BV73" i="9" s="1"/>
  <c r="G891" i="10" a="1"/>
  <c r="G891" i="10" s="1"/>
  <c r="L891" i="10" a="1"/>
  <c r="L891" i="10" s="1"/>
  <c r="P891" i="10" a="1"/>
  <c r="P891" i="10" s="1"/>
  <c r="N891" i="10" a="1"/>
  <c r="N891" i="10" s="1"/>
  <c r="H891" i="10" a="1"/>
  <c r="H891" i="10" s="1"/>
  <c r="M891" i="10" a="1"/>
  <c r="M891" i="10" s="1"/>
  <c r="J891" i="10" a="1"/>
  <c r="J891" i="10" s="1"/>
  <c r="D891" i="10" a="1"/>
  <c r="D891" i="10" s="1"/>
  <c r="F891" i="10" a="1"/>
  <c r="F891" i="10" s="1"/>
  <c r="I891" i="10" a="1"/>
  <c r="I891" i="10" s="1"/>
  <c r="E891" i="10" a="1"/>
  <c r="E891" i="10" s="1"/>
  <c r="O891" i="10" a="1"/>
  <c r="O891" i="10" s="1"/>
  <c r="K891" i="10" a="1"/>
  <c r="K891" i="10" s="1"/>
  <c r="J880" i="10"/>
  <c r="EA73" i="9" s="1" a="1"/>
  <c r="EA73" i="9" s="1"/>
  <c r="I880" i="10"/>
  <c r="DH73" i="9" s="1" a="1"/>
  <c r="DH73" i="9" s="1"/>
  <c r="K880" i="10"/>
  <c r="ET73" i="9" s="1" a="1"/>
  <c r="ET73" i="9" s="1"/>
  <c r="N880" i="10"/>
  <c r="GY73" i="9" s="1" a="1"/>
  <c r="GY73" i="9" s="1"/>
  <c r="O880" i="10"/>
  <c r="HR73" i="9" s="1" a="1"/>
  <c r="HR73" i="9" s="1"/>
  <c r="L880" i="10"/>
  <c r="FM73" i="9" s="1" a="1"/>
  <c r="FM73" i="9" s="1"/>
  <c r="M880" i="10"/>
  <c r="GF73" i="9" s="1" a="1"/>
  <c r="GF73" i="9" s="1"/>
  <c r="F880" i="10"/>
  <c r="BC73" i="9" s="1" a="1"/>
  <c r="BC73" i="9" s="1"/>
  <c r="E880" i="10"/>
  <c r="AJ73" i="9" s="1" a="1"/>
  <c r="AJ73" i="9" s="1"/>
  <c r="D1543" i="13" a="1"/>
  <c r="D1543" i="13" s="1"/>
  <c r="D644" i="12"/>
  <c r="D646" i="12" s="1"/>
  <c r="D1544" i="13" s="1" a="1"/>
  <c r="D1544" i="13" s="1"/>
  <c r="D664" i="12" a="1"/>
  <c r="D664" i="12" s="1"/>
  <c r="D661" i="12"/>
  <c r="D656" i="12"/>
  <c r="D1572" i="13" a="1"/>
  <c r="D1572" i="13" s="1"/>
  <c r="D1599" i="13" s="1"/>
  <c r="D1474" i="13" a="1"/>
  <c r="D1474" i="13" s="1"/>
  <c r="D621" i="12"/>
  <c r="GP56" i="9" a="1"/>
  <c r="GP56" i="9" s="1"/>
  <c r="GQ56" i="9" s="1"/>
  <c r="G1441" i="13" a="1"/>
  <c r="G1441" i="13" s="1"/>
  <c r="G602" i="12"/>
  <c r="G604" i="12" s="1"/>
  <c r="G1442" i="13" s="1" a="1"/>
  <c r="G1442" i="13" s="1"/>
  <c r="FW57" i="9" a="1"/>
  <c r="FW57" i="9" s="1"/>
  <c r="FX57" i="9" s="1"/>
  <c r="HI55" i="9" a="1"/>
  <c r="HI55" i="9" s="1"/>
  <c r="HJ55" i="9" s="1"/>
  <c r="M593" i="12"/>
  <c r="J635" i="12"/>
  <c r="I649" i="12"/>
  <c r="E1678" i="13" a="1"/>
  <c r="E1678" i="13" s="1"/>
  <c r="F691" i="12"/>
  <c r="E715" i="12"/>
  <c r="E1712" i="13" s="1" a="1"/>
  <c r="E1712" i="13" s="1"/>
  <c r="J645" i="12"/>
  <c r="J1542" i="13" s="1" a="1"/>
  <c r="J1542" i="13" s="1"/>
  <c r="N589" i="12"/>
  <c r="N1406" i="13" s="1" a="1"/>
  <c r="N1406" i="13" s="1"/>
  <c r="H673" i="12"/>
  <c r="H1610" i="13" s="1" a="1"/>
  <c r="H1610" i="13" s="1"/>
  <c r="F701" i="12"/>
  <c r="F705" i="12" s="1"/>
  <c r="M624" i="12" a="1"/>
  <c r="M624" i="12" s="1"/>
  <c r="M1505" i="13" s="1" a="1"/>
  <c r="M1505" i="13" s="1"/>
  <c r="GT55" i="9" s="1" a="1"/>
  <c r="GT55" i="9" s="1"/>
  <c r="DZ59" i="9" a="1"/>
  <c r="DZ59" i="9" s="1"/>
  <c r="J678" i="12" a="1"/>
  <c r="J678" i="12" s="1"/>
  <c r="O1436" i="13" a="1"/>
  <c r="O1436" i="13" s="1"/>
  <c r="O1463" i="13" s="1"/>
  <c r="O600" i="12"/>
  <c r="O605" i="12"/>
  <c r="N602" i="12"/>
  <c r="N604" i="12" s="1"/>
  <c r="N1442" i="13" s="1" a="1"/>
  <c r="N1442" i="13" s="1"/>
  <c r="N1441" i="13" a="1"/>
  <c r="N1441" i="13" s="1"/>
  <c r="N614" i="12"/>
  <c r="N619" i="12"/>
  <c r="N1470" i="13" a="1"/>
  <c r="N1470" i="13" s="1"/>
  <c r="N1497" i="13" s="1"/>
  <c r="M603" i="12"/>
  <c r="L617" i="12"/>
  <c r="H694" i="12" a="1"/>
  <c r="H694" i="12" s="1"/>
  <c r="H1675" i="13" s="1" a="1"/>
  <c r="H1675" i="13" s="1"/>
  <c r="DC60" i="9" s="1" a="1"/>
  <c r="DC60" i="9" s="1"/>
  <c r="L650" i="12" a="1"/>
  <c r="L650" i="12" s="1"/>
  <c r="FL57" i="9" a="1"/>
  <c r="FL57" i="9" s="1"/>
  <c r="H1674" i="13" a="1"/>
  <c r="H1674" i="13" s="1"/>
  <c r="H1701" i="13" s="1"/>
  <c r="H703" i="12"/>
  <c r="H698" i="12"/>
  <c r="F714" i="12"/>
  <c r="F716" i="12" s="1"/>
  <c r="F1714" i="13" s="1" a="1"/>
  <c r="F1714" i="13" s="1"/>
  <c r="F1713" i="13" a="1"/>
  <c r="F1713" i="13" s="1"/>
  <c r="K631" i="12"/>
  <c r="N610" i="12" a="1"/>
  <c r="N610" i="12" s="1"/>
  <c r="N1471" i="13" s="1" a="1"/>
  <c r="N1471" i="13" s="1"/>
  <c r="HM54" i="9" s="1" a="1"/>
  <c r="HM54" i="9" s="1"/>
  <c r="A762" i="12" a="1"/>
  <c r="A762" i="12" s="1"/>
  <c r="C75" i="28" a="1"/>
  <c r="C75" i="28" s="1"/>
  <c r="A1841" i="13" a="1"/>
  <c r="A1841" i="13" s="1"/>
  <c r="K652" i="12" a="1"/>
  <c r="K652" i="12" s="1"/>
  <c r="K1573" i="13" s="1" a="1"/>
  <c r="K1573" i="13" s="1"/>
  <c r="FH57" i="9" s="1" a="1"/>
  <c r="FH57" i="9" s="1"/>
  <c r="F1742" i="13" a="1"/>
  <c r="F1742" i="13" s="1"/>
  <c r="F1769" i="13" s="1"/>
  <c r="F726" i="12"/>
  <c r="F731" i="12"/>
  <c r="J1606" i="13" a="1"/>
  <c r="J1606" i="13" s="1"/>
  <c r="J1633" i="13" s="1"/>
  <c r="J675" i="12"/>
  <c r="J670" i="12"/>
  <c r="E1747" i="13" a="1"/>
  <c r="E1747" i="13" s="1"/>
  <c r="E728" i="12"/>
  <c r="E730" i="12" s="1"/>
  <c r="E1748" i="13" s="1" a="1"/>
  <c r="E1748" i="13" s="1"/>
  <c r="DG60" i="9" a="1"/>
  <c r="DG60" i="9" s="1"/>
  <c r="I692" i="12" a="1"/>
  <c r="I692" i="12" s="1"/>
  <c r="HQ54" i="9" a="1"/>
  <c r="HQ54" i="9" s="1"/>
  <c r="O608" i="12" a="1"/>
  <c r="O608" i="12" s="1"/>
  <c r="FW64" i="9" a="1"/>
  <c r="FW64" i="9" s="1"/>
  <c r="FX64" i="9" s="1"/>
  <c r="L630" i="12"/>
  <c r="L632" i="12" s="1"/>
  <c r="L1510" i="13" s="1" a="1"/>
  <c r="L1510" i="13" s="1"/>
  <c r="L1509" i="13" a="1"/>
  <c r="L1509" i="13" s="1"/>
  <c r="K1572" i="13" a="1"/>
  <c r="K1572" i="13" s="1"/>
  <c r="K1599" i="13" s="1"/>
  <c r="K656" i="12"/>
  <c r="K661" i="12"/>
  <c r="I659" i="12"/>
  <c r="K1474" i="13" a="1"/>
  <c r="K1474" i="13" s="1"/>
  <c r="K621" i="12"/>
  <c r="GP63" i="9" a="1"/>
  <c r="GP63" i="9" s="1"/>
  <c r="GQ63" i="9" s="1"/>
  <c r="M628" i="12"/>
  <c r="M633" i="12"/>
  <c r="M1504" i="13" a="1"/>
  <c r="M1504" i="13" s="1"/>
  <c r="M1531" i="13" s="1"/>
  <c r="O575" i="12"/>
  <c r="D74" i="24" a="1"/>
  <c r="D74" i="24" s="1"/>
  <c r="AI64" i="9" a="1"/>
  <c r="AI64" i="9" s="1"/>
  <c r="E748" i="12" a="1"/>
  <c r="E748" i="12" s="1"/>
  <c r="L647" i="12"/>
  <c r="L642" i="12"/>
  <c r="L1538" i="13" a="1"/>
  <c r="L1538" i="13" s="1"/>
  <c r="L1565" i="13" s="1"/>
  <c r="L638" i="12" a="1"/>
  <c r="L638" i="12" s="1"/>
  <c r="L1539" i="13" s="1" a="1"/>
  <c r="L1539" i="13" s="1"/>
  <c r="GA56" i="9" s="1" a="1"/>
  <c r="GA56" i="9" s="1"/>
  <c r="I1611" i="13" a="1"/>
  <c r="I1611" i="13" s="1"/>
  <c r="I672" i="12"/>
  <c r="I674" i="12" s="1"/>
  <c r="I1612" i="13" s="1" a="1"/>
  <c r="I1612" i="13" s="1"/>
  <c r="J1577" i="13" a="1"/>
  <c r="J1577" i="13" s="1"/>
  <c r="J658" i="12"/>
  <c r="J660" i="12" s="1"/>
  <c r="J1578" i="13" s="1" a="1"/>
  <c r="J1578" i="13" s="1"/>
  <c r="D73" i="24" a="1"/>
  <c r="D73" i="24" s="1"/>
  <c r="F722" i="12" a="1"/>
  <c r="F722" i="12" s="1"/>
  <c r="F1743" i="13" s="1" a="1"/>
  <c r="F1743" i="13" s="1"/>
  <c r="BQ62" i="9" s="1" a="1"/>
  <c r="BQ62" i="9" s="1"/>
  <c r="CN61" i="9" a="1"/>
  <c r="CN61" i="9" s="1"/>
  <c r="H706" i="12" a="1"/>
  <c r="H706" i="12" s="1"/>
  <c r="IB61" i="9" a="1"/>
  <c r="IB61" i="9" s="1"/>
  <c r="IC61" i="9" s="1"/>
  <c r="N622" i="12" a="1"/>
  <c r="N622" i="12" s="1"/>
  <c r="GX55" i="9" a="1"/>
  <c r="GX55" i="9" s="1"/>
  <c r="M636" i="12" a="1"/>
  <c r="M636" i="12" s="1"/>
  <c r="GE56" i="9" a="1"/>
  <c r="GE56" i="9" s="1"/>
  <c r="F734" i="12" a="1"/>
  <c r="F734" i="12" s="1"/>
  <c r="BB63" i="9" a="1"/>
  <c r="BB63" i="9" s="1"/>
  <c r="J666" i="12" a="1"/>
  <c r="J666" i="12" s="1"/>
  <c r="J1607" i="13" s="1" a="1"/>
  <c r="J1607" i="13" s="1"/>
  <c r="EO58" i="9" s="1" a="1"/>
  <c r="EO58" i="9" s="1"/>
  <c r="M1475" i="13" a="1"/>
  <c r="M1475" i="13" s="1"/>
  <c r="M616" i="12"/>
  <c r="M618" i="12" s="1"/>
  <c r="M1476" i="13" s="1" a="1"/>
  <c r="M1476" i="13" s="1"/>
  <c r="E1776" i="13" a="1"/>
  <c r="E1776" i="13" s="1"/>
  <c r="E1803" i="13" s="1"/>
  <c r="E740" i="12"/>
  <c r="E745" i="12"/>
  <c r="I1640" i="13" a="1"/>
  <c r="I1640" i="13" s="1"/>
  <c r="I1667" i="13" s="1"/>
  <c r="I684" i="12"/>
  <c r="I689" i="12"/>
  <c r="K644" i="12"/>
  <c r="K646" i="12" s="1"/>
  <c r="K1544" i="13" s="1" a="1"/>
  <c r="K1544" i="13" s="1"/>
  <c r="K1543" i="13" a="1"/>
  <c r="K1543" i="13" s="1"/>
  <c r="G708" i="12" a="1"/>
  <c r="G708" i="12" s="1"/>
  <c r="G1709" i="13" s="1" a="1"/>
  <c r="G1709" i="13" s="1"/>
  <c r="CJ61" i="9" s="1" a="1"/>
  <c r="CJ61" i="9" s="1"/>
  <c r="O596" i="12" a="1"/>
  <c r="O596" i="12" s="1"/>
  <c r="O1437" i="13" s="1" a="1"/>
  <c r="O1437" i="13" s="1"/>
  <c r="IF53" i="9" s="1" a="1"/>
  <c r="IF53" i="9" s="1"/>
  <c r="I680" i="12" a="1"/>
  <c r="I680" i="12" s="1"/>
  <c r="I1641" i="13" s="1" a="1"/>
  <c r="I1641" i="13" s="1"/>
  <c r="DV59" i="9" s="1" a="1"/>
  <c r="DV59" i="9" s="1"/>
  <c r="ES58" i="9" a="1"/>
  <c r="ES58" i="9" s="1"/>
  <c r="K664" i="12" a="1"/>
  <c r="K664" i="12" s="1"/>
  <c r="H1645" i="13" a="1"/>
  <c r="H1645" i="13" s="1"/>
  <c r="H686" i="12"/>
  <c r="H688" i="12" s="1"/>
  <c r="H1646" i="13" s="1" a="1"/>
  <c r="H1646" i="13" s="1"/>
  <c r="N1372" i="13" a="1"/>
  <c r="N1372" i="13" s="1"/>
  <c r="N579" i="12"/>
  <c r="O588" i="12"/>
  <c r="O590" i="12" s="1"/>
  <c r="O1408" i="13" s="1" a="1"/>
  <c r="O1408" i="13" s="1"/>
  <c r="O1407" i="13" a="1"/>
  <c r="O1407" i="13" s="1"/>
  <c r="H1576" i="13" a="1"/>
  <c r="H1576" i="13" s="1"/>
  <c r="H663" i="12"/>
  <c r="BU60" i="9" a="1"/>
  <c r="BU60" i="9" s="1"/>
  <c r="B1750" i="13"/>
  <c r="B1751" i="13" s="1"/>
  <c r="B1752" i="13" s="1"/>
  <c r="B1753" i="13" s="1"/>
  <c r="B1754" i="13" s="1"/>
  <c r="B1755" i="13" s="1"/>
  <c r="B1756" i="13" s="1"/>
  <c r="B1757" i="13" s="1"/>
  <c r="B1758" i="13" s="1"/>
  <c r="B1759" i="13" s="1"/>
  <c r="B1760" i="13" s="1"/>
  <c r="B1761" i="13" s="1"/>
  <c r="B1762" i="13" s="1"/>
  <c r="B1746" i="13"/>
  <c r="B1747" i="13" s="1"/>
  <c r="B1748" i="13" s="1"/>
  <c r="B1749" i="13" s="1"/>
  <c r="B1729" i="13"/>
  <c r="B1734" i="13"/>
  <c r="B1807" i="13" a="1"/>
  <c r="B1807" i="13" s="1"/>
  <c r="B1808" i="13" s="1"/>
  <c r="B1778" i="13"/>
  <c r="B1779" i="13" s="1"/>
  <c r="B1775" i="13"/>
  <c r="B1776" i="13" s="1"/>
  <c r="B1777" i="13" s="1"/>
  <c r="B1701" i="13"/>
  <c r="B1702" i="13" s="1"/>
  <c r="B1703" i="13" s="1"/>
  <c r="B1704" i="13" s="1"/>
  <c r="B1696" i="13"/>
  <c r="B1697" i="13" s="1"/>
  <c r="B1698" i="13" s="1"/>
  <c r="B1699" i="13" s="1"/>
  <c r="B2147" i="13" a="1"/>
  <c r="B2147" i="13" s="1"/>
  <c r="B2148" i="13" s="1"/>
  <c r="B748" i="12" a="1"/>
  <c r="B748" i="12" s="1"/>
  <c r="D918" i="10" l="1" a="1"/>
  <c r="D918" i="10" s="1"/>
  <c r="O918" i="10" a="1"/>
  <c r="O918" i="10" s="1"/>
  <c r="K918" i="10" a="1"/>
  <c r="K918" i="10" s="1"/>
  <c r="G918" i="10" a="1"/>
  <c r="G918" i="10" s="1"/>
  <c r="F918" i="10" a="1"/>
  <c r="F918" i="10" s="1"/>
  <c r="I918" i="10" a="1"/>
  <c r="I918" i="10" s="1"/>
  <c r="M918" i="10" a="1"/>
  <c r="M918" i="10" s="1"/>
  <c r="J918" i="10" a="1"/>
  <c r="J918" i="10" s="1"/>
  <c r="N918" i="10" a="1"/>
  <c r="N918" i="10" s="1"/>
  <c r="AA919" i="10"/>
  <c r="P918" i="10" a="1"/>
  <c r="P918" i="10" s="1"/>
  <c r="H918" i="10" a="1"/>
  <c r="H918" i="10" s="1"/>
  <c r="E918" i="10" a="1"/>
  <c r="E918" i="10" s="1"/>
  <c r="L918" i="10" a="1"/>
  <c r="L918" i="10" s="1"/>
  <c r="P932" i="10" a="1"/>
  <c r="P932" i="10" s="1"/>
  <c r="L932" i="10" a="1"/>
  <c r="L932" i="10" s="1"/>
  <c r="H932" i="10" a="1"/>
  <c r="H932" i="10" s="1"/>
  <c r="D932" i="10" a="1"/>
  <c r="D932" i="10" s="1"/>
  <c r="G932" i="10" a="1"/>
  <c r="G932" i="10" s="1"/>
  <c r="O932" i="10" a="1"/>
  <c r="O932" i="10" s="1"/>
  <c r="N932" i="10" a="1"/>
  <c r="N932" i="10" s="1"/>
  <c r="J932" i="10" a="1"/>
  <c r="J932" i="10" s="1"/>
  <c r="F932" i="10" a="1"/>
  <c r="F932" i="10" s="1"/>
  <c r="AA933" i="10"/>
  <c r="M932" i="10" a="1"/>
  <c r="M932" i="10" s="1"/>
  <c r="E932" i="10" a="1"/>
  <c r="E932" i="10" s="1"/>
  <c r="K932" i="10" a="1"/>
  <c r="K932" i="10" s="1"/>
  <c r="I932" i="10" a="1"/>
  <c r="I932" i="10" s="1"/>
  <c r="D1508" i="13" a="1"/>
  <c r="D1508" i="13" s="1"/>
  <c r="B2149" i="13"/>
  <c r="B2150" i="13" s="1"/>
  <c r="B2151" i="13" s="1"/>
  <c r="B2152" i="13"/>
  <c r="B2153" i="13" s="1"/>
  <c r="B2120" i="13"/>
  <c r="B2121" i="13" s="1"/>
  <c r="B2122" i="13" s="1"/>
  <c r="B2123" i="13" s="1"/>
  <c r="B2124" i="13"/>
  <c r="B2125" i="13" s="1"/>
  <c r="B2126" i="13" s="1"/>
  <c r="B2127" i="13" s="1"/>
  <c r="B2128" i="13" s="1"/>
  <c r="B2129" i="13" s="1"/>
  <c r="B2130" i="13" s="1"/>
  <c r="B2131" i="13" s="1"/>
  <c r="B2132" i="13" s="1"/>
  <c r="B2133" i="13" s="1"/>
  <c r="B2134" i="13" s="1"/>
  <c r="B2135" i="13" s="1"/>
  <c r="B2136" i="13" s="1"/>
  <c r="B2108" i="13"/>
  <c r="B2103" i="13"/>
  <c r="B2075" i="13"/>
  <c r="B2076" i="13" s="1"/>
  <c r="B2077" i="13" s="1"/>
  <c r="B2078" i="13" s="1"/>
  <c r="B2070" i="13"/>
  <c r="B2071" i="13" s="1"/>
  <c r="B2072" i="13" s="1"/>
  <c r="B2073" i="13" s="1"/>
  <c r="J830" i="12"/>
  <c r="J825" i="12"/>
  <c r="J1987" i="13" s="1" a="1"/>
  <c r="J1987" i="13" s="1"/>
  <c r="R836" i="12"/>
  <c r="H822" i="12" a="1"/>
  <c r="H822" i="12" s="1"/>
  <c r="D822" i="12" a="1"/>
  <c r="D822" i="12" s="1"/>
  <c r="N822" i="12" a="1"/>
  <c r="N822" i="12" s="1"/>
  <c r="I822" i="12" a="1"/>
  <c r="I822" i="12" s="1"/>
  <c r="J822" i="12" a="1"/>
  <c r="J822" i="12" s="1"/>
  <c r="K822" i="12" a="1"/>
  <c r="K822" i="12" s="1"/>
  <c r="L822" i="12" a="1"/>
  <c r="L822" i="12" s="1"/>
  <c r="F822" i="12" a="1"/>
  <c r="F822" i="12" s="1"/>
  <c r="O822" i="12" a="1"/>
  <c r="O822" i="12" s="1"/>
  <c r="M822" i="12" a="1"/>
  <c r="M822" i="12" s="1"/>
  <c r="G822" i="12" a="1"/>
  <c r="G822" i="12" s="1"/>
  <c r="E822" i="12" a="1"/>
  <c r="E822" i="12" s="1"/>
  <c r="R823" i="12"/>
  <c r="L821" i="12" a="1"/>
  <c r="L821" i="12" s="1"/>
  <c r="L1983" i="13" s="1" a="1"/>
  <c r="L1983" i="13" s="1"/>
  <c r="N821" i="12" a="1"/>
  <c r="N821" i="12" s="1"/>
  <c r="N1983" i="13" s="1" a="1"/>
  <c r="N1983" i="13" s="1"/>
  <c r="H821" i="12" a="1"/>
  <c r="H821" i="12" s="1"/>
  <c r="H1983" i="13" s="1" a="1"/>
  <c r="H1983" i="13" s="1"/>
  <c r="I821" i="12" a="1"/>
  <c r="I821" i="12" s="1"/>
  <c r="I1983" i="13" s="1" a="1"/>
  <c r="I1983" i="13" s="1"/>
  <c r="J821" i="12" a="1"/>
  <c r="J821" i="12" s="1"/>
  <c r="J1983" i="13" s="1" a="1"/>
  <c r="J1983" i="13" s="1"/>
  <c r="D821" i="12" a="1"/>
  <c r="D821" i="12" s="1"/>
  <c r="D1983" i="13" s="1" a="1"/>
  <c r="D1983" i="13" s="1"/>
  <c r="G821" i="12" a="1"/>
  <c r="G821" i="12" s="1"/>
  <c r="G1983" i="13" s="1" a="1"/>
  <c r="G1983" i="13" s="1"/>
  <c r="F821" i="12" a="1"/>
  <c r="F821" i="12" s="1"/>
  <c r="F1983" i="13" s="1" a="1"/>
  <c r="F1983" i="13" s="1"/>
  <c r="O821" i="12" a="1"/>
  <c r="O821" i="12" s="1"/>
  <c r="O1983" i="13" s="1" a="1"/>
  <c r="O1983" i="13" s="1"/>
  <c r="M821" i="12" a="1"/>
  <c r="M821" i="12" s="1"/>
  <c r="M1983" i="13" s="1" a="1"/>
  <c r="M1983" i="13" s="1"/>
  <c r="K821" i="12" a="1"/>
  <c r="K821" i="12" s="1"/>
  <c r="K1983" i="13" s="1" a="1"/>
  <c r="K1983" i="13" s="1"/>
  <c r="E821" i="12" a="1"/>
  <c r="E821" i="12" s="1"/>
  <c r="E1983" i="13" s="1" a="1"/>
  <c r="E1983" i="13" s="1"/>
  <c r="L825" i="12"/>
  <c r="L1987" i="13" s="1" a="1"/>
  <c r="L1987" i="13" s="1"/>
  <c r="L830" i="12"/>
  <c r="N830" i="12"/>
  <c r="N825" i="12"/>
  <c r="N1987" i="13" s="1" a="1"/>
  <c r="N1987" i="13" s="1"/>
  <c r="K833" i="12" a="1"/>
  <c r="K833" i="12" s="1"/>
  <c r="K2016" i="13" s="1" a="1"/>
  <c r="K2016" i="13" s="1"/>
  <c r="K2043" i="13" s="1"/>
  <c r="R835" i="12"/>
  <c r="I833" i="12" a="1"/>
  <c r="I833" i="12" s="1"/>
  <c r="I2016" i="13" s="1" a="1"/>
  <c r="I2016" i="13" s="1"/>
  <c r="I2043" i="13" s="1"/>
  <c r="G833" i="12" a="1"/>
  <c r="G833" i="12" s="1"/>
  <c r="G2016" i="13" s="1" a="1"/>
  <c r="G2016" i="13" s="1"/>
  <c r="G2043" i="13" s="1"/>
  <c r="L833" i="12" a="1"/>
  <c r="L833" i="12" s="1"/>
  <c r="L2016" i="13" s="1" a="1"/>
  <c r="L2016" i="13" s="1"/>
  <c r="L2043" i="13" s="1"/>
  <c r="N833" i="12" a="1"/>
  <c r="N833" i="12" s="1"/>
  <c r="N2016" i="13" s="1" a="1"/>
  <c r="N2016" i="13" s="1"/>
  <c r="N2043" i="13" s="1"/>
  <c r="H833" i="12" a="1"/>
  <c r="H833" i="12" s="1"/>
  <c r="H2016" i="13" s="1" a="1"/>
  <c r="H2016" i="13" s="1"/>
  <c r="H2043" i="13" s="1"/>
  <c r="J833" i="12" a="1"/>
  <c r="J833" i="12" s="1"/>
  <c r="J2016" i="13" s="1" a="1"/>
  <c r="J2016" i="13" s="1"/>
  <c r="J2043" i="13" s="1"/>
  <c r="D833" i="12" a="1"/>
  <c r="D833" i="12" s="1"/>
  <c r="D2016" i="13" s="1" a="1"/>
  <c r="D2016" i="13" s="1"/>
  <c r="D2043" i="13" s="1"/>
  <c r="F833" i="12" a="1"/>
  <c r="F833" i="12" s="1"/>
  <c r="F2016" i="13" s="1" a="1"/>
  <c r="F2016" i="13" s="1"/>
  <c r="F2043" i="13" s="1"/>
  <c r="M833" i="12" a="1"/>
  <c r="M833" i="12" s="1"/>
  <c r="M2016" i="13" s="1" a="1"/>
  <c r="M2016" i="13" s="1"/>
  <c r="M2043" i="13" s="1"/>
  <c r="O833" i="12" a="1"/>
  <c r="O833" i="12" s="1"/>
  <c r="O2016" i="13" s="1" a="1"/>
  <c r="O2016" i="13" s="1"/>
  <c r="O2043" i="13" s="1"/>
  <c r="E833" i="12" a="1"/>
  <c r="E833" i="12" s="1"/>
  <c r="E2016" i="13" s="1" a="1"/>
  <c r="E2016" i="13" s="1"/>
  <c r="E2043" i="13" s="1"/>
  <c r="G825" i="12"/>
  <c r="G1987" i="13" s="1" a="1"/>
  <c r="G1987" i="13" s="1"/>
  <c r="G830" i="12"/>
  <c r="D825" i="12"/>
  <c r="D1987" i="13" s="1" a="1"/>
  <c r="D1987" i="13" s="1"/>
  <c r="D830" i="12"/>
  <c r="R848" i="12"/>
  <c r="B846" i="12" a="1"/>
  <c r="B846" i="12" s="1"/>
  <c r="R860" i="12"/>
  <c r="R847" i="12"/>
  <c r="G603" i="12"/>
  <c r="G1440" i="13" s="1" a="1"/>
  <c r="G1440" i="13" s="1"/>
  <c r="K830" i="12"/>
  <c r="K825" i="12"/>
  <c r="K1987" i="13" s="1" a="1"/>
  <c r="K1987" i="13" s="1"/>
  <c r="E830" i="12"/>
  <c r="E825" i="12"/>
  <c r="E1987" i="13" s="1" a="1"/>
  <c r="E1987" i="13" s="1"/>
  <c r="L809" i="12" a="1"/>
  <c r="L809" i="12" s="1"/>
  <c r="E809" i="12" a="1"/>
  <c r="E809" i="12" s="1"/>
  <c r="H809" i="12" a="1"/>
  <c r="H809" i="12" s="1"/>
  <c r="N809" i="12" a="1"/>
  <c r="N809" i="12" s="1"/>
  <c r="D809" i="12" a="1"/>
  <c r="D809" i="12" s="1"/>
  <c r="J809" i="12" a="1"/>
  <c r="J809" i="12" s="1"/>
  <c r="O809" i="12" a="1"/>
  <c r="O809" i="12" s="1"/>
  <c r="F809" i="12" a="1"/>
  <c r="F809" i="12" s="1"/>
  <c r="K809" i="12" a="1"/>
  <c r="K809" i="12" s="1"/>
  <c r="M809" i="12" a="1"/>
  <c r="M809" i="12" s="1"/>
  <c r="G809" i="12" a="1"/>
  <c r="G809" i="12" s="1"/>
  <c r="I809" i="12" a="1"/>
  <c r="I809" i="12" s="1"/>
  <c r="H830" i="12"/>
  <c r="H825" i="12"/>
  <c r="H1987" i="13" s="1" a="1"/>
  <c r="H1987" i="13" s="1"/>
  <c r="I830" i="12"/>
  <c r="I825" i="12"/>
  <c r="I1987" i="13" s="1" a="1"/>
  <c r="I1987" i="13" s="1"/>
  <c r="M825" i="12"/>
  <c r="M1987" i="13" s="1" a="1"/>
  <c r="M1987" i="13" s="1"/>
  <c r="M830" i="12"/>
  <c r="D645" i="12"/>
  <c r="D1542" i="13" s="1" a="1"/>
  <c r="D1542" i="13" s="1"/>
  <c r="F825" i="12"/>
  <c r="F1987" i="13" s="1" a="1"/>
  <c r="F1987" i="13" s="1"/>
  <c r="F830" i="12"/>
  <c r="O825" i="12"/>
  <c r="O1987" i="13" s="1" a="1"/>
  <c r="O1987" i="13" s="1"/>
  <c r="O830" i="12"/>
  <c r="D790" i="12" a="1"/>
  <c r="D790" i="12" s="1"/>
  <c r="D658" i="12"/>
  <c r="D660" i="12" s="1"/>
  <c r="D1578" i="13" s="1" a="1"/>
  <c r="D1578" i="13" s="1"/>
  <c r="D1577" i="13" a="1"/>
  <c r="D1577" i="13" s="1"/>
  <c r="AA66" i="9" a="1"/>
  <c r="AA66" i="9" s="1"/>
  <c r="AB66" i="9" s="1"/>
  <c r="AC66" i="9" s="1"/>
  <c r="AD66" i="9" s="1"/>
  <c r="D678" i="12" a="1"/>
  <c r="D678" i="12" s="1"/>
  <c r="P66" i="9" a="1"/>
  <c r="P66" i="9" s="1"/>
  <c r="I608" i="12" a="1"/>
  <c r="I608" i="12" s="1"/>
  <c r="G636" i="12" a="1"/>
  <c r="G636" i="12" s="1"/>
  <c r="D1606" i="13" a="1"/>
  <c r="D1606" i="13" s="1"/>
  <c r="D1633" i="13" s="1"/>
  <c r="D675" i="12"/>
  <c r="D670" i="12"/>
  <c r="GP57" i="9" a="1"/>
  <c r="GP57" i="9" s="1"/>
  <c r="GQ57" i="9" s="1"/>
  <c r="HI56" i="9" a="1"/>
  <c r="HI56" i="9" s="1"/>
  <c r="HJ56" i="9" s="1"/>
  <c r="FW58" i="9" a="1"/>
  <c r="FW58" i="9" s="1"/>
  <c r="FX58" i="9" s="1"/>
  <c r="C76" i="28" a="1"/>
  <c r="C76" i="28" s="1"/>
  <c r="B66" i="9" a="1"/>
  <c r="B66" i="9" s="1"/>
  <c r="H677" i="12"/>
  <c r="N603" i="12"/>
  <c r="N1440" i="13" s="1" a="1"/>
  <c r="N1440" i="13" s="1"/>
  <c r="E719" i="12"/>
  <c r="O589" i="12"/>
  <c r="O593" i="12" s="1"/>
  <c r="J649" i="12"/>
  <c r="N593" i="12"/>
  <c r="E729" i="12"/>
  <c r="E1746" i="13" s="1" a="1"/>
  <c r="E1746" i="13" s="1"/>
  <c r="I673" i="12"/>
  <c r="I677" i="12" s="1"/>
  <c r="F1678" i="13" a="1"/>
  <c r="F1678" i="13" s="1"/>
  <c r="M617" i="12"/>
  <c r="M621" i="12" s="1"/>
  <c r="F715" i="12"/>
  <c r="F1712" i="13" s="1" a="1"/>
  <c r="F1712" i="13" s="1"/>
  <c r="CN62" i="9" a="1"/>
  <c r="CN62" i="9" s="1"/>
  <c r="H720" i="12" a="1"/>
  <c r="H720" i="12" s="1"/>
  <c r="J680" i="12" a="1"/>
  <c r="J680" i="12" s="1"/>
  <c r="J1641" i="13" s="1" a="1"/>
  <c r="J1641" i="13" s="1"/>
  <c r="EO59" i="9" s="1" a="1"/>
  <c r="EO59" i="9" s="1"/>
  <c r="E762" i="12" a="1"/>
  <c r="E762" i="12" s="1"/>
  <c r="AI65" i="9" a="1"/>
  <c r="AI65" i="9" s="1"/>
  <c r="I1645" i="13" a="1"/>
  <c r="I1645" i="13" s="1"/>
  <c r="I686" i="12"/>
  <c r="I688" i="12" s="1"/>
  <c r="I1646" i="13" s="1" a="1"/>
  <c r="I1646" i="13" s="1"/>
  <c r="L1543" i="13" a="1"/>
  <c r="L1543" i="13" s="1"/>
  <c r="L644" i="12"/>
  <c r="L646" i="12" s="1"/>
  <c r="L1544" i="13" s="1" a="1"/>
  <c r="L1544" i="13" s="1"/>
  <c r="I1674" i="13" a="1"/>
  <c r="I1674" i="13" s="1"/>
  <c r="I1701" i="13" s="1"/>
  <c r="I703" i="12"/>
  <c r="I698" i="12"/>
  <c r="H1679" i="13" a="1"/>
  <c r="H1679" i="13" s="1"/>
  <c r="H700" i="12"/>
  <c r="H702" i="12" s="1"/>
  <c r="H1680" i="13" s="1" a="1"/>
  <c r="H1680" i="13" s="1"/>
  <c r="L652" i="12" a="1"/>
  <c r="L652" i="12" s="1"/>
  <c r="L1573" i="13" s="1" a="1"/>
  <c r="L1573" i="13" s="1"/>
  <c r="GA57" i="9" s="1" a="1"/>
  <c r="GA57" i="9" s="1"/>
  <c r="BB64" i="9" a="1"/>
  <c r="BB64" i="9" s="1"/>
  <c r="F748" i="12" a="1"/>
  <c r="F748" i="12" s="1"/>
  <c r="F728" i="12"/>
  <c r="F730" i="12" s="1"/>
  <c r="F1748" i="13" s="1" a="1"/>
  <c r="F1748" i="13" s="1"/>
  <c r="F1747" i="13" a="1"/>
  <c r="F1747" i="13" s="1"/>
  <c r="L1474" i="13" a="1"/>
  <c r="L1474" i="13" s="1"/>
  <c r="L621" i="12"/>
  <c r="I694" i="12" a="1"/>
  <c r="I694" i="12" s="1"/>
  <c r="I1675" i="13" s="1" a="1"/>
  <c r="I1675" i="13" s="1"/>
  <c r="DV60" i="9" s="1" a="1"/>
  <c r="DV60" i="9" s="1"/>
  <c r="DZ60" i="9" a="1"/>
  <c r="DZ60" i="9" s="1"/>
  <c r="J692" i="12" a="1"/>
  <c r="J692" i="12" s="1"/>
  <c r="I706" i="12" a="1"/>
  <c r="I706" i="12" s="1"/>
  <c r="DG61" i="9" a="1"/>
  <c r="DG61" i="9" s="1"/>
  <c r="GE57" i="9" a="1"/>
  <c r="GE57" i="9" s="1"/>
  <c r="M650" i="12" a="1"/>
  <c r="M650" i="12" s="1"/>
  <c r="FL58" i="9" a="1"/>
  <c r="FL58" i="9" s="1"/>
  <c r="L664" i="12" a="1"/>
  <c r="L664" i="12" s="1"/>
  <c r="ES59" i="9" a="1"/>
  <c r="ES59" i="9" s="1"/>
  <c r="K678" i="12" a="1"/>
  <c r="K678" i="12" s="1"/>
  <c r="M638" i="12" a="1"/>
  <c r="M638" i="12" s="1"/>
  <c r="M1539" i="13" s="1" a="1"/>
  <c r="M1539" i="13" s="1"/>
  <c r="GT56" i="9" s="1" a="1"/>
  <c r="GT56" i="9" s="1"/>
  <c r="K645" i="12"/>
  <c r="H717" i="12"/>
  <c r="H1708" i="13" a="1"/>
  <c r="H1708" i="13" s="1"/>
  <c r="H1735" i="13" s="1"/>
  <c r="H712" i="12"/>
  <c r="J659" i="12"/>
  <c r="O579" i="12"/>
  <c r="O1372" i="13" a="1"/>
  <c r="O1372" i="13" s="1"/>
  <c r="I1576" i="13" a="1"/>
  <c r="I1576" i="13" s="1"/>
  <c r="I663" i="12"/>
  <c r="M1440" i="13" a="1"/>
  <c r="M1440" i="13" s="1"/>
  <c r="M607" i="12"/>
  <c r="O1441" i="13" a="1"/>
  <c r="O1441" i="13" s="1"/>
  <c r="O602" i="12"/>
  <c r="O604" i="12" s="1"/>
  <c r="O1442" i="13" s="1" a="1"/>
  <c r="O1442" i="13" s="1"/>
  <c r="H708" i="12" a="1"/>
  <c r="H708" i="12" s="1"/>
  <c r="H1709" i="13" s="1" a="1"/>
  <c r="H1709" i="13" s="1"/>
  <c r="DC61" i="9" s="1" a="1"/>
  <c r="DC61" i="9" s="1"/>
  <c r="A1875" i="13" a="1"/>
  <c r="A1875" i="13" s="1"/>
  <c r="A776" i="12" a="1"/>
  <c r="A776" i="12" s="1"/>
  <c r="GX56" i="9" a="1"/>
  <c r="GX56" i="9" s="1"/>
  <c r="N636" i="12" a="1"/>
  <c r="N636" i="12" s="1"/>
  <c r="E742" i="12"/>
  <c r="E744" i="12" s="1"/>
  <c r="E1782" i="13" s="1" a="1"/>
  <c r="E1782" i="13" s="1"/>
  <c r="E1781" i="13" a="1"/>
  <c r="E1781" i="13" s="1"/>
  <c r="F1776" i="13" a="1"/>
  <c r="F1776" i="13" s="1"/>
  <c r="F1803" i="13" s="1"/>
  <c r="F745" i="12"/>
  <c r="F740" i="12"/>
  <c r="O610" i="12" a="1"/>
  <c r="O610" i="12" s="1"/>
  <c r="O1471" i="13" s="1" a="1"/>
  <c r="O1471" i="13" s="1"/>
  <c r="IF54" i="9" s="1" a="1"/>
  <c r="IF54" i="9" s="1"/>
  <c r="K666" i="12" a="1"/>
  <c r="K666" i="12" s="1"/>
  <c r="K1607" i="13" s="1" a="1"/>
  <c r="K1607" i="13" s="1"/>
  <c r="FH58" i="9" s="1" a="1"/>
  <c r="FH58" i="9" s="1"/>
  <c r="H687" i="12"/>
  <c r="K1577" i="13" a="1"/>
  <c r="K1577" i="13" s="1"/>
  <c r="K658" i="12"/>
  <c r="K660" i="12" s="1"/>
  <c r="K1578" i="13" s="1" a="1"/>
  <c r="K1578" i="13" s="1"/>
  <c r="K635" i="12"/>
  <c r="K1508" i="13" a="1"/>
  <c r="K1508" i="13" s="1"/>
  <c r="J1640" i="13" a="1"/>
  <c r="J1640" i="13" s="1"/>
  <c r="J1667" i="13" s="1"/>
  <c r="J689" i="12"/>
  <c r="J684" i="12"/>
  <c r="O622" i="12" a="1"/>
  <c r="O622" i="12" s="1"/>
  <c r="HQ55" i="9" a="1"/>
  <c r="HQ55" i="9" s="1"/>
  <c r="M647" i="12"/>
  <c r="M1538" i="13" a="1"/>
  <c r="M1538" i="13" s="1"/>
  <c r="M1565" i="13" s="1"/>
  <c r="M642" i="12"/>
  <c r="M1509" i="13" a="1"/>
  <c r="M1509" i="13" s="1"/>
  <c r="M630" i="12"/>
  <c r="M632" i="12" s="1"/>
  <c r="M1510" i="13" s="1" a="1"/>
  <c r="M1510" i="13" s="1"/>
  <c r="GP64" i="9" a="1"/>
  <c r="GP64" i="9" s="1"/>
  <c r="GQ64" i="9" s="1"/>
  <c r="J672" i="12"/>
  <c r="J674" i="12" s="1"/>
  <c r="J1612" i="13" s="1" a="1"/>
  <c r="J1612" i="13" s="1"/>
  <c r="J1611" i="13" a="1"/>
  <c r="J1611" i="13" s="1"/>
  <c r="N1475" i="13" a="1"/>
  <c r="N1475" i="13" s="1"/>
  <c r="N616" i="12"/>
  <c r="N618" i="12" s="1"/>
  <c r="N1476" i="13" s="1" a="1"/>
  <c r="N1476" i="13" s="1"/>
  <c r="G722" i="12" a="1"/>
  <c r="G722" i="12" s="1"/>
  <c r="G1743" i="13" s="1" a="1"/>
  <c r="G1743" i="13" s="1"/>
  <c r="CJ62" i="9" s="1" a="1"/>
  <c r="CJ62" i="9" s="1"/>
  <c r="G734" i="12" a="1"/>
  <c r="G734" i="12" s="1"/>
  <c r="BU63" i="9" a="1"/>
  <c r="BU63" i="9" s="1"/>
  <c r="N624" i="12" a="1"/>
  <c r="N624" i="12" s="1"/>
  <c r="N1505" i="13" s="1" a="1"/>
  <c r="N1505" i="13" s="1"/>
  <c r="HM55" i="9" s="1" a="1"/>
  <c r="HM55" i="9" s="1"/>
  <c r="FW65" i="9" a="1"/>
  <c r="FW65" i="9" s="1"/>
  <c r="FX65" i="9" s="1"/>
  <c r="E1810" i="13" a="1"/>
  <c r="E1810" i="13" s="1"/>
  <c r="E1837" i="13" s="1"/>
  <c r="E754" i="12"/>
  <c r="E759" i="12"/>
  <c r="L631" i="12"/>
  <c r="O1470" i="13" a="1"/>
  <c r="O1470" i="13" s="1"/>
  <c r="O1497" i="13" s="1"/>
  <c r="O614" i="12"/>
  <c r="O619" i="12"/>
  <c r="L656" i="12"/>
  <c r="L1572" i="13" a="1"/>
  <c r="L1572" i="13" s="1"/>
  <c r="L1599" i="13" s="1"/>
  <c r="L661" i="12"/>
  <c r="K1606" i="13" a="1"/>
  <c r="K1606" i="13" s="1"/>
  <c r="K1633" i="13" s="1"/>
  <c r="K670" i="12"/>
  <c r="K675" i="12"/>
  <c r="N633" i="12"/>
  <c r="N1504" i="13" a="1"/>
  <c r="N1504" i="13" s="1"/>
  <c r="N1531" i="13" s="1"/>
  <c r="N628" i="12"/>
  <c r="HI63" i="9" a="1"/>
  <c r="HI63" i="9" s="1"/>
  <c r="HJ63" i="9" s="1"/>
  <c r="BU61" i="9" a="1"/>
  <c r="BU61" i="9" s="1"/>
  <c r="B1812" i="13"/>
  <c r="B1813" i="13" s="1"/>
  <c r="B1809" i="13"/>
  <c r="B1810" i="13" s="1"/>
  <c r="B1811" i="13" s="1"/>
  <c r="B1841" i="13" a="1"/>
  <c r="B1841" i="13" s="1"/>
  <c r="B1842" i="13" s="1"/>
  <c r="B1735" i="13"/>
  <c r="B1736" i="13" s="1"/>
  <c r="B1737" i="13" s="1"/>
  <c r="B1738" i="13" s="1"/>
  <c r="B1730" i="13"/>
  <c r="B1731" i="13" s="1"/>
  <c r="B1732" i="13" s="1"/>
  <c r="B1733" i="13" s="1"/>
  <c r="B1768" i="13"/>
  <c r="B1763" i="13"/>
  <c r="B1780" i="13"/>
  <c r="B1781" i="13" s="1"/>
  <c r="B1782" i="13" s="1"/>
  <c r="B1783" i="13" s="1"/>
  <c r="B1784" i="13"/>
  <c r="B1785" i="13" s="1"/>
  <c r="B1786" i="13" s="1"/>
  <c r="B1787" i="13" s="1"/>
  <c r="B1788" i="13" s="1"/>
  <c r="B1789" i="13" s="1"/>
  <c r="B1790" i="13" s="1"/>
  <c r="B1791" i="13" s="1"/>
  <c r="B1792" i="13" s="1"/>
  <c r="B1793" i="13" s="1"/>
  <c r="B1794" i="13" s="1"/>
  <c r="B1795" i="13" s="1"/>
  <c r="B1796" i="13" s="1"/>
  <c r="B762" i="12" a="1"/>
  <c r="B762" i="12" s="1"/>
  <c r="M919" i="10" l="1" a="1"/>
  <c r="M919" i="10" s="1"/>
  <c r="I919" i="10" a="1"/>
  <c r="I919" i="10" s="1"/>
  <c r="E919" i="10" a="1"/>
  <c r="E919" i="10" s="1"/>
  <c r="P919" i="10" a="1"/>
  <c r="P919" i="10" s="1"/>
  <c r="P922" i="10" s="1"/>
  <c r="L919" i="10" a="1"/>
  <c r="L919" i="10" s="1"/>
  <c r="H919" i="10" a="1"/>
  <c r="H919" i="10" s="1"/>
  <c r="O919" i="10" a="1"/>
  <c r="O919" i="10" s="1"/>
  <c r="D919" i="10" a="1"/>
  <c r="D919" i="10" s="1"/>
  <c r="K919" i="10" a="1"/>
  <c r="K919" i="10" s="1"/>
  <c r="N919" i="10" a="1"/>
  <c r="N919" i="10" s="1"/>
  <c r="G919" i="10" a="1"/>
  <c r="G919" i="10" s="1"/>
  <c r="J919" i="10" a="1"/>
  <c r="J919" i="10" s="1"/>
  <c r="F919" i="10" a="1"/>
  <c r="F919" i="10" s="1"/>
  <c r="M933" i="10" a="1"/>
  <c r="M933" i="10" s="1"/>
  <c r="O933" i="10" a="1"/>
  <c r="O933" i="10" s="1"/>
  <c r="F933" i="10" a="1"/>
  <c r="F933" i="10" s="1"/>
  <c r="H933" i="10" a="1"/>
  <c r="H933" i="10" s="1"/>
  <c r="J933" i="10" a="1"/>
  <c r="J933" i="10" s="1"/>
  <c r="D933" i="10" a="1"/>
  <c r="D933" i="10" s="1"/>
  <c r="N933" i="10" a="1"/>
  <c r="N933" i="10" s="1"/>
  <c r="G933" i="10" a="1"/>
  <c r="G933" i="10" s="1"/>
  <c r="P933" i="10" a="1"/>
  <c r="P933" i="10" s="1"/>
  <c r="P936" i="10" s="1"/>
  <c r="E933" i="10" a="1"/>
  <c r="E933" i="10" s="1"/>
  <c r="I933" i="10" a="1"/>
  <c r="I933" i="10" s="1"/>
  <c r="L933" i="10" a="1"/>
  <c r="L933" i="10" s="1"/>
  <c r="K933" i="10" a="1"/>
  <c r="K933" i="10" s="1"/>
  <c r="O1406" i="13" a="1"/>
  <c r="O1406" i="13" s="1"/>
  <c r="B2181" i="13" a="1"/>
  <c r="B2181" i="13" s="1"/>
  <c r="B2182" i="13" s="1"/>
  <c r="B2183" i="13" s="1"/>
  <c r="B2184" i="13" s="1"/>
  <c r="B2185" i="13" s="1"/>
  <c r="B2215" i="13" a="1"/>
  <c r="B2215" i="13" s="1"/>
  <c r="B2216" i="13" s="1"/>
  <c r="G607" i="12"/>
  <c r="I1610" i="13" a="1"/>
  <c r="I1610" i="13" s="1"/>
  <c r="D649" i="12"/>
  <c r="B2104" i="13"/>
  <c r="B2105" i="13" s="1"/>
  <c r="B2106" i="13" s="1"/>
  <c r="B2107" i="13" s="1"/>
  <c r="B2109" i="13"/>
  <c r="B2110" i="13" s="1"/>
  <c r="B2111" i="13" s="1"/>
  <c r="B2112" i="13" s="1"/>
  <c r="B2137" i="13"/>
  <c r="B2142" i="13"/>
  <c r="E733" i="12"/>
  <c r="D1912" i="13" a="1"/>
  <c r="D1912" i="13" s="1"/>
  <c r="D1939" i="13" s="1"/>
  <c r="D796" i="12"/>
  <c r="D801" i="12"/>
  <c r="B2154" i="13"/>
  <c r="B2155" i="13" s="1"/>
  <c r="B2156" i="13" s="1"/>
  <c r="B2157" i="13" s="1"/>
  <c r="B2158" i="13"/>
  <c r="B2159" i="13" s="1"/>
  <c r="B2160" i="13" s="1"/>
  <c r="B2161" i="13" s="1"/>
  <c r="B2162" i="13" s="1"/>
  <c r="B2163" i="13" s="1"/>
  <c r="B2164" i="13" s="1"/>
  <c r="B2165" i="13" s="1"/>
  <c r="B2166" i="13" s="1"/>
  <c r="B2167" i="13" s="1"/>
  <c r="B2168" i="13" s="1"/>
  <c r="B2169" i="13" s="1"/>
  <c r="B2170" i="13" s="1"/>
  <c r="A1909" i="13" a="1"/>
  <c r="A1909" i="13" s="1"/>
  <c r="A790" i="12" a="1"/>
  <c r="A790" i="12" s="1"/>
  <c r="R850" i="12"/>
  <c r="F839" i="12"/>
  <c r="F2021" i="13" s="1" a="1"/>
  <c r="F2021" i="13" s="1"/>
  <c r="F844" i="12"/>
  <c r="O835" i="12" a="1"/>
  <c r="O835" i="12" s="1"/>
  <c r="O2017" i="13" s="1" a="1"/>
  <c r="O2017" i="13" s="1"/>
  <c r="D835" i="12" a="1"/>
  <c r="D835" i="12" s="1"/>
  <c r="D2017" i="13" s="1" a="1"/>
  <c r="D2017" i="13" s="1"/>
  <c r="M835" i="12" a="1"/>
  <c r="M835" i="12" s="1"/>
  <c r="M2017" i="13" s="1" a="1"/>
  <c r="M2017" i="13" s="1"/>
  <c r="H835" i="12" a="1"/>
  <c r="H835" i="12" s="1"/>
  <c r="H2017" i="13" s="1" a="1"/>
  <c r="H2017" i="13" s="1"/>
  <c r="I835" i="12" a="1"/>
  <c r="I835" i="12" s="1"/>
  <c r="I2017" i="13" s="1" a="1"/>
  <c r="I2017" i="13" s="1"/>
  <c r="E835" i="12" a="1"/>
  <c r="E835" i="12" s="1"/>
  <c r="E2017" i="13" s="1" a="1"/>
  <c r="E2017" i="13" s="1"/>
  <c r="K835" i="12" a="1"/>
  <c r="K835" i="12" s="1"/>
  <c r="K2017" i="13" s="1" a="1"/>
  <c r="K2017" i="13" s="1"/>
  <c r="R837" i="12"/>
  <c r="N835" i="12" a="1"/>
  <c r="N835" i="12" s="1"/>
  <c r="N2017" i="13" s="1" a="1"/>
  <c r="N2017" i="13" s="1"/>
  <c r="G835" i="12" a="1"/>
  <c r="G835" i="12" s="1"/>
  <c r="G2017" i="13" s="1" a="1"/>
  <c r="G2017" i="13" s="1"/>
  <c r="F835" i="12" a="1"/>
  <c r="F835" i="12" s="1"/>
  <c r="F2017" i="13" s="1" a="1"/>
  <c r="F2017" i="13" s="1"/>
  <c r="J835" i="12" a="1"/>
  <c r="J835" i="12" s="1"/>
  <c r="J2017" i="13" s="1" a="1"/>
  <c r="J2017" i="13" s="1"/>
  <c r="L835" i="12" a="1"/>
  <c r="L835" i="12" s="1"/>
  <c r="L2017" i="13" s="1" a="1"/>
  <c r="L2017" i="13" s="1"/>
  <c r="J823" i="12" a="1"/>
  <c r="J823" i="12" s="1"/>
  <c r="M823" i="12" a="1"/>
  <c r="M823" i="12" s="1"/>
  <c r="O823" i="12" a="1"/>
  <c r="O823" i="12" s="1"/>
  <c r="I823" i="12" a="1"/>
  <c r="I823" i="12" s="1"/>
  <c r="K823" i="12" a="1"/>
  <c r="K823" i="12" s="1"/>
  <c r="E823" i="12" a="1"/>
  <c r="E823" i="12" s="1"/>
  <c r="G823" i="12" a="1"/>
  <c r="G823" i="12" s="1"/>
  <c r="N823" i="12" a="1"/>
  <c r="N823" i="12" s="1"/>
  <c r="F823" i="12" a="1"/>
  <c r="F823" i="12" s="1"/>
  <c r="L823" i="12" a="1"/>
  <c r="L823" i="12" s="1"/>
  <c r="H823" i="12" a="1"/>
  <c r="H823" i="12" s="1"/>
  <c r="D823" i="12" a="1"/>
  <c r="D823" i="12" s="1"/>
  <c r="D839" i="12"/>
  <c r="D2021" i="13" s="1" a="1"/>
  <c r="D2021" i="13" s="1"/>
  <c r="D844" i="12"/>
  <c r="J839" i="12"/>
  <c r="J2021" i="13" s="1" a="1"/>
  <c r="J2021" i="13" s="1"/>
  <c r="J844" i="12"/>
  <c r="F847" i="12" a="1"/>
  <c r="F847" i="12" s="1"/>
  <c r="F2050" i="13" s="1" a="1"/>
  <c r="F2050" i="13" s="1"/>
  <c r="F2077" i="13" s="1"/>
  <c r="H847" i="12" a="1"/>
  <c r="H847" i="12" s="1"/>
  <c r="H2050" i="13" s="1" a="1"/>
  <c r="H2050" i="13" s="1"/>
  <c r="H2077" i="13" s="1"/>
  <c r="K847" i="12" a="1"/>
  <c r="K847" i="12" s="1"/>
  <c r="K2050" i="13" s="1" a="1"/>
  <c r="K2050" i="13" s="1"/>
  <c r="K2077" i="13" s="1"/>
  <c r="D847" i="12" a="1"/>
  <c r="D847" i="12" s="1"/>
  <c r="D2050" i="13" s="1" a="1"/>
  <c r="D2050" i="13" s="1"/>
  <c r="D2077" i="13" s="1"/>
  <c r="M847" i="12" a="1"/>
  <c r="M847" i="12" s="1"/>
  <c r="M2050" i="13" s="1" a="1"/>
  <c r="M2050" i="13" s="1"/>
  <c r="M2077" i="13" s="1"/>
  <c r="G847" i="12" a="1"/>
  <c r="G847" i="12" s="1"/>
  <c r="G2050" i="13" s="1" a="1"/>
  <c r="G2050" i="13" s="1"/>
  <c r="G2077" i="13" s="1"/>
  <c r="I847" i="12" a="1"/>
  <c r="I847" i="12" s="1"/>
  <c r="I2050" i="13" s="1" a="1"/>
  <c r="I2050" i="13" s="1"/>
  <c r="I2077" i="13" s="1"/>
  <c r="R849" i="12"/>
  <c r="E847" i="12" a="1"/>
  <c r="E847" i="12" s="1"/>
  <c r="E2050" i="13" s="1" a="1"/>
  <c r="E2050" i="13" s="1"/>
  <c r="E2077" i="13" s="1"/>
  <c r="O847" i="12" a="1"/>
  <c r="O847" i="12" s="1"/>
  <c r="O2050" i="13" s="1" a="1"/>
  <c r="O2050" i="13" s="1"/>
  <c r="O2077" i="13" s="1"/>
  <c r="J847" i="12" a="1"/>
  <c r="J847" i="12" s="1"/>
  <c r="J2050" i="13" s="1" a="1"/>
  <c r="J2050" i="13" s="1"/>
  <c r="J2077" i="13" s="1"/>
  <c r="L847" i="12" a="1"/>
  <c r="L847" i="12" s="1"/>
  <c r="L2050" i="13" s="1" a="1"/>
  <c r="L2050" i="13" s="1"/>
  <c r="L2077" i="13" s="1"/>
  <c r="N847" i="12" a="1"/>
  <c r="N847" i="12" s="1"/>
  <c r="N2050" i="13" s="1" a="1"/>
  <c r="N2050" i="13" s="1"/>
  <c r="N2077" i="13" s="1"/>
  <c r="R874" i="12"/>
  <c r="R861" i="12"/>
  <c r="B860" i="12" a="1"/>
  <c r="B860" i="12" s="1"/>
  <c r="R862" i="12"/>
  <c r="H839" i="12"/>
  <c r="H2021" i="13" s="1" a="1"/>
  <c r="H2021" i="13" s="1"/>
  <c r="H844" i="12"/>
  <c r="N839" i="12"/>
  <c r="N2021" i="13" s="1" a="1"/>
  <c r="N2021" i="13" s="1"/>
  <c r="N844" i="12"/>
  <c r="H836" i="12" a="1"/>
  <c r="H836" i="12" s="1"/>
  <c r="M836" i="12" a="1"/>
  <c r="M836" i="12" s="1"/>
  <c r="L836" i="12" a="1"/>
  <c r="L836" i="12" s="1"/>
  <c r="D836" i="12" a="1"/>
  <c r="D836" i="12" s="1"/>
  <c r="I836" i="12" a="1"/>
  <c r="I836" i="12" s="1"/>
  <c r="O836" i="12" a="1"/>
  <c r="O836" i="12" s="1"/>
  <c r="E836" i="12" a="1"/>
  <c r="E836" i="12" s="1"/>
  <c r="K836" i="12" a="1"/>
  <c r="K836" i="12" s="1"/>
  <c r="F836" i="12" a="1"/>
  <c r="F836" i="12" s="1"/>
  <c r="G836" i="12" a="1"/>
  <c r="G836" i="12" s="1"/>
  <c r="N836" i="12" a="1"/>
  <c r="N836" i="12" s="1"/>
  <c r="J836" i="12" a="1"/>
  <c r="J836" i="12" s="1"/>
  <c r="E844" i="12"/>
  <c r="E839" i="12"/>
  <c r="E2021" i="13" s="1" a="1"/>
  <c r="E2021" i="13" s="1"/>
  <c r="L839" i="12"/>
  <c r="L2021" i="13" s="1" a="1"/>
  <c r="L2021" i="13" s="1"/>
  <c r="L844" i="12"/>
  <c r="N607" i="12"/>
  <c r="O839" i="12"/>
  <c r="O2021" i="13" s="1" a="1"/>
  <c r="O2021" i="13" s="1"/>
  <c r="O844" i="12"/>
  <c r="G839" i="12"/>
  <c r="G2021" i="13" s="1" a="1"/>
  <c r="G2021" i="13" s="1"/>
  <c r="G844" i="12"/>
  <c r="K844" i="12"/>
  <c r="K839" i="12"/>
  <c r="K2021" i="13" s="1" a="1"/>
  <c r="K2021" i="13" s="1"/>
  <c r="M839" i="12"/>
  <c r="M2021" i="13" s="1" a="1"/>
  <c r="M2021" i="13" s="1"/>
  <c r="M844" i="12"/>
  <c r="I844" i="12"/>
  <c r="I839" i="12"/>
  <c r="I2021" i="13" s="1" a="1"/>
  <c r="I2021" i="13" s="1"/>
  <c r="HI57" i="9" a="1"/>
  <c r="HI57" i="9" s="1"/>
  <c r="HJ57" i="9" s="1"/>
  <c r="D684" i="12"/>
  <c r="D1640" i="13" a="1"/>
  <c r="D1640" i="13" s="1"/>
  <c r="D1667" i="13" s="1"/>
  <c r="D689" i="12"/>
  <c r="D659" i="12"/>
  <c r="G650" i="12" a="1"/>
  <c r="G650" i="12" s="1"/>
  <c r="D1611" i="13" a="1"/>
  <c r="D1611" i="13" s="1"/>
  <c r="D672" i="12"/>
  <c r="D674" i="12" s="1"/>
  <c r="D1612" i="13" s="1" a="1"/>
  <c r="D1612" i="13" s="1"/>
  <c r="D804" i="12" a="1"/>
  <c r="D804" i="12" s="1"/>
  <c r="I1470" i="13" a="1"/>
  <c r="I1470" i="13" s="1"/>
  <c r="I1497" i="13" s="1"/>
  <c r="I619" i="12"/>
  <c r="I614" i="12"/>
  <c r="AT66" i="9" a="1"/>
  <c r="AT66" i="9" s="1"/>
  <c r="AU66" i="9" s="1"/>
  <c r="AV66" i="9" s="1"/>
  <c r="AW66" i="9" s="1"/>
  <c r="C77" i="28" a="1"/>
  <c r="C77" i="28" s="1"/>
  <c r="B67" i="9" a="1"/>
  <c r="B67" i="9" s="1"/>
  <c r="AI66" i="9" a="1"/>
  <c r="AI66" i="9" s="1"/>
  <c r="AA67" i="9" a="1"/>
  <c r="AA67" i="9" s="1"/>
  <c r="AB67" i="9" s="1"/>
  <c r="GP58" i="9" a="1"/>
  <c r="GP58" i="9" s="1"/>
  <c r="GQ58" i="9" s="1"/>
  <c r="D692" i="12" a="1"/>
  <c r="D692" i="12" s="1"/>
  <c r="P67" i="9" a="1"/>
  <c r="P67" i="9" s="1"/>
  <c r="E790" i="12" a="1"/>
  <c r="E790" i="12" s="1"/>
  <c r="D792" i="12" a="1"/>
  <c r="D792" i="12" s="1"/>
  <c r="D1913" i="13" s="1" a="1"/>
  <c r="D1913" i="13" s="1"/>
  <c r="AE67" i="9" s="1" a="1"/>
  <c r="AE67" i="9" s="1"/>
  <c r="G642" i="12"/>
  <c r="G647" i="12"/>
  <c r="G1538" i="13" a="1"/>
  <c r="G1538" i="13" s="1"/>
  <c r="G1565" i="13" s="1"/>
  <c r="M1474" i="13" a="1"/>
  <c r="M1474" i="13" s="1"/>
  <c r="F719" i="12"/>
  <c r="O603" i="12"/>
  <c r="O607" i="12" s="1"/>
  <c r="M631" i="12"/>
  <c r="M635" i="12" s="1"/>
  <c r="F729" i="12"/>
  <c r="F1746" i="13" s="1" a="1"/>
  <c r="F1746" i="13" s="1"/>
  <c r="L645" i="12"/>
  <c r="L649" i="12" s="1"/>
  <c r="E743" i="12"/>
  <c r="E1780" i="13" s="1" a="1"/>
  <c r="E1780" i="13" s="1"/>
  <c r="N617" i="12"/>
  <c r="N621" i="12" s="1"/>
  <c r="I687" i="12"/>
  <c r="I1644" i="13" s="1" a="1"/>
  <c r="I1644" i="13" s="1"/>
  <c r="K659" i="12"/>
  <c r="K1576" i="13" s="1" a="1"/>
  <c r="K1576" i="13" s="1"/>
  <c r="K680" i="12" a="1"/>
  <c r="K680" i="12" s="1"/>
  <c r="K1641" i="13" s="1" a="1"/>
  <c r="K1641" i="13" s="1"/>
  <c r="FH59" i="9" s="1" a="1"/>
  <c r="FH59" i="9" s="1"/>
  <c r="I717" i="12"/>
  <c r="I1708" i="13" a="1"/>
  <c r="I1708" i="13" s="1"/>
  <c r="I1735" i="13" s="1"/>
  <c r="I712" i="12"/>
  <c r="O624" i="12" a="1"/>
  <c r="O624" i="12" s="1"/>
  <c r="O1505" i="13" s="1" a="1"/>
  <c r="O1505" i="13" s="1"/>
  <c r="IF55" i="9" s="1" a="1"/>
  <c r="IF55" i="9" s="1"/>
  <c r="L678" i="12" a="1"/>
  <c r="L678" i="12" s="1"/>
  <c r="FL59" i="9" a="1"/>
  <c r="FL59" i="9" s="1"/>
  <c r="GX57" i="9" a="1"/>
  <c r="GX57" i="9" s="1"/>
  <c r="N650" i="12" a="1"/>
  <c r="N650" i="12" s="1"/>
  <c r="DZ61" i="9" a="1"/>
  <c r="DZ61" i="9" s="1"/>
  <c r="J706" i="12" a="1"/>
  <c r="J706" i="12" s="1"/>
  <c r="F762" i="12" a="1"/>
  <c r="F762" i="12" s="1"/>
  <c r="BB65" i="9" a="1"/>
  <c r="BB65" i="9" s="1"/>
  <c r="E1815" i="13" a="1"/>
  <c r="E1815" i="13" s="1"/>
  <c r="E756" i="12"/>
  <c r="E758" i="12" s="1"/>
  <c r="E1816" i="13" s="1" a="1"/>
  <c r="E1816" i="13" s="1"/>
  <c r="K689" i="12"/>
  <c r="K1640" i="13" a="1"/>
  <c r="K1640" i="13" s="1"/>
  <c r="K1667" i="13" s="1"/>
  <c r="K684" i="12"/>
  <c r="J1674" i="13" a="1"/>
  <c r="J1674" i="13" s="1"/>
  <c r="J1701" i="13" s="1"/>
  <c r="J703" i="12"/>
  <c r="J698" i="12"/>
  <c r="I700" i="12"/>
  <c r="I702" i="12" s="1"/>
  <c r="I1680" i="13" s="1" a="1"/>
  <c r="I1680" i="13" s="1"/>
  <c r="I1679" i="13" a="1"/>
  <c r="I1679" i="13" s="1"/>
  <c r="D75" i="24" a="1"/>
  <c r="D75" i="24" s="1"/>
  <c r="M652" i="12" a="1"/>
  <c r="M652" i="12" s="1"/>
  <c r="M1573" i="13" s="1" a="1"/>
  <c r="M1573" i="13" s="1"/>
  <c r="GT57" i="9" s="1" a="1"/>
  <c r="GT57" i="9" s="1"/>
  <c r="N638" i="12" a="1"/>
  <c r="N638" i="12" s="1"/>
  <c r="N1539" i="13" s="1" a="1"/>
  <c r="N1539" i="13" s="1"/>
  <c r="HM56" i="9" s="1" a="1"/>
  <c r="HM56" i="9" s="1"/>
  <c r="I708" i="12" a="1"/>
  <c r="I708" i="12" s="1"/>
  <c r="I1709" i="13" s="1" a="1"/>
  <c r="I1709" i="13" s="1"/>
  <c r="DV61" i="9" s="1" a="1"/>
  <c r="DV61" i="9" s="1"/>
  <c r="G1776" i="13" a="1"/>
  <c r="G1776" i="13" s="1"/>
  <c r="G1803" i="13" s="1"/>
  <c r="G740" i="12"/>
  <c r="G745" i="12"/>
  <c r="J673" i="12"/>
  <c r="O633" i="12"/>
  <c r="O628" i="12"/>
  <c r="O1504" i="13" a="1"/>
  <c r="O1504" i="13" s="1"/>
  <c r="O1531" i="13" s="1"/>
  <c r="J1576" i="13" a="1"/>
  <c r="J1576" i="13" s="1"/>
  <c r="J663" i="12"/>
  <c r="F1810" i="13" a="1"/>
  <c r="F1810" i="13" s="1"/>
  <c r="F1837" i="13" s="1"/>
  <c r="F754" i="12"/>
  <c r="F759" i="12"/>
  <c r="E776" i="12" a="1"/>
  <c r="E776" i="12" s="1"/>
  <c r="HQ56" i="9" a="1"/>
  <c r="HQ56" i="9" s="1"/>
  <c r="O636" i="12" a="1"/>
  <c r="O636" i="12" s="1"/>
  <c r="L1577" i="13" a="1"/>
  <c r="L1577" i="13" s="1"/>
  <c r="L658" i="12"/>
  <c r="L660" i="12" s="1"/>
  <c r="L1578" i="13" s="1" a="1"/>
  <c r="L1578" i="13" s="1"/>
  <c r="H1713" i="13" a="1"/>
  <c r="H1713" i="13" s="1"/>
  <c r="H714" i="12"/>
  <c r="H716" i="12" s="1"/>
  <c r="H1714" i="13" s="1" a="1"/>
  <c r="H1714" i="13" s="1"/>
  <c r="L1606" i="13" a="1"/>
  <c r="L1606" i="13" s="1"/>
  <c r="L1633" i="13" s="1"/>
  <c r="L670" i="12"/>
  <c r="L675" i="12"/>
  <c r="E1844" i="13" a="1"/>
  <c r="E1844" i="13" s="1"/>
  <c r="E1871" i="13" s="1"/>
  <c r="E768" i="12"/>
  <c r="E773" i="12"/>
  <c r="M664" i="12" a="1"/>
  <c r="M664" i="12" s="1"/>
  <c r="GE58" i="9" a="1"/>
  <c r="GE58" i="9" s="1"/>
  <c r="J694" i="12" a="1"/>
  <c r="J694" i="12" s="1"/>
  <c r="J1675" i="13" s="1" a="1"/>
  <c r="J1675" i="13" s="1"/>
  <c r="EO60" i="9" s="1" a="1"/>
  <c r="EO60" i="9" s="1"/>
  <c r="K672" i="12"/>
  <c r="K674" i="12" s="1"/>
  <c r="K1612" i="13" s="1" a="1"/>
  <c r="K1612" i="13" s="1"/>
  <c r="K1611" i="13" a="1"/>
  <c r="K1611" i="13" s="1"/>
  <c r="M1543" i="13" a="1"/>
  <c r="M1543" i="13" s="1"/>
  <c r="M644" i="12"/>
  <c r="M646" i="12" s="1"/>
  <c r="M1544" i="13" s="1" a="1"/>
  <c r="M1544" i="13" s="1"/>
  <c r="F742" i="12"/>
  <c r="F744" i="12" s="1"/>
  <c r="F1782" i="13" s="1" a="1"/>
  <c r="F1782" i="13" s="1"/>
  <c r="F1781" i="13" a="1"/>
  <c r="F1781" i="13" s="1"/>
  <c r="N647" i="12"/>
  <c r="N1538" i="13" a="1"/>
  <c r="N1538" i="13" s="1"/>
  <c r="N1565" i="13" s="1"/>
  <c r="N642" i="12"/>
  <c r="DG62" i="9" a="1"/>
  <c r="DG62" i="9" s="1"/>
  <c r="I720" i="12" a="1"/>
  <c r="I720" i="12" s="1"/>
  <c r="K692" i="12" a="1"/>
  <c r="K692" i="12" s="1"/>
  <c r="ES60" i="9" a="1"/>
  <c r="ES60" i="9" s="1"/>
  <c r="N630" i="12"/>
  <c r="N632" i="12" s="1"/>
  <c r="N1510" i="13" s="1" a="1"/>
  <c r="N1510" i="13" s="1"/>
  <c r="N1509" i="13" a="1"/>
  <c r="N1509" i="13" s="1"/>
  <c r="O1475" i="13" a="1"/>
  <c r="O1475" i="13" s="1"/>
  <c r="O616" i="12"/>
  <c r="O618" i="12" s="1"/>
  <c r="O1476" i="13" s="1" a="1"/>
  <c r="O1476" i="13" s="1"/>
  <c r="M1572" i="13" a="1"/>
  <c r="M1572" i="13" s="1"/>
  <c r="M1599" i="13" s="1"/>
  <c r="M656" i="12"/>
  <c r="M661" i="12"/>
  <c r="H722" i="12" a="1"/>
  <c r="H722" i="12" s="1"/>
  <c r="H1743" i="13" s="1" a="1"/>
  <c r="H1743" i="13" s="1"/>
  <c r="DC62" i="9" s="1" a="1"/>
  <c r="DC62" i="9" s="1"/>
  <c r="CN63" i="9" a="1"/>
  <c r="CN63" i="9" s="1"/>
  <c r="H734" i="12" a="1"/>
  <c r="H734" i="12" s="1"/>
  <c r="GP65" i="9" a="1"/>
  <c r="GP65" i="9" s="1"/>
  <c r="GQ65" i="9" s="1"/>
  <c r="HI64" i="9" a="1"/>
  <c r="HI64" i="9" s="1"/>
  <c r="HJ64" i="9" s="1"/>
  <c r="J1645" i="13" a="1"/>
  <c r="J1645" i="13" s="1"/>
  <c r="J686" i="12"/>
  <c r="J688" i="12" s="1"/>
  <c r="J1646" i="13" s="1" a="1"/>
  <c r="J1646" i="13" s="1"/>
  <c r="H1644" i="13" a="1"/>
  <c r="H1644" i="13" s="1"/>
  <c r="H691" i="12"/>
  <c r="K649" i="12"/>
  <c r="K1542" i="13" a="1"/>
  <c r="K1542" i="13" s="1"/>
  <c r="H701" i="12"/>
  <c r="H726" i="12"/>
  <c r="H731" i="12"/>
  <c r="H1742" i="13" a="1"/>
  <c r="H1742" i="13" s="1"/>
  <c r="H1769" i="13" s="1"/>
  <c r="L666" i="12" a="1"/>
  <c r="L666" i="12" s="1"/>
  <c r="L1607" i="13" s="1" a="1"/>
  <c r="L1607" i="13" s="1"/>
  <c r="GA58" i="9" s="1" a="1"/>
  <c r="GA58" i="9" s="1"/>
  <c r="L1508" i="13" a="1"/>
  <c r="L1508" i="13" s="1"/>
  <c r="L635" i="12"/>
  <c r="BU62" i="9" a="1"/>
  <c r="BU62" i="9" s="1"/>
  <c r="B1764" i="13"/>
  <c r="B1765" i="13" s="1"/>
  <c r="B1766" i="13" s="1"/>
  <c r="B1767" i="13" s="1"/>
  <c r="B1769" i="13"/>
  <c r="B1770" i="13" s="1"/>
  <c r="B1771" i="13" s="1"/>
  <c r="B1772" i="13" s="1"/>
  <c r="B1814" i="13"/>
  <c r="B1815" i="13" s="1"/>
  <c r="B1816" i="13" s="1"/>
  <c r="B1817" i="13" s="1"/>
  <c r="B1818" i="13"/>
  <c r="B1819" i="13" s="1"/>
  <c r="B1820" i="13" s="1"/>
  <c r="B1821" i="13" s="1"/>
  <c r="B1822" i="13" s="1"/>
  <c r="B1823" i="13" s="1"/>
  <c r="B1824" i="13" s="1"/>
  <c r="B1825" i="13" s="1"/>
  <c r="B1826" i="13" s="1"/>
  <c r="B1827" i="13" s="1"/>
  <c r="B1828" i="13" s="1"/>
  <c r="B1829" i="13" s="1"/>
  <c r="B1830" i="13" s="1"/>
  <c r="B1875" i="13" a="1"/>
  <c r="B1875" i="13" s="1"/>
  <c r="B1876" i="13" s="1"/>
  <c r="B1843" i="13"/>
  <c r="B1844" i="13" s="1"/>
  <c r="B1845" i="13" s="1"/>
  <c r="B1846" i="13"/>
  <c r="B1847" i="13" s="1"/>
  <c r="B1802" i="13"/>
  <c r="B1797" i="13"/>
  <c r="B776" i="12" a="1"/>
  <c r="B776" i="12" s="1"/>
  <c r="I936" i="10" l="1"/>
  <c r="DH77" i="9" s="1" a="1"/>
  <c r="DH77" i="9" s="1"/>
  <c r="J922" i="10"/>
  <c r="EA76" i="9" s="1" a="1"/>
  <c r="EA76" i="9" s="1"/>
  <c r="G922" i="10"/>
  <c r="BV76" i="9" s="1" a="1"/>
  <c r="BV76" i="9" s="1"/>
  <c r="N922" i="10"/>
  <c r="GY76" i="9" s="1" a="1"/>
  <c r="GY76" i="9" s="1"/>
  <c r="G936" i="10"/>
  <c r="BV77" i="9" s="1" a="1"/>
  <c r="BV77" i="9" s="1"/>
  <c r="K922" i="10"/>
  <c r="ET76" i="9" s="1" a="1"/>
  <c r="ET76" i="9" s="1"/>
  <c r="N936" i="10"/>
  <c r="GY77" i="9" s="1" a="1"/>
  <c r="GY77" i="9" s="1"/>
  <c r="D922" i="10"/>
  <c r="Q76" i="9" s="1" a="1"/>
  <c r="Q76" i="9" s="1"/>
  <c r="E936" i="10"/>
  <c r="AJ77" i="9" s="1" a="1"/>
  <c r="AJ77" i="9" s="1"/>
  <c r="D936" i="10"/>
  <c r="Q77" i="9" s="1" a="1"/>
  <c r="Q77" i="9" s="1"/>
  <c r="O922" i="10"/>
  <c r="HR76" i="9" s="1" a="1"/>
  <c r="HR76" i="9" s="1"/>
  <c r="J936" i="10"/>
  <c r="EA77" i="9" s="1" a="1"/>
  <c r="EA77" i="9" s="1"/>
  <c r="H922" i="10"/>
  <c r="CO76" i="9" s="1" a="1"/>
  <c r="CO76" i="9" s="1"/>
  <c r="H936" i="10"/>
  <c r="CO77" i="9" s="1" a="1"/>
  <c r="CO77" i="9" s="1"/>
  <c r="L922" i="10"/>
  <c r="FM76" i="9" s="1" a="1"/>
  <c r="FM76" i="9" s="1"/>
  <c r="F936" i="10"/>
  <c r="BC77" i="9" s="1" a="1"/>
  <c r="BC77" i="9" s="1"/>
  <c r="O936" i="10"/>
  <c r="HR77" i="9" s="1" a="1"/>
  <c r="HR77" i="9" s="1"/>
  <c r="E922" i="10"/>
  <c r="AJ76" i="9" s="1" a="1"/>
  <c r="AJ76" i="9" s="1"/>
  <c r="K936" i="10"/>
  <c r="ET77" i="9" s="1" a="1"/>
  <c r="ET77" i="9" s="1"/>
  <c r="M936" i="10"/>
  <c r="GF77" i="9" s="1" a="1"/>
  <c r="GF77" i="9" s="1"/>
  <c r="I922" i="10"/>
  <c r="DH76" i="9" s="1" a="1"/>
  <c r="DH76" i="9" s="1"/>
  <c r="L936" i="10"/>
  <c r="FM77" i="9" s="1" a="1"/>
  <c r="FM77" i="9" s="1"/>
  <c r="F922" i="10"/>
  <c r="BC76" i="9" s="1" a="1"/>
  <c r="BC76" i="9" s="1"/>
  <c r="M922" i="10"/>
  <c r="GF76" i="9" s="1" a="1"/>
  <c r="GF76" i="9" s="1"/>
  <c r="M1508" i="13" a="1"/>
  <c r="M1508" i="13" s="1"/>
  <c r="B2186" i="13"/>
  <c r="B2187" i="13" s="1"/>
  <c r="B2192" i="13" s="1"/>
  <c r="B2193" i="13" s="1"/>
  <c r="B2194" i="13" s="1"/>
  <c r="B2195" i="13" s="1"/>
  <c r="B2196" i="13" s="1"/>
  <c r="B2197" i="13" s="1"/>
  <c r="B2198" i="13" s="1"/>
  <c r="B2199" i="13" s="1"/>
  <c r="B2200" i="13" s="1"/>
  <c r="B2201" i="13" s="1"/>
  <c r="B2202" i="13" s="1"/>
  <c r="B2203" i="13" s="1"/>
  <c r="B2204" i="13" s="1"/>
  <c r="L1542" i="13" a="1"/>
  <c r="L1542" i="13" s="1"/>
  <c r="B2217" i="13"/>
  <c r="B2218" i="13" s="1"/>
  <c r="B2219" i="13" s="1"/>
  <c r="B2220" i="13"/>
  <c r="B2221" i="13" s="1"/>
  <c r="F733" i="12"/>
  <c r="D1946" i="13" a="1"/>
  <c r="D1946" i="13" s="1"/>
  <c r="D1973" i="13" s="1"/>
  <c r="D815" i="12"/>
  <c r="D810" i="12"/>
  <c r="B2176" i="13"/>
  <c r="B2171" i="13"/>
  <c r="B2138" i="13"/>
  <c r="B2139" i="13" s="1"/>
  <c r="B2140" i="13" s="1"/>
  <c r="B2141" i="13" s="1"/>
  <c r="B2143" i="13"/>
  <c r="B2144" i="13" s="1"/>
  <c r="B2145" i="13" s="1"/>
  <c r="B2146" i="13" s="1"/>
  <c r="E1912" i="13" a="1"/>
  <c r="E1912" i="13" s="1"/>
  <c r="E1939" i="13" s="1"/>
  <c r="E801" i="12"/>
  <c r="E796" i="12"/>
  <c r="D1917" i="13" a="1"/>
  <c r="D1917" i="13" s="1"/>
  <c r="D798" i="12"/>
  <c r="A1943" i="13" a="1"/>
  <c r="A1943" i="13" s="1"/>
  <c r="A804" i="12" a="1"/>
  <c r="A804" i="12" s="1"/>
  <c r="R864" i="12"/>
  <c r="E853" i="12"/>
  <c r="E2055" i="13" s="1" a="1"/>
  <c r="E2055" i="13" s="1"/>
  <c r="E858" i="12"/>
  <c r="F853" i="12"/>
  <c r="F2055" i="13" s="1" a="1"/>
  <c r="F2055" i="13" s="1"/>
  <c r="F858" i="12"/>
  <c r="I858" i="12"/>
  <c r="I853" i="12"/>
  <c r="I2055" i="13" s="1" a="1"/>
  <c r="I2055" i="13" s="1"/>
  <c r="G858" i="12"/>
  <c r="G853" i="12"/>
  <c r="G2055" i="13" s="1" a="1"/>
  <c r="G2055" i="13" s="1"/>
  <c r="N858" i="12"/>
  <c r="N853" i="12"/>
  <c r="N2055" i="13" s="1" a="1"/>
  <c r="N2055" i="13" s="1"/>
  <c r="M853" i="12"/>
  <c r="M2055" i="13" s="1" a="1"/>
  <c r="M2055" i="13" s="1"/>
  <c r="M858" i="12"/>
  <c r="L853" i="12"/>
  <c r="L2055" i="13" s="1" a="1"/>
  <c r="L2055" i="13" s="1"/>
  <c r="L858" i="12"/>
  <c r="D853" i="12"/>
  <c r="D2055" i="13" s="1" a="1"/>
  <c r="D2055" i="13" s="1"/>
  <c r="D858" i="12"/>
  <c r="R851" i="12"/>
  <c r="I849" i="12" a="1"/>
  <c r="I849" i="12" s="1"/>
  <c r="I2051" i="13" s="1" a="1"/>
  <c r="I2051" i="13" s="1"/>
  <c r="L849" i="12" a="1"/>
  <c r="L849" i="12" s="1"/>
  <c r="L2051" i="13" s="1" a="1"/>
  <c r="L2051" i="13" s="1"/>
  <c r="N849" i="12" a="1"/>
  <c r="N849" i="12" s="1"/>
  <c r="N2051" i="13" s="1" a="1"/>
  <c r="N2051" i="13" s="1"/>
  <c r="H849" i="12" a="1"/>
  <c r="H849" i="12" s="1"/>
  <c r="H2051" i="13" s="1" a="1"/>
  <c r="H2051" i="13" s="1"/>
  <c r="J849" i="12" a="1"/>
  <c r="J849" i="12" s="1"/>
  <c r="J2051" i="13" s="1" a="1"/>
  <c r="J2051" i="13" s="1"/>
  <c r="D849" i="12" a="1"/>
  <c r="D849" i="12" s="1"/>
  <c r="D2051" i="13" s="1" a="1"/>
  <c r="D2051" i="13" s="1"/>
  <c r="F849" i="12" a="1"/>
  <c r="F849" i="12" s="1"/>
  <c r="F2051" i="13" s="1" a="1"/>
  <c r="F2051" i="13" s="1"/>
  <c r="O849" i="12" a="1"/>
  <c r="O849" i="12" s="1"/>
  <c r="O2051" i="13" s="1" a="1"/>
  <c r="O2051" i="13" s="1"/>
  <c r="M849" i="12" a="1"/>
  <c r="M849" i="12" s="1"/>
  <c r="M2051" i="13" s="1" a="1"/>
  <c r="M2051" i="13" s="1"/>
  <c r="K849" i="12" a="1"/>
  <c r="K849" i="12" s="1"/>
  <c r="K2051" i="13" s="1" a="1"/>
  <c r="K2051" i="13" s="1"/>
  <c r="E849" i="12" a="1"/>
  <c r="E849" i="12" s="1"/>
  <c r="E2051" i="13" s="1" a="1"/>
  <c r="E2051" i="13" s="1"/>
  <c r="G849" i="12" a="1"/>
  <c r="G849" i="12" s="1"/>
  <c r="G2051" i="13" s="1" a="1"/>
  <c r="G2051" i="13" s="1"/>
  <c r="R876" i="12"/>
  <c r="B874" i="12" a="1"/>
  <c r="B874" i="12" s="1"/>
  <c r="R888" i="12"/>
  <c r="R875" i="12"/>
  <c r="J858" i="12"/>
  <c r="J853" i="12"/>
  <c r="J2055" i="13" s="1" a="1"/>
  <c r="J2055" i="13" s="1"/>
  <c r="K858" i="12"/>
  <c r="K853" i="12"/>
  <c r="K2055" i="13" s="1" a="1"/>
  <c r="K2055" i="13" s="1"/>
  <c r="N850" i="12" a="1"/>
  <c r="N850" i="12" s="1"/>
  <c r="J850" i="12" a="1"/>
  <c r="J850" i="12" s="1"/>
  <c r="G850" i="12" a="1"/>
  <c r="G850" i="12" s="1"/>
  <c r="F850" i="12" a="1"/>
  <c r="F850" i="12" s="1"/>
  <c r="H850" i="12" a="1"/>
  <c r="H850" i="12" s="1"/>
  <c r="M850" i="12" a="1"/>
  <c r="M850" i="12" s="1"/>
  <c r="O850" i="12" a="1"/>
  <c r="O850" i="12" s="1"/>
  <c r="I850" i="12" a="1"/>
  <c r="I850" i="12" s="1"/>
  <c r="D850" i="12" a="1"/>
  <c r="D850" i="12" s="1"/>
  <c r="K850" i="12" a="1"/>
  <c r="K850" i="12" s="1"/>
  <c r="E850" i="12" a="1"/>
  <c r="E850" i="12" s="1"/>
  <c r="L850" i="12" a="1"/>
  <c r="L850" i="12" s="1"/>
  <c r="I837" i="12" a="1"/>
  <c r="I837" i="12" s="1"/>
  <c r="E837" i="12" a="1"/>
  <c r="E837" i="12" s="1"/>
  <c r="M837" i="12" a="1"/>
  <c r="M837" i="12" s="1"/>
  <c r="L837" i="12" a="1"/>
  <c r="L837" i="12" s="1"/>
  <c r="H837" i="12" a="1"/>
  <c r="H837" i="12" s="1"/>
  <c r="G837" i="12" a="1"/>
  <c r="G837" i="12" s="1"/>
  <c r="N837" i="12" a="1"/>
  <c r="N837" i="12" s="1"/>
  <c r="D837" i="12" a="1"/>
  <c r="D837" i="12" s="1"/>
  <c r="J837" i="12" a="1"/>
  <c r="J837" i="12" s="1"/>
  <c r="O837" i="12" a="1"/>
  <c r="O837" i="12" s="1"/>
  <c r="F837" i="12" a="1"/>
  <c r="F837" i="12" s="1"/>
  <c r="K837" i="12" a="1"/>
  <c r="K837" i="12" s="1"/>
  <c r="I861" i="12" a="1"/>
  <c r="I861" i="12" s="1"/>
  <c r="I2084" i="13" s="1" a="1"/>
  <c r="I2084" i="13" s="1"/>
  <c r="I2111" i="13" s="1"/>
  <c r="O861" i="12" a="1"/>
  <c r="O861" i="12" s="1"/>
  <c r="O2084" i="13" s="1" a="1"/>
  <c r="O2084" i="13" s="1"/>
  <c r="O2111" i="13" s="1"/>
  <c r="E861" i="12" a="1"/>
  <c r="E861" i="12" s="1"/>
  <c r="E2084" i="13" s="1" a="1"/>
  <c r="E2084" i="13" s="1"/>
  <c r="E2111" i="13" s="1"/>
  <c r="K861" i="12" a="1"/>
  <c r="K861" i="12" s="1"/>
  <c r="K2084" i="13" s="1" a="1"/>
  <c r="K2084" i="13" s="1"/>
  <c r="K2111" i="13" s="1"/>
  <c r="R863" i="12"/>
  <c r="G861" i="12" a="1"/>
  <c r="G861" i="12" s="1"/>
  <c r="G2084" i="13" s="1" a="1"/>
  <c r="G2084" i="13" s="1"/>
  <c r="G2111" i="13" s="1"/>
  <c r="L861" i="12" a="1"/>
  <c r="L861" i="12" s="1"/>
  <c r="L2084" i="13" s="1" a="1"/>
  <c r="L2084" i="13" s="1"/>
  <c r="L2111" i="13" s="1"/>
  <c r="F861" i="12" a="1"/>
  <c r="F861" i="12" s="1"/>
  <c r="F2084" i="13" s="1" a="1"/>
  <c r="F2084" i="13" s="1"/>
  <c r="F2111" i="13" s="1"/>
  <c r="N861" i="12" a="1"/>
  <c r="N861" i="12" s="1"/>
  <c r="N2084" i="13" s="1" a="1"/>
  <c r="N2084" i="13" s="1"/>
  <c r="N2111" i="13" s="1"/>
  <c r="H861" i="12" a="1"/>
  <c r="H861" i="12" s="1"/>
  <c r="H2084" i="13" s="1" a="1"/>
  <c r="H2084" i="13" s="1"/>
  <c r="H2111" i="13" s="1"/>
  <c r="J861" i="12" a="1"/>
  <c r="J861" i="12" s="1"/>
  <c r="J2084" i="13" s="1" a="1"/>
  <c r="J2084" i="13" s="1"/>
  <c r="J2111" i="13" s="1"/>
  <c r="D861" i="12" a="1"/>
  <c r="D861" i="12" s="1"/>
  <c r="D2084" i="13" s="1" a="1"/>
  <c r="D2084" i="13" s="1"/>
  <c r="D2111" i="13" s="1"/>
  <c r="M861" i="12" a="1"/>
  <c r="M861" i="12" s="1"/>
  <c r="M2084" i="13" s="1" a="1"/>
  <c r="M2084" i="13" s="1"/>
  <c r="M2111" i="13" s="1"/>
  <c r="O858" i="12"/>
  <c r="O853" i="12"/>
  <c r="O2055" i="13" s="1" a="1"/>
  <c r="O2055" i="13" s="1"/>
  <c r="H858" i="12"/>
  <c r="H853" i="12"/>
  <c r="H2055" i="13" s="1" a="1"/>
  <c r="H2055" i="13" s="1"/>
  <c r="O1440" i="13" a="1"/>
  <c r="O1440" i="13" s="1"/>
  <c r="G664" i="12" a="1"/>
  <c r="G664" i="12" s="1"/>
  <c r="D1674" i="13" a="1"/>
  <c r="D1674" i="13" s="1"/>
  <c r="D1701" i="13" s="1"/>
  <c r="D703" i="12"/>
  <c r="D698" i="12"/>
  <c r="BM66" i="9" a="1"/>
  <c r="BM66" i="9" s="1"/>
  <c r="BN66" i="9" s="1"/>
  <c r="BO66" i="9" s="1"/>
  <c r="BP66" i="9" s="1"/>
  <c r="D706" i="12" a="1"/>
  <c r="D706" i="12" s="1"/>
  <c r="P68" i="9" a="1"/>
  <c r="P68" i="9" s="1"/>
  <c r="D806" i="12" a="1"/>
  <c r="D806" i="12" s="1"/>
  <c r="D1947" i="13" s="1" a="1"/>
  <c r="D1947" i="13" s="1"/>
  <c r="AE68" i="9" s="1" a="1"/>
  <c r="AE68" i="9" s="1"/>
  <c r="E804" i="12" a="1"/>
  <c r="E804" i="12" s="1"/>
  <c r="BB66" i="9" a="1"/>
  <c r="BB66" i="9" s="1"/>
  <c r="I1475" i="13" a="1"/>
  <c r="I1475" i="13" s="1"/>
  <c r="I616" i="12"/>
  <c r="I618" i="12" s="1"/>
  <c r="I1476" i="13" s="1" a="1"/>
  <c r="I1476" i="13" s="1"/>
  <c r="AA68" i="9" a="1"/>
  <c r="AA68" i="9" s="1"/>
  <c r="AB68" i="9" s="1"/>
  <c r="D686" i="12"/>
  <c r="D688" i="12" s="1"/>
  <c r="D1646" i="13" s="1" a="1"/>
  <c r="D1646" i="13" s="1"/>
  <c r="D1645" i="13" a="1"/>
  <c r="D1645" i="13" s="1"/>
  <c r="G644" i="12"/>
  <c r="G646" i="12" s="1"/>
  <c r="G1544" i="13" s="1" a="1"/>
  <c r="G1544" i="13" s="1"/>
  <c r="G1543" i="13" a="1"/>
  <c r="G1543" i="13" s="1"/>
  <c r="HI58" i="9" a="1"/>
  <c r="HI58" i="9" s="1"/>
  <c r="HJ58" i="9" s="1"/>
  <c r="IB58" i="9" a="1"/>
  <c r="IB58" i="9" s="1"/>
  <c r="IC58" i="9" s="1"/>
  <c r="D673" i="12"/>
  <c r="G1572" i="13" a="1"/>
  <c r="G1572" i="13" s="1"/>
  <c r="G1599" i="13" s="1"/>
  <c r="G656" i="12"/>
  <c r="G661" i="12"/>
  <c r="AI67" i="9" a="1"/>
  <c r="AI67" i="9" s="1"/>
  <c r="E792" i="12" a="1"/>
  <c r="E792" i="12" s="1"/>
  <c r="E1913" i="13" s="1" a="1"/>
  <c r="E1913" i="13" s="1"/>
  <c r="AX67" i="9" s="1" a="1"/>
  <c r="AX67" i="9" s="1"/>
  <c r="F790" i="12" a="1"/>
  <c r="F790" i="12" s="1"/>
  <c r="AT67" i="9" a="1"/>
  <c r="AT67" i="9" s="1"/>
  <c r="AU67" i="9" s="1"/>
  <c r="C78" i="28" a="1"/>
  <c r="C78" i="28" s="1"/>
  <c r="B68" i="9" a="1"/>
  <c r="B68" i="9" s="1"/>
  <c r="D1576" i="13" a="1"/>
  <c r="D1576" i="13" s="1"/>
  <c r="D663" i="12"/>
  <c r="AC67" i="9"/>
  <c r="AD67" i="9" s="1"/>
  <c r="D818" i="12" a="1"/>
  <c r="D818" i="12" s="1"/>
  <c r="D76" i="24" a="1"/>
  <c r="D76" i="24" s="1"/>
  <c r="E747" i="12"/>
  <c r="I691" i="12"/>
  <c r="O617" i="12"/>
  <c r="O621" i="12" s="1"/>
  <c r="N1474" i="13" a="1"/>
  <c r="N1474" i="13" s="1"/>
  <c r="H715" i="12"/>
  <c r="H719" i="12" s="1"/>
  <c r="K663" i="12"/>
  <c r="J687" i="12"/>
  <c r="J691" i="12" s="1"/>
  <c r="M645" i="12"/>
  <c r="M1542" i="13" s="1" a="1"/>
  <c r="M1542" i="13" s="1"/>
  <c r="F743" i="12"/>
  <c r="F1780" i="13" s="1" a="1"/>
  <c r="F1780" i="13" s="1"/>
  <c r="K673" i="12"/>
  <c r="K677" i="12" s="1"/>
  <c r="E757" i="12"/>
  <c r="E761" i="12" s="1"/>
  <c r="J708" i="12" a="1"/>
  <c r="J708" i="12" s="1"/>
  <c r="J1709" i="13" s="1" a="1"/>
  <c r="J1709" i="13" s="1"/>
  <c r="EO61" i="9" s="1" a="1"/>
  <c r="EO61" i="9" s="1"/>
  <c r="K706" i="12" a="1"/>
  <c r="K706" i="12" s="1"/>
  <c r="ES61" i="9" a="1"/>
  <c r="ES61" i="9" s="1"/>
  <c r="GE59" i="9" a="1"/>
  <c r="GE59" i="9" s="1"/>
  <c r="M678" i="12" a="1"/>
  <c r="M678" i="12" s="1"/>
  <c r="F768" i="12"/>
  <c r="F1844" i="13" a="1"/>
  <c r="F1844" i="13" s="1"/>
  <c r="F1871" i="13" s="1"/>
  <c r="F773" i="12"/>
  <c r="L680" i="12" a="1"/>
  <c r="L680" i="12" s="1"/>
  <c r="L1641" i="13" s="1" a="1"/>
  <c r="L1641" i="13" s="1"/>
  <c r="GA59" i="9" s="1" a="1"/>
  <c r="GA59" i="9" s="1"/>
  <c r="N631" i="12"/>
  <c r="L672" i="12"/>
  <c r="L674" i="12" s="1"/>
  <c r="L1612" i="13" s="1" a="1"/>
  <c r="L1612" i="13" s="1"/>
  <c r="L1611" i="13" a="1"/>
  <c r="L1611" i="13" s="1"/>
  <c r="I701" i="12"/>
  <c r="J717" i="12"/>
  <c r="J1708" i="13" a="1"/>
  <c r="J1708" i="13" s="1"/>
  <c r="J1735" i="13" s="1"/>
  <c r="J712" i="12"/>
  <c r="I714" i="12"/>
  <c r="I716" i="12" s="1"/>
  <c r="I1714" i="13" s="1" a="1"/>
  <c r="I1714" i="13" s="1"/>
  <c r="I1713" i="13" a="1"/>
  <c r="I1713" i="13" s="1"/>
  <c r="F776" i="12" a="1"/>
  <c r="F776" i="12" s="1"/>
  <c r="N652" i="12" a="1"/>
  <c r="N652" i="12" s="1"/>
  <c r="N1573" i="13" s="1" a="1"/>
  <c r="N1573" i="13" s="1"/>
  <c r="HM57" i="9" s="1" a="1"/>
  <c r="HM57" i="9" s="1"/>
  <c r="CN64" i="9" a="1"/>
  <c r="CN64" i="9" s="1"/>
  <c r="H748" i="12" a="1"/>
  <c r="H748" i="12" s="1"/>
  <c r="K694" i="12" a="1"/>
  <c r="K694" i="12" s="1"/>
  <c r="K1675" i="13" s="1" a="1"/>
  <c r="K1675" i="13" s="1"/>
  <c r="FH60" i="9" s="1" a="1"/>
  <c r="FH60" i="9" s="1"/>
  <c r="HI65" i="9" a="1"/>
  <c r="HI65" i="9" s="1"/>
  <c r="HJ65" i="9" s="1"/>
  <c r="M658" i="12"/>
  <c r="M660" i="12" s="1"/>
  <c r="M1578" i="13" s="1" a="1"/>
  <c r="M1578" i="13" s="1"/>
  <c r="M1577" i="13" a="1"/>
  <c r="M1577" i="13" s="1"/>
  <c r="N1543" i="13" a="1"/>
  <c r="N1543" i="13" s="1"/>
  <c r="N644" i="12"/>
  <c r="N646" i="12" s="1"/>
  <c r="N1544" i="13" s="1" a="1"/>
  <c r="N1544" i="13" s="1"/>
  <c r="L659" i="12"/>
  <c r="O1509" i="13" a="1"/>
  <c r="O1509" i="13" s="1"/>
  <c r="O630" i="12"/>
  <c r="O632" i="12" s="1"/>
  <c r="O1510" i="13" s="1" a="1"/>
  <c r="O1510" i="13" s="1"/>
  <c r="O650" i="12" a="1"/>
  <c r="O650" i="12" s="1"/>
  <c r="HQ57" i="9" a="1"/>
  <c r="HQ57" i="9" s="1"/>
  <c r="H1712" i="13" a="1"/>
  <c r="H1712" i="13" s="1"/>
  <c r="N1572" i="13" a="1"/>
  <c r="N1572" i="13" s="1"/>
  <c r="N1599" i="13" s="1"/>
  <c r="N656" i="12"/>
  <c r="N661" i="12"/>
  <c r="FL60" i="9" a="1"/>
  <c r="FL60" i="9" s="1"/>
  <c r="L692" i="12" a="1"/>
  <c r="L692" i="12" s="1"/>
  <c r="GX58" i="9" a="1"/>
  <c r="GX58" i="9" s="1"/>
  <c r="N664" i="12" a="1"/>
  <c r="N664" i="12" s="1"/>
  <c r="M675" i="12"/>
  <c r="M1606" i="13" a="1"/>
  <c r="M1606" i="13" s="1"/>
  <c r="M1633" i="13" s="1"/>
  <c r="M670" i="12"/>
  <c r="F1815" i="13" a="1"/>
  <c r="F1815" i="13" s="1"/>
  <c r="F756" i="12"/>
  <c r="F758" i="12" s="1"/>
  <c r="F1816" i="13" s="1" a="1"/>
  <c r="F1816" i="13" s="1"/>
  <c r="J1610" i="13" a="1"/>
  <c r="J1610" i="13" s="1"/>
  <c r="J677" i="12"/>
  <c r="J1679" i="13" a="1"/>
  <c r="J1679" i="13" s="1"/>
  <c r="J700" i="12"/>
  <c r="J702" i="12" s="1"/>
  <c r="J1680" i="13" s="1" a="1"/>
  <c r="J1680" i="13" s="1"/>
  <c r="O638" i="12" a="1"/>
  <c r="O638" i="12" s="1"/>
  <c r="O1539" i="13" s="1" a="1"/>
  <c r="O1539" i="13" s="1"/>
  <c r="IF56" i="9" s="1" a="1"/>
  <c r="IF56" i="9" s="1"/>
  <c r="H1747" i="13" a="1"/>
  <c r="H1747" i="13" s="1"/>
  <c r="H728" i="12"/>
  <c r="H730" i="12" s="1"/>
  <c r="H1748" i="13" s="1" a="1"/>
  <c r="H1748" i="13" s="1"/>
  <c r="H1776" i="13" a="1"/>
  <c r="H1776" i="13" s="1"/>
  <c r="H1803" i="13" s="1"/>
  <c r="H745" i="12"/>
  <c r="H740" i="12"/>
  <c r="K1674" i="13" a="1"/>
  <c r="K1674" i="13" s="1"/>
  <c r="K1701" i="13" s="1"/>
  <c r="K698" i="12"/>
  <c r="K703" i="12"/>
  <c r="O1538" i="13" a="1"/>
  <c r="O1538" i="13" s="1"/>
  <c r="O1565" i="13" s="1"/>
  <c r="O642" i="12"/>
  <c r="O647" i="12"/>
  <c r="J720" i="12" a="1"/>
  <c r="J720" i="12" s="1"/>
  <c r="DZ62" i="9" a="1"/>
  <c r="DZ62" i="9" s="1"/>
  <c r="I734" i="12" a="1"/>
  <c r="I734" i="12" s="1"/>
  <c r="DG63" i="9" a="1"/>
  <c r="DG63" i="9" s="1"/>
  <c r="M666" i="12" a="1"/>
  <c r="M666" i="12" s="1"/>
  <c r="M1607" i="13" s="1" a="1"/>
  <c r="M1607" i="13" s="1"/>
  <c r="GT58" i="9" s="1" a="1"/>
  <c r="GT58" i="9" s="1"/>
  <c r="H1678" i="13" a="1"/>
  <c r="H1678" i="13" s="1"/>
  <c r="H705" i="12"/>
  <c r="I1742" i="13" a="1"/>
  <c r="I1742" i="13" s="1"/>
  <c r="I1769" i="13" s="1"/>
  <c r="I726" i="12"/>
  <c r="I731" i="12"/>
  <c r="E1849" i="13" a="1"/>
  <c r="E1849" i="13" s="1"/>
  <c r="E770" i="12"/>
  <c r="E772" i="12" s="1"/>
  <c r="E1850" i="13" s="1" a="1"/>
  <c r="E1850" i="13" s="1"/>
  <c r="G1781" i="13" a="1"/>
  <c r="G1781" i="13" s="1"/>
  <c r="G742" i="12"/>
  <c r="G744" i="12" s="1"/>
  <c r="G1782" i="13" s="1" a="1"/>
  <c r="G1782" i="13" s="1"/>
  <c r="L1640" i="13" a="1"/>
  <c r="L1640" i="13" s="1"/>
  <c r="L1667" i="13" s="1"/>
  <c r="L684" i="12"/>
  <c r="L689" i="12"/>
  <c r="I722" i="12" a="1"/>
  <c r="I722" i="12" s="1"/>
  <c r="I1743" i="13" s="1" a="1"/>
  <c r="I1743" i="13" s="1"/>
  <c r="DV62" i="9" s="1" a="1"/>
  <c r="DV62" i="9" s="1"/>
  <c r="E787" i="12"/>
  <c r="E1878" i="13" a="1"/>
  <c r="E1878" i="13" s="1"/>
  <c r="E1905" i="13" s="1"/>
  <c r="E782" i="12"/>
  <c r="K686" i="12"/>
  <c r="K688" i="12" s="1"/>
  <c r="K1646" i="13" s="1" a="1"/>
  <c r="K1646" i="13" s="1"/>
  <c r="K1645" i="13" a="1"/>
  <c r="K1645" i="13" s="1"/>
  <c r="B1848" i="13"/>
  <c r="B1849" i="13" s="1"/>
  <c r="B1850" i="13" s="1"/>
  <c r="B1851" i="13" s="1"/>
  <c r="B1852" i="13"/>
  <c r="B1853" i="13" s="1"/>
  <c r="B1854" i="13" s="1"/>
  <c r="B1855" i="13" s="1"/>
  <c r="B1856" i="13" s="1"/>
  <c r="B1857" i="13" s="1"/>
  <c r="B1858" i="13" s="1"/>
  <c r="B1859" i="13" s="1"/>
  <c r="B1860" i="13" s="1"/>
  <c r="B1861" i="13" s="1"/>
  <c r="B1862" i="13" s="1"/>
  <c r="B1863" i="13" s="1"/>
  <c r="B1864" i="13" s="1"/>
  <c r="B1798" i="13"/>
  <c r="B1799" i="13" s="1"/>
  <c r="B1800" i="13" s="1"/>
  <c r="B1801" i="13" s="1"/>
  <c r="B1803" i="13"/>
  <c r="B1804" i="13" s="1"/>
  <c r="B1805" i="13" s="1"/>
  <c r="B1806" i="13" s="1"/>
  <c r="B1836" i="13"/>
  <c r="B1831" i="13"/>
  <c r="B1877" i="13"/>
  <c r="B1878" i="13" s="1"/>
  <c r="B1879" i="13" s="1"/>
  <c r="B1880" i="13"/>
  <c r="B1881" i="13" s="1"/>
  <c r="B2188" i="13" l="1"/>
  <c r="B2189" i="13" s="1"/>
  <c r="B2190" i="13" s="1"/>
  <c r="B2191" i="13" s="1"/>
  <c r="O1474" i="13" a="1"/>
  <c r="O1474" i="13" s="1"/>
  <c r="E1814" i="13" a="1"/>
  <c r="E1814" i="13" s="1"/>
  <c r="B2226" i="13"/>
  <c r="B2227" i="13" s="1"/>
  <c r="B2228" i="13" s="1"/>
  <c r="B2229" i="13" s="1"/>
  <c r="B2230" i="13" s="1"/>
  <c r="B2231" i="13" s="1"/>
  <c r="B2232" i="13" s="1"/>
  <c r="B2233" i="13" s="1"/>
  <c r="B2234" i="13" s="1"/>
  <c r="B2235" i="13" s="1"/>
  <c r="B2236" i="13" s="1"/>
  <c r="B2237" i="13" s="1"/>
  <c r="B2238" i="13" s="1"/>
  <c r="B2222" i="13"/>
  <c r="B2223" i="13" s="1"/>
  <c r="B2224" i="13" s="1"/>
  <c r="B2225" i="13" s="1"/>
  <c r="F747" i="12"/>
  <c r="E1946" i="13" a="1"/>
  <c r="E1946" i="13" s="1"/>
  <c r="E1973" i="13" s="1"/>
  <c r="E815" i="12"/>
  <c r="E810" i="12"/>
  <c r="D799" i="12"/>
  <c r="D800" i="12"/>
  <c r="D1918" i="13" s="1" a="1"/>
  <c r="D1918" i="13" s="1"/>
  <c r="K1610" i="13" a="1"/>
  <c r="K1610" i="13" s="1"/>
  <c r="E1917" i="13" a="1"/>
  <c r="E1917" i="13" s="1"/>
  <c r="E798" i="12"/>
  <c r="B2172" i="13"/>
  <c r="B2173" i="13" s="1"/>
  <c r="B2174" i="13" s="1"/>
  <c r="B2175" i="13" s="1"/>
  <c r="B2177" i="13"/>
  <c r="B2178" i="13" s="1"/>
  <c r="B2179" i="13" s="1"/>
  <c r="B2180" i="13" s="1"/>
  <c r="D1980" i="13" a="1"/>
  <c r="D1980" i="13" s="1"/>
  <c r="D2007" i="13" s="1"/>
  <c r="D829" i="12"/>
  <c r="D824" i="12"/>
  <c r="A1977" i="13" a="1"/>
  <c r="A1977" i="13" s="1"/>
  <c r="A818" i="12" a="1"/>
  <c r="A818" i="12" s="1"/>
  <c r="D1951" i="13" a="1"/>
  <c r="D1951" i="13" s="1"/>
  <c r="D812" i="12"/>
  <c r="F1912" i="13" a="1"/>
  <c r="F1912" i="13" s="1"/>
  <c r="F1939" i="13" s="1"/>
  <c r="F801" i="12"/>
  <c r="F796" i="12"/>
  <c r="B2210" i="13"/>
  <c r="B2205" i="13"/>
  <c r="O867" i="12"/>
  <c r="O2089" i="13" s="1" a="1"/>
  <c r="O2089" i="13" s="1"/>
  <c r="O872" i="12"/>
  <c r="J872" i="12"/>
  <c r="J867" i="12"/>
  <c r="J2089" i="13" s="1" a="1"/>
  <c r="J2089" i="13" s="1"/>
  <c r="E867" i="12"/>
  <c r="E2089" i="13" s="1" a="1"/>
  <c r="E2089" i="13" s="1"/>
  <c r="E872" i="12"/>
  <c r="R902" i="12"/>
  <c r="R916" i="12" s="1"/>
  <c r="B888" i="12" a="1"/>
  <c r="B888" i="12" s="1"/>
  <c r="R890" i="12"/>
  <c r="R889" i="12"/>
  <c r="N872" i="12"/>
  <c r="N867" i="12"/>
  <c r="N2089" i="13" s="1" a="1"/>
  <c r="N2089" i="13" s="1"/>
  <c r="I872" i="12"/>
  <c r="I867" i="12"/>
  <c r="I2089" i="13" s="1" a="1"/>
  <c r="I2089" i="13" s="1"/>
  <c r="F867" i="12"/>
  <c r="F2089" i="13" s="1" a="1"/>
  <c r="F2089" i="13" s="1"/>
  <c r="F872" i="12"/>
  <c r="L867" i="12"/>
  <c r="L2089" i="13" s="1" a="1"/>
  <c r="L2089" i="13" s="1"/>
  <c r="L872" i="12"/>
  <c r="H864" i="12" a="1"/>
  <c r="H864" i="12" s="1"/>
  <c r="M864" i="12" a="1"/>
  <c r="M864" i="12" s="1"/>
  <c r="L864" i="12" a="1"/>
  <c r="L864" i="12" s="1"/>
  <c r="D864" i="12" a="1"/>
  <c r="D864" i="12" s="1"/>
  <c r="I864" i="12" a="1"/>
  <c r="I864" i="12" s="1"/>
  <c r="O864" i="12" a="1"/>
  <c r="O864" i="12" s="1"/>
  <c r="E864" i="12" a="1"/>
  <c r="E864" i="12" s="1"/>
  <c r="K864" i="12" a="1"/>
  <c r="K864" i="12" s="1"/>
  <c r="G864" i="12" a="1"/>
  <c r="G864" i="12" s="1"/>
  <c r="F864" i="12" a="1"/>
  <c r="F864" i="12" s="1"/>
  <c r="N864" i="12" a="1"/>
  <c r="N864" i="12" s="1"/>
  <c r="J864" i="12" a="1"/>
  <c r="J864" i="12" s="1"/>
  <c r="G872" i="12"/>
  <c r="G867" i="12"/>
  <c r="G2089" i="13" s="1" a="1"/>
  <c r="G2089" i="13" s="1"/>
  <c r="I875" i="12" a="1"/>
  <c r="I875" i="12" s="1"/>
  <c r="I2118" i="13" s="1" a="1"/>
  <c r="I2118" i="13" s="1"/>
  <c r="I2145" i="13" s="1"/>
  <c r="E875" i="12" a="1"/>
  <c r="E875" i="12" s="1"/>
  <c r="E2118" i="13" s="1" a="1"/>
  <c r="E2118" i="13" s="1"/>
  <c r="E2145" i="13" s="1"/>
  <c r="O875" i="12" a="1"/>
  <c r="O875" i="12" s="1"/>
  <c r="O2118" i="13" s="1" a="1"/>
  <c r="O2118" i="13" s="1"/>
  <c r="O2145" i="13" s="1"/>
  <c r="R877" i="12"/>
  <c r="D875" i="12" a="1"/>
  <c r="D875" i="12" s="1"/>
  <c r="D2118" i="13" s="1" a="1"/>
  <c r="D2118" i="13" s="1"/>
  <c r="D2145" i="13" s="1"/>
  <c r="N875" i="12" a="1"/>
  <c r="N875" i="12" s="1"/>
  <c r="N2118" i="13" s="1" a="1"/>
  <c r="N2118" i="13" s="1"/>
  <c r="N2145" i="13" s="1"/>
  <c r="G875" i="12" a="1"/>
  <c r="G875" i="12" s="1"/>
  <c r="G2118" i="13" s="1" a="1"/>
  <c r="G2118" i="13" s="1"/>
  <c r="G2145" i="13" s="1"/>
  <c r="J875" i="12" a="1"/>
  <c r="J875" i="12" s="1"/>
  <c r="J2118" i="13" s="1" a="1"/>
  <c r="J2118" i="13" s="1"/>
  <c r="J2145" i="13" s="1"/>
  <c r="L875" i="12" a="1"/>
  <c r="L875" i="12" s="1"/>
  <c r="L2118" i="13" s="1" a="1"/>
  <c r="L2118" i="13" s="1"/>
  <c r="L2145" i="13" s="1"/>
  <c r="F875" i="12" a="1"/>
  <c r="F875" i="12" s="1"/>
  <c r="F2118" i="13" s="1" a="1"/>
  <c r="F2118" i="13" s="1"/>
  <c r="F2145" i="13" s="1"/>
  <c r="H875" i="12" a="1"/>
  <c r="H875" i="12" s="1"/>
  <c r="H2118" i="13" s="1" a="1"/>
  <c r="H2118" i="13" s="1"/>
  <c r="H2145" i="13" s="1"/>
  <c r="M875" i="12" a="1"/>
  <c r="M875" i="12" s="1"/>
  <c r="M2118" i="13" s="1" a="1"/>
  <c r="M2118" i="13" s="1"/>
  <c r="M2145" i="13" s="1"/>
  <c r="K875" i="12" a="1"/>
  <c r="K875" i="12" s="1"/>
  <c r="K2118" i="13" s="1" a="1"/>
  <c r="K2118" i="13" s="1"/>
  <c r="K2145" i="13" s="1"/>
  <c r="E851" i="12" a="1"/>
  <c r="E851" i="12" s="1"/>
  <c r="G851" i="12" a="1"/>
  <c r="G851" i="12" s="1"/>
  <c r="N851" i="12" a="1"/>
  <c r="N851" i="12" s="1"/>
  <c r="J851" i="12" a="1"/>
  <c r="J851" i="12" s="1"/>
  <c r="I851" i="12" a="1"/>
  <c r="I851" i="12" s="1"/>
  <c r="L851" i="12" a="1"/>
  <c r="L851" i="12" s="1"/>
  <c r="H851" i="12" a="1"/>
  <c r="H851" i="12" s="1"/>
  <c r="K851" i="12" a="1"/>
  <c r="K851" i="12" s="1"/>
  <c r="D851" i="12" a="1"/>
  <c r="D851" i="12" s="1"/>
  <c r="F851" i="12" a="1"/>
  <c r="F851" i="12" s="1"/>
  <c r="M851" i="12" a="1"/>
  <c r="M851" i="12" s="1"/>
  <c r="O851" i="12" a="1"/>
  <c r="O851" i="12" s="1"/>
  <c r="H867" i="12"/>
  <c r="H2089" i="13" s="1" a="1"/>
  <c r="H2089" i="13" s="1"/>
  <c r="H872" i="12"/>
  <c r="M867" i="12"/>
  <c r="M2089" i="13" s="1" a="1"/>
  <c r="M2089" i="13" s="1"/>
  <c r="M872" i="12"/>
  <c r="I863" i="12" a="1"/>
  <c r="I863" i="12" s="1"/>
  <c r="I2085" i="13" s="1" a="1"/>
  <c r="I2085" i="13" s="1"/>
  <c r="O863" i="12" a="1"/>
  <c r="O863" i="12" s="1"/>
  <c r="O2085" i="13" s="1" a="1"/>
  <c r="O2085" i="13" s="1"/>
  <c r="E863" i="12" a="1"/>
  <c r="E863" i="12" s="1"/>
  <c r="E2085" i="13" s="1" a="1"/>
  <c r="E2085" i="13" s="1"/>
  <c r="N863" i="12" a="1"/>
  <c r="N863" i="12" s="1"/>
  <c r="N2085" i="13" s="1" a="1"/>
  <c r="N2085" i="13" s="1"/>
  <c r="R865" i="12"/>
  <c r="J863" i="12" a="1"/>
  <c r="J863" i="12" s="1"/>
  <c r="J2085" i="13" s="1" a="1"/>
  <c r="J2085" i="13" s="1"/>
  <c r="L863" i="12" a="1"/>
  <c r="L863" i="12" s="1"/>
  <c r="L2085" i="13" s="1" a="1"/>
  <c r="L2085" i="13" s="1"/>
  <c r="F863" i="12" a="1"/>
  <c r="F863" i="12" s="1"/>
  <c r="F2085" i="13" s="1" a="1"/>
  <c r="F2085" i="13" s="1"/>
  <c r="H863" i="12" a="1"/>
  <c r="H863" i="12" s="1"/>
  <c r="H2085" i="13" s="1" a="1"/>
  <c r="H2085" i="13" s="1"/>
  <c r="K863" i="12" a="1"/>
  <c r="K863" i="12" s="1"/>
  <c r="K2085" i="13" s="1" a="1"/>
  <c r="K2085" i="13" s="1"/>
  <c r="D863" i="12" a="1"/>
  <c r="D863" i="12" s="1"/>
  <c r="D2085" i="13" s="1" a="1"/>
  <c r="D2085" i="13" s="1"/>
  <c r="M863" i="12" a="1"/>
  <c r="M863" i="12" s="1"/>
  <c r="M2085" i="13" s="1" a="1"/>
  <c r="M2085" i="13" s="1"/>
  <c r="G863" i="12" a="1"/>
  <c r="G863" i="12" s="1"/>
  <c r="G2085" i="13" s="1" a="1"/>
  <c r="G2085" i="13" s="1"/>
  <c r="D867" i="12"/>
  <c r="D2089" i="13" s="1" a="1"/>
  <c r="D2089" i="13" s="1"/>
  <c r="D872" i="12"/>
  <c r="K872" i="12"/>
  <c r="K867" i="12"/>
  <c r="K2089" i="13" s="1" a="1"/>
  <c r="K2089" i="13" s="1"/>
  <c r="R878" i="12"/>
  <c r="D687" i="12"/>
  <c r="D1644" i="13" s="1" a="1"/>
  <c r="D1644" i="13" s="1"/>
  <c r="C79" i="28" a="1"/>
  <c r="C79" i="28" s="1"/>
  <c r="B69" i="9" a="1"/>
  <c r="B69" i="9" s="1"/>
  <c r="G645" i="12"/>
  <c r="G678" i="12" a="1"/>
  <c r="G678" i="12" s="1"/>
  <c r="BU66" i="9" a="1"/>
  <c r="BU66" i="9" s="1"/>
  <c r="D832" i="12" a="1"/>
  <c r="D832" i="12" s="1"/>
  <c r="D677" i="12"/>
  <c r="D1610" i="13" a="1"/>
  <c r="D1610" i="13" s="1"/>
  <c r="CF66" i="9" a="1"/>
  <c r="CF66" i="9" s="1"/>
  <c r="CG66" i="9" s="1"/>
  <c r="CH66" i="9" s="1"/>
  <c r="CI66" i="9" s="1"/>
  <c r="AA69" i="9" a="1"/>
  <c r="AA69" i="9" s="1"/>
  <c r="AB69" i="9" s="1"/>
  <c r="AT68" i="9" a="1"/>
  <c r="AT68" i="9" s="1"/>
  <c r="AU68" i="9" s="1"/>
  <c r="D700" i="12"/>
  <c r="D702" i="12" s="1"/>
  <c r="D1680" i="13" s="1" a="1"/>
  <c r="D1680" i="13" s="1"/>
  <c r="D1679" i="13" a="1"/>
  <c r="D1679" i="13" s="1"/>
  <c r="G658" i="12"/>
  <c r="G660" i="12" s="1"/>
  <c r="G1578" i="13" s="1" a="1"/>
  <c r="G1578" i="13" s="1"/>
  <c r="G1577" i="13" a="1"/>
  <c r="G1577" i="13" s="1"/>
  <c r="AC68" i="9"/>
  <c r="AD68" i="9" s="1"/>
  <c r="I617" i="12"/>
  <c r="AI68" i="9" a="1"/>
  <c r="AI68" i="9" s="1"/>
  <c r="F804" i="12" a="1"/>
  <c r="F804" i="12" s="1"/>
  <c r="E806" i="12" a="1"/>
  <c r="E806" i="12" s="1"/>
  <c r="E1947" i="13" s="1" a="1"/>
  <c r="E1947" i="13" s="1"/>
  <c r="AX68" i="9" s="1" a="1"/>
  <c r="AX68" i="9" s="1"/>
  <c r="AV67" i="9"/>
  <c r="AW67" i="9" s="1"/>
  <c r="BM67" i="9" a="1"/>
  <c r="BM67" i="9" s="1"/>
  <c r="BN67" i="9" s="1"/>
  <c r="D720" i="12" a="1"/>
  <c r="D720" i="12" s="1"/>
  <c r="P69" i="9" a="1"/>
  <c r="P69" i="9" s="1"/>
  <c r="E818" i="12" a="1"/>
  <c r="E818" i="12" s="1"/>
  <c r="D820" i="12" a="1"/>
  <c r="D820" i="12" s="1"/>
  <c r="D1981" i="13" s="1" a="1"/>
  <c r="D1981" i="13" s="1"/>
  <c r="AE69" i="9" s="1" a="1"/>
  <c r="AE69" i="9" s="1"/>
  <c r="BB67" i="9" a="1"/>
  <c r="BB67" i="9" s="1"/>
  <c r="F792" i="12" a="1"/>
  <c r="F792" i="12" s="1"/>
  <c r="F1913" i="13" s="1" a="1"/>
  <c r="F1913" i="13" s="1"/>
  <c r="BQ67" i="9" s="1" a="1"/>
  <c r="BQ67" i="9" s="1"/>
  <c r="G790" i="12" a="1"/>
  <c r="G790" i="12" s="1"/>
  <c r="D712" i="12"/>
  <c r="D1708" i="13" a="1"/>
  <c r="D1708" i="13" s="1"/>
  <c r="D1735" i="13" s="1"/>
  <c r="D717" i="12"/>
  <c r="G1606" i="13" a="1"/>
  <c r="G1606" i="13" s="1"/>
  <c r="G1633" i="13" s="1"/>
  <c r="G675" i="12"/>
  <c r="G670" i="12"/>
  <c r="D77" i="24" a="1"/>
  <c r="D77" i="24" s="1"/>
  <c r="M649" i="12"/>
  <c r="J1644" i="13" a="1"/>
  <c r="J1644" i="13" s="1"/>
  <c r="M659" i="12"/>
  <c r="M1576" i="13" s="1" a="1"/>
  <c r="M1576" i="13" s="1"/>
  <c r="L673" i="12"/>
  <c r="L677" i="12" s="1"/>
  <c r="F757" i="12"/>
  <c r="F761" i="12" s="1"/>
  <c r="E771" i="12"/>
  <c r="E1848" i="13" s="1" a="1"/>
  <c r="E1848" i="13" s="1"/>
  <c r="H729" i="12"/>
  <c r="H1746" i="13" s="1" a="1"/>
  <c r="H1746" i="13" s="1"/>
  <c r="G743" i="12"/>
  <c r="G1780" i="13" s="1" a="1"/>
  <c r="G1780" i="13" s="1"/>
  <c r="K687" i="12"/>
  <c r="K1644" i="13" s="1" a="1"/>
  <c r="K1644" i="13" s="1"/>
  <c r="N645" i="12"/>
  <c r="N1542" i="13" s="1" a="1"/>
  <c r="N1542" i="13" s="1"/>
  <c r="HQ58" i="9" a="1"/>
  <c r="HQ58" i="9" s="1"/>
  <c r="O664" i="12" a="1"/>
  <c r="O664" i="12" s="1"/>
  <c r="ES62" i="9" a="1"/>
  <c r="ES62" i="9" s="1"/>
  <c r="K720" i="12" a="1"/>
  <c r="K720" i="12" s="1"/>
  <c r="L694" i="12" a="1"/>
  <c r="L694" i="12" s="1"/>
  <c r="L1675" i="13" s="1" a="1"/>
  <c r="L1675" i="13" s="1"/>
  <c r="GA60" i="9" s="1" a="1"/>
  <c r="GA60" i="9" s="1"/>
  <c r="L706" i="12" a="1"/>
  <c r="L706" i="12" s="1"/>
  <c r="FL61" i="9" a="1"/>
  <c r="FL61" i="9" s="1"/>
  <c r="GX59" i="9" a="1"/>
  <c r="GX59" i="9" s="1"/>
  <c r="N678" i="12" a="1"/>
  <c r="N678" i="12" s="1"/>
  <c r="N666" i="12" a="1"/>
  <c r="N666" i="12" s="1"/>
  <c r="N1607" i="13" s="1" a="1"/>
  <c r="N1607" i="13" s="1"/>
  <c r="HM58" i="9" s="1" a="1"/>
  <c r="HM58" i="9" s="1"/>
  <c r="GE60" i="9" a="1"/>
  <c r="GE60" i="9" s="1"/>
  <c r="M692" i="12" a="1"/>
  <c r="M692" i="12" s="1"/>
  <c r="O652" i="12" a="1"/>
  <c r="O652" i="12" s="1"/>
  <c r="O1573" i="13" s="1" a="1"/>
  <c r="O1573" i="13" s="1"/>
  <c r="IF57" i="9" s="1" a="1"/>
  <c r="IF57" i="9" s="1"/>
  <c r="I728" i="12"/>
  <c r="I730" i="12" s="1"/>
  <c r="I1748" i="13" s="1" a="1"/>
  <c r="I1748" i="13" s="1"/>
  <c r="I1747" i="13" a="1"/>
  <c r="I1747" i="13" s="1"/>
  <c r="J701" i="12"/>
  <c r="M680" i="12" a="1"/>
  <c r="M680" i="12" s="1"/>
  <c r="M1641" i="13" s="1" a="1"/>
  <c r="M1641" i="13" s="1"/>
  <c r="GT59" i="9" s="1" a="1"/>
  <c r="GT59" i="9" s="1"/>
  <c r="G776" i="12" a="1"/>
  <c r="G776" i="12" s="1"/>
  <c r="CN65" i="9" a="1"/>
  <c r="CN65" i="9" s="1"/>
  <c r="H762" i="12" a="1"/>
  <c r="H762" i="12" s="1"/>
  <c r="I1776" i="13" a="1"/>
  <c r="I1776" i="13" s="1"/>
  <c r="I1803" i="13" s="1"/>
  <c r="I745" i="12"/>
  <c r="I740" i="12"/>
  <c r="N670" i="12"/>
  <c r="N1606" i="13" a="1"/>
  <c r="N1606" i="13" s="1"/>
  <c r="N1633" i="13" s="1"/>
  <c r="N675" i="12"/>
  <c r="L1576" i="13" a="1"/>
  <c r="L1576" i="13" s="1"/>
  <c r="L663" i="12"/>
  <c r="I1678" i="13" a="1"/>
  <c r="I1678" i="13" s="1"/>
  <c r="I705" i="12"/>
  <c r="M684" i="12"/>
  <c r="M1640" i="13" a="1"/>
  <c r="M1640" i="13" s="1"/>
  <c r="M1667" i="13" s="1"/>
  <c r="M689" i="12"/>
  <c r="K700" i="12"/>
  <c r="K702" i="12" s="1"/>
  <c r="K1680" i="13" s="1" a="1"/>
  <c r="K1680" i="13" s="1"/>
  <c r="K1679" i="13" a="1"/>
  <c r="K1679" i="13" s="1"/>
  <c r="O656" i="12"/>
  <c r="O661" i="12"/>
  <c r="O1572" i="13" a="1"/>
  <c r="O1572" i="13" s="1"/>
  <c r="O1599" i="13" s="1"/>
  <c r="F1878" i="13" a="1"/>
  <c r="F1878" i="13" s="1"/>
  <c r="F1905" i="13" s="1"/>
  <c r="F787" i="12"/>
  <c r="F782" i="12"/>
  <c r="L1610" i="13" a="1"/>
  <c r="L1610" i="13" s="1"/>
  <c r="F770" i="12"/>
  <c r="F772" i="12" s="1"/>
  <c r="F1850" i="13" s="1" a="1"/>
  <c r="F1850" i="13" s="1"/>
  <c r="F1849" i="13" a="1"/>
  <c r="F1849" i="13" s="1"/>
  <c r="L1645" i="13" a="1"/>
  <c r="L1645" i="13" s="1"/>
  <c r="L686" i="12"/>
  <c r="L688" i="12" s="1"/>
  <c r="L1646" i="13" s="1" a="1"/>
  <c r="L1646" i="13" s="1"/>
  <c r="J1742" i="13" a="1"/>
  <c r="J1742" i="13" s="1"/>
  <c r="J1769" i="13" s="1"/>
  <c r="J731" i="12"/>
  <c r="J726" i="12"/>
  <c r="L1674" i="13" a="1"/>
  <c r="L1674" i="13" s="1"/>
  <c r="L1701" i="13" s="1"/>
  <c r="L703" i="12"/>
  <c r="L698" i="12"/>
  <c r="I715" i="12"/>
  <c r="J734" i="12" a="1"/>
  <c r="J734" i="12" s="1"/>
  <c r="DZ63" i="9" a="1"/>
  <c r="DZ63" i="9" s="1"/>
  <c r="DG64" i="9" a="1"/>
  <c r="DG64" i="9" s="1"/>
  <c r="I748" i="12" a="1"/>
  <c r="I748" i="12" s="1"/>
  <c r="H742" i="12"/>
  <c r="H744" i="12" s="1"/>
  <c r="H1782" i="13" s="1" a="1"/>
  <c r="H1782" i="13" s="1"/>
  <c r="H1781" i="13" a="1"/>
  <c r="H1781" i="13" s="1"/>
  <c r="O631" i="12"/>
  <c r="K1708" i="13" a="1"/>
  <c r="K1708" i="13" s="1"/>
  <c r="K1735" i="13" s="1"/>
  <c r="K712" i="12"/>
  <c r="K717" i="12"/>
  <c r="E784" i="12"/>
  <c r="E786" i="12" s="1"/>
  <c r="E1884" i="13" s="1" a="1"/>
  <c r="E1884" i="13" s="1"/>
  <c r="E1883" i="13" a="1"/>
  <c r="E1883" i="13" s="1"/>
  <c r="O644" i="12"/>
  <c r="O646" i="12" s="1"/>
  <c r="O1544" i="13" s="1" a="1"/>
  <c r="O1544" i="13" s="1"/>
  <c r="O1543" i="13" a="1"/>
  <c r="O1543" i="13" s="1"/>
  <c r="H754" i="12"/>
  <c r="H1810" i="13" a="1"/>
  <c r="H1810" i="13" s="1"/>
  <c r="H1837" i="13" s="1"/>
  <c r="H759" i="12"/>
  <c r="N635" i="12"/>
  <c r="N1508" i="13" a="1"/>
  <c r="N1508" i="13" s="1"/>
  <c r="J722" i="12" a="1"/>
  <c r="J722" i="12" s="1"/>
  <c r="J1743" i="13" s="1" a="1"/>
  <c r="J1743" i="13" s="1"/>
  <c r="EO62" i="9" s="1" a="1"/>
  <c r="EO62" i="9" s="1"/>
  <c r="K708" i="12" a="1"/>
  <c r="K708" i="12" s="1"/>
  <c r="K1709" i="13" s="1" a="1"/>
  <c r="K1709" i="13" s="1"/>
  <c r="FH61" i="9" s="1" a="1"/>
  <c r="FH61" i="9" s="1"/>
  <c r="M1611" i="13" a="1"/>
  <c r="M1611" i="13" s="1"/>
  <c r="M672" i="12"/>
  <c r="M674" i="12" s="1"/>
  <c r="M1612" i="13" s="1" a="1"/>
  <c r="M1612" i="13" s="1"/>
  <c r="N658" i="12"/>
  <c r="N660" i="12" s="1"/>
  <c r="N1578" i="13" s="1" a="1"/>
  <c r="N1578" i="13" s="1"/>
  <c r="N1577" i="13" a="1"/>
  <c r="N1577" i="13" s="1"/>
  <c r="J714" i="12"/>
  <c r="J716" i="12" s="1"/>
  <c r="J1714" i="13" s="1" a="1"/>
  <c r="J1714" i="13" s="1"/>
  <c r="J1713" i="13" a="1"/>
  <c r="J1713" i="13" s="1"/>
  <c r="BU64" i="9" a="1"/>
  <c r="BU64" i="9" s="1"/>
  <c r="B1886" i="13"/>
  <c r="B1887" i="13" s="1"/>
  <c r="B1888" i="13" s="1"/>
  <c r="B1889" i="13" s="1"/>
  <c r="B1890" i="13" s="1"/>
  <c r="B1891" i="13" s="1"/>
  <c r="B1892" i="13" s="1"/>
  <c r="B1893" i="13" s="1"/>
  <c r="B1894" i="13" s="1"/>
  <c r="B1895" i="13" s="1"/>
  <c r="B1896" i="13" s="1"/>
  <c r="B1897" i="13" s="1"/>
  <c r="B1898" i="13" s="1"/>
  <c r="B1882" i="13"/>
  <c r="B1883" i="13" s="1"/>
  <c r="B1884" i="13" s="1"/>
  <c r="B1885" i="13" s="1"/>
  <c r="B1865" i="13"/>
  <c r="B1870" i="13"/>
  <c r="B1832" i="13"/>
  <c r="B1833" i="13" s="1"/>
  <c r="B1834" i="13" s="1"/>
  <c r="B1835" i="13" s="1"/>
  <c r="B1837" i="13"/>
  <c r="B1838" i="13" s="1"/>
  <c r="B1839" i="13" s="1"/>
  <c r="B1840" i="13" s="1"/>
  <c r="R930" i="12" l="1"/>
  <c r="R918" i="12"/>
  <c r="B916" i="12" a="1"/>
  <c r="B916" i="12" s="1"/>
  <c r="R917" i="12"/>
  <c r="A916" i="12" a="1"/>
  <c r="A916" i="12" s="1"/>
  <c r="D916" i="12" a="1"/>
  <c r="D916" i="12" s="1"/>
  <c r="E916" i="12" a="1"/>
  <c r="E916" i="12" s="1"/>
  <c r="F916" i="12" a="1"/>
  <c r="F916" i="12" s="1"/>
  <c r="G916" i="12" a="1"/>
  <c r="G916" i="12" s="1"/>
  <c r="H916" i="12" a="1"/>
  <c r="H916" i="12" s="1"/>
  <c r="I916" i="12" a="1"/>
  <c r="I916" i="12" s="1"/>
  <c r="J916" i="12" a="1"/>
  <c r="J916" i="12" s="1"/>
  <c r="K916" i="12" a="1"/>
  <c r="K916" i="12" s="1"/>
  <c r="L916" i="12" a="1"/>
  <c r="L916" i="12" s="1"/>
  <c r="M916" i="12" a="1"/>
  <c r="M916" i="12" s="1"/>
  <c r="N916" i="12" a="1"/>
  <c r="N916" i="12" s="1"/>
  <c r="O916" i="12" a="1"/>
  <c r="O916" i="12" s="1"/>
  <c r="B2244" i="13"/>
  <c r="B2239" i="13"/>
  <c r="D691" i="12"/>
  <c r="M663" i="12"/>
  <c r="E1980" i="13" a="1"/>
  <c r="E1980" i="13" s="1"/>
  <c r="E2007" i="13" s="1"/>
  <c r="E824" i="12"/>
  <c r="E829" i="12"/>
  <c r="D701" i="12"/>
  <c r="D1678" i="13" s="1" a="1"/>
  <c r="D1678" i="13" s="1"/>
  <c r="B2211" i="13"/>
  <c r="B2212" i="13" s="1"/>
  <c r="B2213" i="13" s="1"/>
  <c r="B2214" i="13" s="1"/>
  <c r="B2206" i="13"/>
  <c r="B2207" i="13" s="1"/>
  <c r="B2208" i="13" s="1"/>
  <c r="B2209" i="13" s="1"/>
  <c r="D1985" i="13" a="1"/>
  <c r="D1985" i="13" s="1"/>
  <c r="D826" i="12"/>
  <c r="F1917" i="13" a="1"/>
  <c r="F1917" i="13" s="1"/>
  <c r="F798" i="12"/>
  <c r="G1912" i="13" a="1"/>
  <c r="G1912" i="13" s="1"/>
  <c r="G1939" i="13" s="1"/>
  <c r="G801" i="12"/>
  <c r="G796" i="12"/>
  <c r="A2011" i="13" a="1"/>
  <c r="A2011" i="13" s="1"/>
  <c r="A832" i="12" a="1"/>
  <c r="A832" i="12" s="1"/>
  <c r="D1916" i="13" a="1"/>
  <c r="D1916" i="13" s="1"/>
  <c r="D803" i="12"/>
  <c r="E1951" i="13" a="1"/>
  <c r="E1951" i="13" s="1"/>
  <c r="E812" i="12"/>
  <c r="D2014" i="13" a="1"/>
  <c r="D2014" i="13" s="1"/>
  <c r="D2041" i="13" s="1"/>
  <c r="D843" i="12"/>
  <c r="D838" i="12"/>
  <c r="D813" i="12"/>
  <c r="D1950" i="13" s="1" a="1"/>
  <c r="D1950" i="13" s="1"/>
  <c r="D814" i="12"/>
  <c r="F1946" i="13" a="1"/>
  <c r="F1946" i="13" s="1"/>
  <c r="F1973" i="13" s="1"/>
  <c r="F810" i="12"/>
  <c r="F815" i="12"/>
  <c r="E799" i="12"/>
  <c r="E1916" i="13" s="1" a="1"/>
  <c r="E1916" i="13" s="1"/>
  <c r="E800" i="12"/>
  <c r="J878" i="12" a="1"/>
  <c r="J878" i="12" s="1"/>
  <c r="F878" i="12" a="1"/>
  <c r="F878" i="12" s="1"/>
  <c r="M878" i="12" a="1"/>
  <c r="M878" i="12" s="1"/>
  <c r="O878" i="12" a="1"/>
  <c r="O878" i="12" s="1"/>
  <c r="I878" i="12" a="1"/>
  <c r="I878" i="12" s="1"/>
  <c r="D878" i="12" a="1"/>
  <c r="D878" i="12" s="1"/>
  <c r="K878" i="12" a="1"/>
  <c r="K878" i="12" s="1"/>
  <c r="E878" i="12" a="1"/>
  <c r="E878" i="12" s="1"/>
  <c r="H878" i="12" a="1"/>
  <c r="H878" i="12" s="1"/>
  <c r="G878" i="12" a="1"/>
  <c r="G878" i="12" s="1"/>
  <c r="L878" i="12" a="1"/>
  <c r="L878" i="12" s="1"/>
  <c r="N878" i="12" a="1"/>
  <c r="N878" i="12" s="1"/>
  <c r="L865" i="12" a="1"/>
  <c r="L865" i="12" s="1"/>
  <c r="E865" i="12" a="1"/>
  <c r="E865" i="12" s="1"/>
  <c r="H865" i="12" a="1"/>
  <c r="H865" i="12" s="1"/>
  <c r="N865" i="12" a="1"/>
  <c r="N865" i="12" s="1"/>
  <c r="D865" i="12" a="1"/>
  <c r="D865" i="12" s="1"/>
  <c r="J865" i="12" a="1"/>
  <c r="J865" i="12" s="1"/>
  <c r="O865" i="12" a="1"/>
  <c r="O865" i="12" s="1"/>
  <c r="F865" i="12" a="1"/>
  <c r="F865" i="12" s="1"/>
  <c r="K865" i="12" a="1"/>
  <c r="K865" i="12" s="1"/>
  <c r="M865" i="12" a="1"/>
  <c r="M865" i="12" s="1"/>
  <c r="G865" i="12" a="1"/>
  <c r="G865" i="12" s="1"/>
  <c r="I865" i="12" a="1"/>
  <c r="I865" i="12" s="1"/>
  <c r="J886" i="12"/>
  <c r="J881" i="12"/>
  <c r="J2123" i="13" s="1" a="1"/>
  <c r="J2123" i="13" s="1"/>
  <c r="R892" i="12"/>
  <c r="N881" i="12"/>
  <c r="N2123" i="13" s="1" a="1"/>
  <c r="N2123" i="13" s="1"/>
  <c r="N886" i="12"/>
  <c r="K881" i="12"/>
  <c r="K2123" i="13" s="1" a="1"/>
  <c r="K2123" i="13" s="1"/>
  <c r="K886" i="12"/>
  <c r="D886" i="12"/>
  <c r="D881" i="12"/>
  <c r="D2123" i="13" s="1" a="1"/>
  <c r="D2123" i="13" s="1"/>
  <c r="M886" i="12"/>
  <c r="M881" i="12"/>
  <c r="M2123" i="13" s="1" a="1"/>
  <c r="M2123" i="13" s="1"/>
  <c r="L877" i="12" a="1"/>
  <c r="L877" i="12" s="1"/>
  <c r="L2119" i="13" s="1" a="1"/>
  <c r="L2119" i="13" s="1"/>
  <c r="E877" i="12" a="1"/>
  <c r="E877" i="12" s="1"/>
  <c r="E2119" i="13" s="1" a="1"/>
  <c r="E2119" i="13" s="1"/>
  <c r="N877" i="12" a="1"/>
  <c r="N877" i="12" s="1"/>
  <c r="N2119" i="13" s="1" a="1"/>
  <c r="N2119" i="13" s="1"/>
  <c r="H877" i="12" a="1"/>
  <c r="H877" i="12" s="1"/>
  <c r="H2119" i="13" s="1" a="1"/>
  <c r="H2119" i="13" s="1"/>
  <c r="J877" i="12" a="1"/>
  <c r="J877" i="12" s="1"/>
  <c r="J2119" i="13" s="1" a="1"/>
  <c r="J2119" i="13" s="1"/>
  <c r="D877" i="12" a="1"/>
  <c r="D877" i="12" s="1"/>
  <c r="D2119" i="13" s="1" a="1"/>
  <c r="D2119" i="13" s="1"/>
  <c r="F877" i="12" a="1"/>
  <c r="F877" i="12" s="1"/>
  <c r="F2119" i="13" s="1" a="1"/>
  <c r="F2119" i="13" s="1"/>
  <c r="O877" i="12" a="1"/>
  <c r="O877" i="12" s="1"/>
  <c r="O2119" i="13" s="1" a="1"/>
  <c r="O2119" i="13" s="1"/>
  <c r="M877" i="12" a="1"/>
  <c r="M877" i="12" s="1"/>
  <c r="M2119" i="13" s="1" a="1"/>
  <c r="M2119" i="13" s="1"/>
  <c r="K877" i="12" a="1"/>
  <c r="K877" i="12" s="1"/>
  <c r="K2119" i="13" s="1" a="1"/>
  <c r="K2119" i="13" s="1"/>
  <c r="I877" i="12" a="1"/>
  <c r="I877" i="12" s="1"/>
  <c r="I2119" i="13" s="1" a="1"/>
  <c r="I2119" i="13" s="1"/>
  <c r="G877" i="12" a="1"/>
  <c r="G877" i="12" s="1"/>
  <c r="G2119" i="13" s="1" a="1"/>
  <c r="G2119" i="13" s="1"/>
  <c r="R879" i="12"/>
  <c r="R904" i="12"/>
  <c r="B902" i="12" a="1"/>
  <c r="B902" i="12" s="1"/>
  <c r="R903" i="12"/>
  <c r="H881" i="12"/>
  <c r="H2123" i="13" s="1" a="1"/>
  <c r="H2123" i="13" s="1"/>
  <c r="H886" i="12"/>
  <c r="O881" i="12"/>
  <c r="O2123" i="13" s="1" a="1"/>
  <c r="O2123" i="13" s="1"/>
  <c r="O886" i="12"/>
  <c r="F881" i="12"/>
  <c r="F2123" i="13" s="1" a="1"/>
  <c r="F2123" i="13" s="1"/>
  <c r="F886" i="12"/>
  <c r="E881" i="12"/>
  <c r="E2123" i="13" s="1" a="1"/>
  <c r="E2123" i="13" s="1"/>
  <c r="E886" i="12"/>
  <c r="G881" i="12"/>
  <c r="G2123" i="13" s="1" a="1"/>
  <c r="G2123" i="13" s="1"/>
  <c r="G886" i="12"/>
  <c r="L886" i="12"/>
  <c r="L881" i="12"/>
  <c r="L2123" i="13" s="1" a="1"/>
  <c r="L2123" i="13" s="1"/>
  <c r="I886" i="12"/>
  <c r="I881" i="12"/>
  <c r="I2123" i="13" s="1" a="1"/>
  <c r="I2123" i="13" s="1"/>
  <c r="F889" i="12" a="1"/>
  <c r="F889" i="12" s="1"/>
  <c r="F2152" i="13" s="1" a="1"/>
  <c r="F2152" i="13" s="1"/>
  <c r="F2179" i="13" s="1"/>
  <c r="M889" i="12" a="1"/>
  <c r="M889" i="12" s="1"/>
  <c r="M2152" i="13" s="1" a="1"/>
  <c r="M2152" i="13" s="1"/>
  <c r="M2179" i="13" s="1"/>
  <c r="I889" i="12" a="1"/>
  <c r="I889" i="12" s="1"/>
  <c r="I2152" i="13" s="1" a="1"/>
  <c r="I2152" i="13" s="1"/>
  <c r="I2179" i="13" s="1"/>
  <c r="O889" i="12" a="1"/>
  <c r="O889" i="12" s="1"/>
  <c r="O2152" i="13" s="1" a="1"/>
  <c r="O2152" i="13" s="1"/>
  <c r="O2179" i="13" s="1"/>
  <c r="E889" i="12" a="1"/>
  <c r="E889" i="12" s="1"/>
  <c r="E2152" i="13" s="1" a="1"/>
  <c r="E2152" i="13" s="1"/>
  <c r="E2179" i="13" s="1"/>
  <c r="H889" i="12" a="1"/>
  <c r="H889" i="12" s="1"/>
  <c r="H2152" i="13" s="1" a="1"/>
  <c r="H2152" i="13" s="1"/>
  <c r="H2179" i="13" s="1"/>
  <c r="K889" i="12" a="1"/>
  <c r="K889" i="12" s="1"/>
  <c r="K2152" i="13" s="1" a="1"/>
  <c r="K2152" i="13" s="1"/>
  <c r="K2179" i="13" s="1"/>
  <c r="R891" i="12"/>
  <c r="N889" i="12" a="1"/>
  <c r="N889" i="12" s="1"/>
  <c r="N2152" i="13" s="1" a="1"/>
  <c r="N2152" i="13" s="1"/>
  <c r="N2179" i="13" s="1"/>
  <c r="G889" i="12" a="1"/>
  <c r="G889" i="12" s="1"/>
  <c r="G2152" i="13" s="1" a="1"/>
  <c r="G2152" i="13" s="1"/>
  <c r="G2179" i="13" s="1"/>
  <c r="L889" i="12" a="1"/>
  <c r="L889" i="12" s="1"/>
  <c r="L2152" i="13" s="1" a="1"/>
  <c r="L2152" i="13" s="1"/>
  <c r="L2179" i="13" s="1"/>
  <c r="J889" i="12" a="1"/>
  <c r="J889" i="12" s="1"/>
  <c r="J2152" i="13" s="1" a="1"/>
  <c r="J2152" i="13" s="1"/>
  <c r="J2179" i="13" s="1"/>
  <c r="D889" i="12" a="1"/>
  <c r="D889" i="12" s="1"/>
  <c r="D2152" i="13" s="1" a="1"/>
  <c r="D2152" i="13" s="1"/>
  <c r="D2179" i="13" s="1"/>
  <c r="I1474" i="13" a="1"/>
  <c r="I1474" i="13" s="1"/>
  <c r="I621" i="12"/>
  <c r="AT69" i="9" a="1"/>
  <c r="AT69" i="9" s="1"/>
  <c r="AU69" i="9" s="1"/>
  <c r="G689" i="12"/>
  <c r="G684" i="12"/>
  <c r="G1640" i="13" a="1"/>
  <c r="G1640" i="13" s="1"/>
  <c r="G1667" i="13" s="1"/>
  <c r="AI69" i="9" a="1"/>
  <c r="AI69" i="9" s="1"/>
  <c r="F818" i="12" a="1"/>
  <c r="F818" i="12" s="1"/>
  <c r="E820" i="12" a="1"/>
  <c r="E820" i="12" s="1"/>
  <c r="E1981" i="13" s="1" a="1"/>
  <c r="E1981" i="13" s="1"/>
  <c r="AX69" i="9" s="1" a="1"/>
  <c r="AX69" i="9" s="1"/>
  <c r="AC69" i="9"/>
  <c r="AD69" i="9" s="1"/>
  <c r="C80" i="28" a="1"/>
  <c r="C80" i="28" s="1"/>
  <c r="B70" i="9" a="1"/>
  <c r="B70" i="9" s="1"/>
  <c r="G649" i="12"/>
  <c r="G1542" i="13" a="1"/>
  <c r="G1542" i="13" s="1"/>
  <c r="D714" i="12"/>
  <c r="D716" i="12" s="1"/>
  <c r="D1714" i="13" s="1" a="1"/>
  <c r="D1714" i="13" s="1"/>
  <c r="D1713" i="13" a="1"/>
  <c r="D1713" i="13" s="1"/>
  <c r="D846" i="12" a="1"/>
  <c r="D846" i="12" s="1"/>
  <c r="D726" i="12"/>
  <c r="D1742" i="13" a="1"/>
  <c r="D1742" i="13" s="1"/>
  <c r="D1769" i="13" s="1"/>
  <c r="D731" i="12"/>
  <c r="CY66" i="9" a="1"/>
  <c r="CY66" i="9" s="1"/>
  <c r="CZ66" i="9" s="1"/>
  <c r="DA66" i="9" s="1"/>
  <c r="DB66" i="9" s="1"/>
  <c r="D734" i="12" a="1"/>
  <c r="D734" i="12" s="1"/>
  <c r="P70" i="9" a="1"/>
  <c r="P70" i="9" s="1"/>
  <c r="E832" i="12" a="1"/>
  <c r="E832" i="12" s="1"/>
  <c r="BO67" i="9"/>
  <c r="BP67" i="9" s="1"/>
  <c r="AA70" i="9" a="1"/>
  <c r="AA70" i="9" s="1"/>
  <c r="AB70" i="9" s="1"/>
  <c r="G672" i="12"/>
  <c r="G674" i="12" s="1"/>
  <c r="G1612" i="13" s="1" a="1"/>
  <c r="G1612" i="13" s="1"/>
  <c r="G1611" i="13" a="1"/>
  <c r="G1611" i="13" s="1"/>
  <c r="G692" i="12" a="1"/>
  <c r="G692" i="12" s="1"/>
  <c r="BU67" i="9" a="1"/>
  <c r="BU67" i="9" s="1"/>
  <c r="H790" i="12" a="1"/>
  <c r="H790" i="12" s="1"/>
  <c r="G792" i="12" a="1"/>
  <c r="G792" i="12" s="1"/>
  <c r="G1913" i="13" s="1" a="1"/>
  <c r="G1913" i="13" s="1"/>
  <c r="CJ67" i="9" s="1" a="1"/>
  <c r="CJ67" i="9" s="1"/>
  <c r="CF67" i="9" a="1"/>
  <c r="CF67" i="9" s="1"/>
  <c r="CG67" i="9" s="1"/>
  <c r="AV68" i="9"/>
  <c r="AW68" i="9" s="1"/>
  <c r="BB68" i="9" a="1"/>
  <c r="BB68" i="9" s="1"/>
  <c r="F806" i="12" a="1"/>
  <c r="F806" i="12" s="1"/>
  <c r="F1947" i="13" s="1" a="1"/>
  <c r="F1947" i="13" s="1"/>
  <c r="BQ68" i="9" s="1" a="1"/>
  <c r="BQ68" i="9" s="1"/>
  <c r="G804" i="12" a="1"/>
  <c r="G804" i="12" s="1"/>
  <c r="BM68" i="9" a="1"/>
  <c r="BM68" i="9" s="1"/>
  <c r="BN68" i="9" s="1"/>
  <c r="CN66" i="9" a="1"/>
  <c r="CN66" i="9" s="1"/>
  <c r="G659" i="12"/>
  <c r="D78" i="24" a="1"/>
  <c r="D78" i="24" s="1"/>
  <c r="F1814" i="13" a="1"/>
  <c r="F1814" i="13" s="1"/>
  <c r="K691" i="12"/>
  <c r="E775" i="12"/>
  <c r="H733" i="12"/>
  <c r="N659" i="12"/>
  <c r="N663" i="12" s="1"/>
  <c r="N649" i="12"/>
  <c r="J715" i="12"/>
  <c r="J719" i="12" s="1"/>
  <c r="G747" i="12"/>
  <c r="I729" i="12"/>
  <c r="I1746" i="13" s="1" a="1"/>
  <c r="I1746" i="13" s="1"/>
  <c r="E785" i="12"/>
  <c r="E789" i="12" s="1"/>
  <c r="H743" i="12"/>
  <c r="H1780" i="13" s="1" a="1"/>
  <c r="H1780" i="13" s="1"/>
  <c r="K701" i="12"/>
  <c r="K705" i="12" s="1"/>
  <c r="M706" i="12" a="1"/>
  <c r="M706" i="12" s="1"/>
  <c r="GE61" i="9" a="1"/>
  <c r="GE61" i="9" s="1"/>
  <c r="GX60" i="9" a="1"/>
  <c r="GX60" i="9" s="1"/>
  <c r="N692" i="12" a="1"/>
  <c r="N692" i="12" s="1"/>
  <c r="FL62" i="9" a="1"/>
  <c r="FL62" i="9" s="1"/>
  <c r="L720" i="12" a="1"/>
  <c r="L720" i="12" s="1"/>
  <c r="I1712" i="13" a="1"/>
  <c r="I1712" i="13" s="1"/>
  <c r="I719" i="12"/>
  <c r="O1577" i="13" a="1"/>
  <c r="O1577" i="13" s="1"/>
  <c r="O658" i="12"/>
  <c r="O660" i="12" s="1"/>
  <c r="O1578" i="13" s="1" a="1"/>
  <c r="O1578" i="13" s="1"/>
  <c r="M686" i="12"/>
  <c r="M688" i="12" s="1"/>
  <c r="M1646" i="13" s="1" a="1"/>
  <c r="M1646" i="13" s="1"/>
  <c r="M1645" i="13" a="1"/>
  <c r="M1645" i="13" s="1"/>
  <c r="I1781" i="13" a="1"/>
  <c r="I1781" i="13" s="1"/>
  <c r="I742" i="12"/>
  <c r="I744" i="12" s="1"/>
  <c r="I1782" i="13" s="1" a="1"/>
  <c r="I1782" i="13" s="1"/>
  <c r="H1815" i="13" a="1"/>
  <c r="H1815" i="13" s="1"/>
  <c r="H756" i="12"/>
  <c r="H758" i="12" s="1"/>
  <c r="H1816" i="13" s="1" a="1"/>
  <c r="H1816" i="13" s="1"/>
  <c r="I1810" i="13" a="1"/>
  <c r="I1810" i="13" s="1"/>
  <c r="I1837" i="13" s="1"/>
  <c r="I754" i="12"/>
  <c r="I759" i="12"/>
  <c r="L700" i="12"/>
  <c r="L702" i="12" s="1"/>
  <c r="L1680" i="13" s="1" a="1"/>
  <c r="L1680" i="13" s="1"/>
  <c r="L1679" i="13" a="1"/>
  <c r="L1679" i="13" s="1"/>
  <c r="L687" i="12"/>
  <c r="F1883" i="13" a="1"/>
  <c r="F1883" i="13" s="1"/>
  <c r="F784" i="12"/>
  <c r="F786" i="12" s="1"/>
  <c r="F1884" i="13" s="1" a="1"/>
  <c r="F1884" i="13" s="1"/>
  <c r="L717" i="12"/>
  <c r="L712" i="12"/>
  <c r="L1708" i="13" a="1"/>
  <c r="L1708" i="13" s="1"/>
  <c r="L1735" i="13" s="1"/>
  <c r="DG65" i="9" a="1"/>
  <c r="DG65" i="9" s="1"/>
  <c r="I762" i="12" a="1"/>
  <c r="I762" i="12" s="1"/>
  <c r="N680" i="12" a="1"/>
  <c r="N680" i="12" s="1"/>
  <c r="N1641" i="13" s="1" a="1"/>
  <c r="N1641" i="13" s="1"/>
  <c r="HM59" i="9" s="1" a="1"/>
  <c r="HM59" i="9" s="1"/>
  <c r="H776" i="12" a="1"/>
  <c r="H776" i="12" s="1"/>
  <c r="K714" i="12"/>
  <c r="K716" i="12" s="1"/>
  <c r="K1714" i="13" s="1" a="1"/>
  <c r="K1714" i="13" s="1"/>
  <c r="K1713" i="13" a="1"/>
  <c r="K1713" i="13" s="1"/>
  <c r="H773" i="12"/>
  <c r="H1844" i="13" a="1"/>
  <c r="H1844" i="13" s="1"/>
  <c r="H1871" i="13" s="1"/>
  <c r="H768" i="12"/>
  <c r="M703" i="12"/>
  <c r="M698" i="12"/>
  <c r="M1674" i="13" a="1"/>
  <c r="M1674" i="13" s="1"/>
  <c r="M1701" i="13" s="1"/>
  <c r="M673" i="12"/>
  <c r="O645" i="12"/>
  <c r="J1776" i="13" a="1"/>
  <c r="J1776" i="13" s="1"/>
  <c r="J1803" i="13" s="1"/>
  <c r="J745" i="12"/>
  <c r="J740" i="12"/>
  <c r="F771" i="12"/>
  <c r="K731" i="12"/>
  <c r="K1742" i="13" a="1"/>
  <c r="K1742" i="13" s="1"/>
  <c r="K1769" i="13" s="1"/>
  <c r="K726" i="12"/>
  <c r="O666" i="12" a="1"/>
  <c r="O666" i="12" s="1"/>
  <c r="O1607" i="13" s="1" a="1"/>
  <c r="O1607" i="13" s="1"/>
  <c r="IF58" i="9" s="1" a="1"/>
  <c r="IF58" i="9" s="1"/>
  <c r="O1508" i="13" a="1"/>
  <c r="O1508" i="13" s="1"/>
  <c r="O635" i="12"/>
  <c r="J1678" i="13" a="1"/>
  <c r="J1678" i="13" s="1"/>
  <c r="J705" i="12"/>
  <c r="K734" i="12" a="1"/>
  <c r="K734" i="12" s="1"/>
  <c r="ES63" i="9" a="1"/>
  <c r="ES63" i="9" s="1"/>
  <c r="J1747" i="13" a="1"/>
  <c r="J1747" i="13" s="1"/>
  <c r="J728" i="12"/>
  <c r="J730" i="12" s="1"/>
  <c r="J1748" i="13" s="1" a="1"/>
  <c r="J1748" i="13" s="1"/>
  <c r="G787" i="12"/>
  <c r="G782" i="12"/>
  <c r="G1878" i="13" a="1"/>
  <c r="G1878" i="13" s="1"/>
  <c r="G1905" i="13" s="1"/>
  <c r="O675" i="12"/>
  <c r="O670" i="12"/>
  <c r="O1606" i="13" a="1"/>
  <c r="O1606" i="13" s="1"/>
  <c r="O1633" i="13" s="1"/>
  <c r="L708" i="12" a="1"/>
  <c r="L708" i="12" s="1"/>
  <c r="L1709" i="13" s="1" a="1"/>
  <c r="L1709" i="13" s="1"/>
  <c r="GA61" i="9" s="1" a="1"/>
  <c r="GA61" i="9" s="1"/>
  <c r="HQ59" i="9" a="1"/>
  <c r="HQ59" i="9" s="1"/>
  <c r="O678" i="12" a="1"/>
  <c r="O678" i="12" s="1"/>
  <c r="M694" i="12" a="1"/>
  <c r="M694" i="12" s="1"/>
  <c r="M1675" i="13" s="1" a="1"/>
  <c r="M1675" i="13" s="1"/>
  <c r="GT60" i="9" s="1" a="1"/>
  <c r="GT60" i="9" s="1"/>
  <c r="K722" i="12" a="1"/>
  <c r="K722" i="12" s="1"/>
  <c r="K1743" i="13" s="1" a="1"/>
  <c r="K1743" i="13" s="1"/>
  <c r="FH62" i="9" s="1" a="1"/>
  <c r="FH62" i="9" s="1"/>
  <c r="DZ64" i="9" a="1"/>
  <c r="DZ64" i="9" s="1"/>
  <c r="J748" i="12" a="1"/>
  <c r="J748" i="12" s="1"/>
  <c r="N1611" i="13" a="1"/>
  <c r="N1611" i="13" s="1"/>
  <c r="N672" i="12"/>
  <c r="N674" i="12" s="1"/>
  <c r="N1612" i="13" s="1" a="1"/>
  <c r="N1612" i="13" s="1"/>
  <c r="N689" i="12"/>
  <c r="N684" i="12"/>
  <c r="N1640" i="13" a="1"/>
  <c r="N1640" i="13" s="1"/>
  <c r="N1667" i="13" s="1"/>
  <c r="BU65" i="9" a="1"/>
  <c r="BU65" i="9" s="1"/>
  <c r="B1866" i="13"/>
  <c r="B1867" i="13" s="1"/>
  <c r="B1868" i="13" s="1"/>
  <c r="B1869" i="13" s="1"/>
  <c r="B1871" i="13"/>
  <c r="B1872" i="13" s="1"/>
  <c r="B1873" i="13" s="1"/>
  <c r="B1874" i="13" s="1"/>
  <c r="B1899" i="13"/>
  <c r="B1904" i="13"/>
  <c r="J922" i="12" l="1"/>
  <c r="J927" i="12"/>
  <c r="J2218" i="13" a="1"/>
  <c r="J2218" i="13" s="1"/>
  <c r="J2245" i="13" s="1"/>
  <c r="I927" i="12"/>
  <c r="I922" i="12"/>
  <c r="I2218" i="13" a="1"/>
  <c r="I2218" i="13" s="1"/>
  <c r="I2245" i="13" s="1"/>
  <c r="H922" i="12"/>
  <c r="H927" i="12"/>
  <c r="H2218" i="13" a="1"/>
  <c r="H2218" i="13" s="1"/>
  <c r="H2245" i="13" s="1"/>
  <c r="G922" i="12"/>
  <c r="G927" i="12"/>
  <c r="G2218" i="13" a="1"/>
  <c r="G2218" i="13" s="1"/>
  <c r="G2245" i="13" s="1"/>
  <c r="F927" i="12"/>
  <c r="F922" i="12"/>
  <c r="F2218" i="13" a="1"/>
  <c r="F2218" i="13" s="1"/>
  <c r="F2245" i="13" s="1"/>
  <c r="E927" i="12"/>
  <c r="E922" i="12"/>
  <c r="E2218" i="13" a="1"/>
  <c r="E2218" i="13" s="1"/>
  <c r="E2245" i="13" s="1"/>
  <c r="D927" i="12"/>
  <c r="D922" i="12"/>
  <c r="D2218" i="13" a="1"/>
  <c r="D2218" i="13" s="1"/>
  <c r="D2245" i="13" s="1"/>
  <c r="O922" i="12"/>
  <c r="O927" i="12"/>
  <c r="O2218" i="13" a="1"/>
  <c r="O2218" i="13" s="1"/>
  <c r="O2245" i="13" s="1"/>
  <c r="N927" i="12"/>
  <c r="N922" i="12"/>
  <c r="N2218" i="13" a="1"/>
  <c r="N2218" i="13" s="1"/>
  <c r="N2245" i="13" s="1"/>
  <c r="H917" i="12" a="1"/>
  <c r="H917" i="12" s="1"/>
  <c r="D917" i="12" a="1"/>
  <c r="D917" i="12" s="1"/>
  <c r="N917" i="12" a="1"/>
  <c r="N917" i="12" s="1"/>
  <c r="G917" i="12" a="1"/>
  <c r="G917" i="12" s="1"/>
  <c r="J917" i="12" a="1"/>
  <c r="J917" i="12" s="1"/>
  <c r="F917" i="12" a="1"/>
  <c r="F917" i="12" s="1"/>
  <c r="O917" i="12" a="1"/>
  <c r="O917" i="12" s="1"/>
  <c r="M917" i="12" a="1"/>
  <c r="M917" i="12" s="1"/>
  <c r="L917" i="12" a="1"/>
  <c r="L917" i="12" s="1"/>
  <c r="I917" i="12" a="1"/>
  <c r="I917" i="12" s="1"/>
  <c r="E917" i="12" a="1"/>
  <c r="E917" i="12" s="1"/>
  <c r="R919" i="12"/>
  <c r="K917" i="12" a="1"/>
  <c r="K917" i="12" s="1"/>
  <c r="M922" i="12"/>
  <c r="M927" i="12"/>
  <c r="M2218" i="13" a="1"/>
  <c r="M2218" i="13" s="1"/>
  <c r="M2245" i="13" s="1"/>
  <c r="L922" i="12"/>
  <c r="L927" i="12"/>
  <c r="L2218" i="13" a="1"/>
  <c r="L2218" i="13" s="1"/>
  <c r="L2245" i="13" s="1"/>
  <c r="R920" i="12"/>
  <c r="D918" i="12" a="1"/>
  <c r="D918" i="12" s="1"/>
  <c r="D2219" i="13" s="1" a="1"/>
  <c r="D2219" i="13" s="1"/>
  <c r="E918" i="12" a="1"/>
  <c r="E918" i="12" s="1"/>
  <c r="E2219" i="13" s="1" a="1"/>
  <c r="E2219" i="13" s="1"/>
  <c r="F918" i="12" a="1"/>
  <c r="F918" i="12" s="1"/>
  <c r="F2219" i="13" s="1" a="1"/>
  <c r="F2219" i="13" s="1"/>
  <c r="G918" i="12" a="1"/>
  <c r="G918" i="12" s="1"/>
  <c r="G2219" i="13" s="1" a="1"/>
  <c r="G2219" i="13" s="1"/>
  <c r="H918" i="12" a="1"/>
  <c r="H918" i="12" s="1"/>
  <c r="H2219" i="13" s="1" a="1"/>
  <c r="H2219" i="13" s="1"/>
  <c r="I918" i="12" a="1"/>
  <c r="I918" i="12" s="1"/>
  <c r="I2219" i="13" s="1" a="1"/>
  <c r="I2219" i="13" s="1"/>
  <c r="J918" i="12" a="1"/>
  <c r="J918" i="12" s="1"/>
  <c r="J2219" i="13" s="1" a="1"/>
  <c r="J2219" i="13" s="1"/>
  <c r="K918" i="12" a="1"/>
  <c r="K918" i="12" s="1"/>
  <c r="K2219" i="13" s="1" a="1"/>
  <c r="K2219" i="13" s="1"/>
  <c r="L918" i="12" a="1"/>
  <c r="L918" i="12" s="1"/>
  <c r="L2219" i="13" s="1" a="1"/>
  <c r="L2219" i="13" s="1"/>
  <c r="M918" i="12" a="1"/>
  <c r="M918" i="12" s="1"/>
  <c r="M2219" i="13" s="1" a="1"/>
  <c r="M2219" i="13" s="1"/>
  <c r="N918" i="12" a="1"/>
  <c r="N918" i="12" s="1"/>
  <c r="N2219" i="13" s="1" a="1"/>
  <c r="N2219" i="13" s="1"/>
  <c r="O918" i="12" a="1"/>
  <c r="O918" i="12" s="1"/>
  <c r="O2219" i="13" s="1" a="1"/>
  <c r="O2219" i="13" s="1"/>
  <c r="K927" i="12"/>
  <c r="K922" i="12"/>
  <c r="K2218" i="13" a="1"/>
  <c r="K2218" i="13" s="1"/>
  <c r="K2245" i="13" s="1"/>
  <c r="B930" i="12" a="1"/>
  <c r="B930" i="12" s="1"/>
  <c r="R932" i="12"/>
  <c r="R931" i="12"/>
  <c r="A930" i="12" a="1"/>
  <c r="A930" i="12" s="1"/>
  <c r="D930" i="12" a="1"/>
  <c r="D930" i="12" s="1"/>
  <c r="E930" i="12" a="1"/>
  <c r="E930" i="12" s="1"/>
  <c r="F930" i="12" a="1"/>
  <c r="F930" i="12" s="1"/>
  <c r="G930" i="12" a="1"/>
  <c r="G930" i="12" s="1"/>
  <c r="H930" i="12" a="1"/>
  <c r="H930" i="12" s="1"/>
  <c r="I930" i="12" a="1"/>
  <c r="I930" i="12" s="1"/>
  <c r="J930" i="12" a="1"/>
  <c r="J930" i="12" s="1"/>
  <c r="K930" i="12" a="1"/>
  <c r="K930" i="12" s="1"/>
  <c r="L930" i="12" a="1"/>
  <c r="L930" i="12" s="1"/>
  <c r="M930" i="12" a="1"/>
  <c r="M930" i="12" s="1"/>
  <c r="N930" i="12" a="1"/>
  <c r="N930" i="12" s="1"/>
  <c r="O930" i="12" a="1"/>
  <c r="O930" i="12" s="1"/>
  <c r="H747" i="12"/>
  <c r="D705" i="12"/>
  <c r="B2240" i="13"/>
  <c r="B2241" i="13" s="1"/>
  <c r="B2242" i="13" s="1"/>
  <c r="B2243" i="13" s="1"/>
  <c r="B2245" i="13"/>
  <c r="B2246" i="13" s="1"/>
  <c r="B2247" i="13" s="1"/>
  <c r="B2248" i="13" s="1"/>
  <c r="K1678" i="13" a="1"/>
  <c r="K1678" i="13" s="1"/>
  <c r="F1980" i="13" a="1"/>
  <c r="F1980" i="13" s="1"/>
  <c r="F2007" i="13" s="1"/>
  <c r="F824" i="12"/>
  <c r="F829" i="12"/>
  <c r="D827" i="12"/>
  <c r="D1984" i="13" s="1" a="1"/>
  <c r="D1984" i="13" s="1"/>
  <c r="D828" i="12"/>
  <c r="H1912" i="13" a="1"/>
  <c r="H1912" i="13" s="1"/>
  <c r="H1939" i="13" s="1"/>
  <c r="H796" i="12"/>
  <c r="H801" i="12"/>
  <c r="E803" i="12"/>
  <c r="E1918" i="13" a="1"/>
  <c r="E1918" i="13" s="1"/>
  <c r="D2019" i="13" a="1"/>
  <c r="D2019" i="13" s="1"/>
  <c r="D840" i="12"/>
  <c r="N1576" i="13" a="1"/>
  <c r="N1576" i="13" s="1"/>
  <c r="D736" i="12" a="1"/>
  <c r="D736" i="12" s="1"/>
  <c r="D1777" i="13" s="1" a="1"/>
  <c r="D1777" i="13" s="1"/>
  <c r="AE63" i="9" s="1" a="1"/>
  <c r="AE63" i="9" s="1"/>
  <c r="D834" i="12" a="1"/>
  <c r="D834" i="12" s="1"/>
  <c r="D2015" i="13" s="1" a="1"/>
  <c r="D2015" i="13" s="1"/>
  <c r="AE70" i="9" s="1" a="1"/>
  <c r="AE70" i="9" s="1"/>
  <c r="G1917" i="13" a="1"/>
  <c r="G1917" i="13" s="1"/>
  <c r="G798" i="12"/>
  <c r="G1946" i="13" a="1"/>
  <c r="G1946" i="13" s="1"/>
  <c r="G1973" i="13" s="1"/>
  <c r="G810" i="12"/>
  <c r="G815" i="12"/>
  <c r="E2014" i="13" a="1"/>
  <c r="E2014" i="13" s="1"/>
  <c r="E2041" i="13" s="1"/>
  <c r="E843" i="12"/>
  <c r="E838" i="12"/>
  <c r="A2045" i="13" a="1"/>
  <c r="A2045" i="13" s="1"/>
  <c r="A846" i="12" a="1"/>
  <c r="A846" i="12" s="1"/>
  <c r="F1951" i="13" a="1"/>
  <c r="F1951" i="13" s="1"/>
  <c r="F812" i="12"/>
  <c r="E813" i="12"/>
  <c r="E1950" i="13" s="1" a="1"/>
  <c r="E1950" i="13" s="1"/>
  <c r="E814" i="12"/>
  <c r="D817" i="12"/>
  <c r="D1952" i="13" a="1"/>
  <c r="D1952" i="13" s="1"/>
  <c r="F799" i="12"/>
  <c r="F800" i="12"/>
  <c r="F1918" i="13" s="1" a="1"/>
  <c r="F1918" i="13" s="1"/>
  <c r="E1985" i="13" a="1"/>
  <c r="E1985" i="13" s="1"/>
  <c r="E826" i="12"/>
  <c r="D2048" i="13" a="1"/>
  <c r="D2048" i="13" s="1"/>
  <c r="D2075" i="13" s="1"/>
  <c r="D857" i="12"/>
  <c r="D852" i="12"/>
  <c r="M895" i="12"/>
  <c r="M2157" i="13" s="1" a="1"/>
  <c r="M2157" i="13" s="1"/>
  <c r="M900" i="12"/>
  <c r="I879" i="12" a="1"/>
  <c r="I879" i="12" s="1"/>
  <c r="K879" i="12" a="1"/>
  <c r="K879" i="12" s="1"/>
  <c r="O879" i="12" a="1"/>
  <c r="O879" i="12" s="1"/>
  <c r="E879" i="12" a="1"/>
  <c r="E879" i="12" s="1"/>
  <c r="G879" i="12" a="1"/>
  <c r="G879" i="12" s="1"/>
  <c r="F879" i="12" a="1"/>
  <c r="F879" i="12" s="1"/>
  <c r="N879" i="12" a="1"/>
  <c r="N879" i="12" s="1"/>
  <c r="L879" i="12" a="1"/>
  <c r="L879" i="12" s="1"/>
  <c r="H879" i="12" a="1"/>
  <c r="H879" i="12" s="1"/>
  <c r="J879" i="12" a="1"/>
  <c r="J879" i="12" s="1"/>
  <c r="D879" i="12" a="1"/>
  <c r="D879" i="12" s="1"/>
  <c r="M879" i="12" a="1"/>
  <c r="M879" i="12" s="1"/>
  <c r="L895" i="12"/>
  <c r="L2157" i="13" s="1" a="1"/>
  <c r="L2157" i="13" s="1"/>
  <c r="L900" i="12"/>
  <c r="I900" i="12"/>
  <c r="I895" i="12"/>
  <c r="I2157" i="13" s="1" a="1"/>
  <c r="I2157" i="13" s="1"/>
  <c r="R905" i="12"/>
  <c r="K903" i="12" a="1"/>
  <c r="K903" i="12" s="1"/>
  <c r="K2186" i="13" s="1" a="1"/>
  <c r="K2186" i="13" s="1"/>
  <c r="K2213" i="13" s="1"/>
  <c r="M903" i="12" a="1"/>
  <c r="M903" i="12" s="1"/>
  <c r="M2186" i="13" s="1" a="1"/>
  <c r="M2186" i="13" s="1"/>
  <c r="M2213" i="13" s="1"/>
  <c r="N903" i="12" a="1"/>
  <c r="N903" i="12" s="1"/>
  <c r="N2186" i="13" s="1" a="1"/>
  <c r="N2186" i="13" s="1"/>
  <c r="N2213" i="13" s="1"/>
  <c r="I903" i="12" a="1"/>
  <c r="I903" i="12" s="1"/>
  <c r="I2186" i="13" s="1" a="1"/>
  <c r="I2186" i="13" s="1"/>
  <c r="I2213" i="13" s="1"/>
  <c r="H903" i="12" a="1"/>
  <c r="H903" i="12" s="1"/>
  <c r="H2186" i="13" s="1" a="1"/>
  <c r="H2186" i="13" s="1"/>
  <c r="H2213" i="13" s="1"/>
  <c r="O903" i="12" a="1"/>
  <c r="O903" i="12" s="1"/>
  <c r="O2186" i="13" s="1" a="1"/>
  <c r="O2186" i="13" s="1"/>
  <c r="O2213" i="13" s="1"/>
  <c r="L903" i="12" a="1"/>
  <c r="L903" i="12" s="1"/>
  <c r="L2186" i="13" s="1" a="1"/>
  <c r="L2186" i="13" s="1"/>
  <c r="L2213" i="13" s="1"/>
  <c r="E903" i="12" a="1"/>
  <c r="E903" i="12" s="1"/>
  <c r="E2186" i="13" s="1" a="1"/>
  <c r="E2186" i="13" s="1"/>
  <c r="E2213" i="13" s="1"/>
  <c r="D903" i="12" a="1"/>
  <c r="D903" i="12" s="1"/>
  <c r="D2186" i="13" s="1" a="1"/>
  <c r="D2186" i="13" s="1"/>
  <c r="D2213" i="13" s="1"/>
  <c r="G903" i="12" a="1"/>
  <c r="G903" i="12" s="1"/>
  <c r="G2186" i="13" s="1" a="1"/>
  <c r="G2186" i="13" s="1"/>
  <c r="G2213" i="13" s="1"/>
  <c r="F903" i="12" a="1"/>
  <c r="F903" i="12" s="1"/>
  <c r="F2186" i="13" s="1" a="1"/>
  <c r="F2186" i="13" s="1"/>
  <c r="F2213" i="13" s="1"/>
  <c r="J903" i="12" a="1"/>
  <c r="J903" i="12" s="1"/>
  <c r="J2186" i="13" s="1" a="1"/>
  <c r="J2186" i="13" s="1"/>
  <c r="J2213" i="13" s="1"/>
  <c r="N900" i="12"/>
  <c r="N895" i="12"/>
  <c r="N2157" i="13" s="1" a="1"/>
  <c r="N2157" i="13" s="1"/>
  <c r="F895" i="12"/>
  <c r="F2157" i="13" s="1" a="1"/>
  <c r="F2157" i="13" s="1"/>
  <c r="F900" i="12"/>
  <c r="F891" i="12" a="1"/>
  <c r="F891" i="12" s="1"/>
  <c r="F2153" i="13" s="1" a="1"/>
  <c r="F2153" i="13" s="1"/>
  <c r="H891" i="12" a="1"/>
  <c r="H891" i="12" s="1"/>
  <c r="H2153" i="13" s="1" a="1"/>
  <c r="H2153" i="13" s="1"/>
  <c r="K891" i="12" a="1"/>
  <c r="K891" i="12" s="1"/>
  <c r="K2153" i="13" s="1" a="1"/>
  <c r="K2153" i="13" s="1"/>
  <c r="D891" i="12" a="1"/>
  <c r="D891" i="12" s="1"/>
  <c r="D2153" i="13" s="1" a="1"/>
  <c r="D2153" i="13" s="1"/>
  <c r="L891" i="12" a="1"/>
  <c r="L891" i="12" s="1"/>
  <c r="L2153" i="13" s="1" a="1"/>
  <c r="L2153" i="13" s="1"/>
  <c r="O891" i="12" a="1"/>
  <c r="O891" i="12" s="1"/>
  <c r="O2153" i="13" s="1" a="1"/>
  <c r="O2153" i="13" s="1"/>
  <c r="G891" i="12" a="1"/>
  <c r="G891" i="12" s="1"/>
  <c r="G2153" i="13" s="1" a="1"/>
  <c r="G2153" i="13" s="1"/>
  <c r="J891" i="12" a="1"/>
  <c r="J891" i="12" s="1"/>
  <c r="J2153" i="13" s="1" a="1"/>
  <c r="J2153" i="13" s="1"/>
  <c r="M891" i="12" a="1"/>
  <c r="M891" i="12" s="1"/>
  <c r="M2153" i="13" s="1" a="1"/>
  <c r="M2153" i="13" s="1"/>
  <c r="I891" i="12" a="1"/>
  <c r="I891" i="12" s="1"/>
  <c r="I2153" i="13" s="1" a="1"/>
  <c r="I2153" i="13" s="1"/>
  <c r="E891" i="12" a="1"/>
  <c r="E891" i="12" s="1"/>
  <c r="E2153" i="13" s="1" a="1"/>
  <c r="E2153" i="13" s="1"/>
  <c r="N891" i="12" a="1"/>
  <c r="N891" i="12" s="1"/>
  <c r="N2153" i="13" s="1" a="1"/>
  <c r="N2153" i="13" s="1"/>
  <c r="R893" i="12"/>
  <c r="R906" i="12"/>
  <c r="G895" i="12"/>
  <c r="G2157" i="13" s="1" a="1"/>
  <c r="G2157" i="13" s="1"/>
  <c r="G900" i="12"/>
  <c r="K900" i="12"/>
  <c r="K895" i="12"/>
  <c r="K2157" i="13" s="1" a="1"/>
  <c r="K2157" i="13" s="1"/>
  <c r="H895" i="12"/>
  <c r="H2157" i="13" s="1" a="1"/>
  <c r="H2157" i="13" s="1"/>
  <c r="H900" i="12"/>
  <c r="D892" i="12" a="1"/>
  <c r="D892" i="12" s="1"/>
  <c r="I892" i="12" a="1"/>
  <c r="I892" i="12" s="1"/>
  <c r="H892" i="12" a="1"/>
  <c r="H892" i="12" s="1"/>
  <c r="M892" i="12" a="1"/>
  <c r="M892" i="12" s="1"/>
  <c r="O892" i="12" a="1"/>
  <c r="O892" i="12" s="1"/>
  <c r="E892" i="12" a="1"/>
  <c r="E892" i="12" s="1"/>
  <c r="K892" i="12" a="1"/>
  <c r="K892" i="12" s="1"/>
  <c r="G892" i="12" a="1"/>
  <c r="G892" i="12" s="1"/>
  <c r="N892" i="12" a="1"/>
  <c r="N892" i="12" s="1"/>
  <c r="J892" i="12" a="1"/>
  <c r="J892" i="12" s="1"/>
  <c r="L892" i="12" a="1"/>
  <c r="L892" i="12" s="1"/>
  <c r="F892" i="12" a="1"/>
  <c r="F892" i="12" s="1"/>
  <c r="D900" i="12"/>
  <c r="D895" i="12"/>
  <c r="D2157" i="13" s="1" a="1"/>
  <c r="D2157" i="13" s="1"/>
  <c r="E895" i="12"/>
  <c r="E2157" i="13" s="1" a="1"/>
  <c r="E2157" i="13" s="1"/>
  <c r="E900" i="12"/>
  <c r="J895" i="12"/>
  <c r="J2157" i="13" s="1" a="1"/>
  <c r="J2157" i="13" s="1"/>
  <c r="J900" i="12"/>
  <c r="O895" i="12"/>
  <c r="O2157" i="13" s="1" a="1"/>
  <c r="O2157" i="13" s="1"/>
  <c r="O900" i="12"/>
  <c r="D715" i="12"/>
  <c r="D1712" i="13" s="1" a="1"/>
  <c r="D1712" i="13" s="1"/>
  <c r="G698" i="12"/>
  <c r="G703" i="12"/>
  <c r="G1674" i="13" a="1"/>
  <c r="G1674" i="13" s="1"/>
  <c r="G1701" i="13" s="1"/>
  <c r="D748" i="12" a="1"/>
  <c r="D748" i="12" s="1"/>
  <c r="P71" i="9" a="1"/>
  <c r="P71" i="9" s="1"/>
  <c r="E846" i="12" a="1"/>
  <c r="E846" i="12" s="1"/>
  <c r="G1576" i="13" a="1"/>
  <c r="G1576" i="13" s="1"/>
  <c r="G663" i="12"/>
  <c r="CH67" i="9"/>
  <c r="CI67" i="9" s="1"/>
  <c r="G673" i="12"/>
  <c r="DR66" i="9" a="1"/>
  <c r="DR66" i="9" s="1"/>
  <c r="DS66" i="9" s="1"/>
  <c r="DT66" i="9" s="1"/>
  <c r="DU66" i="9" s="1"/>
  <c r="AV69" i="9"/>
  <c r="AW69" i="9" s="1"/>
  <c r="DG66" i="9" a="1"/>
  <c r="DG66" i="9" s="1"/>
  <c r="CY67" i="9" a="1"/>
  <c r="CY67" i="9" s="1"/>
  <c r="CZ67" i="9" s="1"/>
  <c r="BM69" i="9" a="1"/>
  <c r="BM69" i="9" s="1"/>
  <c r="BN69" i="9" s="1"/>
  <c r="AI70" i="9" a="1"/>
  <c r="AI70" i="9" s="1"/>
  <c r="F832" i="12" a="1"/>
  <c r="F832" i="12" s="1"/>
  <c r="D1747" i="13" a="1"/>
  <c r="D1747" i="13" s="1"/>
  <c r="D728" i="12"/>
  <c r="D730" i="12" s="1"/>
  <c r="D1748" i="13" s="1" a="1"/>
  <c r="D1748" i="13" s="1"/>
  <c r="BB69" i="9" a="1"/>
  <c r="BB69" i="9" s="1"/>
  <c r="G818" i="12" a="1"/>
  <c r="G818" i="12" s="1"/>
  <c r="F820" i="12" a="1"/>
  <c r="F820" i="12" s="1"/>
  <c r="F1981" i="13" s="1" a="1"/>
  <c r="F1981" i="13" s="1"/>
  <c r="BQ69" i="9" s="1" a="1"/>
  <c r="BQ69" i="9" s="1"/>
  <c r="BO68" i="9"/>
  <c r="BP68" i="9" s="1"/>
  <c r="AT70" i="9" a="1"/>
  <c r="AT70" i="9" s="1"/>
  <c r="AU70" i="9" s="1"/>
  <c r="C81" i="28" a="1"/>
  <c r="C81" i="28" s="1"/>
  <c r="B71" i="9" a="1"/>
  <c r="B71" i="9" s="1"/>
  <c r="CF68" i="9" a="1"/>
  <c r="CF68" i="9" s="1"/>
  <c r="CG68" i="9" s="1"/>
  <c r="CN67" i="9" a="1"/>
  <c r="CN67" i="9" s="1"/>
  <c r="H792" i="12" a="1"/>
  <c r="H792" i="12" s="1"/>
  <c r="H1913" i="13" s="1" a="1"/>
  <c r="H1913" i="13" s="1"/>
  <c r="DC67" i="9" s="1" a="1"/>
  <c r="DC67" i="9" s="1"/>
  <c r="I790" i="12" a="1"/>
  <c r="I790" i="12" s="1"/>
  <c r="AC70" i="9"/>
  <c r="AD70" i="9" s="1"/>
  <c r="D745" i="12"/>
  <c r="D1776" i="13" a="1"/>
  <c r="D1776" i="13" s="1"/>
  <c r="D1803" i="13" s="1"/>
  <c r="D740" i="12"/>
  <c r="D860" i="12" a="1"/>
  <c r="D860" i="12" s="1"/>
  <c r="G706" i="12" a="1"/>
  <c r="G706" i="12" s="1"/>
  <c r="BU68" i="9" a="1"/>
  <c r="BU68" i="9" s="1"/>
  <c r="G806" i="12" a="1"/>
  <c r="G806" i="12" s="1"/>
  <c r="G1947" i="13" s="1" a="1"/>
  <c r="G1947" i="13" s="1"/>
  <c r="CJ68" i="9" s="1" a="1"/>
  <c r="CJ68" i="9" s="1"/>
  <c r="H804" i="12" a="1"/>
  <c r="H804" i="12" s="1"/>
  <c r="AA71" i="9" a="1"/>
  <c r="AA71" i="9" s="1"/>
  <c r="AB71" i="9" s="1"/>
  <c r="G1645" i="13" a="1"/>
  <c r="G1645" i="13" s="1"/>
  <c r="G686" i="12"/>
  <c r="G688" i="12" s="1"/>
  <c r="G1646" i="13" s="1" a="1"/>
  <c r="G1646" i="13" s="1"/>
  <c r="J1712" i="13" a="1"/>
  <c r="J1712" i="13" s="1"/>
  <c r="E1882" i="13" a="1"/>
  <c r="E1882" i="13" s="1"/>
  <c r="I733" i="12"/>
  <c r="N673" i="12"/>
  <c r="N677" i="12" s="1"/>
  <c r="L701" i="12"/>
  <c r="L1678" i="13" s="1" a="1"/>
  <c r="L1678" i="13" s="1"/>
  <c r="M687" i="12"/>
  <c r="M1644" i="13" s="1" a="1"/>
  <c r="M1644" i="13" s="1"/>
  <c r="J762" i="12" a="1"/>
  <c r="J762" i="12" s="1"/>
  <c r="DZ65" i="9" a="1"/>
  <c r="DZ65" i="9" s="1"/>
  <c r="HQ60" i="9" a="1"/>
  <c r="HQ60" i="9" s="1"/>
  <c r="O692" i="12" a="1"/>
  <c r="O692" i="12" s="1"/>
  <c r="ES64" i="9" a="1"/>
  <c r="ES64" i="9" s="1"/>
  <c r="K748" i="12" a="1"/>
  <c r="K748" i="12" s="1"/>
  <c r="L734" i="12" a="1"/>
  <c r="L734" i="12" s="1"/>
  <c r="FL63" i="9" a="1"/>
  <c r="FL63" i="9" s="1"/>
  <c r="M1679" i="13" a="1"/>
  <c r="M1679" i="13" s="1"/>
  <c r="M700" i="12"/>
  <c r="M702" i="12" s="1"/>
  <c r="M1680" i="13" s="1" a="1"/>
  <c r="M1680" i="13" s="1"/>
  <c r="I776" i="12" a="1"/>
  <c r="I776" i="12" s="1"/>
  <c r="O1640" i="13" a="1"/>
  <c r="O1640" i="13" s="1"/>
  <c r="O1667" i="13" s="1"/>
  <c r="O689" i="12"/>
  <c r="O684" i="12"/>
  <c r="F1848" i="13" a="1"/>
  <c r="F1848" i="13" s="1"/>
  <c r="F775" i="12"/>
  <c r="H787" i="12"/>
  <c r="H1878" i="13" a="1"/>
  <c r="H1878" i="13" s="1"/>
  <c r="H1905" i="13" s="1"/>
  <c r="H782" i="12"/>
  <c r="H757" i="12"/>
  <c r="J742" i="12"/>
  <c r="J744" i="12" s="1"/>
  <c r="J1782" i="13" s="1" a="1"/>
  <c r="J1782" i="13" s="1"/>
  <c r="J1781" i="13" a="1"/>
  <c r="J1781" i="13" s="1"/>
  <c r="H1849" i="13" a="1"/>
  <c r="H1849" i="13" s="1"/>
  <c r="H770" i="12"/>
  <c r="H772" i="12" s="1"/>
  <c r="H1850" i="13" s="1" a="1"/>
  <c r="H1850" i="13" s="1"/>
  <c r="L1644" i="13" a="1"/>
  <c r="L1644" i="13" s="1"/>
  <c r="L691" i="12"/>
  <c r="L1742" i="13" a="1"/>
  <c r="L1742" i="13" s="1"/>
  <c r="L1769" i="13" s="1"/>
  <c r="L731" i="12"/>
  <c r="L726" i="12"/>
  <c r="L722" i="12" a="1"/>
  <c r="L722" i="12" s="1"/>
  <c r="L1743" i="13" s="1" a="1"/>
  <c r="L1743" i="13" s="1"/>
  <c r="GA62" i="9" s="1" a="1"/>
  <c r="GA62" i="9" s="1"/>
  <c r="J1810" i="13" a="1"/>
  <c r="J1810" i="13" s="1"/>
  <c r="J1837" i="13" s="1"/>
  <c r="J754" i="12"/>
  <c r="J759" i="12"/>
  <c r="G1883" i="13" a="1"/>
  <c r="G1883" i="13" s="1"/>
  <c r="G784" i="12"/>
  <c r="G786" i="12" s="1"/>
  <c r="G1884" i="13" s="1" a="1"/>
  <c r="G1884" i="13" s="1"/>
  <c r="GE62" i="9" a="1"/>
  <c r="GE62" i="9" s="1"/>
  <c r="M720" i="12" a="1"/>
  <c r="M720" i="12" s="1"/>
  <c r="N686" i="12"/>
  <c r="N688" i="12" s="1"/>
  <c r="N1646" i="13" s="1" a="1"/>
  <c r="N1646" i="13" s="1"/>
  <c r="N1645" i="13" a="1"/>
  <c r="N1645" i="13" s="1"/>
  <c r="I768" i="12"/>
  <c r="I773" i="12"/>
  <c r="I1844" i="13" a="1"/>
  <c r="I1844" i="13" s="1"/>
  <c r="I1871" i="13" s="1"/>
  <c r="N1674" i="13" a="1"/>
  <c r="N1674" i="13" s="1"/>
  <c r="N1701" i="13" s="1"/>
  <c r="N698" i="12"/>
  <c r="N703" i="12"/>
  <c r="J729" i="12"/>
  <c r="K745" i="12"/>
  <c r="K1776" i="13" a="1"/>
  <c r="K1776" i="13" s="1"/>
  <c r="K1803" i="13" s="1"/>
  <c r="K740" i="12"/>
  <c r="O649" i="12"/>
  <c r="O1542" i="13" a="1"/>
  <c r="O1542" i="13" s="1"/>
  <c r="K715" i="12"/>
  <c r="O659" i="12"/>
  <c r="O680" i="12" a="1"/>
  <c r="O680" i="12" s="1"/>
  <c r="O1641" i="13" s="1" a="1"/>
  <c r="O1641" i="13" s="1"/>
  <c r="IF59" i="9" s="1" a="1"/>
  <c r="IF59" i="9" s="1"/>
  <c r="M708" i="12" a="1"/>
  <c r="M708" i="12" s="1"/>
  <c r="M1709" i="13" s="1" a="1"/>
  <c r="M1709" i="13" s="1"/>
  <c r="GT61" i="9" s="1" a="1"/>
  <c r="GT61" i="9" s="1"/>
  <c r="O1611" i="13" a="1"/>
  <c r="O1611" i="13" s="1"/>
  <c r="O672" i="12"/>
  <c r="O674" i="12" s="1"/>
  <c r="O1612" i="13" s="1" a="1"/>
  <c r="O1612" i="13" s="1"/>
  <c r="K728" i="12"/>
  <c r="K730" i="12" s="1"/>
  <c r="K1748" i="13" s="1" a="1"/>
  <c r="K1748" i="13" s="1"/>
  <c r="K1747" i="13" a="1"/>
  <c r="K1747" i="13" s="1"/>
  <c r="M1610" i="13" a="1"/>
  <c r="M1610" i="13" s="1"/>
  <c r="M677" i="12"/>
  <c r="N694" i="12" a="1"/>
  <c r="N694" i="12" s="1"/>
  <c r="N1675" i="13" s="1" a="1"/>
  <c r="N1675" i="13" s="1"/>
  <c r="HM60" i="9" s="1" a="1"/>
  <c r="HM60" i="9" s="1"/>
  <c r="GX61" i="9" a="1"/>
  <c r="GX61" i="9" s="1"/>
  <c r="N706" i="12" a="1"/>
  <c r="N706" i="12" s="1"/>
  <c r="L714" i="12"/>
  <c r="L716" i="12" s="1"/>
  <c r="L1714" i="13" s="1" a="1"/>
  <c r="L1714" i="13" s="1"/>
  <c r="L1713" i="13" a="1"/>
  <c r="L1713" i="13" s="1"/>
  <c r="F785" i="12"/>
  <c r="I1815" i="13" a="1"/>
  <c r="I1815" i="13" s="1"/>
  <c r="I756" i="12"/>
  <c r="I758" i="12" s="1"/>
  <c r="I1816" i="13" s="1" a="1"/>
  <c r="I1816" i="13" s="1"/>
  <c r="I743" i="12"/>
  <c r="M712" i="12"/>
  <c r="M1708" i="13" a="1"/>
  <c r="M1708" i="13" s="1"/>
  <c r="M1735" i="13" s="1"/>
  <c r="M717" i="12"/>
  <c r="B1905" i="13"/>
  <c r="B1906" i="13" s="1"/>
  <c r="B1907" i="13" s="1"/>
  <c r="B1908" i="13" s="1"/>
  <c r="B1900" i="13"/>
  <c r="B1901" i="13" s="1"/>
  <c r="B1902" i="13" s="1"/>
  <c r="B1903" i="13" s="1"/>
  <c r="I936" i="12" l="1"/>
  <c r="I941" i="12"/>
  <c r="I2252" i="13" a="1"/>
  <c r="I2252" i="13" s="1"/>
  <c r="I2279" i="13" s="1"/>
  <c r="L923" i="12"/>
  <c r="L2225" i="13" s="1" a="1"/>
  <c r="L2225" i="13" s="1"/>
  <c r="L928" i="12"/>
  <c r="L2220" i="13" a="1"/>
  <c r="L2220" i="13" s="1"/>
  <c r="L2247" i="13" s="1"/>
  <c r="H941" i="12"/>
  <c r="H936" i="12"/>
  <c r="H2252" i="13" a="1"/>
  <c r="H2252" i="13" s="1"/>
  <c r="H2279" i="13" s="1"/>
  <c r="G941" i="12"/>
  <c r="G936" i="12"/>
  <c r="G2252" i="13" a="1"/>
  <c r="G2252" i="13" s="1"/>
  <c r="G2279" i="13" s="1"/>
  <c r="O928" i="12"/>
  <c r="O923" i="12"/>
  <c r="O2225" i="13" s="1" a="1"/>
  <c r="O2225" i="13" s="1"/>
  <c r="O2220" i="13" a="1"/>
  <c r="O2220" i="13" s="1"/>
  <c r="O2247" i="13" s="1"/>
  <c r="O2223" i="13" a="1"/>
  <c r="O2223" i="13" s="1"/>
  <c r="G2223" i="13" a="1"/>
  <c r="G2223" i="13" s="1"/>
  <c r="J920" i="12" a="1"/>
  <c r="J920" i="12" s="1"/>
  <c r="D920" i="12" a="1"/>
  <c r="D920" i="12" s="1"/>
  <c r="N920" i="12" a="1"/>
  <c r="N920" i="12" s="1"/>
  <c r="K920" i="12" a="1"/>
  <c r="K920" i="12" s="1"/>
  <c r="E920" i="12" a="1"/>
  <c r="E920" i="12" s="1"/>
  <c r="F920" i="12" a="1"/>
  <c r="F920" i="12" s="1"/>
  <c r="G920" i="12" a="1"/>
  <c r="G920" i="12" s="1"/>
  <c r="O920" i="12" a="1"/>
  <c r="O920" i="12" s="1"/>
  <c r="I920" i="12" a="1"/>
  <c r="I920" i="12" s="1"/>
  <c r="L920" i="12" a="1"/>
  <c r="L920" i="12" s="1"/>
  <c r="M920" i="12" a="1"/>
  <c r="M920" i="12" s="1"/>
  <c r="H920" i="12" a="1"/>
  <c r="H920" i="12" s="1"/>
  <c r="M928" i="12"/>
  <c r="M923" i="12"/>
  <c r="M2225" i="13" s="1" a="1"/>
  <c r="M2225" i="13" s="1"/>
  <c r="M2220" i="13" a="1"/>
  <c r="M2220" i="13" s="1"/>
  <c r="M2247" i="13" s="1"/>
  <c r="F941" i="12"/>
  <c r="F936" i="12"/>
  <c r="F2252" i="13" a="1"/>
  <c r="F2252" i="13" s="1"/>
  <c r="F2279" i="13" s="1"/>
  <c r="F928" i="12"/>
  <c r="F923" i="12"/>
  <c r="F2225" i="13" s="1" a="1"/>
  <c r="F2225" i="13" s="1"/>
  <c r="F2220" i="13" a="1"/>
  <c r="F2220" i="13" s="1"/>
  <c r="F2247" i="13" s="1"/>
  <c r="E941" i="12"/>
  <c r="E936" i="12"/>
  <c r="E2252" i="13" a="1"/>
  <c r="E2252" i="13" s="1"/>
  <c r="E2279" i="13" s="1"/>
  <c r="L2223" i="13" a="1"/>
  <c r="L2223" i="13" s="1"/>
  <c r="J923" i="12"/>
  <c r="J2225" i="13" s="1" a="1"/>
  <c r="J2225" i="13" s="1"/>
  <c r="J928" i="12"/>
  <c r="J2220" i="13" a="1"/>
  <c r="J2220" i="13" s="1"/>
  <c r="J2247" i="13" s="1"/>
  <c r="D2223" i="13" a="1"/>
  <c r="D2223" i="13" s="1"/>
  <c r="D941" i="12"/>
  <c r="D936" i="12"/>
  <c r="D2252" i="13" a="1"/>
  <c r="D2252" i="13" s="1"/>
  <c r="D2279" i="13" s="1"/>
  <c r="G928" i="12"/>
  <c r="G923" i="12"/>
  <c r="G2225" i="13" s="1" a="1"/>
  <c r="G2225" i="13" s="1"/>
  <c r="G2220" i="13" a="1"/>
  <c r="G2220" i="13" s="1"/>
  <c r="G2247" i="13" s="1"/>
  <c r="H2223" i="13" a="1"/>
  <c r="H2223" i="13" s="1"/>
  <c r="O941" i="12"/>
  <c r="O936" i="12"/>
  <c r="O2252" i="13" a="1"/>
  <c r="O2252" i="13" s="1"/>
  <c r="O2279" i="13" s="1"/>
  <c r="N923" i="12"/>
  <c r="N2225" i="13" s="1" a="1"/>
  <c r="N2225" i="13" s="1"/>
  <c r="N928" i="12"/>
  <c r="N2220" i="13" a="1"/>
  <c r="N2220" i="13" s="1"/>
  <c r="N2247" i="13" s="1"/>
  <c r="N941" i="12"/>
  <c r="N936" i="12"/>
  <c r="N2252" i="13" a="1"/>
  <c r="N2252" i="13" s="1"/>
  <c r="N2279" i="13" s="1"/>
  <c r="O931" i="12" a="1"/>
  <c r="O931" i="12" s="1"/>
  <c r="D931" i="12" a="1"/>
  <c r="D931" i="12" s="1"/>
  <c r="K931" i="12" a="1"/>
  <c r="K931" i="12" s="1"/>
  <c r="G931" i="12" a="1"/>
  <c r="G931" i="12" s="1"/>
  <c r="H931" i="12" a="1"/>
  <c r="H931" i="12" s="1"/>
  <c r="N931" i="12" a="1"/>
  <c r="N931" i="12" s="1"/>
  <c r="J931" i="12" a="1"/>
  <c r="J931" i="12" s="1"/>
  <c r="F931" i="12" a="1"/>
  <c r="F931" i="12" s="1"/>
  <c r="M931" i="12" a="1"/>
  <c r="M931" i="12" s="1"/>
  <c r="I931" i="12" a="1"/>
  <c r="I931" i="12" s="1"/>
  <c r="E931" i="12" a="1"/>
  <c r="E931" i="12" s="1"/>
  <c r="R933" i="12"/>
  <c r="L931" i="12" a="1"/>
  <c r="L931" i="12" s="1"/>
  <c r="M2223" i="13" a="1"/>
  <c r="M2223" i="13" s="1"/>
  <c r="D923" i="12"/>
  <c r="D2225" i="13" s="1" a="1"/>
  <c r="D2225" i="13" s="1"/>
  <c r="D928" i="12"/>
  <c r="D2220" i="13" a="1"/>
  <c r="D2220" i="13" s="1"/>
  <c r="D2247" i="13" s="1"/>
  <c r="E2223" i="13" a="1"/>
  <c r="E2223" i="13" s="1"/>
  <c r="I2223" i="13" a="1"/>
  <c r="I2223" i="13" s="1"/>
  <c r="M936" i="12"/>
  <c r="M941" i="12"/>
  <c r="M2252" i="13" a="1"/>
  <c r="M2252" i="13" s="1"/>
  <c r="M2279" i="13" s="1"/>
  <c r="R934" i="12"/>
  <c r="D932" i="12" a="1"/>
  <c r="D932" i="12" s="1"/>
  <c r="D2253" i="13" s="1" a="1"/>
  <c r="D2253" i="13" s="1"/>
  <c r="E932" i="12" a="1"/>
  <c r="E932" i="12" s="1"/>
  <c r="E2253" i="13" s="1" a="1"/>
  <c r="E2253" i="13" s="1"/>
  <c r="F932" i="12" a="1"/>
  <c r="F932" i="12" s="1"/>
  <c r="F2253" i="13" s="1" a="1"/>
  <c r="F2253" i="13" s="1"/>
  <c r="G932" i="12" a="1"/>
  <c r="G932" i="12" s="1"/>
  <c r="G2253" i="13" s="1" a="1"/>
  <c r="G2253" i="13" s="1"/>
  <c r="H932" i="12" a="1"/>
  <c r="H932" i="12" s="1"/>
  <c r="H2253" i="13" s="1" a="1"/>
  <c r="H2253" i="13" s="1"/>
  <c r="I932" i="12" a="1"/>
  <c r="I932" i="12" s="1"/>
  <c r="I2253" i="13" s="1" a="1"/>
  <c r="I2253" i="13" s="1"/>
  <c r="J932" i="12" a="1"/>
  <c r="J932" i="12" s="1"/>
  <c r="J2253" i="13" s="1" a="1"/>
  <c r="J2253" i="13" s="1"/>
  <c r="K932" i="12" a="1"/>
  <c r="K932" i="12" s="1"/>
  <c r="K2253" i="13" s="1" a="1"/>
  <c r="K2253" i="13" s="1"/>
  <c r="L932" i="12" a="1"/>
  <c r="L932" i="12" s="1"/>
  <c r="L2253" i="13" s="1" a="1"/>
  <c r="L2253" i="13" s="1"/>
  <c r="M932" i="12" a="1"/>
  <c r="M932" i="12" s="1"/>
  <c r="M2253" i="13" s="1" a="1"/>
  <c r="M2253" i="13" s="1"/>
  <c r="N932" i="12" a="1"/>
  <c r="N932" i="12" s="1"/>
  <c r="N2253" i="13" s="1" a="1"/>
  <c r="N2253" i="13" s="1"/>
  <c r="O932" i="12" a="1"/>
  <c r="O932" i="12" s="1"/>
  <c r="O2253" i="13" s="1" a="1"/>
  <c r="O2253" i="13" s="1"/>
  <c r="K928" i="12"/>
  <c r="K923" i="12"/>
  <c r="K2225" i="13" s="1" a="1"/>
  <c r="K2225" i="13" s="1"/>
  <c r="K2220" i="13" a="1"/>
  <c r="K2220" i="13" s="1"/>
  <c r="K2247" i="13" s="1"/>
  <c r="H928" i="12"/>
  <c r="H923" i="12"/>
  <c r="H2225" i="13" s="1" a="1"/>
  <c r="H2225" i="13" s="1"/>
  <c r="H2220" i="13" a="1"/>
  <c r="H2220" i="13" s="1"/>
  <c r="H2247" i="13" s="1"/>
  <c r="L941" i="12"/>
  <c r="L936" i="12"/>
  <c r="L2252" i="13" a="1"/>
  <c r="L2252" i="13" s="1"/>
  <c r="L2279" i="13" s="1"/>
  <c r="J919" i="12" a="1"/>
  <c r="J919" i="12" s="1"/>
  <c r="J2221" i="13" s="1" a="1"/>
  <c r="J2221" i="13" s="1"/>
  <c r="N919" i="12" a="1"/>
  <c r="N919" i="12" s="1"/>
  <c r="N2221" i="13" s="1" a="1"/>
  <c r="N2221" i="13" s="1"/>
  <c r="G919" i="12" a="1"/>
  <c r="G919" i="12" s="1"/>
  <c r="G2221" i="13" s="1" a="1"/>
  <c r="G2221" i="13" s="1"/>
  <c r="F919" i="12" a="1"/>
  <c r="F919" i="12" s="1"/>
  <c r="F2221" i="13" s="1" a="1"/>
  <c r="F2221" i="13" s="1"/>
  <c r="M919" i="12" a="1"/>
  <c r="M919" i="12" s="1"/>
  <c r="M2221" i="13" s="1" a="1"/>
  <c r="M2221" i="13" s="1"/>
  <c r="L919" i="12" a="1"/>
  <c r="L919" i="12" s="1"/>
  <c r="L2221" i="13" s="1" a="1"/>
  <c r="L2221" i="13" s="1"/>
  <c r="I919" i="12" a="1"/>
  <c r="I919" i="12" s="1"/>
  <c r="I2221" i="13" s="1" a="1"/>
  <c r="I2221" i="13" s="1"/>
  <c r="E919" i="12" a="1"/>
  <c r="E919" i="12" s="1"/>
  <c r="E2221" i="13" s="1" a="1"/>
  <c r="E2221" i="13" s="1"/>
  <c r="R921" i="12"/>
  <c r="H919" i="12" a="1"/>
  <c r="H919" i="12" s="1"/>
  <c r="H2221" i="13" s="1" a="1"/>
  <c r="H2221" i="13" s="1"/>
  <c r="D919" i="12" a="1"/>
  <c r="D919" i="12" s="1"/>
  <c r="D2221" i="13" s="1" a="1"/>
  <c r="D2221" i="13" s="1"/>
  <c r="O919" i="12" a="1"/>
  <c r="O919" i="12" s="1"/>
  <c r="O2221" i="13" s="1" a="1"/>
  <c r="O2221" i="13" s="1"/>
  <c r="K919" i="12" a="1"/>
  <c r="K919" i="12" s="1"/>
  <c r="K2221" i="13" s="1" a="1"/>
  <c r="K2221" i="13" s="1"/>
  <c r="K936" i="12"/>
  <c r="K941" i="12"/>
  <c r="K2252" i="13" a="1"/>
  <c r="K2252" i="13" s="1"/>
  <c r="K2279" i="13" s="1"/>
  <c r="E923" i="12"/>
  <c r="E2225" i="13" s="1" a="1"/>
  <c r="E2225" i="13" s="1"/>
  <c r="E928" i="12"/>
  <c r="E2220" i="13" a="1"/>
  <c r="E2220" i="13" s="1"/>
  <c r="E2247" i="13" s="1"/>
  <c r="N2223" i="13" a="1"/>
  <c r="N2223" i="13" s="1"/>
  <c r="F2223" i="13" a="1"/>
  <c r="F2223" i="13" s="1"/>
  <c r="J941" i="12"/>
  <c r="J936" i="12"/>
  <c r="J2252" i="13" a="1"/>
  <c r="J2252" i="13" s="1"/>
  <c r="J2279" i="13" s="1"/>
  <c r="K2223" i="13" a="1"/>
  <c r="K2223" i="13" s="1"/>
  <c r="I923" i="12"/>
  <c r="I2225" i="13" s="1" a="1"/>
  <c r="I2225" i="13" s="1"/>
  <c r="I928" i="12"/>
  <c r="I2220" i="13" a="1"/>
  <c r="I2220" i="13" s="1"/>
  <c r="I2247" i="13" s="1"/>
  <c r="J2223" i="13" a="1"/>
  <c r="J2223" i="13" s="1"/>
  <c r="D719" i="12"/>
  <c r="E2019" i="13" a="1"/>
  <c r="E2019" i="13" s="1"/>
  <c r="E840" i="12"/>
  <c r="F803" i="12"/>
  <c r="F1916" i="13" a="1"/>
  <c r="F1916" i="13" s="1"/>
  <c r="H1917" i="13" a="1"/>
  <c r="H1917" i="13" s="1"/>
  <c r="H798" i="12"/>
  <c r="E736" i="12" a="1"/>
  <c r="E736" i="12" s="1"/>
  <c r="E1777" i="13" s="1" a="1"/>
  <c r="E1777" i="13" s="1"/>
  <c r="AX63" i="9" s="1" a="1"/>
  <c r="AX63" i="9" s="1"/>
  <c r="E834" i="12" a="1"/>
  <c r="E834" i="12" s="1"/>
  <c r="E2015" i="13" s="1" a="1"/>
  <c r="E2015" i="13" s="1"/>
  <c r="AX70" i="9" s="1" a="1"/>
  <c r="AX70" i="9" s="1"/>
  <c r="D2053" i="13" a="1"/>
  <c r="D2053" i="13" s="1"/>
  <c r="D854" i="12"/>
  <c r="I1912" i="13" a="1"/>
  <c r="I1912" i="13" s="1"/>
  <c r="I1939" i="13" s="1"/>
  <c r="I801" i="12"/>
  <c r="I796" i="12"/>
  <c r="F2014" i="13" a="1"/>
  <c r="F2014" i="13" s="1"/>
  <c r="F2041" i="13" s="1"/>
  <c r="F838" i="12"/>
  <c r="F843" i="12"/>
  <c r="E817" i="12"/>
  <c r="E1952" i="13" a="1"/>
  <c r="E1952" i="13" s="1"/>
  <c r="D831" i="12"/>
  <c r="D1986" i="13" a="1"/>
  <c r="D1986" i="13" s="1"/>
  <c r="A2079" i="13" a="1"/>
  <c r="A2079" i="13" s="1"/>
  <c r="A860" i="12" a="1"/>
  <c r="A860" i="12" s="1"/>
  <c r="D841" i="12"/>
  <c r="D2018" i="13" s="1" a="1"/>
  <c r="D2018" i="13" s="1"/>
  <c r="D842" i="12"/>
  <c r="D2082" i="13" a="1"/>
  <c r="D2082" i="13" s="1"/>
  <c r="D2109" i="13" s="1"/>
  <c r="D871" i="12"/>
  <c r="D866" i="12"/>
  <c r="E827" i="12"/>
  <c r="E1984" i="13" s="1" a="1"/>
  <c r="E1984" i="13" s="1"/>
  <c r="E828" i="12"/>
  <c r="F813" i="12"/>
  <c r="F1950" i="13" s="1" a="1"/>
  <c r="F1950" i="13" s="1"/>
  <c r="F814" i="12"/>
  <c r="G1951" i="13" a="1"/>
  <c r="G1951" i="13" s="1"/>
  <c r="G812" i="12"/>
  <c r="G1980" i="13" a="1"/>
  <c r="G1980" i="13" s="1"/>
  <c r="G2007" i="13" s="1"/>
  <c r="G824" i="12"/>
  <c r="G829" i="12"/>
  <c r="D750" i="12" a="1"/>
  <c r="D750" i="12" s="1"/>
  <c r="D1811" i="13" s="1" a="1"/>
  <c r="D1811" i="13" s="1"/>
  <c r="AE64" i="9" s="1" a="1"/>
  <c r="AE64" i="9" s="1"/>
  <c r="D848" i="12" a="1"/>
  <c r="D848" i="12" s="1"/>
  <c r="D2049" i="13" s="1" a="1"/>
  <c r="D2049" i="13" s="1"/>
  <c r="AE71" i="9" s="1" a="1"/>
  <c r="AE71" i="9" s="1"/>
  <c r="F1985" i="13" a="1"/>
  <c r="F1985" i="13" s="1"/>
  <c r="F826" i="12"/>
  <c r="H1946" i="13" a="1"/>
  <c r="H1946" i="13" s="1"/>
  <c r="H1973" i="13" s="1"/>
  <c r="H810" i="12"/>
  <c r="H815" i="12"/>
  <c r="E2048" i="13" a="1"/>
  <c r="E2048" i="13" s="1"/>
  <c r="E2075" i="13" s="1"/>
  <c r="E857" i="12"/>
  <c r="E852" i="12"/>
  <c r="G799" i="12"/>
  <c r="G1916" i="13" s="1" a="1"/>
  <c r="G1916" i="13" s="1"/>
  <c r="G800" i="12"/>
  <c r="G914" i="12"/>
  <c r="G909" i="12"/>
  <c r="G2191" i="13" s="1" a="1"/>
  <c r="G2191" i="13" s="1"/>
  <c r="M909" i="12"/>
  <c r="M2191" i="13" s="1" a="1"/>
  <c r="M2191" i="13" s="1"/>
  <c r="M914" i="12"/>
  <c r="E909" i="12"/>
  <c r="E2191" i="13" s="1" a="1"/>
  <c r="E2191" i="13" s="1"/>
  <c r="E914" i="12"/>
  <c r="R907" i="12"/>
  <c r="G905" i="12" a="1"/>
  <c r="G905" i="12" s="1"/>
  <c r="G2187" i="13" s="1" a="1"/>
  <c r="G2187" i="13" s="1"/>
  <c r="L905" i="12" a="1"/>
  <c r="L905" i="12" s="1"/>
  <c r="L2187" i="13" s="1" a="1"/>
  <c r="L2187" i="13" s="1"/>
  <c r="N905" i="12" a="1"/>
  <c r="N905" i="12" s="1"/>
  <c r="N2187" i="13" s="1" a="1"/>
  <c r="N2187" i="13" s="1"/>
  <c r="H905" i="12" a="1"/>
  <c r="H905" i="12" s="1"/>
  <c r="H2187" i="13" s="1" a="1"/>
  <c r="H2187" i="13" s="1"/>
  <c r="J905" i="12" a="1"/>
  <c r="J905" i="12" s="1"/>
  <c r="J2187" i="13" s="1" a="1"/>
  <c r="J2187" i="13" s="1"/>
  <c r="D905" i="12" a="1"/>
  <c r="D905" i="12" s="1"/>
  <c r="D2187" i="13" s="1" a="1"/>
  <c r="D2187" i="13" s="1"/>
  <c r="F905" i="12" a="1"/>
  <c r="F905" i="12" s="1"/>
  <c r="F2187" i="13" s="1" a="1"/>
  <c r="F2187" i="13" s="1"/>
  <c r="O905" i="12" a="1"/>
  <c r="O905" i="12" s="1"/>
  <c r="O2187" i="13" s="1" a="1"/>
  <c r="O2187" i="13" s="1"/>
  <c r="M905" i="12" a="1"/>
  <c r="M905" i="12" s="1"/>
  <c r="M2187" i="13" s="1" a="1"/>
  <c r="M2187" i="13" s="1"/>
  <c r="K905" i="12" a="1"/>
  <c r="K905" i="12" s="1"/>
  <c r="K2187" i="13" s="1" a="1"/>
  <c r="K2187" i="13" s="1"/>
  <c r="E905" i="12" a="1"/>
  <c r="E905" i="12" s="1"/>
  <c r="E2187" i="13" s="1" a="1"/>
  <c r="E2187" i="13" s="1"/>
  <c r="I905" i="12" a="1"/>
  <c r="I905" i="12" s="1"/>
  <c r="I2187" i="13" s="1" a="1"/>
  <c r="I2187" i="13" s="1"/>
  <c r="D914" i="12"/>
  <c r="D909" i="12"/>
  <c r="D2191" i="13" s="1" a="1"/>
  <c r="D2191" i="13" s="1"/>
  <c r="J906" i="12" a="1"/>
  <c r="J906" i="12" s="1"/>
  <c r="F906" i="12" a="1"/>
  <c r="F906" i="12" s="1"/>
  <c r="O906" i="12" a="1"/>
  <c r="O906" i="12" s="1"/>
  <c r="M906" i="12" a="1"/>
  <c r="M906" i="12" s="1"/>
  <c r="K906" i="12" a="1"/>
  <c r="K906" i="12" s="1"/>
  <c r="I906" i="12" a="1"/>
  <c r="I906" i="12" s="1"/>
  <c r="G906" i="12" a="1"/>
  <c r="G906" i="12" s="1"/>
  <c r="E906" i="12" a="1"/>
  <c r="E906" i="12" s="1"/>
  <c r="D906" i="12" a="1"/>
  <c r="D906" i="12" s="1"/>
  <c r="H906" i="12" a="1"/>
  <c r="H906" i="12" s="1"/>
  <c r="L906" i="12" a="1"/>
  <c r="L906" i="12" s="1"/>
  <c r="N906" i="12" a="1"/>
  <c r="N906" i="12" s="1"/>
  <c r="L914" i="12"/>
  <c r="L909" i="12"/>
  <c r="L2191" i="13" s="1" a="1"/>
  <c r="L2191" i="13" s="1"/>
  <c r="K909" i="12"/>
  <c r="K2191" i="13" s="1" a="1"/>
  <c r="K2191" i="13" s="1"/>
  <c r="K914" i="12"/>
  <c r="M893" i="12" a="1"/>
  <c r="M893" i="12" s="1"/>
  <c r="G893" i="12" a="1"/>
  <c r="G893" i="12" s="1"/>
  <c r="I893" i="12" a="1"/>
  <c r="I893" i="12" s="1"/>
  <c r="E893" i="12" a="1"/>
  <c r="E893" i="12" s="1"/>
  <c r="L893" i="12" a="1"/>
  <c r="L893" i="12" s="1"/>
  <c r="H893" i="12" a="1"/>
  <c r="H893" i="12" s="1"/>
  <c r="F893" i="12" a="1"/>
  <c r="F893" i="12" s="1"/>
  <c r="N893" i="12" a="1"/>
  <c r="N893" i="12" s="1"/>
  <c r="D893" i="12" a="1"/>
  <c r="D893" i="12" s="1"/>
  <c r="K893" i="12" a="1"/>
  <c r="K893" i="12" s="1"/>
  <c r="J893" i="12" a="1"/>
  <c r="J893" i="12" s="1"/>
  <c r="O893" i="12" a="1"/>
  <c r="O893" i="12" s="1"/>
  <c r="O914" i="12"/>
  <c r="O909" i="12"/>
  <c r="O2191" i="13" s="1" a="1"/>
  <c r="O2191" i="13" s="1"/>
  <c r="H909" i="12"/>
  <c r="H2191" i="13" s="1" a="1"/>
  <c r="H2191" i="13" s="1"/>
  <c r="H914" i="12"/>
  <c r="J914" i="12"/>
  <c r="J909" i="12"/>
  <c r="J2191" i="13" s="1" a="1"/>
  <c r="J2191" i="13" s="1"/>
  <c r="I914" i="12"/>
  <c r="I909" i="12"/>
  <c r="I2191" i="13" s="1" a="1"/>
  <c r="I2191" i="13" s="1"/>
  <c r="F909" i="12"/>
  <c r="F2191" i="13" s="1" a="1"/>
  <c r="F2191" i="13" s="1"/>
  <c r="F914" i="12"/>
  <c r="N909" i="12"/>
  <c r="N2191" i="13" s="1" a="1"/>
  <c r="N2191" i="13" s="1"/>
  <c r="N914" i="12"/>
  <c r="D729" i="12"/>
  <c r="D733" i="12" s="1"/>
  <c r="N1610" i="13" a="1"/>
  <c r="N1610" i="13" s="1"/>
  <c r="EK66" i="9" a="1"/>
  <c r="EK66" i="9" s="1"/>
  <c r="EL66" i="9" s="1"/>
  <c r="EM66" i="9" s="1"/>
  <c r="EN66" i="9" s="1"/>
  <c r="AT71" i="9" a="1"/>
  <c r="AT71" i="9" s="1"/>
  <c r="AU71" i="9" s="1"/>
  <c r="G1708" i="13" a="1"/>
  <c r="G1708" i="13" s="1"/>
  <c r="G1735" i="13" s="1"/>
  <c r="G712" i="12"/>
  <c r="G717" i="12"/>
  <c r="AV70" i="9"/>
  <c r="AW70" i="9" s="1"/>
  <c r="BO69" i="9"/>
  <c r="BP69" i="9" s="1"/>
  <c r="G1610" i="13" a="1"/>
  <c r="G1610" i="13" s="1"/>
  <c r="G677" i="12"/>
  <c r="G700" i="12"/>
  <c r="G702" i="12" s="1"/>
  <c r="G1680" i="13" s="1" a="1"/>
  <c r="G1680" i="13" s="1"/>
  <c r="G1679" i="13" a="1"/>
  <c r="G1679" i="13" s="1"/>
  <c r="AC71" i="9"/>
  <c r="AD71" i="9" s="1"/>
  <c r="D874" i="12" a="1"/>
  <c r="D874" i="12" s="1"/>
  <c r="BM70" i="9" a="1"/>
  <c r="BM70" i="9" s="1"/>
  <c r="BN70" i="9" s="1"/>
  <c r="CF69" i="9" a="1"/>
  <c r="CF69" i="9" s="1"/>
  <c r="CG69" i="9" s="1"/>
  <c r="C82" i="28" a="1"/>
  <c r="C82" i="28" s="1"/>
  <c r="B72" i="9" a="1"/>
  <c r="B72" i="9" s="1"/>
  <c r="DG67" i="9" a="1"/>
  <c r="DG67" i="9" s="1"/>
  <c r="J790" i="12" a="1"/>
  <c r="J790" i="12" s="1"/>
  <c r="I792" i="12" a="1"/>
  <c r="I792" i="12" s="1"/>
  <c r="I1913" i="13" s="1" a="1"/>
  <c r="I1913" i="13" s="1"/>
  <c r="DV67" i="9" s="1" a="1"/>
  <c r="DV67" i="9" s="1"/>
  <c r="D762" i="12" a="1"/>
  <c r="D762" i="12" s="1"/>
  <c r="P72" i="9" a="1"/>
  <c r="P72" i="9" s="1"/>
  <c r="E860" i="12" a="1"/>
  <c r="E860" i="12" s="1"/>
  <c r="AI71" i="9" a="1"/>
  <c r="AI71" i="9" s="1"/>
  <c r="F846" i="12" a="1"/>
  <c r="F846" i="12" s="1"/>
  <c r="G687" i="12"/>
  <c r="AA72" i="9" a="1"/>
  <c r="AA72" i="9" s="1"/>
  <c r="AB72" i="9" s="1"/>
  <c r="BB70" i="9" a="1"/>
  <c r="BB70" i="9" s="1"/>
  <c r="G832" i="12" a="1"/>
  <c r="G832" i="12" s="1"/>
  <c r="DA67" i="9"/>
  <c r="DB67" i="9" s="1"/>
  <c r="CN68" i="9" a="1"/>
  <c r="CN68" i="9" s="1"/>
  <c r="I804" i="12" a="1"/>
  <c r="I804" i="12" s="1"/>
  <c r="H806" i="12" a="1"/>
  <c r="H806" i="12" s="1"/>
  <c r="H1947" i="13" s="1" a="1"/>
  <c r="H1947" i="13" s="1"/>
  <c r="DC68" i="9" s="1" a="1"/>
  <c r="DC68" i="9" s="1"/>
  <c r="D742" i="12"/>
  <c r="D744" i="12" s="1"/>
  <c r="D1782" i="13" s="1" a="1"/>
  <c r="D1782" i="13" s="1"/>
  <c r="D1781" i="13" a="1"/>
  <c r="D1781" i="13" s="1"/>
  <c r="CH68" i="9"/>
  <c r="CI68" i="9" s="1"/>
  <c r="DR67" i="9" a="1"/>
  <c r="DR67" i="9" s="1"/>
  <c r="DS67" i="9" s="1"/>
  <c r="D759" i="12"/>
  <c r="D1810" i="13" a="1"/>
  <c r="D1810" i="13" s="1"/>
  <c r="D1837" i="13" s="1"/>
  <c r="D754" i="12"/>
  <c r="CY68" i="9" a="1"/>
  <c r="CY68" i="9" s="1"/>
  <c r="CZ68" i="9" s="1"/>
  <c r="G720" i="12" a="1"/>
  <c r="G720" i="12" s="1"/>
  <c r="BU69" i="9" a="1"/>
  <c r="BU69" i="9" s="1"/>
  <c r="H818" i="12" a="1"/>
  <c r="H818" i="12" s="1"/>
  <c r="G820" i="12" a="1"/>
  <c r="G820" i="12" s="1"/>
  <c r="G1981" i="13" s="1" a="1"/>
  <c r="G1981" i="13" s="1"/>
  <c r="CJ69" i="9" s="1" a="1"/>
  <c r="CJ69" i="9" s="1"/>
  <c r="DZ66" i="9" a="1"/>
  <c r="DZ66" i="9" s="1"/>
  <c r="L705" i="12"/>
  <c r="H771" i="12"/>
  <c r="H1848" i="13" s="1" a="1"/>
  <c r="H1848" i="13" s="1"/>
  <c r="I757" i="12"/>
  <c r="I761" i="12" s="1"/>
  <c r="N687" i="12"/>
  <c r="N1644" i="13" s="1" a="1"/>
  <c r="N1644" i="13" s="1"/>
  <c r="M691" i="12"/>
  <c r="J743" i="12"/>
  <c r="J1780" i="13" s="1" a="1"/>
  <c r="J1780" i="13" s="1"/>
  <c r="L715" i="12"/>
  <c r="L719" i="12" s="1"/>
  <c r="O673" i="12"/>
  <c r="O1610" i="13" s="1" a="1"/>
  <c r="O1610" i="13" s="1"/>
  <c r="O694" i="12" a="1"/>
  <c r="O694" i="12" s="1"/>
  <c r="O1675" i="13" s="1" a="1"/>
  <c r="O1675" i="13" s="1"/>
  <c r="IF60" i="9" s="1" a="1"/>
  <c r="IF60" i="9" s="1"/>
  <c r="J776" i="12" a="1"/>
  <c r="J776" i="12" s="1"/>
  <c r="M722" i="12" a="1"/>
  <c r="M722" i="12" s="1"/>
  <c r="M1743" i="13" s="1" a="1"/>
  <c r="M1743" i="13" s="1"/>
  <c r="GT62" i="9" s="1" a="1"/>
  <c r="GT62" i="9" s="1"/>
  <c r="O1576" i="13" a="1"/>
  <c r="O1576" i="13" s="1"/>
  <c r="O663" i="12"/>
  <c r="O1645" i="13" a="1"/>
  <c r="O1645" i="13" s="1"/>
  <c r="O686" i="12"/>
  <c r="O688" i="12" s="1"/>
  <c r="O1646" i="13" s="1" a="1"/>
  <c r="O1646" i="13" s="1"/>
  <c r="F1882" i="13" a="1"/>
  <c r="F1882" i="13" s="1"/>
  <c r="F789" i="12"/>
  <c r="K719" i="12"/>
  <c r="K1712" i="13" a="1"/>
  <c r="K1712" i="13" s="1"/>
  <c r="N1679" i="13" a="1"/>
  <c r="N1679" i="13" s="1"/>
  <c r="N700" i="12"/>
  <c r="N702" i="12" s="1"/>
  <c r="N1680" i="13" s="1" a="1"/>
  <c r="N1680" i="13" s="1"/>
  <c r="M731" i="12"/>
  <c r="M726" i="12"/>
  <c r="M1742" i="13" a="1"/>
  <c r="M1742" i="13" s="1"/>
  <c r="M1769" i="13" s="1"/>
  <c r="J1815" i="13" a="1"/>
  <c r="J1815" i="13" s="1"/>
  <c r="J756" i="12"/>
  <c r="J758" i="12" s="1"/>
  <c r="J1816" i="13" s="1" a="1"/>
  <c r="J1816" i="13" s="1"/>
  <c r="L740" i="12"/>
  <c r="L745" i="12"/>
  <c r="L1776" i="13" a="1"/>
  <c r="L1776" i="13" s="1"/>
  <c r="L1803" i="13" s="1"/>
  <c r="H1814" i="13" a="1"/>
  <c r="H1814" i="13" s="1"/>
  <c r="H761" i="12"/>
  <c r="K1810" i="13" a="1"/>
  <c r="K1810" i="13" s="1"/>
  <c r="K1837" i="13" s="1"/>
  <c r="K759" i="12"/>
  <c r="K754" i="12"/>
  <c r="H784" i="12"/>
  <c r="H786" i="12" s="1"/>
  <c r="H1884" i="13" s="1" a="1"/>
  <c r="H1884" i="13" s="1"/>
  <c r="H1883" i="13" a="1"/>
  <c r="H1883" i="13" s="1"/>
  <c r="I1878" i="13" a="1"/>
  <c r="I1878" i="13" s="1"/>
  <c r="I1905" i="13" s="1"/>
  <c r="I782" i="12"/>
  <c r="I787" i="12"/>
  <c r="O706" i="12" a="1"/>
  <c r="O706" i="12" s="1"/>
  <c r="HQ61" i="9" a="1"/>
  <c r="HQ61" i="9" s="1"/>
  <c r="N708" i="12" a="1"/>
  <c r="N708" i="12" s="1"/>
  <c r="N1709" i="13" s="1" a="1"/>
  <c r="N1709" i="13" s="1"/>
  <c r="HM61" i="9" s="1" a="1"/>
  <c r="HM61" i="9" s="1"/>
  <c r="ES65" i="9" a="1"/>
  <c r="ES65" i="9" s="1"/>
  <c r="K762" i="12" a="1"/>
  <c r="K762" i="12" s="1"/>
  <c r="M1713" i="13" a="1"/>
  <c r="M1713" i="13" s="1"/>
  <c r="M714" i="12"/>
  <c r="M716" i="12" s="1"/>
  <c r="M1714" i="13" s="1" a="1"/>
  <c r="M1714" i="13" s="1"/>
  <c r="K729" i="12"/>
  <c r="K742" i="12"/>
  <c r="K744" i="12" s="1"/>
  <c r="K1782" i="13" s="1" a="1"/>
  <c r="K1782" i="13" s="1"/>
  <c r="K1781" i="13" a="1"/>
  <c r="K1781" i="13" s="1"/>
  <c r="O1674" i="13" a="1"/>
  <c r="O1674" i="13" s="1"/>
  <c r="O1701" i="13" s="1"/>
  <c r="O703" i="12"/>
  <c r="O698" i="12"/>
  <c r="L748" i="12" a="1"/>
  <c r="L748" i="12" s="1"/>
  <c r="FL64" i="9" a="1"/>
  <c r="FL64" i="9" s="1"/>
  <c r="I1780" i="13" a="1"/>
  <c r="I1780" i="13" s="1"/>
  <c r="I747" i="12"/>
  <c r="N1708" i="13" a="1"/>
  <c r="N1708" i="13" s="1"/>
  <c r="N1735" i="13" s="1"/>
  <c r="N712" i="12"/>
  <c r="N717" i="12"/>
  <c r="I1849" i="13" a="1"/>
  <c r="I1849" i="13" s="1"/>
  <c r="I770" i="12"/>
  <c r="I772" i="12" s="1"/>
  <c r="I1850" i="13" s="1" a="1"/>
  <c r="I1850" i="13" s="1"/>
  <c r="G785" i="12"/>
  <c r="L1747" i="13" a="1"/>
  <c r="L1747" i="13" s="1"/>
  <c r="L728" i="12"/>
  <c r="L730" i="12" s="1"/>
  <c r="L1748" i="13" s="1" a="1"/>
  <c r="L1748" i="13" s="1"/>
  <c r="M701" i="12"/>
  <c r="M734" i="12" a="1"/>
  <c r="M734" i="12" s="1"/>
  <c r="GE63" i="9" a="1"/>
  <c r="GE63" i="9" s="1"/>
  <c r="GX62" i="9" a="1"/>
  <c r="GX62" i="9" s="1"/>
  <c r="N720" i="12" a="1"/>
  <c r="N720" i="12" s="1"/>
  <c r="J1746" i="13" a="1"/>
  <c r="J1746" i="13" s="1"/>
  <c r="J733" i="12"/>
  <c r="J1844" i="13" a="1"/>
  <c r="J1844" i="13" s="1"/>
  <c r="J1871" i="13" s="1"/>
  <c r="J768" i="12"/>
  <c r="J773" i="12"/>
  <c r="G63" i="9" a="1"/>
  <c r="G63" i="9" s="1"/>
  <c r="K63" i="9" s="1"/>
  <c r="C63" i="9" a="1"/>
  <c r="C63" i="9" s="1"/>
  <c r="B63" i="9" a="1"/>
  <c r="B63" i="9" s="1"/>
  <c r="E63" i="9" a="1"/>
  <c r="E63" i="9" s="1"/>
  <c r="P63" i="9" a="1"/>
  <c r="P63" i="9" s="1"/>
  <c r="F63" i="9" a="1"/>
  <c r="F63" i="9" s="1"/>
  <c r="E62" i="9" a="1"/>
  <c r="E62" i="9" s="1"/>
  <c r="P62" i="9" a="1"/>
  <c r="P62" i="9" s="1"/>
  <c r="C62" i="9" a="1"/>
  <c r="C62" i="9" s="1"/>
  <c r="B62" i="9" a="1"/>
  <c r="B62" i="9" s="1"/>
  <c r="G62" i="9" a="1"/>
  <c r="G62" i="9" s="1"/>
  <c r="F62" i="9" a="1"/>
  <c r="F62" i="9" s="1"/>
  <c r="P59" i="9" a="1"/>
  <c r="P59" i="9" s="1"/>
  <c r="B59" i="9" a="1"/>
  <c r="B59" i="9" s="1"/>
  <c r="G59" i="9" a="1"/>
  <c r="G59" i="9" s="1"/>
  <c r="E59" i="9" a="1"/>
  <c r="E59" i="9" s="1"/>
  <c r="C59" i="9" a="1"/>
  <c r="C59" i="9" s="1"/>
  <c r="F59" i="9" a="1"/>
  <c r="F59" i="9" s="1"/>
  <c r="C58" i="9" a="1"/>
  <c r="C58" i="9" s="1"/>
  <c r="B58" i="9" a="1"/>
  <c r="B58" i="9" s="1"/>
  <c r="E58" i="9" a="1"/>
  <c r="E58" i="9" s="1"/>
  <c r="G58" i="9" a="1"/>
  <c r="G58" i="9" s="1"/>
  <c r="K58" i="9" s="1"/>
  <c r="P58" i="9" a="1"/>
  <c r="P58" i="9" s="1"/>
  <c r="F58" i="9" a="1"/>
  <c r="F58" i="9" s="1"/>
  <c r="C55" i="9" a="1"/>
  <c r="C55" i="9" s="1"/>
  <c r="E55" i="9" a="1"/>
  <c r="E55" i="9" s="1"/>
  <c r="G55" i="9" a="1"/>
  <c r="G55" i="9" s="1"/>
  <c r="P55" i="9" a="1"/>
  <c r="P55" i="9" s="1"/>
  <c r="B55" i="9" a="1"/>
  <c r="B55" i="9" s="1"/>
  <c r="E64" i="9" a="1"/>
  <c r="E64" i="9" s="1"/>
  <c r="P64" i="9" a="1"/>
  <c r="P64" i="9" s="1"/>
  <c r="C64" i="9" a="1"/>
  <c r="C64" i="9" s="1"/>
  <c r="B64" i="9" a="1"/>
  <c r="B64" i="9" s="1"/>
  <c r="G64" i="9" a="1"/>
  <c r="G64" i="9" s="1"/>
  <c r="E60" i="9" a="1"/>
  <c r="E60" i="9" s="1"/>
  <c r="P60" i="9" a="1"/>
  <c r="P60" i="9" s="1"/>
  <c r="B60" i="9" a="1"/>
  <c r="B60" i="9" s="1"/>
  <c r="G60" i="9" a="1"/>
  <c r="G60" i="9" s="1"/>
  <c r="C60" i="9" a="1"/>
  <c r="C60" i="9" s="1"/>
  <c r="F60" i="9" a="1"/>
  <c r="F60" i="9" s="1"/>
  <c r="P56" i="9" a="1"/>
  <c r="P56" i="9" s="1"/>
  <c r="G56" i="9" a="1"/>
  <c r="G56" i="9" s="1"/>
  <c r="B56" i="9" a="1"/>
  <c r="B56" i="9" s="1"/>
  <c r="C56" i="9" a="1"/>
  <c r="C56" i="9" s="1"/>
  <c r="E56" i="9" a="1"/>
  <c r="E56" i="9" s="1"/>
  <c r="F56" i="9" a="1"/>
  <c r="F56" i="9" s="1"/>
  <c r="G65" i="9" a="1"/>
  <c r="G65" i="9" s="1"/>
  <c r="C65" i="9" a="1"/>
  <c r="C65" i="9" s="1"/>
  <c r="E65" i="9" a="1"/>
  <c r="E65" i="9" s="1"/>
  <c r="P65" i="9" a="1"/>
  <c r="P65" i="9" s="1"/>
  <c r="B65" i="9" a="1"/>
  <c r="B65" i="9" s="1"/>
  <c r="F65" i="9" a="1"/>
  <c r="F65" i="9" s="1"/>
  <c r="E61" i="9" a="1"/>
  <c r="E61" i="9" s="1"/>
  <c r="B61" i="9" a="1"/>
  <c r="B61" i="9" s="1"/>
  <c r="P61" i="9" a="1"/>
  <c r="P61" i="9" s="1"/>
  <c r="G61" i="9" a="1"/>
  <c r="G61" i="9" s="1"/>
  <c r="C61" i="9" a="1"/>
  <c r="C61" i="9" s="1"/>
  <c r="F61" i="9" a="1"/>
  <c r="F61" i="9" s="1"/>
  <c r="E57" i="9" a="1"/>
  <c r="E57" i="9" s="1"/>
  <c r="B57" i="9" a="1"/>
  <c r="B57" i="9" s="1"/>
  <c r="P57" i="9" a="1"/>
  <c r="P57" i="9" s="1"/>
  <c r="G57" i="9" a="1"/>
  <c r="G57" i="9" s="1"/>
  <c r="K57" i="9" s="1"/>
  <c r="C57" i="9" a="1"/>
  <c r="C57" i="9" s="1"/>
  <c r="F57" i="9" a="1"/>
  <c r="F57" i="9" s="1"/>
  <c r="C52" i="9" a="1"/>
  <c r="C52" i="9" s="1"/>
  <c r="G52" i="9" a="1"/>
  <c r="G52" i="9" s="1"/>
  <c r="B52" i="9" a="1"/>
  <c r="B52" i="9" s="1"/>
  <c r="E52" i="9" a="1"/>
  <c r="E52" i="9" s="1"/>
  <c r="P52" i="9" a="1"/>
  <c r="P52" i="9" s="1"/>
  <c r="F52" i="9" a="1"/>
  <c r="F52" i="9" s="1"/>
  <c r="E48" i="9" a="1"/>
  <c r="E48" i="9" s="1"/>
  <c r="P48" i="9" a="1"/>
  <c r="P48" i="9" s="1"/>
  <c r="C48" i="9" a="1"/>
  <c r="C48" i="9" s="1"/>
  <c r="B48" i="9" a="1"/>
  <c r="B48" i="9" s="1"/>
  <c r="G48" i="9" a="1"/>
  <c r="G48" i="9" s="1"/>
  <c r="G54" i="9" a="1"/>
  <c r="G54" i="9" s="1"/>
  <c r="P54" i="9" a="1"/>
  <c r="P54" i="9" s="1"/>
  <c r="C54" i="9" a="1"/>
  <c r="C54" i="9" s="1"/>
  <c r="B54" i="9" a="1"/>
  <c r="B54" i="9" s="1"/>
  <c r="E54" i="9" a="1"/>
  <c r="E54" i="9" s="1"/>
  <c r="F54" i="9" a="1"/>
  <c r="F54" i="9" s="1"/>
  <c r="E53" i="9" a="1"/>
  <c r="E53" i="9" s="1"/>
  <c r="B53" i="9" a="1"/>
  <c r="B53" i="9" s="1"/>
  <c r="P53" i="9" a="1"/>
  <c r="P53" i="9" s="1"/>
  <c r="G53" i="9" a="1"/>
  <c r="G53" i="9" s="1"/>
  <c r="C53" i="9" a="1"/>
  <c r="C53" i="9" s="1"/>
  <c r="F53" i="9" a="1"/>
  <c r="F53" i="9" s="1"/>
  <c r="G50" i="9" a="1"/>
  <c r="G50" i="9" s="1"/>
  <c r="K50" i="9" s="1"/>
  <c r="E50" i="9" a="1"/>
  <c r="E50" i="9" s="1"/>
  <c r="C50" i="9" a="1"/>
  <c r="C50" i="9" s="1"/>
  <c r="P50" i="9" a="1"/>
  <c r="P50" i="9" s="1"/>
  <c r="B50" i="9" a="1"/>
  <c r="B50" i="9" s="1"/>
  <c r="F50" i="9" a="1"/>
  <c r="F50" i="9" s="1"/>
  <c r="G49" i="9" a="1"/>
  <c r="G49" i="9" s="1"/>
  <c r="E49" i="9" a="1"/>
  <c r="E49" i="9" s="1"/>
  <c r="P49" i="9" a="1"/>
  <c r="P49" i="9" s="1"/>
  <c r="B49" i="9" a="1"/>
  <c r="B49" i="9" s="1"/>
  <c r="C49" i="9" a="1"/>
  <c r="C49" i="9" s="1"/>
  <c r="F49" i="9" a="1"/>
  <c r="F49" i="9" s="1"/>
  <c r="E46" i="9" a="1"/>
  <c r="E46" i="9" s="1"/>
  <c r="C46" i="9" a="1"/>
  <c r="C46" i="9" s="1"/>
  <c r="G46" i="9" a="1"/>
  <c r="G46" i="9" s="1"/>
  <c r="K46" i="9" s="1"/>
  <c r="P46" i="9" a="1"/>
  <c r="P46" i="9" s="1"/>
  <c r="B46" i="9" a="1"/>
  <c r="B46" i="9" s="1"/>
  <c r="C51" i="9" a="1"/>
  <c r="C51" i="9" s="1"/>
  <c r="E51" i="9" a="1"/>
  <c r="E51" i="9" s="1"/>
  <c r="P51" i="9" a="1"/>
  <c r="P51" i="9" s="1"/>
  <c r="G51" i="9" a="1"/>
  <c r="G51" i="9" s="1"/>
  <c r="B51" i="9" a="1"/>
  <c r="B51" i="9" s="1"/>
  <c r="F51" i="9" a="1"/>
  <c r="F51" i="9" s="1"/>
  <c r="E47" i="9" a="1"/>
  <c r="E47" i="9" s="1"/>
  <c r="C47" i="9" a="1"/>
  <c r="C47" i="9" s="1"/>
  <c r="P47" i="9" a="1"/>
  <c r="P47" i="9" s="1"/>
  <c r="G47" i="9" a="1"/>
  <c r="G47" i="9" s="1"/>
  <c r="B47" i="9" a="1"/>
  <c r="B47" i="9" s="1"/>
  <c r="F47" i="9" a="1"/>
  <c r="F47" i="9" s="1"/>
  <c r="B45" i="9" a="1"/>
  <c r="B45" i="9" s="1"/>
  <c r="G45" i="9" a="1"/>
  <c r="G45" i="9" s="1"/>
  <c r="K45" i="9" s="1"/>
  <c r="E45" i="9" a="1"/>
  <c r="E45" i="9" s="1"/>
  <c r="C45" i="9" a="1"/>
  <c r="C45" i="9" s="1"/>
  <c r="P45" i="9" a="1"/>
  <c r="P45" i="9" s="1"/>
  <c r="F45" i="9" a="1"/>
  <c r="F45" i="9" s="1"/>
  <c r="B42" i="9" a="1"/>
  <c r="B42" i="9" s="1"/>
  <c r="C42" i="9" a="1"/>
  <c r="C42" i="9" s="1"/>
  <c r="E42" i="9" a="1"/>
  <c r="E42" i="9" s="1"/>
  <c r="P42" i="9" a="1"/>
  <c r="P42" i="9" s="1"/>
  <c r="G42" i="9" a="1"/>
  <c r="G42" i="9" s="1"/>
  <c r="K42" i="9" s="1"/>
  <c r="F42" i="9" a="1"/>
  <c r="F42" i="9" s="1"/>
  <c r="B38" i="9" a="1"/>
  <c r="B38" i="9" s="1"/>
  <c r="E38" i="9" a="1"/>
  <c r="E38" i="9" s="1"/>
  <c r="G38" i="9" a="1"/>
  <c r="G38" i="9" s="1"/>
  <c r="K38" i="9" s="1"/>
  <c r="P38" i="9" a="1"/>
  <c r="P38" i="9" s="1"/>
  <c r="C38" i="9" a="1"/>
  <c r="C38" i="9" s="1"/>
  <c r="G41" i="9" a="1"/>
  <c r="G41" i="9" s="1"/>
  <c r="C41" i="9" a="1"/>
  <c r="C41" i="9" s="1"/>
  <c r="E41" i="9" a="1"/>
  <c r="E41" i="9" s="1"/>
  <c r="B41" i="9" a="1"/>
  <c r="B41" i="9" s="1"/>
  <c r="P41" i="9" a="1"/>
  <c r="P41" i="9" s="1"/>
  <c r="F41" i="9" a="1"/>
  <c r="F41" i="9" s="1"/>
  <c r="G43" i="9" a="1"/>
  <c r="G43" i="9" s="1"/>
  <c r="E43" i="9" a="1"/>
  <c r="E43" i="9" s="1"/>
  <c r="C43" i="9" a="1"/>
  <c r="C43" i="9" s="1"/>
  <c r="B43" i="9" a="1"/>
  <c r="B43" i="9" s="1"/>
  <c r="P43" i="9" a="1"/>
  <c r="P43" i="9" s="1"/>
  <c r="F43" i="9" a="1"/>
  <c r="F43" i="9" s="1"/>
  <c r="B39" i="9" a="1"/>
  <c r="B39" i="9" s="1"/>
  <c r="G39" i="9" a="1"/>
  <c r="G39" i="9" s="1"/>
  <c r="E39" i="9" a="1"/>
  <c r="E39" i="9" s="1"/>
  <c r="P39" i="9" a="1"/>
  <c r="P39" i="9" s="1"/>
  <c r="C39" i="9" a="1"/>
  <c r="C39" i="9" s="1"/>
  <c r="F39" i="9" a="1"/>
  <c r="F39" i="9" s="1"/>
  <c r="E44" i="9" a="1"/>
  <c r="E44" i="9" s="1"/>
  <c r="P44" i="9" a="1"/>
  <c r="P44" i="9" s="1"/>
  <c r="B44" i="9" a="1"/>
  <c r="B44" i="9" s="1"/>
  <c r="C44" i="9" a="1"/>
  <c r="C44" i="9" s="1"/>
  <c r="G44" i="9" a="1"/>
  <c r="G44" i="9" s="1"/>
  <c r="B40" i="9" a="1"/>
  <c r="B40" i="9" s="1"/>
  <c r="C40" i="9" a="1"/>
  <c r="C40" i="9" s="1"/>
  <c r="E40" i="9" a="1"/>
  <c r="E40" i="9" s="1"/>
  <c r="P40" i="9" a="1"/>
  <c r="P40" i="9" s="1"/>
  <c r="G40" i="9" a="1"/>
  <c r="G40" i="9" s="1"/>
  <c r="K40" i="9" s="1"/>
  <c r="F40" i="9" a="1"/>
  <c r="F40" i="9" s="1"/>
  <c r="B36" i="9" a="1"/>
  <c r="B36" i="9" s="1"/>
  <c r="E36" i="9" a="1"/>
  <c r="E36" i="9" s="1"/>
  <c r="P36" i="9" a="1"/>
  <c r="P36" i="9" s="1"/>
  <c r="C36" i="9" a="1"/>
  <c r="C36" i="9" s="1"/>
  <c r="G36" i="9" a="1"/>
  <c r="G36" i="9" s="1"/>
  <c r="K36" i="9" s="1"/>
  <c r="F36" i="9" a="1"/>
  <c r="F36" i="9" s="1"/>
  <c r="C35" i="9" a="1"/>
  <c r="C35" i="9" s="1"/>
  <c r="E35" i="9" a="1"/>
  <c r="E35" i="9" s="1"/>
  <c r="B35" i="9" a="1"/>
  <c r="B35" i="9" s="1"/>
  <c r="P35" i="9" a="1"/>
  <c r="P35" i="9" s="1"/>
  <c r="G35" i="9" a="1"/>
  <c r="G35" i="9" s="1"/>
  <c r="K35" i="9" s="1"/>
  <c r="F35" i="9" a="1"/>
  <c r="F35" i="9" s="1"/>
  <c r="E32" i="9" a="1"/>
  <c r="E32" i="9" s="1"/>
  <c r="P32" i="9" a="1"/>
  <c r="P32" i="9" s="1"/>
  <c r="B32" i="9" a="1"/>
  <c r="B32" i="9" s="1"/>
  <c r="G32" i="9" a="1"/>
  <c r="G32" i="9" s="1"/>
  <c r="C32" i="9" a="1"/>
  <c r="C32" i="9" s="1"/>
  <c r="F32" i="9" a="1"/>
  <c r="F32" i="9" s="1"/>
  <c r="E31" i="9" a="1"/>
  <c r="E31" i="9" s="1"/>
  <c r="P31" i="9" a="1"/>
  <c r="P31" i="9" s="1"/>
  <c r="G31" i="9" a="1"/>
  <c r="G31" i="9" s="1"/>
  <c r="C31" i="9" a="1"/>
  <c r="C31" i="9" s="1"/>
  <c r="B31" i="9" a="1"/>
  <c r="B31" i="9" s="1"/>
  <c r="F31" i="9" a="1"/>
  <c r="F31" i="9" s="1"/>
  <c r="P34" i="9" a="1"/>
  <c r="P34" i="9" s="1"/>
  <c r="G34" i="9" a="1"/>
  <c r="G34" i="9" s="1"/>
  <c r="K34" i="9" s="1"/>
  <c r="C34" i="9" a="1"/>
  <c r="C34" i="9" s="1"/>
  <c r="E34" i="9" a="1"/>
  <c r="E34" i="9" s="1"/>
  <c r="B34" i="9" a="1"/>
  <c r="B34" i="9" s="1"/>
  <c r="F34" i="9" a="1"/>
  <c r="F34" i="9" s="1"/>
  <c r="E37" i="9" a="1"/>
  <c r="E37" i="9" s="1"/>
  <c r="P37" i="9" a="1"/>
  <c r="P37" i="9" s="1"/>
  <c r="B37" i="9" a="1"/>
  <c r="B37" i="9" s="1"/>
  <c r="C37" i="9" a="1"/>
  <c r="C37" i="9" s="1"/>
  <c r="G37" i="9" a="1"/>
  <c r="G37" i="9" s="1"/>
  <c r="K37" i="9" s="1"/>
  <c r="F37" i="9" a="1"/>
  <c r="F37" i="9" s="1"/>
  <c r="B33" i="9" a="1"/>
  <c r="B33" i="9" s="1"/>
  <c r="E33" i="9" a="1"/>
  <c r="E33" i="9" s="1"/>
  <c r="P33" i="9" a="1"/>
  <c r="P33" i="9" s="1"/>
  <c r="G33" i="9" a="1"/>
  <c r="G33" i="9" s="1"/>
  <c r="K33" i="9" s="1"/>
  <c r="C33" i="9" a="1"/>
  <c r="C33" i="9" s="1"/>
  <c r="E30" i="9" a="1"/>
  <c r="E30" i="9" s="1"/>
  <c r="P30" i="9" a="1"/>
  <c r="P30" i="9" s="1"/>
  <c r="G30" i="9" a="1"/>
  <c r="G30" i="9" s="1"/>
  <c r="K30" i="9" s="1"/>
  <c r="C30" i="9" a="1"/>
  <c r="C30" i="9" s="1"/>
  <c r="B30" i="9" a="1"/>
  <c r="B30" i="9" s="1"/>
  <c r="F30" i="9" a="1"/>
  <c r="F30" i="9" s="1"/>
  <c r="G27" i="9" a="1"/>
  <c r="G27" i="9" s="1"/>
  <c r="C27" i="9" a="1"/>
  <c r="C27" i="9" s="1"/>
  <c r="B27" i="9" a="1"/>
  <c r="B27" i="9" s="1"/>
  <c r="E27" i="9" a="1"/>
  <c r="E27" i="9" s="1"/>
  <c r="P27" i="9" a="1"/>
  <c r="P27" i="9" s="1"/>
  <c r="E28" i="9" a="1"/>
  <c r="E28" i="9" s="1"/>
  <c r="C28" i="9" a="1"/>
  <c r="C28" i="9" s="1"/>
  <c r="P28" i="9" a="1"/>
  <c r="P28" i="9" s="1"/>
  <c r="B28" i="9" a="1"/>
  <c r="B28" i="9" s="1"/>
  <c r="G28" i="9" a="1"/>
  <c r="G28" i="9" s="1"/>
  <c r="K28" i="9" s="1"/>
  <c r="F28" i="9" a="1"/>
  <c r="F28" i="9" s="1"/>
  <c r="E29" i="9" a="1"/>
  <c r="E29" i="9" s="1"/>
  <c r="P29" i="9" a="1"/>
  <c r="P29" i="9" s="1"/>
  <c r="G29" i="9" a="1"/>
  <c r="G29" i="9" s="1"/>
  <c r="K29" i="9" s="1"/>
  <c r="C29" i="9" a="1"/>
  <c r="C29" i="9" s="1"/>
  <c r="B29" i="9" a="1"/>
  <c r="B29" i="9" s="1"/>
  <c r="F29" i="9" a="1"/>
  <c r="F29" i="9" s="1"/>
  <c r="B26" i="9" a="1"/>
  <c r="B26" i="9" s="1"/>
  <c r="E26" i="9" a="1"/>
  <c r="E26" i="9" s="1"/>
  <c r="P26" i="9" a="1"/>
  <c r="P26" i="9" s="1"/>
  <c r="G26" i="9" a="1"/>
  <c r="G26" i="9" s="1"/>
  <c r="K26" i="9" s="1"/>
  <c r="C26" i="9" a="1"/>
  <c r="C26" i="9" s="1"/>
  <c r="F26" i="9" a="1"/>
  <c r="F26" i="9" s="1"/>
  <c r="G25" i="9" a="1"/>
  <c r="G25" i="9" s="1"/>
  <c r="K25" i="9" s="1"/>
  <c r="B25" i="9" a="1"/>
  <c r="B25" i="9" s="1"/>
  <c r="E25" i="9" a="1"/>
  <c r="E25" i="9" s="1"/>
  <c r="C25" i="9" a="1"/>
  <c r="C25" i="9" s="1"/>
  <c r="P25" i="9" a="1"/>
  <c r="P25" i="9" s="1"/>
  <c r="F25" i="9" a="1"/>
  <c r="F25" i="9" s="1"/>
  <c r="I25" i="9" s="1" a="1"/>
  <c r="I25" i="9" s="1"/>
  <c r="J25" i="9" s="1" a="1"/>
  <c r="J25" i="9" s="1"/>
  <c r="B22" i="9" a="1"/>
  <c r="B22" i="9" s="1"/>
  <c r="P22" i="9" a="1"/>
  <c r="P22" i="9" s="1"/>
  <c r="G22" i="9" a="1"/>
  <c r="G22" i="9" s="1"/>
  <c r="K22" i="9" s="1"/>
  <c r="C22" i="9" a="1"/>
  <c r="C22" i="9" s="1"/>
  <c r="E22" i="9" a="1"/>
  <c r="E22" i="9" s="1"/>
  <c r="F22" i="9" a="1"/>
  <c r="F22" i="9" s="1"/>
  <c r="E21" i="9" a="1"/>
  <c r="E21" i="9" s="1"/>
  <c r="P21" i="9" a="1"/>
  <c r="P21" i="9" s="1"/>
  <c r="G21" i="9" a="1"/>
  <c r="G21" i="9" s="1"/>
  <c r="K21" i="9" s="1"/>
  <c r="C21" i="9" a="1"/>
  <c r="C21" i="9" s="1"/>
  <c r="B21" i="9" a="1"/>
  <c r="B21" i="9" s="1"/>
  <c r="F21" i="9" a="1"/>
  <c r="F21" i="9" s="1"/>
  <c r="I21" i="9" s="1" a="1"/>
  <c r="I21" i="9" s="1"/>
  <c r="J21" i="9" s="1" a="1"/>
  <c r="J21" i="9" s="1"/>
  <c r="E23" i="9" a="1"/>
  <c r="E23" i="9" s="1"/>
  <c r="P23" i="9" a="1"/>
  <c r="P23" i="9" s="1"/>
  <c r="C23" i="9" a="1"/>
  <c r="C23" i="9" s="1"/>
  <c r="B23" i="9" a="1"/>
  <c r="B23" i="9" s="1"/>
  <c r="G23" i="9" a="1"/>
  <c r="G23" i="9" s="1"/>
  <c r="F23" i="9" a="1"/>
  <c r="F23" i="9" s="1"/>
  <c r="C24" i="9" a="1"/>
  <c r="C24" i="9" s="1"/>
  <c r="E24" i="9" a="1"/>
  <c r="E24" i="9" s="1"/>
  <c r="P24" i="9" a="1"/>
  <c r="P24" i="9" s="1"/>
  <c r="G24" i="9" a="1"/>
  <c r="G24" i="9" s="1"/>
  <c r="K24" i="9" s="1"/>
  <c r="B24" i="9" a="1"/>
  <c r="B24" i="9" s="1"/>
  <c r="E20" i="9" a="1"/>
  <c r="E20" i="9" s="1"/>
  <c r="G20" i="9" a="1"/>
  <c r="G20" i="9" s="1"/>
  <c r="K20" i="9" s="1"/>
  <c r="P20" i="9" a="1"/>
  <c r="P20" i="9" s="1"/>
  <c r="C20" i="9" a="1"/>
  <c r="C20" i="9" s="1"/>
  <c r="B20" i="9" a="1"/>
  <c r="B20" i="9" s="1"/>
  <c r="B19" i="9" a="1"/>
  <c r="B19" i="9" s="1"/>
  <c r="C19" i="9" a="1"/>
  <c r="C19" i="9" s="1"/>
  <c r="E19" i="9" a="1"/>
  <c r="E19" i="9" s="1"/>
  <c r="P19" i="9" a="1"/>
  <c r="P19" i="9" s="1"/>
  <c r="G19" i="9" a="1"/>
  <c r="G19" i="9" s="1"/>
  <c r="F19" i="9" a="1"/>
  <c r="F19" i="9" s="1"/>
  <c r="C15" i="9" a="1"/>
  <c r="C15" i="9" s="1"/>
  <c r="G15" i="9" a="1"/>
  <c r="G15" i="9" s="1"/>
  <c r="B15" i="9" a="1"/>
  <c r="B15" i="9" s="1"/>
  <c r="E15" i="9" a="1"/>
  <c r="E15" i="9" s="1"/>
  <c r="P15" i="9" a="1"/>
  <c r="P15" i="9" s="1"/>
  <c r="F15" i="9" a="1"/>
  <c r="F15" i="9" s="1"/>
  <c r="C17" i="9" a="1"/>
  <c r="C17" i="9" s="1"/>
  <c r="E17" i="9" a="1"/>
  <c r="E17" i="9" s="1"/>
  <c r="P17" i="9" a="1"/>
  <c r="P17" i="9" s="1"/>
  <c r="B17" i="9" a="1"/>
  <c r="B17" i="9" s="1"/>
  <c r="G17" i="9" a="1"/>
  <c r="G17" i="9" s="1"/>
  <c r="F17" i="9" a="1"/>
  <c r="F17" i="9" s="1"/>
  <c r="G16" i="9" a="1"/>
  <c r="G16" i="9" s="1"/>
  <c r="K16" i="9" s="1"/>
  <c r="B16" i="9" a="1"/>
  <c r="B16" i="9" s="1"/>
  <c r="C16" i="9" a="1"/>
  <c r="C16" i="9" s="1"/>
  <c r="E16" i="9" a="1"/>
  <c r="E16" i="9" s="1"/>
  <c r="P16" i="9" a="1"/>
  <c r="P16" i="9" s="1"/>
  <c r="F16" i="9" a="1"/>
  <c r="F16" i="9" s="1"/>
  <c r="E18" i="9" a="1"/>
  <c r="E18" i="9" s="1"/>
  <c r="P18" i="9" a="1"/>
  <c r="P18" i="9" s="1"/>
  <c r="C18" i="9" a="1"/>
  <c r="C18" i="9" s="1"/>
  <c r="B18" i="9" a="1"/>
  <c r="B18" i="9" s="1"/>
  <c r="G18" i="9" a="1"/>
  <c r="G18" i="9" s="1"/>
  <c r="K18" i="9" s="1"/>
  <c r="F18" i="9" a="1"/>
  <c r="F18" i="9" s="1"/>
  <c r="C14" i="9" a="1"/>
  <c r="C14" i="9" s="1"/>
  <c r="G14" i="9" a="1"/>
  <c r="G14" i="9" s="1"/>
  <c r="K14" i="9" s="1"/>
  <c r="E14" i="9" a="1"/>
  <c r="E14" i="9" s="1"/>
  <c r="B14" i="9" a="1"/>
  <c r="B14" i="9" s="1"/>
  <c r="P14" i="9" a="1"/>
  <c r="P14" i="9" s="1"/>
  <c r="F14" i="9" a="1"/>
  <c r="F14" i="9" s="1"/>
  <c r="P12" i="9" a="1"/>
  <c r="P12" i="9" s="1"/>
  <c r="B12" i="9" a="1"/>
  <c r="B12" i="9" s="1"/>
  <c r="C12" i="9" a="1"/>
  <c r="C12" i="9" s="1"/>
  <c r="E12" i="9" a="1"/>
  <c r="E12" i="9" s="1"/>
  <c r="F12" i="9" a="1"/>
  <c r="F12" i="9" s="1"/>
  <c r="I12" i="9" s="1" a="1"/>
  <c r="I12" i="9" s="1"/>
  <c r="J12" i="9" s="1" a="1"/>
  <c r="J12" i="9" s="1"/>
  <c r="P11" i="9" a="1"/>
  <c r="P11" i="9" s="1"/>
  <c r="E11" i="9" a="1"/>
  <c r="E11" i="9" s="1"/>
  <c r="G11" i="9" a="1"/>
  <c r="G11" i="9" s="1"/>
  <c r="K11" i="9" s="1"/>
  <c r="C11" i="9" a="1"/>
  <c r="C11" i="9" s="1"/>
  <c r="B11" i="9" a="1"/>
  <c r="B11" i="9" s="1"/>
  <c r="C13" i="9" a="1"/>
  <c r="C13" i="9" s="1"/>
  <c r="B13" i="9" a="1"/>
  <c r="B13" i="9" s="1"/>
  <c r="E13" i="9" a="1"/>
  <c r="E13" i="9" s="1"/>
  <c r="P13" i="9" a="1"/>
  <c r="P13" i="9" s="1"/>
  <c r="G13" i="9" a="1"/>
  <c r="G13" i="9" s="1"/>
  <c r="K13" i="9" s="1"/>
  <c r="F13" i="9" a="1"/>
  <c r="F13" i="9" s="1"/>
  <c r="N11" i="9" a="1"/>
  <c r="N11" i="9" s="1"/>
  <c r="G12" i="9" a="1"/>
  <c r="G12" i="9" s="1"/>
  <c r="K12" i="9" s="1"/>
  <c r="N12" i="9" a="1"/>
  <c r="N12" i="9" s="1"/>
  <c r="N14" i="9" a="1"/>
  <c r="N14" i="9" s="1"/>
  <c r="N13" i="9" a="1"/>
  <c r="N13" i="9" s="1"/>
  <c r="M13" i="9" a="1"/>
  <c r="M13" i="9" s="1"/>
  <c r="M14" i="9" a="1"/>
  <c r="M14" i="9" s="1"/>
  <c r="N15" i="9" a="1"/>
  <c r="N15" i="9" s="1"/>
  <c r="N16" i="9" a="1"/>
  <c r="N16" i="9" s="1"/>
  <c r="N17" i="9" a="1"/>
  <c r="N17" i="9" s="1"/>
  <c r="N18" i="9" a="1"/>
  <c r="N18" i="9" s="1"/>
  <c r="FD11" i="9" a="1"/>
  <c r="FD11" i="9" s="1"/>
  <c r="FE11" i="9" s="1"/>
  <c r="F11" i="9" a="1"/>
  <c r="F11" i="9" s="1"/>
  <c r="CY13" i="9" a="1"/>
  <c r="CY13" i="9" s="1"/>
  <c r="CZ13" i="9" s="1"/>
  <c r="EK11" i="9" a="1"/>
  <c r="EK11" i="9" s="1"/>
  <c r="EL11" i="9" s="1"/>
  <c r="DR11" i="9" a="1"/>
  <c r="DR11" i="9" s="1"/>
  <c r="DS11" i="9" s="1"/>
  <c r="N19" i="9" a="1"/>
  <c r="N19" i="9" s="1"/>
  <c r="BM11" i="9" a="1"/>
  <c r="BM11" i="9" s="1"/>
  <c r="BN11" i="9" s="1"/>
  <c r="CY11" i="9" a="1"/>
  <c r="CY11" i="9" s="1"/>
  <c r="CZ11" i="9" s="1"/>
  <c r="DR12" i="9" a="1"/>
  <c r="DR12" i="9" s="1"/>
  <c r="DS12" i="9" s="1"/>
  <c r="CY14" i="9" a="1"/>
  <c r="CY14" i="9" s="1"/>
  <c r="CZ14" i="9" s="1"/>
  <c r="CF14" i="9" a="1"/>
  <c r="CF14" i="9" s="1"/>
  <c r="CG14" i="9" s="1"/>
  <c r="CF11" i="9" a="1"/>
  <c r="CF11" i="9" s="1"/>
  <c r="CG11" i="9" s="1"/>
  <c r="N20" i="9" a="1"/>
  <c r="N20" i="9" s="1"/>
  <c r="FD14" i="9" a="1"/>
  <c r="FD14" i="9" s="1"/>
  <c r="FE14" i="9" s="1"/>
  <c r="BM14" i="9" a="1"/>
  <c r="BM14" i="9" s="1"/>
  <c r="BN14" i="9" s="1"/>
  <c r="AT14" i="9" a="1"/>
  <c r="AT14" i="9" s="1"/>
  <c r="AU14" i="9" s="1"/>
  <c r="AT11" i="9" a="1"/>
  <c r="AT11" i="9" s="1"/>
  <c r="AU11" i="9" s="1"/>
  <c r="EK13" i="9" a="1"/>
  <c r="EK13" i="9" s="1"/>
  <c r="EL13" i="9" s="1"/>
  <c r="FD13" i="9" a="1"/>
  <c r="FD13" i="9" s="1"/>
  <c r="FE13" i="9" s="1"/>
  <c r="EK14" i="9" a="1"/>
  <c r="EK14" i="9" s="1"/>
  <c r="EL14" i="9" s="1"/>
  <c r="N21" i="9" a="1"/>
  <c r="N21" i="9" s="1"/>
  <c r="FD12" i="9" a="1"/>
  <c r="FD12" i="9" s="1"/>
  <c r="FE12" i="9" s="1"/>
  <c r="AA11" i="9" a="1"/>
  <c r="AA11" i="9" s="1"/>
  <c r="AB11" i="9" s="1"/>
  <c r="CY15" i="9" a="1"/>
  <c r="CY15" i="9" s="1"/>
  <c r="CZ15" i="9" s="1"/>
  <c r="CF15" i="9" a="1"/>
  <c r="CF15" i="9" s="1"/>
  <c r="CG15" i="9" s="1"/>
  <c r="AT13" i="9" a="1"/>
  <c r="AT13" i="9" s="1"/>
  <c r="AU13" i="9" s="1"/>
  <c r="CF13" i="9" a="1"/>
  <c r="CF13" i="9" s="1"/>
  <c r="CG13" i="9" s="1"/>
  <c r="CF12" i="9" a="1"/>
  <c r="CF12" i="9" s="1"/>
  <c r="CG12" i="9" s="1"/>
  <c r="BM12" i="9" a="1"/>
  <c r="BM12" i="9" s="1"/>
  <c r="BN12" i="9" s="1"/>
  <c r="DR14" i="9" a="1"/>
  <c r="DR14" i="9" s="1"/>
  <c r="DS14" i="9" s="1"/>
  <c r="AA12" i="9" a="1"/>
  <c r="AA12" i="9" s="1"/>
  <c r="AB12" i="9" s="1"/>
  <c r="M15" i="9" a="1"/>
  <c r="M15" i="9" s="1"/>
  <c r="DR13" i="9" a="1"/>
  <c r="DR13" i="9" s="1"/>
  <c r="DS13" i="9" s="1"/>
  <c r="BM13" i="9" a="1"/>
  <c r="BM13" i="9" s="1"/>
  <c r="BN13" i="9" s="1"/>
  <c r="AA14" i="9" a="1"/>
  <c r="AA14" i="9" s="1"/>
  <c r="AB14" i="9" s="1"/>
  <c r="DR15" i="9" a="1"/>
  <c r="DR15" i="9" s="1"/>
  <c r="DS15" i="9" s="1"/>
  <c r="M12" i="9" a="1"/>
  <c r="M12" i="9" s="1"/>
  <c r="CY12" i="9" a="1"/>
  <c r="CY12" i="9" s="1"/>
  <c r="CZ12" i="9" s="1"/>
  <c r="AT15" i="9" a="1"/>
  <c r="AT15" i="9" s="1"/>
  <c r="AU15" i="9" s="1"/>
  <c r="AA13" i="9" a="1"/>
  <c r="AA13" i="9" s="1"/>
  <c r="AB13" i="9" s="1"/>
  <c r="EK15" i="9" a="1"/>
  <c r="EK15" i="9" s="1"/>
  <c r="EL15" i="9" s="1"/>
  <c r="F20" i="9" a="1"/>
  <c r="F20" i="9" s="1"/>
  <c r="EK16" i="9" a="1"/>
  <c r="EK16" i="9" s="1"/>
  <c r="EL16" i="9" s="1"/>
  <c r="AT16" i="9" a="1"/>
  <c r="AT16" i="9" s="1"/>
  <c r="AU16" i="9" s="1"/>
  <c r="AA15" i="9" a="1"/>
  <c r="AA15" i="9" s="1"/>
  <c r="AB15" i="9" s="1"/>
  <c r="N22" i="9" a="1"/>
  <c r="N22" i="9" s="1"/>
  <c r="EK12" i="9" a="1"/>
  <c r="EK12" i="9" s="1"/>
  <c r="EL12" i="9" s="1"/>
  <c r="BM15" i="9" a="1"/>
  <c r="BM15" i="9" s="1"/>
  <c r="BN15" i="9" s="1"/>
  <c r="AT12" i="9" a="1"/>
  <c r="AT12" i="9" s="1"/>
  <c r="AU12" i="9" s="1"/>
  <c r="FD15" i="9" a="1"/>
  <c r="FD15" i="9" s="1"/>
  <c r="FE15" i="9" s="1"/>
  <c r="M16" i="9" a="1"/>
  <c r="M16" i="9" s="1"/>
  <c r="DR16" i="9" a="1"/>
  <c r="DR16" i="9" s="1"/>
  <c r="DS16" i="9" s="1"/>
  <c r="BM16" i="9" a="1"/>
  <c r="BM16" i="9" s="1"/>
  <c r="BN16" i="9" s="1"/>
  <c r="FD17" i="9" a="1"/>
  <c r="FD17" i="9" s="1"/>
  <c r="FE17" i="9" s="1"/>
  <c r="CY16" i="9" a="1"/>
  <c r="CY16" i="9" s="1"/>
  <c r="CZ16" i="9" s="1"/>
  <c r="FD16" i="9" a="1"/>
  <c r="FD16" i="9" s="1"/>
  <c r="FE16" i="9" s="1"/>
  <c r="N23" i="9" a="1"/>
  <c r="N23" i="9" s="1"/>
  <c r="AA16" i="9" a="1"/>
  <c r="AA16" i="9" s="1"/>
  <c r="AB16" i="9" s="1"/>
  <c r="CY17" i="9" a="1"/>
  <c r="CY17" i="9" s="1"/>
  <c r="CZ17" i="9" s="1"/>
  <c r="EK17" i="9" a="1"/>
  <c r="EK17" i="9" s="1"/>
  <c r="EL17" i="9" s="1"/>
  <c r="DR17" i="9" a="1"/>
  <c r="DR17" i="9" s="1"/>
  <c r="DS17" i="9" s="1"/>
  <c r="CF16" i="9" a="1"/>
  <c r="CF16" i="9" s="1"/>
  <c r="CG16" i="9" s="1"/>
  <c r="CF17" i="9" a="1"/>
  <c r="CF17" i="9" s="1"/>
  <c r="CG17" i="9" s="1"/>
  <c r="BM17" i="9" a="1"/>
  <c r="BM17" i="9" s="1"/>
  <c r="BN17" i="9" s="1"/>
  <c r="M17" i="9" a="1"/>
  <c r="M17" i="9" s="1"/>
  <c r="AT17" i="9" a="1"/>
  <c r="AT17" i="9" s="1"/>
  <c r="AU17" i="9" s="1"/>
  <c r="FD18" i="9" a="1"/>
  <c r="FD18" i="9" s="1"/>
  <c r="FE18" i="9" s="1"/>
  <c r="EK18" i="9" a="1"/>
  <c r="EK18" i="9" s="1"/>
  <c r="EL18" i="9" s="1"/>
  <c r="AA17" i="9" a="1"/>
  <c r="AA17" i="9" s="1"/>
  <c r="AB17" i="9" s="1"/>
  <c r="N24" i="9" a="1"/>
  <c r="N24" i="9" s="1"/>
  <c r="M18" i="9" a="1"/>
  <c r="M18" i="9" s="1"/>
  <c r="CY18" i="9" a="1"/>
  <c r="CY18" i="9" s="1"/>
  <c r="CZ18" i="9" s="1"/>
  <c r="DR19" i="9" a="1"/>
  <c r="DR19" i="9" s="1"/>
  <c r="DS19" i="9" s="1"/>
  <c r="N25" i="9" a="1"/>
  <c r="N25" i="9" s="1"/>
  <c r="FD19" i="9" a="1"/>
  <c r="FD19" i="9" s="1"/>
  <c r="FE19" i="9" s="1"/>
  <c r="CF19" i="9" a="1"/>
  <c r="CF19" i="9" s="1"/>
  <c r="CG19" i="9" s="1"/>
  <c r="AT18" i="9" a="1"/>
  <c r="AT18" i="9" s="1"/>
  <c r="AU18" i="9" s="1"/>
  <c r="CY19" i="9" a="1"/>
  <c r="CY19" i="9" s="1"/>
  <c r="CZ19" i="9" s="1"/>
  <c r="CF18" i="9" a="1"/>
  <c r="CF18" i="9" s="1"/>
  <c r="CG18" i="9" s="1"/>
  <c r="AT19" i="9" a="1"/>
  <c r="AT19" i="9" s="1"/>
  <c r="AU19" i="9" s="1"/>
  <c r="AA18" i="9" a="1"/>
  <c r="AA18" i="9" s="1"/>
  <c r="AB18" i="9" s="1"/>
  <c r="DR18" i="9" a="1"/>
  <c r="DR18" i="9" s="1"/>
  <c r="DS18" i="9" s="1"/>
  <c r="BM18" i="9" a="1"/>
  <c r="BM18" i="9" s="1"/>
  <c r="BN18" i="9" s="1"/>
  <c r="M19" i="9" a="1"/>
  <c r="M19" i="9" s="1"/>
  <c r="F24" i="9" a="1"/>
  <c r="F24" i="9" s="1"/>
  <c r="EK19" i="9" a="1"/>
  <c r="EK19" i="9" s="1"/>
  <c r="EL19" i="9" s="1"/>
  <c r="N26" i="9" a="1"/>
  <c r="N26" i="9" s="1"/>
  <c r="EK26" i="9" a="1"/>
  <c r="EK26" i="9" s="1"/>
  <c r="EL26" i="9" s="1"/>
  <c r="AA19" i="9" a="1"/>
  <c r="AA19" i="9" s="1"/>
  <c r="AB19" i="9" s="1"/>
  <c r="BM19" i="9" a="1"/>
  <c r="BM19" i="9" s="1"/>
  <c r="BN19" i="9" s="1"/>
  <c r="CY20" i="9" a="1"/>
  <c r="CY20" i="9" s="1"/>
  <c r="CZ20" i="9" s="1"/>
  <c r="BM20" i="9" a="1"/>
  <c r="BM20" i="9" s="1"/>
  <c r="BN20" i="9" s="1"/>
  <c r="FD20" i="9" a="1"/>
  <c r="FD20" i="9" s="1"/>
  <c r="FE20" i="9" s="1"/>
  <c r="EK20" i="9" a="1"/>
  <c r="EK20" i="9" s="1"/>
  <c r="EL20" i="9" s="1"/>
  <c r="DR20" i="9" a="1"/>
  <c r="DR20" i="9" s="1"/>
  <c r="DS20" i="9" s="1"/>
  <c r="N27" i="9" a="1"/>
  <c r="N27" i="9" s="1"/>
  <c r="EK21" i="9" a="1"/>
  <c r="EK21" i="9" s="1"/>
  <c r="EL21" i="9" s="1"/>
  <c r="DR21" i="9" a="1"/>
  <c r="DR21" i="9" s="1"/>
  <c r="DS21" i="9" s="1"/>
  <c r="CF21" i="9" a="1"/>
  <c r="CF21" i="9" s="1"/>
  <c r="CG21" i="9" s="1"/>
  <c r="CF20" i="9" a="1"/>
  <c r="CF20" i="9" s="1"/>
  <c r="CG20" i="9" s="1"/>
  <c r="M21" i="9" a="1"/>
  <c r="M21" i="9" s="1"/>
  <c r="M20" i="9" a="1"/>
  <c r="M20" i="9" s="1"/>
  <c r="CF22" i="9" a="1"/>
  <c r="CF22" i="9" s="1"/>
  <c r="CG22" i="9" s="1"/>
  <c r="BM22" i="9" a="1"/>
  <c r="BM22" i="9" s="1"/>
  <c r="BN22" i="9" s="1"/>
  <c r="CY21" i="9" a="1"/>
  <c r="CY21" i="9" s="1"/>
  <c r="CZ21" i="9" s="1"/>
  <c r="N28" i="9" a="1"/>
  <c r="N28" i="9" s="1"/>
  <c r="DR22" i="9" a="1"/>
  <c r="DR22" i="9" s="1"/>
  <c r="DS22" i="9" s="1"/>
  <c r="M22" i="9" a="1"/>
  <c r="M22" i="9" s="1"/>
  <c r="AT20" i="9" a="1"/>
  <c r="AT20" i="9" s="1"/>
  <c r="AU20" i="9" s="1"/>
  <c r="FD21" i="9" a="1"/>
  <c r="FD21" i="9" s="1"/>
  <c r="FE21" i="9" s="1"/>
  <c r="AT21" i="9" a="1"/>
  <c r="AT21" i="9" s="1"/>
  <c r="AU21" i="9" s="1"/>
  <c r="AA20" i="9" a="1"/>
  <c r="AA20" i="9" s="1"/>
  <c r="AB20" i="9" s="1"/>
  <c r="FD22" i="9" a="1"/>
  <c r="FD22" i="9" s="1"/>
  <c r="FE22" i="9" s="1"/>
  <c r="BM21" i="9" a="1"/>
  <c r="BM21" i="9" s="1"/>
  <c r="BN21" i="9" s="1"/>
  <c r="CY22" i="9" a="1"/>
  <c r="CY22" i="9" s="1"/>
  <c r="CZ22" i="9" s="1"/>
  <c r="AA21" i="9" a="1"/>
  <c r="AA21" i="9" s="1"/>
  <c r="AB21" i="9" s="1"/>
  <c r="CF23" i="9" a="1"/>
  <c r="CF23" i="9" s="1"/>
  <c r="CG23" i="9" s="1"/>
  <c r="AT22" i="9" a="1"/>
  <c r="AT22" i="9" s="1"/>
  <c r="AU22" i="9" s="1"/>
  <c r="BM23" i="9" a="1"/>
  <c r="BM23" i="9" s="1"/>
  <c r="BN23" i="9" s="1"/>
  <c r="N29" i="9" a="1"/>
  <c r="N29" i="9" s="1"/>
  <c r="AA22" i="9" a="1"/>
  <c r="AA22" i="9" s="1"/>
  <c r="AB22" i="9" s="1"/>
  <c r="EK22" i="9" a="1"/>
  <c r="EK22" i="9" s="1"/>
  <c r="EL22" i="9" s="1"/>
  <c r="FD23" i="9" a="1"/>
  <c r="FD23" i="9" s="1"/>
  <c r="FE23" i="9" s="1"/>
  <c r="DR23" i="9" a="1"/>
  <c r="DR23" i="9" s="1"/>
  <c r="DS23" i="9" s="1"/>
  <c r="EK23" i="9" a="1"/>
  <c r="EK23" i="9" s="1"/>
  <c r="EL23" i="9" s="1"/>
  <c r="M23" i="9" a="1"/>
  <c r="M23" i="9" s="1"/>
  <c r="N30" i="9" a="1"/>
  <c r="N30" i="9" s="1"/>
  <c r="CY23" i="9" a="1"/>
  <c r="CY23" i="9" s="1"/>
  <c r="CZ23" i="9" s="1"/>
  <c r="AT23" i="9" a="1"/>
  <c r="AT23" i="9" s="1"/>
  <c r="AU23" i="9" s="1"/>
  <c r="DR24" i="9" a="1"/>
  <c r="DR24" i="9" s="1"/>
  <c r="DS24" i="9" s="1"/>
  <c r="EK24" i="9" a="1"/>
  <c r="EK24" i="9" s="1"/>
  <c r="EL24" i="9" s="1"/>
  <c r="AA23" i="9" a="1"/>
  <c r="AA23" i="9" s="1"/>
  <c r="AB23" i="9" s="1"/>
  <c r="F27" i="9" a="1"/>
  <c r="F27" i="9" s="1"/>
  <c r="FD24" i="9" a="1"/>
  <c r="FD24" i="9" s="1"/>
  <c r="FE24" i="9" s="1"/>
  <c r="DR25" i="9" a="1"/>
  <c r="DR25" i="9" s="1"/>
  <c r="DS25" i="9" s="1"/>
  <c r="EK25" i="9" a="1"/>
  <c r="EK25" i="9" s="1"/>
  <c r="EL25" i="9" s="1"/>
  <c r="CF24" i="9" a="1"/>
  <c r="CF24" i="9" s="1"/>
  <c r="CG24" i="9" s="1"/>
  <c r="BM24" i="9" a="1"/>
  <c r="BM24" i="9" s="1"/>
  <c r="BN24" i="9" s="1"/>
  <c r="CF25" i="9" a="1"/>
  <c r="CF25" i="9" s="1"/>
  <c r="CG25" i="9" s="1"/>
  <c r="M24" i="9" a="1"/>
  <c r="M24" i="9" s="1"/>
  <c r="M25" i="9" a="1"/>
  <c r="M25" i="9" s="1"/>
  <c r="N31" i="9" a="1"/>
  <c r="N31" i="9" s="1"/>
  <c r="DR26" i="9" a="1"/>
  <c r="DR26" i="9" s="1"/>
  <c r="DS26" i="9" s="1"/>
  <c r="AT25" i="9" a="1"/>
  <c r="AT25" i="9" s="1"/>
  <c r="AU25" i="9" s="1"/>
  <c r="CY25" i="9" a="1"/>
  <c r="CY25" i="9" s="1"/>
  <c r="CZ25" i="9" s="1"/>
  <c r="AA24" i="9" a="1"/>
  <c r="AA24" i="9" s="1"/>
  <c r="AB24" i="9" s="1"/>
  <c r="FD25" i="9" a="1"/>
  <c r="FD25" i="9" s="1"/>
  <c r="FE25" i="9" s="1"/>
  <c r="CF26" i="9" a="1"/>
  <c r="CF26" i="9" s="1"/>
  <c r="CG26" i="9" s="1"/>
  <c r="N32" i="9" a="1"/>
  <c r="N32" i="9" s="1"/>
  <c r="FD26" i="9" a="1"/>
  <c r="FD26" i="9" s="1"/>
  <c r="FE26" i="9" s="1"/>
  <c r="CY24" i="9" a="1"/>
  <c r="CY24" i="9" s="1"/>
  <c r="CZ24" i="9" s="1"/>
  <c r="BM25" i="9" a="1"/>
  <c r="BM25" i="9" s="1"/>
  <c r="BN25" i="9" s="1"/>
  <c r="AT24" i="9" a="1"/>
  <c r="AT24" i="9" s="1"/>
  <c r="AU24" i="9" s="1"/>
  <c r="AT26" i="9" a="1"/>
  <c r="AT26" i="9" s="1"/>
  <c r="AU26" i="9" s="1"/>
  <c r="M26" i="9" a="1"/>
  <c r="M26" i="9" s="1"/>
  <c r="AA25" i="9" a="1"/>
  <c r="AA25" i="9" s="1"/>
  <c r="AB25" i="9" s="1"/>
  <c r="N33" i="9" a="1"/>
  <c r="N33" i="9" s="1"/>
  <c r="CY26" i="9" a="1"/>
  <c r="CY26" i="9" s="1"/>
  <c r="CZ26" i="9" s="1"/>
  <c r="AA26" i="9" a="1"/>
  <c r="AA26" i="9" s="1"/>
  <c r="AB26" i="9" s="1"/>
  <c r="BM26" i="9" a="1"/>
  <c r="BM26" i="9" s="1"/>
  <c r="BN26" i="9" s="1"/>
  <c r="CY28" i="9" a="1"/>
  <c r="CY28" i="9" s="1"/>
  <c r="CZ28" i="9" s="1"/>
  <c r="AT28" i="9" a="1"/>
  <c r="AT28" i="9" s="1"/>
  <c r="AU28" i="9" s="1"/>
  <c r="N34" i="9" a="1"/>
  <c r="N34" i="9" s="1"/>
  <c r="F33" i="9" a="1"/>
  <c r="F33" i="9" s="1"/>
  <c r="CF28" i="9" a="1"/>
  <c r="CF28" i="9" s="1"/>
  <c r="CG28" i="9" s="1"/>
  <c r="M28" i="9" a="1"/>
  <c r="M28" i="9" s="1"/>
  <c r="DR28" i="9" a="1"/>
  <c r="DR28" i="9" s="1"/>
  <c r="DS28" i="9" s="1"/>
  <c r="BM28" i="9" a="1"/>
  <c r="BM28" i="9" s="1"/>
  <c r="BN28" i="9" s="1"/>
  <c r="EK28" i="9" a="1"/>
  <c r="EK28" i="9" s="1"/>
  <c r="EL28" i="9" s="1"/>
  <c r="N35" i="9" a="1"/>
  <c r="N35" i="9" s="1"/>
  <c r="CY29" i="9" a="1"/>
  <c r="CY29" i="9" s="1"/>
  <c r="CZ29" i="9" s="1"/>
  <c r="FD29" i="9" a="1"/>
  <c r="FD29" i="9" s="1"/>
  <c r="FE29" i="9" s="1"/>
  <c r="BM29" i="9" a="1"/>
  <c r="BM29" i="9" s="1"/>
  <c r="BN29" i="9" s="1"/>
  <c r="FD28" i="9" a="1"/>
  <c r="FD28" i="9" s="1"/>
  <c r="FE28" i="9" s="1"/>
  <c r="AA28" i="9" a="1"/>
  <c r="AA28" i="9" s="1"/>
  <c r="AB28" i="9" s="1"/>
  <c r="EK29" i="9" a="1"/>
  <c r="EK29" i="9" s="1"/>
  <c r="EL29" i="9" s="1"/>
  <c r="M29" i="9" a="1"/>
  <c r="M29" i="9" s="1"/>
  <c r="EK27" i="9" a="1"/>
  <c r="EK27" i="9" s="1"/>
  <c r="EL27" i="9" s="1"/>
  <c r="N36" i="9" a="1"/>
  <c r="N36" i="9" s="1"/>
  <c r="DR27" i="9" a="1"/>
  <c r="DR27" i="9" s="1"/>
  <c r="DS27" i="9" s="1"/>
  <c r="AT29" i="9" a="1"/>
  <c r="AT29" i="9" s="1"/>
  <c r="AU29" i="9" s="1"/>
  <c r="FD30" i="9" a="1"/>
  <c r="FD30" i="9" s="1"/>
  <c r="FE30" i="9" s="1"/>
  <c r="CY30" i="9" a="1"/>
  <c r="CY30" i="9" s="1"/>
  <c r="CZ30" i="9" s="1"/>
  <c r="CF27" i="9" a="1"/>
  <c r="CF27" i="9" s="1"/>
  <c r="CG27" i="9" s="1"/>
  <c r="CF29" i="9" a="1"/>
  <c r="CF29" i="9" s="1"/>
  <c r="CG29" i="9" s="1"/>
  <c r="AA29" i="9" a="1"/>
  <c r="AA29" i="9" s="1"/>
  <c r="AB29" i="9" s="1"/>
  <c r="FD27" i="9" a="1"/>
  <c r="FD27" i="9" s="1"/>
  <c r="FE27" i="9" s="1"/>
  <c r="CF30" i="9" a="1"/>
  <c r="CF30" i="9" s="1"/>
  <c r="CG30" i="9" s="1"/>
  <c r="DR29" i="9" a="1"/>
  <c r="DR29" i="9" s="1"/>
  <c r="DS29" i="9" s="1"/>
  <c r="M30" i="9" a="1"/>
  <c r="M30" i="9" s="1"/>
  <c r="M27" i="9" a="1"/>
  <c r="M27" i="9" s="1"/>
  <c r="CF31" i="9" a="1"/>
  <c r="CF31" i="9" s="1"/>
  <c r="CG31" i="9" s="1"/>
  <c r="CY31" i="9" a="1"/>
  <c r="CY31" i="9" s="1"/>
  <c r="CZ31" i="9" s="1"/>
  <c r="BM30" i="9" a="1"/>
  <c r="BM30" i="9" s="1"/>
  <c r="BN30" i="9" s="1"/>
  <c r="AA27" i="9" a="1"/>
  <c r="AA27" i="9" s="1"/>
  <c r="AB27" i="9" s="1"/>
  <c r="BM31" i="9" a="1"/>
  <c r="BM31" i="9" s="1"/>
  <c r="BN31" i="9" s="1"/>
  <c r="AA30" i="9" a="1"/>
  <c r="AA30" i="9" s="1"/>
  <c r="AB30" i="9" s="1"/>
  <c r="BM27" i="9" a="1"/>
  <c r="BM27" i="9" s="1"/>
  <c r="BN27" i="9" s="1"/>
  <c r="AT31" i="9" a="1"/>
  <c r="AT31" i="9" s="1"/>
  <c r="AU31" i="9" s="1"/>
  <c r="DR30" i="9" a="1"/>
  <c r="DR30" i="9" s="1"/>
  <c r="DS30" i="9" s="1"/>
  <c r="EK30" i="9" a="1"/>
  <c r="EK30" i="9" s="1"/>
  <c r="EL30" i="9" s="1"/>
  <c r="AT27" i="9" a="1"/>
  <c r="AT27" i="9" s="1"/>
  <c r="AU27" i="9" s="1"/>
  <c r="DR31" i="9" a="1"/>
  <c r="DR31" i="9" s="1"/>
  <c r="DS31" i="9" s="1"/>
  <c r="AT30" i="9" a="1"/>
  <c r="AT30" i="9" s="1"/>
  <c r="AU30" i="9" s="1"/>
  <c r="M31" i="9" a="1"/>
  <c r="M31" i="9" s="1"/>
  <c r="CY27" i="9" a="1"/>
  <c r="CY27" i="9" s="1"/>
  <c r="CZ27" i="9" s="1"/>
  <c r="FD31" i="9" a="1"/>
  <c r="FD31" i="9" s="1"/>
  <c r="FE31" i="9" s="1"/>
  <c r="EK31" i="9" a="1"/>
  <c r="EK31" i="9" s="1"/>
  <c r="EL31" i="9" s="1"/>
  <c r="N37" i="9" a="1"/>
  <c r="N37" i="9" s="1"/>
  <c r="BM32" i="9" a="1"/>
  <c r="BM32" i="9" s="1"/>
  <c r="BN32" i="9" s="1"/>
  <c r="AT32" i="9" a="1"/>
  <c r="AT32" i="9" s="1"/>
  <c r="AU32" i="9" s="1"/>
  <c r="FD32" i="9" a="1"/>
  <c r="FD32" i="9" s="1"/>
  <c r="FE32" i="9" s="1"/>
  <c r="CY32" i="9" a="1"/>
  <c r="CY32" i="9" s="1"/>
  <c r="CZ32" i="9" s="1"/>
  <c r="CY38" i="9" a="1"/>
  <c r="CY38" i="9" s="1"/>
  <c r="CZ38" i="9" s="1"/>
  <c r="AA31" i="9" a="1"/>
  <c r="AA31" i="9" s="1"/>
  <c r="AB31" i="9" s="1"/>
  <c r="M32" i="9" a="1"/>
  <c r="M32" i="9" s="1"/>
  <c r="EK32" i="9" a="1"/>
  <c r="EK32" i="9" s="1"/>
  <c r="EL32" i="9" s="1"/>
  <c r="N38" i="9" a="1"/>
  <c r="N38" i="9" s="1"/>
  <c r="DR32" i="9" a="1"/>
  <c r="DR32" i="9" s="1"/>
  <c r="DS32" i="9" s="1"/>
  <c r="CF33" i="9" a="1"/>
  <c r="CF33" i="9" s="1"/>
  <c r="CG33" i="9" s="1"/>
  <c r="N39" i="9" a="1"/>
  <c r="N39" i="9" s="1"/>
  <c r="BM33" i="9" a="1"/>
  <c r="BM33" i="9" s="1"/>
  <c r="BN33" i="9" s="1"/>
  <c r="CF32" i="9" a="1"/>
  <c r="CF32" i="9" s="1"/>
  <c r="CG32" i="9" s="1"/>
  <c r="F38" i="9" a="1"/>
  <c r="F38" i="9" s="1"/>
  <c r="DR33" i="9" a="1"/>
  <c r="DR33" i="9" s="1"/>
  <c r="DS33" i="9" s="1"/>
  <c r="AA32" i="9" a="1"/>
  <c r="AA32" i="9" s="1"/>
  <c r="AB32" i="9" s="1"/>
  <c r="FD33" i="9" a="1"/>
  <c r="FD33" i="9" s="1"/>
  <c r="FE33" i="9" s="1"/>
  <c r="EK33" i="9" a="1"/>
  <c r="EK33" i="9" s="1"/>
  <c r="EL33" i="9" s="1"/>
  <c r="CY33" i="9" a="1"/>
  <c r="CY33" i="9" s="1"/>
  <c r="CZ33" i="9" s="1"/>
  <c r="N40" i="9" a="1"/>
  <c r="N40" i="9" s="1"/>
  <c r="BM34" i="9" a="1"/>
  <c r="BM34" i="9" s="1"/>
  <c r="BN34" i="9" s="1"/>
  <c r="EK34" i="9" a="1"/>
  <c r="EK34" i="9" s="1"/>
  <c r="EL34" i="9" s="1"/>
  <c r="AT33" i="9" a="1"/>
  <c r="AT33" i="9" s="1"/>
  <c r="AU33" i="9" s="1"/>
  <c r="M33" i="9" a="1"/>
  <c r="M33" i="9" s="1"/>
  <c r="AT34" i="9" a="1"/>
  <c r="AT34" i="9" s="1"/>
  <c r="AU34" i="9" s="1"/>
  <c r="CY34" i="9" a="1"/>
  <c r="CY34" i="9" s="1"/>
  <c r="CZ34" i="9" s="1"/>
  <c r="M34" i="9" a="1"/>
  <c r="M34" i="9" s="1"/>
  <c r="DR34" i="9" a="1"/>
  <c r="DR34" i="9" s="1"/>
  <c r="DS34" i="9" s="1"/>
  <c r="DR35" i="9" a="1"/>
  <c r="DR35" i="9" s="1"/>
  <c r="DS35" i="9" s="1"/>
  <c r="EK35" i="9" a="1"/>
  <c r="EK35" i="9" s="1"/>
  <c r="EL35" i="9" s="1"/>
  <c r="AA33" i="9" a="1"/>
  <c r="AA33" i="9" s="1"/>
  <c r="AB33" i="9" s="1"/>
  <c r="N41" i="9" a="1"/>
  <c r="N41" i="9" s="1"/>
  <c r="AT35" i="9" a="1"/>
  <c r="AT35" i="9" s="1"/>
  <c r="AU35" i="9" s="1"/>
  <c r="AA34" i="9" a="1"/>
  <c r="AA34" i="9" s="1"/>
  <c r="AB34" i="9" s="1"/>
  <c r="CF34" i="9" a="1"/>
  <c r="CF34" i="9" s="1"/>
  <c r="CG34" i="9" s="1"/>
  <c r="FD34" i="9" a="1"/>
  <c r="FD34" i="9" s="1"/>
  <c r="FE34" i="9" s="1"/>
  <c r="FD35" i="9" a="1"/>
  <c r="FD35" i="9" s="1"/>
  <c r="FE35" i="9" s="1"/>
  <c r="M35" i="9" a="1"/>
  <c r="M35" i="9" s="1"/>
  <c r="BM36" i="9" a="1"/>
  <c r="BM36" i="9" s="1"/>
  <c r="BN36" i="9" s="1"/>
  <c r="CF35" i="9" a="1"/>
  <c r="CF35" i="9" s="1"/>
  <c r="CG35" i="9" s="1"/>
  <c r="AA35" i="9" a="1"/>
  <c r="AA35" i="9" s="1"/>
  <c r="AB35" i="9" s="1"/>
  <c r="EK36" i="9" a="1"/>
  <c r="EK36" i="9" s="1"/>
  <c r="EL36" i="9" s="1"/>
  <c r="DR36" i="9" a="1"/>
  <c r="DR36" i="9" s="1"/>
  <c r="DS36" i="9" s="1"/>
  <c r="CY35" i="9" a="1"/>
  <c r="CY35" i="9" s="1"/>
  <c r="CZ35" i="9" s="1"/>
  <c r="N42" i="9" a="1"/>
  <c r="N42" i="9" s="1"/>
  <c r="M36" i="9" a="1"/>
  <c r="M36" i="9" s="1"/>
  <c r="AT36" i="9" a="1"/>
  <c r="AT36" i="9" s="1"/>
  <c r="AU36" i="9" s="1"/>
  <c r="BM35" i="9" a="1"/>
  <c r="BM35" i="9" s="1"/>
  <c r="BN35" i="9" s="1"/>
  <c r="CF36" i="9" a="1"/>
  <c r="CF36" i="9" s="1"/>
  <c r="CG36" i="9" s="1"/>
  <c r="CY36" i="9" a="1"/>
  <c r="CY36" i="9" s="1"/>
  <c r="CZ36" i="9" s="1"/>
  <c r="FD36" i="9" a="1"/>
  <c r="FD36" i="9" s="1"/>
  <c r="FE36" i="9" s="1"/>
  <c r="N43" i="9" a="1"/>
  <c r="N43" i="9" s="1"/>
  <c r="EK37" i="9" a="1"/>
  <c r="EK37" i="9" s="1"/>
  <c r="EL37" i="9" s="1"/>
  <c r="DR37" i="9" a="1"/>
  <c r="DR37" i="9" s="1"/>
  <c r="DS37" i="9" s="1"/>
  <c r="FD37" i="9" a="1"/>
  <c r="FD37" i="9" s="1"/>
  <c r="FE37" i="9" s="1"/>
  <c r="M37" i="9" a="1"/>
  <c r="M37" i="9" s="1"/>
  <c r="CY37" i="9" a="1"/>
  <c r="CY37" i="9" s="1"/>
  <c r="CZ37" i="9" s="1"/>
  <c r="CF37" i="9" a="1"/>
  <c r="CF37" i="9" s="1"/>
  <c r="CG37" i="9" s="1"/>
  <c r="AA36" i="9" a="1"/>
  <c r="AA36" i="9" s="1"/>
  <c r="AB36" i="9" s="1"/>
  <c r="EK38" i="9" a="1"/>
  <c r="EK38" i="9" s="1"/>
  <c r="EL38" i="9" s="1"/>
  <c r="N44" i="9" a="1"/>
  <c r="N44" i="9" s="1"/>
  <c r="CF38" i="9" a="1"/>
  <c r="CF38" i="9" s="1"/>
  <c r="CG38" i="9" s="1"/>
  <c r="AA37" i="9" a="1"/>
  <c r="AA37" i="9" s="1"/>
  <c r="AB37" i="9" s="1"/>
  <c r="AT37" i="9" a="1"/>
  <c r="AT37" i="9" s="1"/>
  <c r="AU37" i="9" s="1"/>
  <c r="BM37" i="9" a="1"/>
  <c r="BM37" i="9" s="1"/>
  <c r="BN37" i="9" s="1"/>
  <c r="AT38" i="9" a="1"/>
  <c r="AT38" i="9" s="1"/>
  <c r="AU38" i="9" s="1"/>
  <c r="BM38" i="9" a="1"/>
  <c r="BM38" i="9" s="1"/>
  <c r="BN38" i="9" s="1"/>
  <c r="EK39" i="9" a="1"/>
  <c r="EK39" i="9" s="1"/>
  <c r="EL39" i="9" s="1"/>
  <c r="DR39" i="9" a="1"/>
  <c r="DR39" i="9" s="1"/>
  <c r="DS39" i="9" s="1"/>
  <c r="N45" i="9" a="1"/>
  <c r="N45" i="9" s="1"/>
  <c r="F44" i="9" a="1"/>
  <c r="F44" i="9" s="1"/>
  <c r="FD39" i="9" a="1"/>
  <c r="FD39" i="9" s="1"/>
  <c r="FE39" i="9" s="1"/>
  <c r="CY39" i="9" a="1"/>
  <c r="CY39" i="9" s="1"/>
  <c r="CZ39" i="9" s="1"/>
  <c r="CF39" i="9" a="1"/>
  <c r="CF39" i="9" s="1"/>
  <c r="CG39" i="9" s="1"/>
  <c r="FD38" i="9" a="1"/>
  <c r="FD38" i="9" s="1"/>
  <c r="FE38" i="9" s="1"/>
  <c r="M39" i="9" a="1"/>
  <c r="M39" i="9" s="1"/>
  <c r="M38" i="9" a="1"/>
  <c r="M38" i="9" s="1"/>
  <c r="AA38" i="9" a="1"/>
  <c r="AA38" i="9" s="1"/>
  <c r="AB38" i="9" s="1"/>
  <c r="DR38" i="9" a="1"/>
  <c r="DR38" i="9" s="1"/>
  <c r="DS38" i="9" s="1"/>
  <c r="EK40" i="9" a="1"/>
  <c r="EK40" i="9" s="1"/>
  <c r="EL40" i="9" s="1"/>
  <c r="N46" i="9" a="1"/>
  <c r="N46" i="9" s="1"/>
  <c r="BM40" i="9" a="1"/>
  <c r="BM40" i="9" s="1"/>
  <c r="BN40" i="9" s="1"/>
  <c r="BM39" i="9" a="1"/>
  <c r="BM39" i="9" s="1"/>
  <c r="BN39" i="9" s="1"/>
  <c r="AA39" i="9" a="1"/>
  <c r="AA39" i="9" s="1"/>
  <c r="AB39" i="9" s="1"/>
  <c r="M40" i="9" a="1"/>
  <c r="M40" i="9" s="1"/>
  <c r="CY40" i="9" a="1"/>
  <c r="CY40" i="9" s="1"/>
  <c r="CZ40" i="9" s="1"/>
  <c r="AT39" i="9" a="1"/>
  <c r="AT39" i="9" s="1"/>
  <c r="AU39" i="9" s="1"/>
  <c r="CF41" i="9" a="1"/>
  <c r="CF41" i="9" s="1"/>
  <c r="CG41" i="9" s="1"/>
  <c r="CF40" i="9" a="1"/>
  <c r="CF40" i="9" s="1"/>
  <c r="CG40" i="9" s="1"/>
  <c r="AT41" i="9" a="1"/>
  <c r="AT41" i="9" s="1"/>
  <c r="AU41" i="9" s="1"/>
  <c r="FD41" i="9" a="1"/>
  <c r="FD41" i="9" s="1"/>
  <c r="FE41" i="9" s="1"/>
  <c r="DR41" i="9" a="1"/>
  <c r="DR41" i="9" s="1"/>
  <c r="DS41" i="9" s="1"/>
  <c r="AA40" i="9" a="1"/>
  <c r="AA40" i="9" s="1"/>
  <c r="AB40" i="9" s="1"/>
  <c r="F46" i="9" a="1"/>
  <c r="F46" i="9" s="1"/>
  <c r="AT40" i="9" a="1"/>
  <c r="AT40" i="9" s="1"/>
  <c r="AU40" i="9" s="1"/>
  <c r="N47" i="9" a="1"/>
  <c r="N47" i="9" s="1"/>
  <c r="FD40" i="9" a="1"/>
  <c r="FD40" i="9" s="1"/>
  <c r="FE40" i="9" s="1"/>
  <c r="DR40" i="9" a="1"/>
  <c r="DR40" i="9" s="1"/>
  <c r="DS40" i="9" s="1"/>
  <c r="CY41" i="9" a="1"/>
  <c r="CY41" i="9" s="1"/>
  <c r="CZ41" i="9" s="1"/>
  <c r="M41" i="9" a="1"/>
  <c r="M41" i="9" s="1"/>
  <c r="EK41" i="9" a="1"/>
  <c r="EK41" i="9" s="1"/>
  <c r="EL41" i="9" s="1"/>
  <c r="EK43" i="9" a="1"/>
  <c r="EK43" i="9" s="1"/>
  <c r="EL43" i="9" s="1"/>
  <c r="FD42" i="9" a="1"/>
  <c r="FD42" i="9" s="1"/>
  <c r="FE42" i="9" s="1"/>
  <c r="AT42" i="9" a="1"/>
  <c r="AT42" i="9" s="1"/>
  <c r="AU42" i="9" s="1"/>
  <c r="EK42" i="9" a="1"/>
  <c r="EK42" i="9" s="1"/>
  <c r="EL42" i="9" s="1"/>
  <c r="AA41" i="9" a="1"/>
  <c r="AA41" i="9" s="1"/>
  <c r="AB41" i="9" s="1"/>
  <c r="N48" i="9" a="1"/>
  <c r="N48" i="9" s="1"/>
  <c r="CF42" i="9" a="1"/>
  <c r="CF42" i="9" s="1"/>
  <c r="CG42" i="9" s="1"/>
  <c r="BM41" i="9" a="1"/>
  <c r="BM41" i="9" s="1"/>
  <c r="BN41" i="9" s="1"/>
  <c r="M42" i="9" a="1"/>
  <c r="M42" i="9" s="1"/>
  <c r="DR42" i="9" a="1"/>
  <c r="DR42" i="9" s="1"/>
  <c r="DS42" i="9" s="1"/>
  <c r="DR43" i="9" a="1"/>
  <c r="DR43" i="9" s="1"/>
  <c r="DS43" i="9" s="1"/>
  <c r="N49" i="9" a="1"/>
  <c r="N49" i="9" s="1"/>
  <c r="CF43" i="9" a="1"/>
  <c r="CF43" i="9" s="1"/>
  <c r="CG43" i="9" s="1"/>
  <c r="CY43" i="9" a="1"/>
  <c r="CY43" i="9" s="1"/>
  <c r="CZ43" i="9" s="1"/>
  <c r="AA42" i="9" a="1"/>
  <c r="AA42" i="9" s="1"/>
  <c r="AB42" i="9" s="1"/>
  <c r="CY42" i="9" a="1"/>
  <c r="CY42" i="9" s="1"/>
  <c r="CZ42" i="9" s="1"/>
  <c r="FD43" i="9" a="1"/>
  <c r="FD43" i="9" s="1"/>
  <c r="FE43" i="9" s="1"/>
  <c r="BM42" i="9" a="1"/>
  <c r="BM42" i="9" s="1"/>
  <c r="BN42" i="9" s="1"/>
  <c r="M43" i="9" a="1"/>
  <c r="M43" i="9" s="1"/>
  <c r="F48" i="9" a="1"/>
  <c r="F48" i="9" s="1"/>
  <c r="I48" i="9" s="1" a="1"/>
  <c r="I48" i="9" s="1"/>
  <c r="J48" i="9" s="1" a="1"/>
  <c r="J48" i="9" s="1"/>
  <c r="CY44" i="9" a="1"/>
  <c r="CY44" i="9" s="1"/>
  <c r="CZ44" i="9" s="1"/>
  <c r="N50" i="9" a="1"/>
  <c r="N50" i="9" s="1"/>
  <c r="AT43" i="9" a="1"/>
  <c r="AT43" i="9" s="1"/>
  <c r="AU43" i="9" s="1"/>
  <c r="DR44" i="9" a="1"/>
  <c r="DR44" i="9" s="1"/>
  <c r="DS44" i="9" s="1"/>
  <c r="EK44" i="9" a="1"/>
  <c r="EK44" i="9" s="1"/>
  <c r="EL44" i="9" s="1"/>
  <c r="FD44" i="9" a="1"/>
  <c r="FD44" i="9" s="1"/>
  <c r="FE44" i="9" s="1"/>
  <c r="BM43" i="9" a="1"/>
  <c r="BM43" i="9" s="1"/>
  <c r="BN43" i="9" s="1"/>
  <c r="AA43" i="9" a="1"/>
  <c r="AA43" i="9" s="1"/>
  <c r="AB43" i="9" s="1"/>
  <c r="CF44" i="9" a="1"/>
  <c r="CF44" i="9" s="1"/>
  <c r="CG44" i="9" s="1"/>
  <c r="N51" i="9" a="1"/>
  <c r="N51" i="9" s="1"/>
  <c r="M44" i="9" a="1"/>
  <c r="M44" i="9" s="1"/>
  <c r="CF45" i="9" a="1"/>
  <c r="CF45" i="9" s="1"/>
  <c r="CG45" i="9" s="1"/>
  <c r="CY45" i="9" a="1"/>
  <c r="CY45" i="9" s="1"/>
  <c r="CZ45" i="9" s="1"/>
  <c r="AT45" i="9" a="1"/>
  <c r="AT45" i="9" s="1"/>
  <c r="AU45" i="9" s="1"/>
  <c r="FD45" i="9" a="1"/>
  <c r="FD45" i="9" s="1"/>
  <c r="FE45" i="9" s="1"/>
  <c r="DR45" i="9" a="1"/>
  <c r="DR45" i="9" s="1"/>
  <c r="DS45" i="9" s="1"/>
  <c r="M45" i="9" a="1"/>
  <c r="M45" i="9" s="1"/>
  <c r="BM45" i="9" a="1"/>
  <c r="BM45" i="9" s="1"/>
  <c r="BN45" i="9" s="1"/>
  <c r="FD46" i="9" a="1"/>
  <c r="FD46" i="9" s="1"/>
  <c r="FE46" i="9" s="1"/>
  <c r="N52" i="9" a="1"/>
  <c r="N52" i="9" s="1"/>
  <c r="BM44" i="9" a="1"/>
  <c r="BM44" i="9" s="1"/>
  <c r="BN44" i="9" s="1"/>
  <c r="AT44" i="9" a="1"/>
  <c r="AT44" i="9" s="1"/>
  <c r="AU44" i="9" s="1"/>
  <c r="AA45" i="9" a="1"/>
  <c r="AA45" i="9" s="1"/>
  <c r="AB45" i="9" s="1"/>
  <c r="CY46" i="9" a="1"/>
  <c r="CY46" i="9" s="1"/>
  <c r="CZ46" i="9" s="1"/>
  <c r="DR46" i="9" a="1"/>
  <c r="DR46" i="9" s="1"/>
  <c r="DS46" i="9" s="1"/>
  <c r="EK45" i="9" a="1"/>
  <c r="EK45" i="9" s="1"/>
  <c r="EL45" i="9" s="1"/>
  <c r="AT46" i="9" a="1"/>
  <c r="AT46" i="9" s="1"/>
  <c r="AU46" i="9" s="1"/>
  <c r="CY47" i="9" a="1"/>
  <c r="CY47" i="9" s="1"/>
  <c r="CZ47" i="9" s="1"/>
  <c r="FD47" i="9" a="1"/>
  <c r="FD47" i="9" s="1"/>
  <c r="FE47" i="9" s="1"/>
  <c r="BM46" i="9" a="1"/>
  <c r="BM46" i="9" s="1"/>
  <c r="BN46" i="9" s="1"/>
  <c r="N53" i="9" a="1"/>
  <c r="N53" i="9" s="1"/>
  <c r="AA44" i="9" a="1"/>
  <c r="AA44" i="9" s="1"/>
  <c r="AB44" i="9" s="1"/>
  <c r="CF46" i="9" a="1"/>
  <c r="CF46" i="9" s="1"/>
  <c r="CG46" i="9" s="1"/>
  <c r="DR47" i="9" a="1"/>
  <c r="DR47" i="9" s="1"/>
  <c r="DS47" i="9" s="1"/>
  <c r="BM47" i="9" a="1"/>
  <c r="BM47" i="9" s="1"/>
  <c r="BN47" i="9" s="1"/>
  <c r="M47" i="9" a="1"/>
  <c r="M47" i="9" s="1"/>
  <c r="EK46" i="9" a="1"/>
  <c r="EK46" i="9" s="1"/>
  <c r="EL46" i="9" s="1"/>
  <c r="M46" i="9" a="1"/>
  <c r="M46" i="9" s="1"/>
  <c r="FD48" i="9" a="1"/>
  <c r="FD48" i="9" s="1"/>
  <c r="FE48" i="9" s="1"/>
  <c r="N54" i="9" a="1"/>
  <c r="N54" i="9" s="1"/>
  <c r="CF48" i="9" a="1"/>
  <c r="CF48" i="9" s="1"/>
  <c r="CG48" i="9" s="1"/>
  <c r="CY48" i="9" a="1"/>
  <c r="CY48" i="9" s="1"/>
  <c r="CZ48" i="9" s="1"/>
  <c r="AT47" i="9" a="1"/>
  <c r="AT47" i="9" s="1"/>
  <c r="AU47" i="9" s="1"/>
  <c r="AT48" i="9" a="1"/>
  <c r="AT48" i="9" s="1"/>
  <c r="AU48" i="9" s="1"/>
  <c r="EK47" i="9" a="1"/>
  <c r="EK47" i="9" s="1"/>
  <c r="EL47" i="9" s="1"/>
  <c r="CF47" i="9" a="1"/>
  <c r="CF47" i="9" s="1"/>
  <c r="CG47" i="9" s="1"/>
  <c r="AA47" i="9" a="1"/>
  <c r="AA47" i="9" s="1"/>
  <c r="AB47" i="9" s="1"/>
  <c r="AA46" i="9" a="1"/>
  <c r="AA46" i="9" s="1"/>
  <c r="AB46" i="9" s="1"/>
  <c r="EK48" i="9" a="1"/>
  <c r="EK48" i="9" s="1"/>
  <c r="EL48" i="9" s="1"/>
  <c r="CY49" i="9" a="1"/>
  <c r="CY49" i="9" s="1"/>
  <c r="CZ49" i="9" s="1"/>
  <c r="BM49" i="9" a="1"/>
  <c r="BM49" i="9" s="1"/>
  <c r="BN49" i="9" s="1"/>
  <c r="M49" i="9" a="1"/>
  <c r="M49" i="9" s="1"/>
  <c r="DR48" i="9" a="1"/>
  <c r="DR48" i="9" s="1"/>
  <c r="DS48" i="9" s="1"/>
  <c r="M48" i="9" a="1"/>
  <c r="M48" i="9" s="1"/>
  <c r="EK49" i="9" a="1"/>
  <c r="EK49" i="9" s="1"/>
  <c r="EL49" i="9" s="1"/>
  <c r="FD49" i="9" a="1"/>
  <c r="FD49" i="9" s="1"/>
  <c r="FE49" i="9" s="1"/>
  <c r="CF49" i="9" a="1"/>
  <c r="CF49" i="9" s="1"/>
  <c r="CG49" i="9" s="1"/>
  <c r="DR49" i="9" a="1"/>
  <c r="DR49" i="9" s="1"/>
  <c r="DS49" i="9" s="1"/>
  <c r="N55" i="9" a="1"/>
  <c r="N55" i="9" s="1"/>
  <c r="BM48" i="9" a="1"/>
  <c r="BM48" i="9" s="1"/>
  <c r="BN48" i="9" s="1"/>
  <c r="N56" i="9" a="1"/>
  <c r="N56" i="9" s="1"/>
  <c r="CF50" i="9" a="1"/>
  <c r="CF50" i="9" s="1"/>
  <c r="CG50" i="9" s="1"/>
  <c r="CY50" i="9" a="1"/>
  <c r="CY50" i="9" s="1"/>
  <c r="CZ50" i="9" s="1"/>
  <c r="AA48" i="9" a="1"/>
  <c r="AA48" i="9" s="1"/>
  <c r="AB48" i="9" s="1"/>
  <c r="AT49" i="9" a="1"/>
  <c r="AT49" i="9" s="1"/>
  <c r="AU49" i="9" s="1"/>
  <c r="AA49" i="9" a="1"/>
  <c r="AA49" i="9" s="1"/>
  <c r="AB49" i="9" s="1"/>
  <c r="M50" i="9" a="1"/>
  <c r="M50" i="9" s="1"/>
  <c r="F55" i="9" a="1"/>
  <c r="F55" i="9" s="1"/>
  <c r="EK50" i="9" a="1"/>
  <c r="EK50" i="9" s="1"/>
  <c r="EL50" i="9" s="1"/>
  <c r="EK51" i="9" a="1"/>
  <c r="EK51" i="9" s="1"/>
  <c r="EL51" i="9" s="1"/>
  <c r="BM51" i="9" a="1"/>
  <c r="BM51" i="9" s="1"/>
  <c r="BN51" i="9" s="1"/>
  <c r="DR50" i="9" a="1"/>
  <c r="DR50" i="9" s="1"/>
  <c r="DS50" i="9" s="1"/>
  <c r="DR51" i="9" a="1"/>
  <c r="DR51" i="9" s="1"/>
  <c r="DS51" i="9" s="1"/>
  <c r="BM50" i="9" a="1"/>
  <c r="BM50" i="9" s="1"/>
  <c r="BN50" i="9" s="1"/>
  <c r="N57" i="9" a="1"/>
  <c r="N57" i="9" s="1"/>
  <c r="FD50" i="9" a="1"/>
  <c r="FD50" i="9" s="1"/>
  <c r="FE50" i="9" s="1"/>
  <c r="M51" i="9" a="1"/>
  <c r="M51" i="9" s="1"/>
  <c r="AT50" i="9" a="1"/>
  <c r="AT50" i="9" s="1"/>
  <c r="AU50" i="9" s="1"/>
  <c r="AT51" i="9" a="1"/>
  <c r="AT51" i="9" s="1"/>
  <c r="AU51" i="9" s="1"/>
  <c r="FD51" i="9" a="1"/>
  <c r="FD51" i="9" s="1"/>
  <c r="FE51" i="9" s="1"/>
  <c r="CF51" i="9" a="1"/>
  <c r="CF51" i="9" s="1"/>
  <c r="CG51" i="9" s="1"/>
  <c r="CY51" i="9" a="1"/>
  <c r="CY51" i="9" s="1"/>
  <c r="CZ51" i="9" s="1"/>
  <c r="AA50" i="9" a="1"/>
  <c r="AA50" i="9" s="1"/>
  <c r="AB50" i="9" s="1"/>
  <c r="DR52" i="9" a="1"/>
  <c r="DR52" i="9" s="1"/>
  <c r="DS52" i="9" s="1"/>
  <c r="AT52" i="9" a="1"/>
  <c r="AT52" i="9" s="1"/>
  <c r="AU52" i="9" s="1"/>
  <c r="AA51" i="9" a="1"/>
  <c r="AA51" i="9" s="1"/>
  <c r="AB51" i="9" s="1"/>
  <c r="CY52" i="9" a="1"/>
  <c r="CY52" i="9" s="1"/>
  <c r="CZ52" i="9" s="1"/>
  <c r="BM52" i="9" a="1"/>
  <c r="BM52" i="9" s="1"/>
  <c r="BN52" i="9" s="1"/>
  <c r="N58" i="9" a="1"/>
  <c r="N58" i="9" s="1"/>
  <c r="FD52" i="9" a="1"/>
  <c r="FD52" i="9" s="1"/>
  <c r="FE52" i="9" s="1"/>
  <c r="M52" i="9" a="1"/>
  <c r="M52" i="9" s="1"/>
  <c r="EK52" i="9" a="1"/>
  <c r="EK52" i="9" s="1"/>
  <c r="EL52" i="9" s="1"/>
  <c r="DR53" i="9" a="1"/>
  <c r="DR53" i="9" s="1"/>
  <c r="DS53" i="9" s="1"/>
  <c r="CF52" i="9" a="1"/>
  <c r="CF52" i="9" s="1"/>
  <c r="CG52" i="9" s="1"/>
  <c r="CF53" i="9" a="1"/>
  <c r="CF53" i="9" s="1"/>
  <c r="CG53" i="9" s="1"/>
  <c r="EK53" i="9" a="1"/>
  <c r="EK53" i="9" s="1"/>
  <c r="EL53" i="9" s="1"/>
  <c r="N59" i="9" a="1"/>
  <c r="N59" i="9" s="1"/>
  <c r="BM53" i="9" a="1"/>
  <c r="BM53" i="9" s="1"/>
  <c r="BN53" i="9" s="1"/>
  <c r="FD53" i="9" a="1"/>
  <c r="FD53" i="9" s="1"/>
  <c r="FE53" i="9" s="1"/>
  <c r="AA52" i="9" a="1"/>
  <c r="AA52" i="9" s="1"/>
  <c r="AB52" i="9" s="1"/>
  <c r="CY53" i="9" a="1"/>
  <c r="CY53" i="9" s="1"/>
  <c r="CZ53" i="9" s="1"/>
  <c r="M53" i="9" a="1"/>
  <c r="M53" i="9" s="1"/>
  <c r="EK54" i="9" a="1"/>
  <c r="EK54" i="9" s="1"/>
  <c r="EL54" i="9" s="1"/>
  <c r="N60" i="9" a="1"/>
  <c r="N60" i="9" s="1"/>
  <c r="FD54" i="9" a="1"/>
  <c r="FD54" i="9" s="1"/>
  <c r="FE54" i="9" s="1"/>
  <c r="AT54" i="9" a="1"/>
  <c r="AT54" i="9" s="1"/>
  <c r="AU54" i="9" s="1"/>
  <c r="AA53" i="9" a="1"/>
  <c r="AA53" i="9" s="1"/>
  <c r="AB53" i="9" s="1"/>
  <c r="CF54" i="9" a="1"/>
  <c r="CF54" i="9" s="1"/>
  <c r="CG54" i="9" s="1"/>
  <c r="CY54" i="9" a="1"/>
  <c r="CY54" i="9" s="1"/>
  <c r="CZ54" i="9" s="1"/>
  <c r="AT53" i="9" a="1"/>
  <c r="AT53" i="9" s="1"/>
  <c r="AU53" i="9" s="1"/>
  <c r="DR54" i="9" a="1"/>
  <c r="DR54" i="9" s="1"/>
  <c r="DS54" i="9" s="1"/>
  <c r="M54" i="9" a="1"/>
  <c r="M54" i="9" s="1"/>
  <c r="EK55" i="9" a="1"/>
  <c r="EK55" i="9" s="1"/>
  <c r="EL55" i="9" s="1"/>
  <c r="N61" i="9" a="1"/>
  <c r="N61" i="9" s="1"/>
  <c r="CF55" i="9" a="1"/>
  <c r="CF55" i="9" s="1"/>
  <c r="CG55" i="9" s="1"/>
  <c r="FD55" i="9" a="1"/>
  <c r="FD55" i="9" s="1"/>
  <c r="FE55" i="9" s="1"/>
  <c r="BM55" i="9" a="1"/>
  <c r="BM55" i="9" s="1"/>
  <c r="BN55" i="9" s="1"/>
  <c r="BM54" i="9" a="1"/>
  <c r="BM54" i="9" s="1"/>
  <c r="BN54" i="9" s="1"/>
  <c r="AA54" i="9" a="1"/>
  <c r="AA54" i="9" s="1"/>
  <c r="AB54" i="9" s="1"/>
  <c r="M55" i="9" a="1"/>
  <c r="M55" i="9" s="1"/>
  <c r="DR55" i="9" a="1"/>
  <c r="DR55" i="9" s="1"/>
  <c r="DS55" i="9" s="1"/>
  <c r="AT56" i="9" a="1"/>
  <c r="AT56" i="9" s="1"/>
  <c r="AU56" i="9" s="1"/>
  <c r="CF56" i="9" a="1"/>
  <c r="CF56" i="9" s="1"/>
  <c r="CG56" i="9" s="1"/>
  <c r="FD56" i="9" a="1"/>
  <c r="FD56" i="9" s="1"/>
  <c r="FE56" i="9" s="1"/>
  <c r="CY56" i="9" a="1"/>
  <c r="CY56" i="9" s="1"/>
  <c r="CZ56" i="9" s="1"/>
  <c r="AA55" i="9" a="1"/>
  <c r="AA55" i="9" s="1"/>
  <c r="AB55" i="9" s="1"/>
  <c r="N62" i="9" a="1"/>
  <c r="N62" i="9" s="1"/>
  <c r="DR56" i="9" a="1"/>
  <c r="DR56" i="9" s="1"/>
  <c r="DS56" i="9" s="1"/>
  <c r="CY55" i="9" a="1"/>
  <c r="CY55" i="9" s="1"/>
  <c r="CZ55" i="9" s="1"/>
  <c r="AT55" i="9" a="1"/>
  <c r="AT55" i="9" s="1"/>
  <c r="AU55" i="9" s="1"/>
  <c r="EK56" i="9" a="1"/>
  <c r="EK56" i="9" s="1"/>
  <c r="EL56" i="9" s="1"/>
  <c r="M56" i="9" a="1"/>
  <c r="M56" i="9" s="1"/>
  <c r="DR57" i="9" a="1"/>
  <c r="DR57" i="9" s="1"/>
  <c r="DS57" i="9" s="1"/>
  <c r="M57" i="9" a="1"/>
  <c r="M57" i="9" s="1"/>
  <c r="N63" i="9" a="1"/>
  <c r="N63" i="9" s="1"/>
  <c r="CY57" i="9" a="1"/>
  <c r="CY57" i="9" s="1"/>
  <c r="CZ57" i="9" s="1"/>
  <c r="BM56" i="9" a="1"/>
  <c r="BM56" i="9" s="1"/>
  <c r="BN56" i="9" s="1"/>
  <c r="AA56" i="9" a="1"/>
  <c r="AA56" i="9" s="1"/>
  <c r="AB56" i="9" s="1"/>
  <c r="EK57" i="9" a="1"/>
  <c r="EK57" i="9" s="1"/>
  <c r="EL57" i="9" s="1"/>
  <c r="FD57" i="9" a="1"/>
  <c r="FD57" i="9" s="1"/>
  <c r="FE57" i="9" s="1"/>
  <c r="AT57" i="9" a="1"/>
  <c r="AT57" i="9" s="1"/>
  <c r="AU57" i="9" s="1"/>
  <c r="CF57" i="9" a="1"/>
  <c r="CF57" i="9" s="1"/>
  <c r="CG57" i="9" s="1"/>
  <c r="BM58" i="9" a="1"/>
  <c r="BM58" i="9" s="1"/>
  <c r="BN58" i="9" s="1"/>
  <c r="EK58" i="9" a="1"/>
  <c r="EK58" i="9" s="1"/>
  <c r="EL58" i="9" s="1"/>
  <c r="BM57" i="9" a="1"/>
  <c r="BM57" i="9" s="1"/>
  <c r="BN57" i="9" s="1"/>
  <c r="AA57" i="9" a="1"/>
  <c r="AA57" i="9" s="1"/>
  <c r="AB57" i="9" s="1"/>
  <c r="FD58" i="9" a="1"/>
  <c r="FD58" i="9" s="1"/>
  <c r="FE58" i="9" s="1"/>
  <c r="AT58" i="9" a="1"/>
  <c r="AT58" i="9" s="1"/>
  <c r="AU58" i="9" s="1"/>
  <c r="DR58" i="9" a="1"/>
  <c r="DR58" i="9" s="1"/>
  <c r="DS58" i="9" s="1"/>
  <c r="M58" i="9" a="1"/>
  <c r="M58" i="9" s="1"/>
  <c r="N64" i="9" a="1"/>
  <c r="N64" i="9" s="1"/>
  <c r="FD59" i="9" a="1"/>
  <c r="FD59" i="9" s="1"/>
  <c r="FE59" i="9" s="1"/>
  <c r="N65" i="9" a="1"/>
  <c r="N65" i="9" s="1"/>
  <c r="CY58" i="9" a="1"/>
  <c r="CY58" i="9" s="1"/>
  <c r="CZ58" i="9" s="1"/>
  <c r="CY59" i="9" a="1"/>
  <c r="CY59" i="9" s="1"/>
  <c r="CZ59" i="9" s="1"/>
  <c r="CF58" i="9" a="1"/>
  <c r="CF58" i="9" s="1"/>
  <c r="CG58" i="9" s="1"/>
  <c r="AA58" i="9" a="1"/>
  <c r="AA58" i="9" s="1"/>
  <c r="AB58" i="9" s="1"/>
  <c r="DR59" i="9" a="1"/>
  <c r="DR59" i="9" s="1"/>
  <c r="DS59" i="9" s="1"/>
  <c r="EK59" i="9" a="1"/>
  <c r="EK59" i="9" s="1"/>
  <c r="EL59" i="9" s="1"/>
  <c r="M59" i="9" a="1"/>
  <c r="M59" i="9" s="1"/>
  <c r="CF59" i="9" a="1"/>
  <c r="CF59" i="9" s="1"/>
  <c r="CG59" i="9" s="1"/>
  <c r="DR60" i="9" a="1"/>
  <c r="DR60" i="9" s="1"/>
  <c r="DS60" i="9" s="1"/>
  <c r="FD60" i="9" a="1"/>
  <c r="FD60" i="9" s="1"/>
  <c r="FE60" i="9" s="1"/>
  <c r="EK60" i="9" a="1"/>
  <c r="EK60" i="9" s="1"/>
  <c r="EL60" i="9" s="1"/>
  <c r="CY60" i="9" a="1"/>
  <c r="CY60" i="9" s="1"/>
  <c r="CZ60" i="9" s="1"/>
  <c r="BM59" i="9" a="1"/>
  <c r="BM59" i="9" s="1"/>
  <c r="BN59" i="9" s="1"/>
  <c r="CF60" i="9" a="1"/>
  <c r="CF60" i="9" s="1"/>
  <c r="CG60" i="9" s="1"/>
  <c r="AA59" i="9" a="1"/>
  <c r="AA59" i="9" s="1"/>
  <c r="AB59" i="9" s="1"/>
  <c r="M60" i="9" a="1"/>
  <c r="M60" i="9" s="1"/>
  <c r="BM60" i="9" a="1"/>
  <c r="BM60" i="9" s="1"/>
  <c r="BN60" i="9" s="1"/>
  <c r="EK61" i="9" a="1"/>
  <c r="EK61" i="9" s="1"/>
  <c r="EL61" i="9" s="1"/>
  <c r="CF61" i="9" a="1"/>
  <c r="CF61" i="9" s="1"/>
  <c r="CG61" i="9" s="1"/>
  <c r="F64" i="9" a="1"/>
  <c r="F64" i="9" s="1"/>
  <c r="AT59" i="9" a="1"/>
  <c r="AT59" i="9" s="1"/>
  <c r="AU59" i="9" s="1"/>
  <c r="AT60" i="9" a="1"/>
  <c r="AT60" i="9" s="1"/>
  <c r="AU60" i="9" s="1"/>
  <c r="M61" i="9" a="1"/>
  <c r="M61" i="9" s="1"/>
  <c r="DR61" i="9" a="1"/>
  <c r="DR61" i="9" s="1"/>
  <c r="DS61" i="9" s="1"/>
  <c r="AA60" i="9" a="1"/>
  <c r="AA60" i="9" s="1"/>
  <c r="AB60" i="9" s="1"/>
  <c r="DR62" i="9" a="1"/>
  <c r="DR62" i="9" s="1"/>
  <c r="DS62" i="9" s="1"/>
  <c r="FD61" i="9" a="1"/>
  <c r="FD61" i="9" s="1"/>
  <c r="FE61" i="9" s="1"/>
  <c r="CY61" i="9" a="1"/>
  <c r="CY61" i="9" s="1"/>
  <c r="CZ61" i="9" s="1"/>
  <c r="CF62" i="9" a="1"/>
  <c r="CF62" i="9" s="1"/>
  <c r="CG62" i="9" s="1"/>
  <c r="CY62" i="9" a="1"/>
  <c r="CY62" i="9" s="1"/>
  <c r="CZ62" i="9" s="1"/>
  <c r="BM61" i="9" a="1"/>
  <c r="BM61" i="9" s="1"/>
  <c r="BN61" i="9" s="1"/>
  <c r="M62" i="9" a="1"/>
  <c r="M62" i="9" s="1"/>
  <c r="BM62" i="9" a="1"/>
  <c r="BM62" i="9" s="1"/>
  <c r="BN62" i="9" s="1"/>
  <c r="AT61" i="9" a="1"/>
  <c r="AT61" i="9" s="1"/>
  <c r="AU61" i="9" s="1"/>
  <c r="FD62" i="9" a="1"/>
  <c r="FD62" i="9" s="1"/>
  <c r="FE62" i="9" s="1"/>
  <c r="AA61" i="9" a="1"/>
  <c r="AA61" i="9" s="1"/>
  <c r="AB61" i="9" s="1"/>
  <c r="EK63" i="9" a="1"/>
  <c r="EK63" i="9" s="1"/>
  <c r="EL63" i="9" s="1"/>
  <c r="M11" i="9" a="1"/>
  <c r="M11" i="9" s="1"/>
  <c r="CY63" i="9" a="1"/>
  <c r="CY63" i="9" s="1"/>
  <c r="CZ63" i="9" s="1"/>
  <c r="EK62" i="9" a="1"/>
  <c r="EK62" i="9" s="1"/>
  <c r="EL62" i="9" s="1"/>
  <c r="FD63" i="9" a="1"/>
  <c r="FD63" i="9" s="1"/>
  <c r="FE63" i="9" s="1"/>
  <c r="AA62" i="9" a="1"/>
  <c r="AA62" i="9" s="1"/>
  <c r="AB62" i="9" s="1"/>
  <c r="DR63" i="9" a="1"/>
  <c r="DR63" i="9" s="1"/>
  <c r="DS63" i="9" s="1"/>
  <c r="AT62" i="9" a="1"/>
  <c r="AT62" i="9" s="1"/>
  <c r="AU62" i="9" s="1"/>
  <c r="BM63" i="9" a="1"/>
  <c r="BM63" i="9" s="1"/>
  <c r="BN63" i="9" s="1"/>
  <c r="M63" i="9" a="1"/>
  <c r="M63" i="9" s="1"/>
  <c r="AT63" i="9" a="1"/>
  <c r="AT63" i="9" s="1"/>
  <c r="AU63" i="9" s="1"/>
  <c r="CF63" i="9" a="1"/>
  <c r="CF63" i="9" s="1"/>
  <c r="CG63" i="9" s="1"/>
  <c r="AA63" i="9" a="1"/>
  <c r="AA63" i="9" s="1"/>
  <c r="AB63" i="9" s="1"/>
  <c r="FD65" i="9" a="1"/>
  <c r="FD65" i="9" s="1"/>
  <c r="FE65" i="9" s="1"/>
  <c r="DR65" i="9" a="1"/>
  <c r="DR65" i="9" s="1"/>
  <c r="DS65" i="9" s="1"/>
  <c r="EK65" i="9" a="1"/>
  <c r="EK65" i="9" s="1"/>
  <c r="EL65" i="9" s="1"/>
  <c r="AT65" i="9" a="1"/>
  <c r="AT65" i="9" s="1"/>
  <c r="AU65" i="9" s="1"/>
  <c r="M65" i="9" a="1"/>
  <c r="M65" i="9" s="1"/>
  <c r="CY65" i="9" a="1"/>
  <c r="CY65" i="9" s="1"/>
  <c r="CZ65" i="9" s="1"/>
  <c r="BM65" i="9" a="1"/>
  <c r="BM65" i="9" s="1"/>
  <c r="BN65" i="9" s="1"/>
  <c r="CF65" i="9" a="1"/>
  <c r="CF65" i="9" s="1"/>
  <c r="CG65" i="9" s="1"/>
  <c r="AA65" i="9" a="1"/>
  <c r="AA65" i="9" s="1"/>
  <c r="AB65" i="9" s="1"/>
  <c r="CY64" i="9" a="1"/>
  <c r="CY64" i="9" s="1"/>
  <c r="CZ64" i="9" s="1"/>
  <c r="EK64" i="9" a="1"/>
  <c r="EK64" i="9" s="1"/>
  <c r="EL64" i="9" s="1"/>
  <c r="AT64" i="9" a="1"/>
  <c r="AT64" i="9" s="1"/>
  <c r="AU64" i="9" s="1"/>
  <c r="DR64" i="9" a="1"/>
  <c r="DR64" i="9" s="1"/>
  <c r="DS64" i="9" s="1"/>
  <c r="M64" i="9" a="1"/>
  <c r="M64" i="9" s="1"/>
  <c r="CF64" i="9" a="1"/>
  <c r="CF64" i="9" s="1"/>
  <c r="CG64" i="9" s="1"/>
  <c r="FD64" i="9" a="1"/>
  <c r="FD64" i="9" s="1"/>
  <c r="FE64" i="9" s="1"/>
  <c r="AA64" i="9" a="1"/>
  <c r="AA64" i="9" s="1"/>
  <c r="AB64" i="9" s="1"/>
  <c r="BM64" i="9" a="1"/>
  <c r="BM64" i="9" s="1"/>
  <c r="BN64" i="9" s="1"/>
  <c r="AE76" i="9" l="1" a="1"/>
  <c r="AE76" i="9" s="1"/>
  <c r="DC76" i="9" a="1"/>
  <c r="DC76" i="9" s="1"/>
  <c r="IF76" i="9" a="1"/>
  <c r="IF76" i="9" s="1"/>
  <c r="F942" i="12"/>
  <c r="F937" i="12"/>
  <c r="F2259" i="13" s="1" a="1"/>
  <c r="F2259" i="13" s="1"/>
  <c r="F2254" i="13" a="1"/>
  <c r="F2254" i="13" s="1"/>
  <c r="F2281" i="13" s="1"/>
  <c r="O925" i="12"/>
  <c r="N942" i="12"/>
  <c r="N937" i="12"/>
  <c r="N2259" i="13" s="1" a="1"/>
  <c r="N2259" i="13" s="1"/>
  <c r="N2254" i="13" a="1"/>
  <c r="N2254" i="13" s="1"/>
  <c r="N2281" i="13" s="1"/>
  <c r="O924" i="12"/>
  <c r="M921" i="12" a="1"/>
  <c r="M921" i="12" s="1"/>
  <c r="I921" i="12" a="1"/>
  <c r="I921" i="12" s="1"/>
  <c r="E921" i="12" a="1"/>
  <c r="E921" i="12" s="1"/>
  <c r="J921" i="12" a="1"/>
  <c r="J921" i="12" s="1"/>
  <c r="L921" i="12" a="1"/>
  <c r="L921" i="12" s="1"/>
  <c r="H921" i="12" a="1"/>
  <c r="H921" i="12" s="1"/>
  <c r="N921" i="12" a="1"/>
  <c r="N921" i="12" s="1"/>
  <c r="D921" i="12" a="1"/>
  <c r="D921" i="12" s="1"/>
  <c r="D924" i="12" s="1"/>
  <c r="O921" i="12" a="1"/>
  <c r="O921" i="12" s="1"/>
  <c r="K921" i="12" a="1"/>
  <c r="K921" i="12" s="1"/>
  <c r="G921" i="12" a="1"/>
  <c r="G921" i="12" s="1"/>
  <c r="F921" i="12" a="1"/>
  <c r="F921" i="12" s="1"/>
  <c r="D934" i="12" a="1"/>
  <c r="D934" i="12" s="1"/>
  <c r="J934" i="12" a="1"/>
  <c r="J934" i="12" s="1"/>
  <c r="F934" i="12" a="1"/>
  <c r="F934" i="12" s="1"/>
  <c r="M934" i="12" a="1"/>
  <c r="M934" i="12" s="1"/>
  <c r="I934" i="12" a="1"/>
  <c r="I934" i="12" s="1"/>
  <c r="E934" i="12" a="1"/>
  <c r="E934" i="12" s="1"/>
  <c r="L934" i="12" a="1"/>
  <c r="L934" i="12" s="1"/>
  <c r="H934" i="12" a="1"/>
  <c r="H934" i="12" s="1"/>
  <c r="O934" i="12" a="1"/>
  <c r="O934" i="12" s="1"/>
  <c r="N934" i="12" a="1"/>
  <c r="N934" i="12" s="1"/>
  <c r="K934" i="12" a="1"/>
  <c r="K934" i="12" s="1"/>
  <c r="G934" i="12" a="1"/>
  <c r="G934" i="12" s="1"/>
  <c r="H942" i="12"/>
  <c r="H937" i="12"/>
  <c r="H2259" i="13" s="1" a="1"/>
  <c r="H2259" i="13" s="1"/>
  <c r="H2254" i="13" a="1"/>
  <c r="H2254" i="13" s="1"/>
  <c r="H2281" i="13" s="1"/>
  <c r="F2257" i="13" a="1"/>
  <c r="F2257" i="13" s="1"/>
  <c r="AX76" i="9" a="1"/>
  <c r="AX76" i="9" s="1"/>
  <c r="L2257" i="13" a="1"/>
  <c r="L2257" i="13" s="1"/>
  <c r="G942" i="12"/>
  <c r="G937" i="12"/>
  <c r="G2259" i="13" s="1" a="1"/>
  <c r="G2259" i="13" s="1"/>
  <c r="G2254" i="13" a="1"/>
  <c r="G2254" i="13" s="1"/>
  <c r="G2281" i="13" s="1"/>
  <c r="DV76" i="9" a="1"/>
  <c r="DV76" i="9" s="1"/>
  <c r="K942" i="12"/>
  <c r="K937" i="12"/>
  <c r="K2259" i="13" s="1" a="1"/>
  <c r="K2259" i="13" s="1"/>
  <c r="K2254" i="13" a="1"/>
  <c r="K2254" i="13" s="1"/>
  <c r="K2281" i="13" s="1"/>
  <c r="D2257" i="13" a="1"/>
  <c r="D2257" i="13" s="1"/>
  <c r="GA76" i="9" a="1"/>
  <c r="GA76" i="9" s="1"/>
  <c r="M2257" i="13" a="1"/>
  <c r="M2257" i="13" s="1"/>
  <c r="D937" i="12"/>
  <c r="D2259" i="13" s="1" a="1"/>
  <c r="D2259" i="13" s="1"/>
  <c r="D942" i="12"/>
  <c r="D2254" i="13" a="1"/>
  <c r="D2254" i="13" s="1"/>
  <c r="D2281" i="13" s="1"/>
  <c r="O2257" i="13" a="1"/>
  <c r="O2257" i="13" s="1"/>
  <c r="E2257" i="13" a="1"/>
  <c r="E2257" i="13" s="1"/>
  <c r="GT76" i="9" a="1"/>
  <c r="GT76" i="9" s="1"/>
  <c r="L937" i="12"/>
  <c r="L2259" i="13" s="1" a="1"/>
  <c r="L2259" i="13" s="1"/>
  <c r="L942" i="12"/>
  <c r="L2254" i="13" a="1"/>
  <c r="L2254" i="13" s="1"/>
  <c r="L2281" i="13" s="1"/>
  <c r="O937" i="12"/>
  <c r="O2259" i="13" s="1" a="1"/>
  <c r="O2259" i="13" s="1"/>
  <c r="O942" i="12"/>
  <c r="O2254" i="13" a="1"/>
  <c r="O2254" i="13" s="1"/>
  <c r="O2281" i="13" s="1"/>
  <c r="J925" i="12"/>
  <c r="J2257" i="13" a="1"/>
  <c r="J2257" i="13" s="1"/>
  <c r="BQ76" i="9" a="1"/>
  <c r="BQ76" i="9" s="1"/>
  <c r="I924" i="12"/>
  <c r="I925" i="12" s="1"/>
  <c r="G933" i="12" a="1"/>
  <c r="G933" i="12" s="1"/>
  <c r="G2255" i="13" s="1" a="1"/>
  <c r="G2255" i="13" s="1"/>
  <c r="N933" i="12" a="1"/>
  <c r="N933" i="12" s="1"/>
  <c r="N2255" i="13" s="1" a="1"/>
  <c r="N2255" i="13" s="1"/>
  <c r="K933" i="12" a="1"/>
  <c r="K933" i="12" s="1"/>
  <c r="K2255" i="13" s="1" a="1"/>
  <c r="K2255" i="13" s="1"/>
  <c r="J933" i="12" a="1"/>
  <c r="J933" i="12" s="1"/>
  <c r="J2255" i="13" s="1" a="1"/>
  <c r="J2255" i="13" s="1"/>
  <c r="F933" i="12" a="1"/>
  <c r="F933" i="12" s="1"/>
  <c r="F2255" i="13" s="1" a="1"/>
  <c r="F2255" i="13" s="1"/>
  <c r="M933" i="12" a="1"/>
  <c r="M933" i="12" s="1"/>
  <c r="M2255" i="13" s="1" a="1"/>
  <c r="M2255" i="13" s="1"/>
  <c r="E933" i="12" a="1"/>
  <c r="E933" i="12" s="1"/>
  <c r="E2255" i="13" s="1" a="1"/>
  <c r="E2255" i="13" s="1"/>
  <c r="I933" i="12" a="1"/>
  <c r="I933" i="12" s="1"/>
  <c r="I2255" i="13" s="1" a="1"/>
  <c r="I2255" i="13" s="1"/>
  <c r="O933" i="12" a="1"/>
  <c r="O933" i="12" s="1"/>
  <c r="O2255" i="13" s="1" a="1"/>
  <c r="O2255" i="13" s="1"/>
  <c r="D933" i="12" a="1"/>
  <c r="D933" i="12" s="1"/>
  <c r="D2255" i="13" s="1" a="1"/>
  <c r="D2255" i="13" s="1"/>
  <c r="R935" i="12"/>
  <c r="L933" i="12" a="1"/>
  <c r="L933" i="12" s="1"/>
  <c r="L2255" i="13" s="1" a="1"/>
  <c r="L2255" i="13" s="1"/>
  <c r="H933" i="12" a="1"/>
  <c r="H933" i="12" s="1"/>
  <c r="H2255" i="13" s="1" a="1"/>
  <c r="H2255" i="13" s="1"/>
  <c r="H2257" i="13" a="1"/>
  <c r="H2257" i="13" s="1"/>
  <c r="CJ76" i="9" a="1"/>
  <c r="CJ76" i="9" s="1"/>
  <c r="E937" i="12"/>
  <c r="E2259" i="13" s="1" a="1"/>
  <c r="E2259" i="13" s="1"/>
  <c r="E942" i="12"/>
  <c r="E2254" i="13" a="1"/>
  <c r="E2254" i="13" s="1"/>
  <c r="E2281" i="13" s="1"/>
  <c r="N2257" i="13" a="1"/>
  <c r="N2257" i="13" s="1"/>
  <c r="H924" i="12"/>
  <c r="H925" i="12" s="1"/>
  <c r="J942" i="12"/>
  <c r="J937" i="12"/>
  <c r="J2259" i="13" s="1" a="1"/>
  <c r="J2259" i="13" s="1"/>
  <c r="J2254" i="13" a="1"/>
  <c r="J2254" i="13" s="1"/>
  <c r="J2281" i="13" s="1"/>
  <c r="J924" i="12"/>
  <c r="J926" i="12" s="1"/>
  <c r="J2224" i="13" s="1" a="1"/>
  <c r="J2224" i="13" s="1"/>
  <c r="K2257" i="13" a="1"/>
  <c r="K2257" i="13" s="1"/>
  <c r="HM76" i="9" a="1"/>
  <c r="HM76" i="9" s="1"/>
  <c r="E924" i="12"/>
  <c r="E925" i="12" s="1"/>
  <c r="I942" i="12"/>
  <c r="I937" i="12"/>
  <c r="I2259" i="13" s="1" a="1"/>
  <c r="I2259" i="13" s="1"/>
  <c r="I2254" i="13" a="1"/>
  <c r="I2254" i="13" s="1"/>
  <c r="I2281" i="13" s="1"/>
  <c r="G2257" i="13" a="1"/>
  <c r="G2257" i="13" s="1"/>
  <c r="FH76" i="9" a="1"/>
  <c r="FH76" i="9" s="1"/>
  <c r="EO76" i="9" a="1"/>
  <c r="EO76" i="9" s="1"/>
  <c r="M942" i="12"/>
  <c r="M937" i="12"/>
  <c r="M2259" i="13" s="1" a="1"/>
  <c r="M2259" i="13" s="1"/>
  <c r="M2254" i="13" a="1"/>
  <c r="M2254" i="13" s="1"/>
  <c r="M2281" i="13" s="1"/>
  <c r="I2257" i="13" a="1"/>
  <c r="I2257" i="13" s="1"/>
  <c r="H775" i="12"/>
  <c r="I1814" i="13" a="1"/>
  <c r="I1814" i="13" s="1"/>
  <c r="N691" i="12"/>
  <c r="A2113" i="13" a="1"/>
  <c r="A2113" i="13" s="1"/>
  <c r="A874" i="12" a="1"/>
  <c r="A874" i="12" s="1"/>
  <c r="D1746" i="13" a="1"/>
  <c r="D1746" i="13" s="1"/>
  <c r="D845" i="12"/>
  <c r="D2020" i="13" a="1"/>
  <c r="D2020" i="13" s="1"/>
  <c r="H1980" i="13" a="1"/>
  <c r="H1980" i="13" s="1"/>
  <c r="H2007" i="13" s="1"/>
  <c r="H824" i="12"/>
  <c r="H829" i="12"/>
  <c r="I1946" i="13" a="1"/>
  <c r="I1946" i="13" s="1"/>
  <c r="I1973" i="13" s="1"/>
  <c r="I810" i="12"/>
  <c r="I815" i="12"/>
  <c r="D764" i="12" a="1"/>
  <c r="D764" i="12" s="1"/>
  <c r="D1845" i="13" s="1" a="1"/>
  <c r="D1845" i="13" s="1"/>
  <c r="AE65" i="9" s="1" a="1"/>
  <c r="AE65" i="9" s="1"/>
  <c r="D862" i="12" a="1"/>
  <c r="D862" i="12" s="1"/>
  <c r="D2083" i="13" s="1" a="1"/>
  <c r="D2083" i="13" s="1"/>
  <c r="AE72" i="9" s="1" a="1"/>
  <c r="AE72" i="9" s="1"/>
  <c r="E2053" i="13" a="1"/>
  <c r="E2053" i="13" s="1"/>
  <c r="E854" i="12"/>
  <c r="F817" i="12"/>
  <c r="F1952" i="13" a="1"/>
  <c r="F1952" i="13" s="1"/>
  <c r="F2019" i="13" a="1"/>
  <c r="F2019" i="13" s="1"/>
  <c r="F840" i="12"/>
  <c r="E2082" i="13" a="1"/>
  <c r="E2082" i="13" s="1"/>
  <c r="E2109" i="13" s="1"/>
  <c r="E866" i="12"/>
  <c r="E871" i="12"/>
  <c r="H799" i="12"/>
  <c r="H800" i="12"/>
  <c r="H1918" i="13" s="1" a="1"/>
  <c r="H1918" i="13" s="1"/>
  <c r="E831" i="12"/>
  <c r="E1986" i="13" a="1"/>
  <c r="E1986" i="13" s="1"/>
  <c r="I1917" i="13" a="1"/>
  <c r="I1917" i="13" s="1"/>
  <c r="I798" i="12"/>
  <c r="E750" i="12" a="1"/>
  <c r="E750" i="12" s="1"/>
  <c r="E1811" i="13" s="1" a="1"/>
  <c r="E1811" i="13" s="1"/>
  <c r="AX64" i="9" s="1" a="1"/>
  <c r="AX64" i="9" s="1"/>
  <c r="E848" i="12" a="1"/>
  <c r="E848" i="12" s="1"/>
  <c r="E2049" i="13" s="1" a="1"/>
  <c r="E2049" i="13" s="1"/>
  <c r="AX71" i="9" s="1" a="1"/>
  <c r="AX71" i="9" s="1"/>
  <c r="F2048" i="13" a="1"/>
  <c r="F2048" i="13" s="1"/>
  <c r="F2075" i="13" s="1"/>
  <c r="F857" i="12"/>
  <c r="F852" i="12"/>
  <c r="H1951" i="13" a="1"/>
  <c r="H1951" i="13" s="1"/>
  <c r="H812" i="12"/>
  <c r="G1985" i="13" a="1"/>
  <c r="G1985" i="13" s="1"/>
  <c r="G826" i="12"/>
  <c r="D2087" i="13" a="1"/>
  <c r="D2087" i="13" s="1"/>
  <c r="D868" i="12"/>
  <c r="G2014" i="13" a="1"/>
  <c r="G2014" i="13" s="1"/>
  <c r="G2041" i="13" s="1"/>
  <c r="G843" i="12"/>
  <c r="G838" i="12"/>
  <c r="J1912" i="13" a="1"/>
  <c r="J1912" i="13" s="1"/>
  <c r="J1939" i="13" s="1"/>
  <c r="J796" i="12"/>
  <c r="J801" i="12"/>
  <c r="D2116" i="13" a="1"/>
  <c r="D2116" i="13" s="1"/>
  <c r="D2143" i="13" s="1"/>
  <c r="D885" i="12"/>
  <c r="D880" i="12"/>
  <c r="D855" i="12"/>
  <c r="D856" i="12"/>
  <c r="D2054" i="13" s="1" a="1"/>
  <c r="D2054" i="13" s="1"/>
  <c r="E841" i="12"/>
  <c r="E842" i="12"/>
  <c r="E2020" i="13" s="1" a="1"/>
  <c r="E2020" i="13" s="1"/>
  <c r="F736" i="12" a="1"/>
  <c r="F736" i="12" s="1"/>
  <c r="F1777" i="13" s="1" a="1"/>
  <c r="F1777" i="13" s="1"/>
  <c r="BQ63" i="9" s="1" a="1"/>
  <c r="BQ63" i="9" s="1"/>
  <c r="F834" i="12" a="1"/>
  <c r="F834" i="12" s="1"/>
  <c r="F2015" i="13" s="1" a="1"/>
  <c r="F2015" i="13" s="1"/>
  <c r="BQ70" i="9" s="1" a="1"/>
  <c r="BQ70" i="9" s="1"/>
  <c r="G803" i="12"/>
  <c r="G1918" i="13" a="1"/>
  <c r="G1918" i="13" s="1"/>
  <c r="F827" i="12"/>
  <c r="F1984" i="13" s="1" a="1"/>
  <c r="F1984" i="13" s="1"/>
  <c r="F828" i="12"/>
  <c r="G813" i="12"/>
  <c r="G1950" i="13" s="1" a="1"/>
  <c r="G1950" i="13" s="1"/>
  <c r="G814" i="12"/>
  <c r="M907" i="12" a="1"/>
  <c r="M907" i="12" s="1"/>
  <c r="K907" i="12" a="1"/>
  <c r="K907" i="12" s="1"/>
  <c r="I907" i="12" a="1"/>
  <c r="I907" i="12" s="1"/>
  <c r="G907" i="12" a="1"/>
  <c r="G907" i="12" s="1"/>
  <c r="E907" i="12" a="1"/>
  <c r="E907" i="12" s="1"/>
  <c r="N907" i="12" a="1"/>
  <c r="N907" i="12" s="1"/>
  <c r="L907" i="12" a="1"/>
  <c r="L907" i="12" s="1"/>
  <c r="J907" i="12" a="1"/>
  <c r="J907" i="12" s="1"/>
  <c r="H907" i="12" a="1"/>
  <c r="H907" i="12" s="1"/>
  <c r="D907" i="12" a="1"/>
  <c r="D907" i="12" s="1"/>
  <c r="F907" i="12" a="1"/>
  <c r="F907" i="12" s="1"/>
  <c r="O907" i="12" a="1"/>
  <c r="O907" i="12" s="1"/>
  <c r="D743" i="12"/>
  <c r="D1780" i="13" s="1" a="1"/>
  <c r="D1780" i="13" s="1"/>
  <c r="DG68" i="9" a="1"/>
  <c r="DG68" i="9" s="1"/>
  <c r="I806" i="12" a="1"/>
  <c r="I806" i="12" s="1"/>
  <c r="I1947" i="13" s="1" a="1"/>
  <c r="I1947" i="13" s="1"/>
  <c r="DV68" i="9" s="1" a="1"/>
  <c r="DV68" i="9" s="1"/>
  <c r="J804" i="12" a="1"/>
  <c r="J804" i="12" s="1"/>
  <c r="BO70" i="9"/>
  <c r="BP70" i="9" s="1"/>
  <c r="G701" i="12"/>
  <c r="AV71" i="9"/>
  <c r="AW71" i="9" s="1"/>
  <c r="AT72" i="9" a="1"/>
  <c r="AT72" i="9" s="1"/>
  <c r="AU72" i="9" s="1"/>
  <c r="CF70" i="9" a="1"/>
  <c r="CF70" i="9" s="1"/>
  <c r="CG70" i="9" s="1"/>
  <c r="BM71" i="9" a="1"/>
  <c r="BM71" i="9" s="1"/>
  <c r="BN71" i="9" s="1"/>
  <c r="CN69" i="9" a="1"/>
  <c r="CN69" i="9" s="1"/>
  <c r="H820" i="12" a="1"/>
  <c r="H820" i="12" s="1"/>
  <c r="H1981" i="13" s="1" a="1"/>
  <c r="H1981" i="13" s="1"/>
  <c r="DC69" i="9" s="1" a="1"/>
  <c r="DC69" i="9" s="1"/>
  <c r="I818" i="12" a="1"/>
  <c r="I818" i="12" s="1"/>
  <c r="DT67" i="9"/>
  <c r="DU67" i="9" s="1"/>
  <c r="BU70" i="9" a="1"/>
  <c r="BU70" i="9" s="1"/>
  <c r="H832" i="12" a="1"/>
  <c r="H832" i="12" s="1"/>
  <c r="AC72" i="9"/>
  <c r="AD72" i="9" s="1"/>
  <c r="D776" i="12" a="1"/>
  <c r="D776" i="12" s="1"/>
  <c r="P73" i="9" a="1"/>
  <c r="P73" i="9" s="1"/>
  <c r="E874" i="12" a="1"/>
  <c r="E874" i="12" s="1"/>
  <c r="EK67" i="9" a="1"/>
  <c r="EK67" i="9" s="1"/>
  <c r="EL67" i="9" s="1"/>
  <c r="G1644" i="13" a="1"/>
  <c r="G1644" i="13" s="1"/>
  <c r="G691" i="12"/>
  <c r="AI72" i="9" a="1"/>
  <c r="AI72" i="9" s="1"/>
  <c r="F860" i="12" a="1"/>
  <c r="F860" i="12" s="1"/>
  <c r="AA73" i="9" a="1"/>
  <c r="AA73" i="9" s="1"/>
  <c r="AB73" i="9" s="1"/>
  <c r="FD66" i="9" a="1"/>
  <c r="FD66" i="9" s="1"/>
  <c r="FE66" i="9" s="1"/>
  <c r="FF66" i="9" s="1"/>
  <c r="FG66" i="9" s="1"/>
  <c r="G1742" i="13" a="1"/>
  <c r="G1742" i="13" s="1"/>
  <c r="G1769" i="13" s="1"/>
  <c r="G731" i="12"/>
  <c r="G726" i="12"/>
  <c r="C83" i="28" a="1"/>
  <c r="C83" i="28" s="1"/>
  <c r="B73" i="9" a="1"/>
  <c r="B73" i="9" s="1"/>
  <c r="DA68" i="9"/>
  <c r="DB68" i="9" s="1"/>
  <c r="BB71" i="9" a="1"/>
  <c r="BB71" i="9" s="1"/>
  <c r="G846" i="12" a="1"/>
  <c r="G846" i="12" s="1"/>
  <c r="D1844" i="13" a="1"/>
  <c r="D1844" i="13" s="1"/>
  <c r="D1871" i="13" s="1"/>
  <c r="D773" i="12"/>
  <c r="D768" i="12"/>
  <c r="CH69" i="9"/>
  <c r="CI69" i="9" s="1"/>
  <c r="D888" i="12" a="1"/>
  <c r="D888" i="12" s="1"/>
  <c r="DR68" i="9" a="1"/>
  <c r="DR68" i="9" s="1"/>
  <c r="DS68" i="9" s="1"/>
  <c r="CY69" i="9" a="1"/>
  <c r="CY69" i="9" s="1"/>
  <c r="CZ69" i="9" s="1"/>
  <c r="G1713" i="13" a="1"/>
  <c r="G1713" i="13" s="1"/>
  <c r="G714" i="12"/>
  <c r="G716" i="12" s="1"/>
  <c r="G1714" i="13" s="1" a="1"/>
  <c r="G1714" i="13" s="1"/>
  <c r="ES66" i="9" a="1"/>
  <c r="ES66" i="9" s="1"/>
  <c r="D756" i="12"/>
  <c r="D758" i="12" s="1"/>
  <c r="D1816" i="13" s="1" a="1"/>
  <c r="D1816" i="13" s="1"/>
  <c r="D1815" i="13" a="1"/>
  <c r="D1815" i="13" s="1"/>
  <c r="DZ67" i="9" a="1"/>
  <c r="DZ67" i="9" s="1"/>
  <c r="K790" i="12" a="1"/>
  <c r="K790" i="12" s="1"/>
  <c r="J792" i="12" a="1"/>
  <c r="J792" i="12" s="1"/>
  <c r="J1913" i="13" s="1" a="1"/>
  <c r="J1913" i="13" s="1"/>
  <c r="EO67" i="9" s="1" a="1"/>
  <c r="EO67" i="9" s="1"/>
  <c r="L1712" i="13" a="1"/>
  <c r="L1712" i="13" s="1"/>
  <c r="O677" i="12"/>
  <c r="L729" i="12"/>
  <c r="L733" i="12" s="1"/>
  <c r="J757" i="12"/>
  <c r="J1814" i="13" s="1" a="1"/>
  <c r="J1814" i="13" s="1"/>
  <c r="J747" i="12"/>
  <c r="N701" i="12"/>
  <c r="N1678" i="13" s="1" a="1"/>
  <c r="N1678" i="13" s="1"/>
  <c r="HQ62" i="9" a="1"/>
  <c r="HQ62" i="9" s="1"/>
  <c r="O720" i="12" a="1"/>
  <c r="O720" i="12" s="1"/>
  <c r="I771" i="12"/>
  <c r="M728" i="12"/>
  <c r="M730" i="12" s="1"/>
  <c r="M1748" i="13" s="1" a="1"/>
  <c r="M1748" i="13" s="1"/>
  <c r="M1747" i="13" a="1"/>
  <c r="M1747" i="13" s="1"/>
  <c r="L762" i="12" a="1"/>
  <c r="L762" i="12" s="1"/>
  <c r="FL65" i="9" a="1"/>
  <c r="FL65" i="9" s="1"/>
  <c r="GE64" i="9" a="1"/>
  <c r="GE64" i="9" s="1"/>
  <c r="M748" i="12" a="1"/>
  <c r="M748" i="12" s="1"/>
  <c r="L1810" i="13" a="1"/>
  <c r="L1810" i="13" s="1"/>
  <c r="L1837" i="13" s="1"/>
  <c r="L759" i="12"/>
  <c r="L754" i="12"/>
  <c r="N726" i="12"/>
  <c r="N1742" i="13" a="1"/>
  <c r="N1742" i="13" s="1"/>
  <c r="N1769" i="13" s="1"/>
  <c r="N731" i="12"/>
  <c r="O700" i="12"/>
  <c r="O702" i="12" s="1"/>
  <c r="O1680" i="13" s="1" a="1"/>
  <c r="O1680" i="13" s="1"/>
  <c r="O1679" i="13" a="1"/>
  <c r="O1679" i="13" s="1"/>
  <c r="K1746" i="13" a="1"/>
  <c r="K1746" i="13" s="1"/>
  <c r="K733" i="12"/>
  <c r="K756" i="12"/>
  <c r="K758" i="12" s="1"/>
  <c r="K1816" i="13" s="1" a="1"/>
  <c r="K1816" i="13" s="1"/>
  <c r="K1815" i="13" a="1"/>
  <c r="K1815" i="13" s="1"/>
  <c r="N734" i="12" a="1"/>
  <c r="N734" i="12" s="1"/>
  <c r="GX63" i="9" a="1"/>
  <c r="GX63" i="9" s="1"/>
  <c r="M1678" i="13" a="1"/>
  <c r="M1678" i="13" s="1"/>
  <c r="M705" i="12"/>
  <c r="M715" i="12"/>
  <c r="O717" i="12"/>
  <c r="O712" i="12"/>
  <c r="O1708" i="13" a="1"/>
  <c r="O1708" i="13" s="1"/>
  <c r="O1735" i="13" s="1"/>
  <c r="L1781" i="13" a="1"/>
  <c r="L1781" i="13" s="1"/>
  <c r="L742" i="12"/>
  <c r="L744" i="12" s="1"/>
  <c r="L1782" i="13" s="1" a="1"/>
  <c r="L1782" i="13" s="1"/>
  <c r="O687" i="12"/>
  <c r="N714" i="12"/>
  <c r="N716" i="12" s="1"/>
  <c r="N1714" i="13" s="1" a="1"/>
  <c r="N1714" i="13" s="1"/>
  <c r="N1713" i="13" a="1"/>
  <c r="N1713" i="13" s="1"/>
  <c r="K776" i="12" a="1"/>
  <c r="K776" i="12" s="1"/>
  <c r="M745" i="12"/>
  <c r="M1776" i="13" a="1"/>
  <c r="M1776" i="13" s="1"/>
  <c r="M1803" i="13" s="1"/>
  <c r="M740" i="12"/>
  <c r="I1883" i="13" a="1"/>
  <c r="I1883" i="13" s="1"/>
  <c r="I784" i="12"/>
  <c r="I786" i="12" s="1"/>
  <c r="I1884" i="13" s="1" a="1"/>
  <c r="I1884" i="13" s="1"/>
  <c r="J1878" i="13" a="1"/>
  <c r="J1878" i="13" s="1"/>
  <c r="J1905" i="13" s="1"/>
  <c r="J787" i="12"/>
  <c r="J782" i="12"/>
  <c r="J1849" i="13" a="1"/>
  <c r="J1849" i="13" s="1"/>
  <c r="J770" i="12"/>
  <c r="J772" i="12" s="1"/>
  <c r="J1850" i="13" s="1" a="1"/>
  <c r="J1850" i="13" s="1"/>
  <c r="K1844" i="13" a="1"/>
  <c r="K1844" i="13" s="1"/>
  <c r="K1871" i="13" s="1"/>
  <c r="K773" i="12"/>
  <c r="K768" i="12"/>
  <c r="N722" i="12" a="1"/>
  <c r="N722" i="12" s="1"/>
  <c r="N1743" i="13" s="1" a="1"/>
  <c r="N1743" i="13" s="1"/>
  <c r="HM62" i="9" s="1" a="1"/>
  <c r="HM62" i="9" s="1"/>
  <c r="O708" i="12" a="1"/>
  <c r="O708" i="12" s="1"/>
  <c r="O1709" i="13" s="1" a="1"/>
  <c r="O1709" i="13" s="1"/>
  <c r="IF61" i="9" s="1" a="1"/>
  <c r="IF61" i="9" s="1"/>
  <c r="G789" i="12"/>
  <c r="G1882" i="13" a="1"/>
  <c r="G1882" i="13" s="1"/>
  <c r="K743" i="12"/>
  <c r="H785" i="12"/>
  <c r="O11" i="9"/>
  <c r="FF28" i="9"/>
  <c r="FG28" i="9" s="1"/>
  <c r="CH61" i="9"/>
  <c r="CI61" i="9" s="1"/>
  <c r="DT53" i="9"/>
  <c r="DU53" i="9" s="1"/>
  <c r="AV52" i="9"/>
  <c r="AW52" i="9" s="1"/>
  <c r="BO53" i="9"/>
  <c r="BP53" i="9" s="1"/>
  <c r="AC61" i="9"/>
  <c r="AD61" i="9" s="1"/>
  <c r="E8" i="10" a="1"/>
  <c r="E8" i="10" s="1"/>
  <c r="FF63" i="9"/>
  <c r="FG63" i="9" s="1"/>
  <c r="CH42" i="9"/>
  <c r="CI42" i="9" s="1"/>
  <c r="BO31" i="9"/>
  <c r="BP31" i="9" s="1"/>
  <c r="AV42" i="9"/>
  <c r="AW42" i="9" s="1"/>
  <c r="DT42" i="9"/>
  <c r="DU42" i="9" s="1"/>
  <c r="P749" i="10" a="1"/>
  <c r="P749" i="10" s="1"/>
  <c r="G749" i="10" a="1"/>
  <c r="G749" i="10" s="1"/>
  <c r="J749" i="10" a="1"/>
  <c r="J749" i="10" s="1"/>
  <c r="L749" i="10" a="1"/>
  <c r="L749" i="10" s="1"/>
  <c r="I749" i="10" a="1"/>
  <c r="I749" i="10" s="1"/>
  <c r="F749" i="10" a="1"/>
  <c r="F749" i="10" s="1"/>
  <c r="M749" i="10" a="1"/>
  <c r="M749" i="10" s="1"/>
  <c r="D749" i="10" a="1"/>
  <c r="D749" i="10" s="1"/>
  <c r="K749" i="10" a="1"/>
  <c r="K749" i="10" s="1"/>
  <c r="O749" i="10" a="1"/>
  <c r="O749" i="10" s="1"/>
  <c r="E749" i="10" a="1"/>
  <c r="E749" i="10" s="1"/>
  <c r="H749" i="10" a="1"/>
  <c r="H749" i="10" s="1"/>
  <c r="N749" i="10" a="1"/>
  <c r="N749" i="10" s="1"/>
  <c r="M777" i="10" a="1"/>
  <c r="M777" i="10" s="1"/>
  <c r="J777" i="10" a="1"/>
  <c r="J777" i="10" s="1"/>
  <c r="G777" i="10" a="1"/>
  <c r="G777" i="10" s="1"/>
  <c r="F777" i="10" a="1"/>
  <c r="F777" i="10" s="1"/>
  <c r="H777" i="10" a="1"/>
  <c r="H777" i="10" s="1"/>
  <c r="P777" i="10" a="1"/>
  <c r="P777" i="10" s="1"/>
  <c r="L777" i="10" a="1"/>
  <c r="L777" i="10" s="1"/>
  <c r="I777" i="10" a="1"/>
  <c r="I777" i="10" s="1"/>
  <c r="K777" i="10" a="1"/>
  <c r="K777" i="10" s="1"/>
  <c r="O777" i="10" a="1"/>
  <c r="O777" i="10" s="1"/>
  <c r="E777" i="10" a="1"/>
  <c r="E777" i="10" s="1"/>
  <c r="N777" i="10" a="1"/>
  <c r="N777" i="10" s="1"/>
  <c r="D777" i="10" a="1"/>
  <c r="D777" i="10" s="1"/>
  <c r="M763" i="10" a="1"/>
  <c r="M763" i="10" s="1"/>
  <c r="F763" i="10" a="1"/>
  <c r="F763" i="10" s="1"/>
  <c r="D763" i="10" a="1"/>
  <c r="D763" i="10" s="1"/>
  <c r="J763" i="10" a="1"/>
  <c r="J763" i="10" s="1"/>
  <c r="H763" i="10" a="1"/>
  <c r="H763" i="10" s="1"/>
  <c r="N763" i="10" a="1"/>
  <c r="N763" i="10" s="1"/>
  <c r="L763" i="10" a="1"/>
  <c r="L763" i="10" s="1"/>
  <c r="E763" i="10" a="1"/>
  <c r="E763" i="10" s="1"/>
  <c r="O763" i="10" a="1"/>
  <c r="O763" i="10" s="1"/>
  <c r="G763" i="10" a="1"/>
  <c r="G763" i="10" s="1"/>
  <c r="I763" i="10" a="1"/>
  <c r="I763" i="10" s="1"/>
  <c r="P763" i="10" a="1"/>
  <c r="P763" i="10" s="1"/>
  <c r="K763" i="10" a="1"/>
  <c r="K763" i="10" s="1"/>
  <c r="G735" i="10" a="1"/>
  <c r="G735" i="10" s="1"/>
  <c r="D735" i="10" a="1"/>
  <c r="D735" i="10" s="1"/>
  <c r="L735" i="10" a="1"/>
  <c r="L735" i="10" s="1"/>
  <c r="N735" i="10" a="1"/>
  <c r="N735" i="10" s="1"/>
  <c r="P735" i="10" a="1"/>
  <c r="P735" i="10" s="1"/>
  <c r="K735" i="10" a="1"/>
  <c r="K735" i="10" s="1"/>
  <c r="F735" i="10" a="1"/>
  <c r="F735" i="10" s="1"/>
  <c r="I735" i="10" a="1"/>
  <c r="I735" i="10" s="1"/>
  <c r="O735" i="10" a="1"/>
  <c r="O735" i="10" s="1"/>
  <c r="M735" i="10" a="1"/>
  <c r="M735" i="10" s="1"/>
  <c r="E735" i="10" a="1"/>
  <c r="E735" i="10" s="1"/>
  <c r="H735" i="10" a="1"/>
  <c r="H735" i="10" s="1"/>
  <c r="J735" i="10" a="1"/>
  <c r="J735" i="10" s="1"/>
  <c r="O721" i="10" a="1"/>
  <c r="O721" i="10" s="1"/>
  <c r="H721" i="10" a="1"/>
  <c r="H721" i="10" s="1"/>
  <c r="F721" i="10" a="1"/>
  <c r="F721" i="10" s="1"/>
  <c r="L721" i="10" a="1"/>
  <c r="L721" i="10" s="1"/>
  <c r="J721" i="10" a="1"/>
  <c r="J721" i="10" s="1"/>
  <c r="G721" i="10" a="1"/>
  <c r="G721" i="10" s="1"/>
  <c r="N721" i="10" a="1"/>
  <c r="N721" i="10" s="1"/>
  <c r="P721" i="10" a="1"/>
  <c r="P721" i="10" s="1"/>
  <c r="E721" i="10" a="1"/>
  <c r="E721" i="10" s="1"/>
  <c r="K721" i="10" a="1"/>
  <c r="K721" i="10" s="1"/>
  <c r="I721" i="10" a="1"/>
  <c r="I721" i="10" s="1"/>
  <c r="D721" i="10" a="1"/>
  <c r="D721" i="10" s="1"/>
  <c r="M721" i="10" a="1"/>
  <c r="M721" i="10" s="1"/>
  <c r="K707" i="10" a="1"/>
  <c r="K707" i="10" s="1"/>
  <c r="M707" i="10" a="1"/>
  <c r="M707" i="10" s="1"/>
  <c r="P707" i="10" a="1"/>
  <c r="P707" i="10" s="1"/>
  <c r="H707" i="10" a="1"/>
  <c r="H707" i="10" s="1"/>
  <c r="E707" i="10" a="1"/>
  <c r="E707" i="10" s="1"/>
  <c r="O707" i="10" a="1"/>
  <c r="O707" i="10" s="1"/>
  <c r="I707" i="10" a="1"/>
  <c r="I707" i="10" s="1"/>
  <c r="J707" i="10" a="1"/>
  <c r="J707" i="10" s="1"/>
  <c r="F707" i="10" a="1"/>
  <c r="F707" i="10" s="1"/>
  <c r="L707" i="10" a="1"/>
  <c r="L707" i="10" s="1"/>
  <c r="D707" i="10" a="1"/>
  <c r="D707" i="10" s="1"/>
  <c r="G707" i="10" a="1"/>
  <c r="G707" i="10" s="1"/>
  <c r="N707" i="10" a="1"/>
  <c r="N707" i="10" s="1"/>
  <c r="E693" i="10" a="1"/>
  <c r="E693" i="10" s="1"/>
  <c r="K693" i="10" a="1"/>
  <c r="K693" i="10" s="1"/>
  <c r="O693" i="10" a="1"/>
  <c r="O693" i="10" s="1"/>
  <c r="D693" i="10" a="1"/>
  <c r="D693" i="10" s="1"/>
  <c r="G693" i="10" a="1"/>
  <c r="G693" i="10" s="1"/>
  <c r="J693" i="10" a="1"/>
  <c r="J693" i="10" s="1"/>
  <c r="N693" i="10" a="1"/>
  <c r="N693" i="10" s="1"/>
  <c r="P693" i="10" a="1"/>
  <c r="P693" i="10" s="1"/>
  <c r="F693" i="10" a="1"/>
  <c r="F693" i="10" s="1"/>
  <c r="I693" i="10" a="1"/>
  <c r="I693" i="10" s="1"/>
  <c r="L693" i="10" a="1"/>
  <c r="L693" i="10" s="1"/>
  <c r="M693" i="10" a="1"/>
  <c r="M693" i="10" s="1"/>
  <c r="H693" i="10" a="1"/>
  <c r="H693" i="10" s="1"/>
  <c r="F778" i="10" a="1"/>
  <c r="F778" i="10" s="1"/>
  <c r="J778" i="10" a="1"/>
  <c r="J778" i="10" s="1"/>
  <c r="H778" i="10" a="1"/>
  <c r="H778" i="10" s="1"/>
  <c r="E778" i="10" a="1"/>
  <c r="E778" i="10" s="1"/>
  <c r="L778" i="10" a="1"/>
  <c r="L778" i="10" s="1"/>
  <c r="N778" i="10" a="1"/>
  <c r="N778" i="10" s="1"/>
  <c r="P778" i="10" a="1"/>
  <c r="P778" i="10" s="1"/>
  <c r="I778" i="10" a="1"/>
  <c r="I778" i="10" s="1"/>
  <c r="G778" i="10" a="1"/>
  <c r="G778" i="10" s="1"/>
  <c r="M778" i="10" a="1"/>
  <c r="M778" i="10" s="1"/>
  <c r="K778" i="10" a="1"/>
  <c r="K778" i="10" s="1"/>
  <c r="D778" i="10" a="1"/>
  <c r="D778" i="10" s="1"/>
  <c r="O778" i="10" a="1"/>
  <c r="O778" i="10" s="1"/>
  <c r="M679" i="10" a="1"/>
  <c r="M679" i="10" s="1"/>
  <c r="E679" i="10" a="1"/>
  <c r="E679" i="10" s="1"/>
  <c r="G679" i="10" a="1"/>
  <c r="G679" i="10" s="1"/>
  <c r="D679" i="10" a="1"/>
  <c r="D679" i="10" s="1"/>
  <c r="L679" i="10" a="1"/>
  <c r="L679" i="10" s="1"/>
  <c r="F679" i="10" a="1"/>
  <c r="F679" i="10" s="1"/>
  <c r="O679" i="10" a="1"/>
  <c r="O679" i="10" s="1"/>
  <c r="P679" i="10" a="1"/>
  <c r="P679" i="10" s="1"/>
  <c r="K679" i="10" a="1"/>
  <c r="K679" i="10" s="1"/>
  <c r="J679" i="10" a="1"/>
  <c r="J679" i="10" s="1"/>
  <c r="I679" i="10" a="1"/>
  <c r="I679" i="10" s="1"/>
  <c r="N679" i="10" a="1"/>
  <c r="N679" i="10" s="1"/>
  <c r="H679" i="10" a="1"/>
  <c r="H679" i="10" s="1"/>
  <c r="D764" i="10" a="1"/>
  <c r="D764" i="10" s="1"/>
  <c r="M764" i="10" a="1"/>
  <c r="M764" i="10" s="1"/>
  <c r="J764" i="10" a="1"/>
  <c r="J764" i="10" s="1"/>
  <c r="F764" i="10" a="1"/>
  <c r="F764" i="10" s="1"/>
  <c r="I764" i="10" a="1"/>
  <c r="I764" i="10" s="1"/>
  <c r="P764" i="10" a="1"/>
  <c r="P764" i="10" s="1"/>
  <c r="H764" i="10" a="1"/>
  <c r="H764" i="10" s="1"/>
  <c r="L764" i="10" a="1"/>
  <c r="L764" i="10" s="1"/>
  <c r="O764" i="10" a="1"/>
  <c r="O764" i="10" s="1"/>
  <c r="E764" i="10" a="1"/>
  <c r="E764" i="10" s="1"/>
  <c r="G764" i="10" a="1"/>
  <c r="G764" i="10" s="1"/>
  <c r="K764" i="10" a="1"/>
  <c r="K764" i="10" s="1"/>
  <c r="N764" i="10" a="1"/>
  <c r="N764" i="10" s="1"/>
  <c r="H750" i="10" a="1"/>
  <c r="H750" i="10" s="1"/>
  <c r="J750" i="10" a="1"/>
  <c r="J750" i="10" s="1"/>
  <c r="G750" i="10" a="1"/>
  <c r="G750" i="10" s="1"/>
  <c r="D750" i="10" a="1"/>
  <c r="D750" i="10" s="1"/>
  <c r="L750" i="10" a="1"/>
  <c r="L750" i="10" s="1"/>
  <c r="E750" i="10" a="1"/>
  <c r="E750" i="10" s="1"/>
  <c r="F750" i="10" a="1"/>
  <c r="F750" i="10" s="1"/>
  <c r="I750" i="10" a="1"/>
  <c r="I750" i="10" s="1"/>
  <c r="K750" i="10" a="1"/>
  <c r="K750" i="10" s="1"/>
  <c r="M750" i="10" a="1"/>
  <c r="M750" i="10" s="1"/>
  <c r="N750" i="10" a="1"/>
  <c r="N750" i="10" s="1"/>
  <c r="P750" i="10" a="1"/>
  <c r="P750" i="10" s="1"/>
  <c r="O750" i="10" a="1"/>
  <c r="O750" i="10" s="1"/>
  <c r="N665" i="10" a="1"/>
  <c r="N665" i="10" s="1"/>
  <c r="I665" i="10" a="1"/>
  <c r="I665" i="10" s="1"/>
  <c r="G665" i="10" a="1"/>
  <c r="G665" i="10" s="1"/>
  <c r="M665" i="10" a="1"/>
  <c r="M665" i="10" s="1"/>
  <c r="L665" i="10" a="1"/>
  <c r="L665" i="10" s="1"/>
  <c r="H665" i="10" a="1"/>
  <c r="H665" i="10" s="1"/>
  <c r="E665" i="10" a="1"/>
  <c r="E665" i="10" s="1"/>
  <c r="F665" i="10" a="1"/>
  <c r="F665" i="10" s="1"/>
  <c r="K665" i="10" a="1"/>
  <c r="K665" i="10" s="1"/>
  <c r="D665" i="10" a="1"/>
  <c r="D665" i="10" s="1"/>
  <c r="P665" i="10" a="1"/>
  <c r="P665" i="10" s="1"/>
  <c r="J665" i="10" a="1"/>
  <c r="J665" i="10" s="1"/>
  <c r="O665" i="10" a="1"/>
  <c r="O665" i="10" s="1"/>
  <c r="D736" i="10" a="1"/>
  <c r="D736" i="10" s="1"/>
  <c r="I736" i="10" a="1"/>
  <c r="I736" i="10" s="1"/>
  <c r="P736" i="10" a="1"/>
  <c r="P736" i="10" s="1"/>
  <c r="N736" i="10" a="1"/>
  <c r="N736" i="10" s="1"/>
  <c r="K736" i="10" a="1"/>
  <c r="K736" i="10" s="1"/>
  <c r="H736" i="10" a="1"/>
  <c r="H736" i="10" s="1"/>
  <c r="J736" i="10" a="1"/>
  <c r="J736" i="10" s="1"/>
  <c r="F736" i="10" a="1"/>
  <c r="F736" i="10" s="1"/>
  <c r="M736" i="10" a="1"/>
  <c r="M736" i="10" s="1"/>
  <c r="E736" i="10" a="1"/>
  <c r="E736" i="10" s="1"/>
  <c r="L736" i="10" a="1"/>
  <c r="L736" i="10" s="1"/>
  <c r="O736" i="10" a="1"/>
  <c r="O736" i="10" s="1"/>
  <c r="G736" i="10" a="1"/>
  <c r="G736" i="10" s="1"/>
  <c r="J651" i="10" a="1"/>
  <c r="J651" i="10" s="1"/>
  <c r="E651" i="10" a="1"/>
  <c r="E651" i="10" s="1"/>
  <c r="P651" i="10" a="1"/>
  <c r="P651" i="10" s="1"/>
  <c r="O651" i="10" a="1"/>
  <c r="O651" i="10" s="1"/>
  <c r="H651" i="10" a="1"/>
  <c r="H651" i="10" s="1"/>
  <c r="K651" i="10" a="1"/>
  <c r="K651" i="10" s="1"/>
  <c r="N651" i="10" a="1"/>
  <c r="N651" i="10" s="1"/>
  <c r="I651" i="10" a="1"/>
  <c r="I651" i="10" s="1"/>
  <c r="G651" i="10" a="1"/>
  <c r="G651" i="10" s="1"/>
  <c r="D651" i="10" a="1"/>
  <c r="D651" i="10" s="1"/>
  <c r="F651" i="10" a="1"/>
  <c r="F651" i="10" s="1"/>
  <c r="M651" i="10" a="1"/>
  <c r="M651" i="10" s="1"/>
  <c r="L651" i="10" a="1"/>
  <c r="L651" i="10" s="1"/>
  <c r="K637" i="10" a="1"/>
  <c r="K637" i="10" s="1"/>
  <c r="D637" i="10" a="1"/>
  <c r="D637" i="10" s="1"/>
  <c r="P637" i="10" a="1"/>
  <c r="P637" i="10" s="1"/>
  <c r="M637" i="10" a="1"/>
  <c r="M637" i="10" s="1"/>
  <c r="I637" i="10" a="1"/>
  <c r="I637" i="10" s="1"/>
  <c r="J637" i="10" a="1"/>
  <c r="J637" i="10" s="1"/>
  <c r="N637" i="10" a="1"/>
  <c r="N637" i="10" s="1"/>
  <c r="H637" i="10" a="1"/>
  <c r="H637" i="10" s="1"/>
  <c r="G637" i="10" a="1"/>
  <c r="G637" i="10" s="1"/>
  <c r="F637" i="10" a="1"/>
  <c r="F637" i="10" s="1"/>
  <c r="E637" i="10" a="1"/>
  <c r="E637" i="10" s="1"/>
  <c r="O637" i="10" a="1"/>
  <c r="O637" i="10" s="1"/>
  <c r="L637" i="10" a="1"/>
  <c r="L637" i="10" s="1"/>
  <c r="M722" i="10" a="1"/>
  <c r="M722" i="10" s="1"/>
  <c r="L722" i="10" a="1"/>
  <c r="L722" i="10" s="1"/>
  <c r="P722" i="10" a="1"/>
  <c r="P722" i="10" s="1"/>
  <c r="F722" i="10" a="1"/>
  <c r="F722" i="10" s="1"/>
  <c r="I722" i="10" a="1"/>
  <c r="I722" i="10" s="1"/>
  <c r="K722" i="10" a="1"/>
  <c r="K722" i="10" s="1"/>
  <c r="O722" i="10" a="1"/>
  <c r="O722" i="10" s="1"/>
  <c r="E722" i="10" a="1"/>
  <c r="E722" i="10" s="1"/>
  <c r="H722" i="10" a="1"/>
  <c r="H722" i="10" s="1"/>
  <c r="J722" i="10" a="1"/>
  <c r="J722" i="10" s="1"/>
  <c r="N722" i="10" a="1"/>
  <c r="N722" i="10" s="1"/>
  <c r="D722" i="10" a="1"/>
  <c r="D722" i="10" s="1"/>
  <c r="G722" i="10" a="1"/>
  <c r="G722" i="10" s="1"/>
  <c r="P623" i="10" a="1"/>
  <c r="P623" i="10" s="1"/>
  <c r="L623" i="10" a="1"/>
  <c r="L623" i="10" s="1"/>
  <c r="J623" i="10" a="1"/>
  <c r="J623" i="10" s="1"/>
  <c r="G623" i="10" a="1"/>
  <c r="G623" i="10" s="1"/>
  <c r="D623" i="10" a="1"/>
  <c r="D623" i="10" s="1"/>
  <c r="F623" i="10" a="1"/>
  <c r="F623" i="10" s="1"/>
  <c r="O623" i="10" a="1"/>
  <c r="O623" i="10" s="1"/>
  <c r="K623" i="10" a="1"/>
  <c r="K623" i="10" s="1"/>
  <c r="I623" i="10" a="1"/>
  <c r="I623" i="10" s="1"/>
  <c r="E623" i="10" a="1"/>
  <c r="E623" i="10" s="1"/>
  <c r="N623" i="10" a="1"/>
  <c r="N623" i="10" s="1"/>
  <c r="H623" i="10" a="1"/>
  <c r="H623" i="10" s="1"/>
  <c r="M623" i="10" a="1"/>
  <c r="M623" i="10" s="1"/>
  <c r="J708" i="10" a="1"/>
  <c r="J708" i="10" s="1"/>
  <c r="L708" i="10" a="1"/>
  <c r="L708" i="10" s="1"/>
  <c r="O708" i="10" a="1"/>
  <c r="O708" i="10" s="1"/>
  <c r="F708" i="10" a="1"/>
  <c r="F708" i="10" s="1"/>
  <c r="D708" i="10" a="1"/>
  <c r="D708" i="10" s="1"/>
  <c r="I708" i="10" a="1"/>
  <c r="I708" i="10" s="1"/>
  <c r="N708" i="10" a="1"/>
  <c r="N708" i="10" s="1"/>
  <c r="K708" i="10" a="1"/>
  <c r="K708" i="10" s="1"/>
  <c r="H708" i="10" a="1"/>
  <c r="H708" i="10" s="1"/>
  <c r="E708" i="10" a="1"/>
  <c r="E708" i="10" s="1"/>
  <c r="G708" i="10" a="1"/>
  <c r="G708" i="10" s="1"/>
  <c r="P708" i="10" a="1"/>
  <c r="P708" i="10" s="1"/>
  <c r="M708" i="10" a="1"/>
  <c r="M708" i="10" s="1"/>
  <c r="O609" i="10" a="1"/>
  <c r="O609" i="10" s="1"/>
  <c r="D609" i="10" a="1"/>
  <c r="D609" i="10" s="1"/>
  <c r="H609" i="10" a="1"/>
  <c r="H609" i="10" s="1"/>
  <c r="K609" i="10" a="1"/>
  <c r="K609" i="10" s="1"/>
  <c r="N609" i="10" a="1"/>
  <c r="N609" i="10" s="1"/>
  <c r="M609" i="10" a="1"/>
  <c r="M609" i="10" s="1"/>
  <c r="G609" i="10" a="1"/>
  <c r="G609" i="10" s="1"/>
  <c r="J609" i="10" a="1"/>
  <c r="J609" i="10" s="1"/>
  <c r="L609" i="10" a="1"/>
  <c r="L609" i="10" s="1"/>
  <c r="P609" i="10" a="1"/>
  <c r="P609" i="10" s="1"/>
  <c r="F609" i="10" a="1"/>
  <c r="F609" i="10" s="1"/>
  <c r="I609" i="10" a="1"/>
  <c r="I609" i="10" s="1"/>
  <c r="E609" i="10" a="1"/>
  <c r="E609" i="10" s="1"/>
  <c r="J694" i="10" a="1"/>
  <c r="J694" i="10" s="1"/>
  <c r="E694" i="10" a="1"/>
  <c r="E694" i="10" s="1"/>
  <c r="M694" i="10" a="1"/>
  <c r="M694" i="10" s="1"/>
  <c r="O694" i="10" a="1"/>
  <c r="O694" i="10" s="1"/>
  <c r="G694" i="10" a="1"/>
  <c r="G694" i="10" s="1"/>
  <c r="D694" i="10" a="1"/>
  <c r="D694" i="10" s="1"/>
  <c r="L694" i="10" a="1"/>
  <c r="L694" i="10" s="1"/>
  <c r="N694" i="10" a="1"/>
  <c r="N694" i="10" s="1"/>
  <c r="K694" i="10" a="1"/>
  <c r="K694" i="10" s="1"/>
  <c r="I694" i="10" a="1"/>
  <c r="I694" i="10" s="1"/>
  <c r="F694" i="10" a="1"/>
  <c r="F694" i="10" s="1"/>
  <c r="H694" i="10" a="1"/>
  <c r="H694" i="10" s="1"/>
  <c r="P694" i="10" a="1"/>
  <c r="P694" i="10" s="1"/>
  <c r="O595" i="10" a="1"/>
  <c r="O595" i="10" s="1"/>
  <c r="I595" i="10" a="1"/>
  <c r="I595" i="10" s="1"/>
  <c r="K595" i="10" a="1"/>
  <c r="K595" i="10" s="1"/>
  <c r="N595" i="10" a="1"/>
  <c r="N595" i="10" s="1"/>
  <c r="F595" i="10" a="1"/>
  <c r="F595" i="10" s="1"/>
  <c r="H595" i="10" a="1"/>
  <c r="H595" i="10" s="1"/>
  <c r="P595" i="10" a="1"/>
  <c r="P595" i="10" s="1"/>
  <c r="M595" i="10" a="1"/>
  <c r="M595" i="10" s="1"/>
  <c r="E595" i="10" a="1"/>
  <c r="E595" i="10" s="1"/>
  <c r="L595" i="10" a="1"/>
  <c r="L595" i="10" s="1"/>
  <c r="D595" i="10" a="1"/>
  <c r="D595" i="10" s="1"/>
  <c r="J595" i="10" a="1"/>
  <c r="J595" i="10" s="1"/>
  <c r="G595" i="10" a="1"/>
  <c r="G595" i="10" s="1"/>
  <c r="F680" i="10" a="1"/>
  <c r="F680" i="10" s="1"/>
  <c r="I680" i="10" a="1"/>
  <c r="I680" i="10" s="1"/>
  <c r="L680" i="10" a="1"/>
  <c r="L680" i="10" s="1"/>
  <c r="G680" i="10" a="1"/>
  <c r="G680" i="10" s="1"/>
  <c r="E680" i="10" a="1"/>
  <c r="E680" i="10" s="1"/>
  <c r="K680" i="10" a="1"/>
  <c r="K680" i="10" s="1"/>
  <c r="D680" i="10" a="1"/>
  <c r="D680" i="10" s="1"/>
  <c r="P680" i="10" a="1"/>
  <c r="P680" i="10" s="1"/>
  <c r="O680" i="10" a="1"/>
  <c r="O680" i="10" s="1"/>
  <c r="N680" i="10" a="1"/>
  <c r="N680" i="10" s="1"/>
  <c r="M680" i="10" a="1"/>
  <c r="M680" i="10" s="1"/>
  <c r="H680" i="10" a="1"/>
  <c r="H680" i="10" s="1"/>
  <c r="J680" i="10" a="1"/>
  <c r="J680" i="10" s="1"/>
  <c r="H581" i="10" a="1"/>
  <c r="H581" i="10" s="1"/>
  <c r="J581" i="10" a="1"/>
  <c r="J581" i="10" s="1"/>
  <c r="N581" i="10" a="1"/>
  <c r="N581" i="10" s="1"/>
  <c r="D581" i="10" a="1"/>
  <c r="D581" i="10" s="1"/>
  <c r="G581" i="10" a="1"/>
  <c r="G581" i="10" s="1"/>
  <c r="P581" i="10" a="1"/>
  <c r="P581" i="10" s="1"/>
  <c r="M581" i="10" a="1"/>
  <c r="M581" i="10" s="1"/>
  <c r="O581" i="10" a="1"/>
  <c r="O581" i="10" s="1"/>
  <c r="L581" i="10" a="1"/>
  <c r="L581" i="10" s="1"/>
  <c r="I581" i="10" a="1"/>
  <c r="I581" i="10" s="1"/>
  <c r="E581" i="10" a="1"/>
  <c r="E581" i="10" s="1"/>
  <c r="F581" i="10" a="1"/>
  <c r="F581" i="10" s="1"/>
  <c r="K581" i="10" a="1"/>
  <c r="K581" i="10" s="1"/>
  <c r="M666" i="10" a="1"/>
  <c r="M666" i="10" s="1"/>
  <c r="L666" i="10" a="1"/>
  <c r="L666" i="10" s="1"/>
  <c r="G666" i="10" a="1"/>
  <c r="G666" i="10" s="1"/>
  <c r="K666" i="10" a="1"/>
  <c r="K666" i="10" s="1"/>
  <c r="E666" i="10" a="1"/>
  <c r="E666" i="10" s="1"/>
  <c r="H666" i="10" a="1"/>
  <c r="H666" i="10" s="1"/>
  <c r="P666" i="10" a="1"/>
  <c r="P666" i="10" s="1"/>
  <c r="F666" i="10" a="1"/>
  <c r="F666" i="10" s="1"/>
  <c r="J666" i="10" a="1"/>
  <c r="J666" i="10" s="1"/>
  <c r="D666" i="10" a="1"/>
  <c r="D666" i="10" s="1"/>
  <c r="O666" i="10" a="1"/>
  <c r="O666" i="10" s="1"/>
  <c r="N666" i="10" a="1"/>
  <c r="N666" i="10" s="1"/>
  <c r="I666" i="10" a="1"/>
  <c r="I666" i="10" s="1"/>
  <c r="N567" i="10" a="1"/>
  <c r="N567" i="10" s="1"/>
  <c r="J567" i="10" a="1"/>
  <c r="J567" i="10" s="1"/>
  <c r="G567" i="10" a="1"/>
  <c r="G567" i="10" s="1"/>
  <c r="P567" i="10" a="1"/>
  <c r="P567" i="10" s="1"/>
  <c r="M567" i="10" a="1"/>
  <c r="M567" i="10" s="1"/>
  <c r="O567" i="10" a="1"/>
  <c r="O567" i="10" s="1"/>
  <c r="F567" i="10" a="1"/>
  <c r="F567" i="10" s="1"/>
  <c r="I567" i="10" a="1"/>
  <c r="I567" i="10" s="1"/>
  <c r="L567" i="10" a="1"/>
  <c r="L567" i="10" s="1"/>
  <c r="H567" i="10" a="1"/>
  <c r="H567" i="10" s="1"/>
  <c r="E567" i="10" a="1"/>
  <c r="E567" i="10" s="1"/>
  <c r="D567" i="10" a="1"/>
  <c r="D567" i="10" s="1"/>
  <c r="K567" i="10" a="1"/>
  <c r="K567" i="10" s="1"/>
  <c r="F652" i="10" a="1"/>
  <c r="F652" i="10" s="1"/>
  <c r="I652" i="10" a="1"/>
  <c r="I652" i="10" s="1"/>
  <c r="L652" i="10" a="1"/>
  <c r="L652" i="10" s="1"/>
  <c r="E652" i="10" a="1"/>
  <c r="E652" i="10" s="1"/>
  <c r="N652" i="10" a="1"/>
  <c r="N652" i="10" s="1"/>
  <c r="J652" i="10" a="1"/>
  <c r="J652" i="10" s="1"/>
  <c r="D652" i="10" a="1"/>
  <c r="D652" i="10" s="1"/>
  <c r="O652" i="10" a="1"/>
  <c r="O652" i="10" s="1"/>
  <c r="P652" i="10" a="1"/>
  <c r="P652" i="10" s="1"/>
  <c r="H652" i="10" a="1"/>
  <c r="H652" i="10" s="1"/>
  <c r="M652" i="10" a="1"/>
  <c r="M652" i="10" s="1"/>
  <c r="G652" i="10" a="1"/>
  <c r="G652" i="10" s="1"/>
  <c r="K652" i="10" a="1"/>
  <c r="K652" i="10" s="1"/>
  <c r="O553" i="10" a="1"/>
  <c r="O553" i="10" s="1"/>
  <c r="D553" i="10" a="1"/>
  <c r="D553" i="10" s="1"/>
  <c r="H553" i="10" a="1"/>
  <c r="H553" i="10" s="1"/>
  <c r="K553" i="10" a="1"/>
  <c r="K553" i="10" s="1"/>
  <c r="G553" i="10" a="1"/>
  <c r="G553" i="10" s="1"/>
  <c r="P553" i="10" a="1"/>
  <c r="P553" i="10" s="1"/>
  <c r="N553" i="10" a="1"/>
  <c r="N553" i="10" s="1"/>
  <c r="J553" i="10" a="1"/>
  <c r="J553" i="10" s="1"/>
  <c r="F553" i="10" a="1"/>
  <c r="F553" i="10" s="1"/>
  <c r="I553" i="10" a="1"/>
  <c r="I553" i="10" s="1"/>
  <c r="M553" i="10" a="1"/>
  <c r="M553" i="10" s="1"/>
  <c r="E553" i="10" a="1"/>
  <c r="E553" i="10" s="1"/>
  <c r="L553" i="10" a="1"/>
  <c r="L553" i="10" s="1"/>
  <c r="H638" i="10" a="1"/>
  <c r="H638" i="10" s="1"/>
  <c r="G638" i="10" a="1"/>
  <c r="G638" i="10" s="1"/>
  <c r="L638" i="10" a="1"/>
  <c r="L638" i="10" s="1"/>
  <c r="D638" i="10" a="1"/>
  <c r="D638" i="10" s="1"/>
  <c r="F638" i="10" a="1"/>
  <c r="F638" i="10" s="1"/>
  <c r="K638" i="10" a="1"/>
  <c r="K638" i="10" s="1"/>
  <c r="J638" i="10" a="1"/>
  <c r="J638" i="10" s="1"/>
  <c r="I638" i="10" a="1"/>
  <c r="I638" i="10" s="1"/>
  <c r="O638" i="10" a="1"/>
  <c r="O638" i="10" s="1"/>
  <c r="E638" i="10" a="1"/>
  <c r="E638" i="10" s="1"/>
  <c r="P638" i="10" a="1"/>
  <c r="P638" i="10" s="1"/>
  <c r="N638" i="10" a="1"/>
  <c r="N638" i="10" s="1"/>
  <c r="M638" i="10" a="1"/>
  <c r="M638" i="10" s="1"/>
  <c r="H624" i="10" a="1"/>
  <c r="H624" i="10" s="1"/>
  <c r="J624" i="10" a="1"/>
  <c r="J624" i="10" s="1"/>
  <c r="N624" i="10" a="1"/>
  <c r="N624" i="10" s="1"/>
  <c r="D624" i="10" a="1"/>
  <c r="D624" i="10" s="1"/>
  <c r="G624" i="10" a="1"/>
  <c r="G624" i="10" s="1"/>
  <c r="M624" i="10" a="1"/>
  <c r="M624" i="10" s="1"/>
  <c r="F624" i="10" a="1"/>
  <c r="F624" i="10" s="1"/>
  <c r="P624" i="10" a="1"/>
  <c r="P624" i="10" s="1"/>
  <c r="L624" i="10" a="1"/>
  <c r="L624" i="10" s="1"/>
  <c r="I624" i="10" a="1"/>
  <c r="I624" i="10" s="1"/>
  <c r="E624" i="10" a="1"/>
  <c r="E624" i="10" s="1"/>
  <c r="O624" i="10" a="1"/>
  <c r="O624" i="10" s="1"/>
  <c r="K624" i="10" a="1"/>
  <c r="K624" i="10" s="1"/>
  <c r="E525" i="10" a="1"/>
  <c r="E525" i="10" s="1"/>
  <c r="H525" i="10" a="1"/>
  <c r="H525" i="10" s="1"/>
  <c r="L525" i="10" a="1"/>
  <c r="L525" i="10" s="1"/>
  <c r="G525" i="10" a="1"/>
  <c r="G525" i="10" s="1"/>
  <c r="D525" i="10" a="1"/>
  <c r="D525" i="10" s="1"/>
  <c r="K525" i="10" a="1"/>
  <c r="K525" i="10" s="1"/>
  <c r="J525" i="10" a="1"/>
  <c r="J525" i="10" s="1"/>
  <c r="O525" i="10" a="1"/>
  <c r="O525" i="10" s="1"/>
  <c r="N525" i="10" a="1"/>
  <c r="N525" i="10" s="1"/>
  <c r="I525" i="10" a="1"/>
  <c r="I525" i="10" s="1"/>
  <c r="F525" i="10" a="1"/>
  <c r="F525" i="10" s="1"/>
  <c r="P525" i="10" a="1"/>
  <c r="P525" i="10" s="1"/>
  <c r="M525" i="10" a="1"/>
  <c r="M525" i="10" s="1"/>
  <c r="I539" i="10" a="1"/>
  <c r="I539" i="10" s="1"/>
  <c r="M539" i="10" a="1"/>
  <c r="M539" i="10" s="1"/>
  <c r="O539" i="10" a="1"/>
  <c r="O539" i="10" s="1"/>
  <c r="L539" i="10" a="1"/>
  <c r="L539" i="10" s="1"/>
  <c r="H539" i="10" a="1"/>
  <c r="H539" i="10" s="1"/>
  <c r="G539" i="10" a="1"/>
  <c r="G539" i="10" s="1"/>
  <c r="N539" i="10" a="1"/>
  <c r="N539" i="10" s="1"/>
  <c r="K539" i="10" a="1"/>
  <c r="K539" i="10" s="1"/>
  <c r="F539" i="10" a="1"/>
  <c r="F539" i="10" s="1"/>
  <c r="J539" i="10" a="1"/>
  <c r="J539" i="10" s="1"/>
  <c r="E539" i="10" a="1"/>
  <c r="E539" i="10" s="1"/>
  <c r="P539" i="10" a="1"/>
  <c r="P539" i="10" s="1"/>
  <c r="D539" i="10" a="1"/>
  <c r="D539" i="10" s="1"/>
  <c r="I610" i="10" a="1"/>
  <c r="I610" i="10" s="1"/>
  <c r="L610" i="10" a="1"/>
  <c r="L610" i="10" s="1"/>
  <c r="P610" i="10" a="1"/>
  <c r="P610" i="10" s="1"/>
  <c r="E610" i="10" a="1"/>
  <c r="E610" i="10" s="1"/>
  <c r="H610" i="10" a="1"/>
  <c r="H610" i="10" s="1"/>
  <c r="O610" i="10" a="1"/>
  <c r="O610" i="10" s="1"/>
  <c r="G610" i="10" a="1"/>
  <c r="G610" i="10" s="1"/>
  <c r="K610" i="10" a="1"/>
  <c r="K610" i="10" s="1"/>
  <c r="N610" i="10" a="1"/>
  <c r="N610" i="10" s="1"/>
  <c r="M610" i="10" a="1"/>
  <c r="M610" i="10" s="1"/>
  <c r="D610" i="10" a="1"/>
  <c r="D610" i="10" s="1"/>
  <c r="F610" i="10" a="1"/>
  <c r="F610" i="10" s="1"/>
  <c r="J610" i="10" a="1"/>
  <c r="J610" i="10" s="1"/>
  <c r="P497" i="10" a="1"/>
  <c r="P497" i="10" s="1"/>
  <c r="L497" i="10" a="1"/>
  <c r="L497" i="10" s="1"/>
  <c r="I497" i="10" a="1"/>
  <c r="I497" i="10" s="1"/>
  <c r="E497" i="10" a="1"/>
  <c r="E497" i="10" s="1"/>
  <c r="O497" i="10" a="1"/>
  <c r="O497" i="10" s="1"/>
  <c r="K497" i="10" a="1"/>
  <c r="K497" i="10" s="1"/>
  <c r="H497" i="10" a="1"/>
  <c r="H497" i="10" s="1"/>
  <c r="J497" i="10" a="1"/>
  <c r="J497" i="10" s="1"/>
  <c r="N497" i="10" a="1"/>
  <c r="N497" i="10" s="1"/>
  <c r="D497" i="10" a="1"/>
  <c r="D497" i="10" s="1"/>
  <c r="G497" i="10" a="1"/>
  <c r="G497" i="10" s="1"/>
  <c r="F497" i="10" a="1"/>
  <c r="F497" i="10" s="1"/>
  <c r="M497" i="10" a="1"/>
  <c r="M497" i="10" s="1"/>
  <c r="P511" i="10" a="1"/>
  <c r="P511" i="10" s="1"/>
  <c r="I511" i="10" a="1"/>
  <c r="I511" i="10" s="1"/>
  <c r="K511" i="10" a="1"/>
  <c r="K511" i="10" s="1"/>
  <c r="M511" i="10" a="1"/>
  <c r="M511" i="10" s="1"/>
  <c r="O511" i="10" a="1"/>
  <c r="O511" i="10" s="1"/>
  <c r="E511" i="10" a="1"/>
  <c r="E511" i="10" s="1"/>
  <c r="H511" i="10" a="1"/>
  <c r="H511" i="10" s="1"/>
  <c r="F511" i="10" a="1"/>
  <c r="F511" i="10" s="1"/>
  <c r="L511" i="10" a="1"/>
  <c r="L511" i="10" s="1"/>
  <c r="N511" i="10" a="1"/>
  <c r="N511" i="10" s="1"/>
  <c r="D511" i="10" a="1"/>
  <c r="D511" i="10" s="1"/>
  <c r="G511" i="10" a="1"/>
  <c r="G511" i="10" s="1"/>
  <c r="J511" i="10" a="1"/>
  <c r="J511" i="10" s="1"/>
  <c r="E596" i="10" a="1"/>
  <c r="E596" i="10" s="1"/>
  <c r="H596" i="10" a="1"/>
  <c r="H596" i="10" s="1"/>
  <c r="K596" i="10" a="1"/>
  <c r="K596" i="10" s="1"/>
  <c r="M596" i="10" a="1"/>
  <c r="M596" i="10" s="1"/>
  <c r="D596" i="10" a="1"/>
  <c r="D596" i="10" s="1"/>
  <c r="L596" i="10" a="1"/>
  <c r="L596" i="10" s="1"/>
  <c r="P596" i="10" a="1"/>
  <c r="P596" i="10" s="1"/>
  <c r="G596" i="10" a="1"/>
  <c r="G596" i="10" s="1"/>
  <c r="J596" i="10" a="1"/>
  <c r="J596" i="10" s="1"/>
  <c r="F596" i="10" a="1"/>
  <c r="F596" i="10" s="1"/>
  <c r="O596" i="10" a="1"/>
  <c r="O596" i="10" s="1"/>
  <c r="I596" i="10" a="1"/>
  <c r="I596" i="10" s="1"/>
  <c r="N596" i="10" a="1"/>
  <c r="N596" i="10" s="1"/>
  <c r="N582" i="10" a="1"/>
  <c r="N582" i="10" s="1"/>
  <c r="P582" i="10" a="1"/>
  <c r="P582" i="10" s="1"/>
  <c r="G582" i="10" a="1"/>
  <c r="G582" i="10" s="1"/>
  <c r="J582" i="10" a="1"/>
  <c r="J582" i="10" s="1"/>
  <c r="M582" i="10" a="1"/>
  <c r="M582" i="10" s="1"/>
  <c r="L582" i="10" a="1"/>
  <c r="L582" i="10" s="1"/>
  <c r="F582" i="10" a="1"/>
  <c r="F582" i="10" s="1"/>
  <c r="O582" i="10" a="1"/>
  <c r="O582" i="10" s="1"/>
  <c r="E582" i="10" a="1"/>
  <c r="E582" i="10" s="1"/>
  <c r="D582" i="10" a="1"/>
  <c r="D582" i="10" s="1"/>
  <c r="I582" i="10" a="1"/>
  <c r="I582" i="10" s="1"/>
  <c r="K582" i="10" a="1"/>
  <c r="K582" i="10" s="1"/>
  <c r="H582" i="10" a="1"/>
  <c r="H582" i="10" s="1"/>
  <c r="F483" i="10" a="1"/>
  <c r="F483" i="10" s="1"/>
  <c r="M483" i="10" a="1"/>
  <c r="M483" i="10" s="1"/>
  <c r="I483" i="10" a="1"/>
  <c r="I483" i="10" s="1"/>
  <c r="E483" i="10" a="1"/>
  <c r="E483" i="10" s="1"/>
  <c r="P483" i="10" a="1"/>
  <c r="P483" i="10" s="1"/>
  <c r="L483" i="10" a="1"/>
  <c r="L483" i="10" s="1"/>
  <c r="H483" i="10" a="1"/>
  <c r="H483" i="10" s="1"/>
  <c r="D483" i="10" a="1"/>
  <c r="D483" i="10" s="1"/>
  <c r="N483" i="10" a="1"/>
  <c r="N483" i="10" s="1"/>
  <c r="O483" i="10" a="1"/>
  <c r="O483" i="10" s="1"/>
  <c r="K483" i="10" a="1"/>
  <c r="K483" i="10" s="1"/>
  <c r="G483" i="10" a="1"/>
  <c r="G483" i="10" s="1"/>
  <c r="J483" i="10" a="1"/>
  <c r="J483" i="10" s="1"/>
  <c r="M469" i="10" a="1"/>
  <c r="M469" i="10" s="1"/>
  <c r="I469" i="10" a="1"/>
  <c r="I469" i="10" s="1"/>
  <c r="F469" i="10" a="1"/>
  <c r="F469" i="10" s="1"/>
  <c r="O469" i="10" a="1"/>
  <c r="O469" i="10" s="1"/>
  <c r="L469" i="10" a="1"/>
  <c r="L469" i="10" s="1"/>
  <c r="H469" i="10" a="1"/>
  <c r="H469" i="10" s="1"/>
  <c r="E469" i="10" a="1"/>
  <c r="E469" i="10" s="1"/>
  <c r="N469" i="10" a="1"/>
  <c r="N469" i="10" s="1"/>
  <c r="K469" i="10" a="1"/>
  <c r="K469" i="10" s="1"/>
  <c r="G469" i="10" a="1"/>
  <c r="G469" i="10" s="1"/>
  <c r="D469" i="10" a="1"/>
  <c r="D469" i="10" s="1"/>
  <c r="J469" i="10" a="1"/>
  <c r="J469" i="10" s="1"/>
  <c r="P469" i="10" a="1"/>
  <c r="P469" i="10" s="1"/>
  <c r="O568" i="10" a="1"/>
  <c r="O568" i="10" s="1"/>
  <c r="K568" i="10" a="1"/>
  <c r="K568" i="10" s="1"/>
  <c r="G568" i="10" a="1"/>
  <c r="G568" i="10" s="1"/>
  <c r="J568" i="10" a="1"/>
  <c r="J568" i="10" s="1"/>
  <c r="N568" i="10" a="1"/>
  <c r="N568" i="10" s="1"/>
  <c r="F568" i="10" a="1"/>
  <c r="F568" i="10" s="1"/>
  <c r="M568" i="10" a="1"/>
  <c r="M568" i="10" s="1"/>
  <c r="I568" i="10" a="1"/>
  <c r="I568" i="10" s="1"/>
  <c r="E568" i="10" a="1"/>
  <c r="E568" i="10" s="1"/>
  <c r="H568" i="10" a="1"/>
  <c r="H568" i="10" s="1"/>
  <c r="P568" i="10" a="1"/>
  <c r="P568" i="10" s="1"/>
  <c r="L568" i="10" a="1"/>
  <c r="L568" i="10" s="1"/>
  <c r="D568" i="10" a="1"/>
  <c r="D568" i="10" s="1"/>
  <c r="N554" i="10" a="1"/>
  <c r="N554" i="10" s="1"/>
  <c r="F554" i="10" a="1"/>
  <c r="F554" i="10" s="1"/>
  <c r="J554" i="10" a="1"/>
  <c r="J554" i="10" s="1"/>
  <c r="M554" i="10" a="1"/>
  <c r="M554" i="10" s="1"/>
  <c r="G554" i="10" a="1"/>
  <c r="G554" i="10" s="1"/>
  <c r="I554" i="10" a="1"/>
  <c r="I554" i="10" s="1"/>
  <c r="E554" i="10" a="1"/>
  <c r="E554" i="10" s="1"/>
  <c r="P554" i="10" a="1"/>
  <c r="P554" i="10" s="1"/>
  <c r="D554" i="10" a="1"/>
  <c r="D554" i="10" s="1"/>
  <c r="H554" i="10" a="1"/>
  <c r="H554" i="10" s="1"/>
  <c r="L554" i="10" a="1"/>
  <c r="L554" i="10" s="1"/>
  <c r="O554" i="10" a="1"/>
  <c r="O554" i="10" s="1"/>
  <c r="K554" i="10" a="1"/>
  <c r="K554" i="10" s="1"/>
  <c r="G455" i="10" a="1"/>
  <c r="G455" i="10" s="1"/>
  <c r="P455" i="10" a="1"/>
  <c r="P455" i="10" s="1"/>
  <c r="F455" i="10" a="1"/>
  <c r="F455" i="10" s="1"/>
  <c r="I455" i="10" a="1"/>
  <c r="I455" i="10" s="1"/>
  <c r="M455" i="10" a="1"/>
  <c r="M455" i="10" s="1"/>
  <c r="E455" i="10" a="1"/>
  <c r="E455" i="10" s="1"/>
  <c r="L455" i="10" a="1"/>
  <c r="L455" i="10" s="1"/>
  <c r="O455" i="10" a="1"/>
  <c r="O455" i="10" s="1"/>
  <c r="D455" i="10" a="1"/>
  <c r="D455" i="10" s="1"/>
  <c r="N455" i="10" a="1"/>
  <c r="N455" i="10" s="1"/>
  <c r="J455" i="10" a="1"/>
  <c r="J455" i="10" s="1"/>
  <c r="H455" i="10" a="1"/>
  <c r="H455" i="10" s="1"/>
  <c r="K455" i="10" a="1"/>
  <c r="K455" i="10" s="1"/>
  <c r="D540" i="10" a="1"/>
  <c r="D540" i="10" s="1"/>
  <c r="G540" i="10" a="1"/>
  <c r="G540" i="10" s="1"/>
  <c r="K540" i="10" a="1"/>
  <c r="K540" i="10" s="1"/>
  <c r="F540" i="10" a="1"/>
  <c r="F540" i="10" s="1"/>
  <c r="J540" i="10" a="1"/>
  <c r="J540" i="10" s="1"/>
  <c r="I540" i="10" a="1"/>
  <c r="I540" i="10" s="1"/>
  <c r="P540" i="10" a="1"/>
  <c r="P540" i="10" s="1"/>
  <c r="M540" i="10" a="1"/>
  <c r="M540" i="10" s="1"/>
  <c r="H540" i="10" a="1"/>
  <c r="H540" i="10" s="1"/>
  <c r="E540" i="10" a="1"/>
  <c r="E540" i="10" s="1"/>
  <c r="O540" i="10" a="1"/>
  <c r="O540" i="10" s="1"/>
  <c r="L540" i="10" a="1"/>
  <c r="L540" i="10" s="1"/>
  <c r="N540" i="10" a="1"/>
  <c r="N540" i="10" s="1"/>
  <c r="I441" i="10" a="1"/>
  <c r="I441" i="10" s="1"/>
  <c r="P441" i="10" a="1"/>
  <c r="P441" i="10" s="1"/>
  <c r="F441" i="10" a="1"/>
  <c r="F441" i="10" s="1"/>
  <c r="M441" i="10" a="1"/>
  <c r="M441" i="10" s="1"/>
  <c r="H441" i="10" a="1"/>
  <c r="H441" i="10" s="1"/>
  <c r="E441" i="10" a="1"/>
  <c r="E441" i="10" s="1"/>
  <c r="O441" i="10" a="1"/>
  <c r="O441" i="10" s="1"/>
  <c r="L441" i="10" a="1"/>
  <c r="L441" i="10" s="1"/>
  <c r="G441" i="10" a="1"/>
  <c r="G441" i="10" s="1"/>
  <c r="D441" i="10" a="1"/>
  <c r="D441" i="10" s="1"/>
  <c r="N441" i="10" a="1"/>
  <c r="N441" i="10" s="1"/>
  <c r="K441" i="10" a="1"/>
  <c r="K441" i="10" s="1"/>
  <c r="J441" i="10" a="1"/>
  <c r="J441" i="10" s="1"/>
  <c r="M526" i="10" a="1"/>
  <c r="M526" i="10" s="1"/>
  <c r="L526" i="10" a="1"/>
  <c r="L526" i="10" s="1"/>
  <c r="P526" i="10" a="1"/>
  <c r="P526" i="10" s="1"/>
  <c r="E526" i="10" a="1"/>
  <c r="E526" i="10" s="1"/>
  <c r="H526" i="10" a="1"/>
  <c r="H526" i="10" s="1"/>
  <c r="K526" i="10" a="1"/>
  <c r="K526" i="10" s="1"/>
  <c r="O526" i="10" a="1"/>
  <c r="O526" i="10" s="1"/>
  <c r="D526" i="10" a="1"/>
  <c r="D526" i="10" s="1"/>
  <c r="G526" i="10" a="1"/>
  <c r="G526" i="10" s="1"/>
  <c r="J526" i="10" a="1"/>
  <c r="J526" i="10" s="1"/>
  <c r="N526" i="10" a="1"/>
  <c r="N526" i="10" s="1"/>
  <c r="I526" i="10" a="1"/>
  <c r="I526" i="10" s="1"/>
  <c r="F526" i="10" a="1"/>
  <c r="F526" i="10" s="1"/>
  <c r="H427" i="10" a="1"/>
  <c r="H427" i="10" s="1"/>
  <c r="N427" i="10" a="1"/>
  <c r="N427" i="10" s="1"/>
  <c r="K427" i="10" a="1"/>
  <c r="K427" i="10" s="1"/>
  <c r="G427" i="10" a="1"/>
  <c r="G427" i="10" s="1"/>
  <c r="D427" i="10" a="1"/>
  <c r="D427" i="10" s="1"/>
  <c r="M427" i="10" a="1"/>
  <c r="M427" i="10" s="1"/>
  <c r="O427" i="10" a="1"/>
  <c r="O427" i="10" s="1"/>
  <c r="J427" i="10" a="1"/>
  <c r="J427" i="10" s="1"/>
  <c r="F427" i="10" a="1"/>
  <c r="F427" i="10" s="1"/>
  <c r="P427" i="10" a="1"/>
  <c r="P427" i="10" s="1"/>
  <c r="E427" i="10" a="1"/>
  <c r="E427" i="10" s="1"/>
  <c r="I427" i="10" a="1"/>
  <c r="I427" i="10" s="1"/>
  <c r="L427" i="10" a="1"/>
  <c r="L427" i="10" s="1"/>
  <c r="M512" i="10" a="1"/>
  <c r="M512" i="10" s="1"/>
  <c r="I512" i="10" a="1"/>
  <c r="I512" i="10" s="1"/>
  <c r="F512" i="10" a="1"/>
  <c r="F512" i="10" s="1"/>
  <c r="H512" i="10" a="1"/>
  <c r="H512" i="10" s="1"/>
  <c r="L512" i="10" a="1"/>
  <c r="L512" i="10" s="1"/>
  <c r="G512" i="10" a="1"/>
  <c r="G512" i="10" s="1"/>
  <c r="P512" i="10" a="1"/>
  <c r="P512" i="10" s="1"/>
  <c r="E512" i="10" a="1"/>
  <c r="E512" i="10" s="1"/>
  <c r="O512" i="10" a="1"/>
  <c r="O512" i="10" s="1"/>
  <c r="K512" i="10" a="1"/>
  <c r="K512" i="10" s="1"/>
  <c r="N512" i="10" a="1"/>
  <c r="N512" i="10" s="1"/>
  <c r="J512" i="10" a="1"/>
  <c r="J512" i="10" s="1"/>
  <c r="D512" i="10" a="1"/>
  <c r="D512" i="10" s="1"/>
  <c r="L413" i="10" a="1"/>
  <c r="L413" i="10" s="1"/>
  <c r="G413" i="10" a="1"/>
  <c r="G413" i="10" s="1"/>
  <c r="D413" i="10" a="1"/>
  <c r="D413" i="10" s="1"/>
  <c r="N413" i="10" a="1"/>
  <c r="N413" i="10" s="1"/>
  <c r="O413" i="10" a="1"/>
  <c r="O413" i="10" s="1"/>
  <c r="K413" i="10" a="1"/>
  <c r="K413" i="10" s="1"/>
  <c r="F413" i="10" a="1"/>
  <c r="F413" i="10" s="1"/>
  <c r="H413" i="10" a="1"/>
  <c r="H413" i="10" s="1"/>
  <c r="J413" i="10" a="1"/>
  <c r="J413" i="10" s="1"/>
  <c r="M413" i="10" a="1"/>
  <c r="M413" i="10" s="1"/>
  <c r="I413" i="10" a="1"/>
  <c r="I413" i="10" s="1"/>
  <c r="E413" i="10" a="1"/>
  <c r="E413" i="10" s="1"/>
  <c r="P413" i="10" a="1"/>
  <c r="P413" i="10" s="1"/>
  <c r="H498" i="10" a="1"/>
  <c r="H498" i="10" s="1"/>
  <c r="E498" i="10" a="1"/>
  <c r="E498" i="10" s="1"/>
  <c r="N498" i="10" a="1"/>
  <c r="N498" i="10" s="1"/>
  <c r="D498" i="10" a="1"/>
  <c r="D498" i="10" s="1"/>
  <c r="M498" i="10" a="1"/>
  <c r="M498" i="10" s="1"/>
  <c r="G498" i="10" a="1"/>
  <c r="G498" i="10" s="1"/>
  <c r="K498" i="10" a="1"/>
  <c r="K498" i="10" s="1"/>
  <c r="L498" i="10" a="1"/>
  <c r="L498" i="10" s="1"/>
  <c r="I498" i="10" a="1"/>
  <c r="I498" i="10" s="1"/>
  <c r="F498" i="10" a="1"/>
  <c r="F498" i="10" s="1"/>
  <c r="P498" i="10" a="1"/>
  <c r="P498" i="10" s="1"/>
  <c r="O498" i="10" a="1"/>
  <c r="O498" i="10" s="1"/>
  <c r="J498" i="10" a="1"/>
  <c r="J498" i="10" s="1"/>
  <c r="J385" i="10" a="1"/>
  <c r="J385" i="10" s="1"/>
  <c r="L385" i="10" a="1"/>
  <c r="L385" i="10" s="1"/>
  <c r="I385" i="10" a="1"/>
  <c r="I385" i="10" s="1"/>
  <c r="D385" i="10" a="1"/>
  <c r="D385" i="10" s="1"/>
  <c r="P385" i="10" a="1"/>
  <c r="P385" i="10" s="1"/>
  <c r="G385" i="10" a="1"/>
  <c r="G385" i="10" s="1"/>
  <c r="K385" i="10" a="1"/>
  <c r="K385" i="10" s="1"/>
  <c r="H385" i="10" a="1"/>
  <c r="H385" i="10" s="1"/>
  <c r="O385" i="10" a="1"/>
  <c r="O385" i="10" s="1"/>
  <c r="N385" i="10" a="1"/>
  <c r="N385" i="10" s="1"/>
  <c r="F385" i="10" a="1"/>
  <c r="F385" i="10" s="1"/>
  <c r="M385" i="10" a="1"/>
  <c r="M385" i="10" s="1"/>
  <c r="E385" i="10" a="1"/>
  <c r="E385" i="10" s="1"/>
  <c r="I399" i="10" a="1"/>
  <c r="I399" i="10" s="1"/>
  <c r="P399" i="10" a="1"/>
  <c r="P399" i="10" s="1"/>
  <c r="M399" i="10" a="1"/>
  <c r="M399" i="10" s="1"/>
  <c r="H399" i="10" a="1"/>
  <c r="H399" i="10" s="1"/>
  <c r="F399" i="10" a="1"/>
  <c r="F399" i="10" s="1"/>
  <c r="E399" i="10" a="1"/>
  <c r="E399" i="10" s="1"/>
  <c r="O399" i="10" a="1"/>
  <c r="O399" i="10" s="1"/>
  <c r="K399" i="10" a="1"/>
  <c r="K399" i="10" s="1"/>
  <c r="L399" i="10" a="1"/>
  <c r="L399" i="10" s="1"/>
  <c r="G399" i="10" a="1"/>
  <c r="G399" i="10" s="1"/>
  <c r="D399" i="10" a="1"/>
  <c r="D399" i="10" s="1"/>
  <c r="N399" i="10" a="1"/>
  <c r="N399" i="10" s="1"/>
  <c r="J399" i="10" a="1"/>
  <c r="J399" i="10" s="1"/>
  <c r="P484" i="10" a="1"/>
  <c r="P484" i="10" s="1"/>
  <c r="J484" i="10" a="1"/>
  <c r="J484" i="10" s="1"/>
  <c r="H484" i="10" a="1"/>
  <c r="H484" i="10" s="1"/>
  <c r="D484" i="10" a="1"/>
  <c r="D484" i="10" s="1"/>
  <c r="N484" i="10" a="1"/>
  <c r="N484" i="10" s="1"/>
  <c r="M484" i="10" a="1"/>
  <c r="M484" i="10" s="1"/>
  <c r="I484" i="10" a="1"/>
  <c r="I484" i="10" s="1"/>
  <c r="G484" i="10" a="1"/>
  <c r="G484" i="10" s="1"/>
  <c r="L484" i="10" a="1"/>
  <c r="L484" i="10" s="1"/>
  <c r="F484" i="10" a="1"/>
  <c r="F484" i="10" s="1"/>
  <c r="O484" i="10" a="1"/>
  <c r="O484" i="10" s="1"/>
  <c r="K484" i="10" a="1"/>
  <c r="K484" i="10" s="1"/>
  <c r="E484" i="10" a="1"/>
  <c r="E484" i="10" s="1"/>
  <c r="G470" i="10" a="1"/>
  <c r="G470" i="10" s="1"/>
  <c r="I470" i="10" a="1"/>
  <c r="I470" i="10" s="1"/>
  <c r="M470" i="10" a="1"/>
  <c r="M470" i="10" s="1"/>
  <c r="P470" i="10" a="1"/>
  <c r="P470" i="10" s="1"/>
  <c r="F470" i="10" a="1"/>
  <c r="F470" i="10" s="1"/>
  <c r="L470" i="10" a="1"/>
  <c r="L470" i="10" s="1"/>
  <c r="J470" i="10" a="1"/>
  <c r="J470" i="10" s="1"/>
  <c r="E470" i="10" a="1"/>
  <c r="E470" i="10" s="1"/>
  <c r="O470" i="10" a="1"/>
  <c r="O470" i="10" s="1"/>
  <c r="K470" i="10" a="1"/>
  <c r="K470" i="10" s="1"/>
  <c r="N470" i="10" a="1"/>
  <c r="N470" i="10" s="1"/>
  <c r="H470" i="10" a="1"/>
  <c r="H470" i="10" s="1"/>
  <c r="D470" i="10" a="1"/>
  <c r="D470" i="10" s="1"/>
  <c r="O371" i="10" a="1"/>
  <c r="O371" i="10" s="1"/>
  <c r="J371" i="10" a="1"/>
  <c r="J371" i="10" s="1"/>
  <c r="G371" i="10" a="1"/>
  <c r="G371" i="10" s="1"/>
  <c r="F371" i="10" a="1"/>
  <c r="F371" i="10" s="1"/>
  <c r="M371" i="10" a="1"/>
  <c r="M371" i="10" s="1"/>
  <c r="H371" i="10" a="1"/>
  <c r="H371" i="10" s="1"/>
  <c r="E371" i="10" a="1"/>
  <c r="E371" i="10" s="1"/>
  <c r="L371" i="10" a="1"/>
  <c r="L371" i="10" s="1"/>
  <c r="I371" i="10" a="1"/>
  <c r="I371" i="10" s="1"/>
  <c r="D371" i="10" a="1"/>
  <c r="D371" i="10" s="1"/>
  <c r="N371" i="10" a="1"/>
  <c r="N371" i="10" s="1"/>
  <c r="P371" i="10" a="1"/>
  <c r="P371" i="10" s="1"/>
  <c r="K371" i="10" a="1"/>
  <c r="K371" i="10" s="1"/>
  <c r="N456" i="10" a="1"/>
  <c r="N456" i="10" s="1"/>
  <c r="F456" i="10" a="1"/>
  <c r="F456" i="10" s="1"/>
  <c r="J456" i="10" a="1"/>
  <c r="J456" i="10" s="1"/>
  <c r="M456" i="10" a="1"/>
  <c r="M456" i="10" s="1"/>
  <c r="I456" i="10" a="1"/>
  <c r="I456" i="10" s="1"/>
  <c r="E456" i="10" a="1"/>
  <c r="E456" i="10" s="1"/>
  <c r="P456" i="10" a="1"/>
  <c r="P456" i="10" s="1"/>
  <c r="L456" i="10" a="1"/>
  <c r="L456" i="10" s="1"/>
  <c r="H456" i="10" a="1"/>
  <c r="H456" i="10" s="1"/>
  <c r="D456" i="10" a="1"/>
  <c r="D456" i="10" s="1"/>
  <c r="G456" i="10" a="1"/>
  <c r="G456" i="10" s="1"/>
  <c r="O456" i="10" a="1"/>
  <c r="O456" i="10" s="1"/>
  <c r="K456" i="10" a="1"/>
  <c r="K456" i="10" s="1"/>
  <c r="I357" i="10" a="1"/>
  <c r="I357" i="10" s="1"/>
  <c r="H357" i="10" a="1"/>
  <c r="H357" i="10" s="1"/>
  <c r="M357" i="10" a="1"/>
  <c r="M357" i="10" s="1"/>
  <c r="O357" i="10" a="1"/>
  <c r="O357" i="10" s="1"/>
  <c r="E357" i="10" a="1"/>
  <c r="E357" i="10" s="1"/>
  <c r="G357" i="10" a="1"/>
  <c r="G357" i="10" s="1"/>
  <c r="L357" i="10" a="1"/>
  <c r="L357" i="10" s="1"/>
  <c r="J357" i="10" a="1"/>
  <c r="J357" i="10" s="1"/>
  <c r="D357" i="10" a="1"/>
  <c r="D357" i="10" s="1"/>
  <c r="F357" i="10" a="1"/>
  <c r="F357" i="10" s="1"/>
  <c r="K357" i="10" a="1"/>
  <c r="K357" i="10" s="1"/>
  <c r="N357" i="10" a="1"/>
  <c r="N357" i="10" s="1"/>
  <c r="P357" i="10" a="1"/>
  <c r="P357" i="10" s="1"/>
  <c r="E442" i="10" a="1"/>
  <c r="E442" i="10" s="1"/>
  <c r="N442" i="10" a="1"/>
  <c r="N442" i="10" s="1"/>
  <c r="L442" i="10" a="1"/>
  <c r="L442" i="10" s="1"/>
  <c r="O442" i="10" a="1"/>
  <c r="O442" i="10" s="1"/>
  <c r="D442" i="10" a="1"/>
  <c r="D442" i="10" s="1"/>
  <c r="J442" i="10" a="1"/>
  <c r="J442" i="10" s="1"/>
  <c r="H442" i="10" a="1"/>
  <c r="H442" i="10" s="1"/>
  <c r="K442" i="10" a="1"/>
  <c r="K442" i="10" s="1"/>
  <c r="G442" i="10" a="1"/>
  <c r="G442" i="10" s="1"/>
  <c r="I442" i="10" a="1"/>
  <c r="I442" i="10" s="1"/>
  <c r="F442" i="10" a="1"/>
  <c r="F442" i="10" s="1"/>
  <c r="M442" i="10" a="1"/>
  <c r="M442" i="10" s="1"/>
  <c r="P442" i="10" a="1"/>
  <c r="P442" i="10" s="1"/>
  <c r="M343" i="10" a="1"/>
  <c r="M343" i="10" s="1"/>
  <c r="P343" i="10" a="1"/>
  <c r="P343" i="10" s="1"/>
  <c r="F343" i="10" a="1"/>
  <c r="F343" i="10" s="1"/>
  <c r="H343" i="10" a="1"/>
  <c r="H343" i="10" s="1"/>
  <c r="L343" i="10" a="1"/>
  <c r="L343" i="10" s="1"/>
  <c r="O343" i="10" a="1"/>
  <c r="O343" i="10" s="1"/>
  <c r="E343" i="10" a="1"/>
  <c r="E343" i="10" s="1"/>
  <c r="N343" i="10" a="1"/>
  <c r="N343" i="10" s="1"/>
  <c r="K343" i="10" a="1"/>
  <c r="K343" i="10" s="1"/>
  <c r="G343" i="10" a="1"/>
  <c r="G343" i="10" s="1"/>
  <c r="D343" i="10" a="1"/>
  <c r="D343" i="10" s="1"/>
  <c r="J343" i="10" a="1"/>
  <c r="J343" i="10" s="1"/>
  <c r="I343" i="10" a="1"/>
  <c r="I343" i="10" s="1"/>
  <c r="E428" i="10" a="1"/>
  <c r="E428" i="10" s="1"/>
  <c r="O428" i="10" a="1"/>
  <c r="O428" i="10" s="1"/>
  <c r="L428" i="10" a="1"/>
  <c r="L428" i="10" s="1"/>
  <c r="G428" i="10" a="1"/>
  <c r="G428" i="10" s="1"/>
  <c r="D428" i="10" a="1"/>
  <c r="D428" i="10" s="1"/>
  <c r="K428" i="10" a="1"/>
  <c r="K428" i="10" s="1"/>
  <c r="P428" i="10" a="1"/>
  <c r="P428" i="10" s="1"/>
  <c r="J428" i="10" a="1"/>
  <c r="J428" i="10" s="1"/>
  <c r="F428" i="10" a="1"/>
  <c r="F428" i="10" s="1"/>
  <c r="N428" i="10" a="1"/>
  <c r="N428" i="10" s="1"/>
  <c r="I428" i="10" a="1"/>
  <c r="I428" i="10" s="1"/>
  <c r="M428" i="10" a="1"/>
  <c r="M428" i="10" s="1"/>
  <c r="H428" i="10" a="1"/>
  <c r="H428" i="10" s="1"/>
  <c r="F329" i="10" a="1"/>
  <c r="F329" i="10" s="1"/>
  <c r="M329" i="10" a="1"/>
  <c r="M329" i="10" s="1"/>
  <c r="D329" i="10" a="1"/>
  <c r="D329" i="10" s="1"/>
  <c r="I329" i="10" a="1"/>
  <c r="I329" i="10" s="1"/>
  <c r="E329" i="10" a="1"/>
  <c r="E329" i="10" s="1"/>
  <c r="P329" i="10" a="1"/>
  <c r="P329" i="10" s="1"/>
  <c r="L329" i="10" a="1"/>
  <c r="L329" i="10" s="1"/>
  <c r="H329" i="10" a="1"/>
  <c r="H329" i="10" s="1"/>
  <c r="O329" i="10" a="1"/>
  <c r="O329" i="10" s="1"/>
  <c r="K329" i="10" a="1"/>
  <c r="K329" i="10" s="1"/>
  <c r="G329" i="10" a="1"/>
  <c r="G329" i="10" s="1"/>
  <c r="J329" i="10" a="1"/>
  <c r="J329" i="10" s="1"/>
  <c r="N329" i="10" a="1"/>
  <c r="N329" i="10" s="1"/>
  <c r="K315" i="10" a="1"/>
  <c r="K315" i="10" s="1"/>
  <c r="N315" i="10" a="1"/>
  <c r="N315" i="10" s="1"/>
  <c r="D315" i="10" a="1"/>
  <c r="D315" i="10" s="1"/>
  <c r="F315" i="10" a="1"/>
  <c r="F315" i="10" s="1"/>
  <c r="J315" i="10" a="1"/>
  <c r="J315" i="10" s="1"/>
  <c r="I315" i="10" a="1"/>
  <c r="I315" i="10" s="1"/>
  <c r="P315" i="10" a="1"/>
  <c r="P315" i="10" s="1"/>
  <c r="M315" i="10" a="1"/>
  <c r="M315" i="10" s="1"/>
  <c r="H315" i="10" a="1"/>
  <c r="H315" i="10" s="1"/>
  <c r="L315" i="10" a="1"/>
  <c r="L315" i="10" s="1"/>
  <c r="O315" i="10" a="1"/>
  <c r="O315" i="10" s="1"/>
  <c r="E315" i="10" a="1"/>
  <c r="E315" i="10" s="1"/>
  <c r="G315" i="10" a="1"/>
  <c r="G315" i="10" s="1"/>
  <c r="E414" i="10" a="1"/>
  <c r="E414" i="10" s="1"/>
  <c r="N414" i="10" a="1"/>
  <c r="N414" i="10" s="1"/>
  <c r="K414" i="10" a="1"/>
  <c r="K414" i="10" s="1"/>
  <c r="G414" i="10" a="1"/>
  <c r="G414" i="10" s="1"/>
  <c r="D414" i="10" a="1"/>
  <c r="D414" i="10" s="1"/>
  <c r="J414" i="10" a="1"/>
  <c r="J414" i="10" s="1"/>
  <c r="P414" i="10" a="1"/>
  <c r="P414" i="10" s="1"/>
  <c r="L414" i="10" a="1"/>
  <c r="L414" i="10" s="1"/>
  <c r="M414" i="10" a="1"/>
  <c r="M414" i="10" s="1"/>
  <c r="I414" i="10" a="1"/>
  <c r="I414" i="10" s="1"/>
  <c r="H414" i="10" a="1"/>
  <c r="H414" i="10" s="1"/>
  <c r="F414" i="10" a="1"/>
  <c r="F414" i="10" s="1"/>
  <c r="O414" i="10" a="1"/>
  <c r="O414" i="10" s="1"/>
  <c r="G400" i="10" a="1"/>
  <c r="G400" i="10" s="1"/>
  <c r="J400" i="10" a="1"/>
  <c r="J400" i="10" s="1"/>
  <c r="O400" i="10" a="1"/>
  <c r="O400" i="10" s="1"/>
  <c r="N400" i="10" a="1"/>
  <c r="N400" i="10" s="1"/>
  <c r="I400" i="10" a="1"/>
  <c r="I400" i="10" s="1"/>
  <c r="F400" i="10" a="1"/>
  <c r="F400" i="10" s="1"/>
  <c r="M400" i="10" a="1"/>
  <c r="M400" i="10" s="1"/>
  <c r="D400" i="10" a="1"/>
  <c r="D400" i="10" s="1"/>
  <c r="E400" i="10" a="1"/>
  <c r="E400" i="10" s="1"/>
  <c r="H400" i="10" a="1"/>
  <c r="H400" i="10" s="1"/>
  <c r="K400" i="10" a="1"/>
  <c r="K400" i="10" s="1"/>
  <c r="P400" i="10" a="1"/>
  <c r="P400" i="10" s="1"/>
  <c r="L400" i="10" a="1"/>
  <c r="L400" i="10" s="1"/>
  <c r="K386" i="10" a="1"/>
  <c r="K386" i="10" s="1"/>
  <c r="J386" i="10" a="1"/>
  <c r="J386" i="10" s="1"/>
  <c r="P386" i="10" a="1"/>
  <c r="P386" i="10" s="1"/>
  <c r="F386" i="10" a="1"/>
  <c r="F386" i="10" s="1"/>
  <c r="I386" i="10" a="1"/>
  <c r="I386" i="10" s="1"/>
  <c r="M386" i="10" a="1"/>
  <c r="M386" i="10" s="1"/>
  <c r="O386" i="10" a="1"/>
  <c r="O386" i="10" s="1"/>
  <c r="H386" i="10" a="1"/>
  <c r="H386" i="10" s="1"/>
  <c r="G386" i="10" a="1"/>
  <c r="G386" i="10" s="1"/>
  <c r="E386" i="10" a="1"/>
  <c r="E386" i="10" s="1"/>
  <c r="N386" i="10" a="1"/>
  <c r="N386" i="10" s="1"/>
  <c r="L386" i="10" a="1"/>
  <c r="L386" i="10" s="1"/>
  <c r="D386" i="10" a="1"/>
  <c r="D386" i="10" s="1"/>
  <c r="O301" i="10" a="1"/>
  <c r="O301" i="10" s="1"/>
  <c r="K301" i="10" a="1"/>
  <c r="K301" i="10" s="1"/>
  <c r="G301" i="10" a="1"/>
  <c r="G301" i="10" s="1"/>
  <c r="J301" i="10" a="1"/>
  <c r="J301" i="10" s="1"/>
  <c r="N301" i="10" a="1"/>
  <c r="N301" i="10" s="1"/>
  <c r="F301" i="10" a="1"/>
  <c r="F301" i="10" s="1"/>
  <c r="M301" i="10" a="1"/>
  <c r="M301" i="10" s="1"/>
  <c r="I301" i="10" a="1"/>
  <c r="I301" i="10" s="1"/>
  <c r="E301" i="10" a="1"/>
  <c r="E301" i="10" s="1"/>
  <c r="P301" i="10" a="1"/>
  <c r="P301" i="10" s="1"/>
  <c r="L301" i="10" a="1"/>
  <c r="L301" i="10" s="1"/>
  <c r="H301" i="10" a="1"/>
  <c r="H301" i="10" s="1"/>
  <c r="D301" i="10" a="1"/>
  <c r="D301" i="10" s="1"/>
  <c r="O372" i="10" a="1"/>
  <c r="O372" i="10" s="1"/>
  <c r="G372" i="10" a="1"/>
  <c r="G372" i="10" s="1"/>
  <c r="L372" i="10" a="1"/>
  <c r="L372" i="10" s="1"/>
  <c r="N372" i="10" a="1"/>
  <c r="N372" i="10" s="1"/>
  <c r="M372" i="10" a="1"/>
  <c r="M372" i="10" s="1"/>
  <c r="D372" i="10" a="1"/>
  <c r="D372" i="10" s="1"/>
  <c r="F372" i="10" a="1"/>
  <c r="F372" i="10" s="1"/>
  <c r="K372" i="10" a="1"/>
  <c r="K372" i="10" s="1"/>
  <c r="J372" i="10" a="1"/>
  <c r="J372" i="10" s="1"/>
  <c r="I372" i="10" a="1"/>
  <c r="I372" i="10" s="1"/>
  <c r="P372" i="10" a="1"/>
  <c r="P372" i="10" s="1"/>
  <c r="E372" i="10" a="1"/>
  <c r="E372" i="10" s="1"/>
  <c r="H372" i="10" a="1"/>
  <c r="H372" i="10" s="1"/>
  <c r="K287" i="10" a="1"/>
  <c r="K287" i="10" s="1"/>
  <c r="F287" i="10" a="1"/>
  <c r="F287" i="10" s="1"/>
  <c r="J287" i="10" a="1"/>
  <c r="J287" i="10" s="1"/>
  <c r="M287" i="10" a="1"/>
  <c r="M287" i="10" s="1"/>
  <c r="I287" i="10" a="1"/>
  <c r="I287" i="10" s="1"/>
  <c r="E287" i="10" a="1"/>
  <c r="E287" i="10" s="1"/>
  <c r="P287" i="10" a="1"/>
  <c r="P287" i="10" s="1"/>
  <c r="L287" i="10" a="1"/>
  <c r="L287" i="10" s="1"/>
  <c r="H287" i="10" a="1"/>
  <c r="H287" i="10" s="1"/>
  <c r="D287" i="10" a="1"/>
  <c r="D287" i="10" s="1"/>
  <c r="O287" i="10" a="1"/>
  <c r="O287" i="10" s="1"/>
  <c r="G287" i="10" a="1"/>
  <c r="G287" i="10" s="1"/>
  <c r="N287" i="10" a="1"/>
  <c r="N287" i="10" s="1"/>
  <c r="H231" i="10" a="1"/>
  <c r="H231" i="10" s="1"/>
  <c r="E231" i="10" a="1"/>
  <c r="E231" i="10" s="1"/>
  <c r="O231" i="10" a="1"/>
  <c r="O231" i="10" s="1"/>
  <c r="D231" i="10" a="1"/>
  <c r="D231" i="10" s="1"/>
  <c r="G231" i="10" a="1"/>
  <c r="G231" i="10" s="1"/>
  <c r="N231" i="10" a="1"/>
  <c r="N231" i="10" s="1"/>
  <c r="F231" i="10" a="1"/>
  <c r="F231" i="10" s="1"/>
  <c r="K231" i="10" a="1"/>
  <c r="K231" i="10" s="1"/>
  <c r="M231" i="10" a="1"/>
  <c r="M231" i="10" s="1"/>
  <c r="I231" i="10" a="1"/>
  <c r="I231" i="10" s="1"/>
  <c r="L231" i="10" a="1"/>
  <c r="L231" i="10" s="1"/>
  <c r="P231" i="10" a="1"/>
  <c r="P231" i="10" s="1"/>
  <c r="J231" i="10" a="1"/>
  <c r="J231" i="10" s="1"/>
  <c r="I273" i="10" a="1"/>
  <c r="I273" i="10" s="1"/>
  <c r="M273" i="10" a="1"/>
  <c r="M273" i="10" s="1"/>
  <c r="P273" i="10" a="1"/>
  <c r="P273" i="10" s="1"/>
  <c r="K273" i="10" a="1"/>
  <c r="K273" i="10" s="1"/>
  <c r="H273" i="10" a="1"/>
  <c r="H273" i="10" s="1"/>
  <c r="O273" i="10" a="1"/>
  <c r="O273" i="10" s="1"/>
  <c r="G273" i="10" a="1"/>
  <c r="G273" i="10" s="1"/>
  <c r="L273" i="10" a="1"/>
  <c r="L273" i="10" s="1"/>
  <c r="F273" i="10" a="1"/>
  <c r="F273" i="10" s="1"/>
  <c r="N273" i="10" a="1"/>
  <c r="N273" i="10" s="1"/>
  <c r="D273" i="10" a="1"/>
  <c r="D273" i="10" s="1"/>
  <c r="E273" i="10" a="1"/>
  <c r="E273" i="10" s="1"/>
  <c r="J273" i="10" a="1"/>
  <c r="J273" i="10" s="1"/>
  <c r="K358" i="10" a="1"/>
  <c r="K358" i="10" s="1"/>
  <c r="J358" i="10" a="1"/>
  <c r="J358" i="10" s="1"/>
  <c r="O358" i="10" a="1"/>
  <c r="O358" i="10" s="1"/>
  <c r="I358" i="10" a="1"/>
  <c r="I358" i="10" s="1"/>
  <c r="G358" i="10" a="1"/>
  <c r="G358" i="10" s="1"/>
  <c r="P358" i="10" a="1"/>
  <c r="P358" i="10" s="1"/>
  <c r="N358" i="10" a="1"/>
  <c r="N358" i="10" s="1"/>
  <c r="L358" i="10" a="1"/>
  <c r="L358" i="10" s="1"/>
  <c r="E358" i="10" a="1"/>
  <c r="E358" i="10" s="1"/>
  <c r="F358" i="10" a="1"/>
  <c r="F358" i="10" s="1"/>
  <c r="H358" i="10" a="1"/>
  <c r="H358" i="10" s="1"/>
  <c r="M358" i="10" a="1"/>
  <c r="M358" i="10" s="1"/>
  <c r="D358" i="10" a="1"/>
  <c r="D358" i="10" s="1"/>
  <c r="L259" i="10" a="1"/>
  <c r="L259" i="10" s="1"/>
  <c r="D259" i="10" a="1"/>
  <c r="D259" i="10" s="1"/>
  <c r="P259" i="10" a="1"/>
  <c r="P259" i="10" s="1"/>
  <c r="K259" i="10" a="1"/>
  <c r="K259" i="10" s="1"/>
  <c r="H259" i="10" a="1"/>
  <c r="H259" i="10" s="1"/>
  <c r="I259" i="10" a="1"/>
  <c r="I259" i="10" s="1"/>
  <c r="N259" i="10" a="1"/>
  <c r="N259" i="10" s="1"/>
  <c r="G259" i="10" a="1"/>
  <c r="G259" i="10" s="1"/>
  <c r="F259" i="10" a="1"/>
  <c r="F259" i="10" s="1"/>
  <c r="O259" i="10" a="1"/>
  <c r="O259" i="10" s="1"/>
  <c r="E259" i="10" a="1"/>
  <c r="E259" i="10" s="1"/>
  <c r="M259" i="10" a="1"/>
  <c r="M259" i="10" s="1"/>
  <c r="J259" i="10" a="1"/>
  <c r="J259" i="10" s="1"/>
  <c r="N344" i="10" a="1"/>
  <c r="N344" i="10" s="1"/>
  <c r="O344" i="10" a="1"/>
  <c r="O344" i="10" s="1"/>
  <c r="M344" i="10" a="1"/>
  <c r="M344" i="10" s="1"/>
  <c r="K344" i="10" a="1"/>
  <c r="K344" i="10" s="1"/>
  <c r="L344" i="10" a="1"/>
  <c r="L344" i="10" s="1"/>
  <c r="H344" i="10" a="1"/>
  <c r="H344" i="10" s="1"/>
  <c r="P344" i="10" a="1"/>
  <c r="P344" i="10" s="1"/>
  <c r="G344" i="10" a="1"/>
  <c r="G344" i="10" s="1"/>
  <c r="D344" i="10" a="1"/>
  <c r="D344" i="10" s="1"/>
  <c r="J344" i="10" a="1"/>
  <c r="J344" i="10" s="1"/>
  <c r="F344" i="10" a="1"/>
  <c r="F344" i="10" s="1"/>
  <c r="I344" i="10" a="1"/>
  <c r="I344" i="10" s="1"/>
  <c r="E344" i="10" a="1"/>
  <c r="E344" i="10" s="1"/>
  <c r="P245" i="10" a="1"/>
  <c r="P245" i="10" s="1"/>
  <c r="K245" i="10" a="1"/>
  <c r="K245" i="10" s="1"/>
  <c r="H245" i="10" a="1"/>
  <c r="H245" i="10" s="1"/>
  <c r="O245" i="10" a="1"/>
  <c r="O245" i="10" s="1"/>
  <c r="N245" i="10" a="1"/>
  <c r="N245" i="10" s="1"/>
  <c r="J245" i="10" a="1"/>
  <c r="J245" i="10" s="1"/>
  <c r="F245" i="10" a="1"/>
  <c r="F245" i="10" s="1"/>
  <c r="I245" i="10" a="1"/>
  <c r="I245" i="10" s="1"/>
  <c r="M245" i="10" a="1"/>
  <c r="M245" i="10" s="1"/>
  <c r="G245" i="10" a="1"/>
  <c r="G245" i="10" s="1"/>
  <c r="E245" i="10" a="1"/>
  <c r="E245" i="10" s="1"/>
  <c r="L245" i="10" a="1"/>
  <c r="L245" i="10" s="1"/>
  <c r="D245" i="10" a="1"/>
  <c r="D245" i="10" s="1"/>
  <c r="J330" i="10" a="1"/>
  <c r="J330" i="10" s="1"/>
  <c r="M330" i="10" a="1"/>
  <c r="M330" i="10" s="1"/>
  <c r="I330" i="10" a="1"/>
  <c r="I330" i="10" s="1"/>
  <c r="E330" i="10" a="1"/>
  <c r="E330" i="10" s="1"/>
  <c r="P330" i="10" a="1"/>
  <c r="P330" i="10" s="1"/>
  <c r="H330" i="10" a="1"/>
  <c r="H330" i="10" s="1"/>
  <c r="O330" i="10" a="1"/>
  <c r="O330" i="10" s="1"/>
  <c r="L330" i="10" a="1"/>
  <c r="L330" i="10" s="1"/>
  <c r="G330" i="10" a="1"/>
  <c r="G330" i="10" s="1"/>
  <c r="K330" i="10" a="1"/>
  <c r="K330" i="10" s="1"/>
  <c r="D330" i="10" a="1"/>
  <c r="D330" i="10" s="1"/>
  <c r="N330" i="10" a="1"/>
  <c r="N330" i="10" s="1"/>
  <c r="F330" i="10" a="1"/>
  <c r="F330" i="10" s="1"/>
  <c r="P316" i="10" a="1"/>
  <c r="P316" i="10" s="1"/>
  <c r="L316" i="10" a="1"/>
  <c r="L316" i="10" s="1"/>
  <c r="H316" i="10" a="1"/>
  <c r="H316" i="10" s="1"/>
  <c r="D316" i="10" a="1"/>
  <c r="D316" i="10" s="1"/>
  <c r="I316" i="10" a="1"/>
  <c r="I316" i="10" s="1"/>
  <c r="O316" i="10" a="1"/>
  <c r="O316" i="10" s="1"/>
  <c r="K316" i="10" a="1"/>
  <c r="K316" i="10" s="1"/>
  <c r="N316" i="10" a="1"/>
  <c r="N316" i="10" s="1"/>
  <c r="G316" i="10" a="1"/>
  <c r="G316" i="10" s="1"/>
  <c r="J316" i="10" a="1"/>
  <c r="J316" i="10" s="1"/>
  <c r="F316" i="10" a="1"/>
  <c r="F316" i="10" s="1"/>
  <c r="M316" i="10" a="1"/>
  <c r="M316" i="10" s="1"/>
  <c r="E316" i="10" a="1"/>
  <c r="E316" i="10" s="1"/>
  <c r="O217" i="10" a="1"/>
  <c r="O217" i="10" s="1"/>
  <c r="I217" i="10" a="1"/>
  <c r="I217" i="10" s="1"/>
  <c r="G217" i="10" a="1"/>
  <c r="G217" i="10" s="1"/>
  <c r="D217" i="10" a="1"/>
  <c r="D217" i="10" s="1"/>
  <c r="N217" i="10" a="1"/>
  <c r="N217" i="10" s="1"/>
  <c r="F217" i="10" a="1"/>
  <c r="F217" i="10" s="1"/>
  <c r="M217" i="10" a="1"/>
  <c r="M217" i="10" s="1"/>
  <c r="J217" i="10" a="1"/>
  <c r="J217" i="10" s="1"/>
  <c r="E217" i="10" a="1"/>
  <c r="E217" i="10" s="1"/>
  <c r="P217" i="10" a="1"/>
  <c r="P217" i="10" s="1"/>
  <c r="L217" i="10" a="1"/>
  <c r="L217" i="10" s="1"/>
  <c r="H217" i="10" a="1"/>
  <c r="H217" i="10" s="1"/>
  <c r="K217" i="10" a="1"/>
  <c r="K217" i="10" s="1"/>
  <c r="H302" i="10" a="1"/>
  <c r="H302" i="10" s="1"/>
  <c r="O302" i="10" a="1"/>
  <c r="O302" i="10" s="1"/>
  <c r="L302" i="10" a="1"/>
  <c r="L302" i="10" s="1"/>
  <c r="G302" i="10" a="1"/>
  <c r="G302" i="10" s="1"/>
  <c r="D302" i="10" a="1"/>
  <c r="D302" i="10" s="1"/>
  <c r="N302" i="10" a="1"/>
  <c r="N302" i="10" s="1"/>
  <c r="K302" i="10" a="1"/>
  <c r="K302" i="10" s="1"/>
  <c r="F302" i="10" a="1"/>
  <c r="F302" i="10" s="1"/>
  <c r="J302" i="10" a="1"/>
  <c r="J302" i="10" s="1"/>
  <c r="M302" i="10" a="1"/>
  <c r="M302" i="10" s="1"/>
  <c r="I302" i="10" a="1"/>
  <c r="I302" i="10" s="1"/>
  <c r="E302" i="10" a="1"/>
  <c r="E302" i="10" s="1"/>
  <c r="P302" i="10" a="1"/>
  <c r="P302" i="10" s="1"/>
  <c r="K288" i="10" a="1"/>
  <c r="K288" i="10" s="1"/>
  <c r="J288" i="10" a="1"/>
  <c r="J288" i="10" s="1"/>
  <c r="N288" i="10" a="1"/>
  <c r="N288" i="10" s="1"/>
  <c r="I288" i="10" a="1"/>
  <c r="I288" i="10" s="1"/>
  <c r="F288" i="10" a="1"/>
  <c r="F288" i="10" s="1"/>
  <c r="P288" i="10" a="1"/>
  <c r="P288" i="10" s="1"/>
  <c r="M288" i="10" a="1"/>
  <c r="M288" i="10" s="1"/>
  <c r="H288" i="10" a="1"/>
  <c r="H288" i="10" s="1"/>
  <c r="E288" i="10" a="1"/>
  <c r="E288" i="10" s="1"/>
  <c r="O288" i="10" a="1"/>
  <c r="O288" i="10" s="1"/>
  <c r="D288" i="10" a="1"/>
  <c r="D288" i="10" s="1"/>
  <c r="L288" i="10" a="1"/>
  <c r="L288" i="10" s="1"/>
  <c r="G288" i="10" a="1"/>
  <c r="G288" i="10" s="1"/>
  <c r="J203" i="10" a="1"/>
  <c r="J203" i="10" s="1"/>
  <c r="O203" i="10" a="1"/>
  <c r="O203" i="10" s="1"/>
  <c r="P203" i="10" a="1"/>
  <c r="P203" i="10" s="1"/>
  <c r="G203" i="10" a="1"/>
  <c r="G203" i="10" s="1"/>
  <c r="N203" i="10" a="1"/>
  <c r="N203" i="10" s="1"/>
  <c r="M203" i="10" a="1"/>
  <c r="M203" i="10" s="1"/>
  <c r="I203" i="10" a="1"/>
  <c r="I203" i="10" s="1"/>
  <c r="K203" i="10" a="1"/>
  <c r="K203" i="10" s="1"/>
  <c r="E203" i="10" a="1"/>
  <c r="E203" i="10" s="1"/>
  <c r="H203" i="10" a="1"/>
  <c r="H203" i="10" s="1"/>
  <c r="L203" i="10" a="1"/>
  <c r="L203" i="10" s="1"/>
  <c r="F203" i="10" a="1"/>
  <c r="F203" i="10" s="1"/>
  <c r="D203" i="10" a="1"/>
  <c r="D203" i="10" s="1"/>
  <c r="M189" i="10" a="1"/>
  <c r="M189" i="10" s="1"/>
  <c r="N189" i="10" a="1"/>
  <c r="N189" i="10" s="1"/>
  <c r="K189" i="10" a="1"/>
  <c r="K189" i="10" s="1"/>
  <c r="F189" i="10" a="1"/>
  <c r="F189" i="10" s="1"/>
  <c r="H189" i="10" a="1"/>
  <c r="H189" i="10" s="1"/>
  <c r="L189" i="10" a="1"/>
  <c r="L189" i="10" s="1"/>
  <c r="G189" i="10" a="1"/>
  <c r="G189" i="10" s="1"/>
  <c r="D189" i="10" a="1"/>
  <c r="D189" i="10" s="1"/>
  <c r="E189" i="10" a="1"/>
  <c r="E189" i="10" s="1"/>
  <c r="J189" i="10" a="1"/>
  <c r="J189" i="10" s="1"/>
  <c r="P189" i="10" a="1"/>
  <c r="P189" i="10" s="1"/>
  <c r="I189" i="10" a="1"/>
  <c r="I189" i="10" s="1"/>
  <c r="O189" i="10" a="1"/>
  <c r="O189" i="10" s="1"/>
  <c r="K274" i="10" a="1"/>
  <c r="K274" i="10" s="1"/>
  <c r="J274" i="10" a="1"/>
  <c r="J274" i="10" s="1"/>
  <c r="O274" i="10" a="1"/>
  <c r="O274" i="10" s="1"/>
  <c r="P274" i="10" a="1"/>
  <c r="P274" i="10" s="1"/>
  <c r="G274" i="10" a="1"/>
  <c r="G274" i="10" s="1"/>
  <c r="N274" i="10" a="1"/>
  <c r="N274" i="10" s="1"/>
  <c r="M274" i="10" a="1"/>
  <c r="M274" i="10" s="1"/>
  <c r="I274" i="10" a="1"/>
  <c r="I274" i="10" s="1"/>
  <c r="E274" i="10" a="1"/>
  <c r="E274" i="10" s="1"/>
  <c r="H274" i="10" a="1"/>
  <c r="H274" i="10" s="1"/>
  <c r="L274" i="10" a="1"/>
  <c r="L274" i="10" s="1"/>
  <c r="F274" i="10" a="1"/>
  <c r="F274" i="10" s="1"/>
  <c r="D274" i="10" a="1"/>
  <c r="D274" i="10" s="1"/>
  <c r="D175" i="10" a="1"/>
  <c r="D175" i="10" s="1"/>
  <c r="J175" i="10" a="1"/>
  <c r="J175" i="10" s="1"/>
  <c r="I175" i="10" a="1"/>
  <c r="I175" i="10" s="1"/>
  <c r="H175" i="10" a="1"/>
  <c r="H175" i="10" s="1"/>
  <c r="E175" i="10" a="1"/>
  <c r="E175" i="10" s="1"/>
  <c r="O175" i="10" a="1"/>
  <c r="O175" i="10" s="1"/>
  <c r="F175" i="10" a="1"/>
  <c r="F175" i="10" s="1"/>
  <c r="K175" i="10" a="1"/>
  <c r="K175" i="10" s="1"/>
  <c r="G175" i="10" a="1"/>
  <c r="G175" i="10" s="1"/>
  <c r="P175" i="10" a="1"/>
  <c r="P175" i="10" s="1"/>
  <c r="M175" i="10" a="1"/>
  <c r="M175" i="10" s="1"/>
  <c r="N175" i="10" a="1"/>
  <c r="N175" i="10" s="1"/>
  <c r="L175" i="10" a="1"/>
  <c r="L175" i="10" s="1"/>
  <c r="J260" i="10" a="1"/>
  <c r="J260" i="10" s="1"/>
  <c r="E260" i="10" a="1"/>
  <c r="E260" i="10" s="1"/>
  <c r="D260" i="10" a="1"/>
  <c r="D260" i="10" s="1"/>
  <c r="P260" i="10" a="1"/>
  <c r="P260" i="10" s="1"/>
  <c r="L260" i="10" a="1"/>
  <c r="L260" i="10" s="1"/>
  <c r="G260" i="10" a="1"/>
  <c r="G260" i="10" s="1"/>
  <c r="H260" i="10" a="1"/>
  <c r="H260" i="10" s="1"/>
  <c r="K260" i="10" a="1"/>
  <c r="K260" i="10" s="1"/>
  <c r="O260" i="10" a="1"/>
  <c r="O260" i="10" s="1"/>
  <c r="I260" i="10" a="1"/>
  <c r="I260" i="10" s="1"/>
  <c r="N260" i="10" a="1"/>
  <c r="N260" i="10" s="1"/>
  <c r="F260" i="10" a="1"/>
  <c r="F260" i="10" s="1"/>
  <c r="M260" i="10" a="1"/>
  <c r="M260" i="10" s="1"/>
  <c r="H161" i="10" a="1"/>
  <c r="H161" i="10" s="1"/>
  <c r="D161" i="10" a="1"/>
  <c r="D161" i="10" s="1"/>
  <c r="O161" i="10" a="1"/>
  <c r="O161" i="10" s="1"/>
  <c r="K161" i="10" a="1"/>
  <c r="K161" i="10" s="1"/>
  <c r="G161" i="10" a="1"/>
  <c r="G161" i="10" s="1"/>
  <c r="N161" i="10" a="1"/>
  <c r="N161" i="10" s="1"/>
  <c r="F161" i="10" a="1"/>
  <c r="F161" i="10" s="1"/>
  <c r="J161" i="10" a="1"/>
  <c r="J161" i="10" s="1"/>
  <c r="M161" i="10" a="1"/>
  <c r="M161" i="10" s="1"/>
  <c r="I161" i="10" a="1"/>
  <c r="I161" i="10" s="1"/>
  <c r="P161" i="10" a="1"/>
  <c r="P161" i="10" s="1"/>
  <c r="L161" i="10" a="1"/>
  <c r="L161" i="10" s="1"/>
  <c r="E161" i="10" a="1"/>
  <c r="E161" i="10" s="1"/>
  <c r="H246" i="10" a="1"/>
  <c r="H246" i="10" s="1"/>
  <c r="E246" i="10" a="1"/>
  <c r="E246" i="10" s="1"/>
  <c r="O246" i="10" a="1"/>
  <c r="O246" i="10" s="1"/>
  <c r="D246" i="10" a="1"/>
  <c r="D246" i="10" s="1"/>
  <c r="G246" i="10" a="1"/>
  <c r="G246" i="10" s="1"/>
  <c r="N246" i="10" a="1"/>
  <c r="N246" i="10" s="1"/>
  <c r="F246" i="10" a="1"/>
  <c r="F246" i="10" s="1"/>
  <c r="J246" i="10" a="1"/>
  <c r="J246" i="10" s="1"/>
  <c r="K246" i="10" a="1"/>
  <c r="K246" i="10" s="1"/>
  <c r="M246" i="10" a="1"/>
  <c r="M246" i="10" s="1"/>
  <c r="I246" i="10" a="1"/>
  <c r="I246" i="10" s="1"/>
  <c r="L246" i="10" a="1"/>
  <c r="L246" i="10" s="1"/>
  <c r="P246" i="10" a="1"/>
  <c r="P246" i="10" s="1"/>
  <c r="D133" i="10" a="1"/>
  <c r="D133" i="10" s="1"/>
  <c r="N133" i="10" a="1"/>
  <c r="N133" i="10" s="1"/>
  <c r="K133" i="10" a="1"/>
  <c r="K133" i="10" s="1"/>
  <c r="F133" i="10" a="1"/>
  <c r="F133" i="10" s="1"/>
  <c r="J133" i="10" a="1"/>
  <c r="J133" i="10" s="1"/>
  <c r="I133" i="10" a="1"/>
  <c r="I133" i="10" s="1"/>
  <c r="P133" i="10" a="1"/>
  <c r="P133" i="10" s="1"/>
  <c r="M133" i="10" a="1"/>
  <c r="M133" i="10" s="1"/>
  <c r="H133" i="10" a="1"/>
  <c r="H133" i="10" s="1"/>
  <c r="E133" i="10" a="1"/>
  <c r="E133" i="10" s="1"/>
  <c r="O133" i="10" a="1"/>
  <c r="O133" i="10" s="1"/>
  <c r="L133" i="10" a="1"/>
  <c r="L133" i="10" s="1"/>
  <c r="G133" i="10" a="1"/>
  <c r="G133" i="10" s="1"/>
  <c r="F147" i="10" a="1"/>
  <c r="F147" i="10" s="1"/>
  <c r="M147" i="10" a="1"/>
  <c r="M147" i="10" s="1"/>
  <c r="I147" i="10" a="1"/>
  <c r="I147" i="10" s="1"/>
  <c r="E147" i="10" a="1"/>
  <c r="E147" i="10" s="1"/>
  <c r="J147" i="10" a="1"/>
  <c r="J147" i="10" s="1"/>
  <c r="P147" i="10" a="1"/>
  <c r="P147" i="10" s="1"/>
  <c r="L147" i="10" a="1"/>
  <c r="L147" i="10" s="1"/>
  <c r="H147" i="10" a="1"/>
  <c r="H147" i="10" s="1"/>
  <c r="D147" i="10" a="1"/>
  <c r="D147" i="10" s="1"/>
  <c r="G147" i="10" a="1"/>
  <c r="G147" i="10" s="1"/>
  <c r="O147" i="10" a="1"/>
  <c r="O147" i="10" s="1"/>
  <c r="K147" i="10" a="1"/>
  <c r="K147" i="10" s="1"/>
  <c r="N147" i="10" a="1"/>
  <c r="N147" i="10" s="1"/>
  <c r="I232" i="10" a="1"/>
  <c r="I232" i="10" s="1"/>
  <c r="P232" i="10" a="1"/>
  <c r="P232" i="10" s="1"/>
  <c r="N232" i="10" a="1"/>
  <c r="N232" i="10" s="1"/>
  <c r="O232" i="10" a="1"/>
  <c r="O232" i="10" s="1"/>
  <c r="F232" i="10" a="1"/>
  <c r="F232" i="10" s="1"/>
  <c r="M232" i="10" a="1"/>
  <c r="M232" i="10" s="1"/>
  <c r="L232" i="10" a="1"/>
  <c r="L232" i="10" s="1"/>
  <c r="H232" i="10" a="1"/>
  <c r="H232" i="10" s="1"/>
  <c r="D232" i="10" a="1"/>
  <c r="D232" i="10" s="1"/>
  <c r="G232" i="10" a="1"/>
  <c r="G232" i="10" s="1"/>
  <c r="K232" i="10" a="1"/>
  <c r="K232" i="10" s="1"/>
  <c r="E232" i="10" a="1"/>
  <c r="E232" i="10" s="1"/>
  <c r="J232" i="10" a="1"/>
  <c r="J232" i="10" s="1"/>
  <c r="M218" i="10" a="1"/>
  <c r="M218" i="10" s="1"/>
  <c r="D218" i="10" a="1"/>
  <c r="D218" i="10" s="1"/>
  <c r="E218" i="10" a="1"/>
  <c r="E218" i="10" s="1"/>
  <c r="O218" i="10" a="1"/>
  <c r="O218" i="10" s="1"/>
  <c r="K218" i="10" a="1"/>
  <c r="K218" i="10" s="1"/>
  <c r="N218" i="10" a="1"/>
  <c r="N218" i="10" s="1"/>
  <c r="J218" i="10" a="1"/>
  <c r="J218" i="10" s="1"/>
  <c r="L218" i="10" a="1"/>
  <c r="L218" i="10" s="1"/>
  <c r="I218" i="10" a="1"/>
  <c r="I218" i="10" s="1"/>
  <c r="G218" i="10" a="1"/>
  <c r="G218" i="10" s="1"/>
  <c r="P218" i="10" a="1"/>
  <c r="P218" i="10" s="1"/>
  <c r="H218" i="10" a="1"/>
  <c r="H218" i="10" s="1"/>
  <c r="F218" i="10" a="1"/>
  <c r="F218" i="10" s="1"/>
  <c r="E119" i="10" a="1"/>
  <c r="E119" i="10" s="1"/>
  <c r="O119" i="10" a="1"/>
  <c r="O119" i="10" s="1"/>
  <c r="L119" i="10" a="1"/>
  <c r="L119" i="10" s="1"/>
  <c r="G119" i="10" a="1"/>
  <c r="G119" i="10" s="1"/>
  <c r="D119" i="10" a="1"/>
  <c r="D119" i="10" s="1"/>
  <c r="K119" i="10" a="1"/>
  <c r="K119" i="10" s="1"/>
  <c r="P119" i="10" a="1"/>
  <c r="P119" i="10" s="1"/>
  <c r="J119" i="10" a="1"/>
  <c r="J119" i="10" s="1"/>
  <c r="N119" i="10" a="1"/>
  <c r="N119" i="10" s="1"/>
  <c r="I119" i="10" a="1"/>
  <c r="I119" i="10" s="1"/>
  <c r="F119" i="10" a="1"/>
  <c r="F119" i="10" s="1"/>
  <c r="M119" i="10" a="1"/>
  <c r="M119" i="10" s="1"/>
  <c r="H119" i="10" a="1"/>
  <c r="H119" i="10" s="1"/>
  <c r="J204" i="10" a="1"/>
  <c r="J204" i="10" s="1"/>
  <c r="E204" i="10" a="1"/>
  <c r="E204" i="10" s="1"/>
  <c r="P204" i="10" a="1"/>
  <c r="P204" i="10" s="1"/>
  <c r="I204" i="10" a="1"/>
  <c r="I204" i="10" s="1"/>
  <c r="H204" i="10" a="1"/>
  <c r="H204" i="10" s="1"/>
  <c r="D204" i="10" a="1"/>
  <c r="D204" i="10" s="1"/>
  <c r="O204" i="10" a="1"/>
  <c r="O204" i="10" s="1"/>
  <c r="L204" i="10" a="1"/>
  <c r="L204" i="10" s="1"/>
  <c r="G204" i="10" a="1"/>
  <c r="G204" i="10" s="1"/>
  <c r="K204" i="10" a="1"/>
  <c r="K204" i="10" s="1"/>
  <c r="N204" i="10" a="1"/>
  <c r="N204" i="10" s="1"/>
  <c r="F204" i="10" a="1"/>
  <c r="F204" i="10" s="1"/>
  <c r="M204" i="10" a="1"/>
  <c r="M204" i="10" s="1"/>
  <c r="P105" i="10" a="1"/>
  <c r="P105" i="10" s="1"/>
  <c r="L105" i="10" a="1"/>
  <c r="L105" i="10" s="1"/>
  <c r="H105" i="10" a="1"/>
  <c r="H105" i="10" s="1"/>
  <c r="D105" i="10" a="1"/>
  <c r="D105" i="10" s="1"/>
  <c r="O105" i="10" a="1"/>
  <c r="O105" i="10" s="1"/>
  <c r="G105" i="10" a="1"/>
  <c r="G105" i="10" s="1"/>
  <c r="N105" i="10" a="1"/>
  <c r="N105" i="10" s="1"/>
  <c r="K105" i="10" a="1"/>
  <c r="K105" i="10" s="1"/>
  <c r="F105" i="10" a="1"/>
  <c r="F105" i="10" s="1"/>
  <c r="J105" i="10" a="1"/>
  <c r="J105" i="10" s="1"/>
  <c r="M105" i="10" a="1"/>
  <c r="M105" i="10" s="1"/>
  <c r="I105" i="10" a="1"/>
  <c r="I105" i="10" s="1"/>
  <c r="E105" i="10" a="1"/>
  <c r="E105" i="10" s="1"/>
  <c r="M190" i="10" a="1"/>
  <c r="M190" i="10" s="1"/>
  <c r="H190" i="10" a="1"/>
  <c r="H190" i="10" s="1"/>
  <c r="E190" i="10" a="1"/>
  <c r="E190" i="10" s="1"/>
  <c r="F190" i="10" a="1"/>
  <c r="F190" i="10" s="1"/>
  <c r="L190" i="10" a="1"/>
  <c r="L190" i="10" s="1"/>
  <c r="D190" i="10" a="1"/>
  <c r="D190" i="10" s="1"/>
  <c r="P190" i="10" a="1"/>
  <c r="P190" i="10" s="1"/>
  <c r="I190" i="10" a="1"/>
  <c r="I190" i="10" s="1"/>
  <c r="N190" i="10" a="1"/>
  <c r="N190" i="10" s="1"/>
  <c r="G190" i="10" a="1"/>
  <c r="G190" i="10" s="1"/>
  <c r="O190" i="10" a="1"/>
  <c r="O190" i="10" s="1"/>
  <c r="K190" i="10" a="1"/>
  <c r="K190" i="10" s="1"/>
  <c r="J190" i="10" a="1"/>
  <c r="J190" i="10" s="1"/>
  <c r="N91" i="10" a="1"/>
  <c r="N91" i="10" s="1"/>
  <c r="D91" i="10" a="1"/>
  <c r="D91" i="10" s="1"/>
  <c r="F91" i="10" a="1"/>
  <c r="F91" i="10" s="1"/>
  <c r="O91" i="10" a="1"/>
  <c r="O91" i="10" s="1"/>
  <c r="J91" i="10" a="1"/>
  <c r="J91" i="10" s="1"/>
  <c r="M91" i="10" a="1"/>
  <c r="M91" i="10" s="1"/>
  <c r="I91" i="10" a="1"/>
  <c r="I91" i="10" s="1"/>
  <c r="E91" i="10" a="1"/>
  <c r="E91" i="10" s="1"/>
  <c r="L91" i="10" a="1"/>
  <c r="L91" i="10" s="1"/>
  <c r="P91" i="10" a="1"/>
  <c r="P91" i="10" s="1"/>
  <c r="K91" i="10" a="1"/>
  <c r="K91" i="10" s="1"/>
  <c r="H91" i="10" a="1"/>
  <c r="H91" i="10" s="1"/>
  <c r="G91" i="10" a="1"/>
  <c r="G91" i="10" s="1"/>
  <c r="L176" i="10" a="1"/>
  <c r="L176" i="10" s="1"/>
  <c r="K176" i="10" a="1"/>
  <c r="K176" i="10" s="1"/>
  <c r="D176" i="10" a="1"/>
  <c r="D176" i="10" s="1"/>
  <c r="I176" i="10" a="1"/>
  <c r="I176" i="10" s="1"/>
  <c r="J176" i="10" a="1"/>
  <c r="J176" i="10" s="1"/>
  <c r="F176" i="10" a="1"/>
  <c r="F176" i="10" s="1"/>
  <c r="P176" i="10" a="1"/>
  <c r="P176" i="10" s="1"/>
  <c r="E176" i="10" a="1"/>
  <c r="E176" i="10" s="1"/>
  <c r="H176" i="10" a="1"/>
  <c r="H176" i="10" s="1"/>
  <c r="N176" i="10" a="1"/>
  <c r="N176" i="10" s="1"/>
  <c r="O176" i="10" a="1"/>
  <c r="O176" i="10" s="1"/>
  <c r="G176" i="10" a="1"/>
  <c r="G176" i="10" s="1"/>
  <c r="M176" i="10" a="1"/>
  <c r="M176" i="10" s="1"/>
  <c r="J77" i="10" a="1"/>
  <c r="J77" i="10" s="1"/>
  <c r="M77" i="10" a="1"/>
  <c r="M77" i="10" s="1"/>
  <c r="P77" i="10" a="1"/>
  <c r="P77" i="10" s="1"/>
  <c r="E77" i="10" a="1"/>
  <c r="E77" i="10" s="1"/>
  <c r="I77" i="10" a="1"/>
  <c r="I77" i="10" s="1"/>
  <c r="L77" i="10" a="1"/>
  <c r="L77" i="10" s="1"/>
  <c r="H77" i="10" a="1"/>
  <c r="H77" i="10" s="1"/>
  <c r="D77" i="10" a="1"/>
  <c r="D77" i="10" s="1"/>
  <c r="O77" i="10" a="1"/>
  <c r="O77" i="10" s="1"/>
  <c r="K77" i="10" a="1"/>
  <c r="K77" i="10" s="1"/>
  <c r="G77" i="10" a="1"/>
  <c r="G77" i="10" s="1"/>
  <c r="N77" i="10" a="1"/>
  <c r="N77" i="10" s="1"/>
  <c r="F77" i="10" a="1"/>
  <c r="F77" i="10" s="1"/>
  <c r="D162" i="10" a="1"/>
  <c r="D162" i="10" s="1"/>
  <c r="F162" i="10" a="1"/>
  <c r="F162" i="10" s="1"/>
  <c r="K162" i="10" a="1"/>
  <c r="K162" i="10" s="1"/>
  <c r="N162" i="10" a="1"/>
  <c r="N162" i="10" s="1"/>
  <c r="E162" i="10" a="1"/>
  <c r="E162" i="10" s="1"/>
  <c r="J162" i="10" a="1"/>
  <c r="J162" i="10" s="1"/>
  <c r="I162" i="10" a="1"/>
  <c r="I162" i="10" s="1"/>
  <c r="P162" i="10" a="1"/>
  <c r="P162" i="10" s="1"/>
  <c r="M162" i="10" a="1"/>
  <c r="M162" i="10" s="1"/>
  <c r="H162" i="10" a="1"/>
  <c r="H162" i="10" s="1"/>
  <c r="L162" i="10" a="1"/>
  <c r="L162" i="10" s="1"/>
  <c r="G162" i="10" a="1"/>
  <c r="G162" i="10" s="1"/>
  <c r="O162" i="10" a="1"/>
  <c r="O162" i="10" s="1"/>
  <c r="E21" i="10" a="1"/>
  <c r="E21" i="10" s="1"/>
  <c r="P21" i="10" a="1"/>
  <c r="P21" i="10" s="1"/>
  <c r="L21" i="10" a="1"/>
  <c r="L21" i="10" s="1"/>
  <c r="H21" i="10" a="1"/>
  <c r="H21" i="10" s="1"/>
  <c r="D21" i="10" a="1"/>
  <c r="D21" i="10" s="1"/>
  <c r="O21" i="10" a="1"/>
  <c r="O21" i="10" s="1"/>
  <c r="K21" i="10" a="1"/>
  <c r="K21" i="10" s="1"/>
  <c r="G21" i="10" a="1"/>
  <c r="G21" i="10" s="1"/>
  <c r="J21" i="10" a="1"/>
  <c r="J21" i="10" s="1"/>
  <c r="N21" i="10" a="1"/>
  <c r="N21" i="10" s="1"/>
  <c r="I21" i="10" a="1"/>
  <c r="I21" i="10" s="1"/>
  <c r="F21" i="10" a="1"/>
  <c r="F21" i="10" s="1"/>
  <c r="M21" i="10" a="1"/>
  <c r="M21" i="10" s="1"/>
  <c r="P63" i="10" a="1"/>
  <c r="P63" i="10" s="1"/>
  <c r="L63" i="10" a="1"/>
  <c r="L63" i="10" s="1"/>
  <c r="H63" i="10" a="1"/>
  <c r="H63" i="10" s="1"/>
  <c r="D63" i="10" a="1"/>
  <c r="D63" i="10" s="1"/>
  <c r="O63" i="10" a="1"/>
  <c r="O63" i="10" s="1"/>
  <c r="K63" i="10" a="1"/>
  <c r="K63" i="10" s="1"/>
  <c r="G63" i="10" a="1"/>
  <c r="G63" i="10" s="1"/>
  <c r="J63" i="10" a="1"/>
  <c r="J63" i="10" s="1"/>
  <c r="N63" i="10" a="1"/>
  <c r="N63" i="10" s="1"/>
  <c r="I63" i="10" a="1"/>
  <c r="I63" i="10" s="1"/>
  <c r="M63" i="10" a="1"/>
  <c r="M63" i="10" s="1"/>
  <c r="F63" i="10" a="1"/>
  <c r="F63" i="10" s="1"/>
  <c r="E63" i="10" a="1"/>
  <c r="E63" i="10" s="1"/>
  <c r="L148" i="10" a="1"/>
  <c r="L148" i="10" s="1"/>
  <c r="G148" i="10" a="1"/>
  <c r="G148" i="10" s="1"/>
  <c r="D148" i="10" a="1"/>
  <c r="D148" i="10" s="1"/>
  <c r="N148" i="10" a="1"/>
  <c r="N148" i="10" s="1"/>
  <c r="K148" i="10" a="1"/>
  <c r="K148" i="10" s="1"/>
  <c r="F148" i="10" a="1"/>
  <c r="F148" i="10" s="1"/>
  <c r="J148" i="10" a="1"/>
  <c r="J148" i="10" s="1"/>
  <c r="M148" i="10" a="1"/>
  <c r="M148" i="10" s="1"/>
  <c r="I148" i="10" a="1"/>
  <c r="I148" i="10" s="1"/>
  <c r="E148" i="10" a="1"/>
  <c r="E148" i="10" s="1"/>
  <c r="P148" i="10" a="1"/>
  <c r="P148" i="10" s="1"/>
  <c r="H148" i="10" a="1"/>
  <c r="H148" i="10" s="1"/>
  <c r="O148" i="10" a="1"/>
  <c r="O148" i="10" s="1"/>
  <c r="G134" i="10" a="1"/>
  <c r="G134" i="10" s="1"/>
  <c r="J134" i="10" a="1"/>
  <c r="J134" i="10" s="1"/>
  <c r="N134" i="10" a="1"/>
  <c r="N134" i="10" s="1"/>
  <c r="I134" i="10" a="1"/>
  <c r="I134" i="10" s="1"/>
  <c r="F134" i="10" a="1"/>
  <c r="F134" i="10" s="1"/>
  <c r="D134" i="10" a="1"/>
  <c r="D134" i="10" s="1"/>
  <c r="M134" i="10" a="1"/>
  <c r="M134" i="10" s="1"/>
  <c r="E134" i="10" a="1"/>
  <c r="E134" i="10" s="1"/>
  <c r="H134" i="10" a="1"/>
  <c r="H134" i="10" s="1"/>
  <c r="P134" i="10" a="1"/>
  <c r="P134" i="10" s="1"/>
  <c r="L134" i="10" a="1"/>
  <c r="L134" i="10" s="1"/>
  <c r="O134" i="10" a="1"/>
  <c r="O134" i="10" s="1"/>
  <c r="K134" i="10" a="1"/>
  <c r="K134" i="10" s="1"/>
  <c r="I120" i="10" a="1"/>
  <c r="I120" i="10" s="1"/>
  <c r="E120" i="10" a="1"/>
  <c r="E120" i="10" s="1"/>
  <c r="P120" i="10" a="1"/>
  <c r="P120" i="10" s="1"/>
  <c r="L120" i="10" a="1"/>
  <c r="L120" i="10" s="1"/>
  <c r="H120" i="10" a="1"/>
  <c r="H120" i="10" s="1"/>
  <c r="D120" i="10" a="1"/>
  <c r="D120" i="10" s="1"/>
  <c r="O120" i="10" a="1"/>
  <c r="O120" i="10" s="1"/>
  <c r="K120" i="10" a="1"/>
  <c r="K120" i="10" s="1"/>
  <c r="G120" i="10" a="1"/>
  <c r="G120" i="10" s="1"/>
  <c r="J120" i="10" a="1"/>
  <c r="J120" i="10" s="1"/>
  <c r="N120" i="10" a="1"/>
  <c r="N120" i="10" s="1"/>
  <c r="F120" i="10" a="1"/>
  <c r="F120" i="10" s="1"/>
  <c r="M120" i="10" a="1"/>
  <c r="M120" i="10" s="1"/>
  <c r="K106" i="10" a="1"/>
  <c r="K106" i="10" s="1"/>
  <c r="H106" i="10" a="1"/>
  <c r="H106" i="10" s="1"/>
  <c r="J106" i="10" a="1"/>
  <c r="J106" i="10" s="1"/>
  <c r="N106" i="10" a="1"/>
  <c r="N106" i="10" s="1"/>
  <c r="I106" i="10" a="1"/>
  <c r="I106" i="10" s="1"/>
  <c r="M106" i="10" a="1"/>
  <c r="M106" i="10" s="1"/>
  <c r="F106" i="10" a="1"/>
  <c r="F106" i="10" s="1"/>
  <c r="P106" i="10" a="1"/>
  <c r="P106" i="10" s="1"/>
  <c r="G106" i="10" a="1"/>
  <c r="G106" i="10" s="1"/>
  <c r="E106" i="10" a="1"/>
  <c r="E106" i="10" s="1"/>
  <c r="O106" i="10" a="1"/>
  <c r="O106" i="10" s="1"/>
  <c r="D106" i="10" a="1"/>
  <c r="D106" i="10" s="1"/>
  <c r="L106" i="10" a="1"/>
  <c r="L106" i="10" s="1"/>
  <c r="M92" i="10" a="1"/>
  <c r="M92" i="10" s="1"/>
  <c r="H92" i="10" a="1"/>
  <c r="H92" i="10" s="1"/>
  <c r="E92" i="10" a="1"/>
  <c r="E92" i="10" s="1"/>
  <c r="O92" i="10" a="1"/>
  <c r="O92" i="10" s="1"/>
  <c r="L92" i="10" a="1"/>
  <c r="L92" i="10" s="1"/>
  <c r="G92" i="10" a="1"/>
  <c r="G92" i="10" s="1"/>
  <c r="D92" i="10" a="1"/>
  <c r="D92" i="10" s="1"/>
  <c r="N92" i="10" a="1"/>
  <c r="N92" i="10" s="1"/>
  <c r="K92" i="10" a="1"/>
  <c r="K92" i="10" s="1"/>
  <c r="F92" i="10" a="1"/>
  <c r="F92" i="10" s="1"/>
  <c r="J92" i="10" a="1"/>
  <c r="J92" i="10" s="1"/>
  <c r="I92" i="10" a="1"/>
  <c r="I92" i="10" s="1"/>
  <c r="P92" i="10" a="1"/>
  <c r="P92" i="10" s="1"/>
  <c r="J78" i="10" a="1"/>
  <c r="J78" i="10" s="1"/>
  <c r="M78" i="10" a="1"/>
  <c r="M78" i="10" s="1"/>
  <c r="I78" i="10" a="1"/>
  <c r="I78" i="10" s="1"/>
  <c r="E78" i="10" a="1"/>
  <c r="E78" i="10" s="1"/>
  <c r="P78" i="10" a="1"/>
  <c r="P78" i="10" s="1"/>
  <c r="H78" i="10" a="1"/>
  <c r="H78" i="10" s="1"/>
  <c r="O78" i="10" a="1"/>
  <c r="O78" i="10" s="1"/>
  <c r="L78" i="10" a="1"/>
  <c r="L78" i="10" s="1"/>
  <c r="G78" i="10" a="1"/>
  <c r="G78" i="10" s="1"/>
  <c r="D78" i="10" a="1"/>
  <c r="D78" i="10" s="1"/>
  <c r="N78" i="10" a="1"/>
  <c r="N78" i="10" s="1"/>
  <c r="K78" i="10" a="1"/>
  <c r="K78" i="10" s="1"/>
  <c r="F78" i="10" a="1"/>
  <c r="F78" i="10" s="1"/>
  <c r="P64" i="10" a="1"/>
  <c r="P64" i="10" s="1"/>
  <c r="L64" i="10" a="1"/>
  <c r="L64" i="10" s="1"/>
  <c r="H64" i="10" a="1"/>
  <c r="H64" i="10" s="1"/>
  <c r="D64" i="10" a="1"/>
  <c r="D64" i="10" s="1"/>
  <c r="O64" i="10" a="1"/>
  <c r="O64" i="10" s="1"/>
  <c r="G64" i="10" a="1"/>
  <c r="G64" i="10" s="1"/>
  <c r="N64" i="10" a="1"/>
  <c r="N64" i="10" s="1"/>
  <c r="K64" i="10" a="1"/>
  <c r="K64" i="10" s="1"/>
  <c r="F64" i="10" a="1"/>
  <c r="F64" i="10" s="1"/>
  <c r="J64" i="10" a="1"/>
  <c r="J64" i="10" s="1"/>
  <c r="M64" i="10" a="1"/>
  <c r="M64" i="10" s="1"/>
  <c r="I64" i="10" a="1"/>
  <c r="I64" i="10" s="1"/>
  <c r="E64" i="10" a="1"/>
  <c r="E64" i="10" s="1"/>
  <c r="O49" i="10" a="1"/>
  <c r="O49" i="10" s="1"/>
  <c r="K49" i="10" a="1"/>
  <c r="K49" i="10" s="1"/>
  <c r="G49" i="10" a="1"/>
  <c r="G49" i="10" s="1"/>
  <c r="J49" i="10" a="1"/>
  <c r="J49" i="10" s="1"/>
  <c r="M49" i="10" a="1"/>
  <c r="M49" i="10" s="1"/>
  <c r="N49" i="10" a="1"/>
  <c r="N49" i="10" s="1"/>
  <c r="I49" i="10" a="1"/>
  <c r="I49" i="10" s="1"/>
  <c r="D49" i="10" a="1"/>
  <c r="D49" i="10" s="1"/>
  <c r="F49" i="10" a="1"/>
  <c r="F49" i="10" s="1"/>
  <c r="E49" i="10" a="1"/>
  <c r="E49" i="10" s="1"/>
  <c r="P49" i="10" a="1"/>
  <c r="P49" i="10" s="1"/>
  <c r="L49" i="10" a="1"/>
  <c r="L49" i="10" s="1"/>
  <c r="H49" i="10" a="1"/>
  <c r="H49" i="10" s="1"/>
  <c r="M35" i="10" a="1"/>
  <c r="M35" i="10" s="1"/>
  <c r="H35" i="10" a="1"/>
  <c r="H35" i="10" s="1"/>
  <c r="E35" i="10" a="1"/>
  <c r="E35" i="10" s="1"/>
  <c r="O35" i="10" a="1"/>
  <c r="O35" i="10" s="1"/>
  <c r="L35" i="10" a="1"/>
  <c r="L35" i="10" s="1"/>
  <c r="G35" i="10" a="1"/>
  <c r="G35" i="10" s="1"/>
  <c r="D35" i="10" a="1"/>
  <c r="D35" i="10" s="1"/>
  <c r="K35" i="10" a="1"/>
  <c r="K35" i="10" s="1"/>
  <c r="J35" i="10" a="1"/>
  <c r="J35" i="10" s="1"/>
  <c r="P35" i="10" a="1"/>
  <c r="P35" i="10" s="1"/>
  <c r="N35" i="10" a="1"/>
  <c r="N35" i="10" s="1"/>
  <c r="I35" i="10" a="1"/>
  <c r="I35" i="10" s="1"/>
  <c r="F35" i="10" a="1"/>
  <c r="F35" i="10" s="1"/>
  <c r="I36" i="10" a="1"/>
  <c r="I36" i="10" s="1"/>
  <c r="E36" i="10" a="1"/>
  <c r="E36" i="10" s="1"/>
  <c r="P36" i="10" a="1"/>
  <c r="P36" i="10" s="1"/>
  <c r="L36" i="10" a="1"/>
  <c r="L36" i="10" s="1"/>
  <c r="H36" i="10" a="1"/>
  <c r="H36" i="10" s="1"/>
  <c r="D36" i="10" a="1"/>
  <c r="D36" i="10" s="1"/>
  <c r="O36" i="10" a="1"/>
  <c r="O36" i="10" s="1"/>
  <c r="K36" i="10" a="1"/>
  <c r="K36" i="10" s="1"/>
  <c r="G36" i="10" a="1"/>
  <c r="G36" i="10" s="1"/>
  <c r="J36" i="10" a="1"/>
  <c r="J36" i="10" s="1"/>
  <c r="N36" i="10" a="1"/>
  <c r="N36" i="10" s="1"/>
  <c r="F36" i="10" a="1"/>
  <c r="F36" i="10" s="1"/>
  <c r="M36" i="10" a="1"/>
  <c r="M36" i="10" s="1"/>
  <c r="G50" i="10" a="1"/>
  <c r="G50" i="10" s="1"/>
  <c r="N50" i="10" a="1"/>
  <c r="N50" i="10" s="1"/>
  <c r="K50" i="10" a="1"/>
  <c r="K50" i="10" s="1"/>
  <c r="F50" i="10" a="1"/>
  <c r="F50" i="10" s="1"/>
  <c r="J50" i="10" a="1"/>
  <c r="J50" i="10" s="1"/>
  <c r="M50" i="10" a="1"/>
  <c r="M50" i="10" s="1"/>
  <c r="D50" i="10" a="1"/>
  <c r="D50" i="10" s="1"/>
  <c r="L50" i="10" a="1"/>
  <c r="L50" i="10" s="1"/>
  <c r="I50" i="10" a="1"/>
  <c r="I50" i="10" s="1"/>
  <c r="E50" i="10" a="1"/>
  <c r="E50" i="10" s="1"/>
  <c r="P50" i="10" a="1"/>
  <c r="P50" i="10" s="1"/>
  <c r="H50" i="10" a="1"/>
  <c r="H50" i="10" s="1"/>
  <c r="O50" i="10" a="1"/>
  <c r="O50" i="10" s="1"/>
  <c r="G22" i="10" a="1"/>
  <c r="G22" i="10" s="1"/>
  <c r="N22" i="10" a="1"/>
  <c r="N22" i="10" s="1"/>
  <c r="L22" i="10" a="1"/>
  <c r="L22" i="10" s="1"/>
  <c r="K22" i="10" a="1"/>
  <c r="K22" i="10" s="1"/>
  <c r="F22" i="10" a="1"/>
  <c r="F22" i="10" s="1"/>
  <c r="O22" i="10" a="1"/>
  <c r="O22" i="10" s="1"/>
  <c r="J22" i="10" a="1"/>
  <c r="J22" i="10" s="1"/>
  <c r="M22" i="10" a="1"/>
  <c r="M22" i="10" s="1"/>
  <c r="I22" i="10" a="1"/>
  <c r="I22" i="10" s="1"/>
  <c r="E22" i="10" a="1"/>
  <c r="E22" i="10" s="1"/>
  <c r="D22" i="10" a="1"/>
  <c r="D22" i="10" s="1"/>
  <c r="P22" i="10" a="1"/>
  <c r="P22" i="10" s="1"/>
  <c r="H22" i="10" a="1"/>
  <c r="H22" i="10" s="1"/>
  <c r="DA15" i="9"/>
  <c r="DB15" i="9" s="1"/>
  <c r="AC37" i="9"/>
  <c r="AD37" i="9" s="1"/>
  <c r="EM60" i="9"/>
  <c r="EN60" i="9" s="1"/>
  <c r="FF55" i="9"/>
  <c r="FG55" i="9" s="1"/>
  <c r="BO47" i="9"/>
  <c r="BP47" i="9" s="1"/>
  <c r="AC15" i="9"/>
  <c r="AD15" i="9" s="1"/>
  <c r="AV15" i="9"/>
  <c r="AW15" i="9" s="1"/>
  <c r="DT15" i="9"/>
  <c r="DU15" i="9" s="1"/>
  <c r="DT47" i="9"/>
  <c r="DU47" i="9" s="1"/>
  <c r="FF47" i="9"/>
  <c r="FG47" i="9" s="1"/>
  <c r="EM25" i="9"/>
  <c r="EN25" i="9" s="1"/>
  <c r="AC18" i="9"/>
  <c r="AD18" i="9" s="1"/>
  <c r="EM18" i="9"/>
  <c r="EN18" i="9" s="1"/>
  <c r="DA47" i="9"/>
  <c r="DB47" i="9" s="1"/>
  <c r="EM29" i="9"/>
  <c r="EN29" i="9" s="1"/>
  <c r="CH64" i="9"/>
  <c r="CI64" i="9" s="1"/>
  <c r="AV21" i="9"/>
  <c r="AW21" i="9" s="1"/>
  <c r="AC21" i="9"/>
  <c r="AD21" i="9" s="1"/>
  <c r="FF13" i="9"/>
  <c r="FG13" i="9" s="1"/>
  <c r="DT64" i="9"/>
  <c r="DU64" i="9" s="1"/>
  <c r="BO13" i="9"/>
  <c r="BP13" i="9" s="1"/>
  <c r="BO55" i="9"/>
  <c r="BP55" i="9" s="1"/>
  <c r="DT51" i="9"/>
  <c r="DU51" i="9" s="1"/>
  <c r="CH46" i="9"/>
  <c r="CI46" i="9" s="1"/>
  <c r="AV39" i="9"/>
  <c r="AW39" i="9" s="1"/>
  <c r="BO51" i="9"/>
  <c r="BP51" i="9" s="1"/>
  <c r="DA35" i="9"/>
  <c r="DB35" i="9" s="1"/>
  <c r="AV31" i="9"/>
  <c r="AW31" i="9" s="1"/>
  <c r="CH26" i="9"/>
  <c r="CI26" i="9" s="1"/>
  <c r="DT18" i="9"/>
  <c r="DU18" i="9" s="1"/>
  <c r="DA39" i="9"/>
  <c r="DB39" i="9" s="1"/>
  <c r="EM39" i="9"/>
  <c r="EN39" i="9" s="1"/>
  <c r="CH23" i="9"/>
  <c r="CI23" i="9" s="1"/>
  <c r="DA20" i="9"/>
  <c r="DB20" i="9" s="1"/>
  <c r="BO17" i="9"/>
  <c r="BP17" i="9" s="1"/>
  <c r="AC27" i="9"/>
  <c r="AD27" i="9" s="1"/>
  <c r="DT26" i="9"/>
  <c r="DU26" i="9" s="1"/>
  <c r="AC39" i="9"/>
  <c r="AD39" i="9" s="1"/>
  <c r="BO19" i="9"/>
  <c r="BP19" i="9" s="1"/>
  <c r="FF18" i="9"/>
  <c r="FG18" i="9" s="1"/>
  <c r="EM55" i="9"/>
  <c r="EN55" i="9" s="1"/>
  <c r="AC48" i="9"/>
  <c r="AD48" i="9" s="1"/>
  <c r="DT46" i="9"/>
  <c r="DU46" i="9" s="1"/>
  <c r="FF46" i="9"/>
  <c r="FG46" i="9" s="1"/>
  <c r="AV23" i="9"/>
  <c r="AW23" i="9" s="1"/>
  <c r="DA17" i="9"/>
  <c r="DB17" i="9" s="1"/>
  <c r="AC51" i="9"/>
  <c r="AD51" i="9" s="1"/>
  <c r="AV51" i="9"/>
  <c r="AW51" i="9" s="1"/>
  <c r="FF26" i="9"/>
  <c r="FG26" i="9" s="1"/>
  <c r="AV17" i="9"/>
  <c r="AW17" i="9" s="1"/>
  <c r="I20" i="9" a="1"/>
  <c r="I20" i="9" s="1"/>
  <c r="J20" i="9" s="1" a="1"/>
  <c r="J20" i="9" s="1"/>
  <c r="H20" i="9" s="1" a="1"/>
  <c r="H20" i="9" s="1"/>
  <c r="ID20" i="9"/>
  <c r="IE20" i="9" s="1"/>
  <c r="HK20" i="9"/>
  <c r="HL20" i="9" s="1"/>
  <c r="HK64" i="9"/>
  <c r="HL64" i="9" s="1"/>
  <c r="ID38" i="9"/>
  <c r="IE38" i="9" s="1"/>
  <c r="HK38" i="9"/>
  <c r="HL38" i="9" s="1"/>
  <c r="ID33" i="9"/>
  <c r="IE33" i="9" s="1"/>
  <c r="HK33" i="9"/>
  <c r="HL33" i="9" s="1"/>
  <c r="ID24" i="9"/>
  <c r="IE24" i="9" s="1"/>
  <c r="HK24" i="9"/>
  <c r="HL24" i="9" s="1"/>
  <c r="ID30" i="9"/>
  <c r="IE30" i="9" s="1"/>
  <c r="HK30" i="9"/>
  <c r="HL30" i="9" s="1"/>
  <c r="ID39" i="9"/>
  <c r="IE39" i="9" s="1"/>
  <c r="HK39" i="9"/>
  <c r="HL39" i="9" s="1"/>
  <c r="ID42" i="9"/>
  <c r="IE42" i="9" s="1"/>
  <c r="HK42" i="9"/>
  <c r="HL42" i="9" s="1"/>
  <c r="ID53" i="9"/>
  <c r="IE53" i="9" s="1"/>
  <c r="HK53" i="9"/>
  <c r="HL53" i="9" s="1"/>
  <c r="FF52" i="9"/>
  <c r="FG52" i="9" s="1"/>
  <c r="CH14" i="9"/>
  <c r="CI14" i="9" s="1"/>
  <c r="ID34" i="9"/>
  <c r="IE34" i="9" s="1"/>
  <c r="HK34" i="9"/>
  <c r="HL34" i="9" s="1"/>
  <c r="ID35" i="9"/>
  <c r="IE35" i="9" s="1"/>
  <c r="HK35" i="9"/>
  <c r="HL35" i="9" s="1"/>
  <c r="ID56" i="9"/>
  <c r="IE56" i="9" s="1"/>
  <c r="HK56" i="9"/>
  <c r="HL56" i="9" s="1"/>
  <c r="ID48" i="9"/>
  <c r="IE48" i="9" s="1"/>
  <c r="HK48" i="9"/>
  <c r="HL48" i="9" s="1"/>
  <c r="ID11" i="9"/>
  <c r="IE11" i="9" s="1"/>
  <c r="HK11" i="9"/>
  <c r="HL11" i="9" s="1"/>
  <c r="ID13" i="9"/>
  <c r="IE13" i="9" s="1"/>
  <c r="HK13" i="9"/>
  <c r="HL13" i="9" s="1"/>
  <c r="ID17" i="9"/>
  <c r="IE17" i="9" s="1"/>
  <c r="HK17" i="9"/>
  <c r="HL17" i="9" s="1"/>
  <c r="ID22" i="9"/>
  <c r="IE22" i="9" s="1"/>
  <c r="HK22" i="9"/>
  <c r="HL22" i="9" s="1"/>
  <c r="ID51" i="9"/>
  <c r="IE51" i="9" s="1"/>
  <c r="HK51" i="9"/>
  <c r="HL51" i="9" s="1"/>
  <c r="ID46" i="9"/>
  <c r="IE46" i="9" s="1"/>
  <c r="HK46" i="9"/>
  <c r="HL46" i="9" s="1"/>
  <c r="ID27" i="9"/>
  <c r="IE27" i="9" s="1"/>
  <c r="HK27" i="9"/>
  <c r="HL27" i="9" s="1"/>
  <c r="ID32" i="9"/>
  <c r="IE32" i="9" s="1"/>
  <c r="HK32" i="9"/>
  <c r="HL32" i="9" s="1"/>
  <c r="ID41" i="9"/>
  <c r="IE41" i="9" s="1"/>
  <c r="HK41" i="9"/>
  <c r="HL41" i="9" s="1"/>
  <c r="ID50" i="9"/>
  <c r="IE50" i="9" s="1"/>
  <c r="HK50" i="9"/>
  <c r="HL50" i="9" s="1"/>
  <c r="ID61" i="9"/>
  <c r="IE61" i="9" s="1"/>
  <c r="HK65" i="9"/>
  <c r="HL65" i="9" s="1"/>
  <c r="ID12" i="9"/>
  <c r="IE12" i="9" s="1"/>
  <c r="HK12" i="9"/>
  <c r="HL12" i="9" s="1"/>
  <c r="ID14" i="9"/>
  <c r="IE14" i="9" s="1"/>
  <c r="HK14" i="9"/>
  <c r="HL14" i="9" s="1"/>
  <c r="ID18" i="9"/>
  <c r="IE18" i="9" s="1"/>
  <c r="HK18" i="9"/>
  <c r="HL18" i="9" s="1"/>
  <c r="ID16" i="9"/>
  <c r="IE16" i="9" s="1"/>
  <c r="HK16" i="9"/>
  <c r="HL16" i="9" s="1"/>
  <c r="ID21" i="9"/>
  <c r="IE21" i="9" s="1"/>
  <c r="HK21" i="9"/>
  <c r="HL21" i="9" s="1"/>
  <c r="ID37" i="9"/>
  <c r="IE37" i="9" s="1"/>
  <c r="HK37" i="9"/>
  <c r="HL37" i="9" s="1"/>
  <c r="ID40" i="9"/>
  <c r="IE40" i="9" s="1"/>
  <c r="HK40" i="9"/>
  <c r="HL40" i="9" s="1"/>
  <c r="ID47" i="9"/>
  <c r="IE47" i="9" s="1"/>
  <c r="HK47" i="9"/>
  <c r="HL47" i="9" s="1"/>
  <c r="ID58" i="9"/>
  <c r="IE58" i="9" s="1"/>
  <c r="HK58" i="9"/>
  <c r="HL58" i="9" s="1"/>
  <c r="DT20" i="9"/>
  <c r="DU20" i="9" s="1"/>
  <c r="ID29" i="9"/>
  <c r="IE29" i="9" s="1"/>
  <c r="HK29" i="9"/>
  <c r="HL29" i="9" s="1"/>
  <c r="ID28" i="9"/>
  <c r="IE28" i="9" s="1"/>
  <c r="HK28" i="9"/>
  <c r="HL28" i="9" s="1"/>
  <c r="ID54" i="9"/>
  <c r="IE54" i="9" s="1"/>
  <c r="HK54" i="9"/>
  <c r="HL54" i="9" s="1"/>
  <c r="ID57" i="9"/>
  <c r="IE57" i="9" s="1"/>
  <c r="HK57" i="9"/>
  <c r="HL57" i="9" s="1"/>
  <c r="HK63" i="9"/>
  <c r="HL63" i="9" s="1"/>
  <c r="ID55" i="9"/>
  <c r="IE55" i="9" s="1"/>
  <c r="HK55" i="9"/>
  <c r="HL55" i="9" s="1"/>
  <c r="ID15" i="9"/>
  <c r="IE15" i="9" s="1"/>
  <c r="HK15" i="9"/>
  <c r="HL15" i="9" s="1"/>
  <c r="ID23" i="9"/>
  <c r="IE23" i="9" s="1"/>
  <c r="HK23" i="9"/>
  <c r="HL23" i="9" s="1"/>
  <c r="ID26" i="9"/>
  <c r="IE26" i="9" s="1"/>
  <c r="HK26" i="9"/>
  <c r="HL26" i="9" s="1"/>
  <c r="ID31" i="9"/>
  <c r="IE31" i="9" s="1"/>
  <c r="HK31" i="9"/>
  <c r="HL31" i="9" s="1"/>
  <c r="ID43" i="9"/>
  <c r="IE43" i="9" s="1"/>
  <c r="HK43" i="9"/>
  <c r="HL43" i="9" s="1"/>
  <c r="ID49" i="9"/>
  <c r="IE49" i="9" s="1"/>
  <c r="HK49" i="9"/>
  <c r="HL49" i="9" s="1"/>
  <c r="ID60" i="9"/>
  <c r="IE60" i="9" s="1"/>
  <c r="ID44" i="9"/>
  <c r="IE44" i="9" s="1"/>
  <c r="HK44" i="9"/>
  <c r="HL44" i="9" s="1"/>
  <c r="ID19" i="9"/>
  <c r="IE19" i="9" s="1"/>
  <c r="HK19" i="9"/>
  <c r="HL19" i="9" s="1"/>
  <c r="ID25" i="9"/>
  <c r="IE25" i="9" s="1"/>
  <c r="HK25" i="9"/>
  <c r="HL25" i="9" s="1"/>
  <c r="ID36" i="9"/>
  <c r="IE36" i="9" s="1"/>
  <c r="HK36" i="9"/>
  <c r="HL36" i="9" s="1"/>
  <c r="ID45" i="9"/>
  <c r="IE45" i="9" s="1"/>
  <c r="HK45" i="9"/>
  <c r="HL45" i="9" s="1"/>
  <c r="I52" i="9" a="1"/>
  <c r="I52" i="9" s="1"/>
  <c r="J52" i="9" s="1" a="1"/>
  <c r="J52" i="9" s="1"/>
  <c r="H52" i="9" s="1" a="1"/>
  <c r="H52" i="9" s="1"/>
  <c r="ID52" i="9"/>
  <c r="IE52" i="9" s="1"/>
  <c r="HK52" i="9"/>
  <c r="HL52" i="9" s="1"/>
  <c r="I59" i="9" a="1"/>
  <c r="I59" i="9" s="1"/>
  <c r="J59" i="9" s="1" a="1"/>
  <c r="J59" i="9" s="1"/>
  <c r="H59" i="9" s="1" a="1"/>
  <c r="H59" i="9" s="1"/>
  <c r="I40" i="9" a="1"/>
  <c r="I40" i="9" s="1"/>
  <c r="J40" i="9" s="1" a="1"/>
  <c r="J40" i="9" s="1"/>
  <c r="H40" i="9" s="1" a="1"/>
  <c r="H40" i="9" s="1"/>
  <c r="FY40" i="9"/>
  <c r="FZ40" i="9" s="1"/>
  <c r="GR40" i="9"/>
  <c r="GS40" i="9" s="1"/>
  <c r="FY54" i="9"/>
  <c r="FZ54" i="9" s="1"/>
  <c r="GR54" i="9"/>
  <c r="GS54" i="9" s="1"/>
  <c r="FY16" i="9"/>
  <c r="FZ16" i="9" s="1"/>
  <c r="GR16" i="9"/>
  <c r="GS16" i="9" s="1"/>
  <c r="I16" i="9" a="1"/>
  <c r="I16" i="9" s="1"/>
  <c r="J16" i="9" s="1" a="1"/>
  <c r="J16" i="9" s="1"/>
  <c r="H16" i="9" s="1" a="1"/>
  <c r="H16" i="9" s="1"/>
  <c r="AC12" i="9"/>
  <c r="AD12" i="9" s="1"/>
  <c r="DT16" i="9"/>
  <c r="DU16" i="9" s="1"/>
  <c r="I30" i="9" a="1"/>
  <c r="I30" i="9" s="1"/>
  <c r="J30" i="9" s="1" a="1"/>
  <c r="J30" i="9" s="1"/>
  <c r="H30" i="9" s="1" a="1"/>
  <c r="H30" i="9" s="1"/>
  <c r="FY30" i="9"/>
  <c r="FZ30" i="9" s="1"/>
  <c r="GR30" i="9"/>
  <c r="GS30" i="9" s="1"/>
  <c r="DT40" i="9"/>
  <c r="DU40" i="9" s="1"/>
  <c r="EM38" i="9"/>
  <c r="EN38" i="9" s="1"/>
  <c r="FY65" i="9"/>
  <c r="FZ65" i="9" s="1"/>
  <c r="GR65" i="9"/>
  <c r="GS65" i="9" s="1"/>
  <c r="EM65" i="9"/>
  <c r="EN65" i="9" s="1"/>
  <c r="BO45" i="9"/>
  <c r="BP45" i="9" s="1"/>
  <c r="AV43" i="9"/>
  <c r="AW43" i="9" s="1"/>
  <c r="FY48" i="9"/>
  <c r="FZ48" i="9" s="1"/>
  <c r="GR48" i="9"/>
  <c r="GS48" i="9" s="1"/>
  <c r="FY11" i="9"/>
  <c r="FZ11" i="9" s="1"/>
  <c r="GR11" i="9"/>
  <c r="GS11" i="9" s="1"/>
  <c r="I18" i="9" a="1"/>
  <c r="I18" i="9" s="1"/>
  <c r="J18" i="9" s="1" a="1"/>
  <c r="J18" i="9" s="1"/>
  <c r="H18" i="9" s="1" a="1"/>
  <c r="H18" i="9" s="1"/>
  <c r="FY18" i="9"/>
  <c r="FZ18" i="9" s="1"/>
  <c r="GR18" i="9"/>
  <c r="GS18" i="9" s="1"/>
  <c r="FY21" i="9"/>
  <c r="FZ21" i="9" s="1"/>
  <c r="GR21" i="9"/>
  <c r="GS21" i="9" s="1"/>
  <c r="FY25" i="9"/>
  <c r="FZ25" i="9" s="1"/>
  <c r="GR25" i="9"/>
  <c r="GS25" i="9" s="1"/>
  <c r="FY37" i="9"/>
  <c r="FZ37" i="9" s="1"/>
  <c r="GR37" i="9"/>
  <c r="GS37" i="9" s="1"/>
  <c r="I53" i="9" a="1"/>
  <c r="I53" i="9" s="1"/>
  <c r="J53" i="9" s="1" a="1"/>
  <c r="J53" i="9" s="1"/>
  <c r="H53" i="9" s="1" a="1"/>
  <c r="H53" i="9" s="1"/>
  <c r="FY53" i="9"/>
  <c r="FZ53" i="9" s="1"/>
  <c r="GR53" i="9"/>
  <c r="GS53" i="9" s="1"/>
  <c r="FY57" i="9"/>
  <c r="FZ57" i="9" s="1"/>
  <c r="GR57" i="9"/>
  <c r="GS57" i="9" s="1"/>
  <c r="I61" i="9" a="1"/>
  <c r="I61" i="9" s="1"/>
  <c r="J61" i="9" s="1" a="1"/>
  <c r="J61" i="9" s="1"/>
  <c r="H61" i="9" s="1" a="1"/>
  <c r="H61" i="9" s="1"/>
  <c r="FF40" i="9"/>
  <c r="FG40" i="9" s="1"/>
  <c r="I46" i="9" a="1"/>
  <c r="I46" i="9" s="1"/>
  <c r="J46" i="9" s="1" a="1"/>
  <c r="J46" i="9" s="1"/>
  <c r="H46" i="9" s="1" a="1"/>
  <c r="H46" i="9" s="1"/>
  <c r="FY46" i="9"/>
  <c r="FZ46" i="9" s="1"/>
  <c r="GR46" i="9"/>
  <c r="GS46" i="9" s="1"/>
  <c r="FY47" i="9"/>
  <c r="FZ47" i="9" s="1"/>
  <c r="GR47" i="9"/>
  <c r="GS47" i="9" s="1"/>
  <c r="FY22" i="9"/>
  <c r="FZ22" i="9" s="1"/>
  <c r="GR22" i="9"/>
  <c r="GS22" i="9" s="1"/>
  <c r="EM62" i="9"/>
  <c r="EN62" i="9" s="1"/>
  <c r="DA45" i="9"/>
  <c r="DB45" i="9" s="1"/>
  <c r="I33" i="9" a="1"/>
  <c r="I33" i="9" s="1"/>
  <c r="J33" i="9" s="1" a="1"/>
  <c r="J33" i="9" s="1"/>
  <c r="H33" i="9" s="1" a="1"/>
  <c r="H33" i="9" s="1"/>
  <c r="D33" i="9" s="1"/>
  <c r="FY33" i="9"/>
  <c r="FZ33" i="9" s="1"/>
  <c r="GR33" i="9"/>
  <c r="GS33" i="9" s="1"/>
  <c r="FY24" i="9"/>
  <c r="FZ24" i="9" s="1"/>
  <c r="GR24" i="9"/>
  <c r="GS24" i="9" s="1"/>
  <c r="AC16" i="9"/>
  <c r="AD16" i="9" s="1"/>
  <c r="FY12" i="9"/>
  <c r="FZ12" i="9" s="1"/>
  <c r="GR12" i="9"/>
  <c r="GS12" i="9" s="1"/>
  <c r="I26" i="9" a="1"/>
  <c r="I26" i="9" s="1"/>
  <c r="J26" i="9" s="1" a="1"/>
  <c r="J26" i="9" s="1"/>
  <c r="H26" i="9" s="1" a="1"/>
  <c r="H26" i="9" s="1"/>
  <c r="FY26" i="9"/>
  <c r="FZ26" i="9" s="1"/>
  <c r="GR26" i="9"/>
  <c r="GS26" i="9" s="1"/>
  <c r="I49" i="9" a="1"/>
  <c r="I49" i="9" s="1"/>
  <c r="J49" i="9" s="1" a="1"/>
  <c r="J49" i="9" s="1"/>
  <c r="H49" i="9" s="1" a="1"/>
  <c r="H49" i="9" s="1"/>
  <c r="FY49" i="9"/>
  <c r="FZ49" i="9" s="1"/>
  <c r="GR49" i="9"/>
  <c r="GS49" i="9" s="1"/>
  <c r="AV56" i="9"/>
  <c r="AW56" i="9" s="1"/>
  <c r="I55" i="9" a="1"/>
  <c r="I55" i="9" s="1"/>
  <c r="J55" i="9" s="1" a="1"/>
  <c r="J55" i="9" s="1"/>
  <c r="H55" i="9" s="1" a="1"/>
  <c r="H55" i="9" s="1"/>
  <c r="FY55" i="9"/>
  <c r="FZ55" i="9" s="1"/>
  <c r="GR55" i="9"/>
  <c r="GS55" i="9" s="1"/>
  <c r="DT36" i="9"/>
  <c r="DU36" i="9" s="1"/>
  <c r="BO34" i="9"/>
  <c r="BP34" i="9" s="1"/>
  <c r="AV22" i="9"/>
  <c r="AW22" i="9" s="1"/>
  <c r="DA14" i="9"/>
  <c r="DB14" i="9" s="1"/>
  <c r="I13" i="9" a="1"/>
  <c r="I13" i="9" s="1"/>
  <c r="J13" i="9" s="1" a="1"/>
  <c r="J13" i="9" s="1"/>
  <c r="H13" i="9" s="1" a="1"/>
  <c r="H13" i="9" s="1"/>
  <c r="FY13" i="9"/>
  <c r="FZ13" i="9" s="1"/>
  <c r="GR13" i="9"/>
  <c r="GS13" i="9" s="1"/>
  <c r="FY17" i="9"/>
  <c r="FZ17" i="9" s="1"/>
  <c r="GR17" i="9"/>
  <c r="GS17" i="9" s="1"/>
  <c r="I29" i="9" a="1"/>
  <c r="I29" i="9" s="1"/>
  <c r="J29" i="9" s="1" a="1"/>
  <c r="J29" i="9" s="1"/>
  <c r="H29" i="9" s="1" a="1"/>
  <c r="H29" i="9" s="1"/>
  <c r="FY29" i="9"/>
  <c r="FZ29" i="9" s="1"/>
  <c r="GR29" i="9"/>
  <c r="GS29" i="9" s="1"/>
  <c r="I32" i="9" a="1"/>
  <c r="I32" i="9" s="1"/>
  <c r="J32" i="9" s="1" a="1"/>
  <c r="J32" i="9" s="1"/>
  <c r="H32" i="9" s="1" a="1"/>
  <c r="H32" i="9" s="1"/>
  <c r="FY32" i="9"/>
  <c r="FZ32" i="9" s="1"/>
  <c r="GR32" i="9"/>
  <c r="GS32" i="9" s="1"/>
  <c r="I36" i="9" a="1"/>
  <c r="I36" i="9" s="1"/>
  <c r="J36" i="9" s="1" a="1"/>
  <c r="J36" i="9" s="1"/>
  <c r="H36" i="9" s="1" a="1"/>
  <c r="H36" i="9" s="1"/>
  <c r="FY36" i="9"/>
  <c r="FZ36" i="9" s="1"/>
  <c r="GR36" i="9"/>
  <c r="GS36" i="9" s="1"/>
  <c r="I41" i="9" a="1"/>
  <c r="I41" i="9" s="1"/>
  <c r="J41" i="9" s="1" a="1"/>
  <c r="J41" i="9" s="1"/>
  <c r="H41" i="9" s="1" a="1"/>
  <c r="H41" i="9" s="1"/>
  <c r="FY41" i="9"/>
  <c r="FZ41" i="9" s="1"/>
  <c r="GR41" i="9"/>
  <c r="GS41" i="9" s="1"/>
  <c r="FY42" i="9"/>
  <c r="FZ42" i="9" s="1"/>
  <c r="GR42" i="9"/>
  <c r="GS42" i="9" s="1"/>
  <c r="I45" i="9" a="1"/>
  <c r="I45" i="9" s="1"/>
  <c r="J45" i="9" s="1" a="1"/>
  <c r="J45" i="9" s="1"/>
  <c r="H45" i="9" s="1" a="1"/>
  <c r="H45" i="9" s="1"/>
  <c r="FY45" i="9"/>
  <c r="FZ45" i="9" s="1"/>
  <c r="GR45" i="9"/>
  <c r="GS45" i="9" s="1"/>
  <c r="FY51" i="9"/>
  <c r="FZ51" i="9" s="1"/>
  <c r="GR51" i="9"/>
  <c r="GS51" i="9" s="1"/>
  <c r="EM43" i="9"/>
  <c r="EN43" i="9" s="1"/>
  <c r="FY20" i="9"/>
  <c r="FZ20" i="9" s="1"/>
  <c r="GR20" i="9"/>
  <c r="GS20" i="9" s="1"/>
  <c r="I56" i="9" a="1"/>
  <c r="I56" i="9" s="1"/>
  <c r="J56" i="9" s="1" a="1"/>
  <c r="J56" i="9" s="1"/>
  <c r="H56" i="9" s="1" a="1"/>
  <c r="H56" i="9" s="1"/>
  <c r="FY56" i="9"/>
  <c r="FZ56" i="9" s="1"/>
  <c r="GR56" i="9"/>
  <c r="GS56" i="9" s="1"/>
  <c r="I64" i="9" a="1"/>
  <c r="I64" i="9" s="1"/>
  <c r="J64" i="9" s="1" a="1"/>
  <c r="J64" i="9" s="1"/>
  <c r="H64" i="9" s="1" a="1"/>
  <c r="H64" i="9" s="1"/>
  <c r="FY64" i="9"/>
  <c r="FZ64" i="9" s="1"/>
  <c r="GR64" i="9"/>
  <c r="GS64" i="9" s="1"/>
  <c r="AC59" i="9"/>
  <c r="AD59" i="9" s="1"/>
  <c r="DA60" i="9"/>
  <c r="DB60" i="9" s="1"/>
  <c r="CH37" i="9"/>
  <c r="CI37" i="9" s="1"/>
  <c r="BO12" i="9"/>
  <c r="BP12" i="9" s="1"/>
  <c r="I15" i="9" a="1"/>
  <c r="I15" i="9" s="1"/>
  <c r="J15" i="9" s="1" a="1"/>
  <c r="J15" i="9" s="1"/>
  <c r="H15" i="9" s="1" a="1"/>
  <c r="H15" i="9" s="1"/>
  <c r="FY15" i="9"/>
  <c r="FZ15" i="9" s="1"/>
  <c r="GR15" i="9"/>
  <c r="GS15" i="9" s="1"/>
  <c r="FY28" i="9"/>
  <c r="FZ28" i="9" s="1"/>
  <c r="GR28" i="9"/>
  <c r="GS28" i="9" s="1"/>
  <c r="FY31" i="9"/>
  <c r="FZ31" i="9" s="1"/>
  <c r="GR31" i="9"/>
  <c r="GS31" i="9" s="1"/>
  <c r="I35" i="9" a="1"/>
  <c r="I35" i="9" s="1"/>
  <c r="J35" i="9" s="1" a="1"/>
  <c r="J35" i="9" s="1"/>
  <c r="H35" i="9" s="1" a="1"/>
  <c r="H35" i="9" s="1"/>
  <c r="FY35" i="9"/>
  <c r="FZ35" i="9" s="1"/>
  <c r="GR35" i="9"/>
  <c r="GS35" i="9" s="1"/>
  <c r="FY39" i="9"/>
  <c r="FZ39" i="9" s="1"/>
  <c r="GR39" i="9"/>
  <c r="GS39" i="9" s="1"/>
  <c r="I50" i="9" a="1"/>
  <c r="I50" i="9" s="1"/>
  <c r="J50" i="9" s="1" a="1"/>
  <c r="J50" i="9" s="1"/>
  <c r="H50" i="9" s="1" a="1"/>
  <c r="H50" i="9" s="1"/>
  <c r="FY50" i="9"/>
  <c r="FZ50" i="9" s="1"/>
  <c r="GR50" i="9"/>
  <c r="GS50" i="9" s="1"/>
  <c r="FF59" i="9"/>
  <c r="FG59" i="9" s="1"/>
  <c r="FF45" i="9"/>
  <c r="FG45" i="9" s="1"/>
  <c r="FF43" i="9"/>
  <c r="FG43" i="9" s="1"/>
  <c r="CH38" i="9"/>
  <c r="CI38" i="9" s="1"/>
  <c r="FY27" i="9"/>
  <c r="FZ27" i="9" s="1"/>
  <c r="GR27" i="9"/>
  <c r="GS27" i="9" s="1"/>
  <c r="DT22" i="9"/>
  <c r="DU22" i="9" s="1"/>
  <c r="FY43" i="9"/>
  <c r="FZ43" i="9" s="1"/>
  <c r="GR43" i="9"/>
  <c r="GS43" i="9" s="1"/>
  <c r="BO59" i="9"/>
  <c r="BP59" i="9" s="1"/>
  <c r="FY38" i="9"/>
  <c r="FZ38" i="9" s="1"/>
  <c r="GR38" i="9"/>
  <c r="GS38" i="9" s="1"/>
  <c r="FY23" i="9"/>
  <c r="FZ23" i="9" s="1"/>
  <c r="GR23" i="9"/>
  <c r="GS23" i="9" s="1"/>
  <c r="BO44" i="9"/>
  <c r="BP44" i="9" s="1"/>
  <c r="BO40" i="9"/>
  <c r="BP40" i="9" s="1"/>
  <c r="I44" i="9" a="1"/>
  <c r="I44" i="9" s="1"/>
  <c r="J44" i="9" s="1" a="1"/>
  <c r="J44" i="9" s="1"/>
  <c r="H44" i="9" s="1" a="1"/>
  <c r="H44" i="9" s="1"/>
  <c r="FY44" i="9"/>
  <c r="FZ44" i="9" s="1"/>
  <c r="GR44" i="9"/>
  <c r="GS44" i="9" s="1"/>
  <c r="FF20" i="9"/>
  <c r="FG20" i="9" s="1"/>
  <c r="EM12" i="9"/>
  <c r="EN12" i="9" s="1"/>
  <c r="EM16" i="9"/>
  <c r="EN16" i="9" s="1"/>
  <c r="I14" i="9" a="1"/>
  <c r="I14" i="9" s="1"/>
  <c r="J14" i="9" s="1" a="1"/>
  <c r="J14" i="9" s="1"/>
  <c r="H14" i="9" s="1" a="1"/>
  <c r="H14" i="9" s="1"/>
  <c r="FY14" i="9"/>
  <c r="FZ14" i="9" s="1"/>
  <c r="GR14" i="9"/>
  <c r="GS14" i="9" s="1"/>
  <c r="I19" i="9" a="1"/>
  <c r="I19" i="9" s="1"/>
  <c r="J19" i="9" s="1" a="1"/>
  <c r="J19" i="9" s="1"/>
  <c r="H19" i="9" s="1" a="1"/>
  <c r="H19" i="9" s="1"/>
  <c r="FY19" i="9"/>
  <c r="FZ19" i="9" s="1"/>
  <c r="GR19" i="9"/>
  <c r="GS19" i="9" s="1"/>
  <c r="I34" i="9" a="1"/>
  <c r="I34" i="9" s="1"/>
  <c r="J34" i="9" s="1" a="1"/>
  <c r="J34" i="9" s="1"/>
  <c r="H34" i="9" s="1" a="1"/>
  <c r="H34" i="9" s="1"/>
  <c r="FY34" i="9"/>
  <c r="FZ34" i="9" s="1"/>
  <c r="GR34" i="9"/>
  <c r="GS34" i="9" s="1"/>
  <c r="FY52" i="9"/>
  <c r="FZ52" i="9" s="1"/>
  <c r="GR52" i="9"/>
  <c r="GS52" i="9" s="1"/>
  <c r="FY58" i="9"/>
  <c r="FZ58" i="9" s="1"/>
  <c r="GR58" i="9"/>
  <c r="GS58" i="9" s="1"/>
  <c r="FY63" i="9"/>
  <c r="FZ63" i="9" s="1"/>
  <c r="GR63" i="9"/>
  <c r="GS63" i="9" s="1"/>
  <c r="FF44" i="9"/>
  <c r="FG44" i="9" s="1"/>
  <c r="O13" i="9"/>
  <c r="CH44" i="9"/>
  <c r="CI44" i="9" s="1"/>
  <c r="DA13" i="9"/>
  <c r="DB13" i="9" s="1"/>
  <c r="DA44" i="9"/>
  <c r="DB44" i="9" s="1"/>
  <c r="K31" i="9"/>
  <c r="I31" i="9" a="1"/>
  <c r="I31" i="9" s="1"/>
  <c r="J31" i="9" s="1" a="1"/>
  <c r="J31" i="9" s="1"/>
  <c r="H31" i="9" s="1" a="1"/>
  <c r="H31" i="9" s="1"/>
  <c r="AC64" i="9"/>
  <c r="AD64" i="9" s="1"/>
  <c r="AV60" i="9"/>
  <c r="AW60" i="9" s="1"/>
  <c r="AC65" i="9"/>
  <c r="AD65" i="9" s="1"/>
  <c r="DA63" i="9"/>
  <c r="DB63" i="9" s="1"/>
  <c r="AV64" i="9"/>
  <c r="AW64" i="9" s="1"/>
  <c r="AV62" i="9"/>
  <c r="AW62" i="9" s="1"/>
  <c r="K7" i="10" a="1"/>
  <c r="K7" i="10" s="1"/>
  <c r="K14" i="10" s="1" a="1"/>
  <c r="K14" i="10" s="1"/>
  <c r="P7" i="10" a="1"/>
  <c r="P7" i="10" s="1"/>
  <c r="P14" i="10" s="1" a="1"/>
  <c r="P14" i="10" s="1"/>
  <c r="J7" i="10" a="1"/>
  <c r="J7" i="10" s="1"/>
  <c r="J14" i="10" s="1" a="1"/>
  <c r="J14" i="10" s="1"/>
  <c r="G7" i="10" a="1"/>
  <c r="G7" i="10" s="1"/>
  <c r="G14" i="10" s="1" a="1"/>
  <c r="G14" i="10" s="1"/>
  <c r="M7" i="10" a="1"/>
  <c r="M7" i="10" s="1"/>
  <c r="M14" i="10" s="1" a="1"/>
  <c r="M14" i="10" s="1"/>
  <c r="L7" i="10" a="1"/>
  <c r="L7" i="10" s="1"/>
  <c r="L14" i="10" s="1" a="1"/>
  <c r="L14" i="10" s="1"/>
  <c r="E7" i="10" a="1"/>
  <c r="E7" i="10" s="1"/>
  <c r="E14" i="10" s="1" a="1"/>
  <c r="E14" i="10" s="1"/>
  <c r="O7" i="10" a="1"/>
  <c r="O7" i="10" s="1"/>
  <c r="O14" i="10" s="1" a="1"/>
  <c r="O14" i="10" s="1"/>
  <c r="H7" i="10" a="1"/>
  <c r="H7" i="10" s="1"/>
  <c r="H14" i="10" s="1" a="1"/>
  <c r="H14" i="10" s="1"/>
  <c r="N7" i="10" a="1"/>
  <c r="N7" i="10" s="1"/>
  <c r="N14" i="10" s="1" a="1"/>
  <c r="N14" i="10" s="1"/>
  <c r="I7" i="10" a="1"/>
  <c r="I7" i="10" s="1"/>
  <c r="I14" i="10" s="1" a="1"/>
  <c r="I14" i="10" s="1"/>
  <c r="F7" i="10" a="1"/>
  <c r="F7" i="10" s="1"/>
  <c r="F14" i="10" s="1" a="1"/>
  <c r="F14" i="10" s="1"/>
  <c r="D7" i="10" a="1"/>
  <c r="D7" i="10" s="1"/>
  <c r="D14" i="10" s="1" a="1"/>
  <c r="D14" i="10" s="1"/>
  <c r="FF62" i="9"/>
  <c r="FG62" i="9" s="1"/>
  <c r="BO61" i="9"/>
  <c r="BP61" i="9" s="1"/>
  <c r="FF61" i="9"/>
  <c r="FG61" i="9" s="1"/>
  <c r="EM61" i="9"/>
  <c r="EN61" i="9" s="1"/>
  <c r="AV65" i="9"/>
  <c r="AW65" i="9" s="1"/>
  <c r="CH63" i="9"/>
  <c r="CI63" i="9" s="1"/>
  <c r="DA61" i="9"/>
  <c r="DB61" i="9" s="1"/>
  <c r="FF64" i="9"/>
  <c r="FG64" i="9" s="1"/>
  <c r="BO64" i="9"/>
  <c r="BP64" i="9" s="1"/>
  <c r="EM63" i="9"/>
  <c r="EN63" i="9" s="1"/>
  <c r="AC60" i="9"/>
  <c r="AD60" i="9" s="1"/>
  <c r="AV59" i="9"/>
  <c r="AW59" i="9" s="1"/>
  <c r="DA64" i="9"/>
  <c r="DB64" i="9" s="1"/>
  <c r="DA62" i="9"/>
  <c r="DB62" i="9" s="1"/>
  <c r="CH60" i="9"/>
  <c r="CI60" i="9" s="1"/>
  <c r="AC62" i="9"/>
  <c r="AD62" i="9" s="1"/>
  <c r="BO63" i="9"/>
  <c r="BP63" i="9" s="1"/>
  <c r="DA65" i="9"/>
  <c r="DB65" i="9" s="1"/>
  <c r="FF65" i="9"/>
  <c r="FG65" i="9" s="1"/>
  <c r="DT63" i="9"/>
  <c r="DU63" i="9" s="1"/>
  <c r="BO62" i="9"/>
  <c r="BP62" i="9" s="1"/>
  <c r="EM64" i="9"/>
  <c r="EN64" i="9" s="1"/>
  <c r="AC63" i="9"/>
  <c r="AD63" i="9" s="1"/>
  <c r="AV63" i="9"/>
  <c r="AW63" i="9" s="1"/>
  <c r="DT61" i="9"/>
  <c r="DU61" i="9" s="1"/>
  <c r="BO60" i="9"/>
  <c r="BP60" i="9" s="1"/>
  <c r="CH65" i="9"/>
  <c r="CI65" i="9" s="1"/>
  <c r="DT65" i="9"/>
  <c r="DU65" i="9" s="1"/>
  <c r="CH62" i="9"/>
  <c r="CI62" i="9" s="1"/>
  <c r="DT62" i="9"/>
  <c r="DU62" i="9" s="1"/>
  <c r="BO65" i="9"/>
  <c r="BP65" i="9" s="1"/>
  <c r="AV61" i="9"/>
  <c r="AW61" i="9" s="1"/>
  <c r="EM59" i="9"/>
  <c r="EN59" i="9" s="1"/>
  <c r="AV58" i="9"/>
  <c r="AW58" i="9" s="1"/>
  <c r="BO57" i="9"/>
  <c r="BP57" i="9" s="1"/>
  <c r="CH57" i="9"/>
  <c r="CI57" i="9" s="1"/>
  <c r="FF57" i="9"/>
  <c r="FG57" i="9" s="1"/>
  <c r="DA59" i="9"/>
  <c r="DB59" i="9" s="1"/>
  <c r="O64" i="9"/>
  <c r="DA56" i="9"/>
  <c r="DB56" i="9" s="1"/>
  <c r="DT59" i="9"/>
  <c r="DU59" i="9" s="1"/>
  <c r="DA58" i="9"/>
  <c r="DB58" i="9" s="1"/>
  <c r="EM57" i="9"/>
  <c r="EN57" i="9" s="1"/>
  <c r="DT57" i="9"/>
  <c r="DU57" i="9" s="1"/>
  <c r="DT56" i="9"/>
  <c r="DU56" i="9" s="1"/>
  <c r="DT55" i="9"/>
  <c r="DU55" i="9" s="1"/>
  <c r="CH59" i="9"/>
  <c r="CI59" i="9" s="1"/>
  <c r="AC58" i="9"/>
  <c r="AD58" i="9" s="1"/>
  <c r="EM58" i="9"/>
  <c r="EN58" i="9" s="1"/>
  <c r="AC56" i="9"/>
  <c r="AD56" i="9" s="1"/>
  <c r="DA57" i="9"/>
  <c r="DB57" i="9" s="1"/>
  <c r="AV55" i="9"/>
  <c r="AW55" i="9" s="1"/>
  <c r="O62" i="9"/>
  <c r="FF56" i="9"/>
  <c r="FG56" i="9" s="1"/>
  <c r="O65" i="9"/>
  <c r="O63" i="9"/>
  <c r="DA55" i="9"/>
  <c r="DB55" i="9" s="1"/>
  <c r="DT60" i="9"/>
  <c r="DU60" i="9" s="1"/>
  <c r="DT58" i="9"/>
  <c r="DU58" i="9" s="1"/>
  <c r="FF58" i="9"/>
  <c r="FG58" i="9" s="1"/>
  <c r="AV57" i="9"/>
  <c r="AW57" i="9" s="1"/>
  <c r="AC55" i="9"/>
  <c r="AD55" i="9" s="1"/>
  <c r="CH56" i="9"/>
  <c r="CI56" i="9" s="1"/>
  <c r="AC57" i="9"/>
  <c r="AD57" i="9" s="1"/>
  <c r="BO58" i="9"/>
  <c r="BP58" i="9" s="1"/>
  <c r="FF60" i="9"/>
  <c r="FG60" i="9" s="1"/>
  <c r="CH58" i="9"/>
  <c r="CI58" i="9" s="1"/>
  <c r="BO56" i="9"/>
  <c r="BP56" i="9" s="1"/>
  <c r="EM56" i="9"/>
  <c r="EN56" i="9" s="1"/>
  <c r="DT54" i="9"/>
  <c r="DU54" i="9" s="1"/>
  <c r="EM53" i="9"/>
  <c r="EN53" i="9" s="1"/>
  <c r="BO54" i="9"/>
  <c r="BP54" i="9" s="1"/>
  <c r="FF51" i="9"/>
  <c r="FG51" i="9" s="1"/>
  <c r="BO50" i="9"/>
  <c r="BP50" i="9" s="1"/>
  <c r="AC53" i="9"/>
  <c r="AD53" i="9" s="1"/>
  <c r="FF54" i="9"/>
  <c r="FG54" i="9" s="1"/>
  <c r="DA53" i="9"/>
  <c r="DB53" i="9" s="1"/>
  <c r="AC54" i="9"/>
  <c r="AD54" i="9" s="1"/>
  <c r="CH55" i="9"/>
  <c r="CI55" i="9" s="1"/>
  <c r="AV53" i="9"/>
  <c r="AW53" i="9" s="1"/>
  <c r="O60" i="9"/>
  <c r="AC52" i="9"/>
  <c r="AD52" i="9" s="1"/>
  <c r="FF50" i="9"/>
  <c r="FG50" i="9" s="1"/>
  <c r="O61" i="9"/>
  <c r="O58" i="9"/>
  <c r="DA52" i="9"/>
  <c r="DB52" i="9" s="1"/>
  <c r="DA54" i="9"/>
  <c r="DB54" i="9" s="1"/>
  <c r="EM54" i="9"/>
  <c r="EN54" i="9" s="1"/>
  <c r="EM52" i="9"/>
  <c r="EN52" i="9" s="1"/>
  <c r="DA51" i="9"/>
  <c r="DB51" i="9" s="1"/>
  <c r="AV54" i="9"/>
  <c r="AW54" i="9" s="1"/>
  <c r="CH53" i="9"/>
  <c r="CI53" i="9" s="1"/>
  <c r="DT52" i="9"/>
  <c r="DU52" i="9" s="1"/>
  <c r="CH51" i="9"/>
  <c r="CI51" i="9" s="1"/>
  <c r="CH54" i="9"/>
  <c r="CI54" i="9" s="1"/>
  <c r="FF53" i="9"/>
  <c r="FG53" i="9" s="1"/>
  <c r="CH52" i="9"/>
  <c r="CI52" i="9" s="1"/>
  <c r="BO52" i="9"/>
  <c r="BP52" i="9" s="1"/>
  <c r="AV50" i="9"/>
  <c r="AW50" i="9" s="1"/>
  <c r="BO48" i="9"/>
  <c r="BP48" i="9" s="1"/>
  <c r="EM48" i="9"/>
  <c r="EN48" i="9" s="1"/>
  <c r="AV47" i="9"/>
  <c r="AW47" i="9" s="1"/>
  <c r="CH48" i="9"/>
  <c r="CI48" i="9" s="1"/>
  <c r="AC50" i="9"/>
  <c r="AD50" i="9" s="1"/>
  <c r="O56" i="9"/>
  <c r="DT49" i="9"/>
  <c r="DU49" i="9" s="1"/>
  <c r="O53" i="9"/>
  <c r="EM50" i="9"/>
  <c r="EN50" i="9" s="1"/>
  <c r="EM49" i="9"/>
  <c r="EN49" i="9" s="1"/>
  <c r="AC46" i="9"/>
  <c r="AD46" i="9" s="1"/>
  <c r="O54" i="9"/>
  <c r="AV49" i="9"/>
  <c r="AW49" i="9" s="1"/>
  <c r="BO49" i="9"/>
  <c r="BP49" i="9" s="1"/>
  <c r="EM47" i="9"/>
  <c r="EN47" i="9" s="1"/>
  <c r="O59" i="9"/>
  <c r="EM51" i="9"/>
  <c r="EN51" i="9" s="1"/>
  <c r="DA50" i="9"/>
  <c r="DB50" i="9" s="1"/>
  <c r="CH49" i="9"/>
  <c r="CI49" i="9" s="1"/>
  <c r="DT48" i="9"/>
  <c r="DU48" i="9" s="1"/>
  <c r="AC47" i="9"/>
  <c r="AD47" i="9" s="1"/>
  <c r="CH50" i="9"/>
  <c r="CI50" i="9" s="1"/>
  <c r="DA49" i="9"/>
  <c r="DB49" i="9" s="1"/>
  <c r="DA48" i="9"/>
  <c r="DB48" i="9" s="1"/>
  <c r="O57" i="9"/>
  <c r="DT50" i="9"/>
  <c r="DU50" i="9" s="1"/>
  <c r="AV48" i="9"/>
  <c r="AW48" i="9" s="1"/>
  <c r="AC49" i="9"/>
  <c r="AD49" i="9" s="1"/>
  <c r="FF49" i="9"/>
  <c r="FG49" i="9" s="1"/>
  <c r="CH47" i="9"/>
  <c r="CI47" i="9" s="1"/>
  <c r="CH45" i="9"/>
  <c r="CI45" i="9" s="1"/>
  <c r="DA46" i="9"/>
  <c r="DB46" i="9" s="1"/>
  <c r="FF48" i="9"/>
  <c r="FG48" i="9" s="1"/>
  <c r="AV44" i="9"/>
  <c r="AW44" i="9" s="1"/>
  <c r="CH43" i="9"/>
  <c r="CI43" i="9" s="1"/>
  <c r="O55" i="9"/>
  <c r="AC45" i="9"/>
  <c r="AD45" i="9" s="1"/>
  <c r="DT45" i="9"/>
  <c r="DU45" i="9" s="1"/>
  <c r="AV45" i="9"/>
  <c r="AW45" i="9" s="1"/>
  <c r="DA42" i="9"/>
  <c r="DB42" i="9" s="1"/>
  <c r="DA40" i="9"/>
  <c r="DB40" i="9" s="1"/>
  <c r="EM46" i="9"/>
  <c r="EN46" i="9" s="1"/>
  <c r="EM45" i="9"/>
  <c r="EN45" i="9" s="1"/>
  <c r="AC43" i="9"/>
  <c r="AD43" i="9" s="1"/>
  <c r="AC44" i="9"/>
  <c r="AD44" i="9" s="1"/>
  <c r="AV46" i="9"/>
  <c r="AW46" i="9" s="1"/>
  <c r="O51" i="9"/>
  <c r="BO46" i="9"/>
  <c r="BP46" i="9" s="1"/>
  <c r="BO43" i="9"/>
  <c r="BP43" i="9" s="1"/>
  <c r="DA37" i="9"/>
  <c r="DB37" i="9" s="1"/>
  <c r="O52" i="9"/>
  <c r="EM44" i="9"/>
  <c r="EN44" i="9" s="1"/>
  <c r="AC42" i="9"/>
  <c r="AD42" i="9" s="1"/>
  <c r="BO41" i="9"/>
  <c r="BP41" i="9" s="1"/>
  <c r="O47" i="9"/>
  <c r="BO38" i="9"/>
  <c r="BP38" i="9" s="1"/>
  <c r="AC41" i="9"/>
  <c r="AD41" i="9" s="1"/>
  <c r="AV41" i="9"/>
  <c r="AW41" i="9" s="1"/>
  <c r="BO42" i="9"/>
  <c r="BP42" i="9" s="1"/>
  <c r="DA43" i="9"/>
  <c r="DB43" i="9" s="1"/>
  <c r="DT43" i="9"/>
  <c r="DU43" i="9" s="1"/>
  <c r="CH40" i="9"/>
  <c r="CI40" i="9" s="1"/>
  <c r="EM40" i="9"/>
  <c r="EN40" i="9" s="1"/>
  <c r="DT37" i="9"/>
  <c r="DU37" i="9" s="1"/>
  <c r="BO35" i="9"/>
  <c r="BP35" i="9" s="1"/>
  <c r="O46" i="9"/>
  <c r="O49" i="9"/>
  <c r="DA41" i="9"/>
  <c r="DB41" i="9" s="1"/>
  <c r="DT41" i="9"/>
  <c r="DU41" i="9" s="1"/>
  <c r="DT44" i="9"/>
  <c r="DU44" i="9" s="1"/>
  <c r="FF41" i="9"/>
  <c r="FG41" i="9" s="1"/>
  <c r="BO39" i="9"/>
  <c r="BP39" i="9" s="1"/>
  <c r="O50" i="9"/>
  <c r="FF42" i="9"/>
  <c r="FG42" i="9" s="1"/>
  <c r="EM41" i="9"/>
  <c r="EN41" i="9" s="1"/>
  <c r="AV40" i="9"/>
  <c r="AW40" i="9" s="1"/>
  <c r="DT39" i="9"/>
  <c r="DU39" i="9" s="1"/>
  <c r="EM42" i="9"/>
  <c r="EN42" i="9" s="1"/>
  <c r="AC40" i="9"/>
  <c r="AD40" i="9" s="1"/>
  <c r="CH41" i="9"/>
  <c r="CI41" i="9" s="1"/>
  <c r="O44" i="9"/>
  <c r="O48" i="9"/>
  <c r="FF38" i="9"/>
  <c r="FG38" i="9" s="1"/>
  <c r="AV38" i="9"/>
  <c r="AW38" i="9" s="1"/>
  <c r="AV37" i="9"/>
  <c r="AW37" i="9" s="1"/>
  <c r="FF37" i="9"/>
  <c r="FG37" i="9" s="1"/>
  <c r="O42" i="9"/>
  <c r="AC38" i="9"/>
  <c r="AD38" i="9" s="1"/>
  <c r="AC36" i="9"/>
  <c r="AD36" i="9" s="1"/>
  <c r="CH36" i="9"/>
  <c r="CI36" i="9" s="1"/>
  <c r="CH39" i="9"/>
  <c r="CI39" i="9" s="1"/>
  <c r="FF39" i="9"/>
  <c r="FG39" i="9" s="1"/>
  <c r="BO37" i="9"/>
  <c r="BP37" i="9" s="1"/>
  <c r="EM37" i="9"/>
  <c r="EN37" i="9" s="1"/>
  <c r="FF36" i="9"/>
  <c r="FG36" i="9" s="1"/>
  <c r="AV36" i="9"/>
  <c r="AW36" i="9" s="1"/>
  <c r="DA36" i="9"/>
  <c r="DB36" i="9" s="1"/>
  <c r="DT38" i="9"/>
  <c r="DU38" i="9" s="1"/>
  <c r="O45" i="9"/>
  <c r="CH34" i="9"/>
  <c r="CI34" i="9" s="1"/>
  <c r="DT35" i="9"/>
  <c r="DU35" i="9" s="1"/>
  <c r="DA34" i="9"/>
  <c r="DB34" i="9" s="1"/>
  <c r="I38" i="9" a="1"/>
  <c r="I38" i="9" s="1"/>
  <c r="J38" i="9" s="1" a="1"/>
  <c r="J38" i="9" s="1"/>
  <c r="H38" i="9" s="1" a="1"/>
  <c r="H38" i="9" s="1"/>
  <c r="DA38" i="9"/>
  <c r="DB38" i="9" s="1"/>
  <c r="CH33" i="9"/>
  <c r="CI33" i="9" s="1"/>
  <c r="FF32" i="9"/>
  <c r="FG32" i="9" s="1"/>
  <c r="AV35" i="9"/>
  <c r="AW35" i="9" s="1"/>
  <c r="O40" i="9"/>
  <c r="CH32" i="9"/>
  <c r="CI32" i="9" s="1"/>
  <c r="AC31" i="9"/>
  <c r="AD31" i="9" s="1"/>
  <c r="EM36" i="9"/>
  <c r="EN36" i="9" s="1"/>
  <c r="BO36" i="9"/>
  <c r="BP36" i="9" s="1"/>
  <c r="O41" i="9"/>
  <c r="AV33" i="9"/>
  <c r="AW33" i="9" s="1"/>
  <c r="FF33" i="9"/>
  <c r="FG33" i="9" s="1"/>
  <c r="O43" i="9"/>
  <c r="AC35" i="9"/>
  <c r="AD35" i="9" s="1"/>
  <c r="AC33" i="9"/>
  <c r="AD33" i="9" s="1"/>
  <c r="AC32" i="9"/>
  <c r="AD32" i="9" s="1"/>
  <c r="DT32" i="9"/>
  <c r="DU32" i="9" s="1"/>
  <c r="AC34" i="9"/>
  <c r="AD34" i="9" s="1"/>
  <c r="DT34" i="9"/>
  <c r="DU34" i="9" s="1"/>
  <c r="DA33" i="9"/>
  <c r="DB33" i="9" s="1"/>
  <c r="AV32" i="9"/>
  <c r="AW32" i="9" s="1"/>
  <c r="CH35" i="9"/>
  <c r="CI35" i="9" s="1"/>
  <c r="FF35" i="9"/>
  <c r="FG35" i="9" s="1"/>
  <c r="AV34" i="9"/>
  <c r="AW34" i="9" s="1"/>
  <c r="EM34" i="9"/>
  <c r="EN34" i="9" s="1"/>
  <c r="FF34" i="9"/>
  <c r="FG34" i="9" s="1"/>
  <c r="EM35" i="9"/>
  <c r="EN35" i="9" s="1"/>
  <c r="BO33" i="9"/>
  <c r="BP33" i="9" s="1"/>
  <c r="EM32" i="9"/>
  <c r="EN32" i="9" s="1"/>
  <c r="DA32" i="9"/>
  <c r="DB32" i="9" s="1"/>
  <c r="EM33" i="9"/>
  <c r="EN33" i="9" s="1"/>
  <c r="DT33" i="9"/>
  <c r="DU33" i="9" s="1"/>
  <c r="O39" i="9"/>
  <c r="O38" i="9"/>
  <c r="EM30" i="9"/>
  <c r="EN30" i="9" s="1"/>
  <c r="BO27" i="9"/>
  <c r="BP27" i="9" s="1"/>
  <c r="CH27" i="9"/>
  <c r="CI27" i="9" s="1"/>
  <c r="DT27" i="9"/>
  <c r="DU27" i="9" s="1"/>
  <c r="BO30" i="9"/>
  <c r="BP30" i="9" s="1"/>
  <c r="FF27" i="9"/>
  <c r="FG27" i="9" s="1"/>
  <c r="DA30" i="9"/>
  <c r="DB30" i="9" s="1"/>
  <c r="O36" i="9"/>
  <c r="O35" i="9"/>
  <c r="EM31" i="9"/>
  <c r="EN31" i="9" s="1"/>
  <c r="DT28" i="9"/>
  <c r="DU28" i="9" s="1"/>
  <c r="BO32" i="9"/>
  <c r="BP32" i="9" s="1"/>
  <c r="O37" i="9"/>
  <c r="FF31" i="9"/>
  <c r="FG31" i="9" s="1"/>
  <c r="AC30" i="9"/>
  <c r="AD30" i="9" s="1"/>
  <c r="DA31" i="9"/>
  <c r="DB31" i="9" s="1"/>
  <c r="EM27" i="9"/>
  <c r="EN27" i="9" s="1"/>
  <c r="BO29" i="9"/>
  <c r="BP29" i="9" s="1"/>
  <c r="DT31" i="9"/>
  <c r="DU31" i="9" s="1"/>
  <c r="DT30" i="9"/>
  <c r="DU30" i="9" s="1"/>
  <c r="DT29" i="9"/>
  <c r="DU29" i="9" s="1"/>
  <c r="CH29" i="9"/>
  <c r="CI29" i="9" s="1"/>
  <c r="AC28" i="9"/>
  <c r="AD28" i="9" s="1"/>
  <c r="FF29" i="9"/>
  <c r="FG29" i="9" s="1"/>
  <c r="EM28" i="9"/>
  <c r="EN28" i="9" s="1"/>
  <c r="DA27" i="9"/>
  <c r="DB27" i="9" s="1"/>
  <c r="AC29" i="9"/>
  <c r="AD29" i="9" s="1"/>
  <c r="FF30" i="9"/>
  <c r="FG30" i="9" s="1"/>
  <c r="AV27" i="9"/>
  <c r="AW27" i="9" s="1"/>
  <c r="CH31" i="9"/>
  <c r="CI31" i="9" s="1"/>
  <c r="AV29" i="9"/>
  <c r="AW29" i="9" s="1"/>
  <c r="AV30" i="9"/>
  <c r="AW30" i="9" s="1"/>
  <c r="CH30" i="9"/>
  <c r="CI30" i="9" s="1"/>
  <c r="DA29" i="9"/>
  <c r="DB29" i="9" s="1"/>
  <c r="BO28" i="9"/>
  <c r="BP28" i="9" s="1"/>
  <c r="O34" i="9"/>
  <c r="BO26" i="9"/>
  <c r="BP26" i="9" s="1"/>
  <c r="CH25" i="9"/>
  <c r="CI25" i="9" s="1"/>
  <c r="AV28" i="9"/>
  <c r="AW28" i="9" s="1"/>
  <c r="DA24" i="9"/>
  <c r="DB24" i="9" s="1"/>
  <c r="O33" i="9"/>
  <c r="AV26" i="9"/>
  <c r="AW26" i="9" s="1"/>
  <c r="FF25" i="9"/>
  <c r="FG25" i="9" s="1"/>
  <c r="AC26" i="9"/>
  <c r="AD26" i="9" s="1"/>
  <c r="AC25" i="9"/>
  <c r="AD25" i="9" s="1"/>
  <c r="DA28" i="9"/>
  <c r="DB28" i="9" s="1"/>
  <c r="AV24" i="9"/>
  <c r="AW24" i="9" s="1"/>
  <c r="DA26" i="9"/>
  <c r="DB26" i="9" s="1"/>
  <c r="BO25" i="9"/>
  <c r="BP25" i="9" s="1"/>
  <c r="CH28" i="9"/>
  <c r="CI28" i="9" s="1"/>
  <c r="O31" i="9"/>
  <c r="AC24" i="9"/>
  <c r="AD24" i="9" s="1"/>
  <c r="EM23" i="9"/>
  <c r="EN23" i="9" s="1"/>
  <c r="FF23" i="9"/>
  <c r="FG23" i="9" s="1"/>
  <c r="BO23" i="9"/>
  <c r="BP23" i="9" s="1"/>
  <c r="DA22" i="9"/>
  <c r="DB22" i="9" s="1"/>
  <c r="O32" i="9"/>
  <c r="CH24" i="9"/>
  <c r="CI24" i="9" s="1"/>
  <c r="DA23" i="9"/>
  <c r="DB23" i="9" s="1"/>
  <c r="DT23" i="9"/>
  <c r="DU23" i="9" s="1"/>
  <c r="EM22" i="9"/>
  <c r="EN22" i="9" s="1"/>
  <c r="BO21" i="9"/>
  <c r="BP21" i="9" s="1"/>
  <c r="BO24" i="9"/>
  <c r="BP24" i="9" s="1"/>
  <c r="AC22" i="9"/>
  <c r="AD22" i="9" s="1"/>
  <c r="FF21" i="9"/>
  <c r="FG21" i="9" s="1"/>
  <c r="FF24" i="9"/>
  <c r="FG24" i="9" s="1"/>
  <c r="EM24" i="9"/>
  <c r="EN24" i="9" s="1"/>
  <c r="I27" i="9" a="1"/>
  <c r="I27" i="9" s="1"/>
  <c r="J27" i="9" s="1" a="1"/>
  <c r="J27" i="9" s="1"/>
  <c r="H27" i="9" s="1" a="1"/>
  <c r="H27" i="9" s="1"/>
  <c r="DT24" i="9"/>
  <c r="DU24" i="9" s="1"/>
  <c r="FF22" i="9"/>
  <c r="FG22" i="9" s="1"/>
  <c r="O26" i="9"/>
  <c r="O29" i="9"/>
  <c r="AC20" i="9"/>
  <c r="AD20" i="9" s="1"/>
  <c r="AV20" i="9"/>
  <c r="AW20" i="9" s="1"/>
  <c r="DA25" i="9"/>
  <c r="DB25" i="9" s="1"/>
  <c r="DT25" i="9"/>
  <c r="DU25" i="9" s="1"/>
  <c r="AC23" i="9"/>
  <c r="AD23" i="9" s="1"/>
  <c r="AV25" i="9"/>
  <c r="AW25" i="9" s="1"/>
  <c r="O30" i="9"/>
  <c r="DA21" i="9"/>
  <c r="DB21" i="9" s="1"/>
  <c r="DT21" i="9"/>
  <c r="DU21" i="9" s="1"/>
  <c r="BO22" i="9"/>
  <c r="BP22" i="9" s="1"/>
  <c r="EM20" i="9"/>
  <c r="EN20" i="9" s="1"/>
  <c r="AC19" i="9"/>
  <c r="AD19" i="9" s="1"/>
  <c r="CH20" i="9"/>
  <c r="CI20" i="9" s="1"/>
  <c r="EM21" i="9"/>
  <c r="EN21" i="9" s="1"/>
  <c r="CH22" i="9"/>
  <c r="CI22" i="9" s="1"/>
  <c r="CH21" i="9"/>
  <c r="CI21" i="9" s="1"/>
  <c r="BO20" i="9"/>
  <c r="BP20" i="9" s="1"/>
  <c r="EM26" i="9"/>
  <c r="EN26" i="9" s="1"/>
  <c r="O27" i="9"/>
  <c r="CH18" i="9"/>
  <c r="CI18" i="9" s="1"/>
  <c r="DT19" i="9"/>
  <c r="DU19" i="9" s="1"/>
  <c r="AC17" i="9"/>
  <c r="AD17" i="9" s="1"/>
  <c r="O28" i="9"/>
  <c r="CH19" i="9"/>
  <c r="CI19" i="9" s="1"/>
  <c r="O24" i="9"/>
  <c r="I24" i="9" a="1"/>
  <c r="I24" i="9" s="1"/>
  <c r="J24" i="9" s="1" a="1"/>
  <c r="J24" i="9" s="1"/>
  <c r="H24" i="9" s="1" a="1"/>
  <c r="H24" i="9" s="1"/>
  <c r="D24" i="9" s="1"/>
  <c r="BO18" i="9"/>
  <c r="BP18" i="9" s="1"/>
  <c r="DA19" i="9"/>
  <c r="DB19" i="9" s="1"/>
  <c r="DA18" i="9"/>
  <c r="DB18" i="9" s="1"/>
  <c r="AV19" i="9"/>
  <c r="AW19" i="9" s="1"/>
  <c r="FF19" i="9"/>
  <c r="FG19" i="9" s="1"/>
  <c r="EM19" i="9"/>
  <c r="EN19" i="9" s="1"/>
  <c r="AV18" i="9"/>
  <c r="AW18" i="9" s="1"/>
  <c r="O25" i="9"/>
  <c r="FF17" i="9"/>
  <c r="FG17" i="9" s="1"/>
  <c r="CH17" i="9"/>
  <c r="CI17" i="9" s="1"/>
  <c r="FF15" i="9"/>
  <c r="FG15" i="9" s="1"/>
  <c r="DT17" i="9"/>
  <c r="DU17" i="9" s="1"/>
  <c r="O23" i="9"/>
  <c r="BO16" i="9"/>
  <c r="BP16" i="9" s="1"/>
  <c r="O22" i="9"/>
  <c r="CH16" i="9"/>
  <c r="CI16" i="9" s="1"/>
  <c r="EM17" i="9"/>
  <c r="EN17" i="9" s="1"/>
  <c r="FF16" i="9"/>
  <c r="FG16" i="9" s="1"/>
  <c r="AV12" i="9"/>
  <c r="AW12" i="9" s="1"/>
  <c r="BO15" i="9"/>
  <c r="BP15" i="9" s="1"/>
  <c r="DA16" i="9"/>
  <c r="DB16" i="9" s="1"/>
  <c r="AV16" i="9"/>
  <c r="AW16" i="9" s="1"/>
  <c r="AC11" i="9"/>
  <c r="AD11" i="9" s="1"/>
  <c r="FF14" i="9"/>
  <c r="FG14" i="9" s="1"/>
  <c r="AC13" i="9"/>
  <c r="AD13" i="9" s="1"/>
  <c r="EM15" i="9"/>
  <c r="EN15" i="9" s="1"/>
  <c r="DT14" i="9"/>
  <c r="DU14" i="9" s="1"/>
  <c r="FF12" i="9"/>
  <c r="FG12" i="9" s="1"/>
  <c r="CH12" i="9"/>
  <c r="CI12" i="9" s="1"/>
  <c r="CH15" i="9"/>
  <c r="CI15" i="9" s="1"/>
  <c r="DT13" i="9"/>
  <c r="DU13" i="9" s="1"/>
  <c r="CH13" i="9"/>
  <c r="CI13" i="9" s="1"/>
  <c r="BO14" i="9"/>
  <c r="BP14" i="9" s="1"/>
  <c r="AC14" i="9"/>
  <c r="AD14" i="9" s="1"/>
  <c r="EM14" i="9"/>
  <c r="EN14" i="9" s="1"/>
  <c r="DA12" i="9"/>
  <c r="DB12" i="9" s="1"/>
  <c r="AV13" i="9"/>
  <c r="AW13" i="9" s="1"/>
  <c r="AV14" i="9"/>
  <c r="AW14" i="9" s="1"/>
  <c r="O21" i="9"/>
  <c r="BO11" i="9"/>
  <c r="BP11" i="9" s="1"/>
  <c r="DT11" i="9"/>
  <c r="DU11" i="9" s="1"/>
  <c r="CH11" i="9"/>
  <c r="CI11" i="9" s="1"/>
  <c r="DT12" i="9"/>
  <c r="DU12" i="9" s="1"/>
  <c r="O19" i="9"/>
  <c r="EM11" i="9"/>
  <c r="EN11" i="9" s="1"/>
  <c r="I11" i="9" a="1"/>
  <c r="I11" i="9" s="1"/>
  <c r="J11" i="9" s="1" a="1"/>
  <c r="J11" i="9" s="1"/>
  <c r="H11" i="9" s="1" a="1"/>
  <c r="H11" i="9" s="1"/>
  <c r="O20" i="9"/>
  <c r="EM13" i="9"/>
  <c r="EN13" i="9" s="1"/>
  <c r="DA11" i="9"/>
  <c r="DB11" i="9" s="1"/>
  <c r="AV11" i="9"/>
  <c r="AW11" i="9" s="1"/>
  <c r="O17" i="9"/>
  <c r="O14" i="9"/>
  <c r="FF11" i="9"/>
  <c r="FG11" i="9" s="1"/>
  <c r="O18" i="9"/>
  <c r="O15" i="9"/>
  <c r="D8" i="10" a="1"/>
  <c r="D8" i="10" s="1"/>
  <c r="H12" i="9" a="1"/>
  <c r="H12" i="9" s="1"/>
  <c r="K17" i="9"/>
  <c r="O12" i="9"/>
  <c r="N8" i="10" a="1"/>
  <c r="N8" i="10" s="1"/>
  <c r="I8" i="10" a="1"/>
  <c r="I8" i="10" s="1"/>
  <c r="P8" i="10" a="1"/>
  <c r="P8" i="10" s="1"/>
  <c r="K15" i="9"/>
  <c r="O16" i="9"/>
  <c r="L8" i="10" a="1"/>
  <c r="L8" i="10" s="1"/>
  <c r="H8" i="10" a="1"/>
  <c r="H8" i="10" s="1"/>
  <c r="J8" i="10" a="1"/>
  <c r="J8" i="10" s="1"/>
  <c r="K19" i="9"/>
  <c r="I22" i="9" a="1"/>
  <c r="I22" i="9" s="1"/>
  <c r="J22" i="9" s="1" a="1"/>
  <c r="J22" i="9" s="1"/>
  <c r="H22" i="9" s="1" a="1"/>
  <c r="H22" i="9" s="1"/>
  <c r="D22" i="9" s="1"/>
  <c r="K8" i="10" a="1"/>
  <c r="K8" i="10" s="1"/>
  <c r="G8" i="10" a="1"/>
  <c r="G8" i="10" s="1"/>
  <c r="K23" i="9"/>
  <c r="M8" i="10" a="1"/>
  <c r="M8" i="10" s="1"/>
  <c r="O8" i="10" a="1"/>
  <c r="O8" i="10" s="1"/>
  <c r="F8" i="10" a="1"/>
  <c r="F8" i="10" s="1"/>
  <c r="I17" i="9" a="1"/>
  <c r="I17" i="9" s="1"/>
  <c r="J17" i="9" s="1" a="1"/>
  <c r="J17" i="9" s="1"/>
  <c r="H17" i="9" s="1" a="1"/>
  <c r="H17" i="9" s="1"/>
  <c r="I23" i="9" a="1"/>
  <c r="I23" i="9" s="1"/>
  <c r="J23" i="9" s="1" a="1"/>
  <c r="J23" i="9" s="1"/>
  <c r="H23" i="9" s="1" a="1"/>
  <c r="H23" i="9" s="1"/>
  <c r="H25" i="9" a="1"/>
  <c r="H25" i="9" s="1"/>
  <c r="I28" i="9" a="1"/>
  <c r="I28" i="9" s="1"/>
  <c r="J28" i="9" s="1" a="1"/>
  <c r="J28" i="9" s="1"/>
  <c r="H28" i="9" s="1" a="1"/>
  <c r="H28" i="9" s="1"/>
  <c r="H21" i="9" a="1"/>
  <c r="H21" i="9" s="1"/>
  <c r="I37" i="9" a="1"/>
  <c r="I37" i="9" s="1"/>
  <c r="J37" i="9" s="1" a="1"/>
  <c r="J37" i="9" s="1"/>
  <c r="H37" i="9" s="1" a="1"/>
  <c r="H37" i="9" s="1"/>
  <c r="K27" i="9"/>
  <c r="K32" i="9"/>
  <c r="I39" i="9" a="1"/>
  <c r="I39" i="9" s="1"/>
  <c r="J39" i="9" s="1" a="1"/>
  <c r="J39" i="9" s="1"/>
  <c r="H39" i="9" s="1" a="1"/>
  <c r="H39" i="9" s="1"/>
  <c r="I42" i="9" a="1"/>
  <c r="I42" i="9" s="1"/>
  <c r="J42" i="9" s="1" a="1"/>
  <c r="J42" i="9" s="1"/>
  <c r="H42" i="9" s="1" a="1"/>
  <c r="H42" i="9" s="1"/>
  <c r="K39" i="9"/>
  <c r="K41" i="9"/>
  <c r="K44" i="9"/>
  <c r="I43" i="9" a="1"/>
  <c r="I43" i="9" s="1"/>
  <c r="J43" i="9" s="1" a="1"/>
  <c r="J43" i="9" s="1"/>
  <c r="H43" i="9" s="1" a="1"/>
  <c r="H43" i="9" s="1"/>
  <c r="K43" i="9"/>
  <c r="I51" i="9" a="1"/>
  <c r="I51" i="9" s="1"/>
  <c r="J51" i="9" s="1" a="1"/>
  <c r="J51" i="9" s="1"/>
  <c r="H51" i="9" s="1" a="1"/>
  <c r="H51" i="9" s="1"/>
  <c r="I47" i="9" a="1"/>
  <c r="I47" i="9" s="1"/>
  <c r="J47" i="9" s="1" a="1"/>
  <c r="J47" i="9" s="1"/>
  <c r="H47" i="9" s="1" a="1"/>
  <c r="H47" i="9" s="1"/>
  <c r="K51" i="9"/>
  <c r="K53" i="9"/>
  <c r="K47" i="9"/>
  <c r="I57" i="9" a="1"/>
  <c r="I57" i="9" s="1"/>
  <c r="J57" i="9" s="1" a="1"/>
  <c r="J57" i="9" s="1"/>
  <c r="H57" i="9" s="1" a="1"/>
  <c r="H57" i="9" s="1"/>
  <c r="K54" i="9"/>
  <c r="K49" i="9"/>
  <c r="K52" i="9"/>
  <c r="K61" i="9"/>
  <c r="K48" i="9"/>
  <c r="H48" i="9" a="1"/>
  <c r="H48" i="9" s="1"/>
  <c r="K65" i="9"/>
  <c r="I54" i="9" a="1"/>
  <c r="I54" i="9" s="1"/>
  <c r="J54" i="9" s="1" a="1"/>
  <c r="J54" i="9" s="1"/>
  <c r="H54" i="9" s="1" a="1"/>
  <c r="H54" i="9" s="1"/>
  <c r="I60" i="9" a="1"/>
  <c r="I60" i="9" s="1"/>
  <c r="J60" i="9" s="1" a="1"/>
  <c r="J60" i="9" s="1"/>
  <c r="H60" i="9" s="1" a="1"/>
  <c r="H60" i="9" s="1"/>
  <c r="I58" i="9" a="1"/>
  <c r="I58" i="9" s="1"/>
  <c r="J58" i="9" s="1" a="1"/>
  <c r="J58" i="9" s="1"/>
  <c r="H58" i="9" s="1" a="1"/>
  <c r="H58" i="9" s="1"/>
  <c r="I65" i="9" a="1"/>
  <c r="I65" i="9" s="1"/>
  <c r="J65" i="9" s="1" a="1"/>
  <c r="J65" i="9" s="1"/>
  <c r="H65" i="9" s="1" a="1"/>
  <c r="H65" i="9" s="1"/>
  <c r="D65" i="9" s="1"/>
  <c r="K59" i="9"/>
  <c r="K64" i="9"/>
  <c r="I62" i="9" a="1"/>
  <c r="I62" i="9" s="1"/>
  <c r="J62" i="9" s="1" a="1"/>
  <c r="J62" i="9" s="1"/>
  <c r="H62" i="9" s="1" a="1"/>
  <c r="H62" i="9" s="1"/>
  <c r="K56" i="9"/>
  <c r="K55" i="9"/>
  <c r="K62" i="9"/>
  <c r="I63" i="9" a="1"/>
  <c r="I63" i="9" s="1"/>
  <c r="J63" i="9" s="1" a="1"/>
  <c r="J63" i="9" s="1"/>
  <c r="H63" i="9" s="1" a="1"/>
  <c r="H63" i="9" s="1"/>
  <c r="K60" i="9"/>
  <c r="E2222" i="13" l="1" a="1"/>
  <c r="E2222" i="13" s="1"/>
  <c r="I2222" i="13" a="1"/>
  <c r="I2222" i="13" s="1"/>
  <c r="D926" i="12"/>
  <c r="D2224" i="13" s="1" a="1"/>
  <c r="D2224" i="13" s="1"/>
  <c r="D925" i="12"/>
  <c r="H2222" i="13" a="1"/>
  <c r="H2222" i="13" s="1"/>
  <c r="HM77" i="9" a="1"/>
  <c r="HM77" i="9" s="1"/>
  <c r="L926" i="12"/>
  <c r="L2224" i="13" s="1" a="1"/>
  <c r="L2224" i="13" s="1"/>
  <c r="L924" i="12"/>
  <c r="L925" i="12" s="1"/>
  <c r="GA77" i="9" a="1"/>
  <c r="GA77" i="9" s="1"/>
  <c r="N935" i="12" a="1"/>
  <c r="N935" i="12" s="1"/>
  <c r="J935" i="12" a="1"/>
  <c r="J935" i="12" s="1"/>
  <c r="F935" i="12" a="1"/>
  <c r="F935" i="12" s="1"/>
  <c r="M935" i="12" a="1"/>
  <c r="M935" i="12" s="1"/>
  <c r="I935" i="12" a="1"/>
  <c r="I935" i="12" s="1"/>
  <c r="E935" i="12" a="1"/>
  <c r="E935" i="12" s="1"/>
  <c r="E938" i="12" s="1"/>
  <c r="E939" i="12" s="1"/>
  <c r="H935" i="12" a="1"/>
  <c r="H935" i="12" s="1"/>
  <c r="L935" i="12" a="1"/>
  <c r="L935" i="12" s="1"/>
  <c r="L938" i="12" s="1"/>
  <c r="L939" i="12" s="1"/>
  <c r="D935" i="12" a="1"/>
  <c r="D935" i="12" s="1"/>
  <c r="O935" i="12" a="1"/>
  <c r="O935" i="12" s="1"/>
  <c r="K935" i="12" a="1"/>
  <c r="K935" i="12" s="1"/>
  <c r="G935" i="12" a="1"/>
  <c r="G935" i="12" s="1"/>
  <c r="E926" i="12"/>
  <c r="E2224" i="13" s="1" a="1"/>
  <c r="E2224" i="13" s="1"/>
  <c r="J929" i="12"/>
  <c r="J2222" i="13" a="1"/>
  <c r="J2222" i="13" s="1"/>
  <c r="DC77" i="9" a="1"/>
  <c r="DC77" i="9" s="1"/>
  <c r="AE77" i="9" a="1"/>
  <c r="AE77" i="9" s="1"/>
  <c r="I926" i="12"/>
  <c r="I2224" i="13" s="1" a="1"/>
  <c r="I2224" i="13" s="1"/>
  <c r="CJ77" i="9" a="1"/>
  <c r="CJ77" i="9" s="1"/>
  <c r="O2222" i="13" a="1"/>
  <c r="O2222" i="13" s="1"/>
  <c r="IF77" i="9" a="1"/>
  <c r="IF77" i="9" s="1"/>
  <c r="M926" i="12"/>
  <c r="M2224" i="13" s="1" a="1"/>
  <c r="M2224" i="13" s="1"/>
  <c r="M924" i="12"/>
  <c r="M925" i="12" s="1"/>
  <c r="F926" i="12"/>
  <c r="F2224" i="13" s="1" a="1"/>
  <c r="F2224" i="13" s="1"/>
  <c r="F924" i="12"/>
  <c r="F925" i="12" s="1"/>
  <c r="DV77" i="9" a="1"/>
  <c r="DV77" i="9" s="1"/>
  <c r="AX77" i="9" a="1"/>
  <c r="AX77" i="9" s="1"/>
  <c r="EO77" i="9" a="1"/>
  <c r="EO77" i="9" s="1"/>
  <c r="GT77" i="9" a="1"/>
  <c r="GT77" i="9" s="1"/>
  <c r="K926" i="12"/>
  <c r="K2224" i="13" s="1" a="1"/>
  <c r="K2224" i="13" s="1"/>
  <c r="K924" i="12"/>
  <c r="K925" i="12" s="1"/>
  <c r="BQ77" i="9" a="1"/>
  <c r="BQ77" i="9" s="1"/>
  <c r="D938" i="12"/>
  <c r="D939" i="12" s="1"/>
  <c r="O926" i="12"/>
  <c r="O2224" i="13" s="1" a="1"/>
  <c r="O2224" i="13" s="1"/>
  <c r="G938" i="12"/>
  <c r="G939" i="12" s="1"/>
  <c r="FH77" i="9" a="1"/>
  <c r="FH77" i="9" s="1"/>
  <c r="J938" i="12"/>
  <c r="J939" i="12" s="1"/>
  <c r="N924" i="12"/>
  <c r="N925" i="12" s="1"/>
  <c r="H926" i="12"/>
  <c r="H2224" i="13" s="1" a="1"/>
  <c r="H2224" i="13" s="1"/>
  <c r="G924" i="12"/>
  <c r="G925" i="12" s="1"/>
  <c r="D747" i="12"/>
  <c r="J761" i="12"/>
  <c r="A2147" i="13" a="1"/>
  <c r="A2147" i="13" s="1"/>
  <c r="A888" i="12" a="1"/>
  <c r="A888" i="12" s="1"/>
  <c r="G817" i="12"/>
  <c r="G1952" i="13" a="1"/>
  <c r="G1952" i="13" s="1"/>
  <c r="G827" i="12"/>
  <c r="G1984" i="13" s="1" a="1"/>
  <c r="G1984" i="13" s="1"/>
  <c r="G828" i="12"/>
  <c r="H1916" i="13" a="1"/>
  <c r="H1916" i="13" s="1"/>
  <c r="H803" i="12"/>
  <c r="E855" i="12"/>
  <c r="E856" i="12"/>
  <c r="E2054" i="13" s="1" a="1"/>
  <c r="E2054" i="13" s="1"/>
  <c r="H1985" i="13" a="1"/>
  <c r="H1985" i="13" s="1"/>
  <c r="H826" i="12"/>
  <c r="J1917" i="13" a="1"/>
  <c r="J1917" i="13" s="1"/>
  <c r="J798" i="12"/>
  <c r="G736" i="12" a="1"/>
  <c r="G736" i="12" s="1"/>
  <c r="G1777" i="13" s="1" a="1"/>
  <c r="G1777" i="13" s="1"/>
  <c r="CJ63" i="9" s="1" a="1"/>
  <c r="CJ63" i="9" s="1"/>
  <c r="G834" i="12" a="1"/>
  <c r="G834" i="12" s="1"/>
  <c r="G2015" i="13" s="1" a="1"/>
  <c r="G2015" i="13" s="1"/>
  <c r="CJ70" i="9" s="1" a="1"/>
  <c r="CJ70" i="9" s="1"/>
  <c r="F831" i="12"/>
  <c r="F1986" i="13" a="1"/>
  <c r="F1986" i="13" s="1"/>
  <c r="E2018" i="13" a="1"/>
  <c r="E2018" i="13" s="1"/>
  <c r="E845" i="12"/>
  <c r="H813" i="12"/>
  <c r="H1950" i="13" s="1" a="1"/>
  <c r="H1950" i="13" s="1"/>
  <c r="H814" i="12"/>
  <c r="E2087" i="13" a="1"/>
  <c r="E2087" i="13" s="1"/>
  <c r="E868" i="12"/>
  <c r="H2014" i="13" a="1"/>
  <c r="H2014" i="13" s="1"/>
  <c r="H2041" i="13" s="1"/>
  <c r="H843" i="12"/>
  <c r="H838" i="12"/>
  <c r="G2019" i="13" a="1"/>
  <c r="G2019" i="13" s="1"/>
  <c r="G840" i="12"/>
  <c r="I799" i="12"/>
  <c r="I1916" i="13" s="1" a="1"/>
  <c r="I1916" i="13" s="1"/>
  <c r="I800" i="12"/>
  <c r="G715" i="12"/>
  <c r="G1712" i="13" s="1" a="1"/>
  <c r="G1712" i="13" s="1"/>
  <c r="J1946" i="13" a="1"/>
  <c r="J1946" i="13" s="1"/>
  <c r="J1973" i="13" s="1"/>
  <c r="J810" i="12"/>
  <c r="J815" i="12"/>
  <c r="D2052" i="13" a="1"/>
  <c r="D2052" i="13" s="1"/>
  <c r="D859" i="12"/>
  <c r="F841" i="12"/>
  <c r="F2018" i="13" s="1" a="1"/>
  <c r="F2018" i="13" s="1"/>
  <c r="F842" i="12"/>
  <c r="K1912" i="13" a="1"/>
  <c r="K1912" i="13" s="1"/>
  <c r="K1939" i="13" s="1"/>
  <c r="K801" i="12"/>
  <c r="K796" i="12"/>
  <c r="F750" i="12" a="1"/>
  <c r="F750" i="12" s="1"/>
  <c r="F1811" i="13" s="1" a="1"/>
  <c r="F1811" i="13" s="1"/>
  <c r="BQ64" i="9" s="1" a="1"/>
  <c r="BQ64" i="9" s="1"/>
  <c r="F848" i="12" a="1"/>
  <c r="F848" i="12" s="1"/>
  <c r="F2049" i="13" s="1" a="1"/>
  <c r="F2049" i="13" s="1"/>
  <c r="BQ71" i="9" s="1" a="1"/>
  <c r="BQ71" i="9" s="1"/>
  <c r="E2116" i="13" a="1"/>
  <c r="E2116" i="13" s="1"/>
  <c r="E2143" i="13" s="1"/>
  <c r="E885" i="12"/>
  <c r="E880" i="12"/>
  <c r="D2121" i="13" a="1"/>
  <c r="D2121" i="13" s="1"/>
  <c r="D882" i="12"/>
  <c r="F2053" i="13" a="1"/>
  <c r="F2053" i="13" s="1"/>
  <c r="F854" i="12"/>
  <c r="I1951" i="13" a="1"/>
  <c r="I1951" i="13" s="1"/>
  <c r="I812" i="12"/>
  <c r="G2048" i="13" a="1"/>
  <c r="G2048" i="13" s="1"/>
  <c r="G2075" i="13" s="1"/>
  <c r="G857" i="12"/>
  <c r="G852" i="12"/>
  <c r="F2082" i="13" a="1"/>
  <c r="F2082" i="13" s="1"/>
  <c r="F2109" i="13" s="1"/>
  <c r="F871" i="12"/>
  <c r="F866" i="12"/>
  <c r="D778" i="12" a="1"/>
  <c r="D778" i="12" s="1"/>
  <c r="D1879" i="13" s="1" a="1"/>
  <c r="D1879" i="13" s="1"/>
  <c r="AE66" i="9" s="1" a="1"/>
  <c r="AE66" i="9" s="1"/>
  <c r="D876" i="12" a="1"/>
  <c r="D876" i="12" s="1"/>
  <c r="D2117" i="13" s="1" a="1"/>
  <c r="D2117" i="13" s="1"/>
  <c r="AE73" i="9" s="1" a="1"/>
  <c r="AE73" i="9" s="1"/>
  <c r="I1980" i="13" a="1"/>
  <c r="I1980" i="13" s="1"/>
  <c r="I2007" i="13" s="1"/>
  <c r="I824" i="12"/>
  <c r="I829" i="12"/>
  <c r="D869" i="12"/>
  <c r="D870" i="12"/>
  <c r="D2088" i="13" s="1" a="1"/>
  <c r="D2088" i="13" s="1"/>
  <c r="D2150" i="13" a="1"/>
  <c r="D2150" i="13" s="1"/>
  <c r="D2177" i="13" s="1"/>
  <c r="D894" i="12"/>
  <c r="D899" i="12"/>
  <c r="E764" i="12" a="1"/>
  <c r="E764" i="12" s="1"/>
  <c r="E1845" i="13" s="1" a="1"/>
  <c r="E1845" i="13" s="1"/>
  <c r="AX65" i="9" s="1" a="1"/>
  <c r="AX65" i="9" s="1"/>
  <c r="E862" i="12" a="1"/>
  <c r="E862" i="12" s="1"/>
  <c r="E2083" i="13" s="1" a="1"/>
  <c r="E2083" i="13" s="1"/>
  <c r="AX72" i="9" s="1" a="1"/>
  <c r="AX72" i="9" s="1"/>
  <c r="O701" i="12"/>
  <c r="O1678" i="13" s="1" a="1"/>
  <c r="O1678" i="13" s="1"/>
  <c r="N705" i="12"/>
  <c r="DR69" i="9" a="1"/>
  <c r="DR69" i="9" s="1"/>
  <c r="DS69" i="9" s="1"/>
  <c r="FW59" i="9" a="1"/>
  <c r="FW59" i="9" s="1"/>
  <c r="FX59" i="9" s="1"/>
  <c r="FY59" i="9" s="1"/>
  <c r="FZ59" i="9" s="1"/>
  <c r="FW66" i="9" a="1"/>
  <c r="FW66" i="9" s="1"/>
  <c r="FX66" i="9" s="1"/>
  <c r="FY66" i="9" s="1"/>
  <c r="FZ66" i="9" s="1"/>
  <c r="AV72" i="9"/>
  <c r="AW72" i="9" s="1"/>
  <c r="ES67" i="9" a="1"/>
  <c r="ES67" i="9" s="1"/>
  <c r="L790" i="12" a="1"/>
  <c r="L790" i="12" s="1"/>
  <c r="K792" i="12" a="1"/>
  <c r="K792" i="12" s="1"/>
  <c r="K1913" i="13" s="1" a="1"/>
  <c r="K1913" i="13" s="1"/>
  <c r="FH67" i="9" s="1" a="1"/>
  <c r="FH67" i="9" s="1"/>
  <c r="FL66" i="9" a="1"/>
  <c r="FL66" i="9" s="1"/>
  <c r="A2215" i="13" a="1"/>
  <c r="A2215" i="13" s="1"/>
  <c r="D902" i="12" a="1"/>
  <c r="D902" i="12" s="1"/>
  <c r="CN70" i="9" a="1"/>
  <c r="CN70" i="9" s="1"/>
  <c r="I832" i="12" a="1"/>
  <c r="I832" i="12" s="1"/>
  <c r="BM72" i="9" a="1"/>
  <c r="BM72" i="9" s="1"/>
  <c r="BN72" i="9" s="1"/>
  <c r="AA74" i="9" a="1"/>
  <c r="AA74" i="9" s="1"/>
  <c r="AB74" i="9" s="1"/>
  <c r="AI73" i="9" a="1"/>
  <c r="AI73" i="9" s="1"/>
  <c r="F874" i="12" a="1"/>
  <c r="F874" i="12" s="1"/>
  <c r="BO71" i="9"/>
  <c r="BP71" i="9" s="1"/>
  <c r="P74" i="9" a="1"/>
  <c r="P74" i="9" s="1"/>
  <c r="E888" i="12" a="1"/>
  <c r="E888" i="12" s="1"/>
  <c r="D890" i="12" a="1"/>
  <c r="D890" i="12" s="1"/>
  <c r="D2151" i="13" s="1" a="1"/>
  <c r="D2151" i="13" s="1"/>
  <c r="AE74" i="9" s="1" a="1"/>
  <c r="AE74" i="9" s="1"/>
  <c r="G748" i="12" a="1"/>
  <c r="G748" i="12" s="1"/>
  <c r="BU71" i="9" a="1"/>
  <c r="BU71" i="9" s="1"/>
  <c r="H846" i="12" a="1"/>
  <c r="H846" i="12" s="1"/>
  <c r="AT73" i="9" a="1"/>
  <c r="AT73" i="9" s="1"/>
  <c r="AU73" i="9" s="1"/>
  <c r="CF71" i="9" a="1"/>
  <c r="CF71" i="9" s="1"/>
  <c r="CG71" i="9" s="1"/>
  <c r="C84" i="28" a="1"/>
  <c r="C84" i="28" s="1"/>
  <c r="B74" i="9" a="1"/>
  <c r="B74" i="9" s="1"/>
  <c r="G1747" i="13" a="1"/>
  <c r="G1747" i="13" s="1"/>
  <c r="G728" i="12"/>
  <c r="G730" i="12" s="1"/>
  <c r="G1748" i="13" s="1" a="1"/>
  <c r="G1748" i="13" s="1"/>
  <c r="AC73" i="9"/>
  <c r="AD73" i="9" s="1"/>
  <c r="CH70" i="9"/>
  <c r="CI70" i="9" s="1"/>
  <c r="D757" i="12"/>
  <c r="DT68" i="9"/>
  <c r="DU68" i="9" s="1"/>
  <c r="EM67" i="9"/>
  <c r="EN67" i="9" s="1"/>
  <c r="D1878" i="13" a="1"/>
  <c r="D1878" i="13" s="1"/>
  <c r="D1905" i="13" s="1"/>
  <c r="D782" i="12"/>
  <c r="D787" i="12"/>
  <c r="DG69" i="9" a="1"/>
  <c r="DG69" i="9" s="1"/>
  <c r="I820" i="12" a="1"/>
  <c r="I820" i="12" s="1"/>
  <c r="I1981" i="13" s="1" a="1"/>
  <c r="I1981" i="13" s="1"/>
  <c r="DV69" i="9" s="1" a="1"/>
  <c r="DV69" i="9" s="1"/>
  <c r="J818" i="12" a="1"/>
  <c r="J818" i="12" s="1"/>
  <c r="CY70" i="9" a="1"/>
  <c r="CY70" i="9" s="1"/>
  <c r="CZ70" i="9" s="1"/>
  <c r="DZ68" i="9" a="1"/>
  <c r="DZ68" i="9" s="1"/>
  <c r="K804" i="12" a="1"/>
  <c r="K804" i="12" s="1"/>
  <c r="J806" i="12" a="1"/>
  <c r="J806" i="12" s="1"/>
  <c r="J1947" i="13" s="1" a="1"/>
  <c r="J1947" i="13" s="1"/>
  <c r="EO68" i="9" s="1" a="1"/>
  <c r="EO68" i="9" s="1"/>
  <c r="EK68" i="9" a="1"/>
  <c r="EK68" i="9" s="1"/>
  <c r="EL68" i="9" s="1"/>
  <c r="FD67" i="9" a="1"/>
  <c r="FD67" i="9" s="1"/>
  <c r="FE67" i="9" s="1"/>
  <c r="DA69" i="9"/>
  <c r="DB69" i="9" s="1"/>
  <c r="D1849" i="13" a="1"/>
  <c r="D1849" i="13" s="1"/>
  <c r="D770" i="12"/>
  <c r="D772" i="12" s="1"/>
  <c r="D1850" i="13" s="1" a="1"/>
  <c r="D1850" i="13" s="1"/>
  <c r="BB72" i="9" a="1"/>
  <c r="BB72" i="9" s="1"/>
  <c r="G860" i="12" a="1"/>
  <c r="G860" i="12" s="1"/>
  <c r="G705" i="12"/>
  <c r="G1678" i="13" a="1"/>
  <c r="G1678" i="13" s="1"/>
  <c r="L1746" i="13" a="1"/>
  <c r="L1746" i="13" s="1"/>
  <c r="I785" i="12"/>
  <c r="I1882" i="13" s="1" a="1"/>
  <c r="I1882" i="13" s="1"/>
  <c r="M729" i="12"/>
  <c r="M1746" i="13" s="1" a="1"/>
  <c r="M1746" i="13" s="1"/>
  <c r="L743" i="12"/>
  <c r="L1780" i="13" s="1" a="1"/>
  <c r="L1780" i="13" s="1"/>
  <c r="HQ63" i="9" a="1"/>
  <c r="HQ63" i="9" s="1"/>
  <c r="O734" i="12" a="1"/>
  <c r="O734" i="12" s="1"/>
  <c r="K1878" i="13" a="1"/>
  <c r="K1878" i="13" s="1"/>
  <c r="K1905" i="13" s="1"/>
  <c r="K782" i="12"/>
  <c r="K787" i="12"/>
  <c r="M1712" i="13" a="1"/>
  <c r="M1712" i="13" s="1"/>
  <c r="M719" i="12"/>
  <c r="H1882" i="13" a="1"/>
  <c r="H1882" i="13" s="1"/>
  <c r="H789" i="12"/>
  <c r="K1849" i="13" a="1"/>
  <c r="K1849" i="13" s="1"/>
  <c r="K770" i="12"/>
  <c r="K772" i="12" s="1"/>
  <c r="K1850" i="13" s="1" a="1"/>
  <c r="K1850" i="13" s="1"/>
  <c r="O1644" i="13" a="1"/>
  <c r="O1644" i="13" s="1"/>
  <c r="O691" i="12"/>
  <c r="L773" i="12"/>
  <c r="L768" i="12"/>
  <c r="L1844" i="13" a="1"/>
  <c r="L1844" i="13" s="1"/>
  <c r="L1871" i="13" s="1"/>
  <c r="O722" i="12" a="1"/>
  <c r="O722" i="12" s="1"/>
  <c r="O1743" i="13" s="1" a="1"/>
  <c r="O1743" i="13" s="1"/>
  <c r="IF62" i="9" s="1" a="1"/>
  <c r="IF62" i="9" s="1"/>
  <c r="K1780" i="13" a="1"/>
  <c r="K1780" i="13" s="1"/>
  <c r="K747" i="12"/>
  <c r="N1747" i="13" a="1"/>
  <c r="N1747" i="13" s="1"/>
  <c r="N728" i="12"/>
  <c r="N730" i="12" s="1"/>
  <c r="N1748" i="13" s="1" a="1"/>
  <c r="N1748" i="13" s="1"/>
  <c r="L1815" i="13" a="1"/>
  <c r="L1815" i="13" s="1"/>
  <c r="L756" i="12"/>
  <c r="L758" i="12" s="1"/>
  <c r="L1816" i="13" s="1" a="1"/>
  <c r="L1816" i="13" s="1"/>
  <c r="J771" i="12"/>
  <c r="N715" i="12"/>
  <c r="N740" i="12"/>
  <c r="N745" i="12"/>
  <c r="N1776" i="13" a="1"/>
  <c r="N1776" i="13" s="1"/>
  <c r="N1803" i="13" s="1"/>
  <c r="N748" i="12" a="1"/>
  <c r="N748" i="12" s="1"/>
  <c r="GX64" i="9" a="1"/>
  <c r="GX64" i="9" s="1"/>
  <c r="M1781" i="13" a="1"/>
  <c r="M1781" i="13" s="1"/>
  <c r="M742" i="12"/>
  <c r="M744" i="12" s="1"/>
  <c r="M1782" i="13" s="1" a="1"/>
  <c r="M1782" i="13" s="1"/>
  <c r="I1848" i="13" a="1"/>
  <c r="I1848" i="13" s="1"/>
  <c r="I775" i="12"/>
  <c r="O714" i="12"/>
  <c r="O716" i="12" s="1"/>
  <c r="O1714" i="13" s="1" a="1"/>
  <c r="O1714" i="13" s="1"/>
  <c r="O1713" i="13" a="1"/>
  <c r="O1713" i="13" s="1"/>
  <c r="M1810" i="13" a="1"/>
  <c r="M1810" i="13" s="1"/>
  <c r="M1837" i="13" s="1"/>
  <c r="M754" i="12"/>
  <c r="M759" i="12"/>
  <c r="O1742" i="13" a="1"/>
  <c r="O1742" i="13" s="1"/>
  <c r="O1769" i="13" s="1"/>
  <c r="O726" i="12"/>
  <c r="O731" i="12"/>
  <c r="L776" i="12" a="1"/>
  <c r="L776" i="12" s="1"/>
  <c r="GE65" i="9" a="1"/>
  <c r="GE65" i="9" s="1"/>
  <c r="M762" i="12" a="1"/>
  <c r="M762" i="12" s="1"/>
  <c r="J1883" i="13" a="1"/>
  <c r="J1883" i="13" s="1"/>
  <c r="J784" i="12"/>
  <c r="J786" i="12" s="1"/>
  <c r="J1884" i="13" s="1" a="1"/>
  <c r="J1884" i="13" s="1"/>
  <c r="K757" i="12"/>
  <c r="D28" i="9"/>
  <c r="D48" i="9"/>
  <c r="D25" i="9"/>
  <c r="D31" i="9"/>
  <c r="D50" i="9"/>
  <c r="D45" i="9"/>
  <c r="D36" i="9"/>
  <c r="D61" i="9"/>
  <c r="D42" i="9"/>
  <c r="D23" i="9"/>
  <c r="D26" i="9"/>
  <c r="D59" i="9"/>
  <c r="D39" i="9"/>
  <c r="D17" i="9"/>
  <c r="D19" i="9"/>
  <c r="D55" i="9"/>
  <c r="D46" i="9"/>
  <c r="D63" i="9"/>
  <c r="D51" i="9"/>
  <c r="D38" i="9"/>
  <c r="D44" i="9"/>
  <c r="D64" i="9"/>
  <c r="D32" i="9"/>
  <c r="D13" i="9"/>
  <c r="D47" i="9"/>
  <c r="D58" i="9"/>
  <c r="D15" i="9"/>
  <c r="D30" i="9"/>
  <c r="D52" i="9"/>
  <c r="D60" i="9"/>
  <c r="D43" i="9"/>
  <c r="D37" i="9"/>
  <c r="D27" i="9"/>
  <c r="D14" i="9"/>
  <c r="D35" i="9"/>
  <c r="D41" i="9"/>
  <c r="D53" i="9"/>
  <c r="D54" i="9"/>
  <c r="D57" i="9"/>
  <c r="D21" i="9"/>
  <c r="D12" i="9"/>
  <c r="D56" i="9"/>
  <c r="D29" i="9"/>
  <c r="D49" i="9"/>
  <c r="D18" i="9"/>
  <c r="D40" i="9"/>
  <c r="D20" i="9"/>
  <c r="D62" i="9"/>
  <c r="D34" i="9"/>
  <c r="D16" i="9"/>
  <c r="P9" i="10" a="1"/>
  <c r="P9" i="10" s="1"/>
  <c r="P12" i="10" s="1"/>
  <c r="F9" i="10" a="1"/>
  <c r="F9" i="10" s="1"/>
  <c r="G9" i="10" a="1"/>
  <c r="G9" i="10" s="1"/>
  <c r="G18" i="10" s="1"/>
  <c r="M9" i="10" a="1"/>
  <c r="M9" i="10" s="1"/>
  <c r="M18" i="10" s="1"/>
  <c r="E9" i="10" a="1"/>
  <c r="E9" i="10" s="1"/>
  <c r="H9" i="10" a="1"/>
  <c r="H9" i="10" s="1"/>
  <c r="I9" i="10" a="1"/>
  <c r="I9" i="10" s="1"/>
  <c r="O9" i="10" a="1"/>
  <c r="O9" i="10" s="1"/>
  <c r="N9" i="10" a="1"/>
  <c r="N9" i="10" s="1"/>
  <c r="K9" i="10" a="1"/>
  <c r="K9" i="10" s="1"/>
  <c r="J9" i="10" a="1"/>
  <c r="J9" i="10" s="1"/>
  <c r="J18" i="10" s="1"/>
  <c r="L9" i="10" a="1"/>
  <c r="L9" i="10" s="1"/>
  <c r="D9" i="10" a="1"/>
  <c r="D9" i="10" s="1"/>
  <c r="N79" i="10" a="1"/>
  <c r="N79" i="10" s="1"/>
  <c r="I79" i="10" a="1"/>
  <c r="I79" i="10" s="1"/>
  <c r="O79" i="10" a="1"/>
  <c r="O79" i="10" s="1"/>
  <c r="F79" i="10" a="1"/>
  <c r="F79" i="10" s="1"/>
  <c r="P79" i="10" a="1"/>
  <c r="P79" i="10" s="1"/>
  <c r="G79" i="10" a="1"/>
  <c r="G79" i="10" s="1"/>
  <c r="J79" i="10" a="1"/>
  <c r="J79" i="10" s="1"/>
  <c r="M79" i="10" a="1"/>
  <c r="M79" i="10" s="1"/>
  <c r="H79" i="10" a="1"/>
  <c r="H79" i="10" s="1"/>
  <c r="E79" i="10" a="1"/>
  <c r="E79" i="10" s="1"/>
  <c r="K79" i="10" a="1"/>
  <c r="K79" i="10" s="1"/>
  <c r="L79" i="10" a="1"/>
  <c r="L79" i="10" s="1"/>
  <c r="D79" i="10" a="1"/>
  <c r="D79" i="10" s="1"/>
  <c r="I233" i="10" a="1"/>
  <c r="I233" i="10" s="1"/>
  <c r="D233" i="10" a="1"/>
  <c r="D233" i="10" s="1"/>
  <c r="O233" i="10" a="1"/>
  <c r="O233" i="10" s="1"/>
  <c r="J233" i="10" a="1"/>
  <c r="J233" i="10" s="1"/>
  <c r="G233" i="10" a="1"/>
  <c r="G233" i="10" s="1"/>
  <c r="H233" i="10" a="1"/>
  <c r="H233" i="10" s="1"/>
  <c r="N233" i="10" a="1"/>
  <c r="N233" i="10" s="1"/>
  <c r="P233" i="10" a="1"/>
  <c r="P233" i="10" s="1"/>
  <c r="E233" i="10" a="1"/>
  <c r="E233" i="10" s="1"/>
  <c r="F233" i="10" a="1"/>
  <c r="F233" i="10" s="1"/>
  <c r="K233" i="10" a="1"/>
  <c r="K233" i="10" s="1"/>
  <c r="M233" i="10" a="1"/>
  <c r="M233" i="10" s="1"/>
  <c r="L233" i="10" a="1"/>
  <c r="L233" i="10" s="1"/>
  <c r="I289" i="10" a="1"/>
  <c r="I289" i="10" s="1"/>
  <c r="E289" i="10" a="1"/>
  <c r="E289" i="10" s="1"/>
  <c r="P289" i="10" a="1"/>
  <c r="P289" i="10" s="1"/>
  <c r="L289" i="10" a="1"/>
  <c r="L289" i="10" s="1"/>
  <c r="H289" i="10" a="1"/>
  <c r="H289" i="10" s="1"/>
  <c r="D289" i="10" a="1"/>
  <c r="D289" i="10" s="1"/>
  <c r="O289" i="10" a="1"/>
  <c r="O289" i="10" s="1"/>
  <c r="K289" i="10" a="1"/>
  <c r="K289" i="10" s="1"/>
  <c r="G289" i="10" a="1"/>
  <c r="G289" i="10" s="1"/>
  <c r="J289" i="10" a="1"/>
  <c r="J289" i="10" s="1"/>
  <c r="M289" i="10" a="1"/>
  <c r="M289" i="10" s="1"/>
  <c r="N289" i="10" a="1"/>
  <c r="N289" i="10" s="1"/>
  <c r="F289" i="10" a="1"/>
  <c r="F289" i="10" s="1"/>
  <c r="L457" i="10" a="1"/>
  <c r="L457" i="10" s="1"/>
  <c r="O457" i="10" a="1"/>
  <c r="O457" i="10" s="1"/>
  <c r="E457" i="10" a="1"/>
  <c r="E457" i="10" s="1"/>
  <c r="G457" i="10" a="1"/>
  <c r="G457" i="10" s="1"/>
  <c r="P457" i="10" a="1"/>
  <c r="P457" i="10" s="1"/>
  <c r="K457" i="10" a="1"/>
  <c r="K457" i="10" s="1"/>
  <c r="N457" i="10" a="1"/>
  <c r="N457" i="10" s="1"/>
  <c r="D457" i="10" a="1"/>
  <c r="D457" i="10" s="1"/>
  <c r="M457" i="10" a="1"/>
  <c r="M457" i="10" s="1"/>
  <c r="J457" i="10" a="1"/>
  <c r="J457" i="10" s="1"/>
  <c r="F457" i="10" a="1"/>
  <c r="F457" i="10" s="1"/>
  <c r="I457" i="10" a="1"/>
  <c r="I457" i="10" s="1"/>
  <c r="H457" i="10" a="1"/>
  <c r="H457" i="10" s="1"/>
  <c r="O415" i="10" a="1"/>
  <c r="O415" i="10" s="1"/>
  <c r="D415" i="10" a="1"/>
  <c r="D415" i="10" s="1"/>
  <c r="G415" i="10" a="1"/>
  <c r="G415" i="10" s="1"/>
  <c r="J415" i="10" a="1"/>
  <c r="J415" i="10" s="1"/>
  <c r="N415" i="10" a="1"/>
  <c r="N415" i="10" s="1"/>
  <c r="I415" i="10" a="1"/>
  <c r="I415" i="10" s="1"/>
  <c r="M415" i="10" a="1"/>
  <c r="M415" i="10" s="1"/>
  <c r="P415" i="10" a="1"/>
  <c r="P415" i="10" s="1"/>
  <c r="F415" i="10" a="1"/>
  <c r="F415" i="10" s="1"/>
  <c r="H415" i="10" a="1"/>
  <c r="H415" i="10" s="1"/>
  <c r="L415" i="10" a="1"/>
  <c r="L415" i="10" s="1"/>
  <c r="E415" i="10" a="1"/>
  <c r="E415" i="10" s="1"/>
  <c r="K415" i="10" a="1"/>
  <c r="K415" i="10" s="1"/>
  <c r="L625" i="10" a="1"/>
  <c r="L625" i="10" s="1"/>
  <c r="F625" i="10" a="1"/>
  <c r="F625" i="10" s="1"/>
  <c r="K625" i="10" a="1"/>
  <c r="K625" i="10" s="1"/>
  <c r="E625" i="10" a="1"/>
  <c r="E625" i="10" s="1"/>
  <c r="O625" i="10" a="1"/>
  <c r="O625" i="10" s="1"/>
  <c r="P625" i="10" a="1"/>
  <c r="P625" i="10" s="1"/>
  <c r="I625" i="10" a="1"/>
  <c r="I625" i="10" s="1"/>
  <c r="M625" i="10" a="1"/>
  <c r="M625" i="10" s="1"/>
  <c r="G625" i="10" a="1"/>
  <c r="G625" i="10" s="1"/>
  <c r="N625" i="10" a="1"/>
  <c r="N625" i="10" s="1"/>
  <c r="D625" i="10" a="1"/>
  <c r="D625" i="10" s="1"/>
  <c r="H625" i="10" a="1"/>
  <c r="H625" i="10" s="1"/>
  <c r="J625" i="10" a="1"/>
  <c r="J625" i="10" s="1"/>
  <c r="K611" i="10" a="1"/>
  <c r="K611" i="10" s="1"/>
  <c r="H611" i="10" a="1"/>
  <c r="H611" i="10" s="1"/>
  <c r="E611" i="10" a="1"/>
  <c r="E611" i="10" s="1"/>
  <c r="M611" i="10" a="1"/>
  <c r="M611" i="10" s="1"/>
  <c r="J611" i="10" a="1"/>
  <c r="J611" i="10" s="1"/>
  <c r="G611" i="10" a="1"/>
  <c r="G611" i="10" s="1"/>
  <c r="O611" i="10" a="1"/>
  <c r="O611" i="10" s="1"/>
  <c r="D611" i="10" a="1"/>
  <c r="D611" i="10" s="1"/>
  <c r="F611" i="10" a="1"/>
  <c r="F611" i="10" s="1"/>
  <c r="P611" i="10" a="1"/>
  <c r="P611" i="10" s="1"/>
  <c r="L611" i="10" a="1"/>
  <c r="L611" i="10" s="1"/>
  <c r="I611" i="10" a="1"/>
  <c r="I611" i="10" s="1"/>
  <c r="N611" i="10" a="1"/>
  <c r="N611" i="10" s="1"/>
  <c r="N765" i="10" a="1"/>
  <c r="N765" i="10" s="1"/>
  <c r="G765" i="10" a="1"/>
  <c r="G765" i="10" s="1"/>
  <c r="E765" i="10" a="1"/>
  <c r="E765" i="10" s="1"/>
  <c r="K765" i="10" a="1"/>
  <c r="K765" i="10" s="1"/>
  <c r="I765" i="10" a="1"/>
  <c r="I765" i="10" s="1"/>
  <c r="D765" i="10" a="1"/>
  <c r="D765" i="10" s="1"/>
  <c r="P765" i="10" a="1"/>
  <c r="P765" i="10" s="1"/>
  <c r="M765" i="10" a="1"/>
  <c r="M765" i="10" s="1"/>
  <c r="O765" i="10" a="1"/>
  <c r="O765" i="10" s="1"/>
  <c r="H765" i="10" a="1"/>
  <c r="H765" i="10" s="1"/>
  <c r="F765" i="10" a="1"/>
  <c r="F765" i="10" s="1"/>
  <c r="L765" i="10" a="1"/>
  <c r="L765" i="10" s="1"/>
  <c r="J765" i="10" a="1"/>
  <c r="J765" i="10" s="1"/>
  <c r="H18" i="10"/>
  <c r="N65" i="10" a="1"/>
  <c r="N65" i="10" s="1"/>
  <c r="I65" i="10" a="1"/>
  <c r="I65" i="10" s="1"/>
  <c r="H65" i="10" a="1"/>
  <c r="H65" i="10" s="1"/>
  <c r="J65" i="10" a="1"/>
  <c r="J65" i="10" s="1"/>
  <c r="F65" i="10" a="1"/>
  <c r="F65" i="10" s="1"/>
  <c r="P65" i="10" a="1"/>
  <c r="P65" i="10" s="1"/>
  <c r="G65" i="10" a="1"/>
  <c r="G65" i="10" s="1"/>
  <c r="M65" i="10" a="1"/>
  <c r="M65" i="10" s="1"/>
  <c r="O65" i="10" a="1"/>
  <c r="O65" i="10" s="1"/>
  <c r="E65" i="10" a="1"/>
  <c r="E65" i="10" s="1"/>
  <c r="D65" i="10" a="1"/>
  <c r="D65" i="10" s="1"/>
  <c r="L65" i="10" a="1"/>
  <c r="L65" i="10" s="1"/>
  <c r="K65" i="10" a="1"/>
  <c r="K65" i="10" s="1"/>
  <c r="K135" i="10" a="1"/>
  <c r="K135" i="10" s="1"/>
  <c r="F135" i="10" a="1"/>
  <c r="F135" i="10" s="1"/>
  <c r="J135" i="10" a="1"/>
  <c r="J135" i="10" s="1"/>
  <c r="M135" i="10" a="1"/>
  <c r="M135" i="10" s="1"/>
  <c r="I135" i="10" a="1"/>
  <c r="I135" i="10" s="1"/>
  <c r="E135" i="10" a="1"/>
  <c r="E135" i="10" s="1"/>
  <c r="P135" i="10" a="1"/>
  <c r="P135" i="10" s="1"/>
  <c r="L135" i="10" a="1"/>
  <c r="L135" i="10" s="1"/>
  <c r="H135" i="10" a="1"/>
  <c r="H135" i="10" s="1"/>
  <c r="D135" i="10" a="1"/>
  <c r="D135" i="10" s="1"/>
  <c r="O135" i="10" a="1"/>
  <c r="O135" i="10" s="1"/>
  <c r="N135" i="10" a="1"/>
  <c r="N135" i="10" s="1"/>
  <c r="G135" i="10" a="1"/>
  <c r="G135" i="10" s="1"/>
  <c r="O149" i="10" a="1"/>
  <c r="O149" i="10" s="1"/>
  <c r="K149" i="10" a="1"/>
  <c r="K149" i="10" s="1"/>
  <c r="G149" i="10" a="1"/>
  <c r="G149" i="10" s="1"/>
  <c r="J149" i="10" a="1"/>
  <c r="J149" i="10" s="1"/>
  <c r="N149" i="10" a="1"/>
  <c r="N149" i="10" s="1"/>
  <c r="I149" i="10" a="1"/>
  <c r="I149" i="10" s="1"/>
  <c r="F149" i="10" a="1"/>
  <c r="F149" i="10" s="1"/>
  <c r="P149" i="10" a="1"/>
  <c r="P149" i="10" s="1"/>
  <c r="M149" i="10" a="1"/>
  <c r="M149" i="10" s="1"/>
  <c r="H149" i="10" a="1"/>
  <c r="H149" i="10" s="1"/>
  <c r="L149" i="10" a="1"/>
  <c r="L149" i="10" s="1"/>
  <c r="E149" i="10" a="1"/>
  <c r="E149" i="10" s="1"/>
  <c r="D149" i="10" a="1"/>
  <c r="D149" i="10" s="1"/>
  <c r="M205" i="10" a="1"/>
  <c r="M205" i="10" s="1"/>
  <c r="N205" i="10" a="1"/>
  <c r="N205" i="10" s="1"/>
  <c r="E205" i="10" a="1"/>
  <c r="E205" i="10" s="1"/>
  <c r="L205" i="10" a="1"/>
  <c r="L205" i="10" s="1"/>
  <c r="K205" i="10" a="1"/>
  <c r="K205" i="10" s="1"/>
  <c r="G205" i="10" a="1"/>
  <c r="G205" i="10" s="1"/>
  <c r="J205" i="10" a="1"/>
  <c r="J205" i="10" s="1"/>
  <c r="F205" i="10" a="1"/>
  <c r="F205" i="10" s="1"/>
  <c r="P205" i="10" a="1"/>
  <c r="P205" i="10" s="1"/>
  <c r="D205" i="10" a="1"/>
  <c r="D205" i="10" s="1"/>
  <c r="I205" i="10" a="1"/>
  <c r="I205" i="10" s="1"/>
  <c r="H205" i="10" a="1"/>
  <c r="H205" i="10" s="1"/>
  <c r="O205" i="10" a="1"/>
  <c r="O205" i="10" s="1"/>
  <c r="M485" i="10" a="1"/>
  <c r="M485" i="10" s="1"/>
  <c r="O485" i="10" a="1"/>
  <c r="O485" i="10" s="1"/>
  <c r="F485" i="10" a="1"/>
  <c r="F485" i="10" s="1"/>
  <c r="H485" i="10" a="1"/>
  <c r="H485" i="10" s="1"/>
  <c r="L485" i="10" a="1"/>
  <c r="L485" i="10" s="1"/>
  <c r="G485" i="10" a="1"/>
  <c r="G485" i="10" s="1"/>
  <c r="J485" i="10" a="1"/>
  <c r="J485" i="10" s="1"/>
  <c r="K485" i="10" a="1"/>
  <c r="K485" i="10" s="1"/>
  <c r="N485" i="10" a="1"/>
  <c r="N485" i="10" s="1"/>
  <c r="E485" i="10" a="1"/>
  <c r="E485" i="10" s="1"/>
  <c r="I485" i="10" a="1"/>
  <c r="I485" i="10" s="1"/>
  <c r="P485" i="10" a="1"/>
  <c r="P485" i="10" s="1"/>
  <c r="D485" i="10" a="1"/>
  <c r="D485" i="10" s="1"/>
  <c r="O541" i="10" a="1"/>
  <c r="O541" i="10" s="1"/>
  <c r="K541" i="10" a="1"/>
  <c r="K541" i="10" s="1"/>
  <c r="H541" i="10" a="1"/>
  <c r="H541" i="10" s="1"/>
  <c r="D541" i="10" a="1"/>
  <c r="D541" i="10" s="1"/>
  <c r="N541" i="10" a="1"/>
  <c r="N541" i="10" s="1"/>
  <c r="J541" i="10" a="1"/>
  <c r="J541" i="10" s="1"/>
  <c r="G541" i="10" a="1"/>
  <c r="G541" i="10" s="1"/>
  <c r="I541" i="10" a="1"/>
  <c r="I541" i="10" s="1"/>
  <c r="L541" i="10" a="1"/>
  <c r="L541" i="10" s="1"/>
  <c r="M541" i="10" a="1"/>
  <c r="M541" i="10" s="1"/>
  <c r="P541" i="10" a="1"/>
  <c r="P541" i="10" s="1"/>
  <c r="F541" i="10" a="1"/>
  <c r="F541" i="10" s="1"/>
  <c r="E541" i="10" a="1"/>
  <c r="E541" i="10" s="1"/>
  <c r="P583" i="10" a="1"/>
  <c r="P583" i="10" s="1"/>
  <c r="K583" i="10" a="1"/>
  <c r="K583" i="10" s="1"/>
  <c r="H583" i="10" a="1"/>
  <c r="H583" i="10" s="1"/>
  <c r="E583" i="10" a="1"/>
  <c r="E583" i="10" s="1"/>
  <c r="O583" i="10" a="1"/>
  <c r="O583" i="10" s="1"/>
  <c r="J583" i="10" a="1"/>
  <c r="J583" i="10" s="1"/>
  <c r="N583" i="10" a="1"/>
  <c r="N583" i="10" s="1"/>
  <c r="I583" i="10" a="1"/>
  <c r="I583" i="10" s="1"/>
  <c r="G583" i="10" a="1"/>
  <c r="G583" i="10" s="1"/>
  <c r="D583" i="10" a="1"/>
  <c r="D583" i="10" s="1"/>
  <c r="F583" i="10" a="1"/>
  <c r="F583" i="10" s="1"/>
  <c r="M583" i="10" a="1"/>
  <c r="M583" i="10" s="1"/>
  <c r="L583" i="10" a="1"/>
  <c r="L583" i="10" s="1"/>
  <c r="K779" i="10" a="1"/>
  <c r="K779" i="10" s="1"/>
  <c r="N779" i="10" a="1"/>
  <c r="N779" i="10" s="1"/>
  <c r="D779" i="10" a="1"/>
  <c r="D779" i="10" s="1"/>
  <c r="M779" i="10" a="1"/>
  <c r="M779" i="10" s="1"/>
  <c r="G779" i="10" a="1"/>
  <c r="G779" i="10" s="1"/>
  <c r="J779" i="10" a="1"/>
  <c r="J779" i="10" s="1"/>
  <c r="F779" i="10" a="1"/>
  <c r="F779" i="10" s="1"/>
  <c r="P779" i="10" a="1"/>
  <c r="P779" i="10" s="1"/>
  <c r="L779" i="10" a="1"/>
  <c r="L779" i="10" s="1"/>
  <c r="I779" i="10" a="1"/>
  <c r="I779" i="10" s="1"/>
  <c r="E779" i="10" a="1"/>
  <c r="E779" i="10" s="1"/>
  <c r="O779" i="10" a="1"/>
  <c r="O779" i="10" s="1"/>
  <c r="H779" i="10" a="1"/>
  <c r="H779" i="10" s="1"/>
  <c r="L751" i="10" a="1"/>
  <c r="L751" i="10" s="1"/>
  <c r="D751" i="10" a="1"/>
  <c r="D751" i="10" s="1"/>
  <c r="F751" i="10" a="1"/>
  <c r="F751" i="10" s="1"/>
  <c r="N751" i="10" a="1"/>
  <c r="N751" i="10" s="1"/>
  <c r="O751" i="10" a="1"/>
  <c r="O751" i="10" s="1"/>
  <c r="K751" i="10" a="1"/>
  <c r="K751" i="10" s="1"/>
  <c r="H751" i="10" a="1"/>
  <c r="H751" i="10" s="1"/>
  <c r="P751" i="10" a="1"/>
  <c r="P751" i="10" s="1"/>
  <c r="M751" i="10" a="1"/>
  <c r="M751" i="10" s="1"/>
  <c r="J751" i="10" a="1"/>
  <c r="J751" i="10" s="1"/>
  <c r="G751" i="10" a="1"/>
  <c r="G751" i="10" s="1"/>
  <c r="E751" i="10" a="1"/>
  <c r="E751" i="10" s="1"/>
  <c r="I751" i="10" a="1"/>
  <c r="I751" i="10" s="1"/>
  <c r="L37" i="10" a="1"/>
  <c r="L37" i="10" s="1"/>
  <c r="G37" i="10" a="1"/>
  <c r="G37" i="10" s="1"/>
  <c r="D37" i="10" a="1"/>
  <c r="D37" i="10" s="1"/>
  <c r="N37" i="10" a="1"/>
  <c r="N37" i="10" s="1"/>
  <c r="O37" i="10" a="1"/>
  <c r="O37" i="10" s="1"/>
  <c r="K37" i="10" a="1"/>
  <c r="K37" i="10" s="1"/>
  <c r="F37" i="10" a="1"/>
  <c r="F37" i="10" s="1"/>
  <c r="J37" i="10" a="1"/>
  <c r="J37" i="10" s="1"/>
  <c r="M37" i="10" a="1"/>
  <c r="M37" i="10" s="1"/>
  <c r="I37" i="10" a="1"/>
  <c r="I37" i="10" s="1"/>
  <c r="E37" i="10" a="1"/>
  <c r="E37" i="10" s="1"/>
  <c r="P37" i="10" a="1"/>
  <c r="P37" i="10" s="1"/>
  <c r="H37" i="10" a="1"/>
  <c r="H37" i="10" s="1"/>
  <c r="I107" i="10" a="1"/>
  <c r="I107" i="10" s="1"/>
  <c r="E107" i="10" a="1"/>
  <c r="E107" i="10" s="1"/>
  <c r="P107" i="10" a="1"/>
  <c r="P107" i="10" s="1"/>
  <c r="L107" i="10" a="1"/>
  <c r="L107" i="10" s="1"/>
  <c r="H107" i="10" a="1"/>
  <c r="H107" i="10" s="1"/>
  <c r="D107" i="10" a="1"/>
  <c r="D107" i="10" s="1"/>
  <c r="O107" i="10" a="1"/>
  <c r="O107" i="10" s="1"/>
  <c r="K107" i="10" a="1"/>
  <c r="K107" i="10" s="1"/>
  <c r="G107" i="10" a="1"/>
  <c r="G107" i="10" s="1"/>
  <c r="J107" i="10" a="1"/>
  <c r="J107" i="10" s="1"/>
  <c r="N107" i="10" a="1"/>
  <c r="N107" i="10" s="1"/>
  <c r="F107" i="10" a="1"/>
  <c r="F107" i="10" s="1"/>
  <c r="M107" i="10" a="1"/>
  <c r="M107" i="10" s="1"/>
  <c r="H163" i="10" a="1"/>
  <c r="H163" i="10" s="1"/>
  <c r="N163" i="10" a="1"/>
  <c r="N163" i="10" s="1"/>
  <c r="O163" i="10" a="1"/>
  <c r="O163" i="10" s="1"/>
  <c r="G163" i="10" a="1"/>
  <c r="G163" i="10" s="1"/>
  <c r="J163" i="10" a="1"/>
  <c r="J163" i="10" s="1"/>
  <c r="M163" i="10" a="1"/>
  <c r="M163" i="10" s="1"/>
  <c r="L163" i="10" a="1"/>
  <c r="L163" i="10" s="1"/>
  <c r="K163" i="10" a="1"/>
  <c r="K163" i="10" s="1"/>
  <c r="D163" i="10" a="1"/>
  <c r="D163" i="10" s="1"/>
  <c r="I163" i="10" a="1"/>
  <c r="I163" i="10" s="1"/>
  <c r="P163" i="10" a="1"/>
  <c r="P163" i="10" s="1"/>
  <c r="E163" i="10" a="1"/>
  <c r="E163" i="10" s="1"/>
  <c r="F163" i="10" a="1"/>
  <c r="F163" i="10" s="1"/>
  <c r="E191" i="10" a="1"/>
  <c r="E191" i="10" s="1"/>
  <c r="P191" i="10" a="1"/>
  <c r="P191" i="10" s="1"/>
  <c r="L191" i="10" a="1"/>
  <c r="L191" i="10" s="1"/>
  <c r="N191" i="10" a="1"/>
  <c r="N191" i="10" s="1"/>
  <c r="D191" i="10" a="1"/>
  <c r="D191" i="10" s="1"/>
  <c r="M191" i="10" a="1"/>
  <c r="M191" i="10" s="1"/>
  <c r="F191" i="10" a="1"/>
  <c r="F191" i="10" s="1"/>
  <c r="J191" i="10" a="1"/>
  <c r="J191" i="10" s="1"/>
  <c r="K191" i="10" a="1"/>
  <c r="K191" i="10" s="1"/>
  <c r="H191" i="10" a="1"/>
  <c r="H191" i="10" s="1"/>
  <c r="O191" i="10" a="1"/>
  <c r="O191" i="10" s="1"/>
  <c r="I191" i="10" a="1"/>
  <c r="I191" i="10" s="1"/>
  <c r="G191" i="10" a="1"/>
  <c r="G191" i="10" s="1"/>
  <c r="O303" i="10" a="1"/>
  <c r="O303" i="10" s="1"/>
  <c r="K303" i="10" a="1"/>
  <c r="K303" i="10" s="1"/>
  <c r="G303" i="10" a="1"/>
  <c r="G303" i="10" s="1"/>
  <c r="J303" i="10" a="1"/>
  <c r="J303" i="10" s="1"/>
  <c r="N303" i="10" a="1"/>
  <c r="N303" i="10" s="1"/>
  <c r="I303" i="10" a="1"/>
  <c r="I303" i="10" s="1"/>
  <c r="F303" i="10" a="1"/>
  <c r="F303" i="10" s="1"/>
  <c r="P303" i="10" a="1"/>
  <c r="P303" i="10" s="1"/>
  <c r="M303" i="10" a="1"/>
  <c r="M303" i="10" s="1"/>
  <c r="H303" i="10" a="1"/>
  <c r="H303" i="10" s="1"/>
  <c r="L303" i="10" a="1"/>
  <c r="L303" i="10" s="1"/>
  <c r="E303" i="10" a="1"/>
  <c r="E303" i="10" s="1"/>
  <c r="D303" i="10" a="1"/>
  <c r="D303" i="10" s="1"/>
  <c r="K317" i="10" a="1"/>
  <c r="K317" i="10" s="1"/>
  <c r="F317" i="10" a="1"/>
  <c r="F317" i="10" s="1"/>
  <c r="J317" i="10" a="1"/>
  <c r="J317" i="10" s="1"/>
  <c r="M317" i="10" a="1"/>
  <c r="M317" i="10" s="1"/>
  <c r="I317" i="10" a="1"/>
  <c r="I317" i="10" s="1"/>
  <c r="E317" i="10" a="1"/>
  <c r="E317" i="10" s="1"/>
  <c r="G317" i="10" a="1"/>
  <c r="G317" i="10" s="1"/>
  <c r="P317" i="10" a="1"/>
  <c r="P317" i="10" s="1"/>
  <c r="L317" i="10" a="1"/>
  <c r="L317" i="10" s="1"/>
  <c r="H317" i="10" a="1"/>
  <c r="H317" i="10" s="1"/>
  <c r="D317" i="10" a="1"/>
  <c r="D317" i="10" s="1"/>
  <c r="O317" i="10" a="1"/>
  <c r="O317" i="10" s="1"/>
  <c r="N317" i="10" a="1"/>
  <c r="N317" i="10" s="1"/>
  <c r="M345" i="10" a="1"/>
  <c r="M345" i="10" s="1"/>
  <c r="O345" i="10" a="1"/>
  <c r="O345" i="10" s="1"/>
  <c r="E345" i="10" a="1"/>
  <c r="E345" i="10" s="1"/>
  <c r="G345" i="10" a="1"/>
  <c r="G345" i="10" s="1"/>
  <c r="L345" i="10" a="1"/>
  <c r="L345" i="10" s="1"/>
  <c r="N345" i="10" a="1"/>
  <c r="N345" i="10" s="1"/>
  <c r="D345" i="10" a="1"/>
  <c r="D345" i="10" s="1"/>
  <c r="J345" i="10" a="1"/>
  <c r="J345" i="10" s="1"/>
  <c r="K345" i="10" a="1"/>
  <c r="K345" i="10" s="1"/>
  <c r="F345" i="10" a="1"/>
  <c r="F345" i="10" s="1"/>
  <c r="P345" i="10" a="1"/>
  <c r="P345" i="10" s="1"/>
  <c r="I345" i="10" a="1"/>
  <c r="I345" i="10" s="1"/>
  <c r="H345" i="10" a="1"/>
  <c r="H345" i="10" s="1"/>
  <c r="K527" i="10" a="1"/>
  <c r="K527" i="10" s="1"/>
  <c r="F527" i="10" a="1"/>
  <c r="F527" i="10" s="1"/>
  <c r="J527" i="10" a="1"/>
  <c r="J527" i="10" s="1"/>
  <c r="M527" i="10" a="1"/>
  <c r="M527" i="10" s="1"/>
  <c r="P527" i="10" a="1"/>
  <c r="P527" i="10" s="1"/>
  <c r="L527" i="10" a="1"/>
  <c r="L527" i="10" s="1"/>
  <c r="G527" i="10" a="1"/>
  <c r="G527" i="10" s="1"/>
  <c r="I527" i="10" a="1"/>
  <c r="I527" i="10" s="1"/>
  <c r="E527" i="10" a="1"/>
  <c r="E527" i="10" s="1"/>
  <c r="H527" i="10" a="1"/>
  <c r="H527" i="10" s="1"/>
  <c r="O527" i="10" a="1"/>
  <c r="O527" i="10" s="1"/>
  <c r="D527" i="10" a="1"/>
  <c r="D527" i="10" s="1"/>
  <c r="N527" i="10" a="1"/>
  <c r="N527" i="10" s="1"/>
  <c r="K499" i="10" a="1"/>
  <c r="K499" i="10" s="1"/>
  <c r="G499" i="10" a="1"/>
  <c r="G499" i="10" s="1"/>
  <c r="D499" i="10" a="1"/>
  <c r="D499" i="10" s="1"/>
  <c r="M499" i="10" a="1"/>
  <c r="M499" i="10" s="1"/>
  <c r="J499" i="10" a="1"/>
  <c r="J499" i="10" s="1"/>
  <c r="L499" i="10" a="1"/>
  <c r="L499" i="10" s="1"/>
  <c r="I499" i="10" a="1"/>
  <c r="I499" i="10" s="1"/>
  <c r="F499" i="10" a="1"/>
  <c r="F499" i="10" s="1"/>
  <c r="O499" i="10" a="1"/>
  <c r="O499" i="10" s="1"/>
  <c r="P499" i="10" a="1"/>
  <c r="P499" i="10" s="1"/>
  <c r="E499" i="10" a="1"/>
  <c r="E499" i="10" s="1"/>
  <c r="H499" i="10" a="1"/>
  <c r="H499" i="10" s="1"/>
  <c r="N499" i="10" a="1"/>
  <c r="N499" i="10" s="1"/>
  <c r="F667" i="10" a="1"/>
  <c r="F667" i="10" s="1"/>
  <c r="D667" i="10" a="1"/>
  <c r="D667" i="10" s="1"/>
  <c r="E667" i="10" a="1"/>
  <c r="E667" i="10" s="1"/>
  <c r="M667" i="10" a="1"/>
  <c r="M667" i="10" s="1"/>
  <c r="P667" i="10" a="1"/>
  <c r="P667" i="10" s="1"/>
  <c r="L667" i="10" a="1"/>
  <c r="L667" i="10" s="1"/>
  <c r="J667" i="10" a="1"/>
  <c r="J667" i="10" s="1"/>
  <c r="K667" i="10" a="1"/>
  <c r="K667" i="10" s="1"/>
  <c r="O667" i="10" a="1"/>
  <c r="O667" i="10" s="1"/>
  <c r="G667" i="10" a="1"/>
  <c r="G667" i="10" s="1"/>
  <c r="H667" i="10" a="1"/>
  <c r="H667" i="10" s="1"/>
  <c r="I667" i="10" a="1"/>
  <c r="I667" i="10" s="1"/>
  <c r="N667" i="10" a="1"/>
  <c r="N667" i="10" s="1"/>
  <c r="L261" i="10" a="1"/>
  <c r="L261" i="10" s="1"/>
  <c r="D261" i="10" a="1"/>
  <c r="D261" i="10" s="1"/>
  <c r="E261" i="10" a="1"/>
  <c r="E261" i="10" s="1"/>
  <c r="N261" i="10" a="1"/>
  <c r="N261" i="10" s="1"/>
  <c r="J261" i="10" a="1"/>
  <c r="J261" i="10" s="1"/>
  <c r="M261" i="10" a="1"/>
  <c r="M261" i="10" s="1"/>
  <c r="I261" i="10" a="1"/>
  <c r="I261" i="10" s="1"/>
  <c r="K261" i="10" a="1"/>
  <c r="K261" i="10" s="1"/>
  <c r="P261" i="10" a="1"/>
  <c r="P261" i="10" s="1"/>
  <c r="F261" i="10" a="1"/>
  <c r="F261" i="10" s="1"/>
  <c r="H261" i="10" a="1"/>
  <c r="H261" i="10" s="1"/>
  <c r="O261" i="10" a="1"/>
  <c r="O261" i="10" s="1"/>
  <c r="G261" i="10" a="1"/>
  <c r="G261" i="10" s="1"/>
  <c r="I359" i="10" a="1"/>
  <c r="I359" i="10" s="1"/>
  <c r="K359" i="10" a="1"/>
  <c r="K359" i="10" s="1"/>
  <c r="P359" i="10" a="1"/>
  <c r="P359" i="10" s="1"/>
  <c r="D359" i="10" a="1"/>
  <c r="D359" i="10" s="1"/>
  <c r="H359" i="10" a="1"/>
  <c r="H359" i="10" s="1"/>
  <c r="N359" i="10" a="1"/>
  <c r="N359" i="10" s="1"/>
  <c r="E359" i="10" a="1"/>
  <c r="E359" i="10" s="1"/>
  <c r="O359" i="10" a="1"/>
  <c r="O359" i="10" s="1"/>
  <c r="J359" i="10" a="1"/>
  <c r="J359" i="10" s="1"/>
  <c r="G359" i="10" a="1"/>
  <c r="G359" i="10" s="1"/>
  <c r="F359" i="10" a="1"/>
  <c r="F359" i="10" s="1"/>
  <c r="M359" i="10" a="1"/>
  <c r="M359" i="10" s="1"/>
  <c r="L359" i="10" a="1"/>
  <c r="L359" i="10" s="1"/>
  <c r="N387" i="10" a="1"/>
  <c r="N387" i="10" s="1"/>
  <c r="P387" i="10" a="1"/>
  <c r="P387" i="10" s="1"/>
  <c r="J387" i="10" a="1"/>
  <c r="J387" i="10" s="1"/>
  <c r="G387" i="10" a="1"/>
  <c r="G387" i="10" s="1"/>
  <c r="I387" i="10" a="1"/>
  <c r="I387" i="10" s="1"/>
  <c r="M387" i="10" a="1"/>
  <c r="M387" i="10" s="1"/>
  <c r="O387" i="10" a="1"/>
  <c r="O387" i="10" s="1"/>
  <c r="F387" i="10" a="1"/>
  <c r="F387" i="10" s="1"/>
  <c r="H387" i="10" a="1"/>
  <c r="H387" i="10" s="1"/>
  <c r="L387" i="10" a="1"/>
  <c r="L387" i="10" s="1"/>
  <c r="D387" i="10" a="1"/>
  <c r="D387" i="10" s="1"/>
  <c r="E387" i="10" a="1"/>
  <c r="E387" i="10" s="1"/>
  <c r="K387" i="10" a="1"/>
  <c r="K387" i="10" s="1"/>
  <c r="P429" i="10" a="1"/>
  <c r="P429" i="10" s="1"/>
  <c r="L429" i="10" a="1"/>
  <c r="L429" i="10" s="1"/>
  <c r="M429" i="10" a="1"/>
  <c r="M429" i="10" s="1"/>
  <c r="H429" i="10" a="1"/>
  <c r="H429" i="10" s="1"/>
  <c r="D429" i="10" a="1"/>
  <c r="D429" i="10" s="1"/>
  <c r="O429" i="10" a="1"/>
  <c r="O429" i="10" s="1"/>
  <c r="K429" i="10" a="1"/>
  <c r="K429" i="10" s="1"/>
  <c r="G429" i="10" a="1"/>
  <c r="G429" i="10" s="1"/>
  <c r="J429" i="10" a="1"/>
  <c r="J429" i="10" s="1"/>
  <c r="N429" i="10" a="1"/>
  <c r="N429" i="10" s="1"/>
  <c r="I429" i="10" a="1"/>
  <c r="I429" i="10" s="1"/>
  <c r="F429" i="10" a="1"/>
  <c r="F429" i="10" s="1"/>
  <c r="E429" i="10" a="1"/>
  <c r="E429" i="10" s="1"/>
  <c r="I471" i="10" a="1"/>
  <c r="I471" i="10" s="1"/>
  <c r="L471" i="10" a="1"/>
  <c r="L471" i="10" s="1"/>
  <c r="P471" i="10" a="1"/>
  <c r="P471" i="10" s="1"/>
  <c r="E471" i="10" a="1"/>
  <c r="E471" i="10" s="1"/>
  <c r="O471" i="10" a="1"/>
  <c r="O471" i="10" s="1"/>
  <c r="K471" i="10" a="1"/>
  <c r="K471" i="10" s="1"/>
  <c r="H471" i="10" a="1"/>
  <c r="H471" i="10" s="1"/>
  <c r="D471" i="10" a="1"/>
  <c r="D471" i="10" s="1"/>
  <c r="N471" i="10" a="1"/>
  <c r="N471" i="10" s="1"/>
  <c r="J471" i="10" a="1"/>
  <c r="J471" i="10" s="1"/>
  <c r="F471" i="10" a="1"/>
  <c r="F471" i="10" s="1"/>
  <c r="G471" i="10" a="1"/>
  <c r="G471" i="10" s="1"/>
  <c r="M471" i="10" a="1"/>
  <c r="M471" i="10" s="1"/>
  <c r="M555" i="10" a="1"/>
  <c r="M555" i="10" s="1"/>
  <c r="H555" i="10" a="1"/>
  <c r="H555" i="10" s="1"/>
  <c r="E555" i="10" a="1"/>
  <c r="E555" i="10" s="1"/>
  <c r="O555" i="10" a="1"/>
  <c r="O555" i="10" s="1"/>
  <c r="L555" i="10" a="1"/>
  <c r="L555" i="10" s="1"/>
  <c r="N555" i="10" a="1"/>
  <c r="N555" i="10" s="1"/>
  <c r="D555" i="10" a="1"/>
  <c r="D555" i="10" s="1"/>
  <c r="G555" i="10" a="1"/>
  <c r="G555" i="10" s="1"/>
  <c r="K555" i="10" a="1"/>
  <c r="K555" i="10" s="1"/>
  <c r="F555" i="10" a="1"/>
  <c r="F555" i="10" s="1"/>
  <c r="J555" i="10" a="1"/>
  <c r="J555" i="10" s="1"/>
  <c r="I555" i="10" a="1"/>
  <c r="I555" i="10" s="1"/>
  <c r="P555" i="10" a="1"/>
  <c r="P555" i="10" s="1"/>
  <c r="L653" i="10" a="1"/>
  <c r="L653" i="10" s="1"/>
  <c r="H653" i="10" a="1"/>
  <c r="H653" i="10" s="1"/>
  <c r="O653" i="10" a="1"/>
  <c r="O653" i="10" s="1"/>
  <c r="F653" i="10" a="1"/>
  <c r="F653" i="10" s="1"/>
  <c r="M653" i="10" a="1"/>
  <c r="M653" i="10" s="1"/>
  <c r="J653" i="10" a="1"/>
  <c r="J653" i="10" s="1"/>
  <c r="K653" i="10" a="1"/>
  <c r="K653" i="10" s="1"/>
  <c r="D653" i="10" a="1"/>
  <c r="D653" i="10" s="1"/>
  <c r="G653" i="10" a="1"/>
  <c r="G653" i="10" s="1"/>
  <c r="P653" i="10" a="1"/>
  <c r="P653" i="10" s="1"/>
  <c r="E653" i="10" a="1"/>
  <c r="E653" i="10" s="1"/>
  <c r="I653" i="10" a="1"/>
  <c r="I653" i="10" s="1"/>
  <c r="N653" i="10" a="1"/>
  <c r="N653" i="10" s="1"/>
  <c r="N709" i="10" a="1"/>
  <c r="N709" i="10" s="1"/>
  <c r="K709" i="10" a="1"/>
  <c r="K709" i="10" s="1"/>
  <c r="I709" i="10" a="1"/>
  <c r="I709" i="10" s="1"/>
  <c r="F709" i="10" a="1"/>
  <c r="F709" i="10" s="1"/>
  <c r="G709" i="10" a="1"/>
  <c r="G709" i="10" s="1"/>
  <c r="D709" i="10" a="1"/>
  <c r="D709" i="10" s="1"/>
  <c r="O709" i="10" a="1"/>
  <c r="O709" i="10" s="1"/>
  <c r="M709" i="10" a="1"/>
  <c r="M709" i="10" s="1"/>
  <c r="J709" i="10" a="1"/>
  <c r="J709" i="10" s="1"/>
  <c r="H709" i="10" a="1"/>
  <c r="H709" i="10" s="1"/>
  <c r="E709" i="10" a="1"/>
  <c r="E709" i="10" s="1"/>
  <c r="L709" i="10" a="1"/>
  <c r="L709" i="10" s="1"/>
  <c r="P709" i="10" a="1"/>
  <c r="P709" i="10" s="1"/>
  <c r="N723" i="10" a="1"/>
  <c r="N723" i="10" s="1"/>
  <c r="E723" i="10" a="1"/>
  <c r="E723" i="10" s="1"/>
  <c r="H723" i="10" a="1"/>
  <c r="H723" i="10" s="1"/>
  <c r="O723" i="10" a="1"/>
  <c r="O723" i="10" s="1"/>
  <c r="M723" i="10" a="1"/>
  <c r="M723" i="10" s="1"/>
  <c r="J723" i="10" a="1"/>
  <c r="J723" i="10" s="1"/>
  <c r="L723" i="10" a="1"/>
  <c r="L723" i="10" s="1"/>
  <c r="D723" i="10" a="1"/>
  <c r="D723" i="10" s="1"/>
  <c r="G723" i="10" a="1"/>
  <c r="G723" i="10" s="1"/>
  <c r="I723" i="10" a="1"/>
  <c r="I723" i="10" s="1"/>
  <c r="P723" i="10" a="1"/>
  <c r="P723" i="10" s="1"/>
  <c r="K723" i="10" a="1"/>
  <c r="K723" i="10" s="1"/>
  <c r="F723" i="10" a="1"/>
  <c r="F723" i="10" s="1"/>
  <c r="N51" i="10" a="1"/>
  <c r="N51" i="10" s="1"/>
  <c r="I51" i="10" a="1"/>
  <c r="I51" i="10" s="1"/>
  <c r="G51" i="10" a="1"/>
  <c r="G51" i="10" s="1"/>
  <c r="F51" i="10" a="1"/>
  <c r="F51" i="10" s="1"/>
  <c r="P51" i="10" a="1"/>
  <c r="P51" i="10" s="1"/>
  <c r="D51" i="10" a="1"/>
  <c r="D51" i="10" s="1"/>
  <c r="M51" i="10" a="1"/>
  <c r="M51" i="10" s="1"/>
  <c r="H51" i="10" a="1"/>
  <c r="H51" i="10" s="1"/>
  <c r="E51" i="10" a="1"/>
  <c r="E51" i="10" s="1"/>
  <c r="O51" i="10" a="1"/>
  <c r="O51" i="10" s="1"/>
  <c r="L51" i="10" a="1"/>
  <c r="L51" i="10" s="1"/>
  <c r="J51" i="10" a="1"/>
  <c r="J51" i="10" s="1"/>
  <c r="K51" i="10" a="1"/>
  <c r="K51" i="10" s="1"/>
  <c r="L121" i="10" a="1"/>
  <c r="L121" i="10" s="1"/>
  <c r="G121" i="10" a="1"/>
  <c r="G121" i="10" s="1"/>
  <c r="D121" i="10" a="1"/>
  <c r="D121" i="10" s="1"/>
  <c r="N121" i="10" a="1"/>
  <c r="N121" i="10" s="1"/>
  <c r="K121" i="10" a="1"/>
  <c r="K121" i="10" s="1"/>
  <c r="F121" i="10" a="1"/>
  <c r="F121" i="10" s="1"/>
  <c r="J121" i="10" a="1"/>
  <c r="J121" i="10" s="1"/>
  <c r="E121" i="10" a="1"/>
  <c r="E121" i="10" s="1"/>
  <c r="I121" i="10" a="1"/>
  <c r="I121" i="10" s="1"/>
  <c r="M121" i="10" a="1"/>
  <c r="M121" i="10" s="1"/>
  <c r="P121" i="10" a="1"/>
  <c r="P121" i="10" s="1"/>
  <c r="H121" i="10" a="1"/>
  <c r="H121" i="10" s="1"/>
  <c r="O121" i="10" a="1"/>
  <c r="O121" i="10" s="1"/>
  <c r="G177" i="10" a="1"/>
  <c r="G177" i="10" s="1"/>
  <c r="I177" i="10" a="1"/>
  <c r="I177" i="10" s="1"/>
  <c r="M177" i="10" a="1"/>
  <c r="M177" i="10" s="1"/>
  <c r="H177" i="10" a="1"/>
  <c r="H177" i="10" s="1"/>
  <c r="E177" i="10" a="1"/>
  <c r="E177" i="10" s="1"/>
  <c r="F177" i="10" a="1"/>
  <c r="F177" i="10" s="1"/>
  <c r="O177" i="10" a="1"/>
  <c r="O177" i="10" s="1"/>
  <c r="K177" i="10" a="1"/>
  <c r="K177" i="10" s="1"/>
  <c r="D177" i="10" a="1"/>
  <c r="D177" i="10" s="1"/>
  <c r="L177" i="10" a="1"/>
  <c r="L177" i="10" s="1"/>
  <c r="J177" i="10" a="1"/>
  <c r="J177" i="10" s="1"/>
  <c r="P177" i="10" a="1"/>
  <c r="P177" i="10" s="1"/>
  <c r="N177" i="10" a="1"/>
  <c r="N177" i="10" s="1"/>
  <c r="M247" i="10" a="1"/>
  <c r="M247" i="10" s="1"/>
  <c r="G247" i="10" a="1"/>
  <c r="G247" i="10" s="1"/>
  <c r="F247" i="10" a="1"/>
  <c r="F247" i="10" s="1"/>
  <c r="E247" i="10" a="1"/>
  <c r="E247" i="10" s="1"/>
  <c r="K247" i="10" a="1"/>
  <c r="K247" i="10" s="1"/>
  <c r="O247" i="10" a="1"/>
  <c r="O247" i="10" s="1"/>
  <c r="D247" i="10" a="1"/>
  <c r="D247" i="10" s="1"/>
  <c r="N247" i="10" a="1"/>
  <c r="N247" i="10" s="1"/>
  <c r="J247" i="10" a="1"/>
  <c r="J247" i="10" s="1"/>
  <c r="L247" i="10" a="1"/>
  <c r="L247" i="10" s="1"/>
  <c r="I247" i="10" a="1"/>
  <c r="I247" i="10" s="1"/>
  <c r="P247" i="10" a="1"/>
  <c r="P247" i="10" s="1"/>
  <c r="H247" i="10" a="1"/>
  <c r="H247" i="10" s="1"/>
  <c r="K275" i="10" a="1"/>
  <c r="K275" i="10" s="1"/>
  <c r="F275" i="10" a="1"/>
  <c r="F275" i="10" s="1"/>
  <c r="J275" i="10" a="1"/>
  <c r="J275" i="10" s="1"/>
  <c r="M275" i="10" a="1"/>
  <c r="M275" i="10" s="1"/>
  <c r="G275" i="10" a="1"/>
  <c r="G275" i="10" s="1"/>
  <c r="I275" i="10" a="1"/>
  <c r="I275" i="10" s="1"/>
  <c r="E275" i="10" a="1"/>
  <c r="E275" i="10" s="1"/>
  <c r="P275" i="10" a="1"/>
  <c r="P275" i="10" s="1"/>
  <c r="L275" i="10" a="1"/>
  <c r="L275" i="10" s="1"/>
  <c r="H275" i="10" a="1"/>
  <c r="H275" i="10" s="1"/>
  <c r="D275" i="10" a="1"/>
  <c r="D275" i="10" s="1"/>
  <c r="O275" i="10" a="1"/>
  <c r="O275" i="10" s="1"/>
  <c r="N275" i="10" a="1"/>
  <c r="N275" i="10" s="1"/>
  <c r="P219" i="10" a="1"/>
  <c r="P219" i="10" s="1"/>
  <c r="K219" i="10" a="1"/>
  <c r="K219" i="10" s="1"/>
  <c r="H219" i="10" a="1"/>
  <c r="H219" i="10" s="1"/>
  <c r="O219" i="10" a="1"/>
  <c r="O219" i="10" s="1"/>
  <c r="N219" i="10" a="1"/>
  <c r="N219" i="10" s="1"/>
  <c r="J219" i="10" a="1"/>
  <c r="J219" i="10" s="1"/>
  <c r="F219" i="10" a="1"/>
  <c r="F219" i="10" s="1"/>
  <c r="I219" i="10" a="1"/>
  <c r="I219" i="10" s="1"/>
  <c r="L219" i="10" a="1"/>
  <c r="L219" i="10" s="1"/>
  <c r="M219" i="10" a="1"/>
  <c r="M219" i="10" s="1"/>
  <c r="G219" i="10" a="1"/>
  <c r="G219" i="10" s="1"/>
  <c r="E219" i="10" a="1"/>
  <c r="E219" i="10" s="1"/>
  <c r="D219" i="10" a="1"/>
  <c r="D219" i="10" s="1"/>
  <c r="J401" i="10" a="1"/>
  <c r="J401" i="10" s="1"/>
  <c r="F401" i="10" a="1"/>
  <c r="F401" i="10" s="1"/>
  <c r="P401" i="10" a="1"/>
  <c r="P401" i="10" s="1"/>
  <c r="L401" i="10" a="1"/>
  <c r="L401" i="10" s="1"/>
  <c r="I401" i="10" a="1"/>
  <c r="I401" i="10" s="1"/>
  <c r="E401" i="10" a="1"/>
  <c r="E401" i="10" s="1"/>
  <c r="O401" i="10" a="1"/>
  <c r="O401" i="10" s="1"/>
  <c r="K401" i="10" a="1"/>
  <c r="K401" i="10" s="1"/>
  <c r="H401" i="10" a="1"/>
  <c r="H401" i="10" s="1"/>
  <c r="D401" i="10" a="1"/>
  <c r="D401" i="10" s="1"/>
  <c r="N401" i="10" a="1"/>
  <c r="N401" i="10" s="1"/>
  <c r="G401" i="10" a="1"/>
  <c r="G401" i="10" s="1"/>
  <c r="M401" i="10" a="1"/>
  <c r="M401" i="10" s="1"/>
  <c r="P681" i="10" a="1"/>
  <c r="P681" i="10" s="1"/>
  <c r="M681" i="10" a="1"/>
  <c r="M681" i="10" s="1"/>
  <c r="K681" i="10" a="1"/>
  <c r="K681" i="10" s="1"/>
  <c r="F681" i="10" a="1"/>
  <c r="F681" i="10" s="1"/>
  <c r="H681" i="10" a="1"/>
  <c r="H681" i="10" s="1"/>
  <c r="O681" i="10" a="1"/>
  <c r="O681" i="10" s="1"/>
  <c r="E681" i="10" a="1"/>
  <c r="E681" i="10" s="1"/>
  <c r="J681" i="10" a="1"/>
  <c r="J681" i="10" s="1"/>
  <c r="L681" i="10" a="1"/>
  <c r="L681" i="10" s="1"/>
  <c r="I681" i="10" a="1"/>
  <c r="I681" i="10" s="1"/>
  <c r="D681" i="10" a="1"/>
  <c r="D681" i="10" s="1"/>
  <c r="N681" i="10" a="1"/>
  <c r="N681" i="10" s="1"/>
  <c r="G681" i="10" a="1"/>
  <c r="G681" i="10" s="1"/>
  <c r="K597" i="10" a="1"/>
  <c r="K597" i="10" s="1"/>
  <c r="H597" i="10" a="1"/>
  <c r="H597" i="10" s="1"/>
  <c r="E597" i="10" a="1"/>
  <c r="E597" i="10" s="1"/>
  <c r="M597" i="10" a="1"/>
  <c r="M597" i="10" s="1"/>
  <c r="O597" i="10" a="1"/>
  <c r="O597" i="10" s="1"/>
  <c r="P597" i="10" a="1"/>
  <c r="P597" i="10" s="1"/>
  <c r="L597" i="10" a="1"/>
  <c r="L597" i="10" s="1"/>
  <c r="J597" i="10" a="1"/>
  <c r="J597" i="10" s="1"/>
  <c r="G597" i="10" a="1"/>
  <c r="G597" i="10" s="1"/>
  <c r="I597" i="10" a="1"/>
  <c r="I597" i="10" s="1"/>
  <c r="F597" i="10" a="1"/>
  <c r="F597" i="10" s="1"/>
  <c r="D597" i="10" a="1"/>
  <c r="D597" i="10" s="1"/>
  <c r="N597" i="10" a="1"/>
  <c r="N597" i="10" s="1"/>
  <c r="N23" i="10" a="1"/>
  <c r="N23" i="10" s="1"/>
  <c r="I23" i="10" a="1"/>
  <c r="I23" i="10" s="1"/>
  <c r="O23" i="10" a="1"/>
  <c r="O23" i="10" s="1"/>
  <c r="F23" i="10" a="1"/>
  <c r="F23" i="10" s="1"/>
  <c r="P23" i="10" a="1"/>
  <c r="P23" i="10" s="1"/>
  <c r="H23" i="10" a="1"/>
  <c r="H23" i="10" s="1"/>
  <c r="M23" i="10" a="1"/>
  <c r="M23" i="10" s="1"/>
  <c r="E23" i="10" a="1"/>
  <c r="E23" i="10" s="1"/>
  <c r="G23" i="10" a="1"/>
  <c r="G23" i="10" s="1"/>
  <c r="L23" i="10" a="1"/>
  <c r="L23" i="10" s="1"/>
  <c r="J23" i="10" a="1"/>
  <c r="J23" i="10" s="1"/>
  <c r="D23" i="10" a="1"/>
  <c r="D23" i="10" s="1"/>
  <c r="K23" i="10" a="1"/>
  <c r="K23" i="10" s="1"/>
  <c r="P93" i="10" a="1"/>
  <c r="P93" i="10" s="1"/>
  <c r="L93" i="10" a="1"/>
  <c r="L93" i="10" s="1"/>
  <c r="I93" i="10" a="1"/>
  <c r="I93" i="10" s="1"/>
  <c r="H93" i="10" a="1"/>
  <c r="H93" i="10" s="1"/>
  <c r="D93" i="10" a="1"/>
  <c r="D93" i="10" s="1"/>
  <c r="F93" i="10" a="1"/>
  <c r="F93" i="10" s="1"/>
  <c r="O93" i="10" a="1"/>
  <c r="O93" i="10" s="1"/>
  <c r="K93" i="10" a="1"/>
  <c r="K93" i="10" s="1"/>
  <c r="E93" i="10" a="1"/>
  <c r="E93" i="10" s="1"/>
  <c r="G93" i="10" a="1"/>
  <c r="G93" i="10" s="1"/>
  <c r="J93" i="10" a="1"/>
  <c r="J93" i="10" s="1"/>
  <c r="N93" i="10" a="1"/>
  <c r="N93" i="10" s="1"/>
  <c r="M93" i="10" a="1"/>
  <c r="M93" i="10" s="1"/>
  <c r="J443" i="10" a="1"/>
  <c r="J443" i="10" s="1"/>
  <c r="M443" i="10" a="1"/>
  <c r="M443" i="10" s="1"/>
  <c r="I443" i="10" a="1"/>
  <c r="I443" i="10" s="1"/>
  <c r="E443" i="10" a="1"/>
  <c r="E443" i="10" s="1"/>
  <c r="P443" i="10" a="1"/>
  <c r="P443" i="10" s="1"/>
  <c r="L443" i="10" a="1"/>
  <c r="L443" i="10" s="1"/>
  <c r="H443" i="10" a="1"/>
  <c r="H443" i="10" s="1"/>
  <c r="D443" i="10" a="1"/>
  <c r="D443" i="10" s="1"/>
  <c r="O443" i="10" a="1"/>
  <c r="O443" i="10" s="1"/>
  <c r="K443" i="10" a="1"/>
  <c r="K443" i="10" s="1"/>
  <c r="G443" i="10" a="1"/>
  <c r="G443" i="10" s="1"/>
  <c r="N443" i="10" a="1"/>
  <c r="N443" i="10" s="1"/>
  <c r="F443" i="10" a="1"/>
  <c r="F443" i="10" s="1"/>
  <c r="P513" i="10" a="1"/>
  <c r="P513" i="10" s="1"/>
  <c r="L513" i="10" a="1"/>
  <c r="L513" i="10" s="1"/>
  <c r="H513" i="10" a="1"/>
  <c r="H513" i="10" s="1"/>
  <c r="D513" i="10" a="1"/>
  <c r="D513" i="10" s="1"/>
  <c r="O513" i="10" a="1"/>
  <c r="O513" i="10" s="1"/>
  <c r="K513" i="10" a="1"/>
  <c r="K513" i="10" s="1"/>
  <c r="G513" i="10" a="1"/>
  <c r="G513" i="10" s="1"/>
  <c r="J513" i="10" a="1"/>
  <c r="J513" i="10" s="1"/>
  <c r="M513" i="10" a="1"/>
  <c r="M513" i="10" s="1"/>
  <c r="N513" i="10" a="1"/>
  <c r="N513" i="10" s="1"/>
  <c r="I513" i="10" a="1"/>
  <c r="I513" i="10" s="1"/>
  <c r="E513" i="10" a="1"/>
  <c r="E513" i="10" s="1"/>
  <c r="F513" i="10" a="1"/>
  <c r="F513" i="10" s="1"/>
  <c r="L569" i="10" a="1"/>
  <c r="L569" i="10" s="1"/>
  <c r="N569" i="10" a="1"/>
  <c r="N569" i="10" s="1"/>
  <c r="D569" i="10" a="1"/>
  <c r="D569" i="10" s="1"/>
  <c r="G569" i="10" a="1"/>
  <c r="G569" i="10" s="1"/>
  <c r="O569" i="10" a="1"/>
  <c r="O569" i="10" s="1"/>
  <c r="K569" i="10" a="1"/>
  <c r="K569" i="10" s="1"/>
  <c r="F569" i="10" a="1"/>
  <c r="F569" i="10" s="1"/>
  <c r="J569" i="10" a="1"/>
  <c r="J569" i="10" s="1"/>
  <c r="E569" i="10" a="1"/>
  <c r="E569" i="10" s="1"/>
  <c r="P569" i="10" a="1"/>
  <c r="P569" i="10" s="1"/>
  <c r="M569" i="10" a="1"/>
  <c r="M569" i="10" s="1"/>
  <c r="I569" i="10" a="1"/>
  <c r="I569" i="10" s="1"/>
  <c r="H569" i="10" a="1"/>
  <c r="H569" i="10" s="1"/>
  <c r="O373" i="10" a="1"/>
  <c r="O373" i="10" s="1"/>
  <c r="I373" i="10" a="1"/>
  <c r="I373" i="10" s="1"/>
  <c r="G373" i="10" a="1"/>
  <c r="G373" i="10" s="1"/>
  <c r="D373" i="10" a="1"/>
  <c r="D373" i="10" s="1"/>
  <c r="N373" i="10" a="1"/>
  <c r="N373" i="10" s="1"/>
  <c r="P373" i="10" a="1"/>
  <c r="P373" i="10" s="1"/>
  <c r="K373" i="10" a="1"/>
  <c r="K373" i="10" s="1"/>
  <c r="F373" i="10" a="1"/>
  <c r="F373" i="10" s="1"/>
  <c r="L373" i="10" a="1"/>
  <c r="L373" i="10" s="1"/>
  <c r="M373" i="10" a="1"/>
  <c r="M373" i="10" s="1"/>
  <c r="H373" i="10" a="1"/>
  <c r="H373" i="10" s="1"/>
  <c r="E373" i="10" a="1"/>
  <c r="E373" i="10" s="1"/>
  <c r="J373" i="10" a="1"/>
  <c r="J373" i="10" s="1"/>
  <c r="O639" i="10" a="1"/>
  <c r="O639" i="10" s="1"/>
  <c r="P639" i="10" a="1"/>
  <c r="P639" i="10" s="1"/>
  <c r="I639" i="10" a="1"/>
  <c r="I639" i="10" s="1"/>
  <c r="N639" i="10" a="1"/>
  <c r="N639" i="10" s="1"/>
  <c r="G639" i="10" a="1"/>
  <c r="G639" i="10" s="1"/>
  <c r="M639" i="10" a="1"/>
  <c r="M639" i="10" s="1"/>
  <c r="L639" i="10" a="1"/>
  <c r="L639" i="10" s="1"/>
  <c r="H639" i="10" a="1"/>
  <c r="H639" i="10" s="1"/>
  <c r="E639" i="10" a="1"/>
  <c r="E639" i="10" s="1"/>
  <c r="F639" i="10" a="1"/>
  <c r="F639" i="10" s="1"/>
  <c r="D639" i="10" a="1"/>
  <c r="D639" i="10" s="1"/>
  <c r="K639" i="10" a="1"/>
  <c r="K639" i="10" s="1"/>
  <c r="J639" i="10" a="1"/>
  <c r="J639" i="10" s="1"/>
  <c r="O695" i="10" a="1"/>
  <c r="O695" i="10" s="1"/>
  <c r="G695" i="10" a="1"/>
  <c r="G695" i="10" s="1"/>
  <c r="J695" i="10" a="1"/>
  <c r="J695" i="10" s="1"/>
  <c r="L695" i="10" a="1"/>
  <c r="L695" i="10" s="1"/>
  <c r="E695" i="10" a="1"/>
  <c r="E695" i="10" s="1"/>
  <c r="K695" i="10" a="1"/>
  <c r="K695" i="10" s="1"/>
  <c r="N695" i="10" a="1"/>
  <c r="N695" i="10" s="1"/>
  <c r="F695" i="10" a="1"/>
  <c r="F695" i="10" s="1"/>
  <c r="M695" i="10" a="1"/>
  <c r="M695" i="10" s="1"/>
  <c r="I695" i="10" a="1"/>
  <c r="I695" i="10" s="1"/>
  <c r="P695" i="10" a="1"/>
  <c r="P695" i="10" s="1"/>
  <c r="D695" i="10" a="1"/>
  <c r="D695" i="10" s="1"/>
  <c r="H695" i="10" a="1"/>
  <c r="H695" i="10" s="1"/>
  <c r="O331" i="10" a="1"/>
  <c r="O331" i="10" s="1"/>
  <c r="K331" i="10" a="1"/>
  <c r="K331" i="10" s="1"/>
  <c r="L331" i="10" a="1"/>
  <c r="L331" i="10" s="1"/>
  <c r="G331" i="10" a="1"/>
  <c r="G331" i="10" s="1"/>
  <c r="J331" i="10" a="1"/>
  <c r="J331" i="10" s="1"/>
  <c r="N331" i="10" a="1"/>
  <c r="N331" i="10" s="1"/>
  <c r="I331" i="10" a="1"/>
  <c r="I331" i="10" s="1"/>
  <c r="F331" i="10" a="1"/>
  <c r="F331" i="10" s="1"/>
  <c r="H331" i="10" a="1"/>
  <c r="H331" i="10" s="1"/>
  <c r="M331" i="10" a="1"/>
  <c r="M331" i="10" s="1"/>
  <c r="P331" i="10" a="1"/>
  <c r="P331" i="10" s="1"/>
  <c r="E331" i="10" a="1"/>
  <c r="E331" i="10" s="1"/>
  <c r="D331" i="10" a="1"/>
  <c r="D331" i="10" s="1"/>
  <c r="J737" i="10" a="1"/>
  <c r="J737" i="10" s="1"/>
  <c r="P737" i="10" a="1"/>
  <c r="P737" i="10" s="1"/>
  <c r="D737" i="10" a="1"/>
  <c r="D737" i="10" s="1"/>
  <c r="F737" i="10" a="1"/>
  <c r="F737" i="10" s="1"/>
  <c r="L737" i="10" a="1"/>
  <c r="L737" i="10" s="1"/>
  <c r="N737" i="10" a="1"/>
  <c r="N737" i="10" s="1"/>
  <c r="K737" i="10" a="1"/>
  <c r="K737" i="10" s="1"/>
  <c r="I737" i="10" a="1"/>
  <c r="I737" i="10" s="1"/>
  <c r="E737" i="10" a="1"/>
  <c r="E737" i="10" s="1"/>
  <c r="H737" i="10" a="1"/>
  <c r="H737" i="10" s="1"/>
  <c r="O737" i="10" a="1"/>
  <c r="O737" i="10" s="1"/>
  <c r="M737" i="10" a="1"/>
  <c r="M737" i="10" s="1"/>
  <c r="G737" i="10" a="1"/>
  <c r="G737" i="10" s="1"/>
  <c r="D11" i="9"/>
  <c r="J2256" i="13" l="1" a="1"/>
  <c r="J2256" i="13" s="1"/>
  <c r="G2256" i="13" a="1"/>
  <c r="G2256" i="13" s="1"/>
  <c r="D2256" i="13" a="1"/>
  <c r="D2256" i="13" s="1"/>
  <c r="L943" i="12"/>
  <c r="L2256" i="13" a="1"/>
  <c r="L2256" i="13" s="1"/>
  <c r="E2256" i="13" a="1"/>
  <c r="E2256" i="13" s="1"/>
  <c r="I940" i="12"/>
  <c r="I2258" i="13" s="1" a="1"/>
  <c r="I2258" i="13" s="1"/>
  <c r="G929" i="12"/>
  <c r="G2222" i="13" a="1"/>
  <c r="G2222" i="13" s="1"/>
  <c r="F938" i="12"/>
  <c r="F939" i="12" s="1"/>
  <c r="M938" i="12"/>
  <c r="M939" i="12" s="1"/>
  <c r="J940" i="12"/>
  <c r="J2258" i="13" s="1" a="1"/>
  <c r="J2258" i="13" s="1"/>
  <c r="N938" i="12"/>
  <c r="N939" i="12" s="1"/>
  <c r="H929" i="12"/>
  <c r="N2222" i="13" a="1"/>
  <c r="N2222" i="13" s="1"/>
  <c r="G940" i="12"/>
  <c r="G2258" i="13" s="1" a="1"/>
  <c r="G2258" i="13" s="1"/>
  <c r="N926" i="12"/>
  <c r="N2224" i="13" s="1" a="1"/>
  <c r="N2224" i="13" s="1"/>
  <c r="I938" i="12"/>
  <c r="I939" i="12" s="1"/>
  <c r="O929" i="12"/>
  <c r="K940" i="12"/>
  <c r="K2258" i="13" s="1" a="1"/>
  <c r="K2258" i="13" s="1"/>
  <c r="K938" i="12"/>
  <c r="K939" i="12" s="1"/>
  <c r="D929" i="12"/>
  <c r="D2222" i="13" a="1"/>
  <c r="D2222" i="13" s="1"/>
  <c r="F929" i="12"/>
  <c r="F2222" i="13" a="1"/>
  <c r="F2222" i="13" s="1"/>
  <c r="O938" i="12"/>
  <c r="O939" i="12" s="1"/>
  <c r="G926" i="12"/>
  <c r="G2224" i="13" s="1" a="1"/>
  <c r="G2224" i="13" s="1"/>
  <c r="D940" i="12"/>
  <c r="D2258" i="13" s="1" a="1"/>
  <c r="D2258" i="13" s="1"/>
  <c r="K929" i="12"/>
  <c r="K2222" i="13" a="1"/>
  <c r="K2222" i="13" s="1"/>
  <c r="L940" i="12"/>
  <c r="L2258" i="13" s="1" a="1"/>
  <c r="L2258" i="13" s="1"/>
  <c r="L929" i="12"/>
  <c r="L2222" i="13" a="1"/>
  <c r="L2222" i="13" s="1"/>
  <c r="I929" i="12"/>
  <c r="M929" i="12"/>
  <c r="M2222" i="13" a="1"/>
  <c r="M2222" i="13" s="1"/>
  <c r="H940" i="12"/>
  <c r="H2258" i="13" s="1" a="1"/>
  <c r="H2258" i="13" s="1"/>
  <c r="H938" i="12"/>
  <c r="H939" i="12" s="1"/>
  <c r="E940" i="12"/>
  <c r="E2258" i="13" s="1" a="1"/>
  <c r="E2258" i="13" s="1"/>
  <c r="E929" i="12"/>
  <c r="O705" i="12"/>
  <c r="G719" i="12"/>
  <c r="G729" i="12"/>
  <c r="G733" i="12" s="1"/>
  <c r="A2181" i="13" a="1"/>
  <c r="A2181" i="13" s="1"/>
  <c r="A902" i="12" a="1"/>
  <c r="A902" i="12" s="1"/>
  <c r="E2121" i="13" a="1"/>
  <c r="E2121" i="13" s="1"/>
  <c r="E882" i="12"/>
  <c r="F845" i="12"/>
  <c r="F2020" i="13" a="1"/>
  <c r="F2020" i="13" s="1"/>
  <c r="E869" i="12"/>
  <c r="E2086" i="13" s="1" a="1"/>
  <c r="E2086" i="13" s="1"/>
  <c r="E870" i="12"/>
  <c r="K1946" i="13" a="1"/>
  <c r="K1946" i="13" s="1"/>
  <c r="K1973" i="13" s="1"/>
  <c r="K810" i="12"/>
  <c r="K815" i="12"/>
  <c r="D2155" i="13" a="1"/>
  <c r="D2155" i="13" s="1"/>
  <c r="D896" i="12"/>
  <c r="I813" i="12"/>
  <c r="I1950" i="13" s="1" a="1"/>
  <c r="I1950" i="13" s="1"/>
  <c r="I814" i="12"/>
  <c r="I803" i="12"/>
  <c r="I1918" i="13" a="1"/>
  <c r="I1918" i="13" s="1"/>
  <c r="E2150" i="13" a="1"/>
  <c r="E2150" i="13" s="1"/>
  <c r="E2177" i="13" s="1"/>
  <c r="E894" i="12"/>
  <c r="E899" i="12"/>
  <c r="H817" i="12"/>
  <c r="H1952" i="13" a="1"/>
  <c r="H1952" i="13" s="1"/>
  <c r="J799" i="12"/>
  <c r="J1916" i="13" s="1" a="1"/>
  <c r="J1916" i="13" s="1"/>
  <c r="J800" i="12"/>
  <c r="G831" i="12"/>
  <c r="G1986" i="13" a="1"/>
  <c r="G1986" i="13" s="1"/>
  <c r="F2087" i="13" a="1"/>
  <c r="F2087" i="13" s="1"/>
  <c r="F868" i="12"/>
  <c r="F855" i="12"/>
  <c r="F2052" i="13" s="1" a="1"/>
  <c r="F2052" i="13" s="1"/>
  <c r="F856" i="12"/>
  <c r="G841" i="12"/>
  <c r="G2018" i="13" s="1" a="1"/>
  <c r="G2018" i="13" s="1"/>
  <c r="G842" i="12"/>
  <c r="F764" i="12" a="1"/>
  <c r="F764" i="12" s="1"/>
  <c r="F1845" i="13" s="1" a="1"/>
  <c r="F1845" i="13" s="1"/>
  <c r="BQ65" i="9" s="1" a="1"/>
  <c r="BQ65" i="9" s="1"/>
  <c r="F862" i="12" a="1"/>
  <c r="F862" i="12" s="1"/>
  <c r="F2083" i="13" s="1" a="1"/>
  <c r="F2083" i="13" s="1"/>
  <c r="BQ72" i="9" s="1" a="1"/>
  <c r="BQ72" i="9" s="1"/>
  <c r="H736" i="12" a="1"/>
  <c r="H736" i="12" s="1"/>
  <c r="H1777" i="13" s="1" a="1"/>
  <c r="H1777" i="13" s="1"/>
  <c r="DC63" i="9" s="1" a="1"/>
  <c r="DC63" i="9" s="1"/>
  <c r="H834" i="12" a="1"/>
  <c r="H834" i="12" s="1"/>
  <c r="H2015" i="13" s="1" a="1"/>
  <c r="H2015" i="13" s="1"/>
  <c r="DC70" i="9" s="1" a="1"/>
  <c r="DC70" i="9" s="1"/>
  <c r="D2086" i="13" a="1"/>
  <c r="D2086" i="13" s="1"/>
  <c r="D873" i="12"/>
  <c r="H827" i="12"/>
  <c r="H828" i="12"/>
  <c r="H1986" i="13" s="1" a="1"/>
  <c r="H1986" i="13" s="1"/>
  <c r="G2082" i="13" a="1"/>
  <c r="G2082" i="13" s="1"/>
  <c r="G2109" i="13" s="1"/>
  <c r="G871" i="12"/>
  <c r="G866" i="12"/>
  <c r="J1980" i="13" a="1"/>
  <c r="J1980" i="13" s="1"/>
  <c r="J2007" i="13" s="1"/>
  <c r="J824" i="12"/>
  <c r="J829" i="12"/>
  <c r="H2048" i="13" a="1"/>
  <c r="H2048" i="13" s="1"/>
  <c r="H2075" i="13" s="1"/>
  <c r="H852" i="12"/>
  <c r="H857" i="12"/>
  <c r="F2116" i="13" a="1"/>
  <c r="F2116" i="13" s="1"/>
  <c r="F2143" i="13" s="1"/>
  <c r="F880" i="12"/>
  <c r="F885" i="12"/>
  <c r="I2014" i="13" a="1"/>
  <c r="I2014" i="13" s="1"/>
  <c r="I2041" i="13" s="1"/>
  <c r="I838" i="12"/>
  <c r="I843" i="12"/>
  <c r="D883" i="12"/>
  <c r="D884" i="12"/>
  <c r="D2122" i="13" s="1" a="1"/>
  <c r="D2122" i="13" s="1"/>
  <c r="K1917" i="13" a="1"/>
  <c r="K1917" i="13" s="1"/>
  <c r="K798" i="12"/>
  <c r="H2019" i="13" a="1"/>
  <c r="H2019" i="13" s="1"/>
  <c r="H840" i="12"/>
  <c r="G750" i="12" a="1"/>
  <c r="G750" i="12" s="1"/>
  <c r="G1811" i="13" s="1" a="1"/>
  <c r="G1811" i="13" s="1"/>
  <c r="CJ64" i="9" s="1" a="1"/>
  <c r="CJ64" i="9" s="1"/>
  <c r="G848" i="12" a="1"/>
  <c r="G848" i="12" s="1"/>
  <c r="G2049" i="13" s="1" a="1"/>
  <c r="G2049" i="13" s="1"/>
  <c r="CJ71" i="9" s="1" a="1"/>
  <c r="CJ71" i="9" s="1"/>
  <c r="E778" i="12" a="1"/>
  <c r="E778" i="12" s="1"/>
  <c r="E1879" i="13" s="1" a="1"/>
  <c r="E1879" i="13" s="1"/>
  <c r="AX66" i="9" s="1" a="1"/>
  <c r="AX66" i="9" s="1"/>
  <c r="E876" i="12" a="1"/>
  <c r="E876" i="12" s="1"/>
  <c r="E2117" i="13" s="1" a="1"/>
  <c r="E2117" i="13" s="1"/>
  <c r="AX73" i="9" s="1" a="1"/>
  <c r="AX73" i="9" s="1"/>
  <c r="L1912" i="13" a="1"/>
  <c r="L1912" i="13" s="1"/>
  <c r="L1939" i="13" s="1"/>
  <c r="L801" i="12"/>
  <c r="L796" i="12"/>
  <c r="G2053" i="13" a="1"/>
  <c r="G2053" i="13" s="1"/>
  <c r="G854" i="12"/>
  <c r="J1951" i="13" a="1"/>
  <c r="J1951" i="13" s="1"/>
  <c r="J812" i="12"/>
  <c r="D2184" i="13" a="1"/>
  <c r="D2184" i="13" s="1"/>
  <c r="D2211" i="13" s="1"/>
  <c r="D913" i="12"/>
  <c r="D908" i="12"/>
  <c r="I1985" i="13" a="1"/>
  <c r="I1985" i="13" s="1"/>
  <c r="I826" i="12"/>
  <c r="E2052" i="13" a="1"/>
  <c r="E2052" i="13" s="1"/>
  <c r="E859" i="12"/>
  <c r="L747" i="12"/>
  <c r="G762" i="12" a="1"/>
  <c r="G762" i="12" s="1"/>
  <c r="BU72" i="9" a="1"/>
  <c r="BU72" i="9" s="1"/>
  <c r="H860" i="12" a="1"/>
  <c r="H860" i="12" s="1"/>
  <c r="D1883" i="13" a="1"/>
  <c r="D1883" i="13" s="1"/>
  <c r="D784" i="12"/>
  <c r="D786" i="12" s="1"/>
  <c r="D1884" i="13" s="1" a="1"/>
  <c r="D1884" i="13" s="1"/>
  <c r="D1814" i="13" a="1"/>
  <c r="D1814" i="13" s="1"/>
  <c r="D761" i="12"/>
  <c r="AC74" i="9"/>
  <c r="AD74" i="9" s="1"/>
  <c r="DG70" i="9" a="1"/>
  <c r="DG70" i="9" s="1"/>
  <c r="J832" i="12" a="1"/>
  <c r="J832" i="12" s="1"/>
  <c r="FF67" i="9"/>
  <c r="FG67" i="9" s="1"/>
  <c r="GP59" i="9" a="1"/>
  <c r="GP59" i="9" s="1"/>
  <c r="GQ59" i="9" s="1"/>
  <c r="GR59" i="9" s="1"/>
  <c r="GS59" i="9" s="1"/>
  <c r="GP66" i="9" a="1"/>
  <c r="GP66" i="9" s="1"/>
  <c r="GQ66" i="9" s="1"/>
  <c r="GR66" i="9" s="1"/>
  <c r="GS66" i="9" s="1"/>
  <c r="D771" i="12"/>
  <c r="FW60" i="9" a="1"/>
  <c r="FW60" i="9" s="1"/>
  <c r="FX60" i="9" s="1"/>
  <c r="FY60" i="9" s="1"/>
  <c r="FZ60" i="9" s="1"/>
  <c r="FW67" i="9" a="1"/>
  <c r="FW67" i="9" s="1"/>
  <c r="FX67" i="9" s="1"/>
  <c r="DA70" i="9"/>
  <c r="DB70" i="9" s="1"/>
  <c r="CN71" i="9" a="1"/>
  <c r="CN71" i="9" s="1"/>
  <c r="I846" i="12" a="1"/>
  <c r="I846" i="12" s="1"/>
  <c r="BB73" i="9" a="1"/>
  <c r="BB73" i="9" s="1"/>
  <c r="G874" i="12" a="1"/>
  <c r="G874" i="12" s="1"/>
  <c r="GE66" i="9" a="1"/>
  <c r="GE66" i="9" s="1"/>
  <c r="DR70" i="9" a="1"/>
  <c r="DR70" i="9" s="1"/>
  <c r="DS70" i="9" s="1"/>
  <c r="EM68" i="9"/>
  <c r="EN68" i="9" s="1"/>
  <c r="DZ69" i="9" a="1"/>
  <c r="DZ69" i="9" s="1"/>
  <c r="J820" i="12" a="1"/>
  <c r="J820" i="12" s="1"/>
  <c r="J1981" i="13" s="1" a="1"/>
  <c r="J1981" i="13" s="1"/>
  <c r="EO69" i="9" s="1" a="1"/>
  <c r="EO69" i="9" s="1"/>
  <c r="K818" i="12" a="1"/>
  <c r="K818" i="12" s="1"/>
  <c r="CH71" i="9"/>
  <c r="CI71" i="9" s="1"/>
  <c r="DT69" i="9"/>
  <c r="DU69" i="9" s="1"/>
  <c r="I789" i="12"/>
  <c r="FD68" i="9" a="1"/>
  <c r="FD68" i="9" s="1"/>
  <c r="FE68" i="9" s="1"/>
  <c r="CY71" i="9" a="1"/>
  <c r="CY71" i="9" s="1"/>
  <c r="CZ71" i="9" s="1"/>
  <c r="G1810" i="13" a="1"/>
  <c r="G1810" i="13" s="1"/>
  <c r="G1837" i="13" s="1"/>
  <c r="G754" i="12"/>
  <c r="G759" i="12"/>
  <c r="BO72" i="9"/>
  <c r="BP72" i="9" s="1"/>
  <c r="P75" i="9" a="1"/>
  <c r="P75" i="9" s="1"/>
  <c r="D904" i="12" a="1"/>
  <c r="D904" i="12" s="1"/>
  <c r="D2185" i="13" s="1" a="1"/>
  <c r="D2185" i="13" s="1"/>
  <c r="AE75" i="9" s="1" a="1"/>
  <c r="AE75" i="9" s="1"/>
  <c r="E902" i="12" a="1"/>
  <c r="E902" i="12" s="1"/>
  <c r="FL67" i="9" a="1"/>
  <c r="FL67" i="9" s="1"/>
  <c r="M790" i="12" a="1"/>
  <c r="M790" i="12" s="1"/>
  <c r="L792" i="12" a="1"/>
  <c r="L792" i="12" s="1"/>
  <c r="L1913" i="13" s="1" a="1"/>
  <c r="L1913" i="13" s="1"/>
  <c r="GA67" i="9" s="1" a="1"/>
  <c r="GA67" i="9" s="1"/>
  <c r="EK69" i="9" a="1"/>
  <c r="EK69" i="9" s="1"/>
  <c r="EL69" i="9" s="1"/>
  <c r="AV73" i="9"/>
  <c r="AW73" i="9" s="1"/>
  <c r="CF72" i="9" a="1"/>
  <c r="CF72" i="9" s="1"/>
  <c r="CG72" i="9" s="1"/>
  <c r="C85" i="28" a="1"/>
  <c r="C85" i="28" s="1"/>
  <c r="B75" i="9" a="1"/>
  <c r="B75" i="9" s="1"/>
  <c r="ES68" i="9" a="1"/>
  <c r="ES68" i="9" s="1"/>
  <c r="L804" i="12" a="1"/>
  <c r="L804" i="12" s="1"/>
  <c r="K806" i="12" a="1"/>
  <c r="K806" i="12" s="1"/>
  <c r="K1947" i="13" s="1" a="1"/>
  <c r="K1947" i="13" s="1"/>
  <c r="FH68" i="9" s="1" a="1"/>
  <c r="FH68" i="9" s="1"/>
  <c r="BM73" i="9" a="1"/>
  <c r="BM73" i="9" s="1"/>
  <c r="BN73" i="9" s="1"/>
  <c r="AI74" i="9" a="1"/>
  <c r="AI74" i="9" s="1"/>
  <c r="F888" i="12" a="1"/>
  <c r="F888" i="12" s="1"/>
  <c r="E890" i="12" a="1"/>
  <c r="E890" i="12" s="1"/>
  <c r="E2151" i="13" s="1" a="1"/>
  <c r="E2151" i="13" s="1"/>
  <c r="AX74" i="9" s="1" a="1"/>
  <c r="AX74" i="9" s="1"/>
  <c r="AT74" i="9" a="1"/>
  <c r="AT74" i="9" s="1"/>
  <c r="AU74" i="9" s="1"/>
  <c r="AA75" i="9" a="1"/>
  <c r="AA75" i="9" s="1"/>
  <c r="AB75" i="9" s="1"/>
  <c r="O736" i="12" a="1"/>
  <c r="O736" i="12" s="1"/>
  <c r="O1777" i="13" s="1" a="1"/>
  <c r="O1777" i="13" s="1"/>
  <c r="IF63" i="9" s="1" a="1"/>
  <c r="IF63" i="9" s="1"/>
  <c r="M733" i="12"/>
  <c r="M743" i="12"/>
  <c r="M747" i="12" s="1"/>
  <c r="GX65" i="9" a="1"/>
  <c r="GX65" i="9" s="1"/>
  <c r="N762" i="12" a="1"/>
  <c r="N762" i="12" s="1"/>
  <c r="J785" i="12"/>
  <c r="O728" i="12"/>
  <c r="O730" i="12" s="1"/>
  <c r="O1748" i="13" s="1" a="1"/>
  <c r="O1748" i="13" s="1"/>
  <c r="O1747" i="13" a="1"/>
  <c r="O1747" i="13" s="1"/>
  <c r="N1810" i="13" a="1"/>
  <c r="N1810" i="13" s="1"/>
  <c r="N1837" i="13" s="1"/>
  <c r="N754" i="12"/>
  <c r="N759" i="12"/>
  <c r="M776" i="12" a="1"/>
  <c r="M776" i="12" s="1"/>
  <c r="M1844" i="13" a="1"/>
  <c r="M1844" i="13" s="1"/>
  <c r="M1871" i="13" s="1"/>
  <c r="M768" i="12"/>
  <c r="M773" i="12"/>
  <c r="M1815" i="13" a="1"/>
  <c r="M1815" i="13" s="1"/>
  <c r="M756" i="12"/>
  <c r="M758" i="12" s="1"/>
  <c r="M1816" i="13" s="1" a="1"/>
  <c r="M1816" i="13" s="1"/>
  <c r="N742" i="12"/>
  <c r="N744" i="12" s="1"/>
  <c r="N1782" i="13" s="1" a="1"/>
  <c r="N1782" i="13" s="1"/>
  <c r="N1781" i="13" a="1"/>
  <c r="N1781" i="13" s="1"/>
  <c r="N729" i="12"/>
  <c r="K771" i="12"/>
  <c r="K1883" i="13" a="1"/>
  <c r="K1883" i="13" s="1"/>
  <c r="K784" i="12"/>
  <c r="K786" i="12" s="1"/>
  <c r="K1884" i="13" s="1" a="1"/>
  <c r="K1884" i="13" s="1"/>
  <c r="N1712" i="13" a="1"/>
  <c r="N1712" i="13" s="1"/>
  <c r="N719" i="12"/>
  <c r="L1878" i="13" a="1"/>
  <c r="L1878" i="13" s="1"/>
  <c r="L1905" i="13" s="1"/>
  <c r="L787" i="12"/>
  <c r="L782" i="12"/>
  <c r="O715" i="12"/>
  <c r="J1848" i="13" a="1"/>
  <c r="J1848" i="13" s="1"/>
  <c r="J775" i="12"/>
  <c r="O745" i="12"/>
  <c r="O1776" i="13" a="1"/>
  <c r="O1776" i="13" s="1"/>
  <c r="O1803" i="13" s="1"/>
  <c r="O740" i="12"/>
  <c r="L757" i="12"/>
  <c r="HQ64" i="9" a="1"/>
  <c r="HQ64" i="9" s="1"/>
  <c r="O748" i="12" a="1"/>
  <c r="O748" i="12" s="1"/>
  <c r="K1814" i="13" a="1"/>
  <c r="K1814" i="13" s="1"/>
  <c r="K761" i="12"/>
  <c r="L1849" i="13" a="1"/>
  <c r="L1849" i="13" s="1"/>
  <c r="L770" i="12"/>
  <c r="L772" i="12" s="1"/>
  <c r="L1850" i="13" s="1" a="1"/>
  <c r="L1850" i="13" s="1"/>
  <c r="GM11" i="9" a="1"/>
  <c r="GM11" i="9" s="1"/>
  <c r="GG11" i="9" a="1"/>
  <c r="GG11" i="9" s="1"/>
  <c r="EH11" i="9" a="1"/>
  <c r="EH11" i="9" s="1"/>
  <c r="EB11" i="9" a="1"/>
  <c r="EB11" i="9" s="1"/>
  <c r="CV11" i="9" a="1"/>
  <c r="CV11" i="9" s="1"/>
  <c r="CP11" i="9" a="1"/>
  <c r="CP11" i="9" s="1"/>
  <c r="BW11" i="9" a="1"/>
  <c r="BW11" i="9" s="1"/>
  <c r="CC11" i="9" a="1"/>
  <c r="CC11" i="9" s="1"/>
  <c r="O12" i="10"/>
  <c r="HR11" i="9" s="1" a="1"/>
  <c r="HR11" i="9" s="1"/>
  <c r="O17" i="10"/>
  <c r="O15" i="10"/>
  <c r="O16" i="10"/>
  <c r="I12" i="10"/>
  <c r="DH11" i="9" s="1" a="1"/>
  <c r="DH11" i="9" s="1"/>
  <c r="I17" i="10"/>
  <c r="I15" i="10"/>
  <c r="I16" i="10"/>
  <c r="H12" i="10"/>
  <c r="CO11" i="9" s="1" a="1"/>
  <c r="CO11" i="9" s="1"/>
  <c r="H17" i="10"/>
  <c r="H15" i="10"/>
  <c r="H16" i="10"/>
  <c r="E12" i="10"/>
  <c r="AJ11" i="9" s="1" a="1"/>
  <c r="AJ11" i="9" s="1"/>
  <c r="E15" i="10"/>
  <c r="E16" i="13" s="1" a="1"/>
  <c r="E16" i="13" s="1"/>
  <c r="E21" i="13" s="1" a="1"/>
  <c r="E21" i="13" s="1"/>
  <c r="E22" i="13" s="1"/>
  <c r="E16" i="10"/>
  <c r="E17" i="13" s="1" a="1"/>
  <c r="E17" i="13" s="1"/>
  <c r="E24" i="13" s="1" a="1"/>
  <c r="E24" i="13" s="1"/>
  <c r="E25" i="13" s="1"/>
  <c r="E17" i="10"/>
  <c r="L12" i="10"/>
  <c r="FM11" i="9" s="1" a="1"/>
  <c r="FM11" i="9" s="1"/>
  <c r="L16" i="10"/>
  <c r="L17" i="13" s="1" a="1"/>
  <c r="L17" i="13" s="1"/>
  <c r="L26" i="13" s="1" a="1"/>
  <c r="L26" i="13" s="1"/>
  <c r="L27" i="13" s="1"/>
  <c r="L17" i="10"/>
  <c r="L15" i="10"/>
  <c r="L16" i="13" s="1" a="1"/>
  <c r="L16" i="13" s="1"/>
  <c r="L19" i="13" s="1" a="1"/>
  <c r="L19" i="13" s="1"/>
  <c r="L20" i="13" s="1"/>
  <c r="M12" i="10"/>
  <c r="GF11" i="9" s="1" a="1"/>
  <c r="GF11" i="9" s="1"/>
  <c r="M15" i="10"/>
  <c r="M16" i="13" s="1" a="1"/>
  <c r="M16" i="13" s="1"/>
  <c r="M21" i="13" s="1" a="1"/>
  <c r="M21" i="13" s="1"/>
  <c r="M22" i="13" s="1"/>
  <c r="M16" i="10"/>
  <c r="M17" i="13" s="1" a="1"/>
  <c r="M17" i="13" s="1"/>
  <c r="M24" i="13" s="1" a="1"/>
  <c r="M24" i="13" s="1"/>
  <c r="M25" i="13" s="1"/>
  <c r="M17" i="10"/>
  <c r="J12" i="10"/>
  <c r="EA11" i="9" s="1" a="1"/>
  <c r="EA11" i="9" s="1"/>
  <c r="J16" i="10"/>
  <c r="J17" i="13" s="1" a="1"/>
  <c r="J17" i="13" s="1"/>
  <c r="J17" i="10"/>
  <c r="J15" i="10"/>
  <c r="J16" i="13" s="1" a="1"/>
  <c r="J16" i="13" s="1"/>
  <c r="J19" i="13" s="1" a="1"/>
  <c r="J19" i="13" s="1"/>
  <c r="J20" i="13" s="1"/>
  <c r="G12" i="10"/>
  <c r="BV11" i="9" s="1" a="1"/>
  <c r="BV11" i="9" s="1"/>
  <c r="G17" i="10"/>
  <c r="G15" i="10"/>
  <c r="G16" i="13" s="1" a="1"/>
  <c r="G16" i="13" s="1"/>
  <c r="G16" i="10"/>
  <c r="G17" i="13" s="1" a="1"/>
  <c r="G17" i="13" s="1"/>
  <c r="K12" i="10"/>
  <c r="ET11" i="9" s="1" a="1"/>
  <c r="ET11" i="9" s="1"/>
  <c r="K16" i="10"/>
  <c r="K17" i="10"/>
  <c r="K15" i="10"/>
  <c r="F12" i="10"/>
  <c r="BC11" i="9" s="1" a="1"/>
  <c r="BC11" i="9" s="1"/>
  <c r="F15" i="10"/>
  <c r="F16" i="10"/>
  <c r="F17" i="10"/>
  <c r="N12" i="10"/>
  <c r="GY11" i="9" s="1" a="1"/>
  <c r="GY11" i="9" s="1"/>
  <c r="N15" i="10"/>
  <c r="N16" i="13" s="1" a="1"/>
  <c r="N16" i="13" s="1"/>
  <c r="N19" i="13" s="1" a="1"/>
  <c r="N19" i="13" s="1"/>
  <c r="N20" i="13" s="1"/>
  <c r="N16" i="10"/>
  <c r="N17" i="13" s="1" a="1"/>
  <c r="N17" i="13" s="1"/>
  <c r="N24" i="13" s="1" a="1"/>
  <c r="N24" i="13" s="1"/>
  <c r="N25" i="13" s="1"/>
  <c r="N17" i="10"/>
  <c r="D16" i="10"/>
  <c r="D17" i="13" s="1" a="1"/>
  <c r="D17" i="13" s="1"/>
  <c r="D17" i="10"/>
  <c r="D12" i="10"/>
  <c r="D15" i="10"/>
  <c r="D16" i="13" s="1" a="1"/>
  <c r="D16" i="13" s="1"/>
  <c r="D19" i="13" s="1" a="1"/>
  <c r="D19" i="13" s="1"/>
  <c r="D20" i="13" s="1"/>
  <c r="N18" i="10"/>
  <c r="L18" i="10"/>
  <c r="D18" i="10"/>
  <c r="X11" i="9" s="1" a="1"/>
  <c r="X11" i="9" s="1"/>
  <c r="D18" i="22"/>
  <c r="H18" i="13" a="1"/>
  <c r="H18" i="13" s="1"/>
  <c r="H31" i="13" s="1" a="1"/>
  <c r="H31" i="13" s="1"/>
  <c r="H32" i="13" s="1"/>
  <c r="J18" i="13" a="1"/>
  <c r="J18" i="13" s="1"/>
  <c r="J29" i="13" s="1" a="1"/>
  <c r="J29" i="13" s="1"/>
  <c r="J30" i="13" s="1"/>
  <c r="G18" i="13" a="1"/>
  <c r="G18" i="13" s="1"/>
  <c r="G29" i="13" s="1" a="1"/>
  <c r="G29" i="13" s="1"/>
  <c r="G30" i="13" s="1"/>
  <c r="M18" i="13" a="1"/>
  <c r="M18" i="13" s="1"/>
  <c r="M31" i="13" s="1" a="1"/>
  <c r="M31" i="13" s="1"/>
  <c r="M32" i="13" s="1"/>
  <c r="F18" i="10"/>
  <c r="I18" i="10"/>
  <c r="E18" i="10"/>
  <c r="K18" i="10"/>
  <c r="O18" i="10"/>
  <c r="N929" i="12" l="1"/>
  <c r="N2256" i="13" a="1"/>
  <c r="N2256" i="13" s="1"/>
  <c r="N940" i="12"/>
  <c r="N2258" i="13" s="1" a="1"/>
  <c r="N2258" i="13" s="1"/>
  <c r="E943" i="12"/>
  <c r="K943" i="12"/>
  <c r="K2256" i="13" a="1"/>
  <c r="K2256" i="13" s="1"/>
  <c r="M943" i="12"/>
  <c r="M2256" i="13" a="1"/>
  <c r="M2256" i="13" s="1"/>
  <c r="I943" i="12"/>
  <c r="I2256" i="13" a="1"/>
  <c r="I2256" i="13" s="1"/>
  <c r="M940" i="12"/>
  <c r="M2258" i="13" s="1" a="1"/>
  <c r="M2258" i="13" s="1"/>
  <c r="D943" i="12"/>
  <c r="F2256" i="13" a="1"/>
  <c r="F2256" i="13" s="1"/>
  <c r="H943" i="12"/>
  <c r="H2256" i="13" a="1"/>
  <c r="H2256" i="13" s="1"/>
  <c r="F940" i="12"/>
  <c r="F2258" i="13" s="1" a="1"/>
  <c r="F2258" i="13" s="1"/>
  <c r="G943" i="12"/>
  <c r="O2256" i="13" a="1"/>
  <c r="O2256" i="13" s="1"/>
  <c r="O940" i="12"/>
  <c r="O2258" i="13" s="1" a="1"/>
  <c r="O2258" i="13" s="1"/>
  <c r="J943" i="12"/>
  <c r="G1746" i="13" a="1"/>
  <c r="G1746" i="13" s="1"/>
  <c r="M1912" i="13" a="1"/>
  <c r="M1912" i="13" s="1"/>
  <c r="M1939" i="13" s="1"/>
  <c r="M801" i="12"/>
  <c r="M796" i="12"/>
  <c r="K1980" i="13" a="1"/>
  <c r="K1980" i="13" s="1"/>
  <c r="K2007" i="13" s="1"/>
  <c r="K824" i="12"/>
  <c r="K829" i="12"/>
  <c r="H1984" i="13" a="1"/>
  <c r="H1984" i="13" s="1"/>
  <c r="H831" i="12"/>
  <c r="I817" i="12"/>
  <c r="I1952" i="13" a="1"/>
  <c r="I1952" i="13" s="1"/>
  <c r="F2150" i="13" a="1"/>
  <c r="F2150" i="13" s="1"/>
  <c r="F2177" i="13" s="1"/>
  <c r="F899" i="12"/>
  <c r="F894" i="12"/>
  <c r="G2116" i="13" a="1"/>
  <c r="G2116" i="13" s="1"/>
  <c r="G2143" i="13" s="1"/>
  <c r="G880" i="12"/>
  <c r="G885" i="12"/>
  <c r="G855" i="12"/>
  <c r="G856" i="12"/>
  <c r="G2054" i="13" s="1" a="1"/>
  <c r="G2054" i="13" s="1"/>
  <c r="I2019" i="13" a="1"/>
  <c r="I2019" i="13" s="1"/>
  <c r="I840" i="12"/>
  <c r="F859" i="12"/>
  <c r="F2054" i="13" a="1"/>
  <c r="F2054" i="13" s="1"/>
  <c r="E2184" i="13" a="1"/>
  <c r="E2184" i="13" s="1"/>
  <c r="E2211" i="13" s="1"/>
  <c r="E913" i="12"/>
  <c r="E908" i="12"/>
  <c r="F778" i="12" a="1"/>
  <c r="F778" i="12" s="1"/>
  <c r="F1879" i="13" s="1" a="1"/>
  <c r="F1879" i="13" s="1"/>
  <c r="BQ66" i="9" s="1" a="1"/>
  <c r="BQ66" i="9" s="1"/>
  <c r="F876" i="12" a="1"/>
  <c r="F876" i="12" s="1"/>
  <c r="F2117" i="13" s="1" a="1"/>
  <c r="F2117" i="13" s="1"/>
  <c r="BQ73" i="9" s="1" a="1"/>
  <c r="BQ73" i="9" s="1"/>
  <c r="J2014" i="13" a="1"/>
  <c r="J2014" i="13" s="1"/>
  <c r="J2041" i="13" s="1"/>
  <c r="J838" i="12"/>
  <c r="J843" i="12"/>
  <c r="D785" i="12"/>
  <c r="D1882" i="13" s="1" a="1"/>
  <c r="D1882" i="13" s="1"/>
  <c r="I827" i="12"/>
  <c r="I1984" i="13" s="1" a="1"/>
  <c r="I1984" i="13" s="1"/>
  <c r="I828" i="12"/>
  <c r="H841" i="12"/>
  <c r="H842" i="12"/>
  <c r="H2020" i="13" s="1" a="1"/>
  <c r="H2020" i="13" s="1"/>
  <c r="J1985" i="13" a="1"/>
  <c r="J1985" i="13" s="1"/>
  <c r="J826" i="12"/>
  <c r="D897" i="12"/>
  <c r="D898" i="12"/>
  <c r="D2156" i="13" s="1" a="1"/>
  <c r="D2156" i="13" s="1"/>
  <c r="I736" i="12" a="1"/>
  <c r="I736" i="12" s="1"/>
  <c r="I1777" i="13" s="1" a="1"/>
  <c r="I1777" i="13" s="1"/>
  <c r="DV63" i="9" s="1" a="1"/>
  <c r="DV63" i="9" s="1"/>
  <c r="I834" i="12" a="1"/>
  <c r="I834" i="12" s="1"/>
  <c r="I2015" i="13" s="1" a="1"/>
  <c r="I2015" i="13" s="1"/>
  <c r="DV70" i="9" s="1" a="1"/>
  <c r="DV70" i="9" s="1"/>
  <c r="L1917" i="13" a="1"/>
  <c r="L1917" i="13" s="1"/>
  <c r="L798" i="12"/>
  <c r="F869" i="12"/>
  <c r="F870" i="12"/>
  <c r="F2088" i="13" s="1" a="1"/>
  <c r="F2088" i="13" s="1"/>
  <c r="E883" i="12"/>
  <c r="E2120" i="13" s="1" a="1"/>
  <c r="E2120" i="13" s="1"/>
  <c r="E884" i="12"/>
  <c r="H750" i="12" a="1"/>
  <c r="H750" i="12" s="1"/>
  <c r="H1811" i="13" s="1" a="1"/>
  <c r="H1811" i="13" s="1"/>
  <c r="DC64" i="9" s="1" a="1"/>
  <c r="DC64" i="9" s="1"/>
  <c r="H848" i="12" a="1"/>
  <c r="H848" i="12" s="1"/>
  <c r="H2049" i="13" s="1" a="1"/>
  <c r="H2049" i="13" s="1"/>
  <c r="DC71" i="9" s="1" a="1"/>
  <c r="DC71" i="9" s="1"/>
  <c r="D2189" i="13" a="1"/>
  <c r="D2189" i="13" s="1"/>
  <c r="D910" i="12"/>
  <c r="D912" i="12" s="1"/>
  <c r="D2190" i="13" s="1" a="1"/>
  <c r="D2190" i="13" s="1"/>
  <c r="K799" i="12"/>
  <c r="K1916" i="13" s="1" a="1"/>
  <c r="K1916" i="13" s="1"/>
  <c r="K800" i="12"/>
  <c r="F2121" i="13" a="1"/>
  <c r="F2121" i="13" s="1"/>
  <c r="F882" i="12"/>
  <c r="G2087" i="13" a="1"/>
  <c r="G2087" i="13" s="1"/>
  <c r="G868" i="12"/>
  <c r="E2155" i="13" a="1"/>
  <c r="E2155" i="13" s="1"/>
  <c r="E896" i="12"/>
  <c r="I2048" i="13" a="1"/>
  <c r="I2048" i="13" s="1"/>
  <c r="I2075" i="13" s="1"/>
  <c r="I852" i="12"/>
  <c r="I857" i="12"/>
  <c r="G764" i="12" a="1"/>
  <c r="G764" i="12" s="1"/>
  <c r="G1845" i="13" s="1" a="1"/>
  <c r="G1845" i="13" s="1"/>
  <c r="CJ65" i="9" s="1" a="1"/>
  <c r="CJ65" i="9" s="1"/>
  <c r="G862" i="12" a="1"/>
  <c r="G862" i="12" s="1"/>
  <c r="G2083" i="13" s="1" a="1"/>
  <c r="G2083" i="13" s="1"/>
  <c r="CJ72" i="9" s="1" a="1"/>
  <c r="CJ72" i="9" s="1"/>
  <c r="K1951" i="13" a="1"/>
  <c r="K1951" i="13" s="1"/>
  <c r="K812" i="12"/>
  <c r="L1946" i="13" a="1"/>
  <c r="L1946" i="13" s="1"/>
  <c r="L1973" i="13" s="1"/>
  <c r="L810" i="12"/>
  <c r="L815" i="12"/>
  <c r="H2082" i="13" a="1"/>
  <c r="H2082" i="13" s="1"/>
  <c r="H2109" i="13" s="1"/>
  <c r="H866" i="12"/>
  <c r="H871" i="12"/>
  <c r="J813" i="12"/>
  <c r="J814" i="12"/>
  <c r="J1952" i="13" s="1" a="1"/>
  <c r="J1952" i="13" s="1"/>
  <c r="D2120" i="13" a="1"/>
  <c r="D2120" i="13" s="1"/>
  <c r="D887" i="12"/>
  <c r="H2053" i="13" a="1"/>
  <c r="H2053" i="13" s="1"/>
  <c r="H854" i="12"/>
  <c r="G845" i="12"/>
  <c r="G2020" i="13" a="1"/>
  <c r="G2020" i="13" s="1"/>
  <c r="J803" i="12"/>
  <c r="J1918" i="13" a="1"/>
  <c r="J1918" i="13" s="1"/>
  <c r="E873" i="12"/>
  <c r="E2088" i="13" a="1"/>
  <c r="E2088" i="13" s="1"/>
  <c r="FL68" i="9" a="1"/>
  <c r="FL68" i="9" s="1"/>
  <c r="L806" i="12" a="1"/>
  <c r="L806" i="12" s="1"/>
  <c r="L1947" i="13" s="1" a="1"/>
  <c r="L1947" i="13" s="1"/>
  <c r="GA68" i="9" s="1" a="1"/>
  <c r="GA68" i="9" s="1"/>
  <c r="M804" i="12" a="1"/>
  <c r="M804" i="12" s="1"/>
  <c r="CY72" i="9" a="1"/>
  <c r="CY72" i="9" s="1"/>
  <c r="CZ72" i="9" s="1"/>
  <c r="EM69" i="9"/>
  <c r="EN69" i="9" s="1"/>
  <c r="ES69" i="9" a="1"/>
  <c r="ES69" i="9" s="1"/>
  <c r="L818" i="12" a="1"/>
  <c r="L818" i="12" s="1"/>
  <c r="K820" i="12" a="1"/>
  <c r="K820" i="12" s="1"/>
  <c r="K1981" i="13" s="1" a="1"/>
  <c r="K1981" i="13" s="1"/>
  <c r="FH69" i="9" s="1" a="1"/>
  <c r="FH69" i="9" s="1"/>
  <c r="EK70" i="9" a="1"/>
  <c r="EK70" i="9" s="1"/>
  <c r="EL70" i="9" s="1"/>
  <c r="FY67" i="9"/>
  <c r="FZ67" i="9" s="1"/>
  <c r="BB74" i="9" a="1"/>
  <c r="BB74" i="9" s="1"/>
  <c r="G888" i="12" a="1"/>
  <c r="G888" i="12" s="1"/>
  <c r="F890" i="12" a="1"/>
  <c r="F890" i="12" s="1"/>
  <c r="F2151" i="13" s="1" a="1"/>
  <c r="F2151" i="13" s="1"/>
  <c r="BQ74" i="9" s="1" a="1"/>
  <c r="BQ74" i="9" s="1"/>
  <c r="FD69" i="9" a="1"/>
  <c r="FD69" i="9" s="1"/>
  <c r="FE69" i="9" s="1"/>
  <c r="DZ70" i="9" a="1"/>
  <c r="DZ70" i="9" s="1"/>
  <c r="K832" i="12" a="1"/>
  <c r="K832" i="12" s="1"/>
  <c r="FF68" i="9"/>
  <c r="FG68" i="9" s="1"/>
  <c r="GX66" i="9" a="1"/>
  <c r="GX66" i="9" s="1"/>
  <c r="D1848" i="13" a="1"/>
  <c r="D1848" i="13" s="1"/>
  <c r="D775" i="12"/>
  <c r="AT75" i="9" a="1"/>
  <c r="AT75" i="9" s="1"/>
  <c r="AU75" i="9" s="1"/>
  <c r="BO73" i="9"/>
  <c r="BP73" i="9" s="1"/>
  <c r="GE67" i="9" a="1"/>
  <c r="GE67" i="9" s="1"/>
  <c r="N790" i="12" a="1"/>
  <c r="N790" i="12" s="1"/>
  <c r="M792" i="12" a="1"/>
  <c r="M792" i="12" s="1"/>
  <c r="M1913" i="13" s="1" a="1"/>
  <c r="M1913" i="13" s="1"/>
  <c r="GT67" i="9" s="1" a="1"/>
  <c r="GT67" i="9" s="1"/>
  <c r="G1815" i="13" a="1"/>
  <c r="G1815" i="13" s="1"/>
  <c r="G756" i="12"/>
  <c r="G758" i="12" s="1"/>
  <c r="G1816" i="13" s="1" a="1"/>
  <c r="G1816" i="13" s="1"/>
  <c r="FW61" i="9" a="1"/>
  <c r="FW61" i="9" s="1"/>
  <c r="FX61" i="9" s="1"/>
  <c r="FY61" i="9" s="1"/>
  <c r="FZ61" i="9" s="1"/>
  <c r="FW68" i="9" a="1"/>
  <c r="FW68" i="9" s="1"/>
  <c r="FX68" i="9" s="1"/>
  <c r="DG71" i="9" a="1"/>
  <c r="DG71" i="9" s="1"/>
  <c r="J846" i="12" a="1"/>
  <c r="J846" i="12" s="1"/>
  <c r="HI59" i="9" a="1"/>
  <c r="HI59" i="9" s="1"/>
  <c r="HJ59" i="9" s="1"/>
  <c r="HK59" i="9" s="1"/>
  <c r="HL59" i="9" s="1"/>
  <c r="HI66" i="9" a="1"/>
  <c r="HI66" i="9" s="1"/>
  <c r="HJ66" i="9" s="1"/>
  <c r="HK66" i="9" s="1"/>
  <c r="HL66" i="9" s="1"/>
  <c r="AC75" i="9"/>
  <c r="AD75" i="9" s="1"/>
  <c r="CF73" i="9" a="1"/>
  <c r="CF73" i="9" s="1"/>
  <c r="CG73" i="9" s="1"/>
  <c r="CN72" i="9" a="1"/>
  <c r="CN72" i="9" s="1"/>
  <c r="I860" i="12" a="1"/>
  <c r="I860" i="12" s="1"/>
  <c r="AV74" i="9"/>
  <c r="AW74" i="9" s="1"/>
  <c r="AI75" i="9" a="1"/>
  <c r="AI75" i="9" s="1"/>
  <c r="F902" i="12" a="1"/>
  <c r="F902" i="12" s="1"/>
  <c r="E904" i="12" a="1"/>
  <c r="E904" i="12" s="1"/>
  <c r="E2185" i="13" s="1" a="1"/>
  <c r="E2185" i="13" s="1"/>
  <c r="AX75" i="9" s="1" a="1"/>
  <c r="AX75" i="9" s="1"/>
  <c r="BM74" i="9" a="1"/>
  <c r="BM74" i="9" s="1"/>
  <c r="BN74" i="9" s="1"/>
  <c r="DA71" i="9"/>
  <c r="DB71" i="9" s="1"/>
  <c r="BU73" i="9" a="1"/>
  <c r="BU73" i="9" s="1"/>
  <c r="H874" i="12" a="1"/>
  <c r="H874" i="12" s="1"/>
  <c r="G1844" i="13" a="1"/>
  <c r="G1844" i="13" s="1"/>
  <c r="G1871" i="13" s="1"/>
  <c r="G768" i="12"/>
  <c r="G773" i="12"/>
  <c r="CH72" i="9"/>
  <c r="CI72" i="9" s="1"/>
  <c r="DR71" i="9" a="1"/>
  <c r="DR71" i="9" s="1"/>
  <c r="DS71" i="9" s="1"/>
  <c r="DT70" i="9"/>
  <c r="DU70" i="9" s="1"/>
  <c r="GP60" i="9" a="1"/>
  <c r="GP60" i="9" s="1"/>
  <c r="GQ60" i="9" s="1"/>
  <c r="GR60" i="9" s="1"/>
  <c r="GS60" i="9" s="1"/>
  <c r="GP67" i="9" a="1"/>
  <c r="GP67" i="9" s="1"/>
  <c r="GQ67" i="9" s="1"/>
  <c r="M1780" i="13" a="1"/>
  <c r="M1780" i="13" s="1"/>
  <c r="N743" i="12"/>
  <c r="N1780" i="13" s="1" a="1"/>
  <c r="N1780" i="13" s="1"/>
  <c r="O729" i="12"/>
  <c r="O1746" i="13" s="1" a="1"/>
  <c r="O1746" i="13" s="1"/>
  <c r="M757" i="12"/>
  <c r="M1814" i="13" s="1" a="1"/>
  <c r="M1814" i="13" s="1"/>
  <c r="L1883" i="13" a="1"/>
  <c r="L1883" i="13" s="1"/>
  <c r="L784" i="12"/>
  <c r="L786" i="12" s="1"/>
  <c r="L1884" i="13" s="1" a="1"/>
  <c r="L1884" i="13" s="1"/>
  <c r="N756" i="12"/>
  <c r="N758" i="12" s="1"/>
  <c r="N1816" i="13" s="1" a="1"/>
  <c r="N1816" i="13" s="1"/>
  <c r="N1815" i="13" a="1"/>
  <c r="N1815" i="13" s="1"/>
  <c r="L771" i="12"/>
  <c r="L761" i="12"/>
  <c r="L1814" i="13" a="1"/>
  <c r="L1814" i="13" s="1"/>
  <c r="N776" i="12" a="1"/>
  <c r="N776" i="12" s="1"/>
  <c r="O1781" i="13" a="1"/>
  <c r="O1781" i="13" s="1"/>
  <c r="O742" i="12"/>
  <c r="O744" i="12" s="1"/>
  <c r="O1782" i="13" s="1" a="1"/>
  <c r="O1782" i="13" s="1"/>
  <c r="K1848" i="13" a="1"/>
  <c r="K1848" i="13" s="1"/>
  <c r="K775" i="12"/>
  <c r="N1746" i="13" a="1"/>
  <c r="N1746" i="13" s="1"/>
  <c r="N733" i="12"/>
  <c r="M770" i="12"/>
  <c r="M772" i="12" s="1"/>
  <c r="M1850" i="13" s="1" a="1"/>
  <c r="M1850" i="13" s="1"/>
  <c r="M1849" i="13" a="1"/>
  <c r="M1849" i="13" s="1"/>
  <c r="J1882" i="13" a="1"/>
  <c r="J1882" i="13" s="1"/>
  <c r="J789" i="12"/>
  <c r="HQ65" i="9" a="1"/>
  <c r="HQ65" i="9" s="1"/>
  <c r="O762" i="12" a="1"/>
  <c r="O762" i="12" s="1"/>
  <c r="O1810" i="13" a="1"/>
  <c r="O1810" i="13" s="1"/>
  <c r="O1837" i="13" s="1"/>
  <c r="O754" i="12"/>
  <c r="O759" i="12"/>
  <c r="M787" i="12"/>
  <c r="M1878" i="13" a="1"/>
  <c r="M1878" i="13" s="1"/>
  <c r="M1905" i="13" s="1"/>
  <c r="M782" i="12"/>
  <c r="N768" i="12"/>
  <c r="N773" i="12"/>
  <c r="N1844" i="13" a="1"/>
  <c r="N1844" i="13" s="1"/>
  <c r="N1871" i="13" s="1"/>
  <c r="O1712" i="13" a="1"/>
  <c r="O1712" i="13" s="1"/>
  <c r="O719" i="12"/>
  <c r="K785" i="12"/>
  <c r="HY11" i="9" a="1"/>
  <c r="HY11" i="9" s="1"/>
  <c r="HS11" i="9" a="1"/>
  <c r="HS11" i="9" s="1"/>
  <c r="P23" i="27" s="1" a="1"/>
  <c r="P23" i="27" s="1"/>
  <c r="N18" i="13" a="1"/>
  <c r="N18" i="13" s="1"/>
  <c r="N29" i="13" s="1" a="1"/>
  <c r="N29" i="13" s="1"/>
  <c r="N30" i="13" s="1"/>
  <c r="HF11" i="9" a="1"/>
  <c r="HF11" i="9" s="1"/>
  <c r="GZ11" i="9" a="1"/>
  <c r="GZ11" i="9" s="1"/>
  <c r="O23" i="27" s="1" a="1"/>
  <c r="O23" i="27" s="1"/>
  <c r="L18" i="13" a="1"/>
  <c r="L18" i="13" s="1"/>
  <c r="L29" i="13" s="1" a="1"/>
  <c r="L29" i="13" s="1"/>
  <c r="L30" i="13" s="1"/>
  <c r="FT11" i="9" a="1"/>
  <c r="FT11" i="9" s="1"/>
  <c r="FN11" i="9" a="1"/>
  <c r="FN11" i="9" s="1"/>
  <c r="M23" i="27" s="1" a="1"/>
  <c r="M23" i="27" s="1"/>
  <c r="FA11" i="9" a="1"/>
  <c r="FA11" i="9" s="1"/>
  <c r="EU11" i="9" a="1"/>
  <c r="EU11" i="9" s="1"/>
  <c r="L23" i="27" s="1" a="1"/>
  <c r="L23" i="27" s="1"/>
  <c r="DI11" i="9" a="1"/>
  <c r="DI11" i="9" s="1"/>
  <c r="J23" i="27" s="1" a="1"/>
  <c r="J23" i="27" s="1"/>
  <c r="DO11" i="9" a="1"/>
  <c r="DO11" i="9" s="1"/>
  <c r="BD11" i="9" a="1"/>
  <c r="BD11" i="9" s="1"/>
  <c r="G23" i="27" s="1" a="1"/>
  <c r="G23" i="27" s="1"/>
  <c r="BJ11" i="9" a="1"/>
  <c r="BJ11" i="9" s="1"/>
  <c r="AK11" i="9" a="1"/>
  <c r="AK11" i="9" s="1"/>
  <c r="F23" i="27" s="1" a="1"/>
  <c r="F23" i="27" s="1"/>
  <c r="AQ11" i="9" a="1"/>
  <c r="AQ11" i="9" s="1"/>
  <c r="R11" i="9" a="1"/>
  <c r="R11" i="9" s="1"/>
  <c r="E23" i="27" s="1" a="1"/>
  <c r="E23" i="27" s="1"/>
  <c r="Q11" i="9" a="1"/>
  <c r="Q11" i="9" s="1"/>
  <c r="D20" i="22"/>
  <c r="D21" i="22" s="1"/>
  <c r="N11" i="23" s="1" a="1"/>
  <c r="N11" i="23" s="1"/>
  <c r="M26" i="13" a="1"/>
  <c r="M26" i="13" s="1"/>
  <c r="M27" i="13" s="1"/>
  <c r="M28" i="13" s="1"/>
  <c r="M19" i="13" a="1"/>
  <c r="M19" i="13" s="1"/>
  <c r="M20" i="13" s="1"/>
  <c r="M23" i="13" s="1"/>
  <c r="G31" i="13" a="1"/>
  <c r="G31" i="13" s="1"/>
  <c r="G32" i="13" s="1"/>
  <c r="G33" i="13" s="1"/>
  <c r="BY11" i="9" s="1" a="1"/>
  <c r="BY11" i="9" s="1"/>
  <c r="G21" i="13" a="1"/>
  <c r="G21" i="13" s="1"/>
  <c r="G22" i="13" s="1"/>
  <c r="G19" i="13" a="1"/>
  <c r="G19" i="13" s="1"/>
  <c r="G20" i="13" s="1"/>
  <c r="J26" i="13" a="1"/>
  <c r="J26" i="13" s="1"/>
  <c r="J27" i="13" s="1"/>
  <c r="J24" i="13" a="1"/>
  <c r="J24" i="13" s="1"/>
  <c r="J25" i="13" s="1"/>
  <c r="G24" i="13" a="1"/>
  <c r="G24" i="13" s="1"/>
  <c r="G25" i="13" s="1"/>
  <c r="G26" i="13" a="1"/>
  <c r="G26" i="13" s="1"/>
  <c r="G27" i="13" s="1"/>
  <c r="H23" i="27" a="1"/>
  <c r="H23" i="27" s="1"/>
  <c r="N23" i="27" a="1"/>
  <c r="N23" i="27" s="1"/>
  <c r="K23" i="27" a="1"/>
  <c r="K23" i="27" s="1"/>
  <c r="D18" i="13" a="1"/>
  <c r="D18" i="13" s="1"/>
  <c r="D31" i="13" s="1" a="1"/>
  <c r="D31" i="13" s="1"/>
  <c r="D32" i="13" s="1"/>
  <c r="I23" i="27" a="1"/>
  <c r="I23" i="27" s="1"/>
  <c r="N21" i="13" a="1"/>
  <c r="N21" i="13" s="1"/>
  <c r="N22" i="13" s="1"/>
  <c r="N23" i="13" s="1"/>
  <c r="M29" i="13" a="1"/>
  <c r="M29" i="13" s="1"/>
  <c r="M30" i="13" s="1"/>
  <c r="M33" i="13" s="1"/>
  <c r="GI11" i="9" s="1" a="1"/>
  <c r="GI11" i="9" s="1"/>
  <c r="L24" i="13" a="1"/>
  <c r="L24" i="13" s="1"/>
  <c r="L25" i="13" s="1"/>
  <c r="L28" i="13" s="1"/>
  <c r="N26" i="13" a="1"/>
  <c r="N26" i="13" s="1"/>
  <c r="N27" i="13" s="1"/>
  <c r="N28" i="13" s="1"/>
  <c r="E19" i="13" a="1"/>
  <c r="E19" i="13" s="1"/>
  <c r="E20" i="13" s="1"/>
  <c r="E23" i="13" s="1"/>
  <c r="E26" i="13" a="1"/>
  <c r="E26" i="13" s="1"/>
  <c r="E27" i="13" s="1"/>
  <c r="E28" i="13" s="1"/>
  <c r="D24" i="13" a="1"/>
  <c r="D24" i="13" s="1"/>
  <c r="D25" i="13" s="1"/>
  <c r="D26" i="13" a="1"/>
  <c r="D26" i="13" s="1"/>
  <c r="D27" i="13" s="1"/>
  <c r="L21" i="13" a="1"/>
  <c r="L21" i="13" s="1"/>
  <c r="L22" i="13" s="1"/>
  <c r="L23" i="13" s="1"/>
  <c r="D21" i="13" a="1"/>
  <c r="D21" i="13" s="1"/>
  <c r="D22" i="13" s="1"/>
  <c r="D23" i="13" s="1"/>
  <c r="J21" i="13" a="1"/>
  <c r="J21" i="13" s="1"/>
  <c r="J22" i="13" s="1"/>
  <c r="J23" i="13" s="1"/>
  <c r="H29" i="13" a="1"/>
  <c r="H29" i="13" s="1"/>
  <c r="H30" i="13" s="1"/>
  <c r="H33" i="13" s="1"/>
  <c r="CR11" i="9" s="1" a="1"/>
  <c r="CR11" i="9" s="1"/>
  <c r="J31" i="13" a="1"/>
  <c r="J31" i="13" s="1"/>
  <c r="J32" i="13" s="1"/>
  <c r="J33" i="13" s="1"/>
  <c r="ED11" i="9" s="1" a="1"/>
  <c r="ED11" i="9" s="1"/>
  <c r="K18" i="13" a="1"/>
  <c r="K18" i="13" s="1"/>
  <c r="K16" i="13" a="1"/>
  <c r="K16" i="13" s="1"/>
  <c r="O16" i="13" a="1"/>
  <c r="O16" i="13" s="1"/>
  <c r="K17" i="13" a="1"/>
  <c r="K17" i="13" s="1"/>
  <c r="E18" i="13" a="1"/>
  <c r="E18" i="13" s="1"/>
  <c r="H16" i="13" a="1"/>
  <c r="H16" i="13" s="1"/>
  <c r="I18" i="13" a="1"/>
  <c r="I18" i="13" s="1"/>
  <c r="I31" i="13" s="1" a="1"/>
  <c r="I31" i="13" s="1"/>
  <c r="I32" i="13" s="1"/>
  <c r="H17" i="13" a="1"/>
  <c r="H17" i="13" s="1"/>
  <c r="I16" i="13" a="1"/>
  <c r="I16" i="13" s="1"/>
  <c r="I19" i="13" s="1" a="1"/>
  <c r="I19" i="13" s="1"/>
  <c r="I20" i="13" s="1"/>
  <c r="F18" i="13" a="1"/>
  <c r="F18" i="13" s="1"/>
  <c r="O17" i="13" a="1"/>
  <c r="O17" i="13" s="1"/>
  <c r="O24" i="13" s="1" a="1"/>
  <c r="O24" i="13" s="1"/>
  <c r="O25" i="13" s="1"/>
  <c r="F16" i="13" a="1"/>
  <c r="F16" i="13" s="1"/>
  <c r="F19" i="13" s="1" a="1"/>
  <c r="F19" i="13" s="1"/>
  <c r="F20" i="13" s="1"/>
  <c r="I17" i="13" a="1"/>
  <c r="I17" i="13" s="1"/>
  <c r="I26" i="13" s="1" a="1"/>
  <c r="I26" i="13" s="1"/>
  <c r="I27" i="13" s="1"/>
  <c r="O18" i="13" a="1"/>
  <c r="O18" i="13" s="1"/>
  <c r="O29" i="13" s="1" a="1"/>
  <c r="O29" i="13" s="1"/>
  <c r="O30" i="13" s="1"/>
  <c r="F17" i="13" a="1"/>
  <c r="F17" i="13" s="1"/>
  <c r="F26" i="13" s="1" a="1"/>
  <c r="F26" i="13" s="1"/>
  <c r="F27" i="13" s="1"/>
  <c r="P15" i="10"/>
  <c r="P17" i="10"/>
  <c r="Q17" i="10" s="1"/>
  <c r="P18" i="10"/>
  <c r="P16" i="10"/>
  <c r="F943" i="12" l="1"/>
  <c r="N943" i="12"/>
  <c r="O943" i="12"/>
  <c r="K23" i="25" a="1"/>
  <c r="K23" i="25" s="1"/>
  <c r="EF11" i="9"/>
  <c r="H23" i="25" a="1"/>
  <c r="H23" i="25" s="1"/>
  <c r="CA11" i="9"/>
  <c r="I23" i="25" a="1"/>
  <c r="I23" i="25" s="1"/>
  <c r="CT11" i="9"/>
  <c r="N23" i="25" a="1"/>
  <c r="N23" i="25" s="1"/>
  <c r="GK11" i="9"/>
  <c r="D789" i="12"/>
  <c r="J736" i="12" a="1"/>
  <c r="J736" i="12" s="1"/>
  <c r="J1777" i="13" s="1" a="1"/>
  <c r="J1777" i="13" s="1"/>
  <c r="EO63" i="9" s="1" a="1"/>
  <c r="EO63" i="9" s="1"/>
  <c r="J834" i="12" a="1"/>
  <c r="J834" i="12" s="1"/>
  <c r="J2015" i="13" s="1" a="1"/>
  <c r="J2015" i="13" s="1"/>
  <c r="EO70" i="9" s="1" a="1"/>
  <c r="EO70" i="9" s="1"/>
  <c r="M1946" i="13" a="1"/>
  <c r="M1946" i="13" s="1"/>
  <c r="M1973" i="13" s="1"/>
  <c r="M810" i="12"/>
  <c r="M815" i="12"/>
  <c r="H2087" i="13" a="1"/>
  <c r="H2087" i="13" s="1"/>
  <c r="H868" i="12"/>
  <c r="F883" i="12"/>
  <c r="F2120" i="13" s="1" a="1"/>
  <c r="F2120" i="13" s="1"/>
  <c r="F884" i="12"/>
  <c r="H855" i="12"/>
  <c r="H2052" i="13" s="1" a="1"/>
  <c r="H2052" i="13" s="1"/>
  <c r="H856" i="12"/>
  <c r="E887" i="12"/>
  <c r="E2122" i="13" a="1"/>
  <c r="E2122" i="13" s="1"/>
  <c r="G2121" i="13" a="1"/>
  <c r="G2121" i="13" s="1"/>
  <c r="G882" i="12"/>
  <c r="H764" i="12" a="1"/>
  <c r="H764" i="12" s="1"/>
  <c r="H1845" i="13" s="1" a="1"/>
  <c r="H1845" i="13" s="1"/>
  <c r="DC65" i="9" s="1" a="1"/>
  <c r="DC65" i="9" s="1"/>
  <c r="H862" i="12" a="1"/>
  <c r="H862" i="12" s="1"/>
  <c r="H2083" i="13" s="1" a="1"/>
  <c r="H2083" i="13" s="1"/>
  <c r="DC72" i="9" s="1" a="1"/>
  <c r="DC72" i="9" s="1"/>
  <c r="I2053" i="13" a="1"/>
  <c r="I2053" i="13" s="1"/>
  <c r="I854" i="12"/>
  <c r="K803" i="12"/>
  <c r="K1918" i="13" a="1"/>
  <c r="K1918" i="13" s="1"/>
  <c r="D2154" i="13" a="1"/>
  <c r="D2154" i="13" s="1"/>
  <c r="D901" i="12"/>
  <c r="I2082" i="13" a="1"/>
  <c r="I2082" i="13" s="1"/>
  <c r="I2109" i="13" s="1"/>
  <c r="I871" i="12"/>
  <c r="I866" i="12"/>
  <c r="J2048" i="13" a="1"/>
  <c r="J2048" i="13" s="1"/>
  <c r="J2075" i="13" s="1"/>
  <c r="J852" i="12"/>
  <c r="J857" i="12"/>
  <c r="L1980" i="13" a="1"/>
  <c r="L1980" i="13" s="1"/>
  <c r="L2007" i="13" s="1"/>
  <c r="L829" i="12"/>
  <c r="L824" i="12"/>
  <c r="L1951" i="13" a="1"/>
  <c r="L1951" i="13" s="1"/>
  <c r="L812" i="12"/>
  <c r="J827" i="12"/>
  <c r="J828" i="12"/>
  <c r="J1986" i="13" s="1" a="1"/>
  <c r="J1986" i="13" s="1"/>
  <c r="J2019" i="13" a="1"/>
  <c r="J2019" i="13" s="1"/>
  <c r="J840" i="12"/>
  <c r="F2155" i="13" a="1"/>
  <c r="F2155" i="13" s="1"/>
  <c r="F896" i="12"/>
  <c r="K1985" i="13" a="1"/>
  <c r="K1985" i="13" s="1"/>
  <c r="K826" i="12"/>
  <c r="I750" i="12" a="1"/>
  <c r="I750" i="12" s="1"/>
  <c r="I1811" i="13" s="1" a="1"/>
  <c r="I1811" i="13" s="1"/>
  <c r="DV64" i="9" s="1" a="1"/>
  <c r="DV64" i="9" s="1"/>
  <c r="I848" i="12" a="1"/>
  <c r="I848" i="12" s="1"/>
  <c r="I2049" i="13" s="1" a="1"/>
  <c r="I2049" i="13" s="1"/>
  <c r="DV71" i="9" s="1" a="1"/>
  <c r="DV71" i="9" s="1"/>
  <c r="N1912" i="13" a="1"/>
  <c r="N1912" i="13" s="1"/>
  <c r="N1939" i="13" s="1"/>
  <c r="N801" i="12"/>
  <c r="N796" i="12"/>
  <c r="E897" i="12"/>
  <c r="E2154" i="13" s="1" a="1"/>
  <c r="E2154" i="13" s="1"/>
  <c r="E898" i="12"/>
  <c r="F2086" i="13" a="1"/>
  <c r="F2086" i="13" s="1"/>
  <c r="F873" i="12"/>
  <c r="I841" i="12"/>
  <c r="I2018" i="13" s="1" a="1"/>
  <c r="I2018" i="13" s="1"/>
  <c r="I842" i="12"/>
  <c r="G2150" i="13" a="1"/>
  <c r="G2150" i="13" s="1"/>
  <c r="G2177" i="13" s="1"/>
  <c r="G899" i="12"/>
  <c r="G894" i="12"/>
  <c r="K813" i="12"/>
  <c r="K1950" i="13" s="1" a="1"/>
  <c r="K1950" i="13" s="1"/>
  <c r="K814" i="12"/>
  <c r="D911" i="12"/>
  <c r="L799" i="12"/>
  <c r="L1916" i="13" s="1" a="1"/>
  <c r="L1916" i="13" s="1"/>
  <c r="L800" i="12"/>
  <c r="M1917" i="13" a="1"/>
  <c r="M1917" i="13" s="1"/>
  <c r="M798" i="12"/>
  <c r="H2116" i="13" a="1"/>
  <c r="H2116" i="13" s="1"/>
  <c r="H2143" i="13" s="1"/>
  <c r="H880" i="12"/>
  <c r="H885" i="12"/>
  <c r="J1950" i="13" a="1"/>
  <c r="J1950" i="13" s="1"/>
  <c r="J817" i="12"/>
  <c r="G869" i="12"/>
  <c r="G870" i="12"/>
  <c r="G2088" i="13" s="1" a="1"/>
  <c r="G2088" i="13" s="1"/>
  <c r="H2018" i="13" a="1"/>
  <c r="H2018" i="13" s="1"/>
  <c r="H845" i="12"/>
  <c r="G778" i="12" a="1"/>
  <c r="G778" i="12" s="1"/>
  <c r="G1879" i="13" s="1" a="1"/>
  <c r="G1879" i="13" s="1"/>
  <c r="CJ66" i="9" s="1" a="1"/>
  <c r="CJ66" i="9" s="1"/>
  <c r="G876" i="12" a="1"/>
  <c r="G876" i="12" s="1"/>
  <c r="G2117" i="13" s="1" a="1"/>
  <c r="G2117" i="13" s="1"/>
  <c r="CJ73" i="9" s="1" a="1"/>
  <c r="CJ73" i="9" s="1"/>
  <c r="F2184" i="13" a="1"/>
  <c r="F2184" i="13" s="1"/>
  <c r="F2211" i="13" s="1"/>
  <c r="F908" i="12"/>
  <c r="F913" i="12"/>
  <c r="K2014" i="13" a="1"/>
  <c r="K2014" i="13" s="1"/>
  <c r="K2041" i="13" s="1"/>
  <c r="K838" i="12"/>
  <c r="K843" i="12"/>
  <c r="I831" i="12"/>
  <c r="I1986" i="13" a="1"/>
  <c r="I1986" i="13" s="1"/>
  <c r="E2189" i="13" a="1"/>
  <c r="E2189" i="13" s="1"/>
  <c r="E910" i="12"/>
  <c r="G2052" i="13" a="1"/>
  <c r="G2052" i="13" s="1"/>
  <c r="G859" i="12"/>
  <c r="L31" i="13" a="1"/>
  <c r="L31" i="13" s="1"/>
  <c r="L32" i="13" s="1"/>
  <c r="L33" i="13" s="1"/>
  <c r="G757" i="12"/>
  <c r="G1814" i="13" s="1" a="1"/>
  <c r="G1814" i="13" s="1"/>
  <c r="DT71" i="9"/>
  <c r="DU71" i="9" s="1"/>
  <c r="ES70" i="9" a="1"/>
  <c r="ES70" i="9" s="1"/>
  <c r="L832" i="12" a="1"/>
  <c r="L832" i="12" s="1"/>
  <c r="EK71" i="9" a="1"/>
  <c r="EK71" i="9" s="1"/>
  <c r="EL71" i="9" s="1"/>
  <c r="GX67" i="9" a="1"/>
  <c r="GX67" i="9" s="1"/>
  <c r="O790" i="12" a="1"/>
  <c r="O790" i="12" s="1"/>
  <c r="N792" i="12" a="1"/>
  <c r="N792" i="12" s="1"/>
  <c r="N1913" i="13" s="1" a="1"/>
  <c r="N1913" i="13" s="1"/>
  <c r="HM67" i="9" s="1" a="1"/>
  <c r="HM67" i="9" s="1"/>
  <c r="HI60" i="9" a="1"/>
  <c r="HI60" i="9" s="1"/>
  <c r="HJ60" i="9" s="1"/>
  <c r="HK60" i="9" s="1"/>
  <c r="HL60" i="9" s="1"/>
  <c r="HI67" i="9" a="1"/>
  <c r="HI67" i="9" s="1"/>
  <c r="HJ67" i="9" s="1"/>
  <c r="G770" i="12"/>
  <c r="G772" i="12" s="1"/>
  <c r="G1850" i="13" s="1" a="1"/>
  <c r="G1850" i="13" s="1"/>
  <c r="G1849" i="13" a="1"/>
  <c r="G1849" i="13" s="1"/>
  <c r="GP61" i="9" a="1"/>
  <c r="GP61" i="9" s="1"/>
  <c r="GQ61" i="9" s="1"/>
  <c r="GR61" i="9" s="1"/>
  <c r="GS61" i="9" s="1"/>
  <c r="GP68" i="9" a="1"/>
  <c r="GP68" i="9" s="1"/>
  <c r="GQ68" i="9" s="1"/>
  <c r="GR67" i="9"/>
  <c r="GS67" i="9" s="1"/>
  <c r="FY68" i="9"/>
  <c r="FZ68" i="9" s="1"/>
  <c r="HQ66" i="9" a="1"/>
  <c r="HQ66" i="9" s="1"/>
  <c r="BU74" i="9" a="1"/>
  <c r="BU74" i="9" s="1"/>
  <c r="H888" i="12" a="1"/>
  <c r="H888" i="12" s="1"/>
  <c r="G890" i="12" a="1"/>
  <c r="G890" i="12" s="1"/>
  <c r="G2151" i="13" s="1" a="1"/>
  <c r="G2151" i="13" s="1"/>
  <c r="CJ74" i="9" s="1" a="1"/>
  <c r="CJ74" i="9" s="1"/>
  <c r="EM70" i="9"/>
  <c r="EN70" i="9" s="1"/>
  <c r="DA72" i="9"/>
  <c r="DB72" i="9" s="1"/>
  <c r="N747" i="12"/>
  <c r="BO74" i="9"/>
  <c r="BP74" i="9" s="1"/>
  <c r="DG72" i="9" a="1"/>
  <c r="DG72" i="9" s="1"/>
  <c r="J860" i="12" a="1"/>
  <c r="J860" i="12" s="1"/>
  <c r="IB59" i="9" a="1"/>
  <c r="IB59" i="9" s="1"/>
  <c r="IC59" i="9" s="1"/>
  <c r="ID59" i="9" s="1"/>
  <c r="IE59" i="9" s="1"/>
  <c r="IB66" i="9" a="1"/>
  <c r="IB66" i="9" s="1"/>
  <c r="IC66" i="9" s="1"/>
  <c r="ID66" i="9" s="1"/>
  <c r="IE66" i="9" s="1"/>
  <c r="FD70" i="9" a="1"/>
  <c r="FD70" i="9" s="1"/>
  <c r="FE70" i="9" s="1"/>
  <c r="DR72" i="9" a="1"/>
  <c r="DR72" i="9" s="1"/>
  <c r="DS72" i="9" s="1"/>
  <c r="CF74" i="9" a="1"/>
  <c r="CF74" i="9" s="1"/>
  <c r="CG74" i="9" s="1"/>
  <c r="CH73" i="9"/>
  <c r="CI73" i="9" s="1"/>
  <c r="FF69" i="9"/>
  <c r="FG69" i="9" s="1"/>
  <c r="GE68" i="9" a="1"/>
  <c r="GE68" i="9" s="1"/>
  <c r="M806" i="12" a="1"/>
  <c r="M806" i="12" s="1"/>
  <c r="M1947" i="13" s="1" a="1"/>
  <c r="M1947" i="13" s="1"/>
  <c r="GT68" i="9" s="1" a="1"/>
  <c r="GT68" i="9" s="1"/>
  <c r="N804" i="12" a="1"/>
  <c r="N804" i="12" s="1"/>
  <c r="BB75" i="9" a="1"/>
  <c r="BB75" i="9" s="1"/>
  <c r="F904" i="12" a="1"/>
  <c r="F904" i="12" s="1"/>
  <c r="F2185" i="13" s="1" a="1"/>
  <c r="F2185" i="13" s="1"/>
  <c r="BQ75" i="9" s="1" a="1"/>
  <c r="BQ75" i="9" s="1"/>
  <c r="G902" i="12" a="1"/>
  <c r="G902" i="12" s="1"/>
  <c r="CY73" i="9" a="1"/>
  <c r="CY73" i="9" s="1"/>
  <c r="CZ73" i="9" s="1"/>
  <c r="AV75" i="9"/>
  <c r="AW75" i="9" s="1"/>
  <c r="FW62" i="9" a="1"/>
  <c r="FW62" i="9" s="1"/>
  <c r="FX62" i="9" s="1"/>
  <c r="FY62" i="9" s="1"/>
  <c r="FZ62" i="9" s="1"/>
  <c r="FW69" i="9" a="1"/>
  <c r="FW69" i="9" s="1"/>
  <c r="FX69" i="9" s="1"/>
  <c r="FL69" i="9" a="1"/>
  <c r="FL69" i="9" s="1"/>
  <c r="M818" i="12" a="1"/>
  <c r="M818" i="12" s="1"/>
  <c r="L820" i="12" a="1"/>
  <c r="L820" i="12" s="1"/>
  <c r="L1981" i="13" s="1" a="1"/>
  <c r="L1981" i="13" s="1"/>
  <c r="GA69" i="9" s="1" a="1"/>
  <c r="GA69" i="9" s="1"/>
  <c r="CN73" i="9" a="1"/>
  <c r="CN73" i="9" s="1"/>
  <c r="I874" i="12" a="1"/>
  <c r="I874" i="12" s="1"/>
  <c r="DZ71" i="9" a="1"/>
  <c r="DZ71" i="9" s="1"/>
  <c r="K846" i="12" a="1"/>
  <c r="K846" i="12" s="1"/>
  <c r="BM75" i="9" a="1"/>
  <c r="BM75" i="9" s="1"/>
  <c r="BN75" i="9" s="1"/>
  <c r="O764" i="12" a="1"/>
  <c r="O764" i="12" s="1"/>
  <c r="O1845" i="13" s="1" a="1"/>
  <c r="O1845" i="13" s="1"/>
  <c r="IF65" i="9" s="1" a="1"/>
  <c r="IF65" i="9" s="1"/>
  <c r="N31" i="13" a="1"/>
  <c r="N31" i="13" s="1"/>
  <c r="N32" i="13" s="1"/>
  <c r="N33" i="13" s="1"/>
  <c r="M761" i="12"/>
  <c r="O733" i="12"/>
  <c r="N757" i="12"/>
  <c r="N1814" i="13" s="1" a="1"/>
  <c r="N1814" i="13" s="1"/>
  <c r="O1815" i="13" a="1"/>
  <c r="O1815" i="13" s="1"/>
  <c r="O756" i="12"/>
  <c r="O758" i="12" s="1"/>
  <c r="O1816" i="13" s="1" a="1"/>
  <c r="O1816" i="13" s="1"/>
  <c r="M771" i="12"/>
  <c r="L1848" i="13" a="1"/>
  <c r="L1848" i="13" s="1"/>
  <c r="L775" i="12"/>
  <c r="O776" i="12" a="1"/>
  <c r="O776" i="12" s="1"/>
  <c r="O768" i="12"/>
  <c r="O1844" i="13" a="1"/>
  <c r="O1844" i="13" s="1"/>
  <c r="O1871" i="13" s="1"/>
  <c r="O773" i="12"/>
  <c r="O743" i="12"/>
  <c r="N1849" i="13" a="1"/>
  <c r="N1849" i="13" s="1"/>
  <c r="N770" i="12"/>
  <c r="N772" i="12" s="1"/>
  <c r="N1850" i="13" s="1" a="1"/>
  <c r="N1850" i="13" s="1"/>
  <c r="M1883" i="13" a="1"/>
  <c r="M1883" i="13" s="1"/>
  <c r="M784" i="12"/>
  <c r="M786" i="12" s="1"/>
  <c r="M1884" i="13" s="1" a="1"/>
  <c r="M1884" i="13" s="1"/>
  <c r="L785" i="12"/>
  <c r="K1882" i="13" a="1"/>
  <c r="K1882" i="13" s="1"/>
  <c r="K789" i="12"/>
  <c r="N1878" i="13" a="1"/>
  <c r="N1878" i="13" s="1"/>
  <c r="N1905" i="13" s="1"/>
  <c r="N782" i="12"/>
  <c r="N787" i="12"/>
  <c r="HA11" i="9" a="1"/>
  <c r="HA11" i="9" s="1"/>
  <c r="GH11" i="9" a="1"/>
  <c r="GH11" i="9" s="1"/>
  <c r="GJ11" i="9" s="1"/>
  <c r="FO11" i="9" a="1"/>
  <c r="FO11" i="9" s="1"/>
  <c r="AL11" i="9" a="1"/>
  <c r="AL11" i="9" s="1"/>
  <c r="E11" i="25" a="1"/>
  <c r="E11" i="25" s="1"/>
  <c r="D25" i="22"/>
  <c r="D22" i="22"/>
  <c r="O11" i="23" s="1" a="1"/>
  <c r="O11" i="23" s="1"/>
  <c r="D23" i="22"/>
  <c r="J28" i="13"/>
  <c r="EC11" i="9" s="1" a="1"/>
  <c r="EC11" i="9" s="1"/>
  <c r="EE11" i="9" s="1"/>
  <c r="D29" i="13" a="1"/>
  <c r="D29" i="13" s="1"/>
  <c r="D30" i="13" s="1"/>
  <c r="D33" i="13" s="1"/>
  <c r="T11" i="9" s="1" a="1"/>
  <c r="T11" i="9" s="1"/>
  <c r="E23" i="25" s="1" a="1"/>
  <c r="E23" i="25" s="1"/>
  <c r="G23" i="13"/>
  <c r="G28" i="13"/>
  <c r="D28" i="13"/>
  <c r="S11" i="9" s="1" a="1"/>
  <c r="S11" i="9" s="1"/>
  <c r="F21" i="13" a="1"/>
  <c r="F21" i="13" s="1"/>
  <c r="F22" i="13" s="1"/>
  <c r="F23" i="13" s="1"/>
  <c r="I29" i="13" a="1"/>
  <c r="I29" i="13" s="1"/>
  <c r="I30" i="13" s="1"/>
  <c r="I33" i="13" s="1"/>
  <c r="DK11" i="9" s="1" a="1"/>
  <c r="DK11" i="9" s="1"/>
  <c r="I21" i="13" a="1"/>
  <c r="I21" i="13" s="1"/>
  <c r="I22" i="13" s="1"/>
  <c r="I23" i="13" s="1"/>
  <c r="F24" i="13" a="1"/>
  <c r="F24" i="13" s="1"/>
  <c r="F25" i="13" s="1"/>
  <c r="F28" i="13" s="1"/>
  <c r="I24" i="13" a="1"/>
  <c r="I24" i="13" s="1"/>
  <c r="I25" i="13" s="1"/>
  <c r="I28" i="13" s="1"/>
  <c r="O26" i="13" a="1"/>
  <c r="O26" i="13" s="1"/>
  <c r="O27" i="13" s="1"/>
  <c r="O28" i="13" s="1"/>
  <c r="H19" i="13" a="1"/>
  <c r="H19" i="13" s="1"/>
  <c r="H20" i="13" s="1"/>
  <c r="H21" i="13" a="1"/>
  <c r="H21" i="13" s="1"/>
  <c r="H22" i="13" s="1"/>
  <c r="O19" i="13" a="1"/>
  <c r="O19" i="13" s="1"/>
  <c r="O20" i="13" s="1"/>
  <c r="O21" i="13" a="1"/>
  <c r="O21" i="13" s="1"/>
  <c r="O22" i="13" s="1"/>
  <c r="O31" i="13" a="1"/>
  <c r="O31" i="13" s="1"/>
  <c r="O32" i="13" s="1"/>
  <c r="O33" i="13" s="1"/>
  <c r="HU11" i="9" s="1" a="1"/>
  <c r="HU11" i="9" s="1"/>
  <c r="E29" i="13" a="1"/>
  <c r="E29" i="13" s="1"/>
  <c r="E30" i="13" s="1"/>
  <c r="E31" i="13" a="1"/>
  <c r="E31" i="13" s="1"/>
  <c r="E32" i="13" s="1"/>
  <c r="K19" i="13" a="1"/>
  <c r="K19" i="13" s="1"/>
  <c r="K20" i="13" s="1"/>
  <c r="K21" i="13" a="1"/>
  <c r="K21" i="13" s="1"/>
  <c r="K22" i="13" s="1"/>
  <c r="H24" i="13" a="1"/>
  <c r="H24" i="13" s="1"/>
  <c r="H25" i="13" s="1"/>
  <c r="H26" i="13" a="1"/>
  <c r="H26" i="13" s="1"/>
  <c r="H27" i="13" s="1"/>
  <c r="F31" i="13" a="1"/>
  <c r="F31" i="13" s="1"/>
  <c r="F32" i="13" s="1"/>
  <c r="F29" i="13" a="1"/>
  <c r="F29" i="13" s="1"/>
  <c r="F30" i="13" s="1"/>
  <c r="K26" i="13" a="1"/>
  <c r="K26" i="13" s="1"/>
  <c r="K27" i="13" s="1"/>
  <c r="K24" i="13" a="1"/>
  <c r="K24" i="13" s="1"/>
  <c r="K25" i="13" s="1"/>
  <c r="K31" i="13" a="1"/>
  <c r="K31" i="13" s="1"/>
  <c r="K32" i="13" s="1"/>
  <c r="K29" i="13" a="1"/>
  <c r="K29" i="13" s="1"/>
  <c r="K30" i="13" s="1"/>
  <c r="J36" i="13"/>
  <c r="M36" i="13"/>
  <c r="J34" i="13"/>
  <c r="M34" i="13"/>
  <c r="H36" i="13"/>
  <c r="H34" i="13"/>
  <c r="G34" i="13"/>
  <c r="G36" i="13"/>
  <c r="L34" i="13" l="1"/>
  <c r="FP11" i="9" a="1"/>
  <c r="FP11" i="9" s="1"/>
  <c r="FQ11" i="9" s="1"/>
  <c r="N34" i="13"/>
  <c r="HB11" i="9" a="1"/>
  <c r="HB11" i="9" s="1"/>
  <c r="P23" i="25" a="1"/>
  <c r="P23" i="25" s="1"/>
  <c r="HW11" i="9"/>
  <c r="J23" i="25" a="1"/>
  <c r="J23" i="25" s="1"/>
  <c r="DM11" i="9"/>
  <c r="J841" i="12"/>
  <c r="J2018" i="13" s="1" a="1"/>
  <c r="J2018" i="13" s="1"/>
  <c r="J842" i="12"/>
  <c r="I2116" i="13" a="1"/>
  <c r="I2116" i="13" s="1"/>
  <c r="I2143" i="13" s="1"/>
  <c r="I880" i="12"/>
  <c r="I885" i="12"/>
  <c r="H778" i="12" a="1"/>
  <c r="H778" i="12" s="1"/>
  <c r="H1879" i="13" s="1" a="1"/>
  <c r="H1879" i="13" s="1"/>
  <c r="DC66" i="9" s="1" a="1"/>
  <c r="DC66" i="9" s="1"/>
  <c r="H876" i="12" a="1"/>
  <c r="H876" i="12" s="1"/>
  <c r="H2117" i="13" s="1" a="1"/>
  <c r="H2117" i="13" s="1"/>
  <c r="DC73" i="9" s="1" a="1"/>
  <c r="DC73" i="9" s="1"/>
  <c r="G2086" i="13" a="1"/>
  <c r="G2086" i="13" s="1"/>
  <c r="G873" i="12"/>
  <c r="L803" i="12"/>
  <c r="L1918" i="13" a="1"/>
  <c r="L1918" i="13" s="1"/>
  <c r="I845" i="12"/>
  <c r="I2020" i="13" a="1"/>
  <c r="I2020" i="13" s="1"/>
  <c r="L2014" i="13" a="1"/>
  <c r="L2014" i="13" s="1"/>
  <c r="L2041" i="13" s="1"/>
  <c r="L838" i="12"/>
  <c r="L843" i="12"/>
  <c r="E911" i="12"/>
  <c r="E912" i="12"/>
  <c r="E2190" i="13" s="1" a="1"/>
  <c r="E2190" i="13" s="1"/>
  <c r="F2189" i="13" a="1"/>
  <c r="F2189" i="13" s="1"/>
  <c r="F910" i="12"/>
  <c r="J2053" i="13" a="1"/>
  <c r="J2053" i="13" s="1"/>
  <c r="J854" i="12"/>
  <c r="M1951" i="13" a="1"/>
  <c r="M1951" i="13" s="1"/>
  <c r="M812" i="12"/>
  <c r="G761" i="12"/>
  <c r="K736" i="12" a="1"/>
  <c r="K736" i="12" s="1"/>
  <c r="K1777" i="13" s="1" a="1"/>
  <c r="K1777" i="13" s="1"/>
  <c r="FH63" i="9" s="1" a="1"/>
  <c r="FH63" i="9" s="1"/>
  <c r="K834" i="12" a="1"/>
  <c r="K834" i="12" s="1"/>
  <c r="K2015" i="13" s="1" a="1"/>
  <c r="K2015" i="13" s="1"/>
  <c r="FH70" i="9" s="1" a="1"/>
  <c r="FH70" i="9" s="1"/>
  <c r="D915" i="12"/>
  <c r="D2188" i="13" a="1"/>
  <c r="D2188" i="13" s="1"/>
  <c r="J1984" i="13" a="1"/>
  <c r="J1984" i="13" s="1"/>
  <c r="J831" i="12"/>
  <c r="I855" i="12"/>
  <c r="I2052" i="13" s="1" a="1"/>
  <c r="I2052" i="13" s="1"/>
  <c r="I856" i="12"/>
  <c r="H859" i="12"/>
  <c r="H2054" i="13" a="1"/>
  <c r="H2054" i="13" s="1"/>
  <c r="M1980" i="13" a="1"/>
  <c r="M1980" i="13" s="1"/>
  <c r="M2007" i="13" s="1"/>
  <c r="M824" i="12"/>
  <c r="M829" i="12"/>
  <c r="G2184" i="13" a="1"/>
  <c r="G2184" i="13" s="1"/>
  <c r="G2211" i="13" s="1"/>
  <c r="G913" i="12"/>
  <c r="G908" i="12"/>
  <c r="K817" i="12"/>
  <c r="K1952" i="13" a="1"/>
  <c r="K1952" i="13" s="1"/>
  <c r="K827" i="12"/>
  <c r="K1984" i="13" s="1" a="1"/>
  <c r="K1984" i="13" s="1"/>
  <c r="K828" i="12"/>
  <c r="L813" i="12"/>
  <c r="L814" i="12"/>
  <c r="L1952" i="13" s="1" a="1"/>
  <c r="L1952" i="13" s="1"/>
  <c r="I2087" i="13" a="1"/>
  <c r="I2087" i="13" s="1"/>
  <c r="I868" i="12"/>
  <c r="J750" i="12" a="1"/>
  <c r="J750" i="12" s="1"/>
  <c r="J1811" i="13" s="1" a="1"/>
  <c r="J1811" i="13" s="1"/>
  <c r="EO64" i="9" s="1" a="1"/>
  <c r="EO64" i="9" s="1"/>
  <c r="J848" i="12" a="1"/>
  <c r="J848" i="12" s="1"/>
  <c r="J2049" i="13" s="1" a="1"/>
  <c r="J2049" i="13" s="1"/>
  <c r="EO71" i="9" s="1" a="1"/>
  <c r="EO71" i="9" s="1"/>
  <c r="O1912" i="13" a="1"/>
  <c r="O1912" i="13" s="1"/>
  <c r="O1939" i="13" s="1"/>
  <c r="O796" i="12"/>
  <c r="O801" i="12"/>
  <c r="G2155" i="13" a="1"/>
  <c r="G2155" i="13" s="1"/>
  <c r="G896" i="12"/>
  <c r="F897" i="12"/>
  <c r="F2154" i="13" s="1" a="1"/>
  <c r="F2154" i="13" s="1"/>
  <c r="F898" i="12"/>
  <c r="L1985" i="13" a="1"/>
  <c r="L1985" i="13" s="1"/>
  <c r="L826" i="12"/>
  <c r="N1946" i="13" a="1"/>
  <c r="N1946" i="13" s="1"/>
  <c r="N1973" i="13" s="1"/>
  <c r="N815" i="12"/>
  <c r="N810" i="12"/>
  <c r="J2082" i="13" a="1"/>
  <c r="J2082" i="13" s="1"/>
  <c r="J2109" i="13" s="1"/>
  <c r="J871" i="12"/>
  <c r="J866" i="12"/>
  <c r="H2150" i="13" a="1"/>
  <c r="H2150" i="13" s="1"/>
  <c r="H2177" i="13" s="1"/>
  <c r="H894" i="12"/>
  <c r="H899" i="12"/>
  <c r="K2019" i="13" a="1"/>
  <c r="K2019" i="13" s="1"/>
  <c r="K840" i="12"/>
  <c r="M799" i="12"/>
  <c r="M1916" i="13" s="1" a="1"/>
  <c r="M1916" i="13" s="1"/>
  <c r="M800" i="12"/>
  <c r="N1917" i="13" a="1"/>
  <c r="N1917" i="13" s="1"/>
  <c r="N798" i="12"/>
  <c r="G883" i="12"/>
  <c r="G884" i="12"/>
  <c r="G2122" i="13" s="1" a="1"/>
  <c r="G2122" i="13" s="1"/>
  <c r="H869" i="12"/>
  <c r="H870" i="12"/>
  <c r="H2088" i="13" s="1" a="1"/>
  <c r="H2088" i="13" s="1"/>
  <c r="I764" i="12" a="1"/>
  <c r="I764" i="12" s="1"/>
  <c r="I1845" i="13" s="1" a="1"/>
  <c r="I1845" i="13" s="1"/>
  <c r="DV65" i="9" s="1" a="1"/>
  <c r="DV65" i="9" s="1"/>
  <c r="I862" i="12" a="1"/>
  <c r="I862" i="12" s="1"/>
  <c r="I2083" i="13" s="1" a="1"/>
  <c r="I2083" i="13" s="1"/>
  <c r="DV72" i="9" s="1" a="1"/>
  <c r="DV72" i="9" s="1"/>
  <c r="K2048" i="13" a="1"/>
  <c r="K2048" i="13" s="1"/>
  <c r="K2075" i="13" s="1"/>
  <c r="K857" i="12"/>
  <c r="K852" i="12"/>
  <c r="H2121" i="13" a="1"/>
  <c r="H2121" i="13" s="1"/>
  <c r="H882" i="12"/>
  <c r="E901" i="12"/>
  <c r="E2156" i="13" a="1"/>
  <c r="E2156" i="13" s="1"/>
  <c r="F887" i="12"/>
  <c r="F2122" i="13" a="1"/>
  <c r="F2122" i="13" s="1"/>
  <c r="FF70" i="9"/>
  <c r="FG70" i="9" s="1"/>
  <c r="DZ72" i="9" a="1"/>
  <c r="DZ72" i="9" s="1"/>
  <c r="K860" i="12" a="1"/>
  <c r="K860" i="12" s="1"/>
  <c r="GP62" i="9" a="1"/>
  <c r="GP62" i="9" s="1"/>
  <c r="GQ62" i="9" s="1"/>
  <c r="GR62" i="9" s="1"/>
  <c r="GS62" i="9" s="1"/>
  <c r="GP69" i="9" a="1"/>
  <c r="GP69" i="9" s="1"/>
  <c r="GQ69" i="9" s="1"/>
  <c r="BU75" i="9" a="1"/>
  <c r="BU75" i="9" s="1"/>
  <c r="G904" i="12" a="1"/>
  <c r="G904" i="12" s="1"/>
  <c r="G2185" i="13" s="1" a="1"/>
  <c r="G2185" i="13" s="1"/>
  <c r="CJ75" i="9" s="1" a="1"/>
  <c r="CJ75" i="9" s="1"/>
  <c r="H902" i="12" a="1"/>
  <c r="H902" i="12" s="1"/>
  <c r="FW70" i="9" a="1"/>
  <c r="FW70" i="9" s="1"/>
  <c r="FX70" i="9" s="1"/>
  <c r="FY69" i="9"/>
  <c r="FZ69" i="9" s="1"/>
  <c r="EM71" i="9"/>
  <c r="EN71" i="9" s="1"/>
  <c r="BO75" i="9"/>
  <c r="BP75" i="9" s="1"/>
  <c r="DG73" i="9" a="1"/>
  <c r="DG73" i="9" s="1"/>
  <c r="J874" i="12" a="1"/>
  <c r="J874" i="12" s="1"/>
  <c r="IB67" i="9" a="1"/>
  <c r="IB67" i="9" s="1"/>
  <c r="IC67" i="9" s="1"/>
  <c r="D80" i="24" a="1"/>
  <c r="D80" i="24" s="1"/>
  <c r="FD71" i="9" a="1"/>
  <c r="FD71" i="9" s="1"/>
  <c r="FE71" i="9" s="1"/>
  <c r="CF75" i="9" a="1"/>
  <c r="CF75" i="9" s="1"/>
  <c r="CG75" i="9" s="1"/>
  <c r="CH74" i="9"/>
  <c r="CI74" i="9" s="1"/>
  <c r="HI61" i="9" a="1"/>
  <c r="HI61" i="9" s="1"/>
  <c r="HJ61" i="9" s="1"/>
  <c r="HK61" i="9" s="1"/>
  <c r="HL61" i="9" s="1"/>
  <c r="HI68" i="9" a="1"/>
  <c r="HI68" i="9" s="1"/>
  <c r="HJ68" i="9" s="1"/>
  <c r="HK67" i="9"/>
  <c r="HL67" i="9" s="1"/>
  <c r="ES71" i="9" a="1"/>
  <c r="ES71" i="9" s="1"/>
  <c r="L846" i="12" a="1"/>
  <c r="L846" i="12" s="1"/>
  <c r="CY74" i="9" a="1"/>
  <c r="CY74" i="9" s="1"/>
  <c r="CZ74" i="9" s="1"/>
  <c r="D79" i="24" a="1"/>
  <c r="D79" i="24" s="1"/>
  <c r="CN74" i="9" a="1"/>
  <c r="CN74" i="9" s="1"/>
  <c r="H890" i="12" a="1"/>
  <c r="H890" i="12" s="1"/>
  <c r="H2151" i="13" s="1" a="1"/>
  <c r="H2151" i="13" s="1"/>
  <c r="DC74" i="9" s="1" a="1"/>
  <c r="DC74" i="9" s="1"/>
  <c r="I888" i="12" a="1"/>
  <c r="I888" i="12" s="1"/>
  <c r="GR68" i="9"/>
  <c r="GS68" i="9" s="1"/>
  <c r="FL70" i="9" a="1"/>
  <c r="FL70" i="9" s="1"/>
  <c r="M832" i="12" a="1"/>
  <c r="M832" i="12" s="1"/>
  <c r="DA73" i="9"/>
  <c r="DB73" i="9" s="1"/>
  <c r="GX68" i="9" a="1"/>
  <c r="GX68" i="9" s="1"/>
  <c r="O804" i="12" a="1"/>
  <c r="O804" i="12" s="1"/>
  <c r="N806" i="12" a="1"/>
  <c r="N806" i="12" s="1"/>
  <c r="N1947" i="13" s="1" a="1"/>
  <c r="N1947" i="13" s="1"/>
  <c r="HM68" i="9" s="1" a="1"/>
  <c r="HM68" i="9" s="1"/>
  <c r="DT72" i="9"/>
  <c r="DU72" i="9" s="1"/>
  <c r="GE69" i="9" a="1"/>
  <c r="GE69" i="9" s="1"/>
  <c r="N818" i="12" a="1"/>
  <c r="N818" i="12" s="1"/>
  <c r="M820" i="12" a="1"/>
  <c r="M820" i="12" s="1"/>
  <c r="M1981" i="13" s="1" a="1"/>
  <c r="M1981" i="13" s="1"/>
  <c r="GT69" i="9" s="1" a="1"/>
  <c r="GT69" i="9" s="1"/>
  <c r="DR73" i="9" a="1"/>
  <c r="DR73" i="9" s="1"/>
  <c r="DS73" i="9" s="1"/>
  <c r="EK72" i="9" a="1"/>
  <c r="EK72" i="9" s="1"/>
  <c r="EL72" i="9" s="1"/>
  <c r="G771" i="12"/>
  <c r="HQ67" i="9" a="1"/>
  <c r="HQ67" i="9" s="1"/>
  <c r="O792" i="12" a="1"/>
  <c r="O792" i="12" s="1"/>
  <c r="O1913" i="13" s="1" a="1"/>
  <c r="O1913" i="13" s="1"/>
  <c r="IF67" i="9" s="1" a="1"/>
  <c r="IF67" i="9" s="1"/>
  <c r="O778" i="12" a="1"/>
  <c r="O778" i="12" s="1"/>
  <c r="O1879" i="13" s="1" a="1"/>
  <c r="O1879" i="13" s="1"/>
  <c r="IF66" i="9" s="1" a="1"/>
  <c r="IF66" i="9" s="1"/>
  <c r="N761" i="12"/>
  <c r="N771" i="12"/>
  <c r="N775" i="12" s="1"/>
  <c r="L1882" i="13" a="1"/>
  <c r="L1882" i="13" s="1"/>
  <c r="L789" i="12"/>
  <c r="M785" i="12"/>
  <c r="O1780" i="13" a="1"/>
  <c r="O1780" i="13" s="1"/>
  <c r="O747" i="12"/>
  <c r="M775" i="12"/>
  <c r="M1848" i="13" a="1"/>
  <c r="M1848" i="13" s="1"/>
  <c r="O757" i="12"/>
  <c r="N1883" i="13" a="1"/>
  <c r="N1883" i="13" s="1"/>
  <c r="N784" i="12"/>
  <c r="N786" i="12" s="1"/>
  <c r="N1884" i="13" s="1" a="1"/>
  <c r="N1884" i="13" s="1"/>
  <c r="O1849" i="13" a="1"/>
  <c r="O1849" i="13" s="1"/>
  <c r="O770" i="12"/>
  <c r="O772" i="12" s="1"/>
  <c r="O1850" i="13" s="1" a="1"/>
  <c r="O1850" i="13" s="1"/>
  <c r="O1878" i="13" a="1"/>
  <c r="O1878" i="13" s="1"/>
  <c r="O1905" i="13" s="1"/>
  <c r="O787" i="12"/>
  <c r="O782" i="12"/>
  <c r="N36" i="13"/>
  <c r="L36" i="13"/>
  <c r="D27" i="22"/>
  <c r="P11" i="23" s="1" a="1"/>
  <c r="P11" i="23" s="1"/>
  <c r="R11" i="23" s="1" a="1"/>
  <c r="R11" i="23" s="1"/>
  <c r="GU11" i="23" s="1"/>
  <c r="BE11" i="9" a="1"/>
  <c r="BE11" i="9" s="1"/>
  <c r="DJ11" i="9" a="1"/>
  <c r="DJ11" i="9" s="1"/>
  <c r="DL11" i="9" s="1"/>
  <c r="BX11" i="9" a="1"/>
  <c r="BX11" i="9" s="1"/>
  <c r="BZ11" i="9" s="1"/>
  <c r="Q11" i="25"/>
  <c r="E21" i="27"/>
  <c r="H38" i="13"/>
  <c r="CU11" i="9" s="1" a="1"/>
  <c r="CU11" i="9" s="1"/>
  <c r="G38" i="13"/>
  <c r="CB11" i="9" s="1" a="1"/>
  <c r="CB11" i="9" s="1"/>
  <c r="M38" i="13"/>
  <c r="GL11" i="9" s="1" a="1"/>
  <c r="GL11" i="9" s="1"/>
  <c r="J38" i="13"/>
  <c r="EG11" i="9" s="1" a="1"/>
  <c r="EG11" i="9" s="1"/>
  <c r="K28" i="13"/>
  <c r="O36" i="13"/>
  <c r="U11" i="9"/>
  <c r="I36" i="13"/>
  <c r="I34" i="13"/>
  <c r="E33" i="13"/>
  <c r="AM11" i="9" s="1" a="1"/>
  <c r="AM11" i="9" s="1"/>
  <c r="K33" i="13"/>
  <c r="EW11" i="9" s="1" a="1"/>
  <c r="EW11" i="9" s="1"/>
  <c r="K23" i="13"/>
  <c r="O23" i="13"/>
  <c r="HT11" i="9" s="1" a="1"/>
  <c r="HT11" i="9" s="1"/>
  <c r="HV11" i="9" s="1"/>
  <c r="H23" i="13"/>
  <c r="O34" i="13"/>
  <c r="F33" i="13"/>
  <c r="BF11" i="9" s="1" a="1"/>
  <c r="BF11" i="9" s="1"/>
  <c r="H28" i="13"/>
  <c r="D34" i="13"/>
  <c r="D36" i="13"/>
  <c r="N38" i="13" l="1"/>
  <c r="HE11" i="9" s="1" a="1"/>
  <c r="HE11" i="9" s="1"/>
  <c r="L38" i="13"/>
  <c r="FS11" i="9" s="1" a="1"/>
  <c r="FS11" i="9" s="1"/>
  <c r="FU11" i="9" s="1"/>
  <c r="GC11" i="9" s="1"/>
  <c r="L23" i="25" a="1"/>
  <c r="L23" i="25" s="1"/>
  <c r="EY11" i="9"/>
  <c r="O23" i="25" a="1"/>
  <c r="O23" i="25" s="1"/>
  <c r="HD11" i="9"/>
  <c r="F23" i="25" a="1"/>
  <c r="F23" i="25" s="1"/>
  <c r="AO11" i="9"/>
  <c r="HC11" i="9"/>
  <c r="M23" i="25" a="1"/>
  <c r="M23" i="25" s="1"/>
  <c r="FR11" i="9"/>
  <c r="G23" i="25" a="1"/>
  <c r="G23" i="25" s="1"/>
  <c r="BH11" i="9"/>
  <c r="BG11" i="9"/>
  <c r="AN11" i="9"/>
  <c r="I2150" i="13" a="1"/>
  <c r="I2150" i="13" s="1"/>
  <c r="I2177" i="13" s="1"/>
  <c r="I894" i="12"/>
  <c r="I899" i="12"/>
  <c r="G897" i="12"/>
  <c r="G2154" i="13" s="1" a="1"/>
  <c r="G2154" i="13" s="1"/>
  <c r="G898" i="12"/>
  <c r="M813" i="12"/>
  <c r="M1950" i="13" s="1" a="1"/>
  <c r="M1950" i="13" s="1"/>
  <c r="M814" i="12"/>
  <c r="O1946" i="13" a="1"/>
  <c r="O1946" i="13" s="1"/>
  <c r="O1973" i="13" s="1"/>
  <c r="O810" i="12"/>
  <c r="O815" i="12"/>
  <c r="K841" i="12"/>
  <c r="K842" i="12"/>
  <c r="K2020" i="13" s="1" a="1"/>
  <c r="K2020" i="13" s="1"/>
  <c r="N1951" i="13" a="1"/>
  <c r="N1951" i="13" s="1"/>
  <c r="N812" i="12"/>
  <c r="L2019" i="13" a="1"/>
  <c r="L2019" i="13" s="1"/>
  <c r="L840" i="12"/>
  <c r="J764" i="12" a="1"/>
  <c r="J764" i="12" s="1"/>
  <c r="J1845" i="13" s="1" a="1"/>
  <c r="J1845" i="13" s="1"/>
  <c r="EO65" i="9" s="1" a="1"/>
  <c r="EO65" i="9" s="1"/>
  <c r="J862" i="12" a="1"/>
  <c r="J862" i="12" s="1"/>
  <c r="J2083" i="13" s="1" a="1"/>
  <c r="J2083" i="13" s="1"/>
  <c r="EO72" i="9" s="1" a="1"/>
  <c r="EO72" i="9" s="1"/>
  <c r="H883" i="12"/>
  <c r="H2120" i="13" s="1" a="1"/>
  <c r="H2120" i="13" s="1"/>
  <c r="H884" i="12"/>
  <c r="H2086" i="13" a="1"/>
  <c r="H2086" i="13" s="1"/>
  <c r="H873" i="12"/>
  <c r="L1950" i="13" a="1"/>
  <c r="L1950" i="13" s="1"/>
  <c r="L817" i="12"/>
  <c r="J855" i="12"/>
  <c r="J2052" i="13" s="1" a="1"/>
  <c r="J2052" i="13" s="1"/>
  <c r="J856" i="12"/>
  <c r="K2082" i="13" a="1"/>
  <c r="K2082" i="13" s="1"/>
  <c r="K2109" i="13" s="1"/>
  <c r="K871" i="12"/>
  <c r="K866" i="12"/>
  <c r="O1917" i="13" a="1"/>
  <c r="O1917" i="13" s="1"/>
  <c r="O798" i="12"/>
  <c r="K831" i="12"/>
  <c r="K1986" i="13" a="1"/>
  <c r="K1986" i="13" s="1"/>
  <c r="M1985" i="13" a="1"/>
  <c r="M1985" i="13" s="1"/>
  <c r="M826" i="12"/>
  <c r="L736" i="12" a="1"/>
  <c r="L736" i="12" s="1"/>
  <c r="L1777" i="13" s="1" a="1"/>
  <c r="L1777" i="13" s="1"/>
  <c r="GA63" i="9" s="1" a="1"/>
  <c r="GA63" i="9" s="1"/>
  <c r="L834" i="12" a="1"/>
  <c r="L834" i="12" s="1"/>
  <c r="L2015" i="13" s="1" a="1"/>
  <c r="L2015" i="13" s="1"/>
  <c r="GA70" i="9" s="1" a="1"/>
  <c r="GA70" i="9" s="1"/>
  <c r="J2116" i="13" a="1"/>
  <c r="J2116" i="13" s="1"/>
  <c r="J2143" i="13" s="1"/>
  <c r="J885" i="12"/>
  <c r="J880" i="12"/>
  <c r="H2184" i="13" a="1"/>
  <c r="H2184" i="13" s="1"/>
  <c r="H2211" i="13" s="1"/>
  <c r="H908" i="12"/>
  <c r="H913" i="12"/>
  <c r="K2053" i="13" a="1"/>
  <c r="K2053" i="13" s="1"/>
  <c r="K854" i="12"/>
  <c r="G2120" i="13" a="1"/>
  <c r="G2120" i="13" s="1"/>
  <c r="G887" i="12"/>
  <c r="H2155" i="13" a="1"/>
  <c r="H2155" i="13" s="1"/>
  <c r="H896" i="12"/>
  <c r="L827" i="12"/>
  <c r="L1984" i="13" s="1" a="1"/>
  <c r="L1984" i="13" s="1"/>
  <c r="L828" i="12"/>
  <c r="F911" i="12"/>
  <c r="F2188" i="13" s="1" a="1"/>
  <c r="F2188" i="13" s="1"/>
  <c r="F912" i="12"/>
  <c r="I2121" i="13" a="1"/>
  <c r="I2121" i="13" s="1"/>
  <c r="I882" i="12"/>
  <c r="N1980" i="13" a="1"/>
  <c r="N1980" i="13" s="1"/>
  <c r="N2007" i="13" s="1"/>
  <c r="N824" i="12"/>
  <c r="N829" i="12"/>
  <c r="M2014" i="13" a="1"/>
  <c r="M2014" i="13" s="1"/>
  <c r="M2041" i="13" s="1"/>
  <c r="M838" i="12"/>
  <c r="M843" i="12"/>
  <c r="I778" i="12" a="1"/>
  <c r="I778" i="12" s="1"/>
  <c r="I1879" i="13" s="1" a="1"/>
  <c r="I1879" i="13" s="1"/>
  <c r="DV66" i="9" s="1" a="1"/>
  <c r="DV66" i="9" s="1"/>
  <c r="I876" i="12" a="1"/>
  <c r="I876" i="12" s="1"/>
  <c r="I2117" i="13" s="1" a="1"/>
  <c r="I2117" i="13" s="1"/>
  <c r="DV73" i="9" s="1" a="1"/>
  <c r="DV73" i="9" s="1"/>
  <c r="N799" i="12"/>
  <c r="N1916" i="13" s="1" a="1"/>
  <c r="N1916" i="13" s="1"/>
  <c r="N800" i="12"/>
  <c r="K750" i="12" a="1"/>
  <c r="K750" i="12" s="1"/>
  <c r="K1811" i="13" s="1" a="1"/>
  <c r="K1811" i="13" s="1"/>
  <c r="FH64" i="9" s="1" a="1"/>
  <c r="FH64" i="9" s="1"/>
  <c r="K848" i="12" a="1"/>
  <c r="K848" i="12" s="1"/>
  <c r="K2049" i="13" s="1" a="1"/>
  <c r="K2049" i="13" s="1"/>
  <c r="FH71" i="9" s="1" a="1"/>
  <c r="FH71" i="9" s="1"/>
  <c r="J2087" i="13" a="1"/>
  <c r="J2087" i="13" s="1"/>
  <c r="J868" i="12"/>
  <c r="F901" i="12"/>
  <c r="F2156" i="13" a="1"/>
  <c r="F2156" i="13" s="1"/>
  <c r="J845" i="12"/>
  <c r="J2020" i="13" a="1"/>
  <c r="J2020" i="13" s="1"/>
  <c r="L2048" i="13" a="1"/>
  <c r="L2048" i="13" s="1"/>
  <c r="L2075" i="13" s="1"/>
  <c r="L852" i="12"/>
  <c r="L857" i="12"/>
  <c r="M803" i="12"/>
  <c r="M1918" i="13" a="1"/>
  <c r="M1918" i="13" s="1"/>
  <c r="I869" i="12"/>
  <c r="I870" i="12"/>
  <c r="I2088" i="13" s="1" a="1"/>
  <c r="I2088" i="13" s="1"/>
  <c r="G2189" i="13" a="1"/>
  <c r="G2189" i="13" s="1"/>
  <c r="G910" i="12"/>
  <c r="I859" i="12"/>
  <c r="I2054" i="13" a="1"/>
  <c r="I2054" i="13" s="1"/>
  <c r="E2188" i="13" a="1"/>
  <c r="E2188" i="13" s="1"/>
  <c r="E915" i="12"/>
  <c r="DA74" i="9"/>
  <c r="DB74" i="9" s="1"/>
  <c r="FD72" i="9" a="1"/>
  <c r="FD72" i="9" s="1"/>
  <c r="FE72" i="9" s="1"/>
  <c r="HQ68" i="9" a="1"/>
  <c r="HQ68" i="9" s="1"/>
  <c r="O806" i="12" a="1"/>
  <c r="O806" i="12" s="1"/>
  <c r="O1947" i="13" s="1" a="1"/>
  <c r="O1947" i="13" s="1"/>
  <c r="IF68" i="9" s="1" a="1"/>
  <c r="IF68" i="9" s="1"/>
  <c r="FY70" i="9"/>
  <c r="FZ70" i="9" s="1"/>
  <c r="DT73" i="9"/>
  <c r="DU73" i="9" s="1"/>
  <c r="DG74" i="9" a="1"/>
  <c r="DG74" i="9" s="1"/>
  <c r="J888" i="12" a="1"/>
  <c r="J888" i="12" s="1"/>
  <c r="I890" i="12" a="1"/>
  <c r="I890" i="12" s="1"/>
  <c r="I2151" i="13" s="1" a="1"/>
  <c r="I2151" i="13" s="1"/>
  <c r="DV74" i="9" s="1" a="1"/>
  <c r="DV74" i="9" s="1"/>
  <c r="CH75" i="9"/>
  <c r="CI75" i="9" s="1"/>
  <c r="EK73" i="9" a="1"/>
  <c r="EK73" i="9" s="1"/>
  <c r="EL73" i="9" s="1"/>
  <c r="IB68" i="9" a="1"/>
  <c r="IB68" i="9" s="1"/>
  <c r="IC68" i="9" s="1"/>
  <c r="CY75" i="9" a="1"/>
  <c r="CY75" i="9" s="1"/>
  <c r="CZ75" i="9" s="1"/>
  <c r="CN75" i="9" a="1"/>
  <c r="CN75" i="9" s="1"/>
  <c r="I902" i="12" a="1"/>
  <c r="I902" i="12" s="1"/>
  <c r="H904" i="12" a="1"/>
  <c r="H904" i="12" s="1"/>
  <c r="H2185" i="13" s="1" a="1"/>
  <c r="H2185" i="13" s="1"/>
  <c r="DC75" i="9" s="1" a="1"/>
  <c r="DC75" i="9" s="1"/>
  <c r="HK68" i="9"/>
  <c r="HL68" i="9" s="1"/>
  <c r="FF71" i="9"/>
  <c r="FG71" i="9" s="1"/>
  <c r="G775" i="12"/>
  <c r="G1848" i="13" a="1"/>
  <c r="G1848" i="13" s="1"/>
  <c r="GX69" i="9" a="1"/>
  <c r="GX69" i="9" s="1"/>
  <c r="N820" i="12" a="1"/>
  <c r="N820" i="12" s="1"/>
  <c r="N1981" i="13" s="1" a="1"/>
  <c r="N1981" i="13" s="1"/>
  <c r="HM69" i="9" s="1" a="1"/>
  <c r="HM69" i="9" s="1"/>
  <c r="O818" i="12" a="1"/>
  <c r="O818" i="12" s="1"/>
  <c r="FL71" i="9" a="1"/>
  <c r="FL71" i="9" s="1"/>
  <c r="M846" i="12" a="1"/>
  <c r="M846" i="12" s="1"/>
  <c r="FW71" i="9" a="1"/>
  <c r="FW71" i="9" s="1"/>
  <c r="FX71" i="9" s="1"/>
  <c r="DZ73" i="9" a="1"/>
  <c r="DZ73" i="9" s="1"/>
  <c r="K874" i="12" a="1"/>
  <c r="K874" i="12" s="1"/>
  <c r="ES72" i="9" a="1"/>
  <c r="ES72" i="9" s="1"/>
  <c r="L860" i="12" a="1"/>
  <c r="L860" i="12" s="1"/>
  <c r="GE70" i="9" a="1"/>
  <c r="GE70" i="9" s="1"/>
  <c r="N832" i="12" a="1"/>
  <c r="N832" i="12" s="1"/>
  <c r="HI62" i="9" a="1"/>
  <c r="HI62" i="9" s="1"/>
  <c r="HJ62" i="9" s="1"/>
  <c r="HK62" i="9" s="1"/>
  <c r="HL62" i="9" s="1"/>
  <c r="HI69" i="9" a="1"/>
  <c r="HI69" i="9" s="1"/>
  <c r="HJ69" i="9" s="1"/>
  <c r="GR69" i="9"/>
  <c r="GS69" i="9" s="1"/>
  <c r="ID67" i="9"/>
  <c r="IE67" i="9" s="1"/>
  <c r="EM72" i="9"/>
  <c r="EN72" i="9" s="1"/>
  <c r="DR74" i="9" a="1"/>
  <c r="DR74" i="9" s="1"/>
  <c r="DS74" i="9" s="1"/>
  <c r="GP70" i="9" a="1"/>
  <c r="GP70" i="9" s="1"/>
  <c r="GQ70" i="9" s="1"/>
  <c r="N1848" i="13" a="1"/>
  <c r="N1848" i="13" s="1"/>
  <c r="O771" i="12"/>
  <c r="O1848" i="13" s="1" a="1"/>
  <c r="O1848" i="13" s="1"/>
  <c r="O761" i="12"/>
  <c r="O1814" i="13" a="1"/>
  <c r="O1814" i="13" s="1"/>
  <c r="O784" i="12"/>
  <c r="O786" i="12" s="1"/>
  <c r="O1884" i="13" s="1" a="1"/>
  <c r="O1884" i="13" s="1"/>
  <c r="O1883" i="13" a="1"/>
  <c r="O1883" i="13" s="1"/>
  <c r="N785" i="12"/>
  <c r="M789" i="12"/>
  <c r="M1882" i="13" a="1"/>
  <c r="M1882" i="13" s="1"/>
  <c r="EV11" i="9" a="1"/>
  <c r="EV11" i="9" s="1"/>
  <c r="EX11" i="9" s="1"/>
  <c r="CQ11" i="9" a="1"/>
  <c r="CQ11" i="9" s="1"/>
  <c r="CS11" i="9" s="1"/>
  <c r="O38" i="13"/>
  <c r="D38" i="13"/>
  <c r="I38" i="13"/>
  <c r="U11" i="23" a="1"/>
  <c r="U11" i="23" s="1"/>
  <c r="T11" i="23"/>
  <c r="GW11" i="23" s="1"/>
  <c r="CD11" i="9"/>
  <c r="CL11" i="9" s="1"/>
  <c r="EI11" i="9"/>
  <c r="EQ11" i="9" s="1"/>
  <c r="V11" i="9"/>
  <c r="HG11" i="9"/>
  <c r="HO11" i="9" s="1"/>
  <c r="CW11" i="9"/>
  <c r="DE11" i="9" s="1"/>
  <c r="GN11" i="9"/>
  <c r="GV11" i="9" s="1"/>
  <c r="K36" i="13"/>
  <c r="E34" i="13"/>
  <c r="E36" i="13"/>
  <c r="K34" i="13"/>
  <c r="F34" i="13"/>
  <c r="F36" i="13"/>
  <c r="Q23" i="25" l="1"/>
  <c r="O1980" i="13" a="1"/>
  <c r="O1980" i="13" s="1"/>
  <c r="O2007" i="13" s="1"/>
  <c r="O829" i="12"/>
  <c r="O824" i="12"/>
  <c r="M736" i="12" a="1"/>
  <c r="M736" i="12" s="1"/>
  <c r="M1777" i="13" s="1" a="1"/>
  <c r="M1777" i="13" s="1"/>
  <c r="GT63" i="9" s="1" a="1"/>
  <c r="GT63" i="9" s="1"/>
  <c r="M834" i="12" a="1"/>
  <c r="M834" i="12" s="1"/>
  <c r="M2015" i="13" s="1" a="1"/>
  <c r="M2015" i="13" s="1"/>
  <c r="GT70" i="9" s="1" a="1"/>
  <c r="GT70" i="9" s="1"/>
  <c r="J2150" i="13" a="1"/>
  <c r="J2150" i="13" s="1"/>
  <c r="J2177" i="13" s="1"/>
  <c r="J894" i="12"/>
  <c r="J899" i="12"/>
  <c r="I2086" i="13" a="1"/>
  <c r="I2086" i="13" s="1"/>
  <c r="I873" i="12"/>
  <c r="I883" i="12"/>
  <c r="I884" i="12"/>
  <c r="I2122" i="13" s="1" a="1"/>
  <c r="I2122" i="13" s="1"/>
  <c r="O799" i="12"/>
  <c r="O1916" i="13" s="1" a="1"/>
  <c r="O1916" i="13" s="1"/>
  <c r="O800" i="12"/>
  <c r="M817" i="12"/>
  <c r="M1952" i="13" a="1"/>
  <c r="M1952" i="13" s="1"/>
  <c r="I2184" i="13" a="1"/>
  <c r="I2184" i="13" s="1"/>
  <c r="I2211" i="13" s="1"/>
  <c r="I908" i="12"/>
  <c r="I913" i="12"/>
  <c r="J2121" i="13" a="1"/>
  <c r="J2121" i="13" s="1"/>
  <c r="J882" i="12"/>
  <c r="L841" i="12"/>
  <c r="L2018" i="13" s="1" a="1"/>
  <c r="L2018" i="13" s="1"/>
  <c r="L842" i="12"/>
  <c r="L2082" i="13" a="1"/>
  <c r="L2082" i="13" s="1"/>
  <c r="L2109" i="13" s="1"/>
  <c r="L871" i="12"/>
  <c r="L866" i="12"/>
  <c r="L750" i="12" a="1"/>
  <c r="L750" i="12" s="1"/>
  <c r="L1811" i="13" s="1" a="1"/>
  <c r="L1811" i="13" s="1"/>
  <c r="GA64" i="9" s="1" a="1"/>
  <c r="GA64" i="9" s="1"/>
  <c r="L848" i="12" a="1"/>
  <c r="L848" i="12" s="1"/>
  <c r="L2049" i="13" s="1" a="1"/>
  <c r="L2049" i="13" s="1"/>
  <c r="GA71" i="9" s="1" a="1"/>
  <c r="GA71" i="9" s="1"/>
  <c r="N813" i="12"/>
  <c r="N1950" i="13" s="1" a="1"/>
  <c r="N1950" i="13" s="1"/>
  <c r="N814" i="12"/>
  <c r="K2116" i="13" a="1"/>
  <c r="K2116" i="13" s="1"/>
  <c r="K2143" i="13" s="1"/>
  <c r="K885" i="12"/>
  <c r="K880" i="12"/>
  <c r="M2048" i="13" a="1"/>
  <c r="M2048" i="13" s="1"/>
  <c r="M2075" i="13" s="1"/>
  <c r="M857" i="12"/>
  <c r="M852" i="12"/>
  <c r="J869" i="12"/>
  <c r="J870" i="12"/>
  <c r="J2088" i="13" s="1" a="1"/>
  <c r="J2088" i="13" s="1"/>
  <c r="F915" i="12"/>
  <c r="F2190" i="13" a="1"/>
  <c r="F2190" i="13" s="1"/>
  <c r="K855" i="12"/>
  <c r="K2052" i="13" s="1" a="1"/>
  <c r="K2052" i="13" s="1"/>
  <c r="K856" i="12"/>
  <c r="K2087" i="13" a="1"/>
  <c r="K2087" i="13" s="1"/>
  <c r="K868" i="12"/>
  <c r="G901" i="12"/>
  <c r="G2156" i="13" a="1"/>
  <c r="G2156" i="13" s="1"/>
  <c r="M2019" i="13" a="1"/>
  <c r="M2019" i="13" s="1"/>
  <c r="M840" i="12"/>
  <c r="H887" i="12"/>
  <c r="H2122" i="13" a="1"/>
  <c r="H2122" i="13" s="1"/>
  <c r="K764" i="12" a="1"/>
  <c r="K764" i="12" s="1"/>
  <c r="K1845" i="13" s="1" a="1"/>
  <c r="K1845" i="13" s="1"/>
  <c r="FH65" i="9" s="1" a="1"/>
  <c r="FH65" i="9" s="1"/>
  <c r="K862" i="12" a="1"/>
  <c r="K862" i="12" s="1"/>
  <c r="K2083" i="13" s="1" a="1"/>
  <c r="K2083" i="13" s="1"/>
  <c r="FH72" i="9" s="1" a="1"/>
  <c r="FH72" i="9" s="1"/>
  <c r="J778" i="12" a="1"/>
  <c r="J778" i="12" s="1"/>
  <c r="J1879" i="13" s="1" a="1"/>
  <c r="J1879" i="13" s="1"/>
  <c r="EO66" i="9" s="1" a="1"/>
  <c r="EO66" i="9" s="1"/>
  <c r="J876" i="12" a="1"/>
  <c r="J876" i="12" s="1"/>
  <c r="J2117" i="13" s="1" a="1"/>
  <c r="J2117" i="13" s="1"/>
  <c r="EO73" i="9" s="1" a="1"/>
  <c r="EO73" i="9" s="1"/>
  <c r="L2053" i="13" a="1"/>
  <c r="L2053" i="13" s="1"/>
  <c r="L854" i="12"/>
  <c r="L831" i="12"/>
  <c r="L1986" i="13" a="1"/>
  <c r="L1986" i="13" s="1"/>
  <c r="M827" i="12"/>
  <c r="M1984" i="13" s="1" a="1"/>
  <c r="M1984" i="13" s="1"/>
  <c r="M828" i="12"/>
  <c r="K2018" i="13" a="1"/>
  <c r="K2018" i="13" s="1"/>
  <c r="K845" i="12"/>
  <c r="G911" i="12"/>
  <c r="G2188" i="13" s="1" a="1"/>
  <c r="G2188" i="13" s="1"/>
  <c r="G912" i="12"/>
  <c r="H2189" i="13" a="1"/>
  <c r="H2189" i="13" s="1"/>
  <c r="H910" i="12"/>
  <c r="J859" i="12"/>
  <c r="J2054" i="13" a="1"/>
  <c r="J2054" i="13" s="1"/>
  <c r="I2155" i="13" a="1"/>
  <c r="I2155" i="13" s="1"/>
  <c r="I896" i="12"/>
  <c r="N2014" i="13" a="1"/>
  <c r="N2014" i="13" s="1"/>
  <c r="N2041" i="13" s="1"/>
  <c r="N843" i="12"/>
  <c r="N838" i="12"/>
  <c r="N803" i="12"/>
  <c r="N1918" i="13" a="1"/>
  <c r="N1918" i="13" s="1"/>
  <c r="N1985" i="13" a="1"/>
  <c r="N1985" i="13" s="1"/>
  <c r="N826" i="12"/>
  <c r="H897" i="12"/>
  <c r="H2154" i="13" s="1" a="1"/>
  <c r="H2154" i="13" s="1"/>
  <c r="H898" i="12"/>
  <c r="O1951" i="13" a="1"/>
  <c r="O1951" i="13" s="1"/>
  <c r="O812" i="12"/>
  <c r="EK74" i="9" a="1"/>
  <c r="EK74" i="9" s="1"/>
  <c r="EL74" i="9" s="1"/>
  <c r="FY71" i="9"/>
  <c r="FZ71" i="9" s="1"/>
  <c r="DG75" i="9" a="1"/>
  <c r="DG75" i="9" s="1"/>
  <c r="J902" i="12" a="1"/>
  <c r="J902" i="12" s="1"/>
  <c r="I904" i="12" a="1"/>
  <c r="I904" i="12" s="1"/>
  <c r="I2185" i="13" s="1" a="1"/>
  <c r="I2185" i="13" s="1"/>
  <c r="DV75" i="9" s="1" a="1"/>
  <c r="DV75" i="9" s="1"/>
  <c r="EM73" i="9"/>
  <c r="EN73" i="9" s="1"/>
  <c r="DZ74" i="9" a="1"/>
  <c r="DZ74" i="9" s="1"/>
  <c r="J890" i="12" a="1"/>
  <c r="J890" i="12" s="1"/>
  <c r="J2151" i="13" s="1" a="1"/>
  <c r="J2151" i="13" s="1"/>
  <c r="EO74" i="9" s="1" a="1"/>
  <c r="EO74" i="9" s="1"/>
  <c r="K888" i="12" a="1"/>
  <c r="K888" i="12" s="1"/>
  <c r="FF72" i="9"/>
  <c r="FG72" i="9" s="1"/>
  <c r="FD73" i="9" a="1"/>
  <c r="FD73" i="9" s="1"/>
  <c r="FE73" i="9" s="1"/>
  <c r="FW72" i="9" a="1"/>
  <c r="FW72" i="9" s="1"/>
  <c r="FX72" i="9" s="1"/>
  <c r="IB62" i="9" a="1"/>
  <c r="IB62" i="9" s="1"/>
  <c r="IC62" i="9" s="1"/>
  <c r="ID62" i="9" s="1"/>
  <c r="IE62" i="9" s="1"/>
  <c r="IB69" i="9" a="1"/>
  <c r="IB69" i="9" s="1"/>
  <c r="IC69" i="9" s="1"/>
  <c r="D82" i="24" a="1"/>
  <c r="D82" i="24" s="1"/>
  <c r="HI70" i="9" a="1"/>
  <c r="HI70" i="9" s="1"/>
  <c r="HJ70" i="9" s="1"/>
  <c r="HK69" i="9"/>
  <c r="HL69" i="9" s="1"/>
  <c r="GE71" i="9" a="1"/>
  <c r="GE71" i="9" s="1"/>
  <c r="N846" i="12" a="1"/>
  <c r="N846" i="12" s="1"/>
  <c r="GX70" i="9" a="1"/>
  <c r="GX70" i="9" s="1"/>
  <c r="O832" i="12" a="1"/>
  <c r="O832" i="12" s="1"/>
  <c r="GR70" i="9"/>
  <c r="GS70" i="9" s="1"/>
  <c r="DA75" i="9"/>
  <c r="DB75" i="9" s="1"/>
  <c r="DR75" i="9" a="1"/>
  <c r="DR75" i="9" s="1"/>
  <c r="DS75" i="9" s="1"/>
  <c r="ES73" i="9" a="1"/>
  <c r="ES73" i="9" s="1"/>
  <c r="L874" i="12" a="1"/>
  <c r="L874" i="12" s="1"/>
  <c r="ID68" i="9"/>
  <c r="IE68" i="9" s="1"/>
  <c r="DT74" i="9"/>
  <c r="DU74" i="9" s="1"/>
  <c r="FL72" i="9" a="1"/>
  <c r="FL72" i="9" s="1"/>
  <c r="M860" i="12" a="1"/>
  <c r="M860" i="12" s="1"/>
  <c r="HQ69" i="9" a="1"/>
  <c r="HQ69" i="9" s="1"/>
  <c r="O820" i="12" a="1"/>
  <c r="O820" i="12" s="1"/>
  <c r="O1981" i="13" s="1" a="1"/>
  <c r="O1981" i="13" s="1"/>
  <c r="IF69" i="9" s="1" a="1"/>
  <c r="IF69" i="9" s="1"/>
  <c r="D81" i="24" a="1"/>
  <c r="D81" i="24" s="1"/>
  <c r="GP71" i="9" a="1"/>
  <c r="GP71" i="9" s="1"/>
  <c r="GQ71" i="9" s="1"/>
  <c r="O775" i="12"/>
  <c r="N1882" i="13" a="1"/>
  <c r="N1882" i="13" s="1"/>
  <c r="N789" i="12"/>
  <c r="O785" i="12"/>
  <c r="HX11" i="9" a="1"/>
  <c r="HX11" i="9" s="1"/>
  <c r="HZ11" i="9" s="1"/>
  <c r="DN11" i="9" a="1"/>
  <c r="DN11" i="9" s="1"/>
  <c r="DP11" i="9" s="1"/>
  <c r="F38" i="13"/>
  <c r="BI11" i="9" s="1" a="1"/>
  <c r="BI11" i="9" s="1"/>
  <c r="K38" i="13"/>
  <c r="EZ11" i="9" s="1" a="1"/>
  <c r="EZ11" i="9" s="1"/>
  <c r="E38" i="13"/>
  <c r="AP11" i="9" s="1" a="1"/>
  <c r="AP11" i="9" s="1"/>
  <c r="GX11" i="23"/>
  <c r="GY11" i="23"/>
  <c r="GZ11" i="23" s="1"/>
  <c r="Z11" i="23"/>
  <c r="GO11" i="9" a="1"/>
  <c r="GO11" i="9" s="1"/>
  <c r="GW11" i="9" s="1"/>
  <c r="O24" i="24" s="1" a="1"/>
  <c r="O24" i="24" s="1"/>
  <c r="CE11" i="9" a="1"/>
  <c r="CE11" i="9" s="1"/>
  <c r="CM11" i="9" s="1"/>
  <c r="I24" i="24" s="1" a="1"/>
  <c r="I24" i="24" s="1"/>
  <c r="HH11" i="9" a="1"/>
  <c r="HH11" i="9" s="1"/>
  <c r="HP11" i="9" s="1"/>
  <c r="P24" i="24" s="1" a="1"/>
  <c r="P24" i="24" s="1"/>
  <c r="CX11" i="9" a="1"/>
  <c r="CX11" i="9" s="1"/>
  <c r="DF11" i="9" s="1"/>
  <c r="J24" i="24" s="1" a="1"/>
  <c r="J24" i="24" s="1"/>
  <c r="EJ11" i="9" a="1"/>
  <c r="EJ11" i="9" s="1"/>
  <c r="ER11" i="9" s="1"/>
  <c r="L24" i="24" s="1" a="1"/>
  <c r="L24" i="24" s="1"/>
  <c r="FV11" i="9" a="1"/>
  <c r="FV11" i="9" s="1"/>
  <c r="GD11" i="9" s="1"/>
  <c r="N24" i="24" s="1" a="1"/>
  <c r="N24" i="24" s="1"/>
  <c r="W11" i="9" a="1"/>
  <c r="W11" i="9" s="1"/>
  <c r="Y11" i="9" s="1"/>
  <c r="AG11" i="9" s="1"/>
  <c r="K859" i="12" l="1"/>
  <c r="K2054" i="13" a="1"/>
  <c r="K2054" i="13" s="1"/>
  <c r="M750" i="12" a="1"/>
  <c r="M750" i="12" s="1"/>
  <c r="M1811" i="13" s="1" a="1"/>
  <c r="M1811" i="13" s="1"/>
  <c r="GT64" i="9" s="1" a="1"/>
  <c r="GT64" i="9" s="1"/>
  <c r="M848" i="12" a="1"/>
  <c r="M848" i="12" s="1"/>
  <c r="M2049" i="13" s="1" a="1"/>
  <c r="M2049" i="13" s="1"/>
  <c r="GT71" i="9" s="1" a="1"/>
  <c r="GT71" i="9" s="1"/>
  <c r="L764" i="12" a="1"/>
  <c r="L764" i="12" s="1"/>
  <c r="L1845" i="13" s="1" a="1"/>
  <c r="L1845" i="13" s="1"/>
  <c r="GA65" i="9" s="1" a="1"/>
  <c r="GA65" i="9" s="1"/>
  <c r="L862" i="12" a="1"/>
  <c r="L862" i="12" s="1"/>
  <c r="L2083" i="13" s="1" a="1"/>
  <c r="L2083" i="13" s="1"/>
  <c r="GA72" i="9" s="1" a="1"/>
  <c r="GA72" i="9" s="1"/>
  <c r="N2048" i="13" a="1"/>
  <c r="N2048" i="13" s="1"/>
  <c r="N2075" i="13" s="1"/>
  <c r="N857" i="12"/>
  <c r="N852" i="12"/>
  <c r="G915" i="12"/>
  <c r="G2190" i="13" a="1"/>
  <c r="G2190" i="13" s="1"/>
  <c r="L855" i="12"/>
  <c r="L2052" i="13" s="1" a="1"/>
  <c r="L2052" i="13" s="1"/>
  <c r="L856" i="12"/>
  <c r="M841" i="12"/>
  <c r="M842" i="12"/>
  <c r="M2020" i="13" s="1" a="1"/>
  <c r="M2020" i="13" s="1"/>
  <c r="L2116" i="13" a="1"/>
  <c r="L2116" i="13" s="1"/>
  <c r="L2143" i="13" s="1"/>
  <c r="L885" i="12"/>
  <c r="L880" i="12"/>
  <c r="N2019" i="13" a="1"/>
  <c r="N2019" i="13" s="1"/>
  <c r="N840" i="12"/>
  <c r="M2082" i="13" a="1"/>
  <c r="M2082" i="13" s="1"/>
  <c r="M2109" i="13" s="1"/>
  <c r="M871" i="12"/>
  <c r="M866" i="12"/>
  <c r="H901" i="12"/>
  <c r="H2156" i="13" a="1"/>
  <c r="H2156" i="13" s="1"/>
  <c r="L845" i="12"/>
  <c r="L2020" i="13" a="1"/>
  <c r="L2020" i="13" s="1"/>
  <c r="J2155" i="13" a="1"/>
  <c r="J2155" i="13" s="1"/>
  <c r="J896" i="12"/>
  <c r="O2014" i="13" a="1"/>
  <c r="O2014" i="13" s="1"/>
  <c r="O2041" i="13" s="1"/>
  <c r="O843" i="12"/>
  <c r="O838" i="12"/>
  <c r="H911" i="12"/>
  <c r="H2188" i="13" s="1" a="1"/>
  <c r="H2188" i="13" s="1"/>
  <c r="H912" i="12"/>
  <c r="O813" i="12"/>
  <c r="O814" i="12"/>
  <c r="O1952" i="13" s="1" a="1"/>
  <c r="O1952" i="13" s="1"/>
  <c r="J2184" i="13" a="1"/>
  <c r="J2184" i="13" s="1"/>
  <c r="J2211" i="13" s="1"/>
  <c r="J908" i="12"/>
  <c r="J913" i="12"/>
  <c r="I897" i="12"/>
  <c r="I898" i="12"/>
  <c r="I2156" i="13" s="1" a="1"/>
  <c r="I2156" i="13" s="1"/>
  <c r="N817" i="12"/>
  <c r="N1952" i="13" a="1"/>
  <c r="N1952" i="13" s="1"/>
  <c r="O803" i="12"/>
  <c r="O1918" i="13" a="1"/>
  <c r="O1918" i="13" s="1"/>
  <c r="N827" i="12"/>
  <c r="N1984" i="13" s="1" a="1"/>
  <c r="N1984" i="13" s="1"/>
  <c r="N828" i="12"/>
  <c r="J2086" i="13" a="1"/>
  <c r="J2086" i="13" s="1"/>
  <c r="J873" i="12"/>
  <c r="J883" i="12"/>
  <c r="J2120" i="13" s="1" a="1"/>
  <c r="J2120" i="13" s="1"/>
  <c r="J884" i="12"/>
  <c r="M2053" i="13" a="1"/>
  <c r="M2053" i="13" s="1"/>
  <c r="M854" i="12"/>
  <c r="K869" i="12"/>
  <c r="K870" i="12"/>
  <c r="K2088" i="13" s="1" a="1"/>
  <c r="K2088" i="13" s="1"/>
  <c r="K778" i="12" a="1"/>
  <c r="K778" i="12" s="1"/>
  <c r="K1879" i="13" s="1" a="1"/>
  <c r="K1879" i="13" s="1"/>
  <c r="FH66" i="9" s="1" a="1"/>
  <c r="FH66" i="9" s="1"/>
  <c r="K876" i="12" a="1"/>
  <c r="K876" i="12" s="1"/>
  <c r="K2117" i="13" s="1" a="1"/>
  <c r="K2117" i="13" s="1"/>
  <c r="FH73" i="9" s="1" a="1"/>
  <c r="FH73" i="9" s="1"/>
  <c r="N736" i="12" a="1"/>
  <c r="N736" i="12" s="1"/>
  <c r="N1777" i="13" s="1" a="1"/>
  <c r="N1777" i="13" s="1"/>
  <c r="HM63" i="9" s="1" a="1"/>
  <c r="HM63" i="9" s="1"/>
  <c r="N834" i="12" a="1"/>
  <c r="N834" i="12" s="1"/>
  <c r="N2015" i="13" s="1" a="1"/>
  <c r="N2015" i="13" s="1"/>
  <c r="HM70" i="9" s="1" a="1"/>
  <c r="HM70" i="9" s="1"/>
  <c r="K2150" i="13" a="1"/>
  <c r="K2150" i="13" s="1"/>
  <c r="K2177" i="13" s="1"/>
  <c r="K894" i="12"/>
  <c r="K899" i="12"/>
  <c r="I2120" i="13" a="1"/>
  <c r="I2120" i="13" s="1"/>
  <c r="I887" i="12"/>
  <c r="O1985" i="13" a="1"/>
  <c r="O1985" i="13" s="1"/>
  <c r="O826" i="12"/>
  <c r="L2087" i="13" a="1"/>
  <c r="L2087" i="13" s="1"/>
  <c r="L868" i="12"/>
  <c r="I2189" i="13" a="1"/>
  <c r="I2189" i="13" s="1"/>
  <c r="I910" i="12"/>
  <c r="M831" i="12"/>
  <c r="M1986" i="13" a="1"/>
  <c r="M1986" i="13" s="1"/>
  <c r="K2121" i="13" a="1"/>
  <c r="K2121" i="13" s="1"/>
  <c r="K882" i="12"/>
  <c r="GR71" i="9"/>
  <c r="GS71" i="9" s="1"/>
  <c r="HQ70" i="9" a="1"/>
  <c r="HQ70" i="9" s="1"/>
  <c r="O834" i="12" a="1"/>
  <c r="O834" i="12" s="1"/>
  <c r="O2015" i="13" s="1" a="1"/>
  <c r="O2015" i="13" s="1"/>
  <c r="IF70" i="9" s="1" a="1"/>
  <c r="IF70" i="9" s="1"/>
  <c r="GP72" i="9" a="1"/>
  <c r="GP72" i="9" s="1"/>
  <c r="GQ72" i="9" s="1"/>
  <c r="DZ75" i="9" a="1"/>
  <c r="DZ75" i="9" s="1"/>
  <c r="J904" i="12" a="1"/>
  <c r="J904" i="12" s="1"/>
  <c r="J2185" i="13" s="1" a="1"/>
  <c r="J2185" i="13" s="1"/>
  <c r="EO75" i="9" s="1" a="1"/>
  <c r="EO75" i="9" s="1"/>
  <c r="K902" i="12" a="1"/>
  <c r="K902" i="12" s="1"/>
  <c r="FY72" i="9"/>
  <c r="FZ72" i="9" s="1"/>
  <c r="GE72" i="9" a="1"/>
  <c r="GE72" i="9" s="1"/>
  <c r="N860" i="12" a="1"/>
  <c r="N860" i="12" s="1"/>
  <c r="DT75" i="9"/>
  <c r="DU75" i="9" s="1"/>
  <c r="IB63" i="9" a="1"/>
  <c r="IB63" i="9" s="1"/>
  <c r="IC63" i="9" s="1"/>
  <c r="ID63" i="9" s="1"/>
  <c r="IE63" i="9" s="1"/>
  <c r="IB70" i="9" a="1"/>
  <c r="IB70" i="9" s="1"/>
  <c r="IC70" i="9" s="1"/>
  <c r="ES74" i="9" a="1"/>
  <c r="ES74" i="9" s="1"/>
  <c r="L888" i="12" a="1"/>
  <c r="L888" i="12" s="1"/>
  <c r="K890" i="12" a="1"/>
  <c r="K890" i="12" s="1"/>
  <c r="K2151" i="13" s="1" a="1"/>
  <c r="K2151" i="13" s="1"/>
  <c r="FH74" i="9" s="1" a="1"/>
  <c r="FH74" i="9" s="1"/>
  <c r="EM74" i="9"/>
  <c r="EN74" i="9" s="1"/>
  <c r="EK75" i="9" a="1"/>
  <c r="EK75" i="9" s="1"/>
  <c r="EL75" i="9" s="1"/>
  <c r="HK70" i="9"/>
  <c r="HL70" i="9" s="1"/>
  <c r="FD74" i="9" a="1"/>
  <c r="FD74" i="9" s="1"/>
  <c r="FE74" i="9" s="1"/>
  <c r="FL73" i="9" a="1"/>
  <c r="FL73" i="9" s="1"/>
  <c r="M874" i="12" a="1"/>
  <c r="M874" i="12" s="1"/>
  <c r="ID69" i="9"/>
  <c r="IE69" i="9" s="1"/>
  <c r="FF73" i="9"/>
  <c r="FG73" i="9" s="1"/>
  <c r="GX71" i="9" a="1"/>
  <c r="GX71" i="9" s="1"/>
  <c r="O846" i="12" a="1"/>
  <c r="O846" i="12" s="1"/>
  <c r="HI71" i="9" a="1"/>
  <c r="HI71" i="9" s="1"/>
  <c r="HJ71" i="9" s="1"/>
  <c r="FW73" i="9" a="1"/>
  <c r="FW73" i="9" s="1"/>
  <c r="FX73" i="9" s="1"/>
  <c r="O789" i="12"/>
  <c r="O1882" i="13" a="1"/>
  <c r="O1882" i="13" s="1"/>
  <c r="F12" i="24" a="1"/>
  <c r="F12" i="24" s="1"/>
  <c r="R12" i="24" s="1"/>
  <c r="IH11" i="9"/>
  <c r="IA11" i="9" a="1"/>
  <c r="IA11" i="9" s="1"/>
  <c r="DX11" i="9"/>
  <c r="DQ11" i="9" a="1"/>
  <c r="DQ11" i="9" s="1"/>
  <c r="HA11" i="23"/>
  <c r="HE11" i="23" s="1"/>
  <c r="Z11" i="9" a="1"/>
  <c r="Z11" i="9" s="1"/>
  <c r="AH11" i="9" s="1"/>
  <c r="F24" i="24" s="1" a="1"/>
  <c r="F24" i="24" s="1"/>
  <c r="BK11" i="9"/>
  <c r="BS11" i="9" s="1"/>
  <c r="AR11" i="9"/>
  <c r="AZ11" i="9" s="1"/>
  <c r="FB11" i="9"/>
  <c r="FJ11" i="9" s="1"/>
  <c r="R33" i="10"/>
  <c r="R47" i="10" s="1"/>
  <c r="A19" i="10" a="1"/>
  <c r="A19" i="10" s="1"/>
  <c r="B19" i="10" a="1"/>
  <c r="B19" i="10" s="1"/>
  <c r="K2184" i="13" l="1" a="1"/>
  <c r="K2184" i="13" s="1"/>
  <c r="K2211" i="13" s="1"/>
  <c r="K908" i="12"/>
  <c r="K913" i="12"/>
  <c r="O827" i="12"/>
  <c r="O1984" i="13" s="1" a="1"/>
  <c r="O1984" i="13" s="1"/>
  <c r="O828" i="12"/>
  <c r="I2154" i="13" a="1"/>
  <c r="I2154" i="13" s="1"/>
  <c r="I901" i="12"/>
  <c r="O2019" i="13" a="1"/>
  <c r="O2019" i="13" s="1"/>
  <c r="O840" i="12"/>
  <c r="M764" i="12" a="1"/>
  <c r="M764" i="12" s="1"/>
  <c r="M1845" i="13" s="1" a="1"/>
  <c r="M1845" i="13" s="1"/>
  <c r="GT65" i="9" s="1" a="1"/>
  <c r="GT65" i="9" s="1"/>
  <c r="M862" i="12" a="1"/>
  <c r="M862" i="12" s="1"/>
  <c r="M2083" i="13" s="1" a="1"/>
  <c r="M2083" i="13" s="1"/>
  <c r="GT72" i="9" s="1" a="1"/>
  <c r="GT72" i="9" s="1"/>
  <c r="N831" i="12"/>
  <c r="N1986" i="13" a="1"/>
  <c r="N1986" i="13" s="1"/>
  <c r="M2087" i="13" a="1"/>
  <c r="M2087" i="13" s="1"/>
  <c r="M868" i="12"/>
  <c r="N750" i="12" a="1"/>
  <c r="N750" i="12" s="1"/>
  <c r="N1811" i="13" s="1" a="1"/>
  <c r="N1811" i="13" s="1"/>
  <c r="HM64" i="9" s="1" a="1"/>
  <c r="HM64" i="9" s="1"/>
  <c r="N848" i="12" a="1"/>
  <c r="N848" i="12" s="1"/>
  <c r="N2049" i="13" s="1" a="1"/>
  <c r="N2049" i="13" s="1"/>
  <c r="HM71" i="9" s="1" a="1"/>
  <c r="HM71" i="9" s="1"/>
  <c r="L778" i="12" a="1"/>
  <c r="L778" i="12" s="1"/>
  <c r="L1879" i="13" s="1" a="1"/>
  <c r="L1879" i="13" s="1"/>
  <c r="GA66" i="9" s="1" a="1"/>
  <c r="GA66" i="9" s="1"/>
  <c r="L876" i="12" a="1"/>
  <c r="L876" i="12" s="1"/>
  <c r="L2117" i="13" s="1" a="1"/>
  <c r="L2117" i="13" s="1"/>
  <c r="GA73" i="9" s="1" a="1"/>
  <c r="GA73" i="9" s="1"/>
  <c r="N2082" i="13" a="1"/>
  <c r="N2082" i="13" s="1"/>
  <c r="N2109" i="13" s="1"/>
  <c r="N866" i="12"/>
  <c r="N871" i="12"/>
  <c r="I911" i="12"/>
  <c r="I2188" i="13" s="1" a="1"/>
  <c r="I2188" i="13" s="1"/>
  <c r="I912" i="12"/>
  <c r="K2086" i="13" a="1"/>
  <c r="K2086" i="13" s="1"/>
  <c r="K873" i="12"/>
  <c r="J2189" i="13" a="1"/>
  <c r="J2189" i="13" s="1"/>
  <c r="J910" i="12"/>
  <c r="M2018" i="13" a="1"/>
  <c r="M2018" i="13" s="1"/>
  <c r="M845" i="12"/>
  <c r="K2155" i="13" a="1"/>
  <c r="K2155" i="13" s="1"/>
  <c r="K896" i="12"/>
  <c r="M855" i="12"/>
  <c r="M2052" i="13" s="1" a="1"/>
  <c r="M2052" i="13" s="1"/>
  <c r="M856" i="12"/>
  <c r="J897" i="12"/>
  <c r="J2154" i="13" s="1" a="1"/>
  <c r="J2154" i="13" s="1"/>
  <c r="J898" i="12"/>
  <c r="L859" i="12"/>
  <c r="L2054" i="13" a="1"/>
  <c r="L2054" i="13" s="1"/>
  <c r="N841" i="12"/>
  <c r="N2018" i="13" s="1" a="1"/>
  <c r="N2018" i="13" s="1"/>
  <c r="N842" i="12"/>
  <c r="L2150" i="13" a="1"/>
  <c r="L2150" i="13" s="1"/>
  <c r="L2177" i="13" s="1"/>
  <c r="L899" i="12"/>
  <c r="L894" i="12"/>
  <c r="L869" i="12"/>
  <c r="L2086" i="13" s="1" a="1"/>
  <c r="L2086" i="13" s="1"/>
  <c r="L870" i="12"/>
  <c r="O2048" i="13" a="1"/>
  <c r="O2048" i="13" s="1"/>
  <c r="O2075" i="13" s="1"/>
  <c r="O852" i="12"/>
  <c r="O857" i="12"/>
  <c r="J887" i="12"/>
  <c r="J2122" i="13" a="1"/>
  <c r="J2122" i="13" s="1"/>
  <c r="O1950" i="13" a="1"/>
  <c r="O1950" i="13" s="1"/>
  <c r="O817" i="12"/>
  <c r="H915" i="12"/>
  <c r="H2190" i="13" a="1"/>
  <c r="H2190" i="13" s="1"/>
  <c r="L2121" i="13" a="1"/>
  <c r="L2121" i="13" s="1"/>
  <c r="L882" i="12"/>
  <c r="M2116" i="13" a="1"/>
  <c r="M2116" i="13" s="1"/>
  <c r="M2143" i="13" s="1"/>
  <c r="M885" i="12"/>
  <c r="M880" i="12"/>
  <c r="K883" i="12"/>
  <c r="K884" i="12"/>
  <c r="K2122" i="13" s="1" a="1"/>
  <c r="K2122" i="13" s="1"/>
  <c r="N2053" i="13" a="1"/>
  <c r="N2053" i="13" s="1"/>
  <c r="N854" i="12"/>
  <c r="FY73" i="9"/>
  <c r="FZ73" i="9" s="1"/>
  <c r="GE73" i="9" a="1"/>
  <c r="GE73" i="9" s="1"/>
  <c r="N874" i="12" a="1"/>
  <c r="N874" i="12" s="1"/>
  <c r="ID70" i="9"/>
  <c r="IE70" i="9" s="1"/>
  <c r="GR72" i="9"/>
  <c r="GS72" i="9" s="1"/>
  <c r="IB64" i="9" a="1"/>
  <c r="IB64" i="9" s="1"/>
  <c r="IC64" i="9" s="1"/>
  <c r="ID64" i="9" s="1"/>
  <c r="IE64" i="9" s="1"/>
  <c r="IB71" i="9" a="1"/>
  <c r="IB71" i="9" s="1"/>
  <c r="IC71" i="9" s="1"/>
  <c r="D84" i="24" a="1"/>
  <c r="D84" i="24" s="1"/>
  <c r="EM75" i="9"/>
  <c r="EN75" i="9" s="1"/>
  <c r="HK71" i="9"/>
  <c r="HL71" i="9" s="1"/>
  <c r="FD75" i="9" a="1"/>
  <c r="FD75" i="9" s="1"/>
  <c r="FE75" i="9" s="1"/>
  <c r="FL74" i="9" a="1"/>
  <c r="FL74" i="9" s="1"/>
  <c r="L890" i="12" a="1"/>
  <c r="L890" i="12" s="1"/>
  <c r="L2151" i="13" s="1" a="1"/>
  <c r="L2151" i="13" s="1"/>
  <c r="GA74" i="9" s="1" a="1"/>
  <c r="GA74" i="9" s="1"/>
  <c r="M888" i="12" a="1"/>
  <c r="M888" i="12" s="1"/>
  <c r="ES75" i="9" a="1"/>
  <c r="ES75" i="9" s="1"/>
  <c r="L902" i="12" a="1"/>
  <c r="L902" i="12" s="1"/>
  <c r="K904" i="12" a="1"/>
  <c r="K904" i="12" s="1"/>
  <c r="K2185" i="13" s="1" a="1"/>
  <c r="K2185" i="13" s="1"/>
  <c r="FH75" i="9" s="1" a="1"/>
  <c r="FH75" i="9" s="1"/>
  <c r="HQ71" i="9" a="1"/>
  <c r="HQ71" i="9" s="1"/>
  <c r="GX72" i="9" a="1"/>
  <c r="GX72" i="9" s="1"/>
  <c r="O860" i="12" a="1"/>
  <c r="O860" i="12" s="1"/>
  <c r="FF74" i="9"/>
  <c r="FG74" i="9" s="1"/>
  <c r="GP73" i="9" a="1"/>
  <c r="GP73" i="9" s="1"/>
  <c r="GQ73" i="9" s="1"/>
  <c r="FW74" i="9" a="1"/>
  <c r="FW74" i="9" s="1"/>
  <c r="FX74" i="9" s="1"/>
  <c r="D83" i="24" a="1"/>
  <c r="D83" i="24" s="1"/>
  <c r="HI72" i="9" a="1"/>
  <c r="HI72" i="9" s="1"/>
  <c r="HJ72" i="9" s="1"/>
  <c r="II11" i="9"/>
  <c r="Q24" i="24" s="1" a="1"/>
  <c r="Q24" i="24" s="1"/>
  <c r="DY11" i="9"/>
  <c r="K24" i="24" s="1" a="1"/>
  <c r="K24" i="24" s="1"/>
  <c r="S12" i="24"/>
  <c r="M6" i="28" s="1" a="1"/>
  <c r="M6" i="28" s="1"/>
  <c r="HB11" i="23"/>
  <c r="BL11" i="9" a="1"/>
  <c r="BL11" i="9" s="1"/>
  <c r="BT11" i="9" s="1"/>
  <c r="H24" i="24" s="1" a="1"/>
  <c r="H24" i="24" s="1"/>
  <c r="IL11" i="9"/>
  <c r="IM11" i="9" s="1"/>
  <c r="AS11" i="9" a="1"/>
  <c r="AS11" i="9" s="1"/>
  <c r="BA11" i="9" s="1"/>
  <c r="G24" i="24" s="1" a="1"/>
  <c r="G24" i="24" s="1"/>
  <c r="FC11" i="9" a="1"/>
  <c r="FC11" i="9" s="1"/>
  <c r="FK11" i="9" s="1"/>
  <c r="M24" i="24" s="1" a="1"/>
  <c r="M24" i="24" s="1"/>
  <c r="J19" i="10"/>
  <c r="I19" i="10"/>
  <c r="P19" i="10"/>
  <c r="H19" i="10"/>
  <c r="O19" i="10"/>
  <c r="G19" i="10"/>
  <c r="N19" i="10"/>
  <c r="F19" i="10"/>
  <c r="M19" i="10"/>
  <c r="E19" i="10"/>
  <c r="L19" i="10"/>
  <c r="D19" i="10"/>
  <c r="K19" i="10"/>
  <c r="B47" i="10" a="1"/>
  <c r="B47" i="10" s="1"/>
  <c r="A47" i="10" a="1"/>
  <c r="A47" i="10" s="1"/>
  <c r="B20" i="10"/>
  <c r="R61" i="10"/>
  <c r="B33" i="10" a="1"/>
  <c r="B33" i="10" s="1"/>
  <c r="A33" i="10" a="1"/>
  <c r="A33" i="10" s="1"/>
  <c r="L883" i="12" l="1"/>
  <c r="L2120" i="13" s="1" a="1"/>
  <c r="L2120" i="13" s="1"/>
  <c r="L884" i="12"/>
  <c r="N845" i="12"/>
  <c r="N2020" i="13" a="1"/>
  <c r="N2020" i="13" s="1"/>
  <c r="K897" i="12"/>
  <c r="K2154" i="13" s="1" a="1"/>
  <c r="K2154" i="13" s="1"/>
  <c r="K898" i="12"/>
  <c r="I915" i="12"/>
  <c r="I2190" i="13" a="1"/>
  <c r="I2190" i="13" s="1"/>
  <c r="M2150" i="13" a="1"/>
  <c r="M2150" i="13" s="1"/>
  <c r="M2177" i="13" s="1"/>
  <c r="M899" i="12"/>
  <c r="M894" i="12"/>
  <c r="N855" i="12"/>
  <c r="N2052" i="13" s="1" a="1"/>
  <c r="N2052" i="13" s="1"/>
  <c r="N856" i="12"/>
  <c r="O2053" i="13" a="1"/>
  <c r="O2053" i="13" s="1"/>
  <c r="O854" i="12"/>
  <c r="M869" i="12"/>
  <c r="M2086" i="13" s="1" a="1"/>
  <c r="M2086" i="13" s="1"/>
  <c r="M870" i="12"/>
  <c r="O2082" i="13" a="1"/>
  <c r="O2082" i="13" s="1"/>
  <c r="O2109" i="13" s="1"/>
  <c r="O871" i="12"/>
  <c r="O866" i="12"/>
  <c r="L873" i="12"/>
  <c r="L2088" i="13" a="1"/>
  <c r="L2088" i="13" s="1"/>
  <c r="N2087" i="13" a="1"/>
  <c r="N2087" i="13" s="1"/>
  <c r="N868" i="12"/>
  <c r="O831" i="12"/>
  <c r="O1986" i="13" a="1"/>
  <c r="O1986" i="13" s="1"/>
  <c r="O750" i="12" a="1"/>
  <c r="O750" i="12" s="1"/>
  <c r="O1811" i="13" s="1" a="1"/>
  <c r="O1811" i="13" s="1"/>
  <c r="IF64" i="9" s="1" a="1"/>
  <c r="IF64" i="9" s="1"/>
  <c r="O848" i="12" a="1"/>
  <c r="O848" i="12" s="1"/>
  <c r="O2049" i="13" s="1" a="1"/>
  <c r="O2049" i="13" s="1"/>
  <c r="IF71" i="9" s="1" a="1"/>
  <c r="IF71" i="9" s="1"/>
  <c r="K2120" i="13" a="1"/>
  <c r="K2120" i="13" s="1"/>
  <c r="K887" i="12"/>
  <c r="J901" i="12"/>
  <c r="J2156" i="13" a="1"/>
  <c r="J2156" i="13" s="1"/>
  <c r="J911" i="12"/>
  <c r="J2188" i="13" s="1" a="1"/>
  <c r="J2188" i="13" s="1"/>
  <c r="J912" i="12"/>
  <c r="M778" i="12" a="1"/>
  <c r="M778" i="12" s="1"/>
  <c r="M1879" i="13" s="1" a="1"/>
  <c r="M1879" i="13" s="1"/>
  <c r="GT66" i="9" s="1" a="1"/>
  <c r="GT66" i="9" s="1"/>
  <c r="M876" i="12" a="1"/>
  <c r="M876" i="12" s="1"/>
  <c r="M2117" i="13" s="1" a="1"/>
  <c r="M2117" i="13" s="1"/>
  <c r="GT73" i="9" s="1" a="1"/>
  <c r="GT73" i="9" s="1"/>
  <c r="M2121" i="13" a="1"/>
  <c r="M2121" i="13" s="1"/>
  <c r="M882" i="12"/>
  <c r="L2155" i="13" a="1"/>
  <c r="L2155" i="13" s="1"/>
  <c r="L896" i="12"/>
  <c r="N764" i="12" a="1"/>
  <c r="N764" i="12" s="1"/>
  <c r="N1845" i="13" s="1" a="1"/>
  <c r="N1845" i="13" s="1"/>
  <c r="HM65" i="9" s="1" a="1"/>
  <c r="HM65" i="9" s="1"/>
  <c r="N862" i="12" a="1"/>
  <c r="N862" i="12" s="1"/>
  <c r="N2083" i="13" s="1" a="1"/>
  <c r="N2083" i="13" s="1"/>
  <c r="HM72" i="9" s="1" a="1"/>
  <c r="HM72" i="9" s="1"/>
  <c r="N2116" i="13" a="1"/>
  <c r="N2116" i="13" s="1"/>
  <c r="N2143" i="13" s="1"/>
  <c r="N885" i="12"/>
  <c r="N880" i="12"/>
  <c r="M859" i="12"/>
  <c r="M2054" i="13" a="1"/>
  <c r="M2054" i="13" s="1"/>
  <c r="K2189" i="13" a="1"/>
  <c r="K2189" i="13" s="1"/>
  <c r="K910" i="12"/>
  <c r="L2184" i="13" a="1"/>
  <c r="L2184" i="13" s="1"/>
  <c r="L2211" i="13" s="1"/>
  <c r="L913" i="12"/>
  <c r="L908" i="12"/>
  <c r="O841" i="12"/>
  <c r="O2018" i="13" s="1" a="1"/>
  <c r="O2018" i="13" s="1"/>
  <c r="O842" i="12"/>
  <c r="HK72" i="9"/>
  <c r="HL72" i="9" s="1"/>
  <c r="HI73" i="9" a="1"/>
  <c r="HI73" i="9" s="1"/>
  <c r="HJ73" i="9" s="1"/>
  <c r="HQ72" i="9" a="1"/>
  <c r="HQ72" i="9" s="1"/>
  <c r="O862" i="12" a="1"/>
  <c r="O862" i="12" s="1"/>
  <c r="O2083" i="13" s="1" a="1"/>
  <c r="O2083" i="13" s="1"/>
  <c r="IF72" i="9" s="1" a="1"/>
  <c r="IF72" i="9" s="1"/>
  <c r="GR73" i="9"/>
  <c r="GS73" i="9" s="1"/>
  <c r="FF75" i="9"/>
  <c r="FG75" i="9" s="1"/>
  <c r="FW75" i="9" a="1"/>
  <c r="FW75" i="9" s="1"/>
  <c r="FX75" i="9" s="1"/>
  <c r="ID71" i="9"/>
  <c r="IE71" i="9" s="1"/>
  <c r="GX73" i="9" a="1"/>
  <c r="GX73" i="9" s="1"/>
  <c r="O874" i="12" a="1"/>
  <c r="O874" i="12" s="1"/>
  <c r="FL75" i="9" a="1"/>
  <c r="FL75" i="9" s="1"/>
  <c r="L904" i="12" a="1"/>
  <c r="L904" i="12" s="1"/>
  <c r="L2185" i="13" s="1" a="1"/>
  <c r="L2185" i="13" s="1"/>
  <c r="GA75" i="9" s="1" a="1"/>
  <c r="GA75" i="9" s="1"/>
  <c r="M902" i="12" a="1"/>
  <c r="M902" i="12" s="1"/>
  <c r="FY74" i="9"/>
  <c r="FZ74" i="9" s="1"/>
  <c r="IB65" i="9" a="1"/>
  <c r="IB65" i="9" s="1"/>
  <c r="IC65" i="9" s="1"/>
  <c r="ID65" i="9" s="1"/>
  <c r="IE65" i="9" s="1"/>
  <c r="IB72" i="9" a="1"/>
  <c r="IB72" i="9" s="1"/>
  <c r="IC72" i="9" s="1"/>
  <c r="GP74" i="9" a="1"/>
  <c r="GP74" i="9" s="1"/>
  <c r="GQ74" i="9" s="1"/>
  <c r="GE74" i="9" a="1"/>
  <c r="GE74" i="9" s="1"/>
  <c r="M890" i="12" a="1"/>
  <c r="M890" i="12" s="1"/>
  <c r="M2151" i="13" s="1" a="1"/>
  <c r="M2151" i="13" s="1"/>
  <c r="GT74" i="9" s="1" a="1"/>
  <c r="GT74" i="9" s="1"/>
  <c r="N888" i="12" a="1"/>
  <c r="N888" i="12" s="1"/>
  <c r="IN11" i="9"/>
  <c r="IO11" i="9" s="1"/>
  <c r="IJ11" i="9"/>
  <c r="IK11" i="9" s="1"/>
  <c r="A61" i="10" a="1"/>
  <c r="A61" i="10" s="1"/>
  <c r="B61" i="10" a="1"/>
  <c r="B61" i="10" s="1"/>
  <c r="M20" i="10"/>
  <c r="M27" i="10" s="1"/>
  <c r="E20" i="10"/>
  <c r="L20" i="10"/>
  <c r="L27" i="10" s="1"/>
  <c r="D20" i="10"/>
  <c r="D27" i="10" s="1"/>
  <c r="K20" i="10"/>
  <c r="K24" i="10" s="1"/>
  <c r="J20" i="10"/>
  <c r="J24" i="10" s="1"/>
  <c r="I20" i="10"/>
  <c r="I24" i="10" s="1"/>
  <c r="P20" i="10"/>
  <c r="P24" i="10" s="1"/>
  <c r="H20" i="10"/>
  <c r="O20" i="10"/>
  <c r="O27" i="10" s="1"/>
  <c r="G20" i="10"/>
  <c r="G27" i="10" s="1"/>
  <c r="N20" i="10"/>
  <c r="N27" i="10" s="1"/>
  <c r="F20" i="10"/>
  <c r="F24" i="10" s="1"/>
  <c r="D47" i="10"/>
  <c r="N47" i="10"/>
  <c r="G47" i="10"/>
  <c r="K47" i="10"/>
  <c r="O47" i="10"/>
  <c r="J47" i="10"/>
  <c r="F47" i="10"/>
  <c r="E47" i="10"/>
  <c r="B48" i="10"/>
  <c r="M47" i="10"/>
  <c r="I47" i="10"/>
  <c r="P47" i="10"/>
  <c r="L47" i="10"/>
  <c r="H47" i="10"/>
  <c r="P33" i="10"/>
  <c r="O33" i="10"/>
  <c r="N33" i="10"/>
  <c r="M33" i="10"/>
  <c r="I33" i="10"/>
  <c r="H33" i="10"/>
  <c r="G33" i="10"/>
  <c r="F33" i="10"/>
  <c r="E33" i="10"/>
  <c r="L33" i="10"/>
  <c r="D33" i="10"/>
  <c r="K33" i="10"/>
  <c r="J33" i="10"/>
  <c r="B34" i="10"/>
  <c r="R75" i="10"/>
  <c r="B24" i="10"/>
  <c r="B25" i="10" s="1"/>
  <c r="B21" i="10"/>
  <c r="B22" i="10" s="1"/>
  <c r="B23" i="10" s="1"/>
  <c r="L897" i="12" l="1"/>
  <c r="L2154" i="13" s="1" a="1"/>
  <c r="L2154" i="13" s="1"/>
  <c r="L898" i="12"/>
  <c r="N869" i="12"/>
  <c r="N870" i="12"/>
  <c r="N2088" i="13" s="1" a="1"/>
  <c r="N2088" i="13" s="1"/>
  <c r="N2150" i="13" a="1"/>
  <c r="N2150" i="13" s="1"/>
  <c r="N2177" i="13" s="1"/>
  <c r="N899" i="12"/>
  <c r="N894" i="12"/>
  <c r="O855" i="12"/>
  <c r="O2052" i="13" s="1" a="1"/>
  <c r="O2052" i="13" s="1"/>
  <c r="O856" i="12"/>
  <c r="M2184" i="13" a="1"/>
  <c r="M2184" i="13" s="1"/>
  <c r="M2211" i="13" s="1"/>
  <c r="M908" i="12"/>
  <c r="M913" i="12"/>
  <c r="O845" i="12"/>
  <c r="O2020" i="13" a="1"/>
  <c r="O2020" i="13" s="1"/>
  <c r="M883" i="12"/>
  <c r="M884" i="12"/>
  <c r="M2122" i="13" s="1" a="1"/>
  <c r="M2122" i="13" s="1"/>
  <c r="K901" i="12"/>
  <c r="K2156" i="13" a="1"/>
  <c r="K2156" i="13" s="1"/>
  <c r="N2121" i="13" a="1"/>
  <c r="N2121" i="13" s="1"/>
  <c r="N882" i="12"/>
  <c r="N859" i="12"/>
  <c r="N2054" i="13" a="1"/>
  <c r="N2054" i="13" s="1"/>
  <c r="L2189" i="13" a="1"/>
  <c r="L2189" i="13" s="1"/>
  <c r="L910" i="12"/>
  <c r="O2087" i="13" a="1"/>
  <c r="O2087" i="13" s="1"/>
  <c r="O868" i="12"/>
  <c r="O2116" i="13" a="1"/>
  <c r="O2116" i="13" s="1"/>
  <c r="O2143" i="13" s="1"/>
  <c r="O885" i="12"/>
  <c r="O880" i="12"/>
  <c r="M2155" i="13" a="1"/>
  <c r="M2155" i="13" s="1"/>
  <c r="M896" i="12"/>
  <c r="N778" i="12" a="1"/>
  <c r="N778" i="12" s="1"/>
  <c r="N1879" i="13" s="1" a="1"/>
  <c r="N1879" i="13" s="1"/>
  <c r="HM66" i="9" s="1" a="1"/>
  <c r="HM66" i="9" s="1"/>
  <c r="N876" i="12" a="1"/>
  <c r="N876" i="12" s="1"/>
  <c r="N2117" i="13" s="1" a="1"/>
  <c r="N2117" i="13" s="1"/>
  <c r="HM73" i="9" s="1" a="1"/>
  <c r="HM73" i="9" s="1"/>
  <c r="J915" i="12"/>
  <c r="J2190" i="13" a="1"/>
  <c r="J2190" i="13" s="1"/>
  <c r="L887" i="12"/>
  <c r="L2122" i="13" a="1"/>
  <c r="L2122" i="13" s="1"/>
  <c r="K911" i="12"/>
  <c r="K2188" i="13" s="1" a="1"/>
  <c r="K2188" i="13" s="1"/>
  <c r="K912" i="12"/>
  <c r="M873" i="12"/>
  <c r="M2088" i="13" a="1"/>
  <c r="M2088" i="13" s="1"/>
  <c r="HQ73" i="9" a="1"/>
  <c r="HQ73" i="9" s="1"/>
  <c r="O876" i="12" a="1"/>
  <c r="O876" i="12" s="1"/>
  <c r="O2117" i="13" s="1" a="1"/>
  <c r="O2117" i="13" s="1"/>
  <c r="IF73" i="9" s="1" a="1"/>
  <c r="IF73" i="9" s="1"/>
  <c r="HK73" i="9"/>
  <c r="HL73" i="9" s="1"/>
  <c r="FY75" i="9"/>
  <c r="FZ75" i="9" s="1"/>
  <c r="GP75" i="9" a="1"/>
  <c r="GP75" i="9" s="1"/>
  <c r="GQ75" i="9" s="1"/>
  <c r="GE75" i="9" a="1"/>
  <c r="GE75" i="9" s="1"/>
  <c r="N902" i="12" a="1"/>
  <c r="N902" i="12" s="1"/>
  <c r="M904" i="12" a="1"/>
  <c r="M904" i="12" s="1"/>
  <c r="M2185" i="13" s="1" a="1"/>
  <c r="M2185" i="13" s="1"/>
  <c r="GT75" i="9" s="1" a="1"/>
  <c r="GT75" i="9" s="1"/>
  <c r="GR74" i="9"/>
  <c r="GS74" i="9" s="1"/>
  <c r="HI74" i="9" a="1"/>
  <c r="HI74" i="9" s="1"/>
  <c r="HJ74" i="9" s="1"/>
  <c r="GX74" i="9" a="1"/>
  <c r="GX74" i="9" s="1"/>
  <c r="O888" i="12" a="1"/>
  <c r="O888" i="12" s="1"/>
  <c r="N890" i="12" a="1"/>
  <c r="N890" i="12" s="1"/>
  <c r="N2151" i="13" s="1" a="1"/>
  <c r="N2151" i="13" s="1"/>
  <c r="HM74" i="9" s="1" a="1"/>
  <c r="HM74" i="9" s="1"/>
  <c r="D85" i="24" a="1"/>
  <c r="D85" i="24" s="1"/>
  <c r="ID72" i="9"/>
  <c r="IE72" i="9" s="1"/>
  <c r="IB73" i="9" a="1"/>
  <c r="IB73" i="9" s="1"/>
  <c r="IC73" i="9" s="1"/>
  <c r="D86" i="24" a="1"/>
  <c r="D86" i="24" s="1"/>
  <c r="P27" i="10"/>
  <c r="J27" i="10"/>
  <c r="K27" i="10"/>
  <c r="I27" i="10"/>
  <c r="H24" i="10"/>
  <c r="O48" i="10"/>
  <c r="O55" i="10" s="1"/>
  <c r="P48" i="10"/>
  <c r="P52" i="10" s="1"/>
  <c r="N48" i="10"/>
  <c r="N55" i="10" s="1"/>
  <c r="H48" i="10"/>
  <c r="H55" i="10" s="1"/>
  <c r="F48" i="10"/>
  <c r="F55" i="10" s="1"/>
  <c r="B52" i="10"/>
  <c r="B53" i="10" s="1"/>
  <c r="M48" i="10"/>
  <c r="J48" i="10"/>
  <c r="L48" i="10"/>
  <c r="L55" i="10" s="1"/>
  <c r="I48" i="10"/>
  <c r="I55" i="10" s="1"/>
  <c r="D48" i="10"/>
  <c r="D55" i="10" s="1"/>
  <c r="G48" i="10"/>
  <c r="G55" i="10" s="1"/>
  <c r="E48" i="10"/>
  <c r="E55" i="10" s="1"/>
  <c r="K48" i="10"/>
  <c r="K55" i="10" s="1"/>
  <c r="B49" i="10"/>
  <c r="B50" i="10" s="1"/>
  <c r="B51" i="10" s="1"/>
  <c r="K34" i="10"/>
  <c r="K41" i="10" s="1"/>
  <c r="J34" i="10"/>
  <c r="J41" i="10" s="1"/>
  <c r="I34" i="10"/>
  <c r="I41" i="10" s="1"/>
  <c r="P34" i="10"/>
  <c r="P38" i="10" s="1"/>
  <c r="H34" i="10"/>
  <c r="H41" i="10" s="1"/>
  <c r="O34" i="10"/>
  <c r="G34" i="10"/>
  <c r="G41" i="10" s="1"/>
  <c r="N34" i="10"/>
  <c r="F34" i="10"/>
  <c r="F41" i="10" s="1"/>
  <c r="M34" i="10"/>
  <c r="M41" i="10" s="1"/>
  <c r="E34" i="10"/>
  <c r="L34" i="10"/>
  <c r="L41" i="10" s="1"/>
  <c r="D34" i="10"/>
  <c r="M24" i="10"/>
  <c r="I25" i="10"/>
  <c r="I26" i="10" s="1"/>
  <c r="DH12" i="9" s="1" a="1"/>
  <c r="DH12" i="9" s="1"/>
  <c r="P25" i="10"/>
  <c r="P26" i="10" s="1"/>
  <c r="H25" i="10"/>
  <c r="O25" i="10"/>
  <c r="O28" i="10" s="1" a="1"/>
  <c r="O28" i="10" s="1"/>
  <c r="G25" i="10"/>
  <c r="G28" i="10" s="1" a="1"/>
  <c r="G28" i="10" s="1"/>
  <c r="N25" i="10"/>
  <c r="N28" i="10" s="1" a="1"/>
  <c r="N28" i="10" s="1"/>
  <c r="F25" i="10"/>
  <c r="F26" i="10" s="1"/>
  <c r="BC12" i="9" s="1" a="1"/>
  <c r="BC12" i="9" s="1"/>
  <c r="M25" i="10"/>
  <c r="M28" i="10" s="1" a="1"/>
  <c r="M28" i="10" s="1"/>
  <c r="E25" i="10"/>
  <c r="L25" i="10"/>
  <c r="L28" i="10" s="1" a="1"/>
  <c r="L28" i="10" s="1"/>
  <c r="D25" i="10"/>
  <c r="D28" i="10" s="1" a="1"/>
  <c r="D28" i="10" s="1"/>
  <c r="K25" i="10"/>
  <c r="J25" i="10"/>
  <c r="B75" i="10" a="1"/>
  <c r="B75" i="10" s="1"/>
  <c r="A75" i="10" a="1"/>
  <c r="A75" i="10" s="1"/>
  <c r="N24" i="10"/>
  <c r="D24" i="10"/>
  <c r="F27" i="10"/>
  <c r="H27" i="10"/>
  <c r="G24" i="10"/>
  <c r="L24" i="10"/>
  <c r="O24" i="10"/>
  <c r="E24" i="10"/>
  <c r="J61" i="10"/>
  <c r="M61" i="10"/>
  <c r="I61" i="10"/>
  <c r="K61" i="10"/>
  <c r="B62" i="10"/>
  <c r="N61" i="10"/>
  <c r="H61" i="10"/>
  <c r="G61" i="10"/>
  <c r="L61" i="10"/>
  <c r="D61" i="10"/>
  <c r="O61" i="10"/>
  <c r="E61" i="10"/>
  <c r="P61" i="10"/>
  <c r="F61" i="10"/>
  <c r="E27" i="10"/>
  <c r="B26" i="10"/>
  <c r="B27" i="10" s="1"/>
  <c r="B28" i="10" s="1"/>
  <c r="B29" i="10" s="1"/>
  <c r="B30" i="10" s="1"/>
  <c r="B31" i="10" s="1"/>
  <c r="B32" i="10" s="1"/>
  <c r="R89" i="10"/>
  <c r="B35" i="10"/>
  <c r="B36" i="10" s="1"/>
  <c r="B37" i="10" s="1"/>
  <c r="B38" i="10"/>
  <c r="B39" i="10" s="1"/>
  <c r="L911" i="12" l="1"/>
  <c r="L2188" i="13" s="1" a="1"/>
  <c r="L2188" i="13" s="1"/>
  <c r="L912" i="12"/>
  <c r="O2150" i="13" a="1"/>
  <c r="O2150" i="13" s="1"/>
  <c r="O2177" i="13" s="1"/>
  <c r="O899" i="12"/>
  <c r="O894" i="12"/>
  <c r="K915" i="12"/>
  <c r="K2190" i="13" a="1"/>
  <c r="K2190" i="13" s="1"/>
  <c r="M897" i="12"/>
  <c r="M2154" i="13" s="1" a="1"/>
  <c r="M2154" i="13" s="1"/>
  <c r="M898" i="12"/>
  <c r="M2120" i="13" a="1"/>
  <c r="M2120" i="13" s="1"/>
  <c r="M887" i="12"/>
  <c r="N2155" i="13" a="1"/>
  <c r="N2155" i="13" s="1"/>
  <c r="N896" i="12"/>
  <c r="O2121" i="13" a="1"/>
  <c r="O2121" i="13" s="1"/>
  <c r="O882" i="12"/>
  <c r="N883" i="12"/>
  <c r="N2120" i="13" s="1" a="1"/>
  <c r="N2120" i="13" s="1"/>
  <c r="N884" i="12"/>
  <c r="M2189" i="13" a="1"/>
  <c r="M2189" i="13" s="1"/>
  <c r="M910" i="12"/>
  <c r="N2086" i="13" a="1"/>
  <c r="N2086" i="13" s="1"/>
  <c r="N873" i="12"/>
  <c r="O869" i="12"/>
  <c r="O2086" i="13" s="1" a="1"/>
  <c r="O2086" i="13" s="1"/>
  <c r="O870" i="12"/>
  <c r="L901" i="12"/>
  <c r="L2156" i="13" a="1"/>
  <c r="L2156" i="13" s="1"/>
  <c r="N2184" i="13" a="1"/>
  <c r="N2184" i="13" s="1"/>
  <c r="N2211" i="13" s="1"/>
  <c r="N913" i="12"/>
  <c r="N908" i="12"/>
  <c r="O859" i="12"/>
  <c r="O2054" i="13" a="1"/>
  <c r="O2054" i="13" s="1"/>
  <c r="GR75" i="9"/>
  <c r="GS75" i="9" s="1"/>
  <c r="HI75" i="9" a="1"/>
  <c r="HI75" i="9" s="1"/>
  <c r="HJ75" i="9" s="1"/>
  <c r="ID73" i="9"/>
  <c r="IE73" i="9" s="1"/>
  <c r="HK74" i="9"/>
  <c r="HL74" i="9" s="1"/>
  <c r="IB74" i="9" a="1"/>
  <c r="IB74" i="9" s="1"/>
  <c r="IC74" i="9" s="1"/>
  <c r="GX75" i="9" a="1"/>
  <c r="GX75" i="9" s="1"/>
  <c r="N904" i="12" a="1"/>
  <c r="N904" i="12" s="1"/>
  <c r="N2185" i="13" s="1" a="1"/>
  <c r="N2185" i="13" s="1"/>
  <c r="HM75" i="9" s="1" a="1"/>
  <c r="HM75" i="9" s="1"/>
  <c r="O902" i="12" a="1"/>
  <c r="O902" i="12" s="1"/>
  <c r="O890" i="12" a="1"/>
  <c r="O890" i="12" s="1"/>
  <c r="O2151" i="13" s="1" a="1"/>
  <c r="O2151" i="13" s="1"/>
  <c r="IF74" i="9" s="1" a="1"/>
  <c r="IF74" i="9" s="1"/>
  <c r="HQ74" i="9" a="1"/>
  <c r="HQ74" i="9" s="1"/>
  <c r="N31" i="10"/>
  <c r="N30" i="10"/>
  <c r="N29" i="10"/>
  <c r="M30" i="10"/>
  <c r="M31" i="10"/>
  <c r="M29" i="10"/>
  <c r="G31" i="10"/>
  <c r="G30" i="10"/>
  <c r="G29" i="10"/>
  <c r="D30" i="10"/>
  <c r="D29" i="10"/>
  <c r="D31" i="10"/>
  <c r="O30" i="10"/>
  <c r="O31" i="10"/>
  <c r="O29" i="10"/>
  <c r="L29" i="10"/>
  <c r="L30" i="10"/>
  <c r="L31" i="10"/>
  <c r="E28" i="10" a="1"/>
  <c r="E28" i="10" s="1"/>
  <c r="E30" i="10" s="1"/>
  <c r="H28" i="10" a="1"/>
  <c r="H28" i="10" s="1"/>
  <c r="H29" i="10" s="1"/>
  <c r="F28" i="10" a="1"/>
  <c r="F28" i="10" s="1"/>
  <c r="F30" i="10" s="1"/>
  <c r="I28" i="10" a="1"/>
  <c r="I28" i="10" s="1"/>
  <c r="I29" i="10" s="1"/>
  <c r="K28" i="10" a="1"/>
  <c r="K28" i="10" s="1"/>
  <c r="K31" i="10" s="1"/>
  <c r="J28" i="10" a="1"/>
  <c r="J28" i="10" s="1"/>
  <c r="J30" i="10" s="1"/>
  <c r="P28" i="10" a="1"/>
  <c r="P28" i="10" s="1"/>
  <c r="J38" i="10"/>
  <c r="D32" i="10"/>
  <c r="N26" i="10"/>
  <c r="GY12" i="9" s="1" a="1"/>
  <c r="GY12" i="9" s="1"/>
  <c r="M26" i="10"/>
  <c r="GF12" i="9" s="1" a="1"/>
  <c r="GF12" i="9" s="1"/>
  <c r="E26" i="10"/>
  <c r="AJ12" i="9" s="1" a="1"/>
  <c r="AJ12" i="9" s="1"/>
  <c r="D26" i="10"/>
  <c r="Q12" i="9" s="1" a="1"/>
  <c r="Q12" i="9" s="1"/>
  <c r="G32" i="10"/>
  <c r="O32" i="10"/>
  <c r="L32" i="10"/>
  <c r="N32" i="10"/>
  <c r="M32" i="10"/>
  <c r="B89" i="10" a="1"/>
  <c r="B89" i="10" s="1"/>
  <c r="A89" i="10" a="1"/>
  <c r="A89" i="10" s="1"/>
  <c r="B63" i="10"/>
  <c r="B64" i="10" s="1"/>
  <c r="B65" i="10" s="1"/>
  <c r="N62" i="10"/>
  <c r="N69" i="10" s="1"/>
  <c r="P62" i="10"/>
  <c r="P66" i="10" s="1"/>
  <c r="H62" i="10"/>
  <c r="H69" i="10" s="1"/>
  <c r="L62" i="10"/>
  <c r="L69" i="10" s="1"/>
  <c r="D62" i="10"/>
  <c r="M62" i="10"/>
  <c r="M69" i="10" s="1"/>
  <c r="B66" i="10"/>
  <c r="B67" i="10" s="1"/>
  <c r="O62" i="10"/>
  <c r="O69" i="10" s="1"/>
  <c r="J62" i="10"/>
  <c r="J69" i="10" s="1"/>
  <c r="G62" i="10"/>
  <c r="G69" i="10" s="1"/>
  <c r="F62" i="10"/>
  <c r="F69" i="10" s="1"/>
  <c r="K62" i="10"/>
  <c r="E62" i="10"/>
  <c r="I62" i="10"/>
  <c r="O26" i="10"/>
  <c r="HR12" i="9" s="1" a="1"/>
  <c r="HR12" i="9" s="1"/>
  <c r="G38" i="10"/>
  <c r="M52" i="10"/>
  <c r="N38" i="10"/>
  <c r="L26" i="10"/>
  <c r="FM12" i="9" s="1" a="1"/>
  <c r="FM12" i="9" s="1"/>
  <c r="J26" i="10"/>
  <c r="EA12" i="9" s="1" a="1"/>
  <c r="EA12" i="9" s="1"/>
  <c r="K26" i="10"/>
  <c r="ET12" i="9" s="1" a="1"/>
  <c r="ET12" i="9" s="1"/>
  <c r="O38" i="10"/>
  <c r="K52" i="10"/>
  <c r="F53" i="10"/>
  <c r="F56" i="10" s="1" a="1"/>
  <c r="F56" i="10" s="1"/>
  <c r="F59" i="10" s="1"/>
  <c r="M53" i="10"/>
  <c r="B54" i="10"/>
  <c r="B55" i="10" s="1"/>
  <c r="B56" i="10" s="1"/>
  <c r="B57" i="10" s="1"/>
  <c r="B58" i="10" s="1"/>
  <c r="B59" i="10" s="1"/>
  <c r="B60" i="10" s="1"/>
  <c r="K53" i="10"/>
  <c r="K56" i="10" s="1" a="1"/>
  <c r="K56" i="10" s="1"/>
  <c r="I53" i="10"/>
  <c r="I56" i="10" s="1" a="1"/>
  <c r="I56" i="10" s="1"/>
  <c r="P53" i="10"/>
  <c r="P54" i="10" s="1"/>
  <c r="E53" i="10"/>
  <c r="E56" i="10" s="1" a="1"/>
  <c r="E56" i="10" s="1"/>
  <c r="L53" i="10"/>
  <c r="L56" i="10" s="1" a="1"/>
  <c r="L56" i="10" s="1"/>
  <c r="G53" i="10"/>
  <c r="G56" i="10" s="1" a="1"/>
  <c r="G56" i="10" s="1"/>
  <c r="H53" i="10"/>
  <c r="H56" i="10" s="1" a="1"/>
  <c r="H56" i="10" s="1"/>
  <c r="H57" i="10" s="1"/>
  <c r="O53" i="10"/>
  <c r="O56" i="10" s="1" a="1"/>
  <c r="O56" i="10" s="1"/>
  <c r="O58" i="10" s="1"/>
  <c r="D53" i="10"/>
  <c r="D56" i="10" s="1" a="1"/>
  <c r="D56" i="10" s="1"/>
  <c r="N53" i="10"/>
  <c r="N56" i="10" s="1" a="1"/>
  <c r="N56" i="10" s="1"/>
  <c r="J53" i="10"/>
  <c r="M55" i="10"/>
  <c r="N41" i="10"/>
  <c r="J55" i="10"/>
  <c r="J52" i="10"/>
  <c r="O39" i="10"/>
  <c r="G39" i="10"/>
  <c r="G42" i="10" s="1" a="1"/>
  <c r="G42" i="10" s="1"/>
  <c r="G44" i="10" s="1"/>
  <c r="N39" i="10"/>
  <c r="F39" i="10"/>
  <c r="F42" i="10" s="1" a="1"/>
  <c r="F42" i="10" s="1"/>
  <c r="M39" i="10"/>
  <c r="M42" i="10" s="1" a="1"/>
  <c r="M42" i="10" s="1"/>
  <c r="E39" i="10"/>
  <c r="L39" i="10"/>
  <c r="L42" i="10" s="1" a="1"/>
  <c r="L42" i="10" s="1"/>
  <c r="L45" i="10" s="1"/>
  <c r="D39" i="10"/>
  <c r="K39" i="10"/>
  <c r="K42" i="10" s="1" a="1"/>
  <c r="K42" i="10" s="1"/>
  <c r="K44" i="10" s="1"/>
  <c r="J39" i="10"/>
  <c r="J42" i="10" s="1" a="1"/>
  <c r="J42" i="10" s="1"/>
  <c r="I39" i="10"/>
  <c r="I42" i="10" s="1" a="1"/>
  <c r="I42" i="10" s="1"/>
  <c r="I43" i="10" s="1"/>
  <c r="P39" i="10"/>
  <c r="P40" i="10" s="1"/>
  <c r="H39" i="10"/>
  <c r="H42" i="10" s="1" a="1"/>
  <c r="H42" i="10" s="1"/>
  <c r="D38" i="10"/>
  <c r="H38" i="10"/>
  <c r="E52" i="10"/>
  <c r="F52" i="10"/>
  <c r="P41" i="10"/>
  <c r="G26" i="10"/>
  <c r="BV12" i="9" s="1" a="1"/>
  <c r="BV12" i="9" s="1"/>
  <c r="M75" i="10"/>
  <c r="G75" i="10"/>
  <c r="O75" i="10"/>
  <c r="H75" i="10"/>
  <c r="L75" i="10"/>
  <c r="P75" i="10"/>
  <c r="E75" i="10"/>
  <c r="I75" i="10"/>
  <c r="F75" i="10"/>
  <c r="B76" i="10"/>
  <c r="K75" i="10"/>
  <c r="N75" i="10"/>
  <c r="D75" i="10"/>
  <c r="J75" i="10"/>
  <c r="L38" i="10"/>
  <c r="G52" i="10"/>
  <c r="H52" i="10"/>
  <c r="E38" i="10"/>
  <c r="I38" i="10"/>
  <c r="D52" i="10"/>
  <c r="N52" i="10"/>
  <c r="H26" i="10"/>
  <c r="CO12" i="9" s="1" a="1"/>
  <c r="CO12" i="9" s="1"/>
  <c r="M38" i="10"/>
  <c r="I52" i="10"/>
  <c r="E41" i="10"/>
  <c r="O41" i="10"/>
  <c r="F38" i="10"/>
  <c r="K38" i="10"/>
  <c r="L52" i="10"/>
  <c r="O52" i="10"/>
  <c r="P55" i="10"/>
  <c r="D41" i="10"/>
  <c r="R103" i="10"/>
  <c r="B40" i="10"/>
  <c r="B41" i="10" s="1"/>
  <c r="B42" i="10" s="1"/>
  <c r="B43" i="10" s="1"/>
  <c r="B44" i="10" s="1"/>
  <c r="B45" i="10" s="1"/>
  <c r="B46" i="10" s="1"/>
  <c r="O2184" i="13" l="1" a="1"/>
  <c r="O2184" i="13" s="1"/>
  <c r="O2211" i="13" s="1"/>
  <c r="O913" i="12"/>
  <c r="O908" i="12"/>
  <c r="O873" i="12"/>
  <c r="O2088" i="13" a="1"/>
  <c r="O2088" i="13" s="1"/>
  <c r="O883" i="12"/>
  <c r="O2120" i="13" s="1" a="1"/>
  <c r="O2120" i="13" s="1"/>
  <c r="O884" i="12"/>
  <c r="N897" i="12"/>
  <c r="N2154" i="13" s="1" a="1"/>
  <c r="N2154" i="13" s="1"/>
  <c r="N898" i="12"/>
  <c r="O2155" i="13" a="1"/>
  <c r="O2155" i="13" s="1"/>
  <c r="O896" i="12"/>
  <c r="N2189" i="13" a="1"/>
  <c r="N2189" i="13" s="1"/>
  <c r="N910" i="12"/>
  <c r="M911" i="12"/>
  <c r="M2188" i="13" s="1" a="1"/>
  <c r="M2188" i="13" s="1"/>
  <c r="M912" i="12"/>
  <c r="L915" i="12"/>
  <c r="L2190" i="13" a="1"/>
  <c r="L2190" i="13" s="1"/>
  <c r="N887" i="12"/>
  <c r="N2122" i="13" a="1"/>
  <c r="N2122" i="13" s="1"/>
  <c r="M901" i="12"/>
  <c r="M2156" i="13" a="1"/>
  <c r="M2156" i="13" s="1"/>
  <c r="D87" i="24" a="1"/>
  <c r="D87" i="24" s="1"/>
  <c r="ID74" i="9"/>
  <c r="IE74" i="9" s="1"/>
  <c r="HK75" i="9"/>
  <c r="HL75" i="9" s="1"/>
  <c r="IB75" i="9" a="1"/>
  <c r="IB75" i="9" s="1"/>
  <c r="IC75" i="9" s="1"/>
  <c r="D90" i="24" a="1"/>
  <c r="D90" i="24" s="1"/>
  <c r="D91" i="24" s="1"/>
  <c r="D92" i="24" s="1"/>
  <c r="O904" i="12" a="1"/>
  <c r="O904" i="12" s="1"/>
  <c r="O2185" i="13" s="1" a="1"/>
  <c r="O2185" i="13" s="1"/>
  <c r="IF75" i="9" s="1" a="1"/>
  <c r="IF75" i="9" s="1"/>
  <c r="HQ75" i="9" a="1"/>
  <c r="HQ75" i="9" s="1"/>
  <c r="HY12" i="9" a="1"/>
  <c r="HY12" i="9" s="1"/>
  <c r="HS12" i="9" a="1"/>
  <c r="HS12" i="9" s="1"/>
  <c r="P24" i="27" s="1" a="1"/>
  <c r="P24" i="27" s="1"/>
  <c r="HF12" i="9" a="1"/>
  <c r="HF12" i="9" s="1"/>
  <c r="GZ12" i="9" a="1"/>
  <c r="GZ12" i="9" s="1"/>
  <c r="GM12" i="9" a="1"/>
  <c r="GM12" i="9" s="1"/>
  <c r="GG12" i="9" a="1"/>
  <c r="GG12" i="9" s="1"/>
  <c r="N24" i="27" s="1" a="1"/>
  <c r="N24" i="27" s="1"/>
  <c r="FT12" i="9" a="1"/>
  <c r="FT12" i="9" s="1"/>
  <c r="FN12" i="9" a="1"/>
  <c r="FN12" i="9" s="1"/>
  <c r="M24" i="27" s="1" a="1"/>
  <c r="M24" i="27" s="1"/>
  <c r="BW12" i="9" a="1"/>
  <c r="BW12" i="9" s="1"/>
  <c r="H24" i="27" s="1" a="1"/>
  <c r="H24" i="27" s="1"/>
  <c r="CC12" i="9" a="1"/>
  <c r="CC12" i="9" s="1"/>
  <c r="R12" i="9" a="1"/>
  <c r="R12" i="9" s="1"/>
  <c r="E24" i="27" s="1" a="1"/>
  <c r="E24" i="27" s="1"/>
  <c r="X12" i="9" a="1"/>
  <c r="X12" i="9" s="1"/>
  <c r="E29" i="10"/>
  <c r="I31" i="10"/>
  <c r="P56" i="10" a="1"/>
  <c r="P56" i="10" s="1"/>
  <c r="P42" i="10" a="1"/>
  <c r="P42" i="10" s="1"/>
  <c r="J29" i="10"/>
  <c r="J50" i="13" s="1" a="1"/>
  <c r="J50" i="13" s="1"/>
  <c r="J53" i="13" s="1" a="1"/>
  <c r="J53" i="13" s="1"/>
  <c r="J54" i="13" s="1"/>
  <c r="H31" i="10"/>
  <c r="L58" i="10"/>
  <c r="L59" i="10"/>
  <c r="L57" i="10"/>
  <c r="L118" i="13" s="1" a="1"/>
  <c r="L118" i="13" s="1"/>
  <c r="L123" i="13" s="1" a="1"/>
  <c r="L123" i="13" s="1"/>
  <c r="L124" i="13" s="1"/>
  <c r="M45" i="10"/>
  <c r="M43" i="10"/>
  <c r="M84" i="13" s="1" a="1"/>
  <c r="M84" i="13" s="1"/>
  <c r="M87" i="13" s="1" a="1"/>
  <c r="M87" i="13" s="1"/>
  <c r="M88" i="13" s="1"/>
  <c r="M44" i="10"/>
  <c r="E58" i="10"/>
  <c r="E59" i="10"/>
  <c r="E57" i="10"/>
  <c r="E118" i="13" s="1" a="1"/>
  <c r="E118" i="13" s="1"/>
  <c r="E123" i="13" s="1" a="1"/>
  <c r="E123" i="13" s="1"/>
  <c r="E124" i="13" s="1"/>
  <c r="H43" i="10"/>
  <c r="H84" i="13" s="1" a="1"/>
  <c r="H84" i="13" s="1"/>
  <c r="H87" i="13" s="1" a="1"/>
  <c r="H87" i="13" s="1"/>
  <c r="H88" i="13" s="1"/>
  <c r="H44" i="10"/>
  <c r="H45" i="10"/>
  <c r="N57" i="10"/>
  <c r="N58" i="10"/>
  <c r="N59" i="10"/>
  <c r="I57" i="10"/>
  <c r="I118" i="13" s="1" a="1"/>
  <c r="I118" i="13" s="1"/>
  <c r="I121" i="13" s="1" a="1"/>
  <c r="I121" i="13" s="1"/>
  <c r="I122" i="13" s="1"/>
  <c r="I58" i="10"/>
  <c r="I119" i="13" s="1" a="1"/>
  <c r="I119" i="13" s="1"/>
  <c r="I59" i="10"/>
  <c r="F45" i="10"/>
  <c r="F43" i="10"/>
  <c r="F44" i="10"/>
  <c r="K57" i="10"/>
  <c r="K118" i="13" s="1" a="1"/>
  <c r="K118" i="13" s="1"/>
  <c r="K121" i="13" s="1" a="1"/>
  <c r="K121" i="13" s="1"/>
  <c r="K122" i="13" s="1"/>
  <c r="K58" i="10"/>
  <c r="K59" i="10"/>
  <c r="J44" i="10"/>
  <c r="J85" i="13" s="1" a="1"/>
  <c r="J85" i="13" s="1"/>
  <c r="J45" i="10"/>
  <c r="J43" i="10"/>
  <c r="J84" i="13" s="1" a="1"/>
  <c r="J84" i="13" s="1"/>
  <c r="J89" i="13" s="1" a="1"/>
  <c r="J89" i="13" s="1"/>
  <c r="J90" i="13" s="1"/>
  <c r="D58" i="10"/>
  <c r="D59" i="10"/>
  <c r="D57" i="10"/>
  <c r="D118" i="13" s="1" a="1"/>
  <c r="D118" i="13" s="1"/>
  <c r="D123" i="13" s="1" a="1"/>
  <c r="D123" i="13" s="1"/>
  <c r="D124" i="13" s="1"/>
  <c r="G59" i="10"/>
  <c r="G57" i="10"/>
  <c r="G118" i="13" s="1" a="1"/>
  <c r="G118" i="13" s="1"/>
  <c r="G123" i="13" s="1" a="1"/>
  <c r="G123" i="13" s="1"/>
  <c r="G124" i="13" s="1"/>
  <c r="G58" i="10"/>
  <c r="N42" i="10" a="1"/>
  <c r="N42" i="10" s="1"/>
  <c r="N45" i="10" s="1"/>
  <c r="H59" i="10"/>
  <c r="F58" i="10"/>
  <c r="K29" i="10"/>
  <c r="K50" i="13" s="1" a="1"/>
  <c r="K50" i="13" s="1"/>
  <c r="G45" i="10"/>
  <c r="F29" i="10"/>
  <c r="L44" i="10"/>
  <c r="K43" i="10"/>
  <c r="O57" i="10"/>
  <c r="O118" i="13" s="1" a="1"/>
  <c r="O118" i="13" s="1"/>
  <c r="O123" i="13" s="1" a="1"/>
  <c r="O123" i="13" s="1"/>
  <c r="O124" i="13" s="1"/>
  <c r="I44" i="10"/>
  <c r="J31" i="10"/>
  <c r="I30" i="10"/>
  <c r="I51" i="13" s="1" a="1"/>
  <c r="I51" i="13" s="1"/>
  <c r="H30" i="10"/>
  <c r="E31" i="10"/>
  <c r="E42" i="10" a="1"/>
  <c r="E42" i="10" s="1"/>
  <c r="E44" i="10" s="1"/>
  <c r="D42" i="10" a="1"/>
  <c r="D42" i="10" s="1"/>
  <c r="D44" i="10" s="1"/>
  <c r="O42" i="10" a="1"/>
  <c r="O42" i="10" s="1"/>
  <c r="O43" i="10" s="1"/>
  <c r="M56" i="10" a="1"/>
  <c r="M56" i="10" s="1"/>
  <c r="M58" i="10" s="1"/>
  <c r="H58" i="10"/>
  <c r="F57" i="10"/>
  <c r="F118" i="13" s="1" a="1"/>
  <c r="F118" i="13" s="1"/>
  <c r="F121" i="13" s="1" a="1"/>
  <c r="F121" i="13" s="1"/>
  <c r="F122" i="13" s="1"/>
  <c r="K30" i="10"/>
  <c r="K51" i="13" s="1" a="1"/>
  <c r="K51" i="13" s="1"/>
  <c r="K58" i="13" s="1" a="1"/>
  <c r="K58" i="13" s="1"/>
  <c r="K59" i="13" s="1"/>
  <c r="G43" i="10"/>
  <c r="G84" i="13" s="1" a="1"/>
  <c r="G84" i="13" s="1"/>
  <c r="G89" i="13" s="1" a="1"/>
  <c r="G89" i="13" s="1"/>
  <c r="G90" i="13" s="1"/>
  <c r="F31" i="10"/>
  <c r="L43" i="10"/>
  <c r="K45" i="10"/>
  <c r="O59" i="10"/>
  <c r="I45" i="10"/>
  <c r="J56" i="10" a="1"/>
  <c r="J56" i="10" s="1"/>
  <c r="J57" i="10" s="1"/>
  <c r="J118" i="13" s="1" a="1"/>
  <c r="J118" i="13" s="1"/>
  <c r="J121" i="13" s="1" a="1"/>
  <c r="J121" i="13" s="1"/>
  <c r="J122" i="13" s="1"/>
  <c r="I32" i="10"/>
  <c r="E32" i="10"/>
  <c r="H32" i="10"/>
  <c r="H118" i="13" a="1"/>
  <c r="H118" i="13" s="1"/>
  <c r="H121" i="13" s="1" a="1"/>
  <c r="H121" i="13" s="1"/>
  <c r="H122" i="13" s="1"/>
  <c r="N60" i="10"/>
  <c r="L40" i="10"/>
  <c r="FM13" i="9" s="1" a="1"/>
  <c r="FM13" i="9" s="1"/>
  <c r="D40" i="10"/>
  <c r="Q13" i="9" s="1" a="1"/>
  <c r="Q13" i="9" s="1"/>
  <c r="H46" i="10"/>
  <c r="M40" i="10"/>
  <c r="GF13" i="9" s="1" a="1"/>
  <c r="GF13" i="9" s="1"/>
  <c r="J40" i="10"/>
  <c r="EA13" i="9" s="1" a="1"/>
  <c r="EA13" i="9" s="1"/>
  <c r="K32" i="10"/>
  <c r="G52" i="13" a="1"/>
  <c r="G52" i="13" s="1"/>
  <c r="G65" i="13" s="1" a="1"/>
  <c r="G65" i="13" s="1"/>
  <c r="G66" i="13" s="1"/>
  <c r="N52" i="13" a="1"/>
  <c r="N52" i="13" s="1"/>
  <c r="N65" i="13" s="1" a="1"/>
  <c r="N65" i="13" s="1"/>
  <c r="N66" i="13" s="1"/>
  <c r="G51" i="13" a="1"/>
  <c r="G51" i="13" s="1"/>
  <c r="G58" i="13" s="1" a="1"/>
  <c r="G58" i="13" s="1"/>
  <c r="G59" i="13" s="1"/>
  <c r="G50" i="13" a="1"/>
  <c r="G50" i="13" s="1"/>
  <c r="G55" i="13" s="1" a="1"/>
  <c r="G55" i="13" s="1"/>
  <c r="G56" i="13" s="1"/>
  <c r="D50" i="13" a="1"/>
  <c r="D50" i="13" s="1"/>
  <c r="D55" i="13" s="1" a="1"/>
  <c r="D55" i="13" s="1"/>
  <c r="D56" i="13" s="1"/>
  <c r="O51" i="13" a="1"/>
  <c r="O51" i="13" s="1"/>
  <c r="O60" i="13" s="1" a="1"/>
  <c r="O60" i="13" s="1"/>
  <c r="O61" i="13" s="1"/>
  <c r="O52" i="13" a="1"/>
  <c r="O52" i="13" s="1"/>
  <c r="O65" i="13" s="1" a="1"/>
  <c r="O65" i="13" s="1"/>
  <c r="O66" i="13" s="1"/>
  <c r="L52" i="13" a="1"/>
  <c r="L52" i="13" s="1"/>
  <c r="L63" i="13" s="1" a="1"/>
  <c r="L63" i="13" s="1"/>
  <c r="L64" i="13" s="1"/>
  <c r="O50" i="13" a="1"/>
  <c r="O50" i="13" s="1"/>
  <c r="O53" i="13" s="1" a="1"/>
  <c r="O53" i="13" s="1"/>
  <c r="O54" i="13" s="1"/>
  <c r="D51" i="13" a="1"/>
  <c r="D51" i="13" s="1"/>
  <c r="D60" i="13" s="1" a="1"/>
  <c r="D60" i="13" s="1"/>
  <c r="D61" i="13" s="1"/>
  <c r="J32" i="10"/>
  <c r="O54" i="10"/>
  <c r="HR14" i="9" s="1" a="1"/>
  <c r="HR14" i="9" s="1"/>
  <c r="I54" i="10"/>
  <c r="DH14" i="9" s="1" a="1"/>
  <c r="DH14" i="9" s="1"/>
  <c r="H54" i="10"/>
  <c r="CO14" i="9" s="1" a="1"/>
  <c r="CO14" i="9" s="1"/>
  <c r="E54" i="10"/>
  <c r="AJ14" i="9" s="1" a="1"/>
  <c r="AJ14" i="9" s="1"/>
  <c r="K40" i="10"/>
  <c r="ET13" i="9" s="1" a="1"/>
  <c r="ET13" i="9" s="1"/>
  <c r="P69" i="10"/>
  <c r="F32" i="10"/>
  <c r="E40" i="10"/>
  <c r="AJ13" i="9" s="1" a="1"/>
  <c r="AJ13" i="9" s="1"/>
  <c r="G40" i="10"/>
  <c r="BV13" i="9" s="1" a="1"/>
  <c r="BV13" i="9" s="1"/>
  <c r="G46" i="10"/>
  <c r="J46" i="10"/>
  <c r="J54" i="10"/>
  <c r="EA14" i="9" s="1" a="1"/>
  <c r="EA14" i="9" s="1"/>
  <c r="F54" i="10"/>
  <c r="BC14" i="9" s="1" a="1"/>
  <c r="BC14" i="9" s="1"/>
  <c r="G54" i="10"/>
  <c r="BV14" i="9" s="1" a="1"/>
  <c r="BV14" i="9" s="1"/>
  <c r="E66" i="10"/>
  <c r="D66" i="10"/>
  <c r="E69" i="10"/>
  <c r="B103" i="10" a="1"/>
  <c r="B103" i="10" s="1"/>
  <c r="A103" i="10" a="1"/>
  <c r="A103" i="10" s="1"/>
  <c r="F40" i="10"/>
  <c r="BC13" i="9" s="1" a="1"/>
  <c r="BC13" i="9" s="1"/>
  <c r="N54" i="10"/>
  <c r="GY14" i="9" s="1" a="1"/>
  <c r="GY14" i="9" s="1"/>
  <c r="K60" i="10"/>
  <c r="K69" i="10"/>
  <c r="K66" i="10"/>
  <c r="L66" i="10"/>
  <c r="L60" i="10"/>
  <c r="F66" i="10"/>
  <c r="H66" i="10"/>
  <c r="D54" i="10"/>
  <c r="Q14" i="9" s="1" a="1"/>
  <c r="Q14" i="9" s="1"/>
  <c r="G66" i="10"/>
  <c r="N40" i="10"/>
  <c r="GY13" i="9" s="1" a="1"/>
  <c r="GY13" i="9" s="1"/>
  <c r="J66" i="10"/>
  <c r="N66" i="10"/>
  <c r="I60" i="10"/>
  <c r="L54" i="10"/>
  <c r="FM14" i="9" s="1" a="1"/>
  <c r="FM14" i="9" s="1"/>
  <c r="I40" i="10"/>
  <c r="DH13" i="9" s="1" a="1"/>
  <c r="DH13" i="9" s="1"/>
  <c r="H40" i="10"/>
  <c r="CO13" i="9" s="1" a="1"/>
  <c r="CO13" i="9" s="1"/>
  <c r="K54" i="10"/>
  <c r="ET14" i="9" s="1" a="1"/>
  <c r="ET14" i="9" s="1"/>
  <c r="M54" i="10"/>
  <c r="GF14" i="9" s="1" a="1"/>
  <c r="GF14" i="9" s="1"/>
  <c r="O66" i="10"/>
  <c r="P89" i="10"/>
  <c r="B90" i="10"/>
  <c r="I89" i="10"/>
  <c r="J89" i="10"/>
  <c r="G89" i="10"/>
  <c r="O89" i="10"/>
  <c r="F89" i="10"/>
  <c r="M89" i="10"/>
  <c r="H89" i="10"/>
  <c r="E89" i="10"/>
  <c r="D89" i="10"/>
  <c r="N89" i="10"/>
  <c r="L89" i="10"/>
  <c r="K89" i="10"/>
  <c r="N76" i="10"/>
  <c r="J76" i="10"/>
  <c r="J83" i="10" s="1"/>
  <c r="F76" i="10"/>
  <c r="B77" i="10"/>
  <c r="B78" i="10" s="1"/>
  <c r="B79" i="10" s="1"/>
  <c r="E76" i="10"/>
  <c r="P76" i="10"/>
  <c r="P80" i="10" s="1"/>
  <c r="H76" i="10"/>
  <c r="H83" i="10" s="1"/>
  <c r="L76" i="10"/>
  <c r="D76" i="10"/>
  <c r="G76" i="10"/>
  <c r="G83" i="10" s="1"/>
  <c r="B80" i="10"/>
  <c r="B81" i="10" s="1"/>
  <c r="O76" i="10"/>
  <c r="O83" i="10" s="1"/>
  <c r="M76" i="10"/>
  <c r="M83" i="10" s="1"/>
  <c r="K76" i="10"/>
  <c r="K83" i="10" s="1"/>
  <c r="I76" i="10"/>
  <c r="I83" i="10" s="1"/>
  <c r="O67" i="10"/>
  <c r="O70" i="10" s="1" a="1"/>
  <c r="O70" i="10" s="1"/>
  <c r="K67" i="10"/>
  <c r="G67" i="10"/>
  <c r="G70" i="10" s="1" a="1"/>
  <c r="G70" i="10" s="1"/>
  <c r="J67" i="10"/>
  <c r="J70" i="10" s="1" a="1"/>
  <c r="J70" i="10" s="1"/>
  <c r="N67" i="10"/>
  <c r="N70" i="10" s="1" a="1"/>
  <c r="N70" i="10" s="1"/>
  <c r="H67" i="10"/>
  <c r="H70" i="10" s="1" a="1"/>
  <c r="H70" i="10" s="1"/>
  <c r="F67" i="10"/>
  <c r="F70" i="10" s="1" a="1"/>
  <c r="F70" i="10" s="1"/>
  <c r="B68" i="10"/>
  <c r="B69" i="10" s="1"/>
  <c r="B70" i="10" s="1"/>
  <c r="B71" i="10" s="1"/>
  <c r="B72" i="10" s="1"/>
  <c r="B73" i="10" s="1"/>
  <c r="B74" i="10" s="1"/>
  <c r="M67" i="10"/>
  <c r="M70" i="10" s="1" a="1"/>
  <c r="M70" i="10" s="1"/>
  <c r="I67" i="10"/>
  <c r="P67" i="10"/>
  <c r="P68" i="10" s="1"/>
  <c r="E67" i="10"/>
  <c r="L67" i="10"/>
  <c r="L70" i="10" s="1" a="1"/>
  <c r="L70" i="10" s="1"/>
  <c r="D67" i="10"/>
  <c r="O40" i="10"/>
  <c r="HR13" i="9" s="1" a="1"/>
  <c r="HR13" i="9" s="1"/>
  <c r="M46" i="10"/>
  <c r="I69" i="10"/>
  <c r="I66" i="10"/>
  <c r="M66" i="10"/>
  <c r="D69" i="10"/>
  <c r="L50" i="13" a="1"/>
  <c r="L50" i="13" s="1"/>
  <c r="L51" i="13" a="1"/>
  <c r="L51" i="13" s="1"/>
  <c r="M52" i="13" a="1"/>
  <c r="M52" i="13" s="1"/>
  <c r="R117" i="10"/>
  <c r="D52" i="13" a="1"/>
  <c r="D52" i="13" s="1"/>
  <c r="O24" i="27" a="1"/>
  <c r="O24" i="27" s="1"/>
  <c r="M50" i="13" a="1"/>
  <c r="M50" i="13" s="1"/>
  <c r="M51" i="13" a="1"/>
  <c r="M51" i="13" s="1"/>
  <c r="N50" i="13" a="1"/>
  <c r="N50" i="13" s="1"/>
  <c r="N51" i="13" a="1"/>
  <c r="N51" i="13" s="1"/>
  <c r="D102" i="24" l="1"/>
  <c r="M915" i="12"/>
  <c r="M2190" i="13" a="1"/>
  <c r="M2190" i="13" s="1"/>
  <c r="O887" i="12"/>
  <c r="O2122" i="13" a="1"/>
  <c r="O2122" i="13" s="1"/>
  <c r="N911" i="12"/>
  <c r="N2188" i="13" s="1" a="1"/>
  <c r="N2188" i="13" s="1"/>
  <c r="N912" i="12"/>
  <c r="O897" i="12"/>
  <c r="O2154" i="13" s="1" a="1"/>
  <c r="O2154" i="13" s="1"/>
  <c r="O898" i="12"/>
  <c r="O2189" i="13" a="1"/>
  <c r="O2189" i="13" s="1"/>
  <c r="O910" i="12"/>
  <c r="N901" i="12"/>
  <c r="N2156" i="13" a="1"/>
  <c r="N2156" i="13" s="1"/>
  <c r="CX392" i="1"/>
  <c r="ID75" i="9"/>
  <c r="IE75" i="9" s="1"/>
  <c r="HF14" i="9" a="1"/>
  <c r="HF14" i="9" s="1"/>
  <c r="GZ14" i="9" a="1"/>
  <c r="GZ14" i="9" s="1"/>
  <c r="GM13" i="9" a="1"/>
  <c r="GM13" i="9" s="1"/>
  <c r="GG13" i="9" a="1"/>
  <c r="GG13" i="9" s="1"/>
  <c r="FT14" i="9" a="1"/>
  <c r="FT14" i="9" s="1"/>
  <c r="FN14" i="9" a="1"/>
  <c r="FN14" i="9" s="1"/>
  <c r="K52" i="13" a="1"/>
  <c r="K52" i="13" s="1"/>
  <c r="K63" i="13" s="1" a="1"/>
  <c r="K63" i="13" s="1"/>
  <c r="K64" i="13" s="1"/>
  <c r="FA12" i="9" a="1"/>
  <c r="FA12" i="9" s="1"/>
  <c r="EU12" i="9" a="1"/>
  <c r="EU12" i="9" s="1"/>
  <c r="FA14" i="9" a="1"/>
  <c r="FA14" i="9" s="1"/>
  <c r="EU14" i="9" a="1"/>
  <c r="EU14" i="9" s="1"/>
  <c r="EH12" i="9" a="1"/>
  <c r="EH12" i="9" s="1"/>
  <c r="EB12" i="9" a="1"/>
  <c r="EB12" i="9" s="1"/>
  <c r="EH13" i="9" a="1"/>
  <c r="EH13" i="9" s="1"/>
  <c r="EB13" i="9" a="1"/>
  <c r="EB13" i="9" s="1"/>
  <c r="I52" i="13" a="1"/>
  <c r="I52" i="13" s="1"/>
  <c r="I63" i="13" s="1" a="1"/>
  <c r="I63" i="13" s="1"/>
  <c r="I64" i="13" s="1"/>
  <c r="DI12" i="9" a="1"/>
  <c r="DI12" i="9" s="1"/>
  <c r="DO12" i="9" a="1"/>
  <c r="DO12" i="9" s="1"/>
  <c r="DI14" i="9" a="1"/>
  <c r="DI14" i="9" s="1"/>
  <c r="DO14" i="9" a="1"/>
  <c r="DO14" i="9" s="1"/>
  <c r="H86" i="13" a="1"/>
  <c r="H86" i="13" s="1"/>
  <c r="H99" i="13" s="1" a="1"/>
  <c r="H99" i="13" s="1"/>
  <c r="H100" i="13" s="1"/>
  <c r="CV13" i="9" a="1"/>
  <c r="CV13" i="9" s="1"/>
  <c r="CP13" i="9" a="1"/>
  <c r="CP13" i="9" s="1"/>
  <c r="H52" i="13" a="1"/>
  <c r="H52" i="13" s="1"/>
  <c r="H65" i="13" s="1" a="1"/>
  <c r="H65" i="13" s="1"/>
  <c r="H66" i="13" s="1"/>
  <c r="CV12" i="9" a="1"/>
  <c r="CV12" i="9" s="1"/>
  <c r="CP12" i="9" a="1"/>
  <c r="CP12" i="9" s="1"/>
  <c r="BW13" i="9" a="1"/>
  <c r="BW13" i="9" s="1"/>
  <c r="CC13" i="9" a="1"/>
  <c r="CC13" i="9" s="1"/>
  <c r="BD12" i="9" a="1"/>
  <c r="BD12" i="9" s="1"/>
  <c r="BJ12" i="9" a="1"/>
  <c r="BJ12" i="9" s="1"/>
  <c r="E52" i="13" a="1"/>
  <c r="E52" i="13" s="1"/>
  <c r="E65" i="13" s="1" a="1"/>
  <c r="E65" i="13" s="1"/>
  <c r="E66" i="13" s="1"/>
  <c r="AQ12" i="9" a="1"/>
  <c r="AQ12" i="9" s="1"/>
  <c r="AK12" i="9" a="1"/>
  <c r="AK12" i="9" s="1"/>
  <c r="J60" i="10"/>
  <c r="J120" i="13" s="1" a="1"/>
  <c r="J120" i="13" s="1"/>
  <c r="J131" i="13" s="1" a="1"/>
  <c r="J131" i="13" s="1"/>
  <c r="J132" i="13" s="1"/>
  <c r="P29" i="10"/>
  <c r="O45" i="10"/>
  <c r="E43" i="10"/>
  <c r="N44" i="10"/>
  <c r="E45" i="10"/>
  <c r="P31" i="10"/>
  <c r="D45" i="10"/>
  <c r="P30" i="10"/>
  <c r="J58" i="10"/>
  <c r="P58" i="10" s="1"/>
  <c r="D43" i="10"/>
  <c r="D84" i="13" s="1" a="1"/>
  <c r="D84" i="13" s="1"/>
  <c r="F71" i="10"/>
  <c r="F152" i="13" s="1" a="1"/>
  <c r="F152" i="13" s="1"/>
  <c r="F73" i="10"/>
  <c r="F72" i="10"/>
  <c r="F153" i="13" s="1" a="1"/>
  <c r="F153" i="13" s="1"/>
  <c r="L72" i="10"/>
  <c r="L153" i="13" s="1" a="1"/>
  <c r="L153" i="13" s="1"/>
  <c r="L71" i="10"/>
  <c r="L152" i="13" s="1" a="1"/>
  <c r="L152" i="13" s="1"/>
  <c r="L73" i="10"/>
  <c r="N73" i="10"/>
  <c r="N71" i="10"/>
  <c r="N152" i="13" s="1" a="1"/>
  <c r="N152" i="13" s="1"/>
  <c r="N72" i="10"/>
  <c r="N153" i="13" s="1" a="1"/>
  <c r="N153" i="13" s="1"/>
  <c r="H73" i="10"/>
  <c r="H72" i="10"/>
  <c r="H153" i="13" s="1" a="1"/>
  <c r="H153" i="13" s="1"/>
  <c r="H71" i="10"/>
  <c r="H152" i="13" s="1" a="1"/>
  <c r="H152" i="13" s="1"/>
  <c r="J71" i="10"/>
  <c r="J152" i="13" s="1" a="1"/>
  <c r="J152" i="13" s="1"/>
  <c r="J73" i="10"/>
  <c r="J72" i="10"/>
  <c r="J153" i="13" s="1" a="1"/>
  <c r="J153" i="13" s="1"/>
  <c r="M72" i="10"/>
  <c r="M153" i="13" s="1" a="1"/>
  <c r="M153" i="13" s="1"/>
  <c r="M71" i="10"/>
  <c r="M152" i="13" s="1" a="1"/>
  <c r="M152" i="13" s="1"/>
  <c r="M73" i="10"/>
  <c r="O73" i="10"/>
  <c r="O71" i="10"/>
  <c r="O152" i="13" s="1" a="1"/>
  <c r="O152" i="13" s="1"/>
  <c r="O72" i="10"/>
  <c r="O153" i="13" s="1" a="1"/>
  <c r="O153" i="13" s="1"/>
  <c r="G73" i="10"/>
  <c r="G71" i="10"/>
  <c r="G152" i="13" s="1" a="1"/>
  <c r="G152" i="13" s="1"/>
  <c r="G72" i="10"/>
  <c r="G153" i="13" s="1" a="1"/>
  <c r="G153" i="13" s="1"/>
  <c r="M57" i="10"/>
  <c r="M118" i="13" s="1" a="1"/>
  <c r="M118" i="13" s="1"/>
  <c r="M121" i="13" s="1" a="1"/>
  <c r="M121" i="13" s="1"/>
  <c r="M122" i="13" s="1"/>
  <c r="K70" i="10" a="1"/>
  <c r="K70" i="10" s="1"/>
  <c r="K73" i="10" s="1"/>
  <c r="M59" i="10"/>
  <c r="I70" i="10" a="1"/>
  <c r="I70" i="10" s="1"/>
  <c r="I72" i="10" s="1"/>
  <c r="I153" i="13" s="1" a="1"/>
  <c r="I153" i="13" s="1"/>
  <c r="M60" i="10"/>
  <c r="P70" i="10" a="1"/>
  <c r="P70" i="10" s="1"/>
  <c r="J59" i="10"/>
  <c r="N43" i="10"/>
  <c r="N84" i="13" s="1" a="1"/>
  <c r="N84" i="13" s="1"/>
  <c r="D70" i="10" a="1"/>
  <c r="D70" i="10" s="1"/>
  <c r="D71" i="10" s="1"/>
  <c r="O44" i="10"/>
  <c r="O85" i="13" s="1" a="1"/>
  <c r="O85" i="13" s="1"/>
  <c r="O92" i="13" s="1" a="1"/>
  <c r="O92" i="13" s="1"/>
  <c r="O93" i="13" s="1"/>
  <c r="E70" i="10" a="1"/>
  <c r="E70" i="10" s="1"/>
  <c r="E72" i="10" s="1"/>
  <c r="E153" i="13" s="1" a="1"/>
  <c r="E153" i="13" s="1"/>
  <c r="I84" i="13" a="1"/>
  <c r="I84" i="13" s="1"/>
  <c r="F84" i="13" a="1"/>
  <c r="F84" i="13" s="1"/>
  <c r="F87" i="13" s="1" a="1"/>
  <c r="F87" i="13" s="1"/>
  <c r="F88" i="13" s="1"/>
  <c r="L84" i="13" a="1"/>
  <c r="L84" i="13" s="1"/>
  <c r="K85" i="13" a="1"/>
  <c r="K85" i="13" s="1"/>
  <c r="K94" i="13" s="1" a="1"/>
  <c r="K94" i="13" s="1"/>
  <c r="K95" i="13" s="1"/>
  <c r="K84" i="13" a="1"/>
  <c r="K84" i="13" s="1"/>
  <c r="E46" i="10"/>
  <c r="O46" i="10"/>
  <c r="G60" i="10"/>
  <c r="H60" i="10"/>
  <c r="H119" i="13" a="1"/>
  <c r="H119" i="13" s="1"/>
  <c r="H128" i="13" s="1" a="1"/>
  <c r="H128" i="13" s="1"/>
  <c r="H129" i="13" s="1"/>
  <c r="D60" i="10"/>
  <c r="X14" i="9" s="1" a="1"/>
  <c r="X14" i="9" s="1"/>
  <c r="F60" i="10"/>
  <c r="O60" i="10"/>
  <c r="G119" i="13" a="1"/>
  <c r="G119" i="13" s="1"/>
  <c r="G126" i="13" s="1" a="1"/>
  <c r="G126" i="13" s="1"/>
  <c r="G127" i="13" s="1"/>
  <c r="O119" i="13" a="1"/>
  <c r="O119" i="13" s="1"/>
  <c r="O126" i="13" s="1" a="1"/>
  <c r="O126" i="13" s="1"/>
  <c r="O127" i="13" s="1"/>
  <c r="F46" i="10"/>
  <c r="L46" i="10"/>
  <c r="L85" i="13" a="1"/>
  <c r="L85" i="13" s="1"/>
  <c r="L94" i="13" s="1" a="1"/>
  <c r="L94" i="13" s="1"/>
  <c r="L95" i="13" s="1"/>
  <c r="E60" i="10"/>
  <c r="N63" i="13" a="1"/>
  <c r="N63" i="13" s="1"/>
  <c r="N64" i="13" s="1"/>
  <c r="N67" i="13" s="1"/>
  <c r="HB12" i="9" s="1" a="1"/>
  <c r="HB12" i="9" s="1"/>
  <c r="K46" i="10"/>
  <c r="E119" i="13" a="1"/>
  <c r="E119" i="13" s="1"/>
  <c r="E126" i="13" s="1" a="1"/>
  <c r="E126" i="13" s="1"/>
  <c r="E127" i="13" s="1"/>
  <c r="N85" i="13" a="1"/>
  <c r="N85" i="13" s="1"/>
  <c r="N94" i="13" s="1" a="1"/>
  <c r="N94" i="13" s="1"/>
  <c r="N95" i="13" s="1"/>
  <c r="D46" i="10"/>
  <c r="X13" i="9" s="1" a="1"/>
  <c r="X13" i="9" s="1"/>
  <c r="D85" i="13" a="1"/>
  <c r="D85" i="13" s="1"/>
  <c r="D92" i="13" s="1" a="1"/>
  <c r="D92" i="13" s="1"/>
  <c r="D93" i="13" s="1"/>
  <c r="N118" i="13" a="1"/>
  <c r="N118" i="13" s="1"/>
  <c r="N121" i="13" s="1" a="1"/>
  <c r="N121" i="13" s="1"/>
  <c r="N122" i="13" s="1"/>
  <c r="N46" i="10"/>
  <c r="N119" i="13" a="1"/>
  <c r="N119" i="13" s="1"/>
  <c r="N126" i="13" s="1" a="1"/>
  <c r="N126" i="13" s="1"/>
  <c r="N127" i="13" s="1"/>
  <c r="I46" i="10"/>
  <c r="I85" i="13" a="1"/>
  <c r="I85" i="13" s="1"/>
  <c r="I92" i="13" s="1" a="1"/>
  <c r="I92" i="13" s="1"/>
  <c r="I93" i="13" s="1"/>
  <c r="O121" i="13" a="1"/>
  <c r="O121" i="13" s="1"/>
  <c r="O122" i="13" s="1"/>
  <c r="O125" i="13" s="1"/>
  <c r="J87" i="13" a="1"/>
  <c r="J87" i="13" s="1"/>
  <c r="J88" i="13" s="1"/>
  <c r="J91" i="13" s="1"/>
  <c r="O84" i="13" a="1"/>
  <c r="O84" i="13" s="1"/>
  <c r="O87" i="13" s="1" a="1"/>
  <c r="O87" i="13" s="1"/>
  <c r="O88" i="13" s="1"/>
  <c r="D58" i="13" a="1"/>
  <c r="D58" i="13" s="1"/>
  <c r="D59" i="13" s="1"/>
  <c r="D62" i="13" s="1"/>
  <c r="K60" i="13" a="1"/>
  <c r="K60" i="13" s="1"/>
  <c r="K61" i="13" s="1"/>
  <c r="K62" i="13" s="1"/>
  <c r="G121" i="13" a="1"/>
  <c r="G121" i="13" s="1"/>
  <c r="G122" i="13" s="1"/>
  <c r="G125" i="13" s="1"/>
  <c r="D53" i="13" a="1"/>
  <c r="D53" i="13" s="1"/>
  <c r="D54" i="13" s="1"/>
  <c r="D57" i="13" s="1"/>
  <c r="O58" i="13" a="1"/>
  <c r="O58" i="13" s="1"/>
  <c r="O59" i="13" s="1"/>
  <c r="O62" i="13" s="1"/>
  <c r="J123" i="13" a="1"/>
  <c r="J123" i="13" s="1"/>
  <c r="J124" i="13" s="1"/>
  <c r="J125" i="13" s="1"/>
  <c r="D121" i="13" a="1"/>
  <c r="D121" i="13" s="1"/>
  <c r="D122" i="13" s="1"/>
  <c r="D125" i="13" s="1"/>
  <c r="O55" i="13" a="1"/>
  <c r="O55" i="13" s="1"/>
  <c r="O56" i="13" s="1"/>
  <c r="O57" i="13" s="1"/>
  <c r="E121" i="13" a="1"/>
  <c r="E121" i="13" s="1"/>
  <c r="E122" i="13" s="1"/>
  <c r="E125" i="13" s="1"/>
  <c r="H123" i="13" a="1"/>
  <c r="H123" i="13" s="1"/>
  <c r="H124" i="13" s="1"/>
  <c r="H125" i="13" s="1"/>
  <c r="G63" i="13" a="1"/>
  <c r="G63" i="13" s="1"/>
  <c r="G64" i="13" s="1"/>
  <c r="G67" i="13" s="1"/>
  <c r="BY12" i="9" s="1" a="1"/>
  <c r="BY12" i="9" s="1"/>
  <c r="G87" i="13" a="1"/>
  <c r="G87" i="13" s="1"/>
  <c r="G88" i="13" s="1"/>
  <c r="G91" i="13" s="1"/>
  <c r="H89" i="13" a="1"/>
  <c r="H89" i="13" s="1"/>
  <c r="H90" i="13" s="1"/>
  <c r="H91" i="13" s="1"/>
  <c r="K123" i="13" a="1"/>
  <c r="K123" i="13" s="1"/>
  <c r="K124" i="13" s="1"/>
  <c r="K125" i="13" s="1"/>
  <c r="F123" i="13" a="1"/>
  <c r="F123" i="13" s="1"/>
  <c r="F124" i="13" s="1"/>
  <c r="F125" i="13" s="1"/>
  <c r="J55" i="13" a="1"/>
  <c r="J55" i="13" s="1"/>
  <c r="J56" i="13" s="1"/>
  <c r="J57" i="13" s="1"/>
  <c r="M89" i="13" a="1"/>
  <c r="M89" i="13" s="1"/>
  <c r="M90" i="13" s="1"/>
  <c r="M91" i="13" s="1"/>
  <c r="O63" i="13" a="1"/>
  <c r="O63" i="13" s="1"/>
  <c r="O64" i="13" s="1"/>
  <c r="O67" i="13" s="1"/>
  <c r="HU12" i="9" s="1" a="1"/>
  <c r="HU12" i="9" s="1"/>
  <c r="L121" i="13" a="1"/>
  <c r="L121" i="13" s="1"/>
  <c r="L122" i="13" s="1"/>
  <c r="L125" i="13" s="1"/>
  <c r="G60" i="13" a="1"/>
  <c r="G60" i="13" s="1"/>
  <c r="G61" i="13" s="1"/>
  <c r="G62" i="13" s="1"/>
  <c r="L65" i="13" a="1"/>
  <c r="L65" i="13" s="1"/>
  <c r="L66" i="13" s="1"/>
  <c r="L67" i="13" s="1"/>
  <c r="FP12" i="9" s="1" a="1"/>
  <c r="FP12" i="9" s="1"/>
  <c r="I123" i="13" a="1"/>
  <c r="I123" i="13" s="1"/>
  <c r="I124" i="13" s="1"/>
  <c r="I125" i="13" s="1"/>
  <c r="K55" i="13" a="1"/>
  <c r="K55" i="13" s="1"/>
  <c r="K56" i="13" s="1"/>
  <c r="K53" i="13" a="1"/>
  <c r="K53" i="13" s="1"/>
  <c r="K54" i="13" s="1"/>
  <c r="G53" i="13" a="1"/>
  <c r="G53" i="13" s="1"/>
  <c r="G54" i="13" s="1"/>
  <c r="G57" i="13" s="1"/>
  <c r="M85" i="13" a="1"/>
  <c r="M85" i="13" s="1"/>
  <c r="M92" i="13" s="1" a="1"/>
  <c r="M92" i="13" s="1"/>
  <c r="M93" i="13" s="1"/>
  <c r="J86" i="13" a="1"/>
  <c r="J86" i="13" s="1"/>
  <c r="J97" i="13" s="1" a="1"/>
  <c r="J97" i="13" s="1"/>
  <c r="J98" i="13" s="1"/>
  <c r="I50" i="13" a="1"/>
  <c r="I50" i="13" s="1"/>
  <c r="I55" i="13" s="1" a="1"/>
  <c r="I55" i="13" s="1"/>
  <c r="I56" i="13" s="1"/>
  <c r="M86" i="13" a="1"/>
  <c r="M86" i="13" s="1"/>
  <c r="M99" i="13" s="1" a="1"/>
  <c r="M99" i="13" s="1"/>
  <c r="M100" i="13" s="1"/>
  <c r="E51" i="13" a="1"/>
  <c r="E51" i="13" s="1"/>
  <c r="E58" i="13" s="1" a="1"/>
  <c r="E58" i="13" s="1"/>
  <c r="E59" i="13" s="1"/>
  <c r="K119" i="13" a="1"/>
  <c r="K119" i="13" s="1"/>
  <c r="K126" i="13" s="1" a="1"/>
  <c r="K126" i="13" s="1"/>
  <c r="K127" i="13" s="1"/>
  <c r="H51" i="13" a="1"/>
  <c r="H51" i="13" s="1"/>
  <c r="H60" i="13" s="1" a="1"/>
  <c r="H60" i="13" s="1"/>
  <c r="H61" i="13" s="1"/>
  <c r="G86" i="13" a="1"/>
  <c r="G86" i="13" s="1"/>
  <c r="G99" i="13" s="1" a="1"/>
  <c r="G99" i="13" s="1"/>
  <c r="G100" i="13" s="1"/>
  <c r="F52" i="13" a="1"/>
  <c r="F52" i="13" s="1"/>
  <c r="F63" i="13" s="1" a="1"/>
  <c r="F63" i="13" s="1"/>
  <c r="F64" i="13" s="1"/>
  <c r="E50" i="13" a="1"/>
  <c r="E50" i="13" s="1"/>
  <c r="E55" i="13" s="1" a="1"/>
  <c r="E55" i="13" s="1"/>
  <c r="E56" i="13" s="1"/>
  <c r="L120" i="13" a="1"/>
  <c r="L120" i="13" s="1"/>
  <c r="L133" i="13" s="1" a="1"/>
  <c r="L133" i="13" s="1"/>
  <c r="L134" i="13" s="1"/>
  <c r="H50" i="13" a="1"/>
  <c r="H50" i="13" s="1"/>
  <c r="H55" i="13" s="1" a="1"/>
  <c r="H55" i="13" s="1"/>
  <c r="H56" i="13" s="1"/>
  <c r="F119" i="13" a="1"/>
  <c r="F119" i="13" s="1"/>
  <c r="F126" i="13" s="1" a="1"/>
  <c r="F126" i="13" s="1"/>
  <c r="F127" i="13" s="1"/>
  <c r="F85" i="13" a="1"/>
  <c r="F85" i="13" s="1"/>
  <c r="F92" i="13" s="1" a="1"/>
  <c r="F92" i="13" s="1"/>
  <c r="F93" i="13" s="1"/>
  <c r="F50" i="13" a="1"/>
  <c r="F50" i="13" s="1"/>
  <c r="F53" i="13" s="1" a="1"/>
  <c r="F53" i="13" s="1"/>
  <c r="F54" i="13" s="1"/>
  <c r="M119" i="13" a="1"/>
  <c r="M119" i="13" s="1"/>
  <c r="M126" i="13" s="1" a="1"/>
  <c r="M126" i="13" s="1"/>
  <c r="M127" i="13" s="1"/>
  <c r="H85" i="13" a="1"/>
  <c r="H85" i="13" s="1"/>
  <c r="H92" i="13" s="1" a="1"/>
  <c r="H92" i="13" s="1"/>
  <c r="H93" i="13" s="1"/>
  <c r="F51" i="13" a="1"/>
  <c r="F51" i="13" s="1"/>
  <c r="F58" i="13" s="1" a="1"/>
  <c r="F58" i="13" s="1"/>
  <c r="F59" i="13" s="1"/>
  <c r="L119" i="13" a="1"/>
  <c r="L119" i="13" s="1"/>
  <c r="L126" i="13" s="1" a="1"/>
  <c r="L126" i="13" s="1"/>
  <c r="L127" i="13" s="1"/>
  <c r="J52" i="13" a="1"/>
  <c r="J52" i="13" s="1"/>
  <c r="I120" i="13" a="1"/>
  <c r="I120" i="13" s="1"/>
  <c r="I133" i="13" s="1" a="1"/>
  <c r="I133" i="13" s="1"/>
  <c r="I134" i="13" s="1"/>
  <c r="K120" i="13" a="1"/>
  <c r="K120" i="13" s="1"/>
  <c r="K133" i="13" s="1" a="1"/>
  <c r="K133" i="13" s="1"/>
  <c r="K134" i="13" s="1"/>
  <c r="G85" i="13" a="1"/>
  <c r="G85" i="13" s="1"/>
  <c r="G92" i="13" s="1" a="1"/>
  <c r="G92" i="13" s="1"/>
  <c r="G93" i="13" s="1"/>
  <c r="J51" i="13" a="1"/>
  <c r="J51" i="13" s="1"/>
  <c r="N120" i="13" a="1"/>
  <c r="N120" i="13" s="1"/>
  <c r="N131" i="13" s="1" a="1"/>
  <c r="N131" i="13" s="1"/>
  <c r="N132" i="13" s="1"/>
  <c r="E85" i="13" a="1"/>
  <c r="E85" i="13" s="1"/>
  <c r="E94" i="13" s="1" a="1"/>
  <c r="E94" i="13" s="1"/>
  <c r="E95" i="13" s="1"/>
  <c r="P32" i="10"/>
  <c r="P83" i="10"/>
  <c r="I68" i="10"/>
  <c r="DH15" i="9" s="1" a="1"/>
  <c r="DH15" i="9" s="1"/>
  <c r="M68" i="10"/>
  <c r="GF15" i="9" s="1" a="1"/>
  <c r="GF15" i="9" s="1"/>
  <c r="G74" i="10"/>
  <c r="F74" i="10"/>
  <c r="J81" i="10"/>
  <c r="J84" i="10" s="1" a="1"/>
  <c r="J84" i="10" s="1"/>
  <c r="E81" i="10"/>
  <c r="B82" i="10"/>
  <c r="B83" i="10" s="1"/>
  <c r="B84" i="10" s="1"/>
  <c r="B85" i="10" s="1"/>
  <c r="B86" i="10" s="1"/>
  <c r="B87" i="10" s="1"/>
  <c r="B88" i="10" s="1"/>
  <c r="M81" i="10"/>
  <c r="M84" i="10" s="1" a="1"/>
  <c r="M84" i="10" s="1"/>
  <c r="P81" i="10"/>
  <c r="P82" i="10" s="1"/>
  <c r="L81" i="10"/>
  <c r="H81" i="10"/>
  <c r="H84" i="10" s="1" a="1"/>
  <c r="H84" i="10" s="1"/>
  <c r="D81" i="10"/>
  <c r="O81" i="10"/>
  <c r="O84" i="10" s="1" a="1"/>
  <c r="O84" i="10" s="1"/>
  <c r="K81" i="10"/>
  <c r="K84" i="10" s="1" a="1"/>
  <c r="K84" i="10" s="1"/>
  <c r="G81" i="10"/>
  <c r="G84" i="10" s="1" a="1"/>
  <c r="G84" i="10" s="1"/>
  <c r="N81" i="10"/>
  <c r="F81" i="10"/>
  <c r="I81" i="10"/>
  <c r="I84" i="10" s="1" a="1"/>
  <c r="I84" i="10" s="1"/>
  <c r="F80" i="10"/>
  <c r="J68" i="10"/>
  <c r="EA15" i="9" s="1" a="1"/>
  <c r="EA15" i="9" s="1"/>
  <c r="L74" i="10"/>
  <c r="M103" i="10"/>
  <c r="O103" i="10"/>
  <c r="N103" i="10"/>
  <c r="G103" i="10"/>
  <c r="F103" i="10"/>
  <c r="J103" i="10"/>
  <c r="K103" i="10"/>
  <c r="L103" i="10"/>
  <c r="H103" i="10"/>
  <c r="E103" i="10"/>
  <c r="P103" i="10"/>
  <c r="I103" i="10"/>
  <c r="B104" i="10"/>
  <c r="D103" i="10"/>
  <c r="G80" i="10"/>
  <c r="J80" i="10"/>
  <c r="K68" i="10"/>
  <c r="ET15" i="9" s="1" a="1"/>
  <c r="ET15" i="9" s="1"/>
  <c r="B117" i="10" a="1"/>
  <c r="B117" i="10" s="1"/>
  <c r="A117" i="10" a="1"/>
  <c r="A117" i="10" s="1"/>
  <c r="D80" i="10"/>
  <c r="N80" i="10"/>
  <c r="P90" i="10"/>
  <c r="P94" i="10" s="1"/>
  <c r="L90" i="10"/>
  <c r="L97" i="10" s="1"/>
  <c r="I90" i="10"/>
  <c r="D90" i="10"/>
  <c r="O90" i="10"/>
  <c r="O97" i="10" s="1"/>
  <c r="G90" i="10"/>
  <c r="G97" i="10" s="1"/>
  <c r="N90" i="10"/>
  <c r="N97" i="10" s="1"/>
  <c r="H90" i="10"/>
  <c r="H97" i="10" s="1"/>
  <c r="E90" i="10"/>
  <c r="E97" i="10" s="1"/>
  <c r="F90" i="10"/>
  <c r="F97" i="10" s="1"/>
  <c r="B94" i="10"/>
  <c r="B95" i="10" s="1"/>
  <c r="M90" i="10"/>
  <c r="M97" i="10" s="1"/>
  <c r="J90" i="10"/>
  <c r="J97" i="10" s="1"/>
  <c r="K90" i="10"/>
  <c r="K94" i="10" s="1"/>
  <c r="B91" i="10"/>
  <c r="B92" i="10" s="1"/>
  <c r="B93" i="10" s="1"/>
  <c r="L80" i="10"/>
  <c r="J74" i="10"/>
  <c r="D68" i="10"/>
  <c r="Q15" i="9" s="1" a="1"/>
  <c r="Q15" i="9" s="1"/>
  <c r="F83" i="10"/>
  <c r="I80" i="10"/>
  <c r="H80" i="10"/>
  <c r="G68" i="10"/>
  <c r="BV15" i="9" s="1" a="1"/>
  <c r="BV15" i="9" s="1"/>
  <c r="L83" i="10"/>
  <c r="K80" i="10"/>
  <c r="O68" i="10"/>
  <c r="HR15" i="9" s="1" a="1"/>
  <c r="HR15" i="9" s="1"/>
  <c r="D83" i="10"/>
  <c r="H68" i="10"/>
  <c r="CO15" i="9" s="1" a="1"/>
  <c r="CO15" i="9" s="1"/>
  <c r="E68" i="10"/>
  <c r="AJ15" i="9" s="1" a="1"/>
  <c r="AJ15" i="9" s="1"/>
  <c r="M80" i="10"/>
  <c r="E80" i="10"/>
  <c r="N68" i="10"/>
  <c r="GY15" i="9" s="1" a="1"/>
  <c r="GY15" i="9" s="1"/>
  <c r="N83" i="10"/>
  <c r="O80" i="10"/>
  <c r="H74" i="10"/>
  <c r="F68" i="10"/>
  <c r="BC15" i="9" s="1" a="1"/>
  <c r="BC15" i="9" s="1"/>
  <c r="L68" i="10"/>
  <c r="FM15" i="9" s="1" a="1"/>
  <c r="FM15" i="9" s="1"/>
  <c r="E83" i="10"/>
  <c r="N58" i="13" a="1"/>
  <c r="N58" i="13" s="1"/>
  <c r="N59" i="13" s="1"/>
  <c r="N60" i="13" a="1"/>
  <c r="N60" i="13" s="1"/>
  <c r="N61" i="13" s="1"/>
  <c r="D65" i="13" a="1"/>
  <c r="D65" i="13" s="1"/>
  <c r="D66" i="13" s="1"/>
  <c r="D63" i="13" a="1"/>
  <c r="D63" i="13" s="1"/>
  <c r="D64" i="13" s="1"/>
  <c r="L55" i="13" a="1"/>
  <c r="L55" i="13" s="1"/>
  <c r="L56" i="13" s="1"/>
  <c r="L53" i="13" a="1"/>
  <c r="L53" i="13" s="1"/>
  <c r="L54" i="13" s="1"/>
  <c r="I58" i="13" a="1"/>
  <c r="I58" i="13" s="1"/>
  <c r="I59" i="13" s="1"/>
  <c r="I60" i="13" a="1"/>
  <c r="I60" i="13" s="1"/>
  <c r="I61" i="13" s="1"/>
  <c r="N55" i="13" a="1"/>
  <c r="N55" i="13" s="1"/>
  <c r="N56" i="13" s="1"/>
  <c r="N53" i="13" a="1"/>
  <c r="N53" i="13" s="1"/>
  <c r="N54" i="13" s="1"/>
  <c r="M63" i="13" a="1"/>
  <c r="M63" i="13" s="1"/>
  <c r="M64" i="13" s="1"/>
  <c r="M65" i="13" a="1"/>
  <c r="M65" i="13" s="1"/>
  <c r="M66" i="13" s="1"/>
  <c r="I126" i="13" a="1"/>
  <c r="I126" i="13" s="1"/>
  <c r="I127" i="13" s="1"/>
  <c r="I128" i="13" a="1"/>
  <c r="I128" i="13" s="1"/>
  <c r="I129" i="13" s="1"/>
  <c r="J92" i="13" a="1"/>
  <c r="J92" i="13" s="1"/>
  <c r="J93" i="13" s="1"/>
  <c r="J94" i="13" a="1"/>
  <c r="J94" i="13" s="1"/>
  <c r="J95" i="13" s="1"/>
  <c r="M58" i="13" a="1"/>
  <c r="M58" i="13" s="1"/>
  <c r="M59" i="13" s="1"/>
  <c r="M60" i="13" a="1"/>
  <c r="M60" i="13" s="1"/>
  <c r="M61" i="13" s="1"/>
  <c r="M55" i="13" a="1"/>
  <c r="M55" i="13" s="1"/>
  <c r="M56" i="13" s="1"/>
  <c r="M53" i="13" a="1"/>
  <c r="M53" i="13" s="1"/>
  <c r="M54" i="13" s="1"/>
  <c r="R131" i="10"/>
  <c r="L58" i="13" a="1"/>
  <c r="L58" i="13" s="1"/>
  <c r="L59" i="13" s="1"/>
  <c r="L60" i="13" a="1"/>
  <c r="L60" i="13" s="1"/>
  <c r="L61" i="13" s="1"/>
  <c r="P24" i="25" l="1" a="1"/>
  <c r="P24" i="25" s="1"/>
  <c r="HW12" i="9"/>
  <c r="M24" i="25" a="1"/>
  <c r="M24" i="25" s="1"/>
  <c r="FR12" i="9"/>
  <c r="H24" i="25" a="1"/>
  <c r="H24" i="25" s="1"/>
  <c r="CA12" i="9"/>
  <c r="O24" i="25" a="1"/>
  <c r="O24" i="25" s="1"/>
  <c r="HD12" i="9"/>
  <c r="O901" i="12"/>
  <c r="O2156" i="13" a="1"/>
  <c r="O2156" i="13" s="1"/>
  <c r="N915" i="12"/>
  <c r="N2190" i="13" a="1"/>
  <c r="N2190" i="13" s="1"/>
  <c r="O911" i="12"/>
  <c r="O2188" i="13" s="1" a="1"/>
  <c r="O2188" i="13" s="1"/>
  <c r="O912" i="12"/>
  <c r="K65" i="13" a="1"/>
  <c r="K65" i="13" s="1"/>
  <c r="K66" i="13" s="1"/>
  <c r="K67" i="13" s="1"/>
  <c r="H97" i="13" a="1"/>
  <c r="H97" i="13" s="1"/>
  <c r="H98" i="13" s="1"/>
  <c r="H101" i="13" s="1"/>
  <c r="CR13" i="9" s="1" a="1"/>
  <c r="CR13" i="9" s="1"/>
  <c r="H63" i="13" a="1"/>
  <c r="H63" i="13" s="1"/>
  <c r="H64" i="13" s="1"/>
  <c r="HT12" i="9" a="1"/>
  <c r="HT12" i="9" s="1"/>
  <c r="HV12" i="9" s="1"/>
  <c r="I65" i="13" a="1"/>
  <c r="I65" i="13" s="1"/>
  <c r="I66" i="13" s="1"/>
  <c r="I67" i="13" s="1"/>
  <c r="DK12" i="9" s="1" a="1"/>
  <c r="DK12" i="9" s="1"/>
  <c r="O120" i="13" a="1"/>
  <c r="O120" i="13" s="1"/>
  <c r="O133" i="13" s="1" a="1"/>
  <c r="O133" i="13" s="1"/>
  <c r="O134" i="13" s="1"/>
  <c r="HY14" i="9" a="1"/>
  <c r="HY14" i="9" s="1"/>
  <c r="HS14" i="9" a="1"/>
  <c r="HS14" i="9" s="1"/>
  <c r="P26" i="27" s="1" a="1"/>
  <c r="P26" i="27" s="1"/>
  <c r="O86" i="13" a="1"/>
  <c r="O86" i="13" s="1"/>
  <c r="O99" i="13" s="1" a="1"/>
  <c r="O99" i="13" s="1"/>
  <c r="O100" i="13" s="1"/>
  <c r="HY13" i="9" a="1"/>
  <c r="HY13" i="9" s="1"/>
  <c r="HS13" i="9" a="1"/>
  <c r="HS13" i="9" s="1"/>
  <c r="P25" i="27" s="1" a="1"/>
  <c r="P25" i="27" s="1"/>
  <c r="M123" i="13" a="1"/>
  <c r="M123" i="13" s="1"/>
  <c r="M124" i="13" s="1"/>
  <c r="M125" i="13" s="1"/>
  <c r="N86" i="13" a="1"/>
  <c r="N86" i="13" s="1"/>
  <c r="N97" i="13" s="1" a="1"/>
  <c r="N97" i="13" s="1"/>
  <c r="N98" i="13" s="1"/>
  <c r="HF13" i="9" a="1"/>
  <c r="HF13" i="9" s="1"/>
  <c r="GZ13" i="9" a="1"/>
  <c r="GZ13" i="9" s="1"/>
  <c r="O25" i="27" s="1" a="1"/>
  <c r="O25" i="27" s="1"/>
  <c r="M120" i="13" a="1"/>
  <c r="M120" i="13" s="1"/>
  <c r="M131" i="13" s="1" a="1"/>
  <c r="M131" i="13" s="1"/>
  <c r="M132" i="13" s="1"/>
  <c r="GM14" i="9" a="1"/>
  <c r="GM14" i="9" s="1"/>
  <c r="GG14" i="9" a="1"/>
  <c r="GG14" i="9" s="1"/>
  <c r="N26" i="27" s="1" a="1"/>
  <c r="N26" i="27" s="1"/>
  <c r="L154" i="13" a="1"/>
  <c r="L154" i="13" s="1"/>
  <c r="L165" i="13" s="1" a="1"/>
  <c r="L165" i="13" s="1"/>
  <c r="L166" i="13" s="1"/>
  <c r="FT15" i="9" a="1"/>
  <c r="FT15" i="9" s="1"/>
  <c r="FN15" i="9" a="1"/>
  <c r="FN15" i="9" s="1"/>
  <c r="L86" i="13" a="1"/>
  <c r="L86" i="13" s="1"/>
  <c r="L99" i="13" s="1" a="1"/>
  <c r="L99" i="13" s="1"/>
  <c r="L100" i="13" s="1"/>
  <c r="FT13" i="9" a="1"/>
  <c r="FT13" i="9" s="1"/>
  <c r="FN13" i="9" a="1"/>
  <c r="FN13" i="9" s="1"/>
  <c r="M25" i="27" s="1" a="1"/>
  <c r="M25" i="27" s="1"/>
  <c r="J119" i="13" a="1"/>
  <c r="J119" i="13" s="1"/>
  <c r="J126" i="13" s="1" a="1"/>
  <c r="J126" i="13" s="1"/>
  <c r="J127" i="13" s="1"/>
  <c r="K86" i="13" a="1"/>
  <c r="K86" i="13" s="1"/>
  <c r="K97" i="13" s="1" a="1"/>
  <c r="K97" i="13" s="1"/>
  <c r="K98" i="13" s="1"/>
  <c r="FA13" i="9" a="1"/>
  <c r="FA13" i="9" s="1"/>
  <c r="EU13" i="9" a="1"/>
  <c r="EU13" i="9" s="1"/>
  <c r="L25" i="27" s="1" a="1"/>
  <c r="L25" i="27" s="1"/>
  <c r="L24" i="27" a="1"/>
  <c r="L24" i="27" s="1"/>
  <c r="J154" i="13" a="1"/>
  <c r="J154" i="13" s="1"/>
  <c r="J165" i="13" s="1" a="1"/>
  <c r="J165" i="13" s="1"/>
  <c r="J166" i="13" s="1"/>
  <c r="EH15" i="9" a="1"/>
  <c r="EH15" i="9" s="1"/>
  <c r="EB15" i="9" a="1"/>
  <c r="EB15" i="9" s="1"/>
  <c r="K24" i="27" a="1"/>
  <c r="K24" i="27" s="1"/>
  <c r="EH14" i="9" a="1"/>
  <c r="EH14" i="9" s="1"/>
  <c r="EB14" i="9" a="1"/>
  <c r="EB14" i="9" s="1"/>
  <c r="K26" i="27" s="1" a="1"/>
  <c r="K26" i="27" s="1"/>
  <c r="I86" i="13" a="1"/>
  <c r="I86" i="13" s="1"/>
  <c r="I99" i="13" s="1" a="1"/>
  <c r="I99" i="13" s="1"/>
  <c r="I100" i="13" s="1"/>
  <c r="DI13" i="9" a="1"/>
  <c r="DI13" i="9" s="1"/>
  <c r="J25" i="27" s="1" a="1"/>
  <c r="J25" i="27" s="1"/>
  <c r="DO13" i="9" a="1"/>
  <c r="DO13" i="9" s="1"/>
  <c r="J24" i="27" a="1"/>
  <c r="J24" i="27" s="1"/>
  <c r="H154" i="13" a="1"/>
  <c r="H154" i="13" s="1"/>
  <c r="H167" i="13" s="1" a="1"/>
  <c r="H167" i="13" s="1"/>
  <c r="H168" i="13" s="1"/>
  <c r="CV15" i="9" a="1"/>
  <c r="CV15" i="9" s="1"/>
  <c r="CP15" i="9" a="1"/>
  <c r="CP15" i="9" s="1"/>
  <c r="H120" i="13" a="1"/>
  <c r="H120" i="13" s="1"/>
  <c r="H133" i="13" s="1" a="1"/>
  <c r="H133" i="13" s="1"/>
  <c r="H134" i="13" s="1"/>
  <c r="CV14" i="9" a="1"/>
  <c r="CV14" i="9" s="1"/>
  <c r="CP14" i="9" a="1"/>
  <c r="CP14" i="9" s="1"/>
  <c r="I26" i="27" s="1" a="1"/>
  <c r="I26" i="27" s="1"/>
  <c r="I24" i="27" a="1"/>
  <c r="I24" i="27" s="1"/>
  <c r="G120" i="13" a="1"/>
  <c r="G120" i="13" s="1"/>
  <c r="G131" i="13" s="1" a="1"/>
  <c r="G131" i="13" s="1"/>
  <c r="G132" i="13" s="1"/>
  <c r="BW14" i="9" a="1"/>
  <c r="BW14" i="9" s="1"/>
  <c r="H26" i="27" s="1" a="1"/>
  <c r="H26" i="27" s="1"/>
  <c r="CC14" i="9" a="1"/>
  <c r="CC14" i="9" s="1"/>
  <c r="E63" i="13" a="1"/>
  <c r="E63" i="13" s="1"/>
  <c r="E64" i="13" s="1"/>
  <c r="E67" i="13" s="1"/>
  <c r="BX12" i="9" a="1"/>
  <c r="BX12" i="9" s="1"/>
  <c r="BZ12" i="9" s="1"/>
  <c r="G154" i="13" a="1"/>
  <c r="G154" i="13" s="1"/>
  <c r="G165" i="13" s="1" a="1"/>
  <c r="G165" i="13" s="1"/>
  <c r="G166" i="13" s="1"/>
  <c r="BW15" i="9" a="1"/>
  <c r="BW15" i="9" s="1"/>
  <c r="CC15" i="9" a="1"/>
  <c r="CC15" i="9" s="1"/>
  <c r="F86" i="13" a="1"/>
  <c r="F86" i="13" s="1"/>
  <c r="F99" i="13" s="1" a="1"/>
  <c r="F99" i="13" s="1"/>
  <c r="F100" i="13" s="1"/>
  <c r="BD13" i="9" a="1"/>
  <c r="BD13" i="9" s="1"/>
  <c r="G25" i="27" s="1" a="1"/>
  <c r="G25" i="27" s="1"/>
  <c r="BJ13" i="9" a="1"/>
  <c r="BJ13" i="9" s="1"/>
  <c r="F154" i="13" a="1"/>
  <c r="F154" i="13" s="1"/>
  <c r="F165" i="13" s="1" a="1"/>
  <c r="F165" i="13" s="1"/>
  <c r="F166" i="13" s="1"/>
  <c r="BD15" i="9" a="1"/>
  <c r="BD15" i="9" s="1"/>
  <c r="BJ15" i="9" a="1"/>
  <c r="BJ15" i="9" s="1"/>
  <c r="G24" i="27" a="1"/>
  <c r="G24" i="27" s="1"/>
  <c r="F120" i="13" a="1"/>
  <c r="F120" i="13" s="1"/>
  <c r="F133" i="13" s="1" a="1"/>
  <c r="F133" i="13" s="1"/>
  <c r="F134" i="13" s="1"/>
  <c r="BJ14" i="9" a="1"/>
  <c r="BJ14" i="9" s="1"/>
  <c r="BD14" i="9" a="1"/>
  <c r="BD14" i="9" s="1"/>
  <c r="G26" i="27" s="1" a="1"/>
  <c r="G26" i="27" s="1"/>
  <c r="E120" i="13" a="1"/>
  <c r="E120" i="13" s="1"/>
  <c r="E133" i="13" s="1" a="1"/>
  <c r="E133" i="13" s="1"/>
  <c r="E134" i="13" s="1"/>
  <c r="AK14" i="9" a="1"/>
  <c r="AK14" i="9" s="1"/>
  <c r="F26" i="27" s="1" a="1"/>
  <c r="F26" i="27" s="1"/>
  <c r="AQ14" i="9" a="1"/>
  <c r="AQ14" i="9" s="1"/>
  <c r="E86" i="13" a="1"/>
  <c r="E86" i="13" s="1"/>
  <c r="E99" i="13" s="1" a="1"/>
  <c r="E99" i="13" s="1"/>
  <c r="E100" i="13" s="1"/>
  <c r="AQ13" i="9" a="1"/>
  <c r="AQ13" i="9" s="1"/>
  <c r="AK13" i="9" a="1"/>
  <c r="AK13" i="9" s="1"/>
  <c r="F25" i="27" s="1" a="1"/>
  <c r="F25" i="27" s="1"/>
  <c r="F24" i="27" a="1"/>
  <c r="F24" i="27" s="1"/>
  <c r="R13" i="9" a="1"/>
  <c r="R13" i="9" s="1"/>
  <c r="E25" i="27" s="1" a="1"/>
  <c r="E25" i="27" s="1"/>
  <c r="R14" i="9" a="1"/>
  <c r="R14" i="9" s="1"/>
  <c r="E26" i="27" s="1" a="1"/>
  <c r="E26" i="27" s="1"/>
  <c r="P45" i="10"/>
  <c r="I73" i="10"/>
  <c r="D72" i="10"/>
  <c r="D153" i="13" s="1" a="1"/>
  <c r="D153" i="13" s="1"/>
  <c r="K71" i="10"/>
  <c r="K152" i="13" s="1" a="1"/>
  <c r="K152" i="13" s="1"/>
  <c r="K155" i="13" s="1" a="1"/>
  <c r="K155" i="13" s="1"/>
  <c r="K156" i="13" s="1"/>
  <c r="K72" i="10"/>
  <c r="K153" i="13" s="1" a="1"/>
  <c r="K153" i="13" s="1"/>
  <c r="K162" i="13" s="1" a="1"/>
  <c r="K162" i="13" s="1"/>
  <c r="K163" i="13" s="1"/>
  <c r="P59" i="10"/>
  <c r="P43" i="10"/>
  <c r="E84" i="13" a="1"/>
  <c r="E84" i="13" s="1"/>
  <c r="E89" i="13" s="1" a="1"/>
  <c r="E89" i="13" s="1"/>
  <c r="E90" i="13" s="1"/>
  <c r="D73" i="10"/>
  <c r="I71" i="10"/>
  <c r="I152" i="13" s="1" a="1"/>
  <c r="I152" i="13" s="1"/>
  <c r="I157" i="13" s="1" a="1"/>
  <c r="I157" i="13" s="1"/>
  <c r="I158" i="13" s="1"/>
  <c r="P44" i="10"/>
  <c r="K85" i="10"/>
  <c r="K186" i="13" s="1" a="1"/>
  <c r="K186" i="13" s="1"/>
  <c r="K86" i="10"/>
  <c r="K187" i="13" s="1" a="1"/>
  <c r="K187" i="13" s="1"/>
  <c r="K87" i="10"/>
  <c r="I162" i="13" a="1"/>
  <c r="I162" i="13" s="1"/>
  <c r="I163" i="13" s="1"/>
  <c r="I160" i="13" a="1"/>
  <c r="I160" i="13" s="1"/>
  <c r="I161" i="13" s="1"/>
  <c r="I86" i="10"/>
  <c r="I187" i="13" s="1" a="1"/>
  <c r="I187" i="13" s="1"/>
  <c r="I87" i="10"/>
  <c r="I85" i="10"/>
  <c r="I186" i="13" s="1" a="1"/>
  <c r="I186" i="13" s="1"/>
  <c r="M86" i="10"/>
  <c r="M187" i="13" s="1" a="1"/>
  <c r="M187" i="13" s="1"/>
  <c r="M87" i="10"/>
  <c r="M85" i="10"/>
  <c r="M186" i="13" s="1" a="1"/>
  <c r="M186" i="13" s="1"/>
  <c r="G86" i="10"/>
  <c r="G187" i="13" s="1" a="1"/>
  <c r="G187" i="13" s="1"/>
  <c r="G87" i="10"/>
  <c r="G85" i="10"/>
  <c r="G186" i="13" s="1" a="1"/>
  <c r="G186" i="13" s="1"/>
  <c r="E162" i="13" a="1"/>
  <c r="E162" i="13" s="1"/>
  <c r="E163" i="13" s="1"/>
  <c r="E160" i="13" a="1"/>
  <c r="E160" i="13" s="1"/>
  <c r="E161" i="13" s="1"/>
  <c r="O87" i="10"/>
  <c r="O85" i="10"/>
  <c r="O186" i="13" s="1" a="1"/>
  <c r="O186" i="13" s="1"/>
  <c r="O86" i="10"/>
  <c r="O187" i="13" s="1" a="1"/>
  <c r="O187" i="13" s="1"/>
  <c r="J85" i="10"/>
  <c r="J186" i="13" s="1" a="1"/>
  <c r="J186" i="13" s="1"/>
  <c r="J86" i="10"/>
  <c r="J187" i="13" s="1" a="1"/>
  <c r="J187" i="13" s="1"/>
  <c r="J87" i="10"/>
  <c r="H87" i="10"/>
  <c r="H85" i="10"/>
  <c r="H186" i="13" s="1" a="1"/>
  <c r="H186" i="13" s="1"/>
  <c r="H86" i="10"/>
  <c r="H187" i="13" s="1" a="1"/>
  <c r="H187" i="13" s="1"/>
  <c r="E71" i="10"/>
  <c r="E152" i="13" s="1" a="1"/>
  <c r="E152" i="13" s="1"/>
  <c r="G160" i="13" a="1"/>
  <c r="G160" i="13" s="1"/>
  <c r="G161" i="13" s="1"/>
  <c r="G162" i="13" a="1"/>
  <c r="G162" i="13" s="1"/>
  <c r="G163" i="13" s="1"/>
  <c r="M160" i="13" a="1"/>
  <c r="M160" i="13" s="1"/>
  <c r="M161" i="13" s="1"/>
  <c r="M162" i="13" a="1"/>
  <c r="M162" i="13" s="1"/>
  <c r="M163" i="13" s="1"/>
  <c r="N155" i="13" a="1"/>
  <c r="N155" i="13" s="1"/>
  <c r="N156" i="13" s="1"/>
  <c r="N157" i="13" a="1"/>
  <c r="N157" i="13" s="1"/>
  <c r="N158" i="13" s="1"/>
  <c r="D84" i="10" a="1"/>
  <c r="D84" i="10" s="1"/>
  <c r="D85" i="10" s="1"/>
  <c r="E73" i="10"/>
  <c r="P57" i="10"/>
  <c r="G155" i="13" a="1"/>
  <c r="G155" i="13" s="1"/>
  <c r="G156" i="13" s="1"/>
  <c r="G157" i="13" a="1"/>
  <c r="G157" i="13" s="1"/>
  <c r="G158" i="13" s="1"/>
  <c r="J160" i="13" a="1"/>
  <c r="J160" i="13" s="1"/>
  <c r="J161" i="13" s="1"/>
  <c r="J162" i="13" a="1"/>
  <c r="J162" i="13" s="1"/>
  <c r="J163" i="13" s="1"/>
  <c r="N84" i="10" a="1"/>
  <c r="N84" i="10" s="1"/>
  <c r="N87" i="10" s="1"/>
  <c r="L84" i="10" a="1"/>
  <c r="L84" i="10" s="1"/>
  <c r="L85" i="10" s="1"/>
  <c r="L186" i="13" s="1" a="1"/>
  <c r="L186" i="13" s="1"/>
  <c r="O160" i="13" a="1"/>
  <c r="O160" i="13" s="1"/>
  <c r="O161" i="13" s="1"/>
  <c r="O162" i="13" a="1"/>
  <c r="O162" i="13" s="1"/>
  <c r="O163" i="13" s="1"/>
  <c r="J157" i="13" a="1"/>
  <c r="J157" i="13" s="1"/>
  <c r="J158" i="13" s="1"/>
  <c r="J155" i="13" a="1"/>
  <c r="J155" i="13" s="1"/>
  <c r="J156" i="13" s="1"/>
  <c r="L157" i="13" a="1"/>
  <c r="L157" i="13" s="1"/>
  <c r="L158" i="13" s="1"/>
  <c r="L155" i="13" a="1"/>
  <c r="L155" i="13" s="1"/>
  <c r="L156" i="13" s="1"/>
  <c r="P84" i="10" a="1"/>
  <c r="P84" i="10" s="1"/>
  <c r="O155" i="13" a="1"/>
  <c r="O155" i="13" s="1"/>
  <c r="O156" i="13" s="1"/>
  <c r="O157" i="13" a="1"/>
  <c r="O157" i="13" s="1"/>
  <c r="O158" i="13" s="1"/>
  <c r="H155" i="13" a="1"/>
  <c r="H155" i="13" s="1"/>
  <c r="H156" i="13" s="1"/>
  <c r="H157" i="13" a="1"/>
  <c r="H157" i="13" s="1"/>
  <c r="H158" i="13" s="1"/>
  <c r="L162" i="13" a="1"/>
  <c r="L162" i="13" s="1"/>
  <c r="L163" i="13" s="1"/>
  <c r="L160" i="13" a="1"/>
  <c r="L160" i="13" s="1"/>
  <c r="L161" i="13" s="1"/>
  <c r="E84" i="10" a="1"/>
  <c r="E84" i="10" s="1"/>
  <c r="E85" i="10" s="1"/>
  <c r="E186" i="13" s="1" a="1"/>
  <c r="E186" i="13" s="1"/>
  <c r="H160" i="13" a="1"/>
  <c r="H160" i="13" s="1"/>
  <c r="H161" i="13" s="1"/>
  <c r="H162" i="13" a="1"/>
  <c r="H162" i="13" s="1"/>
  <c r="H163" i="13" s="1"/>
  <c r="F162" i="13" a="1"/>
  <c r="F162" i="13" s="1"/>
  <c r="F163" i="13" s="1"/>
  <c r="F160" i="13" a="1"/>
  <c r="F160" i="13" s="1"/>
  <c r="F161" i="13" s="1"/>
  <c r="F84" i="10" a="1"/>
  <c r="F84" i="10" s="1"/>
  <c r="F85" i="10" s="1"/>
  <c r="F186" i="13" s="1" a="1"/>
  <c r="F186" i="13" s="1"/>
  <c r="D152" i="13" a="1"/>
  <c r="D152" i="13" s="1"/>
  <c r="M155" i="13" a="1"/>
  <c r="M155" i="13" s="1"/>
  <c r="M156" i="13" s="1"/>
  <c r="M157" i="13" a="1"/>
  <c r="M157" i="13" s="1"/>
  <c r="M158" i="13" s="1"/>
  <c r="N162" i="13" a="1"/>
  <c r="N162" i="13" s="1"/>
  <c r="N163" i="13" s="1"/>
  <c r="N160" i="13" a="1"/>
  <c r="N160" i="13" s="1"/>
  <c r="N161" i="13" s="1"/>
  <c r="F155" i="13" a="1"/>
  <c r="F155" i="13" s="1"/>
  <c r="F156" i="13" s="1"/>
  <c r="F157" i="13" a="1"/>
  <c r="F157" i="13" s="1"/>
  <c r="F158" i="13" s="1"/>
  <c r="H165" i="13" a="1"/>
  <c r="H165" i="13" s="1"/>
  <c r="H166" i="13" s="1"/>
  <c r="L89" i="13" a="1"/>
  <c r="L89" i="13" s="1"/>
  <c r="L90" i="13" s="1"/>
  <c r="L87" i="13" a="1"/>
  <c r="L87" i="13" s="1"/>
  <c r="L88" i="13" s="1"/>
  <c r="L92" i="13" a="1"/>
  <c r="L92" i="13" s="1"/>
  <c r="L93" i="13" s="1"/>
  <c r="L96" i="13" s="1"/>
  <c r="D86" i="13" a="1"/>
  <c r="D86" i="13" s="1"/>
  <c r="D99" i="13" s="1" a="1"/>
  <c r="D99" i="13" s="1"/>
  <c r="D100" i="13" s="1"/>
  <c r="K89" i="13" a="1"/>
  <c r="K89" i="13" s="1"/>
  <c r="K90" i="13" s="1"/>
  <c r="K87" i="13" a="1"/>
  <c r="K87" i="13" s="1"/>
  <c r="K88" i="13" s="1"/>
  <c r="D87" i="13" a="1"/>
  <c r="D87" i="13" s="1"/>
  <c r="D88" i="13" s="1"/>
  <c r="D89" i="13" a="1"/>
  <c r="D89" i="13" s="1"/>
  <c r="D90" i="13" s="1"/>
  <c r="N89" i="13" a="1"/>
  <c r="N89" i="13" s="1"/>
  <c r="N90" i="13" s="1"/>
  <c r="N87" i="13" a="1"/>
  <c r="N87" i="13" s="1"/>
  <c r="N88" i="13" s="1"/>
  <c r="I87" i="13" a="1"/>
  <c r="I87" i="13" s="1"/>
  <c r="I88" i="13" s="1"/>
  <c r="I89" i="13" a="1"/>
  <c r="I89" i="13" s="1"/>
  <c r="I90" i="13" s="1"/>
  <c r="D120" i="13" a="1"/>
  <c r="D120" i="13" s="1"/>
  <c r="D131" i="13" s="1" a="1"/>
  <c r="D131" i="13" s="1"/>
  <c r="D132" i="13" s="1"/>
  <c r="J26" i="27" a="1"/>
  <c r="J26" i="27" s="1"/>
  <c r="O26" i="27" a="1"/>
  <c r="O26" i="27" s="1"/>
  <c r="L26" i="27" a="1"/>
  <c r="L26" i="27" s="1"/>
  <c r="M26" i="27" a="1"/>
  <c r="M26" i="27" s="1"/>
  <c r="P60" i="10"/>
  <c r="D119" i="13" a="1"/>
  <c r="D119" i="13" s="1"/>
  <c r="D126" i="13" s="1" a="1"/>
  <c r="D126" i="13" s="1"/>
  <c r="D127" i="13" s="1"/>
  <c r="G128" i="13" a="1"/>
  <c r="G128" i="13" s="1"/>
  <c r="G129" i="13" s="1"/>
  <c r="G130" i="13" s="1"/>
  <c r="BX14" i="9" s="1" a="1"/>
  <c r="BX14" i="9" s="1"/>
  <c r="K25" i="27" a="1"/>
  <c r="K25" i="27" s="1"/>
  <c r="H25" i="27" a="1"/>
  <c r="H25" i="27" s="1"/>
  <c r="N25" i="27" a="1"/>
  <c r="N25" i="27" s="1"/>
  <c r="I25" i="27" a="1"/>
  <c r="I25" i="27" s="1"/>
  <c r="P46" i="10"/>
  <c r="M74" i="10"/>
  <c r="D94" i="13" a="1"/>
  <c r="D94" i="13" s="1"/>
  <c r="D95" i="13" s="1"/>
  <c r="D96" i="13" s="1"/>
  <c r="N123" i="13" a="1"/>
  <c r="N123" i="13" s="1"/>
  <c r="N124" i="13" s="1"/>
  <c r="N125" i="13" s="1"/>
  <c r="N74" i="10"/>
  <c r="F89" i="13" a="1"/>
  <c r="F89" i="13" s="1"/>
  <c r="F90" i="13" s="1"/>
  <c r="F91" i="13" s="1"/>
  <c r="O74" i="10"/>
  <c r="O89" i="13" a="1"/>
  <c r="O89" i="13" s="1"/>
  <c r="O90" i="13" s="1"/>
  <c r="O91" i="13" s="1"/>
  <c r="F128" i="13" a="1"/>
  <c r="F128" i="13" s="1"/>
  <c r="F129" i="13" s="1"/>
  <c r="F130" i="13" s="1"/>
  <c r="BE14" i="9" s="1" a="1"/>
  <c r="BE14" i="9" s="1"/>
  <c r="I131" i="13" a="1"/>
  <c r="I131" i="13" s="1"/>
  <c r="I132" i="13" s="1"/>
  <c r="I135" i="13" s="1"/>
  <c r="DK14" i="9" s="1" a="1"/>
  <c r="DK14" i="9" s="1"/>
  <c r="E128" i="13" a="1"/>
  <c r="E128" i="13" s="1"/>
  <c r="E129" i="13" s="1"/>
  <c r="E130" i="13" s="1"/>
  <c r="AL14" i="9" s="1" a="1"/>
  <c r="AL14" i="9" s="1"/>
  <c r="J99" i="13" a="1"/>
  <c r="J99" i="13" s="1"/>
  <c r="J100" i="13" s="1"/>
  <c r="J101" i="13" s="1"/>
  <c r="ED13" i="9" s="1" a="1"/>
  <c r="ED13" i="9" s="1"/>
  <c r="J133" i="13" a="1"/>
  <c r="J133" i="13" s="1"/>
  <c r="J134" i="13" s="1"/>
  <c r="J135" i="13" s="1"/>
  <c r="ED14" i="9" s="1" a="1"/>
  <c r="ED14" i="9" s="1"/>
  <c r="K92" i="13" a="1"/>
  <c r="K92" i="13" s="1"/>
  <c r="K93" i="13" s="1"/>
  <c r="K96" i="13" s="1"/>
  <c r="G97" i="13" a="1"/>
  <c r="G97" i="13" s="1"/>
  <c r="G98" i="13" s="1"/>
  <c r="G101" i="13" s="1"/>
  <c r="BY13" i="9" s="1" a="1"/>
  <c r="BY13" i="9" s="1"/>
  <c r="H58" i="13" a="1"/>
  <c r="H58" i="13" s="1"/>
  <c r="H59" i="13" s="1"/>
  <c r="H62" i="13" s="1"/>
  <c r="O128" i="13" a="1"/>
  <c r="O128" i="13" s="1"/>
  <c r="O129" i="13" s="1"/>
  <c r="O130" i="13" s="1"/>
  <c r="HT14" i="9" s="1" a="1"/>
  <c r="HT14" i="9" s="1"/>
  <c r="L128" i="13" a="1"/>
  <c r="L128" i="13" s="1"/>
  <c r="L129" i="13" s="1"/>
  <c r="L130" i="13" s="1"/>
  <c r="FO14" i="9" s="1" a="1"/>
  <c r="FO14" i="9" s="1"/>
  <c r="K57" i="13"/>
  <c r="EV12" i="9" s="1" a="1"/>
  <c r="EV12" i="9" s="1"/>
  <c r="H126" i="13" a="1"/>
  <c r="H126" i="13" s="1"/>
  <c r="H127" i="13" s="1"/>
  <c r="H130" i="13" s="1"/>
  <c r="CQ14" i="9" s="1" a="1"/>
  <c r="CQ14" i="9" s="1"/>
  <c r="K131" i="13" a="1"/>
  <c r="K131" i="13" s="1"/>
  <c r="K132" i="13" s="1"/>
  <c r="K135" i="13" s="1"/>
  <c r="EW14" i="9" s="1" a="1"/>
  <c r="EW14" i="9" s="1"/>
  <c r="L131" i="13" a="1"/>
  <c r="L131" i="13" s="1"/>
  <c r="L132" i="13" s="1"/>
  <c r="L135" i="13" s="1"/>
  <c r="FP14" i="9" s="1" a="1"/>
  <c r="FP14" i="9" s="1"/>
  <c r="E92" i="13" a="1"/>
  <c r="E92" i="13" s="1"/>
  <c r="E93" i="13" s="1"/>
  <c r="E96" i="13" s="1"/>
  <c r="K128" i="13" a="1"/>
  <c r="K128" i="13" s="1"/>
  <c r="K129" i="13" s="1"/>
  <c r="K130" i="13" s="1"/>
  <c r="EV14" i="9" s="1" a="1"/>
  <c r="EV14" i="9" s="1"/>
  <c r="H94" i="13" a="1"/>
  <c r="H94" i="13" s="1"/>
  <c r="H95" i="13" s="1"/>
  <c r="H96" i="13" s="1"/>
  <c r="CQ13" i="9" s="1" a="1"/>
  <c r="CQ13" i="9" s="1"/>
  <c r="G94" i="13" a="1"/>
  <c r="G94" i="13" s="1"/>
  <c r="G95" i="13" s="1"/>
  <c r="G96" i="13" s="1"/>
  <c r="BX13" i="9" s="1" a="1"/>
  <c r="BX13" i="9" s="1"/>
  <c r="H53" i="13" a="1"/>
  <c r="H53" i="13" s="1"/>
  <c r="H54" i="13" s="1"/>
  <c r="H57" i="13" s="1"/>
  <c r="E53" i="13" a="1"/>
  <c r="E53" i="13" s="1"/>
  <c r="E54" i="13" s="1"/>
  <c r="E57" i="13" s="1"/>
  <c r="E60" i="13" a="1"/>
  <c r="E60" i="13" s="1"/>
  <c r="E61" i="13" s="1"/>
  <c r="E62" i="13" s="1"/>
  <c r="F94" i="13" a="1"/>
  <c r="F94" i="13" s="1"/>
  <c r="F95" i="13" s="1"/>
  <c r="F96" i="13" s="1"/>
  <c r="N133" i="13" a="1"/>
  <c r="N133" i="13" s="1"/>
  <c r="N134" i="13" s="1"/>
  <c r="N135" i="13" s="1"/>
  <c r="HB14" i="9" s="1" a="1"/>
  <c r="HB14" i="9" s="1"/>
  <c r="F65" i="13" a="1"/>
  <c r="F65" i="13" s="1"/>
  <c r="F66" i="13" s="1"/>
  <c r="F67" i="13" s="1"/>
  <c r="O94" i="13" a="1"/>
  <c r="O94" i="13" s="1"/>
  <c r="O95" i="13" s="1"/>
  <c r="O96" i="13" s="1"/>
  <c r="I94" i="13" a="1"/>
  <c r="I94" i="13" s="1"/>
  <c r="I95" i="13" s="1"/>
  <c r="I96" i="13" s="1"/>
  <c r="I53" i="13" a="1"/>
  <c r="I53" i="13" s="1"/>
  <c r="I54" i="13" s="1"/>
  <c r="I57" i="13" s="1"/>
  <c r="N128" i="13" a="1"/>
  <c r="N128" i="13" s="1"/>
  <c r="N129" i="13" s="1"/>
  <c r="N130" i="13" s="1"/>
  <c r="F55" i="13" a="1"/>
  <c r="F55" i="13" s="1"/>
  <c r="F56" i="13" s="1"/>
  <c r="F57" i="13" s="1"/>
  <c r="M97" i="13" a="1"/>
  <c r="M97" i="13" s="1"/>
  <c r="M98" i="13" s="1"/>
  <c r="M101" i="13" s="1"/>
  <c r="M94" i="13" a="1"/>
  <c r="M94" i="13" s="1"/>
  <c r="M95" i="13" s="1"/>
  <c r="M96" i="13" s="1"/>
  <c r="GH13" i="9" s="1" a="1"/>
  <c r="GH13" i="9" s="1"/>
  <c r="M128" i="13" a="1"/>
  <c r="M128" i="13" s="1"/>
  <c r="M129" i="13" s="1"/>
  <c r="M130" i="13" s="1"/>
  <c r="N92" i="13" a="1"/>
  <c r="N92" i="13" s="1"/>
  <c r="N93" i="13" s="1"/>
  <c r="N96" i="13" s="1"/>
  <c r="J58" i="13" a="1"/>
  <c r="J58" i="13" s="1"/>
  <c r="J59" i="13" s="1"/>
  <c r="J60" i="13" a="1"/>
  <c r="J60" i="13" s="1"/>
  <c r="J61" i="13" s="1"/>
  <c r="F60" i="13" a="1"/>
  <c r="F60" i="13" s="1"/>
  <c r="F61" i="13" s="1"/>
  <c r="F62" i="13" s="1"/>
  <c r="J65" i="13" a="1"/>
  <c r="J65" i="13" s="1"/>
  <c r="J66" i="13" s="1"/>
  <c r="J63" i="13" a="1"/>
  <c r="J63" i="13" s="1"/>
  <c r="J64" i="13" s="1"/>
  <c r="O82" i="10"/>
  <c r="HR16" i="9" s="1" a="1"/>
  <c r="HR16" i="9" s="1"/>
  <c r="M82" i="10"/>
  <c r="GF16" i="9" s="1" a="1"/>
  <c r="GF16" i="9" s="1"/>
  <c r="J82" i="10"/>
  <c r="EA16" i="9" s="1" a="1"/>
  <c r="EA16" i="9" s="1"/>
  <c r="I82" i="10"/>
  <c r="DH16" i="9" s="1" a="1"/>
  <c r="DH16" i="9" s="1"/>
  <c r="L82" i="10"/>
  <c r="FM16" i="9" s="1" a="1"/>
  <c r="FM16" i="9" s="1"/>
  <c r="I74" i="10"/>
  <c r="G82" i="10"/>
  <c r="BV16" i="9" s="1" a="1"/>
  <c r="BV16" i="9" s="1"/>
  <c r="E74" i="10"/>
  <c r="H82" i="10"/>
  <c r="CO16" i="9" s="1" a="1"/>
  <c r="CO16" i="9" s="1"/>
  <c r="H88" i="10"/>
  <c r="F82" i="10"/>
  <c r="BC16" i="9" s="1" a="1"/>
  <c r="BC16" i="9" s="1"/>
  <c r="E82" i="10"/>
  <c r="AJ16" i="9" s="1" a="1"/>
  <c r="AJ16" i="9" s="1"/>
  <c r="P97" i="10"/>
  <c r="D82" i="10"/>
  <c r="Q16" i="9" s="1" a="1"/>
  <c r="Q16" i="9" s="1"/>
  <c r="K74" i="10"/>
  <c r="M88" i="10"/>
  <c r="K88" i="10"/>
  <c r="J94" i="10"/>
  <c r="O94" i="10"/>
  <c r="N82" i="10"/>
  <c r="GY16" i="9" s="1" a="1"/>
  <c r="GY16" i="9" s="1"/>
  <c r="M94" i="10"/>
  <c r="D94" i="10"/>
  <c r="L117" i="10"/>
  <c r="K117" i="10"/>
  <c r="I117" i="10"/>
  <c r="E117" i="10"/>
  <c r="P117" i="10"/>
  <c r="H117" i="10"/>
  <c r="O117" i="10"/>
  <c r="D117" i="10"/>
  <c r="G117" i="10"/>
  <c r="F117" i="10"/>
  <c r="N117" i="10"/>
  <c r="J117" i="10"/>
  <c r="B118" i="10"/>
  <c r="M117" i="10"/>
  <c r="G88" i="10"/>
  <c r="I95" i="10"/>
  <c r="M95" i="10"/>
  <c r="M98" i="10" s="1" a="1"/>
  <c r="M98" i="10" s="1"/>
  <c r="P95" i="10"/>
  <c r="P96" i="10" s="1"/>
  <c r="L95" i="10"/>
  <c r="L98" i="10" s="1" a="1"/>
  <c r="L98" i="10" s="1"/>
  <c r="L100" i="10" s="1"/>
  <c r="L221" i="13" s="1" a="1"/>
  <c r="L221" i="13" s="1"/>
  <c r="O95" i="10"/>
  <c r="O98" i="10" s="1" a="1"/>
  <c r="O98" i="10" s="1"/>
  <c r="F95" i="10"/>
  <c r="F98" i="10" s="1" a="1"/>
  <c r="F98" i="10" s="1"/>
  <c r="D95" i="10"/>
  <c r="K95" i="10"/>
  <c r="K96" i="10" s="1"/>
  <c r="ET17" i="9" s="1" a="1"/>
  <c r="ET17" i="9" s="1"/>
  <c r="N95" i="10"/>
  <c r="N98" i="10" s="1" a="1"/>
  <c r="N98" i="10" s="1"/>
  <c r="B96" i="10"/>
  <c r="B97" i="10" s="1"/>
  <c r="B98" i="10" s="1"/>
  <c r="B99" i="10" s="1"/>
  <c r="B100" i="10" s="1"/>
  <c r="B101" i="10" s="1"/>
  <c r="B102" i="10" s="1"/>
  <c r="E95" i="10"/>
  <c r="E98" i="10" s="1" a="1"/>
  <c r="E98" i="10" s="1"/>
  <c r="J95" i="10"/>
  <c r="J98" i="10" s="1" a="1"/>
  <c r="J98" i="10" s="1"/>
  <c r="H95" i="10"/>
  <c r="H98" i="10" s="1" a="1"/>
  <c r="H98" i="10" s="1"/>
  <c r="G95" i="10"/>
  <c r="G98" i="10" s="1" a="1"/>
  <c r="G98" i="10" s="1"/>
  <c r="I94" i="10"/>
  <c r="D74" i="10"/>
  <c r="X15" i="9" s="1" a="1"/>
  <c r="X15" i="9" s="1"/>
  <c r="F94" i="10"/>
  <c r="L94" i="10"/>
  <c r="I97" i="10"/>
  <c r="G94" i="10"/>
  <c r="I88" i="10"/>
  <c r="E94" i="10"/>
  <c r="F104" i="10"/>
  <c r="B105" i="10"/>
  <c r="B106" i="10" s="1"/>
  <c r="B107" i="10" s="1"/>
  <c r="M104" i="10"/>
  <c r="P104" i="10"/>
  <c r="P108" i="10" s="1"/>
  <c r="L104" i="10"/>
  <c r="H104" i="10"/>
  <c r="D104" i="10"/>
  <c r="O104" i="10"/>
  <c r="K104" i="10"/>
  <c r="N104" i="10"/>
  <c r="J104" i="10"/>
  <c r="E104" i="10"/>
  <c r="B108" i="10"/>
  <c r="B109" i="10" s="1"/>
  <c r="I104" i="10"/>
  <c r="G104" i="10"/>
  <c r="J88" i="10"/>
  <c r="K97" i="10"/>
  <c r="K82" i="10"/>
  <c r="ET16" i="9" s="1" a="1"/>
  <c r="ET16" i="9" s="1"/>
  <c r="H94" i="10"/>
  <c r="D97" i="10"/>
  <c r="B131" i="10" a="1"/>
  <c r="B131" i="10" s="1"/>
  <c r="A131" i="10" a="1"/>
  <c r="A131" i="10" s="1"/>
  <c r="N94" i="10"/>
  <c r="I130" i="13"/>
  <c r="DJ14" i="9" s="1" a="1"/>
  <c r="DJ14" i="9" s="1"/>
  <c r="N57" i="13"/>
  <c r="S12" i="9" a="1"/>
  <c r="S12" i="9" s="1"/>
  <c r="O68" i="13"/>
  <c r="O70" i="13"/>
  <c r="L68" i="13"/>
  <c r="I62" i="13"/>
  <c r="G70" i="13"/>
  <c r="J96" i="13"/>
  <c r="EC13" i="9" s="1" a="1"/>
  <c r="EC13" i="9" s="1"/>
  <c r="R145" i="10"/>
  <c r="G68" i="13"/>
  <c r="D67" i="13"/>
  <c r="T12" i="9" s="1" a="1"/>
  <c r="T12" i="9" s="1"/>
  <c r="E24" i="25" s="1" a="1"/>
  <c r="E24" i="25" s="1"/>
  <c r="M57" i="13"/>
  <c r="L70" i="13"/>
  <c r="L62" i="13"/>
  <c r="M62" i="13"/>
  <c r="N68" i="13"/>
  <c r="N70" i="13"/>
  <c r="N62" i="13"/>
  <c r="H67" i="13"/>
  <c r="CR12" i="9" s="1" a="1"/>
  <c r="CR12" i="9" s="1"/>
  <c r="M67" i="13"/>
  <c r="GI12" i="9" s="1" a="1"/>
  <c r="GI12" i="9" s="1"/>
  <c r="L57" i="13"/>
  <c r="DL14" i="9" l="1"/>
  <c r="CS13" i="9"/>
  <c r="BZ13" i="9"/>
  <c r="FQ14" i="9"/>
  <c r="EE13" i="9"/>
  <c r="EX14" i="9"/>
  <c r="J26" i="25" a="1"/>
  <c r="J26" i="25" s="1"/>
  <c r="DM14" i="9"/>
  <c r="O26" i="25" a="1"/>
  <c r="O26" i="25" s="1"/>
  <c r="HD14" i="9"/>
  <c r="M26" i="25" a="1"/>
  <c r="M26" i="25" s="1"/>
  <c r="FR14" i="9"/>
  <c r="L26" i="25" a="1"/>
  <c r="L26" i="25" s="1"/>
  <c r="EY14" i="9"/>
  <c r="K26" i="25" a="1"/>
  <c r="K26" i="25" s="1"/>
  <c r="EF14" i="9"/>
  <c r="I25" i="25" a="1"/>
  <c r="I25" i="25" s="1"/>
  <c r="CT13" i="9"/>
  <c r="H25" i="25" a="1"/>
  <c r="H25" i="25" s="1"/>
  <c r="CA13" i="9"/>
  <c r="M104" i="13"/>
  <c r="GI13" i="9" a="1"/>
  <c r="GI13" i="9" s="1"/>
  <c r="K25" i="25" a="1"/>
  <c r="K25" i="25" s="1"/>
  <c r="EF13" i="9"/>
  <c r="N24" i="25" a="1"/>
  <c r="N24" i="25" s="1"/>
  <c r="GK12" i="9"/>
  <c r="E70" i="13"/>
  <c r="AM12" i="9" a="1"/>
  <c r="AM12" i="9" s="1"/>
  <c r="K70" i="13"/>
  <c r="EW12" i="9" a="1"/>
  <c r="EW12" i="9" s="1"/>
  <c r="EX12" i="9" s="1"/>
  <c r="F68" i="13"/>
  <c r="BF12" i="9" a="1"/>
  <c r="BF12" i="9" s="1"/>
  <c r="J24" i="25" a="1"/>
  <c r="J24" i="25" s="1"/>
  <c r="DM12" i="9"/>
  <c r="I24" i="25" a="1"/>
  <c r="I24" i="25" s="1"/>
  <c r="CT12" i="9"/>
  <c r="O915" i="12"/>
  <c r="O2190" i="13" a="1"/>
  <c r="O2190" i="13" s="1"/>
  <c r="O131" i="13" a="1"/>
  <c r="O131" i="13" s="1"/>
  <c r="O132" i="13" s="1"/>
  <c r="O135" i="13" s="1"/>
  <c r="J167" i="13" a="1"/>
  <c r="J167" i="13" s="1"/>
  <c r="J168" i="13" s="1"/>
  <c r="J169" i="13" s="1"/>
  <c r="L97" i="13" a="1"/>
  <c r="L97" i="13" s="1"/>
  <c r="L98" i="13" s="1"/>
  <c r="L101" i="13" s="1"/>
  <c r="F131" i="13" a="1"/>
  <c r="F131" i="13" s="1"/>
  <c r="F132" i="13" s="1"/>
  <c r="F135" i="13" s="1"/>
  <c r="H104" i="13"/>
  <c r="H102" i="13"/>
  <c r="M133" i="13" a="1"/>
  <c r="M133" i="13" s="1"/>
  <c r="M134" i="13" s="1"/>
  <c r="M135" i="13" s="1"/>
  <c r="G133" i="13" a="1"/>
  <c r="G133" i="13" s="1"/>
  <c r="G134" i="13" s="1"/>
  <c r="G135" i="13" s="1"/>
  <c r="BY14" i="9" s="1" a="1"/>
  <c r="BY14" i="9" s="1"/>
  <c r="BZ14" i="9" s="1"/>
  <c r="E131" i="13" a="1"/>
  <c r="E131" i="13" s="1"/>
  <c r="E132" i="13" s="1"/>
  <c r="E135" i="13" s="1"/>
  <c r="AM14" i="9" s="1" a="1"/>
  <c r="AM14" i="9" s="1"/>
  <c r="AN14" i="9" s="1"/>
  <c r="HA14" i="9" a="1"/>
  <c r="HA14" i="9" s="1"/>
  <c r="HC14" i="9" s="1"/>
  <c r="O97" i="13" a="1"/>
  <c r="O97" i="13" s="1"/>
  <c r="O98" i="13" s="1"/>
  <c r="O101" i="13" s="1"/>
  <c r="HU13" i="9" s="1" a="1"/>
  <c r="HU13" i="9" s="1"/>
  <c r="J128" i="13" a="1"/>
  <c r="J128" i="13" s="1"/>
  <c r="J129" i="13" s="1"/>
  <c r="J130" i="13" s="1"/>
  <c r="EC14" i="9" s="1" a="1"/>
  <c r="EC14" i="9" s="1"/>
  <c r="EE14" i="9" s="1"/>
  <c r="K99" i="13" a="1"/>
  <c r="K99" i="13" s="1"/>
  <c r="K100" i="13" s="1"/>
  <c r="K101" i="13" s="1"/>
  <c r="HT13" i="9" a="1"/>
  <c r="HT13" i="9" s="1"/>
  <c r="I70" i="13"/>
  <c r="I68" i="13"/>
  <c r="L167" i="13" a="1"/>
  <c r="L167" i="13" s="1"/>
  <c r="L168" i="13" s="1"/>
  <c r="L169" i="13" s="1"/>
  <c r="E68" i="13"/>
  <c r="GH12" i="9" a="1"/>
  <c r="GH12" i="9" s="1"/>
  <c r="GJ12" i="9" s="1"/>
  <c r="HA12" i="9" a="1"/>
  <c r="HA12" i="9" s="1"/>
  <c r="HC12" i="9" s="1"/>
  <c r="GH14" i="9" a="1"/>
  <c r="GH14" i="9" s="1"/>
  <c r="N99" i="13" a="1"/>
  <c r="N99" i="13" s="1"/>
  <c r="N100" i="13" s="1"/>
  <c r="N101" i="13" s="1"/>
  <c r="O154" i="13" a="1"/>
  <c r="O154" i="13" s="1"/>
  <c r="O167" i="13" s="1" a="1"/>
  <c r="O167" i="13" s="1"/>
  <c r="O168" i="13" s="1"/>
  <c r="HY15" i="9" a="1"/>
  <c r="HY15" i="9" s="1"/>
  <c r="HS15" i="9" a="1"/>
  <c r="HS15" i="9" s="1"/>
  <c r="P27" i="27" s="1" a="1"/>
  <c r="P27" i="27" s="1"/>
  <c r="N154" i="13" a="1"/>
  <c r="N154" i="13" s="1"/>
  <c r="N167" i="13" s="1" a="1"/>
  <c r="N167" i="13" s="1"/>
  <c r="N168" i="13" s="1"/>
  <c r="HF15" i="9" a="1"/>
  <c r="HF15" i="9" s="1"/>
  <c r="GZ15" i="9" a="1"/>
  <c r="GZ15" i="9" s="1"/>
  <c r="O27" i="27" s="1" a="1"/>
  <c r="O27" i="27" s="1"/>
  <c r="M188" i="13" a="1"/>
  <c r="M188" i="13" s="1"/>
  <c r="M201" i="13" s="1" a="1"/>
  <c r="M201" i="13" s="1"/>
  <c r="M202" i="13" s="1"/>
  <c r="GM16" i="9" a="1"/>
  <c r="GM16" i="9" s="1"/>
  <c r="GG16" i="9" a="1"/>
  <c r="GG16" i="9" s="1"/>
  <c r="I97" i="13" a="1"/>
  <c r="I97" i="13" s="1"/>
  <c r="I98" i="13" s="1"/>
  <c r="I101" i="13" s="1"/>
  <c r="M154" i="13" a="1"/>
  <c r="M154" i="13" s="1"/>
  <c r="M165" i="13" s="1" a="1"/>
  <c r="M165" i="13" s="1"/>
  <c r="M166" i="13" s="1"/>
  <c r="GM15" i="9" a="1"/>
  <c r="GM15" i="9" s="1"/>
  <c r="GG15" i="9" a="1"/>
  <c r="GG15" i="9" s="1"/>
  <c r="N27" i="27" s="1" a="1"/>
  <c r="N27" i="27" s="1"/>
  <c r="G167" i="13" a="1"/>
  <c r="G167" i="13" s="1"/>
  <c r="G168" i="13" s="1"/>
  <c r="G169" i="13" s="1"/>
  <c r="BE13" i="9" a="1"/>
  <c r="BE13" i="9" s="1"/>
  <c r="F97" i="13" a="1"/>
  <c r="F97" i="13" s="1"/>
  <c r="F98" i="13" s="1"/>
  <c r="F101" i="13" s="1"/>
  <c r="FO12" i="9" a="1"/>
  <c r="FO12" i="9" s="1"/>
  <c r="FQ12" i="9" s="1"/>
  <c r="H131" i="13" a="1"/>
  <c r="H131" i="13" s="1"/>
  <c r="H132" i="13" s="1"/>
  <c r="H135" i="13" s="1"/>
  <c r="K188" i="13" a="1"/>
  <c r="K188" i="13" s="1"/>
  <c r="K199" i="13" s="1" a="1"/>
  <c r="K199" i="13" s="1"/>
  <c r="K200" i="13" s="1"/>
  <c r="FA16" i="9" a="1"/>
  <c r="FA16" i="9" s="1"/>
  <c r="EU16" i="9" a="1"/>
  <c r="EU16" i="9" s="1"/>
  <c r="F167" i="13" a="1"/>
  <c r="F167" i="13" s="1"/>
  <c r="F168" i="13" s="1"/>
  <c r="F169" i="13" s="1"/>
  <c r="K154" i="13" a="1"/>
  <c r="K154" i="13" s="1"/>
  <c r="K167" i="13" s="1" a="1"/>
  <c r="K167" i="13" s="1"/>
  <c r="K168" i="13" s="1"/>
  <c r="FA15" i="9" a="1"/>
  <c r="FA15" i="9" s="1"/>
  <c r="EU15" i="9" a="1"/>
  <c r="EU15" i="9" s="1"/>
  <c r="L27" i="27" s="1" a="1"/>
  <c r="L27" i="27" s="1"/>
  <c r="CQ12" i="9" a="1"/>
  <c r="CQ12" i="9" s="1"/>
  <c r="CS12" i="9" s="1"/>
  <c r="J188" i="13" a="1"/>
  <c r="J188" i="13" s="1"/>
  <c r="J201" i="13" s="1" a="1"/>
  <c r="J201" i="13" s="1"/>
  <c r="J202" i="13" s="1"/>
  <c r="EH16" i="9" a="1"/>
  <c r="EH16" i="9" s="1"/>
  <c r="EB16" i="9" a="1"/>
  <c r="EB16" i="9" s="1"/>
  <c r="K28" i="27" s="1" a="1"/>
  <c r="K28" i="27" s="1"/>
  <c r="DJ12" i="9" a="1"/>
  <c r="DJ12" i="9" s="1"/>
  <c r="DL12" i="9" s="1"/>
  <c r="I188" i="13" a="1"/>
  <c r="I188" i="13" s="1"/>
  <c r="I201" i="13" s="1" a="1"/>
  <c r="I201" i="13" s="1"/>
  <c r="I202" i="13" s="1"/>
  <c r="DI16" i="9" a="1"/>
  <c r="DI16" i="9" s="1"/>
  <c r="DO16" i="9" a="1"/>
  <c r="DO16" i="9" s="1"/>
  <c r="I154" i="13" a="1"/>
  <c r="I154" i="13" s="1"/>
  <c r="I165" i="13" s="1" a="1"/>
  <c r="I165" i="13" s="1"/>
  <c r="I166" i="13" s="1"/>
  <c r="DI15" i="9" a="1"/>
  <c r="DI15" i="9" s="1"/>
  <c r="J27" i="27" s="1" a="1"/>
  <c r="J27" i="27" s="1"/>
  <c r="DO15" i="9" a="1"/>
  <c r="DO15" i="9" s="1"/>
  <c r="BE12" i="9" a="1"/>
  <c r="BE12" i="9" s="1"/>
  <c r="H188" i="13" a="1"/>
  <c r="H188" i="13" s="1"/>
  <c r="H201" i="13" s="1" a="1"/>
  <c r="H201" i="13" s="1"/>
  <c r="H202" i="13" s="1"/>
  <c r="CV16" i="9" a="1"/>
  <c r="CV16" i="9" s="1"/>
  <c r="CP16" i="9" a="1"/>
  <c r="CP16" i="9" s="1"/>
  <c r="AL12" i="9" a="1"/>
  <c r="AL12" i="9" s="1"/>
  <c r="E97" i="13" a="1"/>
  <c r="E97" i="13" s="1"/>
  <c r="E98" i="13" s="1"/>
  <c r="E101" i="13" s="1"/>
  <c r="G188" i="13" a="1"/>
  <c r="G188" i="13" s="1"/>
  <c r="G201" i="13" s="1" a="1"/>
  <c r="G201" i="13" s="1"/>
  <c r="G202" i="13" s="1"/>
  <c r="BW16" i="9" a="1"/>
  <c r="BW16" i="9" s="1"/>
  <c r="H28" i="27" s="1" a="1"/>
  <c r="H28" i="27" s="1"/>
  <c r="CC16" i="9" a="1"/>
  <c r="CC16" i="9" s="1"/>
  <c r="E154" i="13" a="1"/>
  <c r="E154" i="13" s="1"/>
  <c r="E167" i="13" s="1" a="1"/>
  <c r="E167" i="13" s="1"/>
  <c r="E168" i="13" s="1"/>
  <c r="AK15" i="9" a="1"/>
  <c r="AK15" i="9" s="1"/>
  <c r="F27" i="27" s="1" a="1"/>
  <c r="F27" i="27" s="1"/>
  <c r="AQ15" i="9" a="1"/>
  <c r="AQ15" i="9" s="1"/>
  <c r="K157" i="13" a="1"/>
  <c r="K157" i="13" s="1"/>
  <c r="K158" i="13" s="1"/>
  <c r="K159" i="13" s="1"/>
  <c r="E88" i="10"/>
  <c r="I155" i="13" a="1"/>
  <c r="I155" i="13" s="1"/>
  <c r="I156" i="13" s="1"/>
  <c r="I159" i="13" s="1"/>
  <c r="D154" i="13" a="1"/>
  <c r="D154" i="13" s="1"/>
  <c r="D165" i="13" s="1" a="1"/>
  <c r="D165" i="13" s="1"/>
  <c r="D166" i="13" s="1"/>
  <c r="R15" i="9" a="1"/>
  <c r="R15" i="9" s="1"/>
  <c r="E27" i="27" s="1" a="1"/>
  <c r="E27" i="27" s="1"/>
  <c r="K160" i="13" a="1"/>
  <c r="K160" i="13" s="1"/>
  <c r="K161" i="13" s="1"/>
  <c r="K164" i="13" s="1"/>
  <c r="D97" i="13" a="1"/>
  <c r="D97" i="13" s="1"/>
  <c r="D98" i="13" s="1"/>
  <c r="D101" i="13" s="1"/>
  <c r="T13" i="9" s="1" a="1"/>
  <c r="T13" i="9" s="1"/>
  <c r="E25" i="25" s="1" a="1"/>
  <c r="E25" i="25" s="1"/>
  <c r="P72" i="10"/>
  <c r="L87" i="10"/>
  <c r="D88" i="10"/>
  <c r="X16" i="9" s="1" a="1"/>
  <c r="X16" i="9" s="1"/>
  <c r="F87" i="10"/>
  <c r="E87" i="13" a="1"/>
  <c r="E87" i="13" s="1"/>
  <c r="E88" i="13" s="1"/>
  <c r="E91" i="13" s="1"/>
  <c r="AL13" i="9" s="1" a="1"/>
  <c r="AL13" i="9" s="1"/>
  <c r="H164" i="13"/>
  <c r="L86" i="10"/>
  <c r="L187" i="13" s="1" a="1"/>
  <c r="L187" i="13" s="1"/>
  <c r="L196" i="13" s="1" a="1"/>
  <c r="L196" i="13" s="1"/>
  <c r="L197" i="13" s="1"/>
  <c r="P73" i="10"/>
  <c r="N159" i="13"/>
  <c r="H159" i="13"/>
  <c r="E164" i="13"/>
  <c r="E87" i="10"/>
  <c r="M159" i="13"/>
  <c r="E86" i="10"/>
  <c r="E187" i="13" s="1" a="1"/>
  <c r="E187" i="13" s="1"/>
  <c r="E196" i="13" s="1" a="1"/>
  <c r="E196" i="13" s="1"/>
  <c r="E197" i="13" s="1"/>
  <c r="D86" i="10"/>
  <c r="F164" i="13"/>
  <c r="P71" i="10"/>
  <c r="G101" i="10"/>
  <c r="G99" i="10"/>
  <c r="G220" i="13" s="1" a="1"/>
  <c r="G220" i="13" s="1"/>
  <c r="G100" i="10"/>
  <c r="G221" i="13" s="1" a="1"/>
  <c r="G221" i="13" s="1"/>
  <c r="H100" i="10"/>
  <c r="H221" i="13" s="1" a="1"/>
  <c r="H221" i="13" s="1"/>
  <c r="H101" i="10"/>
  <c r="H99" i="10"/>
  <c r="H220" i="13" s="1" a="1"/>
  <c r="H220" i="13" s="1"/>
  <c r="N101" i="10"/>
  <c r="N99" i="10"/>
  <c r="N220" i="13" s="1" a="1"/>
  <c r="N220" i="13" s="1"/>
  <c r="N100" i="10"/>
  <c r="N221" i="13" s="1" a="1"/>
  <c r="N221" i="13" s="1"/>
  <c r="E189" i="13" a="1"/>
  <c r="E189" i="13" s="1"/>
  <c r="E190" i="13" s="1"/>
  <c r="E191" i="13" a="1"/>
  <c r="E191" i="13" s="1"/>
  <c r="E192" i="13" s="1"/>
  <c r="F100" i="10"/>
  <c r="F221" i="13" s="1" a="1"/>
  <c r="F221" i="13" s="1"/>
  <c r="F99" i="10"/>
  <c r="F220" i="13" s="1" a="1"/>
  <c r="F220" i="13" s="1"/>
  <c r="F101" i="10"/>
  <c r="O101" i="10"/>
  <c r="O99" i="10"/>
  <c r="O220" i="13" s="1" a="1"/>
  <c r="O220" i="13" s="1"/>
  <c r="O100" i="10"/>
  <c r="O221" i="13" s="1" a="1"/>
  <c r="O221" i="13" s="1"/>
  <c r="M100" i="10"/>
  <c r="M221" i="13" s="1" a="1"/>
  <c r="M221" i="13" s="1"/>
  <c r="M101" i="10"/>
  <c r="M99" i="10"/>
  <c r="M220" i="13" s="1" a="1"/>
  <c r="M220" i="13" s="1"/>
  <c r="D186" i="13" a="1"/>
  <c r="D186" i="13" s="1"/>
  <c r="J99" i="10"/>
  <c r="J220" i="13" s="1" a="1"/>
  <c r="J220" i="13" s="1"/>
  <c r="J100" i="10"/>
  <c r="J221" i="13" s="1" a="1"/>
  <c r="J221" i="13" s="1"/>
  <c r="J101" i="10"/>
  <c r="E101" i="10"/>
  <c r="E99" i="10"/>
  <c r="E220" i="13" s="1" a="1"/>
  <c r="E220" i="13" s="1"/>
  <c r="E100" i="10"/>
  <c r="E221" i="13" s="1" a="1"/>
  <c r="E221" i="13" s="1"/>
  <c r="F191" i="13" a="1"/>
  <c r="F191" i="13" s="1"/>
  <c r="F192" i="13" s="1"/>
  <c r="F189" i="13" a="1"/>
  <c r="F189" i="13" s="1"/>
  <c r="F190" i="13" s="1"/>
  <c r="L230" i="13" a="1"/>
  <c r="L230" i="13" s="1"/>
  <c r="L231" i="13" s="1"/>
  <c r="L228" i="13" a="1"/>
  <c r="L228" i="13" s="1"/>
  <c r="L229" i="13" s="1"/>
  <c r="F86" i="10"/>
  <c r="F187" i="13" s="1" a="1"/>
  <c r="F187" i="13" s="1"/>
  <c r="J164" i="13"/>
  <c r="H191" i="13" a="1"/>
  <c r="H191" i="13" s="1"/>
  <c r="H192" i="13" s="1"/>
  <c r="H189" i="13" a="1"/>
  <c r="H189" i="13" s="1"/>
  <c r="H190" i="13" s="1"/>
  <c r="I189" i="13" a="1"/>
  <c r="I189" i="13" s="1"/>
  <c r="I190" i="13" s="1"/>
  <c r="I191" i="13" a="1"/>
  <c r="I191" i="13" s="1"/>
  <c r="I192" i="13" s="1"/>
  <c r="G111" i="10"/>
  <c r="D111" i="10"/>
  <c r="D98" i="10" a="1"/>
  <c r="D98" i="10" s="1"/>
  <c r="D100" i="10" s="1"/>
  <c r="I111" i="10"/>
  <c r="H111" i="10"/>
  <c r="O159" i="13"/>
  <c r="G159" i="13"/>
  <c r="D162" i="13" a="1"/>
  <c r="D162" i="13" s="1"/>
  <c r="D163" i="13" s="1"/>
  <c r="D160" i="13" a="1"/>
  <c r="D160" i="13" s="1"/>
  <c r="D161" i="13" s="1"/>
  <c r="E157" i="13" a="1"/>
  <c r="E157" i="13" s="1"/>
  <c r="E158" i="13" s="1"/>
  <c r="E155" i="13" a="1"/>
  <c r="E155" i="13" s="1"/>
  <c r="E156" i="13" s="1"/>
  <c r="G191" i="13" a="1"/>
  <c r="G191" i="13" s="1"/>
  <c r="G192" i="13" s="1"/>
  <c r="G189" i="13" a="1"/>
  <c r="G189" i="13" s="1"/>
  <c r="G190" i="13" s="1"/>
  <c r="I196" i="13" a="1"/>
  <c r="I196" i="13" s="1"/>
  <c r="I197" i="13" s="1"/>
  <c r="I194" i="13" a="1"/>
  <c r="I194" i="13" s="1"/>
  <c r="I195" i="13" s="1"/>
  <c r="F159" i="13"/>
  <c r="L159" i="13"/>
  <c r="N86" i="10"/>
  <c r="N187" i="13" s="1" a="1"/>
  <c r="N187" i="13" s="1"/>
  <c r="M164" i="13"/>
  <c r="L99" i="10"/>
  <c r="L220" i="13" s="1" a="1"/>
  <c r="L220" i="13" s="1"/>
  <c r="J194" i="13" a="1"/>
  <c r="J194" i="13" s="1"/>
  <c r="J195" i="13" s="1"/>
  <c r="J196" i="13" a="1"/>
  <c r="J196" i="13" s="1"/>
  <c r="J197" i="13" s="1"/>
  <c r="I164" i="13"/>
  <c r="F111" i="10"/>
  <c r="J111" i="10"/>
  <c r="P98" i="10" a="1"/>
  <c r="P98" i="10" s="1"/>
  <c r="D155" i="13" a="1"/>
  <c r="D155" i="13" s="1"/>
  <c r="D156" i="13" s="1"/>
  <c r="D157" i="13" a="1"/>
  <c r="D157" i="13" s="1"/>
  <c r="D158" i="13" s="1"/>
  <c r="N85" i="10"/>
  <c r="N186" i="13" s="1" a="1"/>
  <c r="N186" i="13" s="1"/>
  <c r="D87" i="10"/>
  <c r="L101" i="10"/>
  <c r="J189" i="13" a="1"/>
  <c r="J189" i="13" s="1"/>
  <c r="J190" i="13" s="1"/>
  <c r="J191" i="13" a="1"/>
  <c r="J191" i="13" s="1"/>
  <c r="J192" i="13" s="1"/>
  <c r="G196" i="13" a="1"/>
  <c r="G196" i="13" s="1"/>
  <c r="G197" i="13" s="1"/>
  <c r="G194" i="13" a="1"/>
  <c r="G194" i="13" s="1"/>
  <c r="G195" i="13" s="1"/>
  <c r="K98" i="10" a="1"/>
  <c r="K98" i="10" s="1"/>
  <c r="K100" i="10" s="1"/>
  <c r="K221" i="13" s="1" a="1"/>
  <c r="K221" i="13" s="1"/>
  <c r="M111" i="10"/>
  <c r="I98" i="10" a="1"/>
  <c r="I98" i="10" s="1"/>
  <c r="I99" i="10" s="1"/>
  <c r="I220" i="13" s="1" a="1"/>
  <c r="I220" i="13" s="1"/>
  <c r="N111" i="10"/>
  <c r="N164" i="13"/>
  <c r="L164" i="13"/>
  <c r="J159" i="13"/>
  <c r="G164" i="13"/>
  <c r="O196" i="13" a="1"/>
  <c r="O196" i="13" s="1"/>
  <c r="O197" i="13" s="1"/>
  <c r="O194" i="13" a="1"/>
  <c r="O194" i="13" s="1"/>
  <c r="O195" i="13" s="1"/>
  <c r="M191" i="13" a="1"/>
  <c r="M191" i="13" s="1"/>
  <c r="M192" i="13" s="1"/>
  <c r="M189" i="13" a="1"/>
  <c r="M189" i="13" s="1"/>
  <c r="M190" i="13" s="1"/>
  <c r="K111" i="10"/>
  <c r="O189" i="13" a="1"/>
  <c r="O189" i="13" s="1"/>
  <c r="O190" i="13" s="1"/>
  <c r="O191" i="13" a="1"/>
  <c r="O191" i="13" s="1"/>
  <c r="O192" i="13" s="1"/>
  <c r="K194" i="13" a="1"/>
  <c r="K194" i="13" s="1"/>
  <c r="K195" i="13" s="1"/>
  <c r="K196" i="13" a="1"/>
  <c r="K196" i="13" s="1"/>
  <c r="K197" i="13" s="1"/>
  <c r="O164" i="13"/>
  <c r="L191" i="13" a="1"/>
  <c r="L191" i="13" s="1"/>
  <c r="L192" i="13" s="1"/>
  <c r="L189" i="13" a="1"/>
  <c r="L189" i="13" s="1"/>
  <c r="L190" i="13" s="1"/>
  <c r="H196" i="13" a="1"/>
  <c r="H196" i="13" s="1"/>
  <c r="H197" i="13" s="1"/>
  <c r="H194" i="13" a="1"/>
  <c r="H194" i="13" s="1"/>
  <c r="H195" i="13" s="1"/>
  <c r="M196" i="13" a="1"/>
  <c r="M196" i="13" s="1"/>
  <c r="M197" i="13" s="1"/>
  <c r="M194" i="13" a="1"/>
  <c r="M194" i="13" s="1"/>
  <c r="M195" i="13" s="1"/>
  <c r="K189" i="13" a="1"/>
  <c r="K189" i="13" s="1"/>
  <c r="K190" i="13" s="1"/>
  <c r="K191" i="13" a="1"/>
  <c r="K191" i="13" s="1"/>
  <c r="K192" i="13" s="1"/>
  <c r="G72" i="13"/>
  <c r="CB12" i="9" s="1" a="1"/>
  <c r="CB12" i="9" s="1"/>
  <c r="H169" i="13"/>
  <c r="N72" i="13"/>
  <c r="HE12" i="9" s="1" a="1"/>
  <c r="HE12" i="9" s="1"/>
  <c r="O72" i="13"/>
  <c r="HX12" i="9" s="1" a="1"/>
  <c r="HX12" i="9" s="1"/>
  <c r="L72" i="13"/>
  <c r="FS12" i="9" s="1" a="1"/>
  <c r="FS12" i="9" s="1"/>
  <c r="D133" i="13" a="1"/>
  <c r="D133" i="13" s="1"/>
  <c r="D134" i="13" s="1"/>
  <c r="D135" i="13" s="1"/>
  <c r="L91" i="13"/>
  <c r="FO13" i="9" s="1" a="1"/>
  <c r="FO13" i="9" s="1"/>
  <c r="N91" i="13"/>
  <c r="HA13" i="9" s="1" a="1"/>
  <c r="HA13" i="9" s="1"/>
  <c r="K91" i="13"/>
  <c r="EV13" i="9" s="1" a="1"/>
  <c r="EV13" i="9" s="1"/>
  <c r="I91" i="13"/>
  <c r="DJ13" i="9" s="1" a="1"/>
  <c r="DJ13" i="9" s="1"/>
  <c r="D91" i="13"/>
  <c r="S13" i="9" s="1" a="1"/>
  <c r="S13" i="9" s="1"/>
  <c r="O88" i="10"/>
  <c r="D128" i="13" a="1"/>
  <c r="D128" i="13" s="1"/>
  <c r="D129" i="13" s="1"/>
  <c r="D130" i="13" s="1"/>
  <c r="S14" i="9" s="1" a="1"/>
  <c r="S14" i="9" s="1"/>
  <c r="K68" i="13"/>
  <c r="M102" i="13"/>
  <c r="M106" i="13" s="1"/>
  <c r="GL13" i="9" s="1" a="1"/>
  <c r="GL13" i="9" s="1"/>
  <c r="F70" i="13"/>
  <c r="U12" i="9"/>
  <c r="J62" i="13"/>
  <c r="EC12" i="9" s="1" a="1"/>
  <c r="EC12" i="9" s="1"/>
  <c r="J67" i="13"/>
  <c r="ED12" i="9" s="1" a="1"/>
  <c r="ED12" i="9" s="1"/>
  <c r="P111" i="10"/>
  <c r="J96" i="10"/>
  <c r="EA17" i="9" s="1" a="1"/>
  <c r="EA17" i="9" s="1"/>
  <c r="E96" i="10"/>
  <c r="AJ17" i="9" s="1" a="1"/>
  <c r="AJ17" i="9" s="1"/>
  <c r="F102" i="10"/>
  <c r="M96" i="10"/>
  <c r="GF17" i="9" s="1" a="1"/>
  <c r="GF17" i="9" s="1"/>
  <c r="H96" i="10"/>
  <c r="CO17" i="9" s="1" a="1"/>
  <c r="CO17" i="9" s="1"/>
  <c r="L96" i="10"/>
  <c r="FM17" i="9" s="1" a="1"/>
  <c r="FM17" i="9" s="1"/>
  <c r="D96" i="10"/>
  <c r="N88" i="10"/>
  <c r="G102" i="10"/>
  <c r="H102" i="10"/>
  <c r="O108" i="10"/>
  <c r="G108" i="10"/>
  <c r="D108" i="10"/>
  <c r="P74" i="10"/>
  <c r="K27" i="27" a="1"/>
  <c r="K27" i="27" s="1"/>
  <c r="I27" i="27" a="1"/>
  <c r="I27" i="27" s="1"/>
  <c r="H27" i="27" a="1"/>
  <c r="H27" i="27" s="1"/>
  <c r="G27" i="27" a="1"/>
  <c r="G27" i="27" s="1"/>
  <c r="M27" i="27" a="1"/>
  <c r="M27" i="27" s="1"/>
  <c r="L102" i="10"/>
  <c r="K131" i="10"/>
  <c r="P131" i="10"/>
  <c r="N131" i="10"/>
  <c r="L131" i="10"/>
  <c r="H131" i="10"/>
  <c r="F131" i="10"/>
  <c r="D131" i="10"/>
  <c r="O131" i="10"/>
  <c r="E131" i="10"/>
  <c r="M131" i="10"/>
  <c r="G131" i="10"/>
  <c r="B132" i="10"/>
  <c r="I131" i="10"/>
  <c r="J131" i="10"/>
  <c r="N96" i="10"/>
  <c r="GY17" i="9" s="1" a="1"/>
  <c r="GY17" i="9" s="1"/>
  <c r="I108" i="10"/>
  <c r="H108" i="10"/>
  <c r="G96" i="10"/>
  <c r="BV17" i="9" s="1" a="1"/>
  <c r="BV17" i="9" s="1"/>
  <c r="O102" i="10"/>
  <c r="I96" i="10"/>
  <c r="DH17" i="9" s="1" a="1"/>
  <c r="DH17" i="9" s="1"/>
  <c r="L88" i="10"/>
  <c r="A145" i="10" a="1"/>
  <c r="A145" i="10" s="1"/>
  <c r="B145" i="10" a="1"/>
  <c r="B145" i="10" s="1"/>
  <c r="I109" i="10"/>
  <c r="P109" i="10"/>
  <c r="P110" i="10" s="1"/>
  <c r="L109" i="10"/>
  <c r="O109" i="10"/>
  <c r="D109" i="10"/>
  <c r="G109" i="10"/>
  <c r="N109" i="10"/>
  <c r="F109" i="10"/>
  <c r="J109" i="10"/>
  <c r="B110" i="10"/>
  <c r="B111" i="10" s="1"/>
  <c r="B112" i="10" s="1"/>
  <c r="B113" i="10" s="1"/>
  <c r="B114" i="10" s="1"/>
  <c r="B115" i="10" s="1"/>
  <c r="B116" i="10" s="1"/>
  <c r="M109" i="10"/>
  <c r="E109" i="10"/>
  <c r="H109" i="10"/>
  <c r="K109" i="10"/>
  <c r="L108" i="10"/>
  <c r="O111" i="10"/>
  <c r="E111" i="10"/>
  <c r="E108" i="10"/>
  <c r="F88" i="10"/>
  <c r="F96" i="10"/>
  <c r="BC17" i="9" s="1" a="1"/>
  <c r="BC17" i="9" s="1"/>
  <c r="O118" i="10"/>
  <c r="K118" i="10"/>
  <c r="K125" i="10" s="1"/>
  <c r="G118" i="10"/>
  <c r="J118" i="10"/>
  <c r="J125" i="10" s="1"/>
  <c r="N118" i="10"/>
  <c r="B119" i="10"/>
  <c r="B120" i="10" s="1"/>
  <c r="B121" i="10" s="1"/>
  <c r="M118" i="10"/>
  <c r="I118" i="10"/>
  <c r="I125" i="10" s="1"/>
  <c r="F118" i="10"/>
  <c r="F125" i="10" s="1"/>
  <c r="L118" i="10"/>
  <c r="L125" i="10" s="1"/>
  <c r="H118" i="10"/>
  <c r="H125" i="10" s="1"/>
  <c r="D118" i="10"/>
  <c r="D125" i="10" s="1"/>
  <c r="E118" i="10"/>
  <c r="P118" i="10"/>
  <c r="P122" i="10" s="1"/>
  <c r="B122" i="10"/>
  <c r="B123" i="10" s="1"/>
  <c r="J108" i="10"/>
  <c r="M108" i="10"/>
  <c r="L111" i="10"/>
  <c r="N108" i="10"/>
  <c r="K108" i="10"/>
  <c r="F108" i="10"/>
  <c r="O96" i="10"/>
  <c r="HR17" i="9" s="1" a="1"/>
  <c r="HR17" i="9" s="1"/>
  <c r="N138" i="13"/>
  <c r="G104" i="13"/>
  <c r="H70" i="13"/>
  <c r="H68" i="13"/>
  <c r="G102" i="13"/>
  <c r="D70" i="13"/>
  <c r="N136" i="13"/>
  <c r="M68" i="13"/>
  <c r="L136" i="13"/>
  <c r="M70" i="13"/>
  <c r="L138" i="13"/>
  <c r="I138" i="13"/>
  <c r="J102" i="13"/>
  <c r="I136" i="13"/>
  <c r="K136" i="13"/>
  <c r="J138" i="13"/>
  <c r="J136" i="13"/>
  <c r="K138" i="13"/>
  <c r="J104" i="13"/>
  <c r="D68" i="13"/>
  <c r="R159" i="10"/>
  <c r="K72" i="13" l="1"/>
  <c r="EZ12" i="9" s="1" a="1"/>
  <c r="EZ12" i="9" s="1"/>
  <c r="F72" i="13"/>
  <c r="BI12" i="9" s="1" a="1"/>
  <c r="BI12" i="9" s="1"/>
  <c r="O136" i="13"/>
  <c r="AN12" i="9"/>
  <c r="H26" i="25" a="1"/>
  <c r="H26" i="25" s="1"/>
  <c r="CA14" i="9"/>
  <c r="M136" i="13"/>
  <c r="GI14" i="9" a="1"/>
  <c r="GI14" i="9" s="1"/>
  <c r="GJ14" i="9" s="1"/>
  <c r="BG12" i="9"/>
  <c r="F138" i="13"/>
  <c r="BF14" i="9" a="1"/>
  <c r="BF14" i="9" s="1"/>
  <c r="T14" i="9" a="1"/>
  <c r="T14" i="9" s="1"/>
  <c r="E26" i="25" s="1" a="1"/>
  <c r="E26" i="25" s="1"/>
  <c r="H138" i="13"/>
  <c r="CR14" i="9" a="1"/>
  <c r="CR14" i="9" s="1"/>
  <c r="F26" i="25" a="1"/>
  <c r="F26" i="25" s="1"/>
  <c r="AO14" i="9"/>
  <c r="O138" i="13"/>
  <c r="HU14" i="9" a="1"/>
  <c r="HU14" i="9" s="1"/>
  <c r="F104" i="13"/>
  <c r="BF13" i="9" a="1"/>
  <c r="BF13" i="9" s="1"/>
  <c r="BG13" i="9" s="1"/>
  <c r="N25" i="25" a="1"/>
  <c r="N25" i="25" s="1"/>
  <c r="GK13" i="9"/>
  <c r="N102" i="13"/>
  <c r="HB13" i="9" a="1"/>
  <c r="HB13" i="9" s="1"/>
  <c r="HC13" i="9" s="1"/>
  <c r="HV13" i="9"/>
  <c r="K102" i="13"/>
  <c r="EW13" i="9" a="1"/>
  <c r="EW13" i="9" s="1"/>
  <c r="EX13" i="9" s="1"/>
  <c r="P25" i="25" a="1"/>
  <c r="P25" i="25" s="1"/>
  <c r="HW13" i="9"/>
  <c r="L104" i="13"/>
  <c r="FP13" i="9" a="1"/>
  <c r="FP13" i="9" s="1"/>
  <c r="FQ13" i="9" s="1"/>
  <c r="GJ13" i="9"/>
  <c r="E104" i="13"/>
  <c r="AM13" i="9" a="1"/>
  <c r="AM13" i="9" s="1"/>
  <c r="E72" i="13"/>
  <c r="AP12" i="9" s="1" a="1"/>
  <c r="AP12" i="9" s="1"/>
  <c r="AR12" i="9" s="1"/>
  <c r="AZ12" i="9" s="1"/>
  <c r="I104" i="13"/>
  <c r="DK13" i="9" a="1"/>
  <c r="DK13" i="9" s="1"/>
  <c r="DL13" i="9" s="1"/>
  <c r="EE12" i="9"/>
  <c r="G24" i="25" a="1"/>
  <c r="G24" i="25" s="1"/>
  <c r="BH12" i="9"/>
  <c r="L24" i="25" a="1"/>
  <c r="L24" i="25" s="1"/>
  <c r="EY12" i="9"/>
  <c r="F24" i="25" a="1"/>
  <c r="F24" i="25" s="1"/>
  <c r="AO12" i="9"/>
  <c r="K24" i="25" a="1"/>
  <c r="K24" i="25" s="1"/>
  <c r="EF12" i="9"/>
  <c r="F136" i="13"/>
  <c r="M138" i="13"/>
  <c r="L102" i="13"/>
  <c r="L172" i="13"/>
  <c r="FP15" i="9" a="1"/>
  <c r="FP15" i="9" s="1"/>
  <c r="H172" i="13"/>
  <c r="CR15" i="9" a="1"/>
  <c r="CR15" i="9" s="1"/>
  <c r="J172" i="13"/>
  <c r="ED15" i="9" a="1"/>
  <c r="ED15" i="9" s="1"/>
  <c r="F170" i="13"/>
  <c r="BF15" i="9" a="1"/>
  <c r="BF15" i="9" s="1"/>
  <c r="G172" i="13"/>
  <c r="BY15" i="9" a="1"/>
  <c r="BY15" i="9" s="1"/>
  <c r="K104" i="13"/>
  <c r="H106" i="13"/>
  <c r="CU13" i="9" s="1" a="1"/>
  <c r="CU13" i="9" s="1"/>
  <c r="CW13" i="9" s="1"/>
  <c r="DE13" i="9" s="1"/>
  <c r="G199" i="13" a="1"/>
  <c r="G199" i="13" s="1"/>
  <c r="G200" i="13" s="1"/>
  <c r="G203" i="13" s="1"/>
  <c r="M199" i="13" a="1"/>
  <c r="M199" i="13" s="1"/>
  <c r="M200" i="13" s="1"/>
  <c r="M203" i="13" s="1"/>
  <c r="F102" i="13"/>
  <c r="G138" i="13"/>
  <c r="G136" i="13"/>
  <c r="O104" i="13"/>
  <c r="O102" i="13"/>
  <c r="I72" i="13"/>
  <c r="DN12" i="9" s="1" a="1"/>
  <c r="DN12" i="9" s="1"/>
  <c r="DP12" i="9" s="1"/>
  <c r="DX12" i="9" s="1"/>
  <c r="E138" i="13"/>
  <c r="E136" i="13"/>
  <c r="K165" i="13" a="1"/>
  <c r="K165" i="13" s="1"/>
  <c r="K166" i="13" s="1"/>
  <c r="K169" i="13" s="1"/>
  <c r="O165" i="13" a="1"/>
  <c r="O165" i="13" s="1"/>
  <c r="O166" i="13" s="1"/>
  <c r="O169" i="13" s="1"/>
  <c r="HT15" i="9" a="1"/>
  <c r="HT15" i="9" s="1"/>
  <c r="I199" i="13" a="1"/>
  <c r="I199" i="13" s="1"/>
  <c r="I200" i="13" s="1"/>
  <c r="I203" i="13" s="1"/>
  <c r="I102" i="13"/>
  <c r="H199" i="13" a="1"/>
  <c r="H199" i="13" s="1"/>
  <c r="H200" i="13" s="1"/>
  <c r="H203" i="13" s="1"/>
  <c r="K201" i="13" a="1"/>
  <c r="K201" i="13" s="1"/>
  <c r="K202" i="13" s="1"/>
  <c r="K203" i="13" s="1"/>
  <c r="I167" i="13" a="1"/>
  <c r="I167" i="13" s="1"/>
  <c r="I168" i="13" s="1"/>
  <c r="I169" i="13" s="1"/>
  <c r="N104" i="13"/>
  <c r="E165" i="13" a="1"/>
  <c r="E165" i="13" s="1"/>
  <c r="E166" i="13" s="1"/>
  <c r="E169" i="13" s="1"/>
  <c r="J199" i="13" a="1"/>
  <c r="J199" i="13" s="1"/>
  <c r="J200" i="13" s="1"/>
  <c r="J203" i="13" s="1"/>
  <c r="HA15" i="9" a="1"/>
  <c r="HA15" i="9" s="1"/>
  <c r="D167" i="13" a="1"/>
  <c r="D167" i="13" s="1"/>
  <c r="D168" i="13" s="1"/>
  <c r="D169" i="13" s="1"/>
  <c r="H136" i="13"/>
  <c r="H140" i="13" s="1"/>
  <c r="CU14" i="9" s="1" a="1"/>
  <c r="CU14" i="9" s="1"/>
  <c r="N165" i="13" a="1"/>
  <c r="N165" i="13" s="1"/>
  <c r="N166" i="13" s="1"/>
  <c r="N169" i="13" s="1"/>
  <c r="GH15" i="9" a="1"/>
  <c r="GH15" i="9" s="1"/>
  <c r="M167" i="13" a="1"/>
  <c r="M167" i="13" s="1"/>
  <c r="M168" i="13" s="1"/>
  <c r="M169" i="13" s="1"/>
  <c r="O188" i="13" a="1"/>
  <c r="O188" i="13" s="1"/>
  <c r="O201" i="13" s="1" a="1"/>
  <c r="O201" i="13" s="1"/>
  <c r="O202" i="13" s="1"/>
  <c r="HY16" i="9" a="1"/>
  <c r="HY16" i="9" s="1"/>
  <c r="HS16" i="9" a="1"/>
  <c r="HS16" i="9" s="1"/>
  <c r="E102" i="13"/>
  <c r="O222" i="13" a="1"/>
  <c r="O222" i="13" s="1"/>
  <c r="O235" i="13" s="1" a="1"/>
  <c r="O235" i="13" s="1"/>
  <c r="O236" i="13" s="1"/>
  <c r="HY17" i="9" a="1"/>
  <c r="HY17" i="9" s="1"/>
  <c r="HS17" i="9" a="1"/>
  <c r="HS17" i="9" s="1"/>
  <c r="FO15" i="9" a="1"/>
  <c r="FO15" i="9" s="1"/>
  <c r="N188" i="13" a="1"/>
  <c r="N188" i="13" s="1"/>
  <c r="N199" i="13" s="1" a="1"/>
  <c r="N199" i="13" s="1"/>
  <c r="N200" i="13" s="1"/>
  <c r="HF16" i="9" a="1"/>
  <c r="HF16" i="9" s="1"/>
  <c r="GZ16" i="9" a="1"/>
  <c r="GZ16" i="9" s="1"/>
  <c r="EV15" i="9" a="1"/>
  <c r="EV15" i="9" s="1"/>
  <c r="L188" i="13" a="1"/>
  <c r="L188" i="13" s="1"/>
  <c r="L199" i="13" s="1" a="1"/>
  <c r="L199" i="13" s="1"/>
  <c r="L200" i="13" s="1"/>
  <c r="FT16" i="9" a="1"/>
  <c r="FT16" i="9" s="1"/>
  <c r="FN16" i="9" a="1"/>
  <c r="FN16" i="9" s="1"/>
  <c r="M28" i="27" s="1" a="1"/>
  <c r="M28" i="27" s="1"/>
  <c r="L222" i="13" a="1"/>
  <c r="L222" i="13" s="1"/>
  <c r="L233" i="13" s="1" a="1"/>
  <c r="L233" i="13" s="1"/>
  <c r="L234" i="13" s="1"/>
  <c r="FT17" i="9" a="1"/>
  <c r="FT17" i="9" s="1"/>
  <c r="FN17" i="9" a="1"/>
  <c r="FN17" i="9" s="1"/>
  <c r="EC15" i="9" a="1"/>
  <c r="EC15" i="9" s="1"/>
  <c r="DJ15" i="9" a="1"/>
  <c r="DJ15" i="9" s="1"/>
  <c r="H222" i="13" a="1"/>
  <c r="H222" i="13" s="1"/>
  <c r="H233" i="13" s="1" a="1"/>
  <c r="H233" i="13" s="1"/>
  <c r="H234" i="13" s="1"/>
  <c r="CV17" i="9" a="1"/>
  <c r="CV17" i="9" s="1"/>
  <c r="CP17" i="9" a="1"/>
  <c r="CP17" i="9" s="1"/>
  <c r="CQ15" i="9" a="1"/>
  <c r="CQ15" i="9" s="1"/>
  <c r="BX15" i="9" a="1"/>
  <c r="BX15" i="9" s="1"/>
  <c r="G222" i="13" a="1"/>
  <c r="G222" i="13" s="1"/>
  <c r="G235" i="13" s="1" a="1"/>
  <c r="G235" i="13" s="1"/>
  <c r="G236" i="13" s="1"/>
  <c r="BW17" i="9" a="1"/>
  <c r="BW17" i="9" s="1"/>
  <c r="CC17" i="9" a="1"/>
  <c r="CC17" i="9" s="1"/>
  <c r="L28" i="27" a="1"/>
  <c r="L28" i="27" s="1"/>
  <c r="J28" i="27" a="1"/>
  <c r="J28" i="27" s="1"/>
  <c r="D136" i="13"/>
  <c r="BE15" i="9" a="1"/>
  <c r="BE15" i="9" s="1"/>
  <c r="N28" i="27" a="1"/>
  <c r="N28" i="27" s="1"/>
  <c r="I28" i="27" a="1"/>
  <c r="I28" i="27" s="1"/>
  <c r="F222" i="13" a="1"/>
  <c r="F222" i="13" s="1"/>
  <c r="F235" i="13" s="1" a="1"/>
  <c r="F235" i="13" s="1"/>
  <c r="F236" i="13" s="1"/>
  <c r="BJ17" i="9" a="1"/>
  <c r="BJ17" i="9" s="1"/>
  <c r="BD17" i="9" a="1"/>
  <c r="BD17" i="9" s="1"/>
  <c r="F188" i="13" a="1"/>
  <c r="F188" i="13" s="1"/>
  <c r="F201" i="13" s="1" a="1"/>
  <c r="F201" i="13" s="1"/>
  <c r="F202" i="13" s="1"/>
  <c r="BJ16" i="9" a="1"/>
  <c r="BJ16" i="9" s="1"/>
  <c r="BD16" i="9" a="1"/>
  <c r="BD16" i="9" s="1"/>
  <c r="E188" i="13" a="1"/>
  <c r="E188" i="13" s="1"/>
  <c r="AQ16" i="9" a="1"/>
  <c r="AQ16" i="9" s="1"/>
  <c r="AK16" i="9" a="1"/>
  <c r="AK16" i="9" s="1"/>
  <c r="Q17" i="9" a="1"/>
  <c r="Q17" i="9" s="1"/>
  <c r="D188" i="13" a="1"/>
  <c r="D188" i="13" s="1"/>
  <c r="R16" i="9" a="1"/>
  <c r="R16" i="9" s="1"/>
  <c r="E28" i="27" s="1" a="1"/>
  <c r="E28" i="27" s="1"/>
  <c r="K102" i="10"/>
  <c r="P87" i="10"/>
  <c r="K101" i="10"/>
  <c r="L194" i="13" a="1"/>
  <c r="L194" i="13" s="1"/>
  <c r="L195" i="13" s="1"/>
  <c r="L198" i="13" s="1"/>
  <c r="E194" i="13" a="1"/>
  <c r="E194" i="13" s="1"/>
  <c r="E195" i="13" s="1"/>
  <c r="E198" i="13" s="1"/>
  <c r="M198" i="13"/>
  <c r="P86" i="10"/>
  <c r="J193" i="13"/>
  <c r="D187" i="13" a="1"/>
  <c r="D187" i="13" s="1"/>
  <c r="D194" i="13" s="1" a="1"/>
  <c r="D194" i="13" s="1"/>
  <c r="D195" i="13" s="1"/>
  <c r="M193" i="13"/>
  <c r="O198" i="13"/>
  <c r="I198" i="13"/>
  <c r="O193" i="13"/>
  <c r="I193" i="13"/>
  <c r="L232" i="13"/>
  <c r="H193" i="13"/>
  <c r="F193" i="13"/>
  <c r="G106" i="13"/>
  <c r="CB13" i="9" s="1" a="1"/>
  <c r="CB13" i="9" s="1"/>
  <c r="E159" i="13"/>
  <c r="AL15" i="9" s="1" a="1"/>
  <c r="AL15" i="9" s="1"/>
  <c r="D99" i="10"/>
  <c r="D220" i="13" s="1" a="1"/>
  <c r="D220" i="13" s="1"/>
  <c r="I225" i="13" a="1"/>
  <c r="I225" i="13" s="1"/>
  <c r="I226" i="13" s="1"/>
  <c r="I223" i="13" a="1"/>
  <c r="I223" i="13" s="1"/>
  <c r="I224" i="13" s="1"/>
  <c r="K228" i="13" a="1"/>
  <c r="K228" i="13" s="1"/>
  <c r="K229" i="13" s="1"/>
  <c r="K230" i="13" a="1"/>
  <c r="K230" i="13" s="1"/>
  <c r="K231" i="13" s="1"/>
  <c r="D221" i="13" a="1"/>
  <c r="D221" i="13" s="1"/>
  <c r="K112" i="10" a="1"/>
  <c r="K112" i="10" s="1"/>
  <c r="K115" i="10" s="1"/>
  <c r="J198" i="13"/>
  <c r="D101" i="10"/>
  <c r="J225" i="13" a="1"/>
  <c r="J225" i="13" s="1"/>
  <c r="J226" i="13" s="1"/>
  <c r="J223" i="13" a="1"/>
  <c r="J223" i="13" s="1"/>
  <c r="J224" i="13" s="1"/>
  <c r="O112" i="10" a="1"/>
  <c r="O112" i="10" s="1"/>
  <c r="O115" i="10" s="1"/>
  <c r="H198" i="13"/>
  <c r="K198" i="13"/>
  <c r="M112" i="10" a="1"/>
  <c r="M112" i="10" s="1"/>
  <c r="M115" i="10" s="1"/>
  <c r="L225" i="13" a="1"/>
  <c r="L225" i="13" s="1"/>
  <c r="L226" i="13" s="1"/>
  <c r="L223" i="13" a="1"/>
  <c r="L223" i="13" s="1"/>
  <c r="L224" i="13" s="1"/>
  <c r="P85" i="10"/>
  <c r="H225" i="13" a="1"/>
  <c r="H225" i="13" s="1"/>
  <c r="H226" i="13" s="1"/>
  <c r="H223" i="13" a="1"/>
  <c r="H223" i="13" s="1"/>
  <c r="H224" i="13" s="1"/>
  <c r="O225" i="13" a="1"/>
  <c r="O225" i="13" s="1"/>
  <c r="O226" i="13" s="1"/>
  <c r="O223" i="13" a="1"/>
  <c r="O223" i="13" s="1"/>
  <c r="O224" i="13" s="1"/>
  <c r="L112" i="10" a="1"/>
  <c r="L112" i="10" s="1"/>
  <c r="L115" i="10" s="1"/>
  <c r="J112" i="10" a="1"/>
  <c r="J112" i="10" s="1"/>
  <c r="J115" i="10" s="1"/>
  <c r="D191" i="13" a="1"/>
  <c r="D191" i="13" s="1"/>
  <c r="D192" i="13" s="1"/>
  <c r="D189" i="13" a="1"/>
  <c r="D189" i="13" s="1"/>
  <c r="D190" i="13" s="1"/>
  <c r="F223" i="13" a="1"/>
  <c r="F223" i="13" s="1"/>
  <c r="F224" i="13" s="1"/>
  <c r="F225" i="13" a="1"/>
  <c r="F225" i="13" s="1"/>
  <c r="F226" i="13" s="1"/>
  <c r="N112" i="10" a="1"/>
  <c r="N112" i="10" s="1"/>
  <c r="N115" i="10" s="1"/>
  <c r="K99" i="10"/>
  <c r="K220" i="13" s="1" a="1"/>
  <c r="K220" i="13" s="1"/>
  <c r="N194" i="13" a="1"/>
  <c r="N194" i="13" s="1"/>
  <c r="N195" i="13" s="1"/>
  <c r="N196" i="13" a="1"/>
  <c r="N196" i="13" s="1"/>
  <c r="N197" i="13" s="1"/>
  <c r="G193" i="13"/>
  <c r="E228" i="13" a="1"/>
  <c r="E228" i="13" s="1"/>
  <c r="E229" i="13" s="1"/>
  <c r="E230" i="13" a="1"/>
  <c r="E230" i="13" s="1"/>
  <c r="E231" i="13" s="1"/>
  <c r="M223" i="13" a="1"/>
  <c r="M223" i="13" s="1"/>
  <c r="M224" i="13" s="1"/>
  <c r="M225" i="13" a="1"/>
  <c r="M225" i="13" s="1"/>
  <c r="M226" i="13" s="1"/>
  <c r="F228" i="13" a="1"/>
  <c r="F228" i="13" s="1"/>
  <c r="F229" i="13" s="1"/>
  <c r="F230" i="13" a="1"/>
  <c r="F230" i="13" s="1"/>
  <c r="F231" i="13" s="1"/>
  <c r="H230" i="13" a="1"/>
  <c r="H230" i="13" s="1"/>
  <c r="H231" i="13" s="1"/>
  <c r="H228" i="13" a="1"/>
  <c r="H228" i="13" s="1"/>
  <c r="H229" i="13" s="1"/>
  <c r="P112" i="10" a="1"/>
  <c r="P112" i="10" s="1"/>
  <c r="L193" i="13"/>
  <c r="I101" i="10"/>
  <c r="N189" i="13" a="1"/>
  <c r="N189" i="13" s="1"/>
  <c r="N190" i="13" s="1"/>
  <c r="N191" i="13" a="1"/>
  <c r="N191" i="13" s="1"/>
  <c r="N192" i="13" s="1"/>
  <c r="H112" i="10" a="1"/>
  <c r="H112" i="10" s="1"/>
  <c r="H115" i="10" s="1"/>
  <c r="D112" i="10" a="1"/>
  <c r="D112" i="10" s="1"/>
  <c r="D115" i="10" s="1"/>
  <c r="E225" i="13" a="1"/>
  <c r="E225" i="13" s="1"/>
  <c r="E226" i="13" s="1"/>
  <c r="E223" i="13" a="1"/>
  <c r="E223" i="13" s="1"/>
  <c r="E224" i="13" s="1"/>
  <c r="E193" i="13"/>
  <c r="G230" i="13" a="1"/>
  <c r="G230" i="13" s="1"/>
  <c r="G231" i="13" s="1"/>
  <c r="G228" i="13" a="1"/>
  <c r="G228" i="13" s="1"/>
  <c r="G229" i="13" s="1"/>
  <c r="J228" i="13" a="1"/>
  <c r="J228" i="13" s="1"/>
  <c r="J229" i="13" s="1"/>
  <c r="J230" i="13" a="1"/>
  <c r="J230" i="13" s="1"/>
  <c r="J231" i="13" s="1"/>
  <c r="E112" i="10" a="1"/>
  <c r="E112" i="10" s="1"/>
  <c r="E115" i="10" s="1"/>
  <c r="K193" i="13"/>
  <c r="I100" i="10"/>
  <c r="I221" i="13" s="1" a="1"/>
  <c r="I221" i="13" s="1"/>
  <c r="D159" i="13"/>
  <c r="F112" i="10" a="1"/>
  <c r="F112" i="10" s="1"/>
  <c r="F115" i="10" s="1"/>
  <c r="M228" i="13" a="1"/>
  <c r="M228" i="13" s="1"/>
  <c r="M229" i="13" s="1"/>
  <c r="M230" i="13" a="1"/>
  <c r="M230" i="13" s="1"/>
  <c r="M231" i="13" s="1"/>
  <c r="G225" i="13" a="1"/>
  <c r="G225" i="13" s="1"/>
  <c r="G226" i="13" s="1"/>
  <c r="G223" i="13" a="1"/>
  <c r="G223" i="13" s="1"/>
  <c r="G224" i="13" s="1"/>
  <c r="N223" i="13" a="1"/>
  <c r="N223" i="13" s="1"/>
  <c r="N224" i="13" s="1"/>
  <c r="N225" i="13" a="1"/>
  <c r="N225" i="13" s="1"/>
  <c r="N226" i="13" s="1"/>
  <c r="G198" i="13"/>
  <c r="D164" i="13"/>
  <c r="I112" i="10" a="1"/>
  <c r="I112" i="10" s="1"/>
  <c r="I115" i="10" s="1"/>
  <c r="G112" i="10" a="1"/>
  <c r="G112" i="10" s="1"/>
  <c r="G115" i="10" s="1"/>
  <c r="F194" i="13" a="1"/>
  <c r="F194" i="13" s="1"/>
  <c r="F195" i="13" s="1"/>
  <c r="F196" i="13" a="1"/>
  <c r="F196" i="13" s="1"/>
  <c r="F197" i="13" s="1"/>
  <c r="O230" i="13" a="1"/>
  <c r="O230" i="13" s="1"/>
  <c r="O231" i="13" s="1"/>
  <c r="O228" i="13" a="1"/>
  <c r="O228" i="13" s="1"/>
  <c r="O229" i="13" s="1"/>
  <c r="N228" i="13" a="1"/>
  <c r="N228" i="13" s="1"/>
  <c r="N229" i="13" s="1"/>
  <c r="N230" i="13" a="1"/>
  <c r="N230" i="13" s="1"/>
  <c r="N231" i="13" s="1"/>
  <c r="D72" i="13"/>
  <c r="J170" i="13"/>
  <c r="G170" i="13"/>
  <c r="H170" i="13"/>
  <c r="K140" i="13"/>
  <c r="EZ14" i="9" s="1" a="1"/>
  <c r="EZ14" i="9" s="1"/>
  <c r="J140" i="13"/>
  <c r="EG14" i="9" s="1" a="1"/>
  <c r="EG14" i="9" s="1"/>
  <c r="L170" i="13"/>
  <c r="F172" i="13"/>
  <c r="N140" i="13"/>
  <c r="HE14" i="9" s="1" a="1"/>
  <c r="HE14" i="9" s="1"/>
  <c r="L140" i="13"/>
  <c r="FS14" i="9" s="1" a="1"/>
  <c r="FS14" i="9" s="1"/>
  <c r="I140" i="13"/>
  <c r="DN14" i="9" s="1" a="1"/>
  <c r="DN14" i="9" s="1"/>
  <c r="H72" i="13"/>
  <c r="CU12" i="9" s="1" a="1"/>
  <c r="CU12" i="9" s="1"/>
  <c r="J106" i="13"/>
  <c r="EG13" i="9" s="1" a="1"/>
  <c r="EG13" i="9" s="1"/>
  <c r="M72" i="13"/>
  <c r="GL12" i="9" s="1" a="1"/>
  <c r="GL12" i="9" s="1"/>
  <c r="D138" i="13"/>
  <c r="J102" i="10"/>
  <c r="V12" i="9"/>
  <c r="M110" i="10"/>
  <c r="GF18" i="9" s="1" a="1"/>
  <c r="GF18" i="9" s="1"/>
  <c r="U14" i="9"/>
  <c r="U13" i="9"/>
  <c r="FB12" i="9"/>
  <c r="FJ12" i="9" s="1"/>
  <c r="HG12" i="9"/>
  <c r="HO12" i="9" s="1"/>
  <c r="FU12" i="9"/>
  <c r="GC12" i="9" s="1"/>
  <c r="CD12" i="9"/>
  <c r="CL12" i="9" s="1"/>
  <c r="BK12" i="9"/>
  <c r="BS12" i="9" s="1"/>
  <c r="HZ12" i="9"/>
  <c r="IH12" i="9" s="1"/>
  <c r="GN13" i="9"/>
  <c r="GV13" i="9" s="1"/>
  <c r="J70" i="13"/>
  <c r="J68" i="13"/>
  <c r="F110" i="10"/>
  <c r="BC18" i="9" s="1" a="1"/>
  <c r="BC18" i="9" s="1"/>
  <c r="I102" i="10"/>
  <c r="K110" i="10"/>
  <c r="ET18" i="9" s="1" a="1"/>
  <c r="ET18" i="9" s="1"/>
  <c r="J110" i="10"/>
  <c r="EA18" i="9" s="1" a="1"/>
  <c r="EA18" i="9" s="1"/>
  <c r="I110" i="10"/>
  <c r="DH18" i="9" s="1" a="1"/>
  <c r="DH18" i="9" s="1"/>
  <c r="E110" i="10"/>
  <c r="AJ18" i="9" s="1" a="1"/>
  <c r="AJ18" i="9" s="1"/>
  <c r="P125" i="10"/>
  <c r="I122" i="10"/>
  <c r="D110" i="10"/>
  <c r="Q18" i="9" s="1" a="1"/>
  <c r="Q18" i="9" s="1"/>
  <c r="N110" i="10"/>
  <c r="GY18" i="9" s="1" a="1"/>
  <c r="GY18" i="9" s="1"/>
  <c r="P123" i="10"/>
  <c r="P124" i="10" s="1"/>
  <c r="M123" i="10"/>
  <c r="I123" i="10"/>
  <c r="I126" i="10" s="1" a="1"/>
  <c r="I126" i="10" s="1"/>
  <c r="H123" i="10"/>
  <c r="H126" i="10" s="1" a="1"/>
  <c r="H126" i="10" s="1"/>
  <c r="L123" i="10"/>
  <c r="L126" i="10" s="1" a="1"/>
  <c r="L126" i="10" s="1"/>
  <c r="J123" i="10"/>
  <c r="J126" i="10" s="1" a="1"/>
  <c r="J126" i="10" s="1"/>
  <c r="D123" i="10"/>
  <c r="D126" i="10" s="1" a="1"/>
  <c r="D126" i="10" s="1"/>
  <c r="O123" i="10"/>
  <c r="K123" i="10"/>
  <c r="K126" i="10" s="1" a="1"/>
  <c r="K126" i="10" s="1"/>
  <c r="G123" i="10"/>
  <c r="N123" i="10"/>
  <c r="B124" i="10"/>
  <c r="B125" i="10" s="1"/>
  <c r="B126" i="10" s="1"/>
  <c r="B127" i="10" s="1"/>
  <c r="B128" i="10" s="1"/>
  <c r="B129" i="10" s="1"/>
  <c r="B130" i="10" s="1"/>
  <c r="F123" i="10"/>
  <c r="F126" i="10" s="1" a="1"/>
  <c r="F126" i="10" s="1"/>
  <c r="E123" i="10"/>
  <c r="M125" i="10"/>
  <c r="M122" i="10"/>
  <c r="L110" i="10"/>
  <c r="FM18" i="9" s="1" a="1"/>
  <c r="FM18" i="9" s="1"/>
  <c r="G110" i="10"/>
  <c r="BV18" i="9" s="1" a="1"/>
  <c r="BV18" i="9" s="1"/>
  <c r="E125" i="10"/>
  <c r="E122" i="10"/>
  <c r="N122" i="10"/>
  <c r="L145" i="10"/>
  <c r="M145" i="10"/>
  <c r="P145" i="10"/>
  <c r="F145" i="10"/>
  <c r="E145" i="10"/>
  <c r="O145" i="10"/>
  <c r="G145" i="10"/>
  <c r="B146" i="10"/>
  <c r="H145" i="10"/>
  <c r="D145" i="10"/>
  <c r="N145" i="10"/>
  <c r="J145" i="10"/>
  <c r="K145" i="10"/>
  <c r="I145" i="10"/>
  <c r="K132" i="10"/>
  <c r="K139" i="10" s="1"/>
  <c r="O132" i="10"/>
  <c r="O139" i="10" s="1"/>
  <c r="B136" i="10"/>
  <c r="B137" i="10" s="1"/>
  <c r="G132" i="10"/>
  <c r="G139" i="10" s="1"/>
  <c r="F132" i="10"/>
  <c r="F139" i="10" s="1"/>
  <c r="M132" i="10"/>
  <c r="M139" i="10" s="1"/>
  <c r="B133" i="10"/>
  <c r="B134" i="10" s="1"/>
  <c r="B135" i="10" s="1"/>
  <c r="E132" i="10"/>
  <c r="E139" i="10" s="1"/>
  <c r="I132" i="10"/>
  <c r="D132" i="10"/>
  <c r="H132" i="10"/>
  <c r="L132" i="10"/>
  <c r="J132" i="10"/>
  <c r="J139" i="10" s="1"/>
  <c r="P132" i="10"/>
  <c r="P136" i="10" s="1"/>
  <c r="N132" i="10"/>
  <c r="N139" i="10" s="1"/>
  <c r="M102" i="10"/>
  <c r="E102" i="10"/>
  <c r="D122" i="10"/>
  <c r="J122" i="10"/>
  <c r="N125" i="10"/>
  <c r="D102" i="10"/>
  <c r="X17" i="9" s="1" a="1"/>
  <c r="X17" i="9" s="1"/>
  <c r="H122" i="10"/>
  <c r="G122" i="10"/>
  <c r="P88" i="10"/>
  <c r="H110" i="10"/>
  <c r="CO18" i="9" s="1" a="1"/>
  <c r="CO18" i="9" s="1"/>
  <c r="O110" i="10"/>
  <c r="HR18" i="9" s="1" a="1"/>
  <c r="HR18" i="9" s="1"/>
  <c r="B159" i="10" a="1"/>
  <c r="B159" i="10" s="1"/>
  <c r="A159" i="10" a="1"/>
  <c r="A159" i="10" s="1"/>
  <c r="L122" i="10"/>
  <c r="K122" i="10"/>
  <c r="G125" i="10"/>
  <c r="N102" i="10"/>
  <c r="F122" i="10"/>
  <c r="O125" i="10"/>
  <c r="O122" i="10"/>
  <c r="D104" i="13"/>
  <c r="D102" i="13"/>
  <c r="R173" i="10"/>
  <c r="I106" i="13" l="1"/>
  <c r="DN13" i="9" s="1" a="1"/>
  <c r="DN13" i="9" s="1"/>
  <c r="DP13" i="9" s="1"/>
  <c r="DX13" i="9" s="1"/>
  <c r="L106" i="13"/>
  <c r="FS13" i="9" s="1" a="1"/>
  <c r="FS13" i="9" s="1"/>
  <c r="O140" i="13"/>
  <c r="HX14" i="9" s="1" a="1"/>
  <c r="HX14" i="9" s="1"/>
  <c r="HZ14" i="9" s="1"/>
  <c r="G174" i="13"/>
  <c r="CB15" i="9" s="1" a="1"/>
  <c r="CB15" i="9" s="1"/>
  <c r="L174" i="13"/>
  <c r="FS15" i="9" s="1" a="1"/>
  <c r="FS15" i="9" s="1"/>
  <c r="M140" i="13"/>
  <c r="GL14" i="9" s="1" a="1"/>
  <c r="GL14" i="9" s="1"/>
  <c r="BG15" i="9"/>
  <c r="N106" i="13"/>
  <c r="HE13" i="9" s="1" a="1"/>
  <c r="HE13" i="9" s="1"/>
  <c r="HG13" i="9" s="1"/>
  <c r="HO13" i="9" s="1"/>
  <c r="F140" i="13"/>
  <c r="BI14" i="9" s="1" a="1"/>
  <c r="BI14" i="9" s="1"/>
  <c r="BK14" i="9" s="1"/>
  <c r="BS14" i="9" s="1"/>
  <c r="E106" i="13"/>
  <c r="AP13" i="9" s="1" a="1"/>
  <c r="AP13" i="9" s="1"/>
  <c r="AR13" i="9" s="1"/>
  <c r="AZ13" i="9" s="1"/>
  <c r="K106" i="13"/>
  <c r="EZ13" i="9" s="1" a="1"/>
  <c r="EZ13" i="9" s="1"/>
  <c r="FB13" i="9" s="1"/>
  <c r="FJ13" i="9" s="1"/>
  <c r="I26" i="25" a="1"/>
  <c r="I26" i="25" s="1"/>
  <c r="CT14" i="9"/>
  <c r="CS14" i="9"/>
  <c r="N26" i="25" a="1"/>
  <c r="N26" i="25" s="1"/>
  <c r="GK14" i="9"/>
  <c r="V14" i="9"/>
  <c r="F106" i="13"/>
  <c r="BI13" i="9" s="1" a="1"/>
  <c r="BI13" i="9" s="1"/>
  <c r="BK13" i="9" s="1"/>
  <c r="BS13" i="9" s="1"/>
  <c r="P26" i="25" a="1"/>
  <c r="P26" i="25" s="1"/>
  <c r="HW14" i="9"/>
  <c r="HV14" i="9"/>
  <c r="G26" i="25" a="1"/>
  <c r="G26" i="25" s="1"/>
  <c r="BH14" i="9"/>
  <c r="BG14" i="9"/>
  <c r="Q24" i="25"/>
  <c r="F25" i="25" a="1"/>
  <c r="F25" i="25" s="1"/>
  <c r="AO13" i="9"/>
  <c r="L25" i="25" a="1"/>
  <c r="L25" i="25" s="1"/>
  <c r="EY13" i="9"/>
  <c r="G25" i="25" a="1"/>
  <c r="G25" i="25" s="1"/>
  <c r="BH13" i="9"/>
  <c r="M25" i="25" a="1"/>
  <c r="M25" i="25" s="1"/>
  <c r="FR13" i="9"/>
  <c r="J25" i="25" a="1"/>
  <c r="J25" i="25" s="1"/>
  <c r="DM13" i="9"/>
  <c r="O25" i="25" a="1"/>
  <c r="O25" i="25" s="1"/>
  <c r="HD13" i="9"/>
  <c r="AN13" i="9"/>
  <c r="M206" i="13"/>
  <c r="GI16" i="9" a="1"/>
  <c r="GI16" i="9" s="1"/>
  <c r="K206" i="13"/>
  <c r="EW16" i="9" a="1"/>
  <c r="EW16" i="9" s="1"/>
  <c r="G206" i="13"/>
  <c r="BY16" i="9" a="1"/>
  <c r="BY16" i="9" s="1"/>
  <c r="H204" i="13"/>
  <c r="CR16" i="9" a="1"/>
  <c r="CR16" i="9" s="1"/>
  <c r="I204" i="13"/>
  <c r="DK16" i="9" a="1"/>
  <c r="DK16" i="9" s="1"/>
  <c r="J206" i="13"/>
  <c r="ED16" i="9" a="1"/>
  <c r="ED16" i="9" s="1"/>
  <c r="H174" i="13"/>
  <c r="CU15" i="9" s="1" a="1"/>
  <c r="CU15" i="9" s="1"/>
  <c r="J174" i="13"/>
  <c r="EG15" i="9" s="1" a="1"/>
  <c r="EG15" i="9" s="1"/>
  <c r="CS15" i="9"/>
  <c r="EE15" i="9"/>
  <c r="N201" i="13" a="1"/>
  <c r="N201" i="13" s="1"/>
  <c r="N202" i="13" s="1"/>
  <c r="N203" i="13" s="1"/>
  <c r="O199" i="13" a="1"/>
  <c r="O199" i="13" s="1"/>
  <c r="O200" i="13" s="1"/>
  <c r="O203" i="13" s="1"/>
  <c r="F174" i="13"/>
  <c r="BI15" i="9" s="1" a="1"/>
  <c r="BI15" i="9" s="1"/>
  <c r="BK15" i="9" s="1"/>
  <c r="BS15" i="9" s="1"/>
  <c r="FQ15" i="9"/>
  <c r="BZ15" i="9"/>
  <c r="E172" i="13"/>
  <c r="AM15" i="9" a="1"/>
  <c r="AM15" i="9" s="1"/>
  <c r="AN15" i="9" s="1"/>
  <c r="O170" i="13"/>
  <c r="HU15" i="9" a="1"/>
  <c r="HU15" i="9" s="1"/>
  <c r="HV15" i="9" s="1"/>
  <c r="G27" i="25" a="1"/>
  <c r="G27" i="25" s="1"/>
  <c r="BH15" i="9"/>
  <c r="M170" i="13"/>
  <c r="GI15" i="9" a="1"/>
  <c r="GI15" i="9" s="1"/>
  <c r="K170" i="13"/>
  <c r="EW15" i="9" a="1"/>
  <c r="EW15" i="9" s="1"/>
  <c r="EX15" i="9" s="1"/>
  <c r="I170" i="13"/>
  <c r="DK15" i="9" a="1"/>
  <c r="DK15" i="9" s="1"/>
  <c r="DL15" i="9" s="1"/>
  <c r="K27" i="25" a="1"/>
  <c r="K27" i="25" s="1"/>
  <c r="EF15" i="9"/>
  <c r="N170" i="13"/>
  <c r="HB15" i="9" a="1"/>
  <c r="HB15" i="9" s="1"/>
  <c r="HC15" i="9" s="1"/>
  <c r="I27" i="25" a="1"/>
  <c r="I27" i="25" s="1"/>
  <c r="CT15" i="9"/>
  <c r="D170" i="13"/>
  <c r="T15" i="9" a="1"/>
  <c r="T15" i="9" s="1"/>
  <c r="E27" i="25" s="1" a="1"/>
  <c r="E27" i="25" s="1"/>
  <c r="H27" i="25" a="1"/>
  <c r="H27" i="25" s="1"/>
  <c r="CA15" i="9"/>
  <c r="M27" i="25" a="1"/>
  <c r="M27" i="25" s="1"/>
  <c r="FR15" i="9"/>
  <c r="G140" i="13"/>
  <c r="CB14" i="9" s="1" a="1"/>
  <c r="CB14" i="9" s="1"/>
  <c r="CD14" i="9" s="1"/>
  <c r="CL14" i="9" s="1"/>
  <c r="O106" i="13"/>
  <c r="HX13" i="9" s="1" a="1"/>
  <c r="HX13" i="9" s="1"/>
  <c r="HZ13" i="9" s="1"/>
  <c r="IH13" i="9" s="1"/>
  <c r="E140" i="13"/>
  <c r="AP14" i="9" s="1" a="1"/>
  <c r="AP14" i="9" s="1"/>
  <c r="AR14" i="9" s="1"/>
  <c r="AZ14" i="9" s="1"/>
  <c r="H235" i="13" a="1"/>
  <c r="H235" i="13" s="1"/>
  <c r="H236" i="13" s="1"/>
  <c r="H237" i="13" s="1"/>
  <c r="D140" i="13"/>
  <c r="W14" i="9" s="1" a="1"/>
  <c r="W14" i="9" s="1"/>
  <c r="Y14" i="9" s="1"/>
  <c r="AG14" i="9" s="1"/>
  <c r="F199" i="13" a="1"/>
  <c r="F199" i="13" s="1"/>
  <c r="F200" i="13" s="1"/>
  <c r="F203" i="13" s="1"/>
  <c r="G233" i="13" a="1"/>
  <c r="G233" i="13" s="1"/>
  <c r="G234" i="13" s="1"/>
  <c r="G237" i="13" s="1"/>
  <c r="F233" i="13" a="1"/>
  <c r="F233" i="13" s="1"/>
  <c r="F234" i="13" s="1"/>
  <c r="F237" i="13" s="1"/>
  <c r="O233" i="13" a="1"/>
  <c r="O233" i="13" s="1"/>
  <c r="O234" i="13" s="1"/>
  <c r="O237" i="13" s="1"/>
  <c r="D116" i="10"/>
  <c r="X18" i="9" s="1" a="1"/>
  <c r="X18" i="9" s="1"/>
  <c r="E116" i="10"/>
  <c r="E256" i="13" s="1" a="1"/>
  <c r="E256" i="13" s="1"/>
  <c r="E269" i="13" s="1" a="1"/>
  <c r="E269" i="13" s="1"/>
  <c r="E270" i="13" s="1"/>
  <c r="L201" i="13" a="1"/>
  <c r="L201" i="13" s="1"/>
  <c r="L202" i="13" s="1"/>
  <c r="L203" i="13" s="1"/>
  <c r="L235" i="13" a="1"/>
  <c r="L235" i="13" s="1"/>
  <c r="L236" i="13" s="1"/>
  <c r="L237" i="13" s="1"/>
  <c r="GH16" i="9" a="1"/>
  <c r="GH16" i="9" s="1"/>
  <c r="P28" i="27" a="1"/>
  <c r="P28" i="27" s="1"/>
  <c r="HT16" i="9" a="1"/>
  <c r="HT16" i="9" s="1"/>
  <c r="O28" i="27" a="1"/>
  <c r="O28" i="27" s="1"/>
  <c r="N222" i="13" a="1"/>
  <c r="N222" i="13" s="1"/>
  <c r="N235" i="13" s="1" a="1"/>
  <c r="N235" i="13" s="1"/>
  <c r="N236" i="13" s="1"/>
  <c r="HF17" i="9" a="1"/>
  <c r="HF17" i="9" s="1"/>
  <c r="GZ17" i="9" a="1"/>
  <c r="GZ17" i="9" s="1"/>
  <c r="O29" i="27" s="1" a="1"/>
  <c r="O29" i="27" s="1"/>
  <c r="M222" i="13" a="1"/>
  <c r="M222" i="13" s="1"/>
  <c r="M235" i="13" s="1" a="1"/>
  <c r="M235" i="13" s="1"/>
  <c r="M236" i="13" s="1"/>
  <c r="GM17" i="9" a="1"/>
  <c r="GM17" i="9" s="1"/>
  <c r="GG17" i="9" a="1"/>
  <c r="GG17" i="9" s="1"/>
  <c r="N29" i="27" s="1" a="1"/>
  <c r="N29" i="27" s="1"/>
  <c r="BX16" i="9" a="1"/>
  <c r="BX16" i="9" s="1"/>
  <c r="EC16" i="9" a="1"/>
  <c r="EC16" i="9" s="1"/>
  <c r="DJ16" i="9" a="1"/>
  <c r="DJ16" i="9" s="1"/>
  <c r="FO16" i="9" a="1"/>
  <c r="FO16" i="9" s="1"/>
  <c r="CQ16" i="9" a="1"/>
  <c r="CQ16" i="9" s="1"/>
  <c r="EV16" i="9" a="1"/>
  <c r="EV16" i="9" s="1"/>
  <c r="K222" i="13" a="1"/>
  <c r="K222" i="13" s="1"/>
  <c r="FA17" i="9" a="1"/>
  <c r="FA17" i="9" s="1"/>
  <c r="EU17" i="9" a="1"/>
  <c r="EU17" i="9" s="1"/>
  <c r="L29" i="27" s="1" a="1"/>
  <c r="L29" i="27" s="1"/>
  <c r="J222" i="13" a="1"/>
  <c r="J222" i="13" s="1"/>
  <c r="J235" i="13" s="1" a="1"/>
  <c r="J235" i="13" s="1"/>
  <c r="J236" i="13" s="1"/>
  <c r="EH17" i="9" a="1"/>
  <c r="EH17" i="9" s="1"/>
  <c r="EB17" i="9" a="1"/>
  <c r="EB17" i="9" s="1"/>
  <c r="K29" i="27" s="1" a="1"/>
  <c r="K29" i="27" s="1"/>
  <c r="G116" i="10"/>
  <c r="G256" i="13" s="1" a="1"/>
  <c r="G256" i="13" s="1"/>
  <c r="I222" i="13" a="1"/>
  <c r="I222" i="13" s="1"/>
  <c r="I235" i="13" s="1" a="1"/>
  <c r="I235" i="13" s="1"/>
  <c r="I236" i="13" s="1"/>
  <c r="DI17" i="9" a="1"/>
  <c r="DI17" i="9" s="1"/>
  <c r="J29" i="27" s="1" a="1"/>
  <c r="J29" i="27" s="1"/>
  <c r="DO17" i="9" a="1"/>
  <c r="DO17" i="9" s="1"/>
  <c r="G28" i="27" a="1"/>
  <c r="G28" i="27" s="1"/>
  <c r="AL16" i="9" a="1"/>
  <c r="AL16" i="9" s="1"/>
  <c r="F28" i="27" a="1"/>
  <c r="F28" i="27" s="1"/>
  <c r="E199" i="13" a="1"/>
  <c r="E199" i="13" s="1"/>
  <c r="E200" i="13" s="1"/>
  <c r="E201" i="13" a="1"/>
  <c r="E201" i="13" s="1"/>
  <c r="E202" i="13" s="1"/>
  <c r="E222" i="13" a="1"/>
  <c r="E222" i="13" s="1"/>
  <c r="E233" i="13" s="1" a="1"/>
  <c r="E233" i="13" s="1"/>
  <c r="E234" i="13" s="1"/>
  <c r="AQ17" i="9" a="1"/>
  <c r="AQ17" i="9" s="1"/>
  <c r="AK17" i="9" a="1"/>
  <c r="AK17" i="9" s="1"/>
  <c r="F29" i="27" s="1" a="1"/>
  <c r="F29" i="27" s="1"/>
  <c r="D222" i="13" a="1"/>
  <c r="D222" i="13" s="1"/>
  <c r="D235" i="13" s="1" a="1"/>
  <c r="D235" i="13" s="1"/>
  <c r="D236" i="13" s="1"/>
  <c r="R17" i="9" a="1"/>
  <c r="R17" i="9" s="1"/>
  <c r="E29" i="27" s="1" a="1"/>
  <c r="E29" i="27" s="1"/>
  <c r="R18" i="9" a="1"/>
  <c r="R18" i="9" s="1"/>
  <c r="E30" i="27" s="1" a="1"/>
  <c r="E30" i="27" s="1"/>
  <c r="D199" i="13" a="1"/>
  <c r="D199" i="13" s="1"/>
  <c r="D200" i="13" s="1"/>
  <c r="D201" i="13" a="1"/>
  <c r="D201" i="13" s="1"/>
  <c r="D202" i="13" s="1"/>
  <c r="I116" i="10"/>
  <c r="M172" i="13"/>
  <c r="F116" i="10"/>
  <c r="N126" i="10" a="1"/>
  <c r="N126" i="10" s="1"/>
  <c r="N129" i="10" s="1"/>
  <c r="D196" i="13" a="1"/>
  <c r="D196" i="13" s="1"/>
  <c r="D197" i="13" s="1"/>
  <c r="D198" i="13" s="1"/>
  <c r="N116" i="10"/>
  <c r="M116" i="10"/>
  <c r="H116" i="10"/>
  <c r="K116" i="10"/>
  <c r="M126" i="10" a="1"/>
  <c r="M126" i="10" s="1"/>
  <c r="M127" i="10" s="1"/>
  <c r="M288" i="13" s="1" a="1"/>
  <c r="M288" i="13" s="1"/>
  <c r="K232" i="13"/>
  <c r="L116" i="10"/>
  <c r="E227" i="13"/>
  <c r="F232" i="13"/>
  <c r="G227" i="13"/>
  <c r="N198" i="13"/>
  <c r="J227" i="13"/>
  <c r="I227" i="13"/>
  <c r="F198" i="13"/>
  <c r="BE16" i="9" s="1" a="1"/>
  <c r="BE16" i="9" s="1"/>
  <c r="M227" i="13"/>
  <c r="L227" i="13"/>
  <c r="FO17" i="9" s="1" a="1"/>
  <c r="FO17" i="9" s="1"/>
  <c r="E126" i="10" a="1"/>
  <c r="E126" i="10" s="1"/>
  <c r="E129" i="10" s="1"/>
  <c r="O227" i="13"/>
  <c r="D193" i="13"/>
  <c r="H227" i="13"/>
  <c r="H127" i="10"/>
  <c r="H288" i="13" s="1" a="1"/>
  <c r="H288" i="13" s="1"/>
  <c r="H128" i="10"/>
  <c r="H289" i="13" s="1" a="1"/>
  <c r="H289" i="13" s="1"/>
  <c r="H129" i="10"/>
  <c r="L128" i="10"/>
  <c r="L289" i="13" s="1" a="1"/>
  <c r="L289" i="13" s="1"/>
  <c r="L127" i="10"/>
  <c r="L288" i="13" s="1" a="1"/>
  <c r="L288" i="13" s="1"/>
  <c r="L129" i="10"/>
  <c r="I129" i="10"/>
  <c r="I127" i="10"/>
  <c r="I288" i="13" s="1" a="1"/>
  <c r="I288" i="13" s="1"/>
  <c r="I128" i="10"/>
  <c r="I289" i="13" s="1" a="1"/>
  <c r="I289" i="13" s="1"/>
  <c r="F128" i="10"/>
  <c r="F289" i="13" s="1" a="1"/>
  <c r="F289" i="13" s="1"/>
  <c r="F129" i="10"/>
  <c r="F127" i="10"/>
  <c r="F288" i="13" s="1" a="1"/>
  <c r="F288" i="13" s="1"/>
  <c r="K127" i="10"/>
  <c r="K288" i="13" s="1" a="1"/>
  <c r="K288" i="13" s="1"/>
  <c r="K128" i="10"/>
  <c r="K289" i="13" s="1" a="1"/>
  <c r="K289" i="13" s="1"/>
  <c r="K129" i="10"/>
  <c r="P115" i="10"/>
  <c r="D128" i="10"/>
  <c r="D127" i="10"/>
  <c r="D129" i="10"/>
  <c r="J127" i="10"/>
  <c r="J288" i="13" s="1" a="1"/>
  <c r="J288" i="13" s="1"/>
  <c r="J128" i="10"/>
  <c r="J289" i="13" s="1" a="1"/>
  <c r="J289" i="13" s="1"/>
  <c r="J129" i="10"/>
  <c r="O126" i="10" a="1"/>
  <c r="O126" i="10" s="1"/>
  <c r="M232" i="13"/>
  <c r="E113" i="10"/>
  <c r="E254" i="13" s="1" a="1"/>
  <c r="E254" i="13" s="1"/>
  <c r="E114" i="10"/>
  <c r="E255" i="13" s="1" a="1"/>
  <c r="E255" i="13" s="1"/>
  <c r="N113" i="10"/>
  <c r="N254" i="13" s="1" a="1"/>
  <c r="N254" i="13" s="1"/>
  <c r="N114" i="10"/>
  <c r="N255" i="13" s="1" a="1"/>
  <c r="N255" i="13" s="1"/>
  <c r="J113" i="10"/>
  <c r="J254" i="13" s="1" a="1"/>
  <c r="J254" i="13" s="1"/>
  <c r="J114" i="10"/>
  <c r="J255" i="13" s="1" a="1"/>
  <c r="J255" i="13" s="1"/>
  <c r="P126" i="10" a="1"/>
  <c r="P126" i="10" s="1"/>
  <c r="F113" i="10"/>
  <c r="F254" i="13" s="1" a="1"/>
  <c r="F254" i="13" s="1"/>
  <c r="F114" i="10"/>
  <c r="F255" i="13" s="1" a="1"/>
  <c r="F255" i="13" s="1"/>
  <c r="J232" i="13"/>
  <c r="E232" i="13"/>
  <c r="L113" i="10"/>
  <c r="L254" i="13" s="1" a="1"/>
  <c r="L254" i="13" s="1"/>
  <c r="L114" i="10"/>
  <c r="L255" i="13" s="1" a="1"/>
  <c r="L255" i="13" s="1"/>
  <c r="P99" i="10"/>
  <c r="P100" i="10"/>
  <c r="D113" i="10"/>
  <c r="D114" i="10"/>
  <c r="K113" i="10"/>
  <c r="K254" i="13" s="1" a="1"/>
  <c r="K254" i="13" s="1"/>
  <c r="K114" i="10"/>
  <c r="K255" i="13" s="1" a="1"/>
  <c r="K255" i="13" s="1"/>
  <c r="G126" i="10" a="1"/>
  <c r="G126" i="10" s="1"/>
  <c r="G130" i="10" s="1"/>
  <c r="G113" i="10"/>
  <c r="G254" i="13" s="1" a="1"/>
  <c r="G254" i="13" s="1"/>
  <c r="G114" i="10"/>
  <c r="G255" i="13" s="1" a="1"/>
  <c r="G255" i="13" s="1"/>
  <c r="N227" i="13"/>
  <c r="G232" i="13"/>
  <c r="H113" i="10"/>
  <c r="H254" i="13" s="1" a="1"/>
  <c r="H254" i="13" s="1"/>
  <c r="H114" i="10"/>
  <c r="H255" i="13" s="1" a="1"/>
  <c r="H255" i="13" s="1"/>
  <c r="H232" i="13"/>
  <c r="F227" i="13"/>
  <c r="M113" i="10"/>
  <c r="M254" i="13" s="1" a="1"/>
  <c r="M254" i="13" s="1"/>
  <c r="M114" i="10"/>
  <c r="M255" i="13" s="1" a="1"/>
  <c r="M255" i="13" s="1"/>
  <c r="D223" i="13" a="1"/>
  <c r="D223" i="13" s="1"/>
  <c r="D224" i="13" s="1"/>
  <c r="D225" i="13" a="1"/>
  <c r="D225" i="13" s="1"/>
  <c r="D226" i="13" s="1"/>
  <c r="D228" i="13" a="1"/>
  <c r="D228" i="13" s="1"/>
  <c r="D229" i="13" s="1"/>
  <c r="D230" i="13" a="1"/>
  <c r="D230" i="13" s="1"/>
  <c r="D231" i="13" s="1"/>
  <c r="I230" i="13" a="1"/>
  <c r="I230" i="13" s="1"/>
  <c r="I231" i="13" s="1"/>
  <c r="I228" i="13" a="1"/>
  <c r="I228" i="13" s="1"/>
  <c r="I229" i="13" s="1"/>
  <c r="N193" i="13"/>
  <c r="N232" i="13"/>
  <c r="I113" i="10"/>
  <c r="I254" i="13" s="1" a="1"/>
  <c r="I254" i="13" s="1"/>
  <c r="I114" i="10"/>
  <c r="I255" i="13" s="1" a="1"/>
  <c r="I255" i="13" s="1"/>
  <c r="O232" i="13"/>
  <c r="K223" i="13" a="1"/>
  <c r="K223" i="13" s="1"/>
  <c r="K224" i="13" s="1"/>
  <c r="K225" i="13" a="1"/>
  <c r="K225" i="13" s="1"/>
  <c r="K226" i="13" s="1"/>
  <c r="P101" i="10"/>
  <c r="O113" i="10"/>
  <c r="O254" i="13" s="1" a="1"/>
  <c r="O254" i="13" s="1"/>
  <c r="O114" i="10"/>
  <c r="O255" i="13" s="1" a="1"/>
  <c r="O255" i="13" s="1"/>
  <c r="K204" i="13"/>
  <c r="M204" i="13"/>
  <c r="I172" i="13"/>
  <c r="I206" i="13"/>
  <c r="E170" i="13"/>
  <c r="K172" i="13"/>
  <c r="K174" i="13" s="1"/>
  <c r="EZ15" i="9" s="1" a="1"/>
  <c r="EZ15" i="9" s="1"/>
  <c r="O172" i="13"/>
  <c r="N172" i="13"/>
  <c r="J204" i="13"/>
  <c r="G204" i="13"/>
  <c r="D172" i="13"/>
  <c r="H206" i="13"/>
  <c r="D106" i="13"/>
  <c r="J72" i="13"/>
  <c r="J116" i="10"/>
  <c r="HH12" i="9" a="1"/>
  <c r="HH12" i="9" s="1"/>
  <c r="HP12" i="9" s="1"/>
  <c r="P25" i="24" s="1" a="1"/>
  <c r="P25" i="24" s="1"/>
  <c r="BL12" i="9" a="1"/>
  <c r="BL12" i="9" s="1"/>
  <c r="BT12" i="9" s="1"/>
  <c r="H25" i="24" s="1" a="1"/>
  <c r="H25" i="24" s="1"/>
  <c r="FV12" i="9" a="1"/>
  <c r="FV12" i="9" s="1"/>
  <c r="GD12" i="9" s="1"/>
  <c r="N25" i="24" s="1" a="1"/>
  <c r="N25" i="24" s="1"/>
  <c r="GO13" i="9" a="1"/>
  <c r="GO13" i="9" s="1"/>
  <c r="GW13" i="9" s="1"/>
  <c r="O26" i="24" s="1" a="1"/>
  <c r="O26" i="24" s="1"/>
  <c r="FC12" i="9" a="1"/>
  <c r="FC12" i="9" s="1"/>
  <c r="FK12" i="9" s="1"/>
  <c r="M25" i="24" s="1" a="1"/>
  <c r="M25" i="24" s="1"/>
  <c r="CX13" i="9" a="1"/>
  <c r="CX13" i="9" s="1"/>
  <c r="DF13" i="9" s="1"/>
  <c r="J26" i="24" s="1" a="1"/>
  <c r="J26" i="24" s="1"/>
  <c r="IA12" i="9" a="1"/>
  <c r="IA12" i="9" s="1"/>
  <c r="II12" i="9" s="1"/>
  <c r="Q25" i="24" s="1" a="1"/>
  <c r="Q25" i="24" s="1"/>
  <c r="CE12" i="9" a="1"/>
  <c r="CE12" i="9" s="1"/>
  <c r="CM12" i="9" s="1"/>
  <c r="I25" i="24" s="1" a="1"/>
  <c r="I25" i="24" s="1"/>
  <c r="AS12" i="9" a="1"/>
  <c r="AS12" i="9" s="1"/>
  <c r="BA12" i="9" s="1"/>
  <c r="G25" i="24" s="1" a="1"/>
  <c r="G25" i="24" s="1"/>
  <c r="V13" i="9"/>
  <c r="DQ12" i="9" a="1"/>
  <c r="DQ12" i="9" s="1"/>
  <c r="DY12" i="9" s="1"/>
  <c r="K25" i="24" s="1" a="1"/>
  <c r="K25" i="24" s="1"/>
  <c r="EI14" i="9"/>
  <c r="EQ14" i="9" s="1"/>
  <c r="CW14" i="9"/>
  <c r="DE14" i="9" s="1"/>
  <c r="CW12" i="9"/>
  <c r="DE12" i="9" s="1"/>
  <c r="DP14" i="9"/>
  <c r="DX14" i="9" s="1"/>
  <c r="CD13" i="9"/>
  <c r="CL13" i="9" s="1"/>
  <c r="GN14" i="9"/>
  <c r="GV14" i="9" s="1"/>
  <c r="FB14" i="9"/>
  <c r="FJ14" i="9" s="1"/>
  <c r="FU14" i="9"/>
  <c r="GC14" i="9" s="1"/>
  <c r="EI13" i="9"/>
  <c r="EQ13" i="9" s="1"/>
  <c r="GN12" i="9"/>
  <c r="GV12" i="9" s="1"/>
  <c r="FU13" i="9"/>
  <c r="GC13" i="9" s="1"/>
  <c r="HG14" i="9"/>
  <c r="HO14" i="9" s="1"/>
  <c r="W12" i="9" a="1"/>
  <c r="W12" i="9" s="1"/>
  <c r="Y12" i="9" s="1"/>
  <c r="AG12" i="9" s="1"/>
  <c r="M29" i="27" a="1"/>
  <c r="M29" i="27" s="1"/>
  <c r="P29" i="27" a="1"/>
  <c r="P29" i="27" s="1"/>
  <c r="G29" i="27" a="1"/>
  <c r="G29" i="27" s="1"/>
  <c r="I29" i="27" a="1"/>
  <c r="I29" i="27" s="1"/>
  <c r="H29" i="27" a="1"/>
  <c r="H29" i="27" s="1"/>
  <c r="H124" i="10"/>
  <c r="CO19" i="9" s="1" a="1"/>
  <c r="CO19" i="9" s="1"/>
  <c r="O124" i="10"/>
  <c r="HR19" i="9" s="1" a="1"/>
  <c r="HR19" i="9" s="1"/>
  <c r="K124" i="10"/>
  <c r="ET19" i="9" s="1" a="1"/>
  <c r="ET19" i="9" s="1"/>
  <c r="F124" i="10"/>
  <c r="BC19" i="9" s="1" a="1"/>
  <c r="BC19" i="9" s="1"/>
  <c r="L124" i="10"/>
  <c r="FM19" i="9" s="1" a="1"/>
  <c r="FM19" i="9" s="1"/>
  <c r="F130" i="10"/>
  <c r="J124" i="10"/>
  <c r="EA19" i="9" s="1" a="1"/>
  <c r="EA19" i="9" s="1"/>
  <c r="L130" i="10"/>
  <c r="I130" i="10"/>
  <c r="B173" i="10" a="1"/>
  <c r="B173" i="10" s="1"/>
  <c r="A173" i="10" a="1"/>
  <c r="A173" i="10" s="1"/>
  <c r="P139" i="10"/>
  <c r="P102" i="10"/>
  <c r="L136" i="10"/>
  <c r="G136" i="10"/>
  <c r="O116" i="10"/>
  <c r="H136" i="10"/>
  <c r="H137" i="10"/>
  <c r="D137" i="10"/>
  <c r="K137" i="10"/>
  <c r="K140" i="10" s="1" a="1"/>
  <c r="K140" i="10" s="1"/>
  <c r="O137" i="10"/>
  <c r="O140" i="10" s="1" a="1"/>
  <c r="O140" i="10" s="1"/>
  <c r="G137" i="10"/>
  <c r="G140" i="10" s="1" a="1"/>
  <c r="G140" i="10" s="1"/>
  <c r="I137" i="10"/>
  <c r="N137" i="10"/>
  <c r="N140" i="10" s="1" a="1"/>
  <c r="N140" i="10" s="1"/>
  <c r="J137" i="10"/>
  <c r="J140" i="10" s="1" a="1"/>
  <c r="J140" i="10" s="1"/>
  <c r="F137" i="10"/>
  <c r="F140" i="10" s="1" a="1"/>
  <c r="F140" i="10" s="1"/>
  <c r="B138" i="10"/>
  <c r="B139" i="10" s="1"/>
  <c r="B140" i="10" s="1"/>
  <c r="B141" i="10" s="1"/>
  <c r="B142" i="10" s="1"/>
  <c r="B143" i="10" s="1"/>
  <c r="B144" i="10" s="1"/>
  <c r="M137" i="10"/>
  <c r="M140" i="10" s="1" a="1"/>
  <c r="M140" i="10" s="1"/>
  <c r="E137" i="10"/>
  <c r="E140" i="10" s="1" a="1"/>
  <c r="E140" i="10" s="1"/>
  <c r="P137" i="10"/>
  <c r="P138" i="10" s="1"/>
  <c r="L137" i="10"/>
  <c r="D136" i="10"/>
  <c r="O136" i="10"/>
  <c r="P146" i="10"/>
  <c r="P150" i="10" s="1"/>
  <c r="J146" i="10"/>
  <c r="J153" i="10" s="1"/>
  <c r="E146" i="10"/>
  <c r="E153" i="10" s="1"/>
  <c r="H146" i="10"/>
  <c r="H153" i="10" s="1"/>
  <c r="B147" i="10"/>
  <c r="B148" i="10" s="1"/>
  <c r="B149" i="10" s="1"/>
  <c r="D146" i="10"/>
  <c r="I146" i="10"/>
  <c r="B150" i="10"/>
  <c r="B151" i="10" s="1"/>
  <c r="N146" i="10"/>
  <c r="N153" i="10" s="1"/>
  <c r="M146" i="10"/>
  <c r="M153" i="10" s="1"/>
  <c r="G146" i="10"/>
  <c r="K146" i="10"/>
  <c r="K153" i="10" s="1"/>
  <c r="O146" i="10"/>
  <c r="O153" i="10" s="1"/>
  <c r="L146" i="10"/>
  <c r="F146" i="10"/>
  <c r="F153" i="10" s="1"/>
  <c r="D130" i="10"/>
  <c r="X19" i="9" s="1" a="1"/>
  <c r="X19" i="9" s="1"/>
  <c r="H130" i="10"/>
  <c r="I136" i="10"/>
  <c r="K136" i="10"/>
  <c r="N124" i="10"/>
  <c r="GY19" i="9" s="1" a="1"/>
  <c r="GY19" i="9" s="1"/>
  <c r="I124" i="10"/>
  <c r="DH19" i="9" s="1" a="1"/>
  <c r="DH19" i="9" s="1"/>
  <c r="L139" i="10"/>
  <c r="E136" i="10"/>
  <c r="G124" i="10"/>
  <c r="BV19" i="9" s="1" a="1"/>
  <c r="BV19" i="9" s="1"/>
  <c r="D124" i="10"/>
  <c r="Q19" i="9" s="1" a="1"/>
  <c r="Q19" i="9" s="1"/>
  <c r="N136" i="10"/>
  <c r="E124" i="10"/>
  <c r="AJ19" i="9" s="1" a="1"/>
  <c r="AJ19" i="9" s="1"/>
  <c r="H139" i="10"/>
  <c r="M124" i="10"/>
  <c r="GF19" i="9" s="1" a="1"/>
  <c r="GF19" i="9" s="1"/>
  <c r="D139" i="10"/>
  <c r="M159" i="10"/>
  <c r="J159" i="10"/>
  <c r="G159" i="10"/>
  <c r="E159" i="10"/>
  <c r="O159" i="10"/>
  <c r="P159" i="10"/>
  <c r="H159" i="10"/>
  <c r="F159" i="10"/>
  <c r="K159" i="10"/>
  <c r="B160" i="10"/>
  <c r="I159" i="10"/>
  <c r="N159" i="10"/>
  <c r="L159" i="10"/>
  <c r="D159" i="10"/>
  <c r="M136" i="10"/>
  <c r="I139" i="10"/>
  <c r="J136" i="10"/>
  <c r="F136" i="10"/>
  <c r="R187" i="10"/>
  <c r="M208" i="13" l="1"/>
  <c r="GL16" i="9" s="1" a="1"/>
  <c r="GL16" i="9" s="1"/>
  <c r="IH14" i="9"/>
  <c r="IL14" i="9" s="1"/>
  <c r="IM14" i="9" s="1"/>
  <c r="IA14" i="9" a="1"/>
  <c r="IA14" i="9" s="1"/>
  <c r="EX16" i="9"/>
  <c r="J208" i="13"/>
  <c r="EG16" i="9" s="1" a="1"/>
  <c r="EG16" i="9" s="1"/>
  <c r="K208" i="13"/>
  <c r="EZ16" i="9" s="1" a="1"/>
  <c r="EZ16" i="9" s="1"/>
  <c r="Q26" i="25"/>
  <c r="G208" i="13"/>
  <c r="CB16" i="9" s="1" a="1"/>
  <c r="CB16" i="9" s="1"/>
  <c r="Q25" i="25"/>
  <c r="I208" i="13"/>
  <c r="DN16" i="9" s="1" a="1"/>
  <c r="DN16" i="9" s="1"/>
  <c r="BZ16" i="9"/>
  <c r="CS16" i="9"/>
  <c r="DL16" i="9"/>
  <c r="EE16" i="9"/>
  <c r="GJ16" i="9"/>
  <c r="I28" i="25" a="1"/>
  <c r="I28" i="25" s="1"/>
  <c r="CT16" i="9"/>
  <c r="H28" i="25" a="1"/>
  <c r="H28" i="25" s="1"/>
  <c r="CA16" i="9"/>
  <c r="H208" i="13"/>
  <c r="CU16" i="9" s="1" a="1"/>
  <c r="CU16" i="9" s="1"/>
  <c r="K28" i="25" a="1"/>
  <c r="K28" i="25" s="1"/>
  <c r="EF16" i="9"/>
  <c r="L28" i="25" a="1"/>
  <c r="L28" i="25" s="1"/>
  <c r="EY16" i="9"/>
  <c r="F206" i="13"/>
  <c r="BF16" i="9" a="1"/>
  <c r="BF16" i="9" s="1"/>
  <c r="O204" i="13"/>
  <c r="HU16" i="9" a="1"/>
  <c r="HU16" i="9" s="1"/>
  <c r="HV16" i="9" s="1"/>
  <c r="J28" i="25" a="1"/>
  <c r="J28" i="25" s="1"/>
  <c r="DM16" i="9"/>
  <c r="N28" i="25" a="1"/>
  <c r="N28" i="25" s="1"/>
  <c r="GK16" i="9"/>
  <c r="L206" i="13"/>
  <c r="FP16" i="9" a="1"/>
  <c r="FP16" i="9" s="1"/>
  <c r="N204" i="13"/>
  <c r="HB16" i="9" a="1"/>
  <c r="HB16" i="9" s="1"/>
  <c r="E174" i="13"/>
  <c r="AP15" i="9" s="1" a="1"/>
  <c r="AP15" i="9" s="1"/>
  <c r="AR15" i="9" s="1"/>
  <c r="AZ15" i="9" s="1"/>
  <c r="O174" i="13"/>
  <c r="HX15" i="9" s="1" a="1"/>
  <c r="HX15" i="9" s="1"/>
  <c r="HZ15" i="9" s="1"/>
  <c r="IH15" i="9" s="1"/>
  <c r="N174" i="13"/>
  <c r="HE15" i="9" s="1" a="1"/>
  <c r="HE15" i="9" s="1"/>
  <c r="HG15" i="9" s="1"/>
  <c r="HO15" i="9" s="1"/>
  <c r="D174" i="13"/>
  <c r="I174" i="13"/>
  <c r="DN15" i="9" s="1" a="1"/>
  <c r="DN15" i="9" s="1"/>
  <c r="M174" i="13"/>
  <c r="GL15" i="9" s="1" a="1"/>
  <c r="GL15" i="9" s="1"/>
  <c r="GN15" i="9" s="1"/>
  <c r="GV15" i="9" s="1"/>
  <c r="L238" i="13"/>
  <c r="FP17" i="9" a="1"/>
  <c r="FP17" i="9" s="1"/>
  <c r="FQ17" i="9" s="1"/>
  <c r="H238" i="13"/>
  <c r="CR17" i="9" a="1"/>
  <c r="CR17" i="9" s="1"/>
  <c r="O240" i="13"/>
  <c r="HU17" i="9" a="1"/>
  <c r="HU17" i="9" s="1"/>
  <c r="F240" i="13"/>
  <c r="BF17" i="9" a="1"/>
  <c r="BF17" i="9" s="1"/>
  <c r="G240" i="13"/>
  <c r="BY17" i="9" a="1"/>
  <c r="BY17" i="9" s="1"/>
  <c r="N27" i="25" a="1"/>
  <c r="N27" i="25" s="1"/>
  <c r="GK15" i="9"/>
  <c r="J27" i="25" a="1"/>
  <c r="J27" i="25" s="1"/>
  <c r="DM15" i="9"/>
  <c r="P27" i="25" a="1"/>
  <c r="P27" i="25" s="1"/>
  <c r="HW15" i="9"/>
  <c r="GJ15" i="9"/>
  <c r="L27" i="25" a="1"/>
  <c r="L27" i="25" s="1"/>
  <c r="EY15" i="9"/>
  <c r="F27" i="25" a="1"/>
  <c r="F27" i="25" s="1"/>
  <c r="AO15" i="9"/>
  <c r="O27" i="25" a="1"/>
  <c r="O27" i="25" s="1"/>
  <c r="HD15" i="9"/>
  <c r="M233" i="13" a="1"/>
  <c r="M233" i="13" s="1"/>
  <c r="M234" i="13" s="1"/>
  <c r="M237" i="13" s="1"/>
  <c r="I233" i="13" a="1"/>
  <c r="I233" i="13" s="1"/>
  <c r="I234" i="13" s="1"/>
  <c r="I237" i="13" s="1"/>
  <c r="AQ18" i="9" a="1"/>
  <c r="AQ18" i="9" s="1"/>
  <c r="D256" i="13" a="1"/>
  <c r="D256" i="13" s="1"/>
  <c r="D267" i="13" s="1" a="1"/>
  <c r="D267" i="13" s="1"/>
  <c r="D268" i="13" s="1"/>
  <c r="AK18" i="9" a="1"/>
  <c r="AK18" i="9" s="1"/>
  <c r="F30" i="27" s="1" a="1"/>
  <c r="F30" i="27" s="1"/>
  <c r="N233" i="13" a="1"/>
  <c r="N233" i="13" s="1"/>
  <c r="N234" i="13" s="1"/>
  <c r="N237" i="13" s="1"/>
  <c r="HT17" i="9" a="1"/>
  <c r="HT17" i="9" s="1"/>
  <c r="GH17" i="9" a="1"/>
  <c r="GH17" i="9" s="1"/>
  <c r="HA17" i="9" a="1"/>
  <c r="HA17" i="9" s="1"/>
  <c r="O256" i="13" a="1"/>
  <c r="O256" i="13" s="1"/>
  <c r="O269" i="13" s="1" a="1"/>
  <c r="O269" i="13" s="1"/>
  <c r="O270" i="13" s="1"/>
  <c r="HY18" i="9" a="1"/>
  <c r="HY18" i="9" s="1"/>
  <c r="HS18" i="9" a="1"/>
  <c r="HS18" i="9" s="1"/>
  <c r="N256" i="13" a="1"/>
  <c r="N256" i="13" s="1"/>
  <c r="N269" i="13" s="1" a="1"/>
  <c r="N269" i="13" s="1"/>
  <c r="N270" i="13" s="1"/>
  <c r="HF18" i="9" a="1"/>
  <c r="HF18" i="9" s="1"/>
  <c r="GZ18" i="9" a="1"/>
  <c r="GZ18" i="9" s="1"/>
  <c r="HA16" i="9" a="1"/>
  <c r="HA16" i="9" s="1"/>
  <c r="E267" i="13" a="1"/>
  <c r="E267" i="13" s="1"/>
  <c r="E268" i="13" s="1"/>
  <c r="E271" i="13" s="1"/>
  <c r="M256" i="13" a="1"/>
  <c r="M256" i="13" s="1"/>
  <c r="M267" i="13" s="1" a="1"/>
  <c r="M267" i="13" s="1"/>
  <c r="M268" i="13" s="1"/>
  <c r="GM18" i="9" a="1"/>
  <c r="GM18" i="9" s="1"/>
  <c r="GG18" i="9" a="1"/>
  <c r="GG18" i="9" s="1"/>
  <c r="J233" i="13" a="1"/>
  <c r="J233" i="13" s="1"/>
  <c r="J234" i="13" s="1"/>
  <c r="J237" i="13" s="1"/>
  <c r="CQ17" i="9" a="1"/>
  <c r="CQ17" i="9" s="1"/>
  <c r="L256" i="13" a="1"/>
  <c r="L256" i="13" s="1"/>
  <c r="L267" i="13" s="1" a="1"/>
  <c r="L267" i="13" s="1"/>
  <c r="L268" i="13" s="1"/>
  <c r="FT18" i="9" a="1"/>
  <c r="FT18" i="9" s="1"/>
  <c r="FN18" i="9" a="1"/>
  <c r="FN18" i="9" s="1"/>
  <c r="L290" i="13" a="1"/>
  <c r="L290" i="13" s="1"/>
  <c r="L303" i="13" s="1" a="1"/>
  <c r="L303" i="13" s="1"/>
  <c r="L304" i="13" s="1"/>
  <c r="FT19" i="9" a="1"/>
  <c r="FT19" i="9" s="1"/>
  <c r="FN19" i="9" a="1"/>
  <c r="FN19" i="9" s="1"/>
  <c r="M31" i="27" s="1" a="1"/>
  <c r="M31" i="27" s="1"/>
  <c r="BX17" i="9" a="1"/>
  <c r="BX17" i="9" s="1"/>
  <c r="K256" i="13" a="1"/>
  <c r="K256" i="13" s="1"/>
  <c r="K267" i="13" s="1" a="1"/>
  <c r="K267" i="13" s="1"/>
  <c r="K268" i="13" s="1"/>
  <c r="FA18" i="9" a="1"/>
  <c r="FA18" i="9" s="1"/>
  <c r="EU18" i="9" a="1"/>
  <c r="EU18" i="9" s="1"/>
  <c r="K235" i="13" a="1"/>
  <c r="K235" i="13" s="1"/>
  <c r="K236" i="13" s="1"/>
  <c r="K233" i="13" a="1"/>
  <c r="K233" i="13" s="1"/>
  <c r="K234" i="13" s="1"/>
  <c r="G267" i="13" a="1"/>
  <c r="G267" i="13" s="1"/>
  <c r="G268" i="13" s="1"/>
  <c r="G269" i="13" a="1"/>
  <c r="G269" i="13" s="1"/>
  <c r="G270" i="13" s="1"/>
  <c r="EC17" i="9" a="1"/>
  <c r="EC17" i="9" s="1"/>
  <c r="N130" i="10"/>
  <c r="J256" i="13" a="1"/>
  <c r="J256" i="13" s="1"/>
  <c r="J267" i="13" s="1" a="1"/>
  <c r="J267" i="13" s="1"/>
  <c r="J268" i="13" s="1"/>
  <c r="EH18" i="9" a="1"/>
  <c r="EH18" i="9" s="1"/>
  <c r="EB18" i="9" a="1"/>
  <c r="EB18" i="9" s="1"/>
  <c r="EG12" i="9" a="1"/>
  <c r="EG12" i="9" s="1"/>
  <c r="EI12" i="9" s="1"/>
  <c r="EQ12" i="9" s="1"/>
  <c r="IL12" i="9" s="1"/>
  <c r="IM12" i="9" s="1"/>
  <c r="CC18" i="9" a="1"/>
  <c r="CC18" i="9" s="1"/>
  <c r="BW18" i="9" a="1"/>
  <c r="BW18" i="9" s="1"/>
  <c r="H30" i="27" s="1" a="1"/>
  <c r="H30" i="27" s="1"/>
  <c r="D203" i="13"/>
  <c r="BE17" i="9" a="1"/>
  <c r="BE17" i="9" s="1"/>
  <c r="E235" i="13" a="1"/>
  <c r="E235" i="13" s="1"/>
  <c r="E236" i="13" s="1"/>
  <c r="E237" i="13" s="1"/>
  <c r="I290" i="13" a="1"/>
  <c r="I290" i="13" s="1"/>
  <c r="I301" i="13" s="1" a="1"/>
  <c r="I301" i="13" s="1"/>
  <c r="I302" i="13" s="1"/>
  <c r="DI19" i="9" a="1"/>
  <c r="DI19" i="9" s="1"/>
  <c r="J31" i="27" s="1" a="1"/>
  <c r="J31" i="27" s="1"/>
  <c r="DO19" i="9" a="1"/>
  <c r="DO19" i="9" s="1"/>
  <c r="I256" i="13" a="1"/>
  <c r="I256" i="13" s="1"/>
  <c r="I267" i="13" s="1" a="1"/>
  <c r="I267" i="13" s="1"/>
  <c r="I268" i="13" s="1"/>
  <c r="DI18" i="9" a="1"/>
  <c r="DI18" i="9" s="1"/>
  <c r="DO18" i="9" a="1"/>
  <c r="DO18" i="9" s="1"/>
  <c r="H290" i="13" a="1"/>
  <c r="H290" i="13" s="1"/>
  <c r="H301" i="13" s="1" a="1"/>
  <c r="H301" i="13" s="1"/>
  <c r="H302" i="13" s="1"/>
  <c r="CV19" i="9" a="1"/>
  <c r="CV19" i="9" s="1"/>
  <c r="CP19" i="9" a="1"/>
  <c r="CP19" i="9" s="1"/>
  <c r="I31" i="27" s="1" a="1"/>
  <c r="I31" i="27" s="1"/>
  <c r="H256" i="13" a="1"/>
  <c r="H256" i="13" s="1"/>
  <c r="H267" i="13" s="1" a="1"/>
  <c r="H267" i="13" s="1"/>
  <c r="H268" i="13" s="1"/>
  <c r="CV18" i="9" a="1"/>
  <c r="CV18" i="9" s="1"/>
  <c r="CP18" i="9" a="1"/>
  <c r="CP18" i="9" s="1"/>
  <c r="D233" i="13" a="1"/>
  <c r="D233" i="13" s="1"/>
  <c r="D234" i="13" s="1"/>
  <c r="D237" i="13" s="1"/>
  <c r="G290" i="13" a="1"/>
  <c r="G290" i="13" s="1"/>
  <c r="G301" i="13" s="1" a="1"/>
  <c r="G301" i="13" s="1"/>
  <c r="G302" i="13" s="1"/>
  <c r="BW19" i="9" a="1"/>
  <c r="BW19" i="9" s="1"/>
  <c r="H31" i="27" s="1" a="1"/>
  <c r="H31" i="27" s="1"/>
  <c r="CC19" i="9" a="1"/>
  <c r="CC19" i="9" s="1"/>
  <c r="F256" i="13" a="1"/>
  <c r="F256" i="13" s="1"/>
  <c r="BJ18" i="9" a="1"/>
  <c r="BJ18" i="9" s="1"/>
  <c r="BD18" i="9" a="1"/>
  <c r="BD18" i="9" s="1"/>
  <c r="F290" i="13" a="1"/>
  <c r="F290" i="13" s="1"/>
  <c r="F301" i="13" s="1" a="1"/>
  <c r="F301" i="13" s="1"/>
  <c r="F302" i="13" s="1"/>
  <c r="BJ19" i="9" a="1"/>
  <c r="BJ19" i="9" s="1"/>
  <c r="BD19" i="9" a="1"/>
  <c r="BD19" i="9" s="1"/>
  <c r="G31" i="27" s="1" a="1"/>
  <c r="G31" i="27" s="1"/>
  <c r="E203" i="13"/>
  <c r="AM16" i="9" s="1" a="1"/>
  <c r="AM16" i="9" s="1"/>
  <c r="AL17" i="9" a="1"/>
  <c r="AL17" i="9" s="1"/>
  <c r="D290" i="13" a="1"/>
  <c r="D290" i="13" s="1"/>
  <c r="D303" i="13" s="1" a="1"/>
  <c r="D303" i="13" s="1"/>
  <c r="D304" i="13" s="1"/>
  <c r="R19" i="9" a="1"/>
  <c r="R19" i="9" s="1"/>
  <c r="E31" i="27" s="1" a="1"/>
  <c r="E31" i="27" s="1"/>
  <c r="E128" i="10"/>
  <c r="E289" i="13" s="1" a="1"/>
  <c r="E289" i="13" s="1"/>
  <c r="E298" i="13" s="1" a="1"/>
  <c r="E298" i="13" s="1"/>
  <c r="E299" i="13" s="1"/>
  <c r="M129" i="10"/>
  <c r="N128" i="10"/>
  <c r="N289" i="13" s="1" a="1"/>
  <c r="N289" i="13" s="1"/>
  <c r="N298" i="13" s="1" a="1"/>
  <c r="N298" i="13" s="1"/>
  <c r="N299" i="13" s="1"/>
  <c r="N127" i="10"/>
  <c r="N288" i="13" s="1" a="1"/>
  <c r="N288" i="13" s="1"/>
  <c r="N293" i="13" s="1" a="1"/>
  <c r="N293" i="13" s="1"/>
  <c r="N294" i="13" s="1"/>
  <c r="H140" i="10" a="1"/>
  <c r="H140" i="10" s="1"/>
  <c r="H142" i="10" s="1"/>
  <c r="H323" i="13" s="1" a="1"/>
  <c r="H323" i="13" s="1"/>
  <c r="M130" i="10"/>
  <c r="M128" i="10"/>
  <c r="M289" i="13" s="1" a="1"/>
  <c r="M289" i="13" s="1"/>
  <c r="M296" i="13" s="1" a="1"/>
  <c r="M296" i="13" s="1"/>
  <c r="M297" i="13" s="1"/>
  <c r="I232" i="13"/>
  <c r="DJ17" i="9" s="1" a="1"/>
  <c r="DJ17" i="9" s="1"/>
  <c r="D140" i="10" a="1"/>
  <c r="D140" i="10" s="1"/>
  <c r="D141" i="10" s="1"/>
  <c r="E127" i="10"/>
  <c r="E288" i="13" s="1" a="1"/>
  <c r="E288" i="13" s="1"/>
  <c r="E291" i="13" s="1" a="1"/>
  <c r="E291" i="13" s="1"/>
  <c r="E292" i="13" s="1"/>
  <c r="D232" i="13"/>
  <c r="I140" i="10" a="1"/>
  <c r="I140" i="10" s="1"/>
  <c r="I141" i="10" s="1"/>
  <c r="I322" i="13" s="1" a="1"/>
  <c r="I322" i="13" s="1"/>
  <c r="L140" i="10" a="1"/>
  <c r="L140" i="10" s="1"/>
  <c r="L141" i="10" s="1"/>
  <c r="L322" i="13" s="1" a="1"/>
  <c r="L322" i="13" s="1"/>
  <c r="K227" i="13"/>
  <c r="EV17" i="9" s="1" a="1"/>
  <c r="EV17" i="9" s="1"/>
  <c r="F142" i="10"/>
  <c r="F323" i="13" s="1" a="1"/>
  <c r="F323" i="13" s="1"/>
  <c r="F143" i="10"/>
  <c r="F141" i="10"/>
  <c r="F322" i="13" s="1" a="1"/>
  <c r="F322" i="13" s="1"/>
  <c r="N143" i="10"/>
  <c r="N141" i="10"/>
  <c r="N322" i="13" s="1" a="1"/>
  <c r="N322" i="13" s="1"/>
  <c r="N142" i="10"/>
  <c r="N323" i="13" s="1" a="1"/>
  <c r="N323" i="13" s="1"/>
  <c r="J141" i="10"/>
  <c r="J322" i="13" s="1" a="1"/>
  <c r="J322" i="13" s="1"/>
  <c r="J142" i="10"/>
  <c r="J323" i="13" s="1" a="1"/>
  <c r="J323" i="13" s="1"/>
  <c r="J143" i="10"/>
  <c r="G142" i="10"/>
  <c r="G323" i="13" s="1" a="1"/>
  <c r="G323" i="13" s="1"/>
  <c r="G143" i="10"/>
  <c r="G141" i="10"/>
  <c r="G322" i="13" s="1" a="1"/>
  <c r="G322" i="13" s="1"/>
  <c r="E143" i="10"/>
  <c r="E141" i="10"/>
  <c r="E322" i="13" s="1" a="1"/>
  <c r="E322" i="13" s="1"/>
  <c r="E142" i="10"/>
  <c r="E323" i="13" s="1" a="1"/>
  <c r="E323" i="13" s="1"/>
  <c r="O143" i="10"/>
  <c r="O141" i="10"/>
  <c r="O322" i="13" s="1" a="1"/>
  <c r="O322" i="13" s="1"/>
  <c r="O142" i="10"/>
  <c r="O323" i="13" s="1" a="1"/>
  <c r="O323" i="13" s="1"/>
  <c r="M143" i="10"/>
  <c r="M141" i="10"/>
  <c r="M322" i="13" s="1" a="1"/>
  <c r="M322" i="13" s="1"/>
  <c r="M142" i="10"/>
  <c r="M323" i="13" s="1" a="1"/>
  <c r="M323" i="13" s="1"/>
  <c r="K142" i="10"/>
  <c r="K323" i="13" s="1" a="1"/>
  <c r="K323" i="13" s="1"/>
  <c r="K141" i="10"/>
  <c r="K322" i="13" s="1" a="1"/>
  <c r="K322" i="13" s="1"/>
  <c r="K143" i="10"/>
  <c r="N259" i="13" a="1"/>
  <c r="N259" i="13" s="1"/>
  <c r="N260" i="13" s="1"/>
  <c r="N257" i="13" a="1"/>
  <c r="N257" i="13" s="1"/>
  <c r="N258" i="13" s="1"/>
  <c r="O257" i="13" a="1"/>
  <c r="O257" i="13" s="1"/>
  <c r="O258" i="13" s="1"/>
  <c r="O259" i="13" a="1"/>
  <c r="O259" i="13" s="1"/>
  <c r="O260" i="13" s="1"/>
  <c r="D254" i="13" a="1"/>
  <c r="D254" i="13" s="1"/>
  <c r="P113" i="10"/>
  <c r="F257" i="13" a="1"/>
  <c r="F257" i="13" s="1"/>
  <c r="F258" i="13" s="1"/>
  <c r="F259" i="13" a="1"/>
  <c r="F259" i="13" s="1"/>
  <c r="F260" i="13" s="1"/>
  <c r="N262" i="13" a="1"/>
  <c r="N262" i="13" s="1"/>
  <c r="N263" i="13" s="1"/>
  <c r="N264" i="13" a="1"/>
  <c r="N264" i="13" s="1"/>
  <c r="N265" i="13" s="1"/>
  <c r="I293" i="13" a="1"/>
  <c r="I293" i="13" s="1"/>
  <c r="I294" i="13" s="1"/>
  <c r="I291" i="13" a="1"/>
  <c r="I291" i="13" s="1"/>
  <c r="I292" i="13" s="1"/>
  <c r="I264" i="13" a="1"/>
  <c r="I264" i="13" s="1"/>
  <c r="I265" i="13" s="1"/>
  <c r="I262" i="13" a="1"/>
  <c r="I262" i="13" s="1"/>
  <c r="I263" i="13" s="1"/>
  <c r="M257" i="13" a="1"/>
  <c r="M257" i="13" s="1"/>
  <c r="M258" i="13" s="1"/>
  <c r="M259" i="13" a="1"/>
  <c r="M259" i="13" s="1"/>
  <c r="M260" i="13" s="1"/>
  <c r="G257" i="13" a="1"/>
  <c r="G257" i="13" s="1"/>
  <c r="G258" i="13" s="1"/>
  <c r="G259" i="13" a="1"/>
  <c r="G259" i="13" s="1"/>
  <c r="G260" i="13" s="1"/>
  <c r="E264" i="13" a="1"/>
  <c r="E264" i="13" s="1"/>
  <c r="E265" i="13" s="1"/>
  <c r="E262" i="13" a="1"/>
  <c r="E262" i="13" s="1"/>
  <c r="E263" i="13" s="1"/>
  <c r="K298" i="13" a="1"/>
  <c r="K298" i="13" s="1"/>
  <c r="K299" i="13" s="1"/>
  <c r="K296" i="13" a="1"/>
  <c r="K296" i="13" s="1"/>
  <c r="K297" i="13" s="1"/>
  <c r="I259" i="13" a="1"/>
  <c r="I259" i="13" s="1"/>
  <c r="I260" i="13" s="1"/>
  <c r="I257" i="13" a="1"/>
  <c r="I257" i="13" s="1"/>
  <c r="I258" i="13" s="1"/>
  <c r="L262" i="13" a="1"/>
  <c r="L262" i="13" s="1"/>
  <c r="L263" i="13" s="1"/>
  <c r="L264" i="13" a="1"/>
  <c r="L264" i="13" s="1"/>
  <c r="L265" i="13" s="1"/>
  <c r="E259" i="13" a="1"/>
  <c r="E259" i="13" s="1"/>
  <c r="E260" i="13" s="1"/>
  <c r="E257" i="13" a="1"/>
  <c r="E257" i="13" s="1"/>
  <c r="E258" i="13" s="1"/>
  <c r="J298" i="13" a="1"/>
  <c r="J298" i="13" s="1"/>
  <c r="J299" i="13" s="1"/>
  <c r="J296" i="13" a="1"/>
  <c r="J296" i="13" s="1"/>
  <c r="J297" i="13" s="1"/>
  <c r="K291" i="13" a="1"/>
  <c r="K291" i="13" s="1"/>
  <c r="K292" i="13" s="1"/>
  <c r="K293" i="13" a="1"/>
  <c r="K293" i="13" s="1"/>
  <c r="K294" i="13" s="1"/>
  <c r="L293" i="13" a="1"/>
  <c r="L293" i="13" s="1"/>
  <c r="L294" i="13" s="1"/>
  <c r="L291" i="13" a="1"/>
  <c r="L291" i="13" s="1"/>
  <c r="L292" i="13" s="1"/>
  <c r="G238" i="13"/>
  <c r="G242" i="13" s="1"/>
  <c r="CB17" i="9" s="1" a="1"/>
  <c r="CB17" i="9" s="1"/>
  <c r="G129" i="10"/>
  <c r="G128" i="10"/>
  <c r="G289" i="13" s="1" a="1"/>
  <c r="G289" i="13" s="1"/>
  <c r="G127" i="10"/>
  <c r="G288" i="13" s="1" a="1"/>
  <c r="G288" i="13" s="1"/>
  <c r="L257" i="13" a="1"/>
  <c r="L257" i="13" s="1"/>
  <c r="L258" i="13" s="1"/>
  <c r="L259" i="13" a="1"/>
  <c r="L259" i="13" s="1"/>
  <c r="L260" i="13" s="1"/>
  <c r="J293" i="13" a="1"/>
  <c r="J293" i="13" s="1"/>
  <c r="J294" i="13" s="1"/>
  <c r="J291" i="13" a="1"/>
  <c r="J291" i="13" s="1"/>
  <c r="J292" i="13" s="1"/>
  <c r="F291" i="13" a="1"/>
  <c r="F291" i="13" s="1"/>
  <c r="F292" i="13" s="1"/>
  <c r="F293" i="13" a="1"/>
  <c r="F293" i="13" s="1"/>
  <c r="F294" i="13" s="1"/>
  <c r="L296" i="13" a="1"/>
  <c r="L296" i="13" s="1"/>
  <c r="L297" i="13" s="1"/>
  <c r="L298" i="13" a="1"/>
  <c r="L298" i="13" s="1"/>
  <c r="L299" i="13" s="1"/>
  <c r="M262" i="13" a="1"/>
  <c r="M262" i="13" s="1"/>
  <c r="M263" i="13" s="1"/>
  <c r="M264" i="13" a="1"/>
  <c r="M264" i="13" s="1"/>
  <c r="M265" i="13" s="1"/>
  <c r="H262" i="13" a="1"/>
  <c r="H262" i="13" s="1"/>
  <c r="H263" i="13" s="1"/>
  <c r="H264" i="13" a="1"/>
  <c r="H264" i="13" s="1"/>
  <c r="H265" i="13" s="1"/>
  <c r="K264" i="13" a="1"/>
  <c r="K264" i="13" s="1"/>
  <c r="K265" i="13" s="1"/>
  <c r="K262" i="13" a="1"/>
  <c r="K262" i="13" s="1"/>
  <c r="K263" i="13" s="1"/>
  <c r="P140" i="10" a="1"/>
  <c r="P140" i="10" s="1"/>
  <c r="H259" i="13" a="1"/>
  <c r="H259" i="13" s="1"/>
  <c r="H260" i="13" s="1"/>
  <c r="H257" i="13" a="1"/>
  <c r="H257" i="13" s="1"/>
  <c r="H258" i="13" s="1"/>
  <c r="K259" i="13" a="1"/>
  <c r="K259" i="13" s="1"/>
  <c r="K260" i="13" s="1"/>
  <c r="K257" i="13" a="1"/>
  <c r="K257" i="13" s="1"/>
  <c r="K258" i="13" s="1"/>
  <c r="J264" i="13" a="1"/>
  <c r="J264" i="13" s="1"/>
  <c r="J265" i="13" s="1"/>
  <c r="J262" i="13" a="1"/>
  <c r="J262" i="13" s="1"/>
  <c r="J263" i="13" s="1"/>
  <c r="O129" i="10"/>
  <c r="O127" i="10"/>
  <c r="O288" i="13" s="1" a="1"/>
  <c r="O288" i="13" s="1"/>
  <c r="O128" i="10"/>
  <c r="O289" i="13" s="1" a="1"/>
  <c r="O289" i="13" s="1"/>
  <c r="D288" i="13" a="1"/>
  <c r="D288" i="13" s="1"/>
  <c r="F298" i="13" a="1"/>
  <c r="F298" i="13" s="1"/>
  <c r="F299" i="13" s="1"/>
  <c r="F296" i="13" a="1"/>
  <c r="F296" i="13" s="1"/>
  <c r="F297" i="13" s="1"/>
  <c r="H296" i="13" a="1"/>
  <c r="H296" i="13" s="1"/>
  <c r="H297" i="13" s="1"/>
  <c r="H298" i="13" a="1"/>
  <c r="H298" i="13" s="1"/>
  <c r="H299" i="13" s="1"/>
  <c r="G262" i="13" a="1"/>
  <c r="G262" i="13" s="1"/>
  <c r="G263" i="13" s="1"/>
  <c r="G264" i="13" a="1"/>
  <c r="G264" i="13" s="1"/>
  <c r="G265" i="13" s="1"/>
  <c r="O262" i="13" a="1"/>
  <c r="O262" i="13" s="1"/>
  <c r="O263" i="13" s="1"/>
  <c r="O264" i="13" a="1"/>
  <c r="O264" i="13" s="1"/>
  <c r="O265" i="13" s="1"/>
  <c r="D227" i="13"/>
  <c r="D255" i="13" a="1"/>
  <c r="D255" i="13" s="1"/>
  <c r="P114" i="10"/>
  <c r="F262" i="13" a="1"/>
  <c r="F262" i="13" s="1"/>
  <c r="F263" i="13" s="1"/>
  <c r="F264" i="13" a="1"/>
  <c r="F264" i="13" s="1"/>
  <c r="F265" i="13" s="1"/>
  <c r="J257" i="13" a="1"/>
  <c r="J257" i="13" s="1"/>
  <c r="J258" i="13" s="1"/>
  <c r="J259" i="13" a="1"/>
  <c r="J259" i="13" s="1"/>
  <c r="J260" i="13" s="1"/>
  <c r="M293" i="13" a="1"/>
  <c r="M293" i="13" s="1"/>
  <c r="M294" i="13" s="1"/>
  <c r="M291" i="13" a="1"/>
  <c r="M291" i="13" s="1"/>
  <c r="M292" i="13" s="1"/>
  <c r="D289" i="13" a="1"/>
  <c r="D289" i="13" s="1"/>
  <c r="I296" i="13" a="1"/>
  <c r="I296" i="13" s="1"/>
  <c r="I297" i="13" s="1"/>
  <c r="I298" i="13" a="1"/>
  <c r="I298" i="13" s="1"/>
  <c r="I299" i="13" s="1"/>
  <c r="H293" i="13" a="1"/>
  <c r="H293" i="13" s="1"/>
  <c r="H294" i="13" s="1"/>
  <c r="H291" i="13" a="1"/>
  <c r="H291" i="13" s="1"/>
  <c r="H292" i="13" s="1"/>
  <c r="L240" i="13"/>
  <c r="L204" i="13"/>
  <c r="F238" i="13"/>
  <c r="N206" i="13"/>
  <c r="H240" i="13"/>
  <c r="F204" i="13"/>
  <c r="O206" i="13"/>
  <c r="O238" i="13"/>
  <c r="K130" i="10"/>
  <c r="J130" i="10"/>
  <c r="K144" i="10"/>
  <c r="AS14" i="9" a="1"/>
  <c r="AS14" i="9" s="1"/>
  <c r="BA14" i="9" s="1"/>
  <c r="G27" i="24" s="1" a="1"/>
  <c r="G27" i="24" s="1"/>
  <c r="Z14" i="9" a="1"/>
  <c r="Z14" i="9" s="1"/>
  <c r="AH14" i="9" s="1"/>
  <c r="F27" i="24" s="1" a="1"/>
  <c r="F27" i="24" s="1"/>
  <c r="BL14" i="9" a="1"/>
  <c r="BL14" i="9" s="1"/>
  <c r="BT14" i="9" s="1"/>
  <c r="H27" i="24" s="1" a="1"/>
  <c r="H27" i="24" s="1"/>
  <c r="FV14" i="9" a="1"/>
  <c r="FV14" i="9" s="1"/>
  <c r="GD14" i="9" s="1"/>
  <c r="N27" i="24" s="1" a="1"/>
  <c r="N27" i="24" s="1"/>
  <c r="DQ13" i="9" a="1"/>
  <c r="DQ13" i="9" s="1"/>
  <c r="DY13" i="9" s="1"/>
  <c r="K26" i="24" s="1" a="1"/>
  <c r="K26" i="24" s="1"/>
  <c r="DQ14" i="9" a="1"/>
  <c r="DQ14" i="9" s="1"/>
  <c r="DY14" i="9" s="1"/>
  <c r="K27" i="24" s="1" a="1"/>
  <c r="K27" i="24" s="1"/>
  <c r="GO12" i="9" a="1"/>
  <c r="GO12" i="9" s="1"/>
  <c r="GW12" i="9" s="1"/>
  <c r="O25" i="24" s="1" a="1"/>
  <c r="O25" i="24" s="1"/>
  <c r="HH13" i="9" a="1"/>
  <c r="HH13" i="9" s="1"/>
  <c r="HP13" i="9" s="1"/>
  <c r="P26" i="24" s="1" a="1"/>
  <c r="P26" i="24" s="1"/>
  <c r="CE13" i="9" a="1"/>
  <c r="CE13" i="9" s="1"/>
  <c r="CM13" i="9" s="1"/>
  <c r="I26" i="24" s="1" a="1"/>
  <c r="I26" i="24" s="1"/>
  <c r="FV13" i="9" a="1"/>
  <c r="FV13" i="9" s="1"/>
  <c r="GD13" i="9" s="1"/>
  <c r="N26" i="24" s="1" a="1"/>
  <c r="N26" i="24" s="1"/>
  <c r="EJ13" i="9" a="1"/>
  <c r="EJ13" i="9" s="1"/>
  <c r="ER13" i="9" s="1"/>
  <c r="L26" i="24" s="1" a="1"/>
  <c r="L26" i="24" s="1"/>
  <c r="FC14" i="9" a="1"/>
  <c r="FC14" i="9" s="1"/>
  <c r="FK14" i="9" s="1"/>
  <c r="M27" i="24" s="1" a="1"/>
  <c r="M27" i="24" s="1"/>
  <c r="CX14" i="9" a="1"/>
  <c r="CX14" i="9" s="1"/>
  <c r="DF14" i="9" s="1"/>
  <c r="J27" i="24" s="1" a="1"/>
  <c r="J27" i="24" s="1"/>
  <c r="AS13" i="9" a="1"/>
  <c r="AS13" i="9" s="1"/>
  <c r="BA13" i="9" s="1"/>
  <c r="G26" i="24" s="1" a="1"/>
  <c r="G26" i="24" s="1"/>
  <c r="GO14" i="9" a="1"/>
  <c r="GO14" i="9" s="1"/>
  <c r="GW14" i="9" s="1"/>
  <c r="O27" i="24" s="1" a="1"/>
  <c r="O27" i="24" s="1"/>
  <c r="CX12" i="9" a="1"/>
  <c r="CX12" i="9" s="1"/>
  <c r="DF12" i="9" s="1"/>
  <c r="J25" i="24" s="1" a="1"/>
  <c r="J25" i="24" s="1"/>
  <c r="FC13" i="9" a="1"/>
  <c r="FC13" i="9" s="1"/>
  <c r="FK13" i="9" s="1"/>
  <c r="M26" i="24" s="1" a="1"/>
  <c r="M26" i="24" s="1"/>
  <c r="BL15" i="9" a="1"/>
  <c r="BL15" i="9" s="1"/>
  <c r="BT15" i="9" s="1"/>
  <c r="H28" i="24" s="1" a="1"/>
  <c r="H28" i="24" s="1"/>
  <c r="IA13" i="9" a="1"/>
  <c r="IA13" i="9" s="1"/>
  <c r="II13" i="9" s="1"/>
  <c r="Q26" i="24" s="1" a="1"/>
  <c r="Q26" i="24" s="1"/>
  <c r="CE14" i="9" a="1"/>
  <c r="CE14" i="9" s="1"/>
  <c r="CM14" i="9" s="1"/>
  <c r="I27" i="24" s="1" a="1"/>
  <c r="I27" i="24" s="1"/>
  <c r="BL13" i="9" a="1"/>
  <c r="BL13" i="9" s="1"/>
  <c r="BT13" i="9" s="1"/>
  <c r="H26" i="24" s="1" a="1"/>
  <c r="H26" i="24" s="1"/>
  <c r="EJ14" i="9" a="1"/>
  <c r="EJ14" i="9" s="1"/>
  <c r="ER14" i="9" s="1"/>
  <c r="L27" i="24" s="1" a="1"/>
  <c r="L27" i="24" s="1"/>
  <c r="Z12" i="9" a="1"/>
  <c r="Z12" i="9" s="1"/>
  <c r="AH12" i="9" s="1"/>
  <c r="F25" i="24" s="1" a="1"/>
  <c r="F25" i="24" s="1"/>
  <c r="HH14" i="9" a="1"/>
  <c r="HH14" i="9" s="1"/>
  <c r="HP14" i="9" s="1"/>
  <c r="P27" i="24" s="1" a="1"/>
  <c r="P27" i="24" s="1"/>
  <c r="FB15" i="9"/>
  <c r="FJ15" i="9" s="1"/>
  <c r="CW15" i="9"/>
  <c r="DE15" i="9" s="1"/>
  <c r="S16" i="9" a="1"/>
  <c r="S16" i="9" s="1"/>
  <c r="FU15" i="9"/>
  <c r="GC15" i="9" s="1"/>
  <c r="W13" i="9" a="1"/>
  <c r="W13" i="9" s="1"/>
  <c r="Y13" i="9" s="1"/>
  <c r="AG13" i="9" s="1"/>
  <c r="IL13" i="9" s="1"/>
  <c r="IM13" i="9" s="1"/>
  <c r="EI15" i="9"/>
  <c r="EQ15" i="9" s="1"/>
  <c r="CD15" i="9"/>
  <c r="CL15" i="9" s="1"/>
  <c r="F138" i="10"/>
  <c r="BC20" i="9" s="1" a="1"/>
  <c r="BC20" i="9" s="1"/>
  <c r="J138" i="10"/>
  <c r="EA20" i="9" s="1" a="1"/>
  <c r="EA20" i="9" s="1"/>
  <c r="P153" i="10"/>
  <c r="O138" i="10"/>
  <c r="HR20" i="9" s="1" a="1"/>
  <c r="HR20" i="9" s="1"/>
  <c r="E138" i="10"/>
  <c r="AJ20" i="9" s="1" a="1"/>
  <c r="AJ20" i="9" s="1"/>
  <c r="P116" i="10"/>
  <c r="S15" i="9" a="1"/>
  <c r="S15" i="9" s="1"/>
  <c r="D138" i="10"/>
  <c r="Q20" i="9" s="1" a="1"/>
  <c r="Q20" i="9" s="1"/>
  <c r="E144" i="10"/>
  <c r="M138" i="10"/>
  <c r="GF20" i="9" s="1" a="1"/>
  <c r="GF20" i="9" s="1"/>
  <c r="M144" i="10"/>
  <c r="F144" i="10"/>
  <c r="N150" i="10"/>
  <c r="B187" i="10" a="1"/>
  <c r="B187" i="10" s="1"/>
  <c r="A187" i="10" a="1"/>
  <c r="A187" i="10" s="1"/>
  <c r="K138" i="10"/>
  <c r="ET20" i="9" s="1" a="1"/>
  <c r="ET20" i="9" s="1"/>
  <c r="F151" i="10"/>
  <c r="F154" i="10" s="1" a="1"/>
  <c r="F154" i="10" s="1"/>
  <c r="N151" i="10"/>
  <c r="N154" i="10" s="1" a="1"/>
  <c r="N154" i="10" s="1"/>
  <c r="O151" i="10"/>
  <c r="O154" i="10" s="1" a="1"/>
  <c r="O154" i="10" s="1"/>
  <c r="E151" i="10"/>
  <c r="E154" i="10" s="1" a="1"/>
  <c r="E154" i="10" s="1"/>
  <c r="K151" i="10"/>
  <c r="K154" i="10" s="1" a="1"/>
  <c r="K154" i="10" s="1"/>
  <c r="J151" i="10"/>
  <c r="J154" i="10" s="1" a="1"/>
  <c r="J154" i="10" s="1"/>
  <c r="L151" i="10"/>
  <c r="H151" i="10"/>
  <c r="H154" i="10" s="1" a="1"/>
  <c r="H154" i="10" s="1"/>
  <c r="D151" i="10"/>
  <c r="G151" i="10"/>
  <c r="B152" i="10"/>
  <c r="B153" i="10" s="1"/>
  <c r="B154" i="10" s="1"/>
  <c r="B155" i="10" s="1"/>
  <c r="B156" i="10" s="1"/>
  <c r="B157" i="10" s="1"/>
  <c r="B158" i="10" s="1"/>
  <c r="P151" i="10"/>
  <c r="P152" i="10" s="1"/>
  <c r="I151" i="10"/>
  <c r="M151" i="10"/>
  <c r="M154" i="10" s="1" a="1"/>
  <c r="M154" i="10" s="1"/>
  <c r="V15" i="9"/>
  <c r="G138" i="10"/>
  <c r="BV20" i="9" s="1" a="1"/>
  <c r="BV20" i="9" s="1"/>
  <c r="N138" i="10"/>
  <c r="GY20" i="9" s="1" a="1"/>
  <c r="GY20" i="9" s="1"/>
  <c r="F150" i="10"/>
  <c r="I153" i="10"/>
  <c r="I150" i="10"/>
  <c r="O130" i="10"/>
  <c r="E130" i="10"/>
  <c r="I138" i="10"/>
  <c r="DH20" i="9" s="1" a="1"/>
  <c r="DH20" i="9" s="1"/>
  <c r="L150" i="10"/>
  <c r="D150" i="10"/>
  <c r="L138" i="10"/>
  <c r="FM20" i="9" s="1" a="1"/>
  <c r="FM20" i="9" s="1"/>
  <c r="D160" i="10"/>
  <c r="H160" i="10"/>
  <c r="M160" i="10"/>
  <c r="G160" i="10"/>
  <c r="N160" i="10"/>
  <c r="P160" i="10"/>
  <c r="P164" i="10" s="1"/>
  <c r="F160" i="10"/>
  <c r="E160" i="10"/>
  <c r="J160" i="10"/>
  <c r="O160" i="10"/>
  <c r="I160" i="10"/>
  <c r="B161" i="10"/>
  <c r="B162" i="10" s="1"/>
  <c r="B163" i="10" s="1"/>
  <c r="B164" i="10"/>
  <c r="B165" i="10" s="1"/>
  <c r="L160" i="10"/>
  <c r="K160" i="10"/>
  <c r="O150" i="10"/>
  <c r="G144" i="10"/>
  <c r="K150" i="10"/>
  <c r="H150" i="10"/>
  <c r="L153" i="10"/>
  <c r="G150" i="10"/>
  <c r="E150" i="10"/>
  <c r="H138" i="10"/>
  <c r="CO20" i="9" s="1" a="1"/>
  <c r="CO20" i="9" s="1"/>
  <c r="J173" i="10"/>
  <c r="G173" i="10"/>
  <c r="O173" i="10"/>
  <c r="F173" i="10"/>
  <c r="M173" i="10"/>
  <c r="E173" i="10"/>
  <c r="I173" i="10"/>
  <c r="L173" i="10"/>
  <c r="K173" i="10"/>
  <c r="P173" i="10"/>
  <c r="N173" i="10"/>
  <c r="B174" i="10"/>
  <c r="D173" i="10"/>
  <c r="H173" i="10"/>
  <c r="G153" i="10"/>
  <c r="M150" i="10"/>
  <c r="J150" i="10"/>
  <c r="D153" i="10"/>
  <c r="O144" i="10"/>
  <c r="R201" i="10"/>
  <c r="II14" i="9" l="1"/>
  <c r="Q27" i="24" s="1" a="1"/>
  <c r="Q27" i="24" s="1"/>
  <c r="N208" i="13"/>
  <c r="HE16" i="9" s="1" a="1"/>
  <c r="HE16" i="9" s="1"/>
  <c r="O208" i="13"/>
  <c r="HX16" i="9" s="1" a="1"/>
  <c r="HX16" i="9" s="1"/>
  <c r="HV17" i="9"/>
  <c r="O242" i="13"/>
  <c r="HX17" i="9" s="1" a="1"/>
  <c r="HX17" i="9" s="1"/>
  <c r="L208" i="13"/>
  <c r="FS16" i="9" s="1" a="1"/>
  <c r="FS16" i="9" s="1"/>
  <c r="FU16" i="9" s="1"/>
  <c r="GC16" i="9" s="1"/>
  <c r="F208" i="13"/>
  <c r="BI16" i="9" s="1" a="1"/>
  <c r="BI16" i="9" s="1"/>
  <c r="G28" i="25" a="1"/>
  <c r="G28" i="25" s="1"/>
  <c r="BH16" i="9"/>
  <c r="HC16" i="9"/>
  <c r="M28" i="25" a="1"/>
  <c r="M28" i="25" s="1"/>
  <c r="FR16" i="9"/>
  <c r="F28" i="25" a="1"/>
  <c r="F28" i="25" s="1"/>
  <c r="AO16" i="9"/>
  <c r="AN16" i="9"/>
  <c r="D204" i="13"/>
  <c r="T16" i="9" a="1"/>
  <c r="T16" i="9" s="1"/>
  <c r="U16" i="9" s="1"/>
  <c r="O28" i="25" a="1"/>
  <c r="O28" i="25" s="1"/>
  <c r="HD16" i="9"/>
  <c r="P28" i="25" a="1"/>
  <c r="P28" i="25" s="1"/>
  <c r="HW16" i="9"/>
  <c r="BG16" i="9"/>
  <c r="FQ16" i="9"/>
  <c r="J269" i="13" a="1"/>
  <c r="J269" i="13" s="1"/>
  <c r="J270" i="13" s="1"/>
  <c r="J271" i="13" s="1"/>
  <c r="L242" i="13"/>
  <c r="FS17" i="9" s="1" a="1"/>
  <c r="FS17" i="9" s="1"/>
  <c r="H242" i="13"/>
  <c r="CU17" i="9" s="1" a="1"/>
  <c r="CU17" i="9" s="1"/>
  <c r="CS17" i="9"/>
  <c r="BG17" i="9"/>
  <c r="F242" i="13"/>
  <c r="BI17" i="9" s="1" a="1"/>
  <c r="BI17" i="9" s="1"/>
  <c r="E274" i="13"/>
  <c r="AM18" i="9" a="1"/>
  <c r="AM18" i="9" s="1"/>
  <c r="BZ17" i="9"/>
  <c r="E240" i="13"/>
  <c r="AM17" i="9" a="1"/>
  <c r="AM17" i="9" s="1"/>
  <c r="AN17" i="9" s="1"/>
  <c r="P29" i="25" a="1"/>
  <c r="P29" i="25" s="1"/>
  <c r="HW17" i="9"/>
  <c r="N238" i="13"/>
  <c r="HB17" i="9" a="1"/>
  <c r="HB17" i="9" s="1"/>
  <c r="HC17" i="9" s="1"/>
  <c r="M240" i="13"/>
  <c r="GI17" i="9" a="1"/>
  <c r="GI17" i="9" s="1"/>
  <c r="J238" i="13"/>
  <c r="ED17" i="9" a="1"/>
  <c r="ED17" i="9" s="1"/>
  <c r="Q27" i="25"/>
  <c r="I240" i="13"/>
  <c r="DK17" i="9" a="1"/>
  <c r="DK17" i="9" s="1"/>
  <c r="D238" i="13"/>
  <c r="T17" i="9" a="1"/>
  <c r="T17" i="9" s="1"/>
  <c r="E29" i="25" s="1" a="1"/>
  <c r="E29" i="25" s="1"/>
  <c r="I29" i="25" a="1"/>
  <c r="I29" i="25" s="1"/>
  <c r="CT17" i="9"/>
  <c r="H29" i="25" a="1"/>
  <c r="H29" i="25" s="1"/>
  <c r="CA17" i="9"/>
  <c r="M29" i="25" a="1"/>
  <c r="M29" i="25" s="1"/>
  <c r="FR17" i="9"/>
  <c r="G29" i="25" a="1"/>
  <c r="G29" i="25" s="1"/>
  <c r="BH17" i="9"/>
  <c r="I303" i="13" a="1"/>
  <c r="I303" i="13" s="1"/>
  <c r="I304" i="13" s="1"/>
  <c r="I305" i="13" s="1"/>
  <c r="D269" i="13" a="1"/>
  <c r="D269" i="13" s="1"/>
  <c r="D270" i="13" s="1"/>
  <c r="D271" i="13" s="1"/>
  <c r="O267" i="13" a="1"/>
  <c r="O267" i="13" s="1"/>
  <c r="O268" i="13" s="1"/>
  <c r="O271" i="13" s="1"/>
  <c r="L301" i="13" a="1"/>
  <c r="L301" i="13" s="1"/>
  <c r="L302" i="13" s="1"/>
  <c r="L305" i="13" s="1"/>
  <c r="M269" i="13" a="1"/>
  <c r="M269" i="13" s="1"/>
  <c r="M270" i="13" s="1"/>
  <c r="M271" i="13" s="1"/>
  <c r="GI18" i="9" s="1" a="1"/>
  <c r="GI18" i="9" s="1"/>
  <c r="F303" i="13" a="1"/>
  <c r="F303" i="13" s="1"/>
  <c r="F304" i="13" s="1"/>
  <c r="F305" i="13" s="1"/>
  <c r="D154" i="10" a="1"/>
  <c r="D154" i="10" s="1"/>
  <c r="D155" i="10" s="1"/>
  <c r="N291" i="13" a="1"/>
  <c r="N291" i="13" s="1"/>
  <c r="N292" i="13" s="1"/>
  <c r="N295" i="13" s="1"/>
  <c r="G271" i="13"/>
  <c r="G272" i="13" s="1"/>
  <c r="K269" i="13" a="1"/>
  <c r="K269" i="13" s="1"/>
  <c r="K270" i="13" s="1"/>
  <c r="K271" i="13" s="1"/>
  <c r="O290" i="13" a="1"/>
  <c r="O290" i="13" s="1"/>
  <c r="O301" i="13" s="1" a="1"/>
  <c r="O301" i="13" s="1"/>
  <c r="O302" i="13" s="1"/>
  <c r="HY19" i="9" a="1"/>
  <c r="HY19" i="9" s="1"/>
  <c r="HS19" i="9" a="1"/>
  <c r="HS19" i="9" s="1"/>
  <c r="P30" i="27" a="1"/>
  <c r="P30" i="27" s="1"/>
  <c r="O324" i="13" a="1"/>
  <c r="O324" i="13" s="1"/>
  <c r="O335" i="13" s="1" a="1"/>
  <c r="O335" i="13" s="1"/>
  <c r="O336" i="13" s="1"/>
  <c r="HY20" i="9" a="1"/>
  <c r="HY20" i="9" s="1"/>
  <c r="HS20" i="9" a="1"/>
  <c r="HS20" i="9" s="1"/>
  <c r="P32" i="27" s="1" a="1"/>
  <c r="P32" i="27" s="1"/>
  <c r="D206" i="13"/>
  <c r="N267" i="13" a="1"/>
  <c r="N267" i="13" s="1"/>
  <c r="N268" i="13" s="1"/>
  <c r="N271" i="13" s="1"/>
  <c r="N290" i="13" a="1"/>
  <c r="N290" i="13" s="1"/>
  <c r="HF19" i="9" a="1"/>
  <c r="HF19" i="9" s="1"/>
  <c r="GZ19" i="9" a="1"/>
  <c r="GZ19" i="9" s="1"/>
  <c r="O30" i="27" a="1"/>
  <c r="O30" i="27" s="1"/>
  <c r="L269" i="13" a="1"/>
  <c r="L269" i="13" s="1"/>
  <c r="L270" i="13" s="1"/>
  <c r="L271" i="13" s="1"/>
  <c r="M290" i="13" a="1"/>
  <c r="M290" i="13" s="1"/>
  <c r="M303" i="13" s="1" a="1"/>
  <c r="M303" i="13" s="1"/>
  <c r="M304" i="13" s="1"/>
  <c r="GM19" i="9" a="1"/>
  <c r="GM19" i="9" s="1"/>
  <c r="GG19" i="9" a="1"/>
  <c r="GG19" i="9" s="1"/>
  <c r="M324" i="13" a="1"/>
  <c r="M324" i="13" s="1"/>
  <c r="M337" i="13" s="1" a="1"/>
  <c r="M337" i="13" s="1"/>
  <c r="M338" i="13" s="1"/>
  <c r="GM20" i="9" a="1"/>
  <c r="GM20" i="9" s="1"/>
  <c r="GG20" i="9" a="1"/>
  <c r="GG20" i="9" s="1"/>
  <c r="N32" i="27" s="1" a="1"/>
  <c r="N32" i="27" s="1"/>
  <c r="N30" i="27" a="1"/>
  <c r="N30" i="27" s="1"/>
  <c r="H269" i="13" a="1"/>
  <c r="H269" i="13" s="1"/>
  <c r="H270" i="13" s="1"/>
  <c r="H271" i="13" s="1"/>
  <c r="CR18" i="9" s="1" a="1"/>
  <c r="CR18" i="9" s="1"/>
  <c r="M30" i="27" a="1"/>
  <c r="M30" i="27" s="1"/>
  <c r="K324" i="13" a="1"/>
  <c r="K324" i="13" s="1"/>
  <c r="K337" i="13" s="1" a="1"/>
  <c r="K337" i="13" s="1"/>
  <c r="K338" i="13" s="1"/>
  <c r="FA20" i="9" a="1"/>
  <c r="FA20" i="9" s="1"/>
  <c r="EU20" i="9" a="1"/>
  <c r="EU20" i="9" s="1"/>
  <c r="L32" i="27" s="1" a="1"/>
  <c r="L32" i="27" s="1"/>
  <c r="K290" i="13" a="1"/>
  <c r="K290" i="13" s="1"/>
  <c r="K301" i="13" s="1" a="1"/>
  <c r="K301" i="13" s="1"/>
  <c r="K302" i="13" s="1"/>
  <c r="FA19" i="9" a="1"/>
  <c r="FA19" i="9" s="1"/>
  <c r="EU19" i="9" a="1"/>
  <c r="EU19" i="9" s="1"/>
  <c r="L30" i="27" a="1"/>
  <c r="L30" i="27" s="1"/>
  <c r="K237" i="13"/>
  <c r="EW17" i="9" s="1" a="1"/>
  <c r="EW17" i="9" s="1"/>
  <c r="K30" i="27" a="1"/>
  <c r="K30" i="27" s="1"/>
  <c r="H303" i="13" a="1"/>
  <c r="H303" i="13" s="1"/>
  <c r="H304" i="13" s="1"/>
  <c r="H305" i="13" s="1"/>
  <c r="EJ12" i="9" a="1"/>
  <c r="EJ12" i="9" s="1"/>
  <c r="ER12" i="9" s="1"/>
  <c r="J290" i="13" a="1"/>
  <c r="J290" i="13" s="1"/>
  <c r="J303" i="13" s="1" a="1"/>
  <c r="J303" i="13" s="1"/>
  <c r="J304" i="13" s="1"/>
  <c r="EH19" i="9" a="1"/>
  <c r="EH19" i="9" s="1"/>
  <c r="EB19" i="9" a="1"/>
  <c r="EB19" i="9" s="1"/>
  <c r="I269" i="13" a="1"/>
  <c r="I269" i="13" s="1"/>
  <c r="I270" i="13" s="1"/>
  <c r="I271" i="13" s="1"/>
  <c r="J30" i="27" a="1"/>
  <c r="J30" i="27" s="1"/>
  <c r="I30" i="27" a="1"/>
  <c r="I30" i="27" s="1"/>
  <c r="G303" i="13" a="1"/>
  <c r="G303" i="13" s="1"/>
  <c r="G304" i="13" s="1"/>
  <c r="G305" i="13" s="1"/>
  <c r="G324" i="13" a="1"/>
  <c r="G324" i="13" s="1"/>
  <c r="G335" i="13" s="1" a="1"/>
  <c r="G335" i="13" s="1"/>
  <c r="G336" i="13" s="1"/>
  <c r="BW20" i="9" a="1"/>
  <c r="BW20" i="9" s="1"/>
  <c r="H32" i="27" s="1" a="1"/>
  <c r="H32" i="27" s="1"/>
  <c r="CC20" i="9" a="1"/>
  <c r="CC20" i="9" s="1"/>
  <c r="F324" i="13" a="1"/>
  <c r="F324" i="13" s="1"/>
  <c r="F337" i="13" s="1" a="1"/>
  <c r="F337" i="13" s="1"/>
  <c r="F338" i="13" s="1"/>
  <c r="BJ20" i="9" a="1"/>
  <c r="BJ20" i="9" s="1"/>
  <c r="BD20" i="9" a="1"/>
  <c r="BD20" i="9" s="1"/>
  <c r="G32" i="27" s="1" a="1"/>
  <c r="G32" i="27" s="1"/>
  <c r="G30" i="27" a="1"/>
  <c r="G30" i="27" s="1"/>
  <c r="F269" i="13" a="1"/>
  <c r="F269" i="13" s="1"/>
  <c r="F270" i="13" s="1"/>
  <c r="F267" i="13" a="1"/>
  <c r="F267" i="13" s="1"/>
  <c r="F268" i="13" s="1"/>
  <c r="E324" i="13" a="1"/>
  <c r="E324" i="13" s="1"/>
  <c r="E337" i="13" s="1" a="1"/>
  <c r="E337" i="13" s="1"/>
  <c r="E338" i="13" s="1"/>
  <c r="AQ20" i="9" a="1"/>
  <c r="AQ20" i="9" s="1"/>
  <c r="AK20" i="9" a="1"/>
  <c r="AK20" i="9" s="1"/>
  <c r="F32" i="27" s="1" a="1"/>
  <c r="F32" i="27" s="1"/>
  <c r="D301" i="13" a="1"/>
  <c r="D301" i="13" s="1"/>
  <c r="D302" i="13" s="1"/>
  <c r="D305" i="13" s="1"/>
  <c r="E290" i="13" a="1"/>
  <c r="E290" i="13" s="1"/>
  <c r="E303" i="13" s="1" a="1"/>
  <c r="E303" i="13" s="1"/>
  <c r="E304" i="13" s="1"/>
  <c r="AK19" i="9" a="1"/>
  <c r="AK19" i="9" s="1"/>
  <c r="AQ19" i="9" a="1"/>
  <c r="AQ19" i="9" s="1"/>
  <c r="E206" i="13"/>
  <c r="E204" i="13"/>
  <c r="N296" i="13" a="1"/>
  <c r="N296" i="13" s="1"/>
  <c r="N297" i="13" s="1"/>
  <c r="N300" i="13" s="1"/>
  <c r="D144" i="10"/>
  <c r="X20" i="9" s="1" a="1"/>
  <c r="X20" i="9" s="1"/>
  <c r="D143" i="10"/>
  <c r="D142" i="10"/>
  <c r="D323" i="13" s="1" a="1"/>
  <c r="D323" i="13" s="1"/>
  <c r="H141" i="10"/>
  <c r="H322" i="13" s="1" a="1"/>
  <c r="H322" i="13" s="1"/>
  <c r="H327" i="13" s="1" a="1"/>
  <c r="H327" i="13" s="1"/>
  <c r="H328" i="13" s="1"/>
  <c r="H143" i="10"/>
  <c r="L144" i="10"/>
  <c r="E296" i="13" a="1"/>
  <c r="E296" i="13" s="1"/>
  <c r="E297" i="13" s="1"/>
  <c r="E300" i="13" s="1"/>
  <c r="M298" i="13" a="1"/>
  <c r="M298" i="13" s="1"/>
  <c r="M299" i="13" s="1"/>
  <c r="M300" i="13" s="1"/>
  <c r="E293" i="13" a="1"/>
  <c r="E293" i="13" s="1"/>
  <c r="E294" i="13" s="1"/>
  <c r="E295" i="13" s="1"/>
  <c r="L142" i="10"/>
  <c r="L323" i="13" s="1" a="1"/>
  <c r="L323" i="13" s="1"/>
  <c r="L332" i="13" s="1" a="1"/>
  <c r="L332" i="13" s="1"/>
  <c r="L333" i="13" s="1"/>
  <c r="L143" i="10"/>
  <c r="L154" i="10" a="1"/>
  <c r="L154" i="10" s="1"/>
  <c r="L156" i="10" s="1"/>
  <c r="L357" i="13" s="1" a="1"/>
  <c r="L357" i="13" s="1"/>
  <c r="I266" i="13"/>
  <c r="I144" i="10"/>
  <c r="J266" i="13"/>
  <c r="H266" i="13"/>
  <c r="J295" i="13"/>
  <c r="E261" i="13"/>
  <c r="P129" i="10"/>
  <c r="N266" i="13"/>
  <c r="K266" i="13"/>
  <c r="J300" i="13"/>
  <c r="E266" i="13"/>
  <c r="O261" i="13"/>
  <c r="I142" i="10"/>
  <c r="I323" i="13" s="1" a="1"/>
  <c r="I323" i="13" s="1"/>
  <c r="I330" i="13" s="1" a="1"/>
  <c r="I330" i="13" s="1"/>
  <c r="I331" i="13" s="1"/>
  <c r="G154" i="10" a="1"/>
  <c r="G154" i="10" s="1"/>
  <c r="G155" i="10" s="1"/>
  <c r="G356" i="13" s="1" a="1"/>
  <c r="G356" i="13" s="1"/>
  <c r="I143" i="10"/>
  <c r="O266" i="13"/>
  <c r="L295" i="13"/>
  <c r="L266" i="13"/>
  <c r="L300" i="13"/>
  <c r="I261" i="13"/>
  <c r="N261" i="13"/>
  <c r="K300" i="13"/>
  <c r="M261" i="13"/>
  <c r="J261" i="13"/>
  <c r="M156" i="10"/>
  <c r="M357" i="13" s="1" a="1"/>
  <c r="M357" i="13" s="1"/>
  <c r="M157" i="10"/>
  <c r="M155" i="10"/>
  <c r="M356" i="13" s="1" a="1"/>
  <c r="M356" i="13" s="1"/>
  <c r="K156" i="10"/>
  <c r="K357" i="13" s="1" a="1"/>
  <c r="K357" i="13" s="1"/>
  <c r="K155" i="10"/>
  <c r="K356" i="13" s="1" a="1"/>
  <c r="K356" i="13" s="1"/>
  <c r="K157" i="10"/>
  <c r="J155" i="10"/>
  <c r="J356" i="13" s="1" a="1"/>
  <c r="J356" i="13" s="1"/>
  <c r="J156" i="10"/>
  <c r="J357" i="13" s="1" a="1"/>
  <c r="J357" i="13" s="1"/>
  <c r="J157" i="10"/>
  <c r="E155" i="10"/>
  <c r="E356" i="13" s="1" a="1"/>
  <c r="E356" i="13" s="1"/>
  <c r="E156" i="10"/>
  <c r="E357" i="13" s="1" a="1"/>
  <c r="E357" i="13" s="1"/>
  <c r="E157" i="10"/>
  <c r="F157" i="10"/>
  <c r="F155" i="10"/>
  <c r="F356" i="13" s="1" a="1"/>
  <c r="F356" i="13" s="1"/>
  <c r="F156" i="10"/>
  <c r="F357" i="13" s="1" a="1"/>
  <c r="F357" i="13" s="1"/>
  <c r="H157" i="10"/>
  <c r="H155" i="10"/>
  <c r="H356" i="13" s="1" a="1"/>
  <c r="H356" i="13" s="1"/>
  <c r="H156" i="10"/>
  <c r="H357" i="13" s="1" a="1"/>
  <c r="H357" i="13" s="1"/>
  <c r="O157" i="10"/>
  <c r="O155" i="10"/>
  <c r="O356" i="13" s="1" a="1"/>
  <c r="O356" i="13" s="1"/>
  <c r="O156" i="10"/>
  <c r="O357" i="13" s="1" a="1"/>
  <c r="O357" i="13" s="1"/>
  <c r="K327" i="13" a="1"/>
  <c r="K327" i="13" s="1"/>
  <c r="K328" i="13" s="1"/>
  <c r="K325" i="13" a="1"/>
  <c r="K325" i="13" s="1"/>
  <c r="K326" i="13" s="1"/>
  <c r="E332" i="13" a="1"/>
  <c r="E332" i="13" s="1"/>
  <c r="E333" i="13" s="1"/>
  <c r="E330" i="13" a="1"/>
  <c r="E330" i="13" s="1"/>
  <c r="E331" i="13" s="1"/>
  <c r="J327" i="13" a="1"/>
  <c r="J327" i="13" s="1"/>
  <c r="J328" i="13" s="1"/>
  <c r="J325" i="13" a="1"/>
  <c r="J325" i="13" s="1"/>
  <c r="J326" i="13" s="1"/>
  <c r="F266" i="13"/>
  <c r="N157" i="10"/>
  <c r="N155" i="10"/>
  <c r="N356" i="13" s="1" a="1"/>
  <c r="N356" i="13" s="1"/>
  <c r="N156" i="10"/>
  <c r="N357" i="13" s="1" a="1"/>
  <c r="N357" i="13" s="1"/>
  <c r="P154" i="10" a="1"/>
  <c r="P154" i="10" s="1"/>
  <c r="P128" i="10"/>
  <c r="H300" i="13"/>
  <c r="M266" i="13"/>
  <c r="G261" i="13"/>
  <c r="I295" i="13"/>
  <c r="K330" i="13" a="1"/>
  <c r="K330" i="13" s="1"/>
  <c r="K331" i="13" s="1"/>
  <c r="K332" i="13" a="1"/>
  <c r="K332" i="13" s="1"/>
  <c r="K333" i="13" s="1"/>
  <c r="E325" i="13" a="1"/>
  <c r="E325" i="13" s="1"/>
  <c r="E326" i="13" s="1"/>
  <c r="E327" i="13" a="1"/>
  <c r="E327" i="13" s="1"/>
  <c r="E328" i="13" s="1"/>
  <c r="N332" i="13" a="1"/>
  <c r="N332" i="13" s="1"/>
  <c r="N333" i="13" s="1"/>
  <c r="N330" i="13" a="1"/>
  <c r="N330" i="13" s="1"/>
  <c r="N331" i="13" s="1"/>
  <c r="D167" i="10"/>
  <c r="I154" i="10" a="1"/>
  <c r="I154" i="10" s="1"/>
  <c r="I158" i="10" s="1"/>
  <c r="D298" i="13" a="1"/>
  <c r="D298" i="13" s="1"/>
  <c r="D299" i="13" s="1"/>
  <c r="D296" i="13" a="1"/>
  <c r="D296" i="13" s="1"/>
  <c r="D297" i="13" s="1"/>
  <c r="D262" i="13" a="1"/>
  <c r="D262" i="13" s="1"/>
  <c r="D263" i="13" s="1"/>
  <c r="D264" i="13" a="1"/>
  <c r="D264" i="13" s="1"/>
  <c r="D265" i="13" s="1"/>
  <c r="F300" i="13"/>
  <c r="L261" i="13"/>
  <c r="I327" i="13" a="1"/>
  <c r="I327" i="13" s="1"/>
  <c r="I328" i="13" s="1"/>
  <c r="I325" i="13" a="1"/>
  <c r="I325" i="13" s="1"/>
  <c r="I326" i="13" s="1"/>
  <c r="M330" i="13" a="1"/>
  <c r="M330" i="13" s="1"/>
  <c r="M331" i="13" s="1"/>
  <c r="M332" i="13" a="1"/>
  <c r="M332" i="13" s="1"/>
  <c r="M333" i="13" s="1"/>
  <c r="N327" i="13" a="1"/>
  <c r="N327" i="13" s="1"/>
  <c r="N328" i="13" s="1"/>
  <c r="N325" i="13" a="1"/>
  <c r="N325" i="13" s="1"/>
  <c r="N326" i="13" s="1"/>
  <c r="I300" i="13"/>
  <c r="E167" i="10"/>
  <c r="H332" i="13" a="1"/>
  <c r="H332" i="13" s="1"/>
  <c r="H333" i="13" s="1"/>
  <c r="H330" i="13" a="1"/>
  <c r="H330" i="13" s="1"/>
  <c r="H331" i="13" s="1"/>
  <c r="M325" i="13" a="1"/>
  <c r="M325" i="13" s="1"/>
  <c r="M326" i="13" s="1"/>
  <c r="M327" i="13" a="1"/>
  <c r="M327" i="13" s="1"/>
  <c r="M328" i="13" s="1"/>
  <c r="G327" i="13" a="1"/>
  <c r="G327" i="13" s="1"/>
  <c r="G328" i="13" s="1"/>
  <c r="G325" i="13" a="1"/>
  <c r="G325" i="13" s="1"/>
  <c r="G326" i="13" s="1"/>
  <c r="G167" i="10"/>
  <c r="J332" i="13" a="1"/>
  <c r="J332" i="13" s="1"/>
  <c r="J333" i="13" s="1"/>
  <c r="J330" i="13" a="1"/>
  <c r="J330" i="13" s="1"/>
  <c r="J331" i="13" s="1"/>
  <c r="K167" i="10"/>
  <c r="F167" i="10"/>
  <c r="M295" i="13"/>
  <c r="G266" i="13"/>
  <c r="P127" i="10"/>
  <c r="K261" i="13"/>
  <c r="F295" i="13"/>
  <c r="G293" i="13" a="1"/>
  <c r="G293" i="13" s="1"/>
  <c r="G294" i="13" s="1"/>
  <c r="G291" i="13" a="1"/>
  <c r="G291" i="13" s="1"/>
  <c r="G292" i="13" s="1"/>
  <c r="F261" i="13"/>
  <c r="F325" i="13" a="1"/>
  <c r="F325" i="13" s="1"/>
  <c r="F326" i="13" s="1"/>
  <c r="F327" i="13" a="1"/>
  <c r="F327" i="13" s="1"/>
  <c r="F328" i="13" s="1"/>
  <c r="M167" i="10"/>
  <c r="D291" i="13" a="1"/>
  <c r="D291" i="13" s="1"/>
  <c r="D292" i="13" s="1"/>
  <c r="D293" i="13" a="1"/>
  <c r="D293" i="13" s="1"/>
  <c r="D294" i="13" s="1"/>
  <c r="G298" i="13" a="1"/>
  <c r="G298" i="13" s="1"/>
  <c r="G299" i="13" s="1"/>
  <c r="G296" i="13" a="1"/>
  <c r="G296" i="13" s="1"/>
  <c r="G297" i="13" s="1"/>
  <c r="O330" i="13" a="1"/>
  <c r="O330" i="13" s="1"/>
  <c r="O331" i="13" s="1"/>
  <c r="O332" i="13" a="1"/>
  <c r="O332" i="13" s="1"/>
  <c r="O333" i="13" s="1"/>
  <c r="G330" i="13" a="1"/>
  <c r="G330" i="13" s="1"/>
  <c r="G331" i="13" s="1"/>
  <c r="G332" i="13" a="1"/>
  <c r="G332" i="13" s="1"/>
  <c r="G333" i="13" s="1"/>
  <c r="O291" i="13" a="1"/>
  <c r="O291" i="13" s="1"/>
  <c r="O292" i="13" s="1"/>
  <c r="O293" i="13" a="1"/>
  <c r="O293" i="13" s="1"/>
  <c r="O294" i="13" s="1"/>
  <c r="D257" i="13" a="1"/>
  <c r="D257" i="13" s="1"/>
  <c r="D258" i="13" s="1"/>
  <c r="D259" i="13" a="1"/>
  <c r="D259" i="13" s="1"/>
  <c r="D260" i="13" s="1"/>
  <c r="H295" i="13"/>
  <c r="D322" i="13" a="1"/>
  <c r="D322" i="13" s="1"/>
  <c r="O298" i="13" a="1"/>
  <c r="O298" i="13" s="1"/>
  <c r="O299" i="13" s="1"/>
  <c r="O296" i="13" a="1"/>
  <c r="O296" i="13" s="1"/>
  <c r="O297" i="13" s="1"/>
  <c r="H261" i="13"/>
  <c r="K295" i="13"/>
  <c r="L327" i="13" a="1"/>
  <c r="L327" i="13" s="1"/>
  <c r="L328" i="13" s="1"/>
  <c r="L325" i="13" a="1"/>
  <c r="L325" i="13" s="1"/>
  <c r="L326" i="13" s="1"/>
  <c r="O325" i="13" a="1"/>
  <c r="O325" i="13" s="1"/>
  <c r="O326" i="13" s="1"/>
  <c r="O327" i="13" a="1"/>
  <c r="O327" i="13" s="1"/>
  <c r="O328" i="13" s="1"/>
  <c r="F330" i="13" a="1"/>
  <c r="F330" i="13" s="1"/>
  <c r="F331" i="13" s="1"/>
  <c r="F332" i="13" a="1"/>
  <c r="F332" i="13" s="1"/>
  <c r="F333" i="13" s="1"/>
  <c r="I238" i="13"/>
  <c r="J240" i="13"/>
  <c r="M238" i="13"/>
  <c r="D240" i="13"/>
  <c r="E272" i="13"/>
  <c r="N240" i="13"/>
  <c r="E238" i="13"/>
  <c r="J144" i="10"/>
  <c r="N144" i="10"/>
  <c r="HH15" i="9" a="1"/>
  <c r="HH15" i="9" s="1"/>
  <c r="HP15" i="9" s="1"/>
  <c r="P28" i="24" s="1" a="1"/>
  <c r="P28" i="24" s="1"/>
  <c r="EJ15" i="9" a="1"/>
  <c r="EJ15" i="9" s="1"/>
  <c r="ER15" i="9" s="1"/>
  <c r="L28" i="24" s="1" a="1"/>
  <c r="L28" i="24" s="1"/>
  <c r="GO15" i="9" a="1"/>
  <c r="GO15" i="9" s="1"/>
  <c r="GW15" i="9" s="1"/>
  <c r="O28" i="24" s="1" a="1"/>
  <c r="O28" i="24" s="1"/>
  <c r="M152" i="10"/>
  <c r="GF21" i="9" s="1" a="1"/>
  <c r="GF21" i="9" s="1"/>
  <c r="IJ14" i="9"/>
  <c r="IK14" i="9" s="1"/>
  <c r="Z13" i="9" a="1"/>
  <c r="Z13" i="9" s="1"/>
  <c r="IJ13" i="9" s="1"/>
  <c r="IK13" i="9" s="1"/>
  <c r="FC15" i="9" a="1"/>
  <c r="FC15" i="9" s="1"/>
  <c r="FK15" i="9" s="1"/>
  <c r="M28" i="24" s="1" a="1"/>
  <c r="M28" i="24" s="1"/>
  <c r="AS15" i="9" a="1"/>
  <c r="AS15" i="9" s="1"/>
  <c r="BA15" i="9" s="1"/>
  <c r="G28" i="24" s="1" a="1"/>
  <c r="G28" i="24" s="1"/>
  <c r="CE15" i="9" a="1"/>
  <c r="CE15" i="9" s="1"/>
  <c r="CM15" i="9" s="1"/>
  <c r="I28" i="24" s="1" a="1"/>
  <c r="I28" i="24" s="1"/>
  <c r="FV15" i="9" a="1"/>
  <c r="FV15" i="9" s="1"/>
  <c r="GD15" i="9" s="1"/>
  <c r="N28" i="24" s="1" a="1"/>
  <c r="N28" i="24" s="1"/>
  <c r="CX15" i="9" a="1"/>
  <c r="CX15" i="9" s="1"/>
  <c r="DF15" i="9" s="1"/>
  <c r="J28" i="24" s="1" a="1"/>
  <c r="J28" i="24" s="1"/>
  <c r="IA15" i="9" a="1"/>
  <c r="IA15" i="9" s="1"/>
  <c r="II15" i="9" s="1"/>
  <c r="Q28" i="24" s="1" a="1"/>
  <c r="Q28" i="24" s="1"/>
  <c r="HZ16" i="9"/>
  <c r="IH16" i="9" s="1"/>
  <c r="DP15" i="9"/>
  <c r="DX15" i="9" s="1"/>
  <c r="GN16" i="9"/>
  <c r="GV16" i="9" s="1"/>
  <c r="CD16" i="9"/>
  <c r="CL16" i="9" s="1"/>
  <c r="EI16" i="9"/>
  <c r="EQ16" i="9" s="1"/>
  <c r="DP16" i="9"/>
  <c r="DX16" i="9" s="1"/>
  <c r="CW16" i="9"/>
  <c r="DE16" i="9" s="1"/>
  <c r="K152" i="10"/>
  <c r="ET21" i="9" s="1" a="1"/>
  <c r="ET21" i="9" s="1"/>
  <c r="U15" i="9"/>
  <c r="D152" i="10"/>
  <c r="Q21" i="9" s="1" a="1"/>
  <c r="Q21" i="9" s="1"/>
  <c r="F152" i="10"/>
  <c r="BC21" i="9" s="1" a="1"/>
  <c r="BC21" i="9" s="1"/>
  <c r="F158" i="10"/>
  <c r="H158" i="10"/>
  <c r="J152" i="10"/>
  <c r="EA21" i="9" s="1" a="1"/>
  <c r="EA21" i="9" s="1"/>
  <c r="N158" i="10"/>
  <c r="I152" i="10"/>
  <c r="DH21" i="9" s="1" a="1"/>
  <c r="DH21" i="9" s="1"/>
  <c r="L152" i="10"/>
  <c r="FM21" i="9" s="1" a="1"/>
  <c r="FM21" i="9" s="1"/>
  <c r="G152" i="10"/>
  <c r="BV21" i="9" s="1" a="1"/>
  <c r="BV21" i="9" s="1"/>
  <c r="N152" i="10"/>
  <c r="GY21" i="9" s="1" a="1"/>
  <c r="GY21" i="9" s="1"/>
  <c r="O158" i="10"/>
  <c r="H167" i="10"/>
  <c r="H164" i="10"/>
  <c r="O152" i="10"/>
  <c r="HR21" i="9" s="1" a="1"/>
  <c r="HR21" i="9" s="1"/>
  <c r="J164" i="10"/>
  <c r="D164" i="10"/>
  <c r="P167" i="10"/>
  <c r="O164" i="10"/>
  <c r="E152" i="10"/>
  <c r="AJ21" i="9" s="1" a="1"/>
  <c r="AJ21" i="9" s="1"/>
  <c r="H152" i="10"/>
  <c r="CO21" i="9" s="1" a="1"/>
  <c r="CO21" i="9" s="1"/>
  <c r="J167" i="10"/>
  <c r="E164" i="10"/>
  <c r="K164" i="10"/>
  <c r="F164" i="10"/>
  <c r="L164" i="10"/>
  <c r="O167" i="10"/>
  <c r="O187" i="10"/>
  <c r="D187" i="10"/>
  <c r="F187" i="10"/>
  <c r="G187" i="10"/>
  <c r="M187" i="10"/>
  <c r="H187" i="10"/>
  <c r="L187" i="10"/>
  <c r="E187" i="10"/>
  <c r="N187" i="10"/>
  <c r="K187" i="10"/>
  <c r="J187" i="10"/>
  <c r="B188" i="10"/>
  <c r="I187" i="10"/>
  <c r="P187" i="10"/>
  <c r="J158" i="10"/>
  <c r="E165" i="10"/>
  <c r="P165" i="10"/>
  <c r="P166" i="10" s="1"/>
  <c r="M165" i="10"/>
  <c r="D165" i="10"/>
  <c r="I165" i="10"/>
  <c r="N165" i="10"/>
  <c r="L165" i="10"/>
  <c r="O165" i="10"/>
  <c r="F165" i="10"/>
  <c r="K165" i="10"/>
  <c r="G165" i="10"/>
  <c r="J165" i="10"/>
  <c r="B166" i="10"/>
  <c r="B167" i="10" s="1"/>
  <c r="B168" i="10" s="1"/>
  <c r="B169" i="10" s="1"/>
  <c r="B170" i="10" s="1"/>
  <c r="B171" i="10" s="1"/>
  <c r="B172" i="10" s="1"/>
  <c r="H165" i="10"/>
  <c r="N164" i="10"/>
  <c r="N167" i="10"/>
  <c r="B201" i="10" a="1"/>
  <c r="B201" i="10" s="1"/>
  <c r="A201" i="10" a="1"/>
  <c r="A201" i="10" s="1"/>
  <c r="G164" i="10"/>
  <c r="L167" i="10"/>
  <c r="F174" i="10"/>
  <c r="K174" i="10"/>
  <c r="M174" i="10"/>
  <c r="I174" i="10"/>
  <c r="P174" i="10"/>
  <c r="P178" i="10" s="1"/>
  <c r="B175" i="10"/>
  <c r="B176" i="10" s="1"/>
  <c r="B177" i="10" s="1"/>
  <c r="H174" i="10"/>
  <c r="J174" i="10"/>
  <c r="O174" i="10"/>
  <c r="D174" i="10"/>
  <c r="N174" i="10"/>
  <c r="B178" i="10"/>
  <c r="B179" i="10" s="1"/>
  <c r="G174" i="10"/>
  <c r="E174" i="10"/>
  <c r="L174" i="10"/>
  <c r="H144" i="10"/>
  <c r="I164" i="10"/>
  <c r="M164" i="10"/>
  <c r="I167" i="10"/>
  <c r="P130" i="10"/>
  <c r="IN14" i="9"/>
  <c r="IO14" i="9" s="1"/>
  <c r="R215" i="10"/>
  <c r="M242" i="13" l="1"/>
  <c r="GL17" i="9" s="1" a="1"/>
  <c r="GL17" i="9" s="1"/>
  <c r="IN12" i="9"/>
  <c r="IO12" i="9" s="1"/>
  <c r="L25" i="24" a="1"/>
  <c r="L25" i="24" s="1"/>
  <c r="D208" i="13"/>
  <c r="W16" i="9" s="1" a="1"/>
  <c r="W16" i="9" s="1"/>
  <c r="Y16" i="9" s="1"/>
  <c r="AG16" i="9" s="1"/>
  <c r="E28" i="25" a="1"/>
  <c r="E28" i="25" s="1"/>
  <c r="Q28" i="25" s="1"/>
  <c r="V16" i="9"/>
  <c r="I242" i="13"/>
  <c r="DN17" i="9" s="1" a="1"/>
  <c r="DN17" i="9" s="1"/>
  <c r="DP17" i="9" s="1"/>
  <c r="DX17" i="9" s="1"/>
  <c r="N242" i="13"/>
  <c r="HE17" i="9" s="1" a="1"/>
  <c r="HE17" i="9" s="1"/>
  <c r="HG17" i="9" s="1"/>
  <c r="HO17" i="9" s="1"/>
  <c r="E276" i="13"/>
  <c r="AP18" i="9" s="1" a="1"/>
  <c r="AP18" i="9" s="1"/>
  <c r="D242" i="13"/>
  <c r="P168" i="10" a="1"/>
  <c r="P168" i="10" s="1"/>
  <c r="V17" i="9"/>
  <c r="J242" i="13"/>
  <c r="EG17" i="9" s="1" a="1"/>
  <c r="EG17" i="9" s="1"/>
  <c r="EI17" i="9" s="1"/>
  <c r="EQ17" i="9" s="1"/>
  <c r="E242" i="13"/>
  <c r="AP17" i="9" s="1" a="1"/>
  <c r="AP17" i="9" s="1"/>
  <c r="O337" i="13" a="1"/>
  <c r="O337" i="13" s="1"/>
  <c r="O338" i="13" s="1"/>
  <c r="O339" i="13" s="1"/>
  <c r="I308" i="13"/>
  <c r="DK19" i="9" a="1"/>
  <c r="DK19" i="9" s="1"/>
  <c r="D274" i="13"/>
  <c r="D306" i="13"/>
  <c r="T19" i="9" a="1"/>
  <c r="T19" i="9" s="1"/>
  <c r="E31" i="25" s="1" a="1"/>
  <c r="E31" i="25" s="1"/>
  <c r="F308" i="13"/>
  <c r="BF19" i="9" a="1"/>
  <c r="BF19" i="9" s="1"/>
  <c r="G308" i="13"/>
  <c r="BY19" i="9" a="1"/>
  <c r="BY19" i="9" s="1"/>
  <c r="H308" i="13"/>
  <c r="CR19" i="9" a="1"/>
  <c r="CR19" i="9" s="1"/>
  <c r="L308" i="13"/>
  <c r="FP19" i="9" a="1"/>
  <c r="FP19" i="9" s="1"/>
  <c r="K274" i="13"/>
  <c r="EW18" i="9" a="1"/>
  <c r="EW18" i="9" s="1"/>
  <c r="O272" i="13"/>
  <c r="HU18" i="9" a="1"/>
  <c r="HU18" i="9" s="1"/>
  <c r="J272" i="13"/>
  <c r="ED18" i="9" a="1"/>
  <c r="ED18" i="9" s="1"/>
  <c r="I274" i="13"/>
  <c r="DK18" i="9" a="1"/>
  <c r="DK18" i="9" s="1"/>
  <c r="I30" i="25" a="1"/>
  <c r="I30" i="25" s="1"/>
  <c r="CT18" i="9"/>
  <c r="L274" i="13"/>
  <c r="FP18" i="9" a="1"/>
  <c r="FP18" i="9" s="1"/>
  <c r="D272" i="13"/>
  <c r="T18" i="9" a="1"/>
  <c r="T18" i="9" s="1"/>
  <c r="E30" i="25" s="1" a="1"/>
  <c r="E30" i="25" s="1"/>
  <c r="G274" i="13"/>
  <c r="G276" i="13" s="1"/>
  <c r="CB18" i="9" s="1" a="1"/>
  <c r="CB18" i="9" s="1"/>
  <c r="BY18" i="9" a="1"/>
  <c r="BY18" i="9" s="1"/>
  <c r="F30" i="25" a="1"/>
  <c r="F30" i="25" s="1"/>
  <c r="AO18" i="9"/>
  <c r="N274" i="13"/>
  <c r="HB18" i="9" a="1"/>
  <c r="HB18" i="9" s="1"/>
  <c r="N30" i="25" a="1"/>
  <c r="N30" i="25" s="1"/>
  <c r="GK18" i="9"/>
  <c r="L29" i="25" a="1"/>
  <c r="L29" i="25" s="1"/>
  <c r="EY17" i="9"/>
  <c r="EX17" i="9"/>
  <c r="J29" i="25" a="1"/>
  <c r="J29" i="25" s="1"/>
  <c r="DM17" i="9"/>
  <c r="O29" i="25" a="1"/>
  <c r="O29" i="25" s="1"/>
  <c r="HD17" i="9"/>
  <c r="K29" i="25" a="1"/>
  <c r="K29" i="25" s="1"/>
  <c r="EF17" i="9"/>
  <c r="F29" i="25" a="1"/>
  <c r="F29" i="25" s="1"/>
  <c r="AO17" i="9"/>
  <c r="DL17" i="9"/>
  <c r="EE17" i="9"/>
  <c r="N29" i="25" a="1"/>
  <c r="N29" i="25" s="1"/>
  <c r="GK17" i="9"/>
  <c r="GJ17" i="9"/>
  <c r="K335" i="13" a="1"/>
  <c r="K335" i="13" s="1"/>
  <c r="K336" i="13" s="1"/>
  <c r="K339" i="13" s="1"/>
  <c r="O303" i="13" a="1"/>
  <c r="O303" i="13" s="1"/>
  <c r="O304" i="13" s="1"/>
  <c r="O305" i="13" s="1"/>
  <c r="D158" i="10"/>
  <c r="X21" i="9" s="1" a="1"/>
  <c r="X21" i="9" s="1"/>
  <c r="J301" i="13" a="1"/>
  <c r="J301" i="13" s="1"/>
  <c r="J302" i="13" s="1"/>
  <c r="J305" i="13" s="1"/>
  <c r="N272" i="13"/>
  <c r="E335" i="13" a="1"/>
  <c r="E335" i="13" s="1"/>
  <c r="E336" i="13" s="1"/>
  <c r="E339" i="13" s="1"/>
  <c r="D156" i="10"/>
  <c r="D357" i="13" s="1" a="1"/>
  <c r="D357" i="13" s="1"/>
  <c r="K272" i="13"/>
  <c r="BX18" i="9" a="1"/>
  <c r="BX18" i="9" s="1"/>
  <c r="M272" i="13"/>
  <c r="M274" i="13"/>
  <c r="D157" i="10"/>
  <c r="GH18" i="9" a="1"/>
  <c r="GH18" i="9" s="1"/>
  <c r="GJ18" i="9" s="1"/>
  <c r="E301" i="13" a="1"/>
  <c r="E301" i="13" s="1"/>
  <c r="E302" i="13" s="1"/>
  <c r="E305" i="13" s="1"/>
  <c r="L272" i="13"/>
  <c r="M335" i="13" a="1"/>
  <c r="M335" i="13" s="1"/>
  <c r="M336" i="13" s="1"/>
  <c r="M339" i="13" s="1"/>
  <c r="IJ12" i="9"/>
  <c r="IK12" i="9" s="1"/>
  <c r="H274" i="13"/>
  <c r="H272" i="13"/>
  <c r="O358" i="13" a="1"/>
  <c r="O358" i="13" s="1"/>
  <c r="O369" i="13" s="1" a="1"/>
  <c r="O369" i="13" s="1"/>
  <c r="O370" i="13" s="1"/>
  <c r="HY21" i="9" a="1"/>
  <c r="HY21" i="9" s="1"/>
  <c r="HS21" i="9" a="1"/>
  <c r="HS21" i="9" s="1"/>
  <c r="P33" i="27" s="1" a="1"/>
  <c r="P33" i="27" s="1"/>
  <c r="F335" i="13" a="1"/>
  <c r="F335" i="13" s="1"/>
  <c r="F336" i="13" s="1"/>
  <c r="F339" i="13" s="1"/>
  <c r="M301" i="13" a="1"/>
  <c r="M301" i="13" s="1"/>
  <c r="M302" i="13" s="1"/>
  <c r="M305" i="13" s="1"/>
  <c r="HT18" i="9" a="1"/>
  <c r="HT18" i="9" s="1"/>
  <c r="I272" i="13"/>
  <c r="P31" i="27" a="1"/>
  <c r="P31" i="27" s="1"/>
  <c r="FO19" i="9" a="1"/>
  <c r="FO19" i="9" s="1"/>
  <c r="N358" i="13" a="1"/>
  <c r="N358" i="13" s="1"/>
  <c r="N369" i="13" s="1" a="1"/>
  <c r="N369" i="13" s="1"/>
  <c r="N370" i="13" s="1"/>
  <c r="HF21" i="9" a="1"/>
  <c r="HF21" i="9" s="1"/>
  <c r="GZ21" i="9" a="1"/>
  <c r="GZ21" i="9" s="1"/>
  <c r="O33" i="27" s="1" a="1"/>
  <c r="O33" i="27" s="1"/>
  <c r="AL18" i="9" a="1"/>
  <c r="AL18" i="9" s="1"/>
  <c r="AN18" i="9" s="1"/>
  <c r="HA19" i="9" a="1"/>
  <c r="HA19" i="9" s="1"/>
  <c r="N324" i="13" a="1"/>
  <c r="N324" i="13" s="1"/>
  <c r="N337" i="13" s="1" a="1"/>
  <c r="N337" i="13" s="1"/>
  <c r="N338" i="13" s="1"/>
  <c r="HF20" i="9" a="1"/>
  <c r="HF20" i="9" s="1"/>
  <c r="GZ20" i="9" a="1"/>
  <c r="GZ20" i="9" s="1"/>
  <c r="HA18" i="9" a="1"/>
  <c r="HA18" i="9" s="1"/>
  <c r="O31" i="27" a="1"/>
  <c r="O31" i="27" s="1"/>
  <c r="DJ19" i="9" a="1"/>
  <c r="DJ19" i="9" s="1"/>
  <c r="N303" i="13" a="1"/>
  <c r="N303" i="13" s="1"/>
  <c r="N304" i="13" s="1"/>
  <c r="N301" i="13" a="1"/>
  <c r="N301" i="13" s="1"/>
  <c r="N302" i="13" s="1"/>
  <c r="K303" i="13" a="1"/>
  <c r="K303" i="13" s="1"/>
  <c r="K304" i="13" s="1"/>
  <c r="K305" i="13" s="1"/>
  <c r="G337" i="13" a="1"/>
  <c r="G337" i="13" s="1"/>
  <c r="G338" i="13" s="1"/>
  <c r="G339" i="13" s="1"/>
  <c r="GH19" i="9" a="1"/>
  <c r="GH19" i="9" s="1"/>
  <c r="N31" i="27" a="1"/>
  <c r="N31" i="27" s="1"/>
  <c r="FO18" i="9" a="1"/>
  <c r="FO18" i="9" s="1"/>
  <c r="L324" i="13" a="1"/>
  <c r="L324" i="13" s="1"/>
  <c r="FT20" i="9" a="1"/>
  <c r="FT20" i="9" s="1"/>
  <c r="FN20" i="9" a="1"/>
  <c r="FN20" i="9" s="1"/>
  <c r="EC18" i="9" a="1"/>
  <c r="EC18" i="9" s="1"/>
  <c r="EV18" i="9" a="1"/>
  <c r="EV18" i="9" s="1"/>
  <c r="L31" i="27" a="1"/>
  <c r="L31" i="27" s="1"/>
  <c r="EV19" i="9" a="1"/>
  <c r="EV19" i="9" s="1"/>
  <c r="K240" i="13"/>
  <c r="K238" i="13"/>
  <c r="K31" i="27" a="1"/>
  <c r="K31" i="27" s="1"/>
  <c r="EC19" i="9" a="1"/>
  <c r="EC19" i="9" s="1"/>
  <c r="J358" i="13" a="1"/>
  <c r="J358" i="13" s="1"/>
  <c r="J371" i="13" s="1" a="1"/>
  <c r="J371" i="13" s="1"/>
  <c r="J372" i="13" s="1"/>
  <c r="EH21" i="9" a="1"/>
  <c r="EH21" i="9" s="1"/>
  <c r="EB21" i="9" a="1"/>
  <c r="EB21" i="9" s="1"/>
  <c r="K33" i="27" s="1" a="1"/>
  <c r="K33" i="27" s="1"/>
  <c r="J324" i="13" a="1"/>
  <c r="J324" i="13" s="1"/>
  <c r="J335" i="13" s="1" a="1"/>
  <c r="J335" i="13" s="1"/>
  <c r="J336" i="13" s="1"/>
  <c r="EH20" i="9" a="1"/>
  <c r="EH20" i="9" s="1"/>
  <c r="EB20" i="9" a="1"/>
  <c r="EB20" i="9" s="1"/>
  <c r="P141" i="10"/>
  <c r="DJ18" i="9" a="1"/>
  <c r="DJ18" i="9" s="1"/>
  <c r="CQ18" i="9" a="1"/>
  <c r="CQ18" i="9" s="1"/>
  <c r="CS18" i="9" s="1"/>
  <c r="I358" i="13" a="1"/>
  <c r="I358" i="13" s="1"/>
  <c r="I369" i="13" s="1" a="1"/>
  <c r="I369" i="13" s="1"/>
  <c r="I370" i="13" s="1"/>
  <c r="DI21" i="9" a="1"/>
  <c r="DI21" i="9" s="1"/>
  <c r="J33" i="27" s="1" a="1"/>
  <c r="J33" i="27" s="1"/>
  <c r="DO21" i="9" a="1"/>
  <c r="DO21" i="9" s="1"/>
  <c r="I324" i="13" a="1"/>
  <c r="I324" i="13" s="1"/>
  <c r="DI20" i="9" a="1"/>
  <c r="DI20" i="9" s="1"/>
  <c r="DO20" i="9" a="1"/>
  <c r="DO20" i="9" s="1"/>
  <c r="H324" i="13" a="1"/>
  <c r="H324" i="13" s="1"/>
  <c r="H337" i="13" s="1" a="1"/>
  <c r="H337" i="13" s="1"/>
  <c r="H338" i="13" s="1"/>
  <c r="CV20" i="9" a="1"/>
  <c r="CV20" i="9" s="1"/>
  <c r="CP20" i="9" a="1"/>
  <c r="CP20" i="9" s="1"/>
  <c r="H358" i="13" a="1"/>
  <c r="H358" i="13" s="1"/>
  <c r="H371" i="13" s="1" a="1"/>
  <c r="H371" i="13" s="1"/>
  <c r="H372" i="13" s="1"/>
  <c r="CV21" i="9" a="1"/>
  <c r="CV21" i="9" s="1"/>
  <c r="CP21" i="9" a="1"/>
  <c r="CP21" i="9" s="1"/>
  <c r="I33" i="27" s="1" a="1"/>
  <c r="I33" i="27" s="1"/>
  <c r="F271" i="13"/>
  <c r="BF18" i="9" s="1" a="1"/>
  <c r="BF18" i="9" s="1"/>
  <c r="CQ19" i="9" a="1"/>
  <c r="CQ19" i="9" s="1"/>
  <c r="CS19" i="9" s="1"/>
  <c r="BE19" i="9" a="1"/>
  <c r="BE19" i="9" s="1"/>
  <c r="F358" i="13" a="1"/>
  <c r="F358" i="13" s="1"/>
  <c r="F369" i="13" s="1" a="1"/>
  <c r="F369" i="13" s="1"/>
  <c r="F370" i="13" s="1"/>
  <c r="BJ21" i="9" a="1"/>
  <c r="BJ21" i="9" s="1"/>
  <c r="BD21" i="9" a="1"/>
  <c r="BD21" i="9" s="1"/>
  <c r="G33" i="27" s="1" a="1"/>
  <c r="G33" i="27" s="1"/>
  <c r="BE18" i="9" a="1"/>
  <c r="BE18" i="9" s="1"/>
  <c r="F31" i="27" a="1"/>
  <c r="F31" i="27" s="1"/>
  <c r="AL19" i="9" a="1"/>
  <c r="AL19" i="9" s="1"/>
  <c r="E208" i="13"/>
  <c r="AP16" i="9" s="1" a="1"/>
  <c r="AP16" i="9" s="1"/>
  <c r="AR16" i="9" s="1"/>
  <c r="AZ16" i="9" s="1"/>
  <c r="H325" i="13" a="1"/>
  <c r="H325" i="13" s="1"/>
  <c r="H326" i="13" s="1"/>
  <c r="H329" i="13" s="1"/>
  <c r="D324" i="13" a="1"/>
  <c r="D324" i="13" s="1"/>
  <c r="R20" i="9" a="1"/>
  <c r="R20" i="9" s="1"/>
  <c r="E32" i="27" s="1" a="1"/>
  <c r="E32" i="27" s="1"/>
  <c r="L330" i="13" a="1"/>
  <c r="L330" i="13" s="1"/>
  <c r="L331" i="13" s="1"/>
  <c r="L334" i="13" s="1"/>
  <c r="G158" i="10"/>
  <c r="P143" i="10"/>
  <c r="L155" i="10"/>
  <c r="L356" i="13" s="1" a="1"/>
  <c r="L356" i="13" s="1"/>
  <c r="L361" i="13" s="1" a="1"/>
  <c r="L361" i="13" s="1"/>
  <c r="L362" i="13" s="1"/>
  <c r="L157" i="10"/>
  <c r="G157" i="10"/>
  <c r="G156" i="10"/>
  <c r="G357" i="13" s="1" a="1"/>
  <c r="G357" i="13" s="1"/>
  <c r="G364" i="13" s="1" a="1"/>
  <c r="G364" i="13" s="1"/>
  <c r="G365" i="13" s="1"/>
  <c r="P142" i="10"/>
  <c r="I332" i="13" a="1"/>
  <c r="I332" i="13" s="1"/>
  <c r="I333" i="13" s="1"/>
  <c r="I334" i="13" s="1"/>
  <c r="O295" i="13"/>
  <c r="M329" i="13"/>
  <c r="D300" i="13"/>
  <c r="L329" i="13"/>
  <c r="D261" i="13"/>
  <c r="O334" i="13"/>
  <c r="J329" i="13"/>
  <c r="F334" i="13"/>
  <c r="G334" i="13"/>
  <c r="K334" i="13"/>
  <c r="N329" i="13"/>
  <c r="D266" i="13"/>
  <c r="K329" i="13"/>
  <c r="H168" i="10" a="1"/>
  <c r="H168" i="10" s="1"/>
  <c r="H171" i="10" s="1"/>
  <c r="M168" i="10" a="1"/>
  <c r="M168" i="10" s="1"/>
  <c r="M171" i="10" s="1"/>
  <c r="D168" i="10" a="1"/>
  <c r="D168" i="10" s="1"/>
  <c r="D171" i="10" s="1"/>
  <c r="O361" i="13" a="1"/>
  <c r="O361" i="13" s="1"/>
  <c r="O362" i="13" s="1"/>
  <c r="O359" i="13" a="1"/>
  <c r="O359" i="13" s="1"/>
  <c r="O360" i="13" s="1"/>
  <c r="J366" i="13" a="1"/>
  <c r="J366" i="13" s="1"/>
  <c r="J367" i="13" s="1"/>
  <c r="J364" i="13" a="1"/>
  <c r="J364" i="13" s="1"/>
  <c r="J365" i="13" s="1"/>
  <c r="G300" i="13"/>
  <c r="F329" i="13"/>
  <c r="N334" i="13"/>
  <c r="E334" i="13"/>
  <c r="F366" i="13" a="1"/>
  <c r="F366" i="13" s="1"/>
  <c r="F367" i="13" s="1"/>
  <c r="F364" i="13" a="1"/>
  <c r="F364" i="13" s="1"/>
  <c r="F365" i="13" s="1"/>
  <c r="J361" i="13" a="1"/>
  <c r="J361" i="13" s="1"/>
  <c r="J362" i="13" s="1"/>
  <c r="J359" i="13" a="1"/>
  <c r="J359" i="13" s="1"/>
  <c r="J360" i="13" s="1"/>
  <c r="O168" i="10" a="1"/>
  <c r="O168" i="10" s="1"/>
  <c r="O171" i="10" s="1"/>
  <c r="O300" i="13"/>
  <c r="J334" i="13"/>
  <c r="EC20" i="9" s="1" a="1"/>
  <c r="EC20" i="9" s="1"/>
  <c r="F359" i="13" a="1"/>
  <c r="F359" i="13" s="1"/>
  <c r="F360" i="13" s="1"/>
  <c r="F361" i="13" a="1"/>
  <c r="F361" i="13" s="1"/>
  <c r="F362" i="13" s="1"/>
  <c r="I168" i="10" a="1"/>
  <c r="I168" i="10" s="1"/>
  <c r="I171" i="10" s="1"/>
  <c r="O329" i="13"/>
  <c r="D295" i="13"/>
  <c r="H334" i="13"/>
  <c r="D356" i="13" a="1"/>
  <c r="D356" i="13" s="1"/>
  <c r="E329" i="13"/>
  <c r="N366" i="13" a="1"/>
  <c r="N366" i="13" s="1"/>
  <c r="N367" i="13" s="1"/>
  <c r="N364" i="13" a="1"/>
  <c r="N364" i="13" s="1"/>
  <c r="N365" i="13" s="1"/>
  <c r="K361" i="13" a="1"/>
  <c r="K361" i="13" s="1"/>
  <c r="K362" i="13" s="1"/>
  <c r="K359" i="13" a="1"/>
  <c r="K359" i="13" s="1"/>
  <c r="K360" i="13" s="1"/>
  <c r="M181" i="10"/>
  <c r="N168" i="10" a="1"/>
  <c r="N168" i="10" s="1"/>
  <c r="N171" i="10" s="1"/>
  <c r="L364" i="13" a="1"/>
  <c r="L364" i="13" s="1"/>
  <c r="L365" i="13" s="1"/>
  <c r="L366" i="13" a="1"/>
  <c r="L366" i="13" s="1"/>
  <c r="L367" i="13" s="1"/>
  <c r="F168" i="10" a="1"/>
  <c r="F168" i="10" s="1"/>
  <c r="F171" i="10" s="1"/>
  <c r="N359" i="13" a="1"/>
  <c r="N359" i="13" s="1"/>
  <c r="N360" i="13" s="1"/>
  <c r="N361" i="13" a="1"/>
  <c r="N361" i="13" s="1"/>
  <c r="N362" i="13" s="1"/>
  <c r="K364" i="13" a="1"/>
  <c r="K364" i="13" s="1"/>
  <c r="K365" i="13" s="1"/>
  <c r="K366" i="13" a="1"/>
  <c r="K366" i="13" s="1"/>
  <c r="K367" i="13" s="1"/>
  <c r="N181" i="10"/>
  <c r="D181" i="10"/>
  <c r="F181" i="10"/>
  <c r="D325" i="13" a="1"/>
  <c r="D325" i="13" s="1"/>
  <c r="D326" i="13" s="1"/>
  <c r="D327" i="13" a="1"/>
  <c r="D327" i="13" s="1"/>
  <c r="D328" i="13" s="1"/>
  <c r="G359" i="13" a="1"/>
  <c r="G359" i="13" s="1"/>
  <c r="G360" i="13" s="1"/>
  <c r="G361" i="13" a="1"/>
  <c r="G361" i="13" s="1"/>
  <c r="G362" i="13" s="1"/>
  <c r="G295" i="13"/>
  <c r="G168" i="10" a="1"/>
  <c r="G168" i="10" s="1"/>
  <c r="G171" i="10" s="1"/>
  <c r="M334" i="13"/>
  <c r="E364" i="13" a="1"/>
  <c r="E364" i="13" s="1"/>
  <c r="E365" i="13" s="1"/>
  <c r="E366" i="13" a="1"/>
  <c r="E366" i="13" s="1"/>
  <c r="E367" i="13" s="1"/>
  <c r="M359" i="13" a="1"/>
  <c r="M359" i="13" s="1"/>
  <c r="M360" i="13" s="1"/>
  <c r="M361" i="13" a="1"/>
  <c r="M361" i="13" s="1"/>
  <c r="M362" i="13" s="1"/>
  <c r="J181" i="10"/>
  <c r="L168" i="10" a="1"/>
  <c r="L168" i="10" s="1"/>
  <c r="L171" i="10" s="1"/>
  <c r="K168" i="10" a="1"/>
  <c r="K168" i="10" s="1"/>
  <c r="K171" i="10" s="1"/>
  <c r="E168" i="10" a="1"/>
  <c r="E168" i="10" s="1"/>
  <c r="I155" i="10"/>
  <c r="I356" i="13" s="1" a="1"/>
  <c r="I356" i="13" s="1"/>
  <c r="I156" i="10"/>
  <c r="I357" i="13" s="1" a="1"/>
  <c r="I357" i="13" s="1"/>
  <c r="I157" i="10"/>
  <c r="H366" i="13" a="1"/>
  <c r="H366" i="13" s="1"/>
  <c r="H367" i="13" s="1"/>
  <c r="H364" i="13" a="1"/>
  <c r="H364" i="13" s="1"/>
  <c r="H365" i="13" s="1"/>
  <c r="E359" i="13" a="1"/>
  <c r="E359" i="13" s="1"/>
  <c r="E360" i="13" s="1"/>
  <c r="E361" i="13" a="1"/>
  <c r="E361" i="13" s="1"/>
  <c r="E362" i="13" s="1"/>
  <c r="H181" i="10"/>
  <c r="J168" i="10" a="1"/>
  <c r="J168" i="10" s="1"/>
  <c r="J171" i="10" s="1"/>
  <c r="G329" i="13"/>
  <c r="I329" i="13"/>
  <c r="D330" i="13" a="1"/>
  <c r="D330" i="13" s="1"/>
  <c r="D331" i="13" s="1"/>
  <c r="D332" i="13" a="1"/>
  <c r="D332" i="13" s="1"/>
  <c r="D333" i="13" s="1"/>
  <c r="O366" i="13" a="1"/>
  <c r="O366" i="13" s="1"/>
  <c r="O367" i="13" s="1"/>
  <c r="O364" i="13" a="1"/>
  <c r="O364" i="13" s="1"/>
  <c r="O365" i="13" s="1"/>
  <c r="H361" i="13" a="1"/>
  <c r="H361" i="13" s="1"/>
  <c r="H362" i="13" s="1"/>
  <c r="H359" i="13" a="1"/>
  <c r="H359" i="13" s="1"/>
  <c r="H360" i="13" s="1"/>
  <c r="M364" i="13" a="1"/>
  <c r="M364" i="13" s="1"/>
  <c r="M365" i="13" s="1"/>
  <c r="M366" i="13" a="1"/>
  <c r="M366" i="13" s="1"/>
  <c r="M367" i="13" s="1"/>
  <c r="J274" i="13"/>
  <c r="H306" i="13"/>
  <c r="H310" i="13" s="1"/>
  <c r="CU19" i="9" s="1" a="1"/>
  <c r="CU19" i="9" s="1"/>
  <c r="F306" i="13"/>
  <c r="I306" i="13"/>
  <c r="L306" i="13"/>
  <c r="G306" i="13"/>
  <c r="D308" i="13"/>
  <c r="O274" i="13"/>
  <c r="K158" i="10"/>
  <c r="E158" i="10"/>
  <c r="M158" i="10"/>
  <c r="FV16" i="9" a="1"/>
  <c r="FV16" i="9" s="1"/>
  <c r="GD16" i="9" s="1"/>
  <c r="N29" i="24" s="1" a="1"/>
  <c r="N29" i="24" s="1"/>
  <c r="DQ15" i="9" a="1"/>
  <c r="DQ15" i="9" s="1"/>
  <c r="DY15" i="9" s="1"/>
  <c r="K28" i="24" s="1" a="1"/>
  <c r="K28" i="24" s="1"/>
  <c r="AH13" i="9"/>
  <c r="F26" i="24" s="1" a="1"/>
  <c r="F26" i="24" s="1"/>
  <c r="IA16" i="9" a="1"/>
  <c r="IA16" i="9" s="1"/>
  <c r="II16" i="9" s="1"/>
  <c r="Q29" i="24" s="1" a="1"/>
  <c r="Q29" i="24" s="1"/>
  <c r="GO16" i="9" a="1"/>
  <c r="GO16" i="9" s="1"/>
  <c r="GW16" i="9" s="1"/>
  <c r="O29" i="24" s="1" a="1"/>
  <c r="O29" i="24" s="1"/>
  <c r="CE16" i="9" a="1"/>
  <c r="CE16" i="9" s="1"/>
  <c r="CM16" i="9" s="1"/>
  <c r="I29" i="24" s="1" a="1"/>
  <c r="I29" i="24" s="1"/>
  <c r="CX16" i="9" a="1"/>
  <c r="CX16" i="9" s="1"/>
  <c r="DF16" i="9" s="1"/>
  <c r="J29" i="24" s="1" a="1"/>
  <c r="J29" i="24" s="1"/>
  <c r="EJ16" i="9" a="1"/>
  <c r="EJ16" i="9" s="1"/>
  <c r="ER16" i="9" s="1"/>
  <c r="L29" i="24" s="1" a="1"/>
  <c r="L29" i="24" s="1"/>
  <c r="DQ16" i="9" a="1"/>
  <c r="DQ16" i="9" s="1"/>
  <c r="DY16" i="9" s="1"/>
  <c r="K29" i="24" s="1" a="1"/>
  <c r="K29" i="24" s="1"/>
  <c r="GN17" i="9"/>
  <c r="GV17" i="9" s="1"/>
  <c r="W15" i="9" a="1"/>
  <c r="W15" i="9" s="1"/>
  <c r="Y15" i="9" s="1"/>
  <c r="AG15" i="9" s="1"/>
  <c r="IL15" i="9" s="1"/>
  <c r="IM15" i="9" s="1"/>
  <c r="FU17" i="9"/>
  <c r="GC17" i="9" s="1"/>
  <c r="BK17" i="9"/>
  <c r="BL17" i="9" s="1" a="1"/>
  <c r="BL17" i="9" s="1"/>
  <c r="CD17" i="9"/>
  <c r="CL17" i="9" s="1"/>
  <c r="CW17" i="9"/>
  <c r="DE17" i="9" s="1"/>
  <c r="HG16" i="9"/>
  <c r="HO16" i="9" s="1"/>
  <c r="FB16" i="9"/>
  <c r="FJ16" i="9" s="1"/>
  <c r="HZ17" i="9"/>
  <c r="IH17" i="9" s="1"/>
  <c r="S17" i="9" a="1"/>
  <c r="S17" i="9" s="1"/>
  <c r="U17" i="9" s="1"/>
  <c r="M166" i="10"/>
  <c r="GF22" i="9" s="1" a="1"/>
  <c r="GF22" i="9" s="1"/>
  <c r="F166" i="10"/>
  <c r="BC22" i="9" s="1" a="1"/>
  <c r="BC22" i="9" s="1"/>
  <c r="E166" i="10"/>
  <c r="AJ22" i="9" s="1" a="1"/>
  <c r="AJ22" i="9" s="1"/>
  <c r="I166" i="10"/>
  <c r="DH22" i="9" s="1" a="1"/>
  <c r="DH22" i="9" s="1"/>
  <c r="L178" i="10"/>
  <c r="H178" i="10"/>
  <c r="K166" i="10"/>
  <c r="ET22" i="9" s="1" a="1"/>
  <c r="ET22" i="9" s="1"/>
  <c r="O166" i="10"/>
  <c r="HR22" i="9" s="1" a="1"/>
  <c r="HR22" i="9" s="1"/>
  <c r="E178" i="10"/>
  <c r="G166" i="10"/>
  <c r="BV22" i="9" s="1" a="1"/>
  <c r="BV22" i="9" s="1"/>
  <c r="G178" i="10"/>
  <c r="A215" i="10" a="1"/>
  <c r="A215" i="10" s="1"/>
  <c r="B215" i="10" a="1"/>
  <c r="B215" i="10" s="1"/>
  <c r="K179" i="10"/>
  <c r="J179" i="10"/>
  <c r="D179" i="10"/>
  <c r="O179" i="10"/>
  <c r="B180" i="10"/>
  <c r="B181" i="10" s="1"/>
  <c r="B182" i="10" s="1"/>
  <c r="B183" i="10" s="1"/>
  <c r="B184" i="10" s="1"/>
  <c r="B185" i="10" s="1"/>
  <c r="B186" i="10" s="1"/>
  <c r="I179" i="10"/>
  <c r="M179" i="10"/>
  <c r="L179" i="10"/>
  <c r="P179" i="10"/>
  <c r="P180" i="10" s="1"/>
  <c r="H179" i="10"/>
  <c r="F179" i="10"/>
  <c r="N179" i="10"/>
  <c r="G179" i="10"/>
  <c r="E179" i="10"/>
  <c r="I181" i="10"/>
  <c r="I178" i="10"/>
  <c r="G181" i="10"/>
  <c r="H166" i="10"/>
  <c r="CO22" i="9" s="1" a="1"/>
  <c r="CO22" i="9" s="1"/>
  <c r="N178" i="10"/>
  <c r="M178" i="10"/>
  <c r="L158" i="10"/>
  <c r="E181" i="10"/>
  <c r="D166" i="10"/>
  <c r="Q22" i="9" s="1" a="1"/>
  <c r="Q22" i="9" s="1"/>
  <c r="P181" i="10"/>
  <c r="D178" i="10"/>
  <c r="K178" i="10"/>
  <c r="K181" i="10"/>
  <c r="O181" i="10"/>
  <c r="O178" i="10"/>
  <c r="F178" i="10"/>
  <c r="N166" i="10"/>
  <c r="GY22" i="9" s="1" a="1"/>
  <c r="GY22" i="9" s="1"/>
  <c r="J188" i="10"/>
  <c r="O188" i="10"/>
  <c r="N188" i="10"/>
  <c r="E188" i="10"/>
  <c r="I188" i="10"/>
  <c r="L188" i="10"/>
  <c r="H188" i="10"/>
  <c r="D188" i="10"/>
  <c r="F188" i="10"/>
  <c r="B192" i="10"/>
  <c r="B193" i="10" s="1"/>
  <c r="P188" i="10"/>
  <c r="P192" i="10" s="1"/>
  <c r="M188" i="10"/>
  <c r="K188" i="10"/>
  <c r="G188" i="10"/>
  <c r="B189" i="10"/>
  <c r="B190" i="10" s="1"/>
  <c r="B191" i="10" s="1"/>
  <c r="L166" i="10"/>
  <c r="FM22" i="9" s="1" a="1"/>
  <c r="FM22" i="9" s="1"/>
  <c r="L181" i="10"/>
  <c r="J166" i="10"/>
  <c r="EA22" i="9" s="1" a="1"/>
  <c r="EA22" i="9" s="1"/>
  <c r="J178" i="10"/>
  <c r="O201" i="10"/>
  <c r="M201" i="10"/>
  <c r="J201" i="10"/>
  <c r="K201" i="10"/>
  <c r="F201" i="10"/>
  <c r="P201" i="10"/>
  <c r="L201" i="10"/>
  <c r="B202" i="10"/>
  <c r="I201" i="10"/>
  <c r="G201" i="10"/>
  <c r="H201" i="10"/>
  <c r="N201" i="10"/>
  <c r="E201" i="10"/>
  <c r="D201" i="10"/>
  <c r="P144" i="10"/>
  <c r="R229" i="10"/>
  <c r="V18" i="9" l="1"/>
  <c r="N276" i="13"/>
  <c r="HE18" i="9" s="1" a="1"/>
  <c r="HE18" i="9" s="1"/>
  <c r="I310" i="13"/>
  <c r="DN19" i="9" s="1" a="1"/>
  <c r="DN19" i="9" s="1"/>
  <c r="G310" i="13"/>
  <c r="CB19" i="9" s="1" a="1"/>
  <c r="CB19" i="9" s="1"/>
  <c r="O276" i="13"/>
  <c r="HX18" i="9" s="1" a="1"/>
  <c r="HX18" i="9" s="1"/>
  <c r="HZ18" i="9" s="1"/>
  <c r="IH18" i="9" s="1"/>
  <c r="J276" i="13"/>
  <c r="EG18" i="9" s="1" a="1"/>
  <c r="EG18" i="9" s="1"/>
  <c r="EI18" i="9" s="1"/>
  <c r="EQ18" i="9" s="1"/>
  <c r="L310" i="13"/>
  <c r="FS19" i="9" s="1" a="1"/>
  <c r="FS19" i="9" s="1"/>
  <c r="EE18" i="9"/>
  <c r="D276" i="13"/>
  <c r="D310" i="13"/>
  <c r="DL18" i="9"/>
  <c r="BZ18" i="9"/>
  <c r="BG18" i="9"/>
  <c r="HV18" i="9"/>
  <c r="DL19" i="9"/>
  <c r="FQ19" i="9"/>
  <c r="FQ18" i="9"/>
  <c r="G342" i="13"/>
  <c r="BY20" i="9" a="1"/>
  <c r="BY20" i="9" s="1"/>
  <c r="O342" i="13"/>
  <c r="HU20" i="9" a="1"/>
  <c r="HU20" i="9" s="1"/>
  <c r="F310" i="13"/>
  <c r="BI19" i="9" s="1" a="1"/>
  <c r="BI19" i="9" s="1"/>
  <c r="M340" i="13"/>
  <c r="GI20" i="9" a="1"/>
  <c r="GI20" i="9" s="1"/>
  <c r="K276" i="13"/>
  <c r="EZ18" i="9" s="1" a="1"/>
  <c r="EZ18" i="9" s="1"/>
  <c r="FB18" i="9" s="1"/>
  <c r="FJ18" i="9" s="1"/>
  <c r="F342" i="13"/>
  <c r="BF20" i="9" a="1"/>
  <c r="BF20" i="9" s="1"/>
  <c r="L276" i="13"/>
  <c r="FS18" i="9" s="1" a="1"/>
  <c r="FS18" i="9" s="1"/>
  <c r="FU18" i="9" s="1"/>
  <c r="GC18" i="9" s="1"/>
  <c r="K342" i="13"/>
  <c r="EW20" i="9" a="1"/>
  <c r="EW20" i="9" s="1"/>
  <c r="E342" i="13"/>
  <c r="AM20" i="9" a="1"/>
  <c r="AM20" i="9" s="1"/>
  <c r="G31" i="25" a="1"/>
  <c r="G31" i="25" s="1"/>
  <c r="BH19" i="9"/>
  <c r="K308" i="13"/>
  <c r="EW19" i="9" a="1"/>
  <c r="EW19" i="9" s="1"/>
  <c r="EX19" i="9" s="1"/>
  <c r="BG19" i="9"/>
  <c r="M31" i="25" a="1"/>
  <c r="M31" i="25" s="1"/>
  <c r="FR19" i="9"/>
  <c r="M306" i="13"/>
  <c r="GI19" i="9" a="1"/>
  <c r="GI19" i="9" s="1"/>
  <c r="O308" i="13"/>
  <c r="HU19" i="9" a="1"/>
  <c r="HU19" i="9" s="1"/>
  <c r="I31" i="25" a="1"/>
  <c r="I31" i="25" s="1"/>
  <c r="CT19" i="9"/>
  <c r="E306" i="13"/>
  <c r="AM19" i="9" a="1"/>
  <c r="AM19" i="9" s="1"/>
  <c r="AN19" i="9" s="1"/>
  <c r="J31" i="25" a="1"/>
  <c r="J31" i="25" s="1"/>
  <c r="DM19" i="9"/>
  <c r="J308" i="13"/>
  <c r="ED19" i="9" a="1"/>
  <c r="ED19" i="9" s="1"/>
  <c r="EE19" i="9" s="1"/>
  <c r="H31" i="25" a="1"/>
  <c r="H31" i="25" s="1"/>
  <c r="CA19" i="9"/>
  <c r="G30" i="25" a="1"/>
  <c r="G30" i="25" s="1"/>
  <c r="BH18" i="9"/>
  <c r="Q29" i="25"/>
  <c r="O30" i="25" a="1"/>
  <c r="O30" i="25" s="1"/>
  <c r="HD18" i="9"/>
  <c r="K30" i="25" a="1"/>
  <c r="K30" i="25" s="1"/>
  <c r="EF18" i="9"/>
  <c r="HC18" i="9"/>
  <c r="M30" i="25" a="1"/>
  <c r="M30" i="25" s="1"/>
  <c r="FR18" i="9"/>
  <c r="P30" i="25" a="1"/>
  <c r="P30" i="25" s="1"/>
  <c r="HW18" i="9"/>
  <c r="EX18" i="9"/>
  <c r="I276" i="13"/>
  <c r="DN18" i="9" s="1" a="1"/>
  <c r="DN18" i="9" s="1"/>
  <c r="DP18" i="9" s="1"/>
  <c r="L30" i="25" a="1"/>
  <c r="L30" i="25" s="1"/>
  <c r="EY18" i="9"/>
  <c r="H30" i="25" a="1"/>
  <c r="H30" i="25" s="1"/>
  <c r="CA18" i="9"/>
  <c r="J30" i="25" a="1"/>
  <c r="J30" i="25" s="1"/>
  <c r="DM18" i="9"/>
  <c r="N371" i="13" a="1"/>
  <c r="N371" i="13" s="1"/>
  <c r="N372" i="13" s="1"/>
  <c r="N373" i="13" s="1"/>
  <c r="R21" i="9" a="1"/>
  <c r="R21" i="9" s="1"/>
  <c r="E33" i="27" s="1" a="1"/>
  <c r="E33" i="27" s="1"/>
  <c r="D358" i="13" a="1"/>
  <c r="D358" i="13" s="1"/>
  <c r="D371" i="13" s="1" a="1"/>
  <c r="D371" i="13" s="1"/>
  <c r="D372" i="13" s="1"/>
  <c r="H335" i="13" a="1"/>
  <c r="H335" i="13" s="1"/>
  <c r="H336" i="13" s="1"/>
  <c r="H339" i="13" s="1"/>
  <c r="I371" i="13" a="1"/>
  <c r="I371" i="13" s="1"/>
  <c r="I372" i="13" s="1"/>
  <c r="I373" i="13" s="1"/>
  <c r="J369" i="13" a="1"/>
  <c r="J369" i="13" s="1"/>
  <c r="J370" i="13" s="1"/>
  <c r="J373" i="13" s="1"/>
  <c r="N335" i="13" a="1"/>
  <c r="N335" i="13" s="1"/>
  <c r="N336" i="13" s="1"/>
  <c r="N339" i="13" s="1"/>
  <c r="F371" i="13" a="1"/>
  <c r="F371" i="13" s="1"/>
  <c r="F372" i="13" s="1"/>
  <c r="F373" i="13" s="1"/>
  <c r="M276" i="13"/>
  <c r="GL18" i="9" s="1" a="1"/>
  <c r="GL18" i="9" s="1"/>
  <c r="O371" i="13" a="1"/>
  <c r="O371" i="13" s="1"/>
  <c r="O372" i="13" s="1"/>
  <c r="O373" i="13" s="1"/>
  <c r="H369" i="13" a="1"/>
  <c r="H369" i="13" s="1"/>
  <c r="H370" i="13" s="1"/>
  <c r="H373" i="13" s="1"/>
  <c r="J337" i="13" a="1"/>
  <c r="J337" i="13" s="1"/>
  <c r="J338" i="13" s="1"/>
  <c r="J339" i="13" s="1"/>
  <c r="EV20" i="9" a="1"/>
  <c r="EV20" i="9" s="1"/>
  <c r="HT19" i="9" a="1"/>
  <c r="HT19" i="9" s="1"/>
  <c r="FO20" i="9" a="1"/>
  <c r="FO20" i="9" s="1"/>
  <c r="HT20" i="9" a="1"/>
  <c r="HT20" i="9" s="1"/>
  <c r="N305" i="13"/>
  <c r="HB19" i="9" s="1" a="1"/>
  <c r="HB19" i="9" s="1"/>
  <c r="H276" i="13"/>
  <c r="CU18" i="9" s="1" a="1"/>
  <c r="CU18" i="9" s="1"/>
  <c r="M308" i="13"/>
  <c r="K242" i="13"/>
  <c r="EZ17" i="9" s="1" a="1"/>
  <c r="EZ17" i="9" s="1"/>
  <c r="FB17" i="9" s="1"/>
  <c r="FJ17" i="9" s="1"/>
  <c r="HA20" i="9" a="1"/>
  <c r="HA20" i="9" s="1"/>
  <c r="O32" i="27" a="1"/>
  <c r="O32" i="27" s="1"/>
  <c r="GH20" i="9" a="1"/>
  <c r="GH20" i="9" s="1"/>
  <c r="M358" i="13" a="1"/>
  <c r="M358" i="13" s="1"/>
  <c r="M369" i="13" s="1" a="1"/>
  <c r="M369" i="13" s="1"/>
  <c r="M370" i="13" s="1"/>
  <c r="GM21" i="9" a="1"/>
  <c r="GM21" i="9" s="1"/>
  <c r="GG21" i="9" a="1"/>
  <c r="GG21" i="9" s="1"/>
  <c r="M32" i="27" a="1"/>
  <c r="M32" i="27" s="1"/>
  <c r="L337" i="13" a="1"/>
  <c r="L337" i="13" s="1"/>
  <c r="L338" i="13" s="1"/>
  <c r="L335" i="13" a="1"/>
  <c r="L335" i="13" s="1"/>
  <c r="L336" i="13" s="1"/>
  <c r="L358" i="13" a="1"/>
  <c r="L358" i="13" s="1"/>
  <c r="L369" i="13" s="1" a="1"/>
  <c r="L369" i="13" s="1"/>
  <c r="L370" i="13" s="1"/>
  <c r="FT21" i="9" a="1"/>
  <c r="FT21" i="9" s="1"/>
  <c r="FN21" i="9" a="1"/>
  <c r="FN21" i="9" s="1"/>
  <c r="K358" i="13" a="1"/>
  <c r="K358" i="13" s="1"/>
  <c r="K369" i="13" s="1" a="1"/>
  <c r="K369" i="13" s="1"/>
  <c r="K370" i="13" s="1"/>
  <c r="FA21" i="9" a="1"/>
  <c r="FA21" i="9" s="1"/>
  <c r="EU21" i="9" a="1"/>
  <c r="EU21" i="9" s="1"/>
  <c r="K32" i="27" a="1"/>
  <c r="K32" i="27" s="1"/>
  <c r="DJ20" i="9" a="1"/>
  <c r="DJ20" i="9" s="1"/>
  <c r="J32" i="27" a="1"/>
  <c r="J32" i="27" s="1"/>
  <c r="I335" i="13" a="1"/>
  <c r="I335" i="13" s="1"/>
  <c r="I336" i="13" s="1"/>
  <c r="I337" i="13" a="1"/>
  <c r="I337" i="13" s="1"/>
  <c r="I338" i="13" s="1"/>
  <c r="CQ20" i="9" a="1"/>
  <c r="CQ20" i="9" s="1"/>
  <c r="K172" i="10"/>
  <c r="BX19" i="9" a="1"/>
  <c r="BX19" i="9" s="1"/>
  <c r="BZ19" i="9" s="1"/>
  <c r="F272" i="13"/>
  <c r="F274" i="13"/>
  <c r="I32" i="27" a="1"/>
  <c r="I32" i="27" s="1"/>
  <c r="BX20" i="9" a="1"/>
  <c r="BX20" i="9" s="1"/>
  <c r="G172" i="10"/>
  <c r="G358" i="13" a="1"/>
  <c r="G358" i="13" s="1"/>
  <c r="G371" i="13" s="1" a="1"/>
  <c r="G371" i="13" s="1"/>
  <c r="G372" i="13" s="1"/>
  <c r="BW21" i="9" a="1"/>
  <c r="BW21" i="9" s="1"/>
  <c r="CC21" i="9" a="1"/>
  <c r="CC21" i="9" s="1"/>
  <c r="M172" i="10"/>
  <c r="BE20" i="9" a="1"/>
  <c r="BE20" i="9" s="1"/>
  <c r="AL20" i="9" a="1"/>
  <c r="AL20" i="9" s="1"/>
  <c r="E358" i="13" a="1"/>
  <c r="E358" i="13" s="1"/>
  <c r="E369" i="13" s="1" a="1"/>
  <c r="E369" i="13" s="1"/>
  <c r="E370" i="13" s="1"/>
  <c r="AQ21" i="9" a="1"/>
  <c r="AQ21" i="9" s="1"/>
  <c r="AK21" i="9" a="1"/>
  <c r="AK21" i="9" s="1"/>
  <c r="D337" i="13" a="1"/>
  <c r="D337" i="13" s="1"/>
  <c r="D338" i="13" s="1"/>
  <c r="D335" i="13" a="1"/>
  <c r="D335" i="13" s="1"/>
  <c r="D336" i="13" s="1"/>
  <c r="L359" i="13" a="1"/>
  <c r="L359" i="13" s="1"/>
  <c r="L360" i="13" s="1"/>
  <c r="L363" i="13" s="1"/>
  <c r="G366" i="13" a="1"/>
  <c r="G366" i="13" s="1"/>
  <c r="G367" i="13" s="1"/>
  <c r="G368" i="13" s="1"/>
  <c r="P157" i="10"/>
  <c r="F172" i="10"/>
  <c r="IN13" i="9"/>
  <c r="IO13" i="9" s="1"/>
  <c r="D172" i="10"/>
  <c r="X22" i="9" s="1" a="1"/>
  <c r="X22" i="9" s="1"/>
  <c r="S18" i="9" a="1"/>
  <c r="S18" i="9" s="1"/>
  <c r="U18" i="9" s="1"/>
  <c r="S19" i="9" a="1"/>
  <c r="S19" i="9" s="1"/>
  <c r="D334" i="13"/>
  <c r="I172" i="10"/>
  <c r="M368" i="13"/>
  <c r="K363" i="13"/>
  <c r="N363" i="13"/>
  <c r="O368" i="13"/>
  <c r="G363" i="13"/>
  <c r="K368" i="13"/>
  <c r="H363" i="13"/>
  <c r="P182" i="10" a="1"/>
  <c r="P182" i="10" s="1"/>
  <c r="H368" i="13"/>
  <c r="N368" i="13"/>
  <c r="F363" i="13"/>
  <c r="J368" i="13"/>
  <c r="I195" i="10"/>
  <c r="O182" i="10" a="1"/>
  <c r="O182" i="10" s="1"/>
  <c r="O185" i="10" s="1"/>
  <c r="E363" i="13"/>
  <c r="E169" i="10"/>
  <c r="E390" i="13" s="1" a="1"/>
  <c r="E390" i="13" s="1"/>
  <c r="E170" i="10"/>
  <c r="E391" i="13" s="1" a="1"/>
  <c r="E391" i="13" s="1"/>
  <c r="N182" i="10" a="1"/>
  <c r="N182" i="10" s="1"/>
  <c r="N185" i="10" s="1"/>
  <c r="M182" i="10" a="1"/>
  <c r="M182" i="10" s="1"/>
  <c r="M185" i="10" s="1"/>
  <c r="D361" i="13" a="1"/>
  <c r="D361" i="13" s="1"/>
  <c r="D362" i="13" s="1"/>
  <c r="D359" i="13" a="1"/>
  <c r="D359" i="13" s="1"/>
  <c r="D360" i="13" s="1"/>
  <c r="K182" i="10" a="1"/>
  <c r="K182" i="10" s="1"/>
  <c r="K185" i="10" s="1"/>
  <c r="M363" i="13"/>
  <c r="G169" i="10"/>
  <c r="G390" i="13" s="1" a="1"/>
  <c r="G390" i="13" s="1"/>
  <c r="G170" i="10"/>
  <c r="G391" i="13" s="1" a="1"/>
  <c r="G391" i="13" s="1"/>
  <c r="L368" i="13"/>
  <c r="O363" i="13"/>
  <c r="J169" i="10"/>
  <c r="J390" i="13" s="1" a="1"/>
  <c r="J390" i="13" s="1"/>
  <c r="J170" i="10"/>
  <c r="J391" i="13" s="1" a="1"/>
  <c r="J391" i="13" s="1"/>
  <c r="K169" i="10"/>
  <c r="K390" i="13" s="1" a="1"/>
  <c r="K390" i="13" s="1"/>
  <c r="K170" i="10"/>
  <c r="K391" i="13" s="1" a="1"/>
  <c r="K391" i="13" s="1"/>
  <c r="F182" i="10" a="1"/>
  <c r="F182" i="10" s="1"/>
  <c r="F185" i="10" s="1"/>
  <c r="D169" i="10"/>
  <c r="D170" i="10"/>
  <c r="L182" i="10" a="1"/>
  <c r="L182" i="10" s="1"/>
  <c r="L185" i="10" s="1"/>
  <c r="J195" i="10"/>
  <c r="E368" i="13"/>
  <c r="J363" i="13"/>
  <c r="D195" i="10"/>
  <c r="G182" i="10" a="1"/>
  <c r="G182" i="10" s="1"/>
  <c r="G185" i="10" s="1"/>
  <c r="I366" i="13" a="1"/>
  <c r="I366" i="13" s="1"/>
  <c r="I367" i="13" s="1"/>
  <c r="I364" i="13" a="1"/>
  <c r="I364" i="13" s="1"/>
  <c r="I365" i="13" s="1"/>
  <c r="L169" i="10"/>
  <c r="L390" i="13" s="1" a="1"/>
  <c r="L390" i="13" s="1"/>
  <c r="L170" i="10"/>
  <c r="L391" i="13" s="1" a="1"/>
  <c r="L391" i="13" s="1"/>
  <c r="P156" i="10"/>
  <c r="D329" i="13"/>
  <c r="F368" i="13"/>
  <c r="M169" i="10"/>
  <c r="M390" i="13" s="1" a="1"/>
  <c r="M390" i="13" s="1"/>
  <c r="M170" i="10"/>
  <c r="M391" i="13" s="1" a="1"/>
  <c r="M391" i="13" s="1"/>
  <c r="H195" i="10"/>
  <c r="H182" i="10" a="1"/>
  <c r="H182" i="10" s="1"/>
  <c r="H185" i="10" s="1"/>
  <c r="I359" i="13" a="1"/>
  <c r="I359" i="13" s="1"/>
  <c r="I360" i="13" s="1"/>
  <c r="I361" i="13" a="1"/>
  <c r="I361" i="13" s="1"/>
  <c r="I362" i="13" s="1"/>
  <c r="D364" i="13" a="1"/>
  <c r="D364" i="13" s="1"/>
  <c r="D365" i="13" s="1"/>
  <c r="D366" i="13" a="1"/>
  <c r="D366" i="13" s="1"/>
  <c r="D367" i="13" s="1"/>
  <c r="D182" i="10" a="1"/>
  <c r="D182" i="10" s="1"/>
  <c r="D185" i="10" s="1"/>
  <c r="N169" i="10"/>
  <c r="N390" i="13" s="1" a="1"/>
  <c r="N390" i="13" s="1"/>
  <c r="N170" i="10"/>
  <c r="N391" i="13" s="1" a="1"/>
  <c r="N391" i="13" s="1"/>
  <c r="I169" i="10"/>
  <c r="I390" i="13" s="1" a="1"/>
  <c r="I390" i="13" s="1"/>
  <c r="I170" i="10"/>
  <c r="I391" i="13" s="1" a="1"/>
  <c r="I391" i="13" s="1"/>
  <c r="G195" i="10"/>
  <c r="E182" i="10" a="1"/>
  <c r="E182" i="10" s="1"/>
  <c r="E185" i="10" s="1"/>
  <c r="I182" i="10" a="1"/>
  <c r="I182" i="10" s="1"/>
  <c r="I185" i="10" s="1"/>
  <c r="E171" i="10"/>
  <c r="P171" i="10" s="1"/>
  <c r="J182" i="10" a="1"/>
  <c r="J182" i="10" s="1"/>
  <c r="J185" i="10" s="1"/>
  <c r="F169" i="10"/>
  <c r="F390" i="13" s="1" a="1"/>
  <c r="F390" i="13" s="1"/>
  <c r="F170" i="10"/>
  <c r="F391" i="13" s="1" a="1"/>
  <c r="F391" i="13" s="1"/>
  <c r="P155" i="10"/>
  <c r="O169" i="10"/>
  <c r="O390" i="13" s="1" a="1"/>
  <c r="O390" i="13" s="1"/>
  <c r="O170" i="10"/>
  <c r="O391" i="13" s="1" a="1"/>
  <c r="O391" i="13" s="1"/>
  <c r="H169" i="10"/>
  <c r="H390" i="13" s="1" a="1"/>
  <c r="H390" i="13" s="1"/>
  <c r="H170" i="10"/>
  <c r="H391" i="13" s="1" a="1"/>
  <c r="H391" i="13" s="1"/>
  <c r="E340" i="13"/>
  <c r="O306" i="13"/>
  <c r="K340" i="13"/>
  <c r="F340" i="13"/>
  <c r="G340" i="13"/>
  <c r="J306" i="13"/>
  <c r="E308" i="13"/>
  <c r="O340" i="13"/>
  <c r="K306" i="13"/>
  <c r="M342" i="13"/>
  <c r="E172" i="10"/>
  <c r="DQ17" i="9" a="1"/>
  <c r="DQ17" i="9" s="1"/>
  <c r="DY17" i="9" s="1"/>
  <c r="K30" i="24" s="1" a="1"/>
  <c r="K30" i="24" s="1"/>
  <c r="Z16" i="9" a="1"/>
  <c r="Z16" i="9" s="1"/>
  <c r="AH16" i="9" s="1"/>
  <c r="F29" i="24" s="1" a="1"/>
  <c r="F29" i="24" s="1"/>
  <c r="CE17" i="9" a="1"/>
  <c r="CE17" i="9" s="1"/>
  <c r="CM17" i="9" s="1"/>
  <c r="I30" i="24" s="1" a="1"/>
  <c r="I30" i="24" s="1"/>
  <c r="EJ17" i="9" a="1"/>
  <c r="EJ17" i="9" s="1"/>
  <c r="ER17" i="9" s="1"/>
  <c r="L30" i="24" s="1" a="1"/>
  <c r="L30" i="24" s="1"/>
  <c r="FC16" i="9" a="1"/>
  <c r="FC16" i="9" s="1"/>
  <c r="FK16" i="9" s="1"/>
  <c r="M29" i="24" s="1" a="1"/>
  <c r="M29" i="24" s="1"/>
  <c r="HH17" i="9" a="1"/>
  <c r="HH17" i="9" s="1"/>
  <c r="HP17" i="9" s="1"/>
  <c r="P30" i="24" s="1" a="1"/>
  <c r="P30" i="24" s="1"/>
  <c r="BS17" i="9"/>
  <c r="BT17" i="9" s="1"/>
  <c r="H30" i="24" s="1" a="1"/>
  <c r="H30" i="24" s="1"/>
  <c r="Z15" i="9" a="1"/>
  <c r="Z15" i="9" s="1"/>
  <c r="AH15" i="9" s="1"/>
  <c r="F28" i="24" s="1" a="1"/>
  <c r="F28" i="24" s="1"/>
  <c r="FV17" i="9" a="1"/>
  <c r="FV17" i="9" s="1"/>
  <c r="GD17" i="9" s="1"/>
  <c r="N30" i="24" s="1" a="1"/>
  <c r="N30" i="24" s="1"/>
  <c r="IA17" i="9" a="1"/>
  <c r="IA17" i="9" s="1"/>
  <c r="II17" i="9" s="1"/>
  <c r="Q30" i="24" s="1" a="1"/>
  <c r="Q30" i="24" s="1"/>
  <c r="AS16" i="9" a="1"/>
  <c r="AS16" i="9" s="1"/>
  <c r="BA16" i="9" s="1"/>
  <c r="G29" i="24" s="1" a="1"/>
  <c r="G29" i="24" s="1"/>
  <c r="CX17" i="9" a="1"/>
  <c r="CX17" i="9" s="1"/>
  <c r="DF17" i="9" s="1"/>
  <c r="J30" i="24" s="1" a="1"/>
  <c r="J30" i="24" s="1"/>
  <c r="HH16" i="9" a="1"/>
  <c r="HH16" i="9" s="1"/>
  <c r="HP16" i="9" s="1"/>
  <c r="P29" i="24" s="1" a="1"/>
  <c r="P29" i="24" s="1"/>
  <c r="GO17" i="9" a="1"/>
  <c r="GO17" i="9" s="1"/>
  <c r="GW17" i="9" s="1"/>
  <c r="O30" i="24" s="1" a="1"/>
  <c r="O30" i="24" s="1"/>
  <c r="W17" i="9" a="1"/>
  <c r="W17" i="9" s="1"/>
  <c r="Y17" i="9" s="1"/>
  <c r="AG17" i="9" s="1"/>
  <c r="AR18" i="9"/>
  <c r="AZ18" i="9" s="1"/>
  <c r="CD18" i="9"/>
  <c r="CL18" i="9" s="1"/>
  <c r="BK16" i="9"/>
  <c r="BS16" i="9" s="1"/>
  <c r="IL16" i="9" s="1"/>
  <c r="IM16" i="9" s="1"/>
  <c r="AR17" i="9"/>
  <c r="AZ17" i="9" s="1"/>
  <c r="V19" i="9"/>
  <c r="H172" i="10"/>
  <c r="K180" i="10"/>
  <c r="ET23" i="9" s="1" a="1"/>
  <c r="ET23" i="9" s="1"/>
  <c r="M180" i="10"/>
  <c r="GF23" i="9" s="1" a="1"/>
  <c r="GF23" i="9" s="1"/>
  <c r="D180" i="10"/>
  <c r="Q23" i="9" s="1" a="1"/>
  <c r="Q23" i="9" s="1"/>
  <c r="H180" i="10"/>
  <c r="CO23" i="9" s="1" a="1"/>
  <c r="CO23" i="9" s="1"/>
  <c r="G180" i="10"/>
  <c r="BV23" i="9" s="1" a="1"/>
  <c r="BV23" i="9" s="1"/>
  <c r="J180" i="10"/>
  <c r="EA23" i="9" s="1" a="1"/>
  <c r="EA23" i="9" s="1"/>
  <c r="I180" i="10"/>
  <c r="DH23" i="9" s="1" a="1"/>
  <c r="DH23" i="9" s="1"/>
  <c r="E180" i="10"/>
  <c r="AJ23" i="9" s="1" a="1"/>
  <c r="AJ23" i="9" s="1"/>
  <c r="K192" i="10"/>
  <c r="I192" i="10"/>
  <c r="N180" i="10"/>
  <c r="GY23" i="9" s="1" a="1"/>
  <c r="GY23" i="9" s="1"/>
  <c r="P158" i="10"/>
  <c r="F202" i="10"/>
  <c r="I202" i="10"/>
  <c r="I209" i="10" s="1"/>
  <c r="K202" i="10"/>
  <c r="K209" i="10" s="1"/>
  <c r="L202" i="10"/>
  <c r="E202" i="10"/>
  <c r="E209" i="10" s="1"/>
  <c r="B206" i="10"/>
  <c r="B207" i="10" s="1"/>
  <c r="B203" i="10"/>
  <c r="B204" i="10" s="1"/>
  <c r="B205" i="10" s="1"/>
  <c r="P202" i="10"/>
  <c r="P206" i="10" s="1"/>
  <c r="D202" i="10"/>
  <c r="D209" i="10" s="1"/>
  <c r="N202" i="10"/>
  <c r="N209" i="10" s="1"/>
  <c r="M202" i="10"/>
  <c r="M209" i="10" s="1"/>
  <c r="H202" i="10"/>
  <c r="H209" i="10" s="1"/>
  <c r="G202" i="10"/>
  <c r="O202" i="10"/>
  <c r="J202" i="10"/>
  <c r="J209" i="10" s="1"/>
  <c r="M192" i="10"/>
  <c r="E195" i="10"/>
  <c r="E192" i="10"/>
  <c r="F180" i="10"/>
  <c r="BC23" i="9" s="1" a="1"/>
  <c r="BC23" i="9" s="1"/>
  <c r="N172" i="10"/>
  <c r="O172" i="10"/>
  <c r="L180" i="10"/>
  <c r="FM23" i="9" s="1" a="1"/>
  <c r="FM23" i="9" s="1"/>
  <c r="N192" i="10"/>
  <c r="P195" i="10"/>
  <c r="G215" i="10"/>
  <c r="O215" i="10"/>
  <c r="J215" i="10"/>
  <c r="I215" i="10"/>
  <c r="B216" i="10"/>
  <c r="M215" i="10"/>
  <c r="N215" i="10"/>
  <c r="H215" i="10"/>
  <c r="E215" i="10"/>
  <c r="F215" i="10"/>
  <c r="L215" i="10"/>
  <c r="P215" i="10"/>
  <c r="D215" i="10"/>
  <c r="K215" i="10"/>
  <c r="L172" i="10"/>
  <c r="N193" i="10"/>
  <c r="F193" i="10"/>
  <c r="D193" i="10"/>
  <c r="M193" i="10"/>
  <c r="E193" i="10"/>
  <c r="P193" i="10"/>
  <c r="P194" i="10" s="1"/>
  <c r="K193" i="10"/>
  <c r="L193" i="10"/>
  <c r="H193" i="10"/>
  <c r="B194" i="10"/>
  <c r="B195" i="10" s="1"/>
  <c r="B196" i="10" s="1"/>
  <c r="B197" i="10" s="1"/>
  <c r="B198" i="10" s="1"/>
  <c r="B199" i="10" s="1"/>
  <c r="B200" i="10" s="1"/>
  <c r="O193" i="10"/>
  <c r="G193" i="10"/>
  <c r="J193" i="10"/>
  <c r="I193" i="10"/>
  <c r="O192" i="10"/>
  <c r="O180" i="10"/>
  <c r="HR23" i="9" s="1" a="1"/>
  <c r="HR23" i="9" s="1"/>
  <c r="O195" i="10"/>
  <c r="J172" i="10"/>
  <c r="F195" i="10"/>
  <c r="F192" i="10"/>
  <c r="J192" i="10"/>
  <c r="M195" i="10"/>
  <c r="D192" i="10"/>
  <c r="N195" i="10"/>
  <c r="K195" i="10"/>
  <c r="H192" i="10"/>
  <c r="B229" i="10" a="1"/>
  <c r="B229" i="10" s="1"/>
  <c r="A229" i="10" a="1"/>
  <c r="A229" i="10" s="1"/>
  <c r="G192" i="10"/>
  <c r="L195" i="10"/>
  <c r="L192" i="10"/>
  <c r="R243" i="10"/>
  <c r="O310" i="13" l="1"/>
  <c r="HX19" i="9" s="1" a="1"/>
  <c r="HX19" i="9" s="1"/>
  <c r="O344" i="13"/>
  <c r="HX20" i="9" s="1" a="1"/>
  <c r="HX20" i="9" s="1"/>
  <c r="M344" i="13"/>
  <c r="GL20" i="9" s="1" a="1"/>
  <c r="GL20" i="9" s="1"/>
  <c r="K310" i="13"/>
  <c r="EZ19" i="9" s="1" a="1"/>
  <c r="EZ19" i="9" s="1"/>
  <c r="FB19" i="9" s="1"/>
  <c r="FJ19" i="9" s="1"/>
  <c r="E344" i="13"/>
  <c r="AP20" i="9" s="1" a="1"/>
  <c r="AP20" i="9" s="1"/>
  <c r="DQ18" i="9" a="1"/>
  <c r="DQ18" i="9" s="1"/>
  <c r="G344" i="13"/>
  <c r="CB20" i="9" s="1" a="1"/>
  <c r="CB20" i="9" s="1"/>
  <c r="F344" i="13"/>
  <c r="BI20" i="9" s="1" a="1"/>
  <c r="BI20" i="9" s="1"/>
  <c r="K344" i="13"/>
  <c r="EZ20" i="9" s="1" a="1"/>
  <c r="EZ20" i="9" s="1"/>
  <c r="HV20" i="9"/>
  <c r="BZ20" i="9"/>
  <c r="BG20" i="9"/>
  <c r="M310" i="13"/>
  <c r="GL19" i="9" s="1" a="1"/>
  <c r="GL19" i="9" s="1"/>
  <c r="GN19" i="9" s="1"/>
  <c r="GV19" i="9" s="1"/>
  <c r="E310" i="13"/>
  <c r="AP19" i="9" s="1" a="1"/>
  <c r="AP19" i="9" s="1"/>
  <c r="AR19" i="9" s="1"/>
  <c r="AZ19" i="9" s="1"/>
  <c r="EX20" i="9"/>
  <c r="I374" i="13"/>
  <c r="DK21" i="9" a="1"/>
  <c r="DK21" i="9" s="1"/>
  <c r="H374" i="13"/>
  <c r="CR21" i="9" a="1"/>
  <c r="CR21" i="9" s="1"/>
  <c r="O376" i="13"/>
  <c r="HU21" i="9" a="1"/>
  <c r="HU21" i="9" s="1"/>
  <c r="J376" i="13"/>
  <c r="ED21" i="9" a="1"/>
  <c r="ED21" i="9" s="1"/>
  <c r="N376" i="13"/>
  <c r="HB21" i="9" a="1"/>
  <c r="HB21" i="9" s="1"/>
  <c r="F376" i="13"/>
  <c r="BF21" i="9" a="1"/>
  <c r="BF21" i="9" s="1"/>
  <c r="F32" i="25" a="1"/>
  <c r="F32" i="25" s="1"/>
  <c r="AO20" i="9"/>
  <c r="J342" i="13"/>
  <c r="ED20" i="9" a="1"/>
  <c r="ED20" i="9" s="1"/>
  <c r="H340" i="13"/>
  <c r="CR20" i="9" a="1"/>
  <c r="CR20" i="9" s="1"/>
  <c r="CS20" i="9" s="1"/>
  <c r="L32" i="25" a="1"/>
  <c r="L32" i="25" s="1"/>
  <c r="EY20" i="9"/>
  <c r="P32" i="25" a="1"/>
  <c r="P32" i="25" s="1"/>
  <c r="HW20" i="9"/>
  <c r="G32" i="25" a="1"/>
  <c r="G32" i="25" s="1"/>
  <c r="BH20" i="9"/>
  <c r="H32" i="25" a="1"/>
  <c r="H32" i="25" s="1"/>
  <c r="CA20" i="9"/>
  <c r="N32" i="25" a="1"/>
  <c r="N32" i="25" s="1"/>
  <c r="GK20" i="9"/>
  <c r="AN20" i="9"/>
  <c r="GJ20" i="9"/>
  <c r="N340" i="13"/>
  <c r="HB20" i="9" a="1"/>
  <c r="HB20" i="9" s="1"/>
  <c r="O31" i="25" a="1"/>
  <c r="O31" i="25" s="1"/>
  <c r="HD19" i="9"/>
  <c r="K31" i="25" a="1"/>
  <c r="K31" i="25" s="1"/>
  <c r="EF19" i="9"/>
  <c r="HC19" i="9"/>
  <c r="P31" i="25" a="1"/>
  <c r="P31" i="25" s="1"/>
  <c r="HW19" i="9"/>
  <c r="HV19" i="9"/>
  <c r="N31" i="25" a="1"/>
  <c r="N31" i="25" s="1"/>
  <c r="GK19" i="9"/>
  <c r="L31" i="25" a="1"/>
  <c r="L31" i="25" s="1"/>
  <c r="EY19" i="9"/>
  <c r="J310" i="13"/>
  <c r="EG19" i="9" s="1" a="1"/>
  <c r="EG19" i="9" s="1"/>
  <c r="EI19" i="9" s="1"/>
  <c r="EQ19" i="9" s="1"/>
  <c r="Q30" i="25"/>
  <c r="F31" i="25" a="1"/>
  <c r="F31" i="25" s="1"/>
  <c r="AO19" i="9"/>
  <c r="GJ19" i="9"/>
  <c r="L371" i="13" a="1"/>
  <c r="L371" i="13" s="1"/>
  <c r="L372" i="13" s="1"/>
  <c r="L373" i="13" s="1"/>
  <c r="D369" i="13" a="1"/>
  <c r="D369" i="13" s="1"/>
  <c r="D370" i="13" s="1"/>
  <c r="D373" i="13" s="1"/>
  <c r="M371" i="13" a="1"/>
  <c r="M371" i="13" s="1"/>
  <c r="M372" i="13" s="1"/>
  <c r="M373" i="13" s="1"/>
  <c r="K371" i="13" a="1"/>
  <c r="K371" i="13" s="1"/>
  <c r="K372" i="13" s="1"/>
  <c r="K373" i="13" s="1"/>
  <c r="EV21" i="9" a="1"/>
  <c r="EV21" i="9" s="1"/>
  <c r="HT21" i="9" a="1"/>
  <c r="HT21" i="9" s="1"/>
  <c r="L339" i="13"/>
  <c r="GH21" i="9" a="1"/>
  <c r="GH21" i="9" s="1"/>
  <c r="N308" i="13"/>
  <c r="N306" i="13"/>
  <c r="O392" i="13" a="1"/>
  <c r="O392" i="13" s="1"/>
  <c r="O403" i="13" s="1" a="1"/>
  <c r="O403" i="13" s="1"/>
  <c r="O404" i="13" s="1"/>
  <c r="HY22" i="9" a="1"/>
  <c r="HY22" i="9" s="1"/>
  <c r="HS22" i="9" a="1"/>
  <c r="HS22" i="9" s="1"/>
  <c r="P34" i="27" s="1" a="1"/>
  <c r="P34" i="27" s="1"/>
  <c r="FC17" i="9" a="1"/>
  <c r="FC17" i="9" s="1"/>
  <c r="FK17" i="9" s="1"/>
  <c r="M30" i="24" s="1" a="1"/>
  <c r="M30" i="24" s="1"/>
  <c r="I339" i="13"/>
  <c r="BE21" i="9" a="1"/>
  <c r="BE21" i="9" s="1"/>
  <c r="N392" i="13" a="1"/>
  <c r="N392" i="13" s="1"/>
  <c r="N403" i="13" s="1" a="1"/>
  <c r="N403" i="13" s="1"/>
  <c r="N404" i="13" s="1"/>
  <c r="HF22" i="9" a="1"/>
  <c r="HF22" i="9" s="1"/>
  <c r="GZ22" i="9" a="1"/>
  <c r="GZ22" i="9" s="1"/>
  <c r="O34" i="27" s="1" a="1"/>
  <c r="O34" i="27" s="1"/>
  <c r="HA21" i="9" a="1"/>
  <c r="HA21" i="9" s="1"/>
  <c r="N33" i="27" a="1"/>
  <c r="N33" i="27" s="1"/>
  <c r="M392" i="13" a="1"/>
  <c r="M392" i="13" s="1"/>
  <c r="M403" i="13" s="1" a="1"/>
  <c r="M403" i="13" s="1"/>
  <c r="M404" i="13" s="1"/>
  <c r="GM22" i="9" a="1"/>
  <c r="GM22" i="9" s="1"/>
  <c r="GG22" i="9" a="1"/>
  <c r="GG22" i="9" s="1"/>
  <c r="N34" i="27" s="1" a="1"/>
  <c r="N34" i="27" s="1"/>
  <c r="M33" i="27" a="1"/>
  <c r="M33" i="27" s="1"/>
  <c r="L392" i="13" a="1"/>
  <c r="L392" i="13" s="1"/>
  <c r="L403" i="13" s="1" a="1"/>
  <c r="L403" i="13" s="1"/>
  <c r="L404" i="13" s="1"/>
  <c r="FT22" i="9" a="1"/>
  <c r="FT22" i="9" s="1"/>
  <c r="FN22" i="9" a="1"/>
  <c r="FN22" i="9" s="1"/>
  <c r="M34" i="27" s="1" a="1"/>
  <c r="M34" i="27" s="1"/>
  <c r="FO21" i="9" a="1"/>
  <c r="FO21" i="9" s="1"/>
  <c r="K392" i="13" a="1"/>
  <c r="K392" i="13" s="1"/>
  <c r="FA22" i="9" a="1"/>
  <c r="FA22" i="9" s="1"/>
  <c r="EU22" i="9" a="1"/>
  <c r="EU22" i="9" s="1"/>
  <c r="L34" i="27" s="1" a="1"/>
  <c r="L34" i="27" s="1"/>
  <c r="L33" i="27" a="1"/>
  <c r="L33" i="27" s="1"/>
  <c r="J392" i="13" a="1"/>
  <c r="J392" i="13" s="1"/>
  <c r="J403" i="13" s="1" a="1"/>
  <c r="J403" i="13" s="1"/>
  <c r="J404" i="13" s="1"/>
  <c r="EH22" i="9" a="1"/>
  <c r="EH22" i="9" s="1"/>
  <c r="EB22" i="9" a="1"/>
  <c r="EB22" i="9" s="1"/>
  <c r="AL21" i="9" a="1"/>
  <c r="AL21" i="9" s="1"/>
  <c r="F276" i="13"/>
  <c r="BI18" i="9" s="1" a="1"/>
  <c r="BI18" i="9" s="1"/>
  <c r="BK18" i="9" s="1"/>
  <c r="BS18" i="9" s="1"/>
  <c r="EC21" i="9" a="1"/>
  <c r="EC21" i="9" s="1"/>
  <c r="E371" i="13" a="1"/>
  <c r="E371" i="13" s="1"/>
  <c r="E372" i="13" s="1"/>
  <c r="E373" i="13" s="1"/>
  <c r="I392" i="13" a="1"/>
  <c r="I392" i="13" s="1"/>
  <c r="I405" i="13" s="1" a="1"/>
  <c r="I405" i="13" s="1"/>
  <c r="I406" i="13" s="1"/>
  <c r="DI22" i="9" a="1"/>
  <c r="DI22" i="9" s="1"/>
  <c r="DO22" i="9" a="1"/>
  <c r="DO22" i="9" s="1"/>
  <c r="G369" i="13" a="1"/>
  <c r="G369" i="13" s="1"/>
  <c r="G370" i="13" s="1"/>
  <c r="G373" i="13" s="1"/>
  <c r="H392" i="13" a="1"/>
  <c r="H392" i="13" s="1"/>
  <c r="H403" i="13" s="1" a="1"/>
  <c r="H403" i="13" s="1"/>
  <c r="H404" i="13" s="1"/>
  <c r="CV22" i="9" a="1"/>
  <c r="CV22" i="9" s="1"/>
  <c r="CP22" i="9" a="1"/>
  <c r="CP22" i="9" s="1"/>
  <c r="I34" i="27" s="1" a="1"/>
  <c r="I34" i="27" s="1"/>
  <c r="CQ21" i="9" a="1"/>
  <c r="CQ21" i="9" s="1"/>
  <c r="H33" i="27" a="1"/>
  <c r="H33" i="27" s="1"/>
  <c r="G392" i="13" a="1"/>
  <c r="G392" i="13" s="1"/>
  <c r="BW22" i="9" a="1"/>
  <c r="BW22" i="9" s="1"/>
  <c r="H34" i="27" s="1" a="1"/>
  <c r="H34" i="27" s="1"/>
  <c r="CC22" i="9" a="1"/>
  <c r="CC22" i="9" s="1"/>
  <c r="BX21" i="9" a="1"/>
  <c r="BX21" i="9" s="1"/>
  <c r="F392" i="13" a="1"/>
  <c r="F392" i="13" s="1"/>
  <c r="F403" i="13" s="1" a="1"/>
  <c r="F403" i="13" s="1"/>
  <c r="F404" i="13" s="1"/>
  <c r="BJ22" i="9" a="1"/>
  <c r="BJ22" i="9" s="1"/>
  <c r="BD22" i="9" a="1"/>
  <c r="BD22" i="9" s="1"/>
  <c r="F33" i="27" a="1"/>
  <c r="F33" i="27" s="1"/>
  <c r="E392" i="13" a="1"/>
  <c r="E392" i="13" s="1"/>
  <c r="E403" i="13" s="1" a="1"/>
  <c r="E403" i="13" s="1"/>
  <c r="E404" i="13" s="1"/>
  <c r="AK22" i="9" a="1"/>
  <c r="AK22" i="9" s="1"/>
  <c r="AQ22" i="9" a="1"/>
  <c r="AQ22" i="9" s="1"/>
  <c r="D339" i="13"/>
  <c r="T20" i="9" s="1" a="1"/>
  <c r="T20" i="9" s="1"/>
  <c r="D392" i="13" a="1"/>
  <c r="D392" i="13" s="1"/>
  <c r="D403" i="13" s="1" a="1"/>
  <c r="D403" i="13" s="1"/>
  <c r="D404" i="13" s="1"/>
  <c r="R22" i="9" a="1"/>
  <c r="R22" i="9" s="1"/>
  <c r="E34" i="27" s="1" a="1"/>
  <c r="E34" i="27" s="1"/>
  <c r="IN15" i="9"/>
  <c r="IO15" i="9" s="1"/>
  <c r="F186" i="10"/>
  <c r="E186" i="10"/>
  <c r="J186" i="10"/>
  <c r="M186" i="10"/>
  <c r="I368" i="13"/>
  <c r="N186" i="10"/>
  <c r="L186" i="10"/>
  <c r="H186" i="10"/>
  <c r="I363" i="13"/>
  <c r="E196" i="10" a="1"/>
  <c r="E196" i="10" s="1"/>
  <c r="E199" i="10" s="1"/>
  <c r="M400" i="13" a="1"/>
  <c r="M400" i="13" s="1"/>
  <c r="M401" i="13" s="1"/>
  <c r="M398" i="13" a="1"/>
  <c r="M398" i="13" s="1"/>
  <c r="M399" i="13" s="1"/>
  <c r="J393" i="13" a="1"/>
  <c r="J393" i="13" s="1"/>
  <c r="J394" i="13" s="1"/>
  <c r="J395" i="13" a="1"/>
  <c r="J395" i="13" s="1"/>
  <c r="J396" i="13" s="1"/>
  <c r="E400" i="13" a="1"/>
  <c r="E400" i="13" s="1"/>
  <c r="E401" i="13" s="1"/>
  <c r="E398" i="13" a="1"/>
  <c r="E398" i="13" s="1"/>
  <c r="E399" i="13" s="1"/>
  <c r="K196" i="10" a="1"/>
  <c r="K196" i="10" s="1"/>
  <c r="K199" i="10" s="1"/>
  <c r="O196" i="10" a="1"/>
  <c r="O196" i="10" s="1"/>
  <c r="O199" i="10" s="1"/>
  <c r="L196" i="10" a="1"/>
  <c r="L196" i="10" s="1"/>
  <c r="L199" i="10" s="1"/>
  <c r="P196" i="10" a="1"/>
  <c r="P196" i="10" s="1"/>
  <c r="H400" i="13" a="1"/>
  <c r="H400" i="13" s="1"/>
  <c r="H401" i="13" s="1"/>
  <c r="H398" i="13" a="1"/>
  <c r="H398" i="13" s="1"/>
  <c r="H399" i="13" s="1"/>
  <c r="J183" i="10"/>
  <c r="J424" i="13" s="1" a="1"/>
  <c r="J424" i="13" s="1"/>
  <c r="J184" i="10"/>
  <c r="J425" i="13" s="1" a="1"/>
  <c r="J425" i="13" s="1"/>
  <c r="G196" i="10" a="1"/>
  <c r="G196" i="10" s="1"/>
  <c r="G199" i="10" s="1"/>
  <c r="D368" i="13"/>
  <c r="M395" i="13" a="1"/>
  <c r="M395" i="13" s="1"/>
  <c r="M396" i="13" s="1"/>
  <c r="M393" i="13" a="1"/>
  <c r="M393" i="13" s="1"/>
  <c r="M394" i="13" s="1"/>
  <c r="J196" i="10" a="1"/>
  <c r="J196" i="10" s="1"/>
  <c r="J199" i="10" s="1"/>
  <c r="E395" i="13" a="1"/>
  <c r="E395" i="13" s="1"/>
  <c r="E396" i="13" s="1"/>
  <c r="E393" i="13" a="1"/>
  <c r="E393" i="13" s="1"/>
  <c r="E394" i="13" s="1"/>
  <c r="M196" i="10" a="1"/>
  <c r="M196" i="10" s="1"/>
  <c r="M199" i="10" s="1"/>
  <c r="H395" i="13" a="1"/>
  <c r="H395" i="13" s="1"/>
  <c r="H396" i="13" s="1"/>
  <c r="H393" i="13" a="1"/>
  <c r="H393" i="13" s="1"/>
  <c r="H394" i="13" s="1"/>
  <c r="I400" i="13" a="1"/>
  <c r="I400" i="13" s="1"/>
  <c r="I401" i="13" s="1"/>
  <c r="I398" i="13" a="1"/>
  <c r="I398" i="13" s="1"/>
  <c r="I399" i="13" s="1"/>
  <c r="G183" i="10"/>
  <c r="G424" i="13" s="1" a="1"/>
  <c r="G424" i="13" s="1"/>
  <c r="G184" i="10"/>
  <c r="G425" i="13" s="1" a="1"/>
  <c r="G425" i="13" s="1"/>
  <c r="O398" i="13" a="1"/>
  <c r="O398" i="13" s="1"/>
  <c r="O399" i="13" s="1"/>
  <c r="O400" i="13" a="1"/>
  <c r="O400" i="13" s="1"/>
  <c r="O401" i="13" s="1"/>
  <c r="I393" i="13" a="1"/>
  <c r="I393" i="13" s="1"/>
  <c r="I394" i="13" s="1"/>
  <c r="I395" i="13" a="1"/>
  <c r="I395" i="13" s="1"/>
  <c r="I396" i="13" s="1"/>
  <c r="G398" i="13" a="1"/>
  <c r="G398" i="13" s="1"/>
  <c r="G399" i="13" s="1"/>
  <c r="G400" i="13" a="1"/>
  <c r="G400" i="13" s="1"/>
  <c r="G401" i="13" s="1"/>
  <c r="D363" i="13"/>
  <c r="O393" i="13" a="1"/>
  <c r="O393" i="13" s="1"/>
  <c r="O394" i="13" s="1"/>
  <c r="O395" i="13" a="1"/>
  <c r="O395" i="13" s="1"/>
  <c r="O396" i="13" s="1"/>
  <c r="I183" i="10"/>
  <c r="I424" i="13" s="1" a="1"/>
  <c r="I424" i="13" s="1"/>
  <c r="I184" i="10"/>
  <c r="I425" i="13" s="1" a="1"/>
  <c r="I425" i="13" s="1"/>
  <c r="N398" i="13" a="1"/>
  <c r="N398" i="13" s="1"/>
  <c r="N399" i="13" s="1"/>
  <c r="N400" i="13" a="1"/>
  <c r="N400" i="13" s="1"/>
  <c r="N401" i="13" s="1"/>
  <c r="D196" i="10" a="1"/>
  <c r="D196" i="10" s="1"/>
  <c r="D199" i="10" s="1"/>
  <c r="L183" i="10"/>
  <c r="L424" i="13" s="1" a="1"/>
  <c r="L424" i="13" s="1"/>
  <c r="L184" i="10"/>
  <c r="L425" i="13" s="1" a="1"/>
  <c r="L425" i="13" s="1"/>
  <c r="F183" i="10"/>
  <c r="F424" i="13" s="1" a="1"/>
  <c r="F424" i="13" s="1"/>
  <c r="F184" i="10"/>
  <c r="F425" i="13" s="1" a="1"/>
  <c r="F425" i="13" s="1"/>
  <c r="G395" i="13" a="1"/>
  <c r="G395" i="13" s="1"/>
  <c r="G396" i="13" s="1"/>
  <c r="G393" i="13" a="1"/>
  <c r="G393" i="13" s="1"/>
  <c r="G394" i="13" s="1"/>
  <c r="O183" i="10"/>
  <c r="O424" i="13" s="1" a="1"/>
  <c r="O424" i="13" s="1"/>
  <c r="O184" i="10"/>
  <c r="O425" i="13" s="1" a="1"/>
  <c r="O425" i="13" s="1"/>
  <c r="F196" i="10" a="1"/>
  <c r="F196" i="10" s="1"/>
  <c r="F199" i="10" s="1"/>
  <c r="N395" i="13" a="1"/>
  <c r="N395" i="13" s="1"/>
  <c r="N396" i="13" s="1"/>
  <c r="N393" i="13" a="1"/>
  <c r="N393" i="13" s="1"/>
  <c r="N394" i="13" s="1"/>
  <c r="H183" i="10"/>
  <c r="H424" i="13" s="1" a="1"/>
  <c r="H424" i="13" s="1"/>
  <c r="H184" i="10"/>
  <c r="H425" i="13" s="1" a="1"/>
  <c r="H425" i="13" s="1"/>
  <c r="L398" i="13" a="1"/>
  <c r="L398" i="13" s="1"/>
  <c r="L399" i="13" s="1"/>
  <c r="L400" i="13" a="1"/>
  <c r="L400" i="13" s="1"/>
  <c r="L401" i="13" s="1"/>
  <c r="D391" i="13" a="1"/>
  <c r="D391" i="13" s="1"/>
  <c r="P170" i="10"/>
  <c r="K398" i="13" a="1"/>
  <c r="K398" i="13" s="1"/>
  <c r="K399" i="13" s="1"/>
  <c r="K400" i="13" a="1"/>
  <c r="K400" i="13" s="1"/>
  <c r="K401" i="13" s="1"/>
  <c r="M183" i="10"/>
  <c r="M424" i="13" s="1" a="1"/>
  <c r="M424" i="13" s="1"/>
  <c r="M184" i="10"/>
  <c r="M425" i="13" s="1" a="1"/>
  <c r="M425" i="13" s="1"/>
  <c r="F398" i="13" a="1"/>
  <c r="F398" i="13" s="1"/>
  <c r="F399" i="13" s="1"/>
  <c r="F400" i="13" a="1"/>
  <c r="F400" i="13" s="1"/>
  <c r="F401" i="13" s="1"/>
  <c r="E183" i="10"/>
  <c r="E424" i="13" s="1" a="1"/>
  <c r="E424" i="13" s="1"/>
  <c r="E184" i="10"/>
  <c r="E425" i="13" s="1" a="1"/>
  <c r="E425" i="13" s="1"/>
  <c r="P185" i="10"/>
  <c r="L395" i="13" a="1"/>
  <c r="L395" i="13" s="1"/>
  <c r="L396" i="13" s="1"/>
  <c r="L393" i="13" a="1"/>
  <c r="L393" i="13" s="1"/>
  <c r="L394" i="13" s="1"/>
  <c r="D390" i="13" a="1"/>
  <c r="D390" i="13" s="1"/>
  <c r="P169" i="10"/>
  <c r="K393" i="13" a="1"/>
  <c r="K393" i="13" s="1"/>
  <c r="K394" i="13" s="1"/>
  <c r="K395" i="13" a="1"/>
  <c r="K395" i="13" s="1"/>
  <c r="K396" i="13" s="1"/>
  <c r="I196" i="10" a="1"/>
  <c r="I196" i="10" s="1"/>
  <c r="I199" i="10" s="1"/>
  <c r="N196" i="10" a="1"/>
  <c r="N196" i="10" s="1"/>
  <c r="N199" i="10" s="1"/>
  <c r="F395" i="13" a="1"/>
  <c r="F395" i="13" s="1"/>
  <c r="F396" i="13" s="1"/>
  <c r="F393" i="13" a="1"/>
  <c r="F393" i="13" s="1"/>
  <c r="F394" i="13" s="1"/>
  <c r="D183" i="10"/>
  <c r="D184" i="10"/>
  <c r="H196" i="10" a="1"/>
  <c r="H196" i="10" s="1"/>
  <c r="H199" i="10" s="1"/>
  <c r="J400" i="13" a="1"/>
  <c r="J400" i="13" s="1"/>
  <c r="J401" i="13" s="1"/>
  <c r="J398" i="13" a="1"/>
  <c r="J398" i="13" s="1"/>
  <c r="J399" i="13" s="1"/>
  <c r="K183" i="10"/>
  <c r="K424" i="13" s="1" a="1"/>
  <c r="K424" i="13" s="1"/>
  <c r="K184" i="10"/>
  <c r="K425" i="13" s="1" a="1"/>
  <c r="K425" i="13" s="1"/>
  <c r="N183" i="10"/>
  <c r="N424" i="13" s="1" a="1"/>
  <c r="N424" i="13" s="1"/>
  <c r="N184" i="10"/>
  <c r="N425" i="13" s="1" a="1"/>
  <c r="N425" i="13" s="1"/>
  <c r="O374" i="13"/>
  <c r="O378" i="13" s="1"/>
  <c r="HX21" i="9" s="1" a="1"/>
  <c r="HX21" i="9" s="1"/>
  <c r="F374" i="13"/>
  <c r="N342" i="13"/>
  <c r="N344" i="13" s="1"/>
  <c r="HE20" i="9" s="1" a="1"/>
  <c r="HE20" i="9" s="1"/>
  <c r="N374" i="13"/>
  <c r="J374" i="13"/>
  <c r="J340" i="13"/>
  <c r="H376" i="13"/>
  <c r="I376" i="13"/>
  <c r="H342" i="13"/>
  <c r="D186" i="10"/>
  <c r="X23" i="9" s="1" a="1"/>
  <c r="X23" i="9" s="1"/>
  <c r="DX18" i="9"/>
  <c r="DY18" i="9" s="1"/>
  <c r="K31" i="24" s="1" a="1"/>
  <c r="K31" i="24" s="1"/>
  <c r="IJ15" i="9"/>
  <c r="IK15" i="9" s="1"/>
  <c r="FC18" i="9" a="1"/>
  <c r="FC18" i="9" s="1"/>
  <c r="FK18" i="9" s="1"/>
  <c r="M31" i="24" s="1" a="1"/>
  <c r="M31" i="24" s="1"/>
  <c r="EJ18" i="9" a="1"/>
  <c r="EJ18" i="9" s="1"/>
  <c r="ER18" i="9" s="1"/>
  <c r="L31" i="24" s="1" a="1"/>
  <c r="L31" i="24" s="1"/>
  <c r="AS17" i="9" a="1"/>
  <c r="AS17" i="9" s="1"/>
  <c r="BA17" i="9" s="1"/>
  <c r="G30" i="24" s="1" a="1"/>
  <c r="G30" i="24" s="1"/>
  <c r="FV18" i="9" a="1"/>
  <c r="FV18" i="9" s="1"/>
  <c r="GD18" i="9" s="1"/>
  <c r="N31" i="24" s="1" a="1"/>
  <c r="N31" i="24" s="1"/>
  <c r="BL16" i="9" a="1"/>
  <c r="BL16" i="9" s="1"/>
  <c r="BT16" i="9" s="1"/>
  <c r="H29" i="24" s="1" a="1"/>
  <c r="H29" i="24" s="1"/>
  <c r="IL17" i="9"/>
  <c r="IM17" i="9" s="1"/>
  <c r="U19" i="9"/>
  <c r="AS18" i="9" a="1"/>
  <c r="AS18" i="9" s="1"/>
  <c r="BA18" i="9" s="1"/>
  <c r="G31" i="24" s="1" a="1"/>
  <c r="G31" i="24" s="1"/>
  <c r="Z17" i="9" a="1"/>
  <c r="Z17" i="9" s="1"/>
  <c r="AH17" i="9" s="1"/>
  <c r="F30" i="24" s="1" a="1"/>
  <c r="F30" i="24" s="1"/>
  <c r="CE18" i="9" a="1"/>
  <c r="CE18" i="9" s="1"/>
  <c r="CM18" i="9" s="1"/>
  <c r="I31" i="24" s="1" a="1"/>
  <c r="I31" i="24" s="1"/>
  <c r="IA18" i="9" a="1"/>
  <c r="IA18" i="9" s="1"/>
  <c r="II18" i="9" s="1"/>
  <c r="Q31" i="24" s="1" a="1"/>
  <c r="Q31" i="24" s="1"/>
  <c r="HZ19" i="9"/>
  <c r="IH19" i="9" s="1"/>
  <c r="CW18" i="9"/>
  <c r="DE18" i="9" s="1"/>
  <c r="W18" i="9" a="1"/>
  <c r="W18" i="9" s="1"/>
  <c r="Y18" i="9" s="1"/>
  <c r="AG18" i="9" s="1"/>
  <c r="DP19" i="9"/>
  <c r="DX19" i="9" s="1"/>
  <c r="GN18" i="9"/>
  <c r="GV18" i="9" s="1"/>
  <c r="HG18" i="9"/>
  <c r="HO18" i="9" s="1"/>
  <c r="CW19" i="9"/>
  <c r="DE19" i="9" s="1"/>
  <c r="CD19" i="9"/>
  <c r="CE19" i="9" s="1" a="1"/>
  <c r="CE19" i="9" s="1"/>
  <c r="BK19" i="9"/>
  <c r="BS19" i="9" s="1"/>
  <c r="P209" i="10"/>
  <c r="I186" i="10"/>
  <c r="O186" i="10"/>
  <c r="F194" i="10"/>
  <c r="BC24" i="9" s="1" a="1"/>
  <c r="BC24" i="9" s="1"/>
  <c r="G194" i="10"/>
  <c r="BV24" i="9" s="1" a="1"/>
  <c r="BV24" i="9" s="1"/>
  <c r="H194" i="10"/>
  <c r="CO24" i="9" s="1" a="1"/>
  <c r="CO24" i="9" s="1"/>
  <c r="P172" i="10"/>
  <c r="B243" i="10" a="1"/>
  <c r="B243" i="10" s="1"/>
  <c r="A243" i="10" a="1"/>
  <c r="A243" i="10" s="1"/>
  <c r="G186" i="10"/>
  <c r="O194" i="10"/>
  <c r="HR24" i="9" s="1" a="1"/>
  <c r="HR24" i="9" s="1"/>
  <c r="M194" i="10"/>
  <c r="GF24" i="9" s="1" a="1"/>
  <c r="GF24" i="9" s="1"/>
  <c r="N206" i="10"/>
  <c r="I206" i="10"/>
  <c r="I194" i="10"/>
  <c r="DH24" i="9" s="1" a="1"/>
  <c r="DH24" i="9" s="1"/>
  <c r="L194" i="10"/>
  <c r="FM24" i="9" s="1" a="1"/>
  <c r="FM24" i="9" s="1"/>
  <c r="J194" i="10"/>
  <c r="EA24" i="9" s="1" a="1"/>
  <c r="EA24" i="9" s="1"/>
  <c r="K186" i="10"/>
  <c r="D206" i="10"/>
  <c r="F209" i="10"/>
  <c r="F206" i="10"/>
  <c r="D194" i="10"/>
  <c r="Q24" i="9" s="1" a="1"/>
  <c r="Q24" i="9" s="1"/>
  <c r="K194" i="10"/>
  <c r="ET24" i="9" s="1" a="1"/>
  <c r="ET24" i="9" s="1"/>
  <c r="M229" i="10"/>
  <c r="E229" i="10"/>
  <c r="D229" i="10"/>
  <c r="L229" i="10"/>
  <c r="N229" i="10"/>
  <c r="J229" i="10"/>
  <c r="F229" i="10"/>
  <c r="B230" i="10"/>
  <c r="I229" i="10"/>
  <c r="P229" i="10"/>
  <c r="H229" i="10"/>
  <c r="O229" i="10"/>
  <c r="G229" i="10"/>
  <c r="K229" i="10"/>
  <c r="E216" i="10"/>
  <c r="I216" i="10"/>
  <c r="I223" i="10" s="1"/>
  <c r="L216" i="10"/>
  <c r="L223" i="10" s="1"/>
  <c r="B220" i="10"/>
  <c r="B221" i="10" s="1"/>
  <c r="O216" i="10"/>
  <c r="O223" i="10" s="1"/>
  <c r="K216" i="10"/>
  <c r="K223" i="10" s="1"/>
  <c r="G216" i="10"/>
  <c r="G223" i="10" s="1"/>
  <c r="P216" i="10"/>
  <c r="P220" i="10" s="1"/>
  <c r="N216" i="10"/>
  <c r="H216" i="10"/>
  <c r="H223" i="10" s="1"/>
  <c r="M216" i="10"/>
  <c r="J216" i="10"/>
  <c r="J223" i="10" s="1"/>
  <c r="F216" i="10"/>
  <c r="F223" i="10" s="1"/>
  <c r="B217" i="10"/>
  <c r="B218" i="10" s="1"/>
  <c r="B219" i="10" s="1"/>
  <c r="D216" i="10"/>
  <c r="D223" i="10" s="1"/>
  <c r="N194" i="10"/>
  <c r="GY24" i="9" s="1" a="1"/>
  <c r="GY24" i="9" s="1"/>
  <c r="J206" i="10"/>
  <c r="O206" i="10"/>
  <c r="K207" i="10"/>
  <c r="K210" i="10" s="1" a="1"/>
  <c r="K210" i="10" s="1"/>
  <c r="J207" i="10"/>
  <c r="J210" i="10" s="1" a="1"/>
  <c r="J210" i="10" s="1"/>
  <c r="I207" i="10"/>
  <c r="I210" i="10" s="1" a="1"/>
  <c r="I210" i="10" s="1"/>
  <c r="H207" i="10"/>
  <c r="H210" i="10" s="1" a="1"/>
  <c r="H210" i="10" s="1"/>
  <c r="F207" i="10"/>
  <c r="M207" i="10"/>
  <c r="M210" i="10" s="1" a="1"/>
  <c r="M210" i="10" s="1"/>
  <c r="P207" i="10"/>
  <c r="P208" i="10" s="1"/>
  <c r="D207" i="10"/>
  <c r="D210" i="10" s="1" a="1"/>
  <c r="D210" i="10" s="1"/>
  <c r="O207" i="10"/>
  <c r="L207" i="10"/>
  <c r="G207" i="10"/>
  <c r="E207" i="10"/>
  <c r="E210" i="10" s="1" a="1"/>
  <c r="E210" i="10" s="1"/>
  <c r="B208" i="10"/>
  <c r="B209" i="10" s="1"/>
  <c r="B210" i="10" s="1"/>
  <c r="B211" i="10" s="1"/>
  <c r="B212" i="10" s="1"/>
  <c r="B213" i="10" s="1"/>
  <c r="B214" i="10" s="1"/>
  <c r="N207" i="10"/>
  <c r="N210" i="10" s="1" a="1"/>
  <c r="N210" i="10" s="1"/>
  <c r="E194" i="10"/>
  <c r="AJ24" i="9" s="1" a="1"/>
  <c r="AJ24" i="9" s="1"/>
  <c r="G209" i="10"/>
  <c r="G206" i="10"/>
  <c r="E206" i="10"/>
  <c r="O209" i="10"/>
  <c r="H206" i="10"/>
  <c r="L206" i="10"/>
  <c r="L209" i="10"/>
  <c r="M206" i="10"/>
  <c r="K206" i="10"/>
  <c r="R257" i="10"/>
  <c r="H378" i="13" l="1"/>
  <c r="CU21" i="9" s="1" a="1"/>
  <c r="CU21" i="9" s="1"/>
  <c r="H405" i="13" a="1"/>
  <c r="H405" i="13" s="1"/>
  <c r="H406" i="13" s="1"/>
  <c r="F378" i="13"/>
  <c r="BI21" i="9" s="1" a="1"/>
  <c r="BI21" i="9" s="1"/>
  <c r="J405" i="13" a="1"/>
  <c r="J405" i="13" s="1"/>
  <c r="J406" i="13" s="1"/>
  <c r="J407" i="13" s="1"/>
  <c r="ED22" i="9" s="1" a="1"/>
  <c r="ED22" i="9" s="1"/>
  <c r="EF22" i="9" s="1"/>
  <c r="CS21" i="9"/>
  <c r="BG21" i="9"/>
  <c r="N378" i="13"/>
  <c r="HE21" i="9" s="1" a="1"/>
  <c r="HE21" i="9" s="1"/>
  <c r="H344" i="13"/>
  <c r="CU20" i="9" s="1" a="1"/>
  <c r="CU20" i="9" s="1"/>
  <c r="CW20" i="9" s="1"/>
  <c r="DE20" i="9" s="1"/>
  <c r="I378" i="13"/>
  <c r="DN21" i="9" s="1" a="1"/>
  <c r="DN21" i="9" s="1"/>
  <c r="HC21" i="9"/>
  <c r="HV21" i="9"/>
  <c r="J344" i="13"/>
  <c r="EG20" i="9" s="1" a="1"/>
  <c r="EG20" i="9" s="1"/>
  <c r="EI20" i="9" s="1"/>
  <c r="EQ20" i="9" s="1"/>
  <c r="J378" i="13"/>
  <c r="EG21" i="9" s="1" a="1"/>
  <c r="EG21" i="9" s="1"/>
  <c r="G376" i="13"/>
  <c r="BY21" i="9" a="1"/>
  <c r="BY21" i="9" s="1"/>
  <c r="BZ21" i="9" s="1"/>
  <c r="K376" i="13"/>
  <c r="EW21" i="9" a="1"/>
  <c r="EW21" i="9" s="1"/>
  <c r="P33" i="25" a="1"/>
  <c r="P33" i="25" s="1"/>
  <c r="HW21" i="9"/>
  <c r="D376" i="13"/>
  <c r="T21" i="9" a="1"/>
  <c r="T21" i="9" s="1"/>
  <c r="E33" i="25" s="1" a="1"/>
  <c r="E33" i="25" s="1"/>
  <c r="G33" i="25" a="1"/>
  <c r="G33" i="25" s="1"/>
  <c r="BH21" i="9"/>
  <c r="I33" i="25" a="1"/>
  <c r="I33" i="25" s="1"/>
  <c r="CT21" i="9"/>
  <c r="E376" i="13"/>
  <c r="AM21" i="9" a="1"/>
  <c r="AM21" i="9" s="1"/>
  <c r="L376" i="13"/>
  <c r="FP21" i="9" a="1"/>
  <c r="FP21" i="9" s="1"/>
  <c r="FQ21" i="9" s="1"/>
  <c r="EE21" i="9"/>
  <c r="O33" i="25" a="1"/>
  <c r="O33" i="25" s="1"/>
  <c r="HD21" i="9"/>
  <c r="J33" i="25" a="1"/>
  <c r="J33" i="25" s="1"/>
  <c r="DM21" i="9"/>
  <c r="M376" i="13"/>
  <c r="GI21" i="9" a="1"/>
  <c r="GI21" i="9" s="1"/>
  <c r="GJ21" i="9" s="1"/>
  <c r="K33" i="25" a="1"/>
  <c r="K33" i="25" s="1"/>
  <c r="EF21" i="9"/>
  <c r="L340" i="13"/>
  <c r="FP20" i="9" a="1"/>
  <c r="FP20" i="9" s="1"/>
  <c r="O32" i="25" a="1"/>
  <c r="O32" i="25" s="1"/>
  <c r="HD20" i="9"/>
  <c r="I32" i="25" a="1"/>
  <c r="I32" i="25" s="1"/>
  <c r="CT20" i="9"/>
  <c r="E32" i="25" a="1"/>
  <c r="E32" i="25" s="1"/>
  <c r="V20" i="9"/>
  <c r="Q31" i="25"/>
  <c r="K32" i="25" a="1"/>
  <c r="K32" i="25" s="1"/>
  <c r="EF20" i="9"/>
  <c r="EE20" i="9"/>
  <c r="HC20" i="9"/>
  <c r="I342" i="13"/>
  <c r="DK20" i="9" a="1"/>
  <c r="DK20" i="9" s="1"/>
  <c r="BL18" i="9" a="1"/>
  <c r="BL18" i="9" s="1"/>
  <c r="BT18" i="9" s="1"/>
  <c r="H31" i="24" s="1" a="1"/>
  <c r="H31" i="24" s="1"/>
  <c r="E405" i="13" a="1"/>
  <c r="E405" i="13" s="1"/>
  <c r="E406" i="13" s="1"/>
  <c r="E407" i="13" s="1"/>
  <c r="AM22" i="9" s="1" a="1"/>
  <c r="AM22" i="9" s="1"/>
  <c r="AO22" i="9" s="1"/>
  <c r="D374" i="13"/>
  <c r="K200" i="10"/>
  <c r="FA24" i="9" s="1" a="1"/>
  <c r="FA24" i="9" s="1"/>
  <c r="N405" i="13" a="1"/>
  <c r="N405" i="13" s="1"/>
  <c r="N406" i="13" s="1"/>
  <c r="N407" i="13" s="1"/>
  <c r="HB22" i="9" s="1" a="1"/>
  <c r="HB22" i="9" s="1"/>
  <c r="HD22" i="9" s="1"/>
  <c r="L342" i="13"/>
  <c r="I340" i="13"/>
  <c r="I344" i="13" s="1"/>
  <c r="DN20" i="9" s="1" a="1"/>
  <c r="DN20" i="9" s="1"/>
  <c r="O405" i="13" a="1"/>
  <c r="O405" i="13" s="1"/>
  <c r="O406" i="13" s="1"/>
  <c r="O407" i="13" s="1"/>
  <c r="HU22" i="9" s="1" a="1"/>
  <c r="HU22" i="9" s="1"/>
  <c r="HW22" i="9" s="1"/>
  <c r="N310" i="13"/>
  <c r="HE19" i="9" s="1" a="1"/>
  <c r="HE19" i="9" s="1"/>
  <c r="HG19" i="9" s="1"/>
  <c r="HO19" i="9" s="1"/>
  <c r="L405" i="13" a="1"/>
  <c r="L405" i="13" s="1"/>
  <c r="L406" i="13" s="1"/>
  <c r="L407" i="13" s="1"/>
  <c r="FP22" i="9" s="1" a="1"/>
  <c r="FP22" i="9" s="1"/>
  <c r="FR22" i="9" s="1"/>
  <c r="O426" i="13" a="1"/>
  <c r="O426" i="13" s="1"/>
  <c r="O437" i="13" s="1" a="1"/>
  <c r="O437" i="13" s="1"/>
  <c r="O438" i="13" s="1"/>
  <c r="HY23" i="9" a="1"/>
  <c r="HY23" i="9" s="1"/>
  <c r="HS23" i="9" a="1"/>
  <c r="HS23" i="9" s="1"/>
  <c r="P35" i="27" s="1" a="1"/>
  <c r="P35" i="27" s="1"/>
  <c r="N426" i="13" a="1"/>
  <c r="N426" i="13" s="1"/>
  <c r="HF23" i="9" a="1"/>
  <c r="HF23" i="9" s="1"/>
  <c r="GZ23" i="9" a="1"/>
  <c r="GZ23" i="9" s="1"/>
  <c r="O35" i="27" s="1" a="1"/>
  <c r="O35" i="27" s="1"/>
  <c r="M426" i="13" a="1"/>
  <c r="M426" i="13" s="1"/>
  <c r="GM23" i="9" a="1"/>
  <c r="GM23" i="9" s="1"/>
  <c r="GG23" i="9" a="1"/>
  <c r="GG23" i="9" s="1"/>
  <c r="N35" i="27" s="1" a="1"/>
  <c r="N35" i="27" s="1"/>
  <c r="M405" i="13" a="1"/>
  <c r="M405" i="13" s="1"/>
  <c r="M406" i="13" s="1"/>
  <c r="M407" i="13" s="1"/>
  <c r="GI22" i="9" s="1" a="1"/>
  <c r="GI22" i="9" s="1"/>
  <c r="GK22" i="9" s="1"/>
  <c r="L426" i="13" a="1"/>
  <c r="L426" i="13" s="1"/>
  <c r="L439" i="13" s="1" a="1"/>
  <c r="L439" i="13" s="1"/>
  <c r="L440" i="13" s="1"/>
  <c r="FT23" i="9" a="1"/>
  <c r="FT23" i="9" s="1"/>
  <c r="FN23" i="9" a="1"/>
  <c r="FN23" i="9" s="1"/>
  <c r="M35" i="27" s="1" a="1"/>
  <c r="M35" i="27" s="1"/>
  <c r="K426" i="13" a="1"/>
  <c r="K426" i="13" s="1"/>
  <c r="K439" i="13" s="1" a="1"/>
  <c r="K439" i="13" s="1"/>
  <c r="K440" i="13" s="1"/>
  <c r="FA23" i="9" a="1"/>
  <c r="FA23" i="9" s="1"/>
  <c r="EU23" i="9" a="1"/>
  <c r="EU23" i="9" s="1"/>
  <c r="L35" i="27" s="1" a="1"/>
  <c r="L35" i="27" s="1"/>
  <c r="K403" i="13" a="1"/>
  <c r="K403" i="13" s="1"/>
  <c r="K404" i="13" s="1"/>
  <c r="K405" i="13" a="1"/>
  <c r="K405" i="13" s="1"/>
  <c r="K406" i="13" s="1"/>
  <c r="I403" i="13" a="1"/>
  <c r="I403" i="13" s="1"/>
  <c r="I404" i="13" s="1"/>
  <c r="I407" i="13" s="1"/>
  <c r="DK22" i="9" s="1" a="1"/>
  <c r="DK22" i="9" s="1"/>
  <c r="DM22" i="9" s="1"/>
  <c r="G374" i="13"/>
  <c r="DJ21" i="9" a="1"/>
  <c r="DJ21" i="9" s="1"/>
  <c r="DL21" i="9" s="1"/>
  <c r="J426" i="13" a="1"/>
  <c r="J426" i="13" s="1"/>
  <c r="J439" i="13" s="1" a="1"/>
  <c r="J439" i="13" s="1"/>
  <c r="J440" i="13" s="1"/>
  <c r="EH23" i="9" a="1"/>
  <c r="EH23" i="9" s="1"/>
  <c r="EB23" i="9" a="1"/>
  <c r="EB23" i="9" s="1"/>
  <c r="K35" i="27" s="1" a="1"/>
  <c r="K35" i="27" s="1"/>
  <c r="K34" i="27" a="1"/>
  <c r="K34" i="27" s="1"/>
  <c r="I426" i="13" a="1"/>
  <c r="I426" i="13" s="1"/>
  <c r="I437" i="13" s="1" a="1"/>
  <c r="I437" i="13" s="1"/>
  <c r="I438" i="13" s="1"/>
  <c r="DI23" i="9" a="1"/>
  <c r="DI23" i="9" s="1"/>
  <c r="J35" i="27" s="1" a="1"/>
  <c r="J35" i="27" s="1"/>
  <c r="DO23" i="9" a="1"/>
  <c r="DO23" i="9" s="1"/>
  <c r="D405" i="13" a="1"/>
  <c r="D405" i="13" s="1"/>
  <c r="D406" i="13" s="1"/>
  <c r="D407" i="13" s="1"/>
  <c r="D408" i="13" s="1"/>
  <c r="J34" i="27" a="1"/>
  <c r="J34" i="27" s="1"/>
  <c r="H426" i="13" a="1"/>
  <c r="H426" i="13" s="1"/>
  <c r="CV23" i="9" a="1"/>
  <c r="CV23" i="9" s="1"/>
  <c r="CP23" i="9" a="1"/>
  <c r="CP23" i="9" s="1"/>
  <c r="I35" i="27" s="1" a="1"/>
  <c r="I35" i="27" s="1"/>
  <c r="G403" i="13" a="1"/>
  <c r="G403" i="13" s="1"/>
  <c r="G404" i="13" s="1"/>
  <c r="G405" i="13" a="1"/>
  <c r="G405" i="13" s="1"/>
  <c r="G406" i="13" s="1"/>
  <c r="G426" i="13" a="1"/>
  <c r="G426" i="13" s="1"/>
  <c r="G439" i="13" s="1" a="1"/>
  <c r="G439" i="13" s="1"/>
  <c r="G440" i="13" s="1"/>
  <c r="BW23" i="9" a="1"/>
  <c r="BW23" i="9" s="1"/>
  <c r="H35" i="27" s="1" a="1"/>
  <c r="H35" i="27" s="1"/>
  <c r="CC23" i="9" a="1"/>
  <c r="CC23" i="9" s="1"/>
  <c r="F405" i="13" a="1"/>
  <c r="F405" i="13" s="1"/>
  <c r="F406" i="13" s="1"/>
  <c r="F407" i="13" s="1"/>
  <c r="BF22" i="9" s="1" a="1"/>
  <c r="BF22" i="9" s="1"/>
  <c r="BH22" i="9" s="1"/>
  <c r="G34" i="27" a="1"/>
  <c r="G34" i="27" s="1"/>
  <c r="F426" i="13" a="1"/>
  <c r="F426" i="13" s="1"/>
  <c r="BJ23" i="9" a="1"/>
  <c r="BJ23" i="9" s="1"/>
  <c r="BD23" i="9" a="1"/>
  <c r="BD23" i="9" s="1"/>
  <c r="G35" i="27" s="1" a="1"/>
  <c r="G35" i="27" s="1"/>
  <c r="E426" i="13" a="1"/>
  <c r="E426" i="13" s="1"/>
  <c r="AK23" i="9" a="1"/>
  <c r="AK23" i="9" s="1"/>
  <c r="F35" i="27" s="1" a="1"/>
  <c r="F35" i="27" s="1"/>
  <c r="AQ23" i="9" a="1"/>
  <c r="AQ23" i="9" s="1"/>
  <c r="F34" i="27" a="1"/>
  <c r="F34" i="27" s="1"/>
  <c r="D340" i="13"/>
  <c r="D342" i="13"/>
  <c r="R23" i="9" a="1"/>
  <c r="R23" i="9" s="1"/>
  <c r="E35" i="27" s="1" a="1"/>
  <c r="E35" i="27" s="1"/>
  <c r="G200" i="10"/>
  <c r="L200" i="10"/>
  <c r="J200" i="10"/>
  <c r="IN16" i="9"/>
  <c r="IO16" i="9" s="1"/>
  <c r="H200" i="10"/>
  <c r="D200" i="10"/>
  <c r="X24" i="9" s="1" a="1"/>
  <c r="X24" i="9" s="1"/>
  <c r="F397" i="13"/>
  <c r="M402" i="13"/>
  <c r="H397" i="13"/>
  <c r="I200" i="10"/>
  <c r="J402" i="13"/>
  <c r="O397" i="13"/>
  <c r="E402" i="13"/>
  <c r="O210" i="10" a="1"/>
  <c r="O210" i="10" s="1"/>
  <c r="O211" i="10" s="1"/>
  <c r="O492" i="13" s="1" a="1"/>
  <c r="O492" i="13" s="1"/>
  <c r="I402" i="13"/>
  <c r="L397" i="13"/>
  <c r="I211" i="10"/>
  <c r="I492" i="13" s="1" a="1"/>
  <c r="I492" i="13" s="1"/>
  <c r="I212" i="10"/>
  <c r="I493" i="13" s="1" a="1"/>
  <c r="I493" i="13" s="1"/>
  <c r="I213" i="10"/>
  <c r="D212" i="10"/>
  <c r="D213" i="10"/>
  <c r="D211" i="10"/>
  <c r="M212" i="10"/>
  <c r="M493" i="13" s="1" a="1"/>
  <c r="M493" i="13" s="1"/>
  <c r="M213" i="10"/>
  <c r="M211" i="10"/>
  <c r="M492" i="13" s="1" a="1"/>
  <c r="M492" i="13" s="1"/>
  <c r="N213" i="10"/>
  <c r="N211" i="10"/>
  <c r="N492" i="13" s="1" a="1"/>
  <c r="N492" i="13" s="1"/>
  <c r="N212" i="10"/>
  <c r="N493" i="13" s="1" a="1"/>
  <c r="N493" i="13" s="1"/>
  <c r="E212" i="10"/>
  <c r="E493" i="13" s="1" a="1"/>
  <c r="E493" i="13" s="1"/>
  <c r="E213" i="10"/>
  <c r="E211" i="10"/>
  <c r="E492" i="13" s="1" a="1"/>
  <c r="E492" i="13" s="1"/>
  <c r="H213" i="10"/>
  <c r="H211" i="10"/>
  <c r="H492" i="13" s="1" a="1"/>
  <c r="H492" i="13" s="1"/>
  <c r="H212" i="10"/>
  <c r="H493" i="13" s="1" a="1"/>
  <c r="H493" i="13" s="1"/>
  <c r="J211" i="10"/>
  <c r="J492" i="13" s="1" a="1"/>
  <c r="J492" i="13" s="1"/>
  <c r="J212" i="10"/>
  <c r="J493" i="13" s="1" a="1"/>
  <c r="J493" i="13" s="1"/>
  <c r="J213" i="10"/>
  <c r="P199" i="10"/>
  <c r="K213" i="10"/>
  <c r="K211" i="10"/>
  <c r="K492" i="13" s="1" a="1"/>
  <c r="K492" i="13" s="1"/>
  <c r="K212" i="10"/>
  <c r="K493" i="13" s="1" a="1"/>
  <c r="K493" i="13" s="1"/>
  <c r="F402" i="13"/>
  <c r="F197" i="10"/>
  <c r="F458" i="13" s="1" a="1"/>
  <c r="F458" i="13" s="1"/>
  <c r="F198" i="10"/>
  <c r="F459" i="13" s="1" a="1"/>
  <c r="F459" i="13" s="1"/>
  <c r="L427" i="13" a="1"/>
  <c r="L427" i="13" s="1"/>
  <c r="L428" i="13" s="1"/>
  <c r="L429" i="13" a="1"/>
  <c r="L429" i="13" s="1"/>
  <c r="L430" i="13" s="1"/>
  <c r="O402" i="13"/>
  <c r="M397" i="13"/>
  <c r="D395" i="13" a="1"/>
  <c r="D395" i="13" s="1"/>
  <c r="D396" i="13" s="1"/>
  <c r="D393" i="13" a="1"/>
  <c r="D393" i="13" s="1"/>
  <c r="D394" i="13" s="1"/>
  <c r="L402" i="13"/>
  <c r="O434" i="13" a="1"/>
  <c r="O434" i="13" s="1"/>
  <c r="O435" i="13" s="1"/>
  <c r="O432" i="13" a="1"/>
  <c r="O432" i="13" s="1"/>
  <c r="O433" i="13" s="1"/>
  <c r="J397" i="13"/>
  <c r="G210" i="10" a="1"/>
  <c r="G210" i="10" s="1"/>
  <c r="G214" i="10" s="1"/>
  <c r="P210" i="10" a="1"/>
  <c r="P210" i="10" s="1"/>
  <c r="M432" i="13" a="1"/>
  <c r="M432" i="13" s="1"/>
  <c r="M433" i="13" s="1"/>
  <c r="M434" i="13" a="1"/>
  <c r="M434" i="13" s="1"/>
  <c r="M435" i="13" s="1"/>
  <c r="H432" i="13" a="1"/>
  <c r="H432" i="13" s="1"/>
  <c r="H433" i="13" s="1"/>
  <c r="H434" i="13" a="1"/>
  <c r="H434" i="13" s="1"/>
  <c r="H435" i="13" s="1"/>
  <c r="O429" i="13" a="1"/>
  <c r="O429" i="13" s="1"/>
  <c r="O430" i="13" s="1"/>
  <c r="O427" i="13" a="1"/>
  <c r="O427" i="13" s="1"/>
  <c r="O428" i="13" s="1"/>
  <c r="D197" i="10"/>
  <c r="D198" i="10"/>
  <c r="G434" i="13" a="1"/>
  <c r="G434" i="13" s="1"/>
  <c r="G435" i="13" s="1"/>
  <c r="G432" i="13" a="1"/>
  <c r="G432" i="13" s="1"/>
  <c r="G433" i="13" s="1"/>
  <c r="M197" i="10"/>
  <c r="M458" i="13" s="1" a="1"/>
  <c r="M458" i="13" s="1"/>
  <c r="M198" i="10"/>
  <c r="M459" i="13" s="1" a="1"/>
  <c r="M459" i="13" s="1"/>
  <c r="L197" i="10"/>
  <c r="L458" i="13" s="1" a="1"/>
  <c r="L458" i="13" s="1"/>
  <c r="L198" i="10"/>
  <c r="L459" i="13" s="1" a="1"/>
  <c r="L459" i="13" s="1"/>
  <c r="H197" i="10"/>
  <c r="H458" i="13" s="1" a="1"/>
  <c r="H458" i="13" s="1"/>
  <c r="H198" i="10"/>
  <c r="H459" i="13" s="1" a="1"/>
  <c r="H459" i="13" s="1"/>
  <c r="N197" i="10"/>
  <c r="N458" i="13" s="1" a="1"/>
  <c r="N458" i="13" s="1"/>
  <c r="N198" i="10"/>
  <c r="N459" i="13" s="1" a="1"/>
  <c r="N459" i="13" s="1"/>
  <c r="M429" i="13" a="1"/>
  <c r="M429" i="13" s="1"/>
  <c r="M430" i="13" s="1"/>
  <c r="M427" i="13" a="1"/>
  <c r="M427" i="13" s="1"/>
  <c r="M428" i="13" s="1"/>
  <c r="H427" i="13" a="1"/>
  <c r="H427" i="13" s="1"/>
  <c r="H428" i="13" s="1"/>
  <c r="H429" i="13" a="1"/>
  <c r="H429" i="13" s="1"/>
  <c r="H430" i="13" s="1"/>
  <c r="G429" i="13" a="1"/>
  <c r="G429" i="13" s="1"/>
  <c r="G430" i="13" s="1"/>
  <c r="G427" i="13" a="1"/>
  <c r="G427" i="13" s="1"/>
  <c r="G428" i="13" s="1"/>
  <c r="G197" i="10"/>
  <c r="G458" i="13" s="1" a="1"/>
  <c r="G458" i="13" s="1"/>
  <c r="G198" i="10"/>
  <c r="G459" i="13" s="1" a="1"/>
  <c r="G459" i="13" s="1"/>
  <c r="N434" i="13" a="1"/>
  <c r="N434" i="13" s="1"/>
  <c r="N435" i="13" s="1"/>
  <c r="N432" i="13" a="1"/>
  <c r="N432" i="13" s="1"/>
  <c r="N433" i="13" s="1"/>
  <c r="D425" i="13" a="1"/>
  <c r="D425" i="13" s="1"/>
  <c r="P184" i="10"/>
  <c r="G397" i="13"/>
  <c r="N402" i="13"/>
  <c r="G402" i="13"/>
  <c r="E397" i="13"/>
  <c r="J432" i="13" a="1"/>
  <c r="J432" i="13" s="1"/>
  <c r="J433" i="13" s="1"/>
  <c r="J434" i="13" a="1"/>
  <c r="J434" i="13" s="1"/>
  <c r="J435" i="13" s="1"/>
  <c r="O197" i="10"/>
  <c r="O458" i="13" s="1" a="1"/>
  <c r="O458" i="13" s="1"/>
  <c r="O198" i="10"/>
  <c r="O459" i="13" s="1" a="1"/>
  <c r="O459" i="13" s="1"/>
  <c r="L210" i="10" a="1"/>
  <c r="L210" i="10" s="1"/>
  <c r="N429" i="13" a="1"/>
  <c r="N429" i="13" s="1"/>
  <c r="N430" i="13" s="1"/>
  <c r="N427" i="13" a="1"/>
  <c r="N427" i="13" s="1"/>
  <c r="N428" i="13" s="1"/>
  <c r="D424" i="13" a="1"/>
  <c r="D424" i="13" s="1"/>
  <c r="P183" i="10"/>
  <c r="I197" i="10"/>
  <c r="I458" i="13" s="1" a="1"/>
  <c r="I458" i="13" s="1"/>
  <c r="I198" i="10"/>
  <c r="I459" i="13" s="1" a="1"/>
  <c r="I459" i="13" s="1"/>
  <c r="E434" i="13" a="1"/>
  <c r="E434" i="13" s="1"/>
  <c r="E435" i="13" s="1"/>
  <c r="E432" i="13" a="1"/>
  <c r="E432" i="13" s="1"/>
  <c r="E433" i="13" s="1"/>
  <c r="K402" i="13"/>
  <c r="N397" i="13"/>
  <c r="F432" i="13" a="1"/>
  <c r="F432" i="13" s="1"/>
  <c r="F433" i="13" s="1"/>
  <c r="F434" i="13" a="1"/>
  <c r="F434" i="13" s="1"/>
  <c r="F435" i="13" s="1"/>
  <c r="I432" i="13" a="1"/>
  <c r="I432" i="13" s="1"/>
  <c r="I433" i="13" s="1"/>
  <c r="I434" i="13" a="1"/>
  <c r="I434" i="13" s="1"/>
  <c r="I435" i="13" s="1"/>
  <c r="I397" i="13"/>
  <c r="J427" i="13" a="1"/>
  <c r="J427" i="13" s="1"/>
  <c r="J428" i="13" s="1"/>
  <c r="J429" i="13" a="1"/>
  <c r="J429" i="13" s="1"/>
  <c r="J430" i="13" s="1"/>
  <c r="F210" i="10" a="1"/>
  <c r="F210" i="10" s="1"/>
  <c r="F214" i="10" s="1"/>
  <c r="K434" i="13" a="1"/>
  <c r="K434" i="13" s="1"/>
  <c r="K435" i="13" s="1"/>
  <c r="K432" i="13" a="1"/>
  <c r="K432" i="13" s="1"/>
  <c r="K433" i="13" s="1"/>
  <c r="K397" i="13"/>
  <c r="E429" i="13" a="1"/>
  <c r="E429" i="13" s="1"/>
  <c r="E430" i="13" s="1"/>
  <c r="E427" i="13" a="1"/>
  <c r="E427" i="13" s="1"/>
  <c r="E428" i="13" s="1"/>
  <c r="F427" i="13" a="1"/>
  <c r="F427" i="13" s="1"/>
  <c r="F428" i="13" s="1"/>
  <c r="F429" i="13" a="1"/>
  <c r="F429" i="13" s="1"/>
  <c r="F430" i="13" s="1"/>
  <c r="I429" i="13" a="1"/>
  <c r="I429" i="13" s="1"/>
  <c r="I430" i="13" s="1"/>
  <c r="I427" i="13" a="1"/>
  <c r="I427" i="13" s="1"/>
  <c r="I428" i="13" s="1"/>
  <c r="J197" i="10"/>
  <c r="J458" i="13" s="1" a="1"/>
  <c r="J458" i="13" s="1"/>
  <c r="J198" i="10"/>
  <c r="J459" i="13" s="1" a="1"/>
  <c r="J459" i="13" s="1"/>
  <c r="H402" i="13"/>
  <c r="K197" i="10"/>
  <c r="K458" i="13" s="1" a="1"/>
  <c r="K458" i="13" s="1"/>
  <c r="K198" i="10"/>
  <c r="K459" i="13" s="1" a="1"/>
  <c r="K459" i="13" s="1"/>
  <c r="K427" i="13" a="1"/>
  <c r="K427" i="13" s="1"/>
  <c r="K428" i="13" s="1"/>
  <c r="K429" i="13" a="1"/>
  <c r="K429" i="13" s="1"/>
  <c r="K430" i="13" s="1"/>
  <c r="D398" i="13" a="1"/>
  <c r="D398" i="13" s="1"/>
  <c r="D399" i="13" s="1"/>
  <c r="D400" i="13" a="1"/>
  <c r="D400" i="13" s="1"/>
  <c r="D401" i="13" s="1"/>
  <c r="L432" i="13" a="1"/>
  <c r="L432" i="13" s="1"/>
  <c r="L433" i="13" s="1"/>
  <c r="L434" i="13" a="1"/>
  <c r="L434" i="13" s="1"/>
  <c r="L435" i="13" s="1"/>
  <c r="E197" i="10"/>
  <c r="E458" i="13" s="1" a="1"/>
  <c r="E458" i="13" s="1"/>
  <c r="E198" i="10"/>
  <c r="E459" i="13" s="1" a="1"/>
  <c r="E459" i="13" s="1"/>
  <c r="L374" i="13"/>
  <c r="E374" i="13"/>
  <c r="K374" i="13"/>
  <c r="M374" i="13"/>
  <c r="D426" i="13" a="1"/>
  <c r="D426" i="13" s="1"/>
  <c r="H407" i="13"/>
  <c r="CR22" i="9" s="1" a="1"/>
  <c r="CR22" i="9" s="1"/>
  <c r="CT22" i="9" s="1"/>
  <c r="HH18" i="9" a="1"/>
  <c r="HH18" i="9" s="1"/>
  <c r="HP18" i="9" s="1"/>
  <c r="P31" i="24" s="1" a="1"/>
  <c r="P31" i="24" s="1"/>
  <c r="AS19" i="9" a="1"/>
  <c r="AS19" i="9" s="1"/>
  <c r="BA19" i="9" s="1"/>
  <c r="G32" i="24" s="1" a="1"/>
  <c r="G32" i="24" s="1"/>
  <c r="CL19" i="9"/>
  <c r="CM19" i="9" s="1"/>
  <c r="I32" i="24" s="1" a="1"/>
  <c r="I32" i="24" s="1"/>
  <c r="BL19" i="9" a="1"/>
  <c r="BL19" i="9" s="1"/>
  <c r="BT19" i="9" s="1"/>
  <c r="H32" i="24" s="1" a="1"/>
  <c r="H32" i="24" s="1"/>
  <c r="EJ19" i="9" a="1"/>
  <c r="EJ19" i="9" s="1"/>
  <c r="ER19" i="9" s="1"/>
  <c r="L32" i="24" s="1" a="1"/>
  <c r="L32" i="24" s="1"/>
  <c r="IA19" i="9" a="1"/>
  <c r="IA19" i="9" s="1"/>
  <c r="II19" i="9" s="1"/>
  <c r="Q32" i="24" s="1" a="1"/>
  <c r="Q32" i="24" s="1"/>
  <c r="Z18" i="9" a="1"/>
  <c r="Z18" i="9" s="1"/>
  <c r="AH18" i="9" s="1"/>
  <c r="F31" i="24" s="1" a="1"/>
  <c r="F31" i="24" s="1"/>
  <c r="IN17" i="9"/>
  <c r="IO17" i="9" s="1"/>
  <c r="IJ16" i="9"/>
  <c r="IK16" i="9" s="1"/>
  <c r="GO18" i="9" a="1"/>
  <c r="GO18" i="9" s="1"/>
  <c r="GW18" i="9" s="1"/>
  <c r="O31" i="24" s="1" a="1"/>
  <c r="O31" i="24" s="1"/>
  <c r="IJ17" i="9"/>
  <c r="IK17" i="9" s="1"/>
  <c r="CX19" i="9" a="1"/>
  <c r="CX19" i="9" s="1"/>
  <c r="DF19" i="9" s="1"/>
  <c r="J32" i="24" s="1" a="1"/>
  <c r="J32" i="24" s="1"/>
  <c r="IL18" i="9"/>
  <c r="IM18" i="9" s="1"/>
  <c r="DQ19" i="9" a="1"/>
  <c r="DQ19" i="9" s="1"/>
  <c r="DY19" i="9" s="1"/>
  <c r="K32" i="24" s="1" a="1"/>
  <c r="K32" i="24" s="1"/>
  <c r="CX18" i="9" a="1"/>
  <c r="CX18" i="9" s="1"/>
  <c r="DF18" i="9" s="1"/>
  <c r="J31" i="24" s="1" a="1"/>
  <c r="J31" i="24" s="1"/>
  <c r="GO19" i="9" a="1"/>
  <c r="GO19" i="9" s="1"/>
  <c r="GW19" i="9" s="1"/>
  <c r="O32" i="24" s="1" a="1"/>
  <c r="O32" i="24" s="1"/>
  <c r="FC19" i="9" a="1"/>
  <c r="FC19" i="9" s="1"/>
  <c r="FK19" i="9" s="1"/>
  <c r="M32" i="24" s="1" a="1"/>
  <c r="M32" i="24" s="1"/>
  <c r="GN20" i="9"/>
  <c r="GV20" i="9" s="1"/>
  <c r="W19" i="9" a="1"/>
  <c r="W19" i="9" s="1"/>
  <c r="Y19" i="9" s="1"/>
  <c r="AG19" i="9" s="1"/>
  <c r="FB20" i="9"/>
  <c r="FJ20" i="9" s="1"/>
  <c r="HZ20" i="9"/>
  <c r="IH20" i="9" s="1"/>
  <c r="CD20" i="9"/>
  <c r="CL20" i="9" s="1"/>
  <c r="AR20" i="9"/>
  <c r="AZ20" i="9" s="1"/>
  <c r="FU19" i="9"/>
  <c r="GC19" i="9" s="1"/>
  <c r="HG20" i="9"/>
  <c r="HO20" i="9" s="1"/>
  <c r="BK20" i="9"/>
  <c r="BS20" i="9" s="1"/>
  <c r="E208" i="10"/>
  <c r="AJ25" i="9" s="1" a="1"/>
  <c r="AJ25" i="9" s="1"/>
  <c r="G208" i="10"/>
  <c r="BV25" i="9" s="1" a="1"/>
  <c r="BV25" i="9" s="1"/>
  <c r="E200" i="10"/>
  <c r="S20" i="9" a="1"/>
  <c r="S20" i="9" s="1"/>
  <c r="U20" i="9" s="1"/>
  <c r="H208" i="10"/>
  <c r="CO25" i="9" s="1" a="1"/>
  <c r="CO25" i="9" s="1"/>
  <c r="K208" i="10"/>
  <c r="ET25" i="9" s="1" a="1"/>
  <c r="ET25" i="9" s="1"/>
  <c r="I208" i="10"/>
  <c r="DH25" i="9" s="1" a="1"/>
  <c r="DH25" i="9" s="1"/>
  <c r="P223" i="10"/>
  <c r="M208" i="10"/>
  <c r="GF25" i="9" s="1" a="1"/>
  <c r="GF25" i="9" s="1"/>
  <c r="D214" i="10"/>
  <c r="X25" i="9" s="1" a="1"/>
  <c r="X25" i="9" s="1"/>
  <c r="M200" i="10"/>
  <c r="P186" i="10"/>
  <c r="F200" i="10"/>
  <c r="F208" i="10"/>
  <c r="BC25" i="9" s="1" a="1"/>
  <c r="BC25" i="9" s="1"/>
  <c r="M214" i="10"/>
  <c r="H214" i="10"/>
  <c r="E214" i="10"/>
  <c r="J214" i="10"/>
  <c r="K220" i="10"/>
  <c r="N208" i="10"/>
  <c r="GY25" i="9" s="1" a="1"/>
  <c r="GY25" i="9" s="1"/>
  <c r="A257" i="10" a="1"/>
  <c r="A257" i="10" s="1"/>
  <c r="B257" i="10" a="1"/>
  <c r="B257" i="10" s="1"/>
  <c r="O208" i="10"/>
  <c r="HR25" i="9" s="1" a="1"/>
  <c r="HR25" i="9" s="1"/>
  <c r="F220" i="10"/>
  <c r="O220" i="10"/>
  <c r="I230" i="10"/>
  <c r="F230" i="10"/>
  <c r="F237" i="10" s="1"/>
  <c r="P230" i="10"/>
  <c r="P234" i="10" s="1"/>
  <c r="D230" i="10"/>
  <c r="D237" i="10" s="1"/>
  <c r="M230" i="10"/>
  <c r="M237" i="10" s="1"/>
  <c r="K230" i="10"/>
  <c r="K237" i="10" s="1"/>
  <c r="E230" i="10"/>
  <c r="E237" i="10" s="1"/>
  <c r="B234" i="10"/>
  <c r="B235" i="10" s="1"/>
  <c r="O230" i="10"/>
  <c r="O237" i="10" s="1"/>
  <c r="B231" i="10"/>
  <c r="B232" i="10" s="1"/>
  <c r="B233" i="10" s="1"/>
  <c r="G230" i="10"/>
  <c r="G237" i="10" s="1"/>
  <c r="L230" i="10"/>
  <c r="L237" i="10" s="1"/>
  <c r="J230" i="10"/>
  <c r="J237" i="10" s="1"/>
  <c r="N230" i="10"/>
  <c r="N237" i="10" s="1"/>
  <c r="H230" i="10"/>
  <c r="I214" i="10"/>
  <c r="L208" i="10"/>
  <c r="FM25" i="9" s="1" a="1"/>
  <c r="FM25" i="9" s="1"/>
  <c r="J220" i="10"/>
  <c r="J221" i="10"/>
  <c r="J224" i="10" s="1" a="1"/>
  <c r="J224" i="10" s="1"/>
  <c r="I221" i="10"/>
  <c r="I224" i="10" s="1" a="1"/>
  <c r="I224" i="10" s="1"/>
  <c r="H221" i="10"/>
  <c r="H224" i="10" s="1" a="1"/>
  <c r="H224" i="10" s="1"/>
  <c r="L221" i="10"/>
  <c r="L224" i="10" s="1" a="1"/>
  <c r="L224" i="10" s="1"/>
  <c r="P221" i="10"/>
  <c r="P222" i="10" s="1"/>
  <c r="E221" i="10"/>
  <c r="O221" i="10"/>
  <c r="O224" i="10" s="1" a="1"/>
  <c r="O224" i="10" s="1"/>
  <c r="D221" i="10"/>
  <c r="D224" i="10" s="1" a="1"/>
  <c r="D224" i="10" s="1"/>
  <c r="G221" i="10"/>
  <c r="G224" i="10" s="1" a="1"/>
  <c r="G224" i="10" s="1"/>
  <c r="N221" i="10"/>
  <c r="F221" i="10"/>
  <c r="F224" i="10" s="1" a="1"/>
  <c r="F224" i="10" s="1"/>
  <c r="K221" i="10"/>
  <c r="K224" i="10" s="1" a="1"/>
  <c r="K224" i="10" s="1"/>
  <c r="M221" i="10"/>
  <c r="B222" i="10"/>
  <c r="B223" i="10" s="1"/>
  <c r="B224" i="10" s="1"/>
  <c r="B225" i="10" s="1"/>
  <c r="B226" i="10" s="1"/>
  <c r="B227" i="10" s="1"/>
  <c r="B228" i="10" s="1"/>
  <c r="D208" i="10"/>
  <c r="Q25" i="9" s="1" a="1"/>
  <c r="Q25" i="9" s="1"/>
  <c r="M220" i="10"/>
  <c r="L220" i="10"/>
  <c r="M223" i="10"/>
  <c r="N243" i="10"/>
  <c r="P243" i="10"/>
  <c r="B244" i="10"/>
  <c r="E243" i="10"/>
  <c r="O243" i="10"/>
  <c r="G243" i="10"/>
  <c r="F243" i="10"/>
  <c r="L243" i="10"/>
  <c r="H243" i="10"/>
  <c r="D243" i="10"/>
  <c r="J243" i="10"/>
  <c r="I243" i="10"/>
  <c r="K243" i="10"/>
  <c r="M243" i="10"/>
  <c r="N214" i="10"/>
  <c r="H220" i="10"/>
  <c r="I220" i="10"/>
  <c r="K214" i="10"/>
  <c r="J208" i="10"/>
  <c r="EA25" i="9" s="1" a="1"/>
  <c r="EA25" i="9" s="1"/>
  <c r="N223" i="10"/>
  <c r="N220" i="10"/>
  <c r="E223" i="10"/>
  <c r="E220" i="10"/>
  <c r="O200" i="10"/>
  <c r="N200" i="10"/>
  <c r="D220" i="10"/>
  <c r="G220" i="10"/>
  <c r="S21" i="9" a="1"/>
  <c r="S21" i="9" s="1"/>
  <c r="R271" i="10"/>
  <c r="L378" i="13" l="1"/>
  <c r="FS21" i="9" s="1" a="1"/>
  <c r="FS21" i="9" s="1"/>
  <c r="K460" i="13" a="1"/>
  <c r="K460" i="13" s="1"/>
  <c r="K473" i="13" s="1" a="1"/>
  <c r="K473" i="13" s="1"/>
  <c r="K474" i="13" s="1"/>
  <c r="E378" i="13"/>
  <c r="AP21" i="9" s="1" a="1"/>
  <c r="AP21" i="9" s="1"/>
  <c r="V21" i="9"/>
  <c r="D378" i="13"/>
  <c r="K378" i="13"/>
  <c r="EZ21" i="9" s="1" a="1"/>
  <c r="EZ21" i="9" s="1"/>
  <c r="FB21" i="9" s="1"/>
  <c r="FJ21" i="9" s="1"/>
  <c r="G378" i="13"/>
  <c r="CB21" i="9" s="1" a="1"/>
  <c r="CB21" i="9" s="1"/>
  <c r="CD21" i="9" s="1"/>
  <c r="CL21" i="9" s="1"/>
  <c r="M378" i="13"/>
  <c r="GL21" i="9" s="1" a="1"/>
  <c r="GL21" i="9" s="1"/>
  <c r="GN21" i="9" s="1"/>
  <c r="GV21" i="9" s="1"/>
  <c r="F33" i="25" a="1"/>
  <c r="F33" i="25" s="1"/>
  <c r="AO21" i="9"/>
  <c r="L33" i="25" a="1"/>
  <c r="L33" i="25" s="1"/>
  <c r="EY21" i="9"/>
  <c r="AN21" i="9"/>
  <c r="EX21" i="9"/>
  <c r="M33" i="25" a="1"/>
  <c r="M33" i="25" s="1"/>
  <c r="FR21" i="9"/>
  <c r="H33" i="25" a="1"/>
  <c r="H33" i="25" s="1"/>
  <c r="CA21" i="9"/>
  <c r="N33" i="25" a="1"/>
  <c r="N33" i="25" s="1"/>
  <c r="GK21" i="9"/>
  <c r="J32" i="25" a="1"/>
  <c r="J32" i="25" s="1"/>
  <c r="DM20" i="9"/>
  <c r="DL20" i="9"/>
  <c r="DP20" i="9"/>
  <c r="DX20" i="9" s="1"/>
  <c r="L344" i="13"/>
  <c r="FS20" i="9" s="1" a="1"/>
  <c r="FS20" i="9" s="1"/>
  <c r="FU20" i="9" s="1"/>
  <c r="GC20" i="9" s="1"/>
  <c r="M32" i="25" a="1"/>
  <c r="M32" i="25" s="1"/>
  <c r="FR20" i="9"/>
  <c r="FQ20" i="9"/>
  <c r="G437" i="13" a="1"/>
  <c r="G437" i="13" s="1"/>
  <c r="G438" i="13" s="1"/>
  <c r="G441" i="13" s="1"/>
  <c r="EU24" i="9" a="1"/>
  <c r="EU24" i="9" s="1"/>
  <c r="L36" i="27" s="1" a="1"/>
  <c r="L36" i="27" s="1"/>
  <c r="T22" i="9" a="1"/>
  <c r="T22" i="9" s="1"/>
  <c r="E34" i="25" s="1" a="1"/>
  <c r="E34" i="25" s="1"/>
  <c r="K437" i="13" a="1"/>
  <c r="K437" i="13" s="1"/>
  <c r="K438" i="13" s="1"/>
  <c r="K441" i="13" s="1"/>
  <c r="D410" i="13"/>
  <c r="D412" i="13" s="1"/>
  <c r="HH19" i="9" a="1"/>
  <c r="HH19" i="9" s="1"/>
  <c r="HP19" i="9" s="1"/>
  <c r="P32" i="24" s="1" a="1"/>
  <c r="P32" i="24" s="1"/>
  <c r="M408" i="13"/>
  <c r="F410" i="13"/>
  <c r="O439" i="13" a="1"/>
  <c r="O439" i="13" s="1"/>
  <c r="O440" i="13" s="1"/>
  <c r="O441" i="13" s="1"/>
  <c r="HU23" i="9" s="1" a="1"/>
  <c r="HU23" i="9" s="1"/>
  <c r="HW23" i="9" s="1"/>
  <c r="M410" i="13"/>
  <c r="L437" i="13" a="1"/>
  <c r="L437" i="13" s="1"/>
  <c r="L438" i="13" s="1"/>
  <c r="L441" i="13" s="1"/>
  <c r="I439" i="13" a="1"/>
  <c r="I439" i="13" s="1"/>
  <c r="I440" i="13" s="1"/>
  <c r="I441" i="13" s="1"/>
  <c r="J437" i="13" a="1"/>
  <c r="J437" i="13" s="1"/>
  <c r="J438" i="13" s="1"/>
  <c r="J441" i="13" s="1"/>
  <c r="O460" i="13" a="1"/>
  <c r="O460" i="13" s="1"/>
  <c r="O473" i="13" s="1" a="1"/>
  <c r="O473" i="13" s="1"/>
  <c r="O474" i="13" s="1"/>
  <c r="HY24" i="9" a="1"/>
  <c r="HY24" i="9" s="1"/>
  <c r="HS24" i="9" a="1"/>
  <c r="HS24" i="9" s="1"/>
  <c r="P36" i="27" s="1" a="1"/>
  <c r="P36" i="27" s="1"/>
  <c r="HT22" i="9" a="1"/>
  <c r="HT22" i="9" s="1"/>
  <c r="HV22" i="9" s="1"/>
  <c r="HA22" i="9" a="1"/>
  <c r="HA22" i="9" s="1"/>
  <c r="HC22" i="9" s="1"/>
  <c r="N494" i="13" a="1"/>
  <c r="N494" i="13" s="1"/>
  <c r="N507" i="13" s="1" a="1"/>
  <c r="N507" i="13" s="1"/>
  <c r="N508" i="13" s="1"/>
  <c r="GZ25" i="9" a="1"/>
  <c r="GZ25" i="9" s="1"/>
  <c r="O37" i="27" s="1" a="1"/>
  <c r="O37" i="27" s="1"/>
  <c r="HF25" i="9" a="1"/>
  <c r="HF25" i="9" s="1"/>
  <c r="N460" i="13" a="1"/>
  <c r="N460" i="13" s="1"/>
  <c r="N473" i="13" s="1" a="1"/>
  <c r="N473" i="13" s="1"/>
  <c r="N474" i="13" s="1"/>
  <c r="HF24" i="9" a="1"/>
  <c r="HF24" i="9" s="1"/>
  <c r="GZ24" i="9" a="1"/>
  <c r="GZ24" i="9" s="1"/>
  <c r="O36" i="27" s="1" a="1"/>
  <c r="O36" i="27" s="1"/>
  <c r="N439" i="13" a="1"/>
  <c r="N439" i="13" s="1"/>
  <c r="N440" i="13" s="1"/>
  <c r="N437" i="13" a="1"/>
  <c r="N437" i="13" s="1"/>
  <c r="N438" i="13" s="1"/>
  <c r="I408" i="13"/>
  <c r="M494" i="13" a="1"/>
  <c r="M494" i="13" s="1"/>
  <c r="M505" i="13" s="1" a="1"/>
  <c r="M505" i="13" s="1"/>
  <c r="M506" i="13" s="1"/>
  <c r="GG25" i="9" a="1"/>
  <c r="GG25" i="9" s="1"/>
  <c r="N37" i="27" s="1" a="1"/>
  <c r="N37" i="27" s="1"/>
  <c r="GM25" i="9" a="1"/>
  <c r="GM25" i="9" s="1"/>
  <c r="I410" i="13"/>
  <c r="M460" i="13" a="1"/>
  <c r="M460" i="13" s="1"/>
  <c r="M471" i="13" s="1" a="1"/>
  <c r="M471" i="13" s="1"/>
  <c r="M472" i="13" s="1"/>
  <c r="GM24" i="9" a="1"/>
  <c r="GM24" i="9" s="1"/>
  <c r="GG24" i="9" a="1"/>
  <c r="GG24" i="9" s="1"/>
  <c r="N36" i="27" s="1" a="1"/>
  <c r="N36" i="27" s="1"/>
  <c r="GH22" i="9" a="1"/>
  <c r="GH22" i="9" s="1"/>
  <c r="GJ22" i="9" s="1"/>
  <c r="M439" i="13" a="1"/>
  <c r="M439" i="13" s="1"/>
  <c r="M440" i="13" s="1"/>
  <c r="M437" i="13" a="1"/>
  <c r="M437" i="13" s="1"/>
  <c r="M438" i="13" s="1"/>
  <c r="FO22" i="9" a="1"/>
  <c r="FO22" i="9" s="1"/>
  <c r="FQ22" i="9" s="1"/>
  <c r="L460" i="13" a="1"/>
  <c r="L460" i="13" s="1"/>
  <c r="L473" i="13" s="1" a="1"/>
  <c r="L473" i="13" s="1"/>
  <c r="L474" i="13" s="1"/>
  <c r="FT24" i="9" a="1"/>
  <c r="FT24" i="9" s="1"/>
  <c r="FN24" i="9" a="1"/>
  <c r="FN24" i="9" s="1"/>
  <c r="M36" i="27" s="1" a="1"/>
  <c r="M36" i="27" s="1"/>
  <c r="EC22" i="9" a="1"/>
  <c r="EC22" i="9" s="1"/>
  <c r="EE22" i="9" s="1"/>
  <c r="F408" i="13"/>
  <c r="K494" i="13" a="1"/>
  <c r="K494" i="13" s="1"/>
  <c r="K505" i="13" s="1" a="1"/>
  <c r="K505" i="13" s="1"/>
  <c r="K506" i="13" s="1"/>
  <c r="EU25" i="9" a="1"/>
  <c r="EU25" i="9" s="1"/>
  <c r="L37" i="27" s="1" a="1"/>
  <c r="L37" i="27" s="1"/>
  <c r="FA25" i="9" a="1"/>
  <c r="FA25" i="9" s="1"/>
  <c r="EV22" i="9" a="1"/>
  <c r="EV22" i="9" s="1"/>
  <c r="K407" i="13"/>
  <c r="J460" i="13" a="1"/>
  <c r="J460" i="13" s="1"/>
  <c r="EH24" i="9" a="1"/>
  <c r="EH24" i="9" s="1"/>
  <c r="EB24" i="9" a="1"/>
  <c r="EB24" i="9" s="1"/>
  <c r="K36" i="27" s="1" a="1"/>
  <c r="K36" i="27" s="1"/>
  <c r="BX22" i="9" a="1"/>
  <c r="BX22" i="9" s="1"/>
  <c r="J494" i="13" a="1"/>
  <c r="J494" i="13" s="1"/>
  <c r="J505" i="13" s="1" a="1"/>
  <c r="J505" i="13" s="1"/>
  <c r="J506" i="13" s="1"/>
  <c r="EH25" i="9" a="1"/>
  <c r="EH25" i="9" s="1"/>
  <c r="EB25" i="9" a="1"/>
  <c r="EB25" i="9" s="1"/>
  <c r="K37" i="27" s="1" a="1"/>
  <c r="K37" i="27" s="1"/>
  <c r="I460" i="13" a="1"/>
  <c r="I460" i="13" s="1"/>
  <c r="I473" i="13" s="1" a="1"/>
  <c r="I473" i="13" s="1"/>
  <c r="I474" i="13" s="1"/>
  <c r="DO24" i="9" a="1"/>
  <c r="DO24" i="9" s="1"/>
  <c r="DI24" i="9" a="1"/>
  <c r="DI24" i="9" s="1"/>
  <c r="J36" i="27" s="1" a="1"/>
  <c r="J36" i="27" s="1"/>
  <c r="I494" i="13" a="1"/>
  <c r="I494" i="13" s="1"/>
  <c r="I505" i="13" s="1" a="1"/>
  <c r="I505" i="13" s="1"/>
  <c r="I506" i="13" s="1"/>
  <c r="DI25" i="9" a="1"/>
  <c r="DI25" i="9" s="1"/>
  <c r="J37" i="27" s="1" a="1"/>
  <c r="J37" i="27" s="1"/>
  <c r="DO25" i="9" a="1"/>
  <c r="DO25" i="9" s="1"/>
  <c r="DJ22" i="9" a="1"/>
  <c r="DJ22" i="9" s="1"/>
  <c r="DL22" i="9" s="1"/>
  <c r="H494" i="13" a="1"/>
  <c r="H494" i="13" s="1"/>
  <c r="H507" i="13" s="1" a="1"/>
  <c r="H507" i="13" s="1"/>
  <c r="H508" i="13" s="1"/>
  <c r="CP25" i="9" a="1"/>
  <c r="CP25" i="9" s="1"/>
  <c r="I37" i="27" s="1" a="1"/>
  <c r="I37" i="27" s="1"/>
  <c r="CV25" i="9" a="1"/>
  <c r="CV25" i="9" s="1"/>
  <c r="H460" i="13" a="1"/>
  <c r="H460" i="13" s="1"/>
  <c r="H471" i="13" s="1" a="1"/>
  <c r="H471" i="13" s="1"/>
  <c r="H472" i="13" s="1"/>
  <c r="CV24" i="9" a="1"/>
  <c r="CV24" i="9" s="1"/>
  <c r="CP24" i="9" a="1"/>
  <c r="CP24" i="9" s="1"/>
  <c r="I36" i="27" s="1" a="1"/>
  <c r="I36" i="27" s="1"/>
  <c r="CQ22" i="9" a="1"/>
  <c r="CQ22" i="9" s="1"/>
  <c r="CS22" i="9" s="1"/>
  <c r="H439" i="13" a="1"/>
  <c r="H439" i="13" s="1"/>
  <c r="H440" i="13" s="1"/>
  <c r="H437" i="13" a="1"/>
  <c r="H437" i="13" s="1"/>
  <c r="H438" i="13" s="1"/>
  <c r="G494" i="13" a="1"/>
  <c r="G494" i="13" s="1"/>
  <c r="G505" i="13" s="1" a="1"/>
  <c r="G505" i="13" s="1"/>
  <c r="G506" i="13" s="1"/>
  <c r="BW25" i="9" a="1"/>
  <c r="BW25" i="9" s="1"/>
  <c r="H37" i="27" s="1" a="1"/>
  <c r="H37" i="27" s="1"/>
  <c r="CC25" i="9" a="1"/>
  <c r="CC25" i="9" s="1"/>
  <c r="G460" i="13" a="1"/>
  <c r="G460" i="13" s="1"/>
  <c r="CC24" i="9" a="1"/>
  <c r="CC24" i="9" s="1"/>
  <c r="BW24" i="9" a="1"/>
  <c r="BW24" i="9" s="1"/>
  <c r="H36" i="27" s="1" a="1"/>
  <c r="H36" i="27" s="1"/>
  <c r="G407" i="13"/>
  <c r="BE22" i="9" a="1"/>
  <c r="BE22" i="9" s="1"/>
  <c r="BG22" i="9" s="1"/>
  <c r="F460" i="13" a="1"/>
  <c r="F460" i="13" s="1"/>
  <c r="F473" i="13" s="1" a="1"/>
  <c r="F473" i="13" s="1"/>
  <c r="F474" i="13" s="1"/>
  <c r="BD24" i="9" a="1"/>
  <c r="BD24" i="9" s="1"/>
  <c r="BJ24" i="9" a="1"/>
  <c r="BJ24" i="9" s="1"/>
  <c r="F437" i="13" a="1"/>
  <c r="F437" i="13" s="1"/>
  <c r="F438" i="13" s="1"/>
  <c r="F439" i="13" a="1"/>
  <c r="F439" i="13" s="1"/>
  <c r="F440" i="13" s="1"/>
  <c r="F494" i="13" a="1"/>
  <c r="F494" i="13" s="1"/>
  <c r="F507" i="13" s="1" a="1"/>
  <c r="F507" i="13" s="1"/>
  <c r="F508" i="13" s="1"/>
  <c r="BD25" i="9" a="1"/>
  <c r="BD25" i="9" s="1"/>
  <c r="G37" i="27" s="1" a="1"/>
  <c r="G37" i="27" s="1"/>
  <c r="BJ25" i="9" a="1"/>
  <c r="BJ25" i="9" s="1"/>
  <c r="E494" i="13" a="1"/>
  <c r="E494" i="13" s="1"/>
  <c r="E505" i="13" s="1" a="1"/>
  <c r="E505" i="13" s="1"/>
  <c r="E506" i="13" s="1"/>
  <c r="AQ25" i="9" a="1"/>
  <c r="AQ25" i="9" s="1"/>
  <c r="AK25" i="9" a="1"/>
  <c r="AK25" i="9" s="1"/>
  <c r="F37" i="27" s="1" a="1"/>
  <c r="F37" i="27" s="1"/>
  <c r="E460" i="13" a="1"/>
  <c r="E460" i="13" s="1"/>
  <c r="E473" i="13" s="1" a="1"/>
  <c r="E473" i="13" s="1"/>
  <c r="E474" i="13" s="1"/>
  <c r="AQ24" i="9" a="1"/>
  <c r="AQ24" i="9" s="1"/>
  <c r="AK24" i="9" a="1"/>
  <c r="AK24" i="9" s="1"/>
  <c r="AL22" i="9" a="1"/>
  <c r="AL22" i="9" s="1"/>
  <c r="AN22" i="9" s="1"/>
  <c r="E437" i="13" a="1"/>
  <c r="E437" i="13" s="1"/>
  <c r="E438" i="13" s="1"/>
  <c r="E439" i="13" a="1"/>
  <c r="E439" i="13" s="1"/>
  <c r="E440" i="13" s="1"/>
  <c r="D344" i="13"/>
  <c r="W20" i="9" s="1" a="1"/>
  <c r="W20" i="9" s="1"/>
  <c r="Y20" i="9" s="1"/>
  <c r="AG20" i="9" s="1"/>
  <c r="D494" i="13" a="1"/>
  <c r="D494" i="13" s="1"/>
  <c r="D505" i="13" s="1" a="1"/>
  <c r="D505" i="13" s="1"/>
  <c r="D506" i="13" s="1"/>
  <c r="R25" i="9" a="1"/>
  <c r="R25" i="9" s="1"/>
  <c r="E37" i="27" s="1" a="1"/>
  <c r="E37" i="27" s="1"/>
  <c r="D460" i="13" a="1"/>
  <c r="D460" i="13" s="1"/>
  <c r="R24" i="9" a="1"/>
  <c r="R24" i="9" s="1"/>
  <c r="E36" i="27" s="1" a="1"/>
  <c r="E36" i="27" s="1"/>
  <c r="N34" i="25" a="1"/>
  <c r="N34" i="25" s="1"/>
  <c r="G34" i="25" a="1"/>
  <c r="G34" i="25" s="1"/>
  <c r="J34" i="25" a="1"/>
  <c r="J34" i="25" s="1"/>
  <c r="N224" i="10" a="1"/>
  <c r="N224" i="10" s="1"/>
  <c r="N227" i="10" s="1"/>
  <c r="K436" i="13"/>
  <c r="O212" i="10"/>
  <c r="O493" i="13" s="1" a="1"/>
  <c r="O493" i="13" s="1"/>
  <c r="O500" i="13" s="1" a="1"/>
  <c r="O500" i="13" s="1"/>
  <c r="O501" i="13" s="1"/>
  <c r="G436" i="13"/>
  <c r="I436" i="13"/>
  <c r="M224" i="10" a="1"/>
  <c r="M224" i="10" s="1"/>
  <c r="M225" i="10" s="1"/>
  <c r="M526" i="13" s="1" a="1"/>
  <c r="M526" i="13" s="1"/>
  <c r="P224" i="10" a="1"/>
  <c r="P224" i="10" s="1"/>
  <c r="J431" i="13"/>
  <c r="N431" i="13"/>
  <c r="E436" i="13"/>
  <c r="O436" i="13"/>
  <c r="L436" i="13"/>
  <c r="O213" i="10"/>
  <c r="N436" i="13"/>
  <c r="H431" i="13"/>
  <c r="O227" i="10"/>
  <c r="O225" i="10"/>
  <c r="O526" i="13" s="1" a="1"/>
  <c r="O526" i="13" s="1"/>
  <c r="O226" i="10"/>
  <c r="O527" i="13" s="1" a="1"/>
  <c r="O527" i="13" s="1"/>
  <c r="F227" i="10"/>
  <c r="F225" i="10"/>
  <c r="F526" i="13" s="1" a="1"/>
  <c r="F526" i="13" s="1"/>
  <c r="F226" i="10"/>
  <c r="F527" i="13" s="1" a="1"/>
  <c r="F527" i="13" s="1"/>
  <c r="K226" i="10"/>
  <c r="K527" i="13" s="1" a="1"/>
  <c r="K527" i="13" s="1"/>
  <c r="K225" i="10"/>
  <c r="K526" i="13" s="1" a="1"/>
  <c r="K526" i="13" s="1"/>
  <c r="K227" i="10"/>
  <c r="L227" i="10"/>
  <c r="L226" i="10"/>
  <c r="L527" i="13" s="1" a="1"/>
  <c r="L527" i="13" s="1"/>
  <c r="L225" i="10"/>
  <c r="L526" i="13" s="1" a="1"/>
  <c r="L526" i="13" s="1"/>
  <c r="H227" i="10"/>
  <c r="H225" i="10"/>
  <c r="H526" i="13" s="1" a="1"/>
  <c r="H526" i="13" s="1"/>
  <c r="H226" i="10"/>
  <c r="H527" i="13" s="1" a="1"/>
  <c r="H527" i="13" s="1"/>
  <c r="I225" i="10"/>
  <c r="I526" i="13" s="1" a="1"/>
  <c r="I526" i="13" s="1"/>
  <c r="I226" i="10"/>
  <c r="I527" i="13" s="1" a="1"/>
  <c r="I527" i="13" s="1"/>
  <c r="I227" i="10"/>
  <c r="G225" i="10"/>
  <c r="G526" i="13" s="1" a="1"/>
  <c r="G526" i="13" s="1"/>
  <c r="G226" i="10"/>
  <c r="G527" i="13" s="1" a="1"/>
  <c r="G527" i="13" s="1"/>
  <c r="G227" i="10"/>
  <c r="J226" i="10"/>
  <c r="J527" i="13" s="1" a="1"/>
  <c r="J527" i="13" s="1"/>
  <c r="J227" i="10"/>
  <c r="J225" i="10"/>
  <c r="J526" i="13" s="1" a="1"/>
  <c r="J526" i="13" s="1"/>
  <c r="D227" i="10"/>
  <c r="D225" i="10"/>
  <c r="D226" i="10"/>
  <c r="E224" i="10" a="1"/>
  <c r="E224" i="10" s="1"/>
  <c r="E228" i="10" s="1"/>
  <c r="N410" i="13"/>
  <c r="D402" i="13"/>
  <c r="E431" i="13"/>
  <c r="G466" i="13" a="1"/>
  <c r="G466" i="13" s="1"/>
  <c r="G467" i="13" s="1"/>
  <c r="G468" i="13" a="1"/>
  <c r="G468" i="13" s="1"/>
  <c r="G469" i="13" s="1"/>
  <c r="N466" i="13" a="1"/>
  <c r="N466" i="13" s="1"/>
  <c r="N467" i="13" s="1"/>
  <c r="N468" i="13" a="1"/>
  <c r="N468" i="13" s="1"/>
  <c r="N469" i="13" s="1"/>
  <c r="M468" i="13" a="1"/>
  <c r="M468" i="13" s="1"/>
  <c r="M469" i="13" s="1"/>
  <c r="M466" i="13" a="1"/>
  <c r="M466" i="13" s="1"/>
  <c r="M467" i="13" s="1"/>
  <c r="L431" i="13"/>
  <c r="K497" i="13" a="1"/>
  <c r="K497" i="13" s="1"/>
  <c r="K498" i="13" s="1"/>
  <c r="K495" i="13" a="1"/>
  <c r="K495" i="13" s="1"/>
  <c r="K496" i="13" s="1"/>
  <c r="K431" i="13"/>
  <c r="J468" i="13" a="1"/>
  <c r="J468" i="13" s="1"/>
  <c r="J469" i="13" s="1"/>
  <c r="J466" i="13" a="1"/>
  <c r="J466" i="13" s="1"/>
  <c r="J467" i="13" s="1"/>
  <c r="I466" i="13" a="1"/>
  <c r="I466" i="13" s="1"/>
  <c r="I467" i="13" s="1"/>
  <c r="I468" i="13" a="1"/>
  <c r="I468" i="13" s="1"/>
  <c r="I469" i="13" s="1"/>
  <c r="L212" i="10"/>
  <c r="L493" i="13" s="1" a="1"/>
  <c r="L493" i="13" s="1"/>
  <c r="L213" i="10"/>
  <c r="L211" i="10"/>
  <c r="L492" i="13" s="1" a="1"/>
  <c r="L492" i="13" s="1"/>
  <c r="G461" i="13" a="1"/>
  <c r="G461" i="13" s="1"/>
  <c r="G462" i="13" s="1"/>
  <c r="G463" i="13" a="1"/>
  <c r="G463" i="13" s="1"/>
  <c r="G464" i="13" s="1"/>
  <c r="N463" i="13" a="1"/>
  <c r="N463" i="13" s="1"/>
  <c r="N464" i="13" s="1"/>
  <c r="N461" i="13" a="1"/>
  <c r="N461" i="13" s="1"/>
  <c r="N462" i="13" s="1"/>
  <c r="M461" i="13" a="1"/>
  <c r="M461" i="13" s="1"/>
  <c r="M462" i="13" s="1"/>
  <c r="M463" i="13" a="1"/>
  <c r="M463" i="13" s="1"/>
  <c r="M464" i="13" s="1"/>
  <c r="H436" i="13"/>
  <c r="G213" i="10"/>
  <c r="G211" i="10"/>
  <c r="G492" i="13" s="1" a="1"/>
  <c r="G492" i="13" s="1"/>
  <c r="G212" i="10"/>
  <c r="G493" i="13" s="1" a="1"/>
  <c r="G493" i="13" s="1"/>
  <c r="E497" i="13" a="1"/>
  <c r="E497" i="13" s="1"/>
  <c r="E498" i="13" s="1"/>
  <c r="E495" i="13" a="1"/>
  <c r="E495" i="13" s="1"/>
  <c r="E496" i="13" s="1"/>
  <c r="M500" i="13" a="1"/>
  <c r="M500" i="13" s="1"/>
  <c r="M501" i="13" s="1"/>
  <c r="M502" i="13" a="1"/>
  <c r="M502" i="13" s="1"/>
  <c r="M503" i="13" s="1"/>
  <c r="H410" i="13"/>
  <c r="J461" i="13" a="1"/>
  <c r="J461" i="13" s="1"/>
  <c r="J462" i="13" s="1"/>
  <c r="J463" i="13" a="1"/>
  <c r="J463" i="13" s="1"/>
  <c r="J464" i="13" s="1"/>
  <c r="I463" i="13" a="1"/>
  <c r="I463" i="13" s="1"/>
  <c r="I464" i="13" s="1"/>
  <c r="I461" i="13" a="1"/>
  <c r="I461" i="13" s="1"/>
  <c r="I462" i="13" s="1"/>
  <c r="O466" i="13" a="1"/>
  <c r="O466" i="13" s="1"/>
  <c r="O467" i="13" s="1"/>
  <c r="O468" i="13" a="1"/>
  <c r="O468" i="13" s="1"/>
  <c r="O469" i="13" s="1"/>
  <c r="H466" i="13" a="1"/>
  <c r="H466" i="13" s="1"/>
  <c r="H467" i="13" s="1"/>
  <c r="H468" i="13" a="1"/>
  <c r="H468" i="13" s="1"/>
  <c r="H469" i="13" s="1"/>
  <c r="F466" i="13" a="1"/>
  <c r="F466" i="13" s="1"/>
  <c r="F467" i="13" s="1"/>
  <c r="F468" i="13" a="1"/>
  <c r="F468" i="13" s="1"/>
  <c r="F469" i="13" s="1"/>
  <c r="D492" i="13" a="1"/>
  <c r="D492" i="13" s="1"/>
  <c r="J410" i="13"/>
  <c r="E466" i="13" a="1"/>
  <c r="E466" i="13" s="1"/>
  <c r="E467" i="13" s="1"/>
  <c r="E468" i="13" a="1"/>
  <c r="E468" i="13" s="1"/>
  <c r="E469" i="13" s="1"/>
  <c r="O461" i="13" a="1"/>
  <c r="O461" i="13" s="1"/>
  <c r="O462" i="13" s="1"/>
  <c r="O463" i="13" a="1"/>
  <c r="O463" i="13" s="1"/>
  <c r="O464" i="13" s="1"/>
  <c r="D432" i="13" a="1"/>
  <c r="D432" i="13" s="1"/>
  <c r="D433" i="13" s="1"/>
  <c r="D434" i="13" a="1"/>
  <c r="D434" i="13" s="1"/>
  <c r="D435" i="13" s="1"/>
  <c r="G431" i="13"/>
  <c r="H461" i="13" a="1"/>
  <c r="H461" i="13" s="1"/>
  <c r="H462" i="13" s="1"/>
  <c r="H463" i="13" a="1"/>
  <c r="H463" i="13" s="1"/>
  <c r="H464" i="13" s="1"/>
  <c r="M436" i="13"/>
  <c r="F463" i="13" a="1"/>
  <c r="F463" i="13" s="1"/>
  <c r="F464" i="13" s="1"/>
  <c r="F461" i="13" a="1"/>
  <c r="F461" i="13" s="1"/>
  <c r="F462" i="13" s="1"/>
  <c r="E500" i="13" a="1"/>
  <c r="E500" i="13" s="1"/>
  <c r="E501" i="13" s="1"/>
  <c r="E502" i="13" a="1"/>
  <c r="E502" i="13" s="1"/>
  <c r="E503" i="13" s="1"/>
  <c r="E461" i="13" a="1"/>
  <c r="E461" i="13" s="1"/>
  <c r="E462" i="13" s="1"/>
  <c r="E463" i="13" a="1"/>
  <c r="E463" i="13" s="1"/>
  <c r="E464" i="13" s="1"/>
  <c r="I431" i="13"/>
  <c r="F212" i="10"/>
  <c r="F493" i="13" s="1" a="1"/>
  <c r="F493" i="13" s="1"/>
  <c r="F213" i="10"/>
  <c r="F211" i="10"/>
  <c r="F492" i="13" s="1" a="1"/>
  <c r="F492" i="13" s="1"/>
  <c r="F436" i="13"/>
  <c r="D429" i="13" a="1"/>
  <c r="D429" i="13" s="1"/>
  <c r="D430" i="13" s="1"/>
  <c r="D427" i="13" a="1"/>
  <c r="D427" i="13" s="1"/>
  <c r="D428" i="13" s="1"/>
  <c r="D459" i="13" a="1"/>
  <c r="D459" i="13" s="1"/>
  <c r="P198" i="10"/>
  <c r="O495" i="13" a="1"/>
  <c r="O495" i="13" s="1"/>
  <c r="O496" i="13" s="1"/>
  <c r="O497" i="13" a="1"/>
  <c r="O497" i="13" s="1"/>
  <c r="O498" i="13" s="1"/>
  <c r="J500" i="13" a="1"/>
  <c r="J500" i="13" s="1"/>
  <c r="J501" i="13" s="1"/>
  <c r="J502" i="13" a="1"/>
  <c r="J502" i="13" s="1"/>
  <c r="J503" i="13" s="1"/>
  <c r="N502" i="13" a="1"/>
  <c r="N502" i="13" s="1"/>
  <c r="N503" i="13" s="1"/>
  <c r="N500" i="13" a="1"/>
  <c r="N500" i="13" s="1"/>
  <c r="N501" i="13" s="1"/>
  <c r="D493" i="13" a="1"/>
  <c r="D493" i="13" s="1"/>
  <c r="F431" i="13"/>
  <c r="J436" i="13"/>
  <c r="D458" i="13" a="1"/>
  <c r="D458" i="13" s="1"/>
  <c r="P197" i="10"/>
  <c r="J497" i="13" a="1"/>
  <c r="J497" i="13" s="1"/>
  <c r="J498" i="13" s="1"/>
  <c r="J495" i="13" a="1"/>
  <c r="J495" i="13" s="1"/>
  <c r="J496" i="13" s="1"/>
  <c r="N497" i="13" a="1"/>
  <c r="N497" i="13" s="1"/>
  <c r="N498" i="13" s="1"/>
  <c r="N495" i="13" a="1"/>
  <c r="N495" i="13" s="1"/>
  <c r="N496" i="13" s="1"/>
  <c r="L410" i="13"/>
  <c r="E410" i="13"/>
  <c r="K466" i="13" a="1"/>
  <c r="K466" i="13" s="1"/>
  <c r="K467" i="13" s="1"/>
  <c r="K468" i="13" a="1"/>
  <c r="K468" i="13" s="1"/>
  <c r="K469" i="13" s="1"/>
  <c r="L468" i="13" a="1"/>
  <c r="L468" i="13" s="1"/>
  <c r="L469" i="13" s="1"/>
  <c r="L466" i="13" a="1"/>
  <c r="L466" i="13" s="1"/>
  <c r="L467" i="13" s="1"/>
  <c r="H500" i="13" a="1"/>
  <c r="H500" i="13" s="1"/>
  <c r="H501" i="13" s="1"/>
  <c r="H502" i="13" a="1"/>
  <c r="H502" i="13" s="1"/>
  <c r="H503" i="13" s="1"/>
  <c r="I500" i="13" a="1"/>
  <c r="I500" i="13" s="1"/>
  <c r="I501" i="13" s="1"/>
  <c r="I502" i="13" a="1"/>
  <c r="I502" i="13" s="1"/>
  <c r="I503" i="13" s="1"/>
  <c r="O410" i="13"/>
  <c r="K463" i="13" a="1"/>
  <c r="K463" i="13" s="1"/>
  <c r="K464" i="13" s="1"/>
  <c r="K461" i="13" a="1"/>
  <c r="K461" i="13" s="1"/>
  <c r="K462" i="13" s="1"/>
  <c r="M431" i="13"/>
  <c r="L463" i="13" a="1"/>
  <c r="L463" i="13" s="1"/>
  <c r="L464" i="13" s="1"/>
  <c r="L461" i="13" a="1"/>
  <c r="L461" i="13" s="1"/>
  <c r="L462" i="13" s="1"/>
  <c r="O431" i="13"/>
  <c r="D397" i="13"/>
  <c r="K502" i="13" a="1"/>
  <c r="K502" i="13" s="1"/>
  <c r="K503" i="13" s="1"/>
  <c r="K500" i="13" a="1"/>
  <c r="K500" i="13" s="1"/>
  <c r="K501" i="13" s="1"/>
  <c r="H497" i="13" a="1"/>
  <c r="H497" i="13" s="1"/>
  <c r="H498" i="13" s="1"/>
  <c r="H495" i="13" a="1"/>
  <c r="H495" i="13" s="1"/>
  <c r="H496" i="13" s="1"/>
  <c r="M497" i="13" a="1"/>
  <c r="M497" i="13" s="1"/>
  <c r="M498" i="13" s="1"/>
  <c r="M495" i="13" a="1"/>
  <c r="M495" i="13" s="1"/>
  <c r="M496" i="13" s="1"/>
  <c r="I497" i="13" a="1"/>
  <c r="I497" i="13" s="1"/>
  <c r="I498" i="13" s="1"/>
  <c r="I495" i="13" a="1"/>
  <c r="I495" i="13" s="1"/>
  <c r="I496" i="13" s="1"/>
  <c r="N408" i="13"/>
  <c r="H408" i="13"/>
  <c r="O408" i="13"/>
  <c r="E408" i="13"/>
  <c r="J408" i="13"/>
  <c r="L408" i="13"/>
  <c r="D437" i="13" a="1"/>
  <c r="D437" i="13" s="1"/>
  <c r="D438" i="13" s="1"/>
  <c r="D439" i="13" a="1"/>
  <c r="D439" i="13" s="1"/>
  <c r="D440" i="13" s="1"/>
  <c r="U21" i="9"/>
  <c r="FV19" i="9" a="1"/>
  <c r="FV19" i="9" s="1"/>
  <c r="GD19" i="9" s="1"/>
  <c r="N32" i="24" s="1" a="1"/>
  <c r="N32" i="24" s="1"/>
  <c r="HH20" i="9" a="1"/>
  <c r="HH20" i="9" s="1"/>
  <c r="HP20" i="9" s="1"/>
  <c r="P33" i="24" s="1" a="1"/>
  <c r="P33" i="24" s="1"/>
  <c r="IN18" i="9"/>
  <c r="IO18" i="9" s="1"/>
  <c r="BL20" i="9" a="1"/>
  <c r="BL20" i="9" s="1"/>
  <c r="BT20" i="9" s="1"/>
  <c r="H33" i="24" s="1" a="1"/>
  <c r="H33" i="24" s="1"/>
  <c r="IA20" i="9" a="1"/>
  <c r="IA20" i="9" s="1"/>
  <c r="II20" i="9" s="1"/>
  <c r="Q33" i="24" s="1" a="1"/>
  <c r="Q33" i="24" s="1"/>
  <c r="IJ18" i="9"/>
  <c r="IK18" i="9" s="1"/>
  <c r="IL19" i="9"/>
  <c r="IM19" i="9" s="1"/>
  <c r="Z19" i="9" a="1"/>
  <c r="Z19" i="9" s="1"/>
  <c r="AH19" i="9" s="1"/>
  <c r="F32" i="24" s="1" a="1"/>
  <c r="F32" i="24" s="1"/>
  <c r="FC20" i="9" a="1"/>
  <c r="FC20" i="9" s="1"/>
  <c r="FK20" i="9" s="1"/>
  <c r="M33" i="24" s="1" a="1"/>
  <c r="M33" i="24" s="1"/>
  <c r="AS20" i="9" a="1"/>
  <c r="AS20" i="9" s="1"/>
  <c r="BA20" i="9" s="1"/>
  <c r="G33" i="24" s="1" a="1"/>
  <c r="G33" i="24" s="1"/>
  <c r="CE20" i="9" a="1"/>
  <c r="CE20" i="9" s="1"/>
  <c r="CM20" i="9" s="1"/>
  <c r="I33" i="24" s="1" a="1"/>
  <c r="I33" i="24" s="1"/>
  <c r="GO20" i="9" a="1"/>
  <c r="GO20" i="9" s="1"/>
  <c r="GW20" i="9" s="1"/>
  <c r="O33" i="24" s="1" a="1"/>
  <c r="O33" i="24" s="1"/>
  <c r="EJ20" i="9" a="1"/>
  <c r="EJ20" i="9" s="1"/>
  <c r="ER20" i="9" s="1"/>
  <c r="L33" i="24" s="1" a="1"/>
  <c r="L33" i="24" s="1"/>
  <c r="CW21" i="9"/>
  <c r="DE21" i="9" s="1"/>
  <c r="BK21" i="9"/>
  <c r="FU21" i="9"/>
  <c r="GC21" i="9" s="1"/>
  <c r="HG21" i="9"/>
  <c r="HO21" i="9" s="1"/>
  <c r="DP21" i="9"/>
  <c r="DX21" i="9" s="1"/>
  <c r="EI21" i="9"/>
  <c r="EQ21" i="9" s="1"/>
  <c r="P237" i="10"/>
  <c r="G222" i="10"/>
  <c r="BV26" i="9" s="1" a="1"/>
  <c r="BV26" i="9" s="1"/>
  <c r="E222" i="10"/>
  <c r="AJ26" i="9" s="1" a="1"/>
  <c r="AJ26" i="9" s="1"/>
  <c r="D222" i="10"/>
  <c r="Q26" i="9" s="1" a="1"/>
  <c r="Q26" i="9" s="1"/>
  <c r="CX20" i="9" a="1"/>
  <c r="CX20" i="9" s="1"/>
  <c r="DF20" i="9" s="1"/>
  <c r="J33" i="24" s="1" a="1"/>
  <c r="J33" i="24" s="1"/>
  <c r="N222" i="10"/>
  <c r="GY26" i="9" s="1" a="1"/>
  <c r="GY26" i="9" s="1"/>
  <c r="J222" i="10"/>
  <c r="EA26" i="9" s="1" a="1"/>
  <c r="EA26" i="9" s="1"/>
  <c r="K228" i="10"/>
  <c r="G228" i="10"/>
  <c r="O228" i="10"/>
  <c r="H228" i="10"/>
  <c r="I228" i="10"/>
  <c r="L228" i="10"/>
  <c r="M244" i="10"/>
  <c r="M251" i="10" s="1"/>
  <c r="O244" i="10"/>
  <c r="E244" i="10"/>
  <c r="L244" i="10"/>
  <c r="K244" i="10"/>
  <c r="K251" i="10" s="1"/>
  <c r="J244" i="10"/>
  <c r="J251" i="10" s="1"/>
  <c r="B245" i="10"/>
  <c r="B246" i="10" s="1"/>
  <c r="B247" i="10" s="1"/>
  <c r="H244" i="10"/>
  <c r="H251" i="10" s="1"/>
  <c r="I244" i="10"/>
  <c r="I251" i="10" s="1"/>
  <c r="G244" i="10"/>
  <c r="G251" i="10" s="1"/>
  <c r="F244" i="10"/>
  <c r="F251" i="10" s="1"/>
  <c r="P244" i="10"/>
  <c r="P248" i="10" s="1"/>
  <c r="N244" i="10"/>
  <c r="N251" i="10" s="1"/>
  <c r="B248" i="10"/>
  <c r="B249" i="10" s="1"/>
  <c r="D244" i="10"/>
  <c r="D251" i="10" s="1"/>
  <c r="G234" i="10"/>
  <c r="I222" i="10"/>
  <c r="DH26" i="9" s="1" a="1"/>
  <c r="DH26" i="9" s="1"/>
  <c r="F228" i="10"/>
  <c r="L222" i="10"/>
  <c r="FM26" i="9" s="1" a="1"/>
  <c r="FM26" i="9" s="1"/>
  <c r="F234" i="10"/>
  <c r="K222" i="10"/>
  <c r="ET26" i="9" s="1" a="1"/>
  <c r="ET26" i="9" s="1"/>
  <c r="P200" i="10"/>
  <c r="O234" i="10"/>
  <c r="I237" i="10"/>
  <c r="I234" i="10"/>
  <c r="H222" i="10"/>
  <c r="CO26" i="9" s="1" a="1"/>
  <c r="CO26" i="9" s="1"/>
  <c r="M222" i="10"/>
  <c r="GF26" i="9" s="1" a="1"/>
  <c r="GF26" i="9" s="1"/>
  <c r="F235" i="10"/>
  <c r="F238" i="10" s="1" a="1"/>
  <c r="F238" i="10" s="1"/>
  <c r="B236" i="10"/>
  <c r="B237" i="10" s="1"/>
  <c r="B238" i="10" s="1"/>
  <c r="B239" i="10" s="1"/>
  <c r="B240" i="10" s="1"/>
  <c r="B241" i="10" s="1"/>
  <c r="B242" i="10" s="1"/>
  <c r="E235" i="10"/>
  <c r="E238" i="10" s="1" a="1"/>
  <c r="E238" i="10" s="1"/>
  <c r="I235" i="10"/>
  <c r="D235" i="10"/>
  <c r="D238" i="10" s="1" a="1"/>
  <c r="D238" i="10" s="1"/>
  <c r="G235" i="10"/>
  <c r="G238" i="10" s="1" a="1"/>
  <c r="G238" i="10" s="1"/>
  <c r="P235" i="10"/>
  <c r="P236" i="10" s="1"/>
  <c r="K235" i="10"/>
  <c r="K238" i="10" s="1" a="1"/>
  <c r="K238" i="10" s="1"/>
  <c r="H235" i="10"/>
  <c r="J235" i="10"/>
  <c r="J238" i="10" s="1" a="1"/>
  <c r="J238" i="10" s="1"/>
  <c r="O235" i="10"/>
  <c r="O238" i="10" s="1" a="1"/>
  <c r="O238" i="10" s="1"/>
  <c r="N235" i="10"/>
  <c r="N238" i="10" s="1" a="1"/>
  <c r="N238" i="10" s="1"/>
  <c r="M235" i="10"/>
  <c r="M238" i="10" s="1" a="1"/>
  <c r="M238" i="10" s="1"/>
  <c r="L235" i="10"/>
  <c r="L238" i="10" s="1" a="1"/>
  <c r="L238" i="10" s="1"/>
  <c r="H237" i="10"/>
  <c r="H234" i="10"/>
  <c r="E234" i="10"/>
  <c r="O222" i="10"/>
  <c r="HR26" i="9" s="1" a="1"/>
  <c r="HR26" i="9" s="1"/>
  <c r="L257" i="10"/>
  <c r="J257" i="10"/>
  <c r="I257" i="10"/>
  <c r="P257" i="10"/>
  <c r="F257" i="10"/>
  <c r="M257" i="10"/>
  <c r="E257" i="10"/>
  <c r="D257" i="10"/>
  <c r="K257" i="10"/>
  <c r="B258" i="10"/>
  <c r="O257" i="10"/>
  <c r="N257" i="10"/>
  <c r="H257" i="10"/>
  <c r="G257" i="10"/>
  <c r="A271" i="10" a="1"/>
  <c r="A271" i="10" s="1"/>
  <c r="B271" i="10" a="1"/>
  <c r="B271" i="10" s="1"/>
  <c r="L214" i="10"/>
  <c r="O214" i="10"/>
  <c r="N234" i="10"/>
  <c r="K234" i="10"/>
  <c r="J234" i="10"/>
  <c r="M234" i="10"/>
  <c r="F222" i="10"/>
  <c r="BC26" i="9" s="1" a="1"/>
  <c r="BC26" i="9" s="1"/>
  <c r="D228" i="10"/>
  <c r="X26" i="9" s="1" a="1"/>
  <c r="X26" i="9" s="1"/>
  <c r="J228" i="10"/>
  <c r="L234" i="10"/>
  <c r="D234" i="10"/>
  <c r="R285" i="10"/>
  <c r="K471" i="13" l="1" a="1"/>
  <c r="K471" i="13" s="1"/>
  <c r="K472" i="13" s="1"/>
  <c r="K475" i="13" s="1"/>
  <c r="EW24" i="9" s="1" a="1"/>
  <c r="EW24" i="9" s="1"/>
  <c r="EY24" i="9" s="1"/>
  <c r="H505" i="13" a="1"/>
  <c r="H505" i="13" s="1"/>
  <c r="H506" i="13" s="1"/>
  <c r="H509" i="13" s="1"/>
  <c r="FV20" i="9" a="1"/>
  <c r="FV20" i="9" s="1"/>
  <c r="GD20" i="9" s="1"/>
  <c r="N33" i="24" s="1" a="1"/>
  <c r="N33" i="24" s="1"/>
  <c r="DQ20" i="9" a="1"/>
  <c r="DQ20" i="9" s="1"/>
  <c r="DY20" i="9" s="1"/>
  <c r="K33" i="24" s="1" a="1"/>
  <c r="K33" i="24" s="1"/>
  <c r="Q32" i="25"/>
  <c r="Q33" i="25"/>
  <c r="IL20" i="9"/>
  <c r="IM20" i="9" s="1"/>
  <c r="J442" i="13"/>
  <c r="ED23" i="9" a="1"/>
  <c r="ED23" i="9" s="1"/>
  <c r="I444" i="13"/>
  <c r="DK23" i="9" a="1"/>
  <c r="DK23" i="9" s="1"/>
  <c r="L444" i="13"/>
  <c r="FP23" i="9" a="1"/>
  <c r="FP23" i="9" s="1"/>
  <c r="K444" i="13"/>
  <c r="EW23" i="9" a="1"/>
  <c r="EW23" i="9" s="1"/>
  <c r="G444" i="13"/>
  <c r="BY23" i="9" a="1"/>
  <c r="BY23" i="9" s="1"/>
  <c r="V22" i="9"/>
  <c r="J444" i="13"/>
  <c r="L442" i="13"/>
  <c r="HA23" i="9" a="1"/>
  <c r="HA23" i="9" s="1"/>
  <c r="M412" i="13"/>
  <c r="GL22" i="9" s="1" a="1"/>
  <c r="GL22" i="9" s="1"/>
  <c r="GN22" i="9" s="1"/>
  <c r="GV22" i="9" s="1"/>
  <c r="E507" i="13" a="1"/>
  <c r="E507" i="13" s="1"/>
  <c r="E508" i="13" s="1"/>
  <c r="E509" i="13" s="1"/>
  <c r="O471" i="13" a="1"/>
  <c r="O471" i="13" s="1"/>
  <c r="O472" i="13" s="1"/>
  <c r="O475" i="13" s="1"/>
  <c r="HU24" i="9" s="1" a="1"/>
  <c r="HU24" i="9" s="1"/>
  <c r="HW24" i="9" s="1"/>
  <c r="N471" i="13" a="1"/>
  <c r="N471" i="13" s="1"/>
  <c r="N472" i="13" s="1"/>
  <c r="N475" i="13" s="1"/>
  <c r="HB24" i="9" s="1" a="1"/>
  <c r="HB24" i="9" s="1"/>
  <c r="HD24" i="9" s="1"/>
  <c r="F471" i="13" a="1"/>
  <c r="F471" i="13" s="1"/>
  <c r="F472" i="13" s="1"/>
  <c r="F475" i="13" s="1"/>
  <c r="BF24" i="9" s="1" a="1"/>
  <c r="BF24" i="9" s="1"/>
  <c r="BH24" i="9" s="1"/>
  <c r="F412" i="13"/>
  <c r="BI22" i="9" s="1" a="1"/>
  <c r="BI22" i="9" s="1"/>
  <c r="BK22" i="9" s="1"/>
  <c r="BL22" i="9" s="1" a="1"/>
  <c r="BL22" i="9" s="1"/>
  <c r="I507" i="13" a="1"/>
  <c r="I507" i="13" s="1"/>
  <c r="I508" i="13" s="1"/>
  <c r="I509" i="13" s="1"/>
  <c r="N505" i="13" a="1"/>
  <c r="N505" i="13" s="1"/>
  <c r="N506" i="13" s="1"/>
  <c r="N509" i="13" s="1"/>
  <c r="M507" i="13" a="1"/>
  <c r="M507" i="13" s="1"/>
  <c r="M508" i="13" s="1"/>
  <c r="M509" i="13" s="1"/>
  <c r="K507" i="13" a="1"/>
  <c r="K507" i="13" s="1"/>
  <c r="K508" i="13" s="1"/>
  <c r="K509" i="13" s="1"/>
  <c r="D507" i="13" a="1"/>
  <c r="D507" i="13" s="1"/>
  <c r="D508" i="13" s="1"/>
  <c r="D509" i="13" s="1"/>
  <c r="M441" i="13"/>
  <c r="GI23" i="9" s="1" a="1"/>
  <c r="GI23" i="9" s="1"/>
  <c r="EC23" i="9" a="1"/>
  <c r="EC23" i="9" s="1"/>
  <c r="M473" i="13" a="1"/>
  <c r="M473" i="13" s="1"/>
  <c r="M474" i="13" s="1"/>
  <c r="M475" i="13" s="1"/>
  <c r="GI24" i="9" s="1" a="1"/>
  <c r="GI24" i="9" s="1"/>
  <c r="GK24" i="9" s="1"/>
  <c r="O494" i="13" a="1"/>
  <c r="O494" i="13" s="1"/>
  <c r="O505" i="13" s="1" a="1"/>
  <c r="O505" i="13" s="1"/>
  <c r="O506" i="13" s="1"/>
  <c r="HS25" i="9" a="1"/>
  <c r="HS25" i="9" s="1"/>
  <c r="HY25" i="9" a="1"/>
  <c r="HY25" i="9" s="1"/>
  <c r="O528" i="13" a="1"/>
  <c r="O528" i="13" s="1"/>
  <c r="O539" i="13" s="1" a="1"/>
  <c r="O539" i="13" s="1"/>
  <c r="O540" i="13" s="1"/>
  <c r="HS26" i="9" a="1"/>
  <c r="HS26" i="9" s="1"/>
  <c r="P38" i="27" s="1" a="1"/>
  <c r="P38" i="27" s="1"/>
  <c r="HY26" i="9" a="1"/>
  <c r="HY26" i="9" s="1"/>
  <c r="HT23" i="9" a="1"/>
  <c r="HT23" i="9" s="1"/>
  <c r="HV23" i="9" s="1"/>
  <c r="GH23" i="9" a="1"/>
  <c r="GH23" i="9" s="1"/>
  <c r="N441" i="13"/>
  <c r="I471" i="13" a="1"/>
  <c r="I471" i="13" s="1"/>
  <c r="I472" i="13" s="1"/>
  <c r="I475" i="13" s="1"/>
  <c r="DK24" i="9" s="1" a="1"/>
  <c r="DK24" i="9" s="1"/>
  <c r="DM24" i="9" s="1"/>
  <c r="I412" i="13"/>
  <c r="DN22" i="9" s="1" a="1"/>
  <c r="DN22" i="9" s="1"/>
  <c r="DP22" i="9" s="1"/>
  <c r="DX22" i="9" s="1"/>
  <c r="L471" i="13" a="1"/>
  <c r="L471" i="13" s="1"/>
  <c r="L472" i="13" s="1"/>
  <c r="L475" i="13" s="1"/>
  <c r="FP24" i="9" s="1" a="1"/>
  <c r="FP24" i="9" s="1"/>
  <c r="FR24" i="9" s="1"/>
  <c r="L528" i="13" a="1"/>
  <c r="L528" i="13" s="1"/>
  <c r="L539" i="13" s="1" a="1"/>
  <c r="L539" i="13" s="1"/>
  <c r="L540" i="13" s="1"/>
  <c r="FT26" i="9" a="1"/>
  <c r="FT26" i="9" s="1"/>
  <c r="FN26" i="9" a="1"/>
  <c r="FN26" i="9" s="1"/>
  <c r="M38" i="27" s="1" a="1"/>
  <c r="M38" i="27" s="1"/>
  <c r="FO23" i="9" a="1"/>
  <c r="FO23" i="9" s="1"/>
  <c r="L494" i="13" a="1"/>
  <c r="L494" i="13" s="1"/>
  <c r="L505" i="13" s="1" a="1"/>
  <c r="L505" i="13" s="1"/>
  <c r="L506" i="13" s="1"/>
  <c r="FT25" i="9" a="1"/>
  <c r="FT25" i="9" s="1"/>
  <c r="FN25" i="9" a="1"/>
  <c r="FN25" i="9" s="1"/>
  <c r="K528" i="13" a="1"/>
  <c r="K528" i="13" s="1"/>
  <c r="K541" i="13" s="1" a="1"/>
  <c r="K541" i="13" s="1"/>
  <c r="K542" i="13" s="1"/>
  <c r="EU26" i="9" a="1"/>
  <c r="EU26" i="9" s="1"/>
  <c r="L38" i="27" s="1" a="1"/>
  <c r="L38" i="27" s="1"/>
  <c r="FA26" i="9" a="1"/>
  <c r="FA26" i="9" s="1"/>
  <c r="Z20" i="9" a="1"/>
  <c r="Z20" i="9" s="1"/>
  <c r="AH20" i="9" s="1"/>
  <c r="F33" i="24" s="1" a="1"/>
  <c r="F33" i="24" s="1"/>
  <c r="J507" i="13" a="1"/>
  <c r="J507" i="13" s="1"/>
  <c r="J508" i="13" s="1"/>
  <c r="J509" i="13" s="1"/>
  <c r="EV23" i="9" a="1"/>
  <c r="EV23" i="9" s="1"/>
  <c r="EW22" i="9" a="1"/>
  <c r="EW22" i="9" s="1"/>
  <c r="EX22" i="9" s="1"/>
  <c r="K408" i="13"/>
  <c r="K410" i="13"/>
  <c r="J528" i="13" a="1"/>
  <c r="J528" i="13" s="1"/>
  <c r="J541" i="13" s="1" a="1"/>
  <c r="J541" i="13" s="1"/>
  <c r="J542" i="13" s="1"/>
  <c r="EB26" i="9" a="1"/>
  <c r="EB26" i="9" s="1"/>
  <c r="K38" i="27" s="1" a="1"/>
  <c r="K38" i="27" s="1"/>
  <c r="EH26" i="9" a="1"/>
  <c r="EH26" i="9" s="1"/>
  <c r="N225" i="10"/>
  <c r="N526" i="13" s="1" a="1"/>
  <c r="N526" i="13" s="1"/>
  <c r="N531" i="13" s="1" a="1"/>
  <c r="N531" i="13" s="1"/>
  <c r="N532" i="13" s="1"/>
  <c r="N226" i="10"/>
  <c r="N527" i="13" s="1" a="1"/>
  <c r="N527" i="13" s="1"/>
  <c r="N534" i="13" s="1" a="1"/>
  <c r="N534" i="13" s="1"/>
  <c r="N535" i="13" s="1"/>
  <c r="H473" i="13" a="1"/>
  <c r="H473" i="13" s="1"/>
  <c r="H474" i="13" s="1"/>
  <c r="H475" i="13" s="1"/>
  <c r="CR24" i="9" s="1" a="1"/>
  <c r="CR24" i="9" s="1"/>
  <c r="CT24" i="9" s="1"/>
  <c r="J471" i="13" a="1"/>
  <c r="J471" i="13" s="1"/>
  <c r="J472" i="13" s="1"/>
  <c r="J473" i="13" a="1"/>
  <c r="J473" i="13" s="1"/>
  <c r="J474" i="13" s="1"/>
  <c r="DJ23" i="9" a="1"/>
  <c r="DJ23" i="9" s="1"/>
  <c r="E471" i="13" a="1"/>
  <c r="E471" i="13" s="1"/>
  <c r="E472" i="13" s="1"/>
  <c r="E475" i="13" s="1"/>
  <c r="AM24" i="9" s="1" a="1"/>
  <c r="AM24" i="9" s="1"/>
  <c r="AO24" i="9" s="1"/>
  <c r="F505" i="13" a="1"/>
  <c r="F505" i="13" s="1"/>
  <c r="F506" i="13" s="1"/>
  <c r="F509" i="13" s="1"/>
  <c r="G507" i="13" a="1"/>
  <c r="G507" i="13" s="1"/>
  <c r="G508" i="13" s="1"/>
  <c r="G509" i="13" s="1"/>
  <c r="I528" i="13" a="1"/>
  <c r="I528" i="13" s="1"/>
  <c r="I539" i="13" s="1" a="1"/>
  <c r="I539" i="13" s="1"/>
  <c r="I540" i="13" s="1"/>
  <c r="DO26" i="9" a="1"/>
  <c r="DO26" i="9" s="1"/>
  <c r="DI26" i="9" a="1"/>
  <c r="DI26" i="9" s="1"/>
  <c r="J38" i="27" s="1" a="1"/>
  <c r="J38" i="27" s="1"/>
  <c r="H441" i="13"/>
  <c r="CR23" i="9" s="1" a="1"/>
  <c r="CR23" i="9" s="1"/>
  <c r="CQ23" i="9" a="1"/>
  <c r="CQ23" i="9" s="1"/>
  <c r="H528" i="13" a="1"/>
  <c r="H528" i="13" s="1"/>
  <c r="H541" i="13" s="1" a="1"/>
  <c r="H541" i="13" s="1"/>
  <c r="H542" i="13" s="1"/>
  <c r="CV26" i="9" a="1"/>
  <c r="CV26" i="9" s="1"/>
  <c r="CP26" i="9" a="1"/>
  <c r="CP26" i="9" s="1"/>
  <c r="I38" i="27" s="1" a="1"/>
  <c r="I38" i="27" s="1"/>
  <c r="BX23" i="9" a="1"/>
  <c r="BX23" i="9" s="1"/>
  <c r="G471" i="13" a="1"/>
  <c r="G471" i="13" s="1"/>
  <c r="G472" i="13" s="1"/>
  <c r="G473" i="13" a="1"/>
  <c r="G473" i="13" s="1"/>
  <c r="G474" i="13" s="1"/>
  <c r="G528" i="13" a="1"/>
  <c r="G528" i="13" s="1"/>
  <c r="G541" i="13" s="1" a="1"/>
  <c r="G541" i="13" s="1"/>
  <c r="G542" i="13" s="1"/>
  <c r="CC26" i="9" a="1"/>
  <c r="CC26" i="9" s="1"/>
  <c r="BW26" i="9" a="1"/>
  <c r="BW26" i="9" s="1"/>
  <c r="H38" i="27" s="1" a="1"/>
  <c r="H38" i="27" s="1"/>
  <c r="BY22" i="9" a="1"/>
  <c r="BY22" i="9" s="1"/>
  <c r="G410" i="13"/>
  <c r="G408" i="13"/>
  <c r="E441" i="13"/>
  <c r="AM23" i="9" s="1" a="1"/>
  <c r="AM23" i="9" s="1"/>
  <c r="F528" i="13" a="1"/>
  <c r="F528" i="13" s="1"/>
  <c r="F541" i="13" s="1" a="1"/>
  <c r="F541" i="13" s="1"/>
  <c r="F542" i="13" s="1"/>
  <c r="BD26" i="9" a="1"/>
  <c r="BD26" i="9" s="1"/>
  <c r="G38" i="27" s="1" a="1"/>
  <c r="G38" i="27" s="1"/>
  <c r="BJ26" i="9" a="1"/>
  <c r="BJ26" i="9" s="1"/>
  <c r="BE23" i="9" a="1"/>
  <c r="BE23" i="9" s="1"/>
  <c r="G36" i="27" a="1"/>
  <c r="G36" i="27" s="1"/>
  <c r="F441" i="13"/>
  <c r="BF23" i="9" s="1" a="1"/>
  <c r="BF23" i="9" s="1"/>
  <c r="AL23" i="9" a="1"/>
  <c r="AL23" i="9" s="1"/>
  <c r="F36" i="27" a="1"/>
  <c r="F36" i="27" s="1"/>
  <c r="E528" i="13" a="1"/>
  <c r="E528" i="13" s="1"/>
  <c r="E541" i="13" s="1" a="1"/>
  <c r="E541" i="13" s="1"/>
  <c r="E542" i="13" s="1"/>
  <c r="AQ26" i="9" a="1"/>
  <c r="AQ26" i="9" s="1"/>
  <c r="AK26" i="9" a="1"/>
  <c r="AK26" i="9" s="1"/>
  <c r="F38" i="27" s="1" a="1"/>
  <c r="F38" i="27" s="1"/>
  <c r="D473" i="13" a="1"/>
  <c r="D473" i="13" s="1"/>
  <c r="D474" i="13" s="1"/>
  <c r="D471" i="13" a="1"/>
  <c r="D471" i="13" s="1"/>
  <c r="D472" i="13" s="1"/>
  <c r="D528" i="13" a="1"/>
  <c r="D528" i="13" s="1"/>
  <c r="D539" i="13" s="1" a="1"/>
  <c r="D539" i="13" s="1"/>
  <c r="D540" i="13" s="1"/>
  <c r="R26" i="9" a="1"/>
  <c r="R26" i="9" s="1"/>
  <c r="E38" i="27" s="1" a="1"/>
  <c r="E38" i="27" s="1"/>
  <c r="I34" i="25" a="1"/>
  <c r="I34" i="25" s="1"/>
  <c r="P34" i="25" a="1"/>
  <c r="P34" i="25" s="1"/>
  <c r="K34" i="25" a="1"/>
  <c r="K34" i="25" s="1"/>
  <c r="F34" i="25" a="1"/>
  <c r="F34" i="25" s="1"/>
  <c r="O34" i="25" a="1"/>
  <c r="O34" i="25" s="1"/>
  <c r="M34" i="25" a="1"/>
  <c r="M34" i="25" s="1"/>
  <c r="O502" i="13" a="1"/>
  <c r="O502" i="13" s="1"/>
  <c r="O503" i="13" s="1"/>
  <c r="O504" i="13" s="1"/>
  <c r="M226" i="10"/>
  <c r="M527" i="13" s="1" a="1"/>
  <c r="M527" i="13" s="1"/>
  <c r="M536" i="13" s="1" a="1"/>
  <c r="M536" i="13" s="1"/>
  <c r="M537" i="13" s="1"/>
  <c r="M227" i="10"/>
  <c r="E499" i="13"/>
  <c r="F465" i="13"/>
  <c r="D436" i="13"/>
  <c r="N465" i="13"/>
  <c r="P213" i="10"/>
  <c r="H412" i="13"/>
  <c r="CU22" i="9" s="1" a="1"/>
  <c r="CU22" i="9" s="1"/>
  <c r="N412" i="13"/>
  <c r="E412" i="13"/>
  <c r="G465" i="13"/>
  <c r="F470" i="13"/>
  <c r="M470" i="13"/>
  <c r="H499" i="13"/>
  <c r="L470" i="13"/>
  <c r="O412" i="13"/>
  <c r="P212" i="10"/>
  <c r="J412" i="13"/>
  <c r="EG22" i="9" s="1" a="1"/>
  <c r="EG22" i="9" s="1"/>
  <c r="N504" i="13"/>
  <c r="H504" i="13"/>
  <c r="M504" i="13"/>
  <c r="K504" i="13"/>
  <c r="I465" i="13"/>
  <c r="I504" i="13"/>
  <c r="L465" i="13"/>
  <c r="H465" i="13"/>
  <c r="J504" i="13"/>
  <c r="N470" i="13"/>
  <c r="L240" i="10"/>
  <c r="L561" i="13" s="1" a="1"/>
  <c r="L561" i="13" s="1"/>
  <c r="L239" i="10"/>
  <c r="L560" i="13" s="1" a="1"/>
  <c r="L560" i="13" s="1"/>
  <c r="L241" i="10"/>
  <c r="J241" i="10"/>
  <c r="J239" i="10"/>
  <c r="J560" i="13" s="1" a="1"/>
  <c r="J560" i="13" s="1"/>
  <c r="J240" i="10"/>
  <c r="J561" i="13" s="1" a="1"/>
  <c r="J561" i="13" s="1"/>
  <c r="K240" i="10"/>
  <c r="K561" i="13" s="1" a="1"/>
  <c r="K561" i="13" s="1"/>
  <c r="K241" i="10"/>
  <c r="K239" i="10"/>
  <c r="K560" i="13" s="1" a="1"/>
  <c r="K560" i="13" s="1"/>
  <c r="F239" i="10"/>
  <c r="F560" i="13" s="1" a="1"/>
  <c r="F560" i="13" s="1"/>
  <c r="F240" i="10"/>
  <c r="F561" i="13" s="1" a="1"/>
  <c r="F561" i="13" s="1"/>
  <c r="F241" i="10"/>
  <c r="D240" i="10"/>
  <c r="D239" i="10"/>
  <c r="D241" i="10"/>
  <c r="N241" i="10"/>
  <c r="N239" i="10"/>
  <c r="N560" i="13" s="1" a="1"/>
  <c r="N560" i="13" s="1"/>
  <c r="N240" i="10"/>
  <c r="N561" i="13" s="1" a="1"/>
  <c r="N561" i="13" s="1"/>
  <c r="G241" i="10"/>
  <c r="G239" i="10"/>
  <c r="G560" i="13" s="1" a="1"/>
  <c r="G560" i="13" s="1"/>
  <c r="G240" i="10"/>
  <c r="G561" i="13" s="1" a="1"/>
  <c r="G561" i="13" s="1"/>
  <c r="M240" i="10"/>
  <c r="M561" i="13" s="1" a="1"/>
  <c r="M561" i="13" s="1"/>
  <c r="M241" i="10"/>
  <c r="M239" i="10"/>
  <c r="M560" i="13" s="1" a="1"/>
  <c r="M560" i="13" s="1"/>
  <c r="O241" i="10"/>
  <c r="O239" i="10"/>
  <c r="O560" i="13" s="1" a="1"/>
  <c r="O560" i="13" s="1"/>
  <c r="O240" i="10"/>
  <c r="O561" i="13" s="1" a="1"/>
  <c r="O561" i="13" s="1"/>
  <c r="E240" i="10"/>
  <c r="E561" i="13" s="1" a="1"/>
  <c r="E561" i="13" s="1"/>
  <c r="E241" i="10"/>
  <c r="E239" i="10"/>
  <c r="E560" i="13" s="1" a="1"/>
  <c r="E560" i="13" s="1"/>
  <c r="P238" i="10" a="1"/>
  <c r="P238" i="10" s="1"/>
  <c r="M499" i="13"/>
  <c r="D463" i="13" a="1"/>
  <c r="D463" i="13" s="1"/>
  <c r="D464" i="13" s="1"/>
  <c r="D461" i="13" a="1"/>
  <c r="D461" i="13" s="1"/>
  <c r="D462" i="13" s="1"/>
  <c r="D497" i="13" a="1"/>
  <c r="D497" i="13" s="1"/>
  <c r="D498" i="13" s="1"/>
  <c r="D495" i="13" a="1"/>
  <c r="D495" i="13" s="1"/>
  <c r="D496" i="13" s="1"/>
  <c r="J531" i="13" a="1"/>
  <c r="J531" i="13" s="1"/>
  <c r="J532" i="13" s="1"/>
  <c r="J529" i="13" a="1"/>
  <c r="J529" i="13" s="1"/>
  <c r="J530" i="13" s="1"/>
  <c r="I531" i="13" a="1"/>
  <c r="I531" i="13" s="1"/>
  <c r="I532" i="13" s="1"/>
  <c r="I529" i="13" a="1"/>
  <c r="I529" i="13" s="1"/>
  <c r="I530" i="13" s="1"/>
  <c r="K531" i="13" a="1"/>
  <c r="K531" i="13" s="1"/>
  <c r="K532" i="13" s="1"/>
  <c r="K529" i="13" a="1"/>
  <c r="K529" i="13" s="1"/>
  <c r="K530" i="13" s="1"/>
  <c r="O444" i="13"/>
  <c r="D502" i="13" a="1"/>
  <c r="D502" i="13" s="1"/>
  <c r="D503" i="13" s="1"/>
  <c r="D500" i="13" a="1"/>
  <c r="D500" i="13" s="1"/>
  <c r="D501" i="13" s="1"/>
  <c r="D466" i="13" a="1"/>
  <c r="D466" i="13" s="1"/>
  <c r="D467" i="13" s="1"/>
  <c r="D468" i="13" a="1"/>
  <c r="D468" i="13" s="1"/>
  <c r="D469" i="13" s="1"/>
  <c r="E465" i="13"/>
  <c r="O465" i="13"/>
  <c r="I470" i="13"/>
  <c r="M531" i="13" a="1"/>
  <c r="M531" i="13" s="1"/>
  <c r="M532" i="13" s="1"/>
  <c r="M529" i="13" a="1"/>
  <c r="M529" i="13" s="1"/>
  <c r="M530" i="13" s="1"/>
  <c r="H536" i="13" a="1"/>
  <c r="H536" i="13" s="1"/>
  <c r="H537" i="13" s="1"/>
  <c r="H534" i="13" a="1"/>
  <c r="H534" i="13" s="1"/>
  <c r="H535" i="13" s="1"/>
  <c r="K534" i="13" a="1"/>
  <c r="K534" i="13" s="1"/>
  <c r="K535" i="13" s="1"/>
  <c r="K536" i="13" a="1"/>
  <c r="K536" i="13" s="1"/>
  <c r="K537" i="13" s="1"/>
  <c r="J465" i="13"/>
  <c r="J470" i="13"/>
  <c r="J534" i="13" a="1"/>
  <c r="J534" i="13" s="1"/>
  <c r="J535" i="13" s="1"/>
  <c r="J536" i="13" a="1"/>
  <c r="J536" i="13" s="1"/>
  <c r="J537" i="13" s="1"/>
  <c r="H531" i="13" a="1"/>
  <c r="H531" i="13" s="1"/>
  <c r="H532" i="13" s="1"/>
  <c r="H529" i="13" a="1"/>
  <c r="H529" i="13" s="1"/>
  <c r="H530" i="13" s="1"/>
  <c r="F536" i="13" a="1"/>
  <c r="F536" i="13" s="1"/>
  <c r="F537" i="13" s="1"/>
  <c r="F534" i="13" a="1"/>
  <c r="F534" i="13" s="1"/>
  <c r="F535" i="13" s="1"/>
  <c r="K478" i="13"/>
  <c r="K465" i="13"/>
  <c r="D431" i="13"/>
  <c r="G502" i="13" a="1"/>
  <c r="G502" i="13" s="1"/>
  <c r="G503" i="13" s="1"/>
  <c r="G500" i="13" a="1"/>
  <c r="G500" i="13" s="1"/>
  <c r="G501" i="13" s="1"/>
  <c r="E226" i="10"/>
  <c r="E527" i="13" s="1" a="1"/>
  <c r="E527" i="13" s="1"/>
  <c r="E227" i="10"/>
  <c r="E225" i="10"/>
  <c r="E526" i="13" s="1" a="1"/>
  <c r="E526" i="13" s="1"/>
  <c r="F529" i="13" a="1"/>
  <c r="F529" i="13" s="1"/>
  <c r="F530" i="13" s="1"/>
  <c r="F531" i="13" a="1"/>
  <c r="F531" i="13" s="1"/>
  <c r="F532" i="13" s="1"/>
  <c r="H238" i="10" a="1"/>
  <c r="H238" i="10" s="1"/>
  <c r="N499" i="13"/>
  <c r="E470" i="13"/>
  <c r="H470" i="13"/>
  <c r="G497" i="13" a="1"/>
  <c r="G497" i="13" s="1"/>
  <c r="G498" i="13" s="1"/>
  <c r="G495" i="13" a="1"/>
  <c r="G495" i="13" s="1"/>
  <c r="G496" i="13" s="1"/>
  <c r="G534" i="13" a="1"/>
  <c r="G534" i="13" s="1"/>
  <c r="G535" i="13" s="1"/>
  <c r="G536" i="13" a="1"/>
  <c r="G536" i="13" s="1"/>
  <c r="G537" i="13" s="1"/>
  <c r="L531" i="13" a="1"/>
  <c r="L531" i="13" s="1"/>
  <c r="L532" i="13" s="1"/>
  <c r="L529" i="13" a="1"/>
  <c r="L529" i="13" s="1"/>
  <c r="L530" i="13" s="1"/>
  <c r="L412" i="13"/>
  <c r="F495" i="13" a="1"/>
  <c r="F495" i="13" s="1"/>
  <c r="F496" i="13" s="1"/>
  <c r="F497" i="13" a="1"/>
  <c r="F497" i="13" s="1"/>
  <c r="F498" i="13" s="1"/>
  <c r="L495" i="13" a="1"/>
  <c r="L495" i="13" s="1"/>
  <c r="L496" i="13" s="1"/>
  <c r="L497" i="13" a="1"/>
  <c r="L497" i="13" s="1"/>
  <c r="L498" i="13" s="1"/>
  <c r="G470" i="13"/>
  <c r="D527" i="13" a="1"/>
  <c r="D527" i="13" s="1"/>
  <c r="G531" i="13" a="1"/>
  <c r="G531" i="13" s="1"/>
  <c r="G532" i="13" s="1"/>
  <c r="G529" i="13" a="1"/>
  <c r="G529" i="13" s="1"/>
  <c r="G530" i="13" s="1"/>
  <c r="L536" i="13" a="1"/>
  <c r="L536" i="13" s="1"/>
  <c r="L537" i="13" s="1"/>
  <c r="L534" i="13" a="1"/>
  <c r="L534" i="13" s="1"/>
  <c r="L535" i="13" s="1"/>
  <c r="O534" i="13" a="1"/>
  <c r="O534" i="13" s="1"/>
  <c r="O535" i="13" s="1"/>
  <c r="O536" i="13" a="1"/>
  <c r="O536" i="13" s="1"/>
  <c r="O537" i="13" s="1"/>
  <c r="I499" i="13"/>
  <c r="K470" i="13"/>
  <c r="J499" i="13"/>
  <c r="N536" i="13" a="1"/>
  <c r="N536" i="13" s="1"/>
  <c r="N537" i="13" s="1"/>
  <c r="O499" i="13"/>
  <c r="E504" i="13"/>
  <c r="O470" i="13"/>
  <c r="K499" i="13"/>
  <c r="D526" i="13" a="1"/>
  <c r="D526" i="13" s="1"/>
  <c r="O531" i="13" a="1"/>
  <c r="O531" i="13" s="1"/>
  <c r="O532" i="13" s="1"/>
  <c r="O529" i="13" a="1"/>
  <c r="O529" i="13" s="1"/>
  <c r="O530" i="13" s="1"/>
  <c r="I238" i="10" a="1"/>
  <c r="I238" i="10" s="1"/>
  <c r="F502" i="13" a="1"/>
  <c r="F502" i="13" s="1"/>
  <c r="F503" i="13" s="1"/>
  <c r="F500" i="13" a="1"/>
  <c r="F500" i="13" s="1"/>
  <c r="F501" i="13" s="1"/>
  <c r="P211" i="10"/>
  <c r="M465" i="13"/>
  <c r="L502" i="13" a="1"/>
  <c r="L502" i="13" s="1"/>
  <c r="L503" i="13" s="1"/>
  <c r="L500" i="13" a="1"/>
  <c r="L500" i="13" s="1"/>
  <c r="L501" i="13" s="1"/>
  <c r="S22" i="9" a="1"/>
  <c r="S22" i="9" s="1"/>
  <c r="U22" i="9" s="1"/>
  <c r="I536" i="13" a="1"/>
  <c r="I536" i="13" s="1"/>
  <c r="I537" i="13" s="1"/>
  <c r="I534" i="13" a="1"/>
  <c r="I534" i="13" s="1"/>
  <c r="I535" i="13" s="1"/>
  <c r="G442" i="13"/>
  <c r="O442" i="13"/>
  <c r="I442" i="13"/>
  <c r="I446" i="13" s="1"/>
  <c r="DN23" i="9" s="1" a="1"/>
  <c r="DN23" i="9" s="1"/>
  <c r="K442" i="13"/>
  <c r="D441" i="13"/>
  <c r="G242" i="10"/>
  <c r="IJ19" i="9"/>
  <c r="IK19" i="9" s="1"/>
  <c r="EJ21" i="9" a="1"/>
  <c r="EJ21" i="9" s="1"/>
  <c r="ER21" i="9" s="1"/>
  <c r="L34" i="24" s="1" a="1"/>
  <c r="L34" i="24" s="1"/>
  <c r="DQ21" i="9" a="1"/>
  <c r="DQ21" i="9" s="1"/>
  <c r="DY21" i="9" s="1"/>
  <c r="K34" i="24" s="1" a="1"/>
  <c r="K34" i="24" s="1"/>
  <c r="HH21" i="9" a="1"/>
  <c r="HH21" i="9" s="1"/>
  <c r="HP21" i="9" s="1"/>
  <c r="P34" i="24" s="1" a="1"/>
  <c r="P34" i="24" s="1"/>
  <c r="FC21" i="9" a="1"/>
  <c r="FC21" i="9" s="1"/>
  <c r="FK21" i="9" s="1"/>
  <c r="M34" i="24" s="1" a="1"/>
  <c r="M34" i="24" s="1"/>
  <c r="CE21" i="9" a="1"/>
  <c r="CE21" i="9" s="1"/>
  <c r="CM21" i="9" s="1"/>
  <c r="I34" i="24" s="1" a="1"/>
  <c r="I34" i="24" s="1"/>
  <c r="FV21" i="9" a="1"/>
  <c r="FV21" i="9" s="1"/>
  <c r="GD21" i="9" s="1"/>
  <c r="N34" i="24" s="1" a="1"/>
  <c r="N34" i="24" s="1"/>
  <c r="CX21" i="9" a="1"/>
  <c r="CX21" i="9" s="1"/>
  <c r="DF21" i="9" s="1"/>
  <c r="J34" i="24" s="1" a="1"/>
  <c r="J34" i="24" s="1"/>
  <c r="GO21" i="9" a="1"/>
  <c r="GO21" i="9" s="1"/>
  <c r="GW21" i="9" s="1"/>
  <c r="O34" i="24" s="1" a="1"/>
  <c r="O34" i="24" s="1"/>
  <c r="AR21" i="9"/>
  <c r="AZ21" i="9" s="1"/>
  <c r="W21" i="9" a="1"/>
  <c r="W21" i="9" s="1"/>
  <c r="Y21" i="9" s="1"/>
  <c r="AG21" i="9" s="1"/>
  <c r="HZ21" i="9"/>
  <c r="IH21" i="9" s="1"/>
  <c r="BL21" i="9" a="1"/>
  <c r="BL21" i="9" s="1"/>
  <c r="BS21" i="9"/>
  <c r="W22" i="9" a="1"/>
  <c r="W22" i="9" s="1"/>
  <c r="Y22" i="9" s="1"/>
  <c r="AG22" i="9" s="1"/>
  <c r="J236" i="10"/>
  <c r="EA27" i="9" s="1" a="1"/>
  <c r="EA27" i="9" s="1"/>
  <c r="K236" i="10"/>
  <c r="ET27" i="9" s="1" a="1"/>
  <c r="ET27" i="9" s="1"/>
  <c r="L236" i="10"/>
  <c r="FM27" i="9" s="1" a="1"/>
  <c r="FM27" i="9" s="1"/>
  <c r="E236" i="10"/>
  <c r="AJ27" i="9" s="1" a="1"/>
  <c r="AJ27" i="9" s="1"/>
  <c r="P214" i="10"/>
  <c r="J242" i="10"/>
  <c r="IN19" i="9"/>
  <c r="IO19" i="9" s="1"/>
  <c r="D236" i="10"/>
  <c r="Q27" i="9" s="1" a="1"/>
  <c r="Q27" i="9" s="1"/>
  <c r="F242" i="10"/>
  <c r="M242" i="10"/>
  <c r="D242" i="10"/>
  <c r="X27" i="9" s="1" a="1"/>
  <c r="X27" i="9" s="1"/>
  <c r="E242" i="10"/>
  <c r="H236" i="10"/>
  <c r="CO27" i="9" s="1" a="1"/>
  <c r="CO27" i="9" s="1"/>
  <c r="I249" i="10"/>
  <c r="I252" i="10" s="1" a="1"/>
  <c r="I252" i="10" s="1"/>
  <c r="G249" i="10"/>
  <c r="G252" i="10" s="1" a="1"/>
  <c r="G252" i="10" s="1"/>
  <c r="H249" i="10"/>
  <c r="H252" i="10" s="1" a="1"/>
  <c r="H252" i="10" s="1"/>
  <c r="N249" i="10"/>
  <c r="N252" i="10" s="1" a="1"/>
  <c r="N252" i="10" s="1"/>
  <c r="O249" i="10"/>
  <c r="L249" i="10"/>
  <c r="K249" i="10"/>
  <c r="K252" i="10" s="1" a="1"/>
  <c r="K252" i="10" s="1"/>
  <c r="F249" i="10"/>
  <c r="F252" i="10" s="1" a="1"/>
  <c r="F252" i="10" s="1"/>
  <c r="D249" i="10"/>
  <c r="D252" i="10" s="1" a="1"/>
  <c r="D252" i="10" s="1"/>
  <c r="B250" i="10"/>
  <c r="B251" i="10" s="1"/>
  <c r="B252" i="10" s="1"/>
  <c r="B253" i="10" s="1"/>
  <c r="B254" i="10" s="1"/>
  <c r="B255" i="10" s="1"/>
  <c r="B256" i="10" s="1"/>
  <c r="E249" i="10"/>
  <c r="M249" i="10"/>
  <c r="M252" i="10" s="1" a="1"/>
  <c r="M252" i="10" s="1"/>
  <c r="J249" i="10"/>
  <c r="J252" i="10" s="1" a="1"/>
  <c r="J252" i="10" s="1"/>
  <c r="P249" i="10"/>
  <c r="P250" i="10" s="1"/>
  <c r="J248" i="10"/>
  <c r="A285" i="10" a="1"/>
  <c r="A285" i="10" s="1"/>
  <c r="B285" i="10" a="1"/>
  <c r="B285" i="10" s="1"/>
  <c r="M236" i="10"/>
  <c r="GF27" i="9" s="1" a="1"/>
  <c r="GF27" i="9" s="1"/>
  <c r="N236" i="10"/>
  <c r="GY27" i="9" s="1" a="1"/>
  <c r="GY27" i="9" s="1"/>
  <c r="H271" i="10"/>
  <c r="G271" i="10"/>
  <c r="M271" i="10"/>
  <c r="O271" i="10"/>
  <c r="E271" i="10"/>
  <c r="F271" i="10"/>
  <c r="J271" i="10"/>
  <c r="N271" i="10"/>
  <c r="B272" i="10"/>
  <c r="L271" i="10"/>
  <c r="K271" i="10"/>
  <c r="I271" i="10"/>
  <c r="P271" i="10"/>
  <c r="D271" i="10"/>
  <c r="N248" i="10"/>
  <c r="K248" i="10"/>
  <c r="L258" i="10"/>
  <c r="L265" i="10" s="1"/>
  <c r="G258" i="10"/>
  <c r="G265" i="10" s="1"/>
  <c r="K258" i="10"/>
  <c r="J258" i="10"/>
  <c r="J265" i="10" s="1"/>
  <c r="D258" i="10"/>
  <c r="D265" i="10" s="1"/>
  <c r="B259" i="10"/>
  <c r="B260" i="10" s="1"/>
  <c r="B261" i="10" s="1"/>
  <c r="P258" i="10"/>
  <c r="P262" i="10" s="1"/>
  <c r="H258" i="10"/>
  <c r="H265" i="10" s="1"/>
  <c r="N258" i="10"/>
  <c r="F258" i="10"/>
  <c r="F265" i="10" s="1"/>
  <c r="I258" i="10"/>
  <c r="I265" i="10" s="1"/>
  <c r="E258" i="10"/>
  <c r="E265" i="10" s="1"/>
  <c r="M258" i="10"/>
  <c r="O258" i="10"/>
  <c r="O265" i="10" s="1"/>
  <c r="B262" i="10"/>
  <c r="B263" i="10" s="1"/>
  <c r="I236" i="10"/>
  <c r="DH27" i="9" s="1" a="1"/>
  <c r="DH27" i="9" s="1"/>
  <c r="F236" i="10"/>
  <c r="BC27" i="9" s="1" a="1"/>
  <c r="BC27" i="9" s="1"/>
  <c r="L251" i="10"/>
  <c r="L248" i="10"/>
  <c r="F248" i="10"/>
  <c r="E251" i="10"/>
  <c r="E248" i="10"/>
  <c r="N228" i="10"/>
  <c r="L242" i="10"/>
  <c r="K242" i="10"/>
  <c r="G248" i="10"/>
  <c r="O251" i="10"/>
  <c r="O248" i="10"/>
  <c r="M228" i="10"/>
  <c r="O236" i="10"/>
  <c r="HR27" i="9" s="1" a="1"/>
  <c r="HR27" i="9" s="1"/>
  <c r="P251" i="10"/>
  <c r="G236" i="10"/>
  <c r="BV27" i="9" s="1" a="1"/>
  <c r="BV27" i="9" s="1"/>
  <c r="I248" i="10"/>
  <c r="M248" i="10"/>
  <c r="H248" i="10"/>
  <c r="D248" i="10"/>
  <c r="R299" i="10"/>
  <c r="L446" i="13" l="1"/>
  <c r="FS23" i="9" s="1" a="1"/>
  <c r="FS23" i="9" s="1"/>
  <c r="K476" i="13"/>
  <c r="K480" i="13" s="1"/>
  <c r="EZ24" i="9" s="1" a="1"/>
  <c r="EZ24" i="9" s="1"/>
  <c r="O507" i="13" a="1"/>
  <c r="O507" i="13" s="1"/>
  <c r="O508" i="13" s="1"/>
  <c r="O509" i="13" s="1"/>
  <c r="F539" i="13" a="1"/>
  <c r="F539" i="13" s="1"/>
  <c r="F540" i="13" s="1"/>
  <c r="F543" i="13" s="1"/>
  <c r="BZ23" i="9"/>
  <c r="G446" i="13"/>
  <c r="CB23" i="9" s="1" a="1"/>
  <c r="CB23" i="9" s="1"/>
  <c r="CD23" i="9" s="1"/>
  <c r="CL23" i="9" s="1"/>
  <c r="IN20" i="9"/>
  <c r="IO20" i="9" s="1"/>
  <c r="G512" i="13"/>
  <c r="BY25" i="9" a="1"/>
  <c r="BY25" i="9" s="1"/>
  <c r="J512" i="13"/>
  <c r="ED25" i="9" a="1"/>
  <c r="ED25" i="9" s="1"/>
  <c r="I510" i="13"/>
  <c r="DK25" i="9" a="1"/>
  <c r="DK25" i="9" s="1"/>
  <c r="F512" i="13"/>
  <c r="BF25" i="9" a="1"/>
  <c r="BF25" i="9" s="1"/>
  <c r="H510" i="13"/>
  <c r="CR25" i="9" a="1"/>
  <c r="CR25" i="9" s="1"/>
  <c r="D512" i="13"/>
  <c r="T25" i="9" a="1"/>
  <c r="T25" i="9" s="1"/>
  <c r="E37" i="25" s="1" a="1"/>
  <c r="E37" i="25" s="1"/>
  <c r="K510" i="13"/>
  <c r="EW25" i="9" a="1"/>
  <c r="EW25" i="9" s="1"/>
  <c r="E512" i="13"/>
  <c r="AM25" i="9" a="1"/>
  <c r="AM25" i="9" s="1"/>
  <c r="M512" i="13"/>
  <c r="GI25" i="9" a="1"/>
  <c r="GI25" i="9" s="1"/>
  <c r="N512" i="13"/>
  <c r="HB25" i="9" a="1"/>
  <c r="HB25" i="9" s="1"/>
  <c r="GJ23" i="9"/>
  <c r="DL23" i="9"/>
  <c r="FQ23" i="9"/>
  <c r="J446" i="13"/>
  <c r="EG23" i="9" s="1" a="1"/>
  <c r="EG23" i="9" s="1"/>
  <c r="EI23" i="9" s="1"/>
  <c r="EQ23" i="9" s="1"/>
  <c r="EE23" i="9"/>
  <c r="EX23" i="9"/>
  <c r="K446" i="13"/>
  <c r="EZ23" i="9" s="1" a="1"/>
  <c r="EZ23" i="9" s="1"/>
  <c r="L35" i="25" a="1"/>
  <c r="L35" i="25" s="1"/>
  <c r="EY23" i="9"/>
  <c r="F35" i="25" a="1"/>
  <c r="F35" i="25" s="1"/>
  <c r="AO23" i="9"/>
  <c r="AN23" i="9"/>
  <c r="M35" i="25" a="1"/>
  <c r="M35" i="25" s="1"/>
  <c r="FR23" i="9"/>
  <c r="G35" i="25" a="1"/>
  <c r="G35" i="25" s="1"/>
  <c r="BH23" i="9"/>
  <c r="J35" i="25" a="1"/>
  <c r="J35" i="25" s="1"/>
  <c r="DM23" i="9"/>
  <c r="BG23" i="9"/>
  <c r="D442" i="13"/>
  <c r="T23" i="9" a="1"/>
  <c r="T23" i="9" s="1"/>
  <c r="E35" i="25" s="1" a="1"/>
  <c r="E35" i="25" s="1"/>
  <c r="CS23" i="9"/>
  <c r="N35" i="25" a="1"/>
  <c r="N35" i="25" s="1"/>
  <c r="GK23" i="9"/>
  <c r="H35" i="25" a="1"/>
  <c r="H35" i="25" s="1"/>
  <c r="CA23" i="9"/>
  <c r="K35" i="25" a="1"/>
  <c r="K35" i="25" s="1"/>
  <c r="EF23" i="9"/>
  <c r="I35" i="25" a="1"/>
  <c r="I35" i="25" s="1"/>
  <c r="CT23" i="9"/>
  <c r="O541" i="13" a="1"/>
  <c r="O541" i="13" s="1"/>
  <c r="O542" i="13" s="1"/>
  <c r="O543" i="13" s="1"/>
  <c r="I541" i="13" a="1"/>
  <c r="I541" i="13" s="1"/>
  <c r="I542" i="13" s="1"/>
  <c r="I543" i="13" s="1"/>
  <c r="J539" i="13" a="1"/>
  <c r="J539" i="13" s="1"/>
  <c r="J540" i="13" s="1"/>
  <c r="J543" i="13" s="1"/>
  <c r="L541" i="13" a="1"/>
  <c r="L541" i="13" s="1"/>
  <c r="L542" i="13" s="1"/>
  <c r="L543" i="13" s="1"/>
  <c r="H539" i="13" a="1"/>
  <c r="H539" i="13" s="1"/>
  <c r="H540" i="13" s="1"/>
  <c r="H543" i="13" s="1"/>
  <c r="IJ20" i="9"/>
  <c r="IK20" i="9" s="1"/>
  <c r="I476" i="13"/>
  <c r="H478" i="13"/>
  <c r="H476" i="13"/>
  <c r="HT24" i="9" a="1"/>
  <c r="HT24" i="9" s="1"/>
  <c r="HV24" i="9" s="1"/>
  <c r="CQ24" i="9" a="1"/>
  <c r="CQ24" i="9" s="1"/>
  <c r="CS24" i="9" s="1"/>
  <c r="I478" i="13"/>
  <c r="HA24" i="9" a="1"/>
  <c r="HA24" i="9" s="1"/>
  <c r="HC24" i="9" s="1"/>
  <c r="M442" i="13"/>
  <c r="M444" i="13"/>
  <c r="L476" i="13"/>
  <c r="L478" i="13"/>
  <c r="K539" i="13" a="1"/>
  <c r="K539" i="13" s="1"/>
  <c r="K540" i="13" s="1"/>
  <c r="K543" i="13" s="1"/>
  <c r="FO24" i="9" a="1"/>
  <c r="FO24" i="9" s="1"/>
  <c r="FQ24" i="9" s="1"/>
  <c r="G539" i="13" a="1"/>
  <c r="G539" i="13" s="1"/>
  <c r="G540" i="13" s="1"/>
  <c r="G543" i="13" s="1"/>
  <c r="HT25" i="9" a="1"/>
  <c r="HT25" i="9" s="1"/>
  <c r="DJ24" i="9" a="1"/>
  <c r="DJ24" i="9" s="1"/>
  <c r="DL24" i="9" s="1"/>
  <c r="HX22" i="9" a="1"/>
  <c r="HX22" i="9" s="1"/>
  <c r="HZ22" i="9" s="1"/>
  <c r="P37" i="27" a="1"/>
  <c r="P37" i="27" s="1"/>
  <c r="J475" i="13"/>
  <c r="HB23" i="9" a="1"/>
  <c r="HB23" i="9" s="1"/>
  <c r="N442" i="13"/>
  <c r="N444" i="13"/>
  <c r="N528" i="13" a="1"/>
  <c r="N528" i="13" s="1"/>
  <c r="N541" i="13" s="1" a="1"/>
  <c r="N541" i="13" s="1"/>
  <c r="N542" i="13" s="1"/>
  <c r="HF26" i="9" a="1"/>
  <c r="HF26" i="9" s="1"/>
  <c r="GZ26" i="9" a="1"/>
  <c r="GZ26" i="9" s="1"/>
  <c r="EV24" i="9" a="1"/>
  <c r="EV24" i="9" s="1"/>
  <c r="EX24" i="9" s="1"/>
  <c r="HA25" i="9" a="1"/>
  <c r="HA25" i="9" s="1"/>
  <c r="HE22" i="9" a="1"/>
  <c r="HE22" i="9" s="1"/>
  <c r="HG22" i="9" s="1"/>
  <c r="BX24" i="9" a="1"/>
  <c r="BX24" i="9" s="1"/>
  <c r="M528" i="13" a="1"/>
  <c r="M528" i="13" s="1"/>
  <c r="M539" i="13" s="1" a="1"/>
  <c r="M539" i="13" s="1"/>
  <c r="M540" i="13" s="1"/>
  <c r="GG26" i="9" a="1"/>
  <c r="GG26" i="9" s="1"/>
  <c r="GM26" i="9" a="1"/>
  <c r="GM26" i="9" s="1"/>
  <c r="GH25" i="9" a="1"/>
  <c r="GH25" i="9" s="1"/>
  <c r="GH24" i="9" a="1"/>
  <c r="GH24" i="9" s="1"/>
  <c r="GJ24" i="9" s="1"/>
  <c r="M562" i="13" a="1"/>
  <c r="M562" i="13" s="1"/>
  <c r="M575" i="13" s="1" a="1"/>
  <c r="M575" i="13" s="1"/>
  <c r="M576" i="13" s="1"/>
  <c r="GG27" i="9" a="1"/>
  <c r="GG27" i="9" s="1"/>
  <c r="N39" i="27" s="1" a="1"/>
  <c r="N39" i="27" s="1"/>
  <c r="GM27" i="9" a="1"/>
  <c r="GM27" i="9" s="1"/>
  <c r="FS22" i="9" a="1"/>
  <c r="FS22" i="9" s="1"/>
  <c r="FU22" i="9" s="1"/>
  <c r="L507" i="13" a="1"/>
  <c r="L507" i="13" s="1"/>
  <c r="L508" i="13" s="1"/>
  <c r="L509" i="13" s="1"/>
  <c r="L562" i="13" a="1"/>
  <c r="L562" i="13" s="1"/>
  <c r="L573" i="13" s="1" a="1"/>
  <c r="L573" i="13" s="1"/>
  <c r="L574" i="13" s="1"/>
  <c r="FN27" i="9" a="1"/>
  <c r="FN27" i="9" s="1"/>
  <c r="M39" i="27" s="1" a="1"/>
  <c r="M39" i="27" s="1"/>
  <c r="FT27" i="9" a="1"/>
  <c r="FT27" i="9" s="1"/>
  <c r="D541" i="13" a="1"/>
  <c r="D541" i="13" s="1"/>
  <c r="D542" i="13" s="1"/>
  <c r="D543" i="13" s="1"/>
  <c r="N529" i="13" a="1"/>
  <c r="N529" i="13" s="1"/>
  <c r="N530" i="13" s="1"/>
  <c r="N533" i="13" s="1"/>
  <c r="M37" i="27" a="1"/>
  <c r="M37" i="27" s="1"/>
  <c r="K562" i="13" a="1"/>
  <c r="K562" i="13" s="1"/>
  <c r="K575" i="13" s="1" a="1"/>
  <c r="K575" i="13" s="1"/>
  <c r="K576" i="13" s="1"/>
  <c r="EU27" i="9" a="1"/>
  <c r="EU27" i="9" s="1"/>
  <c r="L39" i="27" s="1" a="1"/>
  <c r="L39" i="27" s="1"/>
  <c r="FA27" i="9" a="1"/>
  <c r="FA27" i="9" s="1"/>
  <c r="EC24" i="9" a="1"/>
  <c r="EC24" i="9" s="1"/>
  <c r="EV25" i="9" a="1"/>
  <c r="EV25" i="9" s="1"/>
  <c r="K412" i="13"/>
  <c r="EZ22" i="9" s="1" a="1"/>
  <c r="EZ22" i="9" s="1"/>
  <c r="FB22" i="9" s="1"/>
  <c r="FJ22" i="9" s="1"/>
  <c r="EY22" i="9"/>
  <c r="L34" i="25" a="1"/>
  <c r="L34" i="25" s="1"/>
  <c r="J562" i="13" a="1"/>
  <c r="J562" i="13" s="1"/>
  <c r="J575" i="13" s="1" a="1"/>
  <c r="J575" i="13" s="1"/>
  <c r="J576" i="13" s="1"/>
  <c r="EH27" i="9" a="1"/>
  <c r="EH27" i="9" s="1"/>
  <c r="EB27" i="9" a="1"/>
  <c r="EB27" i="9" s="1"/>
  <c r="K39" i="27" s="1" a="1"/>
  <c r="K39" i="27" s="1"/>
  <c r="EC25" i="9" a="1"/>
  <c r="EC25" i="9" s="1"/>
  <c r="E539" i="13" a="1"/>
  <c r="E539" i="13" s="1"/>
  <c r="E540" i="13" s="1"/>
  <c r="E543" i="13" s="1"/>
  <c r="G475" i="13"/>
  <c r="G412" i="13"/>
  <c r="CB22" i="9" s="1" a="1"/>
  <c r="CB22" i="9" s="1"/>
  <c r="CD22" i="9" s="1"/>
  <c r="CL22" i="9" s="1"/>
  <c r="DJ25" i="9" a="1"/>
  <c r="DJ25" i="9" s="1"/>
  <c r="DL25" i="9" s="1"/>
  <c r="AL25" i="9" a="1"/>
  <c r="AL25" i="9" s="1"/>
  <c r="CQ25" i="9" a="1"/>
  <c r="CQ25" i="9" s="1"/>
  <c r="H444" i="13"/>
  <c r="H442" i="13"/>
  <c r="BE24" i="9" a="1"/>
  <c r="BE24" i="9" s="1"/>
  <c r="BG24" i="9" s="1"/>
  <c r="G562" i="13" a="1"/>
  <c r="G562" i="13" s="1"/>
  <c r="G573" i="13" s="1" a="1"/>
  <c r="G573" i="13" s="1"/>
  <c r="G574" i="13" s="1"/>
  <c r="BW27" i="9" a="1"/>
  <c r="BW27" i="9" s="1"/>
  <c r="H39" i="27" s="1" a="1"/>
  <c r="H39" i="27" s="1"/>
  <c r="CC27" i="9" a="1"/>
  <c r="CC27" i="9" s="1"/>
  <c r="CA22" i="9"/>
  <c r="BZ22" i="9"/>
  <c r="H34" i="25" a="1"/>
  <c r="H34" i="25" s="1"/>
  <c r="F562" i="13" a="1"/>
  <c r="F562" i="13" s="1"/>
  <c r="F575" i="13" s="1" a="1"/>
  <c r="F575" i="13" s="1"/>
  <c r="F576" i="13" s="1"/>
  <c r="BD27" i="9" a="1"/>
  <c r="BD27" i="9" s="1"/>
  <c r="G39" i="27" s="1" a="1"/>
  <c r="G39" i="27" s="1"/>
  <c r="BJ27" i="9" a="1"/>
  <c r="BJ27" i="9" s="1"/>
  <c r="F444" i="13"/>
  <c r="F442" i="13"/>
  <c r="E444" i="13"/>
  <c r="E442" i="13"/>
  <c r="E562" i="13" a="1"/>
  <c r="E562" i="13" s="1"/>
  <c r="E575" i="13" s="1" a="1"/>
  <c r="E575" i="13" s="1"/>
  <c r="E576" i="13" s="1"/>
  <c r="AK27" i="9" a="1"/>
  <c r="AK27" i="9" s="1"/>
  <c r="F39" i="27" s="1" a="1"/>
  <c r="F39" i="27" s="1"/>
  <c r="AQ27" i="9" a="1"/>
  <c r="AQ27" i="9" s="1"/>
  <c r="AP22" i="9" a="1"/>
  <c r="AP22" i="9" s="1"/>
  <c r="AR22" i="9" s="1"/>
  <c r="AL24" i="9" a="1"/>
  <c r="AL24" i="9" s="1"/>
  <c r="AN24" i="9" s="1"/>
  <c r="D562" i="13" a="1"/>
  <c r="D562" i="13" s="1"/>
  <c r="D575" i="13" s="1" a="1"/>
  <c r="D575" i="13" s="1"/>
  <c r="D576" i="13" s="1"/>
  <c r="R27" i="9" a="1"/>
  <c r="R27" i="9" s="1"/>
  <c r="E39" i="27" s="1" a="1"/>
  <c r="E39" i="27" s="1"/>
  <c r="D475" i="13"/>
  <c r="T24" i="9" s="1" a="1"/>
  <c r="T24" i="9" s="1"/>
  <c r="E36" i="25" s="1" a="1"/>
  <c r="E36" i="25" s="1"/>
  <c r="J36" i="25" a="1"/>
  <c r="J36" i="25" s="1"/>
  <c r="L36" i="25" a="1"/>
  <c r="L36" i="25" s="1"/>
  <c r="M36" i="25" a="1"/>
  <c r="M36" i="25" s="1"/>
  <c r="I36" i="25" a="1"/>
  <c r="I36" i="25" s="1"/>
  <c r="P35" i="25" a="1"/>
  <c r="P35" i="25" s="1"/>
  <c r="P227" i="10"/>
  <c r="S23" i="9" a="1"/>
  <c r="S23" i="9" s="1"/>
  <c r="P252" i="10" a="1"/>
  <c r="P252" i="10" s="1"/>
  <c r="M534" i="13" a="1"/>
  <c r="M534" i="13" s="1"/>
  <c r="M535" i="13" s="1"/>
  <c r="M538" i="13" s="1"/>
  <c r="E252" i="10" a="1"/>
  <c r="E252" i="10" s="1"/>
  <c r="E253" i="10" s="1"/>
  <c r="E594" i="13" s="1" a="1"/>
  <c r="E594" i="13" s="1"/>
  <c r="P225" i="10"/>
  <c r="O446" i="13"/>
  <c r="D504" i="13"/>
  <c r="I538" i="13"/>
  <c r="F504" i="13"/>
  <c r="H538" i="13"/>
  <c r="L252" i="10" a="1"/>
  <c r="L252" i="10" s="1"/>
  <c r="L254" i="10" s="1"/>
  <c r="L595" i="13" s="1" a="1"/>
  <c r="L595" i="13" s="1"/>
  <c r="N538" i="13"/>
  <c r="M533" i="13"/>
  <c r="G538" i="13"/>
  <c r="G504" i="13"/>
  <c r="F533" i="13"/>
  <c r="K538" i="13"/>
  <c r="J538" i="13"/>
  <c r="L499" i="13"/>
  <c r="J533" i="13"/>
  <c r="F499" i="13"/>
  <c r="K533" i="13"/>
  <c r="D465" i="13"/>
  <c r="D253" i="10"/>
  <c r="D254" i="10"/>
  <c r="D255" i="10"/>
  <c r="K253" i="10"/>
  <c r="K594" i="13" s="1" a="1"/>
  <c r="K594" i="13" s="1"/>
  <c r="K255" i="10"/>
  <c r="K254" i="10"/>
  <c r="K595" i="13" s="1" a="1"/>
  <c r="K595" i="13" s="1"/>
  <c r="G254" i="10"/>
  <c r="G595" i="13" s="1" a="1"/>
  <c r="G595" i="13" s="1"/>
  <c r="G255" i="10"/>
  <c r="G253" i="10"/>
  <c r="G594" i="13" s="1" a="1"/>
  <c r="G594" i="13" s="1"/>
  <c r="I253" i="10"/>
  <c r="I594" i="13" s="1" a="1"/>
  <c r="I594" i="13" s="1"/>
  <c r="I254" i="10"/>
  <c r="I595" i="13" s="1" a="1"/>
  <c r="I595" i="13" s="1"/>
  <c r="I255" i="10"/>
  <c r="F255" i="10"/>
  <c r="F253" i="10"/>
  <c r="F594" i="13" s="1" a="1"/>
  <c r="F594" i="13" s="1"/>
  <c r="F254" i="10"/>
  <c r="F595" i="13" s="1" a="1"/>
  <c r="F595" i="13" s="1"/>
  <c r="J253" i="10"/>
  <c r="J594" i="13" s="1" a="1"/>
  <c r="J594" i="13" s="1"/>
  <c r="J254" i="10"/>
  <c r="J595" i="13" s="1" a="1"/>
  <c r="J595" i="13" s="1"/>
  <c r="J255" i="10"/>
  <c r="M254" i="10"/>
  <c r="M595" i="13" s="1" a="1"/>
  <c r="M595" i="13" s="1"/>
  <c r="M255" i="10"/>
  <c r="M253" i="10"/>
  <c r="M594" i="13" s="1" a="1"/>
  <c r="M594" i="13" s="1"/>
  <c r="N253" i="10"/>
  <c r="N594" i="13" s="1" a="1"/>
  <c r="N594" i="13" s="1"/>
  <c r="N254" i="10"/>
  <c r="N595" i="13" s="1" a="1"/>
  <c r="N595" i="13" s="1"/>
  <c r="N255" i="10"/>
  <c r="H255" i="10"/>
  <c r="H253" i="10"/>
  <c r="H594" i="13" s="1" a="1"/>
  <c r="H594" i="13" s="1"/>
  <c r="H254" i="10"/>
  <c r="H595" i="13" s="1" a="1"/>
  <c r="H595" i="13" s="1"/>
  <c r="O478" i="13"/>
  <c r="L504" i="13"/>
  <c r="G533" i="13"/>
  <c r="I533" i="13"/>
  <c r="M565" i="13" a="1"/>
  <c r="M565" i="13" s="1"/>
  <c r="M566" i="13" s="1"/>
  <c r="M563" i="13" a="1"/>
  <c r="M563" i="13" s="1"/>
  <c r="M564" i="13" s="1"/>
  <c r="I239" i="10"/>
  <c r="I560" i="13" s="1" a="1"/>
  <c r="I560" i="13" s="1"/>
  <c r="I240" i="10"/>
  <c r="I561" i="13" s="1" a="1"/>
  <c r="I561" i="13" s="1"/>
  <c r="I241" i="10"/>
  <c r="P226" i="10"/>
  <c r="F538" i="13"/>
  <c r="K568" i="13" a="1"/>
  <c r="K568" i="13" s="1"/>
  <c r="K569" i="13" s="1"/>
  <c r="K570" i="13" a="1"/>
  <c r="K570" i="13" s="1"/>
  <c r="K571" i="13" s="1"/>
  <c r="F478" i="13"/>
  <c r="D536" i="13" a="1"/>
  <c r="D536" i="13" s="1"/>
  <c r="D537" i="13" s="1"/>
  <c r="D534" i="13" a="1"/>
  <c r="D534" i="13" s="1"/>
  <c r="D535" i="13" s="1"/>
  <c r="H241" i="10"/>
  <c r="H239" i="10"/>
  <c r="H560" i="13" s="1" a="1"/>
  <c r="H560" i="13" s="1"/>
  <c r="H240" i="10"/>
  <c r="H561" i="13" s="1" a="1"/>
  <c r="H561" i="13" s="1"/>
  <c r="E565" i="13" a="1"/>
  <c r="E565" i="13" s="1"/>
  <c r="E566" i="13" s="1"/>
  <c r="E563" i="13" a="1"/>
  <c r="E563" i="13" s="1"/>
  <c r="E564" i="13" s="1"/>
  <c r="M570" i="13" a="1"/>
  <c r="M570" i="13" s="1"/>
  <c r="M571" i="13" s="1"/>
  <c r="M568" i="13" a="1"/>
  <c r="M568" i="13" s="1"/>
  <c r="M569" i="13" s="1"/>
  <c r="D560" i="13" a="1"/>
  <c r="D560" i="13" s="1"/>
  <c r="J570" i="13" a="1"/>
  <c r="J570" i="13" s="1"/>
  <c r="J571" i="13" s="1"/>
  <c r="J568" i="13" a="1"/>
  <c r="J568" i="13" s="1"/>
  <c r="J569" i="13" s="1"/>
  <c r="M478" i="13"/>
  <c r="O533" i="13"/>
  <c r="G499" i="13"/>
  <c r="G568" i="13" a="1"/>
  <c r="G568" i="13" s="1"/>
  <c r="G569" i="13" s="1"/>
  <c r="G570" i="13" a="1"/>
  <c r="G570" i="13" s="1"/>
  <c r="G571" i="13" s="1"/>
  <c r="D561" i="13" a="1"/>
  <c r="D561" i="13" s="1"/>
  <c r="J565" i="13" a="1"/>
  <c r="J565" i="13" s="1"/>
  <c r="J566" i="13" s="1"/>
  <c r="J563" i="13" a="1"/>
  <c r="J563" i="13" s="1"/>
  <c r="J564" i="13" s="1"/>
  <c r="O538" i="13"/>
  <c r="H533" i="13"/>
  <c r="D499" i="13"/>
  <c r="E568" i="13" a="1"/>
  <c r="E568" i="13" s="1"/>
  <c r="E569" i="13" s="1"/>
  <c r="E570" i="13" a="1"/>
  <c r="E570" i="13" s="1"/>
  <c r="E571" i="13" s="1"/>
  <c r="G563" i="13" a="1"/>
  <c r="G563" i="13" s="1"/>
  <c r="G564" i="13" s="1"/>
  <c r="G565" i="13" a="1"/>
  <c r="G565" i="13" s="1"/>
  <c r="G566" i="13" s="1"/>
  <c r="O252" i="10" a="1"/>
  <c r="O252" i="10" s="1"/>
  <c r="O256" i="10" s="1"/>
  <c r="E478" i="13"/>
  <c r="D531" i="13" a="1"/>
  <c r="D531" i="13" s="1"/>
  <c r="D532" i="13" s="1"/>
  <c r="D529" i="13" a="1"/>
  <c r="D529" i="13" s="1"/>
  <c r="D530" i="13" s="1"/>
  <c r="L538" i="13"/>
  <c r="E531" i="13" a="1"/>
  <c r="E531" i="13" s="1"/>
  <c r="E532" i="13" s="1"/>
  <c r="E529" i="13" a="1"/>
  <c r="E529" i="13" s="1"/>
  <c r="E530" i="13" s="1"/>
  <c r="O568" i="13" a="1"/>
  <c r="O568" i="13" s="1"/>
  <c r="O569" i="13" s="1"/>
  <c r="O570" i="13" a="1"/>
  <c r="O570" i="13" s="1"/>
  <c r="O571" i="13" s="1"/>
  <c r="F570" i="13" a="1"/>
  <c r="F570" i="13" s="1"/>
  <c r="F571" i="13" s="1"/>
  <c r="F568" i="13" a="1"/>
  <c r="F568" i="13" s="1"/>
  <c r="F569" i="13" s="1"/>
  <c r="O565" i="13" a="1"/>
  <c r="O565" i="13" s="1"/>
  <c r="O566" i="13" s="1"/>
  <c r="O563" i="13" a="1"/>
  <c r="O563" i="13" s="1"/>
  <c r="O564" i="13" s="1"/>
  <c r="N570" i="13" a="1"/>
  <c r="N570" i="13" s="1"/>
  <c r="N571" i="13" s="1"/>
  <c r="N568" i="13" a="1"/>
  <c r="N568" i="13" s="1"/>
  <c r="N569" i="13" s="1"/>
  <c r="F563" i="13" a="1"/>
  <c r="F563" i="13" s="1"/>
  <c r="F564" i="13" s="1"/>
  <c r="F565" i="13" a="1"/>
  <c r="F565" i="13" s="1"/>
  <c r="F566" i="13" s="1"/>
  <c r="L563" i="13" a="1"/>
  <c r="L563" i="13" s="1"/>
  <c r="L564" i="13" s="1"/>
  <c r="L565" i="13" a="1"/>
  <c r="L565" i="13" s="1"/>
  <c r="L566" i="13" s="1"/>
  <c r="N478" i="13"/>
  <c r="L533" i="13"/>
  <c r="E534" i="13" a="1"/>
  <c r="E534" i="13" s="1"/>
  <c r="E535" i="13" s="1"/>
  <c r="E536" i="13" a="1"/>
  <c r="E536" i="13" s="1"/>
  <c r="E537" i="13" s="1"/>
  <c r="D470" i="13"/>
  <c r="N563" i="13" a="1"/>
  <c r="N563" i="13" s="1"/>
  <c r="N564" i="13" s="1"/>
  <c r="N565" i="13" a="1"/>
  <c r="N565" i="13" s="1"/>
  <c r="N566" i="13" s="1"/>
  <c r="K563" i="13" a="1"/>
  <c r="K563" i="13" s="1"/>
  <c r="K564" i="13" s="1"/>
  <c r="K565" i="13" a="1"/>
  <c r="K565" i="13" s="1"/>
  <c r="K566" i="13" s="1"/>
  <c r="L568" i="13" a="1"/>
  <c r="L568" i="13" s="1"/>
  <c r="L569" i="13" s="1"/>
  <c r="L570" i="13" a="1"/>
  <c r="L570" i="13" s="1"/>
  <c r="L571" i="13" s="1"/>
  <c r="E510" i="13"/>
  <c r="N476" i="13"/>
  <c r="K512" i="13"/>
  <c r="D510" i="13"/>
  <c r="F476" i="13"/>
  <c r="J510" i="13"/>
  <c r="M476" i="13"/>
  <c r="O476" i="13"/>
  <c r="H512" i="13"/>
  <c r="E476" i="13"/>
  <c r="G510" i="13"/>
  <c r="F510" i="13"/>
  <c r="M510" i="13"/>
  <c r="D444" i="13"/>
  <c r="N510" i="13"/>
  <c r="I512" i="13"/>
  <c r="N242" i="10"/>
  <c r="O242" i="10"/>
  <c r="Z22" i="9" a="1"/>
  <c r="Z22" i="9" s="1"/>
  <c r="AH22" i="9" s="1"/>
  <c r="F35" i="24" s="1" a="1"/>
  <c r="F35" i="24" s="1"/>
  <c r="AS21" i="9" a="1"/>
  <c r="AS21" i="9" s="1"/>
  <c r="BA21" i="9" s="1"/>
  <c r="G34" i="24" s="1" a="1"/>
  <c r="G34" i="24" s="1"/>
  <c r="Z21" i="9" a="1"/>
  <c r="Z21" i="9" s="1"/>
  <c r="AH21" i="9" s="1"/>
  <c r="F34" i="24" s="1" a="1"/>
  <c r="F34" i="24" s="1"/>
  <c r="IA21" i="9" a="1"/>
  <c r="IA21" i="9" s="1"/>
  <c r="II21" i="9" s="1"/>
  <c r="Q34" i="24" s="1" a="1"/>
  <c r="Q34" i="24" s="1"/>
  <c r="BT21" i="9"/>
  <c r="H34" i="24" s="1" a="1"/>
  <c r="H34" i="24" s="1"/>
  <c r="GO22" i="9" a="1"/>
  <c r="GO22" i="9" s="1"/>
  <c r="GW22" i="9" s="1"/>
  <c r="O35" i="24" s="1" a="1"/>
  <c r="O35" i="24" s="1"/>
  <c r="BS22" i="9"/>
  <c r="BT22" i="9" s="1"/>
  <c r="H35" i="24" s="1" a="1"/>
  <c r="H35" i="24" s="1"/>
  <c r="IL21" i="9"/>
  <c r="IM21" i="9" s="1"/>
  <c r="DQ22" i="9" a="1"/>
  <c r="DQ22" i="9" s="1"/>
  <c r="DY22" i="9" s="1"/>
  <c r="K35" i="24" s="1" a="1"/>
  <c r="K35" i="24" s="1"/>
  <c r="EI22" i="9"/>
  <c r="EQ22" i="9" s="1"/>
  <c r="FU23" i="9"/>
  <c r="GC23" i="9" s="1"/>
  <c r="H250" i="10"/>
  <c r="CO28" i="9" s="1" a="1"/>
  <c r="CO28" i="9" s="1"/>
  <c r="D250" i="10"/>
  <c r="Q28" i="9" s="1" a="1"/>
  <c r="Q28" i="9" s="1"/>
  <c r="I242" i="10"/>
  <c r="I250" i="10"/>
  <c r="DH28" i="9" s="1" a="1"/>
  <c r="DH28" i="9" s="1"/>
  <c r="F250" i="10"/>
  <c r="BC28" i="9" s="1" a="1"/>
  <c r="BC28" i="9" s="1"/>
  <c r="N250" i="10"/>
  <c r="GY28" i="9" s="1" a="1"/>
  <c r="GY28" i="9" s="1"/>
  <c r="G250" i="10"/>
  <c r="BV28" i="9" s="1" a="1"/>
  <c r="BV28" i="9" s="1"/>
  <c r="K250" i="10"/>
  <c r="ET28" i="9" s="1" a="1"/>
  <c r="ET28" i="9" s="1"/>
  <c r="E250" i="10"/>
  <c r="AJ28" i="9" s="1" a="1"/>
  <c r="AJ28" i="9" s="1"/>
  <c r="O250" i="10"/>
  <c r="HR28" i="9" s="1" a="1"/>
  <c r="HR28" i="9" s="1"/>
  <c r="H242" i="10"/>
  <c r="H256" i="10"/>
  <c r="N256" i="10"/>
  <c r="D256" i="10"/>
  <c r="X28" i="9" s="1" a="1"/>
  <c r="X28" i="9" s="1"/>
  <c r="K256" i="10"/>
  <c r="M265" i="10"/>
  <c r="M262" i="10"/>
  <c r="D262" i="10"/>
  <c r="B299" i="10" a="1"/>
  <c r="B299" i="10" s="1"/>
  <c r="A299" i="10" a="1"/>
  <c r="A299" i="10" s="1"/>
  <c r="E262" i="10"/>
  <c r="J262" i="10"/>
  <c r="L272" i="10"/>
  <c r="L279" i="10" s="1"/>
  <c r="B276" i="10"/>
  <c r="B277" i="10" s="1"/>
  <c r="K272" i="10"/>
  <c r="G272" i="10"/>
  <c r="I272" i="10"/>
  <c r="I279" i="10" s="1"/>
  <c r="N272" i="10"/>
  <c r="N279" i="10" s="1"/>
  <c r="B273" i="10"/>
  <c r="B274" i="10" s="1"/>
  <c r="B275" i="10" s="1"/>
  <c r="E272" i="10"/>
  <c r="H272" i="10"/>
  <c r="D272" i="10"/>
  <c r="D279" i="10" s="1"/>
  <c r="F272" i="10"/>
  <c r="O272" i="10"/>
  <c r="O279" i="10" s="1"/>
  <c r="M272" i="10"/>
  <c r="J272" i="10"/>
  <c r="J279" i="10" s="1"/>
  <c r="P272" i="10"/>
  <c r="P276" i="10" s="1"/>
  <c r="J250" i="10"/>
  <c r="EA28" i="9" s="1" a="1"/>
  <c r="EA28" i="9" s="1"/>
  <c r="P265" i="10"/>
  <c r="I262" i="10"/>
  <c r="K262" i="10"/>
  <c r="J256" i="10"/>
  <c r="P228" i="10"/>
  <c r="F262" i="10"/>
  <c r="G262" i="10"/>
  <c r="G256" i="10"/>
  <c r="N265" i="10"/>
  <c r="N262" i="10"/>
  <c r="L262" i="10"/>
  <c r="O285" i="10"/>
  <c r="N285" i="10"/>
  <c r="M285" i="10"/>
  <c r="J285" i="10"/>
  <c r="G285" i="10"/>
  <c r="F285" i="10"/>
  <c r="E285" i="10"/>
  <c r="K285" i="10"/>
  <c r="B286" i="10"/>
  <c r="I285" i="10"/>
  <c r="P285" i="10"/>
  <c r="H285" i="10"/>
  <c r="D285" i="10"/>
  <c r="L285" i="10"/>
  <c r="M250" i="10"/>
  <c r="GF28" i="9" s="1" a="1"/>
  <c r="GF28" i="9" s="1"/>
  <c r="L250" i="10"/>
  <c r="FM28" i="9" s="1" a="1"/>
  <c r="FM28" i="9" s="1"/>
  <c r="H262" i="10"/>
  <c r="F256" i="10"/>
  <c r="K265" i="10"/>
  <c r="P263" i="10"/>
  <c r="P264" i="10" s="1"/>
  <c r="K263" i="10"/>
  <c r="O263" i="10"/>
  <c r="O266" i="10" s="1" a="1"/>
  <c r="O266" i="10" s="1"/>
  <c r="E263" i="10"/>
  <c r="E266" i="10" s="1" a="1"/>
  <c r="E266" i="10" s="1"/>
  <c r="D263" i="10"/>
  <c r="D266" i="10" s="1" a="1"/>
  <c r="D266" i="10" s="1"/>
  <c r="B264" i="10"/>
  <c r="B265" i="10" s="1"/>
  <c r="B266" i="10" s="1"/>
  <c r="B267" i="10" s="1"/>
  <c r="B268" i="10" s="1"/>
  <c r="B269" i="10" s="1"/>
  <c r="B270" i="10" s="1"/>
  <c r="I263" i="10"/>
  <c r="I266" i="10" s="1" a="1"/>
  <c r="I266" i="10" s="1"/>
  <c r="M263" i="10"/>
  <c r="J263" i="10"/>
  <c r="J266" i="10" s="1" a="1"/>
  <c r="J266" i="10" s="1"/>
  <c r="H263" i="10"/>
  <c r="H266" i="10" s="1" a="1"/>
  <c r="H266" i="10" s="1"/>
  <c r="G263" i="10"/>
  <c r="G266" i="10" s="1" a="1"/>
  <c r="G266" i="10" s="1"/>
  <c r="N263" i="10"/>
  <c r="L263" i="10"/>
  <c r="L266" i="10" s="1" a="1"/>
  <c r="L266" i="10" s="1"/>
  <c r="F263" i="10"/>
  <c r="F266" i="10" s="1" a="1"/>
  <c r="F266" i="10" s="1"/>
  <c r="O262" i="10"/>
  <c r="R313" i="10"/>
  <c r="HC25" i="9" l="1"/>
  <c r="D446" i="13"/>
  <c r="K573" i="13" a="1"/>
  <c r="K573" i="13" s="1"/>
  <c r="K574" i="13" s="1"/>
  <c r="K577" i="13" s="1"/>
  <c r="V23" i="9"/>
  <c r="GJ25" i="9"/>
  <c r="H514" i="13"/>
  <c r="CU25" i="9" s="1" a="1"/>
  <c r="CU25" i="9" s="1"/>
  <c r="M514" i="13"/>
  <c r="GL25" i="9" s="1" a="1"/>
  <c r="GL25" i="9" s="1"/>
  <c r="G514" i="13"/>
  <c r="CB25" i="9" s="1" a="1"/>
  <c r="CB25" i="9" s="1"/>
  <c r="N539" i="13" a="1"/>
  <c r="N539" i="13" s="1"/>
  <c r="N540" i="13" s="1"/>
  <c r="N543" i="13" s="1"/>
  <c r="D514" i="13"/>
  <c r="N514" i="13"/>
  <c r="HE25" i="9" s="1" a="1"/>
  <c r="HE25" i="9" s="1"/>
  <c r="J514" i="13"/>
  <c r="EG25" i="9" s="1" a="1"/>
  <c r="EG25" i="9" s="1"/>
  <c r="CS25" i="9"/>
  <c r="K514" i="13"/>
  <c r="EZ25" i="9" s="1" a="1"/>
  <c r="EZ25" i="9" s="1"/>
  <c r="I514" i="13"/>
  <c r="DN25" i="9" s="1" a="1"/>
  <c r="DN25" i="9" s="1"/>
  <c r="AN25" i="9"/>
  <c r="EX25" i="9"/>
  <c r="M541" i="13" a="1"/>
  <c r="M541" i="13" s="1"/>
  <c r="M542" i="13" s="1"/>
  <c r="M543" i="13" s="1"/>
  <c r="EE25" i="9"/>
  <c r="J573" i="13" a="1"/>
  <c r="J573" i="13" s="1"/>
  <c r="J574" i="13" s="1"/>
  <c r="F514" i="13"/>
  <c r="BI25" i="9" s="1" a="1"/>
  <c r="BI25" i="9" s="1"/>
  <c r="E514" i="13"/>
  <c r="AP25" i="9" s="1" a="1"/>
  <c r="AP25" i="9" s="1"/>
  <c r="G546" i="13"/>
  <c r="BY26" i="9" a="1"/>
  <c r="BY26" i="9" s="1"/>
  <c r="L544" i="13"/>
  <c r="FP26" i="9" a="1"/>
  <c r="FP26" i="9" s="1"/>
  <c r="J546" i="13"/>
  <c r="ED26" i="9" a="1"/>
  <c r="ED26" i="9" s="1"/>
  <c r="D546" i="13"/>
  <c r="T26" i="9" a="1"/>
  <c r="T26" i="9" s="1"/>
  <c r="E38" i="25" s="1" a="1"/>
  <c r="E38" i="25" s="1"/>
  <c r="K546" i="13"/>
  <c r="EW26" i="9" a="1"/>
  <c r="EW26" i="9" s="1"/>
  <c r="I546" i="13"/>
  <c r="DK26" i="9" a="1"/>
  <c r="DK26" i="9" s="1"/>
  <c r="E546" i="13"/>
  <c r="AM26" i="9" a="1"/>
  <c r="AM26" i="9" s="1"/>
  <c r="O546" i="13"/>
  <c r="HU26" i="9" a="1"/>
  <c r="HU26" i="9" s="1"/>
  <c r="F546" i="13"/>
  <c r="BF26" i="9" a="1"/>
  <c r="BF26" i="9" s="1"/>
  <c r="H546" i="13"/>
  <c r="CR26" i="9" a="1"/>
  <c r="CR26" i="9" s="1"/>
  <c r="L510" i="13"/>
  <c r="FP25" i="9" a="1"/>
  <c r="FP25" i="9" s="1"/>
  <c r="F37" i="25" a="1"/>
  <c r="F37" i="25" s="1"/>
  <c r="AO25" i="9"/>
  <c r="G37" i="25" a="1"/>
  <c r="G37" i="25" s="1"/>
  <c r="BH25" i="9"/>
  <c r="L37" i="25" a="1"/>
  <c r="L37" i="25" s="1"/>
  <c r="EY25" i="9"/>
  <c r="J37" i="25" a="1"/>
  <c r="J37" i="25" s="1"/>
  <c r="DM25" i="9"/>
  <c r="O37" i="25" a="1"/>
  <c r="O37" i="25" s="1"/>
  <c r="HD25" i="9"/>
  <c r="K37" i="25" a="1"/>
  <c r="K37" i="25" s="1"/>
  <c r="EF25" i="9"/>
  <c r="O510" i="13"/>
  <c r="HU25" i="9" a="1"/>
  <c r="HU25" i="9" s="1"/>
  <c r="HV25" i="9" s="1"/>
  <c r="N37" i="25" a="1"/>
  <c r="N37" i="25" s="1"/>
  <c r="GK25" i="9"/>
  <c r="I37" i="25" a="1"/>
  <c r="I37" i="25" s="1"/>
  <c r="CT25" i="9"/>
  <c r="H37" i="25" a="1"/>
  <c r="H37" i="25" s="1"/>
  <c r="CA25" i="9"/>
  <c r="U23" i="9"/>
  <c r="F573" i="13" a="1"/>
  <c r="F573" i="13" s="1"/>
  <c r="F574" i="13" s="1"/>
  <c r="F577" i="13" s="1"/>
  <c r="G575" i="13" a="1"/>
  <c r="G575" i="13" s="1"/>
  <c r="G576" i="13" s="1"/>
  <c r="G577" i="13" s="1"/>
  <c r="I480" i="13"/>
  <c r="DN24" i="9" s="1" a="1"/>
  <c r="DN24" i="9" s="1"/>
  <c r="DP24" i="9" s="1"/>
  <c r="DQ24" i="9" s="1" a="1"/>
  <c r="DQ24" i="9" s="1"/>
  <c r="H480" i="13"/>
  <c r="CU24" i="9" s="1" a="1"/>
  <c r="CU24" i="9" s="1"/>
  <c r="CW24" i="9" s="1"/>
  <c r="DE24" i="9" s="1"/>
  <c r="L480" i="13"/>
  <c r="FS24" i="9" s="1" a="1"/>
  <c r="FS24" i="9" s="1"/>
  <c r="FU24" i="9" s="1"/>
  <c r="GC24" i="9" s="1"/>
  <c r="D573" i="13" a="1"/>
  <c r="D573" i="13" s="1"/>
  <c r="D574" i="13" s="1"/>
  <c r="D577" i="13" s="1"/>
  <c r="Q34" i="25"/>
  <c r="M446" i="13"/>
  <c r="GL23" i="9" s="1" a="1"/>
  <c r="GL23" i="9" s="1"/>
  <c r="GN23" i="9" s="1"/>
  <c r="GV23" i="9" s="1"/>
  <c r="FC22" i="9" a="1"/>
  <c r="FC22" i="9" s="1"/>
  <c r="FK22" i="9" s="1"/>
  <c r="M35" i="24" s="1" a="1"/>
  <c r="M35" i="24" s="1"/>
  <c r="M573" i="13" a="1"/>
  <c r="M573" i="13" s="1"/>
  <c r="M574" i="13" s="1"/>
  <c r="M577" i="13" s="1"/>
  <c r="IH22" i="9"/>
  <c r="IA22" i="9" a="1"/>
  <c r="IA22" i="9" s="1"/>
  <c r="FO25" i="9" a="1"/>
  <c r="FO25" i="9" s="1"/>
  <c r="E573" i="13" a="1"/>
  <c r="E573" i="13" s="1"/>
  <c r="E574" i="13" s="1"/>
  <c r="E577" i="13" s="1"/>
  <c r="L575" i="13" a="1"/>
  <c r="L575" i="13" s="1"/>
  <c r="L576" i="13" s="1"/>
  <c r="L577" i="13" s="1"/>
  <c r="HT26" i="9" a="1"/>
  <c r="HT26" i="9" s="1"/>
  <c r="HX23" i="9" a="1"/>
  <c r="HX23" i="9" s="1"/>
  <c r="HZ23" i="9" s="1"/>
  <c r="CE22" i="9" a="1"/>
  <c r="CE22" i="9" s="1"/>
  <c r="CM22" i="9" s="1"/>
  <c r="I35" i="24" s="1" a="1"/>
  <c r="I35" i="24" s="1"/>
  <c r="O596" i="13" a="1"/>
  <c r="O596" i="13" s="1"/>
  <c r="O607" i="13" s="1" a="1"/>
  <c r="O607" i="13" s="1"/>
  <c r="O608" i="13" s="1"/>
  <c r="HS28" i="9" a="1"/>
  <c r="HS28" i="9" s="1"/>
  <c r="HY28" i="9" a="1"/>
  <c r="HY28" i="9" s="1"/>
  <c r="O562" i="13" a="1"/>
  <c r="O562" i="13" s="1"/>
  <c r="O575" i="13" s="1" a="1"/>
  <c r="O575" i="13" s="1"/>
  <c r="O576" i="13" s="1"/>
  <c r="HY27" i="9" a="1"/>
  <c r="HY27" i="9" s="1"/>
  <c r="HS27" i="9" a="1"/>
  <c r="HS27" i="9" s="1"/>
  <c r="GH26" i="9" a="1"/>
  <c r="GH26" i="9" s="1"/>
  <c r="HO22" i="9"/>
  <c r="HH22" i="9" a="1"/>
  <c r="HH22" i="9" s="1"/>
  <c r="HA26" i="9" a="1"/>
  <c r="HA26" i="9" s="1"/>
  <c r="O38" i="27" a="1"/>
  <c r="O38" i="27" s="1"/>
  <c r="N596" i="13" a="1"/>
  <c r="N596" i="13" s="1"/>
  <c r="N609" i="13" s="1" a="1"/>
  <c r="N609" i="13" s="1"/>
  <c r="N610" i="13" s="1"/>
  <c r="GZ28" i="9" a="1"/>
  <c r="GZ28" i="9" s="1"/>
  <c r="O40" i="27" s="1" a="1"/>
  <c r="O40" i="27" s="1"/>
  <c r="HF28" i="9" a="1"/>
  <c r="HF28" i="9" s="1"/>
  <c r="N446" i="13"/>
  <c r="HE23" i="9" s="1" a="1"/>
  <c r="HE23" i="9" s="1"/>
  <c r="HG23" i="9" s="1"/>
  <c r="HO23" i="9" s="1"/>
  <c r="L256" i="10"/>
  <c r="FT28" i="9" s="1" a="1"/>
  <c r="FT28" i="9" s="1"/>
  <c r="HD23" i="9"/>
  <c r="HC23" i="9"/>
  <c r="O35" i="25" a="1"/>
  <c r="O35" i="25" s="1"/>
  <c r="Q35" i="25" s="1"/>
  <c r="N562" i="13" a="1"/>
  <c r="N562" i="13" s="1"/>
  <c r="N575" i="13" s="1" a="1"/>
  <c r="N575" i="13" s="1"/>
  <c r="N576" i="13" s="1"/>
  <c r="GZ27" i="9" a="1"/>
  <c r="GZ27" i="9" s="1"/>
  <c r="HF27" i="9" a="1"/>
  <c r="HF27" i="9" s="1"/>
  <c r="ED24" i="9" a="1"/>
  <c r="ED24" i="9" s="1"/>
  <c r="J478" i="13"/>
  <c r="J476" i="13"/>
  <c r="N38" i="27" a="1"/>
  <c r="N38" i="27" s="1"/>
  <c r="FO26" i="9" a="1"/>
  <c r="FO26" i="9" s="1"/>
  <c r="EV26" i="9" a="1"/>
  <c r="EV26" i="9" s="1"/>
  <c r="F446" i="13"/>
  <c r="BI23" i="9" s="1" a="1"/>
  <c r="BI23" i="9" s="1"/>
  <c r="BK23" i="9" s="1"/>
  <c r="BS23" i="9" s="1"/>
  <c r="GC22" i="9"/>
  <c r="FV22" i="9" a="1"/>
  <c r="FV22" i="9" s="1"/>
  <c r="K596" i="13" a="1"/>
  <c r="K596" i="13" s="1"/>
  <c r="K607" i="13" s="1" a="1"/>
  <c r="K607" i="13" s="1"/>
  <c r="K608" i="13" s="1"/>
  <c r="EU28" i="9" a="1"/>
  <c r="EU28" i="9" s="1"/>
  <c r="L40" i="27" s="1" a="1"/>
  <c r="L40" i="27" s="1"/>
  <c r="FA28" i="9" a="1"/>
  <c r="FA28" i="9" s="1"/>
  <c r="E446" i="13"/>
  <c r="AP23" i="9" s="1" a="1"/>
  <c r="AP23" i="9" s="1"/>
  <c r="AR23" i="9" s="1"/>
  <c r="AZ23" i="9" s="1"/>
  <c r="EC26" i="9" a="1"/>
  <c r="EC26" i="9" s="1"/>
  <c r="J596" i="13" a="1"/>
  <c r="J596" i="13" s="1"/>
  <c r="J607" i="13" s="1" a="1"/>
  <c r="J607" i="13" s="1"/>
  <c r="J608" i="13" s="1"/>
  <c r="EB28" i="9" a="1"/>
  <c r="EB28" i="9" s="1"/>
  <c r="K40" i="27" s="1" a="1"/>
  <c r="K40" i="27" s="1"/>
  <c r="EH28" i="9" a="1"/>
  <c r="EH28" i="9" s="1"/>
  <c r="H446" i="13"/>
  <c r="CU23" i="9" s="1" a="1"/>
  <c r="CU23" i="9" s="1"/>
  <c r="CW23" i="9" s="1"/>
  <c r="DE23" i="9" s="1"/>
  <c r="I562" i="13" a="1"/>
  <c r="I562" i="13" s="1"/>
  <c r="I575" i="13" s="1" a="1"/>
  <c r="I575" i="13" s="1"/>
  <c r="I576" i="13" s="1"/>
  <c r="DI27" i="9" a="1"/>
  <c r="DI27" i="9" s="1"/>
  <c r="DO27" i="9" a="1"/>
  <c r="DO27" i="9" s="1"/>
  <c r="E255" i="10"/>
  <c r="BE25" i="9" a="1"/>
  <c r="BE25" i="9" s="1"/>
  <c r="BG25" i="9" s="1"/>
  <c r="DJ26" i="9" a="1"/>
  <c r="DJ26" i="9" s="1"/>
  <c r="BY24" i="9" a="1"/>
  <c r="BY24" i="9" s="1"/>
  <c r="G476" i="13"/>
  <c r="G478" i="13"/>
  <c r="H562" i="13" a="1"/>
  <c r="H562" i="13" s="1"/>
  <c r="H573" i="13" s="1" a="1"/>
  <c r="H573" i="13" s="1"/>
  <c r="H574" i="13" s="1"/>
  <c r="CV27" i="9" a="1"/>
  <c r="CV27" i="9" s="1"/>
  <c r="CP27" i="9" a="1"/>
  <c r="CP27" i="9" s="1"/>
  <c r="H596" i="13" a="1"/>
  <c r="H596" i="13" s="1"/>
  <c r="H607" i="13" s="1" a="1"/>
  <c r="H607" i="13" s="1"/>
  <c r="H608" i="13" s="1"/>
  <c r="CP28" i="9" a="1"/>
  <c r="CP28" i="9" s="1"/>
  <c r="I40" i="27" s="1" a="1"/>
  <c r="I40" i="27" s="1"/>
  <c r="CV28" i="9" a="1"/>
  <c r="CV28" i="9" s="1"/>
  <c r="CQ26" i="9" a="1"/>
  <c r="CQ26" i="9" s="1"/>
  <c r="G596" i="13" a="1"/>
  <c r="G596" i="13" s="1"/>
  <c r="G607" i="13" s="1" a="1"/>
  <c r="G607" i="13" s="1"/>
  <c r="G608" i="13" s="1"/>
  <c r="CC28" i="9" a="1"/>
  <c r="CC28" i="9" s="1"/>
  <c r="BW28" i="9" a="1"/>
  <c r="BW28" i="9" s="1"/>
  <c r="H40" i="27" s="1" a="1"/>
  <c r="H40" i="27" s="1"/>
  <c r="BE26" i="9" a="1"/>
  <c r="BE26" i="9" s="1"/>
  <c r="BX25" i="9" a="1"/>
  <c r="BX25" i="9" s="1"/>
  <c r="BZ25" i="9" s="1"/>
  <c r="BX26" i="9" a="1"/>
  <c r="BX26" i="9" s="1"/>
  <c r="F596" i="13" a="1"/>
  <c r="F596" i="13" s="1"/>
  <c r="F607" i="13" s="1" a="1"/>
  <c r="F607" i="13" s="1"/>
  <c r="F608" i="13" s="1"/>
  <c r="BD28" i="9" a="1"/>
  <c r="BD28" i="9" s="1"/>
  <c r="G40" i="27" s="1" a="1"/>
  <c r="G40" i="27" s="1"/>
  <c r="BJ28" i="9" a="1"/>
  <c r="BJ28" i="9" s="1"/>
  <c r="AZ22" i="9"/>
  <c r="AS22" i="9" a="1"/>
  <c r="AS22" i="9" s="1"/>
  <c r="D478" i="13"/>
  <c r="D476" i="13"/>
  <c r="D596" i="13" a="1"/>
  <c r="D596" i="13" s="1"/>
  <c r="D609" i="13" s="1" a="1"/>
  <c r="D609" i="13" s="1"/>
  <c r="D610" i="13" s="1"/>
  <c r="R28" i="9" a="1"/>
  <c r="R28" i="9" s="1"/>
  <c r="E40" i="27" s="1" a="1"/>
  <c r="E40" i="27" s="1"/>
  <c r="P36" i="25" a="1"/>
  <c r="P36" i="25" s="1"/>
  <c r="F36" i="25" a="1"/>
  <c r="F36" i="25" s="1"/>
  <c r="G36" i="25" a="1"/>
  <c r="G36" i="25" s="1"/>
  <c r="N36" i="25" a="1"/>
  <c r="N36" i="25" s="1"/>
  <c r="O36" i="25" a="1"/>
  <c r="O36" i="25" s="1"/>
  <c r="S25" i="9" a="1"/>
  <c r="S25" i="9" s="1"/>
  <c r="E254" i="10"/>
  <c r="E595" i="13" s="1" a="1"/>
  <c r="E595" i="13" s="1"/>
  <c r="E604" i="13" s="1" a="1"/>
  <c r="E604" i="13" s="1"/>
  <c r="E605" i="13" s="1"/>
  <c r="E480" i="13"/>
  <c r="F572" i="13"/>
  <c r="S24" i="9" a="1"/>
  <c r="S24" i="9" s="1"/>
  <c r="U24" i="9" s="1"/>
  <c r="M480" i="13"/>
  <c r="GL24" i="9" s="1" a="1"/>
  <c r="GL24" i="9" s="1"/>
  <c r="GN24" i="9" s="1"/>
  <c r="GV24" i="9" s="1"/>
  <c r="O480" i="13"/>
  <c r="HX24" i="9" s="1" a="1"/>
  <c r="HX24" i="9" s="1"/>
  <c r="P241" i="10"/>
  <c r="F480" i="13"/>
  <c r="BI24" i="9" s="1" a="1"/>
  <c r="BI24" i="9" s="1"/>
  <c r="BK24" i="9" s="1"/>
  <c r="BS24" i="9" s="1"/>
  <c r="N480" i="13"/>
  <c r="K266" i="10" a="1"/>
  <c r="K266" i="10" s="1"/>
  <c r="K268" i="10" s="1"/>
  <c r="K629" i="13" s="1" a="1"/>
  <c r="K629" i="13" s="1"/>
  <c r="L567" i="13"/>
  <c r="O572" i="13"/>
  <c r="L253" i="10"/>
  <c r="L594" i="13" s="1" a="1"/>
  <c r="L594" i="13" s="1"/>
  <c r="L597" i="13" s="1" a="1"/>
  <c r="L597" i="13" s="1"/>
  <c r="L598" i="13" s="1"/>
  <c r="L255" i="10"/>
  <c r="L572" i="13"/>
  <c r="K567" i="13"/>
  <c r="F567" i="13"/>
  <c r="D538" i="13"/>
  <c r="O269" i="10"/>
  <c r="O267" i="10"/>
  <c r="O628" i="13" s="1" a="1"/>
  <c r="O628" i="13" s="1"/>
  <c r="O268" i="10"/>
  <c r="O629" i="13" s="1" a="1"/>
  <c r="O629" i="13" s="1"/>
  <c r="L268" i="10"/>
  <c r="L629" i="13" s="1" a="1"/>
  <c r="L629" i="13" s="1"/>
  <c r="L267" i="10"/>
  <c r="L628" i="13" s="1" a="1"/>
  <c r="L628" i="13" s="1"/>
  <c r="L269" i="10"/>
  <c r="D268" i="10"/>
  <c r="D267" i="10"/>
  <c r="D269" i="10"/>
  <c r="G269" i="10"/>
  <c r="G267" i="10"/>
  <c r="G628" i="13" s="1" a="1"/>
  <c r="G628" i="13" s="1"/>
  <c r="G268" i="10"/>
  <c r="G629" i="13" s="1" a="1"/>
  <c r="G629" i="13" s="1"/>
  <c r="I269" i="10"/>
  <c r="I267" i="10"/>
  <c r="I628" i="13" s="1" a="1"/>
  <c r="I628" i="13" s="1"/>
  <c r="I268" i="10"/>
  <c r="I629" i="13" s="1" a="1"/>
  <c r="I629" i="13" s="1"/>
  <c r="F269" i="10"/>
  <c r="F267" i="10"/>
  <c r="F628" i="13" s="1" a="1"/>
  <c r="F628" i="13" s="1"/>
  <c r="F268" i="10"/>
  <c r="F629" i="13" s="1" a="1"/>
  <c r="F629" i="13" s="1"/>
  <c r="E269" i="10"/>
  <c r="E267" i="10"/>
  <c r="E628" i="13" s="1" a="1"/>
  <c r="E628" i="13" s="1"/>
  <c r="E268" i="10"/>
  <c r="E629" i="13" s="1" a="1"/>
  <c r="E629" i="13" s="1"/>
  <c r="H269" i="10"/>
  <c r="H267" i="10"/>
  <c r="H628" i="13" s="1" a="1"/>
  <c r="H628" i="13" s="1"/>
  <c r="H268" i="10"/>
  <c r="H629" i="13" s="1" a="1"/>
  <c r="H629" i="13" s="1"/>
  <c r="J268" i="10"/>
  <c r="J629" i="13" s="1" a="1"/>
  <c r="J629" i="13" s="1"/>
  <c r="J267" i="10"/>
  <c r="J628" i="13" s="1" a="1"/>
  <c r="J628" i="13" s="1"/>
  <c r="J269" i="10"/>
  <c r="E533" i="13"/>
  <c r="P240" i="10"/>
  <c r="E567" i="13"/>
  <c r="J599" i="13" a="1"/>
  <c r="J599" i="13" s="1"/>
  <c r="J600" i="13" s="1"/>
  <c r="J597" i="13" a="1"/>
  <c r="J597" i="13" s="1"/>
  <c r="J598" i="13" s="1"/>
  <c r="N567" i="13"/>
  <c r="O567" i="13"/>
  <c r="G567" i="13"/>
  <c r="D570" i="13" a="1"/>
  <c r="D570" i="13" s="1"/>
  <c r="D571" i="13" s="1"/>
  <c r="D568" i="13" a="1"/>
  <c r="D568" i="13" s="1"/>
  <c r="D569" i="13" s="1"/>
  <c r="J572" i="13"/>
  <c r="H570" i="13" a="1"/>
  <c r="H570" i="13" s="1"/>
  <c r="H571" i="13" s="1"/>
  <c r="H568" i="13" a="1"/>
  <c r="H568" i="13" s="1"/>
  <c r="H569" i="13" s="1"/>
  <c r="K572" i="13"/>
  <c r="N602" i="13" a="1"/>
  <c r="N602" i="13" s="1"/>
  <c r="N603" i="13" s="1"/>
  <c r="N604" i="13" a="1"/>
  <c r="N604" i="13" s="1"/>
  <c r="N605" i="13" s="1"/>
  <c r="F604" i="13" a="1"/>
  <c r="F604" i="13" s="1"/>
  <c r="F605" i="13" s="1"/>
  <c r="F602" i="13" a="1"/>
  <c r="F602" i="13" s="1"/>
  <c r="F603" i="13" s="1"/>
  <c r="G604" i="13" a="1"/>
  <c r="G604" i="13" s="1"/>
  <c r="G605" i="13" s="1"/>
  <c r="G602" i="13" a="1"/>
  <c r="G602" i="13" s="1"/>
  <c r="G603" i="13" s="1"/>
  <c r="H563" i="13" a="1"/>
  <c r="H563" i="13" s="1"/>
  <c r="H564" i="13" s="1"/>
  <c r="H565" i="13" a="1"/>
  <c r="H565" i="13" s="1"/>
  <c r="H566" i="13" s="1"/>
  <c r="N599" i="13" a="1"/>
  <c r="N599" i="13" s="1"/>
  <c r="N600" i="13" s="1"/>
  <c r="N597" i="13" a="1"/>
  <c r="N597" i="13" s="1"/>
  <c r="N598" i="13" s="1"/>
  <c r="F599" i="13" a="1"/>
  <c r="F599" i="13" s="1"/>
  <c r="F600" i="13" s="1"/>
  <c r="F597" i="13" a="1"/>
  <c r="F597" i="13" s="1"/>
  <c r="F598" i="13" s="1"/>
  <c r="K602" i="13" a="1"/>
  <c r="K602" i="13" s="1"/>
  <c r="K603" i="13" s="1"/>
  <c r="K604" i="13" a="1"/>
  <c r="K604" i="13" s="1"/>
  <c r="K605" i="13" s="1"/>
  <c r="M266" i="10" a="1"/>
  <c r="M266" i="10" s="1"/>
  <c r="D533" i="13"/>
  <c r="E599" i="13" a="1"/>
  <c r="E599" i="13" s="1"/>
  <c r="E600" i="13" s="1"/>
  <c r="E597" i="13" a="1"/>
  <c r="E597" i="13" s="1"/>
  <c r="E598" i="13" s="1"/>
  <c r="G572" i="13"/>
  <c r="P239" i="10"/>
  <c r="L602" i="13" a="1"/>
  <c r="L602" i="13" s="1"/>
  <c r="L603" i="13" s="1"/>
  <c r="L604" i="13" a="1"/>
  <c r="L604" i="13" s="1"/>
  <c r="L605" i="13" s="1"/>
  <c r="M597" i="13" a="1"/>
  <c r="M597" i="13" s="1"/>
  <c r="M598" i="13" s="1"/>
  <c r="M599" i="13" a="1"/>
  <c r="M599" i="13" s="1"/>
  <c r="M600" i="13" s="1"/>
  <c r="N266" i="10" a="1"/>
  <c r="N266" i="10" s="1"/>
  <c r="P266" i="10" a="1"/>
  <c r="P266" i="10" s="1"/>
  <c r="E572" i="13"/>
  <c r="D563" i="13" a="1"/>
  <c r="D563" i="13" s="1"/>
  <c r="D564" i="13" s="1"/>
  <c r="D565" i="13" a="1"/>
  <c r="D565" i="13" s="1"/>
  <c r="D566" i="13" s="1"/>
  <c r="K599" i="13" a="1"/>
  <c r="K599" i="13" s="1"/>
  <c r="K600" i="13" s="1"/>
  <c r="K597" i="13" a="1"/>
  <c r="K597" i="13" s="1"/>
  <c r="K598" i="13" s="1"/>
  <c r="E538" i="13"/>
  <c r="M572" i="13"/>
  <c r="M567" i="13"/>
  <c r="H602" i="13" a="1"/>
  <c r="H602" i="13" s="1"/>
  <c r="H603" i="13" s="1"/>
  <c r="H604" i="13" a="1"/>
  <c r="H604" i="13" s="1"/>
  <c r="H605" i="13" s="1"/>
  <c r="M604" i="13" a="1"/>
  <c r="M604" i="13" s="1"/>
  <c r="M605" i="13" s="1"/>
  <c r="M602" i="13" a="1"/>
  <c r="M602" i="13" s="1"/>
  <c r="M603" i="13" s="1"/>
  <c r="I604" i="13" a="1"/>
  <c r="I604" i="13" s="1"/>
  <c r="I605" i="13" s="1"/>
  <c r="I602" i="13" a="1"/>
  <c r="I602" i="13" s="1"/>
  <c r="I603" i="13" s="1"/>
  <c r="N572" i="13"/>
  <c r="I568" i="13" a="1"/>
  <c r="I568" i="13" s="1"/>
  <c r="I569" i="13" s="1"/>
  <c r="I570" i="13" a="1"/>
  <c r="I570" i="13" s="1"/>
  <c r="I571" i="13" s="1"/>
  <c r="H599" i="13" a="1"/>
  <c r="H599" i="13" s="1"/>
  <c r="H600" i="13" s="1"/>
  <c r="H597" i="13" a="1"/>
  <c r="H597" i="13" s="1"/>
  <c r="H598" i="13" s="1"/>
  <c r="I597" i="13" a="1"/>
  <c r="I597" i="13" s="1"/>
  <c r="I598" i="13" s="1"/>
  <c r="I599" i="13" a="1"/>
  <c r="I599" i="13" s="1"/>
  <c r="I600" i="13" s="1"/>
  <c r="D595" i="13" a="1"/>
  <c r="D595" i="13" s="1"/>
  <c r="O255" i="10"/>
  <c r="O253" i="10"/>
  <c r="O594" i="13" s="1" a="1"/>
  <c r="O594" i="13" s="1"/>
  <c r="O254" i="10"/>
  <c r="O595" i="13" s="1" a="1"/>
  <c r="O595" i="13" s="1"/>
  <c r="J567" i="13"/>
  <c r="I563" i="13" a="1"/>
  <c r="I563" i="13" s="1"/>
  <c r="I564" i="13" s="1"/>
  <c r="I565" i="13" a="1"/>
  <c r="I565" i="13" s="1"/>
  <c r="I566" i="13" s="1"/>
  <c r="J604" i="13" a="1"/>
  <c r="J604" i="13" s="1"/>
  <c r="J605" i="13" s="1"/>
  <c r="J602" i="13" a="1"/>
  <c r="J602" i="13" s="1"/>
  <c r="J603" i="13" s="1"/>
  <c r="G599" i="13" a="1"/>
  <c r="G599" i="13" s="1"/>
  <c r="G600" i="13" s="1"/>
  <c r="G597" i="13" a="1"/>
  <c r="G597" i="13" s="1"/>
  <c r="G598" i="13" s="1"/>
  <c r="D594" i="13" a="1"/>
  <c r="D594" i="13" s="1"/>
  <c r="E544" i="13"/>
  <c r="K544" i="13"/>
  <c r="I544" i="13"/>
  <c r="O544" i="13"/>
  <c r="F544" i="13"/>
  <c r="L512" i="13"/>
  <c r="D544" i="13"/>
  <c r="L546" i="13"/>
  <c r="J544" i="13"/>
  <c r="H544" i="13"/>
  <c r="O512" i="13"/>
  <c r="J577" i="13"/>
  <c r="G544" i="13"/>
  <c r="I256" i="10"/>
  <c r="M256" i="10"/>
  <c r="IN21" i="9"/>
  <c r="IO21" i="9" s="1"/>
  <c r="IJ21" i="9"/>
  <c r="IK21" i="9" s="1"/>
  <c r="V24" i="9"/>
  <c r="EJ22" i="9" a="1"/>
  <c r="EJ22" i="9" s="1"/>
  <c r="ER22" i="9" s="1"/>
  <c r="L35" i="24" s="1" a="1"/>
  <c r="L35" i="24" s="1"/>
  <c r="CE23" i="9" a="1"/>
  <c r="CE23" i="9" s="1"/>
  <c r="CM23" i="9" s="1"/>
  <c r="I36" i="24" s="1" a="1"/>
  <c r="I36" i="24" s="1"/>
  <c r="EJ23" i="9" a="1"/>
  <c r="EJ23" i="9" s="1"/>
  <c r="ER23" i="9" s="1"/>
  <c r="L36" i="24" s="1" a="1"/>
  <c r="L36" i="24" s="1"/>
  <c r="FV23" i="9" a="1"/>
  <c r="FV23" i="9" s="1"/>
  <c r="GD23" i="9" s="1"/>
  <c r="N36" i="24" s="1" a="1"/>
  <c r="N36" i="24" s="1"/>
  <c r="W23" i="9" a="1"/>
  <c r="W23" i="9" s="1"/>
  <c r="Y23" i="9" s="1"/>
  <c r="AG23" i="9" s="1"/>
  <c r="CW22" i="9"/>
  <c r="DE22" i="9" s="1"/>
  <c r="DP23" i="9"/>
  <c r="DX23" i="9" s="1"/>
  <c r="FB24" i="9"/>
  <c r="FJ24" i="9" s="1"/>
  <c r="V25" i="9"/>
  <c r="FB23" i="9"/>
  <c r="FJ23" i="9" s="1"/>
  <c r="P242" i="10"/>
  <c r="H270" i="10"/>
  <c r="L264" i="10"/>
  <c r="FM29" i="9" s="1" a="1"/>
  <c r="FM29" i="9" s="1"/>
  <c r="H264" i="10"/>
  <c r="CO29" i="9" s="1" a="1"/>
  <c r="CO29" i="9" s="1"/>
  <c r="I270" i="10"/>
  <c r="F270" i="10"/>
  <c r="E270" i="10"/>
  <c r="G270" i="10"/>
  <c r="O270" i="10"/>
  <c r="P279" i="10"/>
  <c r="J276" i="10"/>
  <c r="N276" i="10"/>
  <c r="N264" i="10"/>
  <c r="GY29" i="9" s="1" a="1"/>
  <c r="GY29" i="9" s="1"/>
  <c r="K264" i="10"/>
  <c r="ET29" i="9" s="1" a="1"/>
  <c r="ET29" i="9" s="1"/>
  <c r="M279" i="10"/>
  <c r="M276" i="10"/>
  <c r="I276" i="10"/>
  <c r="E264" i="10"/>
  <c r="AJ29" i="9" s="1" a="1"/>
  <c r="AJ29" i="9" s="1"/>
  <c r="B290" i="10"/>
  <c r="B291" i="10" s="1"/>
  <c r="H286" i="10"/>
  <c r="H293" i="10" s="1"/>
  <c r="J286" i="10"/>
  <c r="J293" i="10" s="1"/>
  <c r="D286" i="10"/>
  <c r="D293" i="10" s="1"/>
  <c r="F286" i="10"/>
  <c r="F293" i="10" s="1"/>
  <c r="L286" i="10"/>
  <c r="L293" i="10" s="1"/>
  <c r="M286" i="10"/>
  <c r="M293" i="10" s="1"/>
  <c r="G286" i="10"/>
  <c r="G293" i="10" s="1"/>
  <c r="E286" i="10"/>
  <c r="E293" i="10" s="1"/>
  <c r="B287" i="10"/>
  <c r="B288" i="10" s="1"/>
  <c r="B289" i="10" s="1"/>
  <c r="K286" i="10"/>
  <c r="K293" i="10" s="1"/>
  <c r="I286" i="10"/>
  <c r="I293" i="10" s="1"/>
  <c r="N286" i="10"/>
  <c r="N293" i="10" s="1"/>
  <c r="O286" i="10"/>
  <c r="O293" i="10" s="1"/>
  <c r="P286" i="10"/>
  <c r="P290" i="10" s="1"/>
  <c r="O276" i="10"/>
  <c r="G276" i="10"/>
  <c r="O299" i="10"/>
  <c r="F299" i="10"/>
  <c r="L299" i="10"/>
  <c r="E299" i="10"/>
  <c r="B300" i="10"/>
  <c r="I299" i="10"/>
  <c r="D299" i="10"/>
  <c r="P299" i="10"/>
  <c r="N299" i="10"/>
  <c r="G299" i="10"/>
  <c r="K299" i="10"/>
  <c r="M299" i="10"/>
  <c r="J299" i="10"/>
  <c r="H299" i="10"/>
  <c r="B313" i="10" a="1"/>
  <c r="B313" i="10" s="1"/>
  <c r="A313" i="10" a="1"/>
  <c r="A313" i="10" s="1"/>
  <c r="G264" i="10"/>
  <c r="BV29" i="9" s="1" a="1"/>
  <c r="BV29" i="9" s="1"/>
  <c r="I264" i="10"/>
  <c r="DH29" i="9" s="1" a="1"/>
  <c r="DH29" i="9" s="1"/>
  <c r="F276" i="10"/>
  <c r="K279" i="10"/>
  <c r="K276" i="10"/>
  <c r="D264" i="10"/>
  <c r="O264" i="10"/>
  <c r="HR29" i="9" s="1" a="1"/>
  <c r="HR29" i="9" s="1"/>
  <c r="J270" i="10"/>
  <c r="F279" i="10"/>
  <c r="D276" i="10"/>
  <c r="H277" i="10"/>
  <c r="M277" i="10"/>
  <c r="D277" i="10"/>
  <c r="D280" i="10" s="1" a="1"/>
  <c r="D280" i="10" s="1"/>
  <c r="I277" i="10"/>
  <c r="I280" i="10" s="1" a="1"/>
  <c r="I280" i="10" s="1"/>
  <c r="B278" i="10"/>
  <c r="B279" i="10" s="1"/>
  <c r="B280" i="10" s="1"/>
  <c r="B281" i="10" s="1"/>
  <c r="B282" i="10" s="1"/>
  <c r="B283" i="10" s="1"/>
  <c r="B284" i="10" s="1"/>
  <c r="F277" i="10"/>
  <c r="O277" i="10"/>
  <c r="O280" i="10" s="1" a="1"/>
  <c r="O280" i="10" s="1"/>
  <c r="P277" i="10"/>
  <c r="P278" i="10" s="1"/>
  <c r="L277" i="10"/>
  <c r="L280" i="10" s="1" a="1"/>
  <c r="L280" i="10" s="1"/>
  <c r="K277" i="10"/>
  <c r="E277" i="10"/>
  <c r="N277" i="10"/>
  <c r="N280" i="10" s="1" a="1"/>
  <c r="N280" i="10" s="1"/>
  <c r="J277" i="10"/>
  <c r="J280" i="10" s="1" a="1"/>
  <c r="J280" i="10" s="1"/>
  <c r="G277" i="10"/>
  <c r="F264" i="10"/>
  <c r="BC29" i="9" s="1" a="1"/>
  <c r="BC29" i="9" s="1"/>
  <c r="H279" i="10"/>
  <c r="H276" i="10"/>
  <c r="L276" i="10"/>
  <c r="M264" i="10"/>
  <c r="GF29" i="9" s="1" a="1"/>
  <c r="GF29" i="9" s="1"/>
  <c r="E256" i="10"/>
  <c r="E279" i="10"/>
  <c r="E276" i="10"/>
  <c r="G279" i="10"/>
  <c r="J264" i="10"/>
  <c r="EA29" i="9" s="1" a="1"/>
  <c r="EA29" i="9" s="1"/>
  <c r="R327" i="10"/>
  <c r="J548" i="13" l="1"/>
  <c r="EG26" i="9" s="1" a="1"/>
  <c r="EG26" i="9" s="1"/>
  <c r="E548" i="13"/>
  <c r="AP26" i="9" s="1" a="1"/>
  <c r="AP26" i="9" s="1"/>
  <c r="L514" i="13"/>
  <c r="FS25" i="9" s="1" a="1"/>
  <c r="FS25" i="9" s="1"/>
  <c r="EE26" i="9"/>
  <c r="H548" i="13"/>
  <c r="CU26" i="9" s="1" a="1"/>
  <c r="CU26" i="9" s="1"/>
  <c r="L548" i="13"/>
  <c r="FS26" i="9" s="1" a="1"/>
  <c r="FS26" i="9" s="1"/>
  <c r="O514" i="13"/>
  <c r="HX25" i="9" s="1" a="1"/>
  <c r="HX25" i="9" s="1"/>
  <c r="I548" i="13"/>
  <c r="DN26" i="9" s="1" a="1"/>
  <c r="DN26" i="9" s="1"/>
  <c r="CS26" i="9"/>
  <c r="G548" i="13"/>
  <c r="CB26" i="9" s="1" a="1"/>
  <c r="CB26" i="9" s="1"/>
  <c r="F548" i="13"/>
  <c r="BI26" i="9" s="1" a="1"/>
  <c r="BI26" i="9" s="1"/>
  <c r="K548" i="13"/>
  <c r="EZ26" i="9" s="1" a="1"/>
  <c r="EZ26" i="9" s="1"/>
  <c r="FB26" i="9" s="1"/>
  <c r="FJ26" i="9" s="1"/>
  <c r="O548" i="13"/>
  <c r="HX26" i="9" s="1" a="1"/>
  <c r="HX26" i="9" s="1"/>
  <c r="BG26" i="9"/>
  <c r="EX26" i="9"/>
  <c r="BZ26" i="9"/>
  <c r="DL26" i="9"/>
  <c r="HV26" i="9"/>
  <c r="D548" i="13"/>
  <c r="FQ26" i="9"/>
  <c r="FQ25" i="9"/>
  <c r="F578" i="13"/>
  <c r="BF27" i="9" a="1"/>
  <c r="BF27" i="9" s="1"/>
  <c r="M580" i="13"/>
  <c r="GI27" i="9" a="1"/>
  <c r="GI27" i="9" s="1"/>
  <c r="G580" i="13"/>
  <c r="BY27" i="9" a="1"/>
  <c r="BY27" i="9" s="1"/>
  <c r="L580" i="13"/>
  <c r="FP27" i="9" a="1"/>
  <c r="FP27" i="9" s="1"/>
  <c r="E580" i="13"/>
  <c r="AM27" i="9" a="1"/>
  <c r="AM27" i="9" s="1"/>
  <c r="K580" i="13"/>
  <c r="EW27" i="9" a="1"/>
  <c r="EW27" i="9" s="1"/>
  <c r="D580" i="13"/>
  <c r="T27" i="9" a="1"/>
  <c r="T27" i="9" s="1"/>
  <c r="E39" i="25" s="1" a="1"/>
  <c r="E39" i="25" s="1"/>
  <c r="J578" i="13"/>
  <c r="ED27" i="9" a="1"/>
  <c r="ED27" i="9" s="1"/>
  <c r="P38" i="25" a="1"/>
  <c r="P38" i="25" s="1"/>
  <c r="HW26" i="9"/>
  <c r="F38" i="25" a="1"/>
  <c r="F38" i="25" s="1"/>
  <c r="AO26" i="9"/>
  <c r="K38" i="25" a="1"/>
  <c r="K38" i="25" s="1"/>
  <c r="EF26" i="9"/>
  <c r="M546" i="13"/>
  <c r="GI26" i="9" a="1"/>
  <c r="GI26" i="9" s="1"/>
  <c r="GJ26" i="9" s="1"/>
  <c r="I38" i="25" a="1"/>
  <c r="I38" i="25" s="1"/>
  <c r="CT26" i="9"/>
  <c r="J38" i="25" a="1"/>
  <c r="J38" i="25" s="1"/>
  <c r="DM26" i="9"/>
  <c r="M38" i="25" a="1"/>
  <c r="M38" i="25" s="1"/>
  <c r="FR26" i="9"/>
  <c r="N546" i="13"/>
  <c r="HB26" i="9" a="1"/>
  <c r="HB26" i="9" s="1"/>
  <c r="HC26" i="9" s="1"/>
  <c r="G38" i="25" a="1"/>
  <c r="G38" i="25" s="1"/>
  <c r="BH26" i="9"/>
  <c r="L38" i="25" a="1"/>
  <c r="L38" i="25" s="1"/>
  <c r="EY26" i="9"/>
  <c r="H38" i="25" a="1"/>
  <c r="H38" i="25" s="1"/>
  <c r="CA26" i="9"/>
  <c r="P37" i="25" a="1"/>
  <c r="P37" i="25" s="1"/>
  <c r="HW25" i="9"/>
  <c r="M37" i="25" a="1"/>
  <c r="M37" i="25" s="1"/>
  <c r="FR25" i="9"/>
  <c r="CX23" i="9" a="1"/>
  <c r="CX23" i="9" s="1"/>
  <c r="DF23" i="9" s="1"/>
  <c r="J36" i="24" s="1" a="1"/>
  <c r="J36" i="24" s="1"/>
  <c r="L596" i="13" a="1"/>
  <c r="L596" i="13" s="1"/>
  <c r="GO23" i="9" a="1"/>
  <c r="GO23" i="9" s="1"/>
  <c r="GW23" i="9" s="1"/>
  <c r="O36" i="24" s="1" a="1"/>
  <c r="O36" i="24" s="1"/>
  <c r="H609" i="13" a="1"/>
  <c r="H609" i="13" s="1"/>
  <c r="H610" i="13" s="1"/>
  <c r="H611" i="13" s="1"/>
  <c r="F609" i="13" a="1"/>
  <c r="F609" i="13" s="1"/>
  <c r="F610" i="13" s="1"/>
  <c r="F611" i="13" s="1"/>
  <c r="J609" i="13" a="1"/>
  <c r="J609" i="13" s="1"/>
  <c r="J610" i="13" s="1"/>
  <c r="J611" i="13" s="1"/>
  <c r="N607" i="13" a="1"/>
  <c r="N607" i="13" s="1"/>
  <c r="N608" i="13" s="1"/>
  <c r="N611" i="13" s="1"/>
  <c r="O573" i="13" a="1"/>
  <c r="O573" i="13" s="1"/>
  <c r="O574" i="13" s="1"/>
  <c r="O577" i="13" s="1"/>
  <c r="FN28" i="9" a="1"/>
  <c r="FN28" i="9" s="1"/>
  <c r="M40" i="27" s="1" a="1"/>
  <c r="M40" i="27" s="1"/>
  <c r="H575" i="13" a="1"/>
  <c r="H575" i="13" s="1"/>
  <c r="H576" i="13" s="1"/>
  <c r="H577" i="13" s="1"/>
  <c r="N573" i="13" a="1"/>
  <c r="N573" i="13" s="1"/>
  <c r="N574" i="13" s="1"/>
  <c r="N577" i="13" s="1"/>
  <c r="HB27" i="9" s="1" a="1"/>
  <c r="HB27" i="9" s="1"/>
  <c r="IL22" i="9"/>
  <c r="IM22" i="9" s="1"/>
  <c r="BL23" i="9" a="1"/>
  <c r="BL23" i="9" s="1"/>
  <c r="BT23" i="9" s="1"/>
  <c r="H36" i="24" s="1" a="1"/>
  <c r="H36" i="24" s="1"/>
  <c r="O609" i="13" a="1"/>
  <c r="O609" i="13" s="1"/>
  <c r="O610" i="13" s="1"/>
  <c r="O611" i="13" s="1"/>
  <c r="K609" i="13" a="1"/>
  <c r="K609" i="13" s="1"/>
  <c r="K610" i="13" s="1"/>
  <c r="II22" i="9"/>
  <c r="Q35" i="24" s="1" a="1"/>
  <c r="Q35" i="24" s="1"/>
  <c r="IH23" i="9"/>
  <c r="IL23" i="9" s="1"/>
  <c r="IM23" i="9" s="1"/>
  <c r="IA23" i="9" a="1"/>
  <c r="IA23" i="9" s="1"/>
  <c r="HH23" i="9" a="1"/>
  <c r="HH23" i="9" s="1"/>
  <c r="HP23" i="9" s="1"/>
  <c r="P36" i="24" s="1" a="1"/>
  <c r="P36" i="24" s="1"/>
  <c r="D607" i="13" a="1"/>
  <c r="D607" i="13" s="1"/>
  <c r="D608" i="13" s="1"/>
  <c r="D611" i="13" s="1"/>
  <c r="FO27" i="9" a="1"/>
  <c r="FO27" i="9" s="1"/>
  <c r="P39" i="27" a="1"/>
  <c r="P39" i="27" s="1"/>
  <c r="P40" i="27" a="1"/>
  <c r="P40" i="27" s="1"/>
  <c r="O630" i="13" a="1"/>
  <c r="O630" i="13" s="1"/>
  <c r="O643" i="13" s="1" a="1"/>
  <c r="O643" i="13" s="1"/>
  <c r="O644" i="13" s="1"/>
  <c r="HS29" i="9" a="1"/>
  <c r="HS29" i="9" s="1"/>
  <c r="HY29" i="9" a="1"/>
  <c r="HY29" i="9" s="1"/>
  <c r="HA27" i="9" a="1"/>
  <c r="HA27" i="9" s="1"/>
  <c r="HT27" i="9" a="1"/>
  <c r="HT27" i="9" s="1"/>
  <c r="HE24" i="9" a="1"/>
  <c r="HE24" i="9" s="1"/>
  <c r="HG24" i="9" s="1"/>
  <c r="J480" i="13"/>
  <c r="EG24" i="9" s="1" a="1"/>
  <c r="EG24" i="9" s="1"/>
  <c r="EI24" i="9" s="1"/>
  <c r="EQ24" i="9" s="1"/>
  <c r="EF24" i="9"/>
  <c r="K36" i="25" a="1"/>
  <c r="K36" i="25" s="1"/>
  <c r="EE24" i="9"/>
  <c r="HP22" i="9"/>
  <c r="P35" i="24" s="1" a="1"/>
  <c r="P35" i="24" s="1"/>
  <c r="O39" i="27" a="1"/>
  <c r="O39" i="27" s="1"/>
  <c r="M596" i="13" a="1"/>
  <c r="M596" i="13" s="1"/>
  <c r="M609" i="13" s="1" a="1"/>
  <c r="M609" i="13" s="1"/>
  <c r="M610" i="13" s="1"/>
  <c r="GG28" i="9" a="1"/>
  <c r="GG28" i="9" s="1"/>
  <c r="GM28" i="9" a="1"/>
  <c r="GM28" i="9" s="1"/>
  <c r="GH27" i="9" a="1"/>
  <c r="GH27" i="9" s="1"/>
  <c r="L599" i="13" a="1"/>
  <c r="L599" i="13" s="1"/>
  <c r="L600" i="13" s="1"/>
  <c r="L601" i="13" s="1"/>
  <c r="EV27" i="9" a="1"/>
  <c r="EV27" i="9" s="1"/>
  <c r="GD22" i="9"/>
  <c r="N35" i="24" s="1" a="1"/>
  <c r="N35" i="24" s="1"/>
  <c r="EC27" i="9" a="1"/>
  <c r="EC27" i="9" s="1"/>
  <c r="I573" i="13" a="1"/>
  <c r="I573" i="13" s="1"/>
  <c r="I574" i="13" s="1"/>
  <c r="I577" i="13" s="1"/>
  <c r="AL27" i="9" a="1"/>
  <c r="AL27" i="9" s="1"/>
  <c r="G480" i="13"/>
  <c r="CB24" i="9" s="1" a="1"/>
  <c r="CB24" i="9" s="1"/>
  <c r="CD24" i="9" s="1"/>
  <c r="CL24" i="9" s="1"/>
  <c r="J630" i="13" a="1"/>
  <c r="J630" i="13" s="1"/>
  <c r="J641" i="13" s="1" a="1"/>
  <c r="J641" i="13" s="1"/>
  <c r="J642" i="13" s="1"/>
  <c r="EH29" i="9" a="1"/>
  <c r="EH29" i="9" s="1"/>
  <c r="EB29" i="9" a="1"/>
  <c r="EB29" i="9" s="1"/>
  <c r="G609" i="13" a="1"/>
  <c r="G609" i="13" s="1"/>
  <c r="G610" i="13" s="1"/>
  <c r="G611" i="13" s="1"/>
  <c r="CA24" i="9"/>
  <c r="BZ24" i="9"/>
  <c r="H36" i="25" a="1"/>
  <c r="H36" i="25" s="1"/>
  <c r="I630" i="13" a="1"/>
  <c r="I630" i="13" s="1"/>
  <c r="I643" i="13" s="1" a="1"/>
  <c r="I643" i="13" s="1"/>
  <c r="I644" i="13" s="1"/>
  <c r="DI29" i="9" a="1"/>
  <c r="DI29" i="9" s="1"/>
  <c r="DO29" i="9" a="1"/>
  <c r="DO29" i="9" s="1"/>
  <c r="BA22" i="9"/>
  <c r="G35" i="24" s="1" a="1"/>
  <c r="G35" i="24" s="1"/>
  <c r="I596" i="13" a="1"/>
  <c r="I596" i="13" s="1"/>
  <c r="I607" i="13" s="1" a="1"/>
  <c r="I607" i="13" s="1"/>
  <c r="I608" i="13" s="1"/>
  <c r="DO28" i="9" a="1"/>
  <c r="DO28" i="9" s="1"/>
  <c r="DI28" i="9" a="1"/>
  <c r="DI28" i="9" s="1"/>
  <c r="J39" i="27" a="1"/>
  <c r="J39" i="27" s="1"/>
  <c r="H630" i="13" a="1"/>
  <c r="H630" i="13" s="1"/>
  <c r="H643" i="13" s="1" a="1"/>
  <c r="H643" i="13" s="1"/>
  <c r="H644" i="13" s="1"/>
  <c r="CP29" i="9" a="1"/>
  <c r="CP29" i="9" s="1"/>
  <c r="CV29" i="9" a="1"/>
  <c r="CV29" i="9" s="1"/>
  <c r="AL26" i="9" a="1"/>
  <c r="AL26" i="9" s="1"/>
  <c r="AN26" i="9" s="1"/>
  <c r="F580" i="13"/>
  <c r="I39" i="27" a="1"/>
  <c r="I39" i="27" s="1"/>
  <c r="BE27" i="9" a="1"/>
  <c r="BE27" i="9" s="1"/>
  <c r="BX27" i="9" a="1"/>
  <c r="BX27" i="9" s="1"/>
  <c r="G630" i="13" a="1"/>
  <c r="G630" i="13" s="1"/>
  <c r="G641" i="13" s="1" a="1"/>
  <c r="G641" i="13" s="1"/>
  <c r="G642" i="13" s="1"/>
  <c r="BW29" i="9" a="1"/>
  <c r="BW29" i="9" s="1"/>
  <c r="CC29" i="9" a="1"/>
  <c r="CC29" i="9" s="1"/>
  <c r="F630" i="13" a="1"/>
  <c r="F630" i="13" s="1"/>
  <c r="F643" i="13" s="1" a="1"/>
  <c r="F643" i="13" s="1"/>
  <c r="F644" i="13" s="1"/>
  <c r="BD29" i="9" a="1"/>
  <c r="BD29" i="9" s="1"/>
  <c r="BJ29" i="9" a="1"/>
  <c r="BJ29" i="9" s="1"/>
  <c r="AP24" i="9" a="1"/>
  <c r="AP24" i="9" s="1"/>
  <c r="AR24" i="9" s="1"/>
  <c r="E630" i="13" a="1"/>
  <c r="E630" i="13" s="1"/>
  <c r="E641" i="13" s="1" a="1"/>
  <c r="E641" i="13" s="1"/>
  <c r="E642" i="13" s="1"/>
  <c r="AK29" i="9" a="1"/>
  <c r="AK29" i="9" s="1"/>
  <c r="AQ29" i="9" a="1"/>
  <c r="AQ29" i="9" s="1"/>
  <c r="E596" i="13" a="1"/>
  <c r="E596" i="13" s="1"/>
  <c r="E609" i="13" s="1" a="1"/>
  <c r="E609" i="13" s="1"/>
  <c r="E610" i="13" s="1"/>
  <c r="AK28" i="9" a="1"/>
  <c r="AK28" i="9" s="1"/>
  <c r="AQ28" i="9" a="1"/>
  <c r="AQ28" i="9" s="1"/>
  <c r="Q29" i="9" a="1"/>
  <c r="Q29" i="9" s="1"/>
  <c r="D480" i="13"/>
  <c r="W24" i="9" s="1" a="1"/>
  <c r="W24" i="9" s="1"/>
  <c r="Y24" i="9" s="1"/>
  <c r="AG24" i="9" s="1"/>
  <c r="E602" i="13" a="1"/>
  <c r="E602" i="13" s="1"/>
  <c r="E603" i="13" s="1"/>
  <c r="E606" i="13" s="1"/>
  <c r="P255" i="10"/>
  <c r="S26" i="9" a="1"/>
  <c r="S26" i="9" s="1"/>
  <c r="K267" i="10"/>
  <c r="K628" i="13" s="1" a="1"/>
  <c r="K628" i="13" s="1"/>
  <c r="K631" i="13" s="1" a="1"/>
  <c r="K631" i="13" s="1"/>
  <c r="K632" i="13" s="1"/>
  <c r="K270" i="10"/>
  <c r="K269" i="10"/>
  <c r="I601" i="13"/>
  <c r="F606" i="13"/>
  <c r="I606" i="13"/>
  <c r="D572" i="13"/>
  <c r="L606" i="13"/>
  <c r="I567" i="13"/>
  <c r="H567" i="13"/>
  <c r="M606" i="13"/>
  <c r="G280" i="10" a="1"/>
  <c r="G280" i="10" s="1"/>
  <c r="G281" i="10" s="1"/>
  <c r="G662" i="13" s="1" a="1"/>
  <c r="G662" i="13" s="1"/>
  <c r="F280" i="10" a="1"/>
  <c r="F280" i="10" s="1"/>
  <c r="F283" i="10" s="1"/>
  <c r="J606" i="13"/>
  <c r="K601" i="13"/>
  <c r="G606" i="13"/>
  <c r="P254" i="10"/>
  <c r="O283" i="10"/>
  <c r="O281" i="10"/>
  <c r="O662" i="13" s="1" a="1"/>
  <c r="O662" i="13" s="1"/>
  <c r="O282" i="10"/>
  <c r="O663" i="13" s="1" a="1"/>
  <c r="O663" i="13" s="1"/>
  <c r="J281" i="10"/>
  <c r="J662" i="13" s="1" a="1"/>
  <c r="J662" i="13" s="1"/>
  <c r="J282" i="10"/>
  <c r="J663" i="13" s="1" a="1"/>
  <c r="J663" i="13" s="1"/>
  <c r="J283" i="10"/>
  <c r="I281" i="10"/>
  <c r="I662" i="13" s="1" a="1"/>
  <c r="I662" i="13" s="1"/>
  <c r="I282" i="10"/>
  <c r="I663" i="13" s="1" a="1"/>
  <c r="I663" i="13" s="1"/>
  <c r="I283" i="10"/>
  <c r="D283" i="10"/>
  <c r="D282" i="10"/>
  <c r="D281" i="10"/>
  <c r="N283" i="10"/>
  <c r="N282" i="10"/>
  <c r="N663" i="13" s="1" a="1"/>
  <c r="N663" i="13" s="1"/>
  <c r="N281" i="10"/>
  <c r="N662" i="13" s="1" a="1"/>
  <c r="N662" i="13" s="1"/>
  <c r="L283" i="10"/>
  <c r="L282" i="10"/>
  <c r="L663" i="13" s="1" a="1"/>
  <c r="L663" i="13" s="1"/>
  <c r="L281" i="10"/>
  <c r="L662" i="13" s="1" a="1"/>
  <c r="L662" i="13" s="1"/>
  <c r="E280" i="10" a="1"/>
  <c r="E280" i="10" s="1"/>
  <c r="P280" i="10" a="1"/>
  <c r="P280" i="10" s="1"/>
  <c r="N269" i="10"/>
  <c r="N267" i="10"/>
  <c r="N628" i="13" s="1" a="1"/>
  <c r="N628" i="13" s="1"/>
  <c r="N268" i="10"/>
  <c r="N629" i="13" s="1" a="1"/>
  <c r="N629" i="13" s="1"/>
  <c r="E601" i="13"/>
  <c r="J601" i="13"/>
  <c r="H636" i="13" a="1"/>
  <c r="H636" i="13" s="1"/>
  <c r="H637" i="13" s="1"/>
  <c r="H638" i="13" a="1"/>
  <c r="H638" i="13" s="1"/>
  <c r="H639" i="13" s="1"/>
  <c r="D628" i="13" a="1"/>
  <c r="D628" i="13" s="1"/>
  <c r="H601" i="13"/>
  <c r="M601" i="13"/>
  <c r="N601" i="13"/>
  <c r="N606" i="13"/>
  <c r="H633" i="13" a="1"/>
  <c r="H633" i="13" s="1"/>
  <c r="H634" i="13" s="1"/>
  <c r="H631" i="13" a="1"/>
  <c r="H631" i="13" s="1"/>
  <c r="H632" i="13" s="1"/>
  <c r="I638" i="13" a="1"/>
  <c r="I638" i="13" s="1"/>
  <c r="I639" i="13" s="1"/>
  <c r="I636" i="13" a="1"/>
  <c r="I636" i="13" s="1"/>
  <c r="I637" i="13" s="1"/>
  <c r="D629" i="13" a="1"/>
  <c r="D629" i="13" s="1"/>
  <c r="M268" i="10"/>
  <c r="M629" i="13" s="1" a="1"/>
  <c r="M629" i="13" s="1"/>
  <c r="M269" i="10"/>
  <c r="M267" i="10"/>
  <c r="M628" i="13" s="1" a="1"/>
  <c r="M628" i="13" s="1"/>
  <c r="I633" i="13" a="1"/>
  <c r="I633" i="13" s="1"/>
  <c r="I634" i="13" s="1"/>
  <c r="I631" i="13" a="1"/>
  <c r="I631" i="13" s="1"/>
  <c r="I632" i="13" s="1"/>
  <c r="K280" i="10" a="1"/>
  <c r="K280" i="10" s="1"/>
  <c r="M280" i="10" a="1"/>
  <c r="M280" i="10" s="1"/>
  <c r="K638" i="13" a="1"/>
  <c r="K638" i="13" s="1"/>
  <c r="K639" i="13" s="1"/>
  <c r="K636" i="13" a="1"/>
  <c r="K636" i="13" s="1"/>
  <c r="K637" i="13" s="1"/>
  <c r="I572" i="13"/>
  <c r="H606" i="13"/>
  <c r="D567" i="13"/>
  <c r="E636" i="13" a="1"/>
  <c r="E636" i="13" s="1"/>
  <c r="E637" i="13" s="1"/>
  <c r="E638" i="13" a="1"/>
  <c r="E638" i="13" s="1"/>
  <c r="E639" i="13" s="1"/>
  <c r="L631" i="13" a="1"/>
  <c r="L631" i="13" s="1"/>
  <c r="L632" i="13" s="1"/>
  <c r="L633" i="13" a="1"/>
  <c r="L633" i="13" s="1"/>
  <c r="L634" i="13" s="1"/>
  <c r="P253" i="10"/>
  <c r="E631" i="13" a="1"/>
  <c r="E631" i="13" s="1"/>
  <c r="E632" i="13" s="1"/>
  <c r="E633" i="13" a="1"/>
  <c r="E633" i="13" s="1"/>
  <c r="E634" i="13" s="1"/>
  <c r="G636" i="13" a="1"/>
  <c r="G636" i="13" s="1"/>
  <c r="G637" i="13" s="1"/>
  <c r="G638" i="13" a="1"/>
  <c r="G638" i="13" s="1"/>
  <c r="G639" i="13" s="1"/>
  <c r="L636" i="13" a="1"/>
  <c r="L636" i="13" s="1"/>
  <c r="L637" i="13" s="1"/>
  <c r="L638" i="13" a="1"/>
  <c r="L638" i="13" s="1"/>
  <c r="L639" i="13" s="1"/>
  <c r="H280" i="10" a="1"/>
  <c r="H280" i="10" s="1"/>
  <c r="D599" i="13" a="1"/>
  <c r="D599" i="13" s="1"/>
  <c r="D600" i="13" s="1"/>
  <c r="D597" i="13" a="1"/>
  <c r="D597" i="13" s="1"/>
  <c r="D598" i="13" s="1"/>
  <c r="O604" i="13" a="1"/>
  <c r="O604" i="13" s="1"/>
  <c r="O605" i="13" s="1"/>
  <c r="O602" i="13" a="1"/>
  <c r="O602" i="13" s="1"/>
  <c r="O603" i="13" s="1"/>
  <c r="D604" i="13" a="1"/>
  <c r="D604" i="13" s="1"/>
  <c r="D605" i="13" s="1"/>
  <c r="D602" i="13" a="1"/>
  <c r="D602" i="13" s="1"/>
  <c r="D603" i="13" s="1"/>
  <c r="K606" i="13"/>
  <c r="H572" i="13"/>
  <c r="G631" i="13" a="1"/>
  <c r="G631" i="13" s="1"/>
  <c r="G632" i="13" s="1"/>
  <c r="G633" i="13" a="1"/>
  <c r="G633" i="13" s="1"/>
  <c r="G634" i="13" s="1"/>
  <c r="O636" i="13" a="1"/>
  <c r="O636" i="13" s="1"/>
  <c r="O637" i="13" s="1"/>
  <c r="O638" i="13" a="1"/>
  <c r="O638" i="13" s="1"/>
  <c r="O639" i="13" s="1"/>
  <c r="O597" i="13" a="1"/>
  <c r="O597" i="13" s="1"/>
  <c r="O598" i="13" s="1"/>
  <c r="O599" i="13" a="1"/>
  <c r="O599" i="13" s="1"/>
  <c r="O600" i="13" s="1"/>
  <c r="J633" i="13" a="1"/>
  <c r="J633" i="13" s="1"/>
  <c r="J634" i="13" s="1"/>
  <c r="J631" i="13" a="1"/>
  <c r="J631" i="13" s="1"/>
  <c r="J632" i="13" s="1"/>
  <c r="F636" i="13" a="1"/>
  <c r="F636" i="13" s="1"/>
  <c r="F637" i="13" s="1"/>
  <c r="F638" i="13" a="1"/>
  <c r="F638" i="13" s="1"/>
  <c r="F639" i="13" s="1"/>
  <c r="O633" i="13" a="1"/>
  <c r="O633" i="13" s="1"/>
  <c r="O634" i="13" s="1"/>
  <c r="O631" i="13" a="1"/>
  <c r="O631" i="13" s="1"/>
  <c r="O632" i="13" s="1"/>
  <c r="G601" i="13"/>
  <c r="F601" i="13"/>
  <c r="J636" i="13" a="1"/>
  <c r="J636" i="13" s="1"/>
  <c r="J637" i="13" s="1"/>
  <c r="J638" i="13" a="1"/>
  <c r="J638" i="13" s="1"/>
  <c r="J639" i="13" s="1"/>
  <c r="F633" i="13" a="1"/>
  <c r="F633" i="13" s="1"/>
  <c r="F634" i="13" s="1"/>
  <c r="F631" i="13" a="1"/>
  <c r="F631" i="13" s="1"/>
  <c r="F632" i="13" s="1"/>
  <c r="J580" i="13"/>
  <c r="E578" i="13"/>
  <c r="G578" i="13"/>
  <c r="M544" i="13"/>
  <c r="N544" i="13"/>
  <c r="K578" i="13"/>
  <c r="M578" i="13"/>
  <c r="K611" i="13"/>
  <c r="L578" i="13"/>
  <c r="D578" i="13"/>
  <c r="L270" i="10"/>
  <c r="D270" i="10"/>
  <c r="X29" i="9" s="1" a="1"/>
  <c r="X29" i="9" s="1"/>
  <c r="DX24" i="9"/>
  <c r="DY24" i="9" s="1"/>
  <c r="K37" i="24" s="1" a="1"/>
  <c r="K37" i="24" s="1"/>
  <c r="BL24" i="9" a="1"/>
  <c r="BL24" i="9" s="1"/>
  <c r="BT24" i="9" s="1"/>
  <c r="H37" i="24" s="1" a="1"/>
  <c r="H37" i="24" s="1"/>
  <c r="CX24" i="9" a="1"/>
  <c r="CX24" i="9" s="1"/>
  <c r="DF24" i="9" s="1"/>
  <c r="J37" i="24" s="1" a="1"/>
  <c r="J37" i="24" s="1"/>
  <c r="FV24" i="9" a="1"/>
  <c r="FV24" i="9" s="1"/>
  <c r="GD24" i="9" s="1"/>
  <c r="N37" i="24" s="1" a="1"/>
  <c r="N37" i="24" s="1"/>
  <c r="HZ25" i="9"/>
  <c r="IH25" i="9" s="1"/>
  <c r="DQ23" i="9" a="1"/>
  <c r="DQ23" i="9" s="1"/>
  <c r="DY23" i="9" s="1"/>
  <c r="K36" i="24" s="1" a="1"/>
  <c r="K36" i="24" s="1"/>
  <c r="CX22" i="9" a="1"/>
  <c r="CX22" i="9" s="1"/>
  <c r="DF22" i="9" s="1"/>
  <c r="J35" i="24" s="1" a="1"/>
  <c r="J35" i="24" s="1"/>
  <c r="AS23" i="9" a="1"/>
  <c r="AS23" i="9" s="1"/>
  <c r="BA23" i="9" s="1"/>
  <c r="G36" i="24" s="1" a="1"/>
  <c r="G36" i="24" s="1"/>
  <c r="U25" i="9"/>
  <c r="Z23" i="9" a="1"/>
  <c r="Z23" i="9" s="1"/>
  <c r="AH23" i="9" s="1"/>
  <c r="F36" i="24" s="1" a="1"/>
  <c r="F36" i="24" s="1"/>
  <c r="GO24" i="9" a="1"/>
  <c r="GO24" i="9" s="1"/>
  <c r="GW24" i="9" s="1"/>
  <c r="O37" i="24" s="1" a="1"/>
  <c r="O37" i="24" s="1"/>
  <c r="FC24" i="9" a="1"/>
  <c r="FC24" i="9" s="1"/>
  <c r="FK24" i="9" s="1"/>
  <c r="M37" i="24" s="1" a="1"/>
  <c r="M37" i="24" s="1"/>
  <c r="V26" i="9"/>
  <c r="DP25" i="9"/>
  <c r="DX25" i="9" s="1"/>
  <c r="HG25" i="9"/>
  <c r="HO25" i="9" s="1"/>
  <c r="HZ24" i="9"/>
  <c r="IH24" i="9" s="1"/>
  <c r="EI25" i="9"/>
  <c r="EQ25" i="9" s="1"/>
  <c r="CD25" i="9"/>
  <c r="CL25" i="9" s="1"/>
  <c r="FB25" i="9"/>
  <c r="FJ25" i="9" s="1"/>
  <c r="CW25" i="9"/>
  <c r="CX25" i="9" s="1" a="1"/>
  <c r="CX25" i="9" s="1"/>
  <c r="AR25" i="9"/>
  <c r="AZ25" i="9" s="1"/>
  <c r="BK25" i="9"/>
  <c r="BS25" i="9" s="1"/>
  <c r="FC23" i="9" a="1"/>
  <c r="FC23" i="9" s="1"/>
  <c r="FK23" i="9" s="1"/>
  <c r="M36" i="24" s="1" a="1"/>
  <c r="M36" i="24" s="1"/>
  <c r="H278" i="10"/>
  <c r="CO30" i="9" s="1" a="1"/>
  <c r="CO30" i="9" s="1"/>
  <c r="L278" i="10"/>
  <c r="FM30" i="9" s="1" a="1"/>
  <c r="FM30" i="9" s="1"/>
  <c r="M270" i="10"/>
  <c r="D284" i="10"/>
  <c r="X30" i="9" s="1" a="1"/>
  <c r="X30" i="9" s="1"/>
  <c r="L284" i="10"/>
  <c r="E278" i="10"/>
  <c r="AJ30" i="9" s="1" a="1"/>
  <c r="AJ30" i="9" s="1"/>
  <c r="I278" i="10"/>
  <c r="DH30" i="9" s="1" a="1"/>
  <c r="DH30" i="9" s="1"/>
  <c r="D278" i="10"/>
  <c r="Q30" i="9" s="1" a="1"/>
  <c r="Q30" i="9" s="1"/>
  <c r="O284" i="10"/>
  <c r="J284" i="10"/>
  <c r="G290" i="10"/>
  <c r="M278" i="10"/>
  <c r="GF30" i="9" s="1" a="1"/>
  <c r="GF30" i="9" s="1"/>
  <c r="N278" i="10"/>
  <c r="GY30" i="9" s="1" a="1"/>
  <c r="GY30" i="9" s="1"/>
  <c r="K300" i="10"/>
  <c r="B301" i="10"/>
  <c r="B302" i="10" s="1"/>
  <c r="B303" i="10" s="1"/>
  <c r="B304" i="10"/>
  <c r="B305" i="10" s="1"/>
  <c r="M300" i="10"/>
  <c r="I300" i="10"/>
  <c r="P300" i="10"/>
  <c r="P304" i="10" s="1"/>
  <c r="E300" i="10"/>
  <c r="H300" i="10"/>
  <c r="D300" i="10"/>
  <c r="G300" i="10"/>
  <c r="L300" i="10"/>
  <c r="F300" i="10"/>
  <c r="O300" i="10"/>
  <c r="N300" i="10"/>
  <c r="J300" i="10"/>
  <c r="G278" i="10"/>
  <c r="BV30" i="9" s="1" a="1"/>
  <c r="BV30" i="9" s="1"/>
  <c r="M290" i="10"/>
  <c r="I284" i="10"/>
  <c r="K278" i="10"/>
  <c r="ET30" i="9" s="1" a="1"/>
  <c r="ET30" i="9" s="1"/>
  <c r="O290" i="10"/>
  <c r="L290" i="10"/>
  <c r="J278" i="10"/>
  <c r="EA30" i="9" s="1" a="1"/>
  <c r="EA30" i="9" s="1"/>
  <c r="P256" i="10"/>
  <c r="O278" i="10"/>
  <c r="HR30" i="9" s="1" a="1"/>
  <c r="HR30" i="9" s="1"/>
  <c r="N290" i="10"/>
  <c r="F290" i="10"/>
  <c r="I290" i="10"/>
  <c r="D290" i="10"/>
  <c r="B327" i="10" a="1"/>
  <c r="B327" i="10" s="1"/>
  <c r="A327" i="10" a="1"/>
  <c r="A327" i="10" s="1"/>
  <c r="F278" i="10"/>
  <c r="BC30" i="9" s="1" a="1"/>
  <c r="BC30" i="9" s="1"/>
  <c r="N270" i="10"/>
  <c r="K290" i="10"/>
  <c r="J290" i="10"/>
  <c r="P293" i="10"/>
  <c r="B314" i="10"/>
  <c r="G313" i="10"/>
  <c r="H313" i="10"/>
  <c r="N313" i="10"/>
  <c r="E313" i="10"/>
  <c r="F313" i="10"/>
  <c r="P313" i="10"/>
  <c r="L313" i="10"/>
  <c r="M313" i="10"/>
  <c r="J313" i="10"/>
  <c r="O313" i="10"/>
  <c r="D313" i="10"/>
  <c r="K313" i="10"/>
  <c r="I313" i="10"/>
  <c r="H290" i="10"/>
  <c r="E290" i="10"/>
  <c r="P291" i="10"/>
  <c r="P292" i="10" s="1"/>
  <c r="N291" i="10"/>
  <c r="N294" i="10" s="1" a="1"/>
  <c r="N294" i="10" s="1"/>
  <c r="K291" i="10"/>
  <c r="K294" i="10" s="1" a="1"/>
  <c r="K294" i="10" s="1"/>
  <c r="M291" i="10"/>
  <c r="M294" i="10" s="1" a="1"/>
  <c r="M294" i="10" s="1"/>
  <c r="D291" i="10"/>
  <c r="D294" i="10" s="1" a="1"/>
  <c r="D294" i="10" s="1"/>
  <c r="B292" i="10"/>
  <c r="B293" i="10" s="1"/>
  <c r="B294" i="10" s="1"/>
  <c r="B295" i="10" s="1"/>
  <c r="B296" i="10" s="1"/>
  <c r="B297" i="10" s="1"/>
  <c r="B298" i="10" s="1"/>
  <c r="O291" i="10"/>
  <c r="O294" i="10" s="1" a="1"/>
  <c r="O294" i="10" s="1"/>
  <c r="L291" i="10"/>
  <c r="L294" i="10" s="1" a="1"/>
  <c r="L294" i="10" s="1"/>
  <c r="J291" i="10"/>
  <c r="J294" i="10" s="1" a="1"/>
  <c r="J294" i="10" s="1"/>
  <c r="F291" i="10"/>
  <c r="F294" i="10" s="1" a="1"/>
  <c r="F294" i="10" s="1"/>
  <c r="E291" i="10"/>
  <c r="E294" i="10" s="1" a="1"/>
  <c r="E294" i="10" s="1"/>
  <c r="I291" i="10"/>
  <c r="I294" i="10" s="1" a="1"/>
  <c r="I294" i="10" s="1"/>
  <c r="H291" i="10"/>
  <c r="H294" i="10" s="1" a="1"/>
  <c r="H294" i="10" s="1"/>
  <c r="G291" i="10"/>
  <c r="G294" i="10" s="1" a="1"/>
  <c r="G294" i="10" s="1"/>
  <c r="R341" i="10"/>
  <c r="E582" i="13" l="1"/>
  <c r="AP27" i="9" s="1" a="1"/>
  <c r="AP27" i="9" s="1"/>
  <c r="D582" i="13"/>
  <c r="G582" i="13"/>
  <c r="CB27" i="9" s="1" a="1"/>
  <c r="CB27" i="9" s="1"/>
  <c r="HC27" i="9"/>
  <c r="K612" i="13"/>
  <c r="EW28" i="9" a="1"/>
  <c r="EW28" i="9" s="1"/>
  <c r="N612" i="13"/>
  <c r="HB28" i="9" a="1"/>
  <c r="HB28" i="9" s="1"/>
  <c r="O612" i="13"/>
  <c r="HU28" i="9" a="1"/>
  <c r="HU28" i="9" s="1"/>
  <c r="J614" i="13"/>
  <c r="ED28" i="9" a="1"/>
  <c r="ED28" i="9" s="1"/>
  <c r="F614" i="13"/>
  <c r="BF28" i="9" a="1"/>
  <c r="BF28" i="9" s="1"/>
  <c r="D614" i="13"/>
  <c r="T28" i="9" a="1"/>
  <c r="T28" i="9" s="1"/>
  <c r="E40" i="25" s="1" a="1"/>
  <c r="E40" i="25" s="1"/>
  <c r="H612" i="13"/>
  <c r="CR28" i="9" a="1"/>
  <c r="CR28" i="9" s="1"/>
  <c r="G614" i="13"/>
  <c r="BY28" i="9" a="1"/>
  <c r="BY28" i="9" s="1"/>
  <c r="M582" i="13"/>
  <c r="GL27" i="9" s="1" a="1"/>
  <c r="GL27" i="9" s="1"/>
  <c r="K582" i="13"/>
  <c r="EZ27" i="9" s="1" a="1"/>
  <c r="EZ27" i="9" s="1"/>
  <c r="N548" i="13"/>
  <c r="HE26" i="9" s="1" a="1"/>
  <c r="HE26" i="9" s="1"/>
  <c r="M548" i="13"/>
  <c r="GL26" i="9" s="1" a="1"/>
  <c r="GL26" i="9" s="1"/>
  <c r="GN26" i="9" s="1"/>
  <c r="GV26" i="9" s="1"/>
  <c r="L582" i="13"/>
  <c r="FS27" i="9" s="1" a="1"/>
  <c r="FS27" i="9" s="1"/>
  <c r="FU27" i="9" s="1"/>
  <c r="GC27" i="9" s="1"/>
  <c r="J582" i="13"/>
  <c r="EG27" i="9" s="1" a="1"/>
  <c r="EG27" i="9" s="1"/>
  <c r="FQ27" i="9"/>
  <c r="EE27" i="9"/>
  <c r="AN27" i="9"/>
  <c r="BG27" i="9"/>
  <c r="EX27" i="9"/>
  <c r="GJ27" i="9"/>
  <c r="K39" i="25" a="1"/>
  <c r="K39" i="25" s="1"/>
  <c r="EF27" i="9"/>
  <c r="M39" i="25" a="1"/>
  <c r="M39" i="25" s="1"/>
  <c r="FR27" i="9"/>
  <c r="BZ27" i="9"/>
  <c r="I578" i="13"/>
  <c r="DK27" i="9" a="1"/>
  <c r="DK27" i="9" s="1"/>
  <c r="H39" i="25" a="1"/>
  <c r="H39" i="25" s="1"/>
  <c r="CA27" i="9"/>
  <c r="O39" i="25" a="1"/>
  <c r="O39" i="25" s="1"/>
  <c r="HD27" i="9"/>
  <c r="F582" i="13"/>
  <c r="BI27" i="9" s="1" a="1"/>
  <c r="BI27" i="9" s="1"/>
  <c r="H580" i="13"/>
  <c r="CR27" i="9" a="1"/>
  <c r="CR27" i="9" s="1"/>
  <c r="L39" i="25" a="1"/>
  <c r="L39" i="25" s="1"/>
  <c r="EY27" i="9"/>
  <c r="N39" i="25" a="1"/>
  <c r="N39" i="25" s="1"/>
  <c r="GK27" i="9"/>
  <c r="O580" i="13"/>
  <c r="HU27" i="9" a="1"/>
  <c r="HU27" i="9" s="1"/>
  <c r="HV27" i="9" s="1"/>
  <c r="F39" i="25" a="1"/>
  <c r="F39" i="25" s="1"/>
  <c r="AO27" i="9"/>
  <c r="G39" i="25" a="1"/>
  <c r="G39" i="25" s="1"/>
  <c r="BH27" i="9"/>
  <c r="Q37" i="25"/>
  <c r="O38" i="25" a="1"/>
  <c r="O38" i="25" s="1"/>
  <c r="HD26" i="9"/>
  <c r="N38" i="25" a="1"/>
  <c r="N38" i="25" s="1"/>
  <c r="GK26" i="9"/>
  <c r="L609" i="13" a="1"/>
  <c r="L609" i="13" s="1"/>
  <c r="L610" i="13" s="1"/>
  <c r="L607" i="13" a="1"/>
  <c r="L607" i="13" s="1"/>
  <c r="L608" i="13" s="1"/>
  <c r="F641" i="13" a="1"/>
  <c r="F641" i="13" s="1"/>
  <c r="F642" i="13" s="1"/>
  <c r="F645" i="13" s="1"/>
  <c r="J643" i="13" a="1"/>
  <c r="J643" i="13" s="1"/>
  <c r="J644" i="13" s="1"/>
  <c r="J645" i="13" s="1"/>
  <c r="I641" i="13" a="1"/>
  <c r="I641" i="13" s="1"/>
  <c r="I642" i="13" s="1"/>
  <c r="I645" i="13" s="1"/>
  <c r="M607" i="13" a="1"/>
  <c r="M607" i="13" s="1"/>
  <c r="M608" i="13" s="1"/>
  <c r="M611" i="13" s="1"/>
  <c r="O641" i="13" a="1"/>
  <c r="O641" i="13" s="1"/>
  <c r="O642" i="13" s="1"/>
  <c r="O645" i="13" s="1"/>
  <c r="II23" i="9"/>
  <c r="Q36" i="25"/>
  <c r="E643" i="13" a="1"/>
  <c r="E643" i="13" s="1"/>
  <c r="E644" i="13" s="1"/>
  <c r="E645" i="13" s="1"/>
  <c r="EJ24" i="9" a="1"/>
  <c r="EJ24" i="9" s="1"/>
  <c r="ER24" i="9" s="1"/>
  <c r="L37" i="24" s="1" a="1"/>
  <c r="L37" i="24" s="1"/>
  <c r="HO24" i="9"/>
  <c r="HH24" i="9" a="1"/>
  <c r="HH24" i="9" s="1"/>
  <c r="H641" i="13" a="1"/>
  <c r="H641" i="13" s="1"/>
  <c r="H642" i="13" s="1"/>
  <c r="H645" i="13" s="1"/>
  <c r="O664" i="13" a="1"/>
  <c r="O664" i="13" s="1"/>
  <c r="O677" i="13" s="1" a="1"/>
  <c r="O677" i="13" s="1"/>
  <c r="O678" i="13" s="1"/>
  <c r="HS30" i="9" a="1"/>
  <c r="HS30" i="9" s="1"/>
  <c r="P42" i="27" s="1" a="1"/>
  <c r="P42" i="27" s="1"/>
  <c r="HY30" i="9" a="1"/>
  <c r="HY30" i="9" s="1"/>
  <c r="HA28" i="9" a="1"/>
  <c r="HA28" i="9" s="1"/>
  <c r="G643" i="13" a="1"/>
  <c r="G643" i="13" s="1"/>
  <c r="G644" i="13" s="1"/>
  <c r="G645" i="13" s="1"/>
  <c r="N630" i="13" a="1"/>
  <c r="N630" i="13" s="1"/>
  <c r="N641" i="13" s="1" a="1"/>
  <c r="N641" i="13" s="1"/>
  <c r="N642" i="13" s="1"/>
  <c r="GZ29" i="9" a="1"/>
  <c r="GZ29" i="9" s="1"/>
  <c r="O41" i="27" s="1" a="1"/>
  <c r="O41" i="27" s="1"/>
  <c r="HF29" i="9" a="1"/>
  <c r="HF29" i="9" s="1"/>
  <c r="CQ27" i="9" a="1"/>
  <c r="CQ27" i="9" s="1"/>
  <c r="EC28" i="9" a="1"/>
  <c r="EC28" i="9" s="1"/>
  <c r="N40" i="27" a="1"/>
  <c r="N40" i="27" s="1"/>
  <c r="M630" i="13" a="1"/>
  <c r="M630" i="13" s="1"/>
  <c r="M641" i="13" s="1" a="1"/>
  <c r="M641" i="13" s="1"/>
  <c r="M642" i="13" s="1"/>
  <c r="GM29" i="9" a="1"/>
  <c r="GM29" i="9" s="1"/>
  <c r="GG29" i="9" a="1"/>
  <c r="GG29" i="9" s="1"/>
  <c r="N41" i="27" s="1" a="1"/>
  <c r="N41" i="27" s="1"/>
  <c r="GH28" i="9" a="1"/>
  <c r="GH28" i="9" s="1"/>
  <c r="L664" i="13" a="1"/>
  <c r="L664" i="13" s="1"/>
  <c r="L675" i="13" s="1" a="1"/>
  <c r="L675" i="13" s="1"/>
  <c r="L676" i="13" s="1"/>
  <c r="FN30" i="9" a="1"/>
  <c r="FN30" i="9" s="1"/>
  <c r="M42" i="27" s="1" a="1"/>
  <c r="M42" i="27" s="1"/>
  <c r="FT30" i="9" a="1"/>
  <c r="FT30" i="9" s="1"/>
  <c r="FO28" i="9" a="1"/>
  <c r="FO28" i="9" s="1"/>
  <c r="L630" i="13" a="1"/>
  <c r="L630" i="13" s="1"/>
  <c r="L641" i="13" s="1" a="1"/>
  <c r="L641" i="13" s="1"/>
  <c r="L642" i="13" s="1"/>
  <c r="FT29" i="9" a="1"/>
  <c r="FT29" i="9" s="1"/>
  <c r="FN29" i="9" a="1"/>
  <c r="FN29" i="9" s="1"/>
  <c r="EV28" i="9" a="1"/>
  <c r="EV28" i="9" s="1"/>
  <c r="E607" i="13" a="1"/>
  <c r="E607" i="13" s="1"/>
  <c r="E608" i="13" s="1"/>
  <c r="E611" i="13" s="1"/>
  <c r="K630" i="13" a="1"/>
  <c r="K630" i="13" s="1"/>
  <c r="EU29" i="9" a="1"/>
  <c r="EU29" i="9" s="1"/>
  <c r="L41" i="27" s="1" a="1"/>
  <c r="L41" i="27" s="1"/>
  <c r="FA29" i="9" a="1"/>
  <c r="FA29" i="9" s="1"/>
  <c r="DJ27" i="9" a="1"/>
  <c r="DJ27" i="9" s="1"/>
  <c r="I609" i="13" a="1"/>
  <c r="I609" i="13" s="1"/>
  <c r="I610" i="13" s="1"/>
  <c r="I611" i="13" s="1"/>
  <c r="J664" i="13" a="1"/>
  <c r="J664" i="13" s="1"/>
  <c r="J677" i="13" s="1" a="1"/>
  <c r="J677" i="13" s="1"/>
  <c r="J678" i="13" s="1"/>
  <c r="EB30" i="9" a="1"/>
  <c r="EB30" i="9" s="1"/>
  <c r="K42" i="27" s="1" a="1"/>
  <c r="K42" i="27" s="1"/>
  <c r="EH30" i="9" a="1"/>
  <c r="EH30" i="9" s="1"/>
  <c r="CQ28" i="9" a="1"/>
  <c r="CQ28" i="9" s="1"/>
  <c r="DJ28" i="9" a="1"/>
  <c r="DJ28" i="9" s="1"/>
  <c r="J40" i="27" a="1"/>
  <c r="J40" i="27" s="1"/>
  <c r="I664" i="13" a="1"/>
  <c r="I664" i="13" s="1"/>
  <c r="I677" i="13" s="1" a="1"/>
  <c r="I677" i="13" s="1"/>
  <c r="I678" i="13" s="1"/>
  <c r="DO30" i="9" a="1"/>
  <c r="DO30" i="9" s="1"/>
  <c r="DI30" i="9" a="1"/>
  <c r="DI30" i="9" s="1"/>
  <c r="J42" i="27" s="1" a="1"/>
  <c r="J42" i="27" s="1"/>
  <c r="CE24" i="9" a="1"/>
  <c r="CE24" i="9" s="1"/>
  <c r="CM24" i="9" s="1"/>
  <c r="I37" i="24" s="1" a="1"/>
  <c r="I37" i="24" s="1"/>
  <c r="BX28" i="9" a="1"/>
  <c r="BX28" i="9" s="1"/>
  <c r="AZ24" i="9"/>
  <c r="AS24" i="9" a="1"/>
  <c r="AS24" i="9" s="1"/>
  <c r="BE28" i="9" a="1"/>
  <c r="BE28" i="9" s="1"/>
  <c r="F40" i="27" a="1"/>
  <c r="F40" i="27" s="1"/>
  <c r="AL28" i="9" a="1"/>
  <c r="AL28" i="9" s="1"/>
  <c r="S27" i="9" a="1"/>
  <c r="S27" i="9" s="1"/>
  <c r="R29" i="9" a="1"/>
  <c r="R29" i="9" s="1"/>
  <c r="E41" i="27" s="1" a="1"/>
  <c r="E41" i="27" s="1"/>
  <c r="D664" i="13" a="1"/>
  <c r="D664" i="13" s="1"/>
  <c r="D677" i="13" s="1" a="1"/>
  <c r="D677" i="13" s="1"/>
  <c r="D678" i="13" s="1"/>
  <c r="R30" i="9" a="1"/>
  <c r="R30" i="9" s="1"/>
  <c r="E42" i="27" s="1" a="1"/>
  <c r="E42" i="27" s="1"/>
  <c r="K633" i="13" a="1"/>
  <c r="K633" i="13" s="1"/>
  <c r="K634" i="13" s="1"/>
  <c r="K635" i="13" s="1"/>
  <c r="IN22" i="9"/>
  <c r="IO22" i="9" s="1"/>
  <c r="N614" i="13"/>
  <c r="K614" i="13"/>
  <c r="O606" i="13"/>
  <c r="G282" i="10"/>
  <c r="G663" i="13" s="1" a="1"/>
  <c r="G663" i="13" s="1"/>
  <c r="G670" i="13" s="1" a="1"/>
  <c r="G670" i="13" s="1"/>
  <c r="G671" i="13" s="1"/>
  <c r="F281" i="10"/>
  <c r="F662" i="13" s="1" a="1"/>
  <c r="F662" i="13" s="1"/>
  <c r="F665" i="13" s="1" a="1"/>
  <c r="F665" i="13" s="1"/>
  <c r="F666" i="13" s="1"/>
  <c r="G283" i="10"/>
  <c r="H640" i="13"/>
  <c r="F282" i="10"/>
  <c r="F663" i="13" s="1" a="1"/>
  <c r="F663" i="13" s="1"/>
  <c r="F672" i="13" s="1" a="1"/>
  <c r="F672" i="13" s="1"/>
  <c r="F673" i="13" s="1"/>
  <c r="G640" i="13"/>
  <c r="E635" i="13"/>
  <c r="G635" i="13"/>
  <c r="P269" i="10"/>
  <c r="L635" i="13"/>
  <c r="K640" i="13"/>
  <c r="P268" i="10"/>
  <c r="O601" i="13"/>
  <c r="D606" i="13"/>
  <c r="L640" i="13"/>
  <c r="I640" i="13"/>
  <c r="I295" i="10"/>
  <c r="I696" i="13" s="1" a="1"/>
  <c r="I696" i="13" s="1"/>
  <c r="I296" i="10"/>
  <c r="I697" i="13" s="1" a="1"/>
  <c r="I697" i="13" s="1"/>
  <c r="I297" i="10"/>
  <c r="G297" i="10"/>
  <c r="G295" i="10"/>
  <c r="G696" i="13" s="1" a="1"/>
  <c r="G696" i="13" s="1"/>
  <c r="G296" i="10"/>
  <c r="G697" i="13" s="1" a="1"/>
  <c r="G697" i="13" s="1"/>
  <c r="L296" i="10"/>
  <c r="L697" i="13" s="1" a="1"/>
  <c r="L697" i="13" s="1"/>
  <c r="L297" i="10"/>
  <c r="L295" i="10"/>
  <c r="L696" i="13" s="1" a="1"/>
  <c r="L696" i="13" s="1"/>
  <c r="O295" i="10"/>
  <c r="O696" i="13" s="1" a="1"/>
  <c r="O696" i="13" s="1"/>
  <c r="O296" i="10"/>
  <c r="O697" i="13" s="1" a="1"/>
  <c r="O697" i="13" s="1"/>
  <c r="O297" i="10"/>
  <c r="H297" i="10"/>
  <c r="H295" i="10"/>
  <c r="H696" i="13" s="1" a="1"/>
  <c r="H696" i="13" s="1"/>
  <c r="H296" i="10"/>
  <c r="H697" i="13" s="1" a="1"/>
  <c r="H697" i="13" s="1"/>
  <c r="D296" i="10"/>
  <c r="D297" i="10"/>
  <c r="D295" i="10"/>
  <c r="M297" i="10"/>
  <c r="M295" i="10"/>
  <c r="M696" i="13" s="1" a="1"/>
  <c r="M696" i="13" s="1"/>
  <c r="M296" i="10"/>
  <c r="M697" i="13" s="1" a="1"/>
  <c r="M697" i="13" s="1"/>
  <c r="E296" i="10"/>
  <c r="E697" i="13" s="1" a="1"/>
  <c r="E697" i="13" s="1"/>
  <c r="E297" i="10"/>
  <c r="E295" i="10"/>
  <c r="E696" i="13" s="1" a="1"/>
  <c r="E696" i="13" s="1"/>
  <c r="K296" i="10"/>
  <c r="K697" i="13" s="1" a="1"/>
  <c r="K697" i="13" s="1"/>
  <c r="K297" i="10"/>
  <c r="K295" i="10"/>
  <c r="K696" i="13" s="1" a="1"/>
  <c r="K696" i="13" s="1"/>
  <c r="F295" i="10"/>
  <c r="F696" i="13" s="1" a="1"/>
  <c r="F696" i="13" s="1"/>
  <c r="F297" i="10"/>
  <c r="F296" i="10"/>
  <c r="F697" i="13" s="1" a="1"/>
  <c r="F697" i="13" s="1"/>
  <c r="N296" i="10"/>
  <c r="N697" i="13" s="1" a="1"/>
  <c r="N697" i="13" s="1"/>
  <c r="N295" i="10"/>
  <c r="N696" i="13" s="1" a="1"/>
  <c r="N696" i="13" s="1"/>
  <c r="N297" i="10"/>
  <c r="J295" i="10"/>
  <c r="J696" i="13" s="1" a="1"/>
  <c r="J696" i="13" s="1"/>
  <c r="J296" i="10"/>
  <c r="J697" i="13" s="1" a="1"/>
  <c r="J697" i="13" s="1"/>
  <c r="J297" i="10"/>
  <c r="N307" i="10"/>
  <c r="H283" i="10"/>
  <c r="H281" i="10"/>
  <c r="H662" i="13" s="1" a="1"/>
  <c r="H662" i="13" s="1"/>
  <c r="H282" i="10"/>
  <c r="H663" i="13" s="1" a="1"/>
  <c r="H663" i="13" s="1"/>
  <c r="M636" i="13" a="1"/>
  <c r="M636" i="13" s="1"/>
  <c r="M637" i="13" s="1"/>
  <c r="M638" i="13" a="1"/>
  <c r="M638" i="13" s="1"/>
  <c r="M639" i="13" s="1"/>
  <c r="I670" i="13" a="1"/>
  <c r="I670" i="13" s="1"/>
  <c r="I671" i="13" s="1"/>
  <c r="I672" i="13" a="1"/>
  <c r="I672" i="13" s="1"/>
  <c r="I673" i="13" s="1"/>
  <c r="J640" i="13"/>
  <c r="F640" i="13"/>
  <c r="O640" i="13"/>
  <c r="H635" i="13"/>
  <c r="N667" i="13" a="1"/>
  <c r="N667" i="13" s="1"/>
  <c r="N668" i="13" s="1"/>
  <c r="N665" i="13" a="1"/>
  <c r="N665" i="13" s="1"/>
  <c r="N666" i="13" s="1"/>
  <c r="I665" i="13" a="1"/>
  <c r="I665" i="13" s="1"/>
  <c r="I666" i="13" s="1"/>
  <c r="I667" i="13" a="1"/>
  <c r="I667" i="13" s="1"/>
  <c r="I668" i="13" s="1"/>
  <c r="F307" i="10"/>
  <c r="E282" i="10"/>
  <c r="E663" i="13" s="1" a="1"/>
  <c r="E663" i="13" s="1"/>
  <c r="E283" i="10"/>
  <c r="E281" i="10"/>
  <c r="E662" i="13" s="1" a="1"/>
  <c r="E662" i="13" s="1"/>
  <c r="N672" i="13" a="1"/>
  <c r="N672" i="13" s="1"/>
  <c r="N673" i="13" s="1"/>
  <c r="N670" i="13" a="1"/>
  <c r="N670" i="13" s="1"/>
  <c r="N671" i="13" s="1"/>
  <c r="H307" i="10"/>
  <c r="M307" i="10"/>
  <c r="P294" i="10" a="1"/>
  <c r="P294" i="10" s="1"/>
  <c r="L307" i="10"/>
  <c r="J635" i="13"/>
  <c r="D601" i="13"/>
  <c r="K282" i="10"/>
  <c r="K663" i="13" s="1" a="1"/>
  <c r="K663" i="13" s="1"/>
  <c r="K283" i="10"/>
  <c r="K281" i="10"/>
  <c r="K662" i="13" s="1" a="1"/>
  <c r="K662" i="13" s="1"/>
  <c r="J672" i="13" a="1"/>
  <c r="J672" i="13" s="1"/>
  <c r="J673" i="13" s="1"/>
  <c r="J670" i="13" a="1"/>
  <c r="J670" i="13" s="1"/>
  <c r="J671" i="13" s="1"/>
  <c r="G667" i="13" a="1"/>
  <c r="G667" i="13" s="1"/>
  <c r="G668" i="13" s="1"/>
  <c r="G665" i="13" a="1"/>
  <c r="G665" i="13" s="1"/>
  <c r="G666" i="13" s="1"/>
  <c r="N636" i="13" a="1"/>
  <c r="N636" i="13" s="1"/>
  <c r="N637" i="13" s="1"/>
  <c r="N638" i="13" a="1"/>
  <c r="N638" i="13" s="1"/>
  <c r="N639" i="13" s="1"/>
  <c r="D662" i="13" a="1"/>
  <c r="D662" i="13" s="1"/>
  <c r="J665" i="13" a="1"/>
  <c r="J665" i="13" s="1"/>
  <c r="J666" i="13" s="1"/>
  <c r="J667" i="13" a="1"/>
  <c r="J667" i="13" s="1"/>
  <c r="J668" i="13" s="1"/>
  <c r="G307" i="10"/>
  <c r="D307" i="10"/>
  <c r="I635" i="13"/>
  <c r="D636" i="13" a="1"/>
  <c r="D636" i="13" s="1"/>
  <c r="D637" i="13" s="1"/>
  <c r="D638" i="13" a="1"/>
  <c r="D638" i="13" s="1"/>
  <c r="D639" i="13" s="1"/>
  <c r="N633" i="13" a="1"/>
  <c r="N633" i="13" s="1"/>
  <c r="N634" i="13" s="1"/>
  <c r="N631" i="13" a="1"/>
  <c r="N631" i="13" s="1"/>
  <c r="N632" i="13" s="1"/>
  <c r="D663" i="13" a="1"/>
  <c r="D663" i="13" s="1"/>
  <c r="O672" i="13" a="1"/>
  <c r="O672" i="13" s="1"/>
  <c r="O673" i="13" s="1"/>
  <c r="O670" i="13" a="1"/>
  <c r="O670" i="13" s="1"/>
  <c r="O671" i="13" s="1"/>
  <c r="M282" i="10"/>
  <c r="M663" i="13" s="1" a="1"/>
  <c r="M663" i="13" s="1"/>
  <c r="M283" i="10"/>
  <c r="M281" i="10"/>
  <c r="M662" i="13" s="1" a="1"/>
  <c r="M662" i="13" s="1"/>
  <c r="M631" i="13" a="1"/>
  <c r="M631" i="13" s="1"/>
  <c r="M632" i="13" s="1"/>
  <c r="M633" i="13" a="1"/>
  <c r="M633" i="13" s="1"/>
  <c r="M634" i="13" s="1"/>
  <c r="P267" i="10"/>
  <c r="L665" i="13" a="1"/>
  <c r="L665" i="13" s="1"/>
  <c r="L666" i="13" s="1"/>
  <c r="L667" i="13" a="1"/>
  <c r="L667" i="13" s="1"/>
  <c r="L668" i="13" s="1"/>
  <c r="O667" i="13" a="1"/>
  <c r="O667" i="13" s="1"/>
  <c r="O668" i="13" s="1"/>
  <c r="O665" i="13" a="1"/>
  <c r="O665" i="13" s="1"/>
  <c r="O666" i="13" s="1"/>
  <c r="E307" i="10"/>
  <c r="F635" i="13"/>
  <c r="O635" i="13"/>
  <c r="E640" i="13"/>
  <c r="D631" i="13" a="1"/>
  <c r="D631" i="13" s="1"/>
  <c r="D632" i="13" s="1"/>
  <c r="D633" i="13" a="1"/>
  <c r="D633" i="13" s="1"/>
  <c r="D634" i="13" s="1"/>
  <c r="L672" i="13" a="1"/>
  <c r="L672" i="13" s="1"/>
  <c r="L673" i="13" s="1"/>
  <c r="L670" i="13" a="1"/>
  <c r="L670" i="13" s="1"/>
  <c r="L671" i="13" s="1"/>
  <c r="I580" i="13"/>
  <c r="H578" i="13"/>
  <c r="J41" i="27" a="1"/>
  <c r="J41" i="27" s="1"/>
  <c r="F612" i="13"/>
  <c r="D612" i="13"/>
  <c r="O578" i="13"/>
  <c r="O614" i="13"/>
  <c r="O616" i="13" s="1"/>
  <c r="HX28" i="9" s="1" a="1"/>
  <c r="HX28" i="9" s="1"/>
  <c r="N578" i="13"/>
  <c r="J612" i="13"/>
  <c r="G612" i="13"/>
  <c r="G616" i="13" s="1"/>
  <c r="CB28" i="9" s="1" a="1"/>
  <c r="CB28" i="9" s="1"/>
  <c r="K41" i="27" a="1"/>
  <c r="K41" i="27" s="1"/>
  <c r="P41" i="27" a="1"/>
  <c r="P41" i="27" s="1"/>
  <c r="F41" i="27" a="1"/>
  <c r="F41" i="27" s="1"/>
  <c r="L643" i="13" a="1"/>
  <c r="L643" i="13" s="1"/>
  <c r="L644" i="13" s="1"/>
  <c r="N580" i="13"/>
  <c r="I41" i="27" a="1"/>
  <c r="I41" i="27" s="1"/>
  <c r="G41" i="27" a="1"/>
  <c r="G41" i="27" s="1"/>
  <c r="D630" i="13" a="1"/>
  <c r="D630" i="13" s="1"/>
  <c r="H41" i="27" a="1"/>
  <c r="H41" i="27" s="1"/>
  <c r="H614" i="13"/>
  <c r="N284" i="10"/>
  <c r="BL25" i="9" a="1"/>
  <c r="BL25" i="9" s="1"/>
  <c r="BT25" i="9" s="1"/>
  <c r="H38" i="24" s="1" a="1"/>
  <c r="H38" i="24" s="1"/>
  <c r="Z24" i="9" a="1"/>
  <c r="Z24" i="9" s="1"/>
  <c r="AH24" i="9" s="1"/>
  <c r="F37" i="24" s="1" a="1"/>
  <c r="F37" i="24" s="1"/>
  <c r="FC25" i="9" a="1"/>
  <c r="FC25" i="9" s="1"/>
  <c r="FK25" i="9" s="1"/>
  <c r="M38" i="24" s="1" a="1"/>
  <c r="M38" i="24" s="1"/>
  <c r="HH25" i="9" a="1"/>
  <c r="HH25" i="9" s="1"/>
  <c r="HP25" i="9" s="1"/>
  <c r="P38" i="24" s="1" a="1"/>
  <c r="P38" i="24" s="1"/>
  <c r="DQ25" i="9" a="1"/>
  <c r="DQ25" i="9" s="1"/>
  <c r="DY25" i="9" s="1"/>
  <c r="K38" i="24" s="1" a="1"/>
  <c r="K38" i="24" s="1"/>
  <c r="EJ25" i="9" a="1"/>
  <c r="EJ25" i="9" s="1"/>
  <c r="ER25" i="9" s="1"/>
  <c r="L38" i="24" s="1" a="1"/>
  <c r="L38" i="24" s="1"/>
  <c r="IA24" i="9" a="1"/>
  <c r="IA24" i="9" s="1"/>
  <c r="II24" i="9" s="1"/>
  <c r="Q37" i="24" s="1" a="1"/>
  <c r="Q37" i="24" s="1"/>
  <c r="IJ22" i="9"/>
  <c r="IK22" i="9" s="1"/>
  <c r="IJ23" i="9"/>
  <c r="IK23" i="9" s="1"/>
  <c r="AS25" i="9" a="1"/>
  <c r="AS25" i="9" s="1"/>
  <c r="BA25" i="9" s="1"/>
  <c r="G38" i="24" s="1" a="1"/>
  <c r="G38" i="24" s="1"/>
  <c r="DE25" i="9"/>
  <c r="DF25" i="9" s="1"/>
  <c r="J38" i="24" s="1" a="1"/>
  <c r="J38" i="24" s="1"/>
  <c r="CE25" i="9" a="1"/>
  <c r="CE25" i="9" s="1"/>
  <c r="CM25" i="9" s="1"/>
  <c r="I38" i="24" s="1" a="1"/>
  <c r="I38" i="24" s="1"/>
  <c r="U26" i="9"/>
  <c r="EI26" i="9"/>
  <c r="EQ26" i="9" s="1"/>
  <c r="AR26" i="9"/>
  <c r="AZ26" i="9" s="1"/>
  <c r="CD26" i="9"/>
  <c r="CL26" i="9" s="1"/>
  <c r="BK26" i="9"/>
  <c r="BS26" i="9" s="1"/>
  <c r="GN25" i="9"/>
  <c r="GV25" i="9" s="1"/>
  <c r="HZ26" i="9"/>
  <c r="IH26" i="9" s="1"/>
  <c r="CW26" i="9"/>
  <c r="DE26" i="9" s="1"/>
  <c r="W25" i="9" a="1"/>
  <c r="W25" i="9" s="1"/>
  <c r="Y25" i="9" s="1"/>
  <c r="AG25" i="9" s="1"/>
  <c r="V27" i="9"/>
  <c r="FU25" i="9"/>
  <c r="GC25" i="9" s="1"/>
  <c r="FC26" i="9" a="1"/>
  <c r="FC26" i="9" s="1"/>
  <c r="FK26" i="9" s="1"/>
  <c r="M39" i="24" s="1" a="1"/>
  <c r="M39" i="24" s="1"/>
  <c r="FU26" i="9"/>
  <c r="GC26" i="9" s="1"/>
  <c r="IA25" i="9" a="1"/>
  <c r="IA25" i="9" s="1"/>
  <c r="II25" i="9" s="1"/>
  <c r="Q38" i="24" s="1" a="1"/>
  <c r="Q38" i="24" s="1"/>
  <c r="P307" i="10"/>
  <c r="E284" i="10"/>
  <c r="M284" i="10"/>
  <c r="K284" i="10"/>
  <c r="F284" i="10"/>
  <c r="G284" i="10"/>
  <c r="E292" i="10"/>
  <c r="AJ31" i="9" s="1" a="1"/>
  <c r="AJ31" i="9" s="1"/>
  <c r="P270" i="10"/>
  <c r="H298" i="10"/>
  <c r="I298" i="10"/>
  <c r="M298" i="10"/>
  <c r="O298" i="10"/>
  <c r="D298" i="10"/>
  <c r="X31" i="9" s="1" a="1"/>
  <c r="X31" i="9" s="1"/>
  <c r="F298" i="10"/>
  <c r="N298" i="10"/>
  <c r="J298" i="10"/>
  <c r="L298" i="10"/>
  <c r="J292" i="10"/>
  <c r="EA31" i="9" s="1" a="1"/>
  <c r="EA31" i="9" s="1"/>
  <c r="N292" i="10"/>
  <c r="GY31" i="9" s="1" a="1"/>
  <c r="GY31" i="9" s="1"/>
  <c r="O292" i="10"/>
  <c r="HR31" i="9" s="1" a="1"/>
  <c r="HR31" i="9" s="1"/>
  <c r="N304" i="10"/>
  <c r="G298" i="10"/>
  <c r="O304" i="10"/>
  <c r="I307" i="10"/>
  <c r="I304" i="10"/>
  <c r="K292" i="10"/>
  <c r="ET31" i="9" s="1" a="1"/>
  <c r="ET31" i="9" s="1"/>
  <c r="F304" i="10"/>
  <c r="M304" i="10"/>
  <c r="B315" i="10"/>
  <c r="B316" i="10" s="1"/>
  <c r="B317" i="10" s="1"/>
  <c r="K314" i="10"/>
  <c r="I314" i="10"/>
  <c r="O314" i="10"/>
  <c r="H314" i="10"/>
  <c r="B318" i="10"/>
  <c r="B319" i="10" s="1"/>
  <c r="N314" i="10"/>
  <c r="J314" i="10"/>
  <c r="F314" i="10"/>
  <c r="E314" i="10"/>
  <c r="D314" i="10"/>
  <c r="P314" i="10"/>
  <c r="P318" i="10" s="1"/>
  <c r="L314" i="10"/>
  <c r="G314" i="10"/>
  <c r="M314" i="10"/>
  <c r="L304" i="10"/>
  <c r="G305" i="10"/>
  <c r="K305" i="10"/>
  <c r="P305" i="10"/>
  <c r="P306" i="10" s="1"/>
  <c r="N305" i="10"/>
  <c r="H305" i="10"/>
  <c r="M305" i="10"/>
  <c r="D305" i="10"/>
  <c r="L305" i="10"/>
  <c r="I305" i="10"/>
  <c r="O305" i="10"/>
  <c r="J305" i="10"/>
  <c r="F305" i="10"/>
  <c r="E305" i="10"/>
  <c r="B306" i="10"/>
  <c r="B307" i="10" s="1"/>
  <c r="B308" i="10" s="1"/>
  <c r="B309" i="10" s="1"/>
  <c r="B310" i="10" s="1"/>
  <c r="B311" i="10" s="1"/>
  <c r="B312" i="10" s="1"/>
  <c r="H292" i="10"/>
  <c r="CO31" i="9" s="1" a="1"/>
  <c r="CO31" i="9" s="1"/>
  <c r="D292" i="10"/>
  <c r="Q31" i="9" s="1" a="1"/>
  <c r="Q31" i="9" s="1"/>
  <c r="G304" i="10"/>
  <c r="B341" i="10" a="1"/>
  <c r="B341" i="10" s="1"/>
  <c r="A341" i="10" a="1"/>
  <c r="A341" i="10" s="1"/>
  <c r="O307" i="10"/>
  <c r="M292" i="10"/>
  <c r="GF31" i="9" s="1" a="1"/>
  <c r="GF31" i="9" s="1"/>
  <c r="D304" i="10"/>
  <c r="K307" i="10"/>
  <c r="K304" i="10"/>
  <c r="G292" i="10"/>
  <c r="BV31" i="9" s="1" a="1"/>
  <c r="BV31" i="9" s="1"/>
  <c r="M327" i="10"/>
  <c r="E327" i="10"/>
  <c r="D327" i="10"/>
  <c r="G327" i="10"/>
  <c r="J327" i="10"/>
  <c r="F327" i="10"/>
  <c r="B328" i="10"/>
  <c r="I327" i="10"/>
  <c r="P327" i="10"/>
  <c r="L327" i="10"/>
  <c r="O327" i="10"/>
  <c r="N327" i="10"/>
  <c r="K327" i="10"/>
  <c r="H327" i="10"/>
  <c r="I292" i="10"/>
  <c r="DH31" i="9" s="1" a="1"/>
  <c r="DH31" i="9" s="1"/>
  <c r="F292" i="10"/>
  <c r="BC31" i="9" s="1" a="1"/>
  <c r="BC31" i="9" s="1"/>
  <c r="L292" i="10"/>
  <c r="FM31" i="9" s="1" a="1"/>
  <c r="FM31" i="9" s="1"/>
  <c r="H304" i="10"/>
  <c r="H284" i="10"/>
  <c r="J304" i="10"/>
  <c r="E304" i="10"/>
  <c r="J307" i="10"/>
  <c r="R355" i="10"/>
  <c r="J616" i="13" l="1"/>
  <c r="EG28" i="9" s="1" a="1"/>
  <c r="EG28" i="9" s="1"/>
  <c r="BZ28" i="9"/>
  <c r="HC28" i="9"/>
  <c r="D616" i="13"/>
  <c r="IN23" i="9"/>
  <c r="IO23" i="9" s="1"/>
  <c r="Q36" i="24" a="1"/>
  <c r="Q36" i="24" s="1"/>
  <c r="F616" i="13"/>
  <c r="BI28" i="9" s="1" a="1"/>
  <c r="BI28" i="9" s="1"/>
  <c r="K616" i="13"/>
  <c r="EZ28" i="9" s="1" a="1"/>
  <c r="EZ28" i="9" s="1"/>
  <c r="EX28" i="9"/>
  <c r="BG28" i="9"/>
  <c r="H616" i="13"/>
  <c r="CU28" i="9" s="1" a="1"/>
  <c r="CU28" i="9" s="1"/>
  <c r="CS28" i="9"/>
  <c r="EE28" i="9"/>
  <c r="J646" i="13"/>
  <c r="ED29" i="9" a="1"/>
  <c r="ED29" i="9" s="1"/>
  <c r="E614" i="13"/>
  <c r="AM28" i="9" a="1"/>
  <c r="AM28" i="9" s="1"/>
  <c r="AN28" i="9" s="1"/>
  <c r="H646" i="13"/>
  <c r="CR29" i="9" a="1"/>
  <c r="CR29" i="9" s="1"/>
  <c r="O646" i="13"/>
  <c r="HU29" i="9" a="1"/>
  <c r="HU29" i="9" s="1"/>
  <c r="H40" i="25" a="1"/>
  <c r="H40" i="25" s="1"/>
  <c r="CA28" i="9"/>
  <c r="K40" i="25" a="1"/>
  <c r="K40" i="25" s="1"/>
  <c r="EF28" i="9"/>
  <c r="M614" i="13"/>
  <c r="GI28" i="9" a="1"/>
  <c r="GI28" i="9" s="1"/>
  <c r="I646" i="13"/>
  <c r="DK29" i="9" a="1"/>
  <c r="DK29" i="9" s="1"/>
  <c r="I40" i="25" a="1"/>
  <c r="I40" i="25" s="1"/>
  <c r="CT28" i="9"/>
  <c r="P40" i="25" a="1"/>
  <c r="P40" i="25" s="1"/>
  <c r="HW28" i="9"/>
  <c r="I612" i="13"/>
  <c r="DK28" i="9" a="1"/>
  <c r="DK28" i="9" s="1"/>
  <c r="DL28" i="9" s="1"/>
  <c r="G646" i="13"/>
  <c r="BY29" i="9" a="1"/>
  <c r="BY29" i="9" s="1"/>
  <c r="N616" i="13"/>
  <c r="HE28" i="9" s="1" a="1"/>
  <c r="HE28" i="9" s="1"/>
  <c r="DL27" i="9"/>
  <c r="F646" i="13"/>
  <c r="BF29" i="9" a="1"/>
  <c r="BF29" i="9" s="1"/>
  <c r="O40" i="25" a="1"/>
  <c r="O40" i="25" s="1"/>
  <c r="HD28" i="9"/>
  <c r="E648" i="13"/>
  <c r="AM29" i="9" a="1"/>
  <c r="AM29" i="9" s="1"/>
  <c r="G40" i="25" a="1"/>
  <c r="G40" i="25" s="1"/>
  <c r="BH28" i="9"/>
  <c r="L40" i="25" a="1"/>
  <c r="L40" i="25" s="1"/>
  <c r="EY28" i="9"/>
  <c r="M643" i="13" a="1"/>
  <c r="M643" i="13" s="1"/>
  <c r="M644" i="13" s="1"/>
  <c r="M645" i="13" s="1"/>
  <c r="I582" i="13"/>
  <c r="DN27" i="9" s="1" a="1"/>
  <c r="DN27" i="9" s="1"/>
  <c r="DP27" i="9" s="1"/>
  <c r="DX27" i="9" s="1"/>
  <c r="O582" i="13"/>
  <c r="HX27" i="9" s="1" a="1"/>
  <c r="HX27" i="9" s="1"/>
  <c r="H582" i="13"/>
  <c r="CU27" i="9" s="1" a="1"/>
  <c r="CU27" i="9" s="1"/>
  <c r="CW27" i="9" s="1"/>
  <c r="DE27" i="9" s="1"/>
  <c r="I39" i="25" a="1"/>
  <c r="I39" i="25" s="1"/>
  <c r="CT27" i="9"/>
  <c r="CS27" i="9"/>
  <c r="J39" i="25" a="1"/>
  <c r="J39" i="25" s="1"/>
  <c r="DM27" i="9"/>
  <c r="Q38" i="25"/>
  <c r="P39" i="25" a="1"/>
  <c r="P39" i="25" s="1"/>
  <c r="HW27" i="9"/>
  <c r="I675" i="13" a="1"/>
  <c r="I675" i="13" s="1"/>
  <c r="I676" i="13" s="1"/>
  <c r="I679" i="13" s="1"/>
  <c r="L611" i="13"/>
  <c r="FP28" i="9" s="1" a="1"/>
  <c r="FP28" i="9" s="1"/>
  <c r="O675" i="13" a="1"/>
  <c r="O675" i="13" s="1"/>
  <c r="O676" i="13" s="1"/>
  <c r="O679" i="13" s="1"/>
  <c r="N643" i="13" a="1"/>
  <c r="N643" i="13" s="1"/>
  <c r="N644" i="13" s="1"/>
  <c r="N645" i="13" s="1"/>
  <c r="J675" i="13" a="1"/>
  <c r="J675" i="13" s="1"/>
  <c r="J676" i="13" s="1"/>
  <c r="J679" i="13" s="1"/>
  <c r="L677" i="13" a="1"/>
  <c r="L677" i="13" s="1"/>
  <c r="L678" i="13" s="1"/>
  <c r="L679" i="13" s="1"/>
  <c r="FO29" i="9" a="1"/>
  <c r="FO29" i="9" s="1"/>
  <c r="HT28" i="9" a="1"/>
  <c r="HT28" i="9" s="1"/>
  <c r="HV28" i="9" s="1"/>
  <c r="IL24" i="9"/>
  <c r="IM24" i="9" s="1"/>
  <c r="O698" i="13" a="1"/>
  <c r="O698" i="13" s="1"/>
  <c r="O709" i="13" s="1" a="1"/>
  <c r="O709" i="13" s="1"/>
  <c r="O710" i="13" s="1"/>
  <c r="HY31" i="9" a="1"/>
  <c r="HY31" i="9" s="1"/>
  <c r="HS31" i="9" a="1"/>
  <c r="HS31" i="9" s="1"/>
  <c r="P43" i="27" s="1" a="1"/>
  <c r="P43" i="27" s="1"/>
  <c r="HT29" i="9" a="1"/>
  <c r="HT29" i="9" s="1"/>
  <c r="HP24" i="9"/>
  <c r="P37" i="24" s="1" a="1"/>
  <c r="P37" i="24" s="1"/>
  <c r="N664" i="13" a="1"/>
  <c r="N664" i="13" s="1"/>
  <c r="N677" i="13" s="1" a="1"/>
  <c r="N677" i="13" s="1"/>
  <c r="N678" i="13" s="1"/>
  <c r="HF30" i="9" a="1"/>
  <c r="HF30" i="9" s="1"/>
  <c r="GZ30" i="9" a="1"/>
  <c r="GZ30" i="9" s="1"/>
  <c r="N698" i="13" a="1"/>
  <c r="N698" i="13" s="1"/>
  <c r="N709" i="13" s="1" a="1"/>
  <c r="N709" i="13" s="1"/>
  <c r="N710" i="13" s="1"/>
  <c r="GZ31" i="9" a="1"/>
  <c r="GZ31" i="9" s="1"/>
  <c r="O43" i="27" s="1" a="1"/>
  <c r="O43" i="27" s="1"/>
  <c r="HF31" i="9" a="1"/>
  <c r="HF31" i="9" s="1"/>
  <c r="M698" i="13" a="1"/>
  <c r="M698" i="13" s="1"/>
  <c r="M711" i="13" s="1" a="1"/>
  <c r="M711" i="13" s="1"/>
  <c r="M712" i="13" s="1"/>
  <c r="GG31" i="9" a="1"/>
  <c r="GG31" i="9" s="1"/>
  <c r="N43" i="27" s="1" a="1"/>
  <c r="N43" i="27" s="1"/>
  <c r="GM31" i="9" a="1"/>
  <c r="GM31" i="9" s="1"/>
  <c r="M664" i="13" a="1"/>
  <c r="M664" i="13" s="1"/>
  <c r="M675" i="13" s="1" a="1"/>
  <c r="M675" i="13" s="1"/>
  <c r="M676" i="13" s="1"/>
  <c r="GM30" i="9" a="1"/>
  <c r="GM30" i="9" s="1"/>
  <c r="GG30" i="9" a="1"/>
  <c r="GG30" i="9" s="1"/>
  <c r="L698" i="13" a="1"/>
  <c r="L698" i="13" s="1"/>
  <c r="L709" i="13" s="1" a="1"/>
  <c r="L709" i="13" s="1"/>
  <c r="L710" i="13" s="1"/>
  <c r="FN31" i="9" a="1"/>
  <c r="FN31" i="9" s="1"/>
  <c r="M43" i="27" s="1" a="1"/>
  <c r="M43" i="27" s="1"/>
  <c r="FT31" i="9" a="1"/>
  <c r="FT31" i="9" s="1"/>
  <c r="M41" i="27" a="1"/>
  <c r="M41" i="27" s="1"/>
  <c r="K664" i="13" a="1"/>
  <c r="K664" i="13" s="1"/>
  <c r="K675" i="13" s="1" a="1"/>
  <c r="K675" i="13" s="1"/>
  <c r="K676" i="13" s="1"/>
  <c r="EU30" i="9" a="1"/>
  <c r="EU30" i="9" s="1"/>
  <c r="FA30" i="9" a="1"/>
  <c r="FA30" i="9" s="1"/>
  <c r="EV29" i="9" a="1"/>
  <c r="EV29" i="9" s="1"/>
  <c r="K643" i="13" a="1"/>
  <c r="K643" i="13" s="1"/>
  <c r="K644" i="13" s="1"/>
  <c r="K641" i="13" a="1"/>
  <c r="K641" i="13" s="1"/>
  <c r="K642" i="13" s="1"/>
  <c r="D675" i="13" a="1"/>
  <c r="D675" i="13" s="1"/>
  <c r="D676" i="13" s="1"/>
  <c r="D679" i="13" s="1"/>
  <c r="BA24" i="9"/>
  <c r="EC29" i="9" a="1"/>
  <c r="EC29" i="9" s="1"/>
  <c r="J698" i="13" a="1"/>
  <c r="J698" i="13" s="1"/>
  <c r="J709" i="13" s="1" a="1"/>
  <c r="J709" i="13" s="1"/>
  <c r="J710" i="13" s="1"/>
  <c r="EH31" i="9" a="1"/>
  <c r="EH31" i="9" s="1"/>
  <c r="EB31" i="9" a="1"/>
  <c r="EB31" i="9" s="1"/>
  <c r="K43" i="27" s="1" a="1"/>
  <c r="K43" i="27" s="1"/>
  <c r="AL29" i="9" a="1"/>
  <c r="AL29" i="9" s="1"/>
  <c r="I698" i="13" a="1"/>
  <c r="I698" i="13" s="1"/>
  <c r="I709" i="13" s="1" a="1"/>
  <c r="I709" i="13" s="1"/>
  <c r="I710" i="13" s="1"/>
  <c r="DI31" i="9" a="1"/>
  <c r="DI31" i="9" s="1"/>
  <c r="J43" i="27" s="1" a="1"/>
  <c r="J43" i="27" s="1"/>
  <c r="DO31" i="9" a="1"/>
  <c r="DO31" i="9" s="1"/>
  <c r="DJ29" i="9" a="1"/>
  <c r="DJ29" i="9" s="1"/>
  <c r="H698" i="13" a="1"/>
  <c r="H698" i="13" s="1"/>
  <c r="H709" i="13" s="1" a="1"/>
  <c r="H709" i="13" s="1"/>
  <c r="H710" i="13" s="1"/>
  <c r="CP31" i="9" a="1"/>
  <c r="CP31" i="9" s="1"/>
  <c r="I43" i="27" s="1" a="1"/>
  <c r="I43" i="27" s="1"/>
  <c r="CV31" i="9" a="1"/>
  <c r="CV31" i="9" s="1"/>
  <c r="CQ29" i="9" a="1"/>
  <c r="CQ29" i="9" s="1"/>
  <c r="H664" i="13" a="1"/>
  <c r="H664" i="13" s="1"/>
  <c r="H675" i="13" s="1" a="1"/>
  <c r="H675" i="13" s="1"/>
  <c r="H676" i="13" s="1"/>
  <c r="CV30" i="9" a="1"/>
  <c r="CV30" i="9" s="1"/>
  <c r="CP30" i="9" a="1"/>
  <c r="CP30" i="9" s="1"/>
  <c r="G664" i="13" a="1"/>
  <c r="G664" i="13" s="1"/>
  <c r="G675" i="13" s="1" a="1"/>
  <c r="G675" i="13" s="1"/>
  <c r="G676" i="13" s="1"/>
  <c r="BW30" i="9" a="1"/>
  <c r="BW30" i="9" s="1"/>
  <c r="CC30" i="9" a="1"/>
  <c r="CC30" i="9" s="1"/>
  <c r="BX29" i="9" a="1"/>
  <c r="BX29" i="9" s="1"/>
  <c r="G698" i="13" a="1"/>
  <c r="G698" i="13" s="1"/>
  <c r="G709" i="13" s="1" a="1"/>
  <c r="G709" i="13" s="1"/>
  <c r="G710" i="13" s="1"/>
  <c r="BW31" i="9" a="1"/>
  <c r="BW31" i="9" s="1"/>
  <c r="H43" i="27" s="1" a="1"/>
  <c r="H43" i="27" s="1"/>
  <c r="CC31" i="9" a="1"/>
  <c r="CC31" i="9" s="1"/>
  <c r="F698" i="13" a="1"/>
  <c r="F698" i="13" s="1"/>
  <c r="F709" i="13" s="1" a="1"/>
  <c r="F709" i="13" s="1"/>
  <c r="F710" i="13" s="1"/>
  <c r="BD31" i="9" a="1"/>
  <c r="BD31" i="9" s="1"/>
  <c r="G43" i="27" s="1" a="1"/>
  <c r="G43" i="27" s="1"/>
  <c r="BJ31" i="9" a="1"/>
  <c r="BJ31" i="9" s="1"/>
  <c r="BE29" i="9" a="1"/>
  <c r="BE29" i="9" s="1"/>
  <c r="F664" i="13" a="1"/>
  <c r="F664" i="13" s="1"/>
  <c r="F677" i="13" s="1" a="1"/>
  <c r="F677" i="13" s="1"/>
  <c r="F678" i="13" s="1"/>
  <c r="BD30" i="9" a="1"/>
  <c r="BD30" i="9" s="1"/>
  <c r="BJ30" i="9" a="1"/>
  <c r="BJ30" i="9" s="1"/>
  <c r="E664" i="13" a="1"/>
  <c r="E664" i="13" s="1"/>
  <c r="E675" i="13" s="1" a="1"/>
  <c r="E675" i="13" s="1"/>
  <c r="E676" i="13" s="1"/>
  <c r="AK30" i="9" a="1"/>
  <c r="AK30" i="9" s="1"/>
  <c r="AQ30" i="9" a="1"/>
  <c r="AQ30" i="9" s="1"/>
  <c r="D698" i="13" a="1"/>
  <c r="D698" i="13" s="1"/>
  <c r="D709" i="13" s="1" a="1"/>
  <c r="D709" i="13" s="1"/>
  <c r="D710" i="13" s="1"/>
  <c r="R31" i="9" a="1"/>
  <c r="R31" i="9" s="1"/>
  <c r="E43" i="27" s="1" a="1"/>
  <c r="E43" i="27" s="1"/>
  <c r="G672" i="13" a="1"/>
  <c r="G672" i="13" s="1"/>
  <c r="G673" i="13" s="1"/>
  <c r="G674" i="13" s="1"/>
  <c r="F667" i="13" a="1"/>
  <c r="F667" i="13" s="1"/>
  <c r="F668" i="13" s="1"/>
  <c r="F669" i="13" s="1"/>
  <c r="F670" i="13" a="1"/>
  <c r="F670" i="13" s="1"/>
  <c r="F671" i="13" s="1"/>
  <c r="F674" i="13" s="1"/>
  <c r="I674" i="13"/>
  <c r="J674" i="13"/>
  <c r="N669" i="13"/>
  <c r="N635" i="13"/>
  <c r="O669" i="13"/>
  <c r="L669" i="13"/>
  <c r="O674" i="13"/>
  <c r="P282" i="10"/>
  <c r="M635" i="13"/>
  <c r="J669" i="13"/>
  <c r="P281" i="10"/>
  <c r="L674" i="13"/>
  <c r="P283" i="10"/>
  <c r="J308" i="10" a="1"/>
  <c r="J308" i="10" s="1"/>
  <c r="J311" i="10" s="1"/>
  <c r="K308" i="10" a="1"/>
  <c r="K308" i="10" s="1"/>
  <c r="K311" i="10" s="1"/>
  <c r="M321" i="10"/>
  <c r="N321" i="10"/>
  <c r="N308" i="10" a="1"/>
  <c r="N308" i="10" s="1"/>
  <c r="N311" i="10" s="1"/>
  <c r="N701" i="13" a="1"/>
  <c r="N701" i="13" s="1"/>
  <c r="N702" i="13" s="1"/>
  <c r="N699" i="13" a="1"/>
  <c r="N699" i="13" s="1"/>
  <c r="N700" i="13" s="1"/>
  <c r="E699" i="13" a="1"/>
  <c r="E699" i="13" s="1"/>
  <c r="E700" i="13" s="1"/>
  <c r="E701" i="13" a="1"/>
  <c r="E701" i="13" s="1"/>
  <c r="E702" i="13" s="1"/>
  <c r="D697" i="13" a="1"/>
  <c r="D697" i="13" s="1"/>
  <c r="P296" i="10"/>
  <c r="F321" i="10"/>
  <c r="D635" i="13"/>
  <c r="M665" i="13" a="1"/>
  <c r="M665" i="13" s="1"/>
  <c r="M666" i="13" s="1"/>
  <c r="M667" i="13" a="1"/>
  <c r="M667" i="13" s="1"/>
  <c r="M668" i="13" s="1"/>
  <c r="F308" i="10" a="1"/>
  <c r="F308" i="10" s="1"/>
  <c r="F311" i="10" s="1"/>
  <c r="N706" i="13" a="1"/>
  <c r="N706" i="13" s="1"/>
  <c r="N707" i="13" s="1"/>
  <c r="N704" i="13" a="1"/>
  <c r="N704" i="13" s="1"/>
  <c r="N705" i="13" s="1"/>
  <c r="H706" i="13" a="1"/>
  <c r="H706" i="13" s="1"/>
  <c r="H707" i="13" s="1"/>
  <c r="H704" i="13" a="1"/>
  <c r="H704" i="13" s="1"/>
  <c r="H705" i="13" s="1"/>
  <c r="L706" i="13" a="1"/>
  <c r="L706" i="13" s="1"/>
  <c r="L707" i="13" s="1"/>
  <c r="L704" i="13" a="1"/>
  <c r="L704" i="13" s="1"/>
  <c r="L705" i="13" s="1"/>
  <c r="L321" i="10"/>
  <c r="H321" i="10"/>
  <c r="L308" i="10" a="1"/>
  <c r="L308" i="10" s="1"/>
  <c r="L311" i="10" s="1"/>
  <c r="H308" i="10" a="1"/>
  <c r="H308" i="10" s="1"/>
  <c r="H311" i="10" s="1"/>
  <c r="F706" i="13" a="1"/>
  <c r="F706" i="13" s="1"/>
  <c r="F707" i="13" s="1"/>
  <c r="F704" i="13" a="1"/>
  <c r="F704" i="13" s="1"/>
  <c r="F705" i="13" s="1"/>
  <c r="E706" i="13" a="1"/>
  <c r="E706" i="13" s="1"/>
  <c r="E707" i="13" s="1"/>
  <c r="E704" i="13" a="1"/>
  <c r="E704" i="13" s="1"/>
  <c r="E705" i="13" s="1"/>
  <c r="H699" i="13" a="1"/>
  <c r="H699" i="13" s="1"/>
  <c r="H700" i="13" s="1"/>
  <c r="H701" i="13" a="1"/>
  <c r="H701" i="13" s="1"/>
  <c r="H702" i="13" s="1"/>
  <c r="G706" i="13" a="1"/>
  <c r="G706" i="13" s="1"/>
  <c r="G707" i="13" s="1"/>
  <c r="G704" i="13" a="1"/>
  <c r="G704" i="13" s="1"/>
  <c r="G705" i="13" s="1"/>
  <c r="O308" i="10" a="1"/>
  <c r="O308" i="10" s="1"/>
  <c r="O311" i="10" s="1"/>
  <c r="O321" i="10"/>
  <c r="I308" i="10" a="1"/>
  <c r="I308" i="10" s="1"/>
  <c r="M670" i="13" a="1"/>
  <c r="M670" i="13" s="1"/>
  <c r="M671" i="13" s="1"/>
  <c r="M672" i="13" a="1"/>
  <c r="M672" i="13" s="1"/>
  <c r="M673" i="13" s="1"/>
  <c r="D640" i="13"/>
  <c r="G308" i="10" a="1"/>
  <c r="G308" i="10" s="1"/>
  <c r="G311" i="10" s="1"/>
  <c r="N640" i="13"/>
  <c r="N674" i="13"/>
  <c r="I669" i="13"/>
  <c r="M640" i="13"/>
  <c r="M704" i="13" a="1"/>
  <c r="M704" i="13" s="1"/>
  <c r="M705" i="13" s="1"/>
  <c r="M706" i="13" a="1"/>
  <c r="M706" i="13" s="1"/>
  <c r="M707" i="13" s="1"/>
  <c r="G699" i="13" a="1"/>
  <c r="G699" i="13" s="1"/>
  <c r="G700" i="13" s="1"/>
  <c r="G701" i="13" a="1"/>
  <c r="G701" i="13" s="1"/>
  <c r="G702" i="13" s="1"/>
  <c r="K667" i="13" a="1"/>
  <c r="K667" i="13" s="1"/>
  <c r="K668" i="13" s="1"/>
  <c r="K665" i="13" a="1"/>
  <c r="K665" i="13" s="1"/>
  <c r="K666" i="13" s="1"/>
  <c r="H672" i="13" a="1"/>
  <c r="H672" i="13" s="1"/>
  <c r="H673" i="13" s="1"/>
  <c r="H670" i="13" a="1"/>
  <c r="H670" i="13" s="1"/>
  <c r="H671" i="13" s="1"/>
  <c r="F701" i="13" a="1"/>
  <c r="F701" i="13" s="1"/>
  <c r="F702" i="13" s="1"/>
  <c r="F699" i="13" a="1"/>
  <c r="F699" i="13" s="1"/>
  <c r="F700" i="13" s="1"/>
  <c r="M701" i="13" a="1"/>
  <c r="M701" i="13" s="1"/>
  <c r="M702" i="13" s="1"/>
  <c r="M699" i="13" a="1"/>
  <c r="M699" i="13" s="1"/>
  <c r="M700" i="13" s="1"/>
  <c r="P308" i="10" a="1"/>
  <c r="P308" i="10" s="1"/>
  <c r="G669" i="13"/>
  <c r="E667" i="13" a="1"/>
  <c r="E667" i="13" s="1"/>
  <c r="E668" i="13" s="1"/>
  <c r="E665" i="13" a="1"/>
  <c r="E665" i="13" s="1"/>
  <c r="E666" i="13" s="1"/>
  <c r="H665" i="13" a="1"/>
  <c r="H665" i="13" s="1"/>
  <c r="H666" i="13" s="1"/>
  <c r="H667" i="13" a="1"/>
  <c r="H667" i="13" s="1"/>
  <c r="H668" i="13" s="1"/>
  <c r="J706" i="13" a="1"/>
  <c r="J706" i="13" s="1"/>
  <c r="J707" i="13" s="1"/>
  <c r="J704" i="13" a="1"/>
  <c r="J704" i="13" s="1"/>
  <c r="J705" i="13" s="1"/>
  <c r="K699" i="13" a="1"/>
  <c r="K699" i="13" s="1"/>
  <c r="K700" i="13" s="1"/>
  <c r="K701" i="13" a="1"/>
  <c r="K701" i="13" s="1"/>
  <c r="K702" i="13" s="1"/>
  <c r="O706" i="13" a="1"/>
  <c r="O706" i="13" s="1"/>
  <c r="O707" i="13" s="1"/>
  <c r="O704" i="13" a="1"/>
  <c r="O704" i="13" s="1"/>
  <c r="O705" i="13" s="1"/>
  <c r="K670" i="13" a="1"/>
  <c r="K670" i="13" s="1"/>
  <c r="K671" i="13" s="1"/>
  <c r="K672" i="13" a="1"/>
  <c r="K672" i="13" s="1"/>
  <c r="K673" i="13" s="1"/>
  <c r="M308" i="10" a="1"/>
  <c r="M308" i="10" s="1"/>
  <c r="M311" i="10" s="1"/>
  <c r="J701" i="13" a="1"/>
  <c r="J701" i="13" s="1"/>
  <c r="J702" i="13" s="1"/>
  <c r="J699" i="13" a="1"/>
  <c r="J699" i="13" s="1"/>
  <c r="J700" i="13" s="1"/>
  <c r="D696" i="13" a="1"/>
  <c r="D696" i="13" s="1"/>
  <c r="P295" i="10"/>
  <c r="O701" i="13" a="1"/>
  <c r="O701" i="13" s="1"/>
  <c r="O702" i="13" s="1"/>
  <c r="O699" i="13" a="1"/>
  <c r="O699" i="13" s="1"/>
  <c r="O700" i="13" s="1"/>
  <c r="I704" i="13" a="1"/>
  <c r="I704" i="13" s="1"/>
  <c r="I705" i="13" s="1"/>
  <c r="I706" i="13" a="1"/>
  <c r="I706" i="13" s="1"/>
  <c r="I707" i="13" s="1"/>
  <c r="E308" i="10" a="1"/>
  <c r="E308" i="10" s="1"/>
  <c r="E311" i="10" s="1"/>
  <c r="D672" i="13" a="1"/>
  <c r="D672" i="13" s="1"/>
  <c r="D673" i="13" s="1"/>
  <c r="D670" i="13" a="1"/>
  <c r="D670" i="13" s="1"/>
  <c r="D671" i="13" s="1"/>
  <c r="D308" i="10" a="1"/>
  <c r="D308" i="10" s="1"/>
  <c r="D311" i="10" s="1"/>
  <c r="D667" i="13" a="1"/>
  <c r="D667" i="13" s="1"/>
  <c r="D668" i="13" s="1"/>
  <c r="D665" i="13" a="1"/>
  <c r="D665" i="13" s="1"/>
  <c r="D666" i="13" s="1"/>
  <c r="E672" i="13" a="1"/>
  <c r="E672" i="13" s="1"/>
  <c r="E673" i="13" s="1"/>
  <c r="E670" i="13" a="1"/>
  <c r="E670" i="13" s="1"/>
  <c r="E671" i="13" s="1"/>
  <c r="K706" i="13" a="1"/>
  <c r="K706" i="13" s="1"/>
  <c r="K707" i="13" s="1"/>
  <c r="K704" i="13" a="1"/>
  <c r="K704" i="13" s="1"/>
  <c r="K705" i="13" s="1"/>
  <c r="P297" i="10"/>
  <c r="L701" i="13" a="1"/>
  <c r="L701" i="13" s="1"/>
  <c r="L702" i="13" s="1"/>
  <c r="L699" i="13" a="1"/>
  <c r="L699" i="13" s="1"/>
  <c r="L700" i="13" s="1"/>
  <c r="I701" i="13" a="1"/>
  <c r="I701" i="13" s="1"/>
  <c r="I702" i="13" s="1"/>
  <c r="I699" i="13" a="1"/>
  <c r="I699" i="13" s="1"/>
  <c r="I700" i="13" s="1"/>
  <c r="I614" i="13"/>
  <c r="E612" i="13"/>
  <c r="M612" i="13"/>
  <c r="I648" i="13"/>
  <c r="G648" i="13"/>
  <c r="E646" i="13"/>
  <c r="J648" i="13"/>
  <c r="H648" i="13"/>
  <c r="O648" i="13"/>
  <c r="N582" i="13"/>
  <c r="F648" i="13"/>
  <c r="D643" i="13" a="1"/>
  <c r="D643" i="13" s="1"/>
  <c r="D644" i="13" s="1"/>
  <c r="D641" i="13" a="1"/>
  <c r="D641" i="13" s="1"/>
  <c r="D642" i="13" s="1"/>
  <c r="L645" i="13"/>
  <c r="E298" i="10"/>
  <c r="K298" i="10"/>
  <c r="CE26" i="9" a="1"/>
  <c r="CE26" i="9" s="1"/>
  <c r="CM26" i="9" s="1"/>
  <c r="I39" i="24" s="1" a="1"/>
  <c r="I39" i="24" s="1"/>
  <c r="IJ24" i="9"/>
  <c r="IK24" i="9" s="1"/>
  <c r="FV26" i="9" a="1"/>
  <c r="FV26" i="9" s="1"/>
  <c r="GD26" i="9" s="1"/>
  <c r="N39" i="24" s="1" a="1"/>
  <c r="N39" i="24" s="1"/>
  <c r="U27" i="9"/>
  <c r="FV25" i="9" a="1"/>
  <c r="FV25" i="9" s="1"/>
  <c r="GD25" i="9" s="1"/>
  <c r="N38" i="24" s="1" a="1"/>
  <c r="N38" i="24" s="1"/>
  <c r="GO26" i="9" a="1"/>
  <c r="GO26" i="9" s="1"/>
  <c r="GW26" i="9" s="1"/>
  <c r="O39" i="24" s="1" a="1"/>
  <c r="O39" i="24" s="1"/>
  <c r="BL26" i="9" a="1"/>
  <c r="BL26" i="9" s="1"/>
  <c r="BT26" i="9" s="1"/>
  <c r="H39" i="24" s="1" a="1"/>
  <c r="H39" i="24" s="1"/>
  <c r="GO25" i="9" a="1"/>
  <c r="GO25" i="9" s="1"/>
  <c r="GW25" i="9" s="1"/>
  <c r="O38" i="24" s="1" a="1"/>
  <c r="O38" i="24" s="1"/>
  <c r="IA26" i="9" a="1"/>
  <c r="IA26" i="9" s="1"/>
  <c r="II26" i="9" s="1"/>
  <c r="Q39" i="24" s="1" a="1"/>
  <c r="Q39" i="24" s="1"/>
  <c r="EJ26" i="9" a="1"/>
  <c r="EJ26" i="9" s="1"/>
  <c r="ER26" i="9" s="1"/>
  <c r="L39" i="24" s="1" a="1"/>
  <c r="L39" i="24" s="1"/>
  <c r="Z25" i="9" a="1"/>
  <c r="Z25" i="9" s="1"/>
  <c r="AH25" i="9" s="1"/>
  <c r="F38" i="24" s="1" a="1"/>
  <c r="F38" i="24" s="1"/>
  <c r="IL25" i="9"/>
  <c r="IM25" i="9" s="1"/>
  <c r="FV27" i="9" a="1"/>
  <c r="FV27" i="9" s="1"/>
  <c r="GD27" i="9" s="1"/>
  <c r="N40" i="24" s="1" a="1"/>
  <c r="N40" i="24" s="1"/>
  <c r="CX26" i="9" a="1"/>
  <c r="CX26" i="9" s="1"/>
  <c r="DF26" i="9" s="1"/>
  <c r="J39" i="24" s="1" a="1"/>
  <c r="J39" i="24" s="1"/>
  <c r="GN27" i="9"/>
  <c r="GV27" i="9" s="1"/>
  <c r="EI27" i="9"/>
  <c r="EQ27" i="9" s="1"/>
  <c r="HG26" i="9"/>
  <c r="HO26" i="9" s="1"/>
  <c r="CD27" i="9"/>
  <c r="CL27" i="9" s="1"/>
  <c r="V28" i="9"/>
  <c r="FB27" i="9"/>
  <c r="FJ27" i="9" s="1"/>
  <c r="DP26" i="9"/>
  <c r="DX26" i="9" s="1"/>
  <c r="W26" i="9" a="1"/>
  <c r="W26" i="9" s="1"/>
  <c r="Y26" i="9" s="1"/>
  <c r="AG26" i="9" s="1"/>
  <c r="HZ27" i="9"/>
  <c r="IH27" i="9" s="1"/>
  <c r="AR27" i="9"/>
  <c r="AZ27" i="9" s="1"/>
  <c r="BK27" i="9"/>
  <c r="BS27" i="9" s="1"/>
  <c r="S28" i="9" a="1"/>
  <c r="S28" i="9" s="1"/>
  <c r="D306" i="10"/>
  <c r="AS26" i="9" a="1"/>
  <c r="AS26" i="9" s="1"/>
  <c r="BA26" i="9" s="1"/>
  <c r="G39" i="24" s="1" a="1"/>
  <c r="G39" i="24" s="1"/>
  <c r="H306" i="10"/>
  <c r="CO32" i="9" s="1" a="1"/>
  <c r="CO32" i="9" s="1"/>
  <c r="E306" i="10"/>
  <c r="AJ32" i="9" s="1" a="1"/>
  <c r="AJ32" i="9" s="1"/>
  <c r="P321" i="10"/>
  <c r="K306" i="10"/>
  <c r="ET32" i="9" s="1" a="1"/>
  <c r="ET32" i="9" s="1"/>
  <c r="J306" i="10"/>
  <c r="EA32" i="9" s="1" a="1"/>
  <c r="EA32" i="9" s="1"/>
  <c r="G306" i="10"/>
  <c r="BV32" i="9" s="1" a="1"/>
  <c r="BV32" i="9" s="1"/>
  <c r="B355" i="10" a="1"/>
  <c r="B355" i="10" s="1"/>
  <c r="A355" i="10" a="1"/>
  <c r="A355" i="10" s="1"/>
  <c r="F318" i="10"/>
  <c r="J318" i="10"/>
  <c r="N306" i="10"/>
  <c r="GY32" i="9" s="1" a="1"/>
  <c r="GY32" i="9" s="1"/>
  <c r="M318" i="10"/>
  <c r="N318" i="10"/>
  <c r="J341" i="10"/>
  <c r="G341" i="10"/>
  <c r="F341" i="10"/>
  <c r="B342" i="10"/>
  <c r="M341" i="10"/>
  <c r="I341" i="10"/>
  <c r="E341" i="10"/>
  <c r="P341" i="10"/>
  <c r="L341" i="10"/>
  <c r="O341" i="10"/>
  <c r="K341" i="10"/>
  <c r="N341" i="10"/>
  <c r="D341" i="10"/>
  <c r="H341" i="10"/>
  <c r="G318" i="10"/>
  <c r="I319" i="10"/>
  <c r="M319" i="10"/>
  <c r="G319" i="10"/>
  <c r="L319" i="10"/>
  <c r="F319" i="10"/>
  <c r="K319" i="10"/>
  <c r="E319" i="10"/>
  <c r="N319" i="10"/>
  <c r="H319" i="10"/>
  <c r="P319" i="10"/>
  <c r="P320" i="10" s="1"/>
  <c r="J319" i="10"/>
  <c r="D319" i="10"/>
  <c r="B320" i="10"/>
  <c r="B321" i="10" s="1"/>
  <c r="B322" i="10" s="1"/>
  <c r="B323" i="10" s="1"/>
  <c r="B324" i="10" s="1"/>
  <c r="B325" i="10" s="1"/>
  <c r="B326" i="10" s="1"/>
  <c r="O319" i="10"/>
  <c r="M306" i="10"/>
  <c r="GF32" i="9" s="1" a="1"/>
  <c r="GF32" i="9" s="1"/>
  <c r="K328" i="10"/>
  <c r="G328" i="10"/>
  <c r="B332" i="10"/>
  <c r="B333" i="10" s="1"/>
  <c r="F328" i="10"/>
  <c r="B329" i="10"/>
  <c r="B330" i="10" s="1"/>
  <c r="B331" i="10" s="1"/>
  <c r="M328" i="10"/>
  <c r="I328" i="10"/>
  <c r="E328" i="10"/>
  <c r="P328" i="10"/>
  <c r="P332" i="10" s="1"/>
  <c r="D328" i="10"/>
  <c r="O328" i="10"/>
  <c r="N328" i="10"/>
  <c r="L328" i="10"/>
  <c r="J328" i="10"/>
  <c r="H328" i="10"/>
  <c r="L318" i="10"/>
  <c r="H318" i="10"/>
  <c r="I306" i="10"/>
  <c r="DH32" i="9" s="1" a="1"/>
  <c r="DH32" i="9" s="1"/>
  <c r="P284" i="10"/>
  <c r="L306" i="10"/>
  <c r="FM32" i="9" s="1" a="1"/>
  <c r="FM32" i="9" s="1"/>
  <c r="O318" i="10"/>
  <c r="F306" i="10"/>
  <c r="BC32" i="9" s="1" a="1"/>
  <c r="BC32" i="9" s="1"/>
  <c r="G321" i="10"/>
  <c r="D318" i="10"/>
  <c r="I321" i="10"/>
  <c r="I318" i="10"/>
  <c r="E321" i="10"/>
  <c r="E318" i="10"/>
  <c r="K321" i="10"/>
  <c r="K318" i="10"/>
  <c r="J321" i="10"/>
  <c r="O306" i="10"/>
  <c r="HR32" i="9" s="1" a="1"/>
  <c r="HR32" i="9" s="1"/>
  <c r="D321" i="10"/>
  <c r="R369" i="10"/>
  <c r="E650" i="13" l="1"/>
  <c r="AP29" i="9" s="1" a="1"/>
  <c r="AP29" i="9" s="1"/>
  <c r="E616" i="13"/>
  <c r="AP28" i="9" s="1" a="1"/>
  <c r="AP28" i="9" s="1"/>
  <c r="DL29" i="9"/>
  <c r="IN24" i="9"/>
  <c r="IO24" i="9" s="1"/>
  <c r="G37" i="24" a="1"/>
  <c r="G37" i="24" s="1"/>
  <c r="G650" i="13"/>
  <c r="CB29" i="9" s="1" a="1"/>
  <c r="CB29" i="9" s="1"/>
  <c r="I650" i="13"/>
  <c r="DN29" i="9" s="1" a="1"/>
  <c r="DN29" i="9" s="1"/>
  <c r="AN29" i="9"/>
  <c r="J650" i="13"/>
  <c r="EG29" i="9" s="1" a="1"/>
  <c r="EG29" i="9" s="1"/>
  <c r="M677" i="13" a="1"/>
  <c r="M677" i="13" s="1"/>
  <c r="M678" i="13" s="1"/>
  <c r="M679" i="13" s="1"/>
  <c r="F650" i="13"/>
  <c r="BI29" i="9" s="1" a="1"/>
  <c r="BI29" i="9" s="1"/>
  <c r="HV29" i="9"/>
  <c r="I616" i="13"/>
  <c r="DN28" i="9" s="1" a="1"/>
  <c r="DN28" i="9" s="1"/>
  <c r="DP28" i="9" s="1"/>
  <c r="DX28" i="9" s="1"/>
  <c r="BG29" i="9"/>
  <c r="H650" i="13"/>
  <c r="CU29" i="9" s="1" a="1"/>
  <c r="CU29" i="9" s="1"/>
  <c r="M616" i="13"/>
  <c r="GL28" i="9" s="1" a="1"/>
  <c r="GL28" i="9" s="1"/>
  <c r="O650" i="13"/>
  <c r="HX29" i="9" s="1" a="1"/>
  <c r="HX29" i="9" s="1"/>
  <c r="M648" i="13"/>
  <c r="GI29" i="9" a="1"/>
  <c r="GI29" i="9" s="1"/>
  <c r="BZ29" i="9"/>
  <c r="O682" i="13"/>
  <c r="HU30" i="9" a="1"/>
  <c r="HU30" i="9" s="1"/>
  <c r="J40" i="25" a="1"/>
  <c r="J40" i="25" s="1"/>
  <c r="DM28" i="9"/>
  <c r="P41" i="25" a="1"/>
  <c r="P41" i="25" s="1"/>
  <c r="HW29" i="9"/>
  <c r="L648" i="13"/>
  <c r="FP29" i="9" a="1"/>
  <c r="FP29" i="9" s="1"/>
  <c r="FQ29" i="9" s="1"/>
  <c r="M40" i="25" a="1"/>
  <c r="M40" i="25" s="1"/>
  <c r="FR28" i="9"/>
  <c r="N40" i="25" a="1"/>
  <c r="N40" i="25" s="1"/>
  <c r="GK28" i="9"/>
  <c r="G41" i="25" a="1"/>
  <c r="G41" i="25" s="1"/>
  <c r="BH29" i="9"/>
  <c r="I41" i="25" a="1"/>
  <c r="I41" i="25" s="1"/>
  <c r="CT29" i="9"/>
  <c r="EE29" i="9"/>
  <c r="GJ28" i="9"/>
  <c r="F41" i="25" a="1"/>
  <c r="F41" i="25" s="1"/>
  <c r="AO29" i="9"/>
  <c r="F40" i="25" a="1"/>
  <c r="F40" i="25" s="1"/>
  <c r="AO28" i="9"/>
  <c r="D682" i="13"/>
  <c r="T30" i="9" a="1"/>
  <c r="T30" i="9" s="1"/>
  <c r="E42" i="25" s="1" a="1"/>
  <c r="E42" i="25" s="1"/>
  <c r="L682" i="13"/>
  <c r="FP30" i="9" a="1"/>
  <c r="FP30" i="9" s="1"/>
  <c r="J682" i="13"/>
  <c r="ED30" i="9" a="1"/>
  <c r="ED30" i="9" s="1"/>
  <c r="FQ28" i="9"/>
  <c r="H41" i="25" a="1"/>
  <c r="H41" i="25" s="1"/>
  <c r="CA29" i="9"/>
  <c r="K41" i="25" a="1"/>
  <c r="K41" i="25" s="1"/>
  <c r="EF29" i="9"/>
  <c r="I680" i="13"/>
  <c r="DK30" i="9" a="1"/>
  <c r="DK30" i="9" s="1"/>
  <c r="CS29" i="9"/>
  <c r="N646" i="13"/>
  <c r="HB29" i="9" a="1"/>
  <c r="HB29" i="9" s="1"/>
  <c r="J41" i="25" a="1"/>
  <c r="J41" i="25" s="1"/>
  <c r="DM29" i="9"/>
  <c r="H677" i="13" a="1"/>
  <c r="H677" i="13" s="1"/>
  <c r="H678" i="13" s="1"/>
  <c r="H679" i="13" s="1"/>
  <c r="Q39" i="25"/>
  <c r="F711" i="13" a="1"/>
  <c r="F711" i="13" s="1"/>
  <c r="F712" i="13" s="1"/>
  <c r="F713" i="13" s="1"/>
  <c r="M709" i="13" a="1"/>
  <c r="M709" i="13" s="1"/>
  <c r="M710" i="13" s="1"/>
  <c r="M713" i="13" s="1"/>
  <c r="E677" i="13" a="1"/>
  <c r="E677" i="13" s="1"/>
  <c r="E678" i="13" s="1"/>
  <c r="E679" i="13" s="1"/>
  <c r="L612" i="13"/>
  <c r="L614" i="13"/>
  <c r="N675" i="13" a="1"/>
  <c r="N675" i="13" s="1"/>
  <c r="N676" i="13" s="1"/>
  <c r="N679" i="13" s="1"/>
  <c r="G677" i="13" a="1"/>
  <c r="G677" i="13" s="1"/>
  <c r="G678" i="13" s="1"/>
  <c r="G679" i="13" s="1"/>
  <c r="D711" i="13" a="1"/>
  <c r="D711" i="13" s="1"/>
  <c r="D712" i="13" s="1"/>
  <c r="D713" i="13" s="1"/>
  <c r="K677" i="13" a="1"/>
  <c r="K677" i="13" s="1"/>
  <c r="K678" i="13" s="1"/>
  <c r="K679" i="13" s="1"/>
  <c r="H711" i="13" a="1"/>
  <c r="H711" i="13" s="1"/>
  <c r="H712" i="13" s="1"/>
  <c r="H713" i="13" s="1"/>
  <c r="I711" i="13" a="1"/>
  <c r="I711" i="13" s="1"/>
  <c r="I712" i="13" s="1"/>
  <c r="I713" i="13" s="1"/>
  <c r="HA29" i="9" a="1"/>
  <c r="HA29" i="9" s="1"/>
  <c r="J711" i="13" a="1"/>
  <c r="J711" i="13" s="1"/>
  <c r="J712" i="13" s="1"/>
  <c r="J713" i="13" s="1"/>
  <c r="N711" i="13" a="1"/>
  <c r="N711" i="13" s="1"/>
  <c r="N712" i="13" s="1"/>
  <c r="N713" i="13" s="1"/>
  <c r="O711" i="13" a="1"/>
  <c r="O711" i="13" s="1"/>
  <c r="O712" i="13" s="1"/>
  <c r="O713" i="13" s="1"/>
  <c r="H312" i="10"/>
  <c r="H732" i="13" s="1" a="1"/>
  <c r="H732" i="13" s="1"/>
  <c r="H745" i="13" s="1" a="1"/>
  <c r="H745" i="13" s="1"/>
  <c r="H746" i="13" s="1"/>
  <c r="F675" i="13" a="1"/>
  <c r="F675" i="13" s="1"/>
  <c r="F676" i="13" s="1"/>
  <c r="F679" i="13" s="1"/>
  <c r="L312" i="10"/>
  <c r="FN32" i="9" s="1" a="1"/>
  <c r="FN32" i="9" s="1"/>
  <c r="HA30" i="9" a="1"/>
  <c r="HA30" i="9" s="1"/>
  <c r="HT30" i="9" a="1"/>
  <c r="HT30" i="9" s="1"/>
  <c r="G711" i="13" a="1"/>
  <c r="G711" i="13" s="1"/>
  <c r="G712" i="13" s="1"/>
  <c r="G713" i="13" s="1"/>
  <c r="HE27" i="9" a="1"/>
  <c r="HE27" i="9" s="1"/>
  <c r="HG27" i="9" s="1"/>
  <c r="L711" i="13" a="1"/>
  <c r="L711" i="13" s="1"/>
  <c r="L712" i="13" s="1"/>
  <c r="L713" i="13" s="1"/>
  <c r="O42" i="27" a="1"/>
  <c r="O42" i="27" s="1"/>
  <c r="N42" i="27" a="1"/>
  <c r="N42" i="27" s="1"/>
  <c r="GH29" i="9" a="1"/>
  <c r="GH29" i="9" s="1"/>
  <c r="K645" i="13"/>
  <c r="EW29" i="9" s="1" a="1"/>
  <c r="EW29" i="9" s="1"/>
  <c r="EX29" i="9" s="1"/>
  <c r="FO30" i="9" a="1"/>
  <c r="FO30" i="9" s="1"/>
  <c r="K698" i="13" a="1"/>
  <c r="K698" i="13" s="1"/>
  <c r="K709" i="13" s="1" a="1"/>
  <c r="K709" i="13" s="1"/>
  <c r="K710" i="13" s="1"/>
  <c r="EU31" i="9" a="1"/>
  <c r="EU31" i="9" s="1"/>
  <c r="FA31" i="9" a="1"/>
  <c r="FA31" i="9" s="1"/>
  <c r="L42" i="27" a="1"/>
  <c r="L42" i="27" s="1"/>
  <c r="EC30" i="9" a="1"/>
  <c r="EC30" i="9" s="1"/>
  <c r="DJ30" i="9" a="1"/>
  <c r="DJ30" i="9" s="1"/>
  <c r="I42" i="27" a="1"/>
  <c r="I42" i="27" s="1"/>
  <c r="BE30" i="9" a="1"/>
  <c r="BE30" i="9" s="1"/>
  <c r="BX30" i="9" a="1"/>
  <c r="BX30" i="9" s="1"/>
  <c r="H42" i="27" a="1"/>
  <c r="H42" i="27" s="1"/>
  <c r="G42" i="27" a="1"/>
  <c r="G42" i="27" s="1"/>
  <c r="F42" i="27" a="1"/>
  <c r="F42" i="27" s="1"/>
  <c r="E698" i="13" a="1"/>
  <c r="E698" i="13" s="1"/>
  <c r="E711" i="13" s="1" a="1"/>
  <c r="E711" i="13" s="1"/>
  <c r="E712" i="13" s="1"/>
  <c r="AK31" i="9" a="1"/>
  <c r="AK31" i="9" s="1"/>
  <c r="AQ31" i="9" a="1"/>
  <c r="AQ31" i="9" s="1"/>
  <c r="S29" i="9" a="1"/>
  <c r="S29" i="9" s="1"/>
  <c r="Q32" i="9" a="1"/>
  <c r="Q32" i="9" s="1"/>
  <c r="N312" i="10"/>
  <c r="K674" i="13"/>
  <c r="M708" i="13"/>
  <c r="F312" i="10"/>
  <c r="F708" i="13"/>
  <c r="I708" i="13"/>
  <c r="M674" i="13"/>
  <c r="J703" i="13"/>
  <c r="F703" i="13"/>
  <c r="D669" i="13"/>
  <c r="N648" i="13"/>
  <c r="K669" i="13"/>
  <c r="E674" i="13"/>
  <c r="G703" i="13"/>
  <c r="G708" i="13"/>
  <c r="I703" i="13"/>
  <c r="P322" i="10" a="1"/>
  <c r="P322" i="10" s="1"/>
  <c r="E703" i="13"/>
  <c r="O703" i="13"/>
  <c r="O708" i="13"/>
  <c r="E708" i="13"/>
  <c r="F335" i="10"/>
  <c r="E322" i="10" a="1"/>
  <c r="E322" i="10" s="1"/>
  <c r="E325" i="10" s="1"/>
  <c r="O335" i="10"/>
  <c r="M312" i="10"/>
  <c r="H309" i="10"/>
  <c r="H730" i="13" s="1" a="1"/>
  <c r="H730" i="13" s="1"/>
  <c r="H310" i="10"/>
  <c r="H731" i="13" s="1" a="1"/>
  <c r="H731" i="13" s="1"/>
  <c r="N703" i="13"/>
  <c r="M322" i="10" a="1"/>
  <c r="M322" i="10" s="1"/>
  <c r="M325" i="10" s="1"/>
  <c r="I309" i="10"/>
  <c r="I730" i="13" s="1" a="1"/>
  <c r="I730" i="13" s="1"/>
  <c r="I310" i="10"/>
  <c r="I731" i="13" s="1" a="1"/>
  <c r="I731" i="13" s="1"/>
  <c r="G335" i="10"/>
  <c r="E309" i="10"/>
  <c r="E730" i="13" s="1" a="1"/>
  <c r="E730" i="13" s="1"/>
  <c r="E310" i="10"/>
  <c r="E731" i="13" s="1" a="1"/>
  <c r="E731" i="13" s="1"/>
  <c r="D701" i="13" a="1"/>
  <c r="D701" i="13" s="1"/>
  <c r="D702" i="13" s="1"/>
  <c r="D699" i="13" a="1"/>
  <c r="D699" i="13" s="1"/>
  <c r="D700" i="13" s="1"/>
  <c r="E669" i="13"/>
  <c r="M703" i="13"/>
  <c r="O322" i="10" a="1"/>
  <c r="O322" i="10" s="1"/>
  <c r="O326" i="10" s="1"/>
  <c r="H703" i="13"/>
  <c r="F309" i="10"/>
  <c r="F730" i="13" s="1" a="1"/>
  <c r="F730" i="13" s="1"/>
  <c r="F310" i="10"/>
  <c r="F731" i="13" s="1" a="1"/>
  <c r="F731" i="13" s="1"/>
  <c r="F322" i="10" a="1"/>
  <c r="F322" i="10" s="1"/>
  <c r="F325" i="10" s="1"/>
  <c r="D322" i="10" a="1"/>
  <c r="D322" i="10" s="1"/>
  <c r="D325" i="10" s="1"/>
  <c r="I322" i="10" a="1"/>
  <c r="I322" i="10" s="1"/>
  <c r="I325" i="10" s="1"/>
  <c r="K703" i="13"/>
  <c r="G309" i="10"/>
  <c r="G730" i="13" s="1" a="1"/>
  <c r="G730" i="13" s="1"/>
  <c r="G310" i="10"/>
  <c r="G731" i="13" s="1" a="1"/>
  <c r="G731" i="13" s="1"/>
  <c r="L309" i="10"/>
  <c r="L730" i="13" s="1" a="1"/>
  <c r="L730" i="13" s="1"/>
  <c r="L310" i="10"/>
  <c r="L731" i="13" s="1" a="1"/>
  <c r="L731" i="13" s="1"/>
  <c r="L708" i="13"/>
  <c r="M669" i="13"/>
  <c r="N309" i="10"/>
  <c r="N730" i="13" s="1" a="1"/>
  <c r="N730" i="13" s="1"/>
  <c r="N310" i="10"/>
  <c r="N731" i="13" s="1" a="1"/>
  <c r="N731" i="13" s="1"/>
  <c r="K309" i="10"/>
  <c r="K730" i="13" s="1" a="1"/>
  <c r="K730" i="13" s="1"/>
  <c r="K310" i="10"/>
  <c r="K731" i="13" s="1" a="1"/>
  <c r="K731" i="13" s="1"/>
  <c r="E335" i="10"/>
  <c r="O309" i="10"/>
  <c r="O730" i="13" s="1" a="1"/>
  <c r="O730" i="13" s="1"/>
  <c r="O310" i="10"/>
  <c r="O731" i="13" s="1" a="1"/>
  <c r="O731" i="13" s="1"/>
  <c r="J322" i="10" a="1"/>
  <c r="J322" i="10" s="1"/>
  <c r="J325" i="10" s="1"/>
  <c r="G322" i="10" a="1"/>
  <c r="G322" i="10" s="1"/>
  <c r="G325" i="10" s="1"/>
  <c r="H335" i="10"/>
  <c r="I335" i="10"/>
  <c r="L703" i="13"/>
  <c r="J708" i="13"/>
  <c r="H674" i="13"/>
  <c r="H322" i="10" a="1"/>
  <c r="H322" i="10" s="1"/>
  <c r="H325" i="10" s="1"/>
  <c r="H708" i="13"/>
  <c r="D706" i="13" a="1"/>
  <c r="D706" i="13" s="1"/>
  <c r="D707" i="13" s="1"/>
  <c r="D704" i="13" a="1"/>
  <c r="D704" i="13" s="1"/>
  <c r="D705" i="13" s="1"/>
  <c r="N335" i="10"/>
  <c r="M335" i="10"/>
  <c r="D309" i="10"/>
  <c r="D310" i="10"/>
  <c r="M309" i="10"/>
  <c r="M730" i="13" s="1" a="1"/>
  <c r="M730" i="13" s="1"/>
  <c r="M310" i="10"/>
  <c r="M731" i="13" s="1" a="1"/>
  <c r="M731" i="13" s="1"/>
  <c r="J335" i="10"/>
  <c r="K322" i="10" a="1"/>
  <c r="K322" i="10" s="1"/>
  <c r="K325" i="10" s="1"/>
  <c r="K708" i="13"/>
  <c r="D674" i="13"/>
  <c r="H669" i="13"/>
  <c r="I311" i="10"/>
  <c r="P311" i="10" s="1"/>
  <c r="L322" i="10" a="1"/>
  <c r="L322" i="10" s="1"/>
  <c r="L325" i="10" s="1"/>
  <c r="N708" i="13"/>
  <c r="HA31" i="9" s="1" a="1"/>
  <c r="HA31" i="9" s="1"/>
  <c r="N322" i="10" a="1"/>
  <c r="N322" i="10" s="1"/>
  <c r="N325" i="10" s="1"/>
  <c r="J309" i="10"/>
  <c r="J730" i="13" s="1" a="1"/>
  <c r="J730" i="13" s="1"/>
  <c r="J310" i="10"/>
  <c r="J731" i="13" s="1" a="1"/>
  <c r="J731" i="13" s="1"/>
  <c r="I682" i="13"/>
  <c r="L680" i="13"/>
  <c r="J680" i="13"/>
  <c r="L646" i="13"/>
  <c r="O680" i="13"/>
  <c r="M646" i="13"/>
  <c r="D680" i="13"/>
  <c r="D645" i="13"/>
  <c r="P298" i="10"/>
  <c r="G312" i="10"/>
  <c r="E312" i="10"/>
  <c r="D312" i="10"/>
  <c r="CX27" i="9" a="1"/>
  <c r="CX27" i="9" s="1"/>
  <c r="DF27" i="9" s="1"/>
  <c r="J40" i="24" s="1" a="1"/>
  <c r="J40" i="24" s="1"/>
  <c r="DQ26" i="9" a="1"/>
  <c r="DQ26" i="9" s="1"/>
  <c r="DY26" i="9" s="1"/>
  <c r="K39" i="24" s="1" a="1"/>
  <c r="K39" i="24" s="1"/>
  <c r="DQ27" i="9" a="1"/>
  <c r="DQ27" i="9" s="1"/>
  <c r="DY27" i="9" s="1"/>
  <c r="K40" i="24" s="1" a="1"/>
  <c r="K40" i="24" s="1"/>
  <c r="EJ27" i="9" a="1"/>
  <c r="EJ27" i="9" s="1"/>
  <c r="ER27" i="9" s="1"/>
  <c r="L40" i="24" s="1" a="1"/>
  <c r="L40" i="24" s="1"/>
  <c r="IA27" i="9" a="1"/>
  <c r="IA27" i="9" s="1"/>
  <c r="II27" i="9" s="1"/>
  <c r="Q40" i="24" s="1" a="1"/>
  <c r="Q40" i="24" s="1"/>
  <c r="Z26" i="9" a="1"/>
  <c r="Z26" i="9" s="1"/>
  <c r="AH26" i="9" s="1"/>
  <c r="F39" i="24" s="1" a="1"/>
  <c r="F39" i="24" s="1"/>
  <c r="BL27" i="9" a="1"/>
  <c r="BL27" i="9" s="1"/>
  <c r="BT27" i="9" s="1"/>
  <c r="H40" i="24" s="1" a="1"/>
  <c r="H40" i="24" s="1"/>
  <c r="GO27" i="9" a="1"/>
  <c r="GO27" i="9" s="1"/>
  <c r="GW27" i="9" s="1"/>
  <c r="O40" i="24" s="1" a="1"/>
  <c r="O40" i="24" s="1"/>
  <c r="IN25" i="9"/>
  <c r="IO25" i="9" s="1"/>
  <c r="IJ25" i="9"/>
  <c r="IK25" i="9" s="1"/>
  <c r="CE27" i="9" a="1"/>
  <c r="CE27" i="9" s="1"/>
  <c r="CM27" i="9" s="1"/>
  <c r="I40" i="24" s="1" a="1"/>
  <c r="I40" i="24" s="1"/>
  <c r="U28" i="9"/>
  <c r="HH26" i="9" a="1"/>
  <c r="HH26" i="9" s="1"/>
  <c r="HP26" i="9" s="1"/>
  <c r="P39" i="24" s="1" a="1"/>
  <c r="P39" i="24" s="1"/>
  <c r="AS27" i="9" a="1"/>
  <c r="AS27" i="9" s="1"/>
  <c r="BA27" i="9" s="1"/>
  <c r="G40" i="24" s="1" a="1"/>
  <c r="G40" i="24" s="1"/>
  <c r="FC27" i="9" a="1"/>
  <c r="FC27" i="9" s="1"/>
  <c r="FK27" i="9" s="1"/>
  <c r="M40" i="24" s="1" a="1"/>
  <c r="M40" i="24" s="1"/>
  <c r="IL26" i="9"/>
  <c r="IM26" i="9" s="1"/>
  <c r="HG28" i="9"/>
  <c r="HO28" i="9" s="1"/>
  <c r="EI28" i="9"/>
  <c r="EQ28" i="9" s="1"/>
  <c r="FB28" i="9"/>
  <c r="FJ28" i="9" s="1"/>
  <c r="HZ28" i="9"/>
  <c r="IH28" i="9" s="1"/>
  <c r="BK28" i="9"/>
  <c r="BS28" i="9" s="1"/>
  <c r="CW28" i="9"/>
  <c r="DE28" i="9" s="1"/>
  <c r="W27" i="9" a="1"/>
  <c r="W27" i="9" s="1"/>
  <c r="Y27" i="9" s="1"/>
  <c r="AG27" i="9" s="1"/>
  <c r="CD28" i="9"/>
  <c r="CL28" i="9" s="1"/>
  <c r="AR28" i="9"/>
  <c r="AZ28" i="9" s="1"/>
  <c r="I320" i="10"/>
  <c r="DH33" i="9" s="1" a="1"/>
  <c r="DH33" i="9" s="1"/>
  <c r="E320" i="10"/>
  <c r="AJ33" i="9" s="1" a="1"/>
  <c r="AJ33" i="9" s="1"/>
  <c r="H320" i="10"/>
  <c r="CO33" i="9" s="1" a="1"/>
  <c r="CO33" i="9" s="1"/>
  <c r="K312" i="10"/>
  <c r="O320" i="10"/>
  <c r="HR33" i="9" s="1" a="1"/>
  <c r="HR33" i="9" s="1"/>
  <c r="K320" i="10"/>
  <c r="ET33" i="9" s="1" a="1"/>
  <c r="ET33" i="9" s="1"/>
  <c r="J312" i="10"/>
  <c r="P342" i="10"/>
  <c r="P346" i="10" s="1"/>
  <c r="L342" i="10"/>
  <c r="H342" i="10"/>
  <c r="D342" i="10"/>
  <c r="K342" i="10"/>
  <c r="G342" i="10"/>
  <c r="B346" i="10"/>
  <c r="B347" i="10" s="1"/>
  <c r="N342" i="10"/>
  <c r="J342" i="10"/>
  <c r="F342" i="10"/>
  <c r="I342" i="10"/>
  <c r="E342" i="10"/>
  <c r="B343" i="10"/>
  <c r="B344" i="10" s="1"/>
  <c r="B345" i="10" s="1"/>
  <c r="M342" i="10"/>
  <c r="O342" i="10"/>
  <c r="D320" i="10"/>
  <c r="Q33" i="9" s="1" a="1"/>
  <c r="Q33" i="9" s="1"/>
  <c r="J332" i="10"/>
  <c r="M332" i="10"/>
  <c r="B369" i="10" a="1"/>
  <c r="B369" i="10" s="1"/>
  <c r="A369" i="10" a="1"/>
  <c r="A369" i="10" s="1"/>
  <c r="L320" i="10"/>
  <c r="FM33" i="9" s="1" a="1"/>
  <c r="FM33" i="9" s="1"/>
  <c r="N332" i="10"/>
  <c r="F332" i="10"/>
  <c r="P335" i="10"/>
  <c r="L332" i="10"/>
  <c r="O332" i="10"/>
  <c r="B334" i="10"/>
  <c r="B335" i="10" s="1"/>
  <c r="B336" i="10" s="1"/>
  <c r="B337" i="10" s="1"/>
  <c r="B338" i="10" s="1"/>
  <c r="B339" i="10" s="1"/>
  <c r="B340" i="10" s="1"/>
  <c r="M333" i="10"/>
  <c r="P333" i="10"/>
  <c r="P334" i="10" s="1"/>
  <c r="L333" i="10"/>
  <c r="O333" i="10"/>
  <c r="K333" i="10"/>
  <c r="N333" i="10"/>
  <c r="G333" i="10"/>
  <c r="F333" i="10"/>
  <c r="E333" i="10"/>
  <c r="D333" i="10"/>
  <c r="J333" i="10"/>
  <c r="I333" i="10"/>
  <c r="H333" i="10"/>
  <c r="N320" i="10"/>
  <c r="GY33" i="9" s="1" a="1"/>
  <c r="GY33" i="9" s="1"/>
  <c r="D332" i="10"/>
  <c r="G332" i="10"/>
  <c r="F320" i="10"/>
  <c r="BC33" i="9" s="1" a="1"/>
  <c r="BC33" i="9" s="1"/>
  <c r="O312" i="10"/>
  <c r="I312" i="10"/>
  <c r="K335" i="10"/>
  <c r="K332" i="10"/>
  <c r="M320" i="10"/>
  <c r="GF33" i="9" s="1" a="1"/>
  <c r="GF33" i="9" s="1"/>
  <c r="E332" i="10"/>
  <c r="G320" i="10"/>
  <c r="BV33" i="9" s="1" a="1"/>
  <c r="BV33" i="9" s="1"/>
  <c r="J320" i="10"/>
  <c r="EA33" i="9" s="1" a="1"/>
  <c r="EA33" i="9" s="1"/>
  <c r="L335" i="10"/>
  <c r="B356" i="10"/>
  <c r="M355" i="10"/>
  <c r="P355" i="10"/>
  <c r="H355" i="10"/>
  <c r="K355" i="10"/>
  <c r="O355" i="10"/>
  <c r="D355" i="10"/>
  <c r="G355" i="10"/>
  <c r="L355" i="10"/>
  <c r="F355" i="10"/>
  <c r="E355" i="10"/>
  <c r="I355" i="10"/>
  <c r="J355" i="10"/>
  <c r="N355" i="10"/>
  <c r="H332" i="10"/>
  <c r="I332" i="10"/>
  <c r="D335" i="10"/>
  <c r="R383" i="10"/>
  <c r="D684" i="13" l="1"/>
  <c r="EE30" i="9"/>
  <c r="L684" i="13"/>
  <c r="FS30" i="9" s="1" a="1"/>
  <c r="FS30" i="9" s="1"/>
  <c r="HC29" i="9"/>
  <c r="O684" i="13"/>
  <c r="HX30" i="9" s="1" a="1"/>
  <c r="HX30" i="9" s="1"/>
  <c r="J684" i="13"/>
  <c r="EG30" i="9" s="1" a="1"/>
  <c r="EG30" i="9" s="1"/>
  <c r="I684" i="13"/>
  <c r="DN30" i="9" s="1" a="1"/>
  <c r="DN30" i="9" s="1"/>
  <c r="M650" i="13"/>
  <c r="GL29" i="9" s="1" a="1"/>
  <c r="GL29" i="9" s="1"/>
  <c r="N650" i="13"/>
  <c r="HE29" i="9" s="1" a="1"/>
  <c r="HE29" i="9" s="1"/>
  <c r="HG29" i="9" s="1"/>
  <c r="HO29" i="9" s="1"/>
  <c r="L650" i="13"/>
  <c r="FS29" i="9" s="1" a="1"/>
  <c r="FS29" i="9" s="1"/>
  <c r="FU29" i="9" s="1"/>
  <c r="GC29" i="9" s="1"/>
  <c r="FQ30" i="9"/>
  <c r="HV30" i="9"/>
  <c r="DL30" i="9"/>
  <c r="GJ29" i="9"/>
  <c r="K682" i="13"/>
  <c r="EW30" i="9" a="1"/>
  <c r="EW30" i="9" s="1"/>
  <c r="F714" i="13"/>
  <c r="BF31" i="9" a="1"/>
  <c r="BF31" i="9" s="1"/>
  <c r="J42" i="25" a="1"/>
  <c r="J42" i="25" s="1"/>
  <c r="DM30" i="9"/>
  <c r="L716" i="13"/>
  <c r="FP31" i="9" a="1"/>
  <c r="FP31" i="9" s="1"/>
  <c r="D716" i="13"/>
  <c r="T31" i="9" a="1"/>
  <c r="T31" i="9" s="1"/>
  <c r="E43" i="25" s="1" a="1"/>
  <c r="E43" i="25" s="1"/>
  <c r="M42" i="25" a="1"/>
  <c r="M42" i="25" s="1"/>
  <c r="FR30" i="9"/>
  <c r="O714" i="13"/>
  <c r="HU31" i="9" a="1"/>
  <c r="HU31" i="9" s="1"/>
  <c r="G682" i="13"/>
  <c r="BY30" i="9" a="1"/>
  <c r="BY30" i="9" s="1"/>
  <c r="BZ30" i="9" s="1"/>
  <c r="H682" i="13"/>
  <c r="CR30" i="9" a="1"/>
  <c r="CR30" i="9" s="1"/>
  <c r="P42" i="25" a="1"/>
  <c r="P42" i="25" s="1"/>
  <c r="HW30" i="9"/>
  <c r="T29" i="9" a="1"/>
  <c r="T29" i="9" s="1"/>
  <c r="E41" i="25" s="1" a="1"/>
  <c r="E41" i="25" s="1"/>
  <c r="G716" i="13"/>
  <c r="BY31" i="9" a="1"/>
  <c r="BY31" i="9" s="1"/>
  <c r="N716" i="13"/>
  <c r="HB31" i="9" a="1"/>
  <c r="HB31" i="9" s="1"/>
  <c r="N682" i="13"/>
  <c r="HB30" i="9" a="1"/>
  <c r="HB30" i="9" s="1"/>
  <c r="HC30" i="9" s="1"/>
  <c r="J714" i="13"/>
  <c r="ED31" i="9" a="1"/>
  <c r="ED31" i="9" s="1"/>
  <c r="M41" i="25" a="1"/>
  <c r="M41" i="25" s="1"/>
  <c r="FR29" i="9"/>
  <c r="M682" i="13"/>
  <c r="GI30" i="9" a="1"/>
  <c r="GI30" i="9" s="1"/>
  <c r="L41" i="25" a="1"/>
  <c r="L41" i="25" s="1"/>
  <c r="EY29" i="9"/>
  <c r="O41" i="25" a="1"/>
  <c r="O41" i="25" s="1"/>
  <c r="HD29" i="9"/>
  <c r="I716" i="13"/>
  <c r="DK31" i="9" a="1"/>
  <c r="DK31" i="9" s="1"/>
  <c r="E680" i="13"/>
  <c r="AM30" i="9" a="1"/>
  <c r="AM30" i="9" s="1"/>
  <c r="Q40" i="25"/>
  <c r="N41" i="25" a="1"/>
  <c r="N41" i="25" s="1"/>
  <c r="GK29" i="9"/>
  <c r="F682" i="13"/>
  <c r="BF30" i="9" a="1"/>
  <c r="BF30" i="9" s="1"/>
  <c r="BG30" i="9" s="1"/>
  <c r="H714" i="13"/>
  <c r="CR31" i="9" a="1"/>
  <c r="CR31" i="9" s="1"/>
  <c r="M716" i="13"/>
  <c r="GI31" i="9" a="1"/>
  <c r="GI31" i="9" s="1"/>
  <c r="K42" i="25" a="1"/>
  <c r="K42" i="25" s="1"/>
  <c r="EF30" i="9"/>
  <c r="L616" i="13"/>
  <c r="FS28" i="9" s="1" a="1"/>
  <c r="FS28" i="9" s="1"/>
  <c r="FU28" i="9" s="1"/>
  <c r="GC28" i="9" s="1"/>
  <c r="E709" i="13" a="1"/>
  <c r="E709" i="13" s="1"/>
  <c r="E710" i="13" s="1"/>
  <c r="E713" i="13" s="1"/>
  <c r="CP32" i="9" a="1"/>
  <c r="CP32" i="9" s="1"/>
  <c r="I44" i="27" s="1" a="1"/>
  <c r="I44" i="27" s="1"/>
  <c r="K711" i="13" a="1"/>
  <c r="K711" i="13" s="1"/>
  <c r="K712" i="13" s="1"/>
  <c r="K713" i="13" s="1"/>
  <c r="CV32" i="9" a="1"/>
  <c r="CV32" i="9" s="1"/>
  <c r="H743" i="13" a="1"/>
  <c r="H743" i="13" s="1"/>
  <c r="H744" i="13" s="1"/>
  <c r="H747" i="13" s="1"/>
  <c r="FO31" i="9" a="1"/>
  <c r="FO31" i="9" s="1"/>
  <c r="FT32" i="9" a="1"/>
  <c r="FT32" i="9" s="1"/>
  <c r="L732" i="13" a="1"/>
  <c r="L732" i="13" s="1"/>
  <c r="EV31" i="9" a="1"/>
  <c r="EV31" i="9" s="1"/>
  <c r="HT31" i="9" a="1"/>
  <c r="HT31" i="9" s="1"/>
  <c r="O732" i="13" a="1"/>
  <c r="O732" i="13" s="1"/>
  <c r="O745" i="13" s="1" a="1"/>
  <c r="O745" i="13" s="1"/>
  <c r="O746" i="13" s="1"/>
  <c r="HS32" i="9" a="1"/>
  <c r="HS32" i="9" s="1"/>
  <c r="P44" i="27" s="1" a="1"/>
  <c r="P44" i="27" s="1"/>
  <c r="HY32" i="9" a="1"/>
  <c r="HY32" i="9" s="1"/>
  <c r="O766" i="13" a="1"/>
  <c r="O766" i="13" s="1"/>
  <c r="O777" i="13" s="1" a="1"/>
  <c r="O777" i="13" s="1"/>
  <c r="O778" i="13" s="1"/>
  <c r="HS33" i="9" a="1"/>
  <c r="HS33" i="9" s="1"/>
  <c r="HY33" i="9" a="1"/>
  <c r="HY33" i="9" s="1"/>
  <c r="HO27" i="9"/>
  <c r="IL27" i="9" s="1"/>
  <c r="IM27" i="9" s="1"/>
  <c r="HH27" i="9" a="1"/>
  <c r="HH27" i="9" s="1"/>
  <c r="GH31" i="9" a="1"/>
  <c r="GH31" i="9" s="1"/>
  <c r="EV30" i="9" a="1"/>
  <c r="EV30" i="9" s="1"/>
  <c r="N732" i="13" a="1"/>
  <c r="N732" i="13" s="1"/>
  <c r="N745" i="13" s="1" a="1"/>
  <c r="N745" i="13" s="1"/>
  <c r="N746" i="13" s="1"/>
  <c r="GZ32" i="9" a="1"/>
  <c r="GZ32" i="9" s="1"/>
  <c r="O44" i="27" s="1" a="1"/>
  <c r="O44" i="27" s="1"/>
  <c r="HF32" i="9" a="1"/>
  <c r="HF32" i="9" s="1"/>
  <c r="M732" i="13" a="1"/>
  <c r="M732" i="13" s="1"/>
  <c r="M745" i="13" s="1" a="1"/>
  <c r="M745" i="13" s="1"/>
  <c r="M746" i="13" s="1"/>
  <c r="GG32" i="9" a="1"/>
  <c r="GG32" i="9" s="1"/>
  <c r="N44" i="27" s="1" a="1"/>
  <c r="N44" i="27" s="1"/>
  <c r="GM32" i="9" a="1"/>
  <c r="GM32" i="9" s="1"/>
  <c r="GH30" i="9" a="1"/>
  <c r="GH30" i="9" s="1"/>
  <c r="K646" i="13"/>
  <c r="K648" i="13"/>
  <c r="K732" i="13" a="1"/>
  <c r="K732" i="13" s="1"/>
  <c r="K743" i="13" s="1" a="1"/>
  <c r="K743" i="13" s="1"/>
  <c r="K744" i="13" s="1"/>
  <c r="EU32" i="9" a="1"/>
  <c r="EU32" i="9" s="1"/>
  <c r="L44" i="27" s="1" a="1"/>
  <c r="L44" i="27" s="1"/>
  <c r="FA32" i="9" a="1"/>
  <c r="FA32" i="9" s="1"/>
  <c r="L43" i="27" a="1"/>
  <c r="L43" i="27" s="1"/>
  <c r="G326" i="10"/>
  <c r="G766" i="13" s="1" a="1"/>
  <c r="G766" i="13" s="1"/>
  <c r="G779" i="13" s="1" a="1"/>
  <c r="G779" i="13" s="1"/>
  <c r="G780" i="13" s="1"/>
  <c r="J732" i="13" a="1"/>
  <c r="J732" i="13" s="1"/>
  <c r="J743" i="13" s="1" a="1"/>
  <c r="J743" i="13" s="1"/>
  <c r="J744" i="13" s="1"/>
  <c r="EB32" i="9" a="1"/>
  <c r="EB32" i="9" s="1"/>
  <c r="K44" i="27" s="1" a="1"/>
  <c r="K44" i="27" s="1"/>
  <c r="EH32" i="9" a="1"/>
  <c r="EH32" i="9" s="1"/>
  <c r="CQ31" i="9" a="1"/>
  <c r="CQ31" i="9" s="1"/>
  <c r="EC31" i="9" a="1"/>
  <c r="EC31" i="9" s="1"/>
  <c r="I732" i="13" a="1"/>
  <c r="I732" i="13" s="1"/>
  <c r="I743" i="13" s="1" a="1"/>
  <c r="I743" i="13" s="1"/>
  <c r="I744" i="13" s="1"/>
  <c r="DO32" i="9" a="1"/>
  <c r="DO32" i="9" s="1"/>
  <c r="DI32" i="9" a="1"/>
  <c r="DI32" i="9" s="1"/>
  <c r="J44" i="27" s="1" a="1"/>
  <c r="J44" i="27" s="1"/>
  <c r="DJ31" i="9" a="1"/>
  <c r="DJ31" i="9" s="1"/>
  <c r="AL31" i="9" a="1"/>
  <c r="AL31" i="9" s="1"/>
  <c r="CQ30" i="9" a="1"/>
  <c r="CQ30" i="9" s="1"/>
  <c r="BX31" i="9" a="1"/>
  <c r="BX31" i="9" s="1"/>
  <c r="G732" i="13" a="1"/>
  <c r="G732" i="13" s="1"/>
  <c r="G745" i="13" s="1" a="1"/>
  <c r="G745" i="13" s="1"/>
  <c r="G746" i="13" s="1"/>
  <c r="CC32" i="9" a="1"/>
  <c r="CC32" i="9" s="1"/>
  <c r="BW32" i="9" a="1"/>
  <c r="BW32" i="9" s="1"/>
  <c r="H44" i="27" s="1" a="1"/>
  <c r="H44" i="27" s="1"/>
  <c r="BE31" i="9" a="1"/>
  <c r="BE31" i="9" s="1"/>
  <c r="F732" i="13" a="1"/>
  <c r="F732" i="13" s="1"/>
  <c r="F745" i="13" s="1" a="1"/>
  <c r="F745" i="13" s="1"/>
  <c r="F746" i="13" s="1"/>
  <c r="BD32" i="9" a="1"/>
  <c r="BD32" i="9" s="1"/>
  <c r="G44" i="27" s="1" a="1"/>
  <c r="G44" i="27" s="1"/>
  <c r="BJ32" i="9" a="1"/>
  <c r="BJ32" i="9" s="1"/>
  <c r="E732" i="13" a="1"/>
  <c r="E732" i="13" s="1"/>
  <c r="E745" i="13" s="1" a="1"/>
  <c r="E745" i="13" s="1"/>
  <c r="E746" i="13" s="1"/>
  <c r="AK32" i="9" a="1"/>
  <c r="AK32" i="9" s="1"/>
  <c r="F44" i="27" s="1" a="1"/>
  <c r="F44" i="27" s="1"/>
  <c r="AQ32" i="9" a="1"/>
  <c r="AQ32" i="9" s="1"/>
  <c r="AL30" i="9" a="1"/>
  <c r="AL30" i="9" s="1"/>
  <c r="F43" i="27" a="1"/>
  <c r="F43" i="27" s="1"/>
  <c r="R32" i="9" a="1"/>
  <c r="R32" i="9" s="1"/>
  <c r="E44" i="27" s="1" a="1"/>
  <c r="E44" i="27" s="1"/>
  <c r="X32" i="9" a="1"/>
  <c r="X32" i="9" s="1"/>
  <c r="S30" i="9" a="1"/>
  <c r="S30" i="9" s="1"/>
  <c r="U30" i="9" s="1"/>
  <c r="H326" i="10"/>
  <c r="J326" i="10"/>
  <c r="L326" i="10"/>
  <c r="M326" i="10"/>
  <c r="E326" i="10"/>
  <c r="N326" i="10"/>
  <c r="D708" i="13"/>
  <c r="O325" i="10"/>
  <c r="P325" i="10" s="1"/>
  <c r="I326" i="10"/>
  <c r="I349" i="10"/>
  <c r="H349" i="10"/>
  <c r="K323" i="10"/>
  <c r="K764" i="13" s="1" a="1"/>
  <c r="K764" i="13" s="1"/>
  <c r="K324" i="10"/>
  <c r="K765" i="13" s="1" a="1"/>
  <c r="K765" i="13" s="1"/>
  <c r="H323" i="10"/>
  <c r="H764" i="13" s="1" a="1"/>
  <c r="H764" i="13" s="1"/>
  <c r="H324" i="10"/>
  <c r="H765" i="13" s="1" a="1"/>
  <c r="H765" i="13" s="1"/>
  <c r="O735" i="13" a="1"/>
  <c r="O735" i="13" s="1"/>
  <c r="O736" i="13" s="1"/>
  <c r="O733" i="13" a="1"/>
  <c r="O733" i="13" s="1"/>
  <c r="O734" i="13" s="1"/>
  <c r="N733" i="13" a="1"/>
  <c r="N733" i="13" s="1"/>
  <c r="N734" i="13" s="1"/>
  <c r="N735" i="13" a="1"/>
  <c r="N735" i="13" s="1"/>
  <c r="N736" i="13" s="1"/>
  <c r="F738" i="13" a="1"/>
  <c r="F738" i="13" s="1"/>
  <c r="F739" i="13" s="1"/>
  <c r="F740" i="13" a="1"/>
  <c r="F740" i="13" s="1"/>
  <c r="F741" i="13" s="1"/>
  <c r="D703" i="13"/>
  <c r="K336" i="10" a="1"/>
  <c r="K336" i="10" s="1"/>
  <c r="K339" i="10" s="1"/>
  <c r="L349" i="10"/>
  <c r="J716" i="13"/>
  <c r="J740" i="13" a="1"/>
  <c r="J740" i="13" s="1"/>
  <c r="J741" i="13" s="1"/>
  <c r="J738" i="13" a="1"/>
  <c r="J738" i="13" s="1"/>
  <c r="J739" i="13" s="1"/>
  <c r="M336" i="10" a="1"/>
  <c r="M336" i="10" s="1"/>
  <c r="M339" i="10" s="1"/>
  <c r="H336" i="10" a="1"/>
  <c r="H336" i="10" s="1"/>
  <c r="H339" i="10" s="1"/>
  <c r="F735" i="13" a="1"/>
  <c r="F735" i="13" s="1"/>
  <c r="F736" i="13" s="1"/>
  <c r="F733" i="13" a="1"/>
  <c r="F733" i="13" s="1"/>
  <c r="F734" i="13" s="1"/>
  <c r="E738" i="13" a="1"/>
  <c r="E738" i="13" s="1"/>
  <c r="E739" i="13" s="1"/>
  <c r="E740" i="13" a="1"/>
  <c r="E740" i="13" s="1"/>
  <c r="E741" i="13" s="1"/>
  <c r="D336" i="10" a="1"/>
  <c r="D336" i="10" s="1"/>
  <c r="D339" i="10" s="1"/>
  <c r="P336" i="10" a="1"/>
  <c r="P336" i="10" s="1"/>
  <c r="J349" i="10"/>
  <c r="H716" i="13"/>
  <c r="J733" i="13" a="1"/>
  <c r="J733" i="13" s="1"/>
  <c r="J734" i="13" s="1"/>
  <c r="J735" i="13" a="1"/>
  <c r="J735" i="13" s="1"/>
  <c r="J736" i="13" s="1"/>
  <c r="E735" i="13" a="1"/>
  <c r="E735" i="13" s="1"/>
  <c r="E736" i="13" s="1"/>
  <c r="E733" i="13" a="1"/>
  <c r="E733" i="13" s="1"/>
  <c r="E734" i="13" s="1"/>
  <c r="M323" i="10"/>
  <c r="M764" i="13" s="1" a="1"/>
  <c r="M764" i="13" s="1"/>
  <c r="M324" i="10"/>
  <c r="M765" i="13" s="1" a="1"/>
  <c r="M765" i="13" s="1"/>
  <c r="O336" i="10" a="1"/>
  <c r="O336" i="10" s="1"/>
  <c r="O339" i="10" s="1"/>
  <c r="N349" i="10"/>
  <c r="J336" i="10" a="1"/>
  <c r="J336" i="10" s="1"/>
  <c r="J339" i="10" s="1"/>
  <c r="N336" i="10" a="1"/>
  <c r="N336" i="10" s="1"/>
  <c r="N339" i="10" s="1"/>
  <c r="G323" i="10"/>
  <c r="G764" i="13" s="1" a="1"/>
  <c r="G764" i="13" s="1"/>
  <c r="G324" i="10"/>
  <c r="G765" i="13" s="1" a="1"/>
  <c r="G765" i="13" s="1"/>
  <c r="E336" i="10" a="1"/>
  <c r="E336" i="10" s="1"/>
  <c r="E339" i="10" s="1"/>
  <c r="L740" i="13" a="1"/>
  <c r="L740" i="13" s="1"/>
  <c r="L741" i="13" s="1"/>
  <c r="L738" i="13" a="1"/>
  <c r="L738" i="13" s="1"/>
  <c r="L739" i="13" s="1"/>
  <c r="I323" i="10"/>
  <c r="I764" i="13" s="1" a="1"/>
  <c r="I764" i="13" s="1"/>
  <c r="I324" i="10"/>
  <c r="I765" i="13" s="1" a="1"/>
  <c r="I765" i="13" s="1"/>
  <c r="N323" i="10"/>
  <c r="N764" i="13" s="1" a="1"/>
  <c r="N764" i="13" s="1"/>
  <c r="N324" i="10"/>
  <c r="N765" i="13" s="1" a="1"/>
  <c r="N765" i="13" s="1"/>
  <c r="M738" i="13" a="1"/>
  <c r="M738" i="13" s="1"/>
  <c r="M739" i="13" s="1"/>
  <c r="M740" i="13" a="1"/>
  <c r="M740" i="13" s="1"/>
  <c r="M741" i="13" s="1"/>
  <c r="L735" i="13" a="1"/>
  <c r="L735" i="13" s="1"/>
  <c r="L736" i="13" s="1"/>
  <c r="L733" i="13" a="1"/>
  <c r="L733" i="13" s="1"/>
  <c r="L734" i="13" s="1"/>
  <c r="O323" i="10"/>
  <c r="O764" i="13" s="1" a="1"/>
  <c r="O764" i="13" s="1"/>
  <c r="O324" i="10"/>
  <c r="O765" i="13" s="1" a="1"/>
  <c r="O765" i="13" s="1"/>
  <c r="G336" i="10" a="1"/>
  <c r="G336" i="10" s="1"/>
  <c r="G339" i="10" s="1"/>
  <c r="H740" i="13" a="1"/>
  <c r="H740" i="13" s="1"/>
  <c r="H741" i="13" s="1"/>
  <c r="H738" i="13" a="1"/>
  <c r="H738" i="13" s="1"/>
  <c r="H739" i="13" s="1"/>
  <c r="E323" i="10"/>
  <c r="E764" i="13" s="1" a="1"/>
  <c r="E764" i="13" s="1"/>
  <c r="E324" i="10"/>
  <c r="E765" i="13" s="1" a="1"/>
  <c r="E765" i="13" s="1"/>
  <c r="L336" i="10" a="1"/>
  <c r="L336" i="10" s="1"/>
  <c r="L339" i="10" s="1"/>
  <c r="M735" i="13" a="1"/>
  <c r="M735" i="13" s="1"/>
  <c r="M736" i="13" s="1"/>
  <c r="M733" i="13" a="1"/>
  <c r="M733" i="13" s="1"/>
  <c r="M734" i="13" s="1"/>
  <c r="J323" i="10"/>
  <c r="J764" i="13" s="1" a="1"/>
  <c r="J764" i="13" s="1"/>
  <c r="J324" i="10"/>
  <c r="J765" i="13" s="1" a="1"/>
  <c r="J765" i="13" s="1"/>
  <c r="K738" i="13" a="1"/>
  <c r="K738" i="13" s="1"/>
  <c r="K739" i="13" s="1"/>
  <c r="K740" i="13" a="1"/>
  <c r="K740" i="13" s="1"/>
  <c r="K741" i="13" s="1"/>
  <c r="G738" i="13" a="1"/>
  <c r="G738" i="13" s="1"/>
  <c r="G739" i="13" s="1"/>
  <c r="G740" i="13" a="1"/>
  <c r="G740" i="13" s="1"/>
  <c r="G741" i="13" s="1"/>
  <c r="D323" i="10"/>
  <c r="D324" i="10"/>
  <c r="H735" i="13" a="1"/>
  <c r="H735" i="13" s="1"/>
  <c r="H736" i="13" s="1"/>
  <c r="H733" i="13" a="1"/>
  <c r="H733" i="13" s="1"/>
  <c r="H734" i="13" s="1"/>
  <c r="D731" i="13" a="1"/>
  <c r="D731" i="13" s="1"/>
  <c r="P310" i="10"/>
  <c r="K733" i="13" a="1"/>
  <c r="K733" i="13" s="1"/>
  <c r="K734" i="13" s="1"/>
  <c r="K735" i="13" a="1"/>
  <c r="K735" i="13" s="1"/>
  <c r="K736" i="13" s="1"/>
  <c r="G733" i="13" a="1"/>
  <c r="G733" i="13" s="1"/>
  <c r="G734" i="13" s="1"/>
  <c r="G735" i="13" a="1"/>
  <c r="G735" i="13" s="1"/>
  <c r="G736" i="13" s="1"/>
  <c r="I740" i="13" a="1"/>
  <c r="I740" i="13" s="1"/>
  <c r="I741" i="13" s="1"/>
  <c r="I738" i="13" a="1"/>
  <c r="I738" i="13" s="1"/>
  <c r="I739" i="13" s="1"/>
  <c r="F336" i="10" a="1"/>
  <c r="F336" i="10" s="1"/>
  <c r="F339" i="10" s="1"/>
  <c r="D349" i="10"/>
  <c r="L323" i="10"/>
  <c r="L764" i="13" s="1" a="1"/>
  <c r="L764" i="13" s="1"/>
  <c r="L324" i="10"/>
  <c r="L765" i="13" s="1" a="1"/>
  <c r="L765" i="13" s="1"/>
  <c r="D730" i="13" a="1"/>
  <c r="D730" i="13" s="1"/>
  <c r="P309" i="10"/>
  <c r="I336" i="10" a="1"/>
  <c r="I336" i="10" s="1"/>
  <c r="I339" i="10" s="1"/>
  <c r="O738" i="13" a="1"/>
  <c r="O738" i="13" s="1"/>
  <c r="O739" i="13" s="1"/>
  <c r="O740" i="13" a="1"/>
  <c r="O740" i="13" s="1"/>
  <c r="O741" i="13" s="1"/>
  <c r="N738" i="13" a="1"/>
  <c r="N738" i="13" s="1"/>
  <c r="N739" i="13" s="1"/>
  <c r="N740" i="13" a="1"/>
  <c r="N740" i="13" s="1"/>
  <c r="N741" i="13" s="1"/>
  <c r="F323" i="10"/>
  <c r="F764" i="13" s="1" a="1"/>
  <c r="F764" i="13" s="1"/>
  <c r="F324" i="10"/>
  <c r="F765" i="13" s="1" a="1"/>
  <c r="F765" i="13" s="1"/>
  <c r="I733" i="13" a="1"/>
  <c r="I733" i="13" s="1"/>
  <c r="I734" i="13" s="1"/>
  <c r="I735" i="13" a="1"/>
  <c r="I735" i="13" s="1"/>
  <c r="I736" i="13" s="1"/>
  <c r="D646" i="13"/>
  <c r="N680" i="13"/>
  <c r="N684" i="13" s="1"/>
  <c r="HE30" i="9" s="1" a="1"/>
  <c r="HE30" i="9" s="1"/>
  <c r="M714" i="13"/>
  <c r="F716" i="13"/>
  <c r="K680" i="13"/>
  <c r="G680" i="13"/>
  <c r="M680" i="13"/>
  <c r="M684" i="13" s="1"/>
  <c r="GL30" i="9" s="1" a="1"/>
  <c r="GL30" i="9" s="1"/>
  <c r="E682" i="13"/>
  <c r="H680" i="13"/>
  <c r="L714" i="13"/>
  <c r="D714" i="13"/>
  <c r="F680" i="13"/>
  <c r="I714" i="13"/>
  <c r="O716" i="13"/>
  <c r="N714" i="13"/>
  <c r="G714" i="13"/>
  <c r="D648" i="13"/>
  <c r="D732" i="13" a="1"/>
  <c r="D732" i="13" s="1"/>
  <c r="F326" i="10"/>
  <c r="M44" i="27" a="1"/>
  <c r="M44" i="27" s="1"/>
  <c r="IN26" i="9"/>
  <c r="IO26" i="9" s="1"/>
  <c r="FC28" i="9" a="1"/>
  <c r="FC28" i="9" s="1"/>
  <c r="FK28" i="9" s="1"/>
  <c r="M41" i="24" s="1" a="1"/>
  <c r="M41" i="24" s="1"/>
  <c r="IA28" i="9" a="1"/>
  <c r="IA28" i="9" s="1"/>
  <c r="II28" i="9" s="1"/>
  <c r="Q41" i="24" s="1" a="1"/>
  <c r="Q41" i="24" s="1"/>
  <c r="HH28" i="9" a="1"/>
  <c r="HH28" i="9" s="1"/>
  <c r="HP28" i="9" s="1"/>
  <c r="P41" i="24" s="1" a="1"/>
  <c r="P41" i="24" s="1"/>
  <c r="IJ26" i="9"/>
  <c r="IK26" i="9" s="1"/>
  <c r="DQ28" i="9" a="1"/>
  <c r="DQ28" i="9" s="1"/>
  <c r="DY28" i="9" s="1"/>
  <c r="K41" i="24" s="1" a="1"/>
  <c r="K41" i="24" s="1"/>
  <c r="BL28" i="9" a="1"/>
  <c r="BL28" i="9" s="1"/>
  <c r="BT28" i="9" s="1"/>
  <c r="H41" i="24" s="1" a="1"/>
  <c r="H41" i="24" s="1"/>
  <c r="AS28" i="9" a="1"/>
  <c r="AS28" i="9" s="1"/>
  <c r="BA28" i="9" s="1"/>
  <c r="G41" i="24" s="1" a="1"/>
  <c r="G41" i="24" s="1"/>
  <c r="EJ28" i="9" a="1"/>
  <c r="EJ28" i="9" s="1"/>
  <c r="ER28" i="9" s="1"/>
  <c r="L41" i="24" s="1" a="1"/>
  <c r="L41" i="24" s="1"/>
  <c r="CE28" i="9" a="1"/>
  <c r="CE28" i="9" s="1"/>
  <c r="CM28" i="9" s="1"/>
  <c r="I41" i="24" s="1" a="1"/>
  <c r="I41" i="24" s="1"/>
  <c r="DP29" i="9"/>
  <c r="DX29" i="9" s="1"/>
  <c r="CX28" i="9" a="1"/>
  <c r="CX28" i="9" s="1"/>
  <c r="DF28" i="9" s="1"/>
  <c r="J41" i="24" s="1" a="1"/>
  <c r="J41" i="24" s="1"/>
  <c r="CW29" i="9"/>
  <c r="DE29" i="9" s="1"/>
  <c r="GN28" i="9"/>
  <c r="GV28" i="9" s="1"/>
  <c r="HZ29" i="9"/>
  <c r="IH29" i="9" s="1"/>
  <c r="Z27" i="9" a="1"/>
  <c r="Z27" i="9" s="1"/>
  <c r="AH27" i="9" s="1"/>
  <c r="F40" i="24" s="1" a="1"/>
  <c r="F40" i="24" s="1"/>
  <c r="EI29" i="9"/>
  <c r="EQ29" i="9" s="1"/>
  <c r="W28" i="9" a="1"/>
  <c r="W28" i="9" s="1"/>
  <c r="Y28" i="9" s="1"/>
  <c r="AR29" i="9"/>
  <c r="AZ29" i="9" s="1"/>
  <c r="CD29" i="9"/>
  <c r="CE29" i="9" s="1" a="1"/>
  <c r="CE29" i="9" s="1"/>
  <c r="BK29" i="9"/>
  <c r="BS29" i="9" s="1"/>
  <c r="P349" i="10"/>
  <c r="G334" i="10"/>
  <c r="BV34" i="9" s="1" a="1"/>
  <c r="BV34" i="9" s="1"/>
  <c r="E334" i="10"/>
  <c r="AJ34" i="9" s="1" a="1"/>
  <c r="AJ34" i="9" s="1"/>
  <c r="I334" i="10"/>
  <c r="DH34" i="9" s="1" a="1"/>
  <c r="DH34" i="9" s="1"/>
  <c r="D334" i="10"/>
  <c r="Q34" i="9" s="1" a="1"/>
  <c r="Q34" i="9" s="1"/>
  <c r="N334" i="10"/>
  <c r="GY34" i="9" s="1" a="1"/>
  <c r="GY34" i="9" s="1"/>
  <c r="J334" i="10"/>
  <c r="EA34" i="9" s="1" a="1"/>
  <c r="EA34" i="9" s="1"/>
  <c r="K326" i="10"/>
  <c r="E356" i="10"/>
  <c r="E363" i="10" s="1"/>
  <c r="B357" i="10"/>
  <c r="B358" i="10" s="1"/>
  <c r="B359" i="10" s="1"/>
  <c r="F356" i="10"/>
  <c r="F363" i="10" s="1"/>
  <c r="I356" i="10"/>
  <c r="I363" i="10" s="1"/>
  <c r="D356" i="10"/>
  <c r="D363" i="10" s="1"/>
  <c r="H356" i="10"/>
  <c r="H363" i="10" s="1"/>
  <c r="N356" i="10"/>
  <c r="N363" i="10" s="1"/>
  <c r="O356" i="10"/>
  <c r="K356" i="10"/>
  <c r="G356" i="10"/>
  <c r="G363" i="10" s="1"/>
  <c r="M356" i="10"/>
  <c r="M363" i="10" s="1"/>
  <c r="J356" i="10"/>
  <c r="J363" i="10" s="1"/>
  <c r="L356" i="10"/>
  <c r="L363" i="10" s="1"/>
  <c r="B360" i="10"/>
  <c r="B361" i="10" s="1"/>
  <c r="P356" i="10"/>
  <c r="P360" i="10" s="1"/>
  <c r="G369" i="10"/>
  <c r="H369" i="10"/>
  <c r="D369" i="10"/>
  <c r="M369" i="10"/>
  <c r="B370" i="10"/>
  <c r="E369" i="10"/>
  <c r="N369" i="10"/>
  <c r="J369" i="10"/>
  <c r="L369" i="10"/>
  <c r="F369" i="10"/>
  <c r="I369" i="10"/>
  <c r="P369" i="10"/>
  <c r="O369" i="10"/>
  <c r="K369" i="10"/>
  <c r="I346" i="10"/>
  <c r="H346" i="10"/>
  <c r="H334" i="10"/>
  <c r="CO34" i="9" s="1" a="1"/>
  <c r="CO34" i="9" s="1"/>
  <c r="D326" i="10"/>
  <c r="X33" i="9" s="1" a="1"/>
  <c r="X33" i="9" s="1"/>
  <c r="P312" i="10"/>
  <c r="F349" i="10"/>
  <c r="F346" i="10"/>
  <c r="L346" i="10"/>
  <c r="B383" i="10" a="1"/>
  <c r="B383" i="10" s="1"/>
  <c r="A383" i="10" a="1"/>
  <c r="A383" i="10" s="1"/>
  <c r="K334" i="10"/>
  <c r="ET34" i="9" s="1" a="1"/>
  <c r="ET34" i="9" s="1"/>
  <c r="F334" i="10"/>
  <c r="BC34" i="9" s="1" a="1"/>
  <c r="BC34" i="9" s="1"/>
  <c r="M334" i="10"/>
  <c r="GF34" i="9" s="1" a="1"/>
  <c r="GF34" i="9" s="1"/>
  <c r="J346" i="10"/>
  <c r="L334" i="10"/>
  <c r="FM34" i="9" s="1" a="1"/>
  <c r="FM34" i="9" s="1"/>
  <c r="N346" i="10"/>
  <c r="O346" i="10"/>
  <c r="K347" i="10"/>
  <c r="N347" i="10"/>
  <c r="B348" i="10"/>
  <c r="B349" i="10" s="1"/>
  <c r="B350" i="10" s="1"/>
  <c r="B351" i="10" s="1"/>
  <c r="B352" i="10" s="1"/>
  <c r="B353" i="10" s="1"/>
  <c r="B354" i="10" s="1"/>
  <c r="M347" i="10"/>
  <c r="P347" i="10"/>
  <c r="P348" i="10" s="1"/>
  <c r="L347" i="10"/>
  <c r="G347" i="10"/>
  <c r="I347" i="10"/>
  <c r="H347" i="10"/>
  <c r="O347" i="10"/>
  <c r="F347" i="10"/>
  <c r="E347" i="10"/>
  <c r="D347" i="10"/>
  <c r="J347" i="10"/>
  <c r="O349" i="10"/>
  <c r="O334" i="10"/>
  <c r="HR34" i="9" s="1" a="1"/>
  <c r="HR34" i="9" s="1"/>
  <c r="M346" i="10"/>
  <c r="G349" i="10"/>
  <c r="G346" i="10"/>
  <c r="K346" i="10"/>
  <c r="K349" i="10"/>
  <c r="M349" i="10"/>
  <c r="E349" i="10"/>
  <c r="E346" i="10"/>
  <c r="D346" i="10"/>
  <c r="R397" i="10"/>
  <c r="J718" i="13" l="1"/>
  <c r="EG31" i="9" s="1" a="1"/>
  <c r="EG31" i="9" s="1"/>
  <c r="N718" i="13"/>
  <c r="HE31" i="9" s="1" a="1"/>
  <c r="HE31" i="9" s="1"/>
  <c r="E684" i="13"/>
  <c r="AP30" i="9" s="1" a="1"/>
  <c r="AP30" i="9" s="1"/>
  <c r="CS31" i="9"/>
  <c r="L718" i="13"/>
  <c r="FS31" i="9" s="1" a="1"/>
  <c r="FS31" i="9" s="1"/>
  <c r="BZ31" i="9"/>
  <c r="G684" i="13"/>
  <c r="CB30" i="9" s="1" a="1"/>
  <c r="CB30" i="9" s="1"/>
  <c r="CD30" i="9" s="1"/>
  <c r="CL30" i="9" s="1"/>
  <c r="H718" i="13"/>
  <c r="CU31" i="9" s="1" a="1"/>
  <c r="CU31" i="9" s="1"/>
  <c r="CW31" i="9" s="1"/>
  <c r="DE31" i="9" s="1"/>
  <c r="F684" i="13"/>
  <c r="BI30" i="9" s="1" a="1"/>
  <c r="BI30" i="9" s="1"/>
  <c r="BK30" i="9" s="1"/>
  <c r="U29" i="9"/>
  <c r="O718" i="13"/>
  <c r="HX31" i="9" s="1" a="1"/>
  <c r="HX31" i="9" s="1"/>
  <c r="HZ31" i="9" s="1"/>
  <c r="IH31" i="9" s="1"/>
  <c r="G718" i="13"/>
  <c r="CB31" i="9" s="1" a="1"/>
  <c r="CB31" i="9" s="1"/>
  <c r="FV28" i="9" a="1"/>
  <c r="FV28" i="9" s="1"/>
  <c r="GD28" i="9" s="1"/>
  <c r="N41" i="24" s="1" a="1"/>
  <c r="N41" i="24" s="1"/>
  <c r="I718" i="13"/>
  <c r="DN31" i="9" s="1" a="1"/>
  <c r="DN31" i="9" s="1"/>
  <c r="DL31" i="9"/>
  <c r="BG31" i="9"/>
  <c r="HV31" i="9"/>
  <c r="K684" i="13"/>
  <c r="EZ30" i="9" s="1" a="1"/>
  <c r="EZ30" i="9" s="1"/>
  <c r="D718" i="13"/>
  <c r="M718" i="13"/>
  <c r="GL31" i="9" s="1" a="1"/>
  <c r="GL31" i="9" s="1"/>
  <c r="H684" i="13"/>
  <c r="CU30" i="9" s="1" a="1"/>
  <c r="CU30" i="9" s="1"/>
  <c r="F718" i="13"/>
  <c r="BI31" i="9" s="1" a="1"/>
  <c r="BI31" i="9" s="1"/>
  <c r="GJ31" i="9"/>
  <c r="EE31" i="9"/>
  <c r="FQ31" i="9"/>
  <c r="GJ30" i="9"/>
  <c r="EX30" i="9"/>
  <c r="H750" i="13"/>
  <c r="CR32" i="9" a="1"/>
  <c r="CR32" i="9" s="1"/>
  <c r="N43" i="25" a="1"/>
  <c r="N43" i="25" s="1"/>
  <c r="GK31" i="9"/>
  <c r="F42" i="25" a="1"/>
  <c r="F42" i="25" s="1"/>
  <c r="AO30" i="9"/>
  <c r="Q41" i="25"/>
  <c r="P43" i="25" a="1"/>
  <c r="P43" i="25" s="1"/>
  <c r="HW31" i="9"/>
  <c r="I43" i="25" a="1"/>
  <c r="I43" i="25" s="1"/>
  <c r="CT31" i="9"/>
  <c r="N42" i="25" a="1"/>
  <c r="N42" i="25" s="1"/>
  <c r="GK30" i="9"/>
  <c r="V29" i="9"/>
  <c r="K714" i="13"/>
  <c r="EW31" i="9" a="1"/>
  <c r="EW31" i="9" s="1"/>
  <c r="EX31" i="9" s="1"/>
  <c r="AN30" i="9"/>
  <c r="J43" i="25" a="1"/>
  <c r="J43" i="25" s="1"/>
  <c r="DM31" i="9"/>
  <c r="O42" i="25" a="1"/>
  <c r="O42" i="25" s="1"/>
  <c r="HD30" i="9"/>
  <c r="G43" i="25" a="1"/>
  <c r="G43" i="25" s="1"/>
  <c r="BH31" i="9"/>
  <c r="G42" i="25" a="1"/>
  <c r="G42" i="25" s="1"/>
  <c r="BH30" i="9"/>
  <c r="O43" i="25" a="1"/>
  <c r="O43" i="25" s="1"/>
  <c r="HD31" i="9"/>
  <c r="I42" i="25" a="1"/>
  <c r="I42" i="25" s="1"/>
  <c r="CT30" i="9"/>
  <c r="L42" i="25" a="1"/>
  <c r="L42" i="25" s="1"/>
  <c r="EY30" i="9"/>
  <c r="K43" i="25" a="1"/>
  <c r="K43" i="25" s="1"/>
  <c r="EF31" i="9"/>
  <c r="E714" i="13"/>
  <c r="AM31" i="9" a="1"/>
  <c r="AM31" i="9" s="1"/>
  <c r="CS30" i="9"/>
  <c r="H43" i="25" a="1"/>
  <c r="H43" i="25" s="1"/>
  <c r="CA31" i="9"/>
  <c r="H42" i="25" a="1"/>
  <c r="H42" i="25" s="1"/>
  <c r="CA30" i="9"/>
  <c r="M43" i="25" a="1"/>
  <c r="M43" i="25" s="1"/>
  <c r="FR31" i="9"/>
  <c r="HC31" i="9"/>
  <c r="O743" i="13" a="1"/>
  <c r="O743" i="13" s="1"/>
  <c r="O744" i="13" s="1"/>
  <c r="O747" i="13" s="1"/>
  <c r="J745" i="13" a="1"/>
  <c r="J745" i="13" s="1"/>
  <c r="J746" i="13" s="1"/>
  <c r="J747" i="13" s="1"/>
  <c r="E743" i="13" a="1"/>
  <c r="E743" i="13" s="1"/>
  <c r="E744" i="13" s="1"/>
  <c r="E747" i="13" s="1"/>
  <c r="O779" i="13" a="1"/>
  <c r="O779" i="13" s="1"/>
  <c r="O780" i="13" s="1"/>
  <c r="O781" i="13" s="1"/>
  <c r="HU33" i="9" s="1" a="1"/>
  <c r="HU33" i="9" s="1"/>
  <c r="HW33" i="9" s="1"/>
  <c r="K745" i="13" a="1"/>
  <c r="K745" i="13" s="1"/>
  <c r="K746" i="13" s="1"/>
  <c r="K747" i="13" s="1"/>
  <c r="G743" i="13" a="1"/>
  <c r="G743" i="13" s="1"/>
  <c r="G744" i="13" s="1"/>
  <c r="G747" i="13" s="1"/>
  <c r="BY32" i="9" s="1" a="1"/>
  <c r="BY32" i="9" s="1"/>
  <c r="I745" i="13" a="1"/>
  <c r="I745" i="13" s="1"/>
  <c r="I746" i="13" s="1"/>
  <c r="I747" i="13" s="1"/>
  <c r="M743" i="13" a="1"/>
  <c r="M743" i="13" s="1"/>
  <c r="M744" i="13" s="1"/>
  <c r="M747" i="13" s="1"/>
  <c r="O340" i="10"/>
  <c r="O800" i="13" s="1" a="1"/>
  <c r="O800" i="13" s="1"/>
  <c r="N743" i="13" a="1"/>
  <c r="N743" i="13" s="1"/>
  <c r="N744" i="13" s="1"/>
  <c r="N747" i="13" s="1"/>
  <c r="L745" i="13" a="1"/>
  <c r="L745" i="13" s="1"/>
  <c r="L746" i="13" s="1"/>
  <c r="L743" i="13" a="1"/>
  <c r="L743" i="13" s="1"/>
  <c r="L744" i="13" s="1"/>
  <c r="K650" i="13"/>
  <c r="EZ29" i="9" s="1" a="1"/>
  <c r="EZ29" i="9" s="1"/>
  <c r="FB29" i="9" s="1"/>
  <c r="FC29" i="9" s="1" a="1"/>
  <c r="FC29" i="9" s="1"/>
  <c r="HP27" i="9"/>
  <c r="P40" i="24" s="1" a="1"/>
  <c r="P40" i="24" s="1"/>
  <c r="N766" i="13" a="1"/>
  <c r="N766" i="13" s="1"/>
  <c r="N777" i="13" s="1" a="1"/>
  <c r="N777" i="13" s="1"/>
  <c r="N778" i="13" s="1"/>
  <c r="GZ33" i="9" a="1"/>
  <c r="GZ33" i="9" s="1"/>
  <c r="O45" i="27" s="1" a="1"/>
  <c r="O45" i="27" s="1"/>
  <c r="HF33" i="9" a="1"/>
  <c r="HF33" i="9" s="1"/>
  <c r="M766" i="13" a="1"/>
  <c r="M766" i="13" s="1"/>
  <c r="GM33" i="9" a="1"/>
  <c r="GM33" i="9" s="1"/>
  <c r="GG33" i="9" a="1"/>
  <c r="GG33" i="9" s="1"/>
  <c r="N45" i="27" s="1" a="1"/>
  <c r="N45" i="27" s="1"/>
  <c r="M340" i="10"/>
  <c r="BW33" i="9" a="1"/>
  <c r="BW33" i="9" s="1"/>
  <c r="H45" i="27" s="1" a="1"/>
  <c r="H45" i="27" s="1"/>
  <c r="L766" i="13" a="1"/>
  <c r="L766" i="13" s="1"/>
  <c r="L779" i="13" s="1" a="1"/>
  <c r="L779" i="13" s="1"/>
  <c r="L780" i="13" s="1"/>
  <c r="FT33" i="9" a="1"/>
  <c r="FT33" i="9" s="1"/>
  <c r="FN33" i="9" a="1"/>
  <c r="FN33" i="9" s="1"/>
  <c r="M45" i="27" s="1" a="1"/>
  <c r="M45" i="27" s="1"/>
  <c r="F743" i="13" a="1"/>
  <c r="F743" i="13" s="1"/>
  <c r="F744" i="13" s="1"/>
  <c r="F747" i="13" s="1"/>
  <c r="K766" i="13" a="1"/>
  <c r="K766" i="13" s="1"/>
  <c r="K777" i="13" s="1" a="1"/>
  <c r="K777" i="13" s="1"/>
  <c r="K778" i="13" s="1"/>
  <c r="EU33" i="9" a="1"/>
  <c r="EU33" i="9" s="1"/>
  <c r="L45" i="27" s="1" a="1"/>
  <c r="L45" i="27" s="1"/>
  <c r="FA33" i="9" a="1"/>
  <c r="FA33" i="9" s="1"/>
  <c r="CC33" i="9" a="1"/>
  <c r="CC33" i="9" s="1"/>
  <c r="J766" i="13" a="1"/>
  <c r="J766" i="13" s="1"/>
  <c r="J779" i="13" s="1" a="1"/>
  <c r="J779" i="13" s="1"/>
  <c r="J780" i="13" s="1"/>
  <c r="EH33" i="9" a="1"/>
  <c r="EH33" i="9" s="1"/>
  <c r="EB33" i="9" a="1"/>
  <c r="EB33" i="9" s="1"/>
  <c r="K45" i="27" s="1" a="1"/>
  <c r="K45" i="27" s="1"/>
  <c r="G777" i="13" a="1"/>
  <c r="G777" i="13" s="1"/>
  <c r="G778" i="13" s="1"/>
  <c r="G781" i="13" s="1"/>
  <c r="BY33" i="9" s="1" a="1"/>
  <c r="BY33" i="9" s="1"/>
  <c r="CA33" i="9" s="1"/>
  <c r="I766" i="13" a="1"/>
  <c r="I766" i="13" s="1"/>
  <c r="I777" i="13" s="1" a="1"/>
  <c r="I777" i="13" s="1"/>
  <c r="I778" i="13" s="1"/>
  <c r="DI33" i="9" a="1"/>
  <c r="DI33" i="9" s="1"/>
  <c r="J45" i="27" s="1" a="1"/>
  <c r="J45" i="27" s="1"/>
  <c r="DO33" i="9" a="1"/>
  <c r="DO33" i="9" s="1"/>
  <c r="H766" i="13" a="1"/>
  <c r="H766" i="13" s="1"/>
  <c r="CP33" i="9" a="1"/>
  <c r="CP33" i="9" s="1"/>
  <c r="I45" i="27" s="1" a="1"/>
  <c r="I45" i="27" s="1"/>
  <c r="CV33" i="9" a="1"/>
  <c r="CV33" i="9" s="1"/>
  <c r="F766" i="13" a="1"/>
  <c r="F766" i="13" s="1"/>
  <c r="F779" i="13" s="1" a="1"/>
  <c r="F779" i="13" s="1"/>
  <c r="F780" i="13" s="1"/>
  <c r="BD33" i="9" a="1"/>
  <c r="BD33" i="9" s="1"/>
  <c r="G45" i="27" s="1" a="1"/>
  <c r="G45" i="27" s="1"/>
  <c r="BJ33" i="9" a="1"/>
  <c r="BJ33" i="9" s="1"/>
  <c r="E766" i="13" a="1"/>
  <c r="E766" i="13" s="1"/>
  <c r="AK33" i="9" a="1"/>
  <c r="AK33" i="9" s="1"/>
  <c r="F45" i="27" s="1" a="1"/>
  <c r="F45" i="27" s="1"/>
  <c r="AQ33" i="9" a="1"/>
  <c r="AQ33" i="9" s="1"/>
  <c r="D766" i="13" a="1"/>
  <c r="D766" i="13" s="1"/>
  <c r="D779" i="13" s="1" a="1"/>
  <c r="D779" i="13" s="1"/>
  <c r="D780" i="13" s="1"/>
  <c r="R33" i="9" a="1"/>
  <c r="R33" i="9" s="1"/>
  <c r="E45" i="27" s="1" a="1"/>
  <c r="E45" i="27" s="1"/>
  <c r="S31" i="9" a="1"/>
  <c r="S31" i="9" s="1"/>
  <c r="E340" i="10"/>
  <c r="F340" i="10"/>
  <c r="H340" i="10"/>
  <c r="G340" i="10"/>
  <c r="N340" i="10"/>
  <c r="J742" i="13"/>
  <c r="K716" i="13"/>
  <c r="I742" i="13"/>
  <c r="M737" i="13"/>
  <c r="I340" i="10"/>
  <c r="K737" i="13"/>
  <c r="N742" i="13"/>
  <c r="K742" i="13"/>
  <c r="L737" i="13"/>
  <c r="J737" i="13"/>
  <c r="F350" i="10" a="1"/>
  <c r="F350" i="10" s="1"/>
  <c r="F353" i="10" s="1"/>
  <c r="I737" i="13"/>
  <c r="G742" i="13"/>
  <c r="G337" i="10"/>
  <c r="G798" i="13" s="1" a="1"/>
  <c r="G798" i="13" s="1"/>
  <c r="G338" i="10"/>
  <c r="G799" i="13" s="1" a="1"/>
  <c r="G799" i="13" s="1"/>
  <c r="N774" i="13" a="1"/>
  <c r="N774" i="13" s="1"/>
  <c r="N775" i="13" s="1"/>
  <c r="N772" i="13" a="1"/>
  <c r="N772" i="13" s="1"/>
  <c r="N773" i="13" s="1"/>
  <c r="E337" i="10"/>
  <c r="E798" i="13" s="1" a="1"/>
  <c r="E798" i="13" s="1"/>
  <c r="E338" i="10"/>
  <c r="E799" i="13" s="1" a="1"/>
  <c r="E799" i="13" s="1"/>
  <c r="H772" i="13" a="1"/>
  <c r="H772" i="13" s="1"/>
  <c r="H773" i="13" s="1"/>
  <c r="H774" i="13" a="1"/>
  <c r="H774" i="13" s="1"/>
  <c r="H775" i="13" s="1"/>
  <c r="G350" i="10" a="1"/>
  <c r="G350" i="10" s="1"/>
  <c r="G353" i="10" s="1"/>
  <c r="I337" i="10"/>
  <c r="I798" i="13" s="1" a="1"/>
  <c r="I798" i="13" s="1"/>
  <c r="I338" i="10"/>
  <c r="I799" i="13" s="1" a="1"/>
  <c r="I799" i="13" s="1"/>
  <c r="F337" i="10"/>
  <c r="F798" i="13" s="1" a="1"/>
  <c r="F798" i="13" s="1"/>
  <c r="F338" i="10"/>
  <c r="F799" i="13" s="1" a="1"/>
  <c r="F799" i="13" s="1"/>
  <c r="D738" i="13" a="1"/>
  <c r="D738" i="13" s="1"/>
  <c r="D739" i="13" s="1"/>
  <c r="D740" i="13" a="1"/>
  <c r="D740" i="13" s="1"/>
  <c r="D741" i="13" s="1"/>
  <c r="O772" i="13" a="1"/>
  <c r="O772" i="13" s="1"/>
  <c r="O773" i="13" s="1"/>
  <c r="O774" i="13" a="1"/>
  <c r="O774" i="13" s="1"/>
  <c r="O775" i="13" s="1"/>
  <c r="N769" i="13" a="1"/>
  <c r="N769" i="13" s="1"/>
  <c r="N770" i="13" s="1"/>
  <c r="N767" i="13" a="1"/>
  <c r="N767" i="13" s="1"/>
  <c r="N768" i="13" s="1"/>
  <c r="G772" i="13" a="1"/>
  <c r="G772" i="13" s="1"/>
  <c r="G773" i="13" s="1"/>
  <c r="G774" i="13" a="1"/>
  <c r="G774" i="13" s="1"/>
  <c r="G775" i="13" s="1"/>
  <c r="N350" i="10" a="1"/>
  <c r="N350" i="10" s="1"/>
  <c r="N353" i="10" s="1"/>
  <c r="E742" i="13"/>
  <c r="H769" i="13" a="1"/>
  <c r="H769" i="13" s="1"/>
  <c r="H770" i="13" s="1"/>
  <c r="H767" i="13" a="1"/>
  <c r="H767" i="13" s="1"/>
  <c r="H768" i="13" s="1"/>
  <c r="P350" i="10" a="1"/>
  <c r="P350" i="10" s="1"/>
  <c r="F774" i="13" a="1"/>
  <c r="F774" i="13" s="1"/>
  <c r="F775" i="13" s="1"/>
  <c r="F772" i="13" a="1"/>
  <c r="F772" i="13" s="1"/>
  <c r="F773" i="13" s="1"/>
  <c r="L337" i="10"/>
  <c r="L798" i="13" s="1" a="1"/>
  <c r="L798" i="13" s="1"/>
  <c r="L338" i="10"/>
  <c r="L799" i="13" s="1" a="1"/>
  <c r="L799" i="13" s="1"/>
  <c r="O769" i="13" a="1"/>
  <c r="O769" i="13" s="1"/>
  <c r="O770" i="13" s="1"/>
  <c r="O767" i="13" a="1"/>
  <c r="O767" i="13" s="1"/>
  <c r="O768" i="13" s="1"/>
  <c r="G769" i="13" a="1"/>
  <c r="G769" i="13" s="1"/>
  <c r="G770" i="13" s="1"/>
  <c r="G767" i="13" a="1"/>
  <c r="G767" i="13" s="1"/>
  <c r="G768" i="13" s="1"/>
  <c r="K774" i="13" a="1"/>
  <c r="K774" i="13" s="1"/>
  <c r="K775" i="13" s="1"/>
  <c r="K772" i="13" a="1"/>
  <c r="K772" i="13" s="1"/>
  <c r="K773" i="13" s="1"/>
  <c r="F769" i="13" a="1"/>
  <c r="F769" i="13" s="1"/>
  <c r="F770" i="13" s="1"/>
  <c r="F767" i="13" a="1"/>
  <c r="F767" i="13" s="1"/>
  <c r="F768" i="13" s="1"/>
  <c r="D735" i="13" a="1"/>
  <c r="D735" i="13" s="1"/>
  <c r="D736" i="13" s="1"/>
  <c r="D733" i="13" a="1"/>
  <c r="D733" i="13" s="1"/>
  <c r="D734" i="13" s="1"/>
  <c r="J774" i="13" a="1"/>
  <c r="J774" i="13" s="1"/>
  <c r="J775" i="13" s="1"/>
  <c r="J772" i="13" a="1"/>
  <c r="J772" i="13" s="1"/>
  <c r="J773" i="13" s="1"/>
  <c r="E772" i="13" a="1"/>
  <c r="E772" i="13" s="1"/>
  <c r="E773" i="13" s="1"/>
  <c r="E774" i="13" a="1"/>
  <c r="E774" i="13" s="1"/>
  <c r="E775" i="13" s="1"/>
  <c r="I772" i="13" a="1"/>
  <c r="I772" i="13" s="1"/>
  <c r="I773" i="13" s="1"/>
  <c r="I774" i="13" a="1"/>
  <c r="I774" i="13" s="1"/>
  <c r="I775" i="13" s="1"/>
  <c r="O337" i="10"/>
  <c r="O798" i="13" s="1" a="1"/>
  <c r="O798" i="13" s="1"/>
  <c r="O338" i="10"/>
  <c r="O799" i="13" s="1" a="1"/>
  <c r="O799" i="13" s="1"/>
  <c r="F737" i="13"/>
  <c r="F742" i="13"/>
  <c r="K769" i="13" a="1"/>
  <c r="K769" i="13" s="1"/>
  <c r="K770" i="13" s="1"/>
  <c r="K767" i="13" a="1"/>
  <c r="K767" i="13" s="1"/>
  <c r="K768" i="13" s="1"/>
  <c r="K350" i="10" a="1"/>
  <c r="K350" i="10" s="1"/>
  <c r="K353" i="10" s="1"/>
  <c r="E350" i="10" a="1"/>
  <c r="E350" i="10" s="1"/>
  <c r="E353" i="10" s="1"/>
  <c r="O350" i="10" a="1"/>
  <c r="O350" i="10" s="1"/>
  <c r="O353" i="10" s="1"/>
  <c r="L774" i="13" a="1"/>
  <c r="L774" i="13" s="1"/>
  <c r="L775" i="13" s="1"/>
  <c r="L772" i="13" a="1"/>
  <c r="L772" i="13" s="1"/>
  <c r="L773" i="13" s="1"/>
  <c r="G737" i="13"/>
  <c r="H737" i="13"/>
  <c r="J767" i="13" a="1"/>
  <c r="J767" i="13" s="1"/>
  <c r="J768" i="13" s="1"/>
  <c r="J769" i="13" a="1"/>
  <c r="J769" i="13" s="1"/>
  <c r="J770" i="13" s="1"/>
  <c r="E767" i="13" a="1"/>
  <c r="E767" i="13" s="1"/>
  <c r="E768" i="13" s="1"/>
  <c r="E769" i="13" a="1"/>
  <c r="E769" i="13" s="1"/>
  <c r="E770" i="13" s="1"/>
  <c r="I767" i="13" a="1"/>
  <c r="I767" i="13" s="1"/>
  <c r="I768" i="13" s="1"/>
  <c r="I769" i="13" a="1"/>
  <c r="I769" i="13" s="1"/>
  <c r="I770" i="13" s="1"/>
  <c r="N337" i="10"/>
  <c r="N798" i="13" s="1" a="1"/>
  <c r="N798" i="13" s="1"/>
  <c r="N338" i="10"/>
  <c r="N799" i="13" s="1" a="1"/>
  <c r="N799" i="13" s="1"/>
  <c r="M772" i="13" a="1"/>
  <c r="M772" i="13" s="1"/>
  <c r="M773" i="13" s="1"/>
  <c r="M774" i="13" a="1"/>
  <c r="M774" i="13" s="1"/>
  <c r="M775" i="13" s="1"/>
  <c r="J350" i="10" a="1"/>
  <c r="J350" i="10" s="1"/>
  <c r="J353" i="10" s="1"/>
  <c r="L350" i="10" a="1"/>
  <c r="L350" i="10" s="1"/>
  <c r="L353" i="10" s="1"/>
  <c r="N737" i="13"/>
  <c r="M350" i="10" a="1"/>
  <c r="M350" i="10" s="1"/>
  <c r="M353" i="10" s="1"/>
  <c r="L769" i="13" a="1"/>
  <c r="L769" i="13" s="1"/>
  <c r="L770" i="13" s="1"/>
  <c r="L767" i="13" a="1"/>
  <c r="L767" i="13" s="1"/>
  <c r="L768" i="13" s="1"/>
  <c r="D765" i="13" a="1"/>
  <c r="D765" i="13" s="1"/>
  <c r="P324" i="10"/>
  <c r="H742" i="13"/>
  <c r="L742" i="13"/>
  <c r="M769" i="13" a="1"/>
  <c r="M769" i="13" s="1"/>
  <c r="M770" i="13" s="1"/>
  <c r="M767" i="13" a="1"/>
  <c r="M767" i="13" s="1"/>
  <c r="M768" i="13" s="1"/>
  <c r="H337" i="10"/>
  <c r="H798" i="13" s="1" a="1"/>
  <c r="H798" i="13" s="1"/>
  <c r="H338" i="10"/>
  <c r="H799" i="13" s="1" a="1"/>
  <c r="H799" i="13" s="1"/>
  <c r="H350" i="10" a="1"/>
  <c r="H350" i="10" s="1"/>
  <c r="H353" i="10" s="1"/>
  <c r="D764" i="13" a="1"/>
  <c r="D764" i="13" s="1"/>
  <c r="P323" i="10"/>
  <c r="J337" i="10"/>
  <c r="J798" i="13" s="1" a="1"/>
  <c r="J798" i="13" s="1"/>
  <c r="J338" i="10"/>
  <c r="J799" i="13" s="1" a="1"/>
  <c r="J799" i="13" s="1"/>
  <c r="P339" i="10"/>
  <c r="O742" i="13"/>
  <c r="D350" i="10" a="1"/>
  <c r="D350" i="10" s="1"/>
  <c r="D353" i="10" s="1"/>
  <c r="M742" i="13"/>
  <c r="E737" i="13"/>
  <c r="D337" i="10"/>
  <c r="D338" i="10"/>
  <c r="M337" i="10"/>
  <c r="M798" i="13" s="1" a="1"/>
  <c r="M798" i="13" s="1"/>
  <c r="M338" i="10"/>
  <c r="M799" i="13" s="1" a="1"/>
  <c r="M799" i="13" s="1"/>
  <c r="K337" i="10"/>
  <c r="K798" i="13" s="1" a="1"/>
  <c r="K798" i="13" s="1"/>
  <c r="K338" i="10"/>
  <c r="K799" i="13" s="1" a="1"/>
  <c r="K799" i="13" s="1"/>
  <c r="O737" i="13"/>
  <c r="I350" i="10" a="1"/>
  <c r="I350" i="10" s="1"/>
  <c r="I353" i="10" s="1"/>
  <c r="D650" i="13"/>
  <c r="W29" i="9" s="1" a="1"/>
  <c r="W29" i="9" s="1"/>
  <c r="Y29" i="9" s="1"/>
  <c r="AG29" i="9" s="1"/>
  <c r="H748" i="13"/>
  <c r="D743" i="13" a="1"/>
  <c r="D743" i="13" s="1"/>
  <c r="D744" i="13" s="1"/>
  <c r="D745" i="13" a="1"/>
  <c r="D745" i="13" s="1"/>
  <c r="D746" i="13" s="1"/>
  <c r="E716" i="13"/>
  <c r="J340" i="10"/>
  <c r="V30" i="9"/>
  <c r="IA29" i="9" a="1"/>
  <c r="IA29" i="9" s="1"/>
  <c r="II29" i="9" s="1"/>
  <c r="Q42" i="24" s="1" a="1"/>
  <c r="Q42" i="24" s="1"/>
  <c r="CL29" i="9"/>
  <c r="CM29" i="9" s="1"/>
  <c r="I42" i="24" s="1" a="1"/>
  <c r="I42" i="24" s="1"/>
  <c r="EJ29" i="9" a="1"/>
  <c r="EJ29" i="9" s="1"/>
  <c r="ER29" i="9" s="1"/>
  <c r="L42" i="24" s="1" a="1"/>
  <c r="L42" i="24" s="1"/>
  <c r="BL29" i="9" a="1"/>
  <c r="BL29" i="9" s="1"/>
  <c r="BT29" i="9" s="1"/>
  <c r="H42" i="24" s="1" a="1"/>
  <c r="H42" i="24" s="1"/>
  <c r="CX29" i="9" a="1"/>
  <c r="CX29" i="9" s="1"/>
  <c r="DF29" i="9" s="1"/>
  <c r="J42" i="24" s="1" a="1"/>
  <c r="J42" i="24" s="1"/>
  <c r="DQ29" i="9" a="1"/>
  <c r="DQ29" i="9" s="1"/>
  <c r="DY29" i="9" s="1"/>
  <c r="K42" i="24" s="1" a="1"/>
  <c r="K42" i="24" s="1"/>
  <c r="FV29" i="9" a="1"/>
  <c r="FV29" i="9" s="1"/>
  <c r="GD29" i="9" s="1"/>
  <c r="N42" i="24" s="1" a="1"/>
  <c r="N42" i="24" s="1"/>
  <c r="HH29" i="9" a="1"/>
  <c r="HH29" i="9" s="1"/>
  <c r="HP29" i="9" s="1"/>
  <c r="P42" i="24" s="1" a="1"/>
  <c r="P42" i="24" s="1"/>
  <c r="IJ27" i="9"/>
  <c r="IK27" i="9" s="1"/>
  <c r="GN30" i="9"/>
  <c r="GV30" i="9" s="1"/>
  <c r="EI30" i="9"/>
  <c r="EQ30" i="9" s="1"/>
  <c r="DP30" i="9"/>
  <c r="DX30" i="9" s="1"/>
  <c r="FU30" i="9"/>
  <c r="GC30" i="9" s="1"/>
  <c r="V31" i="9"/>
  <c r="HG30" i="9"/>
  <c r="HO30" i="9" s="1"/>
  <c r="HZ30" i="9"/>
  <c r="IH30" i="9" s="1"/>
  <c r="AS29" i="9" a="1"/>
  <c r="AS29" i="9" s="1"/>
  <c r="BA29" i="9" s="1"/>
  <c r="G42" i="24" s="1" a="1"/>
  <c r="G42" i="24" s="1"/>
  <c r="GO28" i="9" a="1"/>
  <c r="GO28" i="9" s="1"/>
  <c r="GW28" i="9" s="1"/>
  <c r="O41" i="24" s="1" a="1"/>
  <c r="O41" i="24" s="1"/>
  <c r="M348" i="10"/>
  <c r="GF35" i="9" s="1" a="1"/>
  <c r="GF35" i="9" s="1"/>
  <c r="P45" i="27" a="1"/>
  <c r="P45" i="27" s="1"/>
  <c r="P363" i="10"/>
  <c r="K340" i="10"/>
  <c r="P326" i="10"/>
  <c r="E348" i="10"/>
  <c r="AJ35" i="9" s="1" a="1"/>
  <c r="AJ35" i="9" s="1"/>
  <c r="G348" i="10"/>
  <c r="BV35" i="9" s="1" a="1"/>
  <c r="BV35" i="9" s="1"/>
  <c r="I348" i="10"/>
  <c r="DH35" i="9" s="1" a="1"/>
  <c r="DH35" i="9" s="1"/>
  <c r="F348" i="10"/>
  <c r="BC35" i="9" s="1" a="1"/>
  <c r="BC35" i="9" s="1"/>
  <c r="M370" i="10"/>
  <c r="P370" i="10"/>
  <c r="P374" i="10" s="1"/>
  <c r="B374" i="10"/>
  <c r="B375" i="10" s="1"/>
  <c r="D370" i="10"/>
  <c r="D377" i="10" s="1"/>
  <c r="O370" i="10"/>
  <c r="J370" i="10"/>
  <c r="G370" i="10"/>
  <c r="G377" i="10" s="1"/>
  <c r="I370" i="10"/>
  <c r="I377" i="10" s="1"/>
  <c r="N370" i="10"/>
  <c r="N377" i="10" s="1"/>
  <c r="H370" i="10"/>
  <c r="H377" i="10" s="1"/>
  <c r="L370" i="10"/>
  <c r="L377" i="10" s="1"/>
  <c r="F370" i="10"/>
  <c r="F377" i="10" s="1"/>
  <c r="K370" i="10"/>
  <c r="K377" i="10" s="1"/>
  <c r="B371" i="10"/>
  <c r="B372" i="10" s="1"/>
  <c r="B373" i="10" s="1"/>
  <c r="E370" i="10"/>
  <c r="E377" i="10" s="1"/>
  <c r="K363" i="10"/>
  <c r="K360" i="10"/>
  <c r="E360" i="10"/>
  <c r="K348" i="10"/>
  <c r="ET35" i="9" s="1" a="1"/>
  <c r="ET35" i="9" s="1"/>
  <c r="H348" i="10"/>
  <c r="CO35" i="9" s="1" a="1"/>
  <c r="CO35" i="9" s="1"/>
  <c r="O363" i="10"/>
  <c r="O360" i="10"/>
  <c r="N348" i="10"/>
  <c r="GY35" i="9" s="1" a="1"/>
  <c r="GY35" i="9" s="1"/>
  <c r="L340" i="10"/>
  <c r="N360" i="10"/>
  <c r="B397" i="10" a="1"/>
  <c r="B397" i="10" s="1"/>
  <c r="A397" i="10" a="1"/>
  <c r="A397" i="10" s="1"/>
  <c r="G383" i="10"/>
  <c r="F383" i="10"/>
  <c r="B384" i="10"/>
  <c r="E383" i="10"/>
  <c r="N383" i="10"/>
  <c r="L383" i="10"/>
  <c r="I383" i="10"/>
  <c r="P383" i="10"/>
  <c r="H383" i="10"/>
  <c r="D383" i="10"/>
  <c r="J383" i="10"/>
  <c r="M383" i="10"/>
  <c r="K383" i="10"/>
  <c r="O383" i="10"/>
  <c r="K361" i="10"/>
  <c r="N361" i="10"/>
  <c r="N364" i="10" s="1" a="1"/>
  <c r="N364" i="10" s="1"/>
  <c r="I361" i="10"/>
  <c r="I364" i="10" s="1" a="1"/>
  <c r="I364" i="10" s="1"/>
  <c r="D361" i="10"/>
  <c r="D364" i="10" s="1" a="1"/>
  <c r="D364" i="10" s="1"/>
  <c r="H361" i="10"/>
  <c r="H364" i="10" s="1" a="1"/>
  <c r="H364" i="10" s="1"/>
  <c r="P361" i="10"/>
  <c r="P362" i="10" s="1"/>
  <c r="M361" i="10"/>
  <c r="M364" i="10" s="1" a="1"/>
  <c r="M364" i="10" s="1"/>
  <c r="G361" i="10"/>
  <c r="G364" i="10" s="1" a="1"/>
  <c r="G364" i="10" s="1"/>
  <c r="J361" i="10"/>
  <c r="J364" i="10" s="1" a="1"/>
  <c r="J364" i="10" s="1"/>
  <c r="F361" i="10"/>
  <c r="F364" i="10" s="1" a="1"/>
  <c r="F364" i="10" s="1"/>
  <c r="L361" i="10"/>
  <c r="L364" i="10" s="1" a="1"/>
  <c r="L364" i="10" s="1"/>
  <c r="E361" i="10"/>
  <c r="E364" i="10" s="1" a="1"/>
  <c r="E364" i="10" s="1"/>
  <c r="B362" i="10"/>
  <c r="B363" i="10" s="1"/>
  <c r="B364" i="10" s="1"/>
  <c r="B365" i="10" s="1"/>
  <c r="B366" i="10" s="1"/>
  <c r="B367" i="10" s="1"/>
  <c r="B368" i="10" s="1"/>
  <c r="O361" i="10"/>
  <c r="H360" i="10"/>
  <c r="J348" i="10"/>
  <c r="EA35" i="9" s="1" a="1"/>
  <c r="EA35" i="9" s="1"/>
  <c r="L360" i="10"/>
  <c r="D360" i="10"/>
  <c r="D348" i="10"/>
  <c r="Q35" i="9" s="1" a="1"/>
  <c r="Q35" i="9" s="1"/>
  <c r="O348" i="10"/>
  <c r="HR35" i="9" s="1" a="1"/>
  <c r="HR35" i="9" s="1"/>
  <c r="J360" i="10"/>
  <c r="I360" i="10"/>
  <c r="D340" i="10"/>
  <c r="X34" i="9" s="1" a="1"/>
  <c r="X34" i="9" s="1"/>
  <c r="L348" i="10"/>
  <c r="FM35" i="9" s="1" a="1"/>
  <c r="FM35" i="9" s="1"/>
  <c r="M360" i="10"/>
  <c r="F360" i="10"/>
  <c r="G360" i="10"/>
  <c r="AG28" i="9"/>
  <c r="Z28" i="9" a="1"/>
  <c r="Z28" i="9" s="1"/>
  <c r="R411" i="10"/>
  <c r="K718" i="13" l="1"/>
  <c r="EZ31" i="9" s="1" a="1"/>
  <c r="EZ31" i="9" s="1"/>
  <c r="FB31" i="9" s="1"/>
  <c r="FJ31" i="9" s="1"/>
  <c r="E718" i="13"/>
  <c r="AP31" i="9" s="1" a="1"/>
  <c r="AP31" i="9" s="1"/>
  <c r="AR31" i="9" s="1"/>
  <c r="AZ31" i="9" s="1"/>
  <c r="H752" i="13"/>
  <c r="CU32" i="9" s="1" a="1"/>
  <c r="CU32" i="9" s="1"/>
  <c r="M750" i="13"/>
  <c r="GI32" i="9" a="1"/>
  <c r="GI32" i="9" s="1"/>
  <c r="F43" i="25" a="1"/>
  <c r="F43" i="25" s="1"/>
  <c r="AO31" i="9"/>
  <c r="Q42" i="25"/>
  <c r="O748" i="13"/>
  <c r="HU32" i="9" a="1"/>
  <c r="HU32" i="9" s="1"/>
  <c r="I748" i="13"/>
  <c r="DK32" i="9" a="1"/>
  <c r="DK32" i="9" s="1"/>
  <c r="H44" i="25" a="1"/>
  <c r="H44" i="25" s="1"/>
  <c r="CA32" i="9"/>
  <c r="E750" i="13"/>
  <c r="AM32" i="9" a="1"/>
  <c r="AM32" i="9" s="1"/>
  <c r="K750" i="13"/>
  <c r="EW32" i="9" a="1"/>
  <c r="EW32" i="9" s="1"/>
  <c r="I44" i="25" a="1"/>
  <c r="I44" i="25" s="1"/>
  <c r="CT32" i="9"/>
  <c r="L43" i="25" a="1"/>
  <c r="L43" i="25" s="1"/>
  <c r="EY31" i="9"/>
  <c r="F748" i="13"/>
  <c r="BF32" i="9" a="1"/>
  <c r="BF32" i="9" s="1"/>
  <c r="N748" i="13"/>
  <c r="HB32" i="9" a="1"/>
  <c r="HB32" i="9" s="1"/>
  <c r="J748" i="13"/>
  <c r="ED32" i="9" a="1"/>
  <c r="ED32" i="9" s="1"/>
  <c r="AN31" i="9"/>
  <c r="M748" i="13"/>
  <c r="F777" i="13" a="1"/>
  <c r="F777" i="13" s="1"/>
  <c r="F778" i="13" s="1"/>
  <c r="F781" i="13" s="1"/>
  <c r="BF33" i="9" s="1" a="1"/>
  <c r="BF33" i="9" s="1"/>
  <c r="BH33" i="9" s="1"/>
  <c r="F750" i="13"/>
  <c r="FJ29" i="9"/>
  <c r="FK29" i="9" s="1"/>
  <c r="M42" i="24" s="1" a="1"/>
  <c r="M42" i="24" s="1"/>
  <c r="N750" i="13"/>
  <c r="D777" i="13" a="1"/>
  <c r="D777" i="13" s="1"/>
  <c r="D778" i="13" s="1"/>
  <c r="D781" i="13" s="1"/>
  <c r="GH32" i="9" a="1"/>
  <c r="GH32" i="9" s="1"/>
  <c r="HY34" i="9" a="1"/>
  <c r="HY34" i="9" s="1"/>
  <c r="O811" i="13" a="1"/>
  <c r="O811" i="13" s="1"/>
  <c r="O812" i="13" s="1"/>
  <c r="O813" i="13" a="1"/>
  <c r="O813" i="13" s="1"/>
  <c r="O814" i="13" s="1"/>
  <c r="HS34" i="9" a="1"/>
  <c r="HS34" i="9" s="1"/>
  <c r="P46" i="27" s="1" a="1"/>
  <c r="P46" i="27" s="1"/>
  <c r="L747" i="13"/>
  <c r="IN27" i="9"/>
  <c r="IO27" i="9" s="1"/>
  <c r="HT32" i="9" a="1"/>
  <c r="HT32" i="9" s="1"/>
  <c r="HA32" i="9" a="1"/>
  <c r="HA32" i="9" s="1"/>
  <c r="N800" i="13" a="1"/>
  <c r="N800" i="13" s="1"/>
  <c r="HF34" i="9" a="1"/>
  <c r="HF34" i="9" s="1"/>
  <c r="GZ34" i="9" a="1"/>
  <c r="GZ34" i="9" s="1"/>
  <c r="O46" i="27" s="1" a="1"/>
  <c r="O46" i="27" s="1"/>
  <c r="I779" i="13" a="1"/>
  <c r="I779" i="13" s="1"/>
  <c r="I780" i="13" s="1"/>
  <c r="I781" i="13" s="1"/>
  <c r="DK33" i="9" s="1" a="1"/>
  <c r="DK33" i="9" s="1"/>
  <c r="DM33" i="9" s="1"/>
  <c r="N779" i="13" a="1"/>
  <c r="N779" i="13" s="1"/>
  <c r="N780" i="13" s="1"/>
  <c r="N781" i="13" s="1"/>
  <c r="HB33" i="9" s="1" a="1"/>
  <c r="HB33" i="9" s="1"/>
  <c r="HD33" i="9" s="1"/>
  <c r="K779" i="13" a="1"/>
  <c r="K779" i="13" s="1"/>
  <c r="K780" i="13" s="1"/>
  <c r="L777" i="13" a="1"/>
  <c r="L777" i="13" s="1"/>
  <c r="L778" i="13" s="1"/>
  <c r="L781" i="13" s="1"/>
  <c r="FP33" i="9" s="1" a="1"/>
  <c r="FP33" i="9" s="1"/>
  <c r="FR33" i="9" s="1"/>
  <c r="M800" i="13" a="1"/>
  <c r="M800" i="13" s="1"/>
  <c r="GG34" i="9" a="1"/>
  <c r="GG34" i="9" s="1"/>
  <c r="N46" i="27" s="1" a="1"/>
  <c r="N46" i="27" s="1"/>
  <c r="GM34" i="9" a="1"/>
  <c r="GM34" i="9" s="1"/>
  <c r="J777" i="13" a="1"/>
  <c r="J777" i="13" s="1"/>
  <c r="J778" i="13" s="1"/>
  <c r="J781" i="13" s="1"/>
  <c r="ED33" i="9" s="1" a="1"/>
  <c r="ED33" i="9" s="1"/>
  <c r="EF33" i="9" s="1"/>
  <c r="M779" i="13" a="1"/>
  <c r="M779" i="13" s="1"/>
  <c r="M780" i="13" s="1"/>
  <c r="M777" i="13" a="1"/>
  <c r="M777" i="13" s="1"/>
  <c r="M778" i="13" s="1"/>
  <c r="FO32" i="9" a="1"/>
  <c r="FO32" i="9" s="1"/>
  <c r="L800" i="13" a="1"/>
  <c r="L800" i="13" s="1"/>
  <c r="L811" i="13" s="1" a="1"/>
  <c r="L811" i="13" s="1"/>
  <c r="L812" i="13" s="1"/>
  <c r="FT34" i="9" a="1"/>
  <c r="FT34" i="9" s="1"/>
  <c r="FN34" i="9" a="1"/>
  <c r="FN34" i="9" s="1"/>
  <c r="M46" i="27" s="1" a="1"/>
  <c r="M46" i="27" s="1"/>
  <c r="EV32" i="9" a="1"/>
  <c r="EV32" i="9" s="1"/>
  <c r="EC32" i="9" a="1"/>
  <c r="EC32" i="9" s="1"/>
  <c r="K800" i="13" a="1"/>
  <c r="K800" i="13" s="1"/>
  <c r="K813" i="13" s="1" a="1"/>
  <c r="K813" i="13" s="1"/>
  <c r="K814" i="13" s="1"/>
  <c r="EU34" i="9" a="1"/>
  <c r="EU34" i="9" s="1"/>
  <c r="L46" i="27" s="1" a="1"/>
  <c r="L46" i="27" s="1"/>
  <c r="FA34" i="9" a="1"/>
  <c r="FA34" i="9" s="1"/>
  <c r="J800" i="13" a="1"/>
  <c r="J800" i="13" s="1"/>
  <c r="J811" i="13" s="1" a="1"/>
  <c r="J811" i="13" s="1"/>
  <c r="J812" i="13" s="1"/>
  <c r="EB34" i="9" a="1"/>
  <c r="EB34" i="9" s="1"/>
  <c r="K46" i="27" s="1" a="1"/>
  <c r="K46" i="27" s="1"/>
  <c r="EH34" i="9" a="1"/>
  <c r="EH34" i="9" s="1"/>
  <c r="DJ32" i="9" a="1"/>
  <c r="DJ32" i="9" s="1"/>
  <c r="I800" i="13" a="1"/>
  <c r="I800" i="13" s="1"/>
  <c r="I813" i="13" s="1" a="1"/>
  <c r="I813" i="13" s="1"/>
  <c r="I814" i="13" s="1"/>
  <c r="DO34" i="9" a="1"/>
  <c r="DO34" i="9" s="1"/>
  <c r="DI34" i="9" a="1"/>
  <c r="DI34" i="9" s="1"/>
  <c r="J46" i="27" s="1" a="1"/>
  <c r="J46" i="27" s="1"/>
  <c r="CQ32" i="9" a="1"/>
  <c r="CQ32" i="9" s="1"/>
  <c r="CS32" i="9" s="1"/>
  <c r="H800" i="13" a="1"/>
  <c r="H800" i="13" s="1"/>
  <c r="H811" i="13" s="1" a="1"/>
  <c r="H811" i="13" s="1"/>
  <c r="H812" i="13" s="1"/>
  <c r="CV34" i="9" a="1"/>
  <c r="CV34" i="9" s="1"/>
  <c r="CP34" i="9" a="1"/>
  <c r="CP34" i="9" s="1"/>
  <c r="I46" i="27" s="1" a="1"/>
  <c r="I46" i="27" s="1"/>
  <c r="H777" i="13" a="1"/>
  <c r="H777" i="13" s="1"/>
  <c r="H778" i="13" s="1"/>
  <c r="H779" i="13" a="1"/>
  <c r="H779" i="13" s="1"/>
  <c r="H780" i="13" s="1"/>
  <c r="BE32" i="9" a="1"/>
  <c r="BE32" i="9" s="1"/>
  <c r="BG32" i="9" s="1"/>
  <c r="BX32" i="9" a="1"/>
  <c r="BX32" i="9" s="1"/>
  <c r="BZ32" i="9" s="1"/>
  <c r="G800" i="13" a="1"/>
  <c r="G800" i="13" s="1"/>
  <c r="G813" i="13" s="1" a="1"/>
  <c r="G813" i="13" s="1"/>
  <c r="G814" i="13" s="1"/>
  <c r="CC34" i="9" a="1"/>
  <c r="CC34" i="9" s="1"/>
  <c r="BW34" i="9" a="1"/>
  <c r="BW34" i="9" s="1"/>
  <c r="H46" i="27" s="1" a="1"/>
  <c r="H46" i="27" s="1"/>
  <c r="F800" i="13" a="1"/>
  <c r="F800" i="13" s="1"/>
  <c r="F811" i="13" s="1" a="1"/>
  <c r="F811" i="13" s="1"/>
  <c r="F812" i="13" s="1"/>
  <c r="BD34" i="9" a="1"/>
  <c r="BD34" i="9" s="1"/>
  <c r="G46" i="27" s="1" a="1"/>
  <c r="G46" i="27" s="1"/>
  <c r="BJ34" i="9" a="1"/>
  <c r="BJ34" i="9" s="1"/>
  <c r="AL32" i="9" a="1"/>
  <c r="AL32" i="9" s="1"/>
  <c r="AN32" i="9" s="1"/>
  <c r="E800" i="13" a="1"/>
  <c r="E800" i="13" s="1"/>
  <c r="E813" i="13" s="1" a="1"/>
  <c r="E813" i="13" s="1"/>
  <c r="E814" i="13" s="1"/>
  <c r="AK34" i="9" a="1"/>
  <c r="AK34" i="9" s="1"/>
  <c r="F46" i="27" s="1" a="1"/>
  <c r="F46" i="27" s="1"/>
  <c r="AQ34" i="9" a="1"/>
  <c r="AQ34" i="9" s="1"/>
  <c r="E777" i="13" a="1"/>
  <c r="E777" i="13" s="1"/>
  <c r="E778" i="13" s="1"/>
  <c r="E779" i="13" a="1"/>
  <c r="E779" i="13" s="1"/>
  <c r="E780" i="13" s="1"/>
  <c r="D800" i="13" a="1"/>
  <c r="D800" i="13" s="1"/>
  <c r="D813" i="13" s="1" a="1"/>
  <c r="D813" i="13" s="1"/>
  <c r="D814" i="13" s="1"/>
  <c r="R34" i="9" a="1"/>
  <c r="R34" i="9" s="1"/>
  <c r="E46" i="27" s="1" a="1"/>
  <c r="E46" i="27" s="1"/>
  <c r="O784" i="13"/>
  <c r="J354" i="10"/>
  <c r="M354" i="10"/>
  <c r="G782" i="13"/>
  <c r="L354" i="10"/>
  <c r="O354" i="10"/>
  <c r="K771" i="13"/>
  <c r="E776" i="13"/>
  <c r="H354" i="10"/>
  <c r="J776" i="13"/>
  <c r="I354" i="10"/>
  <c r="N354" i="10"/>
  <c r="D354" i="10"/>
  <c r="X35" i="9" s="1" a="1"/>
  <c r="X35" i="9" s="1"/>
  <c r="I771" i="13"/>
  <c r="L776" i="13"/>
  <c r="O776" i="13"/>
  <c r="F776" i="13"/>
  <c r="G771" i="13"/>
  <c r="M771" i="13"/>
  <c r="K776" i="13"/>
  <c r="G776" i="13"/>
  <c r="N776" i="13"/>
  <c r="O364" i="10" a="1"/>
  <c r="O364" i="10" s="1"/>
  <c r="O366" i="10" s="1"/>
  <c r="O867" i="13" s="1" a="1"/>
  <c r="O867" i="13" s="1"/>
  <c r="J771" i="13"/>
  <c r="D737" i="13"/>
  <c r="J365" i="10"/>
  <c r="J866" i="13" s="1" a="1"/>
  <c r="J866" i="13" s="1"/>
  <c r="J366" i="10"/>
  <c r="J867" i="13" s="1" a="1"/>
  <c r="J867" i="13" s="1"/>
  <c r="J367" i="10"/>
  <c r="G367" i="10"/>
  <c r="G365" i="10"/>
  <c r="G866" i="13" s="1" a="1"/>
  <c r="G866" i="13" s="1"/>
  <c r="G366" i="10"/>
  <c r="G867" i="13" s="1" a="1"/>
  <c r="G867" i="13" s="1"/>
  <c r="L366" i="10"/>
  <c r="L867" i="13" s="1" a="1"/>
  <c r="L867" i="13" s="1"/>
  <c r="L367" i="10"/>
  <c r="L365" i="10"/>
  <c r="L866" i="13" s="1" a="1"/>
  <c r="L866" i="13" s="1"/>
  <c r="M366" i="10"/>
  <c r="M867" i="13" s="1" a="1"/>
  <c r="M867" i="13" s="1"/>
  <c r="M367" i="10"/>
  <c r="M365" i="10"/>
  <c r="M866" i="13" s="1" a="1"/>
  <c r="M866" i="13" s="1"/>
  <c r="H366" i="10"/>
  <c r="H867" i="13" s="1" a="1"/>
  <c r="H867" i="13" s="1"/>
  <c r="H367" i="10"/>
  <c r="H365" i="10"/>
  <c r="H866" i="13" s="1" a="1"/>
  <c r="H866" i="13" s="1"/>
  <c r="E366" i="10"/>
  <c r="E867" i="13" s="1" a="1"/>
  <c r="E867" i="13" s="1"/>
  <c r="E367" i="10"/>
  <c r="E365" i="10"/>
  <c r="E866" i="13" s="1" a="1"/>
  <c r="E866" i="13" s="1"/>
  <c r="D366" i="10"/>
  <c r="D367" i="10"/>
  <c r="D365" i="10"/>
  <c r="I366" i="10"/>
  <c r="I867" i="13" s="1" a="1"/>
  <c r="I867" i="13" s="1"/>
  <c r="I365" i="10"/>
  <c r="I866" i="13" s="1" a="1"/>
  <c r="I866" i="13" s="1"/>
  <c r="I367" i="10"/>
  <c r="F367" i="10"/>
  <c r="F366" i="10"/>
  <c r="F867" i="13" s="1" a="1"/>
  <c r="F867" i="13" s="1"/>
  <c r="F365" i="10"/>
  <c r="F866" i="13" s="1" a="1"/>
  <c r="F866" i="13" s="1"/>
  <c r="N365" i="10"/>
  <c r="N866" i="13" s="1" a="1"/>
  <c r="N866" i="13" s="1"/>
  <c r="N367" i="10"/>
  <c r="N366" i="10"/>
  <c r="N867" i="13" s="1" a="1"/>
  <c r="N867" i="13" s="1"/>
  <c r="K364" i="10" a="1"/>
  <c r="K364" i="10" s="1"/>
  <c r="D799" i="13" a="1"/>
  <c r="D799" i="13" s="1"/>
  <c r="P338" i="10"/>
  <c r="H808" i="13" a="1"/>
  <c r="H808" i="13" s="1"/>
  <c r="H809" i="13" s="1"/>
  <c r="H806" i="13" a="1"/>
  <c r="H806" i="13" s="1"/>
  <c r="H807" i="13" s="1"/>
  <c r="O771" i="13"/>
  <c r="N771" i="13"/>
  <c r="I803" i="13" a="1"/>
  <c r="I803" i="13" s="1"/>
  <c r="I804" i="13" s="1"/>
  <c r="I801" i="13" a="1"/>
  <c r="I801" i="13" s="1"/>
  <c r="I802" i="13" s="1"/>
  <c r="D798" i="13" a="1"/>
  <c r="D798" i="13" s="1"/>
  <c r="P337" i="10"/>
  <c r="J806" i="13" a="1"/>
  <c r="J806" i="13" s="1"/>
  <c r="J807" i="13" s="1"/>
  <c r="J808" i="13" a="1"/>
  <c r="J808" i="13" s="1"/>
  <c r="J809" i="13" s="1"/>
  <c r="H801" i="13" a="1"/>
  <c r="H801" i="13" s="1"/>
  <c r="H802" i="13" s="1"/>
  <c r="H803" i="13" a="1"/>
  <c r="H803" i="13" s="1"/>
  <c r="H804" i="13" s="1"/>
  <c r="L771" i="13"/>
  <c r="L351" i="10"/>
  <c r="L832" i="13" s="1" a="1"/>
  <c r="L832" i="13" s="1"/>
  <c r="L352" i="10"/>
  <c r="L833" i="13" s="1" a="1"/>
  <c r="L833" i="13" s="1"/>
  <c r="K351" i="10"/>
  <c r="K832" i="13" s="1" a="1"/>
  <c r="K832" i="13" s="1"/>
  <c r="K352" i="10"/>
  <c r="K833" i="13" s="1" a="1"/>
  <c r="K833" i="13" s="1"/>
  <c r="I776" i="13"/>
  <c r="F771" i="13"/>
  <c r="L806" i="13" a="1"/>
  <c r="L806" i="13" s="1"/>
  <c r="L807" i="13" s="1"/>
  <c r="L808" i="13" a="1"/>
  <c r="L808" i="13" s="1"/>
  <c r="L809" i="13" s="1"/>
  <c r="H771" i="13"/>
  <c r="G808" i="13" a="1"/>
  <c r="G808" i="13" s="1"/>
  <c r="G809" i="13" s="1"/>
  <c r="G806" i="13" a="1"/>
  <c r="G806" i="13" s="1"/>
  <c r="G807" i="13" s="1"/>
  <c r="I351" i="10"/>
  <c r="I832" i="13" s="1" a="1"/>
  <c r="I832" i="13" s="1"/>
  <c r="I352" i="10"/>
  <c r="I833" i="13" s="1" a="1"/>
  <c r="I833" i="13" s="1"/>
  <c r="J801" i="13" a="1"/>
  <c r="J801" i="13" s="1"/>
  <c r="J802" i="13" s="1"/>
  <c r="J803" i="13" a="1"/>
  <c r="J803" i="13" s="1"/>
  <c r="J804" i="13" s="1"/>
  <c r="E771" i="13"/>
  <c r="L801" i="13" a="1"/>
  <c r="L801" i="13" s="1"/>
  <c r="L802" i="13" s="1"/>
  <c r="L803" i="13" a="1"/>
  <c r="L803" i="13" s="1"/>
  <c r="L804" i="13" s="1"/>
  <c r="G351" i="10"/>
  <c r="G832" i="13" s="1" a="1"/>
  <c r="G832" i="13" s="1"/>
  <c r="G352" i="10"/>
  <c r="G833" i="13" s="1" a="1"/>
  <c r="G833" i="13" s="1"/>
  <c r="G803" i="13" a="1"/>
  <c r="G803" i="13" s="1"/>
  <c r="G804" i="13" s="1"/>
  <c r="G801" i="13" a="1"/>
  <c r="G801" i="13" s="1"/>
  <c r="G802" i="13" s="1"/>
  <c r="J351" i="10"/>
  <c r="J832" i="13" s="1" a="1"/>
  <c r="J832" i="13" s="1"/>
  <c r="J352" i="10"/>
  <c r="J833" i="13" s="1" a="1"/>
  <c r="J833" i="13" s="1"/>
  <c r="K808" i="13" a="1"/>
  <c r="K808" i="13" s="1"/>
  <c r="K809" i="13" s="1"/>
  <c r="K806" i="13" a="1"/>
  <c r="K806" i="13" s="1"/>
  <c r="K807" i="13" s="1"/>
  <c r="P353" i="10"/>
  <c r="D767" i="13" a="1"/>
  <c r="D767" i="13" s="1"/>
  <c r="D768" i="13" s="1"/>
  <c r="D769" i="13" a="1"/>
  <c r="D769" i="13" s="1"/>
  <c r="D770" i="13" s="1"/>
  <c r="N351" i="10"/>
  <c r="N832" i="13" s="1" a="1"/>
  <c r="N832" i="13" s="1"/>
  <c r="N352" i="10"/>
  <c r="N833" i="13" s="1" a="1"/>
  <c r="N833" i="13" s="1"/>
  <c r="D742" i="13"/>
  <c r="H776" i="13"/>
  <c r="CQ33" i="9" s="1" a="1"/>
  <c r="CQ33" i="9" s="1"/>
  <c r="P364" i="10" a="1"/>
  <c r="P364" i="10" s="1"/>
  <c r="K801" i="13" a="1"/>
  <c r="K801" i="13" s="1"/>
  <c r="K802" i="13" s="1"/>
  <c r="K803" i="13" a="1"/>
  <c r="K803" i="13" s="1"/>
  <c r="K804" i="13" s="1"/>
  <c r="D351" i="10"/>
  <c r="D352" i="10"/>
  <c r="M351" i="10"/>
  <c r="M832" i="13" s="1" a="1"/>
  <c r="M832" i="13" s="1"/>
  <c r="M352" i="10"/>
  <c r="M833" i="13" s="1" a="1"/>
  <c r="M833" i="13" s="1"/>
  <c r="M776" i="13"/>
  <c r="O351" i="10"/>
  <c r="O832" i="13" s="1" a="1"/>
  <c r="O832" i="13" s="1"/>
  <c r="O352" i="10"/>
  <c r="O833" i="13" s="1" a="1"/>
  <c r="O833" i="13" s="1"/>
  <c r="F806" i="13" a="1"/>
  <c r="F806" i="13" s="1"/>
  <c r="F807" i="13" s="1"/>
  <c r="F808" i="13" a="1"/>
  <c r="F808" i="13" s="1"/>
  <c r="F809" i="13" s="1"/>
  <c r="E806" i="13" a="1"/>
  <c r="E806" i="13" s="1"/>
  <c r="E807" i="13" s="1"/>
  <c r="E808" i="13" a="1"/>
  <c r="E808" i="13" s="1"/>
  <c r="E809" i="13" s="1"/>
  <c r="M808" i="13" a="1"/>
  <c r="M808" i="13" s="1"/>
  <c r="M809" i="13" s="1"/>
  <c r="M806" i="13" a="1"/>
  <c r="M806" i="13" s="1"/>
  <c r="M807" i="13" s="1"/>
  <c r="N808" i="13" a="1"/>
  <c r="N808" i="13" s="1"/>
  <c r="N809" i="13" s="1"/>
  <c r="N806" i="13" a="1"/>
  <c r="N806" i="13" s="1"/>
  <c r="N807" i="13" s="1"/>
  <c r="O808" i="13" a="1"/>
  <c r="O808" i="13" s="1"/>
  <c r="O809" i="13" s="1"/>
  <c r="O806" i="13" a="1"/>
  <c r="O806" i="13" s="1"/>
  <c r="O807" i="13" s="1"/>
  <c r="F801" i="13" a="1"/>
  <c r="F801" i="13" s="1"/>
  <c r="F802" i="13" s="1"/>
  <c r="F803" i="13" a="1"/>
  <c r="F803" i="13" s="1"/>
  <c r="F804" i="13" s="1"/>
  <c r="E801" i="13" a="1"/>
  <c r="E801" i="13" s="1"/>
  <c r="E802" i="13" s="1"/>
  <c r="E803" i="13" a="1"/>
  <c r="E803" i="13" s="1"/>
  <c r="E804" i="13" s="1"/>
  <c r="M801" i="13" a="1"/>
  <c r="M801" i="13" s="1"/>
  <c r="M802" i="13" s="1"/>
  <c r="M803" i="13" a="1"/>
  <c r="M803" i="13" s="1"/>
  <c r="M804" i="13" s="1"/>
  <c r="H351" i="10"/>
  <c r="H832" i="13" s="1" a="1"/>
  <c r="H832" i="13" s="1"/>
  <c r="H352" i="10"/>
  <c r="H833" i="13" s="1" a="1"/>
  <c r="H833" i="13" s="1"/>
  <c r="D772" i="13" a="1"/>
  <c r="D772" i="13" s="1"/>
  <c r="D773" i="13" s="1"/>
  <c r="D774" i="13" a="1"/>
  <c r="D774" i="13" s="1"/>
  <c r="D775" i="13" s="1"/>
  <c r="N803" i="13" a="1"/>
  <c r="N803" i="13" s="1"/>
  <c r="N804" i="13" s="1"/>
  <c r="N801" i="13" a="1"/>
  <c r="N801" i="13" s="1"/>
  <c r="N802" i="13" s="1"/>
  <c r="E351" i="10"/>
  <c r="E832" i="13" s="1" a="1"/>
  <c r="E832" i="13" s="1"/>
  <c r="E352" i="10"/>
  <c r="E833" i="13" s="1" a="1"/>
  <c r="E833" i="13" s="1"/>
  <c r="O801" i="13" a="1"/>
  <c r="O801" i="13" s="1"/>
  <c r="O802" i="13" s="1"/>
  <c r="O803" i="13" a="1"/>
  <c r="O803" i="13" s="1"/>
  <c r="O804" i="13" s="1"/>
  <c r="I808" i="13" a="1"/>
  <c r="I808" i="13" s="1"/>
  <c r="I809" i="13" s="1"/>
  <c r="I806" i="13" a="1"/>
  <c r="I806" i="13" s="1"/>
  <c r="I807" i="13" s="1"/>
  <c r="F351" i="10"/>
  <c r="F832" i="13" s="1" a="1"/>
  <c r="F832" i="13" s="1"/>
  <c r="F352" i="10"/>
  <c r="F833" i="13" s="1" a="1"/>
  <c r="F833" i="13" s="1"/>
  <c r="Z29" i="9" a="1"/>
  <c r="Z29" i="9" s="1"/>
  <c r="AH29" i="9" s="1"/>
  <c r="F42" i="24" s="1" a="1"/>
  <c r="F42" i="24" s="1"/>
  <c r="G748" i="13"/>
  <c r="I750" i="13"/>
  <c r="O782" i="13"/>
  <c r="G750" i="13"/>
  <c r="K748" i="13"/>
  <c r="J750" i="13"/>
  <c r="O750" i="13"/>
  <c r="E748" i="13"/>
  <c r="G784" i="13"/>
  <c r="K781" i="13"/>
  <c r="EW33" i="9" s="1" a="1"/>
  <c r="EW33" i="9" s="1"/>
  <c r="EY33" i="9" s="1"/>
  <c r="D747" i="13"/>
  <c r="AR30" i="9"/>
  <c r="AZ30" i="9" s="1"/>
  <c r="BS30" i="9"/>
  <c r="BL30" i="9" a="1"/>
  <c r="BL30" i="9" s="1"/>
  <c r="CE30" i="9" a="1"/>
  <c r="CE30" i="9" s="1"/>
  <c r="CM30" i="9" s="1"/>
  <c r="I43" i="24" s="1" a="1"/>
  <c r="I43" i="24" s="1"/>
  <c r="DQ30" i="9" a="1"/>
  <c r="DQ30" i="9" s="1"/>
  <c r="DY30" i="9" s="1"/>
  <c r="K43" i="24" s="1" a="1"/>
  <c r="K43" i="24" s="1"/>
  <c r="EJ30" i="9" a="1"/>
  <c r="EJ30" i="9" s="1"/>
  <c r="ER30" i="9" s="1"/>
  <c r="L43" i="24" s="1" a="1"/>
  <c r="L43" i="24" s="1"/>
  <c r="U31" i="9"/>
  <c r="IA31" i="9" a="1"/>
  <c r="IA31" i="9" s="1"/>
  <c r="II31" i="9" s="1"/>
  <c r="Q44" i="24" s="1" a="1"/>
  <c r="Q44" i="24" s="1"/>
  <c r="GO30" i="9" a="1"/>
  <c r="GO30" i="9" s="1"/>
  <c r="GW30" i="9" s="1"/>
  <c r="O43" i="24" s="1" a="1"/>
  <c r="O43" i="24" s="1"/>
  <c r="HH30" i="9" a="1"/>
  <c r="HH30" i="9" s="1"/>
  <c r="HP30" i="9" s="1"/>
  <c r="P43" i="24" s="1" a="1"/>
  <c r="P43" i="24" s="1"/>
  <c r="CX31" i="9" a="1"/>
  <c r="CX31" i="9" s="1"/>
  <c r="DF31" i="9" s="1"/>
  <c r="J44" i="24" s="1" a="1"/>
  <c r="J44" i="24" s="1"/>
  <c r="GN31" i="9"/>
  <c r="GV31" i="9" s="1"/>
  <c r="BK31" i="9"/>
  <c r="BS31" i="9" s="1"/>
  <c r="DP31" i="9"/>
  <c r="DX31" i="9" s="1"/>
  <c r="EI31" i="9"/>
  <c r="EQ31" i="9" s="1"/>
  <c r="CW30" i="9"/>
  <c r="DE30" i="9" s="1"/>
  <c r="IA30" i="9" a="1"/>
  <c r="IA30" i="9" s="1"/>
  <c r="II30" i="9" s="1"/>
  <c r="Q43" i="24" s="1" a="1"/>
  <c r="Q43" i="24" s="1"/>
  <c r="HG31" i="9"/>
  <c r="HO31" i="9" s="1"/>
  <c r="FB30" i="9"/>
  <c r="FJ30" i="9" s="1"/>
  <c r="GN29" i="9"/>
  <c r="GV29" i="9" s="1"/>
  <c r="W30" i="9" a="1"/>
  <c r="W30" i="9" s="1"/>
  <c r="Y30" i="9" s="1"/>
  <c r="AG30" i="9" s="1"/>
  <c r="FU31" i="9"/>
  <c r="GC31" i="9" s="1"/>
  <c r="CD31" i="9"/>
  <c r="CL31" i="9" s="1"/>
  <c r="FV30" i="9" a="1"/>
  <c r="FV30" i="9" s="1"/>
  <c r="GD30" i="9" s="1"/>
  <c r="N43" i="24" s="1" a="1"/>
  <c r="N43" i="24" s="1"/>
  <c r="I362" i="10"/>
  <c r="DH36" i="9" s="1" a="1"/>
  <c r="DH36" i="9" s="1"/>
  <c r="M362" i="10"/>
  <c r="GF36" i="9" s="1" a="1"/>
  <c r="GF36" i="9" s="1"/>
  <c r="G362" i="10"/>
  <c r="BV36" i="9" s="1" a="1"/>
  <c r="BV36" i="9" s="1"/>
  <c r="H362" i="10"/>
  <c r="CO36" i="9" s="1" a="1"/>
  <c r="CO36" i="9" s="1"/>
  <c r="J362" i="10"/>
  <c r="EA36" i="9" s="1" a="1"/>
  <c r="EA36" i="9" s="1"/>
  <c r="P340" i="10"/>
  <c r="L362" i="10"/>
  <c r="FM36" i="9" s="1" a="1"/>
  <c r="FM36" i="9" s="1"/>
  <c r="J368" i="10"/>
  <c r="G354" i="10"/>
  <c r="M368" i="10"/>
  <c r="G368" i="10"/>
  <c r="E368" i="10"/>
  <c r="D368" i="10"/>
  <c r="X36" i="9" s="1" a="1"/>
  <c r="X36" i="9" s="1"/>
  <c r="I368" i="10"/>
  <c r="F368" i="10"/>
  <c r="P377" i="10"/>
  <c r="E362" i="10"/>
  <c r="AJ36" i="9" s="1" a="1"/>
  <c r="AJ36" i="9" s="1"/>
  <c r="K374" i="10"/>
  <c r="O374" i="10"/>
  <c r="D362" i="10"/>
  <c r="Q36" i="9" s="1" a="1"/>
  <c r="Q36" i="9" s="1"/>
  <c r="F374" i="10"/>
  <c r="D374" i="10"/>
  <c r="D397" i="10"/>
  <c r="B398" i="10"/>
  <c r="P397" i="10"/>
  <c r="O397" i="10"/>
  <c r="L397" i="10"/>
  <c r="H397" i="10"/>
  <c r="I397" i="10"/>
  <c r="K397" i="10"/>
  <c r="J397" i="10"/>
  <c r="N397" i="10"/>
  <c r="F397" i="10"/>
  <c r="E397" i="10"/>
  <c r="M397" i="10"/>
  <c r="G397" i="10"/>
  <c r="K362" i="10"/>
  <c r="ET36" i="9" s="1" a="1"/>
  <c r="ET36" i="9" s="1"/>
  <c r="L374" i="10"/>
  <c r="I375" i="10"/>
  <c r="I378" i="10" s="1" a="1"/>
  <c r="I378" i="10" s="1"/>
  <c r="E375" i="10"/>
  <c r="E378" i="10" s="1" a="1"/>
  <c r="E378" i="10" s="1"/>
  <c r="M375" i="10"/>
  <c r="N375" i="10"/>
  <c r="N378" i="10" s="1" a="1"/>
  <c r="N378" i="10" s="1"/>
  <c r="B376" i="10"/>
  <c r="B377" i="10" s="1"/>
  <c r="B378" i="10" s="1"/>
  <c r="B379" i="10" s="1"/>
  <c r="B380" i="10" s="1"/>
  <c r="B381" i="10" s="1"/>
  <c r="B382" i="10" s="1"/>
  <c r="G375" i="10"/>
  <c r="G378" i="10" s="1" a="1"/>
  <c r="G378" i="10" s="1"/>
  <c r="J375" i="10"/>
  <c r="P375" i="10"/>
  <c r="P376" i="10" s="1"/>
  <c r="K375" i="10"/>
  <c r="K378" i="10" s="1" a="1"/>
  <c r="K378" i="10" s="1"/>
  <c r="O375" i="10"/>
  <c r="L375" i="10"/>
  <c r="L378" i="10" s="1" a="1"/>
  <c r="L378" i="10" s="1"/>
  <c r="H375" i="10"/>
  <c r="H378" i="10" s="1" a="1"/>
  <c r="H378" i="10" s="1"/>
  <c r="F375" i="10"/>
  <c r="F378" i="10" s="1" a="1"/>
  <c r="F378" i="10" s="1"/>
  <c r="D375" i="10"/>
  <c r="D378" i="10" s="1" a="1"/>
  <c r="D378" i="10" s="1"/>
  <c r="H374" i="10"/>
  <c r="A411" i="10" a="1"/>
  <c r="A411" i="10" s="1"/>
  <c r="B411" i="10" a="1"/>
  <c r="B411" i="10" s="1"/>
  <c r="N374" i="10"/>
  <c r="M377" i="10"/>
  <c r="M374" i="10"/>
  <c r="N362" i="10"/>
  <c r="GY36" i="9" s="1" a="1"/>
  <c r="GY36" i="9" s="1"/>
  <c r="I374" i="10"/>
  <c r="N368" i="10"/>
  <c r="F362" i="10"/>
  <c r="BC36" i="9" s="1" a="1"/>
  <c r="BC36" i="9" s="1"/>
  <c r="I384" i="10"/>
  <c r="G384" i="10"/>
  <c r="G391" i="10" s="1"/>
  <c r="N384" i="10"/>
  <c r="N391" i="10" s="1"/>
  <c r="P384" i="10"/>
  <c r="P388" i="10" s="1"/>
  <c r="L384" i="10"/>
  <c r="M384" i="10"/>
  <c r="M391" i="10" s="1"/>
  <c r="D384" i="10"/>
  <c r="D391" i="10" s="1"/>
  <c r="K384" i="10"/>
  <c r="K391" i="10" s="1"/>
  <c r="O384" i="10"/>
  <c r="F384" i="10"/>
  <c r="F391" i="10" s="1"/>
  <c r="H384" i="10"/>
  <c r="H391" i="10" s="1"/>
  <c r="B388" i="10"/>
  <c r="B389" i="10" s="1"/>
  <c r="J384" i="10"/>
  <c r="J391" i="10" s="1"/>
  <c r="E384" i="10"/>
  <c r="E391" i="10" s="1"/>
  <c r="B385" i="10"/>
  <c r="B386" i="10" s="1"/>
  <c r="B387" i="10" s="1"/>
  <c r="K354" i="10"/>
  <c r="O362" i="10"/>
  <c r="HR36" i="9" s="1" a="1"/>
  <c r="HR36" i="9" s="1"/>
  <c r="F354" i="10"/>
  <c r="E374" i="10"/>
  <c r="G374" i="10"/>
  <c r="O377" i="10"/>
  <c r="E354" i="10"/>
  <c r="J377" i="10"/>
  <c r="J374" i="10"/>
  <c r="IJ28" i="9"/>
  <c r="IK28" i="9" s="1"/>
  <c r="IL28" i="9"/>
  <c r="IM28" i="9" s="1"/>
  <c r="AH28" i="9"/>
  <c r="F41" i="24" s="1" a="1"/>
  <c r="F41" i="24" s="1"/>
  <c r="R425" i="10"/>
  <c r="E752" i="13" l="1"/>
  <c r="AP32" i="9" s="1" a="1"/>
  <c r="AP32" i="9" s="1"/>
  <c r="AR32" i="9" s="1"/>
  <c r="AZ32" i="9" s="1"/>
  <c r="EX32" i="9"/>
  <c r="GJ32" i="9"/>
  <c r="F752" i="13"/>
  <c r="BI32" i="9" s="1" a="1"/>
  <c r="BI32" i="9" s="1"/>
  <c r="BK32" i="9" s="1"/>
  <c r="BS32" i="9" s="1"/>
  <c r="HC32" i="9"/>
  <c r="IL29" i="9"/>
  <c r="IM29" i="9" s="1"/>
  <c r="K752" i="13"/>
  <c r="EZ32" i="9" s="1" a="1"/>
  <c r="EZ32" i="9" s="1"/>
  <c r="FB32" i="9" s="1"/>
  <c r="FJ32" i="9" s="1"/>
  <c r="O752" i="13"/>
  <c r="HX32" i="9" s="1" a="1"/>
  <c r="HX32" i="9" s="1"/>
  <c r="HZ32" i="9" s="1"/>
  <c r="IH32" i="9" s="1"/>
  <c r="HV32" i="9"/>
  <c r="I752" i="13"/>
  <c r="DN32" i="9" s="1" a="1"/>
  <c r="DN32" i="9" s="1"/>
  <c r="J752" i="13"/>
  <c r="EG32" i="9" s="1" a="1"/>
  <c r="EG32" i="9" s="1"/>
  <c r="EI32" i="9" s="1"/>
  <c r="EQ32" i="9" s="1"/>
  <c r="D750" i="13"/>
  <c r="T32" i="9" a="1"/>
  <c r="T32" i="9" s="1"/>
  <c r="E44" i="25" s="1" a="1"/>
  <c r="E44" i="25" s="1"/>
  <c r="N752" i="13"/>
  <c r="HE32" i="9" s="1" a="1"/>
  <c r="HE32" i="9" s="1"/>
  <c r="HG32" i="9" s="1"/>
  <c r="HO32" i="9" s="1"/>
  <c r="O44" i="25" a="1"/>
  <c r="O44" i="25" s="1"/>
  <c r="HD32" i="9"/>
  <c r="L44" i="25" a="1"/>
  <c r="L44" i="25" s="1"/>
  <c r="EY32" i="9"/>
  <c r="P44" i="25" a="1"/>
  <c r="P44" i="25" s="1"/>
  <c r="HW32" i="9"/>
  <c r="L748" i="13"/>
  <c r="FP32" i="9" a="1"/>
  <c r="FP32" i="9" s="1"/>
  <c r="FQ32" i="9" s="1"/>
  <c r="G44" i="25" a="1"/>
  <c r="G44" i="25" s="1"/>
  <c r="BH32" i="9"/>
  <c r="F44" i="25" a="1"/>
  <c r="F44" i="25" s="1"/>
  <c r="AO32" i="9"/>
  <c r="EE32" i="9"/>
  <c r="DL32" i="9"/>
  <c r="M752" i="13"/>
  <c r="GL32" i="9" s="1" a="1"/>
  <c r="GL32" i="9" s="1"/>
  <c r="Q43" i="25"/>
  <c r="N44" i="25" a="1"/>
  <c r="N44" i="25" s="1"/>
  <c r="GK32" i="9"/>
  <c r="K44" i="25" a="1"/>
  <c r="K44" i="25" s="1"/>
  <c r="EF32" i="9"/>
  <c r="J44" i="25" a="1"/>
  <c r="J44" i="25" s="1"/>
  <c r="DM32" i="9"/>
  <c r="D811" i="13" a="1"/>
  <c r="D811" i="13" s="1"/>
  <c r="D812" i="13" s="1"/>
  <c r="D815" i="13" s="1"/>
  <c r="O815" i="13"/>
  <c r="J813" i="13" a="1"/>
  <c r="J813" i="13" s="1"/>
  <c r="J814" i="13" s="1"/>
  <c r="J815" i="13" s="1"/>
  <c r="GH33" i="9" a="1"/>
  <c r="GH33" i="9" s="1"/>
  <c r="L813" i="13" a="1"/>
  <c r="L813" i="13" s="1"/>
  <c r="L814" i="13" s="1"/>
  <c r="L815" i="13" s="1"/>
  <c r="K811" i="13" a="1"/>
  <c r="K811" i="13" s="1"/>
  <c r="K812" i="13" s="1"/>
  <c r="K815" i="13" s="1"/>
  <c r="N784" i="13"/>
  <c r="F813" i="13" a="1"/>
  <c r="F813" i="13" s="1"/>
  <c r="F814" i="13" s="1"/>
  <c r="F815" i="13" s="1"/>
  <c r="L750" i="13"/>
  <c r="L752" i="13" s="1"/>
  <c r="FS32" i="9" s="1" a="1"/>
  <c r="FS32" i="9" s="1"/>
  <c r="J378" i="10" a="1"/>
  <c r="J378" i="10" s="1"/>
  <c r="J380" i="10" s="1"/>
  <c r="J901" i="13" s="1" a="1"/>
  <c r="J901" i="13" s="1"/>
  <c r="N782" i="13"/>
  <c r="I784" i="13"/>
  <c r="J784" i="13"/>
  <c r="DJ33" i="9" a="1"/>
  <c r="DJ33" i="9" s="1"/>
  <c r="DL33" i="9" s="1"/>
  <c r="O834" i="13" a="1"/>
  <c r="O834" i="13" s="1"/>
  <c r="O845" i="13" s="1" a="1"/>
  <c r="O845" i="13" s="1"/>
  <c r="O846" i="13" s="1"/>
  <c r="HY35" i="9" a="1"/>
  <c r="HY35" i="9" s="1"/>
  <c r="HS35" i="9" a="1"/>
  <c r="HS35" i="9" s="1"/>
  <c r="HT33" i="9" a="1"/>
  <c r="HT33" i="9" s="1"/>
  <c r="HV33" i="9" s="1"/>
  <c r="N834" i="13" a="1"/>
  <c r="N834" i="13" s="1"/>
  <c r="N845" i="13" s="1" a="1"/>
  <c r="N845" i="13" s="1"/>
  <c r="N846" i="13" s="1"/>
  <c r="GZ35" i="9" a="1"/>
  <c r="GZ35" i="9" s="1"/>
  <c r="HF35" i="9" a="1"/>
  <c r="HF35" i="9" s="1"/>
  <c r="M781" i="13"/>
  <c r="M782" i="13" s="1"/>
  <c r="I782" i="13"/>
  <c r="N868" i="13" a="1"/>
  <c r="N868" i="13" s="1"/>
  <c r="N881" i="13" s="1" a="1"/>
  <c r="N881" i="13" s="1"/>
  <c r="N882" i="13" s="1"/>
  <c r="GZ36" i="9" a="1"/>
  <c r="GZ36" i="9" s="1"/>
  <c r="HF36" i="9" a="1"/>
  <c r="HF36" i="9" s="1"/>
  <c r="HA33" i="9" a="1"/>
  <c r="HA33" i="9" s="1"/>
  <c r="HC33" i="9" s="1"/>
  <c r="J782" i="13"/>
  <c r="N813" i="13" a="1"/>
  <c r="N813" i="13" s="1"/>
  <c r="N814" i="13" s="1"/>
  <c r="N811" i="13" a="1"/>
  <c r="N811" i="13" s="1"/>
  <c r="N812" i="13" s="1"/>
  <c r="I811" i="13" a="1"/>
  <c r="I811" i="13" s="1"/>
  <c r="I812" i="13" s="1"/>
  <c r="I815" i="13" s="1"/>
  <c r="L782" i="13"/>
  <c r="L784" i="13"/>
  <c r="M868" i="13" a="1"/>
  <c r="M868" i="13" s="1"/>
  <c r="M881" i="13" s="1" a="1"/>
  <c r="M881" i="13" s="1"/>
  <c r="M882" i="13" s="1"/>
  <c r="GG36" i="9" a="1"/>
  <c r="GG36" i="9" s="1"/>
  <c r="GM36" i="9" a="1"/>
  <c r="GM36" i="9" s="1"/>
  <c r="M813" i="13" a="1"/>
  <c r="M813" i="13" s="1"/>
  <c r="M814" i="13" s="1"/>
  <c r="M811" i="13" a="1"/>
  <c r="M811" i="13" s="1"/>
  <c r="M812" i="13" s="1"/>
  <c r="M834" i="13" a="1"/>
  <c r="M834" i="13" s="1"/>
  <c r="M845" i="13" s="1" a="1"/>
  <c r="M845" i="13" s="1"/>
  <c r="M846" i="13" s="1"/>
  <c r="GG35" i="9" a="1"/>
  <c r="GG35" i="9" s="1"/>
  <c r="GM35" i="9" a="1"/>
  <c r="GM35" i="9" s="1"/>
  <c r="L834" i="13" a="1"/>
  <c r="L834" i="13" s="1"/>
  <c r="L847" i="13" s="1" a="1"/>
  <c r="L847" i="13" s="1"/>
  <c r="L848" i="13" s="1"/>
  <c r="FN35" i="9" a="1"/>
  <c r="FN35" i="9" s="1"/>
  <c r="FT35" i="9" a="1"/>
  <c r="FT35" i="9" s="1"/>
  <c r="FO33" i="9" a="1"/>
  <c r="FO33" i="9" s="1"/>
  <c r="FQ33" i="9" s="1"/>
  <c r="K834" i="13" a="1"/>
  <c r="K834" i="13" s="1"/>
  <c r="K847" i="13" s="1" a="1"/>
  <c r="K847" i="13" s="1"/>
  <c r="K848" i="13" s="1"/>
  <c r="EU35" i="9" a="1"/>
  <c r="EU35" i="9" s="1"/>
  <c r="FA35" i="9" a="1"/>
  <c r="FA35" i="9" s="1"/>
  <c r="EV33" i="9" a="1"/>
  <c r="EV33" i="9" s="1"/>
  <c r="EX33" i="9" s="1"/>
  <c r="G811" i="13" a="1"/>
  <c r="G811" i="13" s="1"/>
  <c r="G812" i="13" s="1"/>
  <c r="G815" i="13" s="1"/>
  <c r="EC33" i="9" a="1"/>
  <c r="EC33" i="9" s="1"/>
  <c r="EE33" i="9" s="1"/>
  <c r="J834" i="13" a="1"/>
  <c r="J834" i="13" s="1"/>
  <c r="J845" i="13" s="1" a="1"/>
  <c r="J845" i="13" s="1"/>
  <c r="J846" i="13" s="1"/>
  <c r="EH35" i="9" a="1"/>
  <c r="EH35" i="9" s="1"/>
  <c r="EB35" i="9" a="1"/>
  <c r="EB35" i="9" s="1"/>
  <c r="J868" i="13" a="1"/>
  <c r="J868" i="13" s="1"/>
  <c r="J881" i="13" s="1" a="1"/>
  <c r="J881" i="13" s="1"/>
  <c r="J882" i="13" s="1"/>
  <c r="EB36" i="9" a="1"/>
  <c r="EB36" i="9" s="1"/>
  <c r="EH36" i="9" a="1"/>
  <c r="EH36" i="9" s="1"/>
  <c r="I834" i="13" a="1"/>
  <c r="I834" i="13" s="1"/>
  <c r="DI35" i="9" a="1"/>
  <c r="DI35" i="9" s="1"/>
  <c r="DO35" i="9" a="1"/>
  <c r="DO35" i="9" s="1"/>
  <c r="I868" i="13" a="1"/>
  <c r="I868" i="13" s="1"/>
  <c r="I881" i="13" s="1" a="1"/>
  <c r="I881" i="13" s="1"/>
  <c r="I882" i="13" s="1"/>
  <c r="DO36" i="9" a="1"/>
  <c r="DO36" i="9" s="1"/>
  <c r="DI36" i="9" a="1"/>
  <c r="DI36" i="9" s="1"/>
  <c r="H781" i="13"/>
  <c r="H834" i="13" a="1"/>
  <c r="H834" i="13" s="1"/>
  <c r="CV35" i="9" a="1"/>
  <c r="CV35" i="9" s="1"/>
  <c r="CP35" i="9" a="1"/>
  <c r="CP35" i="9" s="1"/>
  <c r="H813" i="13" a="1"/>
  <c r="H813" i="13" s="1"/>
  <c r="H814" i="13" s="1"/>
  <c r="H815" i="13" s="1"/>
  <c r="G834" i="13" a="1"/>
  <c r="G834" i="13" s="1"/>
  <c r="G845" i="13" s="1" a="1"/>
  <c r="G845" i="13" s="1"/>
  <c r="G846" i="13" s="1"/>
  <c r="BW35" i="9" a="1"/>
  <c r="BW35" i="9" s="1"/>
  <c r="CC35" i="9" a="1"/>
  <c r="CC35" i="9" s="1"/>
  <c r="G868" i="13" a="1"/>
  <c r="G868" i="13" s="1"/>
  <c r="G881" i="13" s="1" a="1"/>
  <c r="G881" i="13" s="1"/>
  <c r="G882" i="13" s="1"/>
  <c r="CC36" i="9" a="1"/>
  <c r="CC36" i="9" s="1"/>
  <c r="BW36" i="9" a="1"/>
  <c r="BW36" i="9" s="1"/>
  <c r="BX33" i="9" a="1"/>
  <c r="BX33" i="9" s="1"/>
  <c r="BZ33" i="9" s="1"/>
  <c r="F868" i="13" a="1"/>
  <c r="F868" i="13" s="1"/>
  <c r="F879" i="13" s="1" a="1"/>
  <c r="F879" i="13" s="1"/>
  <c r="F880" i="13" s="1"/>
  <c r="BD36" i="9" a="1"/>
  <c r="BD36" i="9" s="1"/>
  <c r="BJ36" i="9" a="1"/>
  <c r="BJ36" i="9" s="1"/>
  <c r="F834" i="13" a="1"/>
  <c r="F834" i="13" s="1"/>
  <c r="F847" i="13" s="1" a="1"/>
  <c r="F847" i="13" s="1"/>
  <c r="F848" i="13" s="1"/>
  <c r="BD35" i="9" a="1"/>
  <c r="BD35" i="9" s="1"/>
  <c r="BJ35" i="9" a="1"/>
  <c r="BJ35" i="9" s="1"/>
  <c r="BE33" i="9" a="1"/>
  <c r="BE33" i="9" s="1"/>
  <c r="BG33" i="9" s="1"/>
  <c r="E811" i="13" a="1"/>
  <c r="E811" i="13" s="1"/>
  <c r="E812" i="13" s="1"/>
  <c r="E815" i="13" s="1"/>
  <c r="E781" i="13"/>
  <c r="AM33" i="9" s="1" a="1"/>
  <c r="AM33" i="9" s="1"/>
  <c r="AO33" i="9" s="1"/>
  <c r="E834" i="13" a="1"/>
  <c r="E834" i="13" s="1"/>
  <c r="E847" i="13" s="1" a="1"/>
  <c r="E847" i="13" s="1"/>
  <c r="E848" i="13" s="1"/>
  <c r="AK35" i="9" a="1"/>
  <c r="AK35" i="9" s="1"/>
  <c r="AQ35" i="9" a="1"/>
  <c r="AQ35" i="9" s="1"/>
  <c r="E868" i="13" a="1"/>
  <c r="E868" i="13" s="1"/>
  <c r="E881" i="13" s="1" a="1"/>
  <c r="E881" i="13" s="1"/>
  <c r="E882" i="13" s="1"/>
  <c r="AK36" i="9" a="1"/>
  <c r="AK36" i="9" s="1"/>
  <c r="AQ36" i="9" a="1"/>
  <c r="AQ36" i="9" s="1"/>
  <c r="AL33" i="9" a="1"/>
  <c r="AL33" i="9" s="1"/>
  <c r="G786" i="13"/>
  <c r="CB33" i="9" s="1" a="1"/>
  <c r="CB33" i="9" s="1"/>
  <c r="O786" i="13"/>
  <c r="HX33" i="9" s="1" a="1"/>
  <c r="HX33" i="9" s="1"/>
  <c r="D868" i="13" a="1"/>
  <c r="D868" i="13" s="1"/>
  <c r="D879" i="13" s="1" a="1"/>
  <c r="D879" i="13" s="1"/>
  <c r="D880" i="13" s="1"/>
  <c r="R36" i="9" a="1"/>
  <c r="R36" i="9" s="1"/>
  <c r="D834" i="13" a="1"/>
  <c r="D834" i="13" s="1"/>
  <c r="R35" i="9" a="1"/>
  <c r="R35" i="9" s="1"/>
  <c r="E47" i="27" s="1" a="1"/>
  <c r="E47" i="27" s="1"/>
  <c r="J45" i="25" a="1"/>
  <c r="J45" i="25" s="1"/>
  <c r="H45" i="25" a="1"/>
  <c r="H45" i="25" s="1"/>
  <c r="P45" i="25" a="1"/>
  <c r="P45" i="25" s="1"/>
  <c r="K45" i="25" a="1"/>
  <c r="K45" i="25" s="1"/>
  <c r="O45" i="25" a="1"/>
  <c r="O45" i="25" s="1"/>
  <c r="M45" i="25" a="1"/>
  <c r="M45" i="25" s="1"/>
  <c r="K784" i="13"/>
  <c r="F782" i="13"/>
  <c r="D784" i="13"/>
  <c r="T33" i="9" a="1"/>
  <c r="T33" i="9" s="1"/>
  <c r="IN28" i="9"/>
  <c r="IO28" i="9" s="1"/>
  <c r="M378" i="10" a="1"/>
  <c r="M378" i="10" s="1"/>
  <c r="M379" i="10" s="1"/>
  <c r="M900" i="13" s="1" a="1"/>
  <c r="M900" i="13" s="1"/>
  <c r="S32" i="9" a="1"/>
  <c r="S32" i="9" s="1"/>
  <c r="I810" i="13"/>
  <c r="F805" i="13"/>
  <c r="G810" i="13"/>
  <c r="K810" i="13"/>
  <c r="O365" i="10"/>
  <c r="O866" i="13" s="1" a="1"/>
  <c r="O866" i="13" s="1"/>
  <c r="O869" i="13" s="1" a="1"/>
  <c r="O869" i="13" s="1"/>
  <c r="O870" i="13" s="1"/>
  <c r="O367" i="10"/>
  <c r="O378" i="10" a="1"/>
  <c r="O378" i="10" s="1"/>
  <c r="O379" i="10" s="1"/>
  <c r="O900" i="13" s="1" a="1"/>
  <c r="O900" i="13" s="1"/>
  <c r="D771" i="13"/>
  <c r="E810" i="13"/>
  <c r="I805" i="13"/>
  <c r="M805" i="13"/>
  <c r="J805" i="13"/>
  <c r="G805" i="13"/>
  <c r="H810" i="13"/>
  <c r="L380" i="10"/>
  <c r="L901" i="13" s="1" a="1"/>
  <c r="L901" i="13" s="1"/>
  <c r="L379" i="10"/>
  <c r="L900" i="13" s="1" a="1"/>
  <c r="L900" i="13" s="1"/>
  <c r="L381" i="10"/>
  <c r="E380" i="10"/>
  <c r="E901" i="13" s="1" a="1"/>
  <c r="E901" i="13" s="1"/>
  <c r="E381" i="10"/>
  <c r="E379" i="10"/>
  <c r="E900" i="13" s="1" a="1"/>
  <c r="E900" i="13" s="1"/>
  <c r="F380" i="10"/>
  <c r="F901" i="13" s="1" a="1"/>
  <c r="F901" i="13" s="1"/>
  <c r="F381" i="10"/>
  <c r="F379" i="10"/>
  <c r="F900" i="13" s="1" a="1"/>
  <c r="F900" i="13" s="1"/>
  <c r="K380" i="10"/>
  <c r="K901" i="13" s="1" a="1"/>
  <c r="K901" i="13" s="1"/>
  <c r="K379" i="10"/>
  <c r="K900" i="13" s="1" a="1"/>
  <c r="K900" i="13" s="1"/>
  <c r="K381" i="10"/>
  <c r="I379" i="10"/>
  <c r="I900" i="13" s="1" a="1"/>
  <c r="I900" i="13" s="1"/>
  <c r="I380" i="10"/>
  <c r="I901" i="13" s="1" a="1"/>
  <c r="I901" i="13" s="1"/>
  <c r="I381" i="10"/>
  <c r="D380" i="10"/>
  <c r="D379" i="10"/>
  <c r="D381" i="10"/>
  <c r="G381" i="10"/>
  <c r="G379" i="10"/>
  <c r="G900" i="13" s="1" a="1"/>
  <c r="G900" i="13" s="1"/>
  <c r="G380" i="10"/>
  <c r="G901" i="13" s="1" a="1"/>
  <c r="G901" i="13" s="1"/>
  <c r="H381" i="10"/>
  <c r="H379" i="10"/>
  <c r="H900" i="13" s="1" a="1"/>
  <c r="H900" i="13" s="1"/>
  <c r="H380" i="10"/>
  <c r="H901" i="13" s="1" a="1"/>
  <c r="H901" i="13" s="1"/>
  <c r="N380" i="10"/>
  <c r="N901" i="13" s="1" a="1"/>
  <c r="N901" i="13" s="1"/>
  <c r="N379" i="10"/>
  <c r="N900" i="13" s="1" a="1"/>
  <c r="N900" i="13" s="1"/>
  <c r="N381" i="10"/>
  <c r="O805" i="13"/>
  <c r="H840" i="13" a="1"/>
  <c r="H840" i="13" s="1"/>
  <c r="H841" i="13" s="1"/>
  <c r="H842" i="13" a="1"/>
  <c r="H842" i="13" s="1"/>
  <c r="H843" i="13" s="1"/>
  <c r="M837" i="13" a="1"/>
  <c r="M837" i="13" s="1"/>
  <c r="M838" i="13" s="1"/>
  <c r="M835" i="13" a="1"/>
  <c r="M835" i="13" s="1"/>
  <c r="M836" i="13" s="1"/>
  <c r="J837" i="13" a="1"/>
  <c r="J837" i="13" s="1"/>
  <c r="J838" i="13" s="1"/>
  <c r="J835" i="13" a="1"/>
  <c r="J835" i="13" s="1"/>
  <c r="J836" i="13" s="1"/>
  <c r="L810" i="13"/>
  <c r="H805" i="13"/>
  <c r="E876" i="13" a="1"/>
  <c r="E876" i="13" s="1"/>
  <c r="E877" i="13" s="1"/>
  <c r="E874" i="13" a="1"/>
  <c r="E874" i="13" s="1"/>
  <c r="E875" i="13" s="1"/>
  <c r="H837" i="13" a="1"/>
  <c r="H837" i="13" s="1"/>
  <c r="H838" i="13" s="1"/>
  <c r="H835" i="13" a="1"/>
  <c r="H835" i="13" s="1"/>
  <c r="H836" i="13" s="1"/>
  <c r="O810" i="13"/>
  <c r="D833" i="13" a="1"/>
  <c r="D833" i="13" s="1"/>
  <c r="P352" i="10"/>
  <c r="K366" i="10"/>
  <c r="K867" i="13" s="1" a="1"/>
  <c r="K867" i="13" s="1"/>
  <c r="K367" i="10"/>
  <c r="K365" i="10"/>
  <c r="K866" i="13" s="1" a="1"/>
  <c r="K866" i="13" s="1"/>
  <c r="I871" i="13" a="1"/>
  <c r="I871" i="13" s="1"/>
  <c r="I872" i="13" s="1"/>
  <c r="I869" i="13" a="1"/>
  <c r="I869" i="13" s="1"/>
  <c r="I870" i="13" s="1"/>
  <c r="H869" i="13" a="1"/>
  <c r="H869" i="13" s="1"/>
  <c r="H870" i="13" s="1"/>
  <c r="H871" i="13" a="1"/>
  <c r="H871" i="13" s="1"/>
  <c r="H872" i="13" s="1"/>
  <c r="L874" i="13" a="1"/>
  <c r="L874" i="13" s="1"/>
  <c r="L875" i="13" s="1"/>
  <c r="L876" i="13" a="1"/>
  <c r="L876" i="13" s="1"/>
  <c r="L877" i="13" s="1"/>
  <c r="E840" i="13" a="1"/>
  <c r="E840" i="13" s="1"/>
  <c r="E841" i="13" s="1"/>
  <c r="E842" i="13" a="1"/>
  <c r="E842" i="13" s="1"/>
  <c r="E843" i="13" s="1"/>
  <c r="D832" i="13" a="1"/>
  <c r="D832" i="13" s="1"/>
  <c r="P351" i="10"/>
  <c r="N842" i="13" a="1"/>
  <c r="N842" i="13" s="1"/>
  <c r="N843" i="13" s="1"/>
  <c r="N840" i="13" a="1"/>
  <c r="N840" i="13" s="1"/>
  <c r="N841" i="13" s="1"/>
  <c r="I840" i="13" a="1"/>
  <c r="I840" i="13" s="1"/>
  <c r="I841" i="13" s="1"/>
  <c r="I842" i="13" a="1"/>
  <c r="I842" i="13" s="1"/>
  <c r="I843" i="13" s="1"/>
  <c r="N876" i="13" a="1"/>
  <c r="N876" i="13" s="1"/>
  <c r="N877" i="13" s="1"/>
  <c r="N874" i="13" a="1"/>
  <c r="N874" i="13" s="1"/>
  <c r="N875" i="13" s="1"/>
  <c r="I876" i="13" a="1"/>
  <c r="I876" i="13" s="1"/>
  <c r="I877" i="13" s="1"/>
  <c r="I874" i="13" a="1"/>
  <c r="I874" i="13" s="1"/>
  <c r="I875" i="13" s="1"/>
  <c r="G874" i="13" a="1"/>
  <c r="G874" i="13" s="1"/>
  <c r="G875" i="13" s="1"/>
  <c r="G876" i="13" a="1"/>
  <c r="G876" i="13" s="1"/>
  <c r="G877" i="13" s="1"/>
  <c r="E837" i="13" a="1"/>
  <c r="E837" i="13" s="1"/>
  <c r="E838" i="13" s="1"/>
  <c r="E835" i="13" a="1"/>
  <c r="E835" i="13" s="1"/>
  <c r="E836" i="13" s="1"/>
  <c r="N810" i="13"/>
  <c r="F810" i="13"/>
  <c r="K805" i="13"/>
  <c r="N835" i="13" a="1"/>
  <c r="N835" i="13" s="1"/>
  <c r="N836" i="13" s="1"/>
  <c r="N837" i="13" a="1"/>
  <c r="N837" i="13" s="1"/>
  <c r="N838" i="13" s="1"/>
  <c r="G842" i="13" a="1"/>
  <c r="G842" i="13" s="1"/>
  <c r="G843" i="13" s="1"/>
  <c r="G840" i="13" a="1"/>
  <c r="G840" i="13" s="1"/>
  <c r="G841" i="13" s="1"/>
  <c r="I837" i="13" a="1"/>
  <c r="I837" i="13" s="1"/>
  <c r="I838" i="13" s="1"/>
  <c r="I835" i="13" a="1"/>
  <c r="I835" i="13" s="1"/>
  <c r="I836" i="13" s="1"/>
  <c r="K840" i="13" a="1"/>
  <c r="K840" i="13" s="1"/>
  <c r="K841" i="13" s="1"/>
  <c r="K842" i="13" a="1"/>
  <c r="K842" i="13" s="1"/>
  <c r="K843" i="13" s="1"/>
  <c r="J810" i="13"/>
  <c r="D866" i="13" a="1"/>
  <c r="D866" i="13" s="1"/>
  <c r="H874" i="13" a="1"/>
  <c r="H874" i="13" s="1"/>
  <c r="H875" i="13" s="1"/>
  <c r="H876" i="13" a="1"/>
  <c r="H876" i="13" s="1"/>
  <c r="H877" i="13" s="1"/>
  <c r="G869" i="13" a="1"/>
  <c r="G869" i="13" s="1"/>
  <c r="G870" i="13" s="1"/>
  <c r="G871" i="13" a="1"/>
  <c r="G871" i="13" s="1"/>
  <c r="G872" i="13" s="1"/>
  <c r="F842" i="13" a="1"/>
  <c r="F842" i="13" s="1"/>
  <c r="F843" i="13" s="1"/>
  <c r="F840" i="13" a="1"/>
  <c r="F840" i="13" s="1"/>
  <c r="F841" i="13" s="1"/>
  <c r="O840" i="13" a="1"/>
  <c r="O840" i="13" s="1"/>
  <c r="O841" i="13" s="1"/>
  <c r="O842" i="13" a="1"/>
  <c r="O842" i="13" s="1"/>
  <c r="O843" i="13" s="1"/>
  <c r="G835" i="13" a="1"/>
  <c r="G835" i="13" s="1"/>
  <c r="G836" i="13" s="1"/>
  <c r="G837" i="13" a="1"/>
  <c r="G837" i="13" s="1"/>
  <c r="G838" i="13" s="1"/>
  <c r="K837" i="13" a="1"/>
  <c r="K837" i="13" s="1"/>
  <c r="K838" i="13" s="1"/>
  <c r="K835" i="13" a="1"/>
  <c r="K835" i="13" s="1"/>
  <c r="K836" i="13" s="1"/>
  <c r="N871" i="13" a="1"/>
  <c r="N871" i="13" s="1"/>
  <c r="N872" i="13" s="1"/>
  <c r="N869" i="13" a="1"/>
  <c r="N869" i="13" s="1"/>
  <c r="N870" i="13" s="1"/>
  <c r="M869" i="13" a="1"/>
  <c r="M869" i="13" s="1"/>
  <c r="M870" i="13" s="1"/>
  <c r="M871" i="13" a="1"/>
  <c r="M871" i="13" s="1"/>
  <c r="M872" i="13" s="1"/>
  <c r="P378" i="10" a="1"/>
  <c r="P378" i="10" s="1"/>
  <c r="G752" i="13"/>
  <c r="F837" i="13" a="1"/>
  <c r="F837" i="13" s="1"/>
  <c r="F838" i="13" s="1"/>
  <c r="F835" i="13" a="1"/>
  <c r="F835" i="13" s="1"/>
  <c r="F836" i="13" s="1"/>
  <c r="N805" i="13"/>
  <c r="E805" i="13"/>
  <c r="M810" i="13"/>
  <c r="O835" i="13" a="1"/>
  <c r="O835" i="13" s="1"/>
  <c r="O836" i="13" s="1"/>
  <c r="O837" i="13" a="1"/>
  <c r="O837" i="13" s="1"/>
  <c r="O838" i="13" s="1"/>
  <c r="O874" i="13" a="1"/>
  <c r="O874" i="13" s="1"/>
  <c r="O875" i="13" s="1"/>
  <c r="O876" i="13" a="1"/>
  <c r="O876" i="13" s="1"/>
  <c r="O877" i="13" s="1"/>
  <c r="L805" i="13"/>
  <c r="L840" i="13" a="1"/>
  <c r="L840" i="13" s="1"/>
  <c r="L841" i="13" s="1"/>
  <c r="L842" i="13" a="1"/>
  <c r="L842" i="13" s="1"/>
  <c r="L843" i="13" s="1"/>
  <c r="D803" i="13" a="1"/>
  <c r="D803" i="13" s="1"/>
  <c r="D804" i="13" s="1"/>
  <c r="D801" i="13" a="1"/>
  <c r="D801" i="13" s="1"/>
  <c r="D802" i="13" s="1"/>
  <c r="F869" i="13" a="1"/>
  <c r="F869" i="13" s="1"/>
  <c r="F870" i="13" s="1"/>
  <c r="F871" i="13" a="1"/>
  <c r="F871" i="13" s="1"/>
  <c r="F872" i="13" s="1"/>
  <c r="D867" i="13" a="1"/>
  <c r="D867" i="13" s="1"/>
  <c r="L837" i="13" a="1"/>
  <c r="L837" i="13" s="1"/>
  <c r="L838" i="13" s="1"/>
  <c r="L835" i="13" a="1"/>
  <c r="L835" i="13" s="1"/>
  <c r="L836" i="13" s="1"/>
  <c r="F876" i="13" a="1"/>
  <c r="F876" i="13" s="1"/>
  <c r="F877" i="13" s="1"/>
  <c r="F874" i="13" a="1"/>
  <c r="F874" i="13" s="1"/>
  <c r="F875" i="13" s="1"/>
  <c r="E871" i="13" a="1"/>
  <c r="E871" i="13" s="1"/>
  <c r="E872" i="13" s="1"/>
  <c r="E869" i="13" a="1"/>
  <c r="E869" i="13" s="1"/>
  <c r="E870" i="13" s="1"/>
  <c r="M876" i="13" a="1"/>
  <c r="M876" i="13" s="1"/>
  <c r="M877" i="13" s="1"/>
  <c r="M874" i="13" a="1"/>
  <c r="M874" i="13" s="1"/>
  <c r="M875" i="13" s="1"/>
  <c r="J876" i="13" a="1"/>
  <c r="J876" i="13" s="1"/>
  <c r="J877" i="13" s="1"/>
  <c r="J874" i="13" a="1"/>
  <c r="J874" i="13" s="1"/>
  <c r="J875" i="13" s="1"/>
  <c r="D776" i="13"/>
  <c r="M842" i="13" a="1"/>
  <c r="M842" i="13" s="1"/>
  <c r="M843" i="13" s="1"/>
  <c r="M840" i="13" a="1"/>
  <c r="M840" i="13" s="1"/>
  <c r="M841" i="13" s="1"/>
  <c r="J842" i="13" a="1"/>
  <c r="J842" i="13" s="1"/>
  <c r="J843" i="13" s="1"/>
  <c r="J840" i="13" a="1"/>
  <c r="J840" i="13" s="1"/>
  <c r="J841" i="13" s="1"/>
  <c r="D806" i="13" a="1"/>
  <c r="D806" i="13" s="1"/>
  <c r="D807" i="13" s="1"/>
  <c r="D808" i="13" a="1"/>
  <c r="D808" i="13" s="1"/>
  <c r="D809" i="13" s="1"/>
  <c r="L869" i="13" a="1"/>
  <c r="L869" i="13" s="1"/>
  <c r="L870" i="13" s="1"/>
  <c r="L871" i="13" a="1"/>
  <c r="L871" i="13" s="1"/>
  <c r="L872" i="13" s="1"/>
  <c r="J871" i="13" a="1"/>
  <c r="J871" i="13" s="1"/>
  <c r="J872" i="13" s="1"/>
  <c r="J869" i="13" a="1"/>
  <c r="J869" i="13" s="1"/>
  <c r="J870" i="13" s="1"/>
  <c r="V32" i="9"/>
  <c r="D748" i="13"/>
  <c r="D782" i="13"/>
  <c r="F784" i="13"/>
  <c r="K782" i="13"/>
  <c r="H368" i="10"/>
  <c r="L368" i="10"/>
  <c r="AS30" i="9" a="1"/>
  <c r="AS30" i="9" s="1"/>
  <c r="BA30" i="9" s="1"/>
  <c r="G43" i="24" s="1" a="1"/>
  <c r="G43" i="24" s="1"/>
  <c r="BT30" i="9"/>
  <c r="H43" i="24" s="1" a="1"/>
  <c r="H43" i="24" s="1"/>
  <c r="FV31" i="9" a="1"/>
  <c r="FV31" i="9" s="1"/>
  <c r="GD31" i="9" s="1"/>
  <c r="N44" i="24" s="1" a="1"/>
  <c r="N44" i="24" s="1"/>
  <c r="AS31" i="9" a="1"/>
  <c r="AS31" i="9" s="1"/>
  <c r="BA31" i="9" s="1"/>
  <c r="G44" i="24" s="1" a="1"/>
  <c r="G44" i="24" s="1"/>
  <c r="Z30" i="9" a="1"/>
  <c r="Z30" i="9" s="1"/>
  <c r="AH30" i="9" s="1"/>
  <c r="F43" i="24" s="1" a="1"/>
  <c r="F43" i="24" s="1"/>
  <c r="EJ31" i="9" a="1"/>
  <c r="EJ31" i="9" s="1"/>
  <c r="ER31" i="9" s="1"/>
  <c r="L44" i="24" s="1" a="1"/>
  <c r="L44" i="24" s="1"/>
  <c r="BL31" i="9" a="1"/>
  <c r="BL31" i="9" s="1"/>
  <c r="BT31" i="9" s="1"/>
  <c r="H44" i="24" s="1" a="1"/>
  <c r="H44" i="24" s="1"/>
  <c r="HH31" i="9" a="1"/>
  <c r="HH31" i="9" s="1"/>
  <c r="HP31" i="9" s="1"/>
  <c r="P44" i="24" s="1" a="1"/>
  <c r="P44" i="24" s="1"/>
  <c r="GO29" i="9" a="1"/>
  <c r="GO29" i="9" s="1"/>
  <c r="GW29" i="9" s="1"/>
  <c r="O42" i="24" s="1" a="1"/>
  <c r="O42" i="24" s="1"/>
  <c r="IL30" i="9"/>
  <c r="IM30" i="9" s="1"/>
  <c r="FC30" i="9" a="1"/>
  <c r="FC30" i="9" s="1"/>
  <c r="CE31" i="9" a="1"/>
  <c r="CE31" i="9" s="1"/>
  <c r="CM31" i="9" s="1"/>
  <c r="I44" i="24" s="1" a="1"/>
  <c r="I44" i="24" s="1"/>
  <c r="FC31" i="9" a="1"/>
  <c r="FC31" i="9" s="1"/>
  <c r="FK31" i="9" s="1"/>
  <c r="M44" i="24" s="1" a="1"/>
  <c r="M44" i="24" s="1"/>
  <c r="CX30" i="9" a="1"/>
  <c r="CX30" i="9" s="1"/>
  <c r="DF30" i="9" s="1"/>
  <c r="J43" i="24" s="1" a="1"/>
  <c r="J43" i="24" s="1"/>
  <c r="GO31" i="9" a="1"/>
  <c r="GO31" i="9" s="1"/>
  <c r="GW31" i="9" s="1"/>
  <c r="O44" i="24" s="1" a="1"/>
  <c r="O44" i="24" s="1"/>
  <c r="CW32" i="9"/>
  <c r="DE32" i="9" s="1"/>
  <c r="W31" i="9" a="1"/>
  <c r="W31" i="9" s="1"/>
  <c r="Y31" i="9" s="1"/>
  <c r="AG31" i="9" s="1"/>
  <c r="IL31" i="9" s="1"/>
  <c r="IM31" i="9" s="1"/>
  <c r="I376" i="10"/>
  <c r="DH37" i="9" s="1" a="1"/>
  <c r="DH37" i="9" s="1"/>
  <c r="J376" i="10"/>
  <c r="EA37" i="9" s="1" a="1"/>
  <c r="EA37" i="9" s="1"/>
  <c r="DQ31" i="9" a="1"/>
  <c r="DQ31" i="9" s="1"/>
  <c r="DY31" i="9" s="1"/>
  <c r="K44" i="24" s="1" a="1"/>
  <c r="K44" i="24" s="1"/>
  <c r="GN32" i="9"/>
  <c r="GV32" i="9" s="1"/>
  <c r="G376" i="10"/>
  <c r="BV37" i="9" s="1" a="1"/>
  <c r="BV37" i="9" s="1"/>
  <c r="O368" i="10"/>
  <c r="N376" i="10"/>
  <c r="GY37" i="9" s="1" a="1"/>
  <c r="GY37" i="9" s="1"/>
  <c r="E376" i="10"/>
  <c r="AJ37" i="9" s="1" a="1"/>
  <c r="AJ37" i="9" s="1"/>
  <c r="M376" i="10"/>
  <c r="GF37" i="9" s="1" a="1"/>
  <c r="GF37" i="9" s="1"/>
  <c r="H376" i="10"/>
  <c r="CO37" i="9" s="1" a="1"/>
  <c r="CO37" i="9" s="1"/>
  <c r="H382" i="10"/>
  <c r="N382" i="10"/>
  <c r="O388" i="10"/>
  <c r="I388" i="10"/>
  <c r="O391" i="10"/>
  <c r="P391" i="10"/>
  <c r="K388" i="10"/>
  <c r="O376" i="10"/>
  <c r="HR37" i="9" s="1" a="1"/>
  <c r="HR37" i="9" s="1"/>
  <c r="D388" i="10"/>
  <c r="B425" i="10" a="1"/>
  <c r="B425" i="10" s="1"/>
  <c r="A425" i="10" a="1"/>
  <c r="A425" i="10" s="1"/>
  <c r="E388" i="10"/>
  <c r="M388" i="10"/>
  <c r="K368" i="10"/>
  <c r="B399" i="10"/>
  <c r="B400" i="10" s="1"/>
  <c r="B401" i="10" s="1"/>
  <c r="M398" i="10"/>
  <c r="L398" i="10"/>
  <c r="B402" i="10"/>
  <c r="B403" i="10" s="1"/>
  <c r="P398" i="10"/>
  <c r="P402" i="10" s="1"/>
  <c r="H398" i="10"/>
  <c r="H405" i="10" s="1"/>
  <c r="J398" i="10"/>
  <c r="J405" i="10" s="1"/>
  <c r="O398" i="10"/>
  <c r="E398" i="10"/>
  <c r="E405" i="10" s="1"/>
  <c r="G398" i="10"/>
  <c r="G405" i="10" s="1"/>
  <c r="F398" i="10"/>
  <c r="K398" i="10"/>
  <c r="K405" i="10" s="1"/>
  <c r="N398" i="10"/>
  <c r="N405" i="10" s="1"/>
  <c r="D398" i="10"/>
  <c r="D405" i="10" s="1"/>
  <c r="I398" i="10"/>
  <c r="I405" i="10" s="1"/>
  <c r="P354" i="10"/>
  <c r="K376" i="10"/>
  <c r="ET37" i="9" s="1" a="1"/>
  <c r="ET37" i="9" s="1"/>
  <c r="J388" i="10"/>
  <c r="L388" i="10"/>
  <c r="O411" i="10"/>
  <c r="L411" i="10"/>
  <c r="I411" i="10"/>
  <c r="H411" i="10"/>
  <c r="F411" i="10"/>
  <c r="E411" i="10"/>
  <c r="B412" i="10"/>
  <c r="D411" i="10"/>
  <c r="P411" i="10"/>
  <c r="M411" i="10"/>
  <c r="K411" i="10"/>
  <c r="G411" i="10"/>
  <c r="N411" i="10"/>
  <c r="J411" i="10"/>
  <c r="K389" i="10"/>
  <c r="K392" i="10" s="1" a="1"/>
  <c r="K392" i="10" s="1"/>
  <c r="L389" i="10"/>
  <c r="J389" i="10"/>
  <c r="J392" i="10" s="1" a="1"/>
  <c r="J392" i="10" s="1"/>
  <c r="N389" i="10"/>
  <c r="N392" i="10" s="1" a="1"/>
  <c r="N392" i="10" s="1"/>
  <c r="F389" i="10"/>
  <c r="F392" i="10" s="1" a="1"/>
  <c r="F392" i="10" s="1"/>
  <c r="B390" i="10"/>
  <c r="B391" i="10" s="1"/>
  <c r="B392" i="10" s="1"/>
  <c r="B393" i="10" s="1"/>
  <c r="B394" i="10" s="1"/>
  <c r="B395" i="10" s="1"/>
  <c r="B396" i="10" s="1"/>
  <c r="O389" i="10"/>
  <c r="E389" i="10"/>
  <c r="E392" i="10" s="1" a="1"/>
  <c r="E392" i="10" s="1"/>
  <c r="I389" i="10"/>
  <c r="D389" i="10"/>
  <c r="D392" i="10" s="1" a="1"/>
  <c r="D392" i="10" s="1"/>
  <c r="H389" i="10"/>
  <c r="H392" i="10" s="1" a="1"/>
  <c r="H392" i="10" s="1"/>
  <c r="P389" i="10"/>
  <c r="P390" i="10" s="1"/>
  <c r="M389" i="10"/>
  <c r="M392" i="10" s="1" a="1"/>
  <c r="M392" i="10" s="1"/>
  <c r="G389" i="10"/>
  <c r="G392" i="10" s="1" a="1"/>
  <c r="G392" i="10" s="1"/>
  <c r="L382" i="10"/>
  <c r="L376" i="10"/>
  <c r="FM37" i="9" s="1" a="1"/>
  <c r="FM37" i="9" s="1"/>
  <c r="D376" i="10"/>
  <c r="Q37" i="9" s="1" a="1"/>
  <c r="Q37" i="9" s="1"/>
  <c r="H388" i="10"/>
  <c r="N388" i="10"/>
  <c r="L391" i="10"/>
  <c r="F388" i="10"/>
  <c r="G388" i="10"/>
  <c r="I391" i="10"/>
  <c r="F376" i="10"/>
  <c r="BC37" i="9" s="1" a="1"/>
  <c r="BC37" i="9" s="1"/>
  <c r="I382" i="10"/>
  <c r="R439" i="10"/>
  <c r="D752" i="13" l="1"/>
  <c r="U32" i="9"/>
  <c r="M879" i="13" a="1"/>
  <c r="M879" i="13" s="1"/>
  <c r="M880" i="13" s="1"/>
  <c r="H816" i="13"/>
  <c r="CR34" i="9" a="1"/>
  <c r="CR34" i="9" s="1"/>
  <c r="E816" i="13"/>
  <c r="AM34" i="9" a="1"/>
  <c r="AM34" i="9" s="1"/>
  <c r="G818" i="13"/>
  <c r="BY34" i="9" a="1"/>
  <c r="BY34" i="9" s="1"/>
  <c r="O818" i="13"/>
  <c r="HU34" i="9" a="1"/>
  <c r="HU34" i="9" s="1"/>
  <c r="J818" i="13"/>
  <c r="ED34" i="9" a="1"/>
  <c r="ED34" i="9" s="1"/>
  <c r="L818" i="13"/>
  <c r="FP34" i="9" a="1"/>
  <c r="FP34" i="9" s="1"/>
  <c r="D818" i="13"/>
  <c r="T34" i="9" a="1"/>
  <c r="T34" i="9" s="1"/>
  <c r="E46" i="25" s="1" a="1"/>
  <c r="E46" i="25" s="1"/>
  <c r="I816" i="13"/>
  <c r="DK34" i="9" a="1"/>
  <c r="DK34" i="9" s="1"/>
  <c r="F816" i="13"/>
  <c r="BF34" i="9" a="1"/>
  <c r="BF34" i="9" s="1"/>
  <c r="K818" i="13"/>
  <c r="EW34" i="9" a="1"/>
  <c r="EW34" i="9" s="1"/>
  <c r="FU32" i="9"/>
  <c r="GC32" i="9" s="1"/>
  <c r="M44" i="25" a="1"/>
  <c r="M44" i="25" s="1"/>
  <c r="Q44" i="25" s="1"/>
  <c r="FR32" i="9"/>
  <c r="F786" i="13"/>
  <c r="BI33" i="9" s="1" a="1"/>
  <c r="BI33" i="9" s="1"/>
  <c r="BK33" i="9" s="1"/>
  <c r="BL33" i="9" s="1" a="1"/>
  <c r="BL33" i="9" s="1"/>
  <c r="O816" i="13"/>
  <c r="I879" i="13" a="1"/>
  <c r="I879" i="13" s="1"/>
  <c r="I880" i="13" s="1"/>
  <c r="I883" i="13" s="1"/>
  <c r="G847" i="13" a="1"/>
  <c r="G847" i="13" s="1"/>
  <c r="G848" i="13" s="1"/>
  <c r="G849" i="13" s="1"/>
  <c r="F881" i="13" a="1"/>
  <c r="F881" i="13" s="1"/>
  <c r="F882" i="13" s="1"/>
  <c r="F883" i="13" s="1"/>
  <c r="H818" i="13"/>
  <c r="N847" i="13" a="1"/>
  <c r="N847" i="13" s="1"/>
  <c r="N848" i="13" s="1"/>
  <c r="N849" i="13" s="1"/>
  <c r="HB35" i="9" s="1" a="1"/>
  <c r="HB35" i="9" s="1"/>
  <c r="GH34" i="9" a="1"/>
  <c r="GH34" i="9" s="1"/>
  <c r="N786" i="13"/>
  <c r="HE33" i="9" s="1" a="1"/>
  <c r="HE33" i="9" s="1"/>
  <c r="HG33" i="9" s="1"/>
  <c r="HO33" i="9" s="1"/>
  <c r="K786" i="13"/>
  <c r="EZ33" i="9" s="1" a="1"/>
  <c r="EZ33" i="9" s="1"/>
  <c r="FB33" i="9" s="1"/>
  <c r="FJ33" i="9" s="1"/>
  <c r="E845" i="13" a="1"/>
  <c r="E845" i="13" s="1"/>
  <c r="E846" i="13" s="1"/>
  <c r="E849" i="13" s="1"/>
  <c r="D881" i="13" a="1"/>
  <c r="D881" i="13" s="1"/>
  <c r="D882" i="13" s="1"/>
  <c r="D883" i="13" s="1"/>
  <c r="L786" i="13"/>
  <c r="FS33" i="9" s="1" a="1"/>
  <c r="FS33" i="9" s="1"/>
  <c r="FU33" i="9" s="1"/>
  <c r="GC33" i="9" s="1"/>
  <c r="E879" i="13" a="1"/>
  <c r="E879" i="13" s="1"/>
  <c r="E880" i="13" s="1"/>
  <c r="E883" i="13" s="1"/>
  <c r="G816" i="13"/>
  <c r="E818" i="13"/>
  <c r="G879" i="13" a="1"/>
  <c r="G879" i="13" s="1"/>
  <c r="G880" i="13" s="1"/>
  <c r="G883" i="13" s="1"/>
  <c r="F845" i="13" a="1"/>
  <c r="F845" i="13" s="1"/>
  <c r="F846" i="13" s="1"/>
  <c r="F849" i="13" s="1"/>
  <c r="P367" i="10"/>
  <c r="N879" i="13" a="1"/>
  <c r="N879" i="13" s="1"/>
  <c r="N880" i="13" s="1"/>
  <c r="N883" i="13" s="1"/>
  <c r="J379" i="10"/>
  <c r="J900" i="13" s="1" a="1"/>
  <c r="J900" i="13" s="1"/>
  <c r="J905" i="13" s="1" a="1"/>
  <c r="J905" i="13" s="1"/>
  <c r="J906" i="13" s="1"/>
  <c r="J382" i="10"/>
  <c r="J902" i="13" s="1" a="1"/>
  <c r="J902" i="13" s="1"/>
  <c r="F818" i="13"/>
  <c r="K845" i="13" a="1"/>
  <c r="K845" i="13" s="1"/>
  <c r="K846" i="13" s="1"/>
  <c r="K849" i="13" s="1"/>
  <c r="J879" i="13" a="1"/>
  <c r="J879" i="13" s="1"/>
  <c r="J880" i="13" s="1"/>
  <c r="J883" i="13" s="1"/>
  <c r="I818" i="13"/>
  <c r="EC34" i="9" a="1"/>
  <c r="EC34" i="9" s="1"/>
  <c r="EE34" i="9" s="1"/>
  <c r="J381" i="10"/>
  <c r="O847" i="13" a="1"/>
  <c r="O847" i="13" s="1"/>
  <c r="O848" i="13" s="1"/>
  <c r="O849" i="13" s="1"/>
  <c r="M847" i="13" a="1"/>
  <c r="M847" i="13" s="1"/>
  <c r="M848" i="13" s="1"/>
  <c r="M849" i="13" s="1"/>
  <c r="M815" i="13"/>
  <c r="GI34" i="9" s="1" a="1"/>
  <c r="GI34" i="9" s="1"/>
  <c r="J786" i="13"/>
  <c r="EG33" i="9" s="1" a="1"/>
  <c r="EG33" i="9" s="1"/>
  <c r="EI33" i="9" s="1"/>
  <c r="EQ33" i="9" s="1"/>
  <c r="I786" i="13"/>
  <c r="DN33" i="9" s="1" a="1"/>
  <c r="DN33" i="9" s="1"/>
  <c r="DP33" i="9" s="1"/>
  <c r="DX33" i="9" s="1"/>
  <c r="O868" i="13" a="1"/>
  <c r="O868" i="13" s="1"/>
  <c r="O881" i="13" s="1" a="1"/>
  <c r="O881" i="13" s="1"/>
  <c r="O882" i="13" s="1"/>
  <c r="HS36" i="9" a="1"/>
  <c r="HS36" i="9" s="1"/>
  <c r="P48" i="27" s="1" a="1"/>
  <c r="P48" i="27" s="1"/>
  <c r="HY36" i="9" a="1"/>
  <c r="HY36" i="9" s="1"/>
  <c r="P47" i="27" a="1"/>
  <c r="P47" i="27" s="1"/>
  <c r="HT34" i="9" a="1"/>
  <c r="HT34" i="9" s="1"/>
  <c r="N815" i="13"/>
  <c r="HB34" i="9" s="1" a="1"/>
  <c r="HB34" i="9" s="1"/>
  <c r="HA34" i="9" a="1"/>
  <c r="HA34" i="9" s="1"/>
  <c r="N902" i="13" a="1"/>
  <c r="N902" i="13" s="1"/>
  <c r="N913" i="13" s="1" a="1"/>
  <c r="N913" i="13" s="1"/>
  <c r="N914" i="13" s="1"/>
  <c r="GZ37" i="9" a="1"/>
  <c r="GZ37" i="9" s="1"/>
  <c r="HF37" i="9" a="1"/>
  <c r="HF37" i="9" s="1"/>
  <c r="GI33" i="9" a="1"/>
  <c r="GI33" i="9" s="1"/>
  <c r="M784" i="13"/>
  <c r="M786" i="13" s="1"/>
  <c r="GL33" i="9" s="1" a="1"/>
  <c r="GL33" i="9" s="1"/>
  <c r="O47" i="27" a="1"/>
  <c r="O47" i="27" s="1"/>
  <c r="N47" i="27" a="1"/>
  <c r="N47" i="27" s="1"/>
  <c r="BE34" i="9" a="1"/>
  <c r="BE34" i="9" s="1"/>
  <c r="L845" i="13" a="1"/>
  <c r="L845" i="13" s="1"/>
  <c r="L846" i="13" s="1"/>
  <c r="L849" i="13" s="1"/>
  <c r="L902" i="13" a="1"/>
  <c r="L902" i="13" s="1"/>
  <c r="L915" i="13" s="1" a="1"/>
  <c r="L915" i="13" s="1"/>
  <c r="L916" i="13" s="1"/>
  <c r="FT37" i="9" a="1"/>
  <c r="FT37" i="9" s="1"/>
  <c r="FN37" i="9" a="1"/>
  <c r="FN37" i="9" s="1"/>
  <c r="FO34" i="9" a="1"/>
  <c r="FO34" i="9" s="1"/>
  <c r="DJ34" i="9" a="1"/>
  <c r="DJ34" i="9" s="1"/>
  <c r="M47" i="27" a="1"/>
  <c r="M47" i="27" s="1"/>
  <c r="L868" i="13" a="1"/>
  <c r="L868" i="13" s="1"/>
  <c r="L879" i="13" s="1" a="1"/>
  <c r="L879" i="13" s="1"/>
  <c r="L880" i="13" s="1"/>
  <c r="FN36" i="9" a="1"/>
  <c r="FN36" i="9" s="1"/>
  <c r="M48" i="27" s="1" a="1"/>
  <c r="M48" i="27" s="1"/>
  <c r="FT36" i="9" a="1"/>
  <c r="FT36" i="9" s="1"/>
  <c r="K868" i="13" a="1"/>
  <c r="K868" i="13" s="1"/>
  <c r="K881" i="13" s="1" a="1"/>
  <c r="K881" i="13" s="1"/>
  <c r="K882" i="13" s="1"/>
  <c r="EU36" i="9" a="1"/>
  <c r="EU36" i="9" s="1"/>
  <c r="L48" i="27" s="1" a="1"/>
  <c r="L48" i="27" s="1"/>
  <c r="FA36" i="9" a="1"/>
  <c r="FA36" i="9" s="1"/>
  <c r="EV34" i="9" a="1"/>
  <c r="EV34" i="9" s="1"/>
  <c r="L47" i="27" a="1"/>
  <c r="L47" i="27" s="1"/>
  <c r="K47" i="27" a="1"/>
  <c r="K47" i="27" s="1"/>
  <c r="J847" i="13" a="1"/>
  <c r="J847" i="13" s="1"/>
  <c r="J848" i="13" s="1"/>
  <c r="J849" i="13" s="1"/>
  <c r="I902" i="13" a="1"/>
  <c r="I902" i="13" s="1"/>
  <c r="I913" i="13" s="1" a="1"/>
  <c r="I913" i="13" s="1"/>
  <c r="I914" i="13" s="1"/>
  <c r="DI37" i="9" a="1"/>
  <c r="DI37" i="9" s="1"/>
  <c r="DO37" i="9" a="1"/>
  <c r="DO37" i="9" s="1"/>
  <c r="J47" i="27" a="1"/>
  <c r="J47" i="27" s="1"/>
  <c r="I847" i="13" a="1"/>
  <c r="I847" i="13" s="1"/>
  <c r="I848" i="13" s="1"/>
  <c r="I845" i="13" a="1"/>
  <c r="I845" i="13" s="1"/>
  <c r="I846" i="13" s="1"/>
  <c r="CQ34" i="9" a="1"/>
  <c r="CQ34" i="9" s="1"/>
  <c r="I47" i="27" a="1"/>
  <c r="I47" i="27" s="1"/>
  <c r="H902" i="13" a="1"/>
  <c r="H902" i="13" s="1"/>
  <c r="H913" i="13" s="1" a="1"/>
  <c r="H913" i="13" s="1"/>
  <c r="H914" i="13" s="1"/>
  <c r="CP37" i="9" a="1"/>
  <c r="CP37" i="9" s="1"/>
  <c r="CV37" i="9" a="1"/>
  <c r="CV37" i="9" s="1"/>
  <c r="H868" i="13" a="1"/>
  <c r="H868" i="13" s="1"/>
  <c r="H879" i="13" s="1" a="1"/>
  <c r="H879" i="13" s="1"/>
  <c r="H880" i="13" s="1"/>
  <c r="CP36" i="9" a="1"/>
  <c r="CP36" i="9" s="1"/>
  <c r="I48" i="27" s="1" a="1"/>
  <c r="I48" i="27" s="1"/>
  <c r="CV36" i="9" a="1"/>
  <c r="CV36" i="9" s="1"/>
  <c r="H847" i="13" a="1"/>
  <c r="H847" i="13" s="1"/>
  <c r="H848" i="13" s="1"/>
  <c r="H845" i="13" a="1"/>
  <c r="H845" i="13" s="1"/>
  <c r="H846" i="13" s="1"/>
  <c r="CR33" i="9" a="1"/>
  <c r="CR33" i="9" s="1"/>
  <c r="H784" i="13"/>
  <c r="H782" i="13"/>
  <c r="F45" i="25" a="1"/>
  <c r="F45" i="25" s="1"/>
  <c r="E782" i="13"/>
  <c r="H47" i="27" a="1"/>
  <c r="H47" i="27" s="1"/>
  <c r="AN33" i="9"/>
  <c r="CB32" i="9" a="1"/>
  <c r="CB32" i="9" s="1"/>
  <c r="CD32" i="9" s="1"/>
  <c r="BX34" i="9" a="1"/>
  <c r="BX34" i="9" s="1"/>
  <c r="G47" i="27" a="1"/>
  <c r="G47" i="27" s="1"/>
  <c r="AL34" i="9" a="1"/>
  <c r="AL34" i="9" s="1"/>
  <c r="AN34" i="9" s="1"/>
  <c r="F47" i="27" a="1"/>
  <c r="F47" i="27" s="1"/>
  <c r="E784" i="13"/>
  <c r="D847" i="13" a="1"/>
  <c r="D847" i="13" s="1"/>
  <c r="D848" i="13" s="1"/>
  <c r="D845" i="13" a="1"/>
  <c r="D845" i="13" s="1"/>
  <c r="D846" i="13" s="1"/>
  <c r="M381" i="10"/>
  <c r="L45" i="25" a="1"/>
  <c r="L45" i="25" s="1"/>
  <c r="V33" i="9"/>
  <c r="E45" i="25" a="1"/>
  <c r="E45" i="25" s="1"/>
  <c r="G45" i="25" a="1"/>
  <c r="G45" i="25" s="1"/>
  <c r="M380" i="10"/>
  <c r="M901" i="13" s="1" a="1"/>
  <c r="M901" i="13" s="1"/>
  <c r="M908" i="13" s="1" a="1"/>
  <c r="M908" i="13" s="1"/>
  <c r="M909" i="13" s="1"/>
  <c r="IN29" i="9"/>
  <c r="IO29" i="9" s="1"/>
  <c r="D786" i="13"/>
  <c r="O871" i="13" a="1"/>
  <c r="O871" i="13" s="1"/>
  <c r="O872" i="13" s="1"/>
  <c r="O873" i="13" s="1"/>
  <c r="O380" i="10"/>
  <c r="O901" i="13" s="1" a="1"/>
  <c r="O901" i="13" s="1"/>
  <c r="O910" i="13" s="1" a="1"/>
  <c r="O910" i="13" s="1"/>
  <c r="O911" i="13" s="1"/>
  <c r="P366" i="10"/>
  <c r="O381" i="10"/>
  <c r="E873" i="13"/>
  <c r="F878" i="13"/>
  <c r="E844" i="13"/>
  <c r="E878" i="13"/>
  <c r="L392" i="10" a="1"/>
  <c r="L392" i="10" s="1"/>
  <c r="L394" i="10" s="1"/>
  <c r="L935" i="13" s="1" a="1"/>
  <c r="L935" i="13" s="1"/>
  <c r="D810" i="13"/>
  <c r="L839" i="13"/>
  <c r="L844" i="13"/>
  <c r="G873" i="13"/>
  <c r="H878" i="13"/>
  <c r="G878" i="13"/>
  <c r="M878" i="13"/>
  <c r="N873" i="13"/>
  <c r="P365" i="10"/>
  <c r="K844" i="13"/>
  <c r="I878" i="13"/>
  <c r="E394" i="10"/>
  <c r="E935" i="13" s="1" a="1"/>
  <c r="E935" i="13" s="1"/>
  <c r="E395" i="10"/>
  <c r="E393" i="10"/>
  <c r="E934" i="13" s="1" a="1"/>
  <c r="E934" i="13" s="1"/>
  <c r="G395" i="10"/>
  <c r="G393" i="10"/>
  <c r="G934" i="13" s="1" a="1"/>
  <c r="G934" i="13" s="1"/>
  <c r="G394" i="10"/>
  <c r="G935" i="13" s="1" a="1"/>
  <c r="G935" i="13" s="1"/>
  <c r="F393" i="10"/>
  <c r="F934" i="13" s="1" a="1"/>
  <c r="F934" i="13" s="1"/>
  <c r="F395" i="10"/>
  <c r="F394" i="10"/>
  <c r="F935" i="13" s="1" a="1"/>
  <c r="F935" i="13" s="1"/>
  <c r="N395" i="10"/>
  <c r="N393" i="10"/>
  <c r="N934" i="13" s="1" a="1"/>
  <c r="N934" i="13" s="1"/>
  <c r="N394" i="10"/>
  <c r="N935" i="13" s="1" a="1"/>
  <c r="N935" i="13" s="1"/>
  <c r="H395" i="10"/>
  <c r="H393" i="10"/>
  <c r="H934" i="13" s="1" a="1"/>
  <c r="H934" i="13" s="1"/>
  <c r="H394" i="10"/>
  <c r="H935" i="13" s="1" a="1"/>
  <c r="H935" i="13" s="1"/>
  <c r="J395" i="10"/>
  <c r="J393" i="10"/>
  <c r="J934" i="13" s="1" a="1"/>
  <c r="J934" i="13" s="1"/>
  <c r="J394" i="10"/>
  <c r="J935" i="13" s="1" a="1"/>
  <c r="J935" i="13" s="1"/>
  <c r="D394" i="10"/>
  <c r="D395" i="10"/>
  <c r="D393" i="10"/>
  <c r="M394" i="10"/>
  <c r="M935" i="13" s="1" a="1"/>
  <c r="M935" i="13" s="1"/>
  <c r="M395" i="10"/>
  <c r="M393" i="10"/>
  <c r="M934" i="13" s="1" a="1"/>
  <c r="M934" i="13" s="1"/>
  <c r="K394" i="10"/>
  <c r="K935" i="13" s="1" a="1"/>
  <c r="K935" i="13" s="1"/>
  <c r="K395" i="10"/>
  <c r="K393" i="10"/>
  <c r="K934" i="13" s="1" a="1"/>
  <c r="K934" i="13" s="1"/>
  <c r="J873" i="13"/>
  <c r="M844" i="13"/>
  <c r="F873" i="13"/>
  <c r="O878" i="13"/>
  <c r="F844" i="13"/>
  <c r="I839" i="13"/>
  <c r="D837" i="13" a="1"/>
  <c r="D837" i="13" s="1"/>
  <c r="D838" i="13" s="1"/>
  <c r="D835" i="13" a="1"/>
  <c r="D835" i="13" s="1"/>
  <c r="D836" i="13" s="1"/>
  <c r="H873" i="13"/>
  <c r="D840" i="13" a="1"/>
  <c r="D840" i="13" s="1"/>
  <c r="D841" i="13" s="1"/>
  <c r="D842" i="13" a="1"/>
  <c r="D842" i="13" s="1"/>
  <c r="D843" i="13" s="1"/>
  <c r="H908" i="13" a="1"/>
  <c r="H908" i="13" s="1"/>
  <c r="H909" i="13" s="1"/>
  <c r="H910" i="13" a="1"/>
  <c r="H910" i="13" s="1"/>
  <c r="H911" i="13" s="1"/>
  <c r="D901" i="13" a="1"/>
  <c r="D901" i="13" s="1"/>
  <c r="P392" i="10" a="1"/>
  <c r="P392" i="10" s="1"/>
  <c r="L873" i="13"/>
  <c r="O839" i="13"/>
  <c r="G844" i="13"/>
  <c r="N878" i="13"/>
  <c r="H905" i="13" a="1"/>
  <c r="H905" i="13" s="1"/>
  <c r="H906" i="13" s="1"/>
  <c r="H903" i="13" a="1"/>
  <c r="H903" i="13" s="1"/>
  <c r="H904" i="13" s="1"/>
  <c r="F908" i="13" a="1"/>
  <c r="F908" i="13" s="1"/>
  <c r="F909" i="13" s="1"/>
  <c r="F910" i="13" a="1"/>
  <c r="F910" i="13" s="1"/>
  <c r="F911" i="13" s="1"/>
  <c r="O392" i="10" a="1"/>
  <c r="O392" i="10" s="1"/>
  <c r="I908" i="13" a="1"/>
  <c r="I908" i="13" s="1"/>
  <c r="I909" i="13" s="1"/>
  <c r="I910" i="13" a="1"/>
  <c r="I910" i="13" s="1"/>
  <c r="I911" i="13" s="1"/>
  <c r="E903" i="13" a="1"/>
  <c r="E903" i="13" s="1"/>
  <c r="E904" i="13" s="1"/>
  <c r="E905" i="13" a="1"/>
  <c r="E905" i="13" s="1"/>
  <c r="E906" i="13" s="1"/>
  <c r="D805" i="13"/>
  <c r="K839" i="13"/>
  <c r="D871" i="13" a="1"/>
  <c r="D871" i="13" s="1"/>
  <c r="D872" i="13" s="1"/>
  <c r="D869" i="13" a="1"/>
  <c r="D869" i="13" s="1"/>
  <c r="D870" i="13" s="1"/>
  <c r="E839" i="13"/>
  <c r="I873" i="13"/>
  <c r="H839" i="13"/>
  <c r="J839" i="13"/>
  <c r="J910" i="13" a="1"/>
  <c r="J910" i="13" s="1"/>
  <c r="J911" i="13" s="1"/>
  <c r="J908" i="13" a="1"/>
  <c r="J908" i="13" s="1"/>
  <c r="J909" i="13" s="1"/>
  <c r="G910" i="13" a="1"/>
  <c r="G910" i="13" s="1"/>
  <c r="G911" i="13" s="1"/>
  <c r="G908" i="13" a="1"/>
  <c r="G908" i="13" s="1"/>
  <c r="G909" i="13" s="1"/>
  <c r="I903" i="13" a="1"/>
  <c r="I903" i="13" s="1"/>
  <c r="I904" i="13" s="1"/>
  <c r="I905" i="13" a="1"/>
  <c r="I905" i="13" s="1"/>
  <c r="I906" i="13" s="1"/>
  <c r="J878" i="13"/>
  <c r="G839" i="13"/>
  <c r="M903" i="13" a="1"/>
  <c r="M903" i="13" s="1"/>
  <c r="M904" i="13" s="1"/>
  <c r="M905" i="13" a="1"/>
  <c r="M905" i="13" s="1"/>
  <c r="M906" i="13" s="1"/>
  <c r="I844" i="13"/>
  <c r="K869" i="13" a="1"/>
  <c r="K869" i="13" s="1"/>
  <c r="K870" i="13" s="1"/>
  <c r="K871" i="13" a="1"/>
  <c r="K871" i="13" s="1"/>
  <c r="K872" i="13" s="1"/>
  <c r="G903" i="13" a="1"/>
  <c r="G903" i="13" s="1"/>
  <c r="G904" i="13" s="1"/>
  <c r="G905" i="13" a="1"/>
  <c r="G905" i="13" s="1"/>
  <c r="G906" i="13" s="1"/>
  <c r="E910" i="13" a="1"/>
  <c r="E910" i="13" s="1"/>
  <c r="E911" i="13" s="1"/>
  <c r="E908" i="13" a="1"/>
  <c r="E908" i="13" s="1"/>
  <c r="E909" i="13" s="1"/>
  <c r="J844" i="13"/>
  <c r="M873" i="13"/>
  <c r="N839" i="13"/>
  <c r="N844" i="13"/>
  <c r="O905" i="13" a="1"/>
  <c r="O905" i="13" s="1"/>
  <c r="O906" i="13" s="1"/>
  <c r="O903" i="13" a="1"/>
  <c r="O903" i="13" s="1"/>
  <c r="O904" i="13" s="1"/>
  <c r="M839" i="13"/>
  <c r="K903" i="13" a="1"/>
  <c r="K903" i="13" s="1"/>
  <c r="K904" i="13" s="1"/>
  <c r="K905" i="13" a="1"/>
  <c r="K905" i="13" s="1"/>
  <c r="K906" i="13" s="1"/>
  <c r="K874" i="13" a="1"/>
  <c r="K874" i="13" s="1"/>
  <c r="K875" i="13" s="1"/>
  <c r="K876" i="13" a="1"/>
  <c r="K876" i="13" s="1"/>
  <c r="K877" i="13" s="1"/>
  <c r="N905" i="13" a="1"/>
  <c r="N905" i="13" s="1"/>
  <c r="N906" i="13" s="1"/>
  <c r="N903" i="13" a="1"/>
  <c r="N903" i="13" s="1"/>
  <c r="N904" i="13" s="1"/>
  <c r="K910" i="13" a="1"/>
  <c r="K910" i="13" s="1"/>
  <c r="K911" i="13" s="1"/>
  <c r="K908" i="13" a="1"/>
  <c r="K908" i="13" s="1"/>
  <c r="K909" i="13" s="1"/>
  <c r="L903" i="13" a="1"/>
  <c r="L903" i="13" s="1"/>
  <c r="L904" i="13" s="1"/>
  <c r="L905" i="13" a="1"/>
  <c r="L905" i="13" s="1"/>
  <c r="L906" i="13" s="1"/>
  <c r="I392" i="10" a="1"/>
  <c r="I392" i="10" s="1"/>
  <c r="D874" i="13" a="1"/>
  <c r="D874" i="13" s="1"/>
  <c r="D875" i="13" s="1"/>
  <c r="D876" i="13" a="1"/>
  <c r="D876" i="13" s="1"/>
  <c r="D877" i="13" s="1"/>
  <c r="F839" i="13"/>
  <c r="O844" i="13"/>
  <c r="L878" i="13"/>
  <c r="H844" i="13"/>
  <c r="N908" i="13" a="1"/>
  <c r="N908" i="13" s="1"/>
  <c r="N909" i="13" s="1"/>
  <c r="N910" i="13" a="1"/>
  <c r="N910" i="13" s="1"/>
  <c r="N911" i="13" s="1"/>
  <c r="D900" i="13" a="1"/>
  <c r="D900" i="13" s="1"/>
  <c r="F905" i="13" a="1"/>
  <c r="F905" i="13" s="1"/>
  <c r="F906" i="13" s="1"/>
  <c r="F903" i="13" a="1"/>
  <c r="F903" i="13" s="1"/>
  <c r="F904" i="13" s="1"/>
  <c r="L908" i="13" a="1"/>
  <c r="L908" i="13" s="1"/>
  <c r="L909" i="13" s="1"/>
  <c r="L910" i="13" a="1"/>
  <c r="L910" i="13" s="1"/>
  <c r="L911" i="13" s="1"/>
  <c r="L816" i="13"/>
  <c r="K816" i="13"/>
  <c r="D816" i="13"/>
  <c r="M883" i="13"/>
  <c r="J816" i="13"/>
  <c r="G382" i="10"/>
  <c r="F382" i="10"/>
  <c r="K382" i="10"/>
  <c r="E382" i="10"/>
  <c r="D382" i="10"/>
  <c r="X37" i="9" s="1" a="1"/>
  <c r="X37" i="9" s="1"/>
  <c r="IJ29" i="9"/>
  <c r="IK29" i="9" s="1"/>
  <c r="GO32" i="9" a="1"/>
  <c r="GO32" i="9" s="1"/>
  <c r="GW32" i="9" s="1"/>
  <c r="O45" i="24" s="1" a="1"/>
  <c r="O45" i="24" s="1"/>
  <c r="BL32" i="9" a="1"/>
  <c r="BL32" i="9" s="1"/>
  <c r="BT32" i="9" s="1"/>
  <c r="H45" i="24" s="1" a="1"/>
  <c r="H45" i="24" s="1"/>
  <c r="IA32" i="9" a="1"/>
  <c r="IA32" i="9" s="1"/>
  <c r="II32" i="9" s="1"/>
  <c r="Q45" i="24" s="1" a="1"/>
  <c r="Q45" i="24" s="1"/>
  <c r="IJ30" i="9"/>
  <c r="IK30" i="9" s="1"/>
  <c r="FK30" i="9"/>
  <c r="M43" i="24" s="1" a="1"/>
  <c r="M43" i="24" s="1"/>
  <c r="EJ32" i="9" a="1"/>
  <c r="EJ32" i="9" s="1"/>
  <c r="ER32" i="9" s="1"/>
  <c r="L45" i="24" s="1" a="1"/>
  <c r="L45" i="24" s="1"/>
  <c r="Z31" i="9" a="1"/>
  <c r="Z31" i="9" s="1"/>
  <c r="AH31" i="9" s="1"/>
  <c r="F44" i="24" s="1" a="1"/>
  <c r="F44" i="24" s="1"/>
  <c r="FC32" i="9" a="1"/>
  <c r="FC32" i="9" s="1"/>
  <c r="FK32" i="9" s="1"/>
  <c r="M45" i="24" s="1" a="1"/>
  <c r="M45" i="24" s="1"/>
  <c r="AS32" i="9" a="1"/>
  <c r="AS32" i="9" s="1"/>
  <c r="BA32" i="9" s="1"/>
  <c r="G45" i="24" s="1" a="1"/>
  <c r="G45" i="24" s="1"/>
  <c r="CX32" i="9" a="1"/>
  <c r="CX32" i="9" s="1"/>
  <c r="DF32" i="9" s="1"/>
  <c r="J45" i="24" s="1" a="1"/>
  <c r="J45" i="24" s="1"/>
  <c r="CD33" i="9"/>
  <c r="CL33" i="9" s="1"/>
  <c r="DP32" i="9"/>
  <c r="DX32" i="9" s="1"/>
  <c r="W32" i="9" a="1"/>
  <c r="W32" i="9" s="1"/>
  <c r="Y32" i="9" s="1"/>
  <c r="AG32" i="9" s="1"/>
  <c r="HH32" i="9" a="1"/>
  <c r="HH32" i="9" s="1"/>
  <c r="HP32" i="9" s="1"/>
  <c r="P45" i="24" s="1" a="1"/>
  <c r="P45" i="24" s="1"/>
  <c r="HZ33" i="9"/>
  <c r="IH33" i="9" s="1"/>
  <c r="G390" i="10"/>
  <c r="BV38" i="9" s="1" a="1"/>
  <c r="BV38" i="9" s="1"/>
  <c r="E390" i="10"/>
  <c r="AJ38" i="9" s="1" a="1"/>
  <c r="AJ38" i="9" s="1"/>
  <c r="L390" i="10"/>
  <c r="FM38" i="9" s="1" a="1"/>
  <c r="FM38" i="9" s="1"/>
  <c r="H390" i="10"/>
  <c r="CO38" i="9" s="1" a="1"/>
  <c r="CO38" i="9" s="1"/>
  <c r="S33" i="9" a="1"/>
  <c r="S33" i="9" s="1"/>
  <c r="U33" i="9" s="1"/>
  <c r="P368" i="10"/>
  <c r="G396" i="10"/>
  <c r="F396" i="10"/>
  <c r="N396" i="10"/>
  <c r="D396" i="10"/>
  <c r="X38" i="9" s="1" a="1"/>
  <c r="X38" i="9" s="1"/>
  <c r="J390" i="10"/>
  <c r="EA38" i="9" s="1" a="1"/>
  <c r="EA38" i="9" s="1"/>
  <c r="F402" i="10"/>
  <c r="L402" i="10"/>
  <c r="I390" i="10"/>
  <c r="DH38" i="9" s="1" a="1"/>
  <c r="DH38" i="9" s="1"/>
  <c r="G402" i="10"/>
  <c r="M402" i="10"/>
  <c r="F405" i="10"/>
  <c r="E402" i="10"/>
  <c r="O390" i="10"/>
  <c r="HR38" i="9" s="1" a="1"/>
  <c r="HR38" i="9" s="1"/>
  <c r="O402" i="10"/>
  <c r="L405" i="10"/>
  <c r="O382" i="10"/>
  <c r="F390" i="10"/>
  <c r="BC38" i="9" s="1" a="1"/>
  <c r="BC38" i="9" s="1"/>
  <c r="N412" i="10"/>
  <c r="N419" i="10" s="1"/>
  <c r="K412" i="10"/>
  <c r="K416" i="10" s="1"/>
  <c r="J412" i="10"/>
  <c r="J419" i="10" s="1"/>
  <c r="F412" i="10"/>
  <c r="F419" i="10" s="1"/>
  <c r="B416" i="10"/>
  <c r="B417" i="10" s="1"/>
  <c r="H412" i="10"/>
  <c r="H419" i="10" s="1"/>
  <c r="E412" i="10"/>
  <c r="E419" i="10" s="1"/>
  <c r="L412" i="10"/>
  <c r="L419" i="10" s="1"/>
  <c r="D412" i="10"/>
  <c r="B413" i="10"/>
  <c r="B414" i="10" s="1"/>
  <c r="B415" i="10" s="1"/>
  <c r="G412" i="10"/>
  <c r="G419" i="10" s="1"/>
  <c r="P412" i="10"/>
  <c r="P416" i="10" s="1"/>
  <c r="M412" i="10"/>
  <c r="M419" i="10" s="1"/>
  <c r="I412" i="10"/>
  <c r="O412" i="10"/>
  <c r="K396" i="10"/>
  <c r="I402" i="10"/>
  <c r="J402" i="10"/>
  <c r="I425" i="10"/>
  <c r="B426" i="10"/>
  <c r="M425" i="10"/>
  <c r="L425" i="10"/>
  <c r="G425" i="10"/>
  <c r="E425" i="10"/>
  <c r="K425" i="10"/>
  <c r="O425" i="10"/>
  <c r="H425" i="10"/>
  <c r="F425" i="10"/>
  <c r="P425" i="10"/>
  <c r="J425" i="10"/>
  <c r="N425" i="10"/>
  <c r="D425" i="10"/>
  <c r="K390" i="10"/>
  <c r="ET38" i="9" s="1" a="1"/>
  <c r="ET38" i="9" s="1"/>
  <c r="N390" i="10"/>
  <c r="GY38" i="9" s="1" a="1"/>
  <c r="GY38" i="9" s="1"/>
  <c r="D402" i="10"/>
  <c r="H402" i="10"/>
  <c r="M390" i="10"/>
  <c r="GF38" i="9" s="1" a="1"/>
  <c r="GF38" i="9" s="1"/>
  <c r="D390" i="10"/>
  <c r="Q38" i="9" s="1" a="1"/>
  <c r="Q38" i="9" s="1"/>
  <c r="M405" i="10"/>
  <c r="N402" i="10"/>
  <c r="O405" i="10"/>
  <c r="M396" i="10"/>
  <c r="B439" i="10" a="1"/>
  <c r="B439" i="10" s="1"/>
  <c r="A439" i="10" a="1"/>
  <c r="A439" i="10" s="1"/>
  <c r="K402" i="10"/>
  <c r="G403" i="10"/>
  <c r="G406" i="10" s="1" a="1"/>
  <c r="G406" i="10" s="1"/>
  <c r="L403" i="10"/>
  <c r="K403" i="10"/>
  <c r="K406" i="10" s="1" a="1"/>
  <c r="K406" i="10" s="1"/>
  <c r="H403" i="10"/>
  <c r="H406" i="10" s="1" a="1"/>
  <c r="H406" i="10" s="1"/>
  <c r="I403" i="10"/>
  <c r="I406" i="10" s="1" a="1"/>
  <c r="I406" i="10" s="1"/>
  <c r="E403" i="10"/>
  <c r="E406" i="10" s="1" a="1"/>
  <c r="E406" i="10" s="1"/>
  <c r="N403" i="10"/>
  <c r="N406" i="10" s="1" a="1"/>
  <c r="N406" i="10" s="1"/>
  <c r="P403" i="10"/>
  <c r="P404" i="10" s="1"/>
  <c r="B404" i="10"/>
  <c r="B405" i="10" s="1"/>
  <c r="B406" i="10" s="1"/>
  <c r="B407" i="10" s="1"/>
  <c r="B408" i="10" s="1"/>
  <c r="B409" i="10" s="1"/>
  <c r="B410" i="10" s="1"/>
  <c r="O403" i="10"/>
  <c r="M403" i="10"/>
  <c r="J403" i="10"/>
  <c r="J406" i="10" s="1" a="1"/>
  <c r="J406" i="10" s="1"/>
  <c r="D403" i="10"/>
  <c r="D406" i="10" s="1" a="1"/>
  <c r="D406" i="10" s="1"/>
  <c r="F403" i="10"/>
  <c r="M382" i="10"/>
  <c r="P405" i="10"/>
  <c r="R453" i="10"/>
  <c r="K48" i="27" a="1"/>
  <c r="K48" i="27" s="1"/>
  <c r="H48" i="27" a="1"/>
  <c r="H48" i="27" s="1"/>
  <c r="G48" i="27" a="1"/>
  <c r="G48" i="27" s="1"/>
  <c r="J48" i="27" a="1"/>
  <c r="J48" i="27" s="1"/>
  <c r="N48" i="27" a="1"/>
  <c r="N48" i="27" s="1"/>
  <c r="E48" i="27" a="1"/>
  <c r="E48" i="27" s="1"/>
  <c r="O48" i="27" a="1"/>
  <c r="O48" i="27" s="1"/>
  <c r="F48" i="27" a="1"/>
  <c r="F48" i="27" s="1"/>
  <c r="K820" i="13" l="1"/>
  <c r="EZ34" i="9" s="1" a="1"/>
  <c r="EZ34" i="9" s="1"/>
  <c r="L820" i="13"/>
  <c r="FS34" i="9" s="1" a="1"/>
  <c r="FS34" i="9" s="1"/>
  <c r="E786" i="13"/>
  <c r="AP33" i="9" s="1" a="1"/>
  <c r="AP33" i="9" s="1"/>
  <c r="AR33" i="9" s="1"/>
  <c r="AS33" i="9" s="1" a="1"/>
  <c r="AS33" i="9" s="1"/>
  <c r="FQ34" i="9"/>
  <c r="V34" i="9"/>
  <c r="BZ34" i="9"/>
  <c r="D820" i="13"/>
  <c r="E820" i="13"/>
  <c r="AP34" i="9" s="1" a="1"/>
  <c r="AP34" i="9" s="1"/>
  <c r="AR34" i="9" s="1"/>
  <c r="AZ34" i="9" s="1"/>
  <c r="J820" i="13"/>
  <c r="EG34" i="9" s="1" a="1"/>
  <c r="EG34" i="9" s="1"/>
  <c r="EI34" i="9" s="1"/>
  <c r="H820" i="13"/>
  <c r="CU34" i="9" s="1" a="1"/>
  <c r="CU34" i="9" s="1"/>
  <c r="CW34" i="9" s="1"/>
  <c r="DE34" i="9" s="1"/>
  <c r="CS34" i="9"/>
  <c r="BG34" i="9"/>
  <c r="HC34" i="9"/>
  <c r="GJ34" i="9"/>
  <c r="FV32" i="9" a="1"/>
  <c r="FV32" i="9" s="1"/>
  <c r="GD32" i="9" s="1"/>
  <c r="N45" i="24" s="1" a="1"/>
  <c r="N45" i="24" s="1"/>
  <c r="EX34" i="9"/>
  <c r="F820" i="13"/>
  <c r="BI34" i="9" s="1" a="1"/>
  <c r="BI34" i="9" s="1"/>
  <c r="BK34" i="9" s="1"/>
  <c r="BS34" i="9" s="1"/>
  <c r="G820" i="13"/>
  <c r="CB34" i="9" s="1" a="1"/>
  <c r="CB34" i="9" s="1"/>
  <c r="CD34" i="9" s="1"/>
  <c r="CL34" i="9" s="1"/>
  <c r="P46" i="25" a="1"/>
  <c r="P46" i="25" s="1"/>
  <c r="HW34" i="9"/>
  <c r="DL34" i="9"/>
  <c r="HV34" i="9"/>
  <c r="N46" i="25" a="1"/>
  <c r="N46" i="25" s="1"/>
  <c r="GK34" i="9"/>
  <c r="H46" i="25" a="1"/>
  <c r="H46" i="25" s="1"/>
  <c r="CA34" i="9"/>
  <c r="J46" i="25" a="1"/>
  <c r="J46" i="25" s="1"/>
  <c r="DM34" i="9"/>
  <c r="O46" i="25" a="1"/>
  <c r="O46" i="25" s="1"/>
  <c r="HD34" i="9"/>
  <c r="L46" i="25" a="1"/>
  <c r="L46" i="25" s="1"/>
  <c r="EY34" i="9"/>
  <c r="M46" i="25" a="1"/>
  <c r="M46" i="25" s="1"/>
  <c r="FR34" i="9"/>
  <c r="F46" i="25" a="1"/>
  <c r="F46" i="25" s="1"/>
  <c r="AO34" i="9"/>
  <c r="G46" i="25" a="1"/>
  <c r="G46" i="25" s="1"/>
  <c r="BH34" i="9"/>
  <c r="K46" i="25" a="1"/>
  <c r="K46" i="25" s="1"/>
  <c r="EF34" i="9"/>
  <c r="I46" i="25" a="1"/>
  <c r="I46" i="25" s="1"/>
  <c r="CT34" i="9"/>
  <c r="I820" i="13"/>
  <c r="DN34" i="9" s="1" a="1"/>
  <c r="DN34" i="9" s="1"/>
  <c r="DP34" i="9" s="1"/>
  <c r="DX34" i="9" s="1"/>
  <c r="O820" i="13"/>
  <c r="HX34" i="9" s="1" a="1"/>
  <c r="HX34" i="9" s="1"/>
  <c r="HZ34" i="9" s="1"/>
  <c r="IH34" i="9" s="1"/>
  <c r="N884" i="13"/>
  <c r="HB36" i="9" a="1"/>
  <c r="HB36" i="9" s="1"/>
  <c r="E884" i="13"/>
  <c r="AM36" i="9" a="1"/>
  <c r="AM36" i="9" s="1"/>
  <c r="D884" i="13"/>
  <c r="T36" i="9" a="1"/>
  <c r="T36" i="9" s="1"/>
  <c r="E48" i="25" s="1" a="1"/>
  <c r="E48" i="25" s="1"/>
  <c r="I884" i="13"/>
  <c r="DK36" i="9" a="1"/>
  <c r="DK36" i="9" s="1"/>
  <c r="M884" i="13"/>
  <c r="GI36" i="9" a="1"/>
  <c r="GI36" i="9" s="1"/>
  <c r="F886" i="13"/>
  <c r="BF36" i="9" a="1"/>
  <c r="BF36" i="9" s="1"/>
  <c r="J886" i="13"/>
  <c r="ED36" i="9" a="1"/>
  <c r="ED36" i="9" s="1"/>
  <c r="G884" i="13"/>
  <c r="BY36" i="9" a="1"/>
  <c r="BY36" i="9" s="1"/>
  <c r="K852" i="13"/>
  <c r="EW35" i="9" a="1"/>
  <c r="EW35" i="9" s="1"/>
  <c r="O47" i="25" a="1"/>
  <c r="O47" i="25" s="1"/>
  <c r="HD35" i="9"/>
  <c r="M852" i="13"/>
  <c r="GI35" i="9" a="1"/>
  <c r="GI35" i="9" s="1"/>
  <c r="O852" i="13"/>
  <c r="HU35" i="9" a="1"/>
  <c r="HU35" i="9" s="1"/>
  <c r="G850" i="13"/>
  <c r="BY35" i="9" a="1"/>
  <c r="BY35" i="9" s="1"/>
  <c r="E852" i="13"/>
  <c r="AM35" i="9" a="1"/>
  <c r="AM35" i="9" s="1"/>
  <c r="J852" i="13"/>
  <c r="ED35" i="9" a="1"/>
  <c r="ED35" i="9" s="1"/>
  <c r="L852" i="13"/>
  <c r="FP35" i="9" a="1"/>
  <c r="FP35" i="9" s="1"/>
  <c r="F850" i="13"/>
  <c r="BF35" i="9" a="1"/>
  <c r="BF35" i="9" s="1"/>
  <c r="N852" i="13"/>
  <c r="N850" i="13"/>
  <c r="L913" i="13" a="1"/>
  <c r="L913" i="13" s="1"/>
  <c r="L914" i="13" s="1"/>
  <c r="L917" i="13" s="1"/>
  <c r="H915" i="13" a="1"/>
  <c r="H915" i="13" s="1"/>
  <c r="H916" i="13" s="1"/>
  <c r="H917" i="13" s="1"/>
  <c r="H881" i="13" a="1"/>
  <c r="H881" i="13" s="1"/>
  <c r="H882" i="13" s="1"/>
  <c r="H883" i="13" s="1"/>
  <c r="EJ33" i="9" a="1"/>
  <c r="EJ33" i="9" s="1"/>
  <c r="ER33" i="9" s="1"/>
  <c r="L46" i="24" s="1" a="1"/>
  <c r="L46" i="24" s="1"/>
  <c r="L850" i="13"/>
  <c r="N915" i="13" a="1"/>
  <c r="N915" i="13" s="1"/>
  <c r="N916" i="13" s="1"/>
  <c r="N917" i="13" s="1"/>
  <c r="J850" i="13"/>
  <c r="L881" i="13" a="1"/>
  <c r="L881" i="13" s="1"/>
  <c r="L882" i="13" s="1"/>
  <c r="L883" i="13" s="1"/>
  <c r="K879" i="13" a="1"/>
  <c r="K879" i="13" s="1"/>
  <c r="K880" i="13" s="1"/>
  <c r="K883" i="13" s="1"/>
  <c r="O879" i="13" a="1"/>
  <c r="O879" i="13" s="1"/>
  <c r="O880" i="13" s="1"/>
  <c r="O883" i="13" s="1"/>
  <c r="P379" i="10"/>
  <c r="J903" i="13" a="1"/>
  <c r="J903" i="13" s="1"/>
  <c r="J904" i="13" s="1"/>
  <c r="J907" i="13" s="1"/>
  <c r="O850" i="13"/>
  <c r="HT35" i="9" a="1"/>
  <c r="HT35" i="9" s="1"/>
  <c r="EC36" i="9" a="1"/>
  <c r="EC36" i="9" s="1"/>
  <c r="J915" i="13" a="1"/>
  <c r="J915" i="13" s="1"/>
  <c r="J916" i="13" s="1"/>
  <c r="J913" i="13" a="1"/>
  <c r="J913" i="13" s="1"/>
  <c r="J914" i="13" s="1"/>
  <c r="M850" i="13"/>
  <c r="EB37" i="9" a="1"/>
  <c r="EB37" i="9" s="1"/>
  <c r="K49" i="27" s="1" a="1"/>
  <c r="K49" i="27" s="1"/>
  <c r="I915" i="13" a="1"/>
  <c r="I915" i="13" s="1"/>
  <c r="I916" i="13" s="1"/>
  <c r="I917" i="13" s="1"/>
  <c r="EH37" i="9" a="1"/>
  <c r="EH37" i="9" s="1"/>
  <c r="M816" i="13"/>
  <c r="M818" i="13"/>
  <c r="HT36" i="9" a="1"/>
  <c r="HT36" i="9" s="1"/>
  <c r="GN33" i="9"/>
  <c r="GV33" i="9" s="1"/>
  <c r="N818" i="13"/>
  <c r="N816" i="13"/>
  <c r="O902" i="13" a="1"/>
  <c r="O902" i="13" s="1"/>
  <c r="O913" i="13" s="1" a="1"/>
  <c r="O913" i="13" s="1"/>
  <c r="O914" i="13" s="1"/>
  <c r="HS37" i="9" a="1"/>
  <c r="HS37" i="9" s="1"/>
  <c r="P49" i="27" s="1" a="1"/>
  <c r="P49" i="27" s="1"/>
  <c r="HY37" i="9" a="1"/>
  <c r="HY37" i="9" s="1"/>
  <c r="DJ35" i="9" a="1"/>
  <c r="DJ35" i="9" s="1"/>
  <c r="GK33" i="9"/>
  <c r="N45" i="25" a="1"/>
  <c r="N45" i="25" s="1"/>
  <c r="GJ33" i="9"/>
  <c r="N936" i="13" a="1"/>
  <c r="N936" i="13" s="1"/>
  <c r="N949" i="13" s="1" a="1"/>
  <c r="N949" i="13" s="1"/>
  <c r="N950" i="13" s="1"/>
  <c r="HF38" i="9" a="1"/>
  <c r="HF38" i="9" s="1"/>
  <c r="GZ38" i="9" a="1"/>
  <c r="GZ38" i="9" s="1"/>
  <c r="O50" i="27" s="1" a="1"/>
  <c r="O50" i="27" s="1"/>
  <c r="HA35" i="9" a="1"/>
  <c r="HA35" i="9" s="1"/>
  <c r="HC35" i="9" s="1"/>
  <c r="HA36" i="9" a="1"/>
  <c r="HA36" i="9" s="1"/>
  <c r="FO36" i="9" a="1"/>
  <c r="FO36" i="9" s="1"/>
  <c r="M936" i="13" a="1"/>
  <c r="M936" i="13" s="1"/>
  <c r="M949" i="13" s="1" a="1"/>
  <c r="M949" i="13" s="1"/>
  <c r="M950" i="13" s="1"/>
  <c r="GG38" i="9" a="1"/>
  <c r="GG38" i="9" s="1"/>
  <c r="N50" i="27" s="1" a="1"/>
  <c r="N50" i="27" s="1"/>
  <c r="GM38" i="9" a="1"/>
  <c r="GM38" i="9" s="1"/>
  <c r="GH35" i="9" a="1"/>
  <c r="GH35" i="9" s="1"/>
  <c r="M902" i="13" a="1"/>
  <c r="M902" i="13" s="1"/>
  <c r="M915" i="13" s="1" a="1"/>
  <c r="M915" i="13" s="1"/>
  <c r="M916" i="13" s="1"/>
  <c r="GM37" i="9" a="1"/>
  <c r="GM37" i="9" s="1"/>
  <c r="GG37" i="9" a="1"/>
  <c r="GG37" i="9" s="1"/>
  <c r="N49" i="27" s="1" a="1"/>
  <c r="N49" i="27" s="1"/>
  <c r="GH36" i="9" a="1"/>
  <c r="GH36" i="9" s="1"/>
  <c r="O908" i="13" a="1"/>
  <c r="O908" i="13" s="1"/>
  <c r="O909" i="13" s="1"/>
  <c r="O912" i="13" s="1"/>
  <c r="FO35" i="9" a="1"/>
  <c r="FO35" i="9" s="1"/>
  <c r="P381" i="10"/>
  <c r="I849" i="13"/>
  <c r="K902" i="13" a="1"/>
  <c r="K902" i="13" s="1"/>
  <c r="K913" i="13" s="1" a="1"/>
  <c r="K913" i="13" s="1"/>
  <c r="K914" i="13" s="1"/>
  <c r="EU37" i="9" a="1"/>
  <c r="EU37" i="9" s="1"/>
  <c r="L49" i="27" s="1" a="1"/>
  <c r="L49" i="27" s="1"/>
  <c r="FA37" i="9" a="1"/>
  <c r="FA37" i="9" s="1"/>
  <c r="K936" i="13" a="1"/>
  <c r="K936" i="13" s="1"/>
  <c r="K947" i="13" s="1" a="1"/>
  <c r="K947" i="13" s="1"/>
  <c r="K948" i="13" s="1"/>
  <c r="EU38" i="9" a="1"/>
  <c r="EU38" i="9" s="1"/>
  <c r="L50" i="27" s="1" a="1"/>
  <c r="L50" i="27" s="1"/>
  <c r="FA38" i="9" a="1"/>
  <c r="FA38" i="9" s="1"/>
  <c r="EV35" i="9" a="1"/>
  <c r="EV35" i="9" s="1"/>
  <c r="EC35" i="9" a="1"/>
  <c r="EC35" i="9" s="1"/>
  <c r="BX36" i="9" a="1"/>
  <c r="BX36" i="9" s="1"/>
  <c r="AL36" i="9" a="1"/>
  <c r="AL36" i="9" s="1"/>
  <c r="CQ35" i="9" a="1"/>
  <c r="CQ35" i="9" s="1"/>
  <c r="H786" i="13"/>
  <c r="CU33" i="9" s="1" a="1"/>
  <c r="CU33" i="9" s="1"/>
  <c r="CW33" i="9" s="1"/>
  <c r="DE33" i="9" s="1"/>
  <c r="DJ36" i="9" a="1"/>
  <c r="DJ36" i="9" s="1"/>
  <c r="CL32" i="9"/>
  <c r="IL32" i="9" s="1"/>
  <c r="IM32" i="9" s="1"/>
  <c r="CE32" i="9" a="1"/>
  <c r="CE32" i="9" s="1"/>
  <c r="CQ36" i="9" a="1"/>
  <c r="CQ36" i="9" s="1"/>
  <c r="CT33" i="9"/>
  <c r="CS33" i="9"/>
  <c r="I45" i="25" a="1"/>
  <c r="I45" i="25" s="1"/>
  <c r="H849" i="13"/>
  <c r="BE36" i="9" a="1"/>
  <c r="BE36" i="9" s="1"/>
  <c r="G902" i="13" a="1"/>
  <c r="G902" i="13" s="1"/>
  <c r="G915" i="13" s="1" a="1"/>
  <c r="G915" i="13" s="1"/>
  <c r="G916" i="13" s="1"/>
  <c r="BW37" i="9" a="1"/>
  <c r="BW37" i="9" s="1"/>
  <c r="H49" i="27" s="1" a="1"/>
  <c r="H49" i="27" s="1"/>
  <c r="CC37" i="9" a="1"/>
  <c r="CC37" i="9" s="1"/>
  <c r="G936" i="13" a="1"/>
  <c r="G936" i="13" s="1"/>
  <c r="G947" i="13" s="1" a="1"/>
  <c r="G947" i="13" s="1"/>
  <c r="G948" i="13" s="1"/>
  <c r="BW38" i="9" a="1"/>
  <c r="BW38" i="9" s="1"/>
  <c r="CC38" i="9" a="1"/>
  <c r="CC38" i="9" s="1"/>
  <c r="BX35" i="9" a="1"/>
  <c r="BX35" i="9" s="1"/>
  <c r="BE35" i="9" a="1"/>
  <c r="BE35" i="9" s="1"/>
  <c r="F902" i="13" a="1"/>
  <c r="F902" i="13" s="1"/>
  <c r="F915" i="13" s="1" a="1"/>
  <c r="F915" i="13" s="1"/>
  <c r="F916" i="13" s="1"/>
  <c r="BD37" i="9" a="1"/>
  <c r="BD37" i="9" s="1"/>
  <c r="G49" i="27" s="1" a="1"/>
  <c r="G49" i="27" s="1"/>
  <c r="BJ37" i="9" a="1"/>
  <c r="BJ37" i="9" s="1"/>
  <c r="F936" i="13" a="1"/>
  <c r="F936" i="13" s="1"/>
  <c r="F947" i="13" s="1" a="1"/>
  <c r="F947" i="13" s="1"/>
  <c r="F948" i="13" s="1"/>
  <c r="BD38" i="9" a="1"/>
  <c r="BD38" i="9" s="1"/>
  <c r="G50" i="27" s="1" a="1"/>
  <c r="G50" i="27" s="1"/>
  <c r="BJ38" i="9" a="1"/>
  <c r="BJ38" i="9" s="1"/>
  <c r="AL35" i="9" a="1"/>
  <c r="AL35" i="9" s="1"/>
  <c r="D849" i="13"/>
  <c r="T35" i="9" s="1" a="1"/>
  <c r="T35" i="9" s="1"/>
  <c r="E47" i="25" s="1" a="1"/>
  <c r="E47" i="25" s="1"/>
  <c r="E902" i="13" a="1"/>
  <c r="E902" i="13" s="1"/>
  <c r="E913" i="13" s="1" a="1"/>
  <c r="E913" i="13" s="1"/>
  <c r="E914" i="13" s="1"/>
  <c r="AK37" i="9" a="1"/>
  <c r="AK37" i="9" s="1"/>
  <c r="F49" i="27" s="1" a="1"/>
  <c r="F49" i="27" s="1"/>
  <c r="AQ37" i="9" a="1"/>
  <c r="AQ37" i="9" s="1"/>
  <c r="D936" i="13" a="1"/>
  <c r="D936" i="13" s="1"/>
  <c r="D949" i="13" s="1" a="1"/>
  <c r="D949" i="13" s="1"/>
  <c r="D950" i="13" s="1"/>
  <c r="R38" i="9" a="1"/>
  <c r="R38" i="9" s="1"/>
  <c r="E50" i="27" s="1" a="1"/>
  <c r="E50" i="27" s="1"/>
  <c r="D902" i="13" a="1"/>
  <c r="D902" i="13" s="1"/>
  <c r="D915" i="13" s="1" a="1"/>
  <c r="D915" i="13" s="1"/>
  <c r="D916" i="13" s="1"/>
  <c r="R37" i="9" a="1"/>
  <c r="R37" i="9" s="1"/>
  <c r="E49" i="27" s="1" a="1"/>
  <c r="E49" i="27" s="1"/>
  <c r="M910" i="13" a="1"/>
  <c r="M910" i="13" s="1"/>
  <c r="M911" i="13" s="1"/>
  <c r="M912" i="13" s="1"/>
  <c r="IN31" i="9"/>
  <c r="IO31" i="9" s="1"/>
  <c r="IN30" i="9"/>
  <c r="IO30" i="9" s="1"/>
  <c r="P380" i="10"/>
  <c r="L393" i="10"/>
  <c r="L934" i="13" s="1" a="1"/>
  <c r="L934" i="13" s="1"/>
  <c r="L939" i="13" s="1" a="1"/>
  <c r="L939" i="13" s="1"/>
  <c r="L940" i="13" s="1"/>
  <c r="L395" i="10"/>
  <c r="G886" i="13"/>
  <c r="E907" i="13"/>
  <c r="G912" i="13"/>
  <c r="H912" i="13"/>
  <c r="D878" i="13"/>
  <c r="D839" i="13"/>
  <c r="I912" i="13"/>
  <c r="M907" i="13"/>
  <c r="L907" i="13"/>
  <c r="K878" i="13"/>
  <c r="F912" i="13"/>
  <c r="D844" i="13"/>
  <c r="P406" i="10" a="1"/>
  <c r="P406" i="10" s="1"/>
  <c r="K912" i="13"/>
  <c r="K907" i="13"/>
  <c r="N409" i="10"/>
  <c r="N408" i="10"/>
  <c r="N969" i="13" s="1" a="1"/>
  <c r="N969" i="13" s="1"/>
  <c r="N407" i="10"/>
  <c r="N968" i="13" s="1" a="1"/>
  <c r="N968" i="13" s="1"/>
  <c r="E409" i="10"/>
  <c r="E407" i="10"/>
  <c r="E968" i="13" s="1" a="1"/>
  <c r="E968" i="13" s="1"/>
  <c r="E408" i="10"/>
  <c r="E969" i="13" s="1" a="1"/>
  <c r="E969" i="13" s="1"/>
  <c r="I407" i="10"/>
  <c r="I968" i="13" s="1" a="1"/>
  <c r="I968" i="13" s="1"/>
  <c r="I408" i="10"/>
  <c r="I969" i="13" s="1" a="1"/>
  <c r="I969" i="13" s="1"/>
  <c r="I409" i="10"/>
  <c r="H409" i="10"/>
  <c r="H407" i="10"/>
  <c r="H968" i="13" s="1" a="1"/>
  <c r="H968" i="13" s="1"/>
  <c r="H408" i="10"/>
  <c r="H969" i="13" s="1" a="1"/>
  <c r="H969" i="13" s="1"/>
  <c r="K409" i="10"/>
  <c r="K408" i="10"/>
  <c r="K969" i="13" s="1" a="1"/>
  <c r="K969" i="13" s="1"/>
  <c r="K407" i="10"/>
  <c r="K968" i="13" s="1" a="1"/>
  <c r="K968" i="13" s="1"/>
  <c r="J407" i="10"/>
  <c r="J968" i="13" s="1" a="1"/>
  <c r="J968" i="13" s="1"/>
  <c r="J408" i="10"/>
  <c r="J969" i="13" s="1" a="1"/>
  <c r="J969" i="13" s="1"/>
  <c r="J409" i="10"/>
  <c r="G409" i="10"/>
  <c r="G407" i="10"/>
  <c r="G968" i="13" s="1" a="1"/>
  <c r="G968" i="13" s="1"/>
  <c r="G408" i="10"/>
  <c r="G969" i="13" s="1" a="1"/>
  <c r="G969" i="13" s="1"/>
  <c r="D408" i="10"/>
  <c r="D407" i="10"/>
  <c r="D409" i="10"/>
  <c r="F406" i="10" a="1"/>
  <c r="F406" i="10" s="1"/>
  <c r="M937" i="13" a="1"/>
  <c r="M937" i="13" s="1"/>
  <c r="M938" i="13" s="1"/>
  <c r="M939" i="13" a="1"/>
  <c r="M939" i="13" s="1"/>
  <c r="M940" i="13" s="1"/>
  <c r="O406" i="10" a="1"/>
  <c r="O406" i="10" s="1"/>
  <c r="O410" i="10" s="1"/>
  <c r="D903" i="13" a="1"/>
  <c r="D903" i="13" s="1"/>
  <c r="D904" i="13" s="1"/>
  <c r="D905" i="13" a="1"/>
  <c r="D905" i="13" s="1"/>
  <c r="D906" i="13" s="1"/>
  <c r="G907" i="13"/>
  <c r="H944" i="13" a="1"/>
  <c r="H944" i="13" s="1"/>
  <c r="H945" i="13" s="1"/>
  <c r="H942" i="13" a="1"/>
  <c r="H942" i="13" s="1"/>
  <c r="H943" i="13" s="1"/>
  <c r="F939" i="13" a="1"/>
  <c r="F939" i="13" s="1"/>
  <c r="F940" i="13" s="1"/>
  <c r="F937" i="13" a="1"/>
  <c r="F937" i="13" s="1"/>
  <c r="F938" i="13" s="1"/>
  <c r="N907" i="13"/>
  <c r="O907" i="13"/>
  <c r="D873" i="13"/>
  <c r="H907" i="13"/>
  <c r="M944" i="13" a="1"/>
  <c r="M944" i="13" s="1"/>
  <c r="M945" i="13" s="1"/>
  <c r="M942" i="13" a="1"/>
  <c r="M942" i="13" s="1"/>
  <c r="M943" i="13" s="1"/>
  <c r="H939" i="13" a="1"/>
  <c r="H939" i="13" s="1"/>
  <c r="H940" i="13" s="1"/>
  <c r="H937" i="13" a="1"/>
  <c r="H937" i="13" s="1"/>
  <c r="H938" i="13" s="1"/>
  <c r="G942" i="13" a="1"/>
  <c r="G942" i="13" s="1"/>
  <c r="G943" i="13" s="1"/>
  <c r="G944" i="13" a="1"/>
  <c r="G944" i="13" s="1"/>
  <c r="G945" i="13" s="1"/>
  <c r="M406" i="10" a="1"/>
  <c r="M406" i="10" s="1"/>
  <c r="N912" i="13"/>
  <c r="I393" i="10"/>
  <c r="I934" i="13" s="1" a="1"/>
  <c r="I934" i="13" s="1"/>
  <c r="I394" i="10"/>
  <c r="I935" i="13" s="1" a="1"/>
  <c r="I935" i="13" s="1"/>
  <c r="I395" i="10"/>
  <c r="J912" i="13"/>
  <c r="D934" i="13" a="1"/>
  <c r="D934" i="13" s="1"/>
  <c r="G939" i="13" a="1"/>
  <c r="G939" i="13" s="1"/>
  <c r="G940" i="13" s="1"/>
  <c r="G937" i="13" a="1"/>
  <c r="G937" i="13" s="1"/>
  <c r="G938" i="13" s="1"/>
  <c r="L406" i="10" a="1"/>
  <c r="L406" i="10" s="1"/>
  <c r="L942" i="13" a="1"/>
  <c r="L942" i="13" s="1"/>
  <c r="L943" i="13" s="1"/>
  <c r="L944" i="13" a="1"/>
  <c r="L944" i="13" s="1"/>
  <c r="L945" i="13" s="1"/>
  <c r="N944" i="13" a="1"/>
  <c r="N944" i="13" s="1"/>
  <c r="N945" i="13" s="1"/>
  <c r="N942" i="13" a="1"/>
  <c r="N942" i="13" s="1"/>
  <c r="N943" i="13" s="1"/>
  <c r="L912" i="13"/>
  <c r="K873" i="13"/>
  <c r="O395" i="10"/>
  <c r="O393" i="10"/>
  <c r="O934" i="13" s="1" a="1"/>
  <c r="O934" i="13" s="1"/>
  <c r="O394" i="10"/>
  <c r="O935" i="13" s="1" a="1"/>
  <c r="O935" i="13" s="1"/>
  <c r="K937" i="13" a="1"/>
  <c r="K937" i="13" s="1"/>
  <c r="K938" i="13" s="1"/>
  <c r="K939" i="13" a="1"/>
  <c r="K939" i="13" s="1"/>
  <c r="K940" i="13" s="1"/>
  <c r="D935" i="13" a="1"/>
  <c r="D935" i="13" s="1"/>
  <c r="N939" i="13" a="1"/>
  <c r="N939" i="13" s="1"/>
  <c r="N940" i="13" s="1"/>
  <c r="N937" i="13" a="1"/>
  <c r="N937" i="13" s="1"/>
  <c r="N938" i="13" s="1"/>
  <c r="E937" i="13" a="1"/>
  <c r="E937" i="13" s="1"/>
  <c r="E938" i="13" s="1"/>
  <c r="E939" i="13" a="1"/>
  <c r="E939" i="13" s="1"/>
  <c r="E940" i="13" s="1"/>
  <c r="J944" i="13" a="1"/>
  <c r="J944" i="13" s="1"/>
  <c r="J945" i="13" s="1"/>
  <c r="J942" i="13" a="1"/>
  <c r="J942" i="13" s="1"/>
  <c r="J943" i="13" s="1"/>
  <c r="F907" i="13"/>
  <c r="E912" i="13"/>
  <c r="I907" i="13"/>
  <c r="D908" i="13" a="1"/>
  <c r="D908" i="13" s="1"/>
  <c r="D909" i="13" s="1"/>
  <c r="D910" i="13" a="1"/>
  <c r="D910" i="13" s="1"/>
  <c r="D911" i="13" s="1"/>
  <c r="K944" i="13" a="1"/>
  <c r="K944" i="13" s="1"/>
  <c r="K945" i="13" s="1"/>
  <c r="K942" i="13" a="1"/>
  <c r="K942" i="13" s="1"/>
  <c r="K943" i="13" s="1"/>
  <c r="J937" i="13" a="1"/>
  <c r="J937" i="13" s="1"/>
  <c r="J938" i="13" s="1"/>
  <c r="J939" i="13" a="1"/>
  <c r="J939" i="13" s="1"/>
  <c r="J940" i="13" s="1"/>
  <c r="F942" i="13" a="1"/>
  <c r="F942" i="13" s="1"/>
  <c r="F943" i="13" s="1"/>
  <c r="F944" i="13" a="1"/>
  <c r="F944" i="13" s="1"/>
  <c r="F945" i="13" s="1"/>
  <c r="E942" i="13" a="1"/>
  <c r="E942" i="13" s="1"/>
  <c r="E943" i="13" s="1"/>
  <c r="E944" i="13" a="1"/>
  <c r="E944" i="13" s="1"/>
  <c r="E945" i="13" s="1"/>
  <c r="K850" i="13"/>
  <c r="G852" i="13"/>
  <c r="I886" i="13"/>
  <c r="D886" i="13"/>
  <c r="F884" i="13"/>
  <c r="J884" i="13"/>
  <c r="F852" i="13"/>
  <c r="E886" i="13"/>
  <c r="E850" i="13"/>
  <c r="N886" i="13"/>
  <c r="M886" i="13"/>
  <c r="J396" i="10"/>
  <c r="IA33" i="9" a="1"/>
  <c r="IA33" i="9" s="1"/>
  <c r="II33" i="9" s="1"/>
  <c r="Q46" i="24" s="1" a="1"/>
  <c r="Q46" i="24" s="1"/>
  <c r="IJ31" i="9"/>
  <c r="IK31" i="9" s="1"/>
  <c r="Z32" i="9" a="1"/>
  <c r="Z32" i="9" s="1"/>
  <c r="AH32" i="9" s="1"/>
  <c r="F45" i="24" s="1" a="1"/>
  <c r="F45" i="24" s="1"/>
  <c r="FU34" i="9"/>
  <c r="FB34" i="9"/>
  <c r="FJ34" i="9" s="1"/>
  <c r="HH33" i="9" a="1"/>
  <c r="HH33" i="9" s="1"/>
  <c r="HP33" i="9" s="1"/>
  <c r="P46" i="24" s="1" a="1"/>
  <c r="P46" i="24" s="1"/>
  <c r="FV33" i="9" a="1"/>
  <c r="FV33" i="9" s="1"/>
  <c r="GD33" i="9" s="1"/>
  <c r="N46" i="24" s="1" a="1"/>
  <c r="N46" i="24" s="1"/>
  <c r="DQ33" i="9" a="1"/>
  <c r="DQ33" i="9" s="1"/>
  <c r="DY33" i="9" s="1"/>
  <c r="K46" i="24" s="1" a="1"/>
  <c r="K46" i="24" s="1"/>
  <c r="CE33" i="9" a="1"/>
  <c r="CE33" i="9" s="1"/>
  <c r="CM33" i="9" s="1"/>
  <c r="I46" i="24" s="1" a="1"/>
  <c r="I46" i="24" s="1"/>
  <c r="W33" i="9" a="1"/>
  <c r="W33" i="9" s="1"/>
  <c r="Y33" i="9" s="1"/>
  <c r="AG33" i="9" s="1"/>
  <c r="BS33" i="9"/>
  <c r="BT33" i="9" s="1"/>
  <c r="H46" i="24" s="1" a="1"/>
  <c r="H46" i="24" s="1"/>
  <c r="FC33" i="9" a="1"/>
  <c r="FC33" i="9" s="1"/>
  <c r="FK33" i="9" s="1"/>
  <c r="M46" i="24" s="1" a="1"/>
  <c r="M46" i="24" s="1"/>
  <c r="DQ32" i="9" a="1"/>
  <c r="DQ32" i="9" s="1"/>
  <c r="L404" i="10"/>
  <c r="FM39" i="9" s="1" a="1"/>
  <c r="FM39" i="9" s="1"/>
  <c r="D404" i="10"/>
  <c r="Q39" i="9" s="1" a="1"/>
  <c r="Q39" i="9" s="1"/>
  <c r="E396" i="10"/>
  <c r="H404" i="10"/>
  <c r="CO39" i="9" s="1" a="1"/>
  <c r="CO39" i="9" s="1"/>
  <c r="K410" i="10"/>
  <c r="G410" i="10"/>
  <c r="I410" i="10"/>
  <c r="J410" i="10"/>
  <c r="N439" i="10"/>
  <c r="G439" i="10"/>
  <c r="E439" i="10"/>
  <c r="I439" i="10"/>
  <c r="K439" i="10"/>
  <c r="F439" i="10"/>
  <c r="J439" i="10"/>
  <c r="D439" i="10"/>
  <c r="P439" i="10"/>
  <c r="B440" i="10"/>
  <c r="O439" i="10"/>
  <c r="M439" i="10"/>
  <c r="H439" i="10"/>
  <c r="L439" i="10"/>
  <c r="P382" i="10"/>
  <c r="I404" i="10"/>
  <c r="DH39" i="9" s="1" a="1"/>
  <c r="DH39" i="9" s="1"/>
  <c r="D416" i="10"/>
  <c r="N416" i="10"/>
  <c r="K419" i="10"/>
  <c r="L416" i="10"/>
  <c r="E404" i="10"/>
  <c r="AJ39" i="9" s="1" a="1"/>
  <c r="AJ39" i="9" s="1"/>
  <c r="H396" i="10"/>
  <c r="O426" i="10"/>
  <c r="O433" i="10" s="1"/>
  <c r="J426" i="10"/>
  <c r="J433" i="10" s="1"/>
  <c r="F426" i="10"/>
  <c r="G426" i="10"/>
  <c r="G433" i="10" s="1"/>
  <c r="P426" i="10"/>
  <c r="P430" i="10" s="1"/>
  <c r="M426" i="10"/>
  <c r="M433" i="10" s="1"/>
  <c r="I426" i="10"/>
  <c r="N426" i="10"/>
  <c r="N433" i="10" s="1"/>
  <c r="E426" i="10"/>
  <c r="E433" i="10" s="1"/>
  <c r="K426" i="10"/>
  <c r="K433" i="10" s="1"/>
  <c r="L426" i="10"/>
  <c r="L433" i="10" s="1"/>
  <c r="D426" i="10"/>
  <c r="D433" i="10" s="1"/>
  <c r="H426" i="10"/>
  <c r="H433" i="10" s="1"/>
  <c r="B427" i="10"/>
  <c r="B428" i="10" s="1"/>
  <c r="B429" i="10" s="1"/>
  <c r="B430" i="10"/>
  <c r="B431" i="10" s="1"/>
  <c r="O416" i="10"/>
  <c r="E416" i="10"/>
  <c r="D419" i="10"/>
  <c r="I396" i="10"/>
  <c r="N404" i="10"/>
  <c r="GY39" i="9" s="1" a="1"/>
  <c r="GY39" i="9" s="1"/>
  <c r="I416" i="10"/>
  <c r="H416" i="10"/>
  <c r="O419" i="10"/>
  <c r="F404" i="10"/>
  <c r="BC39" i="9" s="1" a="1"/>
  <c r="BC39" i="9" s="1"/>
  <c r="L396" i="10"/>
  <c r="O396" i="10"/>
  <c r="M416" i="10"/>
  <c r="M417" i="10"/>
  <c r="M420" i="10" s="1" a="1"/>
  <c r="M420" i="10" s="1"/>
  <c r="E417" i="10"/>
  <c r="E420" i="10" s="1" a="1"/>
  <c r="E420" i="10" s="1"/>
  <c r="G417" i="10"/>
  <c r="G420" i="10" s="1" a="1"/>
  <c r="G420" i="10" s="1"/>
  <c r="L417" i="10"/>
  <c r="L420" i="10" s="1" a="1"/>
  <c r="L420" i="10" s="1"/>
  <c r="B418" i="10"/>
  <c r="B419" i="10" s="1"/>
  <c r="B420" i="10" s="1"/>
  <c r="B421" i="10" s="1"/>
  <c r="B422" i="10" s="1"/>
  <c r="B423" i="10" s="1"/>
  <c r="B424" i="10" s="1"/>
  <c r="D417" i="10"/>
  <c r="N417" i="10"/>
  <c r="N420" i="10" s="1" a="1"/>
  <c r="N420" i="10" s="1"/>
  <c r="K417" i="10"/>
  <c r="K418" i="10" s="1"/>
  <c r="ET40" i="9" s="1" a="1"/>
  <c r="ET40" i="9" s="1"/>
  <c r="J417" i="10"/>
  <c r="J420" i="10" s="1" a="1"/>
  <c r="J420" i="10" s="1"/>
  <c r="P417" i="10"/>
  <c r="P418" i="10" s="1"/>
  <c r="I417" i="10"/>
  <c r="O417" i="10"/>
  <c r="F417" i="10"/>
  <c r="F420" i="10" s="1" a="1"/>
  <c r="F420" i="10" s="1"/>
  <c r="H417" i="10"/>
  <c r="H420" i="10" s="1" a="1"/>
  <c r="H420" i="10" s="1"/>
  <c r="P419" i="10"/>
  <c r="M404" i="10"/>
  <c r="GF39" i="9" s="1" a="1"/>
  <c r="GF39" i="9" s="1"/>
  <c r="A453" i="10" a="1"/>
  <c r="A453" i="10" s="1"/>
  <c r="B453" i="10" a="1"/>
  <c r="B453" i="10" s="1"/>
  <c r="K404" i="10"/>
  <c r="ET39" i="9" s="1" a="1"/>
  <c r="ET39" i="9" s="1"/>
  <c r="F416" i="10"/>
  <c r="J404" i="10"/>
  <c r="EA39" i="9" s="1" a="1"/>
  <c r="EA39" i="9" s="1"/>
  <c r="G416" i="10"/>
  <c r="J416" i="10"/>
  <c r="G404" i="10"/>
  <c r="BV39" i="9" s="1" a="1"/>
  <c r="BV39" i="9" s="1"/>
  <c r="I419" i="10"/>
  <c r="O404" i="10"/>
  <c r="HR39" i="9" s="1" a="1"/>
  <c r="HR39" i="9" s="1"/>
  <c r="S34" i="9" a="1"/>
  <c r="S34" i="9" s="1"/>
  <c r="J49" i="27" a="1"/>
  <c r="J49" i="27" s="1"/>
  <c r="M49" i="27" a="1"/>
  <c r="M49" i="27" s="1"/>
  <c r="I49" i="27" a="1"/>
  <c r="I49" i="27" s="1"/>
  <c r="O49" i="27" a="1"/>
  <c r="O49" i="27" s="1"/>
  <c r="R467" i="10"/>
  <c r="AZ33" i="9" l="1"/>
  <c r="BA33" i="9" s="1"/>
  <c r="G46" i="24" s="1" a="1"/>
  <c r="G46" i="24" s="1"/>
  <c r="E854" i="13"/>
  <c r="AP35" i="9" s="1" a="1"/>
  <c r="AP35" i="9" s="1"/>
  <c r="E888" i="13"/>
  <c r="AP36" i="9" s="1" a="1"/>
  <c r="AP36" i="9" s="1"/>
  <c r="F854" i="13"/>
  <c r="BI35" i="9" s="1" a="1"/>
  <c r="BI35" i="9" s="1"/>
  <c r="BK35" i="9" s="1"/>
  <c r="BS35" i="9" s="1"/>
  <c r="N888" i="13"/>
  <c r="HE36" i="9" s="1" a="1"/>
  <c r="HE36" i="9" s="1"/>
  <c r="G854" i="13"/>
  <c r="CB35" i="9" s="1" a="1"/>
  <c r="CB35" i="9" s="1"/>
  <c r="CD35" i="9" s="1"/>
  <c r="CL35" i="9" s="1"/>
  <c r="K854" i="13"/>
  <c r="EZ35" i="9" s="1" a="1"/>
  <c r="EZ35" i="9" s="1"/>
  <c r="FB35" i="9" s="1"/>
  <c r="FJ35" i="9" s="1"/>
  <c r="M888" i="13"/>
  <c r="GL36" i="9" s="1" a="1"/>
  <c r="GL36" i="9" s="1"/>
  <c r="BL34" i="9" a="1"/>
  <c r="BL34" i="9" s="1"/>
  <c r="BT34" i="9" s="1"/>
  <c r="H47" i="24" s="1" a="1"/>
  <c r="H47" i="24" s="1"/>
  <c r="F888" i="13"/>
  <c r="BI36" i="9" s="1" a="1"/>
  <c r="BI36" i="9" s="1"/>
  <c r="Q46" i="25"/>
  <c r="D888" i="13"/>
  <c r="EC37" i="9" a="1"/>
  <c r="EC37" i="9" s="1"/>
  <c r="GJ36" i="9"/>
  <c r="EE36" i="9"/>
  <c r="DL36" i="9"/>
  <c r="FQ35" i="9"/>
  <c r="J888" i="13"/>
  <c r="EG36" i="9" s="1" a="1"/>
  <c r="EG36" i="9" s="1"/>
  <c r="BZ36" i="9"/>
  <c r="HV35" i="9"/>
  <c r="I920" i="13"/>
  <c r="DK37" i="9" a="1"/>
  <c r="DK37" i="9" s="1"/>
  <c r="H920" i="13"/>
  <c r="CR37" i="9" a="1"/>
  <c r="CR37" i="9" s="1"/>
  <c r="BG35" i="9"/>
  <c r="BG36" i="9"/>
  <c r="EX35" i="9"/>
  <c r="AN35" i="9"/>
  <c r="BZ35" i="9"/>
  <c r="M854" i="13"/>
  <c r="GL35" i="9" s="1" a="1"/>
  <c r="GL35" i="9" s="1"/>
  <c r="GN35" i="9" s="1"/>
  <c r="GV35" i="9" s="1"/>
  <c r="L920" i="13"/>
  <c r="FP37" i="9" a="1"/>
  <c r="FP37" i="9" s="1"/>
  <c r="AN36" i="9"/>
  <c r="HC36" i="9"/>
  <c r="J854" i="13"/>
  <c r="EG35" i="9" s="1" a="1"/>
  <c r="EG35" i="9" s="1"/>
  <c r="EI35" i="9" s="1"/>
  <c r="EQ35" i="9" s="1"/>
  <c r="N918" i="13"/>
  <c r="HB37" i="9" a="1"/>
  <c r="HB37" i="9" s="1"/>
  <c r="H48" i="25" a="1"/>
  <c r="H48" i="25" s="1"/>
  <c r="CA36" i="9"/>
  <c r="J48" i="25" a="1"/>
  <c r="J48" i="25" s="1"/>
  <c r="DM36" i="9"/>
  <c r="I888" i="13"/>
  <c r="DN36" i="9" s="1" a="1"/>
  <c r="DN36" i="9" s="1"/>
  <c r="G888" i="13"/>
  <c r="CB36" i="9" s="1" a="1"/>
  <c r="CB36" i="9" s="1"/>
  <c r="O884" i="13"/>
  <c r="HU36" i="9" a="1"/>
  <c r="HU36" i="9" s="1"/>
  <c r="HV36" i="9" s="1"/>
  <c r="K48" i="25" a="1"/>
  <c r="K48" i="25" s="1"/>
  <c r="EF36" i="9"/>
  <c r="K886" i="13"/>
  <c r="EW36" i="9" a="1"/>
  <c r="EW36" i="9" s="1"/>
  <c r="L884" i="13"/>
  <c r="FP36" i="9" a="1"/>
  <c r="FP36" i="9" s="1"/>
  <c r="FQ36" i="9" s="1"/>
  <c r="G48" i="25" a="1"/>
  <c r="G48" i="25" s="1"/>
  <c r="BH36" i="9"/>
  <c r="F48" i="25" a="1"/>
  <c r="F48" i="25" s="1"/>
  <c r="AO36" i="9"/>
  <c r="N48" i="25" a="1"/>
  <c r="N48" i="25" s="1"/>
  <c r="GK36" i="9"/>
  <c r="O48" i="25" a="1"/>
  <c r="O48" i="25" s="1"/>
  <c r="HD36" i="9"/>
  <c r="H886" i="13"/>
  <c r="CR36" i="9" a="1"/>
  <c r="CR36" i="9" s="1"/>
  <c r="CS36" i="9" s="1"/>
  <c r="EE35" i="9"/>
  <c r="I852" i="13"/>
  <c r="DK35" i="9" a="1"/>
  <c r="DK35" i="9" s="1"/>
  <c r="GJ35" i="9"/>
  <c r="M47" i="25" a="1"/>
  <c r="M47" i="25" s="1"/>
  <c r="FR35" i="9"/>
  <c r="P47" i="25" a="1"/>
  <c r="P47" i="25" s="1"/>
  <c r="HW35" i="9"/>
  <c r="N47" i="25" a="1"/>
  <c r="N47" i="25" s="1"/>
  <c r="GK35" i="9"/>
  <c r="H850" i="13"/>
  <c r="CR35" i="9" a="1"/>
  <c r="CR35" i="9" s="1"/>
  <c r="CS35" i="9" s="1"/>
  <c r="F47" i="25" a="1"/>
  <c r="F47" i="25" s="1"/>
  <c r="AO35" i="9"/>
  <c r="K47" i="25" a="1"/>
  <c r="K47" i="25" s="1"/>
  <c r="EF35" i="9"/>
  <c r="G47" i="25" a="1"/>
  <c r="G47" i="25" s="1"/>
  <c r="BH35" i="9"/>
  <c r="H47" i="25" a="1"/>
  <c r="H47" i="25" s="1"/>
  <c r="CA35" i="9"/>
  <c r="L47" i="25" a="1"/>
  <c r="L47" i="25" s="1"/>
  <c r="EY35" i="9"/>
  <c r="O854" i="13"/>
  <c r="HX35" i="9" s="1" a="1"/>
  <c r="HX35" i="9" s="1"/>
  <c r="L854" i="13"/>
  <c r="FS35" i="9" s="1" a="1"/>
  <c r="FS35" i="9" s="1"/>
  <c r="FU35" i="9" s="1"/>
  <c r="GC35" i="9" s="1"/>
  <c r="N854" i="13"/>
  <c r="HE35" i="9" s="1" a="1"/>
  <c r="HE35" i="9" s="1"/>
  <c r="HG35" i="9" s="1"/>
  <c r="HO35" i="9" s="1"/>
  <c r="M947" i="13" a="1"/>
  <c r="M947" i="13" s="1"/>
  <c r="M948" i="13" s="1"/>
  <c r="M951" i="13" s="1"/>
  <c r="N947" i="13" a="1"/>
  <c r="N947" i="13" s="1"/>
  <c r="N948" i="13" s="1"/>
  <c r="N951" i="13" s="1"/>
  <c r="J917" i="13"/>
  <c r="K949" i="13" a="1"/>
  <c r="K949" i="13" s="1"/>
  <c r="K950" i="13" s="1"/>
  <c r="K951" i="13" s="1"/>
  <c r="GO33" i="9" a="1"/>
  <c r="GO33" i="9" s="1"/>
  <c r="GW33" i="9" s="1"/>
  <c r="O46" i="24" s="1" a="1"/>
  <c r="O46" i="24" s="1"/>
  <c r="O915" i="13" a="1"/>
  <c r="O915" i="13" s="1"/>
  <c r="O916" i="13" s="1"/>
  <c r="O917" i="13" s="1"/>
  <c r="F949" i="13" a="1"/>
  <c r="F949" i="13" s="1"/>
  <c r="F950" i="13" s="1"/>
  <c r="F951" i="13" s="1"/>
  <c r="G949" i="13" a="1"/>
  <c r="G949" i="13" s="1"/>
  <c r="G950" i="13" s="1"/>
  <c r="G951" i="13" s="1"/>
  <c r="D947" i="13" a="1"/>
  <c r="D947" i="13" s="1"/>
  <c r="D948" i="13" s="1"/>
  <c r="D951" i="13" s="1"/>
  <c r="F913" i="13" a="1"/>
  <c r="F913" i="13" s="1"/>
  <c r="F914" i="13" s="1"/>
  <c r="F917" i="13" s="1"/>
  <c r="BF37" i="9" s="1" a="1"/>
  <c r="BF37" i="9" s="1"/>
  <c r="M820" i="13"/>
  <c r="GL34" i="9" s="1" a="1"/>
  <c r="GL34" i="9" s="1"/>
  <c r="GN34" i="9" s="1"/>
  <c r="GV34" i="9" s="1"/>
  <c r="K915" i="13" a="1"/>
  <c r="K915" i="13" s="1"/>
  <c r="K916" i="13" s="1"/>
  <c r="K917" i="13" s="1"/>
  <c r="M913" i="13" a="1"/>
  <c r="M913" i="13" s="1"/>
  <c r="M914" i="13" s="1"/>
  <c r="M917" i="13" s="1"/>
  <c r="Q45" i="25"/>
  <c r="N820" i="13"/>
  <c r="HE34" i="9" s="1" a="1"/>
  <c r="HE34" i="9" s="1"/>
  <c r="HG34" i="9" s="1"/>
  <c r="HO34" i="9" s="1"/>
  <c r="O936" i="13" a="1"/>
  <c r="O936" i="13" s="1"/>
  <c r="O947" i="13" s="1" a="1"/>
  <c r="O947" i="13" s="1"/>
  <c r="O948" i="13" s="1"/>
  <c r="HS38" i="9" a="1"/>
  <c r="HS38" i="9" s="1"/>
  <c r="HY38" i="9" a="1"/>
  <c r="HY38" i="9" s="1"/>
  <c r="HT37" i="9" a="1"/>
  <c r="HT37" i="9" s="1"/>
  <c r="O970" i="13" a="1"/>
  <c r="O970" i="13" s="1"/>
  <c r="O981" i="13" s="1" a="1"/>
  <c r="O981" i="13" s="1"/>
  <c r="O982" i="13" s="1"/>
  <c r="HY39" i="9" a="1"/>
  <c r="HY39" i="9" s="1"/>
  <c r="HS39" i="9" a="1"/>
  <c r="HS39" i="9" s="1"/>
  <c r="HA37" i="9" a="1"/>
  <c r="HA37" i="9" s="1"/>
  <c r="FO37" i="9" a="1"/>
  <c r="FO37" i="9" s="1"/>
  <c r="I850" i="13"/>
  <c r="GH37" i="9" a="1"/>
  <c r="GH37" i="9" s="1"/>
  <c r="E915" i="13" a="1"/>
  <c r="E915" i="13" s="1"/>
  <c r="E916" i="13" s="1"/>
  <c r="E917" i="13" s="1"/>
  <c r="G913" i="13" a="1"/>
  <c r="G913" i="13" s="1"/>
  <c r="G914" i="13" s="1"/>
  <c r="G917" i="13" s="1"/>
  <c r="CX33" i="9" a="1"/>
  <c r="CX33" i="9" s="1"/>
  <c r="DF33" i="9" s="1"/>
  <c r="J46" i="24" s="1" a="1"/>
  <c r="J46" i="24" s="1"/>
  <c r="L936" i="13" a="1"/>
  <c r="L936" i="13" s="1"/>
  <c r="L949" i="13" s="1" a="1"/>
  <c r="L949" i="13" s="1"/>
  <c r="L950" i="13" s="1"/>
  <c r="FT38" i="9" a="1"/>
  <c r="FT38" i="9" s="1"/>
  <c r="FN38" i="9" a="1"/>
  <c r="FN38" i="9" s="1"/>
  <c r="D913" i="13" a="1"/>
  <c r="D913" i="13" s="1"/>
  <c r="D914" i="13" s="1"/>
  <c r="D917" i="13" s="1"/>
  <c r="EV36" i="9" a="1"/>
  <c r="EV36" i="9" s="1"/>
  <c r="K970" i="13" a="1"/>
  <c r="K970" i="13" s="1"/>
  <c r="K983" i="13" s="1" a="1"/>
  <c r="K983" i="13" s="1"/>
  <c r="K984" i="13" s="1"/>
  <c r="EU39" i="9" a="1"/>
  <c r="EU39" i="9" s="1"/>
  <c r="FA39" i="9" a="1"/>
  <c r="FA39" i="9" s="1"/>
  <c r="EV37" i="9" a="1"/>
  <c r="EV37" i="9" s="1"/>
  <c r="EQ34" i="9"/>
  <c r="EJ34" i="9" a="1"/>
  <c r="EJ34" i="9" s="1"/>
  <c r="J970" i="13" a="1"/>
  <c r="J970" i="13" s="1"/>
  <c r="J981" i="13" s="1" a="1"/>
  <c r="J981" i="13" s="1"/>
  <c r="J982" i="13" s="1"/>
  <c r="EB39" i="9" a="1"/>
  <c r="EB39" i="9" s="1"/>
  <c r="EH39" i="9" a="1"/>
  <c r="EH39" i="9" s="1"/>
  <c r="J936" i="13" a="1"/>
  <c r="J936" i="13" s="1"/>
  <c r="J949" i="13" s="1" a="1"/>
  <c r="J949" i="13" s="1"/>
  <c r="J950" i="13" s="1"/>
  <c r="EB38" i="9" a="1"/>
  <c r="EB38" i="9" s="1"/>
  <c r="EH38" i="9" a="1"/>
  <c r="EH38" i="9" s="1"/>
  <c r="I936" i="13" a="1"/>
  <c r="I936" i="13" s="1"/>
  <c r="I947" i="13" s="1" a="1"/>
  <c r="I947" i="13" s="1"/>
  <c r="I948" i="13" s="1"/>
  <c r="DO38" i="9" a="1"/>
  <c r="DO38" i="9" s="1"/>
  <c r="DI38" i="9" a="1"/>
  <c r="DI38" i="9" s="1"/>
  <c r="I970" i="13" a="1"/>
  <c r="I970" i="13" s="1"/>
  <c r="I983" i="13" s="1" a="1"/>
  <c r="I983" i="13" s="1"/>
  <c r="I984" i="13" s="1"/>
  <c r="DI39" i="9" a="1"/>
  <c r="DI39" i="9" s="1"/>
  <c r="DO39" i="9" a="1"/>
  <c r="DO39" i="9" s="1"/>
  <c r="DJ37" i="9" a="1"/>
  <c r="DJ37" i="9" s="1"/>
  <c r="H936" i="13" a="1"/>
  <c r="H936" i="13" s="1"/>
  <c r="H947" i="13" s="1" a="1"/>
  <c r="H947" i="13" s="1"/>
  <c r="H948" i="13" s="1"/>
  <c r="CV38" i="9" a="1"/>
  <c r="CV38" i="9" s="1"/>
  <c r="CP38" i="9" a="1"/>
  <c r="CP38" i="9" s="1"/>
  <c r="CQ37" i="9" a="1"/>
  <c r="CQ37" i="9" s="1"/>
  <c r="H852" i="13"/>
  <c r="CM32" i="9"/>
  <c r="I45" i="24" s="1" a="1"/>
  <c r="I45" i="24" s="1"/>
  <c r="G970" i="13" a="1"/>
  <c r="G970" i="13" s="1"/>
  <c r="G983" i="13" s="1" a="1"/>
  <c r="G983" i="13" s="1"/>
  <c r="G984" i="13" s="1"/>
  <c r="BW39" i="9" a="1"/>
  <c r="BW39" i="9" s="1"/>
  <c r="CC39" i="9" a="1"/>
  <c r="CC39" i="9" s="1"/>
  <c r="H50" i="27" a="1"/>
  <c r="H50" i="27" s="1"/>
  <c r="AL37" i="9" a="1"/>
  <c r="AL37" i="9" s="1"/>
  <c r="BX37" i="9" a="1"/>
  <c r="BX37" i="9" s="1"/>
  <c r="BE37" i="9" a="1"/>
  <c r="BE37" i="9" s="1"/>
  <c r="D852" i="13"/>
  <c r="D850" i="13"/>
  <c r="E936" i="13" a="1"/>
  <c r="E936" i="13" s="1"/>
  <c r="E949" i="13" s="1" a="1"/>
  <c r="E949" i="13" s="1"/>
  <c r="E950" i="13" s="1"/>
  <c r="AK38" i="9" a="1"/>
  <c r="AK38" i="9" s="1"/>
  <c r="AQ38" i="9" a="1"/>
  <c r="AQ38" i="9" s="1"/>
  <c r="L937" i="13" a="1"/>
  <c r="L937" i="13" s="1"/>
  <c r="L938" i="13" s="1"/>
  <c r="L941" i="13" s="1"/>
  <c r="S35" i="9" a="1"/>
  <c r="S35" i="9" s="1"/>
  <c r="U35" i="9" s="1"/>
  <c r="L886" i="13"/>
  <c r="G941" i="13"/>
  <c r="I420" i="10" a="1"/>
  <c r="I420" i="10" s="1"/>
  <c r="I423" i="10" s="1"/>
  <c r="N946" i="13"/>
  <c r="P395" i="10"/>
  <c r="L946" i="13"/>
  <c r="P420" i="10" a="1"/>
  <c r="P420" i="10" s="1"/>
  <c r="E946" i="13"/>
  <c r="D912" i="13"/>
  <c r="H946" i="13"/>
  <c r="F946" i="13"/>
  <c r="E422" i="10"/>
  <c r="E1003" i="13" s="1" a="1"/>
  <c r="E1003" i="13" s="1"/>
  <c r="E423" i="10"/>
  <c r="E421" i="10"/>
  <c r="E1002" i="13" s="1" a="1"/>
  <c r="E1002" i="13" s="1"/>
  <c r="F422" i="10"/>
  <c r="F1003" i="13" s="1" a="1"/>
  <c r="F1003" i="13" s="1"/>
  <c r="F423" i="10"/>
  <c r="F421" i="10"/>
  <c r="F1002" i="13" s="1" a="1"/>
  <c r="F1002" i="13" s="1"/>
  <c r="L422" i="10"/>
  <c r="L1003" i="13" s="1" a="1"/>
  <c r="L1003" i="13" s="1"/>
  <c r="L421" i="10"/>
  <c r="L1002" i="13" s="1" a="1"/>
  <c r="L1002" i="13" s="1"/>
  <c r="L423" i="10"/>
  <c r="H423" i="10"/>
  <c r="H421" i="10"/>
  <c r="H1002" i="13" s="1" a="1"/>
  <c r="H1002" i="13" s="1"/>
  <c r="H422" i="10"/>
  <c r="H1003" i="13" s="1" a="1"/>
  <c r="H1003" i="13" s="1"/>
  <c r="G423" i="10"/>
  <c r="G421" i="10"/>
  <c r="G1002" i="13" s="1" a="1"/>
  <c r="G1002" i="13" s="1"/>
  <c r="G422" i="10"/>
  <c r="G1003" i="13" s="1" a="1"/>
  <c r="G1003" i="13" s="1"/>
  <c r="J422" i="10"/>
  <c r="J1003" i="13" s="1" a="1"/>
  <c r="J1003" i="13" s="1"/>
  <c r="J423" i="10"/>
  <c r="J421" i="10"/>
  <c r="J1002" i="13" s="1" a="1"/>
  <c r="J1002" i="13" s="1"/>
  <c r="M422" i="10"/>
  <c r="M1003" i="13" s="1" a="1"/>
  <c r="M1003" i="13" s="1"/>
  <c r="M423" i="10"/>
  <c r="M421" i="10"/>
  <c r="M1002" i="13" s="1" a="1"/>
  <c r="M1002" i="13" s="1"/>
  <c r="N423" i="10"/>
  <c r="N421" i="10"/>
  <c r="N1002" i="13" s="1" a="1"/>
  <c r="N1002" i="13" s="1"/>
  <c r="N422" i="10"/>
  <c r="N1003" i="13" s="1" a="1"/>
  <c r="N1003" i="13" s="1"/>
  <c r="O420" i="10" a="1"/>
  <c r="O420" i="10" s="1"/>
  <c r="K420" i="10" a="1"/>
  <c r="K420" i="10" s="1"/>
  <c r="K424" i="10" s="1"/>
  <c r="N941" i="13"/>
  <c r="G946" i="13"/>
  <c r="J973" i="13" a="1"/>
  <c r="J973" i="13" s="1"/>
  <c r="J974" i="13" s="1"/>
  <c r="J971" i="13" a="1"/>
  <c r="J971" i="13" s="1"/>
  <c r="J972" i="13" s="1"/>
  <c r="I978" i="13" a="1"/>
  <c r="I978" i="13" s="1"/>
  <c r="I979" i="13" s="1"/>
  <c r="I976" i="13" a="1"/>
  <c r="I976" i="13" s="1"/>
  <c r="I977" i="13" s="1"/>
  <c r="K946" i="13"/>
  <c r="P394" i="10"/>
  <c r="D907" i="13"/>
  <c r="D968" i="13" a="1"/>
  <c r="D968" i="13" s="1"/>
  <c r="K973" i="13" a="1"/>
  <c r="K973" i="13" s="1"/>
  <c r="K974" i="13" s="1"/>
  <c r="K971" i="13" a="1"/>
  <c r="K971" i="13" s="1"/>
  <c r="K972" i="13" s="1"/>
  <c r="I971" i="13" a="1"/>
  <c r="I971" i="13" s="1"/>
  <c r="I972" i="13" s="1"/>
  <c r="I973" i="13" a="1"/>
  <c r="I973" i="13" s="1"/>
  <c r="I974" i="13" s="1"/>
  <c r="J946" i="13"/>
  <c r="D944" i="13" a="1"/>
  <c r="D944" i="13" s="1"/>
  <c r="D945" i="13" s="1"/>
  <c r="D942" i="13" a="1"/>
  <c r="D942" i="13" s="1"/>
  <c r="D943" i="13" s="1"/>
  <c r="L408" i="10"/>
  <c r="L969" i="13" s="1" a="1"/>
  <c r="L969" i="13" s="1"/>
  <c r="L407" i="10"/>
  <c r="L968" i="13" s="1" a="1"/>
  <c r="L968" i="13" s="1"/>
  <c r="L409" i="10"/>
  <c r="I944" i="13" a="1"/>
  <c r="I944" i="13" s="1"/>
  <c r="I945" i="13" s="1"/>
  <c r="I942" i="13" a="1"/>
  <c r="I942" i="13" s="1"/>
  <c r="I943" i="13" s="1"/>
  <c r="H941" i="13"/>
  <c r="D969" i="13" a="1"/>
  <c r="D969" i="13" s="1"/>
  <c r="K978" i="13" a="1"/>
  <c r="K978" i="13" s="1"/>
  <c r="K979" i="13" s="1"/>
  <c r="K976" i="13" a="1"/>
  <c r="K976" i="13" s="1"/>
  <c r="K977" i="13" s="1"/>
  <c r="E976" i="13" a="1"/>
  <c r="E976" i="13" s="1"/>
  <c r="E977" i="13" s="1"/>
  <c r="E978" i="13" a="1"/>
  <c r="E978" i="13" s="1"/>
  <c r="E979" i="13" s="1"/>
  <c r="D420" i="10" a="1"/>
  <c r="D420" i="10" s="1"/>
  <c r="H884" i="13"/>
  <c r="K941" i="13"/>
  <c r="I939" i="13" a="1"/>
  <c r="I939" i="13" s="1"/>
  <c r="I940" i="13" s="1"/>
  <c r="I937" i="13" a="1"/>
  <c r="I937" i="13" s="1"/>
  <c r="I938" i="13" s="1"/>
  <c r="M946" i="13"/>
  <c r="G976" i="13" a="1"/>
  <c r="G976" i="13" s="1"/>
  <c r="G977" i="13" s="1"/>
  <c r="G978" i="13" a="1"/>
  <c r="G978" i="13" s="1"/>
  <c r="G979" i="13" s="1"/>
  <c r="E973" i="13" a="1"/>
  <c r="E973" i="13" s="1"/>
  <c r="E974" i="13" s="1"/>
  <c r="E971" i="13" a="1"/>
  <c r="E971" i="13" s="1"/>
  <c r="E972" i="13" s="1"/>
  <c r="O409" i="10"/>
  <c r="O407" i="10"/>
  <c r="O968" i="13" s="1" a="1"/>
  <c r="O968" i="13" s="1"/>
  <c r="O408" i="10"/>
  <c r="O969" i="13" s="1" a="1"/>
  <c r="O969" i="13" s="1"/>
  <c r="G973" i="13" a="1"/>
  <c r="G973" i="13" s="1"/>
  <c r="G974" i="13" s="1"/>
  <c r="G971" i="13" a="1"/>
  <c r="G971" i="13" s="1"/>
  <c r="G972" i="13" s="1"/>
  <c r="H978" i="13" a="1"/>
  <c r="H978" i="13" s="1"/>
  <c r="H979" i="13" s="1"/>
  <c r="H976" i="13" a="1"/>
  <c r="H976" i="13" s="1"/>
  <c r="H977" i="13" s="1"/>
  <c r="E941" i="13"/>
  <c r="O944" i="13" a="1"/>
  <c r="O944" i="13" s="1"/>
  <c r="O945" i="13" s="1"/>
  <c r="O942" i="13" a="1"/>
  <c r="O942" i="13" s="1"/>
  <c r="O943" i="13" s="1"/>
  <c r="P393" i="10"/>
  <c r="F941" i="13"/>
  <c r="M941" i="13"/>
  <c r="H973" i="13" a="1"/>
  <c r="H973" i="13" s="1"/>
  <c r="H974" i="13" s="1"/>
  <c r="H971" i="13" a="1"/>
  <c r="H971" i="13" s="1"/>
  <c r="H972" i="13" s="1"/>
  <c r="N971" i="13" a="1"/>
  <c r="N971" i="13" s="1"/>
  <c r="N972" i="13" s="1"/>
  <c r="N973" i="13" a="1"/>
  <c r="N973" i="13" s="1"/>
  <c r="N974" i="13" s="1"/>
  <c r="O937" i="13" a="1"/>
  <c r="O937" i="13" s="1"/>
  <c r="O938" i="13" s="1"/>
  <c r="O939" i="13" a="1"/>
  <c r="O939" i="13" s="1"/>
  <c r="O940" i="13" s="1"/>
  <c r="D937" i="13" a="1"/>
  <c r="D937" i="13" s="1"/>
  <c r="D938" i="13" s="1"/>
  <c r="D939" i="13" a="1"/>
  <c r="D939" i="13" s="1"/>
  <c r="D940" i="13" s="1"/>
  <c r="M408" i="10"/>
  <c r="M969" i="13" s="1" a="1"/>
  <c r="M969" i="13" s="1"/>
  <c r="M409" i="10"/>
  <c r="M407" i="10"/>
  <c r="M968" i="13" s="1" a="1"/>
  <c r="M968" i="13" s="1"/>
  <c r="N978" i="13" a="1"/>
  <c r="N978" i="13" s="1"/>
  <c r="N979" i="13" s="1"/>
  <c r="N976" i="13" a="1"/>
  <c r="N976" i="13" s="1"/>
  <c r="N977" i="13" s="1"/>
  <c r="J941" i="13"/>
  <c r="F409" i="10"/>
  <c r="F407" i="10"/>
  <c r="F968" i="13" s="1" a="1"/>
  <c r="F968" i="13" s="1"/>
  <c r="F408" i="10"/>
  <c r="F969" i="13" s="1" a="1"/>
  <c r="F969" i="13" s="1"/>
  <c r="J978" i="13" a="1"/>
  <c r="J978" i="13" s="1"/>
  <c r="J979" i="13" s="1"/>
  <c r="J976" i="13" a="1"/>
  <c r="J976" i="13" s="1"/>
  <c r="J977" i="13" s="1"/>
  <c r="N920" i="13"/>
  <c r="O886" i="13"/>
  <c r="I918" i="13"/>
  <c r="H918" i="13"/>
  <c r="L918" i="13"/>
  <c r="K884" i="13"/>
  <c r="N410" i="10"/>
  <c r="E410" i="10"/>
  <c r="IJ32" i="9"/>
  <c r="IK32" i="9" s="1"/>
  <c r="F410" i="10"/>
  <c r="DQ34" i="9" a="1"/>
  <c r="DQ34" i="9" s="1"/>
  <c r="DY34" i="9" s="1"/>
  <c r="K47" i="24" s="1" a="1"/>
  <c r="K47" i="24" s="1"/>
  <c r="AS34" i="9" a="1"/>
  <c r="AS34" i="9" s="1"/>
  <c r="BA34" i="9" s="1"/>
  <c r="G47" i="24" s="1" a="1"/>
  <c r="G47" i="24" s="1"/>
  <c r="DY32" i="9"/>
  <c r="K45" i="24" s="1" a="1"/>
  <c r="K45" i="24" s="1"/>
  <c r="Z33" i="9" a="1"/>
  <c r="Z33" i="9" s="1"/>
  <c r="AH33" i="9" s="1"/>
  <c r="F46" i="24" s="1" a="1"/>
  <c r="F46" i="24" s="1"/>
  <c r="FC34" i="9" a="1"/>
  <c r="FC34" i="9" s="1"/>
  <c r="FK34" i="9" s="1"/>
  <c r="M47" i="24" s="1" a="1"/>
  <c r="M47" i="24" s="1"/>
  <c r="IL33" i="9"/>
  <c r="IM33" i="9" s="1"/>
  <c r="CX34" i="9" a="1"/>
  <c r="CX34" i="9" s="1"/>
  <c r="DF34" i="9" s="1"/>
  <c r="J47" i="24" s="1" a="1"/>
  <c r="J47" i="24" s="1"/>
  <c r="CE34" i="9" a="1"/>
  <c r="CE34" i="9" s="1"/>
  <c r="CM34" i="9" s="1"/>
  <c r="I47" i="24" s="1" a="1"/>
  <c r="I47" i="24" s="1"/>
  <c r="AR35" i="9"/>
  <c r="AZ35" i="9" s="1"/>
  <c r="IA34" i="9" a="1"/>
  <c r="IA34" i="9" s="1"/>
  <c r="II34" i="9" s="1"/>
  <c r="Q47" i="24" s="1" a="1"/>
  <c r="Q47" i="24" s="1"/>
  <c r="V35" i="9"/>
  <c r="GC34" i="9"/>
  <c r="FV34" i="9" a="1"/>
  <c r="FV34" i="9" s="1"/>
  <c r="W34" i="9" a="1"/>
  <c r="W34" i="9" s="1"/>
  <c r="Y34" i="9" s="1"/>
  <c r="AG34" i="9" s="1"/>
  <c r="U34" i="9"/>
  <c r="G418" i="10"/>
  <c r="BV40" i="9" s="1" a="1"/>
  <c r="BV40" i="9" s="1"/>
  <c r="F418" i="10"/>
  <c r="BC40" i="9" s="1" a="1"/>
  <c r="BC40" i="9" s="1"/>
  <c r="J418" i="10"/>
  <c r="EA40" i="9" s="1" a="1"/>
  <c r="EA40" i="9" s="1"/>
  <c r="P396" i="10"/>
  <c r="G424" i="10"/>
  <c r="J424" i="10"/>
  <c r="M424" i="10"/>
  <c r="L424" i="10"/>
  <c r="H424" i="10"/>
  <c r="F424" i="10"/>
  <c r="H410" i="10"/>
  <c r="H418" i="10"/>
  <c r="CO40" i="9" s="1" a="1"/>
  <c r="CO40" i="9" s="1"/>
  <c r="H430" i="10"/>
  <c r="O440" i="10"/>
  <c r="O447" i="10" s="1"/>
  <c r="B441" i="10"/>
  <c r="B442" i="10" s="1"/>
  <c r="B443" i="10" s="1"/>
  <c r="G440" i="10"/>
  <c r="I440" i="10"/>
  <c r="I447" i="10" s="1"/>
  <c r="E440" i="10"/>
  <c r="E447" i="10" s="1"/>
  <c r="N440" i="10"/>
  <c r="N447" i="10" s="1"/>
  <c r="L440" i="10"/>
  <c r="K440" i="10"/>
  <c r="K447" i="10" s="1"/>
  <c r="D440" i="10"/>
  <c r="D447" i="10" s="1"/>
  <c r="F440" i="10"/>
  <c r="J440" i="10"/>
  <c r="J447" i="10" s="1"/>
  <c r="M440" i="10"/>
  <c r="M447" i="10" s="1"/>
  <c r="B444" i="10"/>
  <c r="B445" i="10" s="1"/>
  <c r="P440" i="10"/>
  <c r="P444" i="10" s="1"/>
  <c r="H440" i="10"/>
  <c r="E424" i="10"/>
  <c r="D430" i="10"/>
  <c r="G430" i="10"/>
  <c r="P433" i="10"/>
  <c r="I418" i="10"/>
  <c r="DH40" i="9" s="1" a="1"/>
  <c r="DH40" i="9" s="1"/>
  <c r="L430" i="10"/>
  <c r="B467" i="10" a="1"/>
  <c r="B467" i="10" s="1"/>
  <c r="A467" i="10" a="1"/>
  <c r="A467" i="10" s="1"/>
  <c r="M410" i="10"/>
  <c r="M418" i="10"/>
  <c r="GF40" i="9" s="1" a="1"/>
  <c r="GF40" i="9" s="1"/>
  <c r="D410" i="10"/>
  <c r="X39" i="9" s="1" a="1"/>
  <c r="X39" i="9" s="1"/>
  <c r="E418" i="10"/>
  <c r="AJ40" i="9" s="1" a="1"/>
  <c r="AJ40" i="9" s="1"/>
  <c r="K430" i="10"/>
  <c r="J430" i="10"/>
  <c r="N418" i="10"/>
  <c r="GY40" i="9" s="1" a="1"/>
  <c r="GY40" i="9" s="1"/>
  <c r="E430" i="10"/>
  <c r="O430" i="10"/>
  <c r="O418" i="10"/>
  <c r="HR40" i="9" s="1" a="1"/>
  <c r="HR40" i="9" s="1"/>
  <c r="N430" i="10"/>
  <c r="D418" i="10"/>
  <c r="Q40" i="9" s="1" a="1"/>
  <c r="Q40" i="9" s="1"/>
  <c r="N424" i="10"/>
  <c r="N453" i="10"/>
  <c r="B454" i="10"/>
  <c r="M453" i="10"/>
  <c r="I453" i="10"/>
  <c r="E453" i="10"/>
  <c r="P453" i="10"/>
  <c r="L453" i="10"/>
  <c r="H453" i="10"/>
  <c r="D453" i="10"/>
  <c r="G453" i="10"/>
  <c r="J453" i="10"/>
  <c r="O453" i="10"/>
  <c r="F453" i="10"/>
  <c r="K453" i="10"/>
  <c r="L410" i="10"/>
  <c r="I431" i="10"/>
  <c r="K431" i="10"/>
  <c r="K434" i="10" s="1" a="1"/>
  <c r="K434" i="10" s="1"/>
  <c r="F431" i="10"/>
  <c r="H431" i="10"/>
  <c r="H434" i="10" s="1" a="1"/>
  <c r="H434" i="10" s="1"/>
  <c r="D431" i="10"/>
  <c r="D434" i="10" s="1" a="1"/>
  <c r="D434" i="10" s="1"/>
  <c r="O431" i="10"/>
  <c r="O434" i="10" s="1" a="1"/>
  <c r="O434" i="10" s="1"/>
  <c r="N431" i="10"/>
  <c r="N434" i="10" s="1" a="1"/>
  <c r="N434" i="10" s="1"/>
  <c r="G431" i="10"/>
  <c r="G434" i="10" s="1" a="1"/>
  <c r="G434" i="10" s="1"/>
  <c r="M431" i="10"/>
  <c r="M434" i="10" s="1" a="1"/>
  <c r="M434" i="10" s="1"/>
  <c r="J431" i="10"/>
  <c r="J434" i="10" s="1" a="1"/>
  <c r="J434" i="10" s="1"/>
  <c r="P431" i="10"/>
  <c r="P432" i="10" s="1"/>
  <c r="L431" i="10"/>
  <c r="L434" i="10" s="1" a="1"/>
  <c r="L434" i="10" s="1"/>
  <c r="E431" i="10"/>
  <c r="E434" i="10" s="1" a="1"/>
  <c r="E434" i="10" s="1"/>
  <c r="B432" i="10"/>
  <c r="B433" i="10" s="1"/>
  <c r="B434" i="10" s="1"/>
  <c r="B435" i="10" s="1"/>
  <c r="B436" i="10" s="1"/>
  <c r="B437" i="10" s="1"/>
  <c r="B438" i="10" s="1"/>
  <c r="I433" i="10"/>
  <c r="I430" i="10"/>
  <c r="F433" i="10"/>
  <c r="L418" i="10"/>
  <c r="FM40" i="9" s="1" a="1"/>
  <c r="FM40" i="9" s="1"/>
  <c r="M430" i="10"/>
  <c r="F430" i="10"/>
  <c r="S36" i="9" a="1"/>
  <c r="S36" i="9" s="1"/>
  <c r="R481" i="10"/>
  <c r="H888" i="13" l="1"/>
  <c r="CU36" i="9" s="1" a="1"/>
  <c r="CU36" i="9" s="1"/>
  <c r="L888" i="13"/>
  <c r="FS36" i="9" s="1" a="1"/>
  <c r="FS36" i="9" s="1"/>
  <c r="FQ37" i="9"/>
  <c r="K888" i="13"/>
  <c r="EZ36" i="9" s="1" a="1"/>
  <c r="EZ36" i="9" s="1"/>
  <c r="CS37" i="9"/>
  <c r="BG37" i="9"/>
  <c r="EX36" i="9"/>
  <c r="I922" i="13"/>
  <c r="DN37" i="9" s="1" a="1"/>
  <c r="DN37" i="9" s="1"/>
  <c r="G952" i="13"/>
  <c r="BY38" i="9" a="1"/>
  <c r="BY38" i="9" s="1"/>
  <c r="F952" i="13"/>
  <c r="BF38" i="9" a="1"/>
  <c r="BF38" i="9" s="1"/>
  <c r="N922" i="13"/>
  <c r="HE37" i="9" s="1" a="1"/>
  <c r="HE37" i="9" s="1"/>
  <c r="K954" i="13"/>
  <c r="EW38" i="9" a="1"/>
  <c r="EW38" i="9" s="1"/>
  <c r="L922" i="13"/>
  <c r="FS37" i="9" s="1" a="1"/>
  <c r="FS37" i="9" s="1"/>
  <c r="N952" i="13"/>
  <c r="HB38" i="9" a="1"/>
  <c r="HB38" i="9" s="1"/>
  <c r="H922" i="13"/>
  <c r="CU37" i="9" s="1" a="1"/>
  <c r="CU37" i="9" s="1"/>
  <c r="D954" i="13"/>
  <c r="T38" i="9" a="1"/>
  <c r="T38" i="9" s="1"/>
  <c r="E50" i="25" s="1" a="1"/>
  <c r="E50" i="25" s="1"/>
  <c r="M952" i="13"/>
  <c r="GI38" i="9" a="1"/>
  <c r="GI38" i="9" s="1"/>
  <c r="D920" i="13"/>
  <c r="T37" i="9" a="1"/>
  <c r="T37" i="9" s="1"/>
  <c r="E49" i="25" s="1" a="1"/>
  <c r="E49" i="25" s="1"/>
  <c r="I854" i="13"/>
  <c r="DN35" i="9" s="1" a="1"/>
  <c r="DN35" i="9" s="1"/>
  <c r="DP35" i="9" s="1"/>
  <c r="DX35" i="9" s="1"/>
  <c r="G49" i="25" a="1"/>
  <c r="G49" i="25" s="1"/>
  <c r="BH37" i="9"/>
  <c r="E918" i="13"/>
  <c r="AM37" i="9" a="1"/>
  <c r="AM37" i="9" s="1"/>
  <c r="AN37" i="9" s="1"/>
  <c r="HC37" i="9"/>
  <c r="DL37" i="9"/>
  <c r="O920" i="13"/>
  <c r="HU37" i="9" a="1"/>
  <c r="HU37" i="9" s="1"/>
  <c r="HV37" i="9" s="1"/>
  <c r="M49" i="25" a="1"/>
  <c r="M49" i="25" s="1"/>
  <c r="FR37" i="9"/>
  <c r="I49" i="25" a="1"/>
  <c r="I49" i="25" s="1"/>
  <c r="CT37" i="9"/>
  <c r="G918" i="13"/>
  <c r="BY37" i="9" a="1"/>
  <c r="BY37" i="9" s="1"/>
  <c r="M920" i="13"/>
  <c r="GI37" i="9" a="1"/>
  <c r="GI37" i="9" s="1"/>
  <c r="K918" i="13"/>
  <c r="EW37" i="9" a="1"/>
  <c r="EW37" i="9" s="1"/>
  <c r="EX37" i="9" s="1"/>
  <c r="J49" i="25" a="1"/>
  <c r="J49" i="25" s="1"/>
  <c r="DM37" i="9"/>
  <c r="J918" i="13"/>
  <c r="ED37" i="9" a="1"/>
  <c r="ED37" i="9" s="1"/>
  <c r="O49" i="25" a="1"/>
  <c r="O49" i="25" s="1"/>
  <c r="HD37" i="9"/>
  <c r="P48" i="25" a="1"/>
  <c r="P48" i="25" s="1"/>
  <c r="HW36" i="9"/>
  <c r="O888" i="13"/>
  <c r="HX36" i="9" s="1" a="1"/>
  <c r="HX36" i="9" s="1"/>
  <c r="L48" i="25" a="1"/>
  <c r="L48" i="25" s="1"/>
  <c r="EY36" i="9"/>
  <c r="I48" i="25" a="1"/>
  <c r="I48" i="25" s="1"/>
  <c r="CT36" i="9"/>
  <c r="H854" i="13"/>
  <c r="CU35" i="9" s="1" a="1"/>
  <c r="CU35" i="9" s="1"/>
  <c r="CW35" i="9" s="1"/>
  <c r="DE35" i="9" s="1"/>
  <c r="M48" i="25" a="1"/>
  <c r="M48" i="25" s="1"/>
  <c r="FR36" i="9"/>
  <c r="I47" i="25" a="1"/>
  <c r="I47" i="25" s="1"/>
  <c r="CT35" i="9"/>
  <c r="J47" i="25" a="1"/>
  <c r="J47" i="25" s="1"/>
  <c r="DM35" i="9"/>
  <c r="DL35" i="9"/>
  <c r="HH35" i="9" a="1"/>
  <c r="HH35" i="9" s="1"/>
  <c r="HP35" i="9" s="1"/>
  <c r="P48" i="24" s="1" a="1"/>
  <c r="P48" i="24" s="1"/>
  <c r="J920" i="13"/>
  <c r="E947" i="13" a="1"/>
  <c r="E947" i="13" s="1"/>
  <c r="E948" i="13" s="1"/>
  <c r="E951" i="13" s="1"/>
  <c r="HH34" i="9" a="1"/>
  <c r="HH34" i="9" s="1"/>
  <c r="HP34" i="9" s="1"/>
  <c r="P47" i="24" s="1" a="1"/>
  <c r="P47" i="24" s="1"/>
  <c r="I949" i="13" a="1"/>
  <c r="I949" i="13" s="1"/>
  <c r="I950" i="13" s="1"/>
  <c r="I951" i="13" s="1"/>
  <c r="ER34" i="9"/>
  <c r="L47" i="24" s="1" a="1"/>
  <c r="L47" i="24" s="1"/>
  <c r="GO34" i="9" a="1"/>
  <c r="GO34" i="9" s="1"/>
  <c r="GW34" i="9" s="1"/>
  <c r="O47" i="24" s="1" a="1"/>
  <c r="O47" i="24" s="1"/>
  <c r="J983" i="13" a="1"/>
  <c r="J983" i="13" s="1"/>
  <c r="J984" i="13" s="1"/>
  <c r="J985" i="13" s="1"/>
  <c r="O949" i="13" a="1"/>
  <c r="O949" i="13" s="1"/>
  <c r="O950" i="13" s="1"/>
  <c r="O951" i="13" s="1"/>
  <c r="K981" i="13" a="1"/>
  <c r="K981" i="13" s="1"/>
  <c r="K982" i="13" s="1"/>
  <c r="K985" i="13" s="1"/>
  <c r="G981" i="13" a="1"/>
  <c r="G981" i="13" s="1"/>
  <c r="G982" i="13" s="1"/>
  <c r="G985" i="13" s="1"/>
  <c r="O983" i="13" a="1"/>
  <c r="O983" i="13" s="1"/>
  <c r="O984" i="13" s="1"/>
  <c r="O985" i="13" s="1"/>
  <c r="J947" i="13" a="1"/>
  <c r="J947" i="13" s="1"/>
  <c r="J948" i="13" s="1"/>
  <c r="J951" i="13" s="1"/>
  <c r="I981" i="13" a="1"/>
  <c r="I981" i="13" s="1"/>
  <c r="I982" i="13" s="1"/>
  <c r="I985" i="13" s="1"/>
  <c r="H949" i="13" a="1"/>
  <c r="H949" i="13" s="1"/>
  <c r="H950" i="13" s="1"/>
  <c r="H951" i="13" s="1"/>
  <c r="L947" i="13" a="1"/>
  <c r="L947" i="13" s="1"/>
  <c r="L948" i="13" s="1"/>
  <c r="L951" i="13" s="1"/>
  <c r="P50" i="27" a="1"/>
  <c r="P50" i="27" s="1"/>
  <c r="HA38" i="9" a="1"/>
  <c r="HA38" i="9" s="1"/>
  <c r="N1004" i="13" a="1"/>
  <c r="N1004" i="13" s="1"/>
  <c r="N1015" i="13" s="1" a="1"/>
  <c r="N1015" i="13" s="1"/>
  <c r="N1016" i="13" s="1"/>
  <c r="GZ40" i="9" a="1"/>
  <c r="GZ40" i="9" s="1"/>
  <c r="HF40" i="9" a="1"/>
  <c r="HF40" i="9" s="1"/>
  <c r="N970" i="13" a="1"/>
  <c r="N970" i="13" s="1"/>
  <c r="N983" i="13" s="1" a="1"/>
  <c r="N983" i="13" s="1"/>
  <c r="N984" i="13" s="1"/>
  <c r="GZ39" i="9" a="1"/>
  <c r="GZ39" i="9" s="1"/>
  <c r="O51" i="27" s="1" a="1"/>
  <c r="O51" i="27" s="1"/>
  <c r="HF39" i="9" a="1"/>
  <c r="HF39" i="9" s="1"/>
  <c r="M1004" i="13" a="1"/>
  <c r="M1004" i="13" s="1"/>
  <c r="M1017" i="13" s="1" a="1"/>
  <c r="M1017" i="13" s="1"/>
  <c r="M1018" i="13" s="1"/>
  <c r="GG40" i="9" a="1"/>
  <c r="GG40" i="9" s="1"/>
  <c r="GM40" i="9" a="1"/>
  <c r="GM40" i="9" s="1"/>
  <c r="M970" i="13" a="1"/>
  <c r="M970" i="13" s="1"/>
  <c r="M983" i="13" s="1" a="1"/>
  <c r="M983" i="13" s="1"/>
  <c r="M984" i="13" s="1"/>
  <c r="GG39" i="9" a="1"/>
  <c r="GG39" i="9" s="1"/>
  <c r="N51" i="27" s="1" a="1"/>
  <c r="N51" i="27" s="1"/>
  <c r="GM39" i="9" a="1"/>
  <c r="GM39" i="9" s="1"/>
  <c r="GH38" i="9" a="1"/>
  <c r="GH38" i="9" s="1"/>
  <c r="FO38" i="9" a="1"/>
  <c r="FO38" i="9" s="1"/>
  <c r="M50" i="27" a="1"/>
  <c r="M50" i="27" s="1"/>
  <c r="L970" i="13" a="1"/>
  <c r="L970" i="13" s="1"/>
  <c r="L983" i="13" s="1" a="1"/>
  <c r="L983" i="13" s="1"/>
  <c r="L984" i="13" s="1"/>
  <c r="FN39" i="9" a="1"/>
  <c r="FN39" i="9" s="1"/>
  <c r="M51" i="27" s="1" a="1"/>
  <c r="M51" i="27" s="1"/>
  <c r="FT39" i="9" a="1"/>
  <c r="FT39" i="9" s="1"/>
  <c r="L1004" i="13" a="1"/>
  <c r="L1004" i="13" s="1"/>
  <c r="L1017" i="13" s="1" a="1"/>
  <c r="L1017" i="13" s="1"/>
  <c r="L1018" i="13" s="1"/>
  <c r="FN40" i="9" a="1"/>
  <c r="FN40" i="9" s="1"/>
  <c r="FT40" i="9" a="1"/>
  <c r="FT40" i="9" s="1"/>
  <c r="K1004" i="13" a="1"/>
  <c r="K1004" i="13" s="1"/>
  <c r="K1017" i="13" s="1" a="1"/>
  <c r="K1017" i="13" s="1"/>
  <c r="K1018" i="13" s="1"/>
  <c r="EU40" i="9" a="1"/>
  <c r="EU40" i="9" s="1"/>
  <c r="FA40" i="9" a="1"/>
  <c r="FA40" i="9" s="1"/>
  <c r="EV38" i="9" a="1"/>
  <c r="EV38" i="9" s="1"/>
  <c r="K50" i="27" a="1"/>
  <c r="K50" i="27" s="1"/>
  <c r="J1004" i="13" a="1"/>
  <c r="J1004" i="13" s="1"/>
  <c r="J1017" i="13" s="1" a="1"/>
  <c r="J1017" i="13" s="1"/>
  <c r="J1018" i="13" s="1"/>
  <c r="EB40" i="9" a="1"/>
  <c r="EB40" i="9" s="1"/>
  <c r="EH40" i="9" a="1"/>
  <c r="EH40" i="9" s="1"/>
  <c r="EC38" i="9" a="1"/>
  <c r="EC38" i="9" s="1"/>
  <c r="J50" i="27" a="1"/>
  <c r="J50" i="27" s="1"/>
  <c r="BX38" i="9" a="1"/>
  <c r="BX38" i="9" s="1"/>
  <c r="H970" i="13" a="1"/>
  <c r="H970" i="13" s="1"/>
  <c r="H983" i="13" s="1" a="1"/>
  <c r="H983" i="13" s="1"/>
  <c r="H984" i="13" s="1"/>
  <c r="CV39" i="9" a="1"/>
  <c r="CV39" i="9" s="1"/>
  <c r="CP39" i="9" a="1"/>
  <c r="CP39" i="9" s="1"/>
  <c r="I51" i="27" s="1" a="1"/>
  <c r="I51" i="27" s="1"/>
  <c r="H1004" i="13" a="1"/>
  <c r="H1004" i="13" s="1"/>
  <c r="H1017" i="13" s="1" a="1"/>
  <c r="H1017" i="13" s="1"/>
  <c r="H1018" i="13" s="1"/>
  <c r="CP40" i="9" a="1"/>
  <c r="CP40" i="9" s="1"/>
  <c r="CV40" i="9" a="1"/>
  <c r="CV40" i="9" s="1"/>
  <c r="I50" i="27" a="1"/>
  <c r="I50" i="27" s="1"/>
  <c r="CQ38" i="9" a="1"/>
  <c r="CQ38" i="9" s="1"/>
  <c r="D854" i="13"/>
  <c r="W35" i="9" s="1" a="1"/>
  <c r="W35" i="9" s="1"/>
  <c r="Y35" i="9" s="1"/>
  <c r="AG35" i="9" s="1"/>
  <c r="G1004" i="13" a="1"/>
  <c r="G1004" i="13" s="1"/>
  <c r="G1017" i="13" s="1" a="1"/>
  <c r="G1017" i="13" s="1"/>
  <c r="G1018" i="13" s="1"/>
  <c r="CC40" i="9" a="1"/>
  <c r="CC40" i="9" s="1"/>
  <c r="BW40" i="9" a="1"/>
  <c r="BW40" i="9" s="1"/>
  <c r="BE38" i="9" a="1"/>
  <c r="BE38" i="9" s="1"/>
  <c r="F1004" i="13" a="1"/>
  <c r="F1004" i="13" s="1"/>
  <c r="F1015" i="13" s="1" a="1"/>
  <c r="F1015" i="13" s="1"/>
  <c r="F1016" i="13" s="1"/>
  <c r="BD40" i="9" a="1"/>
  <c r="BD40" i="9" s="1"/>
  <c r="BJ40" i="9" a="1"/>
  <c r="BJ40" i="9" s="1"/>
  <c r="F970" i="13" a="1"/>
  <c r="F970" i="13" s="1"/>
  <c r="F983" i="13" s="1" a="1"/>
  <c r="F983" i="13" s="1"/>
  <c r="F984" i="13" s="1"/>
  <c r="BD39" i="9" a="1"/>
  <c r="BD39" i="9" s="1"/>
  <c r="G51" i="27" s="1" a="1"/>
  <c r="G51" i="27" s="1"/>
  <c r="BJ39" i="9" a="1"/>
  <c r="BJ39" i="9" s="1"/>
  <c r="E1004" i="13" a="1"/>
  <c r="E1004" i="13" s="1"/>
  <c r="E1015" i="13" s="1" a="1"/>
  <c r="E1015" i="13" s="1"/>
  <c r="E1016" i="13" s="1"/>
  <c r="AK40" i="9" a="1"/>
  <c r="AK40" i="9" s="1"/>
  <c r="AQ40" i="9" a="1"/>
  <c r="AQ40" i="9" s="1"/>
  <c r="F50" i="27" a="1"/>
  <c r="F50" i="27" s="1"/>
  <c r="E970" i="13" a="1"/>
  <c r="E970" i="13" s="1"/>
  <c r="E983" i="13" s="1" a="1"/>
  <c r="E983" i="13" s="1"/>
  <c r="E984" i="13" s="1"/>
  <c r="AK39" i="9" a="1"/>
  <c r="AK39" i="9" s="1"/>
  <c r="F51" i="27" s="1" a="1"/>
  <c r="F51" i="27" s="1"/>
  <c r="AQ39" i="9" a="1"/>
  <c r="AQ39" i="9" s="1"/>
  <c r="AL38" i="9" a="1"/>
  <c r="AL38" i="9" s="1"/>
  <c r="D970" i="13" a="1"/>
  <c r="D970" i="13" s="1"/>
  <c r="D983" i="13" s="1" a="1"/>
  <c r="D983" i="13" s="1"/>
  <c r="D984" i="13" s="1"/>
  <c r="R39" i="9" a="1"/>
  <c r="R39" i="9" s="1"/>
  <c r="E51" i="27" s="1" a="1"/>
  <c r="E51" i="27" s="1"/>
  <c r="I422" i="10"/>
  <c r="I1003" i="13" s="1" a="1"/>
  <c r="I1003" i="13" s="1"/>
  <c r="I1012" i="13" s="1" a="1"/>
  <c r="I1012" i="13" s="1"/>
  <c r="I1013" i="13" s="1"/>
  <c r="I421" i="10"/>
  <c r="I1002" i="13" s="1" a="1"/>
  <c r="I1002" i="13" s="1"/>
  <c r="I1007" i="13" s="1" a="1"/>
  <c r="I1007" i="13" s="1"/>
  <c r="I1008" i="13" s="1"/>
  <c r="IN33" i="9"/>
  <c r="IO33" i="9" s="1"/>
  <c r="IN32" i="9"/>
  <c r="IO32" i="9" s="1"/>
  <c r="D941" i="13"/>
  <c r="D946" i="13"/>
  <c r="N980" i="13"/>
  <c r="O946" i="13"/>
  <c r="P409" i="10"/>
  <c r="K975" i="13"/>
  <c r="J975" i="13"/>
  <c r="O941" i="13"/>
  <c r="P408" i="10"/>
  <c r="H980" i="13"/>
  <c r="E980" i="13"/>
  <c r="M436" i="10"/>
  <c r="M1037" i="13" s="1" a="1"/>
  <c r="M1037" i="13" s="1"/>
  <c r="M437" i="10"/>
  <c r="M435" i="10"/>
  <c r="M1036" i="13" s="1" a="1"/>
  <c r="M1036" i="13" s="1"/>
  <c r="G437" i="10"/>
  <c r="G435" i="10"/>
  <c r="G1036" i="13" s="1" a="1"/>
  <c r="G1036" i="13" s="1"/>
  <c r="G436" i="10"/>
  <c r="G1037" i="13" s="1" a="1"/>
  <c r="G1037" i="13" s="1"/>
  <c r="N435" i="10"/>
  <c r="N1036" i="13" s="1" a="1"/>
  <c r="N1036" i="13" s="1"/>
  <c r="N437" i="10"/>
  <c r="N436" i="10"/>
  <c r="N1037" i="13" s="1" a="1"/>
  <c r="N1037" i="13" s="1"/>
  <c r="O435" i="10"/>
  <c r="O1036" i="13" s="1" a="1"/>
  <c r="O1036" i="13" s="1"/>
  <c r="O436" i="10"/>
  <c r="O1037" i="13" s="1" a="1"/>
  <c r="O1037" i="13" s="1"/>
  <c r="O437" i="10"/>
  <c r="D436" i="10"/>
  <c r="D437" i="10"/>
  <c r="D435" i="10"/>
  <c r="L436" i="10"/>
  <c r="L1037" i="13" s="1" a="1"/>
  <c r="L1037" i="13" s="1"/>
  <c r="L437" i="10"/>
  <c r="L435" i="10"/>
  <c r="L1036" i="13" s="1" a="1"/>
  <c r="L1036" i="13" s="1"/>
  <c r="E436" i="10"/>
  <c r="E1037" i="13" s="1" a="1"/>
  <c r="E1037" i="13" s="1"/>
  <c r="E437" i="10"/>
  <c r="E435" i="10"/>
  <c r="E1036" i="13" s="1" a="1"/>
  <c r="E1036" i="13" s="1"/>
  <c r="H435" i="10"/>
  <c r="H1036" i="13" s="1" a="1"/>
  <c r="H1036" i="13" s="1"/>
  <c r="H436" i="10"/>
  <c r="H1037" i="13" s="1" a="1"/>
  <c r="H1037" i="13" s="1"/>
  <c r="H437" i="10"/>
  <c r="J437" i="10"/>
  <c r="J435" i="10"/>
  <c r="J1036" i="13" s="1" a="1"/>
  <c r="J1036" i="13" s="1"/>
  <c r="J436" i="10"/>
  <c r="J1037" i="13" s="1" a="1"/>
  <c r="J1037" i="13" s="1"/>
  <c r="K436" i="10"/>
  <c r="K1037" i="13" s="1" a="1"/>
  <c r="K1037" i="13" s="1"/>
  <c r="K435" i="10"/>
  <c r="K1036" i="13" s="1" a="1"/>
  <c r="K1036" i="13" s="1"/>
  <c r="K437" i="10"/>
  <c r="J980" i="13"/>
  <c r="N975" i="13"/>
  <c r="O978" i="13" a="1"/>
  <c r="O978" i="13" s="1"/>
  <c r="O979" i="13" s="1"/>
  <c r="O976" i="13" a="1"/>
  <c r="O976" i="13" s="1"/>
  <c r="O977" i="13" s="1"/>
  <c r="I975" i="13"/>
  <c r="N1010" i="13" a="1"/>
  <c r="N1010" i="13" s="1"/>
  <c r="N1011" i="13" s="1"/>
  <c r="N1012" i="13" a="1"/>
  <c r="N1012" i="13" s="1"/>
  <c r="N1013" i="13" s="1"/>
  <c r="J1010" i="13" a="1"/>
  <c r="J1010" i="13" s="1"/>
  <c r="J1011" i="13" s="1"/>
  <c r="J1012" i="13" a="1"/>
  <c r="J1012" i="13" s="1"/>
  <c r="J1013" i="13" s="1"/>
  <c r="L1007" i="13" a="1"/>
  <c r="L1007" i="13" s="1"/>
  <c r="L1008" i="13" s="1"/>
  <c r="L1005" i="13" a="1"/>
  <c r="L1005" i="13" s="1"/>
  <c r="L1006" i="13" s="1"/>
  <c r="P434" i="10" a="1"/>
  <c r="P434" i="10" s="1"/>
  <c r="M971" i="13" a="1"/>
  <c r="M971" i="13" s="1"/>
  <c r="M972" i="13" s="1"/>
  <c r="M973" i="13" a="1"/>
  <c r="M973" i="13" s="1"/>
  <c r="M974" i="13" s="1"/>
  <c r="O973" i="13" a="1"/>
  <c r="O973" i="13" s="1"/>
  <c r="O974" i="13" s="1"/>
  <c r="O971" i="13" a="1"/>
  <c r="O971" i="13" s="1"/>
  <c r="O972" i="13" s="1"/>
  <c r="N1007" i="13" a="1"/>
  <c r="N1007" i="13" s="1"/>
  <c r="N1008" i="13" s="1"/>
  <c r="N1005" i="13" a="1"/>
  <c r="N1005" i="13" s="1"/>
  <c r="N1006" i="13" s="1"/>
  <c r="G1012" i="13" a="1"/>
  <c r="G1012" i="13" s="1"/>
  <c r="G1013" i="13" s="1"/>
  <c r="G1010" i="13" a="1"/>
  <c r="G1010" i="13" s="1"/>
  <c r="G1011" i="13" s="1"/>
  <c r="L1012" i="13" a="1"/>
  <c r="L1012" i="13" s="1"/>
  <c r="L1013" i="13" s="1"/>
  <c r="L1010" i="13" a="1"/>
  <c r="L1010" i="13" s="1"/>
  <c r="L1011" i="13" s="1"/>
  <c r="I434" i="10" a="1"/>
  <c r="I434" i="10" s="1"/>
  <c r="K920" i="13"/>
  <c r="F978" i="13" a="1"/>
  <c r="F978" i="13" s="1"/>
  <c r="F979" i="13" s="1"/>
  <c r="F976" i="13" a="1"/>
  <c r="F976" i="13" s="1"/>
  <c r="F977" i="13" s="1"/>
  <c r="I941" i="13"/>
  <c r="K980" i="13"/>
  <c r="L973" i="13" a="1"/>
  <c r="L973" i="13" s="1"/>
  <c r="L974" i="13" s="1"/>
  <c r="L971" i="13" a="1"/>
  <c r="L971" i="13" s="1"/>
  <c r="L972" i="13" s="1"/>
  <c r="K421" i="10"/>
  <c r="K1002" i="13" s="1" a="1"/>
  <c r="K1002" i="13" s="1"/>
  <c r="K422" i="10"/>
  <c r="K1003" i="13" s="1" a="1"/>
  <c r="K1003" i="13" s="1"/>
  <c r="K423" i="10"/>
  <c r="G1007" i="13" a="1"/>
  <c r="G1007" i="13" s="1"/>
  <c r="G1008" i="13" s="1"/>
  <c r="G1005" i="13" a="1"/>
  <c r="G1005" i="13" s="1"/>
  <c r="G1006" i="13" s="1"/>
  <c r="F1007" i="13" a="1"/>
  <c r="F1007" i="13" s="1"/>
  <c r="F1008" i="13" s="1"/>
  <c r="F1005" i="13" a="1"/>
  <c r="F1005" i="13" s="1"/>
  <c r="F1006" i="13" s="1"/>
  <c r="F434" i="10" a="1"/>
  <c r="F434" i="10" s="1"/>
  <c r="F971" i="13" a="1"/>
  <c r="F971" i="13" s="1"/>
  <c r="F972" i="13" s="1"/>
  <c r="F973" i="13" a="1"/>
  <c r="F973" i="13" s="1"/>
  <c r="F974" i="13" s="1"/>
  <c r="M976" i="13" a="1"/>
  <c r="M976" i="13" s="1"/>
  <c r="M977" i="13" s="1"/>
  <c r="M978" i="13" a="1"/>
  <c r="M978" i="13" s="1"/>
  <c r="M979" i="13" s="1"/>
  <c r="H975" i="13"/>
  <c r="L978" i="13" a="1"/>
  <c r="L978" i="13" s="1"/>
  <c r="L979" i="13" s="1"/>
  <c r="L976" i="13" a="1"/>
  <c r="L976" i="13" s="1"/>
  <c r="L977" i="13" s="1"/>
  <c r="I980" i="13"/>
  <c r="M1007" i="13" a="1"/>
  <c r="M1007" i="13" s="1"/>
  <c r="M1008" i="13" s="1"/>
  <c r="M1005" i="13" a="1"/>
  <c r="M1005" i="13" s="1"/>
  <c r="M1006" i="13" s="1"/>
  <c r="P407" i="10"/>
  <c r="H1010" i="13" a="1"/>
  <c r="H1010" i="13" s="1"/>
  <c r="H1011" i="13" s="1"/>
  <c r="H1012" i="13" a="1"/>
  <c r="H1012" i="13" s="1"/>
  <c r="H1013" i="13" s="1"/>
  <c r="F1010" i="13" a="1"/>
  <c r="F1010" i="13" s="1"/>
  <c r="F1011" i="13" s="1"/>
  <c r="F1012" i="13" a="1"/>
  <c r="F1012" i="13" s="1"/>
  <c r="F1013" i="13" s="1"/>
  <c r="E975" i="13"/>
  <c r="D976" i="13" a="1"/>
  <c r="D976" i="13" s="1"/>
  <c r="D977" i="13" s="1"/>
  <c r="D978" i="13" a="1"/>
  <c r="D978" i="13" s="1"/>
  <c r="D979" i="13" s="1"/>
  <c r="D973" i="13" a="1"/>
  <c r="D973" i="13" s="1"/>
  <c r="D974" i="13" s="1"/>
  <c r="D971" i="13" a="1"/>
  <c r="D971" i="13" s="1"/>
  <c r="D972" i="13" s="1"/>
  <c r="M1012" i="13" a="1"/>
  <c r="M1012" i="13" s="1"/>
  <c r="M1013" i="13" s="1"/>
  <c r="M1010" i="13" a="1"/>
  <c r="M1010" i="13" s="1"/>
  <c r="M1011" i="13" s="1"/>
  <c r="H1005" i="13" a="1"/>
  <c r="H1005" i="13" s="1"/>
  <c r="H1006" i="13" s="1"/>
  <c r="H1007" i="13" a="1"/>
  <c r="H1007" i="13" s="1"/>
  <c r="H1008" i="13" s="1"/>
  <c r="E1005" i="13" a="1"/>
  <c r="E1005" i="13" s="1"/>
  <c r="E1006" i="13" s="1"/>
  <c r="E1007" i="13" a="1"/>
  <c r="E1007" i="13" s="1"/>
  <c r="E1008" i="13" s="1"/>
  <c r="J1007" i="13" a="1"/>
  <c r="J1007" i="13" s="1"/>
  <c r="J1008" i="13" s="1"/>
  <c r="J1005" i="13" a="1"/>
  <c r="J1005" i="13" s="1"/>
  <c r="J1006" i="13" s="1"/>
  <c r="G975" i="13"/>
  <c r="G980" i="13"/>
  <c r="D422" i="10"/>
  <c r="D423" i="10"/>
  <c r="D421" i="10"/>
  <c r="I946" i="13"/>
  <c r="O423" i="10"/>
  <c r="O421" i="10"/>
  <c r="O1002" i="13" s="1" a="1"/>
  <c r="O1002" i="13" s="1"/>
  <c r="O422" i="10"/>
  <c r="O1003" i="13" s="1" a="1"/>
  <c r="O1003" i="13" s="1"/>
  <c r="E1010" i="13" a="1"/>
  <c r="E1010" i="13" s="1"/>
  <c r="E1011" i="13" s="1"/>
  <c r="E1012" i="13" a="1"/>
  <c r="E1012" i="13" s="1"/>
  <c r="E1013" i="13" s="1"/>
  <c r="N954" i="13"/>
  <c r="O918" i="13"/>
  <c r="F920" i="13"/>
  <c r="F918" i="13"/>
  <c r="D952" i="13"/>
  <c r="M954" i="13"/>
  <c r="D918" i="13"/>
  <c r="K952" i="13"/>
  <c r="K956" i="13" s="1"/>
  <c r="EZ38" i="9" s="1" a="1"/>
  <c r="EZ38" i="9" s="1"/>
  <c r="M918" i="13"/>
  <c r="E920" i="13"/>
  <c r="G954" i="13"/>
  <c r="G920" i="13"/>
  <c r="F954" i="13"/>
  <c r="FB36" i="9"/>
  <c r="FJ36" i="9" s="1"/>
  <c r="IJ33" i="9"/>
  <c r="IK33" i="9" s="1"/>
  <c r="EJ35" i="9" a="1"/>
  <c r="EJ35" i="9" s="1"/>
  <c r="ER35" i="9" s="1"/>
  <c r="L48" i="24" s="1" a="1"/>
  <c r="L48" i="24" s="1"/>
  <c r="CE35" i="9" a="1"/>
  <c r="CE35" i="9" s="1"/>
  <c r="CM35" i="9" s="1"/>
  <c r="I48" i="24" s="1" a="1"/>
  <c r="I48" i="24" s="1"/>
  <c r="BL35" i="9" a="1"/>
  <c r="BL35" i="9" s="1"/>
  <c r="BT35" i="9" s="1"/>
  <c r="H48" i="24" s="1" a="1"/>
  <c r="H48" i="24" s="1"/>
  <c r="AS35" i="9" a="1"/>
  <c r="AS35" i="9" s="1"/>
  <c r="BA35" i="9" s="1"/>
  <c r="G48" i="24" s="1" a="1"/>
  <c r="G48" i="24" s="1"/>
  <c r="FV35" i="9" a="1"/>
  <c r="FV35" i="9" s="1"/>
  <c r="GD35" i="9" s="1"/>
  <c r="N48" i="24" s="1" a="1"/>
  <c r="N48" i="24" s="1"/>
  <c r="GD34" i="9"/>
  <c r="N47" i="24" s="1" a="1"/>
  <c r="N47" i="24" s="1"/>
  <c r="GO35" i="9" a="1"/>
  <c r="GO35" i="9" s="1"/>
  <c r="GW35" i="9" s="1"/>
  <c r="O48" i="24" s="1" a="1"/>
  <c r="O48" i="24" s="1"/>
  <c r="IL34" i="9"/>
  <c r="IM34" i="9" s="1"/>
  <c r="HG36" i="9"/>
  <c r="HO36" i="9" s="1"/>
  <c r="CD36" i="9"/>
  <c r="CL36" i="9" s="1"/>
  <c r="DP36" i="9"/>
  <c r="DX36" i="9" s="1"/>
  <c r="EI36" i="9"/>
  <c r="EQ36" i="9" s="1"/>
  <c r="Z34" i="9" a="1"/>
  <c r="Z34" i="9" s="1"/>
  <c r="AH34" i="9" s="1"/>
  <c r="F47" i="24" s="1" a="1"/>
  <c r="F47" i="24" s="1"/>
  <c r="AR36" i="9"/>
  <c r="AZ36" i="9" s="1"/>
  <c r="V36" i="9"/>
  <c r="GN36" i="9"/>
  <c r="GV36" i="9" s="1"/>
  <c r="FC35" i="9" a="1"/>
  <c r="FC35" i="9" s="1"/>
  <c r="FK35" i="9" s="1"/>
  <c r="M48" i="24" s="1" a="1"/>
  <c r="M48" i="24" s="1"/>
  <c r="FU36" i="9"/>
  <c r="GC36" i="9" s="1"/>
  <c r="BK36" i="9"/>
  <c r="HZ35" i="9"/>
  <c r="IH35" i="9" s="1"/>
  <c r="K432" i="10"/>
  <c r="ET41" i="9" s="1" a="1"/>
  <c r="ET41" i="9" s="1"/>
  <c r="D432" i="10"/>
  <c r="S37" i="9" a="1"/>
  <c r="S37" i="9" s="1"/>
  <c r="H51" i="27" a="1"/>
  <c r="H51" i="27" s="1"/>
  <c r="L51" i="27" a="1"/>
  <c r="L51" i="27" s="1"/>
  <c r="P51" i="27" a="1"/>
  <c r="P51" i="27" s="1"/>
  <c r="K51" i="27" a="1"/>
  <c r="K51" i="27" s="1"/>
  <c r="J51" i="27" a="1"/>
  <c r="J51" i="27" s="1"/>
  <c r="M432" i="10"/>
  <c r="GF41" i="9" s="1" a="1"/>
  <c r="GF41" i="9" s="1"/>
  <c r="I432" i="10"/>
  <c r="DH41" i="9" s="1" a="1"/>
  <c r="DH41" i="9" s="1"/>
  <c r="L432" i="10"/>
  <c r="FM41" i="9" s="1" a="1"/>
  <c r="FM41" i="9" s="1"/>
  <c r="G438" i="10"/>
  <c r="O438" i="10"/>
  <c r="E438" i="10"/>
  <c r="H438" i="10"/>
  <c r="M438" i="10"/>
  <c r="E432" i="10"/>
  <c r="AJ41" i="9" s="1" a="1"/>
  <c r="AJ41" i="9" s="1"/>
  <c r="M444" i="10"/>
  <c r="I444" i="10"/>
  <c r="H432" i="10"/>
  <c r="CO41" i="9" s="1" a="1"/>
  <c r="CO41" i="9" s="1"/>
  <c r="J432" i="10"/>
  <c r="EA41" i="9" s="1" a="1"/>
  <c r="EA41" i="9" s="1"/>
  <c r="J444" i="10"/>
  <c r="G447" i="10"/>
  <c r="G444" i="10"/>
  <c r="N438" i="10"/>
  <c r="F432" i="10"/>
  <c r="BC41" i="9" s="1" a="1"/>
  <c r="BC41" i="9" s="1"/>
  <c r="B455" i="10"/>
  <c r="B456" i="10" s="1"/>
  <c r="B457" i="10" s="1"/>
  <c r="E454" i="10"/>
  <c r="E461" i="10" s="1"/>
  <c r="I454" i="10"/>
  <c r="M454" i="10"/>
  <c r="L454" i="10"/>
  <c r="H454" i="10"/>
  <c r="D454" i="10"/>
  <c r="D461" i="10" s="1"/>
  <c r="O454" i="10"/>
  <c r="K454" i="10"/>
  <c r="K461" i="10" s="1"/>
  <c r="G454" i="10"/>
  <c r="J454" i="10"/>
  <c r="F454" i="10"/>
  <c r="F461" i="10" s="1"/>
  <c r="B458" i="10"/>
  <c r="B459" i="10" s="1"/>
  <c r="N454" i="10"/>
  <c r="P454" i="10"/>
  <c r="P458" i="10" s="1"/>
  <c r="O424" i="10"/>
  <c r="D424" i="10"/>
  <c r="F447" i="10"/>
  <c r="F444" i="10"/>
  <c r="J467" i="10"/>
  <c r="N467" i="10"/>
  <c r="M467" i="10"/>
  <c r="E467" i="10"/>
  <c r="D467" i="10"/>
  <c r="G467" i="10"/>
  <c r="P467" i="10"/>
  <c r="L467" i="10"/>
  <c r="F467" i="10"/>
  <c r="O467" i="10"/>
  <c r="I467" i="10"/>
  <c r="B468" i="10"/>
  <c r="K467" i="10"/>
  <c r="H467" i="10"/>
  <c r="P447" i="10"/>
  <c r="D444" i="10"/>
  <c r="O444" i="10"/>
  <c r="N432" i="10"/>
  <c r="GY41" i="9" s="1" a="1"/>
  <c r="GY41" i="9" s="1"/>
  <c r="K444" i="10"/>
  <c r="H447" i="10"/>
  <c r="H444" i="10"/>
  <c r="L447" i="10"/>
  <c r="L444" i="10"/>
  <c r="I424" i="10"/>
  <c r="B481" i="10" a="1"/>
  <c r="B481" i="10" s="1"/>
  <c r="A481" i="10" a="1"/>
  <c r="A481" i="10" s="1"/>
  <c r="O432" i="10"/>
  <c r="HR41" i="9" s="1" a="1"/>
  <c r="HR41" i="9" s="1"/>
  <c r="P410" i="10"/>
  <c r="G432" i="10"/>
  <c r="BV41" i="9" s="1" a="1"/>
  <c r="BV41" i="9" s="1"/>
  <c r="N444" i="10"/>
  <c r="I445" i="10"/>
  <c r="I448" i="10" s="1" a="1"/>
  <c r="I448" i="10" s="1"/>
  <c r="D445" i="10"/>
  <c r="D448" i="10" s="1" a="1"/>
  <c r="D448" i="10" s="1"/>
  <c r="P445" i="10"/>
  <c r="P446" i="10" s="1"/>
  <c r="K445" i="10"/>
  <c r="K448" i="10" s="1" a="1"/>
  <c r="K448" i="10" s="1"/>
  <c r="O445" i="10"/>
  <c r="O448" i="10" s="1" a="1"/>
  <c r="O448" i="10" s="1"/>
  <c r="N445" i="10"/>
  <c r="N448" i="10" s="1" a="1"/>
  <c r="N448" i="10" s="1"/>
  <c r="G445" i="10"/>
  <c r="M445" i="10"/>
  <c r="M448" i="10" s="1" a="1"/>
  <c r="M448" i="10" s="1"/>
  <c r="B446" i="10"/>
  <c r="B447" i="10" s="1"/>
  <c r="B448" i="10" s="1"/>
  <c r="B449" i="10" s="1"/>
  <c r="B450" i="10" s="1"/>
  <c r="B451" i="10" s="1"/>
  <c r="B452" i="10" s="1"/>
  <c r="L445" i="10"/>
  <c r="F445" i="10"/>
  <c r="J445" i="10"/>
  <c r="J448" i="10" s="1" a="1"/>
  <c r="J448" i="10" s="1"/>
  <c r="H445" i="10"/>
  <c r="E445" i="10"/>
  <c r="E448" i="10" s="1" a="1"/>
  <c r="E448" i="10" s="1"/>
  <c r="E444" i="10"/>
  <c r="J438" i="10"/>
  <c r="R495" i="10"/>
  <c r="I1010" i="13" l="1" a="1"/>
  <c r="I1010" i="13" s="1"/>
  <c r="I1011" i="13" s="1"/>
  <c r="G956" i="13"/>
  <c r="CB38" i="9" s="1" a="1"/>
  <c r="CB38" i="9" s="1"/>
  <c r="O922" i="13"/>
  <c r="HX37" i="9" s="1" a="1"/>
  <c r="HX37" i="9" s="1"/>
  <c r="M922" i="13"/>
  <c r="GL37" i="9" s="1" a="1"/>
  <c r="GL37" i="9" s="1"/>
  <c r="E922" i="13"/>
  <c r="AP37" i="9" s="1" a="1"/>
  <c r="AP37" i="9" s="1"/>
  <c r="BZ38" i="9"/>
  <c r="HC38" i="9"/>
  <c r="F956" i="13"/>
  <c r="BI38" i="9" s="1" a="1"/>
  <c r="BI38" i="9" s="1"/>
  <c r="M956" i="13"/>
  <c r="GL38" i="9" s="1" a="1"/>
  <c r="GL38" i="9" s="1"/>
  <c r="EX38" i="9"/>
  <c r="GJ38" i="9"/>
  <c r="N956" i="13"/>
  <c r="HE38" i="9" s="1" a="1"/>
  <c r="HE38" i="9" s="1"/>
  <c r="D956" i="13"/>
  <c r="BG38" i="9"/>
  <c r="K922" i="13"/>
  <c r="EZ37" i="9" s="1" a="1"/>
  <c r="EZ37" i="9" s="1"/>
  <c r="FB37" i="9" s="1"/>
  <c r="O988" i="13"/>
  <c r="HU39" i="9" a="1"/>
  <c r="HU39" i="9" s="1"/>
  <c r="G986" i="13"/>
  <c r="BY39" i="9" a="1"/>
  <c r="BY39" i="9" s="1"/>
  <c r="K988" i="13"/>
  <c r="EW39" i="9" a="1"/>
  <c r="EW39" i="9" s="1"/>
  <c r="J988" i="13"/>
  <c r="ED39" i="9" a="1"/>
  <c r="ED39" i="9" s="1"/>
  <c r="I988" i="13"/>
  <c r="DK39" i="9" a="1"/>
  <c r="DK39" i="9" s="1"/>
  <c r="CX35" i="9" a="1"/>
  <c r="CX35" i="9" s="1"/>
  <c r="DF35" i="9" s="1"/>
  <c r="J48" i="24" s="1" a="1"/>
  <c r="J48" i="24" s="1"/>
  <c r="I954" i="13"/>
  <c r="DK38" i="9" a="1"/>
  <c r="DK38" i="9" s="1"/>
  <c r="J952" i="13"/>
  <c r="ED38" i="9" a="1"/>
  <c r="ED38" i="9" s="1"/>
  <c r="EE38" i="9" s="1"/>
  <c r="N50" i="25" a="1"/>
  <c r="N50" i="25" s="1"/>
  <c r="GK38" i="9"/>
  <c r="L50" i="25" a="1"/>
  <c r="L50" i="25" s="1"/>
  <c r="EY38" i="9"/>
  <c r="D922" i="13"/>
  <c r="J922" i="13"/>
  <c r="EG37" i="9" s="1" a="1"/>
  <c r="EG37" i="9" s="1"/>
  <c r="EI37" i="9" s="1"/>
  <c r="EQ37" i="9" s="1"/>
  <c r="E954" i="13"/>
  <c r="AM38" i="9" a="1"/>
  <c r="AM38" i="9" s="1"/>
  <c r="AN38" i="9" s="1"/>
  <c r="O952" i="13"/>
  <c r="HU38" i="9" a="1"/>
  <c r="HU38" i="9" s="1"/>
  <c r="G50" i="25" a="1"/>
  <c r="G50" i="25" s="1"/>
  <c r="BH38" i="9"/>
  <c r="L952" i="13"/>
  <c r="FP38" i="9" a="1"/>
  <c r="FP38" i="9" s="1"/>
  <c r="FQ38" i="9" s="1"/>
  <c r="G922" i="13"/>
  <c r="CB37" i="9" s="1" a="1"/>
  <c r="CB37" i="9" s="1"/>
  <c r="CD37" i="9" s="1"/>
  <c r="CL37" i="9" s="1"/>
  <c r="H954" i="13"/>
  <c r="CR38" i="9" a="1"/>
  <c r="CR38" i="9" s="1"/>
  <c r="O50" i="25" a="1"/>
  <c r="O50" i="25" s="1"/>
  <c r="HD38" i="9"/>
  <c r="H50" i="25" a="1"/>
  <c r="H50" i="25" s="1"/>
  <c r="CA38" i="9"/>
  <c r="F49" i="25" a="1"/>
  <c r="F49" i="25" s="1"/>
  <c r="AO37" i="9"/>
  <c r="DQ35" i="9" a="1"/>
  <c r="DQ35" i="9" s="1"/>
  <c r="DY35" i="9" s="1"/>
  <c r="K48" i="24" s="1" a="1"/>
  <c r="K48" i="24" s="1"/>
  <c r="K49" i="25" a="1"/>
  <c r="K49" i="25" s="1"/>
  <c r="EF37" i="9"/>
  <c r="EE37" i="9"/>
  <c r="N49" i="25" a="1"/>
  <c r="N49" i="25" s="1"/>
  <c r="GK37" i="9"/>
  <c r="P49" i="25" a="1"/>
  <c r="P49" i="25" s="1"/>
  <c r="HW37" i="9"/>
  <c r="Q47" i="25"/>
  <c r="Q48" i="25"/>
  <c r="GJ37" i="9"/>
  <c r="H49" i="25" a="1"/>
  <c r="H49" i="25" s="1"/>
  <c r="CA37" i="9"/>
  <c r="L49" i="25" a="1"/>
  <c r="L49" i="25" s="1"/>
  <c r="EY37" i="9"/>
  <c r="BZ37" i="9"/>
  <c r="F1017" i="13" a="1"/>
  <c r="F1017" i="13" s="1"/>
  <c r="F1018" i="13" s="1"/>
  <c r="F1019" i="13" s="1"/>
  <c r="L981" i="13" a="1"/>
  <c r="L981" i="13" s="1"/>
  <c r="L982" i="13" s="1"/>
  <c r="L985" i="13" s="1"/>
  <c r="M981" i="13" a="1"/>
  <c r="M981" i="13" s="1"/>
  <c r="M982" i="13" s="1"/>
  <c r="M985" i="13" s="1"/>
  <c r="S38" i="9" a="1"/>
  <c r="S38" i="9" s="1"/>
  <c r="U38" i="9" s="1"/>
  <c r="L1015" i="13" a="1"/>
  <c r="L1015" i="13" s="1"/>
  <c r="L1016" i="13" s="1"/>
  <c r="L1019" i="13" s="1"/>
  <c r="J1015" i="13" a="1"/>
  <c r="J1015" i="13" s="1"/>
  <c r="J1016" i="13" s="1"/>
  <c r="J1019" i="13" s="1"/>
  <c r="D981" i="13" a="1"/>
  <c r="D981" i="13" s="1"/>
  <c r="D982" i="13" s="1"/>
  <c r="D985" i="13" s="1"/>
  <c r="N981" i="13" a="1"/>
  <c r="N981" i="13" s="1"/>
  <c r="N982" i="13" s="1"/>
  <c r="N985" i="13" s="1"/>
  <c r="M1015" i="13" a="1"/>
  <c r="M1015" i="13" s="1"/>
  <c r="M1016" i="13" s="1"/>
  <c r="M1019" i="13" s="1"/>
  <c r="I1005" i="13" a="1"/>
  <c r="I1005" i="13" s="1"/>
  <c r="I1006" i="13" s="1"/>
  <c r="I1009" i="13" s="1"/>
  <c r="N1017" i="13" a="1"/>
  <c r="N1017" i="13" s="1"/>
  <c r="N1018" i="13" s="1"/>
  <c r="N1019" i="13" s="1"/>
  <c r="F981" i="13" a="1"/>
  <c r="F981" i="13" s="1"/>
  <c r="F982" i="13" s="1"/>
  <c r="H981" i="13" a="1"/>
  <c r="H981" i="13" s="1"/>
  <c r="H982" i="13" s="1"/>
  <c r="H985" i="13" s="1"/>
  <c r="EV39" i="9" a="1"/>
  <c r="EV39" i="9" s="1"/>
  <c r="K1015" i="13" a="1"/>
  <c r="K1015" i="13" s="1"/>
  <c r="K1016" i="13" s="1"/>
  <c r="K1019" i="13" s="1"/>
  <c r="DJ38" i="9" a="1"/>
  <c r="DJ38" i="9" s="1"/>
  <c r="O1038" i="13" a="1"/>
  <c r="O1038" i="13" s="1"/>
  <c r="O1049" i="13" s="1" a="1"/>
  <c r="O1049" i="13" s="1"/>
  <c r="O1050" i="13" s="1"/>
  <c r="HS41" i="9" a="1"/>
  <c r="HS41" i="9" s="1"/>
  <c r="HY41" i="9" a="1"/>
  <c r="HY41" i="9" s="1"/>
  <c r="HT38" i="9" a="1"/>
  <c r="HT38" i="9" s="1"/>
  <c r="O1004" i="13" a="1"/>
  <c r="O1004" i="13" s="1"/>
  <c r="O1017" i="13" s="1" a="1"/>
  <c r="O1017" i="13" s="1"/>
  <c r="O1018" i="13" s="1"/>
  <c r="HS40" i="9" a="1"/>
  <c r="HS40" i="9" s="1"/>
  <c r="P52" i="27" s="1" a="1"/>
  <c r="P52" i="27" s="1"/>
  <c r="HY40" i="9" a="1"/>
  <c r="HY40" i="9" s="1"/>
  <c r="H1015" i="13" a="1"/>
  <c r="H1015" i="13" s="1"/>
  <c r="H1016" i="13" s="1"/>
  <c r="H1019" i="13" s="1"/>
  <c r="E1017" i="13" a="1"/>
  <c r="E1017" i="13" s="1"/>
  <c r="E1018" i="13" s="1"/>
  <c r="E1019" i="13" s="1"/>
  <c r="HA39" i="9" a="1"/>
  <c r="HA39" i="9" s="1"/>
  <c r="N1038" i="13" a="1"/>
  <c r="N1038" i="13" s="1"/>
  <c r="N1051" i="13" s="1" a="1"/>
  <c r="N1051" i="13" s="1"/>
  <c r="N1052" i="13" s="1"/>
  <c r="GZ41" i="9" a="1"/>
  <c r="GZ41" i="9" s="1"/>
  <c r="HF41" i="9" a="1"/>
  <c r="HF41" i="9" s="1"/>
  <c r="DJ39" i="9" a="1"/>
  <c r="DJ39" i="9" s="1"/>
  <c r="EC39" i="9" a="1"/>
  <c r="EC39" i="9" s="1"/>
  <c r="M1038" i="13" a="1"/>
  <c r="M1038" i="13" s="1"/>
  <c r="M1049" i="13" s="1" a="1"/>
  <c r="M1049" i="13" s="1"/>
  <c r="M1050" i="13" s="1"/>
  <c r="GM41" i="9" a="1"/>
  <c r="GM41" i="9" s="1"/>
  <c r="GG41" i="9" a="1"/>
  <c r="GG41" i="9" s="1"/>
  <c r="G1015" i="13" a="1"/>
  <c r="G1015" i="13" s="1"/>
  <c r="G1016" i="13" s="1"/>
  <c r="G1019" i="13" s="1"/>
  <c r="J1038" i="13" a="1"/>
  <c r="J1038" i="13" s="1"/>
  <c r="J1049" i="13" s="1" a="1"/>
  <c r="J1049" i="13" s="1"/>
  <c r="J1050" i="13" s="1"/>
  <c r="EH41" i="9" a="1"/>
  <c r="EH41" i="9" s="1"/>
  <c r="EB41" i="9" a="1"/>
  <c r="EB41" i="9" s="1"/>
  <c r="I1004" i="13" a="1"/>
  <c r="I1004" i="13" s="1"/>
  <c r="I1015" i="13" s="1" a="1"/>
  <c r="I1015" i="13" s="1"/>
  <c r="I1016" i="13" s="1"/>
  <c r="DO40" i="9" a="1"/>
  <c r="DO40" i="9" s="1"/>
  <c r="DI40" i="9" a="1"/>
  <c r="DI40" i="9" s="1"/>
  <c r="J52" i="27" s="1" a="1"/>
  <c r="J52" i="27" s="1"/>
  <c r="CQ39" i="9" a="1"/>
  <c r="CQ39" i="9" s="1"/>
  <c r="H1038" i="13" a="1"/>
  <c r="H1038" i="13" s="1"/>
  <c r="H1051" i="13" s="1" a="1"/>
  <c r="H1051" i="13" s="1"/>
  <c r="H1052" i="13" s="1"/>
  <c r="CP41" i="9" a="1"/>
  <c r="CP41" i="9" s="1"/>
  <c r="CV41" i="9" a="1"/>
  <c r="CV41" i="9" s="1"/>
  <c r="G1038" i="13" a="1"/>
  <c r="G1038" i="13" s="1"/>
  <c r="G1051" i="13" s="1" a="1"/>
  <c r="G1051" i="13" s="1"/>
  <c r="G1052" i="13" s="1"/>
  <c r="BW41" i="9" a="1"/>
  <c r="BW41" i="9" s="1"/>
  <c r="CC41" i="9" a="1"/>
  <c r="CC41" i="9" s="1"/>
  <c r="E981" i="13" a="1"/>
  <c r="E981" i="13" s="1"/>
  <c r="E982" i="13" s="1"/>
  <c r="E985" i="13" s="1"/>
  <c r="BX39" i="9" a="1"/>
  <c r="BX39" i="9" s="1"/>
  <c r="AL39" i="9" a="1"/>
  <c r="AL39" i="9" s="1"/>
  <c r="E1038" i="13" a="1"/>
  <c r="E1038" i="13" s="1"/>
  <c r="E1049" i="13" s="1" a="1"/>
  <c r="E1049" i="13" s="1"/>
  <c r="E1050" i="13" s="1"/>
  <c r="AK41" i="9" a="1"/>
  <c r="AK41" i="9" s="1"/>
  <c r="AQ41" i="9" a="1"/>
  <c r="AQ41" i="9" s="1"/>
  <c r="R40" i="9" a="1"/>
  <c r="R40" i="9" s="1"/>
  <c r="E52" i="27" s="1" a="1"/>
  <c r="E52" i="27" s="1"/>
  <c r="X40" i="9" a="1"/>
  <c r="X40" i="9" s="1"/>
  <c r="Q41" i="9" a="1"/>
  <c r="Q41" i="9" s="1"/>
  <c r="IN34" i="9"/>
  <c r="IO34" i="9" s="1"/>
  <c r="O954" i="13"/>
  <c r="D980" i="13"/>
  <c r="N1014" i="13"/>
  <c r="E1009" i="13"/>
  <c r="H1014" i="13"/>
  <c r="G1009" i="13"/>
  <c r="F980" i="13"/>
  <c r="E1014" i="13"/>
  <c r="J1014" i="13"/>
  <c r="M1014" i="13"/>
  <c r="F1014" i="13"/>
  <c r="G1014" i="13"/>
  <c r="F975" i="13"/>
  <c r="L448" i="10" a="1"/>
  <c r="L448" i="10" s="1"/>
  <c r="L450" i="10" s="1"/>
  <c r="L1071" i="13" s="1" a="1"/>
  <c r="L1071" i="13" s="1"/>
  <c r="L975" i="13"/>
  <c r="I1014" i="13"/>
  <c r="K450" i="10"/>
  <c r="K1071" i="13" s="1" a="1"/>
  <c r="K1071" i="13" s="1"/>
  <c r="K451" i="10"/>
  <c r="K449" i="10"/>
  <c r="K1070" i="13" s="1" a="1"/>
  <c r="K1070" i="13" s="1"/>
  <c r="J449" i="10"/>
  <c r="J1070" i="13" s="1" a="1"/>
  <c r="J1070" i="13" s="1"/>
  <c r="J450" i="10"/>
  <c r="J1071" i="13" s="1" a="1"/>
  <c r="J1071" i="13" s="1"/>
  <c r="J451" i="10"/>
  <c r="D451" i="10"/>
  <c r="D450" i="10"/>
  <c r="D449" i="10"/>
  <c r="I450" i="10"/>
  <c r="I1071" i="13" s="1" a="1"/>
  <c r="I1071" i="13" s="1"/>
  <c r="I451" i="10"/>
  <c r="I449" i="10"/>
  <c r="I1070" i="13" s="1" a="1"/>
  <c r="I1070" i="13" s="1"/>
  <c r="M450" i="10"/>
  <c r="M1071" i="13" s="1" a="1"/>
  <c r="M1071" i="13" s="1"/>
  <c r="M451" i="10"/>
  <c r="M449" i="10"/>
  <c r="M1070" i="13" s="1" a="1"/>
  <c r="M1070" i="13" s="1"/>
  <c r="E450" i="10"/>
  <c r="E1071" i="13" s="1" a="1"/>
  <c r="E1071" i="13" s="1"/>
  <c r="E451" i="10"/>
  <c r="E449" i="10"/>
  <c r="E1070" i="13" s="1" a="1"/>
  <c r="E1070" i="13" s="1"/>
  <c r="N450" i="10"/>
  <c r="N1071" i="13" s="1" a="1"/>
  <c r="N1071" i="13" s="1"/>
  <c r="N451" i="10"/>
  <c r="N449" i="10"/>
  <c r="N1070" i="13" s="1" a="1"/>
  <c r="N1070" i="13" s="1"/>
  <c r="O451" i="10"/>
  <c r="O449" i="10"/>
  <c r="O1070" i="13" s="1" a="1"/>
  <c r="O1070" i="13" s="1"/>
  <c r="O450" i="10"/>
  <c r="O1071" i="13" s="1" a="1"/>
  <c r="O1071" i="13" s="1"/>
  <c r="G448" i="10" a="1"/>
  <c r="G448" i="10" s="1"/>
  <c r="D1003" i="13" a="1"/>
  <c r="D1003" i="13" s="1"/>
  <c r="P422" i="10"/>
  <c r="F435" i="10"/>
  <c r="F1036" i="13" s="1" a="1"/>
  <c r="F1036" i="13" s="1"/>
  <c r="F436" i="10"/>
  <c r="F1037" i="13" s="1" a="1"/>
  <c r="F1037" i="13" s="1"/>
  <c r="F437" i="10"/>
  <c r="L1014" i="13"/>
  <c r="M975" i="13"/>
  <c r="L1044" i="13" a="1"/>
  <c r="L1044" i="13" s="1"/>
  <c r="L1045" i="13" s="1"/>
  <c r="L1046" i="13" a="1"/>
  <c r="L1046" i="13" s="1"/>
  <c r="L1047" i="13" s="1"/>
  <c r="H1046" i="13" a="1"/>
  <c r="H1046" i="13" s="1"/>
  <c r="H1047" i="13" s="1"/>
  <c r="H1044" i="13" a="1"/>
  <c r="H1044" i="13" s="1"/>
  <c r="H1045" i="13" s="1"/>
  <c r="D1036" i="13" a="1"/>
  <c r="D1036" i="13" s="1"/>
  <c r="N1041" i="13" a="1"/>
  <c r="N1041" i="13" s="1"/>
  <c r="N1042" i="13" s="1"/>
  <c r="N1039" i="13" a="1"/>
  <c r="N1039" i="13" s="1"/>
  <c r="N1040" i="13" s="1"/>
  <c r="O1012" i="13" a="1"/>
  <c r="O1012" i="13" s="1"/>
  <c r="O1013" i="13" s="1"/>
  <c r="O1010" i="13" a="1"/>
  <c r="O1010" i="13" s="1"/>
  <c r="O1011" i="13" s="1"/>
  <c r="D975" i="13"/>
  <c r="F1009" i="13"/>
  <c r="H1039" i="13" a="1"/>
  <c r="H1039" i="13" s="1"/>
  <c r="H1040" i="13" s="1"/>
  <c r="H1041" i="13" a="1"/>
  <c r="H1041" i="13" s="1"/>
  <c r="H1042" i="13" s="1"/>
  <c r="G1046" i="13" a="1"/>
  <c r="G1046" i="13" s="1"/>
  <c r="G1047" i="13" s="1"/>
  <c r="G1044" i="13" a="1"/>
  <c r="G1044" i="13" s="1"/>
  <c r="G1045" i="13" s="1"/>
  <c r="P448" i="10" a="1"/>
  <c r="P448" i="10" s="1"/>
  <c r="F448" i="10" a="1"/>
  <c r="F448" i="10" s="1"/>
  <c r="F922" i="13"/>
  <c r="BI37" i="9" s="1" a="1"/>
  <c r="BI37" i="9" s="1"/>
  <c r="BK37" i="9" s="1"/>
  <c r="BS37" i="9" s="1"/>
  <c r="O1007" i="13" a="1"/>
  <c r="O1007" i="13" s="1"/>
  <c r="O1008" i="13" s="1"/>
  <c r="O1005" i="13" a="1"/>
  <c r="O1005" i="13" s="1"/>
  <c r="O1006" i="13" s="1"/>
  <c r="H1009" i="13"/>
  <c r="M980" i="13"/>
  <c r="K1041" i="13" a="1"/>
  <c r="K1041" i="13" s="1"/>
  <c r="K1042" i="13" s="1"/>
  <c r="K1039" i="13" a="1"/>
  <c r="K1039" i="13" s="1"/>
  <c r="K1040" i="13" s="1"/>
  <c r="E1041" i="13" a="1"/>
  <c r="E1041" i="13" s="1"/>
  <c r="E1042" i="13" s="1"/>
  <c r="E1039" i="13" a="1"/>
  <c r="E1039" i="13" s="1"/>
  <c r="E1040" i="13" s="1"/>
  <c r="D1037" i="13" a="1"/>
  <c r="D1037" i="13" s="1"/>
  <c r="G1041" i="13" a="1"/>
  <c r="G1041" i="13" s="1"/>
  <c r="G1042" i="13" s="1"/>
  <c r="G1039" i="13" a="1"/>
  <c r="G1039" i="13" s="1"/>
  <c r="G1040" i="13" s="1"/>
  <c r="O980" i="13"/>
  <c r="K1044" i="13" a="1"/>
  <c r="K1044" i="13" s="1"/>
  <c r="K1045" i="13" s="1"/>
  <c r="K1046" i="13" a="1"/>
  <c r="K1046" i="13" s="1"/>
  <c r="K1047" i="13" s="1"/>
  <c r="J1009" i="13"/>
  <c r="M1009" i="13"/>
  <c r="N1009" i="13"/>
  <c r="L1009" i="13"/>
  <c r="J1044" i="13" a="1"/>
  <c r="J1044" i="13" s="1"/>
  <c r="J1045" i="13" s="1"/>
  <c r="J1046" i="13" a="1"/>
  <c r="J1046" i="13" s="1"/>
  <c r="J1047" i="13" s="1"/>
  <c r="E1044" i="13" a="1"/>
  <c r="E1044" i="13" s="1"/>
  <c r="E1045" i="13" s="1"/>
  <c r="E1046" i="13" a="1"/>
  <c r="E1046" i="13" s="1"/>
  <c r="E1047" i="13" s="1"/>
  <c r="O1046" i="13" a="1"/>
  <c r="O1046" i="13" s="1"/>
  <c r="O1047" i="13" s="1"/>
  <c r="O1044" i="13" a="1"/>
  <c r="O1044" i="13" s="1"/>
  <c r="O1045" i="13" s="1"/>
  <c r="M1041" i="13" a="1"/>
  <c r="M1041" i="13" s="1"/>
  <c r="M1042" i="13" s="1"/>
  <c r="M1039" i="13" a="1"/>
  <c r="M1039" i="13" s="1"/>
  <c r="M1040" i="13" s="1"/>
  <c r="H448" i="10" a="1"/>
  <c r="H448" i="10" s="1"/>
  <c r="D1002" i="13" a="1"/>
  <c r="D1002" i="13" s="1"/>
  <c r="P421" i="10"/>
  <c r="K1012" i="13" a="1"/>
  <c r="K1012" i="13" s="1"/>
  <c r="K1013" i="13" s="1"/>
  <c r="K1010" i="13" a="1"/>
  <c r="K1010" i="13" s="1"/>
  <c r="K1011" i="13" s="1"/>
  <c r="J1039" i="13" a="1"/>
  <c r="J1039" i="13" s="1"/>
  <c r="J1040" i="13" s="1"/>
  <c r="J1041" i="13" a="1"/>
  <c r="J1041" i="13" s="1"/>
  <c r="J1042" i="13" s="1"/>
  <c r="L1039" i="13" a="1"/>
  <c r="L1039" i="13" s="1"/>
  <c r="L1040" i="13" s="1"/>
  <c r="L1041" i="13" a="1"/>
  <c r="L1041" i="13" s="1"/>
  <c r="L1042" i="13" s="1"/>
  <c r="O1041" i="13" a="1"/>
  <c r="O1041" i="13" s="1"/>
  <c r="O1042" i="13" s="1"/>
  <c r="O1039" i="13" a="1"/>
  <c r="O1039" i="13" s="1"/>
  <c r="O1040" i="13" s="1"/>
  <c r="P423" i="10"/>
  <c r="L980" i="13"/>
  <c r="K1007" i="13" a="1"/>
  <c r="K1007" i="13" s="1"/>
  <c r="K1008" i="13" s="1"/>
  <c r="K1005" i="13" a="1"/>
  <c r="K1005" i="13" s="1"/>
  <c r="K1006" i="13" s="1"/>
  <c r="I435" i="10"/>
  <c r="I1036" i="13" s="1" a="1"/>
  <c r="I1036" i="13" s="1"/>
  <c r="I436" i="10"/>
  <c r="I1037" i="13" s="1" a="1"/>
  <c r="I1037" i="13" s="1"/>
  <c r="I437" i="10"/>
  <c r="P437" i="10" s="1"/>
  <c r="O975" i="13"/>
  <c r="N1046" i="13" a="1"/>
  <c r="N1046" i="13" s="1"/>
  <c r="N1047" i="13" s="1"/>
  <c r="N1044" i="13" a="1"/>
  <c r="N1044" i="13" s="1"/>
  <c r="N1045" i="13" s="1"/>
  <c r="M1046" i="13" a="1"/>
  <c r="M1046" i="13" s="1"/>
  <c r="M1047" i="13" s="1"/>
  <c r="M1044" i="13" a="1"/>
  <c r="M1044" i="13" s="1"/>
  <c r="M1045" i="13" s="1"/>
  <c r="E952" i="13"/>
  <c r="O986" i="13"/>
  <c r="L954" i="13"/>
  <c r="J954" i="13"/>
  <c r="I952" i="13"/>
  <c r="F985" i="13"/>
  <c r="G988" i="13"/>
  <c r="J986" i="13"/>
  <c r="K986" i="13"/>
  <c r="I986" i="13"/>
  <c r="D1004" i="13" a="1"/>
  <c r="D1004" i="13" s="1"/>
  <c r="H952" i="13"/>
  <c r="GN37" i="9"/>
  <c r="GV37" i="9" s="1"/>
  <c r="FV36" i="9" a="1"/>
  <c r="FV36" i="9" s="1"/>
  <c r="GD36" i="9" s="1"/>
  <c r="N49" i="24" s="1" a="1"/>
  <c r="N49" i="24" s="1"/>
  <c r="IJ34" i="9"/>
  <c r="IK34" i="9" s="1"/>
  <c r="IL35" i="9"/>
  <c r="IM35" i="9" s="1"/>
  <c r="FC36" i="9" a="1"/>
  <c r="FC36" i="9" s="1"/>
  <c r="FK36" i="9" s="1"/>
  <c r="M49" i="24" s="1" a="1"/>
  <c r="M49" i="24" s="1"/>
  <c r="AS36" i="9" a="1"/>
  <c r="AS36" i="9" s="1"/>
  <c r="BA36" i="9" s="1"/>
  <c r="G49" i="24" s="1" a="1"/>
  <c r="G49" i="24" s="1"/>
  <c r="IA35" i="9" a="1"/>
  <c r="IA35" i="9" s="1"/>
  <c r="II35" i="9" s="1"/>
  <c r="Q48" i="24" s="1" a="1"/>
  <c r="Q48" i="24" s="1"/>
  <c r="Z35" i="9" a="1"/>
  <c r="Z35" i="9" s="1"/>
  <c r="AH35" i="9" s="1"/>
  <c r="F48" i="24" s="1" a="1"/>
  <c r="F48" i="24" s="1"/>
  <c r="U36" i="9"/>
  <c r="HH36" i="9" a="1"/>
  <c r="HH36" i="9" s="1"/>
  <c r="HP36" i="9" s="1"/>
  <c r="P49" i="24" s="1" a="1"/>
  <c r="P49" i="24" s="1"/>
  <c r="CE36" i="9" a="1"/>
  <c r="CE36" i="9" s="1"/>
  <c r="CM36" i="9" s="1"/>
  <c r="I49" i="24" s="1" a="1"/>
  <c r="I49" i="24" s="1"/>
  <c r="GO36" i="9" a="1"/>
  <c r="GO36" i="9" s="1"/>
  <c r="GW36" i="9" s="1"/>
  <c r="O49" i="24" s="1" a="1"/>
  <c r="O49" i="24" s="1"/>
  <c r="EJ36" i="9" a="1"/>
  <c r="EJ36" i="9" s="1"/>
  <c r="ER36" i="9" s="1"/>
  <c r="L49" i="24" s="1" a="1"/>
  <c r="L49" i="24" s="1"/>
  <c r="DQ36" i="9" a="1"/>
  <c r="DQ36" i="9" s="1"/>
  <c r="DY36" i="9" s="1"/>
  <c r="K49" i="24" s="1" a="1"/>
  <c r="K49" i="24" s="1"/>
  <c r="V37" i="9"/>
  <c r="HG37" i="9"/>
  <c r="HO37" i="9" s="1"/>
  <c r="AR37" i="9"/>
  <c r="AZ37" i="9" s="1"/>
  <c r="CW37" i="9"/>
  <c r="DE37" i="9" s="1"/>
  <c r="DP37" i="9"/>
  <c r="DX37" i="9" s="1"/>
  <c r="HZ37" i="9"/>
  <c r="IH37" i="9" s="1"/>
  <c r="CW36" i="9"/>
  <c r="DE36" i="9" s="1"/>
  <c r="BS36" i="9"/>
  <c r="BL36" i="9" a="1"/>
  <c r="BL36" i="9" s="1"/>
  <c r="FU37" i="9"/>
  <c r="GC37" i="9" s="1"/>
  <c r="I52" i="27" a="1"/>
  <c r="I52" i="27" s="1"/>
  <c r="M52" i="27" a="1"/>
  <c r="M52" i="27" s="1"/>
  <c r="N52" i="27" a="1"/>
  <c r="N52" i="27" s="1"/>
  <c r="L52" i="27" a="1"/>
  <c r="L52" i="27" s="1"/>
  <c r="O52" i="27" a="1"/>
  <c r="O52" i="27" s="1"/>
  <c r="H52" i="27" a="1"/>
  <c r="H52" i="27" s="1"/>
  <c r="F52" i="27" a="1"/>
  <c r="F52" i="27" s="1"/>
  <c r="P461" i="10"/>
  <c r="K52" i="27" a="1"/>
  <c r="K52" i="27" s="1"/>
  <c r="G52" i="27" a="1"/>
  <c r="G52" i="27" s="1"/>
  <c r="I438" i="10"/>
  <c r="E446" i="10"/>
  <c r="AJ42" i="9" s="1" a="1"/>
  <c r="AJ42" i="9" s="1"/>
  <c r="O452" i="10"/>
  <c r="K452" i="10"/>
  <c r="J452" i="10"/>
  <c r="N452" i="10"/>
  <c r="D452" i="10"/>
  <c r="X42" i="9" s="1" a="1"/>
  <c r="X42" i="9" s="1"/>
  <c r="I452" i="10"/>
  <c r="E452" i="10"/>
  <c r="M452" i="10"/>
  <c r="K446" i="10"/>
  <c r="ET42" i="9" s="1" a="1"/>
  <c r="ET42" i="9" s="1"/>
  <c r="K438" i="10"/>
  <c r="F446" i="10"/>
  <c r="BC42" i="9" s="1" a="1"/>
  <c r="BC42" i="9" s="1"/>
  <c r="N458" i="10"/>
  <c r="H461" i="10"/>
  <c r="H458" i="10"/>
  <c r="L446" i="10"/>
  <c r="FM42" i="9" s="1" a="1"/>
  <c r="FM42" i="9" s="1"/>
  <c r="N461" i="10"/>
  <c r="F459" i="10"/>
  <c r="F462" i="10" s="1" a="1"/>
  <c r="F462" i="10" s="1"/>
  <c r="I459" i="10"/>
  <c r="M459" i="10"/>
  <c r="P459" i="10"/>
  <c r="P460" i="10" s="1"/>
  <c r="L459" i="10"/>
  <c r="D459" i="10"/>
  <c r="D462" i="10" s="1" a="1"/>
  <c r="D462" i="10" s="1"/>
  <c r="O459" i="10"/>
  <c r="K459" i="10"/>
  <c r="K462" i="10" s="1" a="1"/>
  <c r="K462" i="10" s="1"/>
  <c r="N459" i="10"/>
  <c r="B460" i="10"/>
  <c r="B461" i="10" s="1"/>
  <c r="B462" i="10" s="1"/>
  <c r="B463" i="10" s="1"/>
  <c r="B464" i="10" s="1"/>
  <c r="B465" i="10" s="1"/>
  <c r="B466" i="10" s="1"/>
  <c r="G459" i="10"/>
  <c r="E459" i="10"/>
  <c r="E462" i="10" s="1" a="1"/>
  <c r="E462" i="10" s="1"/>
  <c r="J459" i="10"/>
  <c r="H459" i="10"/>
  <c r="L461" i="10"/>
  <c r="L458" i="10"/>
  <c r="L438" i="10"/>
  <c r="P424" i="10"/>
  <c r="F458" i="10"/>
  <c r="M458" i="10"/>
  <c r="G446" i="10"/>
  <c r="BV42" i="9" s="1" a="1"/>
  <c r="BV42" i="9" s="1"/>
  <c r="O468" i="10"/>
  <c r="O475" i="10" s="1"/>
  <c r="M468" i="10"/>
  <c r="M475" i="10" s="1"/>
  <c r="E468" i="10"/>
  <c r="E475" i="10" s="1"/>
  <c r="L468" i="10"/>
  <c r="L475" i="10" s="1"/>
  <c r="D468" i="10"/>
  <c r="D475" i="10" s="1"/>
  <c r="N468" i="10"/>
  <c r="N475" i="10" s="1"/>
  <c r="B469" i="10"/>
  <c r="B470" i="10" s="1"/>
  <c r="B471" i="10" s="1"/>
  <c r="K468" i="10"/>
  <c r="G468" i="10"/>
  <c r="J468" i="10"/>
  <c r="J475" i="10" s="1"/>
  <c r="P468" i="10"/>
  <c r="P472" i="10" s="1"/>
  <c r="H468" i="10"/>
  <c r="H475" i="10" s="1"/>
  <c r="F468" i="10"/>
  <c r="F475" i="10" s="1"/>
  <c r="I468" i="10"/>
  <c r="B472" i="10"/>
  <c r="B473" i="10" s="1"/>
  <c r="J461" i="10"/>
  <c r="J458" i="10"/>
  <c r="I458" i="10"/>
  <c r="I461" i="10"/>
  <c r="A495" i="10" a="1"/>
  <c r="A495" i="10" s="1"/>
  <c r="B495" i="10" a="1"/>
  <c r="B495" i="10" s="1"/>
  <c r="N446" i="10"/>
  <c r="GY42" i="9" s="1" a="1"/>
  <c r="GY42" i="9" s="1"/>
  <c r="H446" i="10"/>
  <c r="CO42" i="9" s="1" a="1"/>
  <c r="CO42" i="9" s="1"/>
  <c r="O446" i="10"/>
  <c r="HR42" i="9" s="1" a="1"/>
  <c r="HR42" i="9" s="1"/>
  <c r="G461" i="10"/>
  <c r="G458" i="10"/>
  <c r="E458" i="10"/>
  <c r="I446" i="10"/>
  <c r="DH42" i="9" s="1" a="1"/>
  <c r="DH42" i="9" s="1"/>
  <c r="L481" i="10"/>
  <c r="N481" i="10"/>
  <c r="E481" i="10"/>
  <c r="D481" i="10"/>
  <c r="B482" i="10"/>
  <c r="J481" i="10"/>
  <c r="M481" i="10"/>
  <c r="I481" i="10"/>
  <c r="P481" i="10"/>
  <c r="H481" i="10"/>
  <c r="G481" i="10"/>
  <c r="F481" i="10"/>
  <c r="O481" i="10"/>
  <c r="K481" i="10"/>
  <c r="F438" i="10"/>
  <c r="K458" i="10"/>
  <c r="J446" i="10"/>
  <c r="EA42" i="9" s="1" a="1"/>
  <c r="EA42" i="9" s="1"/>
  <c r="M461" i="10"/>
  <c r="D438" i="10"/>
  <c r="X41" i="9" s="1" a="1"/>
  <c r="X41" i="9" s="1"/>
  <c r="D446" i="10"/>
  <c r="Q42" i="9" s="1" a="1"/>
  <c r="Q42" i="9" s="1"/>
  <c r="O461" i="10"/>
  <c r="O458" i="10"/>
  <c r="M446" i="10"/>
  <c r="GF42" i="9" s="1" a="1"/>
  <c r="GF42" i="9" s="1"/>
  <c r="D458" i="10"/>
  <c r="R509" i="10"/>
  <c r="G990" i="13" l="1"/>
  <c r="CB39" i="9" s="1" a="1"/>
  <c r="CB39" i="9" s="1"/>
  <c r="K990" i="13"/>
  <c r="EZ39" i="9" s="1" a="1"/>
  <c r="EZ39" i="9" s="1"/>
  <c r="L956" i="13"/>
  <c r="FS38" i="9" s="1" a="1"/>
  <c r="FS38" i="9" s="1"/>
  <c r="FU38" i="9" s="1"/>
  <c r="GC38" i="9" s="1"/>
  <c r="BZ39" i="9"/>
  <c r="E956" i="13"/>
  <c r="AP38" i="9" s="1" a="1"/>
  <c r="AP38" i="9" s="1"/>
  <c r="AR38" i="9" s="1"/>
  <c r="AZ38" i="9" s="1"/>
  <c r="J956" i="13"/>
  <c r="EG38" i="9" s="1" a="1"/>
  <c r="EG38" i="9" s="1"/>
  <c r="J990" i="13"/>
  <c r="EG39" i="9" s="1" a="1"/>
  <c r="EG39" i="9" s="1"/>
  <c r="EE39" i="9"/>
  <c r="I990" i="13"/>
  <c r="DN39" i="9" s="1" a="1"/>
  <c r="DN39" i="9" s="1"/>
  <c r="O990" i="13"/>
  <c r="HX39" i="9" s="1" a="1"/>
  <c r="HX39" i="9" s="1"/>
  <c r="L1022" i="13"/>
  <c r="FP40" i="9" a="1"/>
  <c r="FP40" i="9" s="1"/>
  <c r="G1020" i="13"/>
  <c r="BY40" i="9" a="1"/>
  <c r="BY40" i="9" s="1"/>
  <c r="N1020" i="13"/>
  <c r="HB40" i="9" a="1"/>
  <c r="HB40" i="9" s="1"/>
  <c r="J1020" i="13"/>
  <c r="ED40" i="9" a="1"/>
  <c r="ED40" i="9" s="1"/>
  <c r="F1020" i="13"/>
  <c r="BF40" i="9" a="1"/>
  <c r="BF40" i="9" s="1"/>
  <c r="E1020" i="13"/>
  <c r="AM40" i="9" a="1"/>
  <c r="AM40" i="9" s="1"/>
  <c r="M1020" i="13"/>
  <c r="GI40" i="9" a="1"/>
  <c r="GI40" i="9" s="1"/>
  <c r="H1020" i="13"/>
  <c r="CR40" i="9" a="1"/>
  <c r="CR40" i="9" s="1"/>
  <c r="DL38" i="9"/>
  <c r="K1020" i="13"/>
  <c r="EW40" i="9" a="1"/>
  <c r="EW40" i="9" s="1"/>
  <c r="DL39" i="9"/>
  <c r="EX39" i="9"/>
  <c r="K51" i="25" a="1"/>
  <c r="K51" i="25" s="1"/>
  <c r="EF39" i="9"/>
  <c r="M988" i="13"/>
  <c r="GI39" i="9" a="1"/>
  <c r="GI39" i="9" s="1"/>
  <c r="H986" i="13"/>
  <c r="CR39" i="9" a="1"/>
  <c r="CR39" i="9" s="1"/>
  <c r="L51" i="25" a="1"/>
  <c r="L51" i="25" s="1"/>
  <c r="EY39" i="9"/>
  <c r="F986" i="13"/>
  <c r="BF39" i="9" a="1"/>
  <c r="BF39" i="9" s="1"/>
  <c r="FC37" i="9" a="1"/>
  <c r="FC37" i="9" s="1"/>
  <c r="H51" i="25" a="1"/>
  <c r="H51" i="25" s="1"/>
  <c r="CA39" i="9"/>
  <c r="D988" i="13"/>
  <c r="T39" i="9" a="1"/>
  <c r="T39" i="9" s="1"/>
  <c r="E51" i="25" s="1" a="1"/>
  <c r="E51" i="25" s="1"/>
  <c r="L986" i="13"/>
  <c r="FP39" i="9" a="1"/>
  <c r="FP39" i="9" s="1"/>
  <c r="E986" i="13"/>
  <c r="AM39" i="9" a="1"/>
  <c r="AM39" i="9" s="1"/>
  <c r="J51" i="25" a="1"/>
  <c r="J51" i="25" s="1"/>
  <c r="DM39" i="9"/>
  <c r="P51" i="25" a="1"/>
  <c r="P51" i="25" s="1"/>
  <c r="HW39" i="9"/>
  <c r="N988" i="13"/>
  <c r="HB39" i="9" a="1"/>
  <c r="HB39" i="9" s="1"/>
  <c r="HC39" i="9" s="1"/>
  <c r="Q49" i="25"/>
  <c r="M50" i="25" a="1"/>
  <c r="M50" i="25" s="1"/>
  <c r="FR38" i="9"/>
  <c r="F50" i="25" a="1"/>
  <c r="F50" i="25" s="1"/>
  <c r="AO38" i="9"/>
  <c r="H956" i="13"/>
  <c r="CU38" i="9" s="1" a="1"/>
  <c r="CU38" i="9" s="1"/>
  <c r="O956" i="13"/>
  <c r="HX38" i="9" s="1" a="1"/>
  <c r="HX38" i="9" s="1"/>
  <c r="HV38" i="9"/>
  <c r="K50" i="25" a="1"/>
  <c r="K50" i="25" s="1"/>
  <c r="EF38" i="9"/>
  <c r="I956" i="13"/>
  <c r="DN38" i="9" s="1" a="1"/>
  <c r="DN38" i="9" s="1"/>
  <c r="DP38" i="9" s="1"/>
  <c r="DX38" i="9" s="1"/>
  <c r="P50" i="25" a="1"/>
  <c r="P50" i="25" s="1"/>
  <c r="HW38" i="9"/>
  <c r="I50" i="25" a="1"/>
  <c r="I50" i="25" s="1"/>
  <c r="CT38" i="9"/>
  <c r="CS38" i="9"/>
  <c r="J50" i="25" a="1"/>
  <c r="J50" i="25" s="1"/>
  <c r="DM38" i="9"/>
  <c r="O1051" i="13" a="1"/>
  <c r="O1051" i="13" s="1"/>
  <c r="O1052" i="13" s="1"/>
  <c r="O1053" i="13" s="1"/>
  <c r="N1049" i="13" a="1"/>
  <c r="N1049" i="13" s="1"/>
  <c r="N1050" i="13" s="1"/>
  <c r="N1053" i="13" s="1"/>
  <c r="I1017" i="13" a="1"/>
  <c r="I1017" i="13" s="1"/>
  <c r="I1018" i="13" s="1"/>
  <c r="I1019" i="13" s="1"/>
  <c r="O1015" i="13" a="1"/>
  <c r="O1015" i="13" s="1"/>
  <c r="O1016" i="13" s="1"/>
  <c r="O1019" i="13" s="1"/>
  <c r="M1051" i="13" a="1"/>
  <c r="M1051" i="13" s="1"/>
  <c r="M1052" i="13" s="1"/>
  <c r="M1053" i="13" s="1"/>
  <c r="FO39" i="9" a="1"/>
  <c r="FO39" i="9" s="1"/>
  <c r="FQ39" i="9" s="1"/>
  <c r="H1049" i="13" a="1"/>
  <c r="H1049" i="13" s="1"/>
  <c r="H1050" i="13" s="1"/>
  <c r="H1053" i="13" s="1"/>
  <c r="HT39" i="9" a="1"/>
  <c r="HT39" i="9" s="1"/>
  <c r="HV39" i="9" s="1"/>
  <c r="GH39" i="9" a="1"/>
  <c r="GH39" i="9" s="1"/>
  <c r="O1072" i="13" a="1"/>
  <c r="O1072" i="13" s="1"/>
  <c r="O1085" i="13" s="1" a="1"/>
  <c r="O1085" i="13" s="1"/>
  <c r="O1086" i="13" s="1"/>
  <c r="HS42" i="9" a="1"/>
  <c r="HS42" i="9" s="1"/>
  <c r="P54" i="27" s="1" a="1"/>
  <c r="P54" i="27" s="1"/>
  <c r="HY42" i="9" a="1"/>
  <c r="HY42" i="9" s="1"/>
  <c r="N1072" i="13" a="1"/>
  <c r="N1072" i="13" s="1"/>
  <c r="N1085" i="13" s="1" a="1"/>
  <c r="N1085" i="13" s="1"/>
  <c r="N1086" i="13" s="1"/>
  <c r="HF42" i="9" a="1"/>
  <c r="HF42" i="9" s="1"/>
  <c r="GZ42" i="9" a="1"/>
  <c r="GZ42" i="9" s="1"/>
  <c r="O54" i="27" s="1" a="1"/>
  <c r="O54" i="27" s="1"/>
  <c r="HA40" i="9" a="1"/>
  <c r="HA40" i="9" s="1"/>
  <c r="E1051" i="13" a="1"/>
  <c r="E1051" i="13" s="1"/>
  <c r="E1052" i="13" s="1"/>
  <c r="E1053" i="13" s="1"/>
  <c r="M1072" i="13" a="1"/>
  <c r="M1072" i="13" s="1"/>
  <c r="M1083" i="13" s="1" a="1"/>
  <c r="M1083" i="13" s="1"/>
  <c r="M1084" i="13" s="1"/>
  <c r="GG42" i="9" a="1"/>
  <c r="GG42" i="9" s="1"/>
  <c r="N54" i="27" s="1" a="1"/>
  <c r="N54" i="27" s="1"/>
  <c r="GM42" i="9" a="1"/>
  <c r="GM42" i="9" s="1"/>
  <c r="J1051" i="13" a="1"/>
  <c r="J1051" i="13" s="1"/>
  <c r="J1052" i="13" s="1"/>
  <c r="J1053" i="13" s="1"/>
  <c r="GH40" i="9" a="1"/>
  <c r="GH40" i="9" s="1"/>
  <c r="DJ40" i="9" a="1"/>
  <c r="DJ40" i="9" s="1"/>
  <c r="G1049" i="13" a="1"/>
  <c r="G1049" i="13" s="1"/>
  <c r="G1050" i="13" s="1"/>
  <c r="G1053" i="13" s="1"/>
  <c r="FO40" i="9" a="1"/>
  <c r="FO40" i="9" s="1"/>
  <c r="L1038" i="13" a="1"/>
  <c r="L1038" i="13" s="1"/>
  <c r="L1051" i="13" s="1" a="1"/>
  <c r="L1051" i="13" s="1"/>
  <c r="L1052" i="13" s="1"/>
  <c r="FT41" i="9" a="1"/>
  <c r="FT41" i="9" s="1"/>
  <c r="FN41" i="9" a="1"/>
  <c r="FN41" i="9" s="1"/>
  <c r="M53" i="27" s="1" a="1"/>
  <c r="M53" i="27" s="1"/>
  <c r="K1038" i="13" a="1"/>
  <c r="K1038" i="13" s="1"/>
  <c r="K1049" i="13" s="1" a="1"/>
  <c r="K1049" i="13" s="1"/>
  <c r="K1050" i="13" s="1"/>
  <c r="EU41" i="9" a="1"/>
  <c r="EU41" i="9" s="1"/>
  <c r="L53" i="27" s="1" a="1"/>
  <c r="L53" i="27" s="1"/>
  <c r="FA41" i="9" a="1"/>
  <c r="FA41" i="9" s="1"/>
  <c r="K1072" i="13" a="1"/>
  <c r="K1072" i="13" s="1"/>
  <c r="K1085" i="13" s="1" a="1"/>
  <c r="K1085" i="13" s="1"/>
  <c r="K1086" i="13" s="1"/>
  <c r="EU42" i="9" a="1"/>
  <c r="EU42" i="9" s="1"/>
  <c r="L54" i="27" s="1" a="1"/>
  <c r="L54" i="27" s="1"/>
  <c r="FA42" i="9" a="1"/>
  <c r="FA42" i="9" s="1"/>
  <c r="EC40" i="9" a="1"/>
  <c r="EC40" i="9" s="1"/>
  <c r="J1072" i="13" a="1"/>
  <c r="J1072" i="13" s="1"/>
  <c r="J1085" i="13" s="1" a="1"/>
  <c r="J1085" i="13" s="1"/>
  <c r="J1086" i="13" s="1"/>
  <c r="EB42" i="9" a="1"/>
  <c r="EB42" i="9" s="1"/>
  <c r="K54" i="27" s="1" a="1"/>
  <c r="K54" i="27" s="1"/>
  <c r="EH42" i="9" a="1"/>
  <c r="EH42" i="9" s="1"/>
  <c r="I1038" i="13" a="1"/>
  <c r="I1038" i="13" s="1"/>
  <c r="I1049" i="13" s="1" a="1"/>
  <c r="I1049" i="13" s="1"/>
  <c r="I1050" i="13" s="1"/>
  <c r="DI41" i="9" a="1"/>
  <c r="DI41" i="9" s="1"/>
  <c r="J53" i="27" s="1" a="1"/>
  <c r="J53" i="27" s="1"/>
  <c r="DO41" i="9" a="1"/>
  <c r="DO41" i="9" s="1"/>
  <c r="I1072" i="13" a="1"/>
  <c r="I1072" i="13" s="1"/>
  <c r="I1083" i="13" s="1" a="1"/>
  <c r="I1083" i="13" s="1"/>
  <c r="I1084" i="13" s="1"/>
  <c r="DO42" i="9" a="1"/>
  <c r="DO42" i="9" s="1"/>
  <c r="DI42" i="9" a="1"/>
  <c r="DI42" i="9" s="1"/>
  <c r="J54" i="27" s="1" a="1"/>
  <c r="J54" i="27" s="1"/>
  <c r="BX40" i="9" a="1"/>
  <c r="BX40" i="9" s="1"/>
  <c r="CQ40" i="9" a="1"/>
  <c r="CQ40" i="9" s="1"/>
  <c r="BE40" i="9" a="1"/>
  <c r="BE40" i="9" s="1"/>
  <c r="F1038" i="13" a="1"/>
  <c r="F1038" i="13" s="1"/>
  <c r="F1049" i="13" s="1" a="1"/>
  <c r="F1049" i="13" s="1"/>
  <c r="F1050" i="13" s="1"/>
  <c r="BD41" i="9" a="1"/>
  <c r="BD41" i="9" s="1"/>
  <c r="G53" i="27" s="1" a="1"/>
  <c r="G53" i="27" s="1"/>
  <c r="BJ41" i="9" a="1"/>
  <c r="BJ41" i="9" s="1"/>
  <c r="AL40" i="9" a="1"/>
  <c r="AL40" i="9" s="1"/>
  <c r="BE39" i="9" a="1"/>
  <c r="BE39" i="9" s="1"/>
  <c r="E1072" i="13" a="1"/>
  <c r="E1072" i="13" s="1"/>
  <c r="E1083" i="13" s="1" a="1"/>
  <c r="E1083" i="13" s="1"/>
  <c r="E1084" i="13" s="1"/>
  <c r="AK42" i="9" a="1"/>
  <c r="AK42" i="9" s="1"/>
  <c r="F54" i="27" s="1" a="1"/>
  <c r="F54" i="27" s="1"/>
  <c r="AQ42" i="9" a="1"/>
  <c r="AQ42" i="9" s="1"/>
  <c r="D1072" i="13" a="1"/>
  <c r="D1072" i="13" s="1"/>
  <c r="D1083" i="13" s="1" a="1"/>
  <c r="D1083" i="13" s="1"/>
  <c r="D1084" i="13" s="1"/>
  <c r="R42" i="9" a="1"/>
  <c r="R42" i="9" s="1"/>
  <c r="E54" i="27" s="1" a="1"/>
  <c r="E54" i="27" s="1"/>
  <c r="D1038" i="13" a="1"/>
  <c r="D1038" i="13" s="1"/>
  <c r="D1051" i="13" s="1" a="1"/>
  <c r="D1051" i="13" s="1"/>
  <c r="D1052" i="13" s="1"/>
  <c r="R41" i="9" a="1"/>
  <c r="R41" i="9" s="1"/>
  <c r="E53" i="27" s="1" a="1"/>
  <c r="E53" i="27" s="1"/>
  <c r="N1022" i="13"/>
  <c r="M462" i="10" a="1"/>
  <c r="M462" i="10" s="1"/>
  <c r="M464" i="10" s="1"/>
  <c r="M1105" i="13" s="1" a="1"/>
  <c r="M1105" i="13" s="1"/>
  <c r="O462" i="10" a="1"/>
  <c r="O462" i="10" s="1"/>
  <c r="O464" i="10" s="1"/>
  <c r="O1105" i="13" s="1" a="1"/>
  <c r="O1105" i="13" s="1"/>
  <c r="G462" i="10" a="1"/>
  <c r="G462" i="10" s="1"/>
  <c r="G463" i="10" s="1"/>
  <c r="G1104" i="13" s="1" a="1"/>
  <c r="G1104" i="13" s="1"/>
  <c r="H1043" i="13"/>
  <c r="L451" i="10"/>
  <c r="E1043" i="13"/>
  <c r="L1048" i="13"/>
  <c r="H1048" i="13"/>
  <c r="N1048" i="13"/>
  <c r="K1022" i="13"/>
  <c r="F1022" i="13"/>
  <c r="H462" i="10" a="1"/>
  <c r="H462" i="10" s="1"/>
  <c r="H464" i="10" s="1"/>
  <c r="H1105" i="13" s="1" a="1"/>
  <c r="H1105" i="13" s="1"/>
  <c r="J462" i="10" a="1"/>
  <c r="J462" i="10" s="1"/>
  <c r="J464" i="10" s="1"/>
  <c r="J1105" i="13" s="1" a="1"/>
  <c r="J1105" i="13" s="1"/>
  <c r="H1022" i="13"/>
  <c r="J1048" i="13"/>
  <c r="L449" i="10"/>
  <c r="L1070" i="13" s="1" a="1"/>
  <c r="L1070" i="13" s="1"/>
  <c r="L1073" i="13" s="1" a="1"/>
  <c r="L1073" i="13" s="1"/>
  <c r="L1074" i="13" s="1"/>
  <c r="M1048" i="13"/>
  <c r="G1043" i="13"/>
  <c r="F465" i="10"/>
  <c r="F463" i="10"/>
  <c r="F1104" i="13" s="1" a="1"/>
  <c r="F1104" i="13" s="1"/>
  <c r="F464" i="10"/>
  <c r="F1105" i="13" s="1" a="1"/>
  <c r="F1105" i="13" s="1"/>
  <c r="K464" i="10"/>
  <c r="K1105" i="13" s="1" a="1"/>
  <c r="K1105" i="13" s="1"/>
  <c r="K465" i="10"/>
  <c r="K463" i="10"/>
  <c r="K1104" i="13" s="1" a="1"/>
  <c r="K1104" i="13" s="1"/>
  <c r="D464" i="10"/>
  <c r="D463" i="10"/>
  <c r="D465" i="10"/>
  <c r="E464" i="10"/>
  <c r="E1105" i="13" s="1" a="1"/>
  <c r="E1105" i="13" s="1"/>
  <c r="E465" i="10"/>
  <c r="E463" i="10"/>
  <c r="E1104" i="13" s="1" a="1"/>
  <c r="E1104" i="13" s="1"/>
  <c r="H988" i="13"/>
  <c r="O1043" i="13"/>
  <c r="D1007" i="13" a="1"/>
  <c r="D1007" i="13" s="1"/>
  <c r="D1008" i="13" s="1"/>
  <c r="D1005" i="13" a="1"/>
  <c r="D1005" i="13" s="1"/>
  <c r="D1006" i="13" s="1"/>
  <c r="E1048" i="13"/>
  <c r="K1048" i="13"/>
  <c r="P436" i="10"/>
  <c r="N1043" i="13"/>
  <c r="O1080" i="13" a="1"/>
  <c r="O1080" i="13" s="1"/>
  <c r="O1081" i="13" s="1"/>
  <c r="O1078" i="13" a="1"/>
  <c r="O1078" i="13" s="1"/>
  <c r="O1079" i="13" s="1"/>
  <c r="E1080" i="13" a="1"/>
  <c r="E1080" i="13" s="1"/>
  <c r="E1081" i="13" s="1"/>
  <c r="E1078" i="13" a="1"/>
  <c r="E1078" i="13" s="1"/>
  <c r="E1079" i="13" s="1"/>
  <c r="D1071" i="13" a="1"/>
  <c r="D1071" i="13" s="1"/>
  <c r="I462" i="10" a="1"/>
  <c r="I462" i="10" s="1"/>
  <c r="N462" i="10" a="1"/>
  <c r="N462" i="10" s="1"/>
  <c r="P462" i="10" a="1"/>
  <c r="P462" i="10" s="1"/>
  <c r="I1046" i="13" a="1"/>
  <c r="I1046" i="13" s="1"/>
  <c r="I1047" i="13" s="1"/>
  <c r="I1044" i="13" a="1"/>
  <c r="I1044" i="13" s="1"/>
  <c r="I1045" i="13" s="1"/>
  <c r="L1043" i="13"/>
  <c r="D1046" i="13" a="1"/>
  <c r="D1046" i="13" s="1"/>
  <c r="D1047" i="13" s="1"/>
  <c r="D1044" i="13" a="1"/>
  <c r="D1044" i="13" s="1"/>
  <c r="D1045" i="13" s="1"/>
  <c r="O1009" i="13"/>
  <c r="P435" i="10"/>
  <c r="O1073" i="13" a="1"/>
  <c r="O1073" i="13" s="1"/>
  <c r="O1074" i="13" s="1"/>
  <c r="O1075" i="13" a="1"/>
  <c r="O1075" i="13" s="1"/>
  <c r="O1076" i="13" s="1"/>
  <c r="M1073" i="13" a="1"/>
  <c r="M1073" i="13" s="1"/>
  <c r="M1074" i="13" s="1"/>
  <c r="M1075" i="13" a="1"/>
  <c r="M1075" i="13" s="1"/>
  <c r="M1076" i="13" s="1"/>
  <c r="L462" i="10" a="1"/>
  <c r="L462" i="10" s="1"/>
  <c r="I1039" i="13" a="1"/>
  <c r="I1039" i="13" s="1"/>
  <c r="I1040" i="13" s="1"/>
  <c r="I1041" i="13" a="1"/>
  <c r="I1041" i="13" s="1"/>
  <c r="I1042" i="13" s="1"/>
  <c r="H451" i="10"/>
  <c r="H449" i="10"/>
  <c r="H1070" i="13" s="1" a="1"/>
  <c r="H1070" i="13" s="1"/>
  <c r="H450" i="10"/>
  <c r="H1071" i="13" s="1" a="1"/>
  <c r="H1071" i="13" s="1"/>
  <c r="D1041" i="13" a="1"/>
  <c r="D1041" i="13" s="1"/>
  <c r="D1042" i="13" s="1"/>
  <c r="D1039" i="13" a="1"/>
  <c r="D1039" i="13" s="1"/>
  <c r="D1040" i="13" s="1"/>
  <c r="O465" i="10"/>
  <c r="J1043" i="13"/>
  <c r="F1044" i="13" a="1"/>
  <c r="F1044" i="13" s="1"/>
  <c r="F1045" i="13" s="1"/>
  <c r="F1046" i="13" a="1"/>
  <c r="F1046" i="13" s="1"/>
  <c r="F1047" i="13" s="1"/>
  <c r="N1073" i="13" a="1"/>
  <c r="N1073" i="13" s="1"/>
  <c r="N1074" i="13" s="1"/>
  <c r="N1075" i="13" a="1"/>
  <c r="N1075" i="13" s="1"/>
  <c r="N1076" i="13" s="1"/>
  <c r="M1078" i="13" a="1"/>
  <c r="M1078" i="13" s="1"/>
  <c r="M1079" i="13" s="1"/>
  <c r="M1080" i="13" a="1"/>
  <c r="M1080" i="13" s="1"/>
  <c r="M1081" i="13" s="1"/>
  <c r="J1080" i="13" a="1"/>
  <c r="J1080" i="13" s="1"/>
  <c r="J1081" i="13" s="1"/>
  <c r="J1078" i="13" a="1"/>
  <c r="J1078" i="13" s="1"/>
  <c r="J1079" i="13" s="1"/>
  <c r="K1009" i="13"/>
  <c r="M1043" i="13"/>
  <c r="F451" i="10"/>
  <c r="F449" i="10"/>
  <c r="F1070" i="13" s="1" a="1"/>
  <c r="F1070" i="13" s="1"/>
  <c r="F450" i="10"/>
  <c r="F1071" i="13" s="1" a="1"/>
  <c r="F1071" i="13" s="1"/>
  <c r="F1039" i="13" a="1"/>
  <c r="F1039" i="13" s="1"/>
  <c r="F1040" i="13" s="1"/>
  <c r="F1041" i="13" a="1"/>
  <c r="F1041" i="13" s="1"/>
  <c r="F1042" i="13" s="1"/>
  <c r="I1075" i="13" a="1"/>
  <c r="I1075" i="13" s="1"/>
  <c r="I1076" i="13" s="1"/>
  <c r="I1073" i="13" a="1"/>
  <c r="I1073" i="13" s="1"/>
  <c r="I1074" i="13" s="1"/>
  <c r="J1073" i="13" a="1"/>
  <c r="J1073" i="13" s="1"/>
  <c r="J1074" i="13" s="1"/>
  <c r="J1075" i="13" a="1"/>
  <c r="J1075" i="13" s="1"/>
  <c r="J1076" i="13" s="1"/>
  <c r="K1014" i="13"/>
  <c r="O1048" i="13"/>
  <c r="L1080" i="13" a="1"/>
  <c r="L1080" i="13" s="1"/>
  <c r="L1081" i="13" s="1"/>
  <c r="L1078" i="13" a="1"/>
  <c r="L1078" i="13" s="1"/>
  <c r="L1079" i="13" s="1"/>
  <c r="K1043" i="13"/>
  <c r="O1014" i="13"/>
  <c r="N1080" i="13" a="1"/>
  <c r="N1080" i="13" s="1"/>
  <c r="N1081" i="13" s="1"/>
  <c r="N1078" i="13" a="1"/>
  <c r="N1078" i="13" s="1"/>
  <c r="N1079" i="13" s="1"/>
  <c r="K1075" i="13" a="1"/>
  <c r="K1075" i="13" s="1"/>
  <c r="K1076" i="13" s="1"/>
  <c r="K1073" i="13" a="1"/>
  <c r="K1073" i="13" s="1"/>
  <c r="K1074" i="13" s="1"/>
  <c r="G1048" i="13"/>
  <c r="BX41" i="9" s="1" a="1"/>
  <c r="BX41" i="9" s="1"/>
  <c r="D1012" i="13" a="1"/>
  <c r="D1012" i="13" s="1"/>
  <c r="D1013" i="13" s="1"/>
  <c r="D1010" i="13" a="1"/>
  <c r="D1010" i="13" s="1"/>
  <c r="D1011" i="13" s="1"/>
  <c r="E1073" i="13" a="1"/>
  <c r="E1073" i="13" s="1"/>
  <c r="E1074" i="13" s="1"/>
  <c r="E1075" i="13" a="1"/>
  <c r="E1075" i="13" s="1"/>
  <c r="E1076" i="13" s="1"/>
  <c r="I1078" i="13" a="1"/>
  <c r="I1078" i="13" s="1"/>
  <c r="I1079" i="13" s="1"/>
  <c r="I1080" i="13" a="1"/>
  <c r="I1080" i="13" s="1"/>
  <c r="I1081" i="13" s="1"/>
  <c r="G451" i="10"/>
  <c r="G450" i="10"/>
  <c r="G1071" i="13" s="1" a="1"/>
  <c r="G1071" i="13" s="1"/>
  <c r="G449" i="10"/>
  <c r="G1070" i="13" s="1" a="1"/>
  <c r="G1070" i="13" s="1"/>
  <c r="D1070" i="13" a="1"/>
  <c r="D1070" i="13" s="1"/>
  <c r="K1078" i="13" a="1"/>
  <c r="K1078" i="13" s="1"/>
  <c r="K1079" i="13" s="1"/>
  <c r="K1080" i="13" a="1"/>
  <c r="K1080" i="13" s="1"/>
  <c r="K1081" i="13" s="1"/>
  <c r="L988" i="13"/>
  <c r="F988" i="13"/>
  <c r="E988" i="13"/>
  <c r="E1022" i="13"/>
  <c r="D986" i="13"/>
  <c r="D1017" i="13" a="1"/>
  <c r="D1017" i="13" s="1"/>
  <c r="D1018" i="13" s="1"/>
  <c r="D1015" i="13" a="1"/>
  <c r="D1015" i="13" s="1"/>
  <c r="D1016" i="13" s="1"/>
  <c r="G1022" i="13"/>
  <c r="J1022" i="13"/>
  <c r="M986" i="13"/>
  <c r="M1022" i="13"/>
  <c r="N986" i="13"/>
  <c r="L1020" i="13"/>
  <c r="HH37" i="9" a="1"/>
  <c r="HH37" i="9" s="1"/>
  <c r="HP37" i="9" s="1"/>
  <c r="P50" i="24" s="1" a="1"/>
  <c r="P50" i="24" s="1"/>
  <c r="CE37" i="9" a="1"/>
  <c r="CE37" i="9" s="1"/>
  <c r="CM37" i="9" s="1"/>
  <c r="I50" i="24" s="1" a="1"/>
  <c r="I50" i="24" s="1"/>
  <c r="V38" i="9"/>
  <c r="FJ37" i="9"/>
  <c r="EJ37" i="9" a="1"/>
  <c r="EJ37" i="9" s="1"/>
  <c r="ER37" i="9" s="1"/>
  <c r="L50" i="24" s="1" a="1"/>
  <c r="L50" i="24" s="1"/>
  <c r="IN35" i="9"/>
  <c r="IO35" i="9" s="1"/>
  <c r="CX37" i="9" a="1"/>
  <c r="CX37" i="9" s="1"/>
  <c r="DF37" i="9" s="1"/>
  <c r="J50" i="24" s="1" a="1"/>
  <c r="J50" i="24" s="1"/>
  <c r="CX36" i="9" a="1"/>
  <c r="CX36" i="9" s="1"/>
  <c r="DF36" i="9" s="1"/>
  <c r="J49" i="24" s="1" a="1"/>
  <c r="J49" i="24" s="1"/>
  <c r="FV37" i="9" a="1"/>
  <c r="FV37" i="9" s="1"/>
  <c r="GD37" i="9" s="1"/>
  <c r="N50" i="24" s="1" a="1"/>
  <c r="N50" i="24" s="1"/>
  <c r="IJ35" i="9"/>
  <c r="IK35" i="9" s="1"/>
  <c r="U37" i="9"/>
  <c r="BL37" i="9" a="1"/>
  <c r="BL37" i="9" s="1"/>
  <c r="BT37" i="9" s="1"/>
  <c r="H50" i="24" s="1" a="1"/>
  <c r="H50" i="24" s="1"/>
  <c r="AS37" i="9" a="1"/>
  <c r="AS37" i="9" s="1"/>
  <c r="BA37" i="9" s="1"/>
  <c r="G50" i="24" s="1" a="1"/>
  <c r="G50" i="24" s="1"/>
  <c r="GO37" i="9" a="1"/>
  <c r="GO37" i="9" s="1"/>
  <c r="GW37" i="9" s="1"/>
  <c r="O50" i="24" s="1" a="1"/>
  <c r="O50" i="24" s="1"/>
  <c r="DQ37" i="9" a="1"/>
  <c r="DQ37" i="9" s="1"/>
  <c r="DY37" i="9" s="1"/>
  <c r="K50" i="24" s="1" a="1"/>
  <c r="K50" i="24" s="1"/>
  <c r="L452" i="10"/>
  <c r="W36" i="9" a="1"/>
  <c r="W36" i="9" s="1"/>
  <c r="Y36" i="9" s="1"/>
  <c r="AG36" i="9" s="1"/>
  <c r="BT36" i="9"/>
  <c r="H49" i="24" s="1" a="1"/>
  <c r="H49" i="24" s="1"/>
  <c r="HG38" i="9"/>
  <c r="HO38" i="9" s="1"/>
  <c r="HZ36" i="9"/>
  <c r="IH36" i="9" s="1"/>
  <c r="G452" i="10"/>
  <c r="H452" i="10"/>
  <c r="O460" i="10"/>
  <c r="HR43" i="9" s="1" a="1"/>
  <c r="HR43" i="9" s="1"/>
  <c r="G460" i="10"/>
  <c r="BV43" i="9" s="1" a="1"/>
  <c r="BV43" i="9" s="1"/>
  <c r="F452" i="10"/>
  <c r="IA37" i="9" a="1"/>
  <c r="IA37" i="9" s="1"/>
  <c r="II37" i="9" s="1"/>
  <c r="Q50" i="24" s="1" a="1"/>
  <c r="Q50" i="24" s="1"/>
  <c r="E460" i="10"/>
  <c r="AJ43" i="9" s="1" a="1"/>
  <c r="AJ43" i="9" s="1"/>
  <c r="M460" i="10"/>
  <c r="GF43" i="9" s="1" a="1"/>
  <c r="GF43" i="9" s="1"/>
  <c r="F460" i="10"/>
  <c r="BC43" i="9" s="1" a="1"/>
  <c r="BC43" i="9" s="1"/>
  <c r="I460" i="10"/>
  <c r="DH43" i="9" s="1" a="1"/>
  <c r="DH43" i="9" s="1"/>
  <c r="L460" i="10"/>
  <c r="FM43" i="9" s="1" a="1"/>
  <c r="FM43" i="9" s="1"/>
  <c r="D460" i="10"/>
  <c r="Q43" i="9" s="1" a="1"/>
  <c r="Q43" i="9" s="1"/>
  <c r="J460" i="10"/>
  <c r="EA43" i="9" s="1" a="1"/>
  <c r="EA43" i="9" s="1"/>
  <c r="K460" i="10"/>
  <c r="ET43" i="9" s="1" a="1"/>
  <c r="ET43" i="9" s="1"/>
  <c r="F466" i="10"/>
  <c r="A509" i="10" a="1"/>
  <c r="A509" i="10" s="1"/>
  <c r="B509" i="10" a="1"/>
  <c r="B509" i="10" s="1"/>
  <c r="G472" i="10"/>
  <c r="O472" i="10"/>
  <c r="P438" i="10"/>
  <c r="O53" i="27" a="1"/>
  <c r="O53" i="27" s="1"/>
  <c r="P53" i="27" a="1"/>
  <c r="P53" i="27" s="1"/>
  <c r="N53" i="27" a="1"/>
  <c r="N53" i="27" s="1"/>
  <c r="H53" i="27" a="1"/>
  <c r="H53" i="27" s="1"/>
  <c r="K53" i="27" a="1"/>
  <c r="K53" i="27" s="1"/>
  <c r="F53" i="27" a="1"/>
  <c r="F53" i="27" s="1"/>
  <c r="I53" i="27" a="1"/>
  <c r="I53" i="27" s="1"/>
  <c r="K466" i="10"/>
  <c r="I495" i="10"/>
  <c r="M495" i="10"/>
  <c r="H495" i="10"/>
  <c r="E495" i="10"/>
  <c r="B496" i="10"/>
  <c r="L495" i="10"/>
  <c r="G495" i="10"/>
  <c r="D495" i="10"/>
  <c r="P495" i="10"/>
  <c r="J495" i="10"/>
  <c r="O495" i="10"/>
  <c r="K495" i="10"/>
  <c r="F495" i="10"/>
  <c r="N495" i="10"/>
  <c r="K472" i="10"/>
  <c r="M473" i="10"/>
  <c r="M476" i="10" s="1" a="1"/>
  <c r="M476" i="10" s="1"/>
  <c r="L473" i="10"/>
  <c r="L476" i="10" s="1" a="1"/>
  <c r="L476" i="10" s="1"/>
  <c r="H473" i="10"/>
  <c r="H476" i="10" s="1" a="1"/>
  <c r="H476" i="10" s="1"/>
  <c r="B474" i="10"/>
  <c r="B475" i="10" s="1"/>
  <c r="B476" i="10" s="1"/>
  <c r="B477" i="10" s="1"/>
  <c r="B478" i="10" s="1"/>
  <c r="B479" i="10" s="1"/>
  <c r="B480" i="10" s="1"/>
  <c r="O473" i="10"/>
  <c r="O476" i="10" s="1" a="1"/>
  <c r="O476" i="10" s="1"/>
  <c r="J473" i="10"/>
  <c r="J476" i="10" s="1" a="1"/>
  <c r="J476" i="10" s="1"/>
  <c r="G473" i="10"/>
  <c r="I473" i="10"/>
  <c r="D473" i="10"/>
  <c r="D476" i="10" s="1" a="1"/>
  <c r="D476" i="10" s="1"/>
  <c r="F473" i="10"/>
  <c r="F476" i="10" s="1" a="1"/>
  <c r="F476" i="10" s="1"/>
  <c r="P473" i="10"/>
  <c r="P474" i="10" s="1"/>
  <c r="N473" i="10"/>
  <c r="N476" i="10" s="1" a="1"/>
  <c r="N476" i="10" s="1"/>
  <c r="K473" i="10"/>
  <c r="E473" i="10"/>
  <c r="E476" i="10" s="1" a="1"/>
  <c r="E476" i="10" s="1"/>
  <c r="G475" i="10"/>
  <c r="H460" i="10"/>
  <c r="CO43" i="9" s="1" a="1"/>
  <c r="CO43" i="9" s="1"/>
  <c r="I475" i="10"/>
  <c r="I472" i="10"/>
  <c r="N472" i="10"/>
  <c r="L482" i="10"/>
  <c r="N482" i="10"/>
  <c r="N489" i="10" s="1"/>
  <c r="B486" i="10"/>
  <c r="B487" i="10" s="1"/>
  <c r="P482" i="10"/>
  <c r="P486" i="10" s="1"/>
  <c r="H482" i="10"/>
  <c r="H489" i="10" s="1"/>
  <c r="J482" i="10"/>
  <c r="B483" i="10"/>
  <c r="B484" i="10" s="1"/>
  <c r="B485" i="10" s="1"/>
  <c r="I482" i="10"/>
  <c r="I489" i="10" s="1"/>
  <c r="E482" i="10"/>
  <c r="D482" i="10"/>
  <c r="D489" i="10" s="1"/>
  <c r="G482" i="10"/>
  <c r="G489" i="10" s="1"/>
  <c r="K482" i="10"/>
  <c r="K486" i="10" s="1"/>
  <c r="O482" i="10"/>
  <c r="O489" i="10" s="1"/>
  <c r="F482" i="10"/>
  <c r="F489" i="10" s="1"/>
  <c r="M482" i="10"/>
  <c r="M489" i="10" s="1"/>
  <c r="F472" i="10"/>
  <c r="D472" i="10"/>
  <c r="H472" i="10"/>
  <c r="L472" i="10"/>
  <c r="K475" i="10"/>
  <c r="N460" i="10"/>
  <c r="GY43" i="9" s="1" a="1"/>
  <c r="GY43" i="9" s="1"/>
  <c r="E472" i="10"/>
  <c r="J472" i="10"/>
  <c r="M472" i="10"/>
  <c r="P475" i="10"/>
  <c r="R523" i="10"/>
  <c r="H463" i="10" l="1"/>
  <c r="H1104" i="13" s="1" a="1"/>
  <c r="H1104" i="13" s="1"/>
  <c r="N1024" i="13"/>
  <c r="HE40" i="9" s="1" a="1"/>
  <c r="HE40" i="9" s="1"/>
  <c r="G1024" i="13"/>
  <c r="CB40" i="9" s="1" a="1"/>
  <c r="CB40" i="9" s="1"/>
  <c r="AN40" i="9"/>
  <c r="N990" i="13"/>
  <c r="HE39" i="9" s="1" a="1"/>
  <c r="HE39" i="9" s="1"/>
  <c r="M1024" i="13"/>
  <c r="GL40" i="9" s="1" a="1"/>
  <c r="GL40" i="9" s="1"/>
  <c r="L990" i="13"/>
  <c r="FS39" i="9" s="1" a="1"/>
  <c r="FS39" i="9" s="1"/>
  <c r="FU39" i="9" s="1"/>
  <c r="GC39" i="9" s="1"/>
  <c r="E990" i="13"/>
  <c r="AP39" i="9" s="1" a="1"/>
  <c r="AP39" i="9" s="1"/>
  <c r="J1024" i="13"/>
  <c r="EG40" i="9" s="1" a="1"/>
  <c r="EG40" i="9" s="1"/>
  <c r="L1024" i="13"/>
  <c r="FS40" i="9" s="1" a="1"/>
  <c r="FS40" i="9" s="1"/>
  <c r="FK37" i="9"/>
  <c r="M50" i="24" s="1" a="1"/>
  <c r="M50" i="24" s="1"/>
  <c r="M990" i="13"/>
  <c r="GL39" i="9" s="1" a="1"/>
  <c r="GL39" i="9" s="1"/>
  <c r="GN39" i="9" s="1"/>
  <c r="GV39" i="9" s="1"/>
  <c r="BG39" i="9"/>
  <c r="H1024" i="13"/>
  <c r="CU40" i="9" s="1" a="1"/>
  <c r="CU40" i="9" s="1"/>
  <c r="BG40" i="9"/>
  <c r="F1024" i="13"/>
  <c r="BI40" i="9" s="1" a="1"/>
  <c r="BI40" i="9" s="1"/>
  <c r="H990" i="13"/>
  <c r="CU39" i="9" s="1" a="1"/>
  <c r="CU39" i="9" s="1"/>
  <c r="CW39" i="9" s="1"/>
  <c r="DE39" i="9" s="1"/>
  <c r="K1024" i="13"/>
  <c r="EZ40" i="9" s="1" a="1"/>
  <c r="EZ40" i="9" s="1"/>
  <c r="EE40" i="9"/>
  <c r="O1083" i="13" a="1"/>
  <c r="O1083" i="13" s="1"/>
  <c r="O1084" i="13" s="1"/>
  <c r="O1087" i="13" s="1"/>
  <c r="CS40" i="9"/>
  <c r="D990" i="13"/>
  <c r="E1024" i="13"/>
  <c r="AP40" i="9" s="1" a="1"/>
  <c r="AP40" i="9" s="1"/>
  <c r="V39" i="9"/>
  <c r="BZ40" i="9"/>
  <c r="F990" i="13"/>
  <c r="BI39" i="9" s="1" a="1"/>
  <c r="BI39" i="9" s="1"/>
  <c r="BK39" i="9" s="1"/>
  <c r="BS39" i="9" s="1"/>
  <c r="HC40" i="9"/>
  <c r="H1054" i="13"/>
  <c r="CR41" i="9" a="1"/>
  <c r="CR41" i="9" s="1"/>
  <c r="J1056" i="13"/>
  <c r="ED41" i="9" a="1"/>
  <c r="ED41" i="9" s="1"/>
  <c r="M1056" i="13"/>
  <c r="GI41" i="9" a="1"/>
  <c r="GI41" i="9" s="1"/>
  <c r="E1056" i="13"/>
  <c r="AM41" i="9" a="1"/>
  <c r="AM41" i="9" s="1"/>
  <c r="G1054" i="13"/>
  <c r="BY41" i="9" a="1"/>
  <c r="BY41" i="9" s="1"/>
  <c r="BZ41" i="9" s="1"/>
  <c r="GJ39" i="9"/>
  <c r="O1056" i="13"/>
  <c r="HU41" i="9" a="1"/>
  <c r="HU41" i="9" s="1"/>
  <c r="N1054" i="13"/>
  <c r="HB41" i="9" a="1"/>
  <c r="HB41" i="9" s="1"/>
  <c r="GJ40" i="9"/>
  <c r="I52" i="25" a="1"/>
  <c r="I52" i="25" s="1"/>
  <c r="CT40" i="9"/>
  <c r="K52" i="25" a="1"/>
  <c r="K52" i="25" s="1"/>
  <c r="EF40" i="9"/>
  <c r="O1022" i="13"/>
  <c r="HU40" i="9" a="1"/>
  <c r="HU40" i="9" s="1"/>
  <c r="N52" i="25" a="1"/>
  <c r="N52" i="25" s="1"/>
  <c r="GK40" i="9"/>
  <c r="O52" i="25" a="1"/>
  <c r="O52" i="25" s="1"/>
  <c r="HD40" i="9"/>
  <c r="F52" i="25" a="1"/>
  <c r="F52" i="25" s="1"/>
  <c r="AO40" i="9"/>
  <c r="H52" i="25" a="1"/>
  <c r="H52" i="25" s="1"/>
  <c r="CA40" i="9"/>
  <c r="FQ40" i="9"/>
  <c r="L52" i="25" a="1"/>
  <c r="L52" i="25" s="1"/>
  <c r="EY40" i="9"/>
  <c r="I1022" i="13"/>
  <c r="DK40" i="9" a="1"/>
  <c r="DK40" i="9" s="1"/>
  <c r="G52" i="25" a="1"/>
  <c r="G52" i="25" s="1"/>
  <c r="BH40" i="9"/>
  <c r="M52" i="25" a="1"/>
  <c r="M52" i="25" s="1"/>
  <c r="FR40" i="9"/>
  <c r="F51" i="25" a="1"/>
  <c r="F51" i="25" s="1"/>
  <c r="AO39" i="9"/>
  <c r="I51" i="25" a="1"/>
  <c r="I51" i="25" s="1"/>
  <c r="CT39" i="9"/>
  <c r="O51" i="25" a="1"/>
  <c r="O51" i="25" s="1"/>
  <c r="HD39" i="9"/>
  <c r="M51" i="25" a="1"/>
  <c r="M51" i="25" s="1"/>
  <c r="FR39" i="9"/>
  <c r="AN39" i="9"/>
  <c r="N51" i="25" a="1"/>
  <c r="N51" i="25" s="1"/>
  <c r="GK39" i="9"/>
  <c r="G51" i="25" a="1"/>
  <c r="G51" i="25" s="1"/>
  <c r="BH39" i="9"/>
  <c r="CS39" i="9"/>
  <c r="Q50" i="25"/>
  <c r="K1051" i="13" a="1"/>
  <c r="K1051" i="13" s="1"/>
  <c r="K1052" i="13" s="1"/>
  <c r="K1053" i="13" s="1"/>
  <c r="I1051" i="13" a="1"/>
  <c r="I1051" i="13" s="1"/>
  <c r="I1052" i="13" s="1"/>
  <c r="I1053" i="13" s="1"/>
  <c r="G466" i="10"/>
  <c r="G1106" i="13" s="1" a="1"/>
  <c r="G1106" i="13" s="1"/>
  <c r="G1117" i="13" s="1" a="1"/>
  <c r="G1117" i="13" s="1"/>
  <c r="G1118" i="13" s="1"/>
  <c r="HT41" i="9" a="1"/>
  <c r="HT41" i="9" s="1"/>
  <c r="L1049" i="13" a="1"/>
  <c r="L1049" i="13" s="1"/>
  <c r="L1050" i="13" s="1"/>
  <c r="L1053" i="13" s="1"/>
  <c r="J1083" i="13" a="1"/>
  <c r="J1083" i="13" s="1"/>
  <c r="J1084" i="13" s="1"/>
  <c r="J1087" i="13" s="1"/>
  <c r="F1051" i="13" a="1"/>
  <c r="F1051" i="13" s="1"/>
  <c r="F1052" i="13" s="1"/>
  <c r="F1053" i="13" s="1"/>
  <c r="K1083" i="13" a="1"/>
  <c r="K1083" i="13" s="1"/>
  <c r="K1084" i="13" s="1"/>
  <c r="K1087" i="13" s="1"/>
  <c r="D1085" i="13" a="1"/>
  <c r="D1085" i="13" s="1"/>
  <c r="D1086" i="13" s="1"/>
  <c r="D1087" i="13" s="1"/>
  <c r="N1083" i="13" a="1"/>
  <c r="N1083" i="13" s="1"/>
  <c r="N1084" i="13" s="1"/>
  <c r="N1087" i="13" s="1"/>
  <c r="HT40" i="9" a="1"/>
  <c r="HT40" i="9" s="1"/>
  <c r="D1049" i="13" a="1"/>
  <c r="D1049" i="13" s="1"/>
  <c r="D1050" i="13" s="1"/>
  <c r="D1053" i="13" s="1"/>
  <c r="CQ41" i="9" a="1"/>
  <c r="CQ41" i="9" s="1"/>
  <c r="M1085" i="13" a="1"/>
  <c r="M1085" i="13" s="1"/>
  <c r="M1086" i="13" s="1"/>
  <c r="M1087" i="13" s="1"/>
  <c r="I1085" i="13" a="1"/>
  <c r="I1085" i="13" s="1"/>
  <c r="I1086" i="13" s="1"/>
  <c r="I1087" i="13" s="1"/>
  <c r="GH41" i="9" a="1"/>
  <c r="GH41" i="9" s="1"/>
  <c r="GJ41" i="9" s="1"/>
  <c r="HA41" i="9" a="1"/>
  <c r="HA41" i="9" s="1"/>
  <c r="HC41" i="9" s="1"/>
  <c r="FO41" i="9" a="1"/>
  <c r="FO41" i="9" s="1"/>
  <c r="L1072" i="13" a="1"/>
  <c r="L1072" i="13" s="1"/>
  <c r="L1085" i="13" s="1" a="1"/>
  <c r="L1085" i="13" s="1"/>
  <c r="L1086" i="13" s="1"/>
  <c r="FT42" i="9" a="1"/>
  <c r="FT42" i="9" s="1"/>
  <c r="FN42" i="9" a="1"/>
  <c r="FN42" i="9" s="1"/>
  <c r="K1106" i="13" a="1"/>
  <c r="K1106" i="13" s="1"/>
  <c r="K1117" i="13" s="1" a="1"/>
  <c r="K1117" i="13" s="1"/>
  <c r="K1118" i="13" s="1"/>
  <c r="EU43" i="9" a="1"/>
  <c r="EU43" i="9" s="1"/>
  <c r="FA43" i="9" a="1"/>
  <c r="FA43" i="9" s="1"/>
  <c r="EV41" i="9" a="1"/>
  <c r="EV41" i="9" s="1"/>
  <c r="EV40" i="9" a="1"/>
  <c r="EV40" i="9" s="1"/>
  <c r="EX40" i="9" s="1"/>
  <c r="EC41" i="9" a="1"/>
  <c r="EC41" i="9" s="1"/>
  <c r="H1072" i="13" a="1"/>
  <c r="H1072" i="13" s="1"/>
  <c r="H1083" i="13" s="1" a="1"/>
  <c r="H1083" i="13" s="1"/>
  <c r="H1084" i="13" s="1"/>
  <c r="CV42" i="9" a="1"/>
  <c r="CV42" i="9" s="1"/>
  <c r="CP42" i="9" a="1"/>
  <c r="CP42" i="9" s="1"/>
  <c r="G1072" i="13" a="1"/>
  <c r="G1072" i="13" s="1"/>
  <c r="G1085" i="13" s="1" a="1"/>
  <c r="G1085" i="13" s="1"/>
  <c r="G1086" i="13" s="1"/>
  <c r="BW42" i="9" a="1"/>
  <c r="BW42" i="9" s="1"/>
  <c r="CC42" i="9" a="1"/>
  <c r="CC42" i="9" s="1"/>
  <c r="E1085" i="13" a="1"/>
  <c r="E1085" i="13" s="1"/>
  <c r="E1086" i="13" s="1"/>
  <c r="E1087" i="13" s="1"/>
  <c r="F1106" i="13" a="1"/>
  <c r="F1106" i="13" s="1"/>
  <c r="F1119" i="13" s="1" a="1"/>
  <c r="F1119" i="13" s="1"/>
  <c r="F1120" i="13" s="1"/>
  <c r="BD43" i="9" a="1"/>
  <c r="BD43" i="9" s="1"/>
  <c r="BJ43" i="9" a="1"/>
  <c r="BJ43" i="9" s="1"/>
  <c r="F1072" i="13" a="1"/>
  <c r="F1072" i="13" s="1"/>
  <c r="F1083" i="13" s="1" a="1"/>
  <c r="F1083" i="13" s="1"/>
  <c r="F1084" i="13" s="1"/>
  <c r="BD42" i="9" a="1"/>
  <c r="BD42" i="9" s="1"/>
  <c r="BJ42" i="9" a="1"/>
  <c r="BJ42" i="9" s="1"/>
  <c r="M465" i="10"/>
  <c r="AL41" i="9" a="1"/>
  <c r="AL41" i="9" s="1"/>
  <c r="M463" i="10"/>
  <c r="M1104" i="13" s="1" a="1"/>
  <c r="M1104" i="13" s="1"/>
  <c r="M1107" i="13" s="1" a="1"/>
  <c r="M1107" i="13" s="1"/>
  <c r="M1108" i="13" s="1"/>
  <c r="J463" i="10"/>
  <c r="J1104" i="13" s="1" a="1"/>
  <c r="J1104" i="13" s="1"/>
  <c r="J1109" i="13" s="1" a="1"/>
  <c r="J1109" i="13" s="1"/>
  <c r="J1110" i="13" s="1"/>
  <c r="H465" i="10"/>
  <c r="G476" i="10" a="1"/>
  <c r="G476" i="10" s="1"/>
  <c r="G477" i="10" s="1"/>
  <c r="G1138" i="13" s="1" a="1"/>
  <c r="G1138" i="13" s="1"/>
  <c r="O463" i="10"/>
  <c r="O1104" i="13" s="1" a="1"/>
  <c r="O1104" i="13" s="1"/>
  <c r="O1107" i="13" s="1" a="1"/>
  <c r="O1107" i="13" s="1"/>
  <c r="O1108" i="13" s="1"/>
  <c r="G465" i="10"/>
  <c r="L1075" i="13" a="1"/>
  <c r="L1075" i="13" s="1"/>
  <c r="L1076" i="13" s="1"/>
  <c r="L1077" i="13" s="1"/>
  <c r="G464" i="10"/>
  <c r="G1105" i="13" s="1" a="1"/>
  <c r="G1105" i="13" s="1"/>
  <c r="G1114" i="13" s="1" a="1"/>
  <c r="G1114" i="13" s="1"/>
  <c r="G1115" i="13" s="1"/>
  <c r="P476" i="10" a="1"/>
  <c r="P476" i="10" s="1"/>
  <c r="O1077" i="13"/>
  <c r="I1043" i="13"/>
  <c r="M1082" i="13"/>
  <c r="L1082" i="13"/>
  <c r="F1043" i="13"/>
  <c r="M1077" i="13"/>
  <c r="N1082" i="13"/>
  <c r="J1077" i="13"/>
  <c r="P451" i="10"/>
  <c r="J465" i="10"/>
  <c r="D1048" i="13"/>
  <c r="E1082" i="13"/>
  <c r="D1043" i="13"/>
  <c r="G1056" i="13"/>
  <c r="I1082" i="13"/>
  <c r="K1082" i="13"/>
  <c r="M477" i="10"/>
  <c r="M1138" i="13" s="1" a="1"/>
  <c r="M1138" i="13" s="1"/>
  <c r="M478" i="10"/>
  <c r="M1139" i="13" s="1" a="1"/>
  <c r="M1139" i="13" s="1"/>
  <c r="M479" i="10"/>
  <c r="F479" i="10"/>
  <c r="F477" i="10"/>
  <c r="F1138" i="13" s="1" a="1"/>
  <c r="F1138" i="13" s="1"/>
  <c r="F478" i="10"/>
  <c r="F1139" i="13" s="1" a="1"/>
  <c r="F1139" i="13" s="1"/>
  <c r="D478" i="10"/>
  <c r="D479" i="10"/>
  <c r="D477" i="10"/>
  <c r="E479" i="10"/>
  <c r="E477" i="10"/>
  <c r="E1138" i="13" s="1" a="1"/>
  <c r="E1138" i="13" s="1"/>
  <c r="E478" i="10"/>
  <c r="E1139" i="13" s="1" a="1"/>
  <c r="E1139" i="13" s="1"/>
  <c r="J477" i="10"/>
  <c r="J1138" i="13" s="1" a="1"/>
  <c r="J1138" i="13" s="1"/>
  <c r="J478" i="10"/>
  <c r="J1139" i="13" s="1" a="1"/>
  <c r="J1139" i="13" s="1"/>
  <c r="J479" i="10"/>
  <c r="O479" i="10"/>
  <c r="O477" i="10"/>
  <c r="O1138" i="13" s="1" a="1"/>
  <c r="O1138" i="13" s="1"/>
  <c r="O478" i="10"/>
  <c r="O1139" i="13" s="1" a="1"/>
  <c r="O1139" i="13" s="1"/>
  <c r="N479" i="10"/>
  <c r="N477" i="10"/>
  <c r="N1138" i="13" s="1" a="1"/>
  <c r="N1138" i="13" s="1"/>
  <c r="N478" i="10"/>
  <c r="N1139" i="13" s="1" a="1"/>
  <c r="N1139" i="13" s="1"/>
  <c r="H479" i="10"/>
  <c r="H477" i="10"/>
  <c r="H1138" i="13" s="1" a="1"/>
  <c r="H1138" i="13" s="1"/>
  <c r="H478" i="10"/>
  <c r="H1139" i="13" s="1" a="1"/>
  <c r="H1139" i="13" s="1"/>
  <c r="L478" i="10"/>
  <c r="L1139" i="13" s="1" a="1"/>
  <c r="L1139" i="13" s="1"/>
  <c r="L479" i="10"/>
  <c r="L477" i="10"/>
  <c r="L1138" i="13" s="1" a="1"/>
  <c r="L1138" i="13" s="1"/>
  <c r="F1048" i="13"/>
  <c r="L464" i="10"/>
  <c r="L1105" i="13" s="1" a="1"/>
  <c r="L1105" i="13" s="1"/>
  <c r="L463" i="10"/>
  <c r="L1104" i="13" s="1" a="1"/>
  <c r="L1104" i="13" s="1"/>
  <c r="L465" i="10"/>
  <c r="N463" i="10"/>
  <c r="N1104" i="13" s="1" a="1"/>
  <c r="N1104" i="13" s="1"/>
  <c r="N464" i="10"/>
  <c r="N1105" i="13" s="1" a="1"/>
  <c r="N1105" i="13" s="1"/>
  <c r="N465" i="10"/>
  <c r="O1082" i="13"/>
  <c r="D1104" i="13" a="1"/>
  <c r="D1104" i="13" s="1"/>
  <c r="I1077" i="13"/>
  <c r="J1082" i="13"/>
  <c r="D1105" i="13" a="1"/>
  <c r="D1105" i="13" s="1"/>
  <c r="M1114" i="13" a="1"/>
  <c r="M1114" i="13" s="1"/>
  <c r="M1115" i="13" s="1"/>
  <c r="M1112" i="13" a="1"/>
  <c r="M1112" i="13" s="1"/>
  <c r="M1113" i="13" s="1"/>
  <c r="I463" i="10"/>
  <c r="I1104" i="13" s="1" a="1"/>
  <c r="I1104" i="13" s="1"/>
  <c r="I464" i="10"/>
  <c r="I1105" i="13" s="1" a="1"/>
  <c r="I1105" i="13" s="1"/>
  <c r="I465" i="10"/>
  <c r="K1109" i="13" a="1"/>
  <c r="K1109" i="13" s="1"/>
  <c r="K1110" i="13" s="1"/>
  <c r="K1107" i="13" a="1"/>
  <c r="K1107" i="13" s="1"/>
  <c r="K1108" i="13" s="1"/>
  <c r="I476" i="10" a="1"/>
  <c r="I476" i="10" s="1"/>
  <c r="P449" i="10"/>
  <c r="E1077" i="13"/>
  <c r="H1112" i="13" a="1"/>
  <c r="H1112" i="13" s="1"/>
  <c r="H1113" i="13" s="1"/>
  <c r="H1114" i="13" a="1"/>
  <c r="H1114" i="13" s="1"/>
  <c r="H1115" i="13" s="1"/>
  <c r="H1078" i="13" a="1"/>
  <c r="H1078" i="13" s="1"/>
  <c r="H1079" i="13" s="1"/>
  <c r="H1080" i="13" a="1"/>
  <c r="H1080" i="13" s="1"/>
  <c r="H1081" i="13" s="1"/>
  <c r="D1075" i="13" a="1"/>
  <c r="D1075" i="13" s="1"/>
  <c r="D1076" i="13" s="1"/>
  <c r="D1073" i="13" a="1"/>
  <c r="D1073" i="13" s="1"/>
  <c r="D1074" i="13" s="1"/>
  <c r="F1078" i="13" a="1"/>
  <c r="F1078" i="13" s="1"/>
  <c r="F1079" i="13" s="1"/>
  <c r="F1080" i="13" a="1"/>
  <c r="F1080" i="13" s="1"/>
  <c r="F1081" i="13" s="1"/>
  <c r="H1109" i="13" a="1"/>
  <c r="H1109" i="13" s="1"/>
  <c r="H1110" i="13" s="1"/>
  <c r="H1107" i="13" a="1"/>
  <c r="H1107" i="13" s="1"/>
  <c r="H1108" i="13" s="1"/>
  <c r="H1075" i="13" a="1"/>
  <c r="H1075" i="13" s="1"/>
  <c r="H1076" i="13" s="1"/>
  <c r="H1073" i="13" a="1"/>
  <c r="H1073" i="13" s="1"/>
  <c r="H1074" i="13" s="1"/>
  <c r="P450" i="10"/>
  <c r="E1107" i="13" a="1"/>
  <c r="E1107" i="13" s="1"/>
  <c r="E1108" i="13" s="1"/>
  <c r="E1109" i="13" a="1"/>
  <c r="E1109" i="13" s="1"/>
  <c r="E1110" i="13" s="1"/>
  <c r="K1112" i="13" a="1"/>
  <c r="K1112" i="13" s="1"/>
  <c r="K1113" i="13" s="1"/>
  <c r="K1114" i="13" a="1"/>
  <c r="K1114" i="13" s="1"/>
  <c r="K1115" i="13" s="1"/>
  <c r="K476" i="10" a="1"/>
  <c r="K476" i="10" s="1"/>
  <c r="G1073" i="13" a="1"/>
  <c r="G1073" i="13" s="1"/>
  <c r="G1074" i="13" s="1"/>
  <c r="G1075" i="13" a="1"/>
  <c r="G1075" i="13" s="1"/>
  <c r="G1076" i="13" s="1"/>
  <c r="D1014" i="13"/>
  <c r="K1077" i="13"/>
  <c r="F1073" i="13" a="1"/>
  <c r="F1073" i="13" s="1"/>
  <c r="F1074" i="13" s="1"/>
  <c r="F1075" i="13" a="1"/>
  <c r="F1075" i="13" s="1"/>
  <c r="F1076" i="13" s="1"/>
  <c r="N1077" i="13"/>
  <c r="G1109" i="13" a="1"/>
  <c r="G1109" i="13" s="1"/>
  <c r="G1110" i="13" s="1"/>
  <c r="G1107" i="13" a="1"/>
  <c r="G1107" i="13" s="1"/>
  <c r="G1108" i="13" s="1"/>
  <c r="I1048" i="13"/>
  <c r="D1080" i="13" a="1"/>
  <c r="D1080" i="13" s="1"/>
  <c r="D1081" i="13" s="1"/>
  <c r="D1078" i="13" a="1"/>
  <c r="D1078" i="13" s="1"/>
  <c r="D1079" i="13" s="1"/>
  <c r="F1114" i="13" a="1"/>
  <c r="F1114" i="13" s="1"/>
  <c r="F1115" i="13" s="1"/>
  <c r="F1112" i="13" a="1"/>
  <c r="F1112" i="13" s="1"/>
  <c r="F1113" i="13" s="1"/>
  <c r="G1080" i="13" a="1"/>
  <c r="G1080" i="13" s="1"/>
  <c r="G1081" i="13" s="1"/>
  <c r="G1078" i="13" a="1"/>
  <c r="G1078" i="13" s="1"/>
  <c r="G1079" i="13" s="1"/>
  <c r="O1114" i="13" a="1"/>
  <c r="O1114" i="13" s="1"/>
  <c r="O1115" i="13" s="1"/>
  <c r="O1112" i="13" a="1"/>
  <c r="O1112" i="13" s="1"/>
  <c r="O1113" i="13" s="1"/>
  <c r="E1114" i="13" a="1"/>
  <c r="E1114" i="13" s="1"/>
  <c r="E1115" i="13" s="1"/>
  <c r="E1112" i="13" a="1"/>
  <c r="E1112" i="13" s="1"/>
  <c r="E1113" i="13" s="1"/>
  <c r="F1109" i="13" a="1"/>
  <c r="F1109" i="13" s="1"/>
  <c r="F1110" i="13" s="1"/>
  <c r="F1107" i="13" a="1"/>
  <c r="F1107" i="13" s="1"/>
  <c r="F1108" i="13" s="1"/>
  <c r="J1112" i="13" a="1"/>
  <c r="J1112" i="13" s="1"/>
  <c r="J1113" i="13" s="1"/>
  <c r="J1114" i="13" a="1"/>
  <c r="J1114" i="13" s="1"/>
  <c r="J1115" i="13" s="1"/>
  <c r="D1009" i="13"/>
  <c r="N1056" i="13"/>
  <c r="N1058" i="13" s="1"/>
  <c r="HE41" i="9" s="1" a="1"/>
  <c r="HE41" i="9" s="1"/>
  <c r="I1020" i="13"/>
  <c r="J1054" i="13"/>
  <c r="M1054" i="13"/>
  <c r="E1054" i="13"/>
  <c r="H1056" i="13"/>
  <c r="D1019" i="13"/>
  <c r="O1020" i="13"/>
  <c r="O1054" i="13"/>
  <c r="E466" i="10"/>
  <c r="D466" i="10"/>
  <c r="AS38" i="9" a="1"/>
  <c r="AS38" i="9" s="1"/>
  <c r="BA38" i="9" s="1"/>
  <c r="G51" i="24" s="1" a="1"/>
  <c r="G51" i="24" s="1"/>
  <c r="IA36" i="9" a="1"/>
  <c r="IA36" i="9" s="1"/>
  <c r="II36" i="9" s="1"/>
  <c r="Q49" i="24" s="1" a="1"/>
  <c r="Q49" i="24" s="1"/>
  <c r="DQ38" i="9" a="1"/>
  <c r="DQ38" i="9" s="1"/>
  <c r="DY38" i="9" s="1"/>
  <c r="K51" i="24" s="1" a="1"/>
  <c r="K51" i="24" s="1"/>
  <c r="Z36" i="9" a="1"/>
  <c r="Z36" i="9" s="1"/>
  <c r="HH38" i="9" a="1"/>
  <c r="HH38" i="9" s="1"/>
  <c r="HP38" i="9" s="1"/>
  <c r="P51" i="24" s="1" a="1"/>
  <c r="P51" i="24" s="1"/>
  <c r="FV38" i="9" a="1"/>
  <c r="FV38" i="9" s="1"/>
  <c r="GD38" i="9" s="1"/>
  <c r="N51" i="24" s="1" a="1"/>
  <c r="N51" i="24" s="1"/>
  <c r="W38" i="9" a="1"/>
  <c r="W38" i="9" s="1"/>
  <c r="Y38" i="9" s="1"/>
  <c r="AG38" i="9" s="1"/>
  <c r="W37" i="9" a="1"/>
  <c r="W37" i="9" s="1"/>
  <c r="Y37" i="9" s="1"/>
  <c r="AG37" i="9" s="1"/>
  <c r="IL37" i="9" s="1"/>
  <c r="IM37" i="9" s="1"/>
  <c r="HZ39" i="9"/>
  <c r="IH39" i="9" s="1"/>
  <c r="CD38" i="9"/>
  <c r="CL38" i="9" s="1"/>
  <c r="HG39" i="9"/>
  <c r="HO39" i="9" s="1"/>
  <c r="FB38" i="9"/>
  <c r="FJ38" i="9" s="1"/>
  <c r="HZ38" i="9"/>
  <c r="IH38" i="9" s="1"/>
  <c r="EI39" i="9"/>
  <c r="EQ39" i="9" s="1"/>
  <c r="GN38" i="9"/>
  <c r="GV38" i="9" s="1"/>
  <c r="DP39" i="9"/>
  <c r="BK38" i="9"/>
  <c r="BS38" i="9" s="1"/>
  <c r="CW38" i="9"/>
  <c r="DE38" i="9" s="1"/>
  <c r="EI38" i="9"/>
  <c r="EQ38" i="9" s="1"/>
  <c r="IL36" i="9"/>
  <c r="IM36" i="9" s="1"/>
  <c r="P452" i="10"/>
  <c r="J474" i="10"/>
  <c r="EA44" i="9" s="1" a="1"/>
  <c r="EA44" i="9" s="1"/>
  <c r="E474" i="10"/>
  <c r="AJ44" i="9" s="1" a="1"/>
  <c r="AJ44" i="9" s="1"/>
  <c r="H474" i="10"/>
  <c r="CO44" i="9" s="1" a="1"/>
  <c r="CO44" i="9" s="1"/>
  <c r="M474" i="10"/>
  <c r="GF44" i="9" s="1" a="1"/>
  <c r="GF44" i="9" s="1"/>
  <c r="L466" i="10"/>
  <c r="H466" i="10"/>
  <c r="S39" i="9" a="1"/>
  <c r="S39" i="9" s="1"/>
  <c r="U39" i="9" s="1"/>
  <c r="M480" i="10"/>
  <c r="L474" i="10"/>
  <c r="FM44" i="9" s="1" a="1"/>
  <c r="FM44" i="9" s="1"/>
  <c r="D474" i="10"/>
  <c r="Q44" i="9" s="1" a="1"/>
  <c r="Q44" i="9" s="1"/>
  <c r="F480" i="10"/>
  <c r="F474" i="10"/>
  <c r="BC44" i="9" s="1" a="1"/>
  <c r="BC44" i="9" s="1"/>
  <c r="N474" i="10"/>
  <c r="GY44" i="9" s="1" a="1"/>
  <c r="GY44" i="9" s="1"/>
  <c r="J466" i="10"/>
  <c r="K489" i="10"/>
  <c r="P489" i="10"/>
  <c r="E480" i="10"/>
  <c r="H480" i="10"/>
  <c r="D480" i="10"/>
  <c r="X44" i="9" s="1" a="1"/>
  <c r="X44" i="9" s="1"/>
  <c r="O480" i="10"/>
  <c r="F486" i="10"/>
  <c r="J486" i="10"/>
  <c r="O496" i="10"/>
  <c r="P496" i="10"/>
  <c r="P500" i="10" s="1"/>
  <c r="J496" i="10"/>
  <c r="J503" i="10" s="1"/>
  <c r="G496" i="10"/>
  <c r="D496" i="10"/>
  <c r="N496" i="10"/>
  <c r="N503" i="10" s="1"/>
  <c r="F496" i="10"/>
  <c r="M496" i="10"/>
  <c r="M503" i="10" s="1"/>
  <c r="I496" i="10"/>
  <c r="I503" i="10" s="1"/>
  <c r="L496" i="10"/>
  <c r="H496" i="10"/>
  <c r="H503" i="10" s="1"/>
  <c r="K496" i="10"/>
  <c r="K503" i="10" s="1"/>
  <c r="B497" i="10"/>
  <c r="B498" i="10" s="1"/>
  <c r="B499" i="10" s="1"/>
  <c r="B500" i="10"/>
  <c r="B501" i="10" s="1"/>
  <c r="E496" i="10"/>
  <c r="O474" i="10"/>
  <c r="HR44" i="9" s="1" a="1"/>
  <c r="HR44" i="9" s="1"/>
  <c r="O486" i="10"/>
  <c r="H486" i="10"/>
  <c r="I474" i="10"/>
  <c r="DH44" i="9" s="1" a="1"/>
  <c r="DH44" i="9" s="1"/>
  <c r="G474" i="10"/>
  <c r="BV44" i="9" s="1" a="1"/>
  <c r="BV44" i="9" s="1"/>
  <c r="M486" i="10"/>
  <c r="N480" i="10"/>
  <c r="G486" i="10"/>
  <c r="L487" i="10"/>
  <c r="G487" i="10"/>
  <c r="G490" i="10" s="1" a="1"/>
  <c r="G490" i="10" s="1"/>
  <c r="D487" i="10"/>
  <c r="D490" i="10" s="1" a="1"/>
  <c r="D490" i="10" s="1"/>
  <c r="P487" i="10"/>
  <c r="P488" i="10" s="1"/>
  <c r="J487" i="10"/>
  <c r="O487" i="10"/>
  <c r="O490" i="10" s="1" a="1"/>
  <c r="O490" i="10" s="1"/>
  <c r="N487" i="10"/>
  <c r="N490" i="10" s="1" a="1"/>
  <c r="N490" i="10" s="1"/>
  <c r="I487" i="10"/>
  <c r="I490" i="10" s="1" a="1"/>
  <c r="I490" i="10" s="1"/>
  <c r="E487" i="10"/>
  <c r="B488" i="10"/>
  <c r="B489" i="10" s="1"/>
  <c r="B490" i="10" s="1"/>
  <c r="B491" i="10" s="1"/>
  <c r="B492" i="10" s="1"/>
  <c r="B493" i="10" s="1"/>
  <c r="B494" i="10" s="1"/>
  <c r="K487" i="10"/>
  <c r="H487" i="10"/>
  <c r="H490" i="10" s="1" a="1"/>
  <c r="H490" i="10" s="1"/>
  <c r="F487" i="10"/>
  <c r="F490" i="10" s="1" a="1"/>
  <c r="F490" i="10" s="1"/>
  <c r="M487" i="10"/>
  <c r="M490" i="10" s="1" a="1"/>
  <c r="M490" i="10" s="1"/>
  <c r="O466" i="10"/>
  <c r="B523" i="10" a="1"/>
  <c r="B523" i="10" s="1"/>
  <c r="A523" i="10" a="1"/>
  <c r="A523" i="10" s="1"/>
  <c r="M466" i="10"/>
  <c r="D486" i="10"/>
  <c r="N486" i="10"/>
  <c r="K474" i="10"/>
  <c r="ET44" i="9" s="1" a="1"/>
  <c r="ET44" i="9" s="1"/>
  <c r="B510" i="10"/>
  <c r="P509" i="10"/>
  <c r="J509" i="10"/>
  <c r="I509" i="10"/>
  <c r="H509" i="10"/>
  <c r="F509" i="10"/>
  <c r="E509" i="10"/>
  <c r="G509" i="10"/>
  <c r="D509" i="10"/>
  <c r="L509" i="10"/>
  <c r="O509" i="10"/>
  <c r="K509" i="10"/>
  <c r="M509" i="10"/>
  <c r="N509" i="10"/>
  <c r="E489" i="10"/>
  <c r="E486" i="10"/>
  <c r="L486" i="10"/>
  <c r="J489" i="10"/>
  <c r="L480" i="10"/>
  <c r="I466" i="10"/>
  <c r="I486" i="10"/>
  <c r="N466" i="10"/>
  <c r="L489" i="10"/>
  <c r="R537" i="10"/>
  <c r="AN41" i="9" l="1"/>
  <c r="O1024" i="13"/>
  <c r="HX40" i="9" s="1" a="1"/>
  <c r="HX40" i="9" s="1"/>
  <c r="M1058" i="13"/>
  <c r="GL41" i="9" s="1" a="1"/>
  <c r="GL41" i="9" s="1"/>
  <c r="E1058" i="13"/>
  <c r="AP41" i="9" s="1" a="1"/>
  <c r="AP41" i="9" s="1"/>
  <c r="HV40" i="9"/>
  <c r="J1058" i="13"/>
  <c r="EG41" i="9" s="1" a="1"/>
  <c r="EG41" i="9" s="1"/>
  <c r="I1024" i="13"/>
  <c r="DN40" i="9" s="1" a="1"/>
  <c r="DN40" i="9" s="1"/>
  <c r="G1058" i="13"/>
  <c r="CB41" i="9" s="1" a="1"/>
  <c r="CB41" i="9" s="1"/>
  <c r="H1058" i="13"/>
  <c r="CU41" i="9" s="1" a="1"/>
  <c r="CU41" i="9" s="1"/>
  <c r="CS41" i="9"/>
  <c r="CC43" i="9" a="1"/>
  <c r="CC43" i="9" s="1"/>
  <c r="O1058" i="13"/>
  <c r="HX41" i="9" s="1" a="1"/>
  <c r="HX41" i="9" s="1"/>
  <c r="EE41" i="9"/>
  <c r="O1088" i="13"/>
  <c r="HU42" i="9" a="1"/>
  <c r="HU42" i="9" s="1"/>
  <c r="I1088" i="13"/>
  <c r="DK42" i="9" a="1"/>
  <c r="DK42" i="9" s="1"/>
  <c r="M1088" i="13"/>
  <c r="GI42" i="9" a="1"/>
  <c r="GI42" i="9" s="1"/>
  <c r="J1088" i="13"/>
  <c r="ED42" i="9" a="1"/>
  <c r="ED42" i="9" s="1"/>
  <c r="E1090" i="13"/>
  <c r="AM42" i="9" a="1"/>
  <c r="AM42" i="9" s="1"/>
  <c r="N1090" i="13"/>
  <c r="HB42" i="9" a="1"/>
  <c r="HB42" i="9" s="1"/>
  <c r="D1088" i="13"/>
  <c r="T42" i="9" a="1"/>
  <c r="T42" i="9" s="1"/>
  <c r="E54" i="25" s="1" a="1"/>
  <c r="E54" i="25" s="1"/>
  <c r="K1088" i="13"/>
  <c r="EW42" i="9" a="1"/>
  <c r="EW42" i="9" s="1"/>
  <c r="O53" i="25" a="1"/>
  <c r="O53" i="25" s="1"/>
  <c r="HD41" i="9"/>
  <c r="K1054" i="13"/>
  <c r="EW41" i="9" a="1"/>
  <c r="EW41" i="9" s="1"/>
  <c r="N53" i="25" a="1"/>
  <c r="N53" i="25" s="1"/>
  <c r="GK41" i="9"/>
  <c r="F1056" i="13"/>
  <c r="BF41" i="9" a="1"/>
  <c r="BF41" i="9" s="1"/>
  <c r="P53" i="25" a="1"/>
  <c r="P53" i="25" s="1"/>
  <c r="HW41" i="9"/>
  <c r="K53" i="25" a="1"/>
  <c r="K53" i="25" s="1"/>
  <c r="EF41" i="9"/>
  <c r="I1056" i="13"/>
  <c r="DK41" i="9" a="1"/>
  <c r="DK41" i="9" s="1"/>
  <c r="D1054" i="13"/>
  <c r="T41" i="9" a="1"/>
  <c r="T41" i="9" s="1"/>
  <c r="E53" i="25" s="1" a="1"/>
  <c r="E53" i="25" s="1"/>
  <c r="HV41" i="9"/>
  <c r="H53" i="25" a="1"/>
  <c r="H53" i="25" s="1"/>
  <c r="CA41" i="9"/>
  <c r="I53" i="25" a="1"/>
  <c r="I53" i="25" s="1"/>
  <c r="CT41" i="9"/>
  <c r="L1056" i="13"/>
  <c r="FP41" i="9" a="1"/>
  <c r="FP41" i="9" s="1"/>
  <c r="FQ41" i="9" s="1"/>
  <c r="F53" i="25" a="1"/>
  <c r="F53" i="25" s="1"/>
  <c r="AO41" i="9"/>
  <c r="P52" i="25" a="1"/>
  <c r="P52" i="25" s="1"/>
  <c r="HW40" i="9"/>
  <c r="Q51" i="25"/>
  <c r="J52" i="25" a="1"/>
  <c r="J52" i="25" s="1"/>
  <c r="DM40" i="9"/>
  <c r="D1022" i="13"/>
  <c r="T40" i="9" a="1"/>
  <c r="T40" i="9" s="1"/>
  <c r="DL40" i="9"/>
  <c r="G1083" i="13" a="1"/>
  <c r="G1083" i="13" s="1"/>
  <c r="G1084" i="13" s="1"/>
  <c r="BW43" i="9" a="1"/>
  <c r="BW43" i="9" s="1"/>
  <c r="H55" i="27" s="1" a="1"/>
  <c r="H55" i="27" s="1"/>
  <c r="F1085" i="13" a="1"/>
  <c r="F1085" i="13" s="1"/>
  <c r="F1086" i="13" s="1"/>
  <c r="F1087" i="13" s="1"/>
  <c r="G1119" i="13" a="1"/>
  <c r="G1119" i="13" s="1"/>
  <c r="G1120" i="13" s="1"/>
  <c r="G1121" i="13" s="1"/>
  <c r="K1119" i="13" a="1"/>
  <c r="K1119" i="13" s="1"/>
  <c r="K1120" i="13" s="1"/>
  <c r="K1121" i="13" s="1"/>
  <c r="H1085" i="13" a="1"/>
  <c r="H1085" i="13" s="1"/>
  <c r="H1086" i="13" s="1"/>
  <c r="H1087" i="13" s="1"/>
  <c r="FO42" i="9" a="1"/>
  <c r="FO42" i="9" s="1"/>
  <c r="HT42" i="9" a="1"/>
  <c r="HT42" i="9" s="1"/>
  <c r="GH42" i="9" a="1"/>
  <c r="GH42" i="9" s="1"/>
  <c r="L1083" i="13" a="1"/>
  <c r="L1083" i="13" s="1"/>
  <c r="L1084" i="13" s="1"/>
  <c r="L1087" i="13" s="1"/>
  <c r="O1106" i="13" a="1"/>
  <c r="O1106" i="13" s="1"/>
  <c r="O1117" i="13" s="1" a="1"/>
  <c r="O1117" i="13" s="1"/>
  <c r="O1118" i="13" s="1"/>
  <c r="HY43" i="9" a="1"/>
  <c r="HY43" i="9" s="1"/>
  <c r="HS43" i="9" a="1"/>
  <c r="HS43" i="9" s="1"/>
  <c r="P55" i="27" s="1" a="1"/>
  <c r="P55" i="27" s="1"/>
  <c r="O1140" i="13" a="1"/>
  <c r="O1140" i="13" s="1"/>
  <c r="O1151" i="13" s="1" a="1"/>
  <c r="O1151" i="13" s="1"/>
  <c r="O1152" i="13" s="1"/>
  <c r="HS44" i="9" a="1"/>
  <c r="HS44" i="9" s="1"/>
  <c r="P56" i="27" s="1" a="1"/>
  <c r="P56" i="27" s="1"/>
  <c r="HY44" i="9" a="1"/>
  <c r="HY44" i="9" s="1"/>
  <c r="N1140" i="13" a="1"/>
  <c r="N1140" i="13" s="1"/>
  <c r="N1151" i="13" s="1" a="1"/>
  <c r="N1151" i="13" s="1"/>
  <c r="N1152" i="13" s="1"/>
  <c r="GZ44" i="9" a="1"/>
  <c r="GZ44" i="9" s="1"/>
  <c r="O56" i="27" s="1" a="1"/>
  <c r="O56" i="27" s="1"/>
  <c r="HF44" i="9" a="1"/>
  <c r="HF44" i="9" s="1"/>
  <c r="N1106" i="13" a="1"/>
  <c r="N1106" i="13" s="1"/>
  <c r="N1119" i="13" s="1" a="1"/>
  <c r="N1119" i="13" s="1"/>
  <c r="N1120" i="13" s="1"/>
  <c r="GZ43" i="9" a="1"/>
  <c r="GZ43" i="9" s="1"/>
  <c r="O55" i="27" s="1" a="1"/>
  <c r="O55" i="27" s="1"/>
  <c r="HF43" i="9" a="1"/>
  <c r="HF43" i="9" s="1"/>
  <c r="DJ42" i="9" a="1"/>
  <c r="DJ42" i="9" s="1"/>
  <c r="HA42" i="9" a="1"/>
  <c r="HA42" i="9" s="1"/>
  <c r="DJ41" i="9" a="1"/>
  <c r="DJ41" i="9" s="1"/>
  <c r="M1106" i="13" a="1"/>
  <c r="M1106" i="13" s="1"/>
  <c r="M1117" i="13" s="1" a="1"/>
  <c r="M1117" i="13" s="1"/>
  <c r="M1118" i="13" s="1"/>
  <c r="GG43" i="9" a="1"/>
  <c r="GG43" i="9" s="1"/>
  <c r="N55" i="27" s="1" a="1"/>
  <c r="N55" i="27" s="1"/>
  <c r="GM43" i="9" a="1"/>
  <c r="GM43" i="9" s="1"/>
  <c r="M1140" i="13" a="1"/>
  <c r="M1140" i="13" s="1"/>
  <c r="M1151" i="13" s="1" a="1"/>
  <c r="M1151" i="13" s="1"/>
  <c r="M1152" i="13" s="1"/>
  <c r="GG44" i="9" a="1"/>
  <c r="GG44" i="9" s="1"/>
  <c r="N56" i="27" s="1" a="1"/>
  <c r="N56" i="27" s="1"/>
  <c r="GM44" i="9" a="1"/>
  <c r="GM44" i="9" s="1"/>
  <c r="M54" i="27" a="1"/>
  <c r="M54" i="27" s="1"/>
  <c r="L1106" i="13" a="1"/>
  <c r="L1106" i="13" s="1"/>
  <c r="L1119" i="13" s="1" a="1"/>
  <c r="L1119" i="13" s="1"/>
  <c r="L1120" i="13" s="1"/>
  <c r="FN43" i="9" a="1"/>
  <c r="FN43" i="9" s="1"/>
  <c r="M55" i="27" s="1" a="1"/>
  <c r="M55" i="27" s="1"/>
  <c r="FT43" i="9" a="1"/>
  <c r="FT43" i="9" s="1"/>
  <c r="F1117" i="13" a="1"/>
  <c r="F1117" i="13" s="1"/>
  <c r="F1118" i="13" s="1"/>
  <c r="F1121" i="13" s="1"/>
  <c r="EC42" i="9" a="1"/>
  <c r="EC42" i="9" s="1"/>
  <c r="L1140" i="13" a="1"/>
  <c r="L1140" i="13" s="1"/>
  <c r="L1151" i="13" s="1" a="1"/>
  <c r="L1151" i="13" s="1"/>
  <c r="L1152" i="13" s="1"/>
  <c r="FN44" i="9" a="1"/>
  <c r="FN44" i="9" s="1"/>
  <c r="M56" i="27" s="1" a="1"/>
  <c r="M56" i="27" s="1"/>
  <c r="FT44" i="9" a="1"/>
  <c r="FT44" i="9" s="1"/>
  <c r="M1109" i="13" a="1"/>
  <c r="M1109" i="13" s="1"/>
  <c r="M1110" i="13" s="1"/>
  <c r="M1111" i="13" s="1"/>
  <c r="EV42" i="9" a="1"/>
  <c r="EV42" i="9" s="1"/>
  <c r="J1106" i="13" a="1"/>
  <c r="J1106" i="13" s="1"/>
  <c r="J1117" i="13" s="1" a="1"/>
  <c r="J1117" i="13" s="1"/>
  <c r="J1118" i="13" s="1"/>
  <c r="EB43" i="9" a="1"/>
  <c r="EB43" i="9" s="1"/>
  <c r="K55" i="27" s="1" a="1"/>
  <c r="K55" i="27" s="1"/>
  <c r="EH43" i="9" a="1"/>
  <c r="EH43" i="9" s="1"/>
  <c r="I1106" i="13" a="1"/>
  <c r="I1106" i="13" s="1"/>
  <c r="I1117" i="13" s="1" a="1"/>
  <c r="I1117" i="13" s="1"/>
  <c r="I1118" i="13" s="1"/>
  <c r="DI43" i="9" a="1"/>
  <c r="DI43" i="9" s="1"/>
  <c r="J55" i="27" s="1" a="1"/>
  <c r="J55" i="27" s="1"/>
  <c r="DO43" i="9" a="1"/>
  <c r="DO43" i="9" s="1"/>
  <c r="H1106" i="13" a="1"/>
  <c r="H1106" i="13" s="1"/>
  <c r="H1119" i="13" s="1" a="1"/>
  <c r="H1119" i="13" s="1"/>
  <c r="H1120" i="13" s="1"/>
  <c r="CV43" i="9" a="1"/>
  <c r="CV43" i="9" s="1"/>
  <c r="CP43" i="9" a="1"/>
  <c r="CP43" i="9" s="1"/>
  <c r="I55" i="27" s="1" a="1"/>
  <c r="I55" i="27" s="1"/>
  <c r="H1140" i="13" a="1"/>
  <c r="H1140" i="13" s="1"/>
  <c r="H1151" i="13" s="1" a="1"/>
  <c r="H1151" i="13" s="1"/>
  <c r="H1152" i="13" s="1"/>
  <c r="CP44" i="9" a="1"/>
  <c r="CP44" i="9" s="1"/>
  <c r="I56" i="27" s="1" a="1"/>
  <c r="I56" i="27" s="1"/>
  <c r="CV44" i="9" a="1"/>
  <c r="CV44" i="9" s="1"/>
  <c r="I54" i="27" a="1"/>
  <c r="I54" i="27" s="1"/>
  <c r="H54" i="27" a="1"/>
  <c r="H54" i="27" s="1"/>
  <c r="BE41" i="9" a="1"/>
  <c r="BE41" i="9" s="1"/>
  <c r="G54" i="27" a="1"/>
  <c r="G54" i="27" s="1"/>
  <c r="F1140" i="13" a="1"/>
  <c r="F1140" i="13" s="1"/>
  <c r="F1151" i="13" s="1" a="1"/>
  <c r="F1151" i="13" s="1"/>
  <c r="F1152" i="13" s="1"/>
  <c r="BD44" i="9" a="1"/>
  <c r="BD44" i="9" s="1"/>
  <c r="G56" i="27" s="1" a="1"/>
  <c r="G56" i="27" s="1"/>
  <c r="BJ44" i="9" a="1"/>
  <c r="BJ44" i="9" s="1"/>
  <c r="E1106" i="13" a="1"/>
  <c r="E1106" i="13" s="1"/>
  <c r="E1119" i="13" s="1" a="1"/>
  <c r="E1119" i="13" s="1"/>
  <c r="E1120" i="13" s="1"/>
  <c r="AK43" i="9" a="1"/>
  <c r="AK43" i="9" s="1"/>
  <c r="F55" i="27" s="1" a="1"/>
  <c r="F55" i="27" s="1"/>
  <c r="AQ43" i="9" a="1"/>
  <c r="AQ43" i="9" s="1"/>
  <c r="AL42" i="9" a="1"/>
  <c r="AL42" i="9" s="1"/>
  <c r="E1140" i="13" a="1"/>
  <c r="E1140" i="13" s="1"/>
  <c r="E1153" i="13" s="1" a="1"/>
  <c r="E1153" i="13" s="1"/>
  <c r="E1154" i="13" s="1"/>
  <c r="AK44" i="9" a="1"/>
  <c r="AK44" i="9" s="1"/>
  <c r="F56" i="27" s="1" a="1"/>
  <c r="F56" i="27" s="1"/>
  <c r="AQ44" i="9" a="1"/>
  <c r="AQ44" i="9" s="1"/>
  <c r="R43" i="9" a="1"/>
  <c r="R43" i="9" s="1"/>
  <c r="E55" i="27" s="1" a="1"/>
  <c r="E55" i="27" s="1"/>
  <c r="X43" i="9" a="1"/>
  <c r="X43" i="9" s="1"/>
  <c r="G478" i="10"/>
  <c r="G1139" i="13" s="1" a="1"/>
  <c r="G1139" i="13" s="1"/>
  <c r="G1146" i="13" s="1" a="1"/>
  <c r="G1146" i="13" s="1"/>
  <c r="G1147" i="13" s="1"/>
  <c r="D1140" i="13" a="1"/>
  <c r="D1140" i="13" s="1"/>
  <c r="D1151" i="13" s="1" a="1"/>
  <c r="D1151" i="13" s="1"/>
  <c r="D1152" i="13" s="1"/>
  <c r="R44" i="9" a="1"/>
  <c r="R44" i="9" s="1"/>
  <c r="E56" i="27" s="1" a="1"/>
  <c r="E56" i="27" s="1"/>
  <c r="J1107" i="13" a="1"/>
  <c r="J1107" i="13" s="1"/>
  <c r="J1108" i="13" s="1"/>
  <c r="J1111" i="13" s="1"/>
  <c r="O1109" i="13" a="1"/>
  <c r="O1109" i="13" s="1"/>
  <c r="O1110" i="13" s="1"/>
  <c r="O1111" i="13" s="1"/>
  <c r="G479" i="10"/>
  <c r="M1116" i="13"/>
  <c r="P465" i="10"/>
  <c r="G1112" i="13" a="1"/>
  <c r="G1112" i="13" s="1"/>
  <c r="G1113" i="13" s="1"/>
  <c r="G1116" i="13" s="1"/>
  <c r="J490" i="10" a="1"/>
  <c r="J490" i="10" s="1"/>
  <c r="J491" i="10" s="1"/>
  <c r="J1172" i="13" s="1" a="1"/>
  <c r="J1172" i="13" s="1"/>
  <c r="G1077" i="13"/>
  <c r="E1111" i="13"/>
  <c r="K1116" i="13"/>
  <c r="I1054" i="13"/>
  <c r="G1082" i="13"/>
  <c r="F1116" i="13"/>
  <c r="F1077" i="13"/>
  <c r="H1077" i="13"/>
  <c r="D1077" i="13"/>
  <c r="H1116" i="13"/>
  <c r="F493" i="10"/>
  <c r="F492" i="10"/>
  <c r="F1173" i="13" s="1" a="1"/>
  <c r="F1173" i="13" s="1"/>
  <c r="F491" i="10"/>
  <c r="F1172" i="13" s="1" a="1"/>
  <c r="F1172" i="13" s="1"/>
  <c r="D493" i="10"/>
  <c r="D491" i="10"/>
  <c r="D492" i="10"/>
  <c r="G493" i="10"/>
  <c r="G491" i="10"/>
  <c r="G1172" i="13" s="1" a="1"/>
  <c r="G1172" i="13" s="1"/>
  <c r="G492" i="10"/>
  <c r="G1173" i="13" s="1" a="1"/>
  <c r="G1173" i="13" s="1"/>
  <c r="I491" i="10"/>
  <c r="I1172" i="13" s="1" a="1"/>
  <c r="I1172" i="13" s="1"/>
  <c r="I492" i="10"/>
  <c r="I1173" i="13" s="1" a="1"/>
  <c r="I1173" i="13" s="1"/>
  <c r="I493" i="10"/>
  <c r="M493" i="10"/>
  <c r="M491" i="10"/>
  <c r="M1172" i="13" s="1" a="1"/>
  <c r="M1172" i="13" s="1"/>
  <c r="M492" i="10"/>
  <c r="M1173" i="13" s="1" a="1"/>
  <c r="M1173" i="13" s="1"/>
  <c r="O493" i="10"/>
  <c r="O491" i="10"/>
  <c r="O1172" i="13" s="1" a="1"/>
  <c r="O1172" i="13" s="1"/>
  <c r="O492" i="10"/>
  <c r="O1173" i="13" s="1" a="1"/>
  <c r="O1173" i="13" s="1"/>
  <c r="N493" i="10"/>
  <c r="N491" i="10"/>
  <c r="N1172" i="13" s="1" a="1"/>
  <c r="N1172" i="13" s="1"/>
  <c r="N492" i="10"/>
  <c r="N1173" i="13" s="1" a="1"/>
  <c r="N1173" i="13" s="1"/>
  <c r="H493" i="10"/>
  <c r="H491" i="10"/>
  <c r="H1172" i="13" s="1" a="1"/>
  <c r="H1172" i="13" s="1"/>
  <c r="H492" i="10"/>
  <c r="H1173" i="13" s="1" a="1"/>
  <c r="H1173" i="13" s="1"/>
  <c r="H1111" i="13"/>
  <c r="D1107" i="13" a="1"/>
  <c r="D1107" i="13" s="1"/>
  <c r="D1108" i="13" s="1"/>
  <c r="D1109" i="13" a="1"/>
  <c r="D1109" i="13" s="1"/>
  <c r="D1110" i="13" s="1"/>
  <c r="H1148" i="13" a="1"/>
  <c r="H1148" i="13" s="1"/>
  <c r="H1149" i="13" s="1"/>
  <c r="H1146" i="13" a="1"/>
  <c r="H1146" i="13" s="1"/>
  <c r="H1147" i="13" s="1"/>
  <c r="G1141" i="13" a="1"/>
  <c r="G1141" i="13" s="1"/>
  <c r="G1142" i="13" s="1"/>
  <c r="G1143" i="13" a="1"/>
  <c r="G1143" i="13" s="1"/>
  <c r="G1144" i="13" s="1"/>
  <c r="H1143" i="13" a="1"/>
  <c r="H1143" i="13" s="1"/>
  <c r="H1144" i="13" s="1"/>
  <c r="H1141" i="13" a="1"/>
  <c r="H1141" i="13" s="1"/>
  <c r="H1142" i="13" s="1"/>
  <c r="D1139" i="13" a="1"/>
  <c r="D1139" i="13" s="1"/>
  <c r="F1111" i="13"/>
  <c r="F1082" i="13"/>
  <c r="K1111" i="13"/>
  <c r="P464" i="10"/>
  <c r="J1148" i="13" a="1"/>
  <c r="J1148" i="13" s="1"/>
  <c r="J1149" i="13" s="1"/>
  <c r="J1146" i="13" a="1"/>
  <c r="J1146" i="13" s="1"/>
  <c r="J1147" i="13" s="1"/>
  <c r="F1146" i="13" a="1"/>
  <c r="F1146" i="13" s="1"/>
  <c r="F1147" i="13" s="1"/>
  <c r="F1148" i="13" a="1"/>
  <c r="F1148" i="13" s="1"/>
  <c r="F1149" i="13" s="1"/>
  <c r="L490" i="10" a="1"/>
  <c r="L490" i="10" s="1"/>
  <c r="E490" i="10" a="1"/>
  <c r="E490" i="10" s="1"/>
  <c r="E1116" i="13"/>
  <c r="D1082" i="13"/>
  <c r="K478" i="10"/>
  <c r="K1139" i="13" s="1" a="1"/>
  <c r="K1139" i="13" s="1"/>
  <c r="K477" i="10"/>
  <c r="K1138" i="13" s="1" a="1"/>
  <c r="K1138" i="13" s="1"/>
  <c r="K479" i="10"/>
  <c r="D1114" i="13" a="1"/>
  <c r="D1114" i="13" s="1"/>
  <c r="D1115" i="13" s="1"/>
  <c r="D1112" i="13" a="1"/>
  <c r="D1112" i="13" s="1"/>
  <c r="D1113" i="13" s="1"/>
  <c r="N1114" i="13" a="1"/>
  <c r="N1114" i="13" s="1"/>
  <c r="N1115" i="13" s="1"/>
  <c r="N1112" i="13" a="1"/>
  <c r="N1112" i="13" s="1"/>
  <c r="N1113" i="13" s="1"/>
  <c r="N1148" i="13" a="1"/>
  <c r="N1148" i="13" s="1"/>
  <c r="N1149" i="13" s="1"/>
  <c r="N1146" i="13" a="1"/>
  <c r="N1146" i="13" s="1"/>
  <c r="N1147" i="13" s="1"/>
  <c r="J1143" i="13" a="1"/>
  <c r="J1143" i="13" s="1"/>
  <c r="J1144" i="13" s="1"/>
  <c r="J1141" i="13" a="1"/>
  <c r="J1141" i="13" s="1"/>
  <c r="J1142" i="13" s="1"/>
  <c r="F1143" i="13" a="1"/>
  <c r="F1143" i="13" s="1"/>
  <c r="F1144" i="13" s="1"/>
  <c r="F1141" i="13" a="1"/>
  <c r="F1141" i="13" s="1"/>
  <c r="F1142" i="13" s="1"/>
  <c r="I1112" i="13" a="1"/>
  <c r="I1112" i="13" s="1"/>
  <c r="I1113" i="13" s="1"/>
  <c r="I1114" i="13" a="1"/>
  <c r="I1114" i="13" s="1"/>
  <c r="I1115" i="13" s="1"/>
  <c r="N1109" i="13" a="1"/>
  <c r="N1109" i="13" s="1"/>
  <c r="N1110" i="13" s="1"/>
  <c r="N1107" i="13" a="1"/>
  <c r="N1107" i="13" s="1"/>
  <c r="N1108" i="13" s="1"/>
  <c r="N1143" i="13" a="1"/>
  <c r="N1143" i="13" s="1"/>
  <c r="N1144" i="13" s="1"/>
  <c r="N1141" i="13" a="1"/>
  <c r="N1141" i="13" s="1"/>
  <c r="N1142" i="13" s="1"/>
  <c r="E1146" i="13" a="1"/>
  <c r="E1146" i="13" s="1"/>
  <c r="E1147" i="13" s="1"/>
  <c r="E1148" i="13" a="1"/>
  <c r="E1148" i="13" s="1"/>
  <c r="E1149" i="13" s="1"/>
  <c r="P490" i="10" a="1"/>
  <c r="P490" i="10" s="1"/>
  <c r="O1116" i="13"/>
  <c r="I1107" i="13" a="1"/>
  <c r="I1107" i="13" s="1"/>
  <c r="I1108" i="13" s="1"/>
  <c r="I1109" i="13" a="1"/>
  <c r="I1109" i="13" s="1"/>
  <c r="I1110" i="13" s="1"/>
  <c r="L1143" i="13" a="1"/>
  <c r="L1143" i="13" s="1"/>
  <c r="L1144" i="13" s="1"/>
  <c r="L1141" i="13" a="1"/>
  <c r="L1141" i="13" s="1"/>
  <c r="L1142" i="13" s="1"/>
  <c r="E1141" i="13" a="1"/>
  <c r="E1141" i="13" s="1"/>
  <c r="E1142" i="13" s="1"/>
  <c r="E1143" i="13" a="1"/>
  <c r="E1143" i="13" s="1"/>
  <c r="E1144" i="13" s="1"/>
  <c r="K490" i="10" a="1"/>
  <c r="K490" i="10" s="1"/>
  <c r="I479" i="10"/>
  <c r="I477" i="10"/>
  <c r="I1138" i="13" s="1" a="1"/>
  <c r="I1138" i="13" s="1"/>
  <c r="I478" i="10"/>
  <c r="I1139" i="13" s="1" a="1"/>
  <c r="I1139" i="13" s="1"/>
  <c r="L1109" i="13" a="1"/>
  <c r="L1109" i="13" s="1"/>
  <c r="L1110" i="13" s="1"/>
  <c r="L1107" i="13" a="1"/>
  <c r="L1107" i="13" s="1"/>
  <c r="L1108" i="13" s="1"/>
  <c r="O1148" i="13" a="1"/>
  <c r="O1148" i="13" s="1"/>
  <c r="O1149" i="13" s="1"/>
  <c r="O1146" i="13" a="1"/>
  <c r="O1146" i="13" s="1"/>
  <c r="O1147" i="13" s="1"/>
  <c r="M1146" i="13" a="1"/>
  <c r="M1146" i="13" s="1"/>
  <c r="M1147" i="13" s="1"/>
  <c r="M1148" i="13" a="1"/>
  <c r="M1148" i="13" s="1"/>
  <c r="M1149" i="13" s="1"/>
  <c r="J1116" i="13"/>
  <c r="G1111" i="13"/>
  <c r="H1082" i="13"/>
  <c r="P463" i="10"/>
  <c r="L1112" i="13" a="1"/>
  <c r="L1112" i="13" s="1"/>
  <c r="L1113" i="13" s="1"/>
  <c r="L1114" i="13" a="1"/>
  <c r="L1114" i="13" s="1"/>
  <c r="L1115" i="13" s="1"/>
  <c r="L1146" i="13" a="1"/>
  <c r="L1146" i="13" s="1"/>
  <c r="L1147" i="13" s="1"/>
  <c r="L1148" i="13" a="1"/>
  <c r="L1148" i="13" s="1"/>
  <c r="L1149" i="13" s="1"/>
  <c r="O1143" i="13" a="1"/>
  <c r="O1143" i="13" s="1"/>
  <c r="O1144" i="13" s="1"/>
  <c r="O1141" i="13" a="1"/>
  <c r="O1141" i="13" s="1"/>
  <c r="O1142" i="13" s="1"/>
  <c r="D1138" i="13" a="1"/>
  <c r="D1138" i="13" s="1"/>
  <c r="M1143" i="13" a="1"/>
  <c r="M1143" i="13" s="1"/>
  <c r="M1144" i="13" s="1"/>
  <c r="M1141" i="13" a="1"/>
  <c r="M1141" i="13" s="1"/>
  <c r="M1142" i="13" s="1"/>
  <c r="K1056" i="13"/>
  <c r="F1054" i="13"/>
  <c r="F1058" i="13" s="1"/>
  <c r="BI41" i="9" s="1" a="1"/>
  <c r="BI41" i="9" s="1"/>
  <c r="M1090" i="13"/>
  <c r="D1056" i="13"/>
  <c r="N1088" i="13"/>
  <c r="D1020" i="13"/>
  <c r="G55" i="27" a="1"/>
  <c r="G55" i="27" s="1"/>
  <c r="D1106" i="13" a="1"/>
  <c r="D1106" i="13" s="1"/>
  <c r="O1090" i="13"/>
  <c r="I1090" i="13"/>
  <c r="E1088" i="13"/>
  <c r="L1054" i="13"/>
  <c r="G1087" i="13"/>
  <c r="D1090" i="13"/>
  <c r="J1090" i="13"/>
  <c r="K1090" i="13"/>
  <c r="L55" i="27" a="1"/>
  <c r="L55" i="27" s="1"/>
  <c r="J480" i="10"/>
  <c r="DP40" i="9"/>
  <c r="DX40" i="9" s="1"/>
  <c r="IJ36" i="9"/>
  <c r="IK36" i="9" s="1"/>
  <c r="Z38" i="9" a="1"/>
  <c r="Z38" i="9" s="1"/>
  <c r="AH38" i="9" s="1"/>
  <c r="F51" i="24" s="1" a="1"/>
  <c r="F51" i="24" s="1"/>
  <c r="AH36" i="9"/>
  <c r="F49" i="24" s="1" a="1"/>
  <c r="F49" i="24" s="1"/>
  <c r="EJ39" i="9" a="1"/>
  <c r="EJ39" i="9" s="1"/>
  <c r="ER39" i="9" s="1"/>
  <c r="L52" i="24" s="1" a="1"/>
  <c r="L52" i="24" s="1"/>
  <c r="IA39" i="9" a="1"/>
  <c r="IA39" i="9" s="1"/>
  <c r="II39" i="9" s="1"/>
  <c r="Q52" i="24" s="1" a="1"/>
  <c r="Q52" i="24" s="1"/>
  <c r="FV39" i="9" a="1"/>
  <c r="FV39" i="9" s="1"/>
  <c r="GD39" i="9" s="1"/>
  <c r="N52" i="24" s="1" a="1"/>
  <c r="N52" i="24" s="1"/>
  <c r="GO38" i="9" a="1"/>
  <c r="GO38" i="9" s="1"/>
  <c r="GW38" i="9" s="1"/>
  <c r="O51" i="24" s="1" a="1"/>
  <c r="O51" i="24" s="1"/>
  <c r="CE38" i="9" a="1"/>
  <c r="CE38" i="9" s="1"/>
  <c r="CM38" i="9" s="1"/>
  <c r="I51" i="24" s="1" a="1"/>
  <c r="I51" i="24" s="1"/>
  <c r="BL38" i="9" a="1"/>
  <c r="BL38" i="9" s="1"/>
  <c r="BT38" i="9" s="1"/>
  <c r="H51" i="24" s="1" a="1"/>
  <c r="H51" i="24" s="1"/>
  <c r="FC38" i="9" a="1"/>
  <c r="FC38" i="9" s="1"/>
  <c r="FK38" i="9" s="1"/>
  <c r="M51" i="24" s="1" a="1"/>
  <c r="M51" i="24" s="1"/>
  <c r="HH39" i="9" a="1"/>
  <c r="HH39" i="9" s="1"/>
  <c r="HP39" i="9" s="1"/>
  <c r="P52" i="24" s="1" a="1"/>
  <c r="P52" i="24" s="1"/>
  <c r="GO39" i="9" a="1"/>
  <c r="GO39" i="9" s="1"/>
  <c r="GW39" i="9" s="1"/>
  <c r="O52" i="24" s="1" a="1"/>
  <c r="O52" i="24" s="1"/>
  <c r="Z37" i="9" a="1"/>
  <c r="Z37" i="9" s="1"/>
  <c r="IJ37" i="9" s="1"/>
  <c r="IK37" i="9" s="1"/>
  <c r="CX38" i="9" a="1"/>
  <c r="CX38" i="9" s="1"/>
  <c r="IL38" i="9"/>
  <c r="IM38" i="9" s="1"/>
  <c r="BL39" i="9" a="1"/>
  <c r="BL39" i="9" s="1"/>
  <c r="BT39" i="9" s="1"/>
  <c r="H52" i="24" s="1" a="1"/>
  <c r="H52" i="24" s="1"/>
  <c r="IA38" i="9" a="1"/>
  <c r="IA38" i="9" s="1"/>
  <c r="II38" i="9" s="1"/>
  <c r="Q51" i="24" s="1" a="1"/>
  <c r="Q51" i="24" s="1"/>
  <c r="FB39" i="9"/>
  <c r="FJ39" i="9" s="1"/>
  <c r="W39" i="9" a="1"/>
  <c r="W39" i="9" s="1"/>
  <c r="Y39" i="9" s="1"/>
  <c r="AG39" i="9" s="1"/>
  <c r="EI40" i="9"/>
  <c r="EQ40" i="9" s="1"/>
  <c r="FU40" i="9"/>
  <c r="GC40" i="9" s="1"/>
  <c r="FB40" i="9"/>
  <c r="FJ40" i="9" s="1"/>
  <c r="HG40" i="9"/>
  <c r="HO40" i="9" s="1"/>
  <c r="CD40" i="9"/>
  <c r="CL40" i="9" s="1"/>
  <c r="CW40" i="9"/>
  <c r="DE40" i="9" s="1"/>
  <c r="EJ38" i="9" a="1"/>
  <c r="EJ38" i="9" s="1"/>
  <c r="ER38" i="9" s="1"/>
  <c r="L51" i="24" s="1" a="1"/>
  <c r="L51" i="24" s="1"/>
  <c r="AR40" i="9"/>
  <c r="AZ40" i="9" s="1"/>
  <c r="CD39" i="9"/>
  <c r="CL39" i="9" s="1"/>
  <c r="HZ40" i="9"/>
  <c r="IH40" i="9" s="1"/>
  <c r="AR39" i="9"/>
  <c r="AZ39" i="9" s="1"/>
  <c r="DX39" i="9"/>
  <c r="DQ39" i="9" a="1"/>
  <c r="DQ39" i="9" s="1"/>
  <c r="CX39" i="9" a="1"/>
  <c r="CX39" i="9" s="1"/>
  <c r="DF39" i="9" s="1"/>
  <c r="J52" i="24" s="1" a="1"/>
  <c r="J52" i="24" s="1"/>
  <c r="GN40" i="9"/>
  <c r="GV40" i="9" s="1"/>
  <c r="L488" i="10"/>
  <c r="FM45" i="9" s="1" a="1"/>
  <c r="FM45" i="9" s="1"/>
  <c r="H488" i="10"/>
  <c r="CO45" i="9" s="1" a="1"/>
  <c r="CO45" i="9" s="1"/>
  <c r="P503" i="10"/>
  <c r="S40" i="9" a="1"/>
  <c r="S40" i="9" s="1"/>
  <c r="I480" i="10"/>
  <c r="G494" i="10"/>
  <c r="G488" i="10"/>
  <c r="BV45" i="9" s="1" a="1"/>
  <c r="BV45" i="9" s="1"/>
  <c r="E488" i="10"/>
  <c r="AJ45" i="9" s="1" a="1"/>
  <c r="AJ45" i="9" s="1"/>
  <c r="I488" i="10"/>
  <c r="DH45" i="9" s="1" a="1"/>
  <c r="DH45" i="9" s="1"/>
  <c r="N488" i="10"/>
  <c r="GY45" i="9" s="1" a="1"/>
  <c r="GY45" i="9" s="1"/>
  <c r="I494" i="10"/>
  <c r="F494" i="10"/>
  <c r="D494" i="10"/>
  <c r="X45" i="9" s="1" a="1"/>
  <c r="X45" i="9" s="1"/>
  <c r="K488" i="10"/>
  <c r="ET45" i="9" s="1" a="1"/>
  <c r="ET45" i="9" s="1"/>
  <c r="H500" i="10"/>
  <c r="J500" i="10"/>
  <c r="B537" i="10" a="1"/>
  <c r="B537" i="10" s="1"/>
  <c r="A537" i="10" a="1"/>
  <c r="A537" i="10" s="1"/>
  <c r="L503" i="10"/>
  <c r="L500" i="10"/>
  <c r="P466" i="10"/>
  <c r="I500" i="10"/>
  <c r="O503" i="10"/>
  <c r="O500" i="10"/>
  <c r="M494" i="10"/>
  <c r="K480" i="10"/>
  <c r="M500" i="10"/>
  <c r="D488" i="10"/>
  <c r="Q45" i="9" s="1" a="1"/>
  <c r="Q45" i="9" s="1"/>
  <c r="O488" i="10"/>
  <c r="HR45" i="9" s="1" a="1"/>
  <c r="HR45" i="9" s="1"/>
  <c r="E500" i="10"/>
  <c r="F503" i="10"/>
  <c r="F500" i="10"/>
  <c r="J488" i="10"/>
  <c r="EA45" i="9" s="1" a="1"/>
  <c r="EA45" i="9" s="1"/>
  <c r="G523" i="10"/>
  <c r="F523" i="10"/>
  <c r="B524" i="10"/>
  <c r="O523" i="10"/>
  <c r="L523" i="10"/>
  <c r="K523" i="10"/>
  <c r="I523" i="10"/>
  <c r="H523" i="10"/>
  <c r="D523" i="10"/>
  <c r="J523" i="10"/>
  <c r="N523" i="10"/>
  <c r="M523" i="10"/>
  <c r="E523" i="10"/>
  <c r="P523" i="10"/>
  <c r="E503" i="10"/>
  <c r="E501" i="10"/>
  <c r="B502" i="10"/>
  <c r="B503" i="10" s="1"/>
  <c r="B504" i="10" s="1"/>
  <c r="B505" i="10" s="1"/>
  <c r="B506" i="10" s="1"/>
  <c r="B507" i="10" s="1"/>
  <c r="B508" i="10" s="1"/>
  <c r="L501" i="10"/>
  <c r="N501" i="10"/>
  <c r="N504" i="10" s="1" a="1"/>
  <c r="N504" i="10" s="1"/>
  <c r="P501" i="10"/>
  <c r="P502" i="10" s="1"/>
  <c r="K501" i="10"/>
  <c r="K504" i="10" s="1" a="1"/>
  <c r="K504" i="10" s="1"/>
  <c r="F501" i="10"/>
  <c r="J501" i="10"/>
  <c r="J504" i="10" s="1" a="1"/>
  <c r="J504" i="10" s="1"/>
  <c r="O501" i="10"/>
  <c r="M501" i="10"/>
  <c r="M504" i="10" s="1" a="1"/>
  <c r="M504" i="10" s="1"/>
  <c r="G501" i="10"/>
  <c r="D501" i="10"/>
  <c r="H501" i="10"/>
  <c r="H504" i="10" s="1" a="1"/>
  <c r="H504" i="10" s="1"/>
  <c r="I501" i="10"/>
  <c r="I504" i="10" s="1" a="1"/>
  <c r="I504" i="10" s="1"/>
  <c r="N500" i="10"/>
  <c r="G480" i="10"/>
  <c r="B514" i="10"/>
  <c r="B515" i="10" s="1"/>
  <c r="P510" i="10"/>
  <c r="P514" i="10" s="1"/>
  <c r="O510" i="10"/>
  <c r="O517" i="10" s="1"/>
  <c r="M510" i="10"/>
  <c r="G510" i="10"/>
  <c r="J510" i="10"/>
  <c r="I510" i="10"/>
  <c r="I517" i="10" s="1"/>
  <c r="F510" i="10"/>
  <c r="B511" i="10"/>
  <c r="B512" i="10" s="1"/>
  <c r="B513" i="10" s="1"/>
  <c r="N510" i="10"/>
  <c r="N517" i="10" s="1"/>
  <c r="L510" i="10"/>
  <c r="D510" i="10"/>
  <c r="D514" i="10" s="1"/>
  <c r="K510" i="10"/>
  <c r="K517" i="10" s="1"/>
  <c r="H510" i="10"/>
  <c r="H517" i="10" s="1"/>
  <c r="E510" i="10"/>
  <c r="E517" i="10" s="1"/>
  <c r="D503" i="10"/>
  <c r="D500" i="10"/>
  <c r="F488" i="10"/>
  <c r="BC45" i="9" s="1" a="1"/>
  <c r="BC45" i="9" s="1"/>
  <c r="M488" i="10"/>
  <c r="GF45" i="9" s="1" a="1"/>
  <c r="GF45" i="9" s="1"/>
  <c r="K500" i="10"/>
  <c r="G503" i="10"/>
  <c r="G500" i="10"/>
  <c r="R551" i="10"/>
  <c r="U40" i="9" l="1"/>
  <c r="J1092" i="13"/>
  <c r="EG42" i="9" s="1" a="1"/>
  <c r="EG42" i="9" s="1"/>
  <c r="E1092" i="13"/>
  <c r="AP42" i="9" s="1" a="1"/>
  <c r="AP42" i="9" s="1"/>
  <c r="O1092" i="13"/>
  <c r="HX42" i="9" s="1" a="1"/>
  <c r="HX42" i="9" s="1"/>
  <c r="D1058" i="13"/>
  <c r="K1092" i="13"/>
  <c r="EZ42" i="9" s="1" a="1"/>
  <c r="EZ42" i="9" s="1"/>
  <c r="FB42" i="9" s="1"/>
  <c r="FJ42" i="9" s="1"/>
  <c r="N1092" i="13"/>
  <c r="HE42" i="9" s="1" a="1"/>
  <c r="HE42" i="9" s="1"/>
  <c r="I1092" i="13"/>
  <c r="DN42" i="9" s="1" a="1"/>
  <c r="DN42" i="9" s="1"/>
  <c r="K1058" i="13"/>
  <c r="EZ41" i="9" s="1" a="1"/>
  <c r="EZ41" i="9" s="1"/>
  <c r="FB41" i="9" s="1"/>
  <c r="FJ41" i="9" s="1"/>
  <c r="HV42" i="9"/>
  <c r="D1153" i="13" a="1"/>
  <c r="D1153" i="13" s="1"/>
  <c r="D1154" i="13" s="1"/>
  <c r="D1155" i="13" s="1"/>
  <c r="AN42" i="9"/>
  <c r="G1124" i="13"/>
  <c r="BY43" i="9" a="1"/>
  <c r="BY43" i="9" s="1"/>
  <c r="GJ42" i="9"/>
  <c r="K1124" i="13"/>
  <c r="EW43" i="9" a="1"/>
  <c r="EW43" i="9" s="1"/>
  <c r="F1122" i="13"/>
  <c r="BF43" i="9" a="1"/>
  <c r="BF43" i="9" s="1"/>
  <c r="V42" i="9"/>
  <c r="F1090" i="13"/>
  <c r="BF42" i="9" a="1"/>
  <c r="BF42" i="9" s="1"/>
  <c r="H1088" i="13"/>
  <c r="CR42" i="9" a="1"/>
  <c r="CR42" i="9" s="1"/>
  <c r="L54" i="25" a="1"/>
  <c r="L54" i="25" s="1"/>
  <c r="EY42" i="9"/>
  <c r="EE42" i="9"/>
  <c r="K54" i="25" a="1"/>
  <c r="K54" i="25" s="1"/>
  <c r="EF42" i="9"/>
  <c r="D1092" i="13"/>
  <c r="I1058" i="13"/>
  <c r="DN41" i="9" s="1" a="1"/>
  <c r="DN41" i="9" s="1"/>
  <c r="N54" i="25" a="1"/>
  <c r="N54" i="25" s="1"/>
  <c r="GK42" i="9"/>
  <c r="D1024" i="13"/>
  <c r="W40" i="9" s="1" a="1"/>
  <c r="W40" i="9" s="1"/>
  <c r="Y40" i="9" s="1"/>
  <c r="AG40" i="9" s="1"/>
  <c r="EX42" i="9"/>
  <c r="L1088" i="13"/>
  <c r="FP42" i="9" a="1"/>
  <c r="FP42" i="9" s="1"/>
  <c r="FQ42" i="9" s="1"/>
  <c r="O54" i="25" a="1"/>
  <c r="O54" i="25" s="1"/>
  <c r="HD42" i="9"/>
  <c r="J54" i="25" a="1"/>
  <c r="J54" i="25" s="1"/>
  <c r="DM42" i="9"/>
  <c r="G1090" i="13"/>
  <c r="BY42" i="9" a="1"/>
  <c r="BY42" i="9" s="1"/>
  <c r="BG41" i="9"/>
  <c r="HC42" i="9"/>
  <c r="F54" i="25" a="1"/>
  <c r="F54" i="25" s="1"/>
  <c r="AO42" i="9"/>
  <c r="P54" i="25" a="1"/>
  <c r="P54" i="25" s="1"/>
  <c r="HW42" i="9"/>
  <c r="M1092" i="13"/>
  <c r="GL42" i="9" s="1" a="1"/>
  <c r="GL42" i="9" s="1"/>
  <c r="DL42" i="9"/>
  <c r="M53" i="25" a="1"/>
  <c r="M53" i="25" s="1"/>
  <c r="FR41" i="9"/>
  <c r="L1058" i="13"/>
  <c r="FS41" i="9" s="1" a="1"/>
  <c r="FS41" i="9" s="1"/>
  <c r="J53" i="25" a="1"/>
  <c r="J53" i="25" s="1"/>
  <c r="DM41" i="9"/>
  <c r="L53" i="25" a="1"/>
  <c r="L53" i="25" s="1"/>
  <c r="EY41" i="9"/>
  <c r="DL41" i="9"/>
  <c r="G53" i="25" a="1"/>
  <c r="G53" i="25" s="1"/>
  <c r="BH41" i="9"/>
  <c r="EX41" i="9"/>
  <c r="E52" i="25" a="1"/>
  <c r="E52" i="25" s="1"/>
  <c r="Q52" i="25" s="1"/>
  <c r="V40" i="9"/>
  <c r="N1153" i="13" a="1"/>
  <c r="N1153" i="13" s="1"/>
  <c r="N1154" i="13" s="1"/>
  <c r="N1155" i="13" s="1"/>
  <c r="E1151" i="13" a="1"/>
  <c r="E1151" i="13" s="1"/>
  <c r="E1152" i="13" s="1"/>
  <c r="E1155" i="13" s="1"/>
  <c r="J1119" i="13" a="1"/>
  <c r="J1119" i="13" s="1"/>
  <c r="J1120" i="13" s="1"/>
  <c r="J1121" i="13" s="1"/>
  <c r="M1119" i="13" a="1"/>
  <c r="M1119" i="13" s="1"/>
  <c r="M1120" i="13" s="1"/>
  <c r="M1121" i="13" s="1"/>
  <c r="L1117" i="13" a="1"/>
  <c r="L1117" i="13" s="1"/>
  <c r="L1118" i="13" s="1"/>
  <c r="L1121" i="13" s="1"/>
  <c r="N1117" i="13" a="1"/>
  <c r="N1117" i="13" s="1"/>
  <c r="N1118" i="13" s="1"/>
  <c r="N1121" i="13" s="1"/>
  <c r="H1153" i="13" a="1"/>
  <c r="H1153" i="13" s="1"/>
  <c r="H1154" i="13" s="1"/>
  <c r="H1155" i="13" s="1"/>
  <c r="O1119" i="13" a="1"/>
  <c r="O1119" i="13" s="1"/>
  <c r="O1120" i="13" s="1"/>
  <c r="O1121" i="13" s="1"/>
  <c r="HT43" i="9" a="1"/>
  <c r="HT43" i="9" s="1"/>
  <c r="M1153" i="13" a="1"/>
  <c r="M1153" i="13" s="1"/>
  <c r="M1154" i="13" s="1"/>
  <c r="M1155" i="13" s="1"/>
  <c r="O1153" i="13" a="1"/>
  <c r="O1153" i="13" s="1"/>
  <c r="O1154" i="13" s="1"/>
  <c r="O1155" i="13" s="1"/>
  <c r="H1117" i="13" a="1"/>
  <c r="H1117" i="13" s="1"/>
  <c r="H1118" i="13" s="1"/>
  <c r="H1121" i="13" s="1"/>
  <c r="L1153" i="13" a="1"/>
  <c r="L1153" i="13" s="1"/>
  <c r="L1154" i="13" s="1"/>
  <c r="L1155" i="13" s="1"/>
  <c r="I1119" i="13" a="1"/>
  <c r="I1119" i="13" s="1"/>
  <c r="I1120" i="13" s="1"/>
  <c r="I1121" i="13" s="1"/>
  <c r="GH43" i="9" a="1"/>
  <c r="GH43" i="9" s="1"/>
  <c r="M1174" i="13" a="1"/>
  <c r="M1174" i="13" s="1"/>
  <c r="M1185" i="13" s="1" a="1"/>
  <c r="M1185" i="13" s="1"/>
  <c r="M1186" i="13" s="1"/>
  <c r="GM45" i="9" a="1"/>
  <c r="GM45" i="9" s="1"/>
  <c r="GG45" i="9" a="1"/>
  <c r="GG45" i="9" s="1"/>
  <c r="N57" i="27" s="1" a="1"/>
  <c r="N57" i="27" s="1"/>
  <c r="E1117" i="13" a="1"/>
  <c r="E1117" i="13" s="1"/>
  <c r="E1118" i="13" s="1"/>
  <c r="E1121" i="13" s="1"/>
  <c r="EV43" i="9" a="1"/>
  <c r="EV43" i="9" s="1"/>
  <c r="K1140" i="13" a="1"/>
  <c r="K1140" i="13" s="1"/>
  <c r="K1153" i="13" s="1" a="1"/>
  <c r="K1153" i="13" s="1"/>
  <c r="K1154" i="13" s="1"/>
  <c r="EU44" i="9" a="1"/>
  <c r="EU44" i="9" s="1"/>
  <c r="FA44" i="9" a="1"/>
  <c r="FA44" i="9" s="1"/>
  <c r="EC43" i="9" a="1"/>
  <c r="EC43" i="9" s="1"/>
  <c r="CQ42" i="9" a="1"/>
  <c r="CQ42" i="9" s="1"/>
  <c r="J1140" i="13" a="1"/>
  <c r="J1140" i="13" s="1"/>
  <c r="J1153" i="13" s="1" a="1"/>
  <c r="J1153" i="13" s="1"/>
  <c r="J1154" i="13" s="1"/>
  <c r="EB44" i="9" a="1"/>
  <c r="EB44" i="9" s="1"/>
  <c r="EH44" i="9" a="1"/>
  <c r="EH44" i="9" s="1"/>
  <c r="I1140" i="13" a="1"/>
  <c r="I1140" i="13" s="1"/>
  <c r="I1153" i="13" s="1" a="1"/>
  <c r="I1153" i="13" s="1"/>
  <c r="I1154" i="13" s="1"/>
  <c r="DO44" i="9" a="1"/>
  <c r="DO44" i="9" s="1"/>
  <c r="DI44" i="9" a="1"/>
  <c r="DI44" i="9" s="1"/>
  <c r="I1174" i="13" a="1"/>
  <c r="I1174" i="13" s="1"/>
  <c r="I1185" i="13" s="1" a="1"/>
  <c r="I1185" i="13" s="1"/>
  <c r="I1186" i="13" s="1"/>
  <c r="DI45" i="9" a="1"/>
  <c r="DI45" i="9" s="1"/>
  <c r="J57" i="27" s="1" a="1"/>
  <c r="J57" i="27" s="1"/>
  <c r="DO45" i="9" a="1"/>
  <c r="DO45" i="9" s="1"/>
  <c r="CQ43" i="9" a="1"/>
  <c r="CQ43" i="9" s="1"/>
  <c r="G1140" i="13" a="1"/>
  <c r="G1140" i="13" s="1"/>
  <c r="G1151" i="13" s="1" a="1"/>
  <c r="G1151" i="13" s="1"/>
  <c r="G1152" i="13" s="1"/>
  <c r="CC44" i="9" a="1"/>
  <c r="CC44" i="9" s="1"/>
  <c r="BW44" i="9" a="1"/>
  <c r="BW44" i="9" s="1"/>
  <c r="AL43" i="9" a="1"/>
  <c r="AL43" i="9" s="1"/>
  <c r="BX43" i="9" a="1"/>
  <c r="BX43" i="9" s="1"/>
  <c r="G1174" i="13" a="1"/>
  <c r="G1174" i="13" s="1"/>
  <c r="G1185" i="13" s="1" a="1"/>
  <c r="G1185" i="13" s="1"/>
  <c r="G1186" i="13" s="1"/>
  <c r="BW45" i="9" a="1"/>
  <c r="BW45" i="9" s="1"/>
  <c r="H57" i="27" s="1" a="1"/>
  <c r="H57" i="27" s="1"/>
  <c r="CC45" i="9" a="1"/>
  <c r="CC45" i="9" s="1"/>
  <c r="F1153" i="13" a="1"/>
  <c r="F1153" i="13" s="1"/>
  <c r="F1154" i="13" s="1"/>
  <c r="F1155" i="13" s="1"/>
  <c r="BX42" i="9" a="1"/>
  <c r="BX42" i="9" s="1"/>
  <c r="BE42" i="9" a="1"/>
  <c r="BE42" i="9" s="1"/>
  <c r="BE43" i="9" a="1"/>
  <c r="BE43" i="9" s="1"/>
  <c r="F1174" i="13" a="1"/>
  <c r="F1174" i="13" s="1"/>
  <c r="F1187" i="13" s="1" a="1"/>
  <c r="F1187" i="13" s="1"/>
  <c r="F1188" i="13" s="1"/>
  <c r="BD45" i="9" a="1"/>
  <c r="BD45" i="9" s="1"/>
  <c r="G57" i="27" s="1" a="1"/>
  <c r="G57" i="27" s="1"/>
  <c r="BJ45" i="9" a="1"/>
  <c r="BJ45" i="9" s="1"/>
  <c r="G1148" i="13" a="1"/>
  <c r="G1148" i="13" s="1"/>
  <c r="G1149" i="13" s="1"/>
  <c r="G1150" i="13" s="1"/>
  <c r="D1174" i="13" a="1"/>
  <c r="D1174" i="13" s="1"/>
  <c r="D1185" i="13" s="1" a="1"/>
  <c r="D1185" i="13" s="1"/>
  <c r="D1186" i="13" s="1"/>
  <c r="R45" i="9" a="1"/>
  <c r="R45" i="9" s="1"/>
  <c r="E57" i="27" s="1" a="1"/>
  <c r="E57" i="27" s="1"/>
  <c r="IN36" i="9"/>
  <c r="IO36" i="9" s="1"/>
  <c r="J493" i="10"/>
  <c r="J492" i="10"/>
  <c r="J1173" i="13" s="1" a="1"/>
  <c r="J1173" i="13" s="1"/>
  <c r="J1180" i="13" s="1" a="1"/>
  <c r="J1180" i="13" s="1"/>
  <c r="J1181" i="13" s="1"/>
  <c r="G504" i="10" a="1"/>
  <c r="G504" i="10" s="1"/>
  <c r="G506" i="10" s="1"/>
  <c r="G1207" i="13" s="1" a="1"/>
  <c r="G1207" i="13" s="1"/>
  <c r="L1116" i="13"/>
  <c r="M1145" i="13"/>
  <c r="S42" i="9" a="1"/>
  <c r="S42" i="9" s="1"/>
  <c r="U42" i="9" s="1"/>
  <c r="H1145" i="13"/>
  <c r="P479" i="10"/>
  <c r="P477" i="10"/>
  <c r="N1150" i="13"/>
  <c r="D1116" i="13"/>
  <c r="L1145" i="13"/>
  <c r="E1150" i="13"/>
  <c r="O1145" i="13"/>
  <c r="N1145" i="13"/>
  <c r="J1150" i="13"/>
  <c r="L1150" i="13"/>
  <c r="N1111" i="13"/>
  <c r="O1150" i="13"/>
  <c r="N1116" i="13"/>
  <c r="J505" i="10"/>
  <c r="J1206" i="13" s="1" a="1"/>
  <c r="J1206" i="13" s="1"/>
  <c r="J506" i="10"/>
  <c r="J1207" i="13" s="1" a="1"/>
  <c r="J1207" i="13" s="1"/>
  <c r="J507" i="10"/>
  <c r="K506" i="10"/>
  <c r="K1207" i="13" s="1" a="1"/>
  <c r="K1207" i="13" s="1"/>
  <c r="K507" i="10"/>
  <c r="K505" i="10"/>
  <c r="K1206" i="13" s="1" a="1"/>
  <c r="K1206" i="13" s="1"/>
  <c r="H506" i="10"/>
  <c r="H1207" i="13" s="1" a="1"/>
  <c r="H1207" i="13" s="1"/>
  <c r="H507" i="10"/>
  <c r="H505" i="10"/>
  <c r="H1206" i="13" s="1" a="1"/>
  <c r="H1206" i="13" s="1"/>
  <c r="N505" i="10"/>
  <c r="N1206" i="13" s="1" a="1"/>
  <c r="N1206" i="13" s="1"/>
  <c r="N507" i="10"/>
  <c r="N506" i="10"/>
  <c r="N1207" i="13" s="1" a="1"/>
  <c r="N1207" i="13" s="1"/>
  <c r="M506" i="10"/>
  <c r="M1207" i="13" s="1" a="1"/>
  <c r="M1207" i="13" s="1"/>
  <c r="M507" i="10"/>
  <c r="M505" i="10"/>
  <c r="M1206" i="13" s="1" a="1"/>
  <c r="M1206" i="13" s="1"/>
  <c r="I507" i="10"/>
  <c r="I505" i="10"/>
  <c r="I1206" i="13" s="1" a="1"/>
  <c r="I1206" i="13" s="1"/>
  <c r="I506" i="10"/>
  <c r="I1207" i="13" s="1" a="1"/>
  <c r="I1207" i="13" s="1"/>
  <c r="D504" i="10" a="1"/>
  <c r="D504" i="10" s="1"/>
  <c r="E504" i="10" a="1"/>
  <c r="E504" i="10" s="1"/>
  <c r="P504" i="10" a="1"/>
  <c r="P504" i="10" s="1"/>
  <c r="D1143" i="13" a="1"/>
  <c r="D1143" i="13" s="1"/>
  <c r="D1144" i="13" s="1"/>
  <c r="D1141" i="13" a="1"/>
  <c r="D1141" i="13" s="1"/>
  <c r="D1142" i="13" s="1"/>
  <c r="I1116" i="13"/>
  <c r="H1180" i="13" a="1"/>
  <c r="H1180" i="13" s="1"/>
  <c r="H1181" i="13" s="1"/>
  <c r="H1182" i="13" a="1"/>
  <c r="H1182" i="13" s="1"/>
  <c r="H1183" i="13" s="1"/>
  <c r="G1175" i="13" a="1"/>
  <c r="G1175" i="13" s="1"/>
  <c r="G1176" i="13" s="1"/>
  <c r="G1177" i="13" a="1"/>
  <c r="G1177" i="13" s="1"/>
  <c r="G1178" i="13" s="1"/>
  <c r="F504" i="10" a="1"/>
  <c r="F504" i="10" s="1"/>
  <c r="O504" i="10" a="1"/>
  <c r="O504" i="10" s="1"/>
  <c r="L1111" i="13"/>
  <c r="G1145" i="13"/>
  <c r="H1177" i="13" a="1"/>
  <c r="H1177" i="13" s="1"/>
  <c r="H1178" i="13" s="1"/>
  <c r="H1175" i="13" a="1"/>
  <c r="H1175" i="13" s="1"/>
  <c r="H1176" i="13" s="1"/>
  <c r="M1182" i="13" a="1"/>
  <c r="M1182" i="13" s="1"/>
  <c r="M1183" i="13" s="1"/>
  <c r="M1180" i="13" a="1"/>
  <c r="M1180" i="13" s="1"/>
  <c r="M1181" i="13" s="1"/>
  <c r="I1146" i="13" a="1"/>
  <c r="I1146" i="13" s="1"/>
  <c r="I1147" i="13" s="1"/>
  <c r="I1148" i="13" a="1"/>
  <c r="I1148" i="13" s="1"/>
  <c r="I1149" i="13" s="1"/>
  <c r="E491" i="10"/>
  <c r="E1172" i="13" s="1" a="1"/>
  <c r="E1172" i="13" s="1"/>
  <c r="E492" i="10"/>
  <c r="E1173" i="13" s="1" a="1"/>
  <c r="E1173" i="13" s="1"/>
  <c r="E493" i="10"/>
  <c r="M1177" i="13" a="1"/>
  <c r="M1177" i="13" s="1"/>
  <c r="M1178" i="13" s="1"/>
  <c r="M1175" i="13" a="1"/>
  <c r="M1175" i="13" s="1"/>
  <c r="M1176" i="13" s="1"/>
  <c r="D1173" i="13" a="1"/>
  <c r="D1173" i="13" s="1"/>
  <c r="I1143" i="13" a="1"/>
  <c r="I1143" i="13" s="1"/>
  <c r="I1144" i="13" s="1"/>
  <c r="I1141" i="13" a="1"/>
  <c r="I1141" i="13" s="1"/>
  <c r="I1142" i="13" s="1"/>
  <c r="I1111" i="13"/>
  <c r="F1145" i="13"/>
  <c r="L492" i="10"/>
  <c r="L1173" i="13" s="1" a="1"/>
  <c r="L1173" i="13" s="1"/>
  <c r="L493" i="10"/>
  <c r="L491" i="10"/>
  <c r="L1172" i="13" s="1" a="1"/>
  <c r="L1172" i="13" s="1"/>
  <c r="N1180" i="13" a="1"/>
  <c r="N1180" i="13" s="1"/>
  <c r="N1181" i="13" s="1"/>
  <c r="N1182" i="13" a="1"/>
  <c r="N1182" i="13" s="1"/>
  <c r="N1183" i="13" s="1"/>
  <c r="D1172" i="13" a="1"/>
  <c r="D1172" i="13" s="1"/>
  <c r="N1175" i="13" a="1"/>
  <c r="N1175" i="13" s="1"/>
  <c r="N1176" i="13" s="1"/>
  <c r="N1177" i="13" a="1"/>
  <c r="N1177" i="13" s="1"/>
  <c r="N1178" i="13" s="1"/>
  <c r="L504" i="10" a="1"/>
  <c r="L504" i="10" s="1"/>
  <c r="M1150" i="13"/>
  <c r="J1145" i="13"/>
  <c r="K1143" i="13" a="1"/>
  <c r="K1143" i="13" s="1"/>
  <c r="K1144" i="13" s="1"/>
  <c r="K1141" i="13" a="1"/>
  <c r="K1141" i="13" s="1"/>
  <c r="K1142" i="13" s="1"/>
  <c r="F1150" i="13"/>
  <c r="P478" i="10"/>
  <c r="H1150" i="13"/>
  <c r="I1180" i="13" a="1"/>
  <c r="I1180" i="13" s="1"/>
  <c r="I1181" i="13" s="1"/>
  <c r="I1182" i="13" a="1"/>
  <c r="I1182" i="13" s="1"/>
  <c r="I1183" i="13" s="1"/>
  <c r="F1175" i="13" a="1"/>
  <c r="F1175" i="13" s="1"/>
  <c r="F1176" i="13" s="1"/>
  <c r="F1177" i="13" a="1"/>
  <c r="F1177" i="13" s="1"/>
  <c r="F1178" i="13" s="1"/>
  <c r="K492" i="10"/>
  <c r="K1173" i="13" s="1" a="1"/>
  <c r="K1173" i="13" s="1"/>
  <c r="K491" i="10"/>
  <c r="K1172" i="13" s="1" a="1"/>
  <c r="K1172" i="13" s="1"/>
  <c r="K493" i="10"/>
  <c r="K1148" i="13" a="1"/>
  <c r="K1148" i="13" s="1"/>
  <c r="K1149" i="13" s="1"/>
  <c r="K1146" i="13" a="1"/>
  <c r="K1146" i="13" s="1"/>
  <c r="K1147" i="13" s="1"/>
  <c r="D1146" i="13" a="1"/>
  <c r="D1146" i="13" s="1"/>
  <c r="D1147" i="13" s="1"/>
  <c r="D1148" i="13" a="1"/>
  <c r="D1148" i="13" s="1"/>
  <c r="D1149" i="13" s="1"/>
  <c r="J1177" i="13" a="1"/>
  <c r="J1177" i="13" s="1"/>
  <c r="J1178" i="13" s="1"/>
  <c r="J1175" i="13" a="1"/>
  <c r="J1175" i="13" s="1"/>
  <c r="J1176" i="13" s="1"/>
  <c r="O1180" i="13" a="1"/>
  <c r="O1180" i="13" s="1"/>
  <c r="O1181" i="13" s="1"/>
  <c r="O1182" i="13" a="1"/>
  <c r="O1182" i="13" s="1"/>
  <c r="O1183" i="13" s="1"/>
  <c r="I1175" i="13" a="1"/>
  <c r="I1175" i="13" s="1"/>
  <c r="I1176" i="13" s="1"/>
  <c r="I1177" i="13" a="1"/>
  <c r="I1177" i="13" s="1"/>
  <c r="I1178" i="13" s="1"/>
  <c r="F1180" i="13" a="1"/>
  <c r="F1180" i="13" s="1"/>
  <c r="F1181" i="13" s="1"/>
  <c r="F1182" i="13" a="1"/>
  <c r="F1182" i="13" s="1"/>
  <c r="F1183" i="13" s="1"/>
  <c r="E1145" i="13"/>
  <c r="D1111" i="13"/>
  <c r="O1177" i="13" a="1"/>
  <c r="O1177" i="13" s="1"/>
  <c r="O1178" i="13" s="1"/>
  <c r="O1175" i="13" a="1"/>
  <c r="O1175" i="13" s="1"/>
  <c r="O1176" i="13" s="1"/>
  <c r="G1182" i="13" a="1"/>
  <c r="G1182" i="13" s="1"/>
  <c r="G1183" i="13" s="1"/>
  <c r="G1180" i="13" a="1"/>
  <c r="G1180" i="13" s="1"/>
  <c r="G1181" i="13" s="1"/>
  <c r="F1088" i="13"/>
  <c r="K1122" i="13"/>
  <c r="D1119" i="13" a="1"/>
  <c r="D1119" i="13" s="1"/>
  <c r="D1120" i="13" s="1"/>
  <c r="D1117" i="13" a="1"/>
  <c r="D1117" i="13" s="1"/>
  <c r="D1118" i="13" s="1"/>
  <c r="F1124" i="13"/>
  <c r="G1122" i="13"/>
  <c r="H1090" i="13"/>
  <c r="G1088" i="13"/>
  <c r="L1090" i="13"/>
  <c r="O494" i="10"/>
  <c r="FC39" i="9" a="1"/>
  <c r="FC39" i="9" s="1"/>
  <c r="FK39" i="9" s="1"/>
  <c r="M52" i="24" s="1" a="1"/>
  <c r="M52" i="24" s="1"/>
  <c r="EJ40" i="9" a="1"/>
  <c r="EJ40" i="9" s="1"/>
  <c r="ER40" i="9" s="1"/>
  <c r="L53" i="24" s="1" a="1"/>
  <c r="L53" i="24" s="1"/>
  <c r="Z39" i="9" a="1"/>
  <c r="Z39" i="9" s="1"/>
  <c r="AH39" i="9" s="1"/>
  <c r="F52" i="24" s="1" a="1"/>
  <c r="F52" i="24" s="1"/>
  <c r="CE39" i="9" a="1"/>
  <c r="CE39" i="9" s="1"/>
  <c r="CM39" i="9" s="1"/>
  <c r="I52" i="24" s="1" a="1"/>
  <c r="I52" i="24" s="1"/>
  <c r="FV40" i="9" a="1"/>
  <c r="FV40" i="9" s="1"/>
  <c r="GD40" i="9" s="1"/>
  <c r="N53" i="24" s="1" a="1"/>
  <c r="N53" i="24" s="1"/>
  <c r="BK41" i="9"/>
  <c r="BS41" i="9" s="1"/>
  <c r="HZ42" i="9"/>
  <c r="IH42" i="9" s="1"/>
  <c r="HH40" i="9" a="1"/>
  <c r="HH40" i="9" s="1"/>
  <c r="HP40" i="9" s="1"/>
  <c r="P53" i="24" s="1" a="1"/>
  <c r="P53" i="24" s="1"/>
  <c r="AH37" i="9"/>
  <c r="F50" i="24" s="1" a="1"/>
  <c r="F50" i="24" s="1"/>
  <c r="IJ38" i="9"/>
  <c r="IK38" i="9" s="1"/>
  <c r="DF38" i="9"/>
  <c r="J51" i="24" s="1" a="1"/>
  <c r="J51" i="24" s="1"/>
  <c r="CX40" i="9" a="1"/>
  <c r="CX40" i="9" s="1"/>
  <c r="DF40" i="9" s="1"/>
  <c r="J53" i="24" s="1" a="1"/>
  <c r="J53" i="24" s="1"/>
  <c r="AS39" i="9" a="1"/>
  <c r="AS39" i="9" s="1"/>
  <c r="BA39" i="9" s="1"/>
  <c r="G52" i="24" s="1" a="1"/>
  <c r="G52" i="24" s="1"/>
  <c r="FC40" i="9" a="1"/>
  <c r="FC40" i="9" s="1"/>
  <c r="FK40" i="9" s="1"/>
  <c r="M53" i="24" s="1" a="1"/>
  <c r="M53" i="24" s="1"/>
  <c r="CE40" i="9" a="1"/>
  <c r="CE40" i="9" s="1"/>
  <c r="CM40" i="9" s="1"/>
  <c r="I53" i="24" s="1" a="1"/>
  <c r="I53" i="24" s="1"/>
  <c r="IL39" i="9"/>
  <c r="IM39" i="9" s="1"/>
  <c r="IA40" i="9" a="1"/>
  <c r="IA40" i="9" s="1"/>
  <c r="II40" i="9" s="1"/>
  <c r="Q53" i="24" s="1" a="1"/>
  <c r="Q53" i="24" s="1"/>
  <c r="GO40" i="9" a="1"/>
  <c r="GO40" i="9" s="1"/>
  <c r="GW40" i="9" s="1"/>
  <c r="O53" i="24" s="1" a="1"/>
  <c r="O53" i="24" s="1"/>
  <c r="DQ40" i="9" a="1"/>
  <c r="DQ40" i="9" s="1"/>
  <c r="DY40" i="9" s="1"/>
  <c r="K53" i="24" s="1" a="1"/>
  <c r="K53" i="24" s="1"/>
  <c r="HG41" i="9"/>
  <c r="HO41" i="9" s="1"/>
  <c r="DY39" i="9"/>
  <c r="K52" i="24" s="1" a="1"/>
  <c r="K52" i="24" s="1"/>
  <c r="GN41" i="9"/>
  <c r="GV41" i="9" s="1"/>
  <c r="AS40" i="9" a="1"/>
  <c r="AS40" i="9" s="1"/>
  <c r="BA40" i="9" s="1"/>
  <c r="G53" i="24" s="1" a="1"/>
  <c r="G53" i="24" s="1"/>
  <c r="AR41" i="9"/>
  <c r="AZ41" i="9" s="1"/>
  <c r="CD41" i="9"/>
  <c r="CL41" i="9" s="1"/>
  <c r="BK40" i="9"/>
  <c r="BS40" i="9" s="1"/>
  <c r="CW41" i="9"/>
  <c r="DE41" i="9" s="1"/>
  <c r="EI41" i="9"/>
  <c r="EQ41" i="9" s="1"/>
  <c r="K494" i="10"/>
  <c r="G502" i="10"/>
  <c r="BV46" i="9" s="1" a="1"/>
  <c r="BV46" i="9" s="1"/>
  <c r="D502" i="10"/>
  <c r="S41" i="9" a="1"/>
  <c r="S41" i="9" s="1"/>
  <c r="K502" i="10"/>
  <c r="ET46" i="9" s="1" a="1"/>
  <c r="ET46" i="9" s="1"/>
  <c r="H494" i="10"/>
  <c r="N502" i="10"/>
  <c r="GY46" i="9" s="1" a="1"/>
  <c r="GY46" i="9" s="1"/>
  <c r="I508" i="10"/>
  <c r="H508" i="10"/>
  <c r="N508" i="10"/>
  <c r="M508" i="10"/>
  <c r="N524" i="10"/>
  <c r="N531" i="10" s="1"/>
  <c r="F524" i="10"/>
  <c r="F531" i="10" s="1"/>
  <c r="B528" i="10"/>
  <c r="B529" i="10" s="1"/>
  <c r="E524" i="10"/>
  <c r="E528" i="10" s="1"/>
  <c r="P524" i="10"/>
  <c r="P528" i="10" s="1"/>
  <c r="M524" i="10"/>
  <c r="M528" i="10" s="1"/>
  <c r="K524" i="10"/>
  <c r="K531" i="10" s="1"/>
  <c r="J524" i="10"/>
  <c r="J531" i="10" s="1"/>
  <c r="G524" i="10"/>
  <c r="G531" i="10" s="1"/>
  <c r="O524" i="10"/>
  <c r="O531" i="10" s="1"/>
  <c r="L524" i="10"/>
  <c r="L531" i="10" s="1"/>
  <c r="D524" i="10"/>
  <c r="D531" i="10" s="1"/>
  <c r="I524" i="10"/>
  <c r="I531" i="10" s="1"/>
  <c r="H524" i="10"/>
  <c r="H531" i="10" s="1"/>
  <c r="B525" i="10"/>
  <c r="B526" i="10" s="1"/>
  <c r="B527" i="10" s="1"/>
  <c r="O502" i="10"/>
  <c r="HR46" i="9" s="1" a="1"/>
  <c r="HR46" i="9" s="1"/>
  <c r="B551" i="10" a="1"/>
  <c r="B551" i="10" s="1"/>
  <c r="A551" i="10" a="1"/>
  <c r="A551" i="10" s="1"/>
  <c r="M514" i="10"/>
  <c r="L494" i="10"/>
  <c r="M502" i="10"/>
  <c r="GF46" i="9" s="1" a="1"/>
  <c r="GF46" i="9" s="1"/>
  <c r="L514" i="10"/>
  <c r="O514" i="10"/>
  <c r="E502" i="10"/>
  <c r="AJ46" i="9" s="1" a="1"/>
  <c r="AJ46" i="9" s="1"/>
  <c r="L502" i="10"/>
  <c r="FM46" i="9" s="1" a="1"/>
  <c r="FM46" i="9" s="1"/>
  <c r="O537" i="10"/>
  <c r="H537" i="10"/>
  <c r="M537" i="10"/>
  <c r="N537" i="10"/>
  <c r="E537" i="10"/>
  <c r="F537" i="10"/>
  <c r="L537" i="10"/>
  <c r="D537" i="10"/>
  <c r="P537" i="10"/>
  <c r="I537" i="10"/>
  <c r="B538" i="10"/>
  <c r="J537" i="10"/>
  <c r="G537" i="10"/>
  <c r="K537" i="10"/>
  <c r="V41" i="9"/>
  <c r="N514" i="10"/>
  <c r="P517" i="10"/>
  <c r="I502" i="10"/>
  <c r="DH46" i="9" s="1" a="1"/>
  <c r="DH46" i="9" s="1"/>
  <c r="E515" i="10"/>
  <c r="E518" i="10" s="1" a="1"/>
  <c r="E518" i="10" s="1"/>
  <c r="G515" i="10"/>
  <c r="M515" i="10"/>
  <c r="D515" i="10"/>
  <c r="D516" i="10" s="1"/>
  <c r="Q47" i="9" s="1" a="1"/>
  <c r="Q47" i="9" s="1"/>
  <c r="B516" i="10"/>
  <c r="B517" i="10" s="1"/>
  <c r="B518" i="10" s="1"/>
  <c r="B519" i="10" s="1"/>
  <c r="B520" i="10" s="1"/>
  <c r="B521" i="10" s="1"/>
  <c r="B522" i="10" s="1"/>
  <c r="J515" i="10"/>
  <c r="P515" i="10"/>
  <c r="P516" i="10" s="1"/>
  <c r="O515" i="10"/>
  <c r="O518" i="10" s="1" a="1"/>
  <c r="O518" i="10" s="1"/>
  <c r="K515" i="10"/>
  <c r="K518" i="10" s="1" a="1"/>
  <c r="K518" i="10" s="1"/>
  <c r="F515" i="10"/>
  <c r="I515" i="10"/>
  <c r="I518" i="10" s="1" a="1"/>
  <c r="I518" i="10" s="1"/>
  <c r="N515" i="10"/>
  <c r="N518" i="10" s="1" a="1"/>
  <c r="N518" i="10" s="1"/>
  <c r="H515" i="10"/>
  <c r="H518" i="10" s="1" a="1"/>
  <c r="H518" i="10" s="1"/>
  <c r="L515" i="10"/>
  <c r="J494" i="10"/>
  <c r="N494" i="10"/>
  <c r="M517" i="10"/>
  <c r="G514" i="10"/>
  <c r="G517" i="10"/>
  <c r="F514" i="10"/>
  <c r="L517" i="10"/>
  <c r="E494" i="10"/>
  <c r="J502" i="10"/>
  <c r="EA46" i="9" s="1" a="1"/>
  <c r="EA46" i="9" s="1"/>
  <c r="E514" i="10"/>
  <c r="I514" i="10"/>
  <c r="D517" i="10"/>
  <c r="P480" i="10"/>
  <c r="F517" i="10"/>
  <c r="K514" i="10"/>
  <c r="H514" i="10"/>
  <c r="J514" i="10"/>
  <c r="F502" i="10"/>
  <c r="BC46" i="9" s="1" a="1"/>
  <c r="BC46" i="9" s="1"/>
  <c r="J517" i="10"/>
  <c r="H502" i="10"/>
  <c r="CO46" i="9" s="1" a="1"/>
  <c r="CO46" i="9" s="1"/>
  <c r="R565" i="10"/>
  <c r="H1092" i="13" l="1"/>
  <c r="CU42" i="9" s="1" a="1"/>
  <c r="CU42" i="9" s="1"/>
  <c r="G1126" i="13"/>
  <c r="CB43" i="9" s="1" a="1"/>
  <c r="CB43" i="9" s="1"/>
  <c r="F1092" i="13"/>
  <c r="BI42" i="9" s="1" a="1"/>
  <c r="BI42" i="9" s="1"/>
  <c r="K1126" i="13"/>
  <c r="EZ43" i="9" s="1" a="1"/>
  <c r="EZ43" i="9" s="1"/>
  <c r="E1156" i="13"/>
  <c r="AM44" i="9" a="1"/>
  <c r="AM44" i="9" s="1"/>
  <c r="M1158" i="13"/>
  <c r="GI44" i="9" a="1"/>
  <c r="GI44" i="9" s="1"/>
  <c r="N1158" i="13"/>
  <c r="HB44" i="9" a="1"/>
  <c r="HB44" i="9" s="1"/>
  <c r="D1156" i="13"/>
  <c r="T44" i="9" a="1"/>
  <c r="T44" i="9" s="1"/>
  <c r="E56" i="25" s="1" a="1"/>
  <c r="E56" i="25" s="1"/>
  <c r="H1158" i="13"/>
  <c r="CR44" i="9" a="1"/>
  <c r="CR44" i="9" s="1"/>
  <c r="L1156" i="13"/>
  <c r="FP44" i="9" a="1"/>
  <c r="FP44" i="9" s="1"/>
  <c r="F1156" i="13"/>
  <c r="BF44" i="9" a="1"/>
  <c r="BF44" i="9" s="1"/>
  <c r="O1158" i="13"/>
  <c r="HU44" i="9" a="1"/>
  <c r="HU44" i="9" s="1"/>
  <c r="BG43" i="9"/>
  <c r="CS42" i="9"/>
  <c r="EX43" i="9"/>
  <c r="G1092" i="13"/>
  <c r="CB42" i="9" s="1" a="1"/>
  <c r="CB42" i="9" s="1"/>
  <c r="F1126" i="13"/>
  <c r="BI43" i="9" s="1" a="1"/>
  <c r="BI43" i="9" s="1"/>
  <c r="BZ43" i="9"/>
  <c r="BG42" i="9"/>
  <c r="Q53" i="25"/>
  <c r="G55" i="25" a="1"/>
  <c r="G55" i="25" s="1"/>
  <c r="BH43" i="9"/>
  <c r="L1092" i="13"/>
  <c r="FS42" i="9" s="1" a="1"/>
  <c r="FS42" i="9" s="1"/>
  <c r="FU42" i="9" s="1"/>
  <c r="GC42" i="9" s="1"/>
  <c r="M1122" i="13"/>
  <c r="GI43" i="9" a="1"/>
  <c r="GI43" i="9" s="1"/>
  <c r="O1122" i="13"/>
  <c r="HU43" i="9" a="1"/>
  <c r="HU43" i="9" s="1"/>
  <c r="HV43" i="9" s="1"/>
  <c r="L55" i="25" a="1"/>
  <c r="L55" i="25" s="1"/>
  <c r="EY43" i="9"/>
  <c r="I1124" i="13"/>
  <c r="DK43" i="9" a="1"/>
  <c r="DK43" i="9" s="1"/>
  <c r="N1124" i="13"/>
  <c r="HB43" i="9" a="1"/>
  <c r="HB43" i="9" s="1"/>
  <c r="H1124" i="13"/>
  <c r="CR43" i="9" a="1"/>
  <c r="CR43" i="9" s="1"/>
  <c r="L1124" i="13"/>
  <c r="FP43" i="9" a="1"/>
  <c r="FP43" i="9" s="1"/>
  <c r="H55" i="25" a="1"/>
  <c r="H55" i="25" s="1"/>
  <c r="CA43" i="9"/>
  <c r="J1122" i="13"/>
  <c r="ED43" i="9" a="1"/>
  <c r="ED43" i="9" s="1"/>
  <c r="EE43" i="9" s="1"/>
  <c r="E1124" i="13"/>
  <c r="AM43" i="9" a="1"/>
  <c r="AM43" i="9" s="1"/>
  <c r="AN43" i="9" s="1"/>
  <c r="H54" i="25" a="1"/>
  <c r="H54" i="25" s="1"/>
  <c r="CA42" i="9"/>
  <c r="BZ42" i="9"/>
  <c r="I54" i="25" a="1"/>
  <c r="I54" i="25" s="1"/>
  <c r="CT42" i="9"/>
  <c r="M54" i="25" a="1"/>
  <c r="M54" i="25" s="1"/>
  <c r="FR42" i="9"/>
  <c r="G54" i="25" a="1"/>
  <c r="G54" i="25" s="1"/>
  <c r="BH42" i="9"/>
  <c r="I1187" i="13" a="1"/>
  <c r="I1187" i="13" s="1"/>
  <c r="I1188" i="13" s="1"/>
  <c r="M1187" i="13" a="1"/>
  <c r="M1187" i="13" s="1"/>
  <c r="M1188" i="13" s="1"/>
  <c r="M1189" i="13" s="1"/>
  <c r="F1185" i="13" a="1"/>
  <c r="F1185" i="13" s="1"/>
  <c r="F1186" i="13" s="1"/>
  <c r="F1189" i="13" s="1"/>
  <c r="D1187" i="13" a="1"/>
  <c r="D1187" i="13" s="1"/>
  <c r="D1188" i="13" s="1"/>
  <c r="D1189" i="13" s="1"/>
  <c r="G1153" i="13" a="1"/>
  <c r="G1153" i="13" s="1"/>
  <c r="G1154" i="13" s="1"/>
  <c r="G1155" i="13" s="1"/>
  <c r="J1151" i="13" a="1"/>
  <c r="J1151" i="13" s="1"/>
  <c r="J1152" i="13" s="1"/>
  <c r="J1155" i="13" s="1"/>
  <c r="K1151" i="13" a="1"/>
  <c r="K1151" i="13" s="1"/>
  <c r="K1152" i="13" s="1"/>
  <c r="K1155" i="13" s="1"/>
  <c r="I1151" i="13" a="1"/>
  <c r="I1151" i="13" s="1"/>
  <c r="I1152" i="13" s="1"/>
  <c r="I1155" i="13" s="1"/>
  <c r="HT44" i="9" a="1"/>
  <c r="HT44" i="9" s="1"/>
  <c r="BE44" i="9" a="1"/>
  <c r="BE44" i="9" s="1"/>
  <c r="CQ44" i="9" a="1"/>
  <c r="CQ44" i="9" s="1"/>
  <c r="HA44" i="9" a="1"/>
  <c r="HA44" i="9" s="1"/>
  <c r="O1174" i="13" a="1"/>
  <c r="O1174" i="13" s="1"/>
  <c r="O1185" i="13" s="1" a="1"/>
  <c r="O1185" i="13" s="1"/>
  <c r="O1186" i="13" s="1"/>
  <c r="HS45" i="9" a="1"/>
  <c r="HS45" i="9" s="1"/>
  <c r="HY45" i="9" a="1"/>
  <c r="HY45" i="9" s="1"/>
  <c r="GH44" i="9" a="1"/>
  <c r="GH44" i="9" s="1"/>
  <c r="N1208" i="13" a="1"/>
  <c r="N1208" i="13" s="1"/>
  <c r="N1219" i="13" s="1" a="1"/>
  <c r="N1219" i="13" s="1"/>
  <c r="N1220" i="13" s="1"/>
  <c r="HF46" i="9" a="1"/>
  <c r="HF46" i="9" s="1"/>
  <c r="GZ46" i="9" a="1"/>
  <c r="GZ46" i="9" s="1"/>
  <c r="N1174" i="13" a="1"/>
  <c r="N1174" i="13" s="1"/>
  <c r="N1185" i="13" s="1" a="1"/>
  <c r="N1185" i="13" s="1"/>
  <c r="N1186" i="13" s="1"/>
  <c r="GZ45" i="9" a="1"/>
  <c r="GZ45" i="9" s="1"/>
  <c r="HF45" i="9" a="1"/>
  <c r="HF45" i="9" s="1"/>
  <c r="HA43" i="9" a="1"/>
  <c r="HA43" i="9" s="1"/>
  <c r="FO44" i="9" a="1"/>
  <c r="FO44" i="9" s="1"/>
  <c r="M1208" i="13" a="1"/>
  <c r="M1208" i="13" s="1"/>
  <c r="M1219" i="13" s="1" a="1"/>
  <c r="M1219" i="13" s="1"/>
  <c r="M1220" i="13" s="1"/>
  <c r="GG46" i="9" a="1"/>
  <c r="GG46" i="9" s="1"/>
  <c r="GM46" i="9" a="1"/>
  <c r="GM46" i="9" s="1"/>
  <c r="FO43" i="9" a="1"/>
  <c r="FO43" i="9" s="1"/>
  <c r="L1174" i="13" a="1"/>
  <c r="L1174" i="13" s="1"/>
  <c r="L1187" i="13" s="1" a="1"/>
  <c r="L1187" i="13" s="1"/>
  <c r="L1188" i="13" s="1"/>
  <c r="FT45" i="9" a="1"/>
  <c r="FT45" i="9" s="1"/>
  <c r="FN45" i="9" a="1"/>
  <c r="FN45" i="9" s="1"/>
  <c r="K1174" i="13" a="1"/>
  <c r="K1174" i="13" s="1"/>
  <c r="K1187" i="13" s="1" a="1"/>
  <c r="K1187" i="13" s="1"/>
  <c r="K1188" i="13" s="1"/>
  <c r="EU45" i="9" a="1"/>
  <c r="EU45" i="9" s="1"/>
  <c r="FA45" i="9" a="1"/>
  <c r="FA45" i="9" s="1"/>
  <c r="L56" i="27" a="1"/>
  <c r="L56" i="27" s="1"/>
  <c r="K56" i="27" a="1"/>
  <c r="K56" i="27" s="1"/>
  <c r="J1174" i="13" a="1"/>
  <c r="J1174" i="13" s="1"/>
  <c r="J1187" i="13" s="1" a="1"/>
  <c r="J1187" i="13" s="1"/>
  <c r="J1188" i="13" s="1"/>
  <c r="EH45" i="9" a="1"/>
  <c r="EH45" i="9" s="1"/>
  <c r="EB45" i="9" a="1"/>
  <c r="EB45" i="9" s="1"/>
  <c r="EC44" i="9" a="1"/>
  <c r="EC44" i="9" s="1"/>
  <c r="G1187" i="13" a="1"/>
  <c r="G1187" i="13" s="1"/>
  <c r="G1188" i="13" s="1"/>
  <c r="G1189" i="13" s="1"/>
  <c r="J1182" i="13" a="1"/>
  <c r="J1182" i="13" s="1"/>
  <c r="J1183" i="13" s="1"/>
  <c r="J1184" i="13" s="1"/>
  <c r="I1208" i="13" a="1"/>
  <c r="I1208" i="13" s="1"/>
  <c r="I1221" i="13" s="1" a="1"/>
  <c r="I1221" i="13" s="1"/>
  <c r="I1222" i="13" s="1"/>
  <c r="DO46" i="9" a="1"/>
  <c r="DO46" i="9" s="1"/>
  <c r="DI46" i="9" a="1"/>
  <c r="DI46" i="9" s="1"/>
  <c r="J56" i="27" a="1"/>
  <c r="J56" i="27" s="1"/>
  <c r="DJ43" i="9" a="1"/>
  <c r="DJ43" i="9" s="1"/>
  <c r="H1174" i="13" a="1"/>
  <c r="H1174" i="13" s="1"/>
  <c r="H1187" i="13" s="1" a="1"/>
  <c r="H1187" i="13" s="1"/>
  <c r="H1188" i="13" s="1"/>
  <c r="CP45" i="9" a="1"/>
  <c r="CP45" i="9" s="1"/>
  <c r="CV45" i="9" a="1"/>
  <c r="CV45" i="9" s="1"/>
  <c r="BX44" i="9" a="1"/>
  <c r="BX44" i="9" s="1"/>
  <c r="H1208" i="13" a="1"/>
  <c r="H1208" i="13" s="1"/>
  <c r="H1221" i="13" s="1" a="1"/>
  <c r="H1221" i="13" s="1"/>
  <c r="H1222" i="13" s="1"/>
  <c r="CV46" i="9" a="1"/>
  <c r="CV46" i="9" s="1"/>
  <c r="CP46" i="9" a="1"/>
  <c r="CP46" i="9" s="1"/>
  <c r="H56" i="27" a="1"/>
  <c r="H56" i="27" s="1"/>
  <c r="AL44" i="9" a="1"/>
  <c r="AL44" i="9" s="1"/>
  <c r="E1174" i="13" a="1"/>
  <c r="E1174" i="13" s="1"/>
  <c r="E1187" i="13" s="1" a="1"/>
  <c r="E1187" i="13" s="1"/>
  <c r="E1188" i="13" s="1"/>
  <c r="AK45" i="9" a="1"/>
  <c r="AK45" i="9" s="1"/>
  <c r="AQ45" i="9" a="1"/>
  <c r="AQ45" i="9" s="1"/>
  <c r="Q46" i="9" a="1"/>
  <c r="Q46" i="9" s="1"/>
  <c r="H1184" i="13"/>
  <c r="G507" i="10"/>
  <c r="IN38" i="9"/>
  <c r="IO38" i="9" s="1"/>
  <c r="G508" i="10"/>
  <c r="IN37" i="9"/>
  <c r="IO37" i="9" s="1"/>
  <c r="G505" i="10"/>
  <c r="G1206" i="13" s="1" a="1"/>
  <c r="G1206" i="13" s="1"/>
  <c r="G1209" i="13" s="1" a="1"/>
  <c r="G1209" i="13" s="1"/>
  <c r="G1210" i="13" s="1"/>
  <c r="F518" i="10" a="1"/>
  <c r="F518" i="10" s="1"/>
  <c r="F521" i="10" s="1"/>
  <c r="G1184" i="13"/>
  <c r="I1179" i="13"/>
  <c r="K1150" i="13"/>
  <c r="I1184" i="13"/>
  <c r="I1150" i="13"/>
  <c r="P493" i="10"/>
  <c r="M1184" i="13"/>
  <c r="G1179" i="13"/>
  <c r="G518" i="10" a="1"/>
  <c r="G518" i="10" s="1"/>
  <c r="G520" i="10" s="1"/>
  <c r="G1241" i="13" s="1" a="1"/>
  <c r="G1241" i="13" s="1"/>
  <c r="D518" i="10" a="1"/>
  <c r="D518" i="10" s="1"/>
  <c r="D520" i="10" s="1"/>
  <c r="E519" i="10"/>
  <c r="E1240" i="13" s="1" a="1"/>
  <c r="E1240" i="13" s="1"/>
  <c r="E520" i="10"/>
  <c r="E1241" i="13" s="1" a="1"/>
  <c r="E1241" i="13" s="1"/>
  <c r="E521" i="10"/>
  <c r="K520" i="10"/>
  <c r="K1241" i="13" s="1" a="1"/>
  <c r="K1241" i="13" s="1"/>
  <c r="K521" i="10"/>
  <c r="K519" i="10"/>
  <c r="K1240" i="13" s="1" a="1"/>
  <c r="K1240" i="13" s="1"/>
  <c r="O521" i="10"/>
  <c r="O519" i="10"/>
  <c r="O1240" i="13" s="1" a="1"/>
  <c r="O1240" i="13" s="1"/>
  <c r="O520" i="10"/>
  <c r="O1241" i="13" s="1" a="1"/>
  <c r="O1241" i="13" s="1"/>
  <c r="H519" i="10"/>
  <c r="H1240" i="13" s="1" a="1"/>
  <c r="H1240" i="13" s="1"/>
  <c r="H520" i="10"/>
  <c r="H1241" i="13" s="1" a="1"/>
  <c r="H1241" i="13" s="1"/>
  <c r="H521" i="10"/>
  <c r="N521" i="10"/>
  <c r="N519" i="10"/>
  <c r="N1240" i="13" s="1" a="1"/>
  <c r="N1240" i="13" s="1"/>
  <c r="N520" i="10"/>
  <c r="N1241" i="13" s="1" a="1"/>
  <c r="N1241" i="13" s="1"/>
  <c r="I519" i="10"/>
  <c r="I1240" i="13" s="1" a="1"/>
  <c r="I1240" i="13" s="1"/>
  <c r="I520" i="10"/>
  <c r="I1241" i="13" s="1" a="1"/>
  <c r="I1241" i="13" s="1"/>
  <c r="I521" i="10"/>
  <c r="P518" i="10" a="1"/>
  <c r="P518" i="10" s="1"/>
  <c r="E1158" i="13"/>
  <c r="F1184" i="13"/>
  <c r="D1150" i="13"/>
  <c r="K1145" i="13"/>
  <c r="P491" i="10"/>
  <c r="D1182" i="13" a="1"/>
  <c r="D1182" i="13" s="1"/>
  <c r="D1183" i="13" s="1"/>
  <c r="D1180" i="13" a="1"/>
  <c r="D1180" i="13" s="1"/>
  <c r="D1181" i="13" s="1"/>
  <c r="O507" i="10"/>
  <c r="O505" i="10"/>
  <c r="O1206" i="13" s="1" a="1"/>
  <c r="O1206" i="13" s="1"/>
  <c r="O506" i="10"/>
  <c r="O1207" i="13" s="1" a="1"/>
  <c r="O1207" i="13" s="1"/>
  <c r="D1177" i="13" a="1"/>
  <c r="D1177" i="13" s="1"/>
  <c r="D1178" i="13" s="1"/>
  <c r="D1175" i="13" a="1"/>
  <c r="D1175" i="13" s="1"/>
  <c r="D1176" i="13" s="1"/>
  <c r="F505" i="10"/>
  <c r="F1206" i="13" s="1" a="1"/>
  <c r="F1206" i="13" s="1"/>
  <c r="F507" i="10"/>
  <c r="F506" i="10"/>
  <c r="F1207" i="13" s="1" a="1"/>
  <c r="F1207" i="13" s="1"/>
  <c r="M1209" i="13" a="1"/>
  <c r="M1209" i="13" s="1"/>
  <c r="M1210" i="13" s="1"/>
  <c r="M1211" i="13" a="1"/>
  <c r="M1211" i="13" s="1"/>
  <c r="M1212" i="13" s="1"/>
  <c r="H1214" i="13" a="1"/>
  <c r="H1214" i="13" s="1"/>
  <c r="H1215" i="13" s="1"/>
  <c r="H1216" i="13" a="1"/>
  <c r="H1216" i="13" s="1"/>
  <c r="H1217" i="13" s="1"/>
  <c r="L518" i="10" a="1"/>
  <c r="L518" i="10" s="1"/>
  <c r="I1145" i="13"/>
  <c r="M1179" i="13"/>
  <c r="D1145" i="13"/>
  <c r="K1209" i="13" a="1"/>
  <c r="K1209" i="13" s="1"/>
  <c r="K1210" i="13" s="1"/>
  <c r="K1211" i="13" a="1"/>
  <c r="K1211" i="13" s="1"/>
  <c r="K1212" i="13" s="1"/>
  <c r="L506" i="10"/>
  <c r="L1207" i="13" s="1" a="1"/>
  <c r="L1207" i="13" s="1"/>
  <c r="L507" i="10"/>
  <c r="L505" i="10"/>
  <c r="L1206" i="13" s="1" a="1"/>
  <c r="L1206" i="13" s="1"/>
  <c r="N1184" i="13"/>
  <c r="M1214" i="13" a="1"/>
  <c r="M1214" i="13" s="1"/>
  <c r="M1215" i="13" s="1"/>
  <c r="M1216" i="13" a="1"/>
  <c r="M1216" i="13" s="1"/>
  <c r="M1217" i="13" s="1"/>
  <c r="O1179" i="13"/>
  <c r="O1184" i="13"/>
  <c r="K1175" i="13" a="1"/>
  <c r="K1175" i="13" s="1"/>
  <c r="K1176" i="13" s="1"/>
  <c r="K1177" i="13" a="1"/>
  <c r="K1177" i="13" s="1"/>
  <c r="K1178" i="13" s="1"/>
  <c r="L1177" i="13" a="1"/>
  <c r="L1177" i="13" s="1"/>
  <c r="L1178" i="13" s="1"/>
  <c r="L1175" i="13" a="1"/>
  <c r="L1175" i="13" s="1"/>
  <c r="L1176" i="13" s="1"/>
  <c r="G1216" i="13" a="1"/>
  <c r="G1216" i="13" s="1"/>
  <c r="G1217" i="13" s="1"/>
  <c r="G1214" i="13" a="1"/>
  <c r="G1214" i="13" s="1"/>
  <c r="G1215" i="13" s="1"/>
  <c r="E1180" i="13" a="1"/>
  <c r="E1180" i="13" s="1"/>
  <c r="E1181" i="13" s="1"/>
  <c r="E1182" i="13" a="1"/>
  <c r="E1182" i="13" s="1"/>
  <c r="E1183" i="13" s="1"/>
  <c r="E506" i="10"/>
  <c r="E1207" i="13" s="1" a="1"/>
  <c r="E1207" i="13" s="1"/>
  <c r="E507" i="10"/>
  <c r="E505" i="10"/>
  <c r="E1206" i="13" s="1" a="1"/>
  <c r="E1206" i="13" s="1"/>
  <c r="N1214" i="13" a="1"/>
  <c r="N1214" i="13" s="1"/>
  <c r="N1215" i="13" s="1"/>
  <c r="N1216" i="13" a="1"/>
  <c r="N1216" i="13" s="1"/>
  <c r="N1217" i="13" s="1"/>
  <c r="K1214" i="13" a="1"/>
  <c r="K1214" i="13" s="1"/>
  <c r="K1215" i="13" s="1"/>
  <c r="K1216" i="13" a="1"/>
  <c r="K1216" i="13" s="1"/>
  <c r="K1217" i="13" s="1"/>
  <c r="K1182" i="13" a="1"/>
  <c r="K1182" i="13" s="1"/>
  <c r="K1183" i="13" s="1"/>
  <c r="K1180" i="13" a="1"/>
  <c r="K1180" i="13" s="1"/>
  <c r="K1181" i="13" s="1"/>
  <c r="E1175" i="13" a="1"/>
  <c r="E1175" i="13" s="1"/>
  <c r="E1176" i="13" s="1"/>
  <c r="E1177" i="13" a="1"/>
  <c r="E1177" i="13" s="1"/>
  <c r="E1178" i="13" s="1"/>
  <c r="H1179" i="13"/>
  <c r="D507" i="10"/>
  <c r="D505" i="10"/>
  <c r="D506" i="10"/>
  <c r="J518" i="10" a="1"/>
  <c r="J518" i="10" s="1"/>
  <c r="M518" i="10" a="1"/>
  <c r="M518" i="10" s="1"/>
  <c r="J1179" i="13"/>
  <c r="F1179" i="13"/>
  <c r="N1179" i="13"/>
  <c r="L1180" i="13" a="1"/>
  <c r="L1180" i="13" s="1"/>
  <c r="L1181" i="13" s="1"/>
  <c r="L1182" i="13" a="1"/>
  <c r="L1182" i="13" s="1"/>
  <c r="L1183" i="13" s="1"/>
  <c r="I1216" i="13" a="1"/>
  <c r="I1216" i="13" s="1"/>
  <c r="I1217" i="13" s="1"/>
  <c r="I1214" i="13" a="1"/>
  <c r="I1214" i="13" s="1"/>
  <c r="I1215" i="13" s="1"/>
  <c r="N1211" i="13" a="1"/>
  <c r="N1211" i="13" s="1"/>
  <c r="N1212" i="13" s="1"/>
  <c r="N1209" i="13" a="1"/>
  <c r="N1209" i="13" s="1"/>
  <c r="N1210" i="13" s="1"/>
  <c r="J1216" i="13" a="1"/>
  <c r="J1216" i="13" s="1"/>
  <c r="J1217" i="13" s="1"/>
  <c r="J1214" i="13" a="1"/>
  <c r="J1214" i="13" s="1"/>
  <c r="J1215" i="13" s="1"/>
  <c r="P492" i="10"/>
  <c r="I1209" i="13" a="1"/>
  <c r="I1209" i="13" s="1"/>
  <c r="I1210" i="13" s="1"/>
  <c r="I1211" i="13" a="1"/>
  <c r="I1211" i="13" s="1"/>
  <c r="I1212" i="13" s="1"/>
  <c r="H1211" i="13" a="1"/>
  <c r="H1211" i="13" s="1"/>
  <c r="H1212" i="13" s="1"/>
  <c r="H1209" i="13" a="1"/>
  <c r="H1209" i="13" s="1"/>
  <c r="H1210" i="13" s="1"/>
  <c r="J1209" i="13" a="1"/>
  <c r="J1209" i="13" s="1"/>
  <c r="J1210" i="13" s="1"/>
  <c r="J1211" i="13" a="1"/>
  <c r="J1211" i="13" s="1"/>
  <c r="J1212" i="13" s="1"/>
  <c r="N1122" i="13"/>
  <c r="F1158" i="13"/>
  <c r="L1122" i="13"/>
  <c r="H1122" i="13"/>
  <c r="D1158" i="13"/>
  <c r="M1124" i="13"/>
  <c r="M1156" i="13"/>
  <c r="H1156" i="13"/>
  <c r="E1122" i="13"/>
  <c r="O1156" i="13"/>
  <c r="N1156" i="13"/>
  <c r="L1158" i="13"/>
  <c r="O1124" i="13"/>
  <c r="I1189" i="13"/>
  <c r="D1121" i="13"/>
  <c r="I1122" i="13"/>
  <c r="J1124" i="13"/>
  <c r="J508" i="10"/>
  <c r="K508" i="10"/>
  <c r="HH41" i="9" a="1"/>
  <c r="HH41" i="9" s="1"/>
  <c r="HP41" i="9" s="1"/>
  <c r="P54" i="24" s="1" a="1"/>
  <c r="P54" i="24" s="1"/>
  <c r="GO41" i="9" a="1"/>
  <c r="GO41" i="9" s="1"/>
  <c r="GW41" i="9" s="1"/>
  <c r="O54" i="24" s="1" a="1"/>
  <c r="O54" i="24" s="1"/>
  <c r="O508" i="10"/>
  <c r="BL41" i="9" a="1"/>
  <c r="BL41" i="9" s="1"/>
  <c r="BT41" i="9" s="1"/>
  <c r="H54" i="24" s="1" a="1"/>
  <c r="H54" i="24" s="1"/>
  <c r="IJ39" i="9"/>
  <c r="IK39" i="9" s="1"/>
  <c r="IA42" i="9" a="1"/>
  <c r="IA42" i="9" s="1"/>
  <c r="II42" i="9" s="1"/>
  <c r="Q55" i="24" s="1" a="1"/>
  <c r="Q55" i="24" s="1"/>
  <c r="FC41" i="9" a="1"/>
  <c r="FC41" i="9" s="1"/>
  <c r="FK41" i="9" s="1"/>
  <c r="M54" i="24" s="1" a="1"/>
  <c r="M54" i="24" s="1"/>
  <c r="CX41" i="9" a="1"/>
  <c r="CX41" i="9" s="1"/>
  <c r="DF41" i="9" s="1"/>
  <c r="J54" i="24" s="1" a="1"/>
  <c r="J54" i="24" s="1"/>
  <c r="AS41" i="9" a="1"/>
  <c r="AS41" i="9" s="1"/>
  <c r="BA41" i="9" s="1"/>
  <c r="G54" i="24" s="1" a="1"/>
  <c r="G54" i="24" s="1"/>
  <c r="Z40" i="9" a="1"/>
  <c r="Z40" i="9" s="1"/>
  <c r="AH40" i="9" s="1"/>
  <c r="F53" i="24" s="1" a="1"/>
  <c r="F53" i="24" s="1"/>
  <c r="EJ41" i="9" a="1"/>
  <c r="EJ41" i="9" s="1"/>
  <c r="ER41" i="9" s="1"/>
  <c r="L54" i="24" s="1" a="1"/>
  <c r="L54" i="24" s="1"/>
  <c r="FC42" i="9" a="1"/>
  <c r="FC42" i="9" s="1"/>
  <c r="FK42" i="9" s="1"/>
  <c r="M55" i="24" s="1" a="1"/>
  <c r="M55" i="24" s="1"/>
  <c r="CE41" i="9" a="1"/>
  <c r="CE41" i="9" s="1"/>
  <c r="CM41" i="9" s="1"/>
  <c r="I54" i="24" s="1" a="1"/>
  <c r="I54" i="24" s="1"/>
  <c r="BL40" i="9" a="1"/>
  <c r="BL40" i="9" s="1"/>
  <c r="BT40" i="9" s="1"/>
  <c r="H53" i="24" s="1" a="1"/>
  <c r="H53" i="24" s="1"/>
  <c r="DP42" i="9"/>
  <c r="DX42" i="9" s="1"/>
  <c r="AR42" i="9"/>
  <c r="AZ42" i="9" s="1"/>
  <c r="EI42" i="9"/>
  <c r="EJ42" i="9" s="1" a="1"/>
  <c r="EJ42" i="9" s="1"/>
  <c r="GN42" i="9"/>
  <c r="GV42" i="9" s="1"/>
  <c r="CW42" i="9"/>
  <c r="DE42" i="9" s="1"/>
  <c r="FU41" i="9"/>
  <c r="GC41" i="9" s="1"/>
  <c r="HG42" i="9"/>
  <c r="HO42" i="9" s="1"/>
  <c r="DP41" i="9"/>
  <c r="DX41" i="9" s="1"/>
  <c r="HZ41" i="9"/>
  <c r="IH41" i="9" s="1"/>
  <c r="W42" i="9" a="1"/>
  <c r="W42" i="9" s="1"/>
  <c r="Y42" i="9" s="1"/>
  <c r="AG42" i="9" s="1"/>
  <c r="S43" i="9" a="1"/>
  <c r="S43" i="9" s="1"/>
  <c r="L508" i="10"/>
  <c r="E516" i="10"/>
  <c r="AJ47" i="9" s="1" a="1"/>
  <c r="AJ47" i="9" s="1"/>
  <c r="M531" i="10"/>
  <c r="G516" i="10"/>
  <c r="BV47" i="9" s="1" a="1"/>
  <c r="BV47" i="9" s="1"/>
  <c r="U41" i="9"/>
  <c r="P531" i="10"/>
  <c r="IN39" i="9"/>
  <c r="IO39" i="9" s="1"/>
  <c r="E508" i="10"/>
  <c r="H516" i="10"/>
  <c r="CO47" i="9" s="1" a="1"/>
  <c r="CO47" i="9" s="1"/>
  <c r="E531" i="10"/>
  <c r="IL40" i="9"/>
  <c r="IM40" i="9" s="1"/>
  <c r="P494" i="10"/>
  <c r="K522" i="10"/>
  <c r="E522" i="10"/>
  <c r="O522" i="10"/>
  <c r="H522" i="10"/>
  <c r="N522" i="10"/>
  <c r="I528" i="10"/>
  <c r="I516" i="10"/>
  <c r="DH47" i="9" s="1" a="1"/>
  <c r="DH47" i="9" s="1"/>
  <c r="L516" i="10"/>
  <c r="FM47" i="9" s="1" a="1"/>
  <c r="FM47" i="9" s="1"/>
  <c r="D528" i="10"/>
  <c r="B565" i="10" a="1"/>
  <c r="B565" i="10" s="1"/>
  <c r="A565" i="10" a="1"/>
  <c r="A565" i="10" s="1"/>
  <c r="F516" i="10"/>
  <c r="BC47" i="9" s="1" a="1"/>
  <c r="BC47" i="9" s="1"/>
  <c r="L528" i="10"/>
  <c r="J529" i="10"/>
  <c r="J532" i="10" s="1" a="1"/>
  <c r="J532" i="10" s="1"/>
  <c r="B530" i="10"/>
  <c r="B531" i="10" s="1"/>
  <c r="B532" i="10" s="1"/>
  <c r="B533" i="10" s="1"/>
  <c r="B534" i="10" s="1"/>
  <c r="B535" i="10" s="1"/>
  <c r="B536" i="10" s="1"/>
  <c r="M529" i="10"/>
  <c r="H529" i="10"/>
  <c r="H532" i="10" s="1" a="1"/>
  <c r="H532" i="10" s="1"/>
  <c r="E529" i="10"/>
  <c r="E530" i="10" s="1"/>
  <c r="AJ48" i="9" s="1" a="1"/>
  <c r="AJ48" i="9" s="1"/>
  <c r="P529" i="10"/>
  <c r="P530" i="10" s="1"/>
  <c r="I529" i="10"/>
  <c r="I532" i="10" s="1" a="1"/>
  <c r="I532" i="10" s="1"/>
  <c r="G529" i="10"/>
  <c r="G532" i="10" s="1" a="1"/>
  <c r="G532" i="10" s="1"/>
  <c r="L529" i="10"/>
  <c r="L532" i="10" s="1" a="1"/>
  <c r="L532" i="10" s="1"/>
  <c r="K529" i="10"/>
  <c r="K532" i="10" s="1" a="1"/>
  <c r="K532" i="10" s="1"/>
  <c r="N529" i="10"/>
  <c r="N532" i="10" s="1" a="1"/>
  <c r="N532" i="10" s="1"/>
  <c r="D529" i="10"/>
  <c r="D532" i="10" s="1" a="1"/>
  <c r="D532" i="10" s="1"/>
  <c r="F529" i="10"/>
  <c r="F532" i="10" s="1" a="1"/>
  <c r="F532" i="10" s="1"/>
  <c r="O529" i="10"/>
  <c r="O532" i="10" s="1" a="1"/>
  <c r="O532" i="10" s="1"/>
  <c r="N516" i="10"/>
  <c r="GY47" i="9" s="1" a="1"/>
  <c r="GY47" i="9" s="1"/>
  <c r="M551" i="10"/>
  <c r="H551" i="10"/>
  <c r="G551" i="10"/>
  <c r="F551" i="10"/>
  <c r="P551" i="10"/>
  <c r="O551" i="10"/>
  <c r="N551" i="10"/>
  <c r="K551" i="10"/>
  <c r="L551" i="10"/>
  <c r="E551" i="10"/>
  <c r="I551" i="10"/>
  <c r="J551" i="10"/>
  <c r="B552" i="10"/>
  <c r="D551" i="10"/>
  <c r="O528" i="10"/>
  <c r="F528" i="10"/>
  <c r="N538" i="10"/>
  <c r="D538" i="10"/>
  <c r="D545" i="10" s="1"/>
  <c r="F538" i="10"/>
  <c r="J538" i="10"/>
  <c r="L538" i="10"/>
  <c r="B539" i="10"/>
  <c r="B540" i="10" s="1"/>
  <c r="B541" i="10" s="1"/>
  <c r="K538" i="10"/>
  <c r="K545" i="10" s="1"/>
  <c r="I538" i="10"/>
  <c r="I545" i="10" s="1"/>
  <c r="P538" i="10"/>
  <c r="P542" i="10" s="1"/>
  <c r="G538" i="10"/>
  <c r="G545" i="10" s="1"/>
  <c r="E538" i="10"/>
  <c r="M538" i="10"/>
  <c r="H538" i="10"/>
  <c r="H545" i="10" s="1"/>
  <c r="O538" i="10"/>
  <c r="O545" i="10" s="1"/>
  <c r="B542" i="10"/>
  <c r="B543" i="10" s="1"/>
  <c r="G528" i="10"/>
  <c r="N528" i="10"/>
  <c r="K516" i="10"/>
  <c r="ET47" i="9" s="1" a="1"/>
  <c r="ET47" i="9" s="1"/>
  <c r="D508" i="10"/>
  <c r="X46" i="9" s="1" a="1"/>
  <c r="X46" i="9" s="1"/>
  <c r="J528" i="10"/>
  <c r="J516" i="10"/>
  <c r="EA47" i="9" s="1" a="1"/>
  <c r="EA47" i="9" s="1"/>
  <c r="F508" i="10"/>
  <c r="M516" i="10"/>
  <c r="GF47" i="9" s="1" a="1"/>
  <c r="GF47" i="9" s="1"/>
  <c r="K528" i="10"/>
  <c r="O516" i="10"/>
  <c r="HR47" i="9" s="1" a="1"/>
  <c r="HR47" i="9" s="1"/>
  <c r="H528" i="10"/>
  <c r="R579" i="10"/>
  <c r="M1126" i="13" l="1"/>
  <c r="GL43" i="9" s="1" a="1"/>
  <c r="GL43" i="9" s="1"/>
  <c r="H1160" i="13"/>
  <c r="CU44" i="9" s="1" a="1"/>
  <c r="CU44" i="9" s="1"/>
  <c r="E1160" i="13"/>
  <c r="AP44" i="9" s="1" a="1"/>
  <c r="AP44" i="9" s="1"/>
  <c r="O1126" i="13"/>
  <c r="HX43" i="9" s="1" a="1"/>
  <c r="HX43" i="9" s="1"/>
  <c r="HZ43" i="9" s="1"/>
  <c r="IH43" i="9" s="1"/>
  <c r="H1126" i="13"/>
  <c r="CU43" i="9" s="1" a="1"/>
  <c r="CU43" i="9" s="1"/>
  <c r="CW43" i="9" s="1"/>
  <c r="DE43" i="9" s="1"/>
  <c r="BG44" i="9"/>
  <c r="L1185" i="13" a="1"/>
  <c r="L1185" i="13" s="1"/>
  <c r="L1186" i="13" s="1"/>
  <c r="L1189" i="13" s="1"/>
  <c r="E1126" i="13"/>
  <c r="AP43" i="9" s="1" a="1"/>
  <c r="AP43" i="9" s="1"/>
  <c r="AR43" i="9" s="1"/>
  <c r="AZ43" i="9" s="1"/>
  <c r="N1160" i="13"/>
  <c r="HE44" i="9" s="1" a="1"/>
  <c r="HE44" i="9" s="1"/>
  <c r="F1160" i="13"/>
  <c r="BI44" i="9" s="1" a="1"/>
  <c r="BI44" i="9" s="1"/>
  <c r="AN44" i="9"/>
  <c r="M1160" i="13"/>
  <c r="GL44" i="9" s="1" a="1"/>
  <c r="GL44" i="9" s="1"/>
  <c r="L1160" i="13"/>
  <c r="FS44" i="9" s="1" a="1"/>
  <c r="FS44" i="9" s="1"/>
  <c r="FQ44" i="9"/>
  <c r="GJ44" i="9"/>
  <c r="J1126" i="13"/>
  <c r="EG43" i="9" s="1" a="1"/>
  <c r="EG43" i="9" s="1"/>
  <c r="EI43" i="9" s="1"/>
  <c r="EQ43" i="9" s="1"/>
  <c r="N1126" i="13"/>
  <c r="HE43" i="9" s="1" a="1"/>
  <c r="HE43" i="9" s="1"/>
  <c r="HG43" i="9" s="1"/>
  <c r="L1126" i="13"/>
  <c r="FS43" i="9" s="1" a="1"/>
  <c r="FS43" i="9" s="1"/>
  <c r="FU43" i="9" s="1"/>
  <c r="GC43" i="9" s="1"/>
  <c r="HV44" i="9"/>
  <c r="HC44" i="9"/>
  <c r="CS44" i="9"/>
  <c r="O1160" i="13"/>
  <c r="HX44" i="9" s="1" a="1"/>
  <c r="HX44" i="9" s="1"/>
  <c r="D1160" i="13"/>
  <c r="I1158" i="13"/>
  <c r="DK44" i="9" a="1"/>
  <c r="DK44" i="9" s="1"/>
  <c r="P56" i="25" a="1"/>
  <c r="P56" i="25" s="1"/>
  <c r="HW44" i="9"/>
  <c r="K1156" i="13"/>
  <c r="EW44" i="9" a="1"/>
  <c r="EW44" i="9" s="1"/>
  <c r="I1190" i="13"/>
  <c r="DK45" i="9" a="1"/>
  <c r="DK45" i="9" s="1"/>
  <c r="J1156" i="13"/>
  <c r="ED44" i="9" a="1"/>
  <c r="ED44" i="9" s="1"/>
  <c r="EE44" i="9" s="1"/>
  <c r="G56" i="25" a="1"/>
  <c r="G56" i="25" s="1"/>
  <c r="BH44" i="9"/>
  <c r="O56" i="25" a="1"/>
  <c r="O56" i="25" s="1"/>
  <c r="HD44" i="9"/>
  <c r="D1192" i="13"/>
  <c r="T45" i="9" a="1"/>
  <c r="T45" i="9" s="1"/>
  <c r="E57" i="25" s="1" a="1"/>
  <c r="E57" i="25" s="1"/>
  <c r="G1158" i="13"/>
  <c r="BY44" i="9" a="1"/>
  <c r="BY44" i="9" s="1"/>
  <c r="BZ44" i="9" s="1"/>
  <c r="F1192" i="13"/>
  <c r="BF45" i="9" a="1"/>
  <c r="BF45" i="9" s="1"/>
  <c r="M56" i="25" a="1"/>
  <c r="M56" i="25" s="1"/>
  <c r="FR44" i="9"/>
  <c r="N56" i="25" a="1"/>
  <c r="N56" i="25" s="1"/>
  <c r="GK44" i="9"/>
  <c r="G1192" i="13"/>
  <c r="BY45" i="9" a="1"/>
  <c r="BY45" i="9" s="1"/>
  <c r="M1192" i="13"/>
  <c r="GI45" i="9" a="1"/>
  <c r="GI45" i="9" s="1"/>
  <c r="I56" i="25" a="1"/>
  <c r="I56" i="25" s="1"/>
  <c r="CT44" i="9"/>
  <c r="F56" i="25" a="1"/>
  <c r="F56" i="25" s="1"/>
  <c r="AO44" i="9"/>
  <c r="HC43" i="9"/>
  <c r="I1126" i="13"/>
  <c r="DN43" i="9" s="1" a="1"/>
  <c r="DN43" i="9" s="1"/>
  <c r="DP43" i="9" s="1"/>
  <c r="DX43" i="9" s="1"/>
  <c r="FQ43" i="9"/>
  <c r="J55" i="25" a="1"/>
  <c r="J55" i="25" s="1"/>
  <c r="DM43" i="9"/>
  <c r="DL43" i="9"/>
  <c r="M55" i="25" a="1"/>
  <c r="M55" i="25" s="1"/>
  <c r="FR43" i="9"/>
  <c r="N55" i="25" a="1"/>
  <c r="N55" i="25" s="1"/>
  <c r="GK43" i="9"/>
  <c r="D1122" i="13"/>
  <c r="T43" i="9" a="1"/>
  <c r="T43" i="9" s="1"/>
  <c r="U43" i="9" s="1"/>
  <c r="Q54" i="25"/>
  <c r="F55" i="25" a="1"/>
  <c r="F55" i="25" s="1"/>
  <c r="AO43" i="9"/>
  <c r="I55" i="25" a="1"/>
  <c r="I55" i="25" s="1"/>
  <c r="CT43" i="9"/>
  <c r="P55" i="25" a="1"/>
  <c r="P55" i="25" s="1"/>
  <c r="HW43" i="9"/>
  <c r="CS43" i="9"/>
  <c r="K55" i="25" a="1"/>
  <c r="K55" i="25" s="1"/>
  <c r="EF43" i="9"/>
  <c r="O55" i="25" a="1"/>
  <c r="O55" i="25" s="1"/>
  <c r="HD43" i="9"/>
  <c r="GJ43" i="9"/>
  <c r="O1187" i="13" a="1"/>
  <c r="O1187" i="13" s="1"/>
  <c r="O1188" i="13" s="1"/>
  <c r="O1189" i="13" s="1"/>
  <c r="J1185" i="13" a="1"/>
  <c r="J1185" i="13" s="1"/>
  <c r="J1186" i="13" s="1"/>
  <c r="J1189" i="13" s="1"/>
  <c r="N1187" i="13" a="1"/>
  <c r="N1187" i="13" s="1"/>
  <c r="N1188" i="13" s="1"/>
  <c r="N1189" i="13" s="1"/>
  <c r="H1219" i="13" a="1"/>
  <c r="H1219" i="13" s="1"/>
  <c r="H1220" i="13" s="1"/>
  <c r="H1223" i="13" s="1"/>
  <c r="M1221" i="13" a="1"/>
  <c r="M1221" i="13" s="1"/>
  <c r="M1222" i="13" s="1"/>
  <c r="M1223" i="13" s="1"/>
  <c r="N1221" i="13" a="1"/>
  <c r="N1221" i="13" s="1"/>
  <c r="N1222" i="13" s="1"/>
  <c r="N1223" i="13" s="1"/>
  <c r="I1219" i="13" a="1"/>
  <c r="I1219" i="13" s="1"/>
  <c r="I1220" i="13" s="1"/>
  <c r="I1223" i="13" s="1"/>
  <c r="E1185" i="13" a="1"/>
  <c r="E1185" i="13" s="1"/>
  <c r="E1186" i="13" s="1"/>
  <c r="E1189" i="13" s="1"/>
  <c r="K1185" i="13" a="1"/>
  <c r="K1185" i="13" s="1"/>
  <c r="K1186" i="13" s="1"/>
  <c r="K1189" i="13" s="1"/>
  <c r="HT45" i="9" a="1"/>
  <c r="HT45" i="9" s="1"/>
  <c r="O1208" i="13" a="1"/>
  <c r="O1208" i="13" s="1"/>
  <c r="O1221" i="13" s="1" a="1"/>
  <c r="O1221" i="13" s="1"/>
  <c r="O1222" i="13" s="1"/>
  <c r="HS46" i="9" a="1"/>
  <c r="HS46" i="9" s="1"/>
  <c r="P58" i="27" s="1" a="1"/>
  <c r="P58" i="27" s="1"/>
  <c r="HY46" i="9" a="1"/>
  <c r="HY46" i="9" s="1"/>
  <c r="P57" i="27" a="1"/>
  <c r="P57" i="27" s="1"/>
  <c r="O1242" i="13" a="1"/>
  <c r="O1242" i="13" s="1"/>
  <c r="O1255" i="13" s="1" a="1"/>
  <c r="O1255" i="13" s="1"/>
  <c r="O1256" i="13" s="1"/>
  <c r="HY47" i="9" a="1"/>
  <c r="HY47" i="9" s="1"/>
  <c r="HS47" i="9" a="1"/>
  <c r="HS47" i="9" s="1"/>
  <c r="HA45" i="9" a="1"/>
  <c r="HA45" i="9" s="1"/>
  <c r="O57" i="27" a="1"/>
  <c r="O57" i="27" s="1"/>
  <c r="N1242" i="13" a="1"/>
  <c r="N1242" i="13" s="1"/>
  <c r="N1253" i="13" s="1" a="1"/>
  <c r="N1253" i="13" s="1"/>
  <c r="N1254" i="13" s="1"/>
  <c r="GZ47" i="9" a="1"/>
  <c r="GZ47" i="9" s="1"/>
  <c r="HF47" i="9" a="1"/>
  <c r="HF47" i="9" s="1"/>
  <c r="GH45" i="9" a="1"/>
  <c r="GH45" i="9" s="1"/>
  <c r="EV44" i="9" a="1"/>
  <c r="EV44" i="9" s="1"/>
  <c r="L1208" i="13" a="1"/>
  <c r="L1208" i="13" s="1"/>
  <c r="L1219" i="13" s="1" a="1"/>
  <c r="L1219" i="13" s="1"/>
  <c r="L1220" i="13" s="1"/>
  <c r="FN46" i="9" a="1"/>
  <c r="FN46" i="9" s="1"/>
  <c r="M58" i="27" s="1" a="1"/>
  <c r="M58" i="27" s="1"/>
  <c r="FT46" i="9" a="1"/>
  <c r="FT46" i="9" s="1"/>
  <c r="M57" i="27" a="1"/>
  <c r="M57" i="27" s="1"/>
  <c r="K1208" i="13" a="1"/>
  <c r="K1208" i="13" s="1"/>
  <c r="K1219" i="13" s="1" a="1"/>
  <c r="K1219" i="13" s="1"/>
  <c r="K1220" i="13" s="1"/>
  <c r="EU46" i="9" a="1"/>
  <c r="EU46" i="9" s="1"/>
  <c r="L58" i="27" s="1" a="1"/>
  <c r="L58" i="27" s="1"/>
  <c r="FA46" i="9" a="1"/>
  <c r="FA46" i="9" s="1"/>
  <c r="K1242" i="13" a="1"/>
  <c r="K1242" i="13" s="1"/>
  <c r="K1255" i="13" s="1" a="1"/>
  <c r="K1255" i="13" s="1"/>
  <c r="K1256" i="13" s="1"/>
  <c r="EU47" i="9" a="1"/>
  <c r="EU47" i="9" s="1"/>
  <c r="FA47" i="9" a="1"/>
  <c r="FA47" i="9" s="1"/>
  <c r="L57" i="27" a="1"/>
  <c r="L57" i="27" s="1"/>
  <c r="K57" i="27" a="1"/>
  <c r="K57" i="27" s="1"/>
  <c r="J1208" i="13" a="1"/>
  <c r="J1208" i="13" s="1"/>
  <c r="J1219" i="13" s="1" a="1"/>
  <c r="J1219" i="13" s="1"/>
  <c r="J1220" i="13" s="1"/>
  <c r="EB46" i="9" a="1"/>
  <c r="EB46" i="9" s="1"/>
  <c r="K58" i="27" s="1" a="1"/>
  <c r="K58" i="27" s="1"/>
  <c r="EH46" i="9" a="1"/>
  <c r="EH46" i="9" s="1"/>
  <c r="H1185" i="13" a="1"/>
  <c r="H1185" i="13" s="1"/>
  <c r="H1186" i="13" s="1"/>
  <c r="H1189" i="13" s="1"/>
  <c r="EC45" i="9" a="1"/>
  <c r="EC45" i="9" s="1"/>
  <c r="DJ44" i="9" a="1"/>
  <c r="DJ44" i="9" s="1"/>
  <c r="DJ45" i="9" a="1"/>
  <c r="DJ45" i="9" s="1"/>
  <c r="H1242" i="13" a="1"/>
  <c r="H1242" i="13" s="1"/>
  <c r="H1253" i="13" s="1" a="1"/>
  <c r="H1253" i="13" s="1"/>
  <c r="H1254" i="13" s="1"/>
  <c r="CV47" i="9" a="1"/>
  <c r="CV47" i="9" s="1"/>
  <c r="CP47" i="9" a="1"/>
  <c r="CP47" i="9" s="1"/>
  <c r="I57" i="27" a="1"/>
  <c r="I57" i="27" s="1"/>
  <c r="CQ45" i="9" a="1"/>
  <c r="CQ45" i="9" s="1"/>
  <c r="G1208" i="13" a="1"/>
  <c r="G1208" i="13" s="1"/>
  <c r="CC46" i="9" a="1"/>
  <c r="CC46" i="9" s="1"/>
  <c r="BW46" i="9" a="1"/>
  <c r="BW46" i="9" s="1"/>
  <c r="H58" i="27" s="1" a="1"/>
  <c r="H58" i="27" s="1"/>
  <c r="BX45" i="9" a="1"/>
  <c r="BX45" i="9" s="1"/>
  <c r="BE45" i="9" a="1"/>
  <c r="BE45" i="9" s="1"/>
  <c r="F1208" i="13" a="1"/>
  <c r="F1208" i="13" s="1"/>
  <c r="F1219" i="13" s="1" a="1"/>
  <c r="F1219" i="13" s="1"/>
  <c r="F1220" i="13" s="1"/>
  <c r="BD46" i="9" a="1"/>
  <c r="BD46" i="9" s="1"/>
  <c r="G58" i="27" s="1" a="1"/>
  <c r="G58" i="27" s="1"/>
  <c r="BJ46" i="9" a="1"/>
  <c r="BJ46" i="9" s="1"/>
  <c r="E1208" i="13" a="1"/>
  <c r="E1208" i="13" s="1"/>
  <c r="E1221" i="13" s="1" a="1"/>
  <c r="E1221" i="13" s="1"/>
  <c r="E1222" i="13" s="1"/>
  <c r="AK46" i="9" a="1"/>
  <c r="AK46" i="9" s="1"/>
  <c r="F58" i="27" s="1" a="1"/>
  <c r="F58" i="27" s="1"/>
  <c r="AQ46" i="9" a="1"/>
  <c r="AQ46" i="9" s="1"/>
  <c r="F57" i="27" a="1"/>
  <c r="F57" i="27" s="1"/>
  <c r="E1242" i="13" a="1"/>
  <c r="E1242" i="13" s="1"/>
  <c r="E1253" i="13" s="1" a="1"/>
  <c r="E1253" i="13" s="1"/>
  <c r="E1254" i="13" s="1"/>
  <c r="AK47" i="9" a="1"/>
  <c r="AK47" i="9" s="1"/>
  <c r="AQ47" i="9" a="1"/>
  <c r="AQ47" i="9" s="1"/>
  <c r="D1208" i="13" a="1"/>
  <c r="D1208" i="13" s="1"/>
  <c r="D1219" i="13" s="1" a="1"/>
  <c r="D1219" i="13" s="1"/>
  <c r="D1220" i="13" s="1"/>
  <c r="R46" i="9" a="1"/>
  <c r="R46" i="9" s="1"/>
  <c r="E58" i="27" s="1" a="1"/>
  <c r="E58" i="27" s="1"/>
  <c r="F522" i="10"/>
  <c r="S44" i="9" a="1"/>
  <c r="S44" i="9" s="1"/>
  <c r="U44" i="9" s="1"/>
  <c r="D519" i="10"/>
  <c r="D1240" i="13" s="1" a="1"/>
  <c r="D1240" i="13" s="1"/>
  <c r="D521" i="10"/>
  <c r="G1211" i="13" a="1"/>
  <c r="G1211" i="13" s="1"/>
  <c r="G1212" i="13" s="1"/>
  <c r="G1213" i="13" s="1"/>
  <c r="P507" i="10"/>
  <c r="F520" i="10"/>
  <c r="F1241" i="13" s="1" a="1"/>
  <c r="F1241" i="13" s="1"/>
  <c r="F1250" i="13" s="1" a="1"/>
  <c r="F1250" i="13" s="1"/>
  <c r="F1251" i="13" s="1"/>
  <c r="F519" i="10"/>
  <c r="F1240" i="13" s="1" a="1"/>
  <c r="F1240" i="13" s="1"/>
  <c r="F1245" i="13" s="1" a="1"/>
  <c r="F1245" i="13" s="1"/>
  <c r="F1246" i="13" s="1"/>
  <c r="E1184" i="13"/>
  <c r="J1158" i="13"/>
  <c r="G1218" i="13"/>
  <c r="L1179" i="13"/>
  <c r="J1218" i="13"/>
  <c r="D1184" i="13"/>
  <c r="E1179" i="13"/>
  <c r="G519" i="10"/>
  <c r="G1240" i="13" s="1" a="1"/>
  <c r="G1240" i="13" s="1"/>
  <c r="G1245" i="13" s="1" a="1"/>
  <c r="G1245" i="13" s="1"/>
  <c r="G1246" i="13" s="1"/>
  <c r="G521" i="10"/>
  <c r="M1218" i="13"/>
  <c r="K1213" i="13"/>
  <c r="J1213" i="13"/>
  <c r="K1218" i="13"/>
  <c r="I535" i="10"/>
  <c r="I533" i="10"/>
  <c r="I1274" i="13" s="1" a="1"/>
  <c r="I1274" i="13" s="1"/>
  <c r="I534" i="10"/>
  <c r="I1275" i="13" s="1" a="1"/>
  <c r="I1275" i="13" s="1"/>
  <c r="F534" i="10"/>
  <c r="F1275" i="13" s="1" a="1"/>
  <c r="F1275" i="13" s="1"/>
  <c r="F535" i="10"/>
  <c r="F533" i="10"/>
  <c r="F1274" i="13" s="1" a="1"/>
  <c r="F1274" i="13" s="1"/>
  <c r="O534" i="10"/>
  <c r="O1275" i="13" s="1" a="1"/>
  <c r="O1275" i="13" s="1"/>
  <c r="O535" i="10"/>
  <c r="O533" i="10"/>
  <c r="O1274" i="13" s="1" a="1"/>
  <c r="O1274" i="13" s="1"/>
  <c r="D534" i="10"/>
  <c r="D533" i="10"/>
  <c r="D535" i="10"/>
  <c r="H535" i="10"/>
  <c r="H533" i="10"/>
  <c r="H1274" i="13" s="1" a="1"/>
  <c r="H1274" i="13" s="1"/>
  <c r="H534" i="10"/>
  <c r="H1275" i="13" s="1" a="1"/>
  <c r="H1275" i="13" s="1"/>
  <c r="N535" i="10"/>
  <c r="N534" i="10"/>
  <c r="N1275" i="13" s="1" a="1"/>
  <c r="N1275" i="13" s="1"/>
  <c r="N533" i="10"/>
  <c r="N1274" i="13" s="1" a="1"/>
  <c r="N1274" i="13" s="1"/>
  <c r="K534" i="10"/>
  <c r="K1275" i="13" s="1" a="1"/>
  <c r="K1275" i="13" s="1"/>
  <c r="K533" i="10"/>
  <c r="K1274" i="13" s="1" a="1"/>
  <c r="K1274" i="13" s="1"/>
  <c r="K535" i="10"/>
  <c r="J533" i="10"/>
  <c r="J1274" i="13" s="1" a="1"/>
  <c r="J1274" i="13" s="1"/>
  <c r="J534" i="10"/>
  <c r="J1275" i="13" s="1" a="1"/>
  <c r="J1275" i="13" s="1"/>
  <c r="J535" i="10"/>
  <c r="L534" i="10"/>
  <c r="L1275" i="13" s="1" a="1"/>
  <c r="L1275" i="13" s="1"/>
  <c r="L533" i="10"/>
  <c r="L1274" i="13" s="1" a="1"/>
  <c r="L1274" i="13" s="1"/>
  <c r="L535" i="10"/>
  <c r="G533" i="10"/>
  <c r="G1274" i="13" s="1" a="1"/>
  <c r="G1274" i="13" s="1"/>
  <c r="G534" i="10"/>
  <c r="G1275" i="13" s="1" a="1"/>
  <c r="G1275" i="13" s="1"/>
  <c r="G535" i="10"/>
  <c r="G1250" i="13" a="1"/>
  <c r="G1250" i="13" s="1"/>
  <c r="G1251" i="13" s="1"/>
  <c r="G1248" i="13" a="1"/>
  <c r="G1248" i="13" s="1"/>
  <c r="G1249" i="13" s="1"/>
  <c r="L1216" i="13" a="1"/>
  <c r="L1216" i="13" s="1"/>
  <c r="L1217" i="13" s="1"/>
  <c r="L1214" i="13" a="1"/>
  <c r="L1214" i="13" s="1"/>
  <c r="L1215" i="13" s="1"/>
  <c r="I1243" i="13" a="1"/>
  <c r="I1243" i="13" s="1"/>
  <c r="I1244" i="13" s="1"/>
  <c r="I1245" i="13" a="1"/>
  <c r="I1245" i="13" s="1"/>
  <c r="I1246" i="13" s="1"/>
  <c r="O1245" i="13" a="1"/>
  <c r="O1245" i="13" s="1"/>
  <c r="O1246" i="13" s="1"/>
  <c r="O1243" i="13" a="1"/>
  <c r="O1243" i="13" s="1"/>
  <c r="O1244" i="13" s="1"/>
  <c r="L1184" i="13"/>
  <c r="FO45" i="9" s="1" a="1"/>
  <c r="FO45" i="9" s="1"/>
  <c r="N1218" i="13"/>
  <c r="F1216" i="13" a="1"/>
  <c r="F1216" i="13" s="1"/>
  <c r="F1217" i="13" s="1"/>
  <c r="F1214" i="13" a="1"/>
  <c r="F1214" i="13" s="1"/>
  <c r="F1215" i="13" s="1"/>
  <c r="O1214" i="13" a="1"/>
  <c r="O1214" i="13" s="1"/>
  <c r="O1215" i="13" s="1"/>
  <c r="O1216" i="13" a="1"/>
  <c r="O1216" i="13" s="1"/>
  <c r="O1217" i="13" s="1"/>
  <c r="N1248" i="13" a="1"/>
  <c r="N1248" i="13" s="1"/>
  <c r="N1249" i="13" s="1"/>
  <c r="N1250" i="13" a="1"/>
  <c r="N1250" i="13" s="1"/>
  <c r="N1251" i="13" s="1"/>
  <c r="D1241" i="13" a="1"/>
  <c r="D1241" i="13" s="1"/>
  <c r="E1209" i="13" a="1"/>
  <c r="E1209" i="13" s="1"/>
  <c r="E1210" i="13" s="1"/>
  <c r="E1211" i="13" a="1"/>
  <c r="E1211" i="13" s="1"/>
  <c r="E1212" i="13" s="1"/>
  <c r="O1211" i="13" a="1"/>
  <c r="O1211" i="13" s="1"/>
  <c r="O1212" i="13" s="1"/>
  <c r="O1209" i="13" a="1"/>
  <c r="O1209" i="13" s="1"/>
  <c r="O1210" i="13" s="1"/>
  <c r="N1243" i="13" a="1"/>
  <c r="N1243" i="13" s="1"/>
  <c r="N1244" i="13" s="1"/>
  <c r="N1245" i="13" a="1"/>
  <c r="N1245" i="13" s="1"/>
  <c r="N1246" i="13" s="1"/>
  <c r="K1245" i="13" a="1"/>
  <c r="K1245" i="13" s="1"/>
  <c r="K1246" i="13" s="1"/>
  <c r="K1243" i="13" a="1"/>
  <c r="K1243" i="13" s="1"/>
  <c r="K1244" i="13" s="1"/>
  <c r="E532" i="10" a="1"/>
  <c r="E532" i="10" s="1"/>
  <c r="P532" i="10" a="1"/>
  <c r="P532" i="10" s="1"/>
  <c r="D1207" i="13" a="1"/>
  <c r="D1207" i="13" s="1"/>
  <c r="P506" i="10"/>
  <c r="K1184" i="13"/>
  <c r="K1179" i="13"/>
  <c r="F1209" i="13" a="1"/>
  <c r="F1209" i="13" s="1"/>
  <c r="F1210" i="13" s="1"/>
  <c r="F1211" i="13" a="1"/>
  <c r="F1211" i="13" s="1"/>
  <c r="F1212" i="13" s="1"/>
  <c r="D1206" i="13" a="1"/>
  <c r="D1206" i="13" s="1"/>
  <c r="P505" i="10"/>
  <c r="E1216" i="13" a="1"/>
  <c r="E1216" i="13" s="1"/>
  <c r="E1217" i="13" s="1"/>
  <c r="E1214" i="13" a="1"/>
  <c r="E1214" i="13" s="1"/>
  <c r="E1215" i="13" s="1"/>
  <c r="L520" i="10"/>
  <c r="L1241" i="13" s="1" a="1"/>
  <c r="L1241" i="13" s="1"/>
  <c r="L521" i="10"/>
  <c r="L519" i="10"/>
  <c r="L1240" i="13" s="1" a="1"/>
  <c r="L1240" i="13" s="1"/>
  <c r="K1248" i="13" a="1"/>
  <c r="K1248" i="13" s="1"/>
  <c r="K1249" i="13" s="1"/>
  <c r="K1250" i="13" a="1"/>
  <c r="K1250" i="13" s="1"/>
  <c r="K1251" i="13" s="1"/>
  <c r="H1213" i="13"/>
  <c r="N1213" i="13"/>
  <c r="D1179" i="13"/>
  <c r="H1250" i="13" a="1"/>
  <c r="H1250" i="13" s="1"/>
  <c r="H1251" i="13" s="1"/>
  <c r="H1248" i="13" a="1"/>
  <c r="H1248" i="13" s="1"/>
  <c r="H1249" i="13" s="1"/>
  <c r="M532" i="10" a="1"/>
  <c r="M532" i="10" s="1"/>
  <c r="M536" i="10" s="1"/>
  <c r="I1213" i="13"/>
  <c r="I1218" i="13"/>
  <c r="M520" i="10"/>
  <c r="M1241" i="13" s="1" a="1"/>
  <c r="M1241" i="13" s="1"/>
  <c r="M521" i="10"/>
  <c r="M519" i="10"/>
  <c r="M1240" i="13" s="1" a="1"/>
  <c r="M1240" i="13" s="1"/>
  <c r="L1209" i="13" a="1"/>
  <c r="L1209" i="13" s="1"/>
  <c r="L1210" i="13" s="1"/>
  <c r="L1211" i="13" a="1"/>
  <c r="L1211" i="13" s="1"/>
  <c r="L1212" i="13" s="1"/>
  <c r="H1218" i="13"/>
  <c r="H1243" i="13" a="1"/>
  <c r="H1243" i="13" s="1"/>
  <c r="H1244" i="13" s="1"/>
  <c r="H1245" i="13" a="1"/>
  <c r="H1245" i="13" s="1"/>
  <c r="H1246" i="13" s="1"/>
  <c r="E1248" i="13" a="1"/>
  <c r="E1248" i="13" s="1"/>
  <c r="E1249" i="13" s="1"/>
  <c r="E1250" i="13" a="1"/>
  <c r="E1250" i="13" s="1"/>
  <c r="E1251" i="13" s="1"/>
  <c r="J520" i="10"/>
  <c r="J1241" i="13" s="1" a="1"/>
  <c r="J1241" i="13" s="1"/>
  <c r="J521" i="10"/>
  <c r="J519" i="10"/>
  <c r="J1240" i="13" s="1" a="1"/>
  <c r="J1240" i="13" s="1"/>
  <c r="M1213" i="13"/>
  <c r="I1250" i="13" a="1"/>
  <c r="I1250" i="13" s="1"/>
  <c r="I1251" i="13" s="1"/>
  <c r="I1248" i="13" a="1"/>
  <c r="I1248" i="13" s="1"/>
  <c r="I1249" i="13" s="1"/>
  <c r="O1250" i="13" a="1"/>
  <c r="O1250" i="13" s="1"/>
  <c r="O1251" i="13" s="1"/>
  <c r="O1248" i="13" a="1"/>
  <c r="O1248" i="13" s="1"/>
  <c r="O1249" i="13" s="1"/>
  <c r="E1243" i="13" a="1"/>
  <c r="E1243" i="13" s="1"/>
  <c r="E1244" i="13" s="1"/>
  <c r="E1245" i="13" a="1"/>
  <c r="E1245" i="13" s="1"/>
  <c r="E1246" i="13" s="1"/>
  <c r="I1156" i="13"/>
  <c r="G1190" i="13"/>
  <c r="K1158" i="13"/>
  <c r="D1124" i="13"/>
  <c r="D1190" i="13"/>
  <c r="F1190" i="13"/>
  <c r="I1192" i="13"/>
  <c r="M1190" i="13"/>
  <c r="G1156" i="13"/>
  <c r="GO42" i="9" a="1"/>
  <c r="GO42" i="9" s="1"/>
  <c r="GW42" i="9" s="1"/>
  <c r="O55" i="24" s="1" a="1"/>
  <c r="O55" i="24" s="1"/>
  <c r="IJ40" i="9"/>
  <c r="IK40" i="9" s="1"/>
  <c r="CX42" i="9" a="1"/>
  <c r="CX42" i="9" s="1"/>
  <c r="DF42" i="9" s="1"/>
  <c r="J55" i="24" s="1" a="1"/>
  <c r="J55" i="24" s="1"/>
  <c r="EQ42" i="9"/>
  <c r="ER42" i="9" s="1"/>
  <c r="L55" i="24" s="1" a="1"/>
  <c r="L55" i="24" s="1"/>
  <c r="IN40" i="9"/>
  <c r="IO40" i="9" s="1"/>
  <c r="IA41" i="9" a="1"/>
  <c r="IA41" i="9" s="1"/>
  <c r="II41" i="9" s="1"/>
  <c r="Q54" i="24" s="1" a="1"/>
  <c r="Q54" i="24" s="1"/>
  <c r="DQ42" i="9" a="1"/>
  <c r="DQ42" i="9" s="1"/>
  <c r="DY42" i="9" s="1"/>
  <c r="K55" i="24" s="1" a="1"/>
  <c r="K55" i="24" s="1"/>
  <c r="FV41" i="9" a="1"/>
  <c r="FV41" i="9" s="1"/>
  <c r="GD41" i="9" s="1"/>
  <c r="N54" i="24" s="1" a="1"/>
  <c r="N54" i="24" s="1"/>
  <c r="FV42" i="9" a="1"/>
  <c r="FV42" i="9" s="1"/>
  <c r="GD42" i="9" s="1"/>
  <c r="N55" i="24" s="1" a="1"/>
  <c r="N55" i="24" s="1"/>
  <c r="DQ41" i="9" a="1"/>
  <c r="DQ41" i="9" s="1"/>
  <c r="DY41" i="9" s="1"/>
  <c r="K54" i="24" s="1" a="1"/>
  <c r="K54" i="24" s="1"/>
  <c r="Z42" i="9" a="1"/>
  <c r="Z42" i="9" s="1"/>
  <c r="AH42" i="9" s="1"/>
  <c r="F55" i="24" s="1" a="1"/>
  <c r="F55" i="24" s="1"/>
  <c r="HH42" i="9" a="1"/>
  <c r="HH42" i="9" s="1"/>
  <c r="HP42" i="9" s="1"/>
  <c r="P55" i="24" s="1" a="1"/>
  <c r="P55" i="24" s="1"/>
  <c r="AS42" i="9" a="1"/>
  <c r="AS42" i="9" s="1"/>
  <c r="BA42" i="9" s="1"/>
  <c r="G55" i="24" s="1" a="1"/>
  <c r="G55" i="24" s="1"/>
  <c r="CD43" i="9"/>
  <c r="CL43" i="9" s="1"/>
  <c r="BK43" i="9"/>
  <c r="BS43" i="9" s="1"/>
  <c r="W41" i="9" a="1"/>
  <c r="W41" i="9" s="1"/>
  <c r="Y41" i="9" s="1"/>
  <c r="AG41" i="9" s="1"/>
  <c r="IL41" i="9" s="1"/>
  <c r="IM41" i="9" s="1"/>
  <c r="J530" i="10"/>
  <c r="EA48" i="9" s="1" a="1"/>
  <c r="EA48" i="9" s="1"/>
  <c r="F530" i="10"/>
  <c r="BC48" i="9" s="1" a="1"/>
  <c r="BC48" i="9" s="1"/>
  <c r="P545" i="10"/>
  <c r="J58" i="27" a="1"/>
  <c r="J58" i="27" s="1"/>
  <c r="N58" i="27" a="1"/>
  <c r="N58" i="27" s="1"/>
  <c r="O58" i="27" a="1"/>
  <c r="O58" i="27" s="1"/>
  <c r="I58" i="27" a="1"/>
  <c r="I58" i="27" s="1"/>
  <c r="M530" i="10"/>
  <c r="GF48" i="9" s="1" a="1"/>
  <c r="GF48" i="9" s="1"/>
  <c r="N530" i="10"/>
  <c r="GY48" i="9" s="1" a="1"/>
  <c r="GY48" i="9" s="1"/>
  <c r="O530" i="10"/>
  <c r="HR48" i="9" s="1" a="1"/>
  <c r="HR48" i="9" s="1"/>
  <c r="K530" i="10"/>
  <c r="ET48" i="9" s="1" a="1"/>
  <c r="ET48" i="9" s="1"/>
  <c r="H530" i="10"/>
  <c r="CO48" i="9" s="1" a="1"/>
  <c r="CO48" i="9" s="1"/>
  <c r="P508" i="10"/>
  <c r="G530" i="10"/>
  <c r="BV48" i="9" s="1" a="1"/>
  <c r="BV48" i="9" s="1"/>
  <c r="O536" i="10"/>
  <c r="H536" i="10"/>
  <c r="N536" i="10"/>
  <c r="J536" i="10"/>
  <c r="O542" i="10"/>
  <c r="I536" i="10"/>
  <c r="H542" i="10"/>
  <c r="L542" i="10"/>
  <c r="L552" i="10"/>
  <c r="L559" i="10" s="1"/>
  <c r="P552" i="10"/>
  <c r="P556" i="10" s="1"/>
  <c r="D552" i="10"/>
  <c r="D559" i="10" s="1"/>
  <c r="K552" i="10"/>
  <c r="K559" i="10" s="1"/>
  <c r="O552" i="10"/>
  <c r="O559" i="10" s="1"/>
  <c r="G552" i="10"/>
  <c r="G559" i="10" s="1"/>
  <c r="B556" i="10"/>
  <c r="B557" i="10" s="1"/>
  <c r="M552" i="10"/>
  <c r="M559" i="10" s="1"/>
  <c r="N552" i="10"/>
  <c r="N559" i="10" s="1"/>
  <c r="J552" i="10"/>
  <c r="J559" i="10" s="1"/>
  <c r="F552" i="10"/>
  <c r="F559" i="10" s="1"/>
  <c r="I552" i="10"/>
  <c r="I559" i="10" s="1"/>
  <c r="H552" i="10"/>
  <c r="H559" i="10" s="1"/>
  <c r="E552" i="10"/>
  <c r="B553" i="10"/>
  <c r="B554" i="10" s="1"/>
  <c r="B555" i="10" s="1"/>
  <c r="L530" i="10"/>
  <c r="FM48" i="9" s="1" a="1"/>
  <c r="FM48" i="9" s="1"/>
  <c r="B579" i="10" a="1"/>
  <c r="B579" i="10" s="1"/>
  <c r="A579" i="10" a="1"/>
  <c r="A579" i="10" s="1"/>
  <c r="M545" i="10"/>
  <c r="M542" i="10"/>
  <c r="J545" i="10"/>
  <c r="J542" i="10"/>
  <c r="J522" i="10"/>
  <c r="E542" i="10"/>
  <c r="F545" i="10"/>
  <c r="F542" i="10"/>
  <c r="I522" i="10"/>
  <c r="I530" i="10"/>
  <c r="DH48" i="9" s="1" a="1"/>
  <c r="DH48" i="9" s="1"/>
  <c r="G542" i="10"/>
  <c r="D542" i="10"/>
  <c r="M522" i="10"/>
  <c r="M565" i="10"/>
  <c r="L565" i="10"/>
  <c r="K565" i="10"/>
  <c r="D565" i="10"/>
  <c r="H565" i="10"/>
  <c r="G565" i="10"/>
  <c r="E565" i="10"/>
  <c r="N565" i="10"/>
  <c r="J565" i="10"/>
  <c r="F565" i="10"/>
  <c r="B566" i="10"/>
  <c r="P565" i="10"/>
  <c r="I565" i="10"/>
  <c r="O565" i="10"/>
  <c r="G522" i="10"/>
  <c r="D522" i="10"/>
  <c r="X47" i="9" s="1" a="1"/>
  <c r="X47" i="9" s="1"/>
  <c r="D536" i="10"/>
  <c r="X48" i="9" s="1" a="1"/>
  <c r="X48" i="9" s="1"/>
  <c r="N542" i="10"/>
  <c r="L536" i="10"/>
  <c r="L522" i="10"/>
  <c r="I542" i="10"/>
  <c r="D543" i="10"/>
  <c r="D546" i="10" s="1" a="1"/>
  <c r="D546" i="10" s="1"/>
  <c r="P543" i="10"/>
  <c r="P544" i="10" s="1"/>
  <c r="K543" i="10"/>
  <c r="K546" i="10" s="1" a="1"/>
  <c r="K546" i="10" s="1"/>
  <c r="O543" i="10"/>
  <c r="O546" i="10" s="1" a="1"/>
  <c r="O546" i="10" s="1"/>
  <c r="B544" i="10"/>
  <c r="B545" i="10" s="1"/>
  <c r="B546" i="10" s="1"/>
  <c r="B547" i="10" s="1"/>
  <c r="B548" i="10" s="1"/>
  <c r="B549" i="10" s="1"/>
  <c r="B550" i="10" s="1"/>
  <c r="I543" i="10"/>
  <c r="I546" i="10" s="1" a="1"/>
  <c r="I546" i="10" s="1"/>
  <c r="M543" i="10"/>
  <c r="F543" i="10"/>
  <c r="L543" i="10"/>
  <c r="H543" i="10"/>
  <c r="H546" i="10" s="1" a="1"/>
  <c r="H546" i="10" s="1"/>
  <c r="E543" i="10"/>
  <c r="J543" i="10"/>
  <c r="N543" i="10"/>
  <c r="G543" i="10"/>
  <c r="G546" i="10" s="1" a="1"/>
  <c r="G546" i="10" s="1"/>
  <c r="K542" i="10"/>
  <c r="N545" i="10"/>
  <c r="E545" i="10"/>
  <c r="D530" i="10"/>
  <c r="Q48" i="9" s="1" a="1"/>
  <c r="Q48" i="9" s="1"/>
  <c r="K536" i="10"/>
  <c r="L545" i="10"/>
  <c r="R593" i="10"/>
  <c r="G1160" i="13" l="1"/>
  <c r="CB44" i="9" s="1" a="1"/>
  <c r="CB44" i="9" s="1"/>
  <c r="I1160" i="13"/>
  <c r="DN44" i="9" s="1" a="1"/>
  <c r="DN44" i="9" s="1"/>
  <c r="J1160" i="13"/>
  <c r="EG44" i="9" s="1" a="1"/>
  <c r="EG44" i="9" s="1"/>
  <c r="D1194" i="13"/>
  <c r="I1194" i="13"/>
  <c r="DN45" i="9" s="1" a="1"/>
  <c r="DN45" i="9" s="1"/>
  <c r="M1194" i="13"/>
  <c r="GL45" i="9" s="1" a="1"/>
  <c r="GL45" i="9" s="1"/>
  <c r="F1194" i="13"/>
  <c r="BI45" i="9" s="1" a="1"/>
  <c r="BI45" i="9" s="1"/>
  <c r="BZ45" i="9"/>
  <c r="G1194" i="13"/>
  <c r="CB45" i="9" s="1" a="1"/>
  <c r="CB45" i="9" s="1"/>
  <c r="DL44" i="9"/>
  <c r="EX44" i="9"/>
  <c r="GJ45" i="9"/>
  <c r="D1126" i="13"/>
  <c r="W43" i="9" s="1" a="1"/>
  <c r="W43" i="9" s="1"/>
  <c r="Y43" i="9" s="1"/>
  <c r="K1160" i="13"/>
  <c r="EZ44" i="9" s="1" a="1"/>
  <c r="EZ44" i="9" s="1"/>
  <c r="FB44" i="9" s="1"/>
  <c r="FJ44" i="9" s="1"/>
  <c r="N1190" i="13"/>
  <c r="HB45" i="9" a="1"/>
  <c r="HB45" i="9" s="1"/>
  <c r="HC45" i="9" s="1"/>
  <c r="J1190" i="13"/>
  <c r="ED45" i="9" a="1"/>
  <c r="ED45" i="9" s="1"/>
  <c r="EE45" i="9" s="1"/>
  <c r="DL45" i="9"/>
  <c r="L56" i="25" a="1"/>
  <c r="L56" i="25" s="1"/>
  <c r="EY44" i="9"/>
  <c r="N57" i="25" a="1"/>
  <c r="N57" i="25" s="1"/>
  <c r="GK45" i="9"/>
  <c r="H1190" i="13"/>
  <c r="CR45" i="9" a="1"/>
  <c r="CR45" i="9" s="1"/>
  <c r="K1192" i="13"/>
  <c r="EW45" i="9" a="1"/>
  <c r="EW45" i="9" s="1"/>
  <c r="O1190" i="13"/>
  <c r="HU45" i="9" a="1"/>
  <c r="HU45" i="9" s="1"/>
  <c r="HV45" i="9" s="1"/>
  <c r="G57" i="25" a="1"/>
  <c r="G57" i="25" s="1"/>
  <c r="BH45" i="9"/>
  <c r="H1226" i="13"/>
  <c r="CR46" i="9" a="1"/>
  <c r="CR46" i="9" s="1"/>
  <c r="E1192" i="13"/>
  <c r="AM45" i="9" a="1"/>
  <c r="AM45" i="9" s="1"/>
  <c r="H57" i="25" a="1"/>
  <c r="H57" i="25" s="1"/>
  <c r="CA45" i="9"/>
  <c r="L1192" i="13"/>
  <c r="FP45" i="9" a="1"/>
  <c r="FP45" i="9" s="1"/>
  <c r="FQ45" i="9" s="1"/>
  <c r="I1226" i="13"/>
  <c r="DK46" i="9" a="1"/>
  <c r="DK46" i="9" s="1"/>
  <c r="H56" i="25" a="1"/>
  <c r="H56" i="25" s="1"/>
  <c r="CA44" i="9"/>
  <c r="K56" i="25" a="1"/>
  <c r="K56" i="25" s="1"/>
  <c r="EF44" i="9"/>
  <c r="BG45" i="9"/>
  <c r="N1224" i="13"/>
  <c r="HB46" i="9" a="1"/>
  <c r="HB46" i="9" s="1"/>
  <c r="J56" i="25" a="1"/>
  <c r="J56" i="25" s="1"/>
  <c r="DM44" i="9"/>
  <c r="M1226" i="13"/>
  <c r="GI46" i="9" a="1"/>
  <c r="GI46" i="9" s="1"/>
  <c r="J57" i="25" a="1"/>
  <c r="J57" i="25" s="1"/>
  <c r="DM45" i="9"/>
  <c r="J1221" i="13" a="1"/>
  <c r="J1221" i="13" s="1"/>
  <c r="J1222" i="13" s="1"/>
  <c r="J1223" i="13" s="1"/>
  <c r="K1221" i="13" a="1"/>
  <c r="K1221" i="13" s="1"/>
  <c r="K1222" i="13" s="1"/>
  <c r="K1223" i="13" s="1"/>
  <c r="E1255" i="13" a="1"/>
  <c r="E1255" i="13" s="1"/>
  <c r="E1256" i="13" s="1"/>
  <c r="E1257" i="13" s="1"/>
  <c r="HH43" i="9" a="1"/>
  <c r="HH43" i="9" s="1"/>
  <c r="E55" i="25" a="1"/>
  <c r="E55" i="25" s="1"/>
  <c r="Q55" i="25" s="1"/>
  <c r="V43" i="9"/>
  <c r="L1221" i="13" a="1"/>
  <c r="L1221" i="13" s="1"/>
  <c r="L1222" i="13" s="1"/>
  <c r="L1223" i="13" s="1"/>
  <c r="E1219" i="13" a="1"/>
  <c r="E1219" i="13" s="1"/>
  <c r="E1220" i="13" s="1"/>
  <c r="E1223" i="13" s="1"/>
  <c r="K1253" i="13" a="1"/>
  <c r="K1253" i="13" s="1"/>
  <c r="K1254" i="13" s="1"/>
  <c r="K1257" i="13" s="1"/>
  <c r="O1219" i="13" a="1"/>
  <c r="O1219" i="13" s="1"/>
  <c r="O1220" i="13" s="1"/>
  <c r="O1223" i="13" s="1"/>
  <c r="D1221" i="13" a="1"/>
  <c r="D1221" i="13" s="1"/>
  <c r="D1222" i="13" s="1"/>
  <c r="D1223" i="13" s="1"/>
  <c r="N1255" i="13" a="1"/>
  <c r="N1255" i="13" s="1"/>
  <c r="N1256" i="13" s="1"/>
  <c r="N1257" i="13" s="1"/>
  <c r="O1276" i="13" a="1"/>
  <c r="O1276" i="13" s="1"/>
  <c r="O1289" i="13" s="1" a="1"/>
  <c r="O1289" i="13" s="1"/>
  <c r="O1290" i="13" s="1"/>
  <c r="HS48" i="9" a="1"/>
  <c r="HS48" i="9" s="1"/>
  <c r="P60" i="27" s="1" a="1"/>
  <c r="P60" i="27" s="1"/>
  <c r="HY48" i="9" a="1"/>
  <c r="HY48" i="9" s="1"/>
  <c r="O1253" i="13" a="1"/>
  <c r="O1253" i="13" s="1"/>
  <c r="O1254" i="13" s="1"/>
  <c r="O1257" i="13" s="1"/>
  <c r="HA46" i="9" a="1"/>
  <c r="HA46" i="9" s="1"/>
  <c r="EV45" i="9" a="1"/>
  <c r="EV45" i="9" s="1"/>
  <c r="N1276" i="13" a="1"/>
  <c r="N1276" i="13" s="1"/>
  <c r="N1289" i="13" s="1" a="1"/>
  <c r="N1289" i="13" s="1"/>
  <c r="N1290" i="13" s="1"/>
  <c r="GZ48" i="9" a="1"/>
  <c r="GZ48" i="9" s="1"/>
  <c r="O60" i="27" s="1" a="1"/>
  <c r="O60" i="27" s="1"/>
  <c r="HF48" i="9" a="1"/>
  <c r="HF48" i="9" s="1"/>
  <c r="M1276" i="13" a="1"/>
  <c r="M1276" i="13" s="1"/>
  <c r="M1289" i="13" s="1" a="1"/>
  <c r="M1289" i="13" s="1"/>
  <c r="M1290" i="13" s="1"/>
  <c r="GG48" i="9" a="1"/>
  <c r="GG48" i="9" s="1"/>
  <c r="N60" i="27" s="1" a="1"/>
  <c r="N60" i="27" s="1"/>
  <c r="GM48" i="9" a="1"/>
  <c r="GM48" i="9" s="1"/>
  <c r="GH46" i="9" a="1"/>
  <c r="GH46" i="9" s="1"/>
  <c r="H1255" i="13" a="1"/>
  <c r="H1255" i="13" s="1"/>
  <c r="H1256" i="13" s="1"/>
  <c r="H1257" i="13" s="1"/>
  <c r="M1242" i="13" a="1"/>
  <c r="M1242" i="13" s="1"/>
  <c r="M1255" i="13" s="1" a="1"/>
  <c r="M1255" i="13" s="1"/>
  <c r="M1256" i="13" s="1"/>
  <c r="GG47" i="9" a="1"/>
  <c r="GG47" i="9" s="1"/>
  <c r="N59" i="27" s="1" a="1"/>
  <c r="N59" i="27" s="1"/>
  <c r="GM47" i="9" a="1"/>
  <c r="GM47" i="9" s="1"/>
  <c r="EV46" i="9" a="1"/>
  <c r="EV46" i="9" s="1"/>
  <c r="F1221" i="13" a="1"/>
  <c r="F1221" i="13" s="1"/>
  <c r="F1222" i="13" s="1"/>
  <c r="F1223" i="13" s="1"/>
  <c r="L1242" i="13" a="1"/>
  <c r="L1242" i="13" s="1"/>
  <c r="L1255" i="13" s="1" a="1"/>
  <c r="L1255" i="13" s="1"/>
  <c r="L1256" i="13" s="1"/>
  <c r="FN47" i="9" a="1"/>
  <c r="FN47" i="9" s="1"/>
  <c r="M59" i="27" s="1" a="1"/>
  <c r="M59" i="27" s="1"/>
  <c r="FT47" i="9" a="1"/>
  <c r="FT47" i="9" s="1"/>
  <c r="L1276" i="13" a="1"/>
  <c r="L1276" i="13" s="1"/>
  <c r="L1287" i="13" s="1" a="1"/>
  <c r="L1287" i="13" s="1"/>
  <c r="L1288" i="13" s="1"/>
  <c r="FN48" i="9" a="1"/>
  <c r="FN48" i="9" s="1"/>
  <c r="M60" i="27" s="1" a="1"/>
  <c r="M60" i="27" s="1"/>
  <c r="FT48" i="9" a="1"/>
  <c r="FT48" i="9" s="1"/>
  <c r="K1276" i="13" a="1"/>
  <c r="K1276" i="13" s="1"/>
  <c r="K1289" i="13" s="1" a="1"/>
  <c r="K1289" i="13" s="1"/>
  <c r="K1290" i="13" s="1"/>
  <c r="EU48" i="9" a="1"/>
  <c r="EU48" i="9" s="1"/>
  <c r="L60" i="27" s="1" a="1"/>
  <c r="L60" i="27" s="1"/>
  <c r="FA48" i="9" a="1"/>
  <c r="FA48" i="9" s="1"/>
  <c r="EC46" i="9" a="1"/>
  <c r="EC46" i="9" s="1"/>
  <c r="J1242" i="13" a="1"/>
  <c r="J1242" i="13" s="1"/>
  <c r="J1255" i="13" s="1" a="1"/>
  <c r="J1255" i="13" s="1"/>
  <c r="J1256" i="13" s="1"/>
  <c r="EB47" i="9" a="1"/>
  <c r="EB47" i="9" s="1"/>
  <c r="K59" i="27" s="1" a="1"/>
  <c r="K59" i="27" s="1"/>
  <c r="EH47" i="9" a="1"/>
  <c r="EH47" i="9" s="1"/>
  <c r="J1276" i="13" a="1"/>
  <c r="J1276" i="13" s="1"/>
  <c r="J1287" i="13" s="1" a="1"/>
  <c r="J1287" i="13" s="1"/>
  <c r="J1288" i="13" s="1"/>
  <c r="EB48" i="9" a="1"/>
  <c r="EB48" i="9" s="1"/>
  <c r="K60" i="27" s="1" a="1"/>
  <c r="K60" i="27" s="1"/>
  <c r="EH48" i="9" a="1"/>
  <c r="EH48" i="9" s="1"/>
  <c r="I1276" i="13" a="1"/>
  <c r="I1276" i="13" s="1"/>
  <c r="I1289" i="13" s="1" a="1"/>
  <c r="I1289" i="13" s="1"/>
  <c r="I1290" i="13" s="1"/>
  <c r="DO48" i="9" a="1"/>
  <c r="DO48" i="9" s="1"/>
  <c r="DI48" i="9" a="1"/>
  <c r="DI48" i="9" s="1"/>
  <c r="J60" i="27" s="1" a="1"/>
  <c r="J60" i="27" s="1"/>
  <c r="DJ46" i="9" a="1"/>
  <c r="DJ46" i="9" s="1"/>
  <c r="I1242" i="13" a="1"/>
  <c r="I1242" i="13" s="1"/>
  <c r="I1255" i="13" s="1" a="1"/>
  <c r="I1255" i="13" s="1"/>
  <c r="I1256" i="13" s="1"/>
  <c r="DI47" i="9" a="1"/>
  <c r="DI47" i="9" s="1"/>
  <c r="J59" i="27" s="1" a="1"/>
  <c r="J59" i="27" s="1"/>
  <c r="DO47" i="9" a="1"/>
  <c r="DO47" i="9" s="1"/>
  <c r="CQ46" i="9" a="1"/>
  <c r="CQ46" i="9" s="1"/>
  <c r="H1276" i="13" a="1"/>
  <c r="H1276" i="13" s="1"/>
  <c r="H1289" i="13" s="1" a="1"/>
  <c r="H1289" i="13" s="1"/>
  <c r="H1290" i="13" s="1"/>
  <c r="CP48" i="9" a="1"/>
  <c r="CP48" i="9" s="1"/>
  <c r="I60" i="27" s="1" a="1"/>
  <c r="I60" i="27" s="1"/>
  <c r="CV48" i="9" a="1"/>
  <c r="CV48" i="9" s="1"/>
  <c r="BX46" i="9" a="1"/>
  <c r="BX46" i="9" s="1"/>
  <c r="G1242" i="13" a="1"/>
  <c r="G1242" i="13" s="1"/>
  <c r="G1255" i="13" s="1" a="1"/>
  <c r="G1255" i="13" s="1"/>
  <c r="G1256" i="13" s="1"/>
  <c r="BW47" i="9" a="1"/>
  <c r="BW47" i="9" s="1"/>
  <c r="H59" i="27" s="1" a="1"/>
  <c r="H59" i="27" s="1"/>
  <c r="CC47" i="9" a="1"/>
  <c r="CC47" i="9" s="1"/>
  <c r="G1219" i="13" a="1"/>
  <c r="G1219" i="13" s="1"/>
  <c r="G1220" i="13" s="1"/>
  <c r="G1221" i="13" a="1"/>
  <c r="G1221" i="13" s="1"/>
  <c r="G1222" i="13" s="1"/>
  <c r="F1242" i="13" a="1"/>
  <c r="F1242" i="13" s="1"/>
  <c r="BD47" i="9" a="1"/>
  <c r="BD47" i="9" s="1"/>
  <c r="G59" i="27" s="1" a="1"/>
  <c r="G59" i="27" s="1"/>
  <c r="BJ47" i="9" a="1"/>
  <c r="BJ47" i="9" s="1"/>
  <c r="AL45" i="9" a="1"/>
  <c r="AL45" i="9" s="1"/>
  <c r="D1276" i="13" a="1"/>
  <c r="D1276" i="13" s="1"/>
  <c r="D1289" i="13" s="1" a="1"/>
  <c r="D1289" i="13" s="1"/>
  <c r="D1290" i="13" s="1"/>
  <c r="R48" i="9" a="1"/>
  <c r="R48" i="9" s="1"/>
  <c r="E60" i="27" s="1" a="1"/>
  <c r="E60" i="27" s="1"/>
  <c r="D1242" i="13" a="1"/>
  <c r="D1242" i="13" s="1"/>
  <c r="D1253" i="13" s="1" a="1"/>
  <c r="D1253" i="13" s="1"/>
  <c r="D1254" i="13" s="1"/>
  <c r="R47" i="9" a="1"/>
  <c r="R47" i="9" s="1"/>
  <c r="E59" i="27" s="1" a="1"/>
  <c r="E59" i="27" s="1"/>
  <c r="F1243" i="13" a="1"/>
  <c r="F1243" i="13" s="1"/>
  <c r="F1244" i="13" s="1"/>
  <c r="F1247" i="13" s="1"/>
  <c r="F1248" i="13" a="1"/>
  <c r="F1248" i="13" s="1"/>
  <c r="F1249" i="13" s="1"/>
  <c r="F1252" i="13" s="1"/>
  <c r="O1213" i="13"/>
  <c r="P521" i="10"/>
  <c r="G1243" i="13" a="1"/>
  <c r="G1243" i="13" s="1"/>
  <c r="G1244" i="13" s="1"/>
  <c r="G1247" i="13" s="1"/>
  <c r="L1218" i="13"/>
  <c r="L546" i="10" a="1"/>
  <c r="L546" i="10" s="1"/>
  <c r="L549" i="10" s="1"/>
  <c r="N1252" i="13"/>
  <c r="N1226" i="13"/>
  <c r="G1252" i="13"/>
  <c r="E1252" i="13"/>
  <c r="E546" i="10" a="1"/>
  <c r="E546" i="10" s="1"/>
  <c r="E547" i="10" s="1"/>
  <c r="E1308" i="13" s="1" a="1"/>
  <c r="E1308" i="13" s="1"/>
  <c r="N546" i="10" a="1"/>
  <c r="N546" i="10" s="1"/>
  <c r="N547" i="10" s="1"/>
  <c r="N1308" i="13" s="1" a="1"/>
  <c r="N1308" i="13" s="1"/>
  <c r="H1192" i="13"/>
  <c r="K1252" i="13"/>
  <c r="H1252" i="13"/>
  <c r="E1247" i="13"/>
  <c r="F1213" i="13"/>
  <c r="E1213" i="13"/>
  <c r="F1218" i="13"/>
  <c r="P520" i="10"/>
  <c r="E1218" i="13"/>
  <c r="I547" i="10"/>
  <c r="I1308" i="13" s="1" a="1"/>
  <c r="I1308" i="13" s="1"/>
  <c r="I548" i="10"/>
  <c r="I1309" i="13" s="1" a="1"/>
  <c r="I1309" i="13" s="1"/>
  <c r="I549" i="10"/>
  <c r="G549" i="10"/>
  <c r="G547" i="10"/>
  <c r="G1308" i="13" s="1" a="1"/>
  <c r="G1308" i="13" s="1"/>
  <c r="G548" i="10"/>
  <c r="G1309" i="13" s="1" a="1"/>
  <c r="G1309" i="13" s="1"/>
  <c r="O547" i="10"/>
  <c r="O1308" i="13" s="1" a="1"/>
  <c r="O1308" i="13" s="1"/>
  <c r="O548" i="10"/>
  <c r="O1309" i="13" s="1" a="1"/>
  <c r="O1309" i="13" s="1"/>
  <c r="O549" i="10"/>
  <c r="H547" i="10"/>
  <c r="H1308" i="13" s="1" a="1"/>
  <c r="H1308" i="13" s="1"/>
  <c r="H548" i="10"/>
  <c r="H1309" i="13" s="1" a="1"/>
  <c r="H1309" i="13" s="1"/>
  <c r="H549" i="10"/>
  <c r="D548" i="10"/>
  <c r="D549" i="10"/>
  <c r="D547" i="10"/>
  <c r="J546" i="10" a="1"/>
  <c r="J546" i="10" s="1"/>
  <c r="I1252" i="13"/>
  <c r="H1247" i="13"/>
  <c r="E533" i="10"/>
  <c r="E1274" i="13" s="1" a="1"/>
  <c r="E1274" i="13" s="1"/>
  <c r="E534" i="10"/>
  <c r="E1275" i="13" s="1" a="1"/>
  <c r="E1275" i="13" s="1"/>
  <c r="E535" i="10"/>
  <c r="O1218" i="13"/>
  <c r="O1282" i="13" a="1"/>
  <c r="O1282" i="13" s="1"/>
  <c r="O1283" i="13" s="1"/>
  <c r="O1284" i="13" a="1"/>
  <c r="O1284" i="13" s="1"/>
  <c r="O1285" i="13" s="1"/>
  <c r="M546" i="10" a="1"/>
  <c r="M546" i="10" s="1"/>
  <c r="M534" i="10"/>
  <c r="M1275" i="13" s="1" a="1"/>
  <c r="M1275" i="13" s="1"/>
  <c r="M535" i="10"/>
  <c r="M533" i="10"/>
  <c r="M1274" i="13" s="1" a="1"/>
  <c r="M1274" i="13" s="1"/>
  <c r="K1247" i="13"/>
  <c r="D1248" i="13" a="1"/>
  <c r="D1248" i="13" s="1"/>
  <c r="D1249" i="13" s="1"/>
  <c r="D1250" i="13" a="1"/>
  <c r="D1250" i="13" s="1"/>
  <c r="D1251" i="13" s="1"/>
  <c r="O1247" i="13"/>
  <c r="J1277" i="13" a="1"/>
  <c r="J1277" i="13" s="1"/>
  <c r="J1278" i="13" s="1"/>
  <c r="J1279" i="13" a="1"/>
  <c r="J1279" i="13" s="1"/>
  <c r="J1280" i="13" s="1"/>
  <c r="H1279" i="13" a="1"/>
  <c r="H1279" i="13" s="1"/>
  <c r="H1280" i="13" s="1"/>
  <c r="H1277" i="13" a="1"/>
  <c r="H1277" i="13" s="1"/>
  <c r="H1278" i="13" s="1"/>
  <c r="F1277" i="13" a="1"/>
  <c r="F1277" i="13" s="1"/>
  <c r="F1278" i="13" s="1"/>
  <c r="F1279" i="13" a="1"/>
  <c r="F1279" i="13" s="1"/>
  <c r="F1280" i="13" s="1"/>
  <c r="J1284" i="13" a="1"/>
  <c r="J1284" i="13" s="1"/>
  <c r="J1285" i="13" s="1"/>
  <c r="J1282" i="13" a="1"/>
  <c r="J1282" i="13" s="1"/>
  <c r="J1283" i="13" s="1"/>
  <c r="H1282" i="13" a="1"/>
  <c r="H1282" i="13" s="1"/>
  <c r="H1283" i="13" s="1"/>
  <c r="H1284" i="13" a="1"/>
  <c r="H1284" i="13" s="1"/>
  <c r="H1285" i="13" s="1"/>
  <c r="J1243" i="13" a="1"/>
  <c r="J1243" i="13" s="1"/>
  <c r="J1244" i="13" s="1"/>
  <c r="J1245" i="13" a="1"/>
  <c r="J1245" i="13" s="1"/>
  <c r="J1246" i="13" s="1"/>
  <c r="L1213" i="13"/>
  <c r="N1247" i="13"/>
  <c r="I1247" i="13"/>
  <c r="G1284" i="13" a="1"/>
  <c r="G1284" i="13" s="1"/>
  <c r="G1285" i="13" s="1"/>
  <c r="G1282" i="13" a="1"/>
  <c r="G1282" i="13" s="1"/>
  <c r="G1283" i="13" s="1"/>
  <c r="G1277" i="13" a="1"/>
  <c r="G1277" i="13" s="1"/>
  <c r="G1278" i="13" s="1"/>
  <c r="G1279" i="13" a="1"/>
  <c r="G1279" i="13" s="1"/>
  <c r="G1280" i="13" s="1"/>
  <c r="K1279" i="13" a="1"/>
  <c r="K1279" i="13" s="1"/>
  <c r="K1280" i="13" s="1"/>
  <c r="K1277" i="13" a="1"/>
  <c r="K1277" i="13" s="1"/>
  <c r="K1278" i="13" s="1"/>
  <c r="F1282" i="13" a="1"/>
  <c r="F1282" i="13" s="1"/>
  <c r="F1283" i="13" s="1"/>
  <c r="F1284" i="13" a="1"/>
  <c r="F1284" i="13" s="1"/>
  <c r="F1285" i="13" s="1"/>
  <c r="K547" i="10"/>
  <c r="K1308" i="13" s="1" a="1"/>
  <c r="K1308" i="13" s="1"/>
  <c r="K548" i="10"/>
  <c r="K1309" i="13" s="1" a="1"/>
  <c r="K1309" i="13" s="1"/>
  <c r="K549" i="10"/>
  <c r="F546" i="10" a="1"/>
  <c r="F546" i="10" s="1"/>
  <c r="J1248" i="13" a="1"/>
  <c r="J1248" i="13" s="1"/>
  <c r="J1249" i="13" s="1"/>
  <c r="J1250" i="13" a="1"/>
  <c r="J1250" i="13" s="1"/>
  <c r="J1251" i="13" s="1"/>
  <c r="M1243" i="13" a="1"/>
  <c r="M1243" i="13" s="1"/>
  <c r="M1244" i="13" s="1"/>
  <c r="M1245" i="13" a="1"/>
  <c r="M1245" i="13" s="1"/>
  <c r="M1246" i="13" s="1"/>
  <c r="L1243" i="13" a="1"/>
  <c r="L1243" i="13" s="1"/>
  <c r="L1244" i="13" s="1"/>
  <c r="L1245" i="13" a="1"/>
  <c r="L1245" i="13" s="1"/>
  <c r="L1246" i="13" s="1"/>
  <c r="D1209" i="13" a="1"/>
  <c r="D1209" i="13" s="1"/>
  <c r="D1210" i="13" s="1"/>
  <c r="D1211" i="13" a="1"/>
  <c r="D1211" i="13" s="1"/>
  <c r="D1212" i="13" s="1"/>
  <c r="K1284" i="13" a="1"/>
  <c r="K1284" i="13" s="1"/>
  <c r="K1285" i="13" s="1"/>
  <c r="K1282" i="13" a="1"/>
  <c r="K1282" i="13" s="1"/>
  <c r="K1283" i="13" s="1"/>
  <c r="D1274" i="13" a="1"/>
  <c r="D1274" i="13" s="1"/>
  <c r="I1282" i="13" a="1"/>
  <c r="I1282" i="13" s="1"/>
  <c r="I1283" i="13" s="1"/>
  <c r="I1284" i="13" a="1"/>
  <c r="I1284" i="13" s="1"/>
  <c r="I1285" i="13" s="1"/>
  <c r="P546" i="10" a="1"/>
  <c r="P546" i="10" s="1"/>
  <c r="O1252" i="13"/>
  <c r="D1216" i="13" a="1"/>
  <c r="D1216" i="13" s="1"/>
  <c r="D1217" i="13" s="1"/>
  <c r="D1214" i="13" a="1"/>
  <c r="D1214" i="13" s="1"/>
  <c r="D1215" i="13" s="1"/>
  <c r="P519" i="10"/>
  <c r="L1279" i="13" a="1"/>
  <c r="L1279" i="13" s="1"/>
  <c r="L1280" i="13" s="1"/>
  <c r="L1277" i="13" a="1"/>
  <c r="L1277" i="13" s="1"/>
  <c r="L1278" i="13" s="1"/>
  <c r="N1277" i="13" a="1"/>
  <c r="N1277" i="13" s="1"/>
  <c r="N1278" i="13" s="1"/>
  <c r="N1279" i="13" a="1"/>
  <c r="N1279" i="13" s="1"/>
  <c r="N1280" i="13" s="1"/>
  <c r="D1275" i="13" a="1"/>
  <c r="D1275" i="13" s="1"/>
  <c r="I1279" i="13" a="1"/>
  <c r="I1279" i="13" s="1"/>
  <c r="I1280" i="13" s="1"/>
  <c r="I1277" i="13" a="1"/>
  <c r="I1277" i="13" s="1"/>
  <c r="I1278" i="13" s="1"/>
  <c r="M1250" i="13" a="1"/>
  <c r="M1250" i="13" s="1"/>
  <c r="M1251" i="13" s="1"/>
  <c r="M1248" i="13" a="1"/>
  <c r="M1248" i="13" s="1"/>
  <c r="M1249" i="13" s="1"/>
  <c r="L1250" i="13" a="1"/>
  <c r="L1250" i="13" s="1"/>
  <c r="L1251" i="13" s="1"/>
  <c r="L1248" i="13" a="1"/>
  <c r="L1248" i="13" s="1"/>
  <c r="L1249" i="13" s="1"/>
  <c r="D1245" i="13" a="1"/>
  <c r="D1245" i="13" s="1"/>
  <c r="D1246" i="13" s="1"/>
  <c r="D1243" i="13" a="1"/>
  <c r="D1243" i="13" s="1"/>
  <c r="D1244" i="13" s="1"/>
  <c r="L1284" i="13" a="1"/>
  <c r="L1284" i="13" s="1"/>
  <c r="L1285" i="13" s="1"/>
  <c r="L1282" i="13" a="1"/>
  <c r="L1282" i="13" s="1"/>
  <c r="L1283" i="13" s="1"/>
  <c r="N1282" i="13" a="1"/>
  <c r="N1282" i="13" s="1"/>
  <c r="N1283" i="13" s="1"/>
  <c r="N1284" i="13" a="1"/>
  <c r="N1284" i="13" s="1"/>
  <c r="N1285" i="13" s="1"/>
  <c r="O1279" i="13" a="1"/>
  <c r="O1279" i="13" s="1"/>
  <c r="O1280" i="13" s="1"/>
  <c r="O1277" i="13" a="1"/>
  <c r="O1277" i="13" s="1"/>
  <c r="O1278" i="13" s="1"/>
  <c r="J1192" i="13"/>
  <c r="J1194" i="13" s="1"/>
  <c r="EG45" i="9" s="1" a="1"/>
  <c r="EG45" i="9" s="1"/>
  <c r="M1224" i="13"/>
  <c r="L1190" i="13"/>
  <c r="H1224" i="13"/>
  <c r="K1190" i="13"/>
  <c r="N1192" i="13"/>
  <c r="O1192" i="13"/>
  <c r="E1190" i="13"/>
  <c r="I1224" i="13"/>
  <c r="F536" i="10"/>
  <c r="G536" i="10"/>
  <c r="CD44" i="9"/>
  <c r="CL44" i="9" s="1"/>
  <c r="Z41" i="9" a="1"/>
  <c r="Z41" i="9" s="1"/>
  <c r="AH41" i="9" s="1"/>
  <c r="F54" i="24" s="1" a="1"/>
  <c r="F54" i="24" s="1"/>
  <c r="IA43" i="9" a="1"/>
  <c r="IA43" i="9" s="1"/>
  <c r="II43" i="9" s="1"/>
  <c r="Q56" i="24" s="1" a="1"/>
  <c r="Q56" i="24" s="1"/>
  <c r="V44" i="9"/>
  <c r="BL43" i="9" a="1"/>
  <c r="BL43" i="9" s="1"/>
  <c r="BT43" i="9" s="1"/>
  <c r="H56" i="24" s="1" a="1"/>
  <c r="H56" i="24" s="1"/>
  <c r="FV43" i="9" a="1"/>
  <c r="FV43" i="9" s="1"/>
  <c r="GD43" i="9" s="1"/>
  <c r="N56" i="24" s="1" a="1"/>
  <c r="N56" i="24" s="1"/>
  <c r="HO43" i="9"/>
  <c r="AS43" i="9" a="1"/>
  <c r="AS43" i="9" s="1"/>
  <c r="BA43" i="9" s="1"/>
  <c r="G56" i="24" s="1" a="1"/>
  <c r="G56" i="24" s="1"/>
  <c r="EJ43" i="9" a="1"/>
  <c r="EJ43" i="9" s="1"/>
  <c r="ER43" i="9" s="1"/>
  <c r="L56" i="24" s="1" a="1"/>
  <c r="L56" i="24" s="1"/>
  <c r="CX43" i="9" a="1"/>
  <c r="CX43" i="9" s="1"/>
  <c r="DF43" i="9" s="1"/>
  <c r="J56" i="24" s="1" a="1"/>
  <c r="J56" i="24" s="1"/>
  <c r="DQ43" i="9" a="1"/>
  <c r="DQ43" i="9" s="1"/>
  <c r="DY43" i="9" s="1"/>
  <c r="K56" i="24" s="1" a="1"/>
  <c r="K56" i="24" s="1"/>
  <c r="CE43" i="9" a="1"/>
  <c r="CE43" i="9" s="1"/>
  <c r="CM43" i="9" s="1"/>
  <c r="I56" i="24" s="1" a="1"/>
  <c r="I56" i="24" s="1"/>
  <c r="AR44" i="9"/>
  <c r="AZ44" i="9" s="1"/>
  <c r="CW44" i="9"/>
  <c r="DE44" i="9" s="1"/>
  <c r="V45" i="9"/>
  <c r="FB43" i="9"/>
  <c r="FJ43" i="9" s="1"/>
  <c r="FU44" i="9"/>
  <c r="GC44" i="9" s="1"/>
  <c r="HG44" i="9"/>
  <c r="HO44" i="9" s="1"/>
  <c r="BK44" i="9"/>
  <c r="BS44" i="9" s="1"/>
  <c r="GN43" i="9"/>
  <c r="GV43" i="9" s="1"/>
  <c r="HZ44" i="9"/>
  <c r="IH44" i="9" s="1"/>
  <c r="GN44" i="9"/>
  <c r="BK42" i="9"/>
  <c r="BS42" i="9" s="1"/>
  <c r="CD42" i="9"/>
  <c r="CL42" i="9" s="1"/>
  <c r="DP44" i="9"/>
  <c r="DX44" i="9" s="1"/>
  <c r="P59" i="27" a="1"/>
  <c r="P59" i="27" s="1"/>
  <c r="I59" i="27" a="1"/>
  <c r="I59" i="27" s="1"/>
  <c r="E536" i="10"/>
  <c r="K544" i="10"/>
  <c r="ET49" i="9" s="1" a="1"/>
  <c r="ET49" i="9" s="1"/>
  <c r="S45" i="9" a="1"/>
  <c r="S45" i="9" s="1"/>
  <c r="P559" i="10"/>
  <c r="F59" i="27" a="1"/>
  <c r="F59" i="27" s="1"/>
  <c r="O59" i="27" a="1"/>
  <c r="O59" i="27" s="1"/>
  <c r="L59" i="27" a="1"/>
  <c r="L59" i="27" s="1"/>
  <c r="I544" i="10"/>
  <c r="DH49" i="9" s="1" a="1"/>
  <c r="DH49" i="9" s="1"/>
  <c r="F544" i="10"/>
  <c r="BC49" i="9" s="1" a="1"/>
  <c r="BC49" i="9" s="1"/>
  <c r="P522" i="10"/>
  <c r="I550" i="10"/>
  <c r="G550" i="10"/>
  <c r="H550" i="10"/>
  <c r="D550" i="10"/>
  <c r="X49" i="9" s="1" a="1"/>
  <c r="X49" i="9" s="1"/>
  <c r="B593" i="10" a="1"/>
  <c r="B593" i="10" s="1"/>
  <c r="A593" i="10" a="1"/>
  <c r="A593" i="10" s="1"/>
  <c r="M556" i="10"/>
  <c r="N557" i="10"/>
  <c r="N560" i="10" s="1" a="1"/>
  <c r="N560" i="10" s="1"/>
  <c r="J557" i="10"/>
  <c r="J560" i="10" s="1" a="1"/>
  <c r="J560" i="10" s="1"/>
  <c r="F557" i="10"/>
  <c r="F560" i="10" s="1" a="1"/>
  <c r="F560" i="10" s="1"/>
  <c r="I557" i="10"/>
  <c r="I560" i="10" s="1" a="1"/>
  <c r="I560" i="10" s="1"/>
  <c r="K557" i="10"/>
  <c r="K560" i="10" s="1" a="1"/>
  <c r="K560" i="10" s="1"/>
  <c r="P557" i="10"/>
  <c r="P558" i="10" s="1"/>
  <c r="E557" i="10"/>
  <c r="H557" i="10"/>
  <c r="H560" i="10" s="1" a="1"/>
  <c r="H560" i="10" s="1"/>
  <c r="D557" i="10"/>
  <c r="D560" i="10" s="1" a="1"/>
  <c r="D560" i="10" s="1"/>
  <c r="G557" i="10"/>
  <c r="G560" i="10" s="1" a="1"/>
  <c r="G560" i="10" s="1"/>
  <c r="B558" i="10"/>
  <c r="B559" i="10" s="1"/>
  <c r="B560" i="10" s="1"/>
  <c r="B561" i="10" s="1"/>
  <c r="B562" i="10" s="1"/>
  <c r="B563" i="10" s="1"/>
  <c r="B564" i="10" s="1"/>
  <c r="O557" i="10"/>
  <c r="O560" i="10" s="1" a="1"/>
  <c r="O560" i="10" s="1"/>
  <c r="L557" i="10"/>
  <c r="L560" i="10" s="1" a="1"/>
  <c r="L560" i="10" s="1"/>
  <c r="M557" i="10"/>
  <c r="M560" i="10" s="1" a="1"/>
  <c r="M560" i="10" s="1"/>
  <c r="D544" i="10"/>
  <c r="Q49" i="9" s="1" a="1"/>
  <c r="Q49" i="9" s="1"/>
  <c r="E559" i="10"/>
  <c r="E556" i="10"/>
  <c r="G556" i="10"/>
  <c r="L544" i="10"/>
  <c r="FM49" i="9" s="1" a="1"/>
  <c r="FM49" i="9" s="1"/>
  <c r="H556" i="10"/>
  <c r="O556" i="10"/>
  <c r="J566" i="10"/>
  <c r="O566" i="10"/>
  <c r="O573" i="10" s="1"/>
  <c r="B567" i="10"/>
  <c r="B568" i="10" s="1"/>
  <c r="B569" i="10" s="1"/>
  <c r="N566" i="10"/>
  <c r="N573" i="10" s="1"/>
  <c r="I566" i="10"/>
  <c r="I573" i="10" s="1"/>
  <c r="P566" i="10"/>
  <c r="P570" i="10" s="1"/>
  <c r="L566" i="10"/>
  <c r="L573" i="10" s="1"/>
  <c r="H566" i="10"/>
  <c r="H573" i="10" s="1"/>
  <c r="K566" i="10"/>
  <c r="D566" i="10"/>
  <c r="G566" i="10"/>
  <c r="G573" i="10" s="1"/>
  <c r="B570" i="10"/>
  <c r="B571" i="10" s="1"/>
  <c r="E566" i="10"/>
  <c r="M566" i="10"/>
  <c r="M573" i="10" s="1"/>
  <c r="F566" i="10"/>
  <c r="F573" i="10" s="1"/>
  <c r="G544" i="10"/>
  <c r="BV49" i="9" s="1" a="1"/>
  <c r="BV49" i="9" s="1"/>
  <c r="E544" i="10"/>
  <c r="AJ49" i="9" s="1" a="1"/>
  <c r="AJ49" i="9" s="1"/>
  <c r="M544" i="10"/>
  <c r="GF49" i="9" s="1" a="1"/>
  <c r="GF49" i="9" s="1"/>
  <c r="I556" i="10"/>
  <c r="K556" i="10"/>
  <c r="H544" i="10"/>
  <c r="CO49" i="9" s="1" a="1"/>
  <c r="CO49" i="9" s="1"/>
  <c r="F556" i="10"/>
  <c r="D556" i="10"/>
  <c r="J544" i="10"/>
  <c r="EA49" i="9" s="1" a="1"/>
  <c r="EA49" i="9" s="1"/>
  <c r="N544" i="10"/>
  <c r="GY49" i="9" s="1" a="1"/>
  <c r="GY49" i="9" s="1"/>
  <c r="B580" i="10"/>
  <c r="J579" i="10"/>
  <c r="G579" i="10"/>
  <c r="K579" i="10"/>
  <c r="N579" i="10"/>
  <c r="H579" i="10"/>
  <c r="F579" i="10"/>
  <c r="E579" i="10"/>
  <c r="L579" i="10"/>
  <c r="I579" i="10"/>
  <c r="P579" i="10"/>
  <c r="O579" i="10"/>
  <c r="D579" i="10"/>
  <c r="M579" i="10"/>
  <c r="J556" i="10"/>
  <c r="O544" i="10"/>
  <c r="HR49" i="9" s="1" a="1"/>
  <c r="HR49" i="9" s="1"/>
  <c r="N556" i="10"/>
  <c r="L556" i="10"/>
  <c r="R607" i="10"/>
  <c r="O1194" i="13" l="1"/>
  <c r="HX45" i="9" s="1" a="1"/>
  <c r="HX45" i="9" s="1"/>
  <c r="HZ45" i="9" s="1"/>
  <c r="IH45" i="9" s="1"/>
  <c r="AN45" i="9"/>
  <c r="HC46" i="9"/>
  <c r="L1194" i="13"/>
  <c r="FS45" i="9" s="1" a="1"/>
  <c r="FS45" i="9" s="1"/>
  <c r="FU45" i="9" s="1"/>
  <c r="GC45" i="9" s="1"/>
  <c r="HP43" i="9"/>
  <c r="P56" i="24" s="1" a="1"/>
  <c r="P56" i="24" s="1"/>
  <c r="Z43" i="9" a="1"/>
  <c r="Z43" i="9" s="1"/>
  <c r="GJ46" i="9"/>
  <c r="M1228" i="13"/>
  <c r="GL46" i="9" s="1" a="1"/>
  <c r="GL46" i="9" s="1"/>
  <c r="CS46" i="9"/>
  <c r="DL46" i="9"/>
  <c r="N1228" i="13"/>
  <c r="HE46" i="9" s="1" a="1"/>
  <c r="HE46" i="9" s="1"/>
  <c r="H1194" i="13"/>
  <c r="CU45" i="9" s="1" a="1"/>
  <c r="CU45" i="9" s="1"/>
  <c r="CW45" i="9" s="1"/>
  <c r="DE45" i="9" s="1"/>
  <c r="K1287" i="13" a="1"/>
  <c r="K1287" i="13" s="1"/>
  <c r="K1288" i="13" s="1"/>
  <c r="K1291" i="13" s="1"/>
  <c r="N1194" i="13"/>
  <c r="HE45" i="9" s="1" a="1"/>
  <c r="HE45" i="9" s="1"/>
  <c r="HG45" i="9" s="1"/>
  <c r="HO45" i="9" s="1"/>
  <c r="I1228" i="13"/>
  <c r="DN46" i="9" s="1" a="1"/>
  <c r="DN46" i="9" s="1"/>
  <c r="H1228" i="13"/>
  <c r="CU46" i="9" s="1" a="1"/>
  <c r="CU46" i="9" s="1"/>
  <c r="EX45" i="9"/>
  <c r="Q56" i="25"/>
  <c r="E1194" i="13"/>
  <c r="AP45" i="9" s="1" a="1"/>
  <c r="AP45" i="9" s="1"/>
  <c r="K1194" i="13"/>
  <c r="EZ45" i="9" s="1" a="1"/>
  <c r="EZ45" i="9" s="1"/>
  <c r="FB45" i="9" s="1"/>
  <c r="FJ45" i="9" s="1"/>
  <c r="K1224" i="13"/>
  <c r="EW46" i="9" a="1"/>
  <c r="EW46" i="9" s="1"/>
  <c r="EX46" i="9" s="1"/>
  <c r="O1260" i="13"/>
  <c r="HU47" i="9" a="1"/>
  <c r="HU47" i="9" s="1"/>
  <c r="O58" i="25" a="1"/>
  <c r="O58" i="25" s="1"/>
  <c r="HD46" i="9"/>
  <c r="J58" i="25" a="1"/>
  <c r="J58" i="25" s="1"/>
  <c r="DM46" i="9"/>
  <c r="I58" i="25" a="1"/>
  <c r="I58" i="25" s="1"/>
  <c r="CT46" i="9"/>
  <c r="I57" i="25" a="1"/>
  <c r="I57" i="25" s="1"/>
  <c r="CT45" i="9"/>
  <c r="F1226" i="13"/>
  <c r="BF46" i="9" a="1"/>
  <c r="BF46" i="9" s="1"/>
  <c r="E1224" i="13"/>
  <c r="AM46" i="9" a="1"/>
  <c r="AM46" i="9" s="1"/>
  <c r="M57" i="25" a="1"/>
  <c r="M57" i="25" s="1"/>
  <c r="FR45" i="9"/>
  <c r="CS45" i="9"/>
  <c r="J1224" i="13"/>
  <c r="ED46" i="9" a="1"/>
  <c r="ED46" i="9" s="1"/>
  <c r="EE46" i="9" s="1"/>
  <c r="L1224" i="13"/>
  <c r="FP46" i="9" a="1"/>
  <c r="FP46" i="9" s="1"/>
  <c r="K57" i="25" a="1"/>
  <c r="K57" i="25" s="1"/>
  <c r="EF45" i="9"/>
  <c r="N58" i="25" a="1"/>
  <c r="N58" i="25" s="1"/>
  <c r="GK46" i="9"/>
  <c r="P57" i="25" a="1"/>
  <c r="P57" i="25" s="1"/>
  <c r="HW45" i="9"/>
  <c r="E1260" i="13"/>
  <c r="AM47" i="9" a="1"/>
  <c r="AM47" i="9" s="1"/>
  <c r="N1260" i="13"/>
  <c r="HB47" i="9" a="1"/>
  <c r="HB47" i="9" s="1"/>
  <c r="O57" i="25" a="1"/>
  <c r="O57" i="25" s="1"/>
  <c r="HD45" i="9"/>
  <c r="K1258" i="13"/>
  <c r="EW47" i="9" a="1"/>
  <c r="EW47" i="9" s="1"/>
  <c r="H1258" i="13"/>
  <c r="CR47" i="9" a="1"/>
  <c r="CR47" i="9" s="1"/>
  <c r="D1224" i="13"/>
  <c r="T46" i="9" a="1"/>
  <c r="T46" i="9" s="1"/>
  <c r="E58" i="25" s="1" a="1"/>
  <c r="E58" i="25" s="1"/>
  <c r="F57" i="25" a="1"/>
  <c r="F57" i="25" s="1"/>
  <c r="AO45" i="9"/>
  <c r="L57" i="25" a="1"/>
  <c r="L57" i="25" s="1"/>
  <c r="EY45" i="9"/>
  <c r="O1224" i="13"/>
  <c r="HU46" i="9" a="1"/>
  <c r="HU46" i="9" s="1"/>
  <c r="I1253" i="13" a="1"/>
  <c r="I1253" i="13" s="1"/>
  <c r="I1254" i="13" s="1"/>
  <c r="I1257" i="13" s="1"/>
  <c r="O1287" i="13" a="1"/>
  <c r="O1287" i="13" s="1"/>
  <c r="O1288" i="13" s="1"/>
  <c r="O1291" i="13" s="1"/>
  <c r="J1289" i="13" a="1"/>
  <c r="J1289" i="13" s="1"/>
  <c r="J1290" i="13" s="1"/>
  <c r="J1291" i="13" s="1"/>
  <c r="D1287" i="13" a="1"/>
  <c r="D1287" i="13" s="1"/>
  <c r="D1288" i="13" s="1"/>
  <c r="D1291" i="13" s="1"/>
  <c r="N1287" i="13" a="1"/>
  <c r="N1287" i="13" s="1"/>
  <c r="N1288" i="13" s="1"/>
  <c r="N1291" i="13" s="1"/>
  <c r="I1287" i="13" a="1"/>
  <c r="I1287" i="13" s="1"/>
  <c r="I1288" i="13" s="1"/>
  <c r="I1291" i="13" s="1"/>
  <c r="H1287" i="13" a="1"/>
  <c r="H1287" i="13" s="1"/>
  <c r="H1288" i="13" s="1"/>
  <c r="H1291" i="13" s="1"/>
  <c r="L1253" i="13" a="1"/>
  <c r="L1253" i="13" s="1"/>
  <c r="L1254" i="13" s="1"/>
  <c r="L1257" i="13" s="1"/>
  <c r="D1255" i="13" a="1"/>
  <c r="D1255" i="13" s="1"/>
  <c r="D1256" i="13" s="1"/>
  <c r="D1257" i="13" s="1"/>
  <c r="M1287" i="13" a="1"/>
  <c r="M1287" i="13" s="1"/>
  <c r="M1288" i="13" s="1"/>
  <c r="M1291" i="13" s="1"/>
  <c r="HT47" i="9" a="1"/>
  <c r="HT47" i="9" s="1"/>
  <c r="HT46" i="9" a="1"/>
  <c r="HT46" i="9" s="1"/>
  <c r="HA47" i="9" a="1"/>
  <c r="HA47" i="9" s="1"/>
  <c r="J1253" i="13" a="1"/>
  <c r="J1253" i="13" s="1"/>
  <c r="J1254" i="13" s="1"/>
  <c r="J1257" i="13" s="1"/>
  <c r="M1253" i="13" a="1"/>
  <c r="M1253" i="13" s="1"/>
  <c r="M1254" i="13" s="1"/>
  <c r="M1257" i="13" s="1"/>
  <c r="L1289" i="13" a="1"/>
  <c r="L1289" i="13" s="1"/>
  <c r="L1290" i="13" s="1"/>
  <c r="L1291" i="13" s="1"/>
  <c r="FO46" i="9" a="1"/>
  <c r="FO46" i="9" s="1"/>
  <c r="EV47" i="9" a="1"/>
  <c r="EV47" i="9" s="1"/>
  <c r="BE46" i="9" a="1"/>
  <c r="BE46" i="9" s="1"/>
  <c r="G1253" i="13" a="1"/>
  <c r="G1253" i="13" s="1"/>
  <c r="G1254" i="13" s="1"/>
  <c r="G1257" i="13" s="1"/>
  <c r="I1310" i="13" a="1"/>
  <c r="I1310" i="13" s="1"/>
  <c r="I1323" i="13" s="1" a="1"/>
  <c r="I1323" i="13" s="1"/>
  <c r="I1324" i="13" s="1"/>
  <c r="DI49" i="9" a="1"/>
  <c r="DI49" i="9" s="1"/>
  <c r="J61" i="27" s="1" a="1"/>
  <c r="J61" i="27" s="1"/>
  <c r="DO49" i="9" a="1"/>
  <c r="DO49" i="9" s="1"/>
  <c r="BE47" i="9" a="1"/>
  <c r="BE47" i="9" s="1"/>
  <c r="DJ47" i="9" a="1"/>
  <c r="DJ47" i="9" s="1"/>
  <c r="H1310" i="13" a="1"/>
  <c r="H1310" i="13" s="1"/>
  <c r="H1323" i="13" s="1" a="1"/>
  <c r="H1323" i="13" s="1"/>
  <c r="H1324" i="13" s="1"/>
  <c r="CP49" i="9" a="1"/>
  <c r="CP49" i="9" s="1"/>
  <c r="I61" i="27" s="1" a="1"/>
  <c r="I61" i="27" s="1"/>
  <c r="CV49" i="9" a="1"/>
  <c r="CV49" i="9" s="1"/>
  <c r="CQ47" i="9" a="1"/>
  <c r="CQ47" i="9" s="1"/>
  <c r="G1276" i="13" a="1"/>
  <c r="G1276" i="13" s="1"/>
  <c r="G1289" i="13" s="1" a="1"/>
  <c r="G1289" i="13" s="1"/>
  <c r="G1290" i="13" s="1"/>
  <c r="CC48" i="9" a="1"/>
  <c r="CC48" i="9" s="1"/>
  <c r="BW48" i="9" a="1"/>
  <c r="BW48" i="9" s="1"/>
  <c r="G1223" i="13"/>
  <c r="G1310" i="13" a="1"/>
  <c r="G1310" i="13" s="1"/>
  <c r="G1323" i="13" s="1" a="1"/>
  <c r="G1323" i="13" s="1"/>
  <c r="G1324" i="13" s="1"/>
  <c r="BW49" i="9" a="1"/>
  <c r="BW49" i="9" s="1"/>
  <c r="H61" i="27" s="1" a="1"/>
  <c r="H61" i="27" s="1"/>
  <c r="CC49" i="9" a="1"/>
  <c r="CC49" i="9" s="1"/>
  <c r="BX47" i="9" a="1"/>
  <c r="BX47" i="9" s="1"/>
  <c r="AL46" i="9" a="1"/>
  <c r="AL46" i="9" s="1"/>
  <c r="F1255" i="13" a="1"/>
  <c r="F1255" i="13" s="1"/>
  <c r="F1256" i="13" s="1"/>
  <c r="F1253" i="13" a="1"/>
  <c r="F1253" i="13" s="1"/>
  <c r="F1254" i="13" s="1"/>
  <c r="F1276" i="13" a="1"/>
  <c r="F1276" i="13" s="1"/>
  <c r="F1287" i="13" s="1" a="1"/>
  <c r="F1287" i="13" s="1"/>
  <c r="F1288" i="13" s="1"/>
  <c r="BD48" i="9" a="1"/>
  <c r="BD48" i="9" s="1"/>
  <c r="BJ48" i="9" a="1"/>
  <c r="BJ48" i="9" s="1"/>
  <c r="E1276" i="13" a="1"/>
  <c r="E1276" i="13" s="1"/>
  <c r="E1287" i="13" s="1" a="1"/>
  <c r="E1287" i="13" s="1"/>
  <c r="E1288" i="13" s="1"/>
  <c r="AK48" i="9" a="1"/>
  <c r="AK48" i="9" s="1"/>
  <c r="AQ48" i="9" a="1"/>
  <c r="AQ48" i="9" s="1"/>
  <c r="AL47" i="9" a="1"/>
  <c r="AL47" i="9" s="1"/>
  <c r="D1310" i="13" a="1"/>
  <c r="D1310" i="13" s="1"/>
  <c r="D1321" i="13" s="1" a="1"/>
  <c r="D1321" i="13" s="1"/>
  <c r="D1322" i="13" s="1"/>
  <c r="R49" i="9" a="1"/>
  <c r="R49" i="9" s="1"/>
  <c r="E61" i="27" s="1" a="1"/>
  <c r="E61" i="27" s="1"/>
  <c r="IN41" i="9"/>
  <c r="IO41" i="9" s="1"/>
  <c r="E549" i="10"/>
  <c r="L548" i="10"/>
  <c r="L1309" i="13" s="1" a="1"/>
  <c r="L1309" i="13" s="1"/>
  <c r="L1318" i="13" s="1" a="1"/>
  <c r="L1318" i="13" s="1"/>
  <c r="L1319" i="13" s="1"/>
  <c r="P535" i="10"/>
  <c r="D1252" i="13"/>
  <c r="L547" i="10"/>
  <c r="L1308" i="13" s="1" a="1"/>
  <c r="L1308" i="13" s="1"/>
  <c r="L1313" i="13" s="1" a="1"/>
  <c r="L1313" i="13" s="1"/>
  <c r="L1314" i="13" s="1"/>
  <c r="O1286" i="13"/>
  <c r="M1252" i="13"/>
  <c r="I1281" i="13"/>
  <c r="O1226" i="13"/>
  <c r="N549" i="10"/>
  <c r="E548" i="10"/>
  <c r="E1309" i="13" s="1" a="1"/>
  <c r="E1309" i="13" s="1"/>
  <c r="E1318" i="13" s="1" a="1"/>
  <c r="E1318" i="13" s="1"/>
  <c r="E1319" i="13" s="1"/>
  <c r="O1281" i="13"/>
  <c r="H1286" i="13"/>
  <c r="P533" i="10"/>
  <c r="N548" i="10"/>
  <c r="N1309" i="13" s="1" a="1"/>
  <c r="N1309" i="13" s="1"/>
  <c r="N1316" i="13" s="1" a="1"/>
  <c r="N1316" i="13" s="1"/>
  <c r="N1317" i="13" s="1"/>
  <c r="L1226" i="13"/>
  <c r="K1286" i="13"/>
  <c r="F1281" i="13"/>
  <c r="P534" i="10"/>
  <c r="I1286" i="13"/>
  <c r="L1281" i="13"/>
  <c r="M1247" i="13"/>
  <c r="G1281" i="13"/>
  <c r="L1286" i="13"/>
  <c r="F1286" i="13"/>
  <c r="E560" i="10" a="1"/>
  <c r="E560" i="10" s="1"/>
  <c r="E563" i="10" s="1"/>
  <c r="G1286" i="13"/>
  <c r="D562" i="10"/>
  <c r="D563" i="10"/>
  <c r="D561" i="10"/>
  <c r="H563" i="10"/>
  <c r="H561" i="10"/>
  <c r="H1342" i="13" s="1" a="1"/>
  <c r="H1342" i="13" s="1"/>
  <c r="H562" i="10"/>
  <c r="H1343" i="13" s="1" a="1"/>
  <c r="H1343" i="13" s="1"/>
  <c r="N563" i="10"/>
  <c r="N561" i="10"/>
  <c r="N1342" i="13" s="1" a="1"/>
  <c r="N1342" i="13" s="1"/>
  <c r="N562" i="10"/>
  <c r="N1343" i="13" s="1" a="1"/>
  <c r="N1343" i="13" s="1"/>
  <c r="M562" i="10"/>
  <c r="M1343" i="13" s="1" a="1"/>
  <c r="M1343" i="13" s="1"/>
  <c r="M563" i="10"/>
  <c r="M561" i="10"/>
  <c r="M1342" i="13" s="1" a="1"/>
  <c r="M1342" i="13" s="1"/>
  <c r="K562" i="10"/>
  <c r="K1343" i="13" s="1" a="1"/>
  <c r="K1343" i="13" s="1"/>
  <c r="K561" i="10"/>
  <c r="K1342" i="13" s="1" a="1"/>
  <c r="K1342" i="13" s="1"/>
  <c r="K563" i="10"/>
  <c r="O563" i="10"/>
  <c r="O562" i="10"/>
  <c r="O1343" i="13" s="1" a="1"/>
  <c r="O1343" i="13" s="1"/>
  <c r="O561" i="10"/>
  <c r="O1342" i="13" s="1" a="1"/>
  <c r="O1342" i="13" s="1"/>
  <c r="I561" i="10"/>
  <c r="I1342" i="13" s="1" a="1"/>
  <c r="I1342" i="13" s="1"/>
  <c r="I562" i="10"/>
  <c r="I1343" i="13" s="1" a="1"/>
  <c r="I1343" i="13" s="1"/>
  <c r="I563" i="10"/>
  <c r="L562" i="10"/>
  <c r="L1343" i="13" s="1" a="1"/>
  <c r="L1343" i="13" s="1"/>
  <c r="L561" i="10"/>
  <c r="L1342" i="13" s="1" a="1"/>
  <c r="L1342" i="13" s="1"/>
  <c r="L563" i="10"/>
  <c r="F563" i="10"/>
  <c r="F561" i="10"/>
  <c r="F1342" i="13" s="1" a="1"/>
  <c r="F1342" i="13" s="1"/>
  <c r="F562" i="10"/>
  <c r="F1343" i="13" s="1" a="1"/>
  <c r="F1343" i="13" s="1"/>
  <c r="G561" i="10"/>
  <c r="G1342" i="13" s="1" a="1"/>
  <c r="G1342" i="13" s="1"/>
  <c r="G563" i="10"/>
  <c r="G562" i="10"/>
  <c r="G1343" i="13" s="1" a="1"/>
  <c r="G1343" i="13" s="1"/>
  <c r="J563" i="10"/>
  <c r="J561" i="10"/>
  <c r="J1342" i="13" s="1" a="1"/>
  <c r="J1342" i="13" s="1"/>
  <c r="J562" i="10"/>
  <c r="J1343" i="13" s="1" a="1"/>
  <c r="J1343" i="13" s="1"/>
  <c r="P560" i="10" a="1"/>
  <c r="P560" i="10" s="1"/>
  <c r="N1313" i="13" a="1"/>
  <c r="N1313" i="13" s="1"/>
  <c r="N1314" i="13" s="1"/>
  <c r="N1311" i="13" a="1"/>
  <c r="N1311" i="13" s="1"/>
  <c r="N1312" i="13" s="1"/>
  <c r="M548" i="10"/>
  <c r="M1309" i="13" s="1" a="1"/>
  <c r="M1309" i="13" s="1"/>
  <c r="M549" i="10"/>
  <c r="M547" i="10"/>
  <c r="M1308" i="13" s="1" a="1"/>
  <c r="M1308" i="13" s="1"/>
  <c r="O1318" i="13" a="1"/>
  <c r="O1318" i="13" s="1"/>
  <c r="O1319" i="13" s="1"/>
  <c r="O1316" i="13" a="1"/>
  <c r="O1316" i="13" s="1"/>
  <c r="O1317" i="13" s="1"/>
  <c r="N1286" i="13"/>
  <c r="L1247" i="13"/>
  <c r="J1247" i="13"/>
  <c r="D1308" i="13" a="1"/>
  <c r="D1308" i="13" s="1"/>
  <c r="O1311" i="13" a="1"/>
  <c r="O1311" i="13" s="1"/>
  <c r="O1312" i="13" s="1"/>
  <c r="O1313" i="13" a="1"/>
  <c r="O1313" i="13" s="1"/>
  <c r="O1314" i="13" s="1"/>
  <c r="G1318" i="13" a="1"/>
  <c r="G1318" i="13" s="1"/>
  <c r="G1319" i="13" s="1"/>
  <c r="G1316" i="13" a="1"/>
  <c r="G1316" i="13" s="1"/>
  <c r="G1317" i="13" s="1"/>
  <c r="O1258" i="13"/>
  <c r="F549" i="10"/>
  <c r="F547" i="10"/>
  <c r="F1308" i="13" s="1" a="1"/>
  <c r="F1308" i="13" s="1"/>
  <c r="F548" i="10"/>
  <c r="F1309" i="13" s="1" a="1"/>
  <c r="F1309" i="13" s="1"/>
  <c r="K1281" i="13"/>
  <c r="H1281" i="13"/>
  <c r="M1279" i="13" a="1"/>
  <c r="M1279" i="13" s="1"/>
  <c r="M1280" i="13" s="1"/>
  <c r="M1277" i="13" a="1"/>
  <c r="M1277" i="13" s="1"/>
  <c r="M1278" i="13" s="1"/>
  <c r="D1309" i="13" a="1"/>
  <c r="D1309" i="13" s="1"/>
  <c r="G1313" i="13" a="1"/>
  <c r="G1313" i="13" s="1"/>
  <c r="G1314" i="13" s="1"/>
  <c r="G1311" i="13" a="1"/>
  <c r="G1311" i="13" s="1"/>
  <c r="G1312" i="13" s="1"/>
  <c r="D1218" i="13"/>
  <c r="D1279" i="13" a="1"/>
  <c r="D1279" i="13" s="1"/>
  <c r="D1280" i="13" s="1"/>
  <c r="D1277" i="13" a="1"/>
  <c r="D1277" i="13" s="1"/>
  <c r="D1278" i="13" s="1"/>
  <c r="J1281" i="13"/>
  <c r="J547" i="10"/>
  <c r="J1308" i="13" s="1" a="1"/>
  <c r="J1308" i="13" s="1"/>
  <c r="J548" i="10"/>
  <c r="J1309" i="13" s="1" a="1"/>
  <c r="J1309" i="13" s="1"/>
  <c r="J549" i="10"/>
  <c r="D1247" i="13"/>
  <c r="K1318" i="13" a="1"/>
  <c r="K1318" i="13" s="1"/>
  <c r="K1319" i="13" s="1"/>
  <c r="K1316" i="13" a="1"/>
  <c r="K1316" i="13" s="1"/>
  <c r="K1317" i="13" s="1"/>
  <c r="M1282" i="13" a="1"/>
  <c r="M1282" i="13" s="1"/>
  <c r="M1283" i="13" s="1"/>
  <c r="M1284" i="13" a="1"/>
  <c r="M1284" i="13" s="1"/>
  <c r="M1285" i="13" s="1"/>
  <c r="E1313" i="13" a="1"/>
  <c r="E1313" i="13" s="1"/>
  <c r="E1314" i="13" s="1"/>
  <c r="E1311" i="13" a="1"/>
  <c r="E1311" i="13" s="1"/>
  <c r="E1312" i="13" s="1"/>
  <c r="H1316" i="13" a="1"/>
  <c r="H1316" i="13" s="1"/>
  <c r="H1317" i="13" s="1"/>
  <c r="H1318" i="13" a="1"/>
  <c r="H1318" i="13" s="1"/>
  <c r="H1319" i="13" s="1"/>
  <c r="L1252" i="13"/>
  <c r="D1284" i="13" a="1"/>
  <c r="D1284" i="13" s="1"/>
  <c r="D1285" i="13" s="1"/>
  <c r="D1282" i="13" a="1"/>
  <c r="D1282" i="13" s="1"/>
  <c r="D1283" i="13" s="1"/>
  <c r="J1252" i="13"/>
  <c r="K1313" i="13" a="1"/>
  <c r="K1313" i="13" s="1"/>
  <c r="K1314" i="13" s="1"/>
  <c r="K1311" i="13" a="1"/>
  <c r="K1311" i="13" s="1"/>
  <c r="K1312" i="13" s="1"/>
  <c r="J1286" i="13"/>
  <c r="E1282" i="13" a="1"/>
  <c r="E1282" i="13" s="1"/>
  <c r="E1283" i="13" s="1"/>
  <c r="E1284" i="13" a="1"/>
  <c r="E1284" i="13" s="1"/>
  <c r="E1285" i="13" s="1"/>
  <c r="H1313" i="13" a="1"/>
  <c r="H1313" i="13" s="1"/>
  <c r="H1314" i="13" s="1"/>
  <c r="H1311" i="13" a="1"/>
  <c r="H1311" i="13" s="1"/>
  <c r="H1312" i="13" s="1"/>
  <c r="I1318" i="13" a="1"/>
  <c r="I1318" i="13" s="1"/>
  <c r="I1319" i="13" s="1"/>
  <c r="I1316" i="13" a="1"/>
  <c r="I1316" i="13" s="1"/>
  <c r="I1317" i="13" s="1"/>
  <c r="N1281" i="13"/>
  <c r="D1213" i="13"/>
  <c r="E1279" i="13" a="1"/>
  <c r="E1279" i="13" s="1"/>
  <c r="E1280" i="13" s="1"/>
  <c r="E1277" i="13" a="1"/>
  <c r="E1277" i="13" s="1"/>
  <c r="E1278" i="13" s="1"/>
  <c r="I1313" i="13" a="1"/>
  <c r="I1313" i="13" s="1"/>
  <c r="I1314" i="13" s="1"/>
  <c r="I1311" i="13" a="1"/>
  <c r="I1311" i="13" s="1"/>
  <c r="I1312" i="13" s="1"/>
  <c r="D1226" i="13"/>
  <c r="H1260" i="13"/>
  <c r="K1226" i="13"/>
  <c r="J1226" i="13"/>
  <c r="N1258" i="13"/>
  <c r="K1260" i="13"/>
  <c r="E1226" i="13"/>
  <c r="F1224" i="13"/>
  <c r="E1258" i="13"/>
  <c r="K550" i="10"/>
  <c r="O550" i="10"/>
  <c r="IJ41" i="9"/>
  <c r="IK41" i="9" s="1"/>
  <c r="AS44" i="9" a="1"/>
  <c r="AS44" i="9" s="1"/>
  <c r="BA44" i="9" s="1"/>
  <c r="G57" i="24" s="1" a="1"/>
  <c r="G57" i="24" s="1"/>
  <c r="HH44" i="9" a="1"/>
  <c r="HH44" i="9" s="1"/>
  <c r="HP44" i="9" s="1"/>
  <c r="P57" i="24" s="1" a="1"/>
  <c r="P57" i="24" s="1"/>
  <c r="FC44" i="9" a="1"/>
  <c r="FC44" i="9" s="1"/>
  <c r="FK44" i="9" s="1"/>
  <c r="M57" i="24" s="1" a="1"/>
  <c r="M57" i="24" s="1"/>
  <c r="CE44" i="9" a="1"/>
  <c r="CE44" i="9" s="1"/>
  <c r="CM44" i="9" s="1"/>
  <c r="I57" i="24" s="1" a="1"/>
  <c r="I57" i="24" s="1"/>
  <c r="BL44" i="9" a="1"/>
  <c r="BL44" i="9" s="1"/>
  <c r="BT44" i="9" s="1"/>
  <c r="H57" i="24" s="1" a="1"/>
  <c r="H57" i="24" s="1"/>
  <c r="IA44" i="9" a="1"/>
  <c r="IA44" i="9" s="1"/>
  <c r="II44" i="9" s="1"/>
  <c r="Q57" i="24" s="1" a="1"/>
  <c r="Q57" i="24" s="1"/>
  <c r="U45" i="9"/>
  <c r="FC43" i="9" a="1"/>
  <c r="FC43" i="9" s="1"/>
  <c r="FK43" i="9" s="1"/>
  <c r="M56" i="24" s="1" a="1"/>
  <c r="M56" i="24" s="1"/>
  <c r="GO43" i="9" a="1"/>
  <c r="GO43" i="9" s="1"/>
  <c r="GW43" i="9" s="1"/>
  <c r="O56" i="24" s="1" a="1"/>
  <c r="O56" i="24" s="1"/>
  <c r="BL42" i="9" a="1"/>
  <c r="BL42" i="9" s="1"/>
  <c r="BT42" i="9" s="1"/>
  <c r="H55" i="24" s="1" a="1"/>
  <c r="H55" i="24" s="1"/>
  <c r="CX44" i="9" a="1"/>
  <c r="CX44" i="9" s="1"/>
  <c r="DF44" i="9" s="1"/>
  <c r="J57" i="24" s="1" a="1"/>
  <c r="J57" i="24" s="1"/>
  <c r="DQ44" i="9" a="1"/>
  <c r="DQ44" i="9" s="1"/>
  <c r="DY44" i="9" s="1"/>
  <c r="K57" i="24" s="1" a="1"/>
  <c r="K57" i="24" s="1"/>
  <c r="CE42" i="9" a="1"/>
  <c r="CE42" i="9" s="1"/>
  <c r="CM42" i="9" s="1"/>
  <c r="I55" i="24" s="1" a="1"/>
  <c r="I55" i="24" s="1"/>
  <c r="FV44" i="9" a="1"/>
  <c r="FV44" i="9" s="1"/>
  <c r="GD44" i="9" s="1"/>
  <c r="N57" i="24" s="1" a="1"/>
  <c r="N57" i="24" s="1"/>
  <c r="IL42" i="9"/>
  <c r="IM42" i="9" s="1"/>
  <c r="EI44" i="9"/>
  <c r="EQ44" i="9" s="1"/>
  <c r="CD45" i="9"/>
  <c r="CL45" i="9" s="1"/>
  <c r="W44" i="9" a="1"/>
  <c r="W44" i="9" s="1"/>
  <c r="Y44" i="9" s="1"/>
  <c r="AG44" i="9" s="1"/>
  <c r="EI45" i="9"/>
  <c r="GV44" i="9"/>
  <c r="GO44" i="9" a="1"/>
  <c r="GO44" i="9" s="1"/>
  <c r="GN45" i="9"/>
  <c r="GV45" i="9" s="1"/>
  <c r="DP45" i="9"/>
  <c r="P536" i="10"/>
  <c r="N558" i="10"/>
  <c r="GY50" i="9" s="1" a="1"/>
  <c r="GY50" i="9" s="1"/>
  <c r="M550" i="10"/>
  <c r="I558" i="10"/>
  <c r="DH50" i="9" s="1" a="1"/>
  <c r="DH50" i="9" s="1"/>
  <c r="H558" i="10"/>
  <c r="CO50" i="9" s="1" a="1"/>
  <c r="CO50" i="9" s="1"/>
  <c r="F558" i="10"/>
  <c r="BC50" i="9" s="1" a="1"/>
  <c r="BC50" i="9" s="1"/>
  <c r="J550" i="10"/>
  <c r="D558" i="10"/>
  <c r="Q50" i="9" s="1" a="1"/>
  <c r="Q50" i="9" s="1"/>
  <c r="E558" i="10"/>
  <c r="AJ50" i="9" s="1" a="1"/>
  <c r="AJ50" i="9" s="1"/>
  <c r="F550" i="10"/>
  <c r="K558" i="10"/>
  <c r="ET50" i="9" s="1" a="1"/>
  <c r="ET50" i="9" s="1"/>
  <c r="L558" i="10"/>
  <c r="FM50" i="9" s="1" a="1"/>
  <c r="FM50" i="9" s="1"/>
  <c r="G558" i="10"/>
  <c r="BV50" i="9" s="1" a="1"/>
  <c r="BV50" i="9" s="1"/>
  <c r="J558" i="10"/>
  <c r="EA50" i="9" s="1" a="1"/>
  <c r="EA50" i="9" s="1"/>
  <c r="D564" i="10"/>
  <c r="X50" i="9" s="1" a="1"/>
  <c r="X50" i="9" s="1"/>
  <c r="O564" i="10"/>
  <c r="B607" i="10" a="1"/>
  <c r="B607" i="10" s="1"/>
  <c r="A607" i="10" a="1"/>
  <c r="A607" i="10" s="1"/>
  <c r="F564" i="10"/>
  <c r="D571" i="10"/>
  <c r="O571" i="10"/>
  <c r="O574" i="10" s="1" a="1"/>
  <c r="O574" i="10" s="1"/>
  <c r="K571" i="10"/>
  <c r="N571" i="10"/>
  <c r="N574" i="10" s="1" a="1"/>
  <c r="N574" i="10" s="1"/>
  <c r="P571" i="10"/>
  <c r="P572" i="10" s="1"/>
  <c r="F571" i="10"/>
  <c r="F574" i="10" s="1" a="1"/>
  <c r="F574" i="10" s="1"/>
  <c r="J571" i="10"/>
  <c r="M571" i="10"/>
  <c r="M574" i="10" s="1" a="1"/>
  <c r="M574" i="10" s="1"/>
  <c r="I571" i="10"/>
  <c r="I574" i="10" s="1" a="1"/>
  <c r="I574" i="10" s="1"/>
  <c r="L571" i="10"/>
  <c r="L574" i="10" s="1" a="1"/>
  <c r="L574" i="10" s="1"/>
  <c r="G571" i="10"/>
  <c r="G574" i="10" s="1" a="1"/>
  <c r="G574" i="10" s="1"/>
  <c r="E571" i="10"/>
  <c r="B572" i="10"/>
  <c r="B573" i="10" s="1"/>
  <c r="B574" i="10" s="1"/>
  <c r="B575" i="10" s="1"/>
  <c r="B576" i="10" s="1"/>
  <c r="B577" i="10" s="1"/>
  <c r="B578" i="10" s="1"/>
  <c r="H571" i="10"/>
  <c r="H574" i="10" s="1" a="1"/>
  <c r="H574" i="10" s="1"/>
  <c r="N570" i="10"/>
  <c r="M558" i="10"/>
  <c r="GF50" i="9" s="1" a="1"/>
  <c r="GF50" i="9" s="1"/>
  <c r="N550" i="10"/>
  <c r="H564" i="10"/>
  <c r="E550" i="10"/>
  <c r="L564" i="10"/>
  <c r="G570" i="10"/>
  <c r="I564" i="10"/>
  <c r="D570" i="10"/>
  <c r="O570" i="10"/>
  <c r="M593" i="10"/>
  <c r="D593" i="10"/>
  <c r="P593" i="10"/>
  <c r="B594" i="10"/>
  <c r="I593" i="10"/>
  <c r="J593" i="10"/>
  <c r="N593" i="10"/>
  <c r="E593" i="10"/>
  <c r="L593" i="10"/>
  <c r="G593" i="10"/>
  <c r="F593" i="10"/>
  <c r="K593" i="10"/>
  <c r="O593" i="10"/>
  <c r="H593" i="10"/>
  <c r="G564" i="10"/>
  <c r="L550" i="10"/>
  <c r="K570" i="10"/>
  <c r="J570" i="10"/>
  <c r="H570" i="10"/>
  <c r="N564" i="10"/>
  <c r="F570" i="10"/>
  <c r="L570" i="10"/>
  <c r="O558" i="10"/>
  <c r="HR50" i="9" s="1" a="1"/>
  <c r="HR50" i="9" s="1"/>
  <c r="J573" i="10"/>
  <c r="K573" i="10"/>
  <c r="M570" i="10"/>
  <c r="D573" i="10"/>
  <c r="B584" i="10"/>
  <c r="B585" i="10" s="1"/>
  <c r="F580" i="10"/>
  <c r="J580" i="10"/>
  <c r="J587" i="10" s="1"/>
  <c r="B581" i="10"/>
  <c r="B582" i="10" s="1"/>
  <c r="B583" i="10" s="1"/>
  <c r="L580" i="10"/>
  <c r="L587" i="10" s="1"/>
  <c r="I580" i="10"/>
  <c r="K580" i="10"/>
  <c r="P580" i="10"/>
  <c r="P584" i="10" s="1"/>
  <c r="E580" i="10"/>
  <c r="E587" i="10" s="1"/>
  <c r="N580" i="10"/>
  <c r="N587" i="10" s="1"/>
  <c r="G580" i="10"/>
  <c r="G587" i="10" s="1"/>
  <c r="M580" i="10"/>
  <c r="D580" i="10"/>
  <c r="D584" i="10" s="1"/>
  <c r="O580" i="10"/>
  <c r="O587" i="10" s="1"/>
  <c r="H580" i="10"/>
  <c r="E573" i="10"/>
  <c r="E570" i="10"/>
  <c r="I570" i="10"/>
  <c r="P573" i="10"/>
  <c r="AG43" i="9"/>
  <c r="IL43" i="9" s="1"/>
  <c r="IM43" i="9" s="1"/>
  <c r="R621" i="10"/>
  <c r="H1262" i="13" l="1"/>
  <c r="CU47" i="9" s="1" a="1"/>
  <c r="CU47" i="9" s="1"/>
  <c r="O1262" i="13"/>
  <c r="HX47" i="9" s="1" a="1"/>
  <c r="HX47" i="9" s="1"/>
  <c r="E1262" i="13"/>
  <c r="AP47" i="9" s="1" a="1"/>
  <c r="AP47" i="9" s="1"/>
  <c r="V46" i="9"/>
  <c r="K1228" i="13"/>
  <c r="EZ46" i="9" s="1" a="1"/>
  <c r="EZ46" i="9" s="1"/>
  <c r="HC47" i="9"/>
  <c r="EX47" i="9"/>
  <c r="N1262" i="13"/>
  <c r="HE47" i="9" s="1" a="1"/>
  <c r="HE47" i="9" s="1"/>
  <c r="AN47" i="9"/>
  <c r="D1228" i="13"/>
  <c r="AN46" i="9"/>
  <c r="HV46" i="9"/>
  <c r="HV47" i="9"/>
  <c r="E1228" i="13"/>
  <c r="AP46" i="9" s="1" a="1"/>
  <c r="AP46" i="9" s="1"/>
  <c r="AR46" i="9" s="1"/>
  <c r="AZ46" i="9" s="1"/>
  <c r="L1228" i="13"/>
  <c r="FS46" i="9" s="1" a="1"/>
  <c r="FS46" i="9" s="1"/>
  <c r="BG46" i="9"/>
  <c r="FQ46" i="9"/>
  <c r="K1262" i="13"/>
  <c r="EZ47" i="9" s="1" a="1"/>
  <c r="EZ47" i="9" s="1"/>
  <c r="J1228" i="13"/>
  <c r="EG46" i="9" s="1" a="1"/>
  <c r="EG46" i="9" s="1"/>
  <c r="EI46" i="9" s="1"/>
  <c r="EQ46" i="9" s="1"/>
  <c r="F1228" i="13"/>
  <c r="BI46" i="9" s="1" a="1"/>
  <c r="BI46" i="9" s="1"/>
  <c r="BK46" i="9" s="1"/>
  <c r="J1258" i="13"/>
  <c r="ED47" i="9" a="1"/>
  <c r="ED47" i="9" s="1"/>
  <c r="F59" i="25" a="1"/>
  <c r="F59" i="25" s="1"/>
  <c r="AO47" i="9"/>
  <c r="M58" i="25" a="1"/>
  <c r="M58" i="25" s="1"/>
  <c r="FR46" i="9"/>
  <c r="F58" i="25" a="1"/>
  <c r="F58" i="25" s="1"/>
  <c r="AO46" i="9"/>
  <c r="I1292" i="13"/>
  <c r="DK48" i="9" a="1"/>
  <c r="DK48" i="9" s="1"/>
  <c r="CS47" i="9"/>
  <c r="N1292" i="13"/>
  <c r="HB48" i="9" a="1"/>
  <c r="HB48" i="9" s="1"/>
  <c r="L59" i="25" a="1"/>
  <c r="L59" i="25" s="1"/>
  <c r="EY47" i="9"/>
  <c r="J1292" i="13"/>
  <c r="ED48" i="9" a="1"/>
  <c r="ED48" i="9" s="1"/>
  <c r="O1294" i="13"/>
  <c r="HU48" i="9" a="1"/>
  <c r="HU48" i="9" s="1"/>
  <c r="O1228" i="13"/>
  <c r="HX46" i="9" s="1" a="1"/>
  <c r="HX46" i="9" s="1"/>
  <c r="HZ46" i="9" s="1"/>
  <c r="IH46" i="9" s="1"/>
  <c r="G1260" i="13"/>
  <c r="BY47" i="9" a="1"/>
  <c r="BY47" i="9" s="1"/>
  <c r="K58" i="25" a="1"/>
  <c r="K58" i="25" s="1"/>
  <c r="EF46" i="9"/>
  <c r="G58" i="25" a="1"/>
  <c r="G58" i="25" s="1"/>
  <c r="BH46" i="9"/>
  <c r="D1292" i="13"/>
  <c r="T48" i="9" a="1"/>
  <c r="T48" i="9" s="1"/>
  <c r="E60" i="25" s="1" a="1"/>
  <c r="E60" i="25" s="1"/>
  <c r="M1292" i="13"/>
  <c r="GI48" i="9" a="1"/>
  <c r="GI48" i="9" s="1"/>
  <c r="Q57" i="25"/>
  <c r="P59" i="25" a="1"/>
  <c r="P59" i="25" s="1"/>
  <c r="HW47" i="9"/>
  <c r="I1258" i="13"/>
  <c r="DK47" i="9" a="1"/>
  <c r="DK47" i="9" s="1"/>
  <c r="DL47" i="9" s="1"/>
  <c r="G1224" i="13"/>
  <c r="BY46" i="9" a="1"/>
  <c r="BY46" i="9" s="1"/>
  <c r="D1258" i="13"/>
  <c r="T47" i="9" a="1"/>
  <c r="T47" i="9" s="1"/>
  <c r="E59" i="25" s="1" a="1"/>
  <c r="E59" i="25" s="1"/>
  <c r="O59" i="25" a="1"/>
  <c r="O59" i="25" s="1"/>
  <c r="HD47" i="9"/>
  <c r="K1292" i="13"/>
  <c r="EW48" i="9" a="1"/>
  <c r="EW48" i="9" s="1"/>
  <c r="L1292" i="13"/>
  <c r="FP48" i="9" a="1"/>
  <c r="FP48" i="9" s="1"/>
  <c r="L1260" i="13"/>
  <c r="FP47" i="9" a="1"/>
  <c r="FP47" i="9" s="1"/>
  <c r="P58" i="25" a="1"/>
  <c r="P58" i="25" s="1"/>
  <c r="HW46" i="9"/>
  <c r="L58" i="25" a="1"/>
  <c r="L58" i="25" s="1"/>
  <c r="EY46" i="9"/>
  <c r="M1258" i="13"/>
  <c r="GI47" i="9" a="1"/>
  <c r="GI47" i="9" s="1"/>
  <c r="H1294" i="13"/>
  <c r="CR48" i="9" a="1"/>
  <c r="CR48" i="9" s="1"/>
  <c r="I59" i="25" a="1"/>
  <c r="I59" i="25" s="1"/>
  <c r="CT47" i="9"/>
  <c r="G1321" i="13" a="1"/>
  <c r="G1321" i="13" s="1"/>
  <c r="G1322" i="13" s="1"/>
  <c r="G1325" i="13" s="1"/>
  <c r="E1316" i="13" a="1"/>
  <c r="E1316" i="13" s="1"/>
  <c r="E1317" i="13" s="1"/>
  <c r="E1320" i="13" s="1"/>
  <c r="D1323" i="13" a="1"/>
  <c r="D1323" i="13" s="1"/>
  <c r="D1324" i="13" s="1"/>
  <c r="D1325" i="13" s="1"/>
  <c r="FO47" i="9" a="1"/>
  <c r="FO47" i="9" s="1"/>
  <c r="HT48" i="9" a="1"/>
  <c r="HT48" i="9" s="1"/>
  <c r="O1344" i="13" a="1"/>
  <c r="O1344" i="13" s="1"/>
  <c r="O1357" i="13" s="1" a="1"/>
  <c r="O1357" i="13" s="1"/>
  <c r="O1358" i="13" s="1"/>
  <c r="HS50" i="9" a="1"/>
  <c r="HS50" i="9" s="1"/>
  <c r="P62" i="27" s="1" a="1"/>
  <c r="P62" i="27" s="1"/>
  <c r="HY50" i="9" a="1"/>
  <c r="HY50" i="9" s="1"/>
  <c r="O1310" i="13" a="1"/>
  <c r="O1310" i="13" s="1"/>
  <c r="O1323" i="13" s="1" a="1"/>
  <c r="O1323" i="13" s="1"/>
  <c r="O1324" i="13" s="1"/>
  <c r="HS49" i="9" a="1"/>
  <c r="HS49" i="9" s="1"/>
  <c r="HY49" i="9" a="1"/>
  <c r="HY49" i="9" s="1"/>
  <c r="GH47" i="9" a="1"/>
  <c r="GH47" i="9" s="1"/>
  <c r="HA48" i="9" a="1"/>
  <c r="HA48" i="9" s="1"/>
  <c r="EC47" i="9" a="1"/>
  <c r="EC47" i="9" s="1"/>
  <c r="BX48" i="9" a="1"/>
  <c r="BX48" i="9" s="1"/>
  <c r="N1310" i="13" a="1"/>
  <c r="N1310" i="13" s="1"/>
  <c r="N1321" i="13" s="1" a="1"/>
  <c r="N1321" i="13" s="1"/>
  <c r="N1322" i="13" s="1"/>
  <c r="GZ49" i="9" a="1"/>
  <c r="GZ49" i="9" s="1"/>
  <c r="HF49" i="9" a="1"/>
  <c r="HF49" i="9" s="1"/>
  <c r="N1344" i="13" a="1"/>
  <c r="N1344" i="13" s="1"/>
  <c r="N1357" i="13" s="1" a="1"/>
  <c r="N1357" i="13" s="1"/>
  <c r="N1358" i="13" s="1"/>
  <c r="HF50" i="9" a="1"/>
  <c r="HF50" i="9" s="1"/>
  <c r="GZ50" i="9" a="1"/>
  <c r="GZ50" i="9" s="1"/>
  <c r="O62" i="27" s="1" a="1"/>
  <c r="O62" i="27" s="1"/>
  <c r="M1310" i="13" a="1"/>
  <c r="M1310" i="13" s="1"/>
  <c r="M1323" i="13" s="1" a="1"/>
  <c r="M1323" i="13" s="1"/>
  <c r="M1324" i="13" s="1"/>
  <c r="GM49" i="9" a="1"/>
  <c r="GM49" i="9" s="1"/>
  <c r="GG49" i="9" a="1"/>
  <c r="GG49" i="9" s="1"/>
  <c r="H1321" i="13" a="1"/>
  <c r="H1321" i="13" s="1"/>
  <c r="H1322" i="13" s="1"/>
  <c r="H1325" i="13" s="1"/>
  <c r="FO48" i="9" a="1"/>
  <c r="FO48" i="9" s="1"/>
  <c r="F1289" i="13" a="1"/>
  <c r="F1289" i="13" s="1"/>
  <c r="F1290" i="13" s="1"/>
  <c r="F1291" i="13" s="1"/>
  <c r="E1289" i="13" a="1"/>
  <c r="E1289" i="13" s="1"/>
  <c r="E1290" i="13" s="1"/>
  <c r="E1291" i="13" s="1"/>
  <c r="L1310" i="13" a="1"/>
  <c r="L1310" i="13" s="1"/>
  <c r="L1323" i="13" s="1" a="1"/>
  <c r="L1323" i="13" s="1"/>
  <c r="L1324" i="13" s="1"/>
  <c r="FT49" i="9" a="1"/>
  <c r="FT49" i="9" s="1"/>
  <c r="FN49" i="9" a="1"/>
  <c r="FN49" i="9" s="1"/>
  <c r="I1321" i="13" a="1"/>
  <c r="I1321" i="13" s="1"/>
  <c r="I1322" i="13" s="1"/>
  <c r="I1325" i="13" s="1"/>
  <c r="L1344" i="13" a="1"/>
  <c r="L1344" i="13" s="1"/>
  <c r="L1355" i="13" s="1" a="1"/>
  <c r="L1355" i="13" s="1"/>
  <c r="L1356" i="13" s="1"/>
  <c r="FT50" i="9" a="1"/>
  <c r="FT50" i="9" s="1"/>
  <c r="FN50" i="9" a="1"/>
  <c r="FN50" i="9" s="1"/>
  <c r="M62" i="27" s="1" a="1"/>
  <c r="M62" i="27" s="1"/>
  <c r="EV48" i="9" a="1"/>
  <c r="EV48" i="9" s="1"/>
  <c r="K1310" i="13" a="1"/>
  <c r="K1310" i="13" s="1"/>
  <c r="K1321" i="13" s="1" a="1"/>
  <c r="K1321" i="13" s="1"/>
  <c r="K1322" i="13" s="1"/>
  <c r="EU49" i="9" a="1"/>
  <c r="EU49" i="9" s="1"/>
  <c r="FA49" i="9" a="1"/>
  <c r="FA49" i="9" s="1"/>
  <c r="G1287" i="13" a="1"/>
  <c r="G1287" i="13" s="1"/>
  <c r="G1288" i="13" s="1"/>
  <c r="G1291" i="13" s="1"/>
  <c r="J1310" i="13" a="1"/>
  <c r="J1310" i="13" s="1"/>
  <c r="J1321" i="13" s="1" a="1"/>
  <c r="J1321" i="13" s="1"/>
  <c r="J1322" i="13" s="1"/>
  <c r="EH49" i="9" a="1"/>
  <c r="EH49" i="9" s="1"/>
  <c r="EB49" i="9" a="1"/>
  <c r="EB49" i="9" s="1"/>
  <c r="EC48" i="9" a="1"/>
  <c r="EC48" i="9" s="1"/>
  <c r="DJ48" i="9" a="1"/>
  <c r="DJ48" i="9" s="1"/>
  <c r="I1344" i="13" a="1"/>
  <c r="I1344" i="13" s="1"/>
  <c r="I1355" i="13" s="1" a="1"/>
  <c r="I1355" i="13" s="1"/>
  <c r="I1356" i="13" s="1"/>
  <c r="DO50" i="9" a="1"/>
  <c r="DO50" i="9" s="1"/>
  <c r="DI50" i="9" a="1"/>
  <c r="DI50" i="9" s="1"/>
  <c r="J62" i="27" s="1" a="1"/>
  <c r="J62" i="27" s="1"/>
  <c r="H1344" i="13" a="1"/>
  <c r="H1344" i="13" s="1"/>
  <c r="H1355" i="13" s="1" a="1"/>
  <c r="H1355" i="13" s="1"/>
  <c r="H1356" i="13" s="1"/>
  <c r="CV50" i="9" a="1"/>
  <c r="CV50" i="9" s="1"/>
  <c r="CP50" i="9" a="1"/>
  <c r="CP50" i="9" s="1"/>
  <c r="I62" i="27" s="1" a="1"/>
  <c r="I62" i="27" s="1"/>
  <c r="CQ48" i="9" a="1"/>
  <c r="CQ48" i="9" s="1"/>
  <c r="F1257" i="13"/>
  <c r="BF47" i="9" s="1" a="1"/>
  <c r="BF47" i="9" s="1"/>
  <c r="BG47" i="9" s="1"/>
  <c r="H60" i="27" a="1"/>
  <c r="H60" i="27" s="1"/>
  <c r="G1344" i="13" a="1"/>
  <c r="G1344" i="13" s="1"/>
  <c r="G1357" i="13" s="1" a="1"/>
  <c r="G1357" i="13" s="1"/>
  <c r="G1358" i="13" s="1"/>
  <c r="BW50" i="9" a="1"/>
  <c r="BW50" i="9" s="1"/>
  <c r="H62" i="27" s="1" a="1"/>
  <c r="H62" i="27" s="1"/>
  <c r="CC50" i="9" a="1"/>
  <c r="CC50" i="9" s="1"/>
  <c r="G1226" i="13"/>
  <c r="F1310" i="13" a="1"/>
  <c r="F1310" i="13" s="1"/>
  <c r="F1323" i="13" s="1" a="1"/>
  <c r="F1323" i="13" s="1"/>
  <c r="F1324" i="13" s="1"/>
  <c r="BD49" i="9" a="1"/>
  <c r="BD49" i="9" s="1"/>
  <c r="BJ49" i="9" a="1"/>
  <c r="BJ49" i="9" s="1"/>
  <c r="G60" i="27" a="1"/>
  <c r="G60" i="27" s="1"/>
  <c r="BE48" i="9" a="1"/>
  <c r="BE48" i="9" s="1"/>
  <c r="F1344" i="13" a="1"/>
  <c r="F1344" i="13" s="1"/>
  <c r="F1355" i="13" s="1" a="1"/>
  <c r="F1355" i="13" s="1"/>
  <c r="F1356" i="13" s="1"/>
  <c r="BD50" i="9" a="1"/>
  <c r="BD50" i="9" s="1"/>
  <c r="BJ50" i="9" a="1"/>
  <c r="BJ50" i="9" s="1"/>
  <c r="F60" i="27" a="1"/>
  <c r="F60" i="27" s="1"/>
  <c r="E1310" i="13" a="1"/>
  <c r="E1310" i="13" s="1"/>
  <c r="E1323" i="13" s="1" a="1"/>
  <c r="E1323" i="13" s="1"/>
  <c r="E1324" i="13" s="1"/>
  <c r="AK49" i="9" a="1"/>
  <c r="AK49" i="9" s="1"/>
  <c r="AQ49" i="9" a="1"/>
  <c r="AQ49" i="9" s="1"/>
  <c r="D1344" i="13" a="1"/>
  <c r="D1344" i="13" s="1"/>
  <c r="D1355" i="13" s="1" a="1"/>
  <c r="D1355" i="13" s="1"/>
  <c r="D1356" i="13" s="1"/>
  <c r="R50" i="9" a="1"/>
  <c r="R50" i="9" s="1"/>
  <c r="E62" i="27" s="1" a="1"/>
  <c r="E62" i="27" s="1"/>
  <c r="L1316" i="13" a="1"/>
  <c r="L1316" i="13" s="1"/>
  <c r="L1317" i="13" s="1"/>
  <c r="L1320" i="13" s="1"/>
  <c r="L1311" i="13" a="1"/>
  <c r="L1311" i="13" s="1"/>
  <c r="L1312" i="13" s="1"/>
  <c r="L1315" i="13" s="1"/>
  <c r="K574" i="10" a="1"/>
  <c r="K574" i="10" s="1"/>
  <c r="K576" i="10" s="1"/>
  <c r="K1377" i="13" s="1" a="1"/>
  <c r="K1377" i="13" s="1"/>
  <c r="G1258" i="13"/>
  <c r="G1262" i="13" s="1"/>
  <c r="CB47" i="9" s="1" a="1"/>
  <c r="CB47" i="9" s="1"/>
  <c r="I1320" i="13"/>
  <c r="E574" i="10" a="1"/>
  <c r="E574" i="10" s="1"/>
  <c r="E576" i="10" s="1"/>
  <c r="E1377" i="13" s="1" a="1"/>
  <c r="E1377" i="13" s="1"/>
  <c r="D574" i="10" a="1"/>
  <c r="D574" i="10" s="1"/>
  <c r="D577" i="10" s="1"/>
  <c r="O1320" i="13"/>
  <c r="N1318" i="13" a="1"/>
  <c r="N1318" i="13" s="1"/>
  <c r="N1319" i="13" s="1"/>
  <c r="N1320" i="13" s="1"/>
  <c r="P574" i="10" a="1"/>
  <c r="P574" i="10" s="1"/>
  <c r="G1320" i="13"/>
  <c r="O1315" i="13"/>
  <c r="J574" i="10" a="1"/>
  <c r="J574" i="10" s="1"/>
  <c r="J577" i="10" s="1"/>
  <c r="H1315" i="13"/>
  <c r="K1320" i="13"/>
  <c r="E562" i="10"/>
  <c r="E1343" i="13" s="1" a="1"/>
  <c r="E1343" i="13" s="1"/>
  <c r="E1350" i="13" s="1" a="1"/>
  <c r="E1350" i="13" s="1"/>
  <c r="E1351" i="13" s="1"/>
  <c r="E1281" i="13"/>
  <c r="E1286" i="13"/>
  <c r="N1315" i="13"/>
  <c r="P549" i="10"/>
  <c r="K1315" i="13"/>
  <c r="I1315" i="13"/>
  <c r="E561" i="10"/>
  <c r="E1342" i="13" s="1" a="1"/>
  <c r="E1342" i="13" s="1"/>
  <c r="E1345" i="13" s="1" a="1"/>
  <c r="E1345" i="13" s="1"/>
  <c r="E1346" i="13" s="1"/>
  <c r="M1286" i="13"/>
  <c r="M1281" i="13"/>
  <c r="M576" i="10"/>
  <c r="M1377" i="13" s="1" a="1"/>
  <c r="M1377" i="13" s="1"/>
  <c r="M577" i="10"/>
  <c r="M575" i="10"/>
  <c r="M1376" i="13" s="1" a="1"/>
  <c r="M1376" i="13" s="1"/>
  <c r="F577" i="10"/>
  <c r="F575" i="10"/>
  <c r="F1376" i="13" s="1" a="1"/>
  <c r="F1376" i="13" s="1"/>
  <c r="F576" i="10"/>
  <c r="F1377" i="13" s="1" a="1"/>
  <c r="F1377" i="13" s="1"/>
  <c r="H577" i="10"/>
  <c r="H575" i="10"/>
  <c r="H1376" i="13" s="1" a="1"/>
  <c r="H1376" i="13" s="1"/>
  <c r="H576" i="10"/>
  <c r="H1377" i="13" s="1" a="1"/>
  <c r="H1377" i="13" s="1"/>
  <c r="N577" i="10"/>
  <c r="N575" i="10"/>
  <c r="N1376" i="13" s="1" a="1"/>
  <c r="N1376" i="13" s="1"/>
  <c r="N576" i="10"/>
  <c r="N1377" i="13" s="1" a="1"/>
  <c r="N1377" i="13" s="1"/>
  <c r="G575" i="10"/>
  <c r="G1376" i="13" s="1" a="1"/>
  <c r="G1376" i="13" s="1"/>
  <c r="G576" i="10"/>
  <c r="G1377" i="13" s="1" a="1"/>
  <c r="G1377" i="13" s="1"/>
  <c r="G577" i="10"/>
  <c r="L575" i="10"/>
  <c r="L1376" i="13" s="1" a="1"/>
  <c r="L1376" i="13" s="1"/>
  <c r="L576" i="10"/>
  <c r="L1377" i="13" s="1" a="1"/>
  <c r="L1377" i="13" s="1"/>
  <c r="L577" i="10"/>
  <c r="O577" i="10"/>
  <c r="O575" i="10"/>
  <c r="O1376" i="13" s="1" a="1"/>
  <c r="O1376" i="13" s="1"/>
  <c r="O576" i="10"/>
  <c r="O1377" i="13" s="1" a="1"/>
  <c r="O1377" i="13" s="1"/>
  <c r="I575" i="10"/>
  <c r="I1376" i="13" s="1" a="1"/>
  <c r="I1376" i="13" s="1"/>
  <c r="I576" i="10"/>
  <c r="I1377" i="13" s="1" a="1"/>
  <c r="I1377" i="13" s="1"/>
  <c r="I577" i="10"/>
  <c r="M1316" i="13" a="1"/>
  <c r="M1316" i="13" s="1"/>
  <c r="M1317" i="13" s="1"/>
  <c r="M1318" i="13" a="1"/>
  <c r="M1318" i="13" s="1"/>
  <c r="M1319" i="13" s="1"/>
  <c r="J1345" i="13" a="1"/>
  <c r="J1345" i="13" s="1"/>
  <c r="J1346" i="13" s="1"/>
  <c r="J1347" i="13" a="1"/>
  <c r="J1347" i="13" s="1"/>
  <c r="J1348" i="13" s="1"/>
  <c r="N1347" i="13" a="1"/>
  <c r="N1347" i="13" s="1"/>
  <c r="N1348" i="13" s="1"/>
  <c r="N1345" i="13" a="1"/>
  <c r="N1345" i="13" s="1"/>
  <c r="N1346" i="13" s="1"/>
  <c r="D1281" i="13"/>
  <c r="L1347" i="13" a="1"/>
  <c r="L1347" i="13" s="1"/>
  <c r="L1348" i="13" s="1"/>
  <c r="L1345" i="13" a="1"/>
  <c r="L1345" i="13" s="1"/>
  <c r="L1346" i="13" s="1"/>
  <c r="G1352" i="13" a="1"/>
  <c r="G1352" i="13" s="1"/>
  <c r="G1353" i="13" s="1"/>
  <c r="G1350" i="13" a="1"/>
  <c r="G1350" i="13" s="1"/>
  <c r="G1351" i="13" s="1"/>
  <c r="L1352" i="13" a="1"/>
  <c r="L1352" i="13" s="1"/>
  <c r="L1353" i="13" s="1"/>
  <c r="L1350" i="13" a="1"/>
  <c r="L1350" i="13" s="1"/>
  <c r="L1351" i="13" s="1"/>
  <c r="K1345" i="13" a="1"/>
  <c r="K1345" i="13" s="1"/>
  <c r="K1346" i="13" s="1"/>
  <c r="K1347" i="13" a="1"/>
  <c r="K1347" i="13" s="1"/>
  <c r="K1348" i="13" s="1"/>
  <c r="H1350" i="13" a="1"/>
  <c r="H1350" i="13" s="1"/>
  <c r="H1351" i="13" s="1"/>
  <c r="H1352" i="13" a="1"/>
  <c r="H1352" i="13" s="1"/>
  <c r="H1353" i="13" s="1"/>
  <c r="H1320" i="13"/>
  <c r="K1350" i="13" a="1"/>
  <c r="K1350" i="13" s="1"/>
  <c r="K1351" i="13" s="1"/>
  <c r="K1352" i="13" a="1"/>
  <c r="K1352" i="13" s="1"/>
  <c r="K1353" i="13" s="1"/>
  <c r="H1347" i="13" a="1"/>
  <c r="H1347" i="13" s="1"/>
  <c r="H1348" i="13" s="1"/>
  <c r="H1345" i="13" a="1"/>
  <c r="H1345" i="13" s="1"/>
  <c r="H1346" i="13" s="1"/>
  <c r="F1318" i="13" a="1"/>
  <c r="F1318" i="13" s="1"/>
  <c r="F1319" i="13" s="1"/>
  <c r="F1316" i="13" a="1"/>
  <c r="F1316" i="13" s="1"/>
  <c r="F1317" i="13" s="1"/>
  <c r="G1345" i="13" a="1"/>
  <c r="G1345" i="13" s="1"/>
  <c r="G1346" i="13" s="1"/>
  <c r="G1347" i="13" a="1"/>
  <c r="G1347" i="13" s="1"/>
  <c r="G1348" i="13" s="1"/>
  <c r="I1352" i="13" a="1"/>
  <c r="I1352" i="13" s="1"/>
  <c r="I1353" i="13" s="1"/>
  <c r="I1350" i="13" a="1"/>
  <c r="I1350" i="13" s="1"/>
  <c r="I1351" i="13" s="1"/>
  <c r="M1347" i="13" a="1"/>
  <c r="M1347" i="13" s="1"/>
  <c r="M1348" i="13" s="1"/>
  <c r="M1345" i="13" a="1"/>
  <c r="M1345" i="13" s="1"/>
  <c r="M1346" i="13" s="1"/>
  <c r="E1315" i="13"/>
  <c r="J1318" i="13" a="1"/>
  <c r="J1318" i="13" s="1"/>
  <c r="J1319" i="13" s="1"/>
  <c r="J1316" i="13" a="1"/>
  <c r="J1316" i="13" s="1"/>
  <c r="J1317" i="13" s="1"/>
  <c r="G1315" i="13"/>
  <c r="F1311" i="13" a="1"/>
  <c r="F1311" i="13" s="1"/>
  <c r="F1312" i="13" s="1"/>
  <c r="F1313" i="13" a="1"/>
  <c r="F1313" i="13" s="1"/>
  <c r="F1314" i="13" s="1"/>
  <c r="F1352" i="13" a="1"/>
  <c r="F1352" i="13" s="1"/>
  <c r="F1353" i="13" s="1"/>
  <c r="F1350" i="13" a="1"/>
  <c r="F1350" i="13" s="1"/>
  <c r="F1351" i="13" s="1"/>
  <c r="I1345" i="13" a="1"/>
  <c r="I1345" i="13" s="1"/>
  <c r="I1346" i="13" s="1"/>
  <c r="I1347" i="13" a="1"/>
  <c r="I1347" i="13" s="1"/>
  <c r="I1348" i="13" s="1"/>
  <c r="D1342" i="13" a="1"/>
  <c r="D1342" i="13" s="1"/>
  <c r="K1294" i="13"/>
  <c r="D1286" i="13"/>
  <c r="J1311" i="13" a="1"/>
  <c r="J1311" i="13" s="1"/>
  <c r="J1312" i="13" s="1"/>
  <c r="J1313" i="13" a="1"/>
  <c r="J1313" i="13" s="1"/>
  <c r="J1314" i="13" s="1"/>
  <c r="P548" i="10"/>
  <c r="P547" i="10"/>
  <c r="M1313" i="13" a="1"/>
  <c r="M1313" i="13" s="1"/>
  <c r="M1314" i="13" s="1"/>
  <c r="M1311" i="13" a="1"/>
  <c r="M1311" i="13" s="1"/>
  <c r="M1312" i="13" s="1"/>
  <c r="F1345" i="13" a="1"/>
  <c r="F1345" i="13" s="1"/>
  <c r="F1346" i="13" s="1"/>
  <c r="F1347" i="13" a="1"/>
  <c r="F1347" i="13" s="1"/>
  <c r="F1348" i="13" s="1"/>
  <c r="O1347" i="13" a="1"/>
  <c r="O1347" i="13" s="1"/>
  <c r="O1348" i="13" s="1"/>
  <c r="O1345" i="13" a="1"/>
  <c r="O1345" i="13" s="1"/>
  <c r="O1346" i="13" s="1"/>
  <c r="M1350" i="13" a="1"/>
  <c r="M1350" i="13" s="1"/>
  <c r="M1351" i="13" s="1"/>
  <c r="M1352" i="13" a="1"/>
  <c r="M1352" i="13" s="1"/>
  <c r="M1353" i="13" s="1"/>
  <c r="P563" i="10"/>
  <c r="I1294" i="13"/>
  <c r="O1292" i="13"/>
  <c r="D1318" i="13" a="1"/>
  <c r="D1318" i="13" s="1"/>
  <c r="D1319" i="13" s="1"/>
  <c r="D1316" i="13" a="1"/>
  <c r="D1316" i="13" s="1"/>
  <c r="D1317" i="13" s="1"/>
  <c r="D1313" i="13" a="1"/>
  <c r="D1313" i="13" s="1"/>
  <c r="D1314" i="13" s="1"/>
  <c r="D1311" i="13" a="1"/>
  <c r="D1311" i="13" s="1"/>
  <c r="D1312" i="13" s="1"/>
  <c r="J1352" i="13" a="1"/>
  <c r="J1352" i="13" s="1"/>
  <c r="J1353" i="13" s="1"/>
  <c r="J1350" i="13" a="1"/>
  <c r="J1350" i="13" s="1"/>
  <c r="J1351" i="13" s="1"/>
  <c r="O1352" i="13" a="1"/>
  <c r="O1352" i="13" s="1"/>
  <c r="O1353" i="13" s="1"/>
  <c r="O1350" i="13" a="1"/>
  <c r="O1350" i="13" s="1"/>
  <c r="O1351" i="13" s="1"/>
  <c r="N1350" i="13" a="1"/>
  <c r="N1350" i="13" s="1"/>
  <c r="N1351" i="13" s="1"/>
  <c r="N1352" i="13" a="1"/>
  <c r="N1352" i="13" s="1"/>
  <c r="N1353" i="13" s="1"/>
  <c r="D1343" i="13" a="1"/>
  <c r="D1343" i="13" s="1"/>
  <c r="M1294" i="13"/>
  <c r="D1294" i="13"/>
  <c r="J1294" i="13"/>
  <c r="D1260" i="13"/>
  <c r="N1294" i="13"/>
  <c r="M1260" i="13"/>
  <c r="J1260" i="13"/>
  <c r="M1321" i="13" a="1"/>
  <c r="M1321" i="13" s="1"/>
  <c r="M1322" i="13" s="1"/>
  <c r="L1294" i="13"/>
  <c r="H1292" i="13"/>
  <c r="I1260" i="13"/>
  <c r="L1258" i="13"/>
  <c r="J564" i="10"/>
  <c r="K564" i="10"/>
  <c r="M564" i="10"/>
  <c r="CE45" i="9" a="1"/>
  <c r="CE45" i="9" s="1"/>
  <c r="CM45" i="9" s="1"/>
  <c r="I58" i="24" s="1" a="1"/>
  <c r="I58" i="24" s="1"/>
  <c r="IJ43" i="9"/>
  <c r="IK43" i="9" s="1"/>
  <c r="EJ44" i="9" a="1"/>
  <c r="EJ44" i="9" s="1"/>
  <c r="ER44" i="9" s="1"/>
  <c r="L57" i="24" s="1" a="1"/>
  <c r="L57" i="24" s="1"/>
  <c r="GO45" i="9" a="1"/>
  <c r="GO45" i="9" s="1"/>
  <c r="GW45" i="9" s="1"/>
  <c r="O58" i="24" s="1" a="1"/>
  <c r="O58" i="24" s="1"/>
  <c r="HH45" i="9" a="1"/>
  <c r="HH45" i="9" s="1"/>
  <c r="HP45" i="9" s="1"/>
  <c r="P58" i="24" s="1" a="1"/>
  <c r="P58" i="24" s="1"/>
  <c r="IL44" i="9"/>
  <c r="IM44" i="9" s="1"/>
  <c r="IJ42" i="9"/>
  <c r="IK42" i="9" s="1"/>
  <c r="CX45" i="9" a="1"/>
  <c r="CX45" i="9" s="1"/>
  <c r="DF45" i="9" s="1"/>
  <c r="J58" i="24" s="1" a="1"/>
  <c r="J58" i="24" s="1"/>
  <c r="IN42" i="9"/>
  <c r="IO42" i="9" s="1"/>
  <c r="IA45" i="9" a="1"/>
  <c r="IA45" i="9" s="1"/>
  <c r="II45" i="9" s="1"/>
  <c r="Q58" i="24" s="1" a="1"/>
  <c r="Q58" i="24" s="1"/>
  <c r="Z44" i="9" a="1"/>
  <c r="Z44" i="9" s="1"/>
  <c r="AH44" i="9" s="1"/>
  <c r="F57" i="24" s="1" a="1"/>
  <c r="F57" i="24" s="1"/>
  <c r="FV45" i="9" a="1"/>
  <c r="FV45" i="9" s="1"/>
  <c r="GD45" i="9" s="1"/>
  <c r="N58" i="24" s="1" a="1"/>
  <c r="N58" i="24" s="1"/>
  <c r="GW44" i="9"/>
  <c r="O57" i="24" s="1" a="1"/>
  <c r="O57" i="24" s="1"/>
  <c r="FC45" i="9" a="1"/>
  <c r="FC45" i="9" s="1"/>
  <c r="FK45" i="9" s="1"/>
  <c r="M58" i="24" s="1" a="1"/>
  <c r="M58" i="24" s="1"/>
  <c r="EJ45" i="9" a="1"/>
  <c r="EJ45" i="9" s="1"/>
  <c r="EQ45" i="9"/>
  <c r="DP46" i="9"/>
  <c r="DX46" i="9" s="1"/>
  <c r="FB46" i="9"/>
  <c r="FJ46" i="9" s="1"/>
  <c r="AR45" i="9"/>
  <c r="AZ45" i="9" s="1"/>
  <c r="CW46" i="9"/>
  <c r="DE46" i="9" s="1"/>
  <c r="GN46" i="9"/>
  <c r="GV46" i="9" s="1"/>
  <c r="HG46" i="9"/>
  <c r="HO46" i="9" s="1"/>
  <c r="BK45" i="9"/>
  <c r="BS45" i="9" s="1"/>
  <c r="DX45" i="9"/>
  <c r="DQ45" i="9" a="1"/>
  <c r="DQ45" i="9" s="1"/>
  <c r="W45" i="9" a="1"/>
  <c r="W45" i="9" s="1"/>
  <c r="Y45" i="9" s="1"/>
  <c r="AG45" i="9" s="1"/>
  <c r="D572" i="10"/>
  <c r="F572" i="10"/>
  <c r="BC51" i="9" s="1" a="1"/>
  <c r="BC51" i="9" s="1"/>
  <c r="M572" i="10"/>
  <c r="GF51" i="9" s="1" a="1"/>
  <c r="GF51" i="9" s="1"/>
  <c r="O572" i="10"/>
  <c r="HR51" i="9" s="1" a="1"/>
  <c r="HR51" i="9" s="1"/>
  <c r="J572" i="10"/>
  <c r="EA51" i="9" s="1" a="1"/>
  <c r="EA51" i="9" s="1"/>
  <c r="K572" i="10"/>
  <c r="ET51" i="9" s="1" a="1"/>
  <c r="ET51" i="9" s="1"/>
  <c r="G572" i="10"/>
  <c r="BV51" i="9" s="1" a="1"/>
  <c r="BV51" i="9" s="1"/>
  <c r="E572" i="10"/>
  <c r="AJ51" i="9" s="1" a="1"/>
  <c r="AJ51" i="9" s="1"/>
  <c r="N578" i="10"/>
  <c r="I572" i="10"/>
  <c r="DH51" i="9" s="1" a="1"/>
  <c r="DH51" i="9" s="1"/>
  <c r="P587" i="10"/>
  <c r="H572" i="10"/>
  <c r="CO51" i="9" s="1" a="1"/>
  <c r="CO51" i="9" s="1"/>
  <c r="H578" i="10"/>
  <c r="P550" i="10"/>
  <c r="L572" i="10"/>
  <c r="FM51" i="9" s="1" a="1"/>
  <c r="FM51" i="9" s="1"/>
  <c r="N572" i="10"/>
  <c r="GY51" i="9" s="1" a="1"/>
  <c r="GY51" i="9" s="1"/>
  <c r="L578" i="10"/>
  <c r="E564" i="10"/>
  <c r="K607" i="10"/>
  <c r="B608" i="10"/>
  <c r="O607" i="10"/>
  <c r="N607" i="10"/>
  <c r="H607" i="10"/>
  <c r="F607" i="10"/>
  <c r="E607" i="10"/>
  <c r="G607" i="10"/>
  <c r="I607" i="10"/>
  <c r="J607" i="10"/>
  <c r="L607" i="10"/>
  <c r="M607" i="10"/>
  <c r="P607" i="10"/>
  <c r="D607" i="10"/>
  <c r="H584" i="10"/>
  <c r="K584" i="10"/>
  <c r="O584" i="10"/>
  <c r="I584" i="10"/>
  <c r="I587" i="10"/>
  <c r="H587" i="10"/>
  <c r="L584" i="10"/>
  <c r="S46" i="9" a="1"/>
  <c r="S46" i="9" s="1"/>
  <c r="U46" i="9" s="1"/>
  <c r="M584" i="10"/>
  <c r="F594" i="10"/>
  <c r="F601" i="10" s="1"/>
  <c r="I594" i="10"/>
  <c r="I601" i="10" s="1"/>
  <c r="M594" i="10"/>
  <c r="M601" i="10" s="1"/>
  <c r="B595" i="10"/>
  <c r="B596" i="10" s="1"/>
  <c r="B597" i="10" s="1"/>
  <c r="E594" i="10"/>
  <c r="O594" i="10"/>
  <c r="K594" i="10"/>
  <c r="D594" i="10"/>
  <c r="D601" i="10" s="1"/>
  <c r="L594" i="10"/>
  <c r="L601" i="10" s="1"/>
  <c r="P594" i="10"/>
  <c r="P598" i="10" s="1"/>
  <c r="G594" i="10"/>
  <c r="B598" i="10"/>
  <c r="B599" i="10" s="1"/>
  <c r="H594" i="10"/>
  <c r="N594" i="10"/>
  <c r="J594" i="10"/>
  <c r="M587" i="10"/>
  <c r="G584" i="10"/>
  <c r="J584" i="10"/>
  <c r="O578" i="10"/>
  <c r="N584" i="10"/>
  <c r="F584" i="10"/>
  <c r="K587" i="10"/>
  <c r="F587" i="10"/>
  <c r="A621" i="10" a="1"/>
  <c r="A621" i="10" s="1"/>
  <c r="B621" i="10" a="1"/>
  <c r="B621" i="10" s="1"/>
  <c r="E584" i="10"/>
  <c r="G585" i="10"/>
  <c r="G588" i="10" s="1" a="1"/>
  <c r="G588" i="10" s="1"/>
  <c r="N585" i="10"/>
  <c r="N588" i="10" s="1" a="1"/>
  <c r="N588" i="10" s="1"/>
  <c r="F585" i="10"/>
  <c r="L585" i="10"/>
  <c r="L588" i="10" s="1" a="1"/>
  <c r="L588" i="10" s="1"/>
  <c r="P585" i="10"/>
  <c r="P586" i="10" s="1"/>
  <c r="D585" i="10"/>
  <c r="D586" i="10" s="1"/>
  <c r="Q52" i="9" s="1" a="1"/>
  <c r="Q52" i="9" s="1"/>
  <c r="E585" i="10"/>
  <c r="E588" i="10" s="1" a="1"/>
  <c r="E588" i="10" s="1"/>
  <c r="K585" i="10"/>
  <c r="M585" i="10"/>
  <c r="I585" i="10"/>
  <c r="H585" i="10"/>
  <c r="B586" i="10"/>
  <c r="B587" i="10" s="1"/>
  <c r="B588" i="10" s="1"/>
  <c r="B589" i="10" s="1"/>
  <c r="B590" i="10" s="1"/>
  <c r="B591" i="10" s="1"/>
  <c r="B592" i="10" s="1"/>
  <c r="O585" i="10"/>
  <c r="O588" i="10" s="1" a="1"/>
  <c r="O588" i="10" s="1"/>
  <c r="J585" i="10"/>
  <c r="J588" i="10" s="1" a="1"/>
  <c r="J588" i="10" s="1"/>
  <c r="D587" i="10"/>
  <c r="F578" i="10"/>
  <c r="AH43" i="9"/>
  <c r="F56" i="24" s="1" a="1"/>
  <c r="F56" i="24" s="1"/>
  <c r="R635" i="10"/>
  <c r="GJ47" i="9" l="1"/>
  <c r="D1296" i="13"/>
  <c r="M1296" i="13"/>
  <c r="GL48" i="9" s="1" a="1"/>
  <c r="GL48" i="9" s="1"/>
  <c r="O1355" i="13" a="1"/>
  <c r="O1355" i="13" s="1"/>
  <c r="O1356" i="13" s="1"/>
  <c r="O1359" i="13" s="1"/>
  <c r="I1357" i="13" a="1"/>
  <c r="I1357" i="13" s="1"/>
  <c r="I1358" i="13" s="1"/>
  <c r="I1359" i="13" s="1"/>
  <c r="V47" i="9"/>
  <c r="M1262" i="13"/>
  <c r="GL47" i="9" s="1" a="1"/>
  <c r="GL47" i="9" s="1"/>
  <c r="GN47" i="9" s="1"/>
  <c r="GV47" i="9" s="1"/>
  <c r="L1296" i="13"/>
  <c r="FS48" i="9" s="1" a="1"/>
  <c r="FS48" i="9" s="1"/>
  <c r="L1262" i="13"/>
  <c r="FS47" i="9" s="1" a="1"/>
  <c r="FS47" i="9" s="1"/>
  <c r="FU47" i="9" s="1"/>
  <c r="GC47" i="9" s="1"/>
  <c r="D1262" i="13"/>
  <c r="H1296" i="13"/>
  <c r="CU48" i="9" s="1" a="1"/>
  <c r="CU48" i="9" s="1"/>
  <c r="J1296" i="13"/>
  <c r="EG48" i="9" s="1" a="1"/>
  <c r="EG48" i="9" s="1"/>
  <c r="HV48" i="9"/>
  <c r="I1262" i="13"/>
  <c r="DN47" i="9" s="1" a="1"/>
  <c r="DN47" i="9" s="1"/>
  <c r="O1296" i="13"/>
  <c r="HX48" i="9" s="1" a="1"/>
  <c r="HX48" i="9" s="1"/>
  <c r="K1296" i="13"/>
  <c r="EZ48" i="9" s="1" a="1"/>
  <c r="EZ48" i="9" s="1"/>
  <c r="DL48" i="9"/>
  <c r="HC48" i="9"/>
  <c r="EE47" i="9"/>
  <c r="J1262" i="13"/>
  <c r="EG47" i="9" s="1" a="1"/>
  <c r="EG47" i="9" s="1"/>
  <c r="EI47" i="9" s="1"/>
  <c r="EQ47" i="9" s="1"/>
  <c r="EE48" i="9"/>
  <c r="I1296" i="13"/>
  <c r="DN48" i="9" s="1" a="1"/>
  <c r="DN48" i="9" s="1"/>
  <c r="FQ48" i="9"/>
  <c r="G1228" i="13"/>
  <c r="CB46" i="9" s="1" a="1"/>
  <c r="CB46" i="9" s="1"/>
  <c r="CD46" i="9" s="1"/>
  <c r="CL46" i="9" s="1"/>
  <c r="EX48" i="9"/>
  <c r="N1296" i="13"/>
  <c r="HE48" i="9" s="1" a="1"/>
  <c r="HE48" i="9" s="1"/>
  <c r="F1292" i="13"/>
  <c r="BF48" i="9" a="1"/>
  <c r="BF48" i="9" s="1"/>
  <c r="BG48" i="9" s="1"/>
  <c r="N60" i="25" a="1"/>
  <c r="N60" i="25" s="1"/>
  <c r="GK48" i="9"/>
  <c r="H59" i="25" a="1"/>
  <c r="H59" i="25" s="1"/>
  <c r="CA47" i="9"/>
  <c r="H1326" i="13"/>
  <c r="CR49" i="9" a="1"/>
  <c r="CR49" i="9" s="1"/>
  <c r="G1326" i="13"/>
  <c r="BY49" i="9" a="1"/>
  <c r="BY49" i="9" s="1"/>
  <c r="L60" i="25" a="1"/>
  <c r="L60" i="25" s="1"/>
  <c r="EY48" i="9"/>
  <c r="H58" i="25" a="1"/>
  <c r="H58" i="25" s="1"/>
  <c r="Q58" i="25" s="1"/>
  <c r="CA46" i="9"/>
  <c r="BZ46" i="9"/>
  <c r="O60" i="25" a="1"/>
  <c r="O60" i="25" s="1"/>
  <c r="HD48" i="9"/>
  <c r="G1294" i="13"/>
  <c r="BY48" i="9" a="1"/>
  <c r="BY48" i="9" s="1"/>
  <c r="BZ48" i="9" s="1"/>
  <c r="I1326" i="13"/>
  <c r="DK49" i="9" a="1"/>
  <c r="DK49" i="9" s="1"/>
  <c r="J59" i="25" a="1"/>
  <c r="J59" i="25" s="1"/>
  <c r="DM47" i="9"/>
  <c r="P60" i="25" a="1"/>
  <c r="P60" i="25" s="1"/>
  <c r="HW48" i="9"/>
  <c r="I60" i="25" a="1"/>
  <c r="I60" i="25" s="1"/>
  <c r="CT48" i="9"/>
  <c r="M59" i="25" a="1"/>
  <c r="M59" i="25" s="1"/>
  <c r="FR47" i="9"/>
  <c r="BZ47" i="9"/>
  <c r="G59" i="25" a="1"/>
  <c r="G59" i="25" s="1"/>
  <c r="BH47" i="9"/>
  <c r="K60" i="25" a="1"/>
  <c r="K60" i="25" s="1"/>
  <c r="EF48" i="9"/>
  <c r="J60" i="25" a="1"/>
  <c r="J60" i="25" s="1"/>
  <c r="DM48" i="9"/>
  <c r="K59" i="25" a="1"/>
  <c r="K59" i="25" s="1"/>
  <c r="EF47" i="9"/>
  <c r="D1328" i="13"/>
  <c r="T49" i="9" a="1"/>
  <c r="T49" i="9" s="1"/>
  <c r="E61" i="25" s="1" a="1"/>
  <c r="E61" i="25" s="1"/>
  <c r="CS48" i="9"/>
  <c r="E1292" i="13"/>
  <c r="AM48" i="9" a="1"/>
  <c r="AM48" i="9" s="1"/>
  <c r="FQ47" i="9"/>
  <c r="N59" i="25" a="1"/>
  <c r="N59" i="25" s="1"/>
  <c r="GK47" i="9"/>
  <c r="M60" i="25" a="1"/>
  <c r="M60" i="25" s="1"/>
  <c r="FR48" i="9"/>
  <c r="G1355" i="13" a="1"/>
  <c r="G1355" i="13" s="1"/>
  <c r="G1356" i="13" s="1"/>
  <c r="G1359" i="13" s="1"/>
  <c r="D1357" i="13" a="1"/>
  <c r="D1357" i="13" s="1"/>
  <c r="D1358" i="13" s="1"/>
  <c r="D1359" i="13" s="1"/>
  <c r="L1321" i="13" a="1"/>
  <c r="L1321" i="13" s="1"/>
  <c r="L1322" i="13" s="1"/>
  <c r="L1325" i="13" s="1"/>
  <c r="K1323" i="13" a="1"/>
  <c r="K1323" i="13" s="1"/>
  <c r="K1324" i="13" s="1"/>
  <c r="K1325" i="13" s="1"/>
  <c r="N1323" i="13" a="1"/>
  <c r="N1323" i="13" s="1"/>
  <c r="N1324" i="13" s="1"/>
  <c r="N1325" i="13" s="1"/>
  <c r="HT49" i="9" a="1"/>
  <c r="HT49" i="9" s="1"/>
  <c r="J1323" i="13" a="1"/>
  <c r="J1323" i="13" s="1"/>
  <c r="J1324" i="13" s="1"/>
  <c r="J1325" i="13" s="1"/>
  <c r="O1321" i="13" a="1"/>
  <c r="O1321" i="13" s="1"/>
  <c r="O1322" i="13" s="1"/>
  <c r="O1325" i="13" s="1"/>
  <c r="FO49" i="9" a="1"/>
  <c r="FO49" i="9" s="1"/>
  <c r="CQ49" i="9" a="1"/>
  <c r="CQ49" i="9" s="1"/>
  <c r="N1355" i="13" a="1"/>
  <c r="N1355" i="13" s="1"/>
  <c r="N1356" i="13" s="1"/>
  <c r="N1359" i="13" s="1"/>
  <c r="EV49" i="9" a="1"/>
  <c r="EV49" i="9" s="1"/>
  <c r="F1321" i="13" a="1"/>
  <c r="F1321" i="13" s="1"/>
  <c r="F1322" i="13" s="1"/>
  <c r="F1325" i="13" s="1"/>
  <c r="H1357" i="13" a="1"/>
  <c r="H1357" i="13" s="1"/>
  <c r="H1358" i="13" s="1"/>
  <c r="H1359" i="13" s="1"/>
  <c r="F1357" i="13" a="1"/>
  <c r="F1357" i="13" s="1"/>
  <c r="F1358" i="13" s="1"/>
  <c r="F1359" i="13" s="1"/>
  <c r="L1357" i="13" a="1"/>
  <c r="L1357" i="13" s="1"/>
  <c r="L1358" i="13" s="1"/>
  <c r="L1359" i="13" s="1"/>
  <c r="GH48" i="9" a="1"/>
  <c r="GH48" i="9" s="1"/>
  <c r="GJ48" i="9" s="1"/>
  <c r="P61" i="27" a="1"/>
  <c r="P61" i="27" s="1"/>
  <c r="O1378" i="13" a="1"/>
  <c r="O1378" i="13" s="1"/>
  <c r="O1391" i="13" s="1" a="1"/>
  <c r="O1391" i="13" s="1"/>
  <c r="O1392" i="13" s="1"/>
  <c r="HY51" i="9" a="1"/>
  <c r="HY51" i="9" s="1"/>
  <c r="HS51" i="9" a="1"/>
  <c r="HS51" i="9" s="1"/>
  <c r="HA49" i="9" a="1"/>
  <c r="HA49" i="9" s="1"/>
  <c r="O61" i="27" a="1"/>
  <c r="O61" i="27" s="1"/>
  <c r="N1378" i="13" a="1"/>
  <c r="N1378" i="13" s="1"/>
  <c r="N1391" i="13" s="1" a="1"/>
  <c r="N1391" i="13" s="1"/>
  <c r="N1392" i="13" s="1"/>
  <c r="GZ51" i="9" a="1"/>
  <c r="GZ51" i="9" s="1"/>
  <c r="HF51" i="9" a="1"/>
  <c r="HF51" i="9" s="1"/>
  <c r="N61" i="27" a="1"/>
  <c r="N61" i="27" s="1"/>
  <c r="M1344" i="13" a="1"/>
  <c r="M1344" i="13" s="1"/>
  <c r="M1357" i="13" s="1" a="1"/>
  <c r="M1357" i="13" s="1"/>
  <c r="M1358" i="13" s="1"/>
  <c r="GG50" i="9" a="1"/>
  <c r="GG50" i="9" s="1"/>
  <c r="GM50" i="9" a="1"/>
  <c r="GM50" i="9" s="1"/>
  <c r="M61" i="27" a="1"/>
  <c r="M61" i="27" s="1"/>
  <c r="L1378" i="13" a="1"/>
  <c r="L1378" i="13" s="1"/>
  <c r="L1391" i="13" s="1" a="1"/>
  <c r="L1391" i="13" s="1"/>
  <c r="L1392" i="13" s="1"/>
  <c r="FT51" i="9" a="1"/>
  <c r="FT51" i="9" s="1"/>
  <c r="FN51" i="9" a="1"/>
  <c r="FN51" i="9" s="1"/>
  <c r="L61" i="27" a="1"/>
  <c r="L61" i="27" s="1"/>
  <c r="K1344" i="13" a="1"/>
  <c r="K1344" i="13" s="1"/>
  <c r="K1355" i="13" s="1" a="1"/>
  <c r="K1355" i="13" s="1"/>
  <c r="K1356" i="13" s="1"/>
  <c r="EU50" i="9" a="1"/>
  <c r="EU50" i="9" s="1"/>
  <c r="FA50" i="9" a="1"/>
  <c r="FA50" i="9" s="1"/>
  <c r="J1344" i="13" a="1"/>
  <c r="J1344" i="13" s="1"/>
  <c r="J1357" i="13" s="1" a="1"/>
  <c r="J1357" i="13" s="1"/>
  <c r="J1358" i="13" s="1"/>
  <c r="EB50" i="9" a="1"/>
  <c r="EB50" i="9" s="1"/>
  <c r="EH50" i="9" a="1"/>
  <c r="EH50" i="9" s="1"/>
  <c r="K61" i="27" a="1"/>
  <c r="K61" i="27" s="1"/>
  <c r="DJ49" i="9" a="1"/>
  <c r="DJ49" i="9" s="1"/>
  <c r="F1258" i="13"/>
  <c r="F1260" i="13"/>
  <c r="H1378" i="13" a="1"/>
  <c r="H1378" i="13" s="1"/>
  <c r="H1389" i="13" s="1" a="1"/>
  <c r="H1389" i="13" s="1"/>
  <c r="H1390" i="13" s="1"/>
  <c r="CP51" i="9" a="1"/>
  <c r="CP51" i="9" s="1"/>
  <c r="CV51" i="9" a="1"/>
  <c r="CV51" i="9" s="1"/>
  <c r="E1321" i="13" a="1"/>
  <c r="E1321" i="13" s="1"/>
  <c r="E1322" i="13" s="1"/>
  <c r="E1325" i="13" s="1"/>
  <c r="BX49" i="9" a="1"/>
  <c r="BX49" i="9" s="1"/>
  <c r="G62" i="27" a="1"/>
  <c r="G62" i="27" s="1"/>
  <c r="AL48" i="9" a="1"/>
  <c r="AL48" i="9" s="1"/>
  <c r="F1378" i="13" a="1"/>
  <c r="F1378" i="13" s="1"/>
  <c r="F1389" i="13" s="1" a="1"/>
  <c r="F1389" i="13" s="1"/>
  <c r="F1390" i="13" s="1"/>
  <c r="BD51" i="9" a="1"/>
  <c r="BD51" i="9" s="1"/>
  <c r="BJ51" i="9" a="1"/>
  <c r="BJ51" i="9" s="1"/>
  <c r="G61" i="27" a="1"/>
  <c r="G61" i="27" s="1"/>
  <c r="F61" i="27" a="1"/>
  <c r="F61" i="27" s="1"/>
  <c r="E1344" i="13" a="1"/>
  <c r="E1344" i="13" s="1"/>
  <c r="E1357" i="13" s="1" a="1"/>
  <c r="E1357" i="13" s="1"/>
  <c r="E1358" i="13" s="1"/>
  <c r="AK50" i="9" a="1"/>
  <c r="AK50" i="9" s="1"/>
  <c r="AQ50" i="9" a="1"/>
  <c r="AQ50" i="9" s="1"/>
  <c r="AL49" i="9" a="1"/>
  <c r="AL49" i="9" s="1"/>
  <c r="Q51" i="9" a="1"/>
  <c r="Q51" i="9" s="1"/>
  <c r="S48" i="9" a="1"/>
  <c r="S48" i="9" s="1"/>
  <c r="K575" i="10"/>
  <c r="K1376" i="13" s="1" a="1"/>
  <c r="K1376" i="13" s="1"/>
  <c r="K1381" i="13" s="1" a="1"/>
  <c r="K1381" i="13" s="1"/>
  <c r="K1382" i="13" s="1"/>
  <c r="K577" i="10"/>
  <c r="IN43" i="9"/>
  <c r="IO43" i="9" s="1"/>
  <c r="J576" i="10"/>
  <c r="J1377" i="13" s="1" a="1"/>
  <c r="J1377" i="13" s="1"/>
  <c r="J1384" i="13" s="1" a="1"/>
  <c r="J1384" i="13" s="1"/>
  <c r="J1385" i="13" s="1"/>
  <c r="D576" i="10"/>
  <c r="D1377" i="13" s="1" a="1"/>
  <c r="D1377" i="13" s="1"/>
  <c r="D575" i="10"/>
  <c r="P562" i="10"/>
  <c r="P561" i="10"/>
  <c r="E577" i="10"/>
  <c r="E575" i="10"/>
  <c r="E1376" i="13" s="1" a="1"/>
  <c r="E1376" i="13" s="1"/>
  <c r="E1381" i="13" s="1" a="1"/>
  <c r="E1381" i="13" s="1"/>
  <c r="E1382" i="13" s="1"/>
  <c r="J575" i="10"/>
  <c r="J1376" i="13" s="1" a="1"/>
  <c r="J1376" i="13" s="1"/>
  <c r="J1379" i="13" s="1" a="1"/>
  <c r="J1379" i="13" s="1"/>
  <c r="J1380" i="13" s="1"/>
  <c r="L1354" i="13"/>
  <c r="F588" i="10" a="1"/>
  <c r="F588" i="10" s="1"/>
  <c r="F591" i="10" s="1"/>
  <c r="N1349" i="13"/>
  <c r="D588" i="10" a="1"/>
  <c r="D588" i="10" s="1"/>
  <c r="D589" i="10" s="1"/>
  <c r="G1328" i="13"/>
  <c r="J1315" i="13"/>
  <c r="F1354" i="13"/>
  <c r="L1349" i="13"/>
  <c r="D1320" i="13"/>
  <c r="I1354" i="13"/>
  <c r="M1315" i="13"/>
  <c r="I1349" i="13"/>
  <c r="F1349" i="13"/>
  <c r="J1349" i="13"/>
  <c r="M1354" i="13"/>
  <c r="F1320" i="13"/>
  <c r="E1352" i="13" a="1"/>
  <c r="E1352" i="13" s="1"/>
  <c r="E1353" i="13" s="1"/>
  <c r="E1354" i="13" s="1"/>
  <c r="E1347" i="13" a="1"/>
  <c r="E1347" i="13" s="1"/>
  <c r="E1348" i="13" s="1"/>
  <c r="E1349" i="13" s="1"/>
  <c r="K1349" i="13"/>
  <c r="E591" i="10"/>
  <c r="E589" i="10"/>
  <c r="E1410" i="13" s="1" a="1"/>
  <c r="E1410" i="13" s="1"/>
  <c r="E590" i="10"/>
  <c r="E1411" i="13" s="1" a="1"/>
  <c r="E1411" i="13" s="1"/>
  <c r="J590" i="10"/>
  <c r="J1411" i="13" s="1" a="1"/>
  <c r="J1411" i="13" s="1"/>
  <c r="J591" i="10"/>
  <c r="J589" i="10"/>
  <c r="J1410" i="13" s="1" a="1"/>
  <c r="J1410" i="13" s="1"/>
  <c r="L591" i="10"/>
  <c r="L590" i="10"/>
  <c r="L1411" i="13" s="1" a="1"/>
  <c r="L1411" i="13" s="1"/>
  <c r="L589" i="10"/>
  <c r="L1410" i="13" s="1" a="1"/>
  <c r="L1410" i="13" s="1"/>
  <c r="N591" i="10"/>
  <c r="N589" i="10"/>
  <c r="N1410" i="13" s="1" a="1"/>
  <c r="N1410" i="13" s="1"/>
  <c r="N590" i="10"/>
  <c r="N1411" i="13" s="1" a="1"/>
  <c r="N1411" i="13" s="1"/>
  <c r="G589" i="10"/>
  <c r="G1410" i="13" s="1" a="1"/>
  <c r="G1410" i="13" s="1"/>
  <c r="G590" i="10"/>
  <c r="G1411" i="13" s="1" a="1"/>
  <c r="G1411" i="13" s="1"/>
  <c r="G591" i="10"/>
  <c r="I588" i="10" a="1"/>
  <c r="I588" i="10" s="1"/>
  <c r="D1347" i="13" a="1"/>
  <c r="D1347" i="13" s="1"/>
  <c r="D1348" i="13" s="1"/>
  <c r="D1345" i="13" a="1"/>
  <c r="D1345" i="13" s="1"/>
  <c r="D1346" i="13" s="1"/>
  <c r="J1320" i="13"/>
  <c r="EC49" i="9" s="1" a="1"/>
  <c r="EC49" i="9" s="1"/>
  <c r="G1349" i="13"/>
  <c r="G1354" i="13"/>
  <c r="L1379" i="13" a="1"/>
  <c r="L1379" i="13" s="1"/>
  <c r="L1380" i="13" s="1"/>
  <c r="L1381" i="13" a="1"/>
  <c r="L1381" i="13" s="1"/>
  <c r="L1382" i="13" s="1"/>
  <c r="H1381" i="13" a="1"/>
  <c r="H1381" i="13" s="1"/>
  <c r="H1382" i="13" s="1"/>
  <c r="H1379" i="13" a="1"/>
  <c r="H1379" i="13" s="1"/>
  <c r="H1380" i="13" s="1"/>
  <c r="P588" i="10" a="1"/>
  <c r="P588" i="10" s="1"/>
  <c r="D1352" i="13" a="1"/>
  <c r="D1352" i="13" s="1"/>
  <c r="D1353" i="13" s="1"/>
  <c r="D1350" i="13" a="1"/>
  <c r="D1350" i="13" s="1"/>
  <c r="D1351" i="13" s="1"/>
  <c r="D1315" i="13"/>
  <c r="O1349" i="13"/>
  <c r="I1381" i="13" a="1"/>
  <c r="I1381" i="13" s="1"/>
  <c r="I1382" i="13" s="1"/>
  <c r="I1379" i="13" a="1"/>
  <c r="I1379" i="13" s="1"/>
  <c r="I1380" i="13" s="1"/>
  <c r="G1386" i="13" a="1"/>
  <c r="G1386" i="13" s="1"/>
  <c r="G1387" i="13" s="1"/>
  <c r="G1384" i="13" a="1"/>
  <c r="G1384" i="13" s="1"/>
  <c r="G1385" i="13" s="1"/>
  <c r="F1384" i="13" a="1"/>
  <c r="F1384" i="13" s="1"/>
  <c r="F1385" i="13" s="1"/>
  <c r="F1386" i="13" a="1"/>
  <c r="F1386" i="13" s="1"/>
  <c r="F1387" i="13" s="1"/>
  <c r="H1354" i="13"/>
  <c r="K1384" i="13" a="1"/>
  <c r="K1384" i="13" s="1"/>
  <c r="K1385" i="13" s="1"/>
  <c r="K1386" i="13" a="1"/>
  <c r="K1386" i="13" s="1"/>
  <c r="K1387" i="13" s="1"/>
  <c r="O1386" i="13" a="1"/>
  <c r="O1386" i="13" s="1"/>
  <c r="O1387" i="13" s="1"/>
  <c r="O1384" i="13" a="1"/>
  <c r="O1384" i="13" s="1"/>
  <c r="O1385" i="13" s="1"/>
  <c r="G1379" i="13" a="1"/>
  <c r="G1379" i="13" s="1"/>
  <c r="G1380" i="13" s="1"/>
  <c r="G1381" i="13" a="1"/>
  <c r="G1381" i="13" s="1"/>
  <c r="G1382" i="13" s="1"/>
  <c r="F1381" i="13" a="1"/>
  <c r="F1381" i="13" s="1"/>
  <c r="F1382" i="13" s="1"/>
  <c r="F1379" i="13" a="1"/>
  <c r="F1379" i="13" s="1"/>
  <c r="F1380" i="13" s="1"/>
  <c r="O591" i="10"/>
  <c r="O589" i="10"/>
  <c r="O1410" i="13" s="1" a="1"/>
  <c r="O1410" i="13" s="1"/>
  <c r="O590" i="10"/>
  <c r="O1411" i="13" s="1" a="1"/>
  <c r="O1411" i="13" s="1"/>
  <c r="M588" i="10" a="1"/>
  <c r="M588" i="10" s="1"/>
  <c r="N1354" i="13"/>
  <c r="E1384" i="13" a="1"/>
  <c r="E1384" i="13" s="1"/>
  <c r="E1385" i="13" s="1"/>
  <c r="E1386" i="13" a="1"/>
  <c r="E1386" i="13" s="1"/>
  <c r="E1387" i="13" s="1"/>
  <c r="M1320" i="13"/>
  <c r="O1381" i="13" a="1"/>
  <c r="O1381" i="13" s="1"/>
  <c r="O1382" i="13" s="1"/>
  <c r="O1379" i="13" a="1"/>
  <c r="O1379" i="13" s="1"/>
  <c r="O1380" i="13" s="1"/>
  <c r="N1384" i="13" a="1"/>
  <c r="N1384" i="13" s="1"/>
  <c r="N1385" i="13" s="1"/>
  <c r="N1386" i="13" a="1"/>
  <c r="N1386" i="13" s="1"/>
  <c r="N1387" i="13" s="1"/>
  <c r="O1354" i="13"/>
  <c r="F1315" i="13"/>
  <c r="M1349" i="13"/>
  <c r="H1349" i="13"/>
  <c r="N1381" i="13" a="1"/>
  <c r="N1381" i="13" s="1"/>
  <c r="N1382" i="13" s="1"/>
  <c r="N1379" i="13" a="1"/>
  <c r="N1379" i="13" s="1"/>
  <c r="N1380" i="13" s="1"/>
  <c r="M1381" i="13" a="1"/>
  <c r="M1381" i="13" s="1"/>
  <c r="M1382" i="13" s="1"/>
  <c r="M1379" i="13" a="1"/>
  <c r="M1379" i="13" s="1"/>
  <c r="M1380" i="13" s="1"/>
  <c r="K588" i="10" a="1"/>
  <c r="K588" i="10" s="1"/>
  <c r="I1384" i="13" a="1"/>
  <c r="I1384" i="13" s="1"/>
  <c r="I1385" i="13" s="1"/>
  <c r="I1386" i="13" a="1"/>
  <c r="I1386" i="13" s="1"/>
  <c r="I1387" i="13" s="1"/>
  <c r="H588" i="10" a="1"/>
  <c r="H588" i="10" s="1"/>
  <c r="J1354" i="13"/>
  <c r="D1376" i="13" a="1"/>
  <c r="D1376" i="13" s="1"/>
  <c r="K1354" i="13"/>
  <c r="L1386" i="13" a="1"/>
  <c r="L1386" i="13" s="1"/>
  <c r="L1387" i="13" s="1"/>
  <c r="L1384" i="13" a="1"/>
  <c r="L1384" i="13" s="1"/>
  <c r="L1385" i="13" s="1"/>
  <c r="H1386" i="13" a="1"/>
  <c r="H1386" i="13" s="1"/>
  <c r="H1387" i="13" s="1"/>
  <c r="H1384" i="13" a="1"/>
  <c r="H1384" i="13" s="1"/>
  <c r="H1385" i="13" s="1"/>
  <c r="M1384" i="13" a="1"/>
  <c r="M1384" i="13" s="1"/>
  <c r="M1385" i="13" s="1"/>
  <c r="M1386" i="13" a="1"/>
  <c r="M1386" i="13" s="1"/>
  <c r="M1387" i="13" s="1"/>
  <c r="D1326" i="13"/>
  <c r="I1328" i="13"/>
  <c r="E1294" i="13"/>
  <c r="G1292" i="13"/>
  <c r="H1328" i="13"/>
  <c r="F1294" i="13"/>
  <c r="M1325" i="13"/>
  <c r="I578" i="10"/>
  <c r="G578" i="10"/>
  <c r="M578" i="10"/>
  <c r="BS46" i="9"/>
  <c r="BL46" i="9" a="1"/>
  <c r="BL46" i="9" s="1"/>
  <c r="BL45" i="9" a="1"/>
  <c r="BL45" i="9" s="1"/>
  <c r="BT45" i="9" s="1"/>
  <c r="H58" i="24" s="1" a="1"/>
  <c r="H58" i="24" s="1"/>
  <c r="DQ46" i="9" a="1"/>
  <c r="DQ46" i="9" s="1"/>
  <c r="DY46" i="9" s="1"/>
  <c r="K59" i="24" s="1" a="1"/>
  <c r="K59" i="24" s="1"/>
  <c r="FC46" i="9" a="1"/>
  <c r="FC46" i="9" s="1"/>
  <c r="FK46" i="9" s="1"/>
  <c r="M59" i="24" s="1" a="1"/>
  <c r="M59" i="24" s="1"/>
  <c r="ER45" i="9"/>
  <c r="L58" i="24" s="1" a="1"/>
  <c r="L58" i="24" s="1"/>
  <c r="AS46" i="9" a="1"/>
  <c r="AS46" i="9" s="1"/>
  <c r="BA46" i="9" s="1"/>
  <c r="G59" i="24" s="1" a="1"/>
  <c r="G59" i="24" s="1"/>
  <c r="EJ46" i="9" a="1"/>
  <c r="EJ46" i="9" s="1"/>
  <c r="ER46" i="9" s="1"/>
  <c r="L59" i="24" s="1" a="1"/>
  <c r="L59" i="24" s="1"/>
  <c r="CX46" i="9" a="1"/>
  <c r="CX46" i="9" s="1"/>
  <c r="DF46" i="9" s="1"/>
  <c r="J59" i="24" s="1" a="1"/>
  <c r="J59" i="24" s="1"/>
  <c r="AS45" i="9" a="1"/>
  <c r="AS45" i="9" s="1"/>
  <c r="BA45" i="9" s="1"/>
  <c r="G58" i="24" s="1" a="1"/>
  <c r="G58" i="24" s="1"/>
  <c r="CD47" i="9"/>
  <c r="CL47" i="9" s="1"/>
  <c r="Z45" i="9" a="1"/>
  <c r="Z45" i="9" s="1"/>
  <c r="AH45" i="9" s="1"/>
  <c r="F58" i="24" s="1" a="1"/>
  <c r="F58" i="24" s="1"/>
  <c r="IL45" i="9"/>
  <c r="IM45" i="9" s="1"/>
  <c r="IA46" i="9" a="1"/>
  <c r="IA46" i="9" s="1"/>
  <c r="II46" i="9" s="1"/>
  <c r="Q59" i="24" s="1" a="1"/>
  <c r="Q59" i="24" s="1"/>
  <c r="IN44" i="9"/>
  <c r="IO44" i="9" s="1"/>
  <c r="IJ44" i="9"/>
  <c r="IK44" i="9" s="1"/>
  <c r="GO46" i="9" a="1"/>
  <c r="GO46" i="9" s="1"/>
  <c r="GW46" i="9" s="1"/>
  <c r="O59" i="24" s="1" a="1"/>
  <c r="O59" i="24" s="1"/>
  <c r="DY45" i="9"/>
  <c r="K58" i="24" s="1" a="1"/>
  <c r="K58" i="24" s="1"/>
  <c r="FB47" i="9"/>
  <c r="FJ47" i="9" s="1"/>
  <c r="CW47" i="9"/>
  <c r="DE47" i="9" s="1"/>
  <c r="HG47" i="9"/>
  <c r="HO47" i="9" s="1"/>
  <c r="HH46" i="9" a="1"/>
  <c r="HH46" i="9" s="1"/>
  <c r="HP46" i="9" s="1"/>
  <c r="P59" i="24" s="1" a="1"/>
  <c r="P59" i="24" s="1"/>
  <c r="AR47" i="9"/>
  <c r="AZ47" i="9" s="1"/>
  <c r="V48" i="9"/>
  <c r="W46" i="9" a="1"/>
  <c r="W46" i="9" s="1"/>
  <c r="Y46" i="9" s="1"/>
  <c r="AG46" i="9" s="1"/>
  <c r="HZ47" i="9"/>
  <c r="IH47" i="9" s="1"/>
  <c r="FU46" i="9"/>
  <c r="GC46" i="9" s="1"/>
  <c r="S47" i="9" a="1"/>
  <c r="S47" i="9" s="1"/>
  <c r="U47" i="9" s="1"/>
  <c r="P601" i="10"/>
  <c r="P564" i="10"/>
  <c r="L592" i="10"/>
  <c r="N592" i="10"/>
  <c r="G592" i="10"/>
  <c r="E592" i="10"/>
  <c r="J592" i="10"/>
  <c r="O592" i="10"/>
  <c r="B635" i="10" a="1"/>
  <c r="B635" i="10" s="1"/>
  <c r="A635" i="10" a="1"/>
  <c r="A635" i="10" s="1"/>
  <c r="J598" i="10"/>
  <c r="K601" i="10"/>
  <c r="K598" i="10"/>
  <c r="J601" i="10"/>
  <c r="I586" i="10"/>
  <c r="DH52" i="9" s="1" a="1"/>
  <c r="DH52" i="9" s="1"/>
  <c r="K578" i="10"/>
  <c r="E586" i="10"/>
  <c r="AJ52" i="9" s="1" a="1"/>
  <c r="AJ52" i="9" s="1"/>
  <c r="N598" i="10"/>
  <c r="O601" i="10"/>
  <c r="O598" i="10"/>
  <c r="L586" i="10"/>
  <c r="FM52" i="9" s="1" a="1"/>
  <c r="FM52" i="9" s="1"/>
  <c r="H586" i="10"/>
  <c r="CO52" i="9" s="1" a="1"/>
  <c r="CO52" i="9" s="1"/>
  <c r="D578" i="10"/>
  <c r="X51" i="9" s="1" a="1"/>
  <c r="X51" i="9" s="1"/>
  <c r="H598" i="10"/>
  <c r="E598" i="10"/>
  <c r="H601" i="10"/>
  <c r="O586" i="10"/>
  <c r="HR52" i="9" s="1" a="1"/>
  <c r="HR52" i="9" s="1"/>
  <c r="E601" i="10"/>
  <c r="F586" i="10"/>
  <c r="BC52" i="9" s="1" a="1"/>
  <c r="BC52" i="9" s="1"/>
  <c r="I599" i="10"/>
  <c r="I602" i="10" s="1" a="1"/>
  <c r="I602" i="10" s="1"/>
  <c r="L599" i="10"/>
  <c r="L602" i="10" s="1" a="1"/>
  <c r="L602" i="10" s="1"/>
  <c r="P599" i="10"/>
  <c r="P600" i="10" s="1"/>
  <c r="B600" i="10"/>
  <c r="B601" i="10" s="1"/>
  <c r="B602" i="10" s="1"/>
  <c r="B603" i="10" s="1"/>
  <c r="B604" i="10" s="1"/>
  <c r="B605" i="10" s="1"/>
  <c r="B606" i="10" s="1"/>
  <c r="H599" i="10"/>
  <c r="K599" i="10"/>
  <c r="F599" i="10"/>
  <c r="F602" i="10" s="1" a="1"/>
  <c r="F602" i="10" s="1"/>
  <c r="M599" i="10"/>
  <c r="M602" i="10" s="1" a="1"/>
  <c r="M602" i="10" s="1"/>
  <c r="E599" i="10"/>
  <c r="J599" i="10"/>
  <c r="N599" i="10"/>
  <c r="D599" i="10"/>
  <c r="D602" i="10" s="1" a="1"/>
  <c r="D602" i="10" s="1"/>
  <c r="G599" i="10"/>
  <c r="O599" i="10"/>
  <c r="J586" i="10"/>
  <c r="EA52" i="9" s="1" a="1"/>
  <c r="EA52" i="9" s="1"/>
  <c r="G598" i="10"/>
  <c r="M598" i="10"/>
  <c r="M586" i="10"/>
  <c r="GF52" i="9" s="1" a="1"/>
  <c r="GF52" i="9" s="1"/>
  <c r="G621" i="10"/>
  <c r="B622" i="10"/>
  <c r="N621" i="10"/>
  <c r="M621" i="10"/>
  <c r="D621" i="10"/>
  <c r="E621" i="10"/>
  <c r="H621" i="10"/>
  <c r="K621" i="10"/>
  <c r="J621" i="10"/>
  <c r="I621" i="10"/>
  <c r="O621" i="10"/>
  <c r="P621" i="10"/>
  <c r="L621" i="10"/>
  <c r="F621" i="10"/>
  <c r="N586" i="10"/>
  <c r="GY52" i="9" s="1" a="1"/>
  <c r="GY52" i="9" s="1"/>
  <c r="I598" i="10"/>
  <c r="J578" i="10"/>
  <c r="N601" i="10"/>
  <c r="G586" i="10"/>
  <c r="BV52" i="9" s="1" a="1"/>
  <c r="BV52" i="9" s="1"/>
  <c r="L598" i="10"/>
  <c r="F598" i="10"/>
  <c r="E578" i="10"/>
  <c r="G601" i="10"/>
  <c r="D598" i="10"/>
  <c r="K586" i="10"/>
  <c r="ET52" i="9" s="1" a="1"/>
  <c r="ET52" i="9" s="1"/>
  <c r="B609" i="10"/>
  <c r="B610" i="10" s="1"/>
  <c r="B611" i="10" s="1"/>
  <c r="B612" i="10"/>
  <c r="B613" i="10" s="1"/>
  <c r="P608" i="10"/>
  <c r="P612" i="10" s="1"/>
  <c r="I608" i="10"/>
  <c r="I615" i="10" s="1"/>
  <c r="G608" i="10"/>
  <c r="G615" i="10" s="1"/>
  <c r="L608" i="10"/>
  <c r="O608" i="10"/>
  <c r="O615" i="10" s="1"/>
  <c r="J608" i="10"/>
  <c r="J615" i="10" s="1"/>
  <c r="F608" i="10"/>
  <c r="E608" i="10"/>
  <c r="D608" i="10"/>
  <c r="M608" i="10"/>
  <c r="M615" i="10" s="1"/>
  <c r="K608" i="10"/>
  <c r="H608" i="10"/>
  <c r="N608" i="10"/>
  <c r="N615" i="10" s="1"/>
  <c r="R649" i="10"/>
  <c r="J1386" i="13" l="1" a="1"/>
  <c r="J1386" i="13" s="1"/>
  <c r="J1387" i="13" s="1"/>
  <c r="G1296" i="13"/>
  <c r="CB48" i="9" s="1" a="1"/>
  <c r="CB48" i="9" s="1"/>
  <c r="D1330" i="13"/>
  <c r="G1330" i="13"/>
  <c r="CB49" i="9" s="1" a="1"/>
  <c r="CB49" i="9" s="1"/>
  <c r="H1330" i="13"/>
  <c r="CU49" i="9" s="1" a="1"/>
  <c r="CU49" i="9" s="1"/>
  <c r="M1355" i="13" a="1"/>
  <c r="M1355" i="13" s="1"/>
  <c r="M1356" i="13" s="1"/>
  <c r="M1359" i="13" s="1"/>
  <c r="DL49" i="9"/>
  <c r="F1362" i="13"/>
  <c r="BF50" i="9" a="1"/>
  <c r="BF50" i="9" s="1"/>
  <c r="H1362" i="13"/>
  <c r="CR50" i="9" a="1"/>
  <c r="CR50" i="9" s="1"/>
  <c r="D1360" i="13"/>
  <c r="T50" i="9" a="1"/>
  <c r="T50" i="9" s="1"/>
  <c r="E62" i="25" s="1" a="1"/>
  <c r="E62" i="25" s="1"/>
  <c r="I1362" i="13"/>
  <c r="DK50" i="9" a="1"/>
  <c r="DK50" i="9" s="1"/>
  <c r="G1362" i="13"/>
  <c r="BY50" i="9" a="1"/>
  <c r="BY50" i="9" s="1"/>
  <c r="O1362" i="13"/>
  <c r="HU50" i="9" a="1"/>
  <c r="HU50" i="9" s="1"/>
  <c r="L1362" i="13"/>
  <c r="FP50" i="9" a="1"/>
  <c r="FP50" i="9" s="1"/>
  <c r="N1360" i="13"/>
  <c r="HB50" i="9" a="1"/>
  <c r="HB50" i="9" s="1"/>
  <c r="CE46" i="9" a="1"/>
  <c r="CE46" i="9" s="1"/>
  <c r="CM46" i="9" s="1"/>
  <c r="I59" i="24" s="1" a="1"/>
  <c r="I59" i="24" s="1"/>
  <c r="E1296" i="13"/>
  <c r="AP48" i="9" s="1" a="1"/>
  <c r="AP48" i="9" s="1"/>
  <c r="F1296" i="13"/>
  <c r="BI48" i="9" s="1" a="1"/>
  <c r="BI48" i="9" s="1"/>
  <c r="BK48" i="9" s="1"/>
  <c r="BS48" i="9" s="1"/>
  <c r="CS49" i="9"/>
  <c r="I1330" i="13"/>
  <c r="DN49" i="9" s="1" a="1"/>
  <c r="DN49" i="9" s="1"/>
  <c r="Q59" i="25"/>
  <c r="K1328" i="13"/>
  <c r="EW49" i="9" a="1"/>
  <c r="EW49" i="9" s="1"/>
  <c r="EX49" i="9" s="1"/>
  <c r="BZ49" i="9"/>
  <c r="M1328" i="13"/>
  <c r="GI49" i="9" a="1"/>
  <c r="GI49" i="9" s="1"/>
  <c r="E1326" i="13"/>
  <c r="AM49" i="9" a="1"/>
  <c r="AM49" i="9" s="1"/>
  <c r="AN49" i="9" s="1"/>
  <c r="F60" i="25" a="1"/>
  <c r="F60" i="25" s="1"/>
  <c r="AO48" i="9"/>
  <c r="L1326" i="13"/>
  <c r="FP49" i="9" a="1"/>
  <c r="FP49" i="9" s="1"/>
  <c r="FQ49" i="9" s="1"/>
  <c r="J61" i="25" a="1"/>
  <c r="J61" i="25" s="1"/>
  <c r="DM49" i="9"/>
  <c r="O1328" i="13"/>
  <c r="HU49" i="9" a="1"/>
  <c r="HU49" i="9" s="1"/>
  <c r="HV49" i="9" s="1"/>
  <c r="J1326" i="13"/>
  <c r="ED49" i="9" a="1"/>
  <c r="ED49" i="9" s="1"/>
  <c r="EE49" i="9" s="1"/>
  <c r="H60" i="25" a="1"/>
  <c r="H60" i="25" s="1"/>
  <c r="CA48" i="9"/>
  <c r="H61" i="25" a="1"/>
  <c r="H61" i="25" s="1"/>
  <c r="CA49" i="9"/>
  <c r="G60" i="25" a="1"/>
  <c r="G60" i="25" s="1"/>
  <c r="BH48" i="9"/>
  <c r="AN48" i="9"/>
  <c r="F1326" i="13"/>
  <c r="BF49" i="9" a="1"/>
  <c r="BF49" i="9" s="1"/>
  <c r="N1328" i="13"/>
  <c r="HB49" i="9" a="1"/>
  <c r="HB49" i="9" s="1"/>
  <c r="I61" i="25" a="1"/>
  <c r="I61" i="25" s="1"/>
  <c r="CT49" i="9"/>
  <c r="J1355" i="13" a="1"/>
  <c r="J1355" i="13" s="1"/>
  <c r="J1356" i="13" s="1"/>
  <c r="J1359" i="13" s="1"/>
  <c r="F1391" i="13" a="1"/>
  <c r="F1391" i="13" s="1"/>
  <c r="F1392" i="13" s="1"/>
  <c r="F1393" i="13" s="1"/>
  <c r="O1389" i="13" a="1"/>
  <c r="O1389" i="13" s="1"/>
  <c r="O1390" i="13" s="1"/>
  <c r="O1393" i="13" s="1"/>
  <c r="L1389" i="13" a="1"/>
  <c r="L1389" i="13" s="1"/>
  <c r="L1390" i="13" s="1"/>
  <c r="L1393" i="13" s="1"/>
  <c r="EC50" i="9" a="1"/>
  <c r="EC50" i="9" s="1"/>
  <c r="E1355" i="13" a="1"/>
  <c r="E1355" i="13" s="1"/>
  <c r="E1356" i="13" s="1"/>
  <c r="E1359" i="13" s="1"/>
  <c r="HT50" i="9" a="1"/>
  <c r="HT50" i="9" s="1"/>
  <c r="K1357" i="13" a="1"/>
  <c r="K1357" i="13" s="1"/>
  <c r="K1358" i="13" s="1"/>
  <c r="K1359" i="13" s="1"/>
  <c r="EV50" i="9" a="1"/>
  <c r="EV50" i="9" s="1"/>
  <c r="N1389" i="13" a="1"/>
  <c r="N1389" i="13" s="1"/>
  <c r="N1390" i="13" s="1"/>
  <c r="N1393" i="13" s="1"/>
  <c r="GH49" i="9" a="1"/>
  <c r="GH49" i="9" s="1"/>
  <c r="H1391" i="13" a="1"/>
  <c r="H1391" i="13" s="1"/>
  <c r="H1392" i="13" s="1"/>
  <c r="H1393" i="13" s="1"/>
  <c r="HA50" i="9" a="1"/>
  <c r="HA50" i="9" s="1"/>
  <c r="O1412" i="13" a="1"/>
  <c r="O1412" i="13" s="1"/>
  <c r="O1423" i="13" s="1" a="1"/>
  <c r="O1423" i="13" s="1"/>
  <c r="O1424" i="13" s="1"/>
  <c r="HS52" i="9" a="1"/>
  <c r="HS52" i="9" s="1"/>
  <c r="HY52" i="9" a="1"/>
  <c r="HY52" i="9" s="1"/>
  <c r="N1412" i="13" a="1"/>
  <c r="N1412" i="13" s="1"/>
  <c r="N1423" i="13" s="1" a="1"/>
  <c r="N1423" i="13" s="1"/>
  <c r="N1424" i="13" s="1"/>
  <c r="GZ52" i="9" a="1"/>
  <c r="GZ52" i="9" s="1"/>
  <c r="HF52" i="9" a="1"/>
  <c r="HF52" i="9" s="1"/>
  <c r="M1378" i="13" a="1"/>
  <c r="M1378" i="13" s="1"/>
  <c r="M1391" i="13" s="1" a="1"/>
  <c r="M1391" i="13" s="1"/>
  <c r="M1392" i="13" s="1"/>
  <c r="GG51" i="9" a="1"/>
  <c r="GG51" i="9" s="1"/>
  <c r="N63" i="27" s="1" a="1"/>
  <c r="N63" i="27" s="1"/>
  <c r="GM51" i="9" a="1"/>
  <c r="GM51" i="9" s="1"/>
  <c r="BX50" i="9" a="1"/>
  <c r="BX50" i="9" s="1"/>
  <c r="N62" i="27" a="1"/>
  <c r="N62" i="27" s="1"/>
  <c r="GH50" i="9" a="1"/>
  <c r="GH50" i="9" s="1"/>
  <c r="L1412" i="13" a="1"/>
  <c r="L1412" i="13" s="1"/>
  <c r="L1423" i="13" s="1" a="1"/>
  <c r="L1423" i="13" s="1"/>
  <c r="L1424" i="13" s="1"/>
  <c r="FT52" i="9" a="1"/>
  <c r="FT52" i="9" s="1"/>
  <c r="FN52" i="9" a="1"/>
  <c r="FN52" i="9" s="1"/>
  <c r="FO50" i="9" a="1"/>
  <c r="FO50" i="9" s="1"/>
  <c r="L62" i="27" a="1"/>
  <c r="L62" i="27" s="1"/>
  <c r="K1378" i="13" a="1"/>
  <c r="K1378" i="13" s="1"/>
  <c r="K1391" i="13" s="1" a="1"/>
  <c r="K1391" i="13" s="1"/>
  <c r="K1392" i="13" s="1"/>
  <c r="EU51" i="9" a="1"/>
  <c r="EU51" i="9" s="1"/>
  <c r="L63" i="27" s="1" a="1"/>
  <c r="L63" i="27" s="1"/>
  <c r="FA51" i="9" a="1"/>
  <c r="FA51" i="9" s="1"/>
  <c r="J1378" i="13" a="1"/>
  <c r="J1378" i="13" s="1"/>
  <c r="J1391" i="13" s="1" a="1"/>
  <c r="J1391" i="13" s="1"/>
  <c r="J1392" i="13" s="1"/>
  <c r="EB51" i="9" a="1"/>
  <c r="EB51" i="9" s="1"/>
  <c r="K63" i="27" s="1" a="1"/>
  <c r="K63" i="27" s="1"/>
  <c r="EH51" i="9" a="1"/>
  <c r="EH51" i="9" s="1"/>
  <c r="J1412" i="13" a="1"/>
  <c r="J1412" i="13" s="1"/>
  <c r="J1423" i="13" s="1" a="1"/>
  <c r="J1423" i="13" s="1"/>
  <c r="J1424" i="13" s="1"/>
  <c r="EB52" i="9" a="1"/>
  <c r="EB52" i="9" s="1"/>
  <c r="EH52" i="9" a="1"/>
  <c r="EH52" i="9" s="1"/>
  <c r="K62" i="27" a="1"/>
  <c r="K62" i="27" s="1"/>
  <c r="F1262" i="13"/>
  <c r="BI47" i="9" s="1" a="1"/>
  <c r="BI47" i="9" s="1"/>
  <c r="BK47" i="9" s="1"/>
  <c r="BS47" i="9" s="1"/>
  <c r="I1378" i="13" a="1"/>
  <c r="I1378" i="13" s="1"/>
  <c r="I1389" i="13" s="1" a="1"/>
  <c r="I1389" i="13" s="1"/>
  <c r="I1390" i="13" s="1"/>
  <c r="DI51" i="9" a="1"/>
  <c r="DI51" i="9" s="1"/>
  <c r="J63" i="27" s="1" a="1"/>
  <c r="J63" i="27" s="1"/>
  <c r="DO51" i="9" a="1"/>
  <c r="DO51" i="9" s="1"/>
  <c r="DJ50" i="9" a="1"/>
  <c r="DJ50" i="9" s="1"/>
  <c r="CQ50" i="9" a="1"/>
  <c r="CQ50" i="9" s="1"/>
  <c r="G1412" i="13" a="1"/>
  <c r="G1412" i="13" s="1"/>
  <c r="G1423" i="13" s="1" a="1"/>
  <c r="G1423" i="13" s="1"/>
  <c r="G1424" i="13" s="1"/>
  <c r="CC52" i="9" a="1"/>
  <c r="CC52" i="9" s="1"/>
  <c r="BW52" i="9" a="1"/>
  <c r="BW52" i="9" s="1"/>
  <c r="G1378" i="13" a="1"/>
  <c r="G1378" i="13" s="1"/>
  <c r="G1391" i="13" s="1" a="1"/>
  <c r="G1391" i="13" s="1"/>
  <c r="G1392" i="13" s="1"/>
  <c r="BW51" i="9" a="1"/>
  <c r="BW51" i="9" s="1"/>
  <c r="H63" i="27" s="1" a="1"/>
  <c r="H63" i="27" s="1"/>
  <c r="CC51" i="9" a="1"/>
  <c r="CC51" i="9" s="1"/>
  <c r="AL50" i="9" a="1"/>
  <c r="AL50" i="9" s="1"/>
  <c r="BE49" i="9" a="1"/>
  <c r="BE49" i="9" s="1"/>
  <c r="BE50" i="9" a="1"/>
  <c r="BE50" i="9" s="1"/>
  <c r="E1412" i="13" a="1"/>
  <c r="E1412" i="13" s="1"/>
  <c r="E1423" i="13" s="1" a="1"/>
  <c r="E1423" i="13" s="1"/>
  <c r="E1424" i="13" s="1"/>
  <c r="AK52" i="9" a="1"/>
  <c r="AK52" i="9" s="1"/>
  <c r="F64" i="27" s="1" a="1"/>
  <c r="F64" i="27" s="1"/>
  <c r="AQ52" i="9" a="1"/>
  <c r="AQ52" i="9" s="1"/>
  <c r="E1378" i="13" a="1"/>
  <c r="E1378" i="13" s="1"/>
  <c r="E1391" i="13" s="1" a="1"/>
  <c r="E1391" i="13" s="1"/>
  <c r="E1392" i="13" s="1"/>
  <c r="AK51" i="9" a="1"/>
  <c r="AK51" i="9" s="1"/>
  <c r="F63" i="27" s="1" a="1"/>
  <c r="F63" i="27" s="1"/>
  <c r="AQ51" i="9" a="1"/>
  <c r="AQ51" i="9" s="1"/>
  <c r="F62" i="27" a="1"/>
  <c r="F62" i="27" s="1"/>
  <c r="D1378" i="13" a="1"/>
  <c r="D1378" i="13" s="1"/>
  <c r="D1391" i="13" s="1" a="1"/>
  <c r="D1391" i="13" s="1"/>
  <c r="D1392" i="13" s="1"/>
  <c r="R51" i="9" a="1"/>
  <c r="R51" i="9" s="1"/>
  <c r="E63" i="27" s="1" a="1"/>
  <c r="E63" i="27" s="1"/>
  <c r="D592" i="10"/>
  <c r="X52" i="9" s="1" a="1"/>
  <c r="X52" i="9" s="1"/>
  <c r="K1379" i="13" a="1"/>
  <c r="K1379" i="13" s="1"/>
  <c r="K1380" i="13" s="1"/>
  <c r="K1383" i="13" s="1"/>
  <c r="D590" i="10"/>
  <c r="D1411" i="13" s="1" a="1"/>
  <c r="D1411" i="13" s="1"/>
  <c r="P577" i="10"/>
  <c r="P576" i="10"/>
  <c r="F590" i="10"/>
  <c r="F1411" i="13" s="1" a="1"/>
  <c r="F1411" i="13" s="1"/>
  <c r="F1420" i="13" s="1" a="1"/>
  <c r="F1420" i="13" s="1"/>
  <c r="F1421" i="13" s="1"/>
  <c r="P575" i="10"/>
  <c r="D591" i="10"/>
  <c r="J1381" i="13" a="1"/>
  <c r="J1381" i="13" s="1"/>
  <c r="J1382" i="13" s="1"/>
  <c r="J1383" i="13" s="1"/>
  <c r="S49" i="9" a="1"/>
  <c r="S49" i="9" s="1"/>
  <c r="F589" i="10"/>
  <c r="F1410" i="13" s="1" a="1"/>
  <c r="F1410" i="13" s="1"/>
  <c r="F1415" i="13" s="1" a="1"/>
  <c r="F1415" i="13" s="1"/>
  <c r="F1416" i="13" s="1"/>
  <c r="E1379" i="13" a="1"/>
  <c r="E1379" i="13" s="1"/>
  <c r="E1380" i="13" s="1"/>
  <c r="E1383" i="13" s="1"/>
  <c r="G602" i="10" a="1"/>
  <c r="G602" i="10" s="1"/>
  <c r="G605" i="10" s="1"/>
  <c r="N1383" i="13"/>
  <c r="M1383" i="13"/>
  <c r="D1354" i="13"/>
  <c r="N1326" i="13"/>
  <c r="H1388" i="13"/>
  <c r="I1383" i="13"/>
  <c r="L1383" i="13"/>
  <c r="I1388" i="13"/>
  <c r="N1388" i="13"/>
  <c r="HA51" i="9" s="1" a="1"/>
  <c r="HA51" i="9" s="1"/>
  <c r="N602" i="10" a="1"/>
  <c r="N602" i="10" s="1"/>
  <c r="N603" i="10" s="1"/>
  <c r="N1444" i="13" s="1" a="1"/>
  <c r="N1444" i="13" s="1"/>
  <c r="P602" i="10" a="1"/>
  <c r="P602" i="10" s="1"/>
  <c r="G1388" i="13"/>
  <c r="I605" i="10"/>
  <c r="I603" i="10"/>
  <c r="I1444" i="13" s="1" a="1"/>
  <c r="I1444" i="13" s="1"/>
  <c r="I604" i="10"/>
  <c r="I1445" i="13" s="1" a="1"/>
  <c r="I1445" i="13" s="1"/>
  <c r="M604" i="10"/>
  <c r="M1445" i="13" s="1" a="1"/>
  <c r="M1445" i="13" s="1"/>
  <c r="M605" i="10"/>
  <c r="M603" i="10"/>
  <c r="M1444" i="13" s="1" a="1"/>
  <c r="M1444" i="13" s="1"/>
  <c r="F604" i="10"/>
  <c r="F1445" i="13" s="1" a="1"/>
  <c r="F1445" i="13" s="1"/>
  <c r="F605" i="10"/>
  <c r="F603" i="10"/>
  <c r="F1444" i="13" s="1" a="1"/>
  <c r="F1444" i="13" s="1"/>
  <c r="D604" i="10"/>
  <c r="D605" i="10"/>
  <c r="D603" i="10"/>
  <c r="L603" i="10"/>
  <c r="L1444" i="13" s="1" a="1"/>
  <c r="L1444" i="13" s="1"/>
  <c r="L604" i="10"/>
  <c r="L1445" i="13" s="1" a="1"/>
  <c r="L1445" i="13" s="1"/>
  <c r="L605" i="10"/>
  <c r="K590" i="10"/>
  <c r="K1411" i="13" s="1" a="1"/>
  <c r="K1411" i="13" s="1"/>
  <c r="K591" i="10"/>
  <c r="K589" i="10"/>
  <c r="K1410" i="13" s="1" a="1"/>
  <c r="K1410" i="13" s="1"/>
  <c r="J1388" i="13"/>
  <c r="O1418" i="13" a="1"/>
  <c r="O1418" i="13" s="1"/>
  <c r="O1419" i="13" s="1"/>
  <c r="O1420" i="13" a="1"/>
  <c r="O1420" i="13" s="1"/>
  <c r="O1421" i="13" s="1"/>
  <c r="I589" i="10"/>
  <c r="I1410" i="13" s="1" a="1"/>
  <c r="I1410" i="13" s="1"/>
  <c r="I590" i="10"/>
  <c r="I1411" i="13" s="1" a="1"/>
  <c r="I1411" i="13" s="1"/>
  <c r="I591" i="10"/>
  <c r="L1420" i="13" a="1"/>
  <c r="L1420" i="13" s="1"/>
  <c r="L1421" i="13" s="1"/>
  <c r="L1418" i="13" a="1"/>
  <c r="L1418" i="13" s="1"/>
  <c r="L1419" i="13" s="1"/>
  <c r="J602" i="10" a="1"/>
  <c r="J602" i="10" s="1"/>
  <c r="D1379" i="13" a="1"/>
  <c r="D1379" i="13" s="1"/>
  <c r="D1380" i="13" s="1"/>
  <c r="D1381" i="13" a="1"/>
  <c r="D1381" i="13" s="1"/>
  <c r="D1382" i="13" s="1"/>
  <c r="O1415" i="13" a="1"/>
  <c r="O1415" i="13" s="1"/>
  <c r="O1416" i="13" s="1"/>
  <c r="O1413" i="13" a="1"/>
  <c r="O1413" i="13" s="1"/>
  <c r="O1414" i="13" s="1"/>
  <c r="M1388" i="13"/>
  <c r="D1386" i="13" a="1"/>
  <c r="D1386" i="13" s="1"/>
  <c r="D1387" i="13" s="1"/>
  <c r="D1384" i="13" a="1"/>
  <c r="D1384" i="13" s="1"/>
  <c r="D1385" i="13" s="1"/>
  <c r="D1410" i="13" a="1"/>
  <c r="D1410" i="13" s="1"/>
  <c r="K1388" i="13"/>
  <c r="F1388" i="13"/>
  <c r="G1418" i="13" a="1"/>
  <c r="G1418" i="13" s="1"/>
  <c r="G1419" i="13" s="1"/>
  <c r="G1420" i="13" a="1"/>
  <c r="G1420" i="13" s="1"/>
  <c r="G1421" i="13" s="1"/>
  <c r="J1415" i="13" a="1"/>
  <c r="J1415" i="13" s="1"/>
  <c r="J1416" i="13" s="1"/>
  <c r="J1413" i="13" a="1"/>
  <c r="J1413" i="13" s="1"/>
  <c r="J1414" i="13" s="1"/>
  <c r="E602" i="10" a="1"/>
  <c r="E602" i="10" s="1"/>
  <c r="K602" i="10" a="1"/>
  <c r="K602" i="10" s="1"/>
  <c r="H591" i="10"/>
  <c r="H589" i="10"/>
  <c r="H1410" i="13" s="1" a="1"/>
  <c r="H1410" i="13" s="1"/>
  <c r="H590" i="10"/>
  <c r="H1411" i="13" s="1" a="1"/>
  <c r="H1411" i="13" s="1"/>
  <c r="G1415" i="13" a="1"/>
  <c r="G1415" i="13" s="1"/>
  <c r="G1416" i="13" s="1"/>
  <c r="G1413" i="13" a="1"/>
  <c r="G1413" i="13" s="1"/>
  <c r="G1414" i="13" s="1"/>
  <c r="O602" i="10" a="1"/>
  <c r="O602" i="10" s="1"/>
  <c r="E1328" i="13"/>
  <c r="E1388" i="13"/>
  <c r="F1383" i="13"/>
  <c r="N1420" i="13" a="1"/>
  <c r="N1420" i="13" s="1"/>
  <c r="N1421" i="13" s="1"/>
  <c r="N1418" i="13" a="1"/>
  <c r="N1418" i="13" s="1"/>
  <c r="N1419" i="13" s="1"/>
  <c r="J1418" i="13" a="1"/>
  <c r="J1418" i="13" s="1"/>
  <c r="J1419" i="13" s="1"/>
  <c r="J1420" i="13" a="1"/>
  <c r="J1420" i="13" s="1"/>
  <c r="J1421" i="13" s="1"/>
  <c r="H602" i="10" a="1"/>
  <c r="H602" i="10" s="1"/>
  <c r="L1388" i="13"/>
  <c r="G1383" i="13"/>
  <c r="N1413" i="13" a="1"/>
  <c r="N1413" i="13" s="1"/>
  <c r="N1414" i="13" s="1"/>
  <c r="N1415" i="13" a="1"/>
  <c r="N1415" i="13" s="1"/>
  <c r="N1416" i="13" s="1"/>
  <c r="E1420" i="13" a="1"/>
  <c r="E1420" i="13" s="1"/>
  <c r="E1421" i="13" s="1"/>
  <c r="E1418" i="13" a="1"/>
  <c r="E1418" i="13" s="1"/>
  <c r="E1419" i="13" s="1"/>
  <c r="D1349" i="13"/>
  <c r="E1415" i="13" a="1"/>
  <c r="E1415" i="13" s="1"/>
  <c r="E1416" i="13" s="1"/>
  <c r="E1413" i="13" a="1"/>
  <c r="E1413" i="13" s="1"/>
  <c r="E1414" i="13" s="1"/>
  <c r="O1383" i="13"/>
  <c r="M591" i="10"/>
  <c r="M589" i="10"/>
  <c r="M1410" i="13" s="1" a="1"/>
  <c r="M1410" i="13" s="1"/>
  <c r="M590" i="10"/>
  <c r="M1411" i="13" s="1" a="1"/>
  <c r="M1411" i="13" s="1"/>
  <c r="O1388" i="13"/>
  <c r="H1383" i="13"/>
  <c r="L1413" i="13" a="1"/>
  <c r="L1413" i="13" s="1"/>
  <c r="L1414" i="13" s="1"/>
  <c r="L1415" i="13" a="1"/>
  <c r="L1415" i="13" s="1"/>
  <c r="L1416" i="13" s="1"/>
  <c r="O1326" i="13"/>
  <c r="J1328" i="13"/>
  <c r="L1360" i="13"/>
  <c r="G1360" i="13"/>
  <c r="G1364" i="13" s="1"/>
  <c r="CB50" i="9" s="1" a="1"/>
  <c r="CB50" i="9" s="1"/>
  <c r="K1326" i="13"/>
  <c r="N1362" i="13"/>
  <c r="I1360" i="13"/>
  <c r="I1364" i="13" s="1"/>
  <c r="DN50" i="9" s="1" a="1"/>
  <c r="DN50" i="9" s="1"/>
  <c r="D1362" i="13"/>
  <c r="H1360" i="13"/>
  <c r="O1360" i="13"/>
  <c r="F1328" i="13"/>
  <c r="M1326" i="13"/>
  <c r="F1360" i="13"/>
  <c r="F1364" i="13" s="1"/>
  <c r="BI50" i="9" s="1" a="1"/>
  <c r="BI50" i="9" s="1"/>
  <c r="L1328" i="13"/>
  <c r="BT46" i="9"/>
  <c r="H59" i="24" s="1" a="1"/>
  <c r="H59" i="24" s="1"/>
  <c r="FC47" i="9" a="1"/>
  <c r="FC47" i="9" s="1"/>
  <c r="FK47" i="9" s="1"/>
  <c r="M60" i="24" s="1" a="1"/>
  <c r="M60" i="24" s="1"/>
  <c r="IJ45" i="9"/>
  <c r="IK45" i="9" s="1"/>
  <c r="FV47" i="9" a="1"/>
  <c r="FV47" i="9" s="1"/>
  <c r="GD47" i="9" s="1"/>
  <c r="N60" i="24" s="1" a="1"/>
  <c r="N60" i="24" s="1"/>
  <c r="GO47" i="9" a="1"/>
  <c r="GO47" i="9" s="1"/>
  <c r="GW47" i="9" s="1"/>
  <c r="O60" i="24" s="1" a="1"/>
  <c r="O60" i="24" s="1"/>
  <c r="CE47" i="9" a="1"/>
  <c r="CE47" i="9" s="1"/>
  <c r="CM47" i="9" s="1"/>
  <c r="I60" i="24" s="1" a="1"/>
  <c r="I60" i="24" s="1"/>
  <c r="Z46" i="9" a="1"/>
  <c r="Z46" i="9" s="1"/>
  <c r="AH46" i="9" s="1"/>
  <c r="F59" i="24" s="1" a="1"/>
  <c r="F59" i="24" s="1"/>
  <c r="HH47" i="9" a="1"/>
  <c r="HH47" i="9" s="1"/>
  <c r="HP47" i="9" s="1"/>
  <c r="P60" i="24" s="1" a="1"/>
  <c r="P60" i="24" s="1"/>
  <c r="AS47" i="9" a="1"/>
  <c r="AS47" i="9" s="1"/>
  <c r="BA47" i="9" s="1"/>
  <c r="G60" i="24" s="1" a="1"/>
  <c r="G60" i="24" s="1"/>
  <c r="FV46" i="9" a="1"/>
  <c r="FV46" i="9" s="1"/>
  <c r="GD46" i="9" s="1"/>
  <c r="N59" i="24" s="1" a="1"/>
  <c r="N59" i="24" s="1"/>
  <c r="IL46" i="9"/>
  <c r="IM46" i="9" s="1"/>
  <c r="IN45" i="9"/>
  <c r="IO45" i="9" s="1"/>
  <c r="IA47" i="9" a="1"/>
  <c r="IA47" i="9" s="1"/>
  <c r="II47" i="9" s="1"/>
  <c r="Q60" i="24" s="1" a="1"/>
  <c r="Q60" i="24" s="1"/>
  <c r="EJ47" i="9" a="1"/>
  <c r="EJ47" i="9" s="1"/>
  <c r="ER47" i="9" s="1"/>
  <c r="L60" i="24" s="1" a="1"/>
  <c r="L60" i="24" s="1"/>
  <c r="CX47" i="9" a="1"/>
  <c r="CX47" i="9" s="1"/>
  <c r="DF47" i="9" s="1"/>
  <c r="J60" i="24" s="1" a="1"/>
  <c r="J60" i="24" s="1"/>
  <c r="V49" i="9"/>
  <c r="HG48" i="9"/>
  <c r="HO48" i="9" s="1"/>
  <c r="U48" i="9"/>
  <c r="CW48" i="9"/>
  <c r="CX48" i="9" s="1" a="1"/>
  <c r="CX48" i="9" s="1"/>
  <c r="CD48" i="9"/>
  <c r="CL48" i="9" s="1"/>
  <c r="EI48" i="9"/>
  <c r="EQ48" i="9" s="1"/>
  <c r="HZ48" i="9"/>
  <c r="IH48" i="9" s="1"/>
  <c r="GN48" i="9"/>
  <c r="GV48" i="9" s="1"/>
  <c r="W47" i="9" a="1"/>
  <c r="W47" i="9" s="1"/>
  <c r="Y47" i="9" s="1"/>
  <c r="AG47" i="9" s="1"/>
  <c r="DP47" i="9"/>
  <c r="DX47" i="9" s="1"/>
  <c r="FB48" i="9"/>
  <c r="FJ48" i="9" s="1"/>
  <c r="FU48" i="9"/>
  <c r="I600" i="10"/>
  <c r="DH53" i="9" s="1" a="1"/>
  <c r="DH53" i="9" s="1"/>
  <c r="F600" i="10"/>
  <c r="BC53" i="9" s="1" a="1"/>
  <c r="BC53" i="9" s="1"/>
  <c r="P63" i="27" a="1"/>
  <c r="P63" i="27" s="1"/>
  <c r="G63" i="27" a="1"/>
  <c r="G63" i="27" s="1"/>
  <c r="D600" i="10"/>
  <c r="Q53" i="9" s="1" a="1"/>
  <c r="Q53" i="9" s="1"/>
  <c r="O63" i="27" a="1"/>
  <c r="O63" i="27" s="1"/>
  <c r="M63" i="27" a="1"/>
  <c r="M63" i="27" s="1"/>
  <c r="I63" i="27" a="1"/>
  <c r="I63" i="27" s="1"/>
  <c r="M600" i="10"/>
  <c r="GF53" i="9" s="1" a="1"/>
  <c r="GF53" i="9" s="1"/>
  <c r="L600" i="10"/>
  <c r="FM53" i="9" s="1" a="1"/>
  <c r="FM53" i="9" s="1"/>
  <c r="I606" i="10"/>
  <c r="D612" i="10"/>
  <c r="E612" i="10"/>
  <c r="D613" i="10"/>
  <c r="N613" i="10"/>
  <c r="N616" i="10" s="1" a="1"/>
  <c r="N616" i="10" s="1"/>
  <c r="L613" i="10"/>
  <c r="I613" i="10"/>
  <c r="I616" i="10" s="1" a="1"/>
  <c r="I616" i="10" s="1"/>
  <c r="K613" i="10"/>
  <c r="E613" i="10"/>
  <c r="J613" i="10"/>
  <c r="J616" i="10" s="1" a="1"/>
  <c r="J616" i="10" s="1"/>
  <c r="B614" i="10"/>
  <c r="B615" i="10" s="1"/>
  <c r="B616" i="10" s="1"/>
  <c r="B617" i="10" s="1"/>
  <c r="B618" i="10" s="1"/>
  <c r="B619" i="10" s="1"/>
  <c r="B620" i="10" s="1"/>
  <c r="P613" i="10"/>
  <c r="P614" i="10" s="1"/>
  <c r="G613" i="10"/>
  <c r="G616" i="10" s="1" a="1"/>
  <c r="G616" i="10" s="1"/>
  <c r="O613" i="10"/>
  <c r="O616" i="10" s="1" a="1"/>
  <c r="O616" i="10" s="1"/>
  <c r="H613" i="10"/>
  <c r="M613" i="10"/>
  <c r="M616" i="10" s="1" a="1"/>
  <c r="M616" i="10" s="1"/>
  <c r="F613" i="10"/>
  <c r="M592" i="10"/>
  <c r="H592" i="10"/>
  <c r="D615" i="10"/>
  <c r="E600" i="10"/>
  <c r="AJ53" i="9" s="1" a="1"/>
  <c r="AJ53" i="9" s="1"/>
  <c r="K592" i="10"/>
  <c r="F612" i="10"/>
  <c r="B623" i="10"/>
  <c r="B624" i="10" s="1"/>
  <c r="B625" i="10" s="1"/>
  <c r="L622" i="10"/>
  <c r="L629" i="10" s="1"/>
  <c r="E622" i="10"/>
  <c r="E629" i="10" s="1"/>
  <c r="J622" i="10"/>
  <c r="J629" i="10" s="1"/>
  <c r="D622" i="10"/>
  <c r="D629" i="10" s="1"/>
  <c r="P622" i="10"/>
  <c r="P626" i="10" s="1"/>
  <c r="K622" i="10"/>
  <c r="K629" i="10" s="1"/>
  <c r="G622" i="10"/>
  <c r="H622" i="10"/>
  <c r="H629" i="10" s="1"/>
  <c r="O622" i="10"/>
  <c r="O626" i="10" s="1"/>
  <c r="N622" i="10"/>
  <c r="N629" i="10" s="1"/>
  <c r="I622" i="10"/>
  <c r="I629" i="10" s="1"/>
  <c r="F622" i="10"/>
  <c r="F629" i="10" s="1"/>
  <c r="M622" i="10"/>
  <c r="B626" i="10"/>
  <c r="B627" i="10" s="1"/>
  <c r="G600" i="10"/>
  <c r="BV53" i="9" s="1" a="1"/>
  <c r="BV53" i="9" s="1"/>
  <c r="J612" i="10"/>
  <c r="F606" i="10"/>
  <c r="H600" i="10"/>
  <c r="CO53" i="9" s="1" a="1"/>
  <c r="CO53" i="9" s="1"/>
  <c r="N612" i="10"/>
  <c r="O612" i="10"/>
  <c r="M606" i="10"/>
  <c r="P578" i="10"/>
  <c r="O600" i="10"/>
  <c r="HR53" i="9" s="1" a="1"/>
  <c r="HR53" i="9" s="1"/>
  <c r="K600" i="10"/>
  <c r="ET53" i="9" s="1" a="1"/>
  <c r="ET53" i="9" s="1"/>
  <c r="H635" i="10"/>
  <c r="B636" i="10"/>
  <c r="G635" i="10"/>
  <c r="L635" i="10"/>
  <c r="M635" i="10"/>
  <c r="F635" i="10"/>
  <c r="E635" i="10"/>
  <c r="I635" i="10"/>
  <c r="K635" i="10"/>
  <c r="P635" i="10"/>
  <c r="D635" i="10"/>
  <c r="O635" i="10"/>
  <c r="N635" i="10"/>
  <c r="J635" i="10"/>
  <c r="H615" i="10"/>
  <c r="H612" i="10"/>
  <c r="L612" i="10"/>
  <c r="L615" i="10"/>
  <c r="P615" i="10"/>
  <c r="E615" i="10"/>
  <c r="B649" i="10" a="1"/>
  <c r="B649" i="10" s="1"/>
  <c r="A649" i="10" a="1"/>
  <c r="A649" i="10" s="1"/>
  <c r="K612" i="10"/>
  <c r="G612" i="10"/>
  <c r="I592" i="10"/>
  <c r="F592" i="10"/>
  <c r="K615" i="10"/>
  <c r="M612" i="10"/>
  <c r="I612" i="10"/>
  <c r="F615" i="10"/>
  <c r="N600" i="10"/>
  <c r="GY53" i="9" s="1" a="1"/>
  <c r="GY53" i="9" s="1"/>
  <c r="J600" i="10"/>
  <c r="EA53" i="9" s="1" a="1"/>
  <c r="EA53" i="9" s="1"/>
  <c r="R663" i="10"/>
  <c r="M1330" i="13" l="1"/>
  <c r="GL49" i="9" s="1" a="1"/>
  <c r="GL49" i="9" s="1"/>
  <c r="GN49" i="9" s="1"/>
  <c r="GV49" i="9" s="1"/>
  <c r="O1364" i="13"/>
  <c r="HX50" i="9" s="1" a="1"/>
  <c r="HX50" i="9" s="1"/>
  <c r="H1364" i="13"/>
  <c r="CU50" i="9" s="1" a="1"/>
  <c r="CU50" i="9" s="1"/>
  <c r="H1396" i="13"/>
  <c r="CR51" i="9" a="1"/>
  <c r="CR51" i="9" s="1"/>
  <c r="L1396" i="13"/>
  <c r="FP51" i="9" a="1"/>
  <c r="FP51" i="9" s="1"/>
  <c r="N1394" i="13"/>
  <c r="HB51" i="9" a="1"/>
  <c r="HB51" i="9" s="1"/>
  <c r="HC51" i="9" s="1"/>
  <c r="O1396" i="13"/>
  <c r="HU51" i="9" a="1"/>
  <c r="HU51" i="9" s="1"/>
  <c r="F1394" i="13"/>
  <c r="BF51" i="9" a="1"/>
  <c r="BF51" i="9" s="1"/>
  <c r="BG50" i="9"/>
  <c r="BZ50" i="9"/>
  <c r="O1330" i="13"/>
  <c r="HX49" i="9" s="1" a="1"/>
  <c r="HX49" i="9" s="1"/>
  <c r="HZ49" i="9" s="1"/>
  <c r="IH49" i="9" s="1"/>
  <c r="E1330" i="13"/>
  <c r="AP49" i="9" s="1" a="1"/>
  <c r="AP49" i="9" s="1"/>
  <c r="AR49" i="9" s="1"/>
  <c r="AZ49" i="9" s="1"/>
  <c r="L1364" i="13"/>
  <c r="FS50" i="9" s="1" a="1"/>
  <c r="FS50" i="9" s="1"/>
  <c r="D1364" i="13"/>
  <c r="DL50" i="9"/>
  <c r="CS50" i="9"/>
  <c r="HC50" i="9"/>
  <c r="HV50" i="9"/>
  <c r="J1362" i="13"/>
  <c r="ED50" i="9" a="1"/>
  <c r="ED50" i="9" s="1"/>
  <c r="O62" i="25" a="1"/>
  <c r="O62" i="25" s="1"/>
  <c r="HD50" i="9"/>
  <c r="J62" i="25" a="1"/>
  <c r="J62" i="25" s="1"/>
  <c r="DM50" i="9"/>
  <c r="N1364" i="13"/>
  <c r="HE50" i="9" s="1" a="1"/>
  <c r="HE50" i="9" s="1"/>
  <c r="K1362" i="13"/>
  <c r="EW50" i="9" a="1"/>
  <c r="EW50" i="9" s="1"/>
  <c r="EX50" i="9" s="1"/>
  <c r="P62" i="25" a="1"/>
  <c r="P62" i="25" s="1"/>
  <c r="HW50" i="9"/>
  <c r="I62" i="25" a="1"/>
  <c r="I62" i="25" s="1"/>
  <c r="CT50" i="9"/>
  <c r="M1360" i="13"/>
  <c r="GI50" i="9" a="1"/>
  <c r="GI50" i="9" s="1"/>
  <c r="M62" i="25" a="1"/>
  <c r="M62" i="25" s="1"/>
  <c r="FR50" i="9"/>
  <c r="J1330" i="13"/>
  <c r="EG49" i="9" s="1" a="1"/>
  <c r="EG49" i="9" s="1"/>
  <c r="FQ50" i="9"/>
  <c r="E1360" i="13"/>
  <c r="AM50" i="9" a="1"/>
  <c r="AM50" i="9" s="1"/>
  <c r="AN50" i="9" s="1"/>
  <c r="H62" i="25" a="1"/>
  <c r="H62" i="25" s="1"/>
  <c r="CA50" i="9"/>
  <c r="G62" i="25" a="1"/>
  <c r="G62" i="25" s="1"/>
  <c r="BH50" i="9"/>
  <c r="EE50" i="9"/>
  <c r="K1330" i="13"/>
  <c r="EZ49" i="9" s="1" a="1"/>
  <c r="EZ49" i="9" s="1"/>
  <c r="FB49" i="9" s="1"/>
  <c r="L1330" i="13"/>
  <c r="FS49" i="9" s="1" a="1"/>
  <c r="FS49" i="9" s="1"/>
  <c r="FU49" i="9" s="1"/>
  <c r="GC49" i="9" s="1"/>
  <c r="F1330" i="13"/>
  <c r="BI49" i="9" s="1" a="1"/>
  <c r="BI49" i="9" s="1"/>
  <c r="BK49" i="9" s="1"/>
  <c r="BS49" i="9" s="1"/>
  <c r="BG49" i="9"/>
  <c r="GJ49" i="9"/>
  <c r="N1330" i="13"/>
  <c r="HE49" i="9" s="1" a="1"/>
  <c r="HE49" i="9" s="1"/>
  <c r="HG49" i="9" s="1"/>
  <c r="HO49" i="9" s="1"/>
  <c r="G61" i="25" a="1"/>
  <c r="G61" i="25" s="1"/>
  <c r="BH49" i="9"/>
  <c r="F61" i="25" a="1"/>
  <c r="F61" i="25" s="1"/>
  <c r="AO49" i="9"/>
  <c r="N61" i="25" a="1"/>
  <c r="N61" i="25" s="1"/>
  <c r="GK49" i="9"/>
  <c r="K61" i="25" a="1"/>
  <c r="K61" i="25" s="1"/>
  <c r="EF49" i="9"/>
  <c r="M61" i="25" a="1"/>
  <c r="M61" i="25" s="1"/>
  <c r="FR49" i="9"/>
  <c r="O61" i="25" a="1"/>
  <c r="O61" i="25" s="1"/>
  <c r="HD49" i="9"/>
  <c r="HC49" i="9"/>
  <c r="L61" i="25" a="1"/>
  <c r="L61" i="25" s="1"/>
  <c r="EY49" i="9"/>
  <c r="P61" i="25" a="1"/>
  <c r="P61" i="25" s="1"/>
  <c r="HW49" i="9"/>
  <c r="Q60" i="25"/>
  <c r="I1391" i="13" a="1"/>
  <c r="I1391" i="13" s="1"/>
  <c r="I1392" i="13" s="1"/>
  <c r="I1393" i="13" s="1"/>
  <c r="K1389" i="13" a="1"/>
  <c r="K1389" i="13" s="1"/>
  <c r="K1390" i="13" s="1"/>
  <c r="K1393" i="13" s="1"/>
  <c r="G1389" i="13" a="1"/>
  <c r="G1389" i="13" s="1"/>
  <c r="G1390" i="13" s="1"/>
  <c r="G1393" i="13" s="1"/>
  <c r="D616" i="10" a="1"/>
  <c r="D616" i="10" s="1"/>
  <c r="D618" i="10" s="1"/>
  <c r="O1425" i="13" a="1"/>
  <c r="O1425" i="13" s="1"/>
  <c r="O1426" i="13" s="1"/>
  <c r="O1427" i="13" s="1"/>
  <c r="N1425" i="13" a="1"/>
  <c r="N1425" i="13" s="1"/>
  <c r="N1426" i="13" s="1"/>
  <c r="N1427" i="13" s="1"/>
  <c r="G1425" i="13" a="1"/>
  <c r="G1425" i="13" s="1"/>
  <c r="G1426" i="13" s="1"/>
  <c r="G1427" i="13" s="1"/>
  <c r="E1425" i="13" a="1"/>
  <c r="E1425" i="13" s="1"/>
  <c r="E1426" i="13" s="1"/>
  <c r="E1427" i="13" s="1"/>
  <c r="M1389" i="13" a="1"/>
  <c r="M1389" i="13" s="1"/>
  <c r="M1390" i="13" s="1"/>
  <c r="M1393" i="13" s="1"/>
  <c r="HT51" i="9" a="1"/>
  <c r="HT51" i="9" s="1"/>
  <c r="HV51" i="9" s="1"/>
  <c r="J1389" i="13" a="1"/>
  <c r="J1389" i="13" s="1"/>
  <c r="J1390" i="13" s="1"/>
  <c r="J1393" i="13" s="1"/>
  <c r="L1425" i="13" a="1"/>
  <c r="L1425" i="13" s="1"/>
  <c r="L1426" i="13" s="1"/>
  <c r="L1427" i="13" s="1"/>
  <c r="EV51" i="9" a="1"/>
  <c r="EV51" i="9" s="1"/>
  <c r="E1389" i="13" a="1"/>
  <c r="E1389" i="13" s="1"/>
  <c r="E1390" i="13" s="1"/>
  <c r="E1393" i="13" s="1"/>
  <c r="M1412" i="13" a="1"/>
  <c r="M1412" i="13" s="1"/>
  <c r="M1425" i="13" s="1" a="1"/>
  <c r="M1425" i="13" s="1"/>
  <c r="M1426" i="13" s="1"/>
  <c r="GG52" i="9" a="1"/>
  <c r="GG52" i="9" s="1"/>
  <c r="N64" i="27" s="1" a="1"/>
  <c r="N64" i="27" s="1"/>
  <c r="GM52" i="9" a="1"/>
  <c r="GM52" i="9" s="1"/>
  <c r="M1446" i="13" a="1"/>
  <c r="M1446" i="13" s="1"/>
  <c r="M1457" i="13" s="1" a="1"/>
  <c r="M1457" i="13" s="1"/>
  <c r="M1458" i="13" s="1"/>
  <c r="GM53" i="9" a="1"/>
  <c r="GM53" i="9" s="1"/>
  <c r="GG53" i="9" a="1"/>
  <c r="GG53" i="9" s="1"/>
  <c r="GH51" i="9" a="1"/>
  <c r="GH51" i="9" s="1"/>
  <c r="FO51" i="9" a="1"/>
  <c r="FO51" i="9" s="1"/>
  <c r="J1425" i="13" a="1"/>
  <c r="J1425" i="13" s="1"/>
  <c r="J1426" i="13" s="1"/>
  <c r="J1427" i="13" s="1"/>
  <c r="K1412" i="13" a="1"/>
  <c r="K1412" i="13" s="1"/>
  <c r="K1423" i="13" s="1" a="1"/>
  <c r="K1423" i="13" s="1"/>
  <c r="K1424" i="13" s="1"/>
  <c r="EU52" i="9" a="1"/>
  <c r="EU52" i="9" s="1"/>
  <c r="FA52" i="9" a="1"/>
  <c r="FA52" i="9" s="1"/>
  <c r="BL47" i="9" a="1"/>
  <c r="BL47" i="9" s="1"/>
  <c r="BT47" i="9" s="1"/>
  <c r="H60" i="24" s="1" a="1"/>
  <c r="H60" i="24" s="1"/>
  <c r="EC51" i="9" a="1"/>
  <c r="EC51" i="9" s="1"/>
  <c r="DJ51" i="9" a="1"/>
  <c r="DJ51" i="9" s="1"/>
  <c r="D1389" i="13" a="1"/>
  <c r="D1389" i="13" s="1"/>
  <c r="D1390" i="13" s="1"/>
  <c r="D1393" i="13" s="1"/>
  <c r="I1412" i="13" a="1"/>
  <c r="I1412" i="13" s="1"/>
  <c r="I1423" i="13" s="1" a="1"/>
  <c r="I1423" i="13" s="1"/>
  <c r="I1424" i="13" s="1"/>
  <c r="DO52" i="9" a="1"/>
  <c r="DO52" i="9" s="1"/>
  <c r="DI52" i="9" a="1"/>
  <c r="DI52" i="9" s="1"/>
  <c r="J64" i="27" s="1" a="1"/>
  <c r="J64" i="27" s="1"/>
  <c r="I1446" i="13" a="1"/>
  <c r="I1446" i="13" s="1"/>
  <c r="I1459" i="13" s="1" a="1"/>
  <c r="I1459" i="13" s="1"/>
  <c r="I1460" i="13" s="1"/>
  <c r="DI53" i="9" a="1"/>
  <c r="DI53" i="9" s="1"/>
  <c r="DO53" i="9" a="1"/>
  <c r="DO53" i="9" s="1"/>
  <c r="CQ51" i="9" a="1"/>
  <c r="CQ51" i="9" s="1"/>
  <c r="H1412" i="13" a="1"/>
  <c r="H1412" i="13" s="1"/>
  <c r="H1423" i="13" s="1" a="1"/>
  <c r="H1423" i="13" s="1"/>
  <c r="H1424" i="13" s="1"/>
  <c r="CP52" i="9" a="1"/>
  <c r="CP52" i="9" s="1"/>
  <c r="I64" i="27" s="1" a="1"/>
  <c r="I64" i="27" s="1"/>
  <c r="CV52" i="9" a="1"/>
  <c r="CV52" i="9" s="1"/>
  <c r="AL51" i="9" a="1"/>
  <c r="AL51" i="9" s="1"/>
  <c r="BX51" i="9" a="1"/>
  <c r="BX51" i="9" s="1"/>
  <c r="BE51" i="9" a="1"/>
  <c r="BE51" i="9" s="1"/>
  <c r="BG51" i="9" s="1"/>
  <c r="P64" i="27" a="1"/>
  <c r="P64" i="27" s="1"/>
  <c r="O64" i="27" a="1"/>
  <c r="O64" i="27" s="1"/>
  <c r="K64" i="27" a="1"/>
  <c r="K64" i="27" s="1"/>
  <c r="H64" i="27" a="1"/>
  <c r="H64" i="27" s="1"/>
  <c r="F1412" i="13" a="1"/>
  <c r="F1412" i="13" s="1"/>
  <c r="F1423" i="13" s="1" a="1"/>
  <c r="F1423" i="13" s="1"/>
  <c r="F1424" i="13" s="1"/>
  <c r="BD52" i="9" a="1"/>
  <c r="BD52" i="9" s="1"/>
  <c r="BJ52" i="9" a="1"/>
  <c r="BJ52" i="9" s="1"/>
  <c r="M64" i="27" a="1"/>
  <c r="M64" i="27" s="1"/>
  <c r="F1446" i="13" a="1"/>
  <c r="F1446" i="13" s="1"/>
  <c r="F1457" i="13" s="1" a="1"/>
  <c r="F1457" i="13" s="1"/>
  <c r="F1458" i="13" s="1"/>
  <c r="BD53" i="9" a="1"/>
  <c r="BD53" i="9" s="1"/>
  <c r="BJ53" i="9" a="1"/>
  <c r="BJ53" i="9" s="1"/>
  <c r="D1412" i="13" a="1"/>
  <c r="D1412" i="13" s="1"/>
  <c r="R52" i="9" a="1"/>
  <c r="R52" i="9" s="1"/>
  <c r="E64" i="27" s="1" a="1"/>
  <c r="E64" i="27" s="1"/>
  <c r="F1413" i="13" a="1"/>
  <c r="F1413" i="13" s="1"/>
  <c r="F1414" i="13" s="1"/>
  <c r="F1417" i="13" s="1"/>
  <c r="N605" i="10"/>
  <c r="F1418" i="13" a="1"/>
  <c r="F1418" i="13" s="1"/>
  <c r="F1419" i="13" s="1"/>
  <c r="F1422" i="13" s="1"/>
  <c r="S50" i="9" a="1"/>
  <c r="S50" i="9" s="1"/>
  <c r="N604" i="10"/>
  <c r="N1445" i="13" s="1" a="1"/>
  <c r="N1445" i="13" s="1"/>
  <c r="N1452" i="13" s="1" a="1"/>
  <c r="N1452" i="13" s="1"/>
  <c r="N1453" i="13" s="1"/>
  <c r="F616" i="10" a="1"/>
  <c r="F616" i="10" s="1"/>
  <c r="F618" i="10" s="1"/>
  <c r="F1479" i="13" s="1" a="1"/>
  <c r="F1479" i="13" s="1"/>
  <c r="E616" i="10" a="1"/>
  <c r="E616" i="10" s="1"/>
  <c r="E618" i="10" s="1"/>
  <c r="E1479" i="13" s="1" a="1"/>
  <c r="E1479" i="13" s="1"/>
  <c r="H616" i="10" a="1"/>
  <c r="H616" i="10" s="1"/>
  <c r="H618" i="10" s="1"/>
  <c r="H1479" i="13" s="1" a="1"/>
  <c r="H1479" i="13" s="1"/>
  <c r="L1422" i="13"/>
  <c r="K616" i="10" a="1"/>
  <c r="K616" i="10" s="1"/>
  <c r="K618" i="10" s="1"/>
  <c r="K1479" i="13" s="1" a="1"/>
  <c r="K1479" i="13" s="1"/>
  <c r="P616" i="10" a="1"/>
  <c r="P616" i="10" s="1"/>
  <c r="G603" i="10"/>
  <c r="G1444" i="13" s="1" a="1"/>
  <c r="G1444" i="13" s="1"/>
  <c r="G1449" i="13" s="1" a="1"/>
  <c r="G1449" i="13" s="1"/>
  <c r="G1450" i="13" s="1"/>
  <c r="G604" i="10"/>
  <c r="G1445" i="13" s="1" a="1"/>
  <c r="G1445" i="13" s="1"/>
  <c r="G1452" i="13" s="1" a="1"/>
  <c r="G1452" i="13" s="1"/>
  <c r="G1453" i="13" s="1"/>
  <c r="E1422" i="13"/>
  <c r="L616" i="10" a="1"/>
  <c r="L616" i="10" s="1"/>
  <c r="L619" i="10" s="1"/>
  <c r="D1388" i="13"/>
  <c r="O1422" i="13"/>
  <c r="L1417" i="13"/>
  <c r="J1422" i="13"/>
  <c r="G1417" i="13"/>
  <c r="J1417" i="13"/>
  <c r="O1417" i="13"/>
  <c r="L1394" i="13"/>
  <c r="P591" i="10"/>
  <c r="I617" i="10"/>
  <c r="I1478" i="13" s="1" a="1"/>
  <c r="I1478" i="13" s="1"/>
  <c r="I618" i="10"/>
  <c r="I1479" i="13" s="1" a="1"/>
  <c r="I1479" i="13" s="1"/>
  <c r="I619" i="10"/>
  <c r="O618" i="10"/>
  <c r="O1479" i="13" s="1" a="1"/>
  <c r="O1479" i="13" s="1"/>
  <c r="O619" i="10"/>
  <c r="O617" i="10"/>
  <c r="O1478" i="13" s="1" a="1"/>
  <c r="O1478" i="13" s="1"/>
  <c r="N617" i="10"/>
  <c r="N1478" i="13" s="1" a="1"/>
  <c r="N1478" i="13" s="1"/>
  <c r="N619" i="10"/>
  <c r="N618" i="10"/>
  <c r="N1479" i="13" s="1" a="1"/>
  <c r="N1479" i="13" s="1"/>
  <c r="J617" i="10"/>
  <c r="J1478" i="13" s="1" a="1"/>
  <c r="J1478" i="13" s="1"/>
  <c r="J619" i="10"/>
  <c r="J618" i="10"/>
  <c r="J1479" i="13" s="1" a="1"/>
  <c r="J1479" i="13" s="1"/>
  <c r="G619" i="10"/>
  <c r="G618" i="10"/>
  <c r="G1479" i="13" s="1" a="1"/>
  <c r="G1479" i="13" s="1"/>
  <c r="G617" i="10"/>
  <c r="G1478" i="13" s="1" a="1"/>
  <c r="G1478" i="13" s="1"/>
  <c r="M618" i="10"/>
  <c r="M1479" i="13" s="1" a="1"/>
  <c r="M1479" i="13" s="1"/>
  <c r="M619" i="10"/>
  <c r="M617" i="10"/>
  <c r="M1478" i="13" s="1" a="1"/>
  <c r="M1478" i="13" s="1"/>
  <c r="E1417" i="13"/>
  <c r="H1413" i="13" a="1"/>
  <c r="H1413" i="13" s="1"/>
  <c r="H1414" i="13" s="1"/>
  <c r="H1415" i="13" a="1"/>
  <c r="H1415" i="13" s="1"/>
  <c r="H1416" i="13" s="1"/>
  <c r="J603" i="10"/>
  <c r="J1444" i="13" s="1" a="1"/>
  <c r="J1444" i="13" s="1"/>
  <c r="J604" i="10"/>
  <c r="J1445" i="13" s="1" a="1"/>
  <c r="J1445" i="13" s="1"/>
  <c r="J605" i="10"/>
  <c r="I1413" i="13" a="1"/>
  <c r="I1413" i="13" s="1"/>
  <c r="I1414" i="13" s="1"/>
  <c r="I1415" i="13" a="1"/>
  <c r="I1415" i="13" s="1"/>
  <c r="I1416" i="13" s="1"/>
  <c r="G1422" i="13"/>
  <c r="F1454" i="13" a="1"/>
  <c r="F1454" i="13" s="1"/>
  <c r="F1455" i="13" s="1"/>
  <c r="F1452" i="13" a="1"/>
  <c r="F1452" i="13" s="1"/>
  <c r="F1453" i="13" s="1"/>
  <c r="H605" i="10"/>
  <c r="H603" i="10"/>
  <c r="H1444" i="13" s="1" a="1"/>
  <c r="H1444" i="13" s="1"/>
  <c r="H604" i="10"/>
  <c r="H1445" i="13" s="1" a="1"/>
  <c r="H1445" i="13" s="1"/>
  <c r="O603" i="10"/>
  <c r="O1444" i="13" s="1" a="1"/>
  <c r="O1444" i="13" s="1"/>
  <c r="O604" i="10"/>
  <c r="O1445" i="13" s="1" a="1"/>
  <c r="O1445" i="13" s="1"/>
  <c r="O605" i="10"/>
  <c r="K603" i="10"/>
  <c r="K1444" i="13" s="1" a="1"/>
  <c r="K1444" i="13" s="1"/>
  <c r="K605" i="10"/>
  <c r="K604" i="10"/>
  <c r="K1445" i="13" s="1" a="1"/>
  <c r="K1445" i="13" s="1"/>
  <c r="L1452" i="13" a="1"/>
  <c r="L1452" i="13" s="1"/>
  <c r="L1453" i="13" s="1"/>
  <c r="L1454" i="13" a="1"/>
  <c r="L1454" i="13" s="1"/>
  <c r="L1455" i="13" s="1"/>
  <c r="M1447" i="13" a="1"/>
  <c r="M1447" i="13" s="1"/>
  <c r="M1448" i="13" s="1"/>
  <c r="M1449" i="13" a="1"/>
  <c r="M1449" i="13" s="1"/>
  <c r="M1450" i="13" s="1"/>
  <c r="E604" i="10"/>
  <c r="E1445" i="13" s="1" a="1"/>
  <c r="E1445" i="13" s="1"/>
  <c r="E605" i="10"/>
  <c r="E603" i="10"/>
  <c r="E1444" i="13" s="1" a="1"/>
  <c r="E1444" i="13" s="1"/>
  <c r="L1449" i="13" a="1"/>
  <c r="L1449" i="13" s="1"/>
  <c r="L1450" i="13" s="1"/>
  <c r="L1447" i="13" a="1"/>
  <c r="L1447" i="13" s="1"/>
  <c r="L1448" i="13" s="1"/>
  <c r="M1420" i="13" a="1"/>
  <c r="M1420" i="13" s="1"/>
  <c r="M1421" i="13" s="1"/>
  <c r="M1418" i="13" a="1"/>
  <c r="M1418" i="13" s="1"/>
  <c r="M1419" i="13" s="1"/>
  <c r="K1413" i="13" a="1"/>
  <c r="K1413" i="13" s="1"/>
  <c r="K1414" i="13" s="1"/>
  <c r="K1415" i="13" a="1"/>
  <c r="K1415" i="13" s="1"/>
  <c r="K1416" i="13" s="1"/>
  <c r="D1444" i="13" a="1"/>
  <c r="D1444" i="13" s="1"/>
  <c r="M1452" i="13" a="1"/>
  <c r="M1452" i="13" s="1"/>
  <c r="M1453" i="13" s="1"/>
  <c r="M1454" i="13" a="1"/>
  <c r="M1454" i="13" s="1"/>
  <c r="M1455" i="13" s="1"/>
  <c r="M1415" i="13" a="1"/>
  <c r="M1415" i="13" s="1"/>
  <c r="M1416" i="13" s="1"/>
  <c r="M1413" i="13" a="1"/>
  <c r="M1413" i="13" s="1"/>
  <c r="M1414" i="13" s="1"/>
  <c r="N1447" i="13" a="1"/>
  <c r="N1447" i="13" s="1"/>
  <c r="N1448" i="13" s="1"/>
  <c r="N1449" i="13" a="1"/>
  <c r="N1449" i="13" s="1"/>
  <c r="N1450" i="13" s="1"/>
  <c r="N1422" i="13"/>
  <c r="P590" i="10"/>
  <c r="P589" i="10"/>
  <c r="I1454" i="13" a="1"/>
  <c r="I1454" i="13" s="1"/>
  <c r="I1455" i="13" s="1"/>
  <c r="I1452" i="13" a="1"/>
  <c r="I1452" i="13" s="1"/>
  <c r="I1453" i="13" s="1"/>
  <c r="N1417" i="13"/>
  <c r="D1418" i="13" a="1"/>
  <c r="D1418" i="13" s="1"/>
  <c r="D1419" i="13" s="1"/>
  <c r="D1420" i="13" a="1"/>
  <c r="D1420" i="13" s="1"/>
  <c r="D1421" i="13" s="1"/>
  <c r="D1413" i="13" a="1"/>
  <c r="D1413" i="13" s="1"/>
  <c r="D1414" i="13" s="1"/>
  <c r="D1415" i="13" a="1"/>
  <c r="D1415" i="13" s="1"/>
  <c r="D1416" i="13" s="1"/>
  <c r="D1383" i="13"/>
  <c r="K1420" i="13" a="1"/>
  <c r="K1420" i="13" s="1"/>
  <c r="K1421" i="13" s="1"/>
  <c r="K1418" i="13" a="1"/>
  <c r="K1418" i="13" s="1"/>
  <c r="K1419" i="13" s="1"/>
  <c r="D1445" i="13" a="1"/>
  <c r="D1445" i="13" s="1"/>
  <c r="I1447" i="13" a="1"/>
  <c r="I1447" i="13" s="1"/>
  <c r="I1448" i="13" s="1"/>
  <c r="I1449" i="13" a="1"/>
  <c r="I1449" i="13" s="1"/>
  <c r="I1450" i="13" s="1"/>
  <c r="H1418" i="13" a="1"/>
  <c r="H1418" i="13" s="1"/>
  <c r="H1419" i="13" s="1"/>
  <c r="H1420" i="13" a="1"/>
  <c r="H1420" i="13" s="1"/>
  <c r="H1421" i="13" s="1"/>
  <c r="I1420" i="13" a="1"/>
  <c r="I1420" i="13" s="1"/>
  <c r="I1421" i="13" s="1"/>
  <c r="I1418" i="13" a="1"/>
  <c r="I1418" i="13" s="1"/>
  <c r="I1419" i="13" s="1"/>
  <c r="F1449" i="13" a="1"/>
  <c r="F1449" i="13" s="1"/>
  <c r="F1450" i="13" s="1"/>
  <c r="F1447" i="13" a="1"/>
  <c r="F1447" i="13" s="1"/>
  <c r="F1448" i="13" s="1"/>
  <c r="J1360" i="13"/>
  <c r="F1396" i="13"/>
  <c r="N1396" i="13"/>
  <c r="H1394" i="13"/>
  <c r="O1394" i="13"/>
  <c r="O1398" i="13" s="1"/>
  <c r="HX51" i="9" s="1" a="1"/>
  <c r="HX51" i="9" s="1"/>
  <c r="M1362" i="13"/>
  <c r="E1362" i="13"/>
  <c r="K1360" i="13"/>
  <c r="L606" i="10"/>
  <c r="D606" i="10"/>
  <c r="X53" i="9" s="1" a="1"/>
  <c r="X53" i="9" s="1"/>
  <c r="H606" i="10"/>
  <c r="DQ47" i="9" a="1"/>
  <c r="DQ47" i="9" s="1"/>
  <c r="DY47" i="9" s="1"/>
  <c r="K60" i="24" s="1" a="1"/>
  <c r="K60" i="24" s="1"/>
  <c r="DE48" i="9"/>
  <c r="DF48" i="9" s="1"/>
  <c r="J61" i="24" s="1" a="1"/>
  <c r="J61" i="24" s="1"/>
  <c r="EJ48" i="9" a="1"/>
  <c r="EJ48" i="9" s="1"/>
  <c r="ER48" i="9" s="1"/>
  <c r="L61" i="24" s="1" a="1"/>
  <c r="L61" i="24" s="1"/>
  <c r="IL47" i="9"/>
  <c r="IM47" i="9" s="1"/>
  <c r="Z47" i="9" a="1"/>
  <c r="Z47" i="9" s="1"/>
  <c r="AH47" i="9" s="1"/>
  <c r="F60" i="24" s="1" a="1"/>
  <c r="F60" i="24" s="1"/>
  <c r="HH48" i="9" a="1"/>
  <c r="HH48" i="9" s="1"/>
  <c r="HP48" i="9" s="1"/>
  <c r="P61" i="24" s="1" a="1"/>
  <c r="P61" i="24" s="1"/>
  <c r="IN46" i="9"/>
  <c r="IO46" i="9" s="1"/>
  <c r="IJ46" i="9"/>
  <c r="IK46" i="9" s="1"/>
  <c r="FC48" i="9" a="1"/>
  <c r="FC48" i="9" s="1"/>
  <c r="FK48" i="9" s="1"/>
  <c r="M61" i="24" s="1" a="1"/>
  <c r="M61" i="24" s="1"/>
  <c r="BL48" i="9" a="1"/>
  <c r="BL48" i="9" s="1"/>
  <c r="BT48" i="9" s="1"/>
  <c r="H61" i="24" s="1" a="1"/>
  <c r="H61" i="24" s="1"/>
  <c r="EI49" i="9"/>
  <c r="EQ49" i="9" s="1"/>
  <c r="CE48" i="9" a="1"/>
  <c r="CE48" i="9" s="1"/>
  <c r="CM48" i="9" s="1"/>
  <c r="I61" i="24" s="1" a="1"/>
  <c r="I61" i="24" s="1"/>
  <c r="IA48" i="9" a="1"/>
  <c r="IA48" i="9" s="1"/>
  <c r="II48" i="9" s="1"/>
  <c r="Q61" i="24" s="1" a="1"/>
  <c r="Q61" i="24" s="1"/>
  <c r="V50" i="9"/>
  <c r="GO48" i="9" a="1"/>
  <c r="GO48" i="9" s="1"/>
  <c r="GW48" i="9" s="1"/>
  <c r="O61" i="24" s="1" a="1"/>
  <c r="O61" i="24" s="1"/>
  <c r="U49" i="9"/>
  <c r="GC48" i="9"/>
  <c r="FV48" i="9" a="1"/>
  <c r="FV48" i="9" s="1"/>
  <c r="DP49" i="9"/>
  <c r="DX49" i="9" s="1"/>
  <c r="DP48" i="9"/>
  <c r="DX48" i="9" s="1"/>
  <c r="W48" i="9" a="1"/>
  <c r="W48" i="9" s="1"/>
  <c r="Y48" i="9" s="1"/>
  <c r="CD49" i="9"/>
  <c r="CL49" i="9" s="1"/>
  <c r="CW49" i="9"/>
  <c r="DE49" i="9" s="1"/>
  <c r="AR48" i="9"/>
  <c r="AZ48" i="9" s="1"/>
  <c r="K606" i="10"/>
  <c r="N614" i="10"/>
  <c r="GY54" i="9" s="1" a="1"/>
  <c r="GY54" i="9" s="1"/>
  <c r="G614" i="10"/>
  <c r="BV54" i="9" s="1" a="1"/>
  <c r="BV54" i="9" s="1"/>
  <c r="J614" i="10"/>
  <c r="EA54" i="9" s="1" a="1"/>
  <c r="EA54" i="9" s="1"/>
  <c r="I614" i="10"/>
  <c r="DH54" i="9" s="1" a="1"/>
  <c r="DH54" i="9" s="1"/>
  <c r="H614" i="10"/>
  <c r="CO54" i="9" s="1" a="1"/>
  <c r="CO54" i="9" s="1"/>
  <c r="K614" i="10"/>
  <c r="ET54" i="9" s="1" a="1"/>
  <c r="ET54" i="9" s="1"/>
  <c r="L614" i="10"/>
  <c r="FM54" i="9" s="1" a="1"/>
  <c r="FM54" i="9" s="1"/>
  <c r="M614" i="10"/>
  <c r="GF54" i="9" s="1" a="1"/>
  <c r="GF54" i="9" s="1"/>
  <c r="O614" i="10"/>
  <c r="HR54" i="9" s="1" a="1"/>
  <c r="HR54" i="9" s="1"/>
  <c r="O606" i="10"/>
  <c r="M620" i="10"/>
  <c r="I620" i="10"/>
  <c r="O620" i="10"/>
  <c r="N620" i="10"/>
  <c r="N606" i="10"/>
  <c r="I636" i="10"/>
  <c r="F636" i="10"/>
  <c r="O636" i="10"/>
  <c r="O643" i="10" s="1"/>
  <c r="P636" i="10"/>
  <c r="P640" i="10" s="1"/>
  <c r="G636" i="10"/>
  <c r="G643" i="10" s="1"/>
  <c r="N636" i="10"/>
  <c r="N643" i="10" s="1"/>
  <c r="M636" i="10"/>
  <c r="M643" i="10" s="1"/>
  <c r="H636" i="10"/>
  <c r="H643" i="10" s="1"/>
  <c r="E636" i="10"/>
  <c r="B640" i="10"/>
  <c r="B641" i="10" s="1"/>
  <c r="L636" i="10"/>
  <c r="J636" i="10"/>
  <c r="J643" i="10" s="1"/>
  <c r="D636" i="10"/>
  <c r="D643" i="10" s="1"/>
  <c r="B637" i="10"/>
  <c r="B638" i="10" s="1"/>
  <c r="B639" i="10" s="1"/>
  <c r="K636" i="10"/>
  <c r="H626" i="10"/>
  <c r="E614" i="10"/>
  <c r="AJ54" i="9" s="1" a="1"/>
  <c r="AJ54" i="9" s="1"/>
  <c r="D614" i="10"/>
  <c r="Q54" i="9" s="1" a="1"/>
  <c r="Q54" i="9" s="1"/>
  <c r="G626" i="10"/>
  <c r="J620" i="10"/>
  <c r="O627" i="10"/>
  <c r="O628" i="10" s="1"/>
  <c r="HR55" i="9" s="1" a="1"/>
  <c r="HR55" i="9" s="1"/>
  <c r="F627" i="10"/>
  <c r="F630" i="10" s="1" a="1"/>
  <c r="F630" i="10" s="1"/>
  <c r="G627" i="10"/>
  <c r="M627" i="10"/>
  <c r="D627" i="10"/>
  <c r="D630" i="10" s="1" a="1"/>
  <c r="D630" i="10" s="1"/>
  <c r="E627" i="10"/>
  <c r="E630" i="10" s="1" a="1"/>
  <c r="E630" i="10" s="1"/>
  <c r="P627" i="10"/>
  <c r="P628" i="10" s="1"/>
  <c r="J627" i="10"/>
  <c r="J630" i="10" s="1" a="1"/>
  <c r="J630" i="10" s="1"/>
  <c r="L627" i="10"/>
  <c r="L630" i="10" s="1" a="1"/>
  <c r="L630" i="10" s="1"/>
  <c r="I627" i="10"/>
  <c r="I630" i="10" s="1" a="1"/>
  <c r="I630" i="10" s="1"/>
  <c r="K627" i="10"/>
  <c r="K630" i="10" s="1" a="1"/>
  <c r="K630" i="10" s="1"/>
  <c r="H627" i="10"/>
  <c r="H630" i="10" s="1" a="1"/>
  <c r="H630" i="10" s="1"/>
  <c r="B628" i="10"/>
  <c r="B629" i="10" s="1"/>
  <c r="B630" i="10" s="1"/>
  <c r="B631" i="10" s="1"/>
  <c r="B632" i="10" s="1"/>
  <c r="B633" i="10" s="1"/>
  <c r="B634" i="10" s="1"/>
  <c r="N627" i="10"/>
  <c r="N630" i="10" s="1" a="1"/>
  <c r="N630" i="10" s="1"/>
  <c r="K626" i="10"/>
  <c r="M626" i="10"/>
  <c r="B663" i="10" a="1"/>
  <c r="B663" i="10" s="1"/>
  <c r="A663" i="10" a="1"/>
  <c r="A663" i="10" s="1"/>
  <c r="E606" i="10"/>
  <c r="F626" i="10"/>
  <c r="D626" i="10"/>
  <c r="J606" i="10"/>
  <c r="I626" i="10"/>
  <c r="J626" i="10"/>
  <c r="F614" i="10"/>
  <c r="BC54" i="9" s="1" a="1"/>
  <c r="BC54" i="9" s="1"/>
  <c r="L649" i="10"/>
  <c r="O649" i="10"/>
  <c r="H649" i="10"/>
  <c r="J649" i="10"/>
  <c r="D649" i="10"/>
  <c r="F649" i="10"/>
  <c r="P649" i="10"/>
  <c r="M649" i="10"/>
  <c r="I649" i="10"/>
  <c r="B650" i="10"/>
  <c r="N649" i="10"/>
  <c r="K649" i="10"/>
  <c r="E649" i="10"/>
  <c r="G649" i="10"/>
  <c r="G606" i="10"/>
  <c r="G629" i="10"/>
  <c r="N626" i="10"/>
  <c r="E626" i="10"/>
  <c r="P592" i="10"/>
  <c r="O629" i="10"/>
  <c r="M629" i="10"/>
  <c r="L626" i="10"/>
  <c r="P629" i="10"/>
  <c r="R677" i="10"/>
  <c r="F1398" i="13" l="1"/>
  <c r="BI51" i="9" s="1" a="1"/>
  <c r="BI51" i="9" s="1"/>
  <c r="H1398" i="13"/>
  <c r="CU51" i="9" s="1" a="1"/>
  <c r="CU51" i="9" s="1"/>
  <c r="L1398" i="13"/>
  <c r="FS51" i="9" s="1" a="1"/>
  <c r="FS51" i="9" s="1"/>
  <c r="CS51" i="9"/>
  <c r="N1398" i="13"/>
  <c r="HE51" i="9" s="1" a="1"/>
  <c r="HE51" i="9" s="1"/>
  <c r="FQ51" i="9"/>
  <c r="M1396" i="13"/>
  <c r="GI51" i="9" a="1"/>
  <c r="GI51" i="9" s="1"/>
  <c r="GJ51" i="9" s="1"/>
  <c r="I1396" i="13"/>
  <c r="DK51" i="9" a="1"/>
  <c r="DK51" i="9" s="1"/>
  <c r="DL51" i="9" s="1"/>
  <c r="J1430" i="13"/>
  <c r="ED52" i="9" a="1"/>
  <c r="ED52" i="9" s="1"/>
  <c r="E1430" i="13"/>
  <c r="AM52" i="9" a="1"/>
  <c r="AM52" i="9" s="1"/>
  <c r="O63" i="25" a="1"/>
  <c r="O63" i="25" s="1"/>
  <c r="HD51" i="9"/>
  <c r="D1396" i="13"/>
  <c r="T51" i="9" a="1"/>
  <c r="T51" i="9" s="1"/>
  <c r="E63" i="25" s="1" a="1"/>
  <c r="E63" i="25" s="1"/>
  <c r="E1394" i="13"/>
  <c r="AM51" i="9" a="1"/>
  <c r="AM51" i="9" s="1"/>
  <c r="AN51" i="9" s="1"/>
  <c r="G1428" i="13"/>
  <c r="BY52" i="9" a="1"/>
  <c r="BY52" i="9" s="1"/>
  <c r="N1430" i="13"/>
  <c r="HB52" i="9" a="1"/>
  <c r="HB52" i="9" s="1"/>
  <c r="M63" i="25" a="1"/>
  <c r="M63" i="25" s="1"/>
  <c r="FR51" i="9"/>
  <c r="O1430" i="13"/>
  <c r="HU52" i="9" a="1"/>
  <c r="HU52" i="9" s="1"/>
  <c r="L1428" i="13"/>
  <c r="FP52" i="9" a="1"/>
  <c r="FP52" i="9" s="1"/>
  <c r="G63" i="25" a="1"/>
  <c r="G63" i="25" s="1"/>
  <c r="BH51" i="9"/>
  <c r="I63" i="25" a="1"/>
  <c r="I63" i="25" s="1"/>
  <c r="CT51" i="9"/>
  <c r="J1394" i="13"/>
  <c r="ED51" i="9" a="1"/>
  <c r="ED51" i="9" s="1"/>
  <c r="EE51" i="9" s="1"/>
  <c r="G1396" i="13"/>
  <c r="BY51" i="9" a="1"/>
  <c r="BY51" i="9" s="1"/>
  <c r="K1394" i="13"/>
  <c r="EW51" i="9" a="1"/>
  <c r="EW51" i="9" s="1"/>
  <c r="P63" i="25" a="1"/>
  <c r="P63" i="25" s="1"/>
  <c r="HW51" i="9"/>
  <c r="K1364" i="13"/>
  <c r="EZ50" i="9" s="1" a="1"/>
  <c r="EZ50" i="9" s="1"/>
  <c r="J1364" i="13"/>
  <c r="EG50" i="9" s="1" a="1"/>
  <c r="EG50" i="9" s="1"/>
  <c r="EI50" i="9" s="1"/>
  <c r="EQ50" i="9" s="1"/>
  <c r="E1364" i="13"/>
  <c r="AP50" i="9" s="1" a="1"/>
  <c r="AP50" i="9" s="1"/>
  <c r="M1364" i="13"/>
  <c r="GL50" i="9" s="1" a="1"/>
  <c r="GL50" i="9" s="1"/>
  <c r="GN50" i="9" s="1"/>
  <c r="GV50" i="9" s="1"/>
  <c r="L62" i="25" a="1"/>
  <c r="L62" i="25" s="1"/>
  <c r="EY50" i="9"/>
  <c r="K62" i="25" a="1"/>
  <c r="K62" i="25" s="1"/>
  <c r="EF50" i="9"/>
  <c r="F62" i="25" a="1"/>
  <c r="F62" i="25" s="1"/>
  <c r="AO50" i="9"/>
  <c r="N62" i="25" a="1"/>
  <c r="N62" i="25" s="1"/>
  <c r="GK50" i="9"/>
  <c r="GJ50" i="9"/>
  <c r="FC49" i="9" a="1"/>
  <c r="FC49" i="9" s="1"/>
  <c r="Q61" i="25"/>
  <c r="H1425" i="13" a="1"/>
  <c r="H1425" i="13" s="1"/>
  <c r="H1426" i="13" s="1"/>
  <c r="H1427" i="13" s="1"/>
  <c r="M1423" i="13" a="1"/>
  <c r="M1423" i="13" s="1"/>
  <c r="M1424" i="13" s="1"/>
  <c r="M1427" i="13" s="1"/>
  <c r="D617" i="10"/>
  <c r="D1478" i="13" s="1" a="1"/>
  <c r="D1478" i="13" s="1"/>
  <c r="E620" i="10"/>
  <c r="E1480" i="13" s="1" a="1"/>
  <c r="E1480" i="13" s="1"/>
  <c r="E1491" i="13" s="1" a="1"/>
  <c r="E1491" i="13" s="1"/>
  <c r="E1492" i="13" s="1"/>
  <c r="D619" i="10"/>
  <c r="I1457" i="13" a="1"/>
  <c r="I1457" i="13" s="1"/>
  <c r="I1458" i="13" s="1"/>
  <c r="I1461" i="13" s="1"/>
  <c r="F1459" i="13" a="1"/>
  <c r="F1459" i="13" s="1"/>
  <c r="F1460" i="13" s="1"/>
  <c r="F1461" i="13" s="1"/>
  <c r="FO52" i="9" a="1"/>
  <c r="FO52" i="9" s="1"/>
  <c r="F1425" i="13" a="1"/>
  <c r="F1425" i="13" s="1"/>
  <c r="F1426" i="13" s="1"/>
  <c r="F1427" i="13" s="1"/>
  <c r="K1425" i="13" a="1"/>
  <c r="K1425" i="13" s="1"/>
  <c r="K1426" i="13" s="1"/>
  <c r="K1427" i="13" s="1"/>
  <c r="P630" i="10" a="1"/>
  <c r="P630" i="10" s="1"/>
  <c r="O1446" i="13" a="1"/>
  <c r="O1446" i="13" s="1"/>
  <c r="O1459" i="13" s="1" a="1"/>
  <c r="O1459" i="13" s="1"/>
  <c r="O1460" i="13" s="1"/>
  <c r="HS53" i="9" a="1"/>
  <c r="HS53" i="9" s="1"/>
  <c r="P65" i="27" s="1" a="1"/>
  <c r="P65" i="27" s="1"/>
  <c r="HY53" i="9" a="1"/>
  <c r="HY53" i="9" s="1"/>
  <c r="HT52" i="9" a="1"/>
  <c r="HT52" i="9" s="1"/>
  <c r="O1480" i="13" a="1"/>
  <c r="O1480" i="13" s="1"/>
  <c r="O1493" i="13" s="1" a="1"/>
  <c r="O1493" i="13" s="1"/>
  <c r="O1494" i="13" s="1"/>
  <c r="HS54" i="9" a="1"/>
  <c r="HS54" i="9" s="1"/>
  <c r="HY54" i="9" a="1"/>
  <c r="HY54" i="9" s="1"/>
  <c r="H619" i="10"/>
  <c r="HA52" i="9" a="1"/>
  <c r="HA52" i="9" s="1"/>
  <c r="M1459" i="13" a="1"/>
  <c r="M1459" i="13" s="1"/>
  <c r="M1460" i="13" s="1"/>
  <c r="M1461" i="13" s="1"/>
  <c r="N1480" i="13" a="1"/>
  <c r="N1480" i="13" s="1"/>
  <c r="N1493" i="13" s="1" a="1"/>
  <c r="N1493" i="13" s="1"/>
  <c r="N1494" i="13" s="1"/>
  <c r="HF54" i="9" a="1"/>
  <c r="HF54" i="9" s="1"/>
  <c r="GZ54" i="9" a="1"/>
  <c r="GZ54" i="9" s="1"/>
  <c r="N1446" i="13" a="1"/>
  <c r="N1446" i="13" s="1"/>
  <c r="N1459" i="13" s="1" a="1"/>
  <c r="N1459" i="13" s="1"/>
  <c r="N1460" i="13" s="1"/>
  <c r="GZ53" i="9" a="1"/>
  <c r="GZ53" i="9" s="1"/>
  <c r="O65" i="27" s="1" a="1"/>
  <c r="O65" i="27" s="1"/>
  <c r="HF53" i="9" a="1"/>
  <c r="HF53" i="9" s="1"/>
  <c r="M1480" i="13" a="1"/>
  <c r="M1480" i="13" s="1"/>
  <c r="M1491" i="13" s="1" a="1"/>
  <c r="M1491" i="13" s="1"/>
  <c r="M1492" i="13" s="1"/>
  <c r="GG54" i="9" a="1"/>
  <c r="GG54" i="9" s="1"/>
  <c r="GM54" i="9" a="1"/>
  <c r="GM54" i="9" s="1"/>
  <c r="L1446" i="13" a="1"/>
  <c r="L1446" i="13" s="1"/>
  <c r="L1459" i="13" s="1" a="1"/>
  <c r="L1459" i="13" s="1"/>
  <c r="L1460" i="13" s="1"/>
  <c r="FT53" i="9" a="1"/>
  <c r="FT53" i="9" s="1"/>
  <c r="FN53" i="9" a="1"/>
  <c r="FN53" i="9" s="1"/>
  <c r="M65" i="27" s="1" a="1"/>
  <c r="M65" i="27" s="1"/>
  <c r="I1425" i="13" a="1"/>
  <c r="I1425" i="13" s="1"/>
  <c r="I1426" i="13" s="1"/>
  <c r="I1427" i="13" s="1"/>
  <c r="K1446" i="13" a="1"/>
  <c r="K1446" i="13" s="1"/>
  <c r="K1457" i="13" s="1" a="1"/>
  <c r="K1457" i="13" s="1"/>
  <c r="K1458" i="13" s="1"/>
  <c r="EU53" i="9" a="1"/>
  <c r="EU53" i="9" s="1"/>
  <c r="L65" i="27" s="1" a="1"/>
  <c r="L65" i="27" s="1"/>
  <c r="FA53" i="9" a="1"/>
  <c r="FA53" i="9" s="1"/>
  <c r="L64" i="27" a="1"/>
  <c r="L64" i="27" s="1"/>
  <c r="J1446" i="13" a="1"/>
  <c r="J1446" i="13" s="1"/>
  <c r="J1459" i="13" s="1" a="1"/>
  <c r="J1459" i="13" s="1"/>
  <c r="J1460" i="13" s="1"/>
  <c r="EH53" i="9" a="1"/>
  <c r="EH53" i="9" s="1"/>
  <c r="EB53" i="9" a="1"/>
  <c r="EB53" i="9" s="1"/>
  <c r="K65" i="27" s="1" a="1"/>
  <c r="K65" i="27" s="1"/>
  <c r="J1480" i="13" a="1"/>
  <c r="J1480" i="13" s="1"/>
  <c r="J1491" i="13" s="1" a="1"/>
  <c r="J1491" i="13" s="1"/>
  <c r="J1492" i="13" s="1"/>
  <c r="EB54" i="9" a="1"/>
  <c r="EB54" i="9" s="1"/>
  <c r="EH54" i="9" a="1"/>
  <c r="EH54" i="9" s="1"/>
  <c r="BX52" i="9" a="1"/>
  <c r="BX52" i="9" s="1"/>
  <c r="EC52" i="9" a="1"/>
  <c r="EC52" i="9" s="1"/>
  <c r="I1480" i="13" a="1"/>
  <c r="I1480" i="13" s="1"/>
  <c r="I1491" i="13" s="1" a="1"/>
  <c r="I1491" i="13" s="1"/>
  <c r="I1492" i="13" s="1"/>
  <c r="DI54" i="9" a="1"/>
  <c r="DI54" i="9" s="1"/>
  <c r="DO54" i="9" a="1"/>
  <c r="DO54" i="9" s="1"/>
  <c r="H1446" i="13" a="1"/>
  <c r="H1446" i="13" s="1"/>
  <c r="H1459" i="13" s="1" a="1"/>
  <c r="H1459" i="13" s="1"/>
  <c r="H1460" i="13" s="1"/>
  <c r="CP53" i="9" a="1"/>
  <c r="CP53" i="9" s="1"/>
  <c r="I65" i="27" s="1" a="1"/>
  <c r="I65" i="27" s="1"/>
  <c r="CV53" i="9" a="1"/>
  <c r="CV53" i="9" s="1"/>
  <c r="G1446" i="13" a="1"/>
  <c r="G1446" i="13" s="1"/>
  <c r="G1459" i="13" s="1" a="1"/>
  <c r="G1459" i="13" s="1"/>
  <c r="G1460" i="13" s="1"/>
  <c r="BW53" i="9" a="1"/>
  <c r="BW53" i="9" s="1"/>
  <c r="H65" i="27" s="1" a="1"/>
  <c r="H65" i="27" s="1"/>
  <c r="CC53" i="9" a="1"/>
  <c r="CC53" i="9" s="1"/>
  <c r="BE52" i="9" a="1"/>
  <c r="BE52" i="9" s="1"/>
  <c r="G64" i="27" a="1"/>
  <c r="G64" i="27" s="1"/>
  <c r="E1446" i="13" a="1"/>
  <c r="E1446" i="13" s="1"/>
  <c r="E1457" i="13" s="1" a="1"/>
  <c r="E1457" i="13" s="1"/>
  <c r="E1458" i="13" s="1"/>
  <c r="AK53" i="9" a="1"/>
  <c r="AK53" i="9" s="1"/>
  <c r="F65" i="27" s="1" a="1"/>
  <c r="F65" i="27" s="1"/>
  <c r="AQ53" i="9" a="1"/>
  <c r="AQ53" i="9" s="1"/>
  <c r="AL52" i="9" a="1"/>
  <c r="AL52" i="9" s="1"/>
  <c r="D1446" i="13" a="1"/>
  <c r="D1446" i="13" s="1"/>
  <c r="D1459" i="13" s="1" a="1"/>
  <c r="D1459" i="13" s="1"/>
  <c r="D1460" i="13" s="1"/>
  <c r="R53" i="9" a="1"/>
  <c r="R53" i="9" s="1"/>
  <c r="E65" i="27" s="1" a="1"/>
  <c r="E65" i="27" s="1"/>
  <c r="D1423" i="13" a="1"/>
  <c r="D1423" i="13" s="1"/>
  <c r="D1424" i="13" s="1"/>
  <c r="D1425" i="13" a="1"/>
  <c r="D1425" i="13" s="1"/>
  <c r="D1426" i="13" s="1"/>
  <c r="H617" i="10"/>
  <c r="H1478" i="13" s="1" a="1"/>
  <c r="H1478" i="13" s="1"/>
  <c r="H1481" i="13" s="1" a="1"/>
  <c r="H1481" i="13" s="1"/>
  <c r="H1482" i="13" s="1"/>
  <c r="G1447" i="13" a="1"/>
  <c r="G1447" i="13" s="1"/>
  <c r="G1448" i="13" s="1"/>
  <c r="K617" i="10"/>
  <c r="K1478" i="13" s="1" a="1"/>
  <c r="K1478" i="13" s="1"/>
  <c r="K1483" i="13" s="1" a="1"/>
  <c r="K1483" i="13" s="1"/>
  <c r="K1484" i="13" s="1"/>
  <c r="K619" i="10"/>
  <c r="F617" i="10"/>
  <c r="F1478" i="13" s="1" a="1"/>
  <c r="F1478" i="13" s="1"/>
  <c r="F1481" i="13" s="1" a="1"/>
  <c r="F1481" i="13" s="1"/>
  <c r="F1482" i="13" s="1"/>
  <c r="E619" i="10"/>
  <c r="E617" i="10"/>
  <c r="E1478" i="13" s="1" a="1"/>
  <c r="E1478" i="13" s="1"/>
  <c r="E1481" i="13" s="1" a="1"/>
  <c r="E1481" i="13" s="1"/>
  <c r="E1482" i="13" s="1"/>
  <c r="N1454" i="13" a="1"/>
  <c r="N1454" i="13" s="1"/>
  <c r="N1455" i="13" s="1"/>
  <c r="N1456" i="13" s="1"/>
  <c r="G1430" i="13"/>
  <c r="G1432" i="13" s="1"/>
  <c r="CB52" i="9" s="1" a="1"/>
  <c r="CB52" i="9" s="1"/>
  <c r="F619" i="10"/>
  <c r="G1454" i="13" a="1"/>
  <c r="G1454" i="13" s="1"/>
  <c r="G1455" i="13" s="1"/>
  <c r="G1456" i="13" s="1"/>
  <c r="M630" i="10" a="1"/>
  <c r="M630" i="10" s="1"/>
  <c r="M633" i="10" s="1"/>
  <c r="L617" i="10"/>
  <c r="L1478" i="13" s="1" a="1"/>
  <c r="L1478" i="13" s="1"/>
  <c r="L1481" i="13" s="1" a="1"/>
  <c r="L1481" i="13" s="1"/>
  <c r="L1482" i="13" s="1"/>
  <c r="L618" i="10"/>
  <c r="L1479" i="13" s="1" a="1"/>
  <c r="L1479" i="13" s="1"/>
  <c r="L1488" i="13" s="1" a="1"/>
  <c r="L1488" i="13" s="1"/>
  <c r="L1489" i="13" s="1"/>
  <c r="P604" i="10"/>
  <c r="M1422" i="13"/>
  <c r="H1422" i="13"/>
  <c r="P605" i="10"/>
  <c r="I1451" i="13"/>
  <c r="M1456" i="13"/>
  <c r="D1422" i="13"/>
  <c r="G630" i="10" a="1"/>
  <c r="G630" i="10" s="1"/>
  <c r="G633" i="10" s="1"/>
  <c r="N1451" i="13"/>
  <c r="I1456" i="13"/>
  <c r="O630" i="10" a="1"/>
  <c r="O630" i="10" s="1"/>
  <c r="O633" i="10" s="1"/>
  <c r="L1451" i="13"/>
  <c r="D1417" i="13"/>
  <c r="H1417" i="13"/>
  <c r="I631" i="10"/>
  <c r="I1512" i="13" s="1" a="1"/>
  <c r="I1512" i="13" s="1"/>
  <c r="I632" i="10"/>
  <c r="I1513" i="13" s="1" a="1"/>
  <c r="I1513" i="13" s="1"/>
  <c r="I633" i="10"/>
  <c r="E633" i="10"/>
  <c r="E631" i="10"/>
  <c r="E1512" i="13" s="1" a="1"/>
  <c r="E1512" i="13" s="1"/>
  <c r="E632" i="10"/>
  <c r="E1513" i="13" s="1" a="1"/>
  <c r="E1513" i="13" s="1"/>
  <c r="D632" i="10"/>
  <c r="D633" i="10"/>
  <c r="D631" i="10"/>
  <c r="N633" i="10"/>
  <c r="N631" i="10"/>
  <c r="N1512" i="13" s="1" a="1"/>
  <c r="N1512" i="13" s="1"/>
  <c r="N632" i="10"/>
  <c r="N1513" i="13" s="1" a="1"/>
  <c r="N1513" i="13" s="1"/>
  <c r="H633" i="10"/>
  <c r="H631" i="10"/>
  <c r="H1512" i="13" s="1" a="1"/>
  <c r="H1512" i="13" s="1"/>
  <c r="H632" i="10"/>
  <c r="H1513" i="13" s="1" a="1"/>
  <c r="H1513" i="13" s="1"/>
  <c r="K631" i="10"/>
  <c r="K1512" i="13" s="1" a="1"/>
  <c r="K1512" i="13" s="1"/>
  <c r="K632" i="10"/>
  <c r="K1513" i="13" s="1" a="1"/>
  <c r="K1513" i="13" s="1"/>
  <c r="K633" i="10"/>
  <c r="F631" i="10"/>
  <c r="F1512" i="13" s="1" a="1"/>
  <c r="F1512" i="13" s="1"/>
  <c r="F632" i="10"/>
  <c r="F1513" i="13" s="1" a="1"/>
  <c r="F1513" i="13" s="1"/>
  <c r="F633" i="10"/>
  <c r="L632" i="10"/>
  <c r="L1513" i="13" s="1" a="1"/>
  <c r="L1513" i="13" s="1"/>
  <c r="L633" i="10"/>
  <c r="L631" i="10"/>
  <c r="L1512" i="13" s="1" a="1"/>
  <c r="L1512" i="13" s="1"/>
  <c r="J633" i="10"/>
  <c r="J631" i="10"/>
  <c r="J1512" i="13" s="1" a="1"/>
  <c r="J1512" i="13" s="1"/>
  <c r="J632" i="10"/>
  <c r="J1513" i="13" s="1" a="1"/>
  <c r="J1513" i="13" s="1"/>
  <c r="H1488" i="13" a="1"/>
  <c r="H1488" i="13" s="1"/>
  <c r="H1489" i="13" s="1"/>
  <c r="H1486" i="13" a="1"/>
  <c r="H1486" i="13" s="1"/>
  <c r="H1487" i="13" s="1"/>
  <c r="M1417" i="13"/>
  <c r="H1452" i="13" a="1"/>
  <c r="H1452" i="13" s="1"/>
  <c r="H1453" i="13" s="1"/>
  <c r="H1454" i="13" a="1"/>
  <c r="H1454" i="13" s="1"/>
  <c r="H1455" i="13" s="1"/>
  <c r="J1454" i="13" a="1"/>
  <c r="J1454" i="13" s="1"/>
  <c r="J1455" i="13" s="1"/>
  <c r="J1452" i="13" a="1"/>
  <c r="J1452" i="13" s="1"/>
  <c r="J1453" i="13" s="1"/>
  <c r="M1488" i="13" a="1"/>
  <c r="M1488" i="13" s="1"/>
  <c r="M1489" i="13" s="1"/>
  <c r="M1486" i="13" a="1"/>
  <c r="M1486" i="13" s="1"/>
  <c r="M1487" i="13" s="1"/>
  <c r="E1454" i="13" a="1"/>
  <c r="E1454" i="13" s="1"/>
  <c r="E1455" i="13" s="1"/>
  <c r="E1452" i="13" a="1"/>
  <c r="E1452" i="13" s="1"/>
  <c r="E1453" i="13" s="1"/>
  <c r="H1449" i="13" a="1"/>
  <c r="H1449" i="13" s="1"/>
  <c r="H1450" i="13" s="1"/>
  <c r="H1447" i="13" a="1"/>
  <c r="H1447" i="13" s="1"/>
  <c r="H1448" i="13" s="1"/>
  <c r="J1449" i="13" a="1"/>
  <c r="J1449" i="13" s="1"/>
  <c r="J1450" i="13" s="1"/>
  <c r="J1447" i="13" a="1"/>
  <c r="J1447" i="13" s="1"/>
  <c r="J1448" i="13" s="1"/>
  <c r="G1483" i="13" a="1"/>
  <c r="G1483" i="13" s="1"/>
  <c r="G1484" i="13" s="1"/>
  <c r="G1481" i="13" a="1"/>
  <c r="G1481" i="13" s="1"/>
  <c r="G1482" i="13" s="1"/>
  <c r="N1483" i="13" a="1"/>
  <c r="N1483" i="13" s="1"/>
  <c r="N1484" i="13" s="1"/>
  <c r="N1481" i="13" a="1"/>
  <c r="N1481" i="13" s="1"/>
  <c r="N1482" i="13" s="1"/>
  <c r="G1394" i="13"/>
  <c r="G1398" i="13" s="1"/>
  <c r="CB51" i="9" s="1" a="1"/>
  <c r="CB51" i="9" s="1"/>
  <c r="F1451" i="13"/>
  <c r="P603" i="10"/>
  <c r="K1452" i="13" a="1"/>
  <c r="K1452" i="13" s="1"/>
  <c r="K1453" i="13" s="1"/>
  <c r="K1454" i="13" a="1"/>
  <c r="K1454" i="13" s="1"/>
  <c r="K1455" i="13" s="1"/>
  <c r="G1486" i="13" a="1"/>
  <c r="G1486" i="13" s="1"/>
  <c r="G1487" i="13" s="1"/>
  <c r="G1488" i="13" a="1"/>
  <c r="G1488" i="13" s="1"/>
  <c r="G1489" i="13" s="1"/>
  <c r="O1483" i="13" a="1"/>
  <c r="O1483" i="13" s="1"/>
  <c r="O1484" i="13" s="1"/>
  <c r="O1481" i="13" a="1"/>
  <c r="O1481" i="13" s="1"/>
  <c r="O1482" i="13" s="1"/>
  <c r="E1396" i="13"/>
  <c r="I1422" i="13"/>
  <c r="D1449" i="13" a="1"/>
  <c r="D1449" i="13" s="1"/>
  <c r="D1450" i="13" s="1"/>
  <c r="D1447" i="13" a="1"/>
  <c r="D1447" i="13" s="1"/>
  <c r="D1448" i="13" s="1"/>
  <c r="E1488" i="13" a="1"/>
  <c r="E1488" i="13" s="1"/>
  <c r="E1489" i="13" s="1"/>
  <c r="E1486" i="13" a="1"/>
  <c r="E1486" i="13" s="1"/>
  <c r="E1487" i="13" s="1"/>
  <c r="F1486" i="13" a="1"/>
  <c r="F1486" i="13" s="1"/>
  <c r="F1487" i="13" s="1"/>
  <c r="F1488" i="13" a="1"/>
  <c r="F1488" i="13" s="1"/>
  <c r="F1489" i="13" s="1"/>
  <c r="K1417" i="13"/>
  <c r="M1451" i="13"/>
  <c r="K1447" i="13" a="1"/>
  <c r="K1447" i="13" s="1"/>
  <c r="K1448" i="13" s="1"/>
  <c r="K1449" i="13" a="1"/>
  <c r="K1449" i="13" s="1"/>
  <c r="K1450" i="13" s="1"/>
  <c r="F1456" i="13"/>
  <c r="J1488" i="13" a="1"/>
  <c r="J1488" i="13" s="1"/>
  <c r="J1489" i="13" s="1"/>
  <c r="J1486" i="13" a="1"/>
  <c r="J1486" i="13" s="1"/>
  <c r="J1487" i="13" s="1"/>
  <c r="O1488" i="13" a="1"/>
  <c r="O1488" i="13" s="1"/>
  <c r="O1489" i="13" s="1"/>
  <c r="O1486" i="13" a="1"/>
  <c r="O1486" i="13" s="1"/>
  <c r="O1487" i="13" s="1"/>
  <c r="J1396" i="13"/>
  <c r="D1454" i="13" a="1"/>
  <c r="D1454" i="13" s="1"/>
  <c r="D1455" i="13" s="1"/>
  <c r="D1452" i="13" a="1"/>
  <c r="D1452" i="13" s="1"/>
  <c r="D1453" i="13" s="1"/>
  <c r="I1417" i="13"/>
  <c r="K1422" i="13"/>
  <c r="O1452" i="13" a="1"/>
  <c r="O1452" i="13" s="1"/>
  <c r="O1453" i="13" s="1"/>
  <c r="O1454" i="13" a="1"/>
  <c r="O1454" i="13" s="1"/>
  <c r="O1455" i="13" s="1"/>
  <c r="D1479" i="13" a="1"/>
  <c r="D1479" i="13" s="1"/>
  <c r="M1481" i="13" a="1"/>
  <c r="M1481" i="13" s="1"/>
  <c r="M1482" i="13" s="1"/>
  <c r="M1483" i="13" a="1"/>
  <c r="M1483" i="13" s="1"/>
  <c r="M1484" i="13" s="1"/>
  <c r="J1481" i="13" a="1"/>
  <c r="J1481" i="13" s="1"/>
  <c r="J1482" i="13" s="1"/>
  <c r="J1483" i="13" a="1"/>
  <c r="J1483" i="13" s="1"/>
  <c r="J1484" i="13" s="1"/>
  <c r="I1488" i="13" a="1"/>
  <c r="I1488" i="13" s="1"/>
  <c r="I1489" i="13" s="1"/>
  <c r="I1486" i="13" a="1"/>
  <c r="I1486" i="13" s="1"/>
  <c r="I1487" i="13" s="1"/>
  <c r="K1488" i="13" a="1"/>
  <c r="K1488" i="13" s="1"/>
  <c r="K1489" i="13" s="1"/>
  <c r="K1486" i="13" a="1"/>
  <c r="K1486" i="13" s="1"/>
  <c r="K1487" i="13" s="1"/>
  <c r="E1449" i="13" a="1"/>
  <c r="E1449" i="13" s="1"/>
  <c r="E1450" i="13" s="1"/>
  <c r="E1447" i="13" a="1"/>
  <c r="E1447" i="13" s="1"/>
  <c r="E1448" i="13" s="1"/>
  <c r="L1456" i="13"/>
  <c r="O1449" i="13" a="1"/>
  <c r="O1449" i="13" s="1"/>
  <c r="O1450" i="13" s="1"/>
  <c r="O1447" i="13" a="1"/>
  <c r="O1447" i="13" s="1"/>
  <c r="O1448" i="13" s="1"/>
  <c r="G1451" i="13"/>
  <c r="N1488" i="13" a="1"/>
  <c r="N1488" i="13" s="1"/>
  <c r="N1489" i="13" s="1"/>
  <c r="N1486" i="13" a="1"/>
  <c r="N1486" i="13" s="1"/>
  <c r="N1487" i="13" s="1"/>
  <c r="I1481" i="13" a="1"/>
  <c r="I1481" i="13" s="1"/>
  <c r="I1482" i="13" s="1"/>
  <c r="I1483" i="13" a="1"/>
  <c r="I1483" i="13" s="1"/>
  <c r="I1484" i="13" s="1"/>
  <c r="J1428" i="13"/>
  <c r="E1428" i="13"/>
  <c r="D1394" i="13"/>
  <c r="K1396" i="13"/>
  <c r="L1430" i="13"/>
  <c r="L1432" i="13" s="1"/>
  <c r="FS52" i="9" s="1" a="1"/>
  <c r="FS52" i="9" s="1"/>
  <c r="N1428" i="13"/>
  <c r="M1394" i="13"/>
  <c r="O1428" i="13"/>
  <c r="I1394" i="13"/>
  <c r="G65" i="27" a="1"/>
  <c r="G65" i="27" s="1"/>
  <c r="J65" i="27" a="1"/>
  <c r="J65" i="27" s="1"/>
  <c r="N65" i="27" a="1"/>
  <c r="N65" i="27" s="1"/>
  <c r="G620" i="10"/>
  <c r="DQ49" i="9" a="1"/>
  <c r="DQ49" i="9" s="1"/>
  <c r="DY49" i="9" s="1"/>
  <c r="K62" i="24" s="1" a="1"/>
  <c r="K62" i="24" s="1"/>
  <c r="DQ48" i="9" a="1"/>
  <c r="DQ48" i="9" s="1"/>
  <c r="DY48" i="9" s="1"/>
  <c r="K61" i="24" s="1" a="1"/>
  <c r="K61" i="24" s="1"/>
  <c r="AR50" i="9"/>
  <c r="AZ50" i="9" s="1"/>
  <c r="CX49" i="9" a="1"/>
  <c r="CX49" i="9" s="1"/>
  <c r="DF49" i="9" s="1"/>
  <c r="J62" i="24" s="1" a="1"/>
  <c r="J62" i="24" s="1"/>
  <c r="FV49" i="9" a="1"/>
  <c r="FV49" i="9" s="1"/>
  <c r="GD49" i="9" s="1"/>
  <c r="N62" i="24" s="1" a="1"/>
  <c r="N62" i="24" s="1"/>
  <c r="CE49" i="9" a="1"/>
  <c r="CE49" i="9" s="1"/>
  <c r="CM49" i="9" s="1"/>
  <c r="I62" i="24" s="1" a="1"/>
  <c r="I62" i="24" s="1"/>
  <c r="IJ47" i="9"/>
  <c r="IK47" i="9" s="1"/>
  <c r="IN47" i="9"/>
  <c r="IO47" i="9" s="1"/>
  <c r="GO49" i="9" a="1"/>
  <c r="GO49" i="9" s="1"/>
  <c r="GW49" i="9" s="1"/>
  <c r="O62" i="24" s="1" a="1"/>
  <c r="O62" i="24" s="1"/>
  <c r="BL49" i="9" a="1"/>
  <c r="BL49" i="9" s="1"/>
  <c r="BT49" i="9" s="1"/>
  <c r="H62" i="24" s="1" a="1"/>
  <c r="H62" i="24" s="1"/>
  <c r="AS48" i="9" a="1"/>
  <c r="AS48" i="9" s="1"/>
  <c r="BA48" i="9" s="1"/>
  <c r="G61" i="24" s="1" a="1"/>
  <c r="G61" i="24" s="1"/>
  <c r="AS49" i="9" a="1"/>
  <c r="AS49" i="9" s="1"/>
  <c r="BA49" i="9" s="1"/>
  <c r="G62" i="24" s="1" a="1"/>
  <c r="G62" i="24" s="1"/>
  <c r="FJ49" i="9"/>
  <c r="HH49" i="9" a="1"/>
  <c r="HH49" i="9" s="1"/>
  <c r="HP49" i="9" s="1"/>
  <c r="P62" i="24" s="1" a="1"/>
  <c r="P62" i="24" s="1"/>
  <c r="IA49" i="9" a="1"/>
  <c r="IA49" i="9" s="1"/>
  <c r="II49" i="9" s="1"/>
  <c r="Q62" i="24" s="1" a="1"/>
  <c r="Q62" i="24" s="1"/>
  <c r="U50" i="9"/>
  <c r="EJ49" i="9" a="1"/>
  <c r="EJ49" i="9" s="1"/>
  <c r="ER49" i="9" s="1"/>
  <c r="L62" i="24" s="1" a="1"/>
  <c r="L62" i="24" s="1"/>
  <c r="GD48" i="9"/>
  <c r="N61" i="24" s="1" a="1"/>
  <c r="N61" i="24" s="1"/>
  <c r="HG50" i="9"/>
  <c r="HO50" i="9" s="1"/>
  <c r="FU50" i="9"/>
  <c r="GC50" i="9" s="1"/>
  <c r="W49" i="9" a="1"/>
  <c r="W49" i="9" s="1"/>
  <c r="Y49" i="9" s="1"/>
  <c r="AG49" i="9" s="1"/>
  <c r="HZ50" i="9"/>
  <c r="IH50" i="9" s="1"/>
  <c r="BK50" i="9"/>
  <c r="BS50" i="9" s="1"/>
  <c r="DP50" i="9"/>
  <c r="DX50" i="9" s="1"/>
  <c r="CW50" i="9"/>
  <c r="DE50" i="9" s="1"/>
  <c r="M628" i="10"/>
  <c r="GF55" i="9" s="1" a="1"/>
  <c r="GF55" i="9" s="1"/>
  <c r="E628" i="10"/>
  <c r="AJ55" i="9" s="1" a="1"/>
  <c r="AJ55" i="9" s="1"/>
  <c r="N628" i="10"/>
  <c r="GY55" i="9" s="1" a="1"/>
  <c r="GY55" i="9" s="1"/>
  <c r="L628" i="10"/>
  <c r="FM55" i="9" s="1" a="1"/>
  <c r="FM55" i="9" s="1"/>
  <c r="K628" i="10"/>
  <c r="ET55" i="9" s="1" a="1"/>
  <c r="ET55" i="9" s="1"/>
  <c r="F628" i="10"/>
  <c r="BC55" i="9" s="1" a="1"/>
  <c r="BC55" i="9" s="1"/>
  <c r="I628" i="10"/>
  <c r="DH55" i="9" s="1" a="1"/>
  <c r="DH55" i="9" s="1"/>
  <c r="F620" i="10"/>
  <c r="L620" i="10"/>
  <c r="G628" i="10"/>
  <c r="BV55" i="9" s="1" a="1"/>
  <c r="BV55" i="9" s="1"/>
  <c r="K634" i="10"/>
  <c r="I634" i="10"/>
  <c r="L634" i="10"/>
  <c r="N634" i="10"/>
  <c r="J628" i="10"/>
  <c r="EA55" i="9" s="1" a="1"/>
  <c r="EA55" i="9" s="1"/>
  <c r="M641" i="10"/>
  <c r="M644" i="10" s="1" a="1"/>
  <c r="M644" i="10" s="1"/>
  <c r="G641" i="10"/>
  <c r="G644" i="10" s="1" a="1"/>
  <c r="G644" i="10" s="1"/>
  <c r="E641" i="10"/>
  <c r="B642" i="10"/>
  <c r="B643" i="10" s="1"/>
  <c r="B644" i="10" s="1"/>
  <c r="B645" i="10" s="1"/>
  <c r="B646" i="10" s="1"/>
  <c r="B647" i="10" s="1"/>
  <c r="B648" i="10" s="1"/>
  <c r="D641" i="10"/>
  <c r="D644" i="10" s="1" a="1"/>
  <c r="D644" i="10" s="1"/>
  <c r="N641" i="10"/>
  <c r="N644" i="10" s="1" a="1"/>
  <c r="N644" i="10" s="1"/>
  <c r="J641" i="10"/>
  <c r="J644" i="10" s="1" a="1"/>
  <c r="J644" i="10" s="1"/>
  <c r="I641" i="10"/>
  <c r="P641" i="10"/>
  <c r="P642" i="10" s="1"/>
  <c r="F641" i="10"/>
  <c r="O641" i="10"/>
  <c r="O644" i="10" s="1" a="1"/>
  <c r="O644" i="10" s="1"/>
  <c r="L641" i="10"/>
  <c r="H641" i="10"/>
  <c r="H644" i="10" s="1" a="1"/>
  <c r="H644" i="10" s="1"/>
  <c r="K641" i="10"/>
  <c r="F643" i="10"/>
  <c r="F640" i="10"/>
  <c r="I643" i="10"/>
  <c r="I640" i="10"/>
  <c r="H640" i="10"/>
  <c r="P643" i="10"/>
  <c r="D628" i="10"/>
  <c r="Q55" i="9" s="1" a="1"/>
  <c r="Q55" i="9" s="1"/>
  <c r="K643" i="10"/>
  <c r="K640" i="10"/>
  <c r="M640" i="10"/>
  <c r="I650" i="10"/>
  <c r="I657" i="10" s="1"/>
  <c r="G650" i="10"/>
  <c r="B654" i="10"/>
  <c r="B655" i="10" s="1"/>
  <c r="K650" i="10"/>
  <c r="K657" i="10" s="1"/>
  <c r="B651" i="10"/>
  <c r="B652" i="10" s="1"/>
  <c r="B653" i="10" s="1"/>
  <c r="P650" i="10"/>
  <c r="P654" i="10" s="1"/>
  <c r="F650" i="10"/>
  <c r="F657" i="10" s="1"/>
  <c r="H650" i="10"/>
  <c r="H657" i="10" s="1"/>
  <c r="N650" i="10"/>
  <c r="M650" i="10"/>
  <c r="L650" i="10"/>
  <c r="L657" i="10" s="1"/>
  <c r="E650" i="10"/>
  <c r="D650" i="10"/>
  <c r="D657" i="10" s="1"/>
  <c r="J650" i="10"/>
  <c r="O650" i="10"/>
  <c r="O657" i="10" s="1"/>
  <c r="P606" i="10"/>
  <c r="N640" i="10"/>
  <c r="E634" i="10"/>
  <c r="H634" i="10"/>
  <c r="H628" i="10"/>
  <c r="CO55" i="9" s="1" a="1"/>
  <c r="CO55" i="9" s="1"/>
  <c r="D640" i="10"/>
  <c r="G640" i="10"/>
  <c r="L663" i="10"/>
  <c r="N663" i="10"/>
  <c r="J663" i="10"/>
  <c r="G663" i="10"/>
  <c r="D663" i="10"/>
  <c r="F663" i="10"/>
  <c r="E663" i="10"/>
  <c r="K663" i="10"/>
  <c r="O663" i="10"/>
  <c r="I663" i="10"/>
  <c r="P663" i="10"/>
  <c r="H663" i="10"/>
  <c r="M663" i="10"/>
  <c r="B664" i="10"/>
  <c r="K620" i="10"/>
  <c r="J640" i="10"/>
  <c r="B677" i="10" a="1"/>
  <c r="B677" i="10" s="1"/>
  <c r="A677" i="10" a="1"/>
  <c r="A677" i="10" s="1"/>
  <c r="E643" i="10"/>
  <c r="E640" i="10"/>
  <c r="H620" i="10"/>
  <c r="D620" i="10"/>
  <c r="X54" i="9" s="1" a="1"/>
  <c r="X54" i="9" s="1"/>
  <c r="L643" i="10"/>
  <c r="L640" i="10"/>
  <c r="O640" i="10"/>
  <c r="AG48" i="9"/>
  <c r="Z48" i="9" a="1"/>
  <c r="Z48" i="9" s="1"/>
  <c r="R691" i="10"/>
  <c r="N1432" i="13" l="1"/>
  <c r="HE52" i="9" s="1" a="1"/>
  <c r="HE52" i="9" s="1"/>
  <c r="AN52" i="9"/>
  <c r="M1398" i="13"/>
  <c r="GL51" i="9" s="1" a="1"/>
  <c r="GL51" i="9" s="1"/>
  <c r="K1398" i="13"/>
  <c r="EZ51" i="9" s="1" a="1"/>
  <c r="EZ51" i="9" s="1"/>
  <c r="FB51" i="9" s="1"/>
  <c r="FJ51" i="9" s="1"/>
  <c r="BZ52" i="9"/>
  <c r="V51" i="9"/>
  <c r="J1432" i="13"/>
  <c r="EG52" i="9" s="1" a="1"/>
  <c r="EG52" i="9" s="1"/>
  <c r="J1398" i="13"/>
  <c r="EG51" i="9" s="1" a="1"/>
  <c r="EG51" i="9" s="1"/>
  <c r="EI51" i="9" s="1"/>
  <c r="EQ51" i="9" s="1"/>
  <c r="I1398" i="13"/>
  <c r="DN51" i="9" s="1" a="1"/>
  <c r="DN51" i="9" s="1"/>
  <c r="O1432" i="13"/>
  <c r="HX52" i="9" s="1" a="1"/>
  <c r="HX52" i="9" s="1"/>
  <c r="D1398" i="13"/>
  <c r="HC52" i="9"/>
  <c r="E1398" i="13"/>
  <c r="AP51" i="9" s="1" a="1"/>
  <c r="AP51" i="9" s="1"/>
  <c r="AR51" i="9" s="1"/>
  <c r="AZ51" i="9" s="1"/>
  <c r="FQ52" i="9"/>
  <c r="E1432" i="13"/>
  <c r="AP52" i="9" s="1" a="1"/>
  <c r="AP52" i="9" s="1"/>
  <c r="HV52" i="9"/>
  <c r="EE52" i="9"/>
  <c r="F1464" i="13"/>
  <c r="BF53" i="9" a="1"/>
  <c r="BF53" i="9" s="1"/>
  <c r="L63" i="25" a="1"/>
  <c r="L63" i="25" s="1"/>
  <c r="EY51" i="9"/>
  <c r="EX51" i="9"/>
  <c r="H64" i="25" a="1"/>
  <c r="H64" i="25" s="1"/>
  <c r="CA52" i="9"/>
  <c r="F64" i="25" a="1"/>
  <c r="F64" i="25" s="1"/>
  <c r="AO52" i="9"/>
  <c r="M1464" i="13"/>
  <c r="GI53" i="9" a="1"/>
  <c r="GI53" i="9" s="1"/>
  <c r="I1462" i="13"/>
  <c r="DK53" i="9" a="1"/>
  <c r="DK53" i="9" s="1"/>
  <c r="F63" i="25" a="1"/>
  <c r="F63" i="25" s="1"/>
  <c r="AO51" i="9"/>
  <c r="K64" i="25" a="1"/>
  <c r="K64" i="25" s="1"/>
  <c r="EF52" i="9"/>
  <c r="H63" i="25" a="1"/>
  <c r="H63" i="25" s="1"/>
  <c r="CA51" i="9"/>
  <c r="I1430" i="13"/>
  <c r="DK52" i="9" a="1"/>
  <c r="DK52" i="9" s="1"/>
  <c r="M64" i="25" a="1"/>
  <c r="M64" i="25" s="1"/>
  <c r="FR52" i="9"/>
  <c r="O64" i="25" a="1"/>
  <c r="O64" i="25" s="1"/>
  <c r="HD52" i="9"/>
  <c r="J63" i="25" a="1"/>
  <c r="J63" i="25" s="1"/>
  <c r="DM51" i="9"/>
  <c r="K1428" i="13"/>
  <c r="EW52" i="9" a="1"/>
  <c r="EW52" i="9" s="1"/>
  <c r="M1428" i="13"/>
  <c r="GI52" i="9" a="1"/>
  <c r="GI52" i="9" s="1"/>
  <c r="K63" i="25" a="1"/>
  <c r="K63" i="25" s="1"/>
  <c r="EF51" i="9"/>
  <c r="F1428" i="13"/>
  <c r="BF52" i="9" a="1"/>
  <c r="BF52" i="9" s="1"/>
  <c r="H1430" i="13"/>
  <c r="CR52" i="9" a="1"/>
  <c r="CR52" i="9" s="1"/>
  <c r="P64" i="25" a="1"/>
  <c r="P64" i="25" s="1"/>
  <c r="HW52" i="9"/>
  <c r="N63" i="25" a="1"/>
  <c r="N63" i="25" s="1"/>
  <c r="GK51" i="9"/>
  <c r="BZ51" i="9"/>
  <c r="FK49" i="9"/>
  <c r="M62" i="24" s="1" a="1"/>
  <c r="M62" i="24" s="1"/>
  <c r="Q62" i="25"/>
  <c r="N1491" i="13" a="1"/>
  <c r="N1491" i="13" s="1"/>
  <c r="N1492" i="13" s="1"/>
  <c r="N1495" i="13" s="1"/>
  <c r="AK54" i="9" a="1"/>
  <c r="AK54" i="9" s="1"/>
  <c r="F66" i="27" s="1" a="1"/>
  <c r="F66" i="27" s="1"/>
  <c r="L1457" i="13" a="1"/>
  <c r="L1457" i="13" s="1"/>
  <c r="L1458" i="13" s="1"/>
  <c r="L1461" i="13" s="1"/>
  <c r="K1481" i="13" a="1"/>
  <c r="K1481" i="13" s="1"/>
  <c r="K1482" i="13" s="1"/>
  <c r="K1485" i="13" s="1"/>
  <c r="D1457" i="13" a="1"/>
  <c r="D1457" i="13" s="1"/>
  <c r="D1458" i="13" s="1"/>
  <c r="D1461" i="13" s="1"/>
  <c r="N1457" i="13" a="1"/>
  <c r="N1457" i="13" s="1"/>
  <c r="N1458" i="13" s="1"/>
  <c r="N1461" i="13" s="1"/>
  <c r="J1457" i="13" a="1"/>
  <c r="J1457" i="13" s="1"/>
  <c r="J1458" i="13" s="1"/>
  <c r="J1461" i="13" s="1"/>
  <c r="I1493" i="13" a="1"/>
  <c r="I1493" i="13" s="1"/>
  <c r="I1494" i="13" s="1"/>
  <c r="I1495" i="13" s="1"/>
  <c r="F1483" i="13" a="1"/>
  <c r="F1483" i="13" s="1"/>
  <c r="F1484" i="13" s="1"/>
  <c r="F1485" i="13" s="1"/>
  <c r="O1491" i="13" a="1"/>
  <c r="O1491" i="13" s="1"/>
  <c r="O1492" i="13" s="1"/>
  <c r="O1495" i="13" s="1"/>
  <c r="AQ54" i="9" a="1"/>
  <c r="AQ54" i="9" s="1"/>
  <c r="H1457" i="13" a="1"/>
  <c r="H1457" i="13" s="1"/>
  <c r="H1458" i="13" s="1"/>
  <c r="H1461" i="13" s="1"/>
  <c r="E1493" i="13" a="1"/>
  <c r="E1493" i="13" s="1"/>
  <c r="E1494" i="13" s="1"/>
  <c r="E1495" i="13" s="1"/>
  <c r="K1459" i="13" a="1"/>
  <c r="K1459" i="13" s="1"/>
  <c r="K1460" i="13" s="1"/>
  <c r="K1461" i="13" s="1"/>
  <c r="FO53" i="9" a="1"/>
  <c r="FO53" i="9" s="1"/>
  <c r="O1457" i="13" a="1"/>
  <c r="O1457" i="13" s="1"/>
  <c r="O1458" i="13" s="1"/>
  <c r="O1461" i="13" s="1"/>
  <c r="L1486" i="13" a="1"/>
  <c r="L1486" i="13" s="1"/>
  <c r="L1487" i="13" s="1"/>
  <c r="L1490" i="13" s="1"/>
  <c r="J1493" i="13" a="1"/>
  <c r="J1493" i="13" s="1"/>
  <c r="J1494" i="13" s="1"/>
  <c r="J1495" i="13" s="1"/>
  <c r="P618" i="10"/>
  <c r="DJ53" i="9" a="1"/>
  <c r="DJ53" i="9" s="1"/>
  <c r="H1483" i="13" a="1"/>
  <c r="H1483" i="13" s="1"/>
  <c r="H1484" i="13" s="1"/>
  <c r="H1485" i="13" s="1"/>
  <c r="E1459" i="13" a="1"/>
  <c r="E1459" i="13" s="1"/>
  <c r="E1460" i="13" s="1"/>
  <c r="E1461" i="13" s="1"/>
  <c r="G1457" i="13" a="1"/>
  <c r="G1457" i="13" s="1"/>
  <c r="G1458" i="13" s="1"/>
  <c r="G1461" i="13" s="1"/>
  <c r="HA53" i="9" a="1"/>
  <c r="HA53" i="9" s="1"/>
  <c r="E1483" i="13" a="1"/>
  <c r="E1483" i="13" s="1"/>
  <c r="E1484" i="13" s="1"/>
  <c r="E1485" i="13" s="1"/>
  <c r="M1493" i="13" a="1"/>
  <c r="M1493" i="13" s="1"/>
  <c r="M1494" i="13" s="1"/>
  <c r="M1495" i="13" s="1"/>
  <c r="BE53" i="9" a="1"/>
  <c r="BE53" i="9" s="1"/>
  <c r="N1514" i="13" a="1"/>
  <c r="N1514" i="13" s="1"/>
  <c r="N1525" i="13" s="1" a="1"/>
  <c r="N1525" i="13" s="1"/>
  <c r="N1526" i="13" s="1"/>
  <c r="HF55" i="9" a="1"/>
  <c r="HF55" i="9" s="1"/>
  <c r="GZ55" i="9" a="1"/>
  <c r="GZ55" i="9" s="1"/>
  <c r="GH53" i="9" a="1"/>
  <c r="GH53" i="9" s="1"/>
  <c r="GJ53" i="9" s="1"/>
  <c r="GH52" i="9" a="1"/>
  <c r="GH52" i="9" s="1"/>
  <c r="L1514" i="13" a="1"/>
  <c r="L1514" i="13" s="1"/>
  <c r="L1525" i="13" s="1" a="1"/>
  <c r="L1525" i="13" s="1"/>
  <c r="L1526" i="13" s="1"/>
  <c r="FT55" i="9" a="1"/>
  <c r="FT55" i="9" s="1"/>
  <c r="FN55" i="9" a="1"/>
  <c r="FN55" i="9" s="1"/>
  <c r="L1480" i="13" a="1"/>
  <c r="L1480" i="13" s="1"/>
  <c r="L1491" i="13" s="1" a="1"/>
  <c r="L1491" i="13" s="1"/>
  <c r="L1492" i="13" s="1"/>
  <c r="FT54" i="9" a="1"/>
  <c r="FT54" i="9" s="1"/>
  <c r="FN54" i="9" a="1"/>
  <c r="FN54" i="9" s="1"/>
  <c r="M66" i="27" s="1" a="1"/>
  <c r="M66" i="27" s="1"/>
  <c r="K1480" i="13" a="1"/>
  <c r="K1480" i="13" s="1"/>
  <c r="K1491" i="13" s="1" a="1"/>
  <c r="K1491" i="13" s="1"/>
  <c r="K1492" i="13" s="1"/>
  <c r="EU54" i="9" a="1"/>
  <c r="EU54" i="9" s="1"/>
  <c r="L66" i="27" s="1" a="1"/>
  <c r="L66" i="27" s="1"/>
  <c r="FA54" i="9" a="1"/>
  <c r="FA54" i="9" s="1"/>
  <c r="EV52" i="9" a="1"/>
  <c r="EV52" i="9" s="1"/>
  <c r="K1514" i="13" a="1"/>
  <c r="K1514" i="13" s="1"/>
  <c r="K1525" i="13" s="1" a="1"/>
  <c r="K1525" i="13" s="1"/>
  <c r="K1526" i="13" s="1"/>
  <c r="EU55" i="9" a="1"/>
  <c r="EU55" i="9" s="1"/>
  <c r="FA55" i="9" a="1"/>
  <c r="FA55" i="9" s="1"/>
  <c r="DJ52" i="9" a="1"/>
  <c r="DJ52" i="9" s="1"/>
  <c r="I1514" i="13" a="1"/>
  <c r="I1514" i="13" s="1"/>
  <c r="I1525" i="13" s="1" a="1"/>
  <c r="I1525" i="13" s="1"/>
  <c r="I1526" i="13" s="1"/>
  <c r="DI55" i="9" a="1"/>
  <c r="DI55" i="9" s="1"/>
  <c r="DO55" i="9" a="1"/>
  <c r="DO55" i="9" s="1"/>
  <c r="H1480" i="13" a="1"/>
  <c r="H1480" i="13" s="1"/>
  <c r="H1493" i="13" s="1" a="1"/>
  <c r="H1493" i="13" s="1"/>
  <c r="H1494" i="13" s="1"/>
  <c r="CV54" i="9" a="1"/>
  <c r="CV54" i="9" s="1"/>
  <c r="CP54" i="9" a="1"/>
  <c r="CP54" i="9" s="1"/>
  <c r="I66" i="27" s="1" a="1"/>
  <c r="I66" i="27" s="1"/>
  <c r="H1514" i="13" a="1"/>
  <c r="H1514" i="13" s="1"/>
  <c r="H1525" i="13" s="1" a="1"/>
  <c r="H1525" i="13" s="1"/>
  <c r="H1526" i="13" s="1"/>
  <c r="CV55" i="9" a="1"/>
  <c r="CV55" i="9" s="1"/>
  <c r="CP55" i="9" a="1"/>
  <c r="CP55" i="9" s="1"/>
  <c r="CQ52" i="9" a="1"/>
  <c r="CQ52" i="9" s="1"/>
  <c r="BX53" i="9" a="1"/>
  <c r="BX53" i="9" s="1"/>
  <c r="G1480" i="13" a="1"/>
  <c r="G1480" i="13" s="1"/>
  <c r="G1491" i="13" s="1" a="1"/>
  <c r="G1491" i="13" s="1"/>
  <c r="G1492" i="13" s="1"/>
  <c r="CC54" i="9" a="1"/>
  <c r="CC54" i="9" s="1"/>
  <c r="BW54" i="9" a="1"/>
  <c r="BW54" i="9" s="1"/>
  <c r="H66" i="27" s="1" a="1"/>
  <c r="H66" i="27" s="1"/>
  <c r="P619" i="10"/>
  <c r="F1480" i="13" a="1"/>
  <c r="F1480" i="13" s="1"/>
  <c r="F1491" i="13" s="1" a="1"/>
  <c r="F1491" i="13" s="1"/>
  <c r="F1492" i="13" s="1"/>
  <c r="BD54" i="9" a="1"/>
  <c r="BD54" i="9" s="1"/>
  <c r="G66" i="27" s="1" a="1"/>
  <c r="G66" i="27" s="1"/>
  <c r="BJ54" i="9" a="1"/>
  <c r="BJ54" i="9" s="1"/>
  <c r="M632" i="10"/>
  <c r="M1513" i="13" s="1" a="1"/>
  <c r="M1513" i="13" s="1"/>
  <c r="M1522" i="13" s="1" a="1"/>
  <c r="M1522" i="13" s="1"/>
  <c r="M1523" i="13" s="1"/>
  <c r="E1514" i="13" a="1"/>
  <c r="E1514" i="13" s="1"/>
  <c r="E1527" i="13" s="1" a="1"/>
  <c r="E1527" i="13" s="1"/>
  <c r="E1528" i="13" s="1"/>
  <c r="AK55" i="9" a="1"/>
  <c r="AK55" i="9" s="1"/>
  <c r="AQ55" i="9" a="1"/>
  <c r="AQ55" i="9" s="1"/>
  <c r="M634" i="10"/>
  <c r="D1427" i="13"/>
  <c r="T52" i="9" s="1" a="1"/>
  <c r="T52" i="9" s="1"/>
  <c r="E64" i="25" s="1" a="1"/>
  <c r="E64" i="25" s="1"/>
  <c r="D1480" i="13" a="1"/>
  <c r="D1480" i="13" s="1"/>
  <c r="D1491" i="13" s="1" a="1"/>
  <c r="D1491" i="13" s="1"/>
  <c r="D1492" i="13" s="1"/>
  <c r="R54" i="9" a="1"/>
  <c r="R54" i="9" s="1"/>
  <c r="E66" i="27" s="1" a="1"/>
  <c r="E66" i="27" s="1"/>
  <c r="O632" i="10"/>
  <c r="O1513" i="13" s="1" a="1"/>
  <c r="O1513" i="13" s="1"/>
  <c r="O1520" i="13" s="1" a="1"/>
  <c r="O1520" i="13" s="1"/>
  <c r="O1521" i="13" s="1"/>
  <c r="O631" i="10"/>
  <c r="O1512" i="13" s="1" a="1"/>
  <c r="O1512" i="13" s="1"/>
  <c r="O1515" i="13" s="1" a="1"/>
  <c r="O1515" i="13" s="1"/>
  <c r="O1516" i="13" s="1"/>
  <c r="K644" i="10" a="1"/>
  <c r="K644" i="10" s="1"/>
  <c r="K646" i="10" s="1"/>
  <c r="K1547" i="13" s="1" a="1"/>
  <c r="K1547" i="13" s="1"/>
  <c r="M631" i="10"/>
  <c r="M1512" i="13" s="1" a="1"/>
  <c r="M1512" i="13" s="1"/>
  <c r="M1515" i="13" s="1" a="1"/>
  <c r="M1515" i="13" s="1"/>
  <c r="M1516" i="13" s="1"/>
  <c r="P617" i="10"/>
  <c r="L1483" i="13" a="1"/>
  <c r="L1483" i="13" s="1"/>
  <c r="L1484" i="13" s="1"/>
  <c r="L1485" i="13" s="1"/>
  <c r="I644" i="10" a="1"/>
  <c r="I644" i="10" s="1"/>
  <c r="I645" i="10" s="1"/>
  <c r="I1546" i="13" s="1" a="1"/>
  <c r="I1546" i="13" s="1"/>
  <c r="H1456" i="13"/>
  <c r="G632" i="10"/>
  <c r="G1513" i="13" s="1" a="1"/>
  <c r="G1513" i="13" s="1"/>
  <c r="G1520" i="13" s="1" a="1"/>
  <c r="G1520" i="13" s="1"/>
  <c r="G1521" i="13" s="1"/>
  <c r="G631" i="10"/>
  <c r="G1512" i="13" s="1" a="1"/>
  <c r="G1512" i="13" s="1"/>
  <c r="G1517" i="13" s="1" a="1"/>
  <c r="G1517" i="13" s="1"/>
  <c r="G1518" i="13" s="1"/>
  <c r="P644" i="10" a="1"/>
  <c r="P644" i="10" s="1"/>
  <c r="M1430" i="13"/>
  <c r="L644" i="10" a="1"/>
  <c r="L644" i="10" s="1"/>
  <c r="L646" i="10" s="1"/>
  <c r="L1547" i="13" s="1" a="1"/>
  <c r="L1547" i="13" s="1"/>
  <c r="D1456" i="13"/>
  <c r="M1490" i="13"/>
  <c r="E1490" i="13"/>
  <c r="J1456" i="13"/>
  <c r="O1485" i="13"/>
  <c r="N1485" i="13"/>
  <c r="E1456" i="13"/>
  <c r="G1490" i="13"/>
  <c r="G1485" i="13"/>
  <c r="E644" i="10" a="1"/>
  <c r="E644" i="10" s="1"/>
  <c r="E646" i="10" s="1"/>
  <c r="E1547" i="13" s="1" a="1"/>
  <c r="E1547" i="13" s="1"/>
  <c r="O1490" i="13"/>
  <c r="M1485" i="13"/>
  <c r="J1490" i="13"/>
  <c r="I1485" i="13"/>
  <c r="H1490" i="13"/>
  <c r="N1490" i="13"/>
  <c r="I1490" i="13"/>
  <c r="F1490" i="13"/>
  <c r="J646" i="10"/>
  <c r="J1547" i="13" s="1" a="1"/>
  <c r="J1547" i="13" s="1"/>
  <c r="J647" i="10"/>
  <c r="J645" i="10"/>
  <c r="J1546" i="13" s="1" a="1"/>
  <c r="J1546" i="13" s="1"/>
  <c r="N647" i="10"/>
  <c r="N645" i="10"/>
  <c r="N1546" i="13" s="1" a="1"/>
  <c r="N1546" i="13" s="1"/>
  <c r="N646" i="10"/>
  <c r="N1547" i="13" s="1" a="1"/>
  <c r="N1547" i="13" s="1"/>
  <c r="D646" i="10"/>
  <c r="D645" i="10"/>
  <c r="D647" i="10"/>
  <c r="H646" i="10"/>
  <c r="H1547" i="13" s="1" a="1"/>
  <c r="H1547" i="13" s="1"/>
  <c r="H647" i="10"/>
  <c r="H645" i="10"/>
  <c r="H1546" i="13" s="1" a="1"/>
  <c r="H1546" i="13" s="1"/>
  <c r="O647" i="10"/>
  <c r="O645" i="10"/>
  <c r="O1546" i="13" s="1" a="1"/>
  <c r="O1546" i="13" s="1"/>
  <c r="O646" i="10"/>
  <c r="O1547" i="13" s="1" a="1"/>
  <c r="O1547" i="13" s="1"/>
  <c r="G647" i="10"/>
  <c r="G645" i="10"/>
  <c r="G1546" i="13" s="1" a="1"/>
  <c r="G1546" i="13" s="1"/>
  <c r="G646" i="10"/>
  <c r="G1547" i="13" s="1" a="1"/>
  <c r="G1547" i="13" s="1"/>
  <c r="M646" i="10"/>
  <c r="M1547" i="13" s="1" a="1"/>
  <c r="M1547" i="13" s="1"/>
  <c r="M647" i="10"/>
  <c r="M645" i="10"/>
  <c r="M1546" i="13" s="1" a="1"/>
  <c r="M1546" i="13" s="1"/>
  <c r="L1515" i="13" a="1"/>
  <c r="L1515" i="13" s="1"/>
  <c r="L1516" i="13" s="1"/>
  <c r="L1517" i="13" a="1"/>
  <c r="L1517" i="13" s="1"/>
  <c r="L1518" i="13" s="1"/>
  <c r="K1515" i="13" a="1"/>
  <c r="K1515" i="13" s="1"/>
  <c r="K1516" i="13" s="1"/>
  <c r="K1517" i="13" a="1"/>
  <c r="K1517" i="13" s="1"/>
  <c r="K1518" i="13" s="1"/>
  <c r="P633" i="10"/>
  <c r="O1456" i="13"/>
  <c r="H1520" i="13" a="1"/>
  <c r="H1520" i="13" s="1"/>
  <c r="H1521" i="13" s="1"/>
  <c r="H1522" i="13" a="1"/>
  <c r="H1522" i="13" s="1"/>
  <c r="H1523" i="13" s="1"/>
  <c r="D1513" i="13" a="1"/>
  <c r="D1513" i="13" s="1"/>
  <c r="F644" i="10" a="1"/>
  <c r="F644" i="10" s="1"/>
  <c r="O1451" i="13"/>
  <c r="J1485" i="13"/>
  <c r="L1522" i="13" a="1"/>
  <c r="L1522" i="13" s="1"/>
  <c r="L1523" i="13" s="1"/>
  <c r="L1520" i="13" a="1"/>
  <c r="L1520" i="13" s="1"/>
  <c r="L1521" i="13" s="1"/>
  <c r="H1517" i="13" a="1"/>
  <c r="H1517" i="13" s="1"/>
  <c r="H1518" i="13" s="1"/>
  <c r="H1515" i="13" a="1"/>
  <c r="H1515" i="13" s="1"/>
  <c r="H1516" i="13" s="1"/>
  <c r="E1522" i="13" a="1"/>
  <c r="E1522" i="13" s="1"/>
  <c r="E1523" i="13" s="1"/>
  <c r="E1520" i="13" a="1"/>
  <c r="E1520" i="13" s="1"/>
  <c r="E1521" i="13" s="1"/>
  <c r="E1517" i="13" a="1"/>
  <c r="E1517" i="13" s="1"/>
  <c r="E1518" i="13" s="1"/>
  <c r="E1515" i="13" a="1"/>
  <c r="E1515" i="13" s="1"/>
  <c r="E1516" i="13" s="1"/>
  <c r="D1481" i="13" a="1"/>
  <c r="D1481" i="13" s="1"/>
  <c r="D1482" i="13" s="1"/>
  <c r="D1483" i="13" a="1"/>
  <c r="D1483" i="13" s="1"/>
  <c r="D1484" i="13" s="1"/>
  <c r="J1451" i="13"/>
  <c r="F1522" i="13" a="1"/>
  <c r="F1522" i="13" s="1"/>
  <c r="F1523" i="13" s="1"/>
  <c r="F1520" i="13" a="1"/>
  <c r="F1520" i="13" s="1"/>
  <c r="F1521" i="13" s="1"/>
  <c r="N1522" i="13" a="1"/>
  <c r="N1522" i="13" s="1"/>
  <c r="N1523" i="13" s="1"/>
  <c r="N1520" i="13" a="1"/>
  <c r="N1520" i="13" s="1"/>
  <c r="N1521" i="13" s="1"/>
  <c r="E1451" i="13"/>
  <c r="K1451" i="13"/>
  <c r="J1520" i="13" a="1"/>
  <c r="J1520" i="13" s="1"/>
  <c r="J1521" i="13" s="1"/>
  <c r="J1522" i="13" a="1"/>
  <c r="J1522" i="13" s="1"/>
  <c r="J1523" i="13" s="1"/>
  <c r="F1515" i="13" a="1"/>
  <c r="F1515" i="13" s="1"/>
  <c r="F1516" i="13" s="1"/>
  <c r="F1517" i="13" a="1"/>
  <c r="F1517" i="13" s="1"/>
  <c r="F1518" i="13" s="1"/>
  <c r="N1515" i="13" a="1"/>
  <c r="N1515" i="13" s="1"/>
  <c r="N1516" i="13" s="1"/>
  <c r="N1517" i="13" a="1"/>
  <c r="N1517" i="13" s="1"/>
  <c r="N1518" i="13" s="1"/>
  <c r="K1456" i="13"/>
  <c r="H1451" i="13"/>
  <c r="J1515" i="13" a="1"/>
  <c r="J1515" i="13" s="1"/>
  <c r="J1516" i="13" s="1"/>
  <c r="J1517" i="13" a="1"/>
  <c r="J1517" i="13" s="1"/>
  <c r="J1518" i="13" s="1"/>
  <c r="I1520" i="13" a="1"/>
  <c r="I1520" i="13" s="1"/>
  <c r="I1521" i="13" s="1"/>
  <c r="I1522" i="13" a="1"/>
  <c r="I1522" i="13" s="1"/>
  <c r="I1523" i="13" s="1"/>
  <c r="K1490" i="13"/>
  <c r="D1486" i="13" a="1"/>
  <c r="D1486" i="13" s="1"/>
  <c r="D1487" i="13" s="1"/>
  <c r="D1488" i="13" a="1"/>
  <c r="D1488" i="13" s="1"/>
  <c r="D1489" i="13" s="1"/>
  <c r="D1451" i="13"/>
  <c r="K1522" i="13" a="1"/>
  <c r="K1522" i="13" s="1"/>
  <c r="K1523" i="13" s="1"/>
  <c r="K1520" i="13" a="1"/>
  <c r="K1520" i="13" s="1"/>
  <c r="K1521" i="13" s="1"/>
  <c r="D1512" i="13" a="1"/>
  <c r="D1512" i="13" s="1"/>
  <c r="I1515" i="13" a="1"/>
  <c r="I1515" i="13" s="1"/>
  <c r="I1516" i="13" s="1"/>
  <c r="I1517" i="13" a="1"/>
  <c r="I1517" i="13" s="1"/>
  <c r="I1518" i="13" s="1"/>
  <c r="F1462" i="13"/>
  <c r="M1462" i="13"/>
  <c r="F1430" i="13"/>
  <c r="K1430" i="13"/>
  <c r="I1428" i="13"/>
  <c r="H1428" i="13"/>
  <c r="I1464" i="13"/>
  <c r="D634" i="10"/>
  <c r="X55" i="9" s="1" a="1"/>
  <c r="X55" i="9" s="1"/>
  <c r="F634" i="10"/>
  <c r="HH50" i="9" a="1"/>
  <c r="HH50" i="9" s="1"/>
  <c r="HP50" i="9" s="1"/>
  <c r="P63" i="24" s="1" a="1"/>
  <c r="P63" i="24" s="1"/>
  <c r="IJ48" i="9"/>
  <c r="IK48" i="9" s="1"/>
  <c r="BL50" i="9" a="1"/>
  <c r="BL50" i="9" s="1"/>
  <c r="BT50" i="9" s="1"/>
  <c r="H63" i="24" s="1" a="1"/>
  <c r="H63" i="24" s="1"/>
  <c r="FV50" i="9" a="1"/>
  <c r="FV50" i="9" s="1"/>
  <c r="GD50" i="9" s="1"/>
  <c r="N63" i="24" s="1" a="1"/>
  <c r="N63" i="24" s="1"/>
  <c r="AS50" i="9" a="1"/>
  <c r="AS50" i="9" s="1"/>
  <c r="BA50" i="9" s="1"/>
  <c r="G63" i="24" s="1" a="1"/>
  <c r="G63" i="24" s="1"/>
  <c r="DQ50" i="9" a="1"/>
  <c r="DQ50" i="9" s="1"/>
  <c r="DY50" i="9" s="1"/>
  <c r="K63" i="24" s="1" a="1"/>
  <c r="K63" i="24" s="1"/>
  <c r="IL49" i="9"/>
  <c r="IM49" i="9" s="1"/>
  <c r="L642" i="10"/>
  <c r="FM56" i="9" s="1" a="1"/>
  <c r="FM56" i="9" s="1"/>
  <c r="CX50" i="9" a="1"/>
  <c r="CX50" i="9" s="1"/>
  <c r="DF50" i="9" s="1"/>
  <c r="J63" i="24" s="1" a="1"/>
  <c r="J63" i="24" s="1"/>
  <c r="GO50" i="9" a="1"/>
  <c r="GO50" i="9" s="1"/>
  <c r="GW50" i="9" s="1"/>
  <c r="O63" i="24" s="1" a="1"/>
  <c r="O63" i="24" s="1"/>
  <c r="IA50" i="9" a="1"/>
  <c r="IA50" i="9" s="1"/>
  <c r="II50" i="9" s="1"/>
  <c r="Q63" i="24" s="1" a="1"/>
  <c r="Q63" i="24" s="1"/>
  <c r="Z49" i="9" a="1"/>
  <c r="Z49" i="9" s="1"/>
  <c r="IJ49" i="9" s="1"/>
  <c r="IK49" i="9" s="1"/>
  <c r="EJ50" i="9" a="1"/>
  <c r="EJ50" i="9" s="1"/>
  <c r="ER50" i="9" s="1"/>
  <c r="L63" i="24" s="1" a="1"/>
  <c r="L63" i="24" s="1"/>
  <c r="GN51" i="9"/>
  <c r="GV51" i="9" s="1"/>
  <c r="HG51" i="9"/>
  <c r="HO51" i="9" s="1"/>
  <c r="FB50" i="9"/>
  <c r="FJ50" i="9" s="1"/>
  <c r="HZ51" i="9"/>
  <c r="IH51" i="9" s="1"/>
  <c r="BK51" i="9"/>
  <c r="BS51" i="9" s="1"/>
  <c r="CD51" i="9"/>
  <c r="CL51" i="9" s="1"/>
  <c r="CD50" i="9"/>
  <c r="CL50" i="9" s="1"/>
  <c r="FU51" i="9"/>
  <c r="GC51" i="9" s="1"/>
  <c r="W50" i="9" a="1"/>
  <c r="W50" i="9" s="1"/>
  <c r="Y50" i="9" s="1"/>
  <c r="G642" i="10"/>
  <c r="BV56" i="9" s="1" a="1"/>
  <c r="BV56" i="9" s="1"/>
  <c r="D642" i="10"/>
  <c r="M642" i="10"/>
  <c r="GF56" i="9" s="1" a="1"/>
  <c r="GF56" i="9" s="1"/>
  <c r="J642" i="10"/>
  <c r="EA56" i="9" s="1" a="1"/>
  <c r="EA56" i="9" s="1"/>
  <c r="I642" i="10"/>
  <c r="DH56" i="9" s="1" a="1"/>
  <c r="DH56" i="9" s="1"/>
  <c r="P657" i="10"/>
  <c r="N642" i="10"/>
  <c r="GY56" i="9" s="1" a="1"/>
  <c r="GY56" i="9" s="1"/>
  <c r="E642" i="10"/>
  <c r="AJ56" i="9" s="1" a="1"/>
  <c r="AJ56" i="9" s="1"/>
  <c r="O642" i="10"/>
  <c r="HR56" i="9" s="1" a="1"/>
  <c r="HR56" i="9" s="1"/>
  <c r="K66" i="27" a="1"/>
  <c r="K66" i="27" s="1"/>
  <c r="J66" i="27" a="1"/>
  <c r="J66" i="27" s="1"/>
  <c r="N66" i="27" a="1"/>
  <c r="N66" i="27" s="1"/>
  <c r="P66" i="27" a="1"/>
  <c r="P66" i="27" s="1"/>
  <c r="O66" i="27" a="1"/>
  <c r="O66" i="27" s="1"/>
  <c r="D648" i="10"/>
  <c r="X56" i="9" s="1" a="1"/>
  <c r="X56" i="9" s="1"/>
  <c r="S51" i="9" a="1"/>
  <c r="S51" i="9" s="1"/>
  <c r="H642" i="10"/>
  <c r="CO56" i="9" s="1" a="1"/>
  <c r="CO56" i="9" s="1"/>
  <c r="P620" i="10"/>
  <c r="K642" i="10"/>
  <c r="ET56" i="9" s="1" a="1"/>
  <c r="ET56" i="9" s="1"/>
  <c r="M648" i="10"/>
  <c r="G648" i="10"/>
  <c r="J654" i="10"/>
  <c r="D654" i="10"/>
  <c r="G634" i="10"/>
  <c r="B678" i="10"/>
  <c r="K677" i="10"/>
  <c r="D677" i="10"/>
  <c r="F677" i="10"/>
  <c r="J677" i="10"/>
  <c r="E677" i="10"/>
  <c r="P677" i="10"/>
  <c r="H677" i="10"/>
  <c r="O677" i="10"/>
  <c r="I677" i="10"/>
  <c r="N677" i="10"/>
  <c r="G677" i="10"/>
  <c r="M677" i="10"/>
  <c r="L677" i="10"/>
  <c r="E654" i="10"/>
  <c r="K654" i="10"/>
  <c r="F642" i="10"/>
  <c r="BC56" i="9" s="1" a="1"/>
  <c r="BC56" i="9" s="1"/>
  <c r="H664" i="10"/>
  <c r="H671" i="10" s="1"/>
  <c r="O664" i="10"/>
  <c r="O671" i="10" s="1"/>
  <c r="F664" i="10"/>
  <c r="F671" i="10" s="1"/>
  <c r="P664" i="10"/>
  <c r="P668" i="10" s="1"/>
  <c r="D664" i="10"/>
  <c r="D671" i="10" s="1"/>
  <c r="M664" i="10"/>
  <c r="M671" i="10" s="1"/>
  <c r="N664" i="10"/>
  <c r="N671" i="10" s="1"/>
  <c r="E664" i="10"/>
  <c r="L664" i="10"/>
  <c r="B668" i="10"/>
  <c r="B669" i="10" s="1"/>
  <c r="K664" i="10"/>
  <c r="J664" i="10"/>
  <c r="J671" i="10" s="1"/>
  <c r="G664" i="10"/>
  <c r="G671" i="10" s="1"/>
  <c r="I664" i="10"/>
  <c r="I671" i="10" s="1"/>
  <c r="B665" i="10"/>
  <c r="B666" i="10" s="1"/>
  <c r="B667" i="10" s="1"/>
  <c r="L654" i="10"/>
  <c r="N655" i="10"/>
  <c r="E655" i="10"/>
  <c r="D655" i="10"/>
  <c r="D658" i="10" s="1" a="1"/>
  <c r="D658" i="10" s="1"/>
  <c r="O655" i="10"/>
  <c r="O658" i="10" s="1" a="1"/>
  <c r="O658" i="10" s="1"/>
  <c r="J655" i="10"/>
  <c r="G655" i="10"/>
  <c r="K655" i="10"/>
  <c r="K658" i="10" s="1" a="1"/>
  <c r="K658" i="10" s="1"/>
  <c r="B656" i="10"/>
  <c r="B657" i="10" s="1"/>
  <c r="B658" i="10" s="1"/>
  <c r="B659" i="10" s="1"/>
  <c r="B660" i="10" s="1"/>
  <c r="B661" i="10" s="1"/>
  <c r="B662" i="10" s="1"/>
  <c r="H655" i="10"/>
  <c r="H658" i="10" s="1" a="1"/>
  <c r="H658" i="10" s="1"/>
  <c r="I655" i="10"/>
  <c r="I658" i="10" s="1" a="1"/>
  <c r="I658" i="10" s="1"/>
  <c r="M655" i="10"/>
  <c r="F655" i="10"/>
  <c r="F658" i="10" s="1" a="1"/>
  <c r="F658" i="10" s="1"/>
  <c r="L655" i="10"/>
  <c r="L658" i="10" s="1" a="1"/>
  <c r="L658" i="10" s="1"/>
  <c r="P655" i="10"/>
  <c r="P656" i="10" s="1"/>
  <c r="M657" i="10"/>
  <c r="M654" i="10"/>
  <c r="G654" i="10"/>
  <c r="N648" i="10"/>
  <c r="O634" i="10"/>
  <c r="B691" i="10" a="1"/>
  <c r="B691" i="10" s="1"/>
  <c r="A691" i="10" a="1"/>
  <c r="A691" i="10" s="1"/>
  <c r="J634" i="10"/>
  <c r="N657" i="10"/>
  <c r="N654" i="10"/>
  <c r="I654" i="10"/>
  <c r="H654" i="10"/>
  <c r="E657" i="10"/>
  <c r="O654" i="10"/>
  <c r="F654" i="10"/>
  <c r="J657" i="10"/>
  <c r="G657" i="10"/>
  <c r="AH48" i="9"/>
  <c r="F61" i="24" s="1" a="1"/>
  <c r="F61" i="24" s="1"/>
  <c r="IL48" i="9"/>
  <c r="IM48" i="9" s="1"/>
  <c r="S52" i="9" a="1"/>
  <c r="S52" i="9" s="1"/>
  <c r="R705" i="10"/>
  <c r="F1466" i="13" l="1"/>
  <c r="BI53" i="9" s="1" a="1"/>
  <c r="BI53" i="9" s="1"/>
  <c r="CS52" i="9"/>
  <c r="DL53" i="9"/>
  <c r="DL52" i="9"/>
  <c r="EX52" i="9"/>
  <c r="V52" i="9"/>
  <c r="F1432" i="13"/>
  <c r="BI52" i="9" s="1" a="1"/>
  <c r="BI52" i="9" s="1"/>
  <c r="M1466" i="13"/>
  <c r="GL53" i="9" s="1" a="1"/>
  <c r="GL53" i="9" s="1"/>
  <c r="BG53" i="9"/>
  <c r="I1466" i="13"/>
  <c r="DN53" i="9" s="1" a="1"/>
  <c r="DN53" i="9" s="1"/>
  <c r="H1432" i="13"/>
  <c r="CU52" i="9" s="1" a="1"/>
  <c r="CU52" i="9" s="1"/>
  <c r="CW52" i="9" s="1"/>
  <c r="DE52" i="9" s="1"/>
  <c r="I1432" i="13"/>
  <c r="DN52" i="9" s="1" a="1"/>
  <c r="DN52" i="9" s="1"/>
  <c r="DP52" i="9" s="1"/>
  <c r="DX52" i="9" s="1"/>
  <c r="K1432" i="13"/>
  <c r="EZ52" i="9" s="1" a="1"/>
  <c r="EZ52" i="9" s="1"/>
  <c r="GJ52" i="9"/>
  <c r="Q63" i="25"/>
  <c r="M1432" i="13"/>
  <c r="GL52" i="9" s="1" a="1"/>
  <c r="GL52" i="9" s="1"/>
  <c r="GN52" i="9" s="1"/>
  <c r="GV52" i="9" s="1"/>
  <c r="M1498" i="13"/>
  <c r="GI54" i="9" a="1"/>
  <c r="GI54" i="9" s="1"/>
  <c r="J1498" i="13"/>
  <c r="ED54" i="9" a="1"/>
  <c r="ED54" i="9" s="1"/>
  <c r="O1496" i="13"/>
  <c r="HU54" i="9" a="1"/>
  <c r="HU54" i="9" s="1"/>
  <c r="N64" i="25" a="1"/>
  <c r="N64" i="25" s="1"/>
  <c r="GK52" i="9"/>
  <c r="N1496" i="13"/>
  <c r="HB54" i="9" a="1"/>
  <c r="HB54" i="9" s="1"/>
  <c r="I64" i="25" a="1"/>
  <c r="I64" i="25" s="1"/>
  <c r="CT52" i="9"/>
  <c r="O1462" i="13"/>
  <c r="HU53" i="9" a="1"/>
  <c r="HU53" i="9" s="1"/>
  <c r="I1498" i="13"/>
  <c r="DK54" i="9" a="1"/>
  <c r="DK54" i="9" s="1"/>
  <c r="L64" i="25" a="1"/>
  <c r="L64" i="25" s="1"/>
  <c r="EY52" i="9"/>
  <c r="G1462" i="13"/>
  <c r="BY53" i="9" a="1"/>
  <c r="BY53" i="9" s="1"/>
  <c r="J1462" i="13"/>
  <c r="ED53" i="9" a="1"/>
  <c r="ED53" i="9" s="1"/>
  <c r="G64" i="25" a="1"/>
  <c r="G64" i="25" s="1"/>
  <c r="BH52" i="9"/>
  <c r="J64" i="25" a="1"/>
  <c r="J64" i="25" s="1"/>
  <c r="DM52" i="9"/>
  <c r="J65" i="25" a="1"/>
  <c r="J65" i="25" s="1"/>
  <c r="DM53" i="9"/>
  <c r="E1462" i="13"/>
  <c r="AM53" i="9" a="1"/>
  <c r="AM53" i="9" s="1"/>
  <c r="K1464" i="13"/>
  <c r="EW53" i="9" a="1"/>
  <c r="EW53" i="9" s="1"/>
  <c r="N1462" i="13"/>
  <c r="HB53" i="9" a="1"/>
  <c r="HB53" i="9" s="1"/>
  <c r="E1498" i="13"/>
  <c r="AM54" i="9" a="1"/>
  <c r="AM54" i="9" s="1"/>
  <c r="D1462" i="13"/>
  <c r="T53" i="9" a="1"/>
  <c r="T53" i="9" s="1"/>
  <c r="E65" i="25" s="1" a="1"/>
  <c r="E65" i="25" s="1"/>
  <c r="BG52" i="9"/>
  <c r="N65" i="25" a="1"/>
  <c r="N65" i="25" s="1"/>
  <c r="GK53" i="9"/>
  <c r="H1462" i="13"/>
  <c r="CR53" i="9" a="1"/>
  <c r="CR53" i="9" s="1"/>
  <c r="G65" i="25" a="1"/>
  <c r="G65" i="25" s="1"/>
  <c r="BH53" i="9"/>
  <c r="L1464" i="13"/>
  <c r="FP53" i="9" a="1"/>
  <c r="FP53" i="9" s="1"/>
  <c r="FQ53" i="9" s="1"/>
  <c r="K1493" i="13" a="1"/>
  <c r="K1493" i="13" s="1"/>
  <c r="K1494" i="13" s="1"/>
  <c r="K1495" i="13" s="1"/>
  <c r="I1527" i="13" a="1"/>
  <c r="I1527" i="13" s="1"/>
  <c r="I1528" i="13" s="1"/>
  <c r="I1529" i="13" s="1"/>
  <c r="D1493" i="13" a="1"/>
  <c r="D1493" i="13" s="1"/>
  <c r="D1494" i="13" s="1"/>
  <c r="I646" i="10"/>
  <c r="I1547" i="13" s="1" a="1"/>
  <c r="I1547" i="13" s="1"/>
  <c r="I1554" i="13" s="1" a="1"/>
  <c r="I1554" i="13" s="1"/>
  <c r="I1555" i="13" s="1"/>
  <c r="L1527" i="13" a="1"/>
  <c r="L1527" i="13" s="1"/>
  <c r="L1528" i="13" s="1"/>
  <c r="L1529" i="13" s="1"/>
  <c r="L1493" i="13" a="1"/>
  <c r="L1493" i="13" s="1"/>
  <c r="L1494" i="13" s="1"/>
  <c r="L1495" i="13" s="1"/>
  <c r="H1527" i="13" a="1"/>
  <c r="H1527" i="13" s="1"/>
  <c r="H1528" i="13" s="1"/>
  <c r="H1529" i="13" s="1"/>
  <c r="FO54" i="9" a="1"/>
  <c r="FO54" i="9" s="1"/>
  <c r="F1493" i="13" a="1"/>
  <c r="F1493" i="13" s="1"/>
  <c r="F1494" i="13" s="1"/>
  <c r="F1495" i="13" s="1"/>
  <c r="O1522" i="13" a="1"/>
  <c r="O1522" i="13" s="1"/>
  <c r="O1523" i="13" s="1"/>
  <c r="O1524" i="13" s="1"/>
  <c r="H1491" i="13" a="1"/>
  <c r="H1491" i="13" s="1"/>
  <c r="H1492" i="13" s="1"/>
  <c r="H1495" i="13" s="1"/>
  <c r="E1525" i="13" a="1"/>
  <c r="E1525" i="13" s="1"/>
  <c r="E1526" i="13" s="1"/>
  <c r="E1529" i="13" s="1"/>
  <c r="G1493" i="13" a="1"/>
  <c r="G1493" i="13" s="1"/>
  <c r="G1494" i="13" s="1"/>
  <c r="G1495" i="13" s="1"/>
  <c r="N1527" i="13" a="1"/>
  <c r="N1527" i="13" s="1"/>
  <c r="N1528" i="13" s="1"/>
  <c r="N1529" i="13" s="1"/>
  <c r="K1527" i="13" a="1"/>
  <c r="K1527" i="13" s="1"/>
  <c r="K1528" i="13" s="1"/>
  <c r="K1529" i="13" s="1"/>
  <c r="EV53" i="9" a="1"/>
  <c r="EV53" i="9" s="1"/>
  <c r="HT54" i="9" a="1"/>
  <c r="HT54" i="9" s="1"/>
  <c r="O1517" i="13" a="1"/>
  <c r="O1517" i="13" s="1"/>
  <c r="O1518" i="13" s="1"/>
  <c r="O1519" i="13" s="1"/>
  <c r="HT53" i="9" a="1"/>
  <c r="HT53" i="9" s="1"/>
  <c r="O1514" i="13" a="1"/>
  <c r="O1514" i="13" s="1"/>
  <c r="O1525" i="13" s="1" a="1"/>
  <c r="O1525" i="13" s="1"/>
  <c r="O1526" i="13" s="1"/>
  <c r="HY55" i="9" a="1"/>
  <c r="HY55" i="9" s="1"/>
  <c r="HS55" i="9" a="1"/>
  <c r="HS55" i="9" s="1"/>
  <c r="P67" i="27" s="1" a="1"/>
  <c r="P67" i="27" s="1"/>
  <c r="N1548" i="13" a="1"/>
  <c r="N1548" i="13" s="1"/>
  <c r="N1561" i="13" s="1" a="1"/>
  <c r="N1561" i="13" s="1"/>
  <c r="N1562" i="13" s="1"/>
  <c r="HF56" i="9" a="1"/>
  <c r="HF56" i="9" s="1"/>
  <c r="GZ56" i="9" a="1"/>
  <c r="GZ56" i="9" s="1"/>
  <c r="O68" i="27" s="1" a="1"/>
  <c r="O68" i="27" s="1"/>
  <c r="HA54" i="9" a="1"/>
  <c r="HA54" i="9" s="1"/>
  <c r="M1548" i="13" a="1"/>
  <c r="M1548" i="13" s="1"/>
  <c r="M1561" i="13" s="1" a="1"/>
  <c r="M1561" i="13" s="1"/>
  <c r="M1562" i="13" s="1"/>
  <c r="GG56" i="9" a="1"/>
  <c r="GG56" i="9" s="1"/>
  <c r="N68" i="27" s="1" a="1"/>
  <c r="N68" i="27" s="1"/>
  <c r="GM56" i="9" a="1"/>
  <c r="GM56" i="9" s="1"/>
  <c r="GH54" i="9" a="1"/>
  <c r="GH54" i="9" s="1"/>
  <c r="M1514" i="13" a="1"/>
  <c r="M1514" i="13" s="1"/>
  <c r="GG55" i="9" a="1"/>
  <c r="GG55" i="9" s="1"/>
  <c r="GM55" i="9" a="1"/>
  <c r="GM55" i="9" s="1"/>
  <c r="EC54" i="9" a="1"/>
  <c r="EC54" i="9" s="1"/>
  <c r="EC53" i="9" a="1"/>
  <c r="EC53" i="9" s="1"/>
  <c r="EV54" i="9" a="1"/>
  <c r="EV54" i="9" s="1"/>
  <c r="M1520" i="13" a="1"/>
  <c r="M1520" i="13" s="1"/>
  <c r="M1521" i="13" s="1"/>
  <c r="M1524" i="13" s="1"/>
  <c r="J1514" i="13" a="1"/>
  <c r="J1514" i="13" s="1"/>
  <c r="J1525" i="13" s="1" a="1"/>
  <c r="J1525" i="13" s="1"/>
  <c r="J1526" i="13" s="1"/>
  <c r="EB55" i="9" a="1"/>
  <c r="EB55" i="9" s="1"/>
  <c r="K67" i="27" s="1" a="1"/>
  <c r="K67" i="27" s="1"/>
  <c r="EH55" i="9" a="1"/>
  <c r="EH55" i="9" s="1"/>
  <c r="DJ54" i="9" a="1"/>
  <c r="DJ54" i="9" s="1"/>
  <c r="DL54" i="9" s="1"/>
  <c r="BX54" i="9" a="1"/>
  <c r="BX54" i="9" s="1"/>
  <c r="CQ54" i="9" a="1"/>
  <c r="CQ54" i="9" s="1"/>
  <c r="CQ53" i="9" a="1"/>
  <c r="CQ53" i="9" s="1"/>
  <c r="CS53" i="9" s="1"/>
  <c r="G1514" i="13" a="1"/>
  <c r="G1514" i="13" s="1"/>
  <c r="G1525" i="13" s="1" a="1"/>
  <c r="G1525" i="13" s="1"/>
  <c r="G1526" i="13" s="1"/>
  <c r="BW55" i="9" a="1"/>
  <c r="BW55" i="9" s="1"/>
  <c r="H67" i="27" s="1" a="1"/>
  <c r="H67" i="27" s="1"/>
  <c r="CC55" i="9" a="1"/>
  <c r="CC55" i="9" s="1"/>
  <c r="G1548" i="13" a="1"/>
  <c r="G1548" i="13" s="1"/>
  <c r="G1559" i="13" s="1" a="1"/>
  <c r="G1559" i="13" s="1"/>
  <c r="G1560" i="13" s="1"/>
  <c r="CC56" i="9" a="1"/>
  <c r="CC56" i="9" s="1"/>
  <c r="BW56" i="9" a="1"/>
  <c r="BW56" i="9" s="1"/>
  <c r="H68" i="27" s="1" a="1"/>
  <c r="H68" i="27" s="1"/>
  <c r="BE54" i="9" a="1"/>
  <c r="BE54" i="9" s="1"/>
  <c r="F1514" i="13" a="1"/>
  <c r="F1514" i="13" s="1"/>
  <c r="F1527" i="13" s="1" a="1"/>
  <c r="F1527" i="13" s="1"/>
  <c r="F1528" i="13" s="1"/>
  <c r="BD55" i="9" a="1"/>
  <c r="BD55" i="9" s="1"/>
  <c r="G67" i="27" s="1" a="1"/>
  <c r="G67" i="27" s="1"/>
  <c r="BJ55" i="9" a="1"/>
  <c r="BJ55" i="9" s="1"/>
  <c r="AL53" i="9" a="1"/>
  <c r="AL53" i="9" s="1"/>
  <c r="AN53" i="9" s="1"/>
  <c r="AL54" i="9" a="1"/>
  <c r="AL54" i="9" s="1"/>
  <c r="S53" i="9" a="1"/>
  <c r="S53" i="9" s="1"/>
  <c r="D1430" i="13"/>
  <c r="D1428" i="13"/>
  <c r="Q56" i="9" a="1"/>
  <c r="Q56" i="9" s="1"/>
  <c r="D1548" i="13" a="1"/>
  <c r="D1548" i="13" s="1"/>
  <c r="D1561" i="13" s="1" a="1"/>
  <c r="D1561" i="13" s="1"/>
  <c r="D1562" i="13" s="1"/>
  <c r="R56" i="9" a="1"/>
  <c r="R56" i="9" s="1"/>
  <c r="E68" i="27" s="1" a="1"/>
  <c r="E68" i="27" s="1"/>
  <c r="L67" i="27" a="1"/>
  <c r="L67" i="27" s="1"/>
  <c r="R55" i="9" a="1"/>
  <c r="R55" i="9" s="1"/>
  <c r="E67" i="27" s="1" a="1"/>
  <c r="E67" i="27" s="1"/>
  <c r="M1517" i="13" a="1"/>
  <c r="M1517" i="13" s="1"/>
  <c r="M1518" i="13" s="1"/>
  <c r="M1519" i="13" s="1"/>
  <c r="K645" i="10"/>
  <c r="K1546" i="13" s="1" a="1"/>
  <c r="K1546" i="13" s="1"/>
  <c r="K1551" i="13" s="1" a="1"/>
  <c r="K1551" i="13" s="1"/>
  <c r="K1552" i="13" s="1"/>
  <c r="K647" i="10"/>
  <c r="P631" i="10"/>
  <c r="IN48" i="9"/>
  <c r="IO48" i="9" s="1"/>
  <c r="E658" i="10" a="1"/>
  <c r="E658" i="10" s="1"/>
  <c r="E660" i="10" s="1"/>
  <c r="E1581" i="13" s="1" a="1"/>
  <c r="E1581" i="13" s="1"/>
  <c r="E645" i="10"/>
  <c r="E1546" i="13" s="1" a="1"/>
  <c r="E1546" i="13" s="1"/>
  <c r="E1551" i="13" s="1" a="1"/>
  <c r="E1551" i="13" s="1"/>
  <c r="E1552" i="13" s="1"/>
  <c r="O1464" i="13"/>
  <c r="G1515" i="13" a="1"/>
  <c r="G1515" i="13" s="1"/>
  <c r="G1516" i="13" s="1"/>
  <c r="G1519" i="13" s="1"/>
  <c r="E647" i="10"/>
  <c r="F1519" i="13"/>
  <c r="P632" i="10"/>
  <c r="G1522" i="13" a="1"/>
  <c r="G1522" i="13" s="1"/>
  <c r="G1523" i="13" s="1"/>
  <c r="G1524" i="13" s="1"/>
  <c r="I647" i="10"/>
  <c r="E1496" i="13"/>
  <c r="N1498" i="13"/>
  <c r="L647" i="10"/>
  <c r="L645" i="10"/>
  <c r="L1546" i="13" s="1" a="1"/>
  <c r="L1546" i="13" s="1"/>
  <c r="L1551" i="13" s="1" a="1"/>
  <c r="L1551" i="13" s="1"/>
  <c r="L1552" i="13" s="1"/>
  <c r="N1464" i="13"/>
  <c r="F1524" i="13"/>
  <c r="I1519" i="13"/>
  <c r="J1519" i="13"/>
  <c r="J658" i="10" a="1"/>
  <c r="J658" i="10" s="1"/>
  <c r="J660" i="10" s="1"/>
  <c r="J1581" i="13" s="1" a="1"/>
  <c r="J1581" i="13" s="1"/>
  <c r="J1524" i="13"/>
  <c r="H1524" i="13"/>
  <c r="G658" i="10" a="1"/>
  <c r="G658" i="10" s="1"/>
  <c r="G660" i="10" s="1"/>
  <c r="G1581" i="13" s="1" a="1"/>
  <c r="G1581" i="13" s="1"/>
  <c r="N658" i="10" a="1"/>
  <c r="N658" i="10" s="1"/>
  <c r="N661" i="10" s="1"/>
  <c r="M658" i="10" a="1"/>
  <c r="M658" i="10" s="1"/>
  <c r="M661" i="10" s="1"/>
  <c r="K1462" i="13"/>
  <c r="D1464" i="13"/>
  <c r="E1524" i="13"/>
  <c r="L1524" i="13"/>
  <c r="K1524" i="13"/>
  <c r="N1524" i="13"/>
  <c r="H661" i="10"/>
  <c r="H659" i="10"/>
  <c r="H1580" i="13" s="1" a="1"/>
  <c r="H1580" i="13" s="1"/>
  <c r="H660" i="10"/>
  <c r="H1581" i="13" s="1" a="1"/>
  <c r="H1581" i="13" s="1"/>
  <c r="K661" i="10"/>
  <c r="K659" i="10"/>
  <c r="K1580" i="13" s="1" a="1"/>
  <c r="K1580" i="13" s="1"/>
  <c r="K660" i="10"/>
  <c r="K1581" i="13" s="1" a="1"/>
  <c r="K1581" i="13" s="1"/>
  <c r="L661" i="10"/>
  <c r="L660" i="10"/>
  <c r="L1581" i="13" s="1" a="1"/>
  <c r="L1581" i="13" s="1"/>
  <c r="L659" i="10"/>
  <c r="L1580" i="13" s="1" a="1"/>
  <c r="L1580" i="13" s="1"/>
  <c r="F659" i="10"/>
  <c r="F1580" i="13" s="1" a="1"/>
  <c r="F1580" i="13" s="1"/>
  <c r="F660" i="10"/>
  <c r="F1581" i="13" s="1" a="1"/>
  <c r="F1581" i="13" s="1"/>
  <c r="F661" i="10"/>
  <c r="O661" i="10"/>
  <c r="O659" i="10"/>
  <c r="O1580" i="13" s="1" a="1"/>
  <c r="O1580" i="13" s="1"/>
  <c r="O660" i="10"/>
  <c r="O1581" i="13" s="1" a="1"/>
  <c r="O1581" i="13" s="1"/>
  <c r="D660" i="10"/>
  <c r="D659" i="10"/>
  <c r="D661" i="10"/>
  <c r="I659" i="10"/>
  <c r="I1580" i="13" s="1" a="1"/>
  <c r="I1580" i="13" s="1"/>
  <c r="I660" i="10"/>
  <c r="I1581" i="13" s="1" a="1"/>
  <c r="I1581" i="13" s="1"/>
  <c r="I661" i="10"/>
  <c r="F646" i="10"/>
  <c r="F1547" i="13" s="1" a="1"/>
  <c r="F1547" i="13" s="1"/>
  <c r="F647" i="10"/>
  <c r="F645" i="10"/>
  <c r="F1546" i="13" s="1" a="1"/>
  <c r="F1546" i="13" s="1"/>
  <c r="I1551" i="13" a="1"/>
  <c r="I1551" i="13" s="1"/>
  <c r="I1552" i="13" s="1"/>
  <c r="I1549" i="13" a="1"/>
  <c r="I1549" i="13" s="1"/>
  <c r="I1550" i="13" s="1"/>
  <c r="D1546" i="13" a="1"/>
  <c r="D1546" i="13" s="1"/>
  <c r="E1556" i="13" a="1"/>
  <c r="E1556" i="13" s="1"/>
  <c r="E1557" i="13" s="1"/>
  <c r="E1554" i="13" a="1"/>
  <c r="E1554" i="13" s="1"/>
  <c r="E1555" i="13" s="1"/>
  <c r="H1519" i="13"/>
  <c r="O1554" i="13" a="1"/>
  <c r="O1554" i="13" s="1"/>
  <c r="O1555" i="13" s="1"/>
  <c r="O1556" i="13" a="1"/>
  <c r="O1556" i="13" s="1"/>
  <c r="O1557" i="13" s="1"/>
  <c r="D1547" i="13" a="1"/>
  <c r="D1547" i="13" s="1"/>
  <c r="K1556" i="13" a="1"/>
  <c r="K1556" i="13" s="1"/>
  <c r="K1557" i="13" s="1"/>
  <c r="K1554" i="13" a="1"/>
  <c r="K1554" i="13" s="1"/>
  <c r="K1555" i="13" s="1"/>
  <c r="O1549" i="13" a="1"/>
  <c r="O1549" i="13" s="1"/>
  <c r="O1550" i="13" s="1"/>
  <c r="O1551" i="13" a="1"/>
  <c r="O1551" i="13" s="1"/>
  <c r="O1552" i="13" s="1"/>
  <c r="N1556" i="13" a="1"/>
  <c r="N1556" i="13" s="1"/>
  <c r="N1557" i="13" s="1"/>
  <c r="N1554" i="13" a="1"/>
  <c r="N1554" i="13" s="1"/>
  <c r="N1555" i="13" s="1"/>
  <c r="I1524" i="13"/>
  <c r="D1485" i="13"/>
  <c r="K1519" i="13"/>
  <c r="M1549" i="13" a="1"/>
  <c r="M1549" i="13" s="1"/>
  <c r="M1550" i="13" s="1"/>
  <c r="M1551" i="13" a="1"/>
  <c r="M1551" i="13" s="1"/>
  <c r="M1552" i="13" s="1"/>
  <c r="N1549" i="13" a="1"/>
  <c r="N1549" i="13" s="1"/>
  <c r="N1550" i="13" s="1"/>
  <c r="N1551" i="13" a="1"/>
  <c r="N1551" i="13" s="1"/>
  <c r="N1552" i="13" s="1"/>
  <c r="D1522" i="13" a="1"/>
  <c r="D1522" i="13" s="1"/>
  <c r="D1523" i="13" s="1"/>
  <c r="D1520" i="13" a="1"/>
  <c r="D1520" i="13" s="1"/>
  <c r="D1521" i="13" s="1"/>
  <c r="H1549" i="13" a="1"/>
  <c r="H1549" i="13" s="1"/>
  <c r="H1550" i="13" s="1"/>
  <c r="H1551" i="13" a="1"/>
  <c r="H1551" i="13" s="1"/>
  <c r="H1552" i="13" s="1"/>
  <c r="P658" i="10" a="1"/>
  <c r="P658" i="10" s="1"/>
  <c r="I1496" i="13"/>
  <c r="D1490" i="13"/>
  <c r="N1519" i="13"/>
  <c r="L1554" i="13" a="1"/>
  <c r="L1554" i="13" s="1"/>
  <c r="L1555" i="13" s="1"/>
  <c r="L1556" i="13" a="1"/>
  <c r="L1556" i="13" s="1"/>
  <c r="L1557" i="13" s="1"/>
  <c r="L1519" i="13"/>
  <c r="M1554" i="13" a="1"/>
  <c r="M1554" i="13" s="1"/>
  <c r="M1555" i="13" s="1"/>
  <c r="M1556" i="13" a="1"/>
  <c r="M1556" i="13" s="1"/>
  <c r="M1557" i="13" s="1"/>
  <c r="J1551" i="13" a="1"/>
  <c r="J1551" i="13" s="1"/>
  <c r="J1552" i="13" s="1"/>
  <c r="J1549" i="13" a="1"/>
  <c r="J1549" i="13" s="1"/>
  <c r="J1550" i="13" s="1"/>
  <c r="G1556" i="13" a="1"/>
  <c r="G1556" i="13" s="1"/>
  <c r="G1557" i="13" s="1"/>
  <c r="G1554" i="13" a="1"/>
  <c r="G1554" i="13" s="1"/>
  <c r="G1555" i="13" s="1"/>
  <c r="H1554" i="13" a="1"/>
  <c r="H1554" i="13" s="1"/>
  <c r="H1555" i="13" s="1"/>
  <c r="H1556" i="13" a="1"/>
  <c r="H1556" i="13" s="1"/>
  <c r="H1557" i="13" s="1"/>
  <c r="D1517" i="13" a="1"/>
  <c r="D1517" i="13" s="1"/>
  <c r="D1518" i="13" s="1"/>
  <c r="D1515" i="13" a="1"/>
  <c r="D1515" i="13" s="1"/>
  <c r="D1516" i="13" s="1"/>
  <c r="E1519" i="13"/>
  <c r="G1549" i="13" a="1"/>
  <c r="G1549" i="13" s="1"/>
  <c r="G1550" i="13" s="1"/>
  <c r="G1551" i="13" a="1"/>
  <c r="G1551" i="13" s="1"/>
  <c r="G1552" i="13" s="1"/>
  <c r="J1556" i="13" a="1"/>
  <c r="J1556" i="13" s="1"/>
  <c r="J1557" i="13" s="1"/>
  <c r="J1554" i="13" a="1"/>
  <c r="J1554" i="13" s="1"/>
  <c r="J1555" i="13" s="1"/>
  <c r="L1462" i="13"/>
  <c r="J1464" i="13"/>
  <c r="I67" i="27" a="1"/>
  <c r="I67" i="27" s="1"/>
  <c r="J67" i="27" a="1"/>
  <c r="J67" i="27" s="1"/>
  <c r="D1514" i="13" a="1"/>
  <c r="D1514" i="13" s="1"/>
  <c r="G1464" i="13"/>
  <c r="J1496" i="13"/>
  <c r="M1496" i="13"/>
  <c r="O1498" i="13"/>
  <c r="E1464" i="13"/>
  <c r="D1495" i="13"/>
  <c r="H1464" i="13"/>
  <c r="O67" i="27" a="1"/>
  <c r="O67" i="27" s="1"/>
  <c r="F67" i="27" a="1"/>
  <c r="F67" i="27" s="1"/>
  <c r="H648" i="10"/>
  <c r="M67" i="27" a="1"/>
  <c r="M67" i="27" s="1"/>
  <c r="O648" i="10"/>
  <c r="J648" i="10"/>
  <c r="BL51" i="9" a="1"/>
  <c r="BL51" i="9" s="1"/>
  <c r="BT51" i="9" s="1"/>
  <c r="H64" i="24" s="1" a="1"/>
  <c r="H64" i="24" s="1"/>
  <c r="FV51" i="9" a="1"/>
  <c r="FV51" i="9" s="1"/>
  <c r="GD51" i="9" s="1"/>
  <c r="N64" i="24" s="1" a="1"/>
  <c r="N64" i="24" s="1"/>
  <c r="EJ51" i="9" a="1"/>
  <c r="EJ51" i="9" s="1"/>
  <c r="ER51" i="9" s="1"/>
  <c r="L64" i="24" s="1" a="1"/>
  <c r="L64" i="24" s="1"/>
  <c r="FC50" i="9" a="1"/>
  <c r="FC50" i="9" s="1"/>
  <c r="FK50" i="9" s="1"/>
  <c r="M63" i="24" s="1" a="1"/>
  <c r="M63" i="24" s="1"/>
  <c r="U52" i="9"/>
  <c r="IA51" i="9" a="1"/>
  <c r="IA51" i="9" s="1"/>
  <c r="II51" i="9" s="1"/>
  <c r="Q64" i="24" s="1" a="1"/>
  <c r="Q64" i="24" s="1"/>
  <c r="CE50" i="9" a="1"/>
  <c r="CE50" i="9" s="1"/>
  <c r="CM50" i="9" s="1"/>
  <c r="I63" i="24" s="1" a="1"/>
  <c r="I63" i="24" s="1"/>
  <c r="AH49" i="9"/>
  <c r="F62" i="24" s="1" a="1"/>
  <c r="F62" i="24" s="1"/>
  <c r="FC51" i="9" a="1"/>
  <c r="FC51" i="9" s="1"/>
  <c r="FK51" i="9" s="1"/>
  <c r="M64" i="24" s="1" a="1"/>
  <c r="M64" i="24" s="1"/>
  <c r="CE51" i="9" a="1"/>
  <c r="CE51" i="9" s="1"/>
  <c r="CM51" i="9" s="1"/>
  <c r="I64" i="24" s="1" a="1"/>
  <c r="I64" i="24" s="1"/>
  <c r="AS51" i="9" a="1"/>
  <c r="AS51" i="9" s="1"/>
  <c r="BA51" i="9" s="1"/>
  <c r="G64" i="24" s="1" a="1"/>
  <c r="G64" i="24" s="1"/>
  <c r="HH51" i="9" a="1"/>
  <c r="HH51" i="9" s="1"/>
  <c r="HP51" i="9" s="1"/>
  <c r="P64" i="24" s="1" a="1"/>
  <c r="P64" i="24" s="1"/>
  <c r="GO51" i="9" a="1"/>
  <c r="GO51" i="9" s="1"/>
  <c r="GW51" i="9" s="1"/>
  <c r="O64" i="24" s="1" a="1"/>
  <c r="O64" i="24" s="1"/>
  <c r="FU52" i="9"/>
  <c r="FV52" i="9" s="1" a="1"/>
  <c r="FV52" i="9" s="1"/>
  <c r="CW51" i="9"/>
  <c r="DE51" i="9" s="1"/>
  <c r="HG52" i="9"/>
  <c r="HO52" i="9" s="1"/>
  <c r="AG50" i="9"/>
  <c r="IL50" i="9" s="1"/>
  <c r="IM50" i="9" s="1"/>
  <c r="Z50" i="9" a="1"/>
  <c r="Z50" i="9" s="1"/>
  <c r="HZ52" i="9"/>
  <c r="IH52" i="9" s="1"/>
  <c r="EI52" i="9"/>
  <c r="EQ52" i="9" s="1"/>
  <c r="DP51" i="9"/>
  <c r="DX51" i="9" s="1"/>
  <c r="AR52" i="9"/>
  <c r="AZ52" i="9" s="1"/>
  <c r="W51" i="9" a="1"/>
  <c r="W51" i="9" s="1"/>
  <c r="Y51" i="9" s="1"/>
  <c r="AG51" i="9" s="1"/>
  <c r="F648" i="10"/>
  <c r="O656" i="10"/>
  <c r="HR57" i="9" s="1" a="1"/>
  <c r="HR57" i="9" s="1"/>
  <c r="P671" i="10"/>
  <c r="N656" i="10"/>
  <c r="GY57" i="9" s="1" a="1"/>
  <c r="GY57" i="9" s="1"/>
  <c r="H656" i="10"/>
  <c r="CO57" i="9" s="1" a="1"/>
  <c r="CO57" i="9" s="1"/>
  <c r="U51" i="9"/>
  <c r="I648" i="10"/>
  <c r="I656" i="10"/>
  <c r="DH57" i="9" s="1" a="1"/>
  <c r="DH57" i="9" s="1"/>
  <c r="K648" i="10"/>
  <c r="F656" i="10"/>
  <c r="BC57" i="9" s="1" a="1"/>
  <c r="BC57" i="9" s="1"/>
  <c r="E648" i="10"/>
  <c r="P634" i="10"/>
  <c r="G656" i="10"/>
  <c r="BV57" i="9" s="1" a="1"/>
  <c r="BV57" i="9" s="1"/>
  <c r="M656" i="10"/>
  <c r="GF57" i="9" s="1" a="1"/>
  <c r="GF57" i="9" s="1"/>
  <c r="K662" i="10"/>
  <c r="L662" i="10"/>
  <c r="F662" i="10"/>
  <c r="O662" i="10"/>
  <c r="H662" i="10"/>
  <c r="L668" i="10"/>
  <c r="H668" i="10"/>
  <c r="M678" i="10"/>
  <c r="M685" i="10" s="1"/>
  <c r="N678" i="10"/>
  <c r="N685" i="10" s="1"/>
  <c r="E678" i="10"/>
  <c r="E685" i="10" s="1"/>
  <c r="D678" i="10"/>
  <c r="D685" i="10" s="1"/>
  <c r="O678" i="10"/>
  <c r="B682" i="10"/>
  <c r="B683" i="10" s="1"/>
  <c r="J678" i="10"/>
  <c r="J685" i="10" s="1"/>
  <c r="B679" i="10"/>
  <c r="B680" i="10" s="1"/>
  <c r="B681" i="10" s="1"/>
  <c r="F678" i="10"/>
  <c r="F685" i="10" s="1"/>
  <c r="I678" i="10"/>
  <c r="I685" i="10" s="1"/>
  <c r="L678" i="10"/>
  <c r="L685" i="10" s="1"/>
  <c r="H678" i="10"/>
  <c r="H685" i="10" s="1"/>
  <c r="K678" i="10"/>
  <c r="K685" i="10" s="1"/>
  <c r="P678" i="10"/>
  <c r="P682" i="10" s="1"/>
  <c r="G678" i="10"/>
  <c r="G685" i="10" s="1"/>
  <c r="D662" i="10"/>
  <c r="X57" i="9" s="1" a="1"/>
  <c r="X57" i="9" s="1"/>
  <c r="L656" i="10"/>
  <c r="FM57" i="9" s="1" a="1"/>
  <c r="FM57" i="9" s="1"/>
  <c r="E671" i="10"/>
  <c r="E668" i="10"/>
  <c r="L671" i="10"/>
  <c r="N668" i="10"/>
  <c r="J691" i="10"/>
  <c r="M691" i="10"/>
  <c r="H691" i="10"/>
  <c r="E691" i="10"/>
  <c r="D691" i="10"/>
  <c r="P691" i="10"/>
  <c r="B692" i="10"/>
  <c r="G691" i="10"/>
  <c r="N691" i="10"/>
  <c r="O691" i="10"/>
  <c r="F691" i="10"/>
  <c r="K691" i="10"/>
  <c r="I691" i="10"/>
  <c r="L691" i="10"/>
  <c r="I668" i="10"/>
  <c r="M668" i="10"/>
  <c r="B705" i="10" a="1"/>
  <c r="B705" i="10" s="1"/>
  <c r="A705" i="10" a="1"/>
  <c r="A705" i="10" s="1"/>
  <c r="G668" i="10"/>
  <c r="D668" i="10"/>
  <c r="L648" i="10"/>
  <c r="J668" i="10"/>
  <c r="K656" i="10"/>
  <c r="ET57" i="9" s="1" a="1"/>
  <c r="ET57" i="9" s="1"/>
  <c r="D656" i="10"/>
  <c r="Q57" i="9" s="1" a="1"/>
  <c r="Q57" i="9" s="1"/>
  <c r="J656" i="10"/>
  <c r="EA57" i="9" s="1" a="1"/>
  <c r="EA57" i="9" s="1"/>
  <c r="K671" i="10"/>
  <c r="K668" i="10"/>
  <c r="F668" i="10"/>
  <c r="H669" i="10"/>
  <c r="H672" i="10" s="1" a="1"/>
  <c r="H672" i="10" s="1"/>
  <c r="F669" i="10"/>
  <c r="F672" i="10" s="1" a="1"/>
  <c r="F672" i="10" s="1"/>
  <c r="M669" i="10"/>
  <c r="M672" i="10" s="1" a="1"/>
  <c r="M672" i="10" s="1"/>
  <c r="I669" i="10"/>
  <c r="I672" i="10" s="1" a="1"/>
  <c r="I672" i="10" s="1"/>
  <c r="N669" i="10"/>
  <c r="N672" i="10" s="1" a="1"/>
  <c r="N672" i="10" s="1"/>
  <c r="O669" i="10"/>
  <c r="O672" i="10" s="1" a="1"/>
  <c r="O672" i="10" s="1"/>
  <c r="L669" i="10"/>
  <c r="K669" i="10"/>
  <c r="J669" i="10"/>
  <c r="J672" i="10" s="1" a="1"/>
  <c r="J672" i="10" s="1"/>
  <c r="P669" i="10"/>
  <c r="P670" i="10" s="1"/>
  <c r="B670" i="10"/>
  <c r="B671" i="10" s="1"/>
  <c r="B672" i="10" s="1"/>
  <c r="B673" i="10" s="1"/>
  <c r="B674" i="10" s="1"/>
  <c r="B675" i="10" s="1"/>
  <c r="B676" i="10" s="1"/>
  <c r="E669" i="10"/>
  <c r="G669" i="10"/>
  <c r="G672" i="10" s="1" a="1"/>
  <c r="G672" i="10" s="1"/>
  <c r="D669" i="10"/>
  <c r="D672" i="10" s="1" a="1"/>
  <c r="D672" i="10" s="1"/>
  <c r="O668" i="10"/>
  <c r="E656" i="10"/>
  <c r="AJ57" i="9" s="1" a="1"/>
  <c r="AJ57" i="9" s="1"/>
  <c r="R719" i="10"/>
  <c r="O1500" i="13" l="1"/>
  <c r="HX54" i="9" s="1" a="1"/>
  <c r="HX54" i="9" s="1"/>
  <c r="I1500" i="13"/>
  <c r="DN54" i="9" s="1" a="1"/>
  <c r="DN54" i="9" s="1"/>
  <c r="L1466" i="13"/>
  <c r="FS53" i="9" s="1" a="1"/>
  <c r="FS53" i="9" s="1"/>
  <c r="EE53" i="9"/>
  <c r="GJ54" i="9"/>
  <c r="K1466" i="13"/>
  <c r="EZ53" i="9" s="1" a="1"/>
  <c r="EZ53" i="9" s="1"/>
  <c r="FB53" i="9" s="1"/>
  <c r="FJ53" i="9" s="1"/>
  <c r="J1500" i="13"/>
  <c r="EG54" i="9" s="1" a="1"/>
  <c r="EG54" i="9" s="1"/>
  <c r="G1466" i="13"/>
  <c r="CB53" i="9" s="1" a="1"/>
  <c r="CB53" i="9" s="1"/>
  <c r="E1500" i="13"/>
  <c r="AP54" i="9" s="1" a="1"/>
  <c r="AP54" i="9" s="1"/>
  <c r="O1466" i="13"/>
  <c r="HX53" i="9" s="1" a="1"/>
  <c r="HX53" i="9" s="1"/>
  <c r="HZ53" i="9" s="1"/>
  <c r="IH53" i="9" s="1"/>
  <c r="U53" i="9"/>
  <c r="HV54" i="9"/>
  <c r="N1500" i="13"/>
  <c r="HE54" i="9" s="1" a="1"/>
  <c r="HE54" i="9" s="1"/>
  <c r="N1466" i="13"/>
  <c r="HE53" i="9" s="1" a="1"/>
  <c r="HE53" i="9" s="1"/>
  <c r="M1500" i="13"/>
  <c r="GL54" i="9" s="1" a="1"/>
  <c r="GL54" i="9" s="1"/>
  <c r="EE54" i="9"/>
  <c r="EX53" i="9"/>
  <c r="E1466" i="13"/>
  <c r="AP53" i="9" s="1" a="1"/>
  <c r="AP53" i="9" s="1"/>
  <c r="J1466" i="13"/>
  <c r="EG53" i="9" s="1" a="1"/>
  <c r="EG53" i="9" s="1"/>
  <c r="EI53" i="9" s="1"/>
  <c r="EQ53" i="9" s="1"/>
  <c r="HC54" i="9"/>
  <c r="Q64" i="25"/>
  <c r="H1466" i="13"/>
  <c r="CU53" i="9" s="1" a="1"/>
  <c r="CU53" i="9" s="1"/>
  <c r="CW53" i="9" s="1"/>
  <c r="DE53" i="9" s="1"/>
  <c r="D1466" i="13"/>
  <c r="L1530" i="13"/>
  <c r="FP55" i="9" a="1"/>
  <c r="FP55" i="9" s="1"/>
  <c r="G1498" i="13"/>
  <c r="BY54" i="9" a="1"/>
  <c r="BY54" i="9" s="1"/>
  <c r="BZ54" i="9" s="1"/>
  <c r="F66" i="25" a="1"/>
  <c r="F66" i="25" s="1"/>
  <c r="AO54" i="9"/>
  <c r="P65" i="25" a="1"/>
  <c r="P65" i="25" s="1"/>
  <c r="HW53" i="9"/>
  <c r="E1532" i="13"/>
  <c r="AM55" i="9" a="1"/>
  <c r="AM55" i="9" s="1"/>
  <c r="I65" i="25" a="1"/>
  <c r="I65" i="25" s="1"/>
  <c r="CT53" i="9"/>
  <c r="HV53" i="9"/>
  <c r="H1498" i="13"/>
  <c r="CR54" i="9" a="1"/>
  <c r="CR54" i="9" s="1"/>
  <c r="CS54" i="9" s="1"/>
  <c r="O65" i="25" a="1"/>
  <c r="O65" i="25" s="1"/>
  <c r="HD53" i="9"/>
  <c r="H65" i="25" a="1"/>
  <c r="H65" i="25" s="1"/>
  <c r="CA53" i="9"/>
  <c r="HC53" i="9"/>
  <c r="P66" i="25" a="1"/>
  <c r="P66" i="25" s="1"/>
  <c r="HW54" i="9"/>
  <c r="I1530" i="13"/>
  <c r="DK55" i="9" a="1"/>
  <c r="DK55" i="9" s="1"/>
  <c r="F1496" i="13"/>
  <c r="BF54" i="9" a="1"/>
  <c r="BF54" i="9" s="1"/>
  <c r="K1498" i="13"/>
  <c r="EW54" i="9" a="1"/>
  <c r="EW54" i="9" s="1"/>
  <c r="EX54" i="9" s="1"/>
  <c r="L65" i="25" a="1"/>
  <c r="L65" i="25" s="1"/>
  <c r="EY53" i="9"/>
  <c r="K66" i="25" a="1"/>
  <c r="K66" i="25" s="1"/>
  <c r="EF54" i="9"/>
  <c r="AN54" i="9"/>
  <c r="M65" i="25" a="1"/>
  <c r="M65" i="25" s="1"/>
  <c r="FR53" i="9"/>
  <c r="O66" i="25" a="1"/>
  <c r="O66" i="25" s="1"/>
  <c r="HD54" i="9"/>
  <c r="K1530" i="13"/>
  <c r="EW55" i="9" a="1"/>
  <c r="EW55" i="9" s="1"/>
  <c r="H1530" i="13"/>
  <c r="CR55" i="9" a="1"/>
  <c r="CR55" i="9" s="1"/>
  <c r="F65" i="25" a="1"/>
  <c r="F65" i="25" s="1"/>
  <c r="AO53" i="9"/>
  <c r="J66" i="25" a="1"/>
  <c r="J66" i="25" s="1"/>
  <c r="DM54" i="9"/>
  <c r="N66" i="25" a="1"/>
  <c r="N66" i="25" s="1"/>
  <c r="GK54" i="9"/>
  <c r="D1498" i="13"/>
  <c r="T54" i="9" a="1"/>
  <c r="T54" i="9" s="1"/>
  <c r="E66" i="25" s="1" a="1"/>
  <c r="E66" i="25" s="1"/>
  <c r="N1532" i="13"/>
  <c r="HB55" i="9" a="1"/>
  <c r="HB55" i="9" s="1"/>
  <c r="L1498" i="13"/>
  <c r="FP54" i="9" a="1"/>
  <c r="FP54" i="9" s="1"/>
  <c r="FQ54" i="9" s="1"/>
  <c r="K65" i="25" a="1"/>
  <c r="K65" i="25" s="1"/>
  <c r="EF53" i="9"/>
  <c r="BZ53" i="9"/>
  <c r="I1556" i="13" a="1"/>
  <c r="I1556" i="13" s="1"/>
  <c r="I1557" i="13" s="1"/>
  <c r="I1558" i="13" s="1"/>
  <c r="G1561" i="13" a="1"/>
  <c r="G1561" i="13" s="1"/>
  <c r="G1562" i="13" s="1"/>
  <c r="G1563" i="13" s="1"/>
  <c r="M1559" i="13" a="1"/>
  <c r="M1559" i="13" s="1"/>
  <c r="M1560" i="13" s="1"/>
  <c r="M1563" i="13" s="1"/>
  <c r="O1527" i="13" a="1"/>
  <c r="O1527" i="13" s="1"/>
  <c r="O1528" i="13" s="1"/>
  <c r="O1529" i="13" s="1"/>
  <c r="G1527" i="13" a="1"/>
  <c r="G1527" i="13" s="1"/>
  <c r="G1528" i="13" s="1"/>
  <c r="G1529" i="13" s="1"/>
  <c r="N1559" i="13" a="1"/>
  <c r="N1559" i="13" s="1"/>
  <c r="N1560" i="13" s="1"/>
  <c r="N1563" i="13" s="1"/>
  <c r="D1559" i="13" a="1"/>
  <c r="D1559" i="13" s="1"/>
  <c r="D1560" i="13" s="1"/>
  <c r="D1563" i="13" s="1"/>
  <c r="F1525" i="13" a="1"/>
  <c r="F1525" i="13" s="1"/>
  <c r="F1526" i="13" s="1"/>
  <c r="F1529" i="13" s="1"/>
  <c r="HT55" i="9" a="1"/>
  <c r="HT55" i="9" s="1"/>
  <c r="BE55" i="9" a="1"/>
  <c r="BE55" i="9" s="1"/>
  <c r="O1582" i="13" a="1"/>
  <c r="O1582" i="13" s="1"/>
  <c r="O1593" i="13" s="1" a="1"/>
  <c r="O1593" i="13" s="1"/>
  <c r="O1594" i="13" s="1"/>
  <c r="HS57" i="9" a="1"/>
  <c r="HS57" i="9" s="1"/>
  <c r="P69" i="27" s="1" a="1"/>
  <c r="P69" i="27" s="1"/>
  <c r="HY57" i="9" a="1"/>
  <c r="HY57" i="9" s="1"/>
  <c r="O1548" i="13" a="1"/>
  <c r="O1548" i="13" s="1"/>
  <c r="O1559" i="13" s="1" a="1"/>
  <c r="O1559" i="13" s="1"/>
  <c r="O1560" i="13" s="1"/>
  <c r="HS56" i="9" a="1"/>
  <c r="HS56" i="9" s="1"/>
  <c r="HY56" i="9" a="1"/>
  <c r="HY56" i="9" s="1"/>
  <c r="HA55" i="9" a="1"/>
  <c r="HA55" i="9" s="1"/>
  <c r="GH55" i="9" a="1"/>
  <c r="GH55" i="9" s="1"/>
  <c r="M1527" i="13" a="1"/>
  <c r="M1527" i="13" s="1"/>
  <c r="M1528" i="13" s="1"/>
  <c r="M1525" i="13" a="1"/>
  <c r="M1525" i="13" s="1"/>
  <c r="M1526" i="13" s="1"/>
  <c r="N67" i="27" a="1"/>
  <c r="N67" i="27" s="1"/>
  <c r="J1527" i="13" a="1"/>
  <c r="J1527" i="13" s="1"/>
  <c r="J1528" i="13" s="1"/>
  <c r="J1529" i="13" s="1"/>
  <c r="FO55" i="9" a="1"/>
  <c r="FO55" i="9" s="1"/>
  <c r="L1582" i="13" a="1"/>
  <c r="L1582" i="13" s="1"/>
  <c r="L1595" i="13" s="1" a="1"/>
  <c r="L1595" i="13" s="1"/>
  <c r="L1596" i="13" s="1"/>
  <c r="FT57" i="9" a="1"/>
  <c r="FT57" i="9" s="1"/>
  <c r="FN57" i="9" a="1"/>
  <c r="FN57" i="9" s="1"/>
  <c r="M69" i="27" s="1" a="1"/>
  <c r="M69" i="27" s="1"/>
  <c r="L1548" i="13" a="1"/>
  <c r="L1548" i="13" s="1"/>
  <c r="L1561" i="13" s="1" a="1"/>
  <c r="L1561" i="13" s="1"/>
  <c r="L1562" i="13" s="1"/>
  <c r="FT56" i="9" a="1"/>
  <c r="FT56" i="9" s="1"/>
  <c r="FN56" i="9" a="1"/>
  <c r="FN56" i="9" s="1"/>
  <c r="K1582" i="13" a="1"/>
  <c r="K1582" i="13" s="1"/>
  <c r="K1593" i="13" s="1" a="1"/>
  <c r="K1593" i="13" s="1"/>
  <c r="K1594" i="13" s="1"/>
  <c r="EU57" i="9" a="1"/>
  <c r="EU57" i="9" s="1"/>
  <c r="L69" i="27" s="1" a="1"/>
  <c r="L69" i="27" s="1"/>
  <c r="FA57" i="9" a="1"/>
  <c r="FA57" i="9" s="1"/>
  <c r="K1548" i="13" a="1"/>
  <c r="K1548" i="13" s="1"/>
  <c r="K1559" i="13" s="1" a="1"/>
  <c r="K1559" i="13" s="1"/>
  <c r="K1560" i="13" s="1"/>
  <c r="EU56" i="9" a="1"/>
  <c r="EU56" i="9" s="1"/>
  <c r="FA56" i="9" a="1"/>
  <c r="FA56" i="9" s="1"/>
  <c r="EV55" i="9" a="1"/>
  <c r="EV55" i="9" s="1"/>
  <c r="M662" i="10"/>
  <c r="EC55" i="9" a="1"/>
  <c r="EC55" i="9" s="1"/>
  <c r="J1548" i="13" a="1"/>
  <c r="J1548" i="13" s="1"/>
  <c r="J1561" i="13" s="1" a="1"/>
  <c r="J1561" i="13" s="1"/>
  <c r="J1562" i="13" s="1"/>
  <c r="EB56" i="9" a="1"/>
  <c r="EB56" i="9" s="1"/>
  <c r="EH56" i="9" a="1"/>
  <c r="EH56" i="9" s="1"/>
  <c r="DJ55" i="9" a="1"/>
  <c r="DJ55" i="9" s="1"/>
  <c r="I1548" i="13" a="1"/>
  <c r="I1548" i="13" s="1"/>
  <c r="I1561" i="13" s="1" a="1"/>
  <c r="I1561" i="13" s="1"/>
  <c r="I1562" i="13" s="1"/>
  <c r="DO56" i="9" a="1"/>
  <c r="DO56" i="9" s="1"/>
  <c r="DI56" i="9" a="1"/>
  <c r="DI56" i="9" s="1"/>
  <c r="H1582" i="13" a="1"/>
  <c r="H1582" i="13" s="1"/>
  <c r="H1595" i="13" s="1" a="1"/>
  <c r="H1595" i="13" s="1"/>
  <c r="H1596" i="13" s="1"/>
  <c r="CV57" i="9" a="1"/>
  <c r="CV57" i="9" s="1"/>
  <c r="CP57" i="9" a="1"/>
  <c r="CP57" i="9" s="1"/>
  <c r="I69" i="27" s="1" a="1"/>
  <c r="I69" i="27" s="1"/>
  <c r="CQ55" i="9" a="1"/>
  <c r="CQ55" i="9" s="1"/>
  <c r="CS55" i="9" s="1"/>
  <c r="BX55" i="9" a="1"/>
  <c r="BX55" i="9" s="1"/>
  <c r="H1548" i="13" a="1"/>
  <c r="H1548" i="13" s="1"/>
  <c r="H1561" i="13" s="1" a="1"/>
  <c r="H1561" i="13" s="1"/>
  <c r="H1562" i="13" s="1"/>
  <c r="CV56" i="9" a="1"/>
  <c r="CV56" i="9" s="1"/>
  <c r="CP56" i="9" a="1"/>
  <c r="CP56" i="9" s="1"/>
  <c r="F1582" i="13" a="1"/>
  <c r="F1582" i="13" s="1"/>
  <c r="F1595" i="13" s="1" a="1"/>
  <c r="F1595" i="13" s="1"/>
  <c r="F1596" i="13" s="1"/>
  <c r="BJ57" i="9" a="1"/>
  <c r="BJ57" i="9" s="1"/>
  <c r="BD57" i="9" a="1"/>
  <c r="BD57" i="9" s="1"/>
  <c r="G69" i="27" s="1" a="1"/>
  <c r="G69" i="27" s="1"/>
  <c r="F1548" i="13" a="1"/>
  <c r="F1548" i="13" s="1"/>
  <c r="F1561" i="13" s="1" a="1"/>
  <c r="F1561" i="13" s="1"/>
  <c r="F1562" i="13" s="1"/>
  <c r="BD56" i="9" a="1"/>
  <c r="BD56" i="9" s="1"/>
  <c r="BJ56" i="9" a="1"/>
  <c r="BJ56" i="9" s="1"/>
  <c r="D1432" i="13"/>
  <c r="W52" i="9" s="1" a="1"/>
  <c r="W52" i="9" s="1"/>
  <c r="Y52" i="9" s="1"/>
  <c r="Z52" i="9" s="1" a="1"/>
  <c r="Z52" i="9" s="1"/>
  <c r="E1549" i="13" a="1"/>
  <c r="E1549" i="13" s="1"/>
  <c r="E1550" i="13" s="1"/>
  <c r="E1553" i="13" s="1"/>
  <c r="E1548" i="13" a="1"/>
  <c r="E1548" i="13" s="1"/>
  <c r="E1561" i="13" s="1" a="1"/>
  <c r="E1561" i="13" s="1"/>
  <c r="E1562" i="13" s="1"/>
  <c r="AK56" i="9" a="1"/>
  <c r="AK56" i="9" s="1"/>
  <c r="AQ56" i="9" a="1"/>
  <c r="AQ56" i="9" s="1"/>
  <c r="AL55" i="9" a="1"/>
  <c r="AL55" i="9" s="1"/>
  <c r="D1582" i="13" a="1"/>
  <c r="D1582" i="13" s="1"/>
  <c r="D1593" i="13" s="1" a="1"/>
  <c r="D1593" i="13" s="1"/>
  <c r="D1594" i="13" s="1"/>
  <c r="R57" i="9" a="1"/>
  <c r="R57" i="9" s="1"/>
  <c r="E69" i="27" s="1" a="1"/>
  <c r="E69" i="27" s="1"/>
  <c r="J659" i="10"/>
  <c r="J1580" i="13" s="1" a="1"/>
  <c r="J1580" i="13" s="1"/>
  <c r="J1585" i="13" s="1" a="1"/>
  <c r="J1585" i="13" s="1"/>
  <c r="J1586" i="13" s="1"/>
  <c r="P646" i="10"/>
  <c r="E659" i="10"/>
  <c r="E1580" i="13" s="1" a="1"/>
  <c r="E1580" i="13" s="1"/>
  <c r="E1585" i="13" s="1" a="1"/>
  <c r="E1585" i="13" s="1"/>
  <c r="E1586" i="13" s="1"/>
  <c r="E661" i="10"/>
  <c r="E662" i="10"/>
  <c r="M660" i="10"/>
  <c r="M1581" i="13" s="1" a="1"/>
  <c r="M1581" i="13" s="1"/>
  <c r="M1588" i="13" s="1" a="1"/>
  <c r="M1588" i="13" s="1"/>
  <c r="M1589" i="13" s="1"/>
  <c r="K1549" i="13" a="1"/>
  <c r="K1549" i="13" s="1"/>
  <c r="K1550" i="13" s="1"/>
  <c r="K1553" i="13" s="1"/>
  <c r="IN49" i="9"/>
  <c r="IO49" i="9" s="1"/>
  <c r="G659" i="10"/>
  <c r="G1580" i="13" s="1" a="1"/>
  <c r="G1580" i="13" s="1"/>
  <c r="G1585" i="13" s="1" a="1"/>
  <c r="G1585" i="13" s="1"/>
  <c r="G1586" i="13" s="1"/>
  <c r="L1549" i="13" a="1"/>
  <c r="L1549" i="13" s="1"/>
  <c r="L1550" i="13" s="1"/>
  <c r="L1553" i="13" s="1"/>
  <c r="P647" i="10"/>
  <c r="M659" i="10"/>
  <c r="M1580" i="13" s="1" a="1"/>
  <c r="M1580" i="13" s="1"/>
  <c r="M1583" i="13" s="1" a="1"/>
  <c r="M1583" i="13" s="1"/>
  <c r="M1584" i="13" s="1"/>
  <c r="N660" i="10"/>
  <c r="N1581" i="13" s="1" a="1"/>
  <c r="N1581" i="13" s="1"/>
  <c r="N1590" i="13" s="1" a="1"/>
  <c r="N1590" i="13" s="1"/>
  <c r="N1591" i="13" s="1"/>
  <c r="N659" i="10"/>
  <c r="N1580" i="13" s="1" a="1"/>
  <c r="N1580" i="13" s="1"/>
  <c r="N1585" i="13" s="1" a="1"/>
  <c r="N1585" i="13" s="1"/>
  <c r="N1586" i="13" s="1"/>
  <c r="G661" i="10"/>
  <c r="J661" i="10"/>
  <c r="K1532" i="13"/>
  <c r="M1558" i="13"/>
  <c r="K1558" i="13"/>
  <c r="D1519" i="13"/>
  <c r="H1558" i="13"/>
  <c r="L1496" i="13"/>
  <c r="E1558" i="13"/>
  <c r="J673" i="10"/>
  <c r="J1614" i="13" s="1" a="1"/>
  <c r="J1614" i="13" s="1"/>
  <c r="J674" i="10"/>
  <c r="J1615" i="13" s="1" a="1"/>
  <c r="J1615" i="13" s="1"/>
  <c r="J675" i="10"/>
  <c r="F675" i="10"/>
  <c r="F673" i="10"/>
  <c r="F1614" i="13" s="1" a="1"/>
  <c r="F1614" i="13" s="1"/>
  <c r="F674" i="10"/>
  <c r="F1615" i="13" s="1" a="1"/>
  <c r="F1615" i="13" s="1"/>
  <c r="H675" i="10"/>
  <c r="H673" i="10"/>
  <c r="H1614" i="13" s="1" a="1"/>
  <c r="H1614" i="13" s="1"/>
  <c r="H674" i="10"/>
  <c r="H1615" i="13" s="1" a="1"/>
  <c r="H1615" i="13" s="1"/>
  <c r="D674" i="10"/>
  <c r="D675" i="10"/>
  <c r="D673" i="10"/>
  <c r="O674" i="10"/>
  <c r="O1615" i="13" s="1" a="1"/>
  <c r="O1615" i="13" s="1"/>
  <c r="O675" i="10"/>
  <c r="O673" i="10"/>
  <c r="O1614" i="13" s="1" a="1"/>
  <c r="O1614" i="13" s="1"/>
  <c r="N673" i="10"/>
  <c r="N1614" i="13" s="1" a="1"/>
  <c r="N1614" i="13" s="1"/>
  <c r="N675" i="10"/>
  <c r="N674" i="10"/>
  <c r="N1615" i="13" s="1" a="1"/>
  <c r="N1615" i="13" s="1"/>
  <c r="I673" i="10"/>
  <c r="I1614" i="13" s="1" a="1"/>
  <c r="I1614" i="13" s="1"/>
  <c r="I674" i="10"/>
  <c r="I1615" i="13" s="1" a="1"/>
  <c r="I1615" i="13" s="1"/>
  <c r="I675" i="10"/>
  <c r="G675" i="10"/>
  <c r="G673" i="10"/>
  <c r="G1614" i="13" s="1" a="1"/>
  <c r="G1614" i="13" s="1"/>
  <c r="G674" i="10"/>
  <c r="G1615" i="13" s="1" a="1"/>
  <c r="G1615" i="13" s="1"/>
  <c r="M675" i="10"/>
  <c r="M673" i="10"/>
  <c r="M1614" i="13" s="1" a="1"/>
  <c r="M1614" i="13" s="1"/>
  <c r="M674" i="10"/>
  <c r="M1615" i="13" s="1" a="1"/>
  <c r="M1615" i="13" s="1"/>
  <c r="D1581" i="13" a="1"/>
  <c r="D1581" i="13" s="1"/>
  <c r="L1590" i="13" a="1"/>
  <c r="L1590" i="13" s="1"/>
  <c r="L1591" i="13" s="1"/>
  <c r="L1588" i="13" a="1"/>
  <c r="L1588" i="13" s="1"/>
  <c r="L1589" i="13" s="1"/>
  <c r="K672" i="10" a="1"/>
  <c r="K672" i="10" s="1"/>
  <c r="J1553" i="13"/>
  <c r="D1524" i="13"/>
  <c r="O1558" i="13"/>
  <c r="P645" i="10"/>
  <c r="O1588" i="13" a="1"/>
  <c r="O1588" i="13" s="1"/>
  <c r="O1589" i="13" s="1"/>
  <c r="O1590" i="13" a="1"/>
  <c r="O1590" i="13" s="1"/>
  <c r="O1591" i="13" s="1"/>
  <c r="G1553" i="13"/>
  <c r="N1553" i="13"/>
  <c r="D1549" i="13" a="1"/>
  <c r="D1549" i="13" s="1"/>
  <c r="D1550" i="13" s="1"/>
  <c r="D1551" i="13" a="1"/>
  <c r="D1551" i="13" s="1"/>
  <c r="D1552" i="13" s="1"/>
  <c r="O1583" i="13" a="1"/>
  <c r="O1583" i="13" s="1"/>
  <c r="O1584" i="13" s="1"/>
  <c r="O1585" i="13" a="1"/>
  <c r="O1585" i="13" s="1"/>
  <c r="O1586" i="13" s="1"/>
  <c r="K1588" i="13" a="1"/>
  <c r="K1588" i="13" s="1"/>
  <c r="K1589" i="13" s="1"/>
  <c r="K1590" i="13" a="1"/>
  <c r="K1590" i="13" s="1"/>
  <c r="K1591" i="13" s="1"/>
  <c r="K1585" i="13" a="1"/>
  <c r="K1585" i="13" s="1"/>
  <c r="K1586" i="13" s="1"/>
  <c r="K1583" i="13" a="1"/>
  <c r="K1583" i="13" s="1"/>
  <c r="K1584" i="13" s="1"/>
  <c r="L672" i="10" a="1"/>
  <c r="L672" i="10" s="1"/>
  <c r="G1558" i="13"/>
  <c r="M1553" i="13"/>
  <c r="N1558" i="13"/>
  <c r="I1553" i="13"/>
  <c r="I1590" i="13" a="1"/>
  <c r="I1590" i="13" s="1"/>
  <c r="I1591" i="13" s="1"/>
  <c r="I1588" i="13" a="1"/>
  <c r="I1588" i="13" s="1"/>
  <c r="I1589" i="13" s="1"/>
  <c r="J1588" i="13" a="1"/>
  <c r="J1588" i="13" s="1"/>
  <c r="J1589" i="13" s="1"/>
  <c r="J1590" i="13" a="1"/>
  <c r="J1590" i="13" s="1"/>
  <c r="J1591" i="13" s="1"/>
  <c r="F1549" i="13" a="1"/>
  <c r="F1549" i="13" s="1"/>
  <c r="F1550" i="13" s="1"/>
  <c r="F1551" i="13" a="1"/>
  <c r="F1551" i="13" s="1"/>
  <c r="F1552" i="13" s="1"/>
  <c r="I1585" i="13" a="1"/>
  <c r="I1585" i="13" s="1"/>
  <c r="I1586" i="13" s="1"/>
  <c r="I1583" i="13" a="1"/>
  <c r="I1583" i="13" s="1"/>
  <c r="I1584" i="13" s="1"/>
  <c r="F1590" i="13" a="1"/>
  <c r="F1590" i="13" s="1"/>
  <c r="F1591" i="13" s="1"/>
  <c r="F1588" i="13" a="1"/>
  <c r="F1588" i="13" s="1"/>
  <c r="F1589" i="13" s="1"/>
  <c r="H1590" i="13" a="1"/>
  <c r="H1590" i="13" s="1"/>
  <c r="H1591" i="13" s="1"/>
  <c r="H1588" i="13" a="1"/>
  <c r="H1588" i="13" s="1"/>
  <c r="H1589" i="13" s="1"/>
  <c r="E672" i="10" a="1"/>
  <c r="E672" i="10" s="1"/>
  <c r="E1588" i="13" a="1"/>
  <c r="E1588" i="13" s="1"/>
  <c r="E1589" i="13" s="1"/>
  <c r="E1590" i="13" a="1"/>
  <c r="E1590" i="13" s="1"/>
  <c r="E1591" i="13" s="1"/>
  <c r="L1558" i="13"/>
  <c r="O1553" i="13"/>
  <c r="F1585" i="13" a="1"/>
  <c r="F1585" i="13" s="1"/>
  <c r="F1586" i="13" s="1"/>
  <c r="F1583" i="13" a="1"/>
  <c r="F1583" i="13" s="1"/>
  <c r="F1584" i="13" s="1"/>
  <c r="H1585" i="13" a="1"/>
  <c r="H1585" i="13" s="1"/>
  <c r="H1586" i="13" s="1"/>
  <c r="H1583" i="13" a="1"/>
  <c r="H1583" i="13" s="1"/>
  <c r="H1584" i="13" s="1"/>
  <c r="P672" i="10" a="1"/>
  <c r="P672" i="10" s="1"/>
  <c r="J1558" i="13"/>
  <c r="G1588" i="13" a="1"/>
  <c r="G1588" i="13" s="1"/>
  <c r="G1589" i="13" s="1"/>
  <c r="G1590" i="13" a="1"/>
  <c r="G1590" i="13" s="1"/>
  <c r="G1591" i="13" s="1"/>
  <c r="H1553" i="13"/>
  <c r="D1556" i="13" a="1"/>
  <c r="D1556" i="13" s="1"/>
  <c r="D1557" i="13" s="1"/>
  <c r="D1554" i="13" a="1"/>
  <c r="D1554" i="13" s="1"/>
  <c r="D1555" i="13" s="1"/>
  <c r="F1556" i="13" a="1"/>
  <c r="F1556" i="13" s="1"/>
  <c r="F1557" i="13" s="1"/>
  <c r="F1554" i="13" a="1"/>
  <c r="F1554" i="13" s="1"/>
  <c r="F1555" i="13" s="1"/>
  <c r="D1580" i="13" a="1"/>
  <c r="D1580" i="13" s="1"/>
  <c r="L1585" i="13" a="1"/>
  <c r="L1585" i="13" s="1"/>
  <c r="L1586" i="13" s="1"/>
  <c r="L1583" i="13" a="1"/>
  <c r="L1583" i="13" s="1"/>
  <c r="L1584" i="13" s="1"/>
  <c r="H1532" i="13"/>
  <c r="G1496" i="13"/>
  <c r="L1532" i="13"/>
  <c r="I1532" i="13"/>
  <c r="K1496" i="13"/>
  <c r="H1496" i="13"/>
  <c r="H1500" i="13" s="1"/>
  <c r="CU54" i="9" s="1" a="1"/>
  <c r="CU54" i="9" s="1"/>
  <c r="D1527" i="13" a="1"/>
  <c r="D1527" i="13" s="1"/>
  <c r="D1528" i="13" s="1"/>
  <c r="D1525" i="13" a="1"/>
  <c r="D1525" i="13" s="1"/>
  <c r="D1526" i="13" s="1"/>
  <c r="D1496" i="13"/>
  <c r="E1530" i="13"/>
  <c r="F1498" i="13"/>
  <c r="N1530" i="13"/>
  <c r="I662" i="10"/>
  <c r="IJ50" i="9"/>
  <c r="IK50" i="9" s="1"/>
  <c r="IA52" i="9" a="1"/>
  <c r="IA52" i="9" s="1"/>
  <c r="II52" i="9" s="1"/>
  <c r="Q65" i="24" s="1" a="1"/>
  <c r="Q65" i="24" s="1"/>
  <c r="GC52" i="9"/>
  <c r="GD52" i="9" s="1"/>
  <c r="N65" i="24" s="1" a="1"/>
  <c r="N65" i="24" s="1"/>
  <c r="CX52" i="9" a="1"/>
  <c r="CX52" i="9" s="1"/>
  <c r="DF52" i="9" s="1"/>
  <c r="J65" i="24" s="1" a="1"/>
  <c r="J65" i="24" s="1"/>
  <c r="AS52" i="9" a="1"/>
  <c r="AS52" i="9" s="1"/>
  <c r="BA52" i="9" s="1"/>
  <c r="G65" i="24" s="1" a="1"/>
  <c r="G65" i="24" s="1"/>
  <c r="Z51" i="9" a="1"/>
  <c r="Z51" i="9" s="1"/>
  <c r="AH51" i="9" s="1"/>
  <c r="F64" i="24" s="1" a="1"/>
  <c r="F64" i="24" s="1"/>
  <c r="EJ52" i="9" a="1"/>
  <c r="EJ52" i="9" s="1"/>
  <c r="ER52" i="9" s="1"/>
  <c r="L65" i="24" s="1" a="1"/>
  <c r="L65" i="24" s="1"/>
  <c r="CX51" i="9" a="1"/>
  <c r="CX51" i="9" s="1"/>
  <c r="DF51" i="9" s="1"/>
  <c r="J64" i="24" s="1" a="1"/>
  <c r="J64" i="24" s="1"/>
  <c r="DQ51" i="9" a="1"/>
  <c r="DQ51" i="9" s="1"/>
  <c r="DY51" i="9" s="1"/>
  <c r="K64" i="24" s="1" a="1"/>
  <c r="K64" i="24" s="1"/>
  <c r="AH50" i="9"/>
  <c r="F63" i="24" s="1" a="1"/>
  <c r="F63" i="24" s="1"/>
  <c r="V53" i="9"/>
  <c r="IL51" i="9"/>
  <c r="IM51" i="9" s="1"/>
  <c r="GO52" i="9" a="1"/>
  <c r="GO52" i="9" s="1"/>
  <c r="GW52" i="9" s="1"/>
  <c r="O65" i="24" s="1" a="1"/>
  <c r="O65" i="24" s="1"/>
  <c r="HH52" i="9" a="1"/>
  <c r="HH52" i="9" s="1"/>
  <c r="HP52" i="9" s="1"/>
  <c r="P65" i="24" s="1" a="1"/>
  <c r="P65" i="24" s="1"/>
  <c r="DQ52" i="9" a="1"/>
  <c r="DQ52" i="9" s="1"/>
  <c r="DY52" i="9" s="1"/>
  <c r="K65" i="24" s="1" a="1"/>
  <c r="K65" i="24" s="1"/>
  <c r="BK52" i="9"/>
  <c r="BS52" i="9" s="1"/>
  <c r="FU53" i="9"/>
  <c r="GC53" i="9" s="1"/>
  <c r="CD52" i="9"/>
  <c r="CL52" i="9" s="1"/>
  <c r="DP53" i="9"/>
  <c r="DX53" i="9" s="1"/>
  <c r="GN53" i="9"/>
  <c r="GV53" i="9" s="1"/>
  <c r="BK53" i="9"/>
  <c r="BS53" i="9" s="1"/>
  <c r="S54" i="9" a="1"/>
  <c r="S54" i="9" s="1"/>
  <c r="N662" i="10"/>
  <c r="D676" i="10"/>
  <c r="X58" i="9" s="1" a="1"/>
  <c r="X58" i="9" s="1"/>
  <c r="G676" i="10"/>
  <c r="I676" i="10"/>
  <c r="M676" i="10"/>
  <c r="F676" i="10"/>
  <c r="J676" i="10"/>
  <c r="H676" i="10"/>
  <c r="M683" i="10"/>
  <c r="M686" i="10" s="1" a="1"/>
  <c r="M686" i="10" s="1"/>
  <c r="H683" i="10"/>
  <c r="H686" i="10" s="1" a="1"/>
  <c r="H686" i="10" s="1"/>
  <c r="E683" i="10"/>
  <c r="E686" i="10" s="1" a="1"/>
  <c r="E686" i="10" s="1"/>
  <c r="P683" i="10"/>
  <c r="P684" i="10" s="1"/>
  <c r="L683" i="10"/>
  <c r="L686" i="10" s="1" a="1"/>
  <c r="L686" i="10" s="1"/>
  <c r="D683" i="10"/>
  <c r="D686" i="10" s="1" a="1"/>
  <c r="D686" i="10" s="1"/>
  <c r="O683" i="10"/>
  <c r="K683" i="10"/>
  <c r="K686" i="10" s="1" a="1"/>
  <c r="K686" i="10" s="1"/>
  <c r="G683" i="10"/>
  <c r="G686" i="10" s="1" a="1"/>
  <c r="G686" i="10" s="1"/>
  <c r="J683" i="10"/>
  <c r="J686" i="10" s="1" a="1"/>
  <c r="J686" i="10" s="1"/>
  <c r="N683" i="10"/>
  <c r="N686" i="10" s="1" a="1"/>
  <c r="N686" i="10" s="1"/>
  <c r="B684" i="10"/>
  <c r="B685" i="10" s="1"/>
  <c r="B686" i="10" s="1"/>
  <c r="B687" i="10" s="1"/>
  <c r="B688" i="10" s="1"/>
  <c r="B689" i="10" s="1"/>
  <c r="B690" i="10" s="1"/>
  <c r="F683" i="10"/>
  <c r="F686" i="10" s="1" a="1"/>
  <c r="F686" i="10" s="1"/>
  <c r="I683" i="10"/>
  <c r="I686" i="10" s="1" a="1"/>
  <c r="I686" i="10" s="1"/>
  <c r="K682" i="10"/>
  <c r="O682" i="10"/>
  <c r="H670" i="10"/>
  <c r="CO58" i="9" s="1" a="1"/>
  <c r="CO58" i="9" s="1"/>
  <c r="A719" i="10" a="1"/>
  <c r="A719" i="10" s="1"/>
  <c r="B719" i="10" a="1"/>
  <c r="B719" i="10" s="1"/>
  <c r="D670" i="10"/>
  <c r="Q58" i="9" s="1" a="1"/>
  <c r="Q58" i="9" s="1"/>
  <c r="M670" i="10"/>
  <c r="GF58" i="9" s="1" a="1"/>
  <c r="GF58" i="9" s="1"/>
  <c r="N670" i="10"/>
  <c r="GY58" i="9" s="1" a="1"/>
  <c r="GY58" i="9" s="1"/>
  <c r="H682" i="10"/>
  <c r="D682" i="10"/>
  <c r="F670" i="10"/>
  <c r="BC58" i="9" s="1" a="1"/>
  <c r="BC58" i="9" s="1"/>
  <c r="J662" i="10"/>
  <c r="L705" i="10"/>
  <c r="I705" i="10"/>
  <c r="H705" i="10"/>
  <c r="D705" i="10"/>
  <c r="B706" i="10"/>
  <c r="M705" i="10"/>
  <c r="K705" i="10"/>
  <c r="P705" i="10"/>
  <c r="G705" i="10"/>
  <c r="O705" i="10"/>
  <c r="F705" i="10"/>
  <c r="E705" i="10"/>
  <c r="J705" i="10"/>
  <c r="N705" i="10"/>
  <c r="E670" i="10"/>
  <c r="AJ58" i="9" s="1" a="1"/>
  <c r="AJ58" i="9" s="1"/>
  <c r="L682" i="10"/>
  <c r="E682" i="10"/>
  <c r="L670" i="10"/>
  <c r="FM58" i="9" s="1" a="1"/>
  <c r="FM58" i="9" s="1"/>
  <c r="O670" i="10"/>
  <c r="HR58" i="9" s="1" a="1"/>
  <c r="HR58" i="9" s="1"/>
  <c r="G670" i="10"/>
  <c r="BV58" i="9" s="1" a="1"/>
  <c r="BV58" i="9" s="1"/>
  <c r="I670" i="10"/>
  <c r="DH58" i="9" s="1" a="1"/>
  <c r="DH58" i="9" s="1"/>
  <c r="F692" i="10"/>
  <c r="F699" i="10" s="1"/>
  <c r="I692" i="10"/>
  <c r="I699" i="10" s="1"/>
  <c r="B693" i="10"/>
  <c r="B694" i="10" s="1"/>
  <c r="B695" i="10" s="1"/>
  <c r="O692" i="10"/>
  <c r="E692" i="10"/>
  <c r="E699" i="10" s="1"/>
  <c r="G692" i="10"/>
  <c r="P692" i="10"/>
  <c r="P696" i="10" s="1"/>
  <c r="K692" i="10"/>
  <c r="D692" i="10"/>
  <c r="B696" i="10"/>
  <c r="B697" i="10" s="1"/>
  <c r="N692" i="10"/>
  <c r="J692" i="10"/>
  <c r="M692" i="10"/>
  <c r="H692" i="10"/>
  <c r="L692" i="10"/>
  <c r="I682" i="10"/>
  <c r="N682" i="10"/>
  <c r="K670" i="10"/>
  <c r="ET58" i="9" s="1" a="1"/>
  <c r="ET58" i="9" s="1"/>
  <c r="J670" i="10"/>
  <c r="EA58" i="9" s="1" a="1"/>
  <c r="EA58" i="9" s="1"/>
  <c r="F682" i="10"/>
  <c r="M682" i="10"/>
  <c r="P648" i="10"/>
  <c r="P685" i="10"/>
  <c r="G662" i="10"/>
  <c r="G682" i="10"/>
  <c r="J682" i="10"/>
  <c r="O685" i="10"/>
  <c r="R733" i="10"/>
  <c r="G1500" i="13" l="1"/>
  <c r="CB54" i="9" s="1" a="1"/>
  <c r="CB54" i="9" s="1"/>
  <c r="D1500" i="13"/>
  <c r="H1534" i="13"/>
  <c r="CU55" i="9" s="1" a="1"/>
  <c r="CU55" i="9" s="1"/>
  <c r="E1534" i="13"/>
  <c r="AP55" i="9" s="1" a="1"/>
  <c r="AP55" i="9" s="1"/>
  <c r="L1534" i="13"/>
  <c r="FS55" i="9" s="1" a="1"/>
  <c r="FS55" i="9" s="1"/>
  <c r="V54" i="9"/>
  <c r="AN55" i="9"/>
  <c r="N1534" i="13"/>
  <c r="HE55" i="9" s="1" a="1"/>
  <c r="HE55" i="9" s="1"/>
  <c r="I1534" i="13"/>
  <c r="DN55" i="9" s="1" a="1"/>
  <c r="DN55" i="9" s="1"/>
  <c r="EX55" i="9"/>
  <c r="FQ55" i="9"/>
  <c r="Q65" i="25"/>
  <c r="F1500" i="13"/>
  <c r="BI54" i="9" s="1" a="1"/>
  <c r="BI54" i="9" s="1"/>
  <c r="BK54" i="9" s="1"/>
  <c r="BS54" i="9" s="1"/>
  <c r="K1534" i="13"/>
  <c r="EZ55" i="9" s="1" a="1"/>
  <c r="EZ55" i="9" s="1"/>
  <c r="HC55" i="9"/>
  <c r="L1500" i="13"/>
  <c r="FS54" i="9" s="1" a="1"/>
  <c r="FS54" i="9" s="1"/>
  <c r="DL55" i="9"/>
  <c r="L66" i="25" a="1"/>
  <c r="L66" i="25" s="1"/>
  <c r="EY54" i="9"/>
  <c r="F1530" i="13"/>
  <c r="BF55" i="9" a="1"/>
  <c r="BF55" i="9" s="1"/>
  <c r="BG55" i="9" s="1"/>
  <c r="I67" i="25" a="1"/>
  <c r="I67" i="25" s="1"/>
  <c r="CT55" i="9"/>
  <c r="G66" i="25" a="1"/>
  <c r="G66" i="25" s="1"/>
  <c r="BH54" i="9"/>
  <c r="BG54" i="9"/>
  <c r="J1532" i="13"/>
  <c r="ED55" i="9" a="1"/>
  <c r="ED55" i="9" s="1"/>
  <c r="EE55" i="9" s="1"/>
  <c r="L67" i="25" a="1"/>
  <c r="L67" i="25" s="1"/>
  <c r="EY55" i="9"/>
  <c r="J67" i="25" a="1"/>
  <c r="J67" i="25" s="1"/>
  <c r="DM55" i="9"/>
  <c r="H66" i="25" a="1"/>
  <c r="H66" i="25" s="1"/>
  <c r="CA54" i="9"/>
  <c r="K1500" i="13"/>
  <c r="EZ54" i="9" s="1" a="1"/>
  <c r="EZ54" i="9" s="1"/>
  <c r="G1530" i="13"/>
  <c r="BY55" i="9" a="1"/>
  <c r="BY55" i="9" s="1"/>
  <c r="BZ55" i="9" s="1"/>
  <c r="M66" i="25" a="1"/>
  <c r="M66" i="25" s="1"/>
  <c r="FR54" i="9"/>
  <c r="F67" i="25" a="1"/>
  <c r="F67" i="25" s="1"/>
  <c r="AO55" i="9"/>
  <c r="I66" i="25" a="1"/>
  <c r="I66" i="25" s="1"/>
  <c r="CT54" i="9"/>
  <c r="M67" i="25" a="1"/>
  <c r="M67" i="25" s="1"/>
  <c r="FR55" i="9"/>
  <c r="O1532" i="13"/>
  <c r="HU55" i="9" a="1"/>
  <c r="HU55" i="9" s="1"/>
  <c r="HV55" i="9" s="1"/>
  <c r="O67" i="25" a="1"/>
  <c r="O67" i="25" s="1"/>
  <c r="HD55" i="9"/>
  <c r="D1564" i="13"/>
  <c r="T56" i="9" a="1"/>
  <c r="T56" i="9" s="1"/>
  <c r="E68" i="25" s="1" a="1"/>
  <c r="E68" i="25" s="1"/>
  <c r="N1564" i="13"/>
  <c r="HB56" i="9" a="1"/>
  <c r="HB56" i="9" s="1"/>
  <c r="G1566" i="13"/>
  <c r="BY56" i="9" a="1"/>
  <c r="BY56" i="9" s="1"/>
  <c r="M1564" i="13"/>
  <c r="GI56" i="9" a="1"/>
  <c r="GI56" i="9" s="1"/>
  <c r="L1593" i="13" a="1"/>
  <c r="L1593" i="13" s="1"/>
  <c r="L1594" i="13" s="1"/>
  <c r="L1597" i="13" s="1"/>
  <c r="F1559" i="13" a="1"/>
  <c r="F1559" i="13" s="1"/>
  <c r="F1560" i="13" s="1"/>
  <c r="F1563" i="13" s="1"/>
  <c r="K1561" i="13" a="1"/>
  <c r="K1561" i="13" s="1"/>
  <c r="K1562" i="13" s="1"/>
  <c r="K1563" i="13" s="1"/>
  <c r="H1559" i="13" a="1"/>
  <c r="H1559" i="13" s="1"/>
  <c r="H1560" i="13" s="1"/>
  <c r="H1563" i="13" s="1"/>
  <c r="I1559" i="13" a="1"/>
  <c r="I1559" i="13" s="1"/>
  <c r="I1560" i="13" s="1"/>
  <c r="I1563" i="13" s="1"/>
  <c r="O1595" i="13" a="1"/>
  <c r="O1595" i="13" s="1"/>
  <c r="O1596" i="13" s="1"/>
  <c r="O1597" i="13" s="1"/>
  <c r="D1595" i="13" a="1"/>
  <c r="D1595" i="13" s="1"/>
  <c r="D1596" i="13" s="1"/>
  <c r="D1597" i="13" s="1"/>
  <c r="L1559" i="13" a="1"/>
  <c r="L1559" i="13" s="1"/>
  <c r="L1560" i="13" s="1"/>
  <c r="L1563" i="13" s="1"/>
  <c r="K1595" i="13" a="1"/>
  <c r="K1595" i="13" s="1"/>
  <c r="K1596" i="13" s="1"/>
  <c r="K1597" i="13" s="1"/>
  <c r="F1593" i="13" a="1"/>
  <c r="F1593" i="13" s="1"/>
  <c r="F1594" i="13" s="1"/>
  <c r="F1597" i="13" s="1"/>
  <c r="O1561" i="13" a="1"/>
  <c r="O1561" i="13" s="1"/>
  <c r="O1562" i="13" s="1"/>
  <c r="O1563" i="13" s="1"/>
  <c r="H1593" i="13" a="1"/>
  <c r="H1593" i="13" s="1"/>
  <c r="H1594" i="13" s="1"/>
  <c r="H1597" i="13" s="1"/>
  <c r="HT56" i="9" a="1"/>
  <c r="HT56" i="9" s="1"/>
  <c r="P68" i="27" a="1"/>
  <c r="P68" i="27" s="1"/>
  <c r="N1582" i="13" a="1"/>
  <c r="N1582" i="13" s="1"/>
  <c r="N1593" i="13" s="1" a="1"/>
  <c r="N1593" i="13" s="1"/>
  <c r="N1594" i="13" s="1"/>
  <c r="HF57" i="9" a="1"/>
  <c r="HF57" i="9" s="1"/>
  <c r="GZ57" i="9" a="1"/>
  <c r="GZ57" i="9" s="1"/>
  <c r="HA56" i="9" a="1"/>
  <c r="HA56" i="9" s="1"/>
  <c r="M1616" i="13" a="1"/>
  <c r="M1616" i="13" s="1"/>
  <c r="M1627" i="13" s="1" a="1"/>
  <c r="M1627" i="13" s="1"/>
  <c r="M1628" i="13" s="1"/>
  <c r="GM58" i="9" a="1"/>
  <c r="GM58" i="9" s="1"/>
  <c r="GG58" i="9" a="1"/>
  <c r="GG58" i="9" s="1"/>
  <c r="N70" i="27" s="1" a="1"/>
  <c r="N70" i="27" s="1"/>
  <c r="E1559" i="13" a="1"/>
  <c r="E1559" i="13" s="1"/>
  <c r="E1560" i="13" s="1"/>
  <c r="E1563" i="13" s="1"/>
  <c r="J1559" i="13" a="1"/>
  <c r="J1559" i="13" s="1"/>
  <c r="J1560" i="13" s="1"/>
  <c r="J1563" i="13" s="1"/>
  <c r="M1582" i="13" a="1"/>
  <c r="M1582" i="13" s="1"/>
  <c r="GM57" i="9" a="1"/>
  <c r="GM57" i="9" s="1"/>
  <c r="GG57" i="9" a="1"/>
  <c r="GG57" i="9" s="1"/>
  <c r="M1529" i="13"/>
  <c r="GI55" i="9" s="1" a="1"/>
  <c r="GI55" i="9" s="1"/>
  <c r="GH56" i="9" a="1"/>
  <c r="GH56" i="9" s="1"/>
  <c r="FO56" i="9" a="1"/>
  <c r="FO56" i="9" s="1"/>
  <c r="M68" i="27" a="1"/>
  <c r="M68" i="27" s="1"/>
  <c r="L68" i="27" a="1"/>
  <c r="L68" i="27" s="1"/>
  <c r="EV56" i="9" a="1"/>
  <c r="EV56" i="9" s="1"/>
  <c r="EC56" i="9" a="1"/>
  <c r="EC56" i="9" s="1"/>
  <c r="J1616" i="13" a="1"/>
  <c r="J1616" i="13" s="1"/>
  <c r="J1627" i="13" s="1" a="1"/>
  <c r="J1627" i="13" s="1"/>
  <c r="J1628" i="13" s="1"/>
  <c r="EB58" i="9" a="1"/>
  <c r="EB58" i="9" s="1"/>
  <c r="K70" i="27" s="1" a="1"/>
  <c r="K70" i="27" s="1"/>
  <c r="EH58" i="9" a="1"/>
  <c r="EH58" i="9" s="1"/>
  <c r="K68" i="27" a="1"/>
  <c r="K68" i="27" s="1"/>
  <c r="J1582" i="13" a="1"/>
  <c r="J1582" i="13" s="1"/>
  <c r="J1595" i="13" s="1" a="1"/>
  <c r="J1595" i="13" s="1"/>
  <c r="J1596" i="13" s="1"/>
  <c r="EH57" i="9" a="1"/>
  <c r="EH57" i="9" s="1"/>
  <c r="EB57" i="9" a="1"/>
  <c r="EB57" i="9" s="1"/>
  <c r="I1582" i="13" a="1"/>
  <c r="I1582" i="13" s="1"/>
  <c r="I1593" i="13" s="1" a="1"/>
  <c r="I1593" i="13" s="1"/>
  <c r="I1594" i="13" s="1"/>
  <c r="DI57" i="9" a="1"/>
  <c r="DI57" i="9" s="1"/>
  <c r="DO57" i="9" a="1"/>
  <c r="DO57" i="9" s="1"/>
  <c r="I1616" i="13" a="1"/>
  <c r="I1616" i="13" s="1"/>
  <c r="I1627" i="13" s="1" a="1"/>
  <c r="I1627" i="13" s="1"/>
  <c r="I1628" i="13" s="1"/>
  <c r="DI58" i="9" a="1"/>
  <c r="DI58" i="9" s="1"/>
  <c r="J70" i="27" s="1" a="1"/>
  <c r="J70" i="27" s="1"/>
  <c r="DO58" i="9" a="1"/>
  <c r="DO58" i="9" s="1"/>
  <c r="DJ56" i="9" a="1"/>
  <c r="DJ56" i="9" s="1"/>
  <c r="J68" i="27" a="1"/>
  <c r="J68" i="27" s="1"/>
  <c r="CQ56" i="9" a="1"/>
  <c r="CQ56" i="9" s="1"/>
  <c r="H1616" i="13" a="1"/>
  <c r="H1616" i="13" s="1"/>
  <c r="H1629" i="13" s="1" a="1"/>
  <c r="H1629" i="13" s="1"/>
  <c r="H1630" i="13" s="1"/>
  <c r="CV58" i="9" a="1"/>
  <c r="CV58" i="9" s="1"/>
  <c r="CP58" i="9" a="1"/>
  <c r="CP58" i="9" s="1"/>
  <c r="I70" i="27" s="1" a="1"/>
  <c r="I70" i="27" s="1"/>
  <c r="BX56" i="9" a="1"/>
  <c r="BX56" i="9" s="1"/>
  <c r="I68" i="27" a="1"/>
  <c r="I68" i="27" s="1"/>
  <c r="G1616" i="13" a="1"/>
  <c r="G1616" i="13" s="1"/>
  <c r="G1627" i="13" s="1" a="1"/>
  <c r="G1627" i="13" s="1"/>
  <c r="G1628" i="13" s="1"/>
  <c r="CC58" i="9" a="1"/>
  <c r="CC58" i="9" s="1"/>
  <c r="BW58" i="9" a="1"/>
  <c r="BW58" i="9" s="1"/>
  <c r="H70" i="27" s="1" a="1"/>
  <c r="H70" i="27" s="1"/>
  <c r="G1582" i="13" a="1"/>
  <c r="G1582" i="13" s="1"/>
  <c r="G1595" i="13" s="1" a="1"/>
  <c r="G1595" i="13" s="1"/>
  <c r="G1596" i="13" s="1"/>
  <c r="CC57" i="9" a="1"/>
  <c r="CC57" i="9" s="1"/>
  <c r="BW57" i="9" a="1"/>
  <c r="BW57" i="9" s="1"/>
  <c r="G68" i="27" a="1"/>
  <c r="G68" i="27" s="1"/>
  <c r="F1616" i="13" a="1"/>
  <c r="F1616" i="13" s="1"/>
  <c r="F1629" i="13" s="1" a="1"/>
  <c r="F1629" i="13" s="1"/>
  <c r="F1630" i="13" s="1"/>
  <c r="BJ58" i="9" a="1"/>
  <c r="BJ58" i="9" s="1"/>
  <c r="BD58" i="9" a="1"/>
  <c r="BD58" i="9" s="1"/>
  <c r="G70" i="27" s="1" a="1"/>
  <c r="G70" i="27" s="1"/>
  <c r="AL56" i="9" a="1"/>
  <c r="AL56" i="9" s="1"/>
  <c r="J1583" i="13" a="1"/>
  <c r="J1583" i="13" s="1"/>
  <c r="J1584" i="13" s="1"/>
  <c r="J1587" i="13" s="1"/>
  <c r="E1582" i="13" a="1"/>
  <c r="E1582" i="13" s="1"/>
  <c r="AK57" i="9" a="1"/>
  <c r="AK57" i="9" s="1"/>
  <c r="AQ57" i="9" a="1"/>
  <c r="AQ57" i="9" s="1"/>
  <c r="F68" i="27" a="1"/>
  <c r="F68" i="27" s="1"/>
  <c r="N1588" i="13" a="1"/>
  <c r="N1588" i="13" s="1"/>
  <c r="N1589" i="13" s="1"/>
  <c r="N1592" i="13" s="1"/>
  <c r="G1583" i="13" a="1"/>
  <c r="G1583" i="13" s="1"/>
  <c r="G1584" i="13" s="1"/>
  <c r="G1587" i="13" s="1"/>
  <c r="D1616" i="13" a="1"/>
  <c r="D1616" i="13" s="1"/>
  <c r="D1627" i="13" s="1" a="1"/>
  <c r="D1627" i="13" s="1"/>
  <c r="D1628" i="13" s="1"/>
  <c r="R58" i="9" a="1"/>
  <c r="R58" i="9" s="1"/>
  <c r="E70" i="27" s="1" a="1"/>
  <c r="E70" i="27" s="1"/>
  <c r="M1590" i="13" a="1"/>
  <c r="M1590" i="13" s="1"/>
  <c r="M1591" i="13" s="1"/>
  <c r="M1592" i="13" s="1"/>
  <c r="E1583" i="13" a="1"/>
  <c r="E1583" i="13" s="1"/>
  <c r="E1584" i="13" s="1"/>
  <c r="E1587" i="13" s="1"/>
  <c r="N1583" i="13" a="1"/>
  <c r="N1583" i="13" s="1"/>
  <c r="N1584" i="13" s="1"/>
  <c r="N1587" i="13" s="1"/>
  <c r="P659" i="10"/>
  <c r="IN50" i="9"/>
  <c r="IO50" i="9" s="1"/>
  <c r="M1585" i="13" a="1"/>
  <c r="M1585" i="13" s="1"/>
  <c r="M1586" i="13" s="1"/>
  <c r="M1587" i="13" s="1"/>
  <c r="P661" i="10"/>
  <c r="P660" i="10"/>
  <c r="N1566" i="13"/>
  <c r="S55" i="9" a="1"/>
  <c r="S55" i="9" s="1"/>
  <c r="P686" i="10" a="1"/>
  <c r="P686" i="10" s="1"/>
  <c r="K1592" i="13"/>
  <c r="O686" i="10" a="1"/>
  <c r="O686" i="10" s="1"/>
  <c r="O688" i="10" s="1"/>
  <c r="O1649" i="13" s="1" a="1"/>
  <c r="O1649" i="13" s="1"/>
  <c r="H1592" i="13"/>
  <c r="I1592" i="13"/>
  <c r="O1587" i="13"/>
  <c r="L1587" i="13"/>
  <c r="O1592" i="13"/>
  <c r="I1587" i="13"/>
  <c r="F1553" i="13"/>
  <c r="D1553" i="13"/>
  <c r="F1558" i="13"/>
  <c r="F1592" i="13"/>
  <c r="L1592" i="13"/>
  <c r="M688" i="10"/>
  <c r="M1649" i="13" s="1" a="1"/>
  <c r="M1649" i="13" s="1"/>
  <c r="M689" i="10"/>
  <c r="M687" i="10"/>
  <c r="M1648" i="13" s="1" a="1"/>
  <c r="M1648" i="13" s="1"/>
  <c r="K689" i="10"/>
  <c r="K687" i="10"/>
  <c r="K1648" i="13" s="1" a="1"/>
  <c r="K1648" i="13" s="1"/>
  <c r="K688" i="10"/>
  <c r="K1649" i="13" s="1" a="1"/>
  <c r="K1649" i="13" s="1"/>
  <c r="G689" i="10"/>
  <c r="G687" i="10"/>
  <c r="G1648" i="13" s="1" a="1"/>
  <c r="G1648" i="13" s="1"/>
  <c r="G688" i="10"/>
  <c r="G1649" i="13" s="1" a="1"/>
  <c r="G1649" i="13" s="1"/>
  <c r="D688" i="10"/>
  <c r="D689" i="10"/>
  <c r="D687" i="10"/>
  <c r="L688" i="10"/>
  <c r="L1649" i="13" s="1" a="1"/>
  <c r="L1649" i="13" s="1"/>
  <c r="L689" i="10"/>
  <c r="L687" i="10"/>
  <c r="L1648" i="13" s="1" a="1"/>
  <c r="L1648" i="13" s="1"/>
  <c r="I687" i="10"/>
  <c r="I1648" i="13" s="1" a="1"/>
  <c r="I1648" i="13" s="1"/>
  <c r="I688" i="10"/>
  <c r="I1649" i="13" s="1" a="1"/>
  <c r="I1649" i="13" s="1"/>
  <c r="I689" i="10"/>
  <c r="F689" i="10"/>
  <c r="F687" i="10"/>
  <c r="F1648" i="13" s="1" a="1"/>
  <c r="F1648" i="13" s="1"/>
  <c r="F688" i="10"/>
  <c r="F1649" i="13" s="1" a="1"/>
  <c r="F1649" i="13" s="1"/>
  <c r="N689" i="10"/>
  <c r="N687" i="10"/>
  <c r="N1648" i="13" s="1" a="1"/>
  <c r="N1648" i="13" s="1"/>
  <c r="N688" i="10"/>
  <c r="N1649" i="13" s="1" a="1"/>
  <c r="N1649" i="13" s="1"/>
  <c r="E688" i="10"/>
  <c r="E1649" i="13" s="1" a="1"/>
  <c r="E1649" i="13" s="1"/>
  <c r="E689" i="10"/>
  <c r="E687" i="10"/>
  <c r="E1648" i="13" s="1" a="1"/>
  <c r="E1648" i="13" s="1"/>
  <c r="J687" i="10"/>
  <c r="J1648" i="13" s="1" a="1"/>
  <c r="J1648" i="13" s="1"/>
  <c r="J688" i="10"/>
  <c r="J1649" i="13" s="1" a="1"/>
  <c r="J1649" i="13" s="1"/>
  <c r="J689" i="10"/>
  <c r="H687" i="10"/>
  <c r="H1648" i="13" s="1" a="1"/>
  <c r="H1648" i="13" s="1"/>
  <c r="H688" i="10"/>
  <c r="H1649" i="13" s="1" a="1"/>
  <c r="H1649" i="13" s="1"/>
  <c r="H689" i="10"/>
  <c r="G1532" i="13"/>
  <c r="D1558" i="13"/>
  <c r="G1622" i="13" a="1"/>
  <c r="G1622" i="13" s="1"/>
  <c r="G1623" i="13" s="1"/>
  <c r="G1624" i="13" a="1"/>
  <c r="G1624" i="13" s="1"/>
  <c r="G1625" i="13" s="1"/>
  <c r="N1619" i="13" a="1"/>
  <c r="N1619" i="13" s="1"/>
  <c r="N1620" i="13" s="1"/>
  <c r="N1617" i="13" a="1"/>
  <c r="N1617" i="13" s="1"/>
  <c r="N1618" i="13" s="1"/>
  <c r="H1619" i="13" a="1"/>
  <c r="H1619" i="13" s="1"/>
  <c r="H1620" i="13" s="1"/>
  <c r="H1617" i="13" a="1"/>
  <c r="H1617" i="13" s="1"/>
  <c r="H1618" i="13" s="1"/>
  <c r="G1619" i="13" a="1"/>
  <c r="G1619" i="13" s="1"/>
  <c r="G1620" i="13" s="1"/>
  <c r="G1617" i="13" a="1"/>
  <c r="G1617" i="13" s="1"/>
  <c r="G1618" i="13" s="1"/>
  <c r="O1619" i="13" a="1"/>
  <c r="O1619" i="13" s="1"/>
  <c r="O1620" i="13" s="1"/>
  <c r="O1617" i="13" a="1"/>
  <c r="O1617" i="13" s="1"/>
  <c r="O1618" i="13" s="1"/>
  <c r="E674" i="10"/>
  <c r="E1615" i="13" s="1" a="1"/>
  <c r="E1615" i="13" s="1"/>
  <c r="E675" i="10"/>
  <c r="E673" i="10"/>
  <c r="E1614" i="13" s="1" a="1"/>
  <c r="E1614" i="13" s="1"/>
  <c r="F1624" i="13" a="1"/>
  <c r="F1624" i="13" s="1"/>
  <c r="F1625" i="13" s="1"/>
  <c r="F1622" i="13" a="1"/>
  <c r="F1622" i="13" s="1"/>
  <c r="F1623" i="13" s="1"/>
  <c r="K674" i="10"/>
  <c r="K1615" i="13" s="1" a="1"/>
  <c r="K1615" i="13" s="1"/>
  <c r="K675" i="10"/>
  <c r="K673" i="10"/>
  <c r="K1614" i="13" s="1" a="1"/>
  <c r="K1614" i="13" s="1"/>
  <c r="O1622" i="13" a="1"/>
  <c r="O1622" i="13" s="1"/>
  <c r="O1623" i="13" s="1"/>
  <c r="O1624" i="13" a="1"/>
  <c r="O1624" i="13" s="1"/>
  <c r="O1625" i="13" s="1"/>
  <c r="F1619" i="13" a="1"/>
  <c r="F1619" i="13" s="1"/>
  <c r="F1620" i="13" s="1"/>
  <c r="F1617" i="13" a="1"/>
  <c r="F1617" i="13" s="1"/>
  <c r="F1618" i="13" s="1"/>
  <c r="L673" i="10"/>
  <c r="L1614" i="13" s="1" a="1"/>
  <c r="L1614" i="13" s="1"/>
  <c r="L674" i="10"/>
  <c r="L1615" i="13" s="1" a="1"/>
  <c r="L1615" i="13" s="1"/>
  <c r="L675" i="10"/>
  <c r="I1622" i="13" a="1"/>
  <c r="I1622" i="13" s="1"/>
  <c r="I1623" i="13" s="1"/>
  <c r="I1624" i="13" a="1"/>
  <c r="I1624" i="13" s="1"/>
  <c r="I1625" i="13" s="1"/>
  <c r="D1614" i="13" a="1"/>
  <c r="D1614" i="13" s="1"/>
  <c r="D1585" i="13" a="1"/>
  <c r="D1585" i="13" s="1"/>
  <c r="D1586" i="13" s="1"/>
  <c r="D1583" i="13" a="1"/>
  <c r="D1583" i="13" s="1"/>
  <c r="D1584" i="13" s="1"/>
  <c r="H1587" i="13"/>
  <c r="M1622" i="13" a="1"/>
  <c r="M1622" i="13" s="1"/>
  <c r="M1623" i="13" s="1"/>
  <c r="M1624" i="13" a="1"/>
  <c r="M1624" i="13" s="1"/>
  <c r="M1625" i="13" s="1"/>
  <c r="I1617" i="13" a="1"/>
  <c r="I1617" i="13" s="1"/>
  <c r="I1618" i="13" s="1"/>
  <c r="I1619" i="13" a="1"/>
  <c r="I1619" i="13" s="1"/>
  <c r="I1620" i="13" s="1"/>
  <c r="G1592" i="13"/>
  <c r="J1592" i="13"/>
  <c r="K1587" i="13"/>
  <c r="M1619" i="13" a="1"/>
  <c r="M1619" i="13" s="1"/>
  <c r="M1620" i="13" s="1"/>
  <c r="M1617" i="13" a="1"/>
  <c r="M1617" i="13" s="1"/>
  <c r="M1618" i="13" s="1"/>
  <c r="N1622" i="13" a="1"/>
  <c r="N1622" i="13" s="1"/>
  <c r="N1623" i="13" s="1"/>
  <c r="N1624" i="13" a="1"/>
  <c r="N1624" i="13" s="1"/>
  <c r="N1625" i="13" s="1"/>
  <c r="D1615" i="13" a="1"/>
  <c r="D1615" i="13" s="1"/>
  <c r="J1624" i="13" a="1"/>
  <c r="J1624" i="13" s="1"/>
  <c r="J1625" i="13" s="1"/>
  <c r="J1622" i="13" a="1"/>
  <c r="J1622" i="13" s="1"/>
  <c r="J1623" i="13" s="1"/>
  <c r="F1587" i="13"/>
  <c r="E1592" i="13"/>
  <c r="D1588" i="13" a="1"/>
  <c r="D1588" i="13" s="1"/>
  <c r="D1589" i="13" s="1"/>
  <c r="D1590" i="13" a="1"/>
  <c r="D1590" i="13" s="1"/>
  <c r="D1591" i="13" s="1"/>
  <c r="H1624" i="13" a="1"/>
  <c r="H1624" i="13" s="1"/>
  <c r="H1625" i="13" s="1"/>
  <c r="H1622" i="13" a="1"/>
  <c r="H1622" i="13" s="1"/>
  <c r="H1623" i="13" s="1"/>
  <c r="J1617" i="13" a="1"/>
  <c r="J1617" i="13" s="1"/>
  <c r="J1618" i="13" s="1"/>
  <c r="J1619" i="13" a="1"/>
  <c r="J1619" i="13" s="1"/>
  <c r="J1620" i="13" s="1"/>
  <c r="D1566" i="13"/>
  <c r="J1530" i="13"/>
  <c r="F1532" i="13"/>
  <c r="G1564" i="13"/>
  <c r="M1566" i="13"/>
  <c r="D1529" i="13"/>
  <c r="O1530" i="13"/>
  <c r="N676" i="10"/>
  <c r="O676" i="10"/>
  <c r="H690" i="10"/>
  <c r="BL53" i="9" a="1"/>
  <c r="BL53" i="9" s="1"/>
  <c r="BT53" i="9" s="1"/>
  <c r="H66" i="24" s="1" a="1"/>
  <c r="H66" i="24" s="1"/>
  <c r="BL52" i="9" a="1"/>
  <c r="BL52" i="9" s="1"/>
  <c r="BT52" i="9" s="1"/>
  <c r="H65" i="24" s="1" a="1"/>
  <c r="H65" i="24" s="1"/>
  <c r="EJ53" i="9" a="1"/>
  <c r="EJ53" i="9" s="1"/>
  <c r="ER53" i="9" s="1"/>
  <c r="L66" i="24" s="1" a="1"/>
  <c r="L66" i="24" s="1"/>
  <c r="DQ53" i="9" a="1"/>
  <c r="DQ53" i="9" s="1"/>
  <c r="DY53" i="9" s="1"/>
  <c r="K66" i="24" s="1" a="1"/>
  <c r="K66" i="24" s="1"/>
  <c r="GO53" i="9" a="1"/>
  <c r="GO53" i="9" s="1"/>
  <c r="GW53" i="9" s="1"/>
  <c r="O66" i="24" s="1" a="1"/>
  <c r="O66" i="24" s="1"/>
  <c r="FC53" i="9" a="1"/>
  <c r="FC53" i="9" s="1"/>
  <c r="FK53" i="9" s="1"/>
  <c r="M66" i="24" s="1" a="1"/>
  <c r="M66" i="24" s="1"/>
  <c r="IA53" i="9" a="1"/>
  <c r="IA53" i="9" s="1"/>
  <c r="II53" i="9" s="1"/>
  <c r="Q66" i="24" s="1" a="1"/>
  <c r="Q66" i="24" s="1"/>
  <c r="U54" i="9"/>
  <c r="CX53" i="9" a="1"/>
  <c r="CX53" i="9" s="1"/>
  <c r="DF53" i="9" s="1"/>
  <c r="J66" i="24" s="1" a="1"/>
  <c r="J66" i="24" s="1"/>
  <c r="IJ51" i="9"/>
  <c r="IK51" i="9" s="1"/>
  <c r="IN51" i="9"/>
  <c r="IO51" i="9" s="1"/>
  <c r="FV53" i="9" a="1"/>
  <c r="FV53" i="9" s="1"/>
  <c r="GD53" i="9" s="1"/>
  <c r="N66" i="24" s="1" a="1"/>
  <c r="N66" i="24" s="1"/>
  <c r="CE52" i="9" a="1"/>
  <c r="CE52" i="9" s="1"/>
  <c r="CM52" i="9" s="1"/>
  <c r="I65" i="24" s="1" a="1"/>
  <c r="I65" i="24" s="1"/>
  <c r="HZ54" i="9"/>
  <c r="IH54" i="9" s="1"/>
  <c r="GN54" i="9"/>
  <c r="GO54" i="9" s="1" a="1"/>
  <c r="GO54" i="9" s="1"/>
  <c r="HG54" i="9"/>
  <c r="HO54" i="9" s="1"/>
  <c r="CD53" i="9"/>
  <c r="CL53" i="9" s="1"/>
  <c r="CW54" i="9"/>
  <c r="DE54" i="9" s="1"/>
  <c r="EI54" i="9"/>
  <c r="EQ54" i="9" s="1"/>
  <c r="FB52" i="9"/>
  <c r="FJ52" i="9" s="1"/>
  <c r="HG53" i="9"/>
  <c r="HO53" i="9" s="1"/>
  <c r="W53" i="9" a="1"/>
  <c r="W53" i="9" s="1"/>
  <c r="Y53" i="9" s="1"/>
  <c r="AG53" i="9" s="1"/>
  <c r="DP54" i="9"/>
  <c r="DX54" i="9" s="1"/>
  <c r="G684" i="10"/>
  <c r="BV59" i="9" s="1" a="1"/>
  <c r="BV59" i="9" s="1"/>
  <c r="D684" i="10"/>
  <c r="Q59" i="9" s="1" a="1"/>
  <c r="Q59" i="9" s="1"/>
  <c r="J684" i="10"/>
  <c r="EA59" i="9" s="1" a="1"/>
  <c r="EA59" i="9" s="1"/>
  <c r="M684" i="10"/>
  <c r="GF59" i="9" s="1" a="1"/>
  <c r="GF59" i="9" s="1"/>
  <c r="E684" i="10"/>
  <c r="AJ59" i="9" s="1" a="1"/>
  <c r="AJ59" i="9" s="1"/>
  <c r="N684" i="10"/>
  <c r="GY59" i="9" s="1" a="1"/>
  <c r="GY59" i="9" s="1"/>
  <c r="K684" i="10"/>
  <c r="ET59" i="9" s="1" a="1"/>
  <c r="ET59" i="9" s="1"/>
  <c r="I684" i="10"/>
  <c r="DH59" i="9" s="1" a="1"/>
  <c r="DH59" i="9" s="1"/>
  <c r="H684" i="10"/>
  <c r="CO59" i="9" s="1" a="1"/>
  <c r="CO59" i="9" s="1"/>
  <c r="P699" i="10"/>
  <c r="K676" i="10"/>
  <c r="AG52" i="9"/>
  <c r="F684" i="10"/>
  <c r="BC59" i="9" s="1" a="1"/>
  <c r="BC59" i="9" s="1"/>
  <c r="E676" i="10"/>
  <c r="L684" i="10"/>
  <c r="FM59" i="9" s="1" a="1"/>
  <c r="FM59" i="9" s="1"/>
  <c r="O684" i="10"/>
  <c r="HR59" i="9" s="1" a="1"/>
  <c r="HR59" i="9" s="1"/>
  <c r="M690" i="10"/>
  <c r="I690" i="10"/>
  <c r="F690" i="10"/>
  <c r="L690" i="10"/>
  <c r="K690" i="10"/>
  <c r="L699" i="10"/>
  <c r="L696" i="10"/>
  <c r="N706" i="10"/>
  <c r="N713" i="10" s="1"/>
  <c r="B710" i="10"/>
  <c r="B711" i="10" s="1"/>
  <c r="M706" i="10"/>
  <c r="M713" i="10" s="1"/>
  <c r="D706" i="10"/>
  <c r="J706" i="10"/>
  <c r="J713" i="10" s="1"/>
  <c r="F706" i="10"/>
  <c r="I706" i="10"/>
  <c r="I713" i="10" s="1"/>
  <c r="O706" i="10"/>
  <c r="O713" i="10" s="1"/>
  <c r="B707" i="10"/>
  <c r="B708" i="10" s="1"/>
  <c r="B709" i="10" s="1"/>
  <c r="L706" i="10"/>
  <c r="L713" i="10" s="1"/>
  <c r="P706" i="10"/>
  <c r="P710" i="10" s="1"/>
  <c r="G706" i="10"/>
  <c r="G713" i="10" s="1"/>
  <c r="H706" i="10"/>
  <c r="H713" i="10" s="1"/>
  <c r="E706" i="10"/>
  <c r="E713" i="10" s="1"/>
  <c r="K706" i="10"/>
  <c r="K713" i="10" s="1"/>
  <c r="L676" i="10"/>
  <c r="H699" i="10"/>
  <c r="H696" i="10"/>
  <c r="G696" i="10"/>
  <c r="K719" i="10"/>
  <c r="L719" i="10"/>
  <c r="H719" i="10"/>
  <c r="G719" i="10"/>
  <c r="F719" i="10"/>
  <c r="P719" i="10"/>
  <c r="E719" i="10"/>
  <c r="O719" i="10"/>
  <c r="D719" i="10"/>
  <c r="N719" i="10"/>
  <c r="M719" i="10"/>
  <c r="B720" i="10"/>
  <c r="J719" i="10"/>
  <c r="I719" i="10"/>
  <c r="M699" i="10"/>
  <c r="M696" i="10"/>
  <c r="E696" i="10"/>
  <c r="J696" i="10"/>
  <c r="O696" i="10"/>
  <c r="D690" i="10"/>
  <c r="X59" i="9" s="1" a="1"/>
  <c r="X59" i="9" s="1"/>
  <c r="N696" i="10"/>
  <c r="P662" i="10"/>
  <c r="J699" i="10"/>
  <c r="A733" i="10" a="1"/>
  <c r="A733" i="10" s="1"/>
  <c r="B733" i="10" a="1"/>
  <c r="B733" i="10" s="1"/>
  <c r="D697" i="10"/>
  <c r="N697" i="10"/>
  <c r="J697" i="10"/>
  <c r="M697" i="10"/>
  <c r="B698" i="10"/>
  <c r="B699" i="10" s="1"/>
  <c r="B700" i="10" s="1"/>
  <c r="B701" i="10" s="1"/>
  <c r="B702" i="10" s="1"/>
  <c r="B703" i="10" s="1"/>
  <c r="B704" i="10" s="1"/>
  <c r="L697" i="10"/>
  <c r="H697" i="10"/>
  <c r="K697" i="10"/>
  <c r="P697" i="10"/>
  <c r="P698" i="10" s="1"/>
  <c r="I697" i="10"/>
  <c r="I700" i="10" s="1" a="1"/>
  <c r="I700" i="10" s="1"/>
  <c r="G697" i="10"/>
  <c r="F697" i="10"/>
  <c r="F700" i="10" s="1" a="1"/>
  <c r="F700" i="10" s="1"/>
  <c r="O697" i="10"/>
  <c r="E697" i="10"/>
  <c r="E700" i="10" s="1" a="1"/>
  <c r="E700" i="10" s="1"/>
  <c r="I696" i="10"/>
  <c r="O699" i="10"/>
  <c r="D699" i="10"/>
  <c r="D696" i="10"/>
  <c r="F696" i="10"/>
  <c r="G699" i="10"/>
  <c r="N699" i="10"/>
  <c r="N690" i="10"/>
  <c r="K699" i="10"/>
  <c r="K696" i="10"/>
  <c r="R747" i="10"/>
  <c r="BZ56" i="9" l="1"/>
  <c r="G1629" i="13" a="1"/>
  <c r="G1629" i="13" s="1"/>
  <c r="G1630" i="13" s="1"/>
  <c r="D1568" i="13"/>
  <c r="F1534" i="13"/>
  <c r="BI55" i="9" s="1" a="1"/>
  <c r="BI55" i="9" s="1"/>
  <c r="BK55" i="9" s="1"/>
  <c r="BS55" i="9" s="1"/>
  <c r="J1534" i="13"/>
  <c r="EG55" i="9" s="1" a="1"/>
  <c r="EG55" i="9" s="1"/>
  <c r="EI55" i="9" s="1"/>
  <c r="EQ55" i="9" s="1"/>
  <c r="G1534" i="13"/>
  <c r="CB55" i="9" s="1" a="1"/>
  <c r="CB55" i="9" s="1"/>
  <c r="CD55" i="9" s="1"/>
  <c r="CL55" i="9" s="1"/>
  <c r="O1534" i="13"/>
  <c r="HX55" i="9" s="1" a="1"/>
  <c r="HX55" i="9" s="1"/>
  <c r="Q66" i="25"/>
  <c r="P67" i="25" a="1"/>
  <c r="P67" i="25" s="1"/>
  <c r="HW55" i="9"/>
  <c r="N67" i="25" a="1"/>
  <c r="N67" i="25" s="1"/>
  <c r="GK55" i="9"/>
  <c r="H67" i="25" a="1"/>
  <c r="H67" i="25" s="1"/>
  <c r="CA55" i="9"/>
  <c r="GJ55" i="9"/>
  <c r="D1530" i="13"/>
  <c r="T55" i="9" a="1"/>
  <c r="T55" i="9" s="1"/>
  <c r="U55" i="9" s="1"/>
  <c r="K67" i="25" a="1"/>
  <c r="K67" i="25" s="1"/>
  <c r="EF55" i="9"/>
  <c r="G67" i="25" a="1"/>
  <c r="G67" i="25" s="1"/>
  <c r="BH55" i="9"/>
  <c r="G1568" i="13"/>
  <c r="CB56" i="9" s="1" a="1"/>
  <c r="CB56" i="9" s="1"/>
  <c r="N1568" i="13"/>
  <c r="HE56" i="9" s="1" a="1"/>
  <c r="HE56" i="9" s="1"/>
  <c r="GJ56" i="9"/>
  <c r="L1600" i="13"/>
  <c r="FP57" i="9" a="1"/>
  <c r="FP57" i="9" s="1"/>
  <c r="D1600" i="13"/>
  <c r="T57" i="9" a="1"/>
  <c r="T57" i="9" s="1"/>
  <c r="E69" i="25" s="1" a="1"/>
  <c r="E69" i="25" s="1"/>
  <c r="O1600" i="13"/>
  <c r="HU57" i="9" a="1"/>
  <c r="HU57" i="9" s="1"/>
  <c r="H1598" i="13"/>
  <c r="CR57" i="9" a="1"/>
  <c r="CR57" i="9" s="1"/>
  <c r="HC56" i="9"/>
  <c r="F1598" i="13"/>
  <c r="BF57" i="9" a="1"/>
  <c r="BF57" i="9" s="1"/>
  <c r="K1600" i="13"/>
  <c r="EW57" i="9" a="1"/>
  <c r="EW57" i="9" s="1"/>
  <c r="J1566" i="13"/>
  <c r="ED56" i="9" a="1"/>
  <c r="ED56" i="9" s="1"/>
  <c r="EE56" i="9" s="1"/>
  <c r="L1564" i="13"/>
  <c r="FP56" i="9" a="1"/>
  <c r="FP56" i="9" s="1"/>
  <c r="N68" i="25" a="1"/>
  <c r="N68" i="25" s="1"/>
  <c r="GK56" i="9"/>
  <c r="H1564" i="13"/>
  <c r="CR56" i="9" a="1"/>
  <c r="CR56" i="9" s="1"/>
  <c r="CS56" i="9" s="1"/>
  <c r="H68" i="25" a="1"/>
  <c r="H68" i="25" s="1"/>
  <c r="CA56" i="9"/>
  <c r="F1566" i="13"/>
  <c r="BF56" i="9" a="1"/>
  <c r="BF56" i="9" s="1"/>
  <c r="K1566" i="13"/>
  <c r="EW56" i="9" a="1"/>
  <c r="EW56" i="9" s="1"/>
  <c r="EX56" i="9" s="1"/>
  <c r="I1566" i="13"/>
  <c r="DK56" i="9" a="1"/>
  <c r="DK56" i="9" s="1"/>
  <c r="DL56" i="9" s="1"/>
  <c r="O68" i="25" a="1"/>
  <c r="O68" i="25" s="1"/>
  <c r="HD56" i="9"/>
  <c r="O1564" i="13"/>
  <c r="HU56" i="9" a="1"/>
  <c r="HU56" i="9" s="1"/>
  <c r="E1566" i="13"/>
  <c r="AM56" i="9" a="1"/>
  <c r="AM56" i="9" s="1"/>
  <c r="AN56" i="9" s="1"/>
  <c r="M1568" i="13"/>
  <c r="GL56" i="9" s="1" a="1"/>
  <c r="GL56" i="9" s="1"/>
  <c r="N1595" i="13" a="1"/>
  <c r="N1595" i="13" s="1"/>
  <c r="N1596" i="13" s="1"/>
  <c r="N1597" i="13" s="1"/>
  <c r="I1595" i="13" a="1"/>
  <c r="I1595" i="13" s="1"/>
  <c r="I1596" i="13" s="1"/>
  <c r="I1597" i="13" s="1"/>
  <c r="D1629" i="13" a="1"/>
  <c r="D1629" i="13" s="1"/>
  <c r="D1630" i="13" s="1"/>
  <c r="D1631" i="13" s="1"/>
  <c r="I1629" i="13" a="1"/>
  <c r="I1629" i="13" s="1"/>
  <c r="I1630" i="13" s="1"/>
  <c r="I1631" i="13" s="1"/>
  <c r="AL57" i="9" a="1"/>
  <c r="AL57" i="9" s="1"/>
  <c r="F1627" i="13" a="1"/>
  <c r="F1627" i="13" s="1"/>
  <c r="F1628" i="13" s="1"/>
  <c r="F1631" i="13" s="1"/>
  <c r="J1593" i="13" a="1"/>
  <c r="J1593" i="13" s="1"/>
  <c r="J1594" i="13" s="1"/>
  <c r="J1597" i="13" s="1"/>
  <c r="M1629" i="13" a="1"/>
  <c r="M1629" i="13" s="1"/>
  <c r="M1630" i="13" s="1"/>
  <c r="M1631" i="13" s="1"/>
  <c r="HT57" i="9" a="1"/>
  <c r="HT57" i="9" s="1"/>
  <c r="HA57" i="9" a="1"/>
  <c r="HA57" i="9" s="1"/>
  <c r="O1616" i="13" a="1"/>
  <c r="O1616" i="13" s="1"/>
  <c r="O1627" i="13" s="1" a="1"/>
  <c r="O1627" i="13" s="1"/>
  <c r="O1628" i="13" s="1"/>
  <c r="HS58" i="9" a="1"/>
  <c r="HS58" i="9" s="1"/>
  <c r="HY58" i="9" a="1"/>
  <c r="HY58" i="9" s="1"/>
  <c r="N1616" i="13" a="1"/>
  <c r="N1616" i="13" s="1"/>
  <c r="N1627" i="13" s="1" a="1"/>
  <c r="N1627" i="13" s="1"/>
  <c r="N1628" i="13" s="1"/>
  <c r="HF58" i="9" a="1"/>
  <c r="HF58" i="9" s="1"/>
  <c r="GZ58" i="9" a="1"/>
  <c r="GZ58" i="9" s="1"/>
  <c r="O69" i="27" a="1"/>
  <c r="O69" i="27" s="1"/>
  <c r="N1650" i="13" a="1"/>
  <c r="N1650" i="13" s="1"/>
  <c r="N1663" i="13" s="1" a="1"/>
  <c r="N1663" i="13" s="1"/>
  <c r="N1664" i="13" s="1"/>
  <c r="HF59" i="9" a="1"/>
  <c r="HF59" i="9" s="1"/>
  <c r="GZ59" i="9" a="1"/>
  <c r="GZ59" i="9" s="1"/>
  <c r="O71" i="27" s="1" a="1"/>
  <c r="O71" i="27" s="1"/>
  <c r="M1593" i="13" a="1"/>
  <c r="M1593" i="13" s="1"/>
  <c r="M1594" i="13" s="1"/>
  <c r="M1595" i="13" a="1"/>
  <c r="M1595" i="13" s="1"/>
  <c r="M1596" i="13" s="1"/>
  <c r="GH57" i="9" a="1"/>
  <c r="GH57" i="9" s="1"/>
  <c r="M1650" i="13" a="1"/>
  <c r="M1650" i="13" s="1"/>
  <c r="M1661" i="13" s="1" a="1"/>
  <c r="M1661" i="13" s="1"/>
  <c r="M1662" i="13" s="1"/>
  <c r="GM59" i="9" a="1"/>
  <c r="GM59" i="9" s="1"/>
  <c r="GG59" i="9" a="1"/>
  <c r="GG59" i="9" s="1"/>
  <c r="N71" i="27" s="1" a="1"/>
  <c r="N71" i="27" s="1"/>
  <c r="BX57" i="9" a="1"/>
  <c r="BX57" i="9" s="1"/>
  <c r="M1532" i="13"/>
  <c r="M1530" i="13"/>
  <c r="N69" i="27" a="1"/>
  <c r="N69" i="27" s="1"/>
  <c r="FO57" i="9" a="1"/>
  <c r="FO57" i="9" s="1"/>
  <c r="L1650" i="13" a="1"/>
  <c r="L1650" i="13" s="1"/>
  <c r="L1661" i="13" s="1" a="1"/>
  <c r="L1661" i="13" s="1"/>
  <c r="L1662" i="13" s="1"/>
  <c r="FT59" i="9" a="1"/>
  <c r="FT59" i="9" s="1"/>
  <c r="FN59" i="9" a="1"/>
  <c r="FN59" i="9" s="1"/>
  <c r="M71" i="27" s="1" a="1"/>
  <c r="M71" i="27" s="1"/>
  <c r="L1616" i="13" a="1"/>
  <c r="L1616" i="13" s="1"/>
  <c r="L1629" i="13" s="1" a="1"/>
  <c r="L1629" i="13" s="1"/>
  <c r="L1630" i="13" s="1"/>
  <c r="FT58" i="9" a="1"/>
  <c r="FT58" i="9" s="1"/>
  <c r="FN58" i="9" a="1"/>
  <c r="FN58" i="9" s="1"/>
  <c r="EC57" i="9" a="1"/>
  <c r="EC57" i="9" s="1"/>
  <c r="H1627" i="13" a="1"/>
  <c r="H1627" i="13" s="1"/>
  <c r="H1628" i="13" s="1"/>
  <c r="H1631" i="13" s="1"/>
  <c r="J1629" i="13" a="1"/>
  <c r="J1629" i="13" s="1"/>
  <c r="J1630" i="13" s="1"/>
  <c r="J1631" i="13" s="1"/>
  <c r="EV57" i="9" a="1"/>
  <c r="EV57" i="9" s="1"/>
  <c r="K1616" i="13" a="1"/>
  <c r="K1616" i="13" s="1"/>
  <c r="K1629" i="13" s="1" a="1"/>
  <c r="K1629" i="13" s="1"/>
  <c r="K1630" i="13" s="1"/>
  <c r="EU58" i="9" a="1"/>
  <c r="EU58" i="9" s="1"/>
  <c r="FA58" i="9" a="1"/>
  <c r="FA58" i="9" s="1"/>
  <c r="G1593" i="13" a="1"/>
  <c r="G1593" i="13" s="1"/>
  <c r="G1594" i="13" s="1"/>
  <c r="G1597" i="13" s="1"/>
  <c r="K1650" i="13" a="1"/>
  <c r="K1650" i="13" s="1"/>
  <c r="K1663" i="13" s="1" a="1"/>
  <c r="K1663" i="13" s="1"/>
  <c r="K1664" i="13" s="1"/>
  <c r="EU59" i="9" a="1"/>
  <c r="EU59" i="9" s="1"/>
  <c r="L71" i="27" s="1" a="1"/>
  <c r="L71" i="27" s="1"/>
  <c r="FA59" i="9" a="1"/>
  <c r="FA59" i="9" s="1"/>
  <c r="K69" i="27" a="1"/>
  <c r="K69" i="27" s="1"/>
  <c r="I1650" i="13" a="1"/>
  <c r="I1650" i="13" s="1"/>
  <c r="I1663" i="13" s="1" a="1"/>
  <c r="I1663" i="13" s="1"/>
  <c r="I1664" i="13" s="1"/>
  <c r="DO59" i="9" a="1"/>
  <c r="DO59" i="9" s="1"/>
  <c r="DI59" i="9" a="1"/>
  <c r="DI59" i="9" s="1"/>
  <c r="J71" i="27" s="1" a="1"/>
  <c r="J71" i="27" s="1"/>
  <c r="DJ57" i="9" a="1"/>
  <c r="DJ57" i="9" s="1"/>
  <c r="J69" i="27" a="1"/>
  <c r="J69" i="27" s="1"/>
  <c r="H1650" i="13" a="1"/>
  <c r="H1650" i="13" s="1"/>
  <c r="H1661" i="13" s="1" a="1"/>
  <c r="H1661" i="13" s="1"/>
  <c r="H1662" i="13" s="1"/>
  <c r="CV59" i="9" a="1"/>
  <c r="CV59" i="9" s="1"/>
  <c r="CP59" i="9" a="1"/>
  <c r="CP59" i="9" s="1"/>
  <c r="I71" i="27" s="1" a="1"/>
  <c r="I71" i="27" s="1"/>
  <c r="CQ57" i="9" a="1"/>
  <c r="CQ57" i="9" s="1"/>
  <c r="H69" i="27" a="1"/>
  <c r="H69" i="27" s="1"/>
  <c r="F1650" i="13" a="1"/>
  <c r="F1650" i="13" s="1"/>
  <c r="F1661" i="13" s="1" a="1"/>
  <c r="F1661" i="13" s="1"/>
  <c r="F1662" i="13" s="1"/>
  <c r="BJ59" i="9" a="1"/>
  <c r="BJ59" i="9" s="1"/>
  <c r="BD59" i="9" a="1"/>
  <c r="BD59" i="9" s="1"/>
  <c r="G71" i="27" s="1" a="1"/>
  <c r="G71" i="27" s="1"/>
  <c r="BE57" i="9" a="1"/>
  <c r="BE57" i="9" s="1"/>
  <c r="BE56" i="9" a="1"/>
  <c r="BE56" i="9" s="1"/>
  <c r="E1616" i="13" a="1"/>
  <c r="E1616" i="13" s="1"/>
  <c r="E1629" i="13" s="1" a="1"/>
  <c r="E1629" i="13" s="1"/>
  <c r="E1630" i="13" s="1"/>
  <c r="AQ58" i="9" a="1"/>
  <c r="AQ58" i="9" s="1"/>
  <c r="AK58" i="9" a="1"/>
  <c r="AK58" i="9" s="1"/>
  <c r="F69" i="27" a="1"/>
  <c r="F69" i="27" s="1"/>
  <c r="E1595" i="13" a="1"/>
  <c r="E1595" i="13" s="1"/>
  <c r="E1596" i="13" s="1"/>
  <c r="E1593" i="13" a="1"/>
  <c r="E1593" i="13" s="1"/>
  <c r="E1594" i="13" s="1"/>
  <c r="D1650" i="13" a="1"/>
  <c r="D1650" i="13" s="1"/>
  <c r="D1663" i="13" s="1" a="1"/>
  <c r="D1663" i="13" s="1"/>
  <c r="D1664" i="13" s="1"/>
  <c r="R59" i="9" a="1"/>
  <c r="R59" i="9" s="1"/>
  <c r="E71" i="27" s="1" a="1"/>
  <c r="E71" i="27" s="1"/>
  <c r="O689" i="10"/>
  <c r="P689" i="10" s="1"/>
  <c r="N700" i="10" a="1"/>
  <c r="N700" i="10" s="1"/>
  <c r="N703" i="10" s="1"/>
  <c r="O687" i="10"/>
  <c r="O1648" i="13" s="1" a="1"/>
  <c r="O1648" i="13" s="1"/>
  <c r="O1651" i="13" s="1" a="1"/>
  <c r="O1651" i="13" s="1"/>
  <c r="O1652" i="13" s="1"/>
  <c r="S56" i="9" a="1"/>
  <c r="S56" i="9" s="1"/>
  <c r="M1626" i="13"/>
  <c r="O700" i="10" a="1"/>
  <c r="O700" i="10" s="1"/>
  <c r="O703" i="10" s="1"/>
  <c r="H1626" i="13"/>
  <c r="P674" i="10"/>
  <c r="F1626" i="13"/>
  <c r="K700" i="10" a="1"/>
  <c r="K700" i="10" s="1"/>
  <c r="K702" i="10" s="1"/>
  <c r="K1683" i="13" s="1" a="1"/>
  <c r="K1683" i="13" s="1"/>
  <c r="I1626" i="13"/>
  <c r="F1621" i="13"/>
  <c r="D1592" i="13"/>
  <c r="N1626" i="13"/>
  <c r="P675" i="10"/>
  <c r="M1621" i="13"/>
  <c r="O1598" i="13"/>
  <c r="O1602" i="13" s="1"/>
  <c r="HX57" i="9" s="1" a="1"/>
  <c r="HX57" i="9" s="1"/>
  <c r="I701" i="10"/>
  <c r="I1682" i="13" s="1" a="1"/>
  <c r="I1682" i="13" s="1"/>
  <c r="I702" i="10"/>
  <c r="I1683" i="13" s="1" a="1"/>
  <c r="I1683" i="13" s="1"/>
  <c r="I703" i="10"/>
  <c r="E702" i="10"/>
  <c r="E1683" i="13" s="1" a="1"/>
  <c r="E1683" i="13" s="1"/>
  <c r="E703" i="10"/>
  <c r="E701" i="10"/>
  <c r="E1682" i="13" s="1" a="1"/>
  <c r="E1682" i="13" s="1"/>
  <c r="F703" i="10"/>
  <c r="F702" i="10"/>
  <c r="F1683" i="13" s="1" a="1"/>
  <c r="F1683" i="13" s="1"/>
  <c r="F701" i="10"/>
  <c r="F1682" i="13" s="1" a="1"/>
  <c r="F1682" i="13" s="1"/>
  <c r="L700" i="10" a="1"/>
  <c r="L700" i="10" s="1"/>
  <c r="O1658" i="13" a="1"/>
  <c r="O1658" i="13" s="1"/>
  <c r="O1659" i="13" s="1"/>
  <c r="O1656" i="13" a="1"/>
  <c r="O1656" i="13" s="1"/>
  <c r="O1657" i="13" s="1"/>
  <c r="N1621" i="13"/>
  <c r="H1656" i="13" a="1"/>
  <c r="H1656" i="13" s="1"/>
  <c r="H1657" i="13" s="1"/>
  <c r="H1658" i="13" a="1"/>
  <c r="H1658" i="13" s="1"/>
  <c r="H1659" i="13" s="1"/>
  <c r="N1658" i="13" a="1"/>
  <c r="N1658" i="13" s="1"/>
  <c r="N1659" i="13" s="1"/>
  <c r="N1656" i="13" a="1"/>
  <c r="N1656" i="13" s="1"/>
  <c r="N1657" i="13" s="1"/>
  <c r="I1653" i="13" a="1"/>
  <c r="I1653" i="13" s="1"/>
  <c r="I1654" i="13" s="1"/>
  <c r="I1651" i="13" a="1"/>
  <c r="I1651" i="13" s="1"/>
  <c r="I1652" i="13" s="1"/>
  <c r="G1651" i="13" a="1"/>
  <c r="G1651" i="13" s="1"/>
  <c r="G1652" i="13" s="1"/>
  <c r="G1653" i="13" a="1"/>
  <c r="G1653" i="13" s="1"/>
  <c r="G1654" i="13" s="1"/>
  <c r="D700" i="10" a="1"/>
  <c r="D700" i="10" s="1"/>
  <c r="H1653" i="13" a="1"/>
  <c r="H1653" i="13" s="1"/>
  <c r="H1654" i="13" s="1"/>
  <c r="H1651" i="13" a="1"/>
  <c r="H1651" i="13" s="1"/>
  <c r="H1652" i="13" s="1"/>
  <c r="N1653" i="13" a="1"/>
  <c r="N1653" i="13" s="1"/>
  <c r="N1654" i="13" s="1"/>
  <c r="N1651" i="13" a="1"/>
  <c r="N1651" i="13" s="1"/>
  <c r="N1652" i="13" s="1"/>
  <c r="L1651" i="13" a="1"/>
  <c r="L1651" i="13" s="1"/>
  <c r="L1652" i="13" s="1"/>
  <c r="L1653" i="13" a="1"/>
  <c r="L1653" i="13" s="1"/>
  <c r="L1654" i="13" s="1"/>
  <c r="J1621" i="13"/>
  <c r="J1626" i="13"/>
  <c r="O1621" i="13"/>
  <c r="G1626" i="13"/>
  <c r="K1658" i="13" a="1"/>
  <c r="K1658" i="13" s="1"/>
  <c r="K1659" i="13" s="1"/>
  <c r="K1656" i="13" a="1"/>
  <c r="K1656" i="13" s="1"/>
  <c r="K1657" i="13" s="1"/>
  <c r="O1626" i="13"/>
  <c r="E1617" i="13" a="1"/>
  <c r="E1617" i="13" s="1"/>
  <c r="E1618" i="13" s="1"/>
  <c r="E1619" i="13" a="1"/>
  <c r="E1619" i="13" s="1"/>
  <c r="E1620" i="13" s="1"/>
  <c r="J1658" i="13" a="1"/>
  <c r="J1658" i="13" s="1"/>
  <c r="J1659" i="13" s="1"/>
  <c r="J1656" i="13" a="1"/>
  <c r="J1656" i="13" s="1"/>
  <c r="J1657" i="13" s="1"/>
  <c r="F1656" i="13" a="1"/>
  <c r="F1656" i="13" s="1"/>
  <c r="F1657" i="13" s="1"/>
  <c r="F1658" i="13" a="1"/>
  <c r="F1658" i="13" s="1"/>
  <c r="F1659" i="13" s="1"/>
  <c r="L1656" i="13" a="1"/>
  <c r="L1656" i="13" s="1"/>
  <c r="L1657" i="13" s="1"/>
  <c r="L1658" i="13" a="1"/>
  <c r="L1658" i="13" s="1"/>
  <c r="L1659" i="13" s="1"/>
  <c r="K1653" i="13" a="1"/>
  <c r="K1653" i="13" s="1"/>
  <c r="K1654" i="13" s="1"/>
  <c r="K1651" i="13" a="1"/>
  <c r="K1651" i="13" s="1"/>
  <c r="K1652" i="13" s="1"/>
  <c r="D1587" i="13"/>
  <c r="L1622" i="13" a="1"/>
  <c r="L1622" i="13" s="1"/>
  <c r="L1623" i="13" s="1"/>
  <c r="L1624" i="13" a="1"/>
  <c r="L1624" i="13" s="1"/>
  <c r="L1625" i="13" s="1"/>
  <c r="K1617" i="13" a="1"/>
  <c r="K1617" i="13" s="1"/>
  <c r="K1618" i="13" s="1"/>
  <c r="K1619" i="13" a="1"/>
  <c r="K1619" i="13" s="1"/>
  <c r="K1620" i="13" s="1"/>
  <c r="G1621" i="13"/>
  <c r="J1653" i="13" a="1"/>
  <c r="J1653" i="13" s="1"/>
  <c r="J1654" i="13" s="1"/>
  <c r="J1651" i="13" a="1"/>
  <c r="J1651" i="13" s="1"/>
  <c r="J1652" i="13" s="1"/>
  <c r="F1651" i="13" a="1"/>
  <c r="F1651" i="13" s="1"/>
  <c r="F1652" i="13" s="1"/>
  <c r="F1653" i="13" a="1"/>
  <c r="F1653" i="13" s="1"/>
  <c r="F1654" i="13" s="1"/>
  <c r="D1648" i="13" a="1"/>
  <c r="D1648" i="13" s="1"/>
  <c r="J700" i="10" a="1"/>
  <c r="J700" i="10" s="1"/>
  <c r="M700" i="10" a="1"/>
  <c r="M700" i="10" s="1"/>
  <c r="M704" i="10" s="1"/>
  <c r="D1622" i="13" a="1"/>
  <c r="D1622" i="13" s="1"/>
  <c r="D1623" i="13" s="1"/>
  <c r="D1624" i="13" a="1"/>
  <c r="D1624" i="13" s="1"/>
  <c r="D1625" i="13" s="1"/>
  <c r="L1617" i="13" a="1"/>
  <c r="L1617" i="13" s="1"/>
  <c r="L1618" i="13" s="1"/>
  <c r="L1619" i="13" a="1"/>
  <c r="L1619" i="13" s="1"/>
  <c r="L1620" i="13" s="1"/>
  <c r="E1622" i="13" a="1"/>
  <c r="E1622" i="13" s="1"/>
  <c r="E1623" i="13" s="1"/>
  <c r="E1624" i="13" a="1"/>
  <c r="E1624" i="13" s="1"/>
  <c r="E1625" i="13" s="1"/>
  <c r="E1653" i="13" a="1"/>
  <c r="E1653" i="13" s="1"/>
  <c r="E1654" i="13" s="1"/>
  <c r="E1651" i="13" a="1"/>
  <c r="E1651" i="13" s="1"/>
  <c r="E1652" i="13" s="1"/>
  <c r="M1651" i="13" a="1"/>
  <c r="M1651" i="13" s="1"/>
  <c r="M1652" i="13" s="1"/>
  <c r="M1653" i="13" a="1"/>
  <c r="M1653" i="13" s="1"/>
  <c r="M1654" i="13" s="1"/>
  <c r="G700" i="10" a="1"/>
  <c r="G700" i="10" s="1"/>
  <c r="H700" i="10" a="1"/>
  <c r="H700" i="10" s="1"/>
  <c r="P700" i="10" a="1"/>
  <c r="P700" i="10" s="1"/>
  <c r="I1621" i="13"/>
  <c r="P673" i="10"/>
  <c r="K1622" i="13" a="1"/>
  <c r="K1622" i="13" s="1"/>
  <c r="K1623" i="13" s="1"/>
  <c r="K1624" i="13" a="1"/>
  <c r="K1624" i="13" s="1"/>
  <c r="K1625" i="13" s="1"/>
  <c r="H1621" i="13"/>
  <c r="D1649" i="13" a="1"/>
  <c r="D1649" i="13" s="1"/>
  <c r="P688" i="10"/>
  <c r="D1619" i="13" a="1"/>
  <c r="D1619" i="13" s="1"/>
  <c r="D1620" i="13" s="1"/>
  <c r="D1617" i="13" a="1"/>
  <c r="D1617" i="13" s="1"/>
  <c r="D1618" i="13" s="1"/>
  <c r="E1658" i="13" a="1"/>
  <c r="E1658" i="13" s="1"/>
  <c r="E1659" i="13" s="1"/>
  <c r="E1656" i="13" a="1"/>
  <c r="E1656" i="13" s="1"/>
  <c r="E1657" i="13" s="1"/>
  <c r="I1656" i="13" a="1"/>
  <c r="I1656" i="13" s="1"/>
  <c r="I1657" i="13" s="1"/>
  <c r="I1658" i="13" a="1"/>
  <c r="I1658" i="13" s="1"/>
  <c r="I1659" i="13" s="1"/>
  <c r="G1656" i="13" a="1"/>
  <c r="G1656" i="13" s="1"/>
  <c r="G1657" i="13" s="1"/>
  <c r="G1658" i="13" a="1"/>
  <c r="G1658" i="13" s="1"/>
  <c r="G1659" i="13" s="1"/>
  <c r="M1658" i="13" a="1"/>
  <c r="M1658" i="13" s="1"/>
  <c r="M1659" i="13" s="1"/>
  <c r="M1656" i="13" a="1"/>
  <c r="M1656" i="13" s="1"/>
  <c r="M1657" i="13" s="1"/>
  <c r="O1566" i="13"/>
  <c r="H1600" i="13"/>
  <c r="H1566" i="13"/>
  <c r="L1566" i="13"/>
  <c r="E1564" i="13"/>
  <c r="E1568" i="13" s="1"/>
  <c r="AP56" i="9" s="1" a="1"/>
  <c r="AP56" i="9" s="1"/>
  <c r="F1564" i="13"/>
  <c r="K1564" i="13"/>
  <c r="F1600" i="13"/>
  <c r="J1564" i="13"/>
  <c r="L1598" i="13"/>
  <c r="K1598" i="13"/>
  <c r="I1564" i="13"/>
  <c r="D1532" i="13"/>
  <c r="D1598" i="13"/>
  <c r="G1631" i="13"/>
  <c r="E690" i="10"/>
  <c r="J690" i="10"/>
  <c r="G690" i="10"/>
  <c r="EJ54" i="9" a="1"/>
  <c r="EJ54" i="9" s="1"/>
  <c r="ER54" i="9" s="1"/>
  <c r="L67" i="24" s="1" a="1"/>
  <c r="L67" i="24" s="1"/>
  <c r="Z53" i="9" a="1"/>
  <c r="Z53" i="9" s="1"/>
  <c r="AH53" i="9" s="1"/>
  <c r="F66" i="24" s="1" a="1"/>
  <c r="F66" i="24" s="1"/>
  <c r="FC52" i="9" a="1"/>
  <c r="FC52" i="9" s="1"/>
  <c r="FK52" i="9" s="1"/>
  <c r="M65" i="24" s="1" a="1"/>
  <c r="M65" i="24" s="1"/>
  <c r="IL52" i="9"/>
  <c r="IM52" i="9" s="1"/>
  <c r="BL54" i="9" a="1"/>
  <c r="BL54" i="9" s="1"/>
  <c r="BT54" i="9" s="1"/>
  <c r="H67" i="24" s="1" a="1"/>
  <c r="H67" i="24" s="1"/>
  <c r="HH54" i="9" a="1"/>
  <c r="HH54" i="9" s="1"/>
  <c r="HP54" i="9" s="1"/>
  <c r="P67" i="24" s="1" a="1"/>
  <c r="P67" i="24" s="1"/>
  <c r="GV54" i="9"/>
  <c r="GW54" i="9" s="1"/>
  <c r="O67" i="24" s="1" a="1"/>
  <c r="O67" i="24" s="1"/>
  <c r="CE53" i="9" a="1"/>
  <c r="CE53" i="9" s="1"/>
  <c r="CM53" i="9" s="1"/>
  <c r="I66" i="24" s="1" a="1"/>
  <c r="I66" i="24" s="1"/>
  <c r="DQ54" i="9" a="1"/>
  <c r="DQ54" i="9" s="1"/>
  <c r="DY54" i="9" s="1"/>
  <c r="K67" i="24" s="1" a="1"/>
  <c r="K67" i="24" s="1"/>
  <c r="IA54" i="9" a="1"/>
  <c r="IA54" i="9" s="1"/>
  <c r="II54" i="9" s="1"/>
  <c r="Q67" i="24" s="1" a="1"/>
  <c r="Q67" i="24" s="1"/>
  <c r="AR53" i="9"/>
  <c r="AZ53" i="9" s="1"/>
  <c r="IL53" i="9" s="1"/>
  <c r="IM53" i="9" s="1"/>
  <c r="CX54" i="9" a="1"/>
  <c r="CX54" i="9" s="1"/>
  <c r="DF54" i="9" s="1"/>
  <c r="J67" i="24" s="1" a="1"/>
  <c r="J67" i="24" s="1"/>
  <c r="HH53" i="9" a="1"/>
  <c r="HH53" i="9" s="1"/>
  <c r="HP53" i="9" s="1"/>
  <c r="P66" i="24" s="1" a="1"/>
  <c r="P66" i="24" s="1"/>
  <c r="DP55" i="9"/>
  <c r="DX55" i="9" s="1"/>
  <c r="FU55" i="9"/>
  <c r="GC55" i="9" s="1"/>
  <c r="AR55" i="9"/>
  <c r="AZ55" i="9" s="1"/>
  <c r="HG55" i="9"/>
  <c r="HO55" i="9" s="1"/>
  <c r="FB54" i="9"/>
  <c r="FJ54" i="9" s="1"/>
  <c r="FU54" i="9"/>
  <c r="GC54" i="9" s="1"/>
  <c r="CD54" i="9"/>
  <c r="CE54" i="9" s="1" a="1"/>
  <c r="CE54" i="9" s="1"/>
  <c r="AR54" i="9"/>
  <c r="AZ54" i="9" s="1"/>
  <c r="V56" i="9"/>
  <c r="FB55" i="9"/>
  <c r="FJ55" i="9" s="1"/>
  <c r="CW55" i="9"/>
  <c r="DE55" i="9" s="1"/>
  <c r="W54" i="9" a="1"/>
  <c r="W54" i="9" s="1"/>
  <c r="Y54" i="9" s="1"/>
  <c r="AG54" i="9" s="1"/>
  <c r="AH52" i="9"/>
  <c r="F65" i="24" s="1" a="1"/>
  <c r="F65" i="24" s="1"/>
  <c r="K698" i="10"/>
  <c r="ET60" i="9" s="1" a="1"/>
  <c r="ET60" i="9" s="1"/>
  <c r="P676" i="10"/>
  <c r="D698" i="10"/>
  <c r="Q60" i="9" s="1" a="1"/>
  <c r="Q60" i="9" s="1"/>
  <c r="F698" i="10"/>
  <c r="BC60" i="9" s="1" a="1"/>
  <c r="BC60" i="9" s="1"/>
  <c r="P713" i="10"/>
  <c r="I698" i="10"/>
  <c r="DH60" i="9" s="1" a="1"/>
  <c r="DH60" i="9" s="1"/>
  <c r="E704" i="10"/>
  <c r="L733" i="10"/>
  <c r="M733" i="10"/>
  <c r="K733" i="10"/>
  <c r="I733" i="10"/>
  <c r="H733" i="10"/>
  <c r="O733" i="10"/>
  <c r="E733" i="10"/>
  <c r="G733" i="10"/>
  <c r="B734" i="10"/>
  <c r="F733" i="10"/>
  <c r="P733" i="10"/>
  <c r="N733" i="10"/>
  <c r="J733" i="10"/>
  <c r="D733" i="10"/>
  <c r="J698" i="10"/>
  <c r="EA60" i="9" s="1" a="1"/>
  <c r="EA60" i="9" s="1"/>
  <c r="G698" i="10"/>
  <c r="BV60" i="9" s="1" a="1"/>
  <c r="BV60" i="9" s="1"/>
  <c r="K710" i="10"/>
  <c r="I710" i="10"/>
  <c r="H698" i="10"/>
  <c r="CO60" i="9" s="1" a="1"/>
  <c r="CO60" i="9" s="1"/>
  <c r="H710" i="10"/>
  <c r="J710" i="10"/>
  <c r="L698" i="10"/>
  <c r="FM60" i="9" s="1" a="1"/>
  <c r="FM60" i="9" s="1"/>
  <c r="E698" i="10"/>
  <c r="AJ60" i="9" s="1" a="1"/>
  <c r="AJ60" i="9" s="1"/>
  <c r="N698" i="10"/>
  <c r="GY60" i="9" s="1" a="1"/>
  <c r="GY60" i="9" s="1"/>
  <c r="M698" i="10"/>
  <c r="GF60" i="9" s="1" a="1"/>
  <c r="GF60" i="9" s="1"/>
  <c r="G710" i="10"/>
  <c r="D713" i="10"/>
  <c r="D710" i="10"/>
  <c r="K720" i="10"/>
  <c r="K727" i="10" s="1"/>
  <c r="P720" i="10"/>
  <c r="P724" i="10" s="1"/>
  <c r="J720" i="10"/>
  <c r="N720" i="10"/>
  <c r="O720" i="10"/>
  <c r="O727" i="10" s="1"/>
  <c r="F720" i="10"/>
  <c r="F727" i="10" s="1"/>
  <c r="I720" i="10"/>
  <c r="M720" i="10"/>
  <c r="H720" i="10"/>
  <c r="E720" i="10"/>
  <c r="E727" i="10" s="1"/>
  <c r="G720" i="10"/>
  <c r="L720" i="10"/>
  <c r="L727" i="10" s="1"/>
  <c r="B724" i="10"/>
  <c r="B725" i="10" s="1"/>
  <c r="D720" i="10"/>
  <c r="B721" i="10"/>
  <c r="B722" i="10" s="1"/>
  <c r="B723" i="10" s="1"/>
  <c r="M710" i="10"/>
  <c r="L710" i="10"/>
  <c r="E711" i="10"/>
  <c r="E714" i="10" s="1" a="1"/>
  <c r="E714" i="10" s="1"/>
  <c r="K711" i="10"/>
  <c r="K714" i="10" s="1" a="1"/>
  <c r="K714" i="10" s="1"/>
  <c r="O711" i="10"/>
  <c r="O714" i="10" s="1" a="1"/>
  <c r="O714" i="10" s="1"/>
  <c r="D711" i="10"/>
  <c r="G711" i="10"/>
  <c r="G714" i="10" s="1" a="1"/>
  <c r="G714" i="10" s="1"/>
  <c r="F711" i="10"/>
  <c r="J711" i="10"/>
  <c r="J714" i="10" s="1" a="1"/>
  <c r="J714" i="10" s="1"/>
  <c r="B712" i="10"/>
  <c r="B713" i="10" s="1"/>
  <c r="B714" i="10" s="1"/>
  <c r="B715" i="10" s="1"/>
  <c r="B716" i="10" s="1"/>
  <c r="B717" i="10" s="1"/>
  <c r="B718" i="10" s="1"/>
  <c r="N711" i="10"/>
  <c r="N714" i="10" s="1" a="1"/>
  <c r="N714" i="10" s="1"/>
  <c r="M711" i="10"/>
  <c r="M714" i="10" s="1" a="1"/>
  <c r="M714" i="10" s="1"/>
  <c r="L711" i="10"/>
  <c r="L714" i="10" s="1" a="1"/>
  <c r="L714" i="10" s="1"/>
  <c r="I711" i="10"/>
  <c r="I714" i="10" s="1" a="1"/>
  <c r="I714" i="10" s="1"/>
  <c r="H711" i="10"/>
  <c r="H714" i="10" s="1" a="1"/>
  <c r="H714" i="10" s="1"/>
  <c r="P711" i="10"/>
  <c r="P712" i="10" s="1"/>
  <c r="F710" i="10"/>
  <c r="O690" i="10"/>
  <c r="O698" i="10"/>
  <c r="HR60" i="9" s="1" a="1"/>
  <c r="HR60" i="9" s="1"/>
  <c r="N710" i="10"/>
  <c r="E710" i="10"/>
  <c r="B747" i="10" a="1"/>
  <c r="B747" i="10" s="1"/>
  <c r="A747" i="10" a="1"/>
  <c r="A747" i="10" s="1"/>
  <c r="I704" i="10"/>
  <c r="F713" i="10"/>
  <c r="O710" i="10"/>
  <c r="R761" i="10"/>
  <c r="L1627" i="13" l="1" a="1"/>
  <c r="L1627" i="13" s="1"/>
  <c r="L1628" i="13" s="1"/>
  <c r="BG57" i="9"/>
  <c r="O1568" i="13"/>
  <c r="HX56" i="9" s="1" a="1"/>
  <c r="HX56" i="9" s="1"/>
  <c r="L1602" i="13"/>
  <c r="FS57" i="9" s="1" a="1"/>
  <c r="FS57" i="9" s="1"/>
  <c r="BG56" i="9"/>
  <c r="D1602" i="13"/>
  <c r="D1534" i="13"/>
  <c r="F1568" i="13"/>
  <c r="BI56" i="9" s="1" a="1"/>
  <c r="BI56" i="9" s="1"/>
  <c r="L1568" i="13"/>
  <c r="FS56" i="9" s="1" a="1"/>
  <c r="FS56" i="9" s="1"/>
  <c r="FU56" i="9" s="1"/>
  <c r="GC56" i="9" s="1"/>
  <c r="E67" i="25" a="1"/>
  <c r="E67" i="25" s="1"/>
  <c r="Q67" i="25" s="1"/>
  <c r="V55" i="9"/>
  <c r="F1602" i="13"/>
  <c r="BI57" i="9" s="1" a="1"/>
  <c r="BI57" i="9" s="1"/>
  <c r="K1568" i="13"/>
  <c r="EZ56" i="9" s="1" a="1"/>
  <c r="EZ56" i="9" s="1"/>
  <c r="HV57" i="9"/>
  <c r="CS57" i="9"/>
  <c r="FQ57" i="9"/>
  <c r="I1568" i="13"/>
  <c r="DN56" i="9" s="1" a="1"/>
  <c r="DN56" i="9" s="1"/>
  <c r="DP56" i="9" s="1"/>
  <c r="DX56" i="9" s="1"/>
  <c r="K1602" i="13"/>
  <c r="EZ57" i="9" s="1" a="1"/>
  <c r="EZ57" i="9" s="1"/>
  <c r="H1568" i="13"/>
  <c r="CU56" i="9" s="1" a="1"/>
  <c r="CU56" i="9" s="1"/>
  <c r="CW56" i="9" s="1"/>
  <c r="DE56" i="9" s="1"/>
  <c r="J1568" i="13"/>
  <c r="EG56" i="9" s="1" a="1"/>
  <c r="EG56" i="9" s="1"/>
  <c r="EI56" i="9" s="1"/>
  <c r="EQ56" i="9" s="1"/>
  <c r="H1602" i="13"/>
  <c r="CU57" i="9" s="1" a="1"/>
  <c r="CU57" i="9" s="1"/>
  <c r="J1632" i="13"/>
  <c r="ED58" i="9" a="1"/>
  <c r="ED58" i="9" s="1"/>
  <c r="M1634" i="13"/>
  <c r="GI58" i="9" a="1"/>
  <c r="GI58" i="9" s="1"/>
  <c r="H1634" i="13"/>
  <c r="CR58" i="9" a="1"/>
  <c r="CR58" i="9" s="1"/>
  <c r="D1634" i="13"/>
  <c r="T58" i="9" a="1"/>
  <c r="T58" i="9" s="1"/>
  <c r="E70" i="25" s="1" a="1"/>
  <c r="E70" i="25" s="1"/>
  <c r="F1634" i="13"/>
  <c r="BF58" i="9" a="1"/>
  <c r="BF58" i="9" s="1"/>
  <c r="G1634" i="13"/>
  <c r="BY58" i="9" a="1"/>
  <c r="BY58" i="9" s="1"/>
  <c r="I1634" i="13"/>
  <c r="DK58" i="9" a="1"/>
  <c r="DK58" i="9" s="1"/>
  <c r="I69" i="25" a="1"/>
  <c r="I69" i="25" s="1"/>
  <c r="CT57" i="9"/>
  <c r="EX57" i="9"/>
  <c r="N1598" i="13"/>
  <c r="HB57" i="9" a="1"/>
  <c r="HB57" i="9" s="1"/>
  <c r="HC57" i="9" s="1"/>
  <c r="P69" i="25" a="1"/>
  <c r="P69" i="25" s="1"/>
  <c r="HW57" i="9"/>
  <c r="J1600" i="13"/>
  <c r="ED57" i="9" a="1"/>
  <c r="ED57" i="9" s="1"/>
  <c r="EE57" i="9" s="1"/>
  <c r="L69" i="25" a="1"/>
  <c r="L69" i="25" s="1"/>
  <c r="EY57" i="9"/>
  <c r="G1598" i="13"/>
  <c r="BY57" i="9" a="1"/>
  <c r="BY57" i="9" s="1"/>
  <c r="BZ57" i="9" s="1"/>
  <c r="G69" i="25" a="1"/>
  <c r="G69" i="25" s="1"/>
  <c r="BH57" i="9"/>
  <c r="M69" i="25" a="1"/>
  <c r="M69" i="25" s="1"/>
  <c r="FR57" i="9"/>
  <c r="I1600" i="13"/>
  <c r="DK57" i="9" a="1"/>
  <c r="DK57" i="9" s="1"/>
  <c r="DL57" i="9" s="1"/>
  <c r="P68" i="25" a="1"/>
  <c r="P68" i="25" s="1"/>
  <c r="HW56" i="9"/>
  <c r="G68" i="25" a="1"/>
  <c r="G68" i="25" s="1"/>
  <c r="BH56" i="9"/>
  <c r="M68" i="25" a="1"/>
  <c r="M68" i="25" s="1"/>
  <c r="FR56" i="9"/>
  <c r="J68" i="25" a="1"/>
  <c r="J68" i="25" s="1"/>
  <c r="DM56" i="9"/>
  <c r="HV56" i="9"/>
  <c r="K68" i="25" a="1"/>
  <c r="K68" i="25" s="1"/>
  <c r="EF56" i="9"/>
  <c r="FQ56" i="9"/>
  <c r="F68" i="25" a="1"/>
  <c r="F68" i="25" s="1"/>
  <c r="AO56" i="9"/>
  <c r="L68" i="25" a="1"/>
  <c r="L68" i="25" s="1"/>
  <c r="EY56" i="9"/>
  <c r="I68" i="25" a="1"/>
  <c r="I68" i="25" s="1"/>
  <c r="CT56" i="9"/>
  <c r="N1629" i="13" a="1"/>
  <c r="N1629" i="13" s="1"/>
  <c r="N1630" i="13" s="1"/>
  <c r="N1631" i="13" s="1"/>
  <c r="K1661" i="13" a="1"/>
  <c r="K1661" i="13" s="1"/>
  <c r="K1662" i="13" s="1"/>
  <c r="K1665" i="13" s="1"/>
  <c r="H1663" i="13" a="1"/>
  <c r="H1663" i="13" s="1"/>
  <c r="H1664" i="13" s="1"/>
  <c r="H1665" i="13" s="1"/>
  <c r="M1663" i="13" a="1"/>
  <c r="M1663" i="13" s="1"/>
  <c r="M1664" i="13" s="1"/>
  <c r="M1665" i="13" s="1"/>
  <c r="L1663" i="13" a="1"/>
  <c r="L1663" i="13" s="1"/>
  <c r="L1664" i="13" s="1"/>
  <c r="L1665" i="13" s="1"/>
  <c r="N1661" i="13" a="1"/>
  <c r="N1661" i="13" s="1"/>
  <c r="N1662" i="13" s="1"/>
  <c r="N1665" i="13" s="1"/>
  <c r="D1661" i="13" a="1"/>
  <c r="D1661" i="13" s="1"/>
  <c r="D1662" i="13" s="1"/>
  <c r="D1665" i="13" s="1"/>
  <c r="F1663" i="13" a="1"/>
  <c r="F1663" i="13" s="1"/>
  <c r="F1664" i="13" s="1"/>
  <c r="F1665" i="13" s="1"/>
  <c r="O1653" i="13" a="1"/>
  <c r="O1653" i="13" s="1"/>
  <c r="O1654" i="13" s="1"/>
  <c r="O1655" i="13" s="1"/>
  <c r="O1629" i="13" a="1"/>
  <c r="O1629" i="13" s="1"/>
  <c r="O1630" i="13" s="1"/>
  <c r="O1631" i="13" s="1"/>
  <c r="K1627" i="13" a="1"/>
  <c r="K1627" i="13" s="1"/>
  <c r="K1628" i="13" s="1"/>
  <c r="K1631" i="13" s="1"/>
  <c r="M1534" i="13"/>
  <c r="GL55" i="9" s="1" a="1"/>
  <c r="GL55" i="9" s="1"/>
  <c r="GN55" i="9" s="1"/>
  <c r="GV55" i="9" s="1"/>
  <c r="P687" i="10"/>
  <c r="HT58" i="9" a="1"/>
  <c r="HT58" i="9" s="1"/>
  <c r="O1650" i="13" a="1"/>
  <c r="O1650" i="13" s="1"/>
  <c r="O1661" i="13" s="1" a="1"/>
  <c r="O1661" i="13" s="1"/>
  <c r="O1662" i="13" s="1"/>
  <c r="HS59" i="9" a="1"/>
  <c r="HS59" i="9" s="1"/>
  <c r="HY59" i="9" a="1"/>
  <c r="HY59" i="9" s="1"/>
  <c r="P70" i="27" a="1"/>
  <c r="P70" i="27" s="1"/>
  <c r="EC58" i="9" a="1"/>
  <c r="EC58" i="9" s="1"/>
  <c r="HA58" i="9" a="1"/>
  <c r="HA58" i="9" s="1"/>
  <c r="O70" i="27" a="1"/>
  <c r="O70" i="27" s="1"/>
  <c r="M1597" i="13"/>
  <c r="GI57" i="9" s="1" a="1"/>
  <c r="GI57" i="9" s="1"/>
  <c r="I1661" i="13" a="1"/>
  <c r="I1661" i="13" s="1"/>
  <c r="I1662" i="13" s="1"/>
  <c r="I1665" i="13" s="1"/>
  <c r="GH58" i="9" a="1"/>
  <c r="GH58" i="9" s="1"/>
  <c r="M1684" i="13" a="1"/>
  <c r="M1684" i="13" s="1"/>
  <c r="M1697" i="13" s="1" a="1"/>
  <c r="M1697" i="13" s="1"/>
  <c r="M1698" i="13" s="1"/>
  <c r="GM60" i="9" a="1"/>
  <c r="GM60" i="9" s="1"/>
  <c r="GG60" i="9" a="1"/>
  <c r="GG60" i="9" s="1"/>
  <c r="M70" i="27" a="1"/>
  <c r="M70" i="27" s="1"/>
  <c r="K701" i="10"/>
  <c r="K1682" i="13" s="1" a="1"/>
  <c r="K1682" i="13" s="1"/>
  <c r="K1687" i="13" s="1" a="1"/>
  <c r="K1687" i="13" s="1"/>
  <c r="K1688" i="13" s="1"/>
  <c r="L70" i="27" a="1"/>
  <c r="L70" i="27" s="1"/>
  <c r="E1627" i="13" a="1"/>
  <c r="E1627" i="13" s="1"/>
  <c r="E1628" i="13" s="1"/>
  <c r="E1631" i="13" s="1"/>
  <c r="J1650" i="13" a="1"/>
  <c r="J1650" i="13" s="1"/>
  <c r="J1663" i="13" s="1" a="1"/>
  <c r="J1663" i="13" s="1"/>
  <c r="J1664" i="13" s="1"/>
  <c r="EB59" i="9" a="1"/>
  <c r="EB59" i="9" s="1"/>
  <c r="EH59" i="9" a="1"/>
  <c r="EH59" i="9" s="1"/>
  <c r="DJ58" i="9" a="1"/>
  <c r="DJ58" i="9" s="1"/>
  <c r="I1684" i="13" a="1"/>
  <c r="I1684" i="13" s="1"/>
  <c r="I1695" i="13" s="1" a="1"/>
  <c r="I1695" i="13" s="1"/>
  <c r="I1696" i="13" s="1"/>
  <c r="DO60" i="9" a="1"/>
  <c r="DO60" i="9" s="1"/>
  <c r="DI60" i="9" a="1"/>
  <c r="DI60" i="9" s="1"/>
  <c r="CQ58" i="9" a="1"/>
  <c r="CQ58" i="9" s="1"/>
  <c r="G1650" i="13" a="1"/>
  <c r="G1650" i="13" s="1"/>
  <c r="G1661" i="13" s="1" a="1"/>
  <c r="G1661" i="13" s="1"/>
  <c r="G1662" i="13" s="1"/>
  <c r="CC59" i="9" a="1"/>
  <c r="CC59" i="9" s="1"/>
  <c r="BW59" i="9" a="1"/>
  <c r="BW59" i="9" s="1"/>
  <c r="BX58" i="9" a="1"/>
  <c r="BX58" i="9" s="1"/>
  <c r="BE58" i="9" a="1"/>
  <c r="BE58" i="9" s="1"/>
  <c r="E1597" i="13"/>
  <c r="AM57" i="9" s="1" a="1"/>
  <c r="AM57" i="9" s="1"/>
  <c r="E1684" i="13" a="1"/>
  <c r="E1684" i="13" s="1"/>
  <c r="E1695" i="13" s="1" a="1"/>
  <c r="E1695" i="13" s="1"/>
  <c r="E1696" i="13" s="1"/>
  <c r="AK60" i="9" a="1"/>
  <c r="AK60" i="9" s="1"/>
  <c r="AQ60" i="9" a="1"/>
  <c r="AQ60" i="9" s="1"/>
  <c r="E1650" i="13" a="1"/>
  <c r="E1650" i="13" s="1"/>
  <c r="E1663" i="13" s="1" a="1"/>
  <c r="E1663" i="13" s="1"/>
  <c r="E1664" i="13" s="1"/>
  <c r="AK59" i="9" a="1"/>
  <c r="AK59" i="9" s="1"/>
  <c r="AQ59" i="9" a="1"/>
  <c r="AQ59" i="9" s="1"/>
  <c r="F70" i="27" a="1"/>
  <c r="F70" i="27" s="1"/>
  <c r="N701" i="10"/>
  <c r="N1682" i="13" s="1" a="1"/>
  <c r="N1682" i="13" s="1"/>
  <c r="N1687" i="13" s="1" a="1"/>
  <c r="N1687" i="13" s="1"/>
  <c r="N1688" i="13" s="1"/>
  <c r="N702" i="10"/>
  <c r="N1683" i="13" s="1" a="1"/>
  <c r="N1683" i="13" s="1"/>
  <c r="N1690" i="13" s="1" a="1"/>
  <c r="N1690" i="13" s="1"/>
  <c r="N1691" i="13" s="1"/>
  <c r="S57" i="9" a="1"/>
  <c r="S57" i="9" s="1"/>
  <c r="H1660" i="13"/>
  <c r="D1621" i="13"/>
  <c r="L1626" i="13"/>
  <c r="O702" i="10"/>
  <c r="O1683" i="13" s="1" a="1"/>
  <c r="O1683" i="13" s="1"/>
  <c r="O1690" i="13" s="1" a="1"/>
  <c r="O1690" i="13" s="1"/>
  <c r="O1691" i="13" s="1"/>
  <c r="O701" i="10"/>
  <c r="O1682" i="13" s="1" a="1"/>
  <c r="O1682" i="13" s="1"/>
  <c r="O1687" i="13" s="1" a="1"/>
  <c r="O1687" i="13" s="1"/>
  <c r="O1688" i="13" s="1"/>
  <c r="F1655" i="13"/>
  <c r="N1660" i="13"/>
  <c r="N1600" i="13"/>
  <c r="O1660" i="13"/>
  <c r="K703" i="10"/>
  <c r="K704" i="10"/>
  <c r="K1626" i="13"/>
  <c r="F1632" i="13"/>
  <c r="J1655" i="13"/>
  <c r="L1621" i="13"/>
  <c r="L1660" i="13"/>
  <c r="E1621" i="13"/>
  <c r="E1626" i="13"/>
  <c r="K716" i="10"/>
  <c r="K1717" i="13" s="1" a="1"/>
  <c r="K1717" i="13" s="1"/>
  <c r="K717" i="10"/>
  <c r="K715" i="10"/>
  <c r="K1716" i="13" s="1" a="1"/>
  <c r="K1716" i="13" s="1"/>
  <c r="N717" i="10"/>
  <c r="N715" i="10"/>
  <c r="N1716" i="13" s="1" a="1"/>
  <c r="N1716" i="13" s="1"/>
  <c r="N716" i="10"/>
  <c r="N1717" i="13" s="1" a="1"/>
  <c r="N1717" i="13" s="1"/>
  <c r="E715" i="10"/>
  <c r="E1716" i="13" s="1" a="1"/>
  <c r="E1716" i="13" s="1"/>
  <c r="E716" i="10"/>
  <c r="E1717" i="13" s="1" a="1"/>
  <c r="E1717" i="13" s="1"/>
  <c r="E717" i="10"/>
  <c r="J715" i="10"/>
  <c r="J1716" i="13" s="1" a="1"/>
  <c r="J1716" i="13" s="1"/>
  <c r="J716" i="10"/>
  <c r="J1717" i="13" s="1" a="1"/>
  <c r="J1717" i="13" s="1"/>
  <c r="J717" i="10"/>
  <c r="M716" i="10"/>
  <c r="M1717" i="13" s="1" a="1"/>
  <c r="M1717" i="13" s="1"/>
  <c r="M717" i="10"/>
  <c r="M715" i="10"/>
  <c r="M1716" i="13" s="1" a="1"/>
  <c r="M1716" i="13" s="1"/>
  <c r="L716" i="10"/>
  <c r="L1717" i="13" s="1" a="1"/>
  <c r="L1717" i="13" s="1"/>
  <c r="L717" i="10"/>
  <c r="L715" i="10"/>
  <c r="L1716" i="13" s="1" a="1"/>
  <c r="L1716" i="13" s="1"/>
  <c r="H717" i="10"/>
  <c r="H715" i="10"/>
  <c r="H1716" i="13" s="1" a="1"/>
  <c r="H1716" i="13" s="1"/>
  <c r="H716" i="10"/>
  <c r="H1717" i="13" s="1" a="1"/>
  <c r="H1717" i="13" s="1"/>
  <c r="G717" i="10"/>
  <c r="G715" i="10"/>
  <c r="G1716" i="13" s="1" a="1"/>
  <c r="G1716" i="13" s="1"/>
  <c r="G716" i="10"/>
  <c r="G1717" i="13" s="1" a="1"/>
  <c r="G1717" i="13" s="1"/>
  <c r="O715" i="10"/>
  <c r="O1716" i="13" s="1" a="1"/>
  <c r="O1716" i="13" s="1"/>
  <c r="O716" i="10"/>
  <c r="O1717" i="13" s="1" a="1"/>
  <c r="O1717" i="13" s="1"/>
  <c r="O717" i="10"/>
  <c r="I715" i="10"/>
  <c r="I1716" i="13" s="1" a="1"/>
  <c r="I1716" i="13" s="1"/>
  <c r="I716" i="10"/>
  <c r="I1717" i="13" s="1" a="1"/>
  <c r="I1717" i="13" s="1"/>
  <c r="I717" i="10"/>
  <c r="F714" i="10" a="1"/>
  <c r="F714" i="10" s="1"/>
  <c r="D1658" i="13" a="1"/>
  <c r="D1658" i="13" s="1"/>
  <c r="D1659" i="13" s="1"/>
  <c r="D1656" i="13" a="1"/>
  <c r="D1656" i="13" s="1"/>
  <c r="D1657" i="13" s="1"/>
  <c r="E1655" i="13"/>
  <c r="M703" i="10"/>
  <c r="M701" i="10"/>
  <c r="M1682" i="13" s="1" a="1"/>
  <c r="M1682" i="13" s="1"/>
  <c r="M702" i="10"/>
  <c r="M1683" i="13" s="1" a="1"/>
  <c r="M1683" i="13" s="1"/>
  <c r="J1660" i="13"/>
  <c r="D702" i="10"/>
  <c r="D703" i="10"/>
  <c r="D701" i="10"/>
  <c r="F1690" i="13" a="1"/>
  <c r="F1690" i="13" s="1"/>
  <c r="F1691" i="13" s="1"/>
  <c r="F1692" i="13" a="1"/>
  <c r="F1692" i="13" s="1"/>
  <c r="F1693" i="13" s="1"/>
  <c r="D714" i="10" a="1"/>
  <c r="D714" i="10" s="1"/>
  <c r="M1660" i="13"/>
  <c r="J703" i="10"/>
  <c r="J701" i="10"/>
  <c r="J1682" i="13" s="1" a="1"/>
  <c r="J1682" i="13" s="1"/>
  <c r="J702" i="10"/>
  <c r="J1683" i="13" s="1" a="1"/>
  <c r="J1683" i="13" s="1"/>
  <c r="K1660" i="13"/>
  <c r="L1655" i="13"/>
  <c r="G1655" i="13"/>
  <c r="H702" i="10"/>
  <c r="H1683" i="13" s="1" a="1"/>
  <c r="H1683" i="13" s="1"/>
  <c r="H703" i="10"/>
  <c r="H701" i="10"/>
  <c r="H1682" i="13" s="1" a="1"/>
  <c r="H1682" i="13" s="1"/>
  <c r="E1685" i="13" a="1"/>
  <c r="E1685" i="13" s="1"/>
  <c r="E1686" i="13" s="1"/>
  <c r="E1687" i="13" a="1"/>
  <c r="E1687" i="13" s="1"/>
  <c r="E1688" i="13" s="1"/>
  <c r="G703" i="10"/>
  <c r="G701" i="10"/>
  <c r="G1682" i="13" s="1" a="1"/>
  <c r="G1682" i="13" s="1"/>
  <c r="G702" i="10"/>
  <c r="G1683" i="13" s="1" a="1"/>
  <c r="G1683" i="13" s="1"/>
  <c r="K1655" i="13"/>
  <c r="G1660" i="13"/>
  <c r="M1655" i="13"/>
  <c r="K1621" i="13"/>
  <c r="N1655" i="13"/>
  <c r="I1655" i="13"/>
  <c r="L702" i="10"/>
  <c r="L1683" i="13" s="1" a="1"/>
  <c r="L1683" i="13" s="1"/>
  <c r="L703" i="10"/>
  <c r="L701" i="10"/>
  <c r="L1682" i="13" s="1" a="1"/>
  <c r="L1682" i="13" s="1"/>
  <c r="E1690" i="13" a="1"/>
  <c r="E1690" i="13" s="1"/>
  <c r="E1691" i="13" s="1"/>
  <c r="E1692" i="13" a="1"/>
  <c r="E1692" i="13" s="1"/>
  <c r="E1693" i="13" s="1"/>
  <c r="P714" i="10" a="1"/>
  <c r="P714" i="10" s="1"/>
  <c r="I1598" i="13"/>
  <c r="J1634" i="13"/>
  <c r="I1660" i="13"/>
  <c r="K1690" i="13" a="1"/>
  <c r="K1690" i="13" s="1"/>
  <c r="K1691" i="13" s="1"/>
  <c r="K1692" i="13" a="1"/>
  <c r="K1692" i="13" s="1"/>
  <c r="K1693" i="13" s="1"/>
  <c r="D1626" i="13"/>
  <c r="D1653" i="13" a="1"/>
  <c r="D1653" i="13" s="1"/>
  <c r="D1654" i="13" s="1"/>
  <c r="D1651" i="13" a="1"/>
  <c r="D1651" i="13" s="1"/>
  <c r="D1652" i="13" s="1"/>
  <c r="H1655" i="13"/>
  <c r="I1690" i="13" a="1"/>
  <c r="I1690" i="13" s="1"/>
  <c r="I1691" i="13" s="1"/>
  <c r="I1692" i="13" a="1"/>
  <c r="I1692" i="13" s="1"/>
  <c r="I1693" i="13" s="1"/>
  <c r="E1660" i="13"/>
  <c r="F1660" i="13"/>
  <c r="F1687" i="13" a="1"/>
  <c r="F1687" i="13" s="1"/>
  <c r="F1688" i="13" s="1"/>
  <c r="F1685" i="13" a="1"/>
  <c r="F1685" i="13" s="1"/>
  <c r="F1686" i="13" s="1"/>
  <c r="I1687" i="13" a="1"/>
  <c r="I1687" i="13" s="1"/>
  <c r="I1688" i="13" s="1"/>
  <c r="I1685" i="13" a="1"/>
  <c r="I1685" i="13" s="1"/>
  <c r="I1686" i="13" s="1"/>
  <c r="D1632" i="13"/>
  <c r="G1632" i="13"/>
  <c r="I1632" i="13"/>
  <c r="G1600" i="13"/>
  <c r="G1602" i="13" s="1"/>
  <c r="CB57" i="9" s="1" a="1"/>
  <c r="CB57" i="9" s="1"/>
  <c r="H1632" i="13"/>
  <c r="M1632" i="13"/>
  <c r="L1631" i="13"/>
  <c r="J1598" i="13"/>
  <c r="J1602" i="13" s="1"/>
  <c r="EG57" i="9" s="1" a="1"/>
  <c r="EG57" i="9" s="1"/>
  <c r="F704" i="10"/>
  <c r="CX55" i="9" a="1"/>
  <c r="CX55" i="9" s="1"/>
  <c r="DF55" i="9" s="1"/>
  <c r="J68" i="24" s="1" a="1"/>
  <c r="J68" i="24" s="1"/>
  <c r="AS55" i="9" a="1"/>
  <c r="AS55" i="9" s="1"/>
  <c r="BA55" i="9" s="1"/>
  <c r="G68" i="24" s="1" a="1"/>
  <c r="G68" i="24" s="1"/>
  <c r="CL54" i="9"/>
  <c r="CM54" i="9" s="1"/>
  <c r="I67" i="24" s="1" a="1"/>
  <c r="I67" i="24" s="1"/>
  <c r="FC54" i="9" a="1"/>
  <c r="FC54" i="9" s="1"/>
  <c r="FK54" i="9" s="1"/>
  <c r="M67" i="24" s="1" a="1"/>
  <c r="M67" i="24" s="1"/>
  <c r="IJ52" i="9"/>
  <c r="IK52" i="9" s="1"/>
  <c r="IN52" i="9"/>
  <c r="IO52" i="9" s="1"/>
  <c r="AS54" i="9" a="1"/>
  <c r="AS54" i="9" s="1"/>
  <c r="BA54" i="9" s="1"/>
  <c r="G67" i="24" s="1" a="1"/>
  <c r="G67" i="24" s="1"/>
  <c r="Z54" i="9" a="1"/>
  <c r="Z54" i="9" s="1"/>
  <c r="AH54" i="9" s="1"/>
  <c r="F67" i="24" s="1" a="1"/>
  <c r="F67" i="24" s="1"/>
  <c r="DQ55" i="9" a="1"/>
  <c r="DQ55" i="9" s="1"/>
  <c r="DY55" i="9" s="1"/>
  <c r="K68" i="24" s="1" a="1"/>
  <c r="K68" i="24" s="1"/>
  <c r="FV54" i="9" a="1"/>
  <c r="FV54" i="9" s="1"/>
  <c r="GD54" i="9" s="1"/>
  <c r="N67" i="24" s="1" a="1"/>
  <c r="N67" i="24" s="1"/>
  <c r="AS53" i="9" a="1"/>
  <c r="AS53" i="9" s="1"/>
  <c r="BA53" i="9" s="1"/>
  <c r="G66" i="24" s="1" a="1"/>
  <c r="G66" i="24" s="1"/>
  <c r="FV55" i="9" a="1"/>
  <c r="FV55" i="9" s="1"/>
  <c r="GD55" i="9" s="1"/>
  <c r="N68" i="24" s="1" a="1"/>
  <c r="N68" i="24" s="1"/>
  <c r="EJ55" i="9" a="1"/>
  <c r="EJ55" i="9" s="1"/>
  <c r="ER55" i="9" s="1"/>
  <c r="L68" i="24" s="1" a="1"/>
  <c r="L68" i="24" s="1"/>
  <c r="U56" i="9"/>
  <c r="BL55" i="9" a="1"/>
  <c r="BL55" i="9" s="1"/>
  <c r="BT55" i="9" s="1"/>
  <c r="H68" i="24" s="1" a="1"/>
  <c r="H68" i="24" s="1"/>
  <c r="FC55" i="9" a="1"/>
  <c r="FC55" i="9" s="1"/>
  <c r="FK55" i="9" s="1"/>
  <c r="M68" i="24" s="1" a="1"/>
  <c r="M68" i="24" s="1"/>
  <c r="HH55" i="9" a="1"/>
  <c r="HH55" i="9" s="1"/>
  <c r="HP55" i="9" s="1"/>
  <c r="P68" i="24" s="1" a="1"/>
  <c r="P68" i="24" s="1"/>
  <c r="CE55" i="9" a="1"/>
  <c r="CE55" i="9" s="1"/>
  <c r="CM55" i="9" s="1"/>
  <c r="I68" i="24" s="1" a="1"/>
  <c r="I68" i="24" s="1"/>
  <c r="V57" i="9"/>
  <c r="CD56" i="9"/>
  <c r="CL56" i="9" s="1"/>
  <c r="HG56" i="9"/>
  <c r="HO56" i="9" s="1"/>
  <c r="GN56" i="9"/>
  <c r="GV56" i="9" s="1"/>
  <c r="AR56" i="9"/>
  <c r="AZ56" i="9" s="1"/>
  <c r="W55" i="9" a="1"/>
  <c r="W55" i="9" s="1"/>
  <c r="Y55" i="9" s="1"/>
  <c r="AG55" i="9" s="1"/>
  <c r="L704" i="10"/>
  <c r="P727" i="10"/>
  <c r="M712" i="10"/>
  <c r="GF61" i="9" s="1" a="1"/>
  <c r="GF61" i="9" s="1"/>
  <c r="E712" i="10"/>
  <c r="AJ61" i="9" s="1" a="1"/>
  <c r="AJ61" i="9" s="1"/>
  <c r="H704" i="10"/>
  <c r="N712" i="10"/>
  <c r="GY61" i="9" s="1" a="1"/>
  <c r="GY61" i="9" s="1"/>
  <c r="O712" i="10"/>
  <c r="HR61" i="9" s="1" a="1"/>
  <c r="HR61" i="9" s="1"/>
  <c r="D704" i="10"/>
  <c r="X60" i="9" s="1" a="1"/>
  <c r="X60" i="9" s="1"/>
  <c r="F712" i="10"/>
  <c r="BC61" i="9" s="1" a="1"/>
  <c r="BC61" i="9" s="1"/>
  <c r="J718" i="10"/>
  <c r="H718" i="10"/>
  <c r="G718" i="10"/>
  <c r="I718" i="10"/>
  <c r="O718" i="10"/>
  <c r="K718" i="10"/>
  <c r="N718" i="10"/>
  <c r="E718" i="10"/>
  <c r="O704" i="10"/>
  <c r="G724" i="10"/>
  <c r="J724" i="10"/>
  <c r="J712" i="10"/>
  <c r="EA61" i="9" s="1" a="1"/>
  <c r="EA61" i="9" s="1"/>
  <c r="L712" i="10"/>
  <c r="FM61" i="9" s="1" a="1"/>
  <c r="FM61" i="9" s="1"/>
  <c r="E724" i="10"/>
  <c r="G712" i="10"/>
  <c r="BV61" i="9" s="1" a="1"/>
  <c r="BV61" i="9" s="1"/>
  <c r="H724" i="10"/>
  <c r="K724" i="10"/>
  <c r="H712" i="10"/>
  <c r="CO61" i="9" s="1" a="1"/>
  <c r="CO61" i="9" s="1"/>
  <c r="H734" i="10"/>
  <c r="H741" i="10" s="1"/>
  <c r="O734" i="10"/>
  <c r="O741" i="10" s="1"/>
  <c r="N734" i="10"/>
  <c r="N741" i="10" s="1"/>
  <c r="M734" i="10"/>
  <c r="M741" i="10" s="1"/>
  <c r="F734" i="10"/>
  <c r="L734" i="10"/>
  <c r="J734" i="10"/>
  <c r="J741" i="10" s="1"/>
  <c r="K734" i="10"/>
  <c r="K741" i="10" s="1"/>
  <c r="B738" i="10"/>
  <c r="B739" i="10" s="1"/>
  <c r="B735" i="10"/>
  <c r="B736" i="10" s="1"/>
  <c r="B737" i="10" s="1"/>
  <c r="G734" i="10"/>
  <c r="I734" i="10"/>
  <c r="I741" i="10" s="1"/>
  <c r="E734" i="10"/>
  <c r="E741" i="10" s="1"/>
  <c r="P734" i="10"/>
  <c r="P738" i="10" s="1"/>
  <c r="D734" i="10"/>
  <c r="D741" i="10" s="1"/>
  <c r="M724" i="10"/>
  <c r="J727" i="10"/>
  <c r="I727" i="10"/>
  <c r="I724" i="10"/>
  <c r="G704" i="10"/>
  <c r="P690" i="10"/>
  <c r="D724" i="10"/>
  <c r="F724" i="10"/>
  <c r="H727" i="10"/>
  <c r="I712" i="10"/>
  <c r="DH61" i="9" s="1" a="1"/>
  <c r="DH61" i="9" s="1"/>
  <c r="O747" i="10"/>
  <c r="B748" i="10"/>
  <c r="L747" i="10"/>
  <c r="H747" i="10"/>
  <c r="J747" i="10"/>
  <c r="P747" i="10"/>
  <c r="I747" i="10"/>
  <c r="G747" i="10"/>
  <c r="F747" i="10"/>
  <c r="E747" i="10"/>
  <c r="K747" i="10"/>
  <c r="N747" i="10"/>
  <c r="M747" i="10"/>
  <c r="D747" i="10"/>
  <c r="J704" i="10"/>
  <c r="I725" i="10"/>
  <c r="D725" i="10"/>
  <c r="P725" i="10"/>
  <c r="P726" i="10" s="1"/>
  <c r="M725" i="10"/>
  <c r="H725" i="10"/>
  <c r="L725" i="10"/>
  <c r="L728" i="10" s="1" a="1"/>
  <c r="L728" i="10" s="1"/>
  <c r="O725" i="10"/>
  <c r="O728" i="10" s="1" a="1"/>
  <c r="O728" i="10" s="1"/>
  <c r="J725" i="10"/>
  <c r="G725" i="10"/>
  <c r="E725" i="10"/>
  <c r="E728" i="10" s="1" a="1"/>
  <c r="E728" i="10" s="1"/>
  <c r="N725" i="10"/>
  <c r="F725" i="10"/>
  <c r="F728" i="10" s="1" a="1"/>
  <c r="F728" i="10" s="1"/>
  <c r="B726" i="10"/>
  <c r="B727" i="10" s="1"/>
  <c r="B728" i="10" s="1"/>
  <c r="B729" i="10" s="1"/>
  <c r="B730" i="10" s="1"/>
  <c r="B731" i="10" s="1"/>
  <c r="B732" i="10" s="1"/>
  <c r="K725" i="10"/>
  <c r="K728" i="10" s="1" a="1"/>
  <c r="K728" i="10" s="1"/>
  <c r="O724" i="10"/>
  <c r="D712" i="10"/>
  <c r="Q61" i="9" s="1" a="1"/>
  <c r="Q61" i="9" s="1"/>
  <c r="G727" i="10"/>
  <c r="B761" i="10" a="1"/>
  <c r="B761" i="10" s="1"/>
  <c r="A761" i="10" a="1"/>
  <c r="A761" i="10" s="1"/>
  <c r="N704" i="10"/>
  <c r="D727" i="10"/>
  <c r="L724" i="10"/>
  <c r="N724" i="10"/>
  <c r="N727" i="10"/>
  <c r="M727" i="10"/>
  <c r="K712" i="10"/>
  <c r="ET61" i="9" s="1" a="1"/>
  <c r="ET61" i="9" s="1"/>
  <c r="R775" i="10"/>
  <c r="R789" i="10" s="1"/>
  <c r="D1636" i="13" l="1"/>
  <c r="F1636" i="13"/>
  <c r="BI58" i="9" s="1" a="1"/>
  <c r="BI58" i="9" s="1"/>
  <c r="G1636" i="13"/>
  <c r="CB58" i="9" s="1" a="1"/>
  <c r="CB58" i="9" s="1"/>
  <c r="B789" i="10" a="1"/>
  <c r="B789" i="10" s="1"/>
  <c r="R803" i="10"/>
  <c r="A789" i="10" a="1"/>
  <c r="A789" i="10" s="1"/>
  <c r="P798" i="10" a="1"/>
  <c r="P798" i="10" s="1"/>
  <c r="N1602" i="13"/>
  <c r="HE57" i="9" s="1" a="1"/>
  <c r="HE57" i="9" s="1"/>
  <c r="HG57" i="9" s="1"/>
  <c r="GJ58" i="9"/>
  <c r="BG58" i="9"/>
  <c r="CS58" i="9"/>
  <c r="BZ58" i="9"/>
  <c r="EE58" i="9"/>
  <c r="DL58" i="9"/>
  <c r="J1636" i="13"/>
  <c r="EG58" i="9" s="1" a="1"/>
  <c r="EG58" i="9" s="1"/>
  <c r="F1668" i="13"/>
  <c r="BF59" i="9" a="1"/>
  <c r="BF59" i="9" s="1"/>
  <c r="M1668" i="13"/>
  <c r="GI59" i="9" a="1"/>
  <c r="GI59" i="9" s="1"/>
  <c r="D1668" i="13"/>
  <c r="T59" i="9" a="1"/>
  <c r="T59" i="9" s="1"/>
  <c r="E71" i="25" s="1" a="1"/>
  <c r="E71" i="25" s="1"/>
  <c r="N1668" i="13"/>
  <c r="HB59" i="9" a="1"/>
  <c r="HB59" i="9" s="1"/>
  <c r="L1666" i="13"/>
  <c r="FP59" i="9" a="1"/>
  <c r="FP59" i="9" s="1"/>
  <c r="I1602" i="13"/>
  <c r="DN57" i="9" s="1" a="1"/>
  <c r="DN57" i="9" s="1"/>
  <c r="DP57" i="9" s="1"/>
  <c r="DX57" i="9" s="1"/>
  <c r="H1668" i="13"/>
  <c r="CR59" i="9" a="1"/>
  <c r="CR59" i="9" s="1"/>
  <c r="M1636" i="13"/>
  <c r="GL58" i="9" s="1" a="1"/>
  <c r="GL58" i="9" s="1"/>
  <c r="K1668" i="13"/>
  <c r="EW59" i="9" a="1"/>
  <c r="EW59" i="9" s="1"/>
  <c r="I1668" i="13"/>
  <c r="DK59" i="9" a="1"/>
  <c r="DK59" i="9" s="1"/>
  <c r="J70" i="25" a="1"/>
  <c r="J70" i="25" s="1"/>
  <c r="DM58" i="9"/>
  <c r="I70" i="25" a="1"/>
  <c r="I70" i="25" s="1"/>
  <c r="CT58" i="9"/>
  <c r="I1636" i="13"/>
  <c r="DN58" i="9" s="1" a="1"/>
  <c r="DN58" i="9" s="1"/>
  <c r="H70" i="25" a="1"/>
  <c r="H70" i="25" s="1"/>
  <c r="CA58" i="9"/>
  <c r="N70" i="25" a="1"/>
  <c r="N70" i="25" s="1"/>
  <c r="GK58" i="9"/>
  <c r="G70" i="25" a="1"/>
  <c r="G70" i="25" s="1"/>
  <c r="BH58" i="9"/>
  <c r="K70" i="25" a="1"/>
  <c r="K70" i="25" s="1"/>
  <c r="EF58" i="9"/>
  <c r="L1632" i="13"/>
  <c r="FP58" i="9" a="1"/>
  <c r="FP58" i="9" s="1"/>
  <c r="K1634" i="13"/>
  <c r="EW58" i="9" a="1"/>
  <c r="EW58" i="9" s="1"/>
  <c r="O1634" i="13"/>
  <c r="HU58" i="9" a="1"/>
  <c r="HU58" i="9" s="1"/>
  <c r="HV58" i="9" s="1"/>
  <c r="H1636" i="13"/>
  <c r="CU58" i="9" s="1" a="1"/>
  <c r="CU58" i="9" s="1"/>
  <c r="E1634" i="13"/>
  <c r="AM58" i="9" a="1"/>
  <c r="AM58" i="9" s="1"/>
  <c r="N1634" i="13"/>
  <c r="HB58" i="9" a="1"/>
  <c r="HB58" i="9" s="1"/>
  <c r="HC58" i="9" s="1"/>
  <c r="O69" i="25" a="1"/>
  <c r="O69" i="25" s="1"/>
  <c r="HD57" i="9"/>
  <c r="N69" i="25" a="1"/>
  <c r="N69" i="25" s="1"/>
  <c r="GK57" i="9"/>
  <c r="F69" i="25" a="1"/>
  <c r="F69" i="25" s="1"/>
  <c r="AO57" i="9"/>
  <c r="AN57" i="9"/>
  <c r="K69" i="25" a="1"/>
  <c r="K69" i="25" s="1"/>
  <c r="EF57" i="9"/>
  <c r="H69" i="25" a="1"/>
  <c r="H69" i="25" s="1"/>
  <c r="CA57" i="9"/>
  <c r="J69" i="25" a="1"/>
  <c r="J69" i="25" s="1"/>
  <c r="DM57" i="9"/>
  <c r="GJ57" i="9"/>
  <c r="Q68" i="25"/>
  <c r="E1661" i="13" a="1"/>
  <c r="E1661" i="13" s="1"/>
  <c r="E1662" i="13" s="1"/>
  <c r="E1665" i="13" s="1"/>
  <c r="AM59" i="9" s="1" a="1"/>
  <c r="AM59" i="9" s="1"/>
  <c r="M1695" i="13" a="1"/>
  <c r="M1695" i="13" s="1"/>
  <c r="M1696" i="13" s="1"/>
  <c r="M1699" i="13" s="1"/>
  <c r="GO55" i="9" a="1"/>
  <c r="GO55" i="9" s="1"/>
  <c r="GW55" i="9" s="1"/>
  <c r="O68" i="24" s="1" a="1"/>
  <c r="O68" i="24" s="1"/>
  <c r="K1685" i="13" a="1"/>
  <c r="K1685" i="13" s="1"/>
  <c r="K1686" i="13" s="1"/>
  <c r="K1689" i="13" s="1"/>
  <c r="BX59" i="9" a="1"/>
  <c r="BX59" i="9" s="1"/>
  <c r="N1685" i="13" a="1"/>
  <c r="N1685" i="13" s="1"/>
  <c r="N1686" i="13" s="1"/>
  <c r="N1689" i="13" s="1"/>
  <c r="BE59" i="9" a="1"/>
  <c r="BE59" i="9" s="1"/>
  <c r="EC59" i="9" a="1"/>
  <c r="EC59" i="9" s="1"/>
  <c r="O1663" i="13" a="1"/>
  <c r="O1663" i="13" s="1"/>
  <c r="O1664" i="13" s="1"/>
  <c r="O1665" i="13" s="1"/>
  <c r="E1697" i="13" a="1"/>
  <c r="E1697" i="13" s="1"/>
  <c r="E1698" i="13" s="1"/>
  <c r="E1699" i="13" s="1"/>
  <c r="HT59" i="9" a="1"/>
  <c r="HT59" i="9" s="1"/>
  <c r="O1684" i="13" a="1"/>
  <c r="O1684" i="13" s="1"/>
  <c r="O1695" i="13" s="1" a="1"/>
  <c r="O1695" i="13" s="1"/>
  <c r="O1696" i="13" s="1"/>
  <c r="HS60" i="9" a="1"/>
  <c r="HS60" i="9" s="1"/>
  <c r="P72" i="27" s="1" a="1"/>
  <c r="P72" i="27" s="1"/>
  <c r="HY60" i="9" a="1"/>
  <c r="HY60" i="9" s="1"/>
  <c r="P71" i="27" a="1"/>
  <c r="P71" i="27" s="1"/>
  <c r="O1718" i="13" a="1"/>
  <c r="O1718" i="13" s="1"/>
  <c r="O1729" i="13" s="1" a="1"/>
  <c r="O1729" i="13" s="1"/>
  <c r="O1730" i="13" s="1"/>
  <c r="HY61" i="9" a="1"/>
  <c r="HY61" i="9" s="1"/>
  <c r="HS61" i="9" a="1"/>
  <c r="HS61" i="9" s="1"/>
  <c r="I1697" i="13" a="1"/>
  <c r="I1697" i="13" s="1"/>
  <c r="I1698" i="13" s="1"/>
  <c r="I1699" i="13" s="1"/>
  <c r="N1718" i="13" a="1"/>
  <c r="N1718" i="13" s="1"/>
  <c r="N1731" i="13" s="1" a="1"/>
  <c r="N1731" i="13" s="1"/>
  <c r="N1732" i="13" s="1"/>
  <c r="HF61" i="9" a="1"/>
  <c r="HF61" i="9" s="1"/>
  <c r="GZ61" i="9" a="1"/>
  <c r="GZ61" i="9" s="1"/>
  <c r="N1684" i="13" a="1"/>
  <c r="N1684" i="13" s="1"/>
  <c r="N1695" i="13" s="1" a="1"/>
  <c r="N1695" i="13" s="1"/>
  <c r="N1696" i="13" s="1"/>
  <c r="HF60" i="9" a="1"/>
  <c r="HF60" i="9" s="1"/>
  <c r="GZ60" i="9" a="1"/>
  <c r="GZ60" i="9" s="1"/>
  <c r="O72" i="27" s="1" a="1"/>
  <c r="O72" i="27" s="1"/>
  <c r="HA59" i="9" a="1"/>
  <c r="HA59" i="9" s="1"/>
  <c r="M1600" i="13"/>
  <c r="M1598" i="13"/>
  <c r="FO59" i="9" a="1"/>
  <c r="FO59" i="9" s="1"/>
  <c r="GH59" i="9" a="1"/>
  <c r="GH59" i="9" s="1"/>
  <c r="L1684" i="13" a="1"/>
  <c r="L1684" i="13" s="1"/>
  <c r="L1697" i="13" s="1" a="1"/>
  <c r="L1697" i="13" s="1"/>
  <c r="L1698" i="13" s="1"/>
  <c r="FT60" i="9" a="1"/>
  <c r="FT60" i="9" s="1"/>
  <c r="FN60" i="9" a="1"/>
  <c r="FN60" i="9" s="1"/>
  <c r="M72" i="27" s="1" a="1"/>
  <c r="M72" i="27" s="1"/>
  <c r="EV59" i="9" a="1"/>
  <c r="EV59" i="9" s="1"/>
  <c r="J1661" i="13" a="1"/>
  <c r="J1661" i="13" s="1"/>
  <c r="J1662" i="13" s="1"/>
  <c r="J1665" i="13" s="1"/>
  <c r="G1663" i="13" a="1"/>
  <c r="G1663" i="13" s="1"/>
  <c r="G1664" i="13" s="1"/>
  <c r="G1665" i="13" s="1"/>
  <c r="FO58" i="9" a="1"/>
  <c r="FO58" i="9" s="1"/>
  <c r="AL59" i="9" a="1"/>
  <c r="AL59" i="9" s="1"/>
  <c r="K1718" i="13" a="1"/>
  <c r="K1718" i="13" s="1"/>
  <c r="K1729" i="13" s="1" a="1"/>
  <c r="K1729" i="13" s="1"/>
  <c r="K1730" i="13" s="1"/>
  <c r="FA61" i="9" a="1"/>
  <c r="FA61" i="9" s="1"/>
  <c r="EU61" i="9" a="1"/>
  <c r="EU61" i="9" s="1"/>
  <c r="AL58" i="9" a="1"/>
  <c r="AL58" i="9" s="1"/>
  <c r="K1684" i="13" a="1"/>
  <c r="K1684" i="13" s="1"/>
  <c r="K1695" i="13" s="1" a="1"/>
  <c r="K1695" i="13" s="1"/>
  <c r="K1696" i="13" s="1"/>
  <c r="FA60" i="9" a="1"/>
  <c r="FA60" i="9" s="1"/>
  <c r="EU60" i="9" a="1"/>
  <c r="EU60" i="9" s="1"/>
  <c r="L72" i="27" s="1" a="1"/>
  <c r="L72" i="27" s="1"/>
  <c r="EV58" i="9" a="1"/>
  <c r="EV58" i="9" s="1"/>
  <c r="K71" i="27" a="1"/>
  <c r="K71" i="27" s="1"/>
  <c r="J1684" i="13" a="1"/>
  <c r="J1684" i="13" s="1"/>
  <c r="J1695" i="13" s="1" a="1"/>
  <c r="J1695" i="13" s="1"/>
  <c r="J1696" i="13" s="1"/>
  <c r="EB60" i="9" a="1"/>
  <c r="EB60" i="9" s="1"/>
  <c r="K72" i="27" s="1" a="1"/>
  <c r="K72" i="27" s="1"/>
  <c r="EH60" i="9" a="1"/>
  <c r="EH60" i="9" s="1"/>
  <c r="DJ59" i="9" a="1"/>
  <c r="DJ59" i="9" s="1"/>
  <c r="J1718" i="13" a="1"/>
  <c r="J1718" i="13" s="1"/>
  <c r="J1729" i="13" s="1" a="1"/>
  <c r="J1729" i="13" s="1"/>
  <c r="J1730" i="13" s="1"/>
  <c r="EH61" i="9" a="1"/>
  <c r="EH61" i="9" s="1"/>
  <c r="EB61" i="9" a="1"/>
  <c r="EB61" i="9" s="1"/>
  <c r="I1718" i="13" a="1"/>
  <c r="I1718" i="13" s="1"/>
  <c r="I1731" i="13" s="1" a="1"/>
  <c r="I1731" i="13" s="1"/>
  <c r="I1732" i="13" s="1"/>
  <c r="DO61" i="9" a="1"/>
  <c r="DO61" i="9" s="1"/>
  <c r="DI61" i="9" a="1"/>
  <c r="DI61" i="9" s="1"/>
  <c r="CQ59" i="9" a="1"/>
  <c r="CQ59" i="9" s="1"/>
  <c r="H1684" i="13" a="1"/>
  <c r="H1684" i="13" s="1"/>
  <c r="H1697" i="13" s="1" a="1"/>
  <c r="H1697" i="13" s="1"/>
  <c r="H1698" i="13" s="1"/>
  <c r="CV60" i="9" a="1"/>
  <c r="CV60" i="9" s="1"/>
  <c r="CP60" i="9" a="1"/>
  <c r="CP60" i="9" s="1"/>
  <c r="I72" i="27" s="1" a="1"/>
  <c r="I72" i="27" s="1"/>
  <c r="H1718" i="13" a="1"/>
  <c r="H1718" i="13" s="1"/>
  <c r="H1729" i="13" s="1" a="1"/>
  <c r="H1729" i="13" s="1"/>
  <c r="H1730" i="13" s="1"/>
  <c r="CV61" i="9" a="1"/>
  <c r="CV61" i="9" s="1"/>
  <c r="CP61" i="9" a="1"/>
  <c r="CP61" i="9" s="1"/>
  <c r="G1684" i="13" a="1"/>
  <c r="G1684" i="13" s="1"/>
  <c r="G1695" i="13" s="1" a="1"/>
  <c r="G1695" i="13" s="1"/>
  <c r="G1696" i="13" s="1"/>
  <c r="CC60" i="9" a="1"/>
  <c r="CC60" i="9" s="1"/>
  <c r="BW60" i="9" a="1"/>
  <c r="BW60" i="9" s="1"/>
  <c r="H72" i="27" s="1" a="1"/>
  <c r="H72" i="27" s="1"/>
  <c r="H71" i="27" a="1"/>
  <c r="H71" i="27" s="1"/>
  <c r="G1718" i="13" a="1"/>
  <c r="G1718" i="13" s="1"/>
  <c r="G1729" i="13" s="1" a="1"/>
  <c r="G1729" i="13" s="1"/>
  <c r="G1730" i="13" s="1"/>
  <c r="CC61" i="9" a="1"/>
  <c r="CC61" i="9" s="1"/>
  <c r="BW61" i="9" a="1"/>
  <c r="BW61" i="9" s="1"/>
  <c r="F1684" i="13" a="1"/>
  <c r="F1684" i="13" s="1"/>
  <c r="F1697" i="13" s="1" a="1"/>
  <c r="F1697" i="13" s="1"/>
  <c r="F1698" i="13" s="1"/>
  <c r="BJ60" i="9" a="1"/>
  <c r="BJ60" i="9" s="1"/>
  <c r="BD60" i="9" a="1"/>
  <c r="BD60" i="9" s="1"/>
  <c r="G72" i="27" s="1" a="1"/>
  <c r="G72" i="27" s="1"/>
  <c r="N1692" i="13" a="1"/>
  <c r="N1692" i="13" s="1"/>
  <c r="N1693" i="13" s="1"/>
  <c r="N1694" i="13" s="1"/>
  <c r="E1718" i="13" a="1"/>
  <c r="E1718" i="13" s="1"/>
  <c r="E1729" i="13" s="1" a="1"/>
  <c r="E1729" i="13" s="1"/>
  <c r="E1730" i="13" s="1"/>
  <c r="AK61" i="9" a="1"/>
  <c r="AK61" i="9" s="1"/>
  <c r="AQ61" i="9" a="1"/>
  <c r="AQ61" i="9" s="1"/>
  <c r="F71" i="27" a="1"/>
  <c r="F71" i="27" s="1"/>
  <c r="E1598" i="13"/>
  <c r="E1600" i="13"/>
  <c r="D1684" i="13" a="1"/>
  <c r="D1684" i="13" s="1"/>
  <c r="D1697" i="13" s="1" a="1"/>
  <c r="D1697" i="13" s="1"/>
  <c r="D1698" i="13" s="1"/>
  <c r="R60" i="9" a="1"/>
  <c r="R60" i="9" s="1"/>
  <c r="E72" i="27" s="1" a="1"/>
  <c r="E72" i="27" s="1"/>
  <c r="S58" i="9" a="1"/>
  <c r="S58" i="9" s="1"/>
  <c r="U58" i="9" s="1"/>
  <c r="F1694" i="13"/>
  <c r="IN53" i="9"/>
  <c r="IO53" i="9" s="1"/>
  <c r="H1666" i="13"/>
  <c r="O1692" i="13" a="1"/>
  <c r="O1692" i="13" s="1"/>
  <c r="O1693" i="13" s="1"/>
  <c r="O1694" i="13" s="1"/>
  <c r="O1685" i="13" a="1"/>
  <c r="O1685" i="13" s="1"/>
  <c r="O1686" i="13" s="1"/>
  <c r="O1689" i="13" s="1"/>
  <c r="G728" i="10" a="1"/>
  <c r="G728" i="10" s="1"/>
  <c r="G731" i="10" s="1"/>
  <c r="D728" i="10" a="1"/>
  <c r="D728" i="10" s="1"/>
  <c r="D729" i="10" s="1"/>
  <c r="I1666" i="13"/>
  <c r="E1694" i="13"/>
  <c r="D1655" i="13"/>
  <c r="M728" i="10" a="1"/>
  <c r="M728" i="10" s="1"/>
  <c r="M730" i="10" s="1"/>
  <c r="M1751" i="13" s="1" a="1"/>
  <c r="M1751" i="13" s="1"/>
  <c r="N728" i="10" a="1"/>
  <c r="N728" i="10" s="1"/>
  <c r="N731" i="10" s="1"/>
  <c r="F731" i="10"/>
  <c r="F729" i="10"/>
  <c r="F1750" i="13" s="1" a="1"/>
  <c r="F1750" i="13" s="1"/>
  <c r="F730" i="10"/>
  <c r="F1751" i="13" s="1" a="1"/>
  <c r="F1751" i="13" s="1"/>
  <c r="E729" i="10"/>
  <c r="E1750" i="13" s="1" a="1"/>
  <c r="E1750" i="13" s="1"/>
  <c r="E730" i="10"/>
  <c r="E1751" i="13" s="1" a="1"/>
  <c r="E1751" i="13" s="1"/>
  <c r="E731" i="10"/>
  <c r="O731" i="10"/>
  <c r="O729" i="10"/>
  <c r="O1750" i="13" s="1" a="1"/>
  <c r="O1750" i="13" s="1"/>
  <c r="O730" i="10"/>
  <c r="O1751" i="13" s="1" a="1"/>
  <c r="O1751" i="13" s="1"/>
  <c r="L731" i="10"/>
  <c r="L729" i="10"/>
  <c r="L1750" i="13" s="1" a="1"/>
  <c r="L1750" i="13" s="1"/>
  <c r="L730" i="10"/>
  <c r="L1751" i="13" s="1" a="1"/>
  <c r="L1751" i="13" s="1"/>
  <c r="K731" i="10"/>
  <c r="K730" i="10"/>
  <c r="K1751" i="13" s="1" a="1"/>
  <c r="K1751" i="13" s="1"/>
  <c r="K729" i="10"/>
  <c r="K1750" i="13" s="1" a="1"/>
  <c r="K1750" i="13" s="1"/>
  <c r="J1692" i="13" a="1"/>
  <c r="J1692" i="13" s="1"/>
  <c r="J1693" i="13" s="1"/>
  <c r="J1690" i="13" a="1"/>
  <c r="J1690" i="13" s="1"/>
  <c r="J1691" i="13" s="1"/>
  <c r="P703" i="10"/>
  <c r="G1724" i="13" a="1"/>
  <c r="G1724" i="13" s="1"/>
  <c r="G1725" i="13" s="1"/>
  <c r="G1726" i="13" a="1"/>
  <c r="G1726" i="13" s="1"/>
  <c r="G1727" i="13" s="1"/>
  <c r="L1724" i="13" a="1"/>
  <c r="L1724" i="13" s="1"/>
  <c r="L1725" i="13" s="1"/>
  <c r="L1726" i="13" a="1"/>
  <c r="L1726" i="13" s="1"/>
  <c r="L1727" i="13" s="1"/>
  <c r="E1726" i="13" a="1"/>
  <c r="E1726" i="13" s="1"/>
  <c r="E1727" i="13" s="1"/>
  <c r="E1724" i="13" a="1"/>
  <c r="E1724" i="13" s="1"/>
  <c r="E1725" i="13" s="1"/>
  <c r="I1689" i="13"/>
  <c r="G1690" i="13" a="1"/>
  <c r="G1690" i="13" s="1"/>
  <c r="G1691" i="13" s="1"/>
  <c r="G1692" i="13" a="1"/>
  <c r="G1692" i="13" s="1"/>
  <c r="G1693" i="13" s="1"/>
  <c r="H1685" i="13" a="1"/>
  <c r="H1685" i="13" s="1"/>
  <c r="H1686" i="13" s="1"/>
  <c r="H1687" i="13" a="1"/>
  <c r="H1687" i="13" s="1"/>
  <c r="H1688" i="13" s="1"/>
  <c r="J1687" i="13" a="1"/>
  <c r="J1687" i="13" s="1"/>
  <c r="J1688" i="13" s="1"/>
  <c r="J1685" i="13" a="1"/>
  <c r="J1685" i="13" s="1"/>
  <c r="J1686" i="13" s="1"/>
  <c r="D1683" i="13" a="1"/>
  <c r="D1683" i="13" s="1"/>
  <c r="P702" i="10"/>
  <c r="F717" i="10"/>
  <c r="F715" i="10"/>
  <c r="F1716" i="13" s="1" a="1"/>
  <c r="F1716" i="13" s="1"/>
  <c r="F716" i="10"/>
  <c r="F1717" i="13" s="1" a="1"/>
  <c r="F1717" i="13" s="1"/>
  <c r="G1719" i="13" a="1"/>
  <c r="G1719" i="13" s="1"/>
  <c r="G1720" i="13" s="1"/>
  <c r="G1721" i="13" a="1"/>
  <c r="G1721" i="13" s="1"/>
  <c r="G1722" i="13" s="1"/>
  <c r="M1719" i="13" a="1"/>
  <c r="M1719" i="13" s="1"/>
  <c r="M1720" i="13" s="1"/>
  <c r="M1721" i="13" a="1"/>
  <c r="M1721" i="13" s="1"/>
  <c r="M1722" i="13" s="1"/>
  <c r="E1719" i="13" a="1"/>
  <c r="E1719" i="13" s="1"/>
  <c r="E1720" i="13" s="1"/>
  <c r="E1721" i="13" a="1"/>
  <c r="E1721" i="13" s="1"/>
  <c r="E1722" i="13" s="1"/>
  <c r="I1694" i="13"/>
  <c r="K1694" i="13"/>
  <c r="G1685" i="13" a="1"/>
  <c r="G1685" i="13" s="1"/>
  <c r="G1686" i="13" s="1"/>
  <c r="G1687" i="13" a="1"/>
  <c r="G1687" i="13" s="1"/>
  <c r="G1688" i="13" s="1"/>
  <c r="N1726" i="13" a="1"/>
  <c r="N1726" i="13" s="1"/>
  <c r="N1727" i="13" s="1"/>
  <c r="N1724" i="13" a="1"/>
  <c r="N1724" i="13" s="1"/>
  <c r="N1725" i="13" s="1"/>
  <c r="L1668" i="13"/>
  <c r="F1689" i="13"/>
  <c r="H1692" i="13" a="1"/>
  <c r="H1692" i="13" s="1"/>
  <c r="H1693" i="13" s="1"/>
  <c r="H1690" i="13" a="1"/>
  <c r="H1690" i="13" s="1"/>
  <c r="H1691" i="13" s="1"/>
  <c r="M1690" i="13" a="1"/>
  <c r="M1690" i="13" s="1"/>
  <c r="M1691" i="13" s="1"/>
  <c r="M1692" i="13" a="1"/>
  <c r="M1692" i="13" s="1"/>
  <c r="M1693" i="13" s="1"/>
  <c r="I1724" i="13" a="1"/>
  <c r="I1724" i="13" s="1"/>
  <c r="I1725" i="13" s="1"/>
  <c r="I1726" i="13" a="1"/>
  <c r="I1726" i="13" s="1"/>
  <c r="I1727" i="13" s="1"/>
  <c r="H1726" i="13" a="1"/>
  <c r="H1726" i="13" s="1"/>
  <c r="H1727" i="13" s="1"/>
  <c r="H1724" i="13" a="1"/>
  <c r="H1724" i="13" s="1"/>
  <c r="H1725" i="13" s="1"/>
  <c r="M1726" i="13" a="1"/>
  <c r="M1726" i="13" s="1"/>
  <c r="M1727" i="13" s="1"/>
  <c r="M1724" i="13" a="1"/>
  <c r="M1724" i="13" s="1"/>
  <c r="M1725" i="13" s="1"/>
  <c r="N1721" i="13" a="1"/>
  <c r="N1721" i="13" s="1"/>
  <c r="N1722" i="13" s="1"/>
  <c r="N1719" i="13" a="1"/>
  <c r="N1719" i="13" s="1"/>
  <c r="N1720" i="13" s="1"/>
  <c r="I728" i="10" a="1"/>
  <c r="I728" i="10" s="1"/>
  <c r="P728" i="10" a="1"/>
  <c r="P728" i="10" s="1"/>
  <c r="D716" i="10"/>
  <c r="D717" i="10"/>
  <c r="D715" i="10"/>
  <c r="M1685" i="13" a="1"/>
  <c r="M1685" i="13" s="1"/>
  <c r="M1686" i="13" s="1"/>
  <c r="M1687" i="13" a="1"/>
  <c r="M1687" i="13" s="1"/>
  <c r="M1688" i="13" s="1"/>
  <c r="I1721" i="13" a="1"/>
  <c r="I1721" i="13" s="1"/>
  <c r="I1722" i="13" s="1"/>
  <c r="I1719" i="13" a="1"/>
  <c r="I1719" i="13" s="1"/>
  <c r="I1720" i="13" s="1"/>
  <c r="H1719" i="13" a="1"/>
  <c r="H1719" i="13" s="1"/>
  <c r="H1720" i="13" s="1"/>
  <c r="H1721" i="13" a="1"/>
  <c r="H1721" i="13" s="1"/>
  <c r="H1722" i="13" s="1"/>
  <c r="J728" i="10" a="1"/>
  <c r="J728" i="10" s="1"/>
  <c r="L1687" i="13" a="1"/>
  <c r="L1687" i="13" s="1"/>
  <c r="L1688" i="13" s="1"/>
  <c r="L1685" i="13" a="1"/>
  <c r="L1685" i="13" s="1"/>
  <c r="L1686" i="13" s="1"/>
  <c r="E1689" i="13"/>
  <c r="J1724" i="13" a="1"/>
  <c r="J1724" i="13" s="1"/>
  <c r="J1725" i="13" s="1"/>
  <c r="J1726" i="13" a="1"/>
  <c r="J1726" i="13" s="1"/>
  <c r="J1727" i="13" s="1"/>
  <c r="K1721" i="13" a="1"/>
  <c r="K1721" i="13" s="1"/>
  <c r="K1722" i="13" s="1"/>
  <c r="K1719" i="13" a="1"/>
  <c r="K1719" i="13" s="1"/>
  <c r="K1720" i="13" s="1"/>
  <c r="H728" i="10" a="1"/>
  <c r="H728" i="10" s="1"/>
  <c r="O1724" i="13" a="1"/>
  <c r="O1724" i="13" s="1"/>
  <c r="O1725" i="13" s="1"/>
  <c r="O1726" i="13" a="1"/>
  <c r="O1726" i="13" s="1"/>
  <c r="O1727" i="13" s="1"/>
  <c r="L1721" i="13" a="1"/>
  <c r="L1721" i="13" s="1"/>
  <c r="L1722" i="13" s="1"/>
  <c r="L1719" i="13" a="1"/>
  <c r="L1719" i="13" s="1"/>
  <c r="L1720" i="13" s="1"/>
  <c r="J1721" i="13" a="1"/>
  <c r="J1721" i="13" s="1"/>
  <c r="J1722" i="13" s="1"/>
  <c r="J1719" i="13" a="1"/>
  <c r="J1719" i="13" s="1"/>
  <c r="J1720" i="13" s="1"/>
  <c r="L1690" i="13" a="1"/>
  <c r="L1690" i="13" s="1"/>
  <c r="L1691" i="13" s="1"/>
  <c r="L1692" i="13" a="1"/>
  <c r="L1692" i="13" s="1"/>
  <c r="L1693" i="13" s="1"/>
  <c r="D1682" i="13" a="1"/>
  <c r="D1682" i="13" s="1"/>
  <c r="P701" i="10"/>
  <c r="D1660" i="13"/>
  <c r="O1721" i="13" a="1"/>
  <c r="O1721" i="13" s="1"/>
  <c r="O1722" i="13" s="1"/>
  <c r="O1719" i="13" a="1"/>
  <c r="O1719" i="13" s="1"/>
  <c r="O1720" i="13" s="1"/>
  <c r="K1726" i="13" a="1"/>
  <c r="K1726" i="13" s="1"/>
  <c r="K1727" i="13" s="1"/>
  <c r="K1724" i="13" a="1"/>
  <c r="K1724" i="13" s="1"/>
  <c r="K1725" i="13" s="1"/>
  <c r="N1632" i="13"/>
  <c r="F1666" i="13"/>
  <c r="D1666" i="13"/>
  <c r="D1670" i="13" s="1"/>
  <c r="N1666" i="13"/>
  <c r="O1632" i="13"/>
  <c r="M1666" i="13"/>
  <c r="L1634" i="13"/>
  <c r="K1666" i="13"/>
  <c r="K1632" i="13"/>
  <c r="E1632" i="13"/>
  <c r="L718" i="10"/>
  <c r="IL54" i="9"/>
  <c r="IM54" i="9" s="1"/>
  <c r="CD57" i="9"/>
  <c r="CL57" i="9" s="1"/>
  <c r="EI57" i="9"/>
  <c r="EQ57" i="9" s="1"/>
  <c r="IJ54" i="9"/>
  <c r="IK54" i="9" s="1"/>
  <c r="CX56" i="9" a="1"/>
  <c r="CX56" i="9" s="1"/>
  <c r="DF56" i="9" s="1"/>
  <c r="J69" i="24" s="1" a="1"/>
  <c r="J69" i="24" s="1"/>
  <c r="EJ56" i="9" a="1"/>
  <c r="EJ56" i="9" s="1"/>
  <c r="ER56" i="9" s="1"/>
  <c r="L69" i="24" s="1" a="1"/>
  <c r="L69" i="24" s="1"/>
  <c r="IN54" i="9"/>
  <c r="IO54" i="9" s="1"/>
  <c r="U57" i="9"/>
  <c r="AS56" i="9" a="1"/>
  <c r="AS56" i="9" s="1"/>
  <c r="BA56" i="9" s="1"/>
  <c r="G69" i="24" s="1" a="1"/>
  <c r="G69" i="24" s="1"/>
  <c r="CE56" i="9" a="1"/>
  <c r="CE56" i="9" s="1"/>
  <c r="CM56" i="9" s="1"/>
  <c r="I69" i="24" s="1" a="1"/>
  <c r="I69" i="24" s="1"/>
  <c r="GO56" i="9" a="1"/>
  <c r="GO56" i="9" s="1"/>
  <c r="GW56" i="9" s="1"/>
  <c r="O69" i="24" s="1" a="1"/>
  <c r="O69" i="24" s="1"/>
  <c r="FV56" i="9" a="1"/>
  <c r="FV56" i="9" s="1"/>
  <c r="GD56" i="9" s="1"/>
  <c r="N69" i="24" s="1" a="1"/>
  <c r="N69" i="24" s="1"/>
  <c r="IJ53" i="9"/>
  <c r="IK53" i="9" s="1"/>
  <c r="HH56" i="9" a="1"/>
  <c r="HH56" i="9" s="1"/>
  <c r="HP56" i="9" s="1"/>
  <c r="P69" i="24" s="1" a="1"/>
  <c r="P69" i="24" s="1"/>
  <c r="DQ56" i="9" a="1"/>
  <c r="DQ56" i="9" s="1"/>
  <c r="DY56" i="9" s="1"/>
  <c r="K69" i="24" s="1" a="1"/>
  <c r="K69" i="24" s="1"/>
  <c r="Z55" i="9" a="1"/>
  <c r="Z55" i="9" s="1"/>
  <c r="AH55" i="9" s="1"/>
  <c r="F68" i="24" s="1" a="1"/>
  <c r="F68" i="24" s="1"/>
  <c r="CW57" i="9"/>
  <c r="DE57" i="9" s="1"/>
  <c r="HZ56" i="9"/>
  <c r="IH56" i="9" s="1"/>
  <c r="FB56" i="9"/>
  <c r="FJ56" i="9" s="1"/>
  <c r="HZ55" i="9"/>
  <c r="IH55" i="9" s="1"/>
  <c r="IL55" i="9" s="1"/>
  <c r="IM55" i="9" s="1"/>
  <c r="W56" i="9" a="1"/>
  <c r="W56" i="9" s="1"/>
  <c r="Y56" i="9" s="1"/>
  <c r="AG56" i="9" s="1"/>
  <c r="FB57" i="9"/>
  <c r="FJ57" i="9" s="1"/>
  <c r="FU57" i="9"/>
  <c r="GC57" i="9" s="1"/>
  <c r="L726" i="10"/>
  <c r="FM62" i="9" s="1" a="1"/>
  <c r="FM62" i="9" s="1"/>
  <c r="O726" i="10"/>
  <c r="HR62" i="9" s="1" a="1"/>
  <c r="HR62" i="9" s="1"/>
  <c r="N72" i="27" a="1"/>
  <c r="N72" i="27" s="1"/>
  <c r="J72" i="27" a="1"/>
  <c r="J72" i="27" s="1"/>
  <c r="F72" i="27" a="1"/>
  <c r="F72" i="27" s="1"/>
  <c r="M718" i="10"/>
  <c r="O732" i="10"/>
  <c r="K732" i="10"/>
  <c r="L732" i="10"/>
  <c r="F732" i="10"/>
  <c r="E732" i="10"/>
  <c r="D726" i="10"/>
  <c r="Q62" i="9" s="1" a="1"/>
  <c r="Q62" i="9" s="1"/>
  <c r="D738" i="10"/>
  <c r="J738" i="10"/>
  <c r="B775" i="10" a="1"/>
  <c r="B775" i="10" s="1"/>
  <c r="A775" i="10" a="1"/>
  <c r="A775" i="10" s="1"/>
  <c r="B762" i="10"/>
  <c r="O761" i="10"/>
  <c r="N761" i="10"/>
  <c r="H761" i="10"/>
  <c r="F761" i="10"/>
  <c r="I761" i="10"/>
  <c r="E761" i="10"/>
  <c r="L761" i="10"/>
  <c r="D761" i="10"/>
  <c r="J761" i="10"/>
  <c r="M761" i="10"/>
  <c r="P761" i="10"/>
  <c r="K761" i="10"/>
  <c r="G761" i="10"/>
  <c r="L738" i="10"/>
  <c r="M726" i="10"/>
  <c r="GF62" i="9" s="1" a="1"/>
  <c r="GF62" i="9" s="1"/>
  <c r="E738" i="10"/>
  <c r="F738" i="10"/>
  <c r="P741" i="10"/>
  <c r="I726" i="10"/>
  <c r="DH62" i="9" s="1" a="1"/>
  <c r="DH62" i="9" s="1"/>
  <c r="I738" i="10"/>
  <c r="M738" i="10"/>
  <c r="K726" i="10"/>
  <c r="ET62" i="9" s="1" a="1"/>
  <c r="ET62" i="9" s="1"/>
  <c r="F741" i="10"/>
  <c r="D718" i="10"/>
  <c r="X61" i="9" s="1" a="1"/>
  <c r="X61" i="9" s="1"/>
  <c r="P748" i="10"/>
  <c r="P752" i="10" s="1"/>
  <c r="F748" i="10"/>
  <c r="F755" i="10" s="1"/>
  <c r="O748" i="10"/>
  <c r="O755" i="10" s="1"/>
  <c r="M748" i="10"/>
  <c r="N748" i="10"/>
  <c r="N755" i="10" s="1"/>
  <c r="E748" i="10"/>
  <c r="E755" i="10" s="1"/>
  <c r="J748" i="10"/>
  <c r="K748" i="10"/>
  <c r="K755" i="10" s="1"/>
  <c r="L748" i="10"/>
  <c r="L755" i="10" s="1"/>
  <c r="D748" i="10"/>
  <c r="D755" i="10" s="1"/>
  <c r="B752" i="10"/>
  <c r="B753" i="10" s="1"/>
  <c r="B749" i="10"/>
  <c r="B750" i="10" s="1"/>
  <c r="B751" i="10" s="1"/>
  <c r="H748" i="10"/>
  <c r="I748" i="10"/>
  <c r="G748" i="10"/>
  <c r="G755" i="10" s="1"/>
  <c r="G738" i="10"/>
  <c r="N738" i="10"/>
  <c r="P704" i="10"/>
  <c r="O738" i="10"/>
  <c r="H726" i="10"/>
  <c r="CO62" i="9" s="1" a="1"/>
  <c r="CO62" i="9" s="1"/>
  <c r="J726" i="10"/>
  <c r="EA62" i="9" s="1" a="1"/>
  <c r="EA62" i="9" s="1"/>
  <c r="F726" i="10"/>
  <c r="BC62" i="9" s="1" a="1"/>
  <c r="BC62" i="9" s="1"/>
  <c r="N739" i="10"/>
  <c r="N742" i="10" s="1" a="1"/>
  <c r="N742" i="10" s="1"/>
  <c r="M739" i="10"/>
  <c r="M742" i="10" s="1" a="1"/>
  <c r="M742" i="10" s="1"/>
  <c r="L739" i="10"/>
  <c r="J739" i="10"/>
  <c r="J742" i="10" s="1" a="1"/>
  <c r="J742" i="10" s="1"/>
  <c r="D739" i="10"/>
  <c r="D742" i="10" s="1" a="1"/>
  <c r="D742" i="10" s="1"/>
  <c r="G739" i="10"/>
  <c r="K739" i="10"/>
  <c r="K742" i="10" s="1" a="1"/>
  <c r="K742" i="10" s="1"/>
  <c r="E739" i="10"/>
  <c r="E742" i="10" s="1" a="1"/>
  <c r="E742" i="10" s="1"/>
  <c r="B740" i="10"/>
  <c r="B741" i="10" s="1"/>
  <c r="B742" i="10" s="1"/>
  <c r="B743" i="10" s="1"/>
  <c r="B744" i="10" s="1"/>
  <c r="B745" i="10" s="1"/>
  <c r="B746" i="10" s="1"/>
  <c r="P739" i="10"/>
  <c r="P740" i="10" s="1"/>
  <c r="I739" i="10"/>
  <c r="I742" i="10" s="1" a="1"/>
  <c r="I742" i="10" s="1"/>
  <c r="H739" i="10"/>
  <c r="H742" i="10" s="1" a="1"/>
  <c r="H742" i="10" s="1"/>
  <c r="O739" i="10"/>
  <c r="O742" i="10" s="1" a="1"/>
  <c r="O742" i="10" s="1"/>
  <c r="F739" i="10"/>
  <c r="H738" i="10"/>
  <c r="F718" i="10"/>
  <c r="N726" i="10"/>
  <c r="GY62" i="9" s="1" a="1"/>
  <c r="GY62" i="9" s="1"/>
  <c r="G741" i="10"/>
  <c r="L741" i="10"/>
  <c r="K738" i="10"/>
  <c r="E726" i="10"/>
  <c r="AJ62" i="9" s="1" a="1"/>
  <c r="AJ62" i="9" s="1"/>
  <c r="G726" i="10"/>
  <c r="BV62" i="9" s="1" a="1"/>
  <c r="BV62" i="9" s="1"/>
  <c r="K1670" i="13" l="1"/>
  <c r="EZ59" i="9" s="1" a="1"/>
  <c r="EZ59" i="9" s="1"/>
  <c r="N1670" i="13"/>
  <c r="HE59" i="9" s="1" a="1"/>
  <c r="HE59" i="9" s="1"/>
  <c r="R817" i="10"/>
  <c r="P812" i="10" a="1"/>
  <c r="P812" i="10" s="1"/>
  <c r="B803" i="10" a="1"/>
  <c r="B803" i="10" s="1"/>
  <c r="A803" i="10" a="1"/>
  <c r="A803" i="10" s="1"/>
  <c r="K789" i="10"/>
  <c r="N789" i="10"/>
  <c r="J789" i="10"/>
  <c r="F789" i="10"/>
  <c r="G789" i="10"/>
  <c r="I789" i="10"/>
  <c r="M789" i="10"/>
  <c r="D789" i="10"/>
  <c r="B790" i="10"/>
  <c r="E789" i="10"/>
  <c r="L789" i="10"/>
  <c r="P789" i="10"/>
  <c r="H789" i="10"/>
  <c r="O789" i="10"/>
  <c r="L1636" i="13"/>
  <c r="FS58" i="9" s="1" a="1"/>
  <c r="FS58" i="9" s="1"/>
  <c r="FU58" i="9" s="1"/>
  <c r="GC58" i="9" s="1"/>
  <c r="L1670" i="13"/>
  <c r="FS59" i="9" s="1" a="1"/>
  <c r="FS59" i="9" s="1"/>
  <c r="FQ59" i="9"/>
  <c r="I1670" i="13"/>
  <c r="DN59" i="9" s="1" a="1"/>
  <c r="DN59" i="9" s="1"/>
  <c r="DP59" i="9" s="1"/>
  <c r="DX59" i="9" s="1"/>
  <c r="F1670" i="13"/>
  <c r="BI59" i="9" s="1" a="1"/>
  <c r="BI59" i="9" s="1"/>
  <c r="BK59" i="9" s="1"/>
  <c r="BS59" i="9" s="1"/>
  <c r="DL59" i="9"/>
  <c r="K1636" i="13"/>
  <c r="EZ58" i="9" s="1" a="1"/>
  <c r="EZ58" i="9" s="1"/>
  <c r="FB58" i="9" s="1"/>
  <c r="FJ58" i="9" s="1"/>
  <c r="N1636" i="13"/>
  <c r="HE58" i="9" s="1" a="1"/>
  <c r="HE58" i="9" s="1"/>
  <c r="HG58" i="9" s="1"/>
  <c r="HO58" i="9" s="1"/>
  <c r="H1670" i="13"/>
  <c r="CU59" i="9" s="1" a="1"/>
  <c r="CU59" i="9" s="1"/>
  <c r="O1636" i="13"/>
  <c r="HX58" i="9" s="1" a="1"/>
  <c r="HX58" i="9" s="1"/>
  <c r="HH57" i="9" a="1"/>
  <c r="HH57" i="9" s="1"/>
  <c r="CS59" i="9"/>
  <c r="BG59" i="9"/>
  <c r="M1670" i="13"/>
  <c r="GL59" i="9" s="1" a="1"/>
  <c r="GL59" i="9" s="1"/>
  <c r="EX58" i="9"/>
  <c r="FQ58" i="9"/>
  <c r="GJ59" i="9"/>
  <c r="Q69" i="25"/>
  <c r="I1700" i="13"/>
  <c r="DK60" i="9" a="1"/>
  <c r="DK60" i="9" s="1"/>
  <c r="AN58" i="9"/>
  <c r="E1700" i="13"/>
  <c r="AM60" i="9" a="1"/>
  <c r="AM60" i="9" s="1"/>
  <c r="M1700" i="13"/>
  <c r="GI60" i="9" a="1"/>
  <c r="GI60" i="9" s="1"/>
  <c r="AN59" i="9"/>
  <c r="G1668" i="13"/>
  <c r="BY59" i="9" a="1"/>
  <c r="BY59" i="9" s="1"/>
  <c r="BZ59" i="9" s="1"/>
  <c r="L71" i="25" a="1"/>
  <c r="L71" i="25" s="1"/>
  <c r="EY59" i="9"/>
  <c r="E1636" i="13"/>
  <c r="AP58" i="9" s="1" a="1"/>
  <c r="AP58" i="9" s="1"/>
  <c r="AR58" i="9" s="1"/>
  <c r="AZ58" i="9" s="1"/>
  <c r="J1666" i="13"/>
  <c r="ED59" i="9" a="1"/>
  <c r="ED59" i="9" s="1"/>
  <c r="O71" i="25" a="1"/>
  <c r="O71" i="25" s="1"/>
  <c r="HD59" i="9"/>
  <c r="EX59" i="9"/>
  <c r="HC59" i="9"/>
  <c r="I71" i="25" a="1"/>
  <c r="I71" i="25" s="1"/>
  <c r="CT59" i="9"/>
  <c r="N71" i="25" a="1"/>
  <c r="N71" i="25" s="1"/>
  <c r="GK59" i="9"/>
  <c r="O1666" i="13"/>
  <c r="HU59" i="9" a="1"/>
  <c r="HU59" i="9" s="1"/>
  <c r="HV59" i="9" s="1"/>
  <c r="F71" i="25" a="1"/>
  <c r="F71" i="25" s="1"/>
  <c r="AO59" i="9"/>
  <c r="J71" i="25" a="1"/>
  <c r="J71" i="25" s="1"/>
  <c r="DM59" i="9"/>
  <c r="M71" i="25" a="1"/>
  <c r="M71" i="25" s="1"/>
  <c r="FR59" i="9"/>
  <c r="G71" i="25" a="1"/>
  <c r="G71" i="25" s="1"/>
  <c r="BH59" i="9"/>
  <c r="P70" i="25" a="1"/>
  <c r="P70" i="25" s="1"/>
  <c r="HW58" i="9"/>
  <c r="O70" i="25" a="1"/>
  <c r="O70" i="25" s="1"/>
  <c r="HD58" i="9"/>
  <c r="L70" i="25" a="1"/>
  <c r="L70" i="25" s="1"/>
  <c r="EY58" i="9"/>
  <c r="F70" i="25" a="1"/>
  <c r="F70" i="25" s="1"/>
  <c r="AO58" i="9"/>
  <c r="M70" i="25" a="1"/>
  <c r="M70" i="25" s="1"/>
  <c r="FR58" i="9"/>
  <c r="K1731" i="13" a="1"/>
  <c r="K1731" i="13" s="1"/>
  <c r="K1732" i="13" s="1"/>
  <c r="K1733" i="13" s="1"/>
  <c r="N1697" i="13" a="1"/>
  <c r="N1697" i="13" s="1"/>
  <c r="N1698" i="13" s="1"/>
  <c r="N1699" i="13" s="1"/>
  <c r="H1731" i="13" a="1"/>
  <c r="H1731" i="13" s="1"/>
  <c r="H1732" i="13" s="1"/>
  <c r="H1733" i="13" s="1"/>
  <c r="L1695" i="13" a="1"/>
  <c r="L1695" i="13" s="1"/>
  <c r="L1696" i="13" s="1"/>
  <c r="L1699" i="13" s="1"/>
  <c r="I1729" i="13" a="1"/>
  <c r="I1729" i="13" s="1"/>
  <c r="I1730" i="13" s="1"/>
  <c r="I1733" i="13" s="1"/>
  <c r="J1697" i="13" a="1"/>
  <c r="J1697" i="13" s="1"/>
  <c r="J1698" i="13" s="1"/>
  <c r="J1699" i="13" s="1"/>
  <c r="G1731" i="13" a="1"/>
  <c r="G1731" i="13" s="1"/>
  <c r="G1732" i="13" s="1"/>
  <c r="G1733" i="13" s="1"/>
  <c r="O1731" i="13" a="1"/>
  <c r="O1731" i="13" s="1"/>
  <c r="O1732" i="13" s="1"/>
  <c r="O1733" i="13" s="1"/>
  <c r="E1731" i="13" a="1"/>
  <c r="E1731" i="13" s="1"/>
  <c r="E1732" i="13" s="1"/>
  <c r="E1733" i="13" s="1"/>
  <c r="G1697" i="13" a="1"/>
  <c r="G1697" i="13" s="1"/>
  <c r="G1698" i="13" s="1"/>
  <c r="G1699" i="13" s="1"/>
  <c r="F1695" i="13" a="1"/>
  <c r="F1695" i="13" s="1"/>
  <c r="F1696" i="13" s="1"/>
  <c r="F1699" i="13" s="1"/>
  <c r="N1729" i="13" a="1"/>
  <c r="N1729" i="13" s="1"/>
  <c r="N1730" i="13" s="1"/>
  <c r="N1733" i="13" s="1"/>
  <c r="H1695" i="13" a="1"/>
  <c r="H1695" i="13" s="1"/>
  <c r="H1696" i="13" s="1"/>
  <c r="H1699" i="13" s="1"/>
  <c r="D1695" i="13" a="1"/>
  <c r="D1695" i="13" s="1"/>
  <c r="D1696" i="13" s="1"/>
  <c r="D1699" i="13" s="1"/>
  <c r="O1697" i="13" a="1"/>
  <c r="O1697" i="13" s="1"/>
  <c r="O1698" i="13" s="1"/>
  <c r="O1699" i="13" s="1"/>
  <c r="HA60" i="9" a="1"/>
  <c r="HA60" i="9" s="1"/>
  <c r="K1697" i="13" a="1"/>
  <c r="K1697" i="13" s="1"/>
  <c r="K1698" i="13" s="1"/>
  <c r="K1699" i="13" s="1"/>
  <c r="J1731" i="13" a="1"/>
  <c r="J1731" i="13" s="1"/>
  <c r="J1732" i="13" s="1"/>
  <c r="J1733" i="13" s="1"/>
  <c r="DJ60" i="9" a="1"/>
  <c r="DJ60" i="9" s="1"/>
  <c r="M1602" i="13"/>
  <c r="GL57" i="9" s="1" a="1"/>
  <c r="GL57" i="9" s="1"/>
  <c r="GN57" i="9" s="1"/>
  <c r="GV57" i="9" s="1"/>
  <c r="O1752" i="13" a="1"/>
  <c r="O1752" i="13" s="1"/>
  <c r="O1763" i="13" s="1" a="1"/>
  <c r="O1763" i="13" s="1"/>
  <c r="O1764" i="13" s="1"/>
  <c r="HY62" i="9" a="1"/>
  <c r="HY62" i="9" s="1"/>
  <c r="HS62" i="9" a="1"/>
  <c r="HS62" i="9" s="1"/>
  <c r="HT60" i="9" a="1"/>
  <c r="HT60" i="9" s="1"/>
  <c r="M1718" i="13" a="1"/>
  <c r="M1718" i="13" s="1"/>
  <c r="M1729" i="13" s="1" a="1"/>
  <c r="M1729" i="13" s="1"/>
  <c r="M1730" i="13" s="1"/>
  <c r="GM61" i="9" a="1"/>
  <c r="GM61" i="9" s="1"/>
  <c r="GG61" i="9" a="1"/>
  <c r="GG61" i="9" s="1"/>
  <c r="N73" i="27" s="1" a="1"/>
  <c r="N73" i="27" s="1"/>
  <c r="L1752" i="13" a="1"/>
  <c r="L1752" i="13" s="1"/>
  <c r="L1763" i="13" s="1" a="1"/>
  <c r="L1763" i="13" s="1"/>
  <c r="L1764" i="13" s="1"/>
  <c r="FT62" i="9" a="1"/>
  <c r="FT62" i="9" s="1"/>
  <c r="FN62" i="9" a="1"/>
  <c r="FN62" i="9" s="1"/>
  <c r="L1718" i="13" a="1"/>
  <c r="L1718" i="13" s="1"/>
  <c r="L1731" i="13" s="1" a="1"/>
  <c r="L1731" i="13" s="1"/>
  <c r="L1732" i="13" s="1"/>
  <c r="FT61" i="9" a="1"/>
  <c r="FT61" i="9" s="1"/>
  <c r="FN61" i="9" a="1"/>
  <c r="FN61" i="9" s="1"/>
  <c r="M73" i="27" s="1" a="1"/>
  <c r="M73" i="27" s="1"/>
  <c r="K1752" i="13" a="1"/>
  <c r="K1752" i="13" s="1"/>
  <c r="K1765" i="13" s="1" a="1"/>
  <c r="K1765" i="13" s="1"/>
  <c r="K1766" i="13" s="1"/>
  <c r="FA62" i="9" a="1"/>
  <c r="FA62" i="9" s="1"/>
  <c r="EU62" i="9" a="1"/>
  <c r="EU62" i="9" s="1"/>
  <c r="EV60" i="9" a="1"/>
  <c r="EV60" i="9" s="1"/>
  <c r="BE60" i="9" a="1"/>
  <c r="BE60" i="9" s="1"/>
  <c r="E1602" i="13"/>
  <c r="AP57" i="9" s="1" a="1"/>
  <c r="AP57" i="9" s="1"/>
  <c r="AR57" i="9" s="1"/>
  <c r="AZ57" i="9" s="1"/>
  <c r="F1752" i="13" a="1"/>
  <c r="F1752" i="13" s="1"/>
  <c r="F1763" i="13" s="1" a="1"/>
  <c r="F1763" i="13" s="1"/>
  <c r="F1764" i="13" s="1"/>
  <c r="BJ62" i="9" a="1"/>
  <c r="BJ62" i="9" s="1"/>
  <c r="BD62" i="9" a="1"/>
  <c r="BD62" i="9" s="1"/>
  <c r="F1718" i="13" a="1"/>
  <c r="F1718" i="13" s="1"/>
  <c r="F1731" i="13" s="1" a="1"/>
  <c r="F1731" i="13" s="1"/>
  <c r="F1732" i="13" s="1"/>
  <c r="BJ61" i="9" a="1"/>
  <c r="BJ61" i="9" s="1"/>
  <c r="BD61" i="9" a="1"/>
  <c r="BD61" i="9" s="1"/>
  <c r="G73" i="27" s="1" a="1"/>
  <c r="G73" i="27" s="1"/>
  <c r="AL60" i="9" a="1"/>
  <c r="AL60" i="9" s="1"/>
  <c r="E1752" i="13" a="1"/>
  <c r="E1752" i="13" s="1"/>
  <c r="E1765" i="13" s="1" a="1"/>
  <c r="E1765" i="13" s="1"/>
  <c r="E1766" i="13" s="1"/>
  <c r="AK62" i="9" a="1"/>
  <c r="AK62" i="9" s="1"/>
  <c r="AQ62" i="9" a="1"/>
  <c r="AQ62" i="9" s="1"/>
  <c r="D1718" i="13" a="1"/>
  <c r="D1718" i="13" s="1"/>
  <c r="D1729" i="13" s="1" a="1"/>
  <c r="D1729" i="13" s="1"/>
  <c r="D1730" i="13" s="1"/>
  <c r="R61" i="9" a="1"/>
  <c r="R61" i="9" s="1"/>
  <c r="E73" i="27" s="1" a="1"/>
  <c r="E73" i="27" s="1"/>
  <c r="D731" i="10"/>
  <c r="G730" i="10"/>
  <c r="G1751" i="13" s="1" a="1"/>
  <c r="G1751" i="13" s="1"/>
  <c r="G1760" i="13" s="1" a="1"/>
  <c r="G1760" i="13" s="1"/>
  <c r="G1761" i="13" s="1"/>
  <c r="G729" i="10"/>
  <c r="G1750" i="13" s="1" a="1"/>
  <c r="G1750" i="13" s="1"/>
  <c r="G1755" i="13" s="1" a="1"/>
  <c r="G1755" i="13" s="1"/>
  <c r="G1756" i="13" s="1"/>
  <c r="D730" i="10"/>
  <c r="D1751" i="13" s="1" a="1"/>
  <c r="D1751" i="13" s="1"/>
  <c r="N1728" i="13"/>
  <c r="L1694" i="13"/>
  <c r="E1723" i="13"/>
  <c r="J1668" i="13"/>
  <c r="M729" i="10"/>
  <c r="M1750" i="13" s="1" a="1"/>
  <c r="M1750" i="13" s="1"/>
  <c r="M1753" i="13" s="1" a="1"/>
  <c r="M1753" i="13" s="1"/>
  <c r="M1754" i="13" s="1"/>
  <c r="M731" i="10"/>
  <c r="P717" i="10"/>
  <c r="L742" i="10" a="1"/>
  <c r="L742" i="10" s="1"/>
  <c r="L745" i="10" s="1"/>
  <c r="G1728" i="13"/>
  <c r="M1728" i="13"/>
  <c r="H1694" i="13"/>
  <c r="N730" i="10"/>
  <c r="N1751" i="13" s="1" a="1"/>
  <c r="N1751" i="13" s="1"/>
  <c r="N1760" i="13" s="1" a="1"/>
  <c r="N1760" i="13" s="1"/>
  <c r="N1761" i="13" s="1"/>
  <c r="L1728" i="13"/>
  <c r="N729" i="10"/>
  <c r="N1750" i="13" s="1" a="1"/>
  <c r="N1750" i="13" s="1"/>
  <c r="N1753" i="13" s="1" a="1"/>
  <c r="N1753" i="13" s="1"/>
  <c r="N1754" i="13" s="1"/>
  <c r="L1689" i="13"/>
  <c r="I1728" i="13"/>
  <c r="J1723" i="13"/>
  <c r="I1723" i="13"/>
  <c r="M1689" i="13"/>
  <c r="J744" i="10"/>
  <c r="J1785" i="13" s="1" a="1"/>
  <c r="J1785" i="13" s="1"/>
  <c r="J745" i="10"/>
  <c r="J743" i="10"/>
  <c r="J1784" i="13" s="1" a="1"/>
  <c r="J1784" i="13" s="1"/>
  <c r="O743" i="10"/>
  <c r="O1784" i="13" s="1" a="1"/>
  <c r="O1784" i="13" s="1"/>
  <c r="O744" i="10"/>
  <c r="O1785" i="13" s="1" a="1"/>
  <c r="O1785" i="13" s="1"/>
  <c r="O745" i="10"/>
  <c r="M744" i="10"/>
  <c r="M1785" i="13" s="1" a="1"/>
  <c r="M1785" i="13" s="1"/>
  <c r="M745" i="10"/>
  <c r="M743" i="10"/>
  <c r="M1784" i="13" s="1" a="1"/>
  <c r="M1784" i="13" s="1"/>
  <c r="N743" i="10"/>
  <c r="N1784" i="13" s="1" a="1"/>
  <c r="N1784" i="13" s="1"/>
  <c r="N745" i="10"/>
  <c r="N744" i="10"/>
  <c r="N1785" i="13" s="1" a="1"/>
  <c r="N1785" i="13" s="1"/>
  <c r="E744" i="10"/>
  <c r="E1785" i="13" s="1" a="1"/>
  <c r="E1785" i="13" s="1"/>
  <c r="E745" i="10"/>
  <c r="E743" i="10"/>
  <c r="E1784" i="13" s="1" a="1"/>
  <c r="E1784" i="13" s="1"/>
  <c r="D744" i="10"/>
  <c r="D745" i="10"/>
  <c r="D743" i="10"/>
  <c r="K744" i="10"/>
  <c r="K1785" i="13" s="1" a="1"/>
  <c r="K1785" i="13" s="1"/>
  <c r="K745" i="10"/>
  <c r="K743" i="10"/>
  <c r="K1784" i="13" s="1" a="1"/>
  <c r="K1784" i="13" s="1"/>
  <c r="K1728" i="13"/>
  <c r="F1726" i="13" a="1"/>
  <c r="F1726" i="13" s="1"/>
  <c r="F1727" i="13" s="1"/>
  <c r="F1724" i="13" a="1"/>
  <c r="F1724" i="13" s="1"/>
  <c r="F1725" i="13" s="1"/>
  <c r="E1728" i="13"/>
  <c r="O1753" i="13" a="1"/>
  <c r="O1753" i="13" s="1"/>
  <c r="O1754" i="13" s="1"/>
  <c r="O1755" i="13" a="1"/>
  <c r="O1755" i="13" s="1"/>
  <c r="O1756" i="13" s="1"/>
  <c r="I729" i="10"/>
  <c r="I1750" i="13" s="1" a="1"/>
  <c r="I1750" i="13" s="1"/>
  <c r="I730" i="10"/>
  <c r="I1751" i="13" s="1" a="1"/>
  <c r="I1751" i="13" s="1"/>
  <c r="I731" i="10"/>
  <c r="F1719" i="13" a="1"/>
  <c r="F1719" i="13" s="1"/>
  <c r="F1720" i="13" s="1"/>
  <c r="F1721" i="13" a="1"/>
  <c r="F1721" i="13" s="1"/>
  <c r="F1722" i="13" s="1"/>
  <c r="L1723" i="13"/>
  <c r="J729" i="10"/>
  <c r="J1750" i="13" s="1" a="1"/>
  <c r="J1750" i="13" s="1"/>
  <c r="J730" i="10"/>
  <c r="J1751" i="13" s="1" a="1"/>
  <c r="J1751" i="13" s="1"/>
  <c r="J731" i="10"/>
  <c r="G1694" i="13"/>
  <c r="K1758" i="13" a="1"/>
  <c r="K1758" i="13" s="1"/>
  <c r="K1759" i="13" s="1"/>
  <c r="K1760" i="13" a="1"/>
  <c r="K1760" i="13" s="1"/>
  <c r="K1761" i="13" s="1"/>
  <c r="P742" i="10" a="1"/>
  <c r="P742" i="10" s="1"/>
  <c r="O1723" i="13"/>
  <c r="K1723" i="13"/>
  <c r="G1758" i="13" a="1"/>
  <c r="G1758" i="13" s="1"/>
  <c r="G1759" i="13" s="1"/>
  <c r="N1723" i="13"/>
  <c r="M1694" i="13"/>
  <c r="G1689" i="13"/>
  <c r="E1758" i="13" a="1"/>
  <c r="E1758" i="13" s="1"/>
  <c r="E1759" i="13" s="1"/>
  <c r="E1760" i="13" a="1"/>
  <c r="E1760" i="13" s="1"/>
  <c r="E1761" i="13" s="1"/>
  <c r="K1753" i="13" a="1"/>
  <c r="K1753" i="13" s="1"/>
  <c r="K1754" i="13" s="1"/>
  <c r="K1755" i="13" a="1"/>
  <c r="K1755" i="13" s="1"/>
  <c r="K1756" i="13" s="1"/>
  <c r="O1728" i="13"/>
  <c r="G1753" i="13" a="1"/>
  <c r="G1753" i="13" s="1"/>
  <c r="G1754" i="13" s="1"/>
  <c r="D1716" i="13" a="1"/>
  <c r="D1716" i="13" s="1"/>
  <c r="P715" i="10"/>
  <c r="M1723" i="13"/>
  <c r="D1692" i="13" a="1"/>
  <c r="D1692" i="13" s="1"/>
  <c r="D1693" i="13" s="1"/>
  <c r="D1690" i="13" a="1"/>
  <c r="D1690" i="13" s="1"/>
  <c r="D1691" i="13" s="1"/>
  <c r="L1760" i="13" a="1"/>
  <c r="L1760" i="13" s="1"/>
  <c r="L1761" i="13" s="1"/>
  <c r="L1758" i="13" a="1"/>
  <c r="L1758" i="13" s="1"/>
  <c r="L1759" i="13" s="1"/>
  <c r="E1755" i="13" a="1"/>
  <c r="E1755" i="13" s="1"/>
  <c r="E1756" i="13" s="1"/>
  <c r="E1753" i="13" a="1"/>
  <c r="E1753" i="13" s="1"/>
  <c r="E1754" i="13" s="1"/>
  <c r="J1728" i="13"/>
  <c r="D1750" i="13" a="1"/>
  <c r="D1750" i="13" s="1"/>
  <c r="L1755" i="13" a="1"/>
  <c r="L1755" i="13" s="1"/>
  <c r="L1756" i="13" s="1"/>
  <c r="L1753" i="13" a="1"/>
  <c r="L1753" i="13" s="1"/>
  <c r="L1754" i="13" s="1"/>
  <c r="F1760" i="13" a="1"/>
  <c r="F1760" i="13" s="1"/>
  <c r="F1761" i="13" s="1"/>
  <c r="F1758" i="13" a="1"/>
  <c r="F1758" i="13" s="1"/>
  <c r="F1759" i="13" s="1"/>
  <c r="G742" i="10" a="1"/>
  <c r="G742" i="10" s="1"/>
  <c r="F742" i="10" a="1"/>
  <c r="F742" i="10" s="1"/>
  <c r="D1687" i="13" a="1"/>
  <c r="D1687" i="13" s="1"/>
  <c r="D1688" i="13" s="1"/>
  <c r="D1685" i="13" a="1"/>
  <c r="D1685" i="13" s="1"/>
  <c r="D1686" i="13" s="1"/>
  <c r="M1758" i="13" a="1"/>
  <c r="M1758" i="13" s="1"/>
  <c r="M1759" i="13" s="1"/>
  <c r="M1760" i="13" a="1"/>
  <c r="M1760" i="13" s="1"/>
  <c r="M1761" i="13" s="1"/>
  <c r="H731" i="10"/>
  <c r="H729" i="10"/>
  <c r="H1750" i="13" s="1" a="1"/>
  <c r="H1750" i="13" s="1"/>
  <c r="H730" i="10"/>
  <c r="H1751" i="13" s="1" a="1"/>
  <c r="H1751" i="13" s="1"/>
  <c r="H1723" i="13"/>
  <c r="D1717" i="13" a="1"/>
  <c r="D1717" i="13" s="1"/>
  <c r="P716" i="10"/>
  <c r="H1728" i="13"/>
  <c r="G1723" i="13"/>
  <c r="J1689" i="13"/>
  <c r="F1755" i="13" a="1"/>
  <c r="F1755" i="13" s="1"/>
  <c r="F1756" i="13" s="1"/>
  <c r="F1753" i="13" a="1"/>
  <c r="F1753" i="13" s="1"/>
  <c r="F1754" i="13" s="1"/>
  <c r="H745" i="10"/>
  <c r="H743" i="10"/>
  <c r="H1784" i="13" s="1" a="1"/>
  <c r="H1784" i="13" s="1"/>
  <c r="H744" i="10"/>
  <c r="H1785" i="13" s="1" a="1"/>
  <c r="H1785" i="13" s="1"/>
  <c r="I743" i="10"/>
  <c r="I1784" i="13" s="1" a="1"/>
  <c r="I1784" i="13" s="1"/>
  <c r="I744" i="10"/>
  <c r="I1785" i="13" s="1" a="1"/>
  <c r="I1785" i="13" s="1"/>
  <c r="I745" i="10"/>
  <c r="H1689" i="13"/>
  <c r="J1694" i="13"/>
  <c r="O1758" i="13" a="1"/>
  <c r="O1758" i="13" s="1"/>
  <c r="O1759" i="13" s="1"/>
  <c r="O1760" i="13" a="1"/>
  <c r="O1760" i="13" s="1"/>
  <c r="O1761" i="13" s="1"/>
  <c r="G1666" i="13"/>
  <c r="E1666" i="13"/>
  <c r="E1668" i="13"/>
  <c r="E1702" i="13"/>
  <c r="M1702" i="13"/>
  <c r="O1668" i="13"/>
  <c r="I1702" i="13"/>
  <c r="IA56" i="9" a="1"/>
  <c r="IA56" i="9" s="1"/>
  <c r="II56" i="9" s="1"/>
  <c r="Q69" i="24" s="1" a="1"/>
  <c r="Q69" i="24" s="1"/>
  <c r="Z56" i="9" a="1"/>
  <c r="Z56" i="9" s="1"/>
  <c r="AH56" i="9" s="1"/>
  <c r="F69" i="24" s="1" a="1"/>
  <c r="F69" i="24" s="1"/>
  <c r="V58" i="9"/>
  <c r="FC56" i="9" a="1"/>
  <c r="FC56" i="9" s="1"/>
  <c r="FK56" i="9" s="1"/>
  <c r="M69" i="24" s="1" a="1"/>
  <c r="M69" i="24" s="1"/>
  <c r="CX57" i="9" a="1"/>
  <c r="CX57" i="9" s="1"/>
  <c r="DF57" i="9" s="1"/>
  <c r="J70" i="24" s="1" a="1"/>
  <c r="J70" i="24" s="1"/>
  <c r="FC57" i="9" a="1"/>
  <c r="FC57" i="9" s="1"/>
  <c r="FK57" i="9" s="1"/>
  <c r="M70" i="24" s="1" a="1"/>
  <c r="M70" i="24" s="1"/>
  <c r="HO57" i="9"/>
  <c r="FV57" i="9" a="1"/>
  <c r="FV57" i="9" s="1"/>
  <c r="GD57" i="9" s="1"/>
  <c r="N70" i="24" s="1" a="1"/>
  <c r="N70" i="24" s="1"/>
  <c r="DQ57" i="9" a="1"/>
  <c r="DQ57" i="9" s="1"/>
  <c r="DY57" i="9" s="1"/>
  <c r="K70" i="24" s="1" a="1"/>
  <c r="K70" i="24" s="1"/>
  <c r="CE57" i="9" a="1"/>
  <c r="CE57" i="9" s="1"/>
  <c r="CM57" i="9" s="1"/>
  <c r="I70" i="24" s="1" a="1"/>
  <c r="I70" i="24" s="1"/>
  <c r="EJ57" i="9" a="1"/>
  <c r="EJ57" i="9" s="1"/>
  <c r="ER57" i="9" s="1"/>
  <c r="L70" i="24" s="1" a="1"/>
  <c r="L70" i="24" s="1"/>
  <c r="IA55" i="9" a="1"/>
  <c r="IA55" i="9" s="1"/>
  <c r="CW58" i="9"/>
  <c r="DE58" i="9" s="1"/>
  <c r="S59" i="9" a="1"/>
  <c r="S59" i="9" s="1"/>
  <c r="BK57" i="9"/>
  <c r="W57" i="9" a="1"/>
  <c r="W57" i="9" s="1"/>
  <c r="Y57" i="9" s="1"/>
  <c r="AG57" i="9" s="1"/>
  <c r="HZ57" i="9"/>
  <c r="IH57" i="9" s="1"/>
  <c r="BK56" i="9"/>
  <c r="BS56" i="9" s="1"/>
  <c r="BK58" i="9"/>
  <c r="BS58" i="9" s="1"/>
  <c r="V59" i="9"/>
  <c r="HZ58" i="9"/>
  <c r="IH58" i="9" s="1"/>
  <c r="L73" i="27" a="1"/>
  <c r="L73" i="27" s="1"/>
  <c r="I732" i="10"/>
  <c r="O73" i="27" a="1"/>
  <c r="O73" i="27" s="1"/>
  <c r="P73" i="27" a="1"/>
  <c r="P73" i="27" s="1"/>
  <c r="J73" i="27" a="1"/>
  <c r="J73" i="27" s="1"/>
  <c r="K73" i="27" a="1"/>
  <c r="K73" i="27" s="1"/>
  <c r="F73" i="27" a="1"/>
  <c r="F73" i="27" s="1"/>
  <c r="I73" i="27" a="1"/>
  <c r="I73" i="27" s="1"/>
  <c r="H73" i="27" a="1"/>
  <c r="H73" i="27" s="1"/>
  <c r="M732" i="10"/>
  <c r="K740" i="10"/>
  <c r="ET63" i="9" s="1" a="1"/>
  <c r="ET63" i="9" s="1"/>
  <c r="D732" i="10"/>
  <c r="X62" i="9" s="1" a="1"/>
  <c r="X62" i="9" s="1"/>
  <c r="H740" i="10"/>
  <c r="CO63" i="9" s="1" a="1"/>
  <c r="CO63" i="9" s="1"/>
  <c r="D746" i="10"/>
  <c r="X63" i="9" s="1" a="1"/>
  <c r="X63" i="9" s="1"/>
  <c r="H746" i="10"/>
  <c r="K746" i="10"/>
  <c r="N746" i="10"/>
  <c r="J746" i="10"/>
  <c r="G752" i="10"/>
  <c r="J752" i="10"/>
  <c r="H732" i="10"/>
  <c r="G732" i="10"/>
  <c r="L740" i="10"/>
  <c r="FM63" i="9" s="1" a="1"/>
  <c r="FM63" i="9" s="1"/>
  <c r="O746" i="10"/>
  <c r="I755" i="10"/>
  <c r="I752" i="10"/>
  <c r="E752" i="10"/>
  <c r="F740" i="10"/>
  <c r="BC63" i="9" s="1" a="1"/>
  <c r="BC63" i="9" s="1"/>
  <c r="N732" i="10"/>
  <c r="D740" i="10"/>
  <c r="Q63" i="9" s="1" a="1"/>
  <c r="Q63" i="9" s="1"/>
  <c r="H752" i="10"/>
  <c r="N752" i="10"/>
  <c r="M740" i="10"/>
  <c r="GF63" i="9" s="1" a="1"/>
  <c r="GF63" i="9" s="1"/>
  <c r="P755" i="10"/>
  <c r="N740" i="10"/>
  <c r="GY63" i="9" s="1" a="1"/>
  <c r="GY63" i="9" s="1"/>
  <c r="M752" i="10"/>
  <c r="E740" i="10"/>
  <c r="AJ63" i="9" s="1" a="1"/>
  <c r="AJ63" i="9" s="1"/>
  <c r="J732" i="10"/>
  <c r="M746" i="10"/>
  <c r="G753" i="10"/>
  <c r="G756" i="10" s="1" a="1"/>
  <c r="G756" i="10" s="1"/>
  <c r="F753" i="10"/>
  <c r="F756" i="10" s="1" a="1"/>
  <c r="F756" i="10" s="1"/>
  <c r="N753" i="10"/>
  <c r="N756" i="10" s="1" a="1"/>
  <c r="N756" i="10" s="1"/>
  <c r="D753" i="10"/>
  <c r="D756" i="10" s="1" a="1"/>
  <c r="D756" i="10" s="1"/>
  <c r="E753" i="10"/>
  <c r="E756" i="10" s="1" a="1"/>
  <c r="E756" i="10" s="1"/>
  <c r="O753" i="10"/>
  <c r="O756" i="10" s="1" a="1"/>
  <c r="O756" i="10" s="1"/>
  <c r="P753" i="10"/>
  <c r="P754" i="10" s="1"/>
  <c r="M753" i="10"/>
  <c r="H753" i="10"/>
  <c r="L753" i="10"/>
  <c r="L756" i="10" s="1" a="1"/>
  <c r="L756" i="10" s="1"/>
  <c r="I753" i="10"/>
  <c r="K753" i="10"/>
  <c r="K756" i="10" s="1" a="1"/>
  <c r="K756" i="10" s="1"/>
  <c r="B754" i="10"/>
  <c r="B755" i="10" s="1"/>
  <c r="B756" i="10" s="1"/>
  <c r="B757" i="10" s="1"/>
  <c r="B758" i="10" s="1"/>
  <c r="B759" i="10" s="1"/>
  <c r="B760" i="10" s="1"/>
  <c r="J753" i="10"/>
  <c r="O752" i="10"/>
  <c r="I740" i="10"/>
  <c r="DH63" i="9" s="1" a="1"/>
  <c r="DH63" i="9" s="1"/>
  <c r="M775" i="10"/>
  <c r="H775" i="10"/>
  <c r="D775" i="10"/>
  <c r="K775" i="10"/>
  <c r="J775" i="10"/>
  <c r="F775" i="10"/>
  <c r="B776" i="10"/>
  <c r="P775" i="10"/>
  <c r="I775" i="10"/>
  <c r="N775" i="10"/>
  <c r="G775" i="10"/>
  <c r="L775" i="10"/>
  <c r="E775" i="10"/>
  <c r="O775" i="10"/>
  <c r="G740" i="10"/>
  <c r="BV63" i="9" s="1" a="1"/>
  <c r="BV63" i="9" s="1"/>
  <c r="D752" i="10"/>
  <c r="F752" i="10"/>
  <c r="L752" i="10"/>
  <c r="P718" i="10"/>
  <c r="J755" i="10"/>
  <c r="L762" i="10"/>
  <c r="K762" i="10"/>
  <c r="B766" i="10"/>
  <c r="B767" i="10" s="1"/>
  <c r="M762" i="10"/>
  <c r="H762" i="10"/>
  <c r="P762" i="10"/>
  <c r="P766" i="10" s="1"/>
  <c r="J762" i="10"/>
  <c r="O762" i="10"/>
  <c r="I762" i="10"/>
  <c r="F762" i="10"/>
  <c r="E762" i="10"/>
  <c r="D762" i="10"/>
  <c r="B763" i="10"/>
  <c r="B764" i="10" s="1"/>
  <c r="B765" i="10" s="1"/>
  <c r="N762" i="10"/>
  <c r="G762" i="10"/>
  <c r="O740" i="10"/>
  <c r="HR63" i="9" s="1" a="1"/>
  <c r="HR63" i="9" s="1"/>
  <c r="I746" i="10"/>
  <c r="K752" i="10"/>
  <c r="H755" i="10"/>
  <c r="M755" i="10"/>
  <c r="J740" i="10"/>
  <c r="EA63" i="9" s="1" a="1"/>
  <c r="EA63" i="9" s="1"/>
  <c r="EC61" i="9" l="1" a="1"/>
  <c r="EC61" i="9" s="1"/>
  <c r="HP57" i="9"/>
  <c r="P70" i="24" s="1" a="1"/>
  <c r="P70" i="24" s="1"/>
  <c r="O1670" i="13"/>
  <c r="HX59" i="9" s="1" a="1"/>
  <c r="HX59" i="9" s="1"/>
  <c r="HZ59" i="9" s="1"/>
  <c r="IH59" i="9" s="1"/>
  <c r="E1704" i="13"/>
  <c r="AP60" i="9" s="1" a="1"/>
  <c r="AP60" i="9" s="1"/>
  <c r="E790" i="10"/>
  <c r="E794" i="10" s="1"/>
  <c r="P790" i="10"/>
  <c r="P794" i="10" s="1"/>
  <c r="L790" i="10"/>
  <c r="L794" i="10" s="1"/>
  <c r="H790" i="10"/>
  <c r="H794" i="10" s="1"/>
  <c r="D790" i="10"/>
  <c r="D794" i="10" s="1"/>
  <c r="O790" i="10"/>
  <c r="O794" i="10" s="1"/>
  <c r="B791" i="10"/>
  <c r="B792" i="10" s="1"/>
  <c r="B793" i="10" s="1"/>
  <c r="G790" i="10"/>
  <c r="G794" i="10" s="1"/>
  <c r="K790" i="10"/>
  <c r="K794" i="10" s="1"/>
  <c r="B794" i="10"/>
  <c r="B795" i="10" s="1"/>
  <c r="N790" i="10"/>
  <c r="N794" i="10" s="1"/>
  <c r="J790" i="10"/>
  <c r="J794" i="10" s="1"/>
  <c r="F790" i="10"/>
  <c r="F794" i="10" s="1"/>
  <c r="I790" i="10"/>
  <c r="I794" i="10" s="1"/>
  <c r="M790" i="10"/>
  <c r="M794" i="10" s="1"/>
  <c r="K803" i="10"/>
  <c r="N803" i="10"/>
  <c r="E803" i="10"/>
  <c r="J803" i="10"/>
  <c r="I803" i="10"/>
  <c r="P803" i="10"/>
  <c r="M803" i="10"/>
  <c r="B804" i="10"/>
  <c r="F803" i="10"/>
  <c r="L803" i="10"/>
  <c r="H803" i="10"/>
  <c r="O803" i="10"/>
  <c r="G803" i="10"/>
  <c r="D803" i="10"/>
  <c r="A817" i="10" a="1"/>
  <c r="A817" i="10" s="1"/>
  <c r="B817" i="10" a="1"/>
  <c r="B817" i="10" s="1"/>
  <c r="P826" i="10" a="1"/>
  <c r="P826" i="10" s="1"/>
  <c r="R831" i="10"/>
  <c r="AN60" i="9"/>
  <c r="M1704" i="13"/>
  <c r="GL60" i="9" s="1" a="1"/>
  <c r="GL60" i="9" s="1"/>
  <c r="GN60" i="9" s="1"/>
  <c r="GV60" i="9" s="1"/>
  <c r="G1670" i="13"/>
  <c r="CB59" i="9" s="1" a="1"/>
  <c r="CB59" i="9" s="1"/>
  <c r="CD59" i="9" s="1"/>
  <c r="I1704" i="13"/>
  <c r="DN60" i="9" s="1" a="1"/>
  <c r="DN60" i="9" s="1"/>
  <c r="G1736" i="13"/>
  <c r="BY61" i="9" a="1"/>
  <c r="BY61" i="9" s="1"/>
  <c r="N1734" i="13"/>
  <c r="HB61" i="9" a="1"/>
  <c r="HB61" i="9" s="1"/>
  <c r="H1736" i="13"/>
  <c r="CR61" i="9" a="1"/>
  <c r="CR61" i="9" s="1"/>
  <c r="J1734" i="13"/>
  <c r="ED61" i="9" a="1"/>
  <c r="ED61" i="9" s="1"/>
  <c r="I1734" i="13"/>
  <c r="DK61" i="9" a="1"/>
  <c r="DK61" i="9" s="1"/>
  <c r="E1736" i="13"/>
  <c r="AM61" i="9" a="1"/>
  <c r="AM61" i="9" s="1"/>
  <c r="K1736" i="13"/>
  <c r="EW61" i="9" a="1"/>
  <c r="EW61" i="9" s="1"/>
  <c r="O1734" i="13"/>
  <c r="HU61" i="9" a="1"/>
  <c r="HU61" i="9" s="1"/>
  <c r="DL60" i="9"/>
  <c r="J1670" i="13"/>
  <c r="EG59" i="9" s="1" a="1"/>
  <c r="EG59" i="9" s="1"/>
  <c r="EI59" i="9" s="1"/>
  <c r="EQ59" i="9" s="1"/>
  <c r="L1700" i="13"/>
  <c r="FP60" i="9" a="1"/>
  <c r="FP60" i="9" s="1"/>
  <c r="G1700" i="13"/>
  <c r="BY60" i="9" a="1"/>
  <c r="BY60" i="9" s="1"/>
  <c r="N72" i="25" a="1"/>
  <c r="N72" i="25" s="1"/>
  <c r="GK60" i="9"/>
  <c r="F72" i="25" a="1"/>
  <c r="F72" i="25" s="1"/>
  <c r="AO60" i="9"/>
  <c r="K1700" i="13"/>
  <c r="EW60" i="9" a="1"/>
  <c r="EW60" i="9" s="1"/>
  <c r="EX60" i="9" s="1"/>
  <c r="O1700" i="13"/>
  <c r="HU60" i="9" a="1"/>
  <c r="HU60" i="9" s="1"/>
  <c r="D1700" i="13"/>
  <c r="T60" i="9" a="1"/>
  <c r="T60" i="9" s="1"/>
  <c r="E72" i="25" s="1" a="1"/>
  <c r="E72" i="25" s="1"/>
  <c r="J1702" i="13"/>
  <c r="ED60" i="9" a="1"/>
  <c r="ED60" i="9" s="1"/>
  <c r="H1702" i="13"/>
  <c r="CR60" i="9" a="1"/>
  <c r="CR60" i="9" s="1"/>
  <c r="J72" i="25" a="1"/>
  <c r="J72" i="25" s="1"/>
  <c r="DM60" i="9"/>
  <c r="N1702" i="13"/>
  <c r="HB60" i="9" a="1"/>
  <c r="HB60" i="9" s="1"/>
  <c r="HC60" i="9" s="1"/>
  <c r="F1700" i="13"/>
  <c r="BF60" i="9" a="1"/>
  <c r="BF60" i="9" s="1"/>
  <c r="BG60" i="9" s="1"/>
  <c r="K71" i="25" a="1"/>
  <c r="K71" i="25" s="1"/>
  <c r="EF59" i="9"/>
  <c r="EE59" i="9"/>
  <c r="P71" i="25" a="1"/>
  <c r="P71" i="25" s="1"/>
  <c r="HW59" i="9"/>
  <c r="H71" i="25" a="1"/>
  <c r="H71" i="25" s="1"/>
  <c r="CA59" i="9"/>
  <c r="Q70" i="25"/>
  <c r="K1763" i="13" a="1"/>
  <c r="K1763" i="13" s="1"/>
  <c r="K1764" i="13" s="1"/>
  <c r="K1767" i="13" s="1"/>
  <c r="L1765" i="13" a="1"/>
  <c r="L1765" i="13" s="1"/>
  <c r="L1766" i="13" s="1"/>
  <c r="L1767" i="13" s="1"/>
  <c r="GO57" i="9" a="1"/>
  <c r="GO57" i="9" s="1"/>
  <c r="GW57" i="9" s="1"/>
  <c r="O70" i="24" s="1" a="1"/>
  <c r="O70" i="24" s="1"/>
  <c r="F1729" i="13" a="1"/>
  <c r="F1729" i="13" s="1"/>
  <c r="F1730" i="13" s="1"/>
  <c r="F1733" i="13" s="1"/>
  <c r="M756" i="10" a="1"/>
  <c r="M756" i="10" s="1"/>
  <c r="M758" i="10" s="1"/>
  <c r="M1819" i="13" s="1" a="1"/>
  <c r="M1819" i="13" s="1"/>
  <c r="O1765" i="13" a="1"/>
  <c r="O1765" i="13" s="1"/>
  <c r="O1766" i="13" s="1"/>
  <c r="O1767" i="13" s="1"/>
  <c r="K1702" i="13"/>
  <c r="DJ61" i="9" a="1"/>
  <c r="DJ61" i="9" s="1"/>
  <c r="DL61" i="9" s="1"/>
  <c r="M1731" i="13" a="1"/>
  <c r="M1731" i="13" s="1"/>
  <c r="M1732" i="13" s="1"/>
  <c r="M1733" i="13" s="1"/>
  <c r="GH60" i="9" a="1"/>
  <c r="GH60" i="9" s="1"/>
  <c r="GJ60" i="9" s="1"/>
  <c r="HT61" i="9" a="1"/>
  <c r="HT61" i="9" s="1"/>
  <c r="O1786" i="13" a="1"/>
  <c r="O1786" i="13" s="1"/>
  <c r="O1797" i="13" s="1" a="1"/>
  <c r="O1797" i="13" s="1"/>
  <c r="O1798" i="13" s="1"/>
  <c r="HY63" i="9" a="1"/>
  <c r="HY63" i="9" s="1"/>
  <c r="HS63" i="9" a="1"/>
  <c r="HS63" i="9" s="1"/>
  <c r="N1752" i="13" a="1"/>
  <c r="N1752" i="13" s="1"/>
  <c r="N1765" i="13" s="1" a="1"/>
  <c r="N1765" i="13" s="1"/>
  <c r="N1766" i="13" s="1"/>
  <c r="HF62" i="9" a="1"/>
  <c r="HF62" i="9" s="1"/>
  <c r="GZ62" i="9" a="1"/>
  <c r="GZ62" i="9" s="1"/>
  <c r="O74" i="27" s="1" a="1"/>
  <c r="O74" i="27" s="1"/>
  <c r="N1786" i="13" a="1"/>
  <c r="N1786" i="13" s="1"/>
  <c r="N1797" i="13" s="1" a="1"/>
  <c r="N1797" i="13" s="1"/>
  <c r="N1798" i="13" s="1"/>
  <c r="HF63" i="9" a="1"/>
  <c r="HF63" i="9" s="1"/>
  <c r="GZ63" i="9" a="1"/>
  <c r="GZ63" i="9" s="1"/>
  <c r="HA61" i="9" a="1"/>
  <c r="HA61" i="9" s="1"/>
  <c r="E1763" i="13" a="1"/>
  <c r="E1763" i="13" s="1"/>
  <c r="E1764" i="13" s="1"/>
  <c r="E1767" i="13" s="1"/>
  <c r="M1786" i="13" a="1"/>
  <c r="M1786" i="13" s="1"/>
  <c r="M1797" i="13" s="1" a="1"/>
  <c r="M1797" i="13" s="1"/>
  <c r="M1798" i="13" s="1"/>
  <c r="GM63" i="9" a="1"/>
  <c r="GM63" i="9" s="1"/>
  <c r="GG63" i="9" a="1"/>
  <c r="GG63" i="9" s="1"/>
  <c r="M1752" i="13" a="1"/>
  <c r="M1752" i="13" s="1"/>
  <c r="M1763" i="13" s="1" a="1"/>
  <c r="M1763" i="13" s="1"/>
  <c r="M1764" i="13" s="1"/>
  <c r="GM62" i="9" a="1"/>
  <c r="GM62" i="9" s="1"/>
  <c r="GG62" i="9" a="1"/>
  <c r="GG62" i="9" s="1"/>
  <c r="N74" i="27" s="1" a="1"/>
  <c r="N74" i="27" s="1"/>
  <c r="L1729" i="13" a="1"/>
  <c r="L1729" i="13" s="1"/>
  <c r="L1730" i="13" s="1"/>
  <c r="L1733" i="13" s="1"/>
  <c r="CQ61" i="9" a="1"/>
  <c r="CQ61" i="9" s="1"/>
  <c r="GH61" i="9" a="1"/>
  <c r="GH61" i="9" s="1"/>
  <c r="FO60" i="9" a="1"/>
  <c r="FO60" i="9" s="1"/>
  <c r="F1765" i="13" a="1"/>
  <c r="F1765" i="13" s="1"/>
  <c r="F1766" i="13" s="1"/>
  <c r="F1767" i="13" s="1"/>
  <c r="FO61" i="9" a="1"/>
  <c r="FO61" i="9" s="1"/>
  <c r="K1786" i="13" a="1"/>
  <c r="K1786" i="13" s="1"/>
  <c r="K1797" i="13" s="1" a="1"/>
  <c r="K1797" i="13" s="1"/>
  <c r="K1798" i="13" s="1"/>
  <c r="FA63" i="9" a="1"/>
  <c r="FA63" i="9" s="1"/>
  <c r="EU63" i="9" a="1"/>
  <c r="EU63" i="9" s="1"/>
  <c r="EV61" i="9" a="1"/>
  <c r="EV61" i="9" s="1"/>
  <c r="J1786" i="13" a="1"/>
  <c r="J1786" i="13" s="1"/>
  <c r="J1799" i="13" s="1" a="1"/>
  <c r="J1799" i="13" s="1"/>
  <c r="J1800" i="13" s="1"/>
  <c r="EH63" i="9" a="1"/>
  <c r="EH63" i="9" s="1"/>
  <c r="EB63" i="9" a="1"/>
  <c r="EB63" i="9" s="1"/>
  <c r="EC60" i="9" a="1"/>
  <c r="EC60" i="9" s="1"/>
  <c r="J1752" i="13" a="1"/>
  <c r="J1752" i="13" s="1"/>
  <c r="J1765" i="13" s="1" a="1"/>
  <c r="J1765" i="13" s="1"/>
  <c r="J1766" i="13" s="1"/>
  <c r="EH62" i="9" a="1"/>
  <c r="EH62" i="9" s="1"/>
  <c r="EB62" i="9" a="1"/>
  <c r="EB62" i="9" s="1"/>
  <c r="K74" i="27" s="1" a="1"/>
  <c r="K74" i="27" s="1"/>
  <c r="I1786" i="13" a="1"/>
  <c r="I1786" i="13" s="1"/>
  <c r="I1799" i="13" s="1" a="1"/>
  <c r="I1799" i="13" s="1"/>
  <c r="I1800" i="13" s="1"/>
  <c r="DO63" i="9" a="1"/>
  <c r="DO63" i="9" s="1"/>
  <c r="DI63" i="9" a="1"/>
  <c r="DI63" i="9" s="1"/>
  <c r="BX60" i="9" a="1"/>
  <c r="BX60" i="9" s="1"/>
  <c r="I1752" i="13" a="1"/>
  <c r="I1752" i="13" s="1"/>
  <c r="I1765" i="13" s="1" a="1"/>
  <c r="I1765" i="13" s="1"/>
  <c r="I1766" i="13" s="1"/>
  <c r="DO62" i="9" a="1"/>
  <c r="DO62" i="9" s="1"/>
  <c r="DI62" i="9" a="1"/>
  <c r="DI62" i="9" s="1"/>
  <c r="J74" i="27" s="1" a="1"/>
  <c r="J74" i="27" s="1"/>
  <c r="H1752" i="13" a="1"/>
  <c r="H1752" i="13" s="1"/>
  <c r="H1763" i="13" s="1" a="1"/>
  <c r="H1763" i="13" s="1"/>
  <c r="H1764" i="13" s="1"/>
  <c r="CV62" i="9" a="1"/>
  <c r="CV62" i="9" s="1"/>
  <c r="CP62" i="9" a="1"/>
  <c r="CP62" i="9" s="1"/>
  <c r="I74" i="27" s="1" a="1"/>
  <c r="I74" i="27" s="1"/>
  <c r="H1786" i="13" a="1"/>
  <c r="H1786" i="13" s="1"/>
  <c r="H1799" i="13" s="1" a="1"/>
  <c r="H1799" i="13" s="1"/>
  <c r="H1800" i="13" s="1"/>
  <c r="CV63" i="9" a="1"/>
  <c r="CV63" i="9" s="1"/>
  <c r="CP63" i="9" a="1"/>
  <c r="CP63" i="9" s="1"/>
  <c r="CQ60" i="9" a="1"/>
  <c r="CQ60" i="9" s="1"/>
  <c r="D1731" i="13" a="1"/>
  <c r="D1731" i="13" s="1"/>
  <c r="D1732" i="13" s="1"/>
  <c r="D1733" i="13" s="1"/>
  <c r="BX61" i="9" a="1"/>
  <c r="BX61" i="9" s="1"/>
  <c r="G1752" i="13" a="1"/>
  <c r="G1752" i="13" s="1"/>
  <c r="G1765" i="13" s="1" a="1"/>
  <c r="G1765" i="13" s="1"/>
  <c r="G1766" i="13" s="1"/>
  <c r="CC62" i="9" a="1"/>
  <c r="CC62" i="9" s="1"/>
  <c r="BW62" i="9" a="1"/>
  <c r="BW62" i="9" s="1"/>
  <c r="H74" i="27" s="1" a="1"/>
  <c r="H74" i="27" s="1"/>
  <c r="AL61" i="9" a="1"/>
  <c r="AL61" i="9" s="1"/>
  <c r="D1752" i="13" a="1"/>
  <c r="D1752" i="13" s="1"/>
  <c r="D1765" i="13" s="1" a="1"/>
  <c r="D1765" i="13" s="1"/>
  <c r="D1766" i="13" s="1"/>
  <c r="R62" i="9" a="1"/>
  <c r="R62" i="9" s="1"/>
  <c r="E74" i="27" s="1" a="1"/>
  <c r="E74" i="27" s="1"/>
  <c r="D1786" i="13" a="1"/>
  <c r="D1786" i="13" s="1"/>
  <c r="D1799" i="13" s="1" a="1"/>
  <c r="D1799" i="13" s="1"/>
  <c r="D1800" i="13" s="1"/>
  <c r="R63" i="9" a="1"/>
  <c r="R63" i="9" s="1"/>
  <c r="L743" i="10"/>
  <c r="L1784" i="13" s="1" a="1"/>
  <c r="L1784" i="13" s="1"/>
  <c r="L1787" i="13" s="1" a="1"/>
  <c r="L1787" i="13" s="1"/>
  <c r="L1788" i="13" s="1"/>
  <c r="M1755" i="13" a="1"/>
  <c r="M1755" i="13" s="1"/>
  <c r="M1756" i="13" s="1"/>
  <c r="M1757" i="13" s="1"/>
  <c r="N1758" i="13" a="1"/>
  <c r="N1758" i="13" s="1"/>
  <c r="N1759" i="13" s="1"/>
  <c r="N1762" i="13" s="1"/>
  <c r="L744" i="10"/>
  <c r="L1785" i="13" s="1" a="1"/>
  <c r="L1785" i="13" s="1"/>
  <c r="L1792" i="13" s="1" a="1"/>
  <c r="L1792" i="13" s="1"/>
  <c r="L1793" i="13" s="1"/>
  <c r="E1757" i="13"/>
  <c r="E1762" i="13"/>
  <c r="N1755" i="13" a="1"/>
  <c r="N1755" i="13" s="1"/>
  <c r="N1756" i="13" s="1"/>
  <c r="N1757" i="13" s="1"/>
  <c r="O1736" i="13"/>
  <c r="E1670" i="13"/>
  <c r="L1762" i="13"/>
  <c r="P731" i="10"/>
  <c r="J756" i="10" a="1"/>
  <c r="J756" i="10" s="1"/>
  <c r="J757" i="10" s="1"/>
  <c r="J1818" i="13" s="1" a="1"/>
  <c r="J1818" i="13" s="1"/>
  <c r="P730" i="10"/>
  <c r="K1734" i="13"/>
  <c r="O1762" i="13"/>
  <c r="D1689" i="13"/>
  <c r="G1762" i="13"/>
  <c r="H1734" i="13"/>
  <c r="G1734" i="13"/>
  <c r="H756" i="10" a="1"/>
  <c r="H756" i="10" s="1"/>
  <c r="H759" i="10" s="1"/>
  <c r="G1757" i="13"/>
  <c r="F1728" i="13"/>
  <c r="M1762" i="13"/>
  <c r="L1757" i="13"/>
  <c r="D1694" i="13"/>
  <c r="P729" i="10"/>
  <c r="D758" i="10"/>
  <c r="D757" i="10"/>
  <c r="D759" i="10"/>
  <c r="N758" i="10"/>
  <c r="N1819" i="13" s="1" a="1"/>
  <c r="N1819" i="13" s="1"/>
  <c r="N759" i="10"/>
  <c r="N757" i="10"/>
  <c r="N1818" i="13" s="1" a="1"/>
  <c r="N1818" i="13" s="1"/>
  <c r="F759" i="10"/>
  <c r="F757" i="10"/>
  <c r="F1818" i="13" s="1" a="1"/>
  <c r="F1818" i="13" s="1"/>
  <c r="F758" i="10"/>
  <c r="F1819" i="13" s="1" a="1"/>
  <c r="F1819" i="13" s="1"/>
  <c r="G758" i="10"/>
  <c r="G1819" i="13" s="1" a="1"/>
  <c r="G1819" i="13" s="1"/>
  <c r="G759" i="10"/>
  <c r="G757" i="10"/>
  <c r="G1818" i="13" s="1" a="1"/>
  <c r="G1818" i="13" s="1"/>
  <c r="L758" i="10"/>
  <c r="L1819" i="13" s="1" a="1"/>
  <c r="L1819" i="13" s="1"/>
  <c r="L757" i="10"/>
  <c r="L1818" i="13" s="1" a="1"/>
  <c r="L1818" i="13" s="1"/>
  <c r="L759" i="10"/>
  <c r="K758" i="10"/>
  <c r="K1819" i="13" s="1" a="1"/>
  <c r="K1819" i="13" s="1"/>
  <c r="K759" i="10"/>
  <c r="K757" i="10"/>
  <c r="K1818" i="13" s="1" a="1"/>
  <c r="K1818" i="13" s="1"/>
  <c r="E758" i="10"/>
  <c r="E1819" i="13" s="1" a="1"/>
  <c r="E1819" i="13" s="1"/>
  <c r="E759" i="10"/>
  <c r="E757" i="10"/>
  <c r="E1818" i="13" s="1" a="1"/>
  <c r="E1818" i="13" s="1"/>
  <c r="D766" i="10"/>
  <c r="K1757" i="13"/>
  <c r="O1757" i="13"/>
  <c r="D1785" i="13" a="1"/>
  <c r="D1785" i="13" s="1"/>
  <c r="D1726" i="13" a="1"/>
  <c r="D1726" i="13" s="1"/>
  <c r="D1727" i="13" s="1"/>
  <c r="D1724" i="13" a="1"/>
  <c r="D1724" i="13" s="1"/>
  <c r="D1725" i="13" s="1"/>
  <c r="E1789" i="13" a="1"/>
  <c r="E1789" i="13" s="1"/>
  <c r="E1790" i="13" s="1"/>
  <c r="E1787" i="13" a="1"/>
  <c r="E1787" i="13" s="1"/>
  <c r="E1788" i="13" s="1"/>
  <c r="M1792" i="13" a="1"/>
  <c r="M1792" i="13" s="1"/>
  <c r="M1793" i="13" s="1"/>
  <c r="M1794" i="13" a="1"/>
  <c r="M1794" i="13" s="1"/>
  <c r="M1795" i="13" s="1"/>
  <c r="F769" i="10"/>
  <c r="D1760" i="13" a="1"/>
  <c r="D1760" i="13" s="1"/>
  <c r="D1761" i="13" s="1"/>
  <c r="D1758" i="13" a="1"/>
  <c r="D1758" i="13" s="1"/>
  <c r="D1759" i="13" s="1"/>
  <c r="F1757" i="13"/>
  <c r="K1762" i="13"/>
  <c r="F1723" i="13"/>
  <c r="L769" i="10"/>
  <c r="H1758" i="13" a="1"/>
  <c r="H1758" i="13" s="1"/>
  <c r="H1759" i="13" s="1"/>
  <c r="H1760" i="13" a="1"/>
  <c r="H1760" i="13" s="1"/>
  <c r="H1761" i="13" s="1"/>
  <c r="F743" i="10"/>
  <c r="F1784" i="13" s="1" a="1"/>
  <c r="F1784" i="13" s="1"/>
  <c r="F745" i="10"/>
  <c r="F744" i="10"/>
  <c r="F1785" i="13" s="1" a="1"/>
  <c r="F1785" i="13" s="1"/>
  <c r="D1755" i="13" a="1"/>
  <c r="D1755" i="13" s="1"/>
  <c r="D1756" i="13" s="1"/>
  <c r="D1753" i="13" a="1"/>
  <c r="D1753" i="13" s="1"/>
  <c r="D1754" i="13" s="1"/>
  <c r="K1787" i="13" a="1"/>
  <c r="K1787" i="13" s="1"/>
  <c r="K1788" i="13" s="1"/>
  <c r="K1789" i="13" a="1"/>
  <c r="K1789" i="13" s="1"/>
  <c r="K1790" i="13" s="1"/>
  <c r="E1792" i="13" a="1"/>
  <c r="E1792" i="13" s="1"/>
  <c r="E1793" i="13" s="1"/>
  <c r="E1794" i="13" a="1"/>
  <c r="E1794" i="13" s="1"/>
  <c r="E1795" i="13" s="1"/>
  <c r="O1792" i="13" a="1"/>
  <c r="O1792" i="13" s="1"/>
  <c r="O1793" i="13" s="1"/>
  <c r="O1794" i="13" a="1"/>
  <c r="O1794" i="13" s="1"/>
  <c r="O1795" i="13" s="1"/>
  <c r="I769" i="10"/>
  <c r="O769" i="10"/>
  <c r="I1794" i="13" a="1"/>
  <c r="I1794" i="13" s="1"/>
  <c r="I1795" i="13" s="1"/>
  <c r="I1792" i="13" a="1"/>
  <c r="I1792" i="13" s="1"/>
  <c r="I1793" i="13" s="1"/>
  <c r="H1755" i="13" a="1"/>
  <c r="H1755" i="13" s="1"/>
  <c r="H1756" i="13" s="1"/>
  <c r="H1753" i="13" a="1"/>
  <c r="H1753" i="13" s="1"/>
  <c r="H1754" i="13" s="1"/>
  <c r="N1794" i="13" a="1"/>
  <c r="N1794" i="13" s="1"/>
  <c r="N1795" i="13" s="1"/>
  <c r="N1792" i="13" a="1"/>
  <c r="N1792" i="13" s="1"/>
  <c r="N1793" i="13" s="1"/>
  <c r="O1789" i="13" a="1"/>
  <c r="O1789" i="13" s="1"/>
  <c r="O1790" i="13" s="1"/>
  <c r="O1787" i="13" a="1"/>
  <c r="O1787" i="13" s="1"/>
  <c r="O1788" i="13" s="1"/>
  <c r="O759" i="10"/>
  <c r="O757" i="10"/>
  <c r="O1818" i="13" s="1" a="1"/>
  <c r="O1818" i="13" s="1"/>
  <c r="O758" i="10"/>
  <c r="O1819" i="13" s="1" a="1"/>
  <c r="O1819" i="13" s="1"/>
  <c r="G769" i="10"/>
  <c r="J769" i="10"/>
  <c r="P756" i="10" a="1"/>
  <c r="P756" i="10" s="1"/>
  <c r="I1787" i="13" a="1"/>
  <c r="I1787" i="13" s="1"/>
  <c r="I1788" i="13" s="1"/>
  <c r="I1789" i="13" a="1"/>
  <c r="I1789" i="13" s="1"/>
  <c r="I1790" i="13" s="1"/>
  <c r="G745" i="10"/>
  <c r="G743" i="10"/>
  <c r="G1784" i="13" s="1" a="1"/>
  <c r="G1784" i="13" s="1"/>
  <c r="G744" i="10"/>
  <c r="G1785" i="13" s="1" a="1"/>
  <c r="G1785" i="13" s="1"/>
  <c r="J1760" i="13" a="1"/>
  <c r="J1760" i="13" s="1"/>
  <c r="J1761" i="13" s="1"/>
  <c r="J1758" i="13" a="1"/>
  <c r="J1758" i="13" s="1"/>
  <c r="J1759" i="13" s="1"/>
  <c r="I1760" i="13" a="1"/>
  <c r="I1760" i="13" s="1"/>
  <c r="I1761" i="13" s="1"/>
  <c r="I1758" i="13" a="1"/>
  <c r="I1758" i="13" s="1"/>
  <c r="I1759" i="13" s="1"/>
  <c r="K1792" i="13" a="1"/>
  <c r="K1792" i="13" s="1"/>
  <c r="K1793" i="13" s="1"/>
  <c r="K1794" i="13" a="1"/>
  <c r="K1794" i="13" s="1"/>
  <c r="K1795" i="13" s="1"/>
  <c r="J1787" i="13" a="1"/>
  <c r="J1787" i="13" s="1"/>
  <c r="J1788" i="13" s="1"/>
  <c r="J1789" i="13" a="1"/>
  <c r="J1789" i="13" s="1"/>
  <c r="J1790" i="13" s="1"/>
  <c r="I756" i="10" a="1"/>
  <c r="I756" i="10" s="1"/>
  <c r="H1794" i="13" a="1"/>
  <c r="H1794" i="13" s="1"/>
  <c r="H1795" i="13" s="1"/>
  <c r="H1792" i="13" a="1"/>
  <c r="H1792" i="13" s="1"/>
  <c r="H1793" i="13" s="1"/>
  <c r="F1762" i="13"/>
  <c r="J1755" i="13" a="1"/>
  <c r="J1755" i="13" s="1"/>
  <c r="J1756" i="13" s="1"/>
  <c r="J1753" i="13" a="1"/>
  <c r="J1753" i="13" s="1"/>
  <c r="J1754" i="13" s="1"/>
  <c r="I1755" i="13" a="1"/>
  <c r="I1755" i="13" s="1"/>
  <c r="I1756" i="13" s="1"/>
  <c r="I1753" i="13" a="1"/>
  <c r="I1753" i="13" s="1"/>
  <c r="I1754" i="13" s="1"/>
  <c r="D1784" i="13" a="1"/>
  <c r="D1784" i="13" s="1"/>
  <c r="N1789" i="13" a="1"/>
  <c r="N1789" i="13" s="1"/>
  <c r="N1790" i="13" s="1"/>
  <c r="N1787" i="13" a="1"/>
  <c r="N1787" i="13" s="1"/>
  <c r="N1788" i="13" s="1"/>
  <c r="H1789" i="13" a="1"/>
  <c r="H1789" i="13" s="1"/>
  <c r="H1790" i="13" s="1"/>
  <c r="H1787" i="13" a="1"/>
  <c r="H1787" i="13" s="1"/>
  <c r="H1788" i="13" s="1"/>
  <c r="D1719" i="13" a="1"/>
  <c r="D1719" i="13" s="1"/>
  <c r="D1720" i="13" s="1"/>
  <c r="D1721" i="13" a="1"/>
  <c r="D1721" i="13" s="1"/>
  <c r="D1722" i="13" s="1"/>
  <c r="M1789" i="13" a="1"/>
  <c r="M1789" i="13" s="1"/>
  <c r="M1790" i="13" s="1"/>
  <c r="M1787" i="13" a="1"/>
  <c r="M1787" i="13" s="1"/>
  <c r="M1788" i="13" s="1"/>
  <c r="J1794" i="13" a="1"/>
  <c r="J1794" i="13" s="1"/>
  <c r="J1795" i="13" s="1"/>
  <c r="J1792" i="13" a="1"/>
  <c r="J1792" i="13" s="1"/>
  <c r="J1793" i="13" s="1"/>
  <c r="L1702" i="13"/>
  <c r="N1700" i="13"/>
  <c r="D1702" i="13"/>
  <c r="I1736" i="13"/>
  <c r="I1738" i="13" s="1"/>
  <c r="DN61" i="9" s="1" a="1"/>
  <c r="DN61" i="9" s="1"/>
  <c r="G1702" i="13"/>
  <c r="E1734" i="13"/>
  <c r="O1702" i="13"/>
  <c r="J1736" i="13"/>
  <c r="J1700" i="13"/>
  <c r="F1702" i="13"/>
  <c r="H1700" i="13"/>
  <c r="N1736" i="13"/>
  <c r="E746" i="10"/>
  <c r="FC58" i="9" a="1"/>
  <c r="FC58" i="9" s="1"/>
  <c r="FK58" i="9" s="1"/>
  <c r="M71" i="24" s="1" a="1"/>
  <c r="M71" i="24" s="1"/>
  <c r="DQ59" i="9" a="1"/>
  <c r="DQ59" i="9" s="1"/>
  <c r="DY59" i="9" s="1"/>
  <c r="K72" i="24" s="1" a="1"/>
  <c r="K72" i="24" s="1"/>
  <c r="AS58" i="9" a="1"/>
  <c r="AS58" i="9" s="1"/>
  <c r="BA58" i="9" s="1"/>
  <c r="G71" i="24" s="1" a="1"/>
  <c r="G71" i="24" s="1"/>
  <c r="Z57" i="9" a="1"/>
  <c r="Z57" i="9" s="1"/>
  <c r="AH57" i="9" s="1"/>
  <c r="F70" i="24" s="1" a="1"/>
  <c r="F70" i="24" s="1"/>
  <c r="IA58" i="9" a="1"/>
  <c r="IA58" i="9" s="1"/>
  <c r="II58" i="9" s="1"/>
  <c r="Q71" i="24" s="1" a="1"/>
  <c r="Q71" i="24" s="1"/>
  <c r="BL56" i="9" a="1"/>
  <c r="BL56" i="9" s="1"/>
  <c r="IJ56" i="9" s="1"/>
  <c r="IK56" i="9" s="1"/>
  <c r="IA57" i="9" a="1"/>
  <c r="IA57" i="9" s="1"/>
  <c r="II57" i="9" s="1"/>
  <c r="Q70" i="24" s="1" a="1"/>
  <c r="Q70" i="24" s="1"/>
  <c r="BL58" i="9" a="1"/>
  <c r="BL58" i="9" s="1"/>
  <c r="BT58" i="9" s="1"/>
  <c r="H71" i="24" s="1" a="1"/>
  <c r="H71" i="24" s="1"/>
  <c r="CX58" i="9" a="1"/>
  <c r="CX58" i="9" s="1"/>
  <c r="DF58" i="9" s="1"/>
  <c r="J71" i="24" s="1" a="1"/>
  <c r="J71" i="24" s="1"/>
  <c r="HH58" i="9" a="1"/>
  <c r="HH58" i="9" s="1"/>
  <c r="HP58" i="9" s="1"/>
  <c r="P71" i="24" s="1" a="1"/>
  <c r="P71" i="24" s="1"/>
  <c r="U59" i="9"/>
  <c r="FV58" i="9" a="1"/>
  <c r="FV58" i="9" s="1"/>
  <c r="GD58" i="9" s="1"/>
  <c r="N71" i="24" s="1" a="1"/>
  <c r="N71" i="24" s="1"/>
  <c r="II55" i="9"/>
  <c r="Q68" i="24" s="1" a="1"/>
  <c r="Q68" i="24" s="1"/>
  <c r="IJ55" i="9"/>
  <c r="IK55" i="9" s="1"/>
  <c r="BL59" i="9" a="1"/>
  <c r="BL59" i="9" s="1"/>
  <c r="BT59" i="9" s="1"/>
  <c r="H72" i="24" s="1" a="1"/>
  <c r="H72" i="24" s="1"/>
  <c r="BS57" i="9"/>
  <c r="IL57" i="9" s="1"/>
  <c r="IM57" i="9" s="1"/>
  <c r="BL57" i="9" a="1"/>
  <c r="BL57" i="9" s="1"/>
  <c r="CW59" i="9"/>
  <c r="DE59" i="9" s="1"/>
  <c r="GN59" i="9"/>
  <c r="GV59" i="9" s="1"/>
  <c r="GN58" i="9"/>
  <c r="GV58" i="9" s="1"/>
  <c r="EI58" i="9"/>
  <c r="EQ58" i="9" s="1"/>
  <c r="AS57" i="9" a="1"/>
  <c r="AS57" i="9" s="1"/>
  <c r="BA57" i="9" s="1"/>
  <c r="G70" i="24" s="1" a="1"/>
  <c r="G70" i="24" s="1"/>
  <c r="HG59" i="9"/>
  <c r="HO59" i="9" s="1"/>
  <c r="CD58" i="9"/>
  <c r="CL58" i="9" s="1"/>
  <c r="DP58" i="9"/>
  <c r="DX58" i="9" s="1"/>
  <c r="W58" i="9" a="1"/>
  <c r="W58" i="9" s="1"/>
  <c r="Y58" i="9" s="1"/>
  <c r="AG58" i="9" s="1"/>
  <c r="IL56" i="9"/>
  <c r="IM56" i="9" s="1"/>
  <c r="FU59" i="9"/>
  <c r="GC59" i="9" s="1"/>
  <c r="FB59" i="9"/>
  <c r="FJ59" i="9" s="1"/>
  <c r="M74" i="27" a="1"/>
  <c r="M74" i="27" s="1"/>
  <c r="F746" i="10"/>
  <c r="K754" i="10"/>
  <c r="ET64" i="9" s="1" a="1"/>
  <c r="ET64" i="9" s="1"/>
  <c r="D754" i="10"/>
  <c r="Q64" i="9" s="1" a="1"/>
  <c r="Q64" i="9" s="1"/>
  <c r="F754" i="10"/>
  <c r="BC64" i="9" s="1" a="1"/>
  <c r="BC64" i="9" s="1"/>
  <c r="G74" i="27" a="1"/>
  <c r="G74" i="27" s="1"/>
  <c r="L754" i="10"/>
  <c r="FM64" i="9" s="1" a="1"/>
  <c r="FM64" i="9" s="1"/>
  <c r="L746" i="10"/>
  <c r="P74" i="27" a="1"/>
  <c r="P74" i="27" s="1"/>
  <c r="F74" i="27" a="1"/>
  <c r="F74" i="27" s="1"/>
  <c r="L74" i="27" a="1"/>
  <c r="L74" i="27" s="1"/>
  <c r="P732" i="10"/>
  <c r="D760" i="10"/>
  <c r="X64" i="9" s="1" a="1"/>
  <c r="X64" i="9" s="1"/>
  <c r="N760" i="10"/>
  <c r="E760" i="10"/>
  <c r="L760" i="10"/>
  <c r="O760" i="10"/>
  <c r="N766" i="10"/>
  <c r="H766" i="10"/>
  <c r="J754" i="10"/>
  <c r="EA64" i="9" s="1" a="1"/>
  <c r="EA64" i="9" s="1"/>
  <c r="M766" i="10"/>
  <c r="O754" i="10"/>
  <c r="HR64" i="9" s="1" a="1"/>
  <c r="HR64" i="9" s="1"/>
  <c r="E766" i="10"/>
  <c r="E767" i="10"/>
  <c r="N767" i="10"/>
  <c r="B768" i="10"/>
  <c r="B769" i="10" s="1"/>
  <c r="B770" i="10" s="1"/>
  <c r="B771" i="10" s="1"/>
  <c r="B772" i="10" s="1"/>
  <c r="B773" i="10" s="1"/>
  <c r="B774" i="10" s="1"/>
  <c r="P767" i="10"/>
  <c r="P768" i="10" s="1"/>
  <c r="I767" i="10"/>
  <c r="M767" i="10"/>
  <c r="O767" i="10"/>
  <c r="L767" i="10"/>
  <c r="G767" i="10"/>
  <c r="J767" i="10"/>
  <c r="K767" i="10"/>
  <c r="H767" i="10"/>
  <c r="F767" i="10"/>
  <c r="D767" i="10"/>
  <c r="M754" i="10"/>
  <c r="GF64" i="9" s="1" a="1"/>
  <c r="GF64" i="9" s="1"/>
  <c r="G754" i="10"/>
  <c r="BV64" i="9" s="1" a="1"/>
  <c r="BV64" i="9" s="1"/>
  <c r="F766" i="10"/>
  <c r="K766" i="10"/>
  <c r="N754" i="10"/>
  <c r="GY64" i="9" s="1" a="1"/>
  <c r="GY64" i="9" s="1"/>
  <c r="I766" i="10"/>
  <c r="L766" i="10"/>
  <c r="P776" i="10"/>
  <c r="P780" i="10" s="1"/>
  <c r="L776" i="10"/>
  <c r="L783" i="10" s="1"/>
  <c r="E776" i="10"/>
  <c r="E783" i="10" s="1"/>
  <c r="K776" i="10"/>
  <c r="K783" i="10" s="1"/>
  <c r="F776" i="10"/>
  <c r="F783" i="10" s="1"/>
  <c r="B777" i="10"/>
  <c r="B778" i="10" s="1"/>
  <c r="B779" i="10" s="1"/>
  <c r="B780" i="10"/>
  <c r="B781" i="10" s="1"/>
  <c r="I776" i="10"/>
  <c r="I783" i="10" s="1"/>
  <c r="D776" i="10"/>
  <c r="D783" i="10" s="1"/>
  <c r="G776" i="10"/>
  <c r="O776" i="10"/>
  <c r="J776" i="10"/>
  <c r="J783" i="10" s="1"/>
  <c r="N776" i="10"/>
  <c r="H776" i="10"/>
  <c r="M776" i="10"/>
  <c r="M783" i="10" s="1"/>
  <c r="N769" i="10"/>
  <c r="H769" i="10"/>
  <c r="K769" i="10"/>
  <c r="E754" i="10"/>
  <c r="AJ64" i="9" s="1" a="1"/>
  <c r="AJ64" i="9" s="1"/>
  <c r="O766" i="10"/>
  <c r="G746" i="10"/>
  <c r="P769" i="10"/>
  <c r="H754" i="10"/>
  <c r="CO64" i="9" s="1" a="1"/>
  <c r="CO64" i="9" s="1"/>
  <c r="G766" i="10"/>
  <c r="J766" i="10"/>
  <c r="D769" i="10"/>
  <c r="M769" i="10"/>
  <c r="I754" i="10"/>
  <c r="DH64" i="9" s="1" a="1"/>
  <c r="DH64" i="9" s="1"/>
  <c r="E769" i="10"/>
  <c r="E1738" i="13" l="1"/>
  <c r="AP61" i="9" s="1" a="1"/>
  <c r="AP61" i="9" s="1"/>
  <c r="N1704" i="13"/>
  <c r="HE60" i="9" s="1" a="1"/>
  <c r="HE60" i="9" s="1"/>
  <c r="AN61" i="9"/>
  <c r="F1704" i="13"/>
  <c r="BI60" i="9" s="1" a="1"/>
  <c r="BI60" i="9" s="1"/>
  <c r="G1738" i="13"/>
  <c r="CB61" i="9" s="1" a="1"/>
  <c r="CB61" i="9" s="1"/>
  <c r="O1704" i="13"/>
  <c r="HX60" i="9" s="1" a="1"/>
  <c r="HX60" i="9" s="1"/>
  <c r="HZ60" i="9" s="1"/>
  <c r="IH60" i="9" s="1"/>
  <c r="N1799" i="13" a="1"/>
  <c r="N1799" i="13" s="1"/>
  <c r="N1800" i="13" s="1"/>
  <c r="N1801" i="13" s="1"/>
  <c r="G1704" i="13"/>
  <c r="CB60" i="9" s="1" a="1"/>
  <c r="CB60" i="9" s="1"/>
  <c r="O797" i="10"/>
  <c r="D1704" i="13"/>
  <c r="J1738" i="13"/>
  <c r="EG61" i="9" s="1" a="1"/>
  <c r="EG61" i="9" s="1"/>
  <c r="P797" i="10"/>
  <c r="H797" i="10"/>
  <c r="J797" i="10"/>
  <c r="G797" i="10"/>
  <c r="I797" i="10"/>
  <c r="M797" i="10"/>
  <c r="H804" i="10"/>
  <c r="H808" i="10" s="1"/>
  <c r="D804" i="10"/>
  <c r="D808" i="10" s="1"/>
  <c r="O804" i="10"/>
  <c r="O808" i="10" s="1"/>
  <c r="B805" i="10"/>
  <c r="B806" i="10" s="1"/>
  <c r="B807" i="10" s="1"/>
  <c r="E804" i="10"/>
  <c r="E808" i="10" s="1"/>
  <c r="G804" i="10"/>
  <c r="G808" i="10" s="1"/>
  <c r="K804" i="10"/>
  <c r="K808" i="10" s="1"/>
  <c r="N804" i="10"/>
  <c r="N808" i="10" s="1"/>
  <c r="I804" i="10"/>
  <c r="I808" i="10" s="1"/>
  <c r="F804" i="10"/>
  <c r="F808" i="10" s="1"/>
  <c r="J804" i="10"/>
  <c r="J808" i="10" s="1"/>
  <c r="M804" i="10"/>
  <c r="M808" i="10" s="1"/>
  <c r="B808" i="10"/>
  <c r="B809" i="10" s="1"/>
  <c r="P804" i="10"/>
  <c r="P808" i="10" s="1"/>
  <c r="L804" i="10"/>
  <c r="L808" i="10" s="1"/>
  <c r="R845" i="10"/>
  <c r="P840" i="10" a="1"/>
  <c r="P840" i="10" s="1"/>
  <c r="B831" i="10" a="1"/>
  <c r="B831" i="10" s="1"/>
  <c r="A831" i="10" a="1"/>
  <c r="A831" i="10" s="1"/>
  <c r="J795" i="10"/>
  <c r="J796" i="10" s="1"/>
  <c r="EA67" i="9" s="1" a="1"/>
  <c r="EA67" i="9" s="1"/>
  <c r="N795" i="10"/>
  <c r="N796" i="10" s="1"/>
  <c r="GY67" i="9" s="1" a="1"/>
  <c r="GY67" i="9" s="1"/>
  <c r="L795" i="10"/>
  <c r="L796" i="10" s="1"/>
  <c r="FM67" i="9" s="1" a="1"/>
  <c r="FM67" i="9" s="1"/>
  <c r="F795" i="10"/>
  <c r="F796" i="10" s="1"/>
  <c r="BC67" i="9" s="1" a="1"/>
  <c r="BC67" i="9" s="1"/>
  <c r="K795" i="10"/>
  <c r="K796" i="10" s="1"/>
  <c r="ET67" i="9" s="1" a="1"/>
  <c r="ET67" i="9" s="1"/>
  <c r="D795" i="10"/>
  <c r="D796" i="10" s="1"/>
  <c r="Q67" i="9" s="1" a="1"/>
  <c r="Q67" i="9" s="1"/>
  <c r="I795" i="10"/>
  <c r="I796" i="10" s="1"/>
  <c r="DH67" i="9" s="1" a="1"/>
  <c r="DH67" i="9" s="1"/>
  <c r="M795" i="10"/>
  <c r="M796" i="10" s="1"/>
  <c r="GF67" i="9" s="1" a="1"/>
  <c r="GF67" i="9" s="1"/>
  <c r="H795" i="10"/>
  <c r="H798" i="10" s="1" a="1"/>
  <c r="H798" i="10" s="1"/>
  <c r="P795" i="10"/>
  <c r="P796" i="10" s="1"/>
  <c r="E795" i="10"/>
  <c r="E796" i="10" s="1"/>
  <c r="AJ67" i="9" s="1" a="1"/>
  <c r="AJ67" i="9" s="1"/>
  <c r="B796" i="10"/>
  <c r="B797" i="10" s="1"/>
  <c r="B798" i="10" s="1"/>
  <c r="B799" i="10" s="1"/>
  <c r="B800" i="10" s="1"/>
  <c r="B801" i="10" s="1"/>
  <c r="B802" i="10" s="1"/>
  <c r="O795" i="10"/>
  <c r="G795" i="10"/>
  <c r="G796" i="10" s="1"/>
  <c r="BV67" i="9" s="1" a="1"/>
  <c r="BV67" i="9" s="1"/>
  <c r="K817" i="10"/>
  <c r="N817" i="10"/>
  <c r="J817" i="10"/>
  <c r="F817" i="10"/>
  <c r="G817" i="10"/>
  <c r="I817" i="10"/>
  <c r="M817" i="10"/>
  <c r="B818" i="10"/>
  <c r="E817" i="10"/>
  <c r="P817" i="10"/>
  <c r="D817" i="10"/>
  <c r="H817" i="10"/>
  <c r="L817" i="10"/>
  <c r="O817" i="10"/>
  <c r="D797" i="10"/>
  <c r="K797" i="10"/>
  <c r="L797" i="10"/>
  <c r="F797" i="10"/>
  <c r="N797" i="10"/>
  <c r="E797" i="10"/>
  <c r="EX61" i="9"/>
  <c r="O1738" i="13"/>
  <c r="HX61" i="9" s="1" a="1"/>
  <c r="HX61" i="9" s="1"/>
  <c r="H1738" i="13"/>
  <c r="CU61" i="9" s="1" a="1"/>
  <c r="CU61" i="9" s="1"/>
  <c r="K1738" i="13"/>
  <c r="EZ61" i="9" s="1" a="1"/>
  <c r="EZ61" i="9" s="1"/>
  <c r="N1738" i="13"/>
  <c r="HE61" i="9" s="1" a="1"/>
  <c r="HE61" i="9" s="1"/>
  <c r="H1704" i="13"/>
  <c r="CU60" i="9" s="1" a="1"/>
  <c r="CU60" i="9" s="1"/>
  <c r="BZ61" i="9"/>
  <c r="L1704" i="13"/>
  <c r="FS60" i="9" s="1" a="1"/>
  <c r="FS60" i="9" s="1"/>
  <c r="FQ60" i="9"/>
  <c r="CS61" i="9"/>
  <c r="HC61" i="9"/>
  <c r="CS60" i="9"/>
  <c r="HV61" i="9"/>
  <c r="K1704" i="13"/>
  <c r="EZ60" i="9" s="1" a="1"/>
  <c r="EZ60" i="9" s="1"/>
  <c r="FB60" i="9" s="1"/>
  <c r="D1734" i="13"/>
  <c r="T61" i="9" a="1"/>
  <c r="T61" i="9" s="1"/>
  <c r="E73" i="25" s="1" a="1"/>
  <c r="E73" i="25" s="1"/>
  <c r="K73" i="25" a="1"/>
  <c r="K73" i="25" s="1"/>
  <c r="EF61" i="9"/>
  <c r="L73" i="25" a="1"/>
  <c r="L73" i="25" s="1"/>
  <c r="EY61" i="9"/>
  <c r="I73" i="25" a="1"/>
  <c r="I73" i="25" s="1"/>
  <c r="CT61" i="9"/>
  <c r="F1734" i="13"/>
  <c r="BF61" i="9" a="1"/>
  <c r="BF61" i="9" s="1"/>
  <c r="F73" i="25" a="1"/>
  <c r="F73" i="25" s="1"/>
  <c r="AO61" i="9"/>
  <c r="M1736" i="13"/>
  <c r="GI61" i="9" a="1"/>
  <c r="GI61" i="9" s="1"/>
  <c r="GJ61" i="9" s="1"/>
  <c r="O73" i="25" a="1"/>
  <c r="O73" i="25" s="1"/>
  <c r="HD61" i="9"/>
  <c r="EE61" i="9"/>
  <c r="J73" i="25" a="1"/>
  <c r="J73" i="25" s="1"/>
  <c r="DM61" i="9"/>
  <c r="H73" i="25" a="1"/>
  <c r="H73" i="25" s="1"/>
  <c r="CA61" i="9"/>
  <c r="L1736" i="13"/>
  <c r="FP61" i="9" a="1"/>
  <c r="FP61" i="9" s="1"/>
  <c r="FQ61" i="9" s="1"/>
  <c r="P73" i="25" a="1"/>
  <c r="P73" i="25" s="1"/>
  <c r="HW61" i="9"/>
  <c r="V60" i="9"/>
  <c r="E1768" i="13"/>
  <c r="AM62" i="9" a="1"/>
  <c r="AM62" i="9" s="1"/>
  <c r="K1768" i="13"/>
  <c r="EW62" i="9" a="1"/>
  <c r="EW62" i="9" s="1"/>
  <c r="L1770" i="13"/>
  <c r="FP62" i="9" a="1"/>
  <c r="FP62" i="9" s="1"/>
  <c r="F1770" i="13"/>
  <c r="BF62" i="9" a="1"/>
  <c r="BF62" i="9" s="1"/>
  <c r="O1770" i="13"/>
  <c r="HU62" i="9" a="1"/>
  <c r="HU62" i="9" s="1"/>
  <c r="J1704" i="13"/>
  <c r="EG60" i="9" s="1" a="1"/>
  <c r="EG60" i="9" s="1"/>
  <c r="EI60" i="9" s="1"/>
  <c r="EQ60" i="9" s="1"/>
  <c r="M757" i="10"/>
  <c r="M1818" i="13" s="1" a="1"/>
  <c r="M1818" i="13" s="1"/>
  <c r="M1821" i="13" s="1" a="1"/>
  <c r="M1821" i="13" s="1"/>
  <c r="M1822" i="13" s="1"/>
  <c r="Q71" i="25"/>
  <c r="EE60" i="9"/>
  <c r="BZ60" i="9"/>
  <c r="P72" i="25" a="1"/>
  <c r="P72" i="25" s="1"/>
  <c r="HW60" i="9"/>
  <c r="HV60" i="9"/>
  <c r="I72" i="25" a="1"/>
  <c r="I72" i="25" s="1"/>
  <c r="CT60" i="9"/>
  <c r="G72" i="25" a="1"/>
  <c r="G72" i="25" s="1"/>
  <c r="BH60" i="9"/>
  <c r="K72" i="25" a="1"/>
  <c r="K72" i="25" s="1"/>
  <c r="EF60" i="9"/>
  <c r="L72" i="25" a="1"/>
  <c r="L72" i="25" s="1"/>
  <c r="EY60" i="9"/>
  <c r="H72" i="25" a="1"/>
  <c r="H72" i="25" s="1"/>
  <c r="CA60" i="9"/>
  <c r="O72" i="25" a="1"/>
  <c r="O72" i="25" s="1"/>
  <c r="HD60" i="9"/>
  <c r="M72" i="25" a="1"/>
  <c r="M72" i="25" s="1"/>
  <c r="FR60" i="9"/>
  <c r="G1763" i="13" a="1"/>
  <c r="G1763" i="13" s="1"/>
  <c r="G1764" i="13" s="1"/>
  <c r="G1767" i="13" s="1"/>
  <c r="M759" i="10"/>
  <c r="I1797" i="13" a="1"/>
  <c r="I1797" i="13" s="1"/>
  <c r="I1798" i="13" s="1"/>
  <c r="I1801" i="13" s="1"/>
  <c r="K1799" i="13" a="1"/>
  <c r="K1799" i="13" s="1"/>
  <c r="K1800" i="13" s="1"/>
  <c r="K1801" i="13" s="1"/>
  <c r="M1765" i="13" a="1"/>
  <c r="M1765" i="13" s="1"/>
  <c r="M1766" i="13" s="1"/>
  <c r="M1767" i="13" s="1"/>
  <c r="GI62" i="9" s="1" a="1"/>
  <c r="GI62" i="9" s="1"/>
  <c r="D1763" i="13" a="1"/>
  <c r="D1763" i="13" s="1"/>
  <c r="D1764" i="13" s="1"/>
  <c r="D1767" i="13" s="1"/>
  <c r="I1763" i="13" a="1"/>
  <c r="I1763" i="13" s="1"/>
  <c r="I1764" i="13" s="1"/>
  <c r="I1767" i="13" s="1"/>
  <c r="O1799" i="13" a="1"/>
  <c r="O1799" i="13" s="1"/>
  <c r="O1800" i="13" s="1"/>
  <c r="O1801" i="13" s="1"/>
  <c r="J1763" i="13" a="1"/>
  <c r="J1763" i="13" s="1"/>
  <c r="J1764" i="13" s="1"/>
  <c r="J1767" i="13" s="1"/>
  <c r="N1763" i="13" a="1"/>
  <c r="N1763" i="13" s="1"/>
  <c r="N1764" i="13" s="1"/>
  <c r="N1767" i="13" s="1"/>
  <c r="J1797" i="13" a="1"/>
  <c r="J1797" i="13" s="1"/>
  <c r="J1798" i="13" s="1"/>
  <c r="J1801" i="13" s="1"/>
  <c r="M1799" i="13" a="1"/>
  <c r="M1799" i="13" s="1"/>
  <c r="M1800" i="13" s="1"/>
  <c r="M1801" i="13" s="1"/>
  <c r="H1797" i="13" a="1"/>
  <c r="H1797" i="13" s="1"/>
  <c r="H1798" i="13" s="1"/>
  <c r="H1801" i="13" s="1"/>
  <c r="D768" i="10"/>
  <c r="Q65" i="9" s="1" a="1"/>
  <c r="Q65" i="9" s="1"/>
  <c r="GH62" i="9" a="1"/>
  <c r="GH62" i="9" s="1"/>
  <c r="HT62" i="9" a="1"/>
  <c r="HT62" i="9" s="1"/>
  <c r="O1820" i="13" a="1"/>
  <c r="O1820" i="13" s="1"/>
  <c r="O1833" i="13" s="1" a="1"/>
  <c r="O1833" i="13" s="1"/>
  <c r="O1834" i="13" s="1"/>
  <c r="HY64" i="9" a="1"/>
  <c r="HY64" i="9" s="1"/>
  <c r="HS64" i="9" a="1"/>
  <c r="HS64" i="9" s="1"/>
  <c r="P76" i="27" s="1" a="1"/>
  <c r="P76" i="27" s="1"/>
  <c r="D1797" i="13" a="1"/>
  <c r="D1797" i="13" s="1"/>
  <c r="D1798" i="13" s="1"/>
  <c r="D1801" i="13" s="1"/>
  <c r="HA62" i="9" a="1"/>
  <c r="HA62" i="9" s="1"/>
  <c r="N1820" i="13" a="1"/>
  <c r="N1820" i="13" s="1"/>
  <c r="N1833" i="13" s="1" a="1"/>
  <c r="N1833" i="13" s="1"/>
  <c r="N1834" i="13" s="1"/>
  <c r="HF64" i="9" a="1"/>
  <c r="HF64" i="9" s="1"/>
  <c r="GZ64" i="9" a="1"/>
  <c r="GZ64" i="9" s="1"/>
  <c r="O76" i="27" s="1" a="1"/>
  <c r="O76" i="27" s="1"/>
  <c r="L1786" i="13" a="1"/>
  <c r="L1786" i="13" s="1"/>
  <c r="L1797" i="13" s="1" a="1"/>
  <c r="L1797" i="13" s="1"/>
  <c r="L1798" i="13" s="1"/>
  <c r="FT63" i="9" a="1"/>
  <c r="FT63" i="9" s="1"/>
  <c r="FN63" i="9" a="1"/>
  <c r="FN63" i="9" s="1"/>
  <c r="M75" i="27" s="1" a="1"/>
  <c r="M75" i="27" s="1"/>
  <c r="FO62" i="9" a="1"/>
  <c r="FO62" i="9" s="1"/>
  <c r="L1820" i="13" a="1"/>
  <c r="L1820" i="13" s="1"/>
  <c r="L1833" i="13" s="1" a="1"/>
  <c r="L1833" i="13" s="1"/>
  <c r="L1834" i="13" s="1"/>
  <c r="FT64" i="9" a="1"/>
  <c r="FT64" i="9" s="1"/>
  <c r="FN64" i="9" a="1"/>
  <c r="FN64" i="9" s="1"/>
  <c r="M76" i="27" s="1" a="1"/>
  <c r="M76" i="27" s="1"/>
  <c r="EV62" i="9" a="1"/>
  <c r="EV62" i="9" s="1"/>
  <c r="BX62" i="9" a="1"/>
  <c r="BX62" i="9" s="1"/>
  <c r="H1765" i="13" a="1"/>
  <c r="H1765" i="13" s="1"/>
  <c r="H1766" i="13" s="1"/>
  <c r="H1767" i="13" s="1"/>
  <c r="BE62" i="9" a="1"/>
  <c r="BE62" i="9" s="1"/>
  <c r="G1786" i="13" a="1"/>
  <c r="G1786" i="13" s="1"/>
  <c r="G1799" i="13" s="1" a="1"/>
  <c r="G1799" i="13" s="1"/>
  <c r="G1800" i="13" s="1"/>
  <c r="CC63" i="9" a="1"/>
  <c r="CC63" i="9" s="1"/>
  <c r="BW63" i="9" a="1"/>
  <c r="BW63" i="9" s="1"/>
  <c r="H75" i="27" s="1" a="1"/>
  <c r="H75" i="27" s="1"/>
  <c r="F1786" i="13" a="1"/>
  <c r="F1786" i="13" s="1"/>
  <c r="F1797" i="13" s="1" a="1"/>
  <c r="F1797" i="13" s="1"/>
  <c r="F1798" i="13" s="1"/>
  <c r="BJ63" i="9" a="1"/>
  <c r="BJ63" i="9" s="1"/>
  <c r="BD63" i="9" a="1"/>
  <c r="BD63" i="9" s="1"/>
  <c r="G75" i="27" s="1" a="1"/>
  <c r="G75" i="27" s="1"/>
  <c r="BE61" i="9" a="1"/>
  <c r="BE61" i="9" s="1"/>
  <c r="E1786" i="13" a="1"/>
  <c r="E1786" i="13" s="1"/>
  <c r="E1797" i="13" s="1" a="1"/>
  <c r="E1797" i="13" s="1"/>
  <c r="E1798" i="13" s="1"/>
  <c r="AK63" i="9" a="1"/>
  <c r="AK63" i="9" s="1"/>
  <c r="F75" i="27" s="1" a="1"/>
  <c r="F75" i="27" s="1"/>
  <c r="AQ63" i="9" a="1"/>
  <c r="AQ63" i="9" s="1"/>
  <c r="E1820" i="13" a="1"/>
  <c r="E1820" i="13" s="1"/>
  <c r="E1831" i="13" s="1" a="1"/>
  <c r="E1831" i="13" s="1"/>
  <c r="E1832" i="13" s="1"/>
  <c r="AK64" i="9" a="1"/>
  <c r="AK64" i="9" s="1"/>
  <c r="F76" i="27" s="1" a="1"/>
  <c r="F76" i="27" s="1"/>
  <c r="AQ64" i="9" a="1"/>
  <c r="AQ64" i="9" s="1"/>
  <c r="AP59" i="9" a="1"/>
  <c r="AP59" i="9" s="1"/>
  <c r="AR59" i="9" s="1"/>
  <c r="AZ59" i="9" s="1"/>
  <c r="AL62" i="9" a="1"/>
  <c r="AL62" i="9" s="1"/>
  <c r="L1789" i="13" a="1"/>
  <c r="L1789" i="13" s="1"/>
  <c r="L1790" i="13" s="1"/>
  <c r="L1791" i="13" s="1"/>
  <c r="D1820" i="13" a="1"/>
  <c r="D1820" i="13" s="1"/>
  <c r="D1833" i="13" s="1" a="1"/>
  <c r="D1833" i="13" s="1"/>
  <c r="D1834" i="13" s="1"/>
  <c r="R64" i="9" a="1"/>
  <c r="R64" i="9" s="1"/>
  <c r="E76" i="27" s="1" a="1"/>
  <c r="E76" i="27" s="1"/>
  <c r="H760" i="10"/>
  <c r="L1794" i="13" a="1"/>
  <c r="L1794" i="13" s="1"/>
  <c r="L1795" i="13" s="1"/>
  <c r="L1796" i="13" s="1"/>
  <c r="IN55" i="9"/>
  <c r="IO55" i="9" s="1"/>
  <c r="J759" i="10"/>
  <c r="S60" i="9" a="1"/>
  <c r="S60" i="9" s="1"/>
  <c r="U60" i="9" s="1"/>
  <c r="D1736" i="13"/>
  <c r="H758" i="10"/>
  <c r="H1819" i="13" s="1" a="1"/>
  <c r="H1819" i="13" s="1"/>
  <c r="H1828" i="13" s="1" a="1"/>
  <c r="H1828" i="13" s="1"/>
  <c r="H1829" i="13" s="1"/>
  <c r="H757" i="10"/>
  <c r="H1818" i="13" s="1" a="1"/>
  <c r="H1818" i="13" s="1"/>
  <c r="H1821" i="13" s="1" a="1"/>
  <c r="H1821" i="13" s="1"/>
  <c r="H1822" i="13" s="1"/>
  <c r="P745" i="10"/>
  <c r="I1796" i="13"/>
  <c r="I1762" i="13"/>
  <c r="J758" i="10"/>
  <c r="J1819" i="13" s="1" a="1"/>
  <c r="J1819" i="13" s="1"/>
  <c r="J1826" i="13" s="1" a="1"/>
  <c r="J1826" i="13" s="1"/>
  <c r="J1827" i="13" s="1"/>
  <c r="H1796" i="13"/>
  <c r="P743" i="10"/>
  <c r="D1723" i="13"/>
  <c r="J1791" i="13"/>
  <c r="K1791" i="13"/>
  <c r="P770" i="10" a="1"/>
  <c r="P770" i="10" s="1"/>
  <c r="N1791" i="13"/>
  <c r="M1796" i="13"/>
  <c r="M1791" i="13"/>
  <c r="M1734" i="13"/>
  <c r="E1796" i="13"/>
  <c r="H1791" i="13"/>
  <c r="J1757" i="13"/>
  <c r="K1796" i="13"/>
  <c r="D1757" i="13"/>
  <c r="H1762" i="13"/>
  <c r="I1757" i="13"/>
  <c r="H1757" i="13"/>
  <c r="D1762" i="13"/>
  <c r="F1823" i="13" a="1"/>
  <c r="F1823" i="13" s="1"/>
  <c r="F1824" i="13" s="1"/>
  <c r="F1821" i="13" a="1"/>
  <c r="F1821" i="13" s="1"/>
  <c r="F1822" i="13" s="1"/>
  <c r="M770" i="10" a="1"/>
  <c r="M770" i="10" s="1"/>
  <c r="M773" i="10" s="1"/>
  <c r="K1770" i="13"/>
  <c r="G1787" i="13" a="1"/>
  <c r="G1787" i="13" s="1"/>
  <c r="G1788" i="13" s="1"/>
  <c r="G1789" i="13" a="1"/>
  <c r="G1789" i="13" s="1"/>
  <c r="G1790" i="13" s="1"/>
  <c r="G770" i="10" a="1"/>
  <c r="G770" i="10" s="1"/>
  <c r="G773" i="10" s="1"/>
  <c r="O1796" i="13"/>
  <c r="P744" i="10"/>
  <c r="K1826" i="13" a="1"/>
  <c r="K1826" i="13" s="1"/>
  <c r="K1827" i="13" s="1"/>
  <c r="K1828" i="13" a="1"/>
  <c r="K1828" i="13" s="1"/>
  <c r="K1829" i="13" s="1"/>
  <c r="D770" i="10" a="1"/>
  <c r="D770" i="10" s="1"/>
  <c r="D773" i="10" s="1"/>
  <c r="K770" i="10" a="1"/>
  <c r="K770" i="10" s="1"/>
  <c r="K773" i="10" s="1"/>
  <c r="O1828" i="13" a="1"/>
  <c r="O1828" i="13" s="1"/>
  <c r="O1829" i="13" s="1"/>
  <c r="O1826" i="13" a="1"/>
  <c r="O1826" i="13" s="1"/>
  <c r="O1827" i="13" s="1"/>
  <c r="O770" i="10" a="1"/>
  <c r="O770" i="10" s="1"/>
  <c r="O773" i="10" s="1"/>
  <c r="F1789" i="13" a="1"/>
  <c r="F1789" i="13" s="1"/>
  <c r="F1790" i="13" s="1"/>
  <c r="F1787" i="13" a="1"/>
  <c r="F1787" i="13" s="1"/>
  <c r="F1788" i="13" s="1"/>
  <c r="F770" i="10" a="1"/>
  <c r="F770" i="10" s="1"/>
  <c r="F773" i="10" s="1"/>
  <c r="D1792" i="13" a="1"/>
  <c r="D1792" i="13" s="1"/>
  <c r="D1793" i="13" s="1"/>
  <c r="D1794" i="13" a="1"/>
  <c r="D1794" i="13" s="1"/>
  <c r="D1795" i="13" s="1"/>
  <c r="M1826" i="13" a="1"/>
  <c r="M1826" i="13" s="1"/>
  <c r="M1827" i="13" s="1"/>
  <c r="M1828" i="13" a="1"/>
  <c r="M1828" i="13" s="1"/>
  <c r="M1829" i="13" s="1"/>
  <c r="L1821" i="13" a="1"/>
  <c r="L1821" i="13" s="1"/>
  <c r="L1822" i="13" s="1"/>
  <c r="L1823" i="13" a="1"/>
  <c r="L1823" i="13" s="1"/>
  <c r="L1824" i="13" s="1"/>
  <c r="N1821" i="13" a="1"/>
  <c r="N1821" i="13" s="1"/>
  <c r="N1822" i="13" s="1"/>
  <c r="N1823" i="13" a="1"/>
  <c r="N1823" i="13" s="1"/>
  <c r="N1824" i="13" s="1"/>
  <c r="I1791" i="13"/>
  <c r="O1821" i="13" a="1"/>
  <c r="O1821" i="13" s="1"/>
  <c r="O1822" i="13" s="1"/>
  <c r="O1823" i="13" a="1"/>
  <c r="O1823" i="13" s="1"/>
  <c r="O1824" i="13" s="1"/>
  <c r="E1823" i="13" a="1"/>
  <c r="E1823" i="13" s="1"/>
  <c r="E1824" i="13" s="1"/>
  <c r="E1821" i="13" a="1"/>
  <c r="E1821" i="13" s="1"/>
  <c r="E1822" i="13" s="1"/>
  <c r="L1826" i="13" a="1"/>
  <c r="L1826" i="13" s="1"/>
  <c r="L1827" i="13" s="1"/>
  <c r="L1828" i="13" a="1"/>
  <c r="L1828" i="13" s="1"/>
  <c r="L1829" i="13" s="1"/>
  <c r="N770" i="10" a="1"/>
  <c r="N770" i="10" s="1"/>
  <c r="N773" i="10" s="1"/>
  <c r="I770" i="10" a="1"/>
  <c r="I770" i="10" s="1"/>
  <c r="I773" i="10" s="1"/>
  <c r="G1823" i="13" a="1"/>
  <c r="G1823" i="13" s="1"/>
  <c r="G1824" i="13" s="1"/>
  <c r="G1821" i="13" a="1"/>
  <c r="G1821" i="13" s="1"/>
  <c r="G1822" i="13" s="1"/>
  <c r="N1828" i="13" a="1"/>
  <c r="N1828" i="13" s="1"/>
  <c r="N1829" i="13" s="1"/>
  <c r="N1826" i="13" a="1"/>
  <c r="N1826" i="13" s="1"/>
  <c r="N1827" i="13" s="1"/>
  <c r="G1794" i="13" a="1"/>
  <c r="G1794" i="13" s="1"/>
  <c r="G1795" i="13" s="1"/>
  <c r="G1792" i="13" a="1"/>
  <c r="G1792" i="13" s="1"/>
  <c r="G1793" i="13" s="1"/>
  <c r="H770" i="10" a="1"/>
  <c r="H770" i="10" s="1"/>
  <c r="H773" i="10" s="1"/>
  <c r="F1736" i="13"/>
  <c r="E1770" i="13"/>
  <c r="E1828" i="13" a="1"/>
  <c r="E1828" i="13" s="1"/>
  <c r="E1829" i="13" s="1"/>
  <c r="E1826" i="13" a="1"/>
  <c r="E1826" i="13" s="1"/>
  <c r="E1827" i="13" s="1"/>
  <c r="F1794" i="13" a="1"/>
  <c r="F1794" i="13" s="1"/>
  <c r="F1795" i="13" s="1"/>
  <c r="F1792" i="13" a="1"/>
  <c r="F1792" i="13" s="1"/>
  <c r="F1793" i="13" s="1"/>
  <c r="F1768" i="13"/>
  <c r="D1787" i="13" a="1"/>
  <c r="D1787" i="13" s="1"/>
  <c r="D1788" i="13" s="1"/>
  <c r="D1789" i="13" a="1"/>
  <c r="D1789" i="13" s="1"/>
  <c r="D1790" i="13" s="1"/>
  <c r="I757" i="10"/>
  <c r="I1818" i="13" s="1" a="1"/>
  <c r="I1818" i="13" s="1"/>
  <c r="I759" i="10"/>
  <c r="I758" i="10"/>
  <c r="I1819" i="13" s="1" a="1"/>
  <c r="I1819" i="13" s="1"/>
  <c r="J1762" i="13"/>
  <c r="O1791" i="13"/>
  <c r="L770" i="10" a="1"/>
  <c r="L770" i="10" s="1"/>
  <c r="L773" i="10" s="1"/>
  <c r="E1791" i="13"/>
  <c r="K1821" i="13" a="1"/>
  <c r="K1821" i="13" s="1"/>
  <c r="K1822" i="13" s="1"/>
  <c r="K1823" i="13" a="1"/>
  <c r="K1823" i="13" s="1"/>
  <c r="K1824" i="13" s="1"/>
  <c r="G1828" i="13" a="1"/>
  <c r="G1828" i="13" s="1"/>
  <c r="G1829" i="13" s="1"/>
  <c r="G1826" i="13" a="1"/>
  <c r="G1826" i="13" s="1"/>
  <c r="G1827" i="13" s="1"/>
  <c r="D1818" i="13" a="1"/>
  <c r="D1818" i="13" s="1"/>
  <c r="E770" i="10" a="1"/>
  <c r="E770" i="10" s="1"/>
  <c r="E773" i="10" s="1"/>
  <c r="J1796" i="13"/>
  <c r="J770" i="10" a="1"/>
  <c r="J770" i="10" s="1"/>
  <c r="N1796" i="13"/>
  <c r="J1823" i="13" a="1"/>
  <c r="J1823" i="13" s="1"/>
  <c r="J1824" i="13" s="1"/>
  <c r="J1821" i="13" a="1"/>
  <c r="J1821" i="13" s="1"/>
  <c r="J1822" i="13" s="1"/>
  <c r="D1728" i="13"/>
  <c r="F1826" i="13" a="1"/>
  <c r="F1826" i="13" s="1"/>
  <c r="F1827" i="13" s="1"/>
  <c r="F1828" i="13" a="1"/>
  <c r="F1828" i="13" s="1"/>
  <c r="F1829" i="13" s="1"/>
  <c r="D1819" i="13" a="1"/>
  <c r="D1819" i="13" s="1"/>
  <c r="O1768" i="13"/>
  <c r="L1768" i="13"/>
  <c r="L1734" i="13"/>
  <c r="F760" i="10"/>
  <c r="K760" i="10"/>
  <c r="G760" i="10"/>
  <c r="CE58" i="9" a="1"/>
  <c r="CE58" i="9" s="1"/>
  <c r="CM58" i="9" s="1"/>
  <c r="I71" i="24" s="1" a="1"/>
  <c r="I71" i="24" s="1"/>
  <c r="IA59" i="9" a="1"/>
  <c r="IA59" i="9" s="1"/>
  <c r="II59" i="9" s="1"/>
  <c r="Q72" i="24" s="1" a="1"/>
  <c r="Q72" i="24" s="1"/>
  <c r="CW60" i="9"/>
  <c r="DE60" i="9" s="1"/>
  <c r="GO59" i="9" a="1"/>
  <c r="GO59" i="9" s="1"/>
  <c r="GW59" i="9" s="1"/>
  <c r="O72" i="24" s="1" a="1"/>
  <c r="O72" i="24" s="1"/>
  <c r="GO60" i="9" a="1"/>
  <c r="GO60" i="9" s="1"/>
  <c r="GW60" i="9" s="1"/>
  <c r="O73" i="24" s="1" a="1"/>
  <c r="O73" i="24" s="1"/>
  <c r="Z58" i="9" a="1"/>
  <c r="Z58" i="9" s="1"/>
  <c r="AH58" i="9" s="1"/>
  <c r="F71" i="24" s="1" a="1"/>
  <c r="F71" i="24" s="1"/>
  <c r="HH59" i="9" a="1"/>
  <c r="HH59" i="9" s="1"/>
  <c r="HP59" i="9" s="1"/>
  <c r="P72" i="24" s="1" a="1"/>
  <c r="P72" i="24" s="1"/>
  <c r="BT56" i="9"/>
  <c r="H69" i="24" s="1" a="1"/>
  <c r="H69" i="24" s="1"/>
  <c r="FJ60" i="9"/>
  <c r="DQ58" i="9" a="1"/>
  <c r="DQ58" i="9" s="1"/>
  <c r="DY58" i="9" s="1"/>
  <c r="K71" i="24" s="1" a="1"/>
  <c r="K71" i="24" s="1"/>
  <c r="CX59" i="9" a="1"/>
  <c r="CX59" i="9" s="1"/>
  <c r="DF59" i="9" s="1"/>
  <c r="J72" i="24" s="1" a="1"/>
  <c r="J72" i="24" s="1"/>
  <c r="IJ57" i="9"/>
  <c r="IK57" i="9" s="1"/>
  <c r="EJ58" i="9" a="1"/>
  <c r="EJ58" i="9" s="1"/>
  <c r="ER58" i="9" s="1"/>
  <c r="L71" i="24" s="1" a="1"/>
  <c r="L71" i="24" s="1"/>
  <c r="FC59" i="9" a="1"/>
  <c r="FC59" i="9" s="1"/>
  <c r="FK59" i="9" s="1"/>
  <c r="M72" i="24" s="1" a="1"/>
  <c r="M72" i="24" s="1"/>
  <c r="EJ59" i="9" a="1"/>
  <c r="EJ59" i="9" s="1"/>
  <c r="ER59" i="9" s="1"/>
  <c r="L72" i="24" s="1" a="1"/>
  <c r="L72" i="24" s="1"/>
  <c r="FV59" i="9" a="1"/>
  <c r="FV59" i="9" s="1"/>
  <c r="GD59" i="9" s="1"/>
  <c r="N72" i="24" s="1" a="1"/>
  <c r="N72" i="24" s="1"/>
  <c r="GO58" i="9" a="1"/>
  <c r="GO58" i="9" s="1"/>
  <c r="GW58" i="9" s="1"/>
  <c r="O71" i="24" s="1" a="1"/>
  <c r="O71" i="24" s="1"/>
  <c r="BT57" i="9"/>
  <c r="AR60" i="9"/>
  <c r="AZ60" i="9" s="1"/>
  <c r="CL59" i="9"/>
  <c r="CE59" i="9" a="1"/>
  <c r="CE59" i="9" s="1"/>
  <c r="HG60" i="9"/>
  <c r="HO60" i="9" s="1"/>
  <c r="W59" i="9" a="1"/>
  <c r="W59" i="9" s="1"/>
  <c r="Y59" i="9" s="1"/>
  <c r="AG59" i="9" s="1"/>
  <c r="BK60" i="9"/>
  <c r="BS60" i="9" s="1"/>
  <c r="DP60" i="9"/>
  <c r="DX60" i="9" s="1"/>
  <c r="G768" i="10"/>
  <c r="BV65" i="9" s="1" a="1"/>
  <c r="BV65" i="9" s="1"/>
  <c r="H768" i="10"/>
  <c r="CO65" i="9" s="1" a="1"/>
  <c r="CO65" i="9" s="1"/>
  <c r="O768" i="10"/>
  <c r="HR65" i="9" s="1" a="1"/>
  <c r="HR65" i="9" s="1"/>
  <c r="I768" i="10"/>
  <c r="DH65" i="9" s="1" a="1"/>
  <c r="DH65" i="9" s="1"/>
  <c r="J768" i="10"/>
  <c r="EA65" i="9" s="1" a="1"/>
  <c r="EA65" i="9" s="1"/>
  <c r="L768" i="10"/>
  <c r="FM65" i="9" s="1" a="1"/>
  <c r="FM65" i="9" s="1"/>
  <c r="N768" i="10"/>
  <c r="GY65" i="9" s="1" a="1"/>
  <c r="GY65" i="9" s="1"/>
  <c r="K768" i="10"/>
  <c r="ET65" i="9" s="1" a="1"/>
  <c r="ET65" i="9" s="1"/>
  <c r="P746" i="10"/>
  <c r="H780" i="10"/>
  <c r="E768" i="10"/>
  <c r="AJ65" i="9" s="1" a="1"/>
  <c r="AJ65" i="9" s="1"/>
  <c r="N780" i="10"/>
  <c r="F780" i="10"/>
  <c r="J780" i="10"/>
  <c r="K780" i="10"/>
  <c r="F768" i="10"/>
  <c r="BC65" i="9" s="1" a="1"/>
  <c r="BC65" i="9" s="1"/>
  <c r="M768" i="10"/>
  <c r="GF65" i="9" s="1" a="1"/>
  <c r="GF65" i="9" s="1"/>
  <c r="O780" i="10"/>
  <c r="E780" i="10"/>
  <c r="O783" i="10"/>
  <c r="G780" i="10"/>
  <c r="L780" i="10"/>
  <c r="P783" i="10"/>
  <c r="I760" i="10"/>
  <c r="J760" i="10"/>
  <c r="D780" i="10"/>
  <c r="G783" i="10"/>
  <c r="I780" i="10"/>
  <c r="H783" i="10"/>
  <c r="M760" i="10"/>
  <c r="M780" i="10"/>
  <c r="D781" i="10"/>
  <c r="D784" i="10" s="1" a="1"/>
  <c r="D784" i="10" s="1"/>
  <c r="I781" i="10"/>
  <c r="I784" i="10" s="1" a="1"/>
  <c r="I784" i="10" s="1"/>
  <c r="H781" i="10"/>
  <c r="P781" i="10"/>
  <c r="P782" i="10" s="1"/>
  <c r="G781" i="10"/>
  <c r="M781" i="10"/>
  <c r="M784" i="10" s="1" a="1"/>
  <c r="M784" i="10" s="1"/>
  <c r="B782" i="10"/>
  <c r="B783" i="10" s="1"/>
  <c r="B784" i="10" s="1"/>
  <c r="B785" i="10" s="1"/>
  <c r="B786" i="10" s="1"/>
  <c r="B787" i="10" s="1"/>
  <c r="B788" i="10" s="1"/>
  <c r="E781" i="10"/>
  <c r="E784" i="10" s="1" a="1"/>
  <c r="E784" i="10" s="1"/>
  <c r="N781" i="10"/>
  <c r="O781" i="10"/>
  <c r="F781" i="10"/>
  <c r="F784" i="10" s="1" a="1"/>
  <c r="F784" i="10" s="1"/>
  <c r="K781" i="10"/>
  <c r="K784" i="10" s="1" a="1"/>
  <c r="K784" i="10" s="1"/>
  <c r="L781" i="10"/>
  <c r="L784" i="10" s="1" a="1"/>
  <c r="L784" i="10" s="1"/>
  <c r="J781" i="10"/>
  <c r="J784" i="10" s="1" a="1"/>
  <c r="J784" i="10" s="1"/>
  <c r="N783" i="10"/>
  <c r="IL58" i="9"/>
  <c r="IM58" i="9" s="1"/>
  <c r="J75" i="27" a="1"/>
  <c r="J75" i="27" s="1"/>
  <c r="N75" i="27" a="1"/>
  <c r="N75" i="27" s="1"/>
  <c r="K75" i="27" a="1"/>
  <c r="K75" i="27" s="1"/>
  <c r="E75" i="27" a="1"/>
  <c r="E75" i="27" s="1"/>
  <c r="L75" i="27" a="1"/>
  <c r="L75" i="27" s="1"/>
  <c r="O75" i="27" a="1"/>
  <c r="O75" i="27" s="1"/>
  <c r="I75" i="27" a="1"/>
  <c r="I75" i="27" s="1"/>
  <c r="P75" i="27" a="1"/>
  <c r="P75" i="27" s="1"/>
  <c r="O798" i="10" l="1" a="1"/>
  <c r="O798" i="10" s="1"/>
  <c r="F1772" i="13"/>
  <c r="BI62" i="9" s="1" a="1"/>
  <c r="BI62" i="9" s="1"/>
  <c r="IN57" i="9"/>
  <c r="IO57" i="9" s="1"/>
  <c r="H70" i="24" a="1"/>
  <c r="H70" i="24" s="1"/>
  <c r="H796" i="10"/>
  <c r="CO67" i="9" s="1" a="1"/>
  <c r="CO67" i="9" s="1"/>
  <c r="O796" i="10"/>
  <c r="HR67" i="9" s="1" a="1"/>
  <c r="HR67" i="9" s="1"/>
  <c r="E798" i="10" a="1"/>
  <c r="E798" i="10" s="1"/>
  <c r="E800" i="10" s="1"/>
  <c r="E1921" i="13" s="1" a="1"/>
  <c r="E1921" i="13" s="1"/>
  <c r="L1738" i="13"/>
  <c r="FS61" i="9" s="1" a="1"/>
  <c r="FS61" i="9" s="1"/>
  <c r="E811" i="10"/>
  <c r="J798" i="10" a="1"/>
  <c r="J798" i="10" s="1"/>
  <c r="J802" i="10" s="1"/>
  <c r="FC60" i="9" a="1"/>
  <c r="FC60" i="9" s="1"/>
  <c r="FK60" i="9" s="1"/>
  <c r="M73" i="24" s="1" a="1"/>
  <c r="M73" i="24" s="1"/>
  <c r="L798" i="10" a="1"/>
  <c r="L798" i="10" s="1"/>
  <c r="L802" i="10" s="1"/>
  <c r="O811" i="10"/>
  <c r="G798" i="10" a="1"/>
  <c r="G798" i="10" s="1"/>
  <c r="G802" i="10" s="1"/>
  <c r="N811" i="10"/>
  <c r="M798" i="10" a="1"/>
  <c r="M798" i="10" s="1"/>
  <c r="M799" i="10" s="1"/>
  <c r="M1920" i="13" s="1" a="1"/>
  <c r="M1920" i="13" s="1"/>
  <c r="D798" i="10" a="1"/>
  <c r="D798" i="10" s="1"/>
  <c r="D801" i="10" s="1"/>
  <c r="I811" i="10"/>
  <c r="H811" i="10"/>
  <c r="F798" i="10" a="1"/>
  <c r="F798" i="10" s="1"/>
  <c r="F800" i="10" s="1"/>
  <c r="F1921" i="13" s="1" a="1"/>
  <c r="F1921" i="13" s="1"/>
  <c r="M811" i="10"/>
  <c r="D811" i="10"/>
  <c r="K811" i="10"/>
  <c r="F811" i="10"/>
  <c r="L811" i="10"/>
  <c r="J811" i="10"/>
  <c r="I798" i="10" a="1"/>
  <c r="I798" i="10" s="1"/>
  <c r="I799" i="10" s="1"/>
  <c r="I1920" i="13" s="1" a="1"/>
  <c r="I1920" i="13" s="1"/>
  <c r="K798" i="10" a="1"/>
  <c r="K798" i="10" s="1"/>
  <c r="K802" i="10" s="1"/>
  <c r="L1772" i="13"/>
  <c r="FS62" i="9" s="1" a="1"/>
  <c r="FS62" i="9" s="1"/>
  <c r="H800" i="10"/>
  <c r="H1921" i="13" s="1" a="1"/>
  <c r="H1921" i="13" s="1"/>
  <c r="H801" i="10"/>
  <c r="H802" i="10"/>
  <c r="H799" i="10"/>
  <c r="H1920" i="13" s="1" a="1"/>
  <c r="H1920" i="13" s="1"/>
  <c r="O800" i="10"/>
  <c r="O1921" i="13" s="1" a="1"/>
  <c r="O1921" i="13" s="1"/>
  <c r="O801" i="10"/>
  <c r="O802" i="10"/>
  <c r="O799" i="10"/>
  <c r="O1920" i="13" s="1" a="1"/>
  <c r="O1920" i="13" s="1"/>
  <c r="P811" i="10"/>
  <c r="D818" i="10"/>
  <c r="D822" i="10" s="1"/>
  <c r="O818" i="10"/>
  <c r="O822" i="10" s="1"/>
  <c r="B819" i="10"/>
  <c r="B820" i="10" s="1"/>
  <c r="B821" i="10" s="1"/>
  <c r="G818" i="10"/>
  <c r="G822" i="10" s="1"/>
  <c r="K818" i="10"/>
  <c r="K822" i="10" s="1"/>
  <c r="L818" i="10"/>
  <c r="L822" i="10" s="1"/>
  <c r="N818" i="10"/>
  <c r="N822" i="10" s="1"/>
  <c r="J818" i="10"/>
  <c r="J822" i="10" s="1"/>
  <c r="H818" i="10"/>
  <c r="H822" i="10" s="1"/>
  <c r="F818" i="10"/>
  <c r="F822" i="10" s="1"/>
  <c r="I818" i="10"/>
  <c r="I822" i="10" s="1"/>
  <c r="M818" i="10"/>
  <c r="M822" i="10" s="1"/>
  <c r="B822" i="10"/>
  <c r="B823" i="10" s="1"/>
  <c r="E818" i="10"/>
  <c r="E822" i="10" s="1"/>
  <c r="P818" i="10"/>
  <c r="P822" i="10" s="1"/>
  <c r="L809" i="10"/>
  <c r="L810" i="10" s="1"/>
  <c r="FM68" i="9" s="1" a="1"/>
  <c r="FM68" i="9" s="1"/>
  <c r="B810" i="10"/>
  <c r="B811" i="10" s="1"/>
  <c r="B812" i="10" s="1"/>
  <c r="B813" i="10" s="1"/>
  <c r="B814" i="10" s="1"/>
  <c r="B815" i="10" s="1"/>
  <c r="B816" i="10" s="1"/>
  <c r="H809" i="10"/>
  <c r="H810" i="10" s="1"/>
  <c r="CO68" i="9" s="1" a="1"/>
  <c r="CO68" i="9" s="1"/>
  <c r="E809" i="10"/>
  <c r="E810" i="10" s="1"/>
  <c r="AJ68" i="9" s="1" a="1"/>
  <c r="AJ68" i="9" s="1"/>
  <c r="D809" i="10"/>
  <c r="D810" i="10" s="1"/>
  <c r="Q68" i="9" s="1" a="1"/>
  <c r="Q68" i="9" s="1"/>
  <c r="O809" i="10"/>
  <c r="M809" i="10"/>
  <c r="M810" i="10" s="1"/>
  <c r="GF68" i="9" s="1" a="1"/>
  <c r="GF68" i="9" s="1"/>
  <c r="F809" i="10"/>
  <c r="F810" i="10" s="1"/>
  <c r="BC68" i="9" s="1" a="1"/>
  <c r="BC68" i="9" s="1"/>
  <c r="K809" i="10"/>
  <c r="K810" i="10" s="1"/>
  <c r="ET68" i="9" s="1" a="1"/>
  <c r="ET68" i="9" s="1"/>
  <c r="G809" i="10"/>
  <c r="G810" i="10" s="1"/>
  <c r="BV68" i="9" s="1" a="1"/>
  <c r="BV68" i="9" s="1"/>
  <c r="J809" i="10"/>
  <c r="N809" i="10"/>
  <c r="N810" i="10" s="1"/>
  <c r="GY68" i="9" s="1" a="1"/>
  <c r="GY68" i="9" s="1"/>
  <c r="I809" i="10"/>
  <c r="I810" i="10" s="1"/>
  <c r="DH68" i="9" s="1" a="1"/>
  <c r="DH68" i="9" s="1"/>
  <c r="P809" i="10"/>
  <c r="P810" i="10" s="1"/>
  <c r="G811" i="10"/>
  <c r="I831" i="10"/>
  <c r="J831" i="10"/>
  <c r="B832" i="10"/>
  <c r="L831" i="10"/>
  <c r="F831" i="10"/>
  <c r="M831" i="10"/>
  <c r="P831" i="10"/>
  <c r="E831" i="10"/>
  <c r="H831" i="10"/>
  <c r="O831" i="10"/>
  <c r="D831" i="10"/>
  <c r="G831" i="10"/>
  <c r="K831" i="10"/>
  <c r="N831" i="10"/>
  <c r="B845" i="10" a="1"/>
  <c r="B845" i="10" s="1"/>
  <c r="P854" i="10" a="1"/>
  <c r="P854" i="10" s="1"/>
  <c r="R859" i="10"/>
  <c r="A845" i="10" a="1"/>
  <c r="A845" i="10" s="1"/>
  <c r="N798" i="10" a="1"/>
  <c r="N798" i="10" s="1"/>
  <c r="F1738" i="13"/>
  <c r="BI61" i="9" s="1" a="1"/>
  <c r="BI61" i="9" s="1"/>
  <c r="BK61" i="9" s="1"/>
  <c r="BS61" i="9" s="1"/>
  <c r="EC62" i="9" a="1"/>
  <c r="EC62" i="9" s="1"/>
  <c r="D1738" i="13"/>
  <c r="O1772" i="13"/>
  <c r="HX62" i="9" s="1" a="1"/>
  <c r="HX62" i="9" s="1"/>
  <c r="E1772" i="13"/>
  <c r="AP62" i="9" s="1" a="1"/>
  <c r="AP62" i="9" s="1"/>
  <c r="M1823" i="13" a="1"/>
  <c r="M1823" i="13" s="1"/>
  <c r="M1824" i="13" s="1"/>
  <c r="M1825" i="13" s="1"/>
  <c r="E1799" i="13" a="1"/>
  <c r="E1799" i="13" s="1"/>
  <c r="E1800" i="13" s="1"/>
  <c r="E1801" i="13" s="1"/>
  <c r="M1738" i="13"/>
  <c r="GL61" i="9" s="1" a="1"/>
  <c r="GL61" i="9" s="1"/>
  <c r="GN61" i="9" s="1"/>
  <c r="GV61" i="9" s="1"/>
  <c r="K1772" i="13"/>
  <c r="EZ62" i="9" s="1" a="1"/>
  <c r="EZ62" i="9" s="1"/>
  <c r="V61" i="9"/>
  <c r="BG62" i="9"/>
  <c r="BG61" i="9"/>
  <c r="AN62" i="9"/>
  <c r="N73" i="25" a="1"/>
  <c r="N73" i="25" s="1"/>
  <c r="GK61" i="9"/>
  <c r="HV62" i="9"/>
  <c r="G73" i="25" a="1"/>
  <c r="G73" i="25" s="1"/>
  <c r="BH61" i="9"/>
  <c r="M73" i="25" a="1"/>
  <c r="M73" i="25" s="1"/>
  <c r="FR61" i="9"/>
  <c r="EX62" i="9"/>
  <c r="FQ62" i="9"/>
  <c r="G74" i="25" a="1"/>
  <c r="G74" i="25" s="1"/>
  <c r="BH62" i="9"/>
  <c r="GJ62" i="9"/>
  <c r="I1768" i="13"/>
  <c r="DK62" i="9" a="1"/>
  <c r="DK62" i="9" s="1"/>
  <c r="M74" i="25" a="1"/>
  <c r="M74" i="25" s="1"/>
  <c r="FR62" i="9"/>
  <c r="N74" i="25" a="1"/>
  <c r="N74" i="25" s="1"/>
  <c r="GK62" i="9"/>
  <c r="L74" i="25" a="1"/>
  <c r="L74" i="25" s="1"/>
  <c r="EY62" i="9"/>
  <c r="D1770" i="13"/>
  <c r="T62" i="9" a="1"/>
  <c r="T62" i="9" s="1"/>
  <c r="E74" i="25" s="1" a="1"/>
  <c r="E74" i="25" s="1"/>
  <c r="H1768" i="13"/>
  <c r="CR62" i="9" a="1"/>
  <c r="CR62" i="9" s="1"/>
  <c r="G1768" i="13"/>
  <c r="BY62" i="9" a="1"/>
  <c r="BY62" i="9" s="1"/>
  <c r="BZ62" i="9" s="1"/>
  <c r="N1770" i="13"/>
  <c r="HB62" i="9" a="1"/>
  <c r="HB62" i="9" s="1"/>
  <c r="HC62" i="9" s="1"/>
  <c r="P74" i="25" a="1"/>
  <c r="P74" i="25" s="1"/>
  <c r="HW62" i="9"/>
  <c r="F74" i="25" a="1"/>
  <c r="F74" i="25" s="1"/>
  <c r="AO62" i="9"/>
  <c r="J1768" i="13"/>
  <c r="ED62" i="9" a="1"/>
  <c r="ED62" i="9" s="1"/>
  <c r="D1804" i="13"/>
  <c r="T63" i="9" a="1"/>
  <c r="T63" i="9" s="1"/>
  <c r="E75" i="25" s="1" a="1"/>
  <c r="E75" i="25" s="1"/>
  <c r="H1802" i="13"/>
  <c r="CR63" i="9" a="1"/>
  <c r="CR63" i="9" s="1"/>
  <c r="M1804" i="13"/>
  <c r="GI63" i="9" a="1"/>
  <c r="GI63" i="9" s="1"/>
  <c r="K1802" i="13"/>
  <c r="EW63" i="9" a="1"/>
  <c r="EW63" i="9" s="1"/>
  <c r="J1804" i="13"/>
  <c r="ED63" i="9" a="1"/>
  <c r="ED63" i="9" s="1"/>
  <c r="Q72" i="25"/>
  <c r="N1802" i="13"/>
  <c r="HB63" i="9" a="1"/>
  <c r="HB63" i="9" s="1"/>
  <c r="O1804" i="13"/>
  <c r="HU63" i="9" a="1"/>
  <c r="HU63" i="9" s="1"/>
  <c r="I1802" i="13"/>
  <c r="DK63" i="9" a="1"/>
  <c r="DK63" i="9" s="1"/>
  <c r="F1799" i="13" a="1"/>
  <c r="F1799" i="13" s="1"/>
  <c r="F1800" i="13" s="1"/>
  <c r="F1801" i="13" s="1"/>
  <c r="L1799" i="13" a="1"/>
  <c r="L1799" i="13" s="1"/>
  <c r="L1800" i="13" s="1"/>
  <c r="L1801" i="13" s="1"/>
  <c r="O1831" i="13" a="1"/>
  <c r="O1831" i="13" s="1"/>
  <c r="O1832" i="13" s="1"/>
  <c r="O1835" i="13" s="1"/>
  <c r="L1831" i="13" a="1"/>
  <c r="L1831" i="13" s="1"/>
  <c r="L1832" i="13" s="1"/>
  <c r="L1835" i="13" s="1"/>
  <c r="N1831" i="13" a="1"/>
  <c r="N1831" i="13" s="1"/>
  <c r="N1832" i="13" s="1"/>
  <c r="N1835" i="13" s="1"/>
  <c r="HA63" i="9" a="1"/>
  <c r="HA63" i="9" s="1"/>
  <c r="D774" i="10"/>
  <c r="X65" i="9" s="1" a="1"/>
  <c r="X65" i="9" s="1"/>
  <c r="HT63" i="9" a="1"/>
  <c r="HT63" i="9" s="1"/>
  <c r="GH63" i="9" a="1"/>
  <c r="GH63" i="9" s="1"/>
  <c r="EV63" i="9" a="1"/>
  <c r="EV63" i="9" s="1"/>
  <c r="E1833" i="13" a="1"/>
  <c r="E1833" i="13" s="1"/>
  <c r="E1834" i="13" s="1"/>
  <c r="E1835" i="13" s="1"/>
  <c r="M1820" i="13" a="1"/>
  <c r="M1820" i="13" s="1"/>
  <c r="M1831" i="13" s="1" a="1"/>
  <c r="M1831" i="13" s="1"/>
  <c r="M1832" i="13" s="1"/>
  <c r="GM64" i="9" a="1"/>
  <c r="GM64" i="9" s="1"/>
  <c r="GG64" i="9" a="1"/>
  <c r="GG64" i="9" s="1"/>
  <c r="S61" i="9" a="1"/>
  <c r="S61" i="9" s="1"/>
  <c r="U61" i="9" s="1"/>
  <c r="D1831" i="13" a="1"/>
  <c r="D1831" i="13" s="1"/>
  <c r="D1832" i="13" s="1"/>
  <c r="D1835" i="13" s="1"/>
  <c r="FO63" i="9" a="1"/>
  <c r="FO63" i="9" s="1"/>
  <c r="K1820" i="13" a="1"/>
  <c r="K1820" i="13" s="1"/>
  <c r="K1831" i="13" s="1" a="1"/>
  <c r="K1831" i="13" s="1"/>
  <c r="K1832" i="13" s="1"/>
  <c r="FA64" i="9" a="1"/>
  <c r="FA64" i="9" s="1"/>
  <c r="EU64" i="9" a="1"/>
  <c r="EU64" i="9" s="1"/>
  <c r="EC63" i="9" a="1"/>
  <c r="EC63" i="9" s="1"/>
  <c r="DJ63" i="9" a="1"/>
  <c r="DJ63" i="9" s="1"/>
  <c r="CQ63" i="9" a="1"/>
  <c r="CQ63" i="9" s="1"/>
  <c r="G1797" i="13" a="1"/>
  <c r="G1797" i="13" s="1"/>
  <c r="G1798" i="13" s="1"/>
  <c r="G1801" i="13" s="1"/>
  <c r="J1820" i="13" a="1"/>
  <c r="J1820" i="13" s="1"/>
  <c r="J1831" i="13" s="1" a="1"/>
  <c r="J1831" i="13" s="1"/>
  <c r="J1832" i="13" s="1"/>
  <c r="EH64" i="9" a="1"/>
  <c r="EH64" i="9" s="1"/>
  <c r="EB64" i="9" a="1"/>
  <c r="EB64" i="9" s="1"/>
  <c r="DJ62" i="9" a="1"/>
  <c r="DJ62" i="9" s="1"/>
  <c r="I1820" i="13" a="1"/>
  <c r="I1820" i="13" s="1"/>
  <c r="I1831" i="13" s="1" a="1"/>
  <c r="I1831" i="13" s="1"/>
  <c r="I1832" i="13" s="1"/>
  <c r="DO64" i="9" a="1"/>
  <c r="DO64" i="9" s="1"/>
  <c r="DI64" i="9" a="1"/>
  <c r="DI64" i="9" s="1"/>
  <c r="H1820" i="13" a="1"/>
  <c r="H1820" i="13" s="1"/>
  <c r="CV64" i="9" a="1"/>
  <c r="CV64" i="9" s="1"/>
  <c r="CP64" i="9" a="1"/>
  <c r="CP64" i="9" s="1"/>
  <c r="CQ62" i="9" a="1"/>
  <c r="CQ62" i="9" s="1"/>
  <c r="G1820" i="13" a="1"/>
  <c r="G1820" i="13" s="1"/>
  <c r="G1831" i="13" s="1" a="1"/>
  <c r="G1831" i="13" s="1"/>
  <c r="G1832" i="13" s="1"/>
  <c r="CC64" i="9" a="1"/>
  <c r="CC64" i="9" s="1"/>
  <c r="BW64" i="9" a="1"/>
  <c r="BW64" i="9" s="1"/>
  <c r="F1820" i="13" a="1"/>
  <c r="F1820" i="13" s="1"/>
  <c r="F1833" i="13" s="1" a="1"/>
  <c r="F1833" i="13" s="1"/>
  <c r="F1834" i="13" s="1"/>
  <c r="BJ64" i="9" a="1"/>
  <c r="BJ64" i="9" s="1"/>
  <c r="BD64" i="9" a="1"/>
  <c r="BD64" i="9" s="1"/>
  <c r="AS59" i="9" a="1"/>
  <c r="AS59" i="9" s="1"/>
  <c r="BA59" i="9" s="1"/>
  <c r="G72" i="24" s="1" a="1"/>
  <c r="G72" i="24" s="1"/>
  <c r="H1826" i="13" a="1"/>
  <c r="H1826" i="13" s="1"/>
  <c r="H1827" i="13" s="1"/>
  <c r="H1830" i="13" s="1"/>
  <c r="AL63" i="9" a="1"/>
  <c r="AL63" i="9" s="1"/>
  <c r="P759" i="10"/>
  <c r="H774" i="10"/>
  <c r="H1823" i="13" a="1"/>
  <c r="H1823" i="13" s="1"/>
  <c r="H1824" i="13" s="1"/>
  <c r="H1825" i="13" s="1"/>
  <c r="G774" i="10"/>
  <c r="K774" i="10"/>
  <c r="IN56" i="9"/>
  <c r="IO56" i="9" s="1"/>
  <c r="I774" i="10"/>
  <c r="P757" i="10"/>
  <c r="I1770" i="13"/>
  <c r="L774" i="10"/>
  <c r="J1828" i="13" a="1"/>
  <c r="J1828" i="13" s="1"/>
  <c r="J1829" i="13" s="1"/>
  <c r="J1830" i="13" s="1"/>
  <c r="G1770" i="13"/>
  <c r="O774" i="10"/>
  <c r="G1830" i="13"/>
  <c r="K1825" i="13"/>
  <c r="F1796" i="13"/>
  <c r="P758" i="10"/>
  <c r="K1830" i="13"/>
  <c r="L1830" i="13"/>
  <c r="D1791" i="13"/>
  <c r="O1830" i="13"/>
  <c r="J1825" i="13"/>
  <c r="G1796" i="13"/>
  <c r="P784" i="10" a="1"/>
  <c r="P784" i="10" s="1"/>
  <c r="N1830" i="13"/>
  <c r="F1791" i="13"/>
  <c r="O1825" i="13"/>
  <c r="M1830" i="13"/>
  <c r="D786" i="10"/>
  <c r="D785" i="10"/>
  <c r="D787" i="10"/>
  <c r="E786" i="10"/>
  <c r="E1887" i="13" s="1" a="1"/>
  <c r="E1887" i="13" s="1"/>
  <c r="E785" i="10"/>
  <c r="E1886" i="13" s="1" a="1"/>
  <c r="E1886" i="13" s="1"/>
  <c r="E787" i="10"/>
  <c r="J787" i="10"/>
  <c r="J785" i="10"/>
  <c r="J1886" i="13" s="1" a="1"/>
  <c r="J1886" i="13" s="1"/>
  <c r="J786" i="10"/>
  <c r="J1887" i="13" s="1" a="1"/>
  <c r="J1887" i="13" s="1"/>
  <c r="M787" i="10"/>
  <c r="M785" i="10"/>
  <c r="M1886" i="13" s="1" a="1"/>
  <c r="M1886" i="13" s="1"/>
  <c r="M786" i="10"/>
  <c r="M1887" i="13" s="1" a="1"/>
  <c r="M1887" i="13" s="1"/>
  <c r="L787" i="10"/>
  <c r="L786" i="10"/>
  <c r="L1887" i="13" s="1" a="1"/>
  <c r="L1887" i="13" s="1"/>
  <c r="L785" i="10"/>
  <c r="L1886" i="13" s="1" a="1"/>
  <c r="L1886" i="13" s="1"/>
  <c r="K786" i="10"/>
  <c r="K1887" i="13" s="1" a="1"/>
  <c r="K1887" i="13" s="1"/>
  <c r="K787" i="10"/>
  <c r="K785" i="10"/>
  <c r="K1886" i="13" s="1" a="1"/>
  <c r="K1886" i="13" s="1"/>
  <c r="F787" i="10"/>
  <c r="F785" i="10"/>
  <c r="F1886" i="13" s="1" a="1"/>
  <c r="F1886" i="13" s="1"/>
  <c r="F786" i="10"/>
  <c r="F1887" i="13" s="1" a="1"/>
  <c r="F1887" i="13" s="1"/>
  <c r="I785" i="10"/>
  <c r="I1886" i="13" s="1" a="1"/>
  <c r="I1886" i="13" s="1"/>
  <c r="I786" i="10"/>
  <c r="I1887" i="13" s="1" a="1"/>
  <c r="I1887" i="13" s="1"/>
  <c r="I787" i="10"/>
  <c r="D1826" i="13" a="1"/>
  <c r="D1826" i="13" s="1"/>
  <c r="D1827" i="13" s="1"/>
  <c r="D1828" i="13" a="1"/>
  <c r="D1828" i="13" s="1"/>
  <c r="D1829" i="13" s="1"/>
  <c r="O784" i="10" a="1"/>
  <c r="O784" i="10" s="1"/>
  <c r="O785" i="10" s="1"/>
  <c r="O1886" i="13" s="1" a="1"/>
  <c r="O1886" i="13" s="1"/>
  <c r="G1825" i="13"/>
  <c r="N771" i="10"/>
  <c r="N1852" i="13" s="1" a="1"/>
  <c r="N1852" i="13" s="1"/>
  <c r="N772" i="10"/>
  <c r="N1853" i="13" s="1" a="1"/>
  <c r="N1853" i="13" s="1"/>
  <c r="G784" i="10" a="1"/>
  <c r="G784" i="10" s="1"/>
  <c r="G787" i="10" s="1"/>
  <c r="K1804" i="13"/>
  <c r="F1830" i="13"/>
  <c r="O771" i="10"/>
  <c r="O1852" i="13" s="1" a="1"/>
  <c r="O1852" i="13" s="1"/>
  <c r="O772" i="10"/>
  <c r="O1853" i="13" s="1" a="1"/>
  <c r="O1853" i="13" s="1"/>
  <c r="K771" i="10"/>
  <c r="K1852" i="13" s="1" a="1"/>
  <c r="K1852" i="13" s="1"/>
  <c r="K772" i="10"/>
  <c r="K1853" i="13" s="1" a="1"/>
  <c r="K1853" i="13" s="1"/>
  <c r="I1826" i="13" a="1"/>
  <c r="I1826" i="13" s="1"/>
  <c r="I1827" i="13" s="1"/>
  <c r="I1828" i="13" a="1"/>
  <c r="I1828" i="13" s="1"/>
  <c r="I1829" i="13" s="1"/>
  <c r="I771" i="10"/>
  <c r="I1852" i="13" s="1" a="1"/>
  <c r="I1852" i="13" s="1"/>
  <c r="I772" i="10"/>
  <c r="I1853" i="13" s="1" a="1"/>
  <c r="I1853" i="13" s="1"/>
  <c r="N1768" i="13"/>
  <c r="L771" i="10"/>
  <c r="L1852" i="13" s="1" a="1"/>
  <c r="L1852" i="13" s="1"/>
  <c r="L772" i="10"/>
  <c r="L1853" i="13" s="1" a="1"/>
  <c r="L1853" i="13" s="1"/>
  <c r="E1830" i="13"/>
  <c r="D1796" i="13"/>
  <c r="D771" i="10"/>
  <c r="D772" i="10"/>
  <c r="G771" i="10"/>
  <c r="G1852" i="13" s="1" a="1"/>
  <c r="G1852" i="13" s="1"/>
  <c r="G772" i="10"/>
  <c r="G1853" i="13" s="1" a="1"/>
  <c r="G1853" i="13" s="1"/>
  <c r="J771" i="10"/>
  <c r="J1852" i="13" s="1" a="1"/>
  <c r="J1852" i="13" s="1"/>
  <c r="J772" i="10"/>
  <c r="J1853" i="13" s="1" a="1"/>
  <c r="J1853" i="13" s="1"/>
  <c r="D1821" i="13" a="1"/>
  <c r="D1821" i="13" s="1"/>
  <c r="D1822" i="13" s="1"/>
  <c r="D1823" i="13" a="1"/>
  <c r="D1823" i="13" s="1"/>
  <c r="D1824" i="13" s="1"/>
  <c r="I1821" i="13" a="1"/>
  <c r="I1821" i="13" s="1"/>
  <c r="I1822" i="13" s="1"/>
  <c r="I1823" i="13" a="1"/>
  <c r="I1823" i="13" s="1"/>
  <c r="I1824" i="13" s="1"/>
  <c r="E1825" i="13"/>
  <c r="N1825" i="13"/>
  <c r="G1791" i="13"/>
  <c r="M771" i="10"/>
  <c r="M1852" i="13" s="1" a="1"/>
  <c r="M1852" i="13" s="1"/>
  <c r="M772" i="10"/>
  <c r="M1853" i="13" s="1" a="1"/>
  <c r="M1853" i="13" s="1"/>
  <c r="N784" i="10" a="1"/>
  <c r="N784" i="10" s="1"/>
  <c r="N787" i="10" s="1"/>
  <c r="F771" i="10"/>
  <c r="F1852" i="13" s="1" a="1"/>
  <c r="F1852" i="13" s="1"/>
  <c r="F772" i="10"/>
  <c r="F1853" i="13" s="1" a="1"/>
  <c r="F1853" i="13" s="1"/>
  <c r="H784" i="10" a="1"/>
  <c r="H784" i="10" s="1"/>
  <c r="H786" i="10" s="1"/>
  <c r="H1887" i="13" s="1" a="1"/>
  <c r="H1887" i="13" s="1"/>
  <c r="J773" i="10"/>
  <c r="P773" i="10" s="1"/>
  <c r="E771" i="10"/>
  <c r="E1852" i="13" s="1" a="1"/>
  <c r="E1852" i="13" s="1"/>
  <c r="E772" i="10"/>
  <c r="E1853" i="13" s="1" a="1"/>
  <c r="E1853" i="13" s="1"/>
  <c r="H771" i="10"/>
  <c r="H1852" i="13" s="1" a="1"/>
  <c r="H1852" i="13" s="1"/>
  <c r="H772" i="10"/>
  <c r="H1853" i="13" s="1" a="1"/>
  <c r="H1853" i="13" s="1"/>
  <c r="L1825" i="13"/>
  <c r="F1825" i="13"/>
  <c r="J1802" i="13"/>
  <c r="J1770" i="13"/>
  <c r="I1804" i="13"/>
  <c r="D1802" i="13"/>
  <c r="N1804" i="13"/>
  <c r="H1804" i="13"/>
  <c r="M1802" i="13"/>
  <c r="D1768" i="13"/>
  <c r="O1802" i="13"/>
  <c r="H1770" i="13"/>
  <c r="M1770" i="13"/>
  <c r="M1768" i="13"/>
  <c r="J774" i="10"/>
  <c r="CD60" i="9"/>
  <c r="CL60" i="9" s="1"/>
  <c r="IJ58" i="9"/>
  <c r="IK58" i="9" s="1"/>
  <c r="CX60" i="9" a="1"/>
  <c r="CX60" i="9" s="1"/>
  <c r="DF60" i="9" s="1"/>
  <c r="J73" i="24" s="1" a="1"/>
  <c r="J73" i="24" s="1"/>
  <c r="EJ60" i="9" a="1"/>
  <c r="EJ60" i="9" s="1"/>
  <c r="ER60" i="9" s="1"/>
  <c r="L73" i="24" s="1" a="1"/>
  <c r="L73" i="24" s="1"/>
  <c r="IL59" i="9"/>
  <c r="IM59" i="9" s="1"/>
  <c r="BL60" i="9" a="1"/>
  <c r="BL60" i="9" s="1"/>
  <c r="BT60" i="9" s="1"/>
  <c r="H73" i="24" s="1" a="1"/>
  <c r="H73" i="24" s="1"/>
  <c r="Z59" i="9" a="1"/>
  <c r="Z59" i="9" s="1"/>
  <c r="AH59" i="9" s="1"/>
  <c r="F72" i="24" s="1" a="1"/>
  <c r="F72" i="24" s="1"/>
  <c r="IA60" i="9" a="1"/>
  <c r="IA60" i="9" s="1"/>
  <c r="II60" i="9" s="1"/>
  <c r="Q73" i="24" s="1" a="1"/>
  <c r="Q73" i="24" s="1"/>
  <c r="HH60" i="9" a="1"/>
  <c r="HH60" i="9" s="1"/>
  <c r="HP60" i="9" s="1"/>
  <c r="P73" i="24" s="1" a="1"/>
  <c r="P73" i="24" s="1"/>
  <c r="AS60" i="9" a="1"/>
  <c r="AS60" i="9" s="1"/>
  <c r="BA60" i="9" s="1"/>
  <c r="G73" i="24" s="1" a="1"/>
  <c r="G73" i="24" s="1"/>
  <c r="FU60" i="9"/>
  <c r="GC60" i="9" s="1"/>
  <c r="W60" i="9" a="1"/>
  <c r="W60" i="9" s="1"/>
  <c r="Y60" i="9" s="1"/>
  <c r="AG60" i="9" s="1"/>
  <c r="HZ61" i="9"/>
  <c r="IH61" i="9" s="1"/>
  <c r="HG61" i="9"/>
  <c r="HO61" i="9" s="1"/>
  <c r="CM59" i="9"/>
  <c r="I72" i="24" s="1" a="1"/>
  <c r="I72" i="24" s="1"/>
  <c r="CW61" i="9"/>
  <c r="DE61" i="9" s="1"/>
  <c r="AR61" i="9"/>
  <c r="AZ61" i="9" s="1"/>
  <c r="EI61" i="9"/>
  <c r="EQ61" i="9" s="1"/>
  <c r="DQ60" i="9" a="1"/>
  <c r="DQ60" i="9" s="1"/>
  <c r="DY60" i="9" s="1"/>
  <c r="K73" i="24" s="1" a="1"/>
  <c r="K73" i="24" s="1"/>
  <c r="DP61" i="9"/>
  <c r="DX61" i="9" s="1"/>
  <c r="CD61" i="9"/>
  <c r="CL61" i="9" s="1"/>
  <c r="IN58" i="9"/>
  <c r="IO58" i="9" s="1"/>
  <c r="K788" i="10"/>
  <c r="F788" i="10"/>
  <c r="D788" i="10"/>
  <c r="J788" i="10"/>
  <c r="M788" i="10"/>
  <c r="L788" i="10"/>
  <c r="F774" i="10"/>
  <c r="I782" i="10"/>
  <c r="DH66" i="9" s="1" a="1"/>
  <c r="DH66" i="9" s="1"/>
  <c r="E782" i="10"/>
  <c r="AJ66" i="9" s="1" a="1"/>
  <c r="AJ66" i="9" s="1"/>
  <c r="N774" i="10"/>
  <c r="E774" i="10"/>
  <c r="O782" i="10"/>
  <c r="HR66" i="9" s="1" a="1"/>
  <c r="HR66" i="9" s="1"/>
  <c r="F782" i="10"/>
  <c r="BC66" i="9" s="1" a="1"/>
  <c r="BC66" i="9" s="1"/>
  <c r="M774" i="10"/>
  <c r="K782" i="10"/>
  <c r="ET66" i="9" s="1" a="1"/>
  <c r="ET66" i="9" s="1"/>
  <c r="H782" i="10"/>
  <c r="CO66" i="9" s="1" a="1"/>
  <c r="CO66" i="9" s="1"/>
  <c r="M782" i="10"/>
  <c r="GF66" i="9" s="1" a="1"/>
  <c r="GF66" i="9" s="1"/>
  <c r="L782" i="10"/>
  <c r="FM66" i="9" s="1" a="1"/>
  <c r="FM66" i="9" s="1"/>
  <c r="P760" i="10"/>
  <c r="N782" i="10"/>
  <c r="GY66" i="9" s="1" a="1"/>
  <c r="GY66" i="9" s="1"/>
  <c r="D782" i="10"/>
  <c r="Q66" i="9" s="1" a="1"/>
  <c r="Q66" i="9" s="1"/>
  <c r="J782" i="10"/>
  <c r="EA66" i="9" s="1" a="1"/>
  <c r="EA66" i="9" s="1"/>
  <c r="G782" i="10"/>
  <c r="BV66" i="9" s="1" a="1"/>
  <c r="BV66" i="9" s="1"/>
  <c r="I788" i="10"/>
  <c r="J812" i="10" l="1" a="1"/>
  <c r="J812" i="10" s="1"/>
  <c r="J814" i="10" s="1"/>
  <c r="J1955" i="13" s="1" a="1"/>
  <c r="J1955" i="13" s="1"/>
  <c r="J801" i="10"/>
  <c r="O812" i="10" a="1"/>
  <c r="O812" i="10" s="1"/>
  <c r="O815" i="10" s="1"/>
  <c r="E799" i="10"/>
  <c r="E1920" i="13" s="1" a="1"/>
  <c r="E1920" i="13" s="1"/>
  <c r="E1923" i="13" s="1" a="1"/>
  <c r="E1923" i="13" s="1"/>
  <c r="E1924" i="13" s="1"/>
  <c r="O810" i="10"/>
  <c r="HR68" i="9" s="1" a="1"/>
  <c r="HR68" i="9" s="1"/>
  <c r="J810" i="10"/>
  <c r="EA68" i="9" s="1" a="1"/>
  <c r="EA68" i="9" s="1"/>
  <c r="E801" i="10"/>
  <c r="E802" i="10"/>
  <c r="E1922" i="13" s="1" a="1"/>
  <c r="E1922" i="13" s="1"/>
  <c r="J825" i="10"/>
  <c r="L801" i="10"/>
  <c r="H812" i="10" a="1"/>
  <c r="H812" i="10" s="1"/>
  <c r="H815" i="10" s="1"/>
  <c r="L799" i="10"/>
  <c r="L1920" i="13" s="1" a="1"/>
  <c r="L1920" i="13" s="1"/>
  <c r="L1925" i="13" s="1" a="1"/>
  <c r="L1925" i="13" s="1"/>
  <c r="L1926" i="13" s="1"/>
  <c r="M801" i="10"/>
  <c r="I812" i="10" a="1"/>
  <c r="I812" i="10" s="1"/>
  <c r="I816" i="10" s="1"/>
  <c r="J800" i="10"/>
  <c r="J1921" i="13" s="1" a="1"/>
  <c r="J1921" i="13" s="1"/>
  <c r="J1930" i="13" s="1" a="1"/>
  <c r="J1930" i="13" s="1"/>
  <c r="J1931" i="13" s="1"/>
  <c r="M800" i="10"/>
  <c r="M1921" i="13" s="1" a="1"/>
  <c r="M1921" i="13" s="1"/>
  <c r="M1928" i="13" s="1" a="1"/>
  <c r="M1928" i="13" s="1"/>
  <c r="M1929" i="13" s="1"/>
  <c r="M802" i="10"/>
  <c r="M1922" i="13" s="1" a="1"/>
  <c r="M1922" i="13" s="1"/>
  <c r="L800" i="10"/>
  <c r="L1921" i="13" s="1" a="1"/>
  <c r="L1921" i="13" s="1"/>
  <c r="L1928" i="13" s="1" a="1"/>
  <c r="L1928" i="13" s="1"/>
  <c r="L1929" i="13" s="1"/>
  <c r="G800" i="10"/>
  <c r="G1921" i="13" s="1" a="1"/>
  <c r="G1921" i="13" s="1"/>
  <c r="G1928" i="13" s="1" a="1"/>
  <c r="G1928" i="13" s="1"/>
  <c r="G1929" i="13" s="1"/>
  <c r="N812" i="10" a="1"/>
  <c r="N812" i="10" s="1"/>
  <c r="N816" i="10" s="1"/>
  <c r="F801" i="10"/>
  <c r="F802" i="10"/>
  <c r="F1922" i="13" s="1" a="1"/>
  <c r="F1922" i="13" s="1"/>
  <c r="E812" i="10" a="1"/>
  <c r="E812" i="10" s="1"/>
  <c r="E813" i="10" s="1"/>
  <c r="E1954" i="13" s="1" a="1"/>
  <c r="E1954" i="13" s="1"/>
  <c r="J799" i="10"/>
  <c r="J1920" i="13" s="1" a="1"/>
  <c r="J1920" i="13" s="1"/>
  <c r="J1923" i="13" s="1" a="1"/>
  <c r="J1923" i="13" s="1"/>
  <c r="J1924" i="13" s="1"/>
  <c r="K801" i="10"/>
  <c r="L812" i="10" a="1"/>
  <c r="L812" i="10" s="1"/>
  <c r="L816" i="10" s="1"/>
  <c r="D800" i="10"/>
  <c r="D1921" i="13" s="1" a="1"/>
  <c r="D1921" i="13" s="1"/>
  <c r="D1930" i="13" s="1" a="1"/>
  <c r="D1930" i="13" s="1"/>
  <c r="D1931" i="13" s="1"/>
  <c r="K825" i="10"/>
  <c r="D799" i="10"/>
  <c r="D1920" i="13" s="1" a="1"/>
  <c r="D1920" i="13" s="1"/>
  <c r="D1923" i="13" s="1" a="1"/>
  <c r="D1923" i="13" s="1"/>
  <c r="D1924" i="13" s="1"/>
  <c r="D802" i="10"/>
  <c r="D1922" i="13" s="1" a="1"/>
  <c r="D1922" i="13" s="1"/>
  <c r="G801" i="10"/>
  <c r="G799" i="10"/>
  <c r="G1920" i="13" s="1" a="1"/>
  <c r="G1920" i="13" s="1"/>
  <c r="G1923" i="13" s="1" a="1"/>
  <c r="G1923" i="13" s="1"/>
  <c r="G1924" i="13" s="1"/>
  <c r="D812" i="10" a="1"/>
  <c r="D812" i="10" s="1"/>
  <c r="D813" i="10" s="1"/>
  <c r="D1954" i="13" s="1" a="1"/>
  <c r="D1954" i="13" s="1"/>
  <c r="G825" i="10"/>
  <c r="M812" i="10" a="1"/>
  <c r="M812" i="10" s="1"/>
  <c r="M815" i="10" s="1"/>
  <c r="K812" i="10" a="1"/>
  <c r="K812" i="10" s="1"/>
  <c r="K816" i="10" s="1"/>
  <c r="K799" i="10"/>
  <c r="K1920" i="13" s="1" a="1"/>
  <c r="K1920" i="13" s="1"/>
  <c r="K1925" i="13" s="1" a="1"/>
  <c r="K1925" i="13" s="1"/>
  <c r="K1926" i="13" s="1"/>
  <c r="D825" i="10"/>
  <c r="K800" i="10"/>
  <c r="K1921" i="13" s="1" a="1"/>
  <c r="K1921" i="13" s="1"/>
  <c r="K1928" i="13" s="1" a="1"/>
  <c r="K1928" i="13" s="1"/>
  <c r="K1929" i="13" s="1"/>
  <c r="F812" i="10" a="1"/>
  <c r="F812" i="10" s="1"/>
  <c r="F813" i="10" s="1"/>
  <c r="F1954" i="13" s="1" a="1"/>
  <c r="F1954" i="13" s="1"/>
  <c r="F799" i="10"/>
  <c r="F1920" i="13" s="1" a="1"/>
  <c r="F1920" i="13" s="1"/>
  <c r="F1923" i="13" s="1" a="1"/>
  <c r="F1923" i="13" s="1"/>
  <c r="F1924" i="13" s="1"/>
  <c r="F825" i="10"/>
  <c r="V62" i="9"/>
  <c r="L825" i="10"/>
  <c r="E825" i="10"/>
  <c r="I800" i="10"/>
  <c r="I1921" i="13" s="1" a="1"/>
  <c r="I1921" i="13" s="1"/>
  <c r="I1930" i="13" s="1" a="1"/>
  <c r="I1930" i="13" s="1"/>
  <c r="I1931" i="13" s="1"/>
  <c r="I802" i="10"/>
  <c r="DI67" i="9" s="1" a="1"/>
  <c r="DI67" i="9" s="1"/>
  <c r="I801" i="10"/>
  <c r="G812" i="10" a="1"/>
  <c r="G812" i="10" s="1"/>
  <c r="G814" i="10" s="1"/>
  <c r="G1955" i="13" s="1" a="1"/>
  <c r="G1955" i="13" s="1"/>
  <c r="N825" i="10"/>
  <c r="H825" i="10"/>
  <c r="P825" i="10"/>
  <c r="K1922" i="13" a="1"/>
  <c r="K1922" i="13" s="1"/>
  <c r="FA67" i="9" a="1"/>
  <c r="FA67" i="9" s="1"/>
  <c r="EU67" i="9" a="1"/>
  <c r="EU67" i="9" s="1"/>
  <c r="L1922" i="13" a="1"/>
  <c r="L1922" i="13" s="1"/>
  <c r="FT67" i="9" a="1"/>
  <c r="FT67" i="9" s="1"/>
  <c r="FN67" i="9" a="1"/>
  <c r="FN67" i="9" s="1"/>
  <c r="G1922" i="13" a="1"/>
  <c r="G1922" i="13" s="1"/>
  <c r="CC67" i="9" a="1"/>
  <c r="CC67" i="9" s="1"/>
  <c r="BW67" i="9" a="1"/>
  <c r="BW67" i="9" s="1"/>
  <c r="E1928" i="13" a="1"/>
  <c r="E1928" i="13" s="1"/>
  <c r="E1929" i="13" s="1"/>
  <c r="E1930" i="13" a="1"/>
  <c r="E1930" i="13" s="1"/>
  <c r="E1931" i="13" s="1"/>
  <c r="J1922" i="13" a="1"/>
  <c r="J1922" i="13" s="1"/>
  <c r="EH67" i="9" a="1"/>
  <c r="EH67" i="9" s="1"/>
  <c r="EB67" i="9" a="1"/>
  <c r="EB67" i="9" s="1"/>
  <c r="O1923" i="13" a="1"/>
  <c r="O1923" i="13" s="1"/>
  <c r="O1924" i="13" s="1"/>
  <c r="O1925" i="13" a="1"/>
  <c r="O1925" i="13" s="1"/>
  <c r="O1926" i="13" s="1"/>
  <c r="H1923" i="13" a="1"/>
  <c r="H1923" i="13" s="1"/>
  <c r="H1924" i="13" s="1"/>
  <c r="H1925" i="13" a="1"/>
  <c r="H1925" i="13" s="1"/>
  <c r="H1926" i="13" s="1"/>
  <c r="O1922" i="13" a="1"/>
  <c r="O1922" i="13" s="1"/>
  <c r="HY67" i="9" a="1"/>
  <c r="HY67" i="9" s="1"/>
  <c r="HS67" i="9" a="1"/>
  <c r="HS67" i="9" s="1"/>
  <c r="M1923" i="13" a="1"/>
  <c r="M1923" i="13" s="1"/>
  <c r="M1924" i="13" s="1"/>
  <c r="M1925" i="13" a="1"/>
  <c r="M1925" i="13" s="1"/>
  <c r="M1926" i="13" s="1"/>
  <c r="H1922" i="13" a="1"/>
  <c r="H1922" i="13" s="1"/>
  <c r="CV67" i="9" a="1"/>
  <c r="CV67" i="9" s="1"/>
  <c r="CP67" i="9" a="1"/>
  <c r="CP67" i="9" s="1"/>
  <c r="F1928" i="13" a="1"/>
  <c r="F1928" i="13" s="1"/>
  <c r="F1929" i="13" s="1"/>
  <c r="F1930" i="13" a="1"/>
  <c r="F1930" i="13" s="1"/>
  <c r="F1931" i="13" s="1"/>
  <c r="O1928" i="13" a="1"/>
  <c r="O1928" i="13" s="1"/>
  <c r="O1929" i="13" s="1"/>
  <c r="O1930" i="13" a="1"/>
  <c r="O1930" i="13" s="1"/>
  <c r="O1931" i="13" s="1"/>
  <c r="I1923" i="13" a="1"/>
  <c r="I1923" i="13" s="1"/>
  <c r="I1924" i="13" s="1"/>
  <c r="I1925" i="13" a="1"/>
  <c r="I1925" i="13" s="1"/>
  <c r="I1926" i="13" s="1"/>
  <c r="H1928" i="13" a="1"/>
  <c r="H1928" i="13" s="1"/>
  <c r="H1929" i="13" s="1"/>
  <c r="H1930" i="13" a="1"/>
  <c r="H1930" i="13" s="1"/>
  <c r="H1931" i="13" s="1"/>
  <c r="N1772" i="13"/>
  <c r="HE62" i="9" s="1" a="1"/>
  <c r="HE62" i="9" s="1"/>
  <c r="HG62" i="9" s="1"/>
  <c r="N801" i="10"/>
  <c r="N802" i="10"/>
  <c r="N799" i="10"/>
  <c r="N800" i="10"/>
  <c r="J1806" i="13"/>
  <c r="EG63" i="9" s="1" a="1"/>
  <c r="EG63" i="9" s="1"/>
  <c r="O825" i="10"/>
  <c r="M825" i="10"/>
  <c r="R873" i="10"/>
  <c r="P868" i="10" a="1"/>
  <c r="P868" i="10" s="1"/>
  <c r="B859" i="10" a="1"/>
  <c r="B859" i="10" s="1"/>
  <c r="A859" i="10" a="1"/>
  <c r="A859" i="10" s="1"/>
  <c r="O1806" i="13"/>
  <c r="HX63" i="9" s="1" a="1"/>
  <c r="HX63" i="9" s="1"/>
  <c r="I825" i="10"/>
  <c r="L845" i="10"/>
  <c r="D845" i="10"/>
  <c r="K845" i="10"/>
  <c r="I845" i="10"/>
  <c r="B846" i="10"/>
  <c r="H845" i="10"/>
  <c r="N845" i="10"/>
  <c r="O845" i="10"/>
  <c r="M845" i="10"/>
  <c r="E845" i="10"/>
  <c r="P845" i="10"/>
  <c r="F845" i="10"/>
  <c r="J845" i="10"/>
  <c r="G845" i="10"/>
  <c r="G823" i="10"/>
  <c r="P823" i="10"/>
  <c r="P824" i="10" s="1"/>
  <c r="O823" i="10"/>
  <c r="O824" i="10" s="1"/>
  <c r="HR69" i="9" s="1" a="1"/>
  <c r="HR69" i="9" s="1"/>
  <c r="K823" i="10"/>
  <c r="K824" i="10" s="1"/>
  <c r="ET69" i="9" s="1" a="1"/>
  <c r="ET69" i="9" s="1"/>
  <c r="N823" i="10"/>
  <c r="N824" i="10" s="1"/>
  <c r="GY69" i="9" s="1" a="1"/>
  <c r="GY69" i="9" s="1"/>
  <c r="J823" i="10"/>
  <c r="F823" i="10"/>
  <c r="F824" i="10" s="1"/>
  <c r="BC69" i="9" s="1" a="1"/>
  <c r="BC69" i="9" s="1"/>
  <c r="E823" i="10"/>
  <c r="E824" i="10" s="1"/>
  <c r="AJ69" i="9" s="1" a="1"/>
  <c r="AJ69" i="9" s="1"/>
  <c r="I823" i="10"/>
  <c r="I824" i="10" s="1"/>
  <c r="DH69" i="9" s="1" a="1"/>
  <c r="DH69" i="9" s="1"/>
  <c r="M823" i="10"/>
  <c r="M824" i="10" s="1"/>
  <c r="GF69" i="9" s="1" a="1"/>
  <c r="GF69" i="9" s="1"/>
  <c r="H823" i="10"/>
  <c r="H824" i="10" s="1"/>
  <c r="CO69" i="9" s="1" a="1"/>
  <c r="CO69" i="9" s="1"/>
  <c r="D823" i="10"/>
  <c r="D824" i="10" s="1"/>
  <c r="Q69" i="9" s="1" a="1"/>
  <c r="Q69" i="9" s="1"/>
  <c r="L823" i="10"/>
  <c r="L824" i="10" s="1"/>
  <c r="FM69" i="9" s="1" a="1"/>
  <c r="FM69" i="9" s="1"/>
  <c r="B824" i="10"/>
  <c r="B825" i="10" s="1"/>
  <c r="B826" i="10" s="1"/>
  <c r="B827" i="10" s="1"/>
  <c r="B828" i="10" s="1"/>
  <c r="B829" i="10" s="1"/>
  <c r="B830" i="10" s="1"/>
  <c r="N832" i="10"/>
  <c r="N836" i="10" s="1"/>
  <c r="K832" i="10"/>
  <c r="K836" i="10" s="1"/>
  <c r="F832" i="10"/>
  <c r="F836" i="10" s="1"/>
  <c r="J832" i="10"/>
  <c r="J836" i="10" s="1"/>
  <c r="M832" i="10"/>
  <c r="M836" i="10" s="1"/>
  <c r="B836" i="10"/>
  <c r="B837" i="10" s="1"/>
  <c r="E832" i="10"/>
  <c r="E836" i="10" s="1"/>
  <c r="I832" i="10"/>
  <c r="I836" i="10" s="1"/>
  <c r="P832" i="10"/>
  <c r="P836" i="10" s="1"/>
  <c r="L832" i="10"/>
  <c r="L836" i="10" s="1"/>
  <c r="H832" i="10"/>
  <c r="H836" i="10" s="1"/>
  <c r="D832" i="10"/>
  <c r="D836" i="10" s="1"/>
  <c r="O832" i="10"/>
  <c r="O836" i="10" s="1"/>
  <c r="G832" i="10"/>
  <c r="G836" i="10" s="1"/>
  <c r="B833" i="10"/>
  <c r="B834" i="10" s="1"/>
  <c r="B835" i="10" s="1"/>
  <c r="BJ66" i="9" a="1"/>
  <c r="BJ66" i="9" s="1"/>
  <c r="BD66" i="9" a="1"/>
  <c r="BD66" i="9" s="1"/>
  <c r="DI66" i="9" a="1"/>
  <c r="DI66" i="9" s="1"/>
  <c r="J78" i="27" s="1" a="1"/>
  <c r="J78" i="27" s="1"/>
  <c r="DO66" i="9" a="1"/>
  <c r="DO66" i="9" s="1"/>
  <c r="EE62" i="9"/>
  <c r="FT66" i="9" a="1"/>
  <c r="FT66" i="9" s="1"/>
  <c r="FN66" i="9" a="1"/>
  <c r="FN66" i="9" s="1"/>
  <c r="M78" i="27" s="1" a="1"/>
  <c r="M78" i="27" s="1"/>
  <c r="GG66" i="9" a="1"/>
  <c r="GG66" i="9" s="1"/>
  <c r="N78" i="27" s="1" a="1"/>
  <c r="N78" i="27" s="1"/>
  <c r="GM66" i="9" a="1"/>
  <c r="GM66" i="9" s="1"/>
  <c r="EB66" i="9" a="1"/>
  <c r="EB66" i="9" s="1"/>
  <c r="K78" i="27" s="1" a="1"/>
  <c r="K78" i="27" s="1"/>
  <c r="EH66" i="9" a="1"/>
  <c r="EH66" i="9" s="1"/>
  <c r="R66" i="9" a="1"/>
  <c r="R66" i="9" s="1"/>
  <c r="E78" i="27" s="1" a="1"/>
  <c r="E78" i="27" s="1"/>
  <c r="X66" i="9" a="1"/>
  <c r="X66" i="9" s="1"/>
  <c r="EU66" i="9" a="1"/>
  <c r="EU66" i="9" s="1"/>
  <c r="FA66" i="9" a="1"/>
  <c r="FA66" i="9" s="1"/>
  <c r="D1772" i="13"/>
  <c r="H1806" i="13"/>
  <c r="CU63" i="9" s="1" a="1"/>
  <c r="CU63" i="9" s="1"/>
  <c r="I1772" i="13"/>
  <c r="DN62" i="9" s="1" a="1"/>
  <c r="DN62" i="9" s="1"/>
  <c r="DP62" i="9" s="1"/>
  <c r="DX62" i="9" s="1"/>
  <c r="M1806" i="13"/>
  <c r="GL63" i="9" s="1" a="1"/>
  <c r="GL63" i="9" s="1"/>
  <c r="J1772" i="13"/>
  <c r="EG62" i="9" s="1" a="1"/>
  <c r="EG62" i="9" s="1"/>
  <c r="EI62" i="9" s="1"/>
  <c r="EQ62" i="9" s="1"/>
  <c r="EX63" i="9"/>
  <c r="K1806" i="13"/>
  <c r="EZ63" i="9" s="1" a="1"/>
  <c r="EZ63" i="9" s="1"/>
  <c r="G1772" i="13"/>
  <c r="CB62" i="9" s="1" a="1"/>
  <c r="CB62" i="9" s="1"/>
  <c r="CD62" i="9" s="1"/>
  <c r="CL62" i="9" s="1"/>
  <c r="HV63" i="9"/>
  <c r="I1806" i="13"/>
  <c r="DN63" i="9" s="1" a="1"/>
  <c r="DN63" i="9" s="1"/>
  <c r="Q73" i="25"/>
  <c r="CS62" i="9"/>
  <c r="CS63" i="9"/>
  <c r="N1806" i="13"/>
  <c r="HE63" i="9" s="1" a="1"/>
  <c r="HE63" i="9" s="1"/>
  <c r="H1772" i="13"/>
  <c r="CU62" i="9" s="1" a="1"/>
  <c r="CU62" i="9" s="1"/>
  <c r="CW62" i="9" s="1"/>
  <c r="DE62" i="9" s="1"/>
  <c r="O74" i="25" a="1"/>
  <c r="O74" i="25" s="1"/>
  <c r="HD62" i="9"/>
  <c r="J74" i="25" a="1"/>
  <c r="J74" i="25" s="1"/>
  <c r="DM62" i="9"/>
  <c r="K74" i="25" a="1"/>
  <c r="K74" i="25" s="1"/>
  <c r="EF62" i="9"/>
  <c r="HC63" i="9"/>
  <c r="H74" i="25" a="1"/>
  <c r="H74" i="25" s="1"/>
  <c r="CA62" i="9"/>
  <c r="DL62" i="9"/>
  <c r="I74" i="25" a="1"/>
  <c r="I74" i="25" s="1"/>
  <c r="CT62" i="9"/>
  <c r="DL63" i="9"/>
  <c r="N1838" i="13"/>
  <c r="HB64" i="9" a="1"/>
  <c r="HB64" i="9" s="1"/>
  <c r="E1838" i="13"/>
  <c r="AM64" i="9" a="1"/>
  <c r="AM64" i="9" s="1"/>
  <c r="L1836" i="13"/>
  <c r="FP64" i="9" a="1"/>
  <c r="FP64" i="9" s="1"/>
  <c r="O1836" i="13"/>
  <c r="HU64" i="9" a="1"/>
  <c r="HU64" i="9" s="1"/>
  <c r="D1836" i="13"/>
  <c r="T64" i="9" a="1"/>
  <c r="T64" i="9" s="1"/>
  <c r="E76" i="25" s="1" a="1"/>
  <c r="E76" i="25" s="1"/>
  <c r="L75" i="25" a="1"/>
  <c r="L75" i="25" s="1"/>
  <c r="EY63" i="9"/>
  <c r="D1806" i="13"/>
  <c r="EE63" i="9"/>
  <c r="P75" i="25" a="1"/>
  <c r="P75" i="25" s="1"/>
  <c r="HW63" i="9"/>
  <c r="N75" i="25" a="1"/>
  <c r="N75" i="25" s="1"/>
  <c r="GK63" i="9"/>
  <c r="L1804" i="13"/>
  <c r="FP63" i="9" a="1"/>
  <c r="FP63" i="9" s="1"/>
  <c r="FQ63" i="9" s="1"/>
  <c r="O75" i="25" a="1"/>
  <c r="O75" i="25" s="1"/>
  <c r="HD63" i="9"/>
  <c r="I75" i="25" a="1"/>
  <c r="I75" i="25" s="1"/>
  <c r="CT63" i="9"/>
  <c r="E1804" i="13"/>
  <c r="AM63" i="9" a="1"/>
  <c r="AM63" i="9" s="1"/>
  <c r="AN63" i="9" s="1"/>
  <c r="GJ63" i="9"/>
  <c r="G1804" i="13"/>
  <c r="BY63" i="9" a="1"/>
  <c r="BY63" i="9" s="1"/>
  <c r="F1802" i="13"/>
  <c r="BF63" i="9" a="1"/>
  <c r="BF63" i="9" s="1"/>
  <c r="K75" i="25" a="1"/>
  <c r="K75" i="25" s="1"/>
  <c r="EF63" i="9"/>
  <c r="J75" i="25" a="1"/>
  <c r="J75" i="25" s="1"/>
  <c r="DM63" i="9"/>
  <c r="I1833" i="13" a="1"/>
  <c r="I1833" i="13" s="1"/>
  <c r="I1834" i="13" s="1"/>
  <c r="I1835" i="13" s="1"/>
  <c r="J1833" i="13" a="1"/>
  <c r="J1833" i="13" s="1"/>
  <c r="J1834" i="13" s="1"/>
  <c r="J1835" i="13" s="1"/>
  <c r="R65" i="9" a="1"/>
  <c r="R65" i="9" s="1"/>
  <c r="E77" i="27" s="1" a="1"/>
  <c r="E77" i="27" s="1"/>
  <c r="D1854" i="13" a="1"/>
  <c r="D1854" i="13" s="1"/>
  <c r="G1833" i="13" a="1"/>
  <c r="G1833" i="13" s="1"/>
  <c r="G1834" i="13" s="1"/>
  <c r="G1835" i="13" s="1"/>
  <c r="M1833" i="13" a="1"/>
  <c r="M1833" i="13" s="1"/>
  <c r="M1834" i="13" s="1"/>
  <c r="M1835" i="13" s="1"/>
  <c r="K1833" i="13" a="1"/>
  <c r="K1833" i="13" s="1"/>
  <c r="K1834" i="13" s="1"/>
  <c r="K1835" i="13" s="1"/>
  <c r="HT64" i="9" a="1"/>
  <c r="HT64" i="9" s="1"/>
  <c r="O1854" i="13" a="1"/>
  <c r="O1854" i="13" s="1"/>
  <c r="O1865" i="13" s="1" a="1"/>
  <c r="O1865" i="13" s="1"/>
  <c r="O1866" i="13" s="1"/>
  <c r="HY65" i="9" a="1"/>
  <c r="HY65" i="9" s="1"/>
  <c r="HS65" i="9" a="1"/>
  <c r="HS65" i="9" s="1"/>
  <c r="HA64" i="9" a="1"/>
  <c r="HA64" i="9" s="1"/>
  <c r="F1831" i="13" a="1"/>
  <c r="F1831" i="13" s="1"/>
  <c r="F1832" i="13" s="1"/>
  <c r="F1835" i="13" s="1"/>
  <c r="N1854" i="13" a="1"/>
  <c r="N1854" i="13" s="1"/>
  <c r="N1865" i="13" s="1" a="1"/>
  <c r="N1865" i="13" s="1"/>
  <c r="N1866" i="13" s="1"/>
  <c r="HF65" i="9" a="1"/>
  <c r="HF65" i="9" s="1"/>
  <c r="GZ65" i="9" a="1"/>
  <c r="GZ65" i="9" s="1"/>
  <c r="M1854" i="13" a="1"/>
  <c r="M1854" i="13" s="1"/>
  <c r="M1867" i="13" s="1" a="1"/>
  <c r="M1867" i="13" s="1"/>
  <c r="M1868" i="13" s="1"/>
  <c r="GM65" i="9" a="1"/>
  <c r="GM65" i="9" s="1"/>
  <c r="GG65" i="9" a="1"/>
  <c r="GG65" i="9" s="1"/>
  <c r="M1888" i="13" a="1"/>
  <c r="M1888" i="13" s="1"/>
  <c r="M1901" i="13" s="1" a="1"/>
  <c r="M1901" i="13" s="1"/>
  <c r="M1902" i="13" s="1"/>
  <c r="N76" i="27" a="1"/>
  <c r="N76" i="27" s="1"/>
  <c r="GH64" i="9" a="1"/>
  <c r="GH64" i="9" s="1"/>
  <c r="L1888" i="13" a="1"/>
  <c r="L1888" i="13" s="1"/>
  <c r="L1899" i="13" s="1" a="1"/>
  <c r="L1899" i="13" s="1"/>
  <c r="L1900" i="13" s="1"/>
  <c r="FO64" i="9" a="1"/>
  <c r="FO64" i="9" s="1"/>
  <c r="EC64" i="9" a="1"/>
  <c r="EC64" i="9" s="1"/>
  <c r="EV64" i="9" a="1"/>
  <c r="EV64" i="9" s="1"/>
  <c r="L1854" i="13" a="1"/>
  <c r="L1854" i="13" s="1"/>
  <c r="L1867" i="13" s="1" a="1"/>
  <c r="L1867" i="13" s="1"/>
  <c r="L1868" i="13" s="1"/>
  <c r="FT65" i="9" a="1"/>
  <c r="FT65" i="9" s="1"/>
  <c r="FN65" i="9" a="1"/>
  <c r="FN65" i="9" s="1"/>
  <c r="K1888" i="13" a="1"/>
  <c r="K1888" i="13" s="1"/>
  <c r="K1901" i="13" s="1" a="1"/>
  <c r="K1901" i="13" s="1"/>
  <c r="K1902" i="13" s="1"/>
  <c r="K1854" i="13" a="1"/>
  <c r="K1854" i="13" s="1"/>
  <c r="FA65" i="9" a="1"/>
  <c r="FA65" i="9" s="1"/>
  <c r="EU65" i="9" a="1"/>
  <c r="EU65" i="9" s="1"/>
  <c r="L76" i="27" a="1"/>
  <c r="L76" i="27" s="1"/>
  <c r="J1888" i="13" a="1"/>
  <c r="J1888" i="13" s="1"/>
  <c r="J1901" i="13" s="1" a="1"/>
  <c r="J1901" i="13" s="1"/>
  <c r="J1902" i="13" s="1"/>
  <c r="CQ64" i="9" a="1"/>
  <c r="CQ64" i="9" s="1"/>
  <c r="K76" i="27" a="1"/>
  <c r="K76" i="27" s="1"/>
  <c r="J1854" i="13" a="1"/>
  <c r="J1854" i="13" s="1"/>
  <c r="J1867" i="13" s="1" a="1"/>
  <c r="J1867" i="13" s="1"/>
  <c r="J1868" i="13" s="1"/>
  <c r="EH65" i="9" a="1"/>
  <c r="EH65" i="9" s="1"/>
  <c r="EB65" i="9" a="1"/>
  <c r="EB65" i="9" s="1"/>
  <c r="J76" i="27" a="1"/>
  <c r="J76" i="27" s="1"/>
  <c r="I1854" i="13" a="1"/>
  <c r="I1854" i="13" s="1"/>
  <c r="DO65" i="9" a="1"/>
  <c r="DO65" i="9" s="1"/>
  <c r="DI65" i="9" a="1"/>
  <c r="DI65" i="9" s="1"/>
  <c r="I1888" i="13" a="1"/>
  <c r="I1888" i="13" s="1"/>
  <c r="I1899" i="13" s="1" a="1"/>
  <c r="I1899" i="13" s="1"/>
  <c r="I1900" i="13" s="1"/>
  <c r="I76" i="27" a="1"/>
  <c r="I76" i="27" s="1"/>
  <c r="BE63" i="9" a="1"/>
  <c r="BE63" i="9" s="1"/>
  <c r="H1854" i="13" a="1"/>
  <c r="H1854" i="13" s="1"/>
  <c r="H1865" i="13" s="1" a="1"/>
  <c r="H1865" i="13" s="1"/>
  <c r="H1866" i="13" s="1"/>
  <c r="CV65" i="9" a="1"/>
  <c r="CV65" i="9" s="1"/>
  <c r="CP65" i="9" a="1"/>
  <c r="CP65" i="9" s="1"/>
  <c r="H1833" i="13" a="1"/>
  <c r="H1833" i="13" s="1"/>
  <c r="H1834" i="13" s="1"/>
  <c r="H1831" i="13" a="1"/>
  <c r="H1831" i="13" s="1"/>
  <c r="H1832" i="13" s="1"/>
  <c r="BX63" i="9" a="1"/>
  <c r="BX63" i="9" s="1"/>
  <c r="BX64" i="9" a="1"/>
  <c r="BX64" i="9" s="1"/>
  <c r="H76" i="27" a="1"/>
  <c r="H76" i="27" s="1"/>
  <c r="G1854" i="13" a="1"/>
  <c r="G1854" i="13" s="1"/>
  <c r="G1867" i="13" s="1" a="1"/>
  <c r="G1867" i="13" s="1"/>
  <c r="G1868" i="13" s="1"/>
  <c r="CC65" i="9" a="1"/>
  <c r="CC65" i="9" s="1"/>
  <c r="BW65" i="9" a="1"/>
  <c r="BW65" i="9" s="1"/>
  <c r="AL64" i="9" a="1"/>
  <c r="AL64" i="9" s="1"/>
  <c r="F1854" i="13" a="1"/>
  <c r="F1854" i="13" s="1"/>
  <c r="F1865" i="13" s="1" a="1"/>
  <c r="F1865" i="13" s="1"/>
  <c r="F1866" i="13" s="1"/>
  <c r="BJ65" i="9" a="1"/>
  <c r="BJ65" i="9" s="1"/>
  <c r="BD65" i="9" a="1"/>
  <c r="BD65" i="9" s="1"/>
  <c r="BE64" i="9" a="1"/>
  <c r="BE64" i="9" s="1"/>
  <c r="G76" i="27" a="1"/>
  <c r="G76" i="27" s="1"/>
  <c r="F1888" i="13" a="1"/>
  <c r="F1888" i="13" s="1"/>
  <c r="F1899" i="13" s="1" a="1"/>
  <c r="F1899" i="13" s="1"/>
  <c r="F1900" i="13" s="1"/>
  <c r="G78" i="27" a="1"/>
  <c r="G78" i="27" s="1"/>
  <c r="E1854" i="13" a="1"/>
  <c r="E1854" i="13" s="1"/>
  <c r="E1867" i="13" s="1" a="1"/>
  <c r="E1867" i="13" s="1"/>
  <c r="E1868" i="13" s="1"/>
  <c r="AK65" i="9" a="1"/>
  <c r="AK65" i="9" s="1"/>
  <c r="AQ65" i="9" a="1"/>
  <c r="AQ65" i="9" s="1"/>
  <c r="D1888" i="13" a="1"/>
  <c r="D1888" i="13" s="1"/>
  <c r="D1899" i="13" s="1" a="1"/>
  <c r="D1899" i="13" s="1"/>
  <c r="D1900" i="13" s="1"/>
  <c r="I1825" i="13"/>
  <c r="N785" i="10"/>
  <c r="N1886" i="13" s="1" a="1"/>
  <c r="N1886" i="13" s="1"/>
  <c r="N1891" i="13" s="1" a="1"/>
  <c r="N1891" i="13" s="1"/>
  <c r="N1892" i="13" s="1"/>
  <c r="O787" i="10"/>
  <c r="I1830" i="13"/>
  <c r="D1838" i="13"/>
  <c r="H785" i="10"/>
  <c r="H1886" i="13" s="1" a="1"/>
  <c r="H1886" i="13" s="1"/>
  <c r="H1891" i="13" s="1" a="1"/>
  <c r="H1891" i="13" s="1"/>
  <c r="H1892" i="13" s="1"/>
  <c r="L1838" i="13"/>
  <c r="H1896" i="13" a="1"/>
  <c r="H1896" i="13" s="1"/>
  <c r="H1897" i="13" s="1"/>
  <c r="H1894" i="13" a="1"/>
  <c r="H1894" i="13" s="1"/>
  <c r="H1895" i="13" s="1"/>
  <c r="O1891" i="13" a="1"/>
  <c r="O1891" i="13" s="1"/>
  <c r="O1892" i="13" s="1"/>
  <c r="O1889" i="13" a="1"/>
  <c r="O1889" i="13" s="1"/>
  <c r="O1890" i="13" s="1"/>
  <c r="I1894" i="13" a="1"/>
  <c r="I1894" i="13" s="1"/>
  <c r="I1895" i="13" s="1"/>
  <c r="I1896" i="13" a="1"/>
  <c r="I1896" i="13" s="1"/>
  <c r="I1897" i="13" s="1"/>
  <c r="N786" i="10"/>
  <c r="N1887" i="13" s="1" a="1"/>
  <c r="N1887" i="13" s="1"/>
  <c r="G1855" i="13" a="1"/>
  <c r="G1855" i="13" s="1"/>
  <c r="G1856" i="13" s="1"/>
  <c r="G1857" i="13" a="1"/>
  <c r="G1857" i="13" s="1"/>
  <c r="G1858" i="13" s="1"/>
  <c r="O1855" i="13" a="1"/>
  <c r="O1855" i="13" s="1"/>
  <c r="O1856" i="13" s="1"/>
  <c r="O1857" i="13" a="1"/>
  <c r="O1857" i="13" s="1"/>
  <c r="O1858" i="13" s="1"/>
  <c r="N1855" i="13" a="1"/>
  <c r="N1855" i="13" s="1"/>
  <c r="N1856" i="13" s="1"/>
  <c r="N1857" i="13" a="1"/>
  <c r="N1857" i="13" s="1"/>
  <c r="N1858" i="13" s="1"/>
  <c r="K1894" i="13" a="1"/>
  <c r="K1894" i="13" s="1"/>
  <c r="K1895" i="13" s="1"/>
  <c r="K1896" i="13" a="1"/>
  <c r="K1896" i="13" s="1"/>
  <c r="K1897" i="13" s="1"/>
  <c r="J1889" i="13" a="1"/>
  <c r="J1889" i="13" s="1"/>
  <c r="J1890" i="13" s="1"/>
  <c r="J1891" i="13" a="1"/>
  <c r="J1891" i="13" s="1"/>
  <c r="J1892" i="13" s="1"/>
  <c r="I1860" i="13" a="1"/>
  <c r="I1860" i="13" s="1"/>
  <c r="I1861" i="13" s="1"/>
  <c r="I1862" i="13" a="1"/>
  <c r="I1862" i="13" s="1"/>
  <c r="I1863" i="13" s="1"/>
  <c r="H787" i="10"/>
  <c r="P787" i="10" s="1"/>
  <c r="D1852" i="13" a="1"/>
  <c r="D1852" i="13" s="1"/>
  <c r="P771" i="10"/>
  <c r="I1855" i="13" a="1"/>
  <c r="I1855" i="13" s="1"/>
  <c r="I1856" i="13" s="1"/>
  <c r="I1857" i="13" a="1"/>
  <c r="I1857" i="13" s="1"/>
  <c r="I1858" i="13" s="1"/>
  <c r="O786" i="10"/>
  <c r="O1887" i="13" s="1" a="1"/>
  <c r="O1887" i="13" s="1"/>
  <c r="I1891" i="13" a="1"/>
  <c r="I1891" i="13" s="1"/>
  <c r="I1892" i="13" s="1"/>
  <c r="I1889" i="13" a="1"/>
  <c r="I1889" i="13" s="1"/>
  <c r="I1890" i="13" s="1"/>
  <c r="L1896" i="13" a="1"/>
  <c r="L1896" i="13" s="1"/>
  <c r="L1897" i="13" s="1"/>
  <c r="L1894" i="13" a="1"/>
  <c r="L1894" i="13" s="1"/>
  <c r="L1895" i="13" s="1"/>
  <c r="D1825" i="13"/>
  <c r="G786" i="10"/>
  <c r="G1887" i="13" s="1" a="1"/>
  <c r="G1887" i="13" s="1"/>
  <c r="F1896" i="13" a="1"/>
  <c r="F1896" i="13" s="1"/>
  <c r="F1897" i="13" s="1"/>
  <c r="F1894" i="13" a="1"/>
  <c r="F1894" i="13" s="1"/>
  <c r="F1895" i="13" s="1"/>
  <c r="E1891" i="13" a="1"/>
  <c r="E1891" i="13" s="1"/>
  <c r="E1892" i="13" s="1"/>
  <c r="E1889" i="13" a="1"/>
  <c r="E1889" i="13" s="1"/>
  <c r="E1890" i="13" s="1"/>
  <c r="H1860" i="13" a="1"/>
  <c r="H1860" i="13" s="1"/>
  <c r="H1861" i="13" s="1"/>
  <c r="H1862" i="13" a="1"/>
  <c r="H1862" i="13" s="1"/>
  <c r="H1863" i="13" s="1"/>
  <c r="M1862" i="13" a="1"/>
  <c r="M1862" i="13" s="1"/>
  <c r="M1863" i="13" s="1"/>
  <c r="M1860" i="13" a="1"/>
  <c r="M1860" i="13" s="1"/>
  <c r="M1861" i="13" s="1"/>
  <c r="G785" i="10"/>
  <c r="G1886" i="13" s="1" a="1"/>
  <c r="G1886" i="13" s="1"/>
  <c r="F1891" i="13" a="1"/>
  <c r="F1891" i="13" s="1"/>
  <c r="F1892" i="13" s="1"/>
  <c r="F1889" i="13" a="1"/>
  <c r="F1889" i="13" s="1"/>
  <c r="F1890" i="13" s="1"/>
  <c r="M1894" i="13" a="1"/>
  <c r="M1894" i="13" s="1"/>
  <c r="M1895" i="13" s="1"/>
  <c r="M1896" i="13" a="1"/>
  <c r="M1896" i="13" s="1"/>
  <c r="M1897" i="13" s="1"/>
  <c r="E1894" i="13" a="1"/>
  <c r="E1894" i="13" s="1"/>
  <c r="E1895" i="13" s="1"/>
  <c r="E1896" i="13" a="1"/>
  <c r="E1896" i="13" s="1"/>
  <c r="E1897" i="13" s="1"/>
  <c r="D1853" i="13" a="1"/>
  <c r="D1853" i="13" s="1"/>
  <c r="P772" i="10"/>
  <c r="H1857" i="13" a="1"/>
  <c r="H1857" i="13" s="1"/>
  <c r="H1858" i="13" s="1"/>
  <c r="H1855" i="13" a="1"/>
  <c r="H1855" i="13" s="1"/>
  <c r="H1856" i="13" s="1"/>
  <c r="M1855" i="13" a="1"/>
  <c r="M1855" i="13" s="1"/>
  <c r="M1856" i="13" s="1"/>
  <c r="M1857" i="13" a="1"/>
  <c r="M1857" i="13" s="1"/>
  <c r="M1858" i="13" s="1"/>
  <c r="J1862" i="13" a="1"/>
  <c r="J1862" i="13" s="1"/>
  <c r="J1863" i="13" s="1"/>
  <c r="J1860" i="13" a="1"/>
  <c r="J1860" i="13" s="1"/>
  <c r="J1861" i="13" s="1"/>
  <c r="L1862" i="13" a="1"/>
  <c r="L1862" i="13" s="1"/>
  <c r="L1863" i="13" s="1"/>
  <c r="L1860" i="13" a="1"/>
  <c r="L1860" i="13" s="1"/>
  <c r="L1861" i="13" s="1"/>
  <c r="K1860" i="13" a="1"/>
  <c r="K1860" i="13" s="1"/>
  <c r="K1861" i="13" s="1"/>
  <c r="K1862" i="13" a="1"/>
  <c r="K1862" i="13" s="1"/>
  <c r="K1863" i="13" s="1"/>
  <c r="M1891" i="13" a="1"/>
  <c r="M1891" i="13" s="1"/>
  <c r="M1892" i="13" s="1"/>
  <c r="M1889" i="13" a="1"/>
  <c r="M1889" i="13" s="1"/>
  <c r="M1890" i="13" s="1"/>
  <c r="L1891" i="13" a="1"/>
  <c r="L1891" i="13" s="1"/>
  <c r="L1892" i="13" s="1"/>
  <c r="L1889" i="13" a="1"/>
  <c r="L1889" i="13" s="1"/>
  <c r="L1890" i="13" s="1"/>
  <c r="E1862" i="13" a="1"/>
  <c r="E1862" i="13" s="1"/>
  <c r="E1863" i="13" s="1"/>
  <c r="E1860" i="13" a="1"/>
  <c r="E1860" i="13" s="1"/>
  <c r="E1861" i="13" s="1"/>
  <c r="F1860" i="13" a="1"/>
  <c r="F1860" i="13" s="1"/>
  <c r="F1861" i="13" s="1"/>
  <c r="F1862" i="13" a="1"/>
  <c r="F1862" i="13" s="1"/>
  <c r="F1863" i="13" s="1"/>
  <c r="J1857" i="13" a="1"/>
  <c r="J1857" i="13" s="1"/>
  <c r="J1858" i="13" s="1"/>
  <c r="J1855" i="13" a="1"/>
  <c r="J1855" i="13" s="1"/>
  <c r="J1856" i="13" s="1"/>
  <c r="L1857" i="13" a="1"/>
  <c r="L1857" i="13" s="1"/>
  <c r="L1858" i="13" s="1"/>
  <c r="L1855" i="13" a="1"/>
  <c r="L1855" i="13" s="1"/>
  <c r="L1856" i="13" s="1"/>
  <c r="K1857" i="13" a="1"/>
  <c r="K1857" i="13" s="1"/>
  <c r="K1858" i="13" s="1"/>
  <c r="K1855" i="13" a="1"/>
  <c r="K1855" i="13" s="1"/>
  <c r="K1856" i="13" s="1"/>
  <c r="K1891" i="13" a="1"/>
  <c r="K1891" i="13" s="1"/>
  <c r="K1892" i="13" s="1"/>
  <c r="K1889" i="13" a="1"/>
  <c r="K1889" i="13" s="1"/>
  <c r="K1890" i="13" s="1"/>
  <c r="D1886" i="13" a="1"/>
  <c r="D1886" i="13" s="1"/>
  <c r="E1857" i="13" a="1"/>
  <c r="E1857" i="13" s="1"/>
  <c r="E1858" i="13" s="1"/>
  <c r="E1855" i="13" a="1"/>
  <c r="E1855" i="13" s="1"/>
  <c r="E1856" i="13" s="1"/>
  <c r="F1855" i="13" a="1"/>
  <c r="F1855" i="13" s="1"/>
  <c r="F1856" i="13" s="1"/>
  <c r="F1857" i="13" a="1"/>
  <c r="F1857" i="13" s="1"/>
  <c r="F1858" i="13" s="1"/>
  <c r="G1860" i="13" a="1"/>
  <c r="G1860" i="13" s="1"/>
  <c r="G1861" i="13" s="1"/>
  <c r="G1862" i="13" a="1"/>
  <c r="G1862" i="13" s="1"/>
  <c r="G1863" i="13" s="1"/>
  <c r="O1860" i="13" a="1"/>
  <c r="O1860" i="13" s="1"/>
  <c r="O1861" i="13" s="1"/>
  <c r="O1862" i="13" a="1"/>
  <c r="O1862" i="13" s="1"/>
  <c r="O1863" i="13" s="1"/>
  <c r="N1862" i="13" a="1"/>
  <c r="N1862" i="13" s="1"/>
  <c r="N1863" i="13" s="1"/>
  <c r="N1860" i="13" a="1"/>
  <c r="N1860" i="13" s="1"/>
  <c r="N1861" i="13" s="1"/>
  <c r="D1830" i="13"/>
  <c r="S64" i="9" s="1" a="1"/>
  <c r="S64" i="9" s="1"/>
  <c r="J1896" i="13" a="1"/>
  <c r="J1896" i="13" s="1"/>
  <c r="J1897" i="13" s="1"/>
  <c r="J1894" i="13" a="1"/>
  <c r="J1894" i="13" s="1"/>
  <c r="J1895" i="13" s="1"/>
  <c r="D1887" i="13" a="1"/>
  <c r="D1887" i="13" s="1"/>
  <c r="G1802" i="13"/>
  <c r="E1802" i="13"/>
  <c r="E1836" i="13"/>
  <c r="F1804" i="13"/>
  <c r="M1772" i="13"/>
  <c r="N1836" i="13"/>
  <c r="L1802" i="13"/>
  <c r="O1838" i="13"/>
  <c r="E788" i="10"/>
  <c r="DQ61" i="9" a="1"/>
  <c r="DQ61" i="9" s="1"/>
  <c r="DY61" i="9" s="1"/>
  <c r="K74" i="24" s="1" a="1"/>
  <c r="K74" i="24" s="1"/>
  <c r="CX61" i="9" a="1"/>
  <c r="CX61" i="9" s="1"/>
  <c r="DF61" i="9" s="1"/>
  <c r="J74" i="24" s="1" a="1"/>
  <c r="J74" i="24" s="1"/>
  <c r="CE60" i="9" a="1"/>
  <c r="CE60" i="9" s="1"/>
  <c r="CM60" i="9" s="1"/>
  <c r="I73" i="24" s="1" a="1"/>
  <c r="I73" i="24" s="1"/>
  <c r="IA61" i="9" a="1"/>
  <c r="IA61" i="9" s="1"/>
  <c r="II61" i="9" s="1"/>
  <c r="Q74" i="24" s="1" a="1"/>
  <c r="Q74" i="24" s="1"/>
  <c r="EJ61" i="9" a="1"/>
  <c r="EJ61" i="9" s="1"/>
  <c r="ER61" i="9" s="1"/>
  <c r="L74" i="24" s="1" a="1"/>
  <c r="L74" i="24" s="1"/>
  <c r="GO61" i="9" a="1"/>
  <c r="GO61" i="9" s="1"/>
  <c r="GW61" i="9" s="1"/>
  <c r="O74" i="24" s="1" a="1"/>
  <c r="O74" i="24" s="1"/>
  <c r="Z60" i="9" a="1"/>
  <c r="Z60" i="9" s="1"/>
  <c r="AH60" i="9" s="1"/>
  <c r="F73" i="24" s="1" a="1"/>
  <c r="F73" i="24" s="1"/>
  <c r="IJ59" i="9"/>
  <c r="IK59" i="9" s="1"/>
  <c r="IN59" i="9"/>
  <c r="IO59" i="9" s="1"/>
  <c r="BL61" i="9" a="1"/>
  <c r="BL61" i="9" s="1"/>
  <c r="BT61" i="9" s="1"/>
  <c r="H74" i="24" s="1" a="1"/>
  <c r="H74" i="24" s="1"/>
  <c r="CE61" i="9" a="1"/>
  <c r="CE61" i="9" s="1"/>
  <c r="CM61" i="9" s="1"/>
  <c r="I74" i="24" s="1" a="1"/>
  <c r="I74" i="24" s="1"/>
  <c r="AS61" i="9" a="1"/>
  <c r="AS61" i="9" s="1"/>
  <c r="BA61" i="9" s="1"/>
  <c r="G74" i="24" s="1" a="1"/>
  <c r="G74" i="24" s="1"/>
  <c r="IL60" i="9"/>
  <c r="IM60" i="9" s="1"/>
  <c r="HH61" i="9" a="1"/>
  <c r="HH61" i="9" s="1"/>
  <c r="HP61" i="9" s="1"/>
  <c r="P74" i="24" s="1" a="1"/>
  <c r="P74" i="24" s="1"/>
  <c r="FV60" i="9" a="1"/>
  <c r="FV60" i="9" s="1"/>
  <c r="GD60" i="9" s="1"/>
  <c r="N73" i="24" s="1" a="1"/>
  <c r="N73" i="24" s="1"/>
  <c r="W61" i="9" a="1"/>
  <c r="W61" i="9" s="1"/>
  <c r="Y61" i="9" s="1"/>
  <c r="FB62" i="9"/>
  <c r="FC62" i="9" s="1" a="1"/>
  <c r="FC62" i="9" s="1"/>
  <c r="FU62" i="9"/>
  <c r="GC62" i="9" s="1"/>
  <c r="BK62" i="9"/>
  <c r="BS62" i="9" s="1"/>
  <c r="FU61" i="9"/>
  <c r="GC61" i="9" s="1"/>
  <c r="FB61" i="9"/>
  <c r="FJ61" i="9" s="1"/>
  <c r="HZ62" i="9"/>
  <c r="IH62" i="9" s="1"/>
  <c r="G788" i="10"/>
  <c r="S62" i="9" a="1"/>
  <c r="S62" i="9" s="1"/>
  <c r="U62" i="9" s="1"/>
  <c r="P774" i="10"/>
  <c r="H788" i="10"/>
  <c r="O788" i="10"/>
  <c r="N788" i="10"/>
  <c r="S63" i="9" a="1"/>
  <c r="S63" i="9" s="1"/>
  <c r="O816" i="10" l="1"/>
  <c r="J816" i="10"/>
  <c r="J813" i="10"/>
  <c r="J1954" i="13" s="1" a="1"/>
  <c r="J1954" i="13" s="1"/>
  <c r="J1957" i="13" s="1" a="1"/>
  <c r="J1957" i="13" s="1"/>
  <c r="J1958" i="13" s="1"/>
  <c r="J815" i="10"/>
  <c r="E1925" i="13" a="1"/>
  <c r="E1925" i="13" s="1"/>
  <c r="E1926" i="13" s="1"/>
  <c r="O814" i="10"/>
  <c r="O1955" i="13" s="1" a="1"/>
  <c r="O1955" i="13" s="1"/>
  <c r="O1962" i="13" s="1" a="1"/>
  <c r="O1962" i="13" s="1"/>
  <c r="O1963" i="13" s="1"/>
  <c r="O813" i="10"/>
  <c r="O1954" i="13" s="1" a="1"/>
  <c r="O1954" i="13" s="1"/>
  <c r="O1957" i="13" s="1" a="1"/>
  <c r="O1957" i="13" s="1"/>
  <c r="O1958" i="13" s="1"/>
  <c r="H813" i="10"/>
  <c r="H1954" i="13" s="1" a="1"/>
  <c r="H1954" i="13" s="1"/>
  <c r="H1957" i="13" s="1" a="1"/>
  <c r="H1957" i="13" s="1"/>
  <c r="H1958" i="13" s="1"/>
  <c r="H816" i="10"/>
  <c r="CP68" i="9" s="1" a="1"/>
  <c r="CP68" i="9" s="1"/>
  <c r="M814" i="10"/>
  <c r="M1955" i="13" s="1" a="1"/>
  <c r="M1955" i="13" s="1"/>
  <c r="M1964" i="13" s="1" a="1"/>
  <c r="M1964" i="13" s="1"/>
  <c r="M1965" i="13" s="1"/>
  <c r="L1930" i="13" a="1"/>
  <c r="L1930" i="13" s="1"/>
  <c r="L1931" i="13" s="1"/>
  <c r="L1932" i="13" s="1"/>
  <c r="D1928" i="13" a="1"/>
  <c r="D1928" i="13" s="1"/>
  <c r="D1929" i="13" s="1"/>
  <c r="D1932" i="13" s="1"/>
  <c r="G826" i="10" a="1"/>
  <c r="G826" i="10" s="1"/>
  <c r="G828" i="10" s="1"/>
  <c r="G1989" i="13" s="1" a="1"/>
  <c r="G1989" i="13" s="1"/>
  <c r="H814" i="10"/>
  <c r="H1955" i="13" s="1" a="1"/>
  <c r="H1955" i="13" s="1"/>
  <c r="H1962" i="13" s="1" a="1"/>
  <c r="H1962" i="13" s="1"/>
  <c r="H1963" i="13" s="1"/>
  <c r="L813" i="10"/>
  <c r="L1954" i="13" s="1" a="1"/>
  <c r="L1954" i="13" s="1"/>
  <c r="L1957" i="13" s="1" a="1"/>
  <c r="L1957" i="13" s="1"/>
  <c r="L1958" i="13" s="1"/>
  <c r="J826" i="10" a="1"/>
  <c r="J826" i="10" s="1"/>
  <c r="J830" i="10" s="1"/>
  <c r="GG67" i="9" a="1"/>
  <c r="GG67" i="9" s="1"/>
  <c r="J824" i="10"/>
  <c r="EA69" i="9" s="1" a="1"/>
  <c r="EA69" i="9" s="1"/>
  <c r="G824" i="10"/>
  <c r="BV69" i="9" s="1" a="1"/>
  <c r="BV69" i="9" s="1"/>
  <c r="AQ67" i="9" a="1"/>
  <c r="AQ67" i="9" s="1"/>
  <c r="M816" i="10"/>
  <c r="GM68" i="9" s="1" a="1"/>
  <c r="GM68" i="9" s="1"/>
  <c r="I815" i="10"/>
  <c r="I814" i="10"/>
  <c r="I1955" i="13" s="1" a="1"/>
  <c r="I1955" i="13" s="1"/>
  <c r="I1962" i="13" s="1" a="1"/>
  <c r="I1962" i="13" s="1"/>
  <c r="I1963" i="13" s="1"/>
  <c r="AK67" i="9" a="1"/>
  <c r="AK67" i="9" s="1"/>
  <c r="I813" i="10"/>
  <c r="I1954" i="13" s="1" a="1"/>
  <c r="I1954" i="13" s="1"/>
  <c r="I1957" i="13" s="1" a="1"/>
  <c r="I1957" i="13" s="1"/>
  <c r="I1958" i="13" s="1"/>
  <c r="H826" i="10" a="1"/>
  <c r="H826" i="10" s="1"/>
  <c r="H827" i="10" s="1"/>
  <c r="H1988" i="13" s="1" a="1"/>
  <c r="H1988" i="13" s="1"/>
  <c r="M813" i="10"/>
  <c r="M1954" i="13" s="1" a="1"/>
  <c r="M1954" i="13" s="1"/>
  <c r="M1959" i="13" s="1" a="1"/>
  <c r="M1959" i="13" s="1"/>
  <c r="M1960" i="13" s="1"/>
  <c r="GM67" i="9" a="1"/>
  <c r="GM67" i="9" s="1"/>
  <c r="L1923" i="13" a="1"/>
  <c r="L1923" i="13" s="1"/>
  <c r="L1924" i="13" s="1"/>
  <c r="L1927" i="13" s="1"/>
  <c r="N813" i="10"/>
  <c r="N1954" i="13" s="1" a="1"/>
  <c r="N1954" i="13" s="1"/>
  <c r="N1957" i="13" s="1" a="1"/>
  <c r="N1957" i="13" s="1"/>
  <c r="N1958" i="13" s="1"/>
  <c r="K813" i="10"/>
  <c r="K1954" i="13" s="1" a="1"/>
  <c r="K1954" i="13" s="1"/>
  <c r="K1957" i="13" s="1" a="1"/>
  <c r="K1957" i="13" s="1"/>
  <c r="K1958" i="13" s="1"/>
  <c r="D1925" i="13" a="1"/>
  <c r="D1925" i="13" s="1"/>
  <c r="D1926" i="13" s="1"/>
  <c r="D1927" i="13" s="1"/>
  <c r="N815" i="10"/>
  <c r="K815" i="10"/>
  <c r="N814" i="10"/>
  <c r="N1955" i="13" s="1" a="1"/>
  <c r="N1955" i="13" s="1"/>
  <c r="N1962" i="13" s="1" a="1"/>
  <c r="N1962" i="13" s="1"/>
  <c r="N1963" i="13" s="1"/>
  <c r="K814" i="10"/>
  <c r="K1955" i="13" s="1" a="1"/>
  <c r="K1955" i="13" s="1"/>
  <c r="K1962" i="13" s="1" a="1"/>
  <c r="K1962" i="13" s="1"/>
  <c r="K1963" i="13" s="1"/>
  <c r="K826" i="10" a="1"/>
  <c r="K826" i="10" s="1"/>
  <c r="K827" i="10" s="1"/>
  <c r="K1988" i="13" s="1" a="1"/>
  <c r="K1988" i="13" s="1"/>
  <c r="J1928" i="13" a="1"/>
  <c r="J1928" i="13" s="1"/>
  <c r="J1929" i="13" s="1"/>
  <c r="J1932" i="13" s="1"/>
  <c r="E816" i="10"/>
  <c r="E1956" i="13" s="1" a="1"/>
  <c r="E1956" i="13" s="1"/>
  <c r="F816" i="10"/>
  <c r="F1956" i="13" s="1" a="1"/>
  <c r="F1956" i="13" s="1"/>
  <c r="F815" i="10"/>
  <c r="F814" i="10"/>
  <c r="F1955" i="13" s="1" a="1"/>
  <c r="F1955" i="13" s="1"/>
  <c r="F1964" i="13" s="1" a="1"/>
  <c r="F1964" i="13" s="1"/>
  <c r="F1965" i="13" s="1"/>
  <c r="M1930" i="13" a="1"/>
  <c r="M1930" i="13" s="1"/>
  <c r="M1931" i="13" s="1"/>
  <c r="M1932" i="13" s="1"/>
  <c r="G1930" i="13" a="1"/>
  <c r="G1930" i="13" s="1"/>
  <c r="G1931" i="13" s="1"/>
  <c r="G1932" i="13" s="1"/>
  <c r="BD67" i="9" a="1"/>
  <c r="BD67" i="9" s="1"/>
  <c r="R67" i="9" a="1"/>
  <c r="R67" i="9" s="1"/>
  <c r="D826" i="10" a="1"/>
  <c r="D826" i="10" s="1"/>
  <c r="D829" i="10" s="1"/>
  <c r="BJ67" i="9" a="1"/>
  <c r="BJ67" i="9" s="1"/>
  <c r="X67" i="9" a="1"/>
  <c r="X67" i="9" s="1"/>
  <c r="L815" i="10"/>
  <c r="F826" i="10" a="1"/>
  <c r="F826" i="10" s="1"/>
  <c r="F828" i="10" s="1"/>
  <c r="F1989" i="13" s="1" a="1"/>
  <c r="F1989" i="13" s="1"/>
  <c r="L814" i="10"/>
  <c r="L1955" i="13" s="1" a="1"/>
  <c r="L1955" i="13" s="1"/>
  <c r="L1962" i="13" s="1" a="1"/>
  <c r="L1962" i="13" s="1"/>
  <c r="L1963" i="13" s="1"/>
  <c r="DO67" i="9" a="1"/>
  <c r="DO67" i="9" s="1"/>
  <c r="N826" i="10" a="1"/>
  <c r="N826" i="10" s="1"/>
  <c r="N830" i="10" s="1"/>
  <c r="E814" i="10"/>
  <c r="E1955" i="13" s="1" a="1"/>
  <c r="E1955" i="13" s="1"/>
  <c r="E1964" i="13" s="1" a="1"/>
  <c r="E1964" i="13" s="1"/>
  <c r="E1965" i="13" s="1"/>
  <c r="E815" i="10"/>
  <c r="K1930" i="13" a="1"/>
  <c r="K1930" i="13" s="1"/>
  <c r="K1931" i="13" s="1"/>
  <c r="K1932" i="13" s="1"/>
  <c r="P802" i="10"/>
  <c r="J1925" i="13" a="1"/>
  <c r="J1925" i="13" s="1"/>
  <c r="J1926" i="13" s="1"/>
  <c r="J1927" i="13" s="1"/>
  <c r="G1925" i="13" a="1"/>
  <c r="G1925" i="13" s="1"/>
  <c r="G1926" i="13" s="1"/>
  <c r="G1927" i="13" s="1"/>
  <c r="P801" i="10"/>
  <c r="D816" i="10"/>
  <c r="D1956" i="13" s="1" a="1"/>
  <c r="D1956" i="13" s="1"/>
  <c r="D815" i="10"/>
  <c r="D814" i="10"/>
  <c r="D1955" i="13" s="1" a="1"/>
  <c r="D1955" i="13" s="1"/>
  <c r="D1962" i="13" s="1" a="1"/>
  <c r="D1962" i="13" s="1"/>
  <c r="D1963" i="13" s="1"/>
  <c r="K1923" i="13" a="1"/>
  <c r="K1923" i="13" s="1"/>
  <c r="K1924" i="13" s="1"/>
  <c r="K1927" i="13" s="1"/>
  <c r="F1925" i="13" a="1"/>
  <c r="F1925" i="13" s="1"/>
  <c r="F1926" i="13" s="1"/>
  <c r="F1927" i="13" s="1"/>
  <c r="L826" i="10" a="1"/>
  <c r="L826" i="10" s="1"/>
  <c r="L830" i="10" s="1"/>
  <c r="I1928" i="13" a="1"/>
  <c r="I1928" i="13" s="1"/>
  <c r="I1929" i="13" s="1"/>
  <c r="I1932" i="13" s="1"/>
  <c r="H1927" i="13"/>
  <c r="O1927" i="13"/>
  <c r="E826" i="10" a="1"/>
  <c r="E826" i="10" s="1"/>
  <c r="E828" i="10" s="1"/>
  <c r="E1989" i="13" s="1" a="1"/>
  <c r="E1989" i="13" s="1"/>
  <c r="H1932" i="13"/>
  <c r="F1932" i="13"/>
  <c r="I1922" i="13" a="1"/>
  <c r="I1922" i="13" s="1"/>
  <c r="I1935" i="13" s="1" a="1"/>
  <c r="I1935" i="13" s="1"/>
  <c r="I1936" i="13" s="1"/>
  <c r="G816" i="10"/>
  <c r="G1956" i="13" s="1" a="1"/>
  <c r="G1956" i="13" s="1"/>
  <c r="G813" i="10"/>
  <c r="G1954" i="13" s="1" a="1"/>
  <c r="G1954" i="13" s="1"/>
  <c r="G1957" i="13" s="1" a="1"/>
  <c r="G1957" i="13" s="1"/>
  <c r="G1958" i="13" s="1"/>
  <c r="G815" i="10"/>
  <c r="D839" i="10"/>
  <c r="M1927" i="13"/>
  <c r="E1932" i="13"/>
  <c r="O1932" i="13"/>
  <c r="I826" i="10" a="1"/>
  <c r="I826" i="10" s="1"/>
  <c r="I830" i="10" s="1"/>
  <c r="F839" i="10"/>
  <c r="P839" i="10"/>
  <c r="L1840" i="13"/>
  <c r="FS64" i="9" s="1" a="1"/>
  <c r="FS64" i="9" s="1"/>
  <c r="E1933" i="13" a="1"/>
  <c r="E1933" i="13" s="1"/>
  <c r="E1934" i="13" s="1"/>
  <c r="E1935" i="13" a="1"/>
  <c r="E1935" i="13" s="1"/>
  <c r="E1936" i="13" s="1"/>
  <c r="L1956" i="13" a="1"/>
  <c r="L1956" i="13" s="1"/>
  <c r="FT68" i="9" a="1"/>
  <c r="FT68" i="9" s="1"/>
  <c r="FN68" i="9" a="1"/>
  <c r="FN68" i="9" s="1"/>
  <c r="M1957" i="13" a="1"/>
  <c r="M1957" i="13" s="1"/>
  <c r="M1958" i="13" s="1"/>
  <c r="G1962" i="13" a="1"/>
  <c r="G1962" i="13" s="1"/>
  <c r="G1963" i="13" s="1"/>
  <c r="G1964" i="13" a="1"/>
  <c r="G1964" i="13" s="1"/>
  <c r="G1965" i="13" s="1"/>
  <c r="J1962" i="13" a="1"/>
  <c r="J1962" i="13" s="1"/>
  <c r="J1963" i="13" s="1"/>
  <c r="J1964" i="13" a="1"/>
  <c r="J1964" i="13" s="1"/>
  <c r="J1965" i="13" s="1"/>
  <c r="F1933" i="13" a="1"/>
  <c r="F1933" i="13" s="1"/>
  <c r="F1934" i="13" s="1"/>
  <c r="F1935" i="13" a="1"/>
  <c r="F1935" i="13" s="1"/>
  <c r="F1936" i="13" s="1"/>
  <c r="N1922" i="13" a="1"/>
  <c r="N1922" i="13" s="1"/>
  <c r="HF67" i="9" a="1"/>
  <c r="HF67" i="9" s="1"/>
  <c r="GZ67" i="9" a="1"/>
  <c r="GZ67" i="9" s="1"/>
  <c r="E1957" i="13" a="1"/>
  <c r="E1957" i="13" s="1"/>
  <c r="E1958" i="13" s="1"/>
  <c r="E1959" i="13" a="1"/>
  <c r="E1959" i="13" s="1"/>
  <c r="E1960" i="13" s="1"/>
  <c r="D1957" i="13" a="1"/>
  <c r="D1957" i="13" s="1"/>
  <c r="D1958" i="13" s="1"/>
  <c r="D1959" i="13" a="1"/>
  <c r="D1959" i="13" s="1"/>
  <c r="D1960" i="13" s="1"/>
  <c r="G1933" i="13" a="1"/>
  <c r="G1933" i="13" s="1"/>
  <c r="G1934" i="13" s="1"/>
  <c r="G1935" i="13" a="1"/>
  <c r="G1935" i="13" s="1"/>
  <c r="G1936" i="13" s="1"/>
  <c r="O1933" i="13" a="1"/>
  <c r="O1933" i="13" s="1"/>
  <c r="O1934" i="13" s="1"/>
  <c r="O1935" i="13" a="1"/>
  <c r="O1935" i="13" s="1"/>
  <c r="O1936" i="13" s="1"/>
  <c r="I1956" i="13" a="1"/>
  <c r="I1956" i="13" s="1"/>
  <c r="DO68" i="9" a="1"/>
  <c r="DO68" i="9" s="1"/>
  <c r="DI68" i="9" a="1"/>
  <c r="DI68" i="9" s="1"/>
  <c r="F1957" i="13" a="1"/>
  <c r="F1957" i="13" s="1"/>
  <c r="F1958" i="13" s="1"/>
  <c r="F1959" i="13" a="1"/>
  <c r="F1959" i="13" s="1"/>
  <c r="F1960" i="13" s="1"/>
  <c r="I1927" i="13"/>
  <c r="H1933" i="13" a="1"/>
  <c r="H1933" i="13" s="1"/>
  <c r="H1934" i="13" s="1"/>
  <c r="H1935" i="13" a="1"/>
  <c r="H1935" i="13" s="1"/>
  <c r="H1936" i="13" s="1"/>
  <c r="D1933" i="13" a="1"/>
  <c r="D1933" i="13" s="1"/>
  <c r="D1934" i="13" s="1"/>
  <c r="D1935" i="13" a="1"/>
  <c r="D1935" i="13" s="1"/>
  <c r="D1936" i="13" s="1"/>
  <c r="E1927" i="13"/>
  <c r="J1933" i="13" a="1"/>
  <c r="J1933" i="13" s="1"/>
  <c r="J1934" i="13" s="1"/>
  <c r="J1935" i="13" a="1"/>
  <c r="J1935" i="13" s="1"/>
  <c r="J1936" i="13" s="1"/>
  <c r="L1933" i="13" a="1"/>
  <c r="L1933" i="13" s="1"/>
  <c r="L1934" i="13" s="1"/>
  <c r="L1935" i="13" a="1"/>
  <c r="L1935" i="13" s="1"/>
  <c r="L1936" i="13" s="1"/>
  <c r="O1956" i="13" a="1"/>
  <c r="O1956" i="13" s="1"/>
  <c r="HY68" i="9" a="1"/>
  <c r="HY68" i="9" s="1"/>
  <c r="HS68" i="9" a="1"/>
  <c r="HS68" i="9" s="1"/>
  <c r="N1956" i="13" a="1"/>
  <c r="N1956" i="13" s="1"/>
  <c r="HF68" i="9" a="1"/>
  <c r="HF68" i="9" s="1"/>
  <c r="GZ68" i="9" a="1"/>
  <c r="GZ68" i="9" s="1"/>
  <c r="P800" i="10"/>
  <c r="N1921" i="13" a="1"/>
  <c r="N1921" i="13" s="1"/>
  <c r="J1956" i="13" a="1"/>
  <c r="J1956" i="13" s="1"/>
  <c r="EH68" i="9" a="1"/>
  <c r="EH68" i="9" s="1"/>
  <c r="EB68" i="9" a="1"/>
  <c r="EB68" i="9" s="1"/>
  <c r="K1956" i="13" a="1"/>
  <c r="K1956" i="13" s="1"/>
  <c r="FA68" i="9" a="1"/>
  <c r="FA68" i="9" s="1"/>
  <c r="EU68" i="9" a="1"/>
  <c r="EU68" i="9" s="1"/>
  <c r="P799" i="10"/>
  <c r="N1920" i="13" a="1"/>
  <c r="N1920" i="13" s="1"/>
  <c r="M1933" i="13" a="1"/>
  <c r="M1933" i="13" s="1"/>
  <c r="M1934" i="13" s="1"/>
  <c r="M1935" i="13" a="1"/>
  <c r="M1935" i="13" s="1"/>
  <c r="M1936" i="13" s="1"/>
  <c r="K1933" i="13" a="1"/>
  <c r="K1933" i="13" s="1"/>
  <c r="K1934" i="13" s="1"/>
  <c r="K1935" i="13" a="1"/>
  <c r="K1935" i="13" s="1"/>
  <c r="K1936" i="13" s="1"/>
  <c r="B873" i="10" a="1"/>
  <c r="B873" i="10" s="1"/>
  <c r="A873" i="10" a="1"/>
  <c r="A873" i="10" s="1"/>
  <c r="R887" i="10"/>
  <c r="P882" i="10" a="1"/>
  <c r="P882" i="10" s="1"/>
  <c r="O839" i="10"/>
  <c r="J839" i="10"/>
  <c r="M826" i="10" a="1"/>
  <c r="M826" i="10" s="1"/>
  <c r="K837" i="10"/>
  <c r="K838" i="10" s="1"/>
  <c r="ET70" i="9" s="1" a="1"/>
  <c r="ET70" i="9" s="1"/>
  <c r="N837" i="10"/>
  <c r="N838" i="10" s="1"/>
  <c r="GY70" i="9" s="1" a="1"/>
  <c r="GY70" i="9" s="1"/>
  <c r="L837" i="10"/>
  <c r="L838" i="10" s="1"/>
  <c r="FM70" i="9" s="1" a="1"/>
  <c r="FM70" i="9" s="1"/>
  <c r="J837" i="10"/>
  <c r="J838" i="10" s="1"/>
  <c r="EA70" i="9" s="1" a="1"/>
  <c r="EA70" i="9" s="1"/>
  <c r="F837" i="10"/>
  <c r="F838" i="10" s="1"/>
  <c r="BC70" i="9" s="1" a="1"/>
  <c r="BC70" i="9" s="1"/>
  <c r="G837" i="10"/>
  <c r="G838" i="10" s="1"/>
  <c r="BV70" i="9" s="1" a="1"/>
  <c r="BV70" i="9" s="1"/>
  <c r="I837" i="10"/>
  <c r="I838" i="10" s="1"/>
  <c r="DH70" i="9" s="1" a="1"/>
  <c r="DH70" i="9" s="1"/>
  <c r="O837" i="10"/>
  <c r="O838" i="10" s="1"/>
  <c r="HR70" i="9" s="1" a="1"/>
  <c r="HR70" i="9" s="1"/>
  <c r="P837" i="10"/>
  <c r="P838" i="10" s="1"/>
  <c r="M837" i="10"/>
  <c r="M838" i="10" s="1"/>
  <c r="GF70" i="9" s="1" a="1"/>
  <c r="GF70" i="9" s="1"/>
  <c r="H837" i="10"/>
  <c r="H838" i="10" s="1"/>
  <c r="CO70" i="9" s="1" a="1"/>
  <c r="CO70" i="9" s="1"/>
  <c r="E837" i="10"/>
  <c r="E838" i="10" s="1"/>
  <c r="AJ70" i="9" s="1" a="1"/>
  <c r="AJ70" i="9" s="1"/>
  <c r="B838" i="10"/>
  <c r="B839" i="10" s="1"/>
  <c r="B840" i="10" s="1"/>
  <c r="B841" i="10" s="1"/>
  <c r="B842" i="10" s="1"/>
  <c r="B843" i="10" s="1"/>
  <c r="B844" i="10" s="1"/>
  <c r="D837" i="10"/>
  <c r="D838" i="10" s="1"/>
  <c r="Q70" i="9" s="1" a="1"/>
  <c r="Q70" i="9" s="1"/>
  <c r="K839" i="10"/>
  <c r="M839" i="10"/>
  <c r="E839" i="10"/>
  <c r="L839" i="10"/>
  <c r="N839" i="10"/>
  <c r="O826" i="10" a="1"/>
  <c r="O826" i="10" s="1"/>
  <c r="G839" i="10"/>
  <c r="D846" i="10"/>
  <c r="D850" i="10" s="1"/>
  <c r="B847" i="10"/>
  <c r="B848" i="10" s="1"/>
  <c r="B849" i="10" s="1"/>
  <c r="H846" i="10"/>
  <c r="H850" i="10" s="1"/>
  <c r="B850" i="10"/>
  <c r="B851" i="10" s="1"/>
  <c r="O846" i="10"/>
  <c r="O850" i="10" s="1"/>
  <c r="M846" i="10"/>
  <c r="M850" i="10" s="1"/>
  <c r="J846" i="10"/>
  <c r="J850" i="10" s="1"/>
  <c r="L846" i="10"/>
  <c r="L850" i="10" s="1"/>
  <c r="I846" i="10"/>
  <c r="I850" i="10" s="1"/>
  <c r="F846" i="10"/>
  <c r="F850" i="10" s="1"/>
  <c r="N846" i="10"/>
  <c r="N850" i="10" s="1"/>
  <c r="P846" i="10"/>
  <c r="P850" i="10" s="1"/>
  <c r="G846" i="10"/>
  <c r="G850" i="10" s="1"/>
  <c r="K846" i="10"/>
  <c r="K850" i="10" s="1"/>
  <c r="E846" i="10"/>
  <c r="E850" i="10" s="1"/>
  <c r="I859" i="10"/>
  <c r="B860" i="10"/>
  <c r="L859" i="10"/>
  <c r="M859" i="10"/>
  <c r="P859" i="10"/>
  <c r="N859" i="10"/>
  <c r="E859" i="10"/>
  <c r="H859" i="10"/>
  <c r="D859" i="10"/>
  <c r="F859" i="10"/>
  <c r="K859" i="10"/>
  <c r="J859" i="10"/>
  <c r="G859" i="10"/>
  <c r="O859" i="10"/>
  <c r="H839" i="10"/>
  <c r="I839" i="10"/>
  <c r="CC66" i="9" a="1"/>
  <c r="CC66" i="9" s="1"/>
  <c r="BW66" i="9" a="1"/>
  <c r="BW66" i="9" s="1"/>
  <c r="AK66" i="9" a="1"/>
  <c r="AK66" i="9" s="1"/>
  <c r="AQ66" i="9" a="1"/>
  <c r="AQ66" i="9" s="1"/>
  <c r="HF66" i="9" a="1"/>
  <c r="HF66" i="9" s="1"/>
  <c r="GZ66" i="9" a="1"/>
  <c r="GZ66" i="9" s="1"/>
  <c r="HY66" i="9" a="1"/>
  <c r="HY66" i="9" s="1"/>
  <c r="HS66" i="9" a="1"/>
  <c r="HS66" i="9" s="1"/>
  <c r="CP66" i="9" a="1"/>
  <c r="CP66" i="9" s="1"/>
  <c r="CV66" i="9" a="1"/>
  <c r="CV66" i="9" s="1"/>
  <c r="L78" i="27" a="1"/>
  <c r="L78" i="27" s="1"/>
  <c r="L1806" i="13"/>
  <c r="FS63" i="9" s="1" a="1"/>
  <c r="FS63" i="9" s="1"/>
  <c r="FU63" i="9" s="1"/>
  <c r="GC63" i="9" s="1"/>
  <c r="E1840" i="13"/>
  <c r="AP64" i="9" s="1" a="1"/>
  <c r="AP64" i="9" s="1"/>
  <c r="AN64" i="9"/>
  <c r="G1806" i="13"/>
  <c r="CB63" i="9" s="1" a="1"/>
  <c r="CB63" i="9" s="1"/>
  <c r="CD63" i="9" s="1"/>
  <c r="CL63" i="9" s="1"/>
  <c r="N1840" i="13"/>
  <c r="HE64" i="9" s="1" a="1"/>
  <c r="HE64" i="9" s="1"/>
  <c r="E1806" i="13"/>
  <c r="AP63" i="9" s="1" a="1"/>
  <c r="AP63" i="9" s="1"/>
  <c r="AR63" i="9" s="1"/>
  <c r="M1899" i="13" a="1"/>
  <c r="M1899" i="13" s="1"/>
  <c r="M1900" i="13" s="1"/>
  <c r="M1903" i="13" s="1"/>
  <c r="GI66" i="9" s="1" a="1"/>
  <c r="GI66" i="9" s="1"/>
  <c r="GK66" i="9" s="1"/>
  <c r="FQ64" i="9"/>
  <c r="HC64" i="9"/>
  <c r="D1840" i="13"/>
  <c r="BZ63" i="9"/>
  <c r="BG63" i="9"/>
  <c r="Q74" i="25"/>
  <c r="F1901" i="13" a="1"/>
  <c r="F1901" i="13" s="1"/>
  <c r="F1902" i="13" s="1"/>
  <c r="F1903" i="13" s="1"/>
  <c r="BF66" i="9" s="1" a="1"/>
  <c r="BF66" i="9" s="1"/>
  <c r="BH66" i="9" s="1"/>
  <c r="HV64" i="9"/>
  <c r="P76" i="25" a="1"/>
  <c r="P76" i="25" s="1"/>
  <c r="HW64" i="9"/>
  <c r="M76" i="25" a="1"/>
  <c r="M76" i="25" s="1"/>
  <c r="FR64" i="9"/>
  <c r="O1840" i="13"/>
  <c r="HX64" i="9" s="1" a="1"/>
  <c r="HX64" i="9" s="1"/>
  <c r="J1838" i="13"/>
  <c r="ED64" i="9" a="1"/>
  <c r="ED64" i="9" s="1"/>
  <c r="EE64" i="9" s="1"/>
  <c r="K1899" i="13" a="1"/>
  <c r="K1899" i="13" s="1"/>
  <c r="K1900" i="13" s="1"/>
  <c r="K1903" i="13" s="1"/>
  <c r="EW66" i="9" s="1" a="1"/>
  <c r="EW66" i="9" s="1"/>
  <c r="EY66" i="9" s="1"/>
  <c r="K1838" i="13"/>
  <c r="EW64" i="9" a="1"/>
  <c r="EW64" i="9" s="1"/>
  <c r="F76" i="25" a="1"/>
  <c r="F76" i="25" s="1"/>
  <c r="AO64" i="9"/>
  <c r="F1806" i="13"/>
  <c r="BI63" i="9" s="1" a="1"/>
  <c r="BI63" i="9" s="1"/>
  <c r="BK63" i="9" s="1"/>
  <c r="BS63" i="9" s="1"/>
  <c r="F1838" i="13"/>
  <c r="BF64" i="9" a="1"/>
  <c r="BF64" i="9" s="1"/>
  <c r="M1838" i="13"/>
  <c r="GI64" i="9" a="1"/>
  <c r="GI64" i="9" s="1"/>
  <c r="GJ64" i="9" s="1"/>
  <c r="O76" i="25" a="1"/>
  <c r="O76" i="25" s="1"/>
  <c r="HD64" i="9"/>
  <c r="I1836" i="13"/>
  <c r="DK64" i="9" a="1"/>
  <c r="DK64" i="9" s="1"/>
  <c r="G1838" i="13"/>
  <c r="BY64" i="9" a="1"/>
  <c r="BY64" i="9" s="1"/>
  <c r="BZ64" i="9" s="1"/>
  <c r="G75" i="25" a="1"/>
  <c r="G75" i="25" s="1"/>
  <c r="BH63" i="9"/>
  <c r="H75" i="25" a="1"/>
  <c r="H75" i="25" s="1"/>
  <c r="CA63" i="9"/>
  <c r="M75" i="25" a="1"/>
  <c r="M75" i="25" s="1"/>
  <c r="FR63" i="9"/>
  <c r="F75" i="25" a="1"/>
  <c r="F75" i="25" s="1"/>
  <c r="AO63" i="9"/>
  <c r="N1867" i="13" a="1"/>
  <c r="N1867" i="13" s="1"/>
  <c r="N1868" i="13" s="1"/>
  <c r="N1869" i="13" s="1"/>
  <c r="HB65" i="9" s="1" a="1"/>
  <c r="HB65" i="9" s="1"/>
  <c r="HD65" i="9" s="1"/>
  <c r="I1901" i="13" a="1"/>
  <c r="I1901" i="13" s="1"/>
  <c r="I1902" i="13" s="1"/>
  <c r="I1903" i="13" s="1"/>
  <c r="DK66" i="9" s="1" a="1"/>
  <c r="DK66" i="9" s="1"/>
  <c r="DM66" i="9" s="1"/>
  <c r="E1865" i="13" a="1"/>
  <c r="E1865" i="13" s="1"/>
  <c r="E1866" i="13" s="1"/>
  <c r="E1869" i="13" s="1"/>
  <c r="J1865" i="13" a="1"/>
  <c r="J1865" i="13" s="1"/>
  <c r="J1866" i="13" s="1"/>
  <c r="J1869" i="13" s="1"/>
  <c r="F1867" i="13" a="1"/>
  <c r="F1867" i="13" s="1"/>
  <c r="F1868" i="13" s="1"/>
  <c r="F1869" i="13" s="1"/>
  <c r="D1865" i="13" a="1"/>
  <c r="D1865" i="13" s="1"/>
  <c r="D1866" i="13" s="1"/>
  <c r="D1867" i="13" a="1"/>
  <c r="D1867" i="13" s="1"/>
  <c r="D1868" i="13" s="1"/>
  <c r="M1865" i="13" a="1"/>
  <c r="M1865" i="13" s="1"/>
  <c r="M1866" i="13" s="1"/>
  <c r="M1869" i="13" s="1"/>
  <c r="GI65" i="9" s="1" a="1"/>
  <c r="GI65" i="9" s="1"/>
  <c r="GK65" i="9" s="1"/>
  <c r="J1899" i="13" a="1"/>
  <c r="J1899" i="13" s="1"/>
  <c r="J1900" i="13" s="1"/>
  <c r="J1903" i="13" s="1"/>
  <c r="ED66" i="9" s="1" a="1"/>
  <c r="ED66" i="9" s="1"/>
  <c r="EF66" i="9" s="1"/>
  <c r="O1867" i="13" a="1"/>
  <c r="O1867" i="13" s="1"/>
  <c r="O1868" i="13" s="1"/>
  <c r="O1869" i="13" s="1"/>
  <c r="HU65" i="9" s="1" a="1"/>
  <c r="HU65" i="9" s="1"/>
  <c r="HW65" i="9" s="1"/>
  <c r="L1865" i="13" a="1"/>
  <c r="L1865" i="13" s="1"/>
  <c r="L1866" i="13" s="1"/>
  <c r="L1869" i="13" s="1"/>
  <c r="L1872" i="13" s="1"/>
  <c r="P77" i="27" a="1"/>
  <c r="P77" i="27" s="1"/>
  <c r="O1888" i="13" a="1"/>
  <c r="O1888" i="13" s="1"/>
  <c r="O1901" i="13" s="1" a="1"/>
  <c r="O1901" i="13" s="1"/>
  <c r="O1902" i="13" s="1"/>
  <c r="N1888" i="13" a="1"/>
  <c r="N1888" i="13" s="1"/>
  <c r="N1899" i="13" s="1" a="1"/>
  <c r="N1899" i="13" s="1"/>
  <c r="N1900" i="13" s="1"/>
  <c r="D1901" i="13" a="1"/>
  <c r="D1901" i="13" s="1"/>
  <c r="D1902" i="13" s="1"/>
  <c r="D1903" i="13" s="1"/>
  <c r="T66" i="9" s="1" a="1"/>
  <c r="T66" i="9" s="1"/>
  <c r="V66" i="9" s="1"/>
  <c r="O77" i="27" a="1"/>
  <c r="O77" i="27" s="1"/>
  <c r="L1901" i="13" a="1"/>
  <c r="L1901" i="13" s="1"/>
  <c r="L1902" i="13" s="1"/>
  <c r="L1903" i="13" s="1"/>
  <c r="FP66" i="9" s="1" a="1"/>
  <c r="FP66" i="9" s="1"/>
  <c r="FR66" i="9" s="1"/>
  <c r="GL62" i="9" a="1"/>
  <c r="GL62" i="9" s="1"/>
  <c r="GN62" i="9" s="1"/>
  <c r="N77" i="27" a="1"/>
  <c r="N77" i="27" s="1"/>
  <c r="M77" i="27" a="1"/>
  <c r="M77" i="27" s="1"/>
  <c r="L77" i="27" a="1"/>
  <c r="L77" i="27" s="1"/>
  <c r="K1867" i="13" a="1"/>
  <c r="K1867" i="13" s="1"/>
  <c r="K1868" i="13" s="1"/>
  <c r="K1865" i="13" a="1"/>
  <c r="K1865" i="13" s="1"/>
  <c r="K1866" i="13" s="1"/>
  <c r="DJ64" i="9" a="1"/>
  <c r="DJ64" i="9" s="1"/>
  <c r="K77" i="27" a="1"/>
  <c r="K77" i="27" s="1"/>
  <c r="J77" i="27" a="1"/>
  <c r="J77" i="27" s="1"/>
  <c r="I1867" i="13" a="1"/>
  <c r="I1867" i="13" s="1"/>
  <c r="I1868" i="13" s="1"/>
  <c r="I1865" i="13" a="1"/>
  <c r="I1865" i="13" s="1"/>
  <c r="I1866" i="13" s="1"/>
  <c r="H1835" i="13"/>
  <c r="CR64" i="9" s="1" a="1"/>
  <c r="CR64" i="9" s="1"/>
  <c r="I77" i="27" a="1"/>
  <c r="I77" i="27" s="1"/>
  <c r="H1888" i="13" a="1"/>
  <c r="H1888" i="13" s="1"/>
  <c r="H1901" i="13" s="1" a="1"/>
  <c r="H1901" i="13" s="1"/>
  <c r="H1902" i="13" s="1"/>
  <c r="H1867" i="13" a="1"/>
  <c r="H1867" i="13" s="1"/>
  <c r="H1868" i="13" s="1"/>
  <c r="H1869" i="13" s="1"/>
  <c r="CR65" i="9" s="1" a="1"/>
  <c r="CR65" i="9" s="1"/>
  <c r="CT65" i="9" s="1"/>
  <c r="G1865" i="13" a="1"/>
  <c r="G1865" i="13" s="1"/>
  <c r="G1866" i="13" s="1"/>
  <c r="G1869" i="13" s="1"/>
  <c r="G1888" i="13" a="1"/>
  <c r="G1888" i="13" s="1"/>
  <c r="G1899" i="13" s="1" a="1"/>
  <c r="G1899" i="13" s="1"/>
  <c r="G1900" i="13" s="1"/>
  <c r="H77" i="27" a="1"/>
  <c r="H77" i="27" s="1"/>
  <c r="G77" i="27" a="1"/>
  <c r="G77" i="27" s="1"/>
  <c r="E1888" i="13" a="1"/>
  <c r="E1888" i="13" s="1"/>
  <c r="E1901" i="13" s="1" a="1"/>
  <c r="E1901" i="13" s="1"/>
  <c r="E1902" i="13" s="1"/>
  <c r="F77" i="27" a="1"/>
  <c r="F77" i="27" s="1"/>
  <c r="I1898" i="13"/>
  <c r="N1889" i="13" a="1"/>
  <c r="N1889" i="13" s="1"/>
  <c r="N1890" i="13" s="1"/>
  <c r="N1893" i="13" s="1"/>
  <c r="G1859" i="13"/>
  <c r="J1898" i="13"/>
  <c r="E1864" i="13"/>
  <c r="J1864" i="13"/>
  <c r="M1893" i="13"/>
  <c r="M1898" i="13"/>
  <c r="H1889" i="13" a="1"/>
  <c r="H1889" i="13" s="1"/>
  <c r="H1890" i="13" s="1"/>
  <c r="H1893" i="13" s="1"/>
  <c r="F1859" i="13"/>
  <c r="P785" i="10"/>
  <c r="P786" i="10"/>
  <c r="O1864" i="13"/>
  <c r="J1859" i="13"/>
  <c r="I1859" i="13"/>
  <c r="K1898" i="13"/>
  <c r="H1898" i="13"/>
  <c r="N1864" i="13"/>
  <c r="M1864" i="13"/>
  <c r="G1864" i="13"/>
  <c r="F1864" i="13"/>
  <c r="E1859" i="13"/>
  <c r="L1859" i="13"/>
  <c r="L1893" i="13"/>
  <c r="I1893" i="13"/>
  <c r="I1864" i="13"/>
  <c r="H1864" i="13"/>
  <c r="K1893" i="13"/>
  <c r="I1838" i="13"/>
  <c r="L1898" i="13"/>
  <c r="N1859" i="13"/>
  <c r="D1891" i="13" a="1"/>
  <c r="D1891" i="13" s="1"/>
  <c r="D1892" i="13" s="1"/>
  <c r="D1889" i="13" a="1"/>
  <c r="D1889" i="13" s="1"/>
  <c r="D1890" i="13" s="1"/>
  <c r="M1859" i="13"/>
  <c r="D1896" i="13" a="1"/>
  <c r="D1896" i="13" s="1"/>
  <c r="D1897" i="13" s="1"/>
  <c r="D1894" i="13" a="1"/>
  <c r="D1894" i="13" s="1"/>
  <c r="D1895" i="13" s="1"/>
  <c r="N1896" i="13" a="1"/>
  <c r="N1896" i="13" s="1"/>
  <c r="N1897" i="13" s="1"/>
  <c r="N1894" i="13" a="1"/>
  <c r="N1894" i="13" s="1"/>
  <c r="N1895" i="13" s="1"/>
  <c r="K1864" i="13"/>
  <c r="H1859" i="13"/>
  <c r="F1893" i="13"/>
  <c r="D1857" i="13" a="1"/>
  <c r="D1857" i="13" s="1"/>
  <c r="D1858" i="13" s="1"/>
  <c r="D1855" i="13" a="1"/>
  <c r="D1855" i="13" s="1"/>
  <c r="D1856" i="13" s="1"/>
  <c r="K1859" i="13"/>
  <c r="L1864" i="13"/>
  <c r="G1891" i="13" a="1"/>
  <c r="G1891" i="13" s="1"/>
  <c r="G1892" i="13" s="1"/>
  <c r="G1889" i="13" a="1"/>
  <c r="G1889" i="13" s="1"/>
  <c r="G1890" i="13" s="1"/>
  <c r="E1893" i="13"/>
  <c r="D1860" i="13" a="1"/>
  <c r="D1860" i="13" s="1"/>
  <c r="D1861" i="13" s="1"/>
  <c r="D1862" i="13" a="1"/>
  <c r="D1862" i="13" s="1"/>
  <c r="D1863" i="13" s="1"/>
  <c r="F1898" i="13"/>
  <c r="O1859" i="13"/>
  <c r="O1893" i="13"/>
  <c r="E1898" i="13"/>
  <c r="G1894" i="13" a="1"/>
  <c r="G1894" i="13" s="1"/>
  <c r="G1895" i="13" s="1"/>
  <c r="G1896" i="13" a="1"/>
  <c r="G1896" i="13" s="1"/>
  <c r="G1897" i="13" s="1"/>
  <c r="O1894" i="13" a="1"/>
  <c r="O1894" i="13" s="1"/>
  <c r="O1895" i="13" s="1"/>
  <c r="O1896" i="13" a="1"/>
  <c r="O1896" i="13" s="1"/>
  <c r="O1897" i="13" s="1"/>
  <c r="J1893" i="13"/>
  <c r="M1836" i="13"/>
  <c r="F1836" i="13"/>
  <c r="G1836" i="13"/>
  <c r="J1836" i="13"/>
  <c r="K1836" i="13"/>
  <c r="BL62" i="9" a="1"/>
  <c r="BL62" i="9" s="1"/>
  <c r="BT62" i="9" s="1"/>
  <c r="H75" i="24" s="1" a="1"/>
  <c r="H75" i="24" s="1"/>
  <c r="FV62" i="9" a="1"/>
  <c r="FV62" i="9" s="1"/>
  <c r="GD62" i="9" s="1"/>
  <c r="N75" i="24" s="1" a="1"/>
  <c r="N75" i="24" s="1"/>
  <c r="IN60" i="9"/>
  <c r="IO60" i="9" s="1"/>
  <c r="HO62" i="9"/>
  <c r="HH62" i="9" a="1"/>
  <c r="HH62" i="9" s="1"/>
  <c r="CX62" i="9" a="1"/>
  <c r="CX62" i="9" s="1"/>
  <c r="DF62" i="9" s="1"/>
  <c r="J75" i="24" s="1" a="1"/>
  <c r="J75" i="24" s="1"/>
  <c r="FC61" i="9" a="1"/>
  <c r="FC61" i="9" s="1"/>
  <c r="FK61" i="9" s="1"/>
  <c r="M74" i="24" s="1" a="1"/>
  <c r="M74" i="24" s="1"/>
  <c r="IJ60" i="9"/>
  <c r="IK60" i="9" s="1"/>
  <c r="FV61" i="9" a="1"/>
  <c r="FV61" i="9" s="1"/>
  <c r="GD61" i="9" s="1"/>
  <c r="N74" i="24" s="1" a="1"/>
  <c r="N74" i="24" s="1"/>
  <c r="DQ62" i="9" a="1"/>
  <c r="DQ62" i="9" s="1"/>
  <c r="DY62" i="9" s="1"/>
  <c r="K75" i="24" s="1" a="1"/>
  <c r="K75" i="24" s="1"/>
  <c r="EJ62" i="9" a="1"/>
  <c r="EJ62" i="9" s="1"/>
  <c r="ER62" i="9" s="1"/>
  <c r="L75" i="24" s="1" a="1"/>
  <c r="L75" i="24" s="1"/>
  <c r="CE62" i="9" a="1"/>
  <c r="CE62" i="9" s="1"/>
  <c r="CM62" i="9" s="1"/>
  <c r="I75" i="24" s="1" a="1"/>
  <c r="I75" i="24" s="1"/>
  <c r="IA62" i="9" a="1"/>
  <c r="IA62" i="9" s="1"/>
  <c r="II62" i="9" s="1"/>
  <c r="Q75" i="24" s="1" a="1"/>
  <c r="Q75" i="24" s="1"/>
  <c r="FJ62" i="9"/>
  <c r="FK62" i="9" s="1"/>
  <c r="M75" i="24" s="1" a="1"/>
  <c r="M75" i="24" s="1"/>
  <c r="FB63" i="9"/>
  <c r="FJ63" i="9" s="1"/>
  <c r="AR62" i="9"/>
  <c r="AZ62" i="9" s="1"/>
  <c r="W62" i="9" a="1"/>
  <c r="W62" i="9" s="1"/>
  <c r="Y62" i="9" s="1"/>
  <c r="AG62" i="9" s="1"/>
  <c r="GN63" i="9"/>
  <c r="GV63" i="9" s="1"/>
  <c r="HG63" i="9"/>
  <c r="HO63" i="9" s="1"/>
  <c r="EI63" i="9"/>
  <c r="EQ63" i="9" s="1"/>
  <c r="CW63" i="9"/>
  <c r="CX63" i="9" s="1" a="1"/>
  <c r="CX63" i="9" s="1"/>
  <c r="DP63" i="9"/>
  <c r="DX63" i="9" s="1"/>
  <c r="U63" i="9"/>
  <c r="V64" i="9"/>
  <c r="P788" i="10"/>
  <c r="AG61" i="9"/>
  <c r="Z61" i="9" a="1"/>
  <c r="Z61" i="9" s="1"/>
  <c r="H1956" i="13" l="1" a="1"/>
  <c r="H1956" i="13" s="1"/>
  <c r="J828" i="10"/>
  <c r="J1989" i="13" s="1" a="1"/>
  <c r="J1989" i="13" s="1"/>
  <c r="H1959" i="13" a="1"/>
  <c r="H1959" i="13" s="1"/>
  <c r="H1960" i="13" s="1"/>
  <c r="J829" i="10"/>
  <c r="J827" i="10"/>
  <c r="J1988" i="13" s="1" a="1"/>
  <c r="J1988" i="13" s="1"/>
  <c r="J1991" i="13" s="1" a="1"/>
  <c r="J1991" i="13" s="1"/>
  <c r="J1992" i="13" s="1"/>
  <c r="CV68" i="9" a="1"/>
  <c r="CV68" i="9" s="1"/>
  <c r="J1959" i="13" a="1"/>
  <c r="J1959" i="13" s="1"/>
  <c r="J1960" i="13" s="1"/>
  <c r="M1962" i="13" a="1"/>
  <c r="M1962" i="13" s="1"/>
  <c r="M1963" i="13" s="1"/>
  <c r="M1966" i="13" s="1"/>
  <c r="O1959" i="13" a="1"/>
  <c r="O1959" i="13" s="1"/>
  <c r="O1960" i="13" s="1"/>
  <c r="O1961" i="13" s="1"/>
  <c r="O1964" i="13" a="1"/>
  <c r="O1964" i="13" s="1"/>
  <c r="O1965" i="13" s="1"/>
  <c r="O1966" i="13" s="1"/>
  <c r="M1956" i="13" a="1"/>
  <c r="M1956" i="13" s="1"/>
  <c r="M1967" i="13" s="1" a="1"/>
  <c r="M1967" i="13" s="1"/>
  <c r="M1968" i="13" s="1"/>
  <c r="G830" i="10"/>
  <c r="G1990" i="13" s="1" a="1"/>
  <c r="G1990" i="13" s="1"/>
  <c r="G829" i="10"/>
  <c r="G827" i="10"/>
  <c r="G1988" i="13" s="1" a="1"/>
  <c r="G1988" i="13" s="1"/>
  <c r="G1991" i="13" s="1" a="1"/>
  <c r="G1991" i="13" s="1"/>
  <c r="G1992" i="13" s="1"/>
  <c r="AQ68" i="9" a="1"/>
  <c r="AQ68" i="9" s="1"/>
  <c r="D830" i="10"/>
  <c r="R69" i="9" s="1" a="1"/>
  <c r="R69" i="9" s="1"/>
  <c r="D828" i="10"/>
  <c r="D1989" i="13" s="1" a="1"/>
  <c r="D1989" i="13" s="1"/>
  <c r="D1996" i="13" s="1" a="1"/>
  <c r="D1996" i="13" s="1"/>
  <c r="D1997" i="13" s="1"/>
  <c r="D827" i="10"/>
  <c r="D1988" i="13" s="1" a="1"/>
  <c r="D1988" i="13" s="1"/>
  <c r="D1993" i="13" s="1" a="1"/>
  <c r="D1993" i="13" s="1"/>
  <c r="D1994" i="13" s="1"/>
  <c r="I1964" i="13" a="1"/>
  <c r="I1964" i="13" s="1"/>
  <c r="I1965" i="13" s="1"/>
  <c r="I1966" i="13" s="1"/>
  <c r="K1959" i="13" a="1"/>
  <c r="K1959" i="13" s="1"/>
  <c r="K1960" i="13" s="1"/>
  <c r="K1961" i="13" s="1"/>
  <c r="H1964" i="13" a="1"/>
  <c r="H1964" i="13" s="1"/>
  <c r="H1965" i="13" s="1"/>
  <c r="H1966" i="13" s="1"/>
  <c r="F1962" i="13" a="1"/>
  <c r="F1962" i="13" s="1"/>
  <c r="F1963" i="13" s="1"/>
  <c r="F1966" i="13" s="1"/>
  <c r="L829" i="10"/>
  <c r="F827" i="10"/>
  <c r="F1988" i="13" s="1" a="1"/>
  <c r="F1988" i="13" s="1"/>
  <c r="F1991" i="13" s="1" a="1"/>
  <c r="F1991" i="13" s="1"/>
  <c r="F1992" i="13" s="1"/>
  <c r="N1959" i="13" a="1"/>
  <c r="N1959" i="13" s="1"/>
  <c r="N1960" i="13" s="1"/>
  <c r="N1961" i="13" s="1"/>
  <c r="L1959" i="13" a="1"/>
  <c r="L1959" i="13" s="1"/>
  <c r="L1960" i="13" s="1"/>
  <c r="L1961" i="13" s="1"/>
  <c r="K828" i="10"/>
  <c r="K1989" i="13" s="1" a="1"/>
  <c r="K1989" i="13" s="1"/>
  <c r="K1996" i="13" s="1" a="1"/>
  <c r="K1996" i="13" s="1"/>
  <c r="K1997" i="13" s="1"/>
  <c r="AK68" i="9" a="1"/>
  <c r="AK68" i="9" s="1"/>
  <c r="N828" i="10"/>
  <c r="N1989" i="13" s="1" a="1"/>
  <c r="N1989" i="13" s="1"/>
  <c r="N1996" i="13" s="1" a="1"/>
  <c r="N1996" i="13" s="1"/>
  <c r="N1997" i="13" s="1"/>
  <c r="E1962" i="13" a="1"/>
  <c r="E1962" i="13" s="1"/>
  <c r="E1963" i="13" s="1"/>
  <c r="E1966" i="13" s="1"/>
  <c r="GG68" i="9" a="1"/>
  <c r="GG68" i="9" s="1"/>
  <c r="I1959" i="13" a="1"/>
  <c r="I1959" i="13" s="1"/>
  <c r="I1960" i="13" s="1"/>
  <c r="I1961" i="13" s="1"/>
  <c r="J1840" i="13"/>
  <c r="EG64" i="9" s="1" a="1"/>
  <c r="EG64" i="9" s="1"/>
  <c r="EI64" i="9" s="1"/>
  <c r="EQ64" i="9" s="1"/>
  <c r="H830" i="10"/>
  <c r="CV69" i="9" s="1" a="1"/>
  <c r="CV69" i="9" s="1"/>
  <c r="H829" i="10"/>
  <c r="H828" i="10"/>
  <c r="H1989" i="13" s="1" a="1"/>
  <c r="H1989" i="13" s="1"/>
  <c r="H1996" i="13" s="1" a="1"/>
  <c r="H1996" i="13" s="1"/>
  <c r="H1997" i="13" s="1"/>
  <c r="AL67" i="9" a="1"/>
  <c r="AL67" i="9" s="1"/>
  <c r="GH67" i="9" a="1"/>
  <c r="GH67" i="9" s="1"/>
  <c r="K1964" i="13" a="1"/>
  <c r="K1964" i="13" s="1"/>
  <c r="K1965" i="13" s="1"/>
  <c r="K1966" i="13" s="1"/>
  <c r="BW68" i="9" a="1"/>
  <c r="BW68" i="9" s="1"/>
  <c r="BJ68" i="9" a="1"/>
  <c r="BJ68" i="9" s="1"/>
  <c r="F830" i="10"/>
  <c r="BJ69" i="9" s="1" a="1"/>
  <c r="BJ69" i="9" s="1"/>
  <c r="L828" i="10"/>
  <c r="L1989" i="13" s="1" a="1"/>
  <c r="L1989" i="13" s="1"/>
  <c r="L1996" i="13" s="1" a="1"/>
  <c r="L1996" i="13" s="1"/>
  <c r="L1997" i="13" s="1"/>
  <c r="L827" i="10"/>
  <c r="L1988" i="13" s="1" a="1"/>
  <c r="L1988" i="13" s="1"/>
  <c r="L1993" i="13" s="1" a="1"/>
  <c r="L1993" i="13" s="1"/>
  <c r="L1994" i="13" s="1"/>
  <c r="I1933" i="13" a="1"/>
  <c r="I1933" i="13" s="1"/>
  <c r="I1934" i="13" s="1"/>
  <c r="I1937" i="13" s="1"/>
  <c r="N1964" i="13" a="1"/>
  <c r="N1964" i="13" s="1"/>
  <c r="N1965" i="13" s="1"/>
  <c r="N1966" i="13" s="1"/>
  <c r="F829" i="10"/>
  <c r="BD68" i="9" a="1"/>
  <c r="BD68" i="9" s="1"/>
  <c r="S67" i="9" a="1"/>
  <c r="S67" i="9" s="1"/>
  <c r="K830" i="10"/>
  <c r="EU69" i="9" s="1" a="1"/>
  <c r="EU69" i="9" s="1"/>
  <c r="K829" i="10"/>
  <c r="I829" i="10"/>
  <c r="P813" i="10"/>
  <c r="I828" i="10"/>
  <c r="I1989" i="13" s="1" a="1"/>
  <c r="I1989" i="13" s="1"/>
  <c r="I1996" i="13" s="1" a="1"/>
  <c r="I1996" i="13" s="1"/>
  <c r="I1997" i="13" s="1"/>
  <c r="I827" i="10"/>
  <c r="I1988" i="13" s="1" a="1"/>
  <c r="I1988" i="13" s="1"/>
  <c r="I1991" i="13" s="1" a="1"/>
  <c r="I1991" i="13" s="1"/>
  <c r="I1992" i="13" s="1"/>
  <c r="N829" i="10"/>
  <c r="N827" i="10"/>
  <c r="N1988" i="13" s="1" a="1"/>
  <c r="N1988" i="13" s="1"/>
  <c r="N1991" i="13" s="1" a="1"/>
  <c r="N1991" i="13" s="1"/>
  <c r="N1992" i="13" s="1"/>
  <c r="P816" i="10"/>
  <c r="CC68" i="9" a="1"/>
  <c r="CC68" i="9" s="1"/>
  <c r="L1964" i="13" a="1"/>
  <c r="L1964" i="13" s="1"/>
  <c r="L1965" i="13" s="1"/>
  <c r="L1966" i="13" s="1"/>
  <c r="EC67" i="9" a="1"/>
  <c r="EC67" i="9" s="1"/>
  <c r="P815" i="10"/>
  <c r="BX67" i="9" a="1"/>
  <c r="BX67" i="9" s="1"/>
  <c r="D840" i="10" a="1"/>
  <c r="D840" i="10" s="1"/>
  <c r="D842" i="10" s="1"/>
  <c r="D2023" i="13" s="1" a="1"/>
  <c r="D2023" i="13" s="1"/>
  <c r="E830" i="10"/>
  <c r="AQ69" i="9" s="1" a="1"/>
  <c r="AQ69" i="9" s="1"/>
  <c r="E827" i="10"/>
  <c r="E1988" i="13" s="1" a="1"/>
  <c r="E1988" i="13" s="1"/>
  <c r="E1991" i="13" s="1" a="1"/>
  <c r="E1991" i="13" s="1"/>
  <c r="E1992" i="13" s="1"/>
  <c r="E829" i="10"/>
  <c r="D1964" i="13" a="1"/>
  <c r="D1964" i="13" s="1"/>
  <c r="D1965" i="13" s="1"/>
  <c r="D1966" i="13" s="1"/>
  <c r="P814" i="10"/>
  <c r="BE67" i="9" a="1"/>
  <c r="BE67" i="9" s="1"/>
  <c r="R68" i="9" a="1"/>
  <c r="R68" i="9" s="1"/>
  <c r="G840" i="10" a="1"/>
  <c r="G840" i="10" s="1"/>
  <c r="G844" i="10" s="1"/>
  <c r="G1959" i="13" a="1"/>
  <c r="G1959" i="13" s="1"/>
  <c r="G1960" i="13" s="1"/>
  <c r="G1961" i="13" s="1"/>
  <c r="CQ67" i="9" a="1"/>
  <c r="CQ67" i="9" s="1"/>
  <c r="X68" i="9" a="1"/>
  <c r="X68" i="9" s="1"/>
  <c r="DJ67" i="9" a="1"/>
  <c r="DJ67" i="9" s="1"/>
  <c r="G1966" i="13"/>
  <c r="FO67" i="9" a="1"/>
  <c r="FO67" i="9" s="1"/>
  <c r="HT67" i="9" a="1"/>
  <c r="HT67" i="9" s="1"/>
  <c r="E840" i="10" a="1"/>
  <c r="E840" i="10" s="1"/>
  <c r="E842" i="10" s="1"/>
  <c r="E2023" i="13" s="1" a="1"/>
  <c r="E2023" i="13" s="1"/>
  <c r="EV67" i="9" a="1"/>
  <c r="EV67" i="9" s="1"/>
  <c r="L1937" i="13"/>
  <c r="FP67" i="9" s="1" a="1"/>
  <c r="FP67" i="9" s="1"/>
  <c r="M79" i="25" s="1" a="1"/>
  <c r="M79" i="25" s="1"/>
  <c r="H1937" i="13"/>
  <c r="CR67" i="9" s="1" a="1"/>
  <c r="CR67" i="9" s="1"/>
  <c r="I79" i="25" s="1" a="1"/>
  <c r="I79" i="25" s="1"/>
  <c r="H853" i="10"/>
  <c r="O840" i="10" a="1"/>
  <c r="O840" i="10" s="1"/>
  <c r="O842" i="10" s="1"/>
  <c r="O2023" i="13" s="1" a="1"/>
  <c r="O2023" i="13" s="1"/>
  <c r="L840" i="10" a="1"/>
  <c r="L840" i="10" s="1"/>
  <c r="L844" i="10" s="1"/>
  <c r="E1937" i="13"/>
  <c r="AM67" i="9" s="1" a="1"/>
  <c r="AM67" i="9" s="1"/>
  <c r="K840" i="10" a="1"/>
  <c r="K840" i="10" s="1"/>
  <c r="K843" i="10" s="1"/>
  <c r="L853" i="10"/>
  <c r="F853" i="10"/>
  <c r="F840" i="10" a="1"/>
  <c r="F840" i="10" s="1"/>
  <c r="F844" i="10" s="1"/>
  <c r="K853" i="10"/>
  <c r="K1937" i="13"/>
  <c r="K1940" i="13" s="1"/>
  <c r="M1937" i="13"/>
  <c r="M1940" i="13" s="1"/>
  <c r="G1937" i="13"/>
  <c r="G1940" i="13" s="1"/>
  <c r="J1937" i="13"/>
  <c r="J1940" i="13" s="1"/>
  <c r="F1937" i="13"/>
  <c r="F1940" i="13" s="1"/>
  <c r="J1966" i="13"/>
  <c r="F1961" i="13"/>
  <c r="O1937" i="13"/>
  <c r="O1940" i="13" s="1"/>
  <c r="N1928" i="13" a="1"/>
  <c r="N1928" i="13" s="1"/>
  <c r="N1929" i="13" s="1"/>
  <c r="N1930" i="13" a="1"/>
  <c r="N1930" i="13" s="1"/>
  <c r="N1931" i="13" s="1"/>
  <c r="L1967" i="13" a="1"/>
  <c r="L1967" i="13" s="1"/>
  <c r="L1968" i="13" s="1"/>
  <c r="L1969" i="13" a="1"/>
  <c r="L1969" i="13" s="1"/>
  <c r="L1970" i="13" s="1"/>
  <c r="G1840" i="13"/>
  <c r="CB64" i="9" s="1" a="1"/>
  <c r="CB64" i="9" s="1"/>
  <c r="CD64" i="9" s="1"/>
  <c r="CL64" i="9" s="1"/>
  <c r="J1996" i="13" a="1"/>
  <c r="J1996" i="13" s="1"/>
  <c r="J1997" i="13" s="1"/>
  <c r="J1998" i="13" a="1"/>
  <c r="J1998" i="13" s="1"/>
  <c r="J1999" i="13" s="1"/>
  <c r="O1967" i="13" a="1"/>
  <c r="O1967" i="13" s="1"/>
  <c r="O1968" i="13" s="1"/>
  <c r="O1969" i="13" a="1"/>
  <c r="O1969" i="13" s="1"/>
  <c r="O1970" i="13" s="1"/>
  <c r="I1990" i="13" a="1"/>
  <c r="I1990" i="13" s="1"/>
  <c r="DO69" i="9" a="1"/>
  <c r="DO69" i="9" s="1"/>
  <c r="DI69" i="9" a="1"/>
  <c r="DI69" i="9" s="1"/>
  <c r="H1991" i="13" a="1"/>
  <c r="H1991" i="13" s="1"/>
  <c r="H1992" i="13" s="1"/>
  <c r="H1993" i="13" a="1"/>
  <c r="H1993" i="13" s="1"/>
  <c r="H1994" i="13" s="1"/>
  <c r="J1967" i="13" a="1"/>
  <c r="J1967" i="13" s="1"/>
  <c r="J1968" i="13" s="1"/>
  <c r="J1969" i="13" a="1"/>
  <c r="J1969" i="13" s="1"/>
  <c r="J1970" i="13" s="1"/>
  <c r="H1967" i="13" a="1"/>
  <c r="H1967" i="13" s="1"/>
  <c r="H1968" i="13" s="1"/>
  <c r="H1969" i="13" a="1"/>
  <c r="H1969" i="13" s="1"/>
  <c r="H1970" i="13" s="1"/>
  <c r="E1961" i="13"/>
  <c r="N1933" i="13" a="1"/>
  <c r="N1933" i="13" s="1"/>
  <c r="N1934" i="13" s="1"/>
  <c r="N1935" i="13" a="1"/>
  <c r="N1935" i="13" s="1"/>
  <c r="N1936" i="13" s="1"/>
  <c r="G1996" i="13" a="1"/>
  <c r="G1996" i="13" s="1"/>
  <c r="G1997" i="13" s="1"/>
  <c r="G1998" i="13" a="1"/>
  <c r="G1998" i="13" s="1"/>
  <c r="G1999" i="13" s="1"/>
  <c r="K1967" i="13" a="1"/>
  <c r="K1967" i="13" s="1"/>
  <c r="K1968" i="13" s="1"/>
  <c r="K1969" i="13" a="1"/>
  <c r="K1969" i="13" s="1"/>
  <c r="K1970" i="13" s="1"/>
  <c r="J1961" i="13"/>
  <c r="D1937" i="13"/>
  <c r="F1967" i="13" a="1"/>
  <c r="F1967" i="13" s="1"/>
  <c r="F1968" i="13" s="1"/>
  <c r="F1969" i="13" a="1"/>
  <c r="F1969" i="13" s="1"/>
  <c r="F1970" i="13" s="1"/>
  <c r="D1967" i="13" a="1"/>
  <c r="D1967" i="13" s="1"/>
  <c r="D1968" i="13" s="1"/>
  <c r="D1969" i="13" a="1"/>
  <c r="D1969" i="13" s="1"/>
  <c r="D1970" i="13" s="1"/>
  <c r="J1990" i="13" a="1"/>
  <c r="J1990" i="13" s="1"/>
  <c r="EH69" i="9" a="1"/>
  <c r="EH69" i="9" s="1"/>
  <c r="EB69" i="9" a="1"/>
  <c r="EB69" i="9" s="1"/>
  <c r="E1996" i="13" a="1"/>
  <c r="E1996" i="13" s="1"/>
  <c r="E1997" i="13" s="1"/>
  <c r="E1998" i="13" a="1"/>
  <c r="E1998" i="13" s="1"/>
  <c r="E1999" i="13" s="1"/>
  <c r="I1967" i="13" a="1"/>
  <c r="I1967" i="13" s="1"/>
  <c r="I1968" i="13" s="1"/>
  <c r="I1969" i="13" a="1"/>
  <c r="I1969" i="13" s="1"/>
  <c r="I1970" i="13" s="1"/>
  <c r="D1961" i="13"/>
  <c r="E1967" i="13" a="1"/>
  <c r="E1967" i="13" s="1"/>
  <c r="E1968" i="13" s="1"/>
  <c r="E1969" i="13" a="1"/>
  <c r="E1969" i="13" s="1"/>
  <c r="E1970" i="13" s="1"/>
  <c r="M1961" i="13"/>
  <c r="K1991" i="13" a="1"/>
  <c r="K1991" i="13" s="1"/>
  <c r="K1992" i="13" s="1"/>
  <c r="K1993" i="13" a="1"/>
  <c r="K1993" i="13" s="1"/>
  <c r="K1994" i="13" s="1"/>
  <c r="L1990" i="13" a="1"/>
  <c r="L1990" i="13" s="1"/>
  <c r="FT69" i="9" a="1"/>
  <c r="FT69" i="9" s="1"/>
  <c r="FN69" i="9" a="1"/>
  <c r="FN69" i="9" s="1"/>
  <c r="F1996" i="13" a="1"/>
  <c r="F1996" i="13" s="1"/>
  <c r="F1997" i="13" s="1"/>
  <c r="F1998" i="13" a="1"/>
  <c r="F1998" i="13" s="1"/>
  <c r="F1999" i="13" s="1"/>
  <c r="N1967" i="13" a="1"/>
  <c r="N1967" i="13" s="1"/>
  <c r="N1968" i="13" s="1"/>
  <c r="N1969" i="13" a="1"/>
  <c r="N1969" i="13" s="1"/>
  <c r="N1970" i="13" s="1"/>
  <c r="H1961" i="13"/>
  <c r="N1990" i="13" a="1"/>
  <c r="N1990" i="13" s="1"/>
  <c r="HF69" i="9" a="1"/>
  <c r="HF69" i="9" s="1"/>
  <c r="GZ69" i="9" a="1"/>
  <c r="GZ69" i="9" s="1"/>
  <c r="N1923" i="13" a="1"/>
  <c r="N1923" i="13" s="1"/>
  <c r="N1924" i="13" s="1"/>
  <c r="N1925" i="13" a="1"/>
  <c r="N1925" i="13" s="1"/>
  <c r="N1926" i="13" s="1"/>
  <c r="G1967" i="13" a="1"/>
  <c r="G1967" i="13" s="1"/>
  <c r="G1968" i="13" s="1"/>
  <c r="G1969" i="13" a="1"/>
  <c r="G1969" i="13" s="1"/>
  <c r="G1970" i="13" s="1"/>
  <c r="K1840" i="13"/>
  <c r="EZ64" i="9" s="1" a="1"/>
  <c r="EZ64" i="9" s="1"/>
  <c r="M827" i="10"/>
  <c r="M1988" i="13" s="1" a="1"/>
  <c r="M1988" i="13" s="1"/>
  <c r="M830" i="10"/>
  <c r="M828" i="10"/>
  <c r="M1989" i="13" s="1" a="1"/>
  <c r="M1989" i="13" s="1"/>
  <c r="M829" i="10"/>
  <c r="O829" i="10"/>
  <c r="O827" i="10"/>
  <c r="O1988" i="13" s="1" a="1"/>
  <c r="O1988" i="13" s="1"/>
  <c r="O830" i="10"/>
  <c r="O828" i="10"/>
  <c r="O1989" i="13" s="1" a="1"/>
  <c r="O1989" i="13" s="1"/>
  <c r="G853" i="10"/>
  <c r="M853" i="10"/>
  <c r="H840" i="10" a="1"/>
  <c r="H840" i="10" s="1"/>
  <c r="P860" i="10"/>
  <c r="P864" i="10" s="1"/>
  <c r="E860" i="10"/>
  <c r="E864" i="10" s="1"/>
  <c r="M860" i="10"/>
  <c r="M864" i="10" s="1"/>
  <c r="H860" i="10"/>
  <c r="H864" i="10" s="1"/>
  <c r="L860" i="10"/>
  <c r="L864" i="10" s="1"/>
  <c r="O860" i="10"/>
  <c r="O864" i="10" s="1"/>
  <c r="D860" i="10"/>
  <c r="D864" i="10" s="1"/>
  <c r="G860" i="10"/>
  <c r="G864" i="10" s="1"/>
  <c r="B861" i="10"/>
  <c r="B862" i="10" s="1"/>
  <c r="B863" i="10" s="1"/>
  <c r="J860" i="10"/>
  <c r="J864" i="10" s="1"/>
  <c r="K860" i="10"/>
  <c r="K864" i="10" s="1"/>
  <c r="N860" i="10"/>
  <c r="N864" i="10" s="1"/>
  <c r="I860" i="10"/>
  <c r="I864" i="10" s="1"/>
  <c r="F860" i="10"/>
  <c r="F864" i="10" s="1"/>
  <c r="B864" i="10"/>
  <c r="B865" i="10" s="1"/>
  <c r="J853" i="10"/>
  <c r="M840" i="10" a="1"/>
  <c r="M840" i="10" s="1"/>
  <c r="D853" i="10"/>
  <c r="R901" i="10"/>
  <c r="R915" i="10" s="1"/>
  <c r="A887" i="10" a="1"/>
  <c r="A887" i="10" s="1"/>
  <c r="B887" i="10" a="1"/>
  <c r="B887" i="10" s="1"/>
  <c r="P896" i="10" a="1"/>
  <c r="P896" i="10" s="1"/>
  <c r="N853" i="10"/>
  <c r="E853" i="10"/>
  <c r="K851" i="10"/>
  <c r="K852" i="10" s="1"/>
  <c r="ET71" i="9" s="1" a="1"/>
  <c r="ET71" i="9" s="1"/>
  <c r="N851" i="10"/>
  <c r="N852" i="10" s="1"/>
  <c r="GY71" i="9" s="1" a="1"/>
  <c r="GY71" i="9" s="1"/>
  <c r="J851" i="10"/>
  <c r="J852" i="10" s="1"/>
  <c r="EA71" i="9" s="1" a="1"/>
  <c r="EA71" i="9" s="1"/>
  <c r="F851" i="10"/>
  <c r="F852" i="10" s="1"/>
  <c r="BC71" i="9" s="1" a="1"/>
  <c r="BC71" i="9" s="1"/>
  <c r="H851" i="10"/>
  <c r="H852" i="10" s="1"/>
  <c r="CO71" i="9" s="1" a="1"/>
  <c r="CO71" i="9" s="1"/>
  <c r="I851" i="10"/>
  <c r="I852" i="10" s="1"/>
  <c r="DH71" i="9" s="1" a="1"/>
  <c r="DH71" i="9" s="1"/>
  <c r="L851" i="10"/>
  <c r="L852" i="10" s="1"/>
  <c r="FM71" i="9" s="1" a="1"/>
  <c r="FM71" i="9" s="1"/>
  <c r="G851" i="10"/>
  <c r="G852" i="10" s="1"/>
  <c r="BV71" i="9" s="1" a="1"/>
  <c r="BV71" i="9" s="1"/>
  <c r="P851" i="10"/>
  <c r="P852" i="10" s="1"/>
  <c r="D851" i="10"/>
  <c r="D852" i="10" s="1"/>
  <c r="Q71" i="9" s="1" a="1"/>
  <c r="Q71" i="9" s="1"/>
  <c r="M851" i="10"/>
  <c r="M852" i="10" s="1"/>
  <c r="GF71" i="9" s="1" a="1"/>
  <c r="GF71" i="9" s="1"/>
  <c r="B852" i="10"/>
  <c r="B853" i="10" s="1"/>
  <c r="B854" i="10" s="1"/>
  <c r="B855" i="10" s="1"/>
  <c r="B856" i="10" s="1"/>
  <c r="B857" i="10" s="1"/>
  <c r="B858" i="10" s="1"/>
  <c r="E851" i="10"/>
  <c r="E852" i="10" s="1"/>
  <c r="AJ71" i="9" s="1" a="1"/>
  <c r="AJ71" i="9" s="1"/>
  <c r="O851" i="10"/>
  <c r="O852" i="10" s="1"/>
  <c r="HR71" i="9" s="1" a="1"/>
  <c r="HR71" i="9" s="1"/>
  <c r="I853" i="10"/>
  <c r="I840" i="10" a="1"/>
  <c r="I840" i="10" s="1"/>
  <c r="O853" i="10"/>
  <c r="L873" i="10"/>
  <c r="D873" i="10"/>
  <c r="G873" i="10"/>
  <c r="O873" i="10"/>
  <c r="K873" i="10"/>
  <c r="N873" i="10"/>
  <c r="J873" i="10"/>
  <c r="F873" i="10"/>
  <c r="I873" i="10"/>
  <c r="M873" i="10"/>
  <c r="B874" i="10"/>
  <c r="E873" i="10"/>
  <c r="P873" i="10"/>
  <c r="H873" i="10"/>
  <c r="N840" i="10" a="1"/>
  <c r="N840" i="10" s="1"/>
  <c r="J840" i="10" a="1"/>
  <c r="J840" i="10" s="1"/>
  <c r="P853" i="10"/>
  <c r="AL66" i="9" a="1"/>
  <c r="AL66" i="9" s="1"/>
  <c r="DJ66" i="9" a="1"/>
  <c r="DJ66" i="9" s="1"/>
  <c r="DL66" i="9" s="1"/>
  <c r="EV66" i="9" a="1"/>
  <c r="EV66" i="9" s="1"/>
  <c r="EX66" i="9" s="1"/>
  <c r="GH66" i="9" a="1"/>
  <c r="GH66" i="9" s="1"/>
  <c r="GJ66" i="9" s="1"/>
  <c r="CQ66" i="9" a="1"/>
  <c r="CQ66" i="9" s="1"/>
  <c r="FO66" i="9" a="1"/>
  <c r="FO66" i="9" s="1"/>
  <c r="FQ66" i="9" s="1"/>
  <c r="EC66" i="9" a="1"/>
  <c r="EC66" i="9" s="1"/>
  <c r="EE66" i="9" s="1"/>
  <c r="BE66" i="9" a="1"/>
  <c r="BE66" i="9" s="1"/>
  <c r="BG66" i="9" s="1"/>
  <c r="F1840" i="13"/>
  <c r="BI64" i="9" s="1" a="1"/>
  <c r="BI64" i="9" s="1"/>
  <c r="M1840" i="13"/>
  <c r="GL64" i="9" s="1" a="1"/>
  <c r="GL64" i="9" s="1"/>
  <c r="GN64" i="9" s="1"/>
  <c r="DL64" i="9"/>
  <c r="K1904" i="13"/>
  <c r="I1840" i="13"/>
  <c r="DN64" i="9" s="1" a="1"/>
  <c r="DN64" i="9" s="1"/>
  <c r="L1906" i="13"/>
  <c r="M1906" i="13"/>
  <c r="F1904" i="13"/>
  <c r="D1904" i="13"/>
  <c r="E78" i="25" a="1"/>
  <c r="E78" i="25" s="1"/>
  <c r="I1906" i="13"/>
  <c r="J1904" i="13"/>
  <c r="I76" i="25" a="1"/>
  <c r="I76" i="25" s="1"/>
  <c r="CT64" i="9"/>
  <c r="H76" i="25" a="1"/>
  <c r="H76" i="25" s="1"/>
  <c r="CA64" i="9"/>
  <c r="N76" i="25" a="1"/>
  <c r="N76" i="25" s="1"/>
  <c r="GK64" i="9"/>
  <c r="L76" i="25" a="1"/>
  <c r="L76" i="25" s="1"/>
  <c r="EY64" i="9"/>
  <c r="CS64" i="9"/>
  <c r="G76" i="25" a="1"/>
  <c r="G76" i="25" s="1"/>
  <c r="BH64" i="9"/>
  <c r="J76" i="25" a="1"/>
  <c r="J76" i="25" s="1"/>
  <c r="DM64" i="9"/>
  <c r="BG64" i="9"/>
  <c r="K76" i="25" a="1"/>
  <c r="K76" i="25" s="1"/>
  <c r="EF64" i="9"/>
  <c r="EX64" i="9"/>
  <c r="Q75" i="25"/>
  <c r="N1901" i="13" a="1"/>
  <c r="N1901" i="13" s="1"/>
  <c r="N1902" i="13" s="1"/>
  <c r="N1903" i="13" s="1"/>
  <c r="HB66" i="9" s="1" a="1"/>
  <c r="HB66" i="9" s="1"/>
  <c r="HD66" i="9" s="1"/>
  <c r="D1869" i="13"/>
  <c r="O1870" i="13"/>
  <c r="O1872" i="13"/>
  <c r="GH65" i="9" a="1"/>
  <c r="GH65" i="9" s="1"/>
  <c r="GJ65" i="9" s="1"/>
  <c r="K1869" i="13"/>
  <c r="EW65" i="9" s="1" a="1"/>
  <c r="EW65" i="9" s="1"/>
  <c r="EY65" i="9" s="1"/>
  <c r="G1901" i="13" a="1"/>
  <c r="G1901" i="13" s="1"/>
  <c r="G1902" i="13" s="1"/>
  <c r="G1903" i="13" s="1"/>
  <c r="BY66" i="9" s="1" a="1"/>
  <c r="BY66" i="9" s="1"/>
  <c r="CA66" i="9" s="1"/>
  <c r="O1899" i="13" a="1"/>
  <c r="O1899" i="13" s="1"/>
  <c r="O1900" i="13" s="1"/>
  <c r="O1903" i="13" s="1"/>
  <c r="HU66" i="9" s="1" a="1"/>
  <c r="HU66" i="9" s="1"/>
  <c r="HW66" i="9" s="1"/>
  <c r="L1870" i="13"/>
  <c r="L1874" i="13" s="1"/>
  <c r="FS65" i="9" s="1" a="1"/>
  <c r="FS65" i="9" s="1"/>
  <c r="HA65" i="9" a="1"/>
  <c r="HA65" i="9" s="1"/>
  <c r="HC65" i="9" s="1"/>
  <c r="H1899" i="13" a="1"/>
  <c r="H1899" i="13" s="1"/>
  <c r="H1900" i="13" s="1"/>
  <c r="H1903" i="13" s="1"/>
  <c r="CR66" i="9" s="1" a="1"/>
  <c r="CR66" i="9" s="1"/>
  <c r="CT66" i="9" s="1"/>
  <c r="FP65" i="9" a="1"/>
  <c r="FP65" i="9" s="1"/>
  <c r="FR65" i="9" s="1"/>
  <c r="HT65" i="9" a="1"/>
  <c r="HT65" i="9" s="1"/>
  <c r="HV65" i="9" s="1"/>
  <c r="P78" i="27" a="1"/>
  <c r="P78" i="27" s="1"/>
  <c r="O78" i="27" a="1"/>
  <c r="O78" i="27" s="1"/>
  <c r="GV62" i="9"/>
  <c r="IL62" i="9" s="1"/>
  <c r="IM62" i="9" s="1"/>
  <c r="GO62" i="9" a="1"/>
  <c r="GO62" i="9" s="1"/>
  <c r="FO65" i="9" a="1"/>
  <c r="FO65" i="9" s="1"/>
  <c r="EV65" i="9" a="1"/>
  <c r="EV65" i="9" s="1"/>
  <c r="I1869" i="13"/>
  <c r="DK65" i="9" s="1" a="1"/>
  <c r="DK65" i="9" s="1"/>
  <c r="DM65" i="9" s="1"/>
  <c r="J1870" i="13"/>
  <c r="ED65" i="9" a="1"/>
  <c r="ED65" i="9" s="1"/>
  <c r="EF65" i="9" s="1"/>
  <c r="EC65" i="9" a="1"/>
  <c r="EC65" i="9" s="1"/>
  <c r="H1870" i="13"/>
  <c r="DJ65" i="9" a="1"/>
  <c r="DJ65" i="9" s="1"/>
  <c r="H1836" i="13"/>
  <c r="H1838" i="13"/>
  <c r="H1872" i="13"/>
  <c r="I78" i="27" a="1"/>
  <c r="I78" i="27" s="1"/>
  <c r="CQ65" i="9" a="1"/>
  <c r="CQ65" i="9" s="1"/>
  <c r="CS65" i="9" s="1"/>
  <c r="G1870" i="13"/>
  <c r="BX65" i="9" a="1"/>
  <c r="BX65" i="9" s="1"/>
  <c r="H78" i="27" a="1"/>
  <c r="H78" i="27" s="1"/>
  <c r="E1899" i="13" a="1"/>
  <c r="E1899" i="13" s="1"/>
  <c r="E1900" i="13" s="1"/>
  <c r="E1903" i="13" s="1"/>
  <c r="AM66" i="9" s="1" a="1"/>
  <c r="AM66" i="9" s="1"/>
  <c r="AO66" i="9" s="1"/>
  <c r="G1872" i="13"/>
  <c r="BY65" i="9" a="1"/>
  <c r="BY65" i="9" s="1"/>
  <c r="CA65" i="9" s="1"/>
  <c r="BE65" i="9" a="1"/>
  <c r="BE65" i="9" s="1"/>
  <c r="AL65" i="9" a="1"/>
  <c r="AL65" i="9" s="1"/>
  <c r="F1870" i="13"/>
  <c r="BF65" i="9" a="1"/>
  <c r="BF65" i="9" s="1"/>
  <c r="BH65" i="9" s="1"/>
  <c r="E1872" i="13"/>
  <c r="AM65" i="9" a="1"/>
  <c r="AM65" i="9" s="1"/>
  <c r="AO65" i="9" s="1"/>
  <c r="F78" i="27" a="1"/>
  <c r="F78" i="27" s="1"/>
  <c r="P77" i="25" a="1"/>
  <c r="P77" i="25" s="1"/>
  <c r="I77" i="25" a="1"/>
  <c r="I77" i="25" s="1"/>
  <c r="G1898" i="13"/>
  <c r="N1898" i="13"/>
  <c r="HA66" i="9" s="1" a="1"/>
  <c r="HA66" i="9" s="1"/>
  <c r="K1906" i="13"/>
  <c r="F1906" i="13"/>
  <c r="O1898" i="13"/>
  <c r="HT66" i="9" s="1" a="1"/>
  <c r="HT66" i="9" s="1"/>
  <c r="D1859" i="13"/>
  <c r="D1864" i="13"/>
  <c r="J1872" i="13"/>
  <c r="M1872" i="13"/>
  <c r="D1893" i="13"/>
  <c r="F1872" i="13"/>
  <c r="M1870" i="13"/>
  <c r="N1870" i="13"/>
  <c r="G1893" i="13"/>
  <c r="E1870" i="13"/>
  <c r="D1898" i="13"/>
  <c r="D1906" i="13"/>
  <c r="J1906" i="13"/>
  <c r="N1872" i="13"/>
  <c r="L1904" i="13"/>
  <c r="M1904" i="13"/>
  <c r="I1904" i="13"/>
  <c r="AS62" i="9" a="1"/>
  <c r="AS62" i="9" s="1"/>
  <c r="BA62" i="9" s="1"/>
  <c r="G75" i="24" s="1" a="1"/>
  <c r="G75" i="24" s="1"/>
  <c r="DE63" i="9"/>
  <c r="DF63" i="9" s="1"/>
  <c r="J76" i="24" s="1" a="1"/>
  <c r="J76" i="24" s="1"/>
  <c r="GO63" i="9" a="1"/>
  <c r="GO63" i="9" s="1"/>
  <c r="GW63" i="9" s="1"/>
  <c r="O76" i="24" s="1" a="1"/>
  <c r="O76" i="24" s="1"/>
  <c r="HP62" i="9"/>
  <c r="P75" i="24" s="1" a="1"/>
  <c r="P75" i="24" s="1"/>
  <c r="EJ63" i="9" a="1"/>
  <c r="EJ63" i="9" s="1"/>
  <c r="ER63" i="9" s="1"/>
  <c r="L76" i="24" s="1" a="1"/>
  <c r="L76" i="24" s="1"/>
  <c r="FC63" i="9" a="1"/>
  <c r="FC63" i="9" s="1"/>
  <c r="FK63" i="9" s="1"/>
  <c r="M76" i="24" s="1" a="1"/>
  <c r="M76" i="24" s="1"/>
  <c r="HH63" i="9" a="1"/>
  <c r="HH63" i="9" s="1"/>
  <c r="HP63" i="9" s="1"/>
  <c r="P76" i="24" s="1" a="1"/>
  <c r="P76" i="24" s="1"/>
  <c r="BL63" i="9" a="1"/>
  <c r="BL63" i="9" s="1"/>
  <c r="BT63" i="9" s="1"/>
  <c r="H76" i="24" s="1" a="1"/>
  <c r="H76" i="24" s="1"/>
  <c r="IJ61" i="9"/>
  <c r="IK61" i="9" s="1"/>
  <c r="DQ63" i="9" a="1"/>
  <c r="DQ63" i="9" s="1"/>
  <c r="DY63" i="9" s="1"/>
  <c r="K76" i="24" s="1" a="1"/>
  <c r="K76" i="24" s="1"/>
  <c r="FV63" i="9" a="1"/>
  <c r="FV63" i="9" s="1"/>
  <c r="GD63" i="9" s="1"/>
  <c r="N76" i="24" s="1" a="1"/>
  <c r="N76" i="24" s="1"/>
  <c r="Z62" i="9" a="1"/>
  <c r="Z62" i="9" s="1"/>
  <c r="AH62" i="9" s="1"/>
  <c r="F75" i="24" s="1" a="1"/>
  <c r="F75" i="24" s="1"/>
  <c r="U64" i="9"/>
  <c r="V63" i="9"/>
  <c r="CE63" i="9" a="1"/>
  <c r="CE63" i="9" s="1"/>
  <c r="CM63" i="9" s="1"/>
  <c r="I76" i="24" s="1" a="1"/>
  <c r="I76" i="24" s="1"/>
  <c r="HZ63" i="9"/>
  <c r="IH63" i="9" s="1"/>
  <c r="AR64" i="9"/>
  <c r="AZ64" i="9" s="1"/>
  <c r="HZ64" i="9"/>
  <c r="IH64" i="9" s="1"/>
  <c r="HG64" i="9"/>
  <c r="HO64" i="9" s="1"/>
  <c r="AZ63" i="9"/>
  <c r="AS63" i="9" a="1"/>
  <c r="AS63" i="9" s="1"/>
  <c r="IL61" i="9"/>
  <c r="IM61" i="9" s="1"/>
  <c r="AH61" i="9"/>
  <c r="F74" i="24" s="1" a="1"/>
  <c r="F74" i="24" s="1"/>
  <c r="B915" i="10" l="1" a="1"/>
  <c r="B915" i="10" s="1"/>
  <c r="R929" i="10"/>
  <c r="A915" i="10" a="1"/>
  <c r="A915" i="10" s="1"/>
  <c r="P924" i="10" a="1"/>
  <c r="P924" i="10" s="1"/>
  <c r="M1969" i="13" a="1"/>
  <c r="M1969" i="13" s="1"/>
  <c r="M1970" i="13" s="1"/>
  <c r="J1993" i="13" a="1"/>
  <c r="J1993" i="13" s="1"/>
  <c r="J1994" i="13" s="1"/>
  <c r="AO67" i="9"/>
  <c r="F79" i="25" a="1"/>
  <c r="F79" i="25" s="1"/>
  <c r="BW69" i="9" a="1"/>
  <c r="BW69" i="9" s="1"/>
  <c r="CC69" i="9" a="1"/>
  <c r="CC69" i="9" s="1"/>
  <c r="G1993" i="13" a="1"/>
  <c r="G1993" i="13" s="1"/>
  <c r="G1994" i="13" s="1"/>
  <c r="G1995" i="13" s="1"/>
  <c r="F1993" i="13" a="1"/>
  <c r="F1993" i="13" s="1"/>
  <c r="F1994" i="13" s="1"/>
  <c r="F1995" i="13" s="1"/>
  <c r="D1998" i="13" a="1"/>
  <c r="D1998" i="13" s="1"/>
  <c r="D1999" i="13" s="1"/>
  <c r="D2000" i="13" s="1"/>
  <c r="K842" i="10"/>
  <c r="K2023" i="13" s="1" a="1"/>
  <c r="K2023" i="13" s="1"/>
  <c r="K2032" i="13" s="1" a="1"/>
  <c r="K2032" i="13" s="1"/>
  <c r="K2033" i="13" s="1"/>
  <c r="X69" i="9" a="1"/>
  <c r="X69" i="9" s="1"/>
  <c r="CP69" i="9" a="1"/>
  <c r="CP69" i="9" s="1"/>
  <c r="D1991" i="13" a="1"/>
  <c r="D1991" i="13" s="1"/>
  <c r="D1992" i="13" s="1"/>
  <c r="D1995" i="13" s="1"/>
  <c r="L1998" i="13" a="1"/>
  <c r="L1998" i="13" s="1"/>
  <c r="L1999" i="13" s="1"/>
  <c r="L2000" i="13" s="1"/>
  <c r="D1990" i="13" a="1"/>
  <c r="D1990" i="13" s="1"/>
  <c r="D2001" i="13" s="1" a="1"/>
  <c r="D2001" i="13" s="1"/>
  <c r="D2002" i="13" s="1"/>
  <c r="K1998" i="13" a="1"/>
  <c r="K1998" i="13" s="1"/>
  <c r="K1999" i="13" s="1"/>
  <c r="K2000" i="13" s="1"/>
  <c r="EV68" i="9" a="1"/>
  <c r="EV68" i="9" s="1"/>
  <c r="I1998" i="13" a="1"/>
  <c r="I1998" i="13" s="1"/>
  <c r="I1999" i="13" s="1"/>
  <c r="I2000" i="13" s="1"/>
  <c r="F1990" i="13" a="1"/>
  <c r="F1990" i="13" s="1"/>
  <c r="F2001" i="13" s="1" a="1"/>
  <c r="F2001" i="13" s="1"/>
  <c r="F2002" i="13" s="1"/>
  <c r="N1998" i="13" a="1"/>
  <c r="N1998" i="13" s="1"/>
  <c r="N1999" i="13" s="1"/>
  <c r="N2000" i="13" s="1"/>
  <c r="FA69" i="9" a="1"/>
  <c r="FA69" i="9" s="1"/>
  <c r="H1990" i="13" a="1"/>
  <c r="H1990" i="13" s="1"/>
  <c r="H2001" i="13" s="1" a="1"/>
  <c r="H2001" i="13" s="1"/>
  <c r="H2002" i="13" s="1"/>
  <c r="K1990" i="13" a="1"/>
  <c r="K1990" i="13" s="1"/>
  <c r="K2001" i="13" s="1" a="1"/>
  <c r="K2001" i="13" s="1"/>
  <c r="K2002" i="13" s="1"/>
  <c r="E1940" i="13"/>
  <c r="BD69" i="9" a="1"/>
  <c r="BD69" i="9" s="1"/>
  <c r="K844" i="10"/>
  <c r="EU70" i="9" s="1" a="1"/>
  <c r="EU70" i="9" s="1"/>
  <c r="L1991" i="13" a="1"/>
  <c r="L1991" i="13" s="1"/>
  <c r="L1992" i="13" s="1"/>
  <c r="L1995" i="13" s="1"/>
  <c r="K841" i="10"/>
  <c r="K2022" i="13" s="1" a="1"/>
  <c r="K2022" i="13" s="1"/>
  <c r="K2025" i="13" s="1" a="1"/>
  <c r="K2025" i="13" s="1"/>
  <c r="K2026" i="13" s="1"/>
  <c r="H1998" i="13" a="1"/>
  <c r="H1998" i="13" s="1"/>
  <c r="H1999" i="13" s="1"/>
  <c r="H2000" i="13" s="1"/>
  <c r="D844" i="10"/>
  <c r="D2024" i="13" s="1" a="1"/>
  <c r="D2024" i="13" s="1"/>
  <c r="G842" i="10"/>
  <c r="G2023" i="13" s="1" a="1"/>
  <c r="G2023" i="13" s="1"/>
  <c r="G2032" i="13" s="1" a="1"/>
  <c r="G2032" i="13" s="1"/>
  <c r="G2033" i="13" s="1"/>
  <c r="G843" i="10"/>
  <c r="CQ68" i="9" a="1"/>
  <c r="CQ68" i="9" s="1"/>
  <c r="K854" i="10" a="1"/>
  <c r="K854" i="10" s="1"/>
  <c r="K856" i="10" s="1"/>
  <c r="K2057" i="13" s="1" a="1"/>
  <c r="K2057" i="13" s="1"/>
  <c r="D841" i="10"/>
  <c r="D2022" i="13" s="1" a="1"/>
  <c r="D2022" i="13" s="1"/>
  <c r="D2025" i="13" s="1" a="1"/>
  <c r="D2025" i="13" s="1"/>
  <c r="D2026" i="13" s="1"/>
  <c r="D843" i="10"/>
  <c r="G841" i="10"/>
  <c r="G2022" i="13" s="1" a="1"/>
  <c r="G2022" i="13" s="1"/>
  <c r="G2025" i="13" s="1" a="1"/>
  <c r="G2025" i="13" s="1"/>
  <c r="G2026" i="13" s="1"/>
  <c r="AK69" i="9" a="1"/>
  <c r="AK69" i="9" s="1"/>
  <c r="I1993" i="13" a="1"/>
  <c r="I1993" i="13" s="1"/>
  <c r="I1994" i="13" s="1"/>
  <c r="I1995" i="13" s="1"/>
  <c r="E1990" i="13" a="1"/>
  <c r="E1990" i="13" s="1"/>
  <c r="E2001" i="13" s="1" a="1"/>
  <c r="E2001" i="13" s="1"/>
  <c r="E2002" i="13" s="1"/>
  <c r="N1993" i="13" a="1"/>
  <c r="N1993" i="13" s="1"/>
  <c r="N1994" i="13" s="1"/>
  <c r="N1995" i="13" s="1"/>
  <c r="E843" i="10"/>
  <c r="E841" i="10"/>
  <c r="E2022" i="13" s="1" a="1"/>
  <c r="E2022" i="13" s="1"/>
  <c r="E2025" i="13" s="1" a="1"/>
  <c r="E2025" i="13" s="1"/>
  <c r="E2026" i="13" s="1"/>
  <c r="L842" i="10"/>
  <c r="L2023" i="13" s="1" a="1"/>
  <c r="L2023" i="13" s="1"/>
  <c r="L2032" i="13" s="1" a="1"/>
  <c r="L2032" i="13" s="1"/>
  <c r="L2033" i="13" s="1"/>
  <c r="L841" i="10"/>
  <c r="L2022" i="13" s="1" a="1"/>
  <c r="L2022" i="13" s="1"/>
  <c r="L2025" i="13" s="1" a="1"/>
  <c r="L2025" i="13" s="1"/>
  <c r="L2026" i="13" s="1"/>
  <c r="L843" i="10"/>
  <c r="E844" i="10"/>
  <c r="E2024" i="13" s="1" a="1"/>
  <c r="E2024" i="13" s="1"/>
  <c r="L1940" i="13"/>
  <c r="L1938" i="13"/>
  <c r="HA68" i="9" a="1"/>
  <c r="HA68" i="9" s="1"/>
  <c r="E1993" i="13" a="1"/>
  <c r="E1993" i="13" s="1"/>
  <c r="E1994" i="13" s="1"/>
  <c r="E1995" i="13" s="1"/>
  <c r="H854" i="10" a="1"/>
  <c r="H854" i="10" s="1"/>
  <c r="H856" i="10" s="1"/>
  <c r="H2057" i="13" s="1" a="1"/>
  <c r="H2057" i="13" s="1"/>
  <c r="P867" i="10"/>
  <c r="H1940" i="13"/>
  <c r="H1938" i="13"/>
  <c r="BX68" i="9" a="1"/>
  <c r="BX68" i="9" s="1"/>
  <c r="S68" i="9" a="1"/>
  <c r="S68" i="9" s="1"/>
  <c r="L854" i="10" a="1"/>
  <c r="L854" i="10" s="1"/>
  <c r="L855" i="10" s="1"/>
  <c r="L2056" i="13" s="1" a="1"/>
  <c r="L2056" i="13" s="1"/>
  <c r="I854" i="10" a="1"/>
  <c r="I854" i="10" s="1"/>
  <c r="I857" i="10" s="1"/>
  <c r="E1938" i="13"/>
  <c r="K1908" i="13"/>
  <c r="EZ66" i="9" s="1" a="1"/>
  <c r="EZ66" i="9" s="1"/>
  <c r="FB66" i="9" s="1"/>
  <c r="FJ66" i="9" s="1"/>
  <c r="N867" i="10"/>
  <c r="E1971" i="13"/>
  <c r="AM68" i="9" s="1" a="1"/>
  <c r="AM68" i="9" s="1"/>
  <c r="L1971" i="13"/>
  <c r="L1972" i="13" s="1"/>
  <c r="O854" i="10" a="1"/>
  <c r="O854" i="10" s="1"/>
  <c r="O858" i="10" s="1"/>
  <c r="E867" i="10"/>
  <c r="O844" i="10"/>
  <c r="HY70" i="9" s="1" a="1"/>
  <c r="HY70" i="9" s="1"/>
  <c r="F842" i="10"/>
  <c r="F2023" i="13" s="1" a="1"/>
  <c r="F2023" i="13" s="1"/>
  <c r="F2030" i="13" s="1" a="1"/>
  <c r="F2030" i="13" s="1"/>
  <c r="F2031" i="13" s="1"/>
  <c r="F843" i="10"/>
  <c r="O841" i="10"/>
  <c r="O2022" i="13" s="1" a="1"/>
  <c r="O2022" i="13" s="1"/>
  <c r="O2025" i="13" s="1" a="1"/>
  <c r="O2025" i="13" s="1"/>
  <c r="O2026" i="13" s="1"/>
  <c r="F841" i="10"/>
  <c r="F2022" i="13" s="1" a="1"/>
  <c r="F2022" i="13" s="1"/>
  <c r="F2027" i="13" s="1" a="1"/>
  <c r="F2027" i="13" s="1"/>
  <c r="F2028" i="13" s="1"/>
  <c r="O843" i="10"/>
  <c r="AL68" i="9" a="1"/>
  <c r="AL68" i="9" s="1"/>
  <c r="L867" i="10"/>
  <c r="I867" i="10"/>
  <c r="K1995" i="13"/>
  <c r="G2000" i="13"/>
  <c r="H1995" i="13"/>
  <c r="F854" i="10" a="1"/>
  <c r="F854" i="10" s="1"/>
  <c r="F857" i="10" s="1"/>
  <c r="D867" i="10"/>
  <c r="D854" i="10" a="1"/>
  <c r="D854" i="10" s="1"/>
  <c r="D856" i="10" s="1"/>
  <c r="D2057" i="13" s="1" a="1"/>
  <c r="D2057" i="13" s="1"/>
  <c r="N854" i="10" a="1"/>
  <c r="N854" i="10" s="1"/>
  <c r="N858" i="10" s="1"/>
  <c r="GH68" i="9" a="1"/>
  <c r="GH68" i="9" s="1"/>
  <c r="DJ68" i="9" a="1"/>
  <c r="DJ68" i="9" s="1"/>
  <c r="H867" i="10"/>
  <c r="E2000" i="13"/>
  <c r="N1927" i="13"/>
  <c r="F1938" i="13"/>
  <c r="F1942" i="13" s="1"/>
  <c r="BI67" i="9" s="1" a="1"/>
  <c r="BI67" i="9" s="1"/>
  <c r="BF67" i="9" a="1"/>
  <c r="BF67" i="9" s="1"/>
  <c r="G79" i="25" s="1" a="1"/>
  <c r="G79" i="25" s="1"/>
  <c r="H1971" i="13"/>
  <c r="H1974" i="13" s="1"/>
  <c r="O1971" i="13"/>
  <c r="O1974" i="13" s="1"/>
  <c r="BE68" i="9" a="1"/>
  <c r="BE68" i="9" s="1"/>
  <c r="G1938" i="13"/>
  <c r="G1942" i="13" s="1"/>
  <c r="CB67" i="9" s="1" a="1"/>
  <c r="CB67" i="9" s="1"/>
  <c r="BY67" i="9" a="1"/>
  <c r="BY67" i="9" s="1"/>
  <c r="H79" i="25" s="1" a="1"/>
  <c r="H79" i="25" s="1"/>
  <c r="HT68" i="9" a="1"/>
  <c r="HT68" i="9" s="1"/>
  <c r="D1971" i="13"/>
  <c r="D1974" i="13" s="1"/>
  <c r="K1971" i="13"/>
  <c r="K1974" i="13" s="1"/>
  <c r="FO68" i="9" a="1"/>
  <c r="FO68" i="9" s="1"/>
  <c r="J2000" i="13"/>
  <c r="O1938" i="13"/>
  <c r="O1942" i="13" s="1"/>
  <c r="HX67" i="9" s="1" a="1"/>
  <c r="HX67" i="9" s="1"/>
  <c r="HU67" i="9" a="1"/>
  <c r="HU67" i="9" s="1"/>
  <c r="P79" i="25" s="1" a="1"/>
  <c r="P79" i="25" s="1"/>
  <c r="F1971" i="13"/>
  <c r="F1974" i="13" s="1"/>
  <c r="J1938" i="13"/>
  <c r="J1942" i="13" s="1"/>
  <c r="EG67" i="9" s="1" a="1"/>
  <c r="EG67" i="9" s="1"/>
  <c r="ED67" i="9" a="1"/>
  <c r="ED67" i="9" s="1"/>
  <c r="K79" i="25" s="1" a="1"/>
  <c r="K79" i="25" s="1"/>
  <c r="CT67" i="9"/>
  <c r="CS67" i="9"/>
  <c r="I1908" i="13"/>
  <c r="DN66" i="9" s="1" a="1"/>
  <c r="DN66" i="9" s="1"/>
  <c r="DP66" i="9" s="1"/>
  <c r="DX66" i="9" s="1"/>
  <c r="I1938" i="13"/>
  <c r="DK67" i="9" a="1"/>
  <c r="DK67" i="9" s="1"/>
  <c r="J79" i="25" s="1" a="1"/>
  <c r="J79" i="25" s="1"/>
  <c r="J1995" i="13"/>
  <c r="FR67" i="9"/>
  <c r="FQ67" i="9"/>
  <c r="M1938" i="13"/>
  <c r="M1942" i="13" s="1"/>
  <c r="GL67" i="9" s="1" a="1"/>
  <c r="GL67" i="9" s="1"/>
  <c r="GI67" i="9" a="1"/>
  <c r="GI67" i="9" s="1"/>
  <c r="N79" i="25" s="1" a="1"/>
  <c r="N79" i="25" s="1"/>
  <c r="AN67" i="9"/>
  <c r="D1938" i="13"/>
  <c r="T67" i="9" a="1"/>
  <c r="T67" i="9" s="1"/>
  <c r="E79" i="25" s="1" a="1"/>
  <c r="E79" i="25" s="1"/>
  <c r="EC68" i="9" a="1"/>
  <c r="EC68" i="9" s="1"/>
  <c r="K1938" i="13"/>
  <c r="K1942" i="13" s="1"/>
  <c r="EZ67" i="9" s="1" a="1"/>
  <c r="EZ67" i="9" s="1"/>
  <c r="EW67" i="9" a="1"/>
  <c r="EW67" i="9" s="1"/>
  <c r="L79" i="25" s="1" a="1"/>
  <c r="L79" i="25" s="1"/>
  <c r="L2001" i="13" a="1"/>
  <c r="L2001" i="13" s="1"/>
  <c r="L2002" i="13" s="1"/>
  <c r="L2003" i="13" a="1"/>
  <c r="L2003" i="13" s="1"/>
  <c r="L2004" i="13" s="1"/>
  <c r="J2001" i="13" a="1"/>
  <c r="J2001" i="13" s="1"/>
  <c r="J2002" i="13" s="1"/>
  <c r="J2003" i="13" a="1"/>
  <c r="J2003" i="13" s="1"/>
  <c r="J2004" i="13" s="1"/>
  <c r="F2024" i="13" a="1"/>
  <c r="F2024" i="13" s="1"/>
  <c r="BJ70" i="9" a="1"/>
  <c r="BJ70" i="9" s="1"/>
  <c r="BD70" i="9" a="1"/>
  <c r="BD70" i="9" s="1"/>
  <c r="D2030" i="13" a="1"/>
  <c r="D2030" i="13" s="1"/>
  <c r="D2031" i="13" s="1"/>
  <c r="D2032" i="13" a="1"/>
  <c r="D2032" i="13" s="1"/>
  <c r="D2033" i="13" s="1"/>
  <c r="K2030" i="13" a="1"/>
  <c r="K2030" i="13" s="1"/>
  <c r="K2031" i="13" s="1"/>
  <c r="O2030" i="13" a="1"/>
  <c r="O2030" i="13" s="1"/>
  <c r="O2031" i="13" s="1"/>
  <c r="O2032" i="13" a="1"/>
  <c r="O2032" i="13" s="1"/>
  <c r="O2033" i="13" s="1"/>
  <c r="L2024" i="13" a="1"/>
  <c r="L2024" i="13" s="1"/>
  <c r="FT70" i="9" a="1"/>
  <c r="FT70" i="9" s="1"/>
  <c r="FN70" i="9" a="1"/>
  <c r="FN70" i="9" s="1"/>
  <c r="I1940" i="13"/>
  <c r="G2001" i="13" a="1"/>
  <c r="G2001" i="13" s="1"/>
  <c r="G2002" i="13" s="1"/>
  <c r="G2003" i="13" a="1"/>
  <c r="G2003" i="13" s="1"/>
  <c r="G2004" i="13" s="1"/>
  <c r="O1996" i="13" a="1"/>
  <c r="O1996" i="13" s="1"/>
  <c r="O1997" i="13" s="1"/>
  <c r="O1998" i="13" a="1"/>
  <c r="O1998" i="13" s="1"/>
  <c r="O1999" i="13" s="1"/>
  <c r="F2000" i="13"/>
  <c r="O1990" i="13" a="1"/>
  <c r="O1990" i="13" s="1"/>
  <c r="HY69" i="9" a="1"/>
  <c r="HY69" i="9" s="1"/>
  <c r="HS69" i="9" a="1"/>
  <c r="HS69" i="9" s="1"/>
  <c r="G2024" i="13" a="1"/>
  <c r="G2024" i="13" s="1"/>
  <c r="CC70" i="9" a="1"/>
  <c r="CC70" i="9" s="1"/>
  <c r="BW70" i="9" a="1"/>
  <c r="BW70" i="9" s="1"/>
  <c r="M1996" i="13" a="1"/>
  <c r="M1996" i="13" s="1"/>
  <c r="M1997" i="13" s="1"/>
  <c r="M1998" i="13" a="1"/>
  <c r="M1998" i="13" s="1"/>
  <c r="M1999" i="13" s="1"/>
  <c r="D1940" i="13"/>
  <c r="O1991" i="13" a="1"/>
  <c r="O1991" i="13" s="1"/>
  <c r="O1992" i="13" s="1"/>
  <c r="O1993" i="13" a="1"/>
  <c r="O1993" i="13" s="1"/>
  <c r="O1994" i="13" s="1"/>
  <c r="M1990" i="13" a="1"/>
  <c r="M1990" i="13" s="1"/>
  <c r="GM69" i="9" a="1"/>
  <c r="GM69" i="9" s="1"/>
  <c r="GG69" i="9" a="1"/>
  <c r="GG69" i="9" s="1"/>
  <c r="E2030" i="13" a="1"/>
  <c r="E2030" i="13" s="1"/>
  <c r="E2031" i="13" s="1"/>
  <c r="E2032" i="13" a="1"/>
  <c r="E2032" i="13" s="1"/>
  <c r="E2033" i="13" s="1"/>
  <c r="G1971" i="13"/>
  <c r="M1991" i="13" a="1"/>
  <c r="M1991" i="13" s="1"/>
  <c r="M1992" i="13" s="1"/>
  <c r="M1993" i="13" a="1"/>
  <c r="M1993" i="13" s="1"/>
  <c r="M1994" i="13" s="1"/>
  <c r="N2001" i="13" a="1"/>
  <c r="N2001" i="13" s="1"/>
  <c r="N2002" i="13" s="1"/>
  <c r="N2003" i="13" a="1"/>
  <c r="N2003" i="13" s="1"/>
  <c r="N2004" i="13" s="1"/>
  <c r="J1971" i="13"/>
  <c r="N1932" i="13"/>
  <c r="M1971" i="13"/>
  <c r="N1971" i="13"/>
  <c r="I1971" i="13"/>
  <c r="I1974" i="13" s="1"/>
  <c r="N1937" i="13"/>
  <c r="N1940" i="13" s="1"/>
  <c r="I2001" i="13" a="1"/>
  <c r="I2001" i="13" s="1"/>
  <c r="I2002" i="13" s="1"/>
  <c r="I2003" i="13" a="1"/>
  <c r="I2003" i="13" s="1"/>
  <c r="I2004" i="13" s="1"/>
  <c r="P830" i="10"/>
  <c r="P827" i="10"/>
  <c r="P829" i="10"/>
  <c r="P828" i="10"/>
  <c r="HV66" i="9"/>
  <c r="J844" i="10"/>
  <c r="J841" i="10"/>
  <c r="J2022" i="13" s="1" a="1"/>
  <c r="J2022" i="13" s="1"/>
  <c r="J842" i="10"/>
  <c r="J2023" i="13" s="1" a="1"/>
  <c r="J2023" i="13" s="1"/>
  <c r="J843" i="10"/>
  <c r="H842" i="10"/>
  <c r="H2023" i="13" s="1" a="1"/>
  <c r="H2023" i="13" s="1"/>
  <c r="H843" i="10"/>
  <c r="H841" i="10"/>
  <c r="H2022" i="13" s="1" a="1"/>
  <c r="H2022" i="13" s="1"/>
  <c r="H844" i="10"/>
  <c r="M841" i="10"/>
  <c r="M2022" i="13" s="1" a="1"/>
  <c r="M2022" i="13" s="1"/>
  <c r="M843" i="10"/>
  <c r="M842" i="10"/>
  <c r="M2023" i="13" s="1" a="1"/>
  <c r="M2023" i="13" s="1"/>
  <c r="M844" i="10"/>
  <c r="N842" i="10"/>
  <c r="N2023" i="13" s="1" a="1"/>
  <c r="N2023" i="13" s="1"/>
  <c r="N843" i="10"/>
  <c r="N844" i="10"/>
  <c r="N841" i="10"/>
  <c r="N2022" i="13" s="1" a="1"/>
  <c r="N2022" i="13" s="1"/>
  <c r="I841" i="10"/>
  <c r="I2022" i="13" s="1" a="1"/>
  <c r="I2022" i="13" s="1"/>
  <c r="I842" i="10"/>
  <c r="I2023" i="13" s="1" a="1"/>
  <c r="I2023" i="13" s="1"/>
  <c r="I843" i="10"/>
  <c r="I844" i="10"/>
  <c r="K867" i="10"/>
  <c r="F874" i="10"/>
  <c r="F878" i="10" s="1"/>
  <c r="I874" i="10"/>
  <c r="I878" i="10" s="1"/>
  <c r="N874" i="10"/>
  <c r="N878" i="10" s="1"/>
  <c r="M874" i="10"/>
  <c r="M878" i="10" s="1"/>
  <c r="B878" i="10"/>
  <c r="B879" i="10" s="1"/>
  <c r="J874" i="10"/>
  <c r="J878" i="10" s="1"/>
  <c r="E874" i="10"/>
  <c r="E878" i="10" s="1"/>
  <c r="P874" i="10"/>
  <c r="P878" i="10" s="1"/>
  <c r="L874" i="10"/>
  <c r="L878" i="10" s="1"/>
  <c r="H874" i="10"/>
  <c r="H878" i="10" s="1"/>
  <c r="D874" i="10"/>
  <c r="D878" i="10" s="1"/>
  <c r="G874" i="10"/>
  <c r="G878" i="10" s="1"/>
  <c r="B875" i="10"/>
  <c r="B876" i="10" s="1"/>
  <c r="B877" i="10" s="1"/>
  <c r="O874" i="10"/>
  <c r="O878" i="10" s="1"/>
  <c r="K874" i="10"/>
  <c r="K878" i="10" s="1"/>
  <c r="J854" i="10" a="1"/>
  <c r="J854" i="10" s="1"/>
  <c r="G867" i="10"/>
  <c r="M854" i="10" a="1"/>
  <c r="M854" i="10" s="1"/>
  <c r="O867" i="10"/>
  <c r="M887" i="10"/>
  <c r="P887" i="10"/>
  <c r="E887" i="10"/>
  <c r="H887" i="10"/>
  <c r="K887" i="10"/>
  <c r="B888" i="10"/>
  <c r="L887" i="10"/>
  <c r="N887" i="10"/>
  <c r="D887" i="10"/>
  <c r="O887" i="10"/>
  <c r="G887" i="10"/>
  <c r="J887" i="10"/>
  <c r="F887" i="10"/>
  <c r="I887" i="10"/>
  <c r="G854" i="10" a="1"/>
  <c r="G854" i="10" s="1"/>
  <c r="F867" i="10"/>
  <c r="M867" i="10"/>
  <c r="E854" i="10" a="1"/>
  <c r="E854" i="10" s="1"/>
  <c r="P910" i="10" a="1"/>
  <c r="P910" i="10" s="1"/>
  <c r="B901" i="10" a="1"/>
  <c r="B901" i="10" s="1"/>
  <c r="A901" i="10" a="1"/>
  <c r="A901" i="10" s="1"/>
  <c r="K865" i="10"/>
  <c r="K866" i="10" s="1"/>
  <c r="ET72" i="9" s="1" a="1"/>
  <c r="ET72" i="9" s="1"/>
  <c r="B866" i="10"/>
  <c r="B867" i="10" s="1"/>
  <c r="B868" i="10" s="1"/>
  <c r="B869" i="10" s="1"/>
  <c r="B870" i="10" s="1"/>
  <c r="B871" i="10" s="1"/>
  <c r="B872" i="10" s="1"/>
  <c r="O865" i="10"/>
  <c r="O868" i="10" s="1" a="1"/>
  <c r="O868" i="10" s="1"/>
  <c r="G865" i="10"/>
  <c r="G866" i="10" s="1"/>
  <c r="BV72" i="9" s="1" a="1"/>
  <c r="BV72" i="9" s="1"/>
  <c r="J865" i="10"/>
  <c r="J866" i="10" s="1"/>
  <c r="EA72" i="9" s="1" a="1"/>
  <c r="EA72" i="9" s="1"/>
  <c r="M865" i="10"/>
  <c r="M866" i="10" s="1"/>
  <c r="GF72" i="9" s="1" a="1"/>
  <c r="GF72" i="9" s="1"/>
  <c r="I865" i="10"/>
  <c r="I866" i="10" s="1"/>
  <c r="DH72" i="9" s="1" a="1"/>
  <c r="DH72" i="9" s="1"/>
  <c r="D865" i="10"/>
  <c r="D866" i="10" s="1"/>
  <c r="Q72" i="9" s="1" a="1"/>
  <c r="Q72" i="9" s="1"/>
  <c r="F865" i="10"/>
  <c r="F866" i="10" s="1"/>
  <c r="BC72" i="9" s="1" a="1"/>
  <c r="BC72" i="9" s="1"/>
  <c r="E865" i="10"/>
  <c r="E866" i="10" s="1"/>
  <c r="AJ72" i="9" s="1" a="1"/>
  <c r="AJ72" i="9" s="1"/>
  <c r="P865" i="10"/>
  <c r="P866" i="10" s="1"/>
  <c r="L865" i="10"/>
  <c r="L866" i="10" s="1"/>
  <c r="FM72" i="9" s="1" a="1"/>
  <c r="FM72" i="9" s="1"/>
  <c r="H865" i="10"/>
  <c r="H866" i="10" s="1"/>
  <c r="CO72" i="9" s="1" a="1"/>
  <c r="CO72" i="9" s="1"/>
  <c r="N865" i="10"/>
  <c r="N866" i="10" s="1"/>
  <c r="GY72" i="9" s="1" a="1"/>
  <c r="GY72" i="9" s="1"/>
  <c r="J867" i="10"/>
  <c r="CS66" i="9"/>
  <c r="HC66" i="9"/>
  <c r="BX66" i="9" a="1"/>
  <c r="BX66" i="9" s="1"/>
  <c r="BZ66" i="9" s="1"/>
  <c r="S66" i="9" a="1"/>
  <c r="S66" i="9" s="1"/>
  <c r="U66" i="9" s="1"/>
  <c r="AN66" i="9"/>
  <c r="J1908" i="13"/>
  <c r="EG66" i="9" s="1" a="1"/>
  <c r="EG66" i="9" s="1"/>
  <c r="EI66" i="9" s="1"/>
  <c r="EQ66" i="9" s="1"/>
  <c r="M1908" i="13"/>
  <c r="GL66" i="9" s="1" a="1"/>
  <c r="GL66" i="9" s="1"/>
  <c r="GN66" i="9" s="1"/>
  <c r="GV66" i="9" s="1"/>
  <c r="L1908" i="13"/>
  <c r="FS66" i="9" s="1" a="1"/>
  <c r="FS66" i="9" s="1"/>
  <c r="FU66" i="9" s="1"/>
  <c r="GC66" i="9" s="1"/>
  <c r="F1908" i="13"/>
  <c r="BI66" i="9" s="1" a="1"/>
  <c r="BI66" i="9" s="1"/>
  <c r="BK66" i="9" s="1"/>
  <c r="BS66" i="9" s="1"/>
  <c r="E1906" i="13"/>
  <c r="L78" i="25" a="1"/>
  <c r="L78" i="25" s="1"/>
  <c r="Q76" i="25"/>
  <c r="G1906" i="13"/>
  <c r="G78" i="25" a="1"/>
  <c r="G78" i="25" s="1"/>
  <c r="D1908" i="13"/>
  <c r="W66" i="9" s="1" a="1"/>
  <c r="W66" i="9" s="1"/>
  <c r="Y66" i="9" s="1"/>
  <c r="AG66" i="9" s="1"/>
  <c r="K78" i="25" a="1"/>
  <c r="K78" i="25" s="1"/>
  <c r="N78" i="25" a="1"/>
  <c r="N78" i="25" s="1"/>
  <c r="M78" i="25" a="1"/>
  <c r="M78" i="25" s="1"/>
  <c r="J78" i="25" a="1"/>
  <c r="J78" i="25" s="1"/>
  <c r="N1904" i="13"/>
  <c r="H1904" i="13"/>
  <c r="O1904" i="13"/>
  <c r="O1874" i="13"/>
  <c r="HX65" i="9" s="1" a="1"/>
  <c r="HX65" i="9" s="1"/>
  <c r="HZ65" i="9" s="1"/>
  <c r="IH65" i="9" s="1"/>
  <c r="D1872" i="13"/>
  <c r="D1870" i="13"/>
  <c r="T65" i="9" a="1"/>
  <c r="T65" i="9" s="1"/>
  <c r="L77" i="25" a="1"/>
  <c r="L77" i="25" s="1"/>
  <c r="K1870" i="13"/>
  <c r="FQ65" i="9"/>
  <c r="EX65" i="9"/>
  <c r="K1872" i="13"/>
  <c r="J77" i="25" a="1"/>
  <c r="J77" i="25" s="1"/>
  <c r="M77" i="25" a="1"/>
  <c r="M77" i="25" s="1"/>
  <c r="GW62" i="9"/>
  <c r="EE65" i="9"/>
  <c r="DL65" i="9"/>
  <c r="BG65" i="9"/>
  <c r="I1872" i="13"/>
  <c r="H1874" i="13"/>
  <c r="CU65" i="9" s="1" a="1"/>
  <c r="CU65" i="9" s="1"/>
  <c r="CW65" i="9" s="1"/>
  <c r="DE65" i="9" s="1"/>
  <c r="J1874" i="13"/>
  <c r="EG65" i="9" s="1" a="1"/>
  <c r="EG65" i="9" s="1"/>
  <c r="EI65" i="9" s="1"/>
  <c r="I1870" i="13"/>
  <c r="F1874" i="13"/>
  <c r="BI65" i="9" s="1" a="1"/>
  <c r="BI65" i="9" s="1"/>
  <c r="H1840" i="13"/>
  <c r="CU64" i="9" s="1" a="1"/>
  <c r="CU64" i="9" s="1"/>
  <c r="CW64" i="9" s="1"/>
  <c r="DE64" i="9" s="1"/>
  <c r="H77" i="25" a="1"/>
  <c r="H77" i="25" s="1"/>
  <c r="G1874" i="13"/>
  <c r="CB65" i="9" s="1" a="1"/>
  <c r="CB65" i="9" s="1"/>
  <c r="CD65" i="9" s="1"/>
  <c r="CL65" i="9" s="1"/>
  <c r="AN65" i="9"/>
  <c r="BZ65" i="9"/>
  <c r="E1874" i="13"/>
  <c r="AP65" i="9" s="1" a="1"/>
  <c r="AP65" i="9" s="1"/>
  <c r="F77" i="25" a="1"/>
  <c r="F77" i="25" s="1"/>
  <c r="H80" i="27"/>
  <c r="H79" i="27"/>
  <c r="N77" i="25" a="1"/>
  <c r="N77" i="25" s="1"/>
  <c r="E79" i="27"/>
  <c r="E80" i="27"/>
  <c r="O77" i="25" a="1"/>
  <c r="O77" i="25" s="1"/>
  <c r="K77" i="25" a="1"/>
  <c r="K77" i="25" s="1"/>
  <c r="P80" i="27"/>
  <c r="P79" i="27"/>
  <c r="L80" i="27"/>
  <c r="L79" i="27"/>
  <c r="G77" i="25" a="1"/>
  <c r="G77" i="25" s="1"/>
  <c r="I80" i="27"/>
  <c r="I79" i="27"/>
  <c r="M80" i="27"/>
  <c r="M79" i="27"/>
  <c r="J80" i="27"/>
  <c r="J79" i="27"/>
  <c r="IN61" i="9"/>
  <c r="IO61" i="9" s="1"/>
  <c r="N1874" i="13"/>
  <c r="S65" i="9" a="1"/>
  <c r="S65" i="9" s="1"/>
  <c r="M1874" i="13"/>
  <c r="N1906" i="13"/>
  <c r="O1906" i="13"/>
  <c r="E1904" i="13"/>
  <c r="G1904" i="13"/>
  <c r="H1906" i="13"/>
  <c r="IA64" i="9" a="1"/>
  <c r="IA64" i="9" s="1"/>
  <c r="II64" i="9" s="1"/>
  <c r="Q77" i="24" s="1" a="1"/>
  <c r="Q77" i="24" s="1"/>
  <c r="AS64" i="9" a="1"/>
  <c r="AS64" i="9" s="1"/>
  <c r="BA64" i="9" s="1"/>
  <c r="G77" i="24" s="1" a="1"/>
  <c r="G77" i="24" s="1"/>
  <c r="GO64" i="9" a="1"/>
  <c r="GO64" i="9" s="1"/>
  <c r="EJ64" i="9" a="1"/>
  <c r="EJ64" i="9" s="1"/>
  <c r="ER64" i="9" s="1"/>
  <c r="L77" i="24" s="1" a="1"/>
  <c r="L77" i="24" s="1"/>
  <c r="IJ62" i="9"/>
  <c r="IK62" i="9" s="1"/>
  <c r="HH64" i="9" a="1"/>
  <c r="HH64" i="9" s="1"/>
  <c r="HP64" i="9" s="1"/>
  <c r="P77" i="24" s="1" a="1"/>
  <c r="P77" i="24" s="1"/>
  <c r="CE64" i="9" a="1"/>
  <c r="CE64" i="9" s="1"/>
  <c r="CM64" i="9" s="1"/>
  <c r="I77" i="24" s="1" a="1"/>
  <c r="I77" i="24" s="1"/>
  <c r="W64" i="9" a="1"/>
  <c r="W64" i="9" s="1"/>
  <c r="Y64" i="9" s="1"/>
  <c r="AG64" i="9" s="1"/>
  <c r="FB64" i="9"/>
  <c r="FJ64" i="9" s="1"/>
  <c r="DP64" i="9"/>
  <c r="DX64" i="9" s="1"/>
  <c r="FU64" i="9"/>
  <c r="GC64" i="9" s="1"/>
  <c r="W63" i="9" a="1"/>
  <c r="W63" i="9" s="1"/>
  <c r="Y63" i="9" s="1"/>
  <c r="Z63" i="9" s="1" a="1"/>
  <c r="Z63" i="9" s="1"/>
  <c r="GV64" i="9"/>
  <c r="IA63" i="9" a="1"/>
  <c r="IA63" i="9" s="1"/>
  <c r="II63" i="9" s="1"/>
  <c r="Q76" i="24" s="1" a="1"/>
  <c r="Q76" i="24" s="1"/>
  <c r="BK64" i="9"/>
  <c r="BS64" i="9" s="1"/>
  <c r="BA63" i="9"/>
  <c r="G76" i="24" s="1" a="1"/>
  <c r="G76" i="24" s="1"/>
  <c r="B929" i="10" l="1" a="1"/>
  <c r="B929" i="10" s="1"/>
  <c r="A929" i="10" a="1"/>
  <c r="A929" i="10" s="1"/>
  <c r="P938" i="10" a="1"/>
  <c r="P938" i="10" s="1"/>
  <c r="M915" i="10"/>
  <c r="L915" i="10"/>
  <c r="P915" i="10"/>
  <c r="K915" i="10"/>
  <c r="J915" i="10"/>
  <c r="E915" i="10"/>
  <c r="D915" i="10"/>
  <c r="I915" i="10"/>
  <c r="B916" i="10"/>
  <c r="O915" i="10"/>
  <c r="H915" i="10"/>
  <c r="F915" i="10"/>
  <c r="G915" i="10"/>
  <c r="N915" i="10"/>
  <c r="AO68" i="9"/>
  <c r="F80" i="25" a="1"/>
  <c r="F80" i="25" s="1"/>
  <c r="IN62" i="9"/>
  <c r="IO62" i="9" s="1"/>
  <c r="O75" i="24" a="1"/>
  <c r="O75" i="24" s="1"/>
  <c r="X70" i="9" a="1"/>
  <c r="X70" i="9" s="1"/>
  <c r="H2003" i="13" a="1"/>
  <c r="H2003" i="13" s="1"/>
  <c r="H2004" i="13" s="1"/>
  <c r="H2005" i="13" s="1"/>
  <c r="H2006" i="13" s="1"/>
  <c r="D2003" i="13" a="1"/>
  <c r="D2003" i="13" s="1"/>
  <c r="D2004" i="13" s="1"/>
  <c r="DQ66" i="9" a="1"/>
  <c r="DQ66" i="9" s="1"/>
  <c r="DY66" i="9" s="1"/>
  <c r="K79" i="24" s="1" a="1"/>
  <c r="K79" i="24" s="1"/>
  <c r="F2003" i="13" a="1"/>
  <c r="F2003" i="13" s="1"/>
  <c r="F2004" i="13" s="1"/>
  <c r="F2005" i="13" s="1"/>
  <c r="F2006" i="13" s="1"/>
  <c r="G2030" i="13" a="1"/>
  <c r="G2030" i="13" s="1"/>
  <c r="G2031" i="13" s="1"/>
  <c r="G2034" i="13" s="1"/>
  <c r="K2003" i="13" a="1"/>
  <c r="K2003" i="13" s="1"/>
  <c r="K2004" i="13" s="1"/>
  <c r="K2005" i="13" s="1"/>
  <c r="K2008" i="13" s="1"/>
  <c r="G2027" i="13" a="1"/>
  <c r="G2027" i="13" s="1"/>
  <c r="G2028" i="13" s="1"/>
  <c r="G2029" i="13" s="1"/>
  <c r="E2003" i="13" a="1"/>
  <c r="E2003" i="13" s="1"/>
  <c r="E2004" i="13" s="1"/>
  <c r="E2005" i="13" s="1"/>
  <c r="E2008" i="13" s="1"/>
  <c r="E1942" i="13"/>
  <c r="AP67" i="9" s="1" a="1"/>
  <c r="AP67" i="9" s="1"/>
  <c r="AR67" i="9" s="1"/>
  <c r="AZ67" i="9" s="1"/>
  <c r="O855" i="10"/>
  <c r="O2056" i="13" s="1" a="1"/>
  <c r="O2056" i="13" s="1"/>
  <c r="O2059" i="13" s="1" a="1"/>
  <c r="O2059" i="13" s="1"/>
  <c r="O2060" i="13" s="1"/>
  <c r="K2024" i="13" a="1"/>
  <c r="K2024" i="13" s="1"/>
  <c r="K2035" i="13" s="1" a="1"/>
  <c r="K2035" i="13" s="1"/>
  <c r="K2036" i="13" s="1"/>
  <c r="K2027" i="13" a="1"/>
  <c r="K2027" i="13" s="1"/>
  <c r="K2028" i="13" s="1"/>
  <c r="K2029" i="13" s="1"/>
  <c r="O866" i="10"/>
  <c r="HR72" i="9" s="1" a="1"/>
  <c r="HR72" i="9" s="1"/>
  <c r="K855" i="10"/>
  <c r="K2056" i="13" s="1" a="1"/>
  <c r="K2056" i="13" s="1"/>
  <c r="K2059" i="13" s="1" a="1"/>
  <c r="K2059" i="13" s="1"/>
  <c r="K2060" i="13" s="1"/>
  <c r="K858" i="10"/>
  <c r="EU71" i="9" s="1" a="1"/>
  <c r="EU71" i="9" s="1"/>
  <c r="FA70" i="9" a="1"/>
  <c r="FA70" i="9" s="1"/>
  <c r="K857" i="10"/>
  <c r="L2030" i="13" a="1"/>
  <c r="L2030" i="13" s="1"/>
  <c r="L2031" i="13" s="1"/>
  <c r="L2034" i="13" s="1"/>
  <c r="E2027" i="13" a="1"/>
  <c r="E2027" i="13" s="1"/>
  <c r="E2028" i="13" s="1"/>
  <c r="E2029" i="13" s="1"/>
  <c r="D2027" i="13" a="1"/>
  <c r="D2027" i="13" s="1"/>
  <c r="D2028" i="13" s="1"/>
  <c r="D2029" i="13" s="1"/>
  <c r="H857" i="10"/>
  <c r="O857" i="10"/>
  <c r="O856" i="10"/>
  <c r="O2057" i="13" s="1" a="1"/>
  <c r="O2057" i="13" s="1"/>
  <c r="O2064" i="13" s="1" a="1"/>
  <c r="O2064" i="13" s="1"/>
  <c r="O2065" i="13" s="1"/>
  <c r="R70" i="9" a="1"/>
  <c r="R70" i="9" s="1"/>
  <c r="FC66" i="9" a="1"/>
  <c r="FC66" i="9" s="1"/>
  <c r="FK66" i="9" s="1"/>
  <c r="M79" i="24" s="1" a="1"/>
  <c r="M79" i="24" s="1"/>
  <c r="L2027" i="13" a="1"/>
  <c r="L2027" i="13" s="1"/>
  <c r="L2028" i="13" s="1"/>
  <c r="L2029" i="13" s="1"/>
  <c r="H855" i="10"/>
  <c r="H2056" i="13" s="1" a="1"/>
  <c r="H2056" i="13" s="1"/>
  <c r="H2061" i="13" s="1" a="1"/>
  <c r="H2061" i="13" s="1"/>
  <c r="H2062" i="13" s="1"/>
  <c r="H858" i="10"/>
  <c r="H2058" i="13" s="1" a="1"/>
  <c r="H2058" i="13" s="1"/>
  <c r="CQ69" i="9" a="1"/>
  <c r="CQ69" i="9" s="1"/>
  <c r="HA67" i="9" a="1"/>
  <c r="HA67" i="9" s="1"/>
  <c r="E1974" i="13"/>
  <c r="D868" i="10" a="1"/>
  <c r="D868" i="10" s="1"/>
  <c r="D871" i="10" s="1"/>
  <c r="L1942" i="13"/>
  <c r="FS67" i="9" s="1" a="1"/>
  <c r="FS67" i="9" s="1"/>
  <c r="FU67" i="9" s="1"/>
  <c r="GC67" i="9" s="1"/>
  <c r="L868" i="10" a="1"/>
  <c r="L868" i="10" s="1"/>
  <c r="L869" i="10" s="1"/>
  <c r="L2090" i="13" s="1" a="1"/>
  <c r="L2090" i="13" s="1"/>
  <c r="E868" i="10" a="1"/>
  <c r="E868" i="10" s="1"/>
  <c r="E871" i="10" s="1"/>
  <c r="AK70" i="9" a="1"/>
  <c r="AK70" i="9" s="1"/>
  <c r="AQ70" i="9" a="1"/>
  <c r="AQ70" i="9" s="1"/>
  <c r="O2027" i="13" a="1"/>
  <c r="O2027" i="13" s="1"/>
  <c r="O2028" i="13" s="1"/>
  <c r="O2029" i="13" s="1"/>
  <c r="N868" i="10" a="1"/>
  <c r="N868" i="10" s="1"/>
  <c r="N872" i="10" s="1"/>
  <c r="E1972" i="13"/>
  <c r="F858" i="10"/>
  <c r="F2058" i="13" s="1" a="1"/>
  <c r="F2058" i="13" s="1"/>
  <c r="F855" i="10"/>
  <c r="F2056" i="13" s="1" a="1"/>
  <c r="F2056" i="13" s="1"/>
  <c r="F2059" i="13" s="1" a="1"/>
  <c r="F2059" i="13" s="1"/>
  <c r="F2060" i="13" s="1"/>
  <c r="F856" i="10"/>
  <c r="F2057" i="13" s="1" a="1"/>
  <c r="F2057" i="13" s="1"/>
  <c r="F2064" i="13" s="1" a="1"/>
  <c r="F2064" i="13" s="1"/>
  <c r="F2065" i="13" s="1"/>
  <c r="L1974" i="13"/>
  <c r="L1976" i="13" s="1"/>
  <c r="FS68" i="9" s="1" a="1"/>
  <c r="FS68" i="9" s="1"/>
  <c r="L858" i="10"/>
  <c r="L2058" i="13" s="1" a="1"/>
  <c r="L2058" i="13" s="1"/>
  <c r="L857" i="10"/>
  <c r="D858" i="10"/>
  <c r="D2058" i="13" s="1" a="1"/>
  <c r="D2058" i="13" s="1"/>
  <c r="F2025" i="13" a="1"/>
  <c r="F2025" i="13" s="1"/>
  <c r="F2026" i="13" s="1"/>
  <c r="F2029" i="13" s="1"/>
  <c r="L856" i="10"/>
  <c r="L2057" i="13" s="1" a="1"/>
  <c r="L2057" i="13" s="1"/>
  <c r="L2064" i="13" s="1" a="1"/>
  <c r="L2064" i="13" s="1"/>
  <c r="L2065" i="13" s="1"/>
  <c r="I856" i="10"/>
  <c r="I2057" i="13" s="1" a="1"/>
  <c r="I2057" i="13" s="1"/>
  <c r="I2064" i="13" s="1" a="1"/>
  <c r="I2064" i="13" s="1"/>
  <c r="I2065" i="13" s="1"/>
  <c r="O2024" i="13" a="1"/>
  <c r="O2024" i="13" s="1"/>
  <c r="O2035" i="13" s="1" a="1"/>
  <c r="O2035" i="13" s="1"/>
  <c r="O2036" i="13" s="1"/>
  <c r="N856" i="10"/>
  <c r="N2057" i="13" s="1" a="1"/>
  <c r="N2057" i="13" s="1"/>
  <c r="N2066" i="13" s="1" a="1"/>
  <c r="N2066" i="13" s="1"/>
  <c r="N2067" i="13" s="1"/>
  <c r="I868" i="10" a="1"/>
  <c r="I868" i="10" s="1"/>
  <c r="I869" i="10" s="1"/>
  <c r="I2090" i="13" s="1" a="1"/>
  <c r="I2090" i="13" s="1"/>
  <c r="I855" i="10"/>
  <c r="I2056" i="13" s="1" a="1"/>
  <c r="I2056" i="13" s="1"/>
  <c r="I2059" i="13" s="1" a="1"/>
  <c r="I2059" i="13" s="1"/>
  <c r="I2060" i="13" s="1"/>
  <c r="I858" i="10"/>
  <c r="I2058" i="13" s="1" a="1"/>
  <c r="I2058" i="13" s="1"/>
  <c r="HS70" i="9" a="1"/>
  <c r="HS70" i="9" s="1"/>
  <c r="H881" i="10"/>
  <c r="H1942" i="13"/>
  <c r="CU67" i="9" s="1" a="1"/>
  <c r="CU67" i="9" s="1"/>
  <c r="CW67" i="9" s="1"/>
  <c r="DE67" i="9" s="1"/>
  <c r="N855" i="10"/>
  <c r="N2056" i="13" s="1" a="1"/>
  <c r="N2056" i="13" s="1"/>
  <c r="N2059" i="13" s="1" a="1"/>
  <c r="N2059" i="13" s="1"/>
  <c r="N2060" i="13" s="1"/>
  <c r="N857" i="10"/>
  <c r="AL69" i="9" a="1"/>
  <c r="AL69" i="9" s="1"/>
  <c r="F2032" i="13" a="1"/>
  <c r="F2032" i="13" s="1"/>
  <c r="F2033" i="13" s="1"/>
  <c r="F2034" i="13" s="1"/>
  <c r="G868" i="10" a="1"/>
  <c r="G868" i="10" s="1"/>
  <c r="G870" i="10" s="1"/>
  <c r="G2091" i="13" s="1" a="1"/>
  <c r="G2091" i="13" s="1"/>
  <c r="K868" i="10" a="1"/>
  <c r="K868" i="10" s="1"/>
  <c r="K870" i="10" s="1"/>
  <c r="K2091" i="13" s="1" a="1"/>
  <c r="K2091" i="13" s="1"/>
  <c r="BX69" i="9" a="1"/>
  <c r="BX69" i="9" s="1"/>
  <c r="HA69" i="9" a="1"/>
  <c r="HA69" i="9" s="1"/>
  <c r="I2005" i="13"/>
  <c r="DK69" i="9" s="1" a="1"/>
  <c r="DK69" i="9" s="1"/>
  <c r="G2005" i="13"/>
  <c r="BY69" i="9" s="1" a="1"/>
  <c r="BY69" i="9" s="1"/>
  <c r="FP68" i="9" a="1"/>
  <c r="FP68" i="9" s="1"/>
  <c r="E2034" i="13"/>
  <c r="M881" i="10"/>
  <c r="H868" i="10" a="1"/>
  <c r="H868" i="10" s="1"/>
  <c r="H871" i="10" s="1"/>
  <c r="D857" i="10"/>
  <c r="P881" i="10"/>
  <c r="D855" i="10"/>
  <c r="D2056" i="13" s="1" a="1"/>
  <c r="D2056" i="13" s="1"/>
  <c r="D2059" i="13" s="1" a="1"/>
  <c r="D2059" i="13" s="1"/>
  <c r="D2060" i="13" s="1"/>
  <c r="EI67" i="9"/>
  <c r="EQ67" i="9" s="1"/>
  <c r="L2005" i="13"/>
  <c r="L2006" i="13" s="1"/>
  <c r="J881" i="10"/>
  <c r="EV69" i="9" a="1"/>
  <c r="EV69" i="9" s="1"/>
  <c r="FB67" i="9"/>
  <c r="FJ67" i="9" s="1"/>
  <c r="I1942" i="13"/>
  <c r="DN67" i="9" s="1" a="1"/>
  <c r="DN67" i="9" s="1"/>
  <c r="DP67" i="9" s="1"/>
  <c r="DX67" i="9" s="1"/>
  <c r="J2005" i="13"/>
  <c r="J2006" i="13" s="1"/>
  <c r="HZ67" i="9"/>
  <c r="IH67" i="9" s="1"/>
  <c r="O2000" i="13"/>
  <c r="BK67" i="9"/>
  <c r="BS67" i="9" s="1"/>
  <c r="GN67" i="9"/>
  <c r="GV67" i="9" s="1"/>
  <c r="CD67" i="9"/>
  <c r="CL67" i="9" s="1"/>
  <c r="L881" i="10"/>
  <c r="M868" i="10" a="1"/>
  <c r="M868" i="10" s="1"/>
  <c r="M869" i="10" s="1"/>
  <c r="M2090" i="13" s="1" a="1"/>
  <c r="M2090" i="13" s="1"/>
  <c r="M2000" i="13"/>
  <c r="N1972" i="13"/>
  <c r="HB68" i="9" a="1"/>
  <c r="HB68" i="9" s="1"/>
  <c r="O80" i="25" s="1" a="1"/>
  <c r="O80" i="25" s="1"/>
  <c r="FO69" i="9" a="1"/>
  <c r="FO69" i="9" s="1"/>
  <c r="K1972" i="13"/>
  <c r="K1976" i="13" s="1"/>
  <c r="EZ68" i="9" s="1" a="1"/>
  <c r="EZ68" i="9" s="1"/>
  <c r="EW68" i="9" a="1"/>
  <c r="EW68" i="9" s="1"/>
  <c r="L80" i="25" s="1" a="1"/>
  <c r="L80" i="25" s="1"/>
  <c r="M1972" i="13"/>
  <c r="GI68" i="9" a="1"/>
  <c r="GI68" i="9" s="1"/>
  <c r="N80" i="25" s="1" a="1"/>
  <c r="N80" i="25" s="1"/>
  <c r="N2005" i="13"/>
  <c r="N2008" i="13" s="1"/>
  <c r="G1972" i="13"/>
  <c r="BY68" i="9" a="1"/>
  <c r="BY68" i="9" s="1"/>
  <c r="H80" i="25" s="1" a="1"/>
  <c r="H80" i="25" s="1"/>
  <c r="V67" i="9"/>
  <c r="U67" i="9"/>
  <c r="D1972" i="13"/>
  <c r="D1976" i="13" s="1"/>
  <c r="W68" i="9" s="1" a="1"/>
  <c r="W68" i="9" s="1"/>
  <c r="T68" i="9" a="1"/>
  <c r="T68" i="9" s="1"/>
  <c r="E80" i="25" s="1" a="1"/>
  <c r="E80" i="25" s="1"/>
  <c r="CA67" i="9"/>
  <c r="BZ67" i="9"/>
  <c r="BH67" i="9"/>
  <c r="BG67" i="9"/>
  <c r="HW67" i="9"/>
  <c r="HV67" i="9"/>
  <c r="N1938" i="13"/>
  <c r="N1942" i="13" s="1"/>
  <c r="HE67" i="9" s="1" a="1"/>
  <c r="HE67" i="9" s="1"/>
  <c r="HB67" i="9" a="1"/>
  <c r="HB67" i="9" s="1"/>
  <c r="S69" i="9" a="1"/>
  <c r="S69" i="9" s="1"/>
  <c r="EY67" i="9"/>
  <c r="EX67" i="9"/>
  <c r="AN68" i="9"/>
  <c r="EF67" i="9"/>
  <c r="EE67" i="9"/>
  <c r="I1972" i="13"/>
  <c r="I1976" i="13" s="1"/>
  <c r="DN68" i="9" s="1" a="1"/>
  <c r="DN68" i="9" s="1"/>
  <c r="DK68" i="9" a="1"/>
  <c r="DK68" i="9" s="1"/>
  <c r="J80" i="25" s="1" a="1"/>
  <c r="J80" i="25" s="1"/>
  <c r="D1942" i="13"/>
  <c r="W67" i="9" s="1" a="1"/>
  <c r="W67" i="9" s="1"/>
  <c r="Y67" i="9" s="1"/>
  <c r="AG67" i="9" s="1"/>
  <c r="O1972" i="13"/>
  <c r="O1976" i="13" s="1"/>
  <c r="HX68" i="9" s="1" a="1"/>
  <c r="HX68" i="9" s="1"/>
  <c r="HU68" i="9" a="1"/>
  <c r="HU68" i="9" s="1"/>
  <c r="J1972" i="13"/>
  <c r="ED68" i="9" a="1"/>
  <c r="ED68" i="9" s="1"/>
  <c r="BE69" i="9" a="1"/>
  <c r="BE69" i="9" s="1"/>
  <c r="O2034" i="13"/>
  <c r="DM67" i="9"/>
  <c r="DL67" i="9"/>
  <c r="DJ69" i="9" a="1"/>
  <c r="DJ69" i="9" s="1"/>
  <c r="G1974" i="13"/>
  <c r="GK67" i="9"/>
  <c r="GJ67" i="9"/>
  <c r="F1972" i="13"/>
  <c r="F1976" i="13" s="1"/>
  <c r="BI68" i="9" s="1" a="1"/>
  <c r="BI68" i="9" s="1"/>
  <c r="BF68" i="9" a="1"/>
  <c r="BF68" i="9" s="1"/>
  <c r="EC69" i="9" a="1"/>
  <c r="EC69" i="9" s="1"/>
  <c r="H1972" i="13"/>
  <c r="H1976" i="13" s="1"/>
  <c r="CU68" i="9" s="1" a="1"/>
  <c r="CU68" i="9" s="1"/>
  <c r="CR68" i="9" a="1"/>
  <c r="CR68" i="9" s="1"/>
  <c r="I80" i="25" s="1" a="1"/>
  <c r="I80" i="25" s="1"/>
  <c r="N2025" i="13" a="1"/>
  <c r="N2025" i="13" s="1"/>
  <c r="N2026" i="13" s="1"/>
  <c r="N2027" i="13" a="1"/>
  <c r="N2027" i="13" s="1"/>
  <c r="N2028" i="13" s="1"/>
  <c r="H2024" i="13" a="1"/>
  <c r="H2024" i="13" s="1"/>
  <c r="CV70" i="9" a="1"/>
  <c r="CV70" i="9" s="1"/>
  <c r="CP70" i="9" a="1"/>
  <c r="CP70" i="9" s="1"/>
  <c r="D2035" i="13" a="1"/>
  <c r="D2035" i="13" s="1"/>
  <c r="D2036" i="13" s="1"/>
  <c r="D2037" i="13" a="1"/>
  <c r="D2037" i="13" s="1"/>
  <c r="D2038" i="13" s="1"/>
  <c r="N2024" i="13" a="1"/>
  <c r="N2024" i="13" s="1"/>
  <c r="HF70" i="9" a="1"/>
  <c r="HF70" i="9" s="1"/>
  <c r="GZ70" i="9" a="1"/>
  <c r="GZ70" i="9" s="1"/>
  <c r="H2025" i="13" a="1"/>
  <c r="H2025" i="13" s="1"/>
  <c r="H2026" i="13" s="1"/>
  <c r="H2027" i="13" a="1"/>
  <c r="H2027" i="13" s="1"/>
  <c r="H2028" i="13" s="1"/>
  <c r="J2030" i="13" a="1"/>
  <c r="J2030" i="13" s="1"/>
  <c r="J2031" i="13" s="1"/>
  <c r="J2032" i="13" a="1"/>
  <c r="J2032" i="13" s="1"/>
  <c r="J2033" i="13" s="1"/>
  <c r="M1974" i="13"/>
  <c r="D2005" i="13"/>
  <c r="I2024" i="13" a="1"/>
  <c r="I2024" i="13" s="1"/>
  <c r="DO70" i="9" a="1"/>
  <c r="DO70" i="9" s="1"/>
  <c r="DI70" i="9" a="1"/>
  <c r="DI70" i="9" s="1"/>
  <c r="O2058" i="13" a="1"/>
  <c r="O2058" i="13" s="1"/>
  <c r="HY71" i="9" a="1"/>
  <c r="HY71" i="9" s="1"/>
  <c r="HS71" i="9" a="1"/>
  <c r="HS71" i="9" s="1"/>
  <c r="F2035" i="13" a="1"/>
  <c r="F2035" i="13" s="1"/>
  <c r="F2036" i="13" s="1"/>
  <c r="F2037" i="13" a="1"/>
  <c r="F2037" i="13" s="1"/>
  <c r="F2038" i="13" s="1"/>
  <c r="I2030" i="13" a="1"/>
  <c r="I2030" i="13" s="1"/>
  <c r="I2031" i="13" s="1"/>
  <c r="I2032" i="13" a="1"/>
  <c r="I2032" i="13" s="1"/>
  <c r="I2033" i="13" s="1"/>
  <c r="J2025" i="13" a="1"/>
  <c r="J2025" i="13" s="1"/>
  <c r="J2026" i="13" s="1"/>
  <c r="J2027" i="13" a="1"/>
  <c r="J2027" i="13" s="1"/>
  <c r="J2028" i="13" s="1"/>
  <c r="O1995" i="13"/>
  <c r="K2034" i="13"/>
  <c r="M2024" i="13" a="1"/>
  <c r="M2024" i="13" s="1"/>
  <c r="GM70" i="9" a="1"/>
  <c r="GM70" i="9" s="1"/>
  <c r="GG70" i="9" a="1"/>
  <c r="GG70" i="9" s="1"/>
  <c r="D2064" i="13" a="1"/>
  <c r="D2064" i="13" s="1"/>
  <c r="D2065" i="13" s="1"/>
  <c r="D2066" i="13" a="1"/>
  <c r="D2066" i="13" s="1"/>
  <c r="D2067" i="13" s="1"/>
  <c r="M1995" i="13"/>
  <c r="G2035" i="13" a="1"/>
  <c r="G2035" i="13" s="1"/>
  <c r="G2036" i="13" s="1"/>
  <c r="G2037" i="13" a="1"/>
  <c r="G2037" i="13" s="1"/>
  <c r="G2038" i="13" s="1"/>
  <c r="D2034" i="13"/>
  <c r="J2024" i="13" a="1"/>
  <c r="J2024" i="13" s="1"/>
  <c r="EH70" i="9" a="1"/>
  <c r="EH70" i="9" s="1"/>
  <c r="EB70" i="9" a="1"/>
  <c r="EB70" i="9" s="1"/>
  <c r="K2064" i="13" a="1"/>
  <c r="K2064" i="13" s="1"/>
  <c r="K2065" i="13" s="1"/>
  <c r="K2066" i="13" a="1"/>
  <c r="K2066" i="13" s="1"/>
  <c r="K2067" i="13" s="1"/>
  <c r="M2030" i="13" a="1"/>
  <c r="M2030" i="13" s="1"/>
  <c r="M2031" i="13" s="1"/>
  <c r="M2032" i="13" a="1"/>
  <c r="M2032" i="13" s="1"/>
  <c r="M2033" i="13" s="1"/>
  <c r="N2058" i="13" a="1"/>
  <c r="N2058" i="13" s="1"/>
  <c r="HF71" i="9" a="1"/>
  <c r="HF71" i="9" s="1"/>
  <c r="GZ71" i="9" a="1"/>
  <c r="GZ71" i="9" s="1"/>
  <c r="E2035" i="13" a="1"/>
  <c r="E2035" i="13" s="1"/>
  <c r="E2036" i="13" s="1"/>
  <c r="E2037" i="13" a="1"/>
  <c r="E2037" i="13" s="1"/>
  <c r="E2038" i="13" s="1"/>
  <c r="I2025" i="13" a="1"/>
  <c r="I2025" i="13" s="1"/>
  <c r="I2026" i="13" s="1"/>
  <c r="I2027" i="13" a="1"/>
  <c r="I2027" i="13" s="1"/>
  <c r="I2028" i="13" s="1"/>
  <c r="H2030" i="13" a="1"/>
  <c r="H2030" i="13" s="1"/>
  <c r="H2031" i="13" s="1"/>
  <c r="H2032" i="13" a="1"/>
  <c r="H2032" i="13" s="1"/>
  <c r="H2033" i="13" s="1"/>
  <c r="H2064" i="13" a="1"/>
  <c r="H2064" i="13" s="1"/>
  <c r="H2065" i="13" s="1"/>
  <c r="H2066" i="13" a="1"/>
  <c r="H2066" i="13" s="1"/>
  <c r="H2067" i="13" s="1"/>
  <c r="N1974" i="13"/>
  <c r="J1974" i="13"/>
  <c r="N2030" i="13" a="1"/>
  <c r="N2030" i="13" s="1"/>
  <c r="N2031" i="13" s="1"/>
  <c r="N2032" i="13" a="1"/>
  <c r="N2032" i="13" s="1"/>
  <c r="N2033" i="13" s="1"/>
  <c r="M2025" i="13" a="1"/>
  <c r="M2025" i="13" s="1"/>
  <c r="M2026" i="13" s="1"/>
  <c r="M2027" i="13" a="1"/>
  <c r="M2027" i="13" s="1"/>
  <c r="M2028" i="13" s="1"/>
  <c r="L2059" i="13" a="1"/>
  <c r="L2059" i="13" s="1"/>
  <c r="L2060" i="13" s="1"/>
  <c r="L2061" i="13" a="1"/>
  <c r="L2061" i="13" s="1"/>
  <c r="L2062" i="13" s="1"/>
  <c r="M2001" i="13" a="1"/>
  <c r="M2001" i="13" s="1"/>
  <c r="M2002" i="13" s="1"/>
  <c r="M2003" i="13" a="1"/>
  <c r="M2003" i="13" s="1"/>
  <c r="M2004" i="13" s="1"/>
  <c r="O2001" i="13" a="1"/>
  <c r="O2001" i="13" s="1"/>
  <c r="O2002" i="13" s="1"/>
  <c r="O2003" i="13" a="1"/>
  <c r="O2003" i="13" s="1"/>
  <c r="O2004" i="13" s="1"/>
  <c r="L2035" i="13" a="1"/>
  <c r="L2035" i="13" s="1"/>
  <c r="L2036" i="13" s="1"/>
  <c r="L2037" i="13" a="1"/>
  <c r="L2037" i="13" s="1"/>
  <c r="L2038" i="13" s="1"/>
  <c r="P842" i="10"/>
  <c r="P844" i="10"/>
  <c r="P841" i="10"/>
  <c r="P843" i="10"/>
  <c r="E857" i="10"/>
  <c r="E855" i="10"/>
  <c r="E2056" i="13" s="1" a="1"/>
  <c r="E2056" i="13" s="1"/>
  <c r="E858" i="10"/>
  <c r="E856" i="10"/>
  <c r="E2057" i="13" s="1" a="1"/>
  <c r="E2057" i="13" s="1"/>
  <c r="M857" i="10"/>
  <c r="M858" i="10"/>
  <c r="M855" i="10"/>
  <c r="M2056" i="13" s="1" a="1"/>
  <c r="M2056" i="13" s="1"/>
  <c r="M856" i="10"/>
  <c r="M2057" i="13" s="1" a="1"/>
  <c r="M2057" i="13" s="1"/>
  <c r="J858" i="10"/>
  <c r="J855" i="10"/>
  <c r="J2056" i="13" s="1" a="1"/>
  <c r="J2056" i="13" s="1"/>
  <c r="J856" i="10"/>
  <c r="J2057" i="13" s="1" a="1"/>
  <c r="J2057" i="13" s="1"/>
  <c r="J857" i="10"/>
  <c r="O869" i="10"/>
  <c r="O2090" i="13" s="1" a="1"/>
  <c r="O2090" i="13" s="1"/>
  <c r="O870" i="10"/>
  <c r="O2091" i="13" s="1" a="1"/>
  <c r="O2091" i="13" s="1"/>
  <c r="O871" i="10"/>
  <c r="O872" i="10"/>
  <c r="G856" i="10"/>
  <c r="G2057" i="13" s="1" a="1"/>
  <c r="G2057" i="13" s="1"/>
  <c r="G855" i="10"/>
  <c r="G2056" i="13" s="1" a="1"/>
  <c r="G2056" i="13" s="1"/>
  <c r="G857" i="10"/>
  <c r="G858" i="10"/>
  <c r="M901" i="10"/>
  <c r="G901" i="10"/>
  <c r="K901" i="10"/>
  <c r="N901" i="10"/>
  <c r="J901" i="10"/>
  <c r="F901" i="10"/>
  <c r="I901" i="10"/>
  <c r="B902" i="10"/>
  <c r="O901" i="10"/>
  <c r="D901" i="10"/>
  <c r="P901" i="10"/>
  <c r="L901" i="10"/>
  <c r="E901" i="10"/>
  <c r="H901" i="10"/>
  <c r="B892" i="10"/>
  <c r="B893" i="10" s="1"/>
  <c r="M888" i="10"/>
  <c r="M892" i="10" s="1"/>
  <c r="J888" i="10"/>
  <c r="J892" i="10" s="1"/>
  <c r="P888" i="10"/>
  <c r="P892" i="10" s="1"/>
  <c r="E888" i="10"/>
  <c r="E892" i="10" s="1"/>
  <c r="N888" i="10"/>
  <c r="N892" i="10" s="1"/>
  <c r="F888" i="10"/>
  <c r="F892" i="10" s="1"/>
  <c r="H888" i="10"/>
  <c r="H892" i="10" s="1"/>
  <c r="L888" i="10"/>
  <c r="L892" i="10" s="1"/>
  <c r="I888" i="10"/>
  <c r="I892" i="10" s="1"/>
  <c r="D888" i="10"/>
  <c r="D892" i="10" s="1"/>
  <c r="O888" i="10"/>
  <c r="O892" i="10" s="1"/>
  <c r="B889" i="10"/>
  <c r="B890" i="10" s="1"/>
  <c r="B891" i="10" s="1"/>
  <c r="G888" i="10"/>
  <c r="G892" i="10" s="1"/>
  <c r="K888" i="10"/>
  <c r="K892" i="10" s="1"/>
  <c r="J868" i="10" a="1"/>
  <c r="J868" i="10" s="1"/>
  <c r="N881" i="10"/>
  <c r="I881" i="10"/>
  <c r="G881" i="10"/>
  <c r="D881" i="10"/>
  <c r="O881" i="10"/>
  <c r="F868" i="10" a="1"/>
  <c r="F868" i="10" s="1"/>
  <c r="K881" i="10"/>
  <c r="E881" i="10"/>
  <c r="F881" i="10"/>
  <c r="H879" i="10"/>
  <c r="B880" i="10"/>
  <c r="B881" i="10" s="1"/>
  <c r="B882" i="10" s="1"/>
  <c r="B883" i="10" s="1"/>
  <c r="B884" i="10" s="1"/>
  <c r="B885" i="10" s="1"/>
  <c r="B886" i="10" s="1"/>
  <c r="J879" i="10"/>
  <c r="N879" i="10"/>
  <c r="K879" i="10"/>
  <c r="O879" i="10"/>
  <c r="P879" i="10"/>
  <c r="D879" i="10"/>
  <c r="G879" i="10"/>
  <c r="L879" i="10"/>
  <c r="F879" i="10"/>
  <c r="I879" i="10"/>
  <c r="M879" i="10"/>
  <c r="E879" i="10"/>
  <c r="EJ66" i="9" a="1"/>
  <c r="EJ66" i="9" s="1"/>
  <c r="ER66" i="9" s="1"/>
  <c r="L79" i="24" s="1" a="1"/>
  <c r="L79" i="24" s="1"/>
  <c r="FV66" i="9" a="1"/>
  <c r="FV66" i="9" s="1"/>
  <c r="GD66" i="9" s="1"/>
  <c r="N79" i="24" s="1" a="1"/>
  <c r="N79" i="24" s="1"/>
  <c r="Z66" i="9" a="1"/>
  <c r="Z66" i="9" s="1"/>
  <c r="BL66" i="9" a="1"/>
  <c r="BL66" i="9" s="1"/>
  <c r="BT66" i="9" s="1"/>
  <c r="H79" i="24" s="1" a="1"/>
  <c r="H79" i="24" s="1"/>
  <c r="GO66" i="9" a="1"/>
  <c r="GO66" i="9" s="1"/>
  <c r="GW66" i="9" s="1"/>
  <c r="O79" i="24" s="1" a="1"/>
  <c r="O79" i="24" s="1"/>
  <c r="G1908" i="13"/>
  <c r="CB66" i="9" s="1" a="1"/>
  <c r="CB66" i="9" s="1"/>
  <c r="CD66" i="9" s="1"/>
  <c r="CL66" i="9" s="1"/>
  <c r="H1908" i="13"/>
  <c r="CU66" i="9" s="1" a="1"/>
  <c r="CU66" i="9" s="1"/>
  <c r="CW66" i="9" s="1"/>
  <c r="O1908" i="13"/>
  <c r="HX66" i="9" s="1" a="1"/>
  <c r="HX66" i="9" s="1"/>
  <c r="HZ66" i="9" s="1"/>
  <c r="H78" i="25" a="1"/>
  <c r="H78" i="25" s="1"/>
  <c r="E1908" i="13"/>
  <c r="AP66" i="9" s="1" a="1"/>
  <c r="AP66" i="9" s="1"/>
  <c r="AR66" i="9" s="1"/>
  <c r="AZ66" i="9" s="1"/>
  <c r="O78" i="25" a="1"/>
  <c r="O78" i="25" s="1"/>
  <c r="P78" i="25" a="1"/>
  <c r="P78" i="25" s="1"/>
  <c r="N1908" i="13"/>
  <c r="HE66" i="9" s="1" a="1"/>
  <c r="HE66" i="9" s="1"/>
  <c r="HG66" i="9" s="1"/>
  <c r="I78" i="25" a="1"/>
  <c r="I78" i="25" s="1"/>
  <c r="F78" i="25" a="1"/>
  <c r="F78" i="25" s="1"/>
  <c r="U65" i="9"/>
  <c r="D1874" i="13"/>
  <c r="W65" i="9" s="1" a="1"/>
  <c r="W65" i="9" s="1"/>
  <c r="Y65" i="9" s="1"/>
  <c r="AG65" i="9" s="1"/>
  <c r="E77" i="25" a="1"/>
  <c r="E77" i="25" s="1"/>
  <c r="V65" i="9"/>
  <c r="K1874" i="13"/>
  <c r="EZ65" i="9" s="1" a="1"/>
  <c r="EZ65" i="9" s="1"/>
  <c r="FB65" i="9" s="1"/>
  <c r="FJ65" i="9" s="1"/>
  <c r="CX64" i="9" a="1"/>
  <c r="CX64" i="9" s="1"/>
  <c r="DF64" i="9" s="1"/>
  <c r="J77" i="24" s="1" a="1"/>
  <c r="J77" i="24" s="1"/>
  <c r="I1874" i="13"/>
  <c r="DN65" i="9" s="1" a="1"/>
  <c r="DN65" i="9" s="1"/>
  <c r="DP65" i="9" s="1"/>
  <c r="DX65" i="9" s="1"/>
  <c r="HE65" i="9" a="1"/>
  <c r="HE65" i="9" s="1"/>
  <c r="HG65" i="9" s="1"/>
  <c r="HO65" i="9" s="1"/>
  <c r="GL65" i="9" a="1"/>
  <c r="GL65" i="9" s="1"/>
  <c r="GN65" i="9" s="1"/>
  <c r="N79" i="27"/>
  <c r="N80" i="27"/>
  <c r="K80" i="27"/>
  <c r="K79" i="27"/>
  <c r="G80" i="27"/>
  <c r="G79" i="27"/>
  <c r="F80" i="27"/>
  <c r="F79" i="27"/>
  <c r="O79" i="27"/>
  <c r="O80" i="27"/>
  <c r="BL64" i="9" a="1"/>
  <c r="BL64" i="9" s="1"/>
  <c r="BT64" i="9" s="1"/>
  <c r="H77" i="24" s="1" a="1"/>
  <c r="H77" i="24" s="1"/>
  <c r="FV64" i="9" a="1"/>
  <c r="FV64" i="9" s="1"/>
  <c r="GD64" i="9" s="1"/>
  <c r="N77" i="24" s="1" a="1"/>
  <c r="N77" i="24" s="1"/>
  <c r="GW64" i="9"/>
  <c r="O77" i="24" s="1" a="1"/>
  <c r="O77" i="24" s="1"/>
  <c r="DQ64" i="9" a="1"/>
  <c r="DQ64" i="9" s="1"/>
  <c r="DY64" i="9" s="1"/>
  <c r="K77" i="24" s="1" a="1"/>
  <c r="K77" i="24" s="1"/>
  <c r="CX65" i="9" a="1"/>
  <c r="CX65" i="9" s="1"/>
  <c r="DF65" i="9" s="1"/>
  <c r="J78" i="24" s="1" a="1"/>
  <c r="J78" i="24" s="1"/>
  <c r="CE65" i="9" a="1"/>
  <c r="CE65" i="9" s="1"/>
  <c r="CM65" i="9" s="1"/>
  <c r="I78" i="24" s="1" a="1"/>
  <c r="I78" i="24" s="1"/>
  <c r="IJ63" i="9"/>
  <c r="IK63" i="9" s="1"/>
  <c r="IA65" i="9" a="1"/>
  <c r="IA65" i="9" s="1"/>
  <c r="II65" i="9" s="1"/>
  <c r="Q78" i="24" s="1" a="1"/>
  <c r="Q78" i="24" s="1"/>
  <c r="Z64" i="9" a="1"/>
  <c r="Z64" i="9" s="1"/>
  <c r="AH64" i="9" s="1"/>
  <c r="F77" i="24" s="1" a="1"/>
  <c r="F77" i="24" s="1"/>
  <c r="FC64" i="9" a="1"/>
  <c r="FC64" i="9" s="1"/>
  <c r="FK64" i="9" s="1"/>
  <c r="M77" i="24" s="1" a="1"/>
  <c r="M77" i="24" s="1"/>
  <c r="IL64" i="9"/>
  <c r="IM64" i="9" s="1"/>
  <c r="AR65" i="9"/>
  <c r="AZ65" i="9" s="1"/>
  <c r="FU65" i="9"/>
  <c r="GC65" i="9" s="1"/>
  <c r="EQ65" i="9"/>
  <c r="EJ65" i="9" a="1"/>
  <c r="EJ65" i="9" s="1"/>
  <c r="AG63" i="9"/>
  <c r="O916" i="10" l="1"/>
  <c r="O920" i="10" s="1"/>
  <c r="N916" i="10"/>
  <c r="N920" i="10" s="1"/>
  <c r="H916" i="10"/>
  <c r="H920" i="10" s="1"/>
  <c r="F916" i="10"/>
  <c r="F920" i="10" s="1"/>
  <c r="G916" i="10"/>
  <c r="G920" i="10" s="1"/>
  <c r="M916" i="10"/>
  <c r="M920" i="10" s="1"/>
  <c r="B920" i="10"/>
  <c r="B921" i="10" s="1"/>
  <c r="E916" i="10"/>
  <c r="E920" i="10" s="1"/>
  <c r="L916" i="10"/>
  <c r="L920" i="10" s="1"/>
  <c r="D916" i="10"/>
  <c r="D920" i="10" s="1"/>
  <c r="B917" i="10"/>
  <c r="B918" i="10" s="1"/>
  <c r="B919" i="10" s="1"/>
  <c r="K916" i="10"/>
  <c r="K920" i="10" s="1"/>
  <c r="J916" i="10"/>
  <c r="J920" i="10" s="1"/>
  <c r="I916" i="10"/>
  <c r="I920" i="10" s="1"/>
  <c r="P916" i="10"/>
  <c r="P920" i="10" s="1"/>
  <c r="I923" i="10"/>
  <c r="D923" i="10"/>
  <c r="J923" i="10"/>
  <c r="H923" i="10"/>
  <c r="K923" i="10"/>
  <c r="N923" i="10"/>
  <c r="J929" i="10"/>
  <c r="M929" i="10"/>
  <c r="B930" i="10"/>
  <c r="P929" i="10"/>
  <c r="H929" i="10"/>
  <c r="F929" i="10"/>
  <c r="G929" i="10"/>
  <c r="N929" i="10"/>
  <c r="E929" i="10"/>
  <c r="O929" i="10"/>
  <c r="K929" i="10"/>
  <c r="L929" i="10"/>
  <c r="I929" i="10"/>
  <c r="D929" i="10"/>
  <c r="HD67" i="9"/>
  <c r="O79" i="25" a="1"/>
  <c r="O79" i="25" s="1"/>
  <c r="Q79" i="25" s="1"/>
  <c r="BH68" i="9"/>
  <c r="G80" i="25" a="1"/>
  <c r="G80" i="25" s="1"/>
  <c r="EF68" i="9"/>
  <c r="K80" i="25" a="1"/>
  <c r="K80" i="25" s="1"/>
  <c r="FR68" i="9"/>
  <c r="M80" i="25" a="1"/>
  <c r="M80" i="25" s="1"/>
  <c r="CA69" i="9"/>
  <c r="H81" i="25" a="1"/>
  <c r="H81" i="25" s="1"/>
  <c r="HW68" i="9"/>
  <c r="P80" i="25" a="1"/>
  <c r="P80" i="25" s="1"/>
  <c r="DM69" i="9"/>
  <c r="J81" i="25" a="1"/>
  <c r="J81" i="25" s="1"/>
  <c r="O2061" i="13" a="1"/>
  <c r="O2061" i="13" s="1"/>
  <c r="O2062" i="13" s="1"/>
  <c r="O2063" i="13" s="1"/>
  <c r="FA71" i="9" a="1"/>
  <c r="FA71" i="9" s="1"/>
  <c r="K2058" i="13" a="1"/>
  <c r="K2058" i="13" s="1"/>
  <c r="K2069" i="13" s="1" a="1"/>
  <c r="K2069" i="13" s="1"/>
  <c r="K2070" i="13" s="1"/>
  <c r="AS67" i="9" a="1"/>
  <c r="AS67" i="9" s="1"/>
  <c r="BA67" i="9" s="1"/>
  <c r="G80" i="24" s="1" a="1"/>
  <c r="G80" i="24" s="1"/>
  <c r="L882" i="10" a="1"/>
  <c r="L882" i="10" s="1"/>
  <c r="L884" i="10" s="1"/>
  <c r="L2125" i="13" s="1" a="1"/>
  <c r="L2125" i="13" s="1"/>
  <c r="O2037" i="13" a="1"/>
  <c r="O2037" i="13" s="1"/>
  <c r="O2038" i="13" s="1"/>
  <c r="O2039" i="13" s="1"/>
  <c r="O2042" i="13" s="1"/>
  <c r="K2037" i="13" a="1"/>
  <c r="K2037" i="13" s="1"/>
  <c r="K2038" i="13" s="1"/>
  <c r="K2039" i="13" s="1"/>
  <c r="K2040" i="13" s="1"/>
  <c r="H2059" i="13" a="1"/>
  <c r="H2059" i="13" s="1"/>
  <c r="H2060" i="13" s="1"/>
  <c r="H2063" i="13" s="1"/>
  <c r="O2066" i="13" a="1"/>
  <c r="O2066" i="13" s="1"/>
  <c r="O2067" i="13" s="1"/>
  <c r="O2068" i="13" s="1"/>
  <c r="K2061" i="13" a="1"/>
  <c r="K2061" i="13" s="1"/>
  <c r="K2062" i="13" s="1"/>
  <c r="K2063" i="13" s="1"/>
  <c r="E870" i="10"/>
  <c r="E2091" i="13" s="1" a="1"/>
  <c r="E2091" i="13" s="1"/>
  <c r="E2098" i="13" s="1" a="1"/>
  <c r="E2098" i="13" s="1"/>
  <c r="E2099" i="13" s="1"/>
  <c r="E869" i="10"/>
  <c r="E2090" i="13" s="1" a="1"/>
  <c r="E2090" i="13" s="1"/>
  <c r="E2093" i="13" s="1" a="1"/>
  <c r="E2093" i="13" s="1"/>
  <c r="E2094" i="13" s="1"/>
  <c r="F2066" i="13" a="1"/>
  <c r="F2066" i="13" s="1"/>
  <c r="F2067" i="13" s="1"/>
  <c r="F2068" i="13" s="1"/>
  <c r="E872" i="10"/>
  <c r="E2092" i="13" s="1" a="1"/>
  <c r="E2092" i="13" s="1"/>
  <c r="I2008" i="13"/>
  <c r="CP71" i="9" a="1"/>
  <c r="CP71" i="9" s="1"/>
  <c r="CV71" i="9" a="1"/>
  <c r="CV71" i="9" s="1"/>
  <c r="I2061" i="13" a="1"/>
  <c r="I2061" i="13" s="1"/>
  <c r="I2062" i="13" s="1"/>
  <c r="I2063" i="13" s="1"/>
  <c r="G872" i="10"/>
  <c r="BW72" i="9" s="1" a="1"/>
  <c r="BW72" i="9" s="1"/>
  <c r="K871" i="10"/>
  <c r="K872" i="10"/>
  <c r="FA72" i="9" s="1" a="1"/>
  <c r="FA72" i="9" s="1"/>
  <c r="D870" i="10"/>
  <c r="D2091" i="13" s="1" a="1"/>
  <c r="D2091" i="13" s="1"/>
  <c r="D2100" i="13" s="1" a="1"/>
  <c r="D2100" i="13" s="1"/>
  <c r="D2101" i="13" s="1"/>
  <c r="D869" i="10"/>
  <c r="D2090" i="13" s="1" a="1"/>
  <c r="D2090" i="13" s="1"/>
  <c r="D2093" i="13" s="1" a="1"/>
  <c r="D2093" i="13" s="1"/>
  <c r="D2094" i="13" s="1"/>
  <c r="D872" i="10"/>
  <c r="R72" i="9" s="1" a="1"/>
  <c r="R72" i="9" s="1"/>
  <c r="E1976" i="13"/>
  <c r="AP68" i="9" s="1" a="1"/>
  <c r="AP68" i="9" s="1"/>
  <c r="AR68" i="9" s="1"/>
  <c r="AZ68" i="9" s="1"/>
  <c r="K869" i="10"/>
  <c r="K2090" i="13" s="1" a="1"/>
  <c r="K2090" i="13" s="1"/>
  <c r="K2095" i="13" s="1" a="1"/>
  <c r="K2095" i="13" s="1"/>
  <c r="K2096" i="13" s="1"/>
  <c r="FV67" i="9" a="1"/>
  <c r="FV67" i="9" s="1"/>
  <c r="GD67" i="9" s="1"/>
  <c r="N80" i="24" s="1" a="1"/>
  <c r="N80" i="24" s="1"/>
  <c r="H882" i="10" a="1"/>
  <c r="H882" i="10" s="1"/>
  <c r="H883" i="10" s="1"/>
  <c r="H2124" i="13" s="1" a="1"/>
  <c r="H2124" i="13" s="1"/>
  <c r="L871" i="10"/>
  <c r="BD71" i="9" a="1"/>
  <c r="BD71" i="9" s="1"/>
  <c r="L870" i="10"/>
  <c r="L2091" i="13" s="1" a="1"/>
  <c r="L2091" i="13" s="1"/>
  <c r="L2098" i="13" s="1" a="1"/>
  <c r="L2098" i="13" s="1"/>
  <c r="L2099" i="13" s="1"/>
  <c r="L2066" i="13" a="1"/>
  <c r="L2066" i="13" s="1"/>
  <c r="L2067" i="13" s="1"/>
  <c r="L2068" i="13" s="1"/>
  <c r="F2061" i="13" a="1"/>
  <c r="F2061" i="13" s="1"/>
  <c r="F2062" i="13" s="1"/>
  <c r="F2063" i="13" s="1"/>
  <c r="BJ71" i="9" a="1"/>
  <c r="BJ71" i="9" s="1"/>
  <c r="L872" i="10"/>
  <c r="L2092" i="13" s="1" a="1"/>
  <c r="L2092" i="13" s="1"/>
  <c r="I871" i="10"/>
  <c r="D2061" i="13" a="1"/>
  <c r="D2061" i="13" s="1"/>
  <c r="D2062" i="13" s="1"/>
  <c r="D2063" i="13" s="1"/>
  <c r="N869" i="10"/>
  <c r="N2090" i="13" s="1" a="1"/>
  <c r="N2090" i="13" s="1"/>
  <c r="N2095" i="13" s="1" a="1"/>
  <c r="N2095" i="13" s="1"/>
  <c r="N2096" i="13" s="1"/>
  <c r="N871" i="10"/>
  <c r="R71" i="9" a="1"/>
  <c r="R71" i="9" s="1"/>
  <c r="X71" i="9" a="1"/>
  <c r="X71" i="9" s="1"/>
  <c r="DI71" i="9" a="1"/>
  <c r="DI71" i="9" s="1"/>
  <c r="DO71" i="9" a="1"/>
  <c r="DO71" i="9" s="1"/>
  <c r="N870" i="10"/>
  <c r="N2091" i="13" s="1" a="1"/>
  <c r="N2091" i="13" s="1"/>
  <c r="N2098" i="13" s="1" a="1"/>
  <c r="N2098" i="13" s="1"/>
  <c r="N2099" i="13" s="1"/>
  <c r="I2066" i="13" a="1"/>
  <c r="I2066" i="13" s="1"/>
  <c r="I2067" i="13" s="1"/>
  <c r="I2068" i="13" s="1"/>
  <c r="I870" i="10"/>
  <c r="I2091" i="13" s="1" a="1"/>
  <c r="I2091" i="13" s="1"/>
  <c r="I2098" i="13" s="1" a="1"/>
  <c r="I2098" i="13" s="1"/>
  <c r="I2099" i="13" s="1"/>
  <c r="I872" i="10"/>
  <c r="DI72" i="9" s="1" a="1"/>
  <c r="DI72" i="9" s="1"/>
  <c r="FN71" i="9" a="1"/>
  <c r="FN71" i="9" s="1"/>
  <c r="G2008" i="13"/>
  <c r="FT71" i="9" a="1"/>
  <c r="FT71" i="9" s="1"/>
  <c r="G2006" i="13"/>
  <c r="G869" i="10"/>
  <c r="G2090" i="13" s="1" a="1"/>
  <c r="G2090" i="13" s="1"/>
  <c r="G2093" i="13" s="1" a="1"/>
  <c r="G2093" i="13" s="1"/>
  <c r="G2094" i="13" s="1"/>
  <c r="M882" i="10" a="1"/>
  <c r="M882" i="10" s="1"/>
  <c r="M884" i="10" s="1"/>
  <c r="M2125" i="13" s="1" a="1"/>
  <c r="M2125" i="13" s="1"/>
  <c r="M871" i="10"/>
  <c r="M872" i="10"/>
  <c r="GM72" i="9" s="1" a="1"/>
  <c r="GM72" i="9" s="1"/>
  <c r="H2008" i="13"/>
  <c r="H2010" i="13" s="1"/>
  <c r="CU69" i="9" s="1" a="1"/>
  <c r="CU69" i="9" s="1"/>
  <c r="M870" i="10"/>
  <c r="M2091" i="13" s="1" a="1"/>
  <c r="M2091" i="13" s="1"/>
  <c r="M2098" i="13" s="1" a="1"/>
  <c r="M2098" i="13" s="1"/>
  <c r="M2099" i="13" s="1"/>
  <c r="G871" i="10"/>
  <c r="F2008" i="13"/>
  <c r="F2010" i="13" s="1"/>
  <c r="BI69" i="9" s="1" a="1"/>
  <c r="BI69" i="9" s="1"/>
  <c r="N2064" i="13" a="1"/>
  <c r="N2064" i="13" s="1"/>
  <c r="N2065" i="13" s="1"/>
  <c r="N2068" i="13" s="1"/>
  <c r="N2061" i="13" a="1"/>
  <c r="N2061" i="13" s="1"/>
  <c r="N2062" i="13" s="1"/>
  <c r="N2063" i="13" s="1"/>
  <c r="CX67" i="9" a="1"/>
  <c r="CX67" i="9" s="1"/>
  <c r="DF67" i="9" s="1"/>
  <c r="J80" i="24" s="1" a="1"/>
  <c r="J80" i="24" s="1"/>
  <c r="I2006" i="13"/>
  <c r="I2010" i="13" s="1"/>
  <c r="DN69" i="9" s="1" a="1"/>
  <c r="DN69" i="9" s="1"/>
  <c r="DP69" i="9" s="1"/>
  <c r="DX69" i="9" s="1"/>
  <c r="M1976" i="13"/>
  <c r="GL68" i="9" s="1" a="1"/>
  <c r="GL68" i="9" s="1"/>
  <c r="GN68" i="9" s="1"/>
  <c r="GV68" i="9" s="1"/>
  <c r="H872" i="10"/>
  <c r="CV72" i="9" s="1" a="1"/>
  <c r="CV72" i="9" s="1"/>
  <c r="H870" i="10"/>
  <c r="H2091" i="13" s="1" a="1"/>
  <c r="H2091" i="13" s="1"/>
  <c r="H2098" i="13" s="1" a="1"/>
  <c r="H2098" i="13" s="1"/>
  <c r="H2099" i="13" s="1"/>
  <c r="H869" i="10"/>
  <c r="H2090" i="13" s="1" a="1"/>
  <c r="H2090" i="13" s="1"/>
  <c r="H2093" i="13" s="1" a="1"/>
  <c r="H2093" i="13" s="1"/>
  <c r="H2094" i="13" s="1"/>
  <c r="CR69" i="9" a="1"/>
  <c r="CR69" i="9" s="1"/>
  <c r="M895" i="10"/>
  <c r="AL70" i="9" a="1"/>
  <c r="AL70" i="9" s="1"/>
  <c r="BF69" i="9" a="1"/>
  <c r="BF69" i="9" s="1"/>
  <c r="FU68" i="9"/>
  <c r="GC68" i="9" s="1"/>
  <c r="ED69" i="9" a="1"/>
  <c r="ED69" i="9" s="1"/>
  <c r="FQ68" i="9"/>
  <c r="HZ68" i="9"/>
  <c r="IH68" i="9" s="1"/>
  <c r="FB68" i="9"/>
  <c r="FJ68" i="9" s="1"/>
  <c r="J1976" i="13"/>
  <c r="EG68" i="9" s="1" a="1"/>
  <c r="EG68" i="9" s="1"/>
  <c r="EI68" i="9" s="1"/>
  <c r="EQ68" i="9" s="1"/>
  <c r="J2008" i="13"/>
  <c r="J2010" i="13" s="1"/>
  <c r="EG69" i="9" s="1" a="1"/>
  <c r="EG69" i="9" s="1"/>
  <c r="FO70" i="9" a="1"/>
  <c r="FO70" i="9" s="1"/>
  <c r="O2005" i="13"/>
  <c r="O2006" i="13" s="1"/>
  <c r="I895" i="10"/>
  <c r="L2008" i="13"/>
  <c r="L2010" i="13" s="1"/>
  <c r="FS69" i="9" s="1" a="1"/>
  <c r="FS69" i="9" s="1"/>
  <c r="GH69" i="9" a="1"/>
  <c r="GH69" i="9" s="1"/>
  <c r="FP69" i="9" a="1"/>
  <c r="FP69" i="9" s="1"/>
  <c r="S70" i="9" a="1"/>
  <c r="S70" i="9" s="1"/>
  <c r="AM69" i="9" a="1"/>
  <c r="AM69" i="9" s="1"/>
  <c r="J882" i="10" a="1"/>
  <c r="J882" i="10" s="1"/>
  <c r="J884" i="10" s="1"/>
  <c r="J2125" i="13" s="1" a="1"/>
  <c r="J2125" i="13" s="1"/>
  <c r="E2006" i="13"/>
  <c r="E2010" i="13" s="1"/>
  <c r="AP69" i="9" s="1" a="1"/>
  <c r="AP69" i="9" s="1"/>
  <c r="O895" i="10"/>
  <c r="HT69" i="9" a="1"/>
  <c r="HT69" i="9" s="1"/>
  <c r="Z67" i="9" a="1"/>
  <c r="Z67" i="9" s="1"/>
  <c r="AH67" i="9" s="1"/>
  <c r="F80" i="24" s="1" a="1"/>
  <c r="F80" i="24" s="1"/>
  <c r="F2039" i="13"/>
  <c r="F2040" i="13" s="1"/>
  <c r="BX70" i="9" a="1"/>
  <c r="BX70" i="9" s="1"/>
  <c r="DP68" i="9"/>
  <c r="DX68" i="9" s="1"/>
  <c r="EJ67" i="9" a="1"/>
  <c r="EJ67" i="9" s="1"/>
  <c r="ER67" i="9" s="1"/>
  <c r="L80" i="24" s="1" a="1"/>
  <c r="L80" i="24" s="1"/>
  <c r="N895" i="10"/>
  <c r="G882" i="10" a="1"/>
  <c r="G882" i="10" s="1"/>
  <c r="G884" i="10" s="1"/>
  <c r="G2125" i="13" s="1" a="1"/>
  <c r="G2125" i="13" s="1"/>
  <c r="N1976" i="13"/>
  <c r="HE68" i="9" s="1" a="1"/>
  <c r="HE68" i="9" s="1"/>
  <c r="HG68" i="9" s="1"/>
  <c r="HO68" i="9" s="1"/>
  <c r="J2034" i="13"/>
  <c r="G1976" i="13"/>
  <c r="CB68" i="9" s="1" a="1"/>
  <c r="CB68" i="9" s="1"/>
  <c r="CD68" i="9" s="1"/>
  <c r="CL68" i="9" s="1"/>
  <c r="G895" i="10"/>
  <c r="BE70" i="9" a="1"/>
  <c r="BE70" i="9" s="1"/>
  <c r="HG67" i="9"/>
  <c r="HO67" i="9" s="1"/>
  <c r="IL67" i="9" s="1"/>
  <c r="IM67" i="9" s="1"/>
  <c r="E882" i="10" a="1"/>
  <c r="E882" i="10" s="1"/>
  <c r="E884" i="10" s="1"/>
  <c r="E2125" i="13" s="1" a="1"/>
  <c r="E2125" i="13" s="1"/>
  <c r="BK68" i="9"/>
  <c r="BS68" i="9" s="1"/>
  <c r="F882" i="10" a="1"/>
  <c r="F882" i="10" s="1"/>
  <c r="F885" i="10" s="1"/>
  <c r="P895" i="10"/>
  <c r="F895" i="10"/>
  <c r="L895" i="10"/>
  <c r="BL67" i="9" a="1"/>
  <c r="BL67" i="9" s="1"/>
  <c r="BT67" i="9" s="1"/>
  <c r="H80" i="24" s="1" a="1"/>
  <c r="H80" i="24" s="1"/>
  <c r="N2034" i="13"/>
  <c r="H2034" i="13"/>
  <c r="DQ67" i="9" a="1"/>
  <c r="DQ67" i="9" s="1"/>
  <c r="DY67" i="9" s="1"/>
  <c r="K80" i="24" s="1" a="1"/>
  <c r="K80" i="24" s="1"/>
  <c r="V68" i="9"/>
  <c r="U68" i="9"/>
  <c r="EY68" i="9"/>
  <c r="EX68" i="9"/>
  <c r="K2006" i="13"/>
  <c r="K2010" i="13" s="1"/>
  <c r="EZ69" i="9" s="1" a="1"/>
  <c r="EZ69" i="9" s="1"/>
  <c r="EW69" i="9" a="1"/>
  <c r="EW69" i="9" s="1"/>
  <c r="L81" i="25" s="1" a="1"/>
  <c r="L81" i="25" s="1"/>
  <c r="D2006" i="13"/>
  <c r="T69" i="9" a="1"/>
  <c r="T69" i="9" s="1"/>
  <c r="CA68" i="9"/>
  <c r="BZ68" i="9"/>
  <c r="EV70" i="9" a="1"/>
  <c r="EV70" i="9" s="1"/>
  <c r="I2034" i="13"/>
  <c r="GO67" i="9" a="1"/>
  <c r="GO67" i="9" s="1"/>
  <c r="GW67" i="9" s="1"/>
  <c r="O80" i="24" s="1" a="1"/>
  <c r="O80" i="24" s="1"/>
  <c r="HT70" i="9" a="1"/>
  <c r="HT70" i="9" s="1"/>
  <c r="HV68" i="9"/>
  <c r="N2006" i="13"/>
  <c r="N2010" i="13" s="1"/>
  <c r="HE69" i="9" s="1" a="1"/>
  <c r="HE69" i="9" s="1"/>
  <c r="HB69" i="9" a="1"/>
  <c r="HB69" i="9" s="1"/>
  <c r="O81" i="25" s="1" a="1"/>
  <c r="O81" i="25" s="1"/>
  <c r="BG68" i="9"/>
  <c r="L2039" i="13"/>
  <c r="L2042" i="13" s="1"/>
  <c r="M2029" i="13"/>
  <c r="CW68" i="9"/>
  <c r="DE68" i="9" s="1"/>
  <c r="DM68" i="9"/>
  <c r="DL68" i="9"/>
  <c r="FC67" i="9" a="1"/>
  <c r="FC67" i="9" s="1"/>
  <c r="FK67" i="9" s="1"/>
  <c r="M80" i="24" s="1" a="1"/>
  <c r="M80" i="24" s="1"/>
  <c r="HC67" i="9"/>
  <c r="GK68" i="9"/>
  <c r="GJ68" i="9"/>
  <c r="CT68" i="9"/>
  <c r="CS68" i="9"/>
  <c r="Y68" i="9"/>
  <c r="AG68" i="9" s="1"/>
  <c r="HD68" i="9"/>
  <c r="HC68" i="9"/>
  <c r="BZ69" i="9"/>
  <c r="D2068" i="13"/>
  <c r="D2039" i="13"/>
  <c r="DL69" i="9"/>
  <c r="EE68" i="9"/>
  <c r="IA67" i="9" a="1"/>
  <c r="IA67" i="9" s="1"/>
  <c r="II67" i="9" s="1"/>
  <c r="Q80" i="24" s="1" a="1"/>
  <c r="Q80" i="24" s="1"/>
  <c r="CE67" i="9" a="1"/>
  <c r="CE67" i="9" s="1"/>
  <c r="CM67" i="9" s="1"/>
  <c r="I80" i="24" s="1" a="1"/>
  <c r="I80" i="24" s="1"/>
  <c r="N2035" i="13" a="1"/>
  <c r="N2035" i="13" s="1"/>
  <c r="N2036" i="13" s="1"/>
  <c r="N2037" i="13" a="1"/>
  <c r="N2037" i="13" s="1"/>
  <c r="N2038" i="13" s="1"/>
  <c r="G2059" i="13" a="1"/>
  <c r="G2059" i="13" s="1"/>
  <c r="G2060" i="13" s="1"/>
  <c r="G2061" i="13" a="1"/>
  <c r="G2061" i="13" s="1"/>
  <c r="G2062" i="13" s="1"/>
  <c r="J2059" i="13" a="1"/>
  <c r="J2059" i="13" s="1"/>
  <c r="J2060" i="13" s="1"/>
  <c r="J2061" i="13" a="1"/>
  <c r="J2061" i="13" s="1"/>
  <c r="J2062" i="13" s="1"/>
  <c r="E2059" i="13" a="1"/>
  <c r="E2059" i="13" s="1"/>
  <c r="E2060" i="13" s="1"/>
  <c r="E2061" i="13" a="1"/>
  <c r="E2061" i="13" s="1"/>
  <c r="E2062" i="13" s="1"/>
  <c r="M2005" i="13"/>
  <c r="M2008" i="13" s="1"/>
  <c r="L2063" i="13"/>
  <c r="L2069" i="13" a="1"/>
  <c r="L2069" i="13" s="1"/>
  <c r="L2070" i="13" s="1"/>
  <c r="L2071" i="13" a="1"/>
  <c r="L2071" i="13" s="1"/>
  <c r="L2072" i="13" s="1"/>
  <c r="D2008" i="13"/>
  <c r="G2064" i="13" a="1"/>
  <c r="G2064" i="13" s="1"/>
  <c r="G2065" i="13" s="1"/>
  <c r="G2066" i="13" a="1"/>
  <c r="G2066" i="13" s="1"/>
  <c r="G2067" i="13" s="1"/>
  <c r="J2058" i="13" a="1"/>
  <c r="J2058" i="13" s="1"/>
  <c r="EH71" i="9" a="1"/>
  <c r="EH71" i="9" s="1"/>
  <c r="EB71" i="9" a="1"/>
  <c r="EB71" i="9" s="1"/>
  <c r="L2093" i="13" a="1"/>
  <c r="L2093" i="13" s="1"/>
  <c r="L2094" i="13" s="1"/>
  <c r="L2095" i="13" a="1"/>
  <c r="L2095" i="13" s="1"/>
  <c r="L2096" i="13" s="1"/>
  <c r="K2098" i="13" a="1"/>
  <c r="K2098" i="13" s="1"/>
  <c r="K2099" i="13" s="1"/>
  <c r="K2100" i="13" a="1"/>
  <c r="K2100" i="13" s="1"/>
  <c r="K2101" i="13" s="1"/>
  <c r="H2068" i="13"/>
  <c r="I2029" i="13"/>
  <c r="M2034" i="13"/>
  <c r="J2029" i="13"/>
  <c r="H2029" i="13"/>
  <c r="J2064" i="13" a="1"/>
  <c r="J2064" i="13" s="1"/>
  <c r="J2065" i="13" s="1"/>
  <c r="J2066" i="13" a="1"/>
  <c r="J2066" i="13" s="1"/>
  <c r="J2067" i="13" s="1"/>
  <c r="N2092" i="13" a="1"/>
  <c r="N2092" i="13" s="1"/>
  <c r="HF72" i="9" a="1"/>
  <c r="HF72" i="9" s="1"/>
  <c r="GZ72" i="9" a="1"/>
  <c r="GZ72" i="9" s="1"/>
  <c r="G2098" i="13" a="1"/>
  <c r="G2098" i="13" s="1"/>
  <c r="G2099" i="13" s="1"/>
  <c r="G2100" i="13" a="1"/>
  <c r="G2100" i="13" s="1"/>
  <c r="G2101" i="13" s="1"/>
  <c r="M2059" i="13" a="1"/>
  <c r="M2059" i="13" s="1"/>
  <c r="M2060" i="13" s="1"/>
  <c r="M2061" i="13" a="1"/>
  <c r="M2061" i="13" s="1"/>
  <c r="M2062" i="13" s="1"/>
  <c r="N2069" i="13" a="1"/>
  <c r="N2069" i="13" s="1"/>
  <c r="N2070" i="13" s="1"/>
  <c r="N2071" i="13" a="1"/>
  <c r="N2071" i="13" s="1"/>
  <c r="N2072" i="13" s="1"/>
  <c r="J2035" i="13" a="1"/>
  <c r="J2035" i="13" s="1"/>
  <c r="J2036" i="13" s="1"/>
  <c r="J2037" i="13" a="1"/>
  <c r="J2037" i="13" s="1"/>
  <c r="J2038" i="13" s="1"/>
  <c r="G2039" i="13"/>
  <c r="G2042" i="13" s="1"/>
  <c r="M2035" i="13" a="1"/>
  <c r="M2035" i="13" s="1"/>
  <c r="M2036" i="13" s="1"/>
  <c r="M2037" i="13" a="1"/>
  <c r="M2037" i="13" s="1"/>
  <c r="M2038" i="13" s="1"/>
  <c r="O2069" i="13" a="1"/>
  <c r="O2069" i="13" s="1"/>
  <c r="O2070" i="13" s="1"/>
  <c r="O2071" i="13" a="1"/>
  <c r="O2071" i="13" s="1"/>
  <c r="O2072" i="13" s="1"/>
  <c r="E2058" i="13" a="1"/>
  <c r="E2058" i="13" s="1"/>
  <c r="AQ71" i="9" a="1"/>
  <c r="AQ71" i="9" s="1"/>
  <c r="AK71" i="9" a="1"/>
  <c r="AK71" i="9" s="1"/>
  <c r="O2098" i="13" a="1"/>
  <c r="O2098" i="13" s="1"/>
  <c r="O2099" i="13" s="1"/>
  <c r="O2100" i="13" a="1"/>
  <c r="O2100" i="13" s="1"/>
  <c r="O2101" i="13" s="1"/>
  <c r="M2058" i="13" a="1"/>
  <c r="M2058" i="13" s="1"/>
  <c r="GM71" i="9" a="1"/>
  <c r="GM71" i="9" s="1"/>
  <c r="GG71" i="9" a="1"/>
  <c r="GG71" i="9" s="1"/>
  <c r="H2035" i="13" a="1"/>
  <c r="H2035" i="13" s="1"/>
  <c r="H2036" i="13" s="1"/>
  <c r="H2037" i="13" a="1"/>
  <c r="H2037" i="13" s="1"/>
  <c r="H2038" i="13" s="1"/>
  <c r="M2064" i="13" a="1"/>
  <c r="M2064" i="13" s="1"/>
  <c r="M2065" i="13" s="1"/>
  <c r="M2066" i="13" a="1"/>
  <c r="M2066" i="13" s="1"/>
  <c r="M2067" i="13" s="1"/>
  <c r="O2093" i="13" a="1"/>
  <c r="O2093" i="13" s="1"/>
  <c r="O2094" i="13" s="1"/>
  <c r="O2095" i="13" a="1"/>
  <c r="O2095" i="13" s="1"/>
  <c r="O2096" i="13" s="1"/>
  <c r="M2093" i="13" a="1"/>
  <c r="M2093" i="13" s="1"/>
  <c r="M2094" i="13" s="1"/>
  <c r="M2095" i="13" a="1"/>
  <c r="M2095" i="13" s="1"/>
  <c r="M2096" i="13" s="1"/>
  <c r="E2039" i="13"/>
  <c r="H2069" i="13" a="1"/>
  <c r="H2069" i="13" s="1"/>
  <c r="H2070" i="13" s="1"/>
  <c r="H2071" i="13" a="1"/>
  <c r="H2071" i="13" s="1"/>
  <c r="H2072" i="13" s="1"/>
  <c r="F2069" i="13" a="1"/>
  <c r="F2069" i="13" s="1"/>
  <c r="F2070" i="13" s="1"/>
  <c r="F2071" i="13" a="1"/>
  <c r="F2071" i="13" s="1"/>
  <c r="F2072" i="13" s="1"/>
  <c r="N2029" i="13"/>
  <c r="O2092" i="13" a="1"/>
  <c r="O2092" i="13" s="1"/>
  <c r="HY72" i="9" a="1"/>
  <c r="HY72" i="9" s="1"/>
  <c r="HS72" i="9" a="1"/>
  <c r="HS72" i="9" s="1"/>
  <c r="G2058" i="13" a="1"/>
  <c r="G2058" i="13" s="1"/>
  <c r="CC71" i="9" a="1"/>
  <c r="CC71" i="9" s="1"/>
  <c r="BW71" i="9" a="1"/>
  <c r="BW71" i="9" s="1"/>
  <c r="E2064" i="13" a="1"/>
  <c r="E2064" i="13" s="1"/>
  <c r="E2065" i="13" s="1"/>
  <c r="E2066" i="13" a="1"/>
  <c r="E2066" i="13" s="1"/>
  <c r="E2067" i="13" s="1"/>
  <c r="I2093" i="13" a="1"/>
  <c r="I2093" i="13" s="1"/>
  <c r="I2094" i="13" s="1"/>
  <c r="I2095" i="13" a="1"/>
  <c r="I2095" i="13" s="1"/>
  <c r="I2096" i="13" s="1"/>
  <c r="I2069" i="13" a="1"/>
  <c r="I2069" i="13" s="1"/>
  <c r="I2070" i="13" s="1"/>
  <c r="I2071" i="13" a="1"/>
  <c r="I2071" i="13" s="1"/>
  <c r="I2072" i="13" s="1"/>
  <c r="K2068" i="13"/>
  <c r="I2035" i="13" a="1"/>
  <c r="I2035" i="13" s="1"/>
  <c r="I2036" i="13" s="1"/>
  <c r="I2037" i="13" a="1"/>
  <c r="I2037" i="13" s="1"/>
  <c r="I2038" i="13" s="1"/>
  <c r="D2069" i="13" a="1"/>
  <c r="D2069" i="13" s="1"/>
  <c r="D2070" i="13" s="1"/>
  <c r="D2071" i="13" a="1"/>
  <c r="D2071" i="13" s="1"/>
  <c r="D2072" i="13" s="1"/>
  <c r="P856" i="10"/>
  <c r="P858" i="10"/>
  <c r="P855" i="10"/>
  <c r="P857" i="10"/>
  <c r="F870" i="10"/>
  <c r="F2091" i="13" s="1" a="1"/>
  <c r="F2091" i="13" s="1"/>
  <c r="F872" i="10"/>
  <c r="F869" i="10"/>
  <c r="F2090" i="13" s="1" a="1"/>
  <c r="F2090" i="13" s="1"/>
  <c r="F871" i="10"/>
  <c r="H885" i="10"/>
  <c r="H886" i="10"/>
  <c r="J870" i="10"/>
  <c r="J2091" i="13" s="1" a="1"/>
  <c r="J2091" i="13" s="1"/>
  <c r="J869" i="10"/>
  <c r="J2090" i="13" s="1" a="1"/>
  <c r="J2090" i="13" s="1"/>
  <c r="J872" i="10"/>
  <c r="J871" i="10"/>
  <c r="E895" i="10"/>
  <c r="K895" i="10"/>
  <c r="F893" i="10"/>
  <c r="F894" i="10" s="1"/>
  <c r="BC74" i="9" s="1" a="1"/>
  <c r="BC74" i="9" s="1"/>
  <c r="G893" i="10"/>
  <c r="G894" i="10" s="1"/>
  <c r="BV74" i="9" s="1" a="1"/>
  <c r="BV74" i="9" s="1"/>
  <c r="B894" i="10"/>
  <c r="B895" i="10" s="1"/>
  <c r="B896" i="10" s="1"/>
  <c r="B897" i="10" s="1"/>
  <c r="B898" i="10" s="1"/>
  <c r="B899" i="10" s="1"/>
  <c r="B900" i="10" s="1"/>
  <c r="K893" i="10"/>
  <c r="K894" i="10" s="1"/>
  <c r="ET74" i="9" s="1" a="1"/>
  <c r="ET74" i="9" s="1"/>
  <c r="N893" i="10"/>
  <c r="J893" i="10"/>
  <c r="J894" i="10" s="1"/>
  <c r="EA74" i="9" s="1" a="1"/>
  <c r="EA74" i="9" s="1"/>
  <c r="I893" i="10"/>
  <c r="I894" i="10" s="1"/>
  <c r="DH74" i="9" s="1" a="1"/>
  <c r="DH74" i="9" s="1"/>
  <c r="M893" i="10"/>
  <c r="M894" i="10" s="1"/>
  <c r="GF74" i="9" s="1" a="1"/>
  <c r="GF74" i="9" s="1"/>
  <c r="P893" i="10"/>
  <c r="P894" i="10" s="1"/>
  <c r="L893" i="10"/>
  <c r="O893" i="10"/>
  <c r="O894" i="10" s="1"/>
  <c r="HR74" i="9" s="1" a="1"/>
  <c r="HR74" i="9" s="1"/>
  <c r="E893" i="10"/>
  <c r="E894" i="10" s="1"/>
  <c r="AJ74" i="9" s="1" a="1"/>
  <c r="AJ74" i="9" s="1"/>
  <c r="H893" i="10"/>
  <c r="H894" i="10" s="1"/>
  <c r="CO74" i="9" s="1" a="1"/>
  <c r="CO74" i="9" s="1"/>
  <c r="D893" i="10"/>
  <c r="D894" i="10" s="1"/>
  <c r="Q74" i="9" s="1" a="1"/>
  <c r="Q74" i="9" s="1"/>
  <c r="N902" i="10"/>
  <c r="N906" i="10" s="1"/>
  <c r="J902" i="10"/>
  <c r="J906" i="10" s="1"/>
  <c r="F902" i="10"/>
  <c r="F906" i="10" s="1"/>
  <c r="I902" i="10"/>
  <c r="I906" i="10" s="1"/>
  <c r="M902" i="10"/>
  <c r="M906" i="10" s="1"/>
  <c r="P902" i="10"/>
  <c r="P906" i="10" s="1"/>
  <c r="E902" i="10"/>
  <c r="E906" i="10" s="1"/>
  <c r="O902" i="10"/>
  <c r="O906" i="10" s="1"/>
  <c r="L902" i="10"/>
  <c r="L906" i="10" s="1"/>
  <c r="H902" i="10"/>
  <c r="H906" i="10" s="1"/>
  <c r="D902" i="10"/>
  <c r="D906" i="10" s="1"/>
  <c r="B906" i="10"/>
  <c r="B907" i="10" s="1"/>
  <c r="B903" i="10"/>
  <c r="B904" i="10" s="1"/>
  <c r="B905" i="10" s="1"/>
  <c r="G902" i="10"/>
  <c r="G906" i="10" s="1"/>
  <c r="K902" i="10"/>
  <c r="K906" i="10" s="1"/>
  <c r="O882" i="10" a="1"/>
  <c r="O882" i="10" s="1"/>
  <c r="H895" i="10"/>
  <c r="N882" i="10" a="1"/>
  <c r="N882" i="10" s="1"/>
  <c r="K882" i="10" a="1"/>
  <c r="K882" i="10" s="1"/>
  <c r="D882" i="10" a="1"/>
  <c r="D882" i="10" s="1"/>
  <c r="J895" i="10"/>
  <c r="D895" i="10"/>
  <c r="I882" i="10" a="1"/>
  <c r="I882" i="10" s="1"/>
  <c r="AH66" i="9"/>
  <c r="F79" i="24" s="1" a="1"/>
  <c r="F79" i="24" s="1"/>
  <c r="HO66" i="9"/>
  <c r="HH66" i="9" a="1"/>
  <c r="HH66" i="9" s="1"/>
  <c r="DE66" i="9"/>
  <c r="CX66" i="9" a="1"/>
  <c r="CX66" i="9" s="1"/>
  <c r="AS66" i="9" a="1"/>
  <c r="AS66" i="9" s="1"/>
  <c r="IH66" i="9"/>
  <c r="IA66" i="9" a="1"/>
  <c r="IA66" i="9" s="1"/>
  <c r="CE66" i="9" a="1"/>
  <c r="CE66" i="9" s="1"/>
  <c r="CM66" i="9" s="1"/>
  <c r="I79" i="24" s="1" a="1"/>
  <c r="I79" i="24" s="1"/>
  <c r="Q78" i="25"/>
  <c r="Q77" i="25"/>
  <c r="FC65" i="9" a="1"/>
  <c r="FC65" i="9" s="1"/>
  <c r="FK65" i="9" s="1"/>
  <c r="M78" i="24" s="1" a="1"/>
  <c r="M78" i="24" s="1"/>
  <c r="DQ65" i="9" a="1"/>
  <c r="DQ65" i="9" s="1"/>
  <c r="DY65" i="9" s="1"/>
  <c r="K78" i="24" s="1" a="1"/>
  <c r="K78" i="24" s="1"/>
  <c r="HH65" i="9" a="1"/>
  <c r="HH65" i="9" s="1"/>
  <c r="HP65" i="9" s="1"/>
  <c r="P78" i="24" s="1" a="1"/>
  <c r="P78" i="24" s="1"/>
  <c r="GV65" i="9"/>
  <c r="GO65" i="9" a="1"/>
  <c r="GO65" i="9" s="1"/>
  <c r="AS65" i="9" a="1"/>
  <c r="AS65" i="9" s="1"/>
  <c r="BA65" i="9" s="1"/>
  <c r="G78" i="24" s="1" a="1"/>
  <c r="G78" i="24" s="1"/>
  <c r="FV65" i="9" a="1"/>
  <c r="FV65" i="9" s="1"/>
  <c r="GD65" i="9" s="1"/>
  <c r="N78" i="24" s="1" a="1"/>
  <c r="N78" i="24" s="1"/>
  <c r="IN64" i="9"/>
  <c r="IO64" i="9" s="1"/>
  <c r="IJ64" i="9"/>
  <c r="IK64" i="9" s="1"/>
  <c r="Z65" i="9" a="1"/>
  <c r="Z65" i="9" s="1"/>
  <c r="AH65" i="9" s="1"/>
  <c r="F78" i="24" s="1" a="1"/>
  <c r="F78" i="24" s="1"/>
  <c r="BK65" i="9"/>
  <c r="BS65" i="9" s="1"/>
  <c r="ER65" i="9"/>
  <c r="L78" i="24" s="1" a="1"/>
  <c r="L78" i="24" s="1"/>
  <c r="IL63" i="9"/>
  <c r="IM63" i="9" s="1"/>
  <c r="AH63" i="9"/>
  <c r="F76" i="24" s="1" a="1"/>
  <c r="F76" i="24" s="1"/>
  <c r="G921" i="10" l="1"/>
  <c r="K921" i="10"/>
  <c r="K924" i="10" s="1" a="1"/>
  <c r="K924" i="10" s="1"/>
  <c r="D921" i="10"/>
  <c r="J921" i="10"/>
  <c r="I921" i="10"/>
  <c r="P921" i="10"/>
  <c r="H921" i="10"/>
  <c r="H924" i="10" s="1" a="1"/>
  <c r="H924" i="10" s="1"/>
  <c r="O921" i="10"/>
  <c r="B922" i="10"/>
  <c r="B923" i="10" s="1"/>
  <c r="B924" i="10" s="1"/>
  <c r="B925" i="10" s="1"/>
  <c r="B926" i="10" s="1"/>
  <c r="B927" i="10" s="1"/>
  <c r="B928" i="10" s="1"/>
  <c r="N921" i="10"/>
  <c r="N924" i="10" s="1" a="1"/>
  <c r="N924" i="10" s="1"/>
  <c r="E921" i="10"/>
  <c r="F921" i="10"/>
  <c r="L921" i="10"/>
  <c r="M921" i="10"/>
  <c r="E923" i="10"/>
  <c r="E924" i="10" s="1" a="1"/>
  <c r="E924" i="10" s="1"/>
  <c r="D924" i="10" a="1"/>
  <c r="D924" i="10" s="1"/>
  <c r="M930" i="10"/>
  <c r="M934" i="10" s="1"/>
  <c r="E930" i="10"/>
  <c r="E934" i="10" s="1"/>
  <c r="L930" i="10"/>
  <c r="L934" i="10" s="1"/>
  <c r="D930" i="10"/>
  <c r="D934" i="10" s="1"/>
  <c r="B931" i="10"/>
  <c r="B932" i="10" s="1"/>
  <c r="B933" i="10" s="1"/>
  <c r="H930" i="10"/>
  <c r="H934" i="10" s="1"/>
  <c r="B934" i="10"/>
  <c r="B935" i="10" s="1"/>
  <c r="K930" i="10"/>
  <c r="K934" i="10" s="1"/>
  <c r="P930" i="10"/>
  <c r="P934" i="10" s="1"/>
  <c r="J930" i="10"/>
  <c r="J934" i="10" s="1"/>
  <c r="I930" i="10"/>
  <c r="I934" i="10" s="1"/>
  <c r="O930" i="10"/>
  <c r="O934" i="10" s="1"/>
  <c r="G930" i="10"/>
  <c r="G934" i="10" s="1"/>
  <c r="N930" i="10"/>
  <c r="N934" i="10" s="1"/>
  <c r="F930" i="10"/>
  <c r="F934" i="10" s="1"/>
  <c r="I924" i="10" a="1"/>
  <c r="I924" i="10" s="1"/>
  <c r="J937" i="10"/>
  <c r="J924" i="10" a="1"/>
  <c r="J924" i="10" s="1"/>
  <c r="L937" i="10"/>
  <c r="L923" i="10"/>
  <c r="L924" i="10" s="1" a="1"/>
  <c r="L924" i="10" s="1"/>
  <c r="K937" i="10"/>
  <c r="O923" i="10"/>
  <c r="O924" i="10" s="1" a="1"/>
  <c r="O924" i="10" s="1"/>
  <c r="O937" i="10"/>
  <c r="P923" i="10"/>
  <c r="M923" i="10"/>
  <c r="M924" i="10" s="1" a="1"/>
  <c r="M924" i="10" s="1"/>
  <c r="F923" i="10"/>
  <c r="G923" i="10"/>
  <c r="G924" i="10" s="1" a="1"/>
  <c r="G924" i="10" s="1"/>
  <c r="AQ72" i="9" a="1"/>
  <c r="AQ72" i="9" s="1"/>
  <c r="K2071" i="13" a="1"/>
  <c r="K2071" i="13" s="1"/>
  <c r="K2072" i="13" s="1"/>
  <c r="K2073" i="13" s="1"/>
  <c r="EW71" i="9" s="1" a="1"/>
  <c r="EW71" i="9" s="1"/>
  <c r="Q80" i="25"/>
  <c r="BH69" i="9"/>
  <c r="G81" i="25" a="1"/>
  <c r="G81" i="25" s="1"/>
  <c r="AO69" i="9"/>
  <c r="F81" i="25" a="1"/>
  <c r="F81" i="25" s="1"/>
  <c r="FR69" i="9"/>
  <c r="M81" i="25" a="1"/>
  <c r="M81" i="25" s="1"/>
  <c r="CT69" i="9"/>
  <c r="I81" i="25" a="1"/>
  <c r="I81" i="25" s="1"/>
  <c r="EF69" i="9"/>
  <c r="K81" i="25" a="1"/>
  <c r="K81" i="25" s="1"/>
  <c r="V69" i="9"/>
  <c r="E81" i="25" a="1"/>
  <c r="E81" i="25" s="1"/>
  <c r="AK72" i="9" a="1"/>
  <c r="AK72" i="9" s="1"/>
  <c r="L883" i="10"/>
  <c r="L2124" i="13" s="1" a="1"/>
  <c r="L2124" i="13" s="1"/>
  <c r="L2129" i="13" s="1" a="1"/>
  <c r="L2129" i="13" s="1"/>
  <c r="L2130" i="13" s="1"/>
  <c r="L886" i="10"/>
  <c r="L2126" i="13" s="1" a="1"/>
  <c r="L2126" i="13" s="1"/>
  <c r="L885" i="10"/>
  <c r="N2093" i="13" a="1"/>
  <c r="N2093" i="13" s="1"/>
  <c r="N2094" i="13" s="1"/>
  <c r="N2097" i="13" s="1"/>
  <c r="D2098" i="13" a="1"/>
  <c r="D2098" i="13" s="1"/>
  <c r="D2099" i="13" s="1"/>
  <c r="D2102" i="13" s="1"/>
  <c r="D2092" i="13" a="1"/>
  <c r="D2092" i="13" s="1"/>
  <c r="D2103" i="13" s="1" a="1"/>
  <c r="D2103" i="13" s="1"/>
  <c r="D2104" i="13" s="1"/>
  <c r="G2095" i="13" a="1"/>
  <c r="G2095" i="13" s="1"/>
  <c r="G2096" i="13" s="1"/>
  <c r="G2097" i="13" s="1"/>
  <c r="E2095" i="13" a="1"/>
  <c r="E2095" i="13" s="1"/>
  <c r="E2096" i="13" s="1"/>
  <c r="E2097" i="13" s="1"/>
  <c r="CC72" i="9" a="1"/>
  <c r="CC72" i="9" s="1"/>
  <c r="G2092" i="13" a="1"/>
  <c r="G2092" i="13" s="1"/>
  <c r="G2105" i="13" s="1" a="1"/>
  <c r="G2105" i="13" s="1"/>
  <c r="G2106" i="13" s="1"/>
  <c r="E2100" i="13" a="1"/>
  <c r="E2100" i="13" s="1"/>
  <c r="E2101" i="13" s="1"/>
  <c r="E2102" i="13" s="1"/>
  <c r="DO72" i="9" a="1"/>
  <c r="DO72" i="9" s="1"/>
  <c r="K2092" i="13" a="1"/>
  <c r="K2092" i="13" s="1"/>
  <c r="K2103" i="13" s="1" a="1"/>
  <c r="K2103" i="13" s="1"/>
  <c r="K2104" i="13" s="1"/>
  <c r="M886" i="10"/>
  <c r="M2126" i="13" s="1" a="1"/>
  <c r="M2126" i="13" s="1"/>
  <c r="EU72" i="9" a="1"/>
  <c r="EU72" i="9" s="1"/>
  <c r="M2092" i="13" a="1"/>
  <c r="M2092" i="13" s="1"/>
  <c r="M2103" i="13" s="1" a="1"/>
  <c r="M2103" i="13" s="1"/>
  <c r="M2104" i="13" s="1"/>
  <c r="I2092" i="13" a="1"/>
  <c r="I2092" i="13" s="1"/>
  <c r="I2103" i="13" s="1" a="1"/>
  <c r="I2103" i="13" s="1"/>
  <c r="I2104" i="13" s="1"/>
  <c r="L2100" i="13" a="1"/>
  <c r="L2100" i="13" s="1"/>
  <c r="L2101" i="13" s="1"/>
  <c r="L2102" i="13" s="1"/>
  <c r="D2095" i="13" a="1"/>
  <c r="D2095" i="13" s="1"/>
  <c r="D2096" i="13" s="1"/>
  <c r="D2097" i="13" s="1"/>
  <c r="GG72" i="9" a="1"/>
  <c r="GG72" i="9" s="1"/>
  <c r="X72" i="9" a="1"/>
  <c r="X72" i="9" s="1"/>
  <c r="AS68" i="9" a="1"/>
  <c r="AS68" i="9" s="1"/>
  <c r="BA68" i="9" s="1"/>
  <c r="G81" i="24" s="1" a="1"/>
  <c r="G81" i="24" s="1"/>
  <c r="FN72" i="9" a="1"/>
  <c r="FN72" i="9" s="1"/>
  <c r="FT72" i="9" a="1"/>
  <c r="FT72" i="9" s="1"/>
  <c r="G886" i="10"/>
  <c r="BW73" i="9" s="1" a="1"/>
  <c r="BW73" i="9" s="1"/>
  <c r="H884" i="10"/>
  <c r="H2125" i="13" s="1" a="1"/>
  <c r="H2125" i="13" s="1"/>
  <c r="H2132" i="13" s="1" a="1"/>
  <c r="H2132" i="13" s="1"/>
  <c r="H2133" i="13" s="1"/>
  <c r="N2100" i="13" a="1"/>
  <c r="N2100" i="13" s="1"/>
  <c r="N2101" i="13" s="1"/>
  <c r="N2102" i="13" s="1"/>
  <c r="H2100" i="13" a="1"/>
  <c r="H2100" i="13" s="1"/>
  <c r="H2101" i="13" s="1"/>
  <c r="H2102" i="13" s="1"/>
  <c r="CW69" i="9"/>
  <c r="DE69" i="9" s="1"/>
  <c r="K2093" i="13" a="1"/>
  <c r="K2093" i="13" s="1"/>
  <c r="K2094" i="13" s="1"/>
  <c r="K2097" i="13" s="1"/>
  <c r="L896" i="10" a="1"/>
  <c r="L896" i="10" s="1"/>
  <c r="L900" i="10" s="1"/>
  <c r="I2097" i="13"/>
  <c r="J886" i="10"/>
  <c r="J2126" i="13" s="1" a="1"/>
  <c r="J2126" i="13" s="1"/>
  <c r="H2092" i="13" a="1"/>
  <c r="H2092" i="13" s="1"/>
  <c r="H2105" i="13" s="1" a="1"/>
  <c r="H2105" i="13" s="1"/>
  <c r="H2106" i="13" s="1"/>
  <c r="M2100" i="13" a="1"/>
  <c r="M2100" i="13" s="1"/>
  <c r="M2101" i="13" s="1"/>
  <c r="M2102" i="13" s="1"/>
  <c r="F884" i="10"/>
  <c r="F2125" i="13" s="1" a="1"/>
  <c r="F2125" i="13" s="1"/>
  <c r="F2132" i="13" s="1" a="1"/>
  <c r="F2132" i="13" s="1"/>
  <c r="F2133" i="13" s="1"/>
  <c r="CP72" i="9" a="1"/>
  <c r="CP72" i="9" s="1"/>
  <c r="J883" i="10"/>
  <c r="J2124" i="13" s="1" a="1"/>
  <c r="J2124" i="13" s="1"/>
  <c r="J2127" i="13" s="1" a="1"/>
  <c r="J2127" i="13" s="1"/>
  <c r="J2128" i="13" s="1"/>
  <c r="F886" i="10"/>
  <c r="F2126" i="13" s="1" a="1"/>
  <c r="F2126" i="13" s="1"/>
  <c r="CQ71" i="9" a="1"/>
  <c r="CQ71" i="9" s="1"/>
  <c r="F883" i="10"/>
  <c r="F2124" i="13" s="1" a="1"/>
  <c r="F2124" i="13" s="1"/>
  <c r="F2127" i="13" s="1" a="1"/>
  <c r="F2127" i="13" s="1"/>
  <c r="F2128" i="13" s="1"/>
  <c r="I2100" i="13" a="1"/>
  <c r="I2100" i="13" s="1"/>
  <c r="I2101" i="13" s="1"/>
  <c r="I2102" i="13" s="1"/>
  <c r="G2010" i="13"/>
  <c r="CB69" i="9" s="1" a="1"/>
  <c r="CB69" i="9" s="1"/>
  <c r="CD69" i="9" s="1"/>
  <c r="CL69" i="9" s="1"/>
  <c r="N896" i="10" a="1"/>
  <c r="N896" i="10" s="1"/>
  <c r="N899" i="10" s="1"/>
  <c r="G885" i="10"/>
  <c r="M883" i="10"/>
  <c r="M2124" i="13" s="1" a="1"/>
  <c r="M2124" i="13" s="1"/>
  <c r="M2129" i="13" s="1" a="1"/>
  <c r="M2129" i="13" s="1"/>
  <c r="M2130" i="13" s="1"/>
  <c r="M885" i="10"/>
  <c r="G883" i="10"/>
  <c r="G2124" i="13" s="1" a="1"/>
  <c r="G2124" i="13" s="1"/>
  <c r="G2129" i="13" s="1" a="1"/>
  <c r="G2129" i="13" s="1"/>
  <c r="G2130" i="13" s="1"/>
  <c r="J885" i="10"/>
  <c r="BE71" i="9" a="1"/>
  <c r="BE71" i="9" s="1"/>
  <c r="O2008" i="13"/>
  <c r="O2010" i="13" s="1"/>
  <c r="HX69" i="9" s="1" a="1"/>
  <c r="HX69" i="9" s="1"/>
  <c r="H2095" i="13" a="1"/>
  <c r="H2095" i="13" s="1"/>
  <c r="H2096" i="13" s="1"/>
  <c r="H2097" i="13" s="1"/>
  <c r="FQ69" i="9"/>
  <c r="HU69" i="9" a="1"/>
  <c r="HU69" i="9" s="1"/>
  <c r="HA71" i="9" a="1"/>
  <c r="HA71" i="9" s="1"/>
  <c r="CS69" i="9"/>
  <c r="BF70" i="9" a="1"/>
  <c r="BF70" i="9" s="1"/>
  <c r="E885" i="10"/>
  <c r="EC70" i="9" a="1"/>
  <c r="EC70" i="9" s="1"/>
  <c r="E886" i="10"/>
  <c r="E2126" i="13" s="1" a="1"/>
  <c r="E2126" i="13" s="1"/>
  <c r="BK69" i="9"/>
  <c r="BS69" i="9" s="1"/>
  <c r="E883" i="10"/>
  <c r="E2124" i="13" s="1" a="1"/>
  <c r="E2124" i="13" s="1"/>
  <c r="E2127" i="13" s="1" a="1"/>
  <c r="E2127" i="13" s="1"/>
  <c r="E2128" i="13" s="1"/>
  <c r="F896" i="10" a="1"/>
  <c r="F896" i="10" s="1"/>
  <c r="F900" i="10" s="1"/>
  <c r="BG69" i="9"/>
  <c r="D909" i="10"/>
  <c r="F2042" i="13"/>
  <c r="F2044" i="13" s="1"/>
  <c r="BI70" i="9" s="1" a="1"/>
  <c r="BI70" i="9" s="1"/>
  <c r="EI69" i="9"/>
  <c r="EQ69" i="9" s="1"/>
  <c r="F909" i="10"/>
  <c r="FU69" i="9"/>
  <c r="GC69" i="9" s="1"/>
  <c r="EE69" i="9"/>
  <c r="FV68" i="9" a="1"/>
  <c r="FV68" i="9" s="1"/>
  <c r="GD68" i="9" s="1"/>
  <c r="N81" i="24" s="1" a="1"/>
  <c r="N81" i="24" s="1"/>
  <c r="BL68" i="9" a="1"/>
  <c r="BL68" i="9" s="1"/>
  <c r="BT68" i="9" s="1"/>
  <c r="H81" i="24" s="1" a="1"/>
  <c r="H81" i="24" s="1"/>
  <c r="M909" i="10"/>
  <c r="AN69" i="9"/>
  <c r="K2102" i="13"/>
  <c r="O896" i="10" a="1"/>
  <c r="O896" i="10" s="1"/>
  <c r="O898" i="10" s="1"/>
  <c r="O2159" i="13" s="1" a="1"/>
  <c r="O2159" i="13" s="1"/>
  <c r="F2073" i="13"/>
  <c r="F2076" i="13" s="1"/>
  <c r="IA68" i="9" a="1"/>
  <c r="IA68" i="9" s="1"/>
  <c r="II68" i="9" s="1"/>
  <c r="Q81" i="24" s="1" a="1"/>
  <c r="Q81" i="24" s="1"/>
  <c r="DJ71" i="9" a="1"/>
  <c r="DJ71" i="9" s="1"/>
  <c r="AR69" i="9"/>
  <c r="AZ69" i="9" s="1"/>
  <c r="J896" i="10" a="1"/>
  <c r="J896" i="10" s="1"/>
  <c r="J900" i="10" s="1"/>
  <c r="K2042" i="13"/>
  <c r="K2044" i="13" s="1"/>
  <c r="EZ70" i="9" s="1" a="1"/>
  <c r="EZ70" i="9" s="1"/>
  <c r="FB69" i="9"/>
  <c r="FJ69" i="9" s="1"/>
  <c r="DQ69" i="9" a="1"/>
  <c r="DQ69" i="9" s="1"/>
  <c r="DY69" i="9" s="1"/>
  <c r="K82" i="24" s="1" a="1"/>
  <c r="K82" i="24" s="1"/>
  <c r="FC68" i="9" a="1"/>
  <c r="FC68" i="9" s="1"/>
  <c r="FK68" i="9" s="1"/>
  <c r="M81" i="24" s="1" a="1"/>
  <c r="M81" i="24" s="1"/>
  <c r="J909" i="10"/>
  <c r="O2102" i="13"/>
  <c r="M2097" i="13"/>
  <c r="EW70" i="9" a="1"/>
  <c r="EW70" i="9" s="1"/>
  <c r="CX68" i="9" a="1"/>
  <c r="CX68" i="9" s="1"/>
  <c r="DF68" i="9" s="1"/>
  <c r="J81" i="24" s="1" a="1"/>
  <c r="J81" i="24" s="1"/>
  <c r="L894" i="10"/>
  <c r="FM74" i="9" s="1" a="1"/>
  <c r="FM74" i="9" s="1"/>
  <c r="M896" i="10" a="1"/>
  <c r="M896" i="10" s="1"/>
  <c r="M899" i="10" s="1"/>
  <c r="GH70" i="9" a="1"/>
  <c r="GH70" i="9" s="1"/>
  <c r="H909" i="10"/>
  <c r="G2102" i="13"/>
  <c r="L2073" i="13"/>
  <c r="L2076" i="13" s="1"/>
  <c r="E2063" i="13"/>
  <c r="DQ68" i="9" a="1"/>
  <c r="DQ68" i="9" s="1"/>
  <c r="DY68" i="9" s="1"/>
  <c r="K81" i="24" s="1" a="1"/>
  <c r="K81" i="24" s="1"/>
  <c r="I896" i="10" a="1"/>
  <c r="I896" i="10" s="1"/>
  <c r="I900" i="10" s="1"/>
  <c r="N909" i="10"/>
  <c r="N2039" i="13"/>
  <c r="N2042" i="13" s="1"/>
  <c r="H2039" i="13"/>
  <c r="CR70" i="9" s="1" a="1"/>
  <c r="CR70" i="9" s="1"/>
  <c r="L909" i="10"/>
  <c r="H896" i="10" a="1"/>
  <c r="H896" i="10" s="1"/>
  <c r="H900" i="10" s="1"/>
  <c r="GO68" i="9" a="1"/>
  <c r="GO68" i="9" s="1"/>
  <c r="GW68" i="9" s="1"/>
  <c r="O81" i="24" s="1" a="1"/>
  <c r="O81" i="24" s="1"/>
  <c r="HG69" i="9"/>
  <c r="HO69" i="9" s="1"/>
  <c r="N894" i="10"/>
  <c r="GY74" i="9" s="1" a="1"/>
  <c r="GY74" i="9" s="1"/>
  <c r="E909" i="10"/>
  <c r="K909" i="10"/>
  <c r="I909" i="10"/>
  <c r="G896" i="10" a="1"/>
  <c r="G896" i="10" s="1"/>
  <c r="G898" i="10" s="1"/>
  <c r="G2159" i="13" s="1" a="1"/>
  <c r="G2159" i="13" s="1"/>
  <c r="N2073" i="13"/>
  <c r="HB71" i="9" s="1" a="1"/>
  <c r="HB71" i="9" s="1"/>
  <c r="O83" i="25" s="1" a="1"/>
  <c r="O83" i="25" s="1"/>
  <c r="M2063" i="13"/>
  <c r="HH67" i="9" a="1"/>
  <c r="HH67" i="9" s="1"/>
  <c r="HP67" i="9" s="1"/>
  <c r="D2040" i="13"/>
  <c r="T70" i="9" a="1"/>
  <c r="T70" i="9" s="1"/>
  <c r="E82" i="25" s="1" a="1"/>
  <c r="E82" i="25" s="1"/>
  <c r="U69" i="9"/>
  <c r="I2039" i="13"/>
  <c r="I2042" i="13" s="1"/>
  <c r="G2040" i="13"/>
  <c r="G2044" i="13" s="1"/>
  <c r="CB70" i="9" s="1" a="1"/>
  <c r="CB70" i="9" s="1"/>
  <c r="BY70" i="9" a="1"/>
  <c r="BY70" i="9" s="1"/>
  <c r="H82" i="25" s="1" a="1"/>
  <c r="H82" i="25" s="1"/>
  <c r="HH68" i="9" a="1"/>
  <c r="HH68" i="9" s="1"/>
  <c r="HP68" i="9" s="1"/>
  <c r="P81" i="24" s="1" a="1"/>
  <c r="P81" i="24" s="1"/>
  <c r="L2040" i="13"/>
  <c r="L2044" i="13" s="1"/>
  <c r="FS70" i="9" s="1" a="1"/>
  <c r="FS70" i="9" s="1"/>
  <c r="FP70" i="9" a="1"/>
  <c r="FP70" i="9" s="1"/>
  <c r="M82" i="25" s="1" a="1"/>
  <c r="M82" i="25" s="1"/>
  <c r="Z68" i="9" a="1"/>
  <c r="Z68" i="9" s="1"/>
  <c r="AH68" i="9" s="1"/>
  <c r="F81" i="24" s="1" a="1"/>
  <c r="F81" i="24" s="1"/>
  <c r="S71" i="9" a="1"/>
  <c r="S71" i="9" s="1"/>
  <c r="J2039" i="13"/>
  <c r="FO71" i="9" a="1"/>
  <c r="FO71" i="9" s="1"/>
  <c r="M2006" i="13"/>
  <c r="M2010" i="13" s="1"/>
  <c r="GL69" i="9" s="1" a="1"/>
  <c r="GL69" i="9" s="1"/>
  <c r="GI69" i="9" a="1"/>
  <c r="GI69" i="9" s="1"/>
  <c r="N81" i="25" s="1" a="1"/>
  <c r="N81" i="25" s="1"/>
  <c r="CQ70" i="9" a="1"/>
  <c r="CQ70" i="9" s="1"/>
  <c r="EV71" i="9" a="1"/>
  <c r="EV71" i="9" s="1"/>
  <c r="D2042" i="13"/>
  <c r="EJ68" i="9" a="1"/>
  <c r="EJ68" i="9" s="1"/>
  <c r="ER68" i="9" s="1"/>
  <c r="L81" i="24" s="1" a="1"/>
  <c r="L81" i="24" s="1"/>
  <c r="EY69" i="9"/>
  <c r="EX69" i="9"/>
  <c r="O2040" i="13"/>
  <c r="O2044" i="13" s="1"/>
  <c r="HX70" i="9" s="1" a="1"/>
  <c r="HX70" i="9" s="1"/>
  <c r="HU70" i="9" a="1"/>
  <c r="HU70" i="9" s="1"/>
  <c r="D2010" i="13"/>
  <c r="W69" i="9" s="1" a="1"/>
  <c r="W69" i="9" s="1"/>
  <c r="Y69" i="9" s="1"/>
  <c r="AG69" i="9" s="1"/>
  <c r="HT71" i="9" a="1"/>
  <c r="HT71" i="9" s="1"/>
  <c r="HA70" i="9" a="1"/>
  <c r="HA70" i="9" s="1"/>
  <c r="IL68" i="9"/>
  <c r="IM68" i="9" s="1"/>
  <c r="E2040" i="13"/>
  <c r="AM70" i="9" a="1"/>
  <c r="AM70" i="9" s="1"/>
  <c r="F82" i="25" s="1" a="1"/>
  <c r="F82" i="25" s="1"/>
  <c r="G2063" i="13"/>
  <c r="HD69" i="9"/>
  <c r="HC69" i="9"/>
  <c r="DJ70" i="9" a="1"/>
  <c r="DJ70" i="9" s="1"/>
  <c r="CE68" i="9" a="1"/>
  <c r="CE68" i="9" s="1"/>
  <c r="CM68" i="9" s="1"/>
  <c r="I81" i="24" s="1" a="1"/>
  <c r="I81" i="24" s="1"/>
  <c r="P870" i="10"/>
  <c r="O2103" i="13" a="1"/>
  <c r="O2103" i="13" s="1"/>
  <c r="O2104" i="13" s="1"/>
  <c r="O2105" i="13" a="1"/>
  <c r="O2105" i="13" s="1"/>
  <c r="O2106" i="13" s="1"/>
  <c r="G2132" i="13" a="1"/>
  <c r="G2132" i="13" s="1"/>
  <c r="G2133" i="13" s="1"/>
  <c r="G2134" i="13" a="1"/>
  <c r="G2134" i="13" s="1"/>
  <c r="G2135" i="13" s="1"/>
  <c r="P872" i="10"/>
  <c r="J2092" i="13" a="1"/>
  <c r="J2092" i="13" s="1"/>
  <c r="EH72" i="9" a="1"/>
  <c r="EH72" i="9" s="1"/>
  <c r="EB72" i="9" a="1"/>
  <c r="EB72" i="9" s="1"/>
  <c r="J2093" i="13" a="1"/>
  <c r="J2093" i="13" s="1"/>
  <c r="J2094" i="13" s="1"/>
  <c r="J2095" i="13" a="1"/>
  <c r="J2095" i="13" s="1"/>
  <c r="J2096" i="13" s="1"/>
  <c r="F2092" i="13" a="1"/>
  <c r="F2092" i="13" s="1"/>
  <c r="BJ72" i="9" a="1"/>
  <c r="BJ72" i="9" s="1"/>
  <c r="BD72" i="9" a="1"/>
  <c r="BD72" i="9" s="1"/>
  <c r="E2068" i="13"/>
  <c r="O2073" i="13"/>
  <c r="O2076" i="13" s="1"/>
  <c r="L2097" i="13"/>
  <c r="J2063" i="13"/>
  <c r="H2126" i="13" a="1"/>
  <c r="H2126" i="13" s="1"/>
  <c r="CV73" i="9" a="1"/>
  <c r="CV73" i="9" s="1"/>
  <c r="CP73" i="9" a="1"/>
  <c r="CP73" i="9" s="1"/>
  <c r="M2039" i="13"/>
  <c r="I2073" i="13"/>
  <c r="I2076" i="13" s="1"/>
  <c r="H2073" i="13"/>
  <c r="N2103" i="13" a="1"/>
  <c r="N2103" i="13" s="1"/>
  <c r="N2104" i="13" s="1"/>
  <c r="N2105" i="13" a="1"/>
  <c r="N2105" i="13" s="1"/>
  <c r="N2106" i="13" s="1"/>
  <c r="F2098" i="13" a="1"/>
  <c r="F2098" i="13" s="1"/>
  <c r="F2099" i="13" s="1"/>
  <c r="F2100" i="13" a="1"/>
  <c r="F2100" i="13" s="1"/>
  <c r="F2101" i="13" s="1"/>
  <c r="E2132" i="13" a="1"/>
  <c r="E2132" i="13" s="1"/>
  <c r="E2133" i="13" s="1"/>
  <c r="E2134" i="13" a="1"/>
  <c r="E2134" i="13" s="1"/>
  <c r="E2135" i="13" s="1"/>
  <c r="D2073" i="13"/>
  <c r="G2069" i="13" a="1"/>
  <c r="G2069" i="13" s="1"/>
  <c r="G2070" i="13" s="1"/>
  <c r="G2071" i="13" a="1"/>
  <c r="G2071" i="13" s="1"/>
  <c r="G2072" i="13" s="1"/>
  <c r="M2068" i="13"/>
  <c r="E2042" i="13"/>
  <c r="J2068" i="13"/>
  <c r="J2069" i="13" a="1"/>
  <c r="J2069" i="13" s="1"/>
  <c r="J2070" i="13" s="1"/>
  <c r="J2071" i="13" a="1"/>
  <c r="J2071" i="13" s="1"/>
  <c r="J2072" i="13" s="1"/>
  <c r="H2127" i="13" a="1"/>
  <c r="H2127" i="13" s="1"/>
  <c r="H2128" i="13" s="1"/>
  <c r="H2129" i="13" a="1"/>
  <c r="H2129" i="13" s="1"/>
  <c r="H2130" i="13" s="1"/>
  <c r="M2132" i="13" a="1"/>
  <c r="M2132" i="13" s="1"/>
  <c r="M2133" i="13" s="1"/>
  <c r="M2134" i="13" a="1"/>
  <c r="M2134" i="13" s="1"/>
  <c r="M2135" i="13" s="1"/>
  <c r="J2132" i="13" a="1"/>
  <c r="J2132" i="13" s="1"/>
  <c r="J2133" i="13" s="1"/>
  <c r="J2134" i="13" a="1"/>
  <c r="J2134" i="13" s="1"/>
  <c r="J2135" i="13" s="1"/>
  <c r="O2097" i="13"/>
  <c r="G2068" i="13"/>
  <c r="L2132" i="13" a="1"/>
  <c r="L2132" i="13" s="1"/>
  <c r="L2133" i="13" s="1"/>
  <c r="L2134" i="13" a="1"/>
  <c r="L2134" i="13" s="1"/>
  <c r="L2135" i="13" s="1"/>
  <c r="M2069" i="13" a="1"/>
  <c r="M2069" i="13" s="1"/>
  <c r="M2070" i="13" s="1"/>
  <c r="M2071" i="13" a="1"/>
  <c r="M2071" i="13" s="1"/>
  <c r="M2072" i="13" s="1"/>
  <c r="E2103" i="13" a="1"/>
  <c r="E2103" i="13" s="1"/>
  <c r="E2104" i="13" s="1"/>
  <c r="E2105" i="13" a="1"/>
  <c r="E2105" i="13" s="1"/>
  <c r="E2106" i="13" s="1"/>
  <c r="E2069" i="13" a="1"/>
  <c r="E2069" i="13" s="1"/>
  <c r="E2070" i="13" s="1"/>
  <c r="E2071" i="13" a="1"/>
  <c r="E2071" i="13" s="1"/>
  <c r="E2072" i="13" s="1"/>
  <c r="J2098" i="13" a="1"/>
  <c r="J2098" i="13" s="1"/>
  <c r="J2099" i="13" s="1"/>
  <c r="J2100" i="13" a="1"/>
  <c r="J2100" i="13" s="1"/>
  <c r="J2101" i="13" s="1"/>
  <c r="F2093" i="13" a="1"/>
  <c r="F2093" i="13" s="1"/>
  <c r="F2094" i="13" s="1"/>
  <c r="F2095" i="13" a="1"/>
  <c r="F2095" i="13" s="1"/>
  <c r="F2096" i="13" s="1"/>
  <c r="L2103" i="13" a="1"/>
  <c r="L2103" i="13" s="1"/>
  <c r="L2104" i="13" s="1"/>
  <c r="L2105" i="13" a="1"/>
  <c r="L2105" i="13" s="1"/>
  <c r="L2106" i="13" s="1"/>
  <c r="P869" i="10"/>
  <c r="P871" i="10"/>
  <c r="D885" i="10"/>
  <c r="D883" i="10"/>
  <c r="D2124" i="13" s="1" a="1"/>
  <c r="D2124" i="13" s="1"/>
  <c r="D884" i="10"/>
  <c r="D2125" i="13" s="1" a="1"/>
  <c r="D2125" i="13" s="1"/>
  <c r="D886" i="10"/>
  <c r="K883" i="10"/>
  <c r="K2124" i="13" s="1" a="1"/>
  <c r="K2124" i="13" s="1"/>
  <c r="K885" i="10"/>
  <c r="K886" i="10"/>
  <c r="K884" i="10"/>
  <c r="K2125" i="13" s="1" a="1"/>
  <c r="K2125" i="13" s="1"/>
  <c r="N885" i="10"/>
  <c r="N883" i="10"/>
  <c r="N2124" i="13" s="1" a="1"/>
  <c r="N2124" i="13" s="1"/>
  <c r="N884" i="10"/>
  <c r="N2125" i="13" s="1" a="1"/>
  <c r="N2125" i="13" s="1"/>
  <c r="N886" i="10"/>
  <c r="IL65" i="9"/>
  <c r="IM65" i="9" s="1"/>
  <c r="O886" i="10"/>
  <c r="O884" i="10"/>
  <c r="O2125" i="13" s="1" a="1"/>
  <c r="O2125" i="13" s="1"/>
  <c r="O883" i="10"/>
  <c r="O2124" i="13" s="1" a="1"/>
  <c r="O2124" i="13" s="1"/>
  <c r="O885" i="10"/>
  <c r="I885" i="10"/>
  <c r="I886" i="10"/>
  <c r="I883" i="10"/>
  <c r="I2124" i="13" s="1" a="1"/>
  <c r="I2124" i="13" s="1"/>
  <c r="I884" i="10"/>
  <c r="I2125" i="13" s="1" a="1"/>
  <c r="I2125" i="13" s="1"/>
  <c r="D896" i="10" a="1"/>
  <c r="D896" i="10" s="1"/>
  <c r="G909" i="10"/>
  <c r="K896" i="10" a="1"/>
  <c r="K896" i="10" s="1"/>
  <c r="K907" i="10"/>
  <c r="N907" i="10"/>
  <c r="J907" i="10"/>
  <c r="F907" i="10"/>
  <c r="M907" i="10"/>
  <c r="I907" i="10"/>
  <c r="I908" i="10" s="1"/>
  <c r="DH75" i="9" s="1" a="1"/>
  <c r="DH75" i="9" s="1"/>
  <c r="D907" i="10"/>
  <c r="P907" i="10"/>
  <c r="P908" i="10" s="1"/>
  <c r="E907" i="10"/>
  <c r="H907" i="10"/>
  <c r="H908" i="10" s="1"/>
  <c r="CO75" i="9" s="1" a="1"/>
  <c r="CO75" i="9" s="1"/>
  <c r="G907" i="10"/>
  <c r="B908" i="10"/>
  <c r="B909" i="10" s="1"/>
  <c r="B910" i="10" s="1"/>
  <c r="B911" i="10" s="1"/>
  <c r="B912" i="10" s="1"/>
  <c r="B913" i="10" s="1"/>
  <c r="B914" i="10" s="1"/>
  <c r="L907" i="10"/>
  <c r="L908" i="10" s="1"/>
  <c r="FM75" i="9" s="1" a="1"/>
  <c r="FM75" i="9" s="1"/>
  <c r="O907" i="10"/>
  <c r="O908" i="10" s="1"/>
  <c r="HR75" i="9" s="1" a="1"/>
  <c r="HR75" i="9" s="1"/>
  <c r="O909" i="10"/>
  <c r="P909" i="10"/>
  <c r="E896" i="10" a="1"/>
  <c r="E896" i="10" s="1"/>
  <c r="II66" i="9"/>
  <c r="Q79" i="24" s="1" a="1"/>
  <c r="Q79" i="24" s="1"/>
  <c r="IJ66" i="9"/>
  <c r="IK66" i="9" s="1"/>
  <c r="IL66" i="9"/>
  <c r="IM66" i="9" s="1"/>
  <c r="DF66" i="9"/>
  <c r="J79" i="24" s="1" a="1"/>
  <c r="J79" i="24" s="1"/>
  <c r="BA66" i="9"/>
  <c r="G79" i="24" s="1" a="1"/>
  <c r="G79" i="24" s="1"/>
  <c r="HP66" i="9"/>
  <c r="P79" i="24" s="1" a="1"/>
  <c r="P79" i="24" s="1"/>
  <c r="GW65" i="9"/>
  <c r="O78" i="24" s="1" a="1"/>
  <c r="O78" i="24" s="1"/>
  <c r="IN63" i="9"/>
  <c r="IO63" i="9" s="1"/>
  <c r="BL65" i="9" a="1"/>
  <c r="BL65" i="9" s="1"/>
  <c r="BT65" i="9" s="1"/>
  <c r="H78" i="24" s="1" a="1"/>
  <c r="H78" i="24" s="1"/>
  <c r="N925" i="10" l="1"/>
  <c r="N2226" i="13" s="1" a="1"/>
  <c r="N2226" i="13" s="1"/>
  <c r="N926" i="10"/>
  <c r="N2227" i="13" s="1" a="1"/>
  <c r="N2227" i="13" s="1"/>
  <c r="N927" i="10"/>
  <c r="N928" i="10"/>
  <c r="H927" i="10"/>
  <c r="H928" i="10"/>
  <c r="H925" i="10"/>
  <c r="H2226" i="13" s="1" a="1"/>
  <c r="H2226" i="13" s="1"/>
  <c r="H926" i="10"/>
  <c r="H2227" i="13" s="1" a="1"/>
  <c r="H2227" i="13" s="1"/>
  <c r="O925" i="10"/>
  <c r="O2226" i="13" s="1" a="1"/>
  <c r="O2226" i="13" s="1"/>
  <c r="O926" i="10"/>
  <c r="O2227" i="13" s="1" a="1"/>
  <c r="O2227" i="13" s="1"/>
  <c r="O927" i="10"/>
  <c r="O928" i="10"/>
  <c r="K938" i="10" a="1"/>
  <c r="K938" i="10" s="1"/>
  <c r="L925" i="10"/>
  <c r="L2226" i="13" s="1" a="1"/>
  <c r="L2226" i="13" s="1"/>
  <c r="L927" i="10"/>
  <c r="L928" i="10"/>
  <c r="L926" i="10"/>
  <c r="L2227" i="13" s="1" a="1"/>
  <c r="L2227" i="13" s="1"/>
  <c r="F937" i="10"/>
  <c r="D925" i="10"/>
  <c r="D926" i="10"/>
  <c r="D928" i="10"/>
  <c r="D927" i="10"/>
  <c r="J925" i="10"/>
  <c r="J2226" i="13" s="1" a="1"/>
  <c r="J2226" i="13" s="1"/>
  <c r="J926" i="10"/>
  <c r="J2227" i="13" s="1" a="1"/>
  <c r="J2227" i="13" s="1"/>
  <c r="J927" i="10"/>
  <c r="J928" i="10"/>
  <c r="P937" i="10"/>
  <c r="G926" i="10"/>
  <c r="G2227" i="13" s="1" a="1"/>
  <c r="G2227" i="13" s="1"/>
  <c r="G927" i="10"/>
  <c r="G928" i="10"/>
  <c r="G925" i="10"/>
  <c r="G2226" i="13" s="1" a="1"/>
  <c r="G2226" i="13" s="1"/>
  <c r="E928" i="10"/>
  <c r="E926" i="10"/>
  <c r="E2227" i="13" s="1" a="1"/>
  <c r="E2227" i="13" s="1"/>
  <c r="E927" i="10"/>
  <c r="E925" i="10"/>
  <c r="E2226" i="13" s="1" a="1"/>
  <c r="E2226" i="13" s="1"/>
  <c r="F924" i="10" a="1"/>
  <c r="F924" i="10" s="1"/>
  <c r="I937" i="10"/>
  <c r="I938" i="10" s="1" a="1"/>
  <c r="I938" i="10" s="1"/>
  <c r="H937" i="10"/>
  <c r="E937" i="10"/>
  <c r="M935" i="10"/>
  <c r="N935" i="10"/>
  <c r="F935" i="10"/>
  <c r="F938" i="10" s="1" a="1"/>
  <c r="F938" i="10" s="1"/>
  <c r="E935" i="10"/>
  <c r="E938" i="10" s="1" a="1"/>
  <c r="E938" i="10" s="1"/>
  <c r="L935" i="10"/>
  <c r="L938" i="10" s="1" a="1"/>
  <c r="L938" i="10" s="1"/>
  <c r="D935" i="10"/>
  <c r="K935" i="10"/>
  <c r="O935" i="10"/>
  <c r="O938" i="10" s="1" a="1"/>
  <c r="O938" i="10" s="1"/>
  <c r="J935" i="10"/>
  <c r="J938" i="10" s="1" a="1"/>
  <c r="J938" i="10" s="1"/>
  <c r="H935" i="10"/>
  <c r="H938" i="10" s="1" a="1"/>
  <c r="H938" i="10" s="1"/>
  <c r="I935" i="10"/>
  <c r="P935" i="10"/>
  <c r="B936" i="10"/>
  <c r="B937" i="10" s="1"/>
  <c r="B938" i="10" s="1"/>
  <c r="B939" i="10" s="1"/>
  <c r="B940" i="10" s="1"/>
  <c r="B941" i="10" s="1"/>
  <c r="B942" i="10" s="1"/>
  <c r="G935" i="10"/>
  <c r="G937" i="10"/>
  <c r="L2127" i="13" a="1"/>
  <c r="L2127" i="13" s="1"/>
  <c r="L2128" i="13" s="1"/>
  <c r="M927" i="10"/>
  <c r="M925" i="10"/>
  <c r="M2226" i="13" s="1" a="1"/>
  <c r="M2226" i="13" s="1"/>
  <c r="M928" i="10"/>
  <c r="M926" i="10"/>
  <c r="M2227" i="13" s="1" a="1"/>
  <c r="M2227" i="13" s="1"/>
  <c r="M937" i="10"/>
  <c r="M938" i="10" s="1" a="1"/>
  <c r="M938" i="10" s="1"/>
  <c r="K927" i="10"/>
  <c r="K928" i="10"/>
  <c r="K925" i="10"/>
  <c r="K2226" i="13" s="1" a="1"/>
  <c r="K2226" i="13" s="1"/>
  <c r="K926" i="10"/>
  <c r="K2227" i="13" s="1" a="1"/>
  <c r="K2227" i="13" s="1"/>
  <c r="D937" i="10"/>
  <c r="I928" i="10"/>
  <c r="I926" i="10"/>
  <c r="I2227" i="13" s="1" a="1"/>
  <c r="I2227" i="13" s="1"/>
  <c r="I927" i="10"/>
  <c r="I925" i="10"/>
  <c r="I2226" i="13" s="1" a="1"/>
  <c r="I2226" i="13" s="1"/>
  <c r="N937" i="10"/>
  <c r="FN73" i="9" a="1"/>
  <c r="FN73" i="9" s="1"/>
  <c r="FT73" i="9" a="1"/>
  <c r="FT73" i="9" s="1"/>
  <c r="HW70" i="9"/>
  <c r="P82" i="25" a="1"/>
  <c r="P82" i="25" s="1"/>
  <c r="EY71" i="9"/>
  <c r="L83" i="25" a="1"/>
  <c r="L83" i="25" s="1"/>
  <c r="EY70" i="9"/>
  <c r="L82" i="25" a="1"/>
  <c r="L82" i="25" s="1"/>
  <c r="BH70" i="9"/>
  <c r="G82" i="25" a="1"/>
  <c r="G82" i="25" s="1"/>
  <c r="CT70" i="9"/>
  <c r="I82" i="25" a="1"/>
  <c r="I82" i="25" s="1"/>
  <c r="HW69" i="9"/>
  <c r="P81" i="25" a="1"/>
  <c r="P81" i="25" s="1"/>
  <c r="Q81" i="25" s="1"/>
  <c r="IN67" i="9"/>
  <c r="IO67" i="9" s="1"/>
  <c r="P80" i="24" a="1"/>
  <c r="P80" i="24" s="1"/>
  <c r="G900" i="10"/>
  <c r="D2105" i="13" a="1"/>
  <c r="D2105" i="13" s="1"/>
  <c r="D2106" i="13" s="1"/>
  <c r="D2107" i="13" s="1"/>
  <c r="D2110" i="13" s="1"/>
  <c r="EB73" i="9" a="1"/>
  <c r="EB73" i="9" s="1"/>
  <c r="D910" i="10" a="1"/>
  <c r="D910" i="10" s="1"/>
  <c r="D912" i="10" s="1"/>
  <c r="D2193" i="13" s="1" a="1"/>
  <c r="D2193" i="13" s="1"/>
  <c r="G2126" i="13" a="1"/>
  <c r="G2126" i="13" s="1"/>
  <c r="G2103" i="13" a="1"/>
  <c r="G2103" i="13" s="1"/>
  <c r="G2104" i="13" s="1"/>
  <c r="G2107" i="13" s="1"/>
  <c r="I2105" i="13" a="1"/>
  <c r="I2105" i="13" s="1"/>
  <c r="I2106" i="13" s="1"/>
  <c r="I2107" i="13" s="1"/>
  <c r="H2134" i="13" a="1"/>
  <c r="H2134" i="13" s="1"/>
  <c r="H2135" i="13" s="1"/>
  <c r="H2136" i="13" s="1"/>
  <c r="L898" i="10"/>
  <c r="L2159" i="13" s="1" a="1"/>
  <c r="L2159" i="13" s="1"/>
  <c r="L2166" i="13" s="1" a="1"/>
  <c r="L2166" i="13" s="1"/>
  <c r="L2167" i="13" s="1"/>
  <c r="CC73" i="9" a="1"/>
  <c r="CC73" i="9" s="1"/>
  <c r="J899" i="10"/>
  <c r="K2105" i="13" a="1"/>
  <c r="K2105" i="13" s="1"/>
  <c r="K2106" i="13" s="1"/>
  <c r="K2107" i="13" s="1"/>
  <c r="K2110" i="13" s="1"/>
  <c r="GG73" i="9" a="1"/>
  <c r="GG73" i="9" s="1"/>
  <c r="GM73" i="9" a="1"/>
  <c r="GM73" i="9" s="1"/>
  <c r="H2103" i="13" a="1"/>
  <c r="H2103" i="13" s="1"/>
  <c r="H2104" i="13" s="1"/>
  <c r="H2107" i="13" s="1"/>
  <c r="H2108" i="13" s="1"/>
  <c r="K910" i="10" a="1"/>
  <c r="K910" i="10" s="1"/>
  <c r="K912" i="10" s="1"/>
  <c r="K2193" i="13" s="1" a="1"/>
  <c r="K2193" i="13" s="1"/>
  <c r="M2105" i="13" a="1"/>
  <c r="M2105" i="13" s="1"/>
  <c r="M2106" i="13" s="1"/>
  <c r="M2107" i="13" s="1"/>
  <c r="G2127" i="13" a="1"/>
  <c r="G2127" i="13" s="1"/>
  <c r="G2128" i="13" s="1"/>
  <c r="G2131" i="13" s="1"/>
  <c r="L899" i="10"/>
  <c r="L897" i="10"/>
  <c r="L2158" i="13" s="1" a="1"/>
  <c r="L2158" i="13" s="1"/>
  <c r="L2161" i="13" s="1" a="1"/>
  <c r="L2161" i="13" s="1"/>
  <c r="L2162" i="13" s="1"/>
  <c r="G899" i="10"/>
  <c r="DJ72" i="9" a="1"/>
  <c r="DJ72" i="9" s="1"/>
  <c r="N898" i="10"/>
  <c r="N2159" i="13" s="1" a="1"/>
  <c r="N2159" i="13" s="1"/>
  <c r="N2166" i="13" s="1" a="1"/>
  <c r="N2166" i="13" s="1"/>
  <c r="N2167" i="13" s="1"/>
  <c r="N897" i="10"/>
  <c r="N2158" i="13" s="1" a="1"/>
  <c r="N2158" i="13" s="1"/>
  <c r="N2161" i="13" s="1" a="1"/>
  <c r="N2161" i="13" s="1"/>
  <c r="N2162" i="13" s="1"/>
  <c r="F910" i="10" a="1"/>
  <c r="F910" i="10" s="1"/>
  <c r="F912" i="10" s="1"/>
  <c r="F2193" i="13" s="1" a="1"/>
  <c r="F2193" i="13" s="1"/>
  <c r="N900" i="10"/>
  <c r="GZ74" i="9" s="1" a="1"/>
  <c r="GZ74" i="9" s="1"/>
  <c r="K2076" i="13"/>
  <c r="AK73" i="9" a="1"/>
  <c r="AK73" i="9" s="1"/>
  <c r="F2134" i="13" a="1"/>
  <c r="F2134" i="13" s="1"/>
  <c r="F2135" i="13" s="1"/>
  <c r="F2136" i="13" s="1"/>
  <c r="J2129" i="13" a="1"/>
  <c r="J2129" i="13" s="1"/>
  <c r="J2130" i="13" s="1"/>
  <c r="J2131" i="13" s="1"/>
  <c r="CX69" i="9" a="1"/>
  <c r="CX69" i="9" s="1"/>
  <c r="DF69" i="9" s="1"/>
  <c r="J82" i="24" s="1" a="1"/>
  <c r="J82" i="24" s="1"/>
  <c r="F2129" i="13" a="1"/>
  <c r="F2129" i="13" s="1"/>
  <c r="F2130" i="13" s="1"/>
  <c r="F2131" i="13" s="1"/>
  <c r="EH73" i="9" a="1"/>
  <c r="EH73" i="9" s="1"/>
  <c r="M910" i="10" a="1"/>
  <c r="M910" i="10" s="1"/>
  <c r="M911" i="10" s="1"/>
  <c r="M2192" i="13" s="1" a="1"/>
  <c r="M2192" i="13" s="1"/>
  <c r="BD73" i="9" a="1"/>
  <c r="BD73" i="9" s="1"/>
  <c r="F898" i="10"/>
  <c r="F2159" i="13" s="1" a="1"/>
  <c r="F2159" i="13" s="1"/>
  <c r="F2166" i="13" s="1" a="1"/>
  <c r="F2166" i="13" s="1"/>
  <c r="F2167" i="13" s="1"/>
  <c r="BJ73" i="9" a="1"/>
  <c r="BJ73" i="9" s="1"/>
  <c r="F899" i="10"/>
  <c r="G897" i="10"/>
  <c r="G2158" i="13" s="1" a="1"/>
  <c r="G2158" i="13" s="1"/>
  <c r="G2161" i="13" s="1" a="1"/>
  <c r="G2161" i="13" s="1"/>
  <c r="G2162" i="13" s="1"/>
  <c r="FO72" i="9" a="1"/>
  <c r="FO72" i="9" s="1"/>
  <c r="EJ69" i="9" a="1"/>
  <c r="EJ69" i="9" s="1"/>
  <c r="ER69" i="9" s="1"/>
  <c r="L82" i="24" s="1" a="1"/>
  <c r="L82" i="24" s="1"/>
  <c r="M2127" i="13" a="1"/>
  <c r="M2127" i="13" s="1"/>
  <c r="M2128" i="13" s="1"/>
  <c r="M2131" i="13" s="1"/>
  <c r="HA72" i="9" a="1"/>
  <c r="HA72" i="9" s="1"/>
  <c r="I898" i="10"/>
  <c r="I2159" i="13" s="1" a="1"/>
  <c r="I2159" i="13" s="1"/>
  <c r="I2166" i="13" s="1" a="1"/>
  <c r="I2166" i="13" s="1"/>
  <c r="I2167" i="13" s="1"/>
  <c r="I899" i="10"/>
  <c r="I897" i="10"/>
  <c r="I2158" i="13" s="1" a="1"/>
  <c r="I2158" i="13" s="1"/>
  <c r="I2161" i="13" s="1" a="1"/>
  <c r="I2161" i="13" s="1"/>
  <c r="I2162" i="13" s="1"/>
  <c r="CE69" i="9" a="1"/>
  <c r="CE69" i="9" s="1"/>
  <c r="CM69" i="9" s="1"/>
  <c r="I82" i="24" s="1" a="1"/>
  <c r="I82" i="24" s="1"/>
  <c r="J898" i="10"/>
  <c r="J2159" i="13" s="1" a="1"/>
  <c r="J2159" i="13" s="1"/>
  <c r="J2168" i="13" s="1" a="1"/>
  <c r="J2168" i="13" s="1"/>
  <c r="J2169" i="13" s="1"/>
  <c r="J897" i="10"/>
  <c r="J2158" i="13" s="1" a="1"/>
  <c r="J2158" i="13" s="1"/>
  <c r="J2161" i="13" s="1" a="1"/>
  <c r="J2161" i="13" s="1"/>
  <c r="J2162" i="13" s="1"/>
  <c r="E910" i="10" a="1"/>
  <c r="E910" i="10" s="1"/>
  <c r="E911" i="10" s="1"/>
  <c r="E2192" i="13" s="1" a="1"/>
  <c r="E2192" i="13" s="1"/>
  <c r="AQ73" i="9" a="1"/>
  <c r="AQ73" i="9" s="1"/>
  <c r="H899" i="10"/>
  <c r="J910" i="10" a="1"/>
  <c r="J910" i="10" s="1"/>
  <c r="J912" i="10" s="1"/>
  <c r="J2193" i="13" s="1" a="1"/>
  <c r="J2193" i="13" s="1"/>
  <c r="F897" i="10"/>
  <c r="F2158" i="13" s="1" a="1"/>
  <c r="F2158" i="13" s="1"/>
  <c r="F2161" i="13" s="1" a="1"/>
  <c r="F2161" i="13" s="1"/>
  <c r="F2162" i="13" s="1"/>
  <c r="AS69" i="9" a="1"/>
  <c r="AS69" i="9" s="1"/>
  <c r="BA69" i="9" s="1"/>
  <c r="G82" i="24" s="1" a="1"/>
  <c r="G82" i="24" s="1"/>
  <c r="BX71" i="9" a="1"/>
  <c r="BX71" i="9" s="1"/>
  <c r="E2129" i="13" a="1"/>
  <c r="E2129" i="13" s="1"/>
  <c r="E2130" i="13" s="1"/>
  <c r="E2131" i="13" s="1"/>
  <c r="HV69" i="9"/>
  <c r="BL69" i="9" a="1"/>
  <c r="BL69" i="9" s="1"/>
  <c r="BT69" i="9" s="1"/>
  <c r="H82" i="24" s="1" a="1"/>
  <c r="H82" i="24" s="1"/>
  <c r="HZ69" i="9"/>
  <c r="IH69" i="9" s="1"/>
  <c r="M898" i="10"/>
  <c r="M2159" i="13" s="1" a="1"/>
  <c r="M2159" i="13" s="1"/>
  <c r="M2168" i="13" s="1" a="1"/>
  <c r="M2168" i="13" s="1"/>
  <c r="M2169" i="13" s="1"/>
  <c r="CQ72" i="9" a="1"/>
  <c r="CQ72" i="9" s="1"/>
  <c r="BG70" i="9"/>
  <c r="BK70" i="9"/>
  <c r="BS70" i="9" s="1"/>
  <c r="K2074" i="13"/>
  <c r="EV72" i="9" a="1"/>
  <c r="EV72" i="9" s="1"/>
  <c r="BF71" i="9" a="1"/>
  <c r="BF71" i="9" s="1"/>
  <c r="F2074" i="13"/>
  <c r="F2078" i="13" s="1"/>
  <c r="BI71" i="9" s="1" a="1"/>
  <c r="BI71" i="9" s="1"/>
  <c r="H898" i="10"/>
  <c r="H2159" i="13" s="1" a="1"/>
  <c r="H2159" i="13" s="1"/>
  <c r="H2166" i="13" s="1" a="1"/>
  <c r="H2166" i="13" s="1"/>
  <c r="H2167" i="13" s="1"/>
  <c r="H897" i="10"/>
  <c r="H2158" i="13" s="1" a="1"/>
  <c r="H2158" i="13" s="1"/>
  <c r="H2163" i="13" s="1" a="1"/>
  <c r="H2163" i="13" s="1"/>
  <c r="H2164" i="13" s="1"/>
  <c r="O900" i="10"/>
  <c r="O2160" i="13" s="1" a="1"/>
  <c r="O2160" i="13" s="1"/>
  <c r="O897" i="10"/>
  <c r="O2158" i="13" s="1" a="1"/>
  <c r="O2158" i="13" s="1"/>
  <c r="O2163" i="13" s="1" a="1"/>
  <c r="O2163" i="13" s="1"/>
  <c r="O2164" i="13" s="1"/>
  <c r="O899" i="10"/>
  <c r="GH71" i="9" a="1"/>
  <c r="GH71" i="9" s="1"/>
  <c r="FV69" i="9" a="1"/>
  <c r="FV69" i="9" s="1"/>
  <c r="GD69" i="9" s="1"/>
  <c r="N82" i="24" s="1" a="1"/>
  <c r="N82" i="24" s="1"/>
  <c r="AL71" i="9" a="1"/>
  <c r="AL71" i="9" s="1"/>
  <c r="O2107" i="13"/>
  <c r="O2108" i="13" s="1"/>
  <c r="FP71" i="9" a="1"/>
  <c r="FP71" i="9" s="1"/>
  <c r="L2074" i="13"/>
  <c r="L2078" i="13" s="1"/>
  <c r="FS71" i="9" s="1" a="1"/>
  <c r="FS71" i="9" s="1"/>
  <c r="HB70" i="9" a="1"/>
  <c r="HB70" i="9" s="1"/>
  <c r="N2040" i="13"/>
  <c r="N2044" i="13" s="1"/>
  <c r="HE70" i="9" s="1" a="1"/>
  <c r="HE70" i="9" s="1"/>
  <c r="E2044" i="13"/>
  <c r="AP70" i="9" s="1" a="1"/>
  <c r="AP70" i="9" s="1"/>
  <c r="AR70" i="9" s="1"/>
  <c r="AZ70" i="9" s="1"/>
  <c r="N2074" i="13"/>
  <c r="AL72" i="9" a="1"/>
  <c r="AL72" i="9" s="1"/>
  <c r="N910" i="10" a="1"/>
  <c r="N910" i="10" s="1"/>
  <c r="N914" i="10" s="1"/>
  <c r="F2102" i="13"/>
  <c r="M897" i="10"/>
  <c r="M2158" i="13" s="1" a="1"/>
  <c r="M2158" i="13" s="1"/>
  <c r="M2161" i="13" s="1" a="1"/>
  <c r="M2161" i="13" s="1"/>
  <c r="M2162" i="13" s="1"/>
  <c r="M900" i="10"/>
  <c r="M2160" i="13" s="1" a="1"/>
  <c r="M2160" i="13" s="1"/>
  <c r="HT72" i="9" a="1"/>
  <c r="HT72" i="9" s="1"/>
  <c r="N2076" i="13"/>
  <c r="GH72" i="9" a="1"/>
  <c r="GH72" i="9" s="1"/>
  <c r="J2136" i="13"/>
  <c r="FC69" i="9" a="1"/>
  <c r="FC69" i="9" s="1"/>
  <c r="FK69" i="9" s="1"/>
  <c r="M82" i="24" s="1" a="1"/>
  <c r="M82" i="24" s="1"/>
  <c r="BX72" i="9" a="1"/>
  <c r="BX72" i="9" s="1"/>
  <c r="G910" i="10" a="1"/>
  <c r="G910" i="10" s="1"/>
  <c r="G914" i="10" s="1"/>
  <c r="IJ67" i="9"/>
  <c r="IK67" i="9" s="1"/>
  <c r="L910" i="10" a="1"/>
  <c r="L910" i="10" s="1"/>
  <c r="L913" i="10" s="1"/>
  <c r="H2040" i="13"/>
  <c r="FB70" i="9"/>
  <c r="FJ70" i="9" s="1"/>
  <c r="HZ70" i="9"/>
  <c r="IH70" i="9" s="1"/>
  <c r="D2044" i="13"/>
  <c r="W70" i="9" s="1" a="1"/>
  <c r="W70" i="9" s="1"/>
  <c r="Y70" i="9" s="1"/>
  <c r="AG70" i="9" s="1"/>
  <c r="Z69" i="9" a="1"/>
  <c r="Z69" i="9" s="1"/>
  <c r="AH69" i="9" s="1"/>
  <c r="F82" i="24" s="1" a="1"/>
  <c r="F82" i="24" s="1"/>
  <c r="EX70" i="9"/>
  <c r="N908" i="10"/>
  <c r="GY75" i="9" s="1" a="1"/>
  <c r="GY75" i="9" s="1"/>
  <c r="M908" i="10"/>
  <c r="GF75" i="9" s="1" a="1"/>
  <c r="GF75" i="9" s="1"/>
  <c r="F908" i="10"/>
  <c r="BC75" i="9" s="1" a="1"/>
  <c r="BC75" i="9" s="1"/>
  <c r="K908" i="10"/>
  <c r="ET75" i="9" s="1" a="1"/>
  <c r="ET75" i="9" s="1"/>
  <c r="H910" i="10" a="1"/>
  <c r="H910" i="10" s="1"/>
  <c r="H914" i="10" s="1"/>
  <c r="J908" i="10"/>
  <c r="EA75" i="9" s="1" a="1"/>
  <c r="EA75" i="9" s="1"/>
  <c r="D908" i="10"/>
  <c r="Q75" i="9" s="1" a="1"/>
  <c r="Q75" i="9" s="1"/>
  <c r="E2136" i="13"/>
  <c r="CS70" i="9"/>
  <c r="I910" i="10" a="1"/>
  <c r="I910" i="10" s="1"/>
  <c r="I913" i="10" s="1"/>
  <c r="H2042" i="13"/>
  <c r="H2044" i="13" s="1"/>
  <c r="CU70" i="9" s="1" a="1"/>
  <c r="CU70" i="9" s="1"/>
  <c r="CW70" i="9" s="1"/>
  <c r="S72" i="9" a="1"/>
  <c r="S72" i="9" s="1"/>
  <c r="CD70" i="9"/>
  <c r="CL70" i="9" s="1"/>
  <c r="GN69" i="9"/>
  <c r="GV69" i="9" s="1"/>
  <c r="FU70" i="9"/>
  <c r="GC70" i="9" s="1"/>
  <c r="E908" i="10"/>
  <c r="AJ75" i="9" s="1" a="1"/>
  <c r="AJ75" i="9" s="1"/>
  <c r="G2136" i="13"/>
  <c r="G908" i="10"/>
  <c r="BV75" i="9" s="1" a="1"/>
  <c r="BV75" i="9" s="1"/>
  <c r="GK69" i="9"/>
  <c r="GJ69" i="9"/>
  <c r="J2040" i="13"/>
  <c r="ED70" i="9" a="1"/>
  <c r="ED70" i="9" s="1"/>
  <c r="K82" i="25" s="1" a="1"/>
  <c r="K82" i="25" s="1"/>
  <c r="L2107" i="13"/>
  <c r="L2110" i="13" s="1"/>
  <c r="J2042" i="13"/>
  <c r="IJ68" i="9"/>
  <c r="IK68" i="9" s="1"/>
  <c r="D2074" i="13"/>
  <c r="T71" i="9" a="1"/>
  <c r="T71" i="9" s="1"/>
  <c r="FR70" i="9"/>
  <c r="FQ70" i="9"/>
  <c r="HD71" i="9"/>
  <c r="HC71" i="9"/>
  <c r="CA70" i="9"/>
  <c r="BZ70" i="9"/>
  <c r="H2074" i="13"/>
  <c r="CR71" i="9" a="1"/>
  <c r="CR71" i="9" s="1"/>
  <c r="I83" i="25" s="1" a="1"/>
  <c r="I83" i="25" s="1"/>
  <c r="M2040" i="13"/>
  <c r="GI70" i="9" a="1"/>
  <c r="GI70" i="9" s="1"/>
  <c r="N82" i="25" s="1" a="1"/>
  <c r="N82" i="25" s="1"/>
  <c r="AO70" i="9"/>
  <c r="AN70" i="9"/>
  <c r="V70" i="9"/>
  <c r="U70" i="9"/>
  <c r="HH69" i="9" a="1"/>
  <c r="HH69" i="9" s="1"/>
  <c r="HP69" i="9" s="1"/>
  <c r="P82" i="24" s="1" a="1"/>
  <c r="P82" i="24" s="1"/>
  <c r="EX71" i="9"/>
  <c r="EC71" i="9" a="1"/>
  <c r="EC71" i="9" s="1"/>
  <c r="I2074" i="13"/>
  <c r="I2078" i="13" s="1"/>
  <c r="DN71" i="9" s="1" a="1"/>
  <c r="DN71" i="9" s="1"/>
  <c r="DK71" i="9" a="1"/>
  <c r="DK71" i="9" s="1"/>
  <c r="J83" i="25" s="1" a="1"/>
  <c r="J83" i="25" s="1"/>
  <c r="H2076" i="13"/>
  <c r="M2042" i="13"/>
  <c r="IN68" i="9"/>
  <c r="IO68" i="9" s="1"/>
  <c r="L2131" i="13"/>
  <c r="D2076" i="13"/>
  <c r="O2074" i="13"/>
  <c r="O2078" i="13" s="1"/>
  <c r="HX71" i="9" s="1" a="1"/>
  <c r="HX71" i="9" s="1"/>
  <c r="HU71" i="9" a="1"/>
  <c r="HU71" i="9" s="1"/>
  <c r="HV70" i="9"/>
  <c r="I2040" i="13"/>
  <c r="I2044" i="13" s="1"/>
  <c r="DN70" i="9" s="1" a="1"/>
  <c r="DN70" i="9" s="1"/>
  <c r="DK70" i="9" a="1"/>
  <c r="DK70" i="9" s="1"/>
  <c r="O2127" i="13" a="1"/>
  <c r="O2127" i="13" s="1"/>
  <c r="O2128" i="13" s="1"/>
  <c r="O2129" i="13" a="1"/>
  <c r="O2129" i="13" s="1"/>
  <c r="O2130" i="13" s="1"/>
  <c r="N2126" i="13" a="1"/>
  <c r="N2126" i="13" s="1"/>
  <c r="HF73" i="9" a="1"/>
  <c r="HF73" i="9" s="1"/>
  <c r="GZ73" i="9" a="1"/>
  <c r="GZ73" i="9" s="1"/>
  <c r="D2126" i="13" a="1"/>
  <c r="D2126" i="13" s="1"/>
  <c r="X73" i="9" a="1"/>
  <c r="X73" i="9" s="1"/>
  <c r="R73" i="9" a="1"/>
  <c r="R73" i="9" s="1"/>
  <c r="F2097" i="13"/>
  <c r="E2073" i="13"/>
  <c r="H2131" i="13"/>
  <c r="J2073" i="13"/>
  <c r="J2076" i="13" s="1"/>
  <c r="G2137" i="13" a="1"/>
  <c r="G2137" i="13" s="1"/>
  <c r="G2138" i="13" s="1"/>
  <c r="G2139" i="13" a="1"/>
  <c r="G2139" i="13" s="1"/>
  <c r="G2140" i="13" s="1"/>
  <c r="D2132" i="13" a="1"/>
  <c r="D2132" i="13" s="1"/>
  <c r="D2133" i="13" s="1"/>
  <c r="D2134" i="13" a="1"/>
  <c r="D2134" i="13" s="1"/>
  <c r="D2135" i="13" s="1"/>
  <c r="L2137" i="13" a="1"/>
  <c r="L2137" i="13" s="1"/>
  <c r="L2138" i="13" s="1"/>
  <c r="L2139" i="13" a="1"/>
  <c r="L2139" i="13" s="1"/>
  <c r="L2140" i="13" s="1"/>
  <c r="O2166" i="13" a="1"/>
  <c r="O2166" i="13" s="1"/>
  <c r="O2167" i="13" s="1"/>
  <c r="O2168" i="13" a="1"/>
  <c r="O2168" i="13" s="1"/>
  <c r="O2169" i="13" s="1"/>
  <c r="O2126" i="13" a="1"/>
  <c r="O2126" i="13" s="1"/>
  <c r="HY73" i="9" a="1"/>
  <c r="HY73" i="9" s="1"/>
  <c r="HS73" i="9" a="1"/>
  <c r="HS73" i="9" s="1"/>
  <c r="F2160" i="13" a="1"/>
  <c r="F2160" i="13" s="1"/>
  <c r="BJ74" i="9" a="1"/>
  <c r="BJ74" i="9" s="1"/>
  <c r="BD74" i="9" a="1"/>
  <c r="BD74" i="9" s="1"/>
  <c r="N2127" i="13" a="1"/>
  <c r="N2127" i="13" s="1"/>
  <c r="N2128" i="13" s="1"/>
  <c r="N2129" i="13" a="1"/>
  <c r="N2129" i="13" s="1"/>
  <c r="N2130" i="13" s="1"/>
  <c r="D2127" i="13" a="1"/>
  <c r="D2127" i="13" s="1"/>
  <c r="D2128" i="13" s="1"/>
  <c r="D2129" i="13" a="1"/>
  <c r="D2129" i="13" s="1"/>
  <c r="D2130" i="13" s="1"/>
  <c r="J2102" i="13"/>
  <c r="E2107" i="13"/>
  <c r="M2137" i="13" a="1"/>
  <c r="M2137" i="13" s="1"/>
  <c r="M2138" i="13" s="1"/>
  <c r="M2139" i="13" a="1"/>
  <c r="M2139" i="13" s="1"/>
  <c r="M2140" i="13" s="1"/>
  <c r="F2137" i="13" a="1"/>
  <c r="F2137" i="13" s="1"/>
  <c r="F2138" i="13" s="1"/>
  <c r="F2139" i="13" a="1"/>
  <c r="F2139" i="13" s="1"/>
  <c r="F2140" i="13" s="1"/>
  <c r="H2137" i="13" a="1"/>
  <c r="H2137" i="13" s="1"/>
  <c r="H2138" i="13" s="1"/>
  <c r="H2139" i="13" a="1"/>
  <c r="H2139" i="13" s="1"/>
  <c r="H2140" i="13" s="1"/>
  <c r="G2160" i="13" a="1"/>
  <c r="G2160" i="13" s="1"/>
  <c r="CC74" i="9" a="1"/>
  <c r="CC74" i="9" s="1"/>
  <c r="BW74" i="9" a="1"/>
  <c r="BW74" i="9" s="1"/>
  <c r="M2073" i="13"/>
  <c r="G2073" i="13"/>
  <c r="N2107" i="13"/>
  <c r="F2103" i="13" a="1"/>
  <c r="F2103" i="13" s="1"/>
  <c r="F2104" i="13" s="1"/>
  <c r="F2105" i="13" a="1"/>
  <c r="F2105" i="13" s="1"/>
  <c r="F2106" i="13" s="1"/>
  <c r="J2103" i="13" a="1"/>
  <c r="J2103" i="13" s="1"/>
  <c r="J2104" i="13" s="1"/>
  <c r="J2105" i="13" a="1"/>
  <c r="J2105" i="13" s="1"/>
  <c r="J2106" i="13" s="1"/>
  <c r="O2132" i="13" a="1"/>
  <c r="O2132" i="13" s="1"/>
  <c r="O2133" i="13" s="1"/>
  <c r="O2134" i="13" a="1"/>
  <c r="O2134" i="13" s="1"/>
  <c r="O2135" i="13" s="1"/>
  <c r="N2132" i="13" a="1"/>
  <c r="N2132" i="13" s="1"/>
  <c r="N2133" i="13" s="1"/>
  <c r="N2134" i="13" a="1"/>
  <c r="N2134" i="13" s="1"/>
  <c r="N2135" i="13" s="1"/>
  <c r="I2132" i="13" a="1"/>
  <c r="I2132" i="13" s="1"/>
  <c r="I2133" i="13" s="1"/>
  <c r="I2134" i="13" a="1"/>
  <c r="I2134" i="13" s="1"/>
  <c r="I2135" i="13" s="1"/>
  <c r="I2127" i="13" a="1"/>
  <c r="I2127" i="13" s="1"/>
  <c r="I2128" i="13" s="1"/>
  <c r="I2129" i="13" a="1"/>
  <c r="I2129" i="13" s="1"/>
  <c r="I2130" i="13" s="1"/>
  <c r="K2132" i="13" a="1"/>
  <c r="K2132" i="13" s="1"/>
  <c r="K2133" i="13" s="1"/>
  <c r="K2134" i="13" a="1"/>
  <c r="K2134" i="13" s="1"/>
  <c r="K2135" i="13" s="1"/>
  <c r="I2126" i="13" a="1"/>
  <c r="I2126" i="13" s="1"/>
  <c r="DO73" i="9" a="1"/>
  <c r="DO73" i="9" s="1"/>
  <c r="DI73" i="9" a="1"/>
  <c r="DI73" i="9" s="1"/>
  <c r="K2126" i="13" a="1"/>
  <c r="K2126" i="13" s="1"/>
  <c r="FA73" i="9" a="1"/>
  <c r="FA73" i="9" s="1"/>
  <c r="EU73" i="9" a="1"/>
  <c r="EU73" i="9" s="1"/>
  <c r="L2136" i="13"/>
  <c r="J2097" i="13"/>
  <c r="G2166" i="13" a="1"/>
  <c r="G2166" i="13" s="1"/>
  <c r="G2167" i="13" s="1"/>
  <c r="G2168" i="13" a="1"/>
  <c r="G2168" i="13" s="1"/>
  <c r="G2169" i="13" s="1"/>
  <c r="H2160" i="13" a="1"/>
  <c r="H2160" i="13" s="1"/>
  <c r="CV74" i="9" a="1"/>
  <c r="CV74" i="9" s="1"/>
  <c r="CP74" i="9" a="1"/>
  <c r="CP74" i="9" s="1"/>
  <c r="M2136" i="13"/>
  <c r="J2137" i="13" a="1"/>
  <c r="J2137" i="13" s="1"/>
  <c r="J2138" i="13" s="1"/>
  <c r="J2139" i="13" a="1"/>
  <c r="J2139" i="13" s="1"/>
  <c r="J2140" i="13" s="1"/>
  <c r="E2137" i="13" a="1"/>
  <c r="E2137" i="13" s="1"/>
  <c r="E2138" i="13" s="1"/>
  <c r="E2139" i="13" a="1"/>
  <c r="E2139" i="13" s="1"/>
  <c r="E2140" i="13" s="1"/>
  <c r="J2160" i="13" a="1"/>
  <c r="J2160" i="13" s="1"/>
  <c r="EH74" i="9" a="1"/>
  <c r="EH74" i="9" s="1"/>
  <c r="EB74" i="9" a="1"/>
  <c r="EB74" i="9" s="1"/>
  <c r="L2160" i="13" a="1"/>
  <c r="L2160" i="13" s="1"/>
  <c r="FT74" i="9" a="1"/>
  <c r="FT74" i="9" s="1"/>
  <c r="FN74" i="9" a="1"/>
  <c r="FN74" i="9" s="1"/>
  <c r="I2160" i="13" a="1"/>
  <c r="I2160" i="13" s="1"/>
  <c r="DO74" i="9" a="1"/>
  <c r="DO74" i="9" s="1"/>
  <c r="DI74" i="9" a="1"/>
  <c r="DI74" i="9" s="1"/>
  <c r="K2127" i="13" a="1"/>
  <c r="K2127" i="13" s="1"/>
  <c r="K2128" i="13" s="1"/>
  <c r="K2129" i="13" a="1"/>
  <c r="K2129" i="13" s="1"/>
  <c r="K2130" i="13" s="1"/>
  <c r="E900" i="10"/>
  <c r="E897" i="10"/>
  <c r="E2158" i="13" s="1" a="1"/>
  <c r="E2158" i="13" s="1"/>
  <c r="E899" i="10"/>
  <c r="E898" i="10"/>
  <c r="E2159" i="13" s="1" a="1"/>
  <c r="E2159" i="13" s="1"/>
  <c r="D913" i="10"/>
  <c r="D914" i="10"/>
  <c r="D911" i="10"/>
  <c r="D2192" i="13" s="1" a="1"/>
  <c r="D2192" i="13" s="1"/>
  <c r="K899" i="10"/>
  <c r="K900" i="10"/>
  <c r="K897" i="10"/>
  <c r="K2158" i="13" s="1" a="1"/>
  <c r="K2158" i="13" s="1"/>
  <c r="K898" i="10"/>
  <c r="K2159" i="13" s="1" a="1"/>
  <c r="K2159" i="13" s="1"/>
  <c r="P886" i="10"/>
  <c r="P884" i="10"/>
  <c r="D900" i="10"/>
  <c r="D898" i="10"/>
  <c r="D2159" i="13" s="1" a="1"/>
  <c r="D2159" i="13" s="1"/>
  <c r="D897" i="10"/>
  <c r="D2158" i="13" s="1" a="1"/>
  <c r="D2158" i="13" s="1"/>
  <c r="D899" i="10"/>
  <c r="P883" i="10"/>
  <c r="P885" i="10"/>
  <c r="O910" i="10" a="1"/>
  <c r="O910" i="10" s="1"/>
  <c r="IN66" i="9"/>
  <c r="IO66" i="9" s="1"/>
  <c r="F91" i="24"/>
  <c r="IN65" i="9"/>
  <c r="IO65" i="9" s="1"/>
  <c r="IJ65" i="9"/>
  <c r="IK65" i="9" s="1"/>
  <c r="GV11" i="23"/>
  <c r="J941" i="10" l="1"/>
  <c r="J940" i="10"/>
  <c r="J2261" i="13" s="1" a="1"/>
  <c r="J2261" i="13" s="1"/>
  <c r="J939" i="10"/>
  <c r="J2260" i="13" s="1" a="1"/>
  <c r="J2260" i="13" s="1"/>
  <c r="J942" i="10"/>
  <c r="O940" i="10"/>
  <c r="O2261" i="13" s="1" a="1"/>
  <c r="O2261" i="13" s="1"/>
  <c r="O942" i="10"/>
  <c r="O939" i="10"/>
  <c r="O2260" i="13" s="1" a="1"/>
  <c r="O2260" i="13" s="1"/>
  <c r="O941" i="10"/>
  <c r="L942" i="10"/>
  <c r="L939" i="10"/>
  <c r="L2260" i="13" s="1" a="1"/>
  <c r="L2260" i="13" s="1"/>
  <c r="L940" i="10"/>
  <c r="L2261" i="13" s="1" a="1"/>
  <c r="L2261" i="13" s="1"/>
  <c r="L941" i="10"/>
  <c r="I2229" i="13" a="1"/>
  <c r="I2229" i="13" s="1"/>
  <c r="I2230" i="13" s="1"/>
  <c r="I2231" i="13" a="1"/>
  <c r="I2231" i="13" s="1"/>
  <c r="I2232" i="13" s="1"/>
  <c r="GM76" i="9" a="1"/>
  <c r="GM76" i="9" s="1"/>
  <c r="GG76" i="9" a="1"/>
  <c r="GG76" i="9" s="1"/>
  <c r="M2228" i="13" a="1"/>
  <c r="M2228" i="13" s="1"/>
  <c r="J2229" i="13" a="1"/>
  <c r="J2229" i="13" s="1"/>
  <c r="J2230" i="13" s="1"/>
  <c r="J2231" i="13" a="1"/>
  <c r="J2231" i="13" s="1"/>
  <c r="J2232" i="13" s="1"/>
  <c r="J2233" i="13" s="1"/>
  <c r="HY76" i="9" a="1"/>
  <c r="HY76" i="9" s="1"/>
  <c r="HS76" i="9" a="1"/>
  <c r="HS76" i="9" s="1"/>
  <c r="O2228" i="13" a="1"/>
  <c r="O2228" i="13" s="1"/>
  <c r="E2234" i="13" a="1"/>
  <c r="E2234" i="13" s="1"/>
  <c r="E2235" i="13" s="1"/>
  <c r="E2236" i="13" a="1"/>
  <c r="E2236" i="13" s="1"/>
  <c r="E2237" i="13" s="1"/>
  <c r="I2234" i="13" a="1"/>
  <c r="I2234" i="13" s="1"/>
  <c r="I2235" i="13" s="1"/>
  <c r="I2236" i="13" a="1"/>
  <c r="I2236" i="13" s="1"/>
  <c r="I2237" i="13" s="1"/>
  <c r="AQ76" i="9" a="1"/>
  <c r="AQ76" i="9" s="1"/>
  <c r="AK76" i="9" a="1"/>
  <c r="AK76" i="9" s="1"/>
  <c r="E2228" i="13" a="1"/>
  <c r="E2228" i="13" s="1"/>
  <c r="X76" i="9" a="1"/>
  <c r="X76" i="9" s="1"/>
  <c r="R76" i="9" a="1"/>
  <c r="R76" i="9" s="1"/>
  <c r="D2228" i="13" a="1"/>
  <c r="D2228" i="13" s="1"/>
  <c r="O2234" i="13" a="1"/>
  <c r="O2234" i="13" s="1"/>
  <c r="O2235" i="13" s="1"/>
  <c r="O2236" i="13" a="1"/>
  <c r="O2236" i="13" s="1"/>
  <c r="O2237" i="13" s="1"/>
  <c r="M2229" i="13" a="1"/>
  <c r="M2229" i="13" s="1"/>
  <c r="M2230" i="13" s="1"/>
  <c r="M2231" i="13" a="1"/>
  <c r="M2231" i="13" s="1"/>
  <c r="M2232" i="13" s="1"/>
  <c r="M2233" i="13" s="1"/>
  <c r="DO76" i="9" a="1"/>
  <c r="DO76" i="9" s="1"/>
  <c r="DI76" i="9" a="1"/>
  <c r="DI76" i="9" s="1"/>
  <c r="I2228" i="13" a="1"/>
  <c r="I2228" i="13" s="1"/>
  <c r="E940" i="10"/>
  <c r="E2261" i="13" s="1" a="1"/>
  <c r="E2261" i="13" s="1"/>
  <c r="E939" i="10"/>
  <c r="E2260" i="13" s="1" a="1"/>
  <c r="E2260" i="13" s="1"/>
  <c r="E941" i="10"/>
  <c r="E942" i="10"/>
  <c r="D2227" i="13" a="1"/>
  <c r="D2227" i="13" s="1"/>
  <c r="O2229" i="13" a="1"/>
  <c r="O2229" i="13" s="1"/>
  <c r="O2230" i="13" s="1"/>
  <c r="O2231" i="13" a="1"/>
  <c r="O2231" i="13" s="1"/>
  <c r="O2232" i="13" s="1"/>
  <c r="G938" i="10" a="1"/>
  <c r="G938" i="10" s="1"/>
  <c r="F939" i="10"/>
  <c r="F2260" i="13" s="1" a="1"/>
  <c r="F2260" i="13" s="1"/>
  <c r="F940" i="10"/>
  <c r="F2261" i="13" s="1" a="1"/>
  <c r="F2261" i="13" s="1"/>
  <c r="F941" i="10"/>
  <c r="F942" i="10"/>
  <c r="G2229" i="13" a="1"/>
  <c r="G2229" i="13" s="1"/>
  <c r="G2230" i="13" s="1"/>
  <c r="G2231" i="13" a="1"/>
  <c r="G2231" i="13" s="1"/>
  <c r="G2232" i="13" s="1"/>
  <c r="D2226" i="13" a="1"/>
  <c r="D2226" i="13" s="1"/>
  <c r="H2234" i="13" a="1"/>
  <c r="H2234" i="13" s="1"/>
  <c r="H2235" i="13" s="1"/>
  <c r="H2236" i="13" a="1"/>
  <c r="H2236" i="13" s="1"/>
  <c r="H2237" i="13" s="1"/>
  <c r="D938" i="10" a="1"/>
  <c r="D938" i="10" s="1"/>
  <c r="N938" i="10" a="1"/>
  <c r="N938" i="10" s="1"/>
  <c r="CC76" i="9" a="1"/>
  <c r="CC76" i="9" s="1"/>
  <c r="BW76" i="9" a="1"/>
  <c r="BW76" i="9" s="1"/>
  <c r="G2228" i="13" a="1"/>
  <c r="G2228" i="13" s="1"/>
  <c r="H2229" i="13" a="1"/>
  <c r="H2229" i="13" s="1"/>
  <c r="H2230" i="13" s="1"/>
  <c r="H2231" i="13" a="1"/>
  <c r="H2231" i="13" s="1"/>
  <c r="H2232" i="13" s="1"/>
  <c r="H2233" i="13" s="1"/>
  <c r="K2234" i="13" a="1"/>
  <c r="K2234" i="13" s="1"/>
  <c r="K2235" i="13" s="1"/>
  <c r="K2236" i="13" a="1"/>
  <c r="K2236" i="13" s="1"/>
  <c r="K2237" i="13" s="1"/>
  <c r="CV76" i="9" a="1"/>
  <c r="CV76" i="9" s="1"/>
  <c r="CP76" i="9" a="1"/>
  <c r="CP76" i="9" s="1"/>
  <c r="H2228" i="13" a="1"/>
  <c r="H2228" i="13" s="1"/>
  <c r="K2229" i="13" a="1"/>
  <c r="K2229" i="13" s="1"/>
  <c r="K2230" i="13" s="1"/>
  <c r="K2231" i="13" a="1"/>
  <c r="K2231" i="13" s="1"/>
  <c r="K2232" i="13" s="1"/>
  <c r="G2234" i="13" a="1"/>
  <c r="G2234" i="13" s="1"/>
  <c r="G2235" i="13" s="1"/>
  <c r="G2236" i="13" a="1"/>
  <c r="G2236" i="13" s="1"/>
  <c r="G2237" i="13" s="1"/>
  <c r="L2234" i="13" a="1"/>
  <c r="L2234" i="13" s="1"/>
  <c r="L2235" i="13" s="1"/>
  <c r="L2236" i="13" a="1"/>
  <c r="L2236" i="13" s="1"/>
  <c r="L2237" i="13" s="1"/>
  <c r="L2238" i="13" s="1"/>
  <c r="FA76" i="9" a="1"/>
  <c r="FA76" i="9" s="1"/>
  <c r="EU76" i="9" a="1"/>
  <c r="EU76" i="9" s="1"/>
  <c r="K2228" i="13" a="1"/>
  <c r="K2228" i="13" s="1"/>
  <c r="FT76" i="9" a="1"/>
  <c r="FT76" i="9" s="1"/>
  <c r="FN76" i="9" a="1"/>
  <c r="FN76" i="9" s="1"/>
  <c r="L2228" i="13" a="1"/>
  <c r="L2228" i="13" s="1"/>
  <c r="HF76" i="9" a="1"/>
  <c r="HF76" i="9" s="1"/>
  <c r="GZ76" i="9" a="1"/>
  <c r="GZ76" i="9" s="1"/>
  <c r="N2228" i="13" a="1"/>
  <c r="N2228" i="13" s="1"/>
  <c r="H939" i="10"/>
  <c r="H2260" i="13" s="1" a="1"/>
  <c r="H2260" i="13" s="1"/>
  <c r="H941" i="10"/>
  <c r="H940" i="10"/>
  <c r="H2261" i="13" s="1" a="1"/>
  <c r="H2261" i="13" s="1"/>
  <c r="H942" i="10"/>
  <c r="I940" i="10"/>
  <c r="I2261" i="13" s="1" a="1"/>
  <c r="I2261" i="13" s="1"/>
  <c r="I941" i="10"/>
  <c r="I939" i="10"/>
  <c r="I2260" i="13" s="1" a="1"/>
  <c r="I2260" i="13" s="1"/>
  <c r="I942" i="10"/>
  <c r="EH76" i="9" a="1"/>
  <c r="EH76" i="9" s="1"/>
  <c r="EB76" i="9" a="1"/>
  <c r="EB76" i="9" s="1"/>
  <c r="J2228" i="13" a="1"/>
  <c r="J2228" i="13" s="1"/>
  <c r="M939" i="10"/>
  <c r="M2260" i="13" s="1" a="1"/>
  <c r="M2260" i="13" s="1"/>
  <c r="M942" i="10"/>
  <c r="M941" i="10"/>
  <c r="M940" i="10"/>
  <c r="M2261" i="13" s="1" a="1"/>
  <c r="M2261" i="13" s="1"/>
  <c r="F926" i="10"/>
  <c r="F2227" i="13" s="1" a="1"/>
  <c r="F2227" i="13" s="1"/>
  <c r="F927" i="10"/>
  <c r="P927" i="10" s="1"/>
  <c r="F925" i="10"/>
  <c r="F2226" i="13" s="1" a="1"/>
  <c r="F2226" i="13" s="1"/>
  <c r="F928" i="10"/>
  <c r="L2229" i="13" a="1"/>
  <c r="L2229" i="13" s="1"/>
  <c r="L2230" i="13" s="1"/>
  <c r="L2231" i="13" a="1"/>
  <c r="L2231" i="13" s="1"/>
  <c r="L2232" i="13" s="1"/>
  <c r="N2234" i="13" a="1"/>
  <c r="N2234" i="13" s="1"/>
  <c r="N2235" i="13" s="1"/>
  <c r="N2236" i="13" a="1"/>
  <c r="N2236" i="13" s="1"/>
  <c r="N2237" i="13" s="1"/>
  <c r="M2234" i="13" a="1"/>
  <c r="M2234" i="13" s="1"/>
  <c r="M2235" i="13" s="1"/>
  <c r="M2236" i="13" a="1"/>
  <c r="M2236" i="13" s="1"/>
  <c r="M2237" i="13" s="1"/>
  <c r="E2229" i="13" a="1"/>
  <c r="E2229" i="13" s="1"/>
  <c r="E2230" i="13" s="1"/>
  <c r="E2231" i="13" a="1"/>
  <c r="E2231" i="13" s="1"/>
  <c r="E2232" i="13" s="1"/>
  <c r="E2233" i="13" s="1"/>
  <c r="J2234" i="13" a="1"/>
  <c r="J2234" i="13" s="1"/>
  <c r="J2235" i="13" s="1"/>
  <c r="J2236" i="13" a="1"/>
  <c r="J2236" i="13" s="1"/>
  <c r="J2237" i="13" s="1"/>
  <c r="K940" i="10"/>
  <c r="K2261" i="13" s="1" a="1"/>
  <c r="K2261" i="13" s="1"/>
  <c r="K941" i="10"/>
  <c r="K942" i="10"/>
  <c r="K939" i="10"/>
  <c r="K2260" i="13" s="1" a="1"/>
  <c r="K2260" i="13" s="1"/>
  <c r="N2229" i="13" a="1"/>
  <c r="N2229" i="13" s="1"/>
  <c r="N2230" i="13" s="1"/>
  <c r="N2231" i="13" a="1"/>
  <c r="N2231" i="13" s="1"/>
  <c r="N2232" i="13" s="1"/>
  <c r="FR71" i="9"/>
  <c r="M83" i="25" a="1"/>
  <c r="M83" i="25" s="1"/>
  <c r="HW71" i="9"/>
  <c r="P83" i="25" a="1"/>
  <c r="P83" i="25" s="1"/>
  <c r="HD70" i="9"/>
  <c r="O82" i="25" a="1"/>
  <c r="O82" i="25" s="1"/>
  <c r="DM70" i="9"/>
  <c r="J82" i="25" a="1"/>
  <c r="J82" i="25" s="1"/>
  <c r="BG71" i="9"/>
  <c r="G83" i="25" a="1"/>
  <c r="G83" i="25" s="1"/>
  <c r="V71" i="9"/>
  <c r="E83" i="25" a="1"/>
  <c r="E83" i="25" s="1"/>
  <c r="L2168" i="13" a="1"/>
  <c r="L2168" i="13" s="1"/>
  <c r="L2169" i="13" s="1"/>
  <c r="L2170" i="13" s="1"/>
  <c r="N913" i="10"/>
  <c r="K914" i="10"/>
  <c r="K2194" i="13" s="1" a="1"/>
  <c r="K2194" i="13" s="1"/>
  <c r="K911" i="10"/>
  <c r="K2192" i="13" s="1" a="1"/>
  <c r="K2192" i="13" s="1"/>
  <c r="K2197" i="13" s="1" a="1"/>
  <c r="K2197" i="13" s="1"/>
  <c r="K2198" i="13" s="1"/>
  <c r="N2163" i="13" a="1"/>
  <c r="N2163" i="13" s="1"/>
  <c r="N2164" i="13" s="1"/>
  <c r="N2165" i="13" s="1"/>
  <c r="K913" i="10"/>
  <c r="F914" i="10"/>
  <c r="BJ75" i="9" s="1" a="1"/>
  <c r="BJ75" i="9" s="1"/>
  <c r="F913" i="10"/>
  <c r="F911" i="10"/>
  <c r="F2192" i="13" s="1" a="1"/>
  <c r="F2192" i="13" s="1"/>
  <c r="F2195" i="13" s="1" a="1"/>
  <c r="F2195" i="13" s="1"/>
  <c r="F2196" i="13" s="1"/>
  <c r="J2166" i="13" a="1"/>
  <c r="J2166" i="13" s="1"/>
  <c r="J2167" i="13" s="1"/>
  <c r="J2170" i="13" s="1"/>
  <c r="G2163" i="13" a="1"/>
  <c r="G2163" i="13" s="1"/>
  <c r="G2164" i="13" s="1"/>
  <c r="G2165" i="13" s="1"/>
  <c r="N2168" i="13" a="1"/>
  <c r="N2168" i="13" s="1"/>
  <c r="N2169" i="13" s="1"/>
  <c r="N2170" i="13" s="1"/>
  <c r="L2163" i="13" a="1"/>
  <c r="L2163" i="13" s="1"/>
  <c r="L2164" i="13" s="1"/>
  <c r="L2165" i="13" s="1"/>
  <c r="HF74" i="9" a="1"/>
  <c r="HF74" i="9" s="1"/>
  <c r="M913" i="10"/>
  <c r="M912" i="10"/>
  <c r="M2193" i="13" s="1" a="1"/>
  <c r="M2193" i="13" s="1"/>
  <c r="M2200" i="13" s="1" a="1"/>
  <c r="M2200" i="13" s="1"/>
  <c r="M2201" i="13" s="1"/>
  <c r="N2160" i="13" a="1"/>
  <c r="N2160" i="13" s="1"/>
  <c r="N2171" i="13" s="1" a="1"/>
  <c r="N2171" i="13" s="1"/>
  <c r="N2172" i="13" s="1"/>
  <c r="M914" i="10"/>
  <c r="M2194" i="13" s="1" a="1"/>
  <c r="M2194" i="13" s="1"/>
  <c r="K2078" i="13"/>
  <c r="EZ71" i="9" s="1" a="1"/>
  <c r="EZ71" i="9" s="1"/>
  <c r="FB71" i="9" s="1"/>
  <c r="FJ71" i="9" s="1"/>
  <c r="J913" i="10"/>
  <c r="J911" i="10"/>
  <c r="J2192" i="13" s="1" a="1"/>
  <c r="J2192" i="13" s="1"/>
  <c r="J2195" i="13" s="1" a="1"/>
  <c r="J2195" i="13" s="1"/>
  <c r="J2196" i="13" s="1"/>
  <c r="J914" i="10"/>
  <c r="J2194" i="13" s="1" a="1"/>
  <c r="J2194" i="13" s="1"/>
  <c r="M2166" i="13" a="1"/>
  <c r="M2166" i="13" s="1"/>
  <c r="M2167" i="13" s="1"/>
  <c r="M2170" i="13" s="1"/>
  <c r="EC73" i="9" a="1"/>
  <c r="EC73" i="9" s="1"/>
  <c r="H2168" i="13" a="1"/>
  <c r="H2168" i="13" s="1"/>
  <c r="H2169" i="13" s="1"/>
  <c r="H2170" i="13" s="1"/>
  <c r="I912" i="10"/>
  <c r="I2193" i="13" s="1" a="1"/>
  <c r="I2193" i="13" s="1"/>
  <c r="I2200" i="13" s="1" a="1"/>
  <c r="I2200" i="13" s="1"/>
  <c r="I2201" i="13" s="1"/>
  <c r="F2168" i="13" a="1"/>
  <c r="F2168" i="13" s="1"/>
  <c r="F2169" i="13" s="1"/>
  <c r="F2170" i="13" s="1"/>
  <c r="H2161" i="13" a="1"/>
  <c r="H2161" i="13" s="1"/>
  <c r="H2162" i="13" s="1"/>
  <c r="H2165" i="13" s="1"/>
  <c r="E914" i="10"/>
  <c r="AQ75" i="9" s="1" a="1"/>
  <c r="AQ75" i="9" s="1"/>
  <c r="E912" i="10"/>
  <c r="E2193" i="13" s="1" a="1"/>
  <c r="E2193" i="13" s="1"/>
  <c r="E2200" i="13" s="1" a="1"/>
  <c r="E2200" i="13" s="1"/>
  <c r="E2201" i="13" s="1"/>
  <c r="E913" i="10"/>
  <c r="I2163" i="13" a="1"/>
  <c r="I2163" i="13" s="1"/>
  <c r="I2164" i="13" s="1"/>
  <c r="I2165" i="13" s="1"/>
  <c r="F2163" i="13" a="1"/>
  <c r="F2163" i="13" s="1"/>
  <c r="F2164" i="13" s="1"/>
  <c r="F2165" i="13" s="1"/>
  <c r="I2168" i="13" a="1"/>
  <c r="I2168" i="13" s="1"/>
  <c r="I2169" i="13" s="1"/>
  <c r="I2170" i="13" s="1"/>
  <c r="GH73" i="9" a="1"/>
  <c r="GH73" i="9" s="1"/>
  <c r="O2161" i="13" a="1"/>
  <c r="O2161" i="13" s="1"/>
  <c r="O2162" i="13" s="1"/>
  <c r="O2165" i="13" s="1"/>
  <c r="J2163" i="13" a="1"/>
  <c r="J2163" i="13" s="1"/>
  <c r="J2164" i="13" s="1"/>
  <c r="J2165" i="13" s="1"/>
  <c r="BH71" i="9"/>
  <c r="H911" i="10"/>
  <c r="H2192" i="13" s="1" a="1"/>
  <c r="H2192" i="13" s="1"/>
  <c r="H2195" i="13" s="1" a="1"/>
  <c r="H2195" i="13" s="1"/>
  <c r="H2196" i="13" s="1"/>
  <c r="H913" i="10"/>
  <c r="H912" i="10"/>
  <c r="H2193" i="13" s="1" a="1"/>
  <c r="H2193" i="13" s="1"/>
  <c r="H2200" i="13" s="1" a="1"/>
  <c r="H2200" i="13" s="1"/>
  <c r="H2201" i="13" s="1"/>
  <c r="HS74" i="9" a="1"/>
  <c r="HS74" i="9" s="1"/>
  <c r="N912" i="10"/>
  <c r="N2193" i="13" s="1" a="1"/>
  <c r="N2193" i="13" s="1"/>
  <c r="N2202" i="13" s="1" a="1"/>
  <c r="N2202" i="13" s="1"/>
  <c r="N2203" i="13" s="1"/>
  <c r="N911" i="10"/>
  <c r="N2192" i="13" s="1" a="1"/>
  <c r="N2192" i="13" s="1"/>
  <c r="N2195" i="13" s="1" a="1"/>
  <c r="N2195" i="13" s="1"/>
  <c r="N2196" i="13" s="1"/>
  <c r="HY74" i="9" a="1"/>
  <c r="HY74" i="9" s="1"/>
  <c r="H2110" i="13"/>
  <c r="H2112" i="13" s="1"/>
  <c r="CU72" i="9" s="1" a="1"/>
  <c r="CU72" i="9" s="1"/>
  <c r="AL73" i="9" a="1"/>
  <c r="AL73" i="9" s="1"/>
  <c r="G912" i="10"/>
  <c r="G2193" i="13" s="1" a="1"/>
  <c r="G2193" i="13" s="1"/>
  <c r="G2200" i="13" s="1" a="1"/>
  <c r="G2200" i="13" s="1"/>
  <c r="G2201" i="13" s="1"/>
  <c r="CQ73" i="9" a="1"/>
  <c r="CQ73" i="9" s="1"/>
  <c r="BK71" i="9"/>
  <c r="BS71" i="9" s="1"/>
  <c r="O2110" i="13"/>
  <c r="O2112" i="13" s="1"/>
  <c r="HX72" i="9" s="1" a="1"/>
  <c r="HX72" i="9" s="1"/>
  <c r="IL69" i="9"/>
  <c r="IM69" i="9" s="1"/>
  <c r="IA69" i="9" a="1"/>
  <c r="IA69" i="9" s="1"/>
  <c r="II69" i="9" s="1"/>
  <c r="Q82" i="24" s="1" a="1"/>
  <c r="Q82" i="24" s="1"/>
  <c r="BL70" i="9" a="1"/>
  <c r="BL70" i="9" s="1"/>
  <c r="BT70" i="9" s="1"/>
  <c r="H83" i="24" s="1" a="1"/>
  <c r="H83" i="24" s="1"/>
  <c r="I911" i="10"/>
  <c r="I2192" i="13" s="1" a="1"/>
  <c r="I2192" i="13" s="1"/>
  <c r="I2195" i="13" s="1" a="1"/>
  <c r="I2195" i="13" s="1"/>
  <c r="I2196" i="13" s="1"/>
  <c r="L914" i="10"/>
  <c r="L2194" i="13" s="1" a="1"/>
  <c r="L2194" i="13" s="1"/>
  <c r="I914" i="10"/>
  <c r="I2194" i="13" s="1" a="1"/>
  <c r="I2194" i="13" s="1"/>
  <c r="FQ71" i="9"/>
  <c r="FU71" i="9"/>
  <c r="GC71" i="9" s="1"/>
  <c r="BE72" i="9" a="1"/>
  <c r="BE72" i="9" s="1"/>
  <c r="CR72" i="9" a="1"/>
  <c r="CR72" i="9" s="1"/>
  <c r="BX73" i="9" a="1"/>
  <c r="BX73" i="9" s="1"/>
  <c r="IA70" i="9" a="1"/>
  <c r="IA70" i="9" s="1"/>
  <c r="II70" i="9" s="1"/>
  <c r="Q83" i="24" s="1" a="1"/>
  <c r="Q83" i="24" s="1"/>
  <c r="HU72" i="9" a="1"/>
  <c r="HU72" i="9" s="1"/>
  <c r="M2163" i="13" a="1"/>
  <c r="M2163" i="13" s="1"/>
  <c r="M2164" i="13" s="1"/>
  <c r="M2165" i="13" s="1"/>
  <c r="M2044" i="13"/>
  <c r="GL70" i="9" s="1" a="1"/>
  <c r="GL70" i="9" s="1"/>
  <c r="GN70" i="9" s="1"/>
  <c r="GV70" i="9" s="1"/>
  <c r="HG70" i="9"/>
  <c r="HO70" i="9" s="1"/>
  <c r="N2078" i="13"/>
  <c r="HE71" i="9" s="1" a="1"/>
  <c r="HE71" i="9" s="1"/>
  <c r="HG71" i="9" s="1"/>
  <c r="HO71" i="9" s="1"/>
  <c r="D2078" i="13"/>
  <c r="W71" i="9" s="1" a="1"/>
  <c r="W71" i="9" s="1"/>
  <c r="Y71" i="9" s="1"/>
  <c r="FC70" i="9" a="1"/>
  <c r="FC70" i="9" s="1"/>
  <c r="FK70" i="9" s="1"/>
  <c r="M83" i="24" s="1" a="1"/>
  <c r="M83" i="24" s="1"/>
  <c r="HC70" i="9"/>
  <c r="GG74" i="9" a="1"/>
  <c r="GG74" i="9" s="1"/>
  <c r="GM74" i="9" a="1"/>
  <c r="GM74" i="9" s="1"/>
  <c r="G913" i="10"/>
  <c r="G911" i="10"/>
  <c r="G2192" i="13" s="1" a="1"/>
  <c r="G2192" i="13" s="1"/>
  <c r="G2195" i="13" s="1" a="1"/>
  <c r="G2195" i="13" s="1"/>
  <c r="G2196" i="13" s="1"/>
  <c r="L912" i="10"/>
  <c r="L2193" i="13" s="1" a="1"/>
  <c r="L2193" i="13" s="1"/>
  <c r="L2200" i="13" s="1" a="1"/>
  <c r="L2200" i="13" s="1"/>
  <c r="L2201" i="13" s="1"/>
  <c r="L911" i="10"/>
  <c r="L2192" i="13" s="1" a="1"/>
  <c r="L2192" i="13" s="1"/>
  <c r="L2195" i="13" s="1" a="1"/>
  <c r="L2195" i="13" s="1"/>
  <c r="L2196" i="13" s="1"/>
  <c r="CE70" i="9" a="1"/>
  <c r="CE70" i="9" s="1"/>
  <c r="CM70" i="9" s="1"/>
  <c r="I83" i="24" s="1" a="1"/>
  <c r="I83" i="24" s="1"/>
  <c r="F2141" i="13"/>
  <c r="F2144" i="13" s="1"/>
  <c r="U71" i="9"/>
  <c r="GO69" i="9" a="1"/>
  <c r="GO69" i="9" s="1"/>
  <c r="GW69" i="9" s="1"/>
  <c r="O82" i="24" s="1" a="1"/>
  <c r="O82" i="24" s="1"/>
  <c r="J2107" i="13"/>
  <c r="J2108" i="13" s="1"/>
  <c r="DP71" i="9"/>
  <c r="DX71" i="9" s="1"/>
  <c r="D2136" i="13"/>
  <c r="DL70" i="9"/>
  <c r="J2044" i="13"/>
  <c r="EG70" i="9" s="1" a="1"/>
  <c r="EG70" i="9" s="1"/>
  <c r="EI70" i="9" s="1"/>
  <c r="EQ70" i="9" s="1"/>
  <c r="DE70" i="9"/>
  <c r="CX70" i="9" a="1"/>
  <c r="CX70" i="9" s="1"/>
  <c r="FO73" i="9" a="1"/>
  <c r="FO73" i="9" s="1"/>
  <c r="H2078" i="13"/>
  <c r="CU71" i="9" s="1" a="1"/>
  <c r="CU71" i="9" s="1"/>
  <c r="CW71" i="9" s="1"/>
  <c r="DE71" i="9" s="1"/>
  <c r="K2131" i="13"/>
  <c r="F2107" i="13"/>
  <c r="F2108" i="13" s="1"/>
  <c r="K2136" i="13"/>
  <c r="E2108" i="13"/>
  <c r="AM72" i="9" a="1"/>
  <c r="AM72" i="9" s="1"/>
  <c r="F84" i="25" s="1" a="1"/>
  <c r="F84" i="25" s="1"/>
  <c r="E2074" i="13"/>
  <c r="AM71" i="9" a="1"/>
  <c r="AM71" i="9" s="1"/>
  <c r="F83" i="25" s="1" a="1"/>
  <c r="F83" i="25" s="1"/>
  <c r="L2108" i="13"/>
  <c r="L2112" i="13" s="1"/>
  <c r="FS72" i="9" s="1" a="1"/>
  <c r="FS72" i="9" s="1"/>
  <c r="FP72" i="9" a="1"/>
  <c r="FP72" i="9" s="1"/>
  <c r="M84" i="25" s="1" a="1"/>
  <c r="M84" i="25" s="1"/>
  <c r="N2108" i="13"/>
  <c r="HB72" i="9" a="1"/>
  <c r="HB72" i="9" s="1"/>
  <c r="O84" i="25" s="1" a="1"/>
  <c r="O84" i="25" s="1"/>
  <c r="HZ71" i="9"/>
  <c r="IH71" i="9" s="1"/>
  <c r="EC72" i="9" a="1"/>
  <c r="EC72" i="9" s="1"/>
  <c r="GK70" i="9"/>
  <c r="GJ70" i="9"/>
  <c r="EF70" i="9"/>
  <c r="EE70" i="9"/>
  <c r="I2131" i="13"/>
  <c r="G2074" i="13"/>
  <c r="BY71" i="9" a="1"/>
  <c r="BY71" i="9" s="1"/>
  <c r="H83" i="25" s="1" a="1"/>
  <c r="H83" i="25" s="1"/>
  <c r="BE73" i="9" a="1"/>
  <c r="BE73" i="9" s="1"/>
  <c r="Z70" i="9" a="1"/>
  <c r="Z70" i="9" s="1"/>
  <c r="M2108" i="13"/>
  <c r="GI72" i="9" a="1"/>
  <c r="GI72" i="9" s="1"/>
  <c r="N84" i="25" s="1" a="1"/>
  <c r="N84" i="25" s="1"/>
  <c r="I2108" i="13"/>
  <c r="DK72" i="9" a="1"/>
  <c r="DK72" i="9" s="1"/>
  <c r="J84" i="25" s="1" a="1"/>
  <c r="J84" i="25" s="1"/>
  <c r="DP70" i="9"/>
  <c r="DX70" i="9" s="1"/>
  <c r="CT71" i="9"/>
  <c r="CS71" i="9"/>
  <c r="I2110" i="13"/>
  <c r="I2136" i="13"/>
  <c r="G2108" i="13"/>
  <c r="BY72" i="9" a="1"/>
  <c r="BY72" i="9" s="1"/>
  <c r="H84" i="25" s="1" a="1"/>
  <c r="H84" i="25" s="1"/>
  <c r="N2110" i="13"/>
  <c r="L2141" i="13"/>
  <c r="L2144" i="13" s="1"/>
  <c r="DM71" i="9"/>
  <c r="DL71" i="9"/>
  <c r="M2074" i="13"/>
  <c r="GI71" i="9" a="1"/>
  <c r="GI71" i="9" s="1"/>
  <c r="N83" i="25" s="1" a="1"/>
  <c r="N83" i="25" s="1"/>
  <c r="K2108" i="13"/>
  <c r="K2112" i="13" s="1"/>
  <c r="EZ72" i="9" s="1" a="1"/>
  <c r="EZ72" i="9" s="1"/>
  <c r="EW72" i="9" a="1"/>
  <c r="EW72" i="9" s="1"/>
  <c r="L84" i="25" s="1" a="1"/>
  <c r="L84" i="25" s="1"/>
  <c r="AS70" i="9" a="1"/>
  <c r="AS70" i="9" s="1"/>
  <c r="BA70" i="9" s="1"/>
  <c r="G83" i="24" s="1" a="1"/>
  <c r="G83" i="24" s="1"/>
  <c r="FV70" i="9" a="1"/>
  <c r="FV70" i="9" s="1"/>
  <c r="GD70" i="9" s="1"/>
  <c r="N83" i="24" s="1" a="1"/>
  <c r="N83" i="24" s="1"/>
  <c r="J2074" i="13"/>
  <c r="J2078" i="13" s="1"/>
  <c r="EG71" i="9" s="1" a="1"/>
  <c r="EG71" i="9" s="1"/>
  <c r="ED71" i="9" a="1"/>
  <c r="ED71" i="9" s="1"/>
  <c r="D2108" i="13"/>
  <c r="D2112" i="13" s="1"/>
  <c r="W72" i="9" s="1" a="1"/>
  <c r="W72" i="9" s="1"/>
  <c r="T72" i="9" a="1"/>
  <c r="T72" i="9" s="1"/>
  <c r="E84" i="25" s="1" a="1"/>
  <c r="E84" i="25" s="1"/>
  <c r="HV71" i="9"/>
  <c r="D2194" i="13" a="1"/>
  <c r="D2194" i="13" s="1"/>
  <c r="X75" i="9" a="1"/>
  <c r="X75" i="9" s="1"/>
  <c r="R75" i="9" a="1"/>
  <c r="R75" i="9" s="1"/>
  <c r="D2161" i="13" a="1"/>
  <c r="D2161" i="13" s="1"/>
  <c r="D2162" i="13" s="1"/>
  <c r="D2163" i="13" a="1"/>
  <c r="D2163" i="13" s="1"/>
  <c r="D2164" i="13" s="1"/>
  <c r="M2195" i="13" a="1"/>
  <c r="M2195" i="13" s="1"/>
  <c r="M2196" i="13" s="1"/>
  <c r="M2197" i="13" a="1"/>
  <c r="M2197" i="13" s="1"/>
  <c r="M2198" i="13" s="1"/>
  <c r="E2195" i="13" a="1"/>
  <c r="E2195" i="13" s="1"/>
  <c r="E2196" i="13" s="1"/>
  <c r="E2197" i="13" a="1"/>
  <c r="E2197" i="13" s="1"/>
  <c r="E2198" i="13" s="1"/>
  <c r="E2141" i="13"/>
  <c r="E2144" i="13" s="1"/>
  <c r="H2141" i="13"/>
  <c r="H2144" i="13" s="1"/>
  <c r="O2170" i="13"/>
  <c r="N2137" i="13" a="1"/>
  <c r="N2137" i="13" s="1"/>
  <c r="N2138" i="13" s="1"/>
  <c r="N2139" i="13" a="1"/>
  <c r="N2139" i="13" s="1"/>
  <c r="N2140" i="13" s="1"/>
  <c r="D2160" i="13" a="1"/>
  <c r="D2160" i="13" s="1"/>
  <c r="X74" i="9" a="1"/>
  <c r="X74" i="9" s="1"/>
  <c r="R74" i="9" a="1"/>
  <c r="R74" i="9" s="1"/>
  <c r="K2200" i="13" a="1"/>
  <c r="K2200" i="13" s="1"/>
  <c r="K2201" i="13" s="1"/>
  <c r="K2202" i="13" a="1"/>
  <c r="K2202" i="13" s="1"/>
  <c r="K2203" i="13" s="1"/>
  <c r="J2141" i="13"/>
  <c r="J2144" i="13" s="1"/>
  <c r="G2170" i="13"/>
  <c r="N2136" i="13"/>
  <c r="F2171" i="13" a="1"/>
  <c r="F2171" i="13" s="1"/>
  <c r="F2172" i="13" s="1"/>
  <c r="F2173" i="13" a="1"/>
  <c r="F2173" i="13" s="1"/>
  <c r="F2174" i="13" s="1"/>
  <c r="G2141" i="13"/>
  <c r="G2144" i="13" s="1"/>
  <c r="K2195" i="13" a="1"/>
  <c r="K2195" i="13" s="1"/>
  <c r="K2196" i="13" s="1"/>
  <c r="E2161" i="13" a="1"/>
  <c r="E2161" i="13" s="1"/>
  <c r="E2162" i="13" s="1"/>
  <c r="E2163" i="13" a="1"/>
  <c r="E2163" i="13" s="1"/>
  <c r="E2164" i="13" s="1"/>
  <c r="I2171" i="13" a="1"/>
  <c r="I2171" i="13" s="1"/>
  <c r="I2172" i="13" s="1"/>
  <c r="I2173" i="13" a="1"/>
  <c r="I2173" i="13" s="1"/>
  <c r="I2174" i="13" s="1"/>
  <c r="G2171" i="13" a="1"/>
  <c r="G2171" i="13" s="1"/>
  <c r="G2172" i="13" s="1"/>
  <c r="G2173" i="13" a="1"/>
  <c r="G2173" i="13" s="1"/>
  <c r="G2174" i="13" s="1"/>
  <c r="G2194" i="13" a="1"/>
  <c r="G2194" i="13" s="1"/>
  <c r="CC75" i="9" a="1"/>
  <c r="CC75" i="9" s="1"/>
  <c r="BW75" i="9" a="1"/>
  <c r="BW75" i="9" s="1"/>
  <c r="E2166" i="13" a="1"/>
  <c r="E2166" i="13" s="1"/>
  <c r="E2167" i="13" s="1"/>
  <c r="E2168" i="13" a="1"/>
  <c r="E2168" i="13" s="1"/>
  <c r="E2169" i="13" s="1"/>
  <c r="J2200" i="13" a="1"/>
  <c r="J2200" i="13" s="1"/>
  <c r="J2201" i="13" s="1"/>
  <c r="J2202" i="13" a="1"/>
  <c r="J2202" i="13" s="1"/>
  <c r="J2203" i="13" s="1"/>
  <c r="N2194" i="13" a="1"/>
  <c r="N2194" i="13" s="1"/>
  <c r="HF75" i="9" a="1"/>
  <c r="HF75" i="9" s="1"/>
  <c r="GZ75" i="9" a="1"/>
  <c r="GZ75" i="9" s="1"/>
  <c r="H2194" i="13" a="1"/>
  <c r="H2194" i="13" s="1"/>
  <c r="CV75" i="9" a="1"/>
  <c r="CV75" i="9" s="1"/>
  <c r="CP75" i="9" a="1"/>
  <c r="CP75" i="9" s="1"/>
  <c r="E2160" i="13" a="1"/>
  <c r="E2160" i="13" s="1"/>
  <c r="AQ74" i="9" a="1"/>
  <c r="AQ74" i="9" s="1"/>
  <c r="AK74" i="9" a="1"/>
  <c r="AK74" i="9" s="1"/>
  <c r="J2171" i="13" a="1"/>
  <c r="J2171" i="13" s="1"/>
  <c r="J2172" i="13" s="1"/>
  <c r="J2173" i="13" a="1"/>
  <c r="J2173" i="13" s="1"/>
  <c r="J2174" i="13" s="1"/>
  <c r="O2136" i="13"/>
  <c r="G2076" i="13"/>
  <c r="D2131" i="13"/>
  <c r="D2166" i="13" a="1"/>
  <c r="D2166" i="13" s="1"/>
  <c r="D2167" i="13" s="1"/>
  <c r="D2168" i="13" a="1"/>
  <c r="D2168" i="13" s="1"/>
  <c r="D2169" i="13" s="1"/>
  <c r="D2200" i="13" a="1"/>
  <c r="D2200" i="13" s="1"/>
  <c r="D2201" i="13" s="1"/>
  <c r="D2202" i="13" a="1"/>
  <c r="D2202" i="13" s="1"/>
  <c r="D2203" i="13" s="1"/>
  <c r="E2110" i="13"/>
  <c r="M2110" i="13"/>
  <c r="D2137" i="13" a="1"/>
  <c r="D2137" i="13" s="1"/>
  <c r="D2138" i="13" s="1"/>
  <c r="D2139" i="13" a="1"/>
  <c r="D2139" i="13" s="1"/>
  <c r="D2140" i="13" s="1"/>
  <c r="M2171" i="13" a="1"/>
  <c r="M2171" i="13" s="1"/>
  <c r="M2172" i="13" s="1"/>
  <c r="M2173" i="13" a="1"/>
  <c r="M2173" i="13" s="1"/>
  <c r="M2174" i="13" s="1"/>
  <c r="K2166" i="13" a="1"/>
  <c r="K2166" i="13" s="1"/>
  <c r="K2167" i="13" s="1"/>
  <c r="K2168" i="13" a="1"/>
  <c r="K2168" i="13" s="1"/>
  <c r="K2169" i="13" s="1"/>
  <c r="F2200" i="13" a="1"/>
  <c r="F2200" i="13" s="1"/>
  <c r="F2201" i="13" s="1"/>
  <c r="F2202" i="13" a="1"/>
  <c r="F2202" i="13" s="1"/>
  <c r="F2203" i="13" s="1"/>
  <c r="K2161" i="13" a="1"/>
  <c r="K2161" i="13" s="1"/>
  <c r="K2162" i="13" s="1"/>
  <c r="K2163" i="13" a="1"/>
  <c r="K2163" i="13" s="1"/>
  <c r="K2164" i="13" s="1"/>
  <c r="D2195" i="13" a="1"/>
  <c r="D2195" i="13" s="1"/>
  <c r="D2196" i="13" s="1"/>
  <c r="D2197" i="13" a="1"/>
  <c r="D2197" i="13" s="1"/>
  <c r="D2198" i="13" s="1"/>
  <c r="E2076" i="13"/>
  <c r="L2171" i="13" a="1"/>
  <c r="L2171" i="13" s="1"/>
  <c r="L2172" i="13" s="1"/>
  <c r="L2173" i="13" a="1"/>
  <c r="L2173" i="13" s="1"/>
  <c r="L2174" i="13" s="1"/>
  <c r="I2137" i="13" a="1"/>
  <c r="I2137" i="13" s="1"/>
  <c r="I2138" i="13" s="1"/>
  <c r="I2139" i="13" a="1"/>
  <c r="I2139" i="13" s="1"/>
  <c r="I2140" i="13" s="1"/>
  <c r="G2110" i="13"/>
  <c r="M2141" i="13"/>
  <c r="M2144" i="13" s="1"/>
  <c r="N2131" i="13"/>
  <c r="O2131" i="13"/>
  <c r="O2171" i="13" a="1"/>
  <c r="O2171" i="13" s="1"/>
  <c r="O2172" i="13" s="1"/>
  <c r="O2173" i="13" a="1"/>
  <c r="O2173" i="13" s="1"/>
  <c r="O2174" i="13" s="1"/>
  <c r="K2160" i="13" a="1"/>
  <c r="K2160" i="13" s="1"/>
  <c r="FA74" i="9" a="1"/>
  <c r="FA74" i="9" s="1"/>
  <c r="EU74" i="9" a="1"/>
  <c r="EU74" i="9" s="1"/>
  <c r="H2171" i="13" a="1"/>
  <c r="H2171" i="13" s="1"/>
  <c r="H2172" i="13" s="1"/>
  <c r="H2173" i="13" a="1"/>
  <c r="H2173" i="13" s="1"/>
  <c r="H2174" i="13" s="1"/>
  <c r="K2137" i="13" a="1"/>
  <c r="K2137" i="13" s="1"/>
  <c r="K2138" i="13" s="1"/>
  <c r="K2139" i="13" a="1"/>
  <c r="K2139" i="13" s="1"/>
  <c r="K2140" i="13" s="1"/>
  <c r="M2076" i="13"/>
  <c r="O2137" i="13" a="1"/>
  <c r="O2137" i="13" s="1"/>
  <c r="O2138" i="13" s="1"/>
  <c r="O2139" i="13" a="1"/>
  <c r="O2139" i="13" s="1"/>
  <c r="O2140" i="13" s="1"/>
  <c r="P900" i="10"/>
  <c r="P899" i="10"/>
  <c r="O912" i="10"/>
  <c r="O913" i="10"/>
  <c r="O914" i="10"/>
  <c r="O911" i="10"/>
  <c r="P897" i="10"/>
  <c r="P898" i="10"/>
  <c r="K2263" i="13" l="1" a="1"/>
  <c r="K2263" i="13" s="1"/>
  <c r="K2264" i="13" s="1"/>
  <c r="K2265" i="13" a="1"/>
  <c r="K2265" i="13" s="1"/>
  <c r="K2266" i="13" s="1"/>
  <c r="K2267" i="13" s="1"/>
  <c r="L2233" i="13"/>
  <c r="L2239" i="13" a="1"/>
  <c r="L2239" i="13" s="1"/>
  <c r="L2240" i="13" s="1"/>
  <c r="L2241" i="13" a="1"/>
  <c r="L2241" i="13" s="1"/>
  <c r="L2242" i="13" s="1"/>
  <c r="H2239" i="13" a="1"/>
  <c r="H2239" i="13" s="1"/>
  <c r="H2240" i="13" s="1"/>
  <c r="H2241" i="13" a="1"/>
  <c r="H2241" i="13" s="1"/>
  <c r="H2242" i="13" s="1"/>
  <c r="H2238" i="13"/>
  <c r="CQ76" i="9" s="1" a="1"/>
  <c r="CQ76" i="9" s="1"/>
  <c r="O2238" i="13"/>
  <c r="HT76" i="9" s="1" a="1"/>
  <c r="HT76" i="9" s="1"/>
  <c r="E2238" i="13"/>
  <c r="AL76" i="9" s="1" a="1"/>
  <c r="AL76" i="9" s="1"/>
  <c r="FA77" i="9" a="1"/>
  <c r="FA77" i="9" s="1"/>
  <c r="EU77" i="9" a="1"/>
  <c r="EU77" i="9" s="1"/>
  <c r="K2262" i="13" a="1"/>
  <c r="K2262" i="13" s="1"/>
  <c r="DO77" i="9" a="1"/>
  <c r="DO77" i="9" s="1"/>
  <c r="DI77" i="9" a="1"/>
  <c r="DI77" i="9" s="1"/>
  <c r="I2262" i="13" a="1"/>
  <c r="I2262" i="13" s="1"/>
  <c r="D2234" i="13" a="1"/>
  <c r="D2234" i="13" s="1"/>
  <c r="D2235" i="13" s="1"/>
  <c r="D2236" i="13" a="1"/>
  <c r="D2236" i="13" s="1"/>
  <c r="D2237" i="13" s="1"/>
  <c r="L2268" i="13" a="1"/>
  <c r="L2268" i="13" s="1"/>
  <c r="L2269" i="13" s="1"/>
  <c r="L2270" i="13" a="1"/>
  <c r="L2270" i="13" s="1"/>
  <c r="L2271" i="13" s="1"/>
  <c r="BJ76" i="9" a="1"/>
  <c r="BJ76" i="9" s="1"/>
  <c r="BD76" i="9" a="1"/>
  <c r="BD76" i="9" s="1"/>
  <c r="F2228" i="13" a="1"/>
  <c r="F2228" i="13" s="1"/>
  <c r="I2263" i="13" a="1"/>
  <c r="I2263" i="13" s="1"/>
  <c r="I2264" i="13" s="1"/>
  <c r="I2265" i="13" a="1"/>
  <c r="I2265" i="13" s="1"/>
  <c r="I2266" i="13" s="1"/>
  <c r="D2229" i="13" a="1"/>
  <c r="D2229" i="13" s="1"/>
  <c r="D2230" i="13" s="1"/>
  <c r="D2231" i="13" a="1"/>
  <c r="D2231" i="13" s="1"/>
  <c r="D2232" i="13" s="1"/>
  <c r="D2233" i="13" s="1"/>
  <c r="P926" i="10"/>
  <c r="D2239" i="13" a="1"/>
  <c r="D2239" i="13" s="1"/>
  <c r="D2240" i="13" s="1"/>
  <c r="D2241" i="13" a="1"/>
  <c r="D2241" i="13" s="1"/>
  <c r="D2242" i="13" s="1"/>
  <c r="O2239" i="13" a="1"/>
  <c r="O2239" i="13" s="1"/>
  <c r="O2240" i="13" s="1"/>
  <c r="O2241" i="13" a="1"/>
  <c r="O2241" i="13" s="1"/>
  <c r="O2242" i="13" s="1"/>
  <c r="L2263" i="13" a="1"/>
  <c r="L2263" i="13" s="1"/>
  <c r="L2264" i="13" s="1"/>
  <c r="L2265" i="13" a="1"/>
  <c r="L2265" i="13" s="1"/>
  <c r="L2266" i="13" s="1"/>
  <c r="L2267" i="13" s="1"/>
  <c r="K2268" i="13" a="1"/>
  <c r="K2268" i="13" s="1"/>
  <c r="K2269" i="13" s="1"/>
  <c r="K2270" i="13" a="1"/>
  <c r="K2270" i="13" s="1"/>
  <c r="K2271" i="13" s="1"/>
  <c r="K2272" i="13" s="1"/>
  <c r="EV77" i="9" s="1" a="1"/>
  <c r="EV77" i="9" s="1"/>
  <c r="F2229" i="13" a="1"/>
  <c r="F2229" i="13" s="1"/>
  <c r="F2230" i="13" s="1"/>
  <c r="F2231" i="13" a="1"/>
  <c r="F2231" i="13" s="1"/>
  <c r="F2232" i="13" s="1"/>
  <c r="F2233" i="13" s="1"/>
  <c r="K2239" i="13" a="1"/>
  <c r="K2239" i="13" s="1"/>
  <c r="K2240" i="13" s="1"/>
  <c r="K2241" i="13" a="1"/>
  <c r="K2241" i="13" s="1"/>
  <c r="K2242" i="13" s="1"/>
  <c r="K2238" i="13"/>
  <c r="EV76" i="9" s="1" a="1"/>
  <c r="EV76" i="9" s="1"/>
  <c r="P925" i="10"/>
  <c r="AQ77" i="9" a="1"/>
  <c r="AQ77" i="9" s="1"/>
  <c r="AK77" i="9" a="1"/>
  <c r="AK77" i="9" s="1"/>
  <c r="E2262" i="13" a="1"/>
  <c r="E2262" i="13" s="1"/>
  <c r="FT77" i="9" a="1"/>
  <c r="FT77" i="9" s="1"/>
  <c r="FN77" i="9" a="1"/>
  <c r="FN77" i="9" s="1"/>
  <c r="L2262" i="13" a="1"/>
  <c r="L2262" i="13" s="1"/>
  <c r="J2238" i="13"/>
  <c r="EC76" i="9" s="1" a="1"/>
  <c r="EC76" i="9" s="1"/>
  <c r="I2268" i="13" a="1"/>
  <c r="I2268" i="13" s="1"/>
  <c r="I2269" i="13" s="1"/>
  <c r="I2270" i="13" a="1"/>
  <c r="I2270" i="13" s="1"/>
  <c r="I2271" i="13" s="1"/>
  <c r="I2272" i="13" s="1"/>
  <c r="G2233" i="13"/>
  <c r="F2234" i="13" a="1"/>
  <c r="F2234" i="13" s="1"/>
  <c r="F2235" i="13" s="1"/>
  <c r="F2236" i="13" a="1"/>
  <c r="F2236" i="13" s="1"/>
  <c r="F2237" i="13" s="1"/>
  <c r="CV77" i="9" a="1"/>
  <c r="CV77" i="9" s="1"/>
  <c r="CP77" i="9" a="1"/>
  <c r="CP77" i="9" s="1"/>
  <c r="H2262" i="13" a="1"/>
  <c r="H2262" i="13" s="1"/>
  <c r="E2263" i="13" a="1"/>
  <c r="E2263" i="13" s="1"/>
  <c r="E2264" i="13" s="1"/>
  <c r="E2265" i="13" a="1"/>
  <c r="E2265" i="13" s="1"/>
  <c r="E2266" i="13" s="1"/>
  <c r="E2267" i="13" s="1"/>
  <c r="P928" i="10"/>
  <c r="O2263" i="13" a="1"/>
  <c r="O2263" i="13" s="1"/>
  <c r="O2264" i="13" s="1"/>
  <c r="O2265" i="13" a="1"/>
  <c r="O2265" i="13" s="1"/>
  <c r="O2266" i="13" s="1"/>
  <c r="O2267" i="13" s="1"/>
  <c r="M2268" i="13" a="1"/>
  <c r="M2268" i="13" s="1"/>
  <c r="M2269" i="13" s="1"/>
  <c r="M2270" i="13" a="1"/>
  <c r="M2270" i="13" s="1"/>
  <c r="M2271" i="13" s="1"/>
  <c r="M2272" i="13" s="1"/>
  <c r="GH77" i="9" s="1" a="1"/>
  <c r="GH77" i="9" s="1"/>
  <c r="H2268" i="13" a="1"/>
  <c r="H2268" i="13" s="1"/>
  <c r="H2269" i="13" s="1"/>
  <c r="H2270" i="13" a="1"/>
  <c r="H2270" i="13" s="1"/>
  <c r="H2271" i="13" s="1"/>
  <c r="FO76" i="9" a="1"/>
  <c r="FO76" i="9" s="1"/>
  <c r="BJ77" i="9" a="1"/>
  <c r="BJ77" i="9" s="1"/>
  <c r="BD77" i="9" a="1"/>
  <c r="BD77" i="9" s="1"/>
  <c r="F2262" i="13" a="1"/>
  <c r="F2262" i="13" s="1"/>
  <c r="E2268" i="13" a="1"/>
  <c r="E2268" i="13" s="1"/>
  <c r="E2269" i="13" s="1"/>
  <c r="E2270" i="13" a="1"/>
  <c r="E2270" i="13" s="1"/>
  <c r="E2271" i="13" s="1"/>
  <c r="E2272" i="13" s="1"/>
  <c r="AL77" i="9" s="1" a="1"/>
  <c r="AL77" i="9" s="1"/>
  <c r="E2239" i="13" a="1"/>
  <c r="E2239" i="13" s="1"/>
  <c r="E2240" i="13" s="1"/>
  <c r="E2241" i="13" a="1"/>
  <c r="E2241" i="13" s="1"/>
  <c r="E2242" i="13" s="1"/>
  <c r="HS77" i="9" a="1"/>
  <c r="HS77" i="9" s="1"/>
  <c r="HY77" i="9" a="1"/>
  <c r="HY77" i="9" s="1"/>
  <c r="O2262" i="13" a="1"/>
  <c r="O2262" i="13" s="1"/>
  <c r="G2239" i="13" a="1"/>
  <c r="G2239" i="13" s="1"/>
  <c r="G2240" i="13" s="1"/>
  <c r="G2241" i="13" a="1"/>
  <c r="G2241" i="13" s="1"/>
  <c r="G2242" i="13" s="1"/>
  <c r="I2239" i="13" a="1"/>
  <c r="I2239" i="13" s="1"/>
  <c r="I2240" i="13" s="1"/>
  <c r="I2241" i="13" a="1"/>
  <c r="I2241" i="13" s="1"/>
  <c r="I2242" i="13" s="1"/>
  <c r="M2239" i="13" a="1"/>
  <c r="M2239" i="13" s="1"/>
  <c r="M2240" i="13" s="1"/>
  <c r="M2241" i="13" a="1"/>
  <c r="M2241" i="13" s="1"/>
  <c r="M2242" i="13" s="1"/>
  <c r="O2268" i="13" a="1"/>
  <c r="O2268" i="13" s="1"/>
  <c r="O2269" i="13" s="1"/>
  <c r="O2270" i="13" a="1"/>
  <c r="O2270" i="13" s="1"/>
  <c r="O2271" i="13" s="1"/>
  <c r="O2272" i="13" s="1"/>
  <c r="HT77" i="9" s="1" a="1"/>
  <c r="HT77" i="9" s="1"/>
  <c r="M2238" i="13"/>
  <c r="GH76" i="9" s="1" a="1"/>
  <c r="GH76" i="9" s="1"/>
  <c r="GM77" i="9" a="1"/>
  <c r="GM77" i="9" s="1"/>
  <c r="GG77" i="9" a="1"/>
  <c r="GG77" i="9" s="1"/>
  <c r="M2262" i="13" a="1"/>
  <c r="M2262" i="13" s="1"/>
  <c r="H2263" i="13" a="1"/>
  <c r="H2263" i="13" s="1"/>
  <c r="H2264" i="13" s="1"/>
  <c r="H2265" i="13" a="1"/>
  <c r="H2265" i="13" s="1"/>
  <c r="H2266" i="13" s="1"/>
  <c r="G2238" i="13"/>
  <c r="F2268" i="13" a="1"/>
  <c r="F2268" i="13" s="1"/>
  <c r="F2269" i="13" s="1"/>
  <c r="F2270" i="13" a="1"/>
  <c r="F2270" i="13" s="1"/>
  <c r="F2271" i="13" s="1"/>
  <c r="F2272" i="13" s="1"/>
  <c r="BE77" i="9" s="1" a="1"/>
  <c r="BE77" i="9" s="1"/>
  <c r="EH77" i="9" a="1"/>
  <c r="EH77" i="9" s="1"/>
  <c r="EB77" i="9" a="1"/>
  <c r="EB77" i="9" s="1"/>
  <c r="J2262" i="13" a="1"/>
  <c r="J2262" i="13" s="1"/>
  <c r="M2263" i="13" a="1"/>
  <c r="M2263" i="13" s="1"/>
  <c r="M2264" i="13" s="1"/>
  <c r="M2265" i="13" a="1"/>
  <c r="M2265" i="13" s="1"/>
  <c r="M2266" i="13" s="1"/>
  <c r="M2267" i="13" s="1"/>
  <c r="N2239" i="13" a="1"/>
  <c r="N2239" i="13" s="1"/>
  <c r="N2240" i="13" s="1"/>
  <c r="N2241" i="13" a="1"/>
  <c r="N2241" i="13" s="1"/>
  <c r="N2242" i="13" s="1"/>
  <c r="F2263" i="13" a="1"/>
  <c r="F2263" i="13" s="1"/>
  <c r="F2264" i="13" s="1"/>
  <c r="F2265" i="13" a="1"/>
  <c r="F2265" i="13" s="1"/>
  <c r="F2266" i="13" s="1"/>
  <c r="F2267" i="13" s="1"/>
  <c r="I2238" i="13"/>
  <c r="DJ76" i="9" s="1" a="1"/>
  <c r="DJ76" i="9" s="1"/>
  <c r="J2263" i="13" a="1"/>
  <c r="J2263" i="13" s="1"/>
  <c r="J2264" i="13" s="1"/>
  <c r="J2265" i="13" a="1"/>
  <c r="J2265" i="13" s="1"/>
  <c r="J2266" i="13" s="1"/>
  <c r="J2267" i="13" s="1"/>
  <c r="N2233" i="13"/>
  <c r="N2238" i="13"/>
  <c r="HA76" i="9" s="1" a="1"/>
  <c r="HA76" i="9" s="1"/>
  <c r="J2239" i="13" a="1"/>
  <c r="J2239" i="13" s="1"/>
  <c r="J2240" i="13" s="1"/>
  <c r="J2241" i="13" a="1"/>
  <c r="J2241" i="13" s="1"/>
  <c r="J2242" i="13" s="1"/>
  <c r="K2233" i="13"/>
  <c r="N940" i="10"/>
  <c r="N2261" i="13" s="1" a="1"/>
  <c r="N2261" i="13" s="1"/>
  <c r="N941" i="10"/>
  <c r="N942" i="10"/>
  <c r="N939" i="10"/>
  <c r="N2260" i="13" s="1" a="1"/>
  <c r="N2260" i="13" s="1"/>
  <c r="G942" i="10"/>
  <c r="G940" i="10"/>
  <c r="G2261" i="13" s="1" a="1"/>
  <c r="G2261" i="13" s="1"/>
  <c r="G941" i="10"/>
  <c r="G939" i="10"/>
  <c r="G2260" i="13" s="1" a="1"/>
  <c r="G2260" i="13" s="1"/>
  <c r="I2233" i="13"/>
  <c r="J2268" i="13" a="1"/>
  <c r="J2268" i="13" s="1"/>
  <c r="J2269" i="13" s="1"/>
  <c r="J2270" i="13" a="1"/>
  <c r="J2270" i="13" s="1"/>
  <c r="J2271" i="13" s="1"/>
  <c r="D939" i="10"/>
  <c r="D942" i="10"/>
  <c r="D940" i="10"/>
  <c r="D941" i="10"/>
  <c r="P941" i="10" s="1"/>
  <c r="O2233" i="13"/>
  <c r="Q82" i="25"/>
  <c r="EU75" i="9" a="1"/>
  <c r="EU75" i="9" s="1"/>
  <c r="FA75" i="9" a="1"/>
  <c r="FA75" i="9" s="1"/>
  <c r="HW72" i="9"/>
  <c r="P84" i="25" a="1"/>
  <c r="P84" i="25" s="1"/>
  <c r="EF71" i="9"/>
  <c r="K83" i="25" a="1"/>
  <c r="K83" i="25" s="1"/>
  <c r="Q83" i="25" s="1"/>
  <c r="CT72" i="9"/>
  <c r="I84" i="25" a="1"/>
  <c r="I84" i="25" s="1"/>
  <c r="F2194" i="13" a="1"/>
  <c r="F2194" i="13" s="1"/>
  <c r="FC71" i="9" a="1"/>
  <c r="FC71" i="9" s="1"/>
  <c r="FK71" i="9" s="1"/>
  <c r="M84" i="24" s="1" a="1"/>
  <c r="M84" i="24" s="1"/>
  <c r="BD75" i="9" a="1"/>
  <c r="BD75" i="9" s="1"/>
  <c r="F2197" i="13" a="1"/>
  <c r="F2197" i="13" s="1"/>
  <c r="F2198" i="13" s="1"/>
  <c r="F2199" i="13" s="1"/>
  <c r="N2173" i="13" a="1"/>
  <c r="N2173" i="13" s="1"/>
  <c r="N2174" i="13" s="1"/>
  <c r="N2175" i="13" s="1"/>
  <c r="N2176" i="13" s="1"/>
  <c r="M2202" i="13" a="1"/>
  <c r="M2202" i="13" s="1"/>
  <c r="M2203" i="13" s="1"/>
  <c r="M2204" i="13" s="1"/>
  <c r="E2194" i="13" a="1"/>
  <c r="E2194" i="13" s="1"/>
  <c r="E2205" i="13" s="1" a="1"/>
  <c r="E2205" i="13" s="1"/>
  <c r="E2206" i="13" s="1"/>
  <c r="GG75" i="9" a="1"/>
  <c r="GG75" i="9" s="1"/>
  <c r="AK75" i="9" a="1"/>
  <c r="AK75" i="9" s="1"/>
  <c r="J2197" i="13" a="1"/>
  <c r="J2197" i="13" s="1"/>
  <c r="J2198" i="13" s="1"/>
  <c r="J2199" i="13" s="1"/>
  <c r="GM75" i="9" a="1"/>
  <c r="GM75" i="9" s="1"/>
  <c r="EB75" i="9" a="1"/>
  <c r="EB75" i="9" s="1"/>
  <c r="EH75" i="9" a="1"/>
  <c r="EH75" i="9" s="1"/>
  <c r="I2202" i="13" a="1"/>
  <c r="I2202" i="13" s="1"/>
  <c r="I2203" i="13" s="1"/>
  <c r="I2204" i="13" s="1"/>
  <c r="E2202" i="13" a="1"/>
  <c r="E2202" i="13" s="1"/>
  <c r="E2203" i="13" s="1"/>
  <c r="E2204" i="13" s="1"/>
  <c r="DI75" i="9" a="1"/>
  <c r="DI75" i="9" s="1"/>
  <c r="H2202" i="13" a="1"/>
  <c r="H2202" i="13" s="1"/>
  <c r="H2203" i="13" s="1"/>
  <c r="H2204" i="13" s="1"/>
  <c r="FN75" i="9" a="1"/>
  <c r="FN75" i="9" s="1"/>
  <c r="G2202" i="13" a="1"/>
  <c r="G2202" i="13" s="1"/>
  <c r="G2203" i="13" s="1"/>
  <c r="G2204" i="13" s="1"/>
  <c r="N2200" i="13" a="1"/>
  <c r="N2200" i="13" s="1"/>
  <c r="N2201" i="13" s="1"/>
  <c r="N2204" i="13" s="1"/>
  <c r="I2197" i="13" a="1"/>
  <c r="I2197" i="13" s="1"/>
  <c r="I2198" i="13" s="1"/>
  <c r="I2199" i="13" s="1"/>
  <c r="H2197" i="13" a="1"/>
  <c r="H2197" i="13" s="1"/>
  <c r="H2198" i="13" s="1"/>
  <c r="H2199" i="13" s="1"/>
  <c r="M2078" i="13"/>
  <c r="GL71" i="9" s="1" a="1"/>
  <c r="GL71" i="9" s="1"/>
  <c r="GN71" i="9" s="1"/>
  <c r="GV71" i="9" s="1"/>
  <c r="BX74" i="9" a="1"/>
  <c r="BX74" i="9" s="1"/>
  <c r="FT75" i="9" a="1"/>
  <c r="FT75" i="9" s="1"/>
  <c r="BE74" i="9" a="1"/>
  <c r="BE74" i="9" s="1"/>
  <c r="BL71" i="9" a="1"/>
  <c r="BL71" i="9" s="1"/>
  <c r="BT71" i="9" s="1"/>
  <c r="H84" i="24" s="1" a="1"/>
  <c r="H84" i="24" s="1"/>
  <c r="N2197" i="13" a="1"/>
  <c r="N2197" i="13" s="1"/>
  <c r="N2198" i="13" s="1"/>
  <c r="N2199" i="13" s="1"/>
  <c r="P913" i="10"/>
  <c r="E2112" i="13"/>
  <c r="AP72" i="9" s="1" a="1"/>
  <c r="AP72" i="9" s="1"/>
  <c r="AR72" i="9" s="1"/>
  <c r="AZ72" i="9" s="1"/>
  <c r="L2202" i="13" a="1"/>
  <c r="L2202" i="13" s="1"/>
  <c r="L2203" i="13" s="1"/>
  <c r="L2204" i="13" s="1"/>
  <c r="DO75" i="9" a="1"/>
  <c r="DO75" i="9" s="1"/>
  <c r="HV72" i="9"/>
  <c r="HZ72" i="9"/>
  <c r="IH72" i="9" s="1"/>
  <c r="IN69" i="9"/>
  <c r="IO69" i="9" s="1"/>
  <c r="N2112" i="13"/>
  <c r="HE72" i="9" s="1" a="1"/>
  <c r="HE72" i="9" s="1"/>
  <c r="HG72" i="9" s="1"/>
  <c r="HO72" i="9" s="1"/>
  <c r="G2112" i="13"/>
  <c r="CB72" i="9" s="1" a="1"/>
  <c r="CB72" i="9" s="1"/>
  <c r="CD72" i="9" s="1"/>
  <c r="CL72" i="9" s="1"/>
  <c r="FV71" i="9" a="1"/>
  <c r="FV71" i="9" s="1"/>
  <c r="GD71" i="9" s="1"/>
  <c r="N84" i="24" s="1" a="1"/>
  <c r="N84" i="24" s="1"/>
  <c r="F2142" i="13"/>
  <c r="F2146" i="13" s="1"/>
  <c r="BI73" i="9" s="1" a="1"/>
  <c r="BI73" i="9" s="1"/>
  <c r="CW72" i="9"/>
  <c r="DE72" i="9" s="1"/>
  <c r="CS72" i="9"/>
  <c r="HH70" i="9" a="1"/>
  <c r="HH70" i="9" s="1"/>
  <c r="HP70" i="9" s="1"/>
  <c r="P83" i="24" s="1" a="1"/>
  <c r="P83" i="24" s="1"/>
  <c r="G2197" i="13" a="1"/>
  <c r="G2197" i="13" s="1"/>
  <c r="G2198" i="13" s="1"/>
  <c r="G2199" i="13" s="1"/>
  <c r="HH71" i="9" a="1"/>
  <c r="HH71" i="9" s="1"/>
  <c r="HP71" i="9" s="1"/>
  <c r="P84" i="24" s="1" a="1"/>
  <c r="P84" i="24" s="1"/>
  <c r="AG71" i="9"/>
  <c r="Z71" i="9" a="1"/>
  <c r="Z71" i="9" s="1"/>
  <c r="DJ74" i="9" a="1"/>
  <c r="DJ74" i="9" s="1"/>
  <c r="F2110" i="13"/>
  <c r="F2112" i="13" s="1"/>
  <c r="BI72" i="9" s="1" a="1"/>
  <c r="BI72" i="9" s="1"/>
  <c r="Y72" i="9"/>
  <c r="AG72" i="9" s="1"/>
  <c r="L2197" i="13" a="1"/>
  <c r="L2197" i="13" s="1"/>
  <c r="L2198" i="13" s="1"/>
  <c r="L2199" i="13" s="1"/>
  <c r="DF70" i="9"/>
  <c r="J83" i="24" s="1" a="1"/>
  <c r="J83" i="24" s="1"/>
  <c r="BF72" i="9" a="1"/>
  <c r="BF72" i="9" s="1"/>
  <c r="S73" i="9" a="1"/>
  <c r="S73" i="9" s="1"/>
  <c r="J2110" i="13"/>
  <c r="J2112" i="13" s="1"/>
  <c r="EG72" i="9" s="1" a="1"/>
  <c r="EG72" i="9" s="1"/>
  <c r="O2175" i="13"/>
  <c r="HU74" i="9" s="1" a="1"/>
  <c r="HU74" i="9" s="1"/>
  <c r="M2112" i="13"/>
  <c r="GL72" i="9" s="1" a="1"/>
  <c r="GL72" i="9" s="1"/>
  <c r="GN72" i="9" s="1"/>
  <c r="GV72" i="9" s="1"/>
  <c r="G2078" i="13"/>
  <c r="CB71" i="9" s="1" a="1"/>
  <c r="CB71" i="9" s="1"/>
  <c r="CD71" i="9" s="1"/>
  <c r="CL71" i="9" s="1"/>
  <c r="FO74" i="9" a="1"/>
  <c r="FO74" i="9" s="1"/>
  <c r="BF73" i="9" a="1"/>
  <c r="BF73" i="9" s="1"/>
  <c r="FB72" i="9"/>
  <c r="FJ72" i="9" s="1"/>
  <c r="CQ74" i="9" a="1"/>
  <c r="CQ74" i="9" s="1"/>
  <c r="E2165" i="13"/>
  <c r="IJ69" i="9"/>
  <c r="IK69" i="9" s="1"/>
  <c r="D2199" i="13"/>
  <c r="IA71" i="9" a="1"/>
  <c r="IA71" i="9" s="1"/>
  <c r="II71" i="9" s="1"/>
  <c r="Q84" i="24" s="1" a="1"/>
  <c r="Q84" i="24" s="1"/>
  <c r="I2112" i="13"/>
  <c r="DN72" i="9" s="1" a="1"/>
  <c r="DN72" i="9" s="1"/>
  <c r="DP72" i="9" s="1"/>
  <c r="DX72" i="9" s="1"/>
  <c r="ED72" i="9" a="1"/>
  <c r="ED72" i="9" s="1"/>
  <c r="K2204" i="13"/>
  <c r="EC74" i="9" a="1"/>
  <c r="EC74" i="9" s="1"/>
  <c r="EI71" i="9"/>
  <c r="EQ71" i="9" s="1"/>
  <c r="DJ73" i="9" a="1"/>
  <c r="DJ73" i="9" s="1"/>
  <c r="EE71" i="9"/>
  <c r="O2141" i="13"/>
  <c r="O2142" i="13" s="1"/>
  <c r="M2199" i="13"/>
  <c r="GH74" i="9" a="1"/>
  <c r="GH74" i="9" s="1"/>
  <c r="GO70" i="9" a="1"/>
  <c r="GO70" i="9" s="1"/>
  <c r="GW70" i="9" s="1"/>
  <c r="O83" i="24" s="1" a="1"/>
  <c r="O83" i="24" s="1"/>
  <c r="L2175" i="13"/>
  <c r="FP74" i="9" s="1" a="1"/>
  <c r="FP74" i="9" s="1"/>
  <c r="EV73" i="9" a="1"/>
  <c r="EV73" i="9" s="1"/>
  <c r="E2078" i="13"/>
  <c r="AP71" i="9" s="1" a="1"/>
  <c r="AP71" i="9" s="1"/>
  <c r="AR71" i="9" s="1"/>
  <c r="AZ71" i="9" s="1"/>
  <c r="FU72" i="9"/>
  <c r="GC72" i="9" s="1"/>
  <c r="D2165" i="13"/>
  <c r="J2175" i="13"/>
  <c r="J2176" i="13" s="1"/>
  <c r="K2141" i="13"/>
  <c r="EW73" i="9" s="1" a="1"/>
  <c r="EW73" i="9" s="1"/>
  <c r="L85" i="25" s="1" a="1"/>
  <c r="L85" i="25" s="1"/>
  <c r="D2141" i="13"/>
  <c r="D2142" i="13" s="1"/>
  <c r="E2142" i="13"/>
  <c r="E2146" i="13" s="1"/>
  <c r="AP73" i="9" s="1" a="1"/>
  <c r="AP73" i="9" s="1"/>
  <c r="AM73" i="9" a="1"/>
  <c r="AM73" i="9" s="1"/>
  <c r="F85" i="25" s="1" a="1"/>
  <c r="F85" i="25" s="1"/>
  <c r="AO71" i="9"/>
  <c r="AN71" i="9"/>
  <c r="F2175" i="13"/>
  <c r="H2142" i="13"/>
  <c r="H2146" i="13" s="1"/>
  <c r="CU73" i="9" s="1" a="1"/>
  <c r="CU73" i="9" s="1"/>
  <c r="CR73" i="9" a="1"/>
  <c r="CR73" i="9" s="1"/>
  <c r="I85" i="25" s="1" a="1"/>
  <c r="I85" i="25" s="1"/>
  <c r="EY72" i="9"/>
  <c r="EX72" i="9"/>
  <c r="J2142" i="13"/>
  <c r="J2146" i="13" s="1"/>
  <c r="EG73" i="9" s="1" a="1"/>
  <c r="EG73" i="9" s="1"/>
  <c r="ED73" i="9" a="1"/>
  <c r="ED73" i="9" s="1"/>
  <c r="K85" i="25" s="1" a="1"/>
  <c r="K85" i="25" s="1"/>
  <c r="M2142" i="13"/>
  <c r="M2146" i="13" s="1"/>
  <c r="GL73" i="9" s="1" a="1"/>
  <c r="GL73" i="9" s="1"/>
  <c r="GI73" i="9" a="1"/>
  <c r="GI73" i="9" s="1"/>
  <c r="N85" i="25" s="1" a="1"/>
  <c r="N85" i="25" s="1"/>
  <c r="F2204" i="13"/>
  <c r="E2199" i="13"/>
  <c r="DQ71" i="9" a="1"/>
  <c r="DQ71" i="9" s="1"/>
  <c r="DY71" i="9" s="1"/>
  <c r="K84" i="24" s="1" a="1"/>
  <c r="K84" i="24" s="1"/>
  <c r="HA74" i="9" a="1"/>
  <c r="HA74" i="9" s="1"/>
  <c r="EJ70" i="9" a="1"/>
  <c r="EJ70" i="9" s="1"/>
  <c r="ER70" i="9" s="1"/>
  <c r="L83" i="24" s="1" a="1"/>
  <c r="L83" i="24" s="1"/>
  <c r="HD72" i="9"/>
  <c r="HC72" i="9"/>
  <c r="L2142" i="13"/>
  <c r="L2146" i="13" s="1"/>
  <c r="FS73" i="9" s="1" a="1"/>
  <c r="FS73" i="9" s="1"/>
  <c r="FP73" i="9" a="1"/>
  <c r="FP73" i="9" s="1"/>
  <c r="M85" i="25" s="1" a="1"/>
  <c r="M85" i="25" s="1"/>
  <c r="K2199" i="13"/>
  <c r="HA73" i="9" a="1"/>
  <c r="HA73" i="9" s="1"/>
  <c r="AH70" i="9"/>
  <c r="F83" i="24" s="1" a="1"/>
  <c r="F83" i="24" s="1"/>
  <c r="FR72" i="9"/>
  <c r="FQ72" i="9"/>
  <c r="HT73" i="9" a="1"/>
  <c r="HT73" i="9" s="1"/>
  <c r="V72" i="9"/>
  <c r="U72" i="9"/>
  <c r="GK71" i="9"/>
  <c r="GJ71" i="9"/>
  <c r="GK72" i="9"/>
  <c r="GJ72" i="9"/>
  <c r="IL70" i="9"/>
  <c r="IM70" i="9" s="1"/>
  <c r="AO72" i="9"/>
  <c r="AN72" i="9"/>
  <c r="DM72" i="9"/>
  <c r="DL72" i="9"/>
  <c r="I2141" i="13"/>
  <c r="I2144" i="13" s="1"/>
  <c r="J2204" i="13"/>
  <c r="G2142" i="13"/>
  <c r="G2146" i="13" s="1"/>
  <c r="CB73" i="9" s="1" a="1"/>
  <c r="CB73" i="9" s="1"/>
  <c r="BY73" i="9" a="1"/>
  <c r="BY73" i="9" s="1"/>
  <c r="H85" i="25" s="1" a="1"/>
  <c r="H85" i="25" s="1"/>
  <c r="HT74" i="9" a="1"/>
  <c r="HT74" i="9" s="1"/>
  <c r="CA72" i="9"/>
  <c r="BZ72" i="9"/>
  <c r="CX71" i="9" a="1"/>
  <c r="CX71" i="9" s="1"/>
  <c r="DF71" i="9" s="1"/>
  <c r="J84" i="24" s="1" a="1"/>
  <c r="J84" i="24" s="1"/>
  <c r="CA71" i="9"/>
  <c r="BZ71" i="9"/>
  <c r="DQ70" i="9" a="1"/>
  <c r="DQ70" i="9" s="1"/>
  <c r="H2175" i="13"/>
  <c r="H2178" i="13" s="1"/>
  <c r="D2204" i="13"/>
  <c r="H2205" i="13" a="1"/>
  <c r="H2205" i="13" s="1"/>
  <c r="H2206" i="13" s="1"/>
  <c r="H2207" i="13" a="1"/>
  <c r="H2207" i="13" s="1"/>
  <c r="H2208" i="13" s="1"/>
  <c r="I2175" i="13"/>
  <c r="I2178" i="13" s="1"/>
  <c r="I2205" i="13" a="1"/>
  <c r="I2205" i="13" s="1"/>
  <c r="I2206" i="13" s="1"/>
  <c r="I2207" i="13" a="1"/>
  <c r="I2207" i="13" s="1"/>
  <c r="I2208" i="13" s="1"/>
  <c r="M2205" i="13" a="1"/>
  <c r="M2205" i="13" s="1"/>
  <c r="M2206" i="13" s="1"/>
  <c r="M2207" i="13" a="1"/>
  <c r="M2207" i="13" s="1"/>
  <c r="M2208" i="13" s="1"/>
  <c r="P911" i="10"/>
  <c r="O2192" i="13" a="1"/>
  <c r="O2192" i="13" s="1"/>
  <c r="P914" i="10"/>
  <c r="O2194" i="13" a="1"/>
  <c r="O2194" i="13" s="1"/>
  <c r="HY75" i="9" a="1"/>
  <c r="HY75" i="9" s="1"/>
  <c r="HS75" i="9" a="1"/>
  <c r="HS75" i="9" s="1"/>
  <c r="D2170" i="13"/>
  <c r="E2171" i="13" a="1"/>
  <c r="E2171" i="13" s="1"/>
  <c r="E2172" i="13" s="1"/>
  <c r="E2173" i="13" a="1"/>
  <c r="E2173" i="13" s="1"/>
  <c r="E2174" i="13" s="1"/>
  <c r="N2205" i="13" a="1"/>
  <c r="N2205" i="13" s="1"/>
  <c r="N2206" i="13" s="1"/>
  <c r="N2207" i="13" a="1"/>
  <c r="N2207" i="13" s="1"/>
  <c r="N2208" i="13" s="1"/>
  <c r="J2205" i="13" a="1"/>
  <c r="J2205" i="13" s="1"/>
  <c r="J2206" i="13" s="1"/>
  <c r="J2207" i="13" a="1"/>
  <c r="J2207" i="13" s="1"/>
  <c r="J2208" i="13" s="1"/>
  <c r="G2205" i="13" a="1"/>
  <c r="G2205" i="13" s="1"/>
  <c r="G2206" i="13" s="1"/>
  <c r="G2207" i="13" a="1"/>
  <c r="G2207" i="13" s="1"/>
  <c r="G2208" i="13" s="1"/>
  <c r="P912" i="10"/>
  <c r="O2193" i="13" a="1"/>
  <c r="O2193" i="13" s="1"/>
  <c r="K2171" i="13" a="1"/>
  <c r="K2171" i="13" s="1"/>
  <c r="K2172" i="13" s="1"/>
  <c r="K2173" i="13" a="1"/>
  <c r="K2173" i="13" s="1"/>
  <c r="K2174" i="13" s="1"/>
  <c r="M2175" i="13"/>
  <c r="N2141" i="13"/>
  <c r="K2165" i="13"/>
  <c r="K2205" i="13" a="1"/>
  <c r="K2205" i="13" s="1"/>
  <c r="K2206" i="13" s="1"/>
  <c r="K2207" i="13" a="1"/>
  <c r="K2207" i="13" s="1"/>
  <c r="K2208" i="13" s="1"/>
  <c r="F2205" i="13" a="1"/>
  <c r="F2205" i="13" s="1"/>
  <c r="F2206" i="13" s="1"/>
  <c r="F2207" i="13" a="1"/>
  <c r="F2207" i="13" s="1"/>
  <c r="F2208" i="13" s="1"/>
  <c r="E2170" i="13"/>
  <c r="G2175" i="13"/>
  <c r="L2205" i="13" a="1"/>
  <c r="L2205" i="13" s="1"/>
  <c r="L2206" i="13" s="1"/>
  <c r="L2207" i="13" a="1"/>
  <c r="L2207" i="13" s="1"/>
  <c r="L2208" i="13" s="1"/>
  <c r="D2171" i="13" a="1"/>
  <c r="D2171" i="13" s="1"/>
  <c r="D2172" i="13" s="1"/>
  <c r="D2173" i="13" a="1"/>
  <c r="D2173" i="13" s="1"/>
  <c r="D2174" i="13" s="1"/>
  <c r="D2205" i="13" a="1"/>
  <c r="D2205" i="13" s="1"/>
  <c r="D2206" i="13" s="1"/>
  <c r="D2207" i="13" a="1"/>
  <c r="D2207" i="13" s="1"/>
  <c r="D2208" i="13" s="1"/>
  <c r="K2170" i="13"/>
  <c r="HD11" i="23"/>
  <c r="HF11" i="23"/>
  <c r="J2272" i="13" l="1"/>
  <c r="EC77" i="9" s="1" a="1"/>
  <c r="EC77" i="9" s="1"/>
  <c r="G2246" i="13"/>
  <c r="J2246" i="13"/>
  <c r="M2273" i="13" a="1"/>
  <c r="M2273" i="13" s="1"/>
  <c r="M2274" i="13" s="1"/>
  <c r="M2275" i="13" a="1"/>
  <c r="M2275" i="13" s="1"/>
  <c r="M2276" i="13" s="1"/>
  <c r="G2243" i="13"/>
  <c r="BY76" i="9" s="1" a="1"/>
  <c r="BY76" i="9" s="1"/>
  <c r="G2244" i="13"/>
  <c r="H2272" i="13"/>
  <c r="F2238" i="13"/>
  <c r="BE76" i="9" s="1" a="1"/>
  <c r="BE76" i="9" s="1"/>
  <c r="E2273" i="13" a="1"/>
  <c r="E2273" i="13" s="1"/>
  <c r="E2274" i="13" s="1"/>
  <c r="E2275" i="13" a="1"/>
  <c r="E2275" i="13" s="1"/>
  <c r="E2276" i="13" s="1"/>
  <c r="J2243" i="13"/>
  <c r="ED76" i="9" s="1" a="1"/>
  <c r="ED76" i="9" s="1"/>
  <c r="J2244" i="13"/>
  <c r="J2273" i="13" a="1"/>
  <c r="J2273" i="13" s="1"/>
  <c r="J2274" i="13" s="1"/>
  <c r="J2275" i="13" a="1"/>
  <c r="J2275" i="13" s="1"/>
  <c r="J2276" i="13" s="1"/>
  <c r="O2273" i="13" a="1"/>
  <c r="O2273" i="13" s="1"/>
  <c r="O2274" i="13" s="1"/>
  <c r="O2275" i="13" a="1"/>
  <c r="O2275" i="13" s="1"/>
  <c r="O2276" i="13" s="1"/>
  <c r="L2272" i="13"/>
  <c r="FO77" i="9" s="1" a="1"/>
  <c r="FO77" i="9" s="1"/>
  <c r="D2246" i="13"/>
  <c r="D2238" i="13"/>
  <c r="S76" i="9" s="1" a="1"/>
  <c r="S76" i="9" s="1"/>
  <c r="G2268" i="13" a="1"/>
  <c r="G2268" i="13" s="1"/>
  <c r="G2269" i="13" s="1"/>
  <c r="G2270" i="13" a="1"/>
  <c r="G2270" i="13" s="1"/>
  <c r="G2271" i="13" s="1"/>
  <c r="G2272" i="13" s="1"/>
  <c r="E2246" i="13"/>
  <c r="DJ77" i="9" a="1"/>
  <c r="DJ77" i="9" s="1"/>
  <c r="D2243" i="13"/>
  <c r="T76" i="9" s="1" a="1"/>
  <c r="T76" i="9" s="1"/>
  <c r="CC77" i="9" a="1"/>
  <c r="CC77" i="9" s="1"/>
  <c r="BW77" i="9" a="1"/>
  <c r="BW77" i="9" s="1"/>
  <c r="G2262" i="13" a="1"/>
  <c r="G2262" i="13" s="1"/>
  <c r="E2243" i="13"/>
  <c r="AM76" i="9" s="1" a="1"/>
  <c r="AM76" i="9" s="1"/>
  <c r="K2246" i="13"/>
  <c r="H2243" i="13"/>
  <c r="CR76" i="9" s="1" a="1"/>
  <c r="CR76" i="9" s="1"/>
  <c r="H2244" i="13"/>
  <c r="N2263" i="13" a="1"/>
  <c r="N2263" i="13" s="1"/>
  <c r="N2264" i="13" s="1"/>
  <c r="N2265" i="13" a="1"/>
  <c r="N2265" i="13" s="1"/>
  <c r="N2266" i="13" s="1"/>
  <c r="K2243" i="13"/>
  <c r="EW76" i="9" s="1" a="1"/>
  <c r="EW76" i="9" s="1"/>
  <c r="K2244" i="13"/>
  <c r="P940" i="10"/>
  <c r="D2261" i="13" a="1"/>
  <c r="D2261" i="13" s="1"/>
  <c r="HF77" i="9" a="1"/>
  <c r="HF77" i="9" s="1"/>
  <c r="GZ77" i="9" a="1"/>
  <c r="GZ77" i="9" s="1"/>
  <c r="N2262" i="13" a="1"/>
  <c r="N2262" i="13" s="1"/>
  <c r="M2243" i="13"/>
  <c r="GI76" i="9" s="1" a="1"/>
  <c r="GI76" i="9" s="1"/>
  <c r="M2244" i="13"/>
  <c r="L2273" i="13" a="1"/>
  <c r="L2273" i="13" s="1"/>
  <c r="L2274" i="13" s="1"/>
  <c r="L2275" i="13" a="1"/>
  <c r="L2275" i="13" s="1"/>
  <c r="L2276" i="13" s="1"/>
  <c r="I2273" i="13" a="1"/>
  <c r="I2273" i="13" s="1"/>
  <c r="I2274" i="13" s="1"/>
  <c r="I2275" i="13" a="1"/>
  <c r="I2275" i="13" s="1"/>
  <c r="I2276" i="13" s="1"/>
  <c r="L2243" i="13"/>
  <c r="FP76" i="9" s="1" a="1"/>
  <c r="FP76" i="9" s="1"/>
  <c r="L2244" i="13"/>
  <c r="R77" i="9" a="1"/>
  <c r="R77" i="9" s="1"/>
  <c r="P942" i="10"/>
  <c r="X77" i="9" a="1"/>
  <c r="X77" i="9" s="1"/>
  <c r="D2262" i="13" a="1"/>
  <c r="D2262" i="13" s="1"/>
  <c r="F2273" i="13" a="1"/>
  <c r="F2273" i="13" s="1"/>
  <c r="F2274" i="13" s="1"/>
  <c r="F2275" i="13" a="1"/>
  <c r="F2275" i="13" s="1"/>
  <c r="F2276" i="13" s="1"/>
  <c r="I2267" i="13"/>
  <c r="O2243" i="13"/>
  <c r="HU76" i="9" s="1" a="1"/>
  <c r="HU76" i="9" s="1"/>
  <c r="P939" i="10"/>
  <c r="D2260" i="13" a="1"/>
  <c r="D2260" i="13" s="1"/>
  <c r="N2268" i="13" a="1"/>
  <c r="N2268" i="13" s="1"/>
  <c r="N2269" i="13" s="1"/>
  <c r="N2270" i="13" a="1"/>
  <c r="N2270" i="13" s="1"/>
  <c r="N2271" i="13" s="1"/>
  <c r="N2272" i="13" s="1"/>
  <c r="N2246" i="13"/>
  <c r="BX76" i="9" a="1"/>
  <c r="BX76" i="9" s="1"/>
  <c r="BZ76" i="9" s="1"/>
  <c r="H2273" i="13" a="1"/>
  <c r="H2273" i="13" s="1"/>
  <c r="H2274" i="13" s="1"/>
  <c r="H2275" i="13" a="1"/>
  <c r="H2275" i="13" s="1"/>
  <c r="H2276" i="13" s="1"/>
  <c r="G2263" i="13" a="1"/>
  <c r="G2263" i="13" s="1"/>
  <c r="G2264" i="13" s="1"/>
  <c r="G2265" i="13" a="1"/>
  <c r="G2265" i="13" s="1"/>
  <c r="G2266" i="13" s="1"/>
  <c r="N2243" i="13"/>
  <c r="HB76" i="9" s="1" a="1"/>
  <c r="HB76" i="9" s="1"/>
  <c r="H2267" i="13"/>
  <c r="I2243" i="13"/>
  <c r="DK76" i="9" s="1" a="1"/>
  <c r="DK76" i="9" s="1"/>
  <c r="I2244" i="13"/>
  <c r="F2239" i="13" a="1"/>
  <c r="F2239" i="13" s="1"/>
  <c r="F2240" i="13" s="1"/>
  <c r="F2241" i="13" a="1"/>
  <c r="F2241" i="13" s="1"/>
  <c r="F2242" i="13" s="1"/>
  <c r="K2273" i="13" a="1"/>
  <c r="K2273" i="13" s="1"/>
  <c r="K2274" i="13" s="1"/>
  <c r="K2275" i="13" a="1"/>
  <c r="K2275" i="13" s="1"/>
  <c r="K2276" i="13" s="1"/>
  <c r="FR74" i="9"/>
  <c r="M86" i="25" a="1"/>
  <c r="M86" i="25" s="1"/>
  <c r="BH72" i="9"/>
  <c r="G84" i="25" a="1"/>
  <c r="G84" i="25" s="1"/>
  <c r="BH73" i="9"/>
  <c r="G85" i="25" a="1"/>
  <c r="G85" i="25" s="1"/>
  <c r="EF72" i="9"/>
  <c r="K84" i="25" a="1"/>
  <c r="K84" i="25" s="1"/>
  <c r="HW74" i="9"/>
  <c r="P86" i="25" a="1"/>
  <c r="P86" i="25" s="1"/>
  <c r="E2207" i="13" a="1"/>
  <c r="E2207" i="13" s="1"/>
  <c r="E2208" i="13" s="1"/>
  <c r="E2209" i="13" s="1"/>
  <c r="AL74" i="9" a="1"/>
  <c r="AL74" i="9" s="1"/>
  <c r="IA72" i="9" a="1"/>
  <c r="IA72" i="9" s="1"/>
  <c r="II72" i="9" s="1"/>
  <c r="Q85" i="24" s="1" a="1"/>
  <c r="Q85" i="24" s="1"/>
  <c r="N2178" i="13"/>
  <c r="N2180" i="13" s="1"/>
  <c r="HE74" i="9" s="1" a="1"/>
  <c r="HE74" i="9" s="1"/>
  <c r="S75" i="9" a="1"/>
  <c r="S75" i="9" s="1"/>
  <c r="BG72" i="9"/>
  <c r="BK72" i="9"/>
  <c r="BS72" i="9" s="1"/>
  <c r="HB74" i="9" a="1"/>
  <c r="HB74" i="9" s="1"/>
  <c r="D2144" i="13"/>
  <c r="D2146" i="13" s="1"/>
  <c r="W73" i="9" s="1" a="1"/>
  <c r="W73" i="9" s="1"/>
  <c r="BX75" i="9" a="1"/>
  <c r="BX75" i="9" s="1"/>
  <c r="CX72" i="9" a="1"/>
  <c r="CX72" i="9" s="1"/>
  <c r="DF72" i="9" s="1"/>
  <c r="J85" i="24" s="1" a="1"/>
  <c r="J85" i="24" s="1"/>
  <c r="L2176" i="13"/>
  <c r="L2178" i="13"/>
  <c r="CQ75" i="9" a="1"/>
  <c r="CQ75" i="9" s="1"/>
  <c r="S74" i="9" a="1"/>
  <c r="S74" i="9" s="1"/>
  <c r="HA75" i="9" a="1"/>
  <c r="HA75" i="9" s="1"/>
  <c r="O2176" i="13"/>
  <c r="IL71" i="9"/>
  <c r="IM71" i="9" s="1"/>
  <c r="EI73" i="9"/>
  <c r="EQ73" i="9" s="1"/>
  <c r="I2209" i="13"/>
  <c r="DK75" i="9" s="1" a="1"/>
  <c r="DK75" i="9" s="1"/>
  <c r="GH75" i="9" a="1"/>
  <c r="GH75" i="9" s="1"/>
  <c r="AH71" i="9"/>
  <c r="F84" i="24" s="1" a="1"/>
  <c r="F84" i="24" s="1"/>
  <c r="T73" i="9" a="1"/>
  <c r="T73" i="9" s="1"/>
  <c r="EE72" i="9"/>
  <c r="EI72" i="9"/>
  <c r="EQ72" i="9" s="1"/>
  <c r="O2178" i="13"/>
  <c r="EJ71" i="9" a="1"/>
  <c r="EJ71" i="9" s="1"/>
  <c r="ER71" i="9" s="1"/>
  <c r="L84" i="24" s="1" a="1"/>
  <c r="L84" i="24" s="1"/>
  <c r="IJ70" i="9"/>
  <c r="IK70" i="9" s="1"/>
  <c r="FO75" i="9" a="1"/>
  <c r="FO75" i="9" s="1"/>
  <c r="GN73" i="9"/>
  <c r="GV73" i="9" s="1"/>
  <c r="EV74" i="9" a="1"/>
  <c r="EV74" i="9" s="1"/>
  <c r="BK73" i="9"/>
  <c r="BS73" i="9" s="1"/>
  <c r="FC72" i="9" a="1"/>
  <c r="FC72" i="9" s="1"/>
  <c r="FK72" i="9" s="1"/>
  <c r="M85" i="24" s="1" a="1"/>
  <c r="M85" i="24" s="1"/>
  <c r="O2144" i="13"/>
  <c r="O2146" i="13" s="1"/>
  <c r="HX73" i="9" s="1" a="1"/>
  <c r="HX73" i="9" s="1"/>
  <c r="K2144" i="13"/>
  <c r="AR73" i="9"/>
  <c r="AZ73" i="9" s="1"/>
  <c r="BG73" i="9"/>
  <c r="HU73" i="9" a="1"/>
  <c r="HU73" i="9" s="1"/>
  <c r="K2142" i="13"/>
  <c r="EV75" i="9" a="1"/>
  <c r="EV75" i="9" s="1"/>
  <c r="E2175" i="13"/>
  <c r="E2178" i="13" s="1"/>
  <c r="CW73" i="9"/>
  <c r="DE73" i="9" s="1"/>
  <c r="L2209" i="13"/>
  <c r="L2210" i="13" s="1"/>
  <c r="K2209" i="13"/>
  <c r="EW75" i="9" s="1" a="1"/>
  <c r="EW75" i="9" s="1"/>
  <c r="L87" i="25" s="1" a="1"/>
  <c r="L87" i="25" s="1"/>
  <c r="EC75" i="9" a="1"/>
  <c r="EC75" i="9" s="1"/>
  <c r="D2209" i="13"/>
  <c r="D2210" i="13" s="1"/>
  <c r="CE72" i="9" a="1"/>
  <c r="CE72" i="9" s="1"/>
  <c r="CM72" i="9" s="1"/>
  <c r="I85" i="24" s="1" a="1"/>
  <c r="I85" i="24" s="1"/>
  <c r="AL75" i="9" a="1"/>
  <c r="AL75" i="9" s="1"/>
  <c r="HV74" i="9"/>
  <c r="FV72" i="9" a="1"/>
  <c r="FV72" i="9" s="1"/>
  <c r="GD72" i="9" s="1"/>
  <c r="N85" i="24" s="1" a="1"/>
  <c r="N85" i="24" s="1"/>
  <c r="ED74" i="9" a="1"/>
  <c r="ED74" i="9" s="1"/>
  <c r="CD73" i="9"/>
  <c r="CL73" i="9" s="1"/>
  <c r="J2178" i="13"/>
  <c r="J2180" i="13" s="1"/>
  <c r="EG74" i="9" s="1" a="1"/>
  <c r="EG74" i="9" s="1"/>
  <c r="Z72" i="9" a="1"/>
  <c r="Z72" i="9" s="1"/>
  <c r="AH72" i="9" s="1"/>
  <c r="F85" i="24" s="1" a="1"/>
  <c r="F85" i="24" s="1"/>
  <c r="FR73" i="9"/>
  <c r="FQ73" i="9"/>
  <c r="I2176" i="13"/>
  <c r="I2180" i="13" s="1"/>
  <c r="DN74" i="9" s="1" a="1"/>
  <c r="DN74" i="9" s="1"/>
  <c r="DK74" i="9" a="1"/>
  <c r="DK74" i="9" s="1"/>
  <c r="J86" i="25" s="1" a="1"/>
  <c r="J86" i="25" s="1"/>
  <c r="CA73" i="9"/>
  <c r="BZ73" i="9"/>
  <c r="FU73" i="9"/>
  <c r="GC73" i="9" s="1"/>
  <c r="GK73" i="9"/>
  <c r="GJ73" i="9"/>
  <c r="F2176" i="13"/>
  <c r="BF74" i="9" a="1"/>
  <c r="BF74" i="9" s="1"/>
  <c r="G86" i="25" s="1" a="1"/>
  <c r="G86" i="25" s="1"/>
  <c r="K2175" i="13"/>
  <c r="K2178" i="13" s="1"/>
  <c r="CE71" i="9" a="1"/>
  <c r="CE71" i="9" s="1"/>
  <c r="CM71" i="9" s="1"/>
  <c r="I84" i="24" s="1" a="1"/>
  <c r="I84" i="24" s="1"/>
  <c r="DY70" i="9"/>
  <c r="AS71" i="9" a="1"/>
  <c r="AS71" i="9" s="1"/>
  <c r="N2142" i="13"/>
  <c r="HB73" i="9" a="1"/>
  <c r="HB73" i="9" s="1"/>
  <c r="H2176" i="13"/>
  <c r="H2180" i="13" s="1"/>
  <c r="CU74" i="9" s="1" a="1"/>
  <c r="CU74" i="9" s="1"/>
  <c r="CR74" i="9" a="1"/>
  <c r="CR74" i="9" s="1"/>
  <c r="I86" i="25" s="1" a="1"/>
  <c r="I86" i="25" s="1"/>
  <c r="F2178" i="13"/>
  <c r="DJ75" i="9" a="1"/>
  <c r="DJ75" i="9" s="1"/>
  <c r="EF73" i="9"/>
  <c r="EE73" i="9"/>
  <c r="M2209" i="13"/>
  <c r="M2212" i="13" s="1"/>
  <c r="H2209" i="13"/>
  <c r="H2212" i="13" s="1"/>
  <c r="AS72" i="9" a="1"/>
  <c r="AS72" i="9" s="1"/>
  <c r="BA72" i="9" s="1"/>
  <c r="G85" i="24" s="1" a="1"/>
  <c r="G85" i="24" s="1"/>
  <c r="GO72" i="9" a="1"/>
  <c r="GO72" i="9" s="1"/>
  <c r="GW72" i="9" s="1"/>
  <c r="O85" i="24" s="1" a="1"/>
  <c r="O85" i="24" s="1"/>
  <c r="HH72" i="9" a="1"/>
  <c r="HH72" i="9" s="1"/>
  <c r="HP72" i="9" s="1"/>
  <c r="P85" i="24" s="1" a="1"/>
  <c r="P85" i="24" s="1"/>
  <c r="CT73" i="9"/>
  <c r="CS73" i="9"/>
  <c r="G2176" i="13"/>
  <c r="BY74" i="9" a="1"/>
  <c r="BY74" i="9" s="1"/>
  <c r="H86" i="25" s="1" a="1"/>
  <c r="H86" i="25" s="1"/>
  <c r="N2209" i="13"/>
  <c r="N2212" i="13" s="1"/>
  <c r="I2142" i="13"/>
  <c r="I2146" i="13" s="1"/>
  <c r="DN73" i="9" s="1" a="1"/>
  <c r="DN73" i="9" s="1"/>
  <c r="DK73" i="9" a="1"/>
  <c r="DK73" i="9" s="1"/>
  <c r="J85" i="25" s="1" a="1"/>
  <c r="J85" i="25" s="1"/>
  <c r="BE75" i="9" a="1"/>
  <c r="BE75" i="9" s="1"/>
  <c r="FQ74" i="9"/>
  <c r="M2176" i="13"/>
  <c r="GI74" i="9" a="1"/>
  <c r="GI74" i="9" s="1"/>
  <c r="N86" i="25" s="1" a="1"/>
  <c r="N86" i="25" s="1"/>
  <c r="DQ72" i="9" a="1"/>
  <c r="DQ72" i="9" s="1"/>
  <c r="DY72" i="9" s="1"/>
  <c r="K85" i="24" s="1" a="1"/>
  <c r="K85" i="24" s="1"/>
  <c r="GO71" i="9" a="1"/>
  <c r="GO71" i="9" s="1"/>
  <c r="GW71" i="9" s="1"/>
  <c r="O84" i="24" s="1" a="1"/>
  <c r="O84" i="24" s="1"/>
  <c r="EY73" i="9"/>
  <c r="EX73" i="9"/>
  <c r="AO73" i="9"/>
  <c r="AN73" i="9"/>
  <c r="D2175" i="13"/>
  <c r="G2209" i="13"/>
  <c r="M2178" i="13"/>
  <c r="F2209" i="13"/>
  <c r="G2178" i="13"/>
  <c r="O2195" i="13" a="1"/>
  <c r="O2195" i="13" s="1"/>
  <c r="O2196" i="13" s="1"/>
  <c r="O2197" i="13" a="1"/>
  <c r="O2197" i="13" s="1"/>
  <c r="O2198" i="13" s="1"/>
  <c r="J2209" i="13"/>
  <c r="N2144" i="13"/>
  <c r="O2205" i="13" a="1"/>
  <c r="O2205" i="13" s="1"/>
  <c r="O2206" i="13" s="1"/>
  <c r="O2207" i="13" a="1"/>
  <c r="O2207" i="13" s="1"/>
  <c r="O2208" i="13" s="1"/>
  <c r="O2200" i="13" a="1"/>
  <c r="O2200" i="13" s="1"/>
  <c r="O2201" i="13" s="1"/>
  <c r="O2202" i="13" a="1"/>
  <c r="O2202" i="13" s="1"/>
  <c r="O2203" i="13" s="1"/>
  <c r="BG76" i="9" l="1"/>
  <c r="F2277" i="13"/>
  <c r="BF77" i="9" s="1" a="1"/>
  <c r="BF77" i="9" s="1"/>
  <c r="N88" i="25" a="1"/>
  <c r="N88" i="25" s="1"/>
  <c r="GK76" i="9"/>
  <c r="GJ76" i="9"/>
  <c r="M2277" i="13"/>
  <c r="GI77" i="9" s="1" a="1"/>
  <c r="GI77" i="9" s="1"/>
  <c r="I2248" i="13"/>
  <c r="DN76" i="9" s="1" a="1"/>
  <c r="DN76" i="9" s="1"/>
  <c r="DP76" i="9" s="1"/>
  <c r="DX76" i="9" s="1"/>
  <c r="D2273" i="13" a="1"/>
  <c r="D2273" i="13" s="1"/>
  <c r="D2274" i="13" s="1"/>
  <c r="D2275" i="13" a="1"/>
  <c r="D2275" i="13" s="1"/>
  <c r="D2276" i="13" s="1"/>
  <c r="H2248" i="13"/>
  <c r="CU76" i="9" s="1" a="1"/>
  <c r="CU76" i="9" s="1"/>
  <c r="CW76" i="9" s="1"/>
  <c r="DE76" i="9" s="1"/>
  <c r="CT76" i="9"/>
  <c r="I88" i="25" a="1"/>
  <c r="I88" i="25" s="1"/>
  <c r="CS76" i="9"/>
  <c r="J2277" i="13"/>
  <c r="ED77" i="9" s="1" a="1"/>
  <c r="ED77" i="9" s="1"/>
  <c r="N2273" i="13" a="1"/>
  <c r="N2273" i="13" s="1"/>
  <c r="N2274" i="13" s="1"/>
  <c r="N2275" i="13" a="1"/>
  <c r="N2275" i="13" s="1"/>
  <c r="N2276" i="13" s="1"/>
  <c r="J88" i="25" a="1"/>
  <c r="J88" i="25" s="1"/>
  <c r="DM76" i="9"/>
  <c r="J2248" i="13"/>
  <c r="EG76" i="9" s="1" a="1"/>
  <c r="EG76" i="9" s="1"/>
  <c r="EI76" i="9" s="1"/>
  <c r="EQ76" i="9" s="1"/>
  <c r="N2244" i="13"/>
  <c r="N2248" i="13" s="1"/>
  <c r="HE76" i="9" s="1" a="1"/>
  <c r="HE76" i="9" s="1"/>
  <c r="HG76" i="9" s="1"/>
  <c r="HO76" i="9" s="1"/>
  <c r="D2263" i="13" a="1"/>
  <c r="D2263" i="13" s="1"/>
  <c r="D2264" i="13" s="1"/>
  <c r="D2265" i="13" a="1"/>
  <c r="D2265" i="13" s="1"/>
  <c r="D2266" i="13" s="1"/>
  <c r="D2268" i="13" a="1"/>
  <c r="D2268" i="13" s="1"/>
  <c r="D2269" i="13" s="1"/>
  <c r="D2270" i="13" a="1"/>
  <c r="D2270" i="13" s="1"/>
  <c r="D2271" i="13" s="1"/>
  <c r="E2244" i="13"/>
  <c r="E2248" i="13" s="1"/>
  <c r="AP76" i="9" s="1" a="1"/>
  <c r="AP76" i="9" s="1"/>
  <c r="AR76" i="9" s="1"/>
  <c r="AZ76" i="9" s="1"/>
  <c r="U76" i="9"/>
  <c r="K88" i="25" a="1"/>
  <c r="K88" i="25" s="1"/>
  <c r="EF76" i="9"/>
  <c r="O88" i="25" a="1"/>
  <c r="O88" i="25" s="1"/>
  <c r="HD76" i="9"/>
  <c r="F88" i="25" a="1"/>
  <c r="F88" i="25" s="1"/>
  <c r="AO76" i="9"/>
  <c r="E2280" i="13"/>
  <c r="G2267" i="13"/>
  <c r="BX77" i="9" s="1" a="1"/>
  <c r="BX77" i="9" s="1"/>
  <c r="O2244" i="13"/>
  <c r="O2248" i="13" s="1"/>
  <c r="HX76" i="9" s="1" a="1"/>
  <c r="HX76" i="9" s="1"/>
  <c r="HZ76" i="9" s="1"/>
  <c r="IH76" i="9" s="1"/>
  <c r="M88" i="25" a="1"/>
  <c r="M88" i="25" s="1"/>
  <c r="FR76" i="9"/>
  <c r="FQ76" i="9"/>
  <c r="L2246" i="13"/>
  <c r="L2248" i="13" s="1"/>
  <c r="FS76" i="9" s="1" a="1"/>
  <c r="FS76" i="9" s="1"/>
  <c r="FU76" i="9" s="1"/>
  <c r="GC76" i="9" s="1"/>
  <c r="G2273" i="13" a="1"/>
  <c r="G2273" i="13" s="1"/>
  <c r="G2274" i="13" s="1"/>
  <c r="G2275" i="13" a="1"/>
  <c r="G2275" i="13" s="1"/>
  <c r="G2276" i="13" s="1"/>
  <c r="E2277" i="13"/>
  <c r="AM77" i="9" s="1" a="1"/>
  <c r="AM77" i="9" s="1"/>
  <c r="E2278" i="13"/>
  <c r="E2282" i="13" s="1"/>
  <c r="AP77" i="9" s="1" a="1"/>
  <c r="AP77" i="9" s="1"/>
  <c r="AR77" i="9" s="1"/>
  <c r="AZ77" i="9" s="1"/>
  <c r="EE76" i="9"/>
  <c r="P88" i="25" a="1"/>
  <c r="P88" i="25" s="1"/>
  <c r="HW76" i="9"/>
  <c r="K2248" i="13"/>
  <c r="EZ76" i="9" s="1" a="1"/>
  <c r="EZ76" i="9" s="1"/>
  <c r="FB76" i="9" s="1"/>
  <c r="FJ76" i="9" s="1"/>
  <c r="HC76" i="9"/>
  <c r="I2277" i="13"/>
  <c r="DK77" i="9" s="1" a="1"/>
  <c r="DK77" i="9" s="1"/>
  <c r="L88" i="25" a="1"/>
  <c r="L88" i="25" s="1"/>
  <c r="EY76" i="9"/>
  <c r="O2246" i="13"/>
  <c r="CQ77" i="9" a="1"/>
  <c r="CQ77" i="9" s="1"/>
  <c r="CS77" i="9" s="1"/>
  <c r="EX76" i="9"/>
  <c r="K2277" i="13"/>
  <c r="EW77" i="9" s="1" a="1"/>
  <c r="EW77" i="9" s="1"/>
  <c r="K2278" i="13"/>
  <c r="H2277" i="13"/>
  <c r="CR77" i="9" s="1" a="1"/>
  <c r="CR77" i="9" s="1"/>
  <c r="H2278" i="13"/>
  <c r="M2246" i="13"/>
  <c r="H2246" i="13"/>
  <c r="G2248" i="13"/>
  <c r="CB76" i="9" s="1" a="1"/>
  <c r="CB76" i="9" s="1"/>
  <c r="CD76" i="9" s="1"/>
  <c r="CL76" i="9" s="1"/>
  <c r="DL76" i="9"/>
  <c r="F2246" i="13"/>
  <c r="L2277" i="13"/>
  <c r="FP77" i="9" s="1" a="1"/>
  <c r="FP77" i="9" s="1"/>
  <c r="N2267" i="13"/>
  <c r="HA77" i="9" s="1" a="1"/>
  <c r="HA77" i="9" s="1"/>
  <c r="D2244" i="13"/>
  <c r="D2248" i="13" s="1"/>
  <c r="W76" i="9" s="1" a="1"/>
  <c r="W76" i="9" s="1"/>
  <c r="Y76" i="9" s="1"/>
  <c r="AG76" i="9" s="1"/>
  <c r="H88" i="25" a="1"/>
  <c r="H88" i="25" s="1"/>
  <c r="CA76" i="9"/>
  <c r="CE76" i="9" s="1" a="1"/>
  <c r="CE76" i="9" s="1"/>
  <c r="CM76" i="9" s="1"/>
  <c r="HV76" i="9"/>
  <c r="IA76" i="9" s="1" a="1"/>
  <c r="IA76" i="9" s="1"/>
  <c r="II76" i="9" s="1"/>
  <c r="F2243" i="13"/>
  <c r="BF76" i="9" s="1" a="1"/>
  <c r="BF76" i="9" s="1"/>
  <c r="F2244" i="13"/>
  <c r="F2248" i="13" s="1"/>
  <c r="BI76" i="9" s="1" a="1"/>
  <c r="BI76" i="9" s="1"/>
  <c r="BK76" i="9" s="1"/>
  <c r="BS76" i="9" s="1"/>
  <c r="I2246" i="13"/>
  <c r="M2248" i="13"/>
  <c r="GL76" i="9" s="1" a="1"/>
  <c r="GL76" i="9" s="1"/>
  <c r="GN76" i="9" s="1"/>
  <c r="GV76" i="9" s="1"/>
  <c r="E88" i="25" a="1"/>
  <c r="E88" i="25" s="1"/>
  <c r="V76" i="9"/>
  <c r="O2277" i="13"/>
  <c r="HU77" i="9" s="1" a="1"/>
  <c r="HU77" i="9" s="1"/>
  <c r="M2280" i="13"/>
  <c r="AN76" i="9"/>
  <c r="IN70" i="9"/>
  <c r="IO70" i="9" s="1"/>
  <c r="K83" i="24" a="1"/>
  <c r="K83" i="24" s="1"/>
  <c r="DM75" i="9"/>
  <c r="J87" i="25" a="1"/>
  <c r="J87" i="25" s="1"/>
  <c r="EF74" i="9"/>
  <c r="K86" i="25" a="1"/>
  <c r="K86" i="25" s="1"/>
  <c r="Q84" i="25"/>
  <c r="HD74" i="9"/>
  <c r="O86" i="25" a="1"/>
  <c r="O86" i="25" s="1"/>
  <c r="HW73" i="9"/>
  <c r="P85" i="25" a="1"/>
  <c r="P85" i="25" s="1"/>
  <c r="HD73" i="9"/>
  <c r="O85" i="25" a="1"/>
  <c r="O85" i="25" s="1"/>
  <c r="V73" i="9"/>
  <c r="E85" i="25" a="1"/>
  <c r="E85" i="25" s="1"/>
  <c r="IL72" i="9"/>
  <c r="IM72" i="9" s="1"/>
  <c r="BL72" i="9" a="1"/>
  <c r="BL72" i="9" s="1"/>
  <c r="BT72" i="9" s="1"/>
  <c r="H85" i="24" s="1" a="1"/>
  <c r="H85" i="24" s="1"/>
  <c r="I2212" i="13"/>
  <c r="HG74" i="9"/>
  <c r="HO74" i="9" s="1"/>
  <c r="I2210" i="13"/>
  <c r="HC74" i="9"/>
  <c r="L2180" i="13"/>
  <c r="FS74" i="9" s="1" a="1"/>
  <c r="FS74" i="9" s="1"/>
  <c r="FU74" i="9" s="1"/>
  <c r="GC74" i="9" s="1"/>
  <c r="L2212" i="13"/>
  <c r="L2214" i="13" s="1"/>
  <c r="FS75" i="9" s="1" a="1"/>
  <c r="FS75" i="9" s="1"/>
  <c r="FP75" i="9" a="1"/>
  <c r="FP75" i="9" s="1"/>
  <c r="BL73" i="9" a="1"/>
  <c r="BL73" i="9" s="1"/>
  <c r="BT73" i="9" s="1"/>
  <c r="H86" i="24" s="1" a="1"/>
  <c r="H86" i="24" s="1"/>
  <c r="K2212" i="13"/>
  <c r="K2210" i="13"/>
  <c r="D2212" i="13"/>
  <c r="D2214" i="13" s="1"/>
  <c r="W75" i="9" s="1" a="1"/>
  <c r="W75" i="9" s="1"/>
  <c r="O2180" i="13"/>
  <c r="HX74" i="9" s="1" a="1"/>
  <c r="HX74" i="9" s="1"/>
  <c r="HZ74" i="9" s="1"/>
  <c r="IH74" i="9" s="1"/>
  <c r="AM74" i="9" a="1"/>
  <c r="AM74" i="9" s="1"/>
  <c r="E2176" i="13"/>
  <c r="E2180" i="13" s="1"/>
  <c r="AP74" i="9" s="1" a="1"/>
  <c r="AP74" i="9" s="1"/>
  <c r="T75" i="9" a="1"/>
  <c r="T75" i="9" s="1"/>
  <c r="EJ72" i="9" a="1"/>
  <c r="EJ72" i="9" s="1"/>
  <c r="ER72" i="9" s="1"/>
  <c r="CX73" i="9" a="1"/>
  <c r="CX73" i="9" s="1"/>
  <c r="DF73" i="9" s="1"/>
  <c r="J86" i="24" s="1" a="1"/>
  <c r="J86" i="24" s="1"/>
  <c r="Y73" i="9"/>
  <c r="AG73" i="9" s="1"/>
  <c r="DP73" i="9"/>
  <c r="DX73" i="9" s="1"/>
  <c r="U73" i="9"/>
  <c r="CE73" i="9" a="1"/>
  <c r="CE73" i="9" s="1"/>
  <c r="CM73" i="9" s="1"/>
  <c r="I86" i="24" s="1" a="1"/>
  <c r="I86" i="24" s="1"/>
  <c r="K2146" i="13"/>
  <c r="EZ73" i="9" s="1" a="1"/>
  <c r="EZ73" i="9" s="1"/>
  <c r="FB73" i="9" s="1"/>
  <c r="FJ73" i="9" s="1"/>
  <c r="N2146" i="13"/>
  <c r="HE73" i="9" s="1" a="1"/>
  <c r="HE73" i="9" s="1"/>
  <c r="HG73" i="9" s="1"/>
  <c r="HO73" i="9" s="1"/>
  <c r="DP74" i="9"/>
  <c r="DX74" i="9" s="1"/>
  <c r="HV73" i="9"/>
  <c r="EI74" i="9"/>
  <c r="EQ74" i="9" s="1"/>
  <c r="EE74" i="9"/>
  <c r="EJ73" i="9" a="1"/>
  <c r="EJ73" i="9" s="1"/>
  <c r="ER73" i="9" s="1"/>
  <c r="L86" i="24" s="1" a="1"/>
  <c r="L86" i="24" s="1"/>
  <c r="DL75" i="9"/>
  <c r="GO73" i="9" a="1"/>
  <c r="GO73" i="9" s="1"/>
  <c r="GW73" i="9" s="1"/>
  <c r="O86" i="24" s="1" a="1"/>
  <c r="O86" i="24" s="1"/>
  <c r="HZ73" i="9"/>
  <c r="FV73" i="9" a="1"/>
  <c r="FV73" i="9" s="1"/>
  <c r="GD73" i="9" s="1"/>
  <c r="N86" i="24" s="1" a="1"/>
  <c r="N86" i="24" s="1"/>
  <c r="CW74" i="9"/>
  <c r="DE74" i="9" s="1"/>
  <c r="M2180" i="13"/>
  <c r="GL74" i="9" s="1" a="1"/>
  <c r="GL74" i="9" s="1"/>
  <c r="GN74" i="9" s="1"/>
  <c r="GV74" i="9" s="1"/>
  <c r="N2210" i="13"/>
  <c r="N2214" i="13" s="1"/>
  <c r="HE75" i="9" s="1" a="1"/>
  <c r="HE75" i="9" s="1"/>
  <c r="HB75" i="9" a="1"/>
  <c r="HB75" i="9" s="1"/>
  <c r="O87" i="25" s="1" a="1"/>
  <c r="O87" i="25" s="1"/>
  <c r="EY75" i="9"/>
  <c r="EX75" i="9"/>
  <c r="O2199" i="13"/>
  <c r="AS73" i="9" a="1"/>
  <c r="AS73" i="9" s="1"/>
  <c r="BA73" i="9" s="1"/>
  <c r="G86" i="24" s="1" a="1"/>
  <c r="G86" i="24" s="1"/>
  <c r="K2176" i="13"/>
  <c r="K2180" i="13" s="1"/>
  <c r="EZ74" i="9" s="1" a="1"/>
  <c r="EZ74" i="9" s="1"/>
  <c r="EW74" i="9" a="1"/>
  <c r="EW74" i="9" s="1"/>
  <c r="L86" i="25" s="1" a="1"/>
  <c r="L86" i="25" s="1"/>
  <c r="DM74" i="9"/>
  <c r="DL74" i="9"/>
  <c r="E2210" i="13"/>
  <c r="AM75" i="9" a="1"/>
  <c r="AM75" i="9" s="1"/>
  <c r="F87" i="25" s="1" a="1"/>
  <c r="F87" i="25" s="1"/>
  <c r="G2210" i="13"/>
  <c r="BY75" i="9" a="1"/>
  <c r="BY75" i="9" s="1"/>
  <c r="H87" i="25" s="1" a="1"/>
  <c r="H87" i="25" s="1"/>
  <c r="E2212" i="13"/>
  <c r="CA74" i="9"/>
  <c r="BZ74" i="9"/>
  <c r="F2180" i="13"/>
  <c r="BI74" i="9" s="1" a="1"/>
  <c r="BI74" i="9" s="1"/>
  <c r="BK74" i="9" s="1"/>
  <c r="BS74" i="9" s="1"/>
  <c r="IJ71" i="9"/>
  <c r="IK71" i="9" s="1"/>
  <c r="BA71" i="9"/>
  <c r="G84" i="24" s="1" a="1"/>
  <c r="G84" i="24" s="1"/>
  <c r="G2180" i="13"/>
  <c r="CB74" i="9" s="1" a="1"/>
  <c r="CB74" i="9" s="1"/>
  <c r="CD74" i="9" s="1"/>
  <c r="CL74" i="9" s="1"/>
  <c r="H2210" i="13"/>
  <c r="H2214" i="13" s="1"/>
  <c r="CU75" i="9" s="1" a="1"/>
  <c r="CU75" i="9" s="1"/>
  <c r="CR75" i="9" a="1"/>
  <c r="CR75" i="9" s="1"/>
  <c r="I87" i="25" s="1" a="1"/>
  <c r="I87" i="25" s="1"/>
  <c r="HC73" i="9"/>
  <c r="D2176" i="13"/>
  <c r="T74" i="9" a="1"/>
  <c r="T74" i="9" s="1"/>
  <c r="E86" i="25" s="1" a="1"/>
  <c r="E86" i="25" s="1"/>
  <c r="CT74" i="9"/>
  <c r="CS74" i="9"/>
  <c r="O2204" i="13"/>
  <c r="J2210" i="13"/>
  <c r="ED75" i="9" a="1"/>
  <c r="ED75" i="9" s="1"/>
  <c r="K87" i="25" s="1" a="1"/>
  <c r="K87" i="25" s="1"/>
  <c r="F2210" i="13"/>
  <c r="BF75" i="9" a="1"/>
  <c r="BF75" i="9" s="1"/>
  <c r="DM73" i="9"/>
  <c r="DL73" i="9"/>
  <c r="M2210" i="13"/>
  <c r="M2214" i="13" s="1"/>
  <c r="GL75" i="9" s="1" a="1"/>
  <c r="GL75" i="9" s="1"/>
  <c r="GI75" i="9" a="1"/>
  <c r="GI75" i="9" s="1"/>
  <c r="N87" i="25" s="1" a="1"/>
  <c r="N87" i="25" s="1"/>
  <c r="BH74" i="9"/>
  <c r="BG74" i="9"/>
  <c r="D2178" i="13"/>
  <c r="GK74" i="9"/>
  <c r="GJ74" i="9"/>
  <c r="J2212" i="13"/>
  <c r="O2209" i="13"/>
  <c r="G2212" i="13"/>
  <c r="F2212" i="13"/>
  <c r="BZ77" i="9" l="1"/>
  <c r="HC77" i="9"/>
  <c r="HW77" i="9"/>
  <c r="P89" i="25" a="1"/>
  <c r="P89" i="25" s="1"/>
  <c r="HV77" i="9"/>
  <c r="O2278" i="13"/>
  <c r="O2280" i="13"/>
  <c r="I89" i="25" a="1"/>
  <c r="I89" i="25" s="1"/>
  <c r="CT77" i="9"/>
  <c r="HH76" i="9" a="1"/>
  <c r="HH76" i="9" s="1"/>
  <c r="HP76" i="9" s="1"/>
  <c r="FV76" i="9" a="1"/>
  <c r="FV76" i="9" s="1"/>
  <c r="GD76" i="9" s="1"/>
  <c r="D2280" i="13"/>
  <c r="IL76" i="9"/>
  <c r="IM76" i="9" s="1"/>
  <c r="N2277" i="13"/>
  <c r="HB77" i="9" s="1" a="1"/>
  <c r="HB77" i="9" s="1"/>
  <c r="N2278" i="13"/>
  <c r="L2278" i="13"/>
  <c r="FC76" i="9" a="1"/>
  <c r="FC76" i="9" s="1"/>
  <c r="FK76" i="9" s="1"/>
  <c r="I2280" i="13"/>
  <c r="D2272" i="13"/>
  <c r="S77" i="9" s="1" a="1"/>
  <c r="S77" i="9" s="1"/>
  <c r="U77" i="9" s="1"/>
  <c r="J2278" i="13"/>
  <c r="M2278" i="13"/>
  <c r="M2282" i="13" s="1"/>
  <c r="GL77" i="9" s="1" a="1"/>
  <c r="GL77" i="9" s="1"/>
  <c r="GN77" i="9" s="1"/>
  <c r="GV77" i="9" s="1"/>
  <c r="EY77" i="9"/>
  <c r="L89" i="25" a="1"/>
  <c r="L89" i="25" s="1"/>
  <c r="EX77" i="9"/>
  <c r="N89" i="25" a="1"/>
  <c r="N89" i="25" s="1"/>
  <c r="GK77" i="9"/>
  <c r="GJ77" i="9"/>
  <c r="N2280" i="13"/>
  <c r="K89" i="25" a="1"/>
  <c r="K89" i="25" s="1"/>
  <c r="EF77" i="9"/>
  <c r="EE77" i="9"/>
  <c r="F2280" i="13"/>
  <c r="GO76" i="9" a="1"/>
  <c r="GO76" i="9" s="1"/>
  <c r="GW76" i="9" s="1"/>
  <c r="Z76" i="9" a="1"/>
  <c r="Z76" i="9" s="1"/>
  <c r="M89" i="25" a="1"/>
  <c r="M89" i="25" s="1"/>
  <c r="FR77" i="9"/>
  <c r="FQ77" i="9"/>
  <c r="DQ76" i="9" a="1"/>
  <c r="DQ76" i="9" s="1"/>
  <c r="DY76" i="9" s="1"/>
  <c r="EJ76" i="9" a="1"/>
  <c r="EJ76" i="9" s="1"/>
  <c r="ER76" i="9" s="1"/>
  <c r="D2267" i="13"/>
  <c r="CX76" i="9" a="1"/>
  <c r="CX76" i="9" s="1"/>
  <c r="DF76" i="9" s="1"/>
  <c r="G88" i="25" a="1"/>
  <c r="G88" i="25" s="1"/>
  <c r="Q88" i="25" s="1"/>
  <c r="BH76" i="9"/>
  <c r="BL76" i="9" s="1" a="1"/>
  <c r="BL76" i="9" s="1"/>
  <c r="BT76" i="9" s="1"/>
  <c r="I2278" i="13"/>
  <c r="I2282" i="13" s="1"/>
  <c r="DN77" i="9" s="1" a="1"/>
  <c r="DN77" i="9" s="1"/>
  <c r="DP77" i="9" s="1"/>
  <c r="DX77" i="9" s="1"/>
  <c r="AO77" i="9"/>
  <c r="F89" i="25" a="1"/>
  <c r="F89" i="25" s="1"/>
  <c r="AN77" i="9"/>
  <c r="F2278" i="13"/>
  <c r="J89" i="25" a="1"/>
  <c r="J89" i="25" s="1"/>
  <c r="DM77" i="9"/>
  <c r="DL77" i="9"/>
  <c r="G89" i="25" a="1"/>
  <c r="G89" i="25" s="1"/>
  <c r="BH77" i="9"/>
  <c r="BG77" i="9"/>
  <c r="G2280" i="13"/>
  <c r="J2280" i="13"/>
  <c r="AS76" i="9" a="1"/>
  <c r="AS76" i="9" s="1"/>
  <c r="BA76" i="9" s="1"/>
  <c r="L2280" i="13"/>
  <c r="H2280" i="13"/>
  <c r="H2282" i="13" s="1"/>
  <c r="CU77" i="9" s="1" a="1"/>
  <c r="CU77" i="9" s="1"/>
  <c r="CW77" i="9" s="1"/>
  <c r="G2277" i="13"/>
  <c r="BY77" i="9" s="1" a="1"/>
  <c r="BY77" i="9" s="1"/>
  <c r="G2278" i="13"/>
  <c r="G2282" i="13" s="1"/>
  <c r="CB77" i="9" s="1" a="1"/>
  <c r="CB77" i="9" s="1"/>
  <c r="CD77" i="9" s="1"/>
  <c r="CL77" i="9" s="1"/>
  <c r="D2277" i="13"/>
  <c r="T77" i="9" s="1" a="1"/>
  <c r="T77" i="9" s="1"/>
  <c r="D2278" i="13"/>
  <c r="K2280" i="13"/>
  <c r="K2282" i="13" s="1"/>
  <c r="EZ77" i="9" s="1" a="1"/>
  <c r="EZ77" i="9" s="1"/>
  <c r="FB77" i="9" s="1"/>
  <c r="FJ77" i="9" s="1"/>
  <c r="FR75" i="9"/>
  <c r="M87" i="25" a="1"/>
  <c r="M87" i="25" s="1"/>
  <c r="Q85" i="25"/>
  <c r="AO74" i="9"/>
  <c r="F86" i="25" a="1"/>
  <c r="F86" i="25" s="1"/>
  <c r="Q86" i="25" s="1"/>
  <c r="BH75" i="9"/>
  <c r="G87" i="25" a="1"/>
  <c r="G87" i="25" s="1"/>
  <c r="V75" i="9"/>
  <c r="E87" i="25" a="1"/>
  <c r="E87" i="25" s="1"/>
  <c r="IN72" i="9"/>
  <c r="IO72" i="9" s="1"/>
  <c r="L85" i="24" a="1"/>
  <c r="L85" i="24" s="1"/>
  <c r="I2214" i="13"/>
  <c r="DN75" i="9" s="1" a="1"/>
  <c r="DN75" i="9" s="1"/>
  <c r="DP75" i="9" s="1"/>
  <c r="DX75" i="9" s="1"/>
  <c r="HH74" i="9" a="1"/>
  <c r="HH74" i="9" s="1"/>
  <c r="HP74" i="9" s="1"/>
  <c r="FV74" i="9" a="1"/>
  <c r="FV74" i="9" s="1"/>
  <c r="GD74" i="9" s="1"/>
  <c r="AR74" i="9"/>
  <c r="AZ74" i="9" s="1"/>
  <c r="FQ75" i="9"/>
  <c r="FU75" i="9"/>
  <c r="GC75" i="9" s="1"/>
  <c r="AN74" i="9"/>
  <c r="J2214" i="13"/>
  <c r="EG75" i="9" s="1" a="1"/>
  <c r="EG75" i="9" s="1"/>
  <c r="EI75" i="9" s="1"/>
  <c r="EQ75" i="9" s="1"/>
  <c r="Z73" i="9" a="1"/>
  <c r="Z73" i="9" s="1"/>
  <c r="AH73" i="9" s="1"/>
  <c r="F86" i="24" s="1" a="1"/>
  <c r="F86" i="24" s="1"/>
  <c r="K2214" i="13"/>
  <c r="EZ75" i="9" s="1" a="1"/>
  <c r="EZ75" i="9" s="1"/>
  <c r="FB75" i="9" s="1"/>
  <c r="FJ75" i="9" s="1"/>
  <c r="EJ74" i="9" a="1"/>
  <c r="EJ74" i="9" s="1"/>
  <c r="ER74" i="9" s="1"/>
  <c r="GO74" i="9" a="1"/>
  <c r="GO74" i="9" s="1"/>
  <c r="GW74" i="9" s="1"/>
  <c r="IJ72" i="9"/>
  <c r="IK72" i="9" s="1"/>
  <c r="G2214" i="13"/>
  <c r="CB75" i="9" s="1" a="1"/>
  <c r="CB75" i="9" s="1"/>
  <c r="CD75" i="9" s="1"/>
  <c r="CL75" i="9" s="1"/>
  <c r="D2180" i="13"/>
  <c r="W74" i="9" s="1" a="1"/>
  <c r="W74" i="9" s="1"/>
  <c r="Y74" i="9" s="1"/>
  <c r="AG74" i="9" s="1"/>
  <c r="FC73" i="9" a="1"/>
  <c r="FC73" i="9" s="1"/>
  <c r="FK73" i="9" s="1"/>
  <c r="M86" i="24" s="1" a="1"/>
  <c r="M86" i="24" s="1"/>
  <c r="IA74" i="9" a="1"/>
  <c r="IA74" i="9" s="1"/>
  <c r="II74" i="9" s="1"/>
  <c r="U75" i="9"/>
  <c r="GN75" i="9"/>
  <c r="GV75" i="9" s="1"/>
  <c r="Y75" i="9"/>
  <c r="AG75" i="9" s="1"/>
  <c r="HH73" i="9" a="1"/>
  <c r="HH73" i="9" s="1"/>
  <c r="HP73" i="9" s="1"/>
  <c r="P86" i="24" s="1" a="1"/>
  <c r="P86" i="24" s="1"/>
  <c r="HT75" i="9" a="1"/>
  <c r="HT75" i="9" s="1"/>
  <c r="FB74" i="9"/>
  <c r="FJ74" i="9" s="1"/>
  <c r="IH73" i="9"/>
  <c r="IL73" i="9" s="1"/>
  <c r="IM73" i="9" s="1"/>
  <c r="IA73" i="9" a="1"/>
  <c r="IA73" i="9" s="1"/>
  <c r="BL74" i="9" a="1"/>
  <c r="BL74" i="9" s="1"/>
  <c r="BT74" i="9" s="1"/>
  <c r="CX74" i="9" a="1"/>
  <c r="CX74" i="9" s="1"/>
  <c r="DF74" i="9" s="1"/>
  <c r="HG75" i="9"/>
  <c r="HO75" i="9" s="1"/>
  <c r="CW75" i="9"/>
  <c r="DE75" i="9" s="1"/>
  <c r="DQ73" i="9" a="1"/>
  <c r="DQ73" i="9" s="1"/>
  <c r="DY73" i="9" s="1"/>
  <c r="K86" i="24" s="1" a="1"/>
  <c r="K86" i="24" s="1"/>
  <c r="HD75" i="9"/>
  <c r="HC75" i="9"/>
  <c r="CA75" i="9"/>
  <c r="BZ75" i="9"/>
  <c r="CT75" i="9"/>
  <c r="CS75" i="9"/>
  <c r="AO75" i="9"/>
  <c r="AN75" i="9"/>
  <c r="IN71" i="9"/>
  <c r="IO71" i="9" s="1"/>
  <c r="EF75" i="9"/>
  <c r="EE75" i="9"/>
  <c r="O2210" i="13"/>
  <c r="HU75" i="9" a="1"/>
  <c r="HU75" i="9" s="1"/>
  <c r="DQ74" i="9" a="1"/>
  <c r="DQ74" i="9" s="1"/>
  <c r="DY74" i="9" s="1"/>
  <c r="O2212" i="13"/>
  <c r="V74" i="9"/>
  <c r="U74" i="9"/>
  <c r="BG75" i="9"/>
  <c r="GK75" i="9"/>
  <c r="GJ75" i="9"/>
  <c r="CE74" i="9" a="1"/>
  <c r="CE74" i="9" s="1"/>
  <c r="CM74" i="9" s="1"/>
  <c r="F2214" i="13"/>
  <c r="BI75" i="9" s="1" a="1"/>
  <c r="BI75" i="9" s="1"/>
  <c r="BK75" i="9" s="1"/>
  <c r="BS75" i="9" s="1"/>
  <c r="E2214" i="13"/>
  <c r="AP75" i="9" s="1" a="1"/>
  <c r="AP75" i="9" s="1"/>
  <c r="AR75" i="9" s="1"/>
  <c r="AZ75" i="9" s="1"/>
  <c r="EY74" i="9"/>
  <c r="EX74" i="9"/>
  <c r="E66" i="18" a="1"/>
  <c r="E66" i="18" s="1"/>
  <c r="E71" i="18" s="1"/>
  <c r="DE77" i="9" l="1"/>
  <c r="CX77" i="9" a="1"/>
  <c r="CX77" i="9" s="1"/>
  <c r="AH76" i="9"/>
  <c r="IN76" i="9" s="1"/>
  <c r="IO76" i="9" s="1"/>
  <c r="IJ76" i="9"/>
  <c r="IK76" i="9" s="1"/>
  <c r="HH77" i="9" a="1"/>
  <c r="HH77" i="9" s="1"/>
  <c r="HP77" i="9" s="1"/>
  <c r="J2282" i="13"/>
  <c r="EG77" i="9" s="1" a="1"/>
  <c r="EG77" i="9" s="1"/>
  <c r="EI77" i="9" s="1"/>
  <c r="EQ77" i="9" s="1"/>
  <c r="D2282" i="13"/>
  <c r="W77" i="9" s="1" a="1"/>
  <c r="W77" i="9" s="1"/>
  <c r="Y77" i="9" s="1"/>
  <c r="AG77" i="9" s="1"/>
  <c r="DQ77" i="9" a="1"/>
  <c r="DQ77" i="9" s="1"/>
  <c r="DY77" i="9" s="1"/>
  <c r="O2282" i="13"/>
  <c r="HX77" i="9" s="1" a="1"/>
  <c r="HX77" i="9" s="1"/>
  <c r="HZ77" i="9" s="1"/>
  <c r="IH77" i="9" s="1"/>
  <c r="V77" i="9"/>
  <c r="Z77" i="9" s="1" a="1"/>
  <c r="Z77" i="9" s="1"/>
  <c r="E89" i="25" a="1"/>
  <c r="E89" i="25" s="1"/>
  <c r="Q89" i="25" s="1"/>
  <c r="L2282" i="13"/>
  <c r="FS77" i="9" s="1" a="1"/>
  <c r="FS77" i="9" s="1"/>
  <c r="FU77" i="9" s="1"/>
  <c r="GC77" i="9" s="1"/>
  <c r="CA77" i="9"/>
  <c r="CE77" i="9" s="1" a="1"/>
  <c r="CE77" i="9" s="1"/>
  <c r="CM77" i="9" s="1"/>
  <c r="H89" i="25" a="1"/>
  <c r="H89" i="25" s="1"/>
  <c r="F2282" i="13"/>
  <c r="BI77" i="9" s="1" a="1"/>
  <c r="BI77" i="9" s="1"/>
  <c r="BK77" i="9" s="1"/>
  <c r="BS77" i="9" s="1"/>
  <c r="GO77" i="9" a="1"/>
  <c r="GO77" i="9" s="1"/>
  <c r="GW77" i="9" s="1"/>
  <c r="N2282" i="13"/>
  <c r="HE77" i="9" s="1" a="1"/>
  <c r="HE77" i="9" s="1"/>
  <c r="HG77" i="9" s="1"/>
  <c r="HO77" i="9" s="1"/>
  <c r="AS77" i="9" a="1"/>
  <c r="AS77" i="9" s="1"/>
  <c r="BA77" i="9" s="1"/>
  <c r="FV77" i="9" a="1"/>
  <c r="FV77" i="9" s="1"/>
  <c r="GD77" i="9" s="1"/>
  <c r="HD77" i="9"/>
  <c r="O89" i="25" a="1"/>
  <c r="O89" i="25" s="1"/>
  <c r="FC77" i="9" a="1"/>
  <c r="FC77" i="9" s="1"/>
  <c r="FK77" i="9" s="1"/>
  <c r="K88" i="24" a="1"/>
  <c r="K88" i="24" s="1"/>
  <c r="K87" i="24" a="1"/>
  <c r="K87" i="24" s="1"/>
  <c r="O88" i="24" a="1"/>
  <c r="O88" i="24" s="1"/>
  <c r="O87" i="24" a="1"/>
  <c r="O87" i="24" s="1"/>
  <c r="I87" i="24" a="1"/>
  <c r="I87" i="24" s="1"/>
  <c r="I88" i="24" a="1"/>
  <c r="I88" i="24" s="1"/>
  <c r="HW75" i="9"/>
  <c r="P87" i="25" a="1"/>
  <c r="P87" i="25" s="1"/>
  <c r="Q87" i="25" s="1"/>
  <c r="J87" i="24" a="1"/>
  <c r="J87" i="24" s="1"/>
  <c r="J88" i="24" a="1"/>
  <c r="J88" i="24" s="1"/>
  <c r="L87" i="24" a="1"/>
  <c r="L87" i="24" s="1"/>
  <c r="L88" i="24" a="1"/>
  <c r="L88" i="24" s="1"/>
  <c r="N87" i="24" a="1"/>
  <c r="N87" i="24" s="1"/>
  <c r="N88" i="24" a="1"/>
  <c r="N88" i="24" s="1"/>
  <c r="H87" i="24" a="1"/>
  <c r="H87" i="24" s="1"/>
  <c r="H88" i="24" a="1"/>
  <c r="H88" i="24" s="1"/>
  <c r="P87" i="24" a="1"/>
  <c r="P87" i="24" s="1"/>
  <c r="P88" i="24" a="1"/>
  <c r="P88" i="24" s="1"/>
  <c r="Q87" i="24" a="1"/>
  <c r="Q87" i="24" s="1"/>
  <c r="Q88" i="24" a="1"/>
  <c r="Q88" i="24" s="1"/>
  <c r="FV75" i="9" a="1"/>
  <c r="FV75" i="9" s="1"/>
  <c r="GD75" i="9" s="1"/>
  <c r="DQ75" i="9" a="1"/>
  <c r="DQ75" i="9" s="1"/>
  <c r="DY75" i="9" s="1"/>
  <c r="AS74" i="9" a="1"/>
  <c r="AS74" i="9" s="1"/>
  <c r="BA74" i="9" s="1"/>
  <c r="FC75" i="9" a="1"/>
  <c r="FC75" i="9" s="1"/>
  <c r="FK75" i="9" s="1"/>
  <c r="Z75" i="9" a="1"/>
  <c r="Z75" i="9" s="1"/>
  <c r="AH75" i="9" s="1"/>
  <c r="II73" i="9"/>
  <c r="IL74" i="9"/>
  <c r="IM74" i="9" s="1"/>
  <c r="IJ73" i="9"/>
  <c r="IK73" i="9" s="1"/>
  <c r="CX75" i="9" a="1"/>
  <c r="CX75" i="9" s="1"/>
  <c r="DF75" i="9" s="1"/>
  <c r="FC74" i="9" a="1"/>
  <c r="FC74" i="9" s="1"/>
  <c r="FK74" i="9" s="1"/>
  <c r="BL75" i="9" a="1"/>
  <c r="BL75" i="9" s="1"/>
  <c r="BT75" i="9" s="1"/>
  <c r="EJ75" i="9" a="1"/>
  <c r="EJ75" i="9" s="1"/>
  <c r="ER75" i="9" s="1"/>
  <c r="GO75" i="9" a="1"/>
  <c r="GO75" i="9" s="1"/>
  <c r="GW75" i="9" s="1"/>
  <c r="O2214" i="13"/>
  <c r="HX75" i="9" s="1" a="1"/>
  <c r="HX75" i="9" s="1"/>
  <c r="HZ75" i="9" s="1"/>
  <c r="IH75" i="9" s="1"/>
  <c r="IL75" i="9" s="1"/>
  <c r="IM75" i="9" s="1"/>
  <c r="HV75" i="9"/>
  <c r="AS75" i="9" a="1"/>
  <c r="AS75" i="9" s="1"/>
  <c r="Z74" i="9" a="1"/>
  <c r="Z74" i="9" s="1"/>
  <c r="CE75" i="9" a="1"/>
  <c r="CE75" i="9" s="1"/>
  <c r="CM75" i="9" s="1"/>
  <c r="HH75" i="9" a="1"/>
  <c r="HH75" i="9" s="1"/>
  <c r="HP75" i="9" s="1"/>
  <c r="E72" i="18" a="1"/>
  <c r="E72" i="18" s="1"/>
  <c r="D79" i="21" s="1" a="1"/>
  <c r="D79" i="21" s="1"/>
  <c r="D124" i="22" s="1" a="1"/>
  <c r="D124" i="22" s="1"/>
  <c r="D134" i="22" s="1"/>
  <c r="F71" i="18"/>
  <c r="E74" i="18" a="1"/>
  <c r="E74" i="18" s="1"/>
  <c r="D131" i="22" s="1" a="1"/>
  <c r="D131" i="22" s="1"/>
  <c r="E75" i="18"/>
  <c r="E73" i="18"/>
  <c r="D130" i="22" s="1" a="1"/>
  <c r="D130" i="22" s="1"/>
  <c r="K16" i="23" a="1"/>
  <c r="K16" i="23" s="1"/>
  <c r="D77" i="21" a="1"/>
  <c r="D77" i="21" s="1"/>
  <c r="E67" i="18" a="1"/>
  <c r="E67" i="18" s="1"/>
  <c r="E69" i="18" a="1"/>
  <c r="E69" i="18" s="1"/>
  <c r="D129" i="22" s="1" a="1"/>
  <c r="D129" i="22" s="1"/>
  <c r="E68" i="18"/>
  <c r="D128" i="22" s="1" a="1"/>
  <c r="D128" i="22" s="1"/>
  <c r="D76" i="21" a="1"/>
  <c r="D76" i="21" s="1"/>
  <c r="F66" i="18"/>
  <c r="AH77" i="9" l="1"/>
  <c r="IL77" i="9"/>
  <c r="IM77" i="9" s="1"/>
  <c r="EJ77" i="9" a="1"/>
  <c r="EJ77" i="9" s="1"/>
  <c r="ER77" i="9" s="1"/>
  <c r="BL77" i="9" a="1"/>
  <c r="BL77" i="9" s="1"/>
  <c r="BT77" i="9" s="1"/>
  <c r="IA77" i="9" a="1"/>
  <c r="IA77" i="9" s="1"/>
  <c r="II77" i="9" s="1"/>
  <c r="DF77" i="9"/>
  <c r="P89" i="24" a="1"/>
  <c r="P89" i="24" s="1"/>
  <c r="P90" i="24" a="1"/>
  <c r="P90" i="24" s="1"/>
  <c r="H89" i="24" a="1"/>
  <c r="H89" i="24" s="1"/>
  <c r="H90" i="24" a="1"/>
  <c r="H90" i="24" s="1"/>
  <c r="G88" i="24" a="1"/>
  <c r="G88" i="24" s="1"/>
  <c r="G87" i="24" a="1"/>
  <c r="G87" i="24" s="1"/>
  <c r="I91" i="24"/>
  <c r="I89" i="24" a="1"/>
  <c r="I89" i="24" s="1"/>
  <c r="I90" i="24" a="1"/>
  <c r="I90" i="24" s="1"/>
  <c r="J91" i="24"/>
  <c r="J89" i="24" a="1"/>
  <c r="J89" i="24" s="1"/>
  <c r="J90" i="24" a="1"/>
  <c r="J90" i="24" s="1"/>
  <c r="N91" i="24"/>
  <c r="N89" i="24" a="1"/>
  <c r="N89" i="24" s="1"/>
  <c r="N90" i="24" a="1"/>
  <c r="N90" i="24" s="1"/>
  <c r="M87" i="24" a="1"/>
  <c r="M87" i="24" s="1"/>
  <c r="M88" i="24" a="1"/>
  <c r="M88" i="24" s="1"/>
  <c r="K91" i="24"/>
  <c r="K89" i="24" a="1"/>
  <c r="K89" i="24" s="1"/>
  <c r="K90" i="24" a="1"/>
  <c r="K90" i="24" s="1"/>
  <c r="IN73" i="9"/>
  <c r="IO73" i="9" s="1"/>
  <c r="Q86" i="24" a="1"/>
  <c r="Q86" i="24" s="1"/>
  <c r="O91" i="24"/>
  <c r="O89" i="24" a="1"/>
  <c r="O89" i="24" s="1"/>
  <c r="O90" i="24" a="1"/>
  <c r="O90" i="24" s="1"/>
  <c r="F89" i="24" a="1"/>
  <c r="F89" i="24" s="1"/>
  <c r="F90" i="24" a="1"/>
  <c r="F90" i="24" s="1"/>
  <c r="L89" i="24" a="1"/>
  <c r="L89" i="24" s="1"/>
  <c r="L90" i="24" a="1"/>
  <c r="L90" i="24" s="1"/>
  <c r="M89" i="24" a="1"/>
  <c r="M89" i="24" s="1"/>
  <c r="M90" i="24" a="1"/>
  <c r="M90" i="24" s="1"/>
  <c r="M91" i="24"/>
  <c r="L91" i="24"/>
  <c r="IA75" i="9" a="1"/>
  <c r="IA75" i="9" s="1"/>
  <c r="II75" i="9" s="1"/>
  <c r="P91" i="24"/>
  <c r="BA75" i="9"/>
  <c r="IJ74" i="9"/>
  <c r="IK74" i="9" s="1"/>
  <c r="AH74" i="9"/>
  <c r="H91" i="24"/>
  <c r="D123" i="22" a="1"/>
  <c r="D123" i="22" s="1"/>
  <c r="D141" i="22" s="1"/>
  <c r="D88" i="21"/>
  <c r="D83" i="21"/>
  <c r="D87" i="21"/>
  <c r="D121" i="22" a="1"/>
  <c r="D121" i="22" s="1"/>
  <c r="D82" i="21"/>
  <c r="D78" i="21" a="1"/>
  <c r="D78" i="21" s="1"/>
  <c r="D122" i="22" s="1" a="1"/>
  <c r="D122" i="22" s="1"/>
  <c r="D132" i="22" s="1"/>
  <c r="W16" i="23" a="1"/>
  <c r="W16" i="23" s="1"/>
  <c r="Q16" i="23" a="1"/>
  <c r="Q16" i="23" s="1"/>
  <c r="G66" i="18"/>
  <c r="F68" i="18"/>
  <c r="E128" i="22" s="1" a="1"/>
  <c r="E128" i="22" s="1"/>
  <c r="F67" i="18" a="1"/>
  <c r="F67" i="18" s="1"/>
  <c r="E76" i="21" a="1"/>
  <c r="E76" i="21" s="1"/>
  <c r="F69" i="18" a="1"/>
  <c r="F69" i="18" s="1"/>
  <c r="E129" i="22" s="1" a="1"/>
  <c r="E129" i="22" s="1"/>
  <c r="D81" i="21" a="1"/>
  <c r="D81" i="21" s="1"/>
  <c r="E70" i="18"/>
  <c r="D80" i="21" s="1" a="1"/>
  <c r="D80" i="21" s="1"/>
  <c r="G71" i="18"/>
  <c r="F72" i="18" a="1"/>
  <c r="F72" i="18" s="1"/>
  <c r="E79" i="21" s="1" a="1"/>
  <c r="E79" i="21" s="1"/>
  <c r="E124" i="22" s="1" a="1"/>
  <c r="E124" i="22" s="1"/>
  <c r="E134" i="22" s="1"/>
  <c r="F74" i="18" a="1"/>
  <c r="F74" i="18" s="1"/>
  <c r="E131" i="22" s="1" a="1"/>
  <c r="E131" i="22" s="1"/>
  <c r="F73" i="18"/>
  <c r="E130" i="22" s="1" a="1"/>
  <c r="E130" i="22" s="1"/>
  <c r="F75" i="18"/>
  <c r="AA16" i="23" a="1"/>
  <c r="AA16" i="23" s="1"/>
  <c r="E77" i="21" a="1"/>
  <c r="E77" i="21" s="1"/>
  <c r="IJ77" i="9" l="1"/>
  <c r="IK77" i="9" s="1"/>
  <c r="IN77" i="9"/>
  <c r="IO77" i="9" s="1"/>
  <c r="F88" i="24" a="1"/>
  <c r="F88" i="24" s="1"/>
  <c r="F87" i="24" a="1"/>
  <c r="F87" i="24" s="1"/>
  <c r="G89" i="24" a="1"/>
  <c r="G89" i="24" s="1"/>
  <c r="G90" i="24" a="1"/>
  <c r="G90" i="24" s="1"/>
  <c r="Q91" i="24"/>
  <c r="Q89" i="24" a="1"/>
  <c r="Q89" i="24" s="1"/>
  <c r="Q90" i="24" a="1"/>
  <c r="Q90" i="24" s="1"/>
  <c r="IJ75" i="9"/>
  <c r="IK75" i="9" s="1"/>
  <c r="IN74" i="9"/>
  <c r="IO74" i="9" s="1"/>
  <c r="IN75" i="9"/>
  <c r="IO75" i="9" s="1"/>
  <c r="E121" i="22" a="1"/>
  <c r="E121" i="22" s="1"/>
  <c r="E82" i="21"/>
  <c r="E87" i="21"/>
  <c r="E78" i="21" a="1"/>
  <c r="E78" i="21" s="1"/>
  <c r="E122" i="22" s="1" a="1"/>
  <c r="E122" i="22" s="1"/>
  <c r="E132" i="22" s="1"/>
  <c r="AM16" i="23" a="1"/>
  <c r="AM16" i="23" s="1"/>
  <c r="AG16" i="23" a="1"/>
  <c r="AG16" i="23" s="1"/>
  <c r="G69" i="18" a="1"/>
  <c r="G69" i="18" s="1"/>
  <c r="F129" i="22" s="1" a="1"/>
  <c r="F129" i="22" s="1"/>
  <c r="F76" i="21" a="1"/>
  <c r="F76" i="21" s="1"/>
  <c r="G68" i="18"/>
  <c r="F128" i="22" s="1" a="1"/>
  <c r="F128" i="22" s="1"/>
  <c r="G67" i="18" a="1"/>
  <c r="G67" i="18" s="1"/>
  <c r="H66" i="18"/>
  <c r="D139" i="22"/>
  <c r="E81" i="21" a="1"/>
  <c r="E81" i="21" s="1"/>
  <c r="F70" i="18"/>
  <c r="E80" i="21" s="1" a="1"/>
  <c r="E80" i="21" s="1"/>
  <c r="G72" i="18" a="1"/>
  <c r="G72" i="18" s="1"/>
  <c r="F79" i="21" s="1" a="1"/>
  <c r="F79" i="21" s="1"/>
  <c r="F124" i="22" s="1" a="1"/>
  <c r="F124" i="22" s="1"/>
  <c r="F134" i="22" s="1"/>
  <c r="H71" i="18"/>
  <c r="G74" i="18" a="1"/>
  <c r="G74" i="18" s="1"/>
  <c r="F131" i="22" s="1" a="1"/>
  <c r="F131" i="22" s="1"/>
  <c r="F77" i="21" a="1"/>
  <c r="F77" i="21" s="1"/>
  <c r="AQ16" i="23" a="1"/>
  <c r="AQ16" i="23" s="1"/>
  <c r="G75" i="18"/>
  <c r="G73" i="18"/>
  <c r="F130" i="22" s="1" a="1"/>
  <c r="F130" i="22" s="1"/>
  <c r="D84" i="21"/>
  <c r="D85" i="21" s="1"/>
  <c r="E83" i="21"/>
  <c r="E123" i="22" a="1"/>
  <c r="E123" i="22" s="1"/>
  <c r="E141" i="22" s="1"/>
  <c r="E88" i="21"/>
  <c r="R88" i="24" l="1"/>
  <c r="S88" i="24" s="1"/>
  <c r="M85" i="28" s="1" a="1"/>
  <c r="M85" i="28" s="1"/>
  <c r="R89" i="24"/>
  <c r="S89" i="24" s="1"/>
  <c r="M86" i="28" s="1" a="1"/>
  <c r="M86" i="28" s="1"/>
  <c r="R24" i="24"/>
  <c r="R80" i="24"/>
  <c r="S80" i="24" s="1"/>
  <c r="M77" i="28" s="1" a="1"/>
  <c r="M77" i="28" s="1"/>
  <c r="R60" i="24"/>
  <c r="S60" i="24" s="1"/>
  <c r="M57" i="28" s="1" a="1"/>
  <c r="M57" i="28" s="1"/>
  <c r="R25" i="24"/>
  <c r="S25" i="24" s="1"/>
  <c r="M22" i="28" s="1" a="1"/>
  <c r="M22" i="28" s="1"/>
  <c r="R50" i="24"/>
  <c r="S50" i="24" s="1"/>
  <c r="M47" i="28" s="1" a="1"/>
  <c r="M47" i="28" s="1"/>
  <c r="R48" i="24"/>
  <c r="S48" i="24" s="1"/>
  <c r="M45" i="28" s="1" a="1"/>
  <c r="M45" i="28" s="1"/>
  <c r="R29" i="24"/>
  <c r="S29" i="24" s="1"/>
  <c r="M26" i="28" s="1" a="1"/>
  <c r="M26" i="28" s="1"/>
  <c r="R38" i="24"/>
  <c r="S38" i="24" s="1"/>
  <c r="M35" i="28" s="1" a="1"/>
  <c r="M35" i="28" s="1"/>
  <c r="R81" i="24"/>
  <c r="S81" i="24" s="1"/>
  <c r="M78" i="28" s="1" a="1"/>
  <c r="M78" i="28" s="1"/>
  <c r="R56" i="24"/>
  <c r="S56" i="24" s="1"/>
  <c r="M53" i="28" s="1" a="1"/>
  <c r="M53" i="28" s="1"/>
  <c r="R61" i="24"/>
  <c r="S61" i="24" s="1"/>
  <c r="M58" i="28" s="1" a="1"/>
  <c r="M58" i="28" s="1"/>
  <c r="R28" i="24"/>
  <c r="S28" i="24" s="1"/>
  <c r="M25" i="28" s="1" a="1"/>
  <c r="M25" i="28" s="1"/>
  <c r="R79" i="24"/>
  <c r="S79" i="24" s="1"/>
  <c r="M76" i="28" s="1" a="1"/>
  <c r="M76" i="28" s="1"/>
  <c r="R57" i="24"/>
  <c r="S57" i="24" s="1"/>
  <c r="M54" i="28" s="1" a="1"/>
  <c r="M54" i="28" s="1"/>
  <c r="R32" i="24"/>
  <c r="S32" i="24" s="1"/>
  <c r="M29" i="28" s="1" a="1"/>
  <c r="M29" i="28" s="1"/>
  <c r="R84" i="24"/>
  <c r="S84" i="24" s="1"/>
  <c r="M81" i="28" s="1" a="1"/>
  <c r="M81" i="28" s="1"/>
  <c r="R77" i="24"/>
  <c r="S77" i="24" s="1"/>
  <c r="M74" i="28" s="1" a="1"/>
  <c r="M74" i="28" s="1"/>
  <c r="R55" i="24"/>
  <c r="S55" i="24" s="1"/>
  <c r="M52" i="28" s="1" a="1"/>
  <c r="M52" i="28" s="1"/>
  <c r="R37" i="24"/>
  <c r="S37" i="24" s="1"/>
  <c r="M34" i="28" s="1" a="1"/>
  <c r="M34" i="28" s="1"/>
  <c r="R58" i="24"/>
  <c r="S58" i="24" s="1"/>
  <c r="M55" i="28" s="1" a="1"/>
  <c r="M55" i="28" s="1"/>
  <c r="R71" i="24"/>
  <c r="S71" i="24" s="1"/>
  <c r="M68" i="28" s="1" a="1"/>
  <c r="M68" i="28" s="1"/>
  <c r="R59" i="24"/>
  <c r="S59" i="24" s="1"/>
  <c r="M56" i="28" s="1" a="1"/>
  <c r="M56" i="28" s="1"/>
  <c r="R36" i="24"/>
  <c r="S36" i="24" s="1"/>
  <c r="M33" i="28" s="1" a="1"/>
  <c r="M33" i="28" s="1"/>
  <c r="R26" i="24"/>
  <c r="S26" i="24" s="1"/>
  <c r="M23" i="28" s="1" a="1"/>
  <c r="M23" i="28" s="1"/>
  <c r="R45" i="24"/>
  <c r="S45" i="24" s="1"/>
  <c r="M42" i="28" s="1" a="1"/>
  <c r="M42" i="28" s="1"/>
  <c r="R53" i="24"/>
  <c r="S53" i="24" s="1"/>
  <c r="M50" i="28" s="1" a="1"/>
  <c r="M50" i="28" s="1"/>
  <c r="R42" i="24"/>
  <c r="S42" i="24" s="1"/>
  <c r="M39" i="28" s="1" a="1"/>
  <c r="M39" i="28" s="1"/>
  <c r="R52" i="24"/>
  <c r="S52" i="24" s="1"/>
  <c r="M49" i="28" s="1" a="1"/>
  <c r="M49" i="28" s="1"/>
  <c r="R30" i="24"/>
  <c r="S30" i="24" s="1"/>
  <c r="M27" i="28" s="1" a="1"/>
  <c r="M27" i="28" s="1"/>
  <c r="R63" i="24"/>
  <c r="S63" i="24" s="1"/>
  <c r="M60" i="28" s="1" a="1"/>
  <c r="M60" i="28" s="1"/>
  <c r="R68" i="24"/>
  <c r="S68" i="24" s="1"/>
  <c r="M65" i="28" s="1" a="1"/>
  <c r="M65" i="28" s="1"/>
  <c r="R43" i="24"/>
  <c r="S43" i="24" s="1"/>
  <c r="M40" i="28" s="1" a="1"/>
  <c r="M40" i="28" s="1"/>
  <c r="R78" i="24"/>
  <c r="S78" i="24" s="1"/>
  <c r="M75" i="28" s="1" a="1"/>
  <c r="M75" i="28" s="1"/>
  <c r="R41" i="24"/>
  <c r="S41" i="24" s="1"/>
  <c r="M38" i="28" s="1" a="1"/>
  <c r="M38" i="28" s="1"/>
  <c r="R65" i="24"/>
  <c r="S65" i="24" s="1"/>
  <c r="M62" i="28" s="1" a="1"/>
  <c r="M62" i="28" s="1"/>
  <c r="R70" i="24"/>
  <c r="S70" i="24" s="1"/>
  <c r="M67" i="28" s="1" a="1"/>
  <c r="M67" i="28" s="1"/>
  <c r="R76" i="24"/>
  <c r="S76" i="24" s="1"/>
  <c r="M73" i="28" s="1" a="1"/>
  <c r="M73" i="28" s="1"/>
  <c r="R73" i="24"/>
  <c r="S73" i="24" s="1"/>
  <c r="M70" i="28" s="1" a="1"/>
  <c r="M70" i="28" s="1"/>
  <c r="R69" i="24"/>
  <c r="S69" i="24" s="1"/>
  <c r="M66" i="28" s="1" a="1"/>
  <c r="M66" i="28" s="1"/>
  <c r="R64" i="24"/>
  <c r="S64" i="24" s="1"/>
  <c r="M61" i="28" s="1" a="1"/>
  <c r="M61" i="28" s="1"/>
  <c r="R49" i="24"/>
  <c r="S49" i="24" s="1"/>
  <c r="M46" i="28" s="1" a="1"/>
  <c r="M46" i="28" s="1"/>
  <c r="R44" i="24"/>
  <c r="S44" i="24" s="1"/>
  <c r="M41" i="28" s="1" a="1"/>
  <c r="M41" i="28" s="1"/>
  <c r="R33" i="24"/>
  <c r="S33" i="24" s="1"/>
  <c r="M30" i="28" s="1" a="1"/>
  <c r="M30" i="28" s="1"/>
  <c r="R54" i="24"/>
  <c r="S54" i="24" s="1"/>
  <c r="M51" i="28" s="1" a="1"/>
  <c r="M51" i="28" s="1"/>
  <c r="R83" i="24"/>
  <c r="S83" i="24" s="1"/>
  <c r="M80" i="28" s="1" a="1"/>
  <c r="M80" i="28" s="1"/>
  <c r="R34" i="24"/>
  <c r="S34" i="24" s="1"/>
  <c r="M31" i="28" s="1" a="1"/>
  <c r="M31" i="28" s="1"/>
  <c r="R74" i="24"/>
  <c r="S74" i="24" s="1"/>
  <c r="M71" i="28" s="1" a="1"/>
  <c r="M71" i="28" s="1"/>
  <c r="R47" i="24"/>
  <c r="S47" i="24" s="1"/>
  <c r="M44" i="28" s="1" a="1"/>
  <c r="M44" i="28" s="1"/>
  <c r="R82" i="24"/>
  <c r="S82" i="24" s="1"/>
  <c r="M79" i="28" s="1" a="1"/>
  <c r="M79" i="28" s="1"/>
  <c r="R72" i="24"/>
  <c r="S72" i="24" s="1"/>
  <c r="M69" i="28" s="1" a="1"/>
  <c r="M69" i="28" s="1"/>
  <c r="R31" i="24"/>
  <c r="S31" i="24" s="1"/>
  <c r="M28" i="28" s="1" a="1"/>
  <c r="M28" i="28" s="1"/>
  <c r="R27" i="24"/>
  <c r="S27" i="24" s="1"/>
  <c r="M24" i="28" s="1" a="1"/>
  <c r="M24" i="28" s="1"/>
  <c r="R46" i="24"/>
  <c r="S46" i="24" s="1"/>
  <c r="M43" i="28" s="1" a="1"/>
  <c r="M43" i="28" s="1"/>
  <c r="R35" i="24"/>
  <c r="R85" i="24"/>
  <c r="S85" i="24" s="1"/>
  <c r="M82" i="28" s="1" a="1"/>
  <c r="M82" i="28" s="1"/>
  <c r="R66" i="24"/>
  <c r="S66" i="24" s="1"/>
  <c r="M63" i="28" s="1" a="1"/>
  <c r="M63" i="28" s="1"/>
  <c r="R90" i="24"/>
  <c r="S90" i="24" s="1"/>
  <c r="M87" i="28" s="1" a="1"/>
  <c r="M87" i="28" s="1"/>
  <c r="R67" i="24"/>
  <c r="S67" i="24" s="1"/>
  <c r="M64" i="28" s="1" a="1"/>
  <c r="M64" i="28" s="1"/>
  <c r="R75" i="24"/>
  <c r="S75" i="24" s="1"/>
  <c r="M72" i="28" s="1" a="1"/>
  <c r="M72" i="28" s="1"/>
  <c r="R51" i="24"/>
  <c r="S51" i="24" s="1"/>
  <c r="M48" i="28" s="1" a="1"/>
  <c r="M48" i="28" s="1"/>
  <c r="R86" i="24"/>
  <c r="S86" i="24" s="1"/>
  <c r="M83" i="28" s="1" a="1"/>
  <c r="M83" i="28" s="1"/>
  <c r="R40" i="24"/>
  <c r="S40" i="24" s="1"/>
  <c r="M37" i="28" s="1" a="1"/>
  <c r="M37" i="28" s="1"/>
  <c r="R62" i="24"/>
  <c r="S62" i="24" s="1"/>
  <c r="M59" i="28" s="1" a="1"/>
  <c r="M59" i="28" s="1"/>
  <c r="R39" i="24"/>
  <c r="S39" i="24" s="1"/>
  <c r="M36" i="28" s="1" a="1"/>
  <c r="M36" i="28" s="1"/>
  <c r="R87" i="24"/>
  <c r="S87" i="24" s="1"/>
  <c r="M84" i="28" s="1" a="1"/>
  <c r="M84" i="28" s="1"/>
  <c r="D86" i="21"/>
  <c r="D126" i="22" s="1" a="1"/>
  <c r="D126" i="22" s="1"/>
  <c r="D135" i="22" s="1"/>
  <c r="D125" i="22" a="1"/>
  <c r="D125" i="22" s="1"/>
  <c r="D133" i="22" s="1"/>
  <c r="F83" i="21"/>
  <c r="F88" i="21"/>
  <c r="F123" i="22" a="1"/>
  <c r="F123" i="22" s="1"/>
  <c r="F141" i="22" s="1"/>
  <c r="H68" i="18"/>
  <c r="G128" i="22" s="1" a="1"/>
  <c r="G128" i="22" s="1"/>
  <c r="G76" i="21" a="1"/>
  <c r="G76" i="21" s="1"/>
  <c r="H67" i="18" a="1"/>
  <c r="H67" i="18" s="1"/>
  <c r="I66" i="18"/>
  <c r="H69" i="18" a="1"/>
  <c r="H69" i="18" s="1"/>
  <c r="G129" i="22" s="1" a="1"/>
  <c r="G129" i="22" s="1"/>
  <c r="F78" i="21" a="1"/>
  <c r="F78" i="21" s="1"/>
  <c r="F122" i="22" s="1" a="1"/>
  <c r="F122" i="22" s="1"/>
  <c r="F132" i="22" s="1"/>
  <c r="BC16" i="23" a="1"/>
  <c r="BC16" i="23" s="1"/>
  <c r="AW16" i="23" a="1"/>
  <c r="AW16" i="23" s="1"/>
  <c r="H72" i="18" a="1"/>
  <c r="H72" i="18" s="1"/>
  <c r="G79" i="21" s="1" a="1"/>
  <c r="G79" i="21" s="1"/>
  <c r="G124" i="22" s="1" a="1"/>
  <c r="G124" i="22" s="1"/>
  <c r="G134" i="22" s="1"/>
  <c r="BG16" i="23" a="1"/>
  <c r="BG16" i="23" s="1"/>
  <c r="I71" i="18"/>
  <c r="G77" i="21" a="1"/>
  <c r="G77" i="21" s="1"/>
  <c r="H74" i="18" a="1"/>
  <c r="H74" i="18" s="1"/>
  <c r="G131" i="22" s="1" a="1"/>
  <c r="G131" i="22" s="1"/>
  <c r="H73" i="18"/>
  <c r="G130" i="22" s="1" a="1"/>
  <c r="G130" i="22" s="1"/>
  <c r="H75" i="18"/>
  <c r="F81" i="21" a="1"/>
  <c r="F81" i="21" s="1"/>
  <c r="G70" i="18"/>
  <c r="F80" i="21" s="1" a="1"/>
  <c r="F80" i="21" s="1"/>
  <c r="E84" i="21"/>
  <c r="E86" i="21" s="1"/>
  <c r="E126" i="22" s="1" a="1"/>
  <c r="E126" i="22" s="1"/>
  <c r="E135" i="22" s="1"/>
  <c r="F82" i="21"/>
  <c r="F121" i="22" a="1"/>
  <c r="F121" i="22" s="1"/>
  <c r="F87" i="21"/>
  <c r="E139" i="22"/>
  <c r="R91" i="24" l="1"/>
  <c r="S24" i="24"/>
  <c r="G91" i="24"/>
  <c r="S35" i="24"/>
  <c r="D89" i="21"/>
  <c r="X16" i="23" s="1" a="1"/>
  <c r="X16" i="23" s="1"/>
  <c r="Y16" i="23" s="1"/>
  <c r="H70" i="18"/>
  <c r="G80" i="21" s="1" a="1"/>
  <c r="G80" i="21" s="1"/>
  <c r="G81" i="21" a="1"/>
  <c r="G81" i="21" s="1"/>
  <c r="G123" i="22" a="1"/>
  <c r="G123" i="22" s="1"/>
  <c r="G141" i="22" s="1"/>
  <c r="G88" i="21"/>
  <c r="G83" i="21"/>
  <c r="E85" i="21"/>
  <c r="I72" i="18" a="1"/>
  <c r="I72" i="18" s="1"/>
  <c r="H79" i="21" s="1" a="1"/>
  <c r="H79" i="21" s="1"/>
  <c r="H124" i="22" s="1" a="1"/>
  <c r="H124" i="22" s="1"/>
  <c r="H134" i="22" s="1"/>
  <c r="I74" i="18" a="1"/>
  <c r="I74" i="18" s="1"/>
  <c r="H131" i="22" s="1" a="1"/>
  <c r="H131" i="22" s="1"/>
  <c r="H77" i="21" a="1"/>
  <c r="H77" i="21" s="1"/>
  <c r="BW16" i="23" a="1"/>
  <c r="BW16" i="23" s="1"/>
  <c r="J71" i="18"/>
  <c r="I73" i="18"/>
  <c r="H130" i="22" s="1" a="1"/>
  <c r="H130" i="22" s="1"/>
  <c r="I75" i="18"/>
  <c r="H76" i="21" a="1"/>
  <c r="H76" i="21" s="1"/>
  <c r="I67" i="18" a="1"/>
  <c r="I67" i="18" s="1"/>
  <c r="I68" i="18"/>
  <c r="H128" i="22" s="1" a="1"/>
  <c r="H128" i="22" s="1"/>
  <c r="J66" i="18"/>
  <c r="I69" i="18" a="1"/>
  <c r="I69" i="18" s="1"/>
  <c r="H129" i="22" s="1" a="1"/>
  <c r="H129" i="22" s="1"/>
  <c r="BS16" i="23" a="1"/>
  <c r="BS16" i="23" s="1"/>
  <c r="G78" i="21" a="1"/>
  <c r="G78" i="21" s="1"/>
  <c r="G122" i="22" s="1" a="1"/>
  <c r="G122" i="22" s="1"/>
  <c r="G132" i="22" s="1"/>
  <c r="BM16" i="23" a="1"/>
  <c r="BM16" i="23" s="1"/>
  <c r="F139" i="22"/>
  <c r="F84" i="21"/>
  <c r="F85" i="21" s="1"/>
  <c r="G82" i="21"/>
  <c r="G87" i="21"/>
  <c r="G121" i="22" a="1"/>
  <c r="G121" i="22" s="1"/>
  <c r="D136" i="22"/>
  <c r="M21" i="28" l="1" a="1"/>
  <c r="M21" i="28" s="1"/>
  <c r="S91" i="24"/>
  <c r="M32" i="28" a="1"/>
  <c r="M32" i="28" s="1"/>
  <c r="F86" i="21"/>
  <c r="F126" i="22" s="1" a="1"/>
  <c r="F126" i="22" s="1"/>
  <c r="F135" i="22" s="1"/>
  <c r="G139" i="22"/>
  <c r="H81" i="21" a="1"/>
  <c r="H81" i="21" s="1"/>
  <c r="I70" i="18"/>
  <c r="H80" i="21" s="1" a="1"/>
  <c r="H80" i="21" s="1"/>
  <c r="I77" i="21" a="1"/>
  <c r="I77" i="21" s="1"/>
  <c r="J74" i="18" a="1"/>
  <c r="J74" i="18" s="1"/>
  <c r="I131" i="22" s="1" a="1"/>
  <c r="I131" i="22" s="1"/>
  <c r="J73" i="18"/>
  <c r="I130" i="22" s="1" a="1"/>
  <c r="I130" i="22" s="1"/>
  <c r="J75" i="18"/>
  <c r="K71" i="18"/>
  <c r="J72" i="18" a="1"/>
  <c r="J72" i="18" s="1"/>
  <c r="I79" i="21" s="1" a="1"/>
  <c r="I79" i="21" s="1"/>
  <c r="I124" i="22" s="1" a="1"/>
  <c r="I124" i="22" s="1"/>
  <c r="I134" i="22" s="1"/>
  <c r="CM16" i="23" a="1"/>
  <c r="CM16" i="23" s="1"/>
  <c r="J68" i="18"/>
  <c r="I128" i="22" s="1" a="1"/>
  <c r="I128" i="22" s="1"/>
  <c r="I76" i="21" a="1"/>
  <c r="I76" i="21" s="1"/>
  <c r="K66" i="18"/>
  <c r="J67" i="18" a="1"/>
  <c r="J67" i="18" s="1"/>
  <c r="J69" i="18" a="1"/>
  <c r="J69" i="18" s="1"/>
  <c r="I129" i="22" s="1" a="1"/>
  <c r="I129" i="22" s="1"/>
  <c r="H88" i="21"/>
  <c r="H83" i="21"/>
  <c r="H123" i="22" a="1"/>
  <c r="H123" i="22" s="1"/>
  <c r="H141" i="22" s="1"/>
  <c r="F125" i="22" a="1"/>
  <c r="F125" i="22" s="1"/>
  <c r="F133" i="22" s="1"/>
  <c r="G84" i="21"/>
  <c r="G85" i="21" s="1"/>
  <c r="D137" i="22"/>
  <c r="O16" i="23" s="1" a="1"/>
  <c r="O16" i="23" s="1"/>
  <c r="N16" i="23" a="1"/>
  <c r="N16" i="23" s="1"/>
  <c r="E16" i="25" s="1" a="1"/>
  <c r="E16" i="25" s="1"/>
  <c r="D140" i="22"/>
  <c r="H78" i="21" a="1"/>
  <c r="H78" i="21" s="1"/>
  <c r="H122" i="22" s="1" a="1"/>
  <c r="H122" i="22" s="1"/>
  <c r="H132" i="22" s="1"/>
  <c r="CI16" i="23" a="1"/>
  <c r="CI16" i="23" s="1"/>
  <c r="CC16" i="23" a="1"/>
  <c r="CC16" i="23" s="1"/>
  <c r="D138" i="22"/>
  <c r="H121" i="22" a="1"/>
  <c r="H121" i="22" s="1"/>
  <c r="H82" i="21"/>
  <c r="H87" i="21"/>
  <c r="E89" i="21"/>
  <c r="AN16" i="23" s="1" a="1"/>
  <c r="AN16" i="23" s="1"/>
  <c r="AO16" i="23" s="1"/>
  <c r="E125" i="22" a="1"/>
  <c r="E125" i="22" s="1"/>
  <c r="E133" i="22" s="1"/>
  <c r="M88" i="28" l="1"/>
  <c r="F89" i="21"/>
  <c r="BD16" i="23" s="1" a="1"/>
  <c r="BD16" i="23" s="1"/>
  <c r="BE16" i="23" s="1"/>
  <c r="D142" i="22"/>
  <c r="P16" i="23" s="1" a="1"/>
  <c r="P16" i="23" s="1"/>
  <c r="T16" i="23" s="1"/>
  <c r="G125" i="22" a="1"/>
  <c r="G125" i="22" s="1"/>
  <c r="G133" i="22" s="1"/>
  <c r="I121" i="22" a="1"/>
  <c r="I121" i="22" s="1"/>
  <c r="I87" i="21"/>
  <c r="I82" i="21"/>
  <c r="I88" i="21"/>
  <c r="I123" i="22" a="1"/>
  <c r="I123" i="22" s="1"/>
  <c r="I141" i="22" s="1"/>
  <c r="I83" i="21"/>
  <c r="E21" i="25"/>
  <c r="G86" i="21"/>
  <c r="G126" i="22" s="1" a="1"/>
  <c r="G126" i="22" s="1"/>
  <c r="G135" i="22" s="1"/>
  <c r="K67" i="18" a="1"/>
  <c r="K67" i="18" s="1"/>
  <c r="J76" i="21" a="1"/>
  <c r="J76" i="21" s="1"/>
  <c r="K69" i="18" a="1"/>
  <c r="K69" i="18" s="1"/>
  <c r="J129" i="22" s="1" a="1"/>
  <c r="J129" i="22" s="1"/>
  <c r="L66" i="18"/>
  <c r="K68" i="18"/>
  <c r="J128" i="22" s="1" a="1"/>
  <c r="J128" i="22" s="1"/>
  <c r="H84" i="21"/>
  <c r="H85" i="21" s="1"/>
  <c r="E136" i="22"/>
  <c r="E138" i="22" s="1"/>
  <c r="H139" i="22"/>
  <c r="K72" i="18" a="1"/>
  <c r="K72" i="18" s="1"/>
  <c r="J79" i="21" s="1" a="1"/>
  <c r="J79" i="21" s="1"/>
  <c r="J124" i="22" s="1" a="1"/>
  <c r="J124" i="22" s="1"/>
  <c r="J134" i="22" s="1"/>
  <c r="K73" i="18"/>
  <c r="J130" i="22" s="1" a="1"/>
  <c r="J130" i="22" s="1"/>
  <c r="K75" i="18"/>
  <c r="DC16" i="23" a="1"/>
  <c r="DC16" i="23" s="1"/>
  <c r="L71" i="18"/>
  <c r="K74" i="18" a="1"/>
  <c r="K74" i="18" s="1"/>
  <c r="J131" i="22" s="1" a="1"/>
  <c r="J131" i="22" s="1"/>
  <c r="J77" i="21" a="1"/>
  <c r="J77" i="21" s="1"/>
  <c r="J70" i="18"/>
  <c r="I80" i="21" s="1" a="1"/>
  <c r="I80" i="21" s="1"/>
  <c r="I81" i="21" a="1"/>
  <c r="I81" i="21" s="1"/>
  <c r="F136" i="22"/>
  <c r="F138" i="22" s="1"/>
  <c r="I78" i="21" a="1"/>
  <c r="I78" i="21" s="1"/>
  <c r="I122" i="22" s="1" a="1"/>
  <c r="I122" i="22" s="1"/>
  <c r="I132" i="22" s="1"/>
  <c r="CS16" i="23" a="1"/>
  <c r="CS16" i="23" s="1"/>
  <c r="CY16" i="23" a="1"/>
  <c r="CY16" i="23" s="1"/>
  <c r="R16" i="23" l="1" a="1"/>
  <c r="R16" i="23" s="1"/>
  <c r="U16" i="23" a="1"/>
  <c r="U16" i="23" s="1"/>
  <c r="H125" i="22" a="1"/>
  <c r="H125" i="22" s="1"/>
  <c r="H133" i="22" s="1"/>
  <c r="J88" i="21"/>
  <c r="J123" i="22" a="1"/>
  <c r="J123" i="22" s="1"/>
  <c r="J141" i="22" s="1"/>
  <c r="J83" i="21"/>
  <c r="I139" i="22"/>
  <c r="F137" i="22"/>
  <c r="AU16" i="23" s="1" a="1"/>
  <c r="AU16" i="23" s="1"/>
  <c r="AT16" i="23" a="1"/>
  <c r="AT16" i="23" s="1"/>
  <c r="G16" i="25" s="1" a="1"/>
  <c r="G16" i="25" s="1"/>
  <c r="F140" i="22"/>
  <c r="F142" i="22" s="1"/>
  <c r="AV16" i="23" s="1" a="1"/>
  <c r="AV16" i="23" s="1"/>
  <c r="L72" i="18" a="1"/>
  <c r="L72" i="18" s="1"/>
  <c r="K79" i="21" s="1" a="1"/>
  <c r="K79" i="21" s="1"/>
  <c r="K124" i="22" s="1" a="1"/>
  <c r="K124" i="22" s="1"/>
  <c r="K134" i="22" s="1"/>
  <c r="DS16" i="23" a="1"/>
  <c r="DS16" i="23" s="1"/>
  <c r="L75" i="18"/>
  <c r="L73" i="18"/>
  <c r="K130" i="22" s="1" a="1"/>
  <c r="K130" i="22" s="1"/>
  <c r="L74" i="18" a="1"/>
  <c r="L74" i="18" s="1"/>
  <c r="K131" i="22" s="1" a="1"/>
  <c r="K131" i="22" s="1"/>
  <c r="K77" i="21" a="1"/>
  <c r="K77" i="21" s="1"/>
  <c r="M71" i="18"/>
  <c r="DO16" i="23" a="1"/>
  <c r="DO16" i="23" s="1"/>
  <c r="J78" i="21" a="1"/>
  <c r="J78" i="21" s="1"/>
  <c r="J122" i="22" s="1" a="1"/>
  <c r="J122" i="22" s="1"/>
  <c r="J132" i="22" s="1"/>
  <c r="DI16" i="23" a="1"/>
  <c r="DI16" i="23" s="1"/>
  <c r="I84" i="21"/>
  <c r="I86" i="21" s="1"/>
  <c r="I126" i="22" s="1" a="1"/>
  <c r="I126" i="22" s="1"/>
  <c r="I135" i="22" s="1"/>
  <c r="H86" i="21"/>
  <c r="H126" i="22" s="1" a="1"/>
  <c r="H126" i="22" s="1"/>
  <c r="H135" i="22" s="1"/>
  <c r="M66" i="18"/>
  <c r="L69" i="18" a="1"/>
  <c r="L69" i="18" s="1"/>
  <c r="K129" i="22" s="1" a="1"/>
  <c r="K129" i="22" s="1"/>
  <c r="K76" i="21" a="1"/>
  <c r="K76" i="21" s="1"/>
  <c r="L68" i="18"/>
  <c r="K128" i="22" s="1" a="1"/>
  <c r="K128" i="22" s="1"/>
  <c r="L67" i="18" a="1"/>
  <c r="L67" i="18" s="1"/>
  <c r="G136" i="22"/>
  <c r="G140" i="22" s="1"/>
  <c r="E137" i="22"/>
  <c r="AE16" i="23" s="1" a="1"/>
  <c r="AE16" i="23" s="1"/>
  <c r="AD16" i="23" a="1"/>
  <c r="AD16" i="23" s="1"/>
  <c r="F16" i="25" s="1" a="1"/>
  <c r="F16" i="25" s="1"/>
  <c r="E140" i="22"/>
  <c r="E142" i="22" s="1"/>
  <c r="AF16" i="23" s="1" a="1"/>
  <c r="AF16" i="23" s="1"/>
  <c r="J81" i="21" a="1"/>
  <c r="J81" i="21" s="1"/>
  <c r="K70" i="18"/>
  <c r="J80" i="21" s="1" a="1"/>
  <c r="J80" i="21" s="1"/>
  <c r="J82" i="21"/>
  <c r="J121" i="22" a="1"/>
  <c r="J121" i="22" s="1"/>
  <c r="J87" i="21"/>
  <c r="G89" i="21"/>
  <c r="BT16" i="23" s="1" a="1"/>
  <c r="BT16" i="23" s="1"/>
  <c r="BU16" i="23" s="1"/>
  <c r="Z16" i="23" l="1"/>
  <c r="F17" i="24" s="1" a="1"/>
  <c r="F17" i="24" s="1"/>
  <c r="F92" i="24" s="1"/>
  <c r="F102" i="24" s="1"/>
  <c r="G138" i="22"/>
  <c r="G142" i="22" s="1"/>
  <c r="BL16" i="23" s="1" a="1"/>
  <c r="BL16" i="23" s="1"/>
  <c r="J139" i="22"/>
  <c r="EE16" i="23" a="1"/>
  <c r="EE16" i="23" s="1"/>
  <c r="K78" i="21" a="1"/>
  <c r="K78" i="21" s="1"/>
  <c r="K122" i="22" s="1" a="1"/>
  <c r="K122" i="22" s="1"/>
  <c r="K132" i="22" s="1"/>
  <c r="DY16" i="23" a="1"/>
  <c r="DY16" i="23" s="1"/>
  <c r="I85" i="21"/>
  <c r="K81" i="21" a="1"/>
  <c r="K81" i="21" s="1"/>
  <c r="L70" i="18"/>
  <c r="K80" i="21" s="1" a="1"/>
  <c r="K80" i="21" s="1"/>
  <c r="J84" i="21"/>
  <c r="J85" i="21" s="1"/>
  <c r="K121" i="22" a="1"/>
  <c r="K121" i="22" s="1"/>
  <c r="K87" i="21"/>
  <c r="K82" i="21"/>
  <c r="F21" i="25"/>
  <c r="N66" i="18"/>
  <c r="M68" i="18"/>
  <c r="L128" i="22" s="1" a="1"/>
  <c r="L128" i="22" s="1"/>
  <c r="L76" i="21" a="1"/>
  <c r="L76" i="21" s="1"/>
  <c r="M69" i="18" a="1"/>
  <c r="M69" i="18" s="1"/>
  <c r="L129" i="22" s="1" a="1"/>
  <c r="L129" i="22" s="1"/>
  <c r="M67" i="18" a="1"/>
  <c r="M67" i="18" s="1"/>
  <c r="L77" i="21" a="1"/>
  <c r="L77" i="21" s="1"/>
  <c r="EI16" i="23" a="1"/>
  <c r="EI16" i="23" s="1"/>
  <c r="M74" i="18" a="1"/>
  <c r="M74" i="18" s="1"/>
  <c r="L131" i="22" s="1" a="1"/>
  <c r="L131" i="22" s="1"/>
  <c r="M75" i="18"/>
  <c r="M73" i="18"/>
  <c r="L130" i="22" s="1" a="1"/>
  <c r="L130" i="22" s="1"/>
  <c r="M72" i="18" a="1"/>
  <c r="M72" i="18" s="1"/>
  <c r="L79" i="21" s="1" a="1"/>
  <c r="L79" i="21" s="1"/>
  <c r="L124" i="22" s="1" a="1"/>
  <c r="L124" i="22" s="1"/>
  <c r="L134" i="22" s="1"/>
  <c r="N71" i="18"/>
  <c r="G21" i="25"/>
  <c r="AJ16" i="23"/>
  <c r="AH16" i="23" a="1"/>
  <c r="AH16" i="23" s="1"/>
  <c r="AK16" i="23" a="1"/>
  <c r="AK16" i="23" s="1"/>
  <c r="K123" i="22" a="1"/>
  <c r="K123" i="22" s="1"/>
  <c r="K141" i="22" s="1"/>
  <c r="K83" i="21"/>
  <c r="K88" i="21"/>
  <c r="AX16" i="23" a="1"/>
  <c r="AX16" i="23" s="1"/>
  <c r="BA16" i="23" a="1"/>
  <c r="BA16" i="23" s="1"/>
  <c r="AZ16" i="23"/>
  <c r="H136" i="22"/>
  <c r="H138" i="22" s="1"/>
  <c r="BJ16" i="23" a="1"/>
  <c r="BJ16" i="23" s="1"/>
  <c r="H16" i="25" s="1" a="1"/>
  <c r="H16" i="25" s="1"/>
  <c r="G137" i="22"/>
  <c r="BK16" i="23" s="1" a="1"/>
  <c r="BK16" i="23" s="1"/>
  <c r="H89" i="21"/>
  <c r="CJ16" i="23" s="1" a="1"/>
  <c r="CJ16" i="23" s="1"/>
  <c r="CK16" i="23" s="1"/>
  <c r="F22" i="24" l="1"/>
  <c r="J86" i="21"/>
  <c r="J126" i="22" s="1" a="1"/>
  <c r="J126" i="22" s="1"/>
  <c r="J135" i="22" s="1"/>
  <c r="J125" i="22" a="1"/>
  <c r="J125" i="22" s="1"/>
  <c r="J133" i="22" s="1"/>
  <c r="I89" i="21"/>
  <c r="CZ16" i="23" s="1" a="1"/>
  <c r="CZ16" i="23" s="1"/>
  <c r="DA16" i="23" s="1"/>
  <c r="I125" i="22" a="1"/>
  <c r="I125" i="22" s="1"/>
  <c r="I133" i="22" s="1"/>
  <c r="L88" i="21"/>
  <c r="L123" i="22" a="1"/>
  <c r="L123" i="22" s="1"/>
  <c r="L141" i="22" s="1"/>
  <c r="L83" i="21"/>
  <c r="N69" i="18" a="1"/>
  <c r="N69" i="18" s="1"/>
  <c r="M129" i="22" s="1" a="1"/>
  <c r="M129" i="22" s="1"/>
  <c r="M76" i="21" a="1"/>
  <c r="M76" i="21" s="1"/>
  <c r="O66" i="18"/>
  <c r="N68" i="18"/>
  <c r="M128" i="22" s="1" a="1"/>
  <c r="M128" i="22" s="1"/>
  <c r="N67" i="18" a="1"/>
  <c r="N67" i="18" s="1"/>
  <c r="EU16" i="23" a="1"/>
  <c r="EU16" i="23" s="1"/>
  <c r="L78" i="21" a="1"/>
  <c r="L78" i="21" s="1"/>
  <c r="L122" i="22" s="1" a="1"/>
  <c r="L122" i="22" s="1"/>
  <c r="L132" i="22" s="1"/>
  <c r="EO16" i="23" a="1"/>
  <c r="EO16" i="23" s="1"/>
  <c r="BQ16" i="23" a="1"/>
  <c r="BQ16" i="23" s="1"/>
  <c r="BN16" i="23" a="1"/>
  <c r="BN16" i="23" s="1"/>
  <c r="BP16" i="23"/>
  <c r="L81" i="21" a="1"/>
  <c r="L81" i="21" s="1"/>
  <c r="M70" i="18"/>
  <c r="L80" i="21" s="1" a="1"/>
  <c r="L80" i="21" s="1"/>
  <c r="H21" i="25"/>
  <c r="AP16" i="23"/>
  <c r="G17" i="24" s="1" a="1"/>
  <c r="G17" i="24" s="1"/>
  <c r="BF16" i="23"/>
  <c r="H17" i="24" s="1" a="1"/>
  <c r="H17" i="24" s="1"/>
  <c r="N72" i="18" a="1"/>
  <c r="N72" i="18" s="1"/>
  <c r="M79" i="21" s="1" a="1"/>
  <c r="M79" i="21" s="1"/>
  <c r="M124" i="22" s="1" a="1"/>
  <c r="M124" i="22" s="1"/>
  <c r="M134" i="22" s="1"/>
  <c r="N73" i="18"/>
  <c r="M130" i="22" s="1" a="1"/>
  <c r="M130" i="22" s="1"/>
  <c r="M77" i="21" a="1"/>
  <c r="M77" i="21" s="1"/>
  <c r="EY16" i="23" a="1"/>
  <c r="EY16" i="23" s="1"/>
  <c r="N74" i="18" a="1"/>
  <c r="N74" i="18" s="1"/>
  <c r="M131" i="22" s="1" a="1"/>
  <c r="M131" i="22" s="1"/>
  <c r="O71" i="18"/>
  <c r="N75" i="18"/>
  <c r="H137" i="22"/>
  <c r="CA16" i="23" s="1" a="1"/>
  <c r="CA16" i="23" s="1"/>
  <c r="BZ16" i="23" a="1"/>
  <c r="BZ16" i="23" s="1"/>
  <c r="I16" i="25" s="1" a="1"/>
  <c r="I16" i="25" s="1"/>
  <c r="H140" i="22"/>
  <c r="H142" i="22" s="1"/>
  <c r="CB16" i="23" s="1" a="1"/>
  <c r="CB16" i="23" s="1"/>
  <c r="L121" i="22" a="1"/>
  <c r="L121" i="22" s="1"/>
  <c r="L82" i="21"/>
  <c r="L87" i="21"/>
  <c r="K139" i="22"/>
  <c r="K84" i="21"/>
  <c r="K86" i="21" s="1"/>
  <c r="K126" i="22" s="1" a="1"/>
  <c r="K126" i="22" s="1"/>
  <c r="K135" i="22" s="1"/>
  <c r="J89" i="21" l="1"/>
  <c r="DP16" i="23" s="1" a="1"/>
  <c r="DP16" i="23" s="1"/>
  <c r="DQ16" i="23" s="1"/>
  <c r="BV16" i="23"/>
  <c r="I17" i="24" s="1" a="1"/>
  <c r="I17" i="24" s="1"/>
  <c r="I92" i="24" s="1"/>
  <c r="I102" i="24" s="1"/>
  <c r="K85" i="21"/>
  <c r="K89" i="21" s="1"/>
  <c r="EF16" i="23" s="1" a="1"/>
  <c r="EF16" i="23" s="1"/>
  <c r="EG16" i="23" s="1"/>
  <c r="L139" i="22"/>
  <c r="N70" i="18"/>
  <c r="M80" i="21" s="1" a="1"/>
  <c r="M80" i="21" s="1"/>
  <c r="M81" i="21" a="1"/>
  <c r="M81" i="21" s="1"/>
  <c r="H92" i="24"/>
  <c r="H102" i="24" s="1"/>
  <c r="H22" i="24"/>
  <c r="O69" i="18" a="1"/>
  <c r="O69" i="18" s="1"/>
  <c r="N129" i="22" s="1" a="1"/>
  <c r="N129" i="22" s="1"/>
  <c r="O68" i="18"/>
  <c r="N128" i="22" s="1" a="1"/>
  <c r="N128" i="22" s="1"/>
  <c r="O67" i="18" a="1"/>
  <c r="O67" i="18" s="1"/>
  <c r="N76" i="21" a="1"/>
  <c r="N76" i="21" s="1"/>
  <c r="P66" i="18"/>
  <c r="G92" i="24"/>
  <c r="G102" i="24" s="1"/>
  <c r="G22" i="24"/>
  <c r="M121" i="22" a="1"/>
  <c r="M121" i="22" s="1"/>
  <c r="M82" i="21"/>
  <c r="M87" i="21"/>
  <c r="O72" i="18" a="1"/>
  <c r="O72" i="18" s="1"/>
  <c r="N79" i="21" s="1" a="1"/>
  <c r="N79" i="21" s="1"/>
  <c r="N124" i="22" s="1" a="1"/>
  <c r="N124" i="22" s="1"/>
  <c r="N134" i="22" s="1"/>
  <c r="FO16" i="23" a="1"/>
  <c r="FO16" i="23" s="1"/>
  <c r="O73" i="18"/>
  <c r="N130" i="22" s="1" a="1"/>
  <c r="N130" i="22" s="1"/>
  <c r="N77" i="21" a="1"/>
  <c r="N77" i="21" s="1"/>
  <c r="P71" i="18"/>
  <c r="O74" i="18" a="1"/>
  <c r="O74" i="18" s="1"/>
  <c r="N131" i="22" s="1" a="1"/>
  <c r="N131" i="22" s="1"/>
  <c r="O75" i="18"/>
  <c r="M83" i="21"/>
  <c r="M88" i="21"/>
  <c r="M123" i="22" a="1"/>
  <c r="M123" i="22" s="1"/>
  <c r="M141" i="22" s="1"/>
  <c r="L84" i="21"/>
  <c r="L86" i="21" s="1"/>
  <c r="L126" i="22" s="1" a="1"/>
  <c r="L126" i="22" s="1"/>
  <c r="L135" i="22" s="1"/>
  <c r="M78" i="21" a="1"/>
  <c r="M78" i="21" s="1"/>
  <c r="M122" i="22" s="1" a="1"/>
  <c r="M122" i="22" s="1"/>
  <c r="M132" i="22" s="1"/>
  <c r="FK16" i="23" a="1"/>
  <c r="FK16" i="23" s="1"/>
  <c r="FE16" i="23" a="1"/>
  <c r="FE16" i="23" s="1"/>
  <c r="J136" i="22"/>
  <c r="I21" i="25"/>
  <c r="CD16" i="23" a="1"/>
  <c r="CD16" i="23" s="1"/>
  <c r="CF16" i="23"/>
  <c r="CG16" i="23" a="1"/>
  <c r="CG16" i="23" s="1"/>
  <c r="I136" i="22"/>
  <c r="I138" i="22" s="1"/>
  <c r="K125" i="22" l="1" a="1"/>
  <c r="K125" i="22" s="1"/>
  <c r="K133" i="22" s="1"/>
  <c r="I22" i="24"/>
  <c r="CL16" i="23"/>
  <c r="J17" i="24" s="1" a="1"/>
  <c r="J17" i="24" s="1"/>
  <c r="J92" i="24" s="1"/>
  <c r="J102" i="24" s="1"/>
  <c r="K136" i="22"/>
  <c r="P68" i="18"/>
  <c r="O128" i="22" s="1" a="1"/>
  <c r="O128" i="22" s="1"/>
  <c r="P69" i="18" a="1"/>
  <c r="P69" i="18" s="1"/>
  <c r="O129" i="22" s="1" a="1"/>
  <c r="O129" i="22" s="1"/>
  <c r="P67" i="18" a="1"/>
  <c r="P67" i="18" s="1"/>
  <c r="O76" i="21" a="1"/>
  <c r="O76" i="21" s="1"/>
  <c r="M84" i="21"/>
  <c r="M85" i="21" s="1"/>
  <c r="DF16" i="23" a="1"/>
  <c r="DF16" i="23" s="1"/>
  <c r="K16" i="25" s="1" a="1"/>
  <c r="K16" i="25" s="1"/>
  <c r="J137" i="22"/>
  <c r="DG16" i="23" s="1" a="1"/>
  <c r="DG16" i="23" s="1"/>
  <c r="J140" i="22"/>
  <c r="CP16" i="23" a="1"/>
  <c r="CP16" i="23" s="1"/>
  <c r="J16" i="25" s="1" a="1"/>
  <c r="J16" i="25" s="1"/>
  <c r="I137" i="22"/>
  <c r="CQ16" i="23" s="1" a="1"/>
  <c r="CQ16" i="23" s="1"/>
  <c r="I140" i="22"/>
  <c r="I142" i="22" s="1"/>
  <c r="CR16" i="23" s="1" a="1"/>
  <c r="CR16" i="23" s="1"/>
  <c r="J138" i="22"/>
  <c r="L85" i="21"/>
  <c r="N82" i="21"/>
  <c r="N121" i="22" a="1"/>
  <c r="N121" i="22" s="1"/>
  <c r="N87" i="21"/>
  <c r="N81" i="21" a="1"/>
  <c r="N81" i="21" s="1"/>
  <c r="O70" i="18"/>
  <c r="N80" i="21" s="1" a="1"/>
  <c r="N80" i="21" s="1"/>
  <c r="N78" i="21" a="1"/>
  <c r="N78" i="21" s="1"/>
  <c r="N122" i="22" s="1" a="1"/>
  <c r="N122" i="22" s="1"/>
  <c r="N132" i="22" s="1"/>
  <c r="GA16" i="23" a="1"/>
  <c r="GA16" i="23" s="1"/>
  <c r="FU16" i="23" a="1"/>
  <c r="FU16" i="23" s="1"/>
  <c r="M139" i="22"/>
  <c r="P72" i="18" a="1"/>
  <c r="P72" i="18" s="1"/>
  <c r="O79" i="21" s="1" a="1"/>
  <c r="O79" i="21" s="1"/>
  <c r="O124" i="22" s="1" a="1"/>
  <c r="O124" i="22" s="1"/>
  <c r="O134" i="22" s="1"/>
  <c r="P75" i="18"/>
  <c r="O77" i="21" a="1"/>
  <c r="O77" i="21" s="1"/>
  <c r="P73" i="18"/>
  <c r="O130" i="22" s="1" a="1"/>
  <c r="O130" i="22" s="1"/>
  <c r="P74" i="18" a="1"/>
  <c r="P74" i="18" s="1"/>
  <c r="O131" i="22" s="1" a="1"/>
  <c r="O131" i="22" s="1"/>
  <c r="GE16" i="23" a="1"/>
  <c r="GE16" i="23" s="1"/>
  <c r="N88" i="21"/>
  <c r="N83" i="21"/>
  <c r="N123" i="22" a="1"/>
  <c r="N123" i="22" s="1"/>
  <c r="N141" i="22" s="1"/>
  <c r="J22" i="24" l="1"/>
  <c r="M86" i="21"/>
  <c r="M126" i="22" s="1" a="1"/>
  <c r="M126" i="22" s="1"/>
  <c r="M135" i="22" s="1"/>
  <c r="J21" i="25"/>
  <c r="N139" i="22"/>
  <c r="N84" i="21"/>
  <c r="N85" i="21" s="1"/>
  <c r="K21" i="25"/>
  <c r="O123" i="22" a="1"/>
  <c r="O123" i="22" s="1"/>
  <c r="O141" i="22" s="1"/>
  <c r="O83" i="21"/>
  <c r="O88" i="21"/>
  <c r="L89" i="21"/>
  <c r="EV16" i="23" s="1" a="1"/>
  <c r="EV16" i="23" s="1"/>
  <c r="EW16" i="23" s="1"/>
  <c r="L125" i="22" a="1"/>
  <c r="L125" i="22" s="1"/>
  <c r="L133" i="22" s="1"/>
  <c r="DV16" i="23" a="1"/>
  <c r="DV16" i="23" s="1"/>
  <c r="L16" i="25" s="1" a="1"/>
  <c r="L16" i="25" s="1"/>
  <c r="K137" i="22"/>
  <c r="DW16" i="23" s="1" a="1"/>
  <c r="DW16" i="23" s="1"/>
  <c r="K140" i="22"/>
  <c r="O81" i="21" a="1"/>
  <c r="O81" i="21" s="1"/>
  <c r="P70" i="18"/>
  <c r="O80" i="21" s="1" a="1"/>
  <c r="O80" i="21" s="1"/>
  <c r="J142" i="22"/>
  <c r="DH16" i="23" s="1" a="1"/>
  <c r="DH16" i="23" s="1"/>
  <c r="DL16" i="23" s="1"/>
  <c r="M125" i="22" a="1"/>
  <c r="M125" i="22" s="1"/>
  <c r="M133" i="22" s="1"/>
  <c r="K138" i="22"/>
  <c r="GQ16" i="23" a="1"/>
  <c r="GQ16" i="23" s="1"/>
  <c r="O78" i="21" a="1"/>
  <c r="O78" i="21" s="1"/>
  <c r="O122" i="22" s="1" a="1"/>
  <c r="O122" i="22" s="1"/>
  <c r="O132" i="22" s="1"/>
  <c r="GK16" i="23" a="1"/>
  <c r="GK16" i="23" s="1"/>
  <c r="CV16" i="23"/>
  <c r="CT16" i="23" a="1"/>
  <c r="CT16" i="23" s="1"/>
  <c r="CW16" i="23" a="1"/>
  <c r="CW16" i="23" s="1"/>
  <c r="O87" i="21"/>
  <c r="O82" i="21"/>
  <c r="O121" i="22" a="1"/>
  <c r="O121" i="22" s="1"/>
  <c r="M89" i="21" l="1"/>
  <c r="FL16" i="23" s="1" a="1"/>
  <c r="FL16" i="23" s="1"/>
  <c r="FM16" i="23" s="1"/>
  <c r="K142" i="22"/>
  <c r="DX16" i="23" s="1" a="1"/>
  <c r="DX16" i="23" s="1"/>
  <c r="EB16" i="23" s="1"/>
  <c r="N86" i="21"/>
  <c r="N126" i="22" s="1" a="1"/>
  <c r="N126" i="22" s="1"/>
  <c r="N135" i="22" s="1"/>
  <c r="O139" i="22"/>
  <c r="DJ16" i="23" a="1"/>
  <c r="DJ16" i="23" s="1"/>
  <c r="M136" i="22"/>
  <c r="DM16" i="23" a="1"/>
  <c r="DM16" i="23" s="1"/>
  <c r="L21" i="25"/>
  <c r="DB16" i="23"/>
  <c r="K17" i="24" s="1" a="1"/>
  <c r="K17" i="24" s="1"/>
  <c r="L136" i="22"/>
  <c r="O84" i="21"/>
  <c r="O86" i="21" s="1"/>
  <c r="O126" i="22" s="1" a="1"/>
  <c r="O126" i="22" s="1"/>
  <c r="O135" i="22" s="1"/>
  <c r="N125" i="22" a="1"/>
  <c r="N125" i="22" s="1"/>
  <c r="N133" i="22" s="1"/>
  <c r="N89" i="21" l="1"/>
  <c r="GB16" i="23" s="1" a="1"/>
  <c r="GB16" i="23" s="1"/>
  <c r="GC16" i="23" s="1"/>
  <c r="DZ16" i="23" a="1"/>
  <c r="DZ16" i="23" s="1"/>
  <c r="EC16" i="23" a="1"/>
  <c r="EC16" i="23" s="1"/>
  <c r="FB16" i="23" a="1"/>
  <c r="FB16" i="23" s="1"/>
  <c r="N16" i="25" s="1" a="1"/>
  <c r="N16" i="25" s="1"/>
  <c r="M137" i="22"/>
  <c r="FC16" i="23" s="1" a="1"/>
  <c r="FC16" i="23" s="1"/>
  <c r="M140" i="22"/>
  <c r="K92" i="24"/>
  <c r="K102" i="24" s="1"/>
  <c r="K22" i="24"/>
  <c r="O85" i="21"/>
  <c r="EL16" i="23" a="1"/>
  <c r="EL16" i="23" s="1"/>
  <c r="M16" i="25" s="1" a="1"/>
  <c r="M16" i="25" s="1"/>
  <c r="L137" i="22"/>
  <c r="EM16" i="23" s="1" a="1"/>
  <c r="EM16" i="23" s="1"/>
  <c r="L140" i="22"/>
  <c r="DR16" i="23"/>
  <c r="L17" i="24" s="1" a="1"/>
  <c r="L17" i="24" s="1"/>
  <c r="L138" i="22"/>
  <c r="N136" i="22"/>
  <c r="M138" i="22"/>
  <c r="EH16" i="23" l="1"/>
  <c r="M17" i="24" s="1" a="1"/>
  <c r="M17" i="24" s="1"/>
  <c r="M92" i="24" s="1"/>
  <c r="M102" i="24" s="1"/>
  <c r="N21" i="25"/>
  <c r="M21" i="25"/>
  <c r="FR16" i="23" a="1"/>
  <c r="FR16" i="23" s="1"/>
  <c r="O16" i="25" s="1" a="1"/>
  <c r="O16" i="25" s="1"/>
  <c r="N137" i="22"/>
  <c r="FS16" i="23" s="1" a="1"/>
  <c r="FS16" i="23" s="1"/>
  <c r="N140" i="22"/>
  <c r="O89" i="21"/>
  <c r="GR16" i="23" s="1" a="1"/>
  <c r="GR16" i="23" s="1"/>
  <c r="GS16" i="23" s="1"/>
  <c r="O125" i="22" a="1"/>
  <c r="O125" i="22" s="1"/>
  <c r="O133" i="22" s="1"/>
  <c r="L92" i="24"/>
  <c r="L102" i="24" s="1"/>
  <c r="L22" i="24"/>
  <c r="M142" i="22"/>
  <c r="FD16" i="23" s="1" a="1"/>
  <c r="FD16" i="23" s="1"/>
  <c r="FH16" i="23" s="1"/>
  <c r="N138" i="22"/>
  <c r="L142" i="22"/>
  <c r="EN16" i="23" s="1" a="1"/>
  <c r="EN16" i="23" s="1"/>
  <c r="ER16" i="23" s="1"/>
  <c r="N142" i="22" l="1"/>
  <c r="FT16" i="23" s="1" a="1"/>
  <c r="FT16" i="23" s="1"/>
  <c r="FY16" i="23" s="1" a="1"/>
  <c r="FY16" i="23" s="1"/>
  <c r="M22" i="24"/>
  <c r="EP16" i="23" a="1"/>
  <c r="EP16" i="23" s="1"/>
  <c r="ES16" i="23" a="1"/>
  <c r="ES16" i="23" s="1"/>
  <c r="O136" i="22"/>
  <c r="HC16" i="23"/>
  <c r="FF16" i="23" a="1"/>
  <c r="FF16" i="23" s="1"/>
  <c r="O21" i="25"/>
  <c r="FI16" i="23" a="1"/>
  <c r="FI16" i="23" s="1"/>
  <c r="FV16" i="23" l="1" a="1"/>
  <c r="FV16" i="23" s="1"/>
  <c r="FX16" i="23"/>
  <c r="FN16" i="23"/>
  <c r="O17" i="24" s="1" a="1"/>
  <c r="O17" i="24" s="1"/>
  <c r="O22" i="24" s="1"/>
  <c r="GH16" i="23" a="1"/>
  <c r="GH16" i="23" s="1"/>
  <c r="P16" i="25" s="1" a="1"/>
  <c r="P16" i="25" s="1"/>
  <c r="O137" i="22"/>
  <c r="GI16" i="23" s="1" a="1"/>
  <c r="GI16" i="23" s="1"/>
  <c r="O140" i="22"/>
  <c r="O138" i="22"/>
  <c r="EX16" i="23"/>
  <c r="N17" i="24" s="1" a="1"/>
  <c r="N17" i="24" s="1"/>
  <c r="HD16" i="23"/>
  <c r="GD16" i="23" l="1"/>
  <c r="P17" i="24" s="1" a="1"/>
  <c r="P17" i="24" s="1"/>
  <c r="P92" i="24" s="1"/>
  <c r="P102" i="24" s="1"/>
  <c r="O142" i="22"/>
  <c r="GJ16" i="23" s="1" a="1"/>
  <c r="GJ16" i="23" s="1"/>
  <c r="GO16" i="23" s="1" a="1"/>
  <c r="GO16" i="23" s="1"/>
  <c r="O92" i="24"/>
  <c r="O102" i="24" s="1"/>
  <c r="N92" i="24"/>
  <c r="N102" i="24" s="1"/>
  <c r="N22" i="24"/>
  <c r="P21" i="25"/>
  <c r="Q16" i="25"/>
  <c r="P22" i="24" l="1"/>
  <c r="GN16" i="23"/>
  <c r="GW16" i="23" s="1"/>
  <c r="GX16" i="23" s="1"/>
  <c r="GL16" i="23" a="1"/>
  <c r="GL16" i="23" s="1"/>
  <c r="GU16" i="23" s="1"/>
  <c r="GV16" i="23" s="1"/>
  <c r="Q21" i="25"/>
  <c r="GY16" i="23"/>
  <c r="GZ16" i="23" s="1"/>
  <c r="GT16" i="23" l="1"/>
  <c r="Q17" i="24" s="1" a="1"/>
  <c r="Q17" i="24" s="1"/>
  <c r="Q92" i="24" s="1"/>
  <c r="Q102" i="24" s="1"/>
  <c r="HA16" i="23"/>
  <c r="Q22" i="24" l="1"/>
  <c r="R17" i="24"/>
  <c r="HB16" i="23"/>
  <c r="HE16" i="23"/>
  <c r="HF16" i="23" s="1"/>
  <c r="R22" i="24" l="1"/>
  <c r="R92" i="24"/>
  <c r="S17" i="24"/>
  <c r="S92" i="24" s="1"/>
  <c r="M11" i="28" l="1" a="1"/>
  <c r="M11" i="28" s="1"/>
  <c r="M16" i="28" s="1"/>
  <c r="M89" i="28" s="1"/>
  <c r="S22" i="2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<sst xmlns="http://schemas.openxmlformats.org/spreadsheetml/2006/main" count="15922" uniqueCount="2055">
  <si>
    <t>Fixed Roof Inputs</t>
  </si>
  <si>
    <t>TANK CONSTRUCTION</t>
  </si>
  <si>
    <t>HEATED TANK TEMPERATURES - LEAVE BLANK FOR UNHEATED TANKS</t>
  </si>
  <si>
    <t>THROUGHPUTS</t>
  </si>
  <si>
    <t>Location</t>
  </si>
  <si>
    <t>Tank Type</t>
  </si>
  <si>
    <t>Tank Diameter</t>
  </si>
  <si>
    <r>
      <t xml:space="preserve">Select Fixed Roof Type from </t>
    </r>
    <r>
      <rPr>
        <b/>
        <i/>
        <sz val="11"/>
        <color theme="1"/>
        <rFont val="Calibri"/>
        <family val="2"/>
        <scheme val="minor"/>
      </rPr>
      <t>Drop-down Menu</t>
    </r>
  </si>
  <si>
    <r>
      <t xml:space="preserve">Select Shell Paint Shade/Type from </t>
    </r>
    <r>
      <rPr>
        <b/>
        <i/>
        <sz val="11"/>
        <color theme="1"/>
        <rFont val="Calibri"/>
        <family val="2"/>
        <scheme val="minor"/>
      </rPr>
      <t>Drop-down Menu</t>
    </r>
  </si>
  <si>
    <r>
      <t xml:space="preserve">Select Shell Paint Condition from 
</t>
    </r>
    <r>
      <rPr>
        <b/>
        <i/>
        <sz val="11"/>
        <color theme="1"/>
        <rFont val="Calibri"/>
        <family val="2"/>
        <scheme val="minor"/>
      </rPr>
      <t>Drop-down Menu</t>
    </r>
  </si>
  <si>
    <r>
      <t xml:space="preserve">Select Roof Paint Shade/Type from </t>
    </r>
    <r>
      <rPr>
        <b/>
        <i/>
        <sz val="11"/>
        <color theme="1"/>
        <rFont val="Calibri"/>
        <family val="2"/>
        <scheme val="minor"/>
      </rPr>
      <t>Drop-down Menu</t>
    </r>
  </si>
  <si>
    <r>
      <t xml:space="preserve">Select Roof Paint Condition from 
</t>
    </r>
    <r>
      <rPr>
        <b/>
        <i/>
        <sz val="11"/>
        <color theme="1"/>
        <rFont val="Calibri"/>
        <family val="2"/>
        <scheme val="minor"/>
      </rPr>
      <t>Drop-down Menu</t>
    </r>
  </si>
  <si>
    <r>
      <t xml:space="preserve">Breather Vent Pressure Setting 
</t>
    </r>
    <r>
      <rPr>
        <b/>
        <i/>
        <sz val="11"/>
        <color theme="1"/>
        <rFont val="Calibri"/>
        <family val="2"/>
        <scheme val="minor"/>
      </rPr>
      <t>Leave blank if unknown</t>
    </r>
  </si>
  <si>
    <r>
      <t xml:space="preserve">Breather Vent Vacuum Setting
</t>
    </r>
    <r>
      <rPr>
        <b/>
        <i/>
        <sz val="11"/>
        <color theme="1"/>
        <rFont val="Calibri"/>
        <family val="2"/>
        <scheme val="minor"/>
      </rPr>
      <t>Leave blank if unknown</t>
    </r>
  </si>
  <si>
    <t>Component Name</t>
  </si>
  <si>
    <t>Type</t>
  </si>
  <si>
    <t>ASTM Slope</t>
  </si>
  <si>
    <t>RVP</t>
  </si>
  <si>
    <t>Mass Fraction</t>
  </si>
  <si>
    <t>(ft)</t>
  </si>
  <si>
    <t>(gal)</t>
  </si>
  <si>
    <t>(psia)</t>
  </si>
  <si>
    <r>
      <t>(</t>
    </r>
    <r>
      <rPr>
        <sz val="11"/>
        <color theme="1"/>
        <rFont val="Calibri"/>
        <family val="2"/>
      </rPr>
      <t>°F</t>
    </r>
    <r>
      <rPr>
        <sz val="11"/>
        <color theme="1"/>
        <rFont val="Calibri"/>
        <family val="2"/>
        <scheme val="minor"/>
      </rPr>
      <t>)</t>
    </r>
  </si>
  <si>
    <t>(bbl/month)</t>
  </si>
  <si>
    <t>(bbl/year)</t>
  </si>
  <si>
    <t>(psi)</t>
  </si>
  <si>
    <t>Cleveland</t>
  </si>
  <si>
    <t>Cone</t>
  </si>
  <si>
    <t>White</t>
  </si>
  <si>
    <t>Asphalt</t>
  </si>
  <si>
    <t>January</t>
  </si>
  <si>
    <t>February</t>
  </si>
  <si>
    <t>March</t>
  </si>
  <si>
    <t>April</t>
  </si>
  <si>
    <t>May</t>
  </si>
  <si>
    <t>June</t>
  </si>
  <si>
    <t>July</t>
  </si>
  <si>
    <t>August</t>
  </si>
  <si>
    <t>September</t>
  </si>
  <si>
    <t>October</t>
  </si>
  <si>
    <t>November</t>
  </si>
  <si>
    <t>December</t>
  </si>
  <si>
    <t>Annual</t>
  </si>
  <si>
    <t>Chemical</t>
  </si>
  <si>
    <t>Terminals</t>
  </si>
  <si>
    <t>Table 7.1 Location</t>
  </si>
  <si>
    <t>Terminal_X_Ref</t>
  </si>
  <si>
    <t>Altoona</t>
  </si>
  <si>
    <t>Baltimore</t>
  </si>
  <si>
    <t>Blakeley</t>
  </si>
  <si>
    <t>Brooklyn</t>
  </si>
  <si>
    <t>Chickasaw</t>
  </si>
  <si>
    <t>Dupont</t>
  </si>
  <si>
    <t>Joliet</t>
  </si>
  <si>
    <t>Madison</t>
  </si>
  <si>
    <t>Mechanicsburg</t>
  </si>
  <si>
    <t>Mobile</t>
  </si>
  <si>
    <t>Norfolk</t>
  </si>
  <si>
    <t>Selma</t>
  </si>
  <si>
    <t>Spartanburg</t>
  </si>
  <si>
    <t>South Williamsport</t>
  </si>
  <si>
    <t>Portland</t>
  </si>
  <si>
    <t>Toledo</t>
  </si>
  <si>
    <t>FX_Tank_Type</t>
  </si>
  <si>
    <t>Horizontal</t>
  </si>
  <si>
    <t>Vertical</t>
  </si>
  <si>
    <t>Tank Shell Height/Length</t>
  </si>
  <si>
    <t>Tank Capacity</t>
  </si>
  <si>
    <t>FX_Roof_Type</t>
  </si>
  <si>
    <t>Dome</t>
  </si>
  <si>
    <r>
      <t xml:space="preserve">Cone Roof Slope 
</t>
    </r>
    <r>
      <rPr>
        <b/>
        <i/>
        <sz val="11"/>
        <color theme="1"/>
        <rFont val="Calibri"/>
        <family val="2"/>
        <scheme val="minor"/>
      </rPr>
      <t>Leave blank if unknown</t>
    </r>
  </si>
  <si>
    <t>Dome Roof Radius</t>
  </si>
  <si>
    <t>Tbl 7.1-6</t>
  </si>
  <si>
    <t>Surface Color</t>
  </si>
  <si>
    <t>Aluminum</t>
  </si>
  <si>
    <t>Specular</t>
  </si>
  <si>
    <t>Diffuse</t>
  </si>
  <si>
    <t>Beige/Cream</t>
  </si>
  <si>
    <t>Black</t>
  </si>
  <si>
    <t>Brown</t>
  </si>
  <si>
    <t>Gray</t>
  </si>
  <si>
    <t>Light</t>
  </si>
  <si>
    <t>Medium</t>
  </si>
  <si>
    <t>Green</t>
  </si>
  <si>
    <t>Dark</t>
  </si>
  <si>
    <t>Red</t>
  </si>
  <si>
    <t>Primer</t>
  </si>
  <si>
    <t>Rust</t>
  </si>
  <si>
    <t>Tan</t>
  </si>
  <si>
    <t>New</t>
  </si>
  <si>
    <t>Average</t>
  </si>
  <si>
    <t>Aged</t>
  </si>
  <si>
    <t>Unpainted</t>
  </si>
  <si>
    <t>Insulated</t>
  </si>
  <si>
    <t>Paint_Color</t>
  </si>
  <si>
    <t>N/A</t>
  </si>
  <si>
    <t>Month_Ref</t>
  </si>
  <si>
    <t>days/month</t>
  </si>
  <si>
    <t>Month Ref</t>
  </si>
  <si>
    <t>TANK CONTENTS</t>
  </si>
  <si>
    <t>TANK NAME/LOCATION</t>
  </si>
  <si>
    <t>Name</t>
  </si>
  <si>
    <t>Liquid Molecular Weight</t>
  </si>
  <si>
    <t>Vapor Molecular Weight</t>
  </si>
  <si>
    <t>Liquid Density @ 60 F (lb/gal)</t>
  </si>
  <si>
    <t>Class</t>
  </si>
  <si>
    <t xml:space="preserve">Acetone </t>
  </si>
  <si>
    <t xml:space="preserve">Acetonitrile </t>
  </si>
  <si>
    <t xml:space="preserve">Acrylonitrile </t>
  </si>
  <si>
    <t xml:space="preserve">Allyl alcohol </t>
  </si>
  <si>
    <t>Allyl chloride</t>
  </si>
  <si>
    <t>Ammonium hydroxide (28.8% solution)</t>
  </si>
  <si>
    <t xml:space="preserve">Benzene </t>
  </si>
  <si>
    <t>iso-Butyl alcohol</t>
  </si>
  <si>
    <t>tert-Butyl alcoholv</t>
  </si>
  <si>
    <t>n-Butyl chloride</t>
  </si>
  <si>
    <t>Carbon disulfide</t>
  </si>
  <si>
    <t>Carbon tetrachloride</t>
  </si>
  <si>
    <t xml:space="preserve">Chloroform </t>
  </si>
  <si>
    <t xml:space="preserve">Chloroprene </t>
  </si>
  <si>
    <t xml:space="preserve">Cyclohexane </t>
  </si>
  <si>
    <t xml:space="preserve">Cyclopentane </t>
  </si>
  <si>
    <t xml:space="preserve">1,1-Dichloroethane </t>
  </si>
  <si>
    <t xml:space="preserve">1,2-Dichloroethane </t>
  </si>
  <si>
    <t xml:space="preserve"> cis-1,2- Dichloro-ethylene</t>
  </si>
  <si>
    <t xml:space="preserve"> trans-1,2-Dichloro-ethylene</t>
  </si>
  <si>
    <t xml:space="preserve">Diethylamine </t>
  </si>
  <si>
    <t>Diethyl ether</t>
  </si>
  <si>
    <t>Di-iso-propyl ether</t>
  </si>
  <si>
    <t xml:space="preserve">1,4-Dioxane </t>
  </si>
  <si>
    <t>Dipropyl ether</t>
  </si>
  <si>
    <t>Ethyl acetate</t>
  </si>
  <si>
    <t>Ethyl acrylate</t>
  </si>
  <si>
    <t>Ethanol</t>
  </si>
  <si>
    <t>Freon 11</t>
  </si>
  <si>
    <t xml:space="preserve">n-Heptane </t>
  </si>
  <si>
    <t xml:space="preserve">n-Hexane </t>
  </si>
  <si>
    <t>Hydrogen cyanide</t>
  </si>
  <si>
    <t xml:space="preserve">Isopentane </t>
  </si>
  <si>
    <t xml:space="preserve">Isoprene </t>
  </si>
  <si>
    <t>Isopropyl alcohol</t>
  </si>
  <si>
    <t xml:space="preserve">Methacrylonitrile </t>
  </si>
  <si>
    <t>Methyl acetate</t>
  </si>
  <si>
    <t>Methyl acrylate</t>
  </si>
  <si>
    <t>Methanol</t>
  </si>
  <si>
    <t xml:space="preserve">Methylcyclohexane </t>
  </si>
  <si>
    <t xml:space="preserve">Methylcyclopentane </t>
  </si>
  <si>
    <t>Methylene chloride</t>
  </si>
  <si>
    <t xml:space="preserve">Methyl ethyl ketone </t>
  </si>
  <si>
    <t>Methyl methacrylate</t>
  </si>
  <si>
    <t>Methyl propyl ether</t>
  </si>
  <si>
    <t>Naphthalene</t>
  </si>
  <si>
    <t xml:space="preserve">Nitromethane </t>
  </si>
  <si>
    <t xml:space="preserve">n-Pentane </t>
  </si>
  <si>
    <t xml:space="preserve">n-Propylamine </t>
  </si>
  <si>
    <t xml:space="preserve">1,1,1-Trichloroethane </t>
  </si>
  <si>
    <t xml:space="preserve">Trichloroethylene </t>
  </si>
  <si>
    <t xml:space="preserve">2,2,4-trimethyl pentane (isooctane) </t>
  </si>
  <si>
    <t xml:space="preserve">Toluene </t>
  </si>
  <si>
    <t>Vinyl acetate</t>
  </si>
  <si>
    <t>Vinylidene chloride</t>
  </si>
  <si>
    <t>MTBE</t>
  </si>
  <si>
    <t>Diisobutylene</t>
  </si>
  <si>
    <t>Lean Oil</t>
  </si>
  <si>
    <t>Quench Oil</t>
  </si>
  <si>
    <t>Polyisobutylene</t>
  </si>
  <si>
    <t>Crude Oil</t>
  </si>
  <si>
    <r>
      <rPr>
        <sz val="11"/>
        <rFont val="Calibri"/>
        <family val="2"/>
      </rPr>
      <t>Distillate fuel oil No. 2</t>
    </r>
  </si>
  <si>
    <t>Refined Petroleum Stock</t>
  </si>
  <si>
    <t>Gasoline</t>
  </si>
  <si>
    <r>
      <rPr>
        <sz val="11"/>
        <rFont val="Calibri"/>
        <family val="2"/>
      </rPr>
      <t>Gasoline RVP 7</t>
    </r>
  </si>
  <si>
    <r>
      <rPr>
        <sz val="11"/>
        <rFont val="Calibri"/>
        <family val="2"/>
      </rPr>
      <t>Gasoline RVP 7.8</t>
    </r>
  </si>
  <si>
    <r>
      <rPr>
        <sz val="11"/>
        <rFont val="Calibri"/>
        <family val="2"/>
      </rPr>
      <t>Gasoline RVP 8.3</t>
    </r>
  </si>
  <si>
    <r>
      <rPr>
        <sz val="11"/>
        <rFont val="Calibri"/>
        <family val="2"/>
      </rPr>
      <t>Gasoline RVP 10</t>
    </r>
  </si>
  <si>
    <r>
      <rPr>
        <sz val="11"/>
        <rFont val="Calibri"/>
        <family val="2"/>
      </rPr>
      <t>Gasoline RVP 11.5</t>
    </r>
  </si>
  <si>
    <r>
      <rPr>
        <sz val="11"/>
        <rFont val="Calibri"/>
        <family val="2"/>
      </rPr>
      <t>Gasoline RVP 13</t>
    </r>
  </si>
  <si>
    <r>
      <rPr>
        <sz val="11"/>
        <rFont val="Calibri"/>
        <family val="2"/>
      </rPr>
      <t>Gasoline RVP 13.5</t>
    </r>
  </si>
  <si>
    <r>
      <rPr>
        <sz val="11"/>
        <rFont val="Calibri"/>
        <family val="2"/>
      </rPr>
      <t>Gasoline RVP 15.0</t>
    </r>
  </si>
  <si>
    <r>
      <rPr>
        <sz val="11"/>
        <rFont val="Calibri"/>
        <family val="2"/>
      </rPr>
      <t>Jet kerosene</t>
    </r>
  </si>
  <si>
    <r>
      <rPr>
        <sz val="11"/>
        <rFont val="Calibri"/>
        <family val="2"/>
      </rPr>
      <t>Jet naphtha (JP-4)</t>
    </r>
  </si>
  <si>
    <r>
      <rPr>
        <sz val="11"/>
        <rFont val="Calibri"/>
        <family val="2"/>
      </rPr>
      <t>Residual oil No. 6</t>
    </r>
  </si>
  <si>
    <t>Niobrara</t>
  </si>
  <si>
    <t>VGO</t>
  </si>
  <si>
    <t>Black Wax</t>
  </si>
  <si>
    <t>Heavy Crude</t>
  </si>
  <si>
    <t>High Prarie Crude</t>
  </si>
  <si>
    <t>Diesel</t>
  </si>
  <si>
    <t>Biodiesel</t>
  </si>
  <si>
    <t>Emulsion</t>
  </si>
  <si>
    <t>Water</t>
  </si>
  <si>
    <t>Av-Gas</t>
  </si>
  <si>
    <t>Recycled Lube Oil Bottoms</t>
  </si>
  <si>
    <t>Naphtha</t>
  </si>
  <si>
    <t>AWB Crude</t>
  </si>
  <si>
    <t>Bakken Crude</t>
  </si>
  <si>
    <t>Methylene diphenyl diisocyanate</t>
  </si>
  <si>
    <t>Out of Service</t>
  </si>
  <si>
    <t>High Prarie Crude Assay</t>
  </si>
  <si>
    <r>
      <t>T (</t>
    </r>
    <r>
      <rPr>
        <sz val="11"/>
        <color theme="1"/>
        <rFont val="Calibri"/>
        <family val="2"/>
      </rPr>
      <t>°C)</t>
    </r>
  </si>
  <si>
    <r>
      <t>T(</t>
    </r>
    <r>
      <rPr>
        <sz val="11"/>
        <color theme="1"/>
        <rFont val="Calibri"/>
        <family val="2"/>
      </rPr>
      <t>°F)</t>
    </r>
  </si>
  <si>
    <r>
      <t>T(</t>
    </r>
    <r>
      <rPr>
        <sz val="11"/>
        <color theme="1"/>
        <rFont val="Calibri"/>
        <family val="2"/>
      </rPr>
      <t>°R)</t>
    </r>
  </si>
  <si>
    <t>%Mass to vapor</t>
  </si>
  <si>
    <t>Non Resid fraction</t>
  </si>
  <si>
    <t>Fraction of Total</t>
  </si>
  <si>
    <r>
      <t xml:space="preserve">SG at 60 </t>
    </r>
    <r>
      <rPr>
        <sz val="11"/>
        <color theme="1"/>
        <rFont val="Calibri"/>
        <family val="2"/>
      </rPr>
      <t>°F</t>
    </r>
  </si>
  <si>
    <t>Molecular Weight of fraction</t>
  </si>
  <si>
    <t>Moles in Fraction</t>
  </si>
  <si>
    <t>Moles of Vapor</t>
  </si>
  <si>
    <t>Vapor MW</t>
  </si>
  <si>
    <t>Moles of  liquid</t>
  </si>
  <si>
    <t>Liquid MW</t>
  </si>
  <si>
    <t>Typical Storage Temp (°F)</t>
  </si>
  <si>
    <t>ABS (ΔT (°F))</t>
  </si>
  <si>
    <t>Molecular weights calculated using Rauzi-Daubert Method (www.engineeringtoolbox.com/molweight-molecular-weight-average-boiling-point-gravity-d_1992.html).</t>
  </si>
  <si>
    <t>AWB</t>
  </si>
  <si>
    <t>Nearest Temp</t>
  </si>
  <si>
    <t>Typically stored at</t>
  </si>
  <si>
    <t>F</t>
  </si>
  <si>
    <t>SS Tank Number</t>
  </si>
  <si>
    <t>Column #</t>
  </si>
  <si>
    <t>AP-42 Equation</t>
  </si>
  <si>
    <t>Spreadsheet
Tank Number</t>
  </si>
  <si>
    <t>Spreadsheet Tank Number</t>
  </si>
  <si>
    <t>Air Permit ID &amp; Terminal ID</t>
  </si>
  <si>
    <t>D</t>
  </si>
  <si>
    <t>1-14</t>
  </si>
  <si>
    <t>1-18/1-20</t>
  </si>
  <si>
    <t>Tank Roof Height</t>
  </si>
  <si>
    <t>1-17/1-19</t>
  </si>
  <si>
    <t>Tank Roof Outage</t>
  </si>
  <si>
    <t>1-15/2</t>
  </si>
  <si>
    <t>Shell Height</t>
  </si>
  <si>
    <t>1-16</t>
  </si>
  <si>
    <t>Vapor Space Outage</t>
  </si>
  <si>
    <t>1-3</t>
  </si>
  <si>
    <t>Vapor Space Volume</t>
  </si>
  <si>
    <t>Fixed Roof Temps</t>
  </si>
  <si>
    <t>Tank #</t>
  </si>
  <si>
    <t>FX_Input Row</t>
  </si>
  <si>
    <t>FX_Input Column</t>
  </si>
  <si>
    <t>Spread Sheet Tank #</t>
  </si>
  <si>
    <t>Symbol</t>
  </si>
  <si>
    <t>Units</t>
  </si>
  <si>
    <t>Jan</t>
  </si>
  <si>
    <t>Feb</t>
  </si>
  <si>
    <t>Mar</t>
  </si>
  <si>
    <t>Apr</t>
  </si>
  <si>
    <t>Jun</t>
  </si>
  <si>
    <t>Jul</t>
  </si>
  <si>
    <t>Aug</t>
  </si>
  <si>
    <t>Sep</t>
  </si>
  <si>
    <t>Oct</t>
  </si>
  <si>
    <t>Nov</t>
  </si>
  <si>
    <t>Dec</t>
  </si>
  <si>
    <t>Birmingham, AL</t>
  </si>
  <si>
    <t>TAN</t>
  </si>
  <si>
    <t>°F</t>
  </si>
  <si>
    <t>TAX</t>
  </si>
  <si>
    <t>V</t>
  </si>
  <si>
    <t>mi/hr</t>
  </si>
  <si>
    <t>I</t>
  </si>
  <si>
    <t>Btu/ft2/day</t>
  </si>
  <si>
    <t>PA</t>
  </si>
  <si>
    <t>lb/in2</t>
  </si>
  <si>
    <t>Huntsville, AL</t>
  </si>
  <si>
    <t>Mobile, AL</t>
  </si>
  <si>
    <t>Montgomery, AL</t>
  </si>
  <si>
    <t>Phoenix, AZ</t>
  </si>
  <si>
    <t>Prescott, AZ</t>
  </si>
  <si>
    <t>Tucson, AZ</t>
  </si>
  <si>
    <t>Fort Smith, AR</t>
  </si>
  <si>
    <t>Little Rock, AR</t>
  </si>
  <si>
    <t>Arcata, CA</t>
  </si>
  <si>
    <t>Bakersfield, CA</t>
  </si>
  <si>
    <t>Bishop, CA</t>
  </si>
  <si>
    <t>Daggett, CA</t>
  </si>
  <si>
    <t>Fresno, CA</t>
  </si>
  <si>
    <t>Long Beach, CA</t>
  </si>
  <si>
    <t>Los Angeles AP, CA</t>
  </si>
  <si>
    <t>Redding, CA</t>
  </si>
  <si>
    <t>Sacramento, CA</t>
  </si>
  <si>
    <t>San Diego, CA</t>
  </si>
  <si>
    <t>San Francisco AP, CA</t>
  </si>
  <si>
    <t>Santa Barbara, CA</t>
  </si>
  <si>
    <t>Santa Maria, CA</t>
  </si>
  <si>
    <t>Stockton, CA</t>
  </si>
  <si>
    <t>Alamosa, CO</t>
  </si>
  <si>
    <t>Colorado Springs, CO</t>
  </si>
  <si>
    <t>Denver, CO</t>
  </si>
  <si>
    <t>Grand Junction, CO</t>
  </si>
  <si>
    <t>Limon, CO</t>
  </si>
  <si>
    <t>Pueblo, CO</t>
  </si>
  <si>
    <t>Bridgeport, CT</t>
  </si>
  <si>
    <t>Hartford, CT</t>
  </si>
  <si>
    <t>Wilmington_DE, DE</t>
  </si>
  <si>
    <t>Daytona Beach, FL</t>
  </si>
  <si>
    <t>Fort Myers, FL</t>
  </si>
  <si>
    <t>Gainesville, FL</t>
  </si>
  <si>
    <t>Jacksonville, FL</t>
  </si>
  <si>
    <t>Key West, FL</t>
  </si>
  <si>
    <t>Miami, FL</t>
  </si>
  <si>
    <t>Orlando, FL</t>
  </si>
  <si>
    <t>Pensacola, FL</t>
  </si>
  <si>
    <t>Tallahassee, FL</t>
  </si>
  <si>
    <t>Tampa, FL</t>
  </si>
  <si>
    <t>Vero Beach, FL</t>
  </si>
  <si>
    <t>West Palm Beach, FL</t>
  </si>
  <si>
    <t>Athens, GA</t>
  </si>
  <si>
    <t>Atlanta, GA</t>
  </si>
  <si>
    <t>Augusta, GA</t>
  </si>
  <si>
    <t>Columbus, GA</t>
  </si>
  <si>
    <t>Macon, GA</t>
  </si>
  <si>
    <t>Savannah, GA</t>
  </si>
  <si>
    <t>Hilo, HI</t>
  </si>
  <si>
    <t>Honolulu, HI</t>
  </si>
  <si>
    <t>Kahului, HI</t>
  </si>
  <si>
    <t>Lihue, HI</t>
  </si>
  <si>
    <t>Boise, ID</t>
  </si>
  <si>
    <t>Lewiston, ID</t>
  </si>
  <si>
    <t>Pocatello, ID</t>
  </si>
  <si>
    <t>Chicago, IL</t>
  </si>
  <si>
    <t>Moline, IL</t>
  </si>
  <si>
    <t>Peoria, IL</t>
  </si>
  <si>
    <t>Rockford, IL</t>
  </si>
  <si>
    <t>Springfield_IL, IL</t>
  </si>
  <si>
    <t>Evansville, IN</t>
  </si>
  <si>
    <t>Fort Wayne, IN</t>
  </si>
  <si>
    <t>Indianapolis, IN</t>
  </si>
  <si>
    <t>South Bend, IN</t>
  </si>
  <si>
    <t>Des Moines, IA</t>
  </si>
  <si>
    <t>Dubuque, IA</t>
  </si>
  <si>
    <t>Mason City, IA</t>
  </si>
  <si>
    <t>Sioux City, IA</t>
  </si>
  <si>
    <t>Waterloo, IA</t>
  </si>
  <si>
    <t>Concordia, KS</t>
  </si>
  <si>
    <t>Dodge City, KS</t>
  </si>
  <si>
    <t>Goodland, KS</t>
  </si>
  <si>
    <t>Russell, KS</t>
  </si>
  <si>
    <t>Topeka, KS</t>
  </si>
  <si>
    <t>Wichita, KS</t>
  </si>
  <si>
    <t>Cincinnati, KY</t>
  </si>
  <si>
    <t>Jackson_KY, KY</t>
  </si>
  <si>
    <t>Lexington, KY</t>
  </si>
  <si>
    <t>Louisville, KY</t>
  </si>
  <si>
    <t>Paducah, KY</t>
  </si>
  <si>
    <t>Baton Rouge, LA</t>
  </si>
  <si>
    <t>Lake Charles, LA</t>
  </si>
  <si>
    <t>New Orleans, LA</t>
  </si>
  <si>
    <t>Shreveport, LA</t>
  </si>
  <si>
    <t>Bangor, ME</t>
  </si>
  <si>
    <t>Caribou, ME</t>
  </si>
  <si>
    <t>Portland, ME</t>
  </si>
  <si>
    <t>Baltimore , MD</t>
  </si>
  <si>
    <t>Boston, MA</t>
  </si>
  <si>
    <t>Worchester, MA</t>
  </si>
  <si>
    <t>Alpena, MI</t>
  </si>
  <si>
    <t>Detroit Metro_AP, MI</t>
  </si>
  <si>
    <t>Detroit - City, MI</t>
  </si>
  <si>
    <t>Flint, MI</t>
  </si>
  <si>
    <t>Grand Rapids, MI</t>
  </si>
  <si>
    <t>Houghton Lake, MI</t>
  </si>
  <si>
    <t>Lansing, MI</t>
  </si>
  <si>
    <t>Muskegon, MI</t>
  </si>
  <si>
    <t>Sault Ste Marie, MI</t>
  </si>
  <si>
    <t>Traverse City, MI</t>
  </si>
  <si>
    <t>Duluth, MN</t>
  </si>
  <si>
    <t>International Falls, MN</t>
  </si>
  <si>
    <t>Minneapolis-St Paul, MN</t>
  </si>
  <si>
    <t>Rochester_MN, MN</t>
  </si>
  <si>
    <t>St Cloud, MN</t>
  </si>
  <si>
    <t>Jackson, MS</t>
  </si>
  <si>
    <t>Meridian, MS</t>
  </si>
  <si>
    <t>Tupelo, MS</t>
  </si>
  <si>
    <t>Columbia_MO, MO</t>
  </si>
  <si>
    <t>Kansas City, MO</t>
  </si>
  <si>
    <t>Springfield_MO, MO</t>
  </si>
  <si>
    <t>St Louis - Lambert, MO</t>
  </si>
  <si>
    <t>St Louis - Spirit, MO</t>
  </si>
  <si>
    <t>Billings, MT</t>
  </si>
  <si>
    <t>Glasgow, MT</t>
  </si>
  <si>
    <t>Great Falls, MT</t>
  </si>
  <si>
    <t>Harve City, MT</t>
  </si>
  <si>
    <t>Helena, MT</t>
  </si>
  <si>
    <t>Kalispell, MT</t>
  </si>
  <si>
    <t>Missoula, MT</t>
  </si>
  <si>
    <t>Grand Island, NE</t>
  </si>
  <si>
    <t>Lincoln, NE</t>
  </si>
  <si>
    <t>Norfolk_NE, NE</t>
  </si>
  <si>
    <t>North Platte, NE</t>
  </si>
  <si>
    <t>Omaha, NE</t>
  </si>
  <si>
    <t>Scottsbluff, NE</t>
  </si>
  <si>
    <t>Valentine, NE</t>
  </si>
  <si>
    <t>Ely, NV</t>
  </si>
  <si>
    <t>Las Vegas, NV</t>
  </si>
  <si>
    <t>Lovelock, NV</t>
  </si>
  <si>
    <t>Mercury, NV</t>
  </si>
  <si>
    <t>Reno, NV</t>
  </si>
  <si>
    <t>Tonopah, NV</t>
  </si>
  <si>
    <t>Winnemucca, NV</t>
  </si>
  <si>
    <t>Concord, NH</t>
  </si>
  <si>
    <t>Atlantic City, NJ</t>
  </si>
  <si>
    <t>Newark, NJ</t>
  </si>
  <si>
    <t>Albuquerque, NM</t>
  </si>
  <si>
    <t>Gallup, NM</t>
  </si>
  <si>
    <t>Roswell, NM</t>
  </si>
  <si>
    <t>Albany, NY</t>
  </si>
  <si>
    <t>Binghamton, NY</t>
  </si>
  <si>
    <t>Buffalo, NY</t>
  </si>
  <si>
    <t>Long Island, NY</t>
  </si>
  <si>
    <t>Massena, NY</t>
  </si>
  <si>
    <t>New York-LaGuardia, NY</t>
  </si>
  <si>
    <t>New York-Kennedy, NY</t>
  </si>
  <si>
    <t>Rochester, NY</t>
  </si>
  <si>
    <t>Syracuse, NY</t>
  </si>
  <si>
    <t>Asheville, NC</t>
  </si>
  <si>
    <t>Charlotte, NC</t>
  </si>
  <si>
    <t>Raleigh-Durham, NC</t>
  </si>
  <si>
    <t>Greensboro, NC</t>
  </si>
  <si>
    <t>Wilmington, NC</t>
  </si>
  <si>
    <t>Bismarck, ND</t>
  </si>
  <si>
    <t>Fargo, ND</t>
  </si>
  <si>
    <t>Minot, ND</t>
  </si>
  <si>
    <t>Williston, ND</t>
  </si>
  <si>
    <t>Akron, OH</t>
  </si>
  <si>
    <t>Cleveland, OH</t>
  </si>
  <si>
    <t>Columbus_OH, OH</t>
  </si>
  <si>
    <t>Dayton, OH</t>
  </si>
  <si>
    <t>Mansfield, OH</t>
  </si>
  <si>
    <t>Toledo, OH</t>
  </si>
  <si>
    <t>Youngstown, OH</t>
  </si>
  <si>
    <t>Oklahoma City, OK</t>
  </si>
  <si>
    <t>Tulsa, OK</t>
  </si>
  <si>
    <t>Astoria, OR</t>
  </si>
  <si>
    <t>Burns, OR</t>
  </si>
  <si>
    <t>Eugene, OR</t>
  </si>
  <si>
    <t>Medford, OR</t>
  </si>
  <si>
    <t>Pendleton, OR</t>
  </si>
  <si>
    <t>Salem, OR</t>
  </si>
  <si>
    <t>Allentown, PA</t>
  </si>
  <si>
    <t>Bradford, PA</t>
  </si>
  <si>
    <t>Erie, PA</t>
  </si>
  <si>
    <t>Middletown, PA</t>
  </si>
  <si>
    <t>Philadelphia, PA</t>
  </si>
  <si>
    <t>Pittsburgh, PA</t>
  </si>
  <si>
    <t>Scranton, PA</t>
  </si>
  <si>
    <t>Williamsport, PA</t>
  </si>
  <si>
    <t>Providence, RI</t>
  </si>
  <si>
    <t>Charleston, SC</t>
  </si>
  <si>
    <t>Columbia, SC</t>
  </si>
  <si>
    <t>Greer, SC</t>
  </si>
  <si>
    <t>Aberdeen, SD</t>
  </si>
  <si>
    <t>Huron, SD</t>
  </si>
  <si>
    <t>Pierre, SD</t>
  </si>
  <si>
    <t>Rapid City, SD</t>
  </si>
  <si>
    <t>Sioux Falls, SD</t>
  </si>
  <si>
    <t>Bristol, TN</t>
  </si>
  <si>
    <t>Chattanooga, TN</t>
  </si>
  <si>
    <t>Knoxville, TN</t>
  </si>
  <si>
    <t>Memphis, TN</t>
  </si>
  <si>
    <t>Nashville, TN</t>
  </si>
  <si>
    <t>Abilene, TX</t>
  </si>
  <si>
    <t>Amarillo, TX</t>
  </si>
  <si>
    <t>Austin, TX</t>
  </si>
  <si>
    <t>Brownsville, TX</t>
  </si>
  <si>
    <t>Corpus Christi, TX</t>
  </si>
  <si>
    <t>Dallas-Fort Worth, TX</t>
  </si>
  <si>
    <t>El Paso, TX</t>
  </si>
  <si>
    <t>Houston, TX</t>
  </si>
  <si>
    <t>Lubbock, TX</t>
  </si>
  <si>
    <t>Lufkin, TX</t>
  </si>
  <si>
    <t>Midland, TX</t>
  </si>
  <si>
    <t>Port Arthur, TX</t>
  </si>
  <si>
    <t>San Angelo, TX</t>
  </si>
  <si>
    <t>San Antonio, TX</t>
  </si>
  <si>
    <t>Victoria, TX</t>
  </si>
  <si>
    <t>Waco, TX</t>
  </si>
  <si>
    <t>Cedar City, UT</t>
  </si>
  <si>
    <t>Salt Lake City, UT</t>
  </si>
  <si>
    <t>Burlington, VT</t>
  </si>
  <si>
    <t>DC-Dulles, VA</t>
  </si>
  <si>
    <t>DC-Reagan, VA</t>
  </si>
  <si>
    <t>Lynchburg, VA</t>
  </si>
  <si>
    <t>Norfolk, VA</t>
  </si>
  <si>
    <t>Richmond, VA</t>
  </si>
  <si>
    <t>Roanoke, VA</t>
  </si>
  <si>
    <t>Olympia, WA</t>
  </si>
  <si>
    <t>Quillayute, WA</t>
  </si>
  <si>
    <t>Seattle, WA</t>
  </si>
  <si>
    <t>Spokane, WA</t>
  </si>
  <si>
    <t>Stampede Pass, WA</t>
  </si>
  <si>
    <t>Yakima, WA</t>
  </si>
  <si>
    <t>Beckley, WV</t>
  </si>
  <si>
    <t>Charleston, WV</t>
  </si>
  <si>
    <t>Elkins, WV</t>
  </si>
  <si>
    <t>Huntington, WV</t>
  </si>
  <si>
    <t>Eau Claire, WI</t>
  </si>
  <si>
    <t>Green Bay, WI</t>
  </si>
  <si>
    <t>La Crosse, WI</t>
  </si>
  <si>
    <t>Madison, WI</t>
  </si>
  <si>
    <t>Milwaukee, WI</t>
  </si>
  <si>
    <t>Casper, WY</t>
  </si>
  <si>
    <t>Cheyenne, WY</t>
  </si>
  <si>
    <t>Lander, WY</t>
  </si>
  <si>
    <t>Rock Springs, WY</t>
  </si>
  <si>
    <t>Sheridan, WY</t>
  </si>
  <si>
    <t>Reference</t>
  </si>
  <si>
    <t/>
  </si>
  <si>
    <t>Weather_Index Column</t>
  </si>
  <si>
    <t>Weather_Data Column</t>
  </si>
  <si>
    <t>Variable/Calculation</t>
  </si>
  <si>
    <r>
      <t>T</t>
    </r>
    <r>
      <rPr>
        <vertAlign val="subscript"/>
        <sz val="11"/>
        <color theme="1"/>
        <rFont val="Calibri"/>
        <family val="2"/>
        <scheme val="minor"/>
      </rPr>
      <t>AN</t>
    </r>
  </si>
  <si>
    <r>
      <t>T</t>
    </r>
    <r>
      <rPr>
        <vertAlign val="subscript"/>
        <sz val="11"/>
        <color theme="1"/>
        <rFont val="Calibri"/>
        <family val="2"/>
        <scheme val="minor"/>
      </rPr>
      <t>AX</t>
    </r>
  </si>
  <si>
    <r>
      <rPr>
        <sz val="11"/>
        <color theme="1"/>
        <rFont val="Calibri"/>
        <family val="2"/>
      </rPr>
      <t>Δ</t>
    </r>
    <r>
      <rPr>
        <sz val="11"/>
        <color theme="1"/>
        <rFont val="Calibri"/>
        <family val="2"/>
        <scheme val="minor"/>
      </rPr>
      <t>T</t>
    </r>
    <r>
      <rPr>
        <vertAlign val="subscript"/>
        <sz val="11"/>
        <color theme="1"/>
        <rFont val="Calibri"/>
        <family val="2"/>
        <scheme val="minor"/>
      </rPr>
      <t>A</t>
    </r>
  </si>
  <si>
    <r>
      <t>α</t>
    </r>
    <r>
      <rPr>
        <vertAlign val="subscript"/>
        <sz val="11"/>
        <color theme="1"/>
        <rFont val="Calibri"/>
        <family val="2"/>
      </rPr>
      <t>R</t>
    </r>
  </si>
  <si>
    <r>
      <t>α</t>
    </r>
    <r>
      <rPr>
        <vertAlign val="subscript"/>
        <sz val="11"/>
        <color theme="1"/>
        <rFont val="Calibri"/>
        <family val="2"/>
      </rPr>
      <t>S</t>
    </r>
  </si>
  <si>
    <t>Paint_Cond_Column</t>
  </si>
  <si>
    <t>Column Ref</t>
  </si>
  <si>
    <t>FX_Input Column Reference</t>
  </si>
  <si>
    <t>FX_Calc_Column</t>
  </si>
  <si>
    <t>FX_Calc Column</t>
  </si>
  <si>
    <t>HS</t>
  </si>
  <si>
    <t>Alpha_R</t>
  </si>
  <si>
    <t>Alpha_S</t>
  </si>
  <si>
    <r>
      <rPr>
        <sz val="11"/>
        <color theme="1"/>
        <rFont val="Calibri"/>
        <family val="2"/>
      </rPr>
      <t>Δ</t>
    </r>
    <r>
      <rPr>
        <sz val="11"/>
        <color theme="1"/>
        <rFont val="Calibri"/>
        <family val="2"/>
        <scheme val="minor"/>
      </rPr>
      <t>T</t>
    </r>
    <r>
      <rPr>
        <vertAlign val="subscript"/>
        <sz val="11"/>
        <color theme="1"/>
        <rFont val="Calibri"/>
        <family val="2"/>
        <scheme val="minor"/>
      </rPr>
      <t>V</t>
    </r>
  </si>
  <si>
    <r>
      <t>T</t>
    </r>
    <r>
      <rPr>
        <vertAlign val="subscript"/>
        <sz val="11"/>
        <color theme="1"/>
        <rFont val="Calibri"/>
        <family val="2"/>
        <scheme val="minor"/>
      </rPr>
      <t>AA</t>
    </r>
  </si>
  <si>
    <r>
      <t>T</t>
    </r>
    <r>
      <rPr>
        <vertAlign val="subscript"/>
        <sz val="11"/>
        <color theme="1"/>
        <rFont val="Calibri"/>
        <family val="2"/>
        <scheme val="minor"/>
      </rPr>
      <t>B</t>
    </r>
  </si>
  <si>
    <r>
      <t>T</t>
    </r>
    <r>
      <rPr>
        <vertAlign val="subscript"/>
        <sz val="11"/>
        <color theme="1"/>
        <rFont val="Calibri"/>
        <family val="2"/>
        <scheme val="minor"/>
      </rPr>
      <t>LN</t>
    </r>
  </si>
  <si>
    <r>
      <t>T</t>
    </r>
    <r>
      <rPr>
        <vertAlign val="subscript"/>
        <sz val="11"/>
        <color theme="1"/>
        <rFont val="Calibri"/>
        <family val="2"/>
        <scheme val="minor"/>
      </rPr>
      <t>LX</t>
    </r>
  </si>
  <si>
    <t>Comp1</t>
  </si>
  <si>
    <t>Comp2</t>
  </si>
  <si>
    <t>Type1</t>
  </si>
  <si>
    <t>Type2</t>
  </si>
  <si>
    <t>MW1</t>
  </si>
  <si>
    <t>MW2</t>
  </si>
  <si>
    <t>ρ1</t>
  </si>
  <si>
    <t>ρ2</t>
  </si>
  <si>
    <t>ρTotal</t>
  </si>
  <si>
    <t>y1</t>
  </si>
  <si>
    <t>y2</t>
  </si>
  <si>
    <t>x1</t>
  </si>
  <si>
    <t>x2</t>
  </si>
  <si>
    <t>Slope</t>
  </si>
  <si>
    <t>Intercept</t>
  </si>
  <si>
    <t>Month #</t>
  </si>
  <si>
    <t>MolT</t>
  </si>
  <si>
    <t>Fixed Roof Multicomp</t>
  </si>
  <si>
    <t>Mass1</t>
  </si>
  <si>
    <t>Mass2</t>
  </si>
  <si>
    <t>Tank#</t>
  </si>
  <si>
    <t>Loc</t>
  </si>
  <si>
    <t>Tjan</t>
  </si>
  <si>
    <t>Tfeb</t>
  </si>
  <si>
    <r>
      <t>T</t>
    </r>
    <r>
      <rPr>
        <vertAlign val="subscript"/>
        <sz val="11"/>
        <color theme="1"/>
        <rFont val="Calibri"/>
        <family val="2"/>
        <scheme val="minor"/>
      </rPr>
      <t>LA</t>
    </r>
  </si>
  <si>
    <r>
      <t>T</t>
    </r>
    <r>
      <rPr>
        <vertAlign val="subscript"/>
        <sz val="11"/>
        <color theme="1"/>
        <rFont val="Calibri"/>
        <family val="2"/>
        <scheme val="minor"/>
      </rPr>
      <t>V</t>
    </r>
  </si>
  <si>
    <t>FX_Calc Row</t>
  </si>
  <si>
    <t>1-37 Notes</t>
  </si>
  <si>
    <t>Maximum Liquid Height</t>
  </si>
  <si>
    <t>Minimum Liquid Height</t>
  </si>
  <si>
    <t>α</t>
  </si>
  <si>
    <t>Tank Shell Solar Absorptance</t>
  </si>
  <si>
    <t>Alpha</t>
  </si>
  <si>
    <t>Tank Roof Solar Absorptance</t>
  </si>
  <si>
    <t>Average Solar Absorptance</t>
  </si>
  <si>
    <r>
      <t>P</t>
    </r>
    <r>
      <rPr>
        <vertAlign val="subscript"/>
        <sz val="11"/>
        <color theme="1"/>
        <rFont val="Calibri"/>
        <family val="2"/>
        <scheme val="minor"/>
      </rPr>
      <t>A</t>
    </r>
  </si>
  <si>
    <r>
      <t>P</t>
    </r>
    <r>
      <rPr>
        <vertAlign val="subscript"/>
        <sz val="11"/>
        <color theme="1"/>
        <rFont val="Calibri"/>
        <family val="2"/>
        <scheme val="minor"/>
      </rPr>
      <t>BP</t>
    </r>
  </si>
  <si>
    <r>
      <t>P</t>
    </r>
    <r>
      <rPr>
        <vertAlign val="subscript"/>
        <sz val="11"/>
        <color theme="1"/>
        <rFont val="Calibri"/>
        <family val="2"/>
        <scheme val="minor"/>
      </rPr>
      <t>BV</t>
    </r>
  </si>
  <si>
    <t>Comp 1 Type</t>
  </si>
  <si>
    <t>Comp 1 Name</t>
  </si>
  <si>
    <t>Comp 2 Name</t>
  </si>
  <si>
    <t>Comp 2 Type</t>
  </si>
  <si>
    <r>
      <t>x</t>
    </r>
    <r>
      <rPr>
        <vertAlign val="subscript"/>
        <sz val="11"/>
        <color theme="1"/>
        <rFont val="Calibri"/>
        <family val="2"/>
        <scheme val="minor"/>
      </rPr>
      <t>1</t>
    </r>
  </si>
  <si>
    <r>
      <t>MW</t>
    </r>
    <r>
      <rPr>
        <vertAlign val="subscript"/>
        <sz val="11"/>
        <color theme="1"/>
        <rFont val="Calibri"/>
        <family val="2"/>
        <scheme val="minor"/>
      </rPr>
      <t>1</t>
    </r>
  </si>
  <si>
    <r>
      <t>x</t>
    </r>
    <r>
      <rPr>
        <vertAlign val="subscript"/>
        <sz val="11"/>
        <color theme="1"/>
        <rFont val="Calibri"/>
        <family val="2"/>
        <scheme val="minor"/>
      </rPr>
      <t>2</t>
    </r>
  </si>
  <si>
    <r>
      <t>MW</t>
    </r>
    <r>
      <rPr>
        <vertAlign val="subscript"/>
        <sz val="11"/>
        <color theme="1"/>
        <rFont val="Calibri"/>
        <family val="2"/>
        <scheme val="minor"/>
      </rPr>
      <t>2</t>
    </r>
  </si>
  <si>
    <r>
      <t>P</t>
    </r>
    <r>
      <rPr>
        <vertAlign val="subscript"/>
        <sz val="11"/>
        <color theme="1"/>
        <rFont val="Calibri"/>
        <family val="2"/>
        <scheme val="minor"/>
      </rPr>
      <t>VN1</t>
    </r>
  </si>
  <si>
    <r>
      <t>P</t>
    </r>
    <r>
      <rPr>
        <vertAlign val="subscript"/>
        <sz val="11"/>
        <color theme="1"/>
        <rFont val="Calibri"/>
        <family val="2"/>
        <scheme val="minor"/>
      </rPr>
      <t>VN2</t>
    </r>
  </si>
  <si>
    <r>
      <t>x</t>
    </r>
    <r>
      <rPr>
        <vertAlign val="subscript"/>
        <sz val="11"/>
        <color theme="1"/>
        <rFont val="Calibri"/>
        <family val="2"/>
        <scheme val="minor"/>
      </rPr>
      <t>1</t>
    </r>
    <r>
      <rPr>
        <sz val="11"/>
        <color theme="1"/>
        <rFont val="Calibri"/>
        <family val="2"/>
        <scheme val="minor"/>
      </rPr>
      <t>P</t>
    </r>
    <r>
      <rPr>
        <vertAlign val="subscript"/>
        <sz val="11"/>
        <color theme="1"/>
        <rFont val="Calibri"/>
        <family val="2"/>
        <scheme val="minor"/>
      </rPr>
      <t>VN1</t>
    </r>
  </si>
  <si>
    <r>
      <t>x</t>
    </r>
    <r>
      <rPr>
        <vertAlign val="subscript"/>
        <sz val="11"/>
        <color theme="1"/>
        <rFont val="Calibri"/>
        <family val="2"/>
        <scheme val="minor"/>
      </rPr>
      <t>2</t>
    </r>
    <r>
      <rPr>
        <sz val="11"/>
        <color theme="1"/>
        <rFont val="Calibri"/>
        <family val="2"/>
        <scheme val="minor"/>
      </rPr>
      <t>P</t>
    </r>
    <r>
      <rPr>
        <vertAlign val="subscript"/>
        <sz val="11"/>
        <color theme="1"/>
        <rFont val="Calibri"/>
        <family val="2"/>
        <scheme val="minor"/>
      </rPr>
      <t>VN2</t>
    </r>
  </si>
  <si>
    <r>
      <t>P</t>
    </r>
    <r>
      <rPr>
        <vertAlign val="subscript"/>
        <sz val="11"/>
        <color theme="1"/>
        <rFont val="Calibri"/>
        <family val="2"/>
        <scheme val="minor"/>
      </rPr>
      <t>VNT</t>
    </r>
  </si>
  <si>
    <r>
      <t>P</t>
    </r>
    <r>
      <rPr>
        <vertAlign val="subscript"/>
        <sz val="11"/>
        <color theme="1"/>
        <rFont val="Calibri"/>
        <family val="2"/>
        <scheme val="minor"/>
      </rPr>
      <t>VX1</t>
    </r>
  </si>
  <si>
    <r>
      <t>x</t>
    </r>
    <r>
      <rPr>
        <vertAlign val="subscript"/>
        <sz val="11"/>
        <color theme="1"/>
        <rFont val="Calibri"/>
        <family val="2"/>
        <scheme val="minor"/>
      </rPr>
      <t>1</t>
    </r>
    <r>
      <rPr>
        <sz val="11"/>
        <color theme="1"/>
        <rFont val="Calibri"/>
        <family val="2"/>
        <scheme val="minor"/>
      </rPr>
      <t>P</t>
    </r>
    <r>
      <rPr>
        <vertAlign val="subscript"/>
        <sz val="11"/>
        <color theme="1"/>
        <rFont val="Calibri"/>
        <family val="2"/>
        <scheme val="minor"/>
      </rPr>
      <t>VX1</t>
    </r>
  </si>
  <si>
    <r>
      <t>P</t>
    </r>
    <r>
      <rPr>
        <vertAlign val="subscript"/>
        <sz val="11"/>
        <color theme="1"/>
        <rFont val="Calibri"/>
        <family val="2"/>
        <scheme val="minor"/>
      </rPr>
      <t>VX2</t>
    </r>
  </si>
  <si>
    <r>
      <t>x</t>
    </r>
    <r>
      <rPr>
        <vertAlign val="subscript"/>
        <sz val="11"/>
        <color theme="1"/>
        <rFont val="Calibri"/>
        <family val="2"/>
        <scheme val="minor"/>
      </rPr>
      <t>2</t>
    </r>
    <r>
      <rPr>
        <sz val="11"/>
        <color theme="1"/>
        <rFont val="Calibri"/>
        <family val="2"/>
        <scheme val="minor"/>
      </rPr>
      <t>P</t>
    </r>
    <r>
      <rPr>
        <vertAlign val="subscript"/>
        <sz val="11"/>
        <color theme="1"/>
        <rFont val="Calibri"/>
        <family val="2"/>
        <scheme val="minor"/>
      </rPr>
      <t>VX2</t>
    </r>
  </si>
  <si>
    <r>
      <t>P</t>
    </r>
    <r>
      <rPr>
        <vertAlign val="subscript"/>
        <sz val="11"/>
        <color theme="1"/>
        <rFont val="Calibri"/>
        <family val="2"/>
        <scheme val="minor"/>
      </rPr>
      <t>VXT</t>
    </r>
  </si>
  <si>
    <r>
      <t>y</t>
    </r>
    <r>
      <rPr>
        <vertAlign val="subscript"/>
        <sz val="11"/>
        <color theme="1"/>
        <rFont val="Calibri"/>
        <family val="2"/>
        <scheme val="minor"/>
      </rPr>
      <t>1</t>
    </r>
  </si>
  <si>
    <r>
      <t>MW</t>
    </r>
    <r>
      <rPr>
        <vertAlign val="subscript"/>
        <sz val="11"/>
        <color theme="1"/>
        <rFont val="Calibri"/>
        <family val="2"/>
        <scheme val="minor"/>
      </rPr>
      <t>V1</t>
    </r>
  </si>
  <si>
    <r>
      <t>y</t>
    </r>
    <r>
      <rPr>
        <vertAlign val="subscript"/>
        <sz val="11"/>
        <color theme="1"/>
        <rFont val="Calibri"/>
        <family val="2"/>
        <scheme val="minor"/>
      </rPr>
      <t>2</t>
    </r>
  </si>
  <si>
    <r>
      <t>MW</t>
    </r>
    <r>
      <rPr>
        <vertAlign val="subscript"/>
        <sz val="11"/>
        <color theme="1"/>
        <rFont val="Calibri"/>
        <family val="2"/>
        <scheme val="minor"/>
      </rPr>
      <t>V2</t>
    </r>
  </si>
  <si>
    <r>
      <t>MW</t>
    </r>
    <r>
      <rPr>
        <vertAlign val="subscript"/>
        <sz val="11"/>
        <color theme="1"/>
        <rFont val="Calibri"/>
        <family val="2"/>
        <scheme val="minor"/>
      </rPr>
      <t>VT</t>
    </r>
  </si>
  <si>
    <t>Other</t>
  </si>
  <si>
    <t>FX_Multi Column</t>
  </si>
  <si>
    <t>FX_Multi Row</t>
  </si>
  <si>
    <t>FX_Temp Column</t>
  </si>
  <si>
    <t>FX_Temp Row</t>
  </si>
  <si>
    <t>Antoine Coefficients</t>
  </si>
  <si>
    <t>log(P) = A-B/(T+C) where P is in mmHg and T is in Celsius</t>
  </si>
  <si>
    <t>compound name</t>
  </si>
  <si>
    <t>A</t>
  </si>
  <si>
    <t>B</t>
  </si>
  <si>
    <t>C</t>
  </si>
  <si>
    <t>carbon-tetrachloride</t>
  </si>
  <si>
    <t>trichlorofluoromethane</t>
  </si>
  <si>
    <t>dichlorodifluoromethane</t>
  </si>
  <si>
    <t>chlorotrifluoromethane</t>
  </si>
  <si>
    <t>carbon-tetrafluoride</t>
  </si>
  <si>
    <t>carbon-monoxide</t>
  </si>
  <si>
    <t>carbon-dioxide</t>
  </si>
  <si>
    <t>carbonyl-sulfide</t>
  </si>
  <si>
    <t>carbon-disulfide</t>
  </si>
  <si>
    <t>chloroform</t>
  </si>
  <si>
    <t>dichlorofluoromethane</t>
  </si>
  <si>
    <t>chlorodifluoromethane</t>
  </si>
  <si>
    <t>trifluoromethane</t>
  </si>
  <si>
    <t>triiodomethane</t>
  </si>
  <si>
    <t>isothiocyanic-acid</t>
  </si>
  <si>
    <t>dichloromethane</t>
  </si>
  <si>
    <t>chlorofluoromethane</t>
  </si>
  <si>
    <t>difluoromethane</t>
  </si>
  <si>
    <t>diiodomethane</t>
  </si>
  <si>
    <t>formaldehyde</t>
  </si>
  <si>
    <t>formic-acid</t>
  </si>
  <si>
    <t>bromomethane</t>
  </si>
  <si>
    <t>chloromethane</t>
  </si>
  <si>
    <t>fluoromethane</t>
  </si>
  <si>
    <t>iodomethane</t>
  </si>
  <si>
    <t>nitromethane</t>
  </si>
  <si>
    <t>methyl-nitrite</t>
  </si>
  <si>
    <t>methyl-nitrate</t>
  </si>
  <si>
    <t>methane</t>
  </si>
  <si>
    <t>methanol</t>
  </si>
  <si>
    <t>methanethiol</t>
  </si>
  <si>
    <t>methylamine</t>
  </si>
  <si>
    <t>tetrachloroethene</t>
  </si>
  <si>
    <t>hexachloroethane</t>
  </si>
  <si>
    <t>112trichlorotrifluoroethane</t>
  </si>
  <si>
    <t>12dichlorotetrafluoroethane</t>
  </si>
  <si>
    <t>chloropentafluoroethane</t>
  </si>
  <si>
    <t>tetrafluoroethene</t>
  </si>
  <si>
    <t>hexafluoroethane</t>
  </si>
  <si>
    <t>cyanogen</t>
  </si>
  <si>
    <t>trichloroethene</t>
  </si>
  <si>
    <t>pentachloroethane</t>
  </si>
  <si>
    <t>trifluoroethene</t>
  </si>
  <si>
    <t>acetylene(ethyne)</t>
  </si>
  <si>
    <t>1,1-dichloroethene</t>
  </si>
  <si>
    <t>cis-1,2-dichloroethene</t>
  </si>
  <si>
    <t>trans-1,2-dichloroethene</t>
  </si>
  <si>
    <t>1,1,2,2-tetrachloroethane</t>
  </si>
  <si>
    <t>1,1-difluoroethene</t>
  </si>
  <si>
    <t>cis-1,2-difluoroethene</t>
  </si>
  <si>
    <t>trans-1,2-difluoroethene</t>
  </si>
  <si>
    <t>ketene</t>
  </si>
  <si>
    <t>bromoethylene</t>
  </si>
  <si>
    <t>chloroethene</t>
  </si>
  <si>
    <t>1,1,2-trichloroethane</t>
  </si>
  <si>
    <t>acetyl-chloride</t>
  </si>
  <si>
    <t>fluoroethene</t>
  </si>
  <si>
    <t>1,1,1-trifluoroethane</t>
  </si>
  <si>
    <t>acetonitrile</t>
  </si>
  <si>
    <t>ethylene</t>
  </si>
  <si>
    <t>1,2-dibromoethane</t>
  </si>
  <si>
    <t>1,1-dichloroethane</t>
  </si>
  <si>
    <t>1,2-dichloroethane</t>
  </si>
  <si>
    <t>1,1-difluoroethane</t>
  </si>
  <si>
    <t>1,2-diiodoethane</t>
  </si>
  <si>
    <t>ethylene-oxide</t>
  </si>
  <si>
    <t>acetaldehyde</t>
  </si>
  <si>
    <t>acetic-acid</t>
  </si>
  <si>
    <t>methyl-formate</t>
  </si>
  <si>
    <t>thioacetic-acid</t>
  </si>
  <si>
    <t>thiacyclopropane</t>
  </si>
  <si>
    <t>bromoethane</t>
  </si>
  <si>
    <t>chloroethane</t>
  </si>
  <si>
    <t>fluoroethane</t>
  </si>
  <si>
    <t>iodoethane</t>
  </si>
  <si>
    <t>ethylenimine</t>
  </si>
  <si>
    <t>nitroethane</t>
  </si>
  <si>
    <t>ethyl-nitrate</t>
  </si>
  <si>
    <t>ethane</t>
  </si>
  <si>
    <t>methyl-ether</t>
  </si>
  <si>
    <t>ethylene-glycol</t>
  </si>
  <si>
    <t>methyl-sulfide</t>
  </si>
  <si>
    <t>ethanethiol</t>
  </si>
  <si>
    <t>methyl-disulfide</t>
  </si>
  <si>
    <t>ethylamine</t>
  </si>
  <si>
    <t>dimethylamine</t>
  </si>
  <si>
    <t>acrylonitrile</t>
  </si>
  <si>
    <t>allene(propadiene)</t>
  </si>
  <si>
    <t>propyne(methylacetylene)</t>
  </si>
  <si>
    <t>acrylic-acid</t>
  </si>
  <si>
    <t>3-bromo-1-propene</t>
  </si>
  <si>
    <t>3-chloro-1-propene</t>
  </si>
  <si>
    <t>1,2,3-trichloropropane</t>
  </si>
  <si>
    <t>3-iodo-1-propene</t>
  </si>
  <si>
    <t>propionitrile</t>
  </si>
  <si>
    <t>propene</t>
  </si>
  <si>
    <t>cyclopropane</t>
  </si>
  <si>
    <t>1,2-dibromopropane</t>
  </si>
  <si>
    <t>1,2-dichloropropane</t>
  </si>
  <si>
    <t>1,3-dichloropropane</t>
  </si>
  <si>
    <t>2,2-dichloropropane</t>
  </si>
  <si>
    <t>1,2-diiodopropane</t>
  </si>
  <si>
    <t>propylene-oxide</t>
  </si>
  <si>
    <t>allyl-alcohol</t>
  </si>
  <si>
    <t>propionaldehyde</t>
  </si>
  <si>
    <t>acetone</t>
  </si>
  <si>
    <t>thiacyclobutane</t>
  </si>
  <si>
    <t>1-bromopropane</t>
  </si>
  <si>
    <t>2-bromopropane</t>
  </si>
  <si>
    <t>1-chloropropane</t>
  </si>
  <si>
    <t>2-chloropropane</t>
  </si>
  <si>
    <t>1-fluoropropane</t>
  </si>
  <si>
    <t>2-fluoropropane</t>
  </si>
  <si>
    <t>1-iodopropane</t>
  </si>
  <si>
    <t>2-iodopropane</t>
  </si>
  <si>
    <t>1-nitropropane</t>
  </si>
  <si>
    <t>2-nitropropane</t>
  </si>
  <si>
    <t>propyl-nitrate</t>
  </si>
  <si>
    <t>isopropyl-nitrate</t>
  </si>
  <si>
    <t>propane</t>
  </si>
  <si>
    <t>ethyl-methyl-ether</t>
  </si>
  <si>
    <t>propyl-alcohol</t>
  </si>
  <si>
    <t>isopropyl-alcohol</t>
  </si>
  <si>
    <t>ethyl-methyl-sulfide</t>
  </si>
  <si>
    <t>1-propanethiol</t>
  </si>
  <si>
    <t>2-propanethiol</t>
  </si>
  <si>
    <t>propylamine</t>
  </si>
  <si>
    <t>trimethylamine</t>
  </si>
  <si>
    <t>octafluorocyclobutane</t>
  </si>
  <si>
    <t>butadiyne(biacetylene)</t>
  </si>
  <si>
    <t>1buten3yne(vinylacetylene)</t>
  </si>
  <si>
    <t>furan</t>
  </si>
  <si>
    <t>thiophene</t>
  </si>
  <si>
    <t>1,2-butadiene</t>
  </si>
  <si>
    <t>1,3-butadiene</t>
  </si>
  <si>
    <t>1-butyne(ethylacetylene)</t>
  </si>
  <si>
    <t>2-butyne(dimethylacetylene)</t>
  </si>
  <si>
    <t>cyclobutene</t>
  </si>
  <si>
    <t>acetic-anhydride</t>
  </si>
  <si>
    <t>butyronitrile</t>
  </si>
  <si>
    <t>isobutyronitrile</t>
  </si>
  <si>
    <t>1-butene</t>
  </si>
  <si>
    <t>2-butene,cis</t>
  </si>
  <si>
    <t>2-butene,trans</t>
  </si>
  <si>
    <t>2-methylpropene</t>
  </si>
  <si>
    <t>cyclobutane</t>
  </si>
  <si>
    <t>1,2-dibromobutane</t>
  </si>
  <si>
    <t>2,3-dibromobutane</t>
  </si>
  <si>
    <t>1,2-diiodobutane</t>
  </si>
  <si>
    <t>butyraldehyde</t>
  </si>
  <si>
    <t>2-butanone</t>
  </si>
  <si>
    <t>p-dioxane</t>
  </si>
  <si>
    <t>ethyl-acetate</t>
  </si>
  <si>
    <t>thiacyclopentane</t>
  </si>
  <si>
    <t>1-bromobutane</t>
  </si>
  <si>
    <t>2-bromobutane</t>
  </si>
  <si>
    <t>2-bromo-2-methylpropane</t>
  </si>
  <si>
    <t>1-chlorobutane</t>
  </si>
  <si>
    <t>2-chlorobutane</t>
  </si>
  <si>
    <t>1-chloro-2-methylpropane</t>
  </si>
  <si>
    <t>2-chloro-2-methylpropane</t>
  </si>
  <si>
    <t>2-iodo-2-methylpropane</t>
  </si>
  <si>
    <t>pyrrolidine</t>
  </si>
  <si>
    <t>1-nitrobutane</t>
  </si>
  <si>
    <t>2-nitrobutane</t>
  </si>
  <si>
    <t>butane</t>
  </si>
  <si>
    <t>2-methylpropane(isobutane)</t>
  </si>
  <si>
    <t>ethyl-ether</t>
  </si>
  <si>
    <t>methyl-propyl-ether</t>
  </si>
  <si>
    <t>methyl-isopropyl-ether</t>
  </si>
  <si>
    <t>butyl-alcohol</t>
  </si>
  <si>
    <t>sec-butyl-alcohol</t>
  </si>
  <si>
    <t>tert-butyl-alcohol</t>
  </si>
  <si>
    <t>ethylsulfide</t>
  </si>
  <si>
    <t>isopropyl-methyl-sulfide</t>
  </si>
  <si>
    <t>methyl-propyl-sulfide</t>
  </si>
  <si>
    <t>1-butanethiol</t>
  </si>
  <si>
    <t>2-butanethiol</t>
  </si>
  <si>
    <t>2-methyl-1-propanethiol</t>
  </si>
  <si>
    <t>2-methyl-2-propanethiol</t>
  </si>
  <si>
    <t>ethyl-disulfide</t>
  </si>
  <si>
    <t>butylamine</t>
  </si>
  <si>
    <t>sec-butylamine</t>
  </si>
  <si>
    <t>tert-butylamine</t>
  </si>
  <si>
    <t>diethylamine</t>
  </si>
  <si>
    <t>pyridine</t>
  </si>
  <si>
    <t>2-methylthiophene</t>
  </si>
  <si>
    <t>3-methylthiophene</t>
  </si>
  <si>
    <t>1,2-pentadiene</t>
  </si>
  <si>
    <t>1,3-pentadiene,cis</t>
  </si>
  <si>
    <t>1,3-pentadiene,trans</t>
  </si>
  <si>
    <t>1,4-pentadiene</t>
  </si>
  <si>
    <t>2,3-pentadiene</t>
  </si>
  <si>
    <t>3-methyl-1,2-butadiene</t>
  </si>
  <si>
    <t>2-methyl-1,3-butadiene</t>
  </si>
  <si>
    <t>1-pentyne</t>
  </si>
  <si>
    <t>2-pentyne</t>
  </si>
  <si>
    <t>3-methyl-1-butyne</t>
  </si>
  <si>
    <t>cyclopentene</t>
  </si>
  <si>
    <t>spiropentane</t>
  </si>
  <si>
    <t>1-pentene</t>
  </si>
  <si>
    <t>2-pentene,cis</t>
  </si>
  <si>
    <t>2-pentene,trans</t>
  </si>
  <si>
    <t>2-methyl-1-butene</t>
  </si>
  <si>
    <t>3-methyl-1-butene</t>
  </si>
  <si>
    <t>2-methyl-2-butene</t>
  </si>
  <si>
    <t>cyclopentane</t>
  </si>
  <si>
    <t>2,3-dibromo-2-methylbutane</t>
  </si>
  <si>
    <t>valeraldehyde</t>
  </si>
  <si>
    <t>2-pentanone</t>
  </si>
  <si>
    <t>thiacyclohexane</t>
  </si>
  <si>
    <t>cyclopentanethiol</t>
  </si>
  <si>
    <t>1-bromopentane</t>
  </si>
  <si>
    <t>1-chloropentane</t>
  </si>
  <si>
    <t>1-chloro-3-methylbutane</t>
  </si>
  <si>
    <t>2-chloro-2-methylbutane</t>
  </si>
  <si>
    <t>pentane</t>
  </si>
  <si>
    <t>2-methylbutane(isopentane)</t>
  </si>
  <si>
    <t>2,2-dimethypropane</t>
  </si>
  <si>
    <t>pentyl-alcohol</t>
  </si>
  <si>
    <t>tert-pentyl-alcohol</t>
  </si>
  <si>
    <t>butyl-methyl-sulfide</t>
  </si>
  <si>
    <t>ethyl-propyl-sulfide</t>
  </si>
  <si>
    <t>2-methyl-2-butanethiol</t>
  </si>
  <si>
    <t>1-pentanethiol</t>
  </si>
  <si>
    <t>hexachlorobenzene</t>
  </si>
  <si>
    <t>hexafluorobenzene</t>
  </si>
  <si>
    <t>o-dichlorobenzene</t>
  </si>
  <si>
    <t>m-dichlorobenzene</t>
  </si>
  <si>
    <t>p-dichlorobenzene</t>
  </si>
  <si>
    <t>m-difluorobenzene</t>
  </si>
  <si>
    <t>o-difluorobenzene</t>
  </si>
  <si>
    <t>p-difluorobenzene</t>
  </si>
  <si>
    <t>bromobenzene</t>
  </si>
  <si>
    <t>chlorobenzene</t>
  </si>
  <si>
    <t>fluorobenzene</t>
  </si>
  <si>
    <t>iodobenzene</t>
  </si>
  <si>
    <t>phenol</t>
  </si>
  <si>
    <t>benzenethiol</t>
  </si>
  <si>
    <t>2-picoline</t>
  </si>
  <si>
    <t>3-picoline</t>
  </si>
  <si>
    <t>aniline</t>
  </si>
  <si>
    <t>1-hexyne</t>
  </si>
  <si>
    <t>cyclohexene</t>
  </si>
  <si>
    <t>1-methylcyclopentene</t>
  </si>
  <si>
    <t>3-methylcyclopentene</t>
  </si>
  <si>
    <t>4-methylcyclopentene</t>
  </si>
  <si>
    <t>cyclohexanone</t>
  </si>
  <si>
    <t>1-hexene</t>
  </si>
  <si>
    <t>2-hexene,cis</t>
  </si>
  <si>
    <t>2-hexene,trans</t>
  </si>
  <si>
    <t>3-hexene,cis</t>
  </si>
  <si>
    <t>3-hexene,trans</t>
  </si>
  <si>
    <t>2-methyl-1-pentene</t>
  </si>
  <si>
    <t>3-methyl-1-pentene</t>
  </si>
  <si>
    <t>4-methyl-1-pentene</t>
  </si>
  <si>
    <t>2-methyl-2-pentene</t>
  </si>
  <si>
    <t>3-methyl-2-pentene,cis</t>
  </si>
  <si>
    <t>3-methyl-2-pentene,trans</t>
  </si>
  <si>
    <t>4-methyl-2-pentene,cis</t>
  </si>
  <si>
    <t>4-methyl-2-pentene,trans</t>
  </si>
  <si>
    <t>2-ethyl-1-butene</t>
  </si>
  <si>
    <t>2,3-dimethyl-1-butene</t>
  </si>
  <si>
    <t>3,3-dimethyl-1-butene</t>
  </si>
  <si>
    <t>2,3-dimethyl-2-butene</t>
  </si>
  <si>
    <t>cyclohexane</t>
  </si>
  <si>
    <t>methylcyclopentane</t>
  </si>
  <si>
    <t>cyclohexanol</t>
  </si>
  <si>
    <t>hexanal</t>
  </si>
  <si>
    <t>thiacycloheptane</t>
  </si>
  <si>
    <t>hexane</t>
  </si>
  <si>
    <t>2-methylpentane</t>
  </si>
  <si>
    <t>3-methylpentane</t>
  </si>
  <si>
    <t>2,2-dimethylbutane</t>
  </si>
  <si>
    <t>2,3-dimethylbutane</t>
  </si>
  <si>
    <t>propyl-ether</t>
  </si>
  <si>
    <t>isopropyl-ether</t>
  </si>
  <si>
    <t>hexyl-alcohol</t>
  </si>
  <si>
    <t>butyl-ethyl-sulfide</t>
  </si>
  <si>
    <t>isopropyl-sulfide</t>
  </si>
  <si>
    <t>methyl-pentyl-sulfide</t>
  </si>
  <si>
    <t>propyl-sulfide</t>
  </si>
  <si>
    <t>1-hexanethiol</t>
  </si>
  <si>
    <t>propyl-disulfide</t>
  </si>
  <si>
    <t>triethylamine</t>
  </si>
  <si>
    <t>a,a,a-trifluorotoluene</t>
  </si>
  <si>
    <t>benzonitrile</t>
  </si>
  <si>
    <t>benzoic-acid</t>
  </si>
  <si>
    <t>p-fluorotoluene</t>
  </si>
  <si>
    <t>toluene</t>
  </si>
  <si>
    <t>1,3,5-cycloheptatriene</t>
  </si>
  <si>
    <t>m-cresol</t>
  </si>
  <si>
    <t>o-cresol</t>
  </si>
  <si>
    <t>p-cresol</t>
  </si>
  <si>
    <t>1-heptyne</t>
  </si>
  <si>
    <t>1-heptene</t>
  </si>
  <si>
    <t>cycloheptane</t>
  </si>
  <si>
    <t>ethylcyclopentane</t>
  </si>
  <si>
    <t>1,1-dimethylcyclopentane</t>
  </si>
  <si>
    <t>c-1,2-dimethylcyclopentane</t>
  </si>
  <si>
    <t>t-1,2-dimethylcyclopentane</t>
  </si>
  <si>
    <t>c-1,3-dimethylcyclopentane</t>
  </si>
  <si>
    <t>t-1,3-dimethylcyclopentane</t>
  </si>
  <si>
    <t>methylcyclohexane</t>
  </si>
  <si>
    <t>heptanal</t>
  </si>
  <si>
    <t>heptane</t>
  </si>
  <si>
    <t>2-methylhexane</t>
  </si>
  <si>
    <t>3-methylhexane</t>
  </si>
  <si>
    <t>3-ethylpentane</t>
  </si>
  <si>
    <t>2,2-dimethylpentane</t>
  </si>
  <si>
    <t>2,3-dimethylpentane</t>
  </si>
  <si>
    <t>2,4-dimethylpentane</t>
  </si>
  <si>
    <t>3,3-dimethylpentane</t>
  </si>
  <si>
    <t>2,2,3-trimethylbutane</t>
  </si>
  <si>
    <t>isopropyl-tert-butyl-ether</t>
  </si>
  <si>
    <t>heptyl-alcohol</t>
  </si>
  <si>
    <t>butyl-propyl-sulfide</t>
  </si>
  <si>
    <t>ethyl-pentyl-sulfide</t>
  </si>
  <si>
    <t>hexyl-methyl-sulfide</t>
  </si>
  <si>
    <t>1-heptanethiol</t>
  </si>
  <si>
    <t>ethynylbenzene</t>
  </si>
  <si>
    <t>styrene</t>
  </si>
  <si>
    <t>1,3,5,7-cyclooctatetraene</t>
  </si>
  <si>
    <t>ethylbenzene</t>
  </si>
  <si>
    <t>m-xylene</t>
  </si>
  <si>
    <t>o-xylene</t>
  </si>
  <si>
    <t>p-xylene</t>
  </si>
  <si>
    <t>1-octyne</t>
  </si>
  <si>
    <t>1-octene</t>
  </si>
  <si>
    <t>cyclooctane</t>
  </si>
  <si>
    <t>propylcyclopentane</t>
  </si>
  <si>
    <t>ethylcyclohexane</t>
  </si>
  <si>
    <t>1,1-dimethylcyclohexane</t>
  </si>
  <si>
    <t>c-1,2-dimethylcyclohexane</t>
  </si>
  <si>
    <t>t-1,2-dimethylcyclohexane</t>
  </si>
  <si>
    <t>c-1,3-dimethylcyclohexane</t>
  </si>
  <si>
    <t>t-1,3-dimethylcyclohexane</t>
  </si>
  <si>
    <t>c-1,4-dimethylcyclohexane</t>
  </si>
  <si>
    <t>t-1,4-dimethylcyclohexane</t>
  </si>
  <si>
    <t>octanal</t>
  </si>
  <si>
    <t>octane</t>
  </si>
  <si>
    <t>2-methylheptane</t>
  </si>
  <si>
    <t>3-methylheptane</t>
  </si>
  <si>
    <t>4-methylheptane</t>
  </si>
  <si>
    <t>3-ethylhexane</t>
  </si>
  <si>
    <t>2,2-dimethylhexane</t>
  </si>
  <si>
    <t>2,3-dimethylhexane</t>
  </si>
  <si>
    <t>2,4-dimethylhexane</t>
  </si>
  <si>
    <t>2,5-dimethylhexane</t>
  </si>
  <si>
    <t>3,3-dimethylhexane</t>
  </si>
  <si>
    <t>3,4-dimethylhexane</t>
  </si>
  <si>
    <t>3-ethyl-2-methylpentane</t>
  </si>
  <si>
    <t>3-ethyl-3-methylpentane</t>
  </si>
  <si>
    <t>2,2,3-trimethylpentane</t>
  </si>
  <si>
    <t>2,2,4-trimethylpentane</t>
  </si>
  <si>
    <t>2,3,3-trimethylpentane</t>
  </si>
  <si>
    <t>2,3,4-trimethylpentane</t>
  </si>
  <si>
    <t>2,2,3,3-tetramethylbutane</t>
  </si>
  <si>
    <t>butyl-ether</t>
  </si>
  <si>
    <t>sec-butyl-ether</t>
  </si>
  <si>
    <t>tert-butyl-ether</t>
  </si>
  <si>
    <t>octyl-alcohol</t>
  </si>
  <si>
    <t>butyl-sulfide</t>
  </si>
  <si>
    <t>ethyl-hexyl-sulfide</t>
  </si>
  <si>
    <t>heptyl-methyl-sulfide</t>
  </si>
  <si>
    <t>pentyl-propyl-sulfide</t>
  </si>
  <si>
    <t>1-octanethiol</t>
  </si>
  <si>
    <t>butyl-disulfide</t>
  </si>
  <si>
    <t>alpha-methylstyrene</t>
  </si>
  <si>
    <t>propenylbenzene,cis</t>
  </si>
  <si>
    <t>propenylbenzene,trans</t>
  </si>
  <si>
    <t>m-methylstyrene</t>
  </si>
  <si>
    <t>o-methylstyrene</t>
  </si>
  <si>
    <t>p-methylstyrene</t>
  </si>
  <si>
    <t>propylbenzene</t>
  </si>
  <si>
    <t>cumene</t>
  </si>
  <si>
    <t>m-ethyltoluene</t>
  </si>
  <si>
    <t>o-ethyltoluene</t>
  </si>
  <si>
    <t>p-ethyltoluene</t>
  </si>
  <si>
    <t>1,2,3-trimethylbenzene</t>
  </si>
  <si>
    <t>1,2,4-trimethylbenzene</t>
  </si>
  <si>
    <t>mesitylene</t>
  </si>
  <si>
    <t>1-nonyne</t>
  </si>
  <si>
    <t>1-nonene</t>
  </si>
  <si>
    <t>butylcyclopentane</t>
  </si>
  <si>
    <t>propylcyclohexane</t>
  </si>
  <si>
    <t>c-c-135trimethylcyclohexane</t>
  </si>
  <si>
    <t>c-t-135trimethylcyclohexane</t>
  </si>
  <si>
    <t>nonanal</t>
  </si>
  <si>
    <t>nonane</t>
  </si>
  <si>
    <t>2-methyloctane</t>
  </si>
  <si>
    <t>3-methyloctane</t>
  </si>
  <si>
    <t>4-methyloctane</t>
  </si>
  <si>
    <t>3-ethylheptane</t>
  </si>
  <si>
    <t>4-ethylheptane</t>
  </si>
  <si>
    <t>2,2-dimethylheptane</t>
  </si>
  <si>
    <t>2,3-dimethylheptane</t>
  </si>
  <si>
    <t>2,4-dimethylheptane</t>
  </si>
  <si>
    <t>2,5-dimethylheptane</t>
  </si>
  <si>
    <t>2,6-dimethylheptane</t>
  </si>
  <si>
    <t>3,3-dimethylheptane</t>
  </si>
  <si>
    <t>3,4-dimethylheptane</t>
  </si>
  <si>
    <t>3,5-dimethylheptane</t>
  </si>
  <si>
    <t>4,4-dimethylheptane</t>
  </si>
  <si>
    <t>3-ethyl-2-methylhexane</t>
  </si>
  <si>
    <t>4-ethyl-2-methylhexane</t>
  </si>
  <si>
    <t>3-ethyl-3-methylhexane</t>
  </si>
  <si>
    <t>3-ethyl-4-methylhexane</t>
  </si>
  <si>
    <t>2,2,3-trimethylhexane</t>
  </si>
  <si>
    <t>2,2,4-trimethylhexane</t>
  </si>
  <si>
    <t>2,2,5-trimethylhexane</t>
  </si>
  <si>
    <t>2,3,3-trimethylhexane</t>
  </si>
  <si>
    <t>2,3,4-trimethylhexane</t>
  </si>
  <si>
    <t>2,3,5-trimethylhexane</t>
  </si>
  <si>
    <t>2,4,4-trimethylhexane</t>
  </si>
  <si>
    <t>3,3,4-trimethylhexane</t>
  </si>
  <si>
    <t>3,3-diethylpentane</t>
  </si>
  <si>
    <t>3-ethyl-2,2-dimethylpentane</t>
  </si>
  <si>
    <t>3-ethyl-2,3-dimethylpentane</t>
  </si>
  <si>
    <t>3-ethyl-2,4-dimethylpentane</t>
  </si>
  <si>
    <t>2,2,3,3-tetramethylpentane</t>
  </si>
  <si>
    <t>2,2,3,4-tetramethylpentane</t>
  </si>
  <si>
    <t>2,2,4,4-tetramethylpentane</t>
  </si>
  <si>
    <t>2,3,3,4-tetramethylpentane</t>
  </si>
  <si>
    <t>nonyl-alcohol</t>
  </si>
  <si>
    <t>butyl-pentyl-sulfide</t>
  </si>
  <si>
    <t>ethyl-heptyl-sulfide</t>
  </si>
  <si>
    <t>hexyl-propyl-sulfide</t>
  </si>
  <si>
    <t>methyl-octyl-sulfide</t>
  </si>
  <si>
    <t>1-nonanethiol</t>
  </si>
  <si>
    <t>naphthalene</t>
  </si>
  <si>
    <t>azulene</t>
  </si>
  <si>
    <t>butylbenzene</t>
  </si>
  <si>
    <t>m-diethylbenzene</t>
  </si>
  <si>
    <t>o-diethylbenzene</t>
  </si>
  <si>
    <t>p-diethylbenzene</t>
  </si>
  <si>
    <t>1,2,3,4-tetramethylbenzene</t>
  </si>
  <si>
    <t>1,2,3,5-tetramethylbenzene</t>
  </si>
  <si>
    <t>1,2,4,5-tetramethylbenzene</t>
  </si>
  <si>
    <t>1-decyne</t>
  </si>
  <si>
    <t>decahydronaphthalene,cis</t>
  </si>
  <si>
    <t>decahydronaphthalene,trans</t>
  </si>
  <si>
    <t>1-decene</t>
  </si>
  <si>
    <t>1-cyclopentylpentane</t>
  </si>
  <si>
    <t>butylcyclohexane</t>
  </si>
  <si>
    <t>decanal</t>
  </si>
  <si>
    <t>decane</t>
  </si>
  <si>
    <t>2-methylnonane</t>
  </si>
  <si>
    <t>3-methylnonane</t>
  </si>
  <si>
    <t>4-methylnonane</t>
  </si>
  <si>
    <t>5-methylnonane</t>
  </si>
  <si>
    <t>3-ethyloctane</t>
  </si>
  <si>
    <t>4-ethyloctane</t>
  </si>
  <si>
    <t>2,2-dimethyloctane</t>
  </si>
  <si>
    <t>2,3-dimethyloctane</t>
  </si>
  <si>
    <t>2,4-dimethyloctane</t>
  </si>
  <si>
    <t>2,5-dimethyloctane</t>
  </si>
  <si>
    <t>2,6-dimethyloctane</t>
  </si>
  <si>
    <t>2,7-dimethyloctane</t>
  </si>
  <si>
    <t>3,3-dimethyloctane</t>
  </si>
  <si>
    <t>3,4-dimethyloctane</t>
  </si>
  <si>
    <t>3,5-dimethyloctane</t>
  </si>
  <si>
    <t>3,6-dimethyloctane</t>
  </si>
  <si>
    <t>4,4-dimethyloctane</t>
  </si>
  <si>
    <t>4,5-dimethyloctane</t>
  </si>
  <si>
    <t>4-propylheptane</t>
  </si>
  <si>
    <t>4-isopropylheptane</t>
  </si>
  <si>
    <t>3-ethyl-2-methylheptane</t>
  </si>
  <si>
    <t>4-ethyl-2-methylheptane</t>
  </si>
  <si>
    <t>5-ethyl-2-methylheptane</t>
  </si>
  <si>
    <t>3-ethyl-3-methylheptane</t>
  </si>
  <si>
    <t>4-ethyl-3-methylheptane</t>
  </si>
  <si>
    <t>3-ethyl-5-methylheptane</t>
  </si>
  <si>
    <t>3-ethyl-4-methylheptane</t>
  </si>
  <si>
    <t>4-ethyl-4-methylheptane</t>
  </si>
  <si>
    <t>2,2,3-trimethylheptane</t>
  </si>
  <si>
    <t>2,2,4-trimethylheptane</t>
  </si>
  <si>
    <t>2,2,5-trimethylheptane</t>
  </si>
  <si>
    <t>2,2,6-trimethylheptane</t>
  </si>
  <si>
    <t>2,3,3-trimethylheptane</t>
  </si>
  <si>
    <t>2,3,4-trimethylheptane</t>
  </si>
  <si>
    <t>2,3,5-trimethylheptane</t>
  </si>
  <si>
    <t>2,3,6-trimethylheptane</t>
  </si>
  <si>
    <t>2,4,4-trimethylheptane</t>
  </si>
  <si>
    <t>2,4,5-trimethylheptane</t>
  </si>
  <si>
    <t>2,4,6-trimethylheptane</t>
  </si>
  <si>
    <t>2,5,5-trimethylheptane</t>
  </si>
  <si>
    <t>3,3,4-trimethylheptane</t>
  </si>
  <si>
    <t>3,3,5-trimethylheptane</t>
  </si>
  <si>
    <t>3,4,4-trimethylheptane</t>
  </si>
  <si>
    <t>3,4,5-trimethylheptane</t>
  </si>
  <si>
    <t>3-isopropyl-2-methylhexane</t>
  </si>
  <si>
    <t>3,3-diethylhexane</t>
  </si>
  <si>
    <t>3,4-diethylhexane</t>
  </si>
  <si>
    <t>3-ethyl-2,2-dimethylhexane</t>
  </si>
  <si>
    <t>4-ethyl-2,2-dimethylhexane</t>
  </si>
  <si>
    <t>3-ethyl-2,3-dimethylhexane</t>
  </si>
  <si>
    <t>4-ethyl-2,3-dimethylhexane</t>
  </si>
  <si>
    <t>3-ethyl-2,4-dimethylhexane</t>
  </si>
  <si>
    <t>4-ethyl-2,4-dimethylhexane</t>
  </si>
  <si>
    <t>3-ethyl-2,5-dimethylhexane</t>
  </si>
  <si>
    <t>4-ethyl-3,3-dimethylhexane</t>
  </si>
  <si>
    <t>3-ethyl-3,4-dimethylhexane</t>
  </si>
  <si>
    <t>2,2,3,3-tetramethylhexane</t>
  </si>
  <si>
    <t>2,2,3,4-tetramethylhexane</t>
  </si>
  <si>
    <t>2,2,3,5-tetramethylhexane</t>
  </si>
  <si>
    <t>2,2,4,4-tetramethylhexane</t>
  </si>
  <si>
    <t>2,2,4,5-tetramethylhexane</t>
  </si>
  <si>
    <t>2,2,5,5-tetramethylhexane</t>
  </si>
  <si>
    <t>2,3,3,4-tetramethylhexane</t>
  </si>
  <si>
    <t>2,3,3,5-tetramethylhexane</t>
  </si>
  <si>
    <t>2,3,4,4-tetramethylhexane</t>
  </si>
  <si>
    <t>2,3,4,5-tetramethylhexane</t>
  </si>
  <si>
    <t>3,3,4,4-tetramethylhexane</t>
  </si>
  <si>
    <t>24dimethyl3isopropylpentane</t>
  </si>
  <si>
    <t>33-diethyl-2-methylpentane</t>
  </si>
  <si>
    <t>3ethyl-223trimethylpentane</t>
  </si>
  <si>
    <t>3ethyl-224trimethylpentane</t>
  </si>
  <si>
    <t>3ethyl-234trimethylpentane</t>
  </si>
  <si>
    <t>22334-pentamethylpentane</t>
  </si>
  <si>
    <t>22344-pentamethylpentane</t>
  </si>
  <si>
    <t>decyl-alcohol</t>
  </si>
  <si>
    <t>butyl-hexyl-sulfide</t>
  </si>
  <si>
    <t>ethyl-octyl-sulfide</t>
  </si>
  <si>
    <t>heptyl-propyl-sulfide</t>
  </si>
  <si>
    <t>methyl-nonyl-sulfide</t>
  </si>
  <si>
    <t>pentyl-sulfide</t>
  </si>
  <si>
    <t>1-decanethiol</t>
  </si>
  <si>
    <t>pentyl-disulfide</t>
  </si>
  <si>
    <t>1-methylnaphthalene</t>
  </si>
  <si>
    <t>2-methylnaphthalene</t>
  </si>
  <si>
    <t>pentylbenzene</t>
  </si>
  <si>
    <t>pentamethylbenzene</t>
  </si>
  <si>
    <t>1-undecyne</t>
  </si>
  <si>
    <t>1-undecene</t>
  </si>
  <si>
    <t>1-cyclopentylhexane</t>
  </si>
  <si>
    <t>pentylcyclohexane</t>
  </si>
  <si>
    <t>undecane</t>
  </si>
  <si>
    <t>undecyl-alcohol</t>
  </si>
  <si>
    <t>butyl-heptyl-sulfide</t>
  </si>
  <si>
    <t>decyl-methyl-sulfide</t>
  </si>
  <si>
    <t>ethyl-nonyl-sulfide</t>
  </si>
  <si>
    <t>octyl-propyl-sulfide</t>
  </si>
  <si>
    <t>1-undecanethiol</t>
  </si>
  <si>
    <t>biphenyl</t>
  </si>
  <si>
    <t>1-ethylnaphthalene</t>
  </si>
  <si>
    <t>2-ethylnaphthalene</t>
  </si>
  <si>
    <t>1,2-dimethylnaphthalene</t>
  </si>
  <si>
    <t>1,3-dimethylnaphthalene</t>
  </si>
  <si>
    <t>1,4-dimethylnaphthalene</t>
  </si>
  <si>
    <t>1,5-dimethylnaphthalene</t>
  </si>
  <si>
    <t>1,6-dimethylnaphthalene</t>
  </si>
  <si>
    <t>1,7-dimethylnaphthalene</t>
  </si>
  <si>
    <t>2,3-dimethylnaphthalene</t>
  </si>
  <si>
    <t>2,6-dimethylnaphthalene</t>
  </si>
  <si>
    <t>2,7-dimethylnaphthalene</t>
  </si>
  <si>
    <t>hexylbenzene</t>
  </si>
  <si>
    <t>1,2,3-triethylbenzene</t>
  </si>
  <si>
    <t>1,2,4-triethylbenzene</t>
  </si>
  <si>
    <t>1,3,5-triethylbenzene</t>
  </si>
  <si>
    <t>hexamethylbenzene</t>
  </si>
  <si>
    <t>1-dodecyne</t>
  </si>
  <si>
    <t>1-dodecene</t>
  </si>
  <si>
    <t>1-cyclopentylheptane</t>
  </si>
  <si>
    <t>1-cyclohexylhexane</t>
  </si>
  <si>
    <t>dodecane</t>
  </si>
  <si>
    <t>dodecyl-alcohol</t>
  </si>
  <si>
    <t>butyl-octyl-sulfide</t>
  </si>
  <si>
    <t>decyl-ethyl-sulfide</t>
  </si>
  <si>
    <t>hexyl-sulfide</t>
  </si>
  <si>
    <t>methyl-undecyl-sulfide</t>
  </si>
  <si>
    <t>nonyl-propyl-sulfide</t>
  </si>
  <si>
    <t>1-dodecanethiol</t>
  </si>
  <si>
    <t>hexyl-disulfide</t>
  </si>
  <si>
    <t>1-propylnaphthalene</t>
  </si>
  <si>
    <t>2-propylnaphthalene</t>
  </si>
  <si>
    <t>2ethyl-3-methylnaphthalene</t>
  </si>
  <si>
    <t>2ethyl-6-methylnaphthalene</t>
  </si>
  <si>
    <t>2ethyl-7-methylnaphthalene</t>
  </si>
  <si>
    <t>1-phenylheptane</t>
  </si>
  <si>
    <t>1-tridecyne</t>
  </si>
  <si>
    <t>1-tridecene</t>
  </si>
  <si>
    <t>1-cyclopentyloctane</t>
  </si>
  <si>
    <t>1-cyclohexylheptane</t>
  </si>
  <si>
    <t>tridecane</t>
  </si>
  <si>
    <t>1-tridecanol</t>
  </si>
  <si>
    <t>butyl-nonyl-sulfide</t>
  </si>
  <si>
    <t>decyl-propyl-sulfide</t>
  </si>
  <si>
    <t>dodecyl-methyl-sulfide</t>
  </si>
  <si>
    <t>ethyl-undecyl-sulfide</t>
  </si>
  <si>
    <t>1-tridecanethiol</t>
  </si>
  <si>
    <t>1-butylnaphthalene</t>
  </si>
  <si>
    <t>2-butylnaphthalene</t>
  </si>
  <si>
    <t>1-phenyloctane</t>
  </si>
  <si>
    <t>1,2,3,4-tetraethylbenzene</t>
  </si>
  <si>
    <t>1,2,3,5-tetraethylbenzene</t>
  </si>
  <si>
    <t>1,2,4,5-tetraethylbenzene</t>
  </si>
  <si>
    <t>1-tetradecyne</t>
  </si>
  <si>
    <t>1-tetradecene</t>
  </si>
  <si>
    <t>1-cyclopentylnonane</t>
  </si>
  <si>
    <t>1-cyclohexyloctane</t>
  </si>
  <si>
    <t>tetradecane</t>
  </si>
  <si>
    <t>1-tetradecanol</t>
  </si>
  <si>
    <t>butyl-decyl-sulfide</t>
  </si>
  <si>
    <t>dodecyl-ethyl-sulfide</t>
  </si>
  <si>
    <t>heptyl-sulfide</t>
  </si>
  <si>
    <t>methyl-tridecyl-sulfide</t>
  </si>
  <si>
    <t>propyl-undecyl-sulfide</t>
  </si>
  <si>
    <t>1-tetradecanethiol</t>
  </si>
  <si>
    <t>heptyl-disulfide</t>
  </si>
  <si>
    <t>1-pentylnaphthalene</t>
  </si>
  <si>
    <t>2-pentylnaphthalene</t>
  </si>
  <si>
    <t>1-phenylnonane</t>
  </si>
  <si>
    <t>1-pentadecyne</t>
  </si>
  <si>
    <t>1-pentadecene</t>
  </si>
  <si>
    <t>1-cyclopentyldecane</t>
  </si>
  <si>
    <t>1-cyclohexylnonane</t>
  </si>
  <si>
    <t>pentadecane</t>
  </si>
  <si>
    <t>1-pentadecanol</t>
  </si>
  <si>
    <t>butyl-undecyl-sulfide</t>
  </si>
  <si>
    <t>dodecyl-propyl-sulfide</t>
  </si>
  <si>
    <t>ethyl-tridecyl-sulfide</t>
  </si>
  <si>
    <t>methyl-tetradecyl-sulfide</t>
  </si>
  <si>
    <t>1-pentadecanethiol</t>
  </si>
  <si>
    <t>1-phenyldecane</t>
  </si>
  <si>
    <t>pentaethylbenzene</t>
  </si>
  <si>
    <t>1-hexadecyne</t>
  </si>
  <si>
    <t>1-hexadecene</t>
  </si>
  <si>
    <t>1-cyclopentylundecane</t>
  </si>
  <si>
    <t>1-cyclohexyldecane</t>
  </si>
  <si>
    <t>hexadecane</t>
  </si>
  <si>
    <t>1-hexadecanol</t>
  </si>
  <si>
    <t>butyl-dodecyl-sulfide</t>
  </si>
  <si>
    <t>ethyl-tetradecyl-sulfide</t>
  </si>
  <si>
    <t>methyl-pentadecyl-sulfide</t>
  </si>
  <si>
    <t>octyl-sulfide</t>
  </si>
  <si>
    <t>propyl-tridecyl-sulfide</t>
  </si>
  <si>
    <t>1-hexadecanethiol</t>
  </si>
  <si>
    <t>octyl-disulfide</t>
  </si>
  <si>
    <t>1-phenylundecane</t>
  </si>
  <si>
    <t>1-heptadecyne</t>
  </si>
  <si>
    <t>1-heptadecene</t>
  </si>
  <si>
    <t>1-cyclopentyldodecane</t>
  </si>
  <si>
    <t>1-cyclohexylundecane</t>
  </si>
  <si>
    <t>heptadecane</t>
  </si>
  <si>
    <t>1-heptadecanol</t>
  </si>
  <si>
    <t>butyl-tridecyl-sulfide</t>
  </si>
  <si>
    <t>ethyl-pentadecyl-sulfide</t>
  </si>
  <si>
    <t>hexadecyl-methyl-sulfide</t>
  </si>
  <si>
    <t>propyl-tetradecyl-sulfide</t>
  </si>
  <si>
    <t>1-heptadecanethiol</t>
  </si>
  <si>
    <t>1-phenyldodecane</t>
  </si>
  <si>
    <t>hexaethylbenzene</t>
  </si>
  <si>
    <t>1-octadecyne</t>
  </si>
  <si>
    <t>1-octadecene</t>
  </si>
  <si>
    <t>1-cycopentyltridecane</t>
  </si>
  <si>
    <t>1-cyclohexyldodecane</t>
  </si>
  <si>
    <t>octadecane</t>
  </si>
  <si>
    <t>1-octadecanol</t>
  </si>
  <si>
    <t>butyl-tetradecyl-sulfide</t>
  </si>
  <si>
    <t>ethyl-hexadecyl-sulfide</t>
  </si>
  <si>
    <t>heptadecyl-methyl-sulfide</t>
  </si>
  <si>
    <t>nonyl-sulfide</t>
  </si>
  <si>
    <t>pentadecyl-propyl-sulfide</t>
  </si>
  <si>
    <t>1-octadecanethiol</t>
  </si>
  <si>
    <t>nonyl-disulfide</t>
  </si>
  <si>
    <t>1-phenyltridecane</t>
  </si>
  <si>
    <t>1-nonadecyne</t>
  </si>
  <si>
    <t>1-nonadecene</t>
  </si>
  <si>
    <t>1-cyclopentyltetradecane</t>
  </si>
  <si>
    <t>1-cyclohexyltridecane</t>
  </si>
  <si>
    <t>nonadecane</t>
  </si>
  <si>
    <t>1-nonadecanol</t>
  </si>
  <si>
    <t>butyl-pentadecyl-sulfide</t>
  </si>
  <si>
    <t>ethyl-heptadecyl-sulfide</t>
  </si>
  <si>
    <t>hexadecyl-propyl-sulfide</t>
  </si>
  <si>
    <t>methyl-octadecyl-sulfide</t>
  </si>
  <si>
    <t>1-nonadecanethiol</t>
  </si>
  <si>
    <t>1-phenyltetradecane</t>
  </si>
  <si>
    <t>1-eicosyne</t>
  </si>
  <si>
    <t>1-eicosene</t>
  </si>
  <si>
    <t>1-cyclopentylpentadecane</t>
  </si>
  <si>
    <t>1-cyclohexyltetradecane</t>
  </si>
  <si>
    <t>eicosane</t>
  </si>
  <si>
    <t>1-eicosanol</t>
  </si>
  <si>
    <t>butyl-hexadecyl-sulfide</t>
  </si>
  <si>
    <t>decyl-sulfide</t>
  </si>
  <si>
    <t>ethyl-octadecyl-sulfide</t>
  </si>
  <si>
    <t>heptadecyl-propyl-sulfide</t>
  </si>
  <si>
    <t>methyl-nonadecyl-sulfide</t>
  </si>
  <si>
    <t>1-eicosanethiol</t>
  </si>
  <si>
    <t>decyl-disulfide</t>
  </si>
  <si>
    <t>1-phenylpentadecane</t>
  </si>
  <si>
    <t>1-cyclopentylhexadecane</t>
  </si>
  <si>
    <t>1-cyclohexylpentadecane</t>
  </si>
  <si>
    <t>1-phenylhexadecane</t>
  </si>
  <si>
    <t>1-cyclohexylhexadecane</t>
  </si>
  <si>
    <t xml:space="preserve">Acetaldehyde  </t>
  </si>
  <si>
    <t xml:space="preserve">Acetic acid </t>
  </si>
  <si>
    <t xml:space="preserve">Acetic anhydride </t>
  </si>
  <si>
    <t xml:space="preserve">Acetone  </t>
  </si>
  <si>
    <t xml:space="preserve">Acetonitrile  </t>
  </si>
  <si>
    <t xml:space="preserve">Acrylamide  </t>
  </si>
  <si>
    <t>Acrylic  acid</t>
  </si>
  <si>
    <t xml:space="preserve">Acrylonitrile  </t>
  </si>
  <si>
    <t xml:space="preserve">Aniline  </t>
  </si>
  <si>
    <t xml:space="preserve">Benzene  </t>
  </si>
  <si>
    <t xml:space="preserve">Butanol (iso) </t>
  </si>
  <si>
    <t xml:space="preserve">Butanol-(1)  </t>
  </si>
  <si>
    <t xml:space="preserve">Carbon disulfide </t>
  </si>
  <si>
    <t xml:space="preserve">Carbon tetrachloride </t>
  </si>
  <si>
    <t xml:space="preserve">Chlorobenzene  </t>
  </si>
  <si>
    <t>Chloroform</t>
  </si>
  <si>
    <t>Chloroprene</t>
  </si>
  <si>
    <t xml:space="preserve">Cresol(m-)  </t>
  </si>
  <si>
    <t xml:space="preserve">Cresol(o-)  </t>
  </si>
  <si>
    <t xml:space="preserve">Cresol(p-)  </t>
  </si>
  <si>
    <t xml:space="preserve">Cumene (isopropylbenzene) </t>
  </si>
  <si>
    <t xml:space="preserve">Cyclohexane  </t>
  </si>
  <si>
    <t xml:space="preserve">Cyclohexanol  </t>
  </si>
  <si>
    <t xml:space="preserve">Cyclohexanone  </t>
  </si>
  <si>
    <t xml:space="preserve">Dichloroethane(1,2)  </t>
  </si>
  <si>
    <t xml:space="preserve">Dichloroethylene(1,2)  </t>
  </si>
  <si>
    <t>Diethyl (N,N) anilin</t>
  </si>
  <si>
    <t xml:space="preserve">Dimethyl formamide </t>
  </si>
  <si>
    <t>Dimethyl hydrazine (1,1)</t>
  </si>
  <si>
    <t xml:space="preserve">Dimethyl phthalate </t>
  </si>
  <si>
    <t xml:space="preserve">Dinitrobenzene  </t>
  </si>
  <si>
    <t xml:space="preserve">Dioxane(1,4)  </t>
  </si>
  <si>
    <t xml:space="preserve">Epichlorohydrin  </t>
  </si>
  <si>
    <t xml:space="preserve">Ethanol  </t>
  </si>
  <si>
    <t xml:space="preserve">Ethanolamine(mono-)  </t>
  </si>
  <si>
    <t xml:space="preserve">Ethyl acetate  </t>
  </si>
  <si>
    <t xml:space="preserve">Ethyl acrylate </t>
  </si>
  <si>
    <t xml:space="preserve">Ethyl benzene </t>
  </si>
  <si>
    <t xml:space="preserve">Ethyl chloride </t>
  </si>
  <si>
    <t xml:space="preserve">Ethyl ether </t>
  </si>
  <si>
    <t xml:space="preserve">Formic acid </t>
  </si>
  <si>
    <t xml:space="preserve">Furan  </t>
  </si>
  <si>
    <t xml:space="preserve">Furfural  </t>
  </si>
  <si>
    <t xml:space="preserve">Heptane(iso)  </t>
  </si>
  <si>
    <t xml:space="preserve">Hexane(-N)  </t>
  </si>
  <si>
    <t xml:space="preserve">Hexanol(-1)  </t>
  </si>
  <si>
    <t xml:space="preserve">Hydrocyanic acid </t>
  </si>
  <si>
    <t xml:space="preserve">Isopropyl alcohol </t>
  </si>
  <si>
    <t xml:space="preserve">Methanol  </t>
  </si>
  <si>
    <t xml:space="preserve">Methyl acetate </t>
  </si>
  <si>
    <t>Methyl ethyl ketone</t>
  </si>
  <si>
    <t>Methyl isobutyl ketone</t>
  </si>
  <si>
    <t xml:space="preserve">Methyl methacrylate </t>
  </si>
  <si>
    <t>Methyl styrene (alpha)</t>
  </si>
  <si>
    <t xml:space="preserve">Methylene chloride </t>
  </si>
  <si>
    <t xml:space="preserve">Morpholine  </t>
  </si>
  <si>
    <t xml:space="preserve">Naphthalene  </t>
  </si>
  <si>
    <t xml:space="preserve">Nitrobenzene  </t>
  </si>
  <si>
    <t xml:space="preserve">Pentachloroethane  </t>
  </si>
  <si>
    <t xml:space="preserve">Phenol  </t>
  </si>
  <si>
    <t xml:space="preserve">Picoline(-2)  </t>
  </si>
  <si>
    <t xml:space="preserve">Propanol (iso) </t>
  </si>
  <si>
    <t xml:space="preserve">Propylene glycol </t>
  </si>
  <si>
    <t xml:space="preserve">Propylene oxide </t>
  </si>
  <si>
    <t xml:space="preserve">Pyridine  </t>
  </si>
  <si>
    <t xml:space="preserve">Resorcinol  </t>
  </si>
  <si>
    <t xml:space="preserve">Styrene  </t>
  </si>
  <si>
    <t xml:space="preserve">Tetrachloroethane(1,1,1,2)  </t>
  </si>
  <si>
    <t xml:space="preserve">Tetrachloroethane(1,1,2,2)  </t>
  </si>
  <si>
    <t xml:space="preserve">Tetrachloroethylene  </t>
  </si>
  <si>
    <t xml:space="preserve">Tetrahydrofuran  </t>
  </si>
  <si>
    <t xml:space="preserve">Trichloro(1,1,2)trifluoroethane  </t>
  </si>
  <si>
    <t xml:space="preserve">Trichloroethane(1,1,1)  </t>
  </si>
  <si>
    <t xml:space="preserve">Trichloroethane(1,1,2)  </t>
  </si>
  <si>
    <t xml:space="preserve">Trichloroethylene  </t>
  </si>
  <si>
    <t xml:space="preserve">Trichlorofluoromethane  </t>
  </si>
  <si>
    <t xml:space="preserve">Trichloropropane(1,2,3)  </t>
  </si>
  <si>
    <t xml:space="preserve">Vinyl acetate </t>
  </si>
  <si>
    <t xml:space="preserve">Vinylidene chloride </t>
  </si>
  <si>
    <t xml:space="preserve">Xylene(m-)  </t>
  </si>
  <si>
    <t xml:space="preserve">Xylene(o-)  </t>
  </si>
  <si>
    <t xml:space="preserve">Xylene(p-)  </t>
  </si>
  <si>
    <t>Diisobutylene-1</t>
  </si>
  <si>
    <t>Diisobutylene-2</t>
  </si>
  <si>
    <t>S</t>
  </si>
  <si>
    <t>High Prarie</t>
  </si>
  <si>
    <t>Renewable Diesel</t>
  </si>
  <si>
    <t>Antoine coeffiecents based on Clausius-Clayperon constants found in "Estimates of Air Emissions from Asphalt Storage Tanks and Truck Loading"; David C. Trumbore Asphalt Technology Laboratory. Owens Corning, Summit, IL 60501</t>
  </si>
  <si>
    <t>Select Pet Stock</t>
  </si>
  <si>
    <t>T</t>
  </si>
  <si>
    <t>PVA</t>
  </si>
  <si>
    <r>
      <t>P</t>
    </r>
    <r>
      <rPr>
        <vertAlign val="subscript"/>
        <sz val="11"/>
        <color theme="1"/>
        <rFont val="Calibri"/>
        <family val="2"/>
        <scheme val="minor"/>
      </rPr>
      <t>VA1</t>
    </r>
  </si>
  <si>
    <r>
      <t>x</t>
    </r>
    <r>
      <rPr>
        <vertAlign val="subscript"/>
        <sz val="11"/>
        <color theme="1"/>
        <rFont val="Calibri"/>
        <family val="2"/>
        <scheme val="minor"/>
      </rPr>
      <t>1</t>
    </r>
    <r>
      <rPr>
        <sz val="11"/>
        <color theme="1"/>
        <rFont val="Calibri"/>
        <family val="2"/>
        <scheme val="minor"/>
      </rPr>
      <t>P</t>
    </r>
    <r>
      <rPr>
        <vertAlign val="subscript"/>
        <sz val="11"/>
        <color theme="1"/>
        <rFont val="Calibri"/>
        <family val="2"/>
        <scheme val="minor"/>
      </rPr>
      <t>VA1</t>
    </r>
  </si>
  <si>
    <r>
      <t>P</t>
    </r>
    <r>
      <rPr>
        <vertAlign val="subscript"/>
        <sz val="11"/>
        <color theme="1"/>
        <rFont val="Calibri"/>
        <family val="2"/>
        <scheme val="minor"/>
      </rPr>
      <t>VA2</t>
    </r>
  </si>
  <si>
    <r>
      <t>x</t>
    </r>
    <r>
      <rPr>
        <vertAlign val="subscript"/>
        <sz val="11"/>
        <color theme="1"/>
        <rFont val="Calibri"/>
        <family val="2"/>
        <scheme val="minor"/>
      </rPr>
      <t>2</t>
    </r>
    <r>
      <rPr>
        <sz val="11"/>
        <color theme="1"/>
        <rFont val="Calibri"/>
        <family val="2"/>
        <scheme val="minor"/>
      </rPr>
      <t>P</t>
    </r>
    <r>
      <rPr>
        <vertAlign val="subscript"/>
        <sz val="11"/>
        <color theme="1"/>
        <rFont val="Calibri"/>
        <family val="2"/>
        <scheme val="minor"/>
      </rPr>
      <t>VA2</t>
    </r>
  </si>
  <si>
    <r>
      <t>P</t>
    </r>
    <r>
      <rPr>
        <vertAlign val="subscript"/>
        <sz val="11"/>
        <color theme="1"/>
        <rFont val="Calibri"/>
        <family val="2"/>
        <scheme val="minor"/>
      </rPr>
      <t>VAT</t>
    </r>
  </si>
  <si>
    <r>
      <t>ΔP</t>
    </r>
    <r>
      <rPr>
        <vertAlign val="subscript"/>
        <sz val="11"/>
        <color theme="1"/>
        <rFont val="Calibri"/>
        <family val="2"/>
      </rPr>
      <t>V</t>
    </r>
  </si>
  <si>
    <t>1-10</t>
  </si>
  <si>
    <t>Breather Vent Pressure Range</t>
  </si>
  <si>
    <t>(psig)</t>
  </si>
  <si>
    <t>Fixed Quantities</t>
  </si>
  <si>
    <t>FX_Temp Column Reference</t>
  </si>
  <si>
    <t>FX_Temps Row</t>
  </si>
  <si>
    <t>FX_Vap Row</t>
  </si>
  <si>
    <r>
      <t>ΔT</t>
    </r>
    <r>
      <rPr>
        <vertAlign val="subscript"/>
        <sz val="11"/>
        <color theme="1"/>
        <rFont val="Calibri"/>
        <family val="2"/>
      </rPr>
      <t>V</t>
    </r>
  </si>
  <si>
    <t>1-7/1-8</t>
  </si>
  <si>
    <t>Daily Average Vapor Temperature Range</t>
  </si>
  <si>
    <t>Stored Products</t>
  </si>
  <si>
    <r>
      <t>T</t>
    </r>
    <r>
      <rPr>
        <vertAlign val="subscript"/>
        <sz val="11"/>
        <color theme="1"/>
        <rFont val="Calibri"/>
        <family val="2"/>
      </rPr>
      <t>LA</t>
    </r>
  </si>
  <si>
    <t>1-28/1-29</t>
  </si>
  <si>
    <t>Average Daily Liquid Surface Temperature</t>
  </si>
  <si>
    <r>
      <t>(</t>
    </r>
    <r>
      <rPr>
        <sz val="11"/>
        <color theme="1"/>
        <rFont val="Calibri"/>
        <family val="2"/>
      </rPr>
      <t>°R)</t>
    </r>
  </si>
  <si>
    <t>1-9</t>
  </si>
  <si>
    <t>Daily Average Vapor Pressure Range</t>
  </si>
  <si>
    <t>FX_Vap Column Reference</t>
  </si>
  <si>
    <t>PVX</t>
  </si>
  <si>
    <t>PVN</t>
  </si>
  <si>
    <r>
      <t>P</t>
    </r>
    <r>
      <rPr>
        <vertAlign val="subscript"/>
        <sz val="11"/>
        <color theme="1"/>
        <rFont val="Calibri"/>
        <family val="2"/>
      </rPr>
      <t>VA</t>
    </r>
  </si>
  <si>
    <t>1-25/1-26/Fig 7.1-15</t>
  </si>
  <si>
    <t>Vapor Pressure at Daily Average Liquid Surface Temperature</t>
  </si>
  <si>
    <r>
      <t>K</t>
    </r>
    <r>
      <rPr>
        <vertAlign val="subscript"/>
        <sz val="11"/>
        <color theme="1"/>
        <rFont val="Calibri"/>
        <family val="2"/>
      </rPr>
      <t>E</t>
    </r>
  </si>
  <si>
    <t>1-5</t>
  </si>
  <si>
    <t>Vapor Space Expansion Factor</t>
  </si>
  <si>
    <r>
      <t>K</t>
    </r>
    <r>
      <rPr>
        <vertAlign val="subscript"/>
        <sz val="11"/>
        <color theme="1"/>
        <rFont val="Calibri"/>
        <family val="2"/>
      </rPr>
      <t>S</t>
    </r>
  </si>
  <si>
    <t>1-21</t>
  </si>
  <si>
    <t>Vented Vapor Saturation Factor</t>
  </si>
  <si>
    <r>
      <t>M</t>
    </r>
    <r>
      <rPr>
        <vertAlign val="subscript"/>
        <sz val="11"/>
        <color theme="1"/>
        <rFont val="Calibri"/>
        <family val="2"/>
      </rPr>
      <t>V</t>
    </r>
  </si>
  <si>
    <t>1-23</t>
  </si>
  <si>
    <t>(lb/mol)</t>
  </si>
  <si>
    <t>MV</t>
  </si>
  <si>
    <t>TV</t>
  </si>
  <si>
    <t>1-33/1-34</t>
  </si>
  <si>
    <t>Average Vapor Temperature</t>
  </si>
  <si>
    <r>
      <t>T</t>
    </r>
    <r>
      <rPr>
        <vertAlign val="subscript"/>
        <sz val="11"/>
        <color theme="1"/>
        <rFont val="Calibri"/>
        <family val="2"/>
      </rPr>
      <t>V</t>
    </r>
  </si>
  <si>
    <r>
      <t>W</t>
    </r>
    <r>
      <rPr>
        <vertAlign val="subscript"/>
        <sz val="11"/>
        <color theme="1"/>
        <rFont val="Calibri"/>
        <family val="2"/>
      </rPr>
      <t>V</t>
    </r>
  </si>
  <si>
    <t>1-22</t>
  </si>
  <si>
    <t>Vapor Density</t>
  </si>
  <si>
    <r>
      <t>(lb/ft</t>
    </r>
    <r>
      <rPr>
        <vertAlign val="superscript"/>
        <sz val="11"/>
        <color theme="1"/>
        <rFont val="Calibri"/>
        <family val="2"/>
        <scheme val="minor"/>
      </rPr>
      <t>3</t>
    </r>
    <r>
      <rPr>
        <sz val="11"/>
        <color theme="1"/>
        <rFont val="Calibri"/>
        <family val="2"/>
        <scheme val="minor"/>
      </rPr>
      <t>)</t>
    </r>
  </si>
  <si>
    <r>
      <t>L</t>
    </r>
    <r>
      <rPr>
        <vertAlign val="subscript"/>
        <sz val="11"/>
        <color theme="1"/>
        <rFont val="Calibri"/>
        <family val="2"/>
      </rPr>
      <t>S</t>
    </r>
  </si>
  <si>
    <t>1-4</t>
  </si>
  <si>
    <t>Standing Loss</t>
  </si>
  <si>
    <t>(lb/month)</t>
  </si>
  <si>
    <t>Q</t>
  </si>
  <si>
    <t>Monthly Throughput</t>
  </si>
  <si>
    <r>
      <t>V</t>
    </r>
    <r>
      <rPr>
        <vertAlign val="subscript"/>
        <sz val="11"/>
        <color theme="1"/>
        <rFont val="Calibri"/>
        <family val="2"/>
      </rPr>
      <t>Q</t>
    </r>
  </si>
  <si>
    <t>1-39</t>
  </si>
  <si>
    <t>Net Working Loss Throughput</t>
  </si>
  <si>
    <r>
      <t>(ft</t>
    </r>
    <r>
      <rPr>
        <vertAlign val="superscript"/>
        <sz val="11"/>
        <color theme="1"/>
        <rFont val="Calibri"/>
        <family val="2"/>
        <scheme val="minor"/>
      </rPr>
      <t>3</t>
    </r>
    <r>
      <rPr>
        <sz val="11"/>
        <color theme="1"/>
        <rFont val="Calibri"/>
        <family val="2"/>
        <scheme val="minor"/>
      </rPr>
      <t>/month)</t>
    </r>
  </si>
  <si>
    <t>N</t>
  </si>
  <si>
    <t>1-36</t>
  </si>
  <si>
    <t>Turnovers Per Month</t>
  </si>
  <si>
    <r>
      <t>K</t>
    </r>
    <r>
      <rPr>
        <vertAlign val="subscript"/>
        <sz val="11"/>
        <color theme="1"/>
        <rFont val="Calibri"/>
        <family val="2"/>
      </rPr>
      <t>N</t>
    </r>
  </si>
  <si>
    <t>1-35 Notes</t>
  </si>
  <si>
    <t>Working Loss Turnover Factor</t>
  </si>
  <si>
    <r>
      <t>K</t>
    </r>
    <r>
      <rPr>
        <vertAlign val="subscript"/>
        <sz val="11"/>
        <color theme="1"/>
        <rFont val="Calibri"/>
        <family val="2"/>
      </rPr>
      <t>P</t>
    </r>
  </si>
  <si>
    <t>Working Loss Product Factor</t>
  </si>
  <si>
    <r>
      <t>K</t>
    </r>
    <r>
      <rPr>
        <vertAlign val="subscript"/>
        <sz val="11"/>
        <color theme="1"/>
        <rFont val="Calibri"/>
        <family val="2"/>
      </rPr>
      <t>B</t>
    </r>
  </si>
  <si>
    <t>Vent Setting Correction Factor</t>
  </si>
  <si>
    <r>
      <t>L</t>
    </r>
    <r>
      <rPr>
        <vertAlign val="subscript"/>
        <sz val="11"/>
        <color theme="1"/>
        <rFont val="Calibri"/>
        <family val="2"/>
      </rPr>
      <t>W</t>
    </r>
  </si>
  <si>
    <t>1-35</t>
  </si>
  <si>
    <t>Working Loss</t>
  </si>
  <si>
    <r>
      <t>L</t>
    </r>
    <r>
      <rPr>
        <vertAlign val="subscript"/>
        <sz val="11"/>
        <color theme="1"/>
        <rFont val="Calibri"/>
        <family val="2"/>
      </rPr>
      <t>T</t>
    </r>
  </si>
  <si>
    <t>Total Losses</t>
  </si>
  <si>
    <t>Annual Totals</t>
  </si>
  <si>
    <t>(lb/yr)</t>
  </si>
  <si>
    <t>(tons/yr)</t>
  </si>
  <si>
    <r>
      <t>L</t>
    </r>
    <r>
      <rPr>
        <b/>
        <vertAlign val="subscript"/>
        <sz val="11"/>
        <color theme="1"/>
        <rFont val="Calibri"/>
        <family val="2"/>
      </rPr>
      <t>S</t>
    </r>
  </si>
  <si>
    <r>
      <t>L</t>
    </r>
    <r>
      <rPr>
        <b/>
        <vertAlign val="subscript"/>
        <sz val="11"/>
        <color theme="1"/>
        <rFont val="Calibri"/>
        <family val="2"/>
      </rPr>
      <t>W</t>
    </r>
  </si>
  <si>
    <r>
      <t>L</t>
    </r>
    <r>
      <rPr>
        <b/>
        <vertAlign val="subscript"/>
        <sz val="11"/>
        <color theme="1"/>
        <rFont val="Calibri"/>
        <family val="2"/>
      </rPr>
      <t>T</t>
    </r>
  </si>
  <si>
    <r>
      <t>ΔT</t>
    </r>
    <r>
      <rPr>
        <b/>
        <vertAlign val="subscript"/>
        <sz val="11"/>
        <color theme="1"/>
        <rFont val="Calibri"/>
        <family val="2"/>
      </rPr>
      <t>V</t>
    </r>
  </si>
  <si>
    <r>
      <t>T</t>
    </r>
    <r>
      <rPr>
        <b/>
        <vertAlign val="subscript"/>
        <sz val="11"/>
        <color theme="1"/>
        <rFont val="Calibri"/>
        <family val="2"/>
      </rPr>
      <t>LA</t>
    </r>
  </si>
  <si>
    <r>
      <t>ΔP</t>
    </r>
    <r>
      <rPr>
        <b/>
        <vertAlign val="subscript"/>
        <sz val="11"/>
        <color theme="1"/>
        <rFont val="Calibri"/>
        <family val="2"/>
      </rPr>
      <t>V</t>
    </r>
  </si>
  <si>
    <r>
      <t>P</t>
    </r>
    <r>
      <rPr>
        <b/>
        <vertAlign val="subscript"/>
        <sz val="11"/>
        <color theme="1"/>
        <rFont val="Calibri"/>
        <family val="2"/>
      </rPr>
      <t>VA</t>
    </r>
  </si>
  <si>
    <r>
      <t>K</t>
    </r>
    <r>
      <rPr>
        <b/>
        <vertAlign val="subscript"/>
        <sz val="11"/>
        <color theme="1"/>
        <rFont val="Calibri"/>
        <family val="2"/>
      </rPr>
      <t>E</t>
    </r>
  </si>
  <si>
    <r>
      <t>K</t>
    </r>
    <r>
      <rPr>
        <b/>
        <vertAlign val="subscript"/>
        <sz val="11"/>
        <color theme="1"/>
        <rFont val="Calibri"/>
        <family val="2"/>
      </rPr>
      <t>S</t>
    </r>
  </si>
  <si>
    <r>
      <t>M</t>
    </r>
    <r>
      <rPr>
        <b/>
        <vertAlign val="subscript"/>
        <sz val="11"/>
        <color theme="1"/>
        <rFont val="Calibri"/>
        <family val="2"/>
      </rPr>
      <t>V</t>
    </r>
  </si>
  <si>
    <r>
      <t>T</t>
    </r>
    <r>
      <rPr>
        <b/>
        <vertAlign val="subscript"/>
        <sz val="11"/>
        <color theme="1"/>
        <rFont val="Calibri"/>
        <family val="2"/>
      </rPr>
      <t>V</t>
    </r>
  </si>
  <si>
    <r>
      <t>W</t>
    </r>
    <r>
      <rPr>
        <b/>
        <vertAlign val="subscript"/>
        <sz val="11"/>
        <color theme="1"/>
        <rFont val="Calibri"/>
        <family val="2"/>
      </rPr>
      <t>V</t>
    </r>
  </si>
  <si>
    <r>
      <t>V</t>
    </r>
    <r>
      <rPr>
        <b/>
        <vertAlign val="subscript"/>
        <sz val="11"/>
        <color theme="1"/>
        <rFont val="Calibri"/>
        <family val="2"/>
      </rPr>
      <t>Q</t>
    </r>
  </si>
  <si>
    <r>
      <t>K</t>
    </r>
    <r>
      <rPr>
        <b/>
        <vertAlign val="subscript"/>
        <sz val="11"/>
        <color theme="1"/>
        <rFont val="Calibri"/>
        <family val="2"/>
      </rPr>
      <t>N</t>
    </r>
  </si>
  <si>
    <r>
      <t>K</t>
    </r>
    <r>
      <rPr>
        <b/>
        <vertAlign val="subscript"/>
        <sz val="11"/>
        <color theme="1"/>
        <rFont val="Calibri"/>
        <family val="2"/>
      </rPr>
      <t>P</t>
    </r>
  </si>
  <si>
    <r>
      <t>K</t>
    </r>
    <r>
      <rPr>
        <b/>
        <vertAlign val="subscript"/>
        <sz val="11"/>
        <color theme="1"/>
        <rFont val="Calibri"/>
        <family val="2"/>
      </rPr>
      <t>B</t>
    </r>
  </si>
  <si>
    <r>
      <t>(</t>
    </r>
    <r>
      <rPr>
        <b/>
        <sz val="11"/>
        <color theme="1"/>
        <rFont val="Calibri"/>
        <family val="2"/>
      </rPr>
      <t>°R)</t>
    </r>
  </si>
  <si>
    <r>
      <t>(lb/ft</t>
    </r>
    <r>
      <rPr>
        <b/>
        <vertAlign val="superscript"/>
        <sz val="11"/>
        <color theme="1"/>
        <rFont val="Calibri"/>
        <family val="2"/>
        <scheme val="minor"/>
      </rPr>
      <t>3</t>
    </r>
    <r>
      <rPr>
        <b/>
        <sz val="11"/>
        <color theme="1"/>
        <rFont val="Calibri"/>
        <family val="2"/>
        <scheme val="minor"/>
      </rPr>
      <t>)</t>
    </r>
  </si>
  <si>
    <r>
      <t>(ft</t>
    </r>
    <r>
      <rPr>
        <b/>
        <vertAlign val="superscript"/>
        <sz val="11"/>
        <color theme="1"/>
        <rFont val="Calibri"/>
        <family val="2"/>
        <scheme val="minor"/>
      </rPr>
      <t>3</t>
    </r>
    <r>
      <rPr>
        <b/>
        <sz val="11"/>
        <color theme="1"/>
        <rFont val="Calibri"/>
        <family val="2"/>
        <scheme val="minor"/>
      </rPr>
      <t>/month)</t>
    </r>
  </si>
  <si>
    <r>
      <t>V</t>
    </r>
    <r>
      <rPr>
        <b/>
        <vertAlign val="subscript"/>
        <sz val="11"/>
        <color theme="1"/>
        <rFont val="Calibri"/>
        <family val="2"/>
        <scheme val="minor"/>
      </rPr>
      <t>V</t>
    </r>
  </si>
  <si>
    <r>
      <t>ΔP</t>
    </r>
    <r>
      <rPr>
        <b/>
        <vertAlign val="subscript"/>
        <sz val="11"/>
        <color theme="1"/>
        <rFont val="Calibri"/>
        <family val="2"/>
      </rPr>
      <t>B</t>
    </r>
  </si>
  <si>
    <r>
      <t>D/D</t>
    </r>
    <r>
      <rPr>
        <b/>
        <vertAlign val="subscript"/>
        <sz val="11"/>
        <color theme="1"/>
        <rFont val="Calibri"/>
        <family val="2"/>
        <scheme val="minor"/>
      </rPr>
      <t>E</t>
    </r>
  </si>
  <si>
    <r>
      <t>H</t>
    </r>
    <r>
      <rPr>
        <b/>
        <vertAlign val="subscript"/>
        <sz val="11"/>
        <color theme="1"/>
        <rFont val="Calibri"/>
        <family val="2"/>
        <scheme val="minor"/>
      </rPr>
      <t>S</t>
    </r>
    <r>
      <rPr>
        <b/>
        <sz val="11"/>
        <color theme="1"/>
        <rFont val="Calibri"/>
        <family val="2"/>
        <scheme val="minor"/>
      </rPr>
      <t>/H</t>
    </r>
    <r>
      <rPr>
        <b/>
        <vertAlign val="subscript"/>
        <sz val="11"/>
        <color theme="1"/>
        <rFont val="Calibri"/>
        <family val="2"/>
        <scheme val="minor"/>
      </rPr>
      <t>SE</t>
    </r>
  </si>
  <si>
    <r>
      <t>H</t>
    </r>
    <r>
      <rPr>
        <b/>
        <vertAlign val="subscript"/>
        <sz val="11"/>
        <color theme="1"/>
        <rFont val="Calibri"/>
        <family val="2"/>
        <scheme val="minor"/>
      </rPr>
      <t>VO</t>
    </r>
  </si>
  <si>
    <r>
      <t>H</t>
    </r>
    <r>
      <rPr>
        <b/>
        <vertAlign val="subscript"/>
        <sz val="11"/>
        <color theme="1"/>
        <rFont val="Calibri"/>
        <family val="2"/>
        <scheme val="minor"/>
      </rPr>
      <t>R</t>
    </r>
  </si>
  <si>
    <r>
      <t>H</t>
    </r>
    <r>
      <rPr>
        <b/>
        <vertAlign val="subscript"/>
        <sz val="11"/>
        <color theme="1"/>
        <rFont val="Calibri"/>
        <family val="2"/>
        <scheme val="minor"/>
      </rPr>
      <t>RO</t>
    </r>
  </si>
  <si>
    <r>
      <t>H</t>
    </r>
    <r>
      <rPr>
        <b/>
        <vertAlign val="subscript"/>
        <sz val="11"/>
        <color theme="1"/>
        <rFont val="Calibri"/>
        <family val="2"/>
        <scheme val="minor"/>
      </rPr>
      <t>LX</t>
    </r>
  </si>
  <si>
    <r>
      <t>H</t>
    </r>
    <r>
      <rPr>
        <b/>
        <vertAlign val="subscript"/>
        <sz val="11"/>
        <color theme="1"/>
        <rFont val="Calibri"/>
        <family val="2"/>
        <scheme val="minor"/>
      </rPr>
      <t>LN</t>
    </r>
  </si>
  <si>
    <r>
      <t>α</t>
    </r>
    <r>
      <rPr>
        <b/>
        <vertAlign val="subscript"/>
        <sz val="11"/>
        <color theme="1"/>
        <rFont val="Calibri"/>
        <family val="2"/>
      </rPr>
      <t>S</t>
    </r>
  </si>
  <si>
    <r>
      <t>α</t>
    </r>
    <r>
      <rPr>
        <b/>
        <vertAlign val="subscript"/>
        <sz val="11"/>
        <color theme="1"/>
        <rFont val="Calibri"/>
        <family val="2"/>
      </rPr>
      <t>R</t>
    </r>
  </si>
  <si>
    <r>
      <t>(ft</t>
    </r>
    <r>
      <rPr>
        <b/>
        <vertAlign val="superscript"/>
        <sz val="11"/>
        <color theme="1"/>
        <rFont val="Calibri"/>
        <family val="2"/>
        <scheme val="minor"/>
      </rPr>
      <t>3</t>
    </r>
    <r>
      <rPr>
        <b/>
        <sz val="11"/>
        <color theme="1"/>
        <rFont val="Calibri"/>
        <family val="2"/>
        <scheme val="minor"/>
      </rPr>
      <t>)</t>
    </r>
  </si>
  <si>
    <t>Test</t>
  </si>
  <si>
    <t>FLT Variables</t>
  </si>
  <si>
    <t>Lookups - Constant</t>
  </si>
  <si>
    <t>Lookups - Variable</t>
  </si>
  <si>
    <t>Calculation - Constant</t>
  </si>
  <si>
    <t>Calculation - Variable</t>
  </si>
  <si>
    <t>LT</t>
  </si>
  <si>
    <t>LW</t>
  </si>
  <si>
    <t>LS</t>
  </si>
  <si>
    <t>LR</t>
  </si>
  <si>
    <t>LF</t>
  </si>
  <si>
    <t>LD</t>
  </si>
  <si>
    <t>Primary Shoe</t>
  </si>
  <si>
    <t>Roof Type</t>
  </si>
  <si>
    <t>Seal Tightness</t>
  </si>
  <si>
    <t>KRA</t>
  </si>
  <si>
    <t>KRB</t>
  </si>
  <si>
    <t>v</t>
  </si>
  <si>
    <t>n</t>
  </si>
  <si>
    <t>P*</t>
  </si>
  <si>
    <t>Product Stored</t>
  </si>
  <si>
    <t>Kc</t>
  </si>
  <si>
    <t>TLA</t>
  </si>
  <si>
    <t>TB</t>
  </si>
  <si>
    <t>TAA</t>
  </si>
  <si>
    <t>alpha R</t>
  </si>
  <si>
    <t>alpha S</t>
  </si>
  <si>
    <t>Shell Color</t>
  </si>
  <si>
    <t>Roof Color</t>
  </si>
  <si>
    <t>Shell Paint Condition</t>
  </si>
  <si>
    <t>Roof Paint Condition</t>
  </si>
  <si>
    <t>Deck Type</t>
  </si>
  <si>
    <t>FF</t>
  </si>
  <si>
    <t>NF</t>
  </si>
  <si>
    <t>KF</t>
  </si>
  <si>
    <t>Roof Fittings</t>
  </si>
  <si>
    <t>Kfa</t>
  </si>
  <si>
    <t>KFB</t>
  </si>
  <si>
    <t>m</t>
  </si>
  <si>
    <t>KD</t>
  </si>
  <si>
    <t>Deck Construction</t>
  </si>
  <si>
    <t>SD</t>
  </si>
  <si>
    <t>Throughput</t>
  </si>
  <si>
    <t>Cs</t>
  </si>
  <si>
    <t>WL</t>
  </si>
  <si>
    <t>NC</t>
  </si>
  <si>
    <t>Tbl 7.1-8</t>
  </si>
  <si>
    <t>KFa</t>
  </si>
  <si>
    <t>Tbl 7.1-12</t>
  </si>
  <si>
    <t>Tbl 7.1-11,12,13,15</t>
  </si>
  <si>
    <t>Secondary Shoe</t>
  </si>
  <si>
    <t>Name/ID</t>
  </si>
  <si>
    <t>Tank Properties- Constant</t>
  </si>
  <si>
    <t>Variable Name</t>
  </si>
  <si>
    <t>Tank Properties- Variable</t>
  </si>
  <si>
    <r>
      <t>K</t>
    </r>
    <r>
      <rPr>
        <b/>
        <vertAlign val="subscript"/>
        <sz val="11"/>
        <color theme="1"/>
        <rFont val="Calibri"/>
        <family val="2"/>
        <scheme val="minor"/>
      </rPr>
      <t>D</t>
    </r>
  </si>
  <si>
    <t>Welded Deck</t>
  </si>
  <si>
    <t>Bolted Deck</t>
  </si>
  <si>
    <t>References</t>
  </si>
  <si>
    <t>Table 7.1-16</t>
  </si>
  <si>
    <t>Table 7.1-10</t>
  </si>
  <si>
    <t>Tbl 7.1-11</t>
  </si>
  <si>
    <t>FC</t>
  </si>
  <si>
    <t>9" by 7"</t>
  </si>
  <si>
    <t>8" Diameter</t>
  </si>
  <si>
    <t>Unknown</t>
  </si>
  <si>
    <t>Deck_Type</t>
  </si>
  <si>
    <t>Column_Diameter</t>
  </si>
  <si>
    <t>Roof Support Type</t>
  </si>
  <si>
    <t>Number of Columns</t>
  </si>
  <si>
    <t>Spreadsheet ID</t>
  </si>
  <si>
    <t>Product Name</t>
  </si>
  <si>
    <t>Product Type</t>
  </si>
  <si>
    <t>Product RVP</t>
  </si>
  <si>
    <t>Product Slope</t>
  </si>
  <si>
    <t>Weather Data</t>
  </si>
  <si>
    <t>FLT_Tank_Type</t>
  </si>
  <si>
    <t>Riveted</t>
  </si>
  <si>
    <t>Welded</t>
  </si>
  <si>
    <t>Tank Shell Height</t>
  </si>
  <si>
    <t>External Floating Roof</t>
  </si>
  <si>
    <t>Domed External Floating Roof</t>
  </si>
  <si>
    <t>Internal Floating Roof</t>
  </si>
  <si>
    <t>FLT_Roof_Type</t>
  </si>
  <si>
    <r>
      <t xml:space="preserve">Select Floating Roof Type from 
</t>
    </r>
    <r>
      <rPr>
        <b/>
        <i/>
        <sz val="11"/>
        <color theme="1"/>
        <rFont val="Calibri"/>
        <family val="2"/>
        <scheme val="minor"/>
      </rPr>
      <t>Drop-down Menu</t>
    </r>
  </si>
  <si>
    <r>
      <t xml:space="preserve">Select Deck Type from 
</t>
    </r>
    <r>
      <rPr>
        <b/>
        <i/>
        <sz val="11"/>
        <color theme="1"/>
        <rFont val="Calibri"/>
        <family val="2"/>
        <scheme val="minor"/>
      </rPr>
      <t>Drop-down Menu</t>
    </r>
  </si>
  <si>
    <r>
      <t xml:space="preserve">Select Deck Construction from 
</t>
    </r>
    <r>
      <rPr>
        <b/>
        <i/>
        <sz val="11"/>
        <color theme="1"/>
        <rFont val="Calibri"/>
        <family val="2"/>
        <scheme val="minor"/>
      </rPr>
      <t>Drop-down Menu</t>
    </r>
  </si>
  <si>
    <t>Deck_Construction</t>
  </si>
  <si>
    <t>N/A - IFR</t>
  </si>
  <si>
    <t>N/A - Domed EFR</t>
  </si>
  <si>
    <t>Pontoon</t>
  </si>
  <si>
    <t>Double Deck</t>
  </si>
  <si>
    <r>
      <t xml:space="preserve">Select Seal from 
</t>
    </r>
    <r>
      <rPr>
        <b/>
        <i/>
        <sz val="11"/>
        <color theme="1"/>
        <rFont val="Calibri"/>
        <family val="2"/>
        <scheme val="minor"/>
      </rPr>
      <t>Drop-down Menu</t>
    </r>
  </si>
  <si>
    <t>Seal_Type</t>
  </si>
  <si>
    <t>Mechanical Shoe - Primary Only</t>
  </si>
  <si>
    <t>Mechanical Shoe w/ Shoe-Mounted Secondary</t>
  </si>
  <si>
    <t>Mechanical Shoe w/ Rim Mounted Secondary</t>
  </si>
  <si>
    <t>Liquid-Mounted Seal - Primary Only</t>
  </si>
  <si>
    <t>Liquid-Mounted Seal w/ Weather Shield</t>
  </si>
  <si>
    <t>Liquid-Mounted Seal w/ Rim Mounted Secondary</t>
  </si>
  <si>
    <t>Vapor-Mounted Seal - Primary Only</t>
  </si>
  <si>
    <t>Vapor-Mounted Seal w/ Weather Shield</t>
  </si>
  <si>
    <t>Vapor-Mounted Seal w/ Rim Mounted Secondary</t>
  </si>
  <si>
    <r>
      <t xml:space="preserve">Select Seal Tightness from 
</t>
    </r>
    <r>
      <rPr>
        <b/>
        <i/>
        <sz val="11"/>
        <color theme="1"/>
        <rFont val="Calibri"/>
        <family val="2"/>
        <scheme val="minor"/>
      </rPr>
      <t>Drop-down Menu</t>
    </r>
  </si>
  <si>
    <t>Seal_Tightness</t>
  </si>
  <si>
    <t>Tight</t>
  </si>
  <si>
    <r>
      <t xml:space="preserve">Select Roof Support Type from 
</t>
    </r>
    <r>
      <rPr>
        <b/>
        <i/>
        <sz val="11"/>
        <color theme="1"/>
        <rFont val="Calibri"/>
        <family val="2"/>
        <scheme val="minor"/>
      </rPr>
      <t>Drop-down Menu</t>
    </r>
  </si>
  <si>
    <t>Roof_Support_Type</t>
  </si>
  <si>
    <t>IFR - Self Supported</t>
  </si>
  <si>
    <t>IFR - Column Supported</t>
  </si>
  <si>
    <r>
      <t xml:space="preserve">Select Roof Support Column Construction from 
</t>
    </r>
    <r>
      <rPr>
        <b/>
        <i/>
        <sz val="11"/>
        <color theme="1"/>
        <rFont val="Calibri"/>
        <family val="2"/>
        <scheme val="minor"/>
      </rPr>
      <t>Drop-down Menu</t>
    </r>
  </si>
  <si>
    <t>N/A - EFR/Domed EFR</t>
  </si>
  <si>
    <t>Roof_Column_Cons</t>
  </si>
  <si>
    <r>
      <t xml:space="preserve">Number of Support Columns
</t>
    </r>
    <r>
      <rPr>
        <b/>
        <i/>
        <sz val="11"/>
        <color theme="1"/>
        <rFont val="Calibri"/>
        <family val="2"/>
        <scheme val="minor"/>
      </rPr>
      <t>Leave blank if unknown</t>
    </r>
  </si>
  <si>
    <t>Floating Roof Tank Construction</t>
  </si>
  <si>
    <t>Floating Roof Product Information</t>
  </si>
  <si>
    <t>FLT_Cons Row</t>
  </si>
  <si>
    <t>FLT_Cons Column</t>
  </si>
  <si>
    <t>SS #</t>
  </si>
  <si>
    <t>ID #</t>
  </si>
  <si>
    <t>Product Property</t>
  </si>
  <si>
    <t>Product #1 Type</t>
  </si>
  <si>
    <t>Product #1 RVP, if applicable (psi)</t>
  </si>
  <si>
    <t>Product #1 ASTM Slope</t>
  </si>
  <si>
    <r>
      <t>Product #1 Name</t>
    </r>
    <r>
      <rPr>
        <vertAlign val="superscript"/>
        <sz val="11"/>
        <color theme="1"/>
        <rFont val="Calibri"/>
        <family val="2"/>
        <scheme val="minor"/>
      </rPr>
      <t>2</t>
    </r>
  </si>
  <si>
    <r>
      <t>Product Property</t>
    </r>
    <r>
      <rPr>
        <b/>
        <vertAlign val="superscript"/>
        <sz val="11"/>
        <color theme="1"/>
        <rFont val="Calibri"/>
        <family val="2"/>
        <scheme val="minor"/>
      </rPr>
      <t>1</t>
    </r>
  </si>
  <si>
    <t>Product #1 Mass Fraction</t>
  </si>
  <si>
    <r>
      <t>Product #2 Name</t>
    </r>
    <r>
      <rPr>
        <vertAlign val="superscript"/>
        <sz val="11"/>
        <color theme="1"/>
        <rFont val="Calibri"/>
        <family val="2"/>
        <scheme val="minor"/>
      </rPr>
      <t>2</t>
    </r>
  </si>
  <si>
    <t>Product #2 Type</t>
  </si>
  <si>
    <t>Product #2 RVP, if applicable (psi)</t>
  </si>
  <si>
    <t>Product #2 ASTM Slope</t>
  </si>
  <si>
    <t>Product #2 Mass Fraction</t>
  </si>
  <si>
    <t>Throughput (bbl/mo)</t>
  </si>
  <si>
    <t>Storage Temperature (F), leave blank if unknown</t>
  </si>
  <si>
    <t>Phys Prop Column</t>
  </si>
  <si>
    <t>---</t>
  </si>
  <si>
    <t>Total or Average</t>
  </si>
  <si>
    <t>Notes:</t>
  </si>
  <si>
    <t>1 - Black font indicates inputted values and blue font indicates lookups or calculations</t>
  </si>
  <si>
    <t>2- Use pull down menu</t>
  </si>
  <si>
    <r>
      <t xml:space="preserve">Select Tank Shell Condition from 
</t>
    </r>
    <r>
      <rPr>
        <b/>
        <i/>
        <sz val="11"/>
        <color theme="1"/>
        <rFont val="Calibri"/>
        <family val="2"/>
        <scheme val="minor"/>
      </rPr>
      <t>Drop-down Menu</t>
    </r>
  </si>
  <si>
    <t>Shell_Cond</t>
  </si>
  <si>
    <t>Light Rust</t>
  </si>
  <si>
    <t>Dense Rust</t>
  </si>
  <si>
    <t>Gunnite Lining</t>
  </si>
  <si>
    <t>Tbl 7.1-8 Welded</t>
  </si>
  <si>
    <t>Seal Type</t>
  </si>
  <si>
    <t>KRA-Avg</t>
  </si>
  <si>
    <t>KRA-Tight</t>
  </si>
  <si>
    <t>KRB-Avg</t>
  </si>
  <si>
    <t>KRBA-Tight</t>
  </si>
  <si>
    <t>Unknown - EFR</t>
  </si>
  <si>
    <t>Unknown - Domed EFR</t>
  </si>
  <si>
    <t>Unknown - IFR</t>
  </si>
  <si>
    <t>n-AVG</t>
  </si>
  <si>
    <t>n-Tight</t>
  </si>
  <si>
    <t>Tbl 7.1-8 Riveted</t>
  </si>
  <si>
    <t>Tbl 7.1-10</t>
  </si>
  <si>
    <t>Shell Condition</t>
  </si>
  <si>
    <t>Tank Diameter Range (ft)</t>
  </si>
  <si>
    <t>Typical Number of Columns, NC</t>
  </si>
  <si>
    <t>Diameter Range #</t>
  </si>
  <si>
    <t>Min</t>
  </si>
  <si>
    <t>Max</t>
  </si>
  <si>
    <t>Fitting Type And Construction Details</t>
  </si>
  <si>
    <t>Loss Factors</t>
  </si>
  <si>
    <t>Access Hatch (24" Diameter Well)</t>
  </si>
  <si>
    <t>Bolted cover, gasketed</t>
  </si>
  <si>
    <t>Unbolted cover, ungasketed</t>
  </si>
  <si>
    <t>Unbolted cover, gasketed</t>
  </si>
  <si>
    <t>Fixed roof support column well</t>
  </si>
  <si>
    <t>Round pipe, ungasketed sliding cover</t>
  </si>
  <si>
    <t>Round pipe, gasketed sliding cover</t>
  </si>
  <si>
    <t>Round pipe, flexible fabric sleeve seal</t>
  </si>
  <si>
    <t>Built-up column, ungasketed sliding cover</t>
  </si>
  <si>
    <t>Built-up column, gasketed sliding cover</t>
  </si>
  <si>
    <t>Unslotted guide-pole and well (8" diameter unslotted pole, 21" diameter well)</t>
  </si>
  <si>
    <t>Ungasketed sliding cover</t>
  </si>
  <si>
    <t>Ungasketed sliding cover w/pole sleeve</t>
  </si>
  <si>
    <t>Gasketed sliding cover</t>
  </si>
  <si>
    <t>Gasketed sliding cover w/ pole wiper</t>
  </si>
  <si>
    <t>Gasketed sliding cover w/ pole sleeve</t>
  </si>
  <si>
    <t>Slotted guide-pole/sample well (8" diameter slotted pole, 21" diameter well)</t>
  </si>
  <si>
    <t>Ungasketed or gasketed sliding cover</t>
  </si>
  <si>
    <t>Ungasketed or gasketed sliding cover with float</t>
  </si>
  <si>
    <t>Gasketed sliding cover w/ pole sleeve and pole wiper</t>
  </si>
  <si>
    <t>Gasketed sliding cover w/ float and pole wiper</t>
  </si>
  <si>
    <t>Gasketed sliding cover w/ float, pole sleeve and pole wiper</t>
  </si>
  <si>
    <t>Gauge-float well (automatic gauge)</t>
  </si>
  <si>
    <t>Gauge hatch/sample port</t>
  </si>
  <si>
    <t>Weighted mechanical actuation, gasketed</t>
  </si>
  <si>
    <t>Weighted mechanical actuation, ungasketed</t>
  </si>
  <si>
    <t>Slit fabric seal, 10% open area</t>
  </si>
  <si>
    <t>Vacuum breaker</t>
  </si>
  <si>
    <t>Deck Drain (3" diameter)</t>
  </si>
  <si>
    <t>Open</t>
  </si>
  <si>
    <t>Table 7.13</t>
  </si>
  <si>
    <t>90% Closed</t>
  </si>
  <si>
    <t>Stub Drain (1" diameter)</t>
  </si>
  <si>
    <t>Table 7.1-15</t>
  </si>
  <si>
    <t>Adjustable, pontoon area ungasketed</t>
  </si>
  <si>
    <t>Adjustable, pontoon area gasketed</t>
  </si>
  <si>
    <t>Adjustable, pontoon area sock</t>
  </si>
  <si>
    <t>Adjustable, center area ungasketed</t>
  </si>
  <si>
    <t>Adjustable, center area gasketed</t>
  </si>
  <si>
    <t>Adjustable, center area sock</t>
  </si>
  <si>
    <t>Rim Vent</t>
  </si>
  <si>
    <t>Ladder Well</t>
  </si>
  <si>
    <t>Sliding cover, ungasketed</t>
  </si>
  <si>
    <t>Sliding cover, gasketed</t>
  </si>
  <si>
    <t>Unknown - EFR/Domed EFR</t>
  </si>
  <si>
    <t>KFb</t>
  </si>
  <si>
    <t>Calc</t>
  </si>
  <si>
    <t>Flexible Enclosure</t>
  </si>
  <si>
    <t>Deck Leg IFR</t>
  </si>
  <si>
    <t>Adjustable</t>
  </si>
  <si>
    <t>Table 7.1-14</t>
  </si>
  <si>
    <t>Deck Leg EFR/Domed EFR Pontoon Area</t>
  </si>
  <si>
    <t>Unknown - EFR/Domed EFR Pontoon Area</t>
  </si>
  <si>
    <t>N/A - EFR/Domed EFR Double Deck</t>
  </si>
  <si>
    <t>Deck Leg EFR/Domed EFR Pontoon Center Area and Double Deck</t>
  </si>
  <si>
    <t>Combo Ladder Well/Slotted Guide Pole</t>
  </si>
  <si>
    <t>Sliding Cover, ungasketed</t>
  </si>
  <si>
    <t>Ladder Sleeve, ungasketed sliding cover</t>
  </si>
  <si>
    <t>Typical Number Of Fittings, NF</t>
  </si>
  <si>
    <t>Number of Vacuum Breakers</t>
  </si>
  <si>
    <t>Number of Deck Drains</t>
  </si>
  <si>
    <t>(feet)b</t>
  </si>
  <si>
    <t>Range #</t>
  </si>
  <si>
    <t>Pontoon Roof</t>
  </si>
  <si>
    <t>Double-Deck Roof</t>
  </si>
  <si>
    <t>EXTERNAL FLOATING ROOF TANKS: TYPICAL NUMBER OF VACUUM BREAKERS AND DECK DRAINS</t>
  </si>
  <si>
    <t>Tbl 7.1-13</t>
  </si>
  <si>
    <t>Range</t>
  </si>
  <si>
    <t>Tank Diameterb</t>
  </si>
  <si>
    <t>Number Of Legs On
Double-Deck Roof</t>
  </si>
  <si>
    <t xml:space="preserve"> D (feet)b</t>
  </si>
  <si>
    <t>Number of Pontoon Legs</t>
  </si>
  <si>
    <t>Number of Center Legs</t>
  </si>
  <si>
    <t>Pontoon Roof Total</t>
  </si>
  <si>
    <t>Tbl 7.1-14</t>
  </si>
  <si>
    <t>Tbl 7.1-16</t>
  </si>
  <si>
    <t>Bolted Deck CONSTRUCTIONS FOR INTERNAL FLOATING ROOF TANKSa</t>
  </si>
  <si>
    <t>Continuous Sheet - 5' Wide</t>
  </si>
  <si>
    <t>Continuous Sheet - 6' Wide</t>
  </si>
  <si>
    <t>Continuous Sheet - 7' Wide</t>
  </si>
  <si>
    <t>Panel Construction - 5' x 7.5'</t>
  </si>
  <si>
    <t>Panel Construction - 5' x 12'</t>
  </si>
  <si>
    <t>SD (ft/ft2)</t>
  </si>
  <si>
    <t>N/A - Welded</t>
  </si>
  <si>
    <t>Diameter (ft)</t>
  </si>
  <si>
    <t>Rim Seal Type</t>
  </si>
  <si>
    <r>
      <t xml:space="preserve">Select Bolted Deck Construction from 
</t>
    </r>
    <r>
      <rPr>
        <b/>
        <i/>
        <sz val="11"/>
        <color theme="1"/>
        <rFont val="Calibri"/>
        <family val="2"/>
        <scheme val="minor"/>
      </rPr>
      <t>Drop-down Menu</t>
    </r>
  </si>
  <si>
    <t>Diameter</t>
  </si>
  <si>
    <t>Roof</t>
  </si>
  <si>
    <t>Deck</t>
  </si>
  <si>
    <t>Rim Seal</t>
  </si>
  <si>
    <t>Roof Support Column</t>
  </si>
  <si>
    <t>Roof Support</t>
  </si>
  <si>
    <t>Deck Fitting Name</t>
  </si>
  <si>
    <t>Deck Fitting Type</t>
  </si>
  <si>
    <t>N/A - Slotted Guide Pole and Ladder Exist Seperately</t>
  </si>
  <si>
    <t>KFa
(mol/yr)</t>
  </si>
  <si>
    <t>KFb
(mol/mph-yr)</t>
  </si>
  <si>
    <t>Kv</t>
  </si>
  <si>
    <t>V
(mph)</t>
  </si>
  <si>
    <t>KF
(mol/yr)</t>
  </si>
  <si>
    <t>NFi
(manual entry if known)</t>
  </si>
  <si>
    <t>FF Monthly Total</t>
  </si>
  <si>
    <t>FFi
(mol/month)</t>
  </si>
  <si>
    <t>Floating Roof Fitting Information &amp; FF Calculations</t>
  </si>
  <si>
    <t>Total FF
(mol/yr)</t>
  </si>
  <si>
    <r>
      <rPr>
        <b/>
        <sz val="11"/>
        <color theme="1"/>
        <rFont val="Calibri"/>
        <family val="2"/>
        <scheme val="minor"/>
      </rPr>
      <t xml:space="preserve">AP-42 Table 7.1-12 Quantities </t>
    </r>
    <r>
      <rPr>
        <sz val="11"/>
        <color theme="1"/>
        <rFont val="Calibri"/>
        <family val="2"/>
        <scheme val="minor"/>
      </rPr>
      <t>(use pulldowns to select fitting types)</t>
    </r>
  </si>
  <si>
    <t>Tank Construction Details</t>
  </si>
  <si>
    <t>FF Monthly Total:</t>
  </si>
  <si>
    <t>Flt_Cons Row</t>
  </si>
  <si>
    <t>Flt_Cons Column Column</t>
  </si>
  <si>
    <t>Tank Diameter (ft)</t>
  </si>
  <si>
    <t>Roof Condition</t>
  </si>
  <si>
    <t>Fixed Properties</t>
  </si>
  <si>
    <t>Flt Product Row</t>
  </si>
  <si>
    <t>Flt Product Column</t>
  </si>
  <si>
    <t>X1</t>
  </si>
  <si>
    <t>X2</t>
  </si>
  <si>
    <t>Test 2</t>
  </si>
  <si>
    <t>Test 3</t>
  </si>
  <si>
    <t>Flt_Product Row</t>
  </si>
  <si>
    <t>Flt Cons Row</t>
  </si>
  <si>
    <t>Flt Cons Col</t>
  </si>
  <si>
    <t>Flt Multi Row</t>
  </si>
  <si>
    <t>Flt Temp Row</t>
  </si>
  <si>
    <t>Flt_prod info</t>
  </si>
  <si>
    <t>S1</t>
  </si>
  <si>
    <t>RVP1</t>
  </si>
  <si>
    <t>RVP2</t>
  </si>
  <si>
    <t>S2</t>
  </si>
  <si>
    <r>
      <t>RVP</t>
    </r>
    <r>
      <rPr>
        <vertAlign val="subscript"/>
        <sz val="11"/>
        <color theme="1"/>
        <rFont val="Calibri"/>
        <family val="2"/>
        <scheme val="minor"/>
      </rPr>
      <t>1</t>
    </r>
  </si>
  <si>
    <r>
      <t>S</t>
    </r>
    <r>
      <rPr>
        <vertAlign val="subscript"/>
        <sz val="11"/>
        <color theme="1"/>
        <rFont val="Calibri"/>
        <family val="2"/>
        <scheme val="minor"/>
      </rPr>
      <t>1</t>
    </r>
  </si>
  <si>
    <r>
      <t>RVP</t>
    </r>
    <r>
      <rPr>
        <vertAlign val="subscript"/>
        <sz val="11"/>
        <color theme="1"/>
        <rFont val="Calibri"/>
        <family val="2"/>
        <scheme val="minor"/>
      </rPr>
      <t>2</t>
    </r>
  </si>
  <si>
    <r>
      <t>S</t>
    </r>
    <r>
      <rPr>
        <vertAlign val="subscript"/>
        <sz val="11"/>
        <color theme="1"/>
        <rFont val="Calibri"/>
        <family val="2"/>
        <scheme val="minor"/>
      </rPr>
      <t>2</t>
    </r>
  </si>
  <si>
    <t>Flt Prod Row</t>
  </si>
  <si>
    <t>Prod 1</t>
  </si>
  <si>
    <t>Prod 2</t>
  </si>
  <si>
    <t>Seal</t>
  </si>
  <si>
    <r>
      <t>K</t>
    </r>
    <r>
      <rPr>
        <b/>
        <vertAlign val="subscript"/>
        <sz val="11"/>
        <color theme="1"/>
        <rFont val="Calibri"/>
        <family val="2"/>
      </rPr>
      <t>Ra</t>
    </r>
  </si>
  <si>
    <t>(mol/ft-yr)</t>
  </si>
  <si>
    <t>Test 1 True</t>
  </si>
  <si>
    <t>Test 1 False</t>
  </si>
  <si>
    <t>Test 2 Criteria</t>
  </si>
  <si>
    <t>Test 2 True</t>
  </si>
  <si>
    <t>Test 2 False</t>
  </si>
  <si>
    <r>
      <t>K</t>
    </r>
    <r>
      <rPr>
        <b/>
        <vertAlign val="subscript"/>
        <sz val="11"/>
        <color theme="1"/>
        <rFont val="Calibri"/>
        <family val="2"/>
      </rPr>
      <t>Rb</t>
    </r>
  </si>
  <si>
    <t>Zero Wind Speed Rim Seal Loss Factor</t>
  </si>
  <si>
    <t>Wind Speed Dependent Rim Seal Loss Factor</t>
  </si>
  <si>
    <t>(mol/(mph)ft-yr)</t>
  </si>
  <si>
    <t>Seal related Windspeed Exponent</t>
  </si>
  <si>
    <t>Tank Property</t>
  </si>
  <si>
    <t>Type 1</t>
  </si>
  <si>
    <t>Tbl 7.1-7</t>
  </si>
  <si>
    <t>Average Ambient Wind Speed</t>
  </si>
  <si>
    <r>
      <t>(</t>
    </r>
    <r>
      <rPr>
        <sz val="11"/>
        <color theme="1"/>
        <rFont val="Calibri"/>
        <family val="2"/>
      </rPr>
      <t>mph)</t>
    </r>
  </si>
  <si>
    <t>Windspeed Col Slope</t>
  </si>
  <si>
    <t>Flt FF</t>
  </si>
  <si>
    <t>Windspeed Row</t>
  </si>
  <si>
    <t>Windspeed Col Int</t>
  </si>
  <si>
    <t>2-5/2-7/2-10</t>
  </si>
  <si>
    <t>Flt Temp</t>
  </si>
  <si>
    <t>Row</t>
  </si>
  <si>
    <t>TLA Row</t>
  </si>
  <si>
    <t>Flt Vap</t>
  </si>
  <si>
    <t>PVA Row</t>
  </si>
  <si>
    <t>P* Row</t>
  </si>
  <si>
    <t>Vapor Pressure Function</t>
  </si>
  <si>
    <t>2-4</t>
  </si>
  <si>
    <t>MV Row</t>
  </si>
  <si>
    <r>
      <t>K</t>
    </r>
    <r>
      <rPr>
        <vertAlign val="subscript"/>
        <sz val="11"/>
        <color theme="1"/>
        <rFont val="Calibri"/>
        <family val="2"/>
      </rPr>
      <t>C</t>
    </r>
  </si>
  <si>
    <t>2-4 Notes</t>
  </si>
  <si>
    <t>Product Factor</t>
  </si>
  <si>
    <r>
      <t>L</t>
    </r>
    <r>
      <rPr>
        <vertAlign val="subscript"/>
        <sz val="11"/>
        <color theme="1"/>
        <rFont val="Calibri"/>
        <family val="2"/>
      </rPr>
      <t>R</t>
    </r>
  </si>
  <si>
    <t>Rim Seal Loss</t>
  </si>
  <si>
    <t>2-3</t>
  </si>
  <si>
    <r>
      <t>(lb/month</t>
    </r>
    <r>
      <rPr>
        <sz val="11"/>
        <color theme="1"/>
        <rFont val="Calibri"/>
        <family val="2"/>
        <scheme val="minor"/>
      </rPr>
      <t>)</t>
    </r>
  </si>
  <si>
    <r>
      <t>F</t>
    </r>
    <r>
      <rPr>
        <vertAlign val="subscript"/>
        <sz val="11"/>
        <color theme="1"/>
        <rFont val="Calibri"/>
        <family val="2"/>
      </rPr>
      <t>F</t>
    </r>
  </si>
  <si>
    <t>2-14</t>
  </si>
  <si>
    <t>Total Deck Fitting Loss</t>
  </si>
  <si>
    <t>FF Col Slope</t>
  </si>
  <si>
    <t>FF Col Int</t>
  </si>
  <si>
    <t>FF Row 1</t>
  </si>
  <si>
    <t>FF Row 2</t>
  </si>
  <si>
    <t>(mol/month)</t>
  </si>
  <si>
    <r>
      <t>L</t>
    </r>
    <r>
      <rPr>
        <vertAlign val="subscript"/>
        <sz val="11"/>
        <color theme="1"/>
        <rFont val="Calibri"/>
        <family val="2"/>
      </rPr>
      <t>F</t>
    </r>
  </si>
  <si>
    <t>Deck Fitting Loss</t>
  </si>
  <si>
    <t>2-18 Notes</t>
  </si>
  <si>
    <t>Deck Seam Loss Factor</t>
  </si>
  <si>
    <r>
      <t>S</t>
    </r>
    <r>
      <rPr>
        <b/>
        <vertAlign val="subscript"/>
        <sz val="11"/>
        <color theme="1"/>
        <rFont val="Calibri"/>
        <family val="2"/>
        <scheme val="minor"/>
      </rPr>
      <t>D</t>
    </r>
  </si>
  <si>
    <t>Bolted Deck Cons</t>
  </si>
  <si>
    <t>Deck Seam Length Factor</t>
  </si>
  <si>
    <r>
      <t>(ft/ft</t>
    </r>
    <r>
      <rPr>
        <b/>
        <vertAlign val="superscript"/>
        <sz val="11"/>
        <color theme="1"/>
        <rFont val="Calibri"/>
        <family val="2"/>
        <scheme val="minor"/>
      </rPr>
      <t>2</t>
    </r>
    <r>
      <rPr>
        <b/>
        <sz val="11"/>
        <color theme="1"/>
        <rFont val="Calibri"/>
        <family val="2"/>
        <scheme val="minor"/>
      </rPr>
      <t>)</t>
    </r>
  </si>
  <si>
    <t>2-13</t>
  </si>
  <si>
    <t>Deck Seam Loss</t>
  </si>
  <si>
    <t>Product Info</t>
  </si>
  <si>
    <r>
      <t>(bbl</t>
    </r>
    <r>
      <rPr>
        <sz val="11"/>
        <color theme="1"/>
        <rFont val="Calibri"/>
        <family val="2"/>
        <scheme val="minor"/>
      </rPr>
      <t>/month)</t>
    </r>
  </si>
  <si>
    <t>Thruput</t>
  </si>
  <si>
    <r>
      <t>C</t>
    </r>
    <r>
      <rPr>
        <b/>
        <vertAlign val="subscript"/>
        <sz val="11"/>
        <color theme="1"/>
        <rFont val="Calibri"/>
        <family val="2"/>
      </rPr>
      <t>S</t>
    </r>
  </si>
  <si>
    <t>Shell Clingage Factor</t>
  </si>
  <si>
    <r>
      <t>(bbl/1,000 ft</t>
    </r>
    <r>
      <rPr>
        <b/>
        <vertAlign val="superscript"/>
        <sz val="11"/>
        <color theme="1"/>
        <rFont val="Calibri"/>
        <family val="2"/>
        <scheme val="minor"/>
      </rPr>
      <t>2</t>
    </r>
    <r>
      <rPr>
        <b/>
        <sz val="11"/>
        <color theme="1"/>
        <rFont val="Calibri"/>
        <family val="2"/>
        <scheme val="minor"/>
      </rPr>
      <t>)</t>
    </r>
  </si>
  <si>
    <t>Shell Cond</t>
  </si>
  <si>
    <r>
      <t>W</t>
    </r>
    <r>
      <rPr>
        <vertAlign val="subscript"/>
        <sz val="11"/>
        <color theme="1"/>
        <rFont val="Calibri"/>
        <family val="2"/>
      </rPr>
      <t>L</t>
    </r>
  </si>
  <si>
    <t>Liquid Density</t>
  </si>
  <si>
    <t>(lb/gal)</t>
  </si>
  <si>
    <t>Flt Multi</t>
  </si>
  <si>
    <t>dens row</t>
  </si>
  <si>
    <r>
      <t>N</t>
    </r>
    <r>
      <rPr>
        <b/>
        <vertAlign val="subscript"/>
        <sz val="11"/>
        <color theme="1"/>
        <rFont val="Calibri"/>
        <family val="2"/>
        <scheme val="minor"/>
      </rPr>
      <t>C</t>
    </r>
  </si>
  <si>
    <t>Table 7.1-11</t>
  </si>
  <si>
    <t>Sup Col</t>
  </si>
  <si>
    <t>Number Row</t>
  </si>
  <si>
    <r>
      <t>F</t>
    </r>
    <r>
      <rPr>
        <b/>
        <vertAlign val="subscript"/>
        <sz val="11"/>
        <color theme="1"/>
        <rFont val="Calibri"/>
        <family val="2"/>
      </rPr>
      <t>C</t>
    </r>
  </si>
  <si>
    <t>2-19, Note 4</t>
  </si>
  <si>
    <t>Roof Col Cons</t>
  </si>
  <si>
    <t>2-19</t>
  </si>
  <si>
    <t>Effective Support Column Diameter</t>
  </si>
  <si>
    <t>Number of Support Columns</t>
  </si>
  <si>
    <r>
      <t>L</t>
    </r>
    <r>
      <rPr>
        <b/>
        <vertAlign val="subscript"/>
        <sz val="11"/>
        <color theme="1"/>
        <rFont val="Calibri"/>
        <family val="2"/>
      </rPr>
      <t>R</t>
    </r>
  </si>
  <si>
    <r>
      <t>L</t>
    </r>
    <r>
      <rPr>
        <b/>
        <vertAlign val="subscript"/>
        <sz val="11"/>
        <color theme="1"/>
        <rFont val="Calibri"/>
        <family val="2"/>
      </rPr>
      <t>F</t>
    </r>
  </si>
  <si>
    <r>
      <t>L</t>
    </r>
    <r>
      <rPr>
        <b/>
        <vertAlign val="subscript"/>
        <sz val="11"/>
        <color theme="1"/>
        <rFont val="Calibri"/>
        <family val="2"/>
      </rPr>
      <t>D</t>
    </r>
  </si>
  <si>
    <t>Portland, Oregon</t>
  </si>
  <si>
    <t>Tank Number</t>
  </si>
  <si>
    <t>Tank Contents</t>
  </si>
  <si>
    <t>12-Month Throughput</t>
  </si>
  <si>
    <t>Air Contaminant</t>
  </si>
  <si>
    <t>Tank VOC Emissions</t>
  </si>
  <si>
    <t>12-Month</t>
  </si>
  <si>
    <t>(barrels)</t>
  </si>
  <si>
    <t>(lb)</t>
  </si>
  <si>
    <t>(tons)</t>
  </si>
  <si>
    <t xml:space="preserve">Floating Roof Totals:  </t>
  </si>
  <si>
    <t xml:space="preserve">Fixed Roof Totals:  </t>
  </si>
  <si>
    <t xml:space="preserve">TOTALS:  </t>
  </si>
  <si>
    <t>Floating Roof Tanks</t>
  </si>
  <si>
    <t>Fixed Roof Tanks</t>
  </si>
  <si>
    <t>Flt_Calc</t>
  </si>
  <si>
    <t>Jan Column</t>
  </si>
  <si>
    <t>Feb Column</t>
  </si>
  <si>
    <t>Flt Cons</t>
  </si>
  <si>
    <t>Name Column</t>
  </si>
  <si>
    <t>Flt Input</t>
  </si>
  <si>
    <t>Product Col</t>
  </si>
  <si>
    <t>Flt Product</t>
  </si>
  <si>
    <t>Through Row</t>
  </si>
  <si>
    <t>Annual Col</t>
  </si>
  <si>
    <t>VOC</t>
  </si>
  <si>
    <t>Month</t>
  </si>
  <si>
    <t>Flt Calc Row</t>
  </si>
  <si>
    <t>EXTANK 105</t>
  </si>
  <si>
    <t>EXTANK 106</t>
  </si>
  <si>
    <t>EXTANK 120</t>
  </si>
  <si>
    <t>INTANK 63</t>
  </si>
  <si>
    <t>INTANK 68</t>
  </si>
  <si>
    <t>INTANK 71</t>
  </si>
  <si>
    <t>INTANK 95</t>
  </si>
  <si>
    <t>INTANK 104</t>
  </si>
  <si>
    <t>INTANK 114</t>
  </si>
  <si>
    <t>INTANK 130</t>
  </si>
  <si>
    <t>Gray-Medium</t>
  </si>
  <si>
    <t>FIXTANK 151</t>
  </si>
  <si>
    <t>FIXTANK 152</t>
  </si>
  <si>
    <t>FIXTANK 167</t>
  </si>
  <si>
    <t>FIXTANK 168</t>
  </si>
  <si>
    <t>FIXTANK 169</t>
  </si>
  <si>
    <t>FIXTANK 177</t>
  </si>
  <si>
    <t>FIXTANK 202</t>
  </si>
  <si>
    <t>FIXTANK 209</t>
  </si>
  <si>
    <t>FIXTANK 211</t>
  </si>
  <si>
    <t>FIXTANK 213</t>
  </si>
  <si>
    <t>FIXTANK 306</t>
  </si>
  <si>
    <t>FIXTANK 66</t>
  </si>
  <si>
    <t>FIXTANK 67</t>
  </si>
  <si>
    <t>FIXTANK 69</t>
  </si>
  <si>
    <t>FIXTANK 70</t>
  </si>
  <si>
    <t>FIXTANK 74</t>
  </si>
  <si>
    <t>FIXTANK 93</t>
  </si>
  <si>
    <t>FIXTANK 100</t>
  </si>
  <si>
    <t>FIXTANK 101</t>
  </si>
  <si>
    <t>FIXTANK 102</t>
  </si>
  <si>
    <t>FIXTANK 110</t>
  </si>
  <si>
    <t>FIXTANK 111</t>
  </si>
  <si>
    <t>FIXTANK 112</t>
  </si>
  <si>
    <t>FIXTANK 113</t>
  </si>
  <si>
    <t>FIXTANK 121</t>
  </si>
  <si>
    <t>FIXTANK 122</t>
  </si>
  <si>
    <t>FIXTANK 123</t>
  </si>
  <si>
    <t>FIXTANK 124</t>
  </si>
  <si>
    <t>FIXTANK 125</t>
  </si>
  <si>
    <t>FIXTANK 126</t>
  </si>
  <si>
    <t>FIXTANK 127</t>
  </si>
  <si>
    <t>FIXTANK 128</t>
  </si>
  <si>
    <t>FIXTANK 129</t>
  </si>
  <si>
    <t>FIXTANK 140</t>
  </si>
  <si>
    <t>FIXTANK 141</t>
  </si>
  <si>
    <t>FIXTANK 142</t>
  </si>
  <si>
    <t>FIXTANK 143</t>
  </si>
  <si>
    <t>FIXTANK 145</t>
  </si>
  <si>
    <t>FIXTANK 146</t>
  </si>
  <si>
    <t>FIXTANK 147</t>
  </si>
  <si>
    <t>FIXTANK 148</t>
  </si>
  <si>
    <t>FIXTANK 149</t>
  </si>
  <si>
    <t>FIXTANK 150</t>
  </si>
  <si>
    <t>FIXTANK 157</t>
  </si>
  <si>
    <t>FIXTANK 158</t>
  </si>
  <si>
    <t>FIXTANK 170</t>
  </si>
  <si>
    <t>FIXTANK 171</t>
  </si>
  <si>
    <t>FIXTANK 172</t>
  </si>
  <si>
    <t>FIXTANK 173</t>
  </si>
  <si>
    <t>FIXTANK 174</t>
  </si>
  <si>
    <t>FIXTANK 176</t>
  </si>
  <si>
    <t>FIXTANK 181</t>
  </si>
  <si>
    <t>FIXTANK 182</t>
  </si>
  <si>
    <t>FIXTANK 183</t>
  </si>
  <si>
    <t>FIXTANK 184</t>
  </si>
  <si>
    <t>Gray-Light</t>
  </si>
  <si>
    <t>FIXTANK 185</t>
  </si>
  <si>
    <t>FX Input Row</t>
  </si>
  <si>
    <t>Fx Calc Row</t>
  </si>
  <si>
    <t>Column</t>
  </si>
  <si>
    <t>Fx_Calc Row</t>
  </si>
  <si>
    <t>Vapor Pressures</t>
  </si>
  <si>
    <t>12-Month Max</t>
  </si>
  <si>
    <t>Permitted Max</t>
  </si>
  <si>
    <r>
      <t>(</t>
    </r>
    <r>
      <rPr>
        <b/>
        <sz val="12"/>
        <rFont val="Calibri"/>
        <family val="2"/>
      </rPr>
      <t>°</t>
    </r>
    <r>
      <rPr>
        <b/>
        <sz val="12"/>
        <rFont val="Times New Roman"/>
        <family val="1"/>
      </rPr>
      <t>F)</t>
    </r>
  </si>
  <si>
    <t>(°F)</t>
  </si>
  <si>
    <t>Product Group</t>
  </si>
  <si>
    <t>Grouped Products</t>
  </si>
  <si>
    <t>Aviation Gasoline</t>
  </si>
  <si>
    <t>Crude OIl</t>
  </si>
  <si>
    <t>Distillates</t>
  </si>
  <si>
    <t>Ultra Low Sulfur Diesel</t>
  </si>
  <si>
    <t>Jet Fuel</t>
  </si>
  <si>
    <t>Sustainable Aviation Fuel</t>
  </si>
  <si>
    <t>Ethanol denatured with up to 5% gasoline</t>
  </si>
  <si>
    <t>Renewable Feedstocks</t>
  </si>
  <si>
    <t>Soybean Oil</t>
  </si>
  <si>
    <t>Distillers Corn Oil</t>
  </si>
  <si>
    <t>Used Cooking Oil</t>
  </si>
  <si>
    <t>Yellow Grease</t>
  </si>
  <si>
    <t>Tallow</t>
  </si>
  <si>
    <t xml:space="preserve">Choice White Grease </t>
  </si>
  <si>
    <t>Camelina Oil</t>
  </si>
  <si>
    <t>Carninata Oil</t>
  </si>
  <si>
    <t>Canola Oil</t>
  </si>
  <si>
    <t>Renewable Naphtha</t>
  </si>
  <si>
    <t>No. 6 Fuel Oil</t>
  </si>
  <si>
    <t>Jet kerosene</t>
  </si>
  <si>
    <t>SS Tank Name</t>
  </si>
  <si>
    <t>SS# Column</t>
  </si>
  <si>
    <t>(bbl)</t>
  </si>
  <si>
    <t>Shell Capacity</t>
  </si>
  <si>
    <t>Multiplier</t>
  </si>
  <si>
    <t>Throughput/month</t>
  </si>
  <si>
    <t>(bbl/mo)</t>
  </si>
  <si>
    <t>Floating Roof Tank Setup</t>
  </si>
  <si>
    <t>Fixed Roof Tank Setup</t>
  </si>
  <si>
    <t>Out of Service/Demolished</t>
  </si>
  <si>
    <t>FLT_Setup Row</t>
  </si>
  <si>
    <t>FLT_Setup Col</t>
  </si>
  <si>
    <t>Product</t>
  </si>
  <si>
    <t>Product Ref</t>
  </si>
  <si>
    <t>Throughput Col</t>
  </si>
  <si>
    <t>Surrogate Reference</t>
  </si>
  <si>
    <t>RVP Reference</t>
  </si>
  <si>
    <t>Throughput/yr</t>
  </si>
  <si>
    <t>Vapor Pressure Tracking</t>
  </si>
  <si>
    <t>FIXTANK 179</t>
  </si>
  <si>
    <t>FIXTANK 180</t>
  </si>
  <si>
    <t>FIXTANK 203</t>
  </si>
  <si>
    <t>FIXTANK 204</t>
  </si>
  <si>
    <t>FIXTANK 205</t>
  </si>
  <si>
    <t>FIXTANK 207</t>
  </si>
  <si>
    <t>FIXTANK 208</t>
  </si>
  <si>
    <t>FIXTANK 307</t>
  </si>
  <si>
    <t>FIXTANK 317</t>
  </si>
  <si>
    <t>FIXTANK 166</t>
  </si>
  <si>
    <t>FIXTANK 144</t>
  </si>
  <si>
    <t>Calc Setup</t>
  </si>
  <si>
    <t>Height</t>
  </si>
  <si>
    <t>Capacity (gal)</t>
  </si>
  <si>
    <t>Tank Termperature Summary</t>
  </si>
  <si>
    <t>Emissions</t>
  </si>
  <si>
    <t>Floating Roof Total:</t>
  </si>
  <si>
    <t>Fixed Roof Total:</t>
  </si>
  <si>
    <t>TANK TOTAL:</t>
  </si>
  <si>
    <t>Total Annual Throughput</t>
  </si>
  <si>
    <t>Product Group Throughput Summary</t>
  </si>
  <si>
    <t>RVP calculated using SDS vapor pressure for renewable naphtha and AP-42, Figure 7.1-14a nomagraph for Naphtha</t>
  </si>
  <si>
    <t>ACDP Prior to Oct 3, 2027 Tank Emissions</t>
  </si>
  <si>
    <t>Zenith Energy Terminal Facility</t>
  </si>
  <si>
    <t>(aka: jet fuel, jet A)</t>
  </si>
  <si>
    <t>Surrogate*</t>
  </si>
  <si>
    <t>(denatured ethanol with up to 5% gasoline)</t>
  </si>
  <si>
    <t xml:space="preserve">* VOC emissions calculated using surrogate product to represent product group. </t>
  </si>
  <si>
    <t>Note: "Out of Service/Demonished" tanks are shown for information purposes.</t>
  </si>
  <si>
    <t>This document is protected under U.S. copyright law.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</si>
</sst>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000"/>
    <numFmt numFmtId="166" formatCode="0.00000"/>
    <numFmt numFmtId="167" formatCode="0.000"/>
    <numFmt numFmtId="168" formatCode="0.000000"/>
    <numFmt numFmtId="169" formatCode="0.000E+00"/>
  </numFmts>
  <fonts count="36" x14ac:knownFonts="1">
    <font>
      <sz val="11"/>
      <color theme="1"/>
      <name val="Calibri"/>
      <family val="2"/>
      <scheme val="minor"/>
    </font>
    <font>
      <sz val="11"/>
      <color theme="1"/>
      <name val="Calibri"/>
      <family val="2"/>
      <scheme val="minor"/>
    </font>
    <font>
      <b/>
      <sz val="11"/>
      <color theme="1"/>
      <name val="Calibri"/>
      <family val="2"/>
      <scheme val="minor"/>
    </font>
    <font>
      <b/>
      <i/>
      <sz val="11"/>
      <color theme="1"/>
      <name val="Calibri"/>
      <family val="2"/>
      <scheme val="minor"/>
    </font>
    <font>
      <sz val="11"/>
      <color theme="1"/>
      <name val="Calibri"/>
      <family val="2"/>
    </font>
    <font>
      <sz val="11"/>
      <name val="Times New Roman"/>
      <family val="1"/>
    </font>
    <font>
      <b/>
      <sz val="14"/>
      <color theme="1"/>
      <name val="Calibri"/>
      <family val="2"/>
      <scheme val="minor"/>
    </font>
    <font>
      <sz val="11"/>
      <name val="Calibri"/>
      <family val="2"/>
    </font>
    <font>
      <sz val="11"/>
      <color indexed="8"/>
      <name val="Calibri"/>
      <family val="2"/>
      <scheme val="minor"/>
    </font>
    <font>
      <vertAlign val="subscript"/>
      <sz val="11"/>
      <color theme="1"/>
      <name val="Calibri"/>
      <family val="2"/>
      <scheme val="minor"/>
    </font>
    <font>
      <vertAlign val="superscript"/>
      <sz val="11"/>
      <color theme="1"/>
      <name val="Calibri"/>
      <family val="2"/>
      <scheme val="minor"/>
    </font>
    <font>
      <sz val="8"/>
      <name val="Calibri"/>
      <family val="2"/>
      <scheme val="minor"/>
    </font>
    <font>
      <sz val="10"/>
      <name val="Times New Roman"/>
      <family val="1"/>
      <charset val="204"/>
    </font>
    <font>
      <sz val="9"/>
      <color indexed="8"/>
      <name val="Arial"/>
      <family val="2"/>
    </font>
    <font>
      <b/>
      <sz val="9"/>
      <color indexed="8"/>
      <name val="Arial"/>
      <family val="2"/>
    </font>
    <font>
      <sz val="8"/>
      <color indexed="8"/>
      <name val="Arial"/>
      <family val="2"/>
    </font>
    <font>
      <i/>
      <sz val="9"/>
      <color indexed="8"/>
      <name val="Arial"/>
      <family val="2"/>
    </font>
    <font>
      <sz val="9"/>
      <color theme="1"/>
      <name val="Arial"/>
      <family val="2"/>
    </font>
    <font>
      <vertAlign val="subscript"/>
      <sz val="11"/>
      <color theme="1"/>
      <name val="Calibri"/>
      <family val="2"/>
    </font>
    <font>
      <b/>
      <sz val="11"/>
      <color theme="1"/>
      <name val="Calibri"/>
      <family val="2"/>
    </font>
    <font>
      <b/>
      <vertAlign val="subscript"/>
      <sz val="11"/>
      <color theme="1"/>
      <name val="Calibri"/>
      <family val="2"/>
    </font>
    <font>
      <b/>
      <vertAlign val="superscript"/>
      <sz val="11"/>
      <color theme="1"/>
      <name val="Calibri"/>
      <family val="2"/>
      <scheme val="minor"/>
    </font>
    <font>
      <b/>
      <vertAlign val="subscript"/>
      <sz val="11"/>
      <color theme="1"/>
      <name val="Calibri"/>
      <family val="2"/>
      <scheme val="minor"/>
    </font>
    <font>
      <sz val="11"/>
      <color theme="4" tint="-0.249977111117893"/>
      <name val="Calibri"/>
      <family val="2"/>
      <scheme val="minor"/>
    </font>
    <font>
      <sz val="11"/>
      <color indexed="8"/>
      <name val="Times New Roman"/>
      <family val="1"/>
    </font>
    <font>
      <sz val="11"/>
      <color theme="1"/>
      <name val="Times New Roman"/>
      <family val="1"/>
    </font>
    <font>
      <sz val="10"/>
      <name val="Arial"/>
      <family val="2"/>
    </font>
    <font>
      <b/>
      <sz val="14"/>
      <name val="Times New Roman"/>
      <family val="1"/>
    </font>
    <font>
      <sz val="8"/>
      <name val="Arial"/>
      <family val="2"/>
    </font>
    <font>
      <b/>
      <sz val="12"/>
      <color indexed="8"/>
      <name val="Times New Roman"/>
      <family val="1"/>
    </font>
    <font>
      <b/>
      <sz val="12"/>
      <name val="Times New Roman"/>
      <family val="1"/>
    </font>
    <font>
      <sz val="12"/>
      <name val="Times New Roman"/>
      <family val="1"/>
    </font>
    <font>
      <b/>
      <sz val="12"/>
      <name val="Calibri"/>
      <family val="2"/>
    </font>
    <font>
      <sz val="12"/>
      <color theme="0"/>
      <name val="Times New Roman"/>
      <family val="1"/>
    </font>
    <font>
      <b/>
      <sz val="14"/>
      <color indexed="8"/>
      <name val="Times New Roman"/>
      <family val="1"/>
    </font>
    <font>
      <sz val="12"/>
      <color theme="1"/>
      <name val="Times New Roman"/>
      <family val="1"/>
    </font>
  </fonts>
  <fills count="7">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4" tint="-0.499984740745262"/>
        <bgColor indexed="64"/>
      </patternFill>
    </fill>
    <fill>
      <patternFill patternType="solid">
        <fgColor theme="9" tint="0.59999389629810485"/>
        <bgColor indexed="64"/>
      </patternFill>
    </fill>
    <fill>
      <patternFill patternType="solid">
        <fgColor theme="5" tint="0.59999389629810485"/>
        <bgColor indexed="64"/>
      </patternFill>
    </fill>
  </fills>
  <borders count="76">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style="thin">
        <color rgb="FFC0C0C0"/>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8">
    <xf numFmtId="0" fontId="0" fillId="0" borderId="0"/>
    <xf numFmtId="9" fontId="1" fillId="0" borderId="0" applyFont="0" applyFill="0" applyBorder="0" applyAlignment="0" applyProtection="0"/>
    <xf numFmtId="0" fontId="1" fillId="0" borderId="0"/>
    <xf numFmtId="0" fontId="26" fillId="0" borderId="0"/>
    <xf numFmtId="0" fontId="28" fillId="0" borderId="0"/>
    <xf numFmtId="0" fontId="26" fillId="0" borderId="0"/>
    <xf numFmtId="0" fontId="26" fillId="0" borderId="0"/>
    <xf numFmtId="0" fontId="26" fillId="0" borderId="0"/>
  </cellStyleXfs>
  <cellXfs count="598">
    <xf numFmtId="0" fontId="0" fillId="0" borderId="0" xfId="0"/>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xf>
    <xf numFmtId="0" fontId="2" fillId="0" borderId="0" xfId="0" applyFont="1"/>
    <xf numFmtId="0" fontId="2" fillId="0" borderId="15" xfId="0" applyFont="1" applyBorder="1"/>
    <xf numFmtId="0" fontId="0" fillId="0" borderId="15" xfId="0" applyBorder="1"/>
    <xf numFmtId="0" fontId="0" fillId="0" borderId="0" xfId="0" applyAlignment="1">
      <alignment wrapText="1"/>
    </xf>
    <xf numFmtId="0" fontId="5" fillId="0" borderId="0" xfId="0" applyFont="1" applyAlignment="1">
      <alignment horizontal="center" vertical="top"/>
    </xf>
    <xf numFmtId="0" fontId="0" fillId="0" borderId="3" xfId="0" applyBorder="1" applyAlignment="1">
      <alignment horizontal="center" vertical="center"/>
    </xf>
    <xf numFmtId="0" fontId="6" fillId="0" borderId="0" xfId="0" applyFont="1"/>
    <xf numFmtId="0" fontId="0" fillId="0" borderId="0" xfId="0" applyAlignment="1">
      <alignment horizontal="center" vertical="center" wrapText="1"/>
    </xf>
    <xf numFmtId="2" fontId="0" fillId="0" borderId="0" xfId="0" applyNumberFormat="1"/>
    <xf numFmtId="0" fontId="7" fillId="0" borderId="0" xfId="0" applyFont="1" applyAlignment="1">
      <alignment wrapText="1"/>
    </xf>
    <xf numFmtId="0" fontId="4" fillId="0" borderId="0" xfId="0" applyFont="1" applyAlignment="1">
      <alignment wrapText="1"/>
    </xf>
    <xf numFmtId="1" fontId="0" fillId="0" borderId="0" xfId="0" applyNumberFormat="1"/>
    <xf numFmtId="0" fontId="4" fillId="0" borderId="0" xfId="0" applyFont="1"/>
    <xf numFmtId="0" fontId="8" fillId="0" borderId="0" xfId="0" applyFont="1" applyAlignment="1">
      <alignment horizontal="center" vertical="top" wrapText="1"/>
    </xf>
    <xf numFmtId="0" fontId="0" fillId="0" borderId="0" xfId="0" applyAlignment="1">
      <alignment horizontal="left"/>
    </xf>
    <xf numFmtId="0" fontId="8" fillId="0" borderId="25" xfId="0" applyFont="1" applyBorder="1" applyAlignment="1">
      <alignment horizontal="center" vertical="top" wrapText="1"/>
    </xf>
    <xf numFmtId="164" fontId="0" fillId="0" borderId="0" xfId="0" applyNumberFormat="1"/>
    <xf numFmtId="2" fontId="0" fillId="0" borderId="14" xfId="0" applyNumberFormat="1" applyBorder="1" applyAlignment="1">
      <alignment horizontal="center"/>
    </xf>
    <xf numFmtId="2" fontId="0" fillId="0" borderId="12" xfId="0" applyNumberFormat="1" applyBorder="1" applyAlignment="1">
      <alignment horizontal="center"/>
    </xf>
    <xf numFmtId="2" fontId="0" fillId="0" borderId="13" xfId="0" applyNumberFormat="1" applyBorder="1" applyAlignment="1">
      <alignment horizont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3" fontId="0" fillId="0" borderId="0" xfId="0" applyNumberFormat="1"/>
    <xf numFmtId="3" fontId="0" fillId="0" borderId="7" xfId="0" applyNumberFormat="1" applyBorder="1" applyAlignment="1">
      <alignment horizontal="center" vertical="center" wrapText="1"/>
    </xf>
    <xf numFmtId="2" fontId="0" fillId="0" borderId="13" xfId="1" applyNumberFormat="1" applyFont="1" applyFill="1" applyBorder="1" applyAlignment="1" applyProtection="1">
      <alignment horizontal="center" vertical="center"/>
      <protection locked="0"/>
    </xf>
    <xf numFmtId="2" fontId="0" fillId="0" borderId="12" xfId="1" applyNumberFormat="1" applyFont="1" applyFill="1" applyBorder="1" applyAlignment="1" applyProtection="1">
      <alignment horizontal="center" vertical="center"/>
      <protection locked="0"/>
    </xf>
    <xf numFmtId="2" fontId="0" fillId="0" borderId="14" xfId="1" applyNumberFormat="1" applyFont="1" applyFill="1" applyBorder="1" applyAlignment="1" applyProtection="1">
      <alignment horizontal="center" vertical="center"/>
      <protection locked="0"/>
    </xf>
    <xf numFmtId="0" fontId="0" fillId="2" borderId="0" xfId="0" applyFill="1"/>
    <xf numFmtId="3" fontId="0" fillId="2" borderId="0" xfId="0" applyNumberFormat="1" applyFill="1"/>
    <xf numFmtId="0" fontId="0" fillId="2" borderId="0" xfId="0" applyFill="1" applyAlignment="1">
      <alignment wrapText="1"/>
    </xf>
    <xf numFmtId="0" fontId="0" fillId="2" borderId="0" xfId="0" applyFill="1" applyAlignment="1">
      <alignment horizontal="center"/>
    </xf>
    <xf numFmtId="0" fontId="0" fillId="0" borderId="0" xfId="0" applyAlignment="1">
      <alignment horizontal="center" vertical="center"/>
    </xf>
    <xf numFmtId="0" fontId="0" fillId="0" borderId="0" xfId="0" applyAlignment="1">
      <alignment horizontal="left" vertical="center"/>
    </xf>
    <xf numFmtId="16" fontId="0" fillId="0" borderId="0" xfId="0" quotePrefix="1" applyNumberFormat="1" applyAlignment="1">
      <alignment horizontal="center" vertical="center"/>
    </xf>
    <xf numFmtId="0" fontId="14" fillId="0" borderId="35" xfId="0" applyFont="1" applyBorder="1" applyAlignment="1">
      <alignment horizontal="left" vertical="top" wrapText="1"/>
    </xf>
    <xf numFmtId="0" fontId="14" fillId="0" borderId="35" xfId="0" applyFont="1" applyBorder="1" applyAlignment="1">
      <alignment horizontal="center" vertical="top" wrapText="1"/>
    </xf>
    <xf numFmtId="0" fontId="13" fillId="0" borderId="35" xfId="0" applyFont="1" applyBorder="1" applyAlignment="1">
      <alignment horizontal="left" vertical="top" wrapText="1"/>
    </xf>
    <xf numFmtId="0" fontId="15" fillId="0" borderId="35" xfId="0" applyFont="1" applyBorder="1" applyAlignment="1">
      <alignment horizontal="center" vertical="top" wrapText="1"/>
    </xf>
    <xf numFmtId="0" fontId="12" fillId="0" borderId="35" xfId="0" applyFont="1" applyBorder="1" applyAlignment="1">
      <alignment horizontal="left" wrapText="1"/>
    </xf>
    <xf numFmtId="0" fontId="16" fillId="0" borderId="35" xfId="0" applyFont="1" applyBorder="1" applyAlignment="1">
      <alignment horizontal="center" vertical="top" wrapText="1"/>
    </xf>
    <xf numFmtId="0" fontId="17" fillId="0" borderId="0" xfId="0" applyFont="1"/>
    <xf numFmtId="0" fontId="13" fillId="0" borderId="35" xfId="0" applyFont="1" applyBorder="1" applyAlignment="1">
      <alignment horizontal="center" vertical="top" wrapText="1"/>
    </xf>
    <xf numFmtId="0" fontId="14" fillId="0" borderId="35" xfId="0" applyFont="1" applyBorder="1" applyAlignment="1">
      <alignment horizontal="center" vertical="center" wrapText="1"/>
    </xf>
    <xf numFmtId="0" fontId="14" fillId="0" borderId="36" xfId="0" applyFont="1" applyBorder="1" applyAlignment="1">
      <alignment horizontal="center" vertical="center" wrapText="1"/>
    </xf>
    <xf numFmtId="0" fontId="13" fillId="0" borderId="35" xfId="0" applyFont="1" applyBorder="1" applyAlignment="1">
      <alignment horizontal="center" vertical="center" shrinkToFit="1"/>
    </xf>
    <xf numFmtId="0" fontId="13" fillId="0" borderId="36" xfId="0" applyFont="1" applyBorder="1" applyAlignment="1">
      <alignment horizontal="center" vertical="center" shrinkToFit="1"/>
    </xf>
    <xf numFmtId="0" fontId="12" fillId="0" borderId="35" xfId="0" applyFont="1" applyBorder="1" applyAlignment="1">
      <alignment horizontal="center" vertical="center" wrapText="1"/>
    </xf>
    <xf numFmtId="0" fontId="4" fillId="0" borderId="0" xfId="0" applyFont="1" applyAlignment="1">
      <alignment horizontal="center" vertical="center"/>
    </xf>
    <xf numFmtId="2" fontId="13" fillId="0" borderId="35" xfId="0" applyNumberFormat="1" applyFont="1" applyBorder="1" applyAlignment="1">
      <alignment horizontal="center" vertical="top" shrinkToFit="1"/>
    </xf>
    <xf numFmtId="2" fontId="13" fillId="0" borderId="36" xfId="0" applyNumberFormat="1" applyFont="1" applyBorder="1" applyAlignment="1">
      <alignment horizontal="left" vertical="top" indent="1" shrinkToFit="1"/>
    </xf>
    <xf numFmtId="0" fontId="4" fillId="0" borderId="15" xfId="0" applyFont="1" applyBorder="1"/>
    <xf numFmtId="0" fontId="0" fillId="0" borderId="13" xfId="0" applyBorder="1" applyAlignment="1">
      <alignment horizontal="center" vertical="center"/>
    </xf>
    <xf numFmtId="0" fontId="0" fillId="0" borderId="14" xfId="0" applyBorder="1" applyAlignment="1">
      <alignment horizontal="center" vertical="center"/>
    </xf>
    <xf numFmtId="3" fontId="0" fillId="0" borderId="3" xfId="0" applyNumberFormat="1" applyBorder="1" applyAlignment="1">
      <alignment horizontal="center" vertical="center" wrapText="1"/>
    </xf>
    <xf numFmtId="0" fontId="4" fillId="0" borderId="0" xfId="0" applyFont="1" applyAlignment="1">
      <alignment horizontal="left" vertical="center"/>
    </xf>
    <xf numFmtId="4" fontId="0" fillId="3" borderId="37" xfId="0" applyNumberFormat="1" applyFill="1" applyBorder="1" applyAlignment="1" applyProtection="1">
      <alignment horizontal="center"/>
      <protection locked="0"/>
    </xf>
    <xf numFmtId="0" fontId="1" fillId="0" borderId="0" xfId="2"/>
    <xf numFmtId="165" fontId="0" fillId="0" borderId="0" xfId="0" applyNumberFormat="1"/>
    <xf numFmtId="0" fontId="0" fillId="0" borderId="12" xfId="0" applyBorder="1" applyAlignment="1">
      <alignment horizontal="center" vertical="center"/>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0" fillId="0" borderId="38" xfId="0" applyBorder="1" applyAlignment="1">
      <alignment horizontal="center" vertical="center"/>
    </xf>
    <xf numFmtId="0" fontId="0" fillId="0" borderId="44" xfId="0" applyBorder="1" applyAlignment="1">
      <alignment horizontal="center" vertical="center"/>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34" xfId="0" applyFont="1" applyBorder="1" applyAlignment="1">
      <alignment horizontal="center" vertical="center" wrapText="1"/>
    </xf>
    <xf numFmtId="0" fontId="0" fillId="0" borderId="47"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19" fillId="0" borderId="13" xfId="0" applyFont="1" applyBorder="1" applyAlignment="1">
      <alignment horizontal="center" vertical="center"/>
    </xf>
    <xf numFmtId="0" fontId="19" fillId="0" borderId="14" xfId="0" applyFont="1" applyBorder="1" applyAlignment="1">
      <alignment horizontal="center" vertical="center"/>
    </xf>
    <xf numFmtId="0" fontId="2" fillId="0" borderId="13" xfId="0" quotePrefix="1" applyFont="1" applyBorder="1" applyAlignment="1">
      <alignment horizontal="center" vertical="center"/>
    </xf>
    <xf numFmtId="16" fontId="2" fillId="0" borderId="13" xfId="0" quotePrefix="1" applyNumberFormat="1" applyFont="1" applyBorder="1" applyAlignment="1">
      <alignment horizontal="center" vertical="center"/>
    </xf>
    <xf numFmtId="16" fontId="2" fillId="0" borderId="14" xfId="0" quotePrefix="1" applyNumberFormat="1" applyFont="1" applyBorder="1" applyAlignment="1">
      <alignment horizontal="center" vertical="center"/>
    </xf>
    <xf numFmtId="0" fontId="2" fillId="0" borderId="13" xfId="0" applyFont="1" applyBorder="1" applyAlignment="1">
      <alignment horizontal="center" vertical="center"/>
    </xf>
    <xf numFmtId="0" fontId="2" fillId="0" borderId="9" xfId="0" applyFont="1" applyBorder="1" applyAlignment="1">
      <alignment horizontal="center" vertical="center"/>
    </xf>
    <xf numFmtId="0" fontId="2" fillId="0" borderId="33" xfId="0" applyFont="1" applyBorder="1" applyAlignment="1">
      <alignment horizontal="center" vertical="center"/>
    </xf>
    <xf numFmtId="16" fontId="2" fillId="0" borderId="33" xfId="0" quotePrefix="1" applyNumberFormat="1" applyFont="1" applyBorder="1" applyAlignment="1">
      <alignment horizontal="center" vertical="center"/>
    </xf>
    <xf numFmtId="0" fontId="2" fillId="0" borderId="33" xfId="0" applyFont="1" applyBorder="1" applyAlignment="1">
      <alignment horizontal="center" vertical="center" wrapText="1"/>
    </xf>
    <xf numFmtId="0" fontId="2" fillId="0" borderId="34" xfId="0" applyFont="1" applyBorder="1" applyAlignment="1">
      <alignment horizontal="center" vertical="center"/>
    </xf>
    <xf numFmtId="0" fontId="2" fillId="0" borderId="39"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0" fontId="2" fillId="0" borderId="48" xfId="0" applyFont="1" applyBorder="1" applyAlignment="1">
      <alignment horizontal="center" vertical="center"/>
    </xf>
    <xf numFmtId="0" fontId="2" fillId="0" borderId="45" xfId="0" applyFont="1" applyBorder="1" applyAlignment="1">
      <alignment horizontal="center" vertical="center"/>
    </xf>
    <xf numFmtId="0" fontId="7" fillId="0" borderId="0" xfId="0" applyFont="1"/>
    <xf numFmtId="0" fontId="0" fillId="0" borderId="13" xfId="0" applyBorder="1" applyAlignment="1">
      <alignment vertical="center" wrapText="1"/>
    </xf>
    <xf numFmtId="0" fontId="0" fillId="0" borderId="9" xfId="0" applyBorder="1" applyAlignment="1">
      <alignment vertical="center" wrapText="1"/>
    </xf>
    <xf numFmtId="0" fontId="0" fillId="0" borderId="26" xfId="0" applyBorder="1" applyAlignment="1">
      <alignment vertical="center" wrapText="1"/>
    </xf>
    <xf numFmtId="0" fontId="0" fillId="0" borderId="31" xfId="0" applyBorder="1" applyAlignment="1">
      <alignment vertical="center" wrapText="1"/>
    </xf>
    <xf numFmtId="0" fontId="0" fillId="0" borderId="12" xfId="0" applyBorder="1" applyAlignment="1">
      <alignment vertical="center" wrapText="1"/>
    </xf>
    <xf numFmtId="3" fontId="0" fillId="0" borderId="13" xfId="0" applyNumberFormat="1" applyBorder="1" applyAlignment="1">
      <alignment vertical="center" wrapText="1"/>
    </xf>
    <xf numFmtId="3" fontId="0" fillId="0" borderId="9" xfId="0" applyNumberFormat="1" applyBorder="1" applyAlignment="1">
      <alignment vertical="center" wrapText="1"/>
    </xf>
    <xf numFmtId="0" fontId="2" fillId="0" borderId="12" xfId="0" applyFont="1" applyBorder="1" applyAlignment="1">
      <alignment vertical="center"/>
    </xf>
    <xf numFmtId="0" fontId="2" fillId="0" borderId="8" xfId="0" applyFont="1" applyBorder="1" applyAlignment="1">
      <alignment vertical="center"/>
    </xf>
    <xf numFmtId="0" fontId="0" fillId="0" borderId="13" xfId="0" applyBorder="1" applyAlignment="1">
      <alignment vertical="center"/>
    </xf>
    <xf numFmtId="0" fontId="0" fillId="0" borderId="9" xfId="0" applyBorder="1" applyAlignment="1">
      <alignment vertical="center"/>
    </xf>
    <xf numFmtId="0" fontId="0" fillId="0" borderId="14" xfId="0" applyBorder="1" applyAlignment="1">
      <alignment vertical="center"/>
    </xf>
    <xf numFmtId="0" fontId="0" fillId="0" borderId="10" xfId="0" applyBorder="1" applyAlignment="1">
      <alignment vertical="center"/>
    </xf>
    <xf numFmtId="0" fontId="0" fillId="0" borderId="33" xfId="0" applyBorder="1" applyAlignment="1">
      <alignment vertical="center" wrapText="1"/>
    </xf>
    <xf numFmtId="0" fontId="0" fillId="0" borderId="34" xfId="0" applyBorder="1" applyAlignment="1">
      <alignment vertical="center" wrapText="1"/>
    </xf>
    <xf numFmtId="3" fontId="0" fillId="0" borderId="38" xfId="0" applyNumberFormat="1" applyBorder="1" applyAlignment="1">
      <alignment vertical="center" wrapText="1"/>
    </xf>
    <xf numFmtId="0" fontId="0" fillId="0" borderId="38" xfId="0" applyBorder="1" applyAlignment="1">
      <alignment vertical="center" wrapText="1"/>
    </xf>
    <xf numFmtId="3" fontId="0" fillId="0" borderId="3" xfId="0" applyNumberFormat="1" applyBorder="1" applyAlignment="1">
      <alignment vertical="center" wrapText="1"/>
    </xf>
    <xf numFmtId="0" fontId="0" fillId="0" borderId="47" xfId="0" applyBorder="1" applyAlignment="1">
      <alignment vertical="center" wrapText="1"/>
    </xf>
    <xf numFmtId="0" fontId="0" fillId="0" borderId="3" xfId="0" applyBorder="1" applyAlignment="1">
      <alignment vertical="center" wrapText="1"/>
    </xf>
    <xf numFmtId="0" fontId="0" fillId="0" borderId="27" xfId="0" applyBorder="1" applyAlignment="1">
      <alignment vertical="center" wrapText="1"/>
    </xf>
    <xf numFmtId="0" fontId="0" fillId="0" borderId="4" xfId="0" applyBorder="1" applyAlignment="1">
      <alignment vertical="center" wrapText="1"/>
    </xf>
    <xf numFmtId="0" fontId="2" fillId="0" borderId="4" xfId="0" applyFont="1" applyBorder="1" applyAlignment="1">
      <alignment vertical="center"/>
    </xf>
    <xf numFmtId="0" fontId="0" fillId="0" borderId="5" xfId="0" applyBorder="1" applyAlignment="1">
      <alignment vertical="center"/>
    </xf>
    <xf numFmtId="0" fontId="0" fillId="0" borderId="49" xfId="0" applyBorder="1"/>
    <xf numFmtId="0" fontId="0" fillId="0" borderId="50" xfId="0" applyBorder="1"/>
    <xf numFmtId="0" fontId="0" fillId="0" borderId="51" xfId="0" applyBorder="1"/>
    <xf numFmtId="0" fontId="0" fillId="0" borderId="47" xfId="0" applyBorder="1"/>
    <xf numFmtId="0" fontId="0" fillId="0" borderId="52" xfId="0" applyBorder="1"/>
    <xf numFmtId="0" fontId="0" fillId="0" borderId="53" xfId="0" applyBorder="1"/>
    <xf numFmtId="0" fontId="0" fillId="0" borderId="5" xfId="0" applyBorder="1" applyAlignment="1">
      <alignment vertical="center" wrapText="1"/>
    </xf>
    <xf numFmtId="0" fontId="0" fillId="0" borderId="14" xfId="0" applyBorder="1" applyAlignment="1">
      <alignment vertical="center" wrapText="1"/>
    </xf>
    <xf numFmtId="0" fontId="0" fillId="0" borderId="10" xfId="0" applyBorder="1" applyAlignment="1">
      <alignment vertical="center" wrapText="1"/>
    </xf>
    <xf numFmtId="0" fontId="23" fillId="0" borderId="13" xfId="0" applyFont="1" applyBorder="1" applyAlignment="1">
      <alignment horizontal="center"/>
    </xf>
    <xf numFmtId="0" fontId="0" fillId="0" borderId="14" xfId="0" quotePrefix="1" applyBorder="1" applyAlignment="1">
      <alignment horizontal="center"/>
    </xf>
    <xf numFmtId="0" fontId="23" fillId="0" borderId="14" xfId="0" quotePrefix="1" applyFont="1" applyBorder="1" applyAlignment="1">
      <alignment horizontal="center"/>
    </xf>
    <xf numFmtId="3" fontId="0" fillId="0" borderId="14" xfId="0" applyNumberFormat="1" applyBorder="1" applyAlignment="1">
      <alignment horizontal="center"/>
    </xf>
    <xf numFmtId="0" fontId="0" fillId="0" borderId="9" xfId="0" applyBorder="1" applyAlignment="1">
      <alignment horizontal="center"/>
    </xf>
    <xf numFmtId="164" fontId="0" fillId="0" borderId="10" xfId="0" applyNumberFormat="1" applyBorder="1" applyAlignment="1">
      <alignment horizontal="center"/>
    </xf>
    <xf numFmtId="0" fontId="0" fillId="0" borderId="44" xfId="0" quotePrefix="1" applyBorder="1" applyAlignment="1">
      <alignment horizontal="center"/>
    </xf>
    <xf numFmtId="0" fontId="2" fillId="0" borderId="58" xfId="0" applyFont="1" applyBorder="1" applyAlignment="1">
      <alignment horizontal="center" vertical="center"/>
    </xf>
    <xf numFmtId="0" fontId="2" fillId="0" borderId="59" xfId="0" applyFont="1" applyBorder="1" applyAlignment="1">
      <alignment horizontal="center" vertical="center" wrapText="1"/>
    </xf>
    <xf numFmtId="0" fontId="2" fillId="0" borderId="0" xfId="0" applyFont="1" applyAlignment="1">
      <alignment horizontal="center" vertical="center" wrapText="1"/>
    </xf>
    <xf numFmtId="0" fontId="0" fillId="0" borderId="0" xfId="0" quotePrefix="1" applyAlignment="1">
      <alignment horizontal="center"/>
    </xf>
    <xf numFmtId="0" fontId="2" fillId="0" borderId="60" xfId="0" applyFont="1" applyBorder="1" applyAlignment="1">
      <alignment horizontal="center" vertical="center"/>
    </xf>
    <xf numFmtId="0" fontId="0" fillId="0" borderId="47" xfId="0" applyBorder="1" applyAlignment="1">
      <alignment horizontal="center"/>
    </xf>
    <xf numFmtId="0" fontId="23" fillId="0" borderId="33" xfId="0" applyFont="1" applyBorder="1" applyAlignment="1">
      <alignment horizontal="center"/>
    </xf>
    <xf numFmtId="0" fontId="0" fillId="0" borderId="33" xfId="0" applyBorder="1" applyAlignment="1">
      <alignment horizontal="center"/>
    </xf>
    <xf numFmtId="3" fontId="0" fillId="0" borderId="33" xfId="0" applyNumberFormat="1" applyBorder="1" applyAlignment="1">
      <alignment horizontal="center"/>
    </xf>
    <xf numFmtId="0" fontId="0" fillId="0" borderId="34" xfId="0" applyBorder="1" applyAlignment="1">
      <alignment horizontal="center"/>
    </xf>
    <xf numFmtId="0" fontId="0" fillId="0" borderId="14" xfId="0" applyBorder="1" applyAlignment="1">
      <alignment horizontal="left" vertical="center"/>
    </xf>
    <xf numFmtId="0" fontId="23" fillId="0" borderId="14" xfId="0" applyFont="1" applyBorder="1" applyAlignment="1">
      <alignment horizontal="left" vertical="center"/>
    </xf>
    <xf numFmtId="0" fontId="0" fillId="0" borderId="10" xfId="0" applyBorder="1" applyAlignment="1">
      <alignment horizontal="left" vertical="center"/>
    </xf>
    <xf numFmtId="0" fontId="0" fillId="0" borderId="44" xfId="0" applyBorder="1" applyAlignment="1">
      <alignment horizontal="left" vertical="center"/>
    </xf>
    <xf numFmtId="0" fontId="2" fillId="0" borderId="57" xfId="0" applyFont="1" applyBorder="1" applyAlignment="1">
      <alignment horizontal="left" vertical="center" wrapText="1"/>
    </xf>
    <xf numFmtId="0" fontId="0" fillId="0" borderId="58" xfId="0" applyBorder="1" applyAlignment="1">
      <alignment horizontal="left" vertical="center" wrapText="1"/>
    </xf>
    <xf numFmtId="0" fontId="2" fillId="0" borderId="59" xfId="0" applyFont="1" applyBorder="1" applyAlignment="1">
      <alignment horizontal="left" vertical="center" wrapText="1"/>
    </xf>
    <xf numFmtId="0" fontId="0" fillId="0" borderId="15" xfId="0" quotePrefix="1" applyBorder="1" applyAlignment="1">
      <alignment horizontal="center"/>
    </xf>
    <xf numFmtId="0" fontId="0" fillId="0" borderId="56" xfId="0" applyBorder="1" applyAlignment="1">
      <alignment horizontal="left" vertical="top"/>
    </xf>
    <xf numFmtId="0" fontId="0" fillId="0" borderId="55" xfId="0" applyBorder="1" applyAlignment="1">
      <alignment horizontal="left" vertical="top"/>
    </xf>
    <xf numFmtId="0" fontId="2" fillId="0" borderId="51" xfId="0" applyFont="1" applyBorder="1"/>
    <xf numFmtId="0" fontId="2" fillId="0" borderId="15" xfId="0" applyFont="1" applyBorder="1" applyAlignment="1">
      <alignment horizontal="center" vertical="center"/>
    </xf>
    <xf numFmtId="0" fontId="2" fillId="0" borderId="47" xfId="0" applyFont="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center" vertical="top"/>
    </xf>
    <xf numFmtId="0" fontId="0" fillId="0" borderId="0" xfId="0" applyAlignment="1">
      <alignment horizontal="center" vertical="top" wrapText="1"/>
    </xf>
    <xf numFmtId="0" fontId="0" fillId="0" borderId="0" xfId="0" applyAlignment="1">
      <alignment vertical="top" wrapText="1"/>
    </xf>
    <xf numFmtId="0" fontId="0" fillId="0" borderId="13" xfId="0" applyBorder="1" applyAlignment="1">
      <alignment horizontal="left" vertical="top" wrapText="1"/>
    </xf>
    <xf numFmtId="0" fontId="0" fillId="0" borderId="5" xfId="0" applyBorder="1"/>
    <xf numFmtId="0" fontId="2" fillId="0" borderId="8" xfId="0" applyFont="1" applyBorder="1" applyAlignment="1">
      <alignment horizontal="left" vertical="center" wrapText="1"/>
    </xf>
    <xf numFmtId="0" fontId="0" fillId="0" borderId="9" xfId="0" applyBorder="1" applyAlignment="1">
      <alignment horizontal="left" vertical="top" wrapText="1"/>
    </xf>
    <xf numFmtId="0" fontId="2" fillId="0" borderId="9" xfId="0" applyFont="1" applyBorder="1" applyAlignment="1">
      <alignment horizontal="left" vertical="center" wrapText="1"/>
    </xf>
    <xf numFmtId="0" fontId="2" fillId="0" borderId="9" xfId="0" applyFont="1" applyBorder="1" applyAlignment="1">
      <alignment horizontal="center" vertical="top" wrapText="1"/>
    </xf>
    <xf numFmtId="0" fontId="0" fillId="0" borderId="3" xfId="0" applyBorder="1" applyAlignment="1">
      <alignment horizontal="left" vertical="top" wrapText="1"/>
    </xf>
    <xf numFmtId="0" fontId="2" fillId="0" borderId="10" xfId="0" applyFont="1" applyBorder="1" applyAlignment="1">
      <alignment horizontal="center" vertical="top" wrapText="1"/>
    </xf>
    <xf numFmtId="0" fontId="2" fillId="0" borderId="8" xfId="0" applyFont="1" applyBorder="1" applyAlignment="1">
      <alignment horizontal="center" vertical="top" wrapText="1"/>
    </xf>
    <xf numFmtId="0" fontId="0" fillId="0" borderId="4" xfId="0" applyBorder="1" applyAlignment="1">
      <alignment horizontal="left" vertical="top" wrapText="1"/>
    </xf>
    <xf numFmtId="0" fontId="0" fillId="0" borderId="12" xfId="0" applyBorder="1" applyAlignment="1">
      <alignment horizontal="left" vertical="top" wrapText="1"/>
    </xf>
    <xf numFmtId="0" fontId="0" fillId="0" borderId="12" xfId="0" applyBorder="1" applyAlignment="1">
      <alignment horizontal="left" wrapText="1"/>
    </xf>
    <xf numFmtId="0" fontId="0" fillId="0" borderId="12" xfId="0" applyBorder="1" applyAlignment="1">
      <alignment horizontal="left"/>
    </xf>
    <xf numFmtId="0" fontId="0" fillId="0" borderId="8" xfId="0" applyBorder="1" applyAlignment="1">
      <alignment horizontal="left"/>
    </xf>
    <xf numFmtId="164" fontId="0" fillId="0" borderId="5" xfId="0" applyNumberFormat="1" applyBorder="1" applyAlignment="1">
      <alignment horizontal="center" vertical="center"/>
    </xf>
    <xf numFmtId="164" fontId="0" fillId="0" borderId="14" xfId="0" applyNumberFormat="1" applyBorder="1" applyAlignment="1">
      <alignment horizontal="center" vertical="center"/>
    </xf>
    <xf numFmtId="164" fontId="0" fillId="0" borderId="10" xfId="0" applyNumberFormat="1" applyBorder="1" applyAlignment="1">
      <alignment horizontal="center" vertical="center"/>
    </xf>
    <xf numFmtId="1" fontId="0" fillId="0" borderId="13" xfId="0" applyNumberFormat="1" applyBorder="1" applyAlignment="1">
      <alignment horizontal="center" vertical="center"/>
    </xf>
    <xf numFmtId="1" fontId="0" fillId="0" borderId="14" xfId="0" applyNumberFormat="1" applyBorder="1" applyAlignment="1">
      <alignment horizontal="center" vertical="center"/>
    </xf>
    <xf numFmtId="164" fontId="0" fillId="0" borderId="13" xfId="0" applyNumberFormat="1" applyBorder="1" applyAlignment="1">
      <alignment horizontal="center" vertical="center"/>
    </xf>
    <xf numFmtId="2" fontId="0" fillId="0" borderId="13" xfId="0" applyNumberFormat="1" applyBorder="1" applyAlignment="1">
      <alignment horizontal="center" vertical="center"/>
    </xf>
    <xf numFmtId="2" fontId="0" fillId="0" borderId="14" xfId="0" applyNumberFormat="1" applyBorder="1" applyAlignment="1">
      <alignment horizontal="center" vertical="center"/>
    </xf>
    <xf numFmtId="167" fontId="0" fillId="0" borderId="13" xfId="0" applyNumberFormat="1" applyBorder="1" applyAlignment="1">
      <alignment horizontal="center" vertical="center"/>
    </xf>
    <xf numFmtId="165" fontId="0" fillId="0" borderId="14" xfId="0" applyNumberFormat="1" applyBorder="1" applyAlignment="1">
      <alignment horizontal="center" vertical="center"/>
    </xf>
    <xf numFmtId="167" fontId="0" fillId="0" borderId="14" xfId="0" applyNumberFormat="1" applyBorder="1" applyAlignment="1">
      <alignment horizontal="center" vertical="center"/>
    </xf>
    <xf numFmtId="167" fontId="0" fillId="0" borderId="5" xfId="0" applyNumberFormat="1" applyBorder="1" applyAlignment="1">
      <alignment horizontal="center" vertical="center"/>
    </xf>
    <xf numFmtId="1" fontId="0" fillId="0" borderId="15" xfId="0" applyNumberFormat="1" applyBorder="1"/>
    <xf numFmtId="0" fontId="0" fillId="0" borderId="62" xfId="0" applyBorder="1" applyAlignment="1">
      <alignment horizontal="left" vertical="top"/>
    </xf>
    <xf numFmtId="0" fontId="2" fillId="0" borderId="63" xfId="0" applyFont="1" applyBorder="1" applyAlignment="1">
      <alignment horizontal="right" vertical="top"/>
    </xf>
    <xf numFmtId="164" fontId="2" fillId="0" borderId="64" xfId="0" applyNumberFormat="1" applyFont="1" applyBorder="1" applyAlignment="1">
      <alignment horizontal="center"/>
    </xf>
    <xf numFmtId="1" fontId="2" fillId="0" borderId="37" xfId="0" applyNumberFormat="1" applyFont="1" applyBorder="1" applyAlignment="1">
      <alignment horizontal="center"/>
    </xf>
    <xf numFmtId="0" fontId="0" fillId="0" borderId="57" xfId="0" applyBorder="1" applyAlignment="1">
      <alignment horizontal="left" vertical="top"/>
    </xf>
    <xf numFmtId="0" fontId="0" fillId="0" borderId="58" xfId="0" applyBorder="1" applyAlignment="1">
      <alignment horizontal="left" vertical="top"/>
    </xf>
    <xf numFmtId="0" fontId="0" fillId="0" borderId="63" xfId="0" applyBorder="1" applyAlignment="1">
      <alignment horizontal="left" vertical="top"/>
    </xf>
    <xf numFmtId="0" fontId="0" fillId="0" borderId="63" xfId="0" applyBorder="1" applyAlignment="1">
      <alignment horizontal="center" vertical="top"/>
    </xf>
    <xf numFmtId="0" fontId="0" fillId="0" borderId="63" xfId="0" applyBorder="1" applyAlignment="1">
      <alignment horizontal="center" vertical="top" wrapText="1"/>
    </xf>
    <xf numFmtId="0" fontId="0" fillId="0" borderId="63" xfId="0" applyBorder="1" applyAlignment="1">
      <alignment horizontal="left" vertical="top" wrapText="1"/>
    </xf>
    <xf numFmtId="0" fontId="0" fillId="0" borderId="64" xfId="0" applyBorder="1"/>
    <xf numFmtId="0" fontId="0" fillId="0" borderId="65" xfId="0" applyBorder="1"/>
    <xf numFmtId="0" fontId="4" fillId="0" borderId="15" xfId="0" applyFont="1" applyBorder="1" applyAlignment="1">
      <alignment horizontal="left" vertical="center"/>
    </xf>
    <xf numFmtId="0" fontId="0" fillId="0" borderId="15" xfId="0" applyBorder="1" applyAlignment="1">
      <alignment horizontal="center" vertical="center"/>
    </xf>
    <xf numFmtId="0" fontId="19" fillId="0" borderId="0" xfId="0" applyFont="1" applyAlignment="1">
      <alignment horizontal="center" vertical="center"/>
    </xf>
    <xf numFmtId="0" fontId="27" fillId="0" borderId="0" xfId="3" applyFont="1" applyAlignment="1">
      <alignment horizontal="center"/>
    </xf>
    <xf numFmtId="0" fontId="30" fillId="0" borderId="1" xfId="3" applyFont="1" applyBorder="1" applyAlignment="1">
      <alignment horizontal="center"/>
    </xf>
    <xf numFmtId="0" fontId="30" fillId="0" borderId="2" xfId="3" applyFont="1" applyBorder="1" applyAlignment="1">
      <alignment horizontal="center"/>
    </xf>
    <xf numFmtId="0" fontId="30" fillId="0" borderId="19" xfId="3" applyFont="1" applyBorder="1" applyAlignment="1">
      <alignment horizontal="center"/>
    </xf>
    <xf numFmtId="0" fontId="30" fillId="0" borderId="43" xfId="6" applyFont="1" applyBorder="1" applyAlignment="1">
      <alignment horizontal="center" vertical="center"/>
    </xf>
    <xf numFmtId="0" fontId="30" fillId="0" borderId="38" xfId="6" applyFont="1" applyBorder="1" applyAlignment="1">
      <alignment horizontal="center" vertical="center"/>
    </xf>
    <xf numFmtId="0" fontId="30" fillId="0" borderId="44" xfId="6" applyFont="1" applyBorder="1" applyAlignment="1">
      <alignment horizontal="center" vertical="center"/>
    </xf>
    <xf numFmtId="3" fontId="30" fillId="0" borderId="9" xfId="5" applyNumberFormat="1" applyFont="1" applyBorder="1" applyAlignment="1">
      <alignment horizontal="center" vertical="center" wrapText="1"/>
    </xf>
    <xf numFmtId="0" fontId="30" fillId="0" borderId="8" xfId="5" applyFont="1" applyBorder="1" applyAlignment="1">
      <alignment horizontal="center" vertical="center" wrapText="1"/>
    </xf>
    <xf numFmtId="0" fontId="30" fillId="0" borderId="9" xfId="5" applyFont="1" applyBorder="1" applyAlignment="1">
      <alignment horizontal="center" vertical="center" wrapText="1"/>
    </xf>
    <xf numFmtId="0" fontId="30" fillId="0" borderId="10" xfId="5" applyFont="1" applyBorder="1" applyAlignment="1">
      <alignment horizontal="center" vertical="center" wrapText="1"/>
    </xf>
    <xf numFmtId="2" fontId="31" fillId="0" borderId="13" xfId="6" applyNumberFormat="1" applyFont="1" applyBorder="1" applyAlignment="1">
      <alignment horizontal="center" vertical="center" wrapText="1"/>
    </xf>
    <xf numFmtId="3" fontId="31" fillId="0" borderId="13" xfId="6" applyNumberFormat="1" applyFont="1" applyBorder="1" applyAlignment="1">
      <alignment horizontal="center" vertical="center" wrapText="1"/>
    </xf>
    <xf numFmtId="2" fontId="31" fillId="0" borderId="26" xfId="6" applyNumberFormat="1" applyFont="1" applyBorder="1" applyAlignment="1">
      <alignment horizontal="center" vertical="center" wrapText="1"/>
    </xf>
    <xf numFmtId="164" fontId="30" fillId="0" borderId="14" xfId="6" applyNumberFormat="1" applyFont="1" applyBorder="1" applyAlignment="1">
      <alignment horizontal="center" vertical="center" wrapText="1"/>
    </xf>
    <xf numFmtId="2" fontId="31" fillId="0" borderId="41" xfId="6" applyNumberFormat="1" applyFont="1" applyBorder="1" applyAlignment="1">
      <alignment horizontal="center" vertical="center" wrapText="1"/>
    </xf>
    <xf numFmtId="3" fontId="31" fillId="0" borderId="41" xfId="6" applyNumberFormat="1" applyFont="1" applyBorder="1" applyAlignment="1">
      <alignment horizontal="center" vertical="center" wrapText="1"/>
    </xf>
    <xf numFmtId="2" fontId="31" fillId="0" borderId="49" xfId="6" applyNumberFormat="1" applyFont="1" applyBorder="1" applyAlignment="1">
      <alignment horizontal="center" vertical="center" wrapText="1"/>
    </xf>
    <xf numFmtId="3" fontId="31" fillId="0" borderId="38" xfId="5" applyNumberFormat="1" applyFont="1" applyBorder="1" applyAlignment="1">
      <alignment horizontal="center" vertical="center" wrapText="1"/>
    </xf>
    <xf numFmtId="2" fontId="31" fillId="0" borderId="13" xfId="5" applyNumberFormat="1" applyFont="1" applyBorder="1" applyAlignment="1">
      <alignment horizontal="center" vertical="center" wrapText="1"/>
    </xf>
    <xf numFmtId="3" fontId="31" fillId="0" borderId="13" xfId="5" applyNumberFormat="1" applyFont="1" applyBorder="1" applyAlignment="1">
      <alignment horizontal="center" vertical="center" wrapText="1"/>
    </xf>
    <xf numFmtId="0" fontId="31" fillId="0" borderId="26" xfId="5" applyFont="1" applyBorder="1" applyAlignment="1">
      <alignment horizontal="center" vertical="center" wrapText="1"/>
    </xf>
    <xf numFmtId="0" fontId="31" fillId="0" borderId="13" xfId="5" applyFont="1" applyBorder="1" applyAlignment="1">
      <alignment horizontal="center" vertical="center" wrapText="1"/>
    </xf>
    <xf numFmtId="2" fontId="30" fillId="0" borderId="14" xfId="5" applyNumberFormat="1" applyFont="1" applyBorder="1" applyAlignment="1">
      <alignment horizontal="center" vertical="center" wrapText="1"/>
    </xf>
    <xf numFmtId="3" fontId="30" fillId="0" borderId="58" xfId="5" applyNumberFormat="1" applyFont="1" applyBorder="1" applyAlignment="1">
      <alignment horizontal="center" vertical="center" wrapText="1"/>
    </xf>
    <xf numFmtId="0" fontId="30" fillId="0" borderId="66" xfId="5" applyFont="1" applyBorder="1" applyAlignment="1">
      <alignment horizontal="center" vertical="center" wrapText="1"/>
    </xf>
    <xf numFmtId="3" fontId="30" fillId="0" borderId="57" xfId="5" applyNumberFormat="1" applyFont="1" applyBorder="1" applyAlignment="1">
      <alignment horizontal="center" vertical="center" wrapText="1"/>
    </xf>
    <xf numFmtId="3" fontId="30" fillId="0" borderId="59" xfId="5" applyNumberFormat="1" applyFont="1" applyBorder="1" applyAlignment="1">
      <alignment horizontal="center" vertical="center"/>
    </xf>
    <xf numFmtId="0" fontId="30" fillId="0" borderId="59" xfId="5" applyFont="1" applyBorder="1" applyAlignment="1">
      <alignment horizontal="center" vertical="center" wrapText="1"/>
    </xf>
    <xf numFmtId="0" fontId="25" fillId="0" borderId="43" xfId="0" applyFont="1" applyBorder="1" applyAlignment="1">
      <alignment horizontal="left" vertical="center"/>
    </xf>
    <xf numFmtId="0" fontId="31" fillId="0" borderId="38" xfId="5" applyFont="1" applyBorder="1" applyAlignment="1">
      <alignment horizontal="center" vertical="center" wrapText="1"/>
    </xf>
    <xf numFmtId="11" fontId="31" fillId="0" borderId="4" xfId="6" applyNumberFormat="1" applyFont="1" applyBorder="1" applyAlignment="1">
      <alignment horizontal="center" vertical="center" wrapText="1"/>
    </xf>
    <xf numFmtId="166" fontId="31" fillId="0" borderId="3" xfId="6" applyNumberFormat="1" applyFont="1" applyBorder="1" applyAlignment="1">
      <alignment horizontal="center" vertical="center" wrapText="1"/>
    </xf>
    <xf numFmtId="165" fontId="31" fillId="0" borderId="3" xfId="6" applyNumberFormat="1" applyFont="1" applyBorder="1" applyAlignment="1">
      <alignment horizontal="center" vertical="center" wrapText="1"/>
    </xf>
    <xf numFmtId="166" fontId="31" fillId="0" borderId="5" xfId="6" applyNumberFormat="1" applyFont="1" applyBorder="1" applyAlignment="1">
      <alignment horizontal="center" vertical="center" wrapText="1"/>
    </xf>
    <xf numFmtId="165" fontId="30" fillId="0" borderId="43" xfId="5" applyNumberFormat="1" applyFont="1" applyBorder="1" applyAlignment="1">
      <alignment horizontal="center" vertical="center" wrapText="1"/>
    </xf>
    <xf numFmtId="11" fontId="30" fillId="0" borderId="44" xfId="5" applyNumberFormat="1" applyFont="1" applyBorder="1" applyAlignment="1">
      <alignment horizontal="center" vertical="center" wrapText="1"/>
    </xf>
    <xf numFmtId="0" fontId="25" fillId="0" borderId="12" xfId="0" applyFont="1" applyBorder="1" applyAlignment="1">
      <alignment horizontal="left" vertical="center"/>
    </xf>
    <xf numFmtId="11" fontId="31" fillId="0" borderId="12" xfId="6" applyNumberFormat="1" applyFont="1" applyBorder="1" applyAlignment="1">
      <alignment horizontal="center" vertical="center" wrapText="1"/>
    </xf>
    <xf numFmtId="166" fontId="31" fillId="0" borderId="13" xfId="6" applyNumberFormat="1" applyFont="1" applyBorder="1" applyAlignment="1">
      <alignment horizontal="center" vertical="center" wrapText="1"/>
    </xf>
    <xf numFmtId="165" fontId="31" fillId="0" borderId="13" xfId="6" applyNumberFormat="1" applyFont="1" applyBorder="1" applyAlignment="1">
      <alignment horizontal="center" vertical="center" wrapText="1"/>
    </xf>
    <xf numFmtId="166" fontId="31" fillId="0" borderId="14" xfId="6" applyNumberFormat="1" applyFont="1" applyBorder="1" applyAlignment="1">
      <alignment horizontal="center" vertical="center" wrapText="1"/>
    </xf>
    <xf numFmtId="165" fontId="30" fillId="0" borderId="12" xfId="5" applyNumberFormat="1" applyFont="1" applyBorder="1" applyAlignment="1">
      <alignment horizontal="center" vertical="center" wrapText="1"/>
    </xf>
    <xf numFmtId="11" fontId="30" fillId="0" borderId="14" xfId="5" applyNumberFormat="1" applyFont="1" applyBorder="1" applyAlignment="1">
      <alignment horizontal="center" vertical="center" wrapText="1"/>
    </xf>
    <xf numFmtId="11" fontId="31" fillId="0" borderId="13" xfId="6" applyNumberFormat="1" applyFont="1" applyBorder="1" applyAlignment="1">
      <alignment horizontal="center" vertical="center" wrapText="1"/>
    </xf>
    <xf numFmtId="2" fontId="31" fillId="0" borderId="12" xfId="6" applyNumberFormat="1" applyFont="1" applyBorder="1" applyAlignment="1">
      <alignment horizontal="center" vertical="center" wrapText="1"/>
    </xf>
    <xf numFmtId="2" fontId="31" fillId="0" borderId="14" xfId="6" applyNumberFormat="1" applyFont="1" applyBorder="1" applyAlignment="1">
      <alignment horizontal="center" vertical="center" wrapText="1"/>
    </xf>
    <xf numFmtId="0" fontId="30" fillId="0" borderId="12" xfId="5" applyFont="1" applyBorder="1" applyAlignment="1">
      <alignment horizontal="center" vertical="center" wrapText="1"/>
    </xf>
    <xf numFmtId="0" fontId="30" fillId="0" borderId="14" xfId="5" applyFont="1" applyBorder="1" applyAlignment="1">
      <alignment horizontal="center" vertical="center" wrapText="1"/>
    </xf>
    <xf numFmtId="0" fontId="25" fillId="0" borderId="40" xfId="0" applyFont="1" applyBorder="1" applyAlignment="1">
      <alignment horizontal="left" vertical="center"/>
    </xf>
    <xf numFmtId="11" fontId="31" fillId="0" borderId="8" xfId="6" applyNumberFormat="1" applyFont="1" applyBorder="1" applyAlignment="1">
      <alignment horizontal="center" vertical="center" wrapText="1"/>
    </xf>
    <xf numFmtId="11" fontId="31" fillId="0" borderId="9" xfId="6" applyNumberFormat="1" applyFont="1" applyBorder="1" applyAlignment="1">
      <alignment horizontal="center" vertical="center" wrapText="1"/>
    </xf>
    <xf numFmtId="166" fontId="31" fillId="0" borderId="9" xfId="6" applyNumberFormat="1" applyFont="1" applyBorder="1" applyAlignment="1">
      <alignment horizontal="center" vertical="center" wrapText="1"/>
    </xf>
    <xf numFmtId="166" fontId="31" fillId="0" borderId="10" xfId="6" applyNumberFormat="1" applyFont="1" applyBorder="1" applyAlignment="1">
      <alignment horizontal="center" vertical="center" wrapText="1"/>
    </xf>
    <xf numFmtId="165" fontId="30" fillId="0" borderId="40" xfId="6" applyNumberFormat="1" applyFont="1" applyBorder="1" applyAlignment="1">
      <alignment horizontal="center" vertical="center" wrapText="1"/>
    </xf>
    <xf numFmtId="11" fontId="30" fillId="0" borderId="42" xfId="7" applyNumberFormat="1" applyFont="1" applyBorder="1" applyAlignment="1">
      <alignment horizontal="center" vertical="center"/>
    </xf>
    <xf numFmtId="0" fontId="25" fillId="0" borderId="4" xfId="0" applyFont="1" applyBorder="1" applyAlignment="1">
      <alignment horizontal="left" vertical="center"/>
    </xf>
    <xf numFmtId="2" fontId="31" fillId="0" borderId="3" xfId="6" applyNumberFormat="1" applyFont="1" applyBorder="1" applyAlignment="1">
      <alignment horizontal="center" vertical="center" wrapText="1"/>
    </xf>
    <xf numFmtId="3" fontId="31" fillId="0" borderId="3" xfId="6" applyNumberFormat="1" applyFont="1" applyBorder="1" applyAlignment="1">
      <alignment horizontal="center" vertical="center" wrapText="1"/>
    </xf>
    <xf numFmtId="2" fontId="31" fillId="0" borderId="27" xfId="6" applyNumberFormat="1" applyFont="1" applyBorder="1" applyAlignment="1">
      <alignment horizontal="center" vertical="center" wrapText="1"/>
    </xf>
    <xf numFmtId="11" fontId="31" fillId="0" borderId="3" xfId="6" applyNumberFormat="1" applyFont="1" applyBorder="1" applyAlignment="1">
      <alignment horizontal="center" vertical="center" wrapText="1"/>
    </xf>
    <xf numFmtId="165" fontId="30" fillId="0" borderId="4" xfId="6" applyNumberFormat="1" applyFont="1" applyBorder="1" applyAlignment="1">
      <alignment horizontal="center" vertical="center" wrapText="1"/>
    </xf>
    <xf numFmtId="11" fontId="30" fillId="0" borderId="5" xfId="6" applyNumberFormat="1" applyFont="1" applyBorder="1" applyAlignment="1">
      <alignment horizontal="center" vertical="center" wrapText="1"/>
    </xf>
    <xf numFmtId="168" fontId="31" fillId="0" borderId="12" xfId="6" applyNumberFormat="1" applyFont="1" applyBorder="1" applyAlignment="1">
      <alignment horizontal="center" vertical="center" wrapText="1"/>
    </xf>
    <xf numFmtId="168" fontId="31" fillId="0" borderId="13" xfId="6" applyNumberFormat="1" applyFont="1" applyBorder="1" applyAlignment="1">
      <alignment horizontal="center" vertical="center" wrapText="1"/>
    </xf>
    <xf numFmtId="168" fontId="31" fillId="0" borderId="14" xfId="6" applyNumberFormat="1" applyFont="1" applyBorder="1" applyAlignment="1">
      <alignment horizontal="center" vertical="center" wrapText="1"/>
    </xf>
    <xf numFmtId="0" fontId="30" fillId="0" borderId="12" xfId="6" applyFont="1" applyBorder="1" applyAlignment="1">
      <alignment horizontal="center" vertical="center" wrapText="1"/>
    </xf>
    <xf numFmtId="0" fontId="30" fillId="0" borderId="14" xfId="7" applyFont="1" applyBorder="1" applyAlignment="1">
      <alignment horizontal="center" vertical="center"/>
    </xf>
    <xf numFmtId="11" fontId="31" fillId="0" borderId="14" xfId="6" applyNumberFormat="1" applyFont="1" applyBorder="1" applyAlignment="1">
      <alignment horizontal="center" vertical="center" wrapText="1"/>
    </xf>
    <xf numFmtId="165" fontId="30" fillId="0" borderId="12" xfId="6" applyNumberFormat="1" applyFont="1" applyBorder="1" applyAlignment="1">
      <alignment horizontal="center" vertical="center" wrapText="1"/>
    </xf>
    <xf numFmtId="11" fontId="30" fillId="0" borderId="14" xfId="6" applyNumberFormat="1" applyFont="1" applyBorder="1" applyAlignment="1">
      <alignment horizontal="center" vertical="center" wrapText="1"/>
    </xf>
    <xf numFmtId="0" fontId="31" fillId="0" borderId="12" xfId="6" applyFont="1" applyBorder="1" applyAlignment="1">
      <alignment horizontal="center" vertical="center" wrapText="1"/>
    </xf>
    <xf numFmtId="0" fontId="31" fillId="0" borderId="13" xfId="6" applyFont="1" applyBorder="1" applyAlignment="1">
      <alignment horizontal="center" vertical="center" wrapText="1"/>
    </xf>
    <xf numFmtId="0" fontId="31" fillId="0" borderId="14" xfId="6" applyFont="1" applyBorder="1" applyAlignment="1">
      <alignment horizontal="center" vertical="center" wrapText="1"/>
    </xf>
    <xf numFmtId="0" fontId="30" fillId="0" borderId="14" xfId="6" applyFont="1" applyBorder="1" applyAlignment="1">
      <alignment horizontal="center" vertical="center" wrapText="1"/>
    </xf>
    <xf numFmtId="1" fontId="31" fillId="0" borderId="12" xfId="6" applyNumberFormat="1" applyFont="1" applyBorder="1" applyAlignment="1">
      <alignment horizontal="center" vertical="center" wrapText="1"/>
    </xf>
    <xf numFmtId="1" fontId="31" fillId="0" borderId="13" xfId="6" applyNumberFormat="1" applyFont="1" applyBorder="1" applyAlignment="1">
      <alignment horizontal="center" vertical="center" wrapText="1"/>
    </xf>
    <xf numFmtId="1" fontId="31" fillId="0" borderId="14" xfId="6" applyNumberFormat="1" applyFont="1" applyBorder="1" applyAlignment="1">
      <alignment horizontal="center" vertical="center" wrapText="1"/>
    </xf>
    <xf numFmtId="1" fontId="30" fillId="0" borderId="12" xfId="6" applyNumberFormat="1" applyFont="1" applyBorder="1" applyAlignment="1">
      <alignment horizontal="center" vertical="center" wrapText="1"/>
    </xf>
    <xf numFmtId="164" fontId="30" fillId="0" borderId="14" xfId="7" applyNumberFormat="1" applyFont="1" applyBorder="1" applyAlignment="1">
      <alignment horizontal="center" vertical="center"/>
    </xf>
    <xf numFmtId="165" fontId="31" fillId="0" borderId="12" xfId="6" applyNumberFormat="1" applyFont="1" applyBorder="1" applyAlignment="1">
      <alignment horizontal="center" vertical="center" wrapText="1"/>
    </xf>
    <xf numFmtId="167" fontId="31" fillId="0" borderId="13" xfId="6" applyNumberFormat="1" applyFont="1" applyBorder="1" applyAlignment="1">
      <alignment horizontal="center" vertical="center" wrapText="1"/>
    </xf>
    <xf numFmtId="165" fontId="31" fillId="0" borderId="14" xfId="6" applyNumberFormat="1" applyFont="1" applyBorder="1" applyAlignment="1">
      <alignment horizontal="center" vertical="center" wrapText="1"/>
    </xf>
    <xf numFmtId="167" fontId="30" fillId="0" borderId="12" xfId="6" applyNumberFormat="1" applyFont="1" applyBorder="1" applyAlignment="1">
      <alignment horizontal="center" vertical="center" wrapText="1"/>
    </xf>
    <xf numFmtId="11" fontId="30" fillId="0" borderId="14" xfId="7" applyNumberFormat="1" applyFont="1" applyBorder="1" applyAlignment="1">
      <alignment horizontal="center" vertical="center"/>
    </xf>
    <xf numFmtId="167" fontId="31" fillId="0" borderId="12" xfId="6" applyNumberFormat="1" applyFont="1" applyBorder="1" applyAlignment="1">
      <alignment horizontal="center" vertical="center" wrapText="1"/>
    </xf>
    <xf numFmtId="164" fontId="31" fillId="0" borderId="14" xfId="6" applyNumberFormat="1" applyFont="1" applyBorder="1" applyAlignment="1">
      <alignment horizontal="center" vertical="center" wrapText="1"/>
    </xf>
    <xf numFmtId="165" fontId="30" fillId="0" borderId="14" xfId="7" applyNumberFormat="1" applyFont="1" applyBorder="1" applyAlignment="1">
      <alignment horizontal="center" vertical="center"/>
    </xf>
    <xf numFmtId="167" fontId="30" fillId="0" borderId="14" xfId="7" applyNumberFormat="1" applyFont="1" applyBorder="1" applyAlignment="1">
      <alignment horizontal="center" vertical="center"/>
    </xf>
    <xf numFmtId="2" fontId="30" fillId="0" borderId="12" xfId="6" applyNumberFormat="1" applyFont="1" applyBorder="1" applyAlignment="1">
      <alignment horizontal="center" vertical="center" wrapText="1"/>
    </xf>
    <xf numFmtId="164" fontId="31" fillId="0" borderId="12" xfId="6" applyNumberFormat="1" applyFont="1" applyBorder="1" applyAlignment="1">
      <alignment horizontal="center" vertical="center" wrapText="1"/>
    </xf>
    <xf numFmtId="164" fontId="31" fillId="0" borderId="13" xfId="6" applyNumberFormat="1" applyFont="1" applyBorder="1" applyAlignment="1">
      <alignment horizontal="center" vertical="center" wrapText="1"/>
    </xf>
    <xf numFmtId="2" fontId="30" fillId="0" borderId="14" xfId="7" applyNumberFormat="1" applyFont="1" applyBorder="1" applyAlignment="1">
      <alignment horizontal="center" vertical="center"/>
    </xf>
    <xf numFmtId="166" fontId="31" fillId="0" borderId="12" xfId="6" applyNumberFormat="1" applyFont="1" applyBorder="1" applyAlignment="1">
      <alignment horizontal="center" vertical="center" wrapText="1"/>
    </xf>
    <xf numFmtId="2" fontId="30" fillId="0" borderId="14" xfId="6" applyNumberFormat="1" applyFont="1" applyBorder="1" applyAlignment="1">
      <alignment horizontal="center" vertical="center" wrapText="1"/>
    </xf>
    <xf numFmtId="167" fontId="31" fillId="0" borderId="14" xfId="6" applyNumberFormat="1" applyFont="1" applyBorder="1" applyAlignment="1">
      <alignment horizontal="center" vertical="center" wrapText="1"/>
    </xf>
    <xf numFmtId="166" fontId="31" fillId="0" borderId="8" xfId="6" applyNumberFormat="1" applyFont="1" applyBorder="1" applyAlignment="1">
      <alignment horizontal="center" vertical="center" wrapText="1"/>
    </xf>
    <xf numFmtId="165" fontId="31" fillId="0" borderId="9" xfId="6" applyNumberFormat="1" applyFont="1" applyBorder="1" applyAlignment="1">
      <alignment horizontal="center" vertical="center" wrapText="1"/>
    </xf>
    <xf numFmtId="0" fontId="30" fillId="0" borderId="54" xfId="6" applyFont="1" applyBorder="1" applyAlignment="1">
      <alignment vertical="center"/>
    </xf>
    <xf numFmtId="3" fontId="30" fillId="0" borderId="57" xfId="6" applyNumberFormat="1" applyFont="1" applyBorder="1" applyAlignment="1">
      <alignment horizontal="center" vertical="center"/>
    </xf>
    <xf numFmtId="3" fontId="30" fillId="0" borderId="58" xfId="6" applyNumberFormat="1" applyFont="1" applyBorder="1" applyAlignment="1">
      <alignment horizontal="center" vertical="center"/>
    </xf>
    <xf numFmtId="3" fontId="30" fillId="0" borderId="7" xfId="6" applyNumberFormat="1" applyFont="1" applyBorder="1" applyAlignment="1">
      <alignment horizontal="center" vertical="center"/>
    </xf>
    <xf numFmtId="3" fontId="30" fillId="0" borderId="11" xfId="6" applyNumberFormat="1" applyFont="1" applyBorder="1" applyAlignment="1">
      <alignment horizontal="center" vertical="center"/>
    </xf>
    <xf numFmtId="0" fontId="30" fillId="0" borderId="0" xfId="5" applyFont="1" applyAlignment="1">
      <alignment horizontal="center" vertical="center" wrapText="1"/>
    </xf>
    <xf numFmtId="2" fontId="24" fillId="0" borderId="4" xfId="4" applyNumberFormat="1" applyFont="1" applyBorder="1" applyAlignment="1">
      <alignment horizontal="left" vertical="top" wrapText="1"/>
    </xf>
    <xf numFmtId="2" fontId="31" fillId="0" borderId="3" xfId="5" applyNumberFormat="1" applyFont="1" applyBorder="1" applyAlignment="1">
      <alignment horizontal="center" vertical="center" wrapText="1"/>
    </xf>
    <xf numFmtId="2" fontId="31" fillId="0" borderId="27" xfId="5" applyNumberFormat="1" applyFont="1" applyBorder="1" applyAlignment="1">
      <alignment horizontal="center" vertical="center" wrapText="1"/>
    </xf>
    <xf numFmtId="2" fontId="31" fillId="0" borderId="4" xfId="5" applyNumberFormat="1" applyFont="1" applyBorder="1" applyAlignment="1">
      <alignment horizontal="center" vertical="center" wrapText="1"/>
    </xf>
    <xf numFmtId="2" fontId="31" fillId="0" borderId="5" xfId="5" applyNumberFormat="1" applyFont="1" applyBorder="1" applyAlignment="1">
      <alignment horizontal="center" vertical="center" wrapText="1"/>
    </xf>
    <xf numFmtId="2" fontId="30" fillId="0" borderId="4" xfId="5" applyNumberFormat="1" applyFont="1" applyBorder="1" applyAlignment="1">
      <alignment horizontal="center" vertical="center" wrapText="1"/>
    </xf>
    <xf numFmtId="2" fontId="30" fillId="0" borderId="5" xfId="5" applyNumberFormat="1" applyFont="1" applyBorder="1" applyAlignment="1">
      <alignment horizontal="center" vertical="center" wrapText="1"/>
    </xf>
    <xf numFmtId="2" fontId="24" fillId="0" borderId="12" xfId="4" applyNumberFormat="1" applyFont="1" applyBorder="1" applyAlignment="1">
      <alignment horizontal="left" vertical="top" wrapText="1"/>
    </xf>
    <xf numFmtId="2" fontId="31" fillId="0" borderId="26" xfId="5" applyNumberFormat="1" applyFont="1" applyBorder="1" applyAlignment="1">
      <alignment horizontal="center" vertical="center" wrapText="1"/>
    </xf>
    <xf numFmtId="2" fontId="31" fillId="0" borderId="12" xfId="5" applyNumberFormat="1" applyFont="1" applyBorder="1" applyAlignment="1">
      <alignment horizontal="center" vertical="center" wrapText="1"/>
    </xf>
    <xf numFmtId="2" fontId="31" fillId="0" borderId="14" xfId="5" applyNumberFormat="1" applyFont="1" applyBorder="1" applyAlignment="1">
      <alignment horizontal="center" vertical="center" wrapText="1"/>
    </xf>
    <xf numFmtId="2" fontId="30" fillId="0" borderId="12" xfId="5" applyNumberFormat="1" applyFont="1" applyBorder="1" applyAlignment="1">
      <alignment horizontal="center" vertical="center" wrapText="1"/>
    </xf>
    <xf numFmtId="2" fontId="24" fillId="0" borderId="8" xfId="4" applyNumberFormat="1" applyFont="1" applyBorder="1" applyAlignment="1">
      <alignment horizontal="left" vertical="center" wrapText="1"/>
    </xf>
    <xf numFmtId="2" fontId="31" fillId="0" borderId="9" xfId="5" applyNumberFormat="1" applyFont="1" applyBorder="1" applyAlignment="1">
      <alignment horizontal="center" vertical="center" wrapText="1"/>
    </xf>
    <xf numFmtId="2" fontId="31" fillId="0" borderId="31" xfId="5" applyNumberFormat="1" applyFont="1" applyBorder="1" applyAlignment="1">
      <alignment horizontal="center" vertical="center" wrapText="1"/>
    </xf>
    <xf numFmtId="2" fontId="31" fillId="0" borderId="8" xfId="5" applyNumberFormat="1" applyFont="1" applyBorder="1" applyAlignment="1">
      <alignment horizontal="center" vertical="center" wrapText="1"/>
    </xf>
    <xf numFmtId="2" fontId="31" fillId="0" borderId="10" xfId="5" applyNumberFormat="1" applyFont="1" applyBorder="1" applyAlignment="1">
      <alignment horizontal="center" vertical="center" wrapText="1"/>
    </xf>
    <xf numFmtId="2" fontId="30" fillId="0" borderId="8" xfId="5" applyNumberFormat="1" applyFont="1" applyBorder="1" applyAlignment="1">
      <alignment horizontal="center" vertical="center" wrapText="1"/>
    </xf>
    <xf numFmtId="2" fontId="30" fillId="0" borderId="10" xfId="5" applyNumberFormat="1" applyFont="1" applyBorder="1" applyAlignment="1">
      <alignment horizontal="center" vertical="center" wrapText="1"/>
    </xf>
    <xf numFmtId="0" fontId="0" fillId="0" borderId="2" xfId="0" applyBorder="1" applyAlignment="1">
      <alignment vertical="center"/>
    </xf>
    <xf numFmtId="2" fontId="31" fillId="0" borderId="51" xfId="5" applyNumberFormat="1" applyFont="1" applyBorder="1" applyAlignment="1">
      <alignment horizontal="center" vertical="center" wrapText="1"/>
    </xf>
    <xf numFmtId="2" fontId="31" fillId="0" borderId="13" xfId="6" quotePrefix="1" applyNumberFormat="1" applyFont="1" applyBorder="1" applyAlignment="1">
      <alignment horizontal="center" vertical="center" wrapText="1"/>
    </xf>
    <xf numFmtId="0" fontId="31" fillId="0" borderId="3" xfId="5" applyFont="1" applyBorder="1" applyAlignment="1">
      <alignment horizontal="center" vertical="center" wrapText="1"/>
    </xf>
    <xf numFmtId="3" fontId="31" fillId="0" borderId="3" xfId="5" applyNumberFormat="1" applyFont="1" applyBorder="1" applyAlignment="1">
      <alignment horizontal="center" vertical="center" wrapText="1"/>
    </xf>
    <xf numFmtId="165" fontId="30" fillId="0" borderId="4" xfId="5" applyNumberFormat="1" applyFont="1" applyBorder="1" applyAlignment="1">
      <alignment horizontal="center" vertical="center" wrapText="1"/>
    </xf>
    <xf numFmtId="11" fontId="30" fillId="0" borderId="5" xfId="5" applyNumberFormat="1" applyFont="1" applyBorder="1" applyAlignment="1">
      <alignment horizontal="center" vertical="center" wrapText="1"/>
    </xf>
    <xf numFmtId="0" fontId="25" fillId="0" borderId="8" xfId="0" applyFont="1" applyBorder="1" applyAlignment="1">
      <alignment horizontal="left" vertical="center"/>
    </xf>
    <xf numFmtId="2" fontId="31" fillId="0" borderId="9" xfId="6" applyNumberFormat="1" applyFont="1" applyBorder="1" applyAlignment="1">
      <alignment horizontal="center" vertical="center" wrapText="1"/>
    </xf>
    <xf numFmtId="2" fontId="31" fillId="0" borderId="31" xfId="6" applyNumberFormat="1" applyFont="1" applyBorder="1" applyAlignment="1">
      <alignment horizontal="center" vertical="center" wrapText="1"/>
    </xf>
    <xf numFmtId="167" fontId="30" fillId="0" borderId="8" xfId="6" applyNumberFormat="1" applyFont="1" applyBorder="1" applyAlignment="1">
      <alignment horizontal="center" vertical="center" wrapText="1"/>
    </xf>
    <xf numFmtId="11" fontId="30" fillId="0" borderId="10" xfId="7" applyNumberFormat="1" applyFont="1" applyBorder="1" applyAlignment="1">
      <alignment horizontal="center" vertical="center"/>
    </xf>
    <xf numFmtId="169" fontId="31" fillId="0" borderId="4" xfId="6" applyNumberFormat="1" applyFont="1" applyBorder="1" applyAlignment="1">
      <alignment horizontal="center" vertical="center" wrapText="1"/>
    </xf>
    <xf numFmtId="169" fontId="31" fillId="0" borderId="3" xfId="6" applyNumberFormat="1" applyFont="1" applyBorder="1" applyAlignment="1">
      <alignment horizontal="center" vertical="center" wrapText="1"/>
    </xf>
    <xf numFmtId="169" fontId="31" fillId="0" borderId="5" xfId="6" applyNumberFormat="1" applyFont="1" applyBorder="1" applyAlignment="1">
      <alignment horizontal="center" vertical="center" wrapText="1"/>
    </xf>
    <xf numFmtId="0" fontId="30" fillId="0" borderId="7" xfId="5" applyFont="1" applyBorder="1" applyAlignment="1">
      <alignment horizontal="center" vertical="center" wrapText="1"/>
    </xf>
    <xf numFmtId="0" fontId="30" fillId="0" borderId="19" xfId="5" applyFont="1" applyBorder="1" applyAlignment="1">
      <alignment horizontal="center" vertical="center" wrapText="1"/>
    </xf>
    <xf numFmtId="0" fontId="30" fillId="0" borderId="11" xfId="5" applyFont="1" applyBorder="1" applyAlignment="1">
      <alignment horizontal="center" vertical="center" wrapText="1"/>
    </xf>
    <xf numFmtId="3" fontId="31" fillId="0" borderId="9" xfId="5" applyNumberFormat="1" applyFont="1" applyBorder="1" applyAlignment="1">
      <alignment horizontal="center" vertical="center" wrapText="1"/>
    </xf>
    <xf numFmtId="2" fontId="33" fillId="4" borderId="3" xfId="5" applyNumberFormat="1" applyFont="1" applyFill="1" applyBorder="1" applyAlignment="1">
      <alignment horizontal="center" vertical="center" wrapText="1"/>
    </xf>
    <xf numFmtId="2" fontId="24" fillId="0" borderId="0" xfId="4" applyNumberFormat="1" applyFont="1" applyAlignment="1">
      <alignment horizontal="left" vertical="center" wrapText="1"/>
    </xf>
    <xf numFmtId="2" fontId="31" fillId="0" borderId="0" xfId="5" applyNumberFormat="1" applyFont="1" applyAlignment="1">
      <alignment horizontal="center" vertical="center" wrapText="1"/>
    </xf>
    <xf numFmtId="3" fontId="31" fillId="0" borderId="0" xfId="5" applyNumberFormat="1" applyFont="1" applyAlignment="1">
      <alignment horizontal="center" vertical="center" wrapText="1"/>
    </xf>
    <xf numFmtId="0" fontId="0" fillId="0" borderId="0" xfId="0" quotePrefix="1" applyAlignment="1">
      <alignment horizontal="right"/>
    </xf>
    <xf numFmtId="2" fontId="31" fillId="0" borderId="3" xfId="5" applyNumberFormat="1" applyFont="1" applyBorder="1" applyAlignment="1">
      <alignment horizontal="center" vertical="center"/>
    </xf>
    <xf numFmtId="2" fontId="31" fillId="0" borderId="13" xfId="6" applyNumberFormat="1" applyFont="1" applyBorder="1" applyAlignment="1">
      <alignment horizontal="center" vertical="center"/>
    </xf>
    <xf numFmtId="2" fontId="31" fillId="0" borderId="13" xfId="5" applyNumberFormat="1" applyFont="1" applyBorder="1" applyAlignment="1">
      <alignment horizontal="center" vertical="center"/>
    </xf>
    <xf numFmtId="2" fontId="31" fillId="0" borderId="9" xfId="5" applyNumberFormat="1" applyFont="1" applyBorder="1" applyAlignment="1">
      <alignment horizontal="center" vertical="center"/>
    </xf>
    <xf numFmtId="2" fontId="31" fillId="0" borderId="0" xfId="6" applyNumberFormat="1" applyFont="1" applyAlignment="1">
      <alignment horizontal="center" vertical="center" wrapText="1"/>
    </xf>
    <xf numFmtId="0" fontId="30" fillId="0" borderId="19" xfId="5" applyFont="1" applyBorder="1" applyAlignment="1">
      <alignment horizontal="center" vertical="center"/>
    </xf>
    <xf numFmtId="2" fontId="33" fillId="4" borderId="13" xfId="6" applyNumberFormat="1" applyFont="1" applyFill="1" applyBorder="1" applyAlignment="1">
      <alignment horizontal="center" vertical="center" wrapText="1"/>
    </xf>
    <xf numFmtId="2" fontId="33" fillId="4" borderId="13" xfId="5" applyNumberFormat="1" applyFont="1" applyFill="1" applyBorder="1" applyAlignment="1">
      <alignment horizontal="center" vertical="center" wrapText="1"/>
    </xf>
    <xf numFmtId="2" fontId="33" fillId="4" borderId="9" xfId="5" applyNumberFormat="1" applyFont="1" applyFill="1" applyBorder="1" applyAlignment="1">
      <alignment horizontal="center" vertical="center" wrapText="1"/>
    </xf>
    <xf numFmtId="0" fontId="33" fillId="4" borderId="38" xfId="5" applyFont="1" applyFill="1" applyBorder="1" applyAlignment="1">
      <alignment horizontal="center" vertical="center" wrapText="1"/>
    </xf>
    <xf numFmtId="0" fontId="33" fillId="4" borderId="13" xfId="5" applyFont="1" applyFill="1" applyBorder="1" applyAlignment="1">
      <alignment horizontal="center" vertical="center" wrapText="1"/>
    </xf>
    <xf numFmtId="2" fontId="33" fillId="4" borderId="41" xfId="6" applyNumberFormat="1" applyFont="1" applyFill="1" applyBorder="1" applyAlignment="1">
      <alignment horizontal="center" vertical="center" wrapText="1"/>
    </xf>
    <xf numFmtId="2" fontId="33" fillId="4" borderId="3" xfId="6" applyNumberFormat="1" applyFont="1" applyFill="1" applyBorder="1" applyAlignment="1">
      <alignment horizontal="center" vertical="center" wrapText="1"/>
    </xf>
    <xf numFmtId="2" fontId="33" fillId="4" borderId="13" xfId="6" quotePrefix="1" applyNumberFormat="1" applyFont="1" applyFill="1" applyBorder="1" applyAlignment="1">
      <alignment horizontal="center" vertical="center" wrapText="1"/>
    </xf>
    <xf numFmtId="0" fontId="31" fillId="0" borderId="13" xfId="5" applyFont="1" applyBorder="1" applyAlignment="1">
      <alignment horizontal="center" vertical="center"/>
    </xf>
    <xf numFmtId="2" fontId="31" fillId="0" borderId="41" xfId="6" applyNumberFormat="1" applyFont="1" applyBorder="1" applyAlignment="1">
      <alignment horizontal="center" vertical="center"/>
    </xf>
    <xf numFmtId="2" fontId="31" fillId="0" borderId="3" xfId="6" applyNumberFormat="1" applyFont="1" applyBorder="1" applyAlignment="1">
      <alignment horizontal="center" vertical="center"/>
    </xf>
    <xf numFmtId="2" fontId="31" fillId="0" borderId="13" xfId="6" quotePrefix="1" applyNumberFormat="1" applyFont="1" applyBorder="1" applyAlignment="1">
      <alignment horizontal="center" vertical="center"/>
    </xf>
    <xf numFmtId="2" fontId="31" fillId="0" borderId="9" xfId="6" applyNumberFormat="1" applyFont="1" applyBorder="1" applyAlignment="1">
      <alignment horizontal="center" vertical="center"/>
    </xf>
    <xf numFmtId="0" fontId="30" fillId="0" borderId="43" xfId="6" quotePrefix="1" applyFont="1" applyBorder="1" applyAlignment="1">
      <alignment horizontal="center" vertical="center"/>
    </xf>
    <xf numFmtId="2" fontId="0" fillId="2" borderId="12" xfId="1" applyNumberFormat="1" applyFont="1" applyFill="1" applyBorder="1" applyAlignment="1" applyProtection="1">
      <alignment horizontal="center" vertical="center"/>
      <protection locked="0"/>
    </xf>
    <xf numFmtId="2" fontId="0" fillId="2" borderId="13" xfId="1" applyNumberFormat="1" applyFont="1" applyFill="1" applyBorder="1" applyAlignment="1" applyProtection="1">
      <alignment horizontal="center" vertical="center"/>
      <protection locked="0"/>
    </xf>
    <xf numFmtId="2" fontId="0" fillId="2" borderId="14" xfId="1" applyNumberFormat="1" applyFont="1" applyFill="1" applyBorder="1" applyAlignment="1" applyProtection="1">
      <alignment horizontal="center" vertical="center"/>
      <protection locked="0"/>
    </xf>
    <xf numFmtId="2" fontId="0" fillId="2" borderId="12" xfId="0" applyNumberFormat="1" applyFill="1" applyBorder="1" applyAlignment="1">
      <alignment horizontal="center"/>
    </xf>
    <xf numFmtId="2" fontId="0" fillId="2" borderId="13" xfId="0" applyNumberFormat="1" applyFill="1" applyBorder="1" applyAlignment="1">
      <alignment horizontal="center"/>
    </xf>
    <xf numFmtId="2" fontId="0" fillId="2" borderId="14" xfId="0" applyNumberFormat="1" applyFill="1" applyBorder="1" applyAlignment="1">
      <alignment horizontal="center"/>
    </xf>
    <xf numFmtId="0" fontId="30" fillId="0" borderId="32" xfId="5" applyFont="1" applyBorder="1" applyAlignment="1">
      <alignment horizontal="center" vertical="center" wrapText="1"/>
    </xf>
    <xf numFmtId="3" fontId="31" fillId="0" borderId="13" xfId="6" quotePrefix="1" applyNumberFormat="1" applyFont="1" applyBorder="1" applyAlignment="1">
      <alignment horizontal="center" vertical="center" wrapText="1"/>
    </xf>
    <xf numFmtId="3" fontId="31" fillId="0" borderId="5" xfId="5" applyNumberFormat="1" applyFont="1" applyBorder="1" applyAlignment="1">
      <alignment horizontal="center" vertical="center" wrapText="1"/>
    </xf>
    <xf numFmtId="3" fontId="31" fillId="0" borderId="5" xfId="5" applyNumberFormat="1" applyFont="1" applyBorder="1" applyAlignment="1">
      <alignment horizontal="center" vertical="center"/>
    </xf>
    <xf numFmtId="3" fontId="31" fillId="0" borderId="14" xfId="6" applyNumberFormat="1" applyFont="1" applyBorder="1" applyAlignment="1">
      <alignment horizontal="center" vertical="center" wrapText="1"/>
    </xf>
    <xf numFmtId="3" fontId="31" fillId="0" borderId="14" xfId="6" applyNumberFormat="1" applyFont="1" applyBorder="1" applyAlignment="1">
      <alignment horizontal="center" vertical="center"/>
    </xf>
    <xf numFmtId="3" fontId="31" fillId="0" borderId="14" xfId="5" applyNumberFormat="1" applyFont="1" applyBorder="1" applyAlignment="1">
      <alignment horizontal="center" vertical="center" wrapText="1"/>
    </xf>
    <xf numFmtId="3" fontId="31" fillId="0" borderId="14" xfId="5" applyNumberFormat="1" applyFont="1" applyBorder="1" applyAlignment="1">
      <alignment horizontal="center" vertical="center"/>
    </xf>
    <xf numFmtId="3" fontId="31" fillId="0" borderId="10" xfId="5" applyNumberFormat="1" applyFont="1" applyBorder="1" applyAlignment="1">
      <alignment horizontal="center" vertical="center" wrapText="1"/>
    </xf>
    <xf numFmtId="3" fontId="31" fillId="0" borderId="10" xfId="5" applyNumberFormat="1" applyFont="1" applyBorder="1" applyAlignment="1">
      <alignment horizontal="center" vertical="center"/>
    </xf>
    <xf numFmtId="3" fontId="31" fillId="0" borderId="44" xfId="5" applyNumberFormat="1" applyFont="1" applyBorder="1" applyAlignment="1">
      <alignment horizontal="center" vertical="center" wrapText="1"/>
    </xf>
    <xf numFmtId="3" fontId="31" fillId="0" borderId="42" xfId="6" applyNumberFormat="1" applyFont="1" applyBorder="1" applyAlignment="1">
      <alignment horizontal="center" vertical="center" wrapText="1"/>
    </xf>
    <xf numFmtId="3" fontId="31" fillId="0" borderId="5" xfId="6" applyNumberFormat="1" applyFont="1" applyBorder="1" applyAlignment="1">
      <alignment horizontal="center" vertical="center" wrapText="1"/>
    </xf>
    <xf numFmtId="3" fontId="31" fillId="0" borderId="14" xfId="6" quotePrefix="1" applyNumberFormat="1" applyFont="1" applyBorder="1" applyAlignment="1">
      <alignment horizontal="center" vertical="center" wrapText="1"/>
    </xf>
    <xf numFmtId="0" fontId="31" fillId="0" borderId="41" xfId="6" applyFont="1" applyBorder="1" applyAlignment="1">
      <alignment horizontal="center" vertical="center" wrapText="1"/>
    </xf>
    <xf numFmtId="0" fontId="31" fillId="0" borderId="3" xfId="6" applyFont="1" applyBorder="1" applyAlignment="1">
      <alignment horizontal="center" vertical="center" wrapText="1"/>
    </xf>
    <xf numFmtId="0" fontId="31" fillId="0" borderId="13" xfId="6" quotePrefix="1" applyFont="1" applyBorder="1" applyAlignment="1">
      <alignment horizontal="center" vertical="center" wrapText="1"/>
    </xf>
    <xf numFmtId="0" fontId="31" fillId="0" borderId="9" xfId="5" applyFont="1" applyBorder="1" applyAlignment="1">
      <alignment horizontal="center" vertical="center" wrapText="1"/>
    </xf>
    <xf numFmtId="169" fontId="31" fillId="0" borderId="12" xfId="6" applyNumberFormat="1" applyFont="1" applyBorder="1" applyAlignment="1">
      <alignment horizontal="center" vertical="center" wrapText="1"/>
    </xf>
    <xf numFmtId="169" fontId="31" fillId="0" borderId="13" xfId="6" applyNumberFormat="1" applyFont="1" applyBorder="1" applyAlignment="1">
      <alignment horizontal="center" vertical="center" wrapText="1"/>
    </xf>
    <xf numFmtId="169" fontId="31" fillId="0" borderId="14" xfId="6" applyNumberFormat="1" applyFont="1" applyBorder="1" applyAlignment="1">
      <alignment horizontal="center" vertical="center" wrapText="1"/>
    </xf>
    <xf numFmtId="3" fontId="30" fillId="0" borderId="0" xfId="5" applyNumberFormat="1" applyFont="1" applyAlignment="1">
      <alignment horizontal="right" vertical="center"/>
    </xf>
    <xf numFmtId="2" fontId="30" fillId="0" borderId="0" xfId="5" applyNumberFormat="1" applyFont="1" applyAlignment="1">
      <alignment horizontal="center" vertical="center" wrapText="1"/>
    </xf>
    <xf numFmtId="3" fontId="30" fillId="0" borderId="70" xfId="5" applyNumberFormat="1" applyFont="1" applyBorder="1" applyAlignment="1">
      <alignment horizontal="right" vertical="center"/>
    </xf>
    <xf numFmtId="2" fontId="30" fillId="0" borderId="20" xfId="5" applyNumberFormat="1" applyFont="1" applyBorder="1" applyAlignment="1">
      <alignment horizontal="center" vertical="center" wrapText="1"/>
    </xf>
    <xf numFmtId="2" fontId="33" fillId="4" borderId="9" xfId="6" applyNumberFormat="1" applyFont="1" applyFill="1" applyBorder="1" applyAlignment="1">
      <alignment horizontal="center" vertical="center" wrapText="1"/>
    </xf>
    <xf numFmtId="3" fontId="31" fillId="0" borderId="9" xfId="6" applyNumberFormat="1" applyFont="1" applyBorder="1" applyAlignment="1">
      <alignment horizontal="center" vertical="center" wrapText="1"/>
    </xf>
    <xf numFmtId="0" fontId="31" fillId="0" borderId="9" xfId="6" applyFont="1" applyBorder="1" applyAlignment="1">
      <alignment horizontal="center" vertical="center" wrapText="1"/>
    </xf>
    <xf numFmtId="3" fontId="31" fillId="0" borderId="10" xfId="6" applyNumberFormat="1" applyFont="1" applyBorder="1" applyAlignment="1">
      <alignment horizontal="center" vertical="center" wrapText="1"/>
    </xf>
    <xf numFmtId="3" fontId="2" fillId="0" borderId="24" xfId="0" applyNumberFormat="1" applyFont="1" applyBorder="1" applyAlignment="1">
      <alignment horizontal="center" vertical="center"/>
    </xf>
    <xf numFmtId="3" fontId="2" fillId="0" borderId="20" xfId="0" applyNumberFormat="1" applyFont="1" applyBorder="1" applyAlignment="1">
      <alignment horizontal="center" vertical="center"/>
    </xf>
    <xf numFmtId="3" fontId="0" fillId="0" borderId="28" xfId="0" applyNumberFormat="1" applyBorder="1" applyAlignment="1">
      <alignment horizontal="center" vertical="center"/>
    </xf>
    <xf numFmtId="3" fontId="0" fillId="0" borderId="30" xfId="0" applyNumberFormat="1" applyBorder="1" applyAlignment="1">
      <alignment horizontal="center" vertical="center"/>
    </xf>
    <xf numFmtId="3" fontId="0" fillId="0" borderId="72" xfId="0" applyNumberFormat="1" applyBorder="1" applyAlignment="1">
      <alignment horizontal="center" vertical="center"/>
    </xf>
    <xf numFmtId="3" fontId="0" fillId="0" borderId="73" xfId="0" applyNumberFormat="1" applyBorder="1" applyAlignment="1">
      <alignment horizontal="center" vertical="center"/>
    </xf>
    <xf numFmtId="3" fontId="0" fillId="0" borderId="74" xfId="0" applyNumberFormat="1" applyBorder="1" applyAlignment="1">
      <alignment horizontal="center" vertical="center"/>
    </xf>
    <xf numFmtId="3" fontId="0" fillId="0" borderId="75" xfId="0" applyNumberFormat="1" applyBorder="1" applyAlignment="1">
      <alignment horizontal="center" vertical="center"/>
    </xf>
    <xf numFmtId="0" fontId="2" fillId="0" borderId="48" xfId="0" applyFont="1" applyBorder="1"/>
    <xf numFmtId="0" fontId="2" fillId="0" borderId="39" xfId="0" applyFont="1" applyBorder="1"/>
    <xf numFmtId="0" fontId="2" fillId="0" borderId="45" xfId="0" applyFont="1" applyBorder="1"/>
    <xf numFmtId="2" fontId="24" fillId="5" borderId="4" xfId="4" applyNumberFormat="1" applyFont="1" applyFill="1" applyBorder="1" applyAlignment="1">
      <alignment horizontal="left" vertical="top" wrapText="1"/>
    </xf>
    <xf numFmtId="2" fontId="24" fillId="5" borderId="12" xfId="4" applyNumberFormat="1" applyFont="1" applyFill="1" applyBorder="1" applyAlignment="1">
      <alignment horizontal="left" vertical="top" wrapText="1"/>
    </xf>
    <xf numFmtId="2" fontId="24" fillId="5" borderId="8" xfId="4" applyNumberFormat="1" applyFont="1" applyFill="1" applyBorder="1" applyAlignment="1">
      <alignment horizontal="left" vertical="center" wrapText="1"/>
    </xf>
    <xf numFmtId="0" fontId="25" fillId="3" borderId="43" xfId="0" applyFont="1" applyFill="1" applyBorder="1" applyAlignment="1">
      <alignment horizontal="left" vertical="center"/>
    </xf>
    <xf numFmtId="0" fontId="25" fillId="3" borderId="12" xfId="0" applyFont="1" applyFill="1" applyBorder="1" applyAlignment="1">
      <alignment horizontal="left" vertical="center"/>
    </xf>
    <xf numFmtId="0" fontId="25" fillId="3" borderId="4" xfId="0" applyFont="1" applyFill="1" applyBorder="1" applyAlignment="1">
      <alignment horizontal="left" vertical="center"/>
    </xf>
    <xf numFmtId="2" fontId="24" fillId="6" borderId="12" xfId="4" applyNumberFormat="1" applyFont="1" applyFill="1" applyBorder="1" applyAlignment="1">
      <alignment horizontal="left" vertical="top" wrapText="1"/>
    </xf>
    <xf numFmtId="2" fontId="35" fillId="0" borderId="3" xfId="5" applyNumberFormat="1" applyFont="1" applyBorder="1" applyAlignment="1">
      <alignment horizontal="center" vertical="center" wrapText="1"/>
    </xf>
    <xf numFmtId="2" fontId="30" fillId="0" borderId="7" xfId="6" applyNumberFormat="1" applyFont="1" applyBorder="1" applyAlignment="1">
      <alignment horizontal="center" vertical="center"/>
    </xf>
    <xf numFmtId="11" fontId="30" fillId="0" borderId="59" xfId="5" applyNumberFormat="1" applyFont="1" applyBorder="1" applyAlignment="1">
      <alignment horizontal="center" vertical="center" wrapText="1"/>
    </xf>
    <xf numFmtId="3" fontId="30" fillId="0" borderId="6" xfId="6" applyNumberFormat="1" applyFont="1" applyBorder="1" applyAlignment="1">
      <alignment horizontal="center" vertical="center"/>
    </xf>
    <xf numFmtId="164" fontId="30" fillId="0" borderId="11" xfId="6" applyNumberFormat="1" applyFont="1" applyBorder="1" applyAlignment="1">
      <alignment horizontal="center" vertical="center"/>
    </xf>
    <xf numFmtId="0" fontId="30" fillId="0" borderId="71" xfId="5" applyFont="1" applyBorder="1" applyAlignment="1">
      <alignment horizontal="center" vertical="center" wrapText="1"/>
    </xf>
    <xf numFmtId="0" fontId="30" fillId="0" borderId="32" xfId="5" applyFont="1" applyBorder="1" applyAlignment="1">
      <alignment horizontal="center" vertical="center" wrapText="1"/>
    </xf>
    <xf numFmtId="0" fontId="29" fillId="0" borderId="69" xfId="4" applyFont="1" applyBorder="1" applyAlignment="1">
      <alignment horizontal="center" vertical="center" wrapText="1"/>
    </xf>
    <xf numFmtId="0" fontId="29" fillId="0" borderId="70" xfId="4" applyFont="1" applyBorder="1" applyAlignment="1">
      <alignment horizontal="center" vertical="center" wrapText="1"/>
    </xf>
    <xf numFmtId="0" fontId="29" fillId="0" borderId="1" xfId="4" applyFont="1" applyBorder="1" applyAlignment="1">
      <alignment horizontal="center" vertical="center" wrapText="1"/>
    </xf>
    <xf numFmtId="0" fontId="29" fillId="0" borderId="6" xfId="4" applyFont="1" applyBorder="1" applyAlignment="1">
      <alignment horizontal="center" vertical="center" wrapText="1"/>
    </xf>
    <xf numFmtId="0" fontId="34" fillId="0" borderId="18" xfId="4" applyFont="1" applyBorder="1" applyAlignment="1">
      <alignment horizontal="left" vertical="center" wrapText="1"/>
    </xf>
    <xf numFmtId="0" fontId="30" fillId="0" borderId="2" xfId="5" applyFont="1" applyBorder="1" applyAlignment="1">
      <alignment horizontal="center" vertical="center" wrapText="1"/>
    </xf>
    <xf numFmtId="0" fontId="30" fillId="0" borderId="7" xfId="5" applyFont="1" applyBorder="1" applyAlignment="1">
      <alignment horizontal="center" vertical="center" wrapText="1"/>
    </xf>
    <xf numFmtId="2" fontId="35" fillId="0" borderId="0" xfId="6" applyNumberFormat="1" applyFont="1" applyAlignment="1">
      <alignment horizontal="left" vertical="center" wrapText="1"/>
    </xf>
    <xf numFmtId="0" fontId="2" fillId="0" borderId="21" xfId="0" applyFont="1" applyBorder="1" applyAlignment="1">
      <alignment horizontal="center" vertical="center"/>
    </xf>
    <xf numFmtId="0" fontId="2" fillId="0" borderId="23" xfId="0" applyFont="1" applyBorder="1" applyAlignment="1">
      <alignment horizontal="center" vertical="center"/>
    </xf>
    <xf numFmtId="0" fontId="0" fillId="0" borderId="0" xfId="0" applyAlignment="1">
      <alignment horizontal="center"/>
    </xf>
    <xf numFmtId="0" fontId="2" fillId="0" borderId="46" xfId="0" applyFont="1" applyBorder="1" applyAlignment="1">
      <alignment horizontal="center" vertical="center"/>
    </xf>
    <xf numFmtId="0" fontId="2" fillId="0" borderId="45" xfId="0" applyFont="1" applyBorder="1" applyAlignment="1">
      <alignment horizontal="center" vertical="center"/>
    </xf>
    <xf numFmtId="0" fontId="30" fillId="0" borderId="62" xfId="6" applyFont="1" applyBorder="1" applyAlignment="1">
      <alignment horizontal="right" vertical="center"/>
    </xf>
    <xf numFmtId="0" fontId="30" fillId="0" borderId="60" xfId="6" applyFont="1" applyBorder="1" applyAlignment="1">
      <alignment horizontal="right" vertical="center"/>
    </xf>
    <xf numFmtId="0" fontId="29" fillId="0" borderId="62" xfId="4" applyFont="1" applyBorder="1" applyAlignment="1">
      <alignment horizontal="center" vertical="center" wrapText="1"/>
    </xf>
    <xf numFmtId="0" fontId="29" fillId="0" borderId="63" xfId="4" applyFont="1" applyBorder="1" applyAlignment="1">
      <alignment horizontal="center" vertical="center" wrapText="1"/>
    </xf>
    <xf numFmtId="0" fontId="29" fillId="0" borderId="64" xfId="4" applyFont="1" applyBorder="1" applyAlignment="1">
      <alignment horizontal="center" vertical="center" wrapText="1"/>
    </xf>
    <xf numFmtId="0" fontId="30" fillId="0" borderId="62" xfId="5" applyFont="1" applyBorder="1" applyAlignment="1">
      <alignment horizontal="right" vertical="center" wrapText="1"/>
    </xf>
    <xf numFmtId="0" fontId="30" fillId="0" borderId="60" xfId="5" applyFont="1" applyBorder="1" applyAlignment="1">
      <alignment horizontal="right" vertical="center" wrapText="1"/>
    </xf>
    <xf numFmtId="0" fontId="29" fillId="0" borderId="62" xfId="4" applyFont="1" applyBorder="1" applyAlignment="1">
      <alignment horizontal="center" vertical="center"/>
    </xf>
    <xf numFmtId="0" fontId="29" fillId="0" borderId="63" xfId="4" applyFont="1" applyBorder="1" applyAlignment="1">
      <alignment horizontal="center" vertical="center"/>
    </xf>
    <xf numFmtId="0" fontId="29" fillId="0" borderId="64" xfId="4" applyFont="1" applyBorder="1" applyAlignment="1">
      <alignment horizontal="center" vertical="center"/>
    </xf>
    <xf numFmtId="0" fontId="27" fillId="0" borderId="0" xfId="3" applyFont="1" applyAlignment="1">
      <alignment horizontal="center"/>
    </xf>
    <xf numFmtId="0" fontId="27" fillId="0" borderId="0" xfId="3" applyFont="1" applyAlignment="1">
      <alignment horizontal="center" vertical="center"/>
    </xf>
    <xf numFmtId="0" fontId="29" fillId="0" borderId="56" xfId="4" applyFont="1" applyBorder="1" applyAlignment="1">
      <alignment horizontal="center" vertical="center" wrapText="1"/>
    </xf>
    <xf numFmtId="0" fontId="30" fillId="0" borderId="55" xfId="5" applyFont="1" applyBorder="1" applyAlignment="1">
      <alignment horizontal="center" vertical="center" wrapText="1"/>
    </xf>
    <xf numFmtId="3" fontId="30" fillId="0" borderId="2" xfId="5" applyNumberFormat="1" applyFont="1" applyBorder="1" applyAlignment="1">
      <alignment horizontal="center" vertical="center" wrapText="1"/>
    </xf>
    <xf numFmtId="3" fontId="30" fillId="0" borderId="55" xfId="5" applyNumberFormat="1" applyFont="1" applyBorder="1" applyAlignment="1">
      <alignment horizontal="center" vertical="center" wrapText="1"/>
    </xf>
    <xf numFmtId="3" fontId="30" fillId="0" borderId="38" xfId="5" applyNumberFormat="1" applyFont="1" applyBorder="1" applyAlignment="1">
      <alignment horizontal="center" vertical="center" wrapText="1"/>
    </xf>
    <xf numFmtId="0" fontId="30" fillId="0" borderId="19" xfId="5" applyFont="1" applyBorder="1" applyAlignment="1">
      <alignment horizontal="center" vertical="center" wrapText="1"/>
    </xf>
    <xf numFmtId="0" fontId="30" fillId="0" borderId="61" xfId="5" applyFont="1" applyBorder="1" applyAlignment="1">
      <alignment horizontal="center" vertical="center" wrapText="1"/>
    </xf>
    <xf numFmtId="0" fontId="30" fillId="0" borderId="11" xfId="5" applyFont="1" applyBorder="1" applyAlignment="1">
      <alignment horizontal="center" vertical="center" wrapText="1"/>
    </xf>
    <xf numFmtId="0" fontId="27" fillId="0" borderId="62" xfId="3" applyFont="1" applyBorder="1" applyAlignment="1">
      <alignment horizontal="center"/>
    </xf>
    <xf numFmtId="0" fontId="27" fillId="0" borderId="63" xfId="3" applyFont="1" applyBorder="1" applyAlignment="1">
      <alignment horizontal="center"/>
    </xf>
    <xf numFmtId="0" fontId="27" fillId="0" borderId="64" xfId="3" applyFont="1" applyBorder="1" applyAlignment="1">
      <alignment horizontal="center"/>
    </xf>
    <xf numFmtId="0" fontId="30" fillId="0" borderId="21" xfId="3" applyFont="1" applyBorder="1" applyAlignment="1">
      <alignment horizontal="center" vertical="center"/>
    </xf>
    <xf numFmtId="0" fontId="30" fillId="0" borderId="23" xfId="3" applyFont="1" applyBorder="1" applyAlignment="1">
      <alignment horizontal="center" vertical="center"/>
    </xf>
    <xf numFmtId="0" fontId="30" fillId="0" borderId="67" xfId="3" applyFont="1" applyBorder="1" applyAlignment="1">
      <alignment horizontal="center" vertical="center"/>
    </xf>
    <xf numFmtId="0" fontId="30" fillId="0" borderId="68" xfId="3" applyFont="1" applyBorder="1" applyAlignment="1">
      <alignment horizontal="center" vertical="center"/>
    </xf>
    <xf numFmtId="0" fontId="30" fillId="0" borderId="2" xfId="5" applyFont="1" applyBorder="1" applyAlignment="1">
      <alignment horizontal="center" vertical="center"/>
    </xf>
    <xf numFmtId="0" fontId="30" fillId="0" borderId="55" xfId="5" applyFont="1" applyBorder="1" applyAlignment="1">
      <alignment horizontal="center" vertical="center"/>
    </xf>
    <xf numFmtId="0" fontId="30" fillId="0" borderId="7" xfId="5" applyFont="1" applyBorder="1" applyAlignment="1">
      <alignment horizontal="center" vertical="center"/>
    </xf>
    <xf numFmtId="0" fontId="30" fillId="0" borderId="21" xfId="3" applyFont="1" applyBorder="1" applyAlignment="1">
      <alignment horizontal="center" vertical="center" wrapText="1"/>
    </xf>
    <xf numFmtId="0" fontId="30" fillId="0" borderId="67" xfId="3" applyFont="1" applyBorder="1" applyAlignment="1">
      <alignment horizontal="center" vertical="center" wrapText="1"/>
    </xf>
    <xf numFmtId="0" fontId="30" fillId="0" borderId="23" xfId="3" applyFont="1" applyBorder="1" applyAlignment="1">
      <alignment horizontal="center" vertical="center" wrapText="1"/>
    </xf>
    <xf numFmtId="0" fontId="30" fillId="0" borderId="68" xfId="3" applyFont="1" applyBorder="1" applyAlignment="1">
      <alignment horizontal="center" vertical="center" wrapText="1"/>
    </xf>
    <xf numFmtId="0" fontId="19" fillId="0" borderId="13" xfId="0" applyFont="1" applyBorder="1" applyAlignment="1">
      <alignment horizontal="center" vertical="center"/>
    </xf>
    <xf numFmtId="0" fontId="2" fillId="0" borderId="13"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9"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6" xfId="0" applyFont="1" applyBorder="1" applyAlignment="1">
      <alignment horizontal="left" vertical="center"/>
    </xf>
    <xf numFmtId="0" fontId="2" fillId="0" borderId="3" xfId="0" applyFont="1" applyBorder="1" applyAlignment="1">
      <alignment horizontal="left" vertical="center"/>
    </xf>
    <xf numFmtId="0" fontId="2" fillId="0" borderId="5" xfId="0" applyFont="1" applyBorder="1" applyAlignment="1">
      <alignment horizontal="left" vertical="center"/>
    </xf>
    <xf numFmtId="0" fontId="2" fillId="0" borderId="14" xfId="0" applyFont="1" applyBorder="1" applyAlignment="1">
      <alignment horizontal="center" vertical="center" wrapText="1"/>
    </xf>
    <xf numFmtId="0" fontId="19" fillId="0" borderId="14" xfId="0" applyFont="1" applyBorder="1" applyAlignment="1">
      <alignment horizontal="center" vertical="center"/>
    </xf>
    <xf numFmtId="0" fontId="2" fillId="0" borderId="39" xfId="0" applyFont="1" applyBorder="1" applyAlignment="1">
      <alignment horizontal="center" vertical="center" wrapText="1"/>
    </xf>
    <xf numFmtId="0" fontId="2" fillId="0" borderId="45" xfId="0" applyFont="1" applyBorder="1" applyAlignment="1">
      <alignment horizontal="center" vertical="center" wrapText="1"/>
    </xf>
    <xf numFmtId="0" fontId="19" fillId="0" borderId="33" xfId="0" applyFont="1" applyBorder="1" applyAlignment="1">
      <alignment horizontal="center" vertical="center"/>
    </xf>
    <xf numFmtId="0" fontId="2" fillId="0" borderId="39" xfId="0" applyFont="1" applyBorder="1" applyAlignment="1">
      <alignment horizontal="center" vertical="center"/>
    </xf>
    <xf numFmtId="0" fontId="2" fillId="0" borderId="16"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2" fillId="0" borderId="4" xfId="0" applyFont="1" applyBorder="1" applyAlignment="1">
      <alignment horizontal="left" vertical="center"/>
    </xf>
    <xf numFmtId="0" fontId="2" fillId="0" borderId="12" xfId="0" applyFont="1" applyBorder="1" applyAlignment="1">
      <alignment horizontal="center" vertical="center"/>
    </xf>
    <xf numFmtId="0" fontId="2" fillId="0" borderId="8" xfId="0" applyFont="1" applyBorder="1" applyAlignment="1">
      <alignment horizontal="center" vertical="center"/>
    </xf>
    <xf numFmtId="0" fontId="2" fillId="0" borderId="10" xfId="0" applyFont="1" applyBorder="1" applyAlignment="1">
      <alignment horizontal="center" vertical="center" wrapText="1"/>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0" borderId="22" xfId="0" applyFont="1" applyBorder="1" applyAlignment="1">
      <alignment horizontal="center" vertical="center"/>
    </xf>
    <xf numFmtId="0" fontId="2" fillId="0" borderId="24" xfId="0" applyFont="1" applyBorder="1" applyAlignment="1">
      <alignment horizontal="center" vertical="center"/>
    </xf>
    <xf numFmtId="0" fontId="2" fillId="0" borderId="18" xfId="0" applyFont="1" applyBorder="1" applyAlignment="1">
      <alignment horizontal="center" vertical="center"/>
    </xf>
    <xf numFmtId="0" fontId="2" fillId="0" borderId="20" xfId="0" applyFont="1" applyBorder="1" applyAlignment="1">
      <alignment horizontal="center" vertical="center"/>
    </xf>
    <xf numFmtId="0" fontId="2" fillId="0" borderId="1" xfId="0" applyFont="1" applyBorder="1" applyAlignment="1">
      <alignment horizontal="center" vertical="center" wrapText="1"/>
    </xf>
    <xf numFmtId="0" fontId="2" fillId="0" borderId="6" xfId="0" applyFont="1" applyBorder="1" applyAlignment="1">
      <alignment horizontal="center" vertical="center" wrapText="1"/>
    </xf>
    <xf numFmtId="0" fontId="0" fillId="0" borderId="2" xfId="0" applyBorder="1" applyAlignment="1">
      <alignment horizontal="center" vertical="center" wrapText="1"/>
    </xf>
    <xf numFmtId="0" fontId="0" fillId="0" borderId="7" xfId="0" applyBorder="1" applyAlignment="1">
      <alignment horizontal="center" vertical="center" wrapText="1"/>
    </xf>
    <xf numFmtId="0" fontId="0" fillId="0" borderId="19" xfId="0" applyBorder="1" applyAlignment="1">
      <alignment horizontal="center" vertical="center" wrapText="1"/>
    </xf>
    <xf numFmtId="0" fontId="0" fillId="0" borderId="11" xfId="0" applyBorder="1" applyAlignment="1">
      <alignment horizontal="center" vertical="center" wrapText="1"/>
    </xf>
    <xf numFmtId="0" fontId="0" fillId="0" borderId="32" xfId="0" applyBorder="1" applyAlignment="1">
      <alignment horizontal="center" vertical="center" wrapText="1"/>
    </xf>
    <xf numFmtId="0" fontId="0" fillId="0" borderId="17" xfId="0" applyBorder="1" applyAlignment="1">
      <alignment horizontal="center" vertical="center" wrapText="1"/>
    </xf>
    <xf numFmtId="0" fontId="0" fillId="0" borderId="2" xfId="0" applyBorder="1" applyAlignment="1">
      <alignment horizontal="center" vertical="top" wrapText="1"/>
    </xf>
    <xf numFmtId="0" fontId="0" fillId="0" borderId="55" xfId="0" applyBorder="1" applyAlignment="1">
      <alignment horizontal="center" vertical="top" wrapText="1"/>
    </xf>
    <xf numFmtId="0" fontId="0" fillId="0" borderId="7" xfId="0" applyBorder="1" applyAlignment="1">
      <alignment horizontal="center" vertical="top" wrapText="1"/>
    </xf>
    <xf numFmtId="0" fontId="0" fillId="0" borderId="19" xfId="0" applyBorder="1" applyAlignment="1">
      <alignment horizontal="center" vertical="top" wrapText="1"/>
    </xf>
    <xf numFmtId="0" fontId="0" fillId="0" borderId="61" xfId="0" applyBorder="1" applyAlignment="1">
      <alignment horizontal="center" vertical="top" wrapText="1"/>
    </xf>
    <xf numFmtId="0" fontId="0" fillId="0" borderId="11" xfId="0" applyBorder="1" applyAlignment="1">
      <alignment horizontal="center" vertical="top" wrapText="1"/>
    </xf>
    <xf numFmtId="0" fontId="0" fillId="0" borderId="1" xfId="0" applyBorder="1" applyAlignment="1">
      <alignment horizontal="left" vertical="top"/>
    </xf>
    <xf numFmtId="0" fontId="0" fillId="0" borderId="56" xfId="0" applyBorder="1" applyAlignment="1">
      <alignment horizontal="left" vertical="top"/>
    </xf>
    <xf numFmtId="0" fontId="0" fillId="0" borderId="6" xfId="0" applyBorder="1" applyAlignment="1">
      <alignment horizontal="left" vertical="top"/>
    </xf>
    <xf numFmtId="0" fontId="0" fillId="0" borderId="2" xfId="0" applyBorder="1" applyAlignment="1">
      <alignment horizontal="left" vertical="top"/>
    </xf>
    <xf numFmtId="0" fontId="0" fillId="0" borderId="55" xfId="0" applyBorder="1" applyAlignment="1">
      <alignment horizontal="left" vertical="top"/>
    </xf>
    <xf numFmtId="0" fontId="0" fillId="0" borderId="7" xfId="0" applyBorder="1" applyAlignment="1">
      <alignment horizontal="left" vertical="top"/>
    </xf>
    <xf numFmtId="0" fontId="0" fillId="0" borderId="2" xfId="0" applyBorder="1" applyAlignment="1">
      <alignment horizontal="center" vertical="top"/>
    </xf>
    <xf numFmtId="0" fontId="0" fillId="0" borderId="55" xfId="0" applyBorder="1" applyAlignment="1">
      <alignment horizontal="center" vertical="top"/>
    </xf>
    <xf numFmtId="0" fontId="0" fillId="0" borderId="7" xfId="0" applyBorder="1" applyAlignment="1">
      <alignment horizontal="center" vertical="top"/>
    </xf>
    <xf numFmtId="0" fontId="2" fillId="0" borderId="28" xfId="0" applyFont="1" applyBorder="1" applyAlignment="1">
      <alignment horizontal="left" vertical="top"/>
    </xf>
    <xf numFmtId="0" fontId="2" fillId="0" borderId="29" xfId="0" applyFont="1" applyBorder="1" applyAlignment="1">
      <alignment horizontal="left" vertical="top"/>
    </xf>
    <xf numFmtId="0" fontId="2" fillId="0" borderId="30" xfId="0" applyFont="1" applyBorder="1" applyAlignment="1">
      <alignment horizontal="left" vertical="top"/>
    </xf>
    <xf numFmtId="0" fontId="2" fillId="0" borderId="4" xfId="0" applyFont="1" applyBorder="1" applyAlignment="1">
      <alignment horizontal="left" vertical="top"/>
    </xf>
    <xf numFmtId="0" fontId="2" fillId="0" borderId="3" xfId="0" applyFont="1" applyBorder="1" applyAlignment="1">
      <alignment horizontal="left" vertical="top"/>
    </xf>
    <xf numFmtId="0" fontId="2" fillId="0" borderId="5" xfId="0" applyFont="1" applyBorder="1" applyAlignment="1">
      <alignment horizontal="left" vertical="top"/>
    </xf>
    <xf numFmtId="0" fontId="0" fillId="0" borderId="28" xfId="0" applyBorder="1" applyAlignment="1">
      <alignment horizontal="left" vertical="top"/>
    </xf>
    <xf numFmtId="0" fontId="0" fillId="0" borderId="29" xfId="0" applyBorder="1" applyAlignment="1">
      <alignment horizontal="left" vertical="top"/>
    </xf>
    <xf numFmtId="0" fontId="0" fillId="0" borderId="30" xfId="0" applyBorder="1" applyAlignment="1">
      <alignment horizontal="left" vertical="top"/>
    </xf>
    <xf numFmtId="0" fontId="0" fillId="0" borderId="41" xfId="0" applyBorder="1" applyAlignment="1">
      <alignment horizontal="center" vertical="center"/>
    </xf>
    <xf numFmtId="0" fontId="0" fillId="0" borderId="38" xfId="0" applyBorder="1" applyAlignment="1">
      <alignment horizontal="center" vertical="center"/>
    </xf>
    <xf numFmtId="0" fontId="0" fillId="0" borderId="14" xfId="0" applyBorder="1" applyAlignment="1">
      <alignment horizontal="center" vertical="center"/>
    </xf>
    <xf numFmtId="0" fontId="0" fillId="0" borderId="33" xfId="0" applyBorder="1" applyAlignment="1">
      <alignment horizontal="center" vertical="center" wrapText="1"/>
    </xf>
    <xf numFmtId="0" fontId="0" fillId="0" borderId="13" xfId="0" applyBorder="1" applyAlignment="1">
      <alignment horizontal="center" vertical="center" wrapText="1"/>
    </xf>
    <xf numFmtId="3" fontId="0" fillId="0" borderId="13" xfId="0" applyNumberFormat="1" applyBorder="1" applyAlignment="1">
      <alignment horizontal="center" vertical="center" wrapText="1"/>
    </xf>
    <xf numFmtId="0" fontId="2" fillId="0" borderId="18" xfId="0" applyFont="1" applyBorder="1" applyAlignment="1">
      <alignment horizontal="center"/>
    </xf>
    <xf numFmtId="0" fontId="2" fillId="0" borderId="20" xfId="0" applyFont="1" applyBorder="1" applyAlignment="1">
      <alignment horizontal="center"/>
    </xf>
    <xf numFmtId="0" fontId="2" fillId="0" borderId="24" xfId="0" applyFont="1" applyBorder="1" applyAlignment="1">
      <alignment horizontal="center"/>
    </xf>
    <xf numFmtId="0" fontId="2" fillId="0" borderId="28" xfId="0" applyFont="1" applyBorder="1" applyAlignment="1">
      <alignment horizontal="center" wrapText="1"/>
    </xf>
    <xf numFmtId="0" fontId="2" fillId="0" borderId="29" xfId="0" applyFont="1" applyBorder="1" applyAlignment="1">
      <alignment horizontal="center" wrapText="1"/>
    </xf>
    <xf numFmtId="0" fontId="2" fillId="0" borderId="30" xfId="0" applyFont="1" applyBorder="1" applyAlignment="1">
      <alignment horizontal="center" wrapText="1"/>
    </xf>
    <xf numFmtId="0" fontId="0" fillId="0" borderId="1" xfId="0" applyBorder="1" applyAlignment="1">
      <alignment horizontal="center" vertical="center" wrapText="1"/>
    </xf>
    <xf numFmtId="0" fontId="0" fillId="0" borderId="6" xfId="0" applyBorder="1" applyAlignment="1">
      <alignment horizontal="center" vertical="center" wrapText="1"/>
    </xf>
    <xf numFmtId="3" fontId="0" fillId="0" borderId="12" xfId="0" applyNumberFormat="1" applyBorder="1" applyAlignment="1">
      <alignment horizontal="center" vertical="center" wrapText="1"/>
    </xf>
    <xf numFmtId="0" fontId="0" fillId="0" borderId="26" xfId="0" applyBorder="1" applyAlignment="1">
      <alignment horizontal="center" vertical="center" wrapText="1"/>
    </xf>
    <xf numFmtId="0" fontId="0" fillId="0" borderId="12" xfId="0" applyBorder="1" applyAlignment="1">
      <alignment horizontal="center" vertical="center" wrapText="1"/>
    </xf>
    <xf numFmtId="3" fontId="0" fillId="0" borderId="14" xfId="0" applyNumberFormat="1" applyBorder="1" applyAlignment="1">
      <alignment horizontal="center" vertical="center" wrapText="1"/>
    </xf>
    <xf numFmtId="3" fontId="0" fillId="0" borderId="41" xfId="0" applyNumberFormat="1" applyBorder="1" applyAlignment="1">
      <alignment horizontal="center" vertical="center" wrapText="1"/>
    </xf>
    <xf numFmtId="3" fontId="0" fillId="0" borderId="38" xfId="0" applyNumberFormat="1" applyBorder="1" applyAlignment="1">
      <alignment horizontal="center" vertical="center" wrapText="1"/>
    </xf>
    <xf numFmtId="3" fontId="0" fillId="0" borderId="42" xfId="0" applyNumberFormat="1" applyBorder="1" applyAlignment="1">
      <alignment horizontal="center" vertical="center" wrapText="1"/>
    </xf>
    <xf numFmtId="3" fontId="0" fillId="0" borderId="44" xfId="0" applyNumberFormat="1" applyBorder="1" applyAlignment="1">
      <alignment horizontal="center" vertical="center" wrapText="1"/>
    </xf>
    <xf numFmtId="3" fontId="0" fillId="0" borderId="40" xfId="0" applyNumberFormat="1" applyBorder="1" applyAlignment="1">
      <alignment horizontal="center" vertical="center" wrapText="1"/>
    </xf>
    <xf numFmtId="3" fontId="0" fillId="0" borderId="43" xfId="0" applyNumberFormat="1" applyBorder="1" applyAlignment="1">
      <alignment horizontal="center" vertical="center" wrapText="1"/>
    </xf>
    <xf numFmtId="0" fontId="2" fillId="2" borderId="12" xfId="0" applyFont="1" applyFill="1" applyBorder="1" applyAlignment="1">
      <alignment horizontal="center" vertical="center"/>
    </xf>
    <xf numFmtId="0" fontId="0" fillId="2" borderId="41" xfId="0" applyFill="1" applyBorder="1" applyAlignment="1">
      <alignment horizontal="center" vertical="center"/>
    </xf>
    <xf numFmtId="0" fontId="0" fillId="2" borderId="38" xfId="0" applyFill="1" applyBorder="1" applyAlignment="1">
      <alignment horizontal="center" vertical="center"/>
    </xf>
    <xf numFmtId="0" fontId="0" fillId="2" borderId="14" xfId="0" applyFill="1" applyBorder="1" applyAlignment="1">
      <alignment horizontal="center" vertical="center"/>
    </xf>
    <xf numFmtId="0" fontId="0" fillId="2" borderId="33"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26" xfId="0" applyFill="1" applyBorder="1" applyAlignment="1">
      <alignment horizontal="center" vertical="center" wrapText="1"/>
    </xf>
    <xf numFmtId="0" fontId="0" fillId="2" borderId="12" xfId="0" applyFill="1" applyBorder="1" applyAlignment="1">
      <alignment horizontal="center" vertical="center" wrapText="1"/>
    </xf>
    <xf numFmtId="3" fontId="0" fillId="2" borderId="13" xfId="0" applyNumberFormat="1" applyFill="1" applyBorder="1" applyAlignment="1">
      <alignment horizontal="center" vertical="center" wrapText="1"/>
    </xf>
    <xf numFmtId="3" fontId="0" fillId="2" borderId="14" xfId="0" applyNumberFormat="1" applyFill="1" applyBorder="1" applyAlignment="1">
      <alignment horizontal="center" vertical="center" wrapText="1"/>
    </xf>
    <xf numFmtId="3" fontId="0" fillId="2" borderId="12" xfId="0" applyNumberFormat="1" applyFill="1" applyBorder="1" applyAlignment="1">
      <alignment horizontal="center" vertical="center" wrapText="1"/>
    </xf>
    <xf numFmtId="0" fontId="0" fillId="0" borderId="41" xfId="0" applyBorder="1" applyAlignment="1">
      <alignment horizontal="center" vertical="center" wrapText="1"/>
    </xf>
    <xf numFmtId="0" fontId="0" fillId="0" borderId="38" xfId="0" applyBorder="1" applyAlignment="1">
      <alignment horizontal="center" vertical="center" wrapText="1"/>
    </xf>
    <xf numFmtId="0" fontId="0" fillId="0" borderId="13" xfId="0" applyBorder="1" applyAlignment="1">
      <alignment horizontal="center" vertical="center"/>
    </xf>
    <xf numFmtId="0" fontId="2" fillId="0" borderId="40" xfId="0" applyFont="1" applyBorder="1" applyAlignment="1">
      <alignment horizontal="center" vertical="center"/>
    </xf>
    <xf numFmtId="0" fontId="2" fillId="0" borderId="43" xfId="0" applyFont="1" applyBorder="1" applyAlignment="1">
      <alignment horizontal="center" vertical="center"/>
    </xf>
    <xf numFmtId="0" fontId="0" fillId="0" borderId="42" xfId="0" applyBorder="1" applyAlignment="1">
      <alignment horizontal="center" vertical="center"/>
    </xf>
    <xf numFmtId="0" fontId="0" fillId="0" borderId="44" xfId="0" applyBorder="1" applyAlignment="1">
      <alignment horizontal="center" vertical="center"/>
    </xf>
    <xf numFmtId="0" fontId="0" fillId="0" borderId="40" xfId="0" applyBorder="1" applyAlignment="1">
      <alignment horizontal="center" vertical="center" wrapText="1"/>
    </xf>
    <xf numFmtId="0" fontId="0" fillId="0" borderId="43" xfId="0" applyBorder="1" applyAlignment="1">
      <alignment horizontal="center" vertical="center" wrapText="1"/>
    </xf>
    <xf numFmtId="0" fontId="0" fillId="0" borderId="42" xfId="0" applyBorder="1" applyAlignment="1">
      <alignment horizontal="center" vertical="center" wrapText="1"/>
    </xf>
    <xf numFmtId="0" fontId="0" fillId="0" borderId="44" xfId="0" applyBorder="1" applyAlignment="1">
      <alignment horizontal="center" vertical="center" wrapText="1"/>
    </xf>
    <xf numFmtId="3" fontId="0" fillId="2" borderId="41" xfId="0" applyNumberFormat="1" applyFill="1" applyBorder="1" applyAlignment="1">
      <alignment horizontal="center" vertical="center" wrapText="1"/>
    </xf>
    <xf numFmtId="3" fontId="0" fillId="2" borderId="38" xfId="0" applyNumberFormat="1" applyFill="1" applyBorder="1" applyAlignment="1">
      <alignment horizontal="center" vertical="center" wrapText="1"/>
    </xf>
    <xf numFmtId="3" fontId="0" fillId="2" borderId="42" xfId="0" applyNumberFormat="1" applyFill="1" applyBorder="1" applyAlignment="1">
      <alignment horizontal="center" vertical="center" wrapText="1"/>
    </xf>
    <xf numFmtId="3" fontId="0" fillId="2" borderId="44" xfId="0" applyNumberFormat="1" applyFill="1" applyBorder="1" applyAlignment="1">
      <alignment horizontal="center" vertical="center" wrapText="1"/>
    </xf>
    <xf numFmtId="3" fontId="0" fillId="2" borderId="40" xfId="0" applyNumberFormat="1" applyFill="1" applyBorder="1" applyAlignment="1">
      <alignment horizontal="center" vertical="center" wrapText="1"/>
    </xf>
    <xf numFmtId="3" fontId="0" fillId="2" borderId="43" xfId="0" applyNumberFormat="1" applyFill="1" applyBorder="1" applyAlignment="1">
      <alignment horizontal="center" vertical="center" wrapText="1"/>
    </xf>
    <xf numFmtId="0" fontId="2" fillId="0" borderId="0" xfId="0" applyFont="1" applyAlignment="1">
      <alignment horizontal="center"/>
    </xf>
  </cellXfs>
  <cellStyles count="8">
    <cellStyle name="Normal" xfId="0" builtinId="0"/>
    <cellStyle name="Normal 10 3" xfId="6" xr:uid="{5BBCDCD4-5A3C-456B-919D-0C79F6DE8E3D}"/>
    <cellStyle name="Normal 2 13" xfId="2" xr:uid="{A3E7419C-0038-4D70-B30B-48CCCECA245D}"/>
    <cellStyle name="Normal 3" xfId="7" xr:uid="{124826AB-AE5E-4236-9CF1-BEE4D7895662}"/>
    <cellStyle name="Normal 5 2" xfId="3" xr:uid="{F593C56D-1169-49AB-9622-864EC9E19D20}"/>
    <cellStyle name="Normal_Loading (2) 2" xfId="5" xr:uid="{F5012F1A-5C6C-4F13-9371-D6ABD4A8A7DF}"/>
    <cellStyle name="Normal_NEWCALC2_1x" xfId="4" xr:uid="{92382086-DAEB-40DF-88D0-4701A3F736E6}"/>
    <cellStyle name="Percent" xfId="1" builtinId="5"/>
  </cellStyles>
  <dxfs count="79">
    <dxf>
      <numFmt numFmtId="15" formatCode="0.00E+00"/>
    </dxf>
    <dxf>
      <numFmt numFmtId="166" formatCode="0.00000"/>
    </dxf>
    <dxf>
      <numFmt numFmtId="165" formatCode="0.0000"/>
    </dxf>
    <dxf>
      <numFmt numFmtId="167" formatCode="0.000"/>
    </dxf>
    <dxf>
      <numFmt numFmtId="2" formatCode="0.00"/>
    </dxf>
    <dxf>
      <numFmt numFmtId="164" formatCode="0.0"/>
    </dxf>
    <dxf>
      <numFmt numFmtId="3" formatCode="#,##0"/>
    </dxf>
    <dxf>
      <numFmt numFmtId="1" formatCode="0"/>
    </dxf>
    <dxf>
      <numFmt numFmtId="170" formatCode="0.00000E+00"/>
    </dxf>
    <dxf>
      <numFmt numFmtId="166" formatCode="0.00000"/>
    </dxf>
    <dxf>
      <numFmt numFmtId="165" formatCode="0.0000"/>
    </dxf>
    <dxf>
      <numFmt numFmtId="167" formatCode="0.000"/>
    </dxf>
    <dxf>
      <numFmt numFmtId="2" formatCode="0.00"/>
    </dxf>
    <dxf>
      <numFmt numFmtId="164" formatCode="0.0"/>
    </dxf>
    <dxf>
      <numFmt numFmtId="3" formatCode="#,##0"/>
    </dxf>
    <dxf>
      <numFmt numFmtId="1" formatCode="0"/>
    </dxf>
    <dxf>
      <numFmt numFmtId="1" formatCode="0"/>
    </dxf>
    <dxf>
      <numFmt numFmtId="171" formatCode="0.0E+00"/>
    </dxf>
    <dxf>
      <numFmt numFmtId="167" formatCode="0.000"/>
    </dxf>
    <dxf>
      <numFmt numFmtId="167" formatCode="0.000"/>
    </dxf>
    <dxf>
      <numFmt numFmtId="2" formatCode="0.00"/>
    </dxf>
    <dxf>
      <numFmt numFmtId="164" formatCode="0.0"/>
    </dxf>
    <dxf>
      <numFmt numFmtId="3" formatCode="#,##0"/>
    </dxf>
    <dxf>
      <numFmt numFmtId="167" formatCode="0.000"/>
    </dxf>
    <dxf>
      <numFmt numFmtId="167" formatCode="0.000"/>
    </dxf>
    <dxf>
      <numFmt numFmtId="1" formatCode="0"/>
    </dxf>
    <dxf>
      <numFmt numFmtId="3" formatCode="#,##0"/>
    </dxf>
    <dxf>
      <numFmt numFmtId="164" formatCode="0.0"/>
    </dxf>
    <dxf>
      <numFmt numFmtId="2" formatCode="0.00"/>
    </dxf>
    <dxf>
      <numFmt numFmtId="171" formatCode="0.0E+00"/>
    </dxf>
    <dxf>
      <numFmt numFmtId="1" formatCode="0"/>
    </dxf>
    <dxf>
      <numFmt numFmtId="167" formatCode="0.000"/>
    </dxf>
    <dxf>
      <numFmt numFmtId="171" formatCode="0.0E+00"/>
    </dxf>
    <dxf>
      <numFmt numFmtId="167" formatCode="0.000"/>
    </dxf>
    <dxf>
      <numFmt numFmtId="2" formatCode="0.00"/>
    </dxf>
    <dxf>
      <numFmt numFmtId="164" formatCode="0.0"/>
    </dxf>
    <dxf>
      <numFmt numFmtId="3" formatCode="#,##0"/>
    </dxf>
    <dxf>
      <numFmt numFmtId="171" formatCode="0.0E+00"/>
    </dxf>
    <dxf>
      <numFmt numFmtId="167" formatCode="0.000"/>
    </dxf>
    <dxf>
      <numFmt numFmtId="167" formatCode="0.000"/>
    </dxf>
    <dxf>
      <numFmt numFmtId="164" formatCode="0.0"/>
    </dxf>
    <dxf>
      <numFmt numFmtId="3" formatCode="#,##0"/>
    </dxf>
    <dxf>
      <numFmt numFmtId="1" formatCode="0"/>
    </dxf>
    <dxf>
      <numFmt numFmtId="2" formatCode="0.00"/>
    </dxf>
    <dxf>
      <numFmt numFmtId="1" formatCode="0"/>
    </dxf>
    <dxf>
      <numFmt numFmtId="164" formatCode="0.0"/>
    </dxf>
    <dxf>
      <numFmt numFmtId="171" formatCode="0.0E+00"/>
    </dxf>
    <dxf>
      <numFmt numFmtId="2" formatCode="0.00"/>
    </dxf>
    <dxf>
      <numFmt numFmtId="167" formatCode="0.000"/>
    </dxf>
    <dxf>
      <numFmt numFmtId="167" formatCode="0.000"/>
    </dxf>
    <dxf>
      <numFmt numFmtId="3" formatCode="#,##0"/>
    </dxf>
    <dxf>
      <numFmt numFmtId="1" formatCode="0"/>
    </dxf>
    <dxf>
      <numFmt numFmtId="171" formatCode="0.0E+00"/>
    </dxf>
    <dxf>
      <numFmt numFmtId="167" formatCode="0.000"/>
    </dxf>
    <dxf>
      <numFmt numFmtId="167" formatCode="0.000"/>
    </dxf>
    <dxf>
      <numFmt numFmtId="2" formatCode="0.00"/>
    </dxf>
    <dxf>
      <numFmt numFmtId="164" formatCode="0.0"/>
    </dxf>
    <dxf>
      <numFmt numFmtId="3" formatCode="#,##0"/>
    </dxf>
    <dxf>
      <numFmt numFmtId="167" formatCode="0.000"/>
    </dxf>
    <dxf>
      <numFmt numFmtId="167" formatCode="0.000"/>
    </dxf>
    <dxf>
      <numFmt numFmtId="1" formatCode="0"/>
    </dxf>
    <dxf>
      <numFmt numFmtId="3" formatCode="#,##0"/>
    </dxf>
    <dxf>
      <numFmt numFmtId="164" formatCode="0.0"/>
    </dxf>
    <dxf>
      <numFmt numFmtId="2" formatCode="0.00"/>
    </dxf>
    <dxf>
      <numFmt numFmtId="171" formatCode="0.0E+00"/>
    </dxf>
    <dxf>
      <numFmt numFmtId="171" formatCode="0.0E+00"/>
    </dxf>
    <dxf>
      <numFmt numFmtId="167" formatCode="0.000"/>
    </dxf>
    <dxf>
      <numFmt numFmtId="167" formatCode="0.000"/>
    </dxf>
    <dxf>
      <numFmt numFmtId="2" formatCode="0.00"/>
    </dxf>
    <dxf>
      <numFmt numFmtId="164" formatCode="0.0"/>
    </dxf>
    <dxf>
      <numFmt numFmtId="3" formatCode="#,##0"/>
    </dxf>
    <dxf>
      <numFmt numFmtId="1" formatCode="0"/>
    </dxf>
    <dxf>
      <numFmt numFmtId="171" formatCode="0.0E+00"/>
    </dxf>
    <dxf>
      <numFmt numFmtId="167" formatCode="0.000"/>
    </dxf>
    <dxf>
      <numFmt numFmtId="167" formatCode="0.000"/>
    </dxf>
    <dxf>
      <numFmt numFmtId="2" formatCode="0.00"/>
    </dxf>
    <dxf>
      <numFmt numFmtId="164" formatCode="0.0"/>
    </dxf>
    <dxf>
      <numFmt numFmtId="3" formatCode="#,##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styles" Target="style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ATA\PROJECTS\STAR\FORMULA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windows\TEMP\Flare%20Data%20-%2019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EXCEL\programs\CompressorCorr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TITANs550\TITAN\AIRHEADS\PROJECTS\Lubrizol\MSS\4%20-%20Reference%20Documents\Air%20from%20LZ%20102208\Amendments\22055%20Amendment\10-04-2005%2022055%20Amend%20Calc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cchu\Local%20Settings\Temporary%20Internet%20Files\OLK9\NSR%20Permitting%20-%20Audit%20Follow-up\TPC%20Tank%20Summary%20-%205.8.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Nt40_c400\big%20tex%2080\Clients%20Projects\BetzDearborn\Compliance_2002371\PR224EB_PBR\Calcs\PR224EBcalc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PNT02\users\snad\Air%20Quality%20Permitting%20Work\Renewals\Permit%2022056%20Polyisobutylene%20Unit%20Renewal\22056EmissionCalculation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IRHEADS\PROJECTS\Lubrizol\MSS\4%20-%20Reference%20Documents\Air%20from%20LZ%20102208\Amendments\22055%20Amendment\10-04-2005%2022055%20Amend%20Calc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zenithem.sharepoint.com/sites/HSER/Management/Portland/Environmental/Air/Reporting/2021/Emission%20Calcs/2021%20Tank%20Emiss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
      <sheetName val="EFR"/>
      <sheetName val="FX"/>
      <sheetName val="IFR"/>
      <sheetName val="CT"/>
      <sheetName val="EXC"/>
      <sheetName val="IC"/>
      <sheetName val="GT"/>
      <sheetName val="HTR F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HEAT VALUE"/>
      <sheetName val="LBS/DAY"/>
    </sheetNames>
    <sheetDataSet>
      <sheetData sheetId="0" refreshError="1">
        <row r="5">
          <cell r="A5">
            <v>34700</v>
          </cell>
          <cell r="W5">
            <v>616.83321227686156</v>
          </cell>
        </row>
        <row r="6">
          <cell r="A6">
            <v>34336</v>
          </cell>
          <cell r="W6">
            <v>587</v>
          </cell>
        </row>
        <row r="7">
          <cell r="A7">
            <v>34337</v>
          </cell>
          <cell r="W7">
            <v>966.41581711017898</v>
          </cell>
        </row>
        <row r="8">
          <cell r="A8">
            <v>34338</v>
          </cell>
          <cell r="W8">
            <v>1063.906706713529</v>
          </cell>
        </row>
        <row r="9">
          <cell r="A9">
            <v>34339</v>
          </cell>
          <cell r="W9">
            <v>633.79562137183052</v>
          </cell>
        </row>
        <row r="10">
          <cell r="A10">
            <v>34340</v>
          </cell>
          <cell r="W10">
            <v>316.93749317525936</v>
          </cell>
        </row>
        <row r="11">
          <cell r="A11">
            <v>34341</v>
          </cell>
          <cell r="W11">
            <v>734</v>
          </cell>
        </row>
        <row r="12">
          <cell r="A12">
            <v>34342</v>
          </cell>
          <cell r="W12">
            <v>1303</v>
          </cell>
        </row>
        <row r="13">
          <cell r="A13">
            <v>34343</v>
          </cell>
          <cell r="W13">
            <v>1033.3571278140485</v>
          </cell>
        </row>
        <row r="14">
          <cell r="A14">
            <v>34344</v>
          </cell>
          <cell r="W14">
            <v>1469.6773868491719</v>
          </cell>
        </row>
        <row r="15">
          <cell r="A15">
            <v>34345</v>
          </cell>
          <cell r="W15">
            <v>895.78336514532532</v>
          </cell>
        </row>
        <row r="16">
          <cell r="A16">
            <v>34346</v>
          </cell>
          <cell r="W16">
            <v>858.86528821599279</v>
          </cell>
        </row>
        <row r="17">
          <cell r="A17">
            <v>34347</v>
          </cell>
          <cell r="W17">
            <v>830.26411880830403</v>
          </cell>
        </row>
        <row r="18">
          <cell r="A18">
            <v>34348</v>
          </cell>
          <cell r="W18">
            <v>74.127234183246784</v>
          </cell>
        </row>
        <row r="19">
          <cell r="A19">
            <v>34349</v>
          </cell>
          <cell r="W19">
            <v>45.436563103248304</v>
          </cell>
        </row>
        <row r="20">
          <cell r="A20">
            <v>34350</v>
          </cell>
          <cell r="W20">
            <v>26.985731004681316</v>
          </cell>
        </row>
        <row r="21">
          <cell r="A21">
            <v>34351</v>
          </cell>
          <cell r="W21">
            <v>899.71238273528047</v>
          </cell>
        </row>
        <row r="22">
          <cell r="A22">
            <v>34352</v>
          </cell>
          <cell r="W22">
            <v>16.788906535998919</v>
          </cell>
        </row>
        <row r="23">
          <cell r="A23">
            <v>34353</v>
          </cell>
          <cell r="W23">
            <v>49.285455364302436</v>
          </cell>
        </row>
        <row r="24">
          <cell r="A24">
            <v>34354</v>
          </cell>
          <cell r="W24">
            <v>1058.4942124753634</v>
          </cell>
        </row>
        <row r="25">
          <cell r="A25">
            <v>34355</v>
          </cell>
          <cell r="W25">
            <v>732.55368035380013</v>
          </cell>
        </row>
        <row r="26">
          <cell r="A26">
            <v>34356</v>
          </cell>
          <cell r="W26">
            <v>1471.775458604249</v>
          </cell>
        </row>
        <row r="27">
          <cell r="A27">
            <v>34357</v>
          </cell>
          <cell r="W27">
            <v>1122.2752862844893</v>
          </cell>
        </row>
        <row r="28">
          <cell r="A28">
            <v>34358</v>
          </cell>
          <cell r="W28">
            <v>708.83101075770378</v>
          </cell>
        </row>
        <row r="29">
          <cell r="A29">
            <v>34359</v>
          </cell>
          <cell r="W29">
            <v>935.53232900907994</v>
          </cell>
        </row>
        <row r="30">
          <cell r="A30">
            <v>34360</v>
          </cell>
          <cell r="W30">
            <v>1422.7455892491284</v>
          </cell>
        </row>
        <row r="31">
          <cell r="A31">
            <v>34361</v>
          </cell>
          <cell r="W31">
            <v>2089.4373782379153</v>
          </cell>
        </row>
        <row r="32">
          <cell r="A32">
            <v>34362</v>
          </cell>
          <cell r="W32">
            <v>901.0817101447999</v>
          </cell>
        </row>
        <row r="33">
          <cell r="A33">
            <v>34363</v>
          </cell>
          <cell r="W33">
            <v>1044.0626507829143</v>
          </cell>
        </row>
        <row r="34">
          <cell r="A34">
            <v>34364</v>
          </cell>
          <cell r="W34">
            <v>1262.9250955065547</v>
          </cell>
        </row>
        <row r="35">
          <cell r="A35">
            <v>34365</v>
          </cell>
          <cell r="W35">
            <v>928.80298997215618</v>
          </cell>
        </row>
        <row r="36">
          <cell r="A36">
            <v>34366</v>
          </cell>
        </row>
        <row r="37">
          <cell r="A37">
            <v>34367</v>
          </cell>
          <cell r="W37">
            <v>713.27605820105828</v>
          </cell>
        </row>
        <row r="38">
          <cell r="A38">
            <v>34368</v>
          </cell>
          <cell r="W38">
            <v>771.19859788359804</v>
          </cell>
        </row>
        <row r="39">
          <cell r="A39">
            <v>34369</v>
          </cell>
          <cell r="W39">
            <v>941.40582010582023</v>
          </cell>
        </row>
        <row r="40">
          <cell r="A40">
            <v>34370</v>
          </cell>
          <cell r="W40">
            <v>687.14629629629621</v>
          </cell>
        </row>
        <row r="41">
          <cell r="A41">
            <v>34371</v>
          </cell>
          <cell r="W41">
            <v>1885.4538624338627</v>
          </cell>
        </row>
        <row r="42">
          <cell r="A42">
            <v>34372</v>
          </cell>
          <cell r="W42">
            <v>1283.8914814814818</v>
          </cell>
        </row>
        <row r="43">
          <cell r="A43">
            <v>34373</v>
          </cell>
          <cell r="W43">
            <v>1178.3952116402111</v>
          </cell>
        </row>
        <row r="44">
          <cell r="A44">
            <v>34374</v>
          </cell>
          <cell r="W44">
            <v>1129.7493386243389</v>
          </cell>
        </row>
        <row r="45">
          <cell r="A45">
            <v>34375</v>
          </cell>
          <cell r="W45">
            <v>1849.0957671957674</v>
          </cell>
        </row>
        <row r="46">
          <cell r="A46">
            <v>34376</v>
          </cell>
          <cell r="W46">
            <v>1232.1758201058201</v>
          </cell>
        </row>
        <row r="47">
          <cell r="A47">
            <v>34377</v>
          </cell>
          <cell r="W47">
            <v>1101.4412433862433</v>
          </cell>
        </row>
        <row r="48">
          <cell r="A48">
            <v>34378</v>
          </cell>
          <cell r="W48">
            <v>1454.3804761904764</v>
          </cell>
        </row>
        <row r="49">
          <cell r="A49">
            <v>34379</v>
          </cell>
          <cell r="W49">
            <v>1442.559232804233</v>
          </cell>
        </row>
        <row r="50">
          <cell r="A50">
            <v>34380</v>
          </cell>
          <cell r="W50">
            <v>1818.5093121693119</v>
          </cell>
        </row>
        <row r="51">
          <cell r="A51">
            <v>34381</v>
          </cell>
          <cell r="W51">
            <v>2148.0387830687828</v>
          </cell>
        </row>
        <row r="52">
          <cell r="A52">
            <v>34382</v>
          </cell>
          <cell r="W52">
            <v>1646.824470899471</v>
          </cell>
        </row>
        <row r="53">
          <cell r="A53">
            <v>34383</v>
          </cell>
          <cell r="W53">
            <v>1610.7443386243388</v>
          </cell>
        </row>
        <row r="54">
          <cell r="A54">
            <v>34384</v>
          </cell>
          <cell r="W54">
            <v>1428.0114021164022</v>
          </cell>
        </row>
        <row r="55">
          <cell r="A55">
            <v>34385</v>
          </cell>
          <cell r="W55">
            <v>1253.9730952380953</v>
          </cell>
        </row>
        <row r="56">
          <cell r="A56">
            <v>34386</v>
          </cell>
          <cell r="W56">
            <v>1135.1871957671954</v>
          </cell>
        </row>
        <row r="57">
          <cell r="A57">
            <v>34387</v>
          </cell>
          <cell r="W57">
            <v>980.69603174603208</v>
          </cell>
        </row>
        <row r="58">
          <cell r="A58">
            <v>34388</v>
          </cell>
          <cell r="W58">
            <v>1173.6695502645503</v>
          </cell>
        </row>
        <row r="59">
          <cell r="A59">
            <v>34389</v>
          </cell>
          <cell r="W59">
            <v>1336.5226190476187</v>
          </cell>
        </row>
        <row r="60">
          <cell r="A60">
            <v>34390</v>
          </cell>
          <cell r="W60">
            <v>1350.312857142857</v>
          </cell>
        </row>
        <row r="61">
          <cell r="A61">
            <v>34391</v>
          </cell>
          <cell r="W61">
            <v>2196.5697883597886</v>
          </cell>
        </row>
        <row r="62">
          <cell r="A62">
            <v>34392</v>
          </cell>
          <cell r="W62">
            <v>1992.8256349206354</v>
          </cell>
        </row>
        <row r="63">
          <cell r="A63">
            <v>34393</v>
          </cell>
          <cell r="W63">
            <v>1258.6255555555551</v>
          </cell>
        </row>
        <row r="64">
          <cell r="A64">
            <v>34394</v>
          </cell>
          <cell r="W64">
            <v>613.89603174603167</v>
          </cell>
        </row>
        <row r="65">
          <cell r="A65">
            <v>34395</v>
          </cell>
          <cell r="W65">
            <v>1441.1338624338625</v>
          </cell>
        </row>
        <row r="66">
          <cell r="A66">
            <v>34396</v>
          </cell>
          <cell r="W66">
            <v>961.93066137566132</v>
          </cell>
        </row>
        <row r="67">
          <cell r="A67">
            <v>34397</v>
          </cell>
          <cell r="W67">
            <v>1393.6158730158734</v>
          </cell>
        </row>
        <row r="68">
          <cell r="A68">
            <v>34398</v>
          </cell>
          <cell r="W68">
            <v>765.82640211640228</v>
          </cell>
        </row>
        <row r="69">
          <cell r="A69">
            <v>34399</v>
          </cell>
          <cell r="W69">
            <v>850.56674603174577</v>
          </cell>
        </row>
        <row r="70">
          <cell r="A70">
            <v>34400</v>
          </cell>
          <cell r="W70">
            <v>1136.3153439153439</v>
          </cell>
        </row>
        <row r="71">
          <cell r="A71">
            <v>34401</v>
          </cell>
          <cell r="W71">
            <v>645.41645502645531</v>
          </cell>
        </row>
        <row r="72">
          <cell r="A72">
            <v>34402</v>
          </cell>
          <cell r="W72">
            <v>547.02074074074051</v>
          </cell>
        </row>
        <row r="73">
          <cell r="A73">
            <v>34403</v>
          </cell>
          <cell r="W73">
            <v>411.93682539682533</v>
          </cell>
        </row>
        <row r="74">
          <cell r="A74">
            <v>34404</v>
          </cell>
          <cell r="W74">
            <v>1496.7728571428574</v>
          </cell>
        </row>
        <row r="75">
          <cell r="A75">
            <v>34405</v>
          </cell>
          <cell r="W75">
            <v>1097.771851851852</v>
          </cell>
        </row>
        <row r="76">
          <cell r="A76">
            <v>34406</v>
          </cell>
          <cell r="W76">
            <v>1029.605158730159</v>
          </cell>
        </row>
        <row r="77">
          <cell r="A77">
            <v>34407</v>
          </cell>
          <cell r="W77">
            <v>2214.5401058201051</v>
          </cell>
        </row>
        <row r="78">
          <cell r="A78">
            <v>34408</v>
          </cell>
          <cell r="W78">
            <v>1741.9805026455026</v>
          </cell>
        </row>
        <row r="79">
          <cell r="A79">
            <v>34409</v>
          </cell>
          <cell r="W79">
            <v>1121.6025396825401</v>
          </cell>
        </row>
        <row r="80">
          <cell r="A80">
            <v>34410</v>
          </cell>
          <cell r="W80">
            <v>1159.9337301587304</v>
          </cell>
        </row>
        <row r="81">
          <cell r="A81">
            <v>34411</v>
          </cell>
          <cell r="W81">
            <v>1222.774285714286</v>
          </cell>
        </row>
        <row r="82">
          <cell r="A82">
            <v>34412</v>
          </cell>
          <cell r="W82">
            <v>1489.9119047619051</v>
          </cell>
        </row>
        <row r="83">
          <cell r="A83">
            <v>34413</v>
          </cell>
          <cell r="W83">
            <v>1204.1474074074076</v>
          </cell>
        </row>
        <row r="84">
          <cell r="A84">
            <v>34414</v>
          </cell>
          <cell r="W84">
            <v>1056.1343386243389</v>
          </cell>
        </row>
        <row r="85">
          <cell r="A85">
            <v>34415</v>
          </cell>
          <cell r="W85">
            <v>1704.6434656084655</v>
          </cell>
        </row>
        <row r="86">
          <cell r="A86">
            <v>34416</v>
          </cell>
          <cell r="W86">
            <v>849.10452380952347</v>
          </cell>
        </row>
        <row r="87">
          <cell r="A87">
            <v>34417</v>
          </cell>
          <cell r="W87">
            <v>1451.6647354497363</v>
          </cell>
        </row>
        <row r="88">
          <cell r="A88">
            <v>34418</v>
          </cell>
          <cell r="W88">
            <v>1417.6945502645506</v>
          </cell>
        </row>
        <row r="89">
          <cell r="A89">
            <v>34419</v>
          </cell>
          <cell r="W89">
            <v>1570.9119576719584</v>
          </cell>
        </row>
        <row r="90">
          <cell r="A90">
            <v>34420</v>
          </cell>
          <cell r="W90">
            <v>1759.2715079365082</v>
          </cell>
        </row>
        <row r="91">
          <cell r="A91">
            <v>34421</v>
          </cell>
          <cell r="W91">
            <v>1677.1962169312169</v>
          </cell>
        </row>
        <row r="92">
          <cell r="A92">
            <v>34422</v>
          </cell>
          <cell r="W92">
            <v>1654.2037566137572</v>
          </cell>
        </row>
        <row r="93">
          <cell r="A93">
            <v>34423</v>
          </cell>
          <cell r="W93">
            <v>1773.8349206349203</v>
          </cell>
        </row>
        <row r="94">
          <cell r="A94">
            <v>34424</v>
          </cell>
          <cell r="W94">
            <v>2320.2867989417987</v>
          </cell>
        </row>
        <row r="95">
          <cell r="A95">
            <v>34425</v>
          </cell>
          <cell r="W95">
            <v>1236.587169312169</v>
          </cell>
        </row>
        <row r="96">
          <cell r="A96">
            <v>34426</v>
          </cell>
          <cell r="W96">
            <v>1773.7849470899478</v>
          </cell>
        </row>
        <row r="97">
          <cell r="A97">
            <v>34427</v>
          </cell>
          <cell r="W97">
            <v>1774.4978571428571</v>
          </cell>
        </row>
        <row r="98">
          <cell r="A98">
            <v>34428</v>
          </cell>
          <cell r="W98">
            <v>815.08298941798944</v>
          </cell>
        </row>
        <row r="99">
          <cell r="A99">
            <v>34429</v>
          </cell>
          <cell r="W99">
            <v>2375.3138624338621</v>
          </cell>
        </row>
        <row r="100">
          <cell r="A100">
            <v>34430</v>
          </cell>
          <cell r="W100">
            <v>2065.0961375661373</v>
          </cell>
        </row>
        <row r="101">
          <cell r="A101">
            <v>34431</v>
          </cell>
          <cell r="W101">
            <v>1432.3620634920633</v>
          </cell>
        </row>
        <row r="102">
          <cell r="A102">
            <v>34432</v>
          </cell>
          <cell r="W102">
            <v>1504.849206349206</v>
          </cell>
        </row>
        <row r="103">
          <cell r="A103">
            <v>34433</v>
          </cell>
          <cell r="W103">
            <v>1791.5971957671954</v>
          </cell>
        </row>
        <row r="104">
          <cell r="A104">
            <v>34434</v>
          </cell>
          <cell r="W104">
            <v>2086.901957671957</v>
          </cell>
        </row>
        <row r="105">
          <cell r="A105">
            <v>34435</v>
          </cell>
          <cell r="W105">
            <v>2103.1854497354507</v>
          </cell>
        </row>
        <row r="106">
          <cell r="A106">
            <v>34436</v>
          </cell>
          <cell r="W106">
            <v>2267.5616137566135</v>
          </cell>
        </row>
        <row r="107">
          <cell r="A107">
            <v>34437</v>
          </cell>
          <cell r="W107">
            <v>1277.1550264550265</v>
          </cell>
        </row>
        <row r="108">
          <cell r="A108">
            <v>34438</v>
          </cell>
          <cell r="W108">
            <v>1853.9284126984126</v>
          </cell>
        </row>
        <row r="109">
          <cell r="A109">
            <v>34439</v>
          </cell>
          <cell r="W109">
            <v>1994.9709523809524</v>
          </cell>
        </row>
        <row r="110">
          <cell r="A110">
            <v>34440</v>
          </cell>
          <cell r="W110">
            <v>1350.5547089947092</v>
          </cell>
        </row>
        <row r="111">
          <cell r="A111">
            <v>34441</v>
          </cell>
          <cell r="W111">
            <v>1481.445634920635</v>
          </cell>
        </row>
        <row r="112">
          <cell r="A112">
            <v>34442</v>
          </cell>
          <cell r="W112">
            <v>1508.5355026455031</v>
          </cell>
        </row>
        <row r="113">
          <cell r="A113">
            <v>34443</v>
          </cell>
          <cell r="W113">
            <v>1724.5556878306882</v>
          </cell>
        </row>
        <row r="114">
          <cell r="A114">
            <v>34444</v>
          </cell>
          <cell r="W114">
            <v>2598.6551058201062</v>
          </cell>
        </row>
        <row r="115">
          <cell r="A115">
            <v>34445</v>
          </cell>
          <cell r="W115">
            <v>1471.8455291005289</v>
          </cell>
        </row>
        <row r="116">
          <cell r="A116">
            <v>34446</v>
          </cell>
          <cell r="W116">
            <v>2137.4109259259258</v>
          </cell>
        </row>
        <row r="117">
          <cell r="A117">
            <v>34447</v>
          </cell>
          <cell r="W117">
            <v>1907.9563756613766</v>
          </cell>
        </row>
        <row r="118">
          <cell r="A118">
            <v>34448</v>
          </cell>
          <cell r="W118">
            <v>1823.8117724867723</v>
          </cell>
        </row>
        <row r="119">
          <cell r="A119">
            <v>34449</v>
          </cell>
          <cell r="W119">
            <v>2318.0349470899469</v>
          </cell>
        </row>
        <row r="120">
          <cell r="A120">
            <v>34450</v>
          </cell>
          <cell r="W120">
            <v>1838.2831481481485</v>
          </cell>
        </row>
        <row r="121">
          <cell r="A121">
            <v>34451</v>
          </cell>
          <cell r="W121">
            <v>2423.0021428571426</v>
          </cell>
        </row>
        <row r="122">
          <cell r="A122">
            <v>34452</v>
          </cell>
          <cell r="W122">
            <v>2322.2442857142869</v>
          </cell>
        </row>
        <row r="123">
          <cell r="A123">
            <v>34453</v>
          </cell>
          <cell r="W123">
            <v>2247.3545502645502</v>
          </cell>
        </row>
        <row r="124">
          <cell r="A124">
            <v>34454</v>
          </cell>
          <cell r="W124">
            <v>2288.6472751322744</v>
          </cell>
        </row>
        <row r="125">
          <cell r="A125">
            <v>34455</v>
          </cell>
          <cell r="W125">
            <v>2442.1851322751322</v>
          </cell>
        </row>
        <row r="126">
          <cell r="A126">
            <v>34456</v>
          </cell>
          <cell r="W126">
            <v>2234.4429894179893</v>
          </cell>
        </row>
        <row r="127">
          <cell r="A127">
            <v>34457</v>
          </cell>
          <cell r="W127">
            <v>1801.6505026455029</v>
          </cell>
        </row>
        <row r="128">
          <cell r="A128">
            <v>34458</v>
          </cell>
          <cell r="W128">
            <v>1268.6252910052906</v>
          </cell>
        </row>
        <row r="129">
          <cell r="A129">
            <v>34459</v>
          </cell>
          <cell r="W129">
            <v>1194.423703703703</v>
          </cell>
        </row>
        <row r="130">
          <cell r="A130">
            <v>34460</v>
          </cell>
          <cell r="W130">
            <v>1641.2002380952381</v>
          </cell>
        </row>
        <row r="131">
          <cell r="A131">
            <v>34461</v>
          </cell>
          <cell r="W131">
            <v>1444.6462169312172</v>
          </cell>
        </row>
        <row r="132">
          <cell r="A132">
            <v>34462</v>
          </cell>
          <cell r="W132">
            <v>1539.4332010582011</v>
          </cell>
        </row>
        <row r="133">
          <cell r="A133">
            <v>34463</v>
          </cell>
          <cell r="W133">
            <v>1760.9534126984124</v>
          </cell>
        </row>
        <row r="134">
          <cell r="A134">
            <v>34464</v>
          </cell>
          <cell r="W134">
            <v>1675.0776613756605</v>
          </cell>
        </row>
        <row r="135">
          <cell r="A135">
            <v>34465</v>
          </cell>
          <cell r="W135">
            <v>1671.6894708994712</v>
          </cell>
        </row>
        <row r="136">
          <cell r="A136">
            <v>34466</v>
          </cell>
          <cell r="W136">
            <v>1430.3077513227508</v>
          </cell>
        </row>
        <row r="137">
          <cell r="A137">
            <v>34467</v>
          </cell>
          <cell r="W137">
            <v>1097.0294708994704</v>
          </cell>
        </row>
        <row r="138">
          <cell r="A138">
            <v>34468</v>
          </cell>
          <cell r="W138">
            <v>1336.2886772486772</v>
          </cell>
        </row>
        <row r="139">
          <cell r="A139">
            <v>34469</v>
          </cell>
          <cell r="W139">
            <v>874.33830687830721</v>
          </cell>
        </row>
        <row r="140">
          <cell r="A140">
            <v>34470</v>
          </cell>
          <cell r="W140">
            <v>1128.1129365079366</v>
          </cell>
        </row>
        <row r="141">
          <cell r="A141">
            <v>34471</v>
          </cell>
          <cell r="W141">
            <v>1305.6892592592592</v>
          </cell>
        </row>
        <row r="142">
          <cell r="A142">
            <v>34472</v>
          </cell>
          <cell r="W142">
            <v>2095.4973544973545</v>
          </cell>
        </row>
        <row r="143">
          <cell r="A143">
            <v>34473</v>
          </cell>
          <cell r="W143">
            <v>1134.4594708994709</v>
          </cell>
        </row>
        <row r="144">
          <cell r="A144">
            <v>34474</v>
          </cell>
          <cell r="W144">
            <v>1343.0803703703707</v>
          </cell>
        </row>
        <row r="145">
          <cell r="A145">
            <v>34475</v>
          </cell>
          <cell r="W145">
            <v>1509.5121957671954</v>
          </cell>
        </row>
        <row r="146">
          <cell r="A146">
            <v>34476</v>
          </cell>
          <cell r="W146">
            <v>2061.9591269841262</v>
          </cell>
        </row>
        <row r="147">
          <cell r="A147">
            <v>34477</v>
          </cell>
          <cell r="W147">
            <v>1986.2204232804236</v>
          </cell>
        </row>
        <row r="148">
          <cell r="A148">
            <v>34478</v>
          </cell>
          <cell r="W148">
            <v>1435.1634920634915</v>
          </cell>
        </row>
        <row r="149">
          <cell r="A149">
            <v>34479</v>
          </cell>
          <cell r="W149">
            <v>2263.4457671957675</v>
          </cell>
        </row>
        <row r="150">
          <cell r="A150">
            <v>34480</v>
          </cell>
          <cell r="W150">
            <v>1190.4783597883597</v>
          </cell>
        </row>
        <row r="151">
          <cell r="A151">
            <v>34481</v>
          </cell>
          <cell r="W151">
            <v>1453.7707407407411</v>
          </cell>
        </row>
        <row r="152">
          <cell r="A152">
            <v>34482</v>
          </cell>
          <cell r="W152">
            <v>1615.0094708994711</v>
          </cell>
        </row>
        <row r="153">
          <cell r="A153">
            <v>34483</v>
          </cell>
          <cell r="W153">
            <v>1371.9429629629631</v>
          </cell>
        </row>
        <row r="154">
          <cell r="A154">
            <v>34484</v>
          </cell>
          <cell r="W154">
            <v>856.00690476190459</v>
          </cell>
        </row>
        <row r="155">
          <cell r="A155">
            <v>34485</v>
          </cell>
          <cell r="W155">
            <v>2064.8633597883595</v>
          </cell>
        </row>
        <row r="156">
          <cell r="A156">
            <v>34486</v>
          </cell>
          <cell r="W156">
            <v>982.63293650793662</v>
          </cell>
        </row>
        <row r="157">
          <cell r="A157">
            <v>34487</v>
          </cell>
          <cell r="W157">
            <v>1018.5766137566138</v>
          </cell>
        </row>
        <row r="158">
          <cell r="A158">
            <v>34488</v>
          </cell>
          <cell r="W158">
            <v>1199.7090476190479</v>
          </cell>
        </row>
        <row r="159">
          <cell r="A159">
            <v>34489</v>
          </cell>
          <cell r="W159">
            <v>1421.0623280423281</v>
          </cell>
        </row>
        <row r="160">
          <cell r="A160">
            <v>34490</v>
          </cell>
          <cell r="W160">
            <v>1126.4211640211643</v>
          </cell>
        </row>
        <row r="161">
          <cell r="A161">
            <v>34491</v>
          </cell>
          <cell r="W161">
            <v>2216.558703703703</v>
          </cell>
        </row>
        <row r="162">
          <cell r="A162">
            <v>34492</v>
          </cell>
          <cell r="W162">
            <v>1197.6560317460314</v>
          </cell>
        </row>
        <row r="163">
          <cell r="A163">
            <v>34493</v>
          </cell>
          <cell r="W163">
            <v>1070.9390476190479</v>
          </cell>
        </row>
        <row r="164">
          <cell r="A164">
            <v>34494</v>
          </cell>
          <cell r="W164">
            <v>1279.3350793650795</v>
          </cell>
        </row>
        <row r="165">
          <cell r="A165">
            <v>34495</v>
          </cell>
          <cell r="W165">
            <v>1042.8651322751323</v>
          </cell>
        </row>
        <row r="166">
          <cell r="A166">
            <v>34496</v>
          </cell>
          <cell r="W166">
            <v>1637.2055820105825</v>
          </cell>
        </row>
        <row r="167">
          <cell r="A167">
            <v>34497</v>
          </cell>
          <cell r="W167">
            <v>1984.8014285714285</v>
          </cell>
        </row>
        <row r="168">
          <cell r="A168">
            <v>34498</v>
          </cell>
          <cell r="W168">
            <v>2397.8630423280424</v>
          </cell>
        </row>
        <row r="169">
          <cell r="A169">
            <v>34499</v>
          </cell>
          <cell r="W169">
            <v>1720.264232804233</v>
          </cell>
        </row>
        <row r="170">
          <cell r="A170">
            <v>34500</v>
          </cell>
          <cell r="W170">
            <v>1088.1377777777777</v>
          </cell>
        </row>
        <row r="171">
          <cell r="A171">
            <v>34501</v>
          </cell>
          <cell r="W171">
            <v>2533.0210052910052</v>
          </cell>
        </row>
        <row r="172">
          <cell r="A172">
            <v>34502</v>
          </cell>
          <cell r="W172">
            <v>1930.2029100529107</v>
          </cell>
        </row>
        <row r="173">
          <cell r="A173">
            <v>34503</v>
          </cell>
          <cell r="W173">
            <v>2018.1948148148147</v>
          </cell>
        </row>
        <row r="174">
          <cell r="A174">
            <v>34504</v>
          </cell>
          <cell r="W174">
            <v>1847.7651851851854</v>
          </cell>
        </row>
        <row r="175">
          <cell r="A175">
            <v>34505</v>
          </cell>
          <cell r="W175">
            <v>1787.9465608465605</v>
          </cell>
        </row>
        <row r="176">
          <cell r="A176">
            <v>34506</v>
          </cell>
          <cell r="W176">
            <v>2054.7327248677248</v>
          </cell>
        </row>
        <row r="177">
          <cell r="A177">
            <v>34507</v>
          </cell>
          <cell r="W177">
            <v>1735.3418518518513</v>
          </cell>
        </row>
        <row r="178">
          <cell r="A178">
            <v>34508</v>
          </cell>
          <cell r="W178">
            <v>1547.6949735449739</v>
          </cell>
        </row>
        <row r="179">
          <cell r="A179">
            <v>34509</v>
          </cell>
          <cell r="W179">
            <v>2049.473756613756</v>
          </cell>
        </row>
        <row r="180">
          <cell r="A180">
            <v>34510</v>
          </cell>
          <cell r="W180">
            <v>1649.4212962962961</v>
          </cell>
        </row>
        <row r="181">
          <cell r="A181">
            <v>34511</v>
          </cell>
          <cell r="W181">
            <v>1835.0285185185187</v>
          </cell>
        </row>
        <row r="182">
          <cell r="A182">
            <v>34512</v>
          </cell>
          <cell r="W182">
            <v>1896.8698941798943</v>
          </cell>
        </row>
        <row r="183">
          <cell r="A183">
            <v>34513</v>
          </cell>
          <cell r="W183">
            <v>1948.0157936507937</v>
          </cell>
        </row>
        <row r="184">
          <cell r="A184">
            <v>34514</v>
          </cell>
          <cell r="W184">
            <v>1691.518386243386</v>
          </cell>
        </row>
        <row r="185">
          <cell r="A185">
            <v>34515</v>
          </cell>
          <cell r="W185">
            <v>1541.9644444444446</v>
          </cell>
        </row>
        <row r="186">
          <cell r="A186">
            <v>34516</v>
          </cell>
          <cell r="W186">
            <v>1986.5943915343919</v>
          </cell>
        </row>
        <row r="187">
          <cell r="A187">
            <v>34517</v>
          </cell>
          <cell r="W187">
            <v>1236.5502380952382</v>
          </cell>
        </row>
        <row r="188">
          <cell r="A188">
            <v>34518</v>
          </cell>
          <cell r="W188">
            <v>1914.3705291005285</v>
          </cell>
        </row>
        <row r="189">
          <cell r="A189">
            <v>34519</v>
          </cell>
          <cell r="W189">
            <v>1710.0608465608464</v>
          </cell>
        </row>
        <row r="190">
          <cell r="A190">
            <v>34520</v>
          </cell>
          <cell r="W190">
            <v>1332.3803174603177</v>
          </cell>
        </row>
        <row r="191">
          <cell r="A191">
            <v>34521</v>
          </cell>
          <cell r="W191">
            <v>1740.0295238095239</v>
          </cell>
        </row>
        <row r="192">
          <cell r="A192">
            <v>34522</v>
          </cell>
          <cell r="W192">
            <v>2554.2842857142855</v>
          </cell>
        </row>
        <row r="193">
          <cell r="A193">
            <v>34523</v>
          </cell>
          <cell r="W193">
            <v>1402.1325661375658</v>
          </cell>
        </row>
        <row r="194">
          <cell r="A194">
            <v>34524</v>
          </cell>
          <cell r="W194">
            <v>2281.2844973544975</v>
          </cell>
        </row>
        <row r="195">
          <cell r="A195">
            <v>34525</v>
          </cell>
          <cell r="W195">
            <v>1944.8253968253966</v>
          </cell>
        </row>
        <row r="196">
          <cell r="A196">
            <v>34526</v>
          </cell>
          <cell r="W196">
            <v>1926.5865079365074</v>
          </cell>
        </row>
        <row r="197">
          <cell r="A197">
            <v>34527</v>
          </cell>
          <cell r="W197">
            <v>2520.6824074074079</v>
          </cell>
        </row>
        <row r="198">
          <cell r="A198">
            <v>34528</v>
          </cell>
          <cell r="W198">
            <v>2127.7102380952379</v>
          </cell>
        </row>
        <row r="199">
          <cell r="A199">
            <v>34529</v>
          </cell>
          <cell r="W199">
            <v>1951.8249206349203</v>
          </cell>
        </row>
        <row r="200">
          <cell r="A200">
            <v>34530</v>
          </cell>
          <cell r="W200">
            <v>2132.3520105820112</v>
          </cell>
        </row>
        <row r="201">
          <cell r="A201">
            <v>34531</v>
          </cell>
          <cell r="W201">
            <v>2034.609497354498</v>
          </cell>
        </row>
        <row r="202">
          <cell r="A202">
            <v>34532</v>
          </cell>
          <cell r="W202">
            <v>2325.0970634920627</v>
          </cell>
        </row>
        <row r="203">
          <cell r="A203">
            <v>34533</v>
          </cell>
          <cell r="W203">
            <v>2175.7521957671956</v>
          </cell>
        </row>
        <row r="204">
          <cell r="A204">
            <v>34534</v>
          </cell>
          <cell r="W204">
            <v>2194.4652380952384</v>
          </cell>
        </row>
        <row r="205">
          <cell r="A205">
            <v>34535</v>
          </cell>
          <cell r="W205">
            <v>1958.6187301587302</v>
          </cell>
        </row>
        <row r="206">
          <cell r="A206">
            <v>34536</v>
          </cell>
          <cell r="W206">
            <v>1947.2499206349212</v>
          </cell>
        </row>
        <row r="207">
          <cell r="A207">
            <v>34537</v>
          </cell>
          <cell r="W207">
            <v>2591.776190476191</v>
          </cell>
        </row>
        <row r="208">
          <cell r="A208">
            <v>34538</v>
          </cell>
          <cell r="W208">
            <v>2026.9644973544973</v>
          </cell>
        </row>
        <row r="209">
          <cell r="A209">
            <v>34539</v>
          </cell>
          <cell r="W209">
            <v>1848.3470899470899</v>
          </cell>
        </row>
        <row r="210">
          <cell r="A210">
            <v>34540</v>
          </cell>
          <cell r="W210">
            <v>2169.1034656084662</v>
          </cell>
        </row>
        <row r="211">
          <cell r="A211">
            <v>34541</v>
          </cell>
          <cell r="W211">
            <v>2366.8848412698412</v>
          </cell>
        </row>
        <row r="212">
          <cell r="A212">
            <v>34542</v>
          </cell>
          <cell r="W212">
            <v>1897.9780158730157</v>
          </cell>
        </row>
        <row r="213">
          <cell r="A213">
            <v>34543</v>
          </cell>
          <cell r="W213">
            <v>1740.4274338624341</v>
          </cell>
        </row>
        <row r="214">
          <cell r="A214">
            <v>34544</v>
          </cell>
          <cell r="W214">
            <v>2156.6468253968255</v>
          </cell>
        </row>
        <row r="215">
          <cell r="A215">
            <v>34545</v>
          </cell>
          <cell r="W215">
            <v>2251.7475132275135</v>
          </cell>
        </row>
        <row r="216">
          <cell r="A216">
            <v>34546</v>
          </cell>
          <cell r="W216">
            <v>1754.8439947089946</v>
          </cell>
        </row>
        <row r="217">
          <cell r="A217">
            <v>34547</v>
          </cell>
          <cell r="W217">
            <v>1418.1129365079371</v>
          </cell>
        </row>
        <row r="218">
          <cell r="A218">
            <v>34548</v>
          </cell>
          <cell r="W218">
            <v>1250.4298677248682</v>
          </cell>
        </row>
        <row r="219">
          <cell r="A219">
            <v>34549</v>
          </cell>
          <cell r="W219">
            <v>1830.9447089947082</v>
          </cell>
        </row>
        <row r="220">
          <cell r="A220">
            <v>34550</v>
          </cell>
          <cell r="W220">
            <v>973.59650793650769</v>
          </cell>
        </row>
        <row r="221">
          <cell r="A221">
            <v>34551</v>
          </cell>
          <cell r="W221">
            <v>2058.5084656084659</v>
          </cell>
        </row>
        <row r="222">
          <cell r="A222">
            <v>34552</v>
          </cell>
          <cell r="W222">
            <v>1507.7612962962965</v>
          </cell>
        </row>
        <row r="223">
          <cell r="A223">
            <v>34553</v>
          </cell>
          <cell r="W223">
            <v>1676.9551322751322</v>
          </cell>
        </row>
        <row r="224">
          <cell r="A224">
            <v>34554</v>
          </cell>
          <cell r="W224">
            <v>1728.4688888888884</v>
          </cell>
        </row>
        <row r="225">
          <cell r="A225">
            <v>34555</v>
          </cell>
          <cell r="W225">
            <v>1233.5947619047622</v>
          </cell>
        </row>
        <row r="226">
          <cell r="A226">
            <v>34556</v>
          </cell>
          <cell r="W226">
            <v>1218.5102645502645</v>
          </cell>
        </row>
        <row r="227">
          <cell r="A227">
            <v>34557</v>
          </cell>
          <cell r="W227">
            <v>1225.6500264550264</v>
          </cell>
        </row>
        <row r="228">
          <cell r="A228">
            <v>34558</v>
          </cell>
          <cell r="W228">
            <v>1267.8685449735449</v>
          </cell>
        </row>
        <row r="229">
          <cell r="A229">
            <v>34559</v>
          </cell>
          <cell r="W229">
            <v>1672.4971428571425</v>
          </cell>
        </row>
        <row r="230">
          <cell r="A230">
            <v>34560</v>
          </cell>
          <cell r="W230">
            <v>1239.6842063492063</v>
          </cell>
        </row>
        <row r="231">
          <cell r="A231">
            <v>34561</v>
          </cell>
          <cell r="W231">
            <v>920.80343915343894</v>
          </cell>
        </row>
        <row r="232">
          <cell r="A232">
            <v>34562</v>
          </cell>
          <cell r="W232">
            <v>996.00481481481495</v>
          </cell>
        </row>
        <row r="233">
          <cell r="A233">
            <v>34563</v>
          </cell>
          <cell r="W233">
            <v>1112.6793386243387</v>
          </cell>
        </row>
        <row r="234">
          <cell r="A234">
            <v>34564</v>
          </cell>
          <cell r="W234">
            <v>1277.6236507936508</v>
          </cell>
        </row>
        <row r="235">
          <cell r="A235">
            <v>34565</v>
          </cell>
          <cell r="W235">
            <v>788.20489417989404</v>
          </cell>
        </row>
        <row r="236">
          <cell r="A236">
            <v>34566</v>
          </cell>
          <cell r="W236">
            <v>1381.2203703703706</v>
          </cell>
        </row>
        <row r="237">
          <cell r="A237">
            <v>34567</v>
          </cell>
          <cell r="W237">
            <v>2172.4153968253959</v>
          </cell>
        </row>
        <row r="238">
          <cell r="A238">
            <v>34568</v>
          </cell>
          <cell r="W238">
            <v>989.99677248677256</v>
          </cell>
        </row>
        <row r="239">
          <cell r="A239">
            <v>34569</v>
          </cell>
          <cell r="W239">
            <v>1349.1458465608464</v>
          </cell>
        </row>
        <row r="240">
          <cell r="A240">
            <v>34570</v>
          </cell>
          <cell r="W240">
            <v>1170.8352380952381</v>
          </cell>
        </row>
        <row r="241">
          <cell r="A241">
            <v>34571</v>
          </cell>
          <cell r="W241">
            <v>1132.4703174603176</v>
          </cell>
        </row>
        <row r="242">
          <cell r="A242">
            <v>34572</v>
          </cell>
          <cell r="W242">
            <v>1411.2054497354493</v>
          </cell>
        </row>
        <row r="243">
          <cell r="A243">
            <v>34573</v>
          </cell>
          <cell r="W243">
            <v>1253.0742328042325</v>
          </cell>
        </row>
        <row r="244">
          <cell r="A244">
            <v>34574</v>
          </cell>
          <cell r="W244">
            <v>1062.0119047619048</v>
          </cell>
        </row>
        <row r="245">
          <cell r="A245">
            <v>34575</v>
          </cell>
          <cell r="W245">
            <v>1642.8665079365076</v>
          </cell>
        </row>
        <row r="246">
          <cell r="A246">
            <v>34576</v>
          </cell>
          <cell r="W246">
            <v>2039.3384920634919</v>
          </cell>
        </row>
        <row r="247">
          <cell r="A247">
            <v>34577</v>
          </cell>
          <cell r="W247">
            <v>1753.0126455026457</v>
          </cell>
        </row>
        <row r="248">
          <cell r="A248">
            <v>34578</v>
          </cell>
          <cell r="W248">
            <v>2137.2465079365079</v>
          </cell>
        </row>
        <row r="249">
          <cell r="A249">
            <v>34579</v>
          </cell>
          <cell r="W249">
            <v>1530.3715343915344</v>
          </cell>
        </row>
        <row r="250">
          <cell r="A250">
            <v>34580</v>
          </cell>
          <cell r="W250">
            <v>2491.1507671957679</v>
          </cell>
        </row>
        <row r="251">
          <cell r="A251">
            <v>34581</v>
          </cell>
          <cell r="W251">
            <v>2060.6810846560843</v>
          </cell>
        </row>
        <row r="252">
          <cell r="A252">
            <v>34582</v>
          </cell>
          <cell r="W252">
            <v>2166.3689947089947</v>
          </cell>
        </row>
        <row r="253">
          <cell r="A253">
            <v>34583</v>
          </cell>
          <cell r="W253">
            <v>2225.6227513227509</v>
          </cell>
        </row>
        <row r="254">
          <cell r="A254">
            <v>34584</v>
          </cell>
          <cell r="W254">
            <v>1411.6175396825395</v>
          </cell>
        </row>
        <row r="255">
          <cell r="A255">
            <v>34585</v>
          </cell>
          <cell r="W255">
            <v>1191.8946296296292</v>
          </cell>
        </row>
        <row r="256">
          <cell r="A256">
            <v>34586</v>
          </cell>
          <cell r="W256">
            <v>851.11280423280436</v>
          </cell>
        </row>
        <row r="257">
          <cell r="A257">
            <v>34587</v>
          </cell>
          <cell r="W257">
            <v>1795.885079365079</v>
          </cell>
        </row>
        <row r="258">
          <cell r="A258">
            <v>34588</v>
          </cell>
          <cell r="W258">
            <v>1524.8266402116403</v>
          </cell>
        </row>
        <row r="259">
          <cell r="A259">
            <v>34589</v>
          </cell>
          <cell r="W259">
            <v>1986.118968253968</v>
          </cell>
        </row>
        <row r="260">
          <cell r="A260">
            <v>34590</v>
          </cell>
          <cell r="W260">
            <v>960.96113756613784</v>
          </cell>
        </row>
        <row r="261">
          <cell r="A261">
            <v>34591</v>
          </cell>
          <cell r="W261">
            <v>1028.7695502645506</v>
          </cell>
        </row>
        <row r="262">
          <cell r="A262">
            <v>34592</v>
          </cell>
          <cell r="W262">
            <v>1070.4496031746032</v>
          </cell>
        </row>
        <row r="263">
          <cell r="A263">
            <v>34593</v>
          </cell>
          <cell r="W263">
            <v>1693.0109259259261</v>
          </cell>
        </row>
        <row r="264">
          <cell r="A264">
            <v>34594</v>
          </cell>
          <cell r="W264">
            <v>1558.6619047619047</v>
          </cell>
        </row>
        <row r="265">
          <cell r="A265">
            <v>34595</v>
          </cell>
          <cell r="W265">
            <v>1204.6224603174608</v>
          </cell>
        </row>
        <row r="266">
          <cell r="A266">
            <v>34596</v>
          </cell>
          <cell r="W266">
            <v>1911.5643386243391</v>
          </cell>
        </row>
        <row r="267">
          <cell r="A267">
            <v>34597</v>
          </cell>
          <cell r="W267">
            <v>1908.0910582010579</v>
          </cell>
        </row>
        <row r="268">
          <cell r="A268">
            <v>34598</v>
          </cell>
          <cell r="W268">
            <v>1877.0336243386248</v>
          </cell>
        </row>
        <row r="269">
          <cell r="A269">
            <v>34599</v>
          </cell>
          <cell r="W269">
            <v>1709.2301851851855</v>
          </cell>
        </row>
        <row r="270">
          <cell r="A270">
            <v>34600</v>
          </cell>
          <cell r="W270">
            <v>1856.2650264550261</v>
          </cell>
        </row>
        <row r="271">
          <cell r="A271">
            <v>34601</v>
          </cell>
          <cell r="W271">
            <v>1610.7524867724869</v>
          </cell>
        </row>
        <row r="272">
          <cell r="A272">
            <v>34602</v>
          </cell>
          <cell r="W272">
            <v>1766.7562433862436</v>
          </cell>
        </row>
        <row r="273">
          <cell r="A273">
            <v>34603</v>
          </cell>
          <cell r="W273">
            <v>1991.9065608465605</v>
          </cell>
        </row>
        <row r="274">
          <cell r="A274">
            <v>34604</v>
          </cell>
          <cell r="W274">
            <v>1670.334497354497</v>
          </cell>
        </row>
        <row r="275">
          <cell r="A275">
            <v>34605</v>
          </cell>
          <cell r="W275">
            <v>1381.6821693121697</v>
          </cell>
        </row>
        <row r="276">
          <cell r="A276">
            <v>34606</v>
          </cell>
          <cell r="W276">
            <v>1225.3697354497353</v>
          </cell>
        </row>
        <row r="277">
          <cell r="A277">
            <v>34607</v>
          </cell>
          <cell r="W277">
            <v>1573.6080952380958</v>
          </cell>
        </row>
        <row r="278">
          <cell r="A278">
            <v>34608</v>
          </cell>
          <cell r="W278">
            <v>1433.9347619047619</v>
          </cell>
        </row>
        <row r="279">
          <cell r="A279">
            <v>34609</v>
          </cell>
          <cell r="W279">
            <v>1530.3715343915342</v>
          </cell>
        </row>
        <row r="280">
          <cell r="A280">
            <v>34610</v>
          </cell>
          <cell r="W280">
            <v>2141.5691005291001</v>
          </cell>
        </row>
        <row r="281">
          <cell r="A281">
            <v>34611</v>
          </cell>
          <cell r="W281">
            <v>1685.2329365079368</v>
          </cell>
        </row>
        <row r="282">
          <cell r="A282">
            <v>34612</v>
          </cell>
          <cell r="W282">
            <v>2027.7639153439147</v>
          </cell>
        </row>
        <row r="283">
          <cell r="A283">
            <v>34613</v>
          </cell>
          <cell r="W283">
            <v>1795.9972222222214</v>
          </cell>
        </row>
        <row r="284">
          <cell r="A284">
            <v>34614</v>
          </cell>
          <cell r="W284">
            <v>1451.24873015873</v>
          </cell>
        </row>
        <row r="285">
          <cell r="A285">
            <v>34615</v>
          </cell>
          <cell r="W285">
            <v>925.76256613756618</v>
          </cell>
        </row>
        <row r="286">
          <cell r="A286">
            <v>34616</v>
          </cell>
          <cell r="W286">
            <v>1262.0153703703704</v>
          </cell>
        </row>
        <row r="287">
          <cell r="A287">
            <v>34617</v>
          </cell>
          <cell r="W287">
            <v>1185.1546296296292</v>
          </cell>
        </row>
        <row r="288">
          <cell r="A288">
            <v>34618</v>
          </cell>
          <cell r="W288">
            <v>1352.087433862434</v>
          </cell>
        </row>
        <row r="289">
          <cell r="A289">
            <v>34619</v>
          </cell>
          <cell r="W289">
            <v>1543.5813756613759</v>
          </cell>
        </row>
        <row r="290">
          <cell r="A290">
            <v>34620</v>
          </cell>
          <cell r="W290">
            <v>1776.3022751322751</v>
          </cell>
        </row>
        <row r="291">
          <cell r="A291">
            <v>34621</v>
          </cell>
          <cell r="W291">
            <v>2262.234417989418</v>
          </cell>
        </row>
        <row r="292">
          <cell r="A292">
            <v>34622</v>
          </cell>
          <cell r="W292">
            <v>1532.2548677248681</v>
          </cell>
        </row>
        <row r="293">
          <cell r="A293">
            <v>34623</v>
          </cell>
          <cell r="W293">
            <v>1571.5515079365077</v>
          </cell>
        </row>
        <row r="294">
          <cell r="A294">
            <v>34624</v>
          </cell>
          <cell r="W294">
            <v>1990.3913756613754</v>
          </cell>
        </row>
        <row r="295">
          <cell r="A295">
            <v>34625</v>
          </cell>
          <cell r="W295">
            <v>1617.6810582010582</v>
          </cell>
        </row>
        <row r="296">
          <cell r="A296">
            <v>34626</v>
          </cell>
          <cell r="W296">
            <v>1639.0870370370374</v>
          </cell>
        </row>
        <row r="297">
          <cell r="A297">
            <v>34627</v>
          </cell>
          <cell r="W297">
            <v>1671.2084656084653</v>
          </cell>
        </row>
        <row r="298">
          <cell r="A298">
            <v>34628</v>
          </cell>
          <cell r="W298">
            <v>1639.4675396825398</v>
          </cell>
        </row>
        <row r="299">
          <cell r="A299">
            <v>34629</v>
          </cell>
          <cell r="W299">
            <v>1529.0246031746035</v>
          </cell>
        </row>
        <row r="300">
          <cell r="A300">
            <v>34630</v>
          </cell>
          <cell r="W300">
            <v>1457.6387301587301</v>
          </cell>
        </row>
        <row r="301">
          <cell r="A301">
            <v>34631</v>
          </cell>
          <cell r="W301">
            <v>1127.5998677248676</v>
          </cell>
        </row>
        <row r="302">
          <cell r="A302">
            <v>34632</v>
          </cell>
          <cell r="W302">
            <v>1365.0381216931214</v>
          </cell>
        </row>
        <row r="303">
          <cell r="A303">
            <v>34633</v>
          </cell>
          <cell r="W303">
            <v>1618.1383333333338</v>
          </cell>
        </row>
        <row r="304">
          <cell r="A304">
            <v>34634</v>
          </cell>
          <cell r="W304">
            <v>1491.3659788359794</v>
          </cell>
        </row>
        <row r="305">
          <cell r="A305">
            <v>34635</v>
          </cell>
          <cell r="W305">
            <v>1373.2430423280425</v>
          </cell>
        </row>
        <row r="306">
          <cell r="A306">
            <v>34636</v>
          </cell>
          <cell r="W306">
            <v>1204.4674250440917</v>
          </cell>
        </row>
        <row r="307">
          <cell r="A307">
            <v>34637</v>
          </cell>
          <cell r="W307">
            <v>1384.5395238095239</v>
          </cell>
        </row>
        <row r="308">
          <cell r="A308">
            <v>34638</v>
          </cell>
          <cell r="W308">
            <v>1839.4816402116403</v>
          </cell>
        </row>
        <row r="309">
          <cell r="A309">
            <v>34639</v>
          </cell>
          <cell r="W309">
            <v>1123.6921957671957</v>
          </cell>
        </row>
        <row r="310">
          <cell r="A310">
            <v>34640</v>
          </cell>
          <cell r="W310">
            <v>1093.9788359788358</v>
          </cell>
        </row>
        <row r="311">
          <cell r="A311">
            <v>34641</v>
          </cell>
          <cell r="W311">
            <v>1185.8692328042328</v>
          </cell>
        </row>
        <row r="312">
          <cell r="A312">
            <v>34642</v>
          </cell>
          <cell r="W312">
            <v>971.35698412698446</v>
          </cell>
        </row>
        <row r="313">
          <cell r="A313">
            <v>34643</v>
          </cell>
          <cell r="W313">
            <v>1050.1558994708996</v>
          </cell>
        </row>
        <row r="314">
          <cell r="A314">
            <v>34644</v>
          </cell>
          <cell r="W314">
            <v>2864.479735449735</v>
          </cell>
        </row>
        <row r="315">
          <cell r="A315">
            <v>34645</v>
          </cell>
          <cell r="W315">
            <v>1394.7651587301591</v>
          </cell>
        </row>
        <row r="316">
          <cell r="A316">
            <v>34646</v>
          </cell>
          <cell r="W316">
            <v>1130.0090476190476</v>
          </cell>
        </row>
        <row r="317">
          <cell r="A317">
            <v>34647</v>
          </cell>
          <cell r="W317">
            <v>1353.4965079365079</v>
          </cell>
        </row>
        <row r="318">
          <cell r="A318">
            <v>34648</v>
          </cell>
          <cell r="W318">
            <v>1139.1274074074074</v>
          </cell>
        </row>
        <row r="319">
          <cell r="A319">
            <v>34649</v>
          </cell>
          <cell r="W319">
            <v>1473.9468783068785</v>
          </cell>
        </row>
        <row r="320">
          <cell r="A320">
            <v>34650</v>
          </cell>
          <cell r="W320">
            <v>1394.0225396825392</v>
          </cell>
        </row>
        <row r="321">
          <cell r="A321">
            <v>34651</v>
          </cell>
          <cell r="W321">
            <v>833.27296296296322</v>
          </cell>
        </row>
        <row r="322">
          <cell r="A322">
            <v>34652</v>
          </cell>
          <cell r="W322">
            <v>1318.5489417989418</v>
          </cell>
        </row>
        <row r="323">
          <cell r="A323">
            <v>34653</v>
          </cell>
          <cell r="W323">
            <v>1204.3617195767195</v>
          </cell>
        </row>
        <row r="324">
          <cell r="A324">
            <v>34654</v>
          </cell>
          <cell r="W324">
            <v>1244.9189682539682</v>
          </cell>
        </row>
        <row r="325">
          <cell r="A325">
            <v>34655</v>
          </cell>
          <cell r="W325">
            <v>1311.395185185185</v>
          </cell>
        </row>
        <row r="326">
          <cell r="A326">
            <v>34656</v>
          </cell>
          <cell r="W326">
            <v>1483.1279629629623</v>
          </cell>
        </row>
        <row r="327">
          <cell r="A327">
            <v>34657</v>
          </cell>
          <cell r="W327">
            <v>1379.9819576719576</v>
          </cell>
        </row>
        <row r="328">
          <cell r="A328">
            <v>34658</v>
          </cell>
          <cell r="W328">
            <v>1529.8354232804234</v>
          </cell>
        </row>
        <row r="329">
          <cell r="A329">
            <v>34659</v>
          </cell>
          <cell r="W329">
            <v>1256.8914021164019</v>
          </cell>
        </row>
        <row r="330">
          <cell r="A330">
            <v>34660</v>
          </cell>
          <cell r="W330">
            <v>1303.6082539682534</v>
          </cell>
        </row>
        <row r="331">
          <cell r="A331">
            <v>34661</v>
          </cell>
          <cell r="W331">
            <v>1140.6005820105822</v>
          </cell>
        </row>
        <row r="332">
          <cell r="A332">
            <v>34662</v>
          </cell>
          <cell r="W332">
            <v>1620.5388359788362</v>
          </cell>
        </row>
        <row r="333">
          <cell r="A333">
            <v>34663</v>
          </cell>
          <cell r="W333">
            <v>1453.2216666666668</v>
          </cell>
        </row>
        <row r="334">
          <cell r="A334">
            <v>34664</v>
          </cell>
          <cell r="W334">
            <v>1125.9959523809528</v>
          </cell>
        </row>
        <row r="335">
          <cell r="A335">
            <v>34665</v>
          </cell>
          <cell r="W335">
            <v>1129.8320105820108</v>
          </cell>
        </row>
        <row r="336">
          <cell r="A336">
            <v>34666</v>
          </cell>
          <cell r="W336">
            <v>1352.3067724867719</v>
          </cell>
        </row>
        <row r="337">
          <cell r="A337">
            <v>34667</v>
          </cell>
          <cell r="W337">
            <v>1345.9005291005294</v>
          </cell>
        </row>
        <row r="338">
          <cell r="A338">
            <v>34668</v>
          </cell>
          <cell r="W338">
            <v>1638.953888888889</v>
          </cell>
        </row>
        <row r="339">
          <cell r="A339">
            <v>34669</v>
          </cell>
          <cell r="W339">
            <v>1102.486587301587</v>
          </cell>
        </row>
        <row r="340">
          <cell r="A340">
            <v>34670</v>
          </cell>
          <cell r="W340">
            <v>1457.6699470899471</v>
          </cell>
        </row>
        <row r="341">
          <cell r="A341">
            <v>34671</v>
          </cell>
          <cell r="W341">
            <v>1268.1243121693124</v>
          </cell>
        </row>
        <row r="342">
          <cell r="A342">
            <v>34672</v>
          </cell>
          <cell r="W342">
            <v>1238.3203703703703</v>
          </cell>
        </row>
        <row r="343">
          <cell r="A343">
            <v>34673</v>
          </cell>
          <cell r="W343">
            <v>1347.36201058201</v>
          </cell>
        </row>
        <row r="344">
          <cell r="A344">
            <v>34674</v>
          </cell>
          <cell r="W344">
            <v>796.64449735449739</v>
          </cell>
        </row>
        <row r="345">
          <cell r="A345">
            <v>34675</v>
          </cell>
          <cell r="W345">
            <v>1228.0867195767196</v>
          </cell>
        </row>
        <row r="346">
          <cell r="A346">
            <v>34676</v>
          </cell>
          <cell r="W346">
            <v>1302.5205026455028</v>
          </cell>
        </row>
        <row r="347">
          <cell r="A347">
            <v>34677</v>
          </cell>
          <cell r="W347">
            <v>1186.2963227513221</v>
          </cell>
        </row>
        <row r="348">
          <cell r="A348">
            <v>34678</v>
          </cell>
          <cell r="W348">
            <v>1338.0609788359786</v>
          </cell>
        </row>
        <row r="349">
          <cell r="A349">
            <v>34679</v>
          </cell>
          <cell r="W349">
            <v>1038.6239947089946</v>
          </cell>
        </row>
        <row r="350">
          <cell r="A350">
            <v>34680</v>
          </cell>
          <cell r="W350">
            <v>1443.5101322751323</v>
          </cell>
        </row>
        <row r="351">
          <cell r="A351">
            <v>34681</v>
          </cell>
          <cell r="W351">
            <v>1282.4616402116405</v>
          </cell>
        </row>
        <row r="352">
          <cell r="A352">
            <v>34682</v>
          </cell>
          <cell r="W352">
            <v>1046.603386243386</v>
          </cell>
        </row>
        <row r="353">
          <cell r="A353">
            <v>34683</v>
          </cell>
          <cell r="W353">
            <v>883.77539682539668</v>
          </cell>
        </row>
        <row r="354">
          <cell r="A354">
            <v>34684</v>
          </cell>
          <cell r="W354">
            <v>984.35074074074043</v>
          </cell>
        </row>
        <row r="355">
          <cell r="A355">
            <v>34685</v>
          </cell>
          <cell r="W355">
            <v>1042.254365079365</v>
          </cell>
        </row>
        <row r="356">
          <cell r="A356">
            <v>34686</v>
          </cell>
          <cell r="W356">
            <v>1290.5782275132278</v>
          </cell>
        </row>
        <row r="357">
          <cell r="A357">
            <v>34687</v>
          </cell>
          <cell r="W357">
            <v>1348.8227513227514</v>
          </cell>
        </row>
        <row r="358">
          <cell r="A358">
            <v>34688</v>
          </cell>
          <cell r="W358">
            <v>1348.8227513227512</v>
          </cell>
        </row>
        <row r="359">
          <cell r="A359">
            <v>34689</v>
          </cell>
          <cell r="W359">
            <v>1572.9318253968254</v>
          </cell>
        </row>
        <row r="360">
          <cell r="A360">
            <v>34690</v>
          </cell>
          <cell r="W360">
            <v>1572.9318253968254</v>
          </cell>
        </row>
        <row r="361">
          <cell r="A361">
            <v>34691</v>
          </cell>
          <cell r="W361">
            <v>527.5642328042328</v>
          </cell>
        </row>
        <row r="362">
          <cell r="A362">
            <v>34692</v>
          </cell>
          <cell r="W362">
            <v>1714.7144179894176</v>
          </cell>
        </row>
        <row r="363">
          <cell r="A363">
            <v>34693</v>
          </cell>
          <cell r="W363">
            <v>1418.9419047619053</v>
          </cell>
        </row>
        <row r="364">
          <cell r="A364">
            <v>34694</v>
          </cell>
          <cell r="W364">
            <v>1639.6722486772483</v>
          </cell>
        </row>
        <row r="365">
          <cell r="A365">
            <v>34695</v>
          </cell>
          <cell r="W365">
            <v>1668.4033862433866</v>
          </cell>
        </row>
        <row r="366">
          <cell r="A366">
            <v>34696</v>
          </cell>
          <cell r="W366">
            <v>1960.8208201058194</v>
          </cell>
        </row>
        <row r="367">
          <cell r="A367">
            <v>34697</v>
          </cell>
          <cell r="W367">
            <v>1109.1996825396825</v>
          </cell>
        </row>
        <row r="368">
          <cell r="A368">
            <v>34698</v>
          </cell>
          <cell r="W368">
            <v>1270.713227513228</v>
          </cell>
        </row>
        <row r="369">
          <cell r="A369">
            <v>34699</v>
          </cell>
          <cell r="W369">
            <v>1550.4763492063491</v>
          </cell>
        </row>
        <row r="394">
          <cell r="F394" t="str">
            <v>H2</v>
          </cell>
          <cell r="G394" t="str">
            <v>C1</v>
          </cell>
          <cell r="H394" t="str">
            <v>C2</v>
          </cell>
          <cell r="I394" t="str">
            <v>C2=</v>
          </cell>
          <cell r="J394" t="str">
            <v>C3</v>
          </cell>
          <cell r="K394" t="str">
            <v>C3=</v>
          </cell>
          <cell r="L394" t="str">
            <v>IC4</v>
          </cell>
          <cell r="M394" t="str">
            <v>NC4</v>
          </cell>
          <cell r="N394" t="str">
            <v>B=1</v>
          </cell>
          <cell r="O394" t="str">
            <v>IC4=</v>
          </cell>
          <cell r="P394" t="str">
            <v>B2L</v>
          </cell>
          <cell r="Q394" t="str">
            <v>B2H</v>
          </cell>
          <cell r="R394" t="str">
            <v>1,3BD</v>
          </cell>
          <cell r="S394" t="str">
            <v>C5's</v>
          </cell>
        </row>
        <row r="395">
          <cell r="A395" t="str">
            <v>JAN</v>
          </cell>
          <cell r="Y395">
            <v>42019.419354838712</v>
          </cell>
          <cell r="Z395">
            <v>10975.322580645161</v>
          </cell>
          <cell r="AA395">
            <v>20282.516129032258</v>
          </cell>
          <cell r="AB395">
            <v>2564.5957800000001</v>
          </cell>
        </row>
        <row r="396">
          <cell r="A396" t="str">
            <v>FEB</v>
          </cell>
          <cell r="Y396">
            <v>15786.929555261453</v>
          </cell>
          <cell r="Z396">
            <v>4643.3000848185129</v>
          </cell>
          <cell r="AA396">
            <v>27834.684422420021</v>
          </cell>
          <cell r="AB396">
            <v>3206.9595727394671</v>
          </cell>
        </row>
        <row r="397">
          <cell r="A397" t="str">
            <v>MAR</v>
          </cell>
          <cell r="Y397">
            <v>13621.165894553167</v>
          </cell>
          <cell r="Z397">
            <v>3402.9026513348158</v>
          </cell>
          <cell r="AA397">
            <v>19173.899196047496</v>
          </cell>
          <cell r="AB397">
            <v>2215.2425099364391</v>
          </cell>
        </row>
        <row r="398">
          <cell r="A398" t="str">
            <v>APR</v>
          </cell>
          <cell r="Y398">
            <v>9660.4486799349761</v>
          </cell>
          <cell r="Z398">
            <v>2124.8846150833642</v>
          </cell>
          <cell r="AA398">
            <v>27832.20003831499</v>
          </cell>
          <cell r="AB398">
            <v>3131.1333046751961</v>
          </cell>
        </row>
        <row r="399">
          <cell r="A399" t="str">
            <v>MAY</v>
          </cell>
          <cell r="Y399">
            <v>22957.978486966844</v>
          </cell>
          <cell r="Z399">
            <v>5310.9307123696817</v>
          </cell>
          <cell r="AA399">
            <v>42934.058542598948</v>
          </cell>
          <cell r="AB399">
            <v>4891.0905133509204</v>
          </cell>
        </row>
        <row r="400">
          <cell r="A400" t="str">
            <v>JUN</v>
          </cell>
          <cell r="Y400">
            <v>21528.852599819074</v>
          </cell>
          <cell r="Z400">
            <v>6271.4345466495151</v>
          </cell>
          <cell r="AA400">
            <v>58683.87952019809</v>
          </cell>
          <cell r="AB400">
            <v>6655.6933983205172</v>
          </cell>
        </row>
        <row r="401">
          <cell r="A401" t="str">
            <v>JUL</v>
          </cell>
          <cell r="Y401">
            <v>16275.43998462888</v>
          </cell>
          <cell r="Z401">
            <v>2895.8063155090331</v>
          </cell>
          <cell r="AA401">
            <v>66057.979506313699</v>
          </cell>
          <cell r="AB401">
            <v>7367.1241108561035</v>
          </cell>
        </row>
        <row r="402">
          <cell r="A402" t="str">
            <v>AUG</v>
          </cell>
          <cell r="Y402">
            <v>19206.478437705413</v>
          </cell>
          <cell r="Z402">
            <v>7593.8929177326982</v>
          </cell>
          <cell r="AA402">
            <v>43381.660902626412</v>
          </cell>
          <cell r="AB402">
            <v>5008.9096356104355</v>
          </cell>
        </row>
        <row r="403">
          <cell r="A403" t="str">
            <v>SEP</v>
          </cell>
          <cell r="Y403">
            <v>12849.132293238035</v>
          </cell>
          <cell r="Z403">
            <v>7969.5041345913642</v>
          </cell>
          <cell r="AA403">
            <v>54634.26357217061</v>
          </cell>
          <cell r="AB403">
            <v>6260.3273123266617</v>
          </cell>
        </row>
        <row r="404">
          <cell r="A404" t="str">
            <v>OCT</v>
          </cell>
          <cell r="Y404">
            <v>13049.942508877235</v>
          </cell>
          <cell r="Z404">
            <v>7079.0472074992649</v>
          </cell>
          <cell r="AA404">
            <v>46704.526412655752</v>
          </cell>
          <cell r="AB404">
            <v>5359.6772721637699</v>
          </cell>
        </row>
        <row r="405">
          <cell r="A405" t="str">
            <v>NOV</v>
          </cell>
          <cell r="Y405">
            <v>13203.076535497528</v>
          </cell>
          <cell r="Z405">
            <v>6429.7384610880217</v>
          </cell>
          <cell r="AA405">
            <v>29173.985003414451</v>
          </cell>
          <cell r="AB405">
            <v>3408.157041058947</v>
          </cell>
        </row>
        <row r="406">
          <cell r="A406" t="str">
            <v>DEC</v>
          </cell>
          <cell r="Y406">
            <v>10046.818389497728</v>
          </cell>
          <cell r="Z406">
            <v>6356.8613961930059</v>
          </cell>
          <cell r="AA406">
            <v>22185.933117535074</v>
          </cell>
          <cell r="AB406">
            <v>2635.8175307693309</v>
          </cell>
        </row>
        <row r="407">
          <cell r="L407">
            <v>4149.1842351887526</v>
          </cell>
          <cell r="M407">
            <v>3210.2867174109761</v>
          </cell>
          <cell r="N407">
            <v>6340.1622457234334</v>
          </cell>
          <cell r="O407">
            <v>6649.9613233457176</v>
          </cell>
          <cell r="P407">
            <v>2887.8964052573047</v>
          </cell>
          <cell r="Q407">
            <v>2941.382928087623</v>
          </cell>
          <cell r="R407">
            <v>8502.9895938941372</v>
          </cell>
          <cell r="S407">
            <v>3558.1020813693726</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row r="13">
          <cell r="B13">
            <v>984.87</v>
          </cell>
          <cell r="D13">
            <v>2452.6</v>
          </cell>
        </row>
        <row r="14">
          <cell r="B14">
            <v>1087.33</v>
          </cell>
          <cell r="D14">
            <v>2217.8000000000002</v>
          </cell>
        </row>
        <row r="15">
          <cell r="B15">
            <v>1448</v>
          </cell>
          <cell r="D15">
            <v>2829.1</v>
          </cell>
        </row>
        <row r="16">
          <cell r="B16">
            <v>2955.26</v>
          </cell>
          <cell r="D16">
            <v>7488.9</v>
          </cell>
        </row>
        <row r="17">
          <cell r="B17">
            <v>4792.5799400000005</v>
          </cell>
          <cell r="D17">
            <v>11268.099999999999</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4 Sewers 4,7,5"/>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nk Summary"/>
      <sheetName val="Product Summary"/>
      <sheetName val="Tank Summary "/>
      <sheetName val="Tank Product Summary "/>
      <sheetName val="Tank Product Summary-orig "/>
      <sheetName val="Pressurized Tanks "/>
      <sheetName val="Regulation Info "/>
      <sheetName val="Sheet3"/>
      <sheetName val="Sheet1"/>
      <sheetName val="Tbl 1 Tanks"/>
      <sheetName val="Loading Summary"/>
      <sheetName val="TCEQ Tank Summary"/>
    </sheetNames>
    <sheetDataSet>
      <sheetData sheetId="0" refreshError="1"/>
      <sheetData sheetId="1" refreshError="1"/>
      <sheetData sheetId="2"/>
      <sheetData sheetId="3"/>
      <sheetData sheetId="4" refreshError="1"/>
      <sheetData sheetId="5" refreshError="1"/>
      <sheetData sheetId="6"/>
      <sheetData sheetId="7" refreshError="1"/>
      <sheetData sheetId="8" refreshError="1"/>
      <sheetData sheetId="9" refreshError="1"/>
      <sheetData sheetId="10" refreshError="1"/>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ing"/>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5FlareEmission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ling"/>
      <sheetName val="22055 MERA_Flowchart"/>
      <sheetName val="A-3 Flare (2)"/>
      <sheetName val="22055 Amendment Notes"/>
      <sheetName val="Table 1(a)"/>
      <sheetName val="Table 1-1 Net Diff"/>
      <sheetName val="Index"/>
      <sheetName val="A-3 Flare"/>
      <sheetName val="A-1 Tanks"/>
      <sheetName val="A-2 Process Fugitives"/>
      <sheetName val="A-4 Sewers 4,7,5"/>
      <sheetName val="A-5 Sewer 6"/>
      <sheetName val="C-1 Maint Calcs - MAOL"/>
      <sheetName val="C-4 Maint Calcs - IPL"/>
      <sheetName val="C-3 Maint Calcs - AMOL"/>
      <sheetName val="C-2 Maint Calcs - IBU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P Summary Table"/>
      <sheetName val="Summary Table"/>
      <sheetName val="CALC-Floating Roof Monthly"/>
      <sheetName val="Floating Roof Inputs"/>
      <sheetName val="FltR FF"/>
      <sheetName val="CALC-Tanks Fixed Roof Monthly"/>
      <sheetName val="New Fixed Roof Inputs"/>
      <sheetName val="Floating Roof Throughput"/>
      <sheetName val="Floating Roof Temperatures"/>
      <sheetName val="Floating Roof MultiComp"/>
      <sheetName val="Floating Roof Vapor Pressures"/>
      <sheetName val="Fixed Roof Throughputs"/>
      <sheetName val="Fixed Roof Temperatures"/>
      <sheetName val="Fixed Roof MultiComp"/>
      <sheetName val="Fixed Roof Vapor Pressures"/>
      <sheetName val="FltR Diameter "/>
      <sheetName val="Antoine_coefficient_table"/>
      <sheetName val="AP-42 Flt Roof Tbls"/>
      <sheetName val="Weather Data"/>
      <sheetName val="Reference - Tanks"/>
      <sheetName val="Phys Prop"/>
      <sheetName val="Location XRef"/>
      <sheetName val="Antoine Coeff Calc"/>
      <sheetName val="High Prarie Crude MW"/>
      <sheetName val="AWB Crude MW"/>
      <sheetName val="Bakken Crude MW"/>
    </sheetNames>
    <sheetDataSet>
      <sheetData sheetId="0"/>
      <sheetData sheetId="1"/>
      <sheetData sheetId="2">
        <row r="13">
          <cell r="D13" t="str">
            <v>EXTANK 105</v>
          </cell>
        </row>
      </sheetData>
      <sheetData sheetId="3">
        <row r="8">
          <cell r="C8" t="str">
            <v>EXTANK 105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
          <cell r="N6" t="str">
            <v>Cone</v>
          </cell>
        </row>
        <row r="7">
          <cell r="N7" t="str">
            <v>Dome</v>
          </cell>
        </row>
        <row r="8">
          <cell r="N8" t="str">
            <v>Horizontal</v>
          </cell>
        </row>
      </sheetData>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F2990-4900-4DDF-A542-4CB08AD6214A}">
  <sheetPr codeName="Sheet29">
    <tabColor theme="1"/>
  </sheetPr>
  <dimension ref="A1"/>
  <sheetViews>
    <sheetView tabSelected="1" workbookViewId="0">
      <selection activeCell="E11" sqref="E11"/>
    </sheetView>
  </sheetViews>
  <sheetFormatPr defaultColWidth="8.84375" defaultRowHeight="14.6" x14ac:dyDescent="0.4"/>
  <sheetData>
    <row r="1" spans="1:1" x14ac:dyDescent="0.4">
      <c r="A1" t="s">
        <v>2054</v>
      </c>
    </row>
  </sheetData>
  <sheetProtection algorithmName="SHA-512" hashValue="2l+xCV1YXqVwxbs/BvJvWqaIfBhf6VqLyUvEYpSeLmM7kGGCyihrQpZb+7/U+xIkEtmYYmAXIuVn75pO9ns0eA==" saltValue="1fBV8eX3DPLIwds+Q88gvg=="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E233A-0348-4D6A-9435-81B86A740C0A}">
  <sheetPr codeName="Sheet9">
    <tabColor theme="4" tint="-0.499984740745262"/>
  </sheetPr>
  <dimension ref="A2:X20"/>
  <sheetViews>
    <sheetView workbookViewId="0">
      <pane xSplit="3" ySplit="7" topLeftCell="D9" activePane="bottomRight" state="frozen"/>
      <selection activeCell="J5" sqref="J5"/>
      <selection pane="topRight" activeCell="J5" sqref="J5"/>
      <selection pane="bottomLeft" activeCell="J5" sqref="J5"/>
      <selection pane="bottomRight" activeCell="J5" sqref="J5"/>
    </sheetView>
  </sheetViews>
  <sheetFormatPr defaultColWidth="8.84375" defaultRowHeight="14.6" x14ac:dyDescent="0.4"/>
  <cols>
    <col min="2" max="2" width="16.15234375" customWidth="1"/>
    <col min="3" max="3" width="13.4609375" customWidth="1"/>
    <col min="4" max="4" width="9.84375" bestFit="1" customWidth="1"/>
    <col min="5" max="5" width="10.15234375" bestFit="1" customWidth="1"/>
    <col min="7" max="7" width="13.4609375" customWidth="1"/>
    <col min="8" max="8" width="9.15234375" style="34"/>
    <col min="9" max="13" width="16.69140625" customWidth="1"/>
    <col min="14" max="22" width="17.15234375" customWidth="1"/>
    <col min="24" max="24" width="9" style="8" customWidth="1"/>
  </cols>
  <sheetData>
    <row r="2" spans="1:24" ht="18.45" x14ac:dyDescent="0.5">
      <c r="B2" s="15" t="s">
        <v>1608</v>
      </c>
    </row>
    <row r="3" spans="1:24" ht="18.899999999999999" thickBot="1" x14ac:dyDescent="0.55000000000000004">
      <c r="B3" s="15"/>
    </row>
    <row r="4" spans="1:24" x14ac:dyDescent="0.4">
      <c r="B4" s="445" t="s">
        <v>100</v>
      </c>
      <c r="C4" s="509"/>
      <c r="D4" s="446"/>
      <c r="E4" s="509" t="s">
        <v>1</v>
      </c>
      <c r="F4" s="509"/>
      <c r="G4" s="509"/>
      <c r="H4" s="509"/>
      <c r="I4" s="509"/>
      <c r="J4" s="509"/>
      <c r="K4" s="509"/>
      <c r="L4" s="509"/>
      <c r="M4" s="509"/>
      <c r="N4" s="509"/>
      <c r="O4" s="509"/>
      <c r="P4" s="509"/>
      <c r="Q4" s="509"/>
      <c r="R4" s="509"/>
      <c r="S4" s="509"/>
      <c r="T4" s="509"/>
      <c r="U4" s="509"/>
      <c r="V4" s="446"/>
      <c r="X4" s="42" t="s">
        <v>218</v>
      </c>
    </row>
    <row r="5" spans="1:24" ht="15" thickBot="1" x14ac:dyDescent="0.45">
      <c r="B5" s="510"/>
      <c r="C5" s="511"/>
      <c r="D5" s="512"/>
      <c r="E5" s="511"/>
      <c r="F5" s="511"/>
      <c r="G5" s="511"/>
      <c r="H5" s="511"/>
      <c r="I5" s="511"/>
      <c r="J5" s="511"/>
      <c r="K5" s="511"/>
      <c r="L5" s="511"/>
      <c r="M5" s="511"/>
      <c r="N5" s="511"/>
      <c r="O5" s="511"/>
      <c r="P5" s="511"/>
      <c r="Q5" s="511"/>
      <c r="R5" s="511"/>
      <c r="S5" s="511"/>
      <c r="T5" s="511"/>
      <c r="U5" s="511"/>
      <c r="V5" s="512"/>
      <c r="X5" s="42"/>
    </row>
    <row r="6" spans="1:24" ht="63" customHeight="1" x14ac:dyDescent="0.4">
      <c r="B6" s="513" t="s">
        <v>222</v>
      </c>
      <c r="C6" s="515" t="s">
        <v>223</v>
      </c>
      <c r="D6" s="517" t="s">
        <v>4</v>
      </c>
      <c r="E6" s="519" t="s">
        <v>5</v>
      </c>
      <c r="F6" s="1" t="s">
        <v>6</v>
      </c>
      <c r="G6" s="1" t="s">
        <v>1573</v>
      </c>
      <c r="H6" s="65" t="s">
        <v>67</v>
      </c>
      <c r="I6" s="515" t="s">
        <v>8</v>
      </c>
      <c r="J6" s="515" t="s">
        <v>9</v>
      </c>
      <c r="K6" s="515" t="s">
        <v>10</v>
      </c>
      <c r="L6" s="515" t="s">
        <v>11</v>
      </c>
      <c r="M6" s="515" t="s">
        <v>1634</v>
      </c>
      <c r="N6" s="515" t="s">
        <v>1578</v>
      </c>
      <c r="O6" s="515" t="s">
        <v>1580</v>
      </c>
      <c r="P6" s="515" t="s">
        <v>1746</v>
      </c>
      <c r="Q6" s="515" t="s">
        <v>1579</v>
      </c>
      <c r="R6" s="515" t="s">
        <v>1586</v>
      </c>
      <c r="S6" s="515" t="s">
        <v>1597</v>
      </c>
      <c r="T6" s="515" t="s">
        <v>1600</v>
      </c>
      <c r="U6" s="515" t="s">
        <v>1604</v>
      </c>
      <c r="V6" s="517" t="s">
        <v>1607</v>
      </c>
      <c r="X6" s="42"/>
    </row>
    <row r="7" spans="1:24" ht="15" thickBot="1" x14ac:dyDescent="0.45">
      <c r="B7" s="514"/>
      <c r="C7" s="516"/>
      <c r="D7" s="518"/>
      <c r="E7" s="520"/>
      <c r="F7" s="3" t="s">
        <v>19</v>
      </c>
      <c r="G7" s="3" t="s">
        <v>19</v>
      </c>
      <c r="H7" s="35" t="s">
        <v>20</v>
      </c>
      <c r="I7" s="516"/>
      <c r="J7" s="516"/>
      <c r="K7" s="516"/>
      <c r="L7" s="516"/>
      <c r="M7" s="516"/>
      <c r="N7" s="516"/>
      <c r="O7" s="516"/>
      <c r="P7" s="516"/>
      <c r="Q7" s="516"/>
      <c r="R7" s="516"/>
      <c r="S7" s="516"/>
      <c r="T7" s="516"/>
      <c r="U7" s="516"/>
      <c r="V7" s="518"/>
      <c r="X7" s="42"/>
    </row>
    <row r="8" spans="1:24" s="8" customFormat="1" ht="43.75" x14ac:dyDescent="0.4">
      <c r="B8" s="121" t="str">
        <f t="shared" ref="B8:B17" si="0">"FLT - "&amp;X8</f>
        <v>FLT - 1</v>
      </c>
      <c r="C8" s="333" t="s">
        <v>1907</v>
      </c>
      <c r="D8" s="122" t="s">
        <v>61</v>
      </c>
      <c r="E8" s="120" t="s">
        <v>1572</v>
      </c>
      <c r="F8" s="118">
        <v>139</v>
      </c>
      <c r="G8" s="118">
        <v>48</v>
      </c>
      <c r="H8" s="116">
        <f>F8*F8*PI()/4*G8</f>
        <v>728384.53992010071</v>
      </c>
      <c r="I8" s="118" t="s">
        <v>28</v>
      </c>
      <c r="J8" s="118" t="s">
        <v>90</v>
      </c>
      <c r="K8" s="118" t="s">
        <v>28</v>
      </c>
      <c r="L8" s="118" t="s">
        <v>90</v>
      </c>
      <c r="M8" s="118" t="s">
        <v>1636</v>
      </c>
      <c r="N8" s="118" t="s">
        <v>1574</v>
      </c>
      <c r="O8" s="118" t="s">
        <v>1550</v>
      </c>
      <c r="P8" s="118" t="s">
        <v>1743</v>
      </c>
      <c r="Q8" s="118" t="s">
        <v>1584</v>
      </c>
      <c r="R8" s="118" t="s">
        <v>1590</v>
      </c>
      <c r="S8" s="118" t="s">
        <v>90</v>
      </c>
      <c r="T8" s="118" t="s">
        <v>1605</v>
      </c>
      <c r="U8" s="119" t="s">
        <v>1559</v>
      </c>
      <c r="V8" s="129"/>
      <c r="X8" s="42">
        <v>1</v>
      </c>
    </row>
    <row r="9" spans="1:24" s="8" customFormat="1" ht="43.75" x14ac:dyDescent="0.4">
      <c r="B9" s="106" t="str">
        <f t="shared" si="0"/>
        <v>FLT - 2</v>
      </c>
      <c r="C9" s="108" t="s">
        <v>1908</v>
      </c>
      <c r="D9" s="110" t="s">
        <v>61</v>
      </c>
      <c r="E9" s="103" t="s">
        <v>1572</v>
      </c>
      <c r="F9" s="99">
        <v>139</v>
      </c>
      <c r="G9" s="99">
        <v>48</v>
      </c>
      <c r="H9" s="104">
        <f t="shared" ref="H9:H17" si="1">F9*F9*PI()/4*G9</f>
        <v>728384.53992010071</v>
      </c>
      <c r="I9" s="99" t="s">
        <v>28</v>
      </c>
      <c r="J9" s="99" t="s">
        <v>90</v>
      </c>
      <c r="K9" s="99" t="s">
        <v>28</v>
      </c>
      <c r="L9" s="99" t="s">
        <v>90</v>
      </c>
      <c r="M9" s="99" t="s">
        <v>1636</v>
      </c>
      <c r="N9" s="99" t="s">
        <v>1574</v>
      </c>
      <c r="O9" s="99" t="s">
        <v>1550</v>
      </c>
      <c r="P9" s="99" t="s">
        <v>1743</v>
      </c>
      <c r="Q9" s="99" t="s">
        <v>1584</v>
      </c>
      <c r="R9" s="99" t="s">
        <v>1590</v>
      </c>
      <c r="S9" s="99" t="s">
        <v>90</v>
      </c>
      <c r="T9" s="99" t="s">
        <v>1605</v>
      </c>
      <c r="U9" s="101" t="s">
        <v>1559</v>
      </c>
      <c r="V9" s="130"/>
      <c r="X9" s="42">
        <v>2</v>
      </c>
    </row>
    <row r="10" spans="1:24" ht="43.75" x14ac:dyDescent="0.4">
      <c r="A10" s="8"/>
      <c r="B10" s="106" t="str">
        <f t="shared" si="0"/>
        <v>FLT - 3</v>
      </c>
      <c r="C10" s="108" t="s">
        <v>1909</v>
      </c>
      <c r="D10" s="110" t="s">
        <v>61</v>
      </c>
      <c r="E10" s="117" t="s">
        <v>1572</v>
      </c>
      <c r="F10" s="115">
        <v>32</v>
      </c>
      <c r="G10" s="115">
        <v>32</v>
      </c>
      <c r="H10" s="114">
        <f t="shared" si="1"/>
        <v>25735.927018207585</v>
      </c>
      <c r="I10" s="99" t="s">
        <v>1917</v>
      </c>
      <c r="J10" s="99" t="s">
        <v>90</v>
      </c>
      <c r="K10" s="99" t="s">
        <v>1917</v>
      </c>
      <c r="L10" s="99" t="s">
        <v>90</v>
      </c>
      <c r="M10" s="99" t="s">
        <v>1636</v>
      </c>
      <c r="N10" s="99" t="s">
        <v>1574</v>
      </c>
      <c r="O10" s="99" t="s">
        <v>1550</v>
      </c>
      <c r="P10" s="99" t="s">
        <v>1743</v>
      </c>
      <c r="Q10" s="99" t="s">
        <v>1584</v>
      </c>
      <c r="R10" s="99" t="s">
        <v>1590</v>
      </c>
      <c r="S10" s="99" t="s">
        <v>90</v>
      </c>
      <c r="T10" s="99" t="s">
        <v>1605</v>
      </c>
      <c r="U10" s="101" t="s">
        <v>1559</v>
      </c>
      <c r="V10" s="130"/>
      <c r="X10" s="42">
        <v>3</v>
      </c>
    </row>
    <row r="11" spans="1:24" ht="43.75" x14ac:dyDescent="0.4">
      <c r="A11" s="8"/>
      <c r="B11" s="106" t="str">
        <f t="shared" si="0"/>
        <v>FLT - 4</v>
      </c>
      <c r="C11" s="108" t="s">
        <v>1910</v>
      </c>
      <c r="D11" s="110" t="s">
        <v>61</v>
      </c>
      <c r="E11" s="112" t="s">
        <v>1572</v>
      </c>
      <c r="F11" s="99">
        <v>144</v>
      </c>
      <c r="G11" s="99">
        <v>45</v>
      </c>
      <c r="H11" s="104">
        <f t="shared" si="1"/>
        <v>732870.73422942695</v>
      </c>
      <c r="I11" s="99" t="s">
        <v>28</v>
      </c>
      <c r="J11" s="99" t="s">
        <v>90</v>
      </c>
      <c r="K11" s="99" t="s">
        <v>28</v>
      </c>
      <c r="L11" s="99" t="s">
        <v>90</v>
      </c>
      <c r="M11" s="99" t="s">
        <v>1636</v>
      </c>
      <c r="N11" s="99" t="s">
        <v>1576</v>
      </c>
      <c r="O11" s="99" t="s">
        <v>1550</v>
      </c>
      <c r="P11" s="99" t="s">
        <v>1743</v>
      </c>
      <c r="Q11" s="99" t="s">
        <v>1582</v>
      </c>
      <c r="R11" s="99" t="s">
        <v>1590</v>
      </c>
      <c r="S11" s="99" t="s">
        <v>90</v>
      </c>
      <c r="T11" s="99" t="s">
        <v>1603</v>
      </c>
      <c r="U11" s="101" t="s">
        <v>1557</v>
      </c>
      <c r="V11" s="130"/>
      <c r="X11" s="42">
        <v>4</v>
      </c>
    </row>
    <row r="12" spans="1:24" ht="43.75" x14ac:dyDescent="0.4">
      <c r="A12" s="8"/>
      <c r="B12" s="106" t="str">
        <f t="shared" si="0"/>
        <v>FLT - 5</v>
      </c>
      <c r="C12" s="108" t="s">
        <v>1911</v>
      </c>
      <c r="D12" s="110" t="s">
        <v>61</v>
      </c>
      <c r="E12" s="112" t="s">
        <v>1572</v>
      </c>
      <c r="F12" s="99">
        <v>120</v>
      </c>
      <c r="G12" s="99">
        <v>39</v>
      </c>
      <c r="H12" s="104">
        <f t="shared" si="1"/>
        <v>441079.60856400692</v>
      </c>
      <c r="I12" s="99" t="s">
        <v>28</v>
      </c>
      <c r="J12" s="99" t="s">
        <v>90</v>
      </c>
      <c r="K12" s="99" t="s">
        <v>28</v>
      </c>
      <c r="L12" s="99" t="s">
        <v>90</v>
      </c>
      <c r="M12" s="99" t="s">
        <v>1636</v>
      </c>
      <c r="N12" s="99" t="s">
        <v>1576</v>
      </c>
      <c r="O12" s="99" t="s">
        <v>1550</v>
      </c>
      <c r="P12" s="99" t="s">
        <v>1743</v>
      </c>
      <c r="Q12" s="99" t="s">
        <v>1582</v>
      </c>
      <c r="R12" s="99" t="s">
        <v>1590</v>
      </c>
      <c r="S12" s="99" t="s">
        <v>90</v>
      </c>
      <c r="T12" s="99" t="s">
        <v>1603</v>
      </c>
      <c r="U12" s="101" t="s">
        <v>1557</v>
      </c>
      <c r="V12" s="130"/>
      <c r="X12" s="42">
        <v>5</v>
      </c>
    </row>
    <row r="13" spans="1:24" ht="43.75" x14ac:dyDescent="0.4">
      <c r="A13" s="8"/>
      <c r="B13" s="106" t="str">
        <f t="shared" si="0"/>
        <v>FLT - 6</v>
      </c>
      <c r="C13" s="108" t="s">
        <v>1912</v>
      </c>
      <c r="D13" s="110" t="s">
        <v>61</v>
      </c>
      <c r="E13" s="112" t="s">
        <v>1572</v>
      </c>
      <c r="F13" s="99">
        <v>80</v>
      </c>
      <c r="G13" s="99">
        <v>40</v>
      </c>
      <c r="H13" s="104">
        <f t="shared" si="1"/>
        <v>201061.92982974678</v>
      </c>
      <c r="I13" s="99" t="s">
        <v>28</v>
      </c>
      <c r="J13" s="99" t="s">
        <v>90</v>
      </c>
      <c r="K13" s="99" t="s">
        <v>28</v>
      </c>
      <c r="L13" s="99" t="s">
        <v>90</v>
      </c>
      <c r="M13" s="99" t="s">
        <v>1636</v>
      </c>
      <c r="N13" s="99" t="s">
        <v>1576</v>
      </c>
      <c r="O13" s="99" t="s">
        <v>1550</v>
      </c>
      <c r="P13" s="99" t="s">
        <v>1743</v>
      </c>
      <c r="Q13" s="99" t="s">
        <v>1582</v>
      </c>
      <c r="R13" s="99" t="s">
        <v>1590</v>
      </c>
      <c r="S13" s="99" t="s">
        <v>90</v>
      </c>
      <c r="T13" s="99" t="s">
        <v>1603</v>
      </c>
      <c r="U13" s="101" t="s">
        <v>1557</v>
      </c>
      <c r="V13" s="130"/>
      <c r="X13" s="42">
        <v>6</v>
      </c>
    </row>
    <row r="14" spans="1:24" ht="43.75" x14ac:dyDescent="0.4">
      <c r="B14" s="106" t="str">
        <f t="shared" si="0"/>
        <v>FLT - 7</v>
      </c>
      <c r="C14" s="108" t="s">
        <v>1913</v>
      </c>
      <c r="D14" s="110" t="s">
        <v>61</v>
      </c>
      <c r="E14" s="112" t="s">
        <v>1572</v>
      </c>
      <c r="F14" s="99">
        <v>48</v>
      </c>
      <c r="G14" s="99">
        <v>30</v>
      </c>
      <c r="H14" s="104">
        <f t="shared" si="1"/>
        <v>54286.721054031623</v>
      </c>
      <c r="I14" s="99" t="s">
        <v>1917</v>
      </c>
      <c r="J14" s="99" t="s">
        <v>90</v>
      </c>
      <c r="K14" s="99" t="s">
        <v>1917</v>
      </c>
      <c r="L14" s="99" t="s">
        <v>90</v>
      </c>
      <c r="M14" s="99" t="s">
        <v>1636</v>
      </c>
      <c r="N14" s="99" t="s">
        <v>1576</v>
      </c>
      <c r="O14" s="99" t="s">
        <v>1550</v>
      </c>
      <c r="P14" s="99" t="s">
        <v>1743</v>
      </c>
      <c r="Q14" s="99" t="s">
        <v>1582</v>
      </c>
      <c r="R14" s="99" t="s">
        <v>1590</v>
      </c>
      <c r="S14" s="99" t="s">
        <v>90</v>
      </c>
      <c r="T14" s="99" t="s">
        <v>1603</v>
      </c>
      <c r="U14" s="101" t="s">
        <v>1557</v>
      </c>
      <c r="V14" s="130"/>
      <c r="X14" s="42">
        <v>7</v>
      </c>
    </row>
    <row r="15" spans="1:24" ht="43.75" x14ac:dyDescent="0.4">
      <c r="B15" s="106" t="str">
        <f t="shared" si="0"/>
        <v>FLT - 8</v>
      </c>
      <c r="C15" s="108" t="s">
        <v>1914</v>
      </c>
      <c r="D15" s="110" t="s">
        <v>61</v>
      </c>
      <c r="E15" s="112" t="s">
        <v>1572</v>
      </c>
      <c r="F15" s="99">
        <v>144</v>
      </c>
      <c r="G15" s="99">
        <v>46</v>
      </c>
      <c r="H15" s="104">
        <f t="shared" si="1"/>
        <v>749156.7505456364</v>
      </c>
      <c r="I15" s="99" t="s">
        <v>28</v>
      </c>
      <c r="J15" s="99" t="s">
        <v>90</v>
      </c>
      <c r="K15" s="99" t="s">
        <v>28</v>
      </c>
      <c r="L15" s="99" t="s">
        <v>90</v>
      </c>
      <c r="M15" s="99" t="s">
        <v>1636</v>
      </c>
      <c r="N15" s="99" t="s">
        <v>1576</v>
      </c>
      <c r="O15" s="99" t="s">
        <v>1550</v>
      </c>
      <c r="P15" s="99" t="s">
        <v>1743</v>
      </c>
      <c r="Q15" s="99" t="s">
        <v>1582</v>
      </c>
      <c r="R15" s="99" t="s">
        <v>1590</v>
      </c>
      <c r="S15" s="99" t="s">
        <v>90</v>
      </c>
      <c r="T15" s="99" t="s">
        <v>1603</v>
      </c>
      <c r="U15" s="101" t="s">
        <v>1557</v>
      </c>
      <c r="V15" s="130"/>
      <c r="X15" s="42">
        <v>8</v>
      </c>
    </row>
    <row r="16" spans="1:24" ht="43.75" x14ac:dyDescent="0.4">
      <c r="B16" s="106" t="str">
        <f t="shared" si="0"/>
        <v>FLT - 9</v>
      </c>
      <c r="C16" s="108" t="s">
        <v>1915</v>
      </c>
      <c r="D16" s="110" t="s">
        <v>61</v>
      </c>
      <c r="E16" s="112" t="s">
        <v>1572</v>
      </c>
      <c r="F16" s="99">
        <v>52</v>
      </c>
      <c r="G16" s="99">
        <v>40</v>
      </c>
      <c r="H16" s="104">
        <f t="shared" si="1"/>
        <v>84948.665353068005</v>
      </c>
      <c r="I16" s="99" t="s">
        <v>28</v>
      </c>
      <c r="J16" s="99" t="s">
        <v>90</v>
      </c>
      <c r="K16" s="99" t="s">
        <v>28</v>
      </c>
      <c r="L16" s="99" t="s">
        <v>90</v>
      </c>
      <c r="M16" s="99" t="s">
        <v>1636</v>
      </c>
      <c r="N16" s="99" t="s">
        <v>1576</v>
      </c>
      <c r="O16" s="99" t="s">
        <v>1550</v>
      </c>
      <c r="P16" s="99" t="s">
        <v>1743</v>
      </c>
      <c r="Q16" s="99" t="s">
        <v>1582</v>
      </c>
      <c r="R16" s="99" t="s">
        <v>1590</v>
      </c>
      <c r="S16" s="99" t="s">
        <v>90</v>
      </c>
      <c r="T16" s="99" t="s">
        <v>1603</v>
      </c>
      <c r="U16" s="101" t="s">
        <v>1557</v>
      </c>
      <c r="V16" s="130"/>
      <c r="X16" s="42">
        <v>9</v>
      </c>
    </row>
    <row r="17" spans="1:24" ht="44.15" thickBot="1" x14ac:dyDescent="0.45">
      <c r="B17" s="107" t="str">
        <f t="shared" si="0"/>
        <v>FLT - 10</v>
      </c>
      <c r="C17" s="109" t="s">
        <v>1916</v>
      </c>
      <c r="D17" s="111" t="s">
        <v>61</v>
      </c>
      <c r="E17" s="113" t="s">
        <v>1572</v>
      </c>
      <c r="F17" s="100">
        <v>120</v>
      </c>
      <c r="G17" s="100">
        <v>40</v>
      </c>
      <c r="H17" s="105">
        <f t="shared" si="1"/>
        <v>452389.34211693017</v>
      </c>
      <c r="I17" s="100" t="s">
        <v>28</v>
      </c>
      <c r="J17" s="100" t="s">
        <v>90</v>
      </c>
      <c r="K17" s="100" t="s">
        <v>28</v>
      </c>
      <c r="L17" s="100" t="s">
        <v>90</v>
      </c>
      <c r="M17" s="100" t="s">
        <v>1636</v>
      </c>
      <c r="N17" s="100" t="s">
        <v>1576</v>
      </c>
      <c r="O17" s="100" t="s">
        <v>1550</v>
      </c>
      <c r="P17" s="100" t="s">
        <v>1743</v>
      </c>
      <c r="Q17" s="100" t="s">
        <v>1582</v>
      </c>
      <c r="R17" s="100" t="s">
        <v>1590</v>
      </c>
      <c r="S17" s="100" t="s">
        <v>90</v>
      </c>
      <c r="T17" s="100" t="s">
        <v>1603</v>
      </c>
      <c r="U17" s="102" t="s">
        <v>1557</v>
      </c>
      <c r="V17" s="131"/>
      <c r="X17" s="42">
        <v>10</v>
      </c>
    </row>
    <row r="19" spans="1:24" x14ac:dyDescent="0.4">
      <c r="A19" s="39"/>
      <c r="B19" s="39"/>
      <c r="C19" s="39"/>
      <c r="D19" s="39"/>
      <c r="E19" s="39"/>
      <c r="F19" s="39"/>
      <c r="G19" s="39"/>
      <c r="H19" s="40"/>
      <c r="I19" s="39"/>
      <c r="J19" s="39"/>
      <c r="K19" s="39"/>
      <c r="L19" s="39"/>
      <c r="M19" s="39"/>
      <c r="N19" s="39"/>
      <c r="O19" s="39"/>
      <c r="P19" s="39"/>
      <c r="Q19" s="39"/>
      <c r="R19" s="39"/>
      <c r="S19" s="39"/>
      <c r="T19" s="39"/>
      <c r="U19" s="39"/>
      <c r="V19" s="39"/>
    </row>
    <row r="20" spans="1:24" x14ac:dyDescent="0.4">
      <c r="A20" s="39" t="s">
        <v>219</v>
      </c>
      <c r="B20" s="39">
        <v>1</v>
      </c>
      <c r="C20" s="39">
        <f>B20+1</f>
        <v>2</v>
      </c>
      <c r="D20" s="39">
        <f t="shared" ref="D20:V20" si="2">C20+1</f>
        <v>3</v>
      </c>
      <c r="E20" s="39">
        <f t="shared" si="2"/>
        <v>4</v>
      </c>
      <c r="F20" s="39">
        <f t="shared" si="2"/>
        <v>5</v>
      </c>
      <c r="G20" s="39">
        <f t="shared" si="2"/>
        <v>6</v>
      </c>
      <c r="H20" s="39">
        <f t="shared" si="2"/>
        <v>7</v>
      </c>
      <c r="I20" s="39">
        <f t="shared" si="2"/>
        <v>8</v>
      </c>
      <c r="J20" s="39">
        <f t="shared" si="2"/>
        <v>9</v>
      </c>
      <c r="K20" s="39">
        <f t="shared" si="2"/>
        <v>10</v>
      </c>
      <c r="L20" s="39">
        <f t="shared" si="2"/>
        <v>11</v>
      </c>
      <c r="M20" s="39">
        <f t="shared" si="2"/>
        <v>12</v>
      </c>
      <c r="N20" s="39">
        <f t="shared" si="2"/>
        <v>13</v>
      </c>
      <c r="O20" s="39">
        <f t="shared" si="2"/>
        <v>14</v>
      </c>
      <c r="P20" s="39">
        <f t="shared" si="2"/>
        <v>15</v>
      </c>
      <c r="Q20" s="39">
        <f t="shared" si="2"/>
        <v>16</v>
      </c>
      <c r="R20" s="39">
        <f t="shared" si="2"/>
        <v>17</v>
      </c>
      <c r="S20" s="39">
        <f>R20+1</f>
        <v>18</v>
      </c>
      <c r="T20" s="39">
        <f t="shared" si="2"/>
        <v>19</v>
      </c>
      <c r="U20" s="39">
        <f t="shared" si="2"/>
        <v>20</v>
      </c>
      <c r="V20" s="39">
        <f t="shared" si="2"/>
        <v>21</v>
      </c>
    </row>
  </sheetData>
  <sheetProtection algorithmName="SHA-512" hashValue="VaVcwCUIa62+Vakuvmrg5IwLyn/75ssMCSiAhMVcuRbj4hVt6+eyUP/U/gqB7rOmS+/3w7eS9IzEgJYz6VvcKQ==" saltValue="ftr+RzneLpqVBq/ilMbsAg==" spinCount="100000" sheet="1" objects="1" scenarios="1"/>
  <mergeCells count="20">
    <mergeCell ref="Q6:Q7"/>
    <mergeCell ref="J6:J7"/>
    <mergeCell ref="K6:K7"/>
    <mergeCell ref="L6:L7"/>
    <mergeCell ref="B4:D5"/>
    <mergeCell ref="E4:V5"/>
    <mergeCell ref="B6:B7"/>
    <mergeCell ref="C6:C7"/>
    <mergeCell ref="D6:D7"/>
    <mergeCell ref="E6:E7"/>
    <mergeCell ref="I6:I7"/>
    <mergeCell ref="R6:R7"/>
    <mergeCell ref="S6:S7"/>
    <mergeCell ref="T6:T7"/>
    <mergeCell ref="U6:U7"/>
    <mergeCell ref="V6:V7"/>
    <mergeCell ref="M6:M7"/>
    <mergeCell ref="P6:P7"/>
    <mergeCell ref="N6:N7"/>
    <mergeCell ref="O6:O7"/>
  </mergeCells>
  <phoneticPr fontId="11" type="noConversion"/>
  <dataValidations count="12">
    <dataValidation type="list" allowBlank="1" showInputMessage="1" showErrorMessage="1" sqref="J8:J17 L8:L17" xr:uid="{CB8AB2BC-E70D-4D93-8536-7C385A8E8C26}">
      <formula1>Paint_Condition</formula1>
    </dataValidation>
    <dataValidation type="list" allowBlank="1" showInputMessage="1" showErrorMessage="1" sqref="K8:K17 I8:I17" xr:uid="{361C9697-930C-46F0-AF66-C3A5040BD86F}">
      <formula1>Paint_Color</formula1>
    </dataValidation>
    <dataValidation type="list" allowBlank="1" showInputMessage="1" showErrorMessage="1" sqref="E8:E17" xr:uid="{F618C918-09F8-4721-8E90-133621E2E6BD}">
      <formula1>FLT_Tank_Type</formula1>
    </dataValidation>
    <dataValidation type="list" allowBlank="1" showInputMessage="1" showErrorMessage="1" sqref="N8:N17" xr:uid="{6740F331-9038-4521-BF36-5EAFDA756B94}">
      <formula1>FLT_Roof_Type</formula1>
    </dataValidation>
    <dataValidation type="list" allowBlank="1" showInputMessage="1" showErrorMessage="1" sqref="O8:O17" xr:uid="{E23259DD-43E1-4F4D-AD73-BC5F654AD859}">
      <formula1>Deck_Construction</formula1>
    </dataValidation>
    <dataValidation type="list" allowBlank="1" showInputMessage="1" showErrorMessage="1" sqref="Q8:Q17" xr:uid="{E9F7D011-01F4-46DF-B0A6-F44D2A73116A}">
      <formula1>Deck_Type</formula1>
    </dataValidation>
    <dataValidation type="list" allowBlank="1" showInputMessage="1" showErrorMessage="1" sqref="R8:R17" xr:uid="{C31AAC32-041F-4252-8B5F-48AAE306DC70}">
      <formula1>Seal_Type</formula1>
    </dataValidation>
    <dataValidation type="list" allowBlank="1" showInputMessage="1" showErrorMessage="1" sqref="S8:S17" xr:uid="{D5BA86F7-D61B-46FD-BF78-BB75E219EB21}">
      <formula1>Seal_Tightness</formula1>
    </dataValidation>
    <dataValidation type="list" allowBlank="1" showInputMessage="1" showErrorMessage="1" sqref="T8:T17" xr:uid="{259F2BCB-17EC-4CD7-A8E7-E13C7DD2D7BD}">
      <formula1>Roof_Support_Type</formula1>
    </dataValidation>
    <dataValidation type="list" allowBlank="1" showInputMessage="1" showErrorMessage="1" sqref="U8:U17" xr:uid="{60FF688B-D5FC-4845-B1C7-CBC8A07277B3}">
      <formula1>Roof_Column_Cons</formula1>
    </dataValidation>
    <dataValidation type="list" allowBlank="1" showInputMessage="1" showErrorMessage="1" sqref="M8:M17" xr:uid="{0EBC6042-E5E3-4C06-937D-BD7EB219B42D}">
      <formula1>Shell_Cond</formula1>
    </dataValidation>
    <dataValidation type="list" allowBlank="1" showInputMessage="1" showErrorMessage="1" sqref="P8:P17" xr:uid="{BDD76A8A-8F44-43C6-9026-0FC3AEC43C5A}">
      <formula1>Bolted_Deck_Cons_Name</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03DDE1D-E5E8-4A16-A1A0-99EB8A4C45DE}">
          <x14:formula1>
            <xm:f>'Pull Downs'!$B$5:$B$22</xm:f>
          </x14:formula1>
          <xm:sqref>D8:D17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0B6E6-5441-42EE-A1F8-2C4D42B0A461}">
  <sheetPr codeName="Sheet10">
    <tabColor theme="4" tint="-0.499984740745262"/>
  </sheetPr>
  <dimension ref="B1:BM158"/>
  <sheetViews>
    <sheetView workbookViewId="0">
      <pane xSplit="3" ySplit="6" topLeftCell="D46" activePane="bottomRight" state="frozen"/>
      <selection activeCell="J5" sqref="J5"/>
      <selection pane="topRight" activeCell="J5" sqref="J5"/>
      <selection pane="bottomLeft" activeCell="J5" sqref="J5"/>
      <selection pane="bottomRight" activeCell="J5" sqref="J5"/>
    </sheetView>
  </sheetViews>
  <sheetFormatPr defaultColWidth="8.84375" defaultRowHeight="14.6" x14ac:dyDescent="0.4"/>
  <cols>
    <col min="1" max="1" width="16.4609375" bestFit="1" customWidth="1"/>
    <col min="2" max="2" width="19" customWidth="1"/>
    <col min="3" max="4" width="15.15234375" customWidth="1"/>
    <col min="5" max="5" width="15.15234375" style="165" customWidth="1"/>
    <col min="6" max="7" width="15.15234375" style="166" customWidth="1"/>
    <col min="8" max="8" width="16.84375" style="166" customWidth="1"/>
    <col min="9" max="9" width="16.3046875" customWidth="1"/>
    <col min="10" max="10" width="36.4609375" style="167" bestFit="1" customWidth="1"/>
    <col min="11" max="11" width="21.69140625" style="12" customWidth="1"/>
    <col min="12" max="15" width="15.15234375" customWidth="1"/>
    <col min="16" max="16" width="16.4609375" customWidth="1"/>
    <col min="17" max="17" width="7.69140625" bestFit="1" customWidth="1"/>
    <col min="18" max="18" width="15.15234375" customWidth="1"/>
    <col min="19" max="19" width="13.15234375" customWidth="1"/>
    <col min="52" max="55" width="10.15234375" customWidth="1"/>
    <col min="56" max="56" width="13.4609375" bestFit="1" customWidth="1"/>
    <col min="57" max="57" width="16.4609375" bestFit="1" customWidth="1"/>
  </cols>
  <sheetData>
    <row r="1" spans="2:65" x14ac:dyDescent="0.4">
      <c r="Q1">
        <v>2</v>
      </c>
      <c r="T1">
        <f>Q1+1</f>
        <v>3</v>
      </c>
      <c r="W1">
        <f>T1+1</f>
        <v>4</v>
      </c>
      <c r="Z1">
        <f>W1+1</f>
        <v>5</v>
      </c>
      <c r="AC1">
        <f>Z1+1</f>
        <v>6</v>
      </c>
      <c r="AF1">
        <f>AC1+1</f>
        <v>7</v>
      </c>
      <c r="AI1">
        <f>AF1+1</f>
        <v>8</v>
      </c>
      <c r="AL1">
        <f>AI1+1</f>
        <v>9</v>
      </c>
      <c r="AO1">
        <f>AL1+1</f>
        <v>10</v>
      </c>
      <c r="AR1">
        <f>AO1+1</f>
        <v>11</v>
      </c>
      <c r="AU1">
        <f>AR1+1</f>
        <v>12</v>
      </c>
      <c r="AX1">
        <f>AU1+1</f>
        <v>13</v>
      </c>
    </row>
    <row r="2" spans="2:65" x14ac:dyDescent="0.4">
      <c r="B2" s="9" t="s">
        <v>1764</v>
      </c>
    </row>
    <row r="3" spans="2:65" x14ac:dyDescent="0.4">
      <c r="B3" s="9"/>
    </row>
    <row r="4" spans="2:65" ht="15" thickBot="1" x14ac:dyDescent="0.45"/>
    <row r="5" spans="2:65" x14ac:dyDescent="0.4">
      <c r="B5" s="539" t="s">
        <v>1767</v>
      </c>
      <c r="C5" s="540"/>
      <c r="D5" s="540"/>
      <c r="E5" s="540"/>
      <c r="F5" s="540"/>
      <c r="G5" s="540"/>
      <c r="H5" s="540"/>
      <c r="I5" s="541"/>
      <c r="J5" s="542" t="s">
        <v>1766</v>
      </c>
      <c r="K5" s="543"/>
      <c r="L5" s="543"/>
      <c r="M5" s="543"/>
      <c r="N5" s="543"/>
      <c r="O5" s="543"/>
      <c r="P5" s="544"/>
      <c r="Q5" s="536" t="str" cm="1">
        <f t="array" ref="Q5">INDEX(Month_Ref,Q1-1,2)</f>
        <v>January</v>
      </c>
      <c r="R5" s="537"/>
      <c r="S5" s="538"/>
      <c r="T5" s="536" t="str" cm="1">
        <f t="array" ref="T5">INDEX(Month_Ref,T1-1,2)</f>
        <v>February</v>
      </c>
      <c r="U5" s="537"/>
      <c r="V5" s="538"/>
      <c r="W5" s="536" t="str" cm="1">
        <f t="array" ref="W5">INDEX(Month_Ref,W1-1,2)</f>
        <v>March</v>
      </c>
      <c r="X5" s="537"/>
      <c r="Y5" s="538"/>
      <c r="Z5" s="536" t="str" cm="1">
        <f t="array" ref="Z5">INDEX(Month_Ref,Z1-1,2)</f>
        <v>April</v>
      </c>
      <c r="AA5" s="537"/>
      <c r="AB5" s="538"/>
      <c r="AC5" s="536" t="str" cm="1">
        <f t="array" ref="AC5">INDEX(Month_Ref,AC1-1,2)</f>
        <v>May</v>
      </c>
      <c r="AD5" s="537"/>
      <c r="AE5" s="538"/>
      <c r="AF5" s="536" t="str" cm="1">
        <f t="array" ref="AF5">INDEX(Month_Ref,AF1-1,2)</f>
        <v>June</v>
      </c>
      <c r="AG5" s="537"/>
      <c r="AH5" s="538"/>
      <c r="AI5" s="536" t="str" cm="1">
        <f t="array" ref="AI5">INDEX(Month_Ref,AI1-1,2)</f>
        <v>July</v>
      </c>
      <c r="AJ5" s="537"/>
      <c r="AK5" s="538"/>
      <c r="AL5" s="536" t="str" cm="1">
        <f t="array" ref="AL5">INDEX(Month_Ref,AL1-1,2)</f>
        <v>August</v>
      </c>
      <c r="AM5" s="537"/>
      <c r="AN5" s="538"/>
      <c r="AO5" s="536" t="str" cm="1">
        <f t="array" ref="AO5">INDEX(Month_Ref,AO1-1,2)</f>
        <v>September</v>
      </c>
      <c r="AP5" s="537"/>
      <c r="AQ5" s="538"/>
      <c r="AR5" s="536" t="str" cm="1">
        <f t="array" ref="AR5">INDEX(Month_Ref,AR1-1,2)</f>
        <v>October</v>
      </c>
      <c r="AS5" s="537"/>
      <c r="AT5" s="538"/>
      <c r="AU5" s="536" t="str" cm="1">
        <f t="array" ref="AU5">INDEX(Month_Ref,AU1-1,2)</f>
        <v>November</v>
      </c>
      <c r="AV5" s="537"/>
      <c r="AW5" s="538"/>
      <c r="AX5" s="536" t="str" cm="1">
        <f t="array" ref="AX5">INDEX(Month_Ref,AX1-1,2)</f>
        <v>December</v>
      </c>
      <c r="AY5" s="537"/>
      <c r="AZ5" s="538"/>
      <c r="BA5" s="169" t="s">
        <v>42</v>
      </c>
      <c r="BD5" t="s">
        <v>1610</v>
      </c>
      <c r="BE5" t="s">
        <v>1611</v>
      </c>
    </row>
    <row r="6" spans="2:65" ht="45" customHeight="1" thickBot="1" x14ac:dyDescent="0.45">
      <c r="B6" s="170" t="s">
        <v>222</v>
      </c>
      <c r="C6" s="172" t="s">
        <v>223</v>
      </c>
      <c r="D6" s="76" t="s">
        <v>4</v>
      </c>
      <c r="E6" s="173" t="s">
        <v>1744</v>
      </c>
      <c r="F6" s="173" t="s">
        <v>1507</v>
      </c>
      <c r="G6" s="173" t="s">
        <v>1525</v>
      </c>
      <c r="H6" s="173" t="s">
        <v>1745</v>
      </c>
      <c r="I6" s="175" t="s">
        <v>1752</v>
      </c>
      <c r="J6" s="176" t="s">
        <v>1753</v>
      </c>
      <c r="K6" s="76" t="s">
        <v>1754</v>
      </c>
      <c r="L6" s="76" t="s">
        <v>1756</v>
      </c>
      <c r="M6" s="76" t="s">
        <v>1757</v>
      </c>
      <c r="N6" s="76" t="s">
        <v>1532</v>
      </c>
      <c r="O6" s="76" t="s">
        <v>1758</v>
      </c>
      <c r="P6" s="77" t="s">
        <v>1761</v>
      </c>
      <c r="Q6" s="75" t="s">
        <v>1759</v>
      </c>
      <c r="R6" s="76" t="s">
        <v>1760</v>
      </c>
      <c r="S6" s="77" t="s">
        <v>1763</v>
      </c>
      <c r="T6" s="75" t="s">
        <v>258</v>
      </c>
      <c r="U6" s="76" t="s">
        <v>1760</v>
      </c>
      <c r="V6" s="77" t="s">
        <v>1763</v>
      </c>
      <c r="W6" s="75" t="s">
        <v>258</v>
      </c>
      <c r="X6" s="76" t="s">
        <v>1760</v>
      </c>
      <c r="Y6" s="77" t="s">
        <v>1763</v>
      </c>
      <c r="Z6" s="75" t="s">
        <v>258</v>
      </c>
      <c r="AA6" s="76" t="s">
        <v>1760</v>
      </c>
      <c r="AB6" s="77" t="s">
        <v>1763</v>
      </c>
      <c r="AC6" s="75" t="s">
        <v>258</v>
      </c>
      <c r="AD6" s="76" t="s">
        <v>1760</v>
      </c>
      <c r="AE6" s="77" t="s">
        <v>1763</v>
      </c>
      <c r="AF6" s="75" t="s">
        <v>258</v>
      </c>
      <c r="AG6" s="76" t="s">
        <v>1760</v>
      </c>
      <c r="AH6" s="77" t="s">
        <v>1763</v>
      </c>
      <c r="AI6" s="75" t="s">
        <v>258</v>
      </c>
      <c r="AJ6" s="76" t="s">
        <v>1760</v>
      </c>
      <c r="AK6" s="77" t="s">
        <v>1763</v>
      </c>
      <c r="AL6" s="75" t="s">
        <v>258</v>
      </c>
      <c r="AM6" s="76" t="s">
        <v>1760</v>
      </c>
      <c r="AN6" s="77" t="s">
        <v>1763</v>
      </c>
      <c r="AO6" s="75" t="s">
        <v>258</v>
      </c>
      <c r="AP6" s="76" t="s">
        <v>1760</v>
      </c>
      <c r="AQ6" s="77" t="s">
        <v>1763</v>
      </c>
      <c r="AR6" s="75" t="s">
        <v>258</v>
      </c>
      <c r="AS6" s="76" t="s">
        <v>1760</v>
      </c>
      <c r="AT6" s="77" t="s">
        <v>1763</v>
      </c>
      <c r="AU6" s="75" t="s">
        <v>258</v>
      </c>
      <c r="AV6" s="76" t="s">
        <v>1760</v>
      </c>
      <c r="AW6" s="77" t="s">
        <v>1763</v>
      </c>
      <c r="AX6" s="75" t="s">
        <v>258</v>
      </c>
      <c r="AY6" s="76" t="s">
        <v>1760</v>
      </c>
      <c r="AZ6" s="77" t="s">
        <v>1763</v>
      </c>
      <c r="BA6" s="77" t="s">
        <v>1765</v>
      </c>
      <c r="BB6" s="162"/>
      <c r="BC6" s="162"/>
      <c r="BE6" t="s">
        <v>1612</v>
      </c>
      <c r="BF6" t="s">
        <v>1613</v>
      </c>
      <c r="BG6" t="s">
        <v>4</v>
      </c>
      <c r="BH6" t="s">
        <v>1747</v>
      </c>
      <c r="BI6" t="s">
        <v>1748</v>
      </c>
      <c r="BJ6" t="s">
        <v>1749</v>
      </c>
      <c r="BK6" t="s">
        <v>1750</v>
      </c>
      <c r="BL6" s="12" t="s">
        <v>1751</v>
      </c>
      <c r="BM6" t="s">
        <v>1539</v>
      </c>
    </row>
    <row r="7" spans="2:65" ht="31.5" customHeight="1" x14ac:dyDescent="0.4">
      <c r="B7" s="527" t="str" cm="1">
        <f t="array" ref="B7">INDEX(FLT_Cons,$BD7,$BE7)</f>
        <v>FLT - 1</v>
      </c>
      <c r="C7" s="530" t="str" cm="1">
        <f t="array" ref="C7">INDEX(FLT_Cons,$BD7,$BF7)</f>
        <v>EXTANK 105</v>
      </c>
      <c r="D7" s="533" t="str" cm="1">
        <f t="array" ref="D7">INDEX(FLT_Cons,$BD7,$BG7)</f>
        <v>Portland</v>
      </c>
      <c r="E7" s="533" cm="1">
        <f t="array" ref="E7">INDEX(FLT_Cons,$BD7,$BH7)</f>
        <v>139</v>
      </c>
      <c r="F7" s="521" t="str" cm="1">
        <f t="array" ref="F7">INDEX(FLT_Cons,$BD7,$BI7)</f>
        <v>External Floating Roof</v>
      </c>
      <c r="G7" s="521" t="str" cm="1">
        <f t="array" ref="G7">INDEX(FLT_Cons,$BD7,$BJ7)</f>
        <v>Pontoon</v>
      </c>
      <c r="H7" s="521" t="str" cm="1">
        <f t="array" ref="H7">INDEX(FLT_Cons,$BD7,$BK7)</f>
        <v>Mechanical Shoe w/ Rim Mounted Secondary</v>
      </c>
      <c r="I7" s="524" t="str" cm="1">
        <f t="array" ref="I7">INDEX(FLT_Cons,$BD7,$BL7)</f>
        <v>N/A - EFR/Domed EFR</v>
      </c>
      <c r="J7" s="177" t="s">
        <v>1660</v>
      </c>
      <c r="K7" s="174" t="s">
        <v>1661</v>
      </c>
      <c r="L7" s="14">
        <f>INDEX(Access_Hatch,MATCH($K7,Access_Hatch_Name,0),2)</f>
        <v>1.6</v>
      </c>
      <c r="M7" s="14">
        <f>INDEX(Access_Hatch,MATCH($K7,Access_Hatch_Name,0),3)</f>
        <v>0</v>
      </c>
      <c r="N7" s="14">
        <f>INDEX(Access_Hatch,MATCH($K7,Access_Hatch_Name,0),4)</f>
        <v>0</v>
      </c>
      <c r="O7" s="14">
        <f>IF($F7="External Floating Roof",0.7,0)</f>
        <v>0.7</v>
      </c>
      <c r="P7" s="30">
        <v>1</v>
      </c>
      <c r="Q7" s="29">
        <f>VLOOKUP(VLOOKUP($D7,Terminal_X_Ref,2,FALSE)&amp;"V",Weather_Data,Q$1,FALSE)</f>
        <v>8.5</v>
      </c>
      <c r="R7" s="14">
        <f>IFERROR($L7+$M7*($O7*Q7)^$N7,$L7)</f>
        <v>1.6</v>
      </c>
      <c r="S7" s="193" cm="1">
        <f t="array" ref="S7">R7*$P7*INDEX(Month_Ref,Q$1-1,3)/365</f>
        <v>0.13589041095890411</v>
      </c>
      <c r="T7" s="29">
        <f>VLOOKUP(VLOOKUP($D7,Terminal_X_Ref,2,FALSE)&amp;"V",Weather_Data,T$1,FALSE)</f>
        <v>7.8</v>
      </c>
      <c r="U7" s="14">
        <f>IFERROR($L7+$M7*($O7*T7)^$N7,$L7)</f>
        <v>1.6</v>
      </c>
      <c r="V7" s="193" cm="1">
        <f t="array" ref="V7">U7*$P7*INDEX(Month_Ref,T$1-1,3)/365</f>
        <v>0.12273972602739727</v>
      </c>
      <c r="W7" s="29">
        <f>VLOOKUP(VLOOKUP($D7,Terminal_X_Ref,2,FALSE)&amp;"V",Weather_Data,W$1,FALSE)</f>
        <v>7.8</v>
      </c>
      <c r="X7" s="14">
        <f>IFERROR($L7+$M7*($O7*W7)^$N7,$L7)</f>
        <v>1.6</v>
      </c>
      <c r="Y7" s="193" cm="1">
        <f t="array" ref="Y7">X7*$P7*INDEX(Month_Ref,W$1-1,3)/365</f>
        <v>0.13589041095890411</v>
      </c>
      <c r="Z7" s="29">
        <f>VLOOKUP(VLOOKUP($D7,Terminal_X_Ref,2,FALSE)&amp;"V",Weather_Data,Z$1,FALSE)</f>
        <v>7.8</v>
      </c>
      <c r="AA7" s="14">
        <f>IFERROR($L7+$M7*($O7*Z7)^$N7,$L7)</f>
        <v>1.6</v>
      </c>
      <c r="AB7" s="193" cm="1">
        <f t="array" ref="AB7">AA7*$P7*INDEX(Month_Ref,Z$1-1,3)/365</f>
        <v>0.13150684931506848</v>
      </c>
      <c r="AC7" s="29">
        <f>VLOOKUP(VLOOKUP($D7,Terminal_X_Ref,2,FALSE)&amp;"V",Weather_Data,AC$1,FALSE)</f>
        <v>7.6</v>
      </c>
      <c r="AD7" s="14">
        <f>IFERROR($L7+$M7*($O7*AC7)^$N7,$L7)</f>
        <v>1.6</v>
      </c>
      <c r="AE7" s="193" cm="1">
        <f t="array" ref="AE7">AD7*$P7*INDEX(Month_Ref,AC$1-1,3)/365</f>
        <v>0.13589041095890411</v>
      </c>
      <c r="AF7" s="29">
        <f>VLOOKUP(VLOOKUP($D7,Terminal_X_Ref,2,FALSE)&amp;"V",Weather_Data,AF$1,FALSE)</f>
        <v>7.8</v>
      </c>
      <c r="AG7" s="14">
        <f>IFERROR($L7+$M7*($O7*AF7)^$N7,$L7)</f>
        <v>1.6</v>
      </c>
      <c r="AH7" s="193" cm="1">
        <f t="array" ref="AH7">AG7*$P7*INDEX(Month_Ref,AF$1-1,3)/365</f>
        <v>0.13150684931506848</v>
      </c>
      <c r="AI7" s="29">
        <f>VLOOKUP(VLOOKUP($D7,Terminal_X_Ref,2,FALSE)&amp;"V",Weather_Data,AI$1,FALSE)</f>
        <v>8.1</v>
      </c>
      <c r="AJ7" s="14">
        <f>IFERROR($L7+$M7*($O7*AI7)^$N7,$L7)</f>
        <v>1.6</v>
      </c>
      <c r="AK7" s="193" cm="1">
        <f t="array" ref="AK7">AJ7*$P7*INDEX(Month_Ref,AI$1-1,3)/365</f>
        <v>0.13589041095890411</v>
      </c>
      <c r="AL7" s="29">
        <f>VLOOKUP(VLOOKUP($D7,Terminal_X_Ref,2,FALSE)&amp;"V",Weather_Data,AL$1,FALSE)</f>
        <v>7.2</v>
      </c>
      <c r="AM7" s="14">
        <f>IFERROR($L7+$M7*($O7*AL7)^$N7,$L7)</f>
        <v>1.6</v>
      </c>
      <c r="AN7" s="193" cm="1">
        <f t="array" ref="AN7">AM7*$P7*INDEX(Month_Ref,AL$1-1,3)/365</f>
        <v>0.13589041095890411</v>
      </c>
      <c r="AO7" s="29">
        <f>VLOOKUP(VLOOKUP($D7,Terminal_X_Ref,2,FALSE)&amp;"V",Weather_Data,AO$1,FALSE)</f>
        <v>6.7</v>
      </c>
      <c r="AP7" s="14">
        <f>IFERROR($L7+$M7*($O7*AO7)^$N7,$L7)</f>
        <v>1.6</v>
      </c>
      <c r="AQ7" s="193" cm="1">
        <f t="array" ref="AQ7">AP7*$P7*INDEX(Month_Ref,AO$1-1,3)/365</f>
        <v>0.13150684931506848</v>
      </c>
      <c r="AR7" s="29">
        <f>VLOOKUP(VLOOKUP($D7,Terminal_X_Ref,2,FALSE)&amp;"V",Weather_Data,AR$1,FALSE)</f>
        <v>6.7</v>
      </c>
      <c r="AS7" s="14">
        <f>IFERROR($L7+$M7*($O7*AR7)^$N7,$L7)</f>
        <v>1.6</v>
      </c>
      <c r="AT7" s="193" cm="1">
        <f t="array" ref="AT7">AS7*$P7*INDEX(Month_Ref,AR$1-1,3)/365</f>
        <v>0.13589041095890411</v>
      </c>
      <c r="AU7" s="29">
        <f>VLOOKUP(VLOOKUP($D7,Terminal_X_Ref,2,FALSE)&amp;"V",Weather_Data,AU$1,FALSE)</f>
        <v>7.8</v>
      </c>
      <c r="AV7" s="14">
        <f>IFERROR($L7+$M7*($O7*AU7)^$N7,$L7)</f>
        <v>1.6</v>
      </c>
      <c r="AW7" s="193" cm="1">
        <f t="array" ref="AW7">AV7*$P7*INDEX(Month_Ref,AU$1-1,3)/365</f>
        <v>0.13150684931506848</v>
      </c>
      <c r="AX7" s="29">
        <f>VLOOKUP(VLOOKUP($D7,Terminal_X_Ref,2,FALSE)&amp;"V",Weather_Data,AX$1,FALSE)</f>
        <v>8.6999999999999993</v>
      </c>
      <c r="AY7" s="14">
        <f>IFERROR($L7+$M7*($O7*AX7)^$N7,$L7)</f>
        <v>1.6</v>
      </c>
      <c r="AZ7" s="193" cm="1">
        <f t="array" ref="AZ7">AY7*$P7*INDEX(Month_Ref,AX$1-1,3)/365</f>
        <v>0.13589041095890411</v>
      </c>
      <c r="BA7" s="182">
        <f>S7+V7+Y7+AB7+AE7+AH7+AK7+AN7+AQ7+AT7+AW7+AZ7</f>
        <v>1.5999999999999999</v>
      </c>
      <c r="BB7" s="25"/>
      <c r="BC7" s="20">
        <v>1</v>
      </c>
      <c r="BD7">
        <v>1</v>
      </c>
      <c r="BE7">
        <v>1</v>
      </c>
      <c r="BF7">
        <v>2</v>
      </c>
      <c r="BG7">
        <v>3</v>
      </c>
      <c r="BH7">
        <v>5</v>
      </c>
      <c r="BI7">
        <v>13</v>
      </c>
      <c r="BJ7">
        <v>16</v>
      </c>
      <c r="BK7">
        <v>17</v>
      </c>
      <c r="BL7">
        <v>19</v>
      </c>
      <c r="BM7">
        <v>21</v>
      </c>
    </row>
    <row r="8" spans="2:65" x14ac:dyDescent="0.4">
      <c r="B8" s="528"/>
      <c r="C8" s="531"/>
      <c r="D8" s="534"/>
      <c r="E8" s="534"/>
      <c r="F8" s="522"/>
      <c r="G8" s="522"/>
      <c r="H8" s="522"/>
      <c r="I8" s="525"/>
      <c r="J8" s="178" t="s">
        <v>1664</v>
      </c>
      <c r="K8" s="168" t="s">
        <v>1605</v>
      </c>
      <c r="L8" s="63">
        <f>INDEX(FRSCW,MATCH($K8,FRSCW_Name,0),2)</f>
        <v>0</v>
      </c>
      <c r="M8" s="63">
        <f>INDEX(FRSCW,MATCH($K8,FRSCW_Name,0),3)</f>
        <v>0</v>
      </c>
      <c r="N8" s="63">
        <f>INDEX(FRSCW,MATCH($K8,FRSCW_Name,0),4)</f>
        <v>0</v>
      </c>
      <c r="O8" s="63">
        <f>O7</f>
        <v>0.7</v>
      </c>
      <c r="P8" s="64" cm="1">
        <f t="array" ref="P8">IF(F7&lt;&gt;"Internal Floating Roof",0,IF(ISBLANK(INDEX(FLT_Cons,$BD7,$BM7)),INDEX(Tbl_71_11,_xlfn.MINIFS(Tbl_71_11_Dia,Tbl_71_11_Max,"&gt;="&amp;$E7),4),INDEX(FLT_Cons,$BD7,$BM7)))</f>
        <v>0</v>
      </c>
      <c r="Q8" s="70">
        <f>Q7</f>
        <v>8.5</v>
      </c>
      <c r="R8" s="63">
        <f>IFERROR($L8+$M8*($O8*Q8)^$N8,$L8)</f>
        <v>0</v>
      </c>
      <c r="S8" s="64" cm="1">
        <f t="array" ref="S8">R8*$P8*INDEX(Month_Ref,Q$1-1,3)/365</f>
        <v>0</v>
      </c>
      <c r="T8" s="70">
        <f>T7</f>
        <v>7.8</v>
      </c>
      <c r="U8" s="63">
        <f>IFERROR($L8+$M8*($O8*T8)^$N8,$L8)</f>
        <v>0</v>
      </c>
      <c r="V8" s="64" cm="1">
        <f t="array" ref="V8">U8*$P8*INDEX(Month_Ref,T$1-1,3)/365</f>
        <v>0</v>
      </c>
      <c r="W8" s="70">
        <f>W7</f>
        <v>7.8</v>
      </c>
      <c r="X8" s="63">
        <f>IFERROR($L8+$M8*($O8*W8)^$N8,$L8)</f>
        <v>0</v>
      </c>
      <c r="Y8" s="64" cm="1">
        <f t="array" ref="Y8">X8*$P8*INDEX(Month_Ref,W$1-1,3)/365</f>
        <v>0</v>
      </c>
      <c r="Z8" s="70">
        <f>Z7</f>
        <v>7.8</v>
      </c>
      <c r="AA8" s="63">
        <f>IFERROR($L8+$M8*($O8*Z8)^$N8,$L8)</f>
        <v>0</v>
      </c>
      <c r="AB8" s="64" cm="1">
        <f t="array" ref="AB8">AA8*$P8*INDEX(Month_Ref,Z$1-1,3)/365</f>
        <v>0</v>
      </c>
      <c r="AC8" s="70">
        <f>AC7</f>
        <v>7.6</v>
      </c>
      <c r="AD8" s="63">
        <f>IFERROR($L8+$M8*($O8*AC8)^$N8,$L8)</f>
        <v>0</v>
      </c>
      <c r="AE8" s="64" cm="1">
        <f t="array" ref="AE8">AD8*$P8*INDEX(Month_Ref,AC$1-1,3)/365</f>
        <v>0</v>
      </c>
      <c r="AF8" s="70">
        <f>AF7</f>
        <v>7.8</v>
      </c>
      <c r="AG8" s="63">
        <f>IFERROR($L8+$M8*($O8*AF8)^$N8,$L8)</f>
        <v>0</v>
      </c>
      <c r="AH8" s="64" cm="1">
        <f t="array" ref="AH8">AG8*$P8*INDEX(Month_Ref,AF$1-1,3)/365</f>
        <v>0</v>
      </c>
      <c r="AI8" s="70">
        <f>AI7</f>
        <v>8.1</v>
      </c>
      <c r="AJ8" s="63">
        <f>IFERROR($L8+$M8*($O8*AI8)^$N8,$L8)</f>
        <v>0</v>
      </c>
      <c r="AK8" s="64" cm="1">
        <f t="array" ref="AK8">AJ8*$P8*INDEX(Month_Ref,AI$1-1,3)/365</f>
        <v>0</v>
      </c>
      <c r="AL8" s="70">
        <f>AL7</f>
        <v>7.2</v>
      </c>
      <c r="AM8" s="63">
        <f>IFERROR($L8+$M8*($O8*AL8)^$N8,$L8)</f>
        <v>0</v>
      </c>
      <c r="AN8" s="64" cm="1">
        <f t="array" ref="AN8">AM8*$P8*INDEX(Month_Ref,AL$1-1,3)/365</f>
        <v>0</v>
      </c>
      <c r="AO8" s="70">
        <f>AO7</f>
        <v>6.7</v>
      </c>
      <c r="AP8" s="63">
        <f>IFERROR($L8+$M8*($O8*AO8)^$N8,$L8)</f>
        <v>0</v>
      </c>
      <c r="AQ8" s="64" cm="1">
        <f t="array" ref="AQ8">AP8*$P8*INDEX(Month_Ref,AO$1-1,3)/365</f>
        <v>0</v>
      </c>
      <c r="AR8" s="70">
        <f>AR7</f>
        <v>6.7</v>
      </c>
      <c r="AS8" s="63">
        <f>IFERROR($L8+$M8*($O8*AR8)^$N8,$L8)</f>
        <v>0</v>
      </c>
      <c r="AT8" s="64" cm="1">
        <f t="array" ref="AT8">AS8*$P8*INDEX(Month_Ref,AR$1-1,3)/365</f>
        <v>0</v>
      </c>
      <c r="AU8" s="70">
        <f>AU7</f>
        <v>7.8</v>
      </c>
      <c r="AV8" s="63">
        <f>IFERROR($L8+$M8*($O8*AU8)^$N8,$L8)</f>
        <v>0</v>
      </c>
      <c r="AW8" s="64" cm="1">
        <f t="array" ref="AW8">AV8*$P8*INDEX(Month_Ref,AU$1-1,3)/365</f>
        <v>0</v>
      </c>
      <c r="AX8" s="70">
        <f>AX7</f>
        <v>8.6999999999999993</v>
      </c>
      <c r="AY8" s="63">
        <f>IFERROR($L8+$M8*($O8*AX8)^$N8,$L8)</f>
        <v>0</v>
      </c>
      <c r="AZ8" s="64" cm="1">
        <f t="array" ref="AZ8">AY8*$P8*INDEX(Month_Ref,AX$1-1,3)/365</f>
        <v>0</v>
      </c>
      <c r="BA8" s="183">
        <f t="shared" ref="BA8:BA21" si="0">S8+V8+Y8+AB8+AE8+AH8+AK8+AN8+AQ8+AT8+AW8+AZ8</f>
        <v>0</v>
      </c>
      <c r="BC8" s="20">
        <f>BC7+1</f>
        <v>2</v>
      </c>
    </row>
    <row r="9" spans="2:65" ht="43.75" x14ac:dyDescent="0.4">
      <c r="B9" s="528"/>
      <c r="C9" s="531"/>
      <c r="D9" s="534"/>
      <c r="E9" s="534"/>
      <c r="F9" s="522"/>
      <c r="G9" s="522"/>
      <c r="H9" s="522"/>
      <c r="I9" s="525"/>
      <c r="J9" s="178" t="s">
        <v>1670</v>
      </c>
      <c r="K9" s="168" t="s">
        <v>1674</v>
      </c>
      <c r="L9" s="63">
        <f>INDEX(USGPW,MATCH($K9,USGPW_Name,0),2)</f>
        <v>14</v>
      </c>
      <c r="M9" s="63">
        <f>INDEX(USGPW,MATCH($K9,USGPW_Name,0),3)</f>
        <v>3.7</v>
      </c>
      <c r="N9" s="63">
        <f>INDEX(USGPW,MATCH($K9,USGPW_Name,0),4)</f>
        <v>0.78</v>
      </c>
      <c r="O9" s="63">
        <f t="shared" ref="O9:O20" si="1">O8</f>
        <v>0.7</v>
      </c>
      <c r="P9" s="64">
        <v>1</v>
      </c>
      <c r="Q9" s="70">
        <f t="shared" ref="Q9:Q20" si="2">Q8</f>
        <v>8.5</v>
      </c>
      <c r="R9" s="185">
        <f>IFERROR($L9+$M9*($O9*Q9)^$N9,$L9)</f>
        <v>28.870478976852624</v>
      </c>
      <c r="S9" s="186" cm="1">
        <f t="array" ref="S9">R9*$P9*INDEX(Month_Ref,Q$1-1,3)/365</f>
        <v>2.4520132829655652</v>
      </c>
      <c r="T9" s="70">
        <f t="shared" ref="T9:T20" si="3">T8</f>
        <v>7.8</v>
      </c>
      <c r="U9" s="185">
        <f>IFERROR($L9+$M9*($O9*T9)^$N9,$L9)</f>
        <v>27.906312526728726</v>
      </c>
      <c r="V9" s="186" cm="1">
        <f t="array" ref="V9">U9*$P9*INDEX(Month_Ref,T$1-1,3)/365</f>
        <v>2.1407582212285052</v>
      </c>
      <c r="W9" s="70">
        <f t="shared" ref="W9:W20" si="4">W8</f>
        <v>7.8</v>
      </c>
      <c r="X9" s="185">
        <f>IFERROR($L9+$M9*($O9*W9)^$N9,$L9)</f>
        <v>27.906312526728726</v>
      </c>
      <c r="Y9" s="186" cm="1">
        <f t="array" ref="Y9">X9*$P9*INDEX(Month_Ref,W$1-1,3)/365</f>
        <v>2.3701251735029878</v>
      </c>
      <c r="Z9" s="70">
        <f t="shared" ref="Z9:Z20" si="5">Z8</f>
        <v>7.8</v>
      </c>
      <c r="AA9" s="185">
        <f>IFERROR($L9+$M9*($O9*Z9)^$N9,$L9)</f>
        <v>27.906312526728726</v>
      </c>
      <c r="AB9" s="186" cm="1">
        <f t="array" ref="AB9">AA9*$P9*INDEX(Month_Ref,Z$1-1,3)/365</f>
        <v>2.2936695227448269</v>
      </c>
      <c r="AC9" s="70">
        <f t="shared" ref="AC9:AC20" si="6">AC8</f>
        <v>7.6</v>
      </c>
      <c r="AD9" s="185">
        <f>IFERROR($L9+$M9*($O9*AC9)^$N9,$L9)</f>
        <v>27.627393519350775</v>
      </c>
      <c r="AE9" s="186" cm="1">
        <f t="array" ref="AE9">AD9*$P9*INDEX(Month_Ref,AC$1-1,3)/365</f>
        <v>2.3464361619174632</v>
      </c>
      <c r="AF9" s="70">
        <f t="shared" ref="AF9:AF20" si="7">AF8</f>
        <v>7.8</v>
      </c>
      <c r="AG9" s="185">
        <f>IFERROR($L9+$M9*($O9*AF9)^$N9,$L9)</f>
        <v>27.906312526728726</v>
      </c>
      <c r="AH9" s="186" cm="1">
        <f t="array" ref="AH9">AG9*$P9*INDEX(Month_Ref,AF$1-1,3)/365</f>
        <v>2.2936695227448269</v>
      </c>
      <c r="AI9" s="70">
        <f t="shared" ref="AI9:AI20" si="8">AI8</f>
        <v>8.1</v>
      </c>
      <c r="AJ9" s="185">
        <f>IFERROR($L9+$M9*($O9*AI9)^$N9,$L9)</f>
        <v>28.321763902377739</v>
      </c>
      <c r="AK9" s="186" cm="1">
        <f t="array" ref="AK9">AJ9*$P9*INDEX(Month_Ref,AI$1-1,3)/365</f>
        <v>2.4054100848594793</v>
      </c>
      <c r="AL9" s="70">
        <f t="shared" ref="AL9:AL20" si="9">AL8</f>
        <v>7.2</v>
      </c>
      <c r="AM9" s="185">
        <f>IFERROR($L9+$M9*($O9*AL9)^$N9,$L9)</f>
        <v>27.064642869220098</v>
      </c>
      <c r="AN9" s="186" cm="1">
        <f t="array" ref="AN9">AM9*$P9*INDEX(Month_Ref,AL$1-1,3)/365</f>
        <v>2.2986409012214333</v>
      </c>
      <c r="AO9" s="70">
        <f t="shared" ref="AO9:AO20" si="10">AO8</f>
        <v>6.7</v>
      </c>
      <c r="AP9" s="185">
        <f>IFERROR($L9+$M9*($O9*AO9)^$N9,$L9)</f>
        <v>26.351410091029848</v>
      </c>
      <c r="AQ9" s="186" cm="1">
        <f t="array" ref="AQ9">AP9*$P9*INDEX(Month_Ref,AO$1-1,3)/365</f>
        <v>2.1658693225503987</v>
      </c>
      <c r="AR9" s="70">
        <f t="shared" ref="AR9:AR20" si="11">AR8</f>
        <v>6.7</v>
      </c>
      <c r="AS9" s="185">
        <f>IFERROR($L9+$M9*($O9*AR9)^$N9,$L9)</f>
        <v>26.351410091029848</v>
      </c>
      <c r="AT9" s="186" cm="1">
        <f t="array" ref="AT9">AS9*$P9*INDEX(Month_Ref,AR$1-1,3)/365</f>
        <v>2.2380649666354118</v>
      </c>
      <c r="AU9" s="70">
        <f t="shared" ref="AU9:AU20" si="12">AU8</f>
        <v>7.8</v>
      </c>
      <c r="AV9" s="185">
        <f>IFERROR($L9+$M9*($O9*AU9)^$N9,$L9)</f>
        <v>27.906312526728726</v>
      </c>
      <c r="AW9" s="186" cm="1">
        <f t="array" ref="AW9">AV9*$P9*INDEX(Month_Ref,AU$1-1,3)/365</f>
        <v>2.2936695227448269</v>
      </c>
      <c r="AX9" s="70">
        <f t="shared" ref="AX9:AX20" si="13">AX8</f>
        <v>8.6999999999999993</v>
      </c>
      <c r="AY9" s="185">
        <f>IFERROR($L9+$M9*($O9*AX9)^$N9,$L9)</f>
        <v>29.142696301377335</v>
      </c>
      <c r="AZ9" s="186" cm="1">
        <f t="array" ref="AZ9">AY9*$P9*INDEX(Month_Ref,AX$1-1,3)/365</f>
        <v>2.4751331105279379</v>
      </c>
      <c r="BA9" s="186">
        <f t="shared" si="0"/>
        <v>27.773459793643664</v>
      </c>
      <c r="BC9" s="20">
        <f t="shared" ref="BC9:BC21" si="14">BC8+1</f>
        <v>3</v>
      </c>
    </row>
    <row r="10" spans="2:65" ht="29.15" x14ac:dyDescent="0.4">
      <c r="B10" s="528"/>
      <c r="C10" s="531"/>
      <c r="D10" s="534"/>
      <c r="E10" s="534"/>
      <c r="F10" s="522"/>
      <c r="G10" s="522"/>
      <c r="H10" s="522"/>
      <c r="I10" s="525"/>
      <c r="J10" s="178" t="s">
        <v>1676</v>
      </c>
      <c r="K10" s="168" t="s">
        <v>1605</v>
      </c>
      <c r="L10" s="63">
        <f>INDEX(SGPW,MATCH($K10,SGPW_Name,0),2)</f>
        <v>0</v>
      </c>
      <c r="M10" s="63">
        <f>INDEX(SGPW,MATCH($K10,SGPW_Name,0),3)</f>
        <v>0</v>
      </c>
      <c r="N10" s="63">
        <f>INDEX(SGPW,MATCH($K10,SGPW_Name,0),4)</f>
        <v>0</v>
      </c>
      <c r="O10" s="63">
        <f t="shared" si="1"/>
        <v>0.7</v>
      </c>
      <c r="P10" s="64">
        <v>1</v>
      </c>
      <c r="Q10" s="70">
        <f t="shared" si="2"/>
        <v>8.5</v>
      </c>
      <c r="R10" s="63">
        <f>IFERROR($L10+$M10*($O10*Q10)^$N10,$L10)</f>
        <v>0</v>
      </c>
      <c r="S10" s="64" cm="1">
        <f t="array" ref="S10">R10*$P10*INDEX(Month_Ref,Q$1-1,3)/365</f>
        <v>0</v>
      </c>
      <c r="T10" s="70">
        <f t="shared" si="3"/>
        <v>7.8</v>
      </c>
      <c r="U10" s="63">
        <f>IFERROR($L10+$M10*($O10*T10)^$N10,$L10)</f>
        <v>0</v>
      </c>
      <c r="V10" s="64" cm="1">
        <f t="array" ref="V10">U10*$P10*INDEX(Month_Ref,T$1-1,3)/365</f>
        <v>0</v>
      </c>
      <c r="W10" s="70">
        <f t="shared" si="4"/>
        <v>7.8</v>
      </c>
      <c r="X10" s="63">
        <f>IFERROR($L10+$M10*($O10*W10)^$N10,$L10)</f>
        <v>0</v>
      </c>
      <c r="Y10" s="64" cm="1">
        <f t="array" ref="Y10">X10*$P10*INDEX(Month_Ref,W$1-1,3)/365</f>
        <v>0</v>
      </c>
      <c r="Z10" s="70">
        <f t="shared" si="5"/>
        <v>7.8</v>
      </c>
      <c r="AA10" s="63">
        <f>IFERROR($L10+$M10*($O10*Z10)^$N10,$L10)</f>
        <v>0</v>
      </c>
      <c r="AB10" s="64" cm="1">
        <f t="array" ref="AB10">AA10*$P10*INDEX(Month_Ref,Z$1-1,3)/365</f>
        <v>0</v>
      </c>
      <c r="AC10" s="70">
        <f t="shared" si="6"/>
        <v>7.6</v>
      </c>
      <c r="AD10" s="63">
        <f>IFERROR($L10+$M10*($O10*AC10)^$N10,$L10)</f>
        <v>0</v>
      </c>
      <c r="AE10" s="64" cm="1">
        <f t="array" ref="AE10">AD10*$P10*INDEX(Month_Ref,AC$1-1,3)/365</f>
        <v>0</v>
      </c>
      <c r="AF10" s="70">
        <f t="shared" si="7"/>
        <v>7.8</v>
      </c>
      <c r="AG10" s="63">
        <f>IFERROR($L10+$M10*($O10*AF10)^$N10,$L10)</f>
        <v>0</v>
      </c>
      <c r="AH10" s="64" cm="1">
        <f t="array" ref="AH10">AG10*$P10*INDEX(Month_Ref,AF$1-1,3)/365</f>
        <v>0</v>
      </c>
      <c r="AI10" s="70">
        <f t="shared" si="8"/>
        <v>8.1</v>
      </c>
      <c r="AJ10" s="63">
        <f>IFERROR($L10+$M10*($O10*AI10)^$N10,$L10)</f>
        <v>0</v>
      </c>
      <c r="AK10" s="64" cm="1">
        <f t="array" ref="AK10">AJ10*$P10*INDEX(Month_Ref,AI$1-1,3)/365</f>
        <v>0</v>
      </c>
      <c r="AL10" s="70">
        <f t="shared" si="9"/>
        <v>7.2</v>
      </c>
      <c r="AM10" s="63">
        <f>IFERROR($L10+$M10*($O10*AL10)^$N10,$L10)</f>
        <v>0</v>
      </c>
      <c r="AN10" s="64" cm="1">
        <f t="array" ref="AN10">AM10*$P10*INDEX(Month_Ref,AL$1-1,3)/365</f>
        <v>0</v>
      </c>
      <c r="AO10" s="70">
        <f t="shared" si="10"/>
        <v>6.7</v>
      </c>
      <c r="AP10" s="63">
        <f>IFERROR($L10+$M10*($O10*AO10)^$N10,$L10)</f>
        <v>0</v>
      </c>
      <c r="AQ10" s="64" cm="1">
        <f t="array" ref="AQ10">AP10*$P10*INDEX(Month_Ref,AO$1-1,3)/365</f>
        <v>0</v>
      </c>
      <c r="AR10" s="70">
        <f t="shared" si="11"/>
        <v>6.7</v>
      </c>
      <c r="AS10" s="63">
        <f>IFERROR($L10+$M10*($O10*AR10)^$N10,$L10)</f>
        <v>0</v>
      </c>
      <c r="AT10" s="64" cm="1">
        <f t="array" ref="AT10">AS10*$P10*INDEX(Month_Ref,AR$1-1,3)/365</f>
        <v>0</v>
      </c>
      <c r="AU10" s="70">
        <f t="shared" si="12"/>
        <v>7.8</v>
      </c>
      <c r="AV10" s="63">
        <f>IFERROR($L10+$M10*($O10*AU10)^$N10,$L10)</f>
        <v>0</v>
      </c>
      <c r="AW10" s="64" cm="1">
        <f t="array" ref="AW10">AV10*$P10*INDEX(Month_Ref,AU$1-1,3)/365</f>
        <v>0</v>
      </c>
      <c r="AX10" s="70">
        <f t="shared" si="13"/>
        <v>8.6999999999999993</v>
      </c>
      <c r="AY10" s="63">
        <f>IFERROR($L10+$M10*($O10*AX10)^$N10,$L10)</f>
        <v>0</v>
      </c>
      <c r="AZ10" s="64" cm="1">
        <f t="array" ref="AZ10">AY10*$P10*INDEX(Month_Ref,AX$1-1,3)/365</f>
        <v>0</v>
      </c>
      <c r="BA10" s="183">
        <f t="shared" si="0"/>
        <v>0</v>
      </c>
      <c r="BC10" s="20">
        <f t="shared" si="14"/>
        <v>4</v>
      </c>
    </row>
    <row r="11" spans="2:65" x14ac:dyDescent="0.4">
      <c r="B11" s="528"/>
      <c r="C11" s="531"/>
      <c r="D11" s="534"/>
      <c r="E11" s="534"/>
      <c r="F11" s="522"/>
      <c r="G11" s="522"/>
      <c r="H11" s="522"/>
      <c r="I11" s="525"/>
      <c r="J11" s="178" t="s">
        <v>1682</v>
      </c>
      <c r="K11" s="168" t="s">
        <v>1661</v>
      </c>
      <c r="L11" s="63">
        <f>INDEX(GFW,MATCH($K11,GFW_Name,0),2)</f>
        <v>2.8</v>
      </c>
      <c r="M11" s="63">
        <f>INDEX(GFW,MATCH($K11,GFW_Name,0),3)</f>
        <v>0</v>
      </c>
      <c r="N11" s="63">
        <f>INDEX(GFW,MATCH($K11,GFW_Name,0),4)</f>
        <v>0</v>
      </c>
      <c r="O11" s="63">
        <f t="shared" si="1"/>
        <v>0.7</v>
      </c>
      <c r="P11" s="64">
        <v>1</v>
      </c>
      <c r="Q11" s="70">
        <f t="shared" si="2"/>
        <v>8.5</v>
      </c>
      <c r="R11" s="187">
        <f t="shared" ref="R11:R20" si="15">IFERROR($L11+$M11*($O11*Q11)^$N11,$L11)</f>
        <v>2.8</v>
      </c>
      <c r="S11" s="189" cm="1">
        <f t="array" ref="S11">R11*$P11*INDEX(Month_Ref,Q$1-1,3)/365</f>
        <v>0.23780821917808218</v>
      </c>
      <c r="T11" s="70">
        <f t="shared" si="3"/>
        <v>7.8</v>
      </c>
      <c r="U11" s="187">
        <f t="shared" ref="U11:U20" si="16">IFERROR($L11+$M11*($O11*T11)^$N11,$L11)</f>
        <v>2.8</v>
      </c>
      <c r="V11" s="189" cm="1">
        <f t="array" ref="V11">U11*$P11*INDEX(Month_Ref,T$1-1,3)/365</f>
        <v>0.21479452054794518</v>
      </c>
      <c r="W11" s="70">
        <f t="shared" si="4"/>
        <v>7.8</v>
      </c>
      <c r="X11" s="187">
        <f t="shared" ref="X11:X20" si="17">IFERROR($L11+$M11*($O11*W11)^$N11,$L11)</f>
        <v>2.8</v>
      </c>
      <c r="Y11" s="189" cm="1">
        <f t="array" ref="Y11">X11*$P11*INDEX(Month_Ref,W$1-1,3)/365</f>
        <v>0.23780821917808218</v>
      </c>
      <c r="Z11" s="70">
        <f t="shared" si="5"/>
        <v>7.8</v>
      </c>
      <c r="AA11" s="187">
        <f t="shared" ref="AA11:AA20" si="18">IFERROR($L11+$M11*($O11*Z11)^$N11,$L11)</f>
        <v>2.8</v>
      </c>
      <c r="AB11" s="189" cm="1">
        <f t="array" ref="AB11">AA11*$P11*INDEX(Month_Ref,Z$1-1,3)/365</f>
        <v>0.23013698630136986</v>
      </c>
      <c r="AC11" s="70">
        <f t="shared" si="6"/>
        <v>7.6</v>
      </c>
      <c r="AD11" s="187">
        <f t="shared" ref="AD11:AD20" si="19">IFERROR($L11+$M11*($O11*AC11)^$N11,$L11)</f>
        <v>2.8</v>
      </c>
      <c r="AE11" s="189" cm="1">
        <f t="array" ref="AE11">AD11*$P11*INDEX(Month_Ref,AC$1-1,3)/365</f>
        <v>0.23780821917808218</v>
      </c>
      <c r="AF11" s="70">
        <f t="shared" si="7"/>
        <v>7.8</v>
      </c>
      <c r="AG11" s="187">
        <f t="shared" ref="AG11:AG20" si="20">IFERROR($L11+$M11*($O11*AF11)^$N11,$L11)</f>
        <v>2.8</v>
      </c>
      <c r="AH11" s="189" cm="1">
        <f t="array" ref="AH11">AG11*$P11*INDEX(Month_Ref,AF$1-1,3)/365</f>
        <v>0.23013698630136986</v>
      </c>
      <c r="AI11" s="70">
        <f t="shared" si="8"/>
        <v>8.1</v>
      </c>
      <c r="AJ11" s="187">
        <f t="shared" ref="AJ11:AJ20" si="21">IFERROR($L11+$M11*($O11*AI11)^$N11,$L11)</f>
        <v>2.8</v>
      </c>
      <c r="AK11" s="189" cm="1">
        <f t="array" ref="AK11">AJ11*$P11*INDEX(Month_Ref,AI$1-1,3)/365</f>
        <v>0.23780821917808218</v>
      </c>
      <c r="AL11" s="70">
        <f t="shared" si="9"/>
        <v>7.2</v>
      </c>
      <c r="AM11" s="187">
        <f t="shared" ref="AM11:AM20" si="22">IFERROR($L11+$M11*($O11*AL11)^$N11,$L11)</f>
        <v>2.8</v>
      </c>
      <c r="AN11" s="189" cm="1">
        <f t="array" ref="AN11">AM11*$P11*INDEX(Month_Ref,AL$1-1,3)/365</f>
        <v>0.23780821917808218</v>
      </c>
      <c r="AO11" s="70">
        <f t="shared" si="10"/>
        <v>6.7</v>
      </c>
      <c r="AP11" s="187">
        <f t="shared" ref="AP11:AP20" si="23">IFERROR($L11+$M11*($O11*AO11)^$N11,$L11)</f>
        <v>2.8</v>
      </c>
      <c r="AQ11" s="189" cm="1">
        <f t="array" ref="AQ11">AP11*$P11*INDEX(Month_Ref,AO$1-1,3)/365</f>
        <v>0.23013698630136986</v>
      </c>
      <c r="AR11" s="70">
        <f t="shared" si="11"/>
        <v>6.7</v>
      </c>
      <c r="AS11" s="187">
        <f t="shared" ref="AS11:AS20" si="24">IFERROR($L11+$M11*($O11*AR11)^$N11,$L11)</f>
        <v>2.8</v>
      </c>
      <c r="AT11" s="189" cm="1">
        <f t="array" ref="AT11">AS11*$P11*INDEX(Month_Ref,AR$1-1,3)/365</f>
        <v>0.23780821917808218</v>
      </c>
      <c r="AU11" s="70">
        <f t="shared" si="12"/>
        <v>7.8</v>
      </c>
      <c r="AV11" s="187">
        <f t="shared" ref="AV11:AV20" si="25">IFERROR($L11+$M11*($O11*AU11)^$N11,$L11)</f>
        <v>2.8</v>
      </c>
      <c r="AW11" s="189" cm="1">
        <f t="array" ref="AW11">AV11*$P11*INDEX(Month_Ref,AU$1-1,3)/365</f>
        <v>0.23013698630136986</v>
      </c>
      <c r="AX11" s="70">
        <f t="shared" si="13"/>
        <v>8.6999999999999993</v>
      </c>
      <c r="AY11" s="187">
        <f t="shared" ref="AY11:AY20" si="26">IFERROR($L11+$M11*($O11*AX11)^$N11,$L11)</f>
        <v>2.8</v>
      </c>
      <c r="AZ11" s="189" cm="1">
        <f t="array" ref="AZ11">AY11*$P11*INDEX(Month_Ref,AX$1-1,3)/365</f>
        <v>0.23780821917808218</v>
      </c>
      <c r="BA11" s="183">
        <f t="shared" si="0"/>
        <v>2.8</v>
      </c>
      <c r="BC11" s="20">
        <f t="shared" si="14"/>
        <v>5</v>
      </c>
    </row>
    <row r="12" spans="2:65" ht="29.15" x14ac:dyDescent="0.4">
      <c r="B12" s="528"/>
      <c r="C12" s="531"/>
      <c r="D12" s="534"/>
      <c r="E12" s="534"/>
      <c r="F12" s="522"/>
      <c r="G12" s="522"/>
      <c r="H12" s="522"/>
      <c r="I12" s="525"/>
      <c r="J12" s="179" t="s">
        <v>1683</v>
      </c>
      <c r="K12" s="168" t="s">
        <v>1704</v>
      </c>
      <c r="L12" s="63">
        <f>INDEX(GHSP,MATCH($K12,GHSP_Name,0),2)</f>
        <v>0.47</v>
      </c>
      <c r="M12" s="63">
        <f>INDEX(GHSP,MATCH($K12,GHSP_Name,0),3)</f>
        <v>0.02</v>
      </c>
      <c r="N12" s="63">
        <f>INDEX(GHSP,MATCH($K12,GHSP_Name,0),4)</f>
        <v>0.97</v>
      </c>
      <c r="O12" s="63">
        <f t="shared" si="1"/>
        <v>0.7</v>
      </c>
      <c r="P12" s="64">
        <v>1</v>
      </c>
      <c r="Q12" s="70">
        <f t="shared" si="2"/>
        <v>8.5</v>
      </c>
      <c r="R12" s="190">
        <f t="shared" si="15"/>
        <v>0.58280061109123849</v>
      </c>
      <c r="S12" s="191" cm="1">
        <f t="array" ref="S12">R12*$P12*INDEX(Month_Ref,Q$1-1,3)/365</f>
        <v>4.9498134092680536E-2</v>
      </c>
      <c r="T12" s="70">
        <f t="shared" si="3"/>
        <v>7.8</v>
      </c>
      <c r="U12" s="190">
        <f t="shared" si="16"/>
        <v>0.57377837333166393</v>
      </c>
      <c r="V12" s="191" cm="1">
        <f t="array" ref="V12">U12*$P12*INDEX(Month_Ref,T$1-1,3)/365</f>
        <v>4.4015875214483809E-2</v>
      </c>
      <c r="W12" s="70">
        <f t="shared" si="4"/>
        <v>7.8</v>
      </c>
      <c r="X12" s="190">
        <f t="shared" si="17"/>
        <v>0.57377837333166393</v>
      </c>
      <c r="Y12" s="191" cm="1">
        <f t="array" ref="Y12">X12*$P12*INDEX(Month_Ref,W$1-1,3)/365</f>
        <v>4.8731861844607073E-2</v>
      </c>
      <c r="Z12" s="70">
        <f t="shared" si="5"/>
        <v>7.8</v>
      </c>
      <c r="AA12" s="190">
        <f t="shared" si="18"/>
        <v>0.57377837333166393</v>
      </c>
      <c r="AB12" s="191" cm="1">
        <f t="array" ref="AB12">AA12*$P12*INDEX(Month_Ref,Z$1-1,3)/365</f>
        <v>4.7159866301232659E-2</v>
      </c>
      <c r="AC12" s="70">
        <f t="shared" si="6"/>
        <v>7.6</v>
      </c>
      <c r="AD12" s="190">
        <f t="shared" si="19"/>
        <v>0.57119621731119852</v>
      </c>
      <c r="AE12" s="191" cm="1">
        <f t="array" ref="AE12">AD12*$P12*INDEX(Month_Ref,AC$1-1,3)/365</f>
        <v>4.8512555442868921E-2</v>
      </c>
      <c r="AF12" s="70">
        <f t="shared" si="7"/>
        <v>7.8</v>
      </c>
      <c r="AG12" s="190">
        <f t="shared" si="20"/>
        <v>0.57377837333166393</v>
      </c>
      <c r="AH12" s="191" cm="1">
        <f t="array" ref="AH12">AG12*$P12*INDEX(Month_Ref,AF$1-1,3)/365</f>
        <v>4.7159866301232659E-2</v>
      </c>
      <c r="AI12" s="70">
        <f t="shared" si="8"/>
        <v>8.1</v>
      </c>
      <c r="AJ12" s="190">
        <f t="shared" si="21"/>
        <v>0.57764790019431433</v>
      </c>
      <c r="AK12" s="191" cm="1">
        <f t="array" ref="AK12">AJ12*$P12*INDEX(Month_Ref,AI$1-1,3)/365</f>
        <v>4.9060506591845875E-2</v>
      </c>
      <c r="AL12" s="70">
        <f t="shared" si="9"/>
        <v>7.2</v>
      </c>
      <c r="AM12" s="190">
        <f t="shared" si="22"/>
        <v>0.56602572969125486</v>
      </c>
      <c r="AN12" s="191" cm="1">
        <f t="array" ref="AN12">AM12*$P12*INDEX(Month_Ref,AL$1-1,3)/365</f>
        <v>4.8073418138161371E-2</v>
      </c>
      <c r="AO12" s="70">
        <f t="shared" si="10"/>
        <v>6.7</v>
      </c>
      <c r="AP12" s="190">
        <f t="shared" si="23"/>
        <v>0.55955042536635002</v>
      </c>
      <c r="AQ12" s="191" cm="1">
        <f t="array" ref="AQ12">AP12*$P12*INDEX(Month_Ref,AO$1-1,3)/365</f>
        <v>4.599044592052192E-2</v>
      </c>
      <c r="AR12" s="70">
        <f t="shared" si="11"/>
        <v>6.7</v>
      </c>
      <c r="AS12" s="190">
        <f t="shared" si="24"/>
        <v>0.55955042536635002</v>
      </c>
      <c r="AT12" s="191" cm="1">
        <f t="array" ref="AT12">AS12*$P12*INDEX(Month_Ref,AR$1-1,3)/365</f>
        <v>4.7523460784539319E-2</v>
      </c>
      <c r="AU12" s="70">
        <f t="shared" si="12"/>
        <v>7.8</v>
      </c>
      <c r="AV12" s="190">
        <f t="shared" si="25"/>
        <v>0.57377837333166393</v>
      </c>
      <c r="AW12" s="191" cm="1">
        <f t="array" ref="AW12">AV12*$P12*INDEX(Month_Ref,AU$1-1,3)/365</f>
        <v>4.7159866301232659E-2</v>
      </c>
      <c r="AX12" s="70">
        <f t="shared" si="13"/>
        <v>8.6999999999999993</v>
      </c>
      <c r="AY12" s="190">
        <f t="shared" si="26"/>
        <v>0.58537421776028165</v>
      </c>
      <c r="AZ12" s="191" cm="1">
        <f t="array" ref="AZ12">AY12*$P12*INDEX(Month_Ref,AX$1-1,3)/365</f>
        <v>4.9716714385119806E-2</v>
      </c>
      <c r="BA12" s="183">
        <f t="shared" si="0"/>
        <v>0.57260257131852665</v>
      </c>
      <c r="BC12" s="20">
        <f t="shared" si="14"/>
        <v>6</v>
      </c>
    </row>
    <row r="13" spans="2:65" ht="29.15" x14ac:dyDescent="0.4">
      <c r="B13" s="528"/>
      <c r="C13" s="531"/>
      <c r="D13" s="534"/>
      <c r="E13" s="534"/>
      <c r="F13" s="522"/>
      <c r="G13" s="522"/>
      <c r="H13" s="522"/>
      <c r="I13" s="525"/>
      <c r="J13" s="179" t="s">
        <v>1687</v>
      </c>
      <c r="K13" s="168" t="s">
        <v>1685</v>
      </c>
      <c r="L13" s="63">
        <f>INDEX(Vac_Break,MATCH($K13,Vac_Break_Name,0),2)</f>
        <v>7.8</v>
      </c>
      <c r="M13" s="63">
        <f>INDEX(Vac_Break,MATCH($K13,Vac_Break_Name,0),3)</f>
        <v>0.01</v>
      </c>
      <c r="N13" s="63">
        <f>INDEX(Vac_Break,MATCH($K13,Vac_Break_Name,0),4)</f>
        <v>4</v>
      </c>
      <c r="O13" s="63">
        <f t="shared" si="1"/>
        <v>0.7</v>
      </c>
      <c r="P13" s="64" cm="1">
        <f t="array" ref="P13">IF(F7="Internal Floating Roof",1,INDEX(Tbl_71_13,_xlfn.MINIFS(Tbl_71_13_Range,Tbl_71_13_Dia,"&gt;="&amp;$E7),IF(G7="Pontoon",3,4)))</f>
        <v>2</v>
      </c>
      <c r="Q13" s="70">
        <f t="shared" si="2"/>
        <v>8.5</v>
      </c>
      <c r="R13" s="187">
        <f t="shared" si="15"/>
        <v>20.333370062499991</v>
      </c>
      <c r="S13" s="189" cm="1">
        <f t="array" ref="S13">R13*$P13*INDEX(Month_Ref,Q$1-1,3)/365</f>
        <v>3.453887517465752</v>
      </c>
      <c r="T13" s="70">
        <f t="shared" si="3"/>
        <v>7.8</v>
      </c>
      <c r="U13" s="187">
        <f t="shared" si="16"/>
        <v>16.687314945599997</v>
      </c>
      <c r="V13" s="189" cm="1">
        <f t="array" ref="V13">U13*$P13*INDEX(Month_Ref,T$1-1,3)/365</f>
        <v>2.5602455806947941</v>
      </c>
      <c r="W13" s="70">
        <f t="shared" si="4"/>
        <v>7.8</v>
      </c>
      <c r="X13" s="187">
        <f t="shared" si="17"/>
        <v>16.687314945599997</v>
      </c>
      <c r="Y13" s="189" cm="1">
        <f t="array" ref="Y13">X13*$P13*INDEX(Month_Ref,W$1-1,3)/365</f>
        <v>2.8345576071978078</v>
      </c>
      <c r="Z13" s="70">
        <f t="shared" si="5"/>
        <v>7.8</v>
      </c>
      <c r="AA13" s="187">
        <f t="shared" si="18"/>
        <v>16.687314945599997</v>
      </c>
      <c r="AB13" s="189" cm="1">
        <f t="array" ref="AB13">AA13*$P13*INDEX(Month_Ref,Z$1-1,3)/365</f>
        <v>2.7431202650301363</v>
      </c>
      <c r="AC13" s="70">
        <f t="shared" si="6"/>
        <v>7.6</v>
      </c>
      <c r="AD13" s="187">
        <f t="shared" si="19"/>
        <v>15.810258457599996</v>
      </c>
      <c r="AE13" s="189" cm="1">
        <f t="array" ref="AE13">AD13*$P13*INDEX(Month_Ref,AC$1-1,3)/365</f>
        <v>2.685578148962191</v>
      </c>
      <c r="AF13" s="70">
        <f t="shared" si="7"/>
        <v>7.8</v>
      </c>
      <c r="AG13" s="187">
        <f t="shared" si="20"/>
        <v>16.687314945599997</v>
      </c>
      <c r="AH13" s="189" cm="1">
        <f t="array" ref="AH13">AG13*$P13*INDEX(Month_Ref,AF$1-1,3)/365</f>
        <v>2.7431202650301363</v>
      </c>
      <c r="AI13" s="70">
        <f t="shared" si="8"/>
        <v>8.1</v>
      </c>
      <c r="AJ13" s="187">
        <f t="shared" si="21"/>
        <v>18.135517712099993</v>
      </c>
      <c r="AK13" s="189" cm="1">
        <f t="array" ref="AK13">AJ13*$P13*INDEX(Month_Ref,AI$1-1,3)/365</f>
        <v>3.0805536935621909</v>
      </c>
      <c r="AL13" s="70">
        <f t="shared" si="9"/>
        <v>7.2</v>
      </c>
      <c r="AM13" s="187">
        <f t="shared" si="22"/>
        <v>14.2524128256</v>
      </c>
      <c r="AN13" s="189" cm="1">
        <f t="array" ref="AN13">AM13*$P13*INDEX(Month_Ref,AL$1-1,3)/365</f>
        <v>2.4209577950334249</v>
      </c>
      <c r="AO13" s="70">
        <f t="shared" si="10"/>
        <v>6.7</v>
      </c>
      <c r="AP13" s="187">
        <f t="shared" si="23"/>
        <v>12.638284152099999</v>
      </c>
      <c r="AQ13" s="189" cm="1">
        <f t="array" ref="AQ13">AP13*$P13*INDEX(Month_Ref,AO$1-1,3)/365</f>
        <v>2.0775261619890411</v>
      </c>
      <c r="AR13" s="70">
        <f t="shared" si="11"/>
        <v>6.7</v>
      </c>
      <c r="AS13" s="187">
        <f t="shared" si="24"/>
        <v>12.638284152099999</v>
      </c>
      <c r="AT13" s="189" cm="1">
        <f t="array" ref="AT13">AS13*$P13*INDEX(Month_Ref,AR$1-1,3)/365</f>
        <v>2.1467770340553423</v>
      </c>
      <c r="AU13" s="70">
        <f t="shared" si="12"/>
        <v>7.8</v>
      </c>
      <c r="AV13" s="187">
        <f t="shared" si="25"/>
        <v>16.687314945599997</v>
      </c>
      <c r="AW13" s="189" cm="1">
        <f t="array" ref="AW13">AV13*$P13*INDEX(Month_Ref,AU$1-1,3)/365</f>
        <v>2.7431202650301363</v>
      </c>
      <c r="AX13" s="70">
        <f t="shared" si="13"/>
        <v>8.6999999999999993</v>
      </c>
      <c r="AY13" s="187">
        <f t="shared" si="26"/>
        <v>21.555271616099994</v>
      </c>
      <c r="AZ13" s="189" cm="1">
        <f t="array" ref="AZ13">AY13*$P13*INDEX(Month_Ref,AX$1-1,3)/365</f>
        <v>3.661443397803287</v>
      </c>
      <c r="BA13" s="183">
        <f t="shared" si="0"/>
        <v>33.15088773185424</v>
      </c>
      <c r="BC13" s="20">
        <f t="shared" si="14"/>
        <v>7</v>
      </c>
    </row>
    <row r="14" spans="2:65" ht="29.15" x14ac:dyDescent="0.4">
      <c r="B14" s="528"/>
      <c r="C14" s="531"/>
      <c r="D14" s="534"/>
      <c r="E14" s="534"/>
      <c r="F14" s="522"/>
      <c r="G14" s="522"/>
      <c r="H14" s="522"/>
      <c r="I14" s="525"/>
      <c r="J14" s="179" t="s">
        <v>1688</v>
      </c>
      <c r="K14" s="168" t="s">
        <v>1704</v>
      </c>
      <c r="L14" s="63">
        <f>INDEX(Deck_Drain,MATCH($K14,Deck_Drain_Name,0),2)</f>
        <v>1.8</v>
      </c>
      <c r="M14" s="63">
        <f>INDEX(Deck_Drain,MATCH($K14,Deck_Drain_Name,0),3)</f>
        <v>0.14000000000000001</v>
      </c>
      <c r="N14" s="63">
        <f>INDEX(Deck_Drain,MATCH($K14,Deck_Drain_Name,0),4)</f>
        <v>1.1000000000000001</v>
      </c>
      <c r="O14" s="63">
        <f t="shared" si="1"/>
        <v>0.7</v>
      </c>
      <c r="P14" s="64" cm="1">
        <f t="array" ref="P14">IF(F7="Internal Floating Roof",1,INDEX(Tbl_71_13,_xlfn.MINIFS(Tbl_71_13_Range,Tbl_71_13_Dia,"&gt;="&amp;$E7),5))</f>
        <v>2</v>
      </c>
      <c r="Q14" s="70">
        <f t="shared" si="2"/>
        <v>8.5</v>
      </c>
      <c r="R14" s="188">
        <f t="shared" si="15"/>
        <v>2.7956270743453144</v>
      </c>
      <c r="S14" s="192" cm="1">
        <f t="array" ref="S14">R14*$P14*INDEX(Month_Ref,Q$1-1,3)/365</f>
        <v>0.47487364002577942</v>
      </c>
      <c r="T14" s="70">
        <f t="shared" si="3"/>
        <v>7.8</v>
      </c>
      <c r="U14" s="188">
        <f t="shared" si="16"/>
        <v>2.7058159061866491</v>
      </c>
      <c r="V14" s="192" cm="1">
        <f t="array" ref="V14">U14*$P14*INDEX(Month_Ref,T$1-1,3)/365</f>
        <v>0.41513887875740368</v>
      </c>
      <c r="W14" s="70">
        <f t="shared" si="4"/>
        <v>7.8</v>
      </c>
      <c r="X14" s="188">
        <f t="shared" si="17"/>
        <v>2.7058159061866491</v>
      </c>
      <c r="Y14" s="192" cm="1">
        <f t="array" ref="Y14">X14*$P14*INDEX(Month_Ref,W$1-1,3)/365</f>
        <v>0.45961804433855413</v>
      </c>
      <c r="Z14" s="70">
        <f t="shared" si="5"/>
        <v>7.8</v>
      </c>
      <c r="AA14" s="188">
        <f t="shared" si="18"/>
        <v>2.7058159061866491</v>
      </c>
      <c r="AB14" s="192" cm="1">
        <f t="array" ref="AB14">AA14*$P14*INDEX(Month_Ref,Z$1-1,3)/365</f>
        <v>0.44479165581150393</v>
      </c>
      <c r="AC14" s="70">
        <f t="shared" si="6"/>
        <v>7.6</v>
      </c>
      <c r="AD14" s="188">
        <f t="shared" si="19"/>
        <v>2.6803002621809786</v>
      </c>
      <c r="AE14" s="192" cm="1">
        <f t="array" ref="AE14">AD14*$P14*INDEX(Month_Ref,AC$1-1,3)/365</f>
        <v>0.45528388015128951</v>
      </c>
      <c r="AF14" s="70">
        <f t="shared" si="7"/>
        <v>7.8</v>
      </c>
      <c r="AG14" s="188">
        <f t="shared" si="20"/>
        <v>2.7058159061866491</v>
      </c>
      <c r="AH14" s="192" cm="1">
        <f t="array" ref="AH14">AG14*$P14*INDEX(Month_Ref,AF$1-1,3)/365</f>
        <v>0.44479165581150393</v>
      </c>
      <c r="AI14" s="70">
        <f t="shared" si="8"/>
        <v>8.1</v>
      </c>
      <c r="AJ14" s="188">
        <f t="shared" si="21"/>
        <v>2.744211749708052</v>
      </c>
      <c r="AK14" s="192" cm="1">
        <f t="array" ref="AK14">AJ14*$P14*INDEX(Month_Ref,AI$1-1,3)/365</f>
        <v>0.4661400780326006</v>
      </c>
      <c r="AL14" s="70">
        <f t="shared" si="9"/>
        <v>7.2</v>
      </c>
      <c r="AM14" s="188">
        <f t="shared" si="22"/>
        <v>2.6294718001921589</v>
      </c>
      <c r="AN14" s="192" cm="1">
        <f t="array" ref="AN14">AM14*$P14*INDEX(Month_Ref,AL$1-1,3)/365</f>
        <v>0.44665000441620228</v>
      </c>
      <c r="AO14" s="70">
        <f t="shared" si="10"/>
        <v>6.7</v>
      </c>
      <c r="AP14" s="188">
        <f t="shared" si="23"/>
        <v>2.566334120525315</v>
      </c>
      <c r="AQ14" s="192" cm="1">
        <f t="array" ref="AQ14">AP14*$P14*INDEX(Month_Ref,AO$1-1,3)/365</f>
        <v>0.4218631431000518</v>
      </c>
      <c r="AR14" s="70">
        <f t="shared" si="11"/>
        <v>6.7</v>
      </c>
      <c r="AS14" s="188">
        <f t="shared" si="24"/>
        <v>2.566334120525315</v>
      </c>
      <c r="AT14" s="192" cm="1">
        <f t="array" ref="AT14">AS14*$P14*INDEX(Month_Ref,AR$1-1,3)/365</f>
        <v>0.43592524787005349</v>
      </c>
      <c r="AU14" s="70">
        <f t="shared" si="12"/>
        <v>7.8</v>
      </c>
      <c r="AV14" s="188">
        <f t="shared" si="25"/>
        <v>2.7058159061866491</v>
      </c>
      <c r="AW14" s="192" cm="1">
        <f t="array" ref="AW14">AV14*$P14*INDEX(Month_Ref,AU$1-1,3)/365</f>
        <v>0.44479165581150393</v>
      </c>
      <c r="AX14" s="70">
        <f t="shared" si="13"/>
        <v>8.6999999999999993</v>
      </c>
      <c r="AY14" s="188">
        <f t="shared" si="26"/>
        <v>2.8214263507130477</v>
      </c>
      <c r="AZ14" s="192" cm="1">
        <f t="array" ref="AZ14">AY14*$P14*INDEX(Month_Ref,AX$1-1,3)/365</f>
        <v>0.47925598286084642</v>
      </c>
      <c r="BA14" s="183">
        <f t="shared" si="0"/>
        <v>5.3891238669872932</v>
      </c>
      <c r="BC14" s="20">
        <f t="shared" si="14"/>
        <v>8</v>
      </c>
    </row>
    <row r="15" spans="2:65" x14ac:dyDescent="0.4">
      <c r="B15" s="528"/>
      <c r="C15" s="531"/>
      <c r="D15" s="534"/>
      <c r="E15" s="534"/>
      <c r="F15" s="522"/>
      <c r="G15" s="522"/>
      <c r="H15" s="522"/>
      <c r="I15" s="525"/>
      <c r="J15" s="179" t="s">
        <v>1708</v>
      </c>
      <c r="K15" s="168" t="s">
        <v>1605</v>
      </c>
      <c r="L15" s="63">
        <f>INDEX(Deck_Leg_IFR,MATCH($K15,Deck_Leg_IFR_Name,0),2)</f>
        <v>0</v>
      </c>
      <c r="M15" s="63">
        <f>INDEX(Deck_Leg_IFR,MATCH($K15,Deck_Leg_IFR_Name,0),3)</f>
        <v>0</v>
      </c>
      <c r="N15" s="63">
        <f>INDEX(Deck_Leg_IFR,MATCH($K15,Deck_Leg_IFR_Name,0),4)</f>
        <v>0</v>
      </c>
      <c r="O15" s="63">
        <f t="shared" si="1"/>
        <v>0.7</v>
      </c>
      <c r="P15" s="64">
        <f>IF($F7="Internal Floating Roof",ROUND(5+$E7/10+($E7^2)/600,0),0)</f>
        <v>0</v>
      </c>
      <c r="Q15" s="70">
        <f t="shared" si="2"/>
        <v>8.5</v>
      </c>
      <c r="R15" s="63">
        <f t="shared" si="15"/>
        <v>0</v>
      </c>
      <c r="S15" s="64" cm="1">
        <f t="array" ref="S15">R15*$P15*INDEX(Month_Ref,Q$1-1,3)/365</f>
        <v>0</v>
      </c>
      <c r="T15" s="70">
        <f t="shared" si="3"/>
        <v>7.8</v>
      </c>
      <c r="U15" s="63">
        <f t="shared" si="16"/>
        <v>0</v>
      </c>
      <c r="V15" s="64" cm="1">
        <f t="array" ref="V15">U15*$P15*INDEX(Month_Ref,T$1-1,3)/365</f>
        <v>0</v>
      </c>
      <c r="W15" s="70">
        <f t="shared" si="4"/>
        <v>7.8</v>
      </c>
      <c r="X15" s="63">
        <f t="shared" si="17"/>
        <v>0</v>
      </c>
      <c r="Y15" s="64" cm="1">
        <f t="array" ref="Y15">X15*$P15*INDEX(Month_Ref,W$1-1,3)/365</f>
        <v>0</v>
      </c>
      <c r="Z15" s="70">
        <f t="shared" si="5"/>
        <v>7.8</v>
      </c>
      <c r="AA15" s="63">
        <f t="shared" si="18"/>
        <v>0</v>
      </c>
      <c r="AB15" s="64" cm="1">
        <f t="array" ref="AB15">AA15*$P15*INDEX(Month_Ref,Z$1-1,3)/365</f>
        <v>0</v>
      </c>
      <c r="AC15" s="70">
        <f t="shared" si="6"/>
        <v>7.6</v>
      </c>
      <c r="AD15" s="63">
        <f t="shared" si="19"/>
        <v>0</v>
      </c>
      <c r="AE15" s="64" cm="1">
        <f t="array" ref="AE15">AD15*$P15*INDEX(Month_Ref,AC$1-1,3)/365</f>
        <v>0</v>
      </c>
      <c r="AF15" s="70">
        <f t="shared" si="7"/>
        <v>7.8</v>
      </c>
      <c r="AG15" s="63">
        <f t="shared" si="20"/>
        <v>0</v>
      </c>
      <c r="AH15" s="64" cm="1">
        <f t="array" ref="AH15">AG15*$P15*INDEX(Month_Ref,AF$1-1,3)/365</f>
        <v>0</v>
      </c>
      <c r="AI15" s="70">
        <f t="shared" si="8"/>
        <v>8.1</v>
      </c>
      <c r="AJ15" s="63">
        <f t="shared" si="21"/>
        <v>0</v>
      </c>
      <c r="AK15" s="64" cm="1">
        <f t="array" ref="AK15">AJ15*$P15*INDEX(Month_Ref,AI$1-1,3)/365</f>
        <v>0</v>
      </c>
      <c r="AL15" s="70">
        <f t="shared" si="9"/>
        <v>7.2</v>
      </c>
      <c r="AM15" s="63">
        <f t="shared" si="22"/>
        <v>0</v>
      </c>
      <c r="AN15" s="64" cm="1">
        <f t="array" ref="AN15">AM15*$P15*INDEX(Month_Ref,AL$1-1,3)/365</f>
        <v>0</v>
      </c>
      <c r="AO15" s="70">
        <f t="shared" si="10"/>
        <v>6.7</v>
      </c>
      <c r="AP15" s="63">
        <f t="shared" si="23"/>
        <v>0</v>
      </c>
      <c r="AQ15" s="64" cm="1">
        <f t="array" ref="AQ15">AP15*$P15*INDEX(Month_Ref,AO$1-1,3)/365</f>
        <v>0</v>
      </c>
      <c r="AR15" s="70">
        <f t="shared" si="11"/>
        <v>6.7</v>
      </c>
      <c r="AS15" s="63">
        <f t="shared" si="24"/>
        <v>0</v>
      </c>
      <c r="AT15" s="64" cm="1">
        <f t="array" ref="AT15">AS15*$P15*INDEX(Month_Ref,AR$1-1,3)/365</f>
        <v>0</v>
      </c>
      <c r="AU15" s="70">
        <f t="shared" si="12"/>
        <v>7.8</v>
      </c>
      <c r="AV15" s="63">
        <f t="shared" si="25"/>
        <v>0</v>
      </c>
      <c r="AW15" s="64" cm="1">
        <f t="array" ref="AW15">AV15*$P15*INDEX(Month_Ref,AU$1-1,3)/365</f>
        <v>0</v>
      </c>
      <c r="AX15" s="70">
        <f t="shared" si="13"/>
        <v>8.6999999999999993</v>
      </c>
      <c r="AY15" s="63">
        <f t="shared" si="26"/>
        <v>0</v>
      </c>
      <c r="AZ15" s="64" cm="1">
        <f t="array" ref="AZ15">AY15*$P15*INDEX(Month_Ref,AX$1-1,3)/365</f>
        <v>0</v>
      </c>
      <c r="BA15" s="183">
        <f t="shared" si="0"/>
        <v>0</v>
      </c>
      <c r="BC15" s="20">
        <f t="shared" si="14"/>
        <v>9</v>
      </c>
    </row>
    <row r="16" spans="2:65" ht="29.15" x14ac:dyDescent="0.4">
      <c r="B16" s="528"/>
      <c r="C16" s="531"/>
      <c r="D16" s="534"/>
      <c r="E16" s="534"/>
      <c r="F16" s="522"/>
      <c r="G16" s="522"/>
      <c r="H16" s="522"/>
      <c r="I16" s="525"/>
      <c r="J16" s="179" t="s">
        <v>1711</v>
      </c>
      <c r="K16" s="168" t="s">
        <v>1696</v>
      </c>
      <c r="L16" s="63">
        <f>INDEX(Deck_Leg_Pon,MATCH($K16,Deck_Leg_Pon_Name,0),2)</f>
        <v>1.2</v>
      </c>
      <c r="M16" s="63">
        <f>INDEX(Deck_Leg_Pon,MATCH($K16,Deck_Leg_Pon_Name,0),3)</f>
        <v>0.14000000000000001</v>
      </c>
      <c r="N16" s="63">
        <f>INDEX(Deck_Leg_Pon,MATCH($K16,Deck_Leg_Pon_Name,0),4)</f>
        <v>0.65</v>
      </c>
      <c r="O16" s="63">
        <f t="shared" si="1"/>
        <v>0.7</v>
      </c>
      <c r="P16" s="64" cm="1">
        <f t="array" ref="P16">IF($G7="Pontoon",INDEX(Tbl_71_14,_xlfn.MINIFS(Tbl_71_14_Range,Tbl_71_14_Dia,"&gt;="&amp;$E7),3),0)</f>
        <v>21</v>
      </c>
      <c r="Q16" s="70">
        <f t="shared" si="2"/>
        <v>8.5</v>
      </c>
      <c r="R16" s="188">
        <f t="shared" si="15"/>
        <v>1.6462354445565648</v>
      </c>
      <c r="S16" s="64" cm="1">
        <f t="array" ref="S16">R16*$P16*INDEX(Month_Ref,Q$1-1,3)/365</f>
        <v>2.9361623956337635</v>
      </c>
      <c r="T16" s="70">
        <f t="shared" si="3"/>
        <v>7.8</v>
      </c>
      <c r="U16" s="188">
        <f t="shared" si="16"/>
        <v>1.6219910629428584</v>
      </c>
      <c r="V16" s="64" cm="1">
        <f t="array" ref="V16">U16*$P16*INDEX(Month_Ref,T$1-1,3)/365</f>
        <v>2.6129609452339744</v>
      </c>
      <c r="W16" s="70">
        <f t="shared" si="4"/>
        <v>7.8</v>
      </c>
      <c r="X16" s="188">
        <f t="shared" si="17"/>
        <v>1.6219910629428584</v>
      </c>
      <c r="Y16" s="64" cm="1">
        <f t="array" ref="Y16">X16*$P16*INDEX(Month_Ref,W$1-1,3)/365</f>
        <v>2.8929210465090431</v>
      </c>
      <c r="Z16" s="70">
        <f t="shared" si="5"/>
        <v>7.8</v>
      </c>
      <c r="AA16" s="188">
        <f t="shared" si="18"/>
        <v>1.6219910629428584</v>
      </c>
      <c r="AB16" s="64" cm="1">
        <f t="array" ref="AB16">AA16*$P16*INDEX(Month_Ref,Z$1-1,3)/365</f>
        <v>2.7996010127506872</v>
      </c>
      <c r="AC16" s="70">
        <f t="shared" si="6"/>
        <v>7.6</v>
      </c>
      <c r="AD16" s="188">
        <f t="shared" si="19"/>
        <v>1.6149259496740955</v>
      </c>
      <c r="AE16" s="64" cm="1">
        <f t="array" ref="AE16">AD16*$P16*INDEX(Month_Ref,AC$1-1,3)/365</f>
        <v>2.8803199814735239</v>
      </c>
      <c r="AF16" s="70">
        <f t="shared" si="7"/>
        <v>7.8</v>
      </c>
      <c r="AG16" s="188">
        <f t="shared" si="20"/>
        <v>1.6219910629428584</v>
      </c>
      <c r="AH16" s="64" cm="1">
        <f t="array" ref="AH16">AG16*$P16*INDEX(Month_Ref,AF$1-1,3)/365</f>
        <v>2.7996010127506872</v>
      </c>
      <c r="AI16" s="70">
        <f t="shared" si="8"/>
        <v>8.1</v>
      </c>
      <c r="AJ16" s="188">
        <f t="shared" si="21"/>
        <v>1.6324710333172896</v>
      </c>
      <c r="AK16" s="64" cm="1">
        <f t="array" ref="AK16">AJ16*$P16*INDEX(Month_Ref,AI$1-1,3)/365</f>
        <v>2.9116127196974131</v>
      </c>
      <c r="AL16" s="70">
        <f t="shared" si="9"/>
        <v>7.2</v>
      </c>
      <c r="AM16" s="188">
        <f t="shared" si="22"/>
        <v>1.6005971768742733</v>
      </c>
      <c r="AN16" s="64" cm="1">
        <f t="array" ref="AN16">AM16*$P16*INDEX(Month_Ref,AL$1-1,3)/365</f>
        <v>2.8547637319045256</v>
      </c>
      <c r="AO16" s="70">
        <f t="shared" si="10"/>
        <v>6.7</v>
      </c>
      <c r="AP16" s="188">
        <f t="shared" si="23"/>
        <v>1.5822877514971885</v>
      </c>
      <c r="AQ16" s="64" cm="1">
        <f t="array" ref="AQ16">AP16*$P16*INDEX(Month_Ref,AO$1-1,3)/365</f>
        <v>2.7310720094335035</v>
      </c>
      <c r="AR16" s="70">
        <f t="shared" si="11"/>
        <v>6.7</v>
      </c>
      <c r="AS16" s="188">
        <f t="shared" si="24"/>
        <v>1.5822877514971885</v>
      </c>
      <c r="AT16" s="64" cm="1">
        <f t="array" ref="AT16">AS16*$P16*INDEX(Month_Ref,AR$1-1,3)/365</f>
        <v>2.8221077430812866</v>
      </c>
      <c r="AU16" s="70">
        <f t="shared" si="12"/>
        <v>7.8</v>
      </c>
      <c r="AV16" s="188">
        <f t="shared" si="25"/>
        <v>1.6219910629428584</v>
      </c>
      <c r="AW16" s="64" cm="1">
        <f t="array" ref="AW16">AV16*$P16*INDEX(Month_Ref,AU$1-1,3)/365</f>
        <v>2.7996010127506872</v>
      </c>
      <c r="AX16" s="70">
        <f t="shared" si="13"/>
        <v>8.6999999999999993</v>
      </c>
      <c r="AY16" s="188">
        <f t="shared" si="26"/>
        <v>1.6530324134207663</v>
      </c>
      <c r="AZ16" s="64" cm="1">
        <f t="array" ref="AZ16">AY16*$P16*INDEX(Month_Ref,AX$1-1,3)/365</f>
        <v>2.9482852085942981</v>
      </c>
      <c r="BA16" s="183">
        <f t="shared" si="0"/>
        <v>33.989008819813392</v>
      </c>
      <c r="BC16" s="20">
        <f t="shared" si="14"/>
        <v>10</v>
      </c>
    </row>
    <row r="17" spans="2:65" ht="29.15" x14ac:dyDescent="0.4">
      <c r="B17" s="528"/>
      <c r="C17" s="531"/>
      <c r="D17" s="534"/>
      <c r="E17" s="534"/>
      <c r="F17" s="522"/>
      <c r="G17" s="522"/>
      <c r="H17" s="522"/>
      <c r="I17" s="525"/>
      <c r="J17" s="179" t="s">
        <v>1714</v>
      </c>
      <c r="K17" s="168" t="s">
        <v>1704</v>
      </c>
      <c r="L17" s="63">
        <f>INDEX(Deck_Leg_DD,MATCH($K17,Deck_Leg_DD_Name,0),2)</f>
        <v>0.82</v>
      </c>
      <c r="M17" s="63">
        <f>INDEX(Deck_Leg_DD,MATCH($K17,Deck_Leg_DD_Name,0),3)</f>
        <v>0.53</v>
      </c>
      <c r="N17" s="63">
        <f>INDEX(Deck_Leg_DD,MATCH($K17,Deck_Leg_DD_Name,0),4)</f>
        <v>0.14000000000000001</v>
      </c>
      <c r="O17" s="63">
        <f t="shared" si="1"/>
        <v>0.7</v>
      </c>
      <c r="P17" s="64" cm="1">
        <f t="array" ref="P17">IF($G7="Pontoon",INDEX(Tbl_71_14,_xlfn.MINIFS(Tbl_71_14_Range,Tbl_71_14_Dia,"&gt;="&amp;$E7),4),IF($F7="Internal Floating Roof",0,6))</f>
        <v>33</v>
      </c>
      <c r="Q17" s="70">
        <f t="shared" si="2"/>
        <v>8.5</v>
      </c>
      <c r="R17" s="188">
        <f t="shared" si="15"/>
        <v>1.5003121774335484</v>
      </c>
      <c r="S17" s="192" cm="1">
        <f t="array" ref="S17">R17*$P17*INDEX(Month_Ref,Q$1-1,3)/365</f>
        <v>4.2049845411356719</v>
      </c>
      <c r="T17" s="70">
        <f t="shared" si="3"/>
        <v>7.8</v>
      </c>
      <c r="U17" s="188">
        <f t="shared" si="16"/>
        <v>1.4921757486856286</v>
      </c>
      <c r="V17" s="192" cm="1">
        <f t="array" ref="V17">U17*$P17*INDEX(Month_Ref,T$1-1,3)/365</f>
        <v>3.7774531281795092</v>
      </c>
      <c r="W17" s="70">
        <f t="shared" si="4"/>
        <v>7.8</v>
      </c>
      <c r="X17" s="188">
        <f t="shared" si="17"/>
        <v>1.4921757486856286</v>
      </c>
      <c r="Y17" s="192" cm="1">
        <f t="array" ref="Y17">X17*$P17*INDEX(Month_Ref,W$1-1,3)/365</f>
        <v>4.182180249055885</v>
      </c>
      <c r="Z17" s="70">
        <f t="shared" si="5"/>
        <v>7.8</v>
      </c>
      <c r="AA17" s="188">
        <f t="shared" si="18"/>
        <v>1.4921757486856286</v>
      </c>
      <c r="AB17" s="192" cm="1">
        <f t="array" ref="AB17">AA17*$P17*INDEX(Month_Ref,Z$1-1,3)/365</f>
        <v>4.0472712087637595</v>
      </c>
      <c r="AC17" s="70">
        <f t="shared" si="6"/>
        <v>7.6</v>
      </c>
      <c r="AD17" s="188">
        <f t="shared" si="19"/>
        <v>1.4897357750568518</v>
      </c>
      <c r="AE17" s="192" cm="1">
        <f t="array" ref="AE17">AD17*$P17*INDEX(Month_Ref,AC$1-1,3)/365</f>
        <v>4.1753416380360528</v>
      </c>
      <c r="AF17" s="70">
        <f t="shared" si="7"/>
        <v>7.8</v>
      </c>
      <c r="AG17" s="188">
        <f t="shared" si="20"/>
        <v>1.4921757486856286</v>
      </c>
      <c r="AH17" s="192" cm="1">
        <f t="array" ref="AH17">AG17*$P17*INDEX(Month_Ref,AF$1-1,3)/365</f>
        <v>4.0472712087637595</v>
      </c>
      <c r="AI17" s="70">
        <f t="shared" si="8"/>
        <v>8.1</v>
      </c>
      <c r="AJ17" s="188">
        <f t="shared" si="21"/>
        <v>1.4957366864189434</v>
      </c>
      <c r="AK17" s="192" cm="1">
        <f t="array" ref="AK17">AJ17*$P17*INDEX(Month_Ref,AI$1-1,3)/365</f>
        <v>4.1921606307029569</v>
      </c>
      <c r="AL17" s="70">
        <f t="shared" si="9"/>
        <v>7.2</v>
      </c>
      <c r="AM17" s="188">
        <f t="shared" si="22"/>
        <v>1.4846854079946157</v>
      </c>
      <c r="AN17" s="192" cm="1">
        <f t="array" ref="AN17">AM17*$P17*INDEX(Month_Ref,AL$1-1,3)/365</f>
        <v>4.1611867736397041</v>
      </c>
      <c r="AO17" s="70">
        <f t="shared" si="10"/>
        <v>6.7</v>
      </c>
      <c r="AP17" s="188">
        <f t="shared" si="23"/>
        <v>1.4780214753418086</v>
      </c>
      <c r="AQ17" s="192" cm="1">
        <f t="array" ref="AQ17">AP17*$P17*INDEX(Month_Ref,AO$1-1,3)/365</f>
        <v>4.0088801659955902</v>
      </c>
      <c r="AR17" s="70">
        <f t="shared" si="11"/>
        <v>6.7</v>
      </c>
      <c r="AS17" s="188">
        <f t="shared" si="24"/>
        <v>1.4780214753418086</v>
      </c>
      <c r="AT17" s="192" cm="1">
        <f t="array" ref="AT17">AS17*$P17*INDEX(Month_Ref,AR$1-1,3)/365</f>
        <v>4.1425095048621099</v>
      </c>
      <c r="AU17" s="70">
        <f t="shared" si="12"/>
        <v>7.8</v>
      </c>
      <c r="AV17" s="188">
        <f t="shared" si="25"/>
        <v>1.4921757486856286</v>
      </c>
      <c r="AW17" s="192" cm="1">
        <f t="array" ref="AW17">AV17*$P17*INDEX(Month_Ref,AU$1-1,3)/365</f>
        <v>4.0472712087637595</v>
      </c>
      <c r="AX17" s="70">
        <f t="shared" si="13"/>
        <v>8.6999999999999993</v>
      </c>
      <c r="AY17" s="188">
        <f t="shared" si="26"/>
        <v>1.5025308571559672</v>
      </c>
      <c r="AZ17" s="192" cm="1">
        <f t="array" ref="AZ17">AY17*$P17*INDEX(Month_Ref,AX$1-1,3)/365</f>
        <v>4.2112029229330261</v>
      </c>
      <c r="BA17" s="183">
        <f t="shared" si="0"/>
        <v>49.197713180831791</v>
      </c>
      <c r="BC17" s="20">
        <f t="shared" si="14"/>
        <v>11</v>
      </c>
    </row>
    <row r="18" spans="2:65" ht="29.15" x14ac:dyDescent="0.4">
      <c r="B18" s="528"/>
      <c r="C18" s="531"/>
      <c r="D18" s="534"/>
      <c r="E18" s="534"/>
      <c r="F18" s="522"/>
      <c r="G18" s="522"/>
      <c r="H18" s="522"/>
      <c r="I18" s="525"/>
      <c r="J18" s="180" t="s">
        <v>1700</v>
      </c>
      <c r="K18" s="168" t="s">
        <v>1704</v>
      </c>
      <c r="L18" s="63">
        <f>INDEX(Rim_Vent,MATCH($K18,Rim_Vent_Name,0),2)</f>
        <v>0.71</v>
      </c>
      <c r="M18" s="63">
        <f>INDEX(Rim_Vent,MATCH($K18,Rim_Vent_Name,0),3)</f>
        <v>0.1</v>
      </c>
      <c r="N18" s="63">
        <f>INDEX(Rim_Vent,MATCH($K18,Rim_Vent_Name,0),4)</f>
        <v>1</v>
      </c>
      <c r="O18" s="63">
        <f t="shared" si="1"/>
        <v>0.7</v>
      </c>
      <c r="P18" s="64">
        <f>IF(OR($H7="Mechanical Shoe - Primary Only",$H7="Mechanical Shoe w/ Shoe-Mounted Secondary",$H7="Mechanical Shoe w/ Rim Mounted Secondary"),1,0)</f>
        <v>1</v>
      </c>
      <c r="Q18" s="70">
        <f t="shared" si="2"/>
        <v>8.5</v>
      </c>
      <c r="R18" s="188">
        <f t="shared" si="15"/>
        <v>1.3049999999999999</v>
      </c>
      <c r="S18" s="192" cm="1">
        <f t="array" ref="S18">R18*$P18*INDEX(Month_Ref,Q$1-1,3)/365</f>
        <v>0.11083561643835615</v>
      </c>
      <c r="T18" s="70">
        <f t="shared" si="3"/>
        <v>7.8</v>
      </c>
      <c r="U18" s="188">
        <f t="shared" si="16"/>
        <v>1.256</v>
      </c>
      <c r="V18" s="192" cm="1">
        <f t="array" ref="V18">U18*$P18*INDEX(Month_Ref,T$1-1,3)/365</f>
        <v>9.635068493150685E-2</v>
      </c>
      <c r="W18" s="70">
        <f t="shared" si="4"/>
        <v>7.8</v>
      </c>
      <c r="X18" s="188">
        <f t="shared" si="17"/>
        <v>1.256</v>
      </c>
      <c r="Y18" s="192" cm="1">
        <f t="array" ref="Y18">X18*$P18*INDEX(Month_Ref,W$1-1,3)/365</f>
        <v>0.10667397260273973</v>
      </c>
      <c r="Z18" s="70">
        <f t="shared" si="5"/>
        <v>7.8</v>
      </c>
      <c r="AA18" s="188">
        <f t="shared" si="18"/>
        <v>1.256</v>
      </c>
      <c r="AB18" s="192" cm="1">
        <f t="array" ref="AB18">AA18*$P18*INDEX(Month_Ref,Z$1-1,3)/365</f>
        <v>0.10323287671232877</v>
      </c>
      <c r="AC18" s="70">
        <f t="shared" si="6"/>
        <v>7.6</v>
      </c>
      <c r="AD18" s="188">
        <f t="shared" si="19"/>
        <v>1.242</v>
      </c>
      <c r="AE18" s="192" cm="1">
        <f t="array" ref="AE18">AD18*$P18*INDEX(Month_Ref,AC$1-1,3)/365</f>
        <v>0.10548493150684932</v>
      </c>
      <c r="AF18" s="70">
        <f t="shared" si="7"/>
        <v>7.8</v>
      </c>
      <c r="AG18" s="188">
        <f t="shared" si="20"/>
        <v>1.256</v>
      </c>
      <c r="AH18" s="192" cm="1">
        <f t="array" ref="AH18">AG18*$P18*INDEX(Month_Ref,AF$1-1,3)/365</f>
        <v>0.10323287671232877</v>
      </c>
      <c r="AI18" s="70">
        <f t="shared" si="8"/>
        <v>8.1</v>
      </c>
      <c r="AJ18" s="188">
        <f t="shared" si="21"/>
        <v>1.2769999999999999</v>
      </c>
      <c r="AK18" s="192" cm="1">
        <f t="array" ref="AK18">AJ18*$P18*INDEX(Month_Ref,AI$1-1,3)/365</f>
        <v>0.10845753424657534</v>
      </c>
      <c r="AL18" s="70">
        <f t="shared" si="9"/>
        <v>7.2</v>
      </c>
      <c r="AM18" s="188">
        <f t="shared" si="22"/>
        <v>1.214</v>
      </c>
      <c r="AN18" s="192" cm="1">
        <f t="array" ref="AN18">AM18*$P18*INDEX(Month_Ref,AL$1-1,3)/365</f>
        <v>0.1031068493150685</v>
      </c>
      <c r="AO18" s="70">
        <f t="shared" si="10"/>
        <v>6.7</v>
      </c>
      <c r="AP18" s="188">
        <f t="shared" si="23"/>
        <v>1.1789999999999998</v>
      </c>
      <c r="AQ18" s="192" cm="1">
        <f t="array" ref="AQ18">AP18*$P18*INDEX(Month_Ref,AO$1-1,3)/365</f>
        <v>9.6904109589041082E-2</v>
      </c>
      <c r="AR18" s="70">
        <f t="shared" si="11"/>
        <v>6.7</v>
      </c>
      <c r="AS18" s="188">
        <f t="shared" si="24"/>
        <v>1.1789999999999998</v>
      </c>
      <c r="AT18" s="192" cm="1">
        <f t="array" ref="AT18">AS18*$P18*INDEX(Month_Ref,AR$1-1,3)/365</f>
        <v>0.10013424657534245</v>
      </c>
      <c r="AU18" s="70">
        <f t="shared" si="12"/>
        <v>7.8</v>
      </c>
      <c r="AV18" s="188">
        <f t="shared" si="25"/>
        <v>1.256</v>
      </c>
      <c r="AW18" s="192" cm="1">
        <f t="array" ref="AW18">AV18*$P18*INDEX(Month_Ref,AU$1-1,3)/365</f>
        <v>0.10323287671232877</v>
      </c>
      <c r="AX18" s="70">
        <f t="shared" si="13"/>
        <v>8.6999999999999993</v>
      </c>
      <c r="AY18" s="188">
        <f t="shared" si="26"/>
        <v>1.319</v>
      </c>
      <c r="AZ18" s="192" cm="1">
        <f t="array" ref="AZ18">AY18*$P18*INDEX(Month_Ref,AX$1-1,3)/365</f>
        <v>0.11202465753424656</v>
      </c>
      <c r="BA18" s="183">
        <f t="shared" si="0"/>
        <v>1.2496712328767121</v>
      </c>
      <c r="BC18" s="20">
        <f t="shared" si="14"/>
        <v>12</v>
      </c>
    </row>
    <row r="19" spans="2:65" x14ac:dyDescent="0.4">
      <c r="B19" s="528"/>
      <c r="C19" s="531"/>
      <c r="D19" s="534"/>
      <c r="E19" s="534"/>
      <c r="F19" s="522"/>
      <c r="G19" s="522"/>
      <c r="H19" s="522"/>
      <c r="I19" s="525"/>
      <c r="J19" s="180" t="s">
        <v>1701</v>
      </c>
      <c r="K19" s="168" t="s">
        <v>1605</v>
      </c>
      <c r="L19" s="63">
        <f>INDEX(Ladder_Well,MATCH($K19,Ladder_Well_Name,0),2)</f>
        <v>0</v>
      </c>
      <c r="M19" s="63">
        <f>INDEX(Ladder_Well,MATCH($K19,Ladder_Well_Name,0),3)</f>
        <v>0</v>
      </c>
      <c r="N19" s="63">
        <f>INDEX(Ladder_Well,MATCH($K19,Ladder_Well_Name,0),4)</f>
        <v>0</v>
      </c>
      <c r="O19" s="63">
        <f t="shared" si="1"/>
        <v>0.7</v>
      </c>
      <c r="P19" s="64">
        <f>IF($F7&lt;&gt;"Internal Floating Roof",0,1)</f>
        <v>0</v>
      </c>
      <c r="Q19" s="70">
        <f t="shared" si="2"/>
        <v>8.5</v>
      </c>
      <c r="R19" s="63">
        <f t="shared" si="15"/>
        <v>0</v>
      </c>
      <c r="S19" s="64" cm="1">
        <f t="array" ref="S19">R19*$P19*INDEX(Month_Ref,Q$1-1,3)/365</f>
        <v>0</v>
      </c>
      <c r="T19" s="70">
        <f t="shared" si="3"/>
        <v>7.8</v>
      </c>
      <c r="U19" s="63">
        <f t="shared" si="16"/>
        <v>0</v>
      </c>
      <c r="V19" s="64" cm="1">
        <f t="array" ref="V19">U19*$P19*INDEX(Month_Ref,T$1-1,3)/365</f>
        <v>0</v>
      </c>
      <c r="W19" s="70">
        <f t="shared" si="4"/>
        <v>7.8</v>
      </c>
      <c r="X19" s="63">
        <f t="shared" si="17"/>
        <v>0</v>
      </c>
      <c r="Y19" s="64" cm="1">
        <f t="array" ref="Y19">X19*$P19*INDEX(Month_Ref,W$1-1,3)/365</f>
        <v>0</v>
      </c>
      <c r="Z19" s="70">
        <f t="shared" si="5"/>
        <v>7.8</v>
      </c>
      <c r="AA19" s="63">
        <f t="shared" si="18"/>
        <v>0</v>
      </c>
      <c r="AB19" s="64" cm="1">
        <f t="array" ref="AB19">AA19*$P19*INDEX(Month_Ref,Z$1-1,3)/365</f>
        <v>0</v>
      </c>
      <c r="AC19" s="70">
        <f t="shared" si="6"/>
        <v>7.6</v>
      </c>
      <c r="AD19" s="63">
        <f t="shared" si="19"/>
        <v>0</v>
      </c>
      <c r="AE19" s="64" cm="1">
        <f t="array" ref="AE19">AD19*$P19*INDEX(Month_Ref,AC$1-1,3)/365</f>
        <v>0</v>
      </c>
      <c r="AF19" s="70">
        <f t="shared" si="7"/>
        <v>7.8</v>
      </c>
      <c r="AG19" s="63">
        <f t="shared" si="20"/>
        <v>0</v>
      </c>
      <c r="AH19" s="64" cm="1">
        <f t="array" ref="AH19">AG19*$P19*INDEX(Month_Ref,AF$1-1,3)/365</f>
        <v>0</v>
      </c>
      <c r="AI19" s="70">
        <f t="shared" si="8"/>
        <v>8.1</v>
      </c>
      <c r="AJ19" s="63">
        <f t="shared" si="21"/>
        <v>0</v>
      </c>
      <c r="AK19" s="64" cm="1">
        <f t="array" ref="AK19">AJ19*$P19*INDEX(Month_Ref,AI$1-1,3)/365</f>
        <v>0</v>
      </c>
      <c r="AL19" s="70">
        <f t="shared" si="9"/>
        <v>7.2</v>
      </c>
      <c r="AM19" s="63">
        <f t="shared" si="22"/>
        <v>0</v>
      </c>
      <c r="AN19" s="64" cm="1">
        <f t="array" ref="AN19">AM19*$P19*INDEX(Month_Ref,AL$1-1,3)/365</f>
        <v>0</v>
      </c>
      <c r="AO19" s="70">
        <f t="shared" si="10"/>
        <v>6.7</v>
      </c>
      <c r="AP19" s="63">
        <f t="shared" si="23"/>
        <v>0</v>
      </c>
      <c r="AQ19" s="64" cm="1">
        <f t="array" ref="AQ19">AP19*$P19*INDEX(Month_Ref,AO$1-1,3)/365</f>
        <v>0</v>
      </c>
      <c r="AR19" s="70">
        <f t="shared" si="11"/>
        <v>6.7</v>
      </c>
      <c r="AS19" s="63">
        <f t="shared" si="24"/>
        <v>0</v>
      </c>
      <c r="AT19" s="64" cm="1">
        <f t="array" ref="AT19">AS19*$P19*INDEX(Month_Ref,AR$1-1,3)/365</f>
        <v>0</v>
      </c>
      <c r="AU19" s="70">
        <f t="shared" si="12"/>
        <v>7.8</v>
      </c>
      <c r="AV19" s="63">
        <f t="shared" si="25"/>
        <v>0</v>
      </c>
      <c r="AW19" s="64" cm="1">
        <f t="array" ref="AW19">AV19*$P19*INDEX(Month_Ref,AU$1-1,3)/365</f>
        <v>0</v>
      </c>
      <c r="AX19" s="70">
        <f t="shared" si="13"/>
        <v>8.6999999999999993</v>
      </c>
      <c r="AY19" s="63">
        <f t="shared" si="26"/>
        <v>0</v>
      </c>
      <c r="AZ19" s="64" cm="1">
        <f t="array" ref="AZ19">AY19*$P19*INDEX(Month_Ref,AX$1-1,3)/365</f>
        <v>0</v>
      </c>
      <c r="BA19" s="183">
        <f t="shared" si="0"/>
        <v>0</v>
      </c>
      <c r="BC19" s="20">
        <f t="shared" si="14"/>
        <v>13</v>
      </c>
    </row>
    <row r="20" spans="2:65" ht="15" thickBot="1" x14ac:dyDescent="0.45">
      <c r="B20" s="529"/>
      <c r="C20" s="532"/>
      <c r="D20" s="535"/>
      <c r="E20" s="535"/>
      <c r="F20" s="523"/>
      <c r="G20" s="523"/>
      <c r="H20" s="523"/>
      <c r="I20" s="526"/>
      <c r="J20" s="181" t="s">
        <v>1715</v>
      </c>
      <c r="K20" s="171" t="s">
        <v>1605</v>
      </c>
      <c r="L20" s="32">
        <f>INDEX(Combo_LWSGP,MATCH($K20,Combo_LWSGP_Name,0),2)</f>
        <v>0</v>
      </c>
      <c r="M20" s="32">
        <f>INDEX(Combo_LWSGP,MATCH($K20,Combo_LWSGP_Name,0),3)</f>
        <v>0</v>
      </c>
      <c r="N20" s="32">
        <f>INDEX(Combo_LWSGP,MATCH($K20,Combo_LWSGP_Name,0),4)</f>
        <v>0</v>
      </c>
      <c r="O20" s="32">
        <f t="shared" si="1"/>
        <v>0.7</v>
      </c>
      <c r="P20" s="33">
        <f>IF(AND(P10=0,P19=0),1,0)</f>
        <v>0</v>
      </c>
      <c r="Q20" s="31">
        <f t="shared" si="2"/>
        <v>8.5</v>
      </c>
      <c r="R20" s="32">
        <f t="shared" si="15"/>
        <v>0</v>
      </c>
      <c r="S20" s="33" cm="1">
        <f t="array" ref="S20">R20*$P20*INDEX(Month_Ref,Q$1-1,3)/365</f>
        <v>0</v>
      </c>
      <c r="T20" s="31">
        <f t="shared" si="3"/>
        <v>7.8</v>
      </c>
      <c r="U20" s="32">
        <f t="shared" si="16"/>
        <v>0</v>
      </c>
      <c r="V20" s="33" cm="1">
        <f t="array" ref="V20">U20*$P20*INDEX(Month_Ref,T$1-1,3)/365</f>
        <v>0</v>
      </c>
      <c r="W20" s="31">
        <f t="shared" si="4"/>
        <v>7.8</v>
      </c>
      <c r="X20" s="32">
        <f t="shared" si="17"/>
        <v>0</v>
      </c>
      <c r="Y20" s="33" cm="1">
        <f t="array" ref="Y20">X20*$P20*INDEX(Month_Ref,W$1-1,3)/365</f>
        <v>0</v>
      </c>
      <c r="Z20" s="31">
        <f t="shared" si="5"/>
        <v>7.8</v>
      </c>
      <c r="AA20" s="32">
        <f t="shared" si="18"/>
        <v>0</v>
      </c>
      <c r="AB20" s="33" cm="1">
        <f t="array" ref="AB20">AA20*$P20*INDEX(Month_Ref,Z$1-1,3)/365</f>
        <v>0</v>
      </c>
      <c r="AC20" s="31">
        <f t="shared" si="6"/>
        <v>7.6</v>
      </c>
      <c r="AD20" s="32">
        <f t="shared" si="19"/>
        <v>0</v>
      </c>
      <c r="AE20" s="33" cm="1">
        <f t="array" ref="AE20">AD20*$P20*INDEX(Month_Ref,AC$1-1,3)/365</f>
        <v>0</v>
      </c>
      <c r="AF20" s="31">
        <f t="shared" si="7"/>
        <v>7.8</v>
      </c>
      <c r="AG20" s="32">
        <f t="shared" si="20"/>
        <v>0</v>
      </c>
      <c r="AH20" s="33" cm="1">
        <f t="array" ref="AH20">AG20*$P20*INDEX(Month_Ref,AF$1-1,3)/365</f>
        <v>0</v>
      </c>
      <c r="AI20" s="31">
        <f t="shared" si="8"/>
        <v>8.1</v>
      </c>
      <c r="AJ20" s="32">
        <f t="shared" si="21"/>
        <v>0</v>
      </c>
      <c r="AK20" s="33" cm="1">
        <f t="array" ref="AK20">AJ20*$P20*INDEX(Month_Ref,AI$1-1,3)/365</f>
        <v>0</v>
      </c>
      <c r="AL20" s="31">
        <f t="shared" si="9"/>
        <v>7.2</v>
      </c>
      <c r="AM20" s="32">
        <f t="shared" si="22"/>
        <v>0</v>
      </c>
      <c r="AN20" s="33" cm="1">
        <f t="array" ref="AN20">AM20*$P20*INDEX(Month_Ref,AL$1-1,3)/365</f>
        <v>0</v>
      </c>
      <c r="AO20" s="31">
        <f t="shared" si="10"/>
        <v>6.7</v>
      </c>
      <c r="AP20" s="32">
        <f t="shared" si="23"/>
        <v>0</v>
      </c>
      <c r="AQ20" s="33" cm="1">
        <f t="array" ref="AQ20">AP20*$P20*INDEX(Month_Ref,AO$1-1,3)/365</f>
        <v>0</v>
      </c>
      <c r="AR20" s="31">
        <f t="shared" si="11"/>
        <v>6.7</v>
      </c>
      <c r="AS20" s="32">
        <f t="shared" si="24"/>
        <v>0</v>
      </c>
      <c r="AT20" s="33" cm="1">
        <f t="array" ref="AT20">AS20*$P20*INDEX(Month_Ref,AR$1-1,3)/365</f>
        <v>0</v>
      </c>
      <c r="AU20" s="31">
        <f t="shared" si="12"/>
        <v>7.8</v>
      </c>
      <c r="AV20" s="32">
        <f t="shared" si="25"/>
        <v>0</v>
      </c>
      <c r="AW20" s="33" cm="1">
        <f t="array" ref="AW20">AV20*$P20*INDEX(Month_Ref,AU$1-1,3)/365</f>
        <v>0</v>
      </c>
      <c r="AX20" s="31">
        <f t="shared" si="13"/>
        <v>8.6999999999999993</v>
      </c>
      <c r="AY20" s="32">
        <f t="shared" si="26"/>
        <v>0</v>
      </c>
      <c r="AZ20" s="33" cm="1">
        <f t="array" ref="AZ20">AY20*$P20*INDEX(Month_Ref,AX$1-1,3)/365</f>
        <v>0</v>
      </c>
      <c r="BA20" s="184">
        <f t="shared" si="0"/>
        <v>0</v>
      </c>
      <c r="BC20" s="20">
        <f t="shared" si="14"/>
        <v>14</v>
      </c>
    </row>
    <row r="21" spans="2:65" ht="15" thickBot="1" x14ac:dyDescent="0.45">
      <c r="B21" s="157"/>
      <c r="C21" s="158"/>
      <c r="D21" s="163"/>
      <c r="I21" s="163"/>
      <c r="J21" s="164"/>
      <c r="K21" s="164"/>
      <c r="L21" s="163"/>
      <c r="M21" s="163"/>
      <c r="N21" s="163"/>
      <c r="O21" s="163"/>
      <c r="Q21" s="195"/>
      <c r="R21" s="196" t="s">
        <v>1768</v>
      </c>
      <c r="S21" s="197">
        <f>SUM(S7:S20)</f>
        <v>14.055953757894555</v>
      </c>
      <c r="T21" s="195"/>
      <c r="U21" s="196" t="s">
        <v>1762</v>
      </c>
      <c r="V21" s="197">
        <f>SUM(V7:V20)</f>
        <v>11.984457560815519</v>
      </c>
      <c r="W21" s="195"/>
      <c r="X21" s="196" t="s">
        <v>1762</v>
      </c>
      <c r="Y21" s="197">
        <f>SUM(Y7:Y20)</f>
        <v>13.268506585188613</v>
      </c>
      <c r="Z21" s="195"/>
      <c r="AA21" s="196" t="s">
        <v>1762</v>
      </c>
      <c r="AB21" s="197">
        <f>SUM(AB7:AB20)</f>
        <v>12.840490243730915</v>
      </c>
      <c r="AC21" s="195"/>
      <c r="AD21" s="196" t="s">
        <v>1762</v>
      </c>
      <c r="AE21" s="197">
        <f>SUM(AE7:AE20)</f>
        <v>13.070655927627223</v>
      </c>
      <c r="AF21" s="195"/>
      <c r="AG21" s="196" t="s">
        <v>1762</v>
      </c>
      <c r="AH21" s="197">
        <f>SUM(AH7:AH20)</f>
        <v>12.840490243730915</v>
      </c>
      <c r="AI21" s="195"/>
      <c r="AJ21" s="196" t="s">
        <v>1762</v>
      </c>
      <c r="AK21" s="197">
        <f>SUM(AK7:AK20)</f>
        <v>13.587093877830046</v>
      </c>
      <c r="AL21" s="195"/>
      <c r="AM21" s="196" t="s">
        <v>1762</v>
      </c>
      <c r="AN21" s="197">
        <f>SUM(AN7:AN20)</f>
        <v>12.707078103805506</v>
      </c>
      <c r="AO21" s="195"/>
      <c r="AP21" s="196" t="s">
        <v>1762</v>
      </c>
      <c r="AQ21" s="197">
        <f>SUM(AQ7:AQ20)</f>
        <v>11.909749194194585</v>
      </c>
      <c r="AR21" s="195"/>
      <c r="AS21" s="196" t="s">
        <v>1762</v>
      </c>
      <c r="AT21" s="197">
        <f>SUM(AT7:AT20)</f>
        <v>12.306740834001072</v>
      </c>
      <c r="AU21" s="195"/>
      <c r="AV21" s="196" t="s">
        <v>1762</v>
      </c>
      <c r="AW21" s="197">
        <f>SUM(AW7:AW20)</f>
        <v>12.840490243730915</v>
      </c>
      <c r="AX21" s="195"/>
      <c r="AY21" s="196" t="s">
        <v>1762</v>
      </c>
      <c r="AZ21" s="197">
        <f>SUM(AZ7:AZ20)</f>
        <v>14.31076062477575</v>
      </c>
      <c r="BA21" s="198">
        <f t="shared" si="0"/>
        <v>155.72246719732561</v>
      </c>
      <c r="BC21" s="194">
        <f t="shared" si="14"/>
        <v>15</v>
      </c>
      <c r="BD21" s="11"/>
      <c r="BE21" s="11"/>
      <c r="BF21" s="11"/>
      <c r="BG21" s="11"/>
      <c r="BH21" s="11"/>
      <c r="BI21" s="11"/>
      <c r="BJ21" s="11"/>
      <c r="BK21" s="11"/>
      <c r="BL21" s="11"/>
      <c r="BM21" s="11"/>
    </row>
    <row r="22" spans="2:65" x14ac:dyDescent="0.4">
      <c r="B22" s="527" t="str" cm="1">
        <f t="array" ref="B22">INDEX(FLT_Cons,$BD22,$BE22)</f>
        <v>FLT - 2</v>
      </c>
      <c r="C22" s="530" t="str" cm="1">
        <f t="array" ref="C22">INDEX(FLT_Cons,$BD22,$BF22)</f>
        <v>EXTANK 106</v>
      </c>
      <c r="D22" s="533" t="str" cm="1">
        <f t="array" ref="D22">INDEX(FLT_Cons,$BD22,$BG22)</f>
        <v>Portland</v>
      </c>
      <c r="E22" s="533" cm="1">
        <f t="array" ref="E22">INDEX(FLT_Cons,$BD22,$BH22)</f>
        <v>139</v>
      </c>
      <c r="F22" s="521" t="str" cm="1">
        <f t="array" ref="F22">INDEX(FLT_Cons,$BD22,$BI22)</f>
        <v>External Floating Roof</v>
      </c>
      <c r="G22" s="521" t="str" cm="1">
        <f t="array" ref="G22">INDEX(FLT_Cons,$BD22,$BJ22)</f>
        <v>Pontoon</v>
      </c>
      <c r="H22" s="521" t="str" cm="1">
        <f t="array" ref="H22">INDEX(FLT_Cons,$BD22,$BK22)</f>
        <v>Mechanical Shoe w/ Rim Mounted Secondary</v>
      </c>
      <c r="I22" s="524" t="str" cm="1">
        <f t="array" ref="I22">INDEX(FLT_Cons,$BD22,$BL22)</f>
        <v>N/A - EFR/Domed EFR</v>
      </c>
      <c r="J22" s="177" t="s">
        <v>1660</v>
      </c>
      <c r="K22" s="174" t="s">
        <v>1661</v>
      </c>
      <c r="L22" s="14">
        <f>INDEX(Access_Hatch,MATCH($K22,Access_Hatch_Name,0),2)</f>
        <v>1.6</v>
      </c>
      <c r="M22" s="14">
        <f>INDEX(Access_Hatch,MATCH($K22,Access_Hatch_Name,0),3)</f>
        <v>0</v>
      </c>
      <c r="N22" s="14">
        <f>INDEX(Access_Hatch,MATCH($K22,Access_Hatch_Name,0),4)</f>
        <v>0</v>
      </c>
      <c r="O22" s="14">
        <f>IF($F22="External Floating Roof",0.7,0)</f>
        <v>0.7</v>
      </c>
      <c r="P22" s="30">
        <v>1</v>
      </c>
      <c r="Q22" s="29">
        <f>VLOOKUP(VLOOKUP($D22,Terminal_X_Ref,2,FALSE)&amp;"V",Weather_Data,Q$1,FALSE)</f>
        <v>8.5</v>
      </c>
      <c r="R22" s="14">
        <f>IFERROR($L22+$M22*($O22*Q22)^$N22,$L22)</f>
        <v>1.6</v>
      </c>
      <c r="S22" s="193" cm="1">
        <f t="array" ref="S22">R22*$P22*INDEX(Month_Ref,Q$1-1,3)/365</f>
        <v>0.13589041095890411</v>
      </c>
      <c r="T22" s="29">
        <f>VLOOKUP(VLOOKUP($D22,Terminal_X_Ref,2,FALSE)&amp;"V",Weather_Data,T$1,FALSE)</f>
        <v>7.8</v>
      </c>
      <c r="U22" s="14">
        <f>IFERROR($L22+$M22*($O22*T22)^$N22,$L22)</f>
        <v>1.6</v>
      </c>
      <c r="V22" s="193" cm="1">
        <f t="array" ref="V22">U22*$P22*INDEX(Month_Ref,T$1-1,3)/365</f>
        <v>0.12273972602739727</v>
      </c>
      <c r="W22" s="29">
        <f>VLOOKUP(VLOOKUP($D22,Terminal_X_Ref,2,FALSE)&amp;"V",Weather_Data,W$1,FALSE)</f>
        <v>7.8</v>
      </c>
      <c r="X22" s="14">
        <f>IFERROR($L22+$M22*($O22*W22)^$N22,$L22)</f>
        <v>1.6</v>
      </c>
      <c r="Y22" s="193" cm="1">
        <f t="array" ref="Y22">X22*$P22*INDEX(Month_Ref,W$1-1,3)/365</f>
        <v>0.13589041095890411</v>
      </c>
      <c r="Z22" s="29">
        <f>VLOOKUP(VLOOKUP($D22,Terminal_X_Ref,2,FALSE)&amp;"V",Weather_Data,Z$1,FALSE)</f>
        <v>7.8</v>
      </c>
      <c r="AA22" s="14">
        <f>IFERROR($L22+$M22*($O22*Z22)^$N22,$L22)</f>
        <v>1.6</v>
      </c>
      <c r="AB22" s="193" cm="1">
        <f t="array" ref="AB22">AA22*$P22*INDEX(Month_Ref,Z$1-1,3)/365</f>
        <v>0.13150684931506848</v>
      </c>
      <c r="AC22" s="29">
        <f>VLOOKUP(VLOOKUP($D22,Terminal_X_Ref,2,FALSE)&amp;"V",Weather_Data,AC$1,FALSE)</f>
        <v>7.6</v>
      </c>
      <c r="AD22" s="14">
        <f>IFERROR($L22+$M22*($O22*AC22)^$N22,$L22)</f>
        <v>1.6</v>
      </c>
      <c r="AE22" s="193" cm="1">
        <f t="array" ref="AE22">AD22*$P22*INDEX(Month_Ref,AC$1-1,3)/365</f>
        <v>0.13589041095890411</v>
      </c>
      <c r="AF22" s="29">
        <f>VLOOKUP(VLOOKUP($D22,Terminal_X_Ref,2,FALSE)&amp;"V",Weather_Data,AF$1,FALSE)</f>
        <v>7.8</v>
      </c>
      <c r="AG22" s="14">
        <f>IFERROR($L22+$M22*($O22*AF22)^$N22,$L22)</f>
        <v>1.6</v>
      </c>
      <c r="AH22" s="193" cm="1">
        <f t="array" ref="AH22">AG22*$P22*INDEX(Month_Ref,AF$1-1,3)/365</f>
        <v>0.13150684931506848</v>
      </c>
      <c r="AI22" s="29">
        <f>VLOOKUP(VLOOKUP($D22,Terminal_X_Ref,2,FALSE)&amp;"V",Weather_Data,AI$1,FALSE)</f>
        <v>8.1</v>
      </c>
      <c r="AJ22" s="14">
        <f>IFERROR($L22+$M22*($O22*AI22)^$N22,$L22)</f>
        <v>1.6</v>
      </c>
      <c r="AK22" s="193" cm="1">
        <f t="array" ref="AK22">AJ22*$P22*INDEX(Month_Ref,AI$1-1,3)/365</f>
        <v>0.13589041095890411</v>
      </c>
      <c r="AL22" s="29">
        <f>VLOOKUP(VLOOKUP($D22,Terminal_X_Ref,2,FALSE)&amp;"V",Weather_Data,AL$1,FALSE)</f>
        <v>7.2</v>
      </c>
      <c r="AM22" s="14">
        <f>IFERROR($L22+$M22*($O22*AL22)^$N22,$L22)</f>
        <v>1.6</v>
      </c>
      <c r="AN22" s="193" cm="1">
        <f t="array" ref="AN22">AM22*$P22*INDEX(Month_Ref,AL$1-1,3)/365</f>
        <v>0.13589041095890411</v>
      </c>
      <c r="AO22" s="29">
        <f>VLOOKUP(VLOOKUP($D22,Terminal_X_Ref,2,FALSE)&amp;"V",Weather_Data,AO$1,FALSE)</f>
        <v>6.7</v>
      </c>
      <c r="AP22" s="14">
        <f>IFERROR($L22+$M22*($O22*AO22)^$N22,$L22)</f>
        <v>1.6</v>
      </c>
      <c r="AQ22" s="193" cm="1">
        <f t="array" ref="AQ22">AP22*$P22*INDEX(Month_Ref,AO$1-1,3)/365</f>
        <v>0.13150684931506848</v>
      </c>
      <c r="AR22" s="29">
        <f>VLOOKUP(VLOOKUP($D22,Terminal_X_Ref,2,FALSE)&amp;"V",Weather_Data,AR$1,FALSE)</f>
        <v>6.7</v>
      </c>
      <c r="AS22" s="14">
        <f>IFERROR($L22+$M22*($O22*AR22)^$N22,$L22)</f>
        <v>1.6</v>
      </c>
      <c r="AT22" s="193" cm="1">
        <f t="array" ref="AT22">AS22*$P22*INDEX(Month_Ref,AR$1-1,3)/365</f>
        <v>0.13589041095890411</v>
      </c>
      <c r="AU22" s="29">
        <f>VLOOKUP(VLOOKUP($D22,Terminal_X_Ref,2,FALSE)&amp;"V",Weather_Data,AU$1,FALSE)</f>
        <v>7.8</v>
      </c>
      <c r="AV22" s="14">
        <f>IFERROR($L22+$M22*($O22*AU22)^$N22,$L22)</f>
        <v>1.6</v>
      </c>
      <c r="AW22" s="193" cm="1">
        <f t="array" ref="AW22">AV22*$P22*INDEX(Month_Ref,AU$1-1,3)/365</f>
        <v>0.13150684931506848</v>
      </c>
      <c r="AX22" s="29">
        <f>VLOOKUP(VLOOKUP($D22,Terminal_X_Ref,2,FALSE)&amp;"V",Weather_Data,AX$1,FALSE)</f>
        <v>8.6999999999999993</v>
      </c>
      <c r="AY22" s="14">
        <f>IFERROR($L22+$M22*($O22*AX22)^$N22,$L22)</f>
        <v>1.6</v>
      </c>
      <c r="AZ22" s="193" cm="1">
        <f t="array" ref="AZ22">AY22*$P22*INDEX(Month_Ref,AX$1-1,3)/365</f>
        <v>0.13589041095890411</v>
      </c>
      <c r="BA22" s="182">
        <f>S22+V22+Y22+AB22+AE22+AH22+AK22+AN22+AQ22+AT22+AW22+AZ22</f>
        <v>1.5999999999999999</v>
      </c>
      <c r="BB22" s="25"/>
      <c r="BC22" s="20">
        <f>BC21+1</f>
        <v>16</v>
      </c>
      <c r="BD22">
        <f>BD7+1</f>
        <v>2</v>
      </c>
      <c r="BE22">
        <v>1</v>
      </c>
      <c r="BF22">
        <v>2</v>
      </c>
      <c r="BG22">
        <v>3</v>
      </c>
      <c r="BH22">
        <v>5</v>
      </c>
      <c r="BI22">
        <v>13</v>
      </c>
      <c r="BJ22">
        <v>16</v>
      </c>
      <c r="BK22">
        <v>17</v>
      </c>
      <c r="BL22">
        <v>19</v>
      </c>
      <c r="BM22">
        <v>21</v>
      </c>
    </row>
    <row r="23" spans="2:65" x14ac:dyDescent="0.4">
      <c r="B23" s="528"/>
      <c r="C23" s="531"/>
      <c r="D23" s="534"/>
      <c r="E23" s="534"/>
      <c r="F23" s="522"/>
      <c r="G23" s="522"/>
      <c r="H23" s="522"/>
      <c r="I23" s="525"/>
      <c r="J23" s="178" t="s">
        <v>1664</v>
      </c>
      <c r="K23" s="168" t="s">
        <v>1605</v>
      </c>
      <c r="L23" s="63">
        <f>INDEX(FRSCW,MATCH($K23,FRSCW_Name,0),2)</f>
        <v>0</v>
      </c>
      <c r="M23" s="63">
        <f>INDEX(FRSCW,MATCH($K23,FRSCW_Name,0),3)</f>
        <v>0</v>
      </c>
      <c r="N23" s="63">
        <f>INDEX(FRSCW,MATCH($K23,FRSCW_Name,0),4)</f>
        <v>0</v>
      </c>
      <c r="O23" s="63">
        <f>O22</f>
        <v>0.7</v>
      </c>
      <c r="P23" s="64" cm="1">
        <f t="array" ref="P23">IF(F22&lt;&gt;"Internal Floating Roof",0,IF(ISBLANK(INDEX(FLT_Cons,$BD22,$BM22)),INDEX(Tbl_71_11,_xlfn.MINIFS(Tbl_71_11_Dia,Tbl_71_11_Max,"&gt;="&amp;$E22),4),INDEX(FLT_Cons,$BD22,$BM22)))</f>
        <v>0</v>
      </c>
      <c r="Q23" s="70">
        <f>Q22</f>
        <v>8.5</v>
      </c>
      <c r="R23" s="63">
        <f>IFERROR($L23+$M23*($O23*Q23)^$N23,$L23)</f>
        <v>0</v>
      </c>
      <c r="S23" s="64" cm="1">
        <f t="array" ref="S23">R23*$P23*INDEX(Month_Ref,Q$1-1,3)/365</f>
        <v>0</v>
      </c>
      <c r="T23" s="70">
        <f>T22</f>
        <v>7.8</v>
      </c>
      <c r="U23" s="63">
        <f>IFERROR($L23+$M23*($O23*T23)^$N23,$L23)</f>
        <v>0</v>
      </c>
      <c r="V23" s="64" cm="1">
        <f t="array" ref="V23">U23*$P23*INDEX(Month_Ref,T$1-1,3)/365</f>
        <v>0</v>
      </c>
      <c r="W23" s="70">
        <f>W22</f>
        <v>7.8</v>
      </c>
      <c r="X23" s="63">
        <f>IFERROR($L23+$M23*($O23*W23)^$N23,$L23)</f>
        <v>0</v>
      </c>
      <c r="Y23" s="64" cm="1">
        <f t="array" ref="Y23">X23*$P23*INDEX(Month_Ref,W$1-1,3)/365</f>
        <v>0</v>
      </c>
      <c r="Z23" s="70">
        <f>Z22</f>
        <v>7.8</v>
      </c>
      <c r="AA23" s="63">
        <f>IFERROR($L23+$M23*($O23*Z23)^$N23,$L23)</f>
        <v>0</v>
      </c>
      <c r="AB23" s="64" cm="1">
        <f t="array" ref="AB23">AA23*$P23*INDEX(Month_Ref,Z$1-1,3)/365</f>
        <v>0</v>
      </c>
      <c r="AC23" s="70">
        <f>AC22</f>
        <v>7.6</v>
      </c>
      <c r="AD23" s="63">
        <f>IFERROR($L23+$M23*($O23*AC23)^$N23,$L23)</f>
        <v>0</v>
      </c>
      <c r="AE23" s="64" cm="1">
        <f t="array" ref="AE23">AD23*$P23*INDEX(Month_Ref,AC$1-1,3)/365</f>
        <v>0</v>
      </c>
      <c r="AF23" s="70">
        <f>AF22</f>
        <v>7.8</v>
      </c>
      <c r="AG23" s="63">
        <f>IFERROR($L23+$M23*($O23*AF23)^$N23,$L23)</f>
        <v>0</v>
      </c>
      <c r="AH23" s="64" cm="1">
        <f t="array" ref="AH23">AG23*$P23*INDEX(Month_Ref,AF$1-1,3)/365</f>
        <v>0</v>
      </c>
      <c r="AI23" s="70">
        <f>AI22</f>
        <v>8.1</v>
      </c>
      <c r="AJ23" s="63">
        <f>IFERROR($L23+$M23*($O23*AI23)^$N23,$L23)</f>
        <v>0</v>
      </c>
      <c r="AK23" s="64" cm="1">
        <f t="array" ref="AK23">AJ23*$P23*INDEX(Month_Ref,AI$1-1,3)/365</f>
        <v>0</v>
      </c>
      <c r="AL23" s="70">
        <f>AL22</f>
        <v>7.2</v>
      </c>
      <c r="AM23" s="63">
        <f>IFERROR($L23+$M23*($O23*AL23)^$N23,$L23)</f>
        <v>0</v>
      </c>
      <c r="AN23" s="64" cm="1">
        <f t="array" ref="AN23">AM23*$P23*INDEX(Month_Ref,AL$1-1,3)/365</f>
        <v>0</v>
      </c>
      <c r="AO23" s="70">
        <f>AO22</f>
        <v>6.7</v>
      </c>
      <c r="AP23" s="63">
        <f>IFERROR($L23+$M23*($O23*AO23)^$N23,$L23)</f>
        <v>0</v>
      </c>
      <c r="AQ23" s="64" cm="1">
        <f t="array" ref="AQ23">AP23*$P23*INDEX(Month_Ref,AO$1-1,3)/365</f>
        <v>0</v>
      </c>
      <c r="AR23" s="70">
        <f>AR22</f>
        <v>6.7</v>
      </c>
      <c r="AS23" s="63">
        <f>IFERROR($L23+$M23*($O23*AR23)^$N23,$L23)</f>
        <v>0</v>
      </c>
      <c r="AT23" s="64" cm="1">
        <f t="array" ref="AT23">AS23*$P23*INDEX(Month_Ref,AR$1-1,3)/365</f>
        <v>0</v>
      </c>
      <c r="AU23" s="70">
        <f>AU22</f>
        <v>7.8</v>
      </c>
      <c r="AV23" s="63">
        <f>IFERROR($L23+$M23*($O23*AU23)^$N23,$L23)</f>
        <v>0</v>
      </c>
      <c r="AW23" s="64" cm="1">
        <f t="array" ref="AW23">AV23*$P23*INDEX(Month_Ref,AU$1-1,3)/365</f>
        <v>0</v>
      </c>
      <c r="AX23" s="70">
        <f>AX22</f>
        <v>8.6999999999999993</v>
      </c>
      <c r="AY23" s="63">
        <f>IFERROR($L23+$M23*($O23*AX23)^$N23,$L23)</f>
        <v>0</v>
      </c>
      <c r="AZ23" s="64" cm="1">
        <f t="array" ref="AZ23">AY23*$P23*INDEX(Month_Ref,AX$1-1,3)/365</f>
        <v>0</v>
      </c>
      <c r="BA23" s="183">
        <f t="shared" ref="BA23:BA36" si="27">S23+V23+Y23+AB23+AE23+AH23+AK23+AN23+AQ23+AT23+AW23+AZ23</f>
        <v>0</v>
      </c>
      <c r="BC23" s="20">
        <f t="shared" ref="BC23:BC36" si="28">BC22+1</f>
        <v>17</v>
      </c>
    </row>
    <row r="24" spans="2:65" ht="43.75" x14ac:dyDescent="0.4">
      <c r="B24" s="528"/>
      <c r="C24" s="531"/>
      <c r="D24" s="534"/>
      <c r="E24" s="534"/>
      <c r="F24" s="522"/>
      <c r="G24" s="522"/>
      <c r="H24" s="522"/>
      <c r="I24" s="525"/>
      <c r="J24" s="178" t="s">
        <v>1670</v>
      </c>
      <c r="K24" s="168" t="s">
        <v>1674</v>
      </c>
      <c r="L24" s="63">
        <f>INDEX(USGPW,MATCH($K24,USGPW_Name,0),2)</f>
        <v>14</v>
      </c>
      <c r="M24" s="63">
        <f>INDEX(USGPW,MATCH($K24,USGPW_Name,0),3)</f>
        <v>3.7</v>
      </c>
      <c r="N24" s="63">
        <f>INDEX(USGPW,MATCH($K24,USGPW_Name,0),4)</f>
        <v>0.78</v>
      </c>
      <c r="O24" s="63">
        <f t="shared" ref="O24:O35" si="29">O23</f>
        <v>0.7</v>
      </c>
      <c r="P24" s="64">
        <v>1</v>
      </c>
      <c r="Q24" s="70">
        <f t="shared" ref="Q24:Q35" si="30">Q23</f>
        <v>8.5</v>
      </c>
      <c r="R24" s="185">
        <f>IFERROR($L24+$M24*($O24*Q24)^$N24,$L24)</f>
        <v>28.870478976852624</v>
      </c>
      <c r="S24" s="186" cm="1">
        <f t="array" ref="S24">R24*$P24*INDEX(Month_Ref,Q$1-1,3)/365</f>
        <v>2.4520132829655652</v>
      </c>
      <c r="T24" s="70">
        <f t="shared" ref="T24:T35" si="31">T23</f>
        <v>7.8</v>
      </c>
      <c r="U24" s="185">
        <f>IFERROR($L24+$M24*($O24*T24)^$N24,$L24)</f>
        <v>27.906312526728726</v>
      </c>
      <c r="V24" s="186" cm="1">
        <f t="array" ref="V24">U24*$P24*INDEX(Month_Ref,T$1-1,3)/365</f>
        <v>2.1407582212285052</v>
      </c>
      <c r="W24" s="70">
        <f t="shared" ref="W24:W35" si="32">W23</f>
        <v>7.8</v>
      </c>
      <c r="X24" s="185">
        <f>IFERROR($L24+$M24*($O24*W24)^$N24,$L24)</f>
        <v>27.906312526728726</v>
      </c>
      <c r="Y24" s="186" cm="1">
        <f t="array" ref="Y24">X24*$P24*INDEX(Month_Ref,W$1-1,3)/365</f>
        <v>2.3701251735029878</v>
      </c>
      <c r="Z24" s="70">
        <f t="shared" ref="Z24:Z35" si="33">Z23</f>
        <v>7.8</v>
      </c>
      <c r="AA24" s="185">
        <f>IFERROR($L24+$M24*($O24*Z24)^$N24,$L24)</f>
        <v>27.906312526728726</v>
      </c>
      <c r="AB24" s="186" cm="1">
        <f t="array" ref="AB24">AA24*$P24*INDEX(Month_Ref,Z$1-1,3)/365</f>
        <v>2.2936695227448269</v>
      </c>
      <c r="AC24" s="70">
        <f t="shared" ref="AC24:AC35" si="34">AC23</f>
        <v>7.6</v>
      </c>
      <c r="AD24" s="185">
        <f>IFERROR($L24+$M24*($O24*AC24)^$N24,$L24)</f>
        <v>27.627393519350775</v>
      </c>
      <c r="AE24" s="186" cm="1">
        <f t="array" ref="AE24">AD24*$P24*INDEX(Month_Ref,AC$1-1,3)/365</f>
        <v>2.3464361619174632</v>
      </c>
      <c r="AF24" s="70">
        <f t="shared" ref="AF24:AF35" si="35">AF23</f>
        <v>7.8</v>
      </c>
      <c r="AG24" s="185">
        <f>IFERROR($L24+$M24*($O24*AF24)^$N24,$L24)</f>
        <v>27.906312526728726</v>
      </c>
      <c r="AH24" s="186" cm="1">
        <f t="array" ref="AH24">AG24*$P24*INDEX(Month_Ref,AF$1-1,3)/365</f>
        <v>2.2936695227448269</v>
      </c>
      <c r="AI24" s="70">
        <f t="shared" ref="AI24:AI35" si="36">AI23</f>
        <v>8.1</v>
      </c>
      <c r="AJ24" s="185">
        <f>IFERROR($L24+$M24*($O24*AI24)^$N24,$L24)</f>
        <v>28.321763902377739</v>
      </c>
      <c r="AK24" s="186" cm="1">
        <f t="array" ref="AK24">AJ24*$P24*INDEX(Month_Ref,AI$1-1,3)/365</f>
        <v>2.4054100848594793</v>
      </c>
      <c r="AL24" s="70">
        <f t="shared" ref="AL24:AL35" si="37">AL23</f>
        <v>7.2</v>
      </c>
      <c r="AM24" s="185">
        <f>IFERROR($L24+$M24*($O24*AL24)^$N24,$L24)</f>
        <v>27.064642869220098</v>
      </c>
      <c r="AN24" s="186" cm="1">
        <f t="array" ref="AN24">AM24*$P24*INDEX(Month_Ref,AL$1-1,3)/365</f>
        <v>2.2986409012214333</v>
      </c>
      <c r="AO24" s="70">
        <f t="shared" ref="AO24:AO35" si="38">AO23</f>
        <v>6.7</v>
      </c>
      <c r="AP24" s="185">
        <f>IFERROR($L24+$M24*($O24*AO24)^$N24,$L24)</f>
        <v>26.351410091029848</v>
      </c>
      <c r="AQ24" s="186" cm="1">
        <f t="array" ref="AQ24">AP24*$P24*INDEX(Month_Ref,AO$1-1,3)/365</f>
        <v>2.1658693225503987</v>
      </c>
      <c r="AR24" s="70">
        <f t="shared" ref="AR24:AR35" si="39">AR23</f>
        <v>6.7</v>
      </c>
      <c r="AS24" s="185">
        <f>IFERROR($L24+$M24*($O24*AR24)^$N24,$L24)</f>
        <v>26.351410091029848</v>
      </c>
      <c r="AT24" s="186" cm="1">
        <f t="array" ref="AT24">AS24*$P24*INDEX(Month_Ref,AR$1-1,3)/365</f>
        <v>2.2380649666354118</v>
      </c>
      <c r="AU24" s="70">
        <f t="shared" ref="AU24:AU35" si="40">AU23</f>
        <v>7.8</v>
      </c>
      <c r="AV24" s="185">
        <f>IFERROR($L24+$M24*($O24*AU24)^$N24,$L24)</f>
        <v>27.906312526728726</v>
      </c>
      <c r="AW24" s="186" cm="1">
        <f t="array" ref="AW24">AV24*$P24*INDEX(Month_Ref,AU$1-1,3)/365</f>
        <v>2.2936695227448269</v>
      </c>
      <c r="AX24" s="70">
        <f t="shared" ref="AX24:AX35" si="41">AX23</f>
        <v>8.6999999999999993</v>
      </c>
      <c r="AY24" s="185">
        <f>IFERROR($L24+$M24*($O24*AX24)^$N24,$L24)</f>
        <v>29.142696301377335</v>
      </c>
      <c r="AZ24" s="186" cm="1">
        <f t="array" ref="AZ24">AY24*$P24*INDEX(Month_Ref,AX$1-1,3)/365</f>
        <v>2.4751331105279379</v>
      </c>
      <c r="BA24" s="186">
        <f t="shared" si="27"/>
        <v>27.773459793643664</v>
      </c>
      <c r="BC24" s="20">
        <f t="shared" si="28"/>
        <v>18</v>
      </c>
    </row>
    <row r="25" spans="2:65" ht="29.15" x14ac:dyDescent="0.4">
      <c r="B25" s="528"/>
      <c r="C25" s="531"/>
      <c r="D25" s="534"/>
      <c r="E25" s="534"/>
      <c r="F25" s="522"/>
      <c r="G25" s="522"/>
      <c r="H25" s="522"/>
      <c r="I25" s="525"/>
      <c r="J25" s="178" t="s">
        <v>1676</v>
      </c>
      <c r="K25" s="168" t="s">
        <v>1605</v>
      </c>
      <c r="L25" s="63">
        <f>INDEX(SGPW,MATCH($K25,SGPW_Name,0),2)</f>
        <v>0</v>
      </c>
      <c r="M25" s="63">
        <f>INDEX(SGPW,MATCH($K25,SGPW_Name,0),3)</f>
        <v>0</v>
      </c>
      <c r="N25" s="63">
        <f>INDEX(SGPW,MATCH($K25,SGPW_Name,0),4)</f>
        <v>0</v>
      </c>
      <c r="O25" s="63">
        <f t="shared" si="29"/>
        <v>0.7</v>
      </c>
      <c r="P25" s="64">
        <v>1</v>
      </c>
      <c r="Q25" s="70">
        <f t="shared" si="30"/>
        <v>8.5</v>
      </c>
      <c r="R25" s="63">
        <f>IFERROR($L25+$M25*($O25*Q25)^$N25,$L25)</f>
        <v>0</v>
      </c>
      <c r="S25" s="64" cm="1">
        <f t="array" ref="S25">R25*$P25*INDEX(Month_Ref,Q$1-1,3)/365</f>
        <v>0</v>
      </c>
      <c r="T25" s="70">
        <f t="shared" si="31"/>
        <v>7.8</v>
      </c>
      <c r="U25" s="63">
        <f>IFERROR($L25+$M25*($O25*T25)^$N25,$L25)</f>
        <v>0</v>
      </c>
      <c r="V25" s="64" cm="1">
        <f t="array" ref="V25">U25*$P25*INDEX(Month_Ref,T$1-1,3)/365</f>
        <v>0</v>
      </c>
      <c r="W25" s="70">
        <f t="shared" si="32"/>
        <v>7.8</v>
      </c>
      <c r="X25" s="63">
        <f>IFERROR($L25+$M25*($O25*W25)^$N25,$L25)</f>
        <v>0</v>
      </c>
      <c r="Y25" s="64" cm="1">
        <f t="array" ref="Y25">X25*$P25*INDEX(Month_Ref,W$1-1,3)/365</f>
        <v>0</v>
      </c>
      <c r="Z25" s="70">
        <f t="shared" si="33"/>
        <v>7.8</v>
      </c>
      <c r="AA25" s="63">
        <f>IFERROR($L25+$M25*($O25*Z25)^$N25,$L25)</f>
        <v>0</v>
      </c>
      <c r="AB25" s="64" cm="1">
        <f t="array" ref="AB25">AA25*$P25*INDEX(Month_Ref,Z$1-1,3)/365</f>
        <v>0</v>
      </c>
      <c r="AC25" s="70">
        <f t="shared" si="34"/>
        <v>7.6</v>
      </c>
      <c r="AD25" s="63">
        <f>IFERROR($L25+$M25*($O25*AC25)^$N25,$L25)</f>
        <v>0</v>
      </c>
      <c r="AE25" s="64" cm="1">
        <f t="array" ref="AE25">AD25*$P25*INDEX(Month_Ref,AC$1-1,3)/365</f>
        <v>0</v>
      </c>
      <c r="AF25" s="70">
        <f t="shared" si="35"/>
        <v>7.8</v>
      </c>
      <c r="AG25" s="63">
        <f>IFERROR($L25+$M25*($O25*AF25)^$N25,$L25)</f>
        <v>0</v>
      </c>
      <c r="AH25" s="64" cm="1">
        <f t="array" ref="AH25">AG25*$P25*INDEX(Month_Ref,AF$1-1,3)/365</f>
        <v>0</v>
      </c>
      <c r="AI25" s="70">
        <f t="shared" si="36"/>
        <v>8.1</v>
      </c>
      <c r="AJ25" s="63">
        <f>IFERROR($L25+$M25*($O25*AI25)^$N25,$L25)</f>
        <v>0</v>
      </c>
      <c r="AK25" s="64" cm="1">
        <f t="array" ref="AK25">AJ25*$P25*INDEX(Month_Ref,AI$1-1,3)/365</f>
        <v>0</v>
      </c>
      <c r="AL25" s="70">
        <f t="shared" si="37"/>
        <v>7.2</v>
      </c>
      <c r="AM25" s="63">
        <f>IFERROR($L25+$M25*($O25*AL25)^$N25,$L25)</f>
        <v>0</v>
      </c>
      <c r="AN25" s="64" cm="1">
        <f t="array" ref="AN25">AM25*$P25*INDEX(Month_Ref,AL$1-1,3)/365</f>
        <v>0</v>
      </c>
      <c r="AO25" s="70">
        <f t="shared" si="38"/>
        <v>6.7</v>
      </c>
      <c r="AP25" s="63">
        <f>IFERROR($L25+$M25*($O25*AO25)^$N25,$L25)</f>
        <v>0</v>
      </c>
      <c r="AQ25" s="64" cm="1">
        <f t="array" ref="AQ25">AP25*$P25*INDEX(Month_Ref,AO$1-1,3)/365</f>
        <v>0</v>
      </c>
      <c r="AR25" s="70">
        <f t="shared" si="39"/>
        <v>6.7</v>
      </c>
      <c r="AS25" s="63">
        <f>IFERROR($L25+$M25*($O25*AR25)^$N25,$L25)</f>
        <v>0</v>
      </c>
      <c r="AT25" s="64" cm="1">
        <f t="array" ref="AT25">AS25*$P25*INDEX(Month_Ref,AR$1-1,3)/365</f>
        <v>0</v>
      </c>
      <c r="AU25" s="70">
        <f t="shared" si="40"/>
        <v>7.8</v>
      </c>
      <c r="AV25" s="63">
        <f>IFERROR($L25+$M25*($O25*AU25)^$N25,$L25)</f>
        <v>0</v>
      </c>
      <c r="AW25" s="64" cm="1">
        <f t="array" ref="AW25">AV25*$P25*INDEX(Month_Ref,AU$1-1,3)/365</f>
        <v>0</v>
      </c>
      <c r="AX25" s="70">
        <f t="shared" si="41"/>
        <v>8.6999999999999993</v>
      </c>
      <c r="AY25" s="63">
        <f>IFERROR($L25+$M25*($O25*AX25)^$N25,$L25)</f>
        <v>0</v>
      </c>
      <c r="AZ25" s="64" cm="1">
        <f t="array" ref="AZ25">AY25*$P25*INDEX(Month_Ref,AX$1-1,3)/365</f>
        <v>0</v>
      </c>
      <c r="BA25" s="183">
        <f t="shared" si="27"/>
        <v>0</v>
      </c>
      <c r="BC25" s="20">
        <f t="shared" si="28"/>
        <v>19</v>
      </c>
    </row>
    <row r="26" spans="2:65" x14ac:dyDescent="0.4">
      <c r="B26" s="528"/>
      <c r="C26" s="531"/>
      <c r="D26" s="534"/>
      <c r="E26" s="534"/>
      <c r="F26" s="522"/>
      <c r="G26" s="522"/>
      <c r="H26" s="522"/>
      <c r="I26" s="525"/>
      <c r="J26" s="178" t="s">
        <v>1682</v>
      </c>
      <c r="K26" s="168" t="s">
        <v>1661</v>
      </c>
      <c r="L26" s="63">
        <f>INDEX(GFW,MATCH($K26,GFW_Name,0),2)</f>
        <v>2.8</v>
      </c>
      <c r="M26" s="63">
        <f>INDEX(GFW,MATCH($K26,GFW_Name,0),3)</f>
        <v>0</v>
      </c>
      <c r="N26" s="63">
        <f>INDEX(GFW,MATCH($K26,GFW_Name,0),4)</f>
        <v>0</v>
      </c>
      <c r="O26" s="63">
        <f t="shared" si="29"/>
        <v>0.7</v>
      </c>
      <c r="P26" s="64">
        <v>1</v>
      </c>
      <c r="Q26" s="70">
        <f t="shared" si="30"/>
        <v>8.5</v>
      </c>
      <c r="R26" s="187">
        <f t="shared" ref="R26:R35" si="42">IFERROR($L26+$M26*($O26*Q26)^$N26,$L26)</f>
        <v>2.8</v>
      </c>
      <c r="S26" s="189" cm="1">
        <f t="array" ref="S26">R26*$P26*INDEX(Month_Ref,Q$1-1,3)/365</f>
        <v>0.23780821917808218</v>
      </c>
      <c r="T26" s="70">
        <f t="shared" si="31"/>
        <v>7.8</v>
      </c>
      <c r="U26" s="187">
        <f t="shared" ref="U26:U35" si="43">IFERROR($L26+$M26*($O26*T26)^$N26,$L26)</f>
        <v>2.8</v>
      </c>
      <c r="V26" s="189" cm="1">
        <f t="array" ref="V26">U26*$P26*INDEX(Month_Ref,T$1-1,3)/365</f>
        <v>0.21479452054794518</v>
      </c>
      <c r="W26" s="70">
        <f t="shared" si="32"/>
        <v>7.8</v>
      </c>
      <c r="X26" s="187">
        <f t="shared" ref="X26:X35" si="44">IFERROR($L26+$M26*($O26*W26)^$N26,$L26)</f>
        <v>2.8</v>
      </c>
      <c r="Y26" s="189" cm="1">
        <f t="array" ref="Y26">X26*$P26*INDEX(Month_Ref,W$1-1,3)/365</f>
        <v>0.23780821917808218</v>
      </c>
      <c r="Z26" s="70">
        <f t="shared" si="33"/>
        <v>7.8</v>
      </c>
      <c r="AA26" s="187">
        <f t="shared" ref="AA26:AA35" si="45">IFERROR($L26+$M26*($O26*Z26)^$N26,$L26)</f>
        <v>2.8</v>
      </c>
      <c r="AB26" s="189" cm="1">
        <f t="array" ref="AB26">AA26*$P26*INDEX(Month_Ref,Z$1-1,3)/365</f>
        <v>0.23013698630136986</v>
      </c>
      <c r="AC26" s="70">
        <f t="shared" si="34"/>
        <v>7.6</v>
      </c>
      <c r="AD26" s="187">
        <f t="shared" ref="AD26:AD35" si="46">IFERROR($L26+$M26*($O26*AC26)^$N26,$L26)</f>
        <v>2.8</v>
      </c>
      <c r="AE26" s="189" cm="1">
        <f t="array" ref="AE26">AD26*$P26*INDEX(Month_Ref,AC$1-1,3)/365</f>
        <v>0.23780821917808218</v>
      </c>
      <c r="AF26" s="70">
        <f t="shared" si="35"/>
        <v>7.8</v>
      </c>
      <c r="AG26" s="187">
        <f t="shared" ref="AG26:AG35" si="47">IFERROR($L26+$M26*($O26*AF26)^$N26,$L26)</f>
        <v>2.8</v>
      </c>
      <c r="AH26" s="189" cm="1">
        <f t="array" ref="AH26">AG26*$P26*INDEX(Month_Ref,AF$1-1,3)/365</f>
        <v>0.23013698630136986</v>
      </c>
      <c r="AI26" s="70">
        <f t="shared" si="36"/>
        <v>8.1</v>
      </c>
      <c r="AJ26" s="187">
        <f t="shared" ref="AJ26:AJ35" si="48">IFERROR($L26+$M26*($O26*AI26)^$N26,$L26)</f>
        <v>2.8</v>
      </c>
      <c r="AK26" s="189" cm="1">
        <f t="array" ref="AK26">AJ26*$P26*INDEX(Month_Ref,AI$1-1,3)/365</f>
        <v>0.23780821917808218</v>
      </c>
      <c r="AL26" s="70">
        <f t="shared" si="37"/>
        <v>7.2</v>
      </c>
      <c r="AM26" s="187">
        <f t="shared" ref="AM26:AM35" si="49">IFERROR($L26+$M26*($O26*AL26)^$N26,$L26)</f>
        <v>2.8</v>
      </c>
      <c r="AN26" s="189" cm="1">
        <f t="array" ref="AN26">AM26*$P26*INDEX(Month_Ref,AL$1-1,3)/365</f>
        <v>0.23780821917808218</v>
      </c>
      <c r="AO26" s="70">
        <f t="shared" si="38"/>
        <v>6.7</v>
      </c>
      <c r="AP26" s="187">
        <f t="shared" ref="AP26:AP35" si="50">IFERROR($L26+$M26*($O26*AO26)^$N26,$L26)</f>
        <v>2.8</v>
      </c>
      <c r="AQ26" s="189" cm="1">
        <f t="array" ref="AQ26">AP26*$P26*INDEX(Month_Ref,AO$1-1,3)/365</f>
        <v>0.23013698630136986</v>
      </c>
      <c r="AR26" s="70">
        <f t="shared" si="39"/>
        <v>6.7</v>
      </c>
      <c r="AS26" s="187">
        <f t="shared" ref="AS26:AS35" si="51">IFERROR($L26+$M26*($O26*AR26)^$N26,$L26)</f>
        <v>2.8</v>
      </c>
      <c r="AT26" s="189" cm="1">
        <f t="array" ref="AT26">AS26*$P26*INDEX(Month_Ref,AR$1-1,3)/365</f>
        <v>0.23780821917808218</v>
      </c>
      <c r="AU26" s="70">
        <f t="shared" si="40"/>
        <v>7.8</v>
      </c>
      <c r="AV26" s="187">
        <f t="shared" ref="AV26:AV35" si="52">IFERROR($L26+$M26*($O26*AU26)^$N26,$L26)</f>
        <v>2.8</v>
      </c>
      <c r="AW26" s="189" cm="1">
        <f t="array" ref="AW26">AV26*$P26*INDEX(Month_Ref,AU$1-1,3)/365</f>
        <v>0.23013698630136986</v>
      </c>
      <c r="AX26" s="70">
        <f t="shared" si="41"/>
        <v>8.6999999999999993</v>
      </c>
      <c r="AY26" s="187">
        <f t="shared" ref="AY26:AY35" si="53">IFERROR($L26+$M26*($O26*AX26)^$N26,$L26)</f>
        <v>2.8</v>
      </c>
      <c r="AZ26" s="189" cm="1">
        <f t="array" ref="AZ26">AY26*$P26*INDEX(Month_Ref,AX$1-1,3)/365</f>
        <v>0.23780821917808218</v>
      </c>
      <c r="BA26" s="183">
        <f t="shared" si="27"/>
        <v>2.8</v>
      </c>
      <c r="BC26" s="20">
        <f t="shared" si="28"/>
        <v>20</v>
      </c>
    </row>
    <row r="27" spans="2:65" ht="29.15" x14ac:dyDescent="0.4">
      <c r="B27" s="528"/>
      <c r="C27" s="531"/>
      <c r="D27" s="534"/>
      <c r="E27" s="534"/>
      <c r="F27" s="522"/>
      <c r="G27" s="522"/>
      <c r="H27" s="522"/>
      <c r="I27" s="525"/>
      <c r="J27" s="179" t="s">
        <v>1683</v>
      </c>
      <c r="K27" s="168" t="s">
        <v>1704</v>
      </c>
      <c r="L27" s="63">
        <f>INDEX(GHSP,MATCH($K27,GHSP_Name,0),2)</f>
        <v>0.47</v>
      </c>
      <c r="M27" s="63">
        <f>INDEX(GHSP,MATCH($K27,GHSP_Name,0),3)</f>
        <v>0.02</v>
      </c>
      <c r="N27" s="63">
        <f>INDEX(GHSP,MATCH($K27,GHSP_Name,0),4)</f>
        <v>0.97</v>
      </c>
      <c r="O27" s="63">
        <f t="shared" si="29"/>
        <v>0.7</v>
      </c>
      <c r="P27" s="64">
        <v>1</v>
      </c>
      <c r="Q27" s="70">
        <f t="shared" si="30"/>
        <v>8.5</v>
      </c>
      <c r="R27" s="190">
        <f t="shared" si="42"/>
        <v>0.58280061109123849</v>
      </c>
      <c r="S27" s="191" cm="1">
        <f t="array" ref="S27">R27*$P27*INDEX(Month_Ref,Q$1-1,3)/365</f>
        <v>4.9498134092680536E-2</v>
      </c>
      <c r="T27" s="70">
        <f t="shared" si="31"/>
        <v>7.8</v>
      </c>
      <c r="U27" s="190">
        <f t="shared" si="43"/>
        <v>0.57377837333166393</v>
      </c>
      <c r="V27" s="191" cm="1">
        <f t="array" ref="V27">U27*$P27*INDEX(Month_Ref,T$1-1,3)/365</f>
        <v>4.4015875214483809E-2</v>
      </c>
      <c r="W27" s="70">
        <f t="shared" si="32"/>
        <v>7.8</v>
      </c>
      <c r="X27" s="190">
        <f t="shared" si="44"/>
        <v>0.57377837333166393</v>
      </c>
      <c r="Y27" s="191" cm="1">
        <f t="array" ref="Y27">X27*$P27*INDEX(Month_Ref,W$1-1,3)/365</f>
        <v>4.8731861844607073E-2</v>
      </c>
      <c r="Z27" s="70">
        <f t="shared" si="33"/>
        <v>7.8</v>
      </c>
      <c r="AA27" s="190">
        <f t="shared" si="45"/>
        <v>0.57377837333166393</v>
      </c>
      <c r="AB27" s="191" cm="1">
        <f t="array" ref="AB27">AA27*$P27*INDEX(Month_Ref,Z$1-1,3)/365</f>
        <v>4.7159866301232659E-2</v>
      </c>
      <c r="AC27" s="70">
        <f t="shared" si="34"/>
        <v>7.6</v>
      </c>
      <c r="AD27" s="190">
        <f t="shared" si="46"/>
        <v>0.57119621731119852</v>
      </c>
      <c r="AE27" s="191" cm="1">
        <f t="array" ref="AE27">AD27*$P27*INDEX(Month_Ref,AC$1-1,3)/365</f>
        <v>4.8512555442868921E-2</v>
      </c>
      <c r="AF27" s="70">
        <f t="shared" si="35"/>
        <v>7.8</v>
      </c>
      <c r="AG27" s="190">
        <f t="shared" si="47"/>
        <v>0.57377837333166393</v>
      </c>
      <c r="AH27" s="191" cm="1">
        <f t="array" ref="AH27">AG27*$P27*INDEX(Month_Ref,AF$1-1,3)/365</f>
        <v>4.7159866301232659E-2</v>
      </c>
      <c r="AI27" s="70">
        <f t="shared" si="36"/>
        <v>8.1</v>
      </c>
      <c r="AJ27" s="190">
        <f t="shared" si="48"/>
        <v>0.57764790019431433</v>
      </c>
      <c r="AK27" s="191" cm="1">
        <f t="array" ref="AK27">AJ27*$P27*INDEX(Month_Ref,AI$1-1,3)/365</f>
        <v>4.9060506591845875E-2</v>
      </c>
      <c r="AL27" s="70">
        <f t="shared" si="37"/>
        <v>7.2</v>
      </c>
      <c r="AM27" s="190">
        <f t="shared" si="49"/>
        <v>0.56602572969125486</v>
      </c>
      <c r="AN27" s="191" cm="1">
        <f t="array" ref="AN27">AM27*$P27*INDEX(Month_Ref,AL$1-1,3)/365</f>
        <v>4.8073418138161371E-2</v>
      </c>
      <c r="AO27" s="70">
        <f t="shared" si="38"/>
        <v>6.7</v>
      </c>
      <c r="AP27" s="190">
        <f t="shared" si="50"/>
        <v>0.55955042536635002</v>
      </c>
      <c r="AQ27" s="191" cm="1">
        <f t="array" ref="AQ27">AP27*$P27*INDEX(Month_Ref,AO$1-1,3)/365</f>
        <v>4.599044592052192E-2</v>
      </c>
      <c r="AR27" s="70">
        <f t="shared" si="39"/>
        <v>6.7</v>
      </c>
      <c r="AS27" s="190">
        <f t="shared" si="51"/>
        <v>0.55955042536635002</v>
      </c>
      <c r="AT27" s="191" cm="1">
        <f t="array" ref="AT27">AS27*$P27*INDEX(Month_Ref,AR$1-1,3)/365</f>
        <v>4.7523460784539319E-2</v>
      </c>
      <c r="AU27" s="70">
        <f t="shared" si="40"/>
        <v>7.8</v>
      </c>
      <c r="AV27" s="190">
        <f t="shared" si="52"/>
        <v>0.57377837333166393</v>
      </c>
      <c r="AW27" s="191" cm="1">
        <f t="array" ref="AW27">AV27*$P27*INDEX(Month_Ref,AU$1-1,3)/365</f>
        <v>4.7159866301232659E-2</v>
      </c>
      <c r="AX27" s="70">
        <f t="shared" si="41"/>
        <v>8.6999999999999993</v>
      </c>
      <c r="AY27" s="190">
        <f t="shared" si="53"/>
        <v>0.58537421776028165</v>
      </c>
      <c r="AZ27" s="191" cm="1">
        <f t="array" ref="AZ27">AY27*$P27*INDEX(Month_Ref,AX$1-1,3)/365</f>
        <v>4.9716714385119806E-2</v>
      </c>
      <c r="BA27" s="183">
        <f t="shared" si="27"/>
        <v>0.57260257131852665</v>
      </c>
      <c r="BC27" s="20">
        <f t="shared" si="28"/>
        <v>21</v>
      </c>
    </row>
    <row r="28" spans="2:65" ht="29.15" x14ac:dyDescent="0.4">
      <c r="B28" s="528"/>
      <c r="C28" s="531"/>
      <c r="D28" s="534"/>
      <c r="E28" s="534"/>
      <c r="F28" s="522"/>
      <c r="G28" s="522"/>
      <c r="H28" s="522"/>
      <c r="I28" s="525"/>
      <c r="J28" s="179" t="s">
        <v>1687</v>
      </c>
      <c r="K28" s="168" t="s">
        <v>1685</v>
      </c>
      <c r="L28" s="63">
        <f>INDEX(Vac_Break,MATCH($K28,Vac_Break_Name,0),2)</f>
        <v>7.8</v>
      </c>
      <c r="M28" s="63">
        <f>INDEX(Vac_Break,MATCH($K28,Vac_Break_Name,0),3)</f>
        <v>0.01</v>
      </c>
      <c r="N28" s="63">
        <f>INDEX(Vac_Break,MATCH($K28,Vac_Break_Name,0),4)</f>
        <v>4</v>
      </c>
      <c r="O28" s="63">
        <f t="shared" si="29"/>
        <v>0.7</v>
      </c>
      <c r="P28" s="64" cm="1">
        <f t="array" ref="P28">IF(F22="Internal Floating Roof",1,INDEX(Tbl_71_13,_xlfn.MINIFS(Tbl_71_13_Range,Tbl_71_13_Dia,"&gt;="&amp;$E22),IF(G22="Pontoon",3,4)))</f>
        <v>2</v>
      </c>
      <c r="Q28" s="70">
        <f t="shared" si="30"/>
        <v>8.5</v>
      </c>
      <c r="R28" s="187">
        <f t="shared" si="42"/>
        <v>20.333370062499991</v>
      </c>
      <c r="S28" s="189" cm="1">
        <f t="array" ref="S28">R28*$P28*INDEX(Month_Ref,Q$1-1,3)/365</f>
        <v>3.453887517465752</v>
      </c>
      <c r="T28" s="70">
        <f t="shared" si="31"/>
        <v>7.8</v>
      </c>
      <c r="U28" s="187">
        <f t="shared" si="43"/>
        <v>16.687314945599997</v>
      </c>
      <c r="V28" s="189" cm="1">
        <f t="array" ref="V28">U28*$P28*INDEX(Month_Ref,T$1-1,3)/365</f>
        <v>2.5602455806947941</v>
      </c>
      <c r="W28" s="70">
        <f t="shared" si="32"/>
        <v>7.8</v>
      </c>
      <c r="X28" s="187">
        <f t="shared" si="44"/>
        <v>16.687314945599997</v>
      </c>
      <c r="Y28" s="189" cm="1">
        <f t="array" ref="Y28">X28*$P28*INDEX(Month_Ref,W$1-1,3)/365</f>
        <v>2.8345576071978078</v>
      </c>
      <c r="Z28" s="70">
        <f t="shared" si="33"/>
        <v>7.8</v>
      </c>
      <c r="AA28" s="187">
        <f t="shared" si="45"/>
        <v>16.687314945599997</v>
      </c>
      <c r="AB28" s="189" cm="1">
        <f t="array" ref="AB28">AA28*$P28*INDEX(Month_Ref,Z$1-1,3)/365</f>
        <v>2.7431202650301363</v>
      </c>
      <c r="AC28" s="70">
        <f t="shared" si="34"/>
        <v>7.6</v>
      </c>
      <c r="AD28" s="187">
        <f t="shared" si="46"/>
        <v>15.810258457599996</v>
      </c>
      <c r="AE28" s="189" cm="1">
        <f t="array" ref="AE28">AD28*$P28*INDEX(Month_Ref,AC$1-1,3)/365</f>
        <v>2.685578148962191</v>
      </c>
      <c r="AF28" s="70">
        <f t="shared" si="35"/>
        <v>7.8</v>
      </c>
      <c r="AG28" s="187">
        <f t="shared" si="47"/>
        <v>16.687314945599997</v>
      </c>
      <c r="AH28" s="189" cm="1">
        <f t="array" ref="AH28">AG28*$P28*INDEX(Month_Ref,AF$1-1,3)/365</f>
        <v>2.7431202650301363</v>
      </c>
      <c r="AI28" s="70">
        <f t="shared" si="36"/>
        <v>8.1</v>
      </c>
      <c r="AJ28" s="187">
        <f t="shared" si="48"/>
        <v>18.135517712099993</v>
      </c>
      <c r="AK28" s="189" cm="1">
        <f t="array" ref="AK28">AJ28*$P28*INDEX(Month_Ref,AI$1-1,3)/365</f>
        <v>3.0805536935621909</v>
      </c>
      <c r="AL28" s="70">
        <f t="shared" si="37"/>
        <v>7.2</v>
      </c>
      <c r="AM28" s="187">
        <f t="shared" si="49"/>
        <v>14.2524128256</v>
      </c>
      <c r="AN28" s="189" cm="1">
        <f t="array" ref="AN28">AM28*$P28*INDEX(Month_Ref,AL$1-1,3)/365</f>
        <v>2.4209577950334249</v>
      </c>
      <c r="AO28" s="70">
        <f t="shared" si="38"/>
        <v>6.7</v>
      </c>
      <c r="AP28" s="187">
        <f t="shared" si="50"/>
        <v>12.638284152099999</v>
      </c>
      <c r="AQ28" s="189" cm="1">
        <f t="array" ref="AQ28">AP28*$P28*INDEX(Month_Ref,AO$1-1,3)/365</f>
        <v>2.0775261619890411</v>
      </c>
      <c r="AR28" s="70">
        <f t="shared" si="39"/>
        <v>6.7</v>
      </c>
      <c r="AS28" s="187">
        <f t="shared" si="51"/>
        <v>12.638284152099999</v>
      </c>
      <c r="AT28" s="189" cm="1">
        <f t="array" ref="AT28">AS28*$P28*INDEX(Month_Ref,AR$1-1,3)/365</f>
        <v>2.1467770340553423</v>
      </c>
      <c r="AU28" s="70">
        <f t="shared" si="40"/>
        <v>7.8</v>
      </c>
      <c r="AV28" s="187">
        <f t="shared" si="52"/>
        <v>16.687314945599997</v>
      </c>
      <c r="AW28" s="189" cm="1">
        <f t="array" ref="AW28">AV28*$P28*INDEX(Month_Ref,AU$1-1,3)/365</f>
        <v>2.7431202650301363</v>
      </c>
      <c r="AX28" s="70">
        <f t="shared" si="41"/>
        <v>8.6999999999999993</v>
      </c>
      <c r="AY28" s="187">
        <f t="shared" si="53"/>
        <v>21.555271616099994</v>
      </c>
      <c r="AZ28" s="189" cm="1">
        <f t="array" ref="AZ28">AY28*$P28*INDEX(Month_Ref,AX$1-1,3)/365</f>
        <v>3.661443397803287</v>
      </c>
      <c r="BA28" s="183">
        <f t="shared" si="27"/>
        <v>33.15088773185424</v>
      </c>
      <c r="BC28" s="20">
        <f t="shared" si="28"/>
        <v>22</v>
      </c>
    </row>
    <row r="29" spans="2:65" ht="29.15" x14ac:dyDescent="0.4">
      <c r="B29" s="528"/>
      <c r="C29" s="531"/>
      <c r="D29" s="534"/>
      <c r="E29" s="534"/>
      <c r="F29" s="522"/>
      <c r="G29" s="522"/>
      <c r="H29" s="522"/>
      <c r="I29" s="525"/>
      <c r="J29" s="179" t="s">
        <v>1688</v>
      </c>
      <c r="K29" s="168" t="s">
        <v>1704</v>
      </c>
      <c r="L29" s="63">
        <f>INDEX(Deck_Drain,MATCH($K29,Deck_Drain_Name,0),2)</f>
        <v>1.8</v>
      </c>
      <c r="M29" s="63">
        <f>INDEX(Deck_Drain,MATCH($K29,Deck_Drain_Name,0),3)</f>
        <v>0.14000000000000001</v>
      </c>
      <c r="N29" s="63">
        <f>INDEX(Deck_Drain,MATCH($K29,Deck_Drain_Name,0),4)</f>
        <v>1.1000000000000001</v>
      </c>
      <c r="O29" s="63">
        <f t="shared" si="29"/>
        <v>0.7</v>
      </c>
      <c r="P29" s="64" cm="1">
        <f t="array" ref="P29">IF(F22="Internal Floating Roof",1,INDEX(Tbl_71_13,_xlfn.MINIFS(Tbl_71_13_Range,Tbl_71_13_Dia,"&gt;="&amp;$E22),5))</f>
        <v>2</v>
      </c>
      <c r="Q29" s="70">
        <f t="shared" si="30"/>
        <v>8.5</v>
      </c>
      <c r="R29" s="188">
        <f t="shared" si="42"/>
        <v>2.7956270743453144</v>
      </c>
      <c r="S29" s="192" cm="1">
        <f t="array" ref="S29">R29*$P29*INDEX(Month_Ref,Q$1-1,3)/365</f>
        <v>0.47487364002577942</v>
      </c>
      <c r="T29" s="70">
        <f t="shared" si="31"/>
        <v>7.8</v>
      </c>
      <c r="U29" s="188">
        <f t="shared" si="43"/>
        <v>2.7058159061866491</v>
      </c>
      <c r="V29" s="192" cm="1">
        <f t="array" ref="V29">U29*$P29*INDEX(Month_Ref,T$1-1,3)/365</f>
        <v>0.41513887875740368</v>
      </c>
      <c r="W29" s="70">
        <f t="shared" si="32"/>
        <v>7.8</v>
      </c>
      <c r="X29" s="188">
        <f t="shared" si="44"/>
        <v>2.7058159061866491</v>
      </c>
      <c r="Y29" s="192" cm="1">
        <f t="array" ref="Y29">X29*$P29*INDEX(Month_Ref,W$1-1,3)/365</f>
        <v>0.45961804433855413</v>
      </c>
      <c r="Z29" s="70">
        <f t="shared" si="33"/>
        <v>7.8</v>
      </c>
      <c r="AA29" s="188">
        <f t="shared" si="45"/>
        <v>2.7058159061866491</v>
      </c>
      <c r="AB29" s="192" cm="1">
        <f t="array" ref="AB29">AA29*$P29*INDEX(Month_Ref,Z$1-1,3)/365</f>
        <v>0.44479165581150393</v>
      </c>
      <c r="AC29" s="70">
        <f t="shared" si="34"/>
        <v>7.6</v>
      </c>
      <c r="AD29" s="188">
        <f t="shared" si="46"/>
        <v>2.6803002621809786</v>
      </c>
      <c r="AE29" s="192" cm="1">
        <f t="array" ref="AE29">AD29*$P29*INDEX(Month_Ref,AC$1-1,3)/365</f>
        <v>0.45528388015128951</v>
      </c>
      <c r="AF29" s="70">
        <f t="shared" si="35"/>
        <v>7.8</v>
      </c>
      <c r="AG29" s="188">
        <f t="shared" si="47"/>
        <v>2.7058159061866491</v>
      </c>
      <c r="AH29" s="192" cm="1">
        <f t="array" ref="AH29">AG29*$P29*INDEX(Month_Ref,AF$1-1,3)/365</f>
        <v>0.44479165581150393</v>
      </c>
      <c r="AI29" s="70">
        <f t="shared" si="36"/>
        <v>8.1</v>
      </c>
      <c r="AJ29" s="188">
        <f t="shared" si="48"/>
        <v>2.744211749708052</v>
      </c>
      <c r="AK29" s="192" cm="1">
        <f t="array" ref="AK29">AJ29*$P29*INDEX(Month_Ref,AI$1-1,3)/365</f>
        <v>0.4661400780326006</v>
      </c>
      <c r="AL29" s="70">
        <f t="shared" si="37"/>
        <v>7.2</v>
      </c>
      <c r="AM29" s="188">
        <f t="shared" si="49"/>
        <v>2.6294718001921589</v>
      </c>
      <c r="AN29" s="192" cm="1">
        <f t="array" ref="AN29">AM29*$P29*INDEX(Month_Ref,AL$1-1,3)/365</f>
        <v>0.44665000441620228</v>
      </c>
      <c r="AO29" s="70">
        <f t="shared" si="38"/>
        <v>6.7</v>
      </c>
      <c r="AP29" s="188">
        <f t="shared" si="50"/>
        <v>2.566334120525315</v>
      </c>
      <c r="AQ29" s="192" cm="1">
        <f t="array" ref="AQ29">AP29*$P29*INDEX(Month_Ref,AO$1-1,3)/365</f>
        <v>0.4218631431000518</v>
      </c>
      <c r="AR29" s="70">
        <f t="shared" si="39"/>
        <v>6.7</v>
      </c>
      <c r="AS29" s="188">
        <f t="shared" si="51"/>
        <v>2.566334120525315</v>
      </c>
      <c r="AT29" s="192" cm="1">
        <f t="array" ref="AT29">AS29*$P29*INDEX(Month_Ref,AR$1-1,3)/365</f>
        <v>0.43592524787005349</v>
      </c>
      <c r="AU29" s="70">
        <f t="shared" si="40"/>
        <v>7.8</v>
      </c>
      <c r="AV29" s="188">
        <f t="shared" si="52"/>
        <v>2.7058159061866491</v>
      </c>
      <c r="AW29" s="192" cm="1">
        <f t="array" ref="AW29">AV29*$P29*INDEX(Month_Ref,AU$1-1,3)/365</f>
        <v>0.44479165581150393</v>
      </c>
      <c r="AX29" s="70">
        <f t="shared" si="41"/>
        <v>8.6999999999999993</v>
      </c>
      <c r="AY29" s="188">
        <f t="shared" si="53"/>
        <v>2.8214263507130477</v>
      </c>
      <c r="AZ29" s="192" cm="1">
        <f t="array" ref="AZ29">AY29*$P29*INDEX(Month_Ref,AX$1-1,3)/365</f>
        <v>0.47925598286084642</v>
      </c>
      <c r="BA29" s="183">
        <f t="shared" si="27"/>
        <v>5.3891238669872932</v>
      </c>
      <c r="BC29" s="20">
        <f t="shared" si="28"/>
        <v>23</v>
      </c>
    </row>
    <row r="30" spans="2:65" x14ac:dyDescent="0.4">
      <c r="B30" s="528"/>
      <c r="C30" s="531"/>
      <c r="D30" s="534"/>
      <c r="E30" s="534"/>
      <c r="F30" s="522"/>
      <c r="G30" s="522"/>
      <c r="H30" s="522"/>
      <c r="I30" s="525"/>
      <c r="J30" s="179" t="s">
        <v>1708</v>
      </c>
      <c r="K30" s="168" t="s">
        <v>1605</v>
      </c>
      <c r="L30" s="63">
        <f>INDEX(Deck_Leg_IFR,MATCH($K30,Deck_Leg_IFR_Name,0),2)</f>
        <v>0</v>
      </c>
      <c r="M30" s="63">
        <f>INDEX(Deck_Leg_IFR,MATCH($K30,Deck_Leg_IFR_Name,0),3)</f>
        <v>0</v>
      </c>
      <c r="N30" s="63">
        <f>INDEX(Deck_Leg_IFR,MATCH($K30,Deck_Leg_IFR_Name,0),4)</f>
        <v>0</v>
      </c>
      <c r="O30" s="63">
        <f t="shared" si="29"/>
        <v>0.7</v>
      </c>
      <c r="P30" s="64">
        <f>IF($F22="Internal Floating Roof",ROUND(5+$E22/10+($E22^2)/600,0),0)</f>
        <v>0</v>
      </c>
      <c r="Q30" s="70">
        <f t="shared" si="30"/>
        <v>8.5</v>
      </c>
      <c r="R30" s="63">
        <f t="shared" si="42"/>
        <v>0</v>
      </c>
      <c r="S30" s="64" cm="1">
        <f t="array" ref="S30">R30*$P30*INDEX(Month_Ref,Q$1-1,3)/365</f>
        <v>0</v>
      </c>
      <c r="T30" s="70">
        <f t="shared" si="31"/>
        <v>7.8</v>
      </c>
      <c r="U30" s="63">
        <f t="shared" si="43"/>
        <v>0</v>
      </c>
      <c r="V30" s="64" cm="1">
        <f t="array" ref="V30">U30*$P30*INDEX(Month_Ref,T$1-1,3)/365</f>
        <v>0</v>
      </c>
      <c r="W30" s="70">
        <f t="shared" si="32"/>
        <v>7.8</v>
      </c>
      <c r="X30" s="63">
        <f t="shared" si="44"/>
        <v>0</v>
      </c>
      <c r="Y30" s="64" cm="1">
        <f t="array" ref="Y30">X30*$P30*INDEX(Month_Ref,W$1-1,3)/365</f>
        <v>0</v>
      </c>
      <c r="Z30" s="70">
        <f t="shared" si="33"/>
        <v>7.8</v>
      </c>
      <c r="AA30" s="63">
        <f t="shared" si="45"/>
        <v>0</v>
      </c>
      <c r="AB30" s="64" cm="1">
        <f t="array" ref="AB30">AA30*$P30*INDEX(Month_Ref,Z$1-1,3)/365</f>
        <v>0</v>
      </c>
      <c r="AC30" s="70">
        <f t="shared" si="34"/>
        <v>7.6</v>
      </c>
      <c r="AD30" s="63">
        <f t="shared" si="46"/>
        <v>0</v>
      </c>
      <c r="AE30" s="64" cm="1">
        <f t="array" ref="AE30">AD30*$P30*INDEX(Month_Ref,AC$1-1,3)/365</f>
        <v>0</v>
      </c>
      <c r="AF30" s="70">
        <f t="shared" si="35"/>
        <v>7.8</v>
      </c>
      <c r="AG30" s="63">
        <f t="shared" si="47"/>
        <v>0</v>
      </c>
      <c r="AH30" s="64" cm="1">
        <f t="array" ref="AH30">AG30*$P30*INDEX(Month_Ref,AF$1-1,3)/365</f>
        <v>0</v>
      </c>
      <c r="AI30" s="70">
        <f t="shared" si="36"/>
        <v>8.1</v>
      </c>
      <c r="AJ30" s="63">
        <f t="shared" si="48"/>
        <v>0</v>
      </c>
      <c r="AK30" s="64" cm="1">
        <f t="array" ref="AK30">AJ30*$P30*INDEX(Month_Ref,AI$1-1,3)/365</f>
        <v>0</v>
      </c>
      <c r="AL30" s="70">
        <f t="shared" si="37"/>
        <v>7.2</v>
      </c>
      <c r="AM30" s="63">
        <f t="shared" si="49"/>
        <v>0</v>
      </c>
      <c r="AN30" s="64" cm="1">
        <f t="array" ref="AN30">AM30*$P30*INDEX(Month_Ref,AL$1-1,3)/365</f>
        <v>0</v>
      </c>
      <c r="AO30" s="70">
        <f t="shared" si="38"/>
        <v>6.7</v>
      </c>
      <c r="AP30" s="63">
        <f t="shared" si="50"/>
        <v>0</v>
      </c>
      <c r="AQ30" s="64" cm="1">
        <f t="array" ref="AQ30">AP30*$P30*INDEX(Month_Ref,AO$1-1,3)/365</f>
        <v>0</v>
      </c>
      <c r="AR30" s="70">
        <f t="shared" si="39"/>
        <v>6.7</v>
      </c>
      <c r="AS30" s="63">
        <f t="shared" si="51"/>
        <v>0</v>
      </c>
      <c r="AT30" s="64" cm="1">
        <f t="array" ref="AT30">AS30*$P30*INDEX(Month_Ref,AR$1-1,3)/365</f>
        <v>0</v>
      </c>
      <c r="AU30" s="70">
        <f t="shared" si="40"/>
        <v>7.8</v>
      </c>
      <c r="AV30" s="63">
        <f t="shared" si="52"/>
        <v>0</v>
      </c>
      <c r="AW30" s="64" cm="1">
        <f t="array" ref="AW30">AV30*$P30*INDEX(Month_Ref,AU$1-1,3)/365</f>
        <v>0</v>
      </c>
      <c r="AX30" s="70">
        <f t="shared" si="41"/>
        <v>8.6999999999999993</v>
      </c>
      <c r="AY30" s="63">
        <f t="shared" si="53"/>
        <v>0</v>
      </c>
      <c r="AZ30" s="64" cm="1">
        <f t="array" ref="AZ30">AY30*$P30*INDEX(Month_Ref,AX$1-1,3)/365</f>
        <v>0</v>
      </c>
      <c r="BA30" s="183">
        <f t="shared" si="27"/>
        <v>0</v>
      </c>
      <c r="BC30" s="20">
        <f t="shared" si="28"/>
        <v>24</v>
      </c>
    </row>
    <row r="31" spans="2:65" ht="29.15" x14ac:dyDescent="0.4">
      <c r="B31" s="528"/>
      <c r="C31" s="531"/>
      <c r="D31" s="534"/>
      <c r="E31" s="534"/>
      <c r="F31" s="522"/>
      <c r="G31" s="522"/>
      <c r="H31" s="522"/>
      <c r="I31" s="525"/>
      <c r="J31" s="179" t="s">
        <v>1711</v>
      </c>
      <c r="K31" s="168" t="s">
        <v>1696</v>
      </c>
      <c r="L31" s="63">
        <f>INDEX(Deck_Leg_Pon,MATCH($K31,Deck_Leg_Pon_Name,0),2)</f>
        <v>1.2</v>
      </c>
      <c r="M31" s="63">
        <f>INDEX(Deck_Leg_Pon,MATCH($K31,Deck_Leg_Pon_Name,0),3)</f>
        <v>0.14000000000000001</v>
      </c>
      <c r="N31" s="63">
        <f>INDEX(Deck_Leg_Pon,MATCH($K31,Deck_Leg_Pon_Name,0),4)</f>
        <v>0.65</v>
      </c>
      <c r="O31" s="63">
        <f t="shared" si="29"/>
        <v>0.7</v>
      </c>
      <c r="P31" s="64" cm="1">
        <f t="array" ref="P31">IF($G22="Pontoon",INDEX(Tbl_71_14,_xlfn.MINIFS(Tbl_71_14_Range,Tbl_71_14_Dia,"&gt;="&amp;$E22),3),0)</f>
        <v>21</v>
      </c>
      <c r="Q31" s="70">
        <f t="shared" si="30"/>
        <v>8.5</v>
      </c>
      <c r="R31" s="188">
        <f t="shared" si="42"/>
        <v>1.6462354445565648</v>
      </c>
      <c r="S31" s="64" cm="1">
        <f t="array" ref="S31">R31*$P31*INDEX(Month_Ref,Q$1-1,3)/365</f>
        <v>2.9361623956337635</v>
      </c>
      <c r="T31" s="70">
        <f t="shared" si="31"/>
        <v>7.8</v>
      </c>
      <c r="U31" s="188">
        <f t="shared" si="43"/>
        <v>1.6219910629428584</v>
      </c>
      <c r="V31" s="64" cm="1">
        <f t="array" ref="V31">U31*$P31*INDEX(Month_Ref,T$1-1,3)/365</f>
        <v>2.6129609452339744</v>
      </c>
      <c r="W31" s="70">
        <f t="shared" si="32"/>
        <v>7.8</v>
      </c>
      <c r="X31" s="188">
        <f t="shared" si="44"/>
        <v>1.6219910629428584</v>
      </c>
      <c r="Y31" s="64" cm="1">
        <f t="array" ref="Y31">X31*$P31*INDEX(Month_Ref,W$1-1,3)/365</f>
        <v>2.8929210465090431</v>
      </c>
      <c r="Z31" s="70">
        <f t="shared" si="33"/>
        <v>7.8</v>
      </c>
      <c r="AA31" s="188">
        <f t="shared" si="45"/>
        <v>1.6219910629428584</v>
      </c>
      <c r="AB31" s="64" cm="1">
        <f t="array" ref="AB31">AA31*$P31*INDEX(Month_Ref,Z$1-1,3)/365</f>
        <v>2.7996010127506872</v>
      </c>
      <c r="AC31" s="70">
        <f t="shared" si="34"/>
        <v>7.6</v>
      </c>
      <c r="AD31" s="188">
        <f t="shared" si="46"/>
        <v>1.6149259496740955</v>
      </c>
      <c r="AE31" s="64" cm="1">
        <f t="array" ref="AE31">AD31*$P31*INDEX(Month_Ref,AC$1-1,3)/365</f>
        <v>2.8803199814735239</v>
      </c>
      <c r="AF31" s="70">
        <f t="shared" si="35"/>
        <v>7.8</v>
      </c>
      <c r="AG31" s="188">
        <f t="shared" si="47"/>
        <v>1.6219910629428584</v>
      </c>
      <c r="AH31" s="64" cm="1">
        <f t="array" ref="AH31">AG31*$P31*INDEX(Month_Ref,AF$1-1,3)/365</f>
        <v>2.7996010127506872</v>
      </c>
      <c r="AI31" s="70">
        <f t="shared" si="36"/>
        <v>8.1</v>
      </c>
      <c r="AJ31" s="188">
        <f t="shared" si="48"/>
        <v>1.6324710333172896</v>
      </c>
      <c r="AK31" s="64" cm="1">
        <f t="array" ref="AK31">AJ31*$P31*INDEX(Month_Ref,AI$1-1,3)/365</f>
        <v>2.9116127196974131</v>
      </c>
      <c r="AL31" s="70">
        <f t="shared" si="37"/>
        <v>7.2</v>
      </c>
      <c r="AM31" s="188">
        <f t="shared" si="49"/>
        <v>1.6005971768742733</v>
      </c>
      <c r="AN31" s="64" cm="1">
        <f t="array" ref="AN31">AM31*$P31*INDEX(Month_Ref,AL$1-1,3)/365</f>
        <v>2.8547637319045256</v>
      </c>
      <c r="AO31" s="70">
        <f t="shared" si="38"/>
        <v>6.7</v>
      </c>
      <c r="AP31" s="188">
        <f t="shared" si="50"/>
        <v>1.5822877514971885</v>
      </c>
      <c r="AQ31" s="64" cm="1">
        <f t="array" ref="AQ31">AP31*$P31*INDEX(Month_Ref,AO$1-1,3)/365</f>
        <v>2.7310720094335035</v>
      </c>
      <c r="AR31" s="70">
        <f t="shared" si="39"/>
        <v>6.7</v>
      </c>
      <c r="AS31" s="188">
        <f t="shared" si="51"/>
        <v>1.5822877514971885</v>
      </c>
      <c r="AT31" s="64" cm="1">
        <f t="array" ref="AT31">AS31*$P31*INDEX(Month_Ref,AR$1-1,3)/365</f>
        <v>2.8221077430812866</v>
      </c>
      <c r="AU31" s="70">
        <f t="shared" si="40"/>
        <v>7.8</v>
      </c>
      <c r="AV31" s="188">
        <f t="shared" si="52"/>
        <v>1.6219910629428584</v>
      </c>
      <c r="AW31" s="64" cm="1">
        <f t="array" ref="AW31">AV31*$P31*INDEX(Month_Ref,AU$1-1,3)/365</f>
        <v>2.7996010127506872</v>
      </c>
      <c r="AX31" s="70">
        <f t="shared" si="41"/>
        <v>8.6999999999999993</v>
      </c>
      <c r="AY31" s="188">
        <f t="shared" si="53"/>
        <v>1.6530324134207663</v>
      </c>
      <c r="AZ31" s="64" cm="1">
        <f t="array" ref="AZ31">AY31*$P31*INDEX(Month_Ref,AX$1-1,3)/365</f>
        <v>2.9482852085942981</v>
      </c>
      <c r="BA31" s="183">
        <f t="shared" si="27"/>
        <v>33.989008819813392</v>
      </c>
      <c r="BC31" s="20">
        <f t="shared" si="28"/>
        <v>25</v>
      </c>
    </row>
    <row r="32" spans="2:65" ht="29.15" x14ac:dyDescent="0.4">
      <c r="B32" s="528"/>
      <c r="C32" s="531"/>
      <c r="D32" s="534"/>
      <c r="E32" s="534"/>
      <c r="F32" s="522"/>
      <c r="G32" s="522"/>
      <c r="H32" s="522"/>
      <c r="I32" s="525"/>
      <c r="J32" s="179" t="s">
        <v>1714</v>
      </c>
      <c r="K32" s="168" t="s">
        <v>1704</v>
      </c>
      <c r="L32" s="63">
        <f>INDEX(Deck_Leg_DD,MATCH($K32,Deck_Leg_DD_Name,0),2)</f>
        <v>0.82</v>
      </c>
      <c r="M32" s="63">
        <f>INDEX(Deck_Leg_DD,MATCH($K32,Deck_Leg_DD_Name,0),3)</f>
        <v>0.53</v>
      </c>
      <c r="N32" s="63">
        <f>INDEX(Deck_Leg_DD,MATCH($K32,Deck_Leg_DD_Name,0),4)</f>
        <v>0.14000000000000001</v>
      </c>
      <c r="O32" s="63">
        <f t="shared" si="29"/>
        <v>0.7</v>
      </c>
      <c r="P32" s="64" cm="1">
        <f t="array" ref="P32">IF($G22="Pontoon",INDEX(Tbl_71_14,_xlfn.MINIFS(Tbl_71_14_Range,Tbl_71_14_Dia,"&gt;="&amp;$E22),4),IF($F22="Internal Floating Roof",0,6))</f>
        <v>33</v>
      </c>
      <c r="Q32" s="70">
        <f t="shared" si="30"/>
        <v>8.5</v>
      </c>
      <c r="R32" s="188">
        <f t="shared" si="42"/>
        <v>1.5003121774335484</v>
      </c>
      <c r="S32" s="192" cm="1">
        <f t="array" ref="S32">R32*$P32*INDEX(Month_Ref,Q$1-1,3)/365</f>
        <v>4.2049845411356719</v>
      </c>
      <c r="T32" s="70">
        <f t="shared" si="31"/>
        <v>7.8</v>
      </c>
      <c r="U32" s="188">
        <f t="shared" si="43"/>
        <v>1.4921757486856286</v>
      </c>
      <c r="V32" s="192" cm="1">
        <f t="array" ref="V32">U32*$P32*INDEX(Month_Ref,T$1-1,3)/365</f>
        <v>3.7774531281795092</v>
      </c>
      <c r="W32" s="70">
        <f t="shared" si="32"/>
        <v>7.8</v>
      </c>
      <c r="X32" s="188">
        <f t="shared" si="44"/>
        <v>1.4921757486856286</v>
      </c>
      <c r="Y32" s="192" cm="1">
        <f t="array" ref="Y32">X32*$P32*INDEX(Month_Ref,W$1-1,3)/365</f>
        <v>4.182180249055885</v>
      </c>
      <c r="Z32" s="70">
        <f t="shared" si="33"/>
        <v>7.8</v>
      </c>
      <c r="AA32" s="188">
        <f t="shared" si="45"/>
        <v>1.4921757486856286</v>
      </c>
      <c r="AB32" s="192" cm="1">
        <f t="array" ref="AB32">AA32*$P32*INDEX(Month_Ref,Z$1-1,3)/365</f>
        <v>4.0472712087637595</v>
      </c>
      <c r="AC32" s="70">
        <f t="shared" si="34"/>
        <v>7.6</v>
      </c>
      <c r="AD32" s="188">
        <f t="shared" si="46"/>
        <v>1.4897357750568518</v>
      </c>
      <c r="AE32" s="192" cm="1">
        <f t="array" ref="AE32">AD32*$P32*INDEX(Month_Ref,AC$1-1,3)/365</f>
        <v>4.1753416380360528</v>
      </c>
      <c r="AF32" s="70">
        <f t="shared" si="35"/>
        <v>7.8</v>
      </c>
      <c r="AG32" s="188">
        <f t="shared" si="47"/>
        <v>1.4921757486856286</v>
      </c>
      <c r="AH32" s="192" cm="1">
        <f t="array" ref="AH32">AG32*$P32*INDEX(Month_Ref,AF$1-1,3)/365</f>
        <v>4.0472712087637595</v>
      </c>
      <c r="AI32" s="70">
        <f t="shared" si="36"/>
        <v>8.1</v>
      </c>
      <c r="AJ32" s="188">
        <f t="shared" si="48"/>
        <v>1.4957366864189434</v>
      </c>
      <c r="AK32" s="192" cm="1">
        <f t="array" ref="AK32">AJ32*$P32*INDEX(Month_Ref,AI$1-1,3)/365</f>
        <v>4.1921606307029569</v>
      </c>
      <c r="AL32" s="70">
        <f t="shared" si="37"/>
        <v>7.2</v>
      </c>
      <c r="AM32" s="188">
        <f t="shared" si="49"/>
        <v>1.4846854079946157</v>
      </c>
      <c r="AN32" s="192" cm="1">
        <f t="array" ref="AN32">AM32*$P32*INDEX(Month_Ref,AL$1-1,3)/365</f>
        <v>4.1611867736397041</v>
      </c>
      <c r="AO32" s="70">
        <f t="shared" si="38"/>
        <v>6.7</v>
      </c>
      <c r="AP32" s="188">
        <f t="shared" si="50"/>
        <v>1.4780214753418086</v>
      </c>
      <c r="AQ32" s="192" cm="1">
        <f t="array" ref="AQ32">AP32*$P32*INDEX(Month_Ref,AO$1-1,3)/365</f>
        <v>4.0088801659955902</v>
      </c>
      <c r="AR32" s="70">
        <f t="shared" si="39"/>
        <v>6.7</v>
      </c>
      <c r="AS32" s="188">
        <f t="shared" si="51"/>
        <v>1.4780214753418086</v>
      </c>
      <c r="AT32" s="192" cm="1">
        <f t="array" ref="AT32">AS32*$P32*INDEX(Month_Ref,AR$1-1,3)/365</f>
        <v>4.1425095048621099</v>
      </c>
      <c r="AU32" s="70">
        <f t="shared" si="40"/>
        <v>7.8</v>
      </c>
      <c r="AV32" s="188">
        <f t="shared" si="52"/>
        <v>1.4921757486856286</v>
      </c>
      <c r="AW32" s="192" cm="1">
        <f t="array" ref="AW32">AV32*$P32*INDEX(Month_Ref,AU$1-1,3)/365</f>
        <v>4.0472712087637595</v>
      </c>
      <c r="AX32" s="70">
        <f t="shared" si="41"/>
        <v>8.6999999999999993</v>
      </c>
      <c r="AY32" s="188">
        <f t="shared" si="53"/>
        <v>1.5025308571559672</v>
      </c>
      <c r="AZ32" s="192" cm="1">
        <f t="array" ref="AZ32">AY32*$P32*INDEX(Month_Ref,AX$1-1,3)/365</f>
        <v>4.2112029229330261</v>
      </c>
      <c r="BA32" s="183">
        <f t="shared" si="27"/>
        <v>49.197713180831791</v>
      </c>
      <c r="BC32" s="20">
        <f t="shared" si="28"/>
        <v>26</v>
      </c>
    </row>
    <row r="33" spans="2:65" ht="29.15" x14ac:dyDescent="0.4">
      <c r="B33" s="528"/>
      <c r="C33" s="531"/>
      <c r="D33" s="534"/>
      <c r="E33" s="534"/>
      <c r="F33" s="522"/>
      <c r="G33" s="522"/>
      <c r="H33" s="522"/>
      <c r="I33" s="525"/>
      <c r="J33" s="180" t="s">
        <v>1700</v>
      </c>
      <c r="K33" s="168" t="s">
        <v>1704</v>
      </c>
      <c r="L33" s="63">
        <f>INDEX(Rim_Vent,MATCH($K33,Rim_Vent_Name,0),2)</f>
        <v>0.71</v>
      </c>
      <c r="M33" s="63">
        <f>INDEX(Rim_Vent,MATCH($K33,Rim_Vent_Name,0),3)</f>
        <v>0.1</v>
      </c>
      <c r="N33" s="63">
        <f>INDEX(Rim_Vent,MATCH($K33,Rim_Vent_Name,0),4)</f>
        <v>1</v>
      </c>
      <c r="O33" s="63">
        <f t="shared" si="29"/>
        <v>0.7</v>
      </c>
      <c r="P33" s="64">
        <f>IF(OR($H22="Mechanical Shoe - Primary Only",$H22="Mechanical Shoe w/ Shoe-Mounted Secondary",$H22="Mechanical Shoe w/ Rim Mounted Secondary"),1,0)</f>
        <v>1</v>
      </c>
      <c r="Q33" s="70">
        <f t="shared" si="30"/>
        <v>8.5</v>
      </c>
      <c r="R33" s="188">
        <f t="shared" si="42"/>
        <v>1.3049999999999999</v>
      </c>
      <c r="S33" s="192" cm="1">
        <f t="array" ref="S33">R33*$P33*INDEX(Month_Ref,Q$1-1,3)/365</f>
        <v>0.11083561643835615</v>
      </c>
      <c r="T33" s="70">
        <f t="shared" si="31"/>
        <v>7.8</v>
      </c>
      <c r="U33" s="188">
        <f t="shared" si="43"/>
        <v>1.256</v>
      </c>
      <c r="V33" s="192" cm="1">
        <f t="array" ref="V33">U33*$P33*INDEX(Month_Ref,T$1-1,3)/365</f>
        <v>9.635068493150685E-2</v>
      </c>
      <c r="W33" s="70">
        <f t="shared" si="32"/>
        <v>7.8</v>
      </c>
      <c r="X33" s="188">
        <f t="shared" si="44"/>
        <v>1.256</v>
      </c>
      <c r="Y33" s="192" cm="1">
        <f t="array" ref="Y33">X33*$P33*INDEX(Month_Ref,W$1-1,3)/365</f>
        <v>0.10667397260273973</v>
      </c>
      <c r="Z33" s="70">
        <f t="shared" si="33"/>
        <v>7.8</v>
      </c>
      <c r="AA33" s="188">
        <f t="shared" si="45"/>
        <v>1.256</v>
      </c>
      <c r="AB33" s="192" cm="1">
        <f t="array" ref="AB33">AA33*$P33*INDEX(Month_Ref,Z$1-1,3)/365</f>
        <v>0.10323287671232877</v>
      </c>
      <c r="AC33" s="70">
        <f t="shared" si="34"/>
        <v>7.6</v>
      </c>
      <c r="AD33" s="188">
        <f t="shared" si="46"/>
        <v>1.242</v>
      </c>
      <c r="AE33" s="192" cm="1">
        <f t="array" ref="AE33">AD33*$P33*INDEX(Month_Ref,AC$1-1,3)/365</f>
        <v>0.10548493150684932</v>
      </c>
      <c r="AF33" s="70">
        <f t="shared" si="35"/>
        <v>7.8</v>
      </c>
      <c r="AG33" s="188">
        <f t="shared" si="47"/>
        <v>1.256</v>
      </c>
      <c r="AH33" s="192" cm="1">
        <f t="array" ref="AH33">AG33*$P33*INDEX(Month_Ref,AF$1-1,3)/365</f>
        <v>0.10323287671232877</v>
      </c>
      <c r="AI33" s="70">
        <f t="shared" si="36"/>
        <v>8.1</v>
      </c>
      <c r="AJ33" s="188">
        <f t="shared" si="48"/>
        <v>1.2769999999999999</v>
      </c>
      <c r="AK33" s="192" cm="1">
        <f t="array" ref="AK33">AJ33*$P33*INDEX(Month_Ref,AI$1-1,3)/365</f>
        <v>0.10845753424657534</v>
      </c>
      <c r="AL33" s="70">
        <f t="shared" si="37"/>
        <v>7.2</v>
      </c>
      <c r="AM33" s="188">
        <f t="shared" si="49"/>
        <v>1.214</v>
      </c>
      <c r="AN33" s="192" cm="1">
        <f t="array" ref="AN33">AM33*$P33*INDEX(Month_Ref,AL$1-1,3)/365</f>
        <v>0.1031068493150685</v>
      </c>
      <c r="AO33" s="70">
        <f t="shared" si="38"/>
        <v>6.7</v>
      </c>
      <c r="AP33" s="188">
        <f t="shared" si="50"/>
        <v>1.1789999999999998</v>
      </c>
      <c r="AQ33" s="192" cm="1">
        <f t="array" ref="AQ33">AP33*$P33*INDEX(Month_Ref,AO$1-1,3)/365</f>
        <v>9.6904109589041082E-2</v>
      </c>
      <c r="AR33" s="70">
        <f t="shared" si="39"/>
        <v>6.7</v>
      </c>
      <c r="AS33" s="188">
        <f t="shared" si="51"/>
        <v>1.1789999999999998</v>
      </c>
      <c r="AT33" s="192" cm="1">
        <f t="array" ref="AT33">AS33*$P33*INDEX(Month_Ref,AR$1-1,3)/365</f>
        <v>0.10013424657534245</v>
      </c>
      <c r="AU33" s="70">
        <f t="shared" si="40"/>
        <v>7.8</v>
      </c>
      <c r="AV33" s="188">
        <f t="shared" si="52"/>
        <v>1.256</v>
      </c>
      <c r="AW33" s="192" cm="1">
        <f t="array" ref="AW33">AV33*$P33*INDEX(Month_Ref,AU$1-1,3)/365</f>
        <v>0.10323287671232877</v>
      </c>
      <c r="AX33" s="70">
        <f t="shared" si="41"/>
        <v>8.6999999999999993</v>
      </c>
      <c r="AY33" s="188">
        <f t="shared" si="53"/>
        <v>1.319</v>
      </c>
      <c r="AZ33" s="192" cm="1">
        <f t="array" ref="AZ33">AY33*$P33*INDEX(Month_Ref,AX$1-1,3)/365</f>
        <v>0.11202465753424656</v>
      </c>
      <c r="BA33" s="183">
        <f t="shared" si="27"/>
        <v>1.2496712328767121</v>
      </c>
      <c r="BC33" s="20">
        <f t="shared" si="28"/>
        <v>27</v>
      </c>
    </row>
    <row r="34" spans="2:65" x14ac:dyDescent="0.4">
      <c r="B34" s="528"/>
      <c r="C34" s="531"/>
      <c r="D34" s="534"/>
      <c r="E34" s="534"/>
      <c r="F34" s="522"/>
      <c r="G34" s="522"/>
      <c r="H34" s="522"/>
      <c r="I34" s="525"/>
      <c r="J34" s="180" t="s">
        <v>1701</v>
      </c>
      <c r="K34" s="168" t="s">
        <v>1605</v>
      </c>
      <c r="L34" s="63">
        <f>INDEX(Ladder_Well,MATCH($K34,Ladder_Well_Name,0),2)</f>
        <v>0</v>
      </c>
      <c r="M34" s="63">
        <f>INDEX(Ladder_Well,MATCH($K34,Ladder_Well_Name,0),3)</f>
        <v>0</v>
      </c>
      <c r="N34" s="63">
        <f>INDEX(Ladder_Well,MATCH($K34,Ladder_Well_Name,0),4)</f>
        <v>0</v>
      </c>
      <c r="O34" s="63">
        <f t="shared" si="29"/>
        <v>0.7</v>
      </c>
      <c r="P34" s="64">
        <f>IF($F22&lt;&gt;"Internal Floating Roof",0,1)</f>
        <v>0</v>
      </c>
      <c r="Q34" s="70">
        <f t="shared" si="30"/>
        <v>8.5</v>
      </c>
      <c r="R34" s="63">
        <f t="shared" si="42"/>
        <v>0</v>
      </c>
      <c r="S34" s="64" cm="1">
        <f t="array" ref="S34">R34*$P34*INDEX(Month_Ref,Q$1-1,3)/365</f>
        <v>0</v>
      </c>
      <c r="T34" s="70">
        <f t="shared" si="31"/>
        <v>7.8</v>
      </c>
      <c r="U34" s="63">
        <f t="shared" si="43"/>
        <v>0</v>
      </c>
      <c r="V34" s="64" cm="1">
        <f t="array" ref="V34">U34*$P34*INDEX(Month_Ref,T$1-1,3)/365</f>
        <v>0</v>
      </c>
      <c r="W34" s="70">
        <f t="shared" si="32"/>
        <v>7.8</v>
      </c>
      <c r="X34" s="63">
        <f t="shared" si="44"/>
        <v>0</v>
      </c>
      <c r="Y34" s="64" cm="1">
        <f t="array" ref="Y34">X34*$P34*INDEX(Month_Ref,W$1-1,3)/365</f>
        <v>0</v>
      </c>
      <c r="Z34" s="70">
        <f t="shared" si="33"/>
        <v>7.8</v>
      </c>
      <c r="AA34" s="63">
        <f t="shared" si="45"/>
        <v>0</v>
      </c>
      <c r="AB34" s="64" cm="1">
        <f t="array" ref="AB34">AA34*$P34*INDEX(Month_Ref,Z$1-1,3)/365</f>
        <v>0</v>
      </c>
      <c r="AC34" s="70">
        <f t="shared" si="34"/>
        <v>7.6</v>
      </c>
      <c r="AD34" s="63">
        <f t="shared" si="46"/>
        <v>0</v>
      </c>
      <c r="AE34" s="64" cm="1">
        <f t="array" ref="AE34">AD34*$P34*INDEX(Month_Ref,AC$1-1,3)/365</f>
        <v>0</v>
      </c>
      <c r="AF34" s="70">
        <f t="shared" si="35"/>
        <v>7.8</v>
      </c>
      <c r="AG34" s="63">
        <f t="shared" si="47"/>
        <v>0</v>
      </c>
      <c r="AH34" s="64" cm="1">
        <f t="array" ref="AH34">AG34*$P34*INDEX(Month_Ref,AF$1-1,3)/365</f>
        <v>0</v>
      </c>
      <c r="AI34" s="70">
        <f t="shared" si="36"/>
        <v>8.1</v>
      </c>
      <c r="AJ34" s="63">
        <f t="shared" si="48"/>
        <v>0</v>
      </c>
      <c r="AK34" s="64" cm="1">
        <f t="array" ref="AK34">AJ34*$P34*INDEX(Month_Ref,AI$1-1,3)/365</f>
        <v>0</v>
      </c>
      <c r="AL34" s="70">
        <f t="shared" si="37"/>
        <v>7.2</v>
      </c>
      <c r="AM34" s="63">
        <f t="shared" si="49"/>
        <v>0</v>
      </c>
      <c r="AN34" s="64" cm="1">
        <f t="array" ref="AN34">AM34*$P34*INDEX(Month_Ref,AL$1-1,3)/365</f>
        <v>0</v>
      </c>
      <c r="AO34" s="70">
        <f t="shared" si="38"/>
        <v>6.7</v>
      </c>
      <c r="AP34" s="63">
        <f t="shared" si="50"/>
        <v>0</v>
      </c>
      <c r="AQ34" s="64" cm="1">
        <f t="array" ref="AQ34">AP34*$P34*INDEX(Month_Ref,AO$1-1,3)/365</f>
        <v>0</v>
      </c>
      <c r="AR34" s="70">
        <f t="shared" si="39"/>
        <v>6.7</v>
      </c>
      <c r="AS34" s="63">
        <f t="shared" si="51"/>
        <v>0</v>
      </c>
      <c r="AT34" s="64" cm="1">
        <f t="array" ref="AT34">AS34*$P34*INDEX(Month_Ref,AR$1-1,3)/365</f>
        <v>0</v>
      </c>
      <c r="AU34" s="70">
        <f t="shared" si="40"/>
        <v>7.8</v>
      </c>
      <c r="AV34" s="63">
        <f t="shared" si="52"/>
        <v>0</v>
      </c>
      <c r="AW34" s="64" cm="1">
        <f t="array" ref="AW34">AV34*$P34*INDEX(Month_Ref,AU$1-1,3)/365</f>
        <v>0</v>
      </c>
      <c r="AX34" s="70">
        <f t="shared" si="41"/>
        <v>8.6999999999999993</v>
      </c>
      <c r="AY34" s="63">
        <f t="shared" si="53"/>
        <v>0</v>
      </c>
      <c r="AZ34" s="64" cm="1">
        <f t="array" ref="AZ34">AY34*$P34*INDEX(Month_Ref,AX$1-1,3)/365</f>
        <v>0</v>
      </c>
      <c r="BA34" s="183">
        <f t="shared" si="27"/>
        <v>0</v>
      </c>
      <c r="BC34" s="20">
        <f t="shared" si="28"/>
        <v>28</v>
      </c>
    </row>
    <row r="35" spans="2:65" ht="15" thickBot="1" x14ac:dyDescent="0.45">
      <c r="B35" s="529"/>
      <c r="C35" s="532"/>
      <c r="D35" s="535"/>
      <c r="E35" s="535"/>
      <c r="F35" s="523"/>
      <c r="G35" s="523"/>
      <c r="H35" s="523"/>
      <c r="I35" s="526"/>
      <c r="J35" s="181" t="s">
        <v>1715</v>
      </c>
      <c r="K35" s="171" t="s">
        <v>1605</v>
      </c>
      <c r="L35" s="32">
        <f>INDEX(Combo_LWSGP,MATCH($K35,Combo_LWSGP_Name,0),2)</f>
        <v>0</v>
      </c>
      <c r="M35" s="32">
        <f>INDEX(Combo_LWSGP,MATCH($K35,Combo_LWSGP_Name,0),3)</f>
        <v>0</v>
      </c>
      <c r="N35" s="32">
        <f>INDEX(Combo_LWSGP,MATCH($K35,Combo_LWSGP_Name,0),4)</f>
        <v>0</v>
      </c>
      <c r="O35" s="32">
        <f t="shared" si="29"/>
        <v>0.7</v>
      </c>
      <c r="P35" s="33">
        <f>IF(AND(P25=0,P34=0),1,0)</f>
        <v>0</v>
      </c>
      <c r="Q35" s="31">
        <f t="shared" si="30"/>
        <v>8.5</v>
      </c>
      <c r="R35" s="32">
        <f t="shared" si="42"/>
        <v>0</v>
      </c>
      <c r="S35" s="33" cm="1">
        <f t="array" ref="S35">R35*$P35*INDEX(Month_Ref,Q$1-1,3)/365</f>
        <v>0</v>
      </c>
      <c r="T35" s="31">
        <f t="shared" si="31"/>
        <v>7.8</v>
      </c>
      <c r="U35" s="32">
        <f t="shared" si="43"/>
        <v>0</v>
      </c>
      <c r="V35" s="33" cm="1">
        <f t="array" ref="V35">U35*$P35*INDEX(Month_Ref,T$1-1,3)/365</f>
        <v>0</v>
      </c>
      <c r="W35" s="31">
        <f t="shared" si="32"/>
        <v>7.8</v>
      </c>
      <c r="X35" s="32">
        <f t="shared" si="44"/>
        <v>0</v>
      </c>
      <c r="Y35" s="33" cm="1">
        <f t="array" ref="Y35">X35*$P35*INDEX(Month_Ref,W$1-1,3)/365</f>
        <v>0</v>
      </c>
      <c r="Z35" s="31">
        <f t="shared" si="33"/>
        <v>7.8</v>
      </c>
      <c r="AA35" s="32">
        <f t="shared" si="45"/>
        <v>0</v>
      </c>
      <c r="AB35" s="33" cm="1">
        <f t="array" ref="AB35">AA35*$P35*INDEX(Month_Ref,Z$1-1,3)/365</f>
        <v>0</v>
      </c>
      <c r="AC35" s="31">
        <f t="shared" si="34"/>
        <v>7.6</v>
      </c>
      <c r="AD35" s="32">
        <f t="shared" si="46"/>
        <v>0</v>
      </c>
      <c r="AE35" s="33" cm="1">
        <f t="array" ref="AE35">AD35*$P35*INDEX(Month_Ref,AC$1-1,3)/365</f>
        <v>0</v>
      </c>
      <c r="AF35" s="31">
        <f t="shared" si="35"/>
        <v>7.8</v>
      </c>
      <c r="AG35" s="32">
        <f t="shared" si="47"/>
        <v>0</v>
      </c>
      <c r="AH35" s="33" cm="1">
        <f t="array" ref="AH35">AG35*$P35*INDEX(Month_Ref,AF$1-1,3)/365</f>
        <v>0</v>
      </c>
      <c r="AI35" s="31">
        <f t="shared" si="36"/>
        <v>8.1</v>
      </c>
      <c r="AJ35" s="32">
        <f t="shared" si="48"/>
        <v>0</v>
      </c>
      <c r="AK35" s="33" cm="1">
        <f t="array" ref="AK35">AJ35*$P35*INDEX(Month_Ref,AI$1-1,3)/365</f>
        <v>0</v>
      </c>
      <c r="AL35" s="31">
        <f t="shared" si="37"/>
        <v>7.2</v>
      </c>
      <c r="AM35" s="32">
        <f t="shared" si="49"/>
        <v>0</v>
      </c>
      <c r="AN35" s="33" cm="1">
        <f t="array" ref="AN35">AM35*$P35*INDEX(Month_Ref,AL$1-1,3)/365</f>
        <v>0</v>
      </c>
      <c r="AO35" s="31">
        <f t="shared" si="38"/>
        <v>6.7</v>
      </c>
      <c r="AP35" s="32">
        <f t="shared" si="50"/>
        <v>0</v>
      </c>
      <c r="AQ35" s="33" cm="1">
        <f t="array" ref="AQ35">AP35*$P35*INDEX(Month_Ref,AO$1-1,3)/365</f>
        <v>0</v>
      </c>
      <c r="AR35" s="31">
        <f t="shared" si="39"/>
        <v>6.7</v>
      </c>
      <c r="AS35" s="32">
        <f t="shared" si="51"/>
        <v>0</v>
      </c>
      <c r="AT35" s="33" cm="1">
        <f t="array" ref="AT35">AS35*$P35*INDEX(Month_Ref,AR$1-1,3)/365</f>
        <v>0</v>
      </c>
      <c r="AU35" s="31">
        <f t="shared" si="40"/>
        <v>7.8</v>
      </c>
      <c r="AV35" s="32">
        <f t="shared" si="52"/>
        <v>0</v>
      </c>
      <c r="AW35" s="33" cm="1">
        <f t="array" ref="AW35">AV35*$P35*INDEX(Month_Ref,AU$1-1,3)/365</f>
        <v>0</v>
      </c>
      <c r="AX35" s="31">
        <f t="shared" si="41"/>
        <v>8.6999999999999993</v>
      </c>
      <c r="AY35" s="32">
        <f t="shared" si="53"/>
        <v>0</v>
      </c>
      <c r="AZ35" s="33" cm="1">
        <f t="array" ref="AZ35">AY35*$P35*INDEX(Month_Ref,AX$1-1,3)/365</f>
        <v>0</v>
      </c>
      <c r="BA35" s="184">
        <f t="shared" si="27"/>
        <v>0</v>
      </c>
      <c r="BC35" s="20">
        <f t="shared" si="28"/>
        <v>29</v>
      </c>
    </row>
    <row r="36" spans="2:65" ht="15" thickBot="1" x14ac:dyDescent="0.45">
      <c r="B36" s="157"/>
      <c r="C36" s="158"/>
      <c r="D36" s="163"/>
      <c r="I36" s="163"/>
      <c r="J36" s="164"/>
      <c r="K36" s="164"/>
      <c r="L36" s="163"/>
      <c r="M36" s="163"/>
      <c r="N36" s="163"/>
      <c r="O36" s="163"/>
      <c r="Q36" s="195"/>
      <c r="R36" s="196" t="s">
        <v>1768</v>
      </c>
      <c r="S36" s="197">
        <f>SUM(S22:S35)</f>
        <v>14.055953757894555</v>
      </c>
      <c r="T36" s="195"/>
      <c r="U36" s="196" t="s">
        <v>1762</v>
      </c>
      <c r="V36" s="197">
        <f>SUM(V22:V35)</f>
        <v>11.984457560815519</v>
      </c>
      <c r="W36" s="195"/>
      <c r="X36" s="196" t="s">
        <v>1762</v>
      </c>
      <c r="Y36" s="197">
        <f>SUM(Y22:Y35)</f>
        <v>13.268506585188613</v>
      </c>
      <c r="Z36" s="195"/>
      <c r="AA36" s="196" t="s">
        <v>1762</v>
      </c>
      <c r="AB36" s="197">
        <f>SUM(AB22:AB35)</f>
        <v>12.840490243730915</v>
      </c>
      <c r="AC36" s="195"/>
      <c r="AD36" s="196" t="s">
        <v>1762</v>
      </c>
      <c r="AE36" s="197">
        <f>SUM(AE22:AE35)</f>
        <v>13.070655927627223</v>
      </c>
      <c r="AF36" s="195"/>
      <c r="AG36" s="196" t="s">
        <v>1762</v>
      </c>
      <c r="AH36" s="197">
        <f>SUM(AH22:AH35)</f>
        <v>12.840490243730915</v>
      </c>
      <c r="AI36" s="195"/>
      <c r="AJ36" s="196" t="s">
        <v>1762</v>
      </c>
      <c r="AK36" s="197">
        <f>SUM(AK22:AK35)</f>
        <v>13.587093877830046</v>
      </c>
      <c r="AL36" s="195"/>
      <c r="AM36" s="196" t="s">
        <v>1762</v>
      </c>
      <c r="AN36" s="197">
        <f>SUM(AN22:AN35)</f>
        <v>12.707078103805506</v>
      </c>
      <c r="AO36" s="195"/>
      <c r="AP36" s="196" t="s">
        <v>1762</v>
      </c>
      <c r="AQ36" s="197">
        <f>SUM(AQ22:AQ35)</f>
        <v>11.909749194194585</v>
      </c>
      <c r="AR36" s="195"/>
      <c r="AS36" s="196" t="s">
        <v>1762</v>
      </c>
      <c r="AT36" s="197">
        <f>SUM(AT22:AT35)</f>
        <v>12.306740834001072</v>
      </c>
      <c r="AU36" s="195"/>
      <c r="AV36" s="196" t="s">
        <v>1762</v>
      </c>
      <c r="AW36" s="197">
        <f>SUM(AW22:AW35)</f>
        <v>12.840490243730915</v>
      </c>
      <c r="AX36" s="195"/>
      <c r="AY36" s="196" t="s">
        <v>1762</v>
      </c>
      <c r="AZ36" s="197">
        <f>SUM(AZ22:AZ35)</f>
        <v>14.31076062477575</v>
      </c>
      <c r="BA36" s="198">
        <f t="shared" si="27"/>
        <v>155.72246719732561</v>
      </c>
      <c r="BC36" s="194">
        <f t="shared" si="28"/>
        <v>30</v>
      </c>
      <c r="BD36" s="11"/>
      <c r="BE36" s="11"/>
      <c r="BF36" s="11"/>
      <c r="BG36" s="11"/>
      <c r="BH36" s="11"/>
      <c r="BI36" s="11"/>
      <c r="BJ36" s="11"/>
      <c r="BK36" s="11"/>
      <c r="BL36" s="11"/>
      <c r="BM36" s="11"/>
    </row>
    <row r="37" spans="2:65" x14ac:dyDescent="0.4">
      <c r="B37" s="527" t="str" cm="1">
        <f t="array" ref="B37">INDEX(FLT_Cons,$BD37,$BE37)</f>
        <v>FLT - 3</v>
      </c>
      <c r="C37" s="530" t="str" cm="1">
        <f t="array" ref="C37">INDEX(FLT_Cons,$BD37,$BF37)</f>
        <v>EXTANK 120</v>
      </c>
      <c r="D37" s="533" t="str" cm="1">
        <f t="array" ref="D37">INDEX(FLT_Cons,$BD37,$BG37)</f>
        <v>Portland</v>
      </c>
      <c r="E37" s="533" cm="1">
        <f t="array" ref="E37">INDEX(FLT_Cons,$BD37,$BH37)</f>
        <v>32</v>
      </c>
      <c r="F37" s="521" t="str" cm="1">
        <f t="array" ref="F37">INDEX(FLT_Cons,$BD37,$BI37)</f>
        <v>External Floating Roof</v>
      </c>
      <c r="G37" s="521" t="str" cm="1">
        <f t="array" ref="G37">INDEX(FLT_Cons,$BD37,$BJ37)</f>
        <v>Pontoon</v>
      </c>
      <c r="H37" s="521" t="str" cm="1">
        <f t="array" ref="H37">INDEX(FLT_Cons,$BD37,$BK37)</f>
        <v>Mechanical Shoe w/ Rim Mounted Secondary</v>
      </c>
      <c r="I37" s="524" t="str" cm="1">
        <f t="array" ref="I37">INDEX(FLT_Cons,$BD37,$BL37)</f>
        <v>N/A - EFR/Domed EFR</v>
      </c>
      <c r="J37" s="177" t="s">
        <v>1660</v>
      </c>
      <c r="K37" s="174" t="s">
        <v>1661</v>
      </c>
      <c r="L37" s="14">
        <f>INDEX(Access_Hatch,MATCH($K37,Access_Hatch_Name,0),2)</f>
        <v>1.6</v>
      </c>
      <c r="M37" s="14">
        <f>INDEX(Access_Hatch,MATCH($K37,Access_Hatch_Name,0),3)</f>
        <v>0</v>
      </c>
      <c r="N37" s="14">
        <f>INDEX(Access_Hatch,MATCH($K37,Access_Hatch_Name,0),4)</f>
        <v>0</v>
      </c>
      <c r="O37" s="14">
        <f>IF($F37="External Floating Roof",0.7,0)</f>
        <v>0.7</v>
      </c>
      <c r="P37" s="30">
        <v>1</v>
      </c>
      <c r="Q37" s="29">
        <f>VLOOKUP(VLOOKUP($D37,Terminal_X_Ref,2,FALSE)&amp;"V",Weather_Data,Q$1,FALSE)</f>
        <v>8.5</v>
      </c>
      <c r="R37" s="14">
        <f>IFERROR($L37+$M37*($O37*Q37)^$N37,$L37)</f>
        <v>1.6</v>
      </c>
      <c r="S37" s="193" cm="1">
        <f t="array" ref="S37">R37*$P37*INDEX(Month_Ref,Q$1-1,3)/365</f>
        <v>0.13589041095890411</v>
      </c>
      <c r="T37" s="29">
        <f>VLOOKUP(VLOOKUP($D37,Terminal_X_Ref,2,FALSE)&amp;"V",Weather_Data,T$1,FALSE)</f>
        <v>7.8</v>
      </c>
      <c r="U37" s="14">
        <f>IFERROR($L37+$M37*($O37*T37)^$N37,$L37)</f>
        <v>1.6</v>
      </c>
      <c r="V37" s="193" cm="1">
        <f t="array" ref="V37">U37*$P37*INDEX(Month_Ref,T$1-1,3)/365</f>
        <v>0.12273972602739727</v>
      </c>
      <c r="W37" s="29">
        <f>VLOOKUP(VLOOKUP($D37,Terminal_X_Ref,2,FALSE)&amp;"V",Weather_Data,W$1,FALSE)</f>
        <v>7.8</v>
      </c>
      <c r="X37" s="14">
        <f>IFERROR($L37+$M37*($O37*W37)^$N37,$L37)</f>
        <v>1.6</v>
      </c>
      <c r="Y37" s="193" cm="1">
        <f t="array" ref="Y37">X37*$P37*INDEX(Month_Ref,W$1-1,3)/365</f>
        <v>0.13589041095890411</v>
      </c>
      <c r="Z37" s="29">
        <f>VLOOKUP(VLOOKUP($D37,Terminal_X_Ref,2,FALSE)&amp;"V",Weather_Data,Z$1,FALSE)</f>
        <v>7.8</v>
      </c>
      <c r="AA37" s="14">
        <f>IFERROR($L37+$M37*($O37*Z37)^$N37,$L37)</f>
        <v>1.6</v>
      </c>
      <c r="AB37" s="193" cm="1">
        <f t="array" ref="AB37">AA37*$P37*INDEX(Month_Ref,Z$1-1,3)/365</f>
        <v>0.13150684931506848</v>
      </c>
      <c r="AC37" s="29">
        <f>VLOOKUP(VLOOKUP($D37,Terminal_X_Ref,2,FALSE)&amp;"V",Weather_Data,AC$1,FALSE)</f>
        <v>7.6</v>
      </c>
      <c r="AD37" s="14">
        <f>IFERROR($L37+$M37*($O37*AC37)^$N37,$L37)</f>
        <v>1.6</v>
      </c>
      <c r="AE37" s="193" cm="1">
        <f t="array" ref="AE37">AD37*$P37*INDEX(Month_Ref,AC$1-1,3)/365</f>
        <v>0.13589041095890411</v>
      </c>
      <c r="AF37" s="29">
        <f>VLOOKUP(VLOOKUP($D37,Terminal_X_Ref,2,FALSE)&amp;"V",Weather_Data,AF$1,FALSE)</f>
        <v>7.8</v>
      </c>
      <c r="AG37" s="14">
        <f>IFERROR($L37+$M37*($O37*AF37)^$N37,$L37)</f>
        <v>1.6</v>
      </c>
      <c r="AH37" s="193" cm="1">
        <f t="array" ref="AH37">AG37*$P37*INDEX(Month_Ref,AF$1-1,3)/365</f>
        <v>0.13150684931506848</v>
      </c>
      <c r="AI37" s="29">
        <f>VLOOKUP(VLOOKUP($D37,Terminal_X_Ref,2,FALSE)&amp;"V",Weather_Data,AI$1,FALSE)</f>
        <v>8.1</v>
      </c>
      <c r="AJ37" s="14">
        <f>IFERROR($L37+$M37*($O37*AI37)^$N37,$L37)</f>
        <v>1.6</v>
      </c>
      <c r="AK37" s="193" cm="1">
        <f t="array" ref="AK37">AJ37*$P37*INDEX(Month_Ref,AI$1-1,3)/365</f>
        <v>0.13589041095890411</v>
      </c>
      <c r="AL37" s="29">
        <f>VLOOKUP(VLOOKUP($D37,Terminal_X_Ref,2,FALSE)&amp;"V",Weather_Data,AL$1,FALSE)</f>
        <v>7.2</v>
      </c>
      <c r="AM37" s="14">
        <f>IFERROR($L37+$M37*($O37*AL37)^$N37,$L37)</f>
        <v>1.6</v>
      </c>
      <c r="AN37" s="193" cm="1">
        <f t="array" ref="AN37">AM37*$P37*INDEX(Month_Ref,AL$1-1,3)/365</f>
        <v>0.13589041095890411</v>
      </c>
      <c r="AO37" s="29">
        <f>VLOOKUP(VLOOKUP($D37,Terminal_X_Ref,2,FALSE)&amp;"V",Weather_Data,AO$1,FALSE)</f>
        <v>6.7</v>
      </c>
      <c r="AP37" s="14">
        <f>IFERROR($L37+$M37*($O37*AO37)^$N37,$L37)</f>
        <v>1.6</v>
      </c>
      <c r="AQ37" s="193" cm="1">
        <f t="array" ref="AQ37">AP37*$P37*INDEX(Month_Ref,AO$1-1,3)/365</f>
        <v>0.13150684931506848</v>
      </c>
      <c r="AR37" s="29">
        <f>VLOOKUP(VLOOKUP($D37,Terminal_X_Ref,2,FALSE)&amp;"V",Weather_Data,AR$1,FALSE)</f>
        <v>6.7</v>
      </c>
      <c r="AS37" s="14">
        <f>IFERROR($L37+$M37*($O37*AR37)^$N37,$L37)</f>
        <v>1.6</v>
      </c>
      <c r="AT37" s="193" cm="1">
        <f t="array" ref="AT37">AS37*$P37*INDEX(Month_Ref,AR$1-1,3)/365</f>
        <v>0.13589041095890411</v>
      </c>
      <c r="AU37" s="29">
        <f>VLOOKUP(VLOOKUP($D37,Terminal_X_Ref,2,FALSE)&amp;"V",Weather_Data,AU$1,FALSE)</f>
        <v>7.8</v>
      </c>
      <c r="AV37" s="14">
        <f>IFERROR($L37+$M37*($O37*AU37)^$N37,$L37)</f>
        <v>1.6</v>
      </c>
      <c r="AW37" s="193" cm="1">
        <f t="array" ref="AW37">AV37*$P37*INDEX(Month_Ref,AU$1-1,3)/365</f>
        <v>0.13150684931506848</v>
      </c>
      <c r="AX37" s="29">
        <f>VLOOKUP(VLOOKUP($D37,Terminal_X_Ref,2,FALSE)&amp;"V",Weather_Data,AX$1,FALSE)</f>
        <v>8.6999999999999993</v>
      </c>
      <c r="AY37" s="14">
        <f>IFERROR($L37+$M37*($O37*AX37)^$N37,$L37)</f>
        <v>1.6</v>
      </c>
      <c r="AZ37" s="193" cm="1">
        <f t="array" ref="AZ37">AY37*$P37*INDEX(Month_Ref,AX$1-1,3)/365</f>
        <v>0.13589041095890411</v>
      </c>
      <c r="BA37" s="182">
        <f>S37+V37+Y37+AB37+AE37+AH37+AK37+AN37+AQ37+AT37+AW37+AZ37</f>
        <v>1.5999999999999999</v>
      </c>
      <c r="BB37" s="25"/>
      <c r="BC37" s="20">
        <f>BC36+1</f>
        <v>31</v>
      </c>
      <c r="BD37">
        <f>BD22+1</f>
        <v>3</v>
      </c>
      <c r="BE37">
        <v>1</v>
      </c>
      <c r="BF37">
        <v>2</v>
      </c>
      <c r="BG37">
        <v>3</v>
      </c>
      <c r="BH37">
        <v>5</v>
      </c>
      <c r="BI37">
        <v>13</v>
      </c>
      <c r="BJ37">
        <v>16</v>
      </c>
      <c r="BK37">
        <v>17</v>
      </c>
      <c r="BL37">
        <v>19</v>
      </c>
      <c r="BM37">
        <v>21</v>
      </c>
    </row>
    <row r="38" spans="2:65" x14ac:dyDescent="0.4">
      <c r="B38" s="528"/>
      <c r="C38" s="531"/>
      <c r="D38" s="534"/>
      <c r="E38" s="534"/>
      <c r="F38" s="522"/>
      <c r="G38" s="522"/>
      <c r="H38" s="522"/>
      <c r="I38" s="525"/>
      <c r="J38" s="178" t="s">
        <v>1664</v>
      </c>
      <c r="K38" s="168" t="s">
        <v>1605</v>
      </c>
      <c r="L38" s="63">
        <f>INDEX(FRSCW,MATCH($K38,FRSCW_Name,0),2)</f>
        <v>0</v>
      </c>
      <c r="M38" s="63">
        <f>INDEX(FRSCW,MATCH($K38,FRSCW_Name,0),3)</f>
        <v>0</v>
      </c>
      <c r="N38" s="63">
        <f>INDEX(FRSCW,MATCH($K38,FRSCW_Name,0),4)</f>
        <v>0</v>
      </c>
      <c r="O38" s="63">
        <f>O37</f>
        <v>0.7</v>
      </c>
      <c r="P38" s="64" cm="1">
        <f t="array" ref="P38">IF(F37&lt;&gt;"Internal Floating Roof",0,IF(ISBLANK(INDEX(FLT_Cons,$BD37,$BM37)),INDEX(Tbl_71_11,_xlfn.MINIFS(Tbl_71_11_Dia,Tbl_71_11_Max,"&gt;="&amp;$E37),4),INDEX(FLT_Cons,$BD37,$BM37)))</f>
        <v>0</v>
      </c>
      <c r="Q38" s="70">
        <f>Q37</f>
        <v>8.5</v>
      </c>
      <c r="R38" s="63">
        <f>IFERROR($L38+$M38*($O38*Q38)^$N38,$L38)</f>
        <v>0</v>
      </c>
      <c r="S38" s="64" cm="1">
        <f t="array" ref="S38">R38*$P38*INDEX(Month_Ref,Q$1-1,3)/365</f>
        <v>0</v>
      </c>
      <c r="T38" s="70">
        <f>T37</f>
        <v>7.8</v>
      </c>
      <c r="U38" s="63">
        <f>IFERROR($L38+$M38*($O38*T38)^$N38,$L38)</f>
        <v>0</v>
      </c>
      <c r="V38" s="64" cm="1">
        <f t="array" ref="V38">U38*$P38*INDEX(Month_Ref,T$1-1,3)/365</f>
        <v>0</v>
      </c>
      <c r="W38" s="70">
        <f>W37</f>
        <v>7.8</v>
      </c>
      <c r="X38" s="63">
        <f>IFERROR($L38+$M38*($O38*W38)^$N38,$L38)</f>
        <v>0</v>
      </c>
      <c r="Y38" s="64" cm="1">
        <f t="array" ref="Y38">X38*$P38*INDEX(Month_Ref,W$1-1,3)/365</f>
        <v>0</v>
      </c>
      <c r="Z38" s="70">
        <f>Z37</f>
        <v>7.8</v>
      </c>
      <c r="AA38" s="63">
        <f>IFERROR($L38+$M38*($O38*Z38)^$N38,$L38)</f>
        <v>0</v>
      </c>
      <c r="AB38" s="64" cm="1">
        <f t="array" ref="AB38">AA38*$P38*INDEX(Month_Ref,Z$1-1,3)/365</f>
        <v>0</v>
      </c>
      <c r="AC38" s="70">
        <f>AC37</f>
        <v>7.6</v>
      </c>
      <c r="AD38" s="63">
        <f>IFERROR($L38+$M38*($O38*AC38)^$N38,$L38)</f>
        <v>0</v>
      </c>
      <c r="AE38" s="64" cm="1">
        <f t="array" ref="AE38">AD38*$P38*INDEX(Month_Ref,AC$1-1,3)/365</f>
        <v>0</v>
      </c>
      <c r="AF38" s="70">
        <f>AF37</f>
        <v>7.8</v>
      </c>
      <c r="AG38" s="63">
        <f>IFERROR($L38+$M38*($O38*AF38)^$N38,$L38)</f>
        <v>0</v>
      </c>
      <c r="AH38" s="64" cm="1">
        <f t="array" ref="AH38">AG38*$P38*INDEX(Month_Ref,AF$1-1,3)/365</f>
        <v>0</v>
      </c>
      <c r="AI38" s="70">
        <f>AI37</f>
        <v>8.1</v>
      </c>
      <c r="AJ38" s="63">
        <f>IFERROR($L38+$M38*($O38*AI38)^$N38,$L38)</f>
        <v>0</v>
      </c>
      <c r="AK38" s="64" cm="1">
        <f t="array" ref="AK38">AJ38*$P38*INDEX(Month_Ref,AI$1-1,3)/365</f>
        <v>0</v>
      </c>
      <c r="AL38" s="70">
        <f>AL37</f>
        <v>7.2</v>
      </c>
      <c r="AM38" s="63">
        <f>IFERROR($L38+$M38*($O38*AL38)^$N38,$L38)</f>
        <v>0</v>
      </c>
      <c r="AN38" s="64" cm="1">
        <f t="array" ref="AN38">AM38*$P38*INDEX(Month_Ref,AL$1-1,3)/365</f>
        <v>0</v>
      </c>
      <c r="AO38" s="70">
        <f>AO37</f>
        <v>6.7</v>
      </c>
      <c r="AP38" s="63">
        <f>IFERROR($L38+$M38*($O38*AO38)^$N38,$L38)</f>
        <v>0</v>
      </c>
      <c r="AQ38" s="64" cm="1">
        <f t="array" ref="AQ38">AP38*$P38*INDEX(Month_Ref,AO$1-1,3)/365</f>
        <v>0</v>
      </c>
      <c r="AR38" s="70">
        <f>AR37</f>
        <v>6.7</v>
      </c>
      <c r="AS38" s="63">
        <f>IFERROR($L38+$M38*($O38*AR38)^$N38,$L38)</f>
        <v>0</v>
      </c>
      <c r="AT38" s="64" cm="1">
        <f t="array" ref="AT38">AS38*$P38*INDEX(Month_Ref,AR$1-1,3)/365</f>
        <v>0</v>
      </c>
      <c r="AU38" s="70">
        <f>AU37</f>
        <v>7.8</v>
      </c>
      <c r="AV38" s="63">
        <f>IFERROR($L38+$M38*($O38*AU38)^$N38,$L38)</f>
        <v>0</v>
      </c>
      <c r="AW38" s="64" cm="1">
        <f t="array" ref="AW38">AV38*$P38*INDEX(Month_Ref,AU$1-1,3)/365</f>
        <v>0</v>
      </c>
      <c r="AX38" s="70">
        <f>AX37</f>
        <v>8.6999999999999993</v>
      </c>
      <c r="AY38" s="63">
        <f>IFERROR($L38+$M38*($O38*AX38)^$N38,$L38)</f>
        <v>0</v>
      </c>
      <c r="AZ38" s="64" cm="1">
        <f t="array" ref="AZ38">AY38*$P38*INDEX(Month_Ref,AX$1-1,3)/365</f>
        <v>0</v>
      </c>
      <c r="BA38" s="183">
        <f t="shared" ref="BA38:BA51" si="54">S38+V38+Y38+AB38+AE38+AH38+AK38+AN38+AQ38+AT38+AW38+AZ38</f>
        <v>0</v>
      </c>
      <c r="BC38" s="20">
        <f t="shared" ref="BC38:BC51" si="55">BC37+1</f>
        <v>32</v>
      </c>
    </row>
    <row r="39" spans="2:65" ht="43.75" x14ac:dyDescent="0.4">
      <c r="B39" s="528"/>
      <c r="C39" s="531"/>
      <c r="D39" s="534"/>
      <c r="E39" s="534"/>
      <c r="F39" s="522"/>
      <c r="G39" s="522"/>
      <c r="H39" s="522"/>
      <c r="I39" s="525"/>
      <c r="J39" s="178" t="s">
        <v>1670</v>
      </c>
      <c r="K39" s="168" t="s">
        <v>1674</v>
      </c>
      <c r="L39" s="63">
        <f>INDEX(USGPW,MATCH($K39,USGPW_Name,0),2)</f>
        <v>14</v>
      </c>
      <c r="M39" s="63">
        <f>INDEX(USGPW,MATCH($K39,USGPW_Name,0),3)</f>
        <v>3.7</v>
      </c>
      <c r="N39" s="63">
        <f>INDEX(USGPW,MATCH($K39,USGPW_Name,0),4)</f>
        <v>0.78</v>
      </c>
      <c r="O39" s="63">
        <f t="shared" ref="O39:O50" si="56">O38</f>
        <v>0.7</v>
      </c>
      <c r="P39" s="64">
        <v>1</v>
      </c>
      <c r="Q39" s="70">
        <f t="shared" ref="Q39:Q50" si="57">Q38</f>
        <v>8.5</v>
      </c>
      <c r="R39" s="185">
        <f>IFERROR($L39+$M39*($O39*Q39)^$N39,$L39)</f>
        <v>28.870478976852624</v>
      </c>
      <c r="S39" s="186" cm="1">
        <f t="array" ref="S39">R39*$P39*INDEX(Month_Ref,Q$1-1,3)/365</f>
        <v>2.4520132829655652</v>
      </c>
      <c r="T39" s="70">
        <f t="shared" ref="T39:T50" si="58">T38</f>
        <v>7.8</v>
      </c>
      <c r="U39" s="185">
        <f>IFERROR($L39+$M39*($O39*T39)^$N39,$L39)</f>
        <v>27.906312526728726</v>
      </c>
      <c r="V39" s="186" cm="1">
        <f t="array" ref="V39">U39*$P39*INDEX(Month_Ref,T$1-1,3)/365</f>
        <v>2.1407582212285052</v>
      </c>
      <c r="W39" s="70">
        <f t="shared" ref="W39:W50" si="59">W38</f>
        <v>7.8</v>
      </c>
      <c r="X39" s="185">
        <f>IFERROR($L39+$M39*($O39*W39)^$N39,$L39)</f>
        <v>27.906312526728726</v>
      </c>
      <c r="Y39" s="186" cm="1">
        <f t="array" ref="Y39">X39*$P39*INDEX(Month_Ref,W$1-1,3)/365</f>
        <v>2.3701251735029878</v>
      </c>
      <c r="Z39" s="70">
        <f t="shared" ref="Z39:Z50" si="60">Z38</f>
        <v>7.8</v>
      </c>
      <c r="AA39" s="185">
        <f>IFERROR($L39+$M39*($O39*Z39)^$N39,$L39)</f>
        <v>27.906312526728726</v>
      </c>
      <c r="AB39" s="186" cm="1">
        <f t="array" ref="AB39">AA39*$P39*INDEX(Month_Ref,Z$1-1,3)/365</f>
        <v>2.2936695227448269</v>
      </c>
      <c r="AC39" s="70">
        <f t="shared" ref="AC39:AC50" si="61">AC38</f>
        <v>7.6</v>
      </c>
      <c r="AD39" s="185">
        <f>IFERROR($L39+$M39*($O39*AC39)^$N39,$L39)</f>
        <v>27.627393519350775</v>
      </c>
      <c r="AE39" s="186" cm="1">
        <f t="array" ref="AE39">AD39*$P39*INDEX(Month_Ref,AC$1-1,3)/365</f>
        <v>2.3464361619174632</v>
      </c>
      <c r="AF39" s="70">
        <f t="shared" ref="AF39:AF50" si="62">AF38</f>
        <v>7.8</v>
      </c>
      <c r="AG39" s="185">
        <f>IFERROR($L39+$M39*($O39*AF39)^$N39,$L39)</f>
        <v>27.906312526728726</v>
      </c>
      <c r="AH39" s="186" cm="1">
        <f t="array" ref="AH39">AG39*$P39*INDEX(Month_Ref,AF$1-1,3)/365</f>
        <v>2.2936695227448269</v>
      </c>
      <c r="AI39" s="70">
        <f t="shared" ref="AI39:AI50" si="63">AI38</f>
        <v>8.1</v>
      </c>
      <c r="AJ39" s="185">
        <f>IFERROR($L39+$M39*($O39*AI39)^$N39,$L39)</f>
        <v>28.321763902377739</v>
      </c>
      <c r="AK39" s="186" cm="1">
        <f t="array" ref="AK39">AJ39*$P39*INDEX(Month_Ref,AI$1-1,3)/365</f>
        <v>2.4054100848594793</v>
      </c>
      <c r="AL39" s="70">
        <f t="shared" ref="AL39:AL50" si="64">AL38</f>
        <v>7.2</v>
      </c>
      <c r="AM39" s="185">
        <f>IFERROR($L39+$M39*($O39*AL39)^$N39,$L39)</f>
        <v>27.064642869220098</v>
      </c>
      <c r="AN39" s="186" cm="1">
        <f t="array" ref="AN39">AM39*$P39*INDEX(Month_Ref,AL$1-1,3)/365</f>
        <v>2.2986409012214333</v>
      </c>
      <c r="AO39" s="70">
        <f t="shared" ref="AO39:AO50" si="65">AO38</f>
        <v>6.7</v>
      </c>
      <c r="AP39" s="185">
        <f>IFERROR($L39+$M39*($O39*AO39)^$N39,$L39)</f>
        <v>26.351410091029848</v>
      </c>
      <c r="AQ39" s="186" cm="1">
        <f t="array" ref="AQ39">AP39*$P39*INDEX(Month_Ref,AO$1-1,3)/365</f>
        <v>2.1658693225503987</v>
      </c>
      <c r="AR39" s="70">
        <f t="shared" ref="AR39:AR50" si="66">AR38</f>
        <v>6.7</v>
      </c>
      <c r="AS39" s="185">
        <f>IFERROR($L39+$M39*($O39*AR39)^$N39,$L39)</f>
        <v>26.351410091029848</v>
      </c>
      <c r="AT39" s="186" cm="1">
        <f t="array" ref="AT39">AS39*$P39*INDEX(Month_Ref,AR$1-1,3)/365</f>
        <v>2.2380649666354118</v>
      </c>
      <c r="AU39" s="70">
        <f t="shared" ref="AU39:AU50" si="67">AU38</f>
        <v>7.8</v>
      </c>
      <c r="AV39" s="185">
        <f>IFERROR($L39+$M39*($O39*AU39)^$N39,$L39)</f>
        <v>27.906312526728726</v>
      </c>
      <c r="AW39" s="186" cm="1">
        <f t="array" ref="AW39">AV39*$P39*INDEX(Month_Ref,AU$1-1,3)/365</f>
        <v>2.2936695227448269</v>
      </c>
      <c r="AX39" s="70">
        <f t="shared" ref="AX39:AX50" si="68">AX38</f>
        <v>8.6999999999999993</v>
      </c>
      <c r="AY39" s="185">
        <f>IFERROR($L39+$M39*($O39*AX39)^$N39,$L39)</f>
        <v>29.142696301377335</v>
      </c>
      <c r="AZ39" s="186" cm="1">
        <f t="array" ref="AZ39">AY39*$P39*INDEX(Month_Ref,AX$1-1,3)/365</f>
        <v>2.4751331105279379</v>
      </c>
      <c r="BA39" s="186">
        <f t="shared" si="54"/>
        <v>27.773459793643664</v>
      </c>
      <c r="BC39" s="20">
        <f t="shared" si="55"/>
        <v>33</v>
      </c>
    </row>
    <row r="40" spans="2:65" ht="29.15" x14ac:dyDescent="0.4">
      <c r="B40" s="528"/>
      <c r="C40" s="531"/>
      <c r="D40" s="534"/>
      <c r="E40" s="534"/>
      <c r="F40" s="522"/>
      <c r="G40" s="522"/>
      <c r="H40" s="522"/>
      <c r="I40" s="525"/>
      <c r="J40" s="178" t="s">
        <v>1676</v>
      </c>
      <c r="K40" s="168" t="s">
        <v>1605</v>
      </c>
      <c r="L40" s="63">
        <f>INDEX(SGPW,MATCH($K40,SGPW_Name,0),2)</f>
        <v>0</v>
      </c>
      <c r="M40" s="63">
        <f>INDEX(SGPW,MATCH($K40,SGPW_Name,0),3)</f>
        <v>0</v>
      </c>
      <c r="N40" s="63">
        <f>INDEX(SGPW,MATCH($K40,SGPW_Name,0),4)</f>
        <v>0</v>
      </c>
      <c r="O40" s="63">
        <f t="shared" si="56"/>
        <v>0.7</v>
      </c>
      <c r="P40" s="64">
        <v>1</v>
      </c>
      <c r="Q40" s="70">
        <f t="shared" si="57"/>
        <v>8.5</v>
      </c>
      <c r="R40" s="63">
        <f>IFERROR($L40+$M40*($O40*Q40)^$N40,$L40)</f>
        <v>0</v>
      </c>
      <c r="S40" s="64" cm="1">
        <f t="array" ref="S40">R40*$P40*INDEX(Month_Ref,Q$1-1,3)/365</f>
        <v>0</v>
      </c>
      <c r="T40" s="70">
        <f t="shared" si="58"/>
        <v>7.8</v>
      </c>
      <c r="U40" s="63">
        <f>IFERROR($L40+$M40*($O40*T40)^$N40,$L40)</f>
        <v>0</v>
      </c>
      <c r="V40" s="64" cm="1">
        <f t="array" ref="V40">U40*$P40*INDEX(Month_Ref,T$1-1,3)/365</f>
        <v>0</v>
      </c>
      <c r="W40" s="70">
        <f t="shared" si="59"/>
        <v>7.8</v>
      </c>
      <c r="X40" s="63">
        <f>IFERROR($L40+$M40*($O40*W40)^$N40,$L40)</f>
        <v>0</v>
      </c>
      <c r="Y40" s="64" cm="1">
        <f t="array" ref="Y40">X40*$P40*INDEX(Month_Ref,W$1-1,3)/365</f>
        <v>0</v>
      </c>
      <c r="Z40" s="70">
        <f t="shared" si="60"/>
        <v>7.8</v>
      </c>
      <c r="AA40" s="63">
        <f>IFERROR($L40+$M40*($O40*Z40)^$N40,$L40)</f>
        <v>0</v>
      </c>
      <c r="AB40" s="64" cm="1">
        <f t="array" ref="AB40">AA40*$P40*INDEX(Month_Ref,Z$1-1,3)/365</f>
        <v>0</v>
      </c>
      <c r="AC40" s="70">
        <f t="shared" si="61"/>
        <v>7.6</v>
      </c>
      <c r="AD40" s="63">
        <f>IFERROR($L40+$M40*($O40*AC40)^$N40,$L40)</f>
        <v>0</v>
      </c>
      <c r="AE40" s="64" cm="1">
        <f t="array" ref="AE40">AD40*$P40*INDEX(Month_Ref,AC$1-1,3)/365</f>
        <v>0</v>
      </c>
      <c r="AF40" s="70">
        <f t="shared" si="62"/>
        <v>7.8</v>
      </c>
      <c r="AG40" s="63">
        <f>IFERROR($L40+$M40*($O40*AF40)^$N40,$L40)</f>
        <v>0</v>
      </c>
      <c r="AH40" s="64" cm="1">
        <f t="array" ref="AH40">AG40*$P40*INDEX(Month_Ref,AF$1-1,3)/365</f>
        <v>0</v>
      </c>
      <c r="AI40" s="70">
        <f t="shared" si="63"/>
        <v>8.1</v>
      </c>
      <c r="AJ40" s="63">
        <f>IFERROR($L40+$M40*($O40*AI40)^$N40,$L40)</f>
        <v>0</v>
      </c>
      <c r="AK40" s="64" cm="1">
        <f t="array" ref="AK40">AJ40*$P40*INDEX(Month_Ref,AI$1-1,3)/365</f>
        <v>0</v>
      </c>
      <c r="AL40" s="70">
        <f t="shared" si="64"/>
        <v>7.2</v>
      </c>
      <c r="AM40" s="63">
        <f>IFERROR($L40+$M40*($O40*AL40)^$N40,$L40)</f>
        <v>0</v>
      </c>
      <c r="AN40" s="64" cm="1">
        <f t="array" ref="AN40">AM40*$P40*INDEX(Month_Ref,AL$1-1,3)/365</f>
        <v>0</v>
      </c>
      <c r="AO40" s="70">
        <f t="shared" si="65"/>
        <v>6.7</v>
      </c>
      <c r="AP40" s="63">
        <f>IFERROR($L40+$M40*($O40*AO40)^$N40,$L40)</f>
        <v>0</v>
      </c>
      <c r="AQ40" s="64" cm="1">
        <f t="array" ref="AQ40">AP40*$P40*INDEX(Month_Ref,AO$1-1,3)/365</f>
        <v>0</v>
      </c>
      <c r="AR40" s="70">
        <f t="shared" si="66"/>
        <v>6.7</v>
      </c>
      <c r="AS40" s="63">
        <f>IFERROR($L40+$M40*($O40*AR40)^$N40,$L40)</f>
        <v>0</v>
      </c>
      <c r="AT40" s="64" cm="1">
        <f t="array" ref="AT40">AS40*$P40*INDEX(Month_Ref,AR$1-1,3)/365</f>
        <v>0</v>
      </c>
      <c r="AU40" s="70">
        <f t="shared" si="67"/>
        <v>7.8</v>
      </c>
      <c r="AV40" s="63">
        <f>IFERROR($L40+$M40*($O40*AU40)^$N40,$L40)</f>
        <v>0</v>
      </c>
      <c r="AW40" s="64" cm="1">
        <f t="array" ref="AW40">AV40*$P40*INDEX(Month_Ref,AU$1-1,3)/365</f>
        <v>0</v>
      </c>
      <c r="AX40" s="70">
        <f t="shared" si="68"/>
        <v>8.6999999999999993</v>
      </c>
      <c r="AY40" s="63">
        <f>IFERROR($L40+$M40*($O40*AX40)^$N40,$L40)</f>
        <v>0</v>
      </c>
      <c r="AZ40" s="64" cm="1">
        <f t="array" ref="AZ40">AY40*$P40*INDEX(Month_Ref,AX$1-1,3)/365</f>
        <v>0</v>
      </c>
      <c r="BA40" s="183">
        <f t="shared" si="54"/>
        <v>0</v>
      </c>
      <c r="BC40" s="20">
        <f t="shared" si="55"/>
        <v>34</v>
      </c>
    </row>
    <row r="41" spans="2:65" ht="29.15" x14ac:dyDescent="0.4">
      <c r="B41" s="528"/>
      <c r="C41" s="531"/>
      <c r="D41" s="534"/>
      <c r="E41" s="534"/>
      <c r="F41" s="522"/>
      <c r="G41" s="522"/>
      <c r="H41" s="522"/>
      <c r="I41" s="525"/>
      <c r="J41" s="178" t="s">
        <v>1682</v>
      </c>
      <c r="K41" s="168" t="s">
        <v>1704</v>
      </c>
      <c r="L41" s="63">
        <f>INDEX(GFW,MATCH($K41,GFW_Name,0),2)</f>
        <v>14</v>
      </c>
      <c r="M41" s="63">
        <f>INDEX(GFW,MATCH($K41,GFW_Name,0),3)</f>
        <v>5.4</v>
      </c>
      <c r="N41" s="63">
        <f>INDEX(GFW,MATCH($K41,GFW_Name,0),4)</f>
        <v>1.1000000000000001</v>
      </c>
      <c r="O41" s="63">
        <f t="shared" si="56"/>
        <v>0.7</v>
      </c>
      <c r="P41" s="64">
        <v>1</v>
      </c>
      <c r="Q41" s="70">
        <f t="shared" si="57"/>
        <v>8.5</v>
      </c>
      <c r="R41" s="187">
        <f t="shared" ref="R41:R50" si="69">IFERROR($L41+$M41*($O41*Q41)^$N41,$L41)</f>
        <v>52.402758581890708</v>
      </c>
      <c r="S41" s="189" cm="1">
        <f t="array" ref="S41">R41*$P41*INDEX(Month_Ref,Q$1-1,3)/365</f>
        <v>4.4506452494208544</v>
      </c>
      <c r="T41" s="70">
        <f t="shared" si="58"/>
        <v>7.8</v>
      </c>
      <c r="U41" s="187">
        <f t="shared" ref="U41:U50" si="70">IFERROR($L41+$M41*($O41*T41)^$N41,$L41)</f>
        <v>48.93861352434218</v>
      </c>
      <c r="V41" s="189" cm="1">
        <f t="array" ref="V41">U41*$P41*INDEX(Month_Ref,T$1-1,3)/365</f>
        <v>3.7541950100865233</v>
      </c>
      <c r="W41" s="70">
        <f t="shared" si="59"/>
        <v>7.8</v>
      </c>
      <c r="X41" s="187">
        <f t="shared" ref="X41:X50" si="71">IFERROR($L41+$M41*($O41*W41)^$N41,$L41)</f>
        <v>48.93861352434218</v>
      </c>
      <c r="Y41" s="189" cm="1">
        <f t="array" ref="Y41">X41*$P41*INDEX(Month_Ref,W$1-1,3)/365</f>
        <v>4.1564301897386509</v>
      </c>
      <c r="Z41" s="70">
        <f t="shared" si="60"/>
        <v>7.8</v>
      </c>
      <c r="AA41" s="187">
        <f t="shared" ref="AA41:AA50" si="72">IFERROR($L41+$M41*($O41*Z41)^$N41,$L41)</f>
        <v>48.93861352434218</v>
      </c>
      <c r="AB41" s="189" cm="1">
        <f t="array" ref="AB41">AA41*$P41*INDEX(Month_Ref,Z$1-1,3)/365</f>
        <v>4.0223517965212752</v>
      </c>
      <c r="AC41" s="70">
        <f t="shared" si="61"/>
        <v>7.6</v>
      </c>
      <c r="AD41" s="187">
        <f t="shared" ref="AD41:AD50" si="73">IFERROR($L41+$M41*($O41*AC41)^$N41,$L41)</f>
        <v>47.954438684123453</v>
      </c>
      <c r="AE41" s="189" cm="1">
        <f t="array" ref="AE41">AD41*$P41*INDEX(Month_Ref,AC$1-1,3)/365</f>
        <v>4.0728427375556908</v>
      </c>
      <c r="AF41" s="70">
        <f t="shared" si="62"/>
        <v>7.8</v>
      </c>
      <c r="AG41" s="187">
        <f t="shared" ref="AG41:AG50" si="74">IFERROR($L41+$M41*($O41*AF41)^$N41,$L41)</f>
        <v>48.93861352434218</v>
      </c>
      <c r="AH41" s="189" cm="1">
        <f t="array" ref="AH41">AG41*$P41*INDEX(Month_Ref,AF$1-1,3)/365</f>
        <v>4.0223517965212752</v>
      </c>
      <c r="AI41" s="70">
        <f t="shared" si="63"/>
        <v>8.1</v>
      </c>
      <c r="AJ41" s="187">
        <f t="shared" ref="AJ41:AJ50" si="75">IFERROR($L41+$M41*($O41*AI41)^$N41,$L41)</f>
        <v>50.419596060167713</v>
      </c>
      <c r="AK41" s="189" cm="1">
        <f t="array" ref="AK41">AJ41*$P41*INDEX(Month_Ref,AI$1-1,3)/365</f>
        <v>4.2822122681238328</v>
      </c>
      <c r="AL41" s="70">
        <f t="shared" si="64"/>
        <v>7.2</v>
      </c>
      <c r="AM41" s="187">
        <f t="shared" ref="AM41:AM50" si="76">IFERROR($L41+$M41*($O41*AL41)^$N41,$L41)</f>
        <v>45.993912293126115</v>
      </c>
      <c r="AN41" s="189" cm="1">
        <f t="array" ref="AN41">AM41*$P41*INDEX(Month_Ref,AL$1-1,3)/365</f>
        <v>3.9063322769504372</v>
      </c>
      <c r="AO41" s="70">
        <f t="shared" si="65"/>
        <v>6.7</v>
      </c>
      <c r="AP41" s="187">
        <f t="shared" ref="AP41:AP50" si="77">IFERROR($L41+$M41*($O41*AO41)^$N41,$L41)</f>
        <v>43.55860179169072</v>
      </c>
      <c r="AQ41" s="189" cm="1">
        <f t="array" ref="AQ41">AP41*$P41*INDEX(Month_Ref,AO$1-1,3)/365</f>
        <v>3.5801590513718398</v>
      </c>
      <c r="AR41" s="70">
        <f t="shared" si="66"/>
        <v>6.7</v>
      </c>
      <c r="AS41" s="187">
        <f t="shared" ref="AS41:AS50" si="78">IFERROR($L41+$M41*($O41*AR41)^$N41,$L41)</f>
        <v>43.55860179169072</v>
      </c>
      <c r="AT41" s="189" cm="1">
        <f t="array" ref="AT41">AS41*$P41*INDEX(Month_Ref,AR$1-1,3)/365</f>
        <v>3.6994976864175677</v>
      </c>
      <c r="AU41" s="70">
        <f t="shared" si="67"/>
        <v>7.8</v>
      </c>
      <c r="AV41" s="187">
        <f t="shared" ref="AV41:AV50" si="79">IFERROR($L41+$M41*($O41*AU41)^$N41,$L41)</f>
        <v>48.93861352434218</v>
      </c>
      <c r="AW41" s="189" cm="1">
        <f t="array" ref="AW41">AV41*$P41*INDEX(Month_Ref,AU$1-1,3)/365</f>
        <v>4.0223517965212752</v>
      </c>
      <c r="AX41" s="70">
        <f t="shared" si="68"/>
        <v>8.6999999999999993</v>
      </c>
      <c r="AY41" s="187">
        <f t="shared" ref="AY41:AY50" si="80">IFERROR($L41+$M41*($O41*AX41)^$N41,$L41)</f>
        <v>53.397873527503272</v>
      </c>
      <c r="AZ41" s="189" cm="1">
        <f t="array" ref="AZ41">AY41*$P41*INDEX(Month_Ref,AX$1-1,3)/365</f>
        <v>4.5351618612400042</v>
      </c>
      <c r="BA41" s="183">
        <f t="shared" si="54"/>
        <v>48.504531720469224</v>
      </c>
      <c r="BC41" s="20">
        <f t="shared" si="55"/>
        <v>35</v>
      </c>
    </row>
    <row r="42" spans="2:65" ht="29.15" x14ac:dyDescent="0.4">
      <c r="B42" s="528"/>
      <c r="C42" s="531"/>
      <c r="D42" s="534"/>
      <c r="E42" s="534"/>
      <c r="F42" s="522"/>
      <c r="G42" s="522"/>
      <c r="H42" s="522"/>
      <c r="I42" s="525"/>
      <c r="J42" s="179" t="s">
        <v>1683</v>
      </c>
      <c r="K42" s="168" t="s">
        <v>1684</v>
      </c>
      <c r="L42" s="63">
        <f>INDEX(GHSP,MATCH($K42,GHSP_Name,0),2)</f>
        <v>0.47</v>
      </c>
      <c r="M42" s="63">
        <f>INDEX(GHSP,MATCH($K42,GHSP_Name,0),3)</f>
        <v>0.02</v>
      </c>
      <c r="N42" s="63">
        <f>INDEX(GHSP,MATCH($K42,GHSP_Name,0),4)</f>
        <v>0.97</v>
      </c>
      <c r="O42" s="63">
        <f t="shared" si="56"/>
        <v>0.7</v>
      </c>
      <c r="P42" s="64">
        <v>1</v>
      </c>
      <c r="Q42" s="70">
        <f t="shared" si="57"/>
        <v>8.5</v>
      </c>
      <c r="R42" s="190">
        <f t="shared" si="69"/>
        <v>0.58280061109123849</v>
      </c>
      <c r="S42" s="191" cm="1">
        <f t="array" ref="S42">R42*$P42*INDEX(Month_Ref,Q$1-1,3)/365</f>
        <v>4.9498134092680536E-2</v>
      </c>
      <c r="T42" s="70">
        <f t="shared" si="58"/>
        <v>7.8</v>
      </c>
      <c r="U42" s="190">
        <f t="shared" si="70"/>
        <v>0.57377837333166393</v>
      </c>
      <c r="V42" s="191" cm="1">
        <f t="array" ref="V42">U42*$P42*INDEX(Month_Ref,T$1-1,3)/365</f>
        <v>4.4015875214483809E-2</v>
      </c>
      <c r="W42" s="70">
        <f t="shared" si="59"/>
        <v>7.8</v>
      </c>
      <c r="X42" s="190">
        <f t="shared" si="71"/>
        <v>0.57377837333166393</v>
      </c>
      <c r="Y42" s="191" cm="1">
        <f t="array" ref="Y42">X42*$P42*INDEX(Month_Ref,W$1-1,3)/365</f>
        <v>4.8731861844607073E-2</v>
      </c>
      <c r="Z42" s="70">
        <f t="shared" si="60"/>
        <v>7.8</v>
      </c>
      <c r="AA42" s="190">
        <f t="shared" si="72"/>
        <v>0.57377837333166393</v>
      </c>
      <c r="AB42" s="191" cm="1">
        <f t="array" ref="AB42">AA42*$P42*INDEX(Month_Ref,Z$1-1,3)/365</f>
        <v>4.7159866301232659E-2</v>
      </c>
      <c r="AC42" s="70">
        <f t="shared" si="61"/>
        <v>7.6</v>
      </c>
      <c r="AD42" s="190">
        <f t="shared" si="73"/>
        <v>0.57119621731119852</v>
      </c>
      <c r="AE42" s="191" cm="1">
        <f t="array" ref="AE42">AD42*$P42*INDEX(Month_Ref,AC$1-1,3)/365</f>
        <v>4.8512555442868921E-2</v>
      </c>
      <c r="AF42" s="70">
        <f t="shared" si="62"/>
        <v>7.8</v>
      </c>
      <c r="AG42" s="190">
        <f t="shared" si="74"/>
        <v>0.57377837333166393</v>
      </c>
      <c r="AH42" s="191" cm="1">
        <f t="array" ref="AH42">AG42*$P42*INDEX(Month_Ref,AF$1-1,3)/365</f>
        <v>4.7159866301232659E-2</v>
      </c>
      <c r="AI42" s="70">
        <f t="shared" si="63"/>
        <v>8.1</v>
      </c>
      <c r="AJ42" s="190">
        <f t="shared" si="75"/>
        <v>0.57764790019431433</v>
      </c>
      <c r="AK42" s="191" cm="1">
        <f t="array" ref="AK42">AJ42*$P42*INDEX(Month_Ref,AI$1-1,3)/365</f>
        <v>4.9060506591845875E-2</v>
      </c>
      <c r="AL42" s="70">
        <f t="shared" si="64"/>
        <v>7.2</v>
      </c>
      <c r="AM42" s="190">
        <f t="shared" si="76"/>
        <v>0.56602572969125486</v>
      </c>
      <c r="AN42" s="191" cm="1">
        <f t="array" ref="AN42">AM42*$P42*INDEX(Month_Ref,AL$1-1,3)/365</f>
        <v>4.8073418138161371E-2</v>
      </c>
      <c r="AO42" s="70">
        <f t="shared" si="65"/>
        <v>6.7</v>
      </c>
      <c r="AP42" s="190">
        <f t="shared" si="77"/>
        <v>0.55955042536635002</v>
      </c>
      <c r="AQ42" s="191" cm="1">
        <f t="array" ref="AQ42">AP42*$P42*INDEX(Month_Ref,AO$1-1,3)/365</f>
        <v>4.599044592052192E-2</v>
      </c>
      <c r="AR42" s="70">
        <f t="shared" si="66"/>
        <v>6.7</v>
      </c>
      <c r="AS42" s="190">
        <f t="shared" si="78"/>
        <v>0.55955042536635002</v>
      </c>
      <c r="AT42" s="191" cm="1">
        <f t="array" ref="AT42">AS42*$P42*INDEX(Month_Ref,AR$1-1,3)/365</f>
        <v>4.7523460784539319E-2</v>
      </c>
      <c r="AU42" s="70">
        <f t="shared" si="67"/>
        <v>7.8</v>
      </c>
      <c r="AV42" s="190">
        <f t="shared" si="79"/>
        <v>0.57377837333166393</v>
      </c>
      <c r="AW42" s="191" cm="1">
        <f t="array" ref="AW42">AV42*$P42*INDEX(Month_Ref,AU$1-1,3)/365</f>
        <v>4.7159866301232659E-2</v>
      </c>
      <c r="AX42" s="70">
        <f t="shared" si="68"/>
        <v>8.6999999999999993</v>
      </c>
      <c r="AY42" s="190">
        <f t="shared" si="80"/>
        <v>0.58537421776028165</v>
      </c>
      <c r="AZ42" s="191" cm="1">
        <f t="array" ref="AZ42">AY42*$P42*INDEX(Month_Ref,AX$1-1,3)/365</f>
        <v>4.9716714385119806E-2</v>
      </c>
      <c r="BA42" s="183">
        <f t="shared" si="54"/>
        <v>0.57260257131852665</v>
      </c>
      <c r="BC42" s="20">
        <f t="shared" si="55"/>
        <v>36</v>
      </c>
    </row>
    <row r="43" spans="2:65" ht="29.15" x14ac:dyDescent="0.4">
      <c r="B43" s="528"/>
      <c r="C43" s="531"/>
      <c r="D43" s="534"/>
      <c r="E43" s="534"/>
      <c r="F43" s="522"/>
      <c r="G43" s="522"/>
      <c r="H43" s="522"/>
      <c r="I43" s="525"/>
      <c r="J43" s="179" t="s">
        <v>1687</v>
      </c>
      <c r="K43" s="168" t="s">
        <v>1685</v>
      </c>
      <c r="L43" s="63">
        <f>INDEX(Vac_Break,MATCH($K43,Vac_Break_Name,0),2)</f>
        <v>7.8</v>
      </c>
      <c r="M43" s="63">
        <f>INDEX(Vac_Break,MATCH($K43,Vac_Break_Name,0),3)</f>
        <v>0.01</v>
      </c>
      <c r="N43" s="63">
        <f>INDEX(Vac_Break,MATCH($K43,Vac_Break_Name,0),4)</f>
        <v>4</v>
      </c>
      <c r="O43" s="63">
        <f t="shared" si="56"/>
        <v>0.7</v>
      </c>
      <c r="P43" s="64" cm="1">
        <f t="array" ref="P43">IF(F37="Internal Floating Roof",1,INDEX(Tbl_71_13,_xlfn.MINIFS(Tbl_71_13_Range,Tbl_71_13_Dia,"&gt;="&amp;$E37),IF(G37="Pontoon",3,4)))</f>
        <v>1</v>
      </c>
      <c r="Q43" s="70">
        <f t="shared" si="57"/>
        <v>8.5</v>
      </c>
      <c r="R43" s="187">
        <f t="shared" si="69"/>
        <v>20.333370062499991</v>
      </c>
      <c r="S43" s="189" cm="1">
        <f t="array" ref="S43">R43*$P43*INDEX(Month_Ref,Q$1-1,3)/365</f>
        <v>1.726943758732876</v>
      </c>
      <c r="T43" s="70">
        <f t="shared" si="58"/>
        <v>7.8</v>
      </c>
      <c r="U43" s="187">
        <f t="shared" si="70"/>
        <v>16.687314945599997</v>
      </c>
      <c r="V43" s="189" cm="1">
        <f t="array" ref="V43">U43*$P43*INDEX(Month_Ref,T$1-1,3)/365</f>
        <v>1.2801227903473971</v>
      </c>
      <c r="W43" s="70">
        <f t="shared" si="59"/>
        <v>7.8</v>
      </c>
      <c r="X43" s="187">
        <f t="shared" si="71"/>
        <v>16.687314945599997</v>
      </c>
      <c r="Y43" s="189" cm="1">
        <f t="array" ref="Y43">X43*$P43*INDEX(Month_Ref,W$1-1,3)/365</f>
        <v>1.4172788035989039</v>
      </c>
      <c r="Z43" s="70">
        <f t="shared" si="60"/>
        <v>7.8</v>
      </c>
      <c r="AA43" s="187">
        <f t="shared" si="72"/>
        <v>16.687314945599997</v>
      </c>
      <c r="AB43" s="189" cm="1">
        <f t="array" ref="AB43">AA43*$P43*INDEX(Month_Ref,Z$1-1,3)/365</f>
        <v>1.3715601325150681</v>
      </c>
      <c r="AC43" s="70">
        <f t="shared" si="61"/>
        <v>7.6</v>
      </c>
      <c r="AD43" s="187">
        <f t="shared" si="73"/>
        <v>15.810258457599996</v>
      </c>
      <c r="AE43" s="189" cm="1">
        <f t="array" ref="AE43">AD43*$P43*INDEX(Month_Ref,AC$1-1,3)/365</f>
        <v>1.3427890744810955</v>
      </c>
      <c r="AF43" s="70">
        <f t="shared" si="62"/>
        <v>7.8</v>
      </c>
      <c r="AG43" s="187">
        <f t="shared" si="74"/>
        <v>16.687314945599997</v>
      </c>
      <c r="AH43" s="189" cm="1">
        <f t="array" ref="AH43">AG43*$P43*INDEX(Month_Ref,AF$1-1,3)/365</f>
        <v>1.3715601325150681</v>
      </c>
      <c r="AI43" s="70">
        <f t="shared" si="63"/>
        <v>8.1</v>
      </c>
      <c r="AJ43" s="187">
        <f t="shared" si="75"/>
        <v>18.135517712099993</v>
      </c>
      <c r="AK43" s="189" cm="1">
        <f t="array" ref="AK43">AJ43*$P43*INDEX(Month_Ref,AI$1-1,3)/365</f>
        <v>1.5402768467810954</v>
      </c>
      <c r="AL43" s="70">
        <f t="shared" si="64"/>
        <v>7.2</v>
      </c>
      <c r="AM43" s="187">
        <f t="shared" si="76"/>
        <v>14.2524128256</v>
      </c>
      <c r="AN43" s="189" cm="1">
        <f t="array" ref="AN43">AM43*$P43*INDEX(Month_Ref,AL$1-1,3)/365</f>
        <v>1.2104788975167124</v>
      </c>
      <c r="AO43" s="70">
        <f t="shared" si="65"/>
        <v>6.7</v>
      </c>
      <c r="AP43" s="187">
        <f t="shared" si="77"/>
        <v>12.638284152099999</v>
      </c>
      <c r="AQ43" s="189" cm="1">
        <f t="array" ref="AQ43">AP43*$P43*INDEX(Month_Ref,AO$1-1,3)/365</f>
        <v>1.0387630809945205</v>
      </c>
      <c r="AR43" s="70">
        <f t="shared" si="66"/>
        <v>6.7</v>
      </c>
      <c r="AS43" s="187">
        <f t="shared" si="78"/>
        <v>12.638284152099999</v>
      </c>
      <c r="AT43" s="189" cm="1">
        <f t="array" ref="AT43">AS43*$P43*INDEX(Month_Ref,AR$1-1,3)/365</f>
        <v>1.0733885170276711</v>
      </c>
      <c r="AU43" s="70">
        <f t="shared" si="67"/>
        <v>7.8</v>
      </c>
      <c r="AV43" s="187">
        <f t="shared" si="79"/>
        <v>16.687314945599997</v>
      </c>
      <c r="AW43" s="189" cm="1">
        <f t="array" ref="AW43">AV43*$P43*INDEX(Month_Ref,AU$1-1,3)/365</f>
        <v>1.3715601325150681</v>
      </c>
      <c r="AX43" s="70">
        <f t="shared" si="68"/>
        <v>8.6999999999999993</v>
      </c>
      <c r="AY43" s="187">
        <f t="shared" si="80"/>
        <v>21.555271616099994</v>
      </c>
      <c r="AZ43" s="189" cm="1">
        <f t="array" ref="AZ43">AY43*$P43*INDEX(Month_Ref,AX$1-1,3)/365</f>
        <v>1.8307216989016435</v>
      </c>
      <c r="BA43" s="183">
        <f t="shared" si="54"/>
        <v>16.57544386592712</v>
      </c>
      <c r="BC43" s="20">
        <f t="shared" si="55"/>
        <v>37</v>
      </c>
    </row>
    <row r="44" spans="2:65" ht="29.15" x14ac:dyDescent="0.4">
      <c r="B44" s="528"/>
      <c r="C44" s="531"/>
      <c r="D44" s="534"/>
      <c r="E44" s="534"/>
      <c r="F44" s="522"/>
      <c r="G44" s="522"/>
      <c r="H44" s="522"/>
      <c r="I44" s="525"/>
      <c r="J44" s="179" t="s">
        <v>1688</v>
      </c>
      <c r="K44" s="168" t="s">
        <v>1704</v>
      </c>
      <c r="L44" s="63">
        <f>INDEX(Deck_Drain,MATCH($K44,Deck_Drain_Name,0),2)</f>
        <v>1.8</v>
      </c>
      <c r="M44" s="63">
        <f>INDEX(Deck_Drain,MATCH($K44,Deck_Drain_Name,0),3)</f>
        <v>0.14000000000000001</v>
      </c>
      <c r="N44" s="63">
        <f>INDEX(Deck_Drain,MATCH($K44,Deck_Drain_Name,0),4)</f>
        <v>1.1000000000000001</v>
      </c>
      <c r="O44" s="63">
        <f t="shared" si="56"/>
        <v>0.7</v>
      </c>
      <c r="P44" s="64" cm="1">
        <f t="array" ref="P44">IF(F37="Internal Floating Roof",1,INDEX(Tbl_71_13,_xlfn.MINIFS(Tbl_71_13_Range,Tbl_71_13_Dia,"&gt;="&amp;$E37),5))</f>
        <v>1</v>
      </c>
      <c r="Q44" s="70">
        <f t="shared" si="57"/>
        <v>8.5</v>
      </c>
      <c r="R44" s="188">
        <f t="shared" si="69"/>
        <v>2.7956270743453144</v>
      </c>
      <c r="S44" s="192" cm="1">
        <f t="array" ref="S44">R44*$P44*INDEX(Month_Ref,Q$1-1,3)/365</f>
        <v>0.23743682001288971</v>
      </c>
      <c r="T44" s="70">
        <f t="shared" si="58"/>
        <v>7.8</v>
      </c>
      <c r="U44" s="188">
        <f t="shared" si="70"/>
        <v>2.7058159061866491</v>
      </c>
      <c r="V44" s="192" cm="1">
        <f t="array" ref="V44">U44*$P44*INDEX(Month_Ref,T$1-1,3)/365</f>
        <v>0.20756943937870184</v>
      </c>
      <c r="W44" s="70">
        <f t="shared" si="59"/>
        <v>7.8</v>
      </c>
      <c r="X44" s="188">
        <f t="shared" si="71"/>
        <v>2.7058159061866491</v>
      </c>
      <c r="Y44" s="192" cm="1">
        <f t="array" ref="Y44">X44*$P44*INDEX(Month_Ref,W$1-1,3)/365</f>
        <v>0.22980902216927707</v>
      </c>
      <c r="Z44" s="70">
        <f t="shared" si="60"/>
        <v>7.8</v>
      </c>
      <c r="AA44" s="188">
        <f t="shared" si="72"/>
        <v>2.7058159061866491</v>
      </c>
      <c r="AB44" s="192" cm="1">
        <f t="array" ref="AB44">AA44*$P44*INDEX(Month_Ref,Z$1-1,3)/365</f>
        <v>0.22239582790575196</v>
      </c>
      <c r="AC44" s="70">
        <f t="shared" si="61"/>
        <v>7.6</v>
      </c>
      <c r="AD44" s="188">
        <f t="shared" si="73"/>
        <v>2.6803002621809786</v>
      </c>
      <c r="AE44" s="192" cm="1">
        <f t="array" ref="AE44">AD44*$P44*INDEX(Month_Ref,AC$1-1,3)/365</f>
        <v>0.22764194007564476</v>
      </c>
      <c r="AF44" s="70">
        <f t="shared" si="62"/>
        <v>7.8</v>
      </c>
      <c r="AG44" s="188">
        <f t="shared" si="74"/>
        <v>2.7058159061866491</v>
      </c>
      <c r="AH44" s="192" cm="1">
        <f t="array" ref="AH44">AG44*$P44*INDEX(Month_Ref,AF$1-1,3)/365</f>
        <v>0.22239582790575196</v>
      </c>
      <c r="AI44" s="70">
        <f t="shared" si="63"/>
        <v>8.1</v>
      </c>
      <c r="AJ44" s="188">
        <f t="shared" si="75"/>
        <v>2.744211749708052</v>
      </c>
      <c r="AK44" s="192" cm="1">
        <f t="array" ref="AK44">AJ44*$P44*INDEX(Month_Ref,AI$1-1,3)/365</f>
        <v>0.2330700390163003</v>
      </c>
      <c r="AL44" s="70">
        <f t="shared" si="64"/>
        <v>7.2</v>
      </c>
      <c r="AM44" s="188">
        <f t="shared" si="76"/>
        <v>2.6294718001921589</v>
      </c>
      <c r="AN44" s="192" cm="1">
        <f t="array" ref="AN44">AM44*$P44*INDEX(Month_Ref,AL$1-1,3)/365</f>
        <v>0.22332500220810114</v>
      </c>
      <c r="AO44" s="70">
        <f t="shared" si="65"/>
        <v>6.7</v>
      </c>
      <c r="AP44" s="188">
        <f t="shared" si="77"/>
        <v>2.566334120525315</v>
      </c>
      <c r="AQ44" s="192" cm="1">
        <f t="array" ref="AQ44">AP44*$P44*INDEX(Month_Ref,AO$1-1,3)/365</f>
        <v>0.2109315715500259</v>
      </c>
      <c r="AR44" s="70">
        <f t="shared" si="66"/>
        <v>6.7</v>
      </c>
      <c r="AS44" s="188">
        <f t="shared" si="78"/>
        <v>2.566334120525315</v>
      </c>
      <c r="AT44" s="192" cm="1">
        <f t="array" ref="AT44">AS44*$P44*INDEX(Month_Ref,AR$1-1,3)/365</f>
        <v>0.21796262393502674</v>
      </c>
      <c r="AU44" s="70">
        <f t="shared" si="67"/>
        <v>7.8</v>
      </c>
      <c r="AV44" s="188">
        <f t="shared" si="79"/>
        <v>2.7058159061866491</v>
      </c>
      <c r="AW44" s="192" cm="1">
        <f t="array" ref="AW44">AV44*$P44*INDEX(Month_Ref,AU$1-1,3)/365</f>
        <v>0.22239582790575196</v>
      </c>
      <c r="AX44" s="70">
        <f t="shared" si="68"/>
        <v>8.6999999999999993</v>
      </c>
      <c r="AY44" s="188">
        <f t="shared" si="80"/>
        <v>2.8214263507130477</v>
      </c>
      <c r="AZ44" s="192" cm="1">
        <f t="array" ref="AZ44">AY44*$P44*INDEX(Month_Ref,AX$1-1,3)/365</f>
        <v>0.23962799143042321</v>
      </c>
      <c r="BA44" s="183">
        <f t="shared" si="54"/>
        <v>2.6945619334936466</v>
      </c>
      <c r="BC44" s="20">
        <f t="shared" si="55"/>
        <v>38</v>
      </c>
    </row>
    <row r="45" spans="2:65" x14ac:dyDescent="0.4">
      <c r="B45" s="528"/>
      <c r="C45" s="531"/>
      <c r="D45" s="534"/>
      <c r="E45" s="534"/>
      <c r="F45" s="522"/>
      <c r="G45" s="522"/>
      <c r="H45" s="522"/>
      <c r="I45" s="525"/>
      <c r="J45" s="179" t="s">
        <v>1708</v>
      </c>
      <c r="K45" s="168" t="s">
        <v>1605</v>
      </c>
      <c r="L45" s="63">
        <f>INDEX(Deck_Leg_IFR,MATCH($K45,Deck_Leg_IFR_Name,0),2)</f>
        <v>0</v>
      </c>
      <c r="M45" s="63">
        <f>INDEX(Deck_Leg_IFR,MATCH($K45,Deck_Leg_IFR_Name,0),3)</f>
        <v>0</v>
      </c>
      <c r="N45" s="63">
        <f>INDEX(Deck_Leg_IFR,MATCH($K45,Deck_Leg_IFR_Name,0),4)</f>
        <v>0</v>
      </c>
      <c r="O45" s="63">
        <f t="shared" si="56"/>
        <v>0.7</v>
      </c>
      <c r="P45" s="64">
        <f>IF($F37="Internal Floating Roof",ROUND(5+$E37/10+($E37^2)/600,0),0)</f>
        <v>0</v>
      </c>
      <c r="Q45" s="70">
        <f t="shared" si="57"/>
        <v>8.5</v>
      </c>
      <c r="R45" s="63">
        <f t="shared" si="69"/>
        <v>0</v>
      </c>
      <c r="S45" s="64" cm="1">
        <f t="array" ref="S45">R45*$P45*INDEX(Month_Ref,Q$1-1,3)/365</f>
        <v>0</v>
      </c>
      <c r="T45" s="70">
        <f t="shared" si="58"/>
        <v>7.8</v>
      </c>
      <c r="U45" s="63">
        <f t="shared" si="70"/>
        <v>0</v>
      </c>
      <c r="V45" s="64" cm="1">
        <f t="array" ref="V45">U45*$P45*INDEX(Month_Ref,T$1-1,3)/365</f>
        <v>0</v>
      </c>
      <c r="W45" s="70">
        <f t="shared" si="59"/>
        <v>7.8</v>
      </c>
      <c r="X45" s="63">
        <f t="shared" si="71"/>
        <v>0</v>
      </c>
      <c r="Y45" s="64" cm="1">
        <f t="array" ref="Y45">X45*$P45*INDEX(Month_Ref,W$1-1,3)/365</f>
        <v>0</v>
      </c>
      <c r="Z45" s="70">
        <f t="shared" si="60"/>
        <v>7.8</v>
      </c>
      <c r="AA45" s="63">
        <f t="shared" si="72"/>
        <v>0</v>
      </c>
      <c r="AB45" s="64" cm="1">
        <f t="array" ref="AB45">AA45*$P45*INDEX(Month_Ref,Z$1-1,3)/365</f>
        <v>0</v>
      </c>
      <c r="AC45" s="70">
        <f t="shared" si="61"/>
        <v>7.6</v>
      </c>
      <c r="AD45" s="63">
        <f t="shared" si="73"/>
        <v>0</v>
      </c>
      <c r="AE45" s="64" cm="1">
        <f t="array" ref="AE45">AD45*$P45*INDEX(Month_Ref,AC$1-1,3)/365</f>
        <v>0</v>
      </c>
      <c r="AF45" s="70">
        <f t="shared" si="62"/>
        <v>7.8</v>
      </c>
      <c r="AG45" s="63">
        <f t="shared" si="74"/>
        <v>0</v>
      </c>
      <c r="AH45" s="64" cm="1">
        <f t="array" ref="AH45">AG45*$P45*INDEX(Month_Ref,AF$1-1,3)/365</f>
        <v>0</v>
      </c>
      <c r="AI45" s="70">
        <f t="shared" si="63"/>
        <v>8.1</v>
      </c>
      <c r="AJ45" s="63">
        <f t="shared" si="75"/>
        <v>0</v>
      </c>
      <c r="AK45" s="64" cm="1">
        <f t="array" ref="AK45">AJ45*$P45*INDEX(Month_Ref,AI$1-1,3)/365</f>
        <v>0</v>
      </c>
      <c r="AL45" s="70">
        <f t="shared" si="64"/>
        <v>7.2</v>
      </c>
      <c r="AM45" s="63">
        <f t="shared" si="76"/>
        <v>0</v>
      </c>
      <c r="AN45" s="64" cm="1">
        <f t="array" ref="AN45">AM45*$P45*INDEX(Month_Ref,AL$1-1,3)/365</f>
        <v>0</v>
      </c>
      <c r="AO45" s="70">
        <f t="shared" si="65"/>
        <v>6.7</v>
      </c>
      <c r="AP45" s="63">
        <f t="shared" si="77"/>
        <v>0</v>
      </c>
      <c r="AQ45" s="64" cm="1">
        <f t="array" ref="AQ45">AP45*$P45*INDEX(Month_Ref,AO$1-1,3)/365</f>
        <v>0</v>
      </c>
      <c r="AR45" s="70">
        <f t="shared" si="66"/>
        <v>6.7</v>
      </c>
      <c r="AS45" s="63">
        <f t="shared" si="78"/>
        <v>0</v>
      </c>
      <c r="AT45" s="64" cm="1">
        <f t="array" ref="AT45">AS45*$P45*INDEX(Month_Ref,AR$1-1,3)/365</f>
        <v>0</v>
      </c>
      <c r="AU45" s="70">
        <f t="shared" si="67"/>
        <v>7.8</v>
      </c>
      <c r="AV45" s="63">
        <f t="shared" si="79"/>
        <v>0</v>
      </c>
      <c r="AW45" s="64" cm="1">
        <f t="array" ref="AW45">AV45*$P45*INDEX(Month_Ref,AU$1-1,3)/365</f>
        <v>0</v>
      </c>
      <c r="AX45" s="70">
        <f t="shared" si="68"/>
        <v>8.6999999999999993</v>
      </c>
      <c r="AY45" s="63">
        <f t="shared" si="80"/>
        <v>0</v>
      </c>
      <c r="AZ45" s="64" cm="1">
        <f t="array" ref="AZ45">AY45*$P45*INDEX(Month_Ref,AX$1-1,3)/365</f>
        <v>0</v>
      </c>
      <c r="BA45" s="183">
        <f t="shared" si="54"/>
        <v>0</v>
      </c>
      <c r="BC45" s="20">
        <f t="shared" si="55"/>
        <v>39</v>
      </c>
    </row>
    <row r="46" spans="2:65" ht="29.15" x14ac:dyDescent="0.4">
      <c r="B46" s="528"/>
      <c r="C46" s="531"/>
      <c r="D46" s="534"/>
      <c r="E46" s="534"/>
      <c r="F46" s="522"/>
      <c r="G46" s="522"/>
      <c r="H46" s="522"/>
      <c r="I46" s="525"/>
      <c r="J46" s="179" t="s">
        <v>1711</v>
      </c>
      <c r="K46" s="168" t="s">
        <v>1696</v>
      </c>
      <c r="L46" s="63">
        <f>INDEX(Deck_Leg_Pon,MATCH($K46,Deck_Leg_Pon_Name,0),2)</f>
        <v>1.2</v>
      </c>
      <c r="M46" s="63">
        <f>INDEX(Deck_Leg_Pon,MATCH($K46,Deck_Leg_Pon_Name,0),3)</f>
        <v>0.14000000000000001</v>
      </c>
      <c r="N46" s="63">
        <f>INDEX(Deck_Leg_Pon,MATCH($K46,Deck_Leg_Pon_Name,0),4)</f>
        <v>0.65</v>
      </c>
      <c r="O46" s="63">
        <f t="shared" si="56"/>
        <v>0.7</v>
      </c>
      <c r="P46" s="64" cm="1">
        <f t="array" ref="P46">IF($G37="Pontoon",INDEX(Tbl_71_14,_xlfn.MINIFS(Tbl_71_14_Range,Tbl_71_14_Dia,"&gt;="&amp;$E37),3),0)</f>
        <v>4</v>
      </c>
      <c r="Q46" s="70">
        <f t="shared" si="57"/>
        <v>8.5</v>
      </c>
      <c r="R46" s="188">
        <f t="shared" si="69"/>
        <v>1.6462354445565648</v>
      </c>
      <c r="S46" s="64" cm="1">
        <f t="array" ref="S46">R46*$P46*INDEX(Month_Ref,Q$1-1,3)/365</f>
        <v>0.5592690277397645</v>
      </c>
      <c r="T46" s="70">
        <f t="shared" si="58"/>
        <v>7.8</v>
      </c>
      <c r="U46" s="188">
        <f t="shared" si="70"/>
        <v>1.6219910629428584</v>
      </c>
      <c r="V46" s="64" cm="1">
        <f t="array" ref="V46">U46*$P46*INDEX(Month_Ref,T$1-1,3)/365</f>
        <v>0.49770684671123333</v>
      </c>
      <c r="W46" s="70">
        <f t="shared" si="59"/>
        <v>7.8</v>
      </c>
      <c r="X46" s="188">
        <f t="shared" si="71"/>
        <v>1.6219910629428584</v>
      </c>
      <c r="Y46" s="64" cm="1">
        <f t="array" ref="Y46">X46*$P46*INDEX(Month_Ref,W$1-1,3)/365</f>
        <v>0.55103258028743685</v>
      </c>
      <c r="Z46" s="70">
        <f t="shared" si="60"/>
        <v>7.8</v>
      </c>
      <c r="AA46" s="188">
        <f t="shared" si="72"/>
        <v>1.6219910629428584</v>
      </c>
      <c r="AB46" s="64" cm="1">
        <f t="array" ref="AB46">AA46*$P46*INDEX(Month_Ref,Z$1-1,3)/365</f>
        <v>0.53325733576203571</v>
      </c>
      <c r="AC46" s="70">
        <f t="shared" si="61"/>
        <v>7.6</v>
      </c>
      <c r="AD46" s="188">
        <f t="shared" si="73"/>
        <v>1.6149259496740955</v>
      </c>
      <c r="AE46" s="64" cm="1">
        <f t="array" ref="AE46">AD46*$P46*INDEX(Month_Ref,AC$1-1,3)/365</f>
        <v>0.54863237742352833</v>
      </c>
      <c r="AF46" s="70">
        <f t="shared" si="62"/>
        <v>7.8</v>
      </c>
      <c r="AG46" s="188">
        <f t="shared" si="74"/>
        <v>1.6219910629428584</v>
      </c>
      <c r="AH46" s="64" cm="1">
        <f t="array" ref="AH46">AG46*$P46*INDEX(Month_Ref,AF$1-1,3)/365</f>
        <v>0.53325733576203571</v>
      </c>
      <c r="AI46" s="70">
        <f t="shared" si="63"/>
        <v>8.1</v>
      </c>
      <c r="AJ46" s="188">
        <f t="shared" si="75"/>
        <v>1.6324710333172896</v>
      </c>
      <c r="AK46" s="64" cm="1">
        <f t="array" ref="AK46">AJ46*$P46*INDEX(Month_Ref,AI$1-1,3)/365</f>
        <v>0.55459289898998332</v>
      </c>
      <c r="AL46" s="70">
        <f t="shared" si="64"/>
        <v>7.2</v>
      </c>
      <c r="AM46" s="188">
        <f t="shared" si="76"/>
        <v>1.6005971768742733</v>
      </c>
      <c r="AN46" s="64" cm="1">
        <f t="array" ref="AN46">AM46*$P46*INDEX(Month_Ref,AL$1-1,3)/365</f>
        <v>0.54376452036276679</v>
      </c>
      <c r="AO46" s="70">
        <f t="shared" si="65"/>
        <v>6.7</v>
      </c>
      <c r="AP46" s="188">
        <f t="shared" si="77"/>
        <v>1.5822877514971885</v>
      </c>
      <c r="AQ46" s="64" cm="1">
        <f t="array" ref="AQ46">AP46*$P46*INDEX(Month_Ref,AO$1-1,3)/365</f>
        <v>0.52020419227304826</v>
      </c>
      <c r="AR46" s="70">
        <f t="shared" si="66"/>
        <v>6.7</v>
      </c>
      <c r="AS46" s="188">
        <f t="shared" si="78"/>
        <v>1.5822877514971885</v>
      </c>
      <c r="AT46" s="64" cm="1">
        <f t="array" ref="AT46">AS46*$P46*INDEX(Month_Ref,AR$1-1,3)/365</f>
        <v>0.53754433201548324</v>
      </c>
      <c r="AU46" s="70">
        <f t="shared" si="67"/>
        <v>7.8</v>
      </c>
      <c r="AV46" s="188">
        <f t="shared" si="79"/>
        <v>1.6219910629428584</v>
      </c>
      <c r="AW46" s="64" cm="1">
        <f t="array" ref="AW46">AV46*$P46*INDEX(Month_Ref,AU$1-1,3)/365</f>
        <v>0.53325733576203571</v>
      </c>
      <c r="AX46" s="70">
        <f t="shared" si="68"/>
        <v>8.6999999999999993</v>
      </c>
      <c r="AY46" s="188">
        <f t="shared" si="80"/>
        <v>1.6530324134207663</v>
      </c>
      <c r="AZ46" s="64" cm="1">
        <f t="array" ref="AZ46">AY46*$P46*INDEX(Month_Ref,AX$1-1,3)/365</f>
        <v>0.56157813497034248</v>
      </c>
      <c r="BA46" s="183">
        <f t="shared" si="54"/>
        <v>6.4740969180596952</v>
      </c>
      <c r="BC46" s="20">
        <f t="shared" si="55"/>
        <v>40</v>
      </c>
    </row>
    <row r="47" spans="2:65" ht="29.15" x14ac:dyDescent="0.4">
      <c r="B47" s="528"/>
      <c r="C47" s="531"/>
      <c r="D47" s="534"/>
      <c r="E47" s="534"/>
      <c r="F47" s="522"/>
      <c r="G47" s="522"/>
      <c r="H47" s="522"/>
      <c r="I47" s="525"/>
      <c r="J47" s="179" t="s">
        <v>1714</v>
      </c>
      <c r="K47" s="168" t="s">
        <v>1704</v>
      </c>
      <c r="L47" s="63">
        <f>INDEX(Deck_Leg_DD,MATCH($K47,Deck_Leg_DD_Name,0),2)</f>
        <v>0.82</v>
      </c>
      <c r="M47" s="63">
        <f>INDEX(Deck_Leg_DD,MATCH($K47,Deck_Leg_DD_Name,0),3)</f>
        <v>0.53</v>
      </c>
      <c r="N47" s="63">
        <f>INDEX(Deck_Leg_DD,MATCH($K47,Deck_Leg_DD_Name,0),4)</f>
        <v>0.14000000000000001</v>
      </c>
      <c r="O47" s="63">
        <f t="shared" si="56"/>
        <v>0.7</v>
      </c>
      <c r="P47" s="64" cm="1">
        <f t="array" ref="P47">IF($G37="Pontoon",INDEX(Tbl_71_14,_xlfn.MINIFS(Tbl_71_14_Range,Tbl_71_14_Dia,"&gt;="&amp;$E37),4),IF($F37="Internal Floating Roof",0,6))</f>
        <v>4</v>
      </c>
      <c r="Q47" s="70">
        <f t="shared" si="57"/>
        <v>8.5</v>
      </c>
      <c r="R47" s="188">
        <f t="shared" si="69"/>
        <v>1.5003121774335484</v>
      </c>
      <c r="S47" s="192" cm="1">
        <f t="array" ref="S47">R47*$P47*INDEX(Month_Ref,Q$1-1,3)/365</f>
        <v>0.50969509589523287</v>
      </c>
      <c r="T47" s="70">
        <f t="shared" si="58"/>
        <v>7.8</v>
      </c>
      <c r="U47" s="188">
        <f t="shared" si="70"/>
        <v>1.4921757486856286</v>
      </c>
      <c r="V47" s="192" cm="1">
        <f t="array" ref="V47">U47*$P47*INDEX(Month_Ref,T$1-1,3)/365</f>
        <v>0.4578731064460011</v>
      </c>
      <c r="W47" s="70">
        <f t="shared" si="59"/>
        <v>7.8</v>
      </c>
      <c r="X47" s="188">
        <f t="shared" si="71"/>
        <v>1.4921757486856286</v>
      </c>
      <c r="Y47" s="192" cm="1">
        <f t="array" ref="Y47">X47*$P47*INDEX(Month_Ref,W$1-1,3)/365</f>
        <v>0.50693093927950128</v>
      </c>
      <c r="Z47" s="70">
        <f t="shared" si="60"/>
        <v>7.8</v>
      </c>
      <c r="AA47" s="188">
        <f t="shared" si="72"/>
        <v>1.4921757486856286</v>
      </c>
      <c r="AB47" s="192" cm="1">
        <f t="array" ref="AB47">AA47*$P47*INDEX(Month_Ref,Z$1-1,3)/365</f>
        <v>0.4905783283350012</v>
      </c>
      <c r="AC47" s="70">
        <f t="shared" si="61"/>
        <v>7.6</v>
      </c>
      <c r="AD47" s="188">
        <f t="shared" si="73"/>
        <v>1.4897357750568518</v>
      </c>
      <c r="AE47" s="192" cm="1">
        <f t="array" ref="AE47">AD47*$P47*INDEX(Month_Ref,AC$1-1,3)/365</f>
        <v>0.50610201673164279</v>
      </c>
      <c r="AF47" s="70">
        <f t="shared" si="62"/>
        <v>7.8</v>
      </c>
      <c r="AG47" s="188">
        <f t="shared" si="74"/>
        <v>1.4921757486856286</v>
      </c>
      <c r="AH47" s="192" cm="1">
        <f t="array" ref="AH47">AG47*$P47*INDEX(Month_Ref,AF$1-1,3)/365</f>
        <v>0.4905783283350012</v>
      </c>
      <c r="AI47" s="70">
        <f t="shared" si="63"/>
        <v>8.1</v>
      </c>
      <c r="AJ47" s="188">
        <f t="shared" si="75"/>
        <v>1.4957366864189434</v>
      </c>
      <c r="AK47" s="192" cm="1">
        <f t="array" ref="AK47">AJ47*$P47*INDEX(Month_Ref,AI$1-1,3)/365</f>
        <v>0.50814068250944922</v>
      </c>
      <c r="AL47" s="70">
        <f t="shared" si="64"/>
        <v>7.2</v>
      </c>
      <c r="AM47" s="188">
        <f t="shared" si="76"/>
        <v>1.4846854079946157</v>
      </c>
      <c r="AN47" s="192" cm="1">
        <f t="array" ref="AN47">AM47*$P47*INDEX(Month_Ref,AL$1-1,3)/365</f>
        <v>0.50438627559269134</v>
      </c>
      <c r="AO47" s="70">
        <f t="shared" si="65"/>
        <v>6.7</v>
      </c>
      <c r="AP47" s="188">
        <f t="shared" si="77"/>
        <v>1.4780214753418086</v>
      </c>
      <c r="AQ47" s="192" cm="1">
        <f t="array" ref="AQ47">AP47*$P47*INDEX(Month_Ref,AO$1-1,3)/365</f>
        <v>0.48592486860552614</v>
      </c>
      <c r="AR47" s="70">
        <f t="shared" si="66"/>
        <v>6.7</v>
      </c>
      <c r="AS47" s="188">
        <f t="shared" si="78"/>
        <v>1.4780214753418086</v>
      </c>
      <c r="AT47" s="192" cm="1">
        <f t="array" ref="AT47">AS47*$P47*INDEX(Month_Ref,AR$1-1,3)/365</f>
        <v>0.50212236422571033</v>
      </c>
      <c r="AU47" s="70">
        <f t="shared" si="67"/>
        <v>7.8</v>
      </c>
      <c r="AV47" s="188">
        <f t="shared" si="79"/>
        <v>1.4921757486856286</v>
      </c>
      <c r="AW47" s="192" cm="1">
        <f t="array" ref="AW47">AV47*$P47*INDEX(Month_Ref,AU$1-1,3)/365</f>
        <v>0.4905783283350012</v>
      </c>
      <c r="AX47" s="70">
        <f t="shared" si="68"/>
        <v>8.6999999999999993</v>
      </c>
      <c r="AY47" s="188">
        <f t="shared" si="80"/>
        <v>1.5025308571559672</v>
      </c>
      <c r="AZ47" s="192" cm="1">
        <f t="array" ref="AZ47">AY47*$P47*INDEX(Month_Ref,AX$1-1,3)/365</f>
        <v>0.51044883914339712</v>
      </c>
      <c r="BA47" s="183">
        <f t="shared" si="54"/>
        <v>5.9633591734341547</v>
      </c>
      <c r="BC47" s="20">
        <f t="shared" si="55"/>
        <v>41</v>
      </c>
    </row>
    <row r="48" spans="2:65" ht="29.15" x14ac:dyDescent="0.4">
      <c r="B48" s="528"/>
      <c r="C48" s="531"/>
      <c r="D48" s="534"/>
      <c r="E48" s="534"/>
      <c r="F48" s="522"/>
      <c r="G48" s="522"/>
      <c r="H48" s="522"/>
      <c r="I48" s="525"/>
      <c r="J48" s="180" t="s">
        <v>1700</v>
      </c>
      <c r="K48" s="168" t="s">
        <v>1704</v>
      </c>
      <c r="L48" s="63">
        <f>INDEX(Rim_Vent,MATCH($K48,Rim_Vent_Name,0),2)</f>
        <v>0.71</v>
      </c>
      <c r="M48" s="63">
        <f>INDEX(Rim_Vent,MATCH($K48,Rim_Vent_Name,0),3)</f>
        <v>0.1</v>
      </c>
      <c r="N48" s="63">
        <f>INDEX(Rim_Vent,MATCH($K48,Rim_Vent_Name,0),4)</f>
        <v>1</v>
      </c>
      <c r="O48" s="63">
        <f t="shared" si="56"/>
        <v>0.7</v>
      </c>
      <c r="P48" s="64">
        <f>IF(OR($H37="Mechanical Shoe - Primary Only",$H37="Mechanical Shoe w/ Shoe-Mounted Secondary",$H37="Mechanical Shoe w/ Rim Mounted Secondary"),1,0)</f>
        <v>1</v>
      </c>
      <c r="Q48" s="70">
        <f t="shared" si="57"/>
        <v>8.5</v>
      </c>
      <c r="R48" s="188">
        <f t="shared" si="69"/>
        <v>1.3049999999999999</v>
      </c>
      <c r="S48" s="192" cm="1">
        <f t="array" ref="S48">R48*$P48*INDEX(Month_Ref,Q$1-1,3)/365</f>
        <v>0.11083561643835615</v>
      </c>
      <c r="T48" s="70">
        <f t="shared" si="58"/>
        <v>7.8</v>
      </c>
      <c r="U48" s="188">
        <f t="shared" si="70"/>
        <v>1.256</v>
      </c>
      <c r="V48" s="192" cm="1">
        <f t="array" ref="V48">U48*$P48*INDEX(Month_Ref,T$1-1,3)/365</f>
        <v>9.635068493150685E-2</v>
      </c>
      <c r="W48" s="70">
        <f t="shared" si="59"/>
        <v>7.8</v>
      </c>
      <c r="X48" s="188">
        <f t="shared" si="71"/>
        <v>1.256</v>
      </c>
      <c r="Y48" s="192" cm="1">
        <f t="array" ref="Y48">X48*$P48*INDEX(Month_Ref,W$1-1,3)/365</f>
        <v>0.10667397260273973</v>
      </c>
      <c r="Z48" s="70">
        <f t="shared" si="60"/>
        <v>7.8</v>
      </c>
      <c r="AA48" s="188">
        <f t="shared" si="72"/>
        <v>1.256</v>
      </c>
      <c r="AB48" s="192" cm="1">
        <f t="array" ref="AB48">AA48*$P48*INDEX(Month_Ref,Z$1-1,3)/365</f>
        <v>0.10323287671232877</v>
      </c>
      <c r="AC48" s="70">
        <f t="shared" si="61"/>
        <v>7.6</v>
      </c>
      <c r="AD48" s="188">
        <f t="shared" si="73"/>
        <v>1.242</v>
      </c>
      <c r="AE48" s="192" cm="1">
        <f t="array" ref="AE48">AD48*$P48*INDEX(Month_Ref,AC$1-1,3)/365</f>
        <v>0.10548493150684932</v>
      </c>
      <c r="AF48" s="70">
        <f t="shared" si="62"/>
        <v>7.8</v>
      </c>
      <c r="AG48" s="188">
        <f t="shared" si="74"/>
        <v>1.256</v>
      </c>
      <c r="AH48" s="192" cm="1">
        <f t="array" ref="AH48">AG48*$P48*INDEX(Month_Ref,AF$1-1,3)/365</f>
        <v>0.10323287671232877</v>
      </c>
      <c r="AI48" s="70">
        <f t="shared" si="63"/>
        <v>8.1</v>
      </c>
      <c r="AJ48" s="188">
        <f t="shared" si="75"/>
        <v>1.2769999999999999</v>
      </c>
      <c r="AK48" s="192" cm="1">
        <f t="array" ref="AK48">AJ48*$P48*INDEX(Month_Ref,AI$1-1,3)/365</f>
        <v>0.10845753424657534</v>
      </c>
      <c r="AL48" s="70">
        <f t="shared" si="64"/>
        <v>7.2</v>
      </c>
      <c r="AM48" s="188">
        <f t="shared" si="76"/>
        <v>1.214</v>
      </c>
      <c r="AN48" s="192" cm="1">
        <f t="array" ref="AN48">AM48*$P48*INDEX(Month_Ref,AL$1-1,3)/365</f>
        <v>0.1031068493150685</v>
      </c>
      <c r="AO48" s="70">
        <f t="shared" si="65"/>
        <v>6.7</v>
      </c>
      <c r="AP48" s="188">
        <f t="shared" si="77"/>
        <v>1.1789999999999998</v>
      </c>
      <c r="AQ48" s="192" cm="1">
        <f t="array" ref="AQ48">AP48*$P48*INDEX(Month_Ref,AO$1-1,3)/365</f>
        <v>9.6904109589041082E-2</v>
      </c>
      <c r="AR48" s="70">
        <f t="shared" si="66"/>
        <v>6.7</v>
      </c>
      <c r="AS48" s="188">
        <f t="shared" si="78"/>
        <v>1.1789999999999998</v>
      </c>
      <c r="AT48" s="192" cm="1">
        <f t="array" ref="AT48">AS48*$P48*INDEX(Month_Ref,AR$1-1,3)/365</f>
        <v>0.10013424657534245</v>
      </c>
      <c r="AU48" s="70">
        <f t="shared" si="67"/>
        <v>7.8</v>
      </c>
      <c r="AV48" s="188">
        <f t="shared" si="79"/>
        <v>1.256</v>
      </c>
      <c r="AW48" s="192" cm="1">
        <f t="array" ref="AW48">AV48*$P48*INDEX(Month_Ref,AU$1-1,3)/365</f>
        <v>0.10323287671232877</v>
      </c>
      <c r="AX48" s="70">
        <f t="shared" si="68"/>
        <v>8.6999999999999993</v>
      </c>
      <c r="AY48" s="188">
        <f t="shared" si="80"/>
        <v>1.319</v>
      </c>
      <c r="AZ48" s="192" cm="1">
        <f t="array" ref="AZ48">AY48*$P48*INDEX(Month_Ref,AX$1-1,3)/365</f>
        <v>0.11202465753424656</v>
      </c>
      <c r="BA48" s="183">
        <f t="shared" si="54"/>
        <v>1.2496712328767121</v>
      </c>
      <c r="BC48" s="20">
        <f t="shared" si="55"/>
        <v>42</v>
      </c>
    </row>
    <row r="49" spans="2:65" x14ac:dyDescent="0.4">
      <c r="B49" s="528"/>
      <c r="C49" s="531"/>
      <c r="D49" s="534"/>
      <c r="E49" s="534"/>
      <c r="F49" s="522"/>
      <c r="G49" s="522"/>
      <c r="H49" s="522"/>
      <c r="I49" s="525"/>
      <c r="J49" s="180" t="s">
        <v>1701</v>
      </c>
      <c r="K49" s="168" t="s">
        <v>1605</v>
      </c>
      <c r="L49" s="63">
        <f>INDEX(Ladder_Well,MATCH($K49,Ladder_Well_Name,0),2)</f>
        <v>0</v>
      </c>
      <c r="M49" s="63">
        <f>INDEX(Ladder_Well,MATCH($K49,Ladder_Well_Name,0),3)</f>
        <v>0</v>
      </c>
      <c r="N49" s="63">
        <f>INDEX(Ladder_Well,MATCH($K49,Ladder_Well_Name,0),4)</f>
        <v>0</v>
      </c>
      <c r="O49" s="63">
        <f t="shared" si="56"/>
        <v>0.7</v>
      </c>
      <c r="P49" s="64">
        <f>IF($F37&lt;&gt;"Internal Floating Roof",0,1)</f>
        <v>0</v>
      </c>
      <c r="Q49" s="70">
        <f t="shared" si="57"/>
        <v>8.5</v>
      </c>
      <c r="R49" s="63">
        <f t="shared" si="69"/>
        <v>0</v>
      </c>
      <c r="S49" s="64" cm="1">
        <f t="array" ref="S49">R49*$P49*INDEX(Month_Ref,Q$1-1,3)/365</f>
        <v>0</v>
      </c>
      <c r="T49" s="70">
        <f t="shared" si="58"/>
        <v>7.8</v>
      </c>
      <c r="U49" s="63">
        <f t="shared" si="70"/>
        <v>0</v>
      </c>
      <c r="V49" s="64" cm="1">
        <f t="array" ref="V49">U49*$P49*INDEX(Month_Ref,T$1-1,3)/365</f>
        <v>0</v>
      </c>
      <c r="W49" s="70">
        <f t="shared" si="59"/>
        <v>7.8</v>
      </c>
      <c r="X49" s="63">
        <f t="shared" si="71"/>
        <v>0</v>
      </c>
      <c r="Y49" s="64" cm="1">
        <f t="array" ref="Y49">X49*$P49*INDEX(Month_Ref,W$1-1,3)/365</f>
        <v>0</v>
      </c>
      <c r="Z49" s="70">
        <f t="shared" si="60"/>
        <v>7.8</v>
      </c>
      <c r="AA49" s="63">
        <f t="shared" si="72"/>
        <v>0</v>
      </c>
      <c r="AB49" s="64" cm="1">
        <f t="array" ref="AB49">AA49*$P49*INDEX(Month_Ref,Z$1-1,3)/365</f>
        <v>0</v>
      </c>
      <c r="AC49" s="70">
        <f t="shared" si="61"/>
        <v>7.6</v>
      </c>
      <c r="AD49" s="63">
        <f t="shared" si="73"/>
        <v>0</v>
      </c>
      <c r="AE49" s="64" cm="1">
        <f t="array" ref="AE49">AD49*$P49*INDEX(Month_Ref,AC$1-1,3)/365</f>
        <v>0</v>
      </c>
      <c r="AF49" s="70">
        <f t="shared" si="62"/>
        <v>7.8</v>
      </c>
      <c r="AG49" s="63">
        <f t="shared" si="74"/>
        <v>0</v>
      </c>
      <c r="AH49" s="64" cm="1">
        <f t="array" ref="AH49">AG49*$P49*INDEX(Month_Ref,AF$1-1,3)/365</f>
        <v>0</v>
      </c>
      <c r="AI49" s="70">
        <f t="shared" si="63"/>
        <v>8.1</v>
      </c>
      <c r="AJ49" s="63">
        <f t="shared" si="75"/>
        <v>0</v>
      </c>
      <c r="AK49" s="64" cm="1">
        <f t="array" ref="AK49">AJ49*$P49*INDEX(Month_Ref,AI$1-1,3)/365</f>
        <v>0</v>
      </c>
      <c r="AL49" s="70">
        <f t="shared" si="64"/>
        <v>7.2</v>
      </c>
      <c r="AM49" s="63">
        <f t="shared" si="76"/>
        <v>0</v>
      </c>
      <c r="AN49" s="64" cm="1">
        <f t="array" ref="AN49">AM49*$P49*INDEX(Month_Ref,AL$1-1,3)/365</f>
        <v>0</v>
      </c>
      <c r="AO49" s="70">
        <f t="shared" si="65"/>
        <v>6.7</v>
      </c>
      <c r="AP49" s="63">
        <f t="shared" si="77"/>
        <v>0</v>
      </c>
      <c r="AQ49" s="64" cm="1">
        <f t="array" ref="AQ49">AP49*$P49*INDEX(Month_Ref,AO$1-1,3)/365</f>
        <v>0</v>
      </c>
      <c r="AR49" s="70">
        <f t="shared" si="66"/>
        <v>6.7</v>
      </c>
      <c r="AS49" s="63">
        <f t="shared" si="78"/>
        <v>0</v>
      </c>
      <c r="AT49" s="64" cm="1">
        <f t="array" ref="AT49">AS49*$P49*INDEX(Month_Ref,AR$1-1,3)/365</f>
        <v>0</v>
      </c>
      <c r="AU49" s="70">
        <f t="shared" si="67"/>
        <v>7.8</v>
      </c>
      <c r="AV49" s="63">
        <f t="shared" si="79"/>
        <v>0</v>
      </c>
      <c r="AW49" s="64" cm="1">
        <f t="array" ref="AW49">AV49*$P49*INDEX(Month_Ref,AU$1-1,3)/365</f>
        <v>0</v>
      </c>
      <c r="AX49" s="70">
        <f t="shared" si="68"/>
        <v>8.6999999999999993</v>
      </c>
      <c r="AY49" s="63">
        <f t="shared" si="80"/>
        <v>0</v>
      </c>
      <c r="AZ49" s="64" cm="1">
        <f t="array" ref="AZ49">AY49*$P49*INDEX(Month_Ref,AX$1-1,3)/365</f>
        <v>0</v>
      </c>
      <c r="BA49" s="183">
        <f t="shared" si="54"/>
        <v>0</v>
      </c>
      <c r="BC49" s="20">
        <f t="shared" si="55"/>
        <v>43</v>
      </c>
    </row>
    <row r="50" spans="2:65" ht="15" thickBot="1" x14ac:dyDescent="0.45">
      <c r="B50" s="529"/>
      <c r="C50" s="532"/>
      <c r="D50" s="535"/>
      <c r="E50" s="535"/>
      <c r="F50" s="523"/>
      <c r="G50" s="523"/>
      <c r="H50" s="523"/>
      <c r="I50" s="526"/>
      <c r="J50" s="181" t="s">
        <v>1715</v>
      </c>
      <c r="K50" s="171" t="s">
        <v>1605</v>
      </c>
      <c r="L50" s="32">
        <f>INDEX(Combo_LWSGP,MATCH($K50,Combo_LWSGP_Name,0),2)</f>
        <v>0</v>
      </c>
      <c r="M50" s="32">
        <f>INDEX(Combo_LWSGP,MATCH($K50,Combo_LWSGP_Name,0),3)</f>
        <v>0</v>
      </c>
      <c r="N50" s="32">
        <f>INDEX(Combo_LWSGP,MATCH($K50,Combo_LWSGP_Name,0),4)</f>
        <v>0</v>
      </c>
      <c r="O50" s="32">
        <f t="shared" si="56"/>
        <v>0.7</v>
      </c>
      <c r="P50" s="33">
        <f>IF(AND(P40=0,P49=0),1,0)</f>
        <v>0</v>
      </c>
      <c r="Q50" s="31">
        <f t="shared" si="57"/>
        <v>8.5</v>
      </c>
      <c r="R50" s="32">
        <f t="shared" si="69"/>
        <v>0</v>
      </c>
      <c r="S50" s="33" cm="1">
        <f t="array" ref="S50">R50*$P50*INDEX(Month_Ref,Q$1-1,3)/365</f>
        <v>0</v>
      </c>
      <c r="T50" s="31">
        <f t="shared" si="58"/>
        <v>7.8</v>
      </c>
      <c r="U50" s="32">
        <f t="shared" si="70"/>
        <v>0</v>
      </c>
      <c r="V50" s="33" cm="1">
        <f t="array" ref="V50">U50*$P50*INDEX(Month_Ref,T$1-1,3)/365</f>
        <v>0</v>
      </c>
      <c r="W50" s="31">
        <f t="shared" si="59"/>
        <v>7.8</v>
      </c>
      <c r="X50" s="32">
        <f t="shared" si="71"/>
        <v>0</v>
      </c>
      <c r="Y50" s="33" cm="1">
        <f t="array" ref="Y50">X50*$P50*INDEX(Month_Ref,W$1-1,3)/365</f>
        <v>0</v>
      </c>
      <c r="Z50" s="31">
        <f t="shared" si="60"/>
        <v>7.8</v>
      </c>
      <c r="AA50" s="32">
        <f t="shared" si="72"/>
        <v>0</v>
      </c>
      <c r="AB50" s="33" cm="1">
        <f t="array" ref="AB50">AA50*$P50*INDEX(Month_Ref,Z$1-1,3)/365</f>
        <v>0</v>
      </c>
      <c r="AC50" s="31">
        <f t="shared" si="61"/>
        <v>7.6</v>
      </c>
      <c r="AD50" s="32">
        <f t="shared" si="73"/>
        <v>0</v>
      </c>
      <c r="AE50" s="33" cm="1">
        <f t="array" ref="AE50">AD50*$P50*INDEX(Month_Ref,AC$1-1,3)/365</f>
        <v>0</v>
      </c>
      <c r="AF50" s="31">
        <f t="shared" si="62"/>
        <v>7.8</v>
      </c>
      <c r="AG50" s="32">
        <f t="shared" si="74"/>
        <v>0</v>
      </c>
      <c r="AH50" s="33" cm="1">
        <f t="array" ref="AH50">AG50*$P50*INDEX(Month_Ref,AF$1-1,3)/365</f>
        <v>0</v>
      </c>
      <c r="AI50" s="31">
        <f t="shared" si="63"/>
        <v>8.1</v>
      </c>
      <c r="AJ50" s="32">
        <f t="shared" si="75"/>
        <v>0</v>
      </c>
      <c r="AK50" s="33" cm="1">
        <f t="array" ref="AK50">AJ50*$P50*INDEX(Month_Ref,AI$1-1,3)/365</f>
        <v>0</v>
      </c>
      <c r="AL50" s="31">
        <f t="shared" si="64"/>
        <v>7.2</v>
      </c>
      <c r="AM50" s="32">
        <f t="shared" si="76"/>
        <v>0</v>
      </c>
      <c r="AN50" s="33" cm="1">
        <f t="array" ref="AN50">AM50*$P50*INDEX(Month_Ref,AL$1-1,3)/365</f>
        <v>0</v>
      </c>
      <c r="AO50" s="31">
        <f t="shared" si="65"/>
        <v>6.7</v>
      </c>
      <c r="AP50" s="32">
        <f t="shared" si="77"/>
        <v>0</v>
      </c>
      <c r="AQ50" s="33" cm="1">
        <f t="array" ref="AQ50">AP50*$P50*INDEX(Month_Ref,AO$1-1,3)/365</f>
        <v>0</v>
      </c>
      <c r="AR50" s="31">
        <f t="shared" si="66"/>
        <v>6.7</v>
      </c>
      <c r="AS50" s="32">
        <f t="shared" si="78"/>
        <v>0</v>
      </c>
      <c r="AT50" s="33" cm="1">
        <f t="array" ref="AT50">AS50*$P50*INDEX(Month_Ref,AR$1-1,3)/365</f>
        <v>0</v>
      </c>
      <c r="AU50" s="31">
        <f t="shared" si="67"/>
        <v>7.8</v>
      </c>
      <c r="AV50" s="32">
        <f t="shared" si="79"/>
        <v>0</v>
      </c>
      <c r="AW50" s="33" cm="1">
        <f t="array" ref="AW50">AV50*$P50*INDEX(Month_Ref,AU$1-1,3)/365</f>
        <v>0</v>
      </c>
      <c r="AX50" s="31">
        <f t="shared" si="68"/>
        <v>8.6999999999999993</v>
      </c>
      <c r="AY50" s="32">
        <f t="shared" si="80"/>
        <v>0</v>
      </c>
      <c r="AZ50" s="33" cm="1">
        <f t="array" ref="AZ50">AY50*$P50*INDEX(Month_Ref,AX$1-1,3)/365</f>
        <v>0</v>
      </c>
      <c r="BA50" s="184">
        <f t="shared" si="54"/>
        <v>0</v>
      </c>
      <c r="BC50" s="20">
        <f t="shared" si="55"/>
        <v>44</v>
      </c>
    </row>
    <row r="51" spans="2:65" ht="15" thickBot="1" x14ac:dyDescent="0.45">
      <c r="B51" s="157"/>
      <c r="C51" s="158"/>
      <c r="D51" s="163"/>
      <c r="I51" s="163"/>
      <c r="J51" s="164"/>
      <c r="K51" s="164"/>
      <c r="L51" s="163"/>
      <c r="M51" s="163"/>
      <c r="N51" s="163"/>
      <c r="O51" s="163"/>
      <c r="Q51" s="195"/>
      <c r="R51" s="196" t="s">
        <v>1768</v>
      </c>
      <c r="S51" s="197">
        <f>SUM(S37:S50)</f>
        <v>10.232227396257125</v>
      </c>
      <c r="T51" s="195"/>
      <c r="U51" s="196" t="s">
        <v>1762</v>
      </c>
      <c r="V51" s="197">
        <f>SUM(V37:V50)</f>
        <v>8.60133170037175</v>
      </c>
      <c r="W51" s="195"/>
      <c r="X51" s="196" t="s">
        <v>1762</v>
      </c>
      <c r="Y51" s="197">
        <f>SUM(Y37:Y50)</f>
        <v>9.5229029539830101</v>
      </c>
      <c r="Z51" s="195"/>
      <c r="AA51" s="196" t="s">
        <v>1762</v>
      </c>
      <c r="AB51" s="197">
        <f>SUM(AB37:AB50)</f>
        <v>9.2157125361125889</v>
      </c>
      <c r="AC51" s="195"/>
      <c r="AD51" s="196" t="s">
        <v>1762</v>
      </c>
      <c r="AE51" s="197">
        <f>SUM(AE37:AE50)</f>
        <v>9.3343322060936877</v>
      </c>
      <c r="AF51" s="195"/>
      <c r="AG51" s="196" t="s">
        <v>1762</v>
      </c>
      <c r="AH51" s="197">
        <f>SUM(AH37:AH50)</f>
        <v>9.2157125361125889</v>
      </c>
      <c r="AI51" s="195"/>
      <c r="AJ51" s="196" t="s">
        <v>1762</v>
      </c>
      <c r="AK51" s="197">
        <f>SUM(AK37:AK50)</f>
        <v>9.8171112720774651</v>
      </c>
      <c r="AL51" s="195"/>
      <c r="AM51" s="196" t="s">
        <v>1762</v>
      </c>
      <c r="AN51" s="197">
        <f>SUM(AN37:AN50)</f>
        <v>8.9739985522642769</v>
      </c>
      <c r="AO51" s="195"/>
      <c r="AP51" s="196" t="s">
        <v>1762</v>
      </c>
      <c r="AQ51" s="197">
        <f>SUM(AQ37:AQ50)</f>
        <v>8.2762534921699888</v>
      </c>
      <c r="AR51" s="195"/>
      <c r="AS51" s="196" t="s">
        <v>1762</v>
      </c>
      <c r="AT51" s="197">
        <f>SUM(AT37:AT50)</f>
        <v>8.5521286085756554</v>
      </c>
      <c r="AU51" s="195"/>
      <c r="AV51" s="196" t="s">
        <v>1762</v>
      </c>
      <c r="AW51" s="197">
        <f>SUM(AW37:AW50)</f>
        <v>9.2157125361125889</v>
      </c>
      <c r="AX51" s="195"/>
      <c r="AY51" s="196" t="s">
        <v>1762</v>
      </c>
      <c r="AZ51" s="197">
        <f>SUM(AZ37:AZ50)</f>
        <v>10.45030341909202</v>
      </c>
      <c r="BA51" s="198">
        <f t="shared" si="54"/>
        <v>111.40772720922276</v>
      </c>
      <c r="BC51" s="194">
        <f t="shared" si="55"/>
        <v>45</v>
      </c>
      <c r="BD51" s="11"/>
      <c r="BE51" s="11"/>
      <c r="BF51" s="11"/>
      <c r="BG51" s="11"/>
      <c r="BH51" s="11"/>
      <c r="BI51" s="11"/>
      <c r="BJ51" s="11"/>
      <c r="BK51" s="11"/>
      <c r="BL51" s="11"/>
      <c r="BM51" s="11"/>
    </row>
    <row r="52" spans="2:65" ht="29.15" x14ac:dyDescent="0.4">
      <c r="B52" s="527" t="str" cm="1">
        <f t="array" ref="B52">INDEX(FLT_Cons,$BD52,$BE52)</f>
        <v>FLT - 4</v>
      </c>
      <c r="C52" s="530" t="str" cm="1">
        <f t="array" ref="C52">INDEX(FLT_Cons,$BD52,$BF52)</f>
        <v>INTANK 63</v>
      </c>
      <c r="D52" s="533" t="str" cm="1">
        <f t="array" ref="D52">INDEX(FLT_Cons,$BD52,$BG52)</f>
        <v>Portland</v>
      </c>
      <c r="E52" s="533" cm="1">
        <f t="array" ref="E52">INDEX(FLT_Cons,$BD52,$BH52)</f>
        <v>144</v>
      </c>
      <c r="F52" s="521" t="str" cm="1">
        <f t="array" ref="F52">INDEX(FLT_Cons,$BD52,$BI52)</f>
        <v>Internal Floating Roof</v>
      </c>
      <c r="G52" s="521" t="str" cm="1">
        <f t="array" ref="G52">INDEX(FLT_Cons,$BD52,$BJ52)</f>
        <v>N/A - IFR</v>
      </c>
      <c r="H52" s="521" t="str" cm="1">
        <f t="array" ref="H52">INDEX(FLT_Cons,$BD52,$BK52)</f>
        <v>Mechanical Shoe w/ Rim Mounted Secondary</v>
      </c>
      <c r="I52" s="524" t="str" cm="1">
        <f t="array" ref="I52">INDEX(FLT_Cons,$BD52,$BL52)</f>
        <v>IFR - Column Supported</v>
      </c>
      <c r="J52" s="177" t="s">
        <v>1660</v>
      </c>
      <c r="K52" s="174" t="s">
        <v>1663</v>
      </c>
      <c r="L52" s="14">
        <f>INDEX(Access_Hatch,MATCH($K52,Access_Hatch_Name,0),2)</f>
        <v>31</v>
      </c>
      <c r="M52" s="14">
        <f>INDEX(Access_Hatch,MATCH($K52,Access_Hatch_Name,0),3)</f>
        <v>5.2</v>
      </c>
      <c r="N52" s="14">
        <f>INDEX(Access_Hatch,MATCH($K52,Access_Hatch_Name,0),4)</f>
        <v>1.3</v>
      </c>
      <c r="O52" s="14">
        <f>IF($F52="External Floating Roof",0.7,0)</f>
        <v>0</v>
      </c>
      <c r="P52" s="30">
        <v>1</v>
      </c>
      <c r="Q52" s="29">
        <f>VLOOKUP(VLOOKUP($D52,Terminal_X_Ref,2,FALSE)&amp;"V",Weather_Data,Q$1,FALSE)</f>
        <v>8.5</v>
      </c>
      <c r="R52" s="14">
        <f>IFERROR($L52+$M52*($O52*Q52)^$N52,$L52)</f>
        <v>31</v>
      </c>
      <c r="S52" s="193" cm="1">
        <f t="array" ref="S52">R52*$P52*INDEX(Month_Ref,Q$1-1,3)/365</f>
        <v>2.6328767123287671</v>
      </c>
      <c r="T52" s="29">
        <f>VLOOKUP(VLOOKUP($D52,Terminal_X_Ref,2,FALSE)&amp;"V",Weather_Data,T$1,FALSE)</f>
        <v>7.8</v>
      </c>
      <c r="U52" s="14">
        <f>IFERROR($L52+$M52*($O52*T52)^$N52,$L52)</f>
        <v>31</v>
      </c>
      <c r="V52" s="193" cm="1">
        <f t="array" ref="V52">U52*$P52*INDEX(Month_Ref,T$1-1,3)/365</f>
        <v>2.3780821917808219</v>
      </c>
      <c r="W52" s="29">
        <f>VLOOKUP(VLOOKUP($D52,Terminal_X_Ref,2,FALSE)&amp;"V",Weather_Data,W$1,FALSE)</f>
        <v>7.8</v>
      </c>
      <c r="X52" s="14">
        <f>IFERROR($L52+$M52*($O52*W52)^$N52,$L52)</f>
        <v>31</v>
      </c>
      <c r="Y52" s="193" cm="1">
        <f t="array" ref="Y52">X52*$P52*INDEX(Month_Ref,W$1-1,3)/365</f>
        <v>2.6328767123287671</v>
      </c>
      <c r="Z52" s="29">
        <f>VLOOKUP(VLOOKUP($D52,Terminal_X_Ref,2,FALSE)&amp;"V",Weather_Data,Z$1,FALSE)</f>
        <v>7.8</v>
      </c>
      <c r="AA52" s="14">
        <f>IFERROR($L52+$M52*($O52*Z52)^$N52,$L52)</f>
        <v>31</v>
      </c>
      <c r="AB52" s="193" cm="1">
        <f t="array" ref="AB52">AA52*$P52*INDEX(Month_Ref,Z$1-1,3)/365</f>
        <v>2.547945205479452</v>
      </c>
      <c r="AC52" s="29">
        <f>VLOOKUP(VLOOKUP($D52,Terminal_X_Ref,2,FALSE)&amp;"V",Weather_Data,AC$1,FALSE)</f>
        <v>7.6</v>
      </c>
      <c r="AD52" s="14">
        <f>IFERROR($L52+$M52*($O52*AC52)^$N52,$L52)</f>
        <v>31</v>
      </c>
      <c r="AE52" s="193" cm="1">
        <f t="array" ref="AE52">AD52*$P52*INDEX(Month_Ref,AC$1-1,3)/365</f>
        <v>2.6328767123287671</v>
      </c>
      <c r="AF52" s="29">
        <f>VLOOKUP(VLOOKUP($D52,Terminal_X_Ref,2,FALSE)&amp;"V",Weather_Data,AF$1,FALSE)</f>
        <v>7.8</v>
      </c>
      <c r="AG52" s="14">
        <f>IFERROR($L52+$M52*($O52*AF52)^$N52,$L52)</f>
        <v>31</v>
      </c>
      <c r="AH52" s="193" cm="1">
        <f t="array" ref="AH52">AG52*$P52*INDEX(Month_Ref,AF$1-1,3)/365</f>
        <v>2.547945205479452</v>
      </c>
      <c r="AI52" s="29">
        <f>VLOOKUP(VLOOKUP($D52,Terminal_X_Ref,2,FALSE)&amp;"V",Weather_Data,AI$1,FALSE)</f>
        <v>8.1</v>
      </c>
      <c r="AJ52" s="14">
        <f>IFERROR($L52+$M52*($O52*AI52)^$N52,$L52)</f>
        <v>31</v>
      </c>
      <c r="AK52" s="193" cm="1">
        <f t="array" ref="AK52">AJ52*$P52*INDEX(Month_Ref,AI$1-1,3)/365</f>
        <v>2.6328767123287671</v>
      </c>
      <c r="AL52" s="29">
        <f>VLOOKUP(VLOOKUP($D52,Terminal_X_Ref,2,FALSE)&amp;"V",Weather_Data,AL$1,FALSE)</f>
        <v>7.2</v>
      </c>
      <c r="AM52" s="14">
        <f>IFERROR($L52+$M52*($O52*AL52)^$N52,$L52)</f>
        <v>31</v>
      </c>
      <c r="AN52" s="193" cm="1">
        <f t="array" ref="AN52">AM52*$P52*INDEX(Month_Ref,AL$1-1,3)/365</f>
        <v>2.6328767123287671</v>
      </c>
      <c r="AO52" s="29">
        <f>VLOOKUP(VLOOKUP($D52,Terminal_X_Ref,2,FALSE)&amp;"V",Weather_Data,AO$1,FALSE)</f>
        <v>6.7</v>
      </c>
      <c r="AP52" s="14">
        <f>IFERROR($L52+$M52*($O52*AO52)^$N52,$L52)</f>
        <v>31</v>
      </c>
      <c r="AQ52" s="193" cm="1">
        <f t="array" ref="AQ52">AP52*$P52*INDEX(Month_Ref,AO$1-1,3)/365</f>
        <v>2.547945205479452</v>
      </c>
      <c r="AR52" s="29">
        <f>VLOOKUP(VLOOKUP($D52,Terminal_X_Ref,2,FALSE)&amp;"V",Weather_Data,AR$1,FALSE)</f>
        <v>6.7</v>
      </c>
      <c r="AS52" s="14">
        <f>IFERROR($L52+$M52*($O52*AR52)^$N52,$L52)</f>
        <v>31</v>
      </c>
      <c r="AT52" s="193" cm="1">
        <f t="array" ref="AT52">AS52*$P52*INDEX(Month_Ref,AR$1-1,3)/365</f>
        <v>2.6328767123287671</v>
      </c>
      <c r="AU52" s="29">
        <f>VLOOKUP(VLOOKUP($D52,Terminal_X_Ref,2,FALSE)&amp;"V",Weather_Data,AU$1,FALSE)</f>
        <v>7.8</v>
      </c>
      <c r="AV52" s="14">
        <f>IFERROR($L52+$M52*($O52*AU52)^$N52,$L52)</f>
        <v>31</v>
      </c>
      <c r="AW52" s="193" cm="1">
        <f t="array" ref="AW52">AV52*$P52*INDEX(Month_Ref,AU$1-1,3)/365</f>
        <v>2.547945205479452</v>
      </c>
      <c r="AX52" s="29">
        <f>VLOOKUP(VLOOKUP($D52,Terminal_X_Ref,2,FALSE)&amp;"V",Weather_Data,AX$1,FALSE)</f>
        <v>8.6999999999999993</v>
      </c>
      <c r="AY52" s="14">
        <f>IFERROR($L52+$M52*($O52*AX52)^$N52,$L52)</f>
        <v>31</v>
      </c>
      <c r="AZ52" s="193" cm="1">
        <f t="array" ref="AZ52">AY52*$P52*INDEX(Month_Ref,AX$1-1,3)/365</f>
        <v>2.6328767123287671</v>
      </c>
      <c r="BA52" s="182">
        <f>S52+V52+Y52+AB52+AE52+AH52+AK52+AN52+AQ52+AT52+AW52+AZ52</f>
        <v>30.999999999999996</v>
      </c>
      <c r="BB52" s="25"/>
      <c r="BC52" s="20">
        <f>BC51+1</f>
        <v>46</v>
      </c>
      <c r="BD52">
        <f>BD37+1</f>
        <v>4</v>
      </c>
      <c r="BE52">
        <v>1</v>
      </c>
      <c r="BF52">
        <v>2</v>
      </c>
      <c r="BG52">
        <v>3</v>
      </c>
      <c r="BH52">
        <v>5</v>
      </c>
      <c r="BI52">
        <v>13</v>
      </c>
      <c r="BJ52">
        <v>16</v>
      </c>
      <c r="BK52">
        <v>17</v>
      </c>
      <c r="BL52">
        <v>19</v>
      </c>
      <c r="BM52">
        <v>21</v>
      </c>
    </row>
    <row r="53" spans="2:65" ht="29.15" x14ac:dyDescent="0.4">
      <c r="B53" s="528"/>
      <c r="C53" s="531"/>
      <c r="D53" s="534"/>
      <c r="E53" s="534"/>
      <c r="F53" s="522"/>
      <c r="G53" s="522"/>
      <c r="H53" s="522"/>
      <c r="I53" s="525"/>
      <c r="J53" s="178" t="s">
        <v>1664</v>
      </c>
      <c r="K53" s="168" t="s">
        <v>1669</v>
      </c>
      <c r="L53" s="63">
        <f>INDEX(FRSCW,MATCH($K53,FRSCW_Name,0),2)</f>
        <v>33</v>
      </c>
      <c r="M53" s="63">
        <f>INDEX(FRSCW,MATCH($K53,FRSCW_Name,0),3)</f>
        <v>0</v>
      </c>
      <c r="N53" s="63">
        <f>INDEX(FRSCW,MATCH($K53,FRSCW_Name,0),4)</f>
        <v>0</v>
      </c>
      <c r="O53" s="63">
        <f>O52</f>
        <v>0</v>
      </c>
      <c r="P53" s="64" cm="1">
        <f t="array" ref="P53">IF(F52&lt;&gt;"Internal Floating Roof",0,IF(ISBLANK(INDEX(FLT_Cons,$BD52,$BM52)),INDEX(Tbl_71_11,_xlfn.MINIFS(Tbl_71_11_Dia,Tbl_71_11_Max,"&gt;="&amp;$E52),4),INDEX(FLT_Cons,$BD52,$BM52)))</f>
        <v>9</v>
      </c>
      <c r="Q53" s="70">
        <f>Q52</f>
        <v>8.5</v>
      </c>
      <c r="R53" s="63">
        <f>IFERROR($L53+$M53*($O53*Q53)^$N53,$L53)</f>
        <v>33</v>
      </c>
      <c r="S53" s="64" cm="1">
        <f t="array" ref="S53">R53*$P53*INDEX(Month_Ref,Q$1-1,3)/365</f>
        <v>25.224657534246575</v>
      </c>
      <c r="T53" s="70">
        <f>T52</f>
        <v>7.8</v>
      </c>
      <c r="U53" s="63">
        <f>IFERROR($L53+$M53*($O53*T53)^$N53,$L53)</f>
        <v>33</v>
      </c>
      <c r="V53" s="64" cm="1">
        <f t="array" ref="V53">U53*$P53*INDEX(Month_Ref,T$1-1,3)/365</f>
        <v>22.783561643835615</v>
      </c>
      <c r="W53" s="70">
        <f>W52</f>
        <v>7.8</v>
      </c>
      <c r="X53" s="63">
        <f>IFERROR($L53+$M53*($O53*W53)^$N53,$L53)</f>
        <v>33</v>
      </c>
      <c r="Y53" s="64" cm="1">
        <f t="array" ref="Y53">X53*$P53*INDEX(Month_Ref,W$1-1,3)/365</f>
        <v>25.224657534246575</v>
      </c>
      <c r="Z53" s="70">
        <f>Z52</f>
        <v>7.8</v>
      </c>
      <c r="AA53" s="63">
        <f>IFERROR($L53+$M53*($O53*Z53)^$N53,$L53)</f>
        <v>33</v>
      </c>
      <c r="AB53" s="64" cm="1">
        <f t="array" ref="AB53">AA53*$P53*INDEX(Month_Ref,Z$1-1,3)/365</f>
        <v>24.410958904109588</v>
      </c>
      <c r="AC53" s="70">
        <f>AC52</f>
        <v>7.6</v>
      </c>
      <c r="AD53" s="63">
        <f>IFERROR($L53+$M53*($O53*AC53)^$N53,$L53)</f>
        <v>33</v>
      </c>
      <c r="AE53" s="64" cm="1">
        <f t="array" ref="AE53">AD53*$P53*INDEX(Month_Ref,AC$1-1,3)/365</f>
        <v>25.224657534246575</v>
      </c>
      <c r="AF53" s="70">
        <f>AF52</f>
        <v>7.8</v>
      </c>
      <c r="AG53" s="63">
        <f>IFERROR($L53+$M53*($O53*AF53)^$N53,$L53)</f>
        <v>33</v>
      </c>
      <c r="AH53" s="64" cm="1">
        <f t="array" ref="AH53">AG53*$P53*INDEX(Month_Ref,AF$1-1,3)/365</f>
        <v>24.410958904109588</v>
      </c>
      <c r="AI53" s="70">
        <f>AI52</f>
        <v>8.1</v>
      </c>
      <c r="AJ53" s="63">
        <f>IFERROR($L53+$M53*($O53*AI53)^$N53,$L53)</f>
        <v>33</v>
      </c>
      <c r="AK53" s="64" cm="1">
        <f t="array" ref="AK53">AJ53*$P53*INDEX(Month_Ref,AI$1-1,3)/365</f>
        <v>25.224657534246575</v>
      </c>
      <c r="AL53" s="70">
        <f>AL52</f>
        <v>7.2</v>
      </c>
      <c r="AM53" s="63">
        <f>IFERROR($L53+$M53*($O53*AL53)^$N53,$L53)</f>
        <v>33</v>
      </c>
      <c r="AN53" s="64" cm="1">
        <f t="array" ref="AN53">AM53*$P53*INDEX(Month_Ref,AL$1-1,3)/365</f>
        <v>25.224657534246575</v>
      </c>
      <c r="AO53" s="70">
        <f>AO52</f>
        <v>6.7</v>
      </c>
      <c r="AP53" s="63">
        <f>IFERROR($L53+$M53*($O53*AO53)^$N53,$L53)</f>
        <v>33</v>
      </c>
      <c r="AQ53" s="64" cm="1">
        <f t="array" ref="AQ53">AP53*$P53*INDEX(Month_Ref,AO$1-1,3)/365</f>
        <v>24.410958904109588</v>
      </c>
      <c r="AR53" s="70">
        <f>AR52</f>
        <v>6.7</v>
      </c>
      <c r="AS53" s="63">
        <f>IFERROR($L53+$M53*($O53*AR53)^$N53,$L53)</f>
        <v>33</v>
      </c>
      <c r="AT53" s="64" cm="1">
        <f t="array" ref="AT53">AS53*$P53*INDEX(Month_Ref,AR$1-1,3)/365</f>
        <v>25.224657534246575</v>
      </c>
      <c r="AU53" s="70">
        <f>AU52</f>
        <v>7.8</v>
      </c>
      <c r="AV53" s="63">
        <f>IFERROR($L53+$M53*($O53*AU53)^$N53,$L53)</f>
        <v>33</v>
      </c>
      <c r="AW53" s="64" cm="1">
        <f t="array" ref="AW53">AV53*$P53*INDEX(Month_Ref,AU$1-1,3)/365</f>
        <v>24.410958904109588</v>
      </c>
      <c r="AX53" s="70">
        <f>AX52</f>
        <v>8.6999999999999993</v>
      </c>
      <c r="AY53" s="63">
        <f>IFERROR($L53+$M53*($O53*AX53)^$N53,$L53)</f>
        <v>33</v>
      </c>
      <c r="AZ53" s="64" cm="1">
        <f t="array" ref="AZ53">AY53*$P53*INDEX(Month_Ref,AX$1-1,3)/365</f>
        <v>25.224657534246575</v>
      </c>
      <c r="BA53" s="183">
        <f t="shared" ref="BA53:BA66" si="81">S53+V53+Y53+AB53+AE53+AH53+AK53+AN53+AQ53+AT53+AW53+AZ53</f>
        <v>297</v>
      </c>
      <c r="BC53" s="20">
        <f t="shared" ref="BC53:BC66" si="82">BC52+1</f>
        <v>47</v>
      </c>
    </row>
    <row r="54" spans="2:65" ht="43.75" x14ac:dyDescent="0.4">
      <c r="B54" s="528"/>
      <c r="C54" s="531"/>
      <c r="D54" s="534"/>
      <c r="E54" s="534"/>
      <c r="F54" s="522"/>
      <c r="G54" s="522"/>
      <c r="H54" s="522"/>
      <c r="I54" s="525"/>
      <c r="J54" s="178" t="s">
        <v>1670</v>
      </c>
      <c r="K54" s="168" t="s">
        <v>1582</v>
      </c>
      <c r="L54" s="63">
        <f>INDEX(USGPW,MATCH($K54,USGPW_Name,0),2)</f>
        <v>0</v>
      </c>
      <c r="M54" s="63">
        <f>INDEX(USGPW,MATCH($K54,USGPW_Name,0),3)</f>
        <v>0</v>
      </c>
      <c r="N54" s="63">
        <f>INDEX(USGPW,MATCH($K54,USGPW_Name,0),4)</f>
        <v>0</v>
      </c>
      <c r="O54" s="63">
        <f t="shared" ref="O54:O65" si="83">O53</f>
        <v>0</v>
      </c>
      <c r="P54" s="64">
        <v>1</v>
      </c>
      <c r="Q54" s="70">
        <f t="shared" ref="Q54:Q65" si="84">Q53</f>
        <v>8.5</v>
      </c>
      <c r="R54" s="185">
        <f>IFERROR($L54+$M54*($O54*Q54)^$N54,$L54)</f>
        <v>0</v>
      </c>
      <c r="S54" s="186" cm="1">
        <f t="array" ref="S54">R54*$P54*INDEX(Month_Ref,Q$1-1,3)/365</f>
        <v>0</v>
      </c>
      <c r="T54" s="70">
        <f t="shared" ref="T54:T65" si="85">T53</f>
        <v>7.8</v>
      </c>
      <c r="U54" s="185">
        <f>IFERROR($L54+$M54*($O54*T54)^$N54,$L54)</f>
        <v>0</v>
      </c>
      <c r="V54" s="186" cm="1">
        <f t="array" ref="V54">U54*$P54*INDEX(Month_Ref,T$1-1,3)/365</f>
        <v>0</v>
      </c>
      <c r="W54" s="70">
        <f t="shared" ref="W54:W65" si="86">W53</f>
        <v>7.8</v>
      </c>
      <c r="X54" s="185">
        <f>IFERROR($L54+$M54*($O54*W54)^$N54,$L54)</f>
        <v>0</v>
      </c>
      <c r="Y54" s="186" cm="1">
        <f t="array" ref="Y54">X54*$P54*INDEX(Month_Ref,W$1-1,3)/365</f>
        <v>0</v>
      </c>
      <c r="Z54" s="70">
        <f t="shared" ref="Z54:Z65" si="87">Z53</f>
        <v>7.8</v>
      </c>
      <c r="AA54" s="185">
        <f>IFERROR($L54+$M54*($O54*Z54)^$N54,$L54)</f>
        <v>0</v>
      </c>
      <c r="AB54" s="186" cm="1">
        <f t="array" ref="AB54">AA54*$P54*INDEX(Month_Ref,Z$1-1,3)/365</f>
        <v>0</v>
      </c>
      <c r="AC54" s="70">
        <f t="shared" ref="AC54:AC65" si="88">AC53</f>
        <v>7.6</v>
      </c>
      <c r="AD54" s="185">
        <f>IFERROR($L54+$M54*($O54*AC54)^$N54,$L54)</f>
        <v>0</v>
      </c>
      <c r="AE54" s="186" cm="1">
        <f t="array" ref="AE54">AD54*$P54*INDEX(Month_Ref,AC$1-1,3)/365</f>
        <v>0</v>
      </c>
      <c r="AF54" s="70">
        <f t="shared" ref="AF54:AF65" si="89">AF53</f>
        <v>7.8</v>
      </c>
      <c r="AG54" s="185">
        <f>IFERROR($L54+$M54*($O54*AF54)^$N54,$L54)</f>
        <v>0</v>
      </c>
      <c r="AH54" s="186" cm="1">
        <f t="array" ref="AH54">AG54*$P54*INDEX(Month_Ref,AF$1-1,3)/365</f>
        <v>0</v>
      </c>
      <c r="AI54" s="70">
        <f t="shared" ref="AI54:AI65" si="90">AI53</f>
        <v>8.1</v>
      </c>
      <c r="AJ54" s="185">
        <f>IFERROR($L54+$M54*($O54*AI54)^$N54,$L54)</f>
        <v>0</v>
      </c>
      <c r="AK54" s="186" cm="1">
        <f t="array" ref="AK54">AJ54*$P54*INDEX(Month_Ref,AI$1-1,3)/365</f>
        <v>0</v>
      </c>
      <c r="AL54" s="70">
        <f t="shared" ref="AL54:AL65" si="91">AL53</f>
        <v>7.2</v>
      </c>
      <c r="AM54" s="185">
        <f>IFERROR($L54+$M54*($O54*AL54)^$N54,$L54)</f>
        <v>0</v>
      </c>
      <c r="AN54" s="186" cm="1">
        <f t="array" ref="AN54">AM54*$P54*INDEX(Month_Ref,AL$1-1,3)/365</f>
        <v>0</v>
      </c>
      <c r="AO54" s="70">
        <f t="shared" ref="AO54:AO65" si="92">AO53</f>
        <v>6.7</v>
      </c>
      <c r="AP54" s="185">
        <f>IFERROR($L54+$M54*($O54*AO54)^$N54,$L54)</f>
        <v>0</v>
      </c>
      <c r="AQ54" s="186" cm="1">
        <f t="array" ref="AQ54">AP54*$P54*INDEX(Month_Ref,AO$1-1,3)/365</f>
        <v>0</v>
      </c>
      <c r="AR54" s="70">
        <f t="shared" ref="AR54:AR65" si="93">AR53</f>
        <v>6.7</v>
      </c>
      <c r="AS54" s="185">
        <f>IFERROR($L54+$M54*($O54*AR54)^$N54,$L54)</f>
        <v>0</v>
      </c>
      <c r="AT54" s="186" cm="1">
        <f t="array" ref="AT54">AS54*$P54*INDEX(Month_Ref,AR$1-1,3)/365</f>
        <v>0</v>
      </c>
      <c r="AU54" s="70">
        <f t="shared" ref="AU54:AU65" si="94">AU53</f>
        <v>7.8</v>
      </c>
      <c r="AV54" s="185">
        <f>IFERROR($L54+$M54*($O54*AU54)^$N54,$L54)</f>
        <v>0</v>
      </c>
      <c r="AW54" s="186" cm="1">
        <f t="array" ref="AW54">AV54*$P54*INDEX(Month_Ref,AU$1-1,3)/365</f>
        <v>0</v>
      </c>
      <c r="AX54" s="70">
        <f t="shared" ref="AX54:AX65" si="95">AX53</f>
        <v>8.6999999999999993</v>
      </c>
      <c r="AY54" s="185">
        <f>IFERROR($L54+$M54*($O54*AX54)^$N54,$L54)</f>
        <v>0</v>
      </c>
      <c r="AZ54" s="186" cm="1">
        <f t="array" ref="AZ54">AY54*$P54*INDEX(Month_Ref,AX$1-1,3)/365</f>
        <v>0</v>
      </c>
      <c r="BA54" s="186">
        <f t="shared" si="81"/>
        <v>0</v>
      </c>
      <c r="BC54" s="20">
        <f t="shared" si="82"/>
        <v>48</v>
      </c>
    </row>
    <row r="55" spans="2:65" ht="29.15" x14ac:dyDescent="0.4">
      <c r="B55" s="528"/>
      <c r="C55" s="531"/>
      <c r="D55" s="534"/>
      <c r="E55" s="534"/>
      <c r="F55" s="522"/>
      <c r="G55" s="522"/>
      <c r="H55" s="522"/>
      <c r="I55" s="525"/>
      <c r="J55" s="178" t="s">
        <v>1676</v>
      </c>
      <c r="K55" s="168" t="s">
        <v>1647</v>
      </c>
      <c r="L55" s="63">
        <f>INDEX(SGPW,MATCH($K55,SGPW_Name,0),2)</f>
        <v>43</v>
      </c>
      <c r="M55" s="63">
        <f>INDEX(SGPW,MATCH($K55,SGPW_Name,0),3)</f>
        <v>270</v>
      </c>
      <c r="N55" s="63">
        <f>INDEX(SGPW,MATCH($K55,SGPW_Name,0),4)</f>
        <v>1.4</v>
      </c>
      <c r="O55" s="63">
        <f t="shared" si="83"/>
        <v>0</v>
      </c>
      <c r="P55" s="64">
        <v>1</v>
      </c>
      <c r="Q55" s="70">
        <f t="shared" si="84"/>
        <v>8.5</v>
      </c>
      <c r="R55" s="63">
        <f>IFERROR($L55+$M55*($O55*Q55)^$N55,$L55)</f>
        <v>43</v>
      </c>
      <c r="S55" s="64" cm="1">
        <f t="array" ref="S55">R55*$P55*INDEX(Month_Ref,Q$1-1,3)/365</f>
        <v>3.6520547945205482</v>
      </c>
      <c r="T55" s="70">
        <f t="shared" si="85"/>
        <v>7.8</v>
      </c>
      <c r="U55" s="63">
        <f>IFERROR($L55+$M55*($O55*T55)^$N55,$L55)</f>
        <v>43</v>
      </c>
      <c r="V55" s="64" cm="1">
        <f t="array" ref="V55">U55*$P55*INDEX(Month_Ref,T$1-1,3)/365</f>
        <v>3.2986301369863016</v>
      </c>
      <c r="W55" s="70">
        <f t="shared" si="86"/>
        <v>7.8</v>
      </c>
      <c r="X55" s="63">
        <f>IFERROR($L55+$M55*($O55*W55)^$N55,$L55)</f>
        <v>43</v>
      </c>
      <c r="Y55" s="64" cm="1">
        <f t="array" ref="Y55">X55*$P55*INDEX(Month_Ref,W$1-1,3)/365</f>
        <v>3.6520547945205482</v>
      </c>
      <c r="Z55" s="70">
        <f t="shared" si="87"/>
        <v>7.8</v>
      </c>
      <c r="AA55" s="63">
        <f>IFERROR($L55+$M55*($O55*Z55)^$N55,$L55)</f>
        <v>43</v>
      </c>
      <c r="AB55" s="64" cm="1">
        <f t="array" ref="AB55">AA55*$P55*INDEX(Month_Ref,Z$1-1,3)/365</f>
        <v>3.5342465753424657</v>
      </c>
      <c r="AC55" s="70">
        <f t="shared" si="88"/>
        <v>7.6</v>
      </c>
      <c r="AD55" s="63">
        <f>IFERROR($L55+$M55*($O55*AC55)^$N55,$L55)</f>
        <v>43</v>
      </c>
      <c r="AE55" s="64" cm="1">
        <f t="array" ref="AE55">AD55*$P55*INDEX(Month_Ref,AC$1-1,3)/365</f>
        <v>3.6520547945205482</v>
      </c>
      <c r="AF55" s="70">
        <f t="shared" si="89"/>
        <v>7.8</v>
      </c>
      <c r="AG55" s="63">
        <f>IFERROR($L55+$M55*($O55*AF55)^$N55,$L55)</f>
        <v>43</v>
      </c>
      <c r="AH55" s="64" cm="1">
        <f t="array" ref="AH55">AG55*$P55*INDEX(Month_Ref,AF$1-1,3)/365</f>
        <v>3.5342465753424657</v>
      </c>
      <c r="AI55" s="70">
        <f t="shared" si="90"/>
        <v>8.1</v>
      </c>
      <c r="AJ55" s="63">
        <f>IFERROR($L55+$M55*($O55*AI55)^$N55,$L55)</f>
        <v>43</v>
      </c>
      <c r="AK55" s="64" cm="1">
        <f t="array" ref="AK55">AJ55*$P55*INDEX(Month_Ref,AI$1-1,3)/365</f>
        <v>3.6520547945205482</v>
      </c>
      <c r="AL55" s="70">
        <f t="shared" si="91"/>
        <v>7.2</v>
      </c>
      <c r="AM55" s="63">
        <f>IFERROR($L55+$M55*($O55*AL55)^$N55,$L55)</f>
        <v>43</v>
      </c>
      <c r="AN55" s="64" cm="1">
        <f t="array" ref="AN55">AM55*$P55*INDEX(Month_Ref,AL$1-1,3)/365</f>
        <v>3.6520547945205482</v>
      </c>
      <c r="AO55" s="70">
        <f t="shared" si="92"/>
        <v>6.7</v>
      </c>
      <c r="AP55" s="63">
        <f>IFERROR($L55+$M55*($O55*AO55)^$N55,$L55)</f>
        <v>43</v>
      </c>
      <c r="AQ55" s="64" cm="1">
        <f t="array" ref="AQ55">AP55*$P55*INDEX(Month_Ref,AO$1-1,3)/365</f>
        <v>3.5342465753424657</v>
      </c>
      <c r="AR55" s="70">
        <f t="shared" si="93"/>
        <v>6.7</v>
      </c>
      <c r="AS55" s="63">
        <f>IFERROR($L55+$M55*($O55*AR55)^$N55,$L55)</f>
        <v>43</v>
      </c>
      <c r="AT55" s="64" cm="1">
        <f t="array" ref="AT55">AS55*$P55*INDEX(Month_Ref,AR$1-1,3)/365</f>
        <v>3.6520547945205482</v>
      </c>
      <c r="AU55" s="70">
        <f t="shared" si="94"/>
        <v>7.8</v>
      </c>
      <c r="AV55" s="63">
        <f>IFERROR($L55+$M55*($O55*AU55)^$N55,$L55)</f>
        <v>43</v>
      </c>
      <c r="AW55" s="64" cm="1">
        <f t="array" ref="AW55">AV55*$P55*INDEX(Month_Ref,AU$1-1,3)/365</f>
        <v>3.5342465753424657</v>
      </c>
      <c r="AX55" s="70">
        <f t="shared" si="95"/>
        <v>8.6999999999999993</v>
      </c>
      <c r="AY55" s="63">
        <f>IFERROR($L55+$M55*($O55*AX55)^$N55,$L55)</f>
        <v>43</v>
      </c>
      <c r="AZ55" s="64" cm="1">
        <f t="array" ref="AZ55">AY55*$P55*INDEX(Month_Ref,AX$1-1,3)/365</f>
        <v>3.6520547945205482</v>
      </c>
      <c r="BA55" s="183">
        <f t="shared" si="81"/>
        <v>42.999999999999993</v>
      </c>
      <c r="BC55" s="20">
        <f t="shared" si="82"/>
        <v>49</v>
      </c>
    </row>
    <row r="56" spans="2:65" x14ac:dyDescent="0.4">
      <c r="B56" s="528"/>
      <c r="C56" s="531"/>
      <c r="D56" s="534"/>
      <c r="E56" s="534"/>
      <c r="F56" s="522"/>
      <c r="G56" s="522"/>
      <c r="H56" s="522"/>
      <c r="I56" s="525"/>
      <c r="J56" s="178" t="s">
        <v>1682</v>
      </c>
      <c r="K56" s="168" t="s">
        <v>1661</v>
      </c>
      <c r="L56" s="63">
        <f>INDEX(GFW,MATCH($K56,GFW_Name,0),2)</f>
        <v>2.8</v>
      </c>
      <c r="M56" s="63">
        <f>INDEX(GFW,MATCH($K56,GFW_Name,0),3)</f>
        <v>0</v>
      </c>
      <c r="N56" s="63">
        <f>INDEX(GFW,MATCH($K56,GFW_Name,0),4)</f>
        <v>0</v>
      </c>
      <c r="O56" s="63">
        <f t="shared" si="83"/>
        <v>0</v>
      </c>
      <c r="P56" s="64">
        <v>1</v>
      </c>
      <c r="Q56" s="70">
        <f t="shared" si="84"/>
        <v>8.5</v>
      </c>
      <c r="R56" s="187">
        <f t="shared" ref="R56:R65" si="96">IFERROR($L56+$M56*($O56*Q56)^$N56,$L56)</f>
        <v>2.8</v>
      </c>
      <c r="S56" s="189" cm="1">
        <f t="array" ref="S56">R56*$P56*INDEX(Month_Ref,Q$1-1,3)/365</f>
        <v>0.23780821917808218</v>
      </c>
      <c r="T56" s="70">
        <f t="shared" si="85"/>
        <v>7.8</v>
      </c>
      <c r="U56" s="187">
        <f t="shared" ref="U56:U65" si="97">IFERROR($L56+$M56*($O56*T56)^$N56,$L56)</f>
        <v>2.8</v>
      </c>
      <c r="V56" s="189" cm="1">
        <f t="array" ref="V56">U56*$P56*INDEX(Month_Ref,T$1-1,3)/365</f>
        <v>0.21479452054794518</v>
      </c>
      <c r="W56" s="70">
        <f t="shared" si="86"/>
        <v>7.8</v>
      </c>
      <c r="X56" s="187">
        <f t="shared" ref="X56:X65" si="98">IFERROR($L56+$M56*($O56*W56)^$N56,$L56)</f>
        <v>2.8</v>
      </c>
      <c r="Y56" s="189" cm="1">
        <f t="array" ref="Y56">X56*$P56*INDEX(Month_Ref,W$1-1,3)/365</f>
        <v>0.23780821917808218</v>
      </c>
      <c r="Z56" s="70">
        <f t="shared" si="87"/>
        <v>7.8</v>
      </c>
      <c r="AA56" s="187">
        <f t="shared" ref="AA56:AA65" si="99">IFERROR($L56+$M56*($O56*Z56)^$N56,$L56)</f>
        <v>2.8</v>
      </c>
      <c r="AB56" s="189" cm="1">
        <f t="array" ref="AB56">AA56*$P56*INDEX(Month_Ref,Z$1-1,3)/365</f>
        <v>0.23013698630136986</v>
      </c>
      <c r="AC56" s="70">
        <f t="shared" si="88"/>
        <v>7.6</v>
      </c>
      <c r="AD56" s="187">
        <f t="shared" ref="AD56:AD65" si="100">IFERROR($L56+$M56*($O56*AC56)^$N56,$L56)</f>
        <v>2.8</v>
      </c>
      <c r="AE56" s="189" cm="1">
        <f t="array" ref="AE56">AD56*$P56*INDEX(Month_Ref,AC$1-1,3)/365</f>
        <v>0.23780821917808218</v>
      </c>
      <c r="AF56" s="70">
        <f t="shared" si="89"/>
        <v>7.8</v>
      </c>
      <c r="AG56" s="187">
        <f t="shared" ref="AG56:AG65" si="101">IFERROR($L56+$M56*($O56*AF56)^$N56,$L56)</f>
        <v>2.8</v>
      </c>
      <c r="AH56" s="189" cm="1">
        <f t="array" ref="AH56">AG56*$P56*INDEX(Month_Ref,AF$1-1,3)/365</f>
        <v>0.23013698630136986</v>
      </c>
      <c r="AI56" s="70">
        <f t="shared" si="90"/>
        <v>8.1</v>
      </c>
      <c r="AJ56" s="187">
        <f t="shared" ref="AJ56:AJ65" si="102">IFERROR($L56+$M56*($O56*AI56)^$N56,$L56)</f>
        <v>2.8</v>
      </c>
      <c r="AK56" s="189" cm="1">
        <f t="array" ref="AK56">AJ56*$P56*INDEX(Month_Ref,AI$1-1,3)/365</f>
        <v>0.23780821917808218</v>
      </c>
      <c r="AL56" s="70">
        <f t="shared" si="91"/>
        <v>7.2</v>
      </c>
      <c r="AM56" s="187">
        <f t="shared" ref="AM56:AM65" si="103">IFERROR($L56+$M56*($O56*AL56)^$N56,$L56)</f>
        <v>2.8</v>
      </c>
      <c r="AN56" s="189" cm="1">
        <f t="array" ref="AN56">AM56*$P56*INDEX(Month_Ref,AL$1-1,3)/365</f>
        <v>0.23780821917808218</v>
      </c>
      <c r="AO56" s="70">
        <f t="shared" si="92"/>
        <v>6.7</v>
      </c>
      <c r="AP56" s="187">
        <f t="shared" ref="AP56:AP65" si="104">IFERROR($L56+$M56*($O56*AO56)^$N56,$L56)</f>
        <v>2.8</v>
      </c>
      <c r="AQ56" s="189" cm="1">
        <f t="array" ref="AQ56">AP56*$P56*INDEX(Month_Ref,AO$1-1,3)/365</f>
        <v>0.23013698630136986</v>
      </c>
      <c r="AR56" s="70">
        <f t="shared" si="93"/>
        <v>6.7</v>
      </c>
      <c r="AS56" s="187">
        <f t="shared" ref="AS56:AS65" si="105">IFERROR($L56+$M56*($O56*AR56)^$N56,$L56)</f>
        <v>2.8</v>
      </c>
      <c r="AT56" s="189" cm="1">
        <f t="array" ref="AT56">AS56*$P56*INDEX(Month_Ref,AR$1-1,3)/365</f>
        <v>0.23780821917808218</v>
      </c>
      <c r="AU56" s="70">
        <f t="shared" si="94"/>
        <v>7.8</v>
      </c>
      <c r="AV56" s="187">
        <f t="shared" ref="AV56:AV65" si="106">IFERROR($L56+$M56*($O56*AU56)^$N56,$L56)</f>
        <v>2.8</v>
      </c>
      <c r="AW56" s="189" cm="1">
        <f t="array" ref="AW56">AV56*$P56*INDEX(Month_Ref,AU$1-1,3)/365</f>
        <v>0.23013698630136986</v>
      </c>
      <c r="AX56" s="70">
        <f t="shared" si="95"/>
        <v>8.6999999999999993</v>
      </c>
      <c r="AY56" s="187">
        <f t="shared" ref="AY56:AY65" si="107">IFERROR($L56+$M56*($O56*AX56)^$N56,$L56)</f>
        <v>2.8</v>
      </c>
      <c r="AZ56" s="189" cm="1">
        <f t="array" ref="AZ56">AY56*$P56*INDEX(Month_Ref,AX$1-1,3)/365</f>
        <v>0.23780821917808218</v>
      </c>
      <c r="BA56" s="183">
        <f t="shared" si="81"/>
        <v>2.8</v>
      </c>
      <c r="BC56" s="20">
        <f t="shared" si="82"/>
        <v>50</v>
      </c>
    </row>
    <row r="57" spans="2:65" ht="29.15" x14ac:dyDescent="0.4">
      <c r="B57" s="528"/>
      <c r="C57" s="531"/>
      <c r="D57" s="534"/>
      <c r="E57" s="534"/>
      <c r="F57" s="522"/>
      <c r="G57" s="522"/>
      <c r="H57" s="522"/>
      <c r="I57" s="525"/>
      <c r="J57" s="179" t="s">
        <v>1683</v>
      </c>
      <c r="K57" s="168" t="s">
        <v>1684</v>
      </c>
      <c r="L57" s="63">
        <f>INDEX(GHSP,MATCH($K57,GHSP_Name,0),2)</f>
        <v>0.47</v>
      </c>
      <c r="M57" s="63">
        <f>INDEX(GHSP,MATCH($K57,GHSP_Name,0),3)</f>
        <v>0.02</v>
      </c>
      <c r="N57" s="63">
        <f>INDEX(GHSP,MATCH($K57,GHSP_Name,0),4)</f>
        <v>0.97</v>
      </c>
      <c r="O57" s="63">
        <f t="shared" si="83"/>
        <v>0</v>
      </c>
      <c r="P57" s="64">
        <v>1</v>
      </c>
      <c r="Q57" s="70">
        <f t="shared" si="84"/>
        <v>8.5</v>
      </c>
      <c r="R57" s="190">
        <f t="shared" si="96"/>
        <v>0.47</v>
      </c>
      <c r="S57" s="191" cm="1">
        <f t="array" ref="S57">R57*$P57*INDEX(Month_Ref,Q$1-1,3)/365</f>
        <v>3.9917808219178078E-2</v>
      </c>
      <c r="T57" s="70">
        <f t="shared" si="85"/>
        <v>7.8</v>
      </c>
      <c r="U57" s="190">
        <f t="shared" si="97"/>
        <v>0.47</v>
      </c>
      <c r="V57" s="191" cm="1">
        <f t="array" ref="V57">U57*$P57*INDEX(Month_Ref,T$1-1,3)/365</f>
        <v>3.6054794520547946E-2</v>
      </c>
      <c r="W57" s="70">
        <f t="shared" si="86"/>
        <v>7.8</v>
      </c>
      <c r="X57" s="190">
        <f t="shared" si="98"/>
        <v>0.47</v>
      </c>
      <c r="Y57" s="191" cm="1">
        <f t="array" ref="Y57">X57*$P57*INDEX(Month_Ref,W$1-1,3)/365</f>
        <v>3.9917808219178078E-2</v>
      </c>
      <c r="Z57" s="70">
        <f t="shared" si="87"/>
        <v>7.8</v>
      </c>
      <c r="AA57" s="190">
        <f t="shared" si="99"/>
        <v>0.47</v>
      </c>
      <c r="AB57" s="191" cm="1">
        <f t="array" ref="AB57">AA57*$P57*INDEX(Month_Ref,Z$1-1,3)/365</f>
        <v>3.8630136986301369E-2</v>
      </c>
      <c r="AC57" s="70">
        <f t="shared" si="88"/>
        <v>7.6</v>
      </c>
      <c r="AD57" s="190">
        <f t="shared" si="100"/>
        <v>0.47</v>
      </c>
      <c r="AE57" s="191" cm="1">
        <f t="array" ref="AE57">AD57*$P57*INDEX(Month_Ref,AC$1-1,3)/365</f>
        <v>3.9917808219178078E-2</v>
      </c>
      <c r="AF57" s="70">
        <f t="shared" si="89"/>
        <v>7.8</v>
      </c>
      <c r="AG57" s="190">
        <f t="shared" si="101"/>
        <v>0.47</v>
      </c>
      <c r="AH57" s="191" cm="1">
        <f t="array" ref="AH57">AG57*$P57*INDEX(Month_Ref,AF$1-1,3)/365</f>
        <v>3.8630136986301369E-2</v>
      </c>
      <c r="AI57" s="70">
        <f t="shared" si="90"/>
        <v>8.1</v>
      </c>
      <c r="AJ57" s="190">
        <f t="shared" si="102"/>
        <v>0.47</v>
      </c>
      <c r="AK57" s="191" cm="1">
        <f t="array" ref="AK57">AJ57*$P57*INDEX(Month_Ref,AI$1-1,3)/365</f>
        <v>3.9917808219178078E-2</v>
      </c>
      <c r="AL57" s="70">
        <f t="shared" si="91"/>
        <v>7.2</v>
      </c>
      <c r="AM57" s="190">
        <f t="shared" si="103"/>
        <v>0.47</v>
      </c>
      <c r="AN57" s="191" cm="1">
        <f t="array" ref="AN57">AM57*$P57*INDEX(Month_Ref,AL$1-1,3)/365</f>
        <v>3.9917808219178078E-2</v>
      </c>
      <c r="AO57" s="70">
        <f t="shared" si="92"/>
        <v>6.7</v>
      </c>
      <c r="AP57" s="190">
        <f t="shared" si="104"/>
        <v>0.47</v>
      </c>
      <c r="AQ57" s="191" cm="1">
        <f t="array" ref="AQ57">AP57*$P57*INDEX(Month_Ref,AO$1-1,3)/365</f>
        <v>3.8630136986301369E-2</v>
      </c>
      <c r="AR57" s="70">
        <f t="shared" si="93"/>
        <v>6.7</v>
      </c>
      <c r="AS57" s="190">
        <f t="shared" si="105"/>
        <v>0.47</v>
      </c>
      <c r="AT57" s="191" cm="1">
        <f t="array" ref="AT57">AS57*$P57*INDEX(Month_Ref,AR$1-1,3)/365</f>
        <v>3.9917808219178078E-2</v>
      </c>
      <c r="AU57" s="70">
        <f t="shared" si="94"/>
        <v>7.8</v>
      </c>
      <c r="AV57" s="190">
        <f t="shared" si="106"/>
        <v>0.47</v>
      </c>
      <c r="AW57" s="191" cm="1">
        <f t="array" ref="AW57">AV57*$P57*INDEX(Month_Ref,AU$1-1,3)/365</f>
        <v>3.8630136986301369E-2</v>
      </c>
      <c r="AX57" s="70">
        <f t="shared" si="95"/>
        <v>8.6999999999999993</v>
      </c>
      <c r="AY57" s="190">
        <f t="shared" si="107"/>
        <v>0.47</v>
      </c>
      <c r="AZ57" s="191" cm="1">
        <f t="array" ref="AZ57">AY57*$P57*INDEX(Month_Ref,AX$1-1,3)/365</f>
        <v>3.9917808219178078E-2</v>
      </c>
      <c r="BA57" s="183">
        <f t="shared" si="81"/>
        <v>0.46999999999999986</v>
      </c>
      <c r="BC57" s="20">
        <f t="shared" si="82"/>
        <v>51</v>
      </c>
    </row>
    <row r="58" spans="2:65" ht="29.15" x14ac:dyDescent="0.4">
      <c r="B58" s="528"/>
      <c r="C58" s="531"/>
      <c r="D58" s="534"/>
      <c r="E58" s="534"/>
      <c r="F58" s="522"/>
      <c r="G58" s="522"/>
      <c r="H58" s="522"/>
      <c r="I58" s="525"/>
      <c r="J58" s="179" t="s">
        <v>1687</v>
      </c>
      <c r="K58" s="168" t="s">
        <v>1684</v>
      </c>
      <c r="L58" s="63">
        <f>INDEX(Vac_Break,MATCH($K58,Vac_Break_Name,0),2)</f>
        <v>6.2</v>
      </c>
      <c r="M58" s="63">
        <f>INDEX(Vac_Break,MATCH($K58,Vac_Break_Name,0),3)</f>
        <v>1.2</v>
      </c>
      <c r="N58" s="63">
        <f>INDEX(Vac_Break,MATCH($K58,Vac_Break_Name,0),4)</f>
        <v>0.94</v>
      </c>
      <c r="O58" s="63">
        <f t="shared" si="83"/>
        <v>0</v>
      </c>
      <c r="P58" s="64" cm="1">
        <f t="array" ref="P58">IF(F52="Internal Floating Roof",1,INDEX(Tbl_71_13,_xlfn.MINIFS(Tbl_71_13_Range,Tbl_71_13_Dia,"&gt;="&amp;$E52),IF(G52="Pontoon",3,4)))</f>
        <v>1</v>
      </c>
      <c r="Q58" s="70">
        <f t="shared" si="84"/>
        <v>8.5</v>
      </c>
      <c r="R58" s="187">
        <f t="shared" si="96"/>
        <v>6.2</v>
      </c>
      <c r="S58" s="189" cm="1">
        <f t="array" ref="S58">R58*$P58*INDEX(Month_Ref,Q$1-1,3)/365</f>
        <v>0.52657534246575344</v>
      </c>
      <c r="T58" s="70">
        <f t="shared" si="85"/>
        <v>7.8</v>
      </c>
      <c r="U58" s="187">
        <f t="shared" si="97"/>
        <v>6.2</v>
      </c>
      <c r="V58" s="189" cm="1">
        <f t="array" ref="V58">U58*$P58*INDEX(Month_Ref,T$1-1,3)/365</f>
        <v>0.47561643835616435</v>
      </c>
      <c r="W58" s="70">
        <f t="shared" si="86"/>
        <v>7.8</v>
      </c>
      <c r="X58" s="187">
        <f t="shared" si="98"/>
        <v>6.2</v>
      </c>
      <c r="Y58" s="189" cm="1">
        <f t="array" ref="Y58">X58*$P58*INDEX(Month_Ref,W$1-1,3)/365</f>
        <v>0.52657534246575344</v>
      </c>
      <c r="Z58" s="70">
        <f t="shared" si="87"/>
        <v>7.8</v>
      </c>
      <c r="AA58" s="187">
        <f t="shared" si="99"/>
        <v>6.2</v>
      </c>
      <c r="AB58" s="189" cm="1">
        <f t="array" ref="AB58">AA58*$P58*INDEX(Month_Ref,Z$1-1,3)/365</f>
        <v>0.50958904109589043</v>
      </c>
      <c r="AC58" s="70">
        <f t="shared" si="88"/>
        <v>7.6</v>
      </c>
      <c r="AD58" s="187">
        <f t="shared" si="100"/>
        <v>6.2</v>
      </c>
      <c r="AE58" s="189" cm="1">
        <f t="array" ref="AE58">AD58*$P58*INDEX(Month_Ref,AC$1-1,3)/365</f>
        <v>0.52657534246575344</v>
      </c>
      <c r="AF58" s="70">
        <f t="shared" si="89"/>
        <v>7.8</v>
      </c>
      <c r="AG58" s="187">
        <f t="shared" si="101"/>
        <v>6.2</v>
      </c>
      <c r="AH58" s="189" cm="1">
        <f t="array" ref="AH58">AG58*$P58*INDEX(Month_Ref,AF$1-1,3)/365</f>
        <v>0.50958904109589043</v>
      </c>
      <c r="AI58" s="70">
        <f t="shared" si="90"/>
        <v>8.1</v>
      </c>
      <c r="AJ58" s="187">
        <f t="shared" si="102"/>
        <v>6.2</v>
      </c>
      <c r="AK58" s="189" cm="1">
        <f t="array" ref="AK58">AJ58*$P58*INDEX(Month_Ref,AI$1-1,3)/365</f>
        <v>0.52657534246575344</v>
      </c>
      <c r="AL58" s="70">
        <f t="shared" si="91"/>
        <v>7.2</v>
      </c>
      <c r="AM58" s="187">
        <f t="shared" si="103"/>
        <v>6.2</v>
      </c>
      <c r="AN58" s="189" cm="1">
        <f t="array" ref="AN58">AM58*$P58*INDEX(Month_Ref,AL$1-1,3)/365</f>
        <v>0.52657534246575344</v>
      </c>
      <c r="AO58" s="70">
        <f t="shared" si="92"/>
        <v>6.7</v>
      </c>
      <c r="AP58" s="187">
        <f t="shared" si="104"/>
        <v>6.2</v>
      </c>
      <c r="AQ58" s="189" cm="1">
        <f t="array" ref="AQ58">AP58*$P58*INDEX(Month_Ref,AO$1-1,3)/365</f>
        <v>0.50958904109589043</v>
      </c>
      <c r="AR58" s="70">
        <f t="shared" si="93"/>
        <v>6.7</v>
      </c>
      <c r="AS58" s="187">
        <f t="shared" si="105"/>
        <v>6.2</v>
      </c>
      <c r="AT58" s="189" cm="1">
        <f t="array" ref="AT58">AS58*$P58*INDEX(Month_Ref,AR$1-1,3)/365</f>
        <v>0.52657534246575344</v>
      </c>
      <c r="AU58" s="70">
        <f t="shared" si="94"/>
        <v>7.8</v>
      </c>
      <c r="AV58" s="187">
        <f t="shared" si="106"/>
        <v>6.2</v>
      </c>
      <c r="AW58" s="189" cm="1">
        <f t="array" ref="AW58">AV58*$P58*INDEX(Month_Ref,AU$1-1,3)/365</f>
        <v>0.50958904109589043</v>
      </c>
      <c r="AX58" s="70">
        <f t="shared" si="95"/>
        <v>8.6999999999999993</v>
      </c>
      <c r="AY58" s="187">
        <f t="shared" si="107"/>
        <v>6.2</v>
      </c>
      <c r="AZ58" s="189" cm="1">
        <f t="array" ref="AZ58">AY58*$P58*INDEX(Month_Ref,AX$1-1,3)/365</f>
        <v>0.52657534246575344</v>
      </c>
      <c r="BA58" s="183">
        <f t="shared" si="81"/>
        <v>6.2</v>
      </c>
      <c r="BC58" s="20">
        <f t="shared" si="82"/>
        <v>52</v>
      </c>
    </row>
    <row r="59" spans="2:65" x14ac:dyDescent="0.4">
      <c r="B59" s="528"/>
      <c r="C59" s="531"/>
      <c r="D59" s="534"/>
      <c r="E59" s="534"/>
      <c r="F59" s="522"/>
      <c r="G59" s="522"/>
      <c r="H59" s="522"/>
      <c r="I59" s="525"/>
      <c r="J59" s="179" t="s">
        <v>1688</v>
      </c>
      <c r="K59" s="168" t="s">
        <v>1647</v>
      </c>
      <c r="L59" s="63">
        <f>INDEX(Deck_Drain,MATCH($K59,Deck_Drain_Name,0),2)</f>
        <v>0</v>
      </c>
      <c r="M59" s="63">
        <f>INDEX(Deck_Drain,MATCH($K59,Deck_Drain_Name,0),3)</f>
        <v>0</v>
      </c>
      <c r="N59" s="63">
        <f>INDEX(Deck_Drain,MATCH($K59,Deck_Drain_Name,0),4)</f>
        <v>0</v>
      </c>
      <c r="O59" s="63">
        <f t="shared" si="83"/>
        <v>0</v>
      </c>
      <c r="P59" s="64" cm="1">
        <f t="array" ref="P59">IF(F52="Internal Floating Roof",1,INDEX(Tbl_71_13,_xlfn.MINIFS(Tbl_71_13_Range,Tbl_71_13_Dia,"&gt;="&amp;$E52),5))</f>
        <v>1</v>
      </c>
      <c r="Q59" s="70">
        <f t="shared" si="84"/>
        <v>8.5</v>
      </c>
      <c r="R59" s="188">
        <f t="shared" si="96"/>
        <v>0</v>
      </c>
      <c r="S59" s="192" cm="1">
        <f t="array" ref="S59">R59*$P59*INDEX(Month_Ref,Q$1-1,3)/365</f>
        <v>0</v>
      </c>
      <c r="T59" s="70">
        <f t="shared" si="85"/>
        <v>7.8</v>
      </c>
      <c r="U59" s="188">
        <f t="shared" si="97"/>
        <v>0</v>
      </c>
      <c r="V59" s="192" cm="1">
        <f t="array" ref="V59">U59*$P59*INDEX(Month_Ref,T$1-1,3)/365</f>
        <v>0</v>
      </c>
      <c r="W59" s="70">
        <f t="shared" si="86"/>
        <v>7.8</v>
      </c>
      <c r="X59" s="188">
        <f t="shared" si="98"/>
        <v>0</v>
      </c>
      <c r="Y59" s="192" cm="1">
        <f t="array" ref="Y59">X59*$P59*INDEX(Month_Ref,W$1-1,3)/365</f>
        <v>0</v>
      </c>
      <c r="Z59" s="70">
        <f t="shared" si="87"/>
        <v>7.8</v>
      </c>
      <c r="AA59" s="188">
        <f t="shared" si="99"/>
        <v>0</v>
      </c>
      <c r="AB59" s="192" cm="1">
        <f t="array" ref="AB59">AA59*$P59*INDEX(Month_Ref,Z$1-1,3)/365</f>
        <v>0</v>
      </c>
      <c r="AC59" s="70">
        <f t="shared" si="88"/>
        <v>7.6</v>
      </c>
      <c r="AD59" s="188">
        <f t="shared" si="100"/>
        <v>0</v>
      </c>
      <c r="AE59" s="192" cm="1">
        <f t="array" ref="AE59">AD59*$P59*INDEX(Month_Ref,AC$1-1,3)/365</f>
        <v>0</v>
      </c>
      <c r="AF59" s="70">
        <f t="shared" si="89"/>
        <v>7.8</v>
      </c>
      <c r="AG59" s="188">
        <f t="shared" si="101"/>
        <v>0</v>
      </c>
      <c r="AH59" s="192" cm="1">
        <f t="array" ref="AH59">AG59*$P59*INDEX(Month_Ref,AF$1-1,3)/365</f>
        <v>0</v>
      </c>
      <c r="AI59" s="70">
        <f t="shared" si="90"/>
        <v>8.1</v>
      </c>
      <c r="AJ59" s="188">
        <f t="shared" si="102"/>
        <v>0</v>
      </c>
      <c r="AK59" s="192" cm="1">
        <f t="array" ref="AK59">AJ59*$P59*INDEX(Month_Ref,AI$1-1,3)/365</f>
        <v>0</v>
      </c>
      <c r="AL59" s="70">
        <f t="shared" si="91"/>
        <v>7.2</v>
      </c>
      <c r="AM59" s="188">
        <f t="shared" si="103"/>
        <v>0</v>
      </c>
      <c r="AN59" s="192" cm="1">
        <f t="array" ref="AN59">AM59*$P59*INDEX(Month_Ref,AL$1-1,3)/365</f>
        <v>0</v>
      </c>
      <c r="AO59" s="70">
        <f t="shared" si="92"/>
        <v>6.7</v>
      </c>
      <c r="AP59" s="188">
        <f t="shared" si="104"/>
        <v>0</v>
      </c>
      <c r="AQ59" s="192" cm="1">
        <f t="array" ref="AQ59">AP59*$P59*INDEX(Month_Ref,AO$1-1,3)/365</f>
        <v>0</v>
      </c>
      <c r="AR59" s="70">
        <f t="shared" si="93"/>
        <v>6.7</v>
      </c>
      <c r="AS59" s="188">
        <f t="shared" si="105"/>
        <v>0</v>
      </c>
      <c r="AT59" s="192" cm="1">
        <f t="array" ref="AT59">AS59*$P59*INDEX(Month_Ref,AR$1-1,3)/365</f>
        <v>0</v>
      </c>
      <c r="AU59" s="70">
        <f t="shared" si="94"/>
        <v>7.8</v>
      </c>
      <c r="AV59" s="188">
        <f t="shared" si="106"/>
        <v>0</v>
      </c>
      <c r="AW59" s="192" cm="1">
        <f t="array" ref="AW59">AV59*$P59*INDEX(Month_Ref,AU$1-1,3)/365</f>
        <v>0</v>
      </c>
      <c r="AX59" s="70">
        <f t="shared" si="95"/>
        <v>8.6999999999999993</v>
      </c>
      <c r="AY59" s="188">
        <f t="shared" si="107"/>
        <v>0</v>
      </c>
      <c r="AZ59" s="192" cm="1">
        <f t="array" ref="AZ59">AY59*$P59*INDEX(Month_Ref,AX$1-1,3)/365</f>
        <v>0</v>
      </c>
      <c r="BA59" s="183">
        <f t="shared" si="81"/>
        <v>0</v>
      </c>
      <c r="BC59" s="20">
        <f t="shared" si="82"/>
        <v>53</v>
      </c>
    </row>
    <row r="60" spans="2:65" x14ac:dyDescent="0.4">
      <c r="B60" s="528"/>
      <c r="C60" s="531"/>
      <c r="D60" s="534"/>
      <c r="E60" s="534"/>
      <c r="F60" s="522"/>
      <c r="G60" s="522"/>
      <c r="H60" s="522"/>
      <c r="I60" s="525"/>
      <c r="J60" s="179" t="s">
        <v>1708</v>
      </c>
      <c r="K60" s="168" t="s">
        <v>1709</v>
      </c>
      <c r="L60" s="63">
        <f>INDEX(Deck_Leg_IFR,MATCH($K60,Deck_Leg_IFR_Name,0),2)</f>
        <v>7.9</v>
      </c>
      <c r="M60" s="63">
        <f>INDEX(Deck_Leg_IFR,MATCH($K60,Deck_Leg_IFR_Name,0),3)</f>
        <v>0</v>
      </c>
      <c r="N60" s="63">
        <f>INDEX(Deck_Leg_IFR,MATCH($K60,Deck_Leg_IFR_Name,0),4)</f>
        <v>0</v>
      </c>
      <c r="O60" s="63">
        <f t="shared" si="83"/>
        <v>0</v>
      </c>
      <c r="P60" s="64">
        <f>IF($F52="Internal Floating Roof",ROUND(5+$E52/10+($E52^2)/600,0),0)</f>
        <v>54</v>
      </c>
      <c r="Q60" s="70">
        <f t="shared" si="84"/>
        <v>8.5</v>
      </c>
      <c r="R60" s="63">
        <f t="shared" si="96"/>
        <v>7.9</v>
      </c>
      <c r="S60" s="64" cm="1">
        <f t="array" ref="S60">R60*$P60*INDEX(Month_Ref,Q$1-1,3)/365</f>
        <v>36.231780821917809</v>
      </c>
      <c r="T60" s="70">
        <f t="shared" si="85"/>
        <v>7.8</v>
      </c>
      <c r="U60" s="63">
        <f t="shared" si="97"/>
        <v>7.9</v>
      </c>
      <c r="V60" s="64" cm="1">
        <f t="array" ref="V60">U60*$P60*INDEX(Month_Ref,T$1-1,3)/365</f>
        <v>32.725479452054799</v>
      </c>
      <c r="W60" s="70">
        <f t="shared" si="86"/>
        <v>7.8</v>
      </c>
      <c r="X60" s="63">
        <f t="shared" si="98"/>
        <v>7.9</v>
      </c>
      <c r="Y60" s="64" cm="1">
        <f t="array" ref="Y60">X60*$P60*INDEX(Month_Ref,W$1-1,3)/365</f>
        <v>36.231780821917809</v>
      </c>
      <c r="Z60" s="70">
        <f t="shared" si="87"/>
        <v>7.8</v>
      </c>
      <c r="AA60" s="63">
        <f t="shared" si="99"/>
        <v>7.9</v>
      </c>
      <c r="AB60" s="64" cm="1">
        <f t="array" ref="AB60">AA60*$P60*INDEX(Month_Ref,Z$1-1,3)/365</f>
        <v>35.063013698630137</v>
      </c>
      <c r="AC60" s="70">
        <f t="shared" si="88"/>
        <v>7.6</v>
      </c>
      <c r="AD60" s="63">
        <f t="shared" si="100"/>
        <v>7.9</v>
      </c>
      <c r="AE60" s="64" cm="1">
        <f t="array" ref="AE60">AD60*$P60*INDEX(Month_Ref,AC$1-1,3)/365</f>
        <v>36.231780821917809</v>
      </c>
      <c r="AF60" s="70">
        <f t="shared" si="89"/>
        <v>7.8</v>
      </c>
      <c r="AG60" s="63">
        <f t="shared" si="101"/>
        <v>7.9</v>
      </c>
      <c r="AH60" s="64" cm="1">
        <f t="array" ref="AH60">AG60*$P60*INDEX(Month_Ref,AF$1-1,3)/365</f>
        <v>35.063013698630137</v>
      </c>
      <c r="AI60" s="70">
        <f t="shared" si="90"/>
        <v>8.1</v>
      </c>
      <c r="AJ60" s="63">
        <f t="shared" si="102"/>
        <v>7.9</v>
      </c>
      <c r="AK60" s="64" cm="1">
        <f t="array" ref="AK60">AJ60*$P60*INDEX(Month_Ref,AI$1-1,3)/365</f>
        <v>36.231780821917809</v>
      </c>
      <c r="AL60" s="70">
        <f t="shared" si="91"/>
        <v>7.2</v>
      </c>
      <c r="AM60" s="63">
        <f t="shared" si="103"/>
        <v>7.9</v>
      </c>
      <c r="AN60" s="64" cm="1">
        <f t="array" ref="AN60">AM60*$P60*INDEX(Month_Ref,AL$1-1,3)/365</f>
        <v>36.231780821917809</v>
      </c>
      <c r="AO60" s="70">
        <f t="shared" si="92"/>
        <v>6.7</v>
      </c>
      <c r="AP60" s="63">
        <f t="shared" si="104"/>
        <v>7.9</v>
      </c>
      <c r="AQ60" s="64" cm="1">
        <f t="array" ref="AQ60">AP60*$P60*INDEX(Month_Ref,AO$1-1,3)/365</f>
        <v>35.063013698630137</v>
      </c>
      <c r="AR60" s="70">
        <f t="shared" si="93"/>
        <v>6.7</v>
      </c>
      <c r="AS60" s="63">
        <f t="shared" si="105"/>
        <v>7.9</v>
      </c>
      <c r="AT60" s="64" cm="1">
        <f t="array" ref="AT60">AS60*$P60*INDEX(Month_Ref,AR$1-1,3)/365</f>
        <v>36.231780821917809</v>
      </c>
      <c r="AU60" s="70">
        <f t="shared" si="94"/>
        <v>7.8</v>
      </c>
      <c r="AV60" s="63">
        <f t="shared" si="106"/>
        <v>7.9</v>
      </c>
      <c r="AW60" s="64" cm="1">
        <f t="array" ref="AW60">AV60*$P60*INDEX(Month_Ref,AU$1-1,3)/365</f>
        <v>35.063013698630137</v>
      </c>
      <c r="AX60" s="70">
        <f t="shared" si="95"/>
        <v>8.6999999999999993</v>
      </c>
      <c r="AY60" s="63">
        <f t="shared" si="107"/>
        <v>7.9</v>
      </c>
      <c r="AZ60" s="64" cm="1">
        <f t="array" ref="AZ60">AY60*$P60*INDEX(Month_Ref,AX$1-1,3)/365</f>
        <v>36.231780821917809</v>
      </c>
      <c r="BA60" s="183">
        <f t="shared" si="81"/>
        <v>426.6</v>
      </c>
      <c r="BC60" s="20">
        <f t="shared" si="82"/>
        <v>54</v>
      </c>
    </row>
    <row r="61" spans="2:65" x14ac:dyDescent="0.4">
      <c r="B61" s="528"/>
      <c r="C61" s="531"/>
      <c r="D61" s="534"/>
      <c r="E61" s="534"/>
      <c r="F61" s="522"/>
      <c r="G61" s="522"/>
      <c r="H61" s="522"/>
      <c r="I61" s="525"/>
      <c r="J61" s="179" t="s">
        <v>1711</v>
      </c>
      <c r="K61" s="168" t="s">
        <v>1582</v>
      </c>
      <c r="L61" s="63">
        <f>INDEX(Deck_Leg_Pon,MATCH($K61,Deck_Leg_Pon_Name,0),2)</f>
        <v>0</v>
      </c>
      <c r="M61" s="63">
        <f>INDEX(Deck_Leg_Pon,MATCH($K61,Deck_Leg_Pon_Name,0),3)</f>
        <v>0</v>
      </c>
      <c r="N61" s="63">
        <f>INDEX(Deck_Leg_Pon,MATCH($K61,Deck_Leg_Pon_Name,0),4)</f>
        <v>0</v>
      </c>
      <c r="O61" s="63">
        <f t="shared" si="83"/>
        <v>0</v>
      </c>
      <c r="P61" s="64" cm="1">
        <f t="array" ref="P61">IF($G52="Pontoon",INDEX(Tbl_71_14,_xlfn.MINIFS(Tbl_71_14_Range,Tbl_71_14_Dia,"&gt;="&amp;$E52),3),0)</f>
        <v>0</v>
      </c>
      <c r="Q61" s="70">
        <f t="shared" si="84"/>
        <v>8.5</v>
      </c>
      <c r="R61" s="188">
        <f t="shared" si="96"/>
        <v>0</v>
      </c>
      <c r="S61" s="64" cm="1">
        <f t="array" ref="S61">R61*$P61*INDEX(Month_Ref,Q$1-1,3)/365</f>
        <v>0</v>
      </c>
      <c r="T61" s="70">
        <f t="shared" si="85"/>
        <v>7.8</v>
      </c>
      <c r="U61" s="188">
        <f t="shared" si="97"/>
        <v>0</v>
      </c>
      <c r="V61" s="64" cm="1">
        <f t="array" ref="V61">U61*$P61*INDEX(Month_Ref,T$1-1,3)/365</f>
        <v>0</v>
      </c>
      <c r="W61" s="70">
        <f t="shared" si="86"/>
        <v>7.8</v>
      </c>
      <c r="X61" s="188">
        <f t="shared" si="98"/>
        <v>0</v>
      </c>
      <c r="Y61" s="64" cm="1">
        <f t="array" ref="Y61">X61*$P61*INDEX(Month_Ref,W$1-1,3)/365</f>
        <v>0</v>
      </c>
      <c r="Z61" s="70">
        <f t="shared" si="87"/>
        <v>7.8</v>
      </c>
      <c r="AA61" s="188">
        <f t="shared" si="99"/>
        <v>0</v>
      </c>
      <c r="AB61" s="64" cm="1">
        <f t="array" ref="AB61">AA61*$P61*INDEX(Month_Ref,Z$1-1,3)/365</f>
        <v>0</v>
      </c>
      <c r="AC61" s="70">
        <f t="shared" si="88"/>
        <v>7.6</v>
      </c>
      <c r="AD61" s="188">
        <f t="shared" si="100"/>
        <v>0</v>
      </c>
      <c r="AE61" s="64" cm="1">
        <f t="array" ref="AE61">AD61*$P61*INDEX(Month_Ref,AC$1-1,3)/365</f>
        <v>0</v>
      </c>
      <c r="AF61" s="70">
        <f t="shared" si="89"/>
        <v>7.8</v>
      </c>
      <c r="AG61" s="188">
        <f t="shared" si="101"/>
        <v>0</v>
      </c>
      <c r="AH61" s="64" cm="1">
        <f t="array" ref="AH61">AG61*$P61*INDEX(Month_Ref,AF$1-1,3)/365</f>
        <v>0</v>
      </c>
      <c r="AI61" s="70">
        <f t="shared" si="90"/>
        <v>8.1</v>
      </c>
      <c r="AJ61" s="188">
        <f t="shared" si="102"/>
        <v>0</v>
      </c>
      <c r="AK61" s="64" cm="1">
        <f t="array" ref="AK61">AJ61*$P61*INDEX(Month_Ref,AI$1-1,3)/365</f>
        <v>0</v>
      </c>
      <c r="AL61" s="70">
        <f t="shared" si="91"/>
        <v>7.2</v>
      </c>
      <c r="AM61" s="188">
        <f t="shared" si="103"/>
        <v>0</v>
      </c>
      <c r="AN61" s="64" cm="1">
        <f t="array" ref="AN61">AM61*$P61*INDEX(Month_Ref,AL$1-1,3)/365</f>
        <v>0</v>
      </c>
      <c r="AO61" s="70">
        <f t="shared" si="92"/>
        <v>6.7</v>
      </c>
      <c r="AP61" s="188">
        <f t="shared" si="104"/>
        <v>0</v>
      </c>
      <c r="AQ61" s="64" cm="1">
        <f t="array" ref="AQ61">AP61*$P61*INDEX(Month_Ref,AO$1-1,3)/365</f>
        <v>0</v>
      </c>
      <c r="AR61" s="70">
        <f t="shared" si="93"/>
        <v>6.7</v>
      </c>
      <c r="AS61" s="188">
        <f t="shared" si="105"/>
        <v>0</v>
      </c>
      <c r="AT61" s="64" cm="1">
        <f t="array" ref="AT61">AS61*$P61*INDEX(Month_Ref,AR$1-1,3)/365</f>
        <v>0</v>
      </c>
      <c r="AU61" s="70">
        <f t="shared" si="94"/>
        <v>7.8</v>
      </c>
      <c r="AV61" s="188">
        <f t="shared" si="106"/>
        <v>0</v>
      </c>
      <c r="AW61" s="64" cm="1">
        <f t="array" ref="AW61">AV61*$P61*INDEX(Month_Ref,AU$1-1,3)/365</f>
        <v>0</v>
      </c>
      <c r="AX61" s="70">
        <f t="shared" si="95"/>
        <v>8.6999999999999993</v>
      </c>
      <c r="AY61" s="188">
        <f t="shared" si="107"/>
        <v>0</v>
      </c>
      <c r="AZ61" s="64" cm="1">
        <f t="array" ref="AZ61">AY61*$P61*INDEX(Month_Ref,AX$1-1,3)/365</f>
        <v>0</v>
      </c>
      <c r="BA61" s="183">
        <f t="shared" si="81"/>
        <v>0</v>
      </c>
      <c r="BC61" s="20">
        <f t="shared" si="82"/>
        <v>55</v>
      </c>
    </row>
    <row r="62" spans="2:65" ht="29.15" x14ac:dyDescent="0.4">
      <c r="B62" s="528"/>
      <c r="C62" s="531"/>
      <c r="D62" s="534"/>
      <c r="E62" s="534"/>
      <c r="F62" s="522"/>
      <c r="G62" s="522"/>
      <c r="H62" s="522"/>
      <c r="I62" s="525"/>
      <c r="J62" s="179" t="s">
        <v>1714</v>
      </c>
      <c r="K62" s="168" t="s">
        <v>1582</v>
      </c>
      <c r="L62" s="63">
        <f>INDEX(Deck_Leg_DD,MATCH($K62,Deck_Leg_DD_Name,0),2)</f>
        <v>0</v>
      </c>
      <c r="M62" s="63">
        <f>INDEX(Deck_Leg_DD,MATCH($K62,Deck_Leg_DD_Name,0),3)</f>
        <v>0</v>
      </c>
      <c r="N62" s="63">
        <f>INDEX(Deck_Leg_DD,MATCH($K62,Deck_Leg_DD_Name,0),4)</f>
        <v>0</v>
      </c>
      <c r="O62" s="63">
        <f t="shared" si="83"/>
        <v>0</v>
      </c>
      <c r="P62" s="64" cm="1">
        <f t="array" ref="P62">IF($G52="Pontoon",INDEX(Tbl_71_14,_xlfn.MINIFS(Tbl_71_14_Range,Tbl_71_14_Dia,"&gt;="&amp;$E52),4),IF($F52="Internal Floating Roof",0,6))</f>
        <v>0</v>
      </c>
      <c r="Q62" s="70">
        <f t="shared" si="84"/>
        <v>8.5</v>
      </c>
      <c r="R62" s="188">
        <f t="shared" si="96"/>
        <v>0</v>
      </c>
      <c r="S62" s="192" cm="1">
        <f t="array" ref="S62">R62*$P62*INDEX(Month_Ref,Q$1-1,3)/365</f>
        <v>0</v>
      </c>
      <c r="T62" s="70">
        <f t="shared" si="85"/>
        <v>7.8</v>
      </c>
      <c r="U62" s="188">
        <f t="shared" si="97"/>
        <v>0</v>
      </c>
      <c r="V62" s="192" cm="1">
        <f t="array" ref="V62">U62*$P62*INDEX(Month_Ref,T$1-1,3)/365</f>
        <v>0</v>
      </c>
      <c r="W62" s="70">
        <f t="shared" si="86"/>
        <v>7.8</v>
      </c>
      <c r="X62" s="188">
        <f t="shared" si="98"/>
        <v>0</v>
      </c>
      <c r="Y62" s="192" cm="1">
        <f t="array" ref="Y62">X62*$P62*INDEX(Month_Ref,W$1-1,3)/365</f>
        <v>0</v>
      </c>
      <c r="Z62" s="70">
        <f t="shared" si="87"/>
        <v>7.8</v>
      </c>
      <c r="AA62" s="188">
        <f t="shared" si="99"/>
        <v>0</v>
      </c>
      <c r="AB62" s="192" cm="1">
        <f t="array" ref="AB62">AA62*$P62*INDEX(Month_Ref,Z$1-1,3)/365</f>
        <v>0</v>
      </c>
      <c r="AC62" s="70">
        <f t="shared" si="88"/>
        <v>7.6</v>
      </c>
      <c r="AD62" s="188">
        <f t="shared" si="100"/>
        <v>0</v>
      </c>
      <c r="AE62" s="192" cm="1">
        <f t="array" ref="AE62">AD62*$P62*INDEX(Month_Ref,AC$1-1,3)/365</f>
        <v>0</v>
      </c>
      <c r="AF62" s="70">
        <f t="shared" si="89"/>
        <v>7.8</v>
      </c>
      <c r="AG62" s="188">
        <f t="shared" si="101"/>
        <v>0</v>
      </c>
      <c r="AH62" s="192" cm="1">
        <f t="array" ref="AH62">AG62*$P62*INDEX(Month_Ref,AF$1-1,3)/365</f>
        <v>0</v>
      </c>
      <c r="AI62" s="70">
        <f t="shared" si="90"/>
        <v>8.1</v>
      </c>
      <c r="AJ62" s="188">
        <f t="shared" si="102"/>
        <v>0</v>
      </c>
      <c r="AK62" s="192" cm="1">
        <f t="array" ref="AK62">AJ62*$P62*INDEX(Month_Ref,AI$1-1,3)/365</f>
        <v>0</v>
      </c>
      <c r="AL62" s="70">
        <f t="shared" si="91"/>
        <v>7.2</v>
      </c>
      <c r="AM62" s="188">
        <f t="shared" si="103"/>
        <v>0</v>
      </c>
      <c r="AN62" s="192" cm="1">
        <f t="array" ref="AN62">AM62*$P62*INDEX(Month_Ref,AL$1-1,3)/365</f>
        <v>0</v>
      </c>
      <c r="AO62" s="70">
        <f t="shared" si="92"/>
        <v>6.7</v>
      </c>
      <c r="AP62" s="188">
        <f t="shared" si="104"/>
        <v>0</v>
      </c>
      <c r="AQ62" s="192" cm="1">
        <f t="array" ref="AQ62">AP62*$P62*INDEX(Month_Ref,AO$1-1,3)/365</f>
        <v>0</v>
      </c>
      <c r="AR62" s="70">
        <f t="shared" si="93"/>
        <v>6.7</v>
      </c>
      <c r="AS62" s="188">
        <f t="shared" si="105"/>
        <v>0</v>
      </c>
      <c r="AT62" s="192" cm="1">
        <f t="array" ref="AT62">AS62*$P62*INDEX(Month_Ref,AR$1-1,3)/365</f>
        <v>0</v>
      </c>
      <c r="AU62" s="70">
        <f t="shared" si="94"/>
        <v>7.8</v>
      </c>
      <c r="AV62" s="188">
        <f t="shared" si="106"/>
        <v>0</v>
      </c>
      <c r="AW62" s="192" cm="1">
        <f t="array" ref="AW62">AV62*$P62*INDEX(Month_Ref,AU$1-1,3)/365</f>
        <v>0</v>
      </c>
      <c r="AX62" s="70">
        <f t="shared" si="95"/>
        <v>8.6999999999999993</v>
      </c>
      <c r="AY62" s="188">
        <f t="shared" si="107"/>
        <v>0</v>
      </c>
      <c r="AZ62" s="192" cm="1">
        <f t="array" ref="AZ62">AY62*$P62*INDEX(Month_Ref,AX$1-1,3)/365</f>
        <v>0</v>
      </c>
      <c r="BA62" s="183">
        <f t="shared" si="81"/>
        <v>0</v>
      </c>
      <c r="BC62" s="20">
        <f t="shared" si="82"/>
        <v>56</v>
      </c>
    </row>
    <row r="63" spans="2:65" x14ac:dyDescent="0.4">
      <c r="B63" s="528"/>
      <c r="C63" s="531"/>
      <c r="D63" s="534"/>
      <c r="E63" s="534"/>
      <c r="F63" s="522"/>
      <c r="G63" s="522"/>
      <c r="H63" s="522"/>
      <c r="I63" s="525"/>
      <c r="J63" s="180" t="s">
        <v>1700</v>
      </c>
      <c r="K63" s="168" t="s">
        <v>1647</v>
      </c>
      <c r="L63" s="63">
        <f>INDEX(Rim_Vent,MATCH($K63,Rim_Vent_Name,0),2)</f>
        <v>0.71</v>
      </c>
      <c r="M63" s="63">
        <f>INDEX(Rim_Vent,MATCH($K63,Rim_Vent_Name,0),3)</f>
        <v>0.1</v>
      </c>
      <c r="N63" s="63">
        <f>INDEX(Rim_Vent,MATCH($K63,Rim_Vent_Name,0),4)</f>
        <v>1</v>
      </c>
      <c r="O63" s="63">
        <f t="shared" si="83"/>
        <v>0</v>
      </c>
      <c r="P63" s="64">
        <f>IF(OR($H52="Mechanical Shoe - Primary Only",$H52="Mechanical Shoe w/ Shoe-Mounted Secondary",$H52="Mechanical Shoe w/ Rim Mounted Secondary"),1,0)</f>
        <v>1</v>
      </c>
      <c r="Q63" s="70">
        <f t="shared" si="84"/>
        <v>8.5</v>
      </c>
      <c r="R63" s="188">
        <f t="shared" si="96"/>
        <v>0.71</v>
      </c>
      <c r="S63" s="192" cm="1">
        <f t="array" ref="S63">R63*$P63*INDEX(Month_Ref,Q$1-1,3)/365</f>
        <v>6.0301369863013696E-2</v>
      </c>
      <c r="T63" s="70">
        <f t="shared" si="85"/>
        <v>7.8</v>
      </c>
      <c r="U63" s="188">
        <f t="shared" si="97"/>
        <v>0.71</v>
      </c>
      <c r="V63" s="192" cm="1">
        <f t="array" ref="V63">U63*$P63*INDEX(Month_Ref,T$1-1,3)/365</f>
        <v>5.446575342465753E-2</v>
      </c>
      <c r="W63" s="70">
        <f t="shared" si="86"/>
        <v>7.8</v>
      </c>
      <c r="X63" s="188">
        <f t="shared" si="98"/>
        <v>0.71</v>
      </c>
      <c r="Y63" s="192" cm="1">
        <f t="array" ref="Y63">X63*$P63*INDEX(Month_Ref,W$1-1,3)/365</f>
        <v>6.0301369863013696E-2</v>
      </c>
      <c r="Z63" s="70">
        <f t="shared" si="87"/>
        <v>7.8</v>
      </c>
      <c r="AA63" s="188">
        <f t="shared" si="99"/>
        <v>0.71</v>
      </c>
      <c r="AB63" s="192" cm="1">
        <f t="array" ref="AB63">AA63*$P63*INDEX(Month_Ref,Z$1-1,3)/365</f>
        <v>5.8356164383561636E-2</v>
      </c>
      <c r="AC63" s="70">
        <f t="shared" si="88"/>
        <v>7.6</v>
      </c>
      <c r="AD63" s="188">
        <f t="shared" si="100"/>
        <v>0.71</v>
      </c>
      <c r="AE63" s="192" cm="1">
        <f t="array" ref="AE63">AD63*$P63*INDEX(Month_Ref,AC$1-1,3)/365</f>
        <v>6.0301369863013696E-2</v>
      </c>
      <c r="AF63" s="70">
        <f t="shared" si="89"/>
        <v>7.8</v>
      </c>
      <c r="AG63" s="188">
        <f t="shared" si="101"/>
        <v>0.71</v>
      </c>
      <c r="AH63" s="192" cm="1">
        <f t="array" ref="AH63">AG63*$P63*INDEX(Month_Ref,AF$1-1,3)/365</f>
        <v>5.8356164383561636E-2</v>
      </c>
      <c r="AI63" s="70">
        <f t="shared" si="90"/>
        <v>8.1</v>
      </c>
      <c r="AJ63" s="188">
        <f t="shared" si="102"/>
        <v>0.71</v>
      </c>
      <c r="AK63" s="192" cm="1">
        <f t="array" ref="AK63">AJ63*$P63*INDEX(Month_Ref,AI$1-1,3)/365</f>
        <v>6.0301369863013696E-2</v>
      </c>
      <c r="AL63" s="70">
        <f t="shared" si="91"/>
        <v>7.2</v>
      </c>
      <c r="AM63" s="188">
        <f t="shared" si="103"/>
        <v>0.71</v>
      </c>
      <c r="AN63" s="192" cm="1">
        <f t="array" ref="AN63">AM63*$P63*INDEX(Month_Ref,AL$1-1,3)/365</f>
        <v>6.0301369863013696E-2</v>
      </c>
      <c r="AO63" s="70">
        <f t="shared" si="92"/>
        <v>6.7</v>
      </c>
      <c r="AP63" s="188">
        <f t="shared" si="104"/>
        <v>0.71</v>
      </c>
      <c r="AQ63" s="192" cm="1">
        <f t="array" ref="AQ63">AP63*$P63*INDEX(Month_Ref,AO$1-1,3)/365</f>
        <v>5.8356164383561636E-2</v>
      </c>
      <c r="AR63" s="70">
        <f t="shared" si="93"/>
        <v>6.7</v>
      </c>
      <c r="AS63" s="188">
        <f t="shared" si="105"/>
        <v>0.71</v>
      </c>
      <c r="AT63" s="192" cm="1">
        <f t="array" ref="AT63">AS63*$P63*INDEX(Month_Ref,AR$1-1,3)/365</f>
        <v>6.0301369863013696E-2</v>
      </c>
      <c r="AU63" s="70">
        <f t="shared" si="94"/>
        <v>7.8</v>
      </c>
      <c r="AV63" s="188">
        <f t="shared" si="106"/>
        <v>0.71</v>
      </c>
      <c r="AW63" s="192" cm="1">
        <f t="array" ref="AW63">AV63*$P63*INDEX(Month_Ref,AU$1-1,3)/365</f>
        <v>5.8356164383561636E-2</v>
      </c>
      <c r="AX63" s="70">
        <f t="shared" si="95"/>
        <v>8.6999999999999993</v>
      </c>
      <c r="AY63" s="188">
        <f t="shared" si="107"/>
        <v>0.71</v>
      </c>
      <c r="AZ63" s="192" cm="1">
        <f t="array" ref="AZ63">AY63*$P63*INDEX(Month_Ref,AX$1-1,3)/365</f>
        <v>6.0301369863013696E-2</v>
      </c>
      <c r="BA63" s="183">
        <f t="shared" si="81"/>
        <v>0.71</v>
      </c>
      <c r="BC63" s="20">
        <f t="shared" si="82"/>
        <v>57</v>
      </c>
    </row>
    <row r="64" spans="2:65" x14ac:dyDescent="0.4">
      <c r="B64" s="528"/>
      <c r="C64" s="531"/>
      <c r="D64" s="534"/>
      <c r="E64" s="534"/>
      <c r="F64" s="522"/>
      <c r="G64" s="522"/>
      <c r="H64" s="522"/>
      <c r="I64" s="525"/>
      <c r="J64" s="180" t="s">
        <v>1701</v>
      </c>
      <c r="K64" s="168" t="s">
        <v>1703</v>
      </c>
      <c r="L64" s="63">
        <f>INDEX(Ladder_Well,MATCH($K64,Ladder_Well_Name,0),2)</f>
        <v>56</v>
      </c>
      <c r="M64" s="63">
        <f>INDEX(Ladder_Well,MATCH($K64,Ladder_Well_Name,0),3)</f>
        <v>0</v>
      </c>
      <c r="N64" s="63">
        <f>INDEX(Ladder_Well,MATCH($K64,Ladder_Well_Name,0),4)</f>
        <v>0</v>
      </c>
      <c r="O64" s="63">
        <f t="shared" si="83"/>
        <v>0</v>
      </c>
      <c r="P64" s="64">
        <f>IF($F52&lt;&gt;"Internal Floating Roof",0,1)</f>
        <v>1</v>
      </c>
      <c r="Q64" s="70">
        <f t="shared" si="84"/>
        <v>8.5</v>
      </c>
      <c r="R64" s="63">
        <f t="shared" si="96"/>
        <v>56</v>
      </c>
      <c r="S64" s="64" cm="1">
        <f t="array" ref="S64">R64*$P64*INDEX(Month_Ref,Q$1-1,3)/365</f>
        <v>4.7561643835616438</v>
      </c>
      <c r="T64" s="70">
        <f t="shared" si="85"/>
        <v>7.8</v>
      </c>
      <c r="U64" s="63">
        <f t="shared" si="97"/>
        <v>56</v>
      </c>
      <c r="V64" s="64" cm="1">
        <f t="array" ref="V64">U64*$P64*INDEX(Month_Ref,T$1-1,3)/365</f>
        <v>4.2958904109589042</v>
      </c>
      <c r="W64" s="70">
        <f t="shared" si="86"/>
        <v>7.8</v>
      </c>
      <c r="X64" s="63">
        <f t="shared" si="98"/>
        <v>56</v>
      </c>
      <c r="Y64" s="64" cm="1">
        <f t="array" ref="Y64">X64*$P64*INDEX(Month_Ref,W$1-1,3)/365</f>
        <v>4.7561643835616438</v>
      </c>
      <c r="Z64" s="70">
        <f t="shared" si="87"/>
        <v>7.8</v>
      </c>
      <c r="AA64" s="63">
        <f t="shared" si="99"/>
        <v>56</v>
      </c>
      <c r="AB64" s="64" cm="1">
        <f t="array" ref="AB64">AA64*$P64*INDEX(Month_Ref,Z$1-1,3)/365</f>
        <v>4.602739726027397</v>
      </c>
      <c r="AC64" s="70">
        <f t="shared" si="88"/>
        <v>7.6</v>
      </c>
      <c r="AD64" s="63">
        <f t="shared" si="100"/>
        <v>56</v>
      </c>
      <c r="AE64" s="64" cm="1">
        <f t="array" ref="AE64">AD64*$P64*INDEX(Month_Ref,AC$1-1,3)/365</f>
        <v>4.7561643835616438</v>
      </c>
      <c r="AF64" s="70">
        <f t="shared" si="89"/>
        <v>7.8</v>
      </c>
      <c r="AG64" s="63">
        <f t="shared" si="101"/>
        <v>56</v>
      </c>
      <c r="AH64" s="64" cm="1">
        <f t="array" ref="AH64">AG64*$P64*INDEX(Month_Ref,AF$1-1,3)/365</f>
        <v>4.602739726027397</v>
      </c>
      <c r="AI64" s="70">
        <f t="shared" si="90"/>
        <v>8.1</v>
      </c>
      <c r="AJ64" s="63">
        <f t="shared" si="102"/>
        <v>56</v>
      </c>
      <c r="AK64" s="64" cm="1">
        <f t="array" ref="AK64">AJ64*$P64*INDEX(Month_Ref,AI$1-1,3)/365</f>
        <v>4.7561643835616438</v>
      </c>
      <c r="AL64" s="70">
        <f t="shared" si="91"/>
        <v>7.2</v>
      </c>
      <c r="AM64" s="63">
        <f t="shared" si="103"/>
        <v>56</v>
      </c>
      <c r="AN64" s="64" cm="1">
        <f t="array" ref="AN64">AM64*$P64*INDEX(Month_Ref,AL$1-1,3)/365</f>
        <v>4.7561643835616438</v>
      </c>
      <c r="AO64" s="70">
        <f t="shared" si="92"/>
        <v>6.7</v>
      </c>
      <c r="AP64" s="63">
        <f t="shared" si="104"/>
        <v>56</v>
      </c>
      <c r="AQ64" s="64" cm="1">
        <f t="array" ref="AQ64">AP64*$P64*INDEX(Month_Ref,AO$1-1,3)/365</f>
        <v>4.602739726027397</v>
      </c>
      <c r="AR64" s="70">
        <f t="shared" si="93"/>
        <v>6.7</v>
      </c>
      <c r="AS64" s="63">
        <f t="shared" si="105"/>
        <v>56</v>
      </c>
      <c r="AT64" s="64" cm="1">
        <f t="array" ref="AT64">AS64*$P64*INDEX(Month_Ref,AR$1-1,3)/365</f>
        <v>4.7561643835616438</v>
      </c>
      <c r="AU64" s="70">
        <f t="shared" si="94"/>
        <v>7.8</v>
      </c>
      <c r="AV64" s="63">
        <f t="shared" si="106"/>
        <v>56</v>
      </c>
      <c r="AW64" s="64" cm="1">
        <f t="array" ref="AW64">AV64*$P64*INDEX(Month_Ref,AU$1-1,3)/365</f>
        <v>4.602739726027397</v>
      </c>
      <c r="AX64" s="70">
        <f t="shared" si="95"/>
        <v>8.6999999999999993</v>
      </c>
      <c r="AY64" s="63">
        <f t="shared" si="107"/>
        <v>56</v>
      </c>
      <c r="AZ64" s="64" cm="1">
        <f t="array" ref="AZ64">AY64*$P64*INDEX(Month_Ref,AX$1-1,3)/365</f>
        <v>4.7561643835616438</v>
      </c>
      <c r="BA64" s="183">
        <f t="shared" si="81"/>
        <v>56</v>
      </c>
      <c r="BC64" s="20">
        <f t="shared" si="82"/>
        <v>58</v>
      </c>
    </row>
    <row r="65" spans="2:65" ht="44.15" thickBot="1" x14ac:dyDescent="0.45">
      <c r="B65" s="529"/>
      <c r="C65" s="532"/>
      <c r="D65" s="535"/>
      <c r="E65" s="535"/>
      <c r="F65" s="523"/>
      <c r="G65" s="523"/>
      <c r="H65" s="523"/>
      <c r="I65" s="526"/>
      <c r="J65" s="181" t="s">
        <v>1715</v>
      </c>
      <c r="K65" s="171" t="s">
        <v>1755</v>
      </c>
      <c r="L65" s="32">
        <f>INDEX(Combo_LWSGP,MATCH($K65,Combo_LWSGP_Name,0),2)</f>
        <v>0</v>
      </c>
      <c r="M65" s="32">
        <f>INDEX(Combo_LWSGP,MATCH($K65,Combo_LWSGP_Name,0),3)</f>
        <v>0</v>
      </c>
      <c r="N65" s="32">
        <f>INDEX(Combo_LWSGP,MATCH($K65,Combo_LWSGP_Name,0),4)</f>
        <v>0</v>
      </c>
      <c r="O65" s="32">
        <f t="shared" si="83"/>
        <v>0</v>
      </c>
      <c r="P65" s="33">
        <f>IF(AND(P55=0,P64=0),1,0)</f>
        <v>0</v>
      </c>
      <c r="Q65" s="31">
        <f t="shared" si="84"/>
        <v>8.5</v>
      </c>
      <c r="R65" s="32">
        <f t="shared" si="96"/>
        <v>0</v>
      </c>
      <c r="S65" s="33" cm="1">
        <f t="array" ref="S65">R65*$P65*INDEX(Month_Ref,Q$1-1,3)/365</f>
        <v>0</v>
      </c>
      <c r="T65" s="31">
        <f t="shared" si="85"/>
        <v>7.8</v>
      </c>
      <c r="U65" s="32">
        <f t="shared" si="97"/>
        <v>0</v>
      </c>
      <c r="V65" s="33" cm="1">
        <f t="array" ref="V65">U65*$P65*INDEX(Month_Ref,T$1-1,3)/365</f>
        <v>0</v>
      </c>
      <c r="W65" s="31">
        <f t="shared" si="86"/>
        <v>7.8</v>
      </c>
      <c r="X65" s="32">
        <f t="shared" si="98"/>
        <v>0</v>
      </c>
      <c r="Y65" s="33" cm="1">
        <f t="array" ref="Y65">X65*$P65*INDEX(Month_Ref,W$1-1,3)/365</f>
        <v>0</v>
      </c>
      <c r="Z65" s="31">
        <f t="shared" si="87"/>
        <v>7.8</v>
      </c>
      <c r="AA65" s="32">
        <f t="shared" si="99"/>
        <v>0</v>
      </c>
      <c r="AB65" s="33" cm="1">
        <f t="array" ref="AB65">AA65*$P65*INDEX(Month_Ref,Z$1-1,3)/365</f>
        <v>0</v>
      </c>
      <c r="AC65" s="31">
        <f t="shared" si="88"/>
        <v>7.6</v>
      </c>
      <c r="AD65" s="32">
        <f t="shared" si="100"/>
        <v>0</v>
      </c>
      <c r="AE65" s="33" cm="1">
        <f t="array" ref="AE65">AD65*$P65*INDEX(Month_Ref,AC$1-1,3)/365</f>
        <v>0</v>
      </c>
      <c r="AF65" s="31">
        <f t="shared" si="89"/>
        <v>7.8</v>
      </c>
      <c r="AG65" s="32">
        <f t="shared" si="101"/>
        <v>0</v>
      </c>
      <c r="AH65" s="33" cm="1">
        <f t="array" ref="AH65">AG65*$P65*INDEX(Month_Ref,AF$1-1,3)/365</f>
        <v>0</v>
      </c>
      <c r="AI65" s="31">
        <f t="shared" si="90"/>
        <v>8.1</v>
      </c>
      <c r="AJ65" s="32">
        <f t="shared" si="102"/>
        <v>0</v>
      </c>
      <c r="AK65" s="33" cm="1">
        <f t="array" ref="AK65">AJ65*$P65*INDEX(Month_Ref,AI$1-1,3)/365</f>
        <v>0</v>
      </c>
      <c r="AL65" s="31">
        <f t="shared" si="91"/>
        <v>7.2</v>
      </c>
      <c r="AM65" s="32">
        <f t="shared" si="103"/>
        <v>0</v>
      </c>
      <c r="AN65" s="33" cm="1">
        <f t="array" ref="AN65">AM65*$P65*INDEX(Month_Ref,AL$1-1,3)/365</f>
        <v>0</v>
      </c>
      <c r="AO65" s="31">
        <f t="shared" si="92"/>
        <v>6.7</v>
      </c>
      <c r="AP65" s="32">
        <f t="shared" si="104"/>
        <v>0</v>
      </c>
      <c r="AQ65" s="33" cm="1">
        <f t="array" ref="AQ65">AP65*$P65*INDEX(Month_Ref,AO$1-1,3)/365</f>
        <v>0</v>
      </c>
      <c r="AR65" s="31">
        <f t="shared" si="93"/>
        <v>6.7</v>
      </c>
      <c r="AS65" s="32">
        <f t="shared" si="105"/>
        <v>0</v>
      </c>
      <c r="AT65" s="33" cm="1">
        <f t="array" ref="AT65">AS65*$P65*INDEX(Month_Ref,AR$1-1,3)/365</f>
        <v>0</v>
      </c>
      <c r="AU65" s="31">
        <f t="shared" si="94"/>
        <v>7.8</v>
      </c>
      <c r="AV65" s="32">
        <f t="shared" si="106"/>
        <v>0</v>
      </c>
      <c r="AW65" s="33" cm="1">
        <f t="array" ref="AW65">AV65*$P65*INDEX(Month_Ref,AU$1-1,3)/365</f>
        <v>0</v>
      </c>
      <c r="AX65" s="31">
        <f t="shared" si="95"/>
        <v>8.6999999999999993</v>
      </c>
      <c r="AY65" s="32">
        <f t="shared" si="107"/>
        <v>0</v>
      </c>
      <c r="AZ65" s="33" cm="1">
        <f t="array" ref="AZ65">AY65*$P65*INDEX(Month_Ref,AX$1-1,3)/365</f>
        <v>0</v>
      </c>
      <c r="BA65" s="184">
        <f t="shared" si="81"/>
        <v>0</v>
      </c>
      <c r="BC65" s="20">
        <f t="shared" si="82"/>
        <v>59</v>
      </c>
    </row>
    <row r="66" spans="2:65" ht="15" thickBot="1" x14ac:dyDescent="0.45">
      <c r="B66" s="157"/>
      <c r="C66" s="158"/>
      <c r="D66" s="163"/>
      <c r="I66" s="163"/>
      <c r="J66" s="164"/>
      <c r="K66" s="164"/>
      <c r="L66" s="163"/>
      <c r="M66" s="163"/>
      <c r="N66" s="163"/>
      <c r="O66" s="163"/>
      <c r="Q66" s="195"/>
      <c r="R66" s="196" t="s">
        <v>1768</v>
      </c>
      <c r="S66" s="197">
        <f>SUM(S52:S65)</f>
        <v>73.362136986301365</v>
      </c>
      <c r="T66" s="195"/>
      <c r="U66" s="196" t="s">
        <v>1762</v>
      </c>
      <c r="V66" s="197">
        <f>SUM(V52:V65)</f>
        <v>66.262575342465766</v>
      </c>
      <c r="W66" s="195"/>
      <c r="X66" s="196" t="s">
        <v>1762</v>
      </c>
      <c r="Y66" s="197">
        <f>SUM(Y52:Y65)</f>
        <v>73.362136986301365</v>
      </c>
      <c r="Z66" s="195"/>
      <c r="AA66" s="196" t="s">
        <v>1762</v>
      </c>
      <c r="AB66" s="197">
        <f>SUM(AB52:AB65)</f>
        <v>70.995616438356166</v>
      </c>
      <c r="AC66" s="195"/>
      <c r="AD66" s="196" t="s">
        <v>1762</v>
      </c>
      <c r="AE66" s="197">
        <f>SUM(AE52:AE65)</f>
        <v>73.362136986301365</v>
      </c>
      <c r="AF66" s="195"/>
      <c r="AG66" s="196" t="s">
        <v>1762</v>
      </c>
      <c r="AH66" s="197">
        <f>SUM(AH52:AH65)</f>
        <v>70.995616438356166</v>
      </c>
      <c r="AI66" s="195"/>
      <c r="AJ66" s="196" t="s">
        <v>1762</v>
      </c>
      <c r="AK66" s="197">
        <f>SUM(AK52:AK65)</f>
        <v>73.362136986301365</v>
      </c>
      <c r="AL66" s="195"/>
      <c r="AM66" s="196" t="s">
        <v>1762</v>
      </c>
      <c r="AN66" s="197">
        <f>SUM(AN52:AN65)</f>
        <v>73.362136986301365</v>
      </c>
      <c r="AO66" s="195"/>
      <c r="AP66" s="196" t="s">
        <v>1762</v>
      </c>
      <c r="AQ66" s="197">
        <f>SUM(AQ52:AQ65)</f>
        <v>70.995616438356166</v>
      </c>
      <c r="AR66" s="195"/>
      <c r="AS66" s="196" t="s">
        <v>1762</v>
      </c>
      <c r="AT66" s="197">
        <f>SUM(AT52:AT65)</f>
        <v>73.362136986301365</v>
      </c>
      <c r="AU66" s="195"/>
      <c r="AV66" s="196" t="s">
        <v>1762</v>
      </c>
      <c r="AW66" s="197">
        <f>SUM(AW52:AW65)</f>
        <v>70.995616438356166</v>
      </c>
      <c r="AX66" s="195"/>
      <c r="AY66" s="196" t="s">
        <v>1762</v>
      </c>
      <c r="AZ66" s="197">
        <f>SUM(AZ52:AZ65)</f>
        <v>73.362136986301365</v>
      </c>
      <c r="BA66" s="198">
        <f t="shared" si="81"/>
        <v>863.78</v>
      </c>
      <c r="BC66" s="194">
        <f t="shared" si="82"/>
        <v>60</v>
      </c>
      <c r="BD66" s="11"/>
      <c r="BE66" s="11"/>
      <c r="BF66" s="11"/>
      <c r="BG66" s="11"/>
      <c r="BH66" s="11"/>
      <c r="BI66" s="11"/>
      <c r="BJ66" s="11"/>
      <c r="BK66" s="11"/>
      <c r="BL66" s="11"/>
      <c r="BM66" s="11"/>
    </row>
    <row r="67" spans="2:65" x14ac:dyDescent="0.4">
      <c r="B67" s="527" t="str" cm="1">
        <f t="array" ref="B67">INDEX(FLT_Cons,$BD67,$BE67)</f>
        <v>FLT - 5</v>
      </c>
      <c r="C67" s="530" t="str" cm="1">
        <f t="array" ref="C67">INDEX(FLT_Cons,$BD67,$BF67)</f>
        <v>INTANK 68</v>
      </c>
      <c r="D67" s="533" t="str" cm="1">
        <f t="array" ref="D67">INDEX(FLT_Cons,$BD67,$BG67)</f>
        <v>Portland</v>
      </c>
      <c r="E67" s="533" cm="1">
        <f t="array" ref="E67">INDEX(FLT_Cons,$BD67,$BH67)</f>
        <v>120</v>
      </c>
      <c r="F67" s="521" t="str" cm="1">
        <f t="array" ref="F67">INDEX(FLT_Cons,$BD67,$BI67)</f>
        <v>Internal Floating Roof</v>
      </c>
      <c r="G67" s="521" t="str" cm="1">
        <f t="array" ref="G67">INDEX(FLT_Cons,$BD67,$BJ67)</f>
        <v>N/A - IFR</v>
      </c>
      <c r="H67" s="521" t="str" cm="1">
        <f t="array" ref="H67">INDEX(FLT_Cons,$BD67,$BK67)</f>
        <v>Mechanical Shoe w/ Rim Mounted Secondary</v>
      </c>
      <c r="I67" s="524" t="str" cm="1">
        <f t="array" ref="I67">INDEX(FLT_Cons,$BD67,$BL67)</f>
        <v>IFR - Column Supported</v>
      </c>
      <c r="J67" s="177" t="s">
        <v>1660</v>
      </c>
      <c r="K67" s="174" t="s">
        <v>1661</v>
      </c>
      <c r="L67" s="14">
        <f>INDEX(Access_Hatch,MATCH($K67,Access_Hatch_Name,0),2)</f>
        <v>1.6</v>
      </c>
      <c r="M67" s="14">
        <f>INDEX(Access_Hatch,MATCH($K67,Access_Hatch_Name,0),3)</f>
        <v>0</v>
      </c>
      <c r="N67" s="14">
        <f>INDEX(Access_Hatch,MATCH($K67,Access_Hatch_Name,0),4)</f>
        <v>0</v>
      </c>
      <c r="O67" s="14">
        <f>IF($F67="External Floating Roof",0.7,0)</f>
        <v>0</v>
      </c>
      <c r="P67" s="30">
        <v>1</v>
      </c>
      <c r="Q67" s="29">
        <f>VLOOKUP(VLOOKUP($D67,Terminal_X_Ref,2,FALSE)&amp;"V",Weather_Data,Q$1,FALSE)</f>
        <v>8.5</v>
      </c>
      <c r="R67" s="14">
        <f>IFERROR($L67+$M67*($O67*Q67)^$N67,$L67)</f>
        <v>1.6</v>
      </c>
      <c r="S67" s="193" cm="1">
        <f t="array" ref="S67">R67*$P67*INDEX(Month_Ref,Q$1-1,3)/365</f>
        <v>0.13589041095890411</v>
      </c>
      <c r="T67" s="29">
        <f>VLOOKUP(VLOOKUP($D67,Terminal_X_Ref,2,FALSE)&amp;"V",Weather_Data,T$1,FALSE)</f>
        <v>7.8</v>
      </c>
      <c r="U67" s="14">
        <f>IFERROR($L67+$M67*($O67*T67)^$N67,$L67)</f>
        <v>1.6</v>
      </c>
      <c r="V67" s="193" cm="1">
        <f t="array" ref="V67">U67*$P67*INDEX(Month_Ref,T$1-1,3)/365</f>
        <v>0.12273972602739727</v>
      </c>
      <c r="W67" s="29">
        <f>VLOOKUP(VLOOKUP($D67,Terminal_X_Ref,2,FALSE)&amp;"V",Weather_Data,W$1,FALSE)</f>
        <v>7.8</v>
      </c>
      <c r="X67" s="14">
        <f>IFERROR($L67+$M67*($O67*W67)^$N67,$L67)</f>
        <v>1.6</v>
      </c>
      <c r="Y67" s="193" cm="1">
        <f t="array" ref="Y67">X67*$P67*INDEX(Month_Ref,W$1-1,3)/365</f>
        <v>0.13589041095890411</v>
      </c>
      <c r="Z67" s="29">
        <f>VLOOKUP(VLOOKUP($D67,Terminal_X_Ref,2,FALSE)&amp;"V",Weather_Data,Z$1,FALSE)</f>
        <v>7.8</v>
      </c>
      <c r="AA67" s="14">
        <f>IFERROR($L67+$M67*($O67*Z67)^$N67,$L67)</f>
        <v>1.6</v>
      </c>
      <c r="AB67" s="193" cm="1">
        <f t="array" ref="AB67">AA67*$P67*INDEX(Month_Ref,Z$1-1,3)/365</f>
        <v>0.13150684931506848</v>
      </c>
      <c r="AC67" s="29">
        <f>VLOOKUP(VLOOKUP($D67,Terminal_X_Ref,2,FALSE)&amp;"V",Weather_Data,AC$1,FALSE)</f>
        <v>7.6</v>
      </c>
      <c r="AD67" s="14">
        <f>IFERROR($L67+$M67*($O67*AC67)^$N67,$L67)</f>
        <v>1.6</v>
      </c>
      <c r="AE67" s="193" cm="1">
        <f t="array" ref="AE67">AD67*$P67*INDEX(Month_Ref,AC$1-1,3)/365</f>
        <v>0.13589041095890411</v>
      </c>
      <c r="AF67" s="29">
        <f>VLOOKUP(VLOOKUP($D67,Terminal_X_Ref,2,FALSE)&amp;"V",Weather_Data,AF$1,FALSE)</f>
        <v>7.8</v>
      </c>
      <c r="AG67" s="14">
        <f>IFERROR($L67+$M67*($O67*AF67)^$N67,$L67)</f>
        <v>1.6</v>
      </c>
      <c r="AH67" s="193" cm="1">
        <f t="array" ref="AH67">AG67*$P67*INDEX(Month_Ref,AF$1-1,3)/365</f>
        <v>0.13150684931506848</v>
      </c>
      <c r="AI67" s="29">
        <f>VLOOKUP(VLOOKUP($D67,Terminal_X_Ref,2,FALSE)&amp;"V",Weather_Data,AI$1,FALSE)</f>
        <v>8.1</v>
      </c>
      <c r="AJ67" s="14">
        <f>IFERROR($L67+$M67*($O67*AI67)^$N67,$L67)</f>
        <v>1.6</v>
      </c>
      <c r="AK67" s="193" cm="1">
        <f t="array" ref="AK67">AJ67*$P67*INDEX(Month_Ref,AI$1-1,3)/365</f>
        <v>0.13589041095890411</v>
      </c>
      <c r="AL67" s="29">
        <f>VLOOKUP(VLOOKUP($D67,Terminal_X_Ref,2,FALSE)&amp;"V",Weather_Data,AL$1,FALSE)</f>
        <v>7.2</v>
      </c>
      <c r="AM67" s="14">
        <f>IFERROR($L67+$M67*($O67*AL67)^$N67,$L67)</f>
        <v>1.6</v>
      </c>
      <c r="AN67" s="193" cm="1">
        <f t="array" ref="AN67">AM67*$P67*INDEX(Month_Ref,AL$1-1,3)/365</f>
        <v>0.13589041095890411</v>
      </c>
      <c r="AO67" s="29">
        <f>VLOOKUP(VLOOKUP($D67,Terminal_X_Ref,2,FALSE)&amp;"V",Weather_Data,AO$1,FALSE)</f>
        <v>6.7</v>
      </c>
      <c r="AP67" s="14">
        <f>IFERROR($L67+$M67*($O67*AO67)^$N67,$L67)</f>
        <v>1.6</v>
      </c>
      <c r="AQ67" s="193" cm="1">
        <f t="array" ref="AQ67">AP67*$P67*INDEX(Month_Ref,AO$1-1,3)/365</f>
        <v>0.13150684931506848</v>
      </c>
      <c r="AR67" s="29">
        <f>VLOOKUP(VLOOKUP($D67,Terminal_X_Ref,2,FALSE)&amp;"V",Weather_Data,AR$1,FALSE)</f>
        <v>6.7</v>
      </c>
      <c r="AS67" s="14">
        <f>IFERROR($L67+$M67*($O67*AR67)^$N67,$L67)</f>
        <v>1.6</v>
      </c>
      <c r="AT67" s="193" cm="1">
        <f t="array" ref="AT67">AS67*$P67*INDEX(Month_Ref,AR$1-1,3)/365</f>
        <v>0.13589041095890411</v>
      </c>
      <c r="AU67" s="29">
        <f>VLOOKUP(VLOOKUP($D67,Terminal_X_Ref,2,FALSE)&amp;"V",Weather_Data,AU$1,FALSE)</f>
        <v>7.8</v>
      </c>
      <c r="AV67" s="14">
        <f>IFERROR($L67+$M67*($O67*AU67)^$N67,$L67)</f>
        <v>1.6</v>
      </c>
      <c r="AW67" s="193" cm="1">
        <f t="array" ref="AW67">AV67*$P67*INDEX(Month_Ref,AU$1-1,3)/365</f>
        <v>0.13150684931506848</v>
      </c>
      <c r="AX67" s="29">
        <f>VLOOKUP(VLOOKUP($D67,Terminal_X_Ref,2,FALSE)&amp;"V",Weather_Data,AX$1,FALSE)</f>
        <v>8.6999999999999993</v>
      </c>
      <c r="AY67" s="14">
        <f>IFERROR($L67+$M67*($O67*AX67)^$N67,$L67)</f>
        <v>1.6</v>
      </c>
      <c r="AZ67" s="193" cm="1">
        <f t="array" ref="AZ67">AY67*$P67*INDEX(Month_Ref,AX$1-1,3)/365</f>
        <v>0.13589041095890411</v>
      </c>
      <c r="BA67" s="182">
        <f>S67+V67+Y67+AB67+AE67+AH67+AK67+AN67+AQ67+AT67+AW67+AZ67</f>
        <v>1.5999999999999999</v>
      </c>
      <c r="BB67" s="25"/>
      <c r="BC67" s="20">
        <f>BC66+1</f>
        <v>61</v>
      </c>
      <c r="BD67">
        <f>BD52+1</f>
        <v>5</v>
      </c>
      <c r="BE67">
        <v>1</v>
      </c>
      <c r="BF67">
        <v>2</v>
      </c>
      <c r="BG67">
        <v>3</v>
      </c>
      <c r="BH67">
        <v>5</v>
      </c>
      <c r="BI67">
        <v>13</v>
      </c>
      <c r="BJ67">
        <v>16</v>
      </c>
      <c r="BK67">
        <v>17</v>
      </c>
      <c r="BL67">
        <v>19</v>
      </c>
      <c r="BM67">
        <v>21</v>
      </c>
    </row>
    <row r="68" spans="2:65" ht="29.15" x14ac:dyDescent="0.4">
      <c r="B68" s="528"/>
      <c r="C68" s="531"/>
      <c r="D68" s="534"/>
      <c r="E68" s="534"/>
      <c r="F68" s="522"/>
      <c r="G68" s="522"/>
      <c r="H68" s="522"/>
      <c r="I68" s="525"/>
      <c r="J68" s="178" t="s">
        <v>1664</v>
      </c>
      <c r="K68" s="168" t="s">
        <v>1669</v>
      </c>
      <c r="L68" s="63">
        <f>INDEX(FRSCW,MATCH($K68,FRSCW_Name,0),2)</f>
        <v>33</v>
      </c>
      <c r="M68" s="63">
        <f>INDEX(FRSCW,MATCH($K68,FRSCW_Name,0),3)</f>
        <v>0</v>
      </c>
      <c r="N68" s="63">
        <f>INDEX(FRSCW,MATCH($K68,FRSCW_Name,0),4)</f>
        <v>0</v>
      </c>
      <c r="O68" s="63">
        <f>O67</f>
        <v>0</v>
      </c>
      <c r="P68" s="64" cm="1">
        <f t="array" ref="P68">IF(F67&lt;&gt;"Internal Floating Roof",0,IF(ISBLANK(INDEX(FLT_Cons,$BD67,$BM67)),INDEX(Tbl_71_11,_xlfn.MINIFS(Tbl_71_11_Dia,Tbl_71_11_Max,"&gt;="&amp;$E67),4),INDEX(FLT_Cons,$BD67,$BM67)))</f>
        <v>7</v>
      </c>
      <c r="Q68" s="70">
        <f>Q67</f>
        <v>8.5</v>
      </c>
      <c r="R68" s="63">
        <f>IFERROR($L68+$M68*($O68*Q68)^$N68,$L68)</f>
        <v>33</v>
      </c>
      <c r="S68" s="64" cm="1">
        <f t="array" ref="S68">R68*$P68*INDEX(Month_Ref,Q$1-1,3)/365</f>
        <v>19.61917808219178</v>
      </c>
      <c r="T68" s="70">
        <f>T67</f>
        <v>7.8</v>
      </c>
      <c r="U68" s="63">
        <f>IFERROR($L68+$M68*($O68*T68)^$N68,$L68)</f>
        <v>33</v>
      </c>
      <c r="V68" s="64" cm="1">
        <f t="array" ref="V68">U68*$P68*INDEX(Month_Ref,T$1-1,3)/365</f>
        <v>17.720547945205478</v>
      </c>
      <c r="W68" s="70">
        <f>W67</f>
        <v>7.8</v>
      </c>
      <c r="X68" s="63">
        <f>IFERROR($L68+$M68*($O68*W68)^$N68,$L68)</f>
        <v>33</v>
      </c>
      <c r="Y68" s="64" cm="1">
        <f t="array" ref="Y68">X68*$P68*INDEX(Month_Ref,W$1-1,3)/365</f>
        <v>19.61917808219178</v>
      </c>
      <c r="Z68" s="70">
        <f>Z67</f>
        <v>7.8</v>
      </c>
      <c r="AA68" s="63">
        <f>IFERROR($L68+$M68*($O68*Z68)^$N68,$L68)</f>
        <v>33</v>
      </c>
      <c r="AB68" s="64" cm="1">
        <f t="array" ref="AB68">AA68*$P68*INDEX(Month_Ref,Z$1-1,3)/365</f>
        <v>18.986301369863014</v>
      </c>
      <c r="AC68" s="70">
        <f>AC67</f>
        <v>7.6</v>
      </c>
      <c r="AD68" s="63">
        <f>IFERROR($L68+$M68*($O68*AC68)^$N68,$L68)</f>
        <v>33</v>
      </c>
      <c r="AE68" s="64" cm="1">
        <f t="array" ref="AE68">AD68*$P68*INDEX(Month_Ref,AC$1-1,3)/365</f>
        <v>19.61917808219178</v>
      </c>
      <c r="AF68" s="70">
        <f>AF67</f>
        <v>7.8</v>
      </c>
      <c r="AG68" s="63">
        <f>IFERROR($L68+$M68*($O68*AF68)^$N68,$L68)</f>
        <v>33</v>
      </c>
      <c r="AH68" s="64" cm="1">
        <f t="array" ref="AH68">AG68*$P68*INDEX(Month_Ref,AF$1-1,3)/365</f>
        <v>18.986301369863014</v>
      </c>
      <c r="AI68" s="70">
        <f>AI67</f>
        <v>8.1</v>
      </c>
      <c r="AJ68" s="63">
        <f>IFERROR($L68+$M68*($O68*AI68)^$N68,$L68)</f>
        <v>33</v>
      </c>
      <c r="AK68" s="64" cm="1">
        <f t="array" ref="AK68">AJ68*$P68*INDEX(Month_Ref,AI$1-1,3)/365</f>
        <v>19.61917808219178</v>
      </c>
      <c r="AL68" s="70">
        <f>AL67</f>
        <v>7.2</v>
      </c>
      <c r="AM68" s="63">
        <f>IFERROR($L68+$M68*($O68*AL68)^$N68,$L68)</f>
        <v>33</v>
      </c>
      <c r="AN68" s="64" cm="1">
        <f t="array" ref="AN68">AM68*$P68*INDEX(Month_Ref,AL$1-1,3)/365</f>
        <v>19.61917808219178</v>
      </c>
      <c r="AO68" s="70">
        <f>AO67</f>
        <v>6.7</v>
      </c>
      <c r="AP68" s="63">
        <f>IFERROR($L68+$M68*($O68*AO68)^$N68,$L68)</f>
        <v>33</v>
      </c>
      <c r="AQ68" s="64" cm="1">
        <f t="array" ref="AQ68">AP68*$P68*INDEX(Month_Ref,AO$1-1,3)/365</f>
        <v>18.986301369863014</v>
      </c>
      <c r="AR68" s="70">
        <f>AR67</f>
        <v>6.7</v>
      </c>
      <c r="AS68" s="63">
        <f>IFERROR($L68+$M68*($O68*AR68)^$N68,$L68)</f>
        <v>33</v>
      </c>
      <c r="AT68" s="64" cm="1">
        <f t="array" ref="AT68">AS68*$P68*INDEX(Month_Ref,AR$1-1,3)/365</f>
        <v>19.61917808219178</v>
      </c>
      <c r="AU68" s="70">
        <f>AU67</f>
        <v>7.8</v>
      </c>
      <c r="AV68" s="63">
        <f>IFERROR($L68+$M68*($O68*AU68)^$N68,$L68)</f>
        <v>33</v>
      </c>
      <c r="AW68" s="64" cm="1">
        <f t="array" ref="AW68">AV68*$P68*INDEX(Month_Ref,AU$1-1,3)/365</f>
        <v>18.986301369863014</v>
      </c>
      <c r="AX68" s="70">
        <f>AX67</f>
        <v>8.6999999999999993</v>
      </c>
      <c r="AY68" s="63">
        <f>IFERROR($L68+$M68*($O68*AX68)^$N68,$L68)</f>
        <v>33</v>
      </c>
      <c r="AZ68" s="64" cm="1">
        <f t="array" ref="AZ68">AY68*$P68*INDEX(Month_Ref,AX$1-1,3)/365</f>
        <v>19.61917808219178</v>
      </c>
      <c r="BA68" s="183">
        <f t="shared" ref="BA68:BA81" si="108">S68+V68+Y68+AB68+AE68+AH68+AK68+AN68+AQ68+AT68+AW68+AZ68</f>
        <v>231</v>
      </c>
      <c r="BC68" s="20">
        <f t="shared" ref="BC68:BC81" si="109">BC67+1</f>
        <v>62</v>
      </c>
    </row>
    <row r="69" spans="2:65" ht="43.75" x14ac:dyDescent="0.4">
      <c r="B69" s="528"/>
      <c r="C69" s="531"/>
      <c r="D69" s="534"/>
      <c r="E69" s="534"/>
      <c r="F69" s="522"/>
      <c r="G69" s="522"/>
      <c r="H69" s="522"/>
      <c r="I69" s="525"/>
      <c r="J69" s="178" t="s">
        <v>1670</v>
      </c>
      <c r="K69" s="168" t="s">
        <v>1582</v>
      </c>
      <c r="L69" s="63">
        <f>INDEX(USGPW,MATCH($K69,USGPW_Name,0),2)</f>
        <v>0</v>
      </c>
      <c r="M69" s="63">
        <f>INDEX(USGPW,MATCH($K69,USGPW_Name,0),3)</f>
        <v>0</v>
      </c>
      <c r="N69" s="63">
        <f>INDEX(USGPW,MATCH($K69,USGPW_Name,0),4)</f>
        <v>0</v>
      </c>
      <c r="O69" s="63">
        <f t="shared" ref="O69:O80" si="110">O68</f>
        <v>0</v>
      </c>
      <c r="P69" s="64">
        <v>1</v>
      </c>
      <c r="Q69" s="70">
        <f t="shared" ref="Q69:Q80" si="111">Q68</f>
        <v>8.5</v>
      </c>
      <c r="R69" s="185">
        <f>IFERROR($L69+$M69*($O69*Q69)^$N69,$L69)</f>
        <v>0</v>
      </c>
      <c r="S69" s="186" cm="1">
        <f t="array" ref="S69">R69*$P69*INDEX(Month_Ref,Q$1-1,3)/365</f>
        <v>0</v>
      </c>
      <c r="T69" s="70">
        <f t="shared" ref="T69:T80" si="112">T68</f>
        <v>7.8</v>
      </c>
      <c r="U69" s="185">
        <f>IFERROR($L69+$M69*($O69*T69)^$N69,$L69)</f>
        <v>0</v>
      </c>
      <c r="V69" s="186" cm="1">
        <f t="array" ref="V69">U69*$P69*INDEX(Month_Ref,T$1-1,3)/365</f>
        <v>0</v>
      </c>
      <c r="W69" s="70">
        <f t="shared" ref="W69:W80" si="113">W68</f>
        <v>7.8</v>
      </c>
      <c r="X69" s="185">
        <f>IFERROR($L69+$M69*($O69*W69)^$N69,$L69)</f>
        <v>0</v>
      </c>
      <c r="Y69" s="186" cm="1">
        <f t="array" ref="Y69">X69*$P69*INDEX(Month_Ref,W$1-1,3)/365</f>
        <v>0</v>
      </c>
      <c r="Z69" s="70">
        <f t="shared" ref="Z69:Z80" si="114">Z68</f>
        <v>7.8</v>
      </c>
      <c r="AA69" s="185">
        <f>IFERROR($L69+$M69*($O69*Z69)^$N69,$L69)</f>
        <v>0</v>
      </c>
      <c r="AB69" s="186" cm="1">
        <f t="array" ref="AB69">AA69*$P69*INDEX(Month_Ref,Z$1-1,3)/365</f>
        <v>0</v>
      </c>
      <c r="AC69" s="70">
        <f t="shared" ref="AC69:AC80" si="115">AC68</f>
        <v>7.6</v>
      </c>
      <c r="AD69" s="185">
        <f>IFERROR($L69+$M69*($O69*AC69)^$N69,$L69)</f>
        <v>0</v>
      </c>
      <c r="AE69" s="186" cm="1">
        <f t="array" ref="AE69">AD69*$P69*INDEX(Month_Ref,AC$1-1,3)/365</f>
        <v>0</v>
      </c>
      <c r="AF69" s="70">
        <f t="shared" ref="AF69:AF80" si="116">AF68</f>
        <v>7.8</v>
      </c>
      <c r="AG69" s="185">
        <f>IFERROR($L69+$M69*($O69*AF69)^$N69,$L69)</f>
        <v>0</v>
      </c>
      <c r="AH69" s="186" cm="1">
        <f t="array" ref="AH69">AG69*$P69*INDEX(Month_Ref,AF$1-1,3)/365</f>
        <v>0</v>
      </c>
      <c r="AI69" s="70">
        <f t="shared" ref="AI69:AI80" si="117">AI68</f>
        <v>8.1</v>
      </c>
      <c r="AJ69" s="185">
        <f>IFERROR($L69+$M69*($O69*AI69)^$N69,$L69)</f>
        <v>0</v>
      </c>
      <c r="AK69" s="186" cm="1">
        <f t="array" ref="AK69">AJ69*$P69*INDEX(Month_Ref,AI$1-1,3)/365</f>
        <v>0</v>
      </c>
      <c r="AL69" s="70">
        <f t="shared" ref="AL69:AL80" si="118">AL68</f>
        <v>7.2</v>
      </c>
      <c r="AM69" s="185">
        <f>IFERROR($L69+$M69*($O69*AL69)^$N69,$L69)</f>
        <v>0</v>
      </c>
      <c r="AN69" s="186" cm="1">
        <f t="array" ref="AN69">AM69*$P69*INDEX(Month_Ref,AL$1-1,3)/365</f>
        <v>0</v>
      </c>
      <c r="AO69" s="70">
        <f t="shared" ref="AO69:AO80" si="119">AO68</f>
        <v>6.7</v>
      </c>
      <c r="AP69" s="185">
        <f>IFERROR($L69+$M69*($O69*AO69)^$N69,$L69)</f>
        <v>0</v>
      </c>
      <c r="AQ69" s="186" cm="1">
        <f t="array" ref="AQ69">AP69*$P69*INDEX(Month_Ref,AO$1-1,3)/365</f>
        <v>0</v>
      </c>
      <c r="AR69" s="70">
        <f t="shared" ref="AR69:AR80" si="120">AR68</f>
        <v>6.7</v>
      </c>
      <c r="AS69" s="185">
        <f>IFERROR($L69+$M69*($O69*AR69)^$N69,$L69)</f>
        <v>0</v>
      </c>
      <c r="AT69" s="186" cm="1">
        <f t="array" ref="AT69">AS69*$P69*INDEX(Month_Ref,AR$1-1,3)/365</f>
        <v>0</v>
      </c>
      <c r="AU69" s="70">
        <f t="shared" ref="AU69:AU80" si="121">AU68</f>
        <v>7.8</v>
      </c>
      <c r="AV69" s="185">
        <f>IFERROR($L69+$M69*($O69*AU69)^$N69,$L69)</f>
        <v>0</v>
      </c>
      <c r="AW69" s="186" cm="1">
        <f t="array" ref="AW69">AV69*$P69*INDEX(Month_Ref,AU$1-1,3)/365</f>
        <v>0</v>
      </c>
      <c r="AX69" s="70">
        <f t="shared" ref="AX69:AX80" si="122">AX68</f>
        <v>8.6999999999999993</v>
      </c>
      <c r="AY69" s="185">
        <f>IFERROR($L69+$M69*($O69*AX69)^$N69,$L69)</f>
        <v>0</v>
      </c>
      <c r="AZ69" s="186" cm="1">
        <f t="array" ref="AZ69">AY69*$P69*INDEX(Month_Ref,AX$1-1,3)/365</f>
        <v>0</v>
      </c>
      <c r="BA69" s="186">
        <f t="shared" si="108"/>
        <v>0</v>
      </c>
      <c r="BC69" s="20">
        <f t="shared" si="109"/>
        <v>63</v>
      </c>
    </row>
    <row r="70" spans="2:65" ht="29.15" x14ac:dyDescent="0.4">
      <c r="B70" s="528"/>
      <c r="C70" s="531"/>
      <c r="D70" s="534"/>
      <c r="E70" s="534"/>
      <c r="F70" s="522"/>
      <c r="G70" s="522"/>
      <c r="H70" s="522"/>
      <c r="I70" s="525"/>
      <c r="J70" s="178" t="s">
        <v>1676</v>
      </c>
      <c r="K70" s="168" t="s">
        <v>1647</v>
      </c>
      <c r="L70" s="63">
        <f>INDEX(SGPW,MATCH($K70,SGPW_Name,0),2)</f>
        <v>43</v>
      </c>
      <c r="M70" s="63">
        <f>INDEX(SGPW,MATCH($K70,SGPW_Name,0),3)</f>
        <v>270</v>
      </c>
      <c r="N70" s="63">
        <f>INDEX(SGPW,MATCH($K70,SGPW_Name,0),4)</f>
        <v>1.4</v>
      </c>
      <c r="O70" s="63">
        <f t="shared" si="110"/>
        <v>0</v>
      </c>
      <c r="P70" s="64">
        <v>1</v>
      </c>
      <c r="Q70" s="70">
        <f t="shared" si="111"/>
        <v>8.5</v>
      </c>
      <c r="R70" s="63">
        <f>IFERROR($L70+$M70*($O70*Q70)^$N70,$L70)</f>
        <v>43</v>
      </c>
      <c r="S70" s="64" cm="1">
        <f t="array" ref="S70">R70*$P70*INDEX(Month_Ref,Q$1-1,3)/365</f>
        <v>3.6520547945205482</v>
      </c>
      <c r="T70" s="70">
        <f t="shared" si="112"/>
        <v>7.8</v>
      </c>
      <c r="U70" s="63">
        <f>IFERROR($L70+$M70*($O70*T70)^$N70,$L70)</f>
        <v>43</v>
      </c>
      <c r="V70" s="64" cm="1">
        <f t="array" ref="V70">U70*$P70*INDEX(Month_Ref,T$1-1,3)/365</f>
        <v>3.2986301369863016</v>
      </c>
      <c r="W70" s="70">
        <f t="shared" si="113"/>
        <v>7.8</v>
      </c>
      <c r="X70" s="63">
        <f>IFERROR($L70+$M70*($O70*W70)^$N70,$L70)</f>
        <v>43</v>
      </c>
      <c r="Y70" s="64" cm="1">
        <f t="array" ref="Y70">X70*$P70*INDEX(Month_Ref,W$1-1,3)/365</f>
        <v>3.6520547945205482</v>
      </c>
      <c r="Z70" s="70">
        <f t="shared" si="114"/>
        <v>7.8</v>
      </c>
      <c r="AA70" s="63">
        <f>IFERROR($L70+$M70*($O70*Z70)^$N70,$L70)</f>
        <v>43</v>
      </c>
      <c r="AB70" s="64" cm="1">
        <f t="array" ref="AB70">AA70*$P70*INDEX(Month_Ref,Z$1-1,3)/365</f>
        <v>3.5342465753424657</v>
      </c>
      <c r="AC70" s="70">
        <f t="shared" si="115"/>
        <v>7.6</v>
      </c>
      <c r="AD70" s="63">
        <f>IFERROR($L70+$M70*($O70*AC70)^$N70,$L70)</f>
        <v>43</v>
      </c>
      <c r="AE70" s="64" cm="1">
        <f t="array" ref="AE70">AD70*$P70*INDEX(Month_Ref,AC$1-1,3)/365</f>
        <v>3.6520547945205482</v>
      </c>
      <c r="AF70" s="70">
        <f t="shared" si="116"/>
        <v>7.8</v>
      </c>
      <c r="AG70" s="63">
        <f>IFERROR($L70+$M70*($O70*AF70)^$N70,$L70)</f>
        <v>43</v>
      </c>
      <c r="AH70" s="64" cm="1">
        <f t="array" ref="AH70">AG70*$P70*INDEX(Month_Ref,AF$1-1,3)/365</f>
        <v>3.5342465753424657</v>
      </c>
      <c r="AI70" s="70">
        <f t="shared" si="117"/>
        <v>8.1</v>
      </c>
      <c r="AJ70" s="63">
        <f>IFERROR($L70+$M70*($O70*AI70)^$N70,$L70)</f>
        <v>43</v>
      </c>
      <c r="AK70" s="64" cm="1">
        <f t="array" ref="AK70">AJ70*$P70*INDEX(Month_Ref,AI$1-1,3)/365</f>
        <v>3.6520547945205482</v>
      </c>
      <c r="AL70" s="70">
        <f t="shared" si="118"/>
        <v>7.2</v>
      </c>
      <c r="AM70" s="63">
        <f>IFERROR($L70+$M70*($O70*AL70)^$N70,$L70)</f>
        <v>43</v>
      </c>
      <c r="AN70" s="64" cm="1">
        <f t="array" ref="AN70">AM70*$P70*INDEX(Month_Ref,AL$1-1,3)/365</f>
        <v>3.6520547945205482</v>
      </c>
      <c r="AO70" s="70">
        <f t="shared" si="119"/>
        <v>6.7</v>
      </c>
      <c r="AP70" s="63">
        <f>IFERROR($L70+$M70*($O70*AO70)^$N70,$L70)</f>
        <v>43</v>
      </c>
      <c r="AQ70" s="64" cm="1">
        <f t="array" ref="AQ70">AP70*$P70*INDEX(Month_Ref,AO$1-1,3)/365</f>
        <v>3.5342465753424657</v>
      </c>
      <c r="AR70" s="70">
        <f t="shared" si="120"/>
        <v>6.7</v>
      </c>
      <c r="AS70" s="63">
        <f>IFERROR($L70+$M70*($O70*AR70)^$N70,$L70)</f>
        <v>43</v>
      </c>
      <c r="AT70" s="64" cm="1">
        <f t="array" ref="AT70">AS70*$P70*INDEX(Month_Ref,AR$1-1,3)/365</f>
        <v>3.6520547945205482</v>
      </c>
      <c r="AU70" s="70">
        <f t="shared" si="121"/>
        <v>7.8</v>
      </c>
      <c r="AV70" s="63">
        <f>IFERROR($L70+$M70*($O70*AU70)^$N70,$L70)</f>
        <v>43</v>
      </c>
      <c r="AW70" s="64" cm="1">
        <f t="array" ref="AW70">AV70*$P70*INDEX(Month_Ref,AU$1-1,3)/365</f>
        <v>3.5342465753424657</v>
      </c>
      <c r="AX70" s="70">
        <f t="shared" si="122"/>
        <v>8.6999999999999993</v>
      </c>
      <c r="AY70" s="63">
        <f>IFERROR($L70+$M70*($O70*AX70)^$N70,$L70)</f>
        <v>43</v>
      </c>
      <c r="AZ70" s="64" cm="1">
        <f t="array" ref="AZ70">AY70*$P70*INDEX(Month_Ref,AX$1-1,3)/365</f>
        <v>3.6520547945205482</v>
      </c>
      <c r="BA70" s="183">
        <f t="shared" si="108"/>
        <v>42.999999999999993</v>
      </c>
      <c r="BC70" s="20">
        <f t="shared" si="109"/>
        <v>64</v>
      </c>
    </row>
    <row r="71" spans="2:65" x14ac:dyDescent="0.4">
      <c r="B71" s="528"/>
      <c r="C71" s="531"/>
      <c r="D71" s="534"/>
      <c r="E71" s="534"/>
      <c r="F71" s="522"/>
      <c r="G71" s="522"/>
      <c r="H71" s="522"/>
      <c r="I71" s="525"/>
      <c r="J71" s="178" t="s">
        <v>1682</v>
      </c>
      <c r="K71" s="168" t="s">
        <v>1661</v>
      </c>
      <c r="L71" s="63">
        <f>INDEX(GFW,MATCH($K71,GFW_Name,0),2)</f>
        <v>2.8</v>
      </c>
      <c r="M71" s="63">
        <f>INDEX(GFW,MATCH($K71,GFW_Name,0),3)</f>
        <v>0</v>
      </c>
      <c r="N71" s="63">
        <f>INDEX(GFW,MATCH($K71,GFW_Name,0),4)</f>
        <v>0</v>
      </c>
      <c r="O71" s="63">
        <f t="shared" si="110"/>
        <v>0</v>
      </c>
      <c r="P71" s="64">
        <v>1</v>
      </c>
      <c r="Q71" s="70">
        <f t="shared" si="111"/>
        <v>8.5</v>
      </c>
      <c r="R71" s="187">
        <f t="shared" ref="R71:R80" si="123">IFERROR($L71+$M71*($O71*Q71)^$N71,$L71)</f>
        <v>2.8</v>
      </c>
      <c r="S71" s="189" cm="1">
        <f t="array" ref="S71">R71*$P71*INDEX(Month_Ref,Q$1-1,3)/365</f>
        <v>0.23780821917808218</v>
      </c>
      <c r="T71" s="70">
        <f t="shared" si="112"/>
        <v>7.8</v>
      </c>
      <c r="U71" s="187">
        <f t="shared" ref="U71:U80" si="124">IFERROR($L71+$M71*($O71*T71)^$N71,$L71)</f>
        <v>2.8</v>
      </c>
      <c r="V71" s="189" cm="1">
        <f t="array" ref="V71">U71*$P71*INDEX(Month_Ref,T$1-1,3)/365</f>
        <v>0.21479452054794518</v>
      </c>
      <c r="W71" s="70">
        <f t="shared" si="113"/>
        <v>7.8</v>
      </c>
      <c r="X71" s="187">
        <f t="shared" ref="X71:X80" si="125">IFERROR($L71+$M71*($O71*W71)^$N71,$L71)</f>
        <v>2.8</v>
      </c>
      <c r="Y71" s="189" cm="1">
        <f t="array" ref="Y71">X71*$P71*INDEX(Month_Ref,W$1-1,3)/365</f>
        <v>0.23780821917808218</v>
      </c>
      <c r="Z71" s="70">
        <f t="shared" si="114"/>
        <v>7.8</v>
      </c>
      <c r="AA71" s="187">
        <f t="shared" ref="AA71:AA80" si="126">IFERROR($L71+$M71*($O71*Z71)^$N71,$L71)</f>
        <v>2.8</v>
      </c>
      <c r="AB71" s="189" cm="1">
        <f t="array" ref="AB71">AA71*$P71*INDEX(Month_Ref,Z$1-1,3)/365</f>
        <v>0.23013698630136986</v>
      </c>
      <c r="AC71" s="70">
        <f t="shared" si="115"/>
        <v>7.6</v>
      </c>
      <c r="AD71" s="187">
        <f t="shared" ref="AD71:AD80" si="127">IFERROR($L71+$M71*($O71*AC71)^$N71,$L71)</f>
        <v>2.8</v>
      </c>
      <c r="AE71" s="189" cm="1">
        <f t="array" ref="AE71">AD71*$P71*INDEX(Month_Ref,AC$1-1,3)/365</f>
        <v>0.23780821917808218</v>
      </c>
      <c r="AF71" s="70">
        <f t="shared" si="116"/>
        <v>7.8</v>
      </c>
      <c r="AG71" s="187">
        <f t="shared" ref="AG71:AG80" si="128">IFERROR($L71+$M71*($O71*AF71)^$N71,$L71)</f>
        <v>2.8</v>
      </c>
      <c r="AH71" s="189" cm="1">
        <f t="array" ref="AH71">AG71*$P71*INDEX(Month_Ref,AF$1-1,3)/365</f>
        <v>0.23013698630136986</v>
      </c>
      <c r="AI71" s="70">
        <f t="shared" si="117"/>
        <v>8.1</v>
      </c>
      <c r="AJ71" s="187">
        <f t="shared" ref="AJ71:AJ80" si="129">IFERROR($L71+$M71*($O71*AI71)^$N71,$L71)</f>
        <v>2.8</v>
      </c>
      <c r="AK71" s="189" cm="1">
        <f t="array" ref="AK71">AJ71*$P71*INDEX(Month_Ref,AI$1-1,3)/365</f>
        <v>0.23780821917808218</v>
      </c>
      <c r="AL71" s="70">
        <f t="shared" si="118"/>
        <v>7.2</v>
      </c>
      <c r="AM71" s="187">
        <f t="shared" ref="AM71:AM80" si="130">IFERROR($L71+$M71*($O71*AL71)^$N71,$L71)</f>
        <v>2.8</v>
      </c>
      <c r="AN71" s="189" cm="1">
        <f t="array" ref="AN71">AM71*$P71*INDEX(Month_Ref,AL$1-1,3)/365</f>
        <v>0.23780821917808218</v>
      </c>
      <c r="AO71" s="70">
        <f t="shared" si="119"/>
        <v>6.7</v>
      </c>
      <c r="AP71" s="187">
        <f t="shared" ref="AP71:AP80" si="131">IFERROR($L71+$M71*($O71*AO71)^$N71,$L71)</f>
        <v>2.8</v>
      </c>
      <c r="AQ71" s="189" cm="1">
        <f t="array" ref="AQ71">AP71*$P71*INDEX(Month_Ref,AO$1-1,3)/365</f>
        <v>0.23013698630136986</v>
      </c>
      <c r="AR71" s="70">
        <f t="shared" si="120"/>
        <v>6.7</v>
      </c>
      <c r="AS71" s="187">
        <f t="shared" ref="AS71:AS80" si="132">IFERROR($L71+$M71*($O71*AR71)^$N71,$L71)</f>
        <v>2.8</v>
      </c>
      <c r="AT71" s="189" cm="1">
        <f t="array" ref="AT71">AS71*$P71*INDEX(Month_Ref,AR$1-1,3)/365</f>
        <v>0.23780821917808218</v>
      </c>
      <c r="AU71" s="70">
        <f t="shared" si="121"/>
        <v>7.8</v>
      </c>
      <c r="AV71" s="187">
        <f t="shared" ref="AV71:AV80" si="133">IFERROR($L71+$M71*($O71*AU71)^$N71,$L71)</f>
        <v>2.8</v>
      </c>
      <c r="AW71" s="189" cm="1">
        <f t="array" ref="AW71">AV71*$P71*INDEX(Month_Ref,AU$1-1,3)/365</f>
        <v>0.23013698630136986</v>
      </c>
      <c r="AX71" s="70">
        <f t="shared" si="122"/>
        <v>8.6999999999999993</v>
      </c>
      <c r="AY71" s="187">
        <f t="shared" ref="AY71:AY80" si="134">IFERROR($L71+$M71*($O71*AX71)^$N71,$L71)</f>
        <v>2.8</v>
      </c>
      <c r="AZ71" s="189" cm="1">
        <f t="array" ref="AZ71">AY71*$P71*INDEX(Month_Ref,AX$1-1,3)/365</f>
        <v>0.23780821917808218</v>
      </c>
      <c r="BA71" s="183">
        <f t="shared" si="108"/>
        <v>2.8</v>
      </c>
      <c r="BC71" s="20">
        <f t="shared" si="109"/>
        <v>65</v>
      </c>
    </row>
    <row r="72" spans="2:65" ht="29.15" x14ac:dyDescent="0.4">
      <c r="B72" s="528"/>
      <c r="C72" s="531"/>
      <c r="D72" s="534"/>
      <c r="E72" s="534"/>
      <c r="F72" s="522"/>
      <c r="G72" s="522"/>
      <c r="H72" s="522"/>
      <c r="I72" s="525"/>
      <c r="J72" s="179" t="s">
        <v>1683</v>
      </c>
      <c r="K72" s="168" t="s">
        <v>1684</v>
      </c>
      <c r="L72" s="63">
        <f>INDEX(GHSP,MATCH($K72,GHSP_Name,0),2)</f>
        <v>0.47</v>
      </c>
      <c r="M72" s="63">
        <f>INDEX(GHSP,MATCH($K72,GHSP_Name,0),3)</f>
        <v>0.02</v>
      </c>
      <c r="N72" s="63">
        <f>INDEX(GHSP,MATCH($K72,GHSP_Name,0),4)</f>
        <v>0.97</v>
      </c>
      <c r="O72" s="63">
        <f t="shared" si="110"/>
        <v>0</v>
      </c>
      <c r="P72" s="64">
        <v>1</v>
      </c>
      <c r="Q72" s="70">
        <f t="shared" si="111"/>
        <v>8.5</v>
      </c>
      <c r="R72" s="190">
        <f t="shared" si="123"/>
        <v>0.47</v>
      </c>
      <c r="S72" s="191" cm="1">
        <f t="array" ref="S72">R72*$P72*INDEX(Month_Ref,Q$1-1,3)/365</f>
        <v>3.9917808219178078E-2</v>
      </c>
      <c r="T72" s="70">
        <f t="shared" si="112"/>
        <v>7.8</v>
      </c>
      <c r="U72" s="190">
        <f t="shared" si="124"/>
        <v>0.47</v>
      </c>
      <c r="V72" s="191" cm="1">
        <f t="array" ref="V72">U72*$P72*INDEX(Month_Ref,T$1-1,3)/365</f>
        <v>3.6054794520547946E-2</v>
      </c>
      <c r="W72" s="70">
        <f t="shared" si="113"/>
        <v>7.8</v>
      </c>
      <c r="X72" s="190">
        <f t="shared" si="125"/>
        <v>0.47</v>
      </c>
      <c r="Y72" s="191" cm="1">
        <f t="array" ref="Y72">X72*$P72*INDEX(Month_Ref,W$1-1,3)/365</f>
        <v>3.9917808219178078E-2</v>
      </c>
      <c r="Z72" s="70">
        <f t="shared" si="114"/>
        <v>7.8</v>
      </c>
      <c r="AA72" s="190">
        <f t="shared" si="126"/>
        <v>0.47</v>
      </c>
      <c r="AB72" s="191" cm="1">
        <f t="array" ref="AB72">AA72*$P72*INDEX(Month_Ref,Z$1-1,3)/365</f>
        <v>3.8630136986301369E-2</v>
      </c>
      <c r="AC72" s="70">
        <f t="shared" si="115"/>
        <v>7.6</v>
      </c>
      <c r="AD72" s="190">
        <f t="shared" si="127"/>
        <v>0.47</v>
      </c>
      <c r="AE72" s="191" cm="1">
        <f t="array" ref="AE72">AD72*$P72*INDEX(Month_Ref,AC$1-1,3)/365</f>
        <v>3.9917808219178078E-2</v>
      </c>
      <c r="AF72" s="70">
        <f t="shared" si="116"/>
        <v>7.8</v>
      </c>
      <c r="AG72" s="190">
        <f t="shared" si="128"/>
        <v>0.47</v>
      </c>
      <c r="AH72" s="191" cm="1">
        <f t="array" ref="AH72">AG72*$P72*INDEX(Month_Ref,AF$1-1,3)/365</f>
        <v>3.8630136986301369E-2</v>
      </c>
      <c r="AI72" s="70">
        <f t="shared" si="117"/>
        <v>8.1</v>
      </c>
      <c r="AJ72" s="190">
        <f t="shared" si="129"/>
        <v>0.47</v>
      </c>
      <c r="AK72" s="191" cm="1">
        <f t="array" ref="AK72">AJ72*$P72*INDEX(Month_Ref,AI$1-1,3)/365</f>
        <v>3.9917808219178078E-2</v>
      </c>
      <c r="AL72" s="70">
        <f t="shared" si="118"/>
        <v>7.2</v>
      </c>
      <c r="AM72" s="190">
        <f t="shared" si="130"/>
        <v>0.47</v>
      </c>
      <c r="AN72" s="191" cm="1">
        <f t="array" ref="AN72">AM72*$P72*INDEX(Month_Ref,AL$1-1,3)/365</f>
        <v>3.9917808219178078E-2</v>
      </c>
      <c r="AO72" s="70">
        <f t="shared" si="119"/>
        <v>6.7</v>
      </c>
      <c r="AP72" s="190">
        <f t="shared" si="131"/>
        <v>0.47</v>
      </c>
      <c r="AQ72" s="191" cm="1">
        <f t="array" ref="AQ72">AP72*$P72*INDEX(Month_Ref,AO$1-1,3)/365</f>
        <v>3.8630136986301369E-2</v>
      </c>
      <c r="AR72" s="70">
        <f t="shared" si="120"/>
        <v>6.7</v>
      </c>
      <c r="AS72" s="190">
        <f t="shared" si="132"/>
        <v>0.47</v>
      </c>
      <c r="AT72" s="191" cm="1">
        <f t="array" ref="AT72">AS72*$P72*INDEX(Month_Ref,AR$1-1,3)/365</f>
        <v>3.9917808219178078E-2</v>
      </c>
      <c r="AU72" s="70">
        <f t="shared" si="121"/>
        <v>7.8</v>
      </c>
      <c r="AV72" s="190">
        <f t="shared" si="133"/>
        <v>0.47</v>
      </c>
      <c r="AW72" s="191" cm="1">
        <f t="array" ref="AW72">AV72*$P72*INDEX(Month_Ref,AU$1-1,3)/365</f>
        <v>3.8630136986301369E-2</v>
      </c>
      <c r="AX72" s="70">
        <f t="shared" si="122"/>
        <v>8.6999999999999993</v>
      </c>
      <c r="AY72" s="190">
        <f t="shared" si="134"/>
        <v>0.47</v>
      </c>
      <c r="AZ72" s="191" cm="1">
        <f t="array" ref="AZ72">AY72*$P72*INDEX(Month_Ref,AX$1-1,3)/365</f>
        <v>3.9917808219178078E-2</v>
      </c>
      <c r="BA72" s="183">
        <f t="shared" si="108"/>
        <v>0.46999999999999986</v>
      </c>
      <c r="BC72" s="20">
        <f t="shared" si="109"/>
        <v>66</v>
      </c>
    </row>
    <row r="73" spans="2:65" ht="29.15" x14ac:dyDescent="0.4">
      <c r="B73" s="528"/>
      <c r="C73" s="531"/>
      <c r="D73" s="534"/>
      <c r="E73" s="534"/>
      <c r="F73" s="522"/>
      <c r="G73" s="522"/>
      <c r="H73" s="522"/>
      <c r="I73" s="525"/>
      <c r="J73" s="179" t="s">
        <v>1687</v>
      </c>
      <c r="K73" s="168" t="s">
        <v>1684</v>
      </c>
      <c r="L73" s="63">
        <f>INDEX(Vac_Break,MATCH($K73,Vac_Break_Name,0),2)</f>
        <v>6.2</v>
      </c>
      <c r="M73" s="63">
        <f>INDEX(Vac_Break,MATCH($K73,Vac_Break_Name,0),3)</f>
        <v>1.2</v>
      </c>
      <c r="N73" s="63">
        <f>INDEX(Vac_Break,MATCH($K73,Vac_Break_Name,0),4)</f>
        <v>0.94</v>
      </c>
      <c r="O73" s="63">
        <f t="shared" si="110"/>
        <v>0</v>
      </c>
      <c r="P73" s="64" cm="1">
        <f t="array" ref="P73">IF(F67="Internal Floating Roof",1,INDEX(Tbl_71_13,_xlfn.MINIFS(Tbl_71_13_Range,Tbl_71_13_Dia,"&gt;="&amp;$E67),IF(G67="Pontoon",3,4)))</f>
        <v>1</v>
      </c>
      <c r="Q73" s="70">
        <f t="shared" si="111"/>
        <v>8.5</v>
      </c>
      <c r="R73" s="187">
        <f t="shared" si="123"/>
        <v>6.2</v>
      </c>
      <c r="S73" s="189" cm="1">
        <f t="array" ref="S73">R73*$P73*INDEX(Month_Ref,Q$1-1,3)/365</f>
        <v>0.52657534246575344</v>
      </c>
      <c r="T73" s="70">
        <f t="shared" si="112"/>
        <v>7.8</v>
      </c>
      <c r="U73" s="187">
        <f t="shared" si="124"/>
        <v>6.2</v>
      </c>
      <c r="V73" s="189" cm="1">
        <f t="array" ref="V73">U73*$P73*INDEX(Month_Ref,T$1-1,3)/365</f>
        <v>0.47561643835616435</v>
      </c>
      <c r="W73" s="70">
        <f t="shared" si="113"/>
        <v>7.8</v>
      </c>
      <c r="X73" s="187">
        <f t="shared" si="125"/>
        <v>6.2</v>
      </c>
      <c r="Y73" s="189" cm="1">
        <f t="array" ref="Y73">X73*$P73*INDEX(Month_Ref,W$1-1,3)/365</f>
        <v>0.52657534246575344</v>
      </c>
      <c r="Z73" s="70">
        <f t="shared" si="114"/>
        <v>7.8</v>
      </c>
      <c r="AA73" s="187">
        <f t="shared" si="126"/>
        <v>6.2</v>
      </c>
      <c r="AB73" s="189" cm="1">
        <f t="array" ref="AB73">AA73*$P73*INDEX(Month_Ref,Z$1-1,3)/365</f>
        <v>0.50958904109589043</v>
      </c>
      <c r="AC73" s="70">
        <f t="shared" si="115"/>
        <v>7.6</v>
      </c>
      <c r="AD73" s="187">
        <f t="shared" si="127"/>
        <v>6.2</v>
      </c>
      <c r="AE73" s="189" cm="1">
        <f t="array" ref="AE73">AD73*$P73*INDEX(Month_Ref,AC$1-1,3)/365</f>
        <v>0.52657534246575344</v>
      </c>
      <c r="AF73" s="70">
        <f t="shared" si="116"/>
        <v>7.8</v>
      </c>
      <c r="AG73" s="187">
        <f t="shared" si="128"/>
        <v>6.2</v>
      </c>
      <c r="AH73" s="189" cm="1">
        <f t="array" ref="AH73">AG73*$P73*INDEX(Month_Ref,AF$1-1,3)/365</f>
        <v>0.50958904109589043</v>
      </c>
      <c r="AI73" s="70">
        <f t="shared" si="117"/>
        <v>8.1</v>
      </c>
      <c r="AJ73" s="187">
        <f t="shared" si="129"/>
        <v>6.2</v>
      </c>
      <c r="AK73" s="189" cm="1">
        <f t="array" ref="AK73">AJ73*$P73*INDEX(Month_Ref,AI$1-1,3)/365</f>
        <v>0.52657534246575344</v>
      </c>
      <c r="AL73" s="70">
        <f t="shared" si="118"/>
        <v>7.2</v>
      </c>
      <c r="AM73" s="187">
        <f t="shared" si="130"/>
        <v>6.2</v>
      </c>
      <c r="AN73" s="189" cm="1">
        <f t="array" ref="AN73">AM73*$P73*INDEX(Month_Ref,AL$1-1,3)/365</f>
        <v>0.52657534246575344</v>
      </c>
      <c r="AO73" s="70">
        <f t="shared" si="119"/>
        <v>6.7</v>
      </c>
      <c r="AP73" s="187">
        <f t="shared" si="131"/>
        <v>6.2</v>
      </c>
      <c r="AQ73" s="189" cm="1">
        <f t="array" ref="AQ73">AP73*$P73*INDEX(Month_Ref,AO$1-1,3)/365</f>
        <v>0.50958904109589043</v>
      </c>
      <c r="AR73" s="70">
        <f t="shared" si="120"/>
        <v>6.7</v>
      </c>
      <c r="AS73" s="187">
        <f t="shared" si="132"/>
        <v>6.2</v>
      </c>
      <c r="AT73" s="189" cm="1">
        <f t="array" ref="AT73">AS73*$P73*INDEX(Month_Ref,AR$1-1,3)/365</f>
        <v>0.52657534246575344</v>
      </c>
      <c r="AU73" s="70">
        <f t="shared" si="121"/>
        <v>7.8</v>
      </c>
      <c r="AV73" s="187">
        <f t="shared" si="133"/>
        <v>6.2</v>
      </c>
      <c r="AW73" s="189" cm="1">
        <f t="array" ref="AW73">AV73*$P73*INDEX(Month_Ref,AU$1-1,3)/365</f>
        <v>0.50958904109589043</v>
      </c>
      <c r="AX73" s="70">
        <f t="shared" si="122"/>
        <v>8.6999999999999993</v>
      </c>
      <c r="AY73" s="187">
        <f t="shared" si="134"/>
        <v>6.2</v>
      </c>
      <c r="AZ73" s="189" cm="1">
        <f t="array" ref="AZ73">AY73*$P73*INDEX(Month_Ref,AX$1-1,3)/365</f>
        <v>0.52657534246575344</v>
      </c>
      <c r="BA73" s="183">
        <f t="shared" si="108"/>
        <v>6.2</v>
      </c>
      <c r="BC73" s="20">
        <f t="shared" si="109"/>
        <v>67</v>
      </c>
    </row>
    <row r="74" spans="2:65" x14ac:dyDescent="0.4">
      <c r="B74" s="528"/>
      <c r="C74" s="531"/>
      <c r="D74" s="534"/>
      <c r="E74" s="534"/>
      <c r="F74" s="522"/>
      <c r="G74" s="522"/>
      <c r="H74" s="522"/>
      <c r="I74" s="525"/>
      <c r="J74" s="179" t="s">
        <v>1688</v>
      </c>
      <c r="K74" s="168" t="s">
        <v>1647</v>
      </c>
      <c r="L74" s="63">
        <f>INDEX(Deck_Drain,MATCH($K74,Deck_Drain_Name,0),2)</f>
        <v>0</v>
      </c>
      <c r="M74" s="63">
        <f>INDEX(Deck_Drain,MATCH($K74,Deck_Drain_Name,0),3)</f>
        <v>0</v>
      </c>
      <c r="N74" s="63">
        <f>INDEX(Deck_Drain,MATCH($K74,Deck_Drain_Name,0),4)</f>
        <v>0</v>
      </c>
      <c r="O74" s="63">
        <f t="shared" si="110"/>
        <v>0</v>
      </c>
      <c r="P74" s="64" cm="1">
        <f t="array" ref="P74">IF(F67="Internal Floating Roof",1,INDEX(Tbl_71_13,_xlfn.MINIFS(Tbl_71_13_Range,Tbl_71_13_Dia,"&gt;="&amp;$E67),5))</f>
        <v>1</v>
      </c>
      <c r="Q74" s="70">
        <f t="shared" si="111"/>
        <v>8.5</v>
      </c>
      <c r="R74" s="188">
        <f t="shared" si="123"/>
        <v>0</v>
      </c>
      <c r="S74" s="192" cm="1">
        <f t="array" ref="S74">R74*$P74*INDEX(Month_Ref,Q$1-1,3)/365</f>
        <v>0</v>
      </c>
      <c r="T74" s="70">
        <f t="shared" si="112"/>
        <v>7.8</v>
      </c>
      <c r="U74" s="188">
        <f t="shared" si="124"/>
        <v>0</v>
      </c>
      <c r="V74" s="192" cm="1">
        <f t="array" ref="V74">U74*$P74*INDEX(Month_Ref,T$1-1,3)/365</f>
        <v>0</v>
      </c>
      <c r="W74" s="70">
        <f t="shared" si="113"/>
        <v>7.8</v>
      </c>
      <c r="X74" s="188">
        <f t="shared" si="125"/>
        <v>0</v>
      </c>
      <c r="Y74" s="192" cm="1">
        <f t="array" ref="Y74">X74*$P74*INDEX(Month_Ref,W$1-1,3)/365</f>
        <v>0</v>
      </c>
      <c r="Z74" s="70">
        <f t="shared" si="114"/>
        <v>7.8</v>
      </c>
      <c r="AA74" s="188">
        <f t="shared" si="126"/>
        <v>0</v>
      </c>
      <c r="AB74" s="192" cm="1">
        <f t="array" ref="AB74">AA74*$P74*INDEX(Month_Ref,Z$1-1,3)/365</f>
        <v>0</v>
      </c>
      <c r="AC74" s="70">
        <f t="shared" si="115"/>
        <v>7.6</v>
      </c>
      <c r="AD74" s="188">
        <f t="shared" si="127"/>
        <v>0</v>
      </c>
      <c r="AE74" s="192" cm="1">
        <f t="array" ref="AE74">AD74*$P74*INDEX(Month_Ref,AC$1-1,3)/365</f>
        <v>0</v>
      </c>
      <c r="AF74" s="70">
        <f t="shared" si="116"/>
        <v>7.8</v>
      </c>
      <c r="AG74" s="188">
        <f t="shared" si="128"/>
        <v>0</v>
      </c>
      <c r="AH74" s="192" cm="1">
        <f t="array" ref="AH74">AG74*$P74*INDEX(Month_Ref,AF$1-1,3)/365</f>
        <v>0</v>
      </c>
      <c r="AI74" s="70">
        <f t="shared" si="117"/>
        <v>8.1</v>
      </c>
      <c r="AJ74" s="188">
        <f t="shared" si="129"/>
        <v>0</v>
      </c>
      <c r="AK74" s="192" cm="1">
        <f t="array" ref="AK74">AJ74*$P74*INDEX(Month_Ref,AI$1-1,3)/365</f>
        <v>0</v>
      </c>
      <c r="AL74" s="70">
        <f t="shared" si="118"/>
        <v>7.2</v>
      </c>
      <c r="AM74" s="188">
        <f t="shared" si="130"/>
        <v>0</v>
      </c>
      <c r="AN74" s="192" cm="1">
        <f t="array" ref="AN74">AM74*$P74*INDEX(Month_Ref,AL$1-1,3)/365</f>
        <v>0</v>
      </c>
      <c r="AO74" s="70">
        <f t="shared" si="119"/>
        <v>6.7</v>
      </c>
      <c r="AP74" s="188">
        <f t="shared" si="131"/>
        <v>0</v>
      </c>
      <c r="AQ74" s="192" cm="1">
        <f t="array" ref="AQ74">AP74*$P74*INDEX(Month_Ref,AO$1-1,3)/365</f>
        <v>0</v>
      </c>
      <c r="AR74" s="70">
        <f t="shared" si="120"/>
        <v>6.7</v>
      </c>
      <c r="AS74" s="188">
        <f t="shared" si="132"/>
        <v>0</v>
      </c>
      <c r="AT74" s="192" cm="1">
        <f t="array" ref="AT74">AS74*$P74*INDEX(Month_Ref,AR$1-1,3)/365</f>
        <v>0</v>
      </c>
      <c r="AU74" s="70">
        <f t="shared" si="121"/>
        <v>7.8</v>
      </c>
      <c r="AV74" s="188">
        <f t="shared" si="133"/>
        <v>0</v>
      </c>
      <c r="AW74" s="192" cm="1">
        <f t="array" ref="AW74">AV74*$P74*INDEX(Month_Ref,AU$1-1,3)/365</f>
        <v>0</v>
      </c>
      <c r="AX74" s="70">
        <f t="shared" si="122"/>
        <v>8.6999999999999993</v>
      </c>
      <c r="AY74" s="188">
        <f t="shared" si="134"/>
        <v>0</v>
      </c>
      <c r="AZ74" s="192" cm="1">
        <f t="array" ref="AZ74">AY74*$P74*INDEX(Month_Ref,AX$1-1,3)/365</f>
        <v>0</v>
      </c>
      <c r="BA74" s="183">
        <f t="shared" si="108"/>
        <v>0</v>
      </c>
      <c r="BC74" s="20">
        <f t="shared" si="109"/>
        <v>68</v>
      </c>
    </row>
    <row r="75" spans="2:65" x14ac:dyDescent="0.4">
      <c r="B75" s="528"/>
      <c r="C75" s="531"/>
      <c r="D75" s="534"/>
      <c r="E75" s="534"/>
      <c r="F75" s="522"/>
      <c r="G75" s="522"/>
      <c r="H75" s="522"/>
      <c r="I75" s="525"/>
      <c r="J75" s="179" t="s">
        <v>1708</v>
      </c>
      <c r="K75" s="168" t="s">
        <v>1647</v>
      </c>
      <c r="L75" s="63">
        <f>INDEX(Deck_Leg_IFR,MATCH($K75,Deck_Leg_IFR_Name,0),2)</f>
        <v>7.9</v>
      </c>
      <c r="M75" s="63">
        <f>INDEX(Deck_Leg_IFR,MATCH($K75,Deck_Leg_IFR_Name,0),3)</f>
        <v>0</v>
      </c>
      <c r="N75" s="63">
        <f>INDEX(Deck_Leg_IFR,MATCH($K75,Deck_Leg_IFR_Name,0),4)</f>
        <v>0</v>
      </c>
      <c r="O75" s="63">
        <f t="shared" si="110"/>
        <v>0</v>
      </c>
      <c r="P75" s="64">
        <f>IF($F67="Internal Floating Roof",ROUND(5+$E67/10+($E67^2)/600,0),0)</f>
        <v>41</v>
      </c>
      <c r="Q75" s="70">
        <f t="shared" si="111"/>
        <v>8.5</v>
      </c>
      <c r="R75" s="63">
        <f t="shared" si="123"/>
        <v>7.9</v>
      </c>
      <c r="S75" s="64" cm="1">
        <f t="array" ref="S75">R75*$P75*INDEX(Month_Ref,Q$1-1,3)/365</f>
        <v>27.509315068493155</v>
      </c>
      <c r="T75" s="70">
        <f t="shared" si="112"/>
        <v>7.8</v>
      </c>
      <c r="U75" s="63">
        <f t="shared" si="124"/>
        <v>7.9</v>
      </c>
      <c r="V75" s="64" cm="1">
        <f t="array" ref="V75">U75*$P75*INDEX(Month_Ref,T$1-1,3)/365</f>
        <v>24.847123287671234</v>
      </c>
      <c r="W75" s="70">
        <f t="shared" si="113"/>
        <v>7.8</v>
      </c>
      <c r="X75" s="63">
        <f t="shared" si="125"/>
        <v>7.9</v>
      </c>
      <c r="Y75" s="64" cm="1">
        <f t="array" ref="Y75">X75*$P75*INDEX(Month_Ref,W$1-1,3)/365</f>
        <v>27.509315068493155</v>
      </c>
      <c r="Z75" s="70">
        <f t="shared" si="114"/>
        <v>7.8</v>
      </c>
      <c r="AA75" s="63">
        <f t="shared" si="126"/>
        <v>7.9</v>
      </c>
      <c r="AB75" s="64" cm="1">
        <f t="array" ref="AB75">AA75*$P75*INDEX(Month_Ref,Z$1-1,3)/365</f>
        <v>26.621917808219184</v>
      </c>
      <c r="AC75" s="70">
        <f t="shared" si="115"/>
        <v>7.6</v>
      </c>
      <c r="AD75" s="63">
        <f t="shared" si="127"/>
        <v>7.9</v>
      </c>
      <c r="AE75" s="64" cm="1">
        <f t="array" ref="AE75">AD75*$P75*INDEX(Month_Ref,AC$1-1,3)/365</f>
        <v>27.509315068493155</v>
      </c>
      <c r="AF75" s="70">
        <f t="shared" si="116"/>
        <v>7.8</v>
      </c>
      <c r="AG75" s="63">
        <f t="shared" si="128"/>
        <v>7.9</v>
      </c>
      <c r="AH75" s="64" cm="1">
        <f t="array" ref="AH75">AG75*$P75*INDEX(Month_Ref,AF$1-1,3)/365</f>
        <v>26.621917808219184</v>
      </c>
      <c r="AI75" s="70">
        <f t="shared" si="117"/>
        <v>8.1</v>
      </c>
      <c r="AJ75" s="63">
        <f t="shared" si="129"/>
        <v>7.9</v>
      </c>
      <c r="AK75" s="64" cm="1">
        <f t="array" ref="AK75">AJ75*$P75*INDEX(Month_Ref,AI$1-1,3)/365</f>
        <v>27.509315068493155</v>
      </c>
      <c r="AL75" s="70">
        <f t="shared" si="118"/>
        <v>7.2</v>
      </c>
      <c r="AM75" s="63">
        <f t="shared" si="130"/>
        <v>7.9</v>
      </c>
      <c r="AN75" s="64" cm="1">
        <f t="array" ref="AN75">AM75*$P75*INDEX(Month_Ref,AL$1-1,3)/365</f>
        <v>27.509315068493155</v>
      </c>
      <c r="AO75" s="70">
        <f t="shared" si="119"/>
        <v>6.7</v>
      </c>
      <c r="AP75" s="63">
        <f t="shared" si="131"/>
        <v>7.9</v>
      </c>
      <c r="AQ75" s="64" cm="1">
        <f t="array" ref="AQ75">AP75*$P75*INDEX(Month_Ref,AO$1-1,3)/365</f>
        <v>26.621917808219184</v>
      </c>
      <c r="AR75" s="70">
        <f t="shared" si="120"/>
        <v>6.7</v>
      </c>
      <c r="AS75" s="63">
        <f t="shared" si="132"/>
        <v>7.9</v>
      </c>
      <c r="AT75" s="64" cm="1">
        <f t="array" ref="AT75">AS75*$P75*INDEX(Month_Ref,AR$1-1,3)/365</f>
        <v>27.509315068493155</v>
      </c>
      <c r="AU75" s="70">
        <f t="shared" si="121"/>
        <v>7.8</v>
      </c>
      <c r="AV75" s="63">
        <f t="shared" si="133"/>
        <v>7.9</v>
      </c>
      <c r="AW75" s="64" cm="1">
        <f t="array" ref="AW75">AV75*$P75*INDEX(Month_Ref,AU$1-1,3)/365</f>
        <v>26.621917808219184</v>
      </c>
      <c r="AX75" s="70">
        <f t="shared" si="122"/>
        <v>8.6999999999999993</v>
      </c>
      <c r="AY75" s="63">
        <f t="shared" si="134"/>
        <v>7.9</v>
      </c>
      <c r="AZ75" s="64" cm="1">
        <f t="array" ref="AZ75">AY75*$P75*INDEX(Month_Ref,AX$1-1,3)/365</f>
        <v>27.509315068493155</v>
      </c>
      <c r="BA75" s="183">
        <f t="shared" si="108"/>
        <v>323.90000000000003</v>
      </c>
      <c r="BC75" s="20">
        <f t="shared" si="109"/>
        <v>69</v>
      </c>
    </row>
    <row r="76" spans="2:65" x14ac:dyDescent="0.4">
      <c r="B76" s="528"/>
      <c r="C76" s="531"/>
      <c r="D76" s="534"/>
      <c r="E76" s="534"/>
      <c r="F76" s="522"/>
      <c r="G76" s="522"/>
      <c r="H76" s="522"/>
      <c r="I76" s="525"/>
      <c r="J76" s="179" t="s">
        <v>1711</v>
      </c>
      <c r="K76" s="168" t="s">
        <v>1582</v>
      </c>
      <c r="L76" s="63">
        <f>INDEX(Deck_Leg_Pon,MATCH($K76,Deck_Leg_Pon_Name,0),2)</f>
        <v>0</v>
      </c>
      <c r="M76" s="63">
        <f>INDEX(Deck_Leg_Pon,MATCH($K76,Deck_Leg_Pon_Name,0),3)</f>
        <v>0</v>
      </c>
      <c r="N76" s="63">
        <f>INDEX(Deck_Leg_Pon,MATCH($K76,Deck_Leg_Pon_Name,0),4)</f>
        <v>0</v>
      </c>
      <c r="O76" s="63">
        <f t="shared" si="110"/>
        <v>0</v>
      </c>
      <c r="P76" s="64" cm="1">
        <f t="array" ref="P76">IF($G67="Pontoon",INDEX(Tbl_71_14,_xlfn.MINIFS(Tbl_71_14_Range,Tbl_71_14_Dia,"&gt;="&amp;$E67),3),0)</f>
        <v>0</v>
      </c>
      <c r="Q76" s="70">
        <f t="shared" si="111"/>
        <v>8.5</v>
      </c>
      <c r="R76" s="188">
        <f t="shared" si="123"/>
        <v>0</v>
      </c>
      <c r="S76" s="64" cm="1">
        <f t="array" ref="S76">R76*$P76*INDEX(Month_Ref,Q$1-1,3)/365</f>
        <v>0</v>
      </c>
      <c r="T76" s="70">
        <f t="shared" si="112"/>
        <v>7.8</v>
      </c>
      <c r="U76" s="188">
        <f t="shared" si="124"/>
        <v>0</v>
      </c>
      <c r="V76" s="64" cm="1">
        <f t="array" ref="V76">U76*$P76*INDEX(Month_Ref,T$1-1,3)/365</f>
        <v>0</v>
      </c>
      <c r="W76" s="70">
        <f t="shared" si="113"/>
        <v>7.8</v>
      </c>
      <c r="X76" s="188">
        <f t="shared" si="125"/>
        <v>0</v>
      </c>
      <c r="Y76" s="64" cm="1">
        <f t="array" ref="Y76">X76*$P76*INDEX(Month_Ref,W$1-1,3)/365</f>
        <v>0</v>
      </c>
      <c r="Z76" s="70">
        <f t="shared" si="114"/>
        <v>7.8</v>
      </c>
      <c r="AA76" s="188">
        <f t="shared" si="126"/>
        <v>0</v>
      </c>
      <c r="AB76" s="64" cm="1">
        <f t="array" ref="AB76">AA76*$P76*INDEX(Month_Ref,Z$1-1,3)/365</f>
        <v>0</v>
      </c>
      <c r="AC76" s="70">
        <f t="shared" si="115"/>
        <v>7.6</v>
      </c>
      <c r="AD76" s="188">
        <f t="shared" si="127"/>
        <v>0</v>
      </c>
      <c r="AE76" s="64" cm="1">
        <f t="array" ref="AE76">AD76*$P76*INDEX(Month_Ref,AC$1-1,3)/365</f>
        <v>0</v>
      </c>
      <c r="AF76" s="70">
        <f t="shared" si="116"/>
        <v>7.8</v>
      </c>
      <c r="AG76" s="188">
        <f t="shared" si="128"/>
        <v>0</v>
      </c>
      <c r="AH76" s="64" cm="1">
        <f t="array" ref="AH76">AG76*$P76*INDEX(Month_Ref,AF$1-1,3)/365</f>
        <v>0</v>
      </c>
      <c r="AI76" s="70">
        <f t="shared" si="117"/>
        <v>8.1</v>
      </c>
      <c r="AJ76" s="188">
        <f t="shared" si="129"/>
        <v>0</v>
      </c>
      <c r="AK76" s="64" cm="1">
        <f t="array" ref="AK76">AJ76*$P76*INDEX(Month_Ref,AI$1-1,3)/365</f>
        <v>0</v>
      </c>
      <c r="AL76" s="70">
        <f t="shared" si="118"/>
        <v>7.2</v>
      </c>
      <c r="AM76" s="188">
        <f t="shared" si="130"/>
        <v>0</v>
      </c>
      <c r="AN76" s="64" cm="1">
        <f t="array" ref="AN76">AM76*$P76*INDEX(Month_Ref,AL$1-1,3)/365</f>
        <v>0</v>
      </c>
      <c r="AO76" s="70">
        <f t="shared" si="119"/>
        <v>6.7</v>
      </c>
      <c r="AP76" s="188">
        <f t="shared" si="131"/>
        <v>0</v>
      </c>
      <c r="AQ76" s="64" cm="1">
        <f t="array" ref="AQ76">AP76*$P76*INDEX(Month_Ref,AO$1-1,3)/365</f>
        <v>0</v>
      </c>
      <c r="AR76" s="70">
        <f t="shared" si="120"/>
        <v>6.7</v>
      </c>
      <c r="AS76" s="188">
        <f t="shared" si="132"/>
        <v>0</v>
      </c>
      <c r="AT76" s="64" cm="1">
        <f t="array" ref="AT76">AS76*$P76*INDEX(Month_Ref,AR$1-1,3)/365</f>
        <v>0</v>
      </c>
      <c r="AU76" s="70">
        <f t="shared" si="121"/>
        <v>7.8</v>
      </c>
      <c r="AV76" s="188">
        <f t="shared" si="133"/>
        <v>0</v>
      </c>
      <c r="AW76" s="64" cm="1">
        <f t="array" ref="AW76">AV76*$P76*INDEX(Month_Ref,AU$1-1,3)/365</f>
        <v>0</v>
      </c>
      <c r="AX76" s="70">
        <f t="shared" si="122"/>
        <v>8.6999999999999993</v>
      </c>
      <c r="AY76" s="188">
        <f t="shared" si="134"/>
        <v>0</v>
      </c>
      <c r="AZ76" s="64" cm="1">
        <f t="array" ref="AZ76">AY76*$P76*INDEX(Month_Ref,AX$1-1,3)/365</f>
        <v>0</v>
      </c>
      <c r="BA76" s="183">
        <f t="shared" si="108"/>
        <v>0</v>
      </c>
      <c r="BC76" s="20">
        <f t="shared" si="109"/>
        <v>70</v>
      </c>
    </row>
    <row r="77" spans="2:65" ht="29.15" x14ac:dyDescent="0.4">
      <c r="B77" s="528"/>
      <c r="C77" s="531"/>
      <c r="D77" s="534"/>
      <c r="E77" s="534"/>
      <c r="F77" s="522"/>
      <c r="G77" s="522"/>
      <c r="H77" s="522"/>
      <c r="I77" s="525"/>
      <c r="J77" s="179" t="s">
        <v>1714</v>
      </c>
      <c r="K77" s="168" t="s">
        <v>1582</v>
      </c>
      <c r="L77" s="63">
        <f>INDEX(Deck_Leg_DD,MATCH($K77,Deck_Leg_DD_Name,0),2)</f>
        <v>0</v>
      </c>
      <c r="M77" s="63">
        <f>INDEX(Deck_Leg_DD,MATCH($K77,Deck_Leg_DD_Name,0),3)</f>
        <v>0</v>
      </c>
      <c r="N77" s="63">
        <f>INDEX(Deck_Leg_DD,MATCH($K77,Deck_Leg_DD_Name,0),4)</f>
        <v>0</v>
      </c>
      <c r="O77" s="63">
        <f t="shared" si="110"/>
        <v>0</v>
      </c>
      <c r="P77" s="64" cm="1">
        <f t="array" ref="P77">IF($G67="Pontoon",INDEX(Tbl_71_14,_xlfn.MINIFS(Tbl_71_14_Range,Tbl_71_14_Dia,"&gt;="&amp;$E67),4),IF($F67="Internal Floating Roof",0,6))</f>
        <v>0</v>
      </c>
      <c r="Q77" s="70">
        <f t="shared" si="111"/>
        <v>8.5</v>
      </c>
      <c r="R77" s="188">
        <f t="shared" si="123"/>
        <v>0</v>
      </c>
      <c r="S77" s="192" cm="1">
        <f t="array" ref="S77">R77*$P77*INDEX(Month_Ref,Q$1-1,3)/365</f>
        <v>0</v>
      </c>
      <c r="T77" s="70">
        <f t="shared" si="112"/>
        <v>7.8</v>
      </c>
      <c r="U77" s="188">
        <f t="shared" si="124"/>
        <v>0</v>
      </c>
      <c r="V77" s="192" cm="1">
        <f t="array" ref="V77">U77*$P77*INDEX(Month_Ref,T$1-1,3)/365</f>
        <v>0</v>
      </c>
      <c r="W77" s="70">
        <f t="shared" si="113"/>
        <v>7.8</v>
      </c>
      <c r="X77" s="188">
        <f t="shared" si="125"/>
        <v>0</v>
      </c>
      <c r="Y77" s="192" cm="1">
        <f t="array" ref="Y77">X77*$P77*INDEX(Month_Ref,W$1-1,3)/365</f>
        <v>0</v>
      </c>
      <c r="Z77" s="70">
        <f t="shared" si="114"/>
        <v>7.8</v>
      </c>
      <c r="AA77" s="188">
        <f t="shared" si="126"/>
        <v>0</v>
      </c>
      <c r="AB77" s="192" cm="1">
        <f t="array" ref="AB77">AA77*$P77*INDEX(Month_Ref,Z$1-1,3)/365</f>
        <v>0</v>
      </c>
      <c r="AC77" s="70">
        <f t="shared" si="115"/>
        <v>7.6</v>
      </c>
      <c r="AD77" s="188">
        <f t="shared" si="127"/>
        <v>0</v>
      </c>
      <c r="AE77" s="192" cm="1">
        <f t="array" ref="AE77">AD77*$P77*INDEX(Month_Ref,AC$1-1,3)/365</f>
        <v>0</v>
      </c>
      <c r="AF77" s="70">
        <f t="shared" si="116"/>
        <v>7.8</v>
      </c>
      <c r="AG77" s="188">
        <f t="shared" si="128"/>
        <v>0</v>
      </c>
      <c r="AH77" s="192" cm="1">
        <f t="array" ref="AH77">AG77*$P77*INDEX(Month_Ref,AF$1-1,3)/365</f>
        <v>0</v>
      </c>
      <c r="AI77" s="70">
        <f t="shared" si="117"/>
        <v>8.1</v>
      </c>
      <c r="AJ77" s="188">
        <f t="shared" si="129"/>
        <v>0</v>
      </c>
      <c r="AK77" s="192" cm="1">
        <f t="array" ref="AK77">AJ77*$P77*INDEX(Month_Ref,AI$1-1,3)/365</f>
        <v>0</v>
      </c>
      <c r="AL77" s="70">
        <f t="shared" si="118"/>
        <v>7.2</v>
      </c>
      <c r="AM77" s="188">
        <f t="shared" si="130"/>
        <v>0</v>
      </c>
      <c r="AN77" s="192" cm="1">
        <f t="array" ref="AN77">AM77*$P77*INDEX(Month_Ref,AL$1-1,3)/365</f>
        <v>0</v>
      </c>
      <c r="AO77" s="70">
        <f t="shared" si="119"/>
        <v>6.7</v>
      </c>
      <c r="AP77" s="188">
        <f t="shared" si="131"/>
        <v>0</v>
      </c>
      <c r="AQ77" s="192" cm="1">
        <f t="array" ref="AQ77">AP77*$P77*INDEX(Month_Ref,AO$1-1,3)/365</f>
        <v>0</v>
      </c>
      <c r="AR77" s="70">
        <f t="shared" si="120"/>
        <v>6.7</v>
      </c>
      <c r="AS77" s="188">
        <f t="shared" si="132"/>
        <v>0</v>
      </c>
      <c r="AT77" s="192" cm="1">
        <f t="array" ref="AT77">AS77*$P77*INDEX(Month_Ref,AR$1-1,3)/365</f>
        <v>0</v>
      </c>
      <c r="AU77" s="70">
        <f t="shared" si="121"/>
        <v>7.8</v>
      </c>
      <c r="AV77" s="188">
        <f t="shared" si="133"/>
        <v>0</v>
      </c>
      <c r="AW77" s="192" cm="1">
        <f t="array" ref="AW77">AV77*$P77*INDEX(Month_Ref,AU$1-1,3)/365</f>
        <v>0</v>
      </c>
      <c r="AX77" s="70">
        <f t="shared" si="122"/>
        <v>8.6999999999999993</v>
      </c>
      <c r="AY77" s="188">
        <f t="shared" si="134"/>
        <v>0</v>
      </c>
      <c r="AZ77" s="192" cm="1">
        <f t="array" ref="AZ77">AY77*$P77*INDEX(Month_Ref,AX$1-1,3)/365</f>
        <v>0</v>
      </c>
      <c r="BA77" s="183">
        <f t="shared" si="108"/>
        <v>0</v>
      </c>
      <c r="BC77" s="20">
        <f t="shared" si="109"/>
        <v>71</v>
      </c>
    </row>
    <row r="78" spans="2:65" x14ac:dyDescent="0.4">
      <c r="B78" s="528"/>
      <c r="C78" s="531"/>
      <c r="D78" s="534"/>
      <c r="E78" s="534"/>
      <c r="F78" s="522"/>
      <c r="G78" s="522"/>
      <c r="H78" s="522"/>
      <c r="I78" s="525"/>
      <c r="J78" s="180" t="s">
        <v>1700</v>
      </c>
      <c r="K78" s="168" t="s">
        <v>1647</v>
      </c>
      <c r="L78" s="63">
        <f>INDEX(Rim_Vent,MATCH($K78,Rim_Vent_Name,0),2)</f>
        <v>0.71</v>
      </c>
      <c r="M78" s="63">
        <f>INDEX(Rim_Vent,MATCH($K78,Rim_Vent_Name,0),3)</f>
        <v>0.1</v>
      </c>
      <c r="N78" s="63">
        <f>INDEX(Rim_Vent,MATCH($K78,Rim_Vent_Name,0),4)</f>
        <v>1</v>
      </c>
      <c r="O78" s="63">
        <f t="shared" si="110"/>
        <v>0</v>
      </c>
      <c r="P78" s="64">
        <f>IF(OR($H67="Mechanical Shoe - Primary Only",$H67="Mechanical Shoe w/ Shoe-Mounted Secondary",$H67="Mechanical Shoe w/ Rim Mounted Secondary"),1,0)</f>
        <v>1</v>
      </c>
      <c r="Q78" s="70">
        <f t="shared" si="111"/>
        <v>8.5</v>
      </c>
      <c r="R78" s="188">
        <f t="shared" si="123"/>
        <v>0.71</v>
      </c>
      <c r="S78" s="192" cm="1">
        <f t="array" ref="S78">R78*$P78*INDEX(Month_Ref,Q$1-1,3)/365</f>
        <v>6.0301369863013696E-2</v>
      </c>
      <c r="T78" s="70">
        <f t="shared" si="112"/>
        <v>7.8</v>
      </c>
      <c r="U78" s="188">
        <f t="shared" si="124"/>
        <v>0.71</v>
      </c>
      <c r="V78" s="192" cm="1">
        <f t="array" ref="V78">U78*$P78*INDEX(Month_Ref,T$1-1,3)/365</f>
        <v>5.446575342465753E-2</v>
      </c>
      <c r="W78" s="70">
        <f t="shared" si="113"/>
        <v>7.8</v>
      </c>
      <c r="X78" s="188">
        <f t="shared" si="125"/>
        <v>0.71</v>
      </c>
      <c r="Y78" s="192" cm="1">
        <f t="array" ref="Y78">X78*$P78*INDEX(Month_Ref,W$1-1,3)/365</f>
        <v>6.0301369863013696E-2</v>
      </c>
      <c r="Z78" s="70">
        <f t="shared" si="114"/>
        <v>7.8</v>
      </c>
      <c r="AA78" s="188">
        <f t="shared" si="126"/>
        <v>0.71</v>
      </c>
      <c r="AB78" s="192" cm="1">
        <f t="array" ref="AB78">AA78*$P78*INDEX(Month_Ref,Z$1-1,3)/365</f>
        <v>5.8356164383561636E-2</v>
      </c>
      <c r="AC78" s="70">
        <f t="shared" si="115"/>
        <v>7.6</v>
      </c>
      <c r="AD78" s="188">
        <f t="shared" si="127"/>
        <v>0.71</v>
      </c>
      <c r="AE78" s="192" cm="1">
        <f t="array" ref="AE78">AD78*$P78*INDEX(Month_Ref,AC$1-1,3)/365</f>
        <v>6.0301369863013696E-2</v>
      </c>
      <c r="AF78" s="70">
        <f t="shared" si="116"/>
        <v>7.8</v>
      </c>
      <c r="AG78" s="188">
        <f t="shared" si="128"/>
        <v>0.71</v>
      </c>
      <c r="AH78" s="192" cm="1">
        <f t="array" ref="AH78">AG78*$P78*INDEX(Month_Ref,AF$1-1,3)/365</f>
        <v>5.8356164383561636E-2</v>
      </c>
      <c r="AI78" s="70">
        <f t="shared" si="117"/>
        <v>8.1</v>
      </c>
      <c r="AJ78" s="188">
        <f t="shared" si="129"/>
        <v>0.71</v>
      </c>
      <c r="AK78" s="192" cm="1">
        <f t="array" ref="AK78">AJ78*$P78*INDEX(Month_Ref,AI$1-1,3)/365</f>
        <v>6.0301369863013696E-2</v>
      </c>
      <c r="AL78" s="70">
        <f t="shared" si="118"/>
        <v>7.2</v>
      </c>
      <c r="AM78" s="188">
        <f t="shared" si="130"/>
        <v>0.71</v>
      </c>
      <c r="AN78" s="192" cm="1">
        <f t="array" ref="AN78">AM78*$P78*INDEX(Month_Ref,AL$1-1,3)/365</f>
        <v>6.0301369863013696E-2</v>
      </c>
      <c r="AO78" s="70">
        <f t="shared" si="119"/>
        <v>6.7</v>
      </c>
      <c r="AP78" s="188">
        <f t="shared" si="131"/>
        <v>0.71</v>
      </c>
      <c r="AQ78" s="192" cm="1">
        <f t="array" ref="AQ78">AP78*$P78*INDEX(Month_Ref,AO$1-1,3)/365</f>
        <v>5.8356164383561636E-2</v>
      </c>
      <c r="AR78" s="70">
        <f t="shared" si="120"/>
        <v>6.7</v>
      </c>
      <c r="AS78" s="188">
        <f t="shared" si="132"/>
        <v>0.71</v>
      </c>
      <c r="AT78" s="192" cm="1">
        <f t="array" ref="AT78">AS78*$P78*INDEX(Month_Ref,AR$1-1,3)/365</f>
        <v>6.0301369863013696E-2</v>
      </c>
      <c r="AU78" s="70">
        <f t="shared" si="121"/>
        <v>7.8</v>
      </c>
      <c r="AV78" s="188">
        <f t="shared" si="133"/>
        <v>0.71</v>
      </c>
      <c r="AW78" s="192" cm="1">
        <f t="array" ref="AW78">AV78*$P78*INDEX(Month_Ref,AU$1-1,3)/365</f>
        <v>5.8356164383561636E-2</v>
      </c>
      <c r="AX78" s="70">
        <f t="shared" si="122"/>
        <v>8.6999999999999993</v>
      </c>
      <c r="AY78" s="188">
        <f t="shared" si="134"/>
        <v>0.71</v>
      </c>
      <c r="AZ78" s="192" cm="1">
        <f t="array" ref="AZ78">AY78*$P78*INDEX(Month_Ref,AX$1-1,3)/365</f>
        <v>6.0301369863013696E-2</v>
      </c>
      <c r="BA78" s="183">
        <f t="shared" si="108"/>
        <v>0.71</v>
      </c>
      <c r="BC78" s="20">
        <f t="shared" si="109"/>
        <v>72</v>
      </c>
    </row>
    <row r="79" spans="2:65" x14ac:dyDescent="0.4">
      <c r="B79" s="528"/>
      <c r="C79" s="531"/>
      <c r="D79" s="534"/>
      <c r="E79" s="534"/>
      <c r="F79" s="522"/>
      <c r="G79" s="522"/>
      <c r="H79" s="522"/>
      <c r="I79" s="525"/>
      <c r="J79" s="180" t="s">
        <v>1701</v>
      </c>
      <c r="K79" s="168" t="s">
        <v>1703</v>
      </c>
      <c r="L79" s="63">
        <f>INDEX(Ladder_Well,MATCH($K79,Ladder_Well_Name,0),2)</f>
        <v>56</v>
      </c>
      <c r="M79" s="63">
        <f>INDEX(Ladder_Well,MATCH($K79,Ladder_Well_Name,0),3)</f>
        <v>0</v>
      </c>
      <c r="N79" s="63">
        <f>INDEX(Ladder_Well,MATCH($K79,Ladder_Well_Name,0),4)</f>
        <v>0</v>
      </c>
      <c r="O79" s="63">
        <f t="shared" si="110"/>
        <v>0</v>
      </c>
      <c r="P79" s="64">
        <f>IF($F67&lt;&gt;"Internal Floating Roof",0,1)</f>
        <v>1</v>
      </c>
      <c r="Q79" s="70">
        <f t="shared" si="111"/>
        <v>8.5</v>
      </c>
      <c r="R79" s="63">
        <f t="shared" si="123"/>
        <v>56</v>
      </c>
      <c r="S79" s="64" cm="1">
        <f t="array" ref="S79">R79*$P79*INDEX(Month_Ref,Q$1-1,3)/365</f>
        <v>4.7561643835616438</v>
      </c>
      <c r="T79" s="70">
        <f t="shared" si="112"/>
        <v>7.8</v>
      </c>
      <c r="U79" s="63">
        <f t="shared" si="124"/>
        <v>56</v>
      </c>
      <c r="V79" s="64" cm="1">
        <f t="array" ref="V79">U79*$P79*INDEX(Month_Ref,T$1-1,3)/365</f>
        <v>4.2958904109589042</v>
      </c>
      <c r="W79" s="70">
        <f t="shared" si="113"/>
        <v>7.8</v>
      </c>
      <c r="X79" s="63">
        <f t="shared" si="125"/>
        <v>56</v>
      </c>
      <c r="Y79" s="64" cm="1">
        <f t="array" ref="Y79">X79*$P79*INDEX(Month_Ref,W$1-1,3)/365</f>
        <v>4.7561643835616438</v>
      </c>
      <c r="Z79" s="70">
        <f t="shared" si="114"/>
        <v>7.8</v>
      </c>
      <c r="AA79" s="63">
        <f t="shared" si="126"/>
        <v>56</v>
      </c>
      <c r="AB79" s="64" cm="1">
        <f t="array" ref="AB79">AA79*$P79*INDEX(Month_Ref,Z$1-1,3)/365</f>
        <v>4.602739726027397</v>
      </c>
      <c r="AC79" s="70">
        <f t="shared" si="115"/>
        <v>7.6</v>
      </c>
      <c r="AD79" s="63">
        <f t="shared" si="127"/>
        <v>56</v>
      </c>
      <c r="AE79" s="64" cm="1">
        <f t="array" ref="AE79">AD79*$P79*INDEX(Month_Ref,AC$1-1,3)/365</f>
        <v>4.7561643835616438</v>
      </c>
      <c r="AF79" s="70">
        <f t="shared" si="116"/>
        <v>7.8</v>
      </c>
      <c r="AG79" s="63">
        <f t="shared" si="128"/>
        <v>56</v>
      </c>
      <c r="AH79" s="64" cm="1">
        <f t="array" ref="AH79">AG79*$P79*INDEX(Month_Ref,AF$1-1,3)/365</f>
        <v>4.602739726027397</v>
      </c>
      <c r="AI79" s="70">
        <f t="shared" si="117"/>
        <v>8.1</v>
      </c>
      <c r="AJ79" s="63">
        <f t="shared" si="129"/>
        <v>56</v>
      </c>
      <c r="AK79" s="64" cm="1">
        <f t="array" ref="AK79">AJ79*$P79*INDEX(Month_Ref,AI$1-1,3)/365</f>
        <v>4.7561643835616438</v>
      </c>
      <c r="AL79" s="70">
        <f t="shared" si="118"/>
        <v>7.2</v>
      </c>
      <c r="AM79" s="63">
        <f t="shared" si="130"/>
        <v>56</v>
      </c>
      <c r="AN79" s="64" cm="1">
        <f t="array" ref="AN79">AM79*$P79*INDEX(Month_Ref,AL$1-1,3)/365</f>
        <v>4.7561643835616438</v>
      </c>
      <c r="AO79" s="70">
        <f t="shared" si="119"/>
        <v>6.7</v>
      </c>
      <c r="AP79" s="63">
        <f t="shared" si="131"/>
        <v>56</v>
      </c>
      <c r="AQ79" s="64" cm="1">
        <f t="array" ref="AQ79">AP79*$P79*INDEX(Month_Ref,AO$1-1,3)/365</f>
        <v>4.602739726027397</v>
      </c>
      <c r="AR79" s="70">
        <f t="shared" si="120"/>
        <v>6.7</v>
      </c>
      <c r="AS79" s="63">
        <f t="shared" si="132"/>
        <v>56</v>
      </c>
      <c r="AT79" s="64" cm="1">
        <f t="array" ref="AT79">AS79*$P79*INDEX(Month_Ref,AR$1-1,3)/365</f>
        <v>4.7561643835616438</v>
      </c>
      <c r="AU79" s="70">
        <f t="shared" si="121"/>
        <v>7.8</v>
      </c>
      <c r="AV79" s="63">
        <f t="shared" si="133"/>
        <v>56</v>
      </c>
      <c r="AW79" s="64" cm="1">
        <f t="array" ref="AW79">AV79*$P79*INDEX(Month_Ref,AU$1-1,3)/365</f>
        <v>4.602739726027397</v>
      </c>
      <c r="AX79" s="70">
        <f t="shared" si="122"/>
        <v>8.6999999999999993</v>
      </c>
      <c r="AY79" s="63">
        <f t="shared" si="134"/>
        <v>56</v>
      </c>
      <c r="AZ79" s="64" cm="1">
        <f t="array" ref="AZ79">AY79*$P79*INDEX(Month_Ref,AX$1-1,3)/365</f>
        <v>4.7561643835616438</v>
      </c>
      <c r="BA79" s="183">
        <f t="shared" si="108"/>
        <v>56</v>
      </c>
      <c r="BC79" s="20">
        <f t="shared" si="109"/>
        <v>73</v>
      </c>
    </row>
    <row r="80" spans="2:65" ht="44.15" thickBot="1" x14ac:dyDescent="0.45">
      <c r="B80" s="529"/>
      <c r="C80" s="532"/>
      <c r="D80" s="535"/>
      <c r="E80" s="535"/>
      <c r="F80" s="523"/>
      <c r="G80" s="523"/>
      <c r="H80" s="523"/>
      <c r="I80" s="526"/>
      <c r="J80" s="181" t="s">
        <v>1715</v>
      </c>
      <c r="K80" s="171" t="s">
        <v>1755</v>
      </c>
      <c r="L80" s="32">
        <f>INDEX(Combo_LWSGP,MATCH($K80,Combo_LWSGP_Name,0),2)</f>
        <v>0</v>
      </c>
      <c r="M80" s="32">
        <f>INDEX(Combo_LWSGP,MATCH($K80,Combo_LWSGP_Name,0),3)</f>
        <v>0</v>
      </c>
      <c r="N80" s="32">
        <f>INDEX(Combo_LWSGP,MATCH($K80,Combo_LWSGP_Name,0),4)</f>
        <v>0</v>
      </c>
      <c r="O80" s="32">
        <f t="shared" si="110"/>
        <v>0</v>
      </c>
      <c r="P80" s="33">
        <f>IF(AND(P70=0,P79=0),1,0)</f>
        <v>0</v>
      </c>
      <c r="Q80" s="31">
        <f t="shared" si="111"/>
        <v>8.5</v>
      </c>
      <c r="R80" s="32">
        <f t="shared" si="123"/>
        <v>0</v>
      </c>
      <c r="S80" s="33" cm="1">
        <f t="array" ref="S80">R80*$P80*INDEX(Month_Ref,Q$1-1,3)/365</f>
        <v>0</v>
      </c>
      <c r="T80" s="31">
        <f t="shared" si="112"/>
        <v>7.8</v>
      </c>
      <c r="U80" s="32">
        <f t="shared" si="124"/>
        <v>0</v>
      </c>
      <c r="V80" s="33" cm="1">
        <f t="array" ref="V80">U80*$P80*INDEX(Month_Ref,T$1-1,3)/365</f>
        <v>0</v>
      </c>
      <c r="W80" s="31">
        <f t="shared" si="113"/>
        <v>7.8</v>
      </c>
      <c r="X80" s="32">
        <f t="shared" si="125"/>
        <v>0</v>
      </c>
      <c r="Y80" s="33" cm="1">
        <f t="array" ref="Y80">X80*$P80*INDEX(Month_Ref,W$1-1,3)/365</f>
        <v>0</v>
      </c>
      <c r="Z80" s="31">
        <f t="shared" si="114"/>
        <v>7.8</v>
      </c>
      <c r="AA80" s="32">
        <f t="shared" si="126"/>
        <v>0</v>
      </c>
      <c r="AB80" s="33" cm="1">
        <f t="array" ref="AB80">AA80*$P80*INDEX(Month_Ref,Z$1-1,3)/365</f>
        <v>0</v>
      </c>
      <c r="AC80" s="31">
        <f t="shared" si="115"/>
        <v>7.6</v>
      </c>
      <c r="AD80" s="32">
        <f t="shared" si="127"/>
        <v>0</v>
      </c>
      <c r="AE80" s="33" cm="1">
        <f t="array" ref="AE80">AD80*$P80*INDEX(Month_Ref,AC$1-1,3)/365</f>
        <v>0</v>
      </c>
      <c r="AF80" s="31">
        <f t="shared" si="116"/>
        <v>7.8</v>
      </c>
      <c r="AG80" s="32">
        <f t="shared" si="128"/>
        <v>0</v>
      </c>
      <c r="AH80" s="33" cm="1">
        <f t="array" ref="AH80">AG80*$P80*INDEX(Month_Ref,AF$1-1,3)/365</f>
        <v>0</v>
      </c>
      <c r="AI80" s="31">
        <f t="shared" si="117"/>
        <v>8.1</v>
      </c>
      <c r="AJ80" s="32">
        <f t="shared" si="129"/>
        <v>0</v>
      </c>
      <c r="AK80" s="33" cm="1">
        <f t="array" ref="AK80">AJ80*$P80*INDEX(Month_Ref,AI$1-1,3)/365</f>
        <v>0</v>
      </c>
      <c r="AL80" s="31">
        <f t="shared" si="118"/>
        <v>7.2</v>
      </c>
      <c r="AM80" s="32">
        <f t="shared" si="130"/>
        <v>0</v>
      </c>
      <c r="AN80" s="33" cm="1">
        <f t="array" ref="AN80">AM80*$P80*INDEX(Month_Ref,AL$1-1,3)/365</f>
        <v>0</v>
      </c>
      <c r="AO80" s="31">
        <f t="shared" si="119"/>
        <v>6.7</v>
      </c>
      <c r="AP80" s="32">
        <f t="shared" si="131"/>
        <v>0</v>
      </c>
      <c r="AQ80" s="33" cm="1">
        <f t="array" ref="AQ80">AP80*$P80*INDEX(Month_Ref,AO$1-1,3)/365</f>
        <v>0</v>
      </c>
      <c r="AR80" s="31">
        <f t="shared" si="120"/>
        <v>6.7</v>
      </c>
      <c r="AS80" s="32">
        <f t="shared" si="132"/>
        <v>0</v>
      </c>
      <c r="AT80" s="33" cm="1">
        <f t="array" ref="AT80">AS80*$P80*INDEX(Month_Ref,AR$1-1,3)/365</f>
        <v>0</v>
      </c>
      <c r="AU80" s="31">
        <f t="shared" si="121"/>
        <v>7.8</v>
      </c>
      <c r="AV80" s="32">
        <f t="shared" si="133"/>
        <v>0</v>
      </c>
      <c r="AW80" s="33" cm="1">
        <f t="array" ref="AW80">AV80*$P80*INDEX(Month_Ref,AU$1-1,3)/365</f>
        <v>0</v>
      </c>
      <c r="AX80" s="31">
        <f t="shared" si="122"/>
        <v>8.6999999999999993</v>
      </c>
      <c r="AY80" s="32">
        <f t="shared" si="134"/>
        <v>0</v>
      </c>
      <c r="AZ80" s="33" cm="1">
        <f t="array" ref="AZ80">AY80*$P80*INDEX(Month_Ref,AX$1-1,3)/365</f>
        <v>0</v>
      </c>
      <c r="BA80" s="184">
        <f t="shared" si="108"/>
        <v>0</v>
      </c>
      <c r="BC80" s="20">
        <f t="shared" si="109"/>
        <v>74</v>
      </c>
    </row>
    <row r="81" spans="2:65" ht="15" thickBot="1" x14ac:dyDescent="0.45">
      <c r="B81" s="157"/>
      <c r="C81" s="158"/>
      <c r="D81" s="163"/>
      <c r="I81" s="163"/>
      <c r="J81" s="164"/>
      <c r="K81" s="164"/>
      <c r="L81" s="163"/>
      <c r="M81" s="163"/>
      <c r="N81" s="163"/>
      <c r="O81" s="163"/>
      <c r="Q81" s="195"/>
      <c r="R81" s="196" t="s">
        <v>1768</v>
      </c>
      <c r="S81" s="197">
        <f>SUM(S67:S80)</f>
        <v>56.537205479452062</v>
      </c>
      <c r="T81" s="195"/>
      <c r="U81" s="196" t="s">
        <v>1762</v>
      </c>
      <c r="V81" s="197">
        <f>SUM(V67:V80)</f>
        <v>51.065863013698632</v>
      </c>
      <c r="W81" s="195"/>
      <c r="X81" s="196" t="s">
        <v>1762</v>
      </c>
      <c r="Y81" s="197">
        <f>SUM(Y67:Y80)</f>
        <v>56.537205479452062</v>
      </c>
      <c r="Z81" s="195"/>
      <c r="AA81" s="196" t="s">
        <v>1762</v>
      </c>
      <c r="AB81" s="197">
        <f>SUM(AB67:AB80)</f>
        <v>54.713424657534254</v>
      </c>
      <c r="AC81" s="195"/>
      <c r="AD81" s="196" t="s">
        <v>1762</v>
      </c>
      <c r="AE81" s="197">
        <f>SUM(AE67:AE80)</f>
        <v>56.537205479452062</v>
      </c>
      <c r="AF81" s="195"/>
      <c r="AG81" s="196" t="s">
        <v>1762</v>
      </c>
      <c r="AH81" s="197">
        <f>SUM(AH67:AH80)</f>
        <v>54.713424657534254</v>
      </c>
      <c r="AI81" s="195"/>
      <c r="AJ81" s="196" t="s">
        <v>1762</v>
      </c>
      <c r="AK81" s="197">
        <f>SUM(AK67:AK80)</f>
        <v>56.537205479452062</v>
      </c>
      <c r="AL81" s="195"/>
      <c r="AM81" s="196" t="s">
        <v>1762</v>
      </c>
      <c r="AN81" s="197">
        <f>SUM(AN67:AN80)</f>
        <v>56.537205479452062</v>
      </c>
      <c r="AO81" s="195"/>
      <c r="AP81" s="196" t="s">
        <v>1762</v>
      </c>
      <c r="AQ81" s="197">
        <f>SUM(AQ67:AQ80)</f>
        <v>54.713424657534254</v>
      </c>
      <c r="AR81" s="195"/>
      <c r="AS81" s="196" t="s">
        <v>1762</v>
      </c>
      <c r="AT81" s="197">
        <f>SUM(AT67:AT80)</f>
        <v>56.537205479452062</v>
      </c>
      <c r="AU81" s="195"/>
      <c r="AV81" s="196" t="s">
        <v>1762</v>
      </c>
      <c r="AW81" s="197">
        <f>SUM(AW67:AW80)</f>
        <v>54.713424657534254</v>
      </c>
      <c r="AX81" s="195"/>
      <c r="AY81" s="196" t="s">
        <v>1762</v>
      </c>
      <c r="AZ81" s="197">
        <f>SUM(AZ67:AZ80)</f>
        <v>56.537205479452062</v>
      </c>
      <c r="BA81" s="198">
        <f t="shared" si="108"/>
        <v>665.68</v>
      </c>
      <c r="BC81" s="194">
        <f t="shared" si="109"/>
        <v>75</v>
      </c>
      <c r="BD81" s="11"/>
      <c r="BE81" s="11"/>
      <c r="BF81" s="11"/>
      <c r="BG81" s="11"/>
      <c r="BH81" s="11"/>
      <c r="BI81" s="11"/>
      <c r="BJ81" s="11"/>
      <c r="BK81" s="11"/>
      <c r="BL81" s="11"/>
      <c r="BM81" s="11"/>
    </row>
    <row r="82" spans="2:65" ht="29.15" x14ac:dyDescent="0.4">
      <c r="B82" s="527" t="str" cm="1">
        <f t="array" ref="B82">INDEX(FLT_Cons,$BD82,$BE82)</f>
        <v>FLT - 6</v>
      </c>
      <c r="C82" s="530" t="str" cm="1">
        <f t="array" ref="C82">INDEX(FLT_Cons,$BD82,$BF82)</f>
        <v>INTANK 71</v>
      </c>
      <c r="D82" s="533" t="str" cm="1">
        <f t="array" ref="D82">INDEX(FLT_Cons,$BD82,$BG82)</f>
        <v>Portland</v>
      </c>
      <c r="E82" s="533" cm="1">
        <f t="array" ref="E82">INDEX(FLT_Cons,$BD82,$BH82)</f>
        <v>80</v>
      </c>
      <c r="F82" s="521" t="str" cm="1">
        <f t="array" ref="F82">INDEX(FLT_Cons,$BD82,$BI82)</f>
        <v>Internal Floating Roof</v>
      </c>
      <c r="G82" s="521" t="str" cm="1">
        <f t="array" ref="G82">INDEX(FLT_Cons,$BD82,$BJ82)</f>
        <v>N/A - IFR</v>
      </c>
      <c r="H82" s="521" t="str" cm="1">
        <f t="array" ref="H82">INDEX(FLT_Cons,$BD82,$BK82)</f>
        <v>Mechanical Shoe w/ Rim Mounted Secondary</v>
      </c>
      <c r="I82" s="524" t="str" cm="1">
        <f t="array" ref="I82">INDEX(FLT_Cons,$BD82,$BL82)</f>
        <v>IFR - Column Supported</v>
      </c>
      <c r="J82" s="177" t="s">
        <v>1660</v>
      </c>
      <c r="K82" s="174" t="s">
        <v>1662</v>
      </c>
      <c r="L82" s="14">
        <f>INDEX(Access_Hatch,MATCH($K82,Access_Hatch_Name,0),2)</f>
        <v>36</v>
      </c>
      <c r="M82" s="14">
        <f>INDEX(Access_Hatch,MATCH($K82,Access_Hatch_Name,0),3)</f>
        <v>5.9</v>
      </c>
      <c r="N82" s="14">
        <f>INDEX(Access_Hatch,MATCH($K82,Access_Hatch_Name,0),4)</f>
        <v>1.2</v>
      </c>
      <c r="O82" s="14">
        <f>IF($F82="External Floating Roof",0.7,0)</f>
        <v>0</v>
      </c>
      <c r="P82" s="30">
        <v>1</v>
      </c>
      <c r="Q82" s="29">
        <f>VLOOKUP(VLOOKUP($D82,Terminal_X_Ref,2,FALSE)&amp;"V",Weather_Data,Q$1,FALSE)</f>
        <v>8.5</v>
      </c>
      <c r="R82" s="14">
        <f>IFERROR($L82+$M82*($O82*Q82)^$N82,$L82)</f>
        <v>36</v>
      </c>
      <c r="S82" s="193" cm="1">
        <f t="array" ref="S82">R82*$P82*INDEX(Month_Ref,Q$1-1,3)/365</f>
        <v>3.0575342465753423</v>
      </c>
      <c r="T82" s="29">
        <f>VLOOKUP(VLOOKUP($D82,Terminal_X_Ref,2,FALSE)&amp;"V",Weather_Data,T$1,FALSE)</f>
        <v>7.8</v>
      </c>
      <c r="U82" s="14">
        <f>IFERROR($L82+$M82*($O82*T82)^$N82,$L82)</f>
        <v>36</v>
      </c>
      <c r="V82" s="193" cm="1">
        <f t="array" ref="V82">U82*$P82*INDEX(Month_Ref,T$1-1,3)/365</f>
        <v>2.7616438356164386</v>
      </c>
      <c r="W82" s="29">
        <f>VLOOKUP(VLOOKUP($D82,Terminal_X_Ref,2,FALSE)&amp;"V",Weather_Data,W$1,FALSE)</f>
        <v>7.8</v>
      </c>
      <c r="X82" s="14">
        <f>IFERROR($L82+$M82*($O82*W82)^$N82,$L82)</f>
        <v>36</v>
      </c>
      <c r="Y82" s="193" cm="1">
        <f t="array" ref="Y82">X82*$P82*INDEX(Month_Ref,W$1-1,3)/365</f>
        <v>3.0575342465753423</v>
      </c>
      <c r="Z82" s="29">
        <f>VLOOKUP(VLOOKUP($D82,Terminal_X_Ref,2,FALSE)&amp;"V",Weather_Data,Z$1,FALSE)</f>
        <v>7.8</v>
      </c>
      <c r="AA82" s="14">
        <f>IFERROR($L82+$M82*($O82*Z82)^$N82,$L82)</f>
        <v>36</v>
      </c>
      <c r="AB82" s="193" cm="1">
        <f t="array" ref="AB82">AA82*$P82*INDEX(Month_Ref,Z$1-1,3)/365</f>
        <v>2.9589041095890409</v>
      </c>
      <c r="AC82" s="29">
        <f>VLOOKUP(VLOOKUP($D82,Terminal_X_Ref,2,FALSE)&amp;"V",Weather_Data,AC$1,FALSE)</f>
        <v>7.6</v>
      </c>
      <c r="AD82" s="14">
        <f>IFERROR($L82+$M82*($O82*AC82)^$N82,$L82)</f>
        <v>36</v>
      </c>
      <c r="AE82" s="193" cm="1">
        <f t="array" ref="AE82">AD82*$P82*INDEX(Month_Ref,AC$1-1,3)/365</f>
        <v>3.0575342465753423</v>
      </c>
      <c r="AF82" s="29">
        <f>VLOOKUP(VLOOKUP($D82,Terminal_X_Ref,2,FALSE)&amp;"V",Weather_Data,AF$1,FALSE)</f>
        <v>7.8</v>
      </c>
      <c r="AG82" s="14">
        <f>IFERROR($L82+$M82*($O82*AF82)^$N82,$L82)</f>
        <v>36</v>
      </c>
      <c r="AH82" s="193" cm="1">
        <f t="array" ref="AH82">AG82*$P82*INDEX(Month_Ref,AF$1-1,3)/365</f>
        <v>2.9589041095890409</v>
      </c>
      <c r="AI82" s="29">
        <f>VLOOKUP(VLOOKUP($D82,Terminal_X_Ref,2,FALSE)&amp;"V",Weather_Data,AI$1,FALSE)</f>
        <v>8.1</v>
      </c>
      <c r="AJ82" s="14">
        <f>IFERROR($L82+$M82*($O82*AI82)^$N82,$L82)</f>
        <v>36</v>
      </c>
      <c r="AK82" s="193" cm="1">
        <f t="array" ref="AK82">AJ82*$P82*INDEX(Month_Ref,AI$1-1,3)/365</f>
        <v>3.0575342465753423</v>
      </c>
      <c r="AL82" s="29">
        <f>VLOOKUP(VLOOKUP($D82,Terminal_X_Ref,2,FALSE)&amp;"V",Weather_Data,AL$1,FALSE)</f>
        <v>7.2</v>
      </c>
      <c r="AM82" s="14">
        <f>IFERROR($L82+$M82*($O82*AL82)^$N82,$L82)</f>
        <v>36</v>
      </c>
      <c r="AN82" s="193" cm="1">
        <f t="array" ref="AN82">AM82*$P82*INDEX(Month_Ref,AL$1-1,3)/365</f>
        <v>3.0575342465753423</v>
      </c>
      <c r="AO82" s="29">
        <f>VLOOKUP(VLOOKUP($D82,Terminal_X_Ref,2,FALSE)&amp;"V",Weather_Data,AO$1,FALSE)</f>
        <v>6.7</v>
      </c>
      <c r="AP82" s="14">
        <f>IFERROR($L82+$M82*($O82*AO82)^$N82,$L82)</f>
        <v>36</v>
      </c>
      <c r="AQ82" s="193" cm="1">
        <f t="array" ref="AQ82">AP82*$P82*INDEX(Month_Ref,AO$1-1,3)/365</f>
        <v>2.9589041095890409</v>
      </c>
      <c r="AR82" s="29">
        <f>VLOOKUP(VLOOKUP($D82,Terminal_X_Ref,2,FALSE)&amp;"V",Weather_Data,AR$1,FALSE)</f>
        <v>6.7</v>
      </c>
      <c r="AS82" s="14">
        <f>IFERROR($L82+$M82*($O82*AR82)^$N82,$L82)</f>
        <v>36</v>
      </c>
      <c r="AT82" s="193" cm="1">
        <f t="array" ref="AT82">AS82*$P82*INDEX(Month_Ref,AR$1-1,3)/365</f>
        <v>3.0575342465753423</v>
      </c>
      <c r="AU82" s="29">
        <f>VLOOKUP(VLOOKUP($D82,Terminal_X_Ref,2,FALSE)&amp;"V",Weather_Data,AU$1,FALSE)</f>
        <v>7.8</v>
      </c>
      <c r="AV82" s="14">
        <f>IFERROR($L82+$M82*($O82*AU82)^$N82,$L82)</f>
        <v>36</v>
      </c>
      <c r="AW82" s="193" cm="1">
        <f t="array" ref="AW82">AV82*$P82*INDEX(Month_Ref,AU$1-1,3)/365</f>
        <v>2.9589041095890409</v>
      </c>
      <c r="AX82" s="29">
        <f>VLOOKUP(VLOOKUP($D82,Terminal_X_Ref,2,FALSE)&amp;"V",Weather_Data,AX$1,FALSE)</f>
        <v>8.6999999999999993</v>
      </c>
      <c r="AY82" s="14">
        <f>IFERROR($L82+$M82*($O82*AX82)^$N82,$L82)</f>
        <v>36</v>
      </c>
      <c r="AZ82" s="193" cm="1">
        <f t="array" ref="AZ82">AY82*$P82*INDEX(Month_Ref,AX$1-1,3)/365</f>
        <v>3.0575342465753423</v>
      </c>
      <c r="BA82" s="182">
        <f>S82+V82+Y82+AB82+AE82+AH82+AK82+AN82+AQ82+AT82+AW82+AZ82</f>
        <v>36.000000000000007</v>
      </c>
      <c r="BB82" s="25"/>
      <c r="BC82" s="20">
        <f>BC81+1</f>
        <v>76</v>
      </c>
      <c r="BD82">
        <f>BD67+1</f>
        <v>6</v>
      </c>
      <c r="BE82">
        <v>1</v>
      </c>
      <c r="BF82">
        <v>2</v>
      </c>
      <c r="BG82">
        <v>3</v>
      </c>
      <c r="BH82">
        <v>5</v>
      </c>
      <c r="BI82">
        <v>13</v>
      </c>
      <c r="BJ82">
        <v>16</v>
      </c>
      <c r="BK82">
        <v>17</v>
      </c>
      <c r="BL82">
        <v>19</v>
      </c>
      <c r="BM82">
        <v>21</v>
      </c>
    </row>
    <row r="83" spans="2:65" ht="29.15" x14ac:dyDescent="0.4">
      <c r="B83" s="528"/>
      <c r="C83" s="531"/>
      <c r="D83" s="534"/>
      <c r="E83" s="534"/>
      <c r="F83" s="522"/>
      <c r="G83" s="522"/>
      <c r="H83" s="522"/>
      <c r="I83" s="525"/>
      <c r="J83" s="178" t="s">
        <v>1664</v>
      </c>
      <c r="K83" s="168" t="s">
        <v>1669</v>
      </c>
      <c r="L83" s="63">
        <f>INDEX(FRSCW,MATCH($K83,FRSCW_Name,0),2)</f>
        <v>33</v>
      </c>
      <c r="M83" s="63">
        <f>INDEX(FRSCW,MATCH($K83,FRSCW_Name,0),3)</f>
        <v>0</v>
      </c>
      <c r="N83" s="63">
        <f>INDEX(FRSCW,MATCH($K83,FRSCW_Name,0),4)</f>
        <v>0</v>
      </c>
      <c r="O83" s="63">
        <f>O82</f>
        <v>0</v>
      </c>
      <c r="P83" s="64" cm="1">
        <f t="array" ref="P83">IF(F82&lt;&gt;"Internal Floating Roof",0,IF(ISBLANK(INDEX(FLT_Cons,$BD82,$BM82)),INDEX(Tbl_71_11,_xlfn.MINIFS(Tbl_71_11_Dia,Tbl_71_11_Max,"&gt;="&amp;$E82),4),INDEX(FLT_Cons,$BD82,$BM82)))</f>
        <v>1</v>
      </c>
      <c r="Q83" s="70">
        <f>Q82</f>
        <v>8.5</v>
      </c>
      <c r="R83" s="63">
        <f>IFERROR($L83+$M83*($O83*Q83)^$N83,$L83)</f>
        <v>33</v>
      </c>
      <c r="S83" s="64" cm="1">
        <f t="array" ref="S83">R83*$P83*INDEX(Month_Ref,Q$1-1,3)/365</f>
        <v>2.8027397260273972</v>
      </c>
      <c r="T83" s="70">
        <f>T82</f>
        <v>7.8</v>
      </c>
      <c r="U83" s="63">
        <f>IFERROR($L83+$M83*($O83*T83)^$N83,$L83)</f>
        <v>33</v>
      </c>
      <c r="V83" s="64" cm="1">
        <f t="array" ref="V83">U83*$P83*INDEX(Month_Ref,T$1-1,3)/365</f>
        <v>2.5315068493150683</v>
      </c>
      <c r="W83" s="70">
        <f>W82</f>
        <v>7.8</v>
      </c>
      <c r="X83" s="63">
        <f>IFERROR($L83+$M83*($O83*W83)^$N83,$L83)</f>
        <v>33</v>
      </c>
      <c r="Y83" s="64" cm="1">
        <f t="array" ref="Y83">X83*$P83*INDEX(Month_Ref,W$1-1,3)/365</f>
        <v>2.8027397260273972</v>
      </c>
      <c r="Z83" s="70">
        <f>Z82</f>
        <v>7.8</v>
      </c>
      <c r="AA83" s="63">
        <f>IFERROR($L83+$M83*($O83*Z83)^$N83,$L83)</f>
        <v>33</v>
      </c>
      <c r="AB83" s="64" cm="1">
        <f t="array" ref="AB83">AA83*$P83*INDEX(Month_Ref,Z$1-1,3)/365</f>
        <v>2.7123287671232879</v>
      </c>
      <c r="AC83" s="70">
        <f>AC82</f>
        <v>7.6</v>
      </c>
      <c r="AD83" s="63">
        <f>IFERROR($L83+$M83*($O83*AC83)^$N83,$L83)</f>
        <v>33</v>
      </c>
      <c r="AE83" s="64" cm="1">
        <f t="array" ref="AE83">AD83*$P83*INDEX(Month_Ref,AC$1-1,3)/365</f>
        <v>2.8027397260273972</v>
      </c>
      <c r="AF83" s="70">
        <f>AF82</f>
        <v>7.8</v>
      </c>
      <c r="AG83" s="63">
        <f>IFERROR($L83+$M83*($O83*AF83)^$N83,$L83)</f>
        <v>33</v>
      </c>
      <c r="AH83" s="64" cm="1">
        <f t="array" ref="AH83">AG83*$P83*INDEX(Month_Ref,AF$1-1,3)/365</f>
        <v>2.7123287671232879</v>
      </c>
      <c r="AI83" s="70">
        <f>AI82</f>
        <v>8.1</v>
      </c>
      <c r="AJ83" s="63">
        <f>IFERROR($L83+$M83*($O83*AI83)^$N83,$L83)</f>
        <v>33</v>
      </c>
      <c r="AK83" s="64" cm="1">
        <f t="array" ref="AK83">AJ83*$P83*INDEX(Month_Ref,AI$1-1,3)/365</f>
        <v>2.8027397260273972</v>
      </c>
      <c r="AL83" s="70">
        <f>AL82</f>
        <v>7.2</v>
      </c>
      <c r="AM83" s="63">
        <f>IFERROR($L83+$M83*($O83*AL83)^$N83,$L83)</f>
        <v>33</v>
      </c>
      <c r="AN83" s="64" cm="1">
        <f t="array" ref="AN83">AM83*$P83*INDEX(Month_Ref,AL$1-1,3)/365</f>
        <v>2.8027397260273972</v>
      </c>
      <c r="AO83" s="70">
        <f>AO82</f>
        <v>6.7</v>
      </c>
      <c r="AP83" s="63">
        <f>IFERROR($L83+$M83*($O83*AO83)^$N83,$L83)</f>
        <v>33</v>
      </c>
      <c r="AQ83" s="64" cm="1">
        <f t="array" ref="AQ83">AP83*$P83*INDEX(Month_Ref,AO$1-1,3)/365</f>
        <v>2.7123287671232879</v>
      </c>
      <c r="AR83" s="70">
        <f>AR82</f>
        <v>6.7</v>
      </c>
      <c r="AS83" s="63">
        <f>IFERROR($L83+$M83*($O83*AR83)^$N83,$L83)</f>
        <v>33</v>
      </c>
      <c r="AT83" s="64" cm="1">
        <f t="array" ref="AT83">AS83*$P83*INDEX(Month_Ref,AR$1-1,3)/365</f>
        <v>2.8027397260273972</v>
      </c>
      <c r="AU83" s="70">
        <f>AU82</f>
        <v>7.8</v>
      </c>
      <c r="AV83" s="63">
        <f>IFERROR($L83+$M83*($O83*AU83)^$N83,$L83)</f>
        <v>33</v>
      </c>
      <c r="AW83" s="64" cm="1">
        <f t="array" ref="AW83">AV83*$P83*INDEX(Month_Ref,AU$1-1,3)/365</f>
        <v>2.7123287671232879</v>
      </c>
      <c r="AX83" s="70">
        <f>AX82</f>
        <v>8.6999999999999993</v>
      </c>
      <c r="AY83" s="63">
        <f>IFERROR($L83+$M83*($O83*AX83)^$N83,$L83)</f>
        <v>33</v>
      </c>
      <c r="AZ83" s="64" cm="1">
        <f t="array" ref="AZ83">AY83*$P83*INDEX(Month_Ref,AX$1-1,3)/365</f>
        <v>2.8027397260273972</v>
      </c>
      <c r="BA83" s="183">
        <f t="shared" ref="BA83:BA96" si="135">S83+V83+Y83+AB83+AE83+AH83+AK83+AN83+AQ83+AT83+AW83+AZ83</f>
        <v>33</v>
      </c>
      <c r="BC83" s="20">
        <f t="shared" ref="BC83:BC96" si="136">BC82+1</f>
        <v>77</v>
      </c>
    </row>
    <row r="84" spans="2:65" ht="43.75" x14ac:dyDescent="0.4">
      <c r="B84" s="528"/>
      <c r="C84" s="531"/>
      <c r="D84" s="534"/>
      <c r="E84" s="534"/>
      <c r="F84" s="522"/>
      <c r="G84" s="522"/>
      <c r="H84" s="522"/>
      <c r="I84" s="525"/>
      <c r="J84" s="178" t="s">
        <v>1670</v>
      </c>
      <c r="K84" s="168" t="s">
        <v>1582</v>
      </c>
      <c r="L84" s="63">
        <f>INDEX(USGPW,MATCH($K84,USGPW_Name,0),2)</f>
        <v>0</v>
      </c>
      <c r="M84" s="63">
        <f>INDEX(USGPW,MATCH($K84,USGPW_Name,0),3)</f>
        <v>0</v>
      </c>
      <c r="N84" s="63">
        <f>INDEX(USGPW,MATCH($K84,USGPW_Name,0),4)</f>
        <v>0</v>
      </c>
      <c r="O84" s="63">
        <f t="shared" ref="O84:O95" si="137">O83</f>
        <v>0</v>
      </c>
      <c r="P84" s="64">
        <v>1</v>
      </c>
      <c r="Q84" s="70">
        <f t="shared" ref="Q84:Q95" si="138">Q83</f>
        <v>8.5</v>
      </c>
      <c r="R84" s="185">
        <f>IFERROR($L84+$M84*($O84*Q84)^$N84,$L84)</f>
        <v>0</v>
      </c>
      <c r="S84" s="186" cm="1">
        <f t="array" ref="S84">R84*$P84*INDEX(Month_Ref,Q$1-1,3)/365</f>
        <v>0</v>
      </c>
      <c r="T84" s="70">
        <f t="shared" ref="T84:T95" si="139">T83</f>
        <v>7.8</v>
      </c>
      <c r="U84" s="185">
        <f>IFERROR($L84+$M84*($O84*T84)^$N84,$L84)</f>
        <v>0</v>
      </c>
      <c r="V84" s="186" cm="1">
        <f t="array" ref="V84">U84*$P84*INDEX(Month_Ref,T$1-1,3)/365</f>
        <v>0</v>
      </c>
      <c r="W84" s="70">
        <f t="shared" ref="W84:W95" si="140">W83</f>
        <v>7.8</v>
      </c>
      <c r="X84" s="185">
        <f>IFERROR($L84+$M84*($O84*W84)^$N84,$L84)</f>
        <v>0</v>
      </c>
      <c r="Y84" s="186" cm="1">
        <f t="array" ref="Y84">X84*$P84*INDEX(Month_Ref,W$1-1,3)/365</f>
        <v>0</v>
      </c>
      <c r="Z84" s="70">
        <f t="shared" ref="Z84:Z95" si="141">Z83</f>
        <v>7.8</v>
      </c>
      <c r="AA84" s="185">
        <f>IFERROR($L84+$M84*($O84*Z84)^$N84,$L84)</f>
        <v>0</v>
      </c>
      <c r="AB84" s="186" cm="1">
        <f t="array" ref="AB84">AA84*$P84*INDEX(Month_Ref,Z$1-1,3)/365</f>
        <v>0</v>
      </c>
      <c r="AC84" s="70">
        <f t="shared" ref="AC84:AC95" si="142">AC83</f>
        <v>7.6</v>
      </c>
      <c r="AD84" s="185">
        <f>IFERROR($L84+$M84*($O84*AC84)^$N84,$L84)</f>
        <v>0</v>
      </c>
      <c r="AE84" s="186" cm="1">
        <f t="array" ref="AE84">AD84*$P84*INDEX(Month_Ref,AC$1-1,3)/365</f>
        <v>0</v>
      </c>
      <c r="AF84" s="70">
        <f t="shared" ref="AF84:AF95" si="143">AF83</f>
        <v>7.8</v>
      </c>
      <c r="AG84" s="185">
        <f>IFERROR($L84+$M84*($O84*AF84)^$N84,$L84)</f>
        <v>0</v>
      </c>
      <c r="AH84" s="186" cm="1">
        <f t="array" ref="AH84">AG84*$P84*INDEX(Month_Ref,AF$1-1,3)/365</f>
        <v>0</v>
      </c>
      <c r="AI84" s="70">
        <f t="shared" ref="AI84:AI95" si="144">AI83</f>
        <v>8.1</v>
      </c>
      <c r="AJ84" s="185">
        <f>IFERROR($L84+$M84*($O84*AI84)^$N84,$L84)</f>
        <v>0</v>
      </c>
      <c r="AK84" s="186" cm="1">
        <f t="array" ref="AK84">AJ84*$P84*INDEX(Month_Ref,AI$1-1,3)/365</f>
        <v>0</v>
      </c>
      <c r="AL84" s="70">
        <f t="shared" ref="AL84:AL95" si="145">AL83</f>
        <v>7.2</v>
      </c>
      <c r="AM84" s="185">
        <f>IFERROR($L84+$M84*($O84*AL84)^$N84,$L84)</f>
        <v>0</v>
      </c>
      <c r="AN84" s="186" cm="1">
        <f t="array" ref="AN84">AM84*$P84*INDEX(Month_Ref,AL$1-1,3)/365</f>
        <v>0</v>
      </c>
      <c r="AO84" s="70">
        <f t="shared" ref="AO84:AO95" si="146">AO83</f>
        <v>6.7</v>
      </c>
      <c r="AP84" s="185">
        <f>IFERROR($L84+$M84*($O84*AO84)^$N84,$L84)</f>
        <v>0</v>
      </c>
      <c r="AQ84" s="186" cm="1">
        <f t="array" ref="AQ84">AP84*$P84*INDEX(Month_Ref,AO$1-1,3)/365</f>
        <v>0</v>
      </c>
      <c r="AR84" s="70">
        <f t="shared" ref="AR84:AR95" si="147">AR83</f>
        <v>6.7</v>
      </c>
      <c r="AS84" s="185">
        <f>IFERROR($L84+$M84*($O84*AR84)^$N84,$L84)</f>
        <v>0</v>
      </c>
      <c r="AT84" s="186" cm="1">
        <f t="array" ref="AT84">AS84*$P84*INDEX(Month_Ref,AR$1-1,3)/365</f>
        <v>0</v>
      </c>
      <c r="AU84" s="70">
        <f t="shared" ref="AU84:AU95" si="148">AU83</f>
        <v>7.8</v>
      </c>
      <c r="AV84" s="185">
        <f>IFERROR($L84+$M84*($O84*AU84)^$N84,$L84)</f>
        <v>0</v>
      </c>
      <c r="AW84" s="186" cm="1">
        <f t="array" ref="AW84">AV84*$P84*INDEX(Month_Ref,AU$1-1,3)/365</f>
        <v>0</v>
      </c>
      <c r="AX84" s="70">
        <f t="shared" ref="AX84:AX95" si="149">AX83</f>
        <v>8.6999999999999993</v>
      </c>
      <c r="AY84" s="185">
        <f>IFERROR($L84+$M84*($O84*AX84)^$N84,$L84)</f>
        <v>0</v>
      </c>
      <c r="AZ84" s="186" cm="1">
        <f t="array" ref="AZ84">AY84*$P84*INDEX(Month_Ref,AX$1-1,3)/365</f>
        <v>0</v>
      </c>
      <c r="BA84" s="186">
        <f t="shared" si="135"/>
        <v>0</v>
      </c>
      <c r="BC84" s="20">
        <f t="shared" si="136"/>
        <v>78</v>
      </c>
    </row>
    <row r="85" spans="2:65" ht="29.15" x14ac:dyDescent="0.4">
      <c r="B85" s="528"/>
      <c r="C85" s="531"/>
      <c r="D85" s="534"/>
      <c r="E85" s="534"/>
      <c r="F85" s="522"/>
      <c r="G85" s="522"/>
      <c r="H85" s="522"/>
      <c r="I85" s="525"/>
      <c r="J85" s="178" t="s">
        <v>1676</v>
      </c>
      <c r="K85" s="168" t="s">
        <v>1674</v>
      </c>
      <c r="L85" s="63">
        <f>INDEX(SGPW,MATCH($K85,SGPW_Name,0),2)</f>
        <v>41</v>
      </c>
      <c r="M85" s="63">
        <f>INDEX(SGPW,MATCH($K85,SGPW_Name,0),3)</f>
        <v>48</v>
      </c>
      <c r="N85" s="63">
        <f>INDEX(SGPW,MATCH($K85,SGPW_Name,0),4)</f>
        <v>1.4</v>
      </c>
      <c r="O85" s="63">
        <f t="shared" si="137"/>
        <v>0</v>
      </c>
      <c r="P85" s="64">
        <v>1</v>
      </c>
      <c r="Q85" s="70">
        <f t="shared" si="138"/>
        <v>8.5</v>
      </c>
      <c r="R85" s="63">
        <f>IFERROR($L85+$M85*($O85*Q85)^$N85,$L85)</f>
        <v>41</v>
      </c>
      <c r="S85" s="64" cm="1">
        <f t="array" ref="S85">R85*$P85*INDEX(Month_Ref,Q$1-1,3)/365</f>
        <v>3.4821917808219176</v>
      </c>
      <c r="T85" s="70">
        <f t="shared" si="139"/>
        <v>7.8</v>
      </c>
      <c r="U85" s="63">
        <f>IFERROR($L85+$M85*($O85*T85)^$N85,$L85)</f>
        <v>41</v>
      </c>
      <c r="V85" s="64" cm="1">
        <f t="array" ref="V85">U85*$P85*INDEX(Month_Ref,T$1-1,3)/365</f>
        <v>3.1452054794520548</v>
      </c>
      <c r="W85" s="70">
        <f t="shared" si="140"/>
        <v>7.8</v>
      </c>
      <c r="X85" s="63">
        <f>IFERROR($L85+$M85*($O85*W85)^$N85,$L85)</f>
        <v>41</v>
      </c>
      <c r="Y85" s="64" cm="1">
        <f t="array" ref="Y85">X85*$P85*INDEX(Month_Ref,W$1-1,3)/365</f>
        <v>3.4821917808219176</v>
      </c>
      <c r="Z85" s="70">
        <f t="shared" si="141"/>
        <v>7.8</v>
      </c>
      <c r="AA85" s="63">
        <f>IFERROR($L85+$M85*($O85*Z85)^$N85,$L85)</f>
        <v>41</v>
      </c>
      <c r="AB85" s="64" cm="1">
        <f t="array" ref="AB85">AA85*$P85*INDEX(Month_Ref,Z$1-1,3)/365</f>
        <v>3.3698630136986303</v>
      </c>
      <c r="AC85" s="70">
        <f t="shared" si="142"/>
        <v>7.6</v>
      </c>
      <c r="AD85" s="63">
        <f>IFERROR($L85+$M85*($O85*AC85)^$N85,$L85)</f>
        <v>41</v>
      </c>
      <c r="AE85" s="64" cm="1">
        <f t="array" ref="AE85">AD85*$P85*INDEX(Month_Ref,AC$1-1,3)/365</f>
        <v>3.4821917808219176</v>
      </c>
      <c r="AF85" s="70">
        <f t="shared" si="143"/>
        <v>7.8</v>
      </c>
      <c r="AG85" s="63">
        <f>IFERROR($L85+$M85*($O85*AF85)^$N85,$L85)</f>
        <v>41</v>
      </c>
      <c r="AH85" s="64" cm="1">
        <f t="array" ref="AH85">AG85*$P85*INDEX(Month_Ref,AF$1-1,3)/365</f>
        <v>3.3698630136986303</v>
      </c>
      <c r="AI85" s="70">
        <f t="shared" si="144"/>
        <v>8.1</v>
      </c>
      <c r="AJ85" s="63">
        <f>IFERROR($L85+$M85*($O85*AI85)^$N85,$L85)</f>
        <v>41</v>
      </c>
      <c r="AK85" s="64" cm="1">
        <f t="array" ref="AK85">AJ85*$P85*INDEX(Month_Ref,AI$1-1,3)/365</f>
        <v>3.4821917808219176</v>
      </c>
      <c r="AL85" s="70">
        <f t="shared" si="145"/>
        <v>7.2</v>
      </c>
      <c r="AM85" s="63">
        <f>IFERROR($L85+$M85*($O85*AL85)^$N85,$L85)</f>
        <v>41</v>
      </c>
      <c r="AN85" s="64" cm="1">
        <f t="array" ref="AN85">AM85*$P85*INDEX(Month_Ref,AL$1-1,3)/365</f>
        <v>3.4821917808219176</v>
      </c>
      <c r="AO85" s="70">
        <f t="shared" si="146"/>
        <v>6.7</v>
      </c>
      <c r="AP85" s="63">
        <f>IFERROR($L85+$M85*($O85*AO85)^$N85,$L85)</f>
        <v>41</v>
      </c>
      <c r="AQ85" s="64" cm="1">
        <f t="array" ref="AQ85">AP85*$P85*INDEX(Month_Ref,AO$1-1,3)/365</f>
        <v>3.3698630136986303</v>
      </c>
      <c r="AR85" s="70">
        <f t="shared" si="147"/>
        <v>6.7</v>
      </c>
      <c r="AS85" s="63">
        <f>IFERROR($L85+$M85*($O85*AR85)^$N85,$L85)</f>
        <v>41</v>
      </c>
      <c r="AT85" s="64" cm="1">
        <f t="array" ref="AT85">AS85*$P85*INDEX(Month_Ref,AR$1-1,3)/365</f>
        <v>3.4821917808219176</v>
      </c>
      <c r="AU85" s="70">
        <f t="shared" si="148"/>
        <v>7.8</v>
      </c>
      <c r="AV85" s="63">
        <f>IFERROR($L85+$M85*($O85*AU85)^$N85,$L85)</f>
        <v>41</v>
      </c>
      <c r="AW85" s="64" cm="1">
        <f t="array" ref="AW85">AV85*$P85*INDEX(Month_Ref,AU$1-1,3)/365</f>
        <v>3.3698630136986303</v>
      </c>
      <c r="AX85" s="70">
        <f t="shared" si="149"/>
        <v>8.6999999999999993</v>
      </c>
      <c r="AY85" s="63">
        <f>IFERROR($L85+$M85*($O85*AX85)^$N85,$L85)</f>
        <v>41</v>
      </c>
      <c r="AZ85" s="64" cm="1">
        <f t="array" ref="AZ85">AY85*$P85*INDEX(Month_Ref,AX$1-1,3)/365</f>
        <v>3.4821917808219176</v>
      </c>
      <c r="BA85" s="183">
        <f t="shared" si="135"/>
        <v>41</v>
      </c>
      <c r="BC85" s="20">
        <f t="shared" si="136"/>
        <v>79</v>
      </c>
    </row>
    <row r="86" spans="2:65" ht="29.15" x14ac:dyDescent="0.4">
      <c r="B86" s="528"/>
      <c r="C86" s="531"/>
      <c r="D86" s="534"/>
      <c r="E86" s="534"/>
      <c r="F86" s="522"/>
      <c r="G86" s="522"/>
      <c r="H86" s="522"/>
      <c r="I86" s="525"/>
      <c r="J86" s="178" t="s">
        <v>1682</v>
      </c>
      <c r="K86" s="168" t="s">
        <v>1663</v>
      </c>
      <c r="L86" s="63">
        <f>INDEX(GFW,MATCH($K86,GFW_Name,0),2)</f>
        <v>4.3</v>
      </c>
      <c r="M86" s="63">
        <f>INDEX(GFW,MATCH($K86,GFW_Name,0),3)</f>
        <v>17</v>
      </c>
      <c r="N86" s="63">
        <f>INDEX(GFW,MATCH($K86,GFW_Name,0),4)</f>
        <v>0.38</v>
      </c>
      <c r="O86" s="63">
        <f t="shared" si="137"/>
        <v>0</v>
      </c>
      <c r="P86" s="64">
        <v>1</v>
      </c>
      <c r="Q86" s="70">
        <f t="shared" si="138"/>
        <v>8.5</v>
      </c>
      <c r="R86" s="187">
        <f t="shared" ref="R86:R95" si="150">IFERROR($L86+$M86*($O86*Q86)^$N86,$L86)</f>
        <v>4.3</v>
      </c>
      <c r="S86" s="189" cm="1">
        <f t="array" ref="S86">R86*$P86*INDEX(Month_Ref,Q$1-1,3)/365</f>
        <v>0.36520547945205473</v>
      </c>
      <c r="T86" s="70">
        <f t="shared" si="139"/>
        <v>7.8</v>
      </c>
      <c r="U86" s="187">
        <f t="shared" ref="U86:U95" si="151">IFERROR($L86+$M86*($O86*T86)^$N86,$L86)</f>
        <v>4.3</v>
      </c>
      <c r="V86" s="189" cm="1">
        <f t="array" ref="V86">U86*$P86*INDEX(Month_Ref,T$1-1,3)/365</f>
        <v>0.32986301369863014</v>
      </c>
      <c r="W86" s="70">
        <f t="shared" si="140"/>
        <v>7.8</v>
      </c>
      <c r="X86" s="187">
        <f t="shared" ref="X86:X95" si="152">IFERROR($L86+$M86*($O86*W86)^$N86,$L86)</f>
        <v>4.3</v>
      </c>
      <c r="Y86" s="189" cm="1">
        <f t="array" ref="Y86">X86*$P86*INDEX(Month_Ref,W$1-1,3)/365</f>
        <v>0.36520547945205473</v>
      </c>
      <c r="Z86" s="70">
        <f t="shared" si="141"/>
        <v>7.8</v>
      </c>
      <c r="AA86" s="187">
        <f t="shared" ref="AA86:AA95" si="153">IFERROR($L86+$M86*($O86*Z86)^$N86,$L86)</f>
        <v>4.3</v>
      </c>
      <c r="AB86" s="189" cm="1">
        <f t="array" ref="AB86">AA86*$P86*INDEX(Month_Ref,Z$1-1,3)/365</f>
        <v>0.35342465753424657</v>
      </c>
      <c r="AC86" s="70">
        <f t="shared" si="142"/>
        <v>7.6</v>
      </c>
      <c r="AD86" s="187">
        <f t="shared" ref="AD86:AD95" si="154">IFERROR($L86+$M86*($O86*AC86)^$N86,$L86)</f>
        <v>4.3</v>
      </c>
      <c r="AE86" s="189" cm="1">
        <f t="array" ref="AE86">AD86*$P86*INDEX(Month_Ref,AC$1-1,3)/365</f>
        <v>0.36520547945205473</v>
      </c>
      <c r="AF86" s="70">
        <f t="shared" si="143"/>
        <v>7.8</v>
      </c>
      <c r="AG86" s="187">
        <f t="shared" ref="AG86:AG95" si="155">IFERROR($L86+$M86*($O86*AF86)^$N86,$L86)</f>
        <v>4.3</v>
      </c>
      <c r="AH86" s="189" cm="1">
        <f t="array" ref="AH86">AG86*$P86*INDEX(Month_Ref,AF$1-1,3)/365</f>
        <v>0.35342465753424657</v>
      </c>
      <c r="AI86" s="70">
        <f t="shared" si="144"/>
        <v>8.1</v>
      </c>
      <c r="AJ86" s="187">
        <f t="shared" ref="AJ86:AJ95" si="156">IFERROR($L86+$M86*($O86*AI86)^$N86,$L86)</f>
        <v>4.3</v>
      </c>
      <c r="AK86" s="189" cm="1">
        <f t="array" ref="AK86">AJ86*$P86*INDEX(Month_Ref,AI$1-1,3)/365</f>
        <v>0.36520547945205473</v>
      </c>
      <c r="AL86" s="70">
        <f t="shared" si="145"/>
        <v>7.2</v>
      </c>
      <c r="AM86" s="187">
        <f t="shared" ref="AM86:AM95" si="157">IFERROR($L86+$M86*($O86*AL86)^$N86,$L86)</f>
        <v>4.3</v>
      </c>
      <c r="AN86" s="189" cm="1">
        <f t="array" ref="AN86">AM86*$P86*INDEX(Month_Ref,AL$1-1,3)/365</f>
        <v>0.36520547945205473</v>
      </c>
      <c r="AO86" s="70">
        <f t="shared" si="146"/>
        <v>6.7</v>
      </c>
      <c r="AP86" s="187">
        <f t="shared" ref="AP86:AP95" si="158">IFERROR($L86+$M86*($O86*AO86)^$N86,$L86)</f>
        <v>4.3</v>
      </c>
      <c r="AQ86" s="189" cm="1">
        <f t="array" ref="AQ86">AP86*$P86*INDEX(Month_Ref,AO$1-1,3)/365</f>
        <v>0.35342465753424657</v>
      </c>
      <c r="AR86" s="70">
        <f t="shared" si="147"/>
        <v>6.7</v>
      </c>
      <c r="AS86" s="187">
        <f t="shared" ref="AS86:AS95" si="159">IFERROR($L86+$M86*($O86*AR86)^$N86,$L86)</f>
        <v>4.3</v>
      </c>
      <c r="AT86" s="189" cm="1">
        <f t="array" ref="AT86">AS86*$P86*INDEX(Month_Ref,AR$1-1,3)/365</f>
        <v>0.36520547945205473</v>
      </c>
      <c r="AU86" s="70">
        <f t="shared" si="148"/>
        <v>7.8</v>
      </c>
      <c r="AV86" s="187">
        <f t="shared" ref="AV86:AV95" si="160">IFERROR($L86+$M86*($O86*AU86)^$N86,$L86)</f>
        <v>4.3</v>
      </c>
      <c r="AW86" s="189" cm="1">
        <f t="array" ref="AW86">AV86*$P86*INDEX(Month_Ref,AU$1-1,3)/365</f>
        <v>0.35342465753424657</v>
      </c>
      <c r="AX86" s="70">
        <f t="shared" si="149"/>
        <v>8.6999999999999993</v>
      </c>
      <c r="AY86" s="187">
        <f t="shared" ref="AY86:AY95" si="161">IFERROR($L86+$M86*($O86*AX86)^$N86,$L86)</f>
        <v>4.3</v>
      </c>
      <c r="AZ86" s="189" cm="1">
        <f t="array" ref="AZ86">AY86*$P86*INDEX(Month_Ref,AX$1-1,3)/365</f>
        <v>0.36520547945205473</v>
      </c>
      <c r="BA86" s="183">
        <f t="shared" si="135"/>
        <v>4.3</v>
      </c>
      <c r="BC86" s="20">
        <f t="shared" si="136"/>
        <v>80</v>
      </c>
    </row>
    <row r="87" spans="2:65" ht="29.15" x14ac:dyDescent="0.4">
      <c r="B87" s="528"/>
      <c r="C87" s="531"/>
      <c r="D87" s="534"/>
      <c r="E87" s="534"/>
      <c r="F87" s="522"/>
      <c r="G87" s="522"/>
      <c r="H87" s="522"/>
      <c r="I87" s="525"/>
      <c r="J87" s="179" t="s">
        <v>1683</v>
      </c>
      <c r="K87" s="168" t="s">
        <v>1684</v>
      </c>
      <c r="L87" s="63">
        <f>INDEX(GHSP,MATCH($K87,GHSP_Name,0),2)</f>
        <v>0.47</v>
      </c>
      <c r="M87" s="63">
        <f>INDEX(GHSP,MATCH($K87,GHSP_Name,0),3)</f>
        <v>0.02</v>
      </c>
      <c r="N87" s="63">
        <f>INDEX(GHSP,MATCH($K87,GHSP_Name,0),4)</f>
        <v>0.97</v>
      </c>
      <c r="O87" s="63">
        <f t="shared" si="137"/>
        <v>0</v>
      </c>
      <c r="P87" s="64">
        <v>1</v>
      </c>
      <c r="Q87" s="70">
        <f t="shared" si="138"/>
        <v>8.5</v>
      </c>
      <c r="R87" s="190">
        <f t="shared" si="150"/>
        <v>0.47</v>
      </c>
      <c r="S87" s="191" cm="1">
        <f t="array" ref="S87">R87*$P87*INDEX(Month_Ref,Q$1-1,3)/365</f>
        <v>3.9917808219178078E-2</v>
      </c>
      <c r="T87" s="70">
        <f t="shared" si="139"/>
        <v>7.8</v>
      </c>
      <c r="U87" s="190">
        <f t="shared" si="151"/>
        <v>0.47</v>
      </c>
      <c r="V87" s="191" cm="1">
        <f t="array" ref="V87">U87*$P87*INDEX(Month_Ref,T$1-1,3)/365</f>
        <v>3.6054794520547946E-2</v>
      </c>
      <c r="W87" s="70">
        <f t="shared" si="140"/>
        <v>7.8</v>
      </c>
      <c r="X87" s="190">
        <f t="shared" si="152"/>
        <v>0.47</v>
      </c>
      <c r="Y87" s="191" cm="1">
        <f t="array" ref="Y87">X87*$P87*INDEX(Month_Ref,W$1-1,3)/365</f>
        <v>3.9917808219178078E-2</v>
      </c>
      <c r="Z87" s="70">
        <f t="shared" si="141"/>
        <v>7.8</v>
      </c>
      <c r="AA87" s="190">
        <f t="shared" si="153"/>
        <v>0.47</v>
      </c>
      <c r="AB87" s="191" cm="1">
        <f t="array" ref="AB87">AA87*$P87*INDEX(Month_Ref,Z$1-1,3)/365</f>
        <v>3.8630136986301369E-2</v>
      </c>
      <c r="AC87" s="70">
        <f t="shared" si="142"/>
        <v>7.6</v>
      </c>
      <c r="AD87" s="190">
        <f t="shared" si="154"/>
        <v>0.47</v>
      </c>
      <c r="AE87" s="191" cm="1">
        <f t="array" ref="AE87">AD87*$P87*INDEX(Month_Ref,AC$1-1,3)/365</f>
        <v>3.9917808219178078E-2</v>
      </c>
      <c r="AF87" s="70">
        <f t="shared" si="143"/>
        <v>7.8</v>
      </c>
      <c r="AG87" s="190">
        <f t="shared" si="155"/>
        <v>0.47</v>
      </c>
      <c r="AH87" s="191" cm="1">
        <f t="array" ref="AH87">AG87*$P87*INDEX(Month_Ref,AF$1-1,3)/365</f>
        <v>3.8630136986301369E-2</v>
      </c>
      <c r="AI87" s="70">
        <f t="shared" si="144"/>
        <v>8.1</v>
      </c>
      <c r="AJ87" s="190">
        <f t="shared" si="156"/>
        <v>0.47</v>
      </c>
      <c r="AK87" s="191" cm="1">
        <f t="array" ref="AK87">AJ87*$P87*INDEX(Month_Ref,AI$1-1,3)/365</f>
        <v>3.9917808219178078E-2</v>
      </c>
      <c r="AL87" s="70">
        <f t="shared" si="145"/>
        <v>7.2</v>
      </c>
      <c r="AM87" s="190">
        <f t="shared" si="157"/>
        <v>0.47</v>
      </c>
      <c r="AN87" s="191" cm="1">
        <f t="array" ref="AN87">AM87*$P87*INDEX(Month_Ref,AL$1-1,3)/365</f>
        <v>3.9917808219178078E-2</v>
      </c>
      <c r="AO87" s="70">
        <f t="shared" si="146"/>
        <v>6.7</v>
      </c>
      <c r="AP87" s="190">
        <f t="shared" si="158"/>
        <v>0.47</v>
      </c>
      <c r="AQ87" s="191" cm="1">
        <f t="array" ref="AQ87">AP87*$P87*INDEX(Month_Ref,AO$1-1,3)/365</f>
        <v>3.8630136986301369E-2</v>
      </c>
      <c r="AR87" s="70">
        <f t="shared" si="147"/>
        <v>6.7</v>
      </c>
      <c r="AS87" s="190">
        <f t="shared" si="159"/>
        <v>0.47</v>
      </c>
      <c r="AT87" s="191" cm="1">
        <f t="array" ref="AT87">AS87*$P87*INDEX(Month_Ref,AR$1-1,3)/365</f>
        <v>3.9917808219178078E-2</v>
      </c>
      <c r="AU87" s="70">
        <f t="shared" si="148"/>
        <v>7.8</v>
      </c>
      <c r="AV87" s="190">
        <f t="shared" si="160"/>
        <v>0.47</v>
      </c>
      <c r="AW87" s="191" cm="1">
        <f t="array" ref="AW87">AV87*$P87*INDEX(Month_Ref,AU$1-1,3)/365</f>
        <v>3.8630136986301369E-2</v>
      </c>
      <c r="AX87" s="70">
        <f t="shared" si="149"/>
        <v>8.6999999999999993</v>
      </c>
      <c r="AY87" s="190">
        <f t="shared" si="161"/>
        <v>0.47</v>
      </c>
      <c r="AZ87" s="191" cm="1">
        <f t="array" ref="AZ87">AY87*$P87*INDEX(Month_Ref,AX$1-1,3)/365</f>
        <v>3.9917808219178078E-2</v>
      </c>
      <c r="BA87" s="183">
        <f t="shared" si="135"/>
        <v>0.46999999999999986</v>
      </c>
      <c r="BC87" s="20">
        <f t="shared" si="136"/>
        <v>81</v>
      </c>
    </row>
    <row r="88" spans="2:65" ht="29.15" x14ac:dyDescent="0.4">
      <c r="B88" s="528"/>
      <c r="C88" s="531"/>
      <c r="D88" s="534"/>
      <c r="E88" s="534"/>
      <c r="F88" s="522"/>
      <c r="G88" s="522"/>
      <c r="H88" s="522"/>
      <c r="I88" s="525"/>
      <c r="J88" s="179" t="s">
        <v>1687</v>
      </c>
      <c r="K88" s="168" t="s">
        <v>1685</v>
      </c>
      <c r="L88" s="63">
        <f>INDEX(Vac_Break,MATCH($K88,Vac_Break_Name,0),2)</f>
        <v>7.8</v>
      </c>
      <c r="M88" s="63">
        <f>INDEX(Vac_Break,MATCH($K88,Vac_Break_Name,0),3)</f>
        <v>0.01</v>
      </c>
      <c r="N88" s="63">
        <f>INDEX(Vac_Break,MATCH($K88,Vac_Break_Name,0),4)</f>
        <v>4</v>
      </c>
      <c r="O88" s="63">
        <f t="shared" si="137"/>
        <v>0</v>
      </c>
      <c r="P88" s="64" cm="1">
        <f t="array" ref="P88">IF(F82="Internal Floating Roof",1,INDEX(Tbl_71_13,_xlfn.MINIFS(Tbl_71_13_Range,Tbl_71_13_Dia,"&gt;="&amp;$E82),IF(G82="Pontoon",3,4)))</f>
        <v>1</v>
      </c>
      <c r="Q88" s="70">
        <f t="shared" si="138"/>
        <v>8.5</v>
      </c>
      <c r="R88" s="187">
        <f t="shared" si="150"/>
        <v>7.8</v>
      </c>
      <c r="S88" s="189" cm="1">
        <f t="array" ref="S88">R88*$P88*INDEX(Month_Ref,Q$1-1,3)/365</f>
        <v>0.66246575342465752</v>
      </c>
      <c r="T88" s="70">
        <f t="shared" si="139"/>
        <v>7.8</v>
      </c>
      <c r="U88" s="187">
        <f t="shared" si="151"/>
        <v>7.8</v>
      </c>
      <c r="V88" s="189" cm="1">
        <f t="array" ref="V88">U88*$P88*INDEX(Month_Ref,T$1-1,3)/365</f>
        <v>0.59835616438356165</v>
      </c>
      <c r="W88" s="70">
        <f t="shared" si="140"/>
        <v>7.8</v>
      </c>
      <c r="X88" s="187">
        <f t="shared" si="152"/>
        <v>7.8</v>
      </c>
      <c r="Y88" s="189" cm="1">
        <f t="array" ref="Y88">X88*$P88*INDEX(Month_Ref,W$1-1,3)/365</f>
        <v>0.66246575342465752</v>
      </c>
      <c r="Z88" s="70">
        <f t="shared" si="141"/>
        <v>7.8</v>
      </c>
      <c r="AA88" s="187">
        <f t="shared" si="153"/>
        <v>7.8</v>
      </c>
      <c r="AB88" s="189" cm="1">
        <f t="array" ref="AB88">AA88*$P88*INDEX(Month_Ref,Z$1-1,3)/365</f>
        <v>0.64109589041095894</v>
      </c>
      <c r="AC88" s="70">
        <f t="shared" si="142"/>
        <v>7.6</v>
      </c>
      <c r="AD88" s="187">
        <f t="shared" si="154"/>
        <v>7.8</v>
      </c>
      <c r="AE88" s="189" cm="1">
        <f t="array" ref="AE88">AD88*$P88*INDEX(Month_Ref,AC$1-1,3)/365</f>
        <v>0.66246575342465752</v>
      </c>
      <c r="AF88" s="70">
        <f t="shared" si="143"/>
        <v>7.8</v>
      </c>
      <c r="AG88" s="187">
        <f t="shared" si="155"/>
        <v>7.8</v>
      </c>
      <c r="AH88" s="189" cm="1">
        <f t="array" ref="AH88">AG88*$P88*INDEX(Month_Ref,AF$1-1,3)/365</f>
        <v>0.64109589041095894</v>
      </c>
      <c r="AI88" s="70">
        <f t="shared" si="144"/>
        <v>8.1</v>
      </c>
      <c r="AJ88" s="187">
        <f t="shared" si="156"/>
        <v>7.8</v>
      </c>
      <c r="AK88" s="189" cm="1">
        <f t="array" ref="AK88">AJ88*$P88*INDEX(Month_Ref,AI$1-1,3)/365</f>
        <v>0.66246575342465752</v>
      </c>
      <c r="AL88" s="70">
        <f t="shared" si="145"/>
        <v>7.2</v>
      </c>
      <c r="AM88" s="187">
        <f t="shared" si="157"/>
        <v>7.8</v>
      </c>
      <c r="AN88" s="189" cm="1">
        <f t="array" ref="AN88">AM88*$P88*INDEX(Month_Ref,AL$1-1,3)/365</f>
        <v>0.66246575342465752</v>
      </c>
      <c r="AO88" s="70">
        <f t="shared" si="146"/>
        <v>6.7</v>
      </c>
      <c r="AP88" s="187">
        <f t="shared" si="158"/>
        <v>7.8</v>
      </c>
      <c r="AQ88" s="189" cm="1">
        <f t="array" ref="AQ88">AP88*$P88*INDEX(Month_Ref,AO$1-1,3)/365</f>
        <v>0.64109589041095894</v>
      </c>
      <c r="AR88" s="70">
        <f t="shared" si="147"/>
        <v>6.7</v>
      </c>
      <c r="AS88" s="187">
        <f t="shared" si="159"/>
        <v>7.8</v>
      </c>
      <c r="AT88" s="189" cm="1">
        <f t="array" ref="AT88">AS88*$P88*INDEX(Month_Ref,AR$1-1,3)/365</f>
        <v>0.66246575342465752</v>
      </c>
      <c r="AU88" s="70">
        <f t="shared" si="148"/>
        <v>7.8</v>
      </c>
      <c r="AV88" s="187">
        <f t="shared" si="160"/>
        <v>7.8</v>
      </c>
      <c r="AW88" s="189" cm="1">
        <f t="array" ref="AW88">AV88*$P88*INDEX(Month_Ref,AU$1-1,3)/365</f>
        <v>0.64109589041095894</v>
      </c>
      <c r="AX88" s="70">
        <f t="shared" si="149"/>
        <v>8.6999999999999993</v>
      </c>
      <c r="AY88" s="187">
        <f t="shared" si="161"/>
        <v>7.8</v>
      </c>
      <c r="AZ88" s="189" cm="1">
        <f t="array" ref="AZ88">AY88*$P88*INDEX(Month_Ref,AX$1-1,3)/365</f>
        <v>0.66246575342465752</v>
      </c>
      <c r="BA88" s="183">
        <f t="shared" si="135"/>
        <v>7.8000000000000016</v>
      </c>
      <c r="BC88" s="20">
        <f t="shared" si="136"/>
        <v>82</v>
      </c>
    </row>
    <row r="89" spans="2:65" x14ac:dyDescent="0.4">
      <c r="B89" s="528"/>
      <c r="C89" s="531"/>
      <c r="D89" s="534"/>
      <c r="E89" s="534"/>
      <c r="F89" s="522"/>
      <c r="G89" s="522"/>
      <c r="H89" s="522"/>
      <c r="I89" s="525"/>
      <c r="J89" s="179" t="s">
        <v>1688</v>
      </c>
      <c r="K89" s="168" t="s">
        <v>1647</v>
      </c>
      <c r="L89" s="63">
        <f>INDEX(Deck_Drain,MATCH($K89,Deck_Drain_Name,0),2)</f>
        <v>0</v>
      </c>
      <c r="M89" s="63">
        <f>INDEX(Deck_Drain,MATCH($K89,Deck_Drain_Name,0),3)</f>
        <v>0</v>
      </c>
      <c r="N89" s="63">
        <f>INDEX(Deck_Drain,MATCH($K89,Deck_Drain_Name,0),4)</f>
        <v>0</v>
      </c>
      <c r="O89" s="63">
        <f t="shared" si="137"/>
        <v>0</v>
      </c>
      <c r="P89" s="64" cm="1">
        <f t="array" ref="P89">IF(F82="Internal Floating Roof",1,INDEX(Tbl_71_13,_xlfn.MINIFS(Tbl_71_13_Range,Tbl_71_13_Dia,"&gt;="&amp;$E82),5))</f>
        <v>1</v>
      </c>
      <c r="Q89" s="70">
        <f t="shared" si="138"/>
        <v>8.5</v>
      </c>
      <c r="R89" s="188">
        <f t="shared" si="150"/>
        <v>0</v>
      </c>
      <c r="S89" s="192" cm="1">
        <f t="array" ref="S89">R89*$P89*INDEX(Month_Ref,Q$1-1,3)/365</f>
        <v>0</v>
      </c>
      <c r="T89" s="70">
        <f t="shared" si="139"/>
        <v>7.8</v>
      </c>
      <c r="U89" s="188">
        <f t="shared" si="151"/>
        <v>0</v>
      </c>
      <c r="V89" s="192" cm="1">
        <f t="array" ref="V89">U89*$P89*INDEX(Month_Ref,T$1-1,3)/365</f>
        <v>0</v>
      </c>
      <c r="W89" s="70">
        <f t="shared" si="140"/>
        <v>7.8</v>
      </c>
      <c r="X89" s="188">
        <f t="shared" si="152"/>
        <v>0</v>
      </c>
      <c r="Y89" s="192" cm="1">
        <f t="array" ref="Y89">X89*$P89*INDEX(Month_Ref,W$1-1,3)/365</f>
        <v>0</v>
      </c>
      <c r="Z89" s="70">
        <f t="shared" si="141"/>
        <v>7.8</v>
      </c>
      <c r="AA89" s="188">
        <f t="shared" si="153"/>
        <v>0</v>
      </c>
      <c r="AB89" s="192" cm="1">
        <f t="array" ref="AB89">AA89*$P89*INDEX(Month_Ref,Z$1-1,3)/365</f>
        <v>0</v>
      </c>
      <c r="AC89" s="70">
        <f t="shared" si="142"/>
        <v>7.6</v>
      </c>
      <c r="AD89" s="188">
        <f t="shared" si="154"/>
        <v>0</v>
      </c>
      <c r="AE89" s="192" cm="1">
        <f t="array" ref="AE89">AD89*$P89*INDEX(Month_Ref,AC$1-1,3)/365</f>
        <v>0</v>
      </c>
      <c r="AF89" s="70">
        <f t="shared" si="143"/>
        <v>7.8</v>
      </c>
      <c r="AG89" s="188">
        <f t="shared" si="155"/>
        <v>0</v>
      </c>
      <c r="AH89" s="192" cm="1">
        <f t="array" ref="AH89">AG89*$P89*INDEX(Month_Ref,AF$1-1,3)/365</f>
        <v>0</v>
      </c>
      <c r="AI89" s="70">
        <f t="shared" si="144"/>
        <v>8.1</v>
      </c>
      <c r="AJ89" s="188">
        <f t="shared" si="156"/>
        <v>0</v>
      </c>
      <c r="AK89" s="192" cm="1">
        <f t="array" ref="AK89">AJ89*$P89*INDEX(Month_Ref,AI$1-1,3)/365</f>
        <v>0</v>
      </c>
      <c r="AL89" s="70">
        <f t="shared" si="145"/>
        <v>7.2</v>
      </c>
      <c r="AM89" s="188">
        <f t="shared" si="157"/>
        <v>0</v>
      </c>
      <c r="AN89" s="192" cm="1">
        <f t="array" ref="AN89">AM89*$P89*INDEX(Month_Ref,AL$1-1,3)/365</f>
        <v>0</v>
      </c>
      <c r="AO89" s="70">
        <f t="shared" si="146"/>
        <v>6.7</v>
      </c>
      <c r="AP89" s="188">
        <f t="shared" si="158"/>
        <v>0</v>
      </c>
      <c r="AQ89" s="192" cm="1">
        <f t="array" ref="AQ89">AP89*$P89*INDEX(Month_Ref,AO$1-1,3)/365</f>
        <v>0</v>
      </c>
      <c r="AR89" s="70">
        <f t="shared" si="147"/>
        <v>6.7</v>
      </c>
      <c r="AS89" s="188">
        <f t="shared" si="159"/>
        <v>0</v>
      </c>
      <c r="AT89" s="192" cm="1">
        <f t="array" ref="AT89">AS89*$P89*INDEX(Month_Ref,AR$1-1,3)/365</f>
        <v>0</v>
      </c>
      <c r="AU89" s="70">
        <f t="shared" si="148"/>
        <v>7.8</v>
      </c>
      <c r="AV89" s="188">
        <f t="shared" si="160"/>
        <v>0</v>
      </c>
      <c r="AW89" s="192" cm="1">
        <f t="array" ref="AW89">AV89*$P89*INDEX(Month_Ref,AU$1-1,3)/365</f>
        <v>0</v>
      </c>
      <c r="AX89" s="70">
        <f t="shared" si="149"/>
        <v>8.6999999999999993</v>
      </c>
      <c r="AY89" s="188">
        <f t="shared" si="161"/>
        <v>0</v>
      </c>
      <c r="AZ89" s="192" cm="1">
        <f t="array" ref="AZ89">AY89*$P89*INDEX(Month_Ref,AX$1-1,3)/365</f>
        <v>0</v>
      </c>
      <c r="BA89" s="183">
        <f t="shared" si="135"/>
        <v>0</v>
      </c>
      <c r="BC89" s="20">
        <f t="shared" si="136"/>
        <v>83</v>
      </c>
    </row>
    <row r="90" spans="2:65" x14ac:dyDescent="0.4">
      <c r="B90" s="528"/>
      <c r="C90" s="531"/>
      <c r="D90" s="534"/>
      <c r="E90" s="534"/>
      <c r="F90" s="522"/>
      <c r="G90" s="522"/>
      <c r="H90" s="522"/>
      <c r="I90" s="525"/>
      <c r="J90" s="179" t="s">
        <v>1708</v>
      </c>
      <c r="K90" s="168" t="s">
        <v>1709</v>
      </c>
      <c r="L90" s="63">
        <f>INDEX(Deck_Leg_IFR,MATCH($K90,Deck_Leg_IFR_Name,0),2)</f>
        <v>7.9</v>
      </c>
      <c r="M90" s="63">
        <f>INDEX(Deck_Leg_IFR,MATCH($K90,Deck_Leg_IFR_Name,0),3)</f>
        <v>0</v>
      </c>
      <c r="N90" s="63">
        <f>INDEX(Deck_Leg_IFR,MATCH($K90,Deck_Leg_IFR_Name,0),4)</f>
        <v>0</v>
      </c>
      <c r="O90" s="63">
        <f t="shared" si="137"/>
        <v>0</v>
      </c>
      <c r="P90" s="64">
        <f>IF($F82="Internal Floating Roof",ROUND(5+$E82/10+($E82^2)/600,0),0)</f>
        <v>24</v>
      </c>
      <c r="Q90" s="70">
        <f t="shared" si="138"/>
        <v>8.5</v>
      </c>
      <c r="R90" s="63">
        <f t="shared" si="150"/>
        <v>7.9</v>
      </c>
      <c r="S90" s="64" cm="1">
        <f t="array" ref="S90">R90*$P90*INDEX(Month_Ref,Q$1-1,3)/365</f>
        <v>16.103013698630139</v>
      </c>
      <c r="T90" s="70">
        <f t="shared" si="139"/>
        <v>7.8</v>
      </c>
      <c r="U90" s="63">
        <f t="shared" si="151"/>
        <v>7.9</v>
      </c>
      <c r="V90" s="64" cm="1">
        <f t="array" ref="V90">U90*$P90*INDEX(Month_Ref,T$1-1,3)/365</f>
        <v>14.544657534246578</v>
      </c>
      <c r="W90" s="70">
        <f t="shared" si="140"/>
        <v>7.8</v>
      </c>
      <c r="X90" s="63">
        <f t="shared" si="152"/>
        <v>7.9</v>
      </c>
      <c r="Y90" s="64" cm="1">
        <f t="array" ref="Y90">X90*$P90*INDEX(Month_Ref,W$1-1,3)/365</f>
        <v>16.103013698630139</v>
      </c>
      <c r="Z90" s="70">
        <f t="shared" si="141"/>
        <v>7.8</v>
      </c>
      <c r="AA90" s="63">
        <f t="shared" si="153"/>
        <v>7.9</v>
      </c>
      <c r="AB90" s="64" cm="1">
        <f t="array" ref="AB90">AA90*$P90*INDEX(Month_Ref,Z$1-1,3)/365</f>
        <v>15.583561643835619</v>
      </c>
      <c r="AC90" s="70">
        <f t="shared" si="142"/>
        <v>7.6</v>
      </c>
      <c r="AD90" s="63">
        <f t="shared" si="154"/>
        <v>7.9</v>
      </c>
      <c r="AE90" s="64" cm="1">
        <f t="array" ref="AE90">AD90*$P90*INDEX(Month_Ref,AC$1-1,3)/365</f>
        <v>16.103013698630139</v>
      </c>
      <c r="AF90" s="70">
        <f t="shared" si="143"/>
        <v>7.8</v>
      </c>
      <c r="AG90" s="63">
        <f t="shared" si="155"/>
        <v>7.9</v>
      </c>
      <c r="AH90" s="64" cm="1">
        <f t="array" ref="AH90">AG90*$P90*INDEX(Month_Ref,AF$1-1,3)/365</f>
        <v>15.583561643835619</v>
      </c>
      <c r="AI90" s="70">
        <f t="shared" si="144"/>
        <v>8.1</v>
      </c>
      <c r="AJ90" s="63">
        <f t="shared" si="156"/>
        <v>7.9</v>
      </c>
      <c r="AK90" s="64" cm="1">
        <f t="array" ref="AK90">AJ90*$P90*INDEX(Month_Ref,AI$1-1,3)/365</f>
        <v>16.103013698630139</v>
      </c>
      <c r="AL90" s="70">
        <f t="shared" si="145"/>
        <v>7.2</v>
      </c>
      <c r="AM90" s="63">
        <f t="shared" si="157"/>
        <v>7.9</v>
      </c>
      <c r="AN90" s="64" cm="1">
        <f t="array" ref="AN90">AM90*$P90*INDEX(Month_Ref,AL$1-1,3)/365</f>
        <v>16.103013698630139</v>
      </c>
      <c r="AO90" s="70">
        <f t="shared" si="146"/>
        <v>6.7</v>
      </c>
      <c r="AP90" s="63">
        <f t="shared" si="158"/>
        <v>7.9</v>
      </c>
      <c r="AQ90" s="64" cm="1">
        <f t="array" ref="AQ90">AP90*$P90*INDEX(Month_Ref,AO$1-1,3)/365</f>
        <v>15.583561643835619</v>
      </c>
      <c r="AR90" s="70">
        <f t="shared" si="147"/>
        <v>6.7</v>
      </c>
      <c r="AS90" s="63">
        <f t="shared" si="159"/>
        <v>7.9</v>
      </c>
      <c r="AT90" s="64" cm="1">
        <f t="array" ref="AT90">AS90*$P90*INDEX(Month_Ref,AR$1-1,3)/365</f>
        <v>16.103013698630139</v>
      </c>
      <c r="AU90" s="70">
        <f t="shared" si="148"/>
        <v>7.8</v>
      </c>
      <c r="AV90" s="63">
        <f t="shared" si="160"/>
        <v>7.9</v>
      </c>
      <c r="AW90" s="64" cm="1">
        <f t="array" ref="AW90">AV90*$P90*INDEX(Month_Ref,AU$1-1,3)/365</f>
        <v>15.583561643835619</v>
      </c>
      <c r="AX90" s="70">
        <f t="shared" si="149"/>
        <v>8.6999999999999993</v>
      </c>
      <c r="AY90" s="63">
        <f t="shared" si="161"/>
        <v>7.9</v>
      </c>
      <c r="AZ90" s="64" cm="1">
        <f t="array" ref="AZ90">AY90*$P90*INDEX(Month_Ref,AX$1-1,3)/365</f>
        <v>16.103013698630139</v>
      </c>
      <c r="BA90" s="183">
        <f t="shared" si="135"/>
        <v>189.60000000000005</v>
      </c>
      <c r="BC90" s="20">
        <f t="shared" si="136"/>
        <v>84</v>
      </c>
    </row>
    <row r="91" spans="2:65" x14ac:dyDescent="0.4">
      <c r="B91" s="528"/>
      <c r="C91" s="531"/>
      <c r="D91" s="534"/>
      <c r="E91" s="534"/>
      <c r="F91" s="522"/>
      <c r="G91" s="522"/>
      <c r="H91" s="522"/>
      <c r="I91" s="525"/>
      <c r="J91" s="179" t="s">
        <v>1711</v>
      </c>
      <c r="K91" s="168" t="s">
        <v>1582</v>
      </c>
      <c r="L91" s="63">
        <f>INDEX(Deck_Leg_Pon,MATCH($K91,Deck_Leg_Pon_Name,0),2)</f>
        <v>0</v>
      </c>
      <c r="M91" s="63">
        <f>INDEX(Deck_Leg_Pon,MATCH($K91,Deck_Leg_Pon_Name,0),3)</f>
        <v>0</v>
      </c>
      <c r="N91" s="63">
        <f>INDEX(Deck_Leg_Pon,MATCH($K91,Deck_Leg_Pon_Name,0),4)</f>
        <v>0</v>
      </c>
      <c r="O91" s="63">
        <f t="shared" si="137"/>
        <v>0</v>
      </c>
      <c r="P91" s="64" cm="1">
        <f t="array" ref="P91">IF($G82="Pontoon",INDEX(Tbl_71_14,_xlfn.MINIFS(Tbl_71_14_Range,Tbl_71_14_Dia,"&gt;="&amp;$E82),3),0)</f>
        <v>0</v>
      </c>
      <c r="Q91" s="70">
        <f t="shared" si="138"/>
        <v>8.5</v>
      </c>
      <c r="R91" s="188">
        <f t="shared" si="150"/>
        <v>0</v>
      </c>
      <c r="S91" s="64" cm="1">
        <f t="array" ref="S91">R91*$P91*INDEX(Month_Ref,Q$1-1,3)/365</f>
        <v>0</v>
      </c>
      <c r="T91" s="70">
        <f t="shared" si="139"/>
        <v>7.8</v>
      </c>
      <c r="U91" s="188">
        <f t="shared" si="151"/>
        <v>0</v>
      </c>
      <c r="V91" s="64" cm="1">
        <f t="array" ref="V91">U91*$P91*INDEX(Month_Ref,T$1-1,3)/365</f>
        <v>0</v>
      </c>
      <c r="W91" s="70">
        <f t="shared" si="140"/>
        <v>7.8</v>
      </c>
      <c r="X91" s="188">
        <f t="shared" si="152"/>
        <v>0</v>
      </c>
      <c r="Y91" s="64" cm="1">
        <f t="array" ref="Y91">X91*$P91*INDEX(Month_Ref,W$1-1,3)/365</f>
        <v>0</v>
      </c>
      <c r="Z91" s="70">
        <f t="shared" si="141"/>
        <v>7.8</v>
      </c>
      <c r="AA91" s="188">
        <f t="shared" si="153"/>
        <v>0</v>
      </c>
      <c r="AB91" s="64" cm="1">
        <f t="array" ref="AB91">AA91*$P91*INDEX(Month_Ref,Z$1-1,3)/365</f>
        <v>0</v>
      </c>
      <c r="AC91" s="70">
        <f t="shared" si="142"/>
        <v>7.6</v>
      </c>
      <c r="AD91" s="188">
        <f t="shared" si="154"/>
        <v>0</v>
      </c>
      <c r="AE91" s="64" cm="1">
        <f t="array" ref="AE91">AD91*$P91*INDEX(Month_Ref,AC$1-1,3)/365</f>
        <v>0</v>
      </c>
      <c r="AF91" s="70">
        <f t="shared" si="143"/>
        <v>7.8</v>
      </c>
      <c r="AG91" s="188">
        <f t="shared" si="155"/>
        <v>0</v>
      </c>
      <c r="AH91" s="64" cm="1">
        <f t="array" ref="AH91">AG91*$P91*INDEX(Month_Ref,AF$1-1,3)/365</f>
        <v>0</v>
      </c>
      <c r="AI91" s="70">
        <f t="shared" si="144"/>
        <v>8.1</v>
      </c>
      <c r="AJ91" s="188">
        <f t="shared" si="156"/>
        <v>0</v>
      </c>
      <c r="AK91" s="64" cm="1">
        <f t="array" ref="AK91">AJ91*$P91*INDEX(Month_Ref,AI$1-1,3)/365</f>
        <v>0</v>
      </c>
      <c r="AL91" s="70">
        <f t="shared" si="145"/>
        <v>7.2</v>
      </c>
      <c r="AM91" s="188">
        <f t="shared" si="157"/>
        <v>0</v>
      </c>
      <c r="AN91" s="64" cm="1">
        <f t="array" ref="AN91">AM91*$P91*INDEX(Month_Ref,AL$1-1,3)/365</f>
        <v>0</v>
      </c>
      <c r="AO91" s="70">
        <f t="shared" si="146"/>
        <v>6.7</v>
      </c>
      <c r="AP91" s="188">
        <f t="shared" si="158"/>
        <v>0</v>
      </c>
      <c r="AQ91" s="64" cm="1">
        <f t="array" ref="AQ91">AP91*$P91*INDEX(Month_Ref,AO$1-1,3)/365</f>
        <v>0</v>
      </c>
      <c r="AR91" s="70">
        <f t="shared" si="147"/>
        <v>6.7</v>
      </c>
      <c r="AS91" s="188">
        <f t="shared" si="159"/>
        <v>0</v>
      </c>
      <c r="AT91" s="64" cm="1">
        <f t="array" ref="AT91">AS91*$P91*INDEX(Month_Ref,AR$1-1,3)/365</f>
        <v>0</v>
      </c>
      <c r="AU91" s="70">
        <f t="shared" si="148"/>
        <v>7.8</v>
      </c>
      <c r="AV91" s="188">
        <f t="shared" si="160"/>
        <v>0</v>
      </c>
      <c r="AW91" s="64" cm="1">
        <f t="array" ref="AW91">AV91*$P91*INDEX(Month_Ref,AU$1-1,3)/365</f>
        <v>0</v>
      </c>
      <c r="AX91" s="70">
        <f t="shared" si="149"/>
        <v>8.6999999999999993</v>
      </c>
      <c r="AY91" s="188">
        <f t="shared" si="161"/>
        <v>0</v>
      </c>
      <c r="AZ91" s="64" cm="1">
        <f t="array" ref="AZ91">AY91*$P91*INDEX(Month_Ref,AX$1-1,3)/365</f>
        <v>0</v>
      </c>
      <c r="BA91" s="183">
        <f t="shared" si="135"/>
        <v>0</v>
      </c>
      <c r="BC91" s="20">
        <f t="shared" si="136"/>
        <v>85</v>
      </c>
    </row>
    <row r="92" spans="2:65" ht="29.15" x14ac:dyDescent="0.4">
      <c r="B92" s="528"/>
      <c r="C92" s="531"/>
      <c r="D92" s="534"/>
      <c r="E92" s="534"/>
      <c r="F92" s="522"/>
      <c r="G92" s="522"/>
      <c r="H92" s="522"/>
      <c r="I92" s="525"/>
      <c r="J92" s="179" t="s">
        <v>1714</v>
      </c>
      <c r="K92" s="168" t="s">
        <v>1582</v>
      </c>
      <c r="L92" s="63">
        <f>INDEX(Deck_Leg_DD,MATCH($K92,Deck_Leg_DD_Name,0),2)</f>
        <v>0</v>
      </c>
      <c r="M92" s="63">
        <f>INDEX(Deck_Leg_DD,MATCH($K92,Deck_Leg_DD_Name,0),3)</f>
        <v>0</v>
      </c>
      <c r="N92" s="63">
        <f>INDEX(Deck_Leg_DD,MATCH($K92,Deck_Leg_DD_Name,0),4)</f>
        <v>0</v>
      </c>
      <c r="O92" s="63">
        <f t="shared" si="137"/>
        <v>0</v>
      </c>
      <c r="P92" s="64" cm="1">
        <f t="array" ref="P92">IF($G82="Pontoon",INDEX(Tbl_71_14,_xlfn.MINIFS(Tbl_71_14_Range,Tbl_71_14_Dia,"&gt;="&amp;$E82),4),IF($F82="Internal Floating Roof",0,6))</f>
        <v>0</v>
      </c>
      <c r="Q92" s="70">
        <f t="shared" si="138"/>
        <v>8.5</v>
      </c>
      <c r="R92" s="188">
        <f t="shared" si="150"/>
        <v>0</v>
      </c>
      <c r="S92" s="192" cm="1">
        <f t="array" ref="S92">R92*$P92*INDEX(Month_Ref,Q$1-1,3)/365</f>
        <v>0</v>
      </c>
      <c r="T92" s="70">
        <f t="shared" si="139"/>
        <v>7.8</v>
      </c>
      <c r="U92" s="188">
        <f t="shared" si="151"/>
        <v>0</v>
      </c>
      <c r="V92" s="192" cm="1">
        <f t="array" ref="V92">U92*$P92*INDEX(Month_Ref,T$1-1,3)/365</f>
        <v>0</v>
      </c>
      <c r="W92" s="70">
        <f t="shared" si="140"/>
        <v>7.8</v>
      </c>
      <c r="X92" s="188">
        <f t="shared" si="152"/>
        <v>0</v>
      </c>
      <c r="Y92" s="192" cm="1">
        <f t="array" ref="Y92">X92*$P92*INDEX(Month_Ref,W$1-1,3)/365</f>
        <v>0</v>
      </c>
      <c r="Z92" s="70">
        <f t="shared" si="141"/>
        <v>7.8</v>
      </c>
      <c r="AA92" s="188">
        <f t="shared" si="153"/>
        <v>0</v>
      </c>
      <c r="AB92" s="192" cm="1">
        <f t="array" ref="AB92">AA92*$P92*INDEX(Month_Ref,Z$1-1,3)/365</f>
        <v>0</v>
      </c>
      <c r="AC92" s="70">
        <f t="shared" si="142"/>
        <v>7.6</v>
      </c>
      <c r="AD92" s="188">
        <f t="shared" si="154"/>
        <v>0</v>
      </c>
      <c r="AE92" s="192" cm="1">
        <f t="array" ref="AE92">AD92*$P92*INDEX(Month_Ref,AC$1-1,3)/365</f>
        <v>0</v>
      </c>
      <c r="AF92" s="70">
        <f t="shared" si="143"/>
        <v>7.8</v>
      </c>
      <c r="AG92" s="188">
        <f t="shared" si="155"/>
        <v>0</v>
      </c>
      <c r="AH92" s="192" cm="1">
        <f t="array" ref="AH92">AG92*$P92*INDEX(Month_Ref,AF$1-1,3)/365</f>
        <v>0</v>
      </c>
      <c r="AI92" s="70">
        <f t="shared" si="144"/>
        <v>8.1</v>
      </c>
      <c r="AJ92" s="188">
        <f t="shared" si="156"/>
        <v>0</v>
      </c>
      <c r="AK92" s="192" cm="1">
        <f t="array" ref="AK92">AJ92*$P92*INDEX(Month_Ref,AI$1-1,3)/365</f>
        <v>0</v>
      </c>
      <c r="AL92" s="70">
        <f t="shared" si="145"/>
        <v>7.2</v>
      </c>
      <c r="AM92" s="188">
        <f t="shared" si="157"/>
        <v>0</v>
      </c>
      <c r="AN92" s="192" cm="1">
        <f t="array" ref="AN92">AM92*$P92*INDEX(Month_Ref,AL$1-1,3)/365</f>
        <v>0</v>
      </c>
      <c r="AO92" s="70">
        <f t="shared" si="146"/>
        <v>6.7</v>
      </c>
      <c r="AP92" s="188">
        <f t="shared" si="158"/>
        <v>0</v>
      </c>
      <c r="AQ92" s="192" cm="1">
        <f t="array" ref="AQ92">AP92*$P92*INDEX(Month_Ref,AO$1-1,3)/365</f>
        <v>0</v>
      </c>
      <c r="AR92" s="70">
        <f t="shared" si="147"/>
        <v>6.7</v>
      </c>
      <c r="AS92" s="188">
        <f t="shared" si="159"/>
        <v>0</v>
      </c>
      <c r="AT92" s="192" cm="1">
        <f t="array" ref="AT92">AS92*$P92*INDEX(Month_Ref,AR$1-1,3)/365</f>
        <v>0</v>
      </c>
      <c r="AU92" s="70">
        <f t="shared" si="148"/>
        <v>7.8</v>
      </c>
      <c r="AV92" s="188">
        <f t="shared" si="160"/>
        <v>0</v>
      </c>
      <c r="AW92" s="192" cm="1">
        <f t="array" ref="AW92">AV92*$P92*INDEX(Month_Ref,AU$1-1,3)/365</f>
        <v>0</v>
      </c>
      <c r="AX92" s="70">
        <f t="shared" si="149"/>
        <v>8.6999999999999993</v>
      </c>
      <c r="AY92" s="188">
        <f t="shared" si="161"/>
        <v>0</v>
      </c>
      <c r="AZ92" s="192" cm="1">
        <f t="array" ref="AZ92">AY92*$P92*INDEX(Month_Ref,AX$1-1,3)/365</f>
        <v>0</v>
      </c>
      <c r="BA92" s="183">
        <f t="shared" si="135"/>
        <v>0</v>
      </c>
      <c r="BC92" s="20">
        <f t="shared" si="136"/>
        <v>86</v>
      </c>
    </row>
    <row r="93" spans="2:65" x14ac:dyDescent="0.4">
      <c r="B93" s="528"/>
      <c r="C93" s="531"/>
      <c r="D93" s="534"/>
      <c r="E93" s="534"/>
      <c r="F93" s="522"/>
      <c r="G93" s="522"/>
      <c r="H93" s="522"/>
      <c r="I93" s="525"/>
      <c r="J93" s="180" t="s">
        <v>1700</v>
      </c>
      <c r="K93" s="168" t="s">
        <v>1647</v>
      </c>
      <c r="L93" s="63">
        <f>INDEX(Rim_Vent,MATCH($K93,Rim_Vent_Name,0),2)</f>
        <v>0.71</v>
      </c>
      <c r="M93" s="63">
        <f>INDEX(Rim_Vent,MATCH($K93,Rim_Vent_Name,0),3)</f>
        <v>0.1</v>
      </c>
      <c r="N93" s="63">
        <f>INDEX(Rim_Vent,MATCH($K93,Rim_Vent_Name,0),4)</f>
        <v>1</v>
      </c>
      <c r="O93" s="63">
        <f t="shared" si="137"/>
        <v>0</v>
      </c>
      <c r="P93" s="64">
        <f>IF(OR($H82="Mechanical Shoe - Primary Only",$H82="Mechanical Shoe w/ Shoe-Mounted Secondary",$H82="Mechanical Shoe w/ Rim Mounted Secondary"),1,0)</f>
        <v>1</v>
      </c>
      <c r="Q93" s="70">
        <f t="shared" si="138"/>
        <v>8.5</v>
      </c>
      <c r="R93" s="188">
        <f t="shared" si="150"/>
        <v>0.71</v>
      </c>
      <c r="S93" s="192" cm="1">
        <f t="array" ref="S93">R93*$P93*INDEX(Month_Ref,Q$1-1,3)/365</f>
        <v>6.0301369863013696E-2</v>
      </c>
      <c r="T93" s="70">
        <f t="shared" si="139"/>
        <v>7.8</v>
      </c>
      <c r="U93" s="188">
        <f t="shared" si="151"/>
        <v>0.71</v>
      </c>
      <c r="V93" s="192" cm="1">
        <f t="array" ref="V93">U93*$P93*INDEX(Month_Ref,T$1-1,3)/365</f>
        <v>5.446575342465753E-2</v>
      </c>
      <c r="W93" s="70">
        <f t="shared" si="140"/>
        <v>7.8</v>
      </c>
      <c r="X93" s="188">
        <f t="shared" si="152"/>
        <v>0.71</v>
      </c>
      <c r="Y93" s="192" cm="1">
        <f t="array" ref="Y93">X93*$P93*INDEX(Month_Ref,W$1-1,3)/365</f>
        <v>6.0301369863013696E-2</v>
      </c>
      <c r="Z93" s="70">
        <f t="shared" si="141"/>
        <v>7.8</v>
      </c>
      <c r="AA93" s="188">
        <f t="shared" si="153"/>
        <v>0.71</v>
      </c>
      <c r="AB93" s="192" cm="1">
        <f t="array" ref="AB93">AA93*$P93*INDEX(Month_Ref,Z$1-1,3)/365</f>
        <v>5.8356164383561636E-2</v>
      </c>
      <c r="AC93" s="70">
        <f t="shared" si="142"/>
        <v>7.6</v>
      </c>
      <c r="AD93" s="188">
        <f t="shared" si="154"/>
        <v>0.71</v>
      </c>
      <c r="AE93" s="192" cm="1">
        <f t="array" ref="AE93">AD93*$P93*INDEX(Month_Ref,AC$1-1,3)/365</f>
        <v>6.0301369863013696E-2</v>
      </c>
      <c r="AF93" s="70">
        <f t="shared" si="143"/>
        <v>7.8</v>
      </c>
      <c r="AG93" s="188">
        <f t="shared" si="155"/>
        <v>0.71</v>
      </c>
      <c r="AH93" s="192" cm="1">
        <f t="array" ref="AH93">AG93*$P93*INDEX(Month_Ref,AF$1-1,3)/365</f>
        <v>5.8356164383561636E-2</v>
      </c>
      <c r="AI93" s="70">
        <f t="shared" si="144"/>
        <v>8.1</v>
      </c>
      <c r="AJ93" s="188">
        <f t="shared" si="156"/>
        <v>0.71</v>
      </c>
      <c r="AK93" s="192" cm="1">
        <f t="array" ref="AK93">AJ93*$P93*INDEX(Month_Ref,AI$1-1,3)/365</f>
        <v>6.0301369863013696E-2</v>
      </c>
      <c r="AL93" s="70">
        <f t="shared" si="145"/>
        <v>7.2</v>
      </c>
      <c r="AM93" s="188">
        <f t="shared" si="157"/>
        <v>0.71</v>
      </c>
      <c r="AN93" s="192" cm="1">
        <f t="array" ref="AN93">AM93*$P93*INDEX(Month_Ref,AL$1-1,3)/365</f>
        <v>6.0301369863013696E-2</v>
      </c>
      <c r="AO93" s="70">
        <f t="shared" si="146"/>
        <v>6.7</v>
      </c>
      <c r="AP93" s="188">
        <f t="shared" si="158"/>
        <v>0.71</v>
      </c>
      <c r="AQ93" s="192" cm="1">
        <f t="array" ref="AQ93">AP93*$P93*INDEX(Month_Ref,AO$1-1,3)/365</f>
        <v>5.8356164383561636E-2</v>
      </c>
      <c r="AR93" s="70">
        <f t="shared" si="147"/>
        <v>6.7</v>
      </c>
      <c r="AS93" s="188">
        <f t="shared" si="159"/>
        <v>0.71</v>
      </c>
      <c r="AT93" s="192" cm="1">
        <f t="array" ref="AT93">AS93*$P93*INDEX(Month_Ref,AR$1-1,3)/365</f>
        <v>6.0301369863013696E-2</v>
      </c>
      <c r="AU93" s="70">
        <f t="shared" si="148"/>
        <v>7.8</v>
      </c>
      <c r="AV93" s="188">
        <f t="shared" si="160"/>
        <v>0.71</v>
      </c>
      <c r="AW93" s="192" cm="1">
        <f t="array" ref="AW93">AV93*$P93*INDEX(Month_Ref,AU$1-1,3)/365</f>
        <v>5.8356164383561636E-2</v>
      </c>
      <c r="AX93" s="70">
        <f t="shared" si="149"/>
        <v>8.6999999999999993</v>
      </c>
      <c r="AY93" s="188">
        <f t="shared" si="161"/>
        <v>0.71</v>
      </c>
      <c r="AZ93" s="192" cm="1">
        <f t="array" ref="AZ93">AY93*$P93*INDEX(Month_Ref,AX$1-1,3)/365</f>
        <v>6.0301369863013696E-2</v>
      </c>
      <c r="BA93" s="183">
        <f t="shared" si="135"/>
        <v>0.71</v>
      </c>
      <c r="BC93" s="20">
        <f t="shared" si="136"/>
        <v>87</v>
      </c>
    </row>
    <row r="94" spans="2:65" x14ac:dyDescent="0.4">
      <c r="B94" s="528"/>
      <c r="C94" s="531"/>
      <c r="D94" s="534"/>
      <c r="E94" s="534"/>
      <c r="F94" s="522"/>
      <c r="G94" s="522"/>
      <c r="H94" s="522"/>
      <c r="I94" s="525"/>
      <c r="J94" s="180" t="s">
        <v>1701</v>
      </c>
      <c r="K94" s="168" t="s">
        <v>1703</v>
      </c>
      <c r="L94" s="63">
        <f>INDEX(Ladder_Well,MATCH($K94,Ladder_Well_Name,0),2)</f>
        <v>56</v>
      </c>
      <c r="M94" s="63">
        <f>INDEX(Ladder_Well,MATCH($K94,Ladder_Well_Name,0),3)</f>
        <v>0</v>
      </c>
      <c r="N94" s="63">
        <f>INDEX(Ladder_Well,MATCH($K94,Ladder_Well_Name,0),4)</f>
        <v>0</v>
      </c>
      <c r="O94" s="63">
        <f t="shared" si="137"/>
        <v>0</v>
      </c>
      <c r="P94" s="64">
        <f>IF($F82&lt;&gt;"Internal Floating Roof",0,1)</f>
        <v>1</v>
      </c>
      <c r="Q94" s="70">
        <f t="shared" si="138"/>
        <v>8.5</v>
      </c>
      <c r="R94" s="63">
        <f t="shared" si="150"/>
        <v>56</v>
      </c>
      <c r="S94" s="64" cm="1">
        <f t="array" ref="S94">R94*$P94*INDEX(Month_Ref,Q$1-1,3)/365</f>
        <v>4.7561643835616438</v>
      </c>
      <c r="T94" s="70">
        <f t="shared" si="139"/>
        <v>7.8</v>
      </c>
      <c r="U94" s="63">
        <f t="shared" si="151"/>
        <v>56</v>
      </c>
      <c r="V94" s="64" cm="1">
        <f t="array" ref="V94">U94*$P94*INDEX(Month_Ref,T$1-1,3)/365</f>
        <v>4.2958904109589042</v>
      </c>
      <c r="W94" s="70">
        <f t="shared" si="140"/>
        <v>7.8</v>
      </c>
      <c r="X94" s="63">
        <f t="shared" si="152"/>
        <v>56</v>
      </c>
      <c r="Y94" s="64" cm="1">
        <f t="array" ref="Y94">X94*$P94*INDEX(Month_Ref,W$1-1,3)/365</f>
        <v>4.7561643835616438</v>
      </c>
      <c r="Z94" s="70">
        <f t="shared" si="141"/>
        <v>7.8</v>
      </c>
      <c r="AA94" s="63">
        <f t="shared" si="153"/>
        <v>56</v>
      </c>
      <c r="AB94" s="64" cm="1">
        <f t="array" ref="AB94">AA94*$P94*INDEX(Month_Ref,Z$1-1,3)/365</f>
        <v>4.602739726027397</v>
      </c>
      <c r="AC94" s="70">
        <f t="shared" si="142"/>
        <v>7.6</v>
      </c>
      <c r="AD94" s="63">
        <f t="shared" si="154"/>
        <v>56</v>
      </c>
      <c r="AE94" s="64" cm="1">
        <f t="array" ref="AE94">AD94*$P94*INDEX(Month_Ref,AC$1-1,3)/365</f>
        <v>4.7561643835616438</v>
      </c>
      <c r="AF94" s="70">
        <f t="shared" si="143"/>
        <v>7.8</v>
      </c>
      <c r="AG94" s="63">
        <f t="shared" si="155"/>
        <v>56</v>
      </c>
      <c r="AH94" s="64" cm="1">
        <f t="array" ref="AH94">AG94*$P94*INDEX(Month_Ref,AF$1-1,3)/365</f>
        <v>4.602739726027397</v>
      </c>
      <c r="AI94" s="70">
        <f t="shared" si="144"/>
        <v>8.1</v>
      </c>
      <c r="AJ94" s="63">
        <f t="shared" si="156"/>
        <v>56</v>
      </c>
      <c r="AK94" s="64" cm="1">
        <f t="array" ref="AK94">AJ94*$P94*INDEX(Month_Ref,AI$1-1,3)/365</f>
        <v>4.7561643835616438</v>
      </c>
      <c r="AL94" s="70">
        <f t="shared" si="145"/>
        <v>7.2</v>
      </c>
      <c r="AM94" s="63">
        <f t="shared" si="157"/>
        <v>56</v>
      </c>
      <c r="AN94" s="64" cm="1">
        <f t="array" ref="AN94">AM94*$P94*INDEX(Month_Ref,AL$1-1,3)/365</f>
        <v>4.7561643835616438</v>
      </c>
      <c r="AO94" s="70">
        <f t="shared" si="146"/>
        <v>6.7</v>
      </c>
      <c r="AP94" s="63">
        <f t="shared" si="158"/>
        <v>56</v>
      </c>
      <c r="AQ94" s="64" cm="1">
        <f t="array" ref="AQ94">AP94*$P94*INDEX(Month_Ref,AO$1-1,3)/365</f>
        <v>4.602739726027397</v>
      </c>
      <c r="AR94" s="70">
        <f t="shared" si="147"/>
        <v>6.7</v>
      </c>
      <c r="AS94" s="63">
        <f t="shared" si="159"/>
        <v>56</v>
      </c>
      <c r="AT94" s="64" cm="1">
        <f t="array" ref="AT94">AS94*$P94*INDEX(Month_Ref,AR$1-1,3)/365</f>
        <v>4.7561643835616438</v>
      </c>
      <c r="AU94" s="70">
        <f t="shared" si="148"/>
        <v>7.8</v>
      </c>
      <c r="AV94" s="63">
        <f t="shared" si="160"/>
        <v>56</v>
      </c>
      <c r="AW94" s="64" cm="1">
        <f t="array" ref="AW94">AV94*$P94*INDEX(Month_Ref,AU$1-1,3)/365</f>
        <v>4.602739726027397</v>
      </c>
      <c r="AX94" s="70">
        <f t="shared" si="149"/>
        <v>8.6999999999999993</v>
      </c>
      <c r="AY94" s="63">
        <f t="shared" si="161"/>
        <v>56</v>
      </c>
      <c r="AZ94" s="64" cm="1">
        <f t="array" ref="AZ94">AY94*$P94*INDEX(Month_Ref,AX$1-1,3)/365</f>
        <v>4.7561643835616438</v>
      </c>
      <c r="BA94" s="183">
        <f t="shared" si="135"/>
        <v>56</v>
      </c>
      <c r="BC94" s="20">
        <f t="shared" si="136"/>
        <v>88</v>
      </c>
    </row>
    <row r="95" spans="2:65" ht="44.15" thickBot="1" x14ac:dyDescent="0.45">
      <c r="B95" s="529"/>
      <c r="C95" s="532"/>
      <c r="D95" s="535"/>
      <c r="E95" s="535"/>
      <c r="F95" s="523"/>
      <c r="G95" s="523"/>
      <c r="H95" s="523"/>
      <c r="I95" s="526"/>
      <c r="J95" s="181" t="s">
        <v>1715</v>
      </c>
      <c r="K95" s="171" t="s">
        <v>1755</v>
      </c>
      <c r="L95" s="32">
        <f>INDEX(Combo_LWSGP,MATCH($K95,Combo_LWSGP_Name,0),2)</f>
        <v>0</v>
      </c>
      <c r="M95" s="32">
        <f>INDEX(Combo_LWSGP,MATCH($K95,Combo_LWSGP_Name,0),3)</f>
        <v>0</v>
      </c>
      <c r="N95" s="32">
        <f>INDEX(Combo_LWSGP,MATCH($K95,Combo_LWSGP_Name,0),4)</f>
        <v>0</v>
      </c>
      <c r="O95" s="32">
        <f t="shared" si="137"/>
        <v>0</v>
      </c>
      <c r="P95" s="33">
        <f>IF(AND(P85=0,P94=0),1,0)</f>
        <v>0</v>
      </c>
      <c r="Q95" s="31">
        <f t="shared" si="138"/>
        <v>8.5</v>
      </c>
      <c r="R95" s="32">
        <f t="shared" si="150"/>
        <v>0</v>
      </c>
      <c r="S95" s="33" cm="1">
        <f t="array" ref="S95">R95*$P95*INDEX(Month_Ref,Q$1-1,3)/365</f>
        <v>0</v>
      </c>
      <c r="T95" s="31">
        <f t="shared" si="139"/>
        <v>7.8</v>
      </c>
      <c r="U95" s="32">
        <f t="shared" si="151"/>
        <v>0</v>
      </c>
      <c r="V95" s="33" cm="1">
        <f t="array" ref="V95">U95*$P95*INDEX(Month_Ref,T$1-1,3)/365</f>
        <v>0</v>
      </c>
      <c r="W95" s="31">
        <f t="shared" si="140"/>
        <v>7.8</v>
      </c>
      <c r="X95" s="32">
        <f t="shared" si="152"/>
        <v>0</v>
      </c>
      <c r="Y95" s="33" cm="1">
        <f t="array" ref="Y95">X95*$P95*INDEX(Month_Ref,W$1-1,3)/365</f>
        <v>0</v>
      </c>
      <c r="Z95" s="31">
        <f t="shared" si="141"/>
        <v>7.8</v>
      </c>
      <c r="AA95" s="32">
        <f t="shared" si="153"/>
        <v>0</v>
      </c>
      <c r="AB95" s="33" cm="1">
        <f t="array" ref="AB95">AA95*$P95*INDEX(Month_Ref,Z$1-1,3)/365</f>
        <v>0</v>
      </c>
      <c r="AC95" s="31">
        <f t="shared" si="142"/>
        <v>7.6</v>
      </c>
      <c r="AD95" s="32">
        <f t="shared" si="154"/>
        <v>0</v>
      </c>
      <c r="AE95" s="33" cm="1">
        <f t="array" ref="AE95">AD95*$P95*INDEX(Month_Ref,AC$1-1,3)/365</f>
        <v>0</v>
      </c>
      <c r="AF95" s="31">
        <f t="shared" si="143"/>
        <v>7.8</v>
      </c>
      <c r="AG95" s="32">
        <f t="shared" si="155"/>
        <v>0</v>
      </c>
      <c r="AH95" s="33" cm="1">
        <f t="array" ref="AH95">AG95*$P95*INDEX(Month_Ref,AF$1-1,3)/365</f>
        <v>0</v>
      </c>
      <c r="AI95" s="31">
        <f t="shared" si="144"/>
        <v>8.1</v>
      </c>
      <c r="AJ95" s="32">
        <f t="shared" si="156"/>
        <v>0</v>
      </c>
      <c r="AK95" s="33" cm="1">
        <f t="array" ref="AK95">AJ95*$P95*INDEX(Month_Ref,AI$1-1,3)/365</f>
        <v>0</v>
      </c>
      <c r="AL95" s="31">
        <f t="shared" si="145"/>
        <v>7.2</v>
      </c>
      <c r="AM95" s="32">
        <f t="shared" si="157"/>
        <v>0</v>
      </c>
      <c r="AN95" s="33" cm="1">
        <f t="array" ref="AN95">AM95*$P95*INDEX(Month_Ref,AL$1-1,3)/365</f>
        <v>0</v>
      </c>
      <c r="AO95" s="31">
        <f t="shared" si="146"/>
        <v>6.7</v>
      </c>
      <c r="AP95" s="32">
        <f t="shared" si="158"/>
        <v>0</v>
      </c>
      <c r="AQ95" s="33" cm="1">
        <f t="array" ref="AQ95">AP95*$P95*INDEX(Month_Ref,AO$1-1,3)/365</f>
        <v>0</v>
      </c>
      <c r="AR95" s="31">
        <f t="shared" si="147"/>
        <v>6.7</v>
      </c>
      <c r="AS95" s="32">
        <f t="shared" si="159"/>
        <v>0</v>
      </c>
      <c r="AT95" s="33" cm="1">
        <f t="array" ref="AT95">AS95*$P95*INDEX(Month_Ref,AR$1-1,3)/365</f>
        <v>0</v>
      </c>
      <c r="AU95" s="31">
        <f t="shared" si="148"/>
        <v>7.8</v>
      </c>
      <c r="AV95" s="32">
        <f t="shared" si="160"/>
        <v>0</v>
      </c>
      <c r="AW95" s="33" cm="1">
        <f t="array" ref="AW95">AV95*$P95*INDEX(Month_Ref,AU$1-1,3)/365</f>
        <v>0</v>
      </c>
      <c r="AX95" s="31">
        <f t="shared" si="149"/>
        <v>8.6999999999999993</v>
      </c>
      <c r="AY95" s="32">
        <f t="shared" si="161"/>
        <v>0</v>
      </c>
      <c r="AZ95" s="33" cm="1">
        <f t="array" ref="AZ95">AY95*$P95*INDEX(Month_Ref,AX$1-1,3)/365</f>
        <v>0</v>
      </c>
      <c r="BA95" s="184">
        <f t="shared" si="135"/>
        <v>0</v>
      </c>
      <c r="BC95" s="20">
        <f t="shared" si="136"/>
        <v>89</v>
      </c>
    </row>
    <row r="96" spans="2:65" ht="15" thickBot="1" x14ac:dyDescent="0.45">
      <c r="B96" s="157"/>
      <c r="C96" s="158"/>
      <c r="D96" s="163"/>
      <c r="I96" s="163"/>
      <c r="J96" s="164"/>
      <c r="K96" s="164"/>
      <c r="L96" s="163"/>
      <c r="M96" s="163"/>
      <c r="N96" s="163"/>
      <c r="O96" s="163"/>
      <c r="Q96" s="195"/>
      <c r="R96" s="196" t="s">
        <v>1768</v>
      </c>
      <c r="S96" s="197">
        <f>SUM(S82:S95)</f>
        <v>31.329534246575339</v>
      </c>
      <c r="T96" s="195"/>
      <c r="U96" s="196" t="s">
        <v>1762</v>
      </c>
      <c r="V96" s="197">
        <f>SUM(V82:V95)</f>
        <v>28.297643835616441</v>
      </c>
      <c r="W96" s="195"/>
      <c r="X96" s="196" t="s">
        <v>1762</v>
      </c>
      <c r="Y96" s="197">
        <f>SUM(Y82:Y95)</f>
        <v>31.329534246575339</v>
      </c>
      <c r="Z96" s="195"/>
      <c r="AA96" s="196" t="s">
        <v>1762</v>
      </c>
      <c r="AB96" s="197">
        <f>SUM(AB82:AB95)</f>
        <v>30.318904109589045</v>
      </c>
      <c r="AC96" s="195"/>
      <c r="AD96" s="196" t="s">
        <v>1762</v>
      </c>
      <c r="AE96" s="197">
        <f>SUM(AE82:AE95)</f>
        <v>31.329534246575339</v>
      </c>
      <c r="AF96" s="195"/>
      <c r="AG96" s="196" t="s">
        <v>1762</v>
      </c>
      <c r="AH96" s="197">
        <f>SUM(AH82:AH95)</f>
        <v>30.318904109589045</v>
      </c>
      <c r="AI96" s="195"/>
      <c r="AJ96" s="196" t="s">
        <v>1762</v>
      </c>
      <c r="AK96" s="197">
        <f>SUM(AK82:AK95)</f>
        <v>31.329534246575339</v>
      </c>
      <c r="AL96" s="195"/>
      <c r="AM96" s="196" t="s">
        <v>1762</v>
      </c>
      <c r="AN96" s="197">
        <f>SUM(AN82:AN95)</f>
        <v>31.329534246575339</v>
      </c>
      <c r="AO96" s="195"/>
      <c r="AP96" s="196" t="s">
        <v>1762</v>
      </c>
      <c r="AQ96" s="197">
        <f>SUM(AQ82:AQ95)</f>
        <v>30.318904109589045</v>
      </c>
      <c r="AR96" s="195"/>
      <c r="AS96" s="196" t="s">
        <v>1762</v>
      </c>
      <c r="AT96" s="197">
        <f>SUM(AT82:AT95)</f>
        <v>31.329534246575339</v>
      </c>
      <c r="AU96" s="195"/>
      <c r="AV96" s="196" t="s">
        <v>1762</v>
      </c>
      <c r="AW96" s="197">
        <f>SUM(AW82:AW95)</f>
        <v>30.318904109589045</v>
      </c>
      <c r="AX96" s="195"/>
      <c r="AY96" s="196" t="s">
        <v>1762</v>
      </c>
      <c r="AZ96" s="197">
        <f>SUM(AZ82:AZ95)</f>
        <v>31.329534246575339</v>
      </c>
      <c r="BA96" s="198">
        <f t="shared" si="135"/>
        <v>368.88</v>
      </c>
      <c r="BC96" s="194">
        <f t="shared" si="136"/>
        <v>90</v>
      </c>
      <c r="BD96" s="11"/>
      <c r="BE96" s="11"/>
      <c r="BF96" s="11"/>
      <c r="BG96" s="11"/>
      <c r="BH96" s="11"/>
      <c r="BI96" s="11"/>
      <c r="BJ96" s="11"/>
      <c r="BK96" s="11"/>
      <c r="BL96" s="11"/>
      <c r="BM96" s="11"/>
    </row>
    <row r="97" spans="2:65" ht="29.15" x14ac:dyDescent="0.4">
      <c r="B97" s="527" t="str" cm="1">
        <f t="array" ref="B97">INDEX(FLT_Cons,$BD97,$BE97)</f>
        <v>FLT - 7</v>
      </c>
      <c r="C97" s="530" t="str" cm="1">
        <f t="array" ref="C97">INDEX(FLT_Cons,$BD97,$BF97)</f>
        <v>INTANK 95</v>
      </c>
      <c r="D97" s="533" t="str" cm="1">
        <f t="array" ref="D97">INDEX(FLT_Cons,$BD97,$BG97)</f>
        <v>Portland</v>
      </c>
      <c r="E97" s="533" cm="1">
        <f t="array" ref="E97">INDEX(FLT_Cons,$BD97,$BH97)</f>
        <v>48</v>
      </c>
      <c r="F97" s="521" t="str" cm="1">
        <f t="array" ref="F97">INDEX(FLT_Cons,$BD97,$BI97)</f>
        <v>Internal Floating Roof</v>
      </c>
      <c r="G97" s="521" t="str" cm="1">
        <f t="array" ref="G97">INDEX(FLT_Cons,$BD97,$BJ97)</f>
        <v>N/A - IFR</v>
      </c>
      <c r="H97" s="521" t="str" cm="1">
        <f t="array" ref="H97">INDEX(FLT_Cons,$BD97,$BK97)</f>
        <v>Mechanical Shoe w/ Rim Mounted Secondary</v>
      </c>
      <c r="I97" s="524" t="str" cm="1">
        <f t="array" ref="I97">INDEX(FLT_Cons,$BD97,$BL97)</f>
        <v>IFR - Column Supported</v>
      </c>
      <c r="J97" s="177" t="s">
        <v>1660</v>
      </c>
      <c r="K97" s="174" t="s">
        <v>1662</v>
      </c>
      <c r="L97" s="14">
        <f>INDEX(Access_Hatch,MATCH($K97,Access_Hatch_Name,0),2)</f>
        <v>36</v>
      </c>
      <c r="M97" s="14">
        <f>INDEX(Access_Hatch,MATCH($K97,Access_Hatch_Name,0),3)</f>
        <v>5.9</v>
      </c>
      <c r="N97" s="14">
        <f>INDEX(Access_Hatch,MATCH($K97,Access_Hatch_Name,0),4)</f>
        <v>1.2</v>
      </c>
      <c r="O97" s="14">
        <f>IF($F97="External Floating Roof",0.7,0)</f>
        <v>0</v>
      </c>
      <c r="P97" s="30">
        <v>1</v>
      </c>
      <c r="Q97" s="29">
        <f>VLOOKUP(VLOOKUP($D97,Terminal_X_Ref,2,FALSE)&amp;"V",Weather_Data,Q$1,FALSE)</f>
        <v>8.5</v>
      </c>
      <c r="R97" s="14">
        <f>IFERROR($L97+$M97*($O97*Q97)^$N97,$L97)</f>
        <v>36</v>
      </c>
      <c r="S97" s="193" cm="1">
        <f t="array" ref="S97">R97*$P97*INDEX(Month_Ref,Q$1-1,3)/365</f>
        <v>3.0575342465753423</v>
      </c>
      <c r="T97" s="29">
        <f>VLOOKUP(VLOOKUP($D97,Terminal_X_Ref,2,FALSE)&amp;"V",Weather_Data,T$1,FALSE)</f>
        <v>7.8</v>
      </c>
      <c r="U97" s="14">
        <f>IFERROR($L97+$M97*($O97*T97)^$N97,$L97)</f>
        <v>36</v>
      </c>
      <c r="V97" s="193" cm="1">
        <f t="array" ref="V97">U97*$P97*INDEX(Month_Ref,T$1-1,3)/365</f>
        <v>2.7616438356164386</v>
      </c>
      <c r="W97" s="29">
        <f>VLOOKUP(VLOOKUP($D97,Terminal_X_Ref,2,FALSE)&amp;"V",Weather_Data,W$1,FALSE)</f>
        <v>7.8</v>
      </c>
      <c r="X97" s="14">
        <f>IFERROR($L97+$M97*($O97*W97)^$N97,$L97)</f>
        <v>36</v>
      </c>
      <c r="Y97" s="193" cm="1">
        <f t="array" ref="Y97">X97*$P97*INDEX(Month_Ref,W$1-1,3)/365</f>
        <v>3.0575342465753423</v>
      </c>
      <c r="Z97" s="29">
        <f>VLOOKUP(VLOOKUP($D97,Terminal_X_Ref,2,FALSE)&amp;"V",Weather_Data,Z$1,FALSE)</f>
        <v>7.8</v>
      </c>
      <c r="AA97" s="14">
        <f>IFERROR($L97+$M97*($O97*Z97)^$N97,$L97)</f>
        <v>36</v>
      </c>
      <c r="AB97" s="193" cm="1">
        <f t="array" ref="AB97">AA97*$P97*INDEX(Month_Ref,Z$1-1,3)/365</f>
        <v>2.9589041095890409</v>
      </c>
      <c r="AC97" s="29">
        <f>VLOOKUP(VLOOKUP($D97,Terminal_X_Ref,2,FALSE)&amp;"V",Weather_Data,AC$1,FALSE)</f>
        <v>7.6</v>
      </c>
      <c r="AD97" s="14">
        <f>IFERROR($L97+$M97*($O97*AC97)^$N97,$L97)</f>
        <v>36</v>
      </c>
      <c r="AE97" s="193" cm="1">
        <f t="array" ref="AE97">AD97*$P97*INDEX(Month_Ref,AC$1-1,3)/365</f>
        <v>3.0575342465753423</v>
      </c>
      <c r="AF97" s="29">
        <f>VLOOKUP(VLOOKUP($D97,Terminal_X_Ref,2,FALSE)&amp;"V",Weather_Data,AF$1,FALSE)</f>
        <v>7.8</v>
      </c>
      <c r="AG97" s="14">
        <f>IFERROR($L97+$M97*($O97*AF97)^$N97,$L97)</f>
        <v>36</v>
      </c>
      <c r="AH97" s="193" cm="1">
        <f t="array" ref="AH97">AG97*$P97*INDEX(Month_Ref,AF$1-1,3)/365</f>
        <v>2.9589041095890409</v>
      </c>
      <c r="AI97" s="29">
        <f>VLOOKUP(VLOOKUP($D97,Terminal_X_Ref,2,FALSE)&amp;"V",Weather_Data,AI$1,FALSE)</f>
        <v>8.1</v>
      </c>
      <c r="AJ97" s="14">
        <f>IFERROR($L97+$M97*($O97*AI97)^$N97,$L97)</f>
        <v>36</v>
      </c>
      <c r="AK97" s="193" cm="1">
        <f t="array" ref="AK97">AJ97*$P97*INDEX(Month_Ref,AI$1-1,3)/365</f>
        <v>3.0575342465753423</v>
      </c>
      <c r="AL97" s="29">
        <f>VLOOKUP(VLOOKUP($D97,Terminal_X_Ref,2,FALSE)&amp;"V",Weather_Data,AL$1,FALSE)</f>
        <v>7.2</v>
      </c>
      <c r="AM97" s="14">
        <f>IFERROR($L97+$M97*($O97*AL97)^$N97,$L97)</f>
        <v>36</v>
      </c>
      <c r="AN97" s="193" cm="1">
        <f t="array" ref="AN97">AM97*$P97*INDEX(Month_Ref,AL$1-1,3)/365</f>
        <v>3.0575342465753423</v>
      </c>
      <c r="AO97" s="29">
        <f>VLOOKUP(VLOOKUP($D97,Terminal_X_Ref,2,FALSE)&amp;"V",Weather_Data,AO$1,FALSE)</f>
        <v>6.7</v>
      </c>
      <c r="AP97" s="14">
        <f>IFERROR($L97+$M97*($O97*AO97)^$N97,$L97)</f>
        <v>36</v>
      </c>
      <c r="AQ97" s="193" cm="1">
        <f t="array" ref="AQ97">AP97*$P97*INDEX(Month_Ref,AO$1-1,3)/365</f>
        <v>2.9589041095890409</v>
      </c>
      <c r="AR97" s="29">
        <f>VLOOKUP(VLOOKUP($D97,Terminal_X_Ref,2,FALSE)&amp;"V",Weather_Data,AR$1,FALSE)</f>
        <v>6.7</v>
      </c>
      <c r="AS97" s="14">
        <f>IFERROR($L97+$M97*($O97*AR97)^$N97,$L97)</f>
        <v>36</v>
      </c>
      <c r="AT97" s="193" cm="1">
        <f t="array" ref="AT97">AS97*$P97*INDEX(Month_Ref,AR$1-1,3)/365</f>
        <v>3.0575342465753423</v>
      </c>
      <c r="AU97" s="29">
        <f>VLOOKUP(VLOOKUP($D97,Terminal_X_Ref,2,FALSE)&amp;"V",Weather_Data,AU$1,FALSE)</f>
        <v>7.8</v>
      </c>
      <c r="AV97" s="14">
        <f>IFERROR($L97+$M97*($O97*AU97)^$N97,$L97)</f>
        <v>36</v>
      </c>
      <c r="AW97" s="193" cm="1">
        <f t="array" ref="AW97">AV97*$P97*INDEX(Month_Ref,AU$1-1,3)/365</f>
        <v>2.9589041095890409</v>
      </c>
      <c r="AX97" s="29">
        <f>VLOOKUP(VLOOKUP($D97,Terminal_X_Ref,2,FALSE)&amp;"V",Weather_Data,AX$1,FALSE)</f>
        <v>8.6999999999999993</v>
      </c>
      <c r="AY97" s="14">
        <f>IFERROR($L97+$M97*($O97*AX97)^$N97,$L97)</f>
        <v>36</v>
      </c>
      <c r="AZ97" s="193" cm="1">
        <f t="array" ref="AZ97">AY97*$P97*INDEX(Month_Ref,AX$1-1,3)/365</f>
        <v>3.0575342465753423</v>
      </c>
      <c r="BA97" s="182">
        <f>S97+V97+Y97+AB97+AE97+AH97+AK97+AN97+AQ97+AT97+AW97+AZ97</f>
        <v>36.000000000000007</v>
      </c>
      <c r="BB97" s="25"/>
      <c r="BC97" s="20">
        <f>BC96+1</f>
        <v>91</v>
      </c>
      <c r="BD97">
        <f>BD82+1</f>
        <v>7</v>
      </c>
      <c r="BE97">
        <v>1</v>
      </c>
      <c r="BF97">
        <v>2</v>
      </c>
      <c r="BG97">
        <v>3</v>
      </c>
      <c r="BH97">
        <v>5</v>
      </c>
      <c r="BI97">
        <v>13</v>
      </c>
      <c r="BJ97">
        <v>16</v>
      </c>
      <c r="BK97">
        <v>17</v>
      </c>
      <c r="BL97">
        <v>19</v>
      </c>
      <c r="BM97">
        <v>21</v>
      </c>
    </row>
    <row r="98" spans="2:65" x14ac:dyDescent="0.4">
      <c r="B98" s="528"/>
      <c r="C98" s="531"/>
      <c r="D98" s="534"/>
      <c r="E98" s="534"/>
      <c r="F98" s="522"/>
      <c r="G98" s="522"/>
      <c r="H98" s="522"/>
      <c r="I98" s="525"/>
      <c r="J98" s="178" t="s">
        <v>1664</v>
      </c>
      <c r="K98" s="168" t="s">
        <v>1559</v>
      </c>
      <c r="L98" s="63">
        <f>INDEX(FRSCW,MATCH($K98,FRSCW_Name,0),2)</f>
        <v>51</v>
      </c>
      <c r="M98" s="63">
        <f>INDEX(FRSCW,MATCH($K98,FRSCW_Name,0),3)</f>
        <v>0</v>
      </c>
      <c r="N98" s="63">
        <f>INDEX(FRSCW,MATCH($K98,FRSCW_Name,0),4)</f>
        <v>0</v>
      </c>
      <c r="O98" s="63">
        <f>O97</f>
        <v>0</v>
      </c>
      <c r="P98" s="64" cm="1">
        <f t="array" ref="P98">IF(F97&lt;&gt;"Internal Floating Roof",0,IF(ISBLANK(INDEX(FLT_Cons,$BD97,$BM97)),INDEX(Tbl_71_11,_xlfn.MINIFS(Tbl_71_11_Dia,Tbl_71_11_Max,"&gt;="&amp;$E97),4),INDEX(FLT_Cons,$BD97,$BM97)))</f>
        <v>1</v>
      </c>
      <c r="Q98" s="70">
        <f>Q97</f>
        <v>8.5</v>
      </c>
      <c r="R98" s="63">
        <f>IFERROR($L98+$M98*($O98*Q98)^$N98,$L98)</f>
        <v>51</v>
      </c>
      <c r="S98" s="64" cm="1">
        <f t="array" ref="S98">R98*$P98*INDEX(Month_Ref,Q$1-1,3)/365</f>
        <v>4.3315068493150681</v>
      </c>
      <c r="T98" s="70">
        <f>T97</f>
        <v>7.8</v>
      </c>
      <c r="U98" s="63">
        <f>IFERROR($L98+$M98*($O98*T98)^$N98,$L98)</f>
        <v>51</v>
      </c>
      <c r="V98" s="64" cm="1">
        <f t="array" ref="V98">U98*$P98*INDEX(Month_Ref,T$1-1,3)/365</f>
        <v>3.9123287671232876</v>
      </c>
      <c r="W98" s="70">
        <f>W97</f>
        <v>7.8</v>
      </c>
      <c r="X98" s="63">
        <f>IFERROR($L98+$M98*($O98*W98)^$N98,$L98)</f>
        <v>51</v>
      </c>
      <c r="Y98" s="64" cm="1">
        <f t="array" ref="Y98">X98*$P98*INDEX(Month_Ref,W$1-1,3)/365</f>
        <v>4.3315068493150681</v>
      </c>
      <c r="Z98" s="70">
        <f>Z97</f>
        <v>7.8</v>
      </c>
      <c r="AA98" s="63">
        <f>IFERROR($L98+$M98*($O98*Z98)^$N98,$L98)</f>
        <v>51</v>
      </c>
      <c r="AB98" s="64" cm="1">
        <f t="array" ref="AB98">AA98*$P98*INDEX(Month_Ref,Z$1-1,3)/365</f>
        <v>4.1917808219178081</v>
      </c>
      <c r="AC98" s="70">
        <f>AC97</f>
        <v>7.6</v>
      </c>
      <c r="AD98" s="63">
        <f>IFERROR($L98+$M98*($O98*AC98)^$N98,$L98)</f>
        <v>51</v>
      </c>
      <c r="AE98" s="64" cm="1">
        <f t="array" ref="AE98">AD98*$P98*INDEX(Month_Ref,AC$1-1,3)/365</f>
        <v>4.3315068493150681</v>
      </c>
      <c r="AF98" s="70">
        <f>AF97</f>
        <v>7.8</v>
      </c>
      <c r="AG98" s="63">
        <f>IFERROR($L98+$M98*($O98*AF98)^$N98,$L98)</f>
        <v>51</v>
      </c>
      <c r="AH98" s="64" cm="1">
        <f t="array" ref="AH98">AG98*$P98*INDEX(Month_Ref,AF$1-1,3)/365</f>
        <v>4.1917808219178081</v>
      </c>
      <c r="AI98" s="70">
        <f>AI97</f>
        <v>8.1</v>
      </c>
      <c r="AJ98" s="63">
        <f>IFERROR($L98+$M98*($O98*AI98)^$N98,$L98)</f>
        <v>51</v>
      </c>
      <c r="AK98" s="64" cm="1">
        <f t="array" ref="AK98">AJ98*$P98*INDEX(Month_Ref,AI$1-1,3)/365</f>
        <v>4.3315068493150681</v>
      </c>
      <c r="AL98" s="70">
        <f>AL97</f>
        <v>7.2</v>
      </c>
      <c r="AM98" s="63">
        <f>IFERROR($L98+$M98*($O98*AL98)^$N98,$L98)</f>
        <v>51</v>
      </c>
      <c r="AN98" s="64" cm="1">
        <f t="array" ref="AN98">AM98*$P98*INDEX(Month_Ref,AL$1-1,3)/365</f>
        <v>4.3315068493150681</v>
      </c>
      <c r="AO98" s="70">
        <f>AO97</f>
        <v>6.7</v>
      </c>
      <c r="AP98" s="63">
        <f>IFERROR($L98+$M98*($O98*AO98)^$N98,$L98)</f>
        <v>51</v>
      </c>
      <c r="AQ98" s="64" cm="1">
        <f t="array" ref="AQ98">AP98*$P98*INDEX(Month_Ref,AO$1-1,3)/365</f>
        <v>4.1917808219178081</v>
      </c>
      <c r="AR98" s="70">
        <f>AR97</f>
        <v>6.7</v>
      </c>
      <c r="AS98" s="63">
        <f>IFERROR($L98+$M98*($O98*AR98)^$N98,$L98)</f>
        <v>51</v>
      </c>
      <c r="AT98" s="64" cm="1">
        <f t="array" ref="AT98">AS98*$P98*INDEX(Month_Ref,AR$1-1,3)/365</f>
        <v>4.3315068493150681</v>
      </c>
      <c r="AU98" s="70">
        <f>AU97</f>
        <v>7.8</v>
      </c>
      <c r="AV98" s="63">
        <f>IFERROR($L98+$M98*($O98*AU98)^$N98,$L98)</f>
        <v>51</v>
      </c>
      <c r="AW98" s="64" cm="1">
        <f t="array" ref="AW98">AV98*$P98*INDEX(Month_Ref,AU$1-1,3)/365</f>
        <v>4.1917808219178081</v>
      </c>
      <c r="AX98" s="70">
        <f>AX97</f>
        <v>8.6999999999999993</v>
      </c>
      <c r="AY98" s="63">
        <f>IFERROR($L98+$M98*($O98*AX98)^$N98,$L98)</f>
        <v>51</v>
      </c>
      <c r="AZ98" s="64" cm="1">
        <f t="array" ref="AZ98">AY98*$P98*INDEX(Month_Ref,AX$1-1,3)/365</f>
        <v>4.3315068493150681</v>
      </c>
      <c r="BA98" s="183">
        <f t="shared" ref="BA98:BA111" si="162">S98+V98+Y98+AB98+AE98+AH98+AK98+AN98+AQ98+AT98+AW98+AZ98</f>
        <v>51.000000000000007</v>
      </c>
      <c r="BC98" s="20">
        <f t="shared" ref="BC98:BC111" si="163">BC97+1</f>
        <v>92</v>
      </c>
    </row>
    <row r="99" spans="2:65" ht="43.75" x14ac:dyDescent="0.4">
      <c r="B99" s="528"/>
      <c r="C99" s="531"/>
      <c r="D99" s="534"/>
      <c r="E99" s="534"/>
      <c r="F99" s="522"/>
      <c r="G99" s="522"/>
      <c r="H99" s="522"/>
      <c r="I99" s="525"/>
      <c r="J99" s="178" t="s">
        <v>1670</v>
      </c>
      <c r="K99" s="168" t="s">
        <v>1582</v>
      </c>
      <c r="L99" s="63">
        <f>INDEX(USGPW,MATCH($K99,USGPW_Name,0),2)</f>
        <v>0</v>
      </c>
      <c r="M99" s="63">
        <f>INDEX(USGPW,MATCH($K99,USGPW_Name,0),3)</f>
        <v>0</v>
      </c>
      <c r="N99" s="63">
        <f>INDEX(USGPW,MATCH($K99,USGPW_Name,0),4)</f>
        <v>0</v>
      </c>
      <c r="O99" s="63">
        <f t="shared" ref="O99:O110" si="164">O98</f>
        <v>0</v>
      </c>
      <c r="P99" s="64">
        <v>1</v>
      </c>
      <c r="Q99" s="70">
        <f t="shared" ref="Q99:Q110" si="165">Q98</f>
        <v>8.5</v>
      </c>
      <c r="R99" s="185">
        <f>IFERROR($L99+$M99*($O99*Q99)^$N99,$L99)</f>
        <v>0</v>
      </c>
      <c r="S99" s="186" cm="1">
        <f t="array" ref="S99">R99*$P99*INDEX(Month_Ref,Q$1-1,3)/365</f>
        <v>0</v>
      </c>
      <c r="T99" s="70">
        <f t="shared" ref="T99:T110" si="166">T98</f>
        <v>7.8</v>
      </c>
      <c r="U99" s="185">
        <f>IFERROR($L99+$M99*($O99*T99)^$N99,$L99)</f>
        <v>0</v>
      </c>
      <c r="V99" s="186" cm="1">
        <f t="array" ref="V99">U99*$P99*INDEX(Month_Ref,T$1-1,3)/365</f>
        <v>0</v>
      </c>
      <c r="W99" s="70">
        <f t="shared" ref="W99:W110" si="167">W98</f>
        <v>7.8</v>
      </c>
      <c r="X99" s="185">
        <f>IFERROR($L99+$M99*($O99*W99)^$N99,$L99)</f>
        <v>0</v>
      </c>
      <c r="Y99" s="186" cm="1">
        <f t="array" ref="Y99">X99*$P99*INDEX(Month_Ref,W$1-1,3)/365</f>
        <v>0</v>
      </c>
      <c r="Z99" s="70">
        <f t="shared" ref="Z99:Z110" si="168">Z98</f>
        <v>7.8</v>
      </c>
      <c r="AA99" s="185">
        <f>IFERROR($L99+$M99*($O99*Z99)^$N99,$L99)</f>
        <v>0</v>
      </c>
      <c r="AB99" s="186" cm="1">
        <f t="array" ref="AB99">AA99*$P99*INDEX(Month_Ref,Z$1-1,3)/365</f>
        <v>0</v>
      </c>
      <c r="AC99" s="70">
        <f t="shared" ref="AC99:AC110" si="169">AC98</f>
        <v>7.6</v>
      </c>
      <c r="AD99" s="185">
        <f>IFERROR($L99+$M99*($O99*AC99)^$N99,$L99)</f>
        <v>0</v>
      </c>
      <c r="AE99" s="186" cm="1">
        <f t="array" ref="AE99">AD99*$P99*INDEX(Month_Ref,AC$1-1,3)/365</f>
        <v>0</v>
      </c>
      <c r="AF99" s="70">
        <f t="shared" ref="AF99:AF110" si="170">AF98</f>
        <v>7.8</v>
      </c>
      <c r="AG99" s="185">
        <f>IFERROR($L99+$M99*($O99*AF99)^$N99,$L99)</f>
        <v>0</v>
      </c>
      <c r="AH99" s="186" cm="1">
        <f t="array" ref="AH99">AG99*$P99*INDEX(Month_Ref,AF$1-1,3)/365</f>
        <v>0</v>
      </c>
      <c r="AI99" s="70">
        <f t="shared" ref="AI99:AI110" si="171">AI98</f>
        <v>8.1</v>
      </c>
      <c r="AJ99" s="185">
        <f>IFERROR($L99+$M99*($O99*AI99)^$N99,$L99)</f>
        <v>0</v>
      </c>
      <c r="AK99" s="186" cm="1">
        <f t="array" ref="AK99">AJ99*$P99*INDEX(Month_Ref,AI$1-1,3)/365</f>
        <v>0</v>
      </c>
      <c r="AL99" s="70">
        <f t="shared" ref="AL99:AL110" si="172">AL98</f>
        <v>7.2</v>
      </c>
      <c r="AM99" s="185">
        <f>IFERROR($L99+$M99*($O99*AL99)^$N99,$L99)</f>
        <v>0</v>
      </c>
      <c r="AN99" s="186" cm="1">
        <f t="array" ref="AN99">AM99*$P99*INDEX(Month_Ref,AL$1-1,3)/365</f>
        <v>0</v>
      </c>
      <c r="AO99" s="70">
        <f t="shared" ref="AO99:AO110" si="173">AO98</f>
        <v>6.7</v>
      </c>
      <c r="AP99" s="185">
        <f>IFERROR($L99+$M99*($O99*AO99)^$N99,$L99)</f>
        <v>0</v>
      </c>
      <c r="AQ99" s="186" cm="1">
        <f t="array" ref="AQ99">AP99*$P99*INDEX(Month_Ref,AO$1-1,3)/365</f>
        <v>0</v>
      </c>
      <c r="AR99" s="70">
        <f t="shared" ref="AR99:AR110" si="174">AR98</f>
        <v>6.7</v>
      </c>
      <c r="AS99" s="185">
        <f>IFERROR($L99+$M99*($O99*AR99)^$N99,$L99)</f>
        <v>0</v>
      </c>
      <c r="AT99" s="186" cm="1">
        <f t="array" ref="AT99">AS99*$P99*INDEX(Month_Ref,AR$1-1,3)/365</f>
        <v>0</v>
      </c>
      <c r="AU99" s="70">
        <f t="shared" ref="AU99:AU110" si="175">AU98</f>
        <v>7.8</v>
      </c>
      <c r="AV99" s="185">
        <f>IFERROR($L99+$M99*($O99*AU99)^$N99,$L99)</f>
        <v>0</v>
      </c>
      <c r="AW99" s="186" cm="1">
        <f t="array" ref="AW99">AV99*$P99*INDEX(Month_Ref,AU$1-1,3)/365</f>
        <v>0</v>
      </c>
      <c r="AX99" s="70">
        <f t="shared" ref="AX99:AX110" si="176">AX98</f>
        <v>8.6999999999999993</v>
      </c>
      <c r="AY99" s="185">
        <f>IFERROR($L99+$M99*($O99*AX99)^$N99,$L99)</f>
        <v>0</v>
      </c>
      <c r="AZ99" s="186" cm="1">
        <f t="array" ref="AZ99">AY99*$P99*INDEX(Month_Ref,AX$1-1,3)/365</f>
        <v>0</v>
      </c>
      <c r="BA99" s="186">
        <f t="shared" si="162"/>
        <v>0</v>
      </c>
      <c r="BC99" s="20">
        <f t="shared" si="163"/>
        <v>93</v>
      </c>
    </row>
    <row r="100" spans="2:65" ht="29.15" x14ac:dyDescent="0.4">
      <c r="B100" s="528"/>
      <c r="C100" s="531"/>
      <c r="D100" s="534"/>
      <c r="E100" s="534"/>
      <c r="F100" s="522"/>
      <c r="G100" s="522"/>
      <c r="H100" s="522"/>
      <c r="I100" s="525"/>
      <c r="J100" s="178" t="s">
        <v>1676</v>
      </c>
      <c r="K100" s="168" t="s">
        <v>1677</v>
      </c>
      <c r="L100" s="63">
        <f>INDEX(SGPW,MATCH($K100,SGPW_Name,0),2)</f>
        <v>43</v>
      </c>
      <c r="M100" s="63">
        <f>INDEX(SGPW,MATCH($K100,SGPW_Name,0),3)</f>
        <v>270</v>
      </c>
      <c r="N100" s="63">
        <f>INDEX(SGPW,MATCH($K100,SGPW_Name,0),4)</f>
        <v>1.4</v>
      </c>
      <c r="O100" s="63">
        <f t="shared" si="164"/>
        <v>0</v>
      </c>
      <c r="P100" s="64">
        <v>1</v>
      </c>
      <c r="Q100" s="70">
        <f t="shared" si="165"/>
        <v>8.5</v>
      </c>
      <c r="R100" s="63">
        <f>IFERROR($L100+$M100*($O100*Q100)^$N100,$L100)</f>
        <v>43</v>
      </c>
      <c r="S100" s="64" cm="1">
        <f t="array" ref="S100">R100*$P100*INDEX(Month_Ref,Q$1-1,3)/365</f>
        <v>3.6520547945205482</v>
      </c>
      <c r="T100" s="70">
        <f t="shared" si="166"/>
        <v>7.8</v>
      </c>
      <c r="U100" s="63">
        <f>IFERROR($L100+$M100*($O100*T100)^$N100,$L100)</f>
        <v>43</v>
      </c>
      <c r="V100" s="64" cm="1">
        <f t="array" ref="V100">U100*$P100*INDEX(Month_Ref,T$1-1,3)/365</f>
        <v>3.2986301369863016</v>
      </c>
      <c r="W100" s="70">
        <f t="shared" si="167"/>
        <v>7.8</v>
      </c>
      <c r="X100" s="63">
        <f>IFERROR($L100+$M100*($O100*W100)^$N100,$L100)</f>
        <v>43</v>
      </c>
      <c r="Y100" s="64" cm="1">
        <f t="array" ref="Y100">X100*$P100*INDEX(Month_Ref,W$1-1,3)/365</f>
        <v>3.6520547945205482</v>
      </c>
      <c r="Z100" s="70">
        <f t="shared" si="168"/>
        <v>7.8</v>
      </c>
      <c r="AA100" s="63">
        <f>IFERROR($L100+$M100*($O100*Z100)^$N100,$L100)</f>
        <v>43</v>
      </c>
      <c r="AB100" s="64" cm="1">
        <f t="array" ref="AB100">AA100*$P100*INDEX(Month_Ref,Z$1-1,3)/365</f>
        <v>3.5342465753424657</v>
      </c>
      <c r="AC100" s="70">
        <f t="shared" si="169"/>
        <v>7.6</v>
      </c>
      <c r="AD100" s="63">
        <f>IFERROR($L100+$M100*($O100*AC100)^$N100,$L100)</f>
        <v>43</v>
      </c>
      <c r="AE100" s="64" cm="1">
        <f t="array" ref="AE100">AD100*$P100*INDEX(Month_Ref,AC$1-1,3)/365</f>
        <v>3.6520547945205482</v>
      </c>
      <c r="AF100" s="70">
        <f t="shared" si="170"/>
        <v>7.8</v>
      </c>
      <c r="AG100" s="63">
        <f>IFERROR($L100+$M100*($O100*AF100)^$N100,$L100)</f>
        <v>43</v>
      </c>
      <c r="AH100" s="64" cm="1">
        <f t="array" ref="AH100">AG100*$P100*INDEX(Month_Ref,AF$1-1,3)/365</f>
        <v>3.5342465753424657</v>
      </c>
      <c r="AI100" s="70">
        <f t="shared" si="171"/>
        <v>8.1</v>
      </c>
      <c r="AJ100" s="63">
        <f>IFERROR($L100+$M100*($O100*AI100)^$N100,$L100)</f>
        <v>43</v>
      </c>
      <c r="AK100" s="64" cm="1">
        <f t="array" ref="AK100">AJ100*$P100*INDEX(Month_Ref,AI$1-1,3)/365</f>
        <v>3.6520547945205482</v>
      </c>
      <c r="AL100" s="70">
        <f t="shared" si="172"/>
        <v>7.2</v>
      </c>
      <c r="AM100" s="63">
        <f>IFERROR($L100+$M100*($O100*AL100)^$N100,$L100)</f>
        <v>43</v>
      </c>
      <c r="AN100" s="64" cm="1">
        <f t="array" ref="AN100">AM100*$P100*INDEX(Month_Ref,AL$1-1,3)/365</f>
        <v>3.6520547945205482</v>
      </c>
      <c r="AO100" s="70">
        <f t="shared" si="173"/>
        <v>6.7</v>
      </c>
      <c r="AP100" s="63">
        <f>IFERROR($L100+$M100*($O100*AO100)^$N100,$L100)</f>
        <v>43</v>
      </c>
      <c r="AQ100" s="64" cm="1">
        <f t="array" ref="AQ100">AP100*$P100*INDEX(Month_Ref,AO$1-1,3)/365</f>
        <v>3.5342465753424657</v>
      </c>
      <c r="AR100" s="70">
        <f t="shared" si="174"/>
        <v>6.7</v>
      </c>
      <c r="AS100" s="63">
        <f>IFERROR($L100+$M100*($O100*AR100)^$N100,$L100)</f>
        <v>43</v>
      </c>
      <c r="AT100" s="64" cm="1">
        <f t="array" ref="AT100">AS100*$P100*INDEX(Month_Ref,AR$1-1,3)/365</f>
        <v>3.6520547945205482</v>
      </c>
      <c r="AU100" s="70">
        <f t="shared" si="175"/>
        <v>7.8</v>
      </c>
      <c r="AV100" s="63">
        <f>IFERROR($L100+$M100*($O100*AU100)^$N100,$L100)</f>
        <v>43</v>
      </c>
      <c r="AW100" s="64" cm="1">
        <f t="array" ref="AW100">AV100*$P100*INDEX(Month_Ref,AU$1-1,3)/365</f>
        <v>3.5342465753424657</v>
      </c>
      <c r="AX100" s="70">
        <f t="shared" si="176"/>
        <v>8.6999999999999993</v>
      </c>
      <c r="AY100" s="63">
        <f>IFERROR($L100+$M100*($O100*AX100)^$N100,$L100)</f>
        <v>43</v>
      </c>
      <c r="AZ100" s="64" cm="1">
        <f t="array" ref="AZ100">AY100*$P100*INDEX(Month_Ref,AX$1-1,3)/365</f>
        <v>3.6520547945205482</v>
      </c>
      <c r="BA100" s="183">
        <f t="shared" si="162"/>
        <v>42.999999999999993</v>
      </c>
      <c r="BC100" s="20">
        <f t="shared" si="163"/>
        <v>94</v>
      </c>
    </row>
    <row r="101" spans="2:65" x14ac:dyDescent="0.4">
      <c r="B101" s="528"/>
      <c r="C101" s="531"/>
      <c r="D101" s="534"/>
      <c r="E101" s="534"/>
      <c r="F101" s="522"/>
      <c r="G101" s="522"/>
      <c r="H101" s="522"/>
      <c r="I101" s="525"/>
      <c r="J101" s="178" t="s">
        <v>1682</v>
      </c>
      <c r="K101" s="168" t="s">
        <v>1661</v>
      </c>
      <c r="L101" s="63">
        <f>INDEX(GFW,MATCH($K101,GFW_Name,0),2)</f>
        <v>2.8</v>
      </c>
      <c r="M101" s="63">
        <f>INDEX(GFW,MATCH($K101,GFW_Name,0),3)</f>
        <v>0</v>
      </c>
      <c r="N101" s="63">
        <f>INDEX(GFW,MATCH($K101,GFW_Name,0),4)</f>
        <v>0</v>
      </c>
      <c r="O101" s="63">
        <f t="shared" si="164"/>
        <v>0</v>
      </c>
      <c r="P101" s="64">
        <v>1</v>
      </c>
      <c r="Q101" s="70">
        <f t="shared" si="165"/>
        <v>8.5</v>
      </c>
      <c r="R101" s="187">
        <f t="shared" ref="R101:R110" si="177">IFERROR($L101+$M101*($O101*Q101)^$N101,$L101)</f>
        <v>2.8</v>
      </c>
      <c r="S101" s="189" cm="1">
        <f t="array" ref="S101">R101*$P101*INDEX(Month_Ref,Q$1-1,3)/365</f>
        <v>0.23780821917808218</v>
      </c>
      <c r="T101" s="70">
        <f t="shared" si="166"/>
        <v>7.8</v>
      </c>
      <c r="U101" s="187">
        <f t="shared" ref="U101:U110" si="178">IFERROR($L101+$M101*($O101*T101)^$N101,$L101)</f>
        <v>2.8</v>
      </c>
      <c r="V101" s="189" cm="1">
        <f t="array" ref="V101">U101*$P101*INDEX(Month_Ref,T$1-1,3)/365</f>
        <v>0.21479452054794518</v>
      </c>
      <c r="W101" s="70">
        <f t="shared" si="167"/>
        <v>7.8</v>
      </c>
      <c r="X101" s="187">
        <f t="shared" ref="X101:X110" si="179">IFERROR($L101+$M101*($O101*W101)^$N101,$L101)</f>
        <v>2.8</v>
      </c>
      <c r="Y101" s="189" cm="1">
        <f t="array" ref="Y101">X101*$P101*INDEX(Month_Ref,W$1-1,3)/365</f>
        <v>0.23780821917808218</v>
      </c>
      <c r="Z101" s="70">
        <f t="shared" si="168"/>
        <v>7.8</v>
      </c>
      <c r="AA101" s="187">
        <f t="shared" ref="AA101:AA110" si="180">IFERROR($L101+$M101*($O101*Z101)^$N101,$L101)</f>
        <v>2.8</v>
      </c>
      <c r="AB101" s="189" cm="1">
        <f t="array" ref="AB101">AA101*$P101*INDEX(Month_Ref,Z$1-1,3)/365</f>
        <v>0.23013698630136986</v>
      </c>
      <c r="AC101" s="70">
        <f t="shared" si="169"/>
        <v>7.6</v>
      </c>
      <c r="AD101" s="187">
        <f t="shared" ref="AD101:AD110" si="181">IFERROR($L101+$M101*($O101*AC101)^$N101,$L101)</f>
        <v>2.8</v>
      </c>
      <c r="AE101" s="189" cm="1">
        <f t="array" ref="AE101">AD101*$P101*INDEX(Month_Ref,AC$1-1,3)/365</f>
        <v>0.23780821917808218</v>
      </c>
      <c r="AF101" s="70">
        <f t="shared" si="170"/>
        <v>7.8</v>
      </c>
      <c r="AG101" s="187">
        <f t="shared" ref="AG101:AG110" si="182">IFERROR($L101+$M101*($O101*AF101)^$N101,$L101)</f>
        <v>2.8</v>
      </c>
      <c r="AH101" s="189" cm="1">
        <f t="array" ref="AH101">AG101*$P101*INDEX(Month_Ref,AF$1-1,3)/365</f>
        <v>0.23013698630136986</v>
      </c>
      <c r="AI101" s="70">
        <f t="shared" si="171"/>
        <v>8.1</v>
      </c>
      <c r="AJ101" s="187">
        <f t="shared" ref="AJ101:AJ110" si="183">IFERROR($L101+$M101*($O101*AI101)^$N101,$L101)</f>
        <v>2.8</v>
      </c>
      <c r="AK101" s="189" cm="1">
        <f t="array" ref="AK101">AJ101*$P101*INDEX(Month_Ref,AI$1-1,3)/365</f>
        <v>0.23780821917808218</v>
      </c>
      <c r="AL101" s="70">
        <f t="shared" si="172"/>
        <v>7.2</v>
      </c>
      <c r="AM101" s="187">
        <f t="shared" ref="AM101:AM110" si="184">IFERROR($L101+$M101*($O101*AL101)^$N101,$L101)</f>
        <v>2.8</v>
      </c>
      <c r="AN101" s="189" cm="1">
        <f t="array" ref="AN101">AM101*$P101*INDEX(Month_Ref,AL$1-1,3)/365</f>
        <v>0.23780821917808218</v>
      </c>
      <c r="AO101" s="70">
        <f t="shared" si="173"/>
        <v>6.7</v>
      </c>
      <c r="AP101" s="187">
        <f t="shared" ref="AP101:AP110" si="185">IFERROR($L101+$M101*($O101*AO101)^$N101,$L101)</f>
        <v>2.8</v>
      </c>
      <c r="AQ101" s="189" cm="1">
        <f t="array" ref="AQ101">AP101*$P101*INDEX(Month_Ref,AO$1-1,3)/365</f>
        <v>0.23013698630136986</v>
      </c>
      <c r="AR101" s="70">
        <f t="shared" si="174"/>
        <v>6.7</v>
      </c>
      <c r="AS101" s="187">
        <f t="shared" ref="AS101:AS110" si="186">IFERROR($L101+$M101*($O101*AR101)^$N101,$L101)</f>
        <v>2.8</v>
      </c>
      <c r="AT101" s="189" cm="1">
        <f t="array" ref="AT101">AS101*$P101*INDEX(Month_Ref,AR$1-1,3)/365</f>
        <v>0.23780821917808218</v>
      </c>
      <c r="AU101" s="70">
        <f t="shared" si="175"/>
        <v>7.8</v>
      </c>
      <c r="AV101" s="187">
        <f t="shared" ref="AV101:AV110" si="187">IFERROR($L101+$M101*($O101*AU101)^$N101,$L101)</f>
        <v>2.8</v>
      </c>
      <c r="AW101" s="189" cm="1">
        <f t="array" ref="AW101">AV101*$P101*INDEX(Month_Ref,AU$1-1,3)/365</f>
        <v>0.23013698630136986</v>
      </c>
      <c r="AX101" s="70">
        <f t="shared" si="176"/>
        <v>8.6999999999999993</v>
      </c>
      <c r="AY101" s="187">
        <f t="shared" ref="AY101:AY110" si="188">IFERROR($L101+$M101*($O101*AX101)^$N101,$L101)</f>
        <v>2.8</v>
      </c>
      <c r="AZ101" s="189" cm="1">
        <f t="array" ref="AZ101">AY101*$P101*INDEX(Month_Ref,AX$1-1,3)/365</f>
        <v>0.23780821917808218</v>
      </c>
      <c r="BA101" s="183">
        <f t="shared" si="162"/>
        <v>2.8</v>
      </c>
      <c r="BC101" s="20">
        <f t="shared" si="163"/>
        <v>95</v>
      </c>
    </row>
    <row r="102" spans="2:65" ht="29.15" x14ac:dyDescent="0.4">
      <c r="B102" s="528"/>
      <c r="C102" s="531"/>
      <c r="D102" s="534"/>
      <c r="E102" s="534"/>
      <c r="F102" s="522"/>
      <c r="G102" s="522"/>
      <c r="H102" s="522"/>
      <c r="I102" s="525"/>
      <c r="J102" s="179" t="s">
        <v>1683</v>
      </c>
      <c r="K102" s="168" t="s">
        <v>1684</v>
      </c>
      <c r="L102" s="63">
        <f>INDEX(GHSP,MATCH($K102,GHSP_Name,0),2)</f>
        <v>0.47</v>
      </c>
      <c r="M102" s="63">
        <f>INDEX(GHSP,MATCH($K102,GHSP_Name,0),3)</f>
        <v>0.02</v>
      </c>
      <c r="N102" s="63">
        <f>INDEX(GHSP,MATCH($K102,GHSP_Name,0),4)</f>
        <v>0.97</v>
      </c>
      <c r="O102" s="63">
        <f t="shared" si="164"/>
        <v>0</v>
      </c>
      <c r="P102" s="64">
        <v>1</v>
      </c>
      <c r="Q102" s="70">
        <f t="shared" si="165"/>
        <v>8.5</v>
      </c>
      <c r="R102" s="190">
        <f t="shared" si="177"/>
        <v>0.47</v>
      </c>
      <c r="S102" s="191" cm="1">
        <f t="array" ref="S102">R102*$P102*INDEX(Month_Ref,Q$1-1,3)/365</f>
        <v>3.9917808219178078E-2</v>
      </c>
      <c r="T102" s="70">
        <f t="shared" si="166"/>
        <v>7.8</v>
      </c>
      <c r="U102" s="190">
        <f t="shared" si="178"/>
        <v>0.47</v>
      </c>
      <c r="V102" s="191" cm="1">
        <f t="array" ref="V102">U102*$P102*INDEX(Month_Ref,T$1-1,3)/365</f>
        <v>3.6054794520547946E-2</v>
      </c>
      <c r="W102" s="70">
        <f t="shared" si="167"/>
        <v>7.8</v>
      </c>
      <c r="X102" s="190">
        <f t="shared" si="179"/>
        <v>0.47</v>
      </c>
      <c r="Y102" s="191" cm="1">
        <f t="array" ref="Y102">X102*$P102*INDEX(Month_Ref,W$1-1,3)/365</f>
        <v>3.9917808219178078E-2</v>
      </c>
      <c r="Z102" s="70">
        <f t="shared" si="168"/>
        <v>7.8</v>
      </c>
      <c r="AA102" s="190">
        <f t="shared" si="180"/>
        <v>0.47</v>
      </c>
      <c r="AB102" s="191" cm="1">
        <f t="array" ref="AB102">AA102*$P102*INDEX(Month_Ref,Z$1-1,3)/365</f>
        <v>3.8630136986301369E-2</v>
      </c>
      <c r="AC102" s="70">
        <f t="shared" si="169"/>
        <v>7.6</v>
      </c>
      <c r="AD102" s="190">
        <f t="shared" si="181"/>
        <v>0.47</v>
      </c>
      <c r="AE102" s="191" cm="1">
        <f t="array" ref="AE102">AD102*$P102*INDEX(Month_Ref,AC$1-1,3)/365</f>
        <v>3.9917808219178078E-2</v>
      </c>
      <c r="AF102" s="70">
        <f t="shared" si="170"/>
        <v>7.8</v>
      </c>
      <c r="AG102" s="190">
        <f t="shared" si="182"/>
        <v>0.47</v>
      </c>
      <c r="AH102" s="191" cm="1">
        <f t="array" ref="AH102">AG102*$P102*INDEX(Month_Ref,AF$1-1,3)/365</f>
        <v>3.8630136986301369E-2</v>
      </c>
      <c r="AI102" s="70">
        <f t="shared" si="171"/>
        <v>8.1</v>
      </c>
      <c r="AJ102" s="190">
        <f t="shared" si="183"/>
        <v>0.47</v>
      </c>
      <c r="AK102" s="191" cm="1">
        <f t="array" ref="AK102">AJ102*$P102*INDEX(Month_Ref,AI$1-1,3)/365</f>
        <v>3.9917808219178078E-2</v>
      </c>
      <c r="AL102" s="70">
        <f t="shared" si="172"/>
        <v>7.2</v>
      </c>
      <c r="AM102" s="190">
        <f t="shared" si="184"/>
        <v>0.47</v>
      </c>
      <c r="AN102" s="191" cm="1">
        <f t="array" ref="AN102">AM102*$P102*INDEX(Month_Ref,AL$1-1,3)/365</f>
        <v>3.9917808219178078E-2</v>
      </c>
      <c r="AO102" s="70">
        <f t="shared" si="173"/>
        <v>6.7</v>
      </c>
      <c r="AP102" s="190">
        <f t="shared" si="185"/>
        <v>0.47</v>
      </c>
      <c r="AQ102" s="191" cm="1">
        <f t="array" ref="AQ102">AP102*$P102*INDEX(Month_Ref,AO$1-1,3)/365</f>
        <v>3.8630136986301369E-2</v>
      </c>
      <c r="AR102" s="70">
        <f t="shared" si="174"/>
        <v>6.7</v>
      </c>
      <c r="AS102" s="190">
        <f t="shared" si="186"/>
        <v>0.47</v>
      </c>
      <c r="AT102" s="191" cm="1">
        <f t="array" ref="AT102">AS102*$P102*INDEX(Month_Ref,AR$1-1,3)/365</f>
        <v>3.9917808219178078E-2</v>
      </c>
      <c r="AU102" s="70">
        <f t="shared" si="175"/>
        <v>7.8</v>
      </c>
      <c r="AV102" s="190">
        <f t="shared" si="187"/>
        <v>0.47</v>
      </c>
      <c r="AW102" s="191" cm="1">
        <f t="array" ref="AW102">AV102*$P102*INDEX(Month_Ref,AU$1-1,3)/365</f>
        <v>3.8630136986301369E-2</v>
      </c>
      <c r="AX102" s="70">
        <f t="shared" si="176"/>
        <v>8.6999999999999993</v>
      </c>
      <c r="AY102" s="190">
        <f t="shared" si="188"/>
        <v>0.47</v>
      </c>
      <c r="AZ102" s="191" cm="1">
        <f t="array" ref="AZ102">AY102*$P102*INDEX(Month_Ref,AX$1-1,3)/365</f>
        <v>3.9917808219178078E-2</v>
      </c>
      <c r="BA102" s="183">
        <f t="shared" si="162"/>
        <v>0.46999999999999986</v>
      </c>
      <c r="BC102" s="20">
        <f t="shared" si="163"/>
        <v>96</v>
      </c>
    </row>
    <row r="103" spans="2:65" ht="29.15" x14ac:dyDescent="0.4">
      <c r="B103" s="528"/>
      <c r="C103" s="531"/>
      <c r="D103" s="534"/>
      <c r="E103" s="534"/>
      <c r="F103" s="522"/>
      <c r="G103" s="522"/>
      <c r="H103" s="522"/>
      <c r="I103" s="525"/>
      <c r="J103" s="179" t="s">
        <v>1687</v>
      </c>
      <c r="K103" s="168" t="s">
        <v>1685</v>
      </c>
      <c r="L103" s="63">
        <f>INDEX(Vac_Break,MATCH($K103,Vac_Break_Name,0),2)</f>
        <v>7.8</v>
      </c>
      <c r="M103" s="63">
        <f>INDEX(Vac_Break,MATCH($K103,Vac_Break_Name,0),3)</f>
        <v>0.01</v>
      </c>
      <c r="N103" s="63">
        <f>INDEX(Vac_Break,MATCH($K103,Vac_Break_Name,0),4)</f>
        <v>4</v>
      </c>
      <c r="O103" s="63">
        <f t="shared" si="164"/>
        <v>0</v>
      </c>
      <c r="P103" s="64" cm="1">
        <f t="array" ref="P103">IF(F97="Internal Floating Roof",1,INDEX(Tbl_71_13,_xlfn.MINIFS(Tbl_71_13_Range,Tbl_71_13_Dia,"&gt;="&amp;$E97),IF(G97="Pontoon",3,4)))</f>
        <v>1</v>
      </c>
      <c r="Q103" s="70">
        <f t="shared" si="165"/>
        <v>8.5</v>
      </c>
      <c r="R103" s="187">
        <f t="shared" si="177"/>
        <v>7.8</v>
      </c>
      <c r="S103" s="189" cm="1">
        <f t="array" ref="S103">R103*$P103*INDEX(Month_Ref,Q$1-1,3)/365</f>
        <v>0.66246575342465752</v>
      </c>
      <c r="T103" s="70">
        <f t="shared" si="166"/>
        <v>7.8</v>
      </c>
      <c r="U103" s="187">
        <f t="shared" si="178"/>
        <v>7.8</v>
      </c>
      <c r="V103" s="189" cm="1">
        <f t="array" ref="V103">U103*$P103*INDEX(Month_Ref,T$1-1,3)/365</f>
        <v>0.59835616438356165</v>
      </c>
      <c r="W103" s="70">
        <f t="shared" si="167"/>
        <v>7.8</v>
      </c>
      <c r="X103" s="187">
        <f t="shared" si="179"/>
        <v>7.8</v>
      </c>
      <c r="Y103" s="189" cm="1">
        <f t="array" ref="Y103">X103*$P103*INDEX(Month_Ref,W$1-1,3)/365</f>
        <v>0.66246575342465752</v>
      </c>
      <c r="Z103" s="70">
        <f t="shared" si="168"/>
        <v>7.8</v>
      </c>
      <c r="AA103" s="187">
        <f t="shared" si="180"/>
        <v>7.8</v>
      </c>
      <c r="AB103" s="189" cm="1">
        <f t="array" ref="AB103">AA103*$P103*INDEX(Month_Ref,Z$1-1,3)/365</f>
        <v>0.64109589041095894</v>
      </c>
      <c r="AC103" s="70">
        <f t="shared" si="169"/>
        <v>7.6</v>
      </c>
      <c r="AD103" s="187">
        <f t="shared" si="181"/>
        <v>7.8</v>
      </c>
      <c r="AE103" s="189" cm="1">
        <f t="array" ref="AE103">AD103*$P103*INDEX(Month_Ref,AC$1-1,3)/365</f>
        <v>0.66246575342465752</v>
      </c>
      <c r="AF103" s="70">
        <f t="shared" si="170"/>
        <v>7.8</v>
      </c>
      <c r="AG103" s="187">
        <f t="shared" si="182"/>
        <v>7.8</v>
      </c>
      <c r="AH103" s="189" cm="1">
        <f t="array" ref="AH103">AG103*$P103*INDEX(Month_Ref,AF$1-1,3)/365</f>
        <v>0.64109589041095894</v>
      </c>
      <c r="AI103" s="70">
        <f t="shared" si="171"/>
        <v>8.1</v>
      </c>
      <c r="AJ103" s="187">
        <f t="shared" si="183"/>
        <v>7.8</v>
      </c>
      <c r="AK103" s="189" cm="1">
        <f t="array" ref="AK103">AJ103*$P103*INDEX(Month_Ref,AI$1-1,3)/365</f>
        <v>0.66246575342465752</v>
      </c>
      <c r="AL103" s="70">
        <f t="shared" si="172"/>
        <v>7.2</v>
      </c>
      <c r="AM103" s="187">
        <f t="shared" si="184"/>
        <v>7.8</v>
      </c>
      <c r="AN103" s="189" cm="1">
        <f t="array" ref="AN103">AM103*$P103*INDEX(Month_Ref,AL$1-1,3)/365</f>
        <v>0.66246575342465752</v>
      </c>
      <c r="AO103" s="70">
        <f t="shared" si="173"/>
        <v>6.7</v>
      </c>
      <c r="AP103" s="187">
        <f t="shared" si="185"/>
        <v>7.8</v>
      </c>
      <c r="AQ103" s="189" cm="1">
        <f t="array" ref="AQ103">AP103*$P103*INDEX(Month_Ref,AO$1-1,3)/365</f>
        <v>0.64109589041095894</v>
      </c>
      <c r="AR103" s="70">
        <f t="shared" si="174"/>
        <v>6.7</v>
      </c>
      <c r="AS103" s="187">
        <f t="shared" si="186"/>
        <v>7.8</v>
      </c>
      <c r="AT103" s="189" cm="1">
        <f t="array" ref="AT103">AS103*$P103*INDEX(Month_Ref,AR$1-1,3)/365</f>
        <v>0.66246575342465752</v>
      </c>
      <c r="AU103" s="70">
        <f t="shared" si="175"/>
        <v>7.8</v>
      </c>
      <c r="AV103" s="187">
        <f t="shared" si="187"/>
        <v>7.8</v>
      </c>
      <c r="AW103" s="189" cm="1">
        <f t="array" ref="AW103">AV103*$P103*INDEX(Month_Ref,AU$1-1,3)/365</f>
        <v>0.64109589041095894</v>
      </c>
      <c r="AX103" s="70">
        <f t="shared" si="176"/>
        <v>8.6999999999999993</v>
      </c>
      <c r="AY103" s="187">
        <f t="shared" si="188"/>
        <v>7.8</v>
      </c>
      <c r="AZ103" s="189" cm="1">
        <f t="array" ref="AZ103">AY103*$P103*INDEX(Month_Ref,AX$1-1,3)/365</f>
        <v>0.66246575342465752</v>
      </c>
      <c r="BA103" s="183">
        <f t="shared" si="162"/>
        <v>7.8000000000000016</v>
      </c>
      <c r="BC103" s="20">
        <f t="shared" si="163"/>
        <v>97</v>
      </c>
    </row>
    <row r="104" spans="2:65" x14ac:dyDescent="0.4">
      <c r="B104" s="528"/>
      <c r="C104" s="531"/>
      <c r="D104" s="534"/>
      <c r="E104" s="534"/>
      <c r="F104" s="522"/>
      <c r="G104" s="522"/>
      <c r="H104" s="522"/>
      <c r="I104" s="525"/>
      <c r="J104" s="179" t="s">
        <v>1688</v>
      </c>
      <c r="K104" s="168" t="s">
        <v>1647</v>
      </c>
      <c r="L104" s="63">
        <f>INDEX(Deck_Drain,MATCH($K104,Deck_Drain_Name,0),2)</f>
        <v>0</v>
      </c>
      <c r="M104" s="63">
        <f>INDEX(Deck_Drain,MATCH($K104,Deck_Drain_Name,0),3)</f>
        <v>0</v>
      </c>
      <c r="N104" s="63">
        <f>INDEX(Deck_Drain,MATCH($K104,Deck_Drain_Name,0),4)</f>
        <v>0</v>
      </c>
      <c r="O104" s="63">
        <f t="shared" si="164"/>
        <v>0</v>
      </c>
      <c r="P104" s="64" cm="1">
        <f t="array" ref="P104">IF(F97="Internal Floating Roof",1,INDEX(Tbl_71_13,_xlfn.MINIFS(Tbl_71_13_Range,Tbl_71_13_Dia,"&gt;="&amp;$E97),5))</f>
        <v>1</v>
      </c>
      <c r="Q104" s="70">
        <f t="shared" si="165"/>
        <v>8.5</v>
      </c>
      <c r="R104" s="188">
        <f t="shared" si="177"/>
        <v>0</v>
      </c>
      <c r="S104" s="192" cm="1">
        <f t="array" ref="S104">R104*$P104*INDEX(Month_Ref,Q$1-1,3)/365</f>
        <v>0</v>
      </c>
      <c r="T104" s="70">
        <f t="shared" si="166"/>
        <v>7.8</v>
      </c>
      <c r="U104" s="188">
        <f t="shared" si="178"/>
        <v>0</v>
      </c>
      <c r="V104" s="192" cm="1">
        <f t="array" ref="V104">U104*$P104*INDEX(Month_Ref,T$1-1,3)/365</f>
        <v>0</v>
      </c>
      <c r="W104" s="70">
        <f t="shared" si="167"/>
        <v>7.8</v>
      </c>
      <c r="X104" s="188">
        <f t="shared" si="179"/>
        <v>0</v>
      </c>
      <c r="Y104" s="192" cm="1">
        <f t="array" ref="Y104">X104*$P104*INDEX(Month_Ref,W$1-1,3)/365</f>
        <v>0</v>
      </c>
      <c r="Z104" s="70">
        <f t="shared" si="168"/>
        <v>7.8</v>
      </c>
      <c r="AA104" s="188">
        <f t="shared" si="180"/>
        <v>0</v>
      </c>
      <c r="AB104" s="192" cm="1">
        <f t="array" ref="AB104">AA104*$P104*INDEX(Month_Ref,Z$1-1,3)/365</f>
        <v>0</v>
      </c>
      <c r="AC104" s="70">
        <f t="shared" si="169"/>
        <v>7.6</v>
      </c>
      <c r="AD104" s="188">
        <f t="shared" si="181"/>
        <v>0</v>
      </c>
      <c r="AE104" s="192" cm="1">
        <f t="array" ref="AE104">AD104*$P104*INDEX(Month_Ref,AC$1-1,3)/365</f>
        <v>0</v>
      </c>
      <c r="AF104" s="70">
        <f t="shared" si="170"/>
        <v>7.8</v>
      </c>
      <c r="AG104" s="188">
        <f t="shared" si="182"/>
        <v>0</v>
      </c>
      <c r="AH104" s="192" cm="1">
        <f t="array" ref="AH104">AG104*$P104*INDEX(Month_Ref,AF$1-1,3)/365</f>
        <v>0</v>
      </c>
      <c r="AI104" s="70">
        <f t="shared" si="171"/>
        <v>8.1</v>
      </c>
      <c r="AJ104" s="188">
        <f t="shared" si="183"/>
        <v>0</v>
      </c>
      <c r="AK104" s="192" cm="1">
        <f t="array" ref="AK104">AJ104*$P104*INDEX(Month_Ref,AI$1-1,3)/365</f>
        <v>0</v>
      </c>
      <c r="AL104" s="70">
        <f t="shared" si="172"/>
        <v>7.2</v>
      </c>
      <c r="AM104" s="188">
        <f t="shared" si="184"/>
        <v>0</v>
      </c>
      <c r="AN104" s="192" cm="1">
        <f t="array" ref="AN104">AM104*$P104*INDEX(Month_Ref,AL$1-1,3)/365</f>
        <v>0</v>
      </c>
      <c r="AO104" s="70">
        <f t="shared" si="173"/>
        <v>6.7</v>
      </c>
      <c r="AP104" s="188">
        <f t="shared" si="185"/>
        <v>0</v>
      </c>
      <c r="AQ104" s="192" cm="1">
        <f t="array" ref="AQ104">AP104*$P104*INDEX(Month_Ref,AO$1-1,3)/365</f>
        <v>0</v>
      </c>
      <c r="AR104" s="70">
        <f t="shared" si="174"/>
        <v>6.7</v>
      </c>
      <c r="AS104" s="188">
        <f t="shared" si="186"/>
        <v>0</v>
      </c>
      <c r="AT104" s="192" cm="1">
        <f t="array" ref="AT104">AS104*$P104*INDEX(Month_Ref,AR$1-1,3)/365</f>
        <v>0</v>
      </c>
      <c r="AU104" s="70">
        <f t="shared" si="175"/>
        <v>7.8</v>
      </c>
      <c r="AV104" s="188">
        <f t="shared" si="187"/>
        <v>0</v>
      </c>
      <c r="AW104" s="192" cm="1">
        <f t="array" ref="AW104">AV104*$P104*INDEX(Month_Ref,AU$1-1,3)/365</f>
        <v>0</v>
      </c>
      <c r="AX104" s="70">
        <f t="shared" si="176"/>
        <v>8.6999999999999993</v>
      </c>
      <c r="AY104" s="188">
        <f t="shared" si="188"/>
        <v>0</v>
      </c>
      <c r="AZ104" s="192" cm="1">
        <f t="array" ref="AZ104">AY104*$P104*INDEX(Month_Ref,AX$1-1,3)/365</f>
        <v>0</v>
      </c>
      <c r="BA104" s="183">
        <f t="shared" si="162"/>
        <v>0</v>
      </c>
      <c r="BC104" s="20">
        <f t="shared" si="163"/>
        <v>98</v>
      </c>
    </row>
    <row r="105" spans="2:65" x14ac:dyDescent="0.4">
      <c r="B105" s="528"/>
      <c r="C105" s="531"/>
      <c r="D105" s="534"/>
      <c r="E105" s="534"/>
      <c r="F105" s="522"/>
      <c r="G105" s="522"/>
      <c r="H105" s="522"/>
      <c r="I105" s="525"/>
      <c r="J105" s="179" t="s">
        <v>1708</v>
      </c>
      <c r="K105" s="168" t="s">
        <v>1647</v>
      </c>
      <c r="L105" s="63">
        <f>INDEX(Deck_Leg_IFR,MATCH($K105,Deck_Leg_IFR_Name,0),2)</f>
        <v>7.9</v>
      </c>
      <c r="M105" s="63">
        <f>INDEX(Deck_Leg_IFR,MATCH($K105,Deck_Leg_IFR_Name,0),3)</f>
        <v>0</v>
      </c>
      <c r="N105" s="63">
        <f>INDEX(Deck_Leg_IFR,MATCH($K105,Deck_Leg_IFR_Name,0),4)</f>
        <v>0</v>
      </c>
      <c r="O105" s="63">
        <f t="shared" si="164"/>
        <v>0</v>
      </c>
      <c r="P105" s="64">
        <f>IF($F97="Internal Floating Roof",ROUND(5+$E97/10+($E97^2)/600,0),0)</f>
        <v>14</v>
      </c>
      <c r="Q105" s="70">
        <f t="shared" si="165"/>
        <v>8.5</v>
      </c>
      <c r="R105" s="63">
        <f t="shared" si="177"/>
        <v>7.9</v>
      </c>
      <c r="S105" s="64" cm="1">
        <f t="array" ref="S105">R105*$P105*INDEX(Month_Ref,Q$1-1,3)/365</f>
        <v>9.393424657534247</v>
      </c>
      <c r="T105" s="70">
        <f t="shared" si="166"/>
        <v>7.8</v>
      </c>
      <c r="U105" s="63">
        <f t="shared" si="178"/>
        <v>7.9</v>
      </c>
      <c r="V105" s="64" cm="1">
        <f t="array" ref="V105">U105*$P105*INDEX(Month_Ref,T$1-1,3)/365</f>
        <v>8.4843835616438366</v>
      </c>
      <c r="W105" s="70">
        <f t="shared" si="167"/>
        <v>7.8</v>
      </c>
      <c r="X105" s="63">
        <f t="shared" si="179"/>
        <v>7.9</v>
      </c>
      <c r="Y105" s="64" cm="1">
        <f t="array" ref="Y105">X105*$P105*INDEX(Month_Ref,W$1-1,3)/365</f>
        <v>9.393424657534247</v>
      </c>
      <c r="Z105" s="70">
        <f t="shared" si="168"/>
        <v>7.8</v>
      </c>
      <c r="AA105" s="63">
        <f t="shared" si="180"/>
        <v>7.9</v>
      </c>
      <c r="AB105" s="64" cm="1">
        <f t="array" ref="AB105">AA105*$P105*INDEX(Month_Ref,Z$1-1,3)/365</f>
        <v>9.0904109589041102</v>
      </c>
      <c r="AC105" s="70">
        <f t="shared" si="169"/>
        <v>7.6</v>
      </c>
      <c r="AD105" s="63">
        <f t="shared" si="181"/>
        <v>7.9</v>
      </c>
      <c r="AE105" s="64" cm="1">
        <f t="array" ref="AE105">AD105*$P105*INDEX(Month_Ref,AC$1-1,3)/365</f>
        <v>9.393424657534247</v>
      </c>
      <c r="AF105" s="70">
        <f t="shared" si="170"/>
        <v>7.8</v>
      </c>
      <c r="AG105" s="63">
        <f t="shared" si="182"/>
        <v>7.9</v>
      </c>
      <c r="AH105" s="64" cm="1">
        <f t="array" ref="AH105">AG105*$P105*INDEX(Month_Ref,AF$1-1,3)/365</f>
        <v>9.0904109589041102</v>
      </c>
      <c r="AI105" s="70">
        <f t="shared" si="171"/>
        <v>8.1</v>
      </c>
      <c r="AJ105" s="63">
        <f t="shared" si="183"/>
        <v>7.9</v>
      </c>
      <c r="AK105" s="64" cm="1">
        <f t="array" ref="AK105">AJ105*$P105*INDEX(Month_Ref,AI$1-1,3)/365</f>
        <v>9.393424657534247</v>
      </c>
      <c r="AL105" s="70">
        <f t="shared" si="172"/>
        <v>7.2</v>
      </c>
      <c r="AM105" s="63">
        <f t="shared" si="184"/>
        <v>7.9</v>
      </c>
      <c r="AN105" s="64" cm="1">
        <f t="array" ref="AN105">AM105*$P105*INDEX(Month_Ref,AL$1-1,3)/365</f>
        <v>9.393424657534247</v>
      </c>
      <c r="AO105" s="70">
        <f t="shared" si="173"/>
        <v>6.7</v>
      </c>
      <c r="AP105" s="63">
        <f t="shared" si="185"/>
        <v>7.9</v>
      </c>
      <c r="AQ105" s="64" cm="1">
        <f t="array" ref="AQ105">AP105*$P105*INDEX(Month_Ref,AO$1-1,3)/365</f>
        <v>9.0904109589041102</v>
      </c>
      <c r="AR105" s="70">
        <f t="shared" si="174"/>
        <v>6.7</v>
      </c>
      <c r="AS105" s="63">
        <f t="shared" si="186"/>
        <v>7.9</v>
      </c>
      <c r="AT105" s="64" cm="1">
        <f t="array" ref="AT105">AS105*$P105*INDEX(Month_Ref,AR$1-1,3)/365</f>
        <v>9.393424657534247</v>
      </c>
      <c r="AU105" s="70">
        <f t="shared" si="175"/>
        <v>7.8</v>
      </c>
      <c r="AV105" s="63">
        <f t="shared" si="187"/>
        <v>7.9</v>
      </c>
      <c r="AW105" s="64" cm="1">
        <f t="array" ref="AW105">AV105*$P105*INDEX(Month_Ref,AU$1-1,3)/365</f>
        <v>9.0904109589041102</v>
      </c>
      <c r="AX105" s="70">
        <f t="shared" si="176"/>
        <v>8.6999999999999993</v>
      </c>
      <c r="AY105" s="63">
        <f t="shared" si="188"/>
        <v>7.9</v>
      </c>
      <c r="AZ105" s="64" cm="1">
        <f t="array" ref="AZ105">AY105*$P105*INDEX(Month_Ref,AX$1-1,3)/365</f>
        <v>9.393424657534247</v>
      </c>
      <c r="BA105" s="183">
        <f t="shared" si="162"/>
        <v>110.60000000000002</v>
      </c>
      <c r="BC105" s="20">
        <f t="shared" si="163"/>
        <v>99</v>
      </c>
    </row>
    <row r="106" spans="2:65" x14ac:dyDescent="0.4">
      <c r="B106" s="528"/>
      <c r="C106" s="531"/>
      <c r="D106" s="534"/>
      <c r="E106" s="534"/>
      <c r="F106" s="522"/>
      <c r="G106" s="522"/>
      <c r="H106" s="522"/>
      <c r="I106" s="525"/>
      <c r="J106" s="179" t="s">
        <v>1711</v>
      </c>
      <c r="K106" s="168" t="s">
        <v>1582</v>
      </c>
      <c r="L106" s="63">
        <f>INDEX(Deck_Leg_Pon,MATCH($K106,Deck_Leg_Pon_Name,0),2)</f>
        <v>0</v>
      </c>
      <c r="M106" s="63">
        <f>INDEX(Deck_Leg_Pon,MATCH($K106,Deck_Leg_Pon_Name,0),3)</f>
        <v>0</v>
      </c>
      <c r="N106" s="63">
        <f>INDEX(Deck_Leg_Pon,MATCH($K106,Deck_Leg_Pon_Name,0),4)</f>
        <v>0</v>
      </c>
      <c r="O106" s="63">
        <f t="shared" si="164"/>
        <v>0</v>
      </c>
      <c r="P106" s="64" cm="1">
        <f t="array" ref="P106">IF($G97="Pontoon",INDEX(Tbl_71_14,_xlfn.MINIFS(Tbl_71_14_Range,Tbl_71_14_Dia,"&gt;="&amp;$E97),3),0)</f>
        <v>0</v>
      </c>
      <c r="Q106" s="70">
        <f t="shared" si="165"/>
        <v>8.5</v>
      </c>
      <c r="R106" s="188">
        <f t="shared" si="177"/>
        <v>0</v>
      </c>
      <c r="S106" s="64" cm="1">
        <f t="array" ref="S106">R106*$P106*INDEX(Month_Ref,Q$1-1,3)/365</f>
        <v>0</v>
      </c>
      <c r="T106" s="70">
        <f t="shared" si="166"/>
        <v>7.8</v>
      </c>
      <c r="U106" s="188">
        <f t="shared" si="178"/>
        <v>0</v>
      </c>
      <c r="V106" s="64" cm="1">
        <f t="array" ref="V106">U106*$P106*INDEX(Month_Ref,T$1-1,3)/365</f>
        <v>0</v>
      </c>
      <c r="W106" s="70">
        <f t="shared" si="167"/>
        <v>7.8</v>
      </c>
      <c r="X106" s="188">
        <f t="shared" si="179"/>
        <v>0</v>
      </c>
      <c r="Y106" s="64" cm="1">
        <f t="array" ref="Y106">X106*$P106*INDEX(Month_Ref,W$1-1,3)/365</f>
        <v>0</v>
      </c>
      <c r="Z106" s="70">
        <f t="shared" si="168"/>
        <v>7.8</v>
      </c>
      <c r="AA106" s="188">
        <f t="shared" si="180"/>
        <v>0</v>
      </c>
      <c r="AB106" s="64" cm="1">
        <f t="array" ref="AB106">AA106*$P106*INDEX(Month_Ref,Z$1-1,3)/365</f>
        <v>0</v>
      </c>
      <c r="AC106" s="70">
        <f t="shared" si="169"/>
        <v>7.6</v>
      </c>
      <c r="AD106" s="188">
        <f t="shared" si="181"/>
        <v>0</v>
      </c>
      <c r="AE106" s="64" cm="1">
        <f t="array" ref="AE106">AD106*$P106*INDEX(Month_Ref,AC$1-1,3)/365</f>
        <v>0</v>
      </c>
      <c r="AF106" s="70">
        <f t="shared" si="170"/>
        <v>7.8</v>
      </c>
      <c r="AG106" s="188">
        <f t="shared" si="182"/>
        <v>0</v>
      </c>
      <c r="AH106" s="64" cm="1">
        <f t="array" ref="AH106">AG106*$P106*INDEX(Month_Ref,AF$1-1,3)/365</f>
        <v>0</v>
      </c>
      <c r="AI106" s="70">
        <f t="shared" si="171"/>
        <v>8.1</v>
      </c>
      <c r="AJ106" s="188">
        <f t="shared" si="183"/>
        <v>0</v>
      </c>
      <c r="AK106" s="64" cm="1">
        <f t="array" ref="AK106">AJ106*$P106*INDEX(Month_Ref,AI$1-1,3)/365</f>
        <v>0</v>
      </c>
      <c r="AL106" s="70">
        <f t="shared" si="172"/>
        <v>7.2</v>
      </c>
      <c r="AM106" s="188">
        <f t="shared" si="184"/>
        <v>0</v>
      </c>
      <c r="AN106" s="64" cm="1">
        <f t="array" ref="AN106">AM106*$P106*INDEX(Month_Ref,AL$1-1,3)/365</f>
        <v>0</v>
      </c>
      <c r="AO106" s="70">
        <f t="shared" si="173"/>
        <v>6.7</v>
      </c>
      <c r="AP106" s="188">
        <f t="shared" si="185"/>
        <v>0</v>
      </c>
      <c r="AQ106" s="64" cm="1">
        <f t="array" ref="AQ106">AP106*$P106*INDEX(Month_Ref,AO$1-1,3)/365</f>
        <v>0</v>
      </c>
      <c r="AR106" s="70">
        <f t="shared" si="174"/>
        <v>6.7</v>
      </c>
      <c r="AS106" s="188">
        <f t="shared" si="186"/>
        <v>0</v>
      </c>
      <c r="AT106" s="64" cm="1">
        <f t="array" ref="AT106">AS106*$P106*INDEX(Month_Ref,AR$1-1,3)/365</f>
        <v>0</v>
      </c>
      <c r="AU106" s="70">
        <f t="shared" si="175"/>
        <v>7.8</v>
      </c>
      <c r="AV106" s="188">
        <f t="shared" si="187"/>
        <v>0</v>
      </c>
      <c r="AW106" s="64" cm="1">
        <f t="array" ref="AW106">AV106*$P106*INDEX(Month_Ref,AU$1-1,3)/365</f>
        <v>0</v>
      </c>
      <c r="AX106" s="70">
        <f t="shared" si="176"/>
        <v>8.6999999999999993</v>
      </c>
      <c r="AY106" s="188">
        <f t="shared" si="188"/>
        <v>0</v>
      </c>
      <c r="AZ106" s="64" cm="1">
        <f t="array" ref="AZ106">AY106*$P106*INDEX(Month_Ref,AX$1-1,3)/365</f>
        <v>0</v>
      </c>
      <c r="BA106" s="183">
        <f t="shared" si="162"/>
        <v>0</v>
      </c>
      <c r="BC106" s="20">
        <f t="shared" si="163"/>
        <v>100</v>
      </c>
    </row>
    <row r="107" spans="2:65" ht="29.15" x14ac:dyDescent="0.4">
      <c r="B107" s="528"/>
      <c r="C107" s="531"/>
      <c r="D107" s="534"/>
      <c r="E107" s="534"/>
      <c r="F107" s="522"/>
      <c r="G107" s="522"/>
      <c r="H107" s="522"/>
      <c r="I107" s="525"/>
      <c r="J107" s="179" t="s">
        <v>1714</v>
      </c>
      <c r="K107" s="168" t="s">
        <v>1582</v>
      </c>
      <c r="L107" s="63">
        <f>INDEX(Deck_Leg_DD,MATCH($K107,Deck_Leg_DD_Name,0),2)</f>
        <v>0</v>
      </c>
      <c r="M107" s="63">
        <f>INDEX(Deck_Leg_DD,MATCH($K107,Deck_Leg_DD_Name,0),3)</f>
        <v>0</v>
      </c>
      <c r="N107" s="63">
        <f>INDEX(Deck_Leg_DD,MATCH($K107,Deck_Leg_DD_Name,0),4)</f>
        <v>0</v>
      </c>
      <c r="O107" s="63">
        <f t="shared" si="164"/>
        <v>0</v>
      </c>
      <c r="P107" s="64" cm="1">
        <f t="array" ref="P107">IF($G97="Pontoon",INDEX(Tbl_71_14,_xlfn.MINIFS(Tbl_71_14_Range,Tbl_71_14_Dia,"&gt;="&amp;$E97),4),IF($F97="Internal Floating Roof",0,6))</f>
        <v>0</v>
      </c>
      <c r="Q107" s="70">
        <f t="shared" si="165"/>
        <v>8.5</v>
      </c>
      <c r="R107" s="188">
        <f t="shared" si="177"/>
        <v>0</v>
      </c>
      <c r="S107" s="192" cm="1">
        <f t="array" ref="S107">R107*$P107*INDEX(Month_Ref,Q$1-1,3)/365</f>
        <v>0</v>
      </c>
      <c r="T107" s="70">
        <f t="shared" si="166"/>
        <v>7.8</v>
      </c>
      <c r="U107" s="188">
        <f t="shared" si="178"/>
        <v>0</v>
      </c>
      <c r="V107" s="192" cm="1">
        <f t="array" ref="V107">U107*$P107*INDEX(Month_Ref,T$1-1,3)/365</f>
        <v>0</v>
      </c>
      <c r="W107" s="70">
        <f t="shared" si="167"/>
        <v>7.8</v>
      </c>
      <c r="X107" s="188">
        <f t="shared" si="179"/>
        <v>0</v>
      </c>
      <c r="Y107" s="192" cm="1">
        <f t="array" ref="Y107">X107*$P107*INDEX(Month_Ref,W$1-1,3)/365</f>
        <v>0</v>
      </c>
      <c r="Z107" s="70">
        <f t="shared" si="168"/>
        <v>7.8</v>
      </c>
      <c r="AA107" s="188">
        <f t="shared" si="180"/>
        <v>0</v>
      </c>
      <c r="AB107" s="192" cm="1">
        <f t="array" ref="AB107">AA107*$P107*INDEX(Month_Ref,Z$1-1,3)/365</f>
        <v>0</v>
      </c>
      <c r="AC107" s="70">
        <f t="shared" si="169"/>
        <v>7.6</v>
      </c>
      <c r="AD107" s="188">
        <f t="shared" si="181"/>
        <v>0</v>
      </c>
      <c r="AE107" s="192" cm="1">
        <f t="array" ref="AE107">AD107*$P107*INDEX(Month_Ref,AC$1-1,3)/365</f>
        <v>0</v>
      </c>
      <c r="AF107" s="70">
        <f t="shared" si="170"/>
        <v>7.8</v>
      </c>
      <c r="AG107" s="188">
        <f t="shared" si="182"/>
        <v>0</v>
      </c>
      <c r="AH107" s="192" cm="1">
        <f t="array" ref="AH107">AG107*$P107*INDEX(Month_Ref,AF$1-1,3)/365</f>
        <v>0</v>
      </c>
      <c r="AI107" s="70">
        <f t="shared" si="171"/>
        <v>8.1</v>
      </c>
      <c r="AJ107" s="188">
        <f t="shared" si="183"/>
        <v>0</v>
      </c>
      <c r="AK107" s="192" cm="1">
        <f t="array" ref="AK107">AJ107*$P107*INDEX(Month_Ref,AI$1-1,3)/365</f>
        <v>0</v>
      </c>
      <c r="AL107" s="70">
        <f t="shared" si="172"/>
        <v>7.2</v>
      </c>
      <c r="AM107" s="188">
        <f t="shared" si="184"/>
        <v>0</v>
      </c>
      <c r="AN107" s="192" cm="1">
        <f t="array" ref="AN107">AM107*$P107*INDEX(Month_Ref,AL$1-1,3)/365</f>
        <v>0</v>
      </c>
      <c r="AO107" s="70">
        <f t="shared" si="173"/>
        <v>6.7</v>
      </c>
      <c r="AP107" s="188">
        <f t="shared" si="185"/>
        <v>0</v>
      </c>
      <c r="AQ107" s="192" cm="1">
        <f t="array" ref="AQ107">AP107*$P107*INDEX(Month_Ref,AO$1-1,3)/365</f>
        <v>0</v>
      </c>
      <c r="AR107" s="70">
        <f t="shared" si="174"/>
        <v>6.7</v>
      </c>
      <c r="AS107" s="188">
        <f t="shared" si="186"/>
        <v>0</v>
      </c>
      <c r="AT107" s="192" cm="1">
        <f t="array" ref="AT107">AS107*$P107*INDEX(Month_Ref,AR$1-1,3)/365</f>
        <v>0</v>
      </c>
      <c r="AU107" s="70">
        <f t="shared" si="175"/>
        <v>7.8</v>
      </c>
      <c r="AV107" s="188">
        <f t="shared" si="187"/>
        <v>0</v>
      </c>
      <c r="AW107" s="192" cm="1">
        <f t="array" ref="AW107">AV107*$P107*INDEX(Month_Ref,AU$1-1,3)/365</f>
        <v>0</v>
      </c>
      <c r="AX107" s="70">
        <f t="shared" si="176"/>
        <v>8.6999999999999993</v>
      </c>
      <c r="AY107" s="188">
        <f t="shared" si="188"/>
        <v>0</v>
      </c>
      <c r="AZ107" s="192" cm="1">
        <f t="array" ref="AZ107">AY107*$P107*INDEX(Month_Ref,AX$1-1,3)/365</f>
        <v>0</v>
      </c>
      <c r="BA107" s="183">
        <f t="shared" si="162"/>
        <v>0</v>
      </c>
      <c r="BC107" s="20">
        <f t="shared" si="163"/>
        <v>101</v>
      </c>
    </row>
    <row r="108" spans="2:65" x14ac:dyDescent="0.4">
      <c r="B108" s="528"/>
      <c r="C108" s="531"/>
      <c r="D108" s="534"/>
      <c r="E108" s="534"/>
      <c r="F108" s="522"/>
      <c r="G108" s="522"/>
      <c r="H108" s="522"/>
      <c r="I108" s="525"/>
      <c r="J108" s="180" t="s">
        <v>1700</v>
      </c>
      <c r="K108" s="168" t="s">
        <v>1647</v>
      </c>
      <c r="L108" s="63">
        <f>INDEX(Rim_Vent,MATCH($K108,Rim_Vent_Name,0),2)</f>
        <v>0.71</v>
      </c>
      <c r="M108" s="63">
        <f>INDEX(Rim_Vent,MATCH($K108,Rim_Vent_Name,0),3)</f>
        <v>0.1</v>
      </c>
      <c r="N108" s="63">
        <f>INDEX(Rim_Vent,MATCH($K108,Rim_Vent_Name,0),4)</f>
        <v>1</v>
      </c>
      <c r="O108" s="63">
        <f t="shared" si="164"/>
        <v>0</v>
      </c>
      <c r="P108" s="64">
        <f>IF(OR($H97="Mechanical Shoe - Primary Only",$H97="Mechanical Shoe w/ Shoe-Mounted Secondary",$H97="Mechanical Shoe w/ Rim Mounted Secondary"),1,0)</f>
        <v>1</v>
      </c>
      <c r="Q108" s="70">
        <f t="shared" si="165"/>
        <v>8.5</v>
      </c>
      <c r="R108" s="188">
        <f t="shared" si="177"/>
        <v>0.71</v>
      </c>
      <c r="S108" s="192" cm="1">
        <f t="array" ref="S108">R108*$P108*INDEX(Month_Ref,Q$1-1,3)/365</f>
        <v>6.0301369863013696E-2</v>
      </c>
      <c r="T108" s="70">
        <f t="shared" si="166"/>
        <v>7.8</v>
      </c>
      <c r="U108" s="188">
        <f t="shared" si="178"/>
        <v>0.71</v>
      </c>
      <c r="V108" s="192" cm="1">
        <f t="array" ref="V108">U108*$P108*INDEX(Month_Ref,T$1-1,3)/365</f>
        <v>5.446575342465753E-2</v>
      </c>
      <c r="W108" s="70">
        <f t="shared" si="167"/>
        <v>7.8</v>
      </c>
      <c r="X108" s="188">
        <f t="shared" si="179"/>
        <v>0.71</v>
      </c>
      <c r="Y108" s="192" cm="1">
        <f t="array" ref="Y108">X108*$P108*INDEX(Month_Ref,W$1-1,3)/365</f>
        <v>6.0301369863013696E-2</v>
      </c>
      <c r="Z108" s="70">
        <f t="shared" si="168"/>
        <v>7.8</v>
      </c>
      <c r="AA108" s="188">
        <f t="shared" si="180"/>
        <v>0.71</v>
      </c>
      <c r="AB108" s="192" cm="1">
        <f t="array" ref="AB108">AA108*$P108*INDEX(Month_Ref,Z$1-1,3)/365</f>
        <v>5.8356164383561636E-2</v>
      </c>
      <c r="AC108" s="70">
        <f t="shared" si="169"/>
        <v>7.6</v>
      </c>
      <c r="AD108" s="188">
        <f t="shared" si="181"/>
        <v>0.71</v>
      </c>
      <c r="AE108" s="192" cm="1">
        <f t="array" ref="AE108">AD108*$P108*INDEX(Month_Ref,AC$1-1,3)/365</f>
        <v>6.0301369863013696E-2</v>
      </c>
      <c r="AF108" s="70">
        <f t="shared" si="170"/>
        <v>7.8</v>
      </c>
      <c r="AG108" s="188">
        <f t="shared" si="182"/>
        <v>0.71</v>
      </c>
      <c r="AH108" s="192" cm="1">
        <f t="array" ref="AH108">AG108*$P108*INDEX(Month_Ref,AF$1-1,3)/365</f>
        <v>5.8356164383561636E-2</v>
      </c>
      <c r="AI108" s="70">
        <f t="shared" si="171"/>
        <v>8.1</v>
      </c>
      <c r="AJ108" s="188">
        <f t="shared" si="183"/>
        <v>0.71</v>
      </c>
      <c r="AK108" s="192" cm="1">
        <f t="array" ref="AK108">AJ108*$P108*INDEX(Month_Ref,AI$1-1,3)/365</f>
        <v>6.0301369863013696E-2</v>
      </c>
      <c r="AL108" s="70">
        <f t="shared" si="172"/>
        <v>7.2</v>
      </c>
      <c r="AM108" s="188">
        <f t="shared" si="184"/>
        <v>0.71</v>
      </c>
      <c r="AN108" s="192" cm="1">
        <f t="array" ref="AN108">AM108*$P108*INDEX(Month_Ref,AL$1-1,3)/365</f>
        <v>6.0301369863013696E-2</v>
      </c>
      <c r="AO108" s="70">
        <f t="shared" si="173"/>
        <v>6.7</v>
      </c>
      <c r="AP108" s="188">
        <f t="shared" si="185"/>
        <v>0.71</v>
      </c>
      <c r="AQ108" s="192" cm="1">
        <f t="array" ref="AQ108">AP108*$P108*INDEX(Month_Ref,AO$1-1,3)/365</f>
        <v>5.8356164383561636E-2</v>
      </c>
      <c r="AR108" s="70">
        <f t="shared" si="174"/>
        <v>6.7</v>
      </c>
      <c r="AS108" s="188">
        <f t="shared" si="186"/>
        <v>0.71</v>
      </c>
      <c r="AT108" s="192" cm="1">
        <f t="array" ref="AT108">AS108*$P108*INDEX(Month_Ref,AR$1-1,3)/365</f>
        <v>6.0301369863013696E-2</v>
      </c>
      <c r="AU108" s="70">
        <f t="shared" si="175"/>
        <v>7.8</v>
      </c>
      <c r="AV108" s="188">
        <f t="shared" si="187"/>
        <v>0.71</v>
      </c>
      <c r="AW108" s="192" cm="1">
        <f t="array" ref="AW108">AV108*$P108*INDEX(Month_Ref,AU$1-1,3)/365</f>
        <v>5.8356164383561636E-2</v>
      </c>
      <c r="AX108" s="70">
        <f t="shared" si="176"/>
        <v>8.6999999999999993</v>
      </c>
      <c r="AY108" s="188">
        <f t="shared" si="188"/>
        <v>0.71</v>
      </c>
      <c r="AZ108" s="192" cm="1">
        <f t="array" ref="AZ108">AY108*$P108*INDEX(Month_Ref,AX$1-1,3)/365</f>
        <v>6.0301369863013696E-2</v>
      </c>
      <c r="BA108" s="183">
        <f t="shared" si="162"/>
        <v>0.71</v>
      </c>
      <c r="BC108" s="20">
        <f t="shared" si="163"/>
        <v>102</v>
      </c>
    </row>
    <row r="109" spans="2:65" x14ac:dyDescent="0.4">
      <c r="B109" s="528"/>
      <c r="C109" s="531"/>
      <c r="D109" s="534"/>
      <c r="E109" s="534"/>
      <c r="F109" s="522"/>
      <c r="G109" s="522"/>
      <c r="H109" s="522"/>
      <c r="I109" s="525"/>
      <c r="J109" s="180" t="s">
        <v>1701</v>
      </c>
      <c r="K109" s="168" t="s">
        <v>1647</v>
      </c>
      <c r="L109" s="63">
        <f>INDEX(Ladder_Well,MATCH($K109,Ladder_Well_Name,0),2)</f>
        <v>98</v>
      </c>
      <c r="M109" s="63">
        <f>INDEX(Ladder_Well,MATCH($K109,Ladder_Well_Name,0),3)</f>
        <v>0</v>
      </c>
      <c r="N109" s="63">
        <f>INDEX(Ladder_Well,MATCH($K109,Ladder_Well_Name,0),4)</f>
        <v>0</v>
      </c>
      <c r="O109" s="63">
        <f t="shared" si="164"/>
        <v>0</v>
      </c>
      <c r="P109" s="64">
        <f>IF($F97&lt;&gt;"Internal Floating Roof",0,1)</f>
        <v>1</v>
      </c>
      <c r="Q109" s="70">
        <f t="shared" si="165"/>
        <v>8.5</v>
      </c>
      <c r="R109" s="63">
        <f t="shared" si="177"/>
        <v>98</v>
      </c>
      <c r="S109" s="64" cm="1">
        <f t="array" ref="S109">R109*$P109*INDEX(Month_Ref,Q$1-1,3)/365</f>
        <v>8.3232876712328761</v>
      </c>
      <c r="T109" s="70">
        <f t="shared" si="166"/>
        <v>7.8</v>
      </c>
      <c r="U109" s="63">
        <f t="shared" si="178"/>
        <v>98</v>
      </c>
      <c r="V109" s="64" cm="1">
        <f t="array" ref="V109">U109*$P109*INDEX(Month_Ref,T$1-1,3)/365</f>
        <v>7.5178082191780824</v>
      </c>
      <c r="W109" s="70">
        <f t="shared" si="167"/>
        <v>7.8</v>
      </c>
      <c r="X109" s="63">
        <f t="shared" si="179"/>
        <v>98</v>
      </c>
      <c r="Y109" s="64" cm="1">
        <f t="array" ref="Y109">X109*$P109*INDEX(Month_Ref,W$1-1,3)/365</f>
        <v>8.3232876712328761</v>
      </c>
      <c r="Z109" s="70">
        <f t="shared" si="168"/>
        <v>7.8</v>
      </c>
      <c r="AA109" s="63">
        <f t="shared" si="180"/>
        <v>98</v>
      </c>
      <c r="AB109" s="64" cm="1">
        <f t="array" ref="AB109">AA109*$P109*INDEX(Month_Ref,Z$1-1,3)/365</f>
        <v>8.0547945205479454</v>
      </c>
      <c r="AC109" s="70">
        <f t="shared" si="169"/>
        <v>7.6</v>
      </c>
      <c r="AD109" s="63">
        <f t="shared" si="181"/>
        <v>98</v>
      </c>
      <c r="AE109" s="64" cm="1">
        <f t="array" ref="AE109">AD109*$P109*INDEX(Month_Ref,AC$1-1,3)/365</f>
        <v>8.3232876712328761</v>
      </c>
      <c r="AF109" s="70">
        <f t="shared" si="170"/>
        <v>7.8</v>
      </c>
      <c r="AG109" s="63">
        <f t="shared" si="182"/>
        <v>98</v>
      </c>
      <c r="AH109" s="64" cm="1">
        <f t="array" ref="AH109">AG109*$P109*INDEX(Month_Ref,AF$1-1,3)/365</f>
        <v>8.0547945205479454</v>
      </c>
      <c r="AI109" s="70">
        <f t="shared" si="171"/>
        <v>8.1</v>
      </c>
      <c r="AJ109" s="63">
        <f t="shared" si="183"/>
        <v>98</v>
      </c>
      <c r="AK109" s="64" cm="1">
        <f t="array" ref="AK109">AJ109*$P109*INDEX(Month_Ref,AI$1-1,3)/365</f>
        <v>8.3232876712328761</v>
      </c>
      <c r="AL109" s="70">
        <f t="shared" si="172"/>
        <v>7.2</v>
      </c>
      <c r="AM109" s="63">
        <f t="shared" si="184"/>
        <v>98</v>
      </c>
      <c r="AN109" s="64" cm="1">
        <f t="array" ref="AN109">AM109*$P109*INDEX(Month_Ref,AL$1-1,3)/365</f>
        <v>8.3232876712328761</v>
      </c>
      <c r="AO109" s="70">
        <f t="shared" si="173"/>
        <v>6.7</v>
      </c>
      <c r="AP109" s="63">
        <f t="shared" si="185"/>
        <v>98</v>
      </c>
      <c r="AQ109" s="64" cm="1">
        <f t="array" ref="AQ109">AP109*$P109*INDEX(Month_Ref,AO$1-1,3)/365</f>
        <v>8.0547945205479454</v>
      </c>
      <c r="AR109" s="70">
        <f t="shared" si="174"/>
        <v>6.7</v>
      </c>
      <c r="AS109" s="63">
        <f t="shared" si="186"/>
        <v>98</v>
      </c>
      <c r="AT109" s="64" cm="1">
        <f t="array" ref="AT109">AS109*$P109*INDEX(Month_Ref,AR$1-1,3)/365</f>
        <v>8.3232876712328761</v>
      </c>
      <c r="AU109" s="70">
        <f t="shared" si="175"/>
        <v>7.8</v>
      </c>
      <c r="AV109" s="63">
        <f t="shared" si="187"/>
        <v>98</v>
      </c>
      <c r="AW109" s="64" cm="1">
        <f t="array" ref="AW109">AV109*$P109*INDEX(Month_Ref,AU$1-1,3)/365</f>
        <v>8.0547945205479454</v>
      </c>
      <c r="AX109" s="70">
        <f t="shared" si="176"/>
        <v>8.6999999999999993</v>
      </c>
      <c r="AY109" s="63">
        <f t="shared" si="188"/>
        <v>98</v>
      </c>
      <c r="AZ109" s="64" cm="1">
        <f t="array" ref="AZ109">AY109*$P109*INDEX(Month_Ref,AX$1-1,3)/365</f>
        <v>8.3232876712328761</v>
      </c>
      <c r="BA109" s="183">
        <f t="shared" si="162"/>
        <v>98</v>
      </c>
      <c r="BC109" s="20">
        <f t="shared" si="163"/>
        <v>103</v>
      </c>
    </row>
    <row r="110" spans="2:65" ht="44.15" thickBot="1" x14ac:dyDescent="0.45">
      <c r="B110" s="529"/>
      <c r="C110" s="532"/>
      <c r="D110" s="535"/>
      <c r="E110" s="535"/>
      <c r="F110" s="523"/>
      <c r="G110" s="523"/>
      <c r="H110" s="523"/>
      <c r="I110" s="526"/>
      <c r="J110" s="181" t="s">
        <v>1715</v>
      </c>
      <c r="K110" s="171" t="s">
        <v>1755</v>
      </c>
      <c r="L110" s="32">
        <f>INDEX(Combo_LWSGP,MATCH($K110,Combo_LWSGP_Name,0),2)</f>
        <v>0</v>
      </c>
      <c r="M110" s="32">
        <f>INDEX(Combo_LWSGP,MATCH($K110,Combo_LWSGP_Name,0),3)</f>
        <v>0</v>
      </c>
      <c r="N110" s="32">
        <f>INDEX(Combo_LWSGP,MATCH($K110,Combo_LWSGP_Name,0),4)</f>
        <v>0</v>
      </c>
      <c r="O110" s="32">
        <f t="shared" si="164"/>
        <v>0</v>
      </c>
      <c r="P110" s="33">
        <f>IF(AND(P100=0,P109=0),1,0)</f>
        <v>0</v>
      </c>
      <c r="Q110" s="31">
        <f t="shared" si="165"/>
        <v>8.5</v>
      </c>
      <c r="R110" s="32">
        <f t="shared" si="177"/>
        <v>0</v>
      </c>
      <c r="S110" s="33" cm="1">
        <f t="array" ref="S110">R110*$P110*INDEX(Month_Ref,Q$1-1,3)/365</f>
        <v>0</v>
      </c>
      <c r="T110" s="31">
        <f t="shared" si="166"/>
        <v>7.8</v>
      </c>
      <c r="U110" s="32">
        <f t="shared" si="178"/>
        <v>0</v>
      </c>
      <c r="V110" s="33" cm="1">
        <f t="array" ref="V110">U110*$P110*INDEX(Month_Ref,T$1-1,3)/365</f>
        <v>0</v>
      </c>
      <c r="W110" s="31">
        <f t="shared" si="167"/>
        <v>7.8</v>
      </c>
      <c r="X110" s="32">
        <f t="shared" si="179"/>
        <v>0</v>
      </c>
      <c r="Y110" s="33" cm="1">
        <f t="array" ref="Y110">X110*$P110*INDEX(Month_Ref,W$1-1,3)/365</f>
        <v>0</v>
      </c>
      <c r="Z110" s="31">
        <f t="shared" si="168"/>
        <v>7.8</v>
      </c>
      <c r="AA110" s="32">
        <f t="shared" si="180"/>
        <v>0</v>
      </c>
      <c r="AB110" s="33" cm="1">
        <f t="array" ref="AB110">AA110*$P110*INDEX(Month_Ref,Z$1-1,3)/365</f>
        <v>0</v>
      </c>
      <c r="AC110" s="31">
        <f t="shared" si="169"/>
        <v>7.6</v>
      </c>
      <c r="AD110" s="32">
        <f t="shared" si="181"/>
        <v>0</v>
      </c>
      <c r="AE110" s="33" cm="1">
        <f t="array" ref="AE110">AD110*$P110*INDEX(Month_Ref,AC$1-1,3)/365</f>
        <v>0</v>
      </c>
      <c r="AF110" s="31">
        <f t="shared" si="170"/>
        <v>7.8</v>
      </c>
      <c r="AG110" s="32">
        <f t="shared" si="182"/>
        <v>0</v>
      </c>
      <c r="AH110" s="33" cm="1">
        <f t="array" ref="AH110">AG110*$P110*INDEX(Month_Ref,AF$1-1,3)/365</f>
        <v>0</v>
      </c>
      <c r="AI110" s="31">
        <f t="shared" si="171"/>
        <v>8.1</v>
      </c>
      <c r="AJ110" s="32">
        <f t="shared" si="183"/>
        <v>0</v>
      </c>
      <c r="AK110" s="33" cm="1">
        <f t="array" ref="AK110">AJ110*$P110*INDEX(Month_Ref,AI$1-1,3)/365</f>
        <v>0</v>
      </c>
      <c r="AL110" s="31">
        <f t="shared" si="172"/>
        <v>7.2</v>
      </c>
      <c r="AM110" s="32">
        <f t="shared" si="184"/>
        <v>0</v>
      </c>
      <c r="AN110" s="33" cm="1">
        <f t="array" ref="AN110">AM110*$P110*INDEX(Month_Ref,AL$1-1,3)/365</f>
        <v>0</v>
      </c>
      <c r="AO110" s="31">
        <f t="shared" si="173"/>
        <v>6.7</v>
      </c>
      <c r="AP110" s="32">
        <f t="shared" si="185"/>
        <v>0</v>
      </c>
      <c r="AQ110" s="33" cm="1">
        <f t="array" ref="AQ110">AP110*$P110*INDEX(Month_Ref,AO$1-1,3)/365</f>
        <v>0</v>
      </c>
      <c r="AR110" s="31">
        <f t="shared" si="174"/>
        <v>6.7</v>
      </c>
      <c r="AS110" s="32">
        <f t="shared" si="186"/>
        <v>0</v>
      </c>
      <c r="AT110" s="33" cm="1">
        <f t="array" ref="AT110">AS110*$P110*INDEX(Month_Ref,AR$1-1,3)/365</f>
        <v>0</v>
      </c>
      <c r="AU110" s="31">
        <f t="shared" si="175"/>
        <v>7.8</v>
      </c>
      <c r="AV110" s="32">
        <f t="shared" si="187"/>
        <v>0</v>
      </c>
      <c r="AW110" s="33" cm="1">
        <f t="array" ref="AW110">AV110*$P110*INDEX(Month_Ref,AU$1-1,3)/365</f>
        <v>0</v>
      </c>
      <c r="AX110" s="31">
        <f t="shared" si="176"/>
        <v>8.6999999999999993</v>
      </c>
      <c r="AY110" s="32">
        <f t="shared" si="188"/>
        <v>0</v>
      </c>
      <c r="AZ110" s="33" cm="1">
        <f t="array" ref="AZ110">AY110*$P110*INDEX(Month_Ref,AX$1-1,3)/365</f>
        <v>0</v>
      </c>
      <c r="BA110" s="184">
        <f t="shared" si="162"/>
        <v>0</v>
      </c>
      <c r="BC110" s="20">
        <f t="shared" si="163"/>
        <v>104</v>
      </c>
    </row>
    <row r="111" spans="2:65" ht="15" thickBot="1" x14ac:dyDescent="0.45">
      <c r="B111" s="157"/>
      <c r="C111" s="158"/>
      <c r="D111" s="163"/>
      <c r="I111" s="163"/>
      <c r="J111" s="164"/>
      <c r="K111" s="164"/>
      <c r="L111" s="163"/>
      <c r="M111" s="163"/>
      <c r="N111" s="163"/>
      <c r="O111" s="163"/>
      <c r="Q111" s="195"/>
      <c r="R111" s="196" t="s">
        <v>1768</v>
      </c>
      <c r="S111" s="197">
        <f>SUM(S97:S110)</f>
        <v>29.758301369863013</v>
      </c>
      <c r="T111" s="195"/>
      <c r="U111" s="196" t="s">
        <v>1762</v>
      </c>
      <c r="V111" s="197">
        <f>SUM(V97:V110)</f>
        <v>26.87846575342466</v>
      </c>
      <c r="W111" s="195"/>
      <c r="X111" s="196" t="s">
        <v>1762</v>
      </c>
      <c r="Y111" s="197">
        <f>SUM(Y97:Y110)</f>
        <v>29.758301369863013</v>
      </c>
      <c r="Z111" s="195"/>
      <c r="AA111" s="196" t="s">
        <v>1762</v>
      </c>
      <c r="AB111" s="197">
        <f>SUM(AB97:AB110)</f>
        <v>28.798356164383556</v>
      </c>
      <c r="AC111" s="195"/>
      <c r="AD111" s="196" t="s">
        <v>1762</v>
      </c>
      <c r="AE111" s="197">
        <f>SUM(AE97:AE110)</f>
        <v>29.758301369863013</v>
      </c>
      <c r="AF111" s="195"/>
      <c r="AG111" s="196" t="s">
        <v>1762</v>
      </c>
      <c r="AH111" s="197">
        <f>SUM(AH97:AH110)</f>
        <v>28.798356164383556</v>
      </c>
      <c r="AI111" s="195"/>
      <c r="AJ111" s="196" t="s">
        <v>1762</v>
      </c>
      <c r="AK111" s="197">
        <f>SUM(AK97:AK110)</f>
        <v>29.758301369863013</v>
      </c>
      <c r="AL111" s="195"/>
      <c r="AM111" s="196" t="s">
        <v>1762</v>
      </c>
      <c r="AN111" s="197">
        <f>SUM(AN97:AN110)</f>
        <v>29.758301369863013</v>
      </c>
      <c r="AO111" s="195"/>
      <c r="AP111" s="196" t="s">
        <v>1762</v>
      </c>
      <c r="AQ111" s="197">
        <f>SUM(AQ97:AQ110)</f>
        <v>28.798356164383556</v>
      </c>
      <c r="AR111" s="195"/>
      <c r="AS111" s="196" t="s">
        <v>1762</v>
      </c>
      <c r="AT111" s="197">
        <f>SUM(AT97:AT110)</f>
        <v>29.758301369863013</v>
      </c>
      <c r="AU111" s="195"/>
      <c r="AV111" s="196" t="s">
        <v>1762</v>
      </c>
      <c r="AW111" s="197">
        <f>SUM(AW97:AW110)</f>
        <v>28.798356164383556</v>
      </c>
      <c r="AX111" s="195"/>
      <c r="AY111" s="196" t="s">
        <v>1762</v>
      </c>
      <c r="AZ111" s="197">
        <f>SUM(AZ97:AZ110)</f>
        <v>29.758301369863013</v>
      </c>
      <c r="BA111" s="198">
        <f t="shared" si="162"/>
        <v>350.38</v>
      </c>
      <c r="BC111" s="194">
        <f t="shared" si="163"/>
        <v>105</v>
      </c>
      <c r="BD111" s="11"/>
      <c r="BE111" s="11"/>
      <c r="BF111" s="11"/>
      <c r="BG111" s="11"/>
      <c r="BH111" s="11"/>
      <c r="BI111" s="11"/>
      <c r="BJ111" s="11"/>
      <c r="BK111" s="11"/>
      <c r="BL111" s="11"/>
      <c r="BM111" s="11"/>
    </row>
    <row r="112" spans="2:65" x14ac:dyDescent="0.4">
      <c r="B112" s="527" t="str" cm="1">
        <f t="array" ref="B112">INDEX(FLT_Cons,$BD112,$BE112)</f>
        <v>FLT - 8</v>
      </c>
      <c r="C112" s="530" t="str" cm="1">
        <f t="array" ref="C112">INDEX(FLT_Cons,$BD112,$BF112)</f>
        <v>INTANK 104</v>
      </c>
      <c r="D112" s="533" t="str" cm="1">
        <f t="array" ref="D112">INDEX(FLT_Cons,$BD112,$BG112)</f>
        <v>Portland</v>
      </c>
      <c r="E112" s="533" cm="1">
        <f t="array" ref="E112">INDEX(FLT_Cons,$BD112,$BH112)</f>
        <v>144</v>
      </c>
      <c r="F112" s="521" t="str" cm="1">
        <f t="array" ref="F112">INDEX(FLT_Cons,$BD112,$BI112)</f>
        <v>Internal Floating Roof</v>
      </c>
      <c r="G112" s="521" t="str" cm="1">
        <f t="array" ref="G112">INDEX(FLT_Cons,$BD112,$BJ112)</f>
        <v>N/A - IFR</v>
      </c>
      <c r="H112" s="521" t="str" cm="1">
        <f t="array" ref="H112">INDEX(FLT_Cons,$BD112,$BK112)</f>
        <v>Mechanical Shoe w/ Rim Mounted Secondary</v>
      </c>
      <c r="I112" s="524" t="str" cm="1">
        <f t="array" ref="I112">INDEX(FLT_Cons,$BD112,$BL112)</f>
        <v>IFR - Column Supported</v>
      </c>
      <c r="J112" s="177" t="s">
        <v>1660</v>
      </c>
      <c r="K112" s="174" t="s">
        <v>1647</v>
      </c>
      <c r="L112" s="14">
        <f>INDEX(Access_Hatch,MATCH($K112,Access_Hatch_Name,0),2)</f>
        <v>36</v>
      </c>
      <c r="M112" s="14">
        <f>INDEX(Access_Hatch,MATCH($K112,Access_Hatch_Name,0),3)</f>
        <v>5.9</v>
      </c>
      <c r="N112" s="14">
        <f>INDEX(Access_Hatch,MATCH($K112,Access_Hatch_Name,0),4)</f>
        <v>1.2</v>
      </c>
      <c r="O112" s="14">
        <f>IF($F112="External Floating Roof",0.7,0)</f>
        <v>0</v>
      </c>
      <c r="P112" s="30">
        <v>1</v>
      </c>
      <c r="Q112" s="29">
        <f>VLOOKUP(VLOOKUP($D112,Terminal_X_Ref,2,FALSE)&amp;"V",Weather_Data,Q$1,FALSE)</f>
        <v>8.5</v>
      </c>
      <c r="R112" s="14">
        <f>IFERROR($L112+$M112*($O112*Q112)^$N112,$L112)</f>
        <v>36</v>
      </c>
      <c r="S112" s="193" cm="1">
        <f t="array" ref="S112">R112*$P112*INDEX(Month_Ref,Q$1-1,3)/365</f>
        <v>3.0575342465753423</v>
      </c>
      <c r="T112" s="29">
        <f>VLOOKUP(VLOOKUP($D112,Terminal_X_Ref,2,FALSE)&amp;"V",Weather_Data,T$1,FALSE)</f>
        <v>7.8</v>
      </c>
      <c r="U112" s="14">
        <f>IFERROR($L112+$M112*($O112*T112)^$N112,$L112)</f>
        <v>36</v>
      </c>
      <c r="V112" s="193" cm="1">
        <f t="array" ref="V112">U112*$P112*INDEX(Month_Ref,T$1-1,3)/365</f>
        <v>2.7616438356164386</v>
      </c>
      <c r="W112" s="29">
        <f>VLOOKUP(VLOOKUP($D112,Terminal_X_Ref,2,FALSE)&amp;"V",Weather_Data,W$1,FALSE)</f>
        <v>7.8</v>
      </c>
      <c r="X112" s="14">
        <f>IFERROR($L112+$M112*($O112*W112)^$N112,$L112)</f>
        <v>36</v>
      </c>
      <c r="Y112" s="193" cm="1">
        <f t="array" ref="Y112">X112*$P112*INDEX(Month_Ref,W$1-1,3)/365</f>
        <v>3.0575342465753423</v>
      </c>
      <c r="Z112" s="29">
        <f>VLOOKUP(VLOOKUP($D112,Terminal_X_Ref,2,FALSE)&amp;"V",Weather_Data,Z$1,FALSE)</f>
        <v>7.8</v>
      </c>
      <c r="AA112" s="14">
        <f>IFERROR($L112+$M112*($O112*Z112)^$N112,$L112)</f>
        <v>36</v>
      </c>
      <c r="AB112" s="193" cm="1">
        <f t="array" ref="AB112">AA112*$P112*INDEX(Month_Ref,Z$1-1,3)/365</f>
        <v>2.9589041095890409</v>
      </c>
      <c r="AC112" s="29">
        <f>VLOOKUP(VLOOKUP($D112,Terminal_X_Ref,2,FALSE)&amp;"V",Weather_Data,AC$1,FALSE)</f>
        <v>7.6</v>
      </c>
      <c r="AD112" s="14">
        <f>IFERROR($L112+$M112*($O112*AC112)^$N112,$L112)</f>
        <v>36</v>
      </c>
      <c r="AE112" s="193" cm="1">
        <f t="array" ref="AE112">AD112*$P112*INDEX(Month_Ref,AC$1-1,3)/365</f>
        <v>3.0575342465753423</v>
      </c>
      <c r="AF112" s="29">
        <f>VLOOKUP(VLOOKUP($D112,Terminal_X_Ref,2,FALSE)&amp;"V",Weather_Data,AF$1,FALSE)</f>
        <v>7.8</v>
      </c>
      <c r="AG112" s="14">
        <f>IFERROR($L112+$M112*($O112*AF112)^$N112,$L112)</f>
        <v>36</v>
      </c>
      <c r="AH112" s="193" cm="1">
        <f t="array" ref="AH112">AG112*$P112*INDEX(Month_Ref,AF$1-1,3)/365</f>
        <v>2.9589041095890409</v>
      </c>
      <c r="AI112" s="29">
        <f>VLOOKUP(VLOOKUP($D112,Terminal_X_Ref,2,FALSE)&amp;"V",Weather_Data,AI$1,FALSE)</f>
        <v>8.1</v>
      </c>
      <c r="AJ112" s="14">
        <f>IFERROR($L112+$M112*($O112*AI112)^$N112,$L112)</f>
        <v>36</v>
      </c>
      <c r="AK112" s="193" cm="1">
        <f t="array" ref="AK112">AJ112*$P112*INDEX(Month_Ref,AI$1-1,3)/365</f>
        <v>3.0575342465753423</v>
      </c>
      <c r="AL112" s="29">
        <f>VLOOKUP(VLOOKUP($D112,Terminal_X_Ref,2,FALSE)&amp;"V",Weather_Data,AL$1,FALSE)</f>
        <v>7.2</v>
      </c>
      <c r="AM112" s="14">
        <f>IFERROR($L112+$M112*($O112*AL112)^$N112,$L112)</f>
        <v>36</v>
      </c>
      <c r="AN112" s="193" cm="1">
        <f t="array" ref="AN112">AM112*$P112*INDEX(Month_Ref,AL$1-1,3)/365</f>
        <v>3.0575342465753423</v>
      </c>
      <c r="AO112" s="29">
        <f>VLOOKUP(VLOOKUP($D112,Terminal_X_Ref,2,FALSE)&amp;"V",Weather_Data,AO$1,FALSE)</f>
        <v>6.7</v>
      </c>
      <c r="AP112" s="14">
        <f>IFERROR($L112+$M112*($O112*AO112)^$N112,$L112)</f>
        <v>36</v>
      </c>
      <c r="AQ112" s="193" cm="1">
        <f t="array" ref="AQ112">AP112*$P112*INDEX(Month_Ref,AO$1-1,3)/365</f>
        <v>2.9589041095890409</v>
      </c>
      <c r="AR112" s="29">
        <f>VLOOKUP(VLOOKUP($D112,Terminal_X_Ref,2,FALSE)&amp;"V",Weather_Data,AR$1,FALSE)</f>
        <v>6.7</v>
      </c>
      <c r="AS112" s="14">
        <f>IFERROR($L112+$M112*($O112*AR112)^$N112,$L112)</f>
        <v>36</v>
      </c>
      <c r="AT112" s="193" cm="1">
        <f t="array" ref="AT112">AS112*$P112*INDEX(Month_Ref,AR$1-1,3)/365</f>
        <v>3.0575342465753423</v>
      </c>
      <c r="AU112" s="29">
        <f>VLOOKUP(VLOOKUP($D112,Terminal_X_Ref,2,FALSE)&amp;"V",Weather_Data,AU$1,FALSE)</f>
        <v>7.8</v>
      </c>
      <c r="AV112" s="14">
        <f>IFERROR($L112+$M112*($O112*AU112)^$N112,$L112)</f>
        <v>36</v>
      </c>
      <c r="AW112" s="193" cm="1">
        <f t="array" ref="AW112">AV112*$P112*INDEX(Month_Ref,AU$1-1,3)/365</f>
        <v>2.9589041095890409</v>
      </c>
      <c r="AX112" s="29">
        <f>VLOOKUP(VLOOKUP($D112,Terminal_X_Ref,2,FALSE)&amp;"V",Weather_Data,AX$1,FALSE)</f>
        <v>8.6999999999999993</v>
      </c>
      <c r="AY112" s="14">
        <f>IFERROR($L112+$M112*($O112*AX112)^$N112,$L112)</f>
        <v>36</v>
      </c>
      <c r="AZ112" s="193" cm="1">
        <f t="array" ref="AZ112">AY112*$P112*INDEX(Month_Ref,AX$1-1,3)/365</f>
        <v>3.0575342465753423</v>
      </c>
      <c r="BA112" s="182">
        <f>S112+V112+Y112+AB112+AE112+AH112+AK112+AN112+AQ112+AT112+AW112+AZ112</f>
        <v>36.000000000000007</v>
      </c>
      <c r="BB112" s="25"/>
      <c r="BC112" s="20">
        <f>BC111+1</f>
        <v>106</v>
      </c>
      <c r="BD112">
        <f>BD97+1</f>
        <v>8</v>
      </c>
      <c r="BE112">
        <v>1</v>
      </c>
      <c r="BF112">
        <v>2</v>
      </c>
      <c r="BG112">
        <v>3</v>
      </c>
      <c r="BH112">
        <v>5</v>
      </c>
      <c r="BI112">
        <v>13</v>
      </c>
      <c r="BJ112">
        <v>16</v>
      </c>
      <c r="BK112">
        <v>17</v>
      </c>
      <c r="BL112">
        <v>19</v>
      </c>
      <c r="BM112">
        <v>21</v>
      </c>
    </row>
    <row r="113" spans="2:65" x14ac:dyDescent="0.4">
      <c r="B113" s="528"/>
      <c r="C113" s="531"/>
      <c r="D113" s="534"/>
      <c r="E113" s="534"/>
      <c r="F113" s="522"/>
      <c r="G113" s="522"/>
      <c r="H113" s="522"/>
      <c r="I113" s="525"/>
      <c r="J113" s="178" t="s">
        <v>1664</v>
      </c>
      <c r="K113" s="168" t="s">
        <v>1559</v>
      </c>
      <c r="L113" s="63">
        <f>INDEX(FRSCW,MATCH($K113,FRSCW_Name,0),2)</f>
        <v>51</v>
      </c>
      <c r="M113" s="63">
        <f>INDEX(FRSCW,MATCH($K113,FRSCW_Name,0),3)</f>
        <v>0</v>
      </c>
      <c r="N113" s="63">
        <f>INDEX(FRSCW,MATCH($K113,FRSCW_Name,0),4)</f>
        <v>0</v>
      </c>
      <c r="O113" s="63">
        <f>O112</f>
        <v>0</v>
      </c>
      <c r="P113" s="64" cm="1">
        <f t="array" ref="P113">IF(F112&lt;&gt;"Internal Floating Roof",0,IF(ISBLANK(INDEX(FLT_Cons,$BD112,$BM112)),INDEX(Tbl_71_11,_xlfn.MINIFS(Tbl_71_11_Dia,Tbl_71_11_Max,"&gt;="&amp;$E112),4),INDEX(FLT_Cons,$BD112,$BM112)))</f>
        <v>9</v>
      </c>
      <c r="Q113" s="70">
        <f>Q112</f>
        <v>8.5</v>
      </c>
      <c r="R113" s="63">
        <f>IFERROR($L113+$M113*($O113*Q113)^$N113,$L113)</f>
        <v>51</v>
      </c>
      <c r="S113" s="64" cm="1">
        <f t="array" ref="S113">R113*$P113*INDEX(Month_Ref,Q$1-1,3)/365</f>
        <v>38.983561643835614</v>
      </c>
      <c r="T113" s="70">
        <f>T112</f>
        <v>7.8</v>
      </c>
      <c r="U113" s="63">
        <f>IFERROR($L113+$M113*($O113*T113)^$N113,$L113)</f>
        <v>51</v>
      </c>
      <c r="V113" s="64" cm="1">
        <f t="array" ref="V113">U113*$P113*INDEX(Month_Ref,T$1-1,3)/365</f>
        <v>35.210958904109589</v>
      </c>
      <c r="W113" s="70">
        <f>W112</f>
        <v>7.8</v>
      </c>
      <c r="X113" s="63">
        <f>IFERROR($L113+$M113*($O113*W113)^$N113,$L113)</f>
        <v>51</v>
      </c>
      <c r="Y113" s="64" cm="1">
        <f t="array" ref="Y113">X113*$P113*INDEX(Month_Ref,W$1-1,3)/365</f>
        <v>38.983561643835614</v>
      </c>
      <c r="Z113" s="70">
        <f>Z112</f>
        <v>7.8</v>
      </c>
      <c r="AA113" s="63">
        <f>IFERROR($L113+$M113*($O113*Z113)^$N113,$L113)</f>
        <v>51</v>
      </c>
      <c r="AB113" s="64" cm="1">
        <f t="array" ref="AB113">AA113*$P113*INDEX(Month_Ref,Z$1-1,3)/365</f>
        <v>37.726027397260275</v>
      </c>
      <c r="AC113" s="70">
        <f>AC112</f>
        <v>7.6</v>
      </c>
      <c r="AD113" s="63">
        <f>IFERROR($L113+$M113*($O113*AC113)^$N113,$L113)</f>
        <v>51</v>
      </c>
      <c r="AE113" s="64" cm="1">
        <f t="array" ref="AE113">AD113*$P113*INDEX(Month_Ref,AC$1-1,3)/365</f>
        <v>38.983561643835614</v>
      </c>
      <c r="AF113" s="70">
        <f>AF112</f>
        <v>7.8</v>
      </c>
      <c r="AG113" s="63">
        <f>IFERROR($L113+$M113*($O113*AF113)^$N113,$L113)</f>
        <v>51</v>
      </c>
      <c r="AH113" s="64" cm="1">
        <f t="array" ref="AH113">AG113*$P113*INDEX(Month_Ref,AF$1-1,3)/365</f>
        <v>37.726027397260275</v>
      </c>
      <c r="AI113" s="70">
        <f>AI112</f>
        <v>8.1</v>
      </c>
      <c r="AJ113" s="63">
        <f>IFERROR($L113+$M113*($O113*AI113)^$N113,$L113)</f>
        <v>51</v>
      </c>
      <c r="AK113" s="64" cm="1">
        <f t="array" ref="AK113">AJ113*$P113*INDEX(Month_Ref,AI$1-1,3)/365</f>
        <v>38.983561643835614</v>
      </c>
      <c r="AL113" s="70">
        <f>AL112</f>
        <v>7.2</v>
      </c>
      <c r="AM113" s="63">
        <f>IFERROR($L113+$M113*($O113*AL113)^$N113,$L113)</f>
        <v>51</v>
      </c>
      <c r="AN113" s="64" cm="1">
        <f t="array" ref="AN113">AM113*$P113*INDEX(Month_Ref,AL$1-1,3)/365</f>
        <v>38.983561643835614</v>
      </c>
      <c r="AO113" s="70">
        <f>AO112</f>
        <v>6.7</v>
      </c>
      <c r="AP113" s="63">
        <f>IFERROR($L113+$M113*($O113*AO113)^$N113,$L113)</f>
        <v>51</v>
      </c>
      <c r="AQ113" s="64" cm="1">
        <f t="array" ref="AQ113">AP113*$P113*INDEX(Month_Ref,AO$1-1,3)/365</f>
        <v>37.726027397260275</v>
      </c>
      <c r="AR113" s="70">
        <f>AR112</f>
        <v>6.7</v>
      </c>
      <c r="AS113" s="63">
        <f>IFERROR($L113+$M113*($O113*AR113)^$N113,$L113)</f>
        <v>51</v>
      </c>
      <c r="AT113" s="64" cm="1">
        <f t="array" ref="AT113">AS113*$P113*INDEX(Month_Ref,AR$1-1,3)/365</f>
        <v>38.983561643835614</v>
      </c>
      <c r="AU113" s="70">
        <f>AU112</f>
        <v>7.8</v>
      </c>
      <c r="AV113" s="63">
        <f>IFERROR($L113+$M113*($O113*AU113)^$N113,$L113)</f>
        <v>51</v>
      </c>
      <c r="AW113" s="64" cm="1">
        <f t="array" ref="AW113">AV113*$P113*INDEX(Month_Ref,AU$1-1,3)/365</f>
        <v>37.726027397260275</v>
      </c>
      <c r="AX113" s="70">
        <f>AX112</f>
        <v>8.6999999999999993</v>
      </c>
      <c r="AY113" s="63">
        <f>IFERROR($L113+$M113*($O113*AX113)^$N113,$L113)</f>
        <v>51</v>
      </c>
      <c r="AZ113" s="64" cm="1">
        <f t="array" ref="AZ113">AY113*$P113*INDEX(Month_Ref,AX$1-1,3)/365</f>
        <v>38.983561643835614</v>
      </c>
      <c r="BA113" s="183">
        <f t="shared" ref="BA113:BA126" si="189">S113+V113+Y113+AB113+AE113+AH113+AK113+AN113+AQ113+AT113+AW113+AZ113</f>
        <v>459.00000000000006</v>
      </c>
      <c r="BC113" s="20">
        <f t="shared" ref="BC113:BC126" si="190">BC112+1</f>
        <v>107</v>
      </c>
    </row>
    <row r="114" spans="2:65" ht="43.75" x14ac:dyDescent="0.4">
      <c r="B114" s="528"/>
      <c r="C114" s="531"/>
      <c r="D114" s="534"/>
      <c r="E114" s="534"/>
      <c r="F114" s="522"/>
      <c r="G114" s="522"/>
      <c r="H114" s="522"/>
      <c r="I114" s="525"/>
      <c r="J114" s="178" t="s">
        <v>1670</v>
      </c>
      <c r="K114" s="168" t="s">
        <v>1582</v>
      </c>
      <c r="L114" s="63">
        <f>INDEX(USGPW,MATCH($K114,USGPW_Name,0),2)</f>
        <v>0</v>
      </c>
      <c r="M114" s="63">
        <f>INDEX(USGPW,MATCH($K114,USGPW_Name,0),3)</f>
        <v>0</v>
      </c>
      <c r="N114" s="63">
        <f>INDEX(USGPW,MATCH($K114,USGPW_Name,0),4)</f>
        <v>0</v>
      </c>
      <c r="O114" s="63">
        <f t="shared" ref="O114:O125" si="191">O113</f>
        <v>0</v>
      </c>
      <c r="P114" s="64">
        <v>1</v>
      </c>
      <c r="Q114" s="70">
        <f t="shared" ref="Q114:Q125" si="192">Q113</f>
        <v>8.5</v>
      </c>
      <c r="R114" s="185">
        <f>IFERROR($L114+$M114*($O114*Q114)^$N114,$L114)</f>
        <v>0</v>
      </c>
      <c r="S114" s="186" cm="1">
        <f t="array" ref="S114">R114*$P114*INDEX(Month_Ref,Q$1-1,3)/365</f>
        <v>0</v>
      </c>
      <c r="T114" s="70">
        <f t="shared" ref="T114:T125" si="193">T113</f>
        <v>7.8</v>
      </c>
      <c r="U114" s="185">
        <f>IFERROR($L114+$M114*($O114*T114)^$N114,$L114)</f>
        <v>0</v>
      </c>
      <c r="V114" s="186" cm="1">
        <f t="array" ref="V114">U114*$P114*INDEX(Month_Ref,T$1-1,3)/365</f>
        <v>0</v>
      </c>
      <c r="W114" s="70">
        <f t="shared" ref="W114:W125" si="194">W113</f>
        <v>7.8</v>
      </c>
      <c r="X114" s="185">
        <f>IFERROR($L114+$M114*($O114*W114)^$N114,$L114)</f>
        <v>0</v>
      </c>
      <c r="Y114" s="186" cm="1">
        <f t="array" ref="Y114">X114*$P114*INDEX(Month_Ref,W$1-1,3)/365</f>
        <v>0</v>
      </c>
      <c r="Z114" s="70">
        <f t="shared" ref="Z114:Z125" si="195">Z113</f>
        <v>7.8</v>
      </c>
      <c r="AA114" s="185">
        <f>IFERROR($L114+$M114*($O114*Z114)^$N114,$L114)</f>
        <v>0</v>
      </c>
      <c r="AB114" s="186" cm="1">
        <f t="array" ref="AB114">AA114*$P114*INDEX(Month_Ref,Z$1-1,3)/365</f>
        <v>0</v>
      </c>
      <c r="AC114" s="70">
        <f t="shared" ref="AC114:AC125" si="196">AC113</f>
        <v>7.6</v>
      </c>
      <c r="AD114" s="185">
        <f>IFERROR($L114+$M114*($O114*AC114)^$N114,$L114)</f>
        <v>0</v>
      </c>
      <c r="AE114" s="186" cm="1">
        <f t="array" ref="AE114">AD114*$P114*INDEX(Month_Ref,AC$1-1,3)/365</f>
        <v>0</v>
      </c>
      <c r="AF114" s="70">
        <f t="shared" ref="AF114:AF125" si="197">AF113</f>
        <v>7.8</v>
      </c>
      <c r="AG114" s="185">
        <f>IFERROR($L114+$M114*($O114*AF114)^$N114,$L114)</f>
        <v>0</v>
      </c>
      <c r="AH114" s="186" cm="1">
        <f t="array" ref="AH114">AG114*$P114*INDEX(Month_Ref,AF$1-1,3)/365</f>
        <v>0</v>
      </c>
      <c r="AI114" s="70">
        <f t="shared" ref="AI114:AI125" si="198">AI113</f>
        <v>8.1</v>
      </c>
      <c r="AJ114" s="185">
        <f>IFERROR($L114+$M114*($O114*AI114)^$N114,$L114)</f>
        <v>0</v>
      </c>
      <c r="AK114" s="186" cm="1">
        <f t="array" ref="AK114">AJ114*$P114*INDEX(Month_Ref,AI$1-1,3)/365</f>
        <v>0</v>
      </c>
      <c r="AL114" s="70">
        <f t="shared" ref="AL114:AL125" si="199">AL113</f>
        <v>7.2</v>
      </c>
      <c r="AM114" s="185">
        <f>IFERROR($L114+$M114*($O114*AL114)^$N114,$L114)</f>
        <v>0</v>
      </c>
      <c r="AN114" s="186" cm="1">
        <f t="array" ref="AN114">AM114*$P114*INDEX(Month_Ref,AL$1-1,3)/365</f>
        <v>0</v>
      </c>
      <c r="AO114" s="70">
        <f t="shared" ref="AO114:AO125" si="200">AO113</f>
        <v>6.7</v>
      </c>
      <c r="AP114" s="185">
        <f>IFERROR($L114+$M114*($O114*AO114)^$N114,$L114)</f>
        <v>0</v>
      </c>
      <c r="AQ114" s="186" cm="1">
        <f t="array" ref="AQ114">AP114*$P114*INDEX(Month_Ref,AO$1-1,3)/365</f>
        <v>0</v>
      </c>
      <c r="AR114" s="70">
        <f t="shared" ref="AR114:AR125" si="201">AR113</f>
        <v>6.7</v>
      </c>
      <c r="AS114" s="185">
        <f>IFERROR($L114+$M114*($O114*AR114)^$N114,$L114)</f>
        <v>0</v>
      </c>
      <c r="AT114" s="186" cm="1">
        <f t="array" ref="AT114">AS114*$P114*INDEX(Month_Ref,AR$1-1,3)/365</f>
        <v>0</v>
      </c>
      <c r="AU114" s="70">
        <f t="shared" ref="AU114:AU125" si="202">AU113</f>
        <v>7.8</v>
      </c>
      <c r="AV114" s="185">
        <f>IFERROR($L114+$M114*($O114*AU114)^$N114,$L114)</f>
        <v>0</v>
      </c>
      <c r="AW114" s="186" cm="1">
        <f t="array" ref="AW114">AV114*$P114*INDEX(Month_Ref,AU$1-1,3)/365</f>
        <v>0</v>
      </c>
      <c r="AX114" s="70">
        <f t="shared" ref="AX114:AX125" si="203">AX113</f>
        <v>8.6999999999999993</v>
      </c>
      <c r="AY114" s="185">
        <f>IFERROR($L114+$M114*($O114*AX114)^$N114,$L114)</f>
        <v>0</v>
      </c>
      <c r="AZ114" s="186" cm="1">
        <f t="array" ref="AZ114">AY114*$P114*INDEX(Month_Ref,AX$1-1,3)/365</f>
        <v>0</v>
      </c>
      <c r="BA114" s="186">
        <f t="shared" si="189"/>
        <v>0</v>
      </c>
      <c r="BC114" s="20">
        <f t="shared" si="190"/>
        <v>108</v>
      </c>
    </row>
    <row r="115" spans="2:65" ht="29.15" x14ac:dyDescent="0.4">
      <c r="B115" s="528"/>
      <c r="C115" s="531"/>
      <c r="D115" s="534"/>
      <c r="E115" s="534"/>
      <c r="F115" s="522"/>
      <c r="G115" s="522"/>
      <c r="H115" s="522"/>
      <c r="I115" s="525"/>
      <c r="J115" s="178" t="s">
        <v>1676</v>
      </c>
      <c r="K115" s="168" t="s">
        <v>1647</v>
      </c>
      <c r="L115" s="63">
        <f>INDEX(SGPW,MATCH($K115,SGPW_Name,0),2)</f>
        <v>43</v>
      </c>
      <c r="M115" s="63">
        <f>INDEX(SGPW,MATCH($K115,SGPW_Name,0),3)</f>
        <v>270</v>
      </c>
      <c r="N115" s="63">
        <f>INDEX(SGPW,MATCH($K115,SGPW_Name,0),4)</f>
        <v>1.4</v>
      </c>
      <c r="O115" s="63">
        <f t="shared" si="191"/>
        <v>0</v>
      </c>
      <c r="P115" s="64">
        <v>1</v>
      </c>
      <c r="Q115" s="70">
        <f t="shared" si="192"/>
        <v>8.5</v>
      </c>
      <c r="R115" s="63">
        <f>IFERROR($L115+$M115*($O115*Q115)^$N115,$L115)</f>
        <v>43</v>
      </c>
      <c r="S115" s="64" cm="1">
        <f t="array" ref="S115">R115*$P115*INDEX(Month_Ref,Q$1-1,3)/365</f>
        <v>3.6520547945205482</v>
      </c>
      <c r="T115" s="70">
        <f t="shared" si="193"/>
        <v>7.8</v>
      </c>
      <c r="U115" s="63">
        <f>IFERROR($L115+$M115*($O115*T115)^$N115,$L115)</f>
        <v>43</v>
      </c>
      <c r="V115" s="64" cm="1">
        <f t="array" ref="V115">U115*$P115*INDEX(Month_Ref,T$1-1,3)/365</f>
        <v>3.2986301369863016</v>
      </c>
      <c r="W115" s="70">
        <f t="shared" si="194"/>
        <v>7.8</v>
      </c>
      <c r="X115" s="63">
        <f>IFERROR($L115+$M115*($O115*W115)^$N115,$L115)</f>
        <v>43</v>
      </c>
      <c r="Y115" s="64" cm="1">
        <f t="array" ref="Y115">X115*$P115*INDEX(Month_Ref,W$1-1,3)/365</f>
        <v>3.6520547945205482</v>
      </c>
      <c r="Z115" s="70">
        <f t="shared" si="195"/>
        <v>7.8</v>
      </c>
      <c r="AA115" s="63">
        <f>IFERROR($L115+$M115*($O115*Z115)^$N115,$L115)</f>
        <v>43</v>
      </c>
      <c r="AB115" s="64" cm="1">
        <f t="array" ref="AB115">AA115*$P115*INDEX(Month_Ref,Z$1-1,3)/365</f>
        <v>3.5342465753424657</v>
      </c>
      <c r="AC115" s="70">
        <f t="shared" si="196"/>
        <v>7.6</v>
      </c>
      <c r="AD115" s="63">
        <f>IFERROR($L115+$M115*($O115*AC115)^$N115,$L115)</f>
        <v>43</v>
      </c>
      <c r="AE115" s="64" cm="1">
        <f t="array" ref="AE115">AD115*$P115*INDEX(Month_Ref,AC$1-1,3)/365</f>
        <v>3.6520547945205482</v>
      </c>
      <c r="AF115" s="70">
        <f t="shared" si="197"/>
        <v>7.8</v>
      </c>
      <c r="AG115" s="63">
        <f>IFERROR($L115+$M115*($O115*AF115)^$N115,$L115)</f>
        <v>43</v>
      </c>
      <c r="AH115" s="64" cm="1">
        <f t="array" ref="AH115">AG115*$P115*INDEX(Month_Ref,AF$1-1,3)/365</f>
        <v>3.5342465753424657</v>
      </c>
      <c r="AI115" s="70">
        <f t="shared" si="198"/>
        <v>8.1</v>
      </c>
      <c r="AJ115" s="63">
        <f>IFERROR($L115+$M115*($O115*AI115)^$N115,$L115)</f>
        <v>43</v>
      </c>
      <c r="AK115" s="64" cm="1">
        <f t="array" ref="AK115">AJ115*$P115*INDEX(Month_Ref,AI$1-1,3)/365</f>
        <v>3.6520547945205482</v>
      </c>
      <c r="AL115" s="70">
        <f t="shared" si="199"/>
        <v>7.2</v>
      </c>
      <c r="AM115" s="63">
        <f>IFERROR($L115+$M115*($O115*AL115)^$N115,$L115)</f>
        <v>43</v>
      </c>
      <c r="AN115" s="64" cm="1">
        <f t="array" ref="AN115">AM115*$P115*INDEX(Month_Ref,AL$1-1,3)/365</f>
        <v>3.6520547945205482</v>
      </c>
      <c r="AO115" s="70">
        <f t="shared" si="200"/>
        <v>6.7</v>
      </c>
      <c r="AP115" s="63">
        <f>IFERROR($L115+$M115*($O115*AO115)^$N115,$L115)</f>
        <v>43</v>
      </c>
      <c r="AQ115" s="64" cm="1">
        <f t="array" ref="AQ115">AP115*$P115*INDEX(Month_Ref,AO$1-1,3)/365</f>
        <v>3.5342465753424657</v>
      </c>
      <c r="AR115" s="70">
        <f t="shared" si="201"/>
        <v>6.7</v>
      </c>
      <c r="AS115" s="63">
        <f>IFERROR($L115+$M115*($O115*AR115)^$N115,$L115)</f>
        <v>43</v>
      </c>
      <c r="AT115" s="64" cm="1">
        <f t="array" ref="AT115">AS115*$P115*INDEX(Month_Ref,AR$1-1,3)/365</f>
        <v>3.6520547945205482</v>
      </c>
      <c r="AU115" s="70">
        <f t="shared" si="202"/>
        <v>7.8</v>
      </c>
      <c r="AV115" s="63">
        <f>IFERROR($L115+$M115*($O115*AU115)^$N115,$L115)</f>
        <v>43</v>
      </c>
      <c r="AW115" s="64" cm="1">
        <f t="array" ref="AW115">AV115*$P115*INDEX(Month_Ref,AU$1-1,3)/365</f>
        <v>3.5342465753424657</v>
      </c>
      <c r="AX115" s="70">
        <f t="shared" si="203"/>
        <v>8.6999999999999993</v>
      </c>
      <c r="AY115" s="63">
        <f>IFERROR($L115+$M115*($O115*AX115)^$N115,$L115)</f>
        <v>43</v>
      </c>
      <c r="AZ115" s="64" cm="1">
        <f t="array" ref="AZ115">AY115*$P115*INDEX(Month_Ref,AX$1-1,3)/365</f>
        <v>3.6520547945205482</v>
      </c>
      <c r="BA115" s="183">
        <f t="shared" si="189"/>
        <v>42.999999999999993</v>
      </c>
      <c r="BC115" s="20">
        <f t="shared" si="190"/>
        <v>109</v>
      </c>
    </row>
    <row r="116" spans="2:65" x14ac:dyDescent="0.4">
      <c r="B116" s="528"/>
      <c r="C116" s="531"/>
      <c r="D116" s="534"/>
      <c r="E116" s="534"/>
      <c r="F116" s="522"/>
      <c r="G116" s="522"/>
      <c r="H116" s="522"/>
      <c r="I116" s="525"/>
      <c r="J116" s="178" t="s">
        <v>1682</v>
      </c>
      <c r="K116" s="168" t="s">
        <v>1647</v>
      </c>
      <c r="L116" s="63">
        <f>INDEX(GFW,MATCH($K116,GFW_Name,0),2)</f>
        <v>14</v>
      </c>
      <c r="M116" s="63">
        <f>INDEX(GFW,MATCH($K116,GFW_Name,0),3)</f>
        <v>5.4</v>
      </c>
      <c r="N116" s="63">
        <f>INDEX(GFW,MATCH($K116,GFW_Name,0),4)</f>
        <v>1.1000000000000001</v>
      </c>
      <c r="O116" s="63">
        <f t="shared" si="191"/>
        <v>0</v>
      </c>
      <c r="P116" s="64">
        <v>1</v>
      </c>
      <c r="Q116" s="70">
        <f t="shared" si="192"/>
        <v>8.5</v>
      </c>
      <c r="R116" s="187">
        <f t="shared" ref="R116:R125" si="204">IFERROR($L116+$M116*($O116*Q116)^$N116,$L116)</f>
        <v>14</v>
      </c>
      <c r="S116" s="189" cm="1">
        <f t="array" ref="S116">R116*$P116*INDEX(Month_Ref,Q$1-1,3)/365</f>
        <v>1.189041095890411</v>
      </c>
      <c r="T116" s="70">
        <f t="shared" si="193"/>
        <v>7.8</v>
      </c>
      <c r="U116" s="187">
        <f t="shared" ref="U116:U125" si="205">IFERROR($L116+$M116*($O116*T116)^$N116,$L116)</f>
        <v>14</v>
      </c>
      <c r="V116" s="189" cm="1">
        <f t="array" ref="V116">U116*$P116*INDEX(Month_Ref,T$1-1,3)/365</f>
        <v>1.0739726027397261</v>
      </c>
      <c r="W116" s="70">
        <f t="shared" si="194"/>
        <v>7.8</v>
      </c>
      <c r="X116" s="187">
        <f t="shared" ref="X116:X125" si="206">IFERROR($L116+$M116*($O116*W116)^$N116,$L116)</f>
        <v>14</v>
      </c>
      <c r="Y116" s="189" cm="1">
        <f t="array" ref="Y116">X116*$P116*INDEX(Month_Ref,W$1-1,3)/365</f>
        <v>1.189041095890411</v>
      </c>
      <c r="Z116" s="70">
        <f t="shared" si="195"/>
        <v>7.8</v>
      </c>
      <c r="AA116" s="187">
        <f t="shared" ref="AA116:AA125" si="207">IFERROR($L116+$M116*($O116*Z116)^$N116,$L116)</f>
        <v>14</v>
      </c>
      <c r="AB116" s="189" cm="1">
        <f t="array" ref="AB116">AA116*$P116*INDEX(Month_Ref,Z$1-1,3)/365</f>
        <v>1.1506849315068493</v>
      </c>
      <c r="AC116" s="70">
        <f t="shared" si="196"/>
        <v>7.6</v>
      </c>
      <c r="AD116" s="187">
        <f t="shared" ref="AD116:AD125" si="208">IFERROR($L116+$M116*($O116*AC116)^$N116,$L116)</f>
        <v>14</v>
      </c>
      <c r="AE116" s="189" cm="1">
        <f t="array" ref="AE116">AD116*$P116*INDEX(Month_Ref,AC$1-1,3)/365</f>
        <v>1.189041095890411</v>
      </c>
      <c r="AF116" s="70">
        <f t="shared" si="197"/>
        <v>7.8</v>
      </c>
      <c r="AG116" s="187">
        <f t="shared" ref="AG116:AG125" si="209">IFERROR($L116+$M116*($O116*AF116)^$N116,$L116)</f>
        <v>14</v>
      </c>
      <c r="AH116" s="189" cm="1">
        <f t="array" ref="AH116">AG116*$P116*INDEX(Month_Ref,AF$1-1,3)/365</f>
        <v>1.1506849315068493</v>
      </c>
      <c r="AI116" s="70">
        <f t="shared" si="198"/>
        <v>8.1</v>
      </c>
      <c r="AJ116" s="187">
        <f t="shared" ref="AJ116:AJ125" si="210">IFERROR($L116+$M116*($O116*AI116)^$N116,$L116)</f>
        <v>14</v>
      </c>
      <c r="AK116" s="189" cm="1">
        <f t="array" ref="AK116">AJ116*$P116*INDEX(Month_Ref,AI$1-1,3)/365</f>
        <v>1.189041095890411</v>
      </c>
      <c r="AL116" s="70">
        <f t="shared" si="199"/>
        <v>7.2</v>
      </c>
      <c r="AM116" s="187">
        <f t="shared" ref="AM116:AM125" si="211">IFERROR($L116+$M116*($O116*AL116)^$N116,$L116)</f>
        <v>14</v>
      </c>
      <c r="AN116" s="189" cm="1">
        <f t="array" ref="AN116">AM116*$P116*INDEX(Month_Ref,AL$1-1,3)/365</f>
        <v>1.189041095890411</v>
      </c>
      <c r="AO116" s="70">
        <f t="shared" si="200"/>
        <v>6.7</v>
      </c>
      <c r="AP116" s="187">
        <f t="shared" ref="AP116:AP125" si="212">IFERROR($L116+$M116*($O116*AO116)^$N116,$L116)</f>
        <v>14</v>
      </c>
      <c r="AQ116" s="189" cm="1">
        <f t="array" ref="AQ116">AP116*$P116*INDEX(Month_Ref,AO$1-1,3)/365</f>
        <v>1.1506849315068493</v>
      </c>
      <c r="AR116" s="70">
        <f t="shared" si="201"/>
        <v>6.7</v>
      </c>
      <c r="AS116" s="187">
        <f t="shared" ref="AS116:AS125" si="213">IFERROR($L116+$M116*($O116*AR116)^$N116,$L116)</f>
        <v>14</v>
      </c>
      <c r="AT116" s="189" cm="1">
        <f t="array" ref="AT116">AS116*$P116*INDEX(Month_Ref,AR$1-1,3)/365</f>
        <v>1.189041095890411</v>
      </c>
      <c r="AU116" s="70">
        <f t="shared" si="202"/>
        <v>7.8</v>
      </c>
      <c r="AV116" s="187">
        <f t="shared" ref="AV116:AV125" si="214">IFERROR($L116+$M116*($O116*AU116)^$N116,$L116)</f>
        <v>14</v>
      </c>
      <c r="AW116" s="189" cm="1">
        <f t="array" ref="AW116">AV116*$P116*INDEX(Month_Ref,AU$1-1,3)/365</f>
        <v>1.1506849315068493</v>
      </c>
      <c r="AX116" s="70">
        <f t="shared" si="203"/>
        <v>8.6999999999999993</v>
      </c>
      <c r="AY116" s="187">
        <f t="shared" ref="AY116:AY125" si="215">IFERROR($L116+$M116*($O116*AX116)^$N116,$L116)</f>
        <v>14</v>
      </c>
      <c r="AZ116" s="189" cm="1">
        <f t="array" ref="AZ116">AY116*$P116*INDEX(Month_Ref,AX$1-1,3)/365</f>
        <v>1.189041095890411</v>
      </c>
      <c r="BA116" s="183">
        <f t="shared" si="189"/>
        <v>14</v>
      </c>
      <c r="BC116" s="20">
        <f t="shared" si="190"/>
        <v>110</v>
      </c>
    </row>
    <row r="117" spans="2:65" ht="29.15" x14ac:dyDescent="0.4">
      <c r="B117" s="528"/>
      <c r="C117" s="531"/>
      <c r="D117" s="534"/>
      <c r="E117" s="534"/>
      <c r="F117" s="522"/>
      <c r="G117" s="522"/>
      <c r="H117" s="522"/>
      <c r="I117" s="525"/>
      <c r="J117" s="179" t="s">
        <v>1683</v>
      </c>
      <c r="K117" s="168" t="s">
        <v>1685</v>
      </c>
      <c r="L117" s="63">
        <f>INDEX(GHSP,MATCH($K117,GHSP_Name,0),2)</f>
        <v>2.2999999999999998</v>
      </c>
      <c r="M117" s="63">
        <f>INDEX(GHSP,MATCH($K117,GHSP_Name,0),3)</f>
        <v>0</v>
      </c>
      <c r="N117" s="63">
        <f>INDEX(GHSP,MATCH($K117,GHSP_Name,0),4)</f>
        <v>0</v>
      </c>
      <c r="O117" s="63">
        <f t="shared" si="191"/>
        <v>0</v>
      </c>
      <c r="P117" s="64">
        <v>1</v>
      </c>
      <c r="Q117" s="70">
        <f t="shared" si="192"/>
        <v>8.5</v>
      </c>
      <c r="R117" s="190">
        <f t="shared" si="204"/>
        <v>2.2999999999999998</v>
      </c>
      <c r="S117" s="191" cm="1">
        <f t="array" ref="S117">R117*$P117*INDEX(Month_Ref,Q$1-1,3)/365</f>
        <v>0.19534246575342465</v>
      </c>
      <c r="T117" s="70">
        <f t="shared" si="193"/>
        <v>7.8</v>
      </c>
      <c r="U117" s="190">
        <f t="shared" si="205"/>
        <v>2.2999999999999998</v>
      </c>
      <c r="V117" s="191" cm="1">
        <f t="array" ref="V117">U117*$P117*INDEX(Month_Ref,T$1-1,3)/365</f>
        <v>0.17643835616438353</v>
      </c>
      <c r="W117" s="70">
        <f t="shared" si="194"/>
        <v>7.8</v>
      </c>
      <c r="X117" s="190">
        <f t="shared" si="206"/>
        <v>2.2999999999999998</v>
      </c>
      <c r="Y117" s="191" cm="1">
        <f t="array" ref="Y117">X117*$P117*INDEX(Month_Ref,W$1-1,3)/365</f>
        <v>0.19534246575342465</v>
      </c>
      <c r="Z117" s="70">
        <f t="shared" si="195"/>
        <v>7.8</v>
      </c>
      <c r="AA117" s="190">
        <f t="shared" si="207"/>
        <v>2.2999999999999998</v>
      </c>
      <c r="AB117" s="191" cm="1">
        <f t="array" ref="AB117">AA117*$P117*INDEX(Month_Ref,Z$1-1,3)/365</f>
        <v>0.18904109589041096</v>
      </c>
      <c r="AC117" s="70">
        <f t="shared" si="196"/>
        <v>7.6</v>
      </c>
      <c r="AD117" s="190">
        <f t="shared" si="208"/>
        <v>2.2999999999999998</v>
      </c>
      <c r="AE117" s="191" cm="1">
        <f t="array" ref="AE117">AD117*$P117*INDEX(Month_Ref,AC$1-1,3)/365</f>
        <v>0.19534246575342465</v>
      </c>
      <c r="AF117" s="70">
        <f t="shared" si="197"/>
        <v>7.8</v>
      </c>
      <c r="AG117" s="190">
        <f t="shared" si="209"/>
        <v>2.2999999999999998</v>
      </c>
      <c r="AH117" s="191" cm="1">
        <f t="array" ref="AH117">AG117*$P117*INDEX(Month_Ref,AF$1-1,3)/365</f>
        <v>0.18904109589041096</v>
      </c>
      <c r="AI117" s="70">
        <f t="shared" si="198"/>
        <v>8.1</v>
      </c>
      <c r="AJ117" s="190">
        <f t="shared" si="210"/>
        <v>2.2999999999999998</v>
      </c>
      <c r="AK117" s="191" cm="1">
        <f t="array" ref="AK117">AJ117*$P117*INDEX(Month_Ref,AI$1-1,3)/365</f>
        <v>0.19534246575342465</v>
      </c>
      <c r="AL117" s="70">
        <f t="shared" si="199"/>
        <v>7.2</v>
      </c>
      <c r="AM117" s="190">
        <f t="shared" si="211"/>
        <v>2.2999999999999998</v>
      </c>
      <c r="AN117" s="191" cm="1">
        <f t="array" ref="AN117">AM117*$P117*INDEX(Month_Ref,AL$1-1,3)/365</f>
        <v>0.19534246575342465</v>
      </c>
      <c r="AO117" s="70">
        <f t="shared" si="200"/>
        <v>6.7</v>
      </c>
      <c r="AP117" s="190">
        <f t="shared" si="212"/>
        <v>2.2999999999999998</v>
      </c>
      <c r="AQ117" s="191" cm="1">
        <f t="array" ref="AQ117">AP117*$P117*INDEX(Month_Ref,AO$1-1,3)/365</f>
        <v>0.18904109589041096</v>
      </c>
      <c r="AR117" s="70">
        <f t="shared" si="201"/>
        <v>6.7</v>
      </c>
      <c r="AS117" s="190">
        <f t="shared" si="213"/>
        <v>2.2999999999999998</v>
      </c>
      <c r="AT117" s="191" cm="1">
        <f t="array" ref="AT117">AS117*$P117*INDEX(Month_Ref,AR$1-1,3)/365</f>
        <v>0.19534246575342465</v>
      </c>
      <c r="AU117" s="70">
        <f t="shared" si="202"/>
        <v>7.8</v>
      </c>
      <c r="AV117" s="190">
        <f t="shared" si="214"/>
        <v>2.2999999999999998</v>
      </c>
      <c r="AW117" s="191" cm="1">
        <f t="array" ref="AW117">AV117*$P117*INDEX(Month_Ref,AU$1-1,3)/365</f>
        <v>0.18904109589041096</v>
      </c>
      <c r="AX117" s="70">
        <f t="shared" si="203"/>
        <v>8.6999999999999993</v>
      </c>
      <c r="AY117" s="190">
        <f t="shared" si="215"/>
        <v>2.2999999999999998</v>
      </c>
      <c r="AZ117" s="191" cm="1">
        <f t="array" ref="AZ117">AY117*$P117*INDEX(Month_Ref,AX$1-1,3)/365</f>
        <v>0.19534246575342465</v>
      </c>
      <c r="BA117" s="183">
        <f t="shared" si="189"/>
        <v>2.3000000000000003</v>
      </c>
      <c r="BC117" s="20">
        <f t="shared" si="190"/>
        <v>111</v>
      </c>
    </row>
    <row r="118" spans="2:65" x14ac:dyDescent="0.4">
      <c r="B118" s="528"/>
      <c r="C118" s="531"/>
      <c r="D118" s="534"/>
      <c r="E118" s="534"/>
      <c r="F118" s="522"/>
      <c r="G118" s="522"/>
      <c r="H118" s="522"/>
      <c r="I118" s="525"/>
      <c r="J118" s="179" t="s">
        <v>1687</v>
      </c>
      <c r="K118" s="168" t="s">
        <v>1647</v>
      </c>
      <c r="L118" s="63">
        <f>INDEX(Vac_Break,MATCH($K118,Vac_Break_Name,0),2)</f>
        <v>6.2</v>
      </c>
      <c r="M118" s="63">
        <f>INDEX(Vac_Break,MATCH($K118,Vac_Break_Name,0),3)</f>
        <v>1.2</v>
      </c>
      <c r="N118" s="63">
        <f>INDEX(Vac_Break,MATCH($K118,Vac_Break_Name,0),4)</f>
        <v>0.94</v>
      </c>
      <c r="O118" s="63">
        <f t="shared" si="191"/>
        <v>0</v>
      </c>
      <c r="P118" s="64" cm="1">
        <f t="array" ref="P118">IF(F112="Internal Floating Roof",1,INDEX(Tbl_71_13,_xlfn.MINIFS(Tbl_71_13_Range,Tbl_71_13_Dia,"&gt;="&amp;$E112),IF(G112="Pontoon",3,4)))</f>
        <v>1</v>
      </c>
      <c r="Q118" s="70">
        <f t="shared" si="192"/>
        <v>8.5</v>
      </c>
      <c r="R118" s="187">
        <f t="shared" si="204"/>
        <v>6.2</v>
      </c>
      <c r="S118" s="189" cm="1">
        <f t="array" ref="S118">R118*$P118*INDEX(Month_Ref,Q$1-1,3)/365</f>
        <v>0.52657534246575344</v>
      </c>
      <c r="T118" s="70">
        <f t="shared" si="193"/>
        <v>7.8</v>
      </c>
      <c r="U118" s="187">
        <f t="shared" si="205"/>
        <v>6.2</v>
      </c>
      <c r="V118" s="189" cm="1">
        <f t="array" ref="V118">U118*$P118*INDEX(Month_Ref,T$1-1,3)/365</f>
        <v>0.47561643835616435</v>
      </c>
      <c r="W118" s="70">
        <f t="shared" si="194"/>
        <v>7.8</v>
      </c>
      <c r="X118" s="187">
        <f t="shared" si="206"/>
        <v>6.2</v>
      </c>
      <c r="Y118" s="189" cm="1">
        <f t="array" ref="Y118">X118*$P118*INDEX(Month_Ref,W$1-1,3)/365</f>
        <v>0.52657534246575344</v>
      </c>
      <c r="Z118" s="70">
        <f t="shared" si="195"/>
        <v>7.8</v>
      </c>
      <c r="AA118" s="187">
        <f t="shared" si="207"/>
        <v>6.2</v>
      </c>
      <c r="AB118" s="189" cm="1">
        <f t="array" ref="AB118">AA118*$P118*INDEX(Month_Ref,Z$1-1,3)/365</f>
        <v>0.50958904109589043</v>
      </c>
      <c r="AC118" s="70">
        <f t="shared" si="196"/>
        <v>7.6</v>
      </c>
      <c r="AD118" s="187">
        <f t="shared" si="208"/>
        <v>6.2</v>
      </c>
      <c r="AE118" s="189" cm="1">
        <f t="array" ref="AE118">AD118*$P118*INDEX(Month_Ref,AC$1-1,3)/365</f>
        <v>0.52657534246575344</v>
      </c>
      <c r="AF118" s="70">
        <f t="shared" si="197"/>
        <v>7.8</v>
      </c>
      <c r="AG118" s="187">
        <f t="shared" si="209"/>
        <v>6.2</v>
      </c>
      <c r="AH118" s="189" cm="1">
        <f t="array" ref="AH118">AG118*$P118*INDEX(Month_Ref,AF$1-1,3)/365</f>
        <v>0.50958904109589043</v>
      </c>
      <c r="AI118" s="70">
        <f t="shared" si="198"/>
        <v>8.1</v>
      </c>
      <c r="AJ118" s="187">
        <f t="shared" si="210"/>
        <v>6.2</v>
      </c>
      <c r="AK118" s="189" cm="1">
        <f t="array" ref="AK118">AJ118*$P118*INDEX(Month_Ref,AI$1-1,3)/365</f>
        <v>0.52657534246575344</v>
      </c>
      <c r="AL118" s="70">
        <f t="shared" si="199"/>
        <v>7.2</v>
      </c>
      <c r="AM118" s="187">
        <f t="shared" si="211"/>
        <v>6.2</v>
      </c>
      <c r="AN118" s="189" cm="1">
        <f t="array" ref="AN118">AM118*$P118*INDEX(Month_Ref,AL$1-1,3)/365</f>
        <v>0.52657534246575344</v>
      </c>
      <c r="AO118" s="70">
        <f t="shared" si="200"/>
        <v>6.7</v>
      </c>
      <c r="AP118" s="187">
        <f t="shared" si="212"/>
        <v>6.2</v>
      </c>
      <c r="AQ118" s="189" cm="1">
        <f t="array" ref="AQ118">AP118*$P118*INDEX(Month_Ref,AO$1-1,3)/365</f>
        <v>0.50958904109589043</v>
      </c>
      <c r="AR118" s="70">
        <f t="shared" si="201"/>
        <v>6.7</v>
      </c>
      <c r="AS118" s="187">
        <f t="shared" si="213"/>
        <v>6.2</v>
      </c>
      <c r="AT118" s="189" cm="1">
        <f t="array" ref="AT118">AS118*$P118*INDEX(Month_Ref,AR$1-1,3)/365</f>
        <v>0.52657534246575344</v>
      </c>
      <c r="AU118" s="70">
        <f t="shared" si="202"/>
        <v>7.8</v>
      </c>
      <c r="AV118" s="187">
        <f t="shared" si="214"/>
        <v>6.2</v>
      </c>
      <c r="AW118" s="189" cm="1">
        <f t="array" ref="AW118">AV118*$P118*INDEX(Month_Ref,AU$1-1,3)/365</f>
        <v>0.50958904109589043</v>
      </c>
      <c r="AX118" s="70">
        <f t="shared" si="203"/>
        <v>8.6999999999999993</v>
      </c>
      <c r="AY118" s="187">
        <f t="shared" si="215"/>
        <v>6.2</v>
      </c>
      <c r="AZ118" s="189" cm="1">
        <f t="array" ref="AZ118">AY118*$P118*INDEX(Month_Ref,AX$1-1,3)/365</f>
        <v>0.52657534246575344</v>
      </c>
      <c r="BA118" s="183">
        <f t="shared" si="189"/>
        <v>6.2</v>
      </c>
      <c r="BC118" s="20">
        <f t="shared" si="190"/>
        <v>112</v>
      </c>
    </row>
    <row r="119" spans="2:65" x14ac:dyDescent="0.4">
      <c r="B119" s="528"/>
      <c r="C119" s="531"/>
      <c r="D119" s="534"/>
      <c r="E119" s="534"/>
      <c r="F119" s="522"/>
      <c r="G119" s="522"/>
      <c r="H119" s="522"/>
      <c r="I119" s="525"/>
      <c r="J119" s="179" t="s">
        <v>1688</v>
      </c>
      <c r="K119" s="168" t="s">
        <v>1647</v>
      </c>
      <c r="L119" s="63">
        <f>INDEX(Deck_Drain,MATCH($K119,Deck_Drain_Name,0),2)</f>
        <v>0</v>
      </c>
      <c r="M119" s="63">
        <f>INDEX(Deck_Drain,MATCH($K119,Deck_Drain_Name,0),3)</f>
        <v>0</v>
      </c>
      <c r="N119" s="63">
        <f>INDEX(Deck_Drain,MATCH($K119,Deck_Drain_Name,0),4)</f>
        <v>0</v>
      </c>
      <c r="O119" s="63">
        <f t="shared" si="191"/>
        <v>0</v>
      </c>
      <c r="P119" s="64" cm="1">
        <f t="array" ref="P119">IF(F112="Internal Floating Roof",1,INDEX(Tbl_71_13,_xlfn.MINIFS(Tbl_71_13_Range,Tbl_71_13_Dia,"&gt;="&amp;$E112),5))</f>
        <v>1</v>
      </c>
      <c r="Q119" s="70">
        <f t="shared" si="192"/>
        <v>8.5</v>
      </c>
      <c r="R119" s="188">
        <f t="shared" si="204"/>
        <v>0</v>
      </c>
      <c r="S119" s="192" cm="1">
        <f t="array" ref="S119">R119*$P119*INDEX(Month_Ref,Q$1-1,3)/365</f>
        <v>0</v>
      </c>
      <c r="T119" s="70">
        <f t="shared" si="193"/>
        <v>7.8</v>
      </c>
      <c r="U119" s="188">
        <f t="shared" si="205"/>
        <v>0</v>
      </c>
      <c r="V119" s="192" cm="1">
        <f t="array" ref="V119">U119*$P119*INDEX(Month_Ref,T$1-1,3)/365</f>
        <v>0</v>
      </c>
      <c r="W119" s="70">
        <f t="shared" si="194"/>
        <v>7.8</v>
      </c>
      <c r="X119" s="188">
        <f t="shared" si="206"/>
        <v>0</v>
      </c>
      <c r="Y119" s="192" cm="1">
        <f t="array" ref="Y119">X119*$P119*INDEX(Month_Ref,W$1-1,3)/365</f>
        <v>0</v>
      </c>
      <c r="Z119" s="70">
        <f t="shared" si="195"/>
        <v>7.8</v>
      </c>
      <c r="AA119" s="188">
        <f t="shared" si="207"/>
        <v>0</v>
      </c>
      <c r="AB119" s="192" cm="1">
        <f t="array" ref="AB119">AA119*$P119*INDEX(Month_Ref,Z$1-1,3)/365</f>
        <v>0</v>
      </c>
      <c r="AC119" s="70">
        <f t="shared" si="196"/>
        <v>7.6</v>
      </c>
      <c r="AD119" s="188">
        <f t="shared" si="208"/>
        <v>0</v>
      </c>
      <c r="AE119" s="192" cm="1">
        <f t="array" ref="AE119">AD119*$P119*INDEX(Month_Ref,AC$1-1,3)/365</f>
        <v>0</v>
      </c>
      <c r="AF119" s="70">
        <f t="shared" si="197"/>
        <v>7.8</v>
      </c>
      <c r="AG119" s="188">
        <f t="shared" si="209"/>
        <v>0</v>
      </c>
      <c r="AH119" s="192" cm="1">
        <f t="array" ref="AH119">AG119*$P119*INDEX(Month_Ref,AF$1-1,3)/365</f>
        <v>0</v>
      </c>
      <c r="AI119" s="70">
        <f t="shared" si="198"/>
        <v>8.1</v>
      </c>
      <c r="AJ119" s="188">
        <f t="shared" si="210"/>
        <v>0</v>
      </c>
      <c r="AK119" s="192" cm="1">
        <f t="array" ref="AK119">AJ119*$P119*INDEX(Month_Ref,AI$1-1,3)/365</f>
        <v>0</v>
      </c>
      <c r="AL119" s="70">
        <f t="shared" si="199"/>
        <v>7.2</v>
      </c>
      <c r="AM119" s="188">
        <f t="shared" si="211"/>
        <v>0</v>
      </c>
      <c r="AN119" s="192" cm="1">
        <f t="array" ref="AN119">AM119*$P119*INDEX(Month_Ref,AL$1-1,3)/365</f>
        <v>0</v>
      </c>
      <c r="AO119" s="70">
        <f t="shared" si="200"/>
        <v>6.7</v>
      </c>
      <c r="AP119" s="188">
        <f t="shared" si="212"/>
        <v>0</v>
      </c>
      <c r="AQ119" s="192" cm="1">
        <f t="array" ref="AQ119">AP119*$P119*INDEX(Month_Ref,AO$1-1,3)/365</f>
        <v>0</v>
      </c>
      <c r="AR119" s="70">
        <f t="shared" si="201"/>
        <v>6.7</v>
      </c>
      <c r="AS119" s="188">
        <f t="shared" si="213"/>
        <v>0</v>
      </c>
      <c r="AT119" s="192" cm="1">
        <f t="array" ref="AT119">AS119*$P119*INDEX(Month_Ref,AR$1-1,3)/365</f>
        <v>0</v>
      </c>
      <c r="AU119" s="70">
        <f t="shared" si="202"/>
        <v>7.8</v>
      </c>
      <c r="AV119" s="188">
        <f t="shared" si="214"/>
        <v>0</v>
      </c>
      <c r="AW119" s="192" cm="1">
        <f t="array" ref="AW119">AV119*$P119*INDEX(Month_Ref,AU$1-1,3)/365</f>
        <v>0</v>
      </c>
      <c r="AX119" s="70">
        <f t="shared" si="203"/>
        <v>8.6999999999999993</v>
      </c>
      <c r="AY119" s="188">
        <f t="shared" si="215"/>
        <v>0</v>
      </c>
      <c r="AZ119" s="192" cm="1">
        <f t="array" ref="AZ119">AY119*$P119*INDEX(Month_Ref,AX$1-1,3)/365</f>
        <v>0</v>
      </c>
      <c r="BA119" s="183">
        <f t="shared" si="189"/>
        <v>0</v>
      </c>
      <c r="BC119" s="20">
        <f t="shared" si="190"/>
        <v>113</v>
      </c>
    </row>
    <row r="120" spans="2:65" x14ac:dyDescent="0.4">
      <c r="B120" s="528"/>
      <c r="C120" s="531"/>
      <c r="D120" s="534"/>
      <c r="E120" s="534"/>
      <c r="F120" s="522"/>
      <c r="G120" s="522"/>
      <c r="H120" s="522"/>
      <c r="I120" s="525"/>
      <c r="J120" s="179" t="s">
        <v>1708</v>
      </c>
      <c r="K120" s="168" t="s">
        <v>1647</v>
      </c>
      <c r="L120" s="63">
        <f>INDEX(Deck_Leg_IFR,MATCH($K120,Deck_Leg_IFR_Name,0),2)</f>
        <v>7.9</v>
      </c>
      <c r="M120" s="63">
        <f>INDEX(Deck_Leg_IFR,MATCH($K120,Deck_Leg_IFR_Name,0),3)</f>
        <v>0</v>
      </c>
      <c r="N120" s="63">
        <f>INDEX(Deck_Leg_IFR,MATCH($K120,Deck_Leg_IFR_Name,0),4)</f>
        <v>0</v>
      </c>
      <c r="O120" s="63">
        <f t="shared" si="191"/>
        <v>0</v>
      </c>
      <c r="P120" s="64">
        <f>IF($F112="Internal Floating Roof",ROUND(5+$E112/10+($E112^2)/600,0),0)</f>
        <v>54</v>
      </c>
      <c r="Q120" s="70">
        <f t="shared" si="192"/>
        <v>8.5</v>
      </c>
      <c r="R120" s="63">
        <f t="shared" si="204"/>
        <v>7.9</v>
      </c>
      <c r="S120" s="64" cm="1">
        <f t="array" ref="S120">R120*$P120*INDEX(Month_Ref,Q$1-1,3)/365</f>
        <v>36.231780821917809</v>
      </c>
      <c r="T120" s="70">
        <f t="shared" si="193"/>
        <v>7.8</v>
      </c>
      <c r="U120" s="63">
        <f t="shared" si="205"/>
        <v>7.9</v>
      </c>
      <c r="V120" s="64" cm="1">
        <f t="array" ref="V120">U120*$P120*INDEX(Month_Ref,T$1-1,3)/365</f>
        <v>32.725479452054799</v>
      </c>
      <c r="W120" s="70">
        <f t="shared" si="194"/>
        <v>7.8</v>
      </c>
      <c r="X120" s="63">
        <f t="shared" si="206"/>
        <v>7.9</v>
      </c>
      <c r="Y120" s="64" cm="1">
        <f t="array" ref="Y120">X120*$P120*INDEX(Month_Ref,W$1-1,3)/365</f>
        <v>36.231780821917809</v>
      </c>
      <c r="Z120" s="70">
        <f t="shared" si="195"/>
        <v>7.8</v>
      </c>
      <c r="AA120" s="63">
        <f t="shared" si="207"/>
        <v>7.9</v>
      </c>
      <c r="AB120" s="64" cm="1">
        <f t="array" ref="AB120">AA120*$P120*INDEX(Month_Ref,Z$1-1,3)/365</f>
        <v>35.063013698630137</v>
      </c>
      <c r="AC120" s="70">
        <f t="shared" si="196"/>
        <v>7.6</v>
      </c>
      <c r="AD120" s="63">
        <f t="shared" si="208"/>
        <v>7.9</v>
      </c>
      <c r="AE120" s="64" cm="1">
        <f t="array" ref="AE120">AD120*$P120*INDEX(Month_Ref,AC$1-1,3)/365</f>
        <v>36.231780821917809</v>
      </c>
      <c r="AF120" s="70">
        <f t="shared" si="197"/>
        <v>7.8</v>
      </c>
      <c r="AG120" s="63">
        <f t="shared" si="209"/>
        <v>7.9</v>
      </c>
      <c r="AH120" s="64" cm="1">
        <f t="array" ref="AH120">AG120*$P120*INDEX(Month_Ref,AF$1-1,3)/365</f>
        <v>35.063013698630137</v>
      </c>
      <c r="AI120" s="70">
        <f t="shared" si="198"/>
        <v>8.1</v>
      </c>
      <c r="AJ120" s="63">
        <f t="shared" si="210"/>
        <v>7.9</v>
      </c>
      <c r="AK120" s="64" cm="1">
        <f t="array" ref="AK120">AJ120*$P120*INDEX(Month_Ref,AI$1-1,3)/365</f>
        <v>36.231780821917809</v>
      </c>
      <c r="AL120" s="70">
        <f t="shared" si="199"/>
        <v>7.2</v>
      </c>
      <c r="AM120" s="63">
        <f t="shared" si="211"/>
        <v>7.9</v>
      </c>
      <c r="AN120" s="64" cm="1">
        <f t="array" ref="AN120">AM120*$P120*INDEX(Month_Ref,AL$1-1,3)/365</f>
        <v>36.231780821917809</v>
      </c>
      <c r="AO120" s="70">
        <f t="shared" si="200"/>
        <v>6.7</v>
      </c>
      <c r="AP120" s="63">
        <f t="shared" si="212"/>
        <v>7.9</v>
      </c>
      <c r="AQ120" s="64" cm="1">
        <f t="array" ref="AQ120">AP120*$P120*INDEX(Month_Ref,AO$1-1,3)/365</f>
        <v>35.063013698630137</v>
      </c>
      <c r="AR120" s="70">
        <f t="shared" si="201"/>
        <v>6.7</v>
      </c>
      <c r="AS120" s="63">
        <f t="shared" si="213"/>
        <v>7.9</v>
      </c>
      <c r="AT120" s="64" cm="1">
        <f t="array" ref="AT120">AS120*$P120*INDEX(Month_Ref,AR$1-1,3)/365</f>
        <v>36.231780821917809</v>
      </c>
      <c r="AU120" s="70">
        <f t="shared" si="202"/>
        <v>7.8</v>
      </c>
      <c r="AV120" s="63">
        <f t="shared" si="214"/>
        <v>7.9</v>
      </c>
      <c r="AW120" s="64" cm="1">
        <f t="array" ref="AW120">AV120*$P120*INDEX(Month_Ref,AU$1-1,3)/365</f>
        <v>35.063013698630137</v>
      </c>
      <c r="AX120" s="70">
        <f t="shared" si="203"/>
        <v>8.6999999999999993</v>
      </c>
      <c r="AY120" s="63">
        <f t="shared" si="215"/>
        <v>7.9</v>
      </c>
      <c r="AZ120" s="64" cm="1">
        <f t="array" ref="AZ120">AY120*$P120*INDEX(Month_Ref,AX$1-1,3)/365</f>
        <v>36.231780821917809</v>
      </c>
      <c r="BA120" s="183">
        <f t="shared" si="189"/>
        <v>426.6</v>
      </c>
      <c r="BC120" s="20">
        <f t="shared" si="190"/>
        <v>114</v>
      </c>
    </row>
    <row r="121" spans="2:65" x14ac:dyDescent="0.4">
      <c r="B121" s="528"/>
      <c r="C121" s="531"/>
      <c r="D121" s="534"/>
      <c r="E121" s="534"/>
      <c r="F121" s="522"/>
      <c r="G121" s="522"/>
      <c r="H121" s="522"/>
      <c r="I121" s="525"/>
      <c r="J121" s="179" t="s">
        <v>1711</v>
      </c>
      <c r="K121" s="168" t="s">
        <v>1582</v>
      </c>
      <c r="L121" s="63">
        <f>INDEX(Deck_Leg_Pon,MATCH($K121,Deck_Leg_Pon_Name,0),2)</f>
        <v>0</v>
      </c>
      <c r="M121" s="63">
        <f>INDEX(Deck_Leg_Pon,MATCH($K121,Deck_Leg_Pon_Name,0),3)</f>
        <v>0</v>
      </c>
      <c r="N121" s="63">
        <f>INDEX(Deck_Leg_Pon,MATCH($K121,Deck_Leg_Pon_Name,0),4)</f>
        <v>0</v>
      </c>
      <c r="O121" s="63">
        <f t="shared" si="191"/>
        <v>0</v>
      </c>
      <c r="P121" s="64" cm="1">
        <f t="array" ref="P121">IF($G112="Pontoon",INDEX(Tbl_71_14,_xlfn.MINIFS(Tbl_71_14_Range,Tbl_71_14_Dia,"&gt;="&amp;$E112),3),0)</f>
        <v>0</v>
      </c>
      <c r="Q121" s="70">
        <f t="shared" si="192"/>
        <v>8.5</v>
      </c>
      <c r="R121" s="188">
        <f t="shared" si="204"/>
        <v>0</v>
      </c>
      <c r="S121" s="64" cm="1">
        <f t="array" ref="S121">R121*$P121*INDEX(Month_Ref,Q$1-1,3)/365</f>
        <v>0</v>
      </c>
      <c r="T121" s="70">
        <f t="shared" si="193"/>
        <v>7.8</v>
      </c>
      <c r="U121" s="188">
        <f t="shared" si="205"/>
        <v>0</v>
      </c>
      <c r="V121" s="64" cm="1">
        <f t="array" ref="V121">U121*$P121*INDEX(Month_Ref,T$1-1,3)/365</f>
        <v>0</v>
      </c>
      <c r="W121" s="70">
        <f t="shared" si="194"/>
        <v>7.8</v>
      </c>
      <c r="X121" s="188">
        <f t="shared" si="206"/>
        <v>0</v>
      </c>
      <c r="Y121" s="64" cm="1">
        <f t="array" ref="Y121">X121*$P121*INDEX(Month_Ref,W$1-1,3)/365</f>
        <v>0</v>
      </c>
      <c r="Z121" s="70">
        <f t="shared" si="195"/>
        <v>7.8</v>
      </c>
      <c r="AA121" s="188">
        <f t="shared" si="207"/>
        <v>0</v>
      </c>
      <c r="AB121" s="64" cm="1">
        <f t="array" ref="AB121">AA121*$P121*INDEX(Month_Ref,Z$1-1,3)/365</f>
        <v>0</v>
      </c>
      <c r="AC121" s="70">
        <f t="shared" si="196"/>
        <v>7.6</v>
      </c>
      <c r="AD121" s="188">
        <f t="shared" si="208"/>
        <v>0</v>
      </c>
      <c r="AE121" s="64" cm="1">
        <f t="array" ref="AE121">AD121*$P121*INDEX(Month_Ref,AC$1-1,3)/365</f>
        <v>0</v>
      </c>
      <c r="AF121" s="70">
        <f t="shared" si="197"/>
        <v>7.8</v>
      </c>
      <c r="AG121" s="188">
        <f t="shared" si="209"/>
        <v>0</v>
      </c>
      <c r="AH121" s="64" cm="1">
        <f t="array" ref="AH121">AG121*$P121*INDEX(Month_Ref,AF$1-1,3)/365</f>
        <v>0</v>
      </c>
      <c r="AI121" s="70">
        <f t="shared" si="198"/>
        <v>8.1</v>
      </c>
      <c r="AJ121" s="188">
        <f t="shared" si="210"/>
        <v>0</v>
      </c>
      <c r="AK121" s="64" cm="1">
        <f t="array" ref="AK121">AJ121*$P121*INDEX(Month_Ref,AI$1-1,3)/365</f>
        <v>0</v>
      </c>
      <c r="AL121" s="70">
        <f t="shared" si="199"/>
        <v>7.2</v>
      </c>
      <c r="AM121" s="188">
        <f t="shared" si="211"/>
        <v>0</v>
      </c>
      <c r="AN121" s="64" cm="1">
        <f t="array" ref="AN121">AM121*$P121*INDEX(Month_Ref,AL$1-1,3)/365</f>
        <v>0</v>
      </c>
      <c r="AO121" s="70">
        <f t="shared" si="200"/>
        <v>6.7</v>
      </c>
      <c r="AP121" s="188">
        <f t="shared" si="212"/>
        <v>0</v>
      </c>
      <c r="AQ121" s="64" cm="1">
        <f t="array" ref="AQ121">AP121*$P121*INDEX(Month_Ref,AO$1-1,3)/365</f>
        <v>0</v>
      </c>
      <c r="AR121" s="70">
        <f t="shared" si="201"/>
        <v>6.7</v>
      </c>
      <c r="AS121" s="188">
        <f t="shared" si="213"/>
        <v>0</v>
      </c>
      <c r="AT121" s="64" cm="1">
        <f t="array" ref="AT121">AS121*$P121*INDEX(Month_Ref,AR$1-1,3)/365</f>
        <v>0</v>
      </c>
      <c r="AU121" s="70">
        <f t="shared" si="202"/>
        <v>7.8</v>
      </c>
      <c r="AV121" s="188">
        <f t="shared" si="214"/>
        <v>0</v>
      </c>
      <c r="AW121" s="64" cm="1">
        <f t="array" ref="AW121">AV121*$P121*INDEX(Month_Ref,AU$1-1,3)/365</f>
        <v>0</v>
      </c>
      <c r="AX121" s="70">
        <f t="shared" si="203"/>
        <v>8.6999999999999993</v>
      </c>
      <c r="AY121" s="188">
        <f t="shared" si="215"/>
        <v>0</v>
      </c>
      <c r="AZ121" s="64" cm="1">
        <f t="array" ref="AZ121">AY121*$P121*INDEX(Month_Ref,AX$1-1,3)/365</f>
        <v>0</v>
      </c>
      <c r="BA121" s="183">
        <f t="shared" si="189"/>
        <v>0</v>
      </c>
      <c r="BC121" s="20">
        <f t="shared" si="190"/>
        <v>115</v>
      </c>
    </row>
    <row r="122" spans="2:65" ht="29.15" x14ac:dyDescent="0.4">
      <c r="B122" s="528"/>
      <c r="C122" s="531"/>
      <c r="D122" s="534"/>
      <c r="E122" s="534"/>
      <c r="F122" s="522"/>
      <c r="G122" s="522"/>
      <c r="H122" s="522"/>
      <c r="I122" s="525"/>
      <c r="J122" s="179" t="s">
        <v>1714</v>
      </c>
      <c r="K122" s="168" t="s">
        <v>1582</v>
      </c>
      <c r="L122" s="63">
        <f>INDEX(Deck_Leg_DD,MATCH($K122,Deck_Leg_DD_Name,0),2)</f>
        <v>0</v>
      </c>
      <c r="M122" s="63">
        <f>INDEX(Deck_Leg_DD,MATCH($K122,Deck_Leg_DD_Name,0),3)</f>
        <v>0</v>
      </c>
      <c r="N122" s="63">
        <f>INDEX(Deck_Leg_DD,MATCH($K122,Deck_Leg_DD_Name,0),4)</f>
        <v>0</v>
      </c>
      <c r="O122" s="63">
        <f t="shared" si="191"/>
        <v>0</v>
      </c>
      <c r="P122" s="64" cm="1">
        <f t="array" ref="P122">IF($G112="Pontoon",INDEX(Tbl_71_14,_xlfn.MINIFS(Tbl_71_14_Range,Tbl_71_14_Dia,"&gt;="&amp;$E112),4),IF($F112="Internal Floating Roof",0,6))</f>
        <v>0</v>
      </c>
      <c r="Q122" s="70">
        <f t="shared" si="192"/>
        <v>8.5</v>
      </c>
      <c r="R122" s="188">
        <f t="shared" si="204"/>
        <v>0</v>
      </c>
      <c r="S122" s="192" cm="1">
        <f t="array" ref="S122">R122*$P122*INDEX(Month_Ref,Q$1-1,3)/365</f>
        <v>0</v>
      </c>
      <c r="T122" s="70">
        <f t="shared" si="193"/>
        <v>7.8</v>
      </c>
      <c r="U122" s="188">
        <f t="shared" si="205"/>
        <v>0</v>
      </c>
      <c r="V122" s="192" cm="1">
        <f t="array" ref="V122">U122*$P122*INDEX(Month_Ref,T$1-1,3)/365</f>
        <v>0</v>
      </c>
      <c r="W122" s="70">
        <f t="shared" si="194"/>
        <v>7.8</v>
      </c>
      <c r="X122" s="188">
        <f t="shared" si="206"/>
        <v>0</v>
      </c>
      <c r="Y122" s="192" cm="1">
        <f t="array" ref="Y122">X122*$P122*INDEX(Month_Ref,W$1-1,3)/365</f>
        <v>0</v>
      </c>
      <c r="Z122" s="70">
        <f t="shared" si="195"/>
        <v>7.8</v>
      </c>
      <c r="AA122" s="188">
        <f t="shared" si="207"/>
        <v>0</v>
      </c>
      <c r="AB122" s="192" cm="1">
        <f t="array" ref="AB122">AA122*$P122*INDEX(Month_Ref,Z$1-1,3)/365</f>
        <v>0</v>
      </c>
      <c r="AC122" s="70">
        <f t="shared" si="196"/>
        <v>7.6</v>
      </c>
      <c r="AD122" s="188">
        <f t="shared" si="208"/>
        <v>0</v>
      </c>
      <c r="AE122" s="192" cm="1">
        <f t="array" ref="AE122">AD122*$P122*INDEX(Month_Ref,AC$1-1,3)/365</f>
        <v>0</v>
      </c>
      <c r="AF122" s="70">
        <f t="shared" si="197"/>
        <v>7.8</v>
      </c>
      <c r="AG122" s="188">
        <f t="shared" si="209"/>
        <v>0</v>
      </c>
      <c r="AH122" s="192" cm="1">
        <f t="array" ref="AH122">AG122*$P122*INDEX(Month_Ref,AF$1-1,3)/365</f>
        <v>0</v>
      </c>
      <c r="AI122" s="70">
        <f t="shared" si="198"/>
        <v>8.1</v>
      </c>
      <c r="AJ122" s="188">
        <f t="shared" si="210"/>
        <v>0</v>
      </c>
      <c r="AK122" s="192" cm="1">
        <f t="array" ref="AK122">AJ122*$P122*INDEX(Month_Ref,AI$1-1,3)/365</f>
        <v>0</v>
      </c>
      <c r="AL122" s="70">
        <f t="shared" si="199"/>
        <v>7.2</v>
      </c>
      <c r="AM122" s="188">
        <f t="shared" si="211"/>
        <v>0</v>
      </c>
      <c r="AN122" s="192" cm="1">
        <f t="array" ref="AN122">AM122*$P122*INDEX(Month_Ref,AL$1-1,3)/365</f>
        <v>0</v>
      </c>
      <c r="AO122" s="70">
        <f t="shared" si="200"/>
        <v>6.7</v>
      </c>
      <c r="AP122" s="188">
        <f t="shared" si="212"/>
        <v>0</v>
      </c>
      <c r="AQ122" s="192" cm="1">
        <f t="array" ref="AQ122">AP122*$P122*INDEX(Month_Ref,AO$1-1,3)/365</f>
        <v>0</v>
      </c>
      <c r="AR122" s="70">
        <f t="shared" si="201"/>
        <v>6.7</v>
      </c>
      <c r="AS122" s="188">
        <f t="shared" si="213"/>
        <v>0</v>
      </c>
      <c r="AT122" s="192" cm="1">
        <f t="array" ref="AT122">AS122*$P122*INDEX(Month_Ref,AR$1-1,3)/365</f>
        <v>0</v>
      </c>
      <c r="AU122" s="70">
        <f t="shared" si="202"/>
        <v>7.8</v>
      </c>
      <c r="AV122" s="188">
        <f t="shared" si="214"/>
        <v>0</v>
      </c>
      <c r="AW122" s="192" cm="1">
        <f t="array" ref="AW122">AV122*$P122*INDEX(Month_Ref,AU$1-1,3)/365</f>
        <v>0</v>
      </c>
      <c r="AX122" s="70">
        <f t="shared" si="203"/>
        <v>8.6999999999999993</v>
      </c>
      <c r="AY122" s="188">
        <f t="shared" si="215"/>
        <v>0</v>
      </c>
      <c r="AZ122" s="192" cm="1">
        <f t="array" ref="AZ122">AY122*$P122*INDEX(Month_Ref,AX$1-1,3)/365</f>
        <v>0</v>
      </c>
      <c r="BA122" s="183">
        <f t="shared" si="189"/>
        <v>0</v>
      </c>
      <c r="BC122" s="20">
        <f t="shared" si="190"/>
        <v>116</v>
      </c>
    </row>
    <row r="123" spans="2:65" x14ac:dyDescent="0.4">
      <c r="B123" s="528"/>
      <c r="C123" s="531"/>
      <c r="D123" s="534"/>
      <c r="E123" s="534"/>
      <c r="F123" s="522"/>
      <c r="G123" s="522"/>
      <c r="H123" s="522"/>
      <c r="I123" s="525"/>
      <c r="J123" s="180" t="s">
        <v>1700</v>
      </c>
      <c r="K123" s="168" t="s">
        <v>1647</v>
      </c>
      <c r="L123" s="63">
        <f>INDEX(Rim_Vent,MATCH($K123,Rim_Vent_Name,0),2)</f>
        <v>0.71</v>
      </c>
      <c r="M123" s="63">
        <f>INDEX(Rim_Vent,MATCH($K123,Rim_Vent_Name,0),3)</f>
        <v>0.1</v>
      </c>
      <c r="N123" s="63">
        <f>INDEX(Rim_Vent,MATCH($K123,Rim_Vent_Name,0),4)</f>
        <v>1</v>
      </c>
      <c r="O123" s="63">
        <f t="shared" si="191"/>
        <v>0</v>
      </c>
      <c r="P123" s="64">
        <f>IF(OR($H112="Mechanical Shoe - Primary Only",$H112="Mechanical Shoe w/ Shoe-Mounted Secondary",$H112="Mechanical Shoe w/ Rim Mounted Secondary"),1,0)</f>
        <v>1</v>
      </c>
      <c r="Q123" s="70">
        <f t="shared" si="192"/>
        <v>8.5</v>
      </c>
      <c r="R123" s="188">
        <f t="shared" si="204"/>
        <v>0.71</v>
      </c>
      <c r="S123" s="192" cm="1">
        <f t="array" ref="S123">R123*$P123*INDEX(Month_Ref,Q$1-1,3)/365</f>
        <v>6.0301369863013696E-2</v>
      </c>
      <c r="T123" s="70">
        <f t="shared" si="193"/>
        <v>7.8</v>
      </c>
      <c r="U123" s="188">
        <f t="shared" si="205"/>
        <v>0.71</v>
      </c>
      <c r="V123" s="192" cm="1">
        <f t="array" ref="V123">U123*$P123*INDEX(Month_Ref,T$1-1,3)/365</f>
        <v>5.446575342465753E-2</v>
      </c>
      <c r="W123" s="70">
        <f t="shared" si="194"/>
        <v>7.8</v>
      </c>
      <c r="X123" s="188">
        <f t="shared" si="206"/>
        <v>0.71</v>
      </c>
      <c r="Y123" s="192" cm="1">
        <f t="array" ref="Y123">X123*$P123*INDEX(Month_Ref,W$1-1,3)/365</f>
        <v>6.0301369863013696E-2</v>
      </c>
      <c r="Z123" s="70">
        <f t="shared" si="195"/>
        <v>7.8</v>
      </c>
      <c r="AA123" s="188">
        <f t="shared" si="207"/>
        <v>0.71</v>
      </c>
      <c r="AB123" s="192" cm="1">
        <f t="array" ref="AB123">AA123*$P123*INDEX(Month_Ref,Z$1-1,3)/365</f>
        <v>5.8356164383561636E-2</v>
      </c>
      <c r="AC123" s="70">
        <f t="shared" si="196"/>
        <v>7.6</v>
      </c>
      <c r="AD123" s="188">
        <f t="shared" si="208"/>
        <v>0.71</v>
      </c>
      <c r="AE123" s="192" cm="1">
        <f t="array" ref="AE123">AD123*$P123*INDEX(Month_Ref,AC$1-1,3)/365</f>
        <v>6.0301369863013696E-2</v>
      </c>
      <c r="AF123" s="70">
        <f t="shared" si="197"/>
        <v>7.8</v>
      </c>
      <c r="AG123" s="188">
        <f t="shared" si="209"/>
        <v>0.71</v>
      </c>
      <c r="AH123" s="192" cm="1">
        <f t="array" ref="AH123">AG123*$P123*INDEX(Month_Ref,AF$1-1,3)/365</f>
        <v>5.8356164383561636E-2</v>
      </c>
      <c r="AI123" s="70">
        <f t="shared" si="198"/>
        <v>8.1</v>
      </c>
      <c r="AJ123" s="188">
        <f t="shared" si="210"/>
        <v>0.71</v>
      </c>
      <c r="AK123" s="192" cm="1">
        <f t="array" ref="AK123">AJ123*$P123*INDEX(Month_Ref,AI$1-1,3)/365</f>
        <v>6.0301369863013696E-2</v>
      </c>
      <c r="AL123" s="70">
        <f t="shared" si="199"/>
        <v>7.2</v>
      </c>
      <c r="AM123" s="188">
        <f t="shared" si="211"/>
        <v>0.71</v>
      </c>
      <c r="AN123" s="192" cm="1">
        <f t="array" ref="AN123">AM123*$P123*INDEX(Month_Ref,AL$1-1,3)/365</f>
        <v>6.0301369863013696E-2</v>
      </c>
      <c r="AO123" s="70">
        <f t="shared" si="200"/>
        <v>6.7</v>
      </c>
      <c r="AP123" s="188">
        <f t="shared" si="212"/>
        <v>0.71</v>
      </c>
      <c r="AQ123" s="192" cm="1">
        <f t="array" ref="AQ123">AP123*$P123*INDEX(Month_Ref,AO$1-1,3)/365</f>
        <v>5.8356164383561636E-2</v>
      </c>
      <c r="AR123" s="70">
        <f t="shared" si="201"/>
        <v>6.7</v>
      </c>
      <c r="AS123" s="188">
        <f t="shared" si="213"/>
        <v>0.71</v>
      </c>
      <c r="AT123" s="192" cm="1">
        <f t="array" ref="AT123">AS123*$P123*INDEX(Month_Ref,AR$1-1,3)/365</f>
        <v>6.0301369863013696E-2</v>
      </c>
      <c r="AU123" s="70">
        <f t="shared" si="202"/>
        <v>7.8</v>
      </c>
      <c r="AV123" s="188">
        <f t="shared" si="214"/>
        <v>0.71</v>
      </c>
      <c r="AW123" s="192" cm="1">
        <f t="array" ref="AW123">AV123*$P123*INDEX(Month_Ref,AU$1-1,3)/365</f>
        <v>5.8356164383561636E-2</v>
      </c>
      <c r="AX123" s="70">
        <f t="shared" si="203"/>
        <v>8.6999999999999993</v>
      </c>
      <c r="AY123" s="188">
        <f t="shared" si="215"/>
        <v>0.71</v>
      </c>
      <c r="AZ123" s="192" cm="1">
        <f t="array" ref="AZ123">AY123*$P123*INDEX(Month_Ref,AX$1-1,3)/365</f>
        <v>6.0301369863013696E-2</v>
      </c>
      <c r="BA123" s="183">
        <f t="shared" si="189"/>
        <v>0.71</v>
      </c>
      <c r="BC123" s="20">
        <f t="shared" si="190"/>
        <v>117</v>
      </c>
    </row>
    <row r="124" spans="2:65" x14ac:dyDescent="0.4">
      <c r="B124" s="528"/>
      <c r="C124" s="531"/>
      <c r="D124" s="534"/>
      <c r="E124" s="534"/>
      <c r="F124" s="522"/>
      <c r="G124" s="522"/>
      <c r="H124" s="522"/>
      <c r="I124" s="525"/>
      <c r="J124" s="180" t="s">
        <v>1701</v>
      </c>
      <c r="K124" s="168" t="s">
        <v>1647</v>
      </c>
      <c r="L124" s="63">
        <f>INDEX(Ladder_Well,MATCH($K124,Ladder_Well_Name,0),2)</f>
        <v>98</v>
      </c>
      <c r="M124" s="63">
        <f>INDEX(Ladder_Well,MATCH($K124,Ladder_Well_Name,0),3)</f>
        <v>0</v>
      </c>
      <c r="N124" s="63">
        <f>INDEX(Ladder_Well,MATCH($K124,Ladder_Well_Name,0),4)</f>
        <v>0</v>
      </c>
      <c r="O124" s="63">
        <f t="shared" si="191"/>
        <v>0</v>
      </c>
      <c r="P124" s="64">
        <f>IF($F112&lt;&gt;"Internal Floating Roof",0,1)</f>
        <v>1</v>
      </c>
      <c r="Q124" s="70">
        <f t="shared" si="192"/>
        <v>8.5</v>
      </c>
      <c r="R124" s="63">
        <f t="shared" si="204"/>
        <v>98</v>
      </c>
      <c r="S124" s="64" cm="1">
        <f t="array" ref="S124">R124*$P124*INDEX(Month_Ref,Q$1-1,3)/365</f>
        <v>8.3232876712328761</v>
      </c>
      <c r="T124" s="70">
        <f t="shared" si="193"/>
        <v>7.8</v>
      </c>
      <c r="U124" s="63">
        <f t="shared" si="205"/>
        <v>98</v>
      </c>
      <c r="V124" s="64" cm="1">
        <f t="array" ref="V124">U124*$P124*INDEX(Month_Ref,T$1-1,3)/365</f>
        <v>7.5178082191780824</v>
      </c>
      <c r="W124" s="70">
        <f t="shared" si="194"/>
        <v>7.8</v>
      </c>
      <c r="X124" s="63">
        <f t="shared" si="206"/>
        <v>98</v>
      </c>
      <c r="Y124" s="64" cm="1">
        <f t="array" ref="Y124">X124*$P124*INDEX(Month_Ref,W$1-1,3)/365</f>
        <v>8.3232876712328761</v>
      </c>
      <c r="Z124" s="70">
        <f t="shared" si="195"/>
        <v>7.8</v>
      </c>
      <c r="AA124" s="63">
        <f t="shared" si="207"/>
        <v>98</v>
      </c>
      <c r="AB124" s="64" cm="1">
        <f t="array" ref="AB124">AA124*$P124*INDEX(Month_Ref,Z$1-1,3)/365</f>
        <v>8.0547945205479454</v>
      </c>
      <c r="AC124" s="70">
        <f t="shared" si="196"/>
        <v>7.6</v>
      </c>
      <c r="AD124" s="63">
        <f t="shared" si="208"/>
        <v>98</v>
      </c>
      <c r="AE124" s="64" cm="1">
        <f t="array" ref="AE124">AD124*$P124*INDEX(Month_Ref,AC$1-1,3)/365</f>
        <v>8.3232876712328761</v>
      </c>
      <c r="AF124" s="70">
        <f t="shared" si="197"/>
        <v>7.8</v>
      </c>
      <c r="AG124" s="63">
        <f t="shared" si="209"/>
        <v>98</v>
      </c>
      <c r="AH124" s="64" cm="1">
        <f t="array" ref="AH124">AG124*$P124*INDEX(Month_Ref,AF$1-1,3)/365</f>
        <v>8.0547945205479454</v>
      </c>
      <c r="AI124" s="70">
        <f t="shared" si="198"/>
        <v>8.1</v>
      </c>
      <c r="AJ124" s="63">
        <f t="shared" si="210"/>
        <v>98</v>
      </c>
      <c r="AK124" s="64" cm="1">
        <f t="array" ref="AK124">AJ124*$P124*INDEX(Month_Ref,AI$1-1,3)/365</f>
        <v>8.3232876712328761</v>
      </c>
      <c r="AL124" s="70">
        <f t="shared" si="199"/>
        <v>7.2</v>
      </c>
      <c r="AM124" s="63">
        <f t="shared" si="211"/>
        <v>98</v>
      </c>
      <c r="AN124" s="64" cm="1">
        <f t="array" ref="AN124">AM124*$P124*INDEX(Month_Ref,AL$1-1,3)/365</f>
        <v>8.3232876712328761</v>
      </c>
      <c r="AO124" s="70">
        <f t="shared" si="200"/>
        <v>6.7</v>
      </c>
      <c r="AP124" s="63">
        <f t="shared" si="212"/>
        <v>98</v>
      </c>
      <c r="AQ124" s="64" cm="1">
        <f t="array" ref="AQ124">AP124*$P124*INDEX(Month_Ref,AO$1-1,3)/365</f>
        <v>8.0547945205479454</v>
      </c>
      <c r="AR124" s="70">
        <f t="shared" si="201"/>
        <v>6.7</v>
      </c>
      <c r="AS124" s="63">
        <f t="shared" si="213"/>
        <v>98</v>
      </c>
      <c r="AT124" s="64" cm="1">
        <f t="array" ref="AT124">AS124*$P124*INDEX(Month_Ref,AR$1-1,3)/365</f>
        <v>8.3232876712328761</v>
      </c>
      <c r="AU124" s="70">
        <f t="shared" si="202"/>
        <v>7.8</v>
      </c>
      <c r="AV124" s="63">
        <f t="shared" si="214"/>
        <v>98</v>
      </c>
      <c r="AW124" s="64" cm="1">
        <f t="array" ref="AW124">AV124*$P124*INDEX(Month_Ref,AU$1-1,3)/365</f>
        <v>8.0547945205479454</v>
      </c>
      <c r="AX124" s="70">
        <f t="shared" si="203"/>
        <v>8.6999999999999993</v>
      </c>
      <c r="AY124" s="63">
        <f t="shared" si="215"/>
        <v>98</v>
      </c>
      <c r="AZ124" s="64" cm="1">
        <f t="array" ref="AZ124">AY124*$P124*INDEX(Month_Ref,AX$1-1,3)/365</f>
        <v>8.3232876712328761</v>
      </c>
      <c r="BA124" s="183">
        <f t="shared" si="189"/>
        <v>98</v>
      </c>
      <c r="BC124" s="20">
        <f t="shared" si="190"/>
        <v>118</v>
      </c>
    </row>
    <row r="125" spans="2:65" ht="44.15" thickBot="1" x14ac:dyDescent="0.45">
      <c r="B125" s="529"/>
      <c r="C125" s="532"/>
      <c r="D125" s="535"/>
      <c r="E125" s="535"/>
      <c r="F125" s="523"/>
      <c r="G125" s="523"/>
      <c r="H125" s="523"/>
      <c r="I125" s="526"/>
      <c r="J125" s="181" t="s">
        <v>1715</v>
      </c>
      <c r="K125" s="171" t="s">
        <v>1755</v>
      </c>
      <c r="L125" s="32">
        <f>INDEX(Combo_LWSGP,MATCH($K125,Combo_LWSGP_Name,0),2)</f>
        <v>0</v>
      </c>
      <c r="M125" s="32">
        <f>INDEX(Combo_LWSGP,MATCH($K125,Combo_LWSGP_Name,0),3)</f>
        <v>0</v>
      </c>
      <c r="N125" s="32">
        <f>INDEX(Combo_LWSGP,MATCH($K125,Combo_LWSGP_Name,0),4)</f>
        <v>0</v>
      </c>
      <c r="O125" s="32">
        <f t="shared" si="191"/>
        <v>0</v>
      </c>
      <c r="P125" s="33">
        <f>IF(AND(P115=0,P124=0),1,0)</f>
        <v>0</v>
      </c>
      <c r="Q125" s="31">
        <f t="shared" si="192"/>
        <v>8.5</v>
      </c>
      <c r="R125" s="32">
        <f t="shared" si="204"/>
        <v>0</v>
      </c>
      <c r="S125" s="33" cm="1">
        <f t="array" ref="S125">R125*$P125*INDEX(Month_Ref,Q$1-1,3)/365</f>
        <v>0</v>
      </c>
      <c r="T125" s="31">
        <f t="shared" si="193"/>
        <v>7.8</v>
      </c>
      <c r="U125" s="32">
        <f t="shared" si="205"/>
        <v>0</v>
      </c>
      <c r="V125" s="33" cm="1">
        <f t="array" ref="V125">U125*$P125*INDEX(Month_Ref,T$1-1,3)/365</f>
        <v>0</v>
      </c>
      <c r="W125" s="31">
        <f t="shared" si="194"/>
        <v>7.8</v>
      </c>
      <c r="X125" s="32">
        <f t="shared" si="206"/>
        <v>0</v>
      </c>
      <c r="Y125" s="33" cm="1">
        <f t="array" ref="Y125">X125*$P125*INDEX(Month_Ref,W$1-1,3)/365</f>
        <v>0</v>
      </c>
      <c r="Z125" s="31">
        <f t="shared" si="195"/>
        <v>7.8</v>
      </c>
      <c r="AA125" s="32">
        <f t="shared" si="207"/>
        <v>0</v>
      </c>
      <c r="AB125" s="33" cm="1">
        <f t="array" ref="AB125">AA125*$P125*INDEX(Month_Ref,Z$1-1,3)/365</f>
        <v>0</v>
      </c>
      <c r="AC125" s="31">
        <f t="shared" si="196"/>
        <v>7.6</v>
      </c>
      <c r="AD125" s="32">
        <f t="shared" si="208"/>
        <v>0</v>
      </c>
      <c r="AE125" s="33" cm="1">
        <f t="array" ref="AE125">AD125*$P125*INDEX(Month_Ref,AC$1-1,3)/365</f>
        <v>0</v>
      </c>
      <c r="AF125" s="31">
        <f t="shared" si="197"/>
        <v>7.8</v>
      </c>
      <c r="AG125" s="32">
        <f t="shared" si="209"/>
        <v>0</v>
      </c>
      <c r="AH125" s="33" cm="1">
        <f t="array" ref="AH125">AG125*$P125*INDEX(Month_Ref,AF$1-1,3)/365</f>
        <v>0</v>
      </c>
      <c r="AI125" s="31">
        <f t="shared" si="198"/>
        <v>8.1</v>
      </c>
      <c r="AJ125" s="32">
        <f t="shared" si="210"/>
        <v>0</v>
      </c>
      <c r="AK125" s="33" cm="1">
        <f t="array" ref="AK125">AJ125*$P125*INDEX(Month_Ref,AI$1-1,3)/365</f>
        <v>0</v>
      </c>
      <c r="AL125" s="31">
        <f t="shared" si="199"/>
        <v>7.2</v>
      </c>
      <c r="AM125" s="32">
        <f t="shared" si="211"/>
        <v>0</v>
      </c>
      <c r="AN125" s="33" cm="1">
        <f t="array" ref="AN125">AM125*$P125*INDEX(Month_Ref,AL$1-1,3)/365</f>
        <v>0</v>
      </c>
      <c r="AO125" s="31">
        <f t="shared" si="200"/>
        <v>6.7</v>
      </c>
      <c r="AP125" s="32">
        <f t="shared" si="212"/>
        <v>0</v>
      </c>
      <c r="AQ125" s="33" cm="1">
        <f t="array" ref="AQ125">AP125*$P125*INDEX(Month_Ref,AO$1-1,3)/365</f>
        <v>0</v>
      </c>
      <c r="AR125" s="31">
        <f t="shared" si="201"/>
        <v>6.7</v>
      </c>
      <c r="AS125" s="32">
        <f t="shared" si="213"/>
        <v>0</v>
      </c>
      <c r="AT125" s="33" cm="1">
        <f t="array" ref="AT125">AS125*$P125*INDEX(Month_Ref,AR$1-1,3)/365</f>
        <v>0</v>
      </c>
      <c r="AU125" s="31">
        <f t="shared" si="202"/>
        <v>7.8</v>
      </c>
      <c r="AV125" s="32">
        <f t="shared" si="214"/>
        <v>0</v>
      </c>
      <c r="AW125" s="33" cm="1">
        <f t="array" ref="AW125">AV125*$P125*INDEX(Month_Ref,AU$1-1,3)/365</f>
        <v>0</v>
      </c>
      <c r="AX125" s="31">
        <f t="shared" si="203"/>
        <v>8.6999999999999993</v>
      </c>
      <c r="AY125" s="32">
        <f t="shared" si="215"/>
        <v>0</v>
      </c>
      <c r="AZ125" s="33" cm="1">
        <f t="array" ref="AZ125">AY125*$P125*INDEX(Month_Ref,AX$1-1,3)/365</f>
        <v>0</v>
      </c>
      <c r="BA125" s="184">
        <f t="shared" si="189"/>
        <v>0</v>
      </c>
      <c r="BC125" s="20">
        <f t="shared" si="190"/>
        <v>119</v>
      </c>
    </row>
    <row r="126" spans="2:65" ht="15" thickBot="1" x14ac:dyDescent="0.45">
      <c r="B126" s="157"/>
      <c r="C126" s="158"/>
      <c r="D126" s="163"/>
      <c r="I126" s="163"/>
      <c r="J126" s="164"/>
      <c r="K126" s="164"/>
      <c r="L126" s="163"/>
      <c r="M126" s="163"/>
      <c r="N126" s="163"/>
      <c r="O126" s="163"/>
      <c r="Q126" s="195"/>
      <c r="R126" s="196" t="s">
        <v>1768</v>
      </c>
      <c r="S126" s="197">
        <f>SUM(S112:S125)</f>
        <v>92.219479452054799</v>
      </c>
      <c r="T126" s="195"/>
      <c r="U126" s="196" t="s">
        <v>1762</v>
      </c>
      <c r="V126" s="197">
        <f>SUM(V112:V125)</f>
        <v>83.295013698630143</v>
      </c>
      <c r="W126" s="195"/>
      <c r="X126" s="196" t="s">
        <v>1762</v>
      </c>
      <c r="Y126" s="197">
        <f>SUM(Y112:Y125)</f>
        <v>92.219479452054799</v>
      </c>
      <c r="Z126" s="195"/>
      <c r="AA126" s="196" t="s">
        <v>1762</v>
      </c>
      <c r="AB126" s="197">
        <f>SUM(AB112:AB125)</f>
        <v>89.244657534246585</v>
      </c>
      <c r="AC126" s="195"/>
      <c r="AD126" s="196" t="s">
        <v>1762</v>
      </c>
      <c r="AE126" s="197">
        <f>SUM(AE112:AE125)</f>
        <v>92.219479452054799</v>
      </c>
      <c r="AF126" s="195"/>
      <c r="AG126" s="196" t="s">
        <v>1762</v>
      </c>
      <c r="AH126" s="197">
        <f>SUM(AH112:AH125)</f>
        <v>89.244657534246585</v>
      </c>
      <c r="AI126" s="195"/>
      <c r="AJ126" s="196" t="s">
        <v>1762</v>
      </c>
      <c r="AK126" s="197">
        <f>SUM(AK112:AK125)</f>
        <v>92.219479452054799</v>
      </c>
      <c r="AL126" s="195"/>
      <c r="AM126" s="196" t="s">
        <v>1762</v>
      </c>
      <c r="AN126" s="197">
        <f>SUM(AN112:AN125)</f>
        <v>92.219479452054799</v>
      </c>
      <c r="AO126" s="195"/>
      <c r="AP126" s="196" t="s">
        <v>1762</v>
      </c>
      <c r="AQ126" s="197">
        <f>SUM(AQ112:AQ125)</f>
        <v>89.244657534246585</v>
      </c>
      <c r="AR126" s="195"/>
      <c r="AS126" s="196" t="s">
        <v>1762</v>
      </c>
      <c r="AT126" s="197">
        <f>SUM(AT112:AT125)</f>
        <v>92.219479452054799</v>
      </c>
      <c r="AU126" s="195"/>
      <c r="AV126" s="196" t="s">
        <v>1762</v>
      </c>
      <c r="AW126" s="197">
        <f>SUM(AW112:AW125)</f>
        <v>89.244657534246585</v>
      </c>
      <c r="AX126" s="195"/>
      <c r="AY126" s="196" t="s">
        <v>1762</v>
      </c>
      <c r="AZ126" s="197">
        <f>SUM(AZ112:AZ125)</f>
        <v>92.219479452054799</v>
      </c>
      <c r="BA126" s="198">
        <f t="shared" si="189"/>
        <v>1085.81</v>
      </c>
      <c r="BC126" s="194">
        <f t="shared" si="190"/>
        <v>120</v>
      </c>
      <c r="BD126" s="11"/>
      <c r="BE126" s="11"/>
      <c r="BF126" s="11"/>
      <c r="BG126" s="11"/>
      <c r="BH126" s="11"/>
      <c r="BI126" s="11"/>
      <c r="BJ126" s="11"/>
      <c r="BK126" s="11"/>
      <c r="BL126" s="11"/>
      <c r="BM126" s="11"/>
    </row>
    <row r="127" spans="2:65" ht="29.15" x14ac:dyDescent="0.4">
      <c r="B127" s="527" t="str" cm="1">
        <f t="array" ref="B127">INDEX(FLT_Cons,$BD127,$BE127)</f>
        <v>FLT - 9</v>
      </c>
      <c r="C127" s="530" t="str" cm="1">
        <f t="array" ref="C127">INDEX(FLT_Cons,$BD127,$BF127)</f>
        <v>INTANK 114</v>
      </c>
      <c r="D127" s="533" t="str" cm="1">
        <f t="array" ref="D127">INDEX(FLT_Cons,$BD127,$BG127)</f>
        <v>Portland</v>
      </c>
      <c r="E127" s="533" cm="1">
        <f t="array" ref="E127">INDEX(FLT_Cons,$BD127,$BH127)</f>
        <v>52</v>
      </c>
      <c r="F127" s="521" t="str" cm="1">
        <f t="array" ref="F127">INDEX(FLT_Cons,$BD127,$BI127)</f>
        <v>Internal Floating Roof</v>
      </c>
      <c r="G127" s="521" t="str" cm="1">
        <f t="array" ref="G127">INDEX(FLT_Cons,$BD127,$BJ127)</f>
        <v>N/A - IFR</v>
      </c>
      <c r="H127" s="521" t="str" cm="1">
        <f t="array" ref="H127">INDEX(FLT_Cons,$BD127,$BK127)</f>
        <v>Mechanical Shoe w/ Rim Mounted Secondary</v>
      </c>
      <c r="I127" s="524" t="str" cm="1">
        <f t="array" ref="I127">INDEX(FLT_Cons,$BD127,$BL127)</f>
        <v>IFR - Column Supported</v>
      </c>
      <c r="J127" s="177" t="s">
        <v>1660</v>
      </c>
      <c r="K127" s="174" t="s">
        <v>1662</v>
      </c>
      <c r="L127" s="14">
        <f>INDEX(Access_Hatch,MATCH($K127,Access_Hatch_Name,0),2)</f>
        <v>36</v>
      </c>
      <c r="M127" s="14">
        <f>INDEX(Access_Hatch,MATCH($K127,Access_Hatch_Name,0),3)</f>
        <v>5.9</v>
      </c>
      <c r="N127" s="14">
        <f>INDEX(Access_Hatch,MATCH($K127,Access_Hatch_Name,0),4)</f>
        <v>1.2</v>
      </c>
      <c r="O127" s="14">
        <f>IF($F127="External Floating Roof",0.7,0)</f>
        <v>0</v>
      </c>
      <c r="P127" s="30">
        <v>1</v>
      </c>
      <c r="Q127" s="29">
        <f>VLOOKUP(VLOOKUP($D127,Terminal_X_Ref,2,FALSE)&amp;"V",Weather_Data,Q$1,FALSE)</f>
        <v>8.5</v>
      </c>
      <c r="R127" s="14">
        <f>IFERROR($L127+$M127*($O127*Q127)^$N127,$L127)</f>
        <v>36</v>
      </c>
      <c r="S127" s="193" cm="1">
        <f t="array" ref="S127">R127*$P127*INDEX(Month_Ref,Q$1-1,3)/365</f>
        <v>3.0575342465753423</v>
      </c>
      <c r="T127" s="29">
        <f>VLOOKUP(VLOOKUP($D127,Terminal_X_Ref,2,FALSE)&amp;"V",Weather_Data,T$1,FALSE)</f>
        <v>7.8</v>
      </c>
      <c r="U127" s="14">
        <f>IFERROR($L127+$M127*($O127*T127)^$N127,$L127)</f>
        <v>36</v>
      </c>
      <c r="V127" s="193" cm="1">
        <f t="array" ref="V127">U127*$P127*INDEX(Month_Ref,T$1-1,3)/365</f>
        <v>2.7616438356164386</v>
      </c>
      <c r="W127" s="29">
        <f>VLOOKUP(VLOOKUP($D127,Terminal_X_Ref,2,FALSE)&amp;"V",Weather_Data,W$1,FALSE)</f>
        <v>7.8</v>
      </c>
      <c r="X127" s="14">
        <f>IFERROR($L127+$M127*($O127*W127)^$N127,$L127)</f>
        <v>36</v>
      </c>
      <c r="Y127" s="193" cm="1">
        <f t="array" ref="Y127">X127*$P127*INDEX(Month_Ref,W$1-1,3)/365</f>
        <v>3.0575342465753423</v>
      </c>
      <c r="Z127" s="29">
        <f>VLOOKUP(VLOOKUP($D127,Terminal_X_Ref,2,FALSE)&amp;"V",Weather_Data,Z$1,FALSE)</f>
        <v>7.8</v>
      </c>
      <c r="AA127" s="14">
        <f>IFERROR($L127+$M127*($O127*Z127)^$N127,$L127)</f>
        <v>36</v>
      </c>
      <c r="AB127" s="193" cm="1">
        <f t="array" ref="AB127">AA127*$P127*INDEX(Month_Ref,Z$1-1,3)/365</f>
        <v>2.9589041095890409</v>
      </c>
      <c r="AC127" s="29">
        <f>VLOOKUP(VLOOKUP($D127,Terminal_X_Ref,2,FALSE)&amp;"V",Weather_Data,AC$1,FALSE)</f>
        <v>7.6</v>
      </c>
      <c r="AD127" s="14">
        <f>IFERROR($L127+$M127*($O127*AC127)^$N127,$L127)</f>
        <v>36</v>
      </c>
      <c r="AE127" s="193" cm="1">
        <f t="array" ref="AE127">AD127*$P127*INDEX(Month_Ref,AC$1-1,3)/365</f>
        <v>3.0575342465753423</v>
      </c>
      <c r="AF127" s="29">
        <f>VLOOKUP(VLOOKUP($D127,Terminal_X_Ref,2,FALSE)&amp;"V",Weather_Data,AF$1,FALSE)</f>
        <v>7.8</v>
      </c>
      <c r="AG127" s="14">
        <f>IFERROR($L127+$M127*($O127*AF127)^$N127,$L127)</f>
        <v>36</v>
      </c>
      <c r="AH127" s="193" cm="1">
        <f t="array" ref="AH127">AG127*$P127*INDEX(Month_Ref,AF$1-1,3)/365</f>
        <v>2.9589041095890409</v>
      </c>
      <c r="AI127" s="29">
        <f>VLOOKUP(VLOOKUP($D127,Terminal_X_Ref,2,FALSE)&amp;"V",Weather_Data,AI$1,FALSE)</f>
        <v>8.1</v>
      </c>
      <c r="AJ127" s="14">
        <f>IFERROR($L127+$M127*($O127*AI127)^$N127,$L127)</f>
        <v>36</v>
      </c>
      <c r="AK127" s="193" cm="1">
        <f t="array" ref="AK127">AJ127*$P127*INDEX(Month_Ref,AI$1-1,3)/365</f>
        <v>3.0575342465753423</v>
      </c>
      <c r="AL127" s="29">
        <f>VLOOKUP(VLOOKUP($D127,Terminal_X_Ref,2,FALSE)&amp;"V",Weather_Data,AL$1,FALSE)</f>
        <v>7.2</v>
      </c>
      <c r="AM127" s="14">
        <f>IFERROR($L127+$M127*($O127*AL127)^$N127,$L127)</f>
        <v>36</v>
      </c>
      <c r="AN127" s="193" cm="1">
        <f t="array" ref="AN127">AM127*$P127*INDEX(Month_Ref,AL$1-1,3)/365</f>
        <v>3.0575342465753423</v>
      </c>
      <c r="AO127" s="29">
        <f>VLOOKUP(VLOOKUP($D127,Terminal_X_Ref,2,FALSE)&amp;"V",Weather_Data,AO$1,FALSE)</f>
        <v>6.7</v>
      </c>
      <c r="AP127" s="14">
        <f>IFERROR($L127+$M127*($O127*AO127)^$N127,$L127)</f>
        <v>36</v>
      </c>
      <c r="AQ127" s="193" cm="1">
        <f t="array" ref="AQ127">AP127*$P127*INDEX(Month_Ref,AO$1-1,3)/365</f>
        <v>2.9589041095890409</v>
      </c>
      <c r="AR127" s="29">
        <f>VLOOKUP(VLOOKUP($D127,Terminal_X_Ref,2,FALSE)&amp;"V",Weather_Data,AR$1,FALSE)</f>
        <v>6.7</v>
      </c>
      <c r="AS127" s="14">
        <f>IFERROR($L127+$M127*($O127*AR127)^$N127,$L127)</f>
        <v>36</v>
      </c>
      <c r="AT127" s="193" cm="1">
        <f t="array" ref="AT127">AS127*$P127*INDEX(Month_Ref,AR$1-1,3)/365</f>
        <v>3.0575342465753423</v>
      </c>
      <c r="AU127" s="29">
        <f>VLOOKUP(VLOOKUP($D127,Terminal_X_Ref,2,FALSE)&amp;"V",Weather_Data,AU$1,FALSE)</f>
        <v>7.8</v>
      </c>
      <c r="AV127" s="14">
        <f>IFERROR($L127+$M127*($O127*AU127)^$N127,$L127)</f>
        <v>36</v>
      </c>
      <c r="AW127" s="193" cm="1">
        <f t="array" ref="AW127">AV127*$P127*INDEX(Month_Ref,AU$1-1,3)/365</f>
        <v>2.9589041095890409</v>
      </c>
      <c r="AX127" s="29">
        <f>VLOOKUP(VLOOKUP($D127,Terminal_X_Ref,2,FALSE)&amp;"V",Weather_Data,AX$1,FALSE)</f>
        <v>8.6999999999999993</v>
      </c>
      <c r="AY127" s="14">
        <f>IFERROR($L127+$M127*($O127*AX127)^$N127,$L127)</f>
        <v>36</v>
      </c>
      <c r="AZ127" s="193" cm="1">
        <f t="array" ref="AZ127">AY127*$P127*INDEX(Month_Ref,AX$1-1,3)/365</f>
        <v>3.0575342465753423</v>
      </c>
      <c r="BA127" s="182">
        <f>S127+V127+Y127+AB127+AE127+AH127+AK127+AN127+AQ127+AT127+AW127+AZ127</f>
        <v>36.000000000000007</v>
      </c>
      <c r="BB127" s="25"/>
      <c r="BC127" s="20">
        <f>BC126+1</f>
        <v>121</v>
      </c>
      <c r="BD127">
        <f>BD112+1</f>
        <v>9</v>
      </c>
      <c r="BE127">
        <v>1</v>
      </c>
      <c r="BF127">
        <v>2</v>
      </c>
      <c r="BG127">
        <v>3</v>
      </c>
      <c r="BH127">
        <v>5</v>
      </c>
      <c r="BI127">
        <v>13</v>
      </c>
      <c r="BJ127">
        <v>16</v>
      </c>
      <c r="BK127">
        <v>17</v>
      </c>
      <c r="BL127">
        <v>19</v>
      </c>
      <c r="BM127">
        <v>21</v>
      </c>
    </row>
    <row r="128" spans="2:65" x14ac:dyDescent="0.4">
      <c r="B128" s="528"/>
      <c r="C128" s="531"/>
      <c r="D128" s="534"/>
      <c r="E128" s="534"/>
      <c r="F128" s="522"/>
      <c r="G128" s="522"/>
      <c r="H128" s="522"/>
      <c r="I128" s="525"/>
      <c r="J128" s="178" t="s">
        <v>1664</v>
      </c>
      <c r="K128" s="168" t="s">
        <v>1559</v>
      </c>
      <c r="L128" s="63">
        <f>INDEX(FRSCW,MATCH($K128,FRSCW_Name,0),2)</f>
        <v>51</v>
      </c>
      <c r="M128" s="63">
        <f>INDEX(FRSCW,MATCH($K128,FRSCW_Name,0),3)</f>
        <v>0</v>
      </c>
      <c r="N128" s="63">
        <f>INDEX(FRSCW,MATCH($K128,FRSCW_Name,0),4)</f>
        <v>0</v>
      </c>
      <c r="O128" s="63">
        <f>O127</f>
        <v>0</v>
      </c>
      <c r="P128" s="64" cm="1">
        <f t="array" ref="P128">IF(F127&lt;&gt;"Internal Floating Roof",0,IF(ISBLANK(INDEX(FLT_Cons,$BD127,$BM127)),INDEX(Tbl_71_11,_xlfn.MINIFS(Tbl_71_11_Dia,Tbl_71_11_Max,"&gt;="&amp;$E127),4),INDEX(FLT_Cons,$BD127,$BM127)))</f>
        <v>1</v>
      </c>
      <c r="Q128" s="70">
        <f>Q127</f>
        <v>8.5</v>
      </c>
      <c r="R128" s="63">
        <f>IFERROR($L128+$M128*($O128*Q128)^$N128,$L128)</f>
        <v>51</v>
      </c>
      <c r="S128" s="64" cm="1">
        <f t="array" ref="S128">R128*$P128*INDEX(Month_Ref,Q$1-1,3)/365</f>
        <v>4.3315068493150681</v>
      </c>
      <c r="T128" s="70">
        <f>T127</f>
        <v>7.8</v>
      </c>
      <c r="U128" s="63">
        <f>IFERROR($L128+$M128*($O128*T128)^$N128,$L128)</f>
        <v>51</v>
      </c>
      <c r="V128" s="64" cm="1">
        <f t="array" ref="V128">U128*$P128*INDEX(Month_Ref,T$1-1,3)/365</f>
        <v>3.9123287671232876</v>
      </c>
      <c r="W128" s="70">
        <f>W127</f>
        <v>7.8</v>
      </c>
      <c r="X128" s="63">
        <f>IFERROR($L128+$M128*($O128*W128)^$N128,$L128)</f>
        <v>51</v>
      </c>
      <c r="Y128" s="64" cm="1">
        <f t="array" ref="Y128">X128*$P128*INDEX(Month_Ref,W$1-1,3)/365</f>
        <v>4.3315068493150681</v>
      </c>
      <c r="Z128" s="70">
        <f>Z127</f>
        <v>7.8</v>
      </c>
      <c r="AA128" s="63">
        <f>IFERROR($L128+$M128*($O128*Z128)^$N128,$L128)</f>
        <v>51</v>
      </c>
      <c r="AB128" s="64" cm="1">
        <f t="array" ref="AB128">AA128*$P128*INDEX(Month_Ref,Z$1-1,3)/365</f>
        <v>4.1917808219178081</v>
      </c>
      <c r="AC128" s="70">
        <f>AC127</f>
        <v>7.6</v>
      </c>
      <c r="AD128" s="63">
        <f>IFERROR($L128+$M128*($O128*AC128)^$N128,$L128)</f>
        <v>51</v>
      </c>
      <c r="AE128" s="64" cm="1">
        <f t="array" ref="AE128">AD128*$P128*INDEX(Month_Ref,AC$1-1,3)/365</f>
        <v>4.3315068493150681</v>
      </c>
      <c r="AF128" s="70">
        <f>AF127</f>
        <v>7.8</v>
      </c>
      <c r="AG128" s="63">
        <f>IFERROR($L128+$M128*($O128*AF128)^$N128,$L128)</f>
        <v>51</v>
      </c>
      <c r="AH128" s="64" cm="1">
        <f t="array" ref="AH128">AG128*$P128*INDEX(Month_Ref,AF$1-1,3)/365</f>
        <v>4.1917808219178081</v>
      </c>
      <c r="AI128" s="70">
        <f>AI127</f>
        <v>8.1</v>
      </c>
      <c r="AJ128" s="63">
        <f>IFERROR($L128+$M128*($O128*AI128)^$N128,$L128)</f>
        <v>51</v>
      </c>
      <c r="AK128" s="64" cm="1">
        <f t="array" ref="AK128">AJ128*$P128*INDEX(Month_Ref,AI$1-1,3)/365</f>
        <v>4.3315068493150681</v>
      </c>
      <c r="AL128" s="70">
        <f>AL127</f>
        <v>7.2</v>
      </c>
      <c r="AM128" s="63">
        <f>IFERROR($L128+$M128*($O128*AL128)^$N128,$L128)</f>
        <v>51</v>
      </c>
      <c r="AN128" s="64" cm="1">
        <f t="array" ref="AN128">AM128*$P128*INDEX(Month_Ref,AL$1-1,3)/365</f>
        <v>4.3315068493150681</v>
      </c>
      <c r="AO128" s="70">
        <f>AO127</f>
        <v>6.7</v>
      </c>
      <c r="AP128" s="63">
        <f>IFERROR($L128+$M128*($O128*AO128)^$N128,$L128)</f>
        <v>51</v>
      </c>
      <c r="AQ128" s="64" cm="1">
        <f t="array" ref="AQ128">AP128*$P128*INDEX(Month_Ref,AO$1-1,3)/365</f>
        <v>4.1917808219178081</v>
      </c>
      <c r="AR128" s="70">
        <f>AR127</f>
        <v>6.7</v>
      </c>
      <c r="AS128" s="63">
        <f>IFERROR($L128+$M128*($O128*AR128)^$N128,$L128)</f>
        <v>51</v>
      </c>
      <c r="AT128" s="64" cm="1">
        <f t="array" ref="AT128">AS128*$P128*INDEX(Month_Ref,AR$1-1,3)/365</f>
        <v>4.3315068493150681</v>
      </c>
      <c r="AU128" s="70">
        <f>AU127</f>
        <v>7.8</v>
      </c>
      <c r="AV128" s="63">
        <f>IFERROR($L128+$M128*($O128*AU128)^$N128,$L128)</f>
        <v>51</v>
      </c>
      <c r="AW128" s="64" cm="1">
        <f t="array" ref="AW128">AV128*$P128*INDEX(Month_Ref,AU$1-1,3)/365</f>
        <v>4.1917808219178081</v>
      </c>
      <c r="AX128" s="70">
        <f>AX127</f>
        <v>8.6999999999999993</v>
      </c>
      <c r="AY128" s="63">
        <f>IFERROR($L128+$M128*($O128*AX128)^$N128,$L128)</f>
        <v>51</v>
      </c>
      <c r="AZ128" s="64" cm="1">
        <f t="array" ref="AZ128">AY128*$P128*INDEX(Month_Ref,AX$1-1,3)/365</f>
        <v>4.3315068493150681</v>
      </c>
      <c r="BA128" s="183">
        <f t="shared" ref="BA128:BA141" si="216">S128+V128+Y128+AB128+AE128+AH128+AK128+AN128+AQ128+AT128+AW128+AZ128</f>
        <v>51.000000000000007</v>
      </c>
      <c r="BC128" s="20">
        <f t="shared" ref="BC128:BC141" si="217">BC127+1</f>
        <v>122</v>
      </c>
    </row>
    <row r="129" spans="2:65" ht="43.75" x14ac:dyDescent="0.4">
      <c r="B129" s="528"/>
      <c r="C129" s="531"/>
      <c r="D129" s="534"/>
      <c r="E129" s="534"/>
      <c r="F129" s="522"/>
      <c r="G129" s="522"/>
      <c r="H129" s="522"/>
      <c r="I129" s="525"/>
      <c r="J129" s="178" t="s">
        <v>1670</v>
      </c>
      <c r="K129" s="168" t="s">
        <v>1582</v>
      </c>
      <c r="L129" s="63">
        <f>INDEX(USGPW,MATCH($K129,USGPW_Name,0),2)</f>
        <v>0</v>
      </c>
      <c r="M129" s="63">
        <f>INDEX(USGPW,MATCH($K129,USGPW_Name,0),3)</f>
        <v>0</v>
      </c>
      <c r="N129" s="63">
        <f>INDEX(USGPW,MATCH($K129,USGPW_Name,0),4)</f>
        <v>0</v>
      </c>
      <c r="O129" s="63">
        <f t="shared" ref="O129:O140" si="218">O128</f>
        <v>0</v>
      </c>
      <c r="P129" s="64">
        <v>1</v>
      </c>
      <c r="Q129" s="70">
        <f t="shared" ref="Q129:Q140" si="219">Q128</f>
        <v>8.5</v>
      </c>
      <c r="R129" s="185">
        <f>IFERROR($L129+$M129*($O129*Q129)^$N129,$L129)</f>
        <v>0</v>
      </c>
      <c r="S129" s="186" cm="1">
        <f t="array" ref="S129">R129*$P129*INDEX(Month_Ref,Q$1-1,3)/365</f>
        <v>0</v>
      </c>
      <c r="T129" s="70">
        <f t="shared" ref="T129:T140" si="220">T128</f>
        <v>7.8</v>
      </c>
      <c r="U129" s="185">
        <f>IFERROR($L129+$M129*($O129*T129)^$N129,$L129)</f>
        <v>0</v>
      </c>
      <c r="V129" s="186" cm="1">
        <f t="array" ref="V129">U129*$P129*INDEX(Month_Ref,T$1-1,3)/365</f>
        <v>0</v>
      </c>
      <c r="W129" s="70">
        <f t="shared" ref="W129:W140" si="221">W128</f>
        <v>7.8</v>
      </c>
      <c r="X129" s="185">
        <f>IFERROR($L129+$M129*($O129*W129)^$N129,$L129)</f>
        <v>0</v>
      </c>
      <c r="Y129" s="186" cm="1">
        <f t="array" ref="Y129">X129*$P129*INDEX(Month_Ref,W$1-1,3)/365</f>
        <v>0</v>
      </c>
      <c r="Z129" s="70">
        <f t="shared" ref="Z129:Z140" si="222">Z128</f>
        <v>7.8</v>
      </c>
      <c r="AA129" s="185">
        <f>IFERROR($L129+$M129*($O129*Z129)^$N129,$L129)</f>
        <v>0</v>
      </c>
      <c r="AB129" s="186" cm="1">
        <f t="array" ref="AB129">AA129*$P129*INDEX(Month_Ref,Z$1-1,3)/365</f>
        <v>0</v>
      </c>
      <c r="AC129" s="70">
        <f t="shared" ref="AC129:AC140" si="223">AC128</f>
        <v>7.6</v>
      </c>
      <c r="AD129" s="185">
        <f>IFERROR($L129+$M129*($O129*AC129)^$N129,$L129)</f>
        <v>0</v>
      </c>
      <c r="AE129" s="186" cm="1">
        <f t="array" ref="AE129">AD129*$P129*INDEX(Month_Ref,AC$1-1,3)/365</f>
        <v>0</v>
      </c>
      <c r="AF129" s="70">
        <f t="shared" ref="AF129:AF140" si="224">AF128</f>
        <v>7.8</v>
      </c>
      <c r="AG129" s="185">
        <f>IFERROR($L129+$M129*($O129*AF129)^$N129,$L129)</f>
        <v>0</v>
      </c>
      <c r="AH129" s="186" cm="1">
        <f t="array" ref="AH129">AG129*$P129*INDEX(Month_Ref,AF$1-1,3)/365</f>
        <v>0</v>
      </c>
      <c r="AI129" s="70">
        <f t="shared" ref="AI129:AI140" si="225">AI128</f>
        <v>8.1</v>
      </c>
      <c r="AJ129" s="185">
        <f>IFERROR($L129+$M129*($O129*AI129)^$N129,$L129)</f>
        <v>0</v>
      </c>
      <c r="AK129" s="186" cm="1">
        <f t="array" ref="AK129">AJ129*$P129*INDEX(Month_Ref,AI$1-1,3)/365</f>
        <v>0</v>
      </c>
      <c r="AL129" s="70">
        <f t="shared" ref="AL129:AL140" si="226">AL128</f>
        <v>7.2</v>
      </c>
      <c r="AM129" s="185">
        <f>IFERROR($L129+$M129*($O129*AL129)^$N129,$L129)</f>
        <v>0</v>
      </c>
      <c r="AN129" s="186" cm="1">
        <f t="array" ref="AN129">AM129*$P129*INDEX(Month_Ref,AL$1-1,3)/365</f>
        <v>0</v>
      </c>
      <c r="AO129" s="70">
        <f t="shared" ref="AO129:AO140" si="227">AO128</f>
        <v>6.7</v>
      </c>
      <c r="AP129" s="185">
        <f>IFERROR($L129+$M129*($O129*AO129)^$N129,$L129)</f>
        <v>0</v>
      </c>
      <c r="AQ129" s="186" cm="1">
        <f t="array" ref="AQ129">AP129*$P129*INDEX(Month_Ref,AO$1-1,3)/365</f>
        <v>0</v>
      </c>
      <c r="AR129" s="70">
        <f t="shared" ref="AR129:AR140" si="228">AR128</f>
        <v>6.7</v>
      </c>
      <c r="AS129" s="185">
        <f>IFERROR($L129+$M129*($O129*AR129)^$N129,$L129)</f>
        <v>0</v>
      </c>
      <c r="AT129" s="186" cm="1">
        <f t="array" ref="AT129">AS129*$P129*INDEX(Month_Ref,AR$1-1,3)/365</f>
        <v>0</v>
      </c>
      <c r="AU129" s="70">
        <f t="shared" ref="AU129:AU140" si="229">AU128</f>
        <v>7.8</v>
      </c>
      <c r="AV129" s="185">
        <f>IFERROR($L129+$M129*($O129*AU129)^$N129,$L129)</f>
        <v>0</v>
      </c>
      <c r="AW129" s="186" cm="1">
        <f t="array" ref="AW129">AV129*$P129*INDEX(Month_Ref,AU$1-1,3)/365</f>
        <v>0</v>
      </c>
      <c r="AX129" s="70">
        <f t="shared" ref="AX129:AX140" si="230">AX128</f>
        <v>8.6999999999999993</v>
      </c>
      <c r="AY129" s="185">
        <f>IFERROR($L129+$M129*($O129*AX129)^$N129,$L129)</f>
        <v>0</v>
      </c>
      <c r="AZ129" s="186" cm="1">
        <f t="array" ref="AZ129">AY129*$P129*INDEX(Month_Ref,AX$1-1,3)/365</f>
        <v>0</v>
      </c>
      <c r="BA129" s="186">
        <f t="shared" si="216"/>
        <v>0</v>
      </c>
      <c r="BC129" s="20">
        <f t="shared" si="217"/>
        <v>123</v>
      </c>
    </row>
    <row r="130" spans="2:65" ht="29.15" x14ac:dyDescent="0.4">
      <c r="B130" s="528"/>
      <c r="C130" s="531"/>
      <c r="D130" s="534"/>
      <c r="E130" s="534"/>
      <c r="F130" s="522"/>
      <c r="G130" s="522"/>
      <c r="H130" s="522"/>
      <c r="I130" s="525"/>
      <c r="J130" s="178" t="s">
        <v>1676</v>
      </c>
      <c r="K130" s="168" t="s">
        <v>1677</v>
      </c>
      <c r="L130" s="63">
        <f>INDEX(SGPW,MATCH($K130,SGPW_Name,0),2)</f>
        <v>43</v>
      </c>
      <c r="M130" s="63">
        <f>INDEX(SGPW,MATCH($K130,SGPW_Name,0),3)</f>
        <v>270</v>
      </c>
      <c r="N130" s="63">
        <f>INDEX(SGPW,MATCH($K130,SGPW_Name,0),4)</f>
        <v>1.4</v>
      </c>
      <c r="O130" s="63">
        <f t="shared" si="218"/>
        <v>0</v>
      </c>
      <c r="P130" s="64">
        <v>1</v>
      </c>
      <c r="Q130" s="70">
        <f t="shared" si="219"/>
        <v>8.5</v>
      </c>
      <c r="R130" s="63">
        <f>IFERROR($L130+$M130*($O130*Q130)^$N130,$L130)</f>
        <v>43</v>
      </c>
      <c r="S130" s="64" cm="1">
        <f t="array" ref="S130">R130*$P130*INDEX(Month_Ref,Q$1-1,3)/365</f>
        <v>3.6520547945205482</v>
      </c>
      <c r="T130" s="70">
        <f t="shared" si="220"/>
        <v>7.8</v>
      </c>
      <c r="U130" s="63">
        <f>IFERROR($L130+$M130*($O130*T130)^$N130,$L130)</f>
        <v>43</v>
      </c>
      <c r="V130" s="64" cm="1">
        <f t="array" ref="V130">U130*$P130*INDEX(Month_Ref,T$1-1,3)/365</f>
        <v>3.2986301369863016</v>
      </c>
      <c r="W130" s="70">
        <f t="shared" si="221"/>
        <v>7.8</v>
      </c>
      <c r="X130" s="63">
        <f>IFERROR($L130+$M130*($O130*W130)^$N130,$L130)</f>
        <v>43</v>
      </c>
      <c r="Y130" s="64" cm="1">
        <f t="array" ref="Y130">X130*$P130*INDEX(Month_Ref,W$1-1,3)/365</f>
        <v>3.6520547945205482</v>
      </c>
      <c r="Z130" s="70">
        <f t="shared" si="222"/>
        <v>7.8</v>
      </c>
      <c r="AA130" s="63">
        <f>IFERROR($L130+$M130*($O130*Z130)^$N130,$L130)</f>
        <v>43</v>
      </c>
      <c r="AB130" s="64" cm="1">
        <f t="array" ref="AB130">AA130*$P130*INDEX(Month_Ref,Z$1-1,3)/365</f>
        <v>3.5342465753424657</v>
      </c>
      <c r="AC130" s="70">
        <f t="shared" si="223"/>
        <v>7.6</v>
      </c>
      <c r="AD130" s="63">
        <f>IFERROR($L130+$M130*($O130*AC130)^$N130,$L130)</f>
        <v>43</v>
      </c>
      <c r="AE130" s="64" cm="1">
        <f t="array" ref="AE130">AD130*$P130*INDEX(Month_Ref,AC$1-1,3)/365</f>
        <v>3.6520547945205482</v>
      </c>
      <c r="AF130" s="70">
        <f t="shared" si="224"/>
        <v>7.8</v>
      </c>
      <c r="AG130" s="63">
        <f>IFERROR($L130+$M130*($O130*AF130)^$N130,$L130)</f>
        <v>43</v>
      </c>
      <c r="AH130" s="64" cm="1">
        <f t="array" ref="AH130">AG130*$P130*INDEX(Month_Ref,AF$1-1,3)/365</f>
        <v>3.5342465753424657</v>
      </c>
      <c r="AI130" s="70">
        <f t="shared" si="225"/>
        <v>8.1</v>
      </c>
      <c r="AJ130" s="63">
        <f>IFERROR($L130+$M130*($O130*AI130)^$N130,$L130)</f>
        <v>43</v>
      </c>
      <c r="AK130" s="64" cm="1">
        <f t="array" ref="AK130">AJ130*$P130*INDEX(Month_Ref,AI$1-1,3)/365</f>
        <v>3.6520547945205482</v>
      </c>
      <c r="AL130" s="70">
        <f t="shared" si="226"/>
        <v>7.2</v>
      </c>
      <c r="AM130" s="63">
        <f>IFERROR($L130+$M130*($O130*AL130)^$N130,$L130)</f>
        <v>43</v>
      </c>
      <c r="AN130" s="64" cm="1">
        <f t="array" ref="AN130">AM130*$P130*INDEX(Month_Ref,AL$1-1,3)/365</f>
        <v>3.6520547945205482</v>
      </c>
      <c r="AO130" s="70">
        <f t="shared" si="227"/>
        <v>6.7</v>
      </c>
      <c r="AP130" s="63">
        <f>IFERROR($L130+$M130*($O130*AO130)^$N130,$L130)</f>
        <v>43</v>
      </c>
      <c r="AQ130" s="64" cm="1">
        <f t="array" ref="AQ130">AP130*$P130*INDEX(Month_Ref,AO$1-1,3)/365</f>
        <v>3.5342465753424657</v>
      </c>
      <c r="AR130" s="70">
        <f t="shared" si="228"/>
        <v>6.7</v>
      </c>
      <c r="AS130" s="63">
        <f>IFERROR($L130+$M130*($O130*AR130)^$N130,$L130)</f>
        <v>43</v>
      </c>
      <c r="AT130" s="64" cm="1">
        <f t="array" ref="AT130">AS130*$P130*INDEX(Month_Ref,AR$1-1,3)/365</f>
        <v>3.6520547945205482</v>
      </c>
      <c r="AU130" s="70">
        <f t="shared" si="229"/>
        <v>7.8</v>
      </c>
      <c r="AV130" s="63">
        <f>IFERROR($L130+$M130*($O130*AU130)^$N130,$L130)</f>
        <v>43</v>
      </c>
      <c r="AW130" s="64" cm="1">
        <f t="array" ref="AW130">AV130*$P130*INDEX(Month_Ref,AU$1-1,3)/365</f>
        <v>3.5342465753424657</v>
      </c>
      <c r="AX130" s="70">
        <f t="shared" si="230"/>
        <v>8.6999999999999993</v>
      </c>
      <c r="AY130" s="63">
        <f>IFERROR($L130+$M130*($O130*AX130)^$N130,$L130)</f>
        <v>43</v>
      </c>
      <c r="AZ130" s="64" cm="1">
        <f t="array" ref="AZ130">AY130*$P130*INDEX(Month_Ref,AX$1-1,3)/365</f>
        <v>3.6520547945205482</v>
      </c>
      <c r="BA130" s="183">
        <f t="shared" si="216"/>
        <v>42.999999999999993</v>
      </c>
      <c r="BC130" s="20">
        <f t="shared" si="217"/>
        <v>124</v>
      </c>
    </row>
    <row r="131" spans="2:65" x14ac:dyDescent="0.4">
      <c r="B131" s="528"/>
      <c r="C131" s="531"/>
      <c r="D131" s="534"/>
      <c r="E131" s="534"/>
      <c r="F131" s="522"/>
      <c r="G131" s="522"/>
      <c r="H131" s="522"/>
      <c r="I131" s="525"/>
      <c r="J131" s="178" t="s">
        <v>1682</v>
      </c>
      <c r="K131" s="168" t="s">
        <v>1661</v>
      </c>
      <c r="L131" s="63">
        <f>INDEX(GFW,MATCH($K131,GFW_Name,0),2)</f>
        <v>2.8</v>
      </c>
      <c r="M131" s="63">
        <f>INDEX(GFW,MATCH($K131,GFW_Name,0),3)</f>
        <v>0</v>
      </c>
      <c r="N131" s="63">
        <f>INDEX(GFW,MATCH($K131,GFW_Name,0),4)</f>
        <v>0</v>
      </c>
      <c r="O131" s="63">
        <f t="shared" si="218"/>
        <v>0</v>
      </c>
      <c r="P131" s="64">
        <v>1</v>
      </c>
      <c r="Q131" s="70">
        <f t="shared" si="219"/>
        <v>8.5</v>
      </c>
      <c r="R131" s="187">
        <f t="shared" ref="R131:R140" si="231">IFERROR($L131+$M131*($O131*Q131)^$N131,$L131)</f>
        <v>2.8</v>
      </c>
      <c r="S131" s="189" cm="1">
        <f t="array" ref="S131">R131*$P131*INDEX(Month_Ref,Q$1-1,3)/365</f>
        <v>0.23780821917808218</v>
      </c>
      <c r="T131" s="70">
        <f t="shared" si="220"/>
        <v>7.8</v>
      </c>
      <c r="U131" s="187">
        <f t="shared" ref="U131:U140" si="232">IFERROR($L131+$M131*($O131*T131)^$N131,$L131)</f>
        <v>2.8</v>
      </c>
      <c r="V131" s="189" cm="1">
        <f t="array" ref="V131">U131*$P131*INDEX(Month_Ref,T$1-1,3)/365</f>
        <v>0.21479452054794518</v>
      </c>
      <c r="W131" s="70">
        <f t="shared" si="221"/>
        <v>7.8</v>
      </c>
      <c r="X131" s="187">
        <f t="shared" ref="X131:X140" si="233">IFERROR($L131+$M131*($O131*W131)^$N131,$L131)</f>
        <v>2.8</v>
      </c>
      <c r="Y131" s="189" cm="1">
        <f t="array" ref="Y131">X131*$P131*INDEX(Month_Ref,W$1-1,3)/365</f>
        <v>0.23780821917808218</v>
      </c>
      <c r="Z131" s="70">
        <f t="shared" si="222"/>
        <v>7.8</v>
      </c>
      <c r="AA131" s="187">
        <f t="shared" ref="AA131:AA140" si="234">IFERROR($L131+$M131*($O131*Z131)^$N131,$L131)</f>
        <v>2.8</v>
      </c>
      <c r="AB131" s="189" cm="1">
        <f t="array" ref="AB131">AA131*$P131*INDEX(Month_Ref,Z$1-1,3)/365</f>
        <v>0.23013698630136986</v>
      </c>
      <c r="AC131" s="70">
        <f t="shared" si="223"/>
        <v>7.6</v>
      </c>
      <c r="AD131" s="187">
        <f t="shared" ref="AD131:AD140" si="235">IFERROR($L131+$M131*($O131*AC131)^$N131,$L131)</f>
        <v>2.8</v>
      </c>
      <c r="AE131" s="189" cm="1">
        <f t="array" ref="AE131">AD131*$P131*INDEX(Month_Ref,AC$1-1,3)/365</f>
        <v>0.23780821917808218</v>
      </c>
      <c r="AF131" s="70">
        <f t="shared" si="224"/>
        <v>7.8</v>
      </c>
      <c r="AG131" s="187">
        <f t="shared" ref="AG131:AG140" si="236">IFERROR($L131+$M131*($O131*AF131)^$N131,$L131)</f>
        <v>2.8</v>
      </c>
      <c r="AH131" s="189" cm="1">
        <f t="array" ref="AH131">AG131*$P131*INDEX(Month_Ref,AF$1-1,3)/365</f>
        <v>0.23013698630136986</v>
      </c>
      <c r="AI131" s="70">
        <f t="shared" si="225"/>
        <v>8.1</v>
      </c>
      <c r="AJ131" s="187">
        <f t="shared" ref="AJ131:AJ140" si="237">IFERROR($L131+$M131*($O131*AI131)^$N131,$L131)</f>
        <v>2.8</v>
      </c>
      <c r="AK131" s="189" cm="1">
        <f t="array" ref="AK131">AJ131*$P131*INDEX(Month_Ref,AI$1-1,3)/365</f>
        <v>0.23780821917808218</v>
      </c>
      <c r="AL131" s="70">
        <f t="shared" si="226"/>
        <v>7.2</v>
      </c>
      <c r="AM131" s="187">
        <f t="shared" ref="AM131:AM140" si="238">IFERROR($L131+$M131*($O131*AL131)^$N131,$L131)</f>
        <v>2.8</v>
      </c>
      <c r="AN131" s="189" cm="1">
        <f t="array" ref="AN131">AM131*$P131*INDEX(Month_Ref,AL$1-1,3)/365</f>
        <v>0.23780821917808218</v>
      </c>
      <c r="AO131" s="70">
        <f t="shared" si="227"/>
        <v>6.7</v>
      </c>
      <c r="AP131" s="187">
        <f t="shared" ref="AP131:AP140" si="239">IFERROR($L131+$M131*($O131*AO131)^$N131,$L131)</f>
        <v>2.8</v>
      </c>
      <c r="AQ131" s="189" cm="1">
        <f t="array" ref="AQ131">AP131*$P131*INDEX(Month_Ref,AO$1-1,3)/365</f>
        <v>0.23013698630136986</v>
      </c>
      <c r="AR131" s="70">
        <f t="shared" si="228"/>
        <v>6.7</v>
      </c>
      <c r="AS131" s="187">
        <f t="shared" ref="AS131:AS140" si="240">IFERROR($L131+$M131*($O131*AR131)^$N131,$L131)</f>
        <v>2.8</v>
      </c>
      <c r="AT131" s="189" cm="1">
        <f t="array" ref="AT131">AS131*$P131*INDEX(Month_Ref,AR$1-1,3)/365</f>
        <v>0.23780821917808218</v>
      </c>
      <c r="AU131" s="70">
        <f t="shared" si="229"/>
        <v>7.8</v>
      </c>
      <c r="AV131" s="187">
        <f t="shared" ref="AV131:AV140" si="241">IFERROR($L131+$M131*($O131*AU131)^$N131,$L131)</f>
        <v>2.8</v>
      </c>
      <c r="AW131" s="189" cm="1">
        <f t="array" ref="AW131">AV131*$P131*INDEX(Month_Ref,AU$1-1,3)/365</f>
        <v>0.23013698630136986</v>
      </c>
      <c r="AX131" s="70">
        <f t="shared" si="230"/>
        <v>8.6999999999999993</v>
      </c>
      <c r="AY131" s="187">
        <f t="shared" ref="AY131:AY140" si="242">IFERROR($L131+$M131*($O131*AX131)^$N131,$L131)</f>
        <v>2.8</v>
      </c>
      <c r="AZ131" s="189" cm="1">
        <f t="array" ref="AZ131">AY131*$P131*INDEX(Month_Ref,AX$1-1,3)/365</f>
        <v>0.23780821917808218</v>
      </c>
      <c r="BA131" s="183">
        <f t="shared" si="216"/>
        <v>2.8</v>
      </c>
      <c r="BC131" s="20">
        <f t="shared" si="217"/>
        <v>125</v>
      </c>
    </row>
    <row r="132" spans="2:65" ht="29.15" x14ac:dyDescent="0.4">
      <c r="B132" s="528"/>
      <c r="C132" s="531"/>
      <c r="D132" s="534"/>
      <c r="E132" s="534"/>
      <c r="F132" s="522"/>
      <c r="G132" s="522"/>
      <c r="H132" s="522"/>
      <c r="I132" s="525"/>
      <c r="J132" s="179" t="s">
        <v>1683</v>
      </c>
      <c r="K132" s="168" t="s">
        <v>1685</v>
      </c>
      <c r="L132" s="63">
        <f>INDEX(GHSP,MATCH($K132,GHSP_Name,0),2)</f>
        <v>2.2999999999999998</v>
      </c>
      <c r="M132" s="63">
        <f>INDEX(GHSP,MATCH($K132,GHSP_Name,0),3)</f>
        <v>0</v>
      </c>
      <c r="N132" s="63">
        <f>INDEX(GHSP,MATCH($K132,GHSP_Name,0),4)</f>
        <v>0</v>
      </c>
      <c r="O132" s="63">
        <f t="shared" si="218"/>
        <v>0</v>
      </c>
      <c r="P132" s="64">
        <v>1</v>
      </c>
      <c r="Q132" s="70">
        <f t="shared" si="219"/>
        <v>8.5</v>
      </c>
      <c r="R132" s="190">
        <f t="shared" si="231"/>
        <v>2.2999999999999998</v>
      </c>
      <c r="S132" s="191" cm="1">
        <f t="array" ref="S132">R132*$P132*INDEX(Month_Ref,Q$1-1,3)/365</f>
        <v>0.19534246575342465</v>
      </c>
      <c r="T132" s="70">
        <f t="shared" si="220"/>
        <v>7.8</v>
      </c>
      <c r="U132" s="190">
        <f t="shared" si="232"/>
        <v>2.2999999999999998</v>
      </c>
      <c r="V132" s="191" cm="1">
        <f t="array" ref="V132">U132*$P132*INDEX(Month_Ref,T$1-1,3)/365</f>
        <v>0.17643835616438353</v>
      </c>
      <c r="W132" s="70">
        <f t="shared" si="221"/>
        <v>7.8</v>
      </c>
      <c r="X132" s="190">
        <f t="shared" si="233"/>
        <v>2.2999999999999998</v>
      </c>
      <c r="Y132" s="191" cm="1">
        <f t="array" ref="Y132">X132*$P132*INDEX(Month_Ref,W$1-1,3)/365</f>
        <v>0.19534246575342465</v>
      </c>
      <c r="Z132" s="70">
        <f t="shared" si="222"/>
        <v>7.8</v>
      </c>
      <c r="AA132" s="190">
        <f t="shared" si="234"/>
        <v>2.2999999999999998</v>
      </c>
      <c r="AB132" s="191" cm="1">
        <f t="array" ref="AB132">AA132*$P132*INDEX(Month_Ref,Z$1-1,3)/365</f>
        <v>0.18904109589041096</v>
      </c>
      <c r="AC132" s="70">
        <f t="shared" si="223"/>
        <v>7.6</v>
      </c>
      <c r="AD132" s="190">
        <f t="shared" si="235"/>
        <v>2.2999999999999998</v>
      </c>
      <c r="AE132" s="191" cm="1">
        <f t="array" ref="AE132">AD132*$P132*INDEX(Month_Ref,AC$1-1,3)/365</f>
        <v>0.19534246575342465</v>
      </c>
      <c r="AF132" s="70">
        <f t="shared" si="224"/>
        <v>7.8</v>
      </c>
      <c r="AG132" s="190">
        <f t="shared" si="236"/>
        <v>2.2999999999999998</v>
      </c>
      <c r="AH132" s="191" cm="1">
        <f t="array" ref="AH132">AG132*$P132*INDEX(Month_Ref,AF$1-1,3)/365</f>
        <v>0.18904109589041096</v>
      </c>
      <c r="AI132" s="70">
        <f t="shared" si="225"/>
        <v>8.1</v>
      </c>
      <c r="AJ132" s="190">
        <f t="shared" si="237"/>
        <v>2.2999999999999998</v>
      </c>
      <c r="AK132" s="191" cm="1">
        <f t="array" ref="AK132">AJ132*$P132*INDEX(Month_Ref,AI$1-1,3)/365</f>
        <v>0.19534246575342465</v>
      </c>
      <c r="AL132" s="70">
        <f t="shared" si="226"/>
        <v>7.2</v>
      </c>
      <c r="AM132" s="190">
        <f t="shared" si="238"/>
        <v>2.2999999999999998</v>
      </c>
      <c r="AN132" s="191" cm="1">
        <f t="array" ref="AN132">AM132*$P132*INDEX(Month_Ref,AL$1-1,3)/365</f>
        <v>0.19534246575342465</v>
      </c>
      <c r="AO132" s="70">
        <f t="shared" si="227"/>
        <v>6.7</v>
      </c>
      <c r="AP132" s="190">
        <f t="shared" si="239"/>
        <v>2.2999999999999998</v>
      </c>
      <c r="AQ132" s="191" cm="1">
        <f t="array" ref="AQ132">AP132*$P132*INDEX(Month_Ref,AO$1-1,3)/365</f>
        <v>0.18904109589041096</v>
      </c>
      <c r="AR132" s="70">
        <f t="shared" si="228"/>
        <v>6.7</v>
      </c>
      <c r="AS132" s="190">
        <f t="shared" si="240"/>
        <v>2.2999999999999998</v>
      </c>
      <c r="AT132" s="191" cm="1">
        <f t="array" ref="AT132">AS132*$P132*INDEX(Month_Ref,AR$1-1,3)/365</f>
        <v>0.19534246575342465</v>
      </c>
      <c r="AU132" s="70">
        <f t="shared" si="229"/>
        <v>7.8</v>
      </c>
      <c r="AV132" s="190">
        <f t="shared" si="241"/>
        <v>2.2999999999999998</v>
      </c>
      <c r="AW132" s="191" cm="1">
        <f t="array" ref="AW132">AV132*$P132*INDEX(Month_Ref,AU$1-1,3)/365</f>
        <v>0.18904109589041096</v>
      </c>
      <c r="AX132" s="70">
        <f t="shared" si="230"/>
        <v>8.6999999999999993</v>
      </c>
      <c r="AY132" s="190">
        <f t="shared" si="242"/>
        <v>2.2999999999999998</v>
      </c>
      <c r="AZ132" s="191" cm="1">
        <f t="array" ref="AZ132">AY132*$P132*INDEX(Month_Ref,AX$1-1,3)/365</f>
        <v>0.19534246575342465</v>
      </c>
      <c r="BA132" s="183">
        <f t="shared" si="216"/>
        <v>2.3000000000000003</v>
      </c>
      <c r="BC132" s="20">
        <f t="shared" si="217"/>
        <v>126</v>
      </c>
    </row>
    <row r="133" spans="2:65" ht="29.15" x14ac:dyDescent="0.4">
      <c r="B133" s="528"/>
      <c r="C133" s="531"/>
      <c r="D133" s="534"/>
      <c r="E133" s="534"/>
      <c r="F133" s="522"/>
      <c r="G133" s="522"/>
      <c r="H133" s="522"/>
      <c r="I133" s="525"/>
      <c r="J133" s="179" t="s">
        <v>1687</v>
      </c>
      <c r="K133" s="168" t="s">
        <v>1685</v>
      </c>
      <c r="L133" s="63">
        <f>INDEX(Vac_Break,MATCH($K133,Vac_Break_Name,0),2)</f>
        <v>7.8</v>
      </c>
      <c r="M133" s="63">
        <f>INDEX(Vac_Break,MATCH($K133,Vac_Break_Name,0),3)</f>
        <v>0.01</v>
      </c>
      <c r="N133" s="63">
        <f>INDEX(Vac_Break,MATCH($K133,Vac_Break_Name,0),4)</f>
        <v>4</v>
      </c>
      <c r="O133" s="63">
        <f t="shared" si="218"/>
        <v>0</v>
      </c>
      <c r="P133" s="64" cm="1">
        <f t="array" ref="P133">IF(F127="Internal Floating Roof",1,INDEX(Tbl_71_13,_xlfn.MINIFS(Tbl_71_13_Range,Tbl_71_13_Dia,"&gt;="&amp;$E127),IF(G127="Pontoon",3,4)))</f>
        <v>1</v>
      </c>
      <c r="Q133" s="70">
        <f t="shared" si="219"/>
        <v>8.5</v>
      </c>
      <c r="R133" s="187">
        <f t="shared" si="231"/>
        <v>7.8</v>
      </c>
      <c r="S133" s="189" cm="1">
        <f t="array" ref="S133">R133*$P133*INDEX(Month_Ref,Q$1-1,3)/365</f>
        <v>0.66246575342465752</v>
      </c>
      <c r="T133" s="70">
        <f t="shared" si="220"/>
        <v>7.8</v>
      </c>
      <c r="U133" s="187">
        <f t="shared" si="232"/>
        <v>7.8</v>
      </c>
      <c r="V133" s="189" cm="1">
        <f t="array" ref="V133">U133*$P133*INDEX(Month_Ref,T$1-1,3)/365</f>
        <v>0.59835616438356165</v>
      </c>
      <c r="W133" s="70">
        <f t="shared" si="221"/>
        <v>7.8</v>
      </c>
      <c r="X133" s="187">
        <f t="shared" si="233"/>
        <v>7.8</v>
      </c>
      <c r="Y133" s="189" cm="1">
        <f t="array" ref="Y133">X133*$P133*INDEX(Month_Ref,W$1-1,3)/365</f>
        <v>0.66246575342465752</v>
      </c>
      <c r="Z133" s="70">
        <f t="shared" si="222"/>
        <v>7.8</v>
      </c>
      <c r="AA133" s="187">
        <f t="shared" si="234"/>
        <v>7.8</v>
      </c>
      <c r="AB133" s="189" cm="1">
        <f t="array" ref="AB133">AA133*$P133*INDEX(Month_Ref,Z$1-1,3)/365</f>
        <v>0.64109589041095894</v>
      </c>
      <c r="AC133" s="70">
        <f t="shared" si="223"/>
        <v>7.6</v>
      </c>
      <c r="AD133" s="187">
        <f t="shared" si="235"/>
        <v>7.8</v>
      </c>
      <c r="AE133" s="189" cm="1">
        <f t="array" ref="AE133">AD133*$P133*INDEX(Month_Ref,AC$1-1,3)/365</f>
        <v>0.66246575342465752</v>
      </c>
      <c r="AF133" s="70">
        <f t="shared" si="224"/>
        <v>7.8</v>
      </c>
      <c r="AG133" s="187">
        <f t="shared" si="236"/>
        <v>7.8</v>
      </c>
      <c r="AH133" s="189" cm="1">
        <f t="array" ref="AH133">AG133*$P133*INDEX(Month_Ref,AF$1-1,3)/365</f>
        <v>0.64109589041095894</v>
      </c>
      <c r="AI133" s="70">
        <f t="shared" si="225"/>
        <v>8.1</v>
      </c>
      <c r="AJ133" s="187">
        <f t="shared" si="237"/>
        <v>7.8</v>
      </c>
      <c r="AK133" s="189" cm="1">
        <f t="array" ref="AK133">AJ133*$P133*INDEX(Month_Ref,AI$1-1,3)/365</f>
        <v>0.66246575342465752</v>
      </c>
      <c r="AL133" s="70">
        <f t="shared" si="226"/>
        <v>7.2</v>
      </c>
      <c r="AM133" s="187">
        <f t="shared" si="238"/>
        <v>7.8</v>
      </c>
      <c r="AN133" s="189" cm="1">
        <f t="array" ref="AN133">AM133*$P133*INDEX(Month_Ref,AL$1-1,3)/365</f>
        <v>0.66246575342465752</v>
      </c>
      <c r="AO133" s="70">
        <f t="shared" si="227"/>
        <v>6.7</v>
      </c>
      <c r="AP133" s="187">
        <f t="shared" si="239"/>
        <v>7.8</v>
      </c>
      <c r="AQ133" s="189" cm="1">
        <f t="array" ref="AQ133">AP133*$P133*INDEX(Month_Ref,AO$1-1,3)/365</f>
        <v>0.64109589041095894</v>
      </c>
      <c r="AR133" s="70">
        <f t="shared" si="228"/>
        <v>6.7</v>
      </c>
      <c r="AS133" s="187">
        <f t="shared" si="240"/>
        <v>7.8</v>
      </c>
      <c r="AT133" s="189" cm="1">
        <f t="array" ref="AT133">AS133*$P133*INDEX(Month_Ref,AR$1-1,3)/365</f>
        <v>0.66246575342465752</v>
      </c>
      <c r="AU133" s="70">
        <f t="shared" si="229"/>
        <v>7.8</v>
      </c>
      <c r="AV133" s="187">
        <f t="shared" si="241"/>
        <v>7.8</v>
      </c>
      <c r="AW133" s="189" cm="1">
        <f t="array" ref="AW133">AV133*$P133*INDEX(Month_Ref,AU$1-1,3)/365</f>
        <v>0.64109589041095894</v>
      </c>
      <c r="AX133" s="70">
        <f t="shared" si="230"/>
        <v>8.6999999999999993</v>
      </c>
      <c r="AY133" s="187">
        <f t="shared" si="242"/>
        <v>7.8</v>
      </c>
      <c r="AZ133" s="189" cm="1">
        <f t="array" ref="AZ133">AY133*$P133*INDEX(Month_Ref,AX$1-1,3)/365</f>
        <v>0.66246575342465752</v>
      </c>
      <c r="BA133" s="183">
        <f t="shared" si="216"/>
        <v>7.8000000000000016</v>
      </c>
      <c r="BC133" s="20">
        <f t="shared" si="217"/>
        <v>127</v>
      </c>
    </row>
    <row r="134" spans="2:65" x14ac:dyDescent="0.4">
      <c r="B134" s="528"/>
      <c r="C134" s="531"/>
      <c r="D134" s="534"/>
      <c r="E134" s="534"/>
      <c r="F134" s="522"/>
      <c r="G134" s="522"/>
      <c r="H134" s="522"/>
      <c r="I134" s="525"/>
      <c r="J134" s="179" t="s">
        <v>1688</v>
      </c>
      <c r="K134" s="168" t="s">
        <v>1647</v>
      </c>
      <c r="L134" s="63">
        <f>INDEX(Deck_Drain,MATCH($K134,Deck_Drain_Name,0),2)</f>
        <v>0</v>
      </c>
      <c r="M134" s="63">
        <f>INDEX(Deck_Drain,MATCH($K134,Deck_Drain_Name,0),3)</f>
        <v>0</v>
      </c>
      <c r="N134" s="63">
        <f>INDEX(Deck_Drain,MATCH($K134,Deck_Drain_Name,0),4)</f>
        <v>0</v>
      </c>
      <c r="O134" s="63">
        <f t="shared" si="218"/>
        <v>0</v>
      </c>
      <c r="P134" s="64" cm="1">
        <f t="array" ref="P134">IF(F127="Internal Floating Roof",1,INDEX(Tbl_71_13,_xlfn.MINIFS(Tbl_71_13_Range,Tbl_71_13_Dia,"&gt;="&amp;$E127),5))</f>
        <v>1</v>
      </c>
      <c r="Q134" s="70">
        <f t="shared" si="219"/>
        <v>8.5</v>
      </c>
      <c r="R134" s="188">
        <f t="shared" si="231"/>
        <v>0</v>
      </c>
      <c r="S134" s="192" cm="1">
        <f t="array" ref="S134">R134*$P134*INDEX(Month_Ref,Q$1-1,3)/365</f>
        <v>0</v>
      </c>
      <c r="T134" s="70">
        <f t="shared" si="220"/>
        <v>7.8</v>
      </c>
      <c r="U134" s="188">
        <f t="shared" si="232"/>
        <v>0</v>
      </c>
      <c r="V134" s="192" cm="1">
        <f t="array" ref="V134">U134*$P134*INDEX(Month_Ref,T$1-1,3)/365</f>
        <v>0</v>
      </c>
      <c r="W134" s="70">
        <f t="shared" si="221"/>
        <v>7.8</v>
      </c>
      <c r="X134" s="188">
        <f t="shared" si="233"/>
        <v>0</v>
      </c>
      <c r="Y134" s="192" cm="1">
        <f t="array" ref="Y134">X134*$P134*INDEX(Month_Ref,W$1-1,3)/365</f>
        <v>0</v>
      </c>
      <c r="Z134" s="70">
        <f t="shared" si="222"/>
        <v>7.8</v>
      </c>
      <c r="AA134" s="188">
        <f t="shared" si="234"/>
        <v>0</v>
      </c>
      <c r="AB134" s="192" cm="1">
        <f t="array" ref="AB134">AA134*$P134*INDEX(Month_Ref,Z$1-1,3)/365</f>
        <v>0</v>
      </c>
      <c r="AC134" s="70">
        <f t="shared" si="223"/>
        <v>7.6</v>
      </c>
      <c r="AD134" s="188">
        <f t="shared" si="235"/>
        <v>0</v>
      </c>
      <c r="AE134" s="192" cm="1">
        <f t="array" ref="AE134">AD134*$P134*INDEX(Month_Ref,AC$1-1,3)/365</f>
        <v>0</v>
      </c>
      <c r="AF134" s="70">
        <f t="shared" si="224"/>
        <v>7.8</v>
      </c>
      <c r="AG134" s="188">
        <f t="shared" si="236"/>
        <v>0</v>
      </c>
      <c r="AH134" s="192" cm="1">
        <f t="array" ref="AH134">AG134*$P134*INDEX(Month_Ref,AF$1-1,3)/365</f>
        <v>0</v>
      </c>
      <c r="AI134" s="70">
        <f t="shared" si="225"/>
        <v>8.1</v>
      </c>
      <c r="AJ134" s="188">
        <f t="shared" si="237"/>
        <v>0</v>
      </c>
      <c r="AK134" s="192" cm="1">
        <f t="array" ref="AK134">AJ134*$P134*INDEX(Month_Ref,AI$1-1,3)/365</f>
        <v>0</v>
      </c>
      <c r="AL134" s="70">
        <f t="shared" si="226"/>
        <v>7.2</v>
      </c>
      <c r="AM134" s="188">
        <f t="shared" si="238"/>
        <v>0</v>
      </c>
      <c r="AN134" s="192" cm="1">
        <f t="array" ref="AN134">AM134*$P134*INDEX(Month_Ref,AL$1-1,3)/365</f>
        <v>0</v>
      </c>
      <c r="AO134" s="70">
        <f t="shared" si="227"/>
        <v>6.7</v>
      </c>
      <c r="AP134" s="188">
        <f t="shared" si="239"/>
        <v>0</v>
      </c>
      <c r="AQ134" s="192" cm="1">
        <f t="array" ref="AQ134">AP134*$P134*INDEX(Month_Ref,AO$1-1,3)/365</f>
        <v>0</v>
      </c>
      <c r="AR134" s="70">
        <f t="shared" si="228"/>
        <v>6.7</v>
      </c>
      <c r="AS134" s="188">
        <f t="shared" si="240"/>
        <v>0</v>
      </c>
      <c r="AT134" s="192" cm="1">
        <f t="array" ref="AT134">AS134*$P134*INDEX(Month_Ref,AR$1-1,3)/365</f>
        <v>0</v>
      </c>
      <c r="AU134" s="70">
        <f t="shared" si="229"/>
        <v>7.8</v>
      </c>
      <c r="AV134" s="188">
        <f t="shared" si="241"/>
        <v>0</v>
      </c>
      <c r="AW134" s="192" cm="1">
        <f t="array" ref="AW134">AV134*$P134*INDEX(Month_Ref,AU$1-1,3)/365</f>
        <v>0</v>
      </c>
      <c r="AX134" s="70">
        <f t="shared" si="230"/>
        <v>8.6999999999999993</v>
      </c>
      <c r="AY134" s="188">
        <f t="shared" si="242"/>
        <v>0</v>
      </c>
      <c r="AZ134" s="192" cm="1">
        <f t="array" ref="AZ134">AY134*$P134*INDEX(Month_Ref,AX$1-1,3)/365</f>
        <v>0</v>
      </c>
      <c r="BA134" s="183">
        <f t="shared" si="216"/>
        <v>0</v>
      </c>
      <c r="BC134" s="20">
        <f t="shared" si="217"/>
        <v>128</v>
      </c>
    </row>
    <row r="135" spans="2:65" x14ac:dyDescent="0.4">
      <c r="B135" s="528"/>
      <c r="C135" s="531"/>
      <c r="D135" s="534"/>
      <c r="E135" s="534"/>
      <c r="F135" s="522"/>
      <c r="G135" s="522"/>
      <c r="H135" s="522"/>
      <c r="I135" s="525"/>
      <c r="J135" s="179" t="s">
        <v>1708</v>
      </c>
      <c r="K135" s="168" t="s">
        <v>1647</v>
      </c>
      <c r="L135" s="63">
        <f>INDEX(Deck_Leg_IFR,MATCH($K135,Deck_Leg_IFR_Name,0),2)</f>
        <v>7.9</v>
      </c>
      <c r="M135" s="63">
        <f>INDEX(Deck_Leg_IFR,MATCH($K135,Deck_Leg_IFR_Name,0),3)</f>
        <v>0</v>
      </c>
      <c r="N135" s="63">
        <f>INDEX(Deck_Leg_IFR,MATCH($K135,Deck_Leg_IFR_Name,0),4)</f>
        <v>0</v>
      </c>
      <c r="O135" s="63">
        <f t="shared" si="218"/>
        <v>0</v>
      </c>
      <c r="P135" s="64">
        <f>IF($F127="Internal Floating Roof",ROUND(5+$E127/10+($E127^2)/600,0),0)</f>
        <v>15</v>
      </c>
      <c r="Q135" s="70">
        <f t="shared" si="219"/>
        <v>8.5</v>
      </c>
      <c r="R135" s="63">
        <f t="shared" si="231"/>
        <v>7.9</v>
      </c>
      <c r="S135" s="64" cm="1">
        <f t="array" ref="S135">R135*$P135*INDEX(Month_Ref,Q$1-1,3)/365</f>
        <v>10.064383561643835</v>
      </c>
      <c r="T135" s="70">
        <f t="shared" si="220"/>
        <v>7.8</v>
      </c>
      <c r="U135" s="63">
        <f t="shared" si="232"/>
        <v>7.9</v>
      </c>
      <c r="V135" s="64" cm="1">
        <f t="array" ref="V135">U135*$P135*INDEX(Month_Ref,T$1-1,3)/365</f>
        <v>9.0904109589041102</v>
      </c>
      <c r="W135" s="70">
        <f t="shared" si="221"/>
        <v>7.8</v>
      </c>
      <c r="X135" s="63">
        <f t="shared" si="233"/>
        <v>7.9</v>
      </c>
      <c r="Y135" s="64" cm="1">
        <f t="array" ref="Y135">X135*$P135*INDEX(Month_Ref,W$1-1,3)/365</f>
        <v>10.064383561643835</v>
      </c>
      <c r="Z135" s="70">
        <f t="shared" si="222"/>
        <v>7.8</v>
      </c>
      <c r="AA135" s="63">
        <f t="shared" si="234"/>
        <v>7.9</v>
      </c>
      <c r="AB135" s="64" cm="1">
        <f t="array" ref="AB135">AA135*$P135*INDEX(Month_Ref,Z$1-1,3)/365</f>
        <v>9.7397260273972606</v>
      </c>
      <c r="AC135" s="70">
        <f t="shared" si="223"/>
        <v>7.6</v>
      </c>
      <c r="AD135" s="63">
        <f t="shared" si="235"/>
        <v>7.9</v>
      </c>
      <c r="AE135" s="64" cm="1">
        <f t="array" ref="AE135">AD135*$P135*INDEX(Month_Ref,AC$1-1,3)/365</f>
        <v>10.064383561643835</v>
      </c>
      <c r="AF135" s="70">
        <f t="shared" si="224"/>
        <v>7.8</v>
      </c>
      <c r="AG135" s="63">
        <f t="shared" si="236"/>
        <v>7.9</v>
      </c>
      <c r="AH135" s="64" cm="1">
        <f t="array" ref="AH135">AG135*$P135*INDEX(Month_Ref,AF$1-1,3)/365</f>
        <v>9.7397260273972606</v>
      </c>
      <c r="AI135" s="70">
        <f t="shared" si="225"/>
        <v>8.1</v>
      </c>
      <c r="AJ135" s="63">
        <f t="shared" si="237"/>
        <v>7.9</v>
      </c>
      <c r="AK135" s="64" cm="1">
        <f t="array" ref="AK135">AJ135*$P135*INDEX(Month_Ref,AI$1-1,3)/365</f>
        <v>10.064383561643835</v>
      </c>
      <c r="AL135" s="70">
        <f t="shared" si="226"/>
        <v>7.2</v>
      </c>
      <c r="AM135" s="63">
        <f t="shared" si="238"/>
        <v>7.9</v>
      </c>
      <c r="AN135" s="64" cm="1">
        <f t="array" ref="AN135">AM135*$P135*INDEX(Month_Ref,AL$1-1,3)/365</f>
        <v>10.064383561643835</v>
      </c>
      <c r="AO135" s="70">
        <f t="shared" si="227"/>
        <v>6.7</v>
      </c>
      <c r="AP135" s="63">
        <f t="shared" si="239"/>
        <v>7.9</v>
      </c>
      <c r="AQ135" s="64" cm="1">
        <f t="array" ref="AQ135">AP135*$P135*INDEX(Month_Ref,AO$1-1,3)/365</f>
        <v>9.7397260273972606</v>
      </c>
      <c r="AR135" s="70">
        <f t="shared" si="228"/>
        <v>6.7</v>
      </c>
      <c r="AS135" s="63">
        <f t="shared" si="240"/>
        <v>7.9</v>
      </c>
      <c r="AT135" s="64" cm="1">
        <f t="array" ref="AT135">AS135*$P135*INDEX(Month_Ref,AR$1-1,3)/365</f>
        <v>10.064383561643835</v>
      </c>
      <c r="AU135" s="70">
        <f t="shared" si="229"/>
        <v>7.8</v>
      </c>
      <c r="AV135" s="63">
        <f t="shared" si="241"/>
        <v>7.9</v>
      </c>
      <c r="AW135" s="64" cm="1">
        <f t="array" ref="AW135">AV135*$P135*INDEX(Month_Ref,AU$1-1,3)/365</f>
        <v>9.7397260273972606</v>
      </c>
      <c r="AX135" s="70">
        <f t="shared" si="230"/>
        <v>8.6999999999999993</v>
      </c>
      <c r="AY135" s="63">
        <f t="shared" si="242"/>
        <v>7.9</v>
      </c>
      <c r="AZ135" s="64" cm="1">
        <f t="array" ref="AZ135">AY135*$P135*INDEX(Month_Ref,AX$1-1,3)/365</f>
        <v>10.064383561643835</v>
      </c>
      <c r="BA135" s="183">
        <f t="shared" si="216"/>
        <v>118.5</v>
      </c>
      <c r="BC135" s="20">
        <f t="shared" si="217"/>
        <v>129</v>
      </c>
    </row>
    <row r="136" spans="2:65" x14ac:dyDescent="0.4">
      <c r="B136" s="528"/>
      <c r="C136" s="531"/>
      <c r="D136" s="534"/>
      <c r="E136" s="534"/>
      <c r="F136" s="522"/>
      <c r="G136" s="522"/>
      <c r="H136" s="522"/>
      <c r="I136" s="525"/>
      <c r="J136" s="179" t="s">
        <v>1711</v>
      </c>
      <c r="K136" s="168" t="s">
        <v>1582</v>
      </c>
      <c r="L136" s="63">
        <f>INDEX(Deck_Leg_Pon,MATCH($K136,Deck_Leg_Pon_Name,0),2)</f>
        <v>0</v>
      </c>
      <c r="M136" s="63">
        <f>INDEX(Deck_Leg_Pon,MATCH($K136,Deck_Leg_Pon_Name,0),3)</f>
        <v>0</v>
      </c>
      <c r="N136" s="63">
        <f>INDEX(Deck_Leg_Pon,MATCH($K136,Deck_Leg_Pon_Name,0),4)</f>
        <v>0</v>
      </c>
      <c r="O136" s="63">
        <f t="shared" si="218"/>
        <v>0</v>
      </c>
      <c r="P136" s="64" cm="1">
        <f t="array" ref="P136">IF($G127="Pontoon",INDEX(Tbl_71_14,_xlfn.MINIFS(Tbl_71_14_Range,Tbl_71_14_Dia,"&gt;="&amp;$E127),3),0)</f>
        <v>0</v>
      </c>
      <c r="Q136" s="70">
        <f t="shared" si="219"/>
        <v>8.5</v>
      </c>
      <c r="R136" s="188">
        <f t="shared" si="231"/>
        <v>0</v>
      </c>
      <c r="S136" s="64" cm="1">
        <f t="array" ref="S136">R136*$P136*INDEX(Month_Ref,Q$1-1,3)/365</f>
        <v>0</v>
      </c>
      <c r="T136" s="70">
        <f t="shared" si="220"/>
        <v>7.8</v>
      </c>
      <c r="U136" s="188">
        <f t="shared" si="232"/>
        <v>0</v>
      </c>
      <c r="V136" s="64" cm="1">
        <f t="array" ref="V136">U136*$P136*INDEX(Month_Ref,T$1-1,3)/365</f>
        <v>0</v>
      </c>
      <c r="W136" s="70">
        <f t="shared" si="221"/>
        <v>7.8</v>
      </c>
      <c r="X136" s="188">
        <f t="shared" si="233"/>
        <v>0</v>
      </c>
      <c r="Y136" s="64" cm="1">
        <f t="array" ref="Y136">X136*$P136*INDEX(Month_Ref,W$1-1,3)/365</f>
        <v>0</v>
      </c>
      <c r="Z136" s="70">
        <f t="shared" si="222"/>
        <v>7.8</v>
      </c>
      <c r="AA136" s="188">
        <f t="shared" si="234"/>
        <v>0</v>
      </c>
      <c r="AB136" s="64" cm="1">
        <f t="array" ref="AB136">AA136*$P136*INDEX(Month_Ref,Z$1-1,3)/365</f>
        <v>0</v>
      </c>
      <c r="AC136" s="70">
        <f t="shared" si="223"/>
        <v>7.6</v>
      </c>
      <c r="AD136" s="188">
        <f t="shared" si="235"/>
        <v>0</v>
      </c>
      <c r="AE136" s="64" cm="1">
        <f t="array" ref="AE136">AD136*$P136*INDEX(Month_Ref,AC$1-1,3)/365</f>
        <v>0</v>
      </c>
      <c r="AF136" s="70">
        <f t="shared" si="224"/>
        <v>7.8</v>
      </c>
      <c r="AG136" s="188">
        <f t="shared" si="236"/>
        <v>0</v>
      </c>
      <c r="AH136" s="64" cm="1">
        <f t="array" ref="AH136">AG136*$P136*INDEX(Month_Ref,AF$1-1,3)/365</f>
        <v>0</v>
      </c>
      <c r="AI136" s="70">
        <f t="shared" si="225"/>
        <v>8.1</v>
      </c>
      <c r="AJ136" s="188">
        <f t="shared" si="237"/>
        <v>0</v>
      </c>
      <c r="AK136" s="64" cm="1">
        <f t="array" ref="AK136">AJ136*$P136*INDEX(Month_Ref,AI$1-1,3)/365</f>
        <v>0</v>
      </c>
      <c r="AL136" s="70">
        <f t="shared" si="226"/>
        <v>7.2</v>
      </c>
      <c r="AM136" s="188">
        <f t="shared" si="238"/>
        <v>0</v>
      </c>
      <c r="AN136" s="64" cm="1">
        <f t="array" ref="AN136">AM136*$P136*INDEX(Month_Ref,AL$1-1,3)/365</f>
        <v>0</v>
      </c>
      <c r="AO136" s="70">
        <f t="shared" si="227"/>
        <v>6.7</v>
      </c>
      <c r="AP136" s="188">
        <f t="shared" si="239"/>
        <v>0</v>
      </c>
      <c r="AQ136" s="64" cm="1">
        <f t="array" ref="AQ136">AP136*$P136*INDEX(Month_Ref,AO$1-1,3)/365</f>
        <v>0</v>
      </c>
      <c r="AR136" s="70">
        <f t="shared" si="228"/>
        <v>6.7</v>
      </c>
      <c r="AS136" s="188">
        <f t="shared" si="240"/>
        <v>0</v>
      </c>
      <c r="AT136" s="64" cm="1">
        <f t="array" ref="AT136">AS136*$P136*INDEX(Month_Ref,AR$1-1,3)/365</f>
        <v>0</v>
      </c>
      <c r="AU136" s="70">
        <f t="shared" si="229"/>
        <v>7.8</v>
      </c>
      <c r="AV136" s="188">
        <f t="shared" si="241"/>
        <v>0</v>
      </c>
      <c r="AW136" s="64" cm="1">
        <f t="array" ref="AW136">AV136*$P136*INDEX(Month_Ref,AU$1-1,3)/365</f>
        <v>0</v>
      </c>
      <c r="AX136" s="70">
        <f t="shared" si="230"/>
        <v>8.6999999999999993</v>
      </c>
      <c r="AY136" s="188">
        <f t="shared" si="242"/>
        <v>0</v>
      </c>
      <c r="AZ136" s="64" cm="1">
        <f t="array" ref="AZ136">AY136*$P136*INDEX(Month_Ref,AX$1-1,3)/365</f>
        <v>0</v>
      </c>
      <c r="BA136" s="183">
        <f t="shared" si="216"/>
        <v>0</v>
      </c>
      <c r="BC136" s="20">
        <f t="shared" si="217"/>
        <v>130</v>
      </c>
    </row>
    <row r="137" spans="2:65" ht="29.15" x14ac:dyDescent="0.4">
      <c r="B137" s="528"/>
      <c r="C137" s="531"/>
      <c r="D137" s="534"/>
      <c r="E137" s="534"/>
      <c r="F137" s="522"/>
      <c r="G137" s="522"/>
      <c r="H137" s="522"/>
      <c r="I137" s="525"/>
      <c r="J137" s="179" t="s">
        <v>1714</v>
      </c>
      <c r="K137" s="168" t="s">
        <v>1582</v>
      </c>
      <c r="L137" s="63">
        <f>INDEX(Deck_Leg_DD,MATCH($K137,Deck_Leg_DD_Name,0),2)</f>
        <v>0</v>
      </c>
      <c r="M137" s="63">
        <f>INDEX(Deck_Leg_DD,MATCH($K137,Deck_Leg_DD_Name,0),3)</f>
        <v>0</v>
      </c>
      <c r="N137" s="63">
        <f>INDEX(Deck_Leg_DD,MATCH($K137,Deck_Leg_DD_Name,0),4)</f>
        <v>0</v>
      </c>
      <c r="O137" s="63">
        <f t="shared" si="218"/>
        <v>0</v>
      </c>
      <c r="P137" s="64" cm="1">
        <f t="array" ref="P137">IF($G127="Pontoon",INDEX(Tbl_71_14,_xlfn.MINIFS(Tbl_71_14_Range,Tbl_71_14_Dia,"&gt;="&amp;$E127),4),IF($F127="Internal Floating Roof",0,6))</f>
        <v>0</v>
      </c>
      <c r="Q137" s="70">
        <f t="shared" si="219"/>
        <v>8.5</v>
      </c>
      <c r="R137" s="188">
        <f t="shared" si="231"/>
        <v>0</v>
      </c>
      <c r="S137" s="192" cm="1">
        <f t="array" ref="S137">R137*$P137*INDEX(Month_Ref,Q$1-1,3)/365</f>
        <v>0</v>
      </c>
      <c r="T137" s="70">
        <f t="shared" si="220"/>
        <v>7.8</v>
      </c>
      <c r="U137" s="188">
        <f t="shared" si="232"/>
        <v>0</v>
      </c>
      <c r="V137" s="192" cm="1">
        <f t="array" ref="V137">U137*$P137*INDEX(Month_Ref,T$1-1,3)/365</f>
        <v>0</v>
      </c>
      <c r="W137" s="70">
        <f t="shared" si="221"/>
        <v>7.8</v>
      </c>
      <c r="X137" s="188">
        <f t="shared" si="233"/>
        <v>0</v>
      </c>
      <c r="Y137" s="192" cm="1">
        <f t="array" ref="Y137">X137*$P137*INDEX(Month_Ref,W$1-1,3)/365</f>
        <v>0</v>
      </c>
      <c r="Z137" s="70">
        <f t="shared" si="222"/>
        <v>7.8</v>
      </c>
      <c r="AA137" s="188">
        <f t="shared" si="234"/>
        <v>0</v>
      </c>
      <c r="AB137" s="192" cm="1">
        <f t="array" ref="AB137">AA137*$P137*INDEX(Month_Ref,Z$1-1,3)/365</f>
        <v>0</v>
      </c>
      <c r="AC137" s="70">
        <f t="shared" si="223"/>
        <v>7.6</v>
      </c>
      <c r="AD137" s="188">
        <f t="shared" si="235"/>
        <v>0</v>
      </c>
      <c r="AE137" s="192" cm="1">
        <f t="array" ref="AE137">AD137*$P137*INDEX(Month_Ref,AC$1-1,3)/365</f>
        <v>0</v>
      </c>
      <c r="AF137" s="70">
        <f t="shared" si="224"/>
        <v>7.8</v>
      </c>
      <c r="AG137" s="188">
        <f t="shared" si="236"/>
        <v>0</v>
      </c>
      <c r="AH137" s="192" cm="1">
        <f t="array" ref="AH137">AG137*$P137*INDEX(Month_Ref,AF$1-1,3)/365</f>
        <v>0</v>
      </c>
      <c r="AI137" s="70">
        <f t="shared" si="225"/>
        <v>8.1</v>
      </c>
      <c r="AJ137" s="188">
        <f t="shared" si="237"/>
        <v>0</v>
      </c>
      <c r="AK137" s="192" cm="1">
        <f t="array" ref="AK137">AJ137*$P137*INDEX(Month_Ref,AI$1-1,3)/365</f>
        <v>0</v>
      </c>
      <c r="AL137" s="70">
        <f t="shared" si="226"/>
        <v>7.2</v>
      </c>
      <c r="AM137" s="188">
        <f t="shared" si="238"/>
        <v>0</v>
      </c>
      <c r="AN137" s="192" cm="1">
        <f t="array" ref="AN137">AM137*$P137*INDEX(Month_Ref,AL$1-1,3)/365</f>
        <v>0</v>
      </c>
      <c r="AO137" s="70">
        <f t="shared" si="227"/>
        <v>6.7</v>
      </c>
      <c r="AP137" s="188">
        <f t="shared" si="239"/>
        <v>0</v>
      </c>
      <c r="AQ137" s="192" cm="1">
        <f t="array" ref="AQ137">AP137*$P137*INDEX(Month_Ref,AO$1-1,3)/365</f>
        <v>0</v>
      </c>
      <c r="AR137" s="70">
        <f t="shared" si="228"/>
        <v>6.7</v>
      </c>
      <c r="AS137" s="188">
        <f t="shared" si="240"/>
        <v>0</v>
      </c>
      <c r="AT137" s="192" cm="1">
        <f t="array" ref="AT137">AS137*$P137*INDEX(Month_Ref,AR$1-1,3)/365</f>
        <v>0</v>
      </c>
      <c r="AU137" s="70">
        <f t="shared" si="229"/>
        <v>7.8</v>
      </c>
      <c r="AV137" s="188">
        <f t="shared" si="241"/>
        <v>0</v>
      </c>
      <c r="AW137" s="192" cm="1">
        <f t="array" ref="AW137">AV137*$P137*INDEX(Month_Ref,AU$1-1,3)/365</f>
        <v>0</v>
      </c>
      <c r="AX137" s="70">
        <f t="shared" si="230"/>
        <v>8.6999999999999993</v>
      </c>
      <c r="AY137" s="188">
        <f t="shared" si="242"/>
        <v>0</v>
      </c>
      <c r="AZ137" s="192" cm="1">
        <f t="array" ref="AZ137">AY137*$P137*INDEX(Month_Ref,AX$1-1,3)/365</f>
        <v>0</v>
      </c>
      <c r="BA137" s="183">
        <f t="shared" si="216"/>
        <v>0</v>
      </c>
      <c r="BC137" s="20">
        <f t="shared" si="217"/>
        <v>131</v>
      </c>
    </row>
    <row r="138" spans="2:65" x14ac:dyDescent="0.4">
      <c r="B138" s="528"/>
      <c r="C138" s="531"/>
      <c r="D138" s="534"/>
      <c r="E138" s="534"/>
      <c r="F138" s="522"/>
      <c r="G138" s="522"/>
      <c r="H138" s="522"/>
      <c r="I138" s="525"/>
      <c r="J138" s="180" t="s">
        <v>1700</v>
      </c>
      <c r="K138" s="168" t="s">
        <v>1647</v>
      </c>
      <c r="L138" s="63">
        <f>INDEX(Rim_Vent,MATCH($K138,Rim_Vent_Name,0),2)</f>
        <v>0.71</v>
      </c>
      <c r="M138" s="63">
        <f>INDEX(Rim_Vent,MATCH($K138,Rim_Vent_Name,0),3)</f>
        <v>0.1</v>
      </c>
      <c r="N138" s="63">
        <f>INDEX(Rim_Vent,MATCH($K138,Rim_Vent_Name,0),4)</f>
        <v>1</v>
      </c>
      <c r="O138" s="63">
        <f t="shared" si="218"/>
        <v>0</v>
      </c>
      <c r="P138" s="64">
        <f>IF(OR($H127="Mechanical Shoe - Primary Only",$H127="Mechanical Shoe w/ Shoe-Mounted Secondary",$H127="Mechanical Shoe w/ Rim Mounted Secondary"),1,0)</f>
        <v>1</v>
      </c>
      <c r="Q138" s="70">
        <f t="shared" si="219"/>
        <v>8.5</v>
      </c>
      <c r="R138" s="188">
        <f t="shared" si="231"/>
        <v>0.71</v>
      </c>
      <c r="S138" s="192" cm="1">
        <f t="array" ref="S138">R138*$P138*INDEX(Month_Ref,Q$1-1,3)/365</f>
        <v>6.0301369863013696E-2</v>
      </c>
      <c r="T138" s="70">
        <f t="shared" si="220"/>
        <v>7.8</v>
      </c>
      <c r="U138" s="188">
        <f t="shared" si="232"/>
        <v>0.71</v>
      </c>
      <c r="V138" s="192" cm="1">
        <f t="array" ref="V138">U138*$P138*INDEX(Month_Ref,T$1-1,3)/365</f>
        <v>5.446575342465753E-2</v>
      </c>
      <c r="W138" s="70">
        <f t="shared" si="221"/>
        <v>7.8</v>
      </c>
      <c r="X138" s="188">
        <f t="shared" si="233"/>
        <v>0.71</v>
      </c>
      <c r="Y138" s="192" cm="1">
        <f t="array" ref="Y138">X138*$P138*INDEX(Month_Ref,W$1-1,3)/365</f>
        <v>6.0301369863013696E-2</v>
      </c>
      <c r="Z138" s="70">
        <f t="shared" si="222"/>
        <v>7.8</v>
      </c>
      <c r="AA138" s="188">
        <f t="shared" si="234"/>
        <v>0.71</v>
      </c>
      <c r="AB138" s="192" cm="1">
        <f t="array" ref="AB138">AA138*$P138*INDEX(Month_Ref,Z$1-1,3)/365</f>
        <v>5.8356164383561636E-2</v>
      </c>
      <c r="AC138" s="70">
        <f t="shared" si="223"/>
        <v>7.6</v>
      </c>
      <c r="AD138" s="188">
        <f t="shared" si="235"/>
        <v>0.71</v>
      </c>
      <c r="AE138" s="192" cm="1">
        <f t="array" ref="AE138">AD138*$P138*INDEX(Month_Ref,AC$1-1,3)/365</f>
        <v>6.0301369863013696E-2</v>
      </c>
      <c r="AF138" s="70">
        <f t="shared" si="224"/>
        <v>7.8</v>
      </c>
      <c r="AG138" s="188">
        <f t="shared" si="236"/>
        <v>0.71</v>
      </c>
      <c r="AH138" s="192" cm="1">
        <f t="array" ref="AH138">AG138*$P138*INDEX(Month_Ref,AF$1-1,3)/365</f>
        <v>5.8356164383561636E-2</v>
      </c>
      <c r="AI138" s="70">
        <f t="shared" si="225"/>
        <v>8.1</v>
      </c>
      <c r="AJ138" s="188">
        <f t="shared" si="237"/>
        <v>0.71</v>
      </c>
      <c r="AK138" s="192" cm="1">
        <f t="array" ref="AK138">AJ138*$P138*INDEX(Month_Ref,AI$1-1,3)/365</f>
        <v>6.0301369863013696E-2</v>
      </c>
      <c r="AL138" s="70">
        <f t="shared" si="226"/>
        <v>7.2</v>
      </c>
      <c r="AM138" s="188">
        <f t="shared" si="238"/>
        <v>0.71</v>
      </c>
      <c r="AN138" s="192" cm="1">
        <f t="array" ref="AN138">AM138*$P138*INDEX(Month_Ref,AL$1-1,3)/365</f>
        <v>6.0301369863013696E-2</v>
      </c>
      <c r="AO138" s="70">
        <f t="shared" si="227"/>
        <v>6.7</v>
      </c>
      <c r="AP138" s="188">
        <f t="shared" si="239"/>
        <v>0.71</v>
      </c>
      <c r="AQ138" s="192" cm="1">
        <f t="array" ref="AQ138">AP138*$P138*INDEX(Month_Ref,AO$1-1,3)/365</f>
        <v>5.8356164383561636E-2</v>
      </c>
      <c r="AR138" s="70">
        <f t="shared" si="228"/>
        <v>6.7</v>
      </c>
      <c r="AS138" s="188">
        <f t="shared" si="240"/>
        <v>0.71</v>
      </c>
      <c r="AT138" s="192" cm="1">
        <f t="array" ref="AT138">AS138*$P138*INDEX(Month_Ref,AR$1-1,3)/365</f>
        <v>6.0301369863013696E-2</v>
      </c>
      <c r="AU138" s="70">
        <f t="shared" si="229"/>
        <v>7.8</v>
      </c>
      <c r="AV138" s="188">
        <f t="shared" si="241"/>
        <v>0.71</v>
      </c>
      <c r="AW138" s="192" cm="1">
        <f t="array" ref="AW138">AV138*$P138*INDEX(Month_Ref,AU$1-1,3)/365</f>
        <v>5.8356164383561636E-2</v>
      </c>
      <c r="AX138" s="70">
        <f t="shared" si="230"/>
        <v>8.6999999999999993</v>
      </c>
      <c r="AY138" s="188">
        <f t="shared" si="242"/>
        <v>0.71</v>
      </c>
      <c r="AZ138" s="192" cm="1">
        <f t="array" ref="AZ138">AY138*$P138*INDEX(Month_Ref,AX$1-1,3)/365</f>
        <v>6.0301369863013696E-2</v>
      </c>
      <c r="BA138" s="183">
        <f t="shared" si="216"/>
        <v>0.71</v>
      </c>
      <c r="BC138" s="20">
        <f t="shared" si="217"/>
        <v>132</v>
      </c>
    </row>
    <row r="139" spans="2:65" x14ac:dyDescent="0.4">
      <c r="B139" s="528"/>
      <c r="C139" s="531"/>
      <c r="D139" s="534"/>
      <c r="E139" s="534"/>
      <c r="F139" s="522"/>
      <c r="G139" s="522"/>
      <c r="H139" s="522"/>
      <c r="I139" s="525"/>
      <c r="J139" s="180" t="s">
        <v>1701</v>
      </c>
      <c r="K139" s="168" t="s">
        <v>1647</v>
      </c>
      <c r="L139" s="63">
        <f>INDEX(Ladder_Well,MATCH($K139,Ladder_Well_Name,0),2)</f>
        <v>98</v>
      </c>
      <c r="M139" s="63">
        <f>INDEX(Ladder_Well,MATCH($K139,Ladder_Well_Name,0),3)</f>
        <v>0</v>
      </c>
      <c r="N139" s="63">
        <f>INDEX(Ladder_Well,MATCH($K139,Ladder_Well_Name,0),4)</f>
        <v>0</v>
      </c>
      <c r="O139" s="63">
        <f t="shared" si="218"/>
        <v>0</v>
      </c>
      <c r="P139" s="64">
        <f>IF($F127&lt;&gt;"Internal Floating Roof",0,1)</f>
        <v>1</v>
      </c>
      <c r="Q139" s="70">
        <f t="shared" si="219"/>
        <v>8.5</v>
      </c>
      <c r="R139" s="63">
        <f t="shared" si="231"/>
        <v>98</v>
      </c>
      <c r="S139" s="64" cm="1">
        <f t="array" ref="S139">R139*$P139*INDEX(Month_Ref,Q$1-1,3)/365</f>
        <v>8.3232876712328761</v>
      </c>
      <c r="T139" s="70">
        <f t="shared" si="220"/>
        <v>7.8</v>
      </c>
      <c r="U139" s="63">
        <f t="shared" si="232"/>
        <v>98</v>
      </c>
      <c r="V139" s="64" cm="1">
        <f t="array" ref="V139">U139*$P139*INDEX(Month_Ref,T$1-1,3)/365</f>
        <v>7.5178082191780824</v>
      </c>
      <c r="W139" s="70">
        <f t="shared" si="221"/>
        <v>7.8</v>
      </c>
      <c r="X139" s="63">
        <f t="shared" si="233"/>
        <v>98</v>
      </c>
      <c r="Y139" s="64" cm="1">
        <f t="array" ref="Y139">X139*$P139*INDEX(Month_Ref,W$1-1,3)/365</f>
        <v>8.3232876712328761</v>
      </c>
      <c r="Z139" s="70">
        <f t="shared" si="222"/>
        <v>7.8</v>
      </c>
      <c r="AA139" s="63">
        <f t="shared" si="234"/>
        <v>98</v>
      </c>
      <c r="AB139" s="64" cm="1">
        <f t="array" ref="AB139">AA139*$P139*INDEX(Month_Ref,Z$1-1,3)/365</f>
        <v>8.0547945205479454</v>
      </c>
      <c r="AC139" s="70">
        <f t="shared" si="223"/>
        <v>7.6</v>
      </c>
      <c r="AD139" s="63">
        <f t="shared" si="235"/>
        <v>98</v>
      </c>
      <c r="AE139" s="64" cm="1">
        <f t="array" ref="AE139">AD139*$P139*INDEX(Month_Ref,AC$1-1,3)/365</f>
        <v>8.3232876712328761</v>
      </c>
      <c r="AF139" s="70">
        <f t="shared" si="224"/>
        <v>7.8</v>
      </c>
      <c r="AG139" s="63">
        <f t="shared" si="236"/>
        <v>98</v>
      </c>
      <c r="AH139" s="64" cm="1">
        <f t="array" ref="AH139">AG139*$P139*INDEX(Month_Ref,AF$1-1,3)/365</f>
        <v>8.0547945205479454</v>
      </c>
      <c r="AI139" s="70">
        <f t="shared" si="225"/>
        <v>8.1</v>
      </c>
      <c r="AJ139" s="63">
        <f t="shared" si="237"/>
        <v>98</v>
      </c>
      <c r="AK139" s="64" cm="1">
        <f t="array" ref="AK139">AJ139*$P139*INDEX(Month_Ref,AI$1-1,3)/365</f>
        <v>8.3232876712328761</v>
      </c>
      <c r="AL139" s="70">
        <f t="shared" si="226"/>
        <v>7.2</v>
      </c>
      <c r="AM139" s="63">
        <f t="shared" si="238"/>
        <v>98</v>
      </c>
      <c r="AN139" s="64" cm="1">
        <f t="array" ref="AN139">AM139*$P139*INDEX(Month_Ref,AL$1-1,3)/365</f>
        <v>8.3232876712328761</v>
      </c>
      <c r="AO139" s="70">
        <f t="shared" si="227"/>
        <v>6.7</v>
      </c>
      <c r="AP139" s="63">
        <f t="shared" si="239"/>
        <v>98</v>
      </c>
      <c r="AQ139" s="64" cm="1">
        <f t="array" ref="AQ139">AP139*$P139*INDEX(Month_Ref,AO$1-1,3)/365</f>
        <v>8.0547945205479454</v>
      </c>
      <c r="AR139" s="70">
        <f t="shared" si="228"/>
        <v>6.7</v>
      </c>
      <c r="AS139" s="63">
        <f t="shared" si="240"/>
        <v>98</v>
      </c>
      <c r="AT139" s="64" cm="1">
        <f t="array" ref="AT139">AS139*$P139*INDEX(Month_Ref,AR$1-1,3)/365</f>
        <v>8.3232876712328761</v>
      </c>
      <c r="AU139" s="70">
        <f t="shared" si="229"/>
        <v>7.8</v>
      </c>
      <c r="AV139" s="63">
        <f t="shared" si="241"/>
        <v>98</v>
      </c>
      <c r="AW139" s="64" cm="1">
        <f t="array" ref="AW139">AV139*$P139*INDEX(Month_Ref,AU$1-1,3)/365</f>
        <v>8.0547945205479454</v>
      </c>
      <c r="AX139" s="70">
        <f t="shared" si="230"/>
        <v>8.6999999999999993</v>
      </c>
      <c r="AY139" s="63">
        <f t="shared" si="242"/>
        <v>98</v>
      </c>
      <c r="AZ139" s="64" cm="1">
        <f t="array" ref="AZ139">AY139*$P139*INDEX(Month_Ref,AX$1-1,3)/365</f>
        <v>8.3232876712328761</v>
      </c>
      <c r="BA139" s="183">
        <f t="shared" si="216"/>
        <v>98</v>
      </c>
      <c r="BC139" s="20">
        <f t="shared" si="217"/>
        <v>133</v>
      </c>
    </row>
    <row r="140" spans="2:65" ht="44.15" thickBot="1" x14ac:dyDescent="0.45">
      <c r="B140" s="529"/>
      <c r="C140" s="532"/>
      <c r="D140" s="535"/>
      <c r="E140" s="535"/>
      <c r="F140" s="523"/>
      <c r="G140" s="523"/>
      <c r="H140" s="523"/>
      <c r="I140" s="526"/>
      <c r="J140" s="181" t="s">
        <v>1715</v>
      </c>
      <c r="K140" s="171" t="s">
        <v>1755</v>
      </c>
      <c r="L140" s="32">
        <f>INDEX(Combo_LWSGP,MATCH($K140,Combo_LWSGP_Name,0),2)</f>
        <v>0</v>
      </c>
      <c r="M140" s="32">
        <f>INDEX(Combo_LWSGP,MATCH($K140,Combo_LWSGP_Name,0),3)</f>
        <v>0</v>
      </c>
      <c r="N140" s="32">
        <f>INDEX(Combo_LWSGP,MATCH($K140,Combo_LWSGP_Name,0),4)</f>
        <v>0</v>
      </c>
      <c r="O140" s="32">
        <f t="shared" si="218"/>
        <v>0</v>
      </c>
      <c r="P140" s="33">
        <f>IF(AND(P130=0,P139=0),1,0)</f>
        <v>0</v>
      </c>
      <c r="Q140" s="31">
        <f t="shared" si="219"/>
        <v>8.5</v>
      </c>
      <c r="R140" s="32">
        <f t="shared" si="231"/>
        <v>0</v>
      </c>
      <c r="S140" s="33" cm="1">
        <f t="array" ref="S140">R140*$P140*INDEX(Month_Ref,Q$1-1,3)/365</f>
        <v>0</v>
      </c>
      <c r="T140" s="31">
        <f t="shared" si="220"/>
        <v>7.8</v>
      </c>
      <c r="U140" s="32">
        <f t="shared" si="232"/>
        <v>0</v>
      </c>
      <c r="V140" s="33" cm="1">
        <f t="array" ref="V140">U140*$P140*INDEX(Month_Ref,T$1-1,3)/365</f>
        <v>0</v>
      </c>
      <c r="W140" s="31">
        <f t="shared" si="221"/>
        <v>7.8</v>
      </c>
      <c r="X140" s="32">
        <f t="shared" si="233"/>
        <v>0</v>
      </c>
      <c r="Y140" s="33" cm="1">
        <f t="array" ref="Y140">X140*$P140*INDEX(Month_Ref,W$1-1,3)/365</f>
        <v>0</v>
      </c>
      <c r="Z140" s="31">
        <f t="shared" si="222"/>
        <v>7.8</v>
      </c>
      <c r="AA140" s="32">
        <f t="shared" si="234"/>
        <v>0</v>
      </c>
      <c r="AB140" s="33" cm="1">
        <f t="array" ref="AB140">AA140*$P140*INDEX(Month_Ref,Z$1-1,3)/365</f>
        <v>0</v>
      </c>
      <c r="AC140" s="31">
        <f t="shared" si="223"/>
        <v>7.6</v>
      </c>
      <c r="AD140" s="32">
        <f t="shared" si="235"/>
        <v>0</v>
      </c>
      <c r="AE140" s="33" cm="1">
        <f t="array" ref="AE140">AD140*$P140*INDEX(Month_Ref,AC$1-1,3)/365</f>
        <v>0</v>
      </c>
      <c r="AF140" s="31">
        <f t="shared" si="224"/>
        <v>7.8</v>
      </c>
      <c r="AG140" s="32">
        <f t="shared" si="236"/>
        <v>0</v>
      </c>
      <c r="AH140" s="33" cm="1">
        <f t="array" ref="AH140">AG140*$P140*INDEX(Month_Ref,AF$1-1,3)/365</f>
        <v>0</v>
      </c>
      <c r="AI140" s="31">
        <f t="shared" si="225"/>
        <v>8.1</v>
      </c>
      <c r="AJ140" s="32">
        <f t="shared" si="237"/>
        <v>0</v>
      </c>
      <c r="AK140" s="33" cm="1">
        <f t="array" ref="AK140">AJ140*$P140*INDEX(Month_Ref,AI$1-1,3)/365</f>
        <v>0</v>
      </c>
      <c r="AL140" s="31">
        <f t="shared" si="226"/>
        <v>7.2</v>
      </c>
      <c r="AM140" s="32">
        <f t="shared" si="238"/>
        <v>0</v>
      </c>
      <c r="AN140" s="33" cm="1">
        <f t="array" ref="AN140">AM140*$P140*INDEX(Month_Ref,AL$1-1,3)/365</f>
        <v>0</v>
      </c>
      <c r="AO140" s="31">
        <f t="shared" si="227"/>
        <v>6.7</v>
      </c>
      <c r="AP140" s="32">
        <f t="shared" si="239"/>
        <v>0</v>
      </c>
      <c r="AQ140" s="33" cm="1">
        <f t="array" ref="AQ140">AP140*$P140*INDEX(Month_Ref,AO$1-1,3)/365</f>
        <v>0</v>
      </c>
      <c r="AR140" s="31">
        <f t="shared" si="228"/>
        <v>6.7</v>
      </c>
      <c r="AS140" s="32">
        <f t="shared" si="240"/>
        <v>0</v>
      </c>
      <c r="AT140" s="33" cm="1">
        <f t="array" ref="AT140">AS140*$P140*INDEX(Month_Ref,AR$1-1,3)/365</f>
        <v>0</v>
      </c>
      <c r="AU140" s="31">
        <f t="shared" si="229"/>
        <v>7.8</v>
      </c>
      <c r="AV140" s="32">
        <f t="shared" si="241"/>
        <v>0</v>
      </c>
      <c r="AW140" s="33" cm="1">
        <f t="array" ref="AW140">AV140*$P140*INDEX(Month_Ref,AU$1-1,3)/365</f>
        <v>0</v>
      </c>
      <c r="AX140" s="31">
        <f t="shared" si="230"/>
        <v>8.6999999999999993</v>
      </c>
      <c r="AY140" s="32">
        <f t="shared" si="242"/>
        <v>0</v>
      </c>
      <c r="AZ140" s="33" cm="1">
        <f t="array" ref="AZ140">AY140*$P140*INDEX(Month_Ref,AX$1-1,3)/365</f>
        <v>0</v>
      </c>
      <c r="BA140" s="184">
        <f t="shared" si="216"/>
        <v>0</v>
      </c>
      <c r="BC140" s="20">
        <f t="shared" si="217"/>
        <v>134</v>
      </c>
    </row>
    <row r="141" spans="2:65" ht="15" thickBot="1" x14ac:dyDescent="0.45">
      <c r="B141" s="157"/>
      <c r="C141" s="158"/>
      <c r="D141" s="163"/>
      <c r="I141" s="163"/>
      <c r="J141" s="164"/>
      <c r="K141" s="164"/>
      <c r="L141" s="163"/>
      <c r="M141" s="163"/>
      <c r="N141" s="163"/>
      <c r="O141" s="163"/>
      <c r="Q141" s="195"/>
      <c r="R141" s="196" t="s">
        <v>1768</v>
      </c>
      <c r="S141" s="197">
        <f>SUM(S127:S140)</f>
        <v>30.58468493150685</v>
      </c>
      <c r="T141" s="195"/>
      <c r="U141" s="196" t="s">
        <v>1762</v>
      </c>
      <c r="V141" s="197">
        <f>SUM(V127:V140)</f>
        <v>27.624876712328771</v>
      </c>
      <c r="W141" s="195"/>
      <c r="X141" s="196" t="s">
        <v>1762</v>
      </c>
      <c r="Y141" s="197">
        <f>SUM(Y127:Y140)</f>
        <v>30.58468493150685</v>
      </c>
      <c r="Z141" s="195"/>
      <c r="AA141" s="196" t="s">
        <v>1762</v>
      </c>
      <c r="AB141" s="197">
        <f>SUM(AB127:AB140)</f>
        <v>29.598082191780819</v>
      </c>
      <c r="AC141" s="195"/>
      <c r="AD141" s="196" t="s">
        <v>1762</v>
      </c>
      <c r="AE141" s="197">
        <f>SUM(AE127:AE140)</f>
        <v>30.58468493150685</v>
      </c>
      <c r="AF141" s="195"/>
      <c r="AG141" s="196" t="s">
        <v>1762</v>
      </c>
      <c r="AH141" s="197">
        <f>SUM(AH127:AH140)</f>
        <v>29.598082191780819</v>
      </c>
      <c r="AI141" s="195"/>
      <c r="AJ141" s="196" t="s">
        <v>1762</v>
      </c>
      <c r="AK141" s="197">
        <f>SUM(AK127:AK140)</f>
        <v>30.58468493150685</v>
      </c>
      <c r="AL141" s="195"/>
      <c r="AM141" s="196" t="s">
        <v>1762</v>
      </c>
      <c r="AN141" s="197">
        <f>SUM(AN127:AN140)</f>
        <v>30.58468493150685</v>
      </c>
      <c r="AO141" s="195"/>
      <c r="AP141" s="196" t="s">
        <v>1762</v>
      </c>
      <c r="AQ141" s="197">
        <f>SUM(AQ127:AQ140)</f>
        <v>29.598082191780819</v>
      </c>
      <c r="AR141" s="195"/>
      <c r="AS141" s="196" t="s">
        <v>1762</v>
      </c>
      <c r="AT141" s="197">
        <f>SUM(AT127:AT140)</f>
        <v>30.58468493150685</v>
      </c>
      <c r="AU141" s="195"/>
      <c r="AV141" s="196" t="s">
        <v>1762</v>
      </c>
      <c r="AW141" s="197">
        <f>SUM(AW127:AW140)</f>
        <v>29.598082191780819</v>
      </c>
      <c r="AX141" s="195"/>
      <c r="AY141" s="196" t="s">
        <v>1762</v>
      </c>
      <c r="AZ141" s="197">
        <f>SUM(AZ127:AZ140)</f>
        <v>30.58468493150685</v>
      </c>
      <c r="BA141" s="198">
        <f t="shared" si="216"/>
        <v>360.10999999999996</v>
      </c>
      <c r="BC141" s="194">
        <f t="shared" si="217"/>
        <v>135</v>
      </c>
      <c r="BD141" s="11"/>
      <c r="BE141" s="11"/>
      <c r="BF141" s="11"/>
      <c r="BG141" s="11"/>
      <c r="BH141" s="11"/>
      <c r="BI141" s="11"/>
      <c r="BJ141" s="11"/>
      <c r="BK141" s="11"/>
      <c r="BL141" s="11"/>
      <c r="BM141" s="11"/>
    </row>
    <row r="142" spans="2:65" ht="29.15" x14ac:dyDescent="0.4">
      <c r="B142" s="527" t="str" cm="1">
        <f t="array" ref="B142">INDEX(FLT_Cons,$BD142,$BE142)</f>
        <v>FLT - 10</v>
      </c>
      <c r="C142" s="530" t="str" cm="1">
        <f t="array" ref="C142">INDEX(FLT_Cons,$BD142,$BF142)</f>
        <v>INTANK 130</v>
      </c>
      <c r="D142" s="533" t="str" cm="1">
        <f t="array" ref="D142">INDEX(FLT_Cons,$BD142,$BG142)</f>
        <v>Portland</v>
      </c>
      <c r="E142" s="533" cm="1">
        <f t="array" ref="E142">INDEX(FLT_Cons,$BD142,$BH142)</f>
        <v>120</v>
      </c>
      <c r="F142" s="521" t="str" cm="1">
        <f t="array" ref="F142">INDEX(FLT_Cons,$BD142,$BI142)</f>
        <v>Internal Floating Roof</v>
      </c>
      <c r="G142" s="521" t="str" cm="1">
        <f t="array" ref="G142">INDEX(FLT_Cons,$BD142,$BJ142)</f>
        <v>N/A - IFR</v>
      </c>
      <c r="H142" s="521" t="str" cm="1">
        <f t="array" ref="H142">INDEX(FLT_Cons,$BD142,$BK142)</f>
        <v>Mechanical Shoe w/ Rim Mounted Secondary</v>
      </c>
      <c r="I142" s="524" t="str" cm="1">
        <f t="array" ref="I142">INDEX(FLT_Cons,$BD142,$BL142)</f>
        <v>IFR - Column Supported</v>
      </c>
      <c r="J142" s="177" t="s">
        <v>1660</v>
      </c>
      <c r="K142" s="174" t="s">
        <v>1662</v>
      </c>
      <c r="L142" s="14">
        <f>INDEX(Access_Hatch,MATCH($K142,Access_Hatch_Name,0),2)</f>
        <v>36</v>
      </c>
      <c r="M142" s="14">
        <f>INDEX(Access_Hatch,MATCH($K142,Access_Hatch_Name,0),3)</f>
        <v>5.9</v>
      </c>
      <c r="N142" s="14">
        <f>INDEX(Access_Hatch,MATCH($K142,Access_Hatch_Name,0),4)</f>
        <v>1.2</v>
      </c>
      <c r="O142" s="14">
        <f>IF($F142="External Floating Roof",0.7,0)</f>
        <v>0</v>
      </c>
      <c r="P142" s="30">
        <v>1</v>
      </c>
      <c r="Q142" s="29">
        <f>VLOOKUP(VLOOKUP($D142,Terminal_X_Ref,2,FALSE)&amp;"V",Weather_Data,Q$1,FALSE)</f>
        <v>8.5</v>
      </c>
      <c r="R142" s="14">
        <f>IFERROR($L142+$M142*($O142*Q142)^$N142,$L142)</f>
        <v>36</v>
      </c>
      <c r="S142" s="193" cm="1">
        <f t="array" ref="S142">R142*$P142*INDEX(Month_Ref,Q$1-1,3)/365</f>
        <v>3.0575342465753423</v>
      </c>
      <c r="T142" s="29">
        <f>VLOOKUP(VLOOKUP($D142,Terminal_X_Ref,2,FALSE)&amp;"V",Weather_Data,T$1,FALSE)</f>
        <v>7.8</v>
      </c>
      <c r="U142" s="14">
        <f>IFERROR($L142+$M142*($O142*T142)^$N142,$L142)</f>
        <v>36</v>
      </c>
      <c r="V142" s="193" cm="1">
        <f t="array" ref="V142">U142*$P142*INDEX(Month_Ref,T$1-1,3)/365</f>
        <v>2.7616438356164386</v>
      </c>
      <c r="W142" s="29">
        <f>VLOOKUP(VLOOKUP($D142,Terminal_X_Ref,2,FALSE)&amp;"V",Weather_Data,W$1,FALSE)</f>
        <v>7.8</v>
      </c>
      <c r="X142" s="14">
        <f>IFERROR($L142+$M142*($O142*W142)^$N142,$L142)</f>
        <v>36</v>
      </c>
      <c r="Y142" s="193" cm="1">
        <f t="array" ref="Y142">X142*$P142*INDEX(Month_Ref,W$1-1,3)/365</f>
        <v>3.0575342465753423</v>
      </c>
      <c r="Z142" s="29">
        <f>VLOOKUP(VLOOKUP($D142,Terminal_X_Ref,2,FALSE)&amp;"V",Weather_Data,Z$1,FALSE)</f>
        <v>7.8</v>
      </c>
      <c r="AA142" s="14">
        <f>IFERROR($L142+$M142*($O142*Z142)^$N142,$L142)</f>
        <v>36</v>
      </c>
      <c r="AB142" s="193" cm="1">
        <f t="array" ref="AB142">AA142*$P142*INDEX(Month_Ref,Z$1-1,3)/365</f>
        <v>2.9589041095890409</v>
      </c>
      <c r="AC142" s="29">
        <f>VLOOKUP(VLOOKUP($D142,Terminal_X_Ref,2,FALSE)&amp;"V",Weather_Data,AC$1,FALSE)</f>
        <v>7.6</v>
      </c>
      <c r="AD142" s="14">
        <f>IFERROR($L142+$M142*($O142*AC142)^$N142,$L142)</f>
        <v>36</v>
      </c>
      <c r="AE142" s="193" cm="1">
        <f t="array" ref="AE142">AD142*$P142*INDEX(Month_Ref,AC$1-1,3)/365</f>
        <v>3.0575342465753423</v>
      </c>
      <c r="AF142" s="29">
        <f>VLOOKUP(VLOOKUP($D142,Terminal_X_Ref,2,FALSE)&amp;"V",Weather_Data,AF$1,FALSE)</f>
        <v>7.8</v>
      </c>
      <c r="AG142" s="14">
        <f>IFERROR($L142+$M142*($O142*AF142)^$N142,$L142)</f>
        <v>36</v>
      </c>
      <c r="AH142" s="193" cm="1">
        <f t="array" ref="AH142">AG142*$P142*INDEX(Month_Ref,AF$1-1,3)/365</f>
        <v>2.9589041095890409</v>
      </c>
      <c r="AI142" s="29">
        <f>VLOOKUP(VLOOKUP($D142,Terminal_X_Ref,2,FALSE)&amp;"V",Weather_Data,AI$1,FALSE)</f>
        <v>8.1</v>
      </c>
      <c r="AJ142" s="14">
        <f>IFERROR($L142+$M142*($O142*AI142)^$N142,$L142)</f>
        <v>36</v>
      </c>
      <c r="AK142" s="193" cm="1">
        <f t="array" ref="AK142">AJ142*$P142*INDEX(Month_Ref,AI$1-1,3)/365</f>
        <v>3.0575342465753423</v>
      </c>
      <c r="AL142" s="29">
        <f>VLOOKUP(VLOOKUP($D142,Terminal_X_Ref,2,FALSE)&amp;"V",Weather_Data,AL$1,FALSE)</f>
        <v>7.2</v>
      </c>
      <c r="AM142" s="14">
        <f>IFERROR($L142+$M142*($O142*AL142)^$N142,$L142)</f>
        <v>36</v>
      </c>
      <c r="AN142" s="193" cm="1">
        <f t="array" ref="AN142">AM142*$P142*INDEX(Month_Ref,AL$1-1,3)/365</f>
        <v>3.0575342465753423</v>
      </c>
      <c r="AO142" s="29">
        <f>VLOOKUP(VLOOKUP($D142,Terminal_X_Ref,2,FALSE)&amp;"V",Weather_Data,AO$1,FALSE)</f>
        <v>6.7</v>
      </c>
      <c r="AP142" s="14">
        <f>IFERROR($L142+$M142*($O142*AO142)^$N142,$L142)</f>
        <v>36</v>
      </c>
      <c r="AQ142" s="193" cm="1">
        <f t="array" ref="AQ142">AP142*$P142*INDEX(Month_Ref,AO$1-1,3)/365</f>
        <v>2.9589041095890409</v>
      </c>
      <c r="AR142" s="29">
        <f>VLOOKUP(VLOOKUP($D142,Terminal_X_Ref,2,FALSE)&amp;"V",Weather_Data,AR$1,FALSE)</f>
        <v>6.7</v>
      </c>
      <c r="AS142" s="14">
        <f>IFERROR($L142+$M142*($O142*AR142)^$N142,$L142)</f>
        <v>36</v>
      </c>
      <c r="AT142" s="193" cm="1">
        <f t="array" ref="AT142">AS142*$P142*INDEX(Month_Ref,AR$1-1,3)/365</f>
        <v>3.0575342465753423</v>
      </c>
      <c r="AU142" s="29">
        <f>VLOOKUP(VLOOKUP($D142,Terminal_X_Ref,2,FALSE)&amp;"V",Weather_Data,AU$1,FALSE)</f>
        <v>7.8</v>
      </c>
      <c r="AV142" s="14">
        <f>IFERROR($L142+$M142*($O142*AU142)^$N142,$L142)</f>
        <v>36</v>
      </c>
      <c r="AW142" s="193" cm="1">
        <f t="array" ref="AW142">AV142*$P142*INDEX(Month_Ref,AU$1-1,3)/365</f>
        <v>2.9589041095890409</v>
      </c>
      <c r="AX142" s="29">
        <f>VLOOKUP(VLOOKUP($D142,Terminal_X_Ref,2,FALSE)&amp;"V",Weather_Data,AX$1,FALSE)</f>
        <v>8.6999999999999993</v>
      </c>
      <c r="AY142" s="14">
        <f>IFERROR($L142+$M142*($O142*AX142)^$N142,$L142)</f>
        <v>36</v>
      </c>
      <c r="AZ142" s="193" cm="1">
        <f t="array" ref="AZ142">AY142*$P142*INDEX(Month_Ref,AX$1-1,3)/365</f>
        <v>3.0575342465753423</v>
      </c>
      <c r="BA142" s="182">
        <f>S142+V142+Y142+AB142+AE142+AH142+AK142+AN142+AQ142+AT142+AW142+AZ142</f>
        <v>36.000000000000007</v>
      </c>
      <c r="BB142" s="25"/>
      <c r="BC142" s="20">
        <f>BC141+1</f>
        <v>136</v>
      </c>
      <c r="BD142">
        <f>BD127+1</f>
        <v>10</v>
      </c>
      <c r="BE142">
        <v>1</v>
      </c>
      <c r="BF142">
        <v>2</v>
      </c>
      <c r="BG142">
        <v>3</v>
      </c>
      <c r="BH142">
        <v>5</v>
      </c>
      <c r="BI142">
        <v>13</v>
      </c>
      <c r="BJ142">
        <v>16</v>
      </c>
      <c r="BK142">
        <v>17</v>
      </c>
      <c r="BL142">
        <v>19</v>
      </c>
      <c r="BM142">
        <v>21</v>
      </c>
    </row>
    <row r="143" spans="2:65" ht="29.15" x14ac:dyDescent="0.4">
      <c r="B143" s="528"/>
      <c r="C143" s="531"/>
      <c r="D143" s="534"/>
      <c r="E143" s="534"/>
      <c r="F143" s="522"/>
      <c r="G143" s="522"/>
      <c r="H143" s="522"/>
      <c r="I143" s="525"/>
      <c r="J143" s="178" t="s">
        <v>1664</v>
      </c>
      <c r="K143" s="168" t="s">
        <v>1669</v>
      </c>
      <c r="L143" s="63">
        <f>INDEX(FRSCW,MATCH($K143,FRSCW_Name,0),2)</f>
        <v>33</v>
      </c>
      <c r="M143" s="63">
        <f>INDEX(FRSCW,MATCH($K143,FRSCW_Name,0),3)</f>
        <v>0</v>
      </c>
      <c r="N143" s="63">
        <f>INDEX(FRSCW,MATCH($K143,FRSCW_Name,0),4)</f>
        <v>0</v>
      </c>
      <c r="O143" s="63">
        <f>O142</f>
        <v>0</v>
      </c>
      <c r="P143" s="64" cm="1">
        <f t="array" ref="P143">IF(F142&lt;&gt;"Internal Floating Roof",0,IF(ISBLANK(INDEX(FLT_Cons,$BD142,$BM142)),INDEX(Tbl_71_11,_xlfn.MINIFS(Tbl_71_11_Dia,Tbl_71_11_Max,"&gt;="&amp;$E142),4),INDEX(FLT_Cons,$BD142,$BM142)))</f>
        <v>7</v>
      </c>
      <c r="Q143" s="70">
        <f>Q142</f>
        <v>8.5</v>
      </c>
      <c r="R143" s="63">
        <f>IFERROR($L143+$M143*($O143*Q143)^$N143,$L143)</f>
        <v>33</v>
      </c>
      <c r="S143" s="64" cm="1">
        <f t="array" ref="S143">R143*$P143*INDEX(Month_Ref,Q$1-1,3)/365</f>
        <v>19.61917808219178</v>
      </c>
      <c r="T143" s="70">
        <f>T142</f>
        <v>7.8</v>
      </c>
      <c r="U143" s="63">
        <f>IFERROR($L143+$M143*($O143*T143)^$N143,$L143)</f>
        <v>33</v>
      </c>
      <c r="V143" s="64" cm="1">
        <f t="array" ref="V143">U143*$P143*INDEX(Month_Ref,T$1-1,3)/365</f>
        <v>17.720547945205478</v>
      </c>
      <c r="W143" s="70">
        <f>W142</f>
        <v>7.8</v>
      </c>
      <c r="X143" s="63">
        <f>IFERROR($L143+$M143*($O143*W143)^$N143,$L143)</f>
        <v>33</v>
      </c>
      <c r="Y143" s="64" cm="1">
        <f t="array" ref="Y143">X143*$P143*INDEX(Month_Ref,W$1-1,3)/365</f>
        <v>19.61917808219178</v>
      </c>
      <c r="Z143" s="70">
        <f>Z142</f>
        <v>7.8</v>
      </c>
      <c r="AA143" s="63">
        <f>IFERROR($L143+$M143*($O143*Z143)^$N143,$L143)</f>
        <v>33</v>
      </c>
      <c r="AB143" s="64" cm="1">
        <f t="array" ref="AB143">AA143*$P143*INDEX(Month_Ref,Z$1-1,3)/365</f>
        <v>18.986301369863014</v>
      </c>
      <c r="AC143" s="70">
        <f>AC142</f>
        <v>7.6</v>
      </c>
      <c r="AD143" s="63">
        <f>IFERROR($L143+$M143*($O143*AC143)^$N143,$L143)</f>
        <v>33</v>
      </c>
      <c r="AE143" s="64" cm="1">
        <f t="array" ref="AE143">AD143*$P143*INDEX(Month_Ref,AC$1-1,3)/365</f>
        <v>19.61917808219178</v>
      </c>
      <c r="AF143" s="70">
        <f>AF142</f>
        <v>7.8</v>
      </c>
      <c r="AG143" s="63">
        <f>IFERROR($L143+$M143*($O143*AF143)^$N143,$L143)</f>
        <v>33</v>
      </c>
      <c r="AH143" s="64" cm="1">
        <f t="array" ref="AH143">AG143*$P143*INDEX(Month_Ref,AF$1-1,3)/365</f>
        <v>18.986301369863014</v>
      </c>
      <c r="AI143" s="70">
        <f>AI142</f>
        <v>8.1</v>
      </c>
      <c r="AJ143" s="63">
        <f>IFERROR($L143+$M143*($O143*AI143)^$N143,$L143)</f>
        <v>33</v>
      </c>
      <c r="AK143" s="64" cm="1">
        <f t="array" ref="AK143">AJ143*$P143*INDEX(Month_Ref,AI$1-1,3)/365</f>
        <v>19.61917808219178</v>
      </c>
      <c r="AL143" s="70">
        <f>AL142</f>
        <v>7.2</v>
      </c>
      <c r="AM143" s="63">
        <f>IFERROR($L143+$M143*($O143*AL143)^$N143,$L143)</f>
        <v>33</v>
      </c>
      <c r="AN143" s="64" cm="1">
        <f t="array" ref="AN143">AM143*$P143*INDEX(Month_Ref,AL$1-1,3)/365</f>
        <v>19.61917808219178</v>
      </c>
      <c r="AO143" s="70">
        <f>AO142</f>
        <v>6.7</v>
      </c>
      <c r="AP143" s="63">
        <f>IFERROR($L143+$M143*($O143*AO143)^$N143,$L143)</f>
        <v>33</v>
      </c>
      <c r="AQ143" s="64" cm="1">
        <f t="array" ref="AQ143">AP143*$P143*INDEX(Month_Ref,AO$1-1,3)/365</f>
        <v>18.986301369863014</v>
      </c>
      <c r="AR143" s="70">
        <f>AR142</f>
        <v>6.7</v>
      </c>
      <c r="AS143" s="63">
        <f>IFERROR($L143+$M143*($O143*AR143)^$N143,$L143)</f>
        <v>33</v>
      </c>
      <c r="AT143" s="64" cm="1">
        <f t="array" ref="AT143">AS143*$P143*INDEX(Month_Ref,AR$1-1,3)/365</f>
        <v>19.61917808219178</v>
      </c>
      <c r="AU143" s="70">
        <f>AU142</f>
        <v>7.8</v>
      </c>
      <c r="AV143" s="63">
        <f>IFERROR($L143+$M143*($O143*AU143)^$N143,$L143)</f>
        <v>33</v>
      </c>
      <c r="AW143" s="64" cm="1">
        <f t="array" ref="AW143">AV143*$P143*INDEX(Month_Ref,AU$1-1,3)/365</f>
        <v>18.986301369863014</v>
      </c>
      <c r="AX143" s="70">
        <f>AX142</f>
        <v>8.6999999999999993</v>
      </c>
      <c r="AY143" s="63">
        <f>IFERROR($L143+$M143*($O143*AX143)^$N143,$L143)</f>
        <v>33</v>
      </c>
      <c r="AZ143" s="64" cm="1">
        <f t="array" ref="AZ143">AY143*$P143*INDEX(Month_Ref,AX$1-1,3)/365</f>
        <v>19.61917808219178</v>
      </c>
      <c r="BA143" s="183">
        <f t="shared" ref="BA143:BA156" si="243">S143+V143+Y143+AB143+AE143+AH143+AK143+AN143+AQ143+AT143+AW143+AZ143</f>
        <v>231</v>
      </c>
      <c r="BC143" s="20">
        <f t="shared" ref="BC143:BC156" si="244">BC142+1</f>
        <v>137</v>
      </c>
    </row>
    <row r="144" spans="2:65" ht="43.75" x14ac:dyDescent="0.4">
      <c r="B144" s="528"/>
      <c r="C144" s="531"/>
      <c r="D144" s="534"/>
      <c r="E144" s="534"/>
      <c r="F144" s="522"/>
      <c r="G144" s="522"/>
      <c r="H144" s="522"/>
      <c r="I144" s="525"/>
      <c r="J144" s="178" t="s">
        <v>1670</v>
      </c>
      <c r="K144" s="168" t="s">
        <v>1582</v>
      </c>
      <c r="L144" s="63">
        <f>INDEX(USGPW,MATCH($K144,USGPW_Name,0),2)</f>
        <v>0</v>
      </c>
      <c r="M144" s="63">
        <f>INDEX(USGPW,MATCH($K144,USGPW_Name,0),3)</f>
        <v>0</v>
      </c>
      <c r="N144" s="63">
        <f>INDEX(USGPW,MATCH($K144,USGPW_Name,0),4)</f>
        <v>0</v>
      </c>
      <c r="O144" s="63">
        <f t="shared" ref="O144:O155" si="245">O143</f>
        <v>0</v>
      </c>
      <c r="P144" s="64">
        <v>1</v>
      </c>
      <c r="Q144" s="70">
        <f t="shared" ref="Q144:Q155" si="246">Q143</f>
        <v>8.5</v>
      </c>
      <c r="R144" s="185">
        <f>IFERROR($L144+$M144*($O144*Q144)^$N144,$L144)</f>
        <v>0</v>
      </c>
      <c r="S144" s="186" cm="1">
        <f t="array" ref="S144">R144*$P144*INDEX(Month_Ref,Q$1-1,3)/365</f>
        <v>0</v>
      </c>
      <c r="T144" s="70">
        <f t="shared" ref="T144:T155" si="247">T143</f>
        <v>7.8</v>
      </c>
      <c r="U144" s="185">
        <f>IFERROR($L144+$M144*($O144*T144)^$N144,$L144)</f>
        <v>0</v>
      </c>
      <c r="V144" s="186" cm="1">
        <f t="array" ref="V144">U144*$P144*INDEX(Month_Ref,T$1-1,3)/365</f>
        <v>0</v>
      </c>
      <c r="W144" s="70">
        <f t="shared" ref="W144:W155" si="248">W143</f>
        <v>7.8</v>
      </c>
      <c r="X144" s="185">
        <f>IFERROR($L144+$M144*($O144*W144)^$N144,$L144)</f>
        <v>0</v>
      </c>
      <c r="Y144" s="186" cm="1">
        <f t="array" ref="Y144">X144*$P144*INDEX(Month_Ref,W$1-1,3)/365</f>
        <v>0</v>
      </c>
      <c r="Z144" s="70">
        <f t="shared" ref="Z144:Z155" si="249">Z143</f>
        <v>7.8</v>
      </c>
      <c r="AA144" s="185">
        <f>IFERROR($L144+$M144*($O144*Z144)^$N144,$L144)</f>
        <v>0</v>
      </c>
      <c r="AB144" s="186" cm="1">
        <f t="array" ref="AB144">AA144*$P144*INDEX(Month_Ref,Z$1-1,3)/365</f>
        <v>0</v>
      </c>
      <c r="AC144" s="70">
        <f t="shared" ref="AC144:AC155" si="250">AC143</f>
        <v>7.6</v>
      </c>
      <c r="AD144" s="185">
        <f>IFERROR($L144+$M144*($O144*AC144)^$N144,$L144)</f>
        <v>0</v>
      </c>
      <c r="AE144" s="186" cm="1">
        <f t="array" ref="AE144">AD144*$P144*INDEX(Month_Ref,AC$1-1,3)/365</f>
        <v>0</v>
      </c>
      <c r="AF144" s="70">
        <f t="shared" ref="AF144:AF155" si="251">AF143</f>
        <v>7.8</v>
      </c>
      <c r="AG144" s="185">
        <f>IFERROR($L144+$M144*($O144*AF144)^$N144,$L144)</f>
        <v>0</v>
      </c>
      <c r="AH144" s="186" cm="1">
        <f t="array" ref="AH144">AG144*$P144*INDEX(Month_Ref,AF$1-1,3)/365</f>
        <v>0</v>
      </c>
      <c r="AI144" s="70">
        <f t="shared" ref="AI144:AI155" si="252">AI143</f>
        <v>8.1</v>
      </c>
      <c r="AJ144" s="185">
        <f>IFERROR($L144+$M144*($O144*AI144)^$N144,$L144)</f>
        <v>0</v>
      </c>
      <c r="AK144" s="186" cm="1">
        <f t="array" ref="AK144">AJ144*$P144*INDEX(Month_Ref,AI$1-1,3)/365</f>
        <v>0</v>
      </c>
      <c r="AL144" s="70">
        <f t="shared" ref="AL144:AL155" si="253">AL143</f>
        <v>7.2</v>
      </c>
      <c r="AM144" s="185">
        <f>IFERROR($L144+$M144*($O144*AL144)^$N144,$L144)</f>
        <v>0</v>
      </c>
      <c r="AN144" s="186" cm="1">
        <f t="array" ref="AN144">AM144*$P144*INDEX(Month_Ref,AL$1-1,3)/365</f>
        <v>0</v>
      </c>
      <c r="AO144" s="70">
        <f t="shared" ref="AO144:AO155" si="254">AO143</f>
        <v>6.7</v>
      </c>
      <c r="AP144" s="185">
        <f>IFERROR($L144+$M144*($O144*AO144)^$N144,$L144)</f>
        <v>0</v>
      </c>
      <c r="AQ144" s="186" cm="1">
        <f t="array" ref="AQ144">AP144*$P144*INDEX(Month_Ref,AO$1-1,3)/365</f>
        <v>0</v>
      </c>
      <c r="AR144" s="70">
        <f t="shared" ref="AR144:AR155" si="255">AR143</f>
        <v>6.7</v>
      </c>
      <c r="AS144" s="185">
        <f>IFERROR($L144+$M144*($O144*AR144)^$N144,$L144)</f>
        <v>0</v>
      </c>
      <c r="AT144" s="186" cm="1">
        <f t="array" ref="AT144">AS144*$P144*INDEX(Month_Ref,AR$1-1,3)/365</f>
        <v>0</v>
      </c>
      <c r="AU144" s="70">
        <f t="shared" ref="AU144:AU155" si="256">AU143</f>
        <v>7.8</v>
      </c>
      <c r="AV144" s="185">
        <f>IFERROR($L144+$M144*($O144*AU144)^$N144,$L144)</f>
        <v>0</v>
      </c>
      <c r="AW144" s="186" cm="1">
        <f t="array" ref="AW144">AV144*$P144*INDEX(Month_Ref,AU$1-1,3)/365</f>
        <v>0</v>
      </c>
      <c r="AX144" s="70">
        <f t="shared" ref="AX144:AX155" si="257">AX143</f>
        <v>8.6999999999999993</v>
      </c>
      <c r="AY144" s="185">
        <f>IFERROR($L144+$M144*($O144*AX144)^$N144,$L144)</f>
        <v>0</v>
      </c>
      <c r="AZ144" s="186" cm="1">
        <f t="array" ref="AZ144">AY144*$P144*INDEX(Month_Ref,AX$1-1,3)/365</f>
        <v>0</v>
      </c>
      <c r="BA144" s="186">
        <f t="shared" si="243"/>
        <v>0</v>
      </c>
      <c r="BC144" s="20">
        <f t="shared" si="244"/>
        <v>138</v>
      </c>
    </row>
    <row r="145" spans="2:65" ht="29.15" x14ac:dyDescent="0.4">
      <c r="B145" s="528"/>
      <c r="C145" s="531"/>
      <c r="D145" s="534"/>
      <c r="E145" s="534"/>
      <c r="F145" s="522"/>
      <c r="G145" s="522"/>
      <c r="H145" s="522"/>
      <c r="I145" s="525"/>
      <c r="J145" s="178" t="s">
        <v>1676</v>
      </c>
      <c r="K145" s="168" t="s">
        <v>1674</v>
      </c>
      <c r="L145" s="63">
        <f>INDEX(SGPW,MATCH($K145,SGPW_Name,0),2)</f>
        <v>41</v>
      </c>
      <c r="M145" s="63">
        <f>INDEX(SGPW,MATCH($K145,SGPW_Name,0),3)</f>
        <v>48</v>
      </c>
      <c r="N145" s="63">
        <f>INDEX(SGPW,MATCH($K145,SGPW_Name,0),4)</f>
        <v>1.4</v>
      </c>
      <c r="O145" s="63">
        <f t="shared" si="245"/>
        <v>0</v>
      </c>
      <c r="P145" s="64">
        <v>1</v>
      </c>
      <c r="Q145" s="70">
        <f t="shared" si="246"/>
        <v>8.5</v>
      </c>
      <c r="R145" s="63">
        <f>IFERROR($L145+$M145*($O145*Q145)^$N145,$L145)</f>
        <v>41</v>
      </c>
      <c r="S145" s="64" cm="1">
        <f t="array" ref="S145">R145*$P145*INDEX(Month_Ref,Q$1-1,3)/365</f>
        <v>3.4821917808219176</v>
      </c>
      <c r="T145" s="70">
        <f t="shared" si="247"/>
        <v>7.8</v>
      </c>
      <c r="U145" s="63">
        <f>IFERROR($L145+$M145*($O145*T145)^$N145,$L145)</f>
        <v>41</v>
      </c>
      <c r="V145" s="64" cm="1">
        <f t="array" ref="V145">U145*$P145*INDEX(Month_Ref,T$1-1,3)/365</f>
        <v>3.1452054794520548</v>
      </c>
      <c r="W145" s="70">
        <f t="shared" si="248"/>
        <v>7.8</v>
      </c>
      <c r="X145" s="63">
        <f>IFERROR($L145+$M145*($O145*W145)^$N145,$L145)</f>
        <v>41</v>
      </c>
      <c r="Y145" s="64" cm="1">
        <f t="array" ref="Y145">X145*$P145*INDEX(Month_Ref,W$1-1,3)/365</f>
        <v>3.4821917808219176</v>
      </c>
      <c r="Z145" s="70">
        <f t="shared" si="249"/>
        <v>7.8</v>
      </c>
      <c r="AA145" s="63">
        <f>IFERROR($L145+$M145*($O145*Z145)^$N145,$L145)</f>
        <v>41</v>
      </c>
      <c r="AB145" s="64" cm="1">
        <f t="array" ref="AB145">AA145*$P145*INDEX(Month_Ref,Z$1-1,3)/365</f>
        <v>3.3698630136986303</v>
      </c>
      <c r="AC145" s="70">
        <f t="shared" si="250"/>
        <v>7.6</v>
      </c>
      <c r="AD145" s="63">
        <f>IFERROR($L145+$M145*($O145*AC145)^$N145,$L145)</f>
        <v>41</v>
      </c>
      <c r="AE145" s="64" cm="1">
        <f t="array" ref="AE145">AD145*$P145*INDEX(Month_Ref,AC$1-1,3)/365</f>
        <v>3.4821917808219176</v>
      </c>
      <c r="AF145" s="70">
        <f t="shared" si="251"/>
        <v>7.8</v>
      </c>
      <c r="AG145" s="63">
        <f>IFERROR($L145+$M145*($O145*AF145)^$N145,$L145)</f>
        <v>41</v>
      </c>
      <c r="AH145" s="64" cm="1">
        <f t="array" ref="AH145">AG145*$P145*INDEX(Month_Ref,AF$1-1,3)/365</f>
        <v>3.3698630136986303</v>
      </c>
      <c r="AI145" s="70">
        <f t="shared" si="252"/>
        <v>8.1</v>
      </c>
      <c r="AJ145" s="63">
        <f>IFERROR($L145+$M145*($O145*AI145)^$N145,$L145)</f>
        <v>41</v>
      </c>
      <c r="AK145" s="64" cm="1">
        <f t="array" ref="AK145">AJ145*$P145*INDEX(Month_Ref,AI$1-1,3)/365</f>
        <v>3.4821917808219176</v>
      </c>
      <c r="AL145" s="70">
        <f t="shared" si="253"/>
        <v>7.2</v>
      </c>
      <c r="AM145" s="63">
        <f>IFERROR($L145+$M145*($O145*AL145)^$N145,$L145)</f>
        <v>41</v>
      </c>
      <c r="AN145" s="64" cm="1">
        <f t="array" ref="AN145">AM145*$P145*INDEX(Month_Ref,AL$1-1,3)/365</f>
        <v>3.4821917808219176</v>
      </c>
      <c r="AO145" s="70">
        <f t="shared" si="254"/>
        <v>6.7</v>
      </c>
      <c r="AP145" s="63">
        <f>IFERROR($L145+$M145*($O145*AO145)^$N145,$L145)</f>
        <v>41</v>
      </c>
      <c r="AQ145" s="64" cm="1">
        <f t="array" ref="AQ145">AP145*$P145*INDEX(Month_Ref,AO$1-1,3)/365</f>
        <v>3.3698630136986303</v>
      </c>
      <c r="AR145" s="70">
        <f t="shared" si="255"/>
        <v>6.7</v>
      </c>
      <c r="AS145" s="63">
        <f>IFERROR($L145+$M145*($O145*AR145)^$N145,$L145)</f>
        <v>41</v>
      </c>
      <c r="AT145" s="64" cm="1">
        <f t="array" ref="AT145">AS145*$P145*INDEX(Month_Ref,AR$1-1,3)/365</f>
        <v>3.4821917808219176</v>
      </c>
      <c r="AU145" s="70">
        <f t="shared" si="256"/>
        <v>7.8</v>
      </c>
      <c r="AV145" s="63">
        <f>IFERROR($L145+$M145*($O145*AU145)^$N145,$L145)</f>
        <v>41</v>
      </c>
      <c r="AW145" s="64" cm="1">
        <f t="array" ref="AW145">AV145*$P145*INDEX(Month_Ref,AU$1-1,3)/365</f>
        <v>3.3698630136986303</v>
      </c>
      <c r="AX145" s="70">
        <f t="shared" si="257"/>
        <v>8.6999999999999993</v>
      </c>
      <c r="AY145" s="63">
        <f>IFERROR($L145+$M145*($O145*AX145)^$N145,$L145)</f>
        <v>41</v>
      </c>
      <c r="AZ145" s="64" cm="1">
        <f t="array" ref="AZ145">AY145*$P145*INDEX(Month_Ref,AX$1-1,3)/365</f>
        <v>3.4821917808219176</v>
      </c>
      <c r="BA145" s="183">
        <f t="shared" si="243"/>
        <v>41</v>
      </c>
      <c r="BC145" s="20">
        <f t="shared" si="244"/>
        <v>139</v>
      </c>
    </row>
    <row r="146" spans="2:65" x14ac:dyDescent="0.4">
      <c r="B146" s="528"/>
      <c r="C146" s="531"/>
      <c r="D146" s="534"/>
      <c r="E146" s="534"/>
      <c r="F146" s="522"/>
      <c r="G146" s="522"/>
      <c r="H146" s="522"/>
      <c r="I146" s="525"/>
      <c r="J146" s="178" t="s">
        <v>1682</v>
      </c>
      <c r="K146" s="168" t="s">
        <v>1661</v>
      </c>
      <c r="L146" s="63">
        <f>INDEX(GFW,MATCH($K146,GFW_Name,0),2)</f>
        <v>2.8</v>
      </c>
      <c r="M146" s="63">
        <f>INDEX(GFW,MATCH($K146,GFW_Name,0),3)</f>
        <v>0</v>
      </c>
      <c r="N146" s="63">
        <f>INDEX(GFW,MATCH($K146,GFW_Name,0),4)</f>
        <v>0</v>
      </c>
      <c r="O146" s="63">
        <f t="shared" si="245"/>
        <v>0</v>
      </c>
      <c r="P146" s="64">
        <v>1</v>
      </c>
      <c r="Q146" s="70">
        <f t="shared" si="246"/>
        <v>8.5</v>
      </c>
      <c r="R146" s="187">
        <f t="shared" ref="R146:R155" si="258">IFERROR($L146+$M146*($O146*Q146)^$N146,$L146)</f>
        <v>2.8</v>
      </c>
      <c r="S146" s="189" cm="1">
        <f t="array" ref="S146">R146*$P146*INDEX(Month_Ref,Q$1-1,3)/365</f>
        <v>0.23780821917808218</v>
      </c>
      <c r="T146" s="70">
        <f t="shared" si="247"/>
        <v>7.8</v>
      </c>
      <c r="U146" s="187">
        <f t="shared" ref="U146:U155" si="259">IFERROR($L146+$M146*($O146*T146)^$N146,$L146)</f>
        <v>2.8</v>
      </c>
      <c r="V146" s="189" cm="1">
        <f t="array" ref="V146">U146*$P146*INDEX(Month_Ref,T$1-1,3)/365</f>
        <v>0.21479452054794518</v>
      </c>
      <c r="W146" s="70">
        <f t="shared" si="248"/>
        <v>7.8</v>
      </c>
      <c r="X146" s="187">
        <f t="shared" ref="X146:X155" si="260">IFERROR($L146+$M146*($O146*W146)^$N146,$L146)</f>
        <v>2.8</v>
      </c>
      <c r="Y146" s="189" cm="1">
        <f t="array" ref="Y146">X146*$P146*INDEX(Month_Ref,W$1-1,3)/365</f>
        <v>0.23780821917808218</v>
      </c>
      <c r="Z146" s="70">
        <f t="shared" si="249"/>
        <v>7.8</v>
      </c>
      <c r="AA146" s="187">
        <f t="shared" ref="AA146:AA155" si="261">IFERROR($L146+$M146*($O146*Z146)^$N146,$L146)</f>
        <v>2.8</v>
      </c>
      <c r="AB146" s="189" cm="1">
        <f t="array" ref="AB146">AA146*$P146*INDEX(Month_Ref,Z$1-1,3)/365</f>
        <v>0.23013698630136986</v>
      </c>
      <c r="AC146" s="70">
        <f t="shared" si="250"/>
        <v>7.6</v>
      </c>
      <c r="AD146" s="187">
        <f t="shared" ref="AD146:AD155" si="262">IFERROR($L146+$M146*($O146*AC146)^$N146,$L146)</f>
        <v>2.8</v>
      </c>
      <c r="AE146" s="189" cm="1">
        <f t="array" ref="AE146">AD146*$P146*INDEX(Month_Ref,AC$1-1,3)/365</f>
        <v>0.23780821917808218</v>
      </c>
      <c r="AF146" s="70">
        <f t="shared" si="251"/>
        <v>7.8</v>
      </c>
      <c r="AG146" s="187">
        <f t="shared" ref="AG146:AG155" si="263">IFERROR($L146+$M146*($O146*AF146)^$N146,$L146)</f>
        <v>2.8</v>
      </c>
      <c r="AH146" s="189" cm="1">
        <f t="array" ref="AH146">AG146*$P146*INDEX(Month_Ref,AF$1-1,3)/365</f>
        <v>0.23013698630136986</v>
      </c>
      <c r="AI146" s="70">
        <f t="shared" si="252"/>
        <v>8.1</v>
      </c>
      <c r="AJ146" s="187">
        <f t="shared" ref="AJ146:AJ155" si="264">IFERROR($L146+$M146*($O146*AI146)^$N146,$L146)</f>
        <v>2.8</v>
      </c>
      <c r="AK146" s="189" cm="1">
        <f t="array" ref="AK146">AJ146*$P146*INDEX(Month_Ref,AI$1-1,3)/365</f>
        <v>0.23780821917808218</v>
      </c>
      <c r="AL146" s="70">
        <f t="shared" si="253"/>
        <v>7.2</v>
      </c>
      <c r="AM146" s="187">
        <f t="shared" ref="AM146:AM155" si="265">IFERROR($L146+$M146*($O146*AL146)^$N146,$L146)</f>
        <v>2.8</v>
      </c>
      <c r="AN146" s="189" cm="1">
        <f t="array" ref="AN146">AM146*$P146*INDEX(Month_Ref,AL$1-1,3)/365</f>
        <v>0.23780821917808218</v>
      </c>
      <c r="AO146" s="70">
        <f t="shared" si="254"/>
        <v>6.7</v>
      </c>
      <c r="AP146" s="187">
        <f t="shared" ref="AP146:AP155" si="266">IFERROR($L146+$M146*($O146*AO146)^$N146,$L146)</f>
        <v>2.8</v>
      </c>
      <c r="AQ146" s="189" cm="1">
        <f t="array" ref="AQ146">AP146*$P146*INDEX(Month_Ref,AO$1-1,3)/365</f>
        <v>0.23013698630136986</v>
      </c>
      <c r="AR146" s="70">
        <f t="shared" si="255"/>
        <v>6.7</v>
      </c>
      <c r="AS146" s="187">
        <f t="shared" ref="AS146:AS155" si="267">IFERROR($L146+$M146*($O146*AR146)^$N146,$L146)</f>
        <v>2.8</v>
      </c>
      <c r="AT146" s="189" cm="1">
        <f t="array" ref="AT146">AS146*$P146*INDEX(Month_Ref,AR$1-1,3)/365</f>
        <v>0.23780821917808218</v>
      </c>
      <c r="AU146" s="70">
        <f t="shared" si="256"/>
        <v>7.8</v>
      </c>
      <c r="AV146" s="187">
        <f t="shared" ref="AV146:AV155" si="268">IFERROR($L146+$M146*($O146*AU146)^$N146,$L146)</f>
        <v>2.8</v>
      </c>
      <c r="AW146" s="189" cm="1">
        <f t="array" ref="AW146">AV146*$P146*INDEX(Month_Ref,AU$1-1,3)/365</f>
        <v>0.23013698630136986</v>
      </c>
      <c r="AX146" s="70">
        <f t="shared" si="257"/>
        <v>8.6999999999999993</v>
      </c>
      <c r="AY146" s="187">
        <f t="shared" ref="AY146:AY155" si="269">IFERROR($L146+$M146*($O146*AX146)^$N146,$L146)</f>
        <v>2.8</v>
      </c>
      <c r="AZ146" s="189" cm="1">
        <f t="array" ref="AZ146">AY146*$P146*INDEX(Month_Ref,AX$1-1,3)/365</f>
        <v>0.23780821917808218</v>
      </c>
      <c r="BA146" s="183">
        <f t="shared" si="243"/>
        <v>2.8</v>
      </c>
      <c r="BC146" s="20">
        <f t="shared" si="244"/>
        <v>140</v>
      </c>
    </row>
    <row r="147" spans="2:65" ht="29.15" x14ac:dyDescent="0.4">
      <c r="B147" s="528"/>
      <c r="C147" s="531"/>
      <c r="D147" s="534"/>
      <c r="E147" s="534"/>
      <c r="F147" s="522"/>
      <c r="G147" s="522"/>
      <c r="H147" s="522"/>
      <c r="I147" s="525"/>
      <c r="J147" s="179" t="s">
        <v>1683</v>
      </c>
      <c r="K147" s="168" t="s">
        <v>1684</v>
      </c>
      <c r="L147" s="63">
        <f>INDEX(GHSP,MATCH($K147,GHSP_Name,0),2)</f>
        <v>0.47</v>
      </c>
      <c r="M147" s="63">
        <f>INDEX(GHSP,MATCH($K147,GHSP_Name,0),3)</f>
        <v>0.02</v>
      </c>
      <c r="N147" s="63">
        <f>INDEX(GHSP,MATCH($K147,GHSP_Name,0),4)</f>
        <v>0.97</v>
      </c>
      <c r="O147" s="63">
        <f t="shared" si="245"/>
        <v>0</v>
      </c>
      <c r="P147" s="64">
        <v>1</v>
      </c>
      <c r="Q147" s="70">
        <f t="shared" si="246"/>
        <v>8.5</v>
      </c>
      <c r="R147" s="190">
        <f t="shared" si="258"/>
        <v>0.47</v>
      </c>
      <c r="S147" s="191" cm="1">
        <f t="array" ref="S147">R147*$P147*INDEX(Month_Ref,Q$1-1,3)/365</f>
        <v>3.9917808219178078E-2</v>
      </c>
      <c r="T147" s="70">
        <f t="shared" si="247"/>
        <v>7.8</v>
      </c>
      <c r="U147" s="190">
        <f t="shared" si="259"/>
        <v>0.47</v>
      </c>
      <c r="V147" s="191" cm="1">
        <f t="array" ref="V147">U147*$P147*INDEX(Month_Ref,T$1-1,3)/365</f>
        <v>3.6054794520547946E-2</v>
      </c>
      <c r="W147" s="70">
        <f t="shared" si="248"/>
        <v>7.8</v>
      </c>
      <c r="X147" s="190">
        <f t="shared" si="260"/>
        <v>0.47</v>
      </c>
      <c r="Y147" s="191" cm="1">
        <f t="array" ref="Y147">X147*$P147*INDEX(Month_Ref,W$1-1,3)/365</f>
        <v>3.9917808219178078E-2</v>
      </c>
      <c r="Z147" s="70">
        <f t="shared" si="249"/>
        <v>7.8</v>
      </c>
      <c r="AA147" s="190">
        <f t="shared" si="261"/>
        <v>0.47</v>
      </c>
      <c r="AB147" s="191" cm="1">
        <f t="array" ref="AB147">AA147*$P147*INDEX(Month_Ref,Z$1-1,3)/365</f>
        <v>3.8630136986301369E-2</v>
      </c>
      <c r="AC147" s="70">
        <f t="shared" si="250"/>
        <v>7.6</v>
      </c>
      <c r="AD147" s="190">
        <f t="shared" si="262"/>
        <v>0.47</v>
      </c>
      <c r="AE147" s="191" cm="1">
        <f t="array" ref="AE147">AD147*$P147*INDEX(Month_Ref,AC$1-1,3)/365</f>
        <v>3.9917808219178078E-2</v>
      </c>
      <c r="AF147" s="70">
        <f t="shared" si="251"/>
        <v>7.8</v>
      </c>
      <c r="AG147" s="190">
        <f t="shared" si="263"/>
        <v>0.47</v>
      </c>
      <c r="AH147" s="191" cm="1">
        <f t="array" ref="AH147">AG147*$P147*INDEX(Month_Ref,AF$1-1,3)/365</f>
        <v>3.8630136986301369E-2</v>
      </c>
      <c r="AI147" s="70">
        <f t="shared" si="252"/>
        <v>8.1</v>
      </c>
      <c r="AJ147" s="190">
        <f t="shared" si="264"/>
        <v>0.47</v>
      </c>
      <c r="AK147" s="191" cm="1">
        <f t="array" ref="AK147">AJ147*$P147*INDEX(Month_Ref,AI$1-1,3)/365</f>
        <v>3.9917808219178078E-2</v>
      </c>
      <c r="AL147" s="70">
        <f t="shared" si="253"/>
        <v>7.2</v>
      </c>
      <c r="AM147" s="190">
        <f t="shared" si="265"/>
        <v>0.47</v>
      </c>
      <c r="AN147" s="191" cm="1">
        <f t="array" ref="AN147">AM147*$P147*INDEX(Month_Ref,AL$1-1,3)/365</f>
        <v>3.9917808219178078E-2</v>
      </c>
      <c r="AO147" s="70">
        <f t="shared" si="254"/>
        <v>6.7</v>
      </c>
      <c r="AP147" s="190">
        <f t="shared" si="266"/>
        <v>0.47</v>
      </c>
      <c r="AQ147" s="191" cm="1">
        <f t="array" ref="AQ147">AP147*$P147*INDEX(Month_Ref,AO$1-1,3)/365</f>
        <v>3.8630136986301369E-2</v>
      </c>
      <c r="AR147" s="70">
        <f t="shared" si="255"/>
        <v>6.7</v>
      </c>
      <c r="AS147" s="190">
        <f t="shared" si="267"/>
        <v>0.47</v>
      </c>
      <c r="AT147" s="191" cm="1">
        <f t="array" ref="AT147">AS147*$P147*INDEX(Month_Ref,AR$1-1,3)/365</f>
        <v>3.9917808219178078E-2</v>
      </c>
      <c r="AU147" s="70">
        <f t="shared" si="256"/>
        <v>7.8</v>
      </c>
      <c r="AV147" s="190">
        <f t="shared" si="268"/>
        <v>0.47</v>
      </c>
      <c r="AW147" s="191" cm="1">
        <f t="array" ref="AW147">AV147*$P147*INDEX(Month_Ref,AU$1-1,3)/365</f>
        <v>3.8630136986301369E-2</v>
      </c>
      <c r="AX147" s="70">
        <f t="shared" si="257"/>
        <v>8.6999999999999993</v>
      </c>
      <c r="AY147" s="190">
        <f t="shared" si="269"/>
        <v>0.47</v>
      </c>
      <c r="AZ147" s="191" cm="1">
        <f t="array" ref="AZ147">AY147*$P147*INDEX(Month_Ref,AX$1-1,3)/365</f>
        <v>3.9917808219178078E-2</v>
      </c>
      <c r="BA147" s="183">
        <f t="shared" si="243"/>
        <v>0.46999999999999986</v>
      </c>
      <c r="BC147" s="20">
        <f t="shared" si="244"/>
        <v>141</v>
      </c>
    </row>
    <row r="148" spans="2:65" ht="29.15" x14ac:dyDescent="0.4">
      <c r="B148" s="528"/>
      <c r="C148" s="531"/>
      <c r="D148" s="534"/>
      <c r="E148" s="534"/>
      <c r="F148" s="522"/>
      <c r="G148" s="522"/>
      <c r="H148" s="522"/>
      <c r="I148" s="525"/>
      <c r="J148" s="179" t="s">
        <v>1687</v>
      </c>
      <c r="K148" s="168" t="s">
        <v>1684</v>
      </c>
      <c r="L148" s="63">
        <f>INDEX(Vac_Break,MATCH($K148,Vac_Break_Name,0),2)</f>
        <v>6.2</v>
      </c>
      <c r="M148" s="63">
        <f>INDEX(Vac_Break,MATCH($K148,Vac_Break_Name,0),3)</f>
        <v>1.2</v>
      </c>
      <c r="N148" s="63">
        <f>INDEX(Vac_Break,MATCH($K148,Vac_Break_Name,0),4)</f>
        <v>0.94</v>
      </c>
      <c r="O148" s="63">
        <f t="shared" si="245"/>
        <v>0</v>
      </c>
      <c r="P148" s="64" cm="1">
        <f t="array" ref="P148">IF(F142="Internal Floating Roof",1,INDEX(Tbl_71_13,_xlfn.MINIFS(Tbl_71_13_Range,Tbl_71_13_Dia,"&gt;="&amp;$E142),IF(G142="Pontoon",3,4)))</f>
        <v>1</v>
      </c>
      <c r="Q148" s="70">
        <f t="shared" si="246"/>
        <v>8.5</v>
      </c>
      <c r="R148" s="187">
        <f t="shared" si="258"/>
        <v>6.2</v>
      </c>
      <c r="S148" s="189" cm="1">
        <f t="array" ref="S148">R148*$P148*INDEX(Month_Ref,Q$1-1,3)/365</f>
        <v>0.52657534246575344</v>
      </c>
      <c r="T148" s="70">
        <f t="shared" si="247"/>
        <v>7.8</v>
      </c>
      <c r="U148" s="187">
        <f t="shared" si="259"/>
        <v>6.2</v>
      </c>
      <c r="V148" s="189" cm="1">
        <f t="array" ref="V148">U148*$P148*INDEX(Month_Ref,T$1-1,3)/365</f>
        <v>0.47561643835616435</v>
      </c>
      <c r="W148" s="70">
        <f t="shared" si="248"/>
        <v>7.8</v>
      </c>
      <c r="X148" s="187">
        <f t="shared" si="260"/>
        <v>6.2</v>
      </c>
      <c r="Y148" s="189" cm="1">
        <f t="array" ref="Y148">X148*$P148*INDEX(Month_Ref,W$1-1,3)/365</f>
        <v>0.52657534246575344</v>
      </c>
      <c r="Z148" s="70">
        <f t="shared" si="249"/>
        <v>7.8</v>
      </c>
      <c r="AA148" s="187">
        <f t="shared" si="261"/>
        <v>6.2</v>
      </c>
      <c r="AB148" s="189" cm="1">
        <f t="array" ref="AB148">AA148*$P148*INDEX(Month_Ref,Z$1-1,3)/365</f>
        <v>0.50958904109589043</v>
      </c>
      <c r="AC148" s="70">
        <f t="shared" si="250"/>
        <v>7.6</v>
      </c>
      <c r="AD148" s="187">
        <f t="shared" si="262"/>
        <v>6.2</v>
      </c>
      <c r="AE148" s="189" cm="1">
        <f t="array" ref="AE148">AD148*$P148*INDEX(Month_Ref,AC$1-1,3)/365</f>
        <v>0.52657534246575344</v>
      </c>
      <c r="AF148" s="70">
        <f t="shared" si="251"/>
        <v>7.8</v>
      </c>
      <c r="AG148" s="187">
        <f t="shared" si="263"/>
        <v>6.2</v>
      </c>
      <c r="AH148" s="189" cm="1">
        <f t="array" ref="AH148">AG148*$P148*INDEX(Month_Ref,AF$1-1,3)/365</f>
        <v>0.50958904109589043</v>
      </c>
      <c r="AI148" s="70">
        <f t="shared" si="252"/>
        <v>8.1</v>
      </c>
      <c r="AJ148" s="187">
        <f t="shared" si="264"/>
        <v>6.2</v>
      </c>
      <c r="AK148" s="189" cm="1">
        <f t="array" ref="AK148">AJ148*$P148*INDEX(Month_Ref,AI$1-1,3)/365</f>
        <v>0.52657534246575344</v>
      </c>
      <c r="AL148" s="70">
        <f t="shared" si="253"/>
        <v>7.2</v>
      </c>
      <c r="AM148" s="187">
        <f t="shared" si="265"/>
        <v>6.2</v>
      </c>
      <c r="AN148" s="189" cm="1">
        <f t="array" ref="AN148">AM148*$P148*INDEX(Month_Ref,AL$1-1,3)/365</f>
        <v>0.52657534246575344</v>
      </c>
      <c r="AO148" s="70">
        <f t="shared" si="254"/>
        <v>6.7</v>
      </c>
      <c r="AP148" s="187">
        <f t="shared" si="266"/>
        <v>6.2</v>
      </c>
      <c r="AQ148" s="189" cm="1">
        <f t="array" ref="AQ148">AP148*$P148*INDEX(Month_Ref,AO$1-1,3)/365</f>
        <v>0.50958904109589043</v>
      </c>
      <c r="AR148" s="70">
        <f t="shared" si="255"/>
        <v>6.7</v>
      </c>
      <c r="AS148" s="187">
        <f t="shared" si="267"/>
        <v>6.2</v>
      </c>
      <c r="AT148" s="189" cm="1">
        <f t="array" ref="AT148">AS148*$P148*INDEX(Month_Ref,AR$1-1,3)/365</f>
        <v>0.52657534246575344</v>
      </c>
      <c r="AU148" s="70">
        <f t="shared" si="256"/>
        <v>7.8</v>
      </c>
      <c r="AV148" s="187">
        <f t="shared" si="268"/>
        <v>6.2</v>
      </c>
      <c r="AW148" s="189" cm="1">
        <f t="array" ref="AW148">AV148*$P148*INDEX(Month_Ref,AU$1-1,3)/365</f>
        <v>0.50958904109589043</v>
      </c>
      <c r="AX148" s="70">
        <f t="shared" si="257"/>
        <v>8.6999999999999993</v>
      </c>
      <c r="AY148" s="187">
        <f t="shared" si="269"/>
        <v>6.2</v>
      </c>
      <c r="AZ148" s="189" cm="1">
        <f t="array" ref="AZ148">AY148*$P148*INDEX(Month_Ref,AX$1-1,3)/365</f>
        <v>0.52657534246575344</v>
      </c>
      <c r="BA148" s="183">
        <f t="shared" si="243"/>
        <v>6.2</v>
      </c>
      <c r="BC148" s="20">
        <f t="shared" si="244"/>
        <v>142</v>
      </c>
    </row>
    <row r="149" spans="2:65" x14ac:dyDescent="0.4">
      <c r="B149" s="528"/>
      <c r="C149" s="531"/>
      <c r="D149" s="534"/>
      <c r="E149" s="534"/>
      <c r="F149" s="522"/>
      <c r="G149" s="522"/>
      <c r="H149" s="522"/>
      <c r="I149" s="525"/>
      <c r="J149" s="179" t="s">
        <v>1688</v>
      </c>
      <c r="K149" s="168" t="s">
        <v>1647</v>
      </c>
      <c r="L149" s="63">
        <f>INDEX(Deck_Drain,MATCH($K149,Deck_Drain_Name,0),2)</f>
        <v>0</v>
      </c>
      <c r="M149" s="63">
        <f>INDEX(Deck_Drain,MATCH($K149,Deck_Drain_Name,0),3)</f>
        <v>0</v>
      </c>
      <c r="N149" s="63">
        <f>INDEX(Deck_Drain,MATCH($K149,Deck_Drain_Name,0),4)</f>
        <v>0</v>
      </c>
      <c r="O149" s="63">
        <f t="shared" si="245"/>
        <v>0</v>
      </c>
      <c r="P149" s="64" cm="1">
        <f t="array" ref="P149">IF(F142="Internal Floating Roof",1,INDEX(Tbl_71_13,_xlfn.MINIFS(Tbl_71_13_Range,Tbl_71_13_Dia,"&gt;="&amp;$E142),5))</f>
        <v>1</v>
      </c>
      <c r="Q149" s="70">
        <f t="shared" si="246"/>
        <v>8.5</v>
      </c>
      <c r="R149" s="188">
        <f t="shared" si="258"/>
        <v>0</v>
      </c>
      <c r="S149" s="192" cm="1">
        <f t="array" ref="S149">R149*$P149*INDEX(Month_Ref,Q$1-1,3)/365</f>
        <v>0</v>
      </c>
      <c r="T149" s="70">
        <f t="shared" si="247"/>
        <v>7.8</v>
      </c>
      <c r="U149" s="188">
        <f t="shared" si="259"/>
        <v>0</v>
      </c>
      <c r="V149" s="192" cm="1">
        <f t="array" ref="V149">U149*$P149*INDEX(Month_Ref,T$1-1,3)/365</f>
        <v>0</v>
      </c>
      <c r="W149" s="70">
        <f t="shared" si="248"/>
        <v>7.8</v>
      </c>
      <c r="X149" s="188">
        <f t="shared" si="260"/>
        <v>0</v>
      </c>
      <c r="Y149" s="192" cm="1">
        <f t="array" ref="Y149">X149*$P149*INDEX(Month_Ref,W$1-1,3)/365</f>
        <v>0</v>
      </c>
      <c r="Z149" s="70">
        <f t="shared" si="249"/>
        <v>7.8</v>
      </c>
      <c r="AA149" s="188">
        <f t="shared" si="261"/>
        <v>0</v>
      </c>
      <c r="AB149" s="192" cm="1">
        <f t="array" ref="AB149">AA149*$P149*INDEX(Month_Ref,Z$1-1,3)/365</f>
        <v>0</v>
      </c>
      <c r="AC149" s="70">
        <f t="shared" si="250"/>
        <v>7.6</v>
      </c>
      <c r="AD149" s="188">
        <f t="shared" si="262"/>
        <v>0</v>
      </c>
      <c r="AE149" s="192" cm="1">
        <f t="array" ref="AE149">AD149*$P149*INDEX(Month_Ref,AC$1-1,3)/365</f>
        <v>0</v>
      </c>
      <c r="AF149" s="70">
        <f t="shared" si="251"/>
        <v>7.8</v>
      </c>
      <c r="AG149" s="188">
        <f t="shared" si="263"/>
        <v>0</v>
      </c>
      <c r="AH149" s="192" cm="1">
        <f t="array" ref="AH149">AG149*$P149*INDEX(Month_Ref,AF$1-1,3)/365</f>
        <v>0</v>
      </c>
      <c r="AI149" s="70">
        <f t="shared" si="252"/>
        <v>8.1</v>
      </c>
      <c r="AJ149" s="188">
        <f t="shared" si="264"/>
        <v>0</v>
      </c>
      <c r="AK149" s="192" cm="1">
        <f t="array" ref="AK149">AJ149*$P149*INDEX(Month_Ref,AI$1-1,3)/365</f>
        <v>0</v>
      </c>
      <c r="AL149" s="70">
        <f t="shared" si="253"/>
        <v>7.2</v>
      </c>
      <c r="AM149" s="188">
        <f t="shared" si="265"/>
        <v>0</v>
      </c>
      <c r="AN149" s="192" cm="1">
        <f t="array" ref="AN149">AM149*$P149*INDEX(Month_Ref,AL$1-1,3)/365</f>
        <v>0</v>
      </c>
      <c r="AO149" s="70">
        <f t="shared" si="254"/>
        <v>6.7</v>
      </c>
      <c r="AP149" s="188">
        <f t="shared" si="266"/>
        <v>0</v>
      </c>
      <c r="AQ149" s="192" cm="1">
        <f t="array" ref="AQ149">AP149*$P149*INDEX(Month_Ref,AO$1-1,3)/365</f>
        <v>0</v>
      </c>
      <c r="AR149" s="70">
        <f t="shared" si="255"/>
        <v>6.7</v>
      </c>
      <c r="AS149" s="188">
        <f t="shared" si="267"/>
        <v>0</v>
      </c>
      <c r="AT149" s="192" cm="1">
        <f t="array" ref="AT149">AS149*$P149*INDEX(Month_Ref,AR$1-1,3)/365</f>
        <v>0</v>
      </c>
      <c r="AU149" s="70">
        <f t="shared" si="256"/>
        <v>7.8</v>
      </c>
      <c r="AV149" s="188">
        <f t="shared" si="268"/>
        <v>0</v>
      </c>
      <c r="AW149" s="192" cm="1">
        <f t="array" ref="AW149">AV149*$P149*INDEX(Month_Ref,AU$1-1,3)/365</f>
        <v>0</v>
      </c>
      <c r="AX149" s="70">
        <f t="shared" si="257"/>
        <v>8.6999999999999993</v>
      </c>
      <c r="AY149" s="188">
        <f t="shared" si="269"/>
        <v>0</v>
      </c>
      <c r="AZ149" s="192" cm="1">
        <f t="array" ref="AZ149">AY149*$P149*INDEX(Month_Ref,AX$1-1,3)/365</f>
        <v>0</v>
      </c>
      <c r="BA149" s="183">
        <f t="shared" si="243"/>
        <v>0</v>
      </c>
      <c r="BC149" s="20">
        <f t="shared" si="244"/>
        <v>143</v>
      </c>
    </row>
    <row r="150" spans="2:65" x14ac:dyDescent="0.4">
      <c r="B150" s="528"/>
      <c r="C150" s="531"/>
      <c r="D150" s="534"/>
      <c r="E150" s="534"/>
      <c r="F150" s="522"/>
      <c r="G150" s="522"/>
      <c r="H150" s="522"/>
      <c r="I150" s="525"/>
      <c r="J150" s="179" t="s">
        <v>1708</v>
      </c>
      <c r="K150" s="168" t="s">
        <v>1647</v>
      </c>
      <c r="L150" s="63">
        <f>INDEX(Deck_Leg_IFR,MATCH($K150,Deck_Leg_IFR_Name,0),2)</f>
        <v>7.9</v>
      </c>
      <c r="M150" s="63">
        <f>INDEX(Deck_Leg_IFR,MATCH($K150,Deck_Leg_IFR_Name,0),3)</f>
        <v>0</v>
      </c>
      <c r="N150" s="63">
        <f>INDEX(Deck_Leg_IFR,MATCH($K150,Deck_Leg_IFR_Name,0),4)</f>
        <v>0</v>
      </c>
      <c r="O150" s="63">
        <f t="shared" si="245"/>
        <v>0</v>
      </c>
      <c r="P150" s="64">
        <f>IF($F142="Internal Floating Roof",ROUND(5+$E142/10+($E142^2)/600,0),0)</f>
        <v>41</v>
      </c>
      <c r="Q150" s="70">
        <f t="shared" si="246"/>
        <v>8.5</v>
      </c>
      <c r="R150" s="63">
        <f t="shared" si="258"/>
        <v>7.9</v>
      </c>
      <c r="S150" s="64" cm="1">
        <f t="array" ref="S150">R150*$P150*INDEX(Month_Ref,Q$1-1,3)/365</f>
        <v>27.509315068493155</v>
      </c>
      <c r="T150" s="70">
        <f t="shared" si="247"/>
        <v>7.8</v>
      </c>
      <c r="U150" s="63">
        <f t="shared" si="259"/>
        <v>7.9</v>
      </c>
      <c r="V150" s="64" cm="1">
        <f t="array" ref="V150">U150*$P150*INDEX(Month_Ref,T$1-1,3)/365</f>
        <v>24.847123287671234</v>
      </c>
      <c r="W150" s="70">
        <f t="shared" si="248"/>
        <v>7.8</v>
      </c>
      <c r="X150" s="63">
        <f t="shared" si="260"/>
        <v>7.9</v>
      </c>
      <c r="Y150" s="64" cm="1">
        <f t="array" ref="Y150">X150*$P150*INDEX(Month_Ref,W$1-1,3)/365</f>
        <v>27.509315068493155</v>
      </c>
      <c r="Z150" s="70">
        <f t="shared" si="249"/>
        <v>7.8</v>
      </c>
      <c r="AA150" s="63">
        <f t="shared" si="261"/>
        <v>7.9</v>
      </c>
      <c r="AB150" s="64" cm="1">
        <f t="array" ref="AB150">AA150*$P150*INDEX(Month_Ref,Z$1-1,3)/365</f>
        <v>26.621917808219184</v>
      </c>
      <c r="AC150" s="70">
        <f t="shared" si="250"/>
        <v>7.6</v>
      </c>
      <c r="AD150" s="63">
        <f t="shared" si="262"/>
        <v>7.9</v>
      </c>
      <c r="AE150" s="64" cm="1">
        <f t="array" ref="AE150">AD150*$P150*INDEX(Month_Ref,AC$1-1,3)/365</f>
        <v>27.509315068493155</v>
      </c>
      <c r="AF150" s="70">
        <f t="shared" si="251"/>
        <v>7.8</v>
      </c>
      <c r="AG150" s="63">
        <f t="shared" si="263"/>
        <v>7.9</v>
      </c>
      <c r="AH150" s="64" cm="1">
        <f t="array" ref="AH150">AG150*$P150*INDEX(Month_Ref,AF$1-1,3)/365</f>
        <v>26.621917808219184</v>
      </c>
      <c r="AI150" s="70">
        <f t="shared" si="252"/>
        <v>8.1</v>
      </c>
      <c r="AJ150" s="63">
        <f t="shared" si="264"/>
        <v>7.9</v>
      </c>
      <c r="AK150" s="64" cm="1">
        <f t="array" ref="AK150">AJ150*$P150*INDEX(Month_Ref,AI$1-1,3)/365</f>
        <v>27.509315068493155</v>
      </c>
      <c r="AL150" s="70">
        <f t="shared" si="253"/>
        <v>7.2</v>
      </c>
      <c r="AM150" s="63">
        <f t="shared" si="265"/>
        <v>7.9</v>
      </c>
      <c r="AN150" s="64" cm="1">
        <f t="array" ref="AN150">AM150*$P150*INDEX(Month_Ref,AL$1-1,3)/365</f>
        <v>27.509315068493155</v>
      </c>
      <c r="AO150" s="70">
        <f t="shared" si="254"/>
        <v>6.7</v>
      </c>
      <c r="AP150" s="63">
        <f t="shared" si="266"/>
        <v>7.9</v>
      </c>
      <c r="AQ150" s="64" cm="1">
        <f t="array" ref="AQ150">AP150*$P150*INDEX(Month_Ref,AO$1-1,3)/365</f>
        <v>26.621917808219184</v>
      </c>
      <c r="AR150" s="70">
        <f t="shared" si="255"/>
        <v>6.7</v>
      </c>
      <c r="AS150" s="63">
        <f t="shared" si="267"/>
        <v>7.9</v>
      </c>
      <c r="AT150" s="64" cm="1">
        <f t="array" ref="AT150">AS150*$P150*INDEX(Month_Ref,AR$1-1,3)/365</f>
        <v>27.509315068493155</v>
      </c>
      <c r="AU150" s="70">
        <f t="shared" si="256"/>
        <v>7.8</v>
      </c>
      <c r="AV150" s="63">
        <f t="shared" si="268"/>
        <v>7.9</v>
      </c>
      <c r="AW150" s="64" cm="1">
        <f t="array" ref="AW150">AV150*$P150*INDEX(Month_Ref,AU$1-1,3)/365</f>
        <v>26.621917808219184</v>
      </c>
      <c r="AX150" s="70">
        <f t="shared" si="257"/>
        <v>8.6999999999999993</v>
      </c>
      <c r="AY150" s="63">
        <f t="shared" si="269"/>
        <v>7.9</v>
      </c>
      <c r="AZ150" s="64" cm="1">
        <f t="array" ref="AZ150">AY150*$P150*INDEX(Month_Ref,AX$1-1,3)/365</f>
        <v>27.509315068493155</v>
      </c>
      <c r="BA150" s="183">
        <f t="shared" si="243"/>
        <v>323.90000000000003</v>
      </c>
      <c r="BC150" s="20">
        <f t="shared" si="244"/>
        <v>144</v>
      </c>
    </row>
    <row r="151" spans="2:65" x14ac:dyDescent="0.4">
      <c r="B151" s="528"/>
      <c r="C151" s="531"/>
      <c r="D151" s="534"/>
      <c r="E151" s="534"/>
      <c r="F151" s="522"/>
      <c r="G151" s="522"/>
      <c r="H151" s="522"/>
      <c r="I151" s="525"/>
      <c r="J151" s="179" t="s">
        <v>1711</v>
      </c>
      <c r="K151" s="168" t="s">
        <v>1582</v>
      </c>
      <c r="L151" s="63">
        <f>INDEX(Deck_Leg_Pon,MATCH($K151,Deck_Leg_Pon_Name,0),2)</f>
        <v>0</v>
      </c>
      <c r="M151" s="63">
        <f>INDEX(Deck_Leg_Pon,MATCH($K151,Deck_Leg_Pon_Name,0),3)</f>
        <v>0</v>
      </c>
      <c r="N151" s="63">
        <f>INDEX(Deck_Leg_Pon,MATCH($K151,Deck_Leg_Pon_Name,0),4)</f>
        <v>0</v>
      </c>
      <c r="O151" s="63">
        <f t="shared" si="245"/>
        <v>0</v>
      </c>
      <c r="P151" s="64" cm="1">
        <f t="array" ref="P151">IF($G142="Pontoon",INDEX(Tbl_71_14,_xlfn.MINIFS(Tbl_71_14_Range,Tbl_71_14_Dia,"&gt;="&amp;$E142),3),0)</f>
        <v>0</v>
      </c>
      <c r="Q151" s="70">
        <f t="shared" si="246"/>
        <v>8.5</v>
      </c>
      <c r="R151" s="188">
        <f t="shared" si="258"/>
        <v>0</v>
      </c>
      <c r="S151" s="64" cm="1">
        <f t="array" ref="S151">R151*$P151*INDEX(Month_Ref,Q$1-1,3)/365</f>
        <v>0</v>
      </c>
      <c r="T151" s="70">
        <f t="shared" si="247"/>
        <v>7.8</v>
      </c>
      <c r="U151" s="188">
        <f t="shared" si="259"/>
        <v>0</v>
      </c>
      <c r="V151" s="64" cm="1">
        <f t="array" ref="V151">U151*$P151*INDEX(Month_Ref,T$1-1,3)/365</f>
        <v>0</v>
      </c>
      <c r="W151" s="70">
        <f t="shared" si="248"/>
        <v>7.8</v>
      </c>
      <c r="X151" s="188">
        <f t="shared" si="260"/>
        <v>0</v>
      </c>
      <c r="Y151" s="64" cm="1">
        <f t="array" ref="Y151">X151*$P151*INDEX(Month_Ref,W$1-1,3)/365</f>
        <v>0</v>
      </c>
      <c r="Z151" s="70">
        <f t="shared" si="249"/>
        <v>7.8</v>
      </c>
      <c r="AA151" s="188">
        <f t="shared" si="261"/>
        <v>0</v>
      </c>
      <c r="AB151" s="64" cm="1">
        <f t="array" ref="AB151">AA151*$P151*INDEX(Month_Ref,Z$1-1,3)/365</f>
        <v>0</v>
      </c>
      <c r="AC151" s="70">
        <f t="shared" si="250"/>
        <v>7.6</v>
      </c>
      <c r="AD151" s="188">
        <f t="shared" si="262"/>
        <v>0</v>
      </c>
      <c r="AE151" s="64" cm="1">
        <f t="array" ref="AE151">AD151*$P151*INDEX(Month_Ref,AC$1-1,3)/365</f>
        <v>0</v>
      </c>
      <c r="AF151" s="70">
        <f t="shared" si="251"/>
        <v>7.8</v>
      </c>
      <c r="AG151" s="188">
        <f t="shared" si="263"/>
        <v>0</v>
      </c>
      <c r="AH151" s="64" cm="1">
        <f t="array" ref="AH151">AG151*$P151*INDEX(Month_Ref,AF$1-1,3)/365</f>
        <v>0</v>
      </c>
      <c r="AI151" s="70">
        <f t="shared" si="252"/>
        <v>8.1</v>
      </c>
      <c r="AJ151" s="188">
        <f t="shared" si="264"/>
        <v>0</v>
      </c>
      <c r="AK151" s="64" cm="1">
        <f t="array" ref="AK151">AJ151*$P151*INDEX(Month_Ref,AI$1-1,3)/365</f>
        <v>0</v>
      </c>
      <c r="AL151" s="70">
        <f t="shared" si="253"/>
        <v>7.2</v>
      </c>
      <c r="AM151" s="188">
        <f t="shared" si="265"/>
        <v>0</v>
      </c>
      <c r="AN151" s="64" cm="1">
        <f t="array" ref="AN151">AM151*$P151*INDEX(Month_Ref,AL$1-1,3)/365</f>
        <v>0</v>
      </c>
      <c r="AO151" s="70">
        <f t="shared" si="254"/>
        <v>6.7</v>
      </c>
      <c r="AP151" s="188">
        <f t="shared" si="266"/>
        <v>0</v>
      </c>
      <c r="AQ151" s="64" cm="1">
        <f t="array" ref="AQ151">AP151*$P151*INDEX(Month_Ref,AO$1-1,3)/365</f>
        <v>0</v>
      </c>
      <c r="AR151" s="70">
        <f t="shared" si="255"/>
        <v>6.7</v>
      </c>
      <c r="AS151" s="188">
        <f t="shared" si="267"/>
        <v>0</v>
      </c>
      <c r="AT151" s="64" cm="1">
        <f t="array" ref="AT151">AS151*$P151*INDEX(Month_Ref,AR$1-1,3)/365</f>
        <v>0</v>
      </c>
      <c r="AU151" s="70">
        <f t="shared" si="256"/>
        <v>7.8</v>
      </c>
      <c r="AV151" s="188">
        <f t="shared" si="268"/>
        <v>0</v>
      </c>
      <c r="AW151" s="64" cm="1">
        <f t="array" ref="AW151">AV151*$P151*INDEX(Month_Ref,AU$1-1,3)/365</f>
        <v>0</v>
      </c>
      <c r="AX151" s="70">
        <f t="shared" si="257"/>
        <v>8.6999999999999993</v>
      </c>
      <c r="AY151" s="188">
        <f t="shared" si="269"/>
        <v>0</v>
      </c>
      <c r="AZ151" s="64" cm="1">
        <f t="array" ref="AZ151">AY151*$P151*INDEX(Month_Ref,AX$1-1,3)/365</f>
        <v>0</v>
      </c>
      <c r="BA151" s="183">
        <f t="shared" si="243"/>
        <v>0</v>
      </c>
      <c r="BC151" s="20">
        <f t="shared" si="244"/>
        <v>145</v>
      </c>
    </row>
    <row r="152" spans="2:65" ht="29.15" x14ac:dyDescent="0.4">
      <c r="B152" s="528"/>
      <c r="C152" s="531"/>
      <c r="D152" s="534"/>
      <c r="E152" s="534"/>
      <c r="F152" s="522"/>
      <c r="G152" s="522"/>
      <c r="H152" s="522"/>
      <c r="I152" s="525"/>
      <c r="J152" s="179" t="s">
        <v>1714</v>
      </c>
      <c r="K152" s="168" t="s">
        <v>1582</v>
      </c>
      <c r="L152" s="63">
        <f>INDEX(Deck_Leg_DD,MATCH($K152,Deck_Leg_DD_Name,0),2)</f>
        <v>0</v>
      </c>
      <c r="M152" s="63">
        <f>INDEX(Deck_Leg_DD,MATCH($K152,Deck_Leg_DD_Name,0),3)</f>
        <v>0</v>
      </c>
      <c r="N152" s="63">
        <f>INDEX(Deck_Leg_DD,MATCH($K152,Deck_Leg_DD_Name,0),4)</f>
        <v>0</v>
      </c>
      <c r="O152" s="63">
        <f t="shared" si="245"/>
        <v>0</v>
      </c>
      <c r="P152" s="64" cm="1">
        <f t="array" ref="P152">IF($G142="Pontoon",INDEX(Tbl_71_14,_xlfn.MINIFS(Tbl_71_14_Range,Tbl_71_14_Dia,"&gt;="&amp;$E142),4),IF($F142="Internal Floating Roof",0,6))</f>
        <v>0</v>
      </c>
      <c r="Q152" s="70">
        <f t="shared" si="246"/>
        <v>8.5</v>
      </c>
      <c r="R152" s="188">
        <f t="shared" si="258"/>
        <v>0</v>
      </c>
      <c r="S152" s="192" cm="1">
        <f t="array" ref="S152">R152*$P152*INDEX(Month_Ref,Q$1-1,3)/365</f>
        <v>0</v>
      </c>
      <c r="T152" s="70">
        <f t="shared" si="247"/>
        <v>7.8</v>
      </c>
      <c r="U152" s="188">
        <f t="shared" si="259"/>
        <v>0</v>
      </c>
      <c r="V152" s="192" cm="1">
        <f t="array" ref="V152">U152*$P152*INDEX(Month_Ref,T$1-1,3)/365</f>
        <v>0</v>
      </c>
      <c r="W152" s="70">
        <f t="shared" si="248"/>
        <v>7.8</v>
      </c>
      <c r="X152" s="188">
        <f t="shared" si="260"/>
        <v>0</v>
      </c>
      <c r="Y152" s="192" cm="1">
        <f t="array" ref="Y152">X152*$P152*INDEX(Month_Ref,W$1-1,3)/365</f>
        <v>0</v>
      </c>
      <c r="Z152" s="70">
        <f t="shared" si="249"/>
        <v>7.8</v>
      </c>
      <c r="AA152" s="188">
        <f t="shared" si="261"/>
        <v>0</v>
      </c>
      <c r="AB152" s="192" cm="1">
        <f t="array" ref="AB152">AA152*$P152*INDEX(Month_Ref,Z$1-1,3)/365</f>
        <v>0</v>
      </c>
      <c r="AC152" s="70">
        <f t="shared" si="250"/>
        <v>7.6</v>
      </c>
      <c r="AD152" s="188">
        <f t="shared" si="262"/>
        <v>0</v>
      </c>
      <c r="AE152" s="192" cm="1">
        <f t="array" ref="AE152">AD152*$P152*INDEX(Month_Ref,AC$1-1,3)/365</f>
        <v>0</v>
      </c>
      <c r="AF152" s="70">
        <f t="shared" si="251"/>
        <v>7.8</v>
      </c>
      <c r="AG152" s="188">
        <f t="shared" si="263"/>
        <v>0</v>
      </c>
      <c r="AH152" s="192" cm="1">
        <f t="array" ref="AH152">AG152*$P152*INDEX(Month_Ref,AF$1-1,3)/365</f>
        <v>0</v>
      </c>
      <c r="AI152" s="70">
        <f t="shared" si="252"/>
        <v>8.1</v>
      </c>
      <c r="AJ152" s="188">
        <f t="shared" si="264"/>
        <v>0</v>
      </c>
      <c r="AK152" s="192" cm="1">
        <f t="array" ref="AK152">AJ152*$P152*INDEX(Month_Ref,AI$1-1,3)/365</f>
        <v>0</v>
      </c>
      <c r="AL152" s="70">
        <f t="shared" si="253"/>
        <v>7.2</v>
      </c>
      <c r="AM152" s="188">
        <f t="shared" si="265"/>
        <v>0</v>
      </c>
      <c r="AN152" s="192" cm="1">
        <f t="array" ref="AN152">AM152*$P152*INDEX(Month_Ref,AL$1-1,3)/365</f>
        <v>0</v>
      </c>
      <c r="AO152" s="70">
        <f t="shared" si="254"/>
        <v>6.7</v>
      </c>
      <c r="AP152" s="188">
        <f t="shared" si="266"/>
        <v>0</v>
      </c>
      <c r="AQ152" s="192" cm="1">
        <f t="array" ref="AQ152">AP152*$P152*INDEX(Month_Ref,AO$1-1,3)/365</f>
        <v>0</v>
      </c>
      <c r="AR152" s="70">
        <f t="shared" si="255"/>
        <v>6.7</v>
      </c>
      <c r="AS152" s="188">
        <f t="shared" si="267"/>
        <v>0</v>
      </c>
      <c r="AT152" s="192" cm="1">
        <f t="array" ref="AT152">AS152*$P152*INDEX(Month_Ref,AR$1-1,3)/365</f>
        <v>0</v>
      </c>
      <c r="AU152" s="70">
        <f t="shared" si="256"/>
        <v>7.8</v>
      </c>
      <c r="AV152" s="188">
        <f t="shared" si="268"/>
        <v>0</v>
      </c>
      <c r="AW152" s="192" cm="1">
        <f t="array" ref="AW152">AV152*$P152*INDEX(Month_Ref,AU$1-1,3)/365</f>
        <v>0</v>
      </c>
      <c r="AX152" s="70">
        <f t="shared" si="257"/>
        <v>8.6999999999999993</v>
      </c>
      <c r="AY152" s="188">
        <f t="shared" si="269"/>
        <v>0</v>
      </c>
      <c r="AZ152" s="192" cm="1">
        <f t="array" ref="AZ152">AY152*$P152*INDEX(Month_Ref,AX$1-1,3)/365</f>
        <v>0</v>
      </c>
      <c r="BA152" s="183">
        <f t="shared" si="243"/>
        <v>0</v>
      </c>
      <c r="BC152" s="20">
        <f t="shared" si="244"/>
        <v>146</v>
      </c>
    </row>
    <row r="153" spans="2:65" x14ac:dyDescent="0.4">
      <c r="B153" s="528"/>
      <c r="C153" s="531"/>
      <c r="D153" s="534"/>
      <c r="E153" s="534"/>
      <c r="F153" s="522"/>
      <c r="G153" s="522"/>
      <c r="H153" s="522"/>
      <c r="I153" s="525"/>
      <c r="J153" s="180" t="s">
        <v>1700</v>
      </c>
      <c r="K153" s="168" t="s">
        <v>1647</v>
      </c>
      <c r="L153" s="63">
        <f>INDEX(Rim_Vent,MATCH($K153,Rim_Vent_Name,0),2)</f>
        <v>0.71</v>
      </c>
      <c r="M153" s="63">
        <f>INDEX(Rim_Vent,MATCH($K153,Rim_Vent_Name,0),3)</f>
        <v>0.1</v>
      </c>
      <c r="N153" s="63">
        <f>INDEX(Rim_Vent,MATCH($K153,Rim_Vent_Name,0),4)</f>
        <v>1</v>
      </c>
      <c r="O153" s="63">
        <f t="shared" si="245"/>
        <v>0</v>
      </c>
      <c r="P153" s="64">
        <f>IF(OR($H142="Mechanical Shoe - Primary Only",$H142="Mechanical Shoe w/ Shoe-Mounted Secondary",$H142="Mechanical Shoe w/ Rim Mounted Secondary"),1,0)</f>
        <v>1</v>
      </c>
      <c r="Q153" s="70">
        <f t="shared" si="246"/>
        <v>8.5</v>
      </c>
      <c r="R153" s="188">
        <f t="shared" si="258"/>
        <v>0.71</v>
      </c>
      <c r="S153" s="192" cm="1">
        <f t="array" ref="S153">R153*$P153*INDEX(Month_Ref,Q$1-1,3)/365</f>
        <v>6.0301369863013696E-2</v>
      </c>
      <c r="T153" s="70">
        <f t="shared" si="247"/>
        <v>7.8</v>
      </c>
      <c r="U153" s="188">
        <f t="shared" si="259"/>
        <v>0.71</v>
      </c>
      <c r="V153" s="192" cm="1">
        <f t="array" ref="V153">U153*$P153*INDEX(Month_Ref,T$1-1,3)/365</f>
        <v>5.446575342465753E-2</v>
      </c>
      <c r="W153" s="70">
        <f t="shared" si="248"/>
        <v>7.8</v>
      </c>
      <c r="X153" s="188">
        <f t="shared" si="260"/>
        <v>0.71</v>
      </c>
      <c r="Y153" s="192" cm="1">
        <f t="array" ref="Y153">X153*$P153*INDEX(Month_Ref,W$1-1,3)/365</f>
        <v>6.0301369863013696E-2</v>
      </c>
      <c r="Z153" s="70">
        <f t="shared" si="249"/>
        <v>7.8</v>
      </c>
      <c r="AA153" s="188">
        <f t="shared" si="261"/>
        <v>0.71</v>
      </c>
      <c r="AB153" s="192" cm="1">
        <f t="array" ref="AB153">AA153*$P153*INDEX(Month_Ref,Z$1-1,3)/365</f>
        <v>5.8356164383561636E-2</v>
      </c>
      <c r="AC153" s="70">
        <f t="shared" si="250"/>
        <v>7.6</v>
      </c>
      <c r="AD153" s="188">
        <f t="shared" si="262"/>
        <v>0.71</v>
      </c>
      <c r="AE153" s="192" cm="1">
        <f t="array" ref="AE153">AD153*$P153*INDEX(Month_Ref,AC$1-1,3)/365</f>
        <v>6.0301369863013696E-2</v>
      </c>
      <c r="AF153" s="70">
        <f t="shared" si="251"/>
        <v>7.8</v>
      </c>
      <c r="AG153" s="188">
        <f t="shared" si="263"/>
        <v>0.71</v>
      </c>
      <c r="AH153" s="192" cm="1">
        <f t="array" ref="AH153">AG153*$P153*INDEX(Month_Ref,AF$1-1,3)/365</f>
        <v>5.8356164383561636E-2</v>
      </c>
      <c r="AI153" s="70">
        <f t="shared" si="252"/>
        <v>8.1</v>
      </c>
      <c r="AJ153" s="188">
        <f t="shared" si="264"/>
        <v>0.71</v>
      </c>
      <c r="AK153" s="192" cm="1">
        <f t="array" ref="AK153">AJ153*$P153*INDEX(Month_Ref,AI$1-1,3)/365</f>
        <v>6.0301369863013696E-2</v>
      </c>
      <c r="AL153" s="70">
        <f t="shared" si="253"/>
        <v>7.2</v>
      </c>
      <c r="AM153" s="188">
        <f t="shared" si="265"/>
        <v>0.71</v>
      </c>
      <c r="AN153" s="192" cm="1">
        <f t="array" ref="AN153">AM153*$P153*INDEX(Month_Ref,AL$1-1,3)/365</f>
        <v>6.0301369863013696E-2</v>
      </c>
      <c r="AO153" s="70">
        <f t="shared" si="254"/>
        <v>6.7</v>
      </c>
      <c r="AP153" s="188">
        <f t="shared" si="266"/>
        <v>0.71</v>
      </c>
      <c r="AQ153" s="192" cm="1">
        <f t="array" ref="AQ153">AP153*$P153*INDEX(Month_Ref,AO$1-1,3)/365</f>
        <v>5.8356164383561636E-2</v>
      </c>
      <c r="AR153" s="70">
        <f t="shared" si="255"/>
        <v>6.7</v>
      </c>
      <c r="AS153" s="188">
        <f t="shared" si="267"/>
        <v>0.71</v>
      </c>
      <c r="AT153" s="192" cm="1">
        <f t="array" ref="AT153">AS153*$P153*INDEX(Month_Ref,AR$1-1,3)/365</f>
        <v>6.0301369863013696E-2</v>
      </c>
      <c r="AU153" s="70">
        <f t="shared" si="256"/>
        <v>7.8</v>
      </c>
      <c r="AV153" s="188">
        <f t="shared" si="268"/>
        <v>0.71</v>
      </c>
      <c r="AW153" s="192" cm="1">
        <f t="array" ref="AW153">AV153*$P153*INDEX(Month_Ref,AU$1-1,3)/365</f>
        <v>5.8356164383561636E-2</v>
      </c>
      <c r="AX153" s="70">
        <f t="shared" si="257"/>
        <v>8.6999999999999993</v>
      </c>
      <c r="AY153" s="188">
        <f t="shared" si="269"/>
        <v>0.71</v>
      </c>
      <c r="AZ153" s="192" cm="1">
        <f t="array" ref="AZ153">AY153*$P153*INDEX(Month_Ref,AX$1-1,3)/365</f>
        <v>6.0301369863013696E-2</v>
      </c>
      <c r="BA153" s="183">
        <f t="shared" si="243"/>
        <v>0.71</v>
      </c>
      <c r="BC153" s="20">
        <f t="shared" si="244"/>
        <v>147</v>
      </c>
    </row>
    <row r="154" spans="2:65" x14ac:dyDescent="0.4">
      <c r="B154" s="528"/>
      <c r="C154" s="531"/>
      <c r="D154" s="534"/>
      <c r="E154" s="534"/>
      <c r="F154" s="522"/>
      <c r="G154" s="522"/>
      <c r="H154" s="522"/>
      <c r="I154" s="525"/>
      <c r="J154" s="180" t="s">
        <v>1701</v>
      </c>
      <c r="K154" s="168" t="s">
        <v>1703</v>
      </c>
      <c r="L154" s="63">
        <f>INDEX(Ladder_Well,MATCH($K154,Ladder_Well_Name,0),2)</f>
        <v>56</v>
      </c>
      <c r="M154" s="63">
        <f>INDEX(Ladder_Well,MATCH($K154,Ladder_Well_Name,0),3)</f>
        <v>0</v>
      </c>
      <c r="N154" s="63">
        <f>INDEX(Ladder_Well,MATCH($K154,Ladder_Well_Name,0),4)</f>
        <v>0</v>
      </c>
      <c r="O154" s="63">
        <f t="shared" si="245"/>
        <v>0</v>
      </c>
      <c r="P154" s="64">
        <f>IF($F142&lt;&gt;"Internal Floating Roof",0,1)</f>
        <v>1</v>
      </c>
      <c r="Q154" s="70">
        <f t="shared" si="246"/>
        <v>8.5</v>
      </c>
      <c r="R154" s="63">
        <f t="shared" si="258"/>
        <v>56</v>
      </c>
      <c r="S154" s="64" cm="1">
        <f t="array" ref="S154">R154*$P154*INDEX(Month_Ref,Q$1-1,3)/365</f>
        <v>4.7561643835616438</v>
      </c>
      <c r="T154" s="70">
        <f t="shared" si="247"/>
        <v>7.8</v>
      </c>
      <c r="U154" s="63">
        <f t="shared" si="259"/>
        <v>56</v>
      </c>
      <c r="V154" s="64" cm="1">
        <f t="array" ref="V154">U154*$P154*INDEX(Month_Ref,T$1-1,3)/365</f>
        <v>4.2958904109589042</v>
      </c>
      <c r="W154" s="70">
        <f t="shared" si="248"/>
        <v>7.8</v>
      </c>
      <c r="X154" s="63">
        <f t="shared" si="260"/>
        <v>56</v>
      </c>
      <c r="Y154" s="64" cm="1">
        <f t="array" ref="Y154">X154*$P154*INDEX(Month_Ref,W$1-1,3)/365</f>
        <v>4.7561643835616438</v>
      </c>
      <c r="Z154" s="70">
        <f t="shared" si="249"/>
        <v>7.8</v>
      </c>
      <c r="AA154" s="63">
        <f t="shared" si="261"/>
        <v>56</v>
      </c>
      <c r="AB154" s="64" cm="1">
        <f t="array" ref="AB154">AA154*$P154*INDEX(Month_Ref,Z$1-1,3)/365</f>
        <v>4.602739726027397</v>
      </c>
      <c r="AC154" s="70">
        <f t="shared" si="250"/>
        <v>7.6</v>
      </c>
      <c r="AD154" s="63">
        <f t="shared" si="262"/>
        <v>56</v>
      </c>
      <c r="AE154" s="64" cm="1">
        <f t="array" ref="AE154">AD154*$P154*INDEX(Month_Ref,AC$1-1,3)/365</f>
        <v>4.7561643835616438</v>
      </c>
      <c r="AF154" s="70">
        <f t="shared" si="251"/>
        <v>7.8</v>
      </c>
      <c r="AG154" s="63">
        <f t="shared" si="263"/>
        <v>56</v>
      </c>
      <c r="AH154" s="64" cm="1">
        <f t="array" ref="AH154">AG154*$P154*INDEX(Month_Ref,AF$1-1,3)/365</f>
        <v>4.602739726027397</v>
      </c>
      <c r="AI154" s="70">
        <f t="shared" si="252"/>
        <v>8.1</v>
      </c>
      <c r="AJ154" s="63">
        <f t="shared" si="264"/>
        <v>56</v>
      </c>
      <c r="AK154" s="64" cm="1">
        <f t="array" ref="AK154">AJ154*$P154*INDEX(Month_Ref,AI$1-1,3)/365</f>
        <v>4.7561643835616438</v>
      </c>
      <c r="AL154" s="70">
        <f t="shared" si="253"/>
        <v>7.2</v>
      </c>
      <c r="AM154" s="63">
        <f t="shared" si="265"/>
        <v>56</v>
      </c>
      <c r="AN154" s="64" cm="1">
        <f t="array" ref="AN154">AM154*$P154*INDEX(Month_Ref,AL$1-1,3)/365</f>
        <v>4.7561643835616438</v>
      </c>
      <c r="AO154" s="70">
        <f t="shared" si="254"/>
        <v>6.7</v>
      </c>
      <c r="AP154" s="63">
        <f t="shared" si="266"/>
        <v>56</v>
      </c>
      <c r="AQ154" s="64" cm="1">
        <f t="array" ref="AQ154">AP154*$P154*INDEX(Month_Ref,AO$1-1,3)/365</f>
        <v>4.602739726027397</v>
      </c>
      <c r="AR154" s="70">
        <f t="shared" si="255"/>
        <v>6.7</v>
      </c>
      <c r="AS154" s="63">
        <f t="shared" si="267"/>
        <v>56</v>
      </c>
      <c r="AT154" s="64" cm="1">
        <f t="array" ref="AT154">AS154*$P154*INDEX(Month_Ref,AR$1-1,3)/365</f>
        <v>4.7561643835616438</v>
      </c>
      <c r="AU154" s="70">
        <f t="shared" si="256"/>
        <v>7.8</v>
      </c>
      <c r="AV154" s="63">
        <f t="shared" si="268"/>
        <v>56</v>
      </c>
      <c r="AW154" s="64" cm="1">
        <f t="array" ref="AW154">AV154*$P154*INDEX(Month_Ref,AU$1-1,3)/365</f>
        <v>4.602739726027397</v>
      </c>
      <c r="AX154" s="70">
        <f t="shared" si="257"/>
        <v>8.6999999999999993</v>
      </c>
      <c r="AY154" s="63">
        <f t="shared" si="269"/>
        <v>56</v>
      </c>
      <c r="AZ154" s="64" cm="1">
        <f t="array" ref="AZ154">AY154*$P154*INDEX(Month_Ref,AX$1-1,3)/365</f>
        <v>4.7561643835616438</v>
      </c>
      <c r="BA154" s="183">
        <f t="shared" si="243"/>
        <v>56</v>
      </c>
      <c r="BC154" s="20">
        <f t="shared" si="244"/>
        <v>148</v>
      </c>
    </row>
    <row r="155" spans="2:65" ht="44.15" thickBot="1" x14ac:dyDescent="0.45">
      <c r="B155" s="529"/>
      <c r="C155" s="532"/>
      <c r="D155" s="535"/>
      <c r="E155" s="535"/>
      <c r="F155" s="523"/>
      <c r="G155" s="523"/>
      <c r="H155" s="523"/>
      <c r="I155" s="526"/>
      <c r="J155" s="181" t="s">
        <v>1715</v>
      </c>
      <c r="K155" s="171" t="s">
        <v>1755</v>
      </c>
      <c r="L155" s="32">
        <f>INDEX(Combo_LWSGP,MATCH($K155,Combo_LWSGP_Name,0),2)</f>
        <v>0</v>
      </c>
      <c r="M155" s="32">
        <f>INDEX(Combo_LWSGP,MATCH($K155,Combo_LWSGP_Name,0),3)</f>
        <v>0</v>
      </c>
      <c r="N155" s="32">
        <f>INDEX(Combo_LWSGP,MATCH($K155,Combo_LWSGP_Name,0),4)</f>
        <v>0</v>
      </c>
      <c r="O155" s="32">
        <f t="shared" si="245"/>
        <v>0</v>
      </c>
      <c r="P155" s="33">
        <f>IF(AND(P145=0,P154=0),1,0)</f>
        <v>0</v>
      </c>
      <c r="Q155" s="31">
        <f t="shared" si="246"/>
        <v>8.5</v>
      </c>
      <c r="R155" s="32">
        <f t="shared" si="258"/>
        <v>0</v>
      </c>
      <c r="S155" s="33" cm="1">
        <f t="array" ref="S155">R155*$P155*INDEX(Month_Ref,Q$1-1,3)/365</f>
        <v>0</v>
      </c>
      <c r="T155" s="31">
        <f t="shared" si="247"/>
        <v>7.8</v>
      </c>
      <c r="U155" s="32">
        <f t="shared" si="259"/>
        <v>0</v>
      </c>
      <c r="V155" s="33" cm="1">
        <f t="array" ref="V155">U155*$P155*INDEX(Month_Ref,T$1-1,3)/365</f>
        <v>0</v>
      </c>
      <c r="W155" s="31">
        <f t="shared" si="248"/>
        <v>7.8</v>
      </c>
      <c r="X155" s="32">
        <f t="shared" si="260"/>
        <v>0</v>
      </c>
      <c r="Y155" s="33" cm="1">
        <f t="array" ref="Y155">X155*$P155*INDEX(Month_Ref,W$1-1,3)/365</f>
        <v>0</v>
      </c>
      <c r="Z155" s="31">
        <f t="shared" si="249"/>
        <v>7.8</v>
      </c>
      <c r="AA155" s="32">
        <f t="shared" si="261"/>
        <v>0</v>
      </c>
      <c r="AB155" s="33" cm="1">
        <f t="array" ref="AB155">AA155*$P155*INDEX(Month_Ref,Z$1-1,3)/365</f>
        <v>0</v>
      </c>
      <c r="AC155" s="31">
        <f t="shared" si="250"/>
        <v>7.6</v>
      </c>
      <c r="AD155" s="32">
        <f t="shared" si="262"/>
        <v>0</v>
      </c>
      <c r="AE155" s="33" cm="1">
        <f t="array" ref="AE155">AD155*$P155*INDEX(Month_Ref,AC$1-1,3)/365</f>
        <v>0</v>
      </c>
      <c r="AF155" s="31">
        <f t="shared" si="251"/>
        <v>7.8</v>
      </c>
      <c r="AG155" s="32">
        <f t="shared" si="263"/>
        <v>0</v>
      </c>
      <c r="AH155" s="33" cm="1">
        <f t="array" ref="AH155">AG155*$P155*INDEX(Month_Ref,AF$1-1,3)/365</f>
        <v>0</v>
      </c>
      <c r="AI155" s="31">
        <f t="shared" si="252"/>
        <v>8.1</v>
      </c>
      <c r="AJ155" s="32">
        <f t="shared" si="264"/>
        <v>0</v>
      </c>
      <c r="AK155" s="33" cm="1">
        <f t="array" ref="AK155">AJ155*$P155*INDEX(Month_Ref,AI$1-1,3)/365</f>
        <v>0</v>
      </c>
      <c r="AL155" s="31">
        <f t="shared" si="253"/>
        <v>7.2</v>
      </c>
      <c r="AM155" s="32">
        <f t="shared" si="265"/>
        <v>0</v>
      </c>
      <c r="AN155" s="33" cm="1">
        <f t="array" ref="AN155">AM155*$P155*INDEX(Month_Ref,AL$1-1,3)/365</f>
        <v>0</v>
      </c>
      <c r="AO155" s="31">
        <f t="shared" si="254"/>
        <v>6.7</v>
      </c>
      <c r="AP155" s="32">
        <f t="shared" si="266"/>
        <v>0</v>
      </c>
      <c r="AQ155" s="33" cm="1">
        <f t="array" ref="AQ155">AP155*$P155*INDEX(Month_Ref,AO$1-1,3)/365</f>
        <v>0</v>
      </c>
      <c r="AR155" s="31">
        <f t="shared" si="255"/>
        <v>6.7</v>
      </c>
      <c r="AS155" s="32">
        <f t="shared" si="267"/>
        <v>0</v>
      </c>
      <c r="AT155" s="33" cm="1">
        <f t="array" ref="AT155">AS155*$P155*INDEX(Month_Ref,AR$1-1,3)/365</f>
        <v>0</v>
      </c>
      <c r="AU155" s="31">
        <f t="shared" si="256"/>
        <v>7.8</v>
      </c>
      <c r="AV155" s="32">
        <f t="shared" si="268"/>
        <v>0</v>
      </c>
      <c r="AW155" s="33" cm="1">
        <f t="array" ref="AW155">AV155*$P155*INDEX(Month_Ref,AU$1-1,3)/365</f>
        <v>0</v>
      </c>
      <c r="AX155" s="31">
        <f t="shared" si="257"/>
        <v>8.6999999999999993</v>
      </c>
      <c r="AY155" s="32">
        <f t="shared" si="269"/>
        <v>0</v>
      </c>
      <c r="AZ155" s="33" cm="1">
        <f t="array" ref="AZ155">AY155*$P155*INDEX(Month_Ref,AX$1-1,3)/365</f>
        <v>0</v>
      </c>
      <c r="BA155" s="184">
        <f t="shared" si="243"/>
        <v>0</v>
      </c>
      <c r="BC155" s="20">
        <f t="shared" si="244"/>
        <v>149</v>
      </c>
    </row>
    <row r="156" spans="2:65" ht="15" thickBot="1" x14ac:dyDescent="0.45">
      <c r="B156" s="199"/>
      <c r="C156" s="200"/>
      <c r="D156" s="201"/>
      <c r="E156" s="202"/>
      <c r="F156" s="203"/>
      <c r="G156" s="203"/>
      <c r="H156" s="203"/>
      <c r="I156" s="201"/>
      <c r="J156" s="204"/>
      <c r="K156" s="204"/>
      <c r="L156" s="201"/>
      <c r="M156" s="201"/>
      <c r="N156" s="201"/>
      <c r="O156" s="201"/>
      <c r="P156" s="205"/>
      <c r="Q156" s="195"/>
      <c r="R156" s="196" t="s">
        <v>1768</v>
      </c>
      <c r="S156" s="197">
        <f>SUM(S142:S155)</f>
        <v>59.288986301369867</v>
      </c>
      <c r="T156" s="195"/>
      <c r="U156" s="196" t="s">
        <v>1762</v>
      </c>
      <c r="V156" s="197">
        <f>SUM(V142:V155)</f>
        <v>53.551342465753429</v>
      </c>
      <c r="W156" s="195"/>
      <c r="X156" s="196" t="s">
        <v>1762</v>
      </c>
      <c r="Y156" s="197">
        <f>SUM(Y142:Y155)</f>
        <v>59.288986301369867</v>
      </c>
      <c r="Z156" s="195"/>
      <c r="AA156" s="196" t="s">
        <v>1762</v>
      </c>
      <c r="AB156" s="197">
        <f>SUM(AB142:AB155)</f>
        <v>57.376438356164392</v>
      </c>
      <c r="AC156" s="195"/>
      <c r="AD156" s="196" t="s">
        <v>1762</v>
      </c>
      <c r="AE156" s="197">
        <f>SUM(AE142:AE155)</f>
        <v>59.288986301369867</v>
      </c>
      <c r="AF156" s="195"/>
      <c r="AG156" s="196" t="s">
        <v>1762</v>
      </c>
      <c r="AH156" s="197">
        <f>SUM(AH142:AH155)</f>
        <v>57.376438356164392</v>
      </c>
      <c r="AI156" s="195"/>
      <c r="AJ156" s="196" t="s">
        <v>1762</v>
      </c>
      <c r="AK156" s="197">
        <f>SUM(AK142:AK155)</f>
        <v>59.288986301369867</v>
      </c>
      <c r="AL156" s="195"/>
      <c r="AM156" s="196" t="s">
        <v>1762</v>
      </c>
      <c r="AN156" s="197">
        <f>SUM(AN142:AN155)</f>
        <v>59.288986301369867</v>
      </c>
      <c r="AO156" s="195"/>
      <c r="AP156" s="196" t="s">
        <v>1762</v>
      </c>
      <c r="AQ156" s="197">
        <f>SUM(AQ142:AQ155)</f>
        <v>57.376438356164392</v>
      </c>
      <c r="AR156" s="195"/>
      <c r="AS156" s="196" t="s">
        <v>1762</v>
      </c>
      <c r="AT156" s="197">
        <f>SUM(AT142:AT155)</f>
        <v>59.288986301369867</v>
      </c>
      <c r="AU156" s="195"/>
      <c r="AV156" s="196" t="s">
        <v>1762</v>
      </c>
      <c r="AW156" s="197">
        <f>SUM(AW142:AW155)</f>
        <v>57.376438356164392</v>
      </c>
      <c r="AX156" s="195"/>
      <c r="AY156" s="196" t="s">
        <v>1762</v>
      </c>
      <c r="AZ156" s="197">
        <f>SUM(AZ142:AZ155)</f>
        <v>59.288986301369867</v>
      </c>
      <c r="BA156" s="198">
        <f t="shared" si="243"/>
        <v>698.07999999999993</v>
      </c>
      <c r="BC156" s="194">
        <f t="shared" si="244"/>
        <v>150</v>
      </c>
      <c r="BD156" s="11"/>
      <c r="BE156" s="11"/>
      <c r="BF156" s="11"/>
      <c r="BG156" s="11"/>
      <c r="BH156" s="11"/>
      <c r="BI156" s="11"/>
      <c r="BJ156" s="11"/>
      <c r="BK156" s="11"/>
      <c r="BL156" s="11"/>
      <c r="BM156" s="11"/>
    </row>
    <row r="158" spans="2:65" x14ac:dyDescent="0.4">
      <c r="Q158">
        <v>1</v>
      </c>
      <c r="R158">
        <v>2</v>
      </c>
      <c r="S158">
        <v>3</v>
      </c>
      <c r="T158">
        <v>4</v>
      </c>
      <c r="U158">
        <v>5</v>
      </c>
      <c r="V158">
        <v>6</v>
      </c>
      <c r="W158">
        <v>7</v>
      </c>
      <c r="X158">
        <v>8</v>
      </c>
      <c r="Y158">
        <v>9</v>
      </c>
      <c r="Z158">
        <v>10</v>
      </c>
      <c r="AA158">
        <v>11</v>
      </c>
      <c r="AB158">
        <v>12</v>
      </c>
      <c r="AC158">
        <v>13</v>
      </c>
      <c r="AD158">
        <v>14</v>
      </c>
      <c r="AE158">
        <v>15</v>
      </c>
      <c r="AF158">
        <v>16</v>
      </c>
      <c r="AG158">
        <v>17</v>
      </c>
      <c r="AH158">
        <v>18</v>
      </c>
      <c r="AI158">
        <v>19</v>
      </c>
      <c r="AJ158">
        <v>20</v>
      </c>
      <c r="AK158">
        <v>21</v>
      </c>
      <c r="AL158">
        <v>22</v>
      </c>
      <c r="AM158">
        <v>23</v>
      </c>
      <c r="AN158">
        <v>24</v>
      </c>
      <c r="AO158">
        <v>25</v>
      </c>
      <c r="AP158">
        <v>26</v>
      </c>
      <c r="AQ158">
        <v>27</v>
      </c>
      <c r="AR158">
        <v>28</v>
      </c>
      <c r="AS158">
        <v>29</v>
      </c>
      <c r="AT158">
        <v>30</v>
      </c>
      <c r="AU158">
        <v>31</v>
      </c>
      <c r="AV158">
        <v>32</v>
      </c>
      <c r="AW158">
        <v>33</v>
      </c>
      <c r="AX158">
        <v>34</v>
      </c>
      <c r="AY158">
        <v>35</v>
      </c>
      <c r="AZ158">
        <v>36</v>
      </c>
      <c r="BA158">
        <v>37</v>
      </c>
    </row>
  </sheetData>
  <sheetProtection algorithmName="SHA-512" hashValue="LKXRNWt0NMJZNJMBcP0P109Wtt291vVR8F6XbZOql2cg9GTe2dbLN0mNoq1S5Vh0O/vDCENcHTVUzxrxgg07Uw==" saltValue="O0H0Ci4uOK6oznuER4vvVA==" spinCount="100000" sheet="1" objects="1" scenarios="1"/>
  <mergeCells count="94">
    <mergeCell ref="B22:B35"/>
    <mergeCell ref="B67:B80"/>
    <mergeCell ref="C67:C80"/>
    <mergeCell ref="B82:B95"/>
    <mergeCell ref="C82:C95"/>
    <mergeCell ref="B37:B50"/>
    <mergeCell ref="C37:C50"/>
    <mergeCell ref="B52:B65"/>
    <mergeCell ref="C52:C65"/>
    <mergeCell ref="C22:C35"/>
    <mergeCell ref="G7:G20"/>
    <mergeCell ref="H7:H20"/>
    <mergeCell ref="I7:I20"/>
    <mergeCell ref="B5:I5"/>
    <mergeCell ref="J5:P5"/>
    <mergeCell ref="B7:B20"/>
    <mergeCell ref="C7:C20"/>
    <mergeCell ref="D7:D20"/>
    <mergeCell ref="E7:E20"/>
    <mergeCell ref="F7:F20"/>
    <mergeCell ref="AX5:AZ5"/>
    <mergeCell ref="T5:V5"/>
    <mergeCell ref="W5:Y5"/>
    <mergeCell ref="Z5:AB5"/>
    <mergeCell ref="AC5:AE5"/>
    <mergeCell ref="AF5:AH5"/>
    <mergeCell ref="AI5:AK5"/>
    <mergeCell ref="I22:I35"/>
    <mergeCell ref="AL5:AN5"/>
    <mergeCell ref="AO5:AQ5"/>
    <mergeCell ref="AR5:AT5"/>
    <mergeCell ref="AU5:AW5"/>
    <mergeCell ref="Q5:S5"/>
    <mergeCell ref="D22:D35"/>
    <mergeCell ref="E22:E35"/>
    <mergeCell ref="F22:F35"/>
    <mergeCell ref="G22:G35"/>
    <mergeCell ref="H22:H35"/>
    <mergeCell ref="I52:I65"/>
    <mergeCell ref="D37:D50"/>
    <mergeCell ref="E37:E50"/>
    <mergeCell ref="F37:F50"/>
    <mergeCell ref="G37:G50"/>
    <mergeCell ref="H37:H50"/>
    <mergeCell ref="I37:I50"/>
    <mergeCell ref="D52:D65"/>
    <mergeCell ref="E52:E65"/>
    <mergeCell ref="F52:F65"/>
    <mergeCell ref="G52:G65"/>
    <mergeCell ref="H52:H65"/>
    <mergeCell ref="I82:I95"/>
    <mergeCell ref="D67:D80"/>
    <mergeCell ref="E67:E80"/>
    <mergeCell ref="F67:F80"/>
    <mergeCell ref="G67:G80"/>
    <mergeCell ref="H67:H80"/>
    <mergeCell ref="I67:I80"/>
    <mergeCell ref="D82:D95"/>
    <mergeCell ref="E82:E95"/>
    <mergeCell ref="F82:F95"/>
    <mergeCell ref="G82:G95"/>
    <mergeCell ref="H82:H95"/>
    <mergeCell ref="H97:H110"/>
    <mergeCell ref="I97:I110"/>
    <mergeCell ref="B112:B125"/>
    <mergeCell ref="C112:C125"/>
    <mergeCell ref="D112:D125"/>
    <mergeCell ref="E112:E125"/>
    <mergeCell ref="F112:F125"/>
    <mergeCell ref="G112:G125"/>
    <mergeCell ref="H112:H125"/>
    <mergeCell ref="I112:I125"/>
    <mergeCell ref="B97:B110"/>
    <mergeCell ref="C97:C110"/>
    <mergeCell ref="D97:D110"/>
    <mergeCell ref="E97:E110"/>
    <mergeCell ref="F97:F110"/>
    <mergeCell ref="G97:G110"/>
    <mergeCell ref="H127:H140"/>
    <mergeCell ref="I127:I140"/>
    <mergeCell ref="B142:B155"/>
    <mergeCell ref="C142:C155"/>
    <mergeCell ref="D142:D155"/>
    <mergeCell ref="E142:E155"/>
    <mergeCell ref="F142:F155"/>
    <mergeCell ref="G142:G155"/>
    <mergeCell ref="H142:H155"/>
    <mergeCell ref="I142:I155"/>
    <mergeCell ref="B127:B140"/>
    <mergeCell ref="C127:C140"/>
    <mergeCell ref="D127:D140"/>
    <mergeCell ref="E127:E140"/>
    <mergeCell ref="F127:F140"/>
    <mergeCell ref="G127:G140"/>
  </mergeCells>
  <dataValidations count="14">
    <dataValidation type="list" allowBlank="1" showInputMessage="1" showErrorMessage="1" sqref="K7 K127 K22 K52 K37 K67 K82 K97 K112 K142" xr:uid="{0F80E6B9-730E-4877-A395-883378652702}">
      <formula1>Access_Hatch_Name</formula1>
    </dataValidation>
    <dataValidation type="list" allowBlank="1" showInputMessage="1" showErrorMessage="1" sqref="K8 K128 K23 K53 K38 K68 K83 K98 K113 K143" xr:uid="{99EA9FEC-F921-401F-BF2C-2E8888A295D4}">
      <formula1>FRSCW_Name</formula1>
    </dataValidation>
    <dataValidation type="list" allowBlank="1" showInputMessage="1" showErrorMessage="1" sqref="K9 K129 K24 K54 K39 K69 K84 K99 K114 K144" xr:uid="{9A4BDCB3-7908-47D1-AFE7-D6BE291A7E57}">
      <formula1>USGPW_Name</formula1>
    </dataValidation>
    <dataValidation type="list" allowBlank="1" showInputMessage="1" showErrorMessage="1" sqref="K10 K130 K25 K55 K40 K70 K85 K100 K115 K145" xr:uid="{24EE189D-E6AA-4AA1-B085-B445D90BC85D}">
      <formula1>SGPW_Name</formula1>
    </dataValidation>
    <dataValidation type="list" allowBlank="1" showInputMessage="1" showErrorMessage="1" sqref="K11 K131 K26 K56 K41 K71 K86 K101 K116 K146" xr:uid="{9F3C7BC9-7272-4EE5-A6FA-BF8F005624F9}">
      <formula1>GFW_Name</formula1>
    </dataValidation>
    <dataValidation type="list" allowBlank="1" showInputMessage="1" showErrorMessage="1" sqref="K12 K132 K27 K57 K42 K72 K87 K102 K117 K147" xr:uid="{9CDDA7F7-293A-49E8-8319-393CA70AA7BA}">
      <formula1>GHSP_Name</formula1>
    </dataValidation>
    <dataValidation type="list" allowBlank="1" showInputMessage="1" showErrorMessage="1" sqref="K13 K133 K28 K58 K43 K73 K88 K103 K118 K148" xr:uid="{15AB4F0E-412C-4EBC-8820-1929D056F81C}">
      <formula1>Vac_Break_Name</formula1>
    </dataValidation>
    <dataValidation type="list" allowBlank="1" showInputMessage="1" showErrorMessage="1" sqref="K14 K134 K29 K59 K44 K74 K89 K104 K119 K149" xr:uid="{03C86B02-88BE-4A12-B3BE-39AE050AAA03}">
      <formula1>Deck_Drain_Name</formula1>
    </dataValidation>
    <dataValidation type="list" allowBlank="1" showInputMessage="1" showErrorMessage="1" sqref="K15 K135 K30 K60 K45 K75 K90 K105 K120 K150" xr:uid="{83C96C75-B729-4F5A-9DE0-6E65778DE2AA}">
      <formula1>Deck_Leg_IFR_Name</formula1>
    </dataValidation>
    <dataValidation type="list" allowBlank="1" showInputMessage="1" showErrorMessage="1" sqref="K16 K136 K31 K61 K46 K76 K91 K106 K121 K151" xr:uid="{69A14707-BDD1-4087-8824-629A415C1D71}">
      <formula1>Deck_Leg_Pon_Name</formula1>
    </dataValidation>
    <dataValidation type="list" allowBlank="1" showInputMessage="1" showErrorMessage="1" sqref="K17 K137 K32 K62 K47 K77 K92 K107 K122 K152" xr:uid="{C45BBAED-8D5F-4BEB-920B-CDDC130D5082}">
      <formula1>Deck_Leg_DD_Name</formula1>
    </dataValidation>
    <dataValidation type="list" allowBlank="1" showInputMessage="1" showErrorMessage="1" sqref="K18 K138 K33 K63 K48 K78 K93 K108 K123 K153" xr:uid="{08084F3D-0508-4527-A036-AB2415F2AA05}">
      <formula1>Rim_Vent_Name</formula1>
    </dataValidation>
    <dataValidation type="list" allowBlank="1" showInputMessage="1" showErrorMessage="1" sqref="K19 K139 K34 K64 K49 K79 K94 K109 K124 K154" xr:uid="{7CCB1103-8D20-4EC8-9E14-5DB8D6D98CDA}">
      <formula1>Ladder_Well_Name</formula1>
    </dataValidation>
    <dataValidation type="list" allowBlank="1" showInputMessage="1" showErrorMessage="1" sqref="K20 K140 K35 K65 K50 K80 K95 K110 K125 K155" xr:uid="{71C8F90C-30E5-4191-99C3-EEF0F0C8AEF7}">
      <formula1>Combo_LWSGP_Name</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E09E8-31B1-4DE7-BF0B-02440F1A51CA}">
  <sheetPr codeName="Sheet11">
    <tabColor theme="4" tint="-0.499984740745262"/>
  </sheetPr>
  <dimension ref="B2:AE144"/>
  <sheetViews>
    <sheetView workbookViewId="0">
      <pane xSplit="4" ySplit="5" topLeftCell="E6" activePane="bottomRight" state="frozen"/>
      <selection activeCell="J5" sqref="J5"/>
      <selection pane="topRight" activeCell="J5" sqref="J5"/>
      <selection pane="bottomLeft" activeCell="J5" sqref="J5"/>
      <selection pane="bottomRight" activeCell="J5" sqref="J5"/>
    </sheetView>
  </sheetViews>
  <sheetFormatPr defaultColWidth="8.84375" defaultRowHeight="14.6" x14ac:dyDescent="0.4"/>
  <cols>
    <col min="1" max="1" width="16.4609375" bestFit="1" customWidth="1"/>
    <col min="2" max="2" width="19" customWidth="1"/>
    <col min="3" max="3" width="15.15234375" customWidth="1"/>
    <col min="4" max="4" width="45.3046875" bestFit="1" customWidth="1"/>
    <col min="5" max="16" width="23.4609375" bestFit="1" customWidth="1"/>
    <col min="17" max="17" width="10.15234375" customWidth="1"/>
    <col min="19" max="19" width="9.3046875" bestFit="1" customWidth="1"/>
    <col min="20" max="22" width="9.3046875" customWidth="1"/>
    <col min="23" max="25" width="10.15234375" customWidth="1"/>
    <col min="26" max="26" width="14.69140625" bestFit="1" customWidth="1"/>
    <col min="27" max="27" width="13.4609375" bestFit="1" customWidth="1"/>
    <col min="28" max="28" width="16.4609375" bestFit="1" customWidth="1"/>
  </cols>
  <sheetData>
    <row r="2" spans="2:31" x14ac:dyDescent="0.4">
      <c r="B2" s="9" t="s">
        <v>1609</v>
      </c>
    </row>
    <row r="4" spans="2:31" ht="15" thickBot="1" x14ac:dyDescent="0.45">
      <c r="X4" t="s">
        <v>2016</v>
      </c>
      <c r="Y4" t="s">
        <v>2017</v>
      </c>
      <c r="AA4" t="s">
        <v>1610</v>
      </c>
      <c r="AB4" t="s">
        <v>1611</v>
      </c>
      <c r="AD4" t="s">
        <v>1628</v>
      </c>
    </row>
    <row r="5" spans="2:31" ht="30" customHeight="1" thickBot="1" x14ac:dyDescent="0.45">
      <c r="B5" s="153" t="s">
        <v>222</v>
      </c>
      <c r="C5" s="154" t="s">
        <v>223</v>
      </c>
      <c r="D5" s="155" t="s">
        <v>1619</v>
      </c>
      <c r="E5" s="143" t="s">
        <v>30</v>
      </c>
      <c r="F5" s="139" t="s">
        <v>31</v>
      </c>
      <c r="G5" s="139" t="s">
        <v>32</v>
      </c>
      <c r="H5" s="139" t="s">
        <v>33</v>
      </c>
      <c r="I5" s="139" t="s">
        <v>34</v>
      </c>
      <c r="J5" s="139" t="s">
        <v>35</v>
      </c>
      <c r="K5" s="139" t="s">
        <v>36</v>
      </c>
      <c r="L5" s="139" t="s">
        <v>37</v>
      </c>
      <c r="M5" s="139" t="s">
        <v>38</v>
      </c>
      <c r="N5" s="139" t="s">
        <v>39</v>
      </c>
      <c r="O5" s="139" t="s">
        <v>40</v>
      </c>
      <c r="P5" s="139" t="s">
        <v>41</v>
      </c>
      <c r="Q5" s="140" t="s">
        <v>1630</v>
      </c>
      <c r="W5" s="141"/>
      <c r="Y5" t="s">
        <v>2019</v>
      </c>
      <c r="Z5" t="s">
        <v>2020</v>
      </c>
      <c r="AB5" t="s">
        <v>1612</v>
      </c>
      <c r="AC5" t="s">
        <v>1613</v>
      </c>
      <c r="AD5" t="s">
        <v>15</v>
      </c>
      <c r="AE5" t="s">
        <v>541</v>
      </c>
    </row>
    <row r="6" spans="2:31" ht="16.3" x14ac:dyDescent="0.4">
      <c r="B6" s="528" t="str" cm="1">
        <f t="array" ref="B6">INDEX(FLT_Cons,$AA6,$AB6)</f>
        <v>FLT - 1</v>
      </c>
      <c r="C6" s="531" t="str" cm="1">
        <f t="array" ref="C6">INDEX(FLT_Cons,$AA6,$AC6)</f>
        <v>EXTANK 105</v>
      </c>
      <c r="D6" s="152" t="s">
        <v>1618</v>
      </c>
      <c r="E6" s="144" t="str" cm="1">
        <f t="array" ref="E6">INDEX(Surrogate_Lst,MATCH(INDEX(FLT_Setup,X6,Y6),Product_GRP,0),2)</f>
        <v>Bakken Crude</v>
      </c>
      <c r="F6" s="144" t="str">
        <f>E6</f>
        <v>Bakken Crude</v>
      </c>
      <c r="G6" s="144" t="str">
        <f t="shared" ref="G6:P6" si="0">F6</f>
        <v>Bakken Crude</v>
      </c>
      <c r="H6" s="144" t="str">
        <f t="shared" si="0"/>
        <v>Bakken Crude</v>
      </c>
      <c r="I6" s="144" t="str">
        <f t="shared" si="0"/>
        <v>Bakken Crude</v>
      </c>
      <c r="J6" s="144" t="str">
        <f t="shared" si="0"/>
        <v>Bakken Crude</v>
      </c>
      <c r="K6" s="144" t="str">
        <f t="shared" si="0"/>
        <v>Bakken Crude</v>
      </c>
      <c r="L6" s="144" t="str">
        <f t="shared" si="0"/>
        <v>Bakken Crude</v>
      </c>
      <c r="M6" s="144" t="str">
        <f t="shared" si="0"/>
        <v>Bakken Crude</v>
      </c>
      <c r="N6" s="144" t="str">
        <f t="shared" si="0"/>
        <v>Bakken Crude</v>
      </c>
      <c r="O6" s="144" t="str">
        <f t="shared" si="0"/>
        <v>Bakken Crude</v>
      </c>
      <c r="P6" s="144" t="str">
        <f t="shared" si="0"/>
        <v>Bakken Crude</v>
      </c>
      <c r="Q6" s="138" t="s">
        <v>1629</v>
      </c>
      <c r="W6" s="142">
        <v>1</v>
      </c>
      <c r="X6">
        <v>1</v>
      </c>
      <c r="Y6">
        <v>3</v>
      </c>
      <c r="Z6" s="142"/>
      <c r="AA6">
        <v>1</v>
      </c>
      <c r="AB6">
        <v>1</v>
      </c>
      <c r="AC6">
        <v>2</v>
      </c>
      <c r="AD6">
        <v>5</v>
      </c>
      <c r="AE6">
        <v>6</v>
      </c>
    </row>
    <row r="7" spans="2:31" x14ac:dyDescent="0.4">
      <c r="B7" s="528"/>
      <c r="C7" s="531"/>
      <c r="D7" s="150" t="s">
        <v>1615</v>
      </c>
      <c r="E7" s="145" t="str" cm="1">
        <f t="array" ref="E7">INDEX(Phys_Prop,MATCH(E6,Chem_List,0),$AD6)</f>
        <v>Crude Oil</v>
      </c>
      <c r="F7" s="145" t="str" cm="1">
        <f t="array" ref="F7">INDEX(Phys_Prop,MATCH(F6,Chem_List,0),$AD6)</f>
        <v>Crude Oil</v>
      </c>
      <c r="G7" s="145" t="str" cm="1">
        <f t="array" ref="G7">INDEX(Phys_Prop,MATCH(G6,Chem_List,0),$AD6)</f>
        <v>Crude Oil</v>
      </c>
      <c r="H7" s="145" t="str" cm="1">
        <f t="array" ref="H7">INDEX(Phys_Prop,MATCH(H6,Chem_List,0),$AD6)</f>
        <v>Crude Oil</v>
      </c>
      <c r="I7" s="132" t="str" cm="1">
        <f t="array" ref="I7">INDEX(Phys_Prop,MATCH(I6,Chem_List,0),$AD6)</f>
        <v>Crude Oil</v>
      </c>
      <c r="J7" s="132" t="str" cm="1">
        <f t="array" ref="J7">INDEX(Phys_Prop,MATCH(J6,Chem_List,0),$AD6)</f>
        <v>Crude Oil</v>
      </c>
      <c r="K7" s="132" t="str" cm="1">
        <f t="array" ref="K7">INDEX(Phys_Prop,MATCH(K6,Chem_List,0),$AD6)</f>
        <v>Crude Oil</v>
      </c>
      <c r="L7" s="132" t="str" cm="1">
        <f t="array" ref="L7">INDEX(Phys_Prop,MATCH(L6,Chem_List,0),$AD6)</f>
        <v>Crude Oil</v>
      </c>
      <c r="M7" s="132" t="str" cm="1">
        <f t="array" ref="M7">INDEX(Phys_Prop,MATCH(M6,Chem_List,0),$AD6)</f>
        <v>Crude Oil</v>
      </c>
      <c r="N7" s="132" t="str" cm="1">
        <f t="array" ref="N7">INDEX(Phys_Prop,MATCH(N6,Chem_List,0),$AD6)</f>
        <v>Crude Oil</v>
      </c>
      <c r="O7" s="132" t="str" cm="1">
        <f t="array" ref="O7">INDEX(Phys_Prop,MATCH(O6,Chem_List,0),$AD6)</f>
        <v>Crude Oil</v>
      </c>
      <c r="P7" s="132" t="str" cm="1">
        <f t="array" ref="P7">INDEX(Phys_Prop,MATCH(P6,Chem_List,0),$AD6)</f>
        <v>Crude Oil</v>
      </c>
      <c r="Q7" s="134" t="s">
        <v>1629</v>
      </c>
      <c r="W7" s="142">
        <f>W6+1</f>
        <v>2</v>
      </c>
      <c r="X7" s="142"/>
      <c r="Y7" s="142"/>
      <c r="Z7" s="142"/>
    </row>
    <row r="8" spans="2:31" x14ac:dyDescent="0.4">
      <c r="B8" s="528"/>
      <c r="C8" s="531"/>
      <c r="D8" s="149" t="s">
        <v>1616</v>
      </c>
      <c r="E8" s="146">
        <f t="shared" ref="E8:P8" si="1">VLOOKUP(E6,RVP_XRef,2,FALSE)</f>
        <v>10.199999999999999</v>
      </c>
      <c r="F8" s="146">
        <f t="shared" si="1"/>
        <v>10.199999999999999</v>
      </c>
      <c r="G8" s="146">
        <f t="shared" si="1"/>
        <v>10.199999999999999</v>
      </c>
      <c r="H8" s="146">
        <f t="shared" si="1"/>
        <v>10.199999999999999</v>
      </c>
      <c r="I8" s="146">
        <f t="shared" si="1"/>
        <v>10.199999999999999</v>
      </c>
      <c r="J8" s="146">
        <f t="shared" si="1"/>
        <v>10.199999999999999</v>
      </c>
      <c r="K8" s="146">
        <f t="shared" si="1"/>
        <v>10.199999999999999</v>
      </c>
      <c r="L8" s="146">
        <f t="shared" si="1"/>
        <v>10.199999999999999</v>
      </c>
      <c r="M8" s="146">
        <f t="shared" si="1"/>
        <v>10.199999999999999</v>
      </c>
      <c r="N8" s="146">
        <f t="shared" si="1"/>
        <v>10.199999999999999</v>
      </c>
      <c r="O8" s="146">
        <f t="shared" si="1"/>
        <v>10.199999999999999</v>
      </c>
      <c r="P8" s="146">
        <f t="shared" si="1"/>
        <v>10.199999999999999</v>
      </c>
      <c r="Q8" s="133" t="s">
        <v>1629</v>
      </c>
      <c r="W8" s="142">
        <f t="shared" ref="W8:W29" si="2">W7+1</f>
        <v>3</v>
      </c>
      <c r="X8" s="142"/>
      <c r="Y8" s="142"/>
      <c r="Z8" s="142"/>
    </row>
    <row r="9" spans="2:31" x14ac:dyDescent="0.4">
      <c r="B9" s="528"/>
      <c r="C9" s="531"/>
      <c r="D9" s="150" t="s">
        <v>1617</v>
      </c>
      <c r="E9" s="145" cm="1">
        <f t="array" ref="E9">INDEX(Phys_Prop,MATCH(E6,Chem_List,0),$AE6)</f>
        <v>0</v>
      </c>
      <c r="F9" s="145" cm="1">
        <f t="array" ref="F9">INDEX(Phys_Prop,MATCH(F6,Chem_List,0),$AE6)</f>
        <v>0</v>
      </c>
      <c r="G9" s="145" cm="1">
        <f t="array" ref="G9">INDEX(Phys_Prop,MATCH(G6,Chem_List,0),$AE6)</f>
        <v>0</v>
      </c>
      <c r="H9" s="145" cm="1">
        <f t="array" ref="H9">INDEX(Phys_Prop,MATCH(H6,Chem_List,0),$AE6)</f>
        <v>0</v>
      </c>
      <c r="I9" s="132" cm="1">
        <f t="array" ref="I9">INDEX(Phys_Prop,MATCH(I6,Chem_List,0),$AE6)</f>
        <v>0</v>
      </c>
      <c r="J9" s="132" cm="1">
        <f t="array" ref="J9">INDEX(Phys_Prop,MATCH(J6,Chem_List,0),$AE6)</f>
        <v>0</v>
      </c>
      <c r="K9" s="132" cm="1">
        <f t="array" ref="K9">INDEX(Phys_Prop,MATCH(K6,Chem_List,0),$AE6)</f>
        <v>0</v>
      </c>
      <c r="L9" s="132" cm="1">
        <f t="array" ref="L9">INDEX(Phys_Prop,MATCH(L6,Chem_List,0),$AE6)</f>
        <v>0</v>
      </c>
      <c r="M9" s="132" cm="1">
        <f t="array" ref="M9">INDEX(Phys_Prop,MATCH(M6,Chem_List,0),$AE6)</f>
        <v>0</v>
      </c>
      <c r="N9" s="132" cm="1">
        <f t="array" ref="N9">INDEX(Phys_Prop,MATCH(N6,Chem_List,0),$AE6)</f>
        <v>0</v>
      </c>
      <c r="O9" s="132" cm="1">
        <f t="array" ref="O9">INDEX(Phys_Prop,MATCH(O6,Chem_List,0),$AE6)</f>
        <v>0</v>
      </c>
      <c r="P9" s="132" cm="1">
        <f t="array" ref="P9">INDEX(Phys_Prop,MATCH(P6,Chem_List,0),$AE6)</f>
        <v>0</v>
      </c>
      <c r="Q9" s="134" t="s">
        <v>1629</v>
      </c>
      <c r="W9" s="142">
        <f t="shared" si="2"/>
        <v>4</v>
      </c>
      <c r="X9" s="142"/>
      <c r="Y9" s="142"/>
      <c r="Z9" s="142"/>
    </row>
    <row r="10" spans="2:31" x14ac:dyDescent="0.4">
      <c r="B10" s="528"/>
      <c r="C10" s="531"/>
      <c r="D10" s="150" t="s">
        <v>1620</v>
      </c>
      <c r="E10" s="145">
        <f>1-E15</f>
        <v>1</v>
      </c>
      <c r="F10" s="145">
        <f>1-F15</f>
        <v>1</v>
      </c>
      <c r="G10" s="145">
        <f>1-G15</f>
        <v>1</v>
      </c>
      <c r="H10" s="145">
        <f>1-H15</f>
        <v>1</v>
      </c>
      <c r="I10" s="132">
        <f t="shared" ref="I10" si="3">1-I15</f>
        <v>1</v>
      </c>
      <c r="J10" s="132">
        <f t="shared" ref="J10:P10" si="4">1-J15</f>
        <v>1</v>
      </c>
      <c r="K10" s="132">
        <f t="shared" si="4"/>
        <v>1</v>
      </c>
      <c r="L10" s="132">
        <f t="shared" si="4"/>
        <v>1</v>
      </c>
      <c r="M10" s="132">
        <f t="shared" si="4"/>
        <v>1</v>
      </c>
      <c r="N10" s="132">
        <f t="shared" si="4"/>
        <v>1</v>
      </c>
      <c r="O10" s="132">
        <f t="shared" si="4"/>
        <v>1</v>
      </c>
      <c r="P10" s="132">
        <f t="shared" si="4"/>
        <v>1</v>
      </c>
      <c r="Q10" s="134" t="s">
        <v>1629</v>
      </c>
      <c r="W10" s="142">
        <f t="shared" si="2"/>
        <v>5</v>
      </c>
      <c r="X10" s="142"/>
      <c r="Y10" s="142"/>
      <c r="Z10" s="142"/>
    </row>
    <row r="11" spans="2:31" ht="16.3" x14ac:dyDescent="0.4">
      <c r="B11" s="528"/>
      <c r="C11" s="531"/>
      <c r="D11" s="149" t="s">
        <v>1621</v>
      </c>
      <c r="E11" s="146" t="str">
        <f>IF(E6="Ethanol","Gasoline","")</f>
        <v/>
      </c>
      <c r="F11" s="146" t="str">
        <f>E11</f>
        <v/>
      </c>
      <c r="G11" s="146" t="str">
        <f t="shared" ref="G11:P11" si="5">F11</f>
        <v/>
      </c>
      <c r="H11" s="146" t="str">
        <f t="shared" si="5"/>
        <v/>
      </c>
      <c r="I11" s="146" t="str">
        <f t="shared" si="5"/>
        <v/>
      </c>
      <c r="J11" s="146" t="str">
        <f t="shared" si="5"/>
        <v/>
      </c>
      <c r="K11" s="146" t="str">
        <f t="shared" si="5"/>
        <v/>
      </c>
      <c r="L11" s="146" t="str">
        <f t="shared" si="5"/>
        <v/>
      </c>
      <c r="M11" s="146" t="str">
        <f t="shared" si="5"/>
        <v/>
      </c>
      <c r="N11" s="146" t="str">
        <f t="shared" si="5"/>
        <v/>
      </c>
      <c r="O11" s="146" t="str">
        <f t="shared" si="5"/>
        <v/>
      </c>
      <c r="P11" s="146" t="str">
        <f t="shared" si="5"/>
        <v/>
      </c>
      <c r="Q11" s="133" t="s">
        <v>1629</v>
      </c>
      <c r="W11" s="142">
        <f t="shared" si="2"/>
        <v>6</v>
      </c>
      <c r="X11" s="142"/>
      <c r="Y11" s="142"/>
      <c r="Z11" s="142"/>
    </row>
    <row r="12" spans="2:31" x14ac:dyDescent="0.4">
      <c r="B12" s="528"/>
      <c r="C12" s="531"/>
      <c r="D12" s="149" t="s">
        <v>1622</v>
      </c>
      <c r="E12" s="132" t="e" cm="1">
        <f t="array" ref="E12">INDEX(Phys_Prop,MATCH(E11,Chem_List,0),$AD6)</f>
        <v>#N/A</v>
      </c>
      <c r="F12" s="132" t="e" cm="1">
        <f t="array" ref="F12">INDEX(Phys_Prop,MATCH(F11,Chem_List,0),$AD6)</f>
        <v>#N/A</v>
      </c>
      <c r="G12" s="132" t="e" cm="1">
        <f t="array" ref="G12">INDEX(Phys_Prop,MATCH(G11,Chem_List,0),$AD6)</f>
        <v>#N/A</v>
      </c>
      <c r="H12" s="132" t="e" cm="1">
        <f t="array" ref="H12">INDEX(Phys_Prop,MATCH(H11,Chem_List,0),$AD6)</f>
        <v>#N/A</v>
      </c>
      <c r="I12" s="132" t="e" cm="1">
        <f t="array" ref="I12">INDEX(Phys_Prop,MATCH(I11,Chem_List,0),$AD6)</f>
        <v>#N/A</v>
      </c>
      <c r="J12" s="132" t="e" cm="1">
        <f t="array" ref="J12">INDEX(Phys_Prop,MATCH(J11,Chem_List,0),$AD6)</f>
        <v>#N/A</v>
      </c>
      <c r="K12" s="132" t="e" cm="1">
        <f t="array" ref="K12">INDEX(Phys_Prop,MATCH(K11,Chem_List,0),$AD6)</f>
        <v>#N/A</v>
      </c>
      <c r="L12" s="132" t="e" cm="1">
        <f t="array" ref="L12">INDEX(Phys_Prop,MATCH(L11,Chem_List,0),$AD6)</f>
        <v>#N/A</v>
      </c>
      <c r="M12" s="132" t="e" cm="1">
        <f t="array" ref="M12">INDEX(Phys_Prop,MATCH(M11,Chem_List,0),$AD6)</f>
        <v>#N/A</v>
      </c>
      <c r="N12" s="132" t="e" cm="1">
        <f t="array" ref="N12">INDEX(Phys_Prop,MATCH(N11,Chem_List,0),$AD6)</f>
        <v>#N/A</v>
      </c>
      <c r="O12" s="132" t="e" cm="1">
        <f t="array" ref="O12">INDEX(Phys_Prop,MATCH(O11,Chem_List,0),$AD6)</f>
        <v>#N/A</v>
      </c>
      <c r="P12" s="132" t="e" cm="1">
        <f t="array" ref="P12">INDEX(Phys_Prop,MATCH(P11,Chem_List,0),$AD6)</f>
        <v>#N/A</v>
      </c>
      <c r="Q12" s="134" t="s">
        <v>1629</v>
      </c>
      <c r="W12" s="142">
        <f t="shared" si="2"/>
        <v>7</v>
      </c>
      <c r="X12" s="142"/>
      <c r="Y12" s="142"/>
      <c r="Z12" s="142"/>
    </row>
    <row r="13" spans="2:31" x14ac:dyDescent="0.4">
      <c r="B13" s="528"/>
      <c r="C13" s="531"/>
      <c r="D13" s="149" t="s">
        <v>1623</v>
      </c>
      <c r="E13" s="146" t="e">
        <f t="shared" ref="E13:P13" si="6">VLOOKUP(E11,RVP_XRef,2,FALSE)</f>
        <v>#N/A</v>
      </c>
      <c r="F13" s="146" t="e">
        <f t="shared" si="6"/>
        <v>#N/A</v>
      </c>
      <c r="G13" s="146" t="e">
        <f t="shared" si="6"/>
        <v>#N/A</v>
      </c>
      <c r="H13" s="146" t="e">
        <f t="shared" si="6"/>
        <v>#N/A</v>
      </c>
      <c r="I13" s="146" t="e">
        <f t="shared" si="6"/>
        <v>#N/A</v>
      </c>
      <c r="J13" s="146" t="e">
        <f t="shared" si="6"/>
        <v>#N/A</v>
      </c>
      <c r="K13" s="146" t="e">
        <f t="shared" si="6"/>
        <v>#N/A</v>
      </c>
      <c r="L13" s="146" t="e">
        <f t="shared" si="6"/>
        <v>#N/A</v>
      </c>
      <c r="M13" s="146" t="e">
        <f t="shared" si="6"/>
        <v>#N/A</v>
      </c>
      <c r="N13" s="146" t="e">
        <f t="shared" si="6"/>
        <v>#N/A</v>
      </c>
      <c r="O13" s="146" t="e">
        <f t="shared" si="6"/>
        <v>#N/A</v>
      </c>
      <c r="P13" s="146" t="e">
        <f t="shared" si="6"/>
        <v>#N/A</v>
      </c>
      <c r="Q13" s="133" t="s">
        <v>1629</v>
      </c>
      <c r="W13" s="142">
        <f t="shared" si="2"/>
        <v>8</v>
      </c>
      <c r="X13" s="142"/>
      <c r="Y13" s="142"/>
      <c r="Z13" s="142"/>
    </row>
    <row r="14" spans="2:31" x14ac:dyDescent="0.4">
      <c r="B14" s="528"/>
      <c r="C14" s="531"/>
      <c r="D14" s="150" t="s">
        <v>1624</v>
      </c>
      <c r="E14" s="145" t="str" cm="1">
        <f t="array" ref="E14">IFERROR(INDEX(Phys_Prop,MATCH(E11,Chem_List,0),$AE6),"N/A")</f>
        <v>N/A</v>
      </c>
      <c r="F14" s="145" t="str" cm="1">
        <f t="array" ref="F14">IFERROR(INDEX(Phys_Prop,MATCH(F11,Chem_List,0),$AE6),"N/A")</f>
        <v>N/A</v>
      </c>
      <c r="G14" s="145" t="str" cm="1">
        <f t="array" ref="G14">IFERROR(INDEX(Phys_Prop,MATCH(G11,Chem_List,0),$AE6),"N/A")</f>
        <v>N/A</v>
      </c>
      <c r="H14" s="145" t="str" cm="1">
        <f t="array" ref="H14">IFERROR(INDEX(Phys_Prop,MATCH(H11,Chem_List,0),$AE6),"N/A")</f>
        <v>N/A</v>
      </c>
      <c r="I14" s="145" t="str" cm="1">
        <f t="array" ref="I14">IFERROR(INDEX(Phys_Prop,MATCH(I11,Chem_List,0),$AE6),"N/A")</f>
        <v>N/A</v>
      </c>
      <c r="J14" s="145" t="str" cm="1">
        <f t="array" ref="J14">IFERROR(INDEX(Phys_Prop,MATCH(J11,Chem_List,0),$AE6),"N/A")</f>
        <v>N/A</v>
      </c>
      <c r="K14" s="145" t="str" cm="1">
        <f t="array" ref="K14">IFERROR(INDEX(Phys_Prop,MATCH(K11,Chem_List,0),$AE6),"N/A")</f>
        <v>N/A</v>
      </c>
      <c r="L14" s="145" t="str" cm="1">
        <f t="array" ref="L14">IFERROR(INDEX(Phys_Prop,MATCH(L11,Chem_List,0),$AE6),"N/A")</f>
        <v>N/A</v>
      </c>
      <c r="M14" s="145" t="str" cm="1">
        <f t="array" ref="M14">IFERROR(INDEX(Phys_Prop,MATCH(M11,Chem_List,0),$AE6),"N/A")</f>
        <v>N/A</v>
      </c>
      <c r="N14" s="145" t="str" cm="1">
        <f t="array" ref="N14">IFERROR(INDEX(Phys_Prop,MATCH(N11,Chem_List,0),$AE6),"N/A")</f>
        <v>N/A</v>
      </c>
      <c r="O14" s="145" t="str" cm="1">
        <f t="array" ref="O14">IFERROR(INDEX(Phys_Prop,MATCH(O11,Chem_List,0),$AE6),"N/A")</f>
        <v>N/A</v>
      </c>
      <c r="P14" s="145" t="str" cm="1">
        <f t="array" ref="P14">IFERROR(INDEX(Phys_Prop,MATCH(P11,Chem_List,0),$AE6),"N/A")</f>
        <v>N/A</v>
      </c>
      <c r="Q14" s="134" t="s">
        <v>1629</v>
      </c>
      <c r="W14" s="142">
        <f t="shared" si="2"/>
        <v>9</v>
      </c>
      <c r="X14" s="142"/>
      <c r="Y14" s="142"/>
      <c r="Z14" s="142"/>
    </row>
    <row r="15" spans="2:31" x14ac:dyDescent="0.4">
      <c r="B15" s="528"/>
      <c r="C15" s="531"/>
      <c r="D15" s="149" t="s">
        <v>1625</v>
      </c>
      <c r="E15" s="146">
        <f>IF(E11="Gasoline",0.25,0)</f>
        <v>0</v>
      </c>
      <c r="F15" s="146">
        <f t="shared" ref="F15:P15" si="7">IF(F11="Gasoline",0.25,0)</f>
        <v>0</v>
      </c>
      <c r="G15" s="146">
        <f t="shared" si="7"/>
        <v>0</v>
      </c>
      <c r="H15" s="146">
        <f t="shared" si="7"/>
        <v>0</v>
      </c>
      <c r="I15" s="146">
        <f t="shared" si="7"/>
        <v>0</v>
      </c>
      <c r="J15" s="146">
        <f t="shared" si="7"/>
        <v>0</v>
      </c>
      <c r="K15" s="146">
        <f t="shared" si="7"/>
        <v>0</v>
      </c>
      <c r="L15" s="146">
        <f t="shared" si="7"/>
        <v>0</v>
      </c>
      <c r="M15" s="146">
        <f t="shared" si="7"/>
        <v>0</v>
      </c>
      <c r="N15" s="146">
        <f t="shared" si="7"/>
        <v>0</v>
      </c>
      <c r="O15" s="146">
        <f t="shared" si="7"/>
        <v>0</v>
      </c>
      <c r="P15" s="146">
        <f t="shared" si="7"/>
        <v>0</v>
      </c>
      <c r="Q15" s="133" t="s">
        <v>1629</v>
      </c>
      <c r="W15" s="142">
        <f t="shared" si="2"/>
        <v>10</v>
      </c>
      <c r="X15" s="142"/>
      <c r="Y15" s="142"/>
      <c r="Z15" s="142"/>
    </row>
    <row r="16" spans="2:31" x14ac:dyDescent="0.4">
      <c r="B16" s="528"/>
      <c r="C16" s="531"/>
      <c r="D16" s="149" t="s">
        <v>1626</v>
      </c>
      <c r="E16" s="147" cm="1">
        <f t="array" ref="E16">INDEX(FLT_Setup,X16,Z16)</f>
        <v>137323</v>
      </c>
      <c r="F16" s="147">
        <f>E16</f>
        <v>137323</v>
      </c>
      <c r="G16" s="147">
        <f t="shared" ref="G16:P16" si="8">F16</f>
        <v>137323</v>
      </c>
      <c r="H16" s="147">
        <f t="shared" si="8"/>
        <v>137323</v>
      </c>
      <c r="I16" s="147">
        <f t="shared" si="8"/>
        <v>137323</v>
      </c>
      <c r="J16" s="147">
        <f t="shared" si="8"/>
        <v>137323</v>
      </c>
      <c r="K16" s="147">
        <f t="shared" si="8"/>
        <v>137323</v>
      </c>
      <c r="L16" s="147">
        <f t="shared" si="8"/>
        <v>137323</v>
      </c>
      <c r="M16" s="147">
        <f t="shared" si="8"/>
        <v>137323</v>
      </c>
      <c r="N16" s="147">
        <f t="shared" si="8"/>
        <v>137323</v>
      </c>
      <c r="O16" s="147">
        <f t="shared" si="8"/>
        <v>137323</v>
      </c>
      <c r="P16" s="147">
        <f t="shared" si="8"/>
        <v>137323</v>
      </c>
      <c r="Q16" s="135">
        <f>SUM(E16:P16)</f>
        <v>1647876</v>
      </c>
      <c r="W16" s="142">
        <f t="shared" si="2"/>
        <v>11</v>
      </c>
      <c r="X16">
        <f>X6</f>
        <v>1</v>
      </c>
      <c r="Y16" s="142"/>
      <c r="Z16">
        <v>9</v>
      </c>
    </row>
    <row r="17" spans="2:31" ht="15" thickBot="1" x14ac:dyDescent="0.45">
      <c r="B17" s="529"/>
      <c r="C17" s="532"/>
      <c r="D17" s="151" t="s">
        <v>1627</v>
      </c>
      <c r="E17" s="148"/>
      <c r="F17" s="136"/>
      <c r="G17" s="136"/>
      <c r="H17" s="136"/>
      <c r="I17" s="136"/>
      <c r="J17" s="136"/>
      <c r="K17" s="136"/>
      <c r="L17" s="136"/>
      <c r="M17" s="136"/>
      <c r="N17" s="136"/>
      <c r="O17" s="136"/>
      <c r="P17" s="136"/>
      <c r="Q17" s="137" t="e">
        <f>AVERAGE(E17:P17)</f>
        <v>#DIV/0!</v>
      </c>
      <c r="W17" s="156">
        <f t="shared" si="2"/>
        <v>12</v>
      </c>
      <c r="X17" s="156"/>
      <c r="Y17" s="156"/>
      <c r="Z17" s="156"/>
      <c r="AA17" s="11"/>
      <c r="AB17" s="11"/>
      <c r="AC17" s="11"/>
      <c r="AD17" s="11"/>
      <c r="AE17" s="11"/>
    </row>
    <row r="18" spans="2:31" ht="16.3" x14ac:dyDescent="0.4">
      <c r="B18" s="528" t="str" cm="1">
        <f t="array" ref="B18">INDEX(FLT_Cons,$AA18,$AB18)</f>
        <v>FLT - 2</v>
      </c>
      <c r="C18" s="531" t="str" cm="1">
        <f t="array" ref="C18">INDEX(FLT_Cons,$AA18,$AC18)</f>
        <v>EXTANK 106</v>
      </c>
      <c r="D18" s="152" t="s">
        <v>1618</v>
      </c>
      <c r="E18" s="144" t="str" cm="1">
        <f t="array" ref="E18">INDEX(Surrogate_Lst,MATCH(INDEX(FLT_Setup,X18,Y18),Product_GRP,0),2)</f>
        <v>Bakken Crude</v>
      </c>
      <c r="F18" s="144" t="str">
        <f>E18</f>
        <v>Bakken Crude</v>
      </c>
      <c r="G18" s="144" t="str">
        <f t="shared" ref="G18:P18" si="9">F18</f>
        <v>Bakken Crude</v>
      </c>
      <c r="H18" s="144" t="str">
        <f t="shared" si="9"/>
        <v>Bakken Crude</v>
      </c>
      <c r="I18" s="144" t="str">
        <f t="shared" si="9"/>
        <v>Bakken Crude</v>
      </c>
      <c r="J18" s="144" t="str">
        <f t="shared" si="9"/>
        <v>Bakken Crude</v>
      </c>
      <c r="K18" s="144" t="str">
        <f t="shared" si="9"/>
        <v>Bakken Crude</v>
      </c>
      <c r="L18" s="144" t="str">
        <f t="shared" si="9"/>
        <v>Bakken Crude</v>
      </c>
      <c r="M18" s="144" t="str">
        <f t="shared" si="9"/>
        <v>Bakken Crude</v>
      </c>
      <c r="N18" s="144" t="str">
        <f t="shared" si="9"/>
        <v>Bakken Crude</v>
      </c>
      <c r="O18" s="144" t="str">
        <f t="shared" si="9"/>
        <v>Bakken Crude</v>
      </c>
      <c r="P18" s="144" t="str">
        <f t="shared" si="9"/>
        <v>Bakken Crude</v>
      </c>
      <c r="Q18" s="138" t="s">
        <v>1629</v>
      </c>
      <c r="W18" s="142">
        <f t="shared" si="2"/>
        <v>13</v>
      </c>
      <c r="X18">
        <f>X6+1</f>
        <v>2</v>
      </c>
      <c r="Y18" s="356">
        <v>3</v>
      </c>
      <c r="Z18" s="142"/>
      <c r="AA18">
        <f>AA6+1</f>
        <v>2</v>
      </c>
      <c r="AB18">
        <v>1</v>
      </c>
      <c r="AC18">
        <v>2</v>
      </c>
      <c r="AD18">
        <v>5</v>
      </c>
      <c r="AE18">
        <v>6</v>
      </c>
    </row>
    <row r="19" spans="2:31" x14ac:dyDescent="0.4">
      <c r="B19" s="528"/>
      <c r="C19" s="531"/>
      <c r="D19" s="150" t="s">
        <v>1615</v>
      </c>
      <c r="E19" s="145" t="str" cm="1">
        <f t="array" ref="E19">INDEX(Phys_Prop,MATCH(E18,Chem_List,0),$AD18)</f>
        <v>Crude Oil</v>
      </c>
      <c r="F19" s="145" t="str" cm="1">
        <f t="array" ref="F19">INDEX(Phys_Prop,MATCH(F18,Chem_List,0),$AD18)</f>
        <v>Crude Oil</v>
      </c>
      <c r="G19" s="145" t="str" cm="1">
        <f t="array" ref="G19">INDEX(Phys_Prop,MATCH(G18,Chem_List,0),$AD18)</f>
        <v>Crude Oil</v>
      </c>
      <c r="H19" s="145" t="str" cm="1">
        <f t="array" ref="H19">INDEX(Phys_Prop,MATCH(H18,Chem_List,0),$AD18)</f>
        <v>Crude Oil</v>
      </c>
      <c r="I19" s="132" t="str" cm="1">
        <f t="array" ref="I19">INDEX(Phys_Prop,MATCH(I18,Chem_List,0),$AD18)</f>
        <v>Crude Oil</v>
      </c>
      <c r="J19" s="132" t="str" cm="1">
        <f t="array" ref="J19">INDEX(Phys_Prop,MATCH(J18,Chem_List,0),$AD18)</f>
        <v>Crude Oil</v>
      </c>
      <c r="K19" s="132" t="str" cm="1">
        <f t="array" ref="K19">INDEX(Phys_Prop,MATCH(K18,Chem_List,0),$AD18)</f>
        <v>Crude Oil</v>
      </c>
      <c r="L19" s="132" t="str" cm="1">
        <f t="array" ref="L19">INDEX(Phys_Prop,MATCH(L18,Chem_List,0),$AD18)</f>
        <v>Crude Oil</v>
      </c>
      <c r="M19" s="132" t="str" cm="1">
        <f t="array" ref="M19">INDEX(Phys_Prop,MATCH(M18,Chem_List,0),$AD18)</f>
        <v>Crude Oil</v>
      </c>
      <c r="N19" s="132" t="str" cm="1">
        <f t="array" ref="N19">INDEX(Phys_Prop,MATCH(N18,Chem_List,0),$AD18)</f>
        <v>Crude Oil</v>
      </c>
      <c r="O19" s="132" t="str" cm="1">
        <f t="array" ref="O19">INDEX(Phys_Prop,MATCH(O18,Chem_List,0),$AD18)</f>
        <v>Crude Oil</v>
      </c>
      <c r="P19" s="132" t="str" cm="1">
        <f t="array" ref="P19">INDEX(Phys_Prop,MATCH(P18,Chem_List,0),$AD18)</f>
        <v>Crude Oil</v>
      </c>
      <c r="Q19" s="134" t="s">
        <v>1629</v>
      </c>
      <c r="W19" s="142">
        <f t="shared" si="2"/>
        <v>14</v>
      </c>
      <c r="X19" s="142"/>
      <c r="Y19" s="142"/>
      <c r="Z19" s="142"/>
    </row>
    <row r="20" spans="2:31" x14ac:dyDescent="0.4">
      <c r="B20" s="528"/>
      <c r="C20" s="531"/>
      <c r="D20" s="149" t="s">
        <v>1616</v>
      </c>
      <c r="E20" s="146">
        <f t="shared" ref="E20:P20" si="10">VLOOKUP(E18,RVP_XRef,2,FALSE)</f>
        <v>10.199999999999999</v>
      </c>
      <c r="F20" s="146">
        <f t="shared" si="10"/>
        <v>10.199999999999999</v>
      </c>
      <c r="G20" s="146">
        <f t="shared" si="10"/>
        <v>10.199999999999999</v>
      </c>
      <c r="H20" s="146">
        <f t="shared" si="10"/>
        <v>10.199999999999999</v>
      </c>
      <c r="I20" s="146">
        <f t="shared" si="10"/>
        <v>10.199999999999999</v>
      </c>
      <c r="J20" s="146">
        <f t="shared" si="10"/>
        <v>10.199999999999999</v>
      </c>
      <c r="K20" s="146">
        <f t="shared" si="10"/>
        <v>10.199999999999999</v>
      </c>
      <c r="L20" s="146">
        <f t="shared" si="10"/>
        <v>10.199999999999999</v>
      </c>
      <c r="M20" s="146">
        <f t="shared" si="10"/>
        <v>10.199999999999999</v>
      </c>
      <c r="N20" s="146">
        <f t="shared" si="10"/>
        <v>10.199999999999999</v>
      </c>
      <c r="O20" s="146">
        <f t="shared" si="10"/>
        <v>10.199999999999999</v>
      </c>
      <c r="P20" s="146">
        <f t="shared" si="10"/>
        <v>10.199999999999999</v>
      </c>
      <c r="Q20" s="133" t="s">
        <v>1629</v>
      </c>
      <c r="W20" s="142">
        <f t="shared" si="2"/>
        <v>15</v>
      </c>
      <c r="X20" s="142"/>
      <c r="Y20" s="142"/>
      <c r="Z20" s="142"/>
    </row>
    <row r="21" spans="2:31" x14ac:dyDescent="0.4">
      <c r="B21" s="528"/>
      <c r="C21" s="531"/>
      <c r="D21" s="150" t="s">
        <v>1617</v>
      </c>
      <c r="E21" s="145" cm="1">
        <f t="array" ref="E21">INDEX(Phys_Prop,MATCH(E18,Chem_List,0),$AE18)</f>
        <v>0</v>
      </c>
      <c r="F21" s="145" cm="1">
        <f t="array" ref="F21">INDEX(Phys_Prop,MATCH(F18,Chem_List,0),$AE18)</f>
        <v>0</v>
      </c>
      <c r="G21" s="145" cm="1">
        <f t="array" ref="G21">INDEX(Phys_Prop,MATCH(G18,Chem_List,0),$AE18)</f>
        <v>0</v>
      </c>
      <c r="H21" s="145" cm="1">
        <f t="array" ref="H21">INDEX(Phys_Prop,MATCH(H18,Chem_List,0),$AE18)</f>
        <v>0</v>
      </c>
      <c r="I21" s="132" cm="1">
        <f t="array" ref="I21">INDEX(Phys_Prop,MATCH(I18,Chem_List,0),$AE18)</f>
        <v>0</v>
      </c>
      <c r="J21" s="132" cm="1">
        <f t="array" ref="J21">INDEX(Phys_Prop,MATCH(J18,Chem_List,0),$AE18)</f>
        <v>0</v>
      </c>
      <c r="K21" s="132" cm="1">
        <f t="array" ref="K21">INDEX(Phys_Prop,MATCH(K18,Chem_List,0),$AE18)</f>
        <v>0</v>
      </c>
      <c r="L21" s="132" cm="1">
        <f t="array" ref="L21">INDEX(Phys_Prop,MATCH(L18,Chem_List,0),$AE18)</f>
        <v>0</v>
      </c>
      <c r="M21" s="132" cm="1">
        <f t="array" ref="M21">INDEX(Phys_Prop,MATCH(M18,Chem_List,0),$AE18)</f>
        <v>0</v>
      </c>
      <c r="N21" s="132" cm="1">
        <f t="array" ref="N21">INDEX(Phys_Prop,MATCH(N18,Chem_List,0),$AE18)</f>
        <v>0</v>
      </c>
      <c r="O21" s="132" cm="1">
        <f t="array" ref="O21">INDEX(Phys_Prop,MATCH(O18,Chem_List,0),$AE18)</f>
        <v>0</v>
      </c>
      <c r="P21" s="132" cm="1">
        <f t="array" ref="P21">INDEX(Phys_Prop,MATCH(P18,Chem_List,0),$AE18)</f>
        <v>0</v>
      </c>
      <c r="Q21" s="134" t="s">
        <v>1629</v>
      </c>
      <c r="W21" s="142">
        <f t="shared" si="2"/>
        <v>16</v>
      </c>
      <c r="X21" s="142"/>
      <c r="Y21" s="142"/>
      <c r="Z21" s="142"/>
    </row>
    <row r="22" spans="2:31" x14ac:dyDescent="0.4">
      <c r="B22" s="528"/>
      <c r="C22" s="531"/>
      <c r="D22" s="150" t="s">
        <v>1620</v>
      </c>
      <c r="E22" s="145">
        <f>1-E27</f>
        <v>1</v>
      </c>
      <c r="F22" s="145">
        <f>1-F27</f>
        <v>1</v>
      </c>
      <c r="G22" s="145">
        <f>1-G27</f>
        <v>1</v>
      </c>
      <c r="H22" s="145">
        <f>1-H27</f>
        <v>1</v>
      </c>
      <c r="I22" s="132">
        <f t="shared" ref="I22:P22" si="11">1-I27</f>
        <v>1</v>
      </c>
      <c r="J22" s="132">
        <f t="shared" si="11"/>
        <v>1</v>
      </c>
      <c r="K22" s="132">
        <f t="shared" si="11"/>
        <v>1</v>
      </c>
      <c r="L22" s="132">
        <f t="shared" si="11"/>
        <v>1</v>
      </c>
      <c r="M22" s="132">
        <f t="shared" si="11"/>
        <v>1</v>
      </c>
      <c r="N22" s="132">
        <f t="shared" si="11"/>
        <v>1</v>
      </c>
      <c r="O22" s="132">
        <f t="shared" si="11"/>
        <v>1</v>
      </c>
      <c r="P22" s="132">
        <f t="shared" si="11"/>
        <v>1</v>
      </c>
      <c r="Q22" s="134" t="s">
        <v>1629</v>
      </c>
      <c r="W22" s="142">
        <f t="shared" si="2"/>
        <v>17</v>
      </c>
      <c r="X22" s="142"/>
      <c r="Y22" s="142"/>
      <c r="Z22" s="142"/>
    </row>
    <row r="23" spans="2:31" ht="16.3" x14ac:dyDescent="0.4">
      <c r="B23" s="528"/>
      <c r="C23" s="531"/>
      <c r="D23" s="149" t="s">
        <v>1621</v>
      </c>
      <c r="E23" s="146" t="str">
        <f>IF(E18="Ethanol","Gasoline","")</f>
        <v/>
      </c>
      <c r="F23" s="146" t="str">
        <f>E23</f>
        <v/>
      </c>
      <c r="G23" s="146" t="str">
        <f t="shared" ref="G23:P23" si="12">F23</f>
        <v/>
      </c>
      <c r="H23" s="146" t="str">
        <f t="shared" si="12"/>
        <v/>
      </c>
      <c r="I23" s="146" t="str">
        <f t="shared" si="12"/>
        <v/>
      </c>
      <c r="J23" s="146" t="str">
        <f t="shared" si="12"/>
        <v/>
      </c>
      <c r="K23" s="146" t="str">
        <f t="shared" si="12"/>
        <v/>
      </c>
      <c r="L23" s="146" t="str">
        <f t="shared" si="12"/>
        <v/>
      </c>
      <c r="M23" s="146" t="str">
        <f t="shared" si="12"/>
        <v/>
      </c>
      <c r="N23" s="146" t="str">
        <f t="shared" si="12"/>
        <v/>
      </c>
      <c r="O23" s="146" t="str">
        <f t="shared" si="12"/>
        <v/>
      </c>
      <c r="P23" s="146" t="str">
        <f t="shared" si="12"/>
        <v/>
      </c>
      <c r="Q23" s="133" t="s">
        <v>1629</v>
      </c>
      <c r="W23" s="142">
        <f t="shared" si="2"/>
        <v>18</v>
      </c>
      <c r="X23" s="142"/>
      <c r="Y23" s="142"/>
      <c r="Z23" s="142"/>
    </row>
    <row r="24" spans="2:31" x14ac:dyDescent="0.4">
      <c r="B24" s="528"/>
      <c r="C24" s="531"/>
      <c r="D24" s="149" t="s">
        <v>1622</v>
      </c>
      <c r="E24" s="132" t="e" cm="1">
        <f t="array" ref="E24">INDEX(Phys_Prop,MATCH(E23,Chem_List,0),$AD18)</f>
        <v>#N/A</v>
      </c>
      <c r="F24" s="132" t="e" cm="1">
        <f t="array" ref="F24">INDEX(Phys_Prop,MATCH(F23,Chem_List,0),$AD18)</f>
        <v>#N/A</v>
      </c>
      <c r="G24" s="132" t="e" cm="1">
        <f t="array" ref="G24">INDEX(Phys_Prop,MATCH(G23,Chem_List,0),$AD18)</f>
        <v>#N/A</v>
      </c>
      <c r="H24" s="132" t="e" cm="1">
        <f t="array" ref="H24">INDEX(Phys_Prop,MATCH(H23,Chem_List,0),$AD18)</f>
        <v>#N/A</v>
      </c>
      <c r="I24" s="132" t="e" cm="1">
        <f t="array" ref="I24">INDEX(Phys_Prop,MATCH(I23,Chem_List,0),$AD18)</f>
        <v>#N/A</v>
      </c>
      <c r="J24" s="132" t="e" cm="1">
        <f t="array" ref="J24">INDEX(Phys_Prop,MATCH(J23,Chem_List,0),$AD18)</f>
        <v>#N/A</v>
      </c>
      <c r="K24" s="132" t="e" cm="1">
        <f t="array" ref="K24">INDEX(Phys_Prop,MATCH(K23,Chem_List,0),$AD18)</f>
        <v>#N/A</v>
      </c>
      <c r="L24" s="132" t="e" cm="1">
        <f t="array" ref="L24">INDEX(Phys_Prop,MATCH(L23,Chem_List,0),$AD18)</f>
        <v>#N/A</v>
      </c>
      <c r="M24" s="132" t="e" cm="1">
        <f t="array" ref="M24">INDEX(Phys_Prop,MATCH(M23,Chem_List,0),$AD18)</f>
        <v>#N/A</v>
      </c>
      <c r="N24" s="132" t="e" cm="1">
        <f t="array" ref="N24">INDEX(Phys_Prop,MATCH(N23,Chem_List,0),$AD18)</f>
        <v>#N/A</v>
      </c>
      <c r="O24" s="132" t="e" cm="1">
        <f t="array" ref="O24">INDEX(Phys_Prop,MATCH(O23,Chem_List,0),$AD18)</f>
        <v>#N/A</v>
      </c>
      <c r="P24" s="132" t="e" cm="1">
        <f t="array" ref="P24">INDEX(Phys_Prop,MATCH(P23,Chem_List,0),$AD18)</f>
        <v>#N/A</v>
      </c>
      <c r="Q24" s="134" t="s">
        <v>1629</v>
      </c>
      <c r="W24" s="142">
        <f t="shared" si="2"/>
        <v>19</v>
      </c>
      <c r="X24" s="142"/>
      <c r="Y24" s="142"/>
      <c r="Z24" s="142"/>
    </row>
    <row r="25" spans="2:31" x14ac:dyDescent="0.4">
      <c r="B25" s="528"/>
      <c r="C25" s="531"/>
      <c r="D25" s="149" t="s">
        <v>1623</v>
      </c>
      <c r="E25" s="146" t="e">
        <f t="shared" ref="E25:P25" si="13">VLOOKUP(E23,RVP_XRef,2,FALSE)</f>
        <v>#N/A</v>
      </c>
      <c r="F25" s="146" t="e">
        <f t="shared" si="13"/>
        <v>#N/A</v>
      </c>
      <c r="G25" s="146" t="e">
        <f t="shared" si="13"/>
        <v>#N/A</v>
      </c>
      <c r="H25" s="146" t="e">
        <f t="shared" si="13"/>
        <v>#N/A</v>
      </c>
      <c r="I25" s="146" t="e">
        <f t="shared" si="13"/>
        <v>#N/A</v>
      </c>
      <c r="J25" s="146" t="e">
        <f t="shared" si="13"/>
        <v>#N/A</v>
      </c>
      <c r="K25" s="146" t="e">
        <f t="shared" si="13"/>
        <v>#N/A</v>
      </c>
      <c r="L25" s="146" t="e">
        <f t="shared" si="13"/>
        <v>#N/A</v>
      </c>
      <c r="M25" s="146" t="e">
        <f t="shared" si="13"/>
        <v>#N/A</v>
      </c>
      <c r="N25" s="146" t="e">
        <f t="shared" si="13"/>
        <v>#N/A</v>
      </c>
      <c r="O25" s="146" t="e">
        <f t="shared" si="13"/>
        <v>#N/A</v>
      </c>
      <c r="P25" s="146" t="e">
        <f t="shared" si="13"/>
        <v>#N/A</v>
      </c>
      <c r="Q25" s="133" t="s">
        <v>1629</v>
      </c>
      <c r="W25" s="142">
        <f t="shared" si="2"/>
        <v>20</v>
      </c>
      <c r="X25" s="142"/>
      <c r="Y25" s="142"/>
      <c r="Z25" s="142"/>
    </row>
    <row r="26" spans="2:31" x14ac:dyDescent="0.4">
      <c r="B26" s="528"/>
      <c r="C26" s="531"/>
      <c r="D26" s="150" t="s">
        <v>1624</v>
      </c>
      <c r="E26" s="145" t="str" cm="1">
        <f t="array" ref="E26">IFERROR(INDEX(Phys_Prop,MATCH(E23,Chem_List,0),$AE18),"N/A")</f>
        <v>N/A</v>
      </c>
      <c r="F26" s="145" t="str" cm="1">
        <f t="array" ref="F26">IFERROR(INDEX(Phys_Prop,MATCH(F23,Chem_List,0),$AE18),"N/A")</f>
        <v>N/A</v>
      </c>
      <c r="G26" s="145" t="str" cm="1">
        <f t="array" ref="G26">IFERROR(INDEX(Phys_Prop,MATCH(G23,Chem_List,0),$AE18),"N/A")</f>
        <v>N/A</v>
      </c>
      <c r="H26" s="145" t="str" cm="1">
        <f t="array" ref="H26">IFERROR(INDEX(Phys_Prop,MATCH(H23,Chem_List,0),$AE18),"N/A")</f>
        <v>N/A</v>
      </c>
      <c r="I26" s="145" t="str" cm="1">
        <f t="array" ref="I26">IFERROR(INDEX(Phys_Prop,MATCH(I23,Chem_List,0),$AE18),"N/A")</f>
        <v>N/A</v>
      </c>
      <c r="J26" s="145" t="str" cm="1">
        <f t="array" ref="J26">IFERROR(INDEX(Phys_Prop,MATCH(J23,Chem_List,0),$AE18),"N/A")</f>
        <v>N/A</v>
      </c>
      <c r="K26" s="145" t="str" cm="1">
        <f t="array" ref="K26">IFERROR(INDEX(Phys_Prop,MATCH(K23,Chem_List,0),$AE18),"N/A")</f>
        <v>N/A</v>
      </c>
      <c r="L26" s="145" t="str" cm="1">
        <f t="array" ref="L26">IFERROR(INDEX(Phys_Prop,MATCH(L23,Chem_List,0),$AE18),"N/A")</f>
        <v>N/A</v>
      </c>
      <c r="M26" s="145" t="str" cm="1">
        <f t="array" ref="M26">IFERROR(INDEX(Phys_Prop,MATCH(M23,Chem_List,0),$AE18),"N/A")</f>
        <v>N/A</v>
      </c>
      <c r="N26" s="145" t="str" cm="1">
        <f t="array" ref="N26">IFERROR(INDEX(Phys_Prop,MATCH(N23,Chem_List,0),$AE18),"N/A")</f>
        <v>N/A</v>
      </c>
      <c r="O26" s="145" t="str" cm="1">
        <f t="array" ref="O26">IFERROR(INDEX(Phys_Prop,MATCH(O23,Chem_List,0),$AE18),"N/A")</f>
        <v>N/A</v>
      </c>
      <c r="P26" s="145" t="str" cm="1">
        <f t="array" ref="P26">IFERROR(INDEX(Phys_Prop,MATCH(P23,Chem_List,0),$AE18),"N/A")</f>
        <v>N/A</v>
      </c>
      <c r="Q26" s="134" t="s">
        <v>1629</v>
      </c>
      <c r="W26" s="142">
        <f t="shared" si="2"/>
        <v>21</v>
      </c>
      <c r="X26" s="142"/>
      <c r="Y26" s="142"/>
      <c r="Z26" s="142"/>
    </row>
    <row r="27" spans="2:31" x14ac:dyDescent="0.4">
      <c r="B27" s="528"/>
      <c r="C27" s="531"/>
      <c r="D27" s="149" t="s">
        <v>1625</v>
      </c>
      <c r="E27" s="146">
        <f>IF(E23="Gasoline",0.25,0)</f>
        <v>0</v>
      </c>
      <c r="F27" s="146">
        <f t="shared" ref="F27:P27" si="14">IF(F23="Gasoline",0.25,0)</f>
        <v>0</v>
      </c>
      <c r="G27" s="146">
        <f t="shared" si="14"/>
        <v>0</v>
      </c>
      <c r="H27" s="146">
        <f t="shared" si="14"/>
        <v>0</v>
      </c>
      <c r="I27" s="146">
        <f t="shared" si="14"/>
        <v>0</v>
      </c>
      <c r="J27" s="146">
        <f t="shared" si="14"/>
        <v>0</v>
      </c>
      <c r="K27" s="146">
        <f t="shared" si="14"/>
        <v>0</v>
      </c>
      <c r="L27" s="146">
        <f t="shared" si="14"/>
        <v>0</v>
      </c>
      <c r="M27" s="146">
        <f t="shared" si="14"/>
        <v>0</v>
      </c>
      <c r="N27" s="146">
        <f t="shared" si="14"/>
        <v>0</v>
      </c>
      <c r="O27" s="146">
        <f t="shared" si="14"/>
        <v>0</v>
      </c>
      <c r="P27" s="146">
        <f t="shared" si="14"/>
        <v>0</v>
      </c>
      <c r="Q27" s="133" t="s">
        <v>1629</v>
      </c>
      <c r="W27" s="142">
        <f t="shared" si="2"/>
        <v>22</v>
      </c>
      <c r="X27" s="142"/>
      <c r="Y27" s="142"/>
      <c r="Z27" s="142"/>
    </row>
    <row r="28" spans="2:31" x14ac:dyDescent="0.4">
      <c r="B28" s="528"/>
      <c r="C28" s="531"/>
      <c r="D28" s="149" t="s">
        <v>1626</v>
      </c>
      <c r="E28" s="147" cm="1">
        <f t="array" ref="E28">INDEX(FLT_Setup,X28,Z28)</f>
        <v>151066</v>
      </c>
      <c r="F28" s="147">
        <f>E28</f>
        <v>151066</v>
      </c>
      <c r="G28" s="147">
        <f t="shared" ref="G28:P28" si="15">F28</f>
        <v>151066</v>
      </c>
      <c r="H28" s="147">
        <f t="shared" si="15"/>
        <v>151066</v>
      </c>
      <c r="I28" s="147">
        <f t="shared" si="15"/>
        <v>151066</v>
      </c>
      <c r="J28" s="147">
        <f t="shared" si="15"/>
        <v>151066</v>
      </c>
      <c r="K28" s="147">
        <f t="shared" si="15"/>
        <v>151066</v>
      </c>
      <c r="L28" s="147">
        <f t="shared" si="15"/>
        <v>151066</v>
      </c>
      <c r="M28" s="147">
        <f t="shared" si="15"/>
        <v>151066</v>
      </c>
      <c r="N28" s="147">
        <f t="shared" si="15"/>
        <v>151066</v>
      </c>
      <c r="O28" s="147">
        <f t="shared" si="15"/>
        <v>151066</v>
      </c>
      <c r="P28" s="147">
        <f t="shared" si="15"/>
        <v>151066</v>
      </c>
      <c r="Q28" s="135">
        <f>SUM(E28:P28)</f>
        <v>1812792</v>
      </c>
      <c r="W28" s="142">
        <f t="shared" si="2"/>
        <v>23</v>
      </c>
      <c r="X28">
        <f>X18</f>
        <v>2</v>
      </c>
      <c r="Y28" s="142"/>
      <c r="Z28">
        <f>Z16</f>
        <v>9</v>
      </c>
    </row>
    <row r="29" spans="2:31" ht="15" thickBot="1" x14ac:dyDescent="0.45">
      <c r="B29" s="529"/>
      <c r="C29" s="532"/>
      <c r="D29" s="151" t="s">
        <v>1627</v>
      </c>
      <c r="E29" s="148"/>
      <c r="F29" s="136"/>
      <c r="G29" s="136"/>
      <c r="H29" s="136"/>
      <c r="I29" s="136"/>
      <c r="J29" s="136"/>
      <c r="K29" s="136"/>
      <c r="L29" s="136"/>
      <c r="M29" s="136"/>
      <c r="N29" s="136"/>
      <c r="O29" s="136"/>
      <c r="P29" s="136"/>
      <c r="Q29" s="137" t="e">
        <f>AVERAGE(E29:P29)</f>
        <v>#DIV/0!</v>
      </c>
      <c r="W29" s="156">
        <f t="shared" si="2"/>
        <v>24</v>
      </c>
      <c r="X29" s="156"/>
      <c r="Y29" s="156"/>
      <c r="Z29" s="156"/>
      <c r="AA29" s="11"/>
      <c r="AB29" s="11"/>
      <c r="AC29" s="11"/>
      <c r="AD29" s="11"/>
      <c r="AE29" s="11"/>
    </row>
    <row r="30" spans="2:31" ht="16.3" x14ac:dyDescent="0.4">
      <c r="B30" s="528" t="str" cm="1">
        <f t="array" ref="B30">INDEX(FLT_Cons,$AA30,$AB30)</f>
        <v>FLT - 3</v>
      </c>
      <c r="C30" s="531" t="str" cm="1">
        <f t="array" ref="C30">INDEX(FLT_Cons,$AA30,$AC30)</f>
        <v>EXTANK 120</v>
      </c>
      <c r="D30" s="152" t="s">
        <v>1618</v>
      </c>
      <c r="E30" s="144" t="str" cm="1">
        <f t="array" ref="E30">INDEX(Surrogate_Lst,MATCH(INDEX(FLT_Setup,X30,Y30),Product_GRP,0),2)</f>
        <v>Jet kerosene</v>
      </c>
      <c r="F30" s="144" t="str">
        <f>E30</f>
        <v>Jet kerosene</v>
      </c>
      <c r="G30" s="144" t="str">
        <f t="shared" ref="G30:P30" si="16">F30</f>
        <v>Jet kerosene</v>
      </c>
      <c r="H30" s="144" t="str">
        <f t="shared" si="16"/>
        <v>Jet kerosene</v>
      </c>
      <c r="I30" s="144" t="str">
        <f t="shared" si="16"/>
        <v>Jet kerosene</v>
      </c>
      <c r="J30" s="144" t="str">
        <f t="shared" si="16"/>
        <v>Jet kerosene</v>
      </c>
      <c r="K30" s="144" t="str">
        <f t="shared" si="16"/>
        <v>Jet kerosene</v>
      </c>
      <c r="L30" s="144" t="str">
        <f t="shared" si="16"/>
        <v>Jet kerosene</v>
      </c>
      <c r="M30" s="144" t="str">
        <f t="shared" si="16"/>
        <v>Jet kerosene</v>
      </c>
      <c r="N30" s="144" t="str">
        <f t="shared" si="16"/>
        <v>Jet kerosene</v>
      </c>
      <c r="O30" s="144" t="str">
        <f t="shared" si="16"/>
        <v>Jet kerosene</v>
      </c>
      <c r="P30" s="144" t="str">
        <f t="shared" si="16"/>
        <v>Jet kerosene</v>
      </c>
      <c r="Q30" s="138" t="s">
        <v>1629</v>
      </c>
      <c r="W30" s="142">
        <f t="shared" ref="W30:W65" si="17">W29+1</f>
        <v>25</v>
      </c>
      <c r="X30">
        <f>X18+1</f>
        <v>3</v>
      </c>
      <c r="Y30" s="356">
        <v>3</v>
      </c>
      <c r="Z30" s="142"/>
      <c r="AA30">
        <f>AA18+1</f>
        <v>3</v>
      </c>
      <c r="AB30">
        <v>1</v>
      </c>
      <c r="AC30">
        <v>2</v>
      </c>
      <c r="AD30">
        <v>5</v>
      </c>
      <c r="AE30">
        <v>6</v>
      </c>
    </row>
    <row r="31" spans="2:31" x14ac:dyDescent="0.4">
      <c r="B31" s="528"/>
      <c r="C31" s="531"/>
      <c r="D31" s="150" t="s">
        <v>1615</v>
      </c>
      <c r="E31" s="145" t="str" cm="1">
        <f t="array" ref="E31">INDEX(Phys_Prop,MATCH(E30,Chem_List,0),$AD30)</f>
        <v>Select Pet Stock</v>
      </c>
      <c r="F31" s="145" t="str" cm="1">
        <f t="array" ref="F31">INDEX(Phys_Prop,MATCH(F30,Chem_List,0),$AD30)</f>
        <v>Select Pet Stock</v>
      </c>
      <c r="G31" s="145" t="str" cm="1">
        <f t="array" ref="G31">INDEX(Phys_Prop,MATCH(G30,Chem_List,0),$AD30)</f>
        <v>Select Pet Stock</v>
      </c>
      <c r="H31" s="145" t="str" cm="1">
        <f t="array" ref="H31">INDEX(Phys_Prop,MATCH(H30,Chem_List,0),$AD30)</f>
        <v>Select Pet Stock</v>
      </c>
      <c r="I31" s="132" t="str" cm="1">
        <f t="array" ref="I31">INDEX(Phys_Prop,MATCH(I30,Chem_List,0),$AD30)</f>
        <v>Select Pet Stock</v>
      </c>
      <c r="J31" s="132" t="str" cm="1">
        <f t="array" ref="J31">INDEX(Phys_Prop,MATCH(J30,Chem_List,0),$AD30)</f>
        <v>Select Pet Stock</v>
      </c>
      <c r="K31" s="132" t="str" cm="1">
        <f t="array" ref="K31">INDEX(Phys_Prop,MATCH(K30,Chem_List,0),$AD30)</f>
        <v>Select Pet Stock</v>
      </c>
      <c r="L31" s="132" t="str" cm="1">
        <f t="array" ref="L31">INDEX(Phys_Prop,MATCH(L30,Chem_List,0),$AD30)</f>
        <v>Select Pet Stock</v>
      </c>
      <c r="M31" s="132" t="str" cm="1">
        <f t="array" ref="M31">INDEX(Phys_Prop,MATCH(M30,Chem_List,0),$AD30)</f>
        <v>Select Pet Stock</v>
      </c>
      <c r="N31" s="132" t="str" cm="1">
        <f t="array" ref="N31">INDEX(Phys_Prop,MATCH(N30,Chem_List,0),$AD30)</f>
        <v>Select Pet Stock</v>
      </c>
      <c r="O31" s="132" t="str" cm="1">
        <f t="array" ref="O31">INDEX(Phys_Prop,MATCH(O30,Chem_List,0),$AD30)</f>
        <v>Select Pet Stock</v>
      </c>
      <c r="P31" s="132" t="str" cm="1">
        <f t="array" ref="P31">INDEX(Phys_Prop,MATCH(P30,Chem_List,0),$AD30)</f>
        <v>Select Pet Stock</v>
      </c>
      <c r="Q31" s="134" t="s">
        <v>1629</v>
      </c>
      <c r="W31" s="142">
        <f t="shared" si="17"/>
        <v>26</v>
      </c>
      <c r="X31" s="142"/>
      <c r="Y31" s="142"/>
      <c r="Z31" s="142"/>
    </row>
    <row r="32" spans="2:31" x14ac:dyDescent="0.4">
      <c r="B32" s="528"/>
      <c r="C32" s="531"/>
      <c r="D32" s="149" t="s">
        <v>1616</v>
      </c>
      <c r="E32" s="146" t="str">
        <f t="shared" ref="E32:P32" si="18">VLOOKUP(E30,RVP_XRef,2,FALSE)</f>
        <v>N/A</v>
      </c>
      <c r="F32" s="146" t="str">
        <f t="shared" si="18"/>
        <v>N/A</v>
      </c>
      <c r="G32" s="146" t="str">
        <f t="shared" si="18"/>
        <v>N/A</v>
      </c>
      <c r="H32" s="146" t="str">
        <f t="shared" si="18"/>
        <v>N/A</v>
      </c>
      <c r="I32" s="146" t="str">
        <f t="shared" si="18"/>
        <v>N/A</v>
      </c>
      <c r="J32" s="146" t="str">
        <f t="shared" si="18"/>
        <v>N/A</v>
      </c>
      <c r="K32" s="146" t="str">
        <f t="shared" si="18"/>
        <v>N/A</v>
      </c>
      <c r="L32" s="146" t="str">
        <f t="shared" si="18"/>
        <v>N/A</v>
      </c>
      <c r="M32" s="146" t="str">
        <f t="shared" si="18"/>
        <v>N/A</v>
      </c>
      <c r="N32" s="146" t="str">
        <f t="shared" si="18"/>
        <v>N/A</v>
      </c>
      <c r="O32" s="146" t="str">
        <f t="shared" si="18"/>
        <v>N/A</v>
      </c>
      <c r="P32" s="146" t="str">
        <f t="shared" si="18"/>
        <v>N/A</v>
      </c>
      <c r="Q32" s="133" t="s">
        <v>1629</v>
      </c>
      <c r="W32" s="142">
        <f t="shared" si="17"/>
        <v>27</v>
      </c>
      <c r="X32" s="142"/>
      <c r="Y32" s="142"/>
      <c r="Z32" s="142"/>
    </row>
    <row r="33" spans="2:31" x14ac:dyDescent="0.4">
      <c r="B33" s="528"/>
      <c r="C33" s="531"/>
      <c r="D33" s="150" t="s">
        <v>1617</v>
      </c>
      <c r="E33" s="145" cm="1">
        <f t="array" ref="E33">INDEX(Phys_Prop,MATCH(E30,Chem_List,0),$AE30)</f>
        <v>0</v>
      </c>
      <c r="F33" s="145" cm="1">
        <f t="array" ref="F33">INDEX(Phys_Prop,MATCH(F30,Chem_List,0),$AE30)</f>
        <v>0</v>
      </c>
      <c r="G33" s="145" cm="1">
        <f t="array" ref="G33">INDEX(Phys_Prop,MATCH(G30,Chem_List,0),$AE30)</f>
        <v>0</v>
      </c>
      <c r="H33" s="145" cm="1">
        <f t="array" ref="H33">INDEX(Phys_Prop,MATCH(H30,Chem_List,0),$AE30)</f>
        <v>0</v>
      </c>
      <c r="I33" s="132" cm="1">
        <f t="array" ref="I33">INDEX(Phys_Prop,MATCH(I30,Chem_List,0),$AE30)</f>
        <v>0</v>
      </c>
      <c r="J33" s="132" cm="1">
        <f t="array" ref="J33">INDEX(Phys_Prop,MATCH(J30,Chem_List,0),$AE30)</f>
        <v>0</v>
      </c>
      <c r="K33" s="132" cm="1">
        <f t="array" ref="K33">INDEX(Phys_Prop,MATCH(K30,Chem_List,0),$AE30)</f>
        <v>0</v>
      </c>
      <c r="L33" s="132" cm="1">
        <f t="array" ref="L33">INDEX(Phys_Prop,MATCH(L30,Chem_List,0),$AE30)</f>
        <v>0</v>
      </c>
      <c r="M33" s="132" cm="1">
        <f t="array" ref="M33">INDEX(Phys_Prop,MATCH(M30,Chem_List,0),$AE30)</f>
        <v>0</v>
      </c>
      <c r="N33" s="132" cm="1">
        <f t="array" ref="N33">INDEX(Phys_Prop,MATCH(N30,Chem_List,0),$AE30)</f>
        <v>0</v>
      </c>
      <c r="O33" s="132" cm="1">
        <f t="array" ref="O33">INDEX(Phys_Prop,MATCH(O30,Chem_List,0),$AE30)</f>
        <v>0</v>
      </c>
      <c r="P33" s="132" cm="1">
        <f t="array" ref="P33">INDEX(Phys_Prop,MATCH(P30,Chem_List,0),$AE30)</f>
        <v>0</v>
      </c>
      <c r="Q33" s="134" t="s">
        <v>1629</v>
      </c>
      <c r="W33" s="142">
        <f t="shared" si="17"/>
        <v>28</v>
      </c>
      <c r="X33" s="142"/>
      <c r="Y33" s="142"/>
      <c r="Z33" s="142"/>
    </row>
    <row r="34" spans="2:31" x14ac:dyDescent="0.4">
      <c r="B34" s="528"/>
      <c r="C34" s="531"/>
      <c r="D34" s="150" t="s">
        <v>1620</v>
      </c>
      <c r="E34" s="145">
        <f>1-E39</f>
        <v>1</v>
      </c>
      <c r="F34" s="145">
        <f>1-F39</f>
        <v>1</v>
      </c>
      <c r="G34" s="145">
        <f>1-G39</f>
        <v>1</v>
      </c>
      <c r="H34" s="145">
        <f>1-H39</f>
        <v>1</v>
      </c>
      <c r="I34" s="132">
        <f t="shared" ref="I34:P34" si="19">1-I39</f>
        <v>1</v>
      </c>
      <c r="J34" s="132">
        <f t="shared" si="19"/>
        <v>1</v>
      </c>
      <c r="K34" s="132">
        <f t="shared" si="19"/>
        <v>1</v>
      </c>
      <c r="L34" s="132">
        <f t="shared" si="19"/>
        <v>1</v>
      </c>
      <c r="M34" s="132">
        <f t="shared" si="19"/>
        <v>1</v>
      </c>
      <c r="N34" s="132">
        <f t="shared" si="19"/>
        <v>1</v>
      </c>
      <c r="O34" s="132">
        <f t="shared" si="19"/>
        <v>1</v>
      </c>
      <c r="P34" s="132">
        <f t="shared" si="19"/>
        <v>1</v>
      </c>
      <c r="Q34" s="134" t="s">
        <v>1629</v>
      </c>
      <c r="W34" s="142">
        <f t="shared" si="17"/>
        <v>29</v>
      </c>
      <c r="X34" s="142"/>
      <c r="Y34" s="142"/>
      <c r="Z34" s="142"/>
    </row>
    <row r="35" spans="2:31" ht="16.3" x14ac:dyDescent="0.4">
      <c r="B35" s="528"/>
      <c r="C35" s="531"/>
      <c r="D35" s="149" t="s">
        <v>1621</v>
      </c>
      <c r="E35" s="146" t="str">
        <f>IF(E30="Ethanol","Gasoline","")</f>
        <v/>
      </c>
      <c r="F35" s="146" t="str">
        <f>E35</f>
        <v/>
      </c>
      <c r="G35" s="146" t="str">
        <f t="shared" ref="G35:P35" si="20">F35</f>
        <v/>
      </c>
      <c r="H35" s="146" t="str">
        <f t="shared" si="20"/>
        <v/>
      </c>
      <c r="I35" s="146" t="str">
        <f t="shared" si="20"/>
        <v/>
      </c>
      <c r="J35" s="146" t="str">
        <f t="shared" si="20"/>
        <v/>
      </c>
      <c r="K35" s="146" t="str">
        <f t="shared" si="20"/>
        <v/>
      </c>
      <c r="L35" s="146" t="str">
        <f t="shared" si="20"/>
        <v/>
      </c>
      <c r="M35" s="146" t="str">
        <f t="shared" si="20"/>
        <v/>
      </c>
      <c r="N35" s="146" t="str">
        <f t="shared" si="20"/>
        <v/>
      </c>
      <c r="O35" s="146" t="str">
        <f t="shared" si="20"/>
        <v/>
      </c>
      <c r="P35" s="146" t="str">
        <f t="shared" si="20"/>
        <v/>
      </c>
      <c r="Q35" s="133" t="s">
        <v>1629</v>
      </c>
      <c r="W35" s="142">
        <f t="shared" si="17"/>
        <v>30</v>
      </c>
      <c r="X35" s="142"/>
      <c r="Y35" s="142"/>
      <c r="Z35" s="142"/>
    </row>
    <row r="36" spans="2:31" x14ac:dyDescent="0.4">
      <c r="B36" s="528"/>
      <c r="C36" s="531"/>
      <c r="D36" s="149" t="s">
        <v>1622</v>
      </c>
      <c r="E36" s="132" t="e" cm="1">
        <f t="array" ref="E36">INDEX(Phys_Prop,MATCH(E35,Chem_List,0),$AD30)</f>
        <v>#N/A</v>
      </c>
      <c r="F36" s="132" t="e" cm="1">
        <f t="array" ref="F36">INDEX(Phys_Prop,MATCH(F35,Chem_List,0),$AD30)</f>
        <v>#N/A</v>
      </c>
      <c r="G36" s="132" t="e" cm="1">
        <f t="array" ref="G36">INDEX(Phys_Prop,MATCH(G35,Chem_List,0),$AD30)</f>
        <v>#N/A</v>
      </c>
      <c r="H36" s="132" t="e" cm="1">
        <f t="array" ref="H36">INDEX(Phys_Prop,MATCH(H35,Chem_List,0),$AD30)</f>
        <v>#N/A</v>
      </c>
      <c r="I36" s="132" t="e" cm="1">
        <f t="array" ref="I36">INDEX(Phys_Prop,MATCH(I35,Chem_List,0),$AD30)</f>
        <v>#N/A</v>
      </c>
      <c r="J36" s="132" t="e" cm="1">
        <f t="array" ref="J36">INDEX(Phys_Prop,MATCH(J35,Chem_List,0),$AD30)</f>
        <v>#N/A</v>
      </c>
      <c r="K36" s="132" t="e" cm="1">
        <f t="array" ref="K36">INDEX(Phys_Prop,MATCH(K35,Chem_List,0),$AD30)</f>
        <v>#N/A</v>
      </c>
      <c r="L36" s="132" t="e" cm="1">
        <f t="array" ref="L36">INDEX(Phys_Prop,MATCH(L35,Chem_List,0),$AD30)</f>
        <v>#N/A</v>
      </c>
      <c r="M36" s="132" t="e" cm="1">
        <f t="array" ref="M36">INDEX(Phys_Prop,MATCH(M35,Chem_List,0),$AD30)</f>
        <v>#N/A</v>
      </c>
      <c r="N36" s="132" t="e" cm="1">
        <f t="array" ref="N36">INDEX(Phys_Prop,MATCH(N35,Chem_List,0),$AD30)</f>
        <v>#N/A</v>
      </c>
      <c r="O36" s="132" t="e" cm="1">
        <f t="array" ref="O36">INDEX(Phys_Prop,MATCH(O35,Chem_List,0),$AD30)</f>
        <v>#N/A</v>
      </c>
      <c r="P36" s="132" t="e" cm="1">
        <f t="array" ref="P36">INDEX(Phys_Prop,MATCH(P35,Chem_List,0),$AD30)</f>
        <v>#N/A</v>
      </c>
      <c r="Q36" s="134" t="s">
        <v>1629</v>
      </c>
      <c r="W36" s="142">
        <f t="shared" si="17"/>
        <v>31</v>
      </c>
      <c r="X36" s="142"/>
      <c r="Y36" s="142"/>
      <c r="Z36" s="142"/>
    </row>
    <row r="37" spans="2:31" x14ac:dyDescent="0.4">
      <c r="B37" s="528"/>
      <c r="C37" s="531"/>
      <c r="D37" s="149" t="s">
        <v>1623</v>
      </c>
      <c r="E37" s="146" t="e">
        <f t="shared" ref="E37:P37" si="21">VLOOKUP(E35,RVP_XRef,2,FALSE)</f>
        <v>#N/A</v>
      </c>
      <c r="F37" s="146" t="e">
        <f t="shared" si="21"/>
        <v>#N/A</v>
      </c>
      <c r="G37" s="146" t="e">
        <f t="shared" si="21"/>
        <v>#N/A</v>
      </c>
      <c r="H37" s="146" t="e">
        <f t="shared" si="21"/>
        <v>#N/A</v>
      </c>
      <c r="I37" s="146" t="e">
        <f t="shared" si="21"/>
        <v>#N/A</v>
      </c>
      <c r="J37" s="146" t="e">
        <f t="shared" si="21"/>
        <v>#N/A</v>
      </c>
      <c r="K37" s="146" t="e">
        <f t="shared" si="21"/>
        <v>#N/A</v>
      </c>
      <c r="L37" s="146" t="e">
        <f t="shared" si="21"/>
        <v>#N/A</v>
      </c>
      <c r="M37" s="146" t="e">
        <f t="shared" si="21"/>
        <v>#N/A</v>
      </c>
      <c r="N37" s="146" t="e">
        <f t="shared" si="21"/>
        <v>#N/A</v>
      </c>
      <c r="O37" s="146" t="e">
        <f t="shared" si="21"/>
        <v>#N/A</v>
      </c>
      <c r="P37" s="146" t="e">
        <f t="shared" si="21"/>
        <v>#N/A</v>
      </c>
      <c r="Q37" s="133" t="s">
        <v>1629</v>
      </c>
      <c r="W37" s="142">
        <f t="shared" si="17"/>
        <v>32</v>
      </c>
      <c r="X37" s="142"/>
      <c r="Y37" s="142"/>
      <c r="Z37" s="142"/>
    </row>
    <row r="38" spans="2:31" x14ac:dyDescent="0.4">
      <c r="B38" s="528"/>
      <c r="C38" s="531"/>
      <c r="D38" s="150" t="s">
        <v>1624</v>
      </c>
      <c r="E38" s="145" t="str" cm="1">
        <f t="array" ref="E38">IFERROR(INDEX(Phys_Prop,MATCH(E35,Chem_List,0),$AE30),"N/A")</f>
        <v>N/A</v>
      </c>
      <c r="F38" s="145" t="str" cm="1">
        <f t="array" ref="F38">IFERROR(INDEX(Phys_Prop,MATCH(F35,Chem_List,0),$AE30),"N/A")</f>
        <v>N/A</v>
      </c>
      <c r="G38" s="145" t="str" cm="1">
        <f t="array" ref="G38">IFERROR(INDEX(Phys_Prop,MATCH(G35,Chem_List,0),$AE30),"N/A")</f>
        <v>N/A</v>
      </c>
      <c r="H38" s="145" t="str" cm="1">
        <f t="array" ref="H38">IFERROR(INDEX(Phys_Prop,MATCH(H35,Chem_List,0),$AE30),"N/A")</f>
        <v>N/A</v>
      </c>
      <c r="I38" s="145" t="str" cm="1">
        <f t="array" ref="I38">IFERROR(INDEX(Phys_Prop,MATCH(I35,Chem_List,0),$AE30),"N/A")</f>
        <v>N/A</v>
      </c>
      <c r="J38" s="145" t="str" cm="1">
        <f t="array" ref="J38">IFERROR(INDEX(Phys_Prop,MATCH(J35,Chem_List,0),$AE30),"N/A")</f>
        <v>N/A</v>
      </c>
      <c r="K38" s="145" t="str" cm="1">
        <f t="array" ref="K38">IFERROR(INDEX(Phys_Prop,MATCH(K35,Chem_List,0),$AE30),"N/A")</f>
        <v>N/A</v>
      </c>
      <c r="L38" s="145" t="str" cm="1">
        <f t="array" ref="L38">IFERROR(INDEX(Phys_Prop,MATCH(L35,Chem_List,0),$AE30),"N/A")</f>
        <v>N/A</v>
      </c>
      <c r="M38" s="145" t="str" cm="1">
        <f t="array" ref="M38">IFERROR(INDEX(Phys_Prop,MATCH(M35,Chem_List,0),$AE30),"N/A")</f>
        <v>N/A</v>
      </c>
      <c r="N38" s="145" t="str" cm="1">
        <f t="array" ref="N38">IFERROR(INDEX(Phys_Prop,MATCH(N35,Chem_List,0),$AE30),"N/A")</f>
        <v>N/A</v>
      </c>
      <c r="O38" s="145" t="str" cm="1">
        <f t="array" ref="O38">IFERROR(INDEX(Phys_Prop,MATCH(O35,Chem_List,0),$AE30),"N/A")</f>
        <v>N/A</v>
      </c>
      <c r="P38" s="145" t="str" cm="1">
        <f t="array" ref="P38">IFERROR(INDEX(Phys_Prop,MATCH(P35,Chem_List,0),$AE30),"N/A")</f>
        <v>N/A</v>
      </c>
      <c r="Q38" s="134" t="s">
        <v>1629</v>
      </c>
      <c r="W38" s="142">
        <f t="shared" si="17"/>
        <v>33</v>
      </c>
      <c r="X38" s="142"/>
      <c r="Y38" s="142"/>
      <c r="Z38" s="142"/>
    </row>
    <row r="39" spans="2:31" x14ac:dyDescent="0.4">
      <c r="B39" s="528"/>
      <c r="C39" s="531"/>
      <c r="D39" s="149" t="s">
        <v>1625</v>
      </c>
      <c r="E39" s="146">
        <f>IF(E35="Gasoline",0.25,0)</f>
        <v>0</v>
      </c>
      <c r="F39" s="146">
        <f t="shared" ref="F39:P39" si="22">IF(F35="Gasoline",0.25,0)</f>
        <v>0</v>
      </c>
      <c r="G39" s="146">
        <f t="shared" si="22"/>
        <v>0</v>
      </c>
      <c r="H39" s="146">
        <f t="shared" si="22"/>
        <v>0</v>
      </c>
      <c r="I39" s="146">
        <f t="shared" si="22"/>
        <v>0</v>
      </c>
      <c r="J39" s="146">
        <f t="shared" si="22"/>
        <v>0</v>
      </c>
      <c r="K39" s="146">
        <f t="shared" si="22"/>
        <v>0</v>
      </c>
      <c r="L39" s="146">
        <f t="shared" si="22"/>
        <v>0</v>
      </c>
      <c r="M39" s="146">
        <f t="shared" si="22"/>
        <v>0</v>
      </c>
      <c r="N39" s="146">
        <f t="shared" si="22"/>
        <v>0</v>
      </c>
      <c r="O39" s="146">
        <f t="shared" si="22"/>
        <v>0</v>
      </c>
      <c r="P39" s="146">
        <f t="shared" si="22"/>
        <v>0</v>
      </c>
      <c r="Q39" s="133" t="s">
        <v>1629</v>
      </c>
      <c r="W39" s="142">
        <f t="shared" si="17"/>
        <v>34</v>
      </c>
      <c r="X39" s="142"/>
      <c r="Y39" s="142"/>
      <c r="Z39" s="142"/>
    </row>
    <row r="40" spans="2:31" x14ac:dyDescent="0.4">
      <c r="B40" s="528"/>
      <c r="C40" s="531"/>
      <c r="D40" s="149" t="s">
        <v>1626</v>
      </c>
      <c r="E40" s="147" cm="1">
        <f t="array" ref="E40">INDEX(FLT_Setup,X40,Z40)</f>
        <v>4583</v>
      </c>
      <c r="F40" s="147">
        <f>E40</f>
        <v>4583</v>
      </c>
      <c r="G40" s="147">
        <f t="shared" ref="G40:P40" si="23">F40</f>
        <v>4583</v>
      </c>
      <c r="H40" s="147">
        <f t="shared" si="23"/>
        <v>4583</v>
      </c>
      <c r="I40" s="147">
        <f t="shared" si="23"/>
        <v>4583</v>
      </c>
      <c r="J40" s="147">
        <f t="shared" si="23"/>
        <v>4583</v>
      </c>
      <c r="K40" s="147">
        <f t="shared" si="23"/>
        <v>4583</v>
      </c>
      <c r="L40" s="147">
        <f t="shared" si="23"/>
        <v>4583</v>
      </c>
      <c r="M40" s="147">
        <f t="shared" si="23"/>
        <v>4583</v>
      </c>
      <c r="N40" s="147">
        <f t="shared" si="23"/>
        <v>4583</v>
      </c>
      <c r="O40" s="147">
        <f t="shared" si="23"/>
        <v>4583</v>
      </c>
      <c r="P40" s="147">
        <f t="shared" si="23"/>
        <v>4583</v>
      </c>
      <c r="Q40" s="135">
        <f>SUM(E40:P40)</f>
        <v>54996</v>
      </c>
      <c r="W40" s="142">
        <f t="shared" si="17"/>
        <v>35</v>
      </c>
      <c r="X40">
        <f>X30</f>
        <v>3</v>
      </c>
      <c r="Y40" s="142"/>
      <c r="Z40">
        <f>Z28</f>
        <v>9</v>
      </c>
    </row>
    <row r="41" spans="2:31" ht="15" thickBot="1" x14ac:dyDescent="0.45">
      <c r="B41" s="529"/>
      <c r="C41" s="532"/>
      <c r="D41" s="151" t="s">
        <v>1627</v>
      </c>
      <c r="E41" s="148"/>
      <c r="F41" s="136"/>
      <c r="G41" s="136"/>
      <c r="H41" s="136"/>
      <c r="I41" s="136"/>
      <c r="J41" s="136"/>
      <c r="K41" s="136"/>
      <c r="L41" s="136"/>
      <c r="M41" s="136"/>
      <c r="N41" s="136"/>
      <c r="O41" s="136"/>
      <c r="P41" s="136"/>
      <c r="Q41" s="137" t="e">
        <f>AVERAGE(E41:P41)</f>
        <v>#DIV/0!</v>
      </c>
      <c r="W41" s="156">
        <f t="shared" si="17"/>
        <v>36</v>
      </c>
      <c r="X41" s="156"/>
      <c r="Y41" s="156"/>
      <c r="Z41" s="156"/>
      <c r="AA41" s="11"/>
      <c r="AB41" s="11"/>
      <c r="AC41" s="11"/>
      <c r="AD41" s="11"/>
      <c r="AE41" s="11"/>
    </row>
    <row r="42" spans="2:31" ht="16.3" x14ac:dyDescent="0.4">
      <c r="B42" s="528" t="str" cm="1">
        <f t="array" ref="B42">INDEX(FLT_Cons,$AA42,$AB42)</f>
        <v>FLT - 4</v>
      </c>
      <c r="C42" s="531" t="str" cm="1">
        <f t="array" ref="C42">INDEX(FLT_Cons,$AA42,$AC42)</f>
        <v>INTANK 63</v>
      </c>
      <c r="D42" s="152" t="s">
        <v>1618</v>
      </c>
      <c r="E42" s="144" t="str" cm="1">
        <f t="array" ref="E42">INDEX(Surrogate_Lst,MATCH(INDEX(FLT_Setup,X42,Y42),Product_GRP,0),2)</f>
        <v>Bakken Crude</v>
      </c>
      <c r="F42" s="144" t="str">
        <f>E42</f>
        <v>Bakken Crude</v>
      </c>
      <c r="G42" s="144" t="str">
        <f t="shared" ref="G42:P42" si="24">F42</f>
        <v>Bakken Crude</v>
      </c>
      <c r="H42" s="144" t="str">
        <f t="shared" si="24"/>
        <v>Bakken Crude</v>
      </c>
      <c r="I42" s="144" t="str">
        <f t="shared" si="24"/>
        <v>Bakken Crude</v>
      </c>
      <c r="J42" s="144" t="str">
        <f t="shared" si="24"/>
        <v>Bakken Crude</v>
      </c>
      <c r="K42" s="144" t="str">
        <f t="shared" si="24"/>
        <v>Bakken Crude</v>
      </c>
      <c r="L42" s="144" t="str">
        <f t="shared" si="24"/>
        <v>Bakken Crude</v>
      </c>
      <c r="M42" s="144" t="str">
        <f t="shared" si="24"/>
        <v>Bakken Crude</v>
      </c>
      <c r="N42" s="144" t="str">
        <f t="shared" si="24"/>
        <v>Bakken Crude</v>
      </c>
      <c r="O42" s="144" t="str">
        <f t="shared" si="24"/>
        <v>Bakken Crude</v>
      </c>
      <c r="P42" s="144" t="str">
        <f t="shared" si="24"/>
        <v>Bakken Crude</v>
      </c>
      <c r="Q42" s="138" t="s">
        <v>1629</v>
      </c>
      <c r="W42" s="142">
        <f t="shared" si="17"/>
        <v>37</v>
      </c>
      <c r="X42">
        <f>X30+1</f>
        <v>4</v>
      </c>
      <c r="Y42" s="356">
        <v>3</v>
      </c>
      <c r="Z42" s="142"/>
      <c r="AA42">
        <f>AA30+1</f>
        <v>4</v>
      </c>
      <c r="AB42">
        <v>1</v>
      </c>
      <c r="AC42">
        <v>2</v>
      </c>
      <c r="AD42">
        <v>5</v>
      </c>
      <c r="AE42">
        <v>6</v>
      </c>
    </row>
    <row r="43" spans="2:31" x14ac:dyDescent="0.4">
      <c r="B43" s="528"/>
      <c r="C43" s="531"/>
      <c r="D43" s="150" t="s">
        <v>1615</v>
      </c>
      <c r="E43" s="145" t="str" cm="1">
        <f t="array" ref="E43">INDEX(Phys_Prop,MATCH(E42,Chem_List,0),$AD42)</f>
        <v>Crude Oil</v>
      </c>
      <c r="F43" s="145" t="str" cm="1">
        <f t="array" ref="F43">INDEX(Phys_Prop,MATCH(F42,Chem_List,0),$AD42)</f>
        <v>Crude Oil</v>
      </c>
      <c r="G43" s="145" t="str" cm="1">
        <f t="array" ref="G43">INDEX(Phys_Prop,MATCH(G42,Chem_List,0),$AD42)</f>
        <v>Crude Oil</v>
      </c>
      <c r="H43" s="145" t="str" cm="1">
        <f t="array" ref="H43">INDEX(Phys_Prop,MATCH(H42,Chem_List,0),$AD42)</f>
        <v>Crude Oil</v>
      </c>
      <c r="I43" s="132" t="str" cm="1">
        <f t="array" ref="I43">INDEX(Phys_Prop,MATCH(I42,Chem_List,0),$AD42)</f>
        <v>Crude Oil</v>
      </c>
      <c r="J43" s="132" t="str" cm="1">
        <f t="array" ref="J43">INDEX(Phys_Prop,MATCH(J42,Chem_List,0),$AD42)</f>
        <v>Crude Oil</v>
      </c>
      <c r="K43" s="132" t="str" cm="1">
        <f t="array" ref="K43">INDEX(Phys_Prop,MATCH(K42,Chem_List,0),$AD42)</f>
        <v>Crude Oil</v>
      </c>
      <c r="L43" s="132" t="str" cm="1">
        <f t="array" ref="L43">INDEX(Phys_Prop,MATCH(L42,Chem_List,0),$AD42)</f>
        <v>Crude Oil</v>
      </c>
      <c r="M43" s="132" t="str" cm="1">
        <f t="array" ref="M43">INDEX(Phys_Prop,MATCH(M42,Chem_List,0),$AD42)</f>
        <v>Crude Oil</v>
      </c>
      <c r="N43" s="132" t="str" cm="1">
        <f t="array" ref="N43">INDEX(Phys_Prop,MATCH(N42,Chem_List,0),$AD42)</f>
        <v>Crude Oil</v>
      </c>
      <c r="O43" s="132" t="str" cm="1">
        <f t="array" ref="O43">INDEX(Phys_Prop,MATCH(O42,Chem_List,0),$AD42)</f>
        <v>Crude Oil</v>
      </c>
      <c r="P43" s="132" t="str" cm="1">
        <f t="array" ref="P43">INDEX(Phys_Prop,MATCH(P42,Chem_List,0),$AD42)</f>
        <v>Crude Oil</v>
      </c>
      <c r="Q43" s="134" t="s">
        <v>1629</v>
      </c>
      <c r="W43" s="142">
        <f t="shared" si="17"/>
        <v>38</v>
      </c>
      <c r="X43" s="142"/>
      <c r="Y43" s="142"/>
      <c r="Z43" s="142"/>
    </row>
    <row r="44" spans="2:31" x14ac:dyDescent="0.4">
      <c r="B44" s="528"/>
      <c r="C44" s="531"/>
      <c r="D44" s="149" t="s">
        <v>1616</v>
      </c>
      <c r="E44" s="146">
        <f t="shared" ref="E44:P44" si="25">VLOOKUP(E42,RVP_XRef,2,FALSE)</f>
        <v>10.199999999999999</v>
      </c>
      <c r="F44" s="146">
        <f t="shared" si="25"/>
        <v>10.199999999999999</v>
      </c>
      <c r="G44" s="146">
        <f t="shared" si="25"/>
        <v>10.199999999999999</v>
      </c>
      <c r="H44" s="146">
        <f t="shared" si="25"/>
        <v>10.199999999999999</v>
      </c>
      <c r="I44" s="146">
        <f t="shared" si="25"/>
        <v>10.199999999999999</v>
      </c>
      <c r="J44" s="146">
        <f t="shared" si="25"/>
        <v>10.199999999999999</v>
      </c>
      <c r="K44" s="146">
        <f t="shared" si="25"/>
        <v>10.199999999999999</v>
      </c>
      <c r="L44" s="146">
        <f t="shared" si="25"/>
        <v>10.199999999999999</v>
      </c>
      <c r="M44" s="146">
        <f t="shared" si="25"/>
        <v>10.199999999999999</v>
      </c>
      <c r="N44" s="146">
        <f t="shared" si="25"/>
        <v>10.199999999999999</v>
      </c>
      <c r="O44" s="146">
        <f t="shared" si="25"/>
        <v>10.199999999999999</v>
      </c>
      <c r="P44" s="146">
        <f t="shared" si="25"/>
        <v>10.199999999999999</v>
      </c>
      <c r="Q44" s="133" t="s">
        <v>1629</v>
      </c>
      <c r="W44" s="142">
        <f t="shared" si="17"/>
        <v>39</v>
      </c>
      <c r="X44" s="142"/>
      <c r="Y44" s="142"/>
      <c r="Z44" s="142"/>
    </row>
    <row r="45" spans="2:31" x14ac:dyDescent="0.4">
      <c r="B45" s="528"/>
      <c r="C45" s="531"/>
      <c r="D45" s="150" t="s">
        <v>1617</v>
      </c>
      <c r="E45" s="145" cm="1">
        <f t="array" ref="E45">INDEX(Phys_Prop,MATCH(E42,Chem_List,0),$AE42)</f>
        <v>0</v>
      </c>
      <c r="F45" s="145" cm="1">
        <f t="array" ref="F45">INDEX(Phys_Prop,MATCH(F42,Chem_List,0),$AE42)</f>
        <v>0</v>
      </c>
      <c r="G45" s="145" cm="1">
        <f t="array" ref="G45">INDEX(Phys_Prop,MATCH(G42,Chem_List,0),$AE42)</f>
        <v>0</v>
      </c>
      <c r="H45" s="145" cm="1">
        <f t="array" ref="H45">INDEX(Phys_Prop,MATCH(H42,Chem_List,0),$AE42)</f>
        <v>0</v>
      </c>
      <c r="I45" s="132" cm="1">
        <f t="array" ref="I45">INDEX(Phys_Prop,MATCH(I42,Chem_List,0),$AE42)</f>
        <v>0</v>
      </c>
      <c r="J45" s="132" cm="1">
        <f t="array" ref="J45">INDEX(Phys_Prop,MATCH(J42,Chem_List,0),$AE42)</f>
        <v>0</v>
      </c>
      <c r="K45" s="132" cm="1">
        <f t="array" ref="K45">INDEX(Phys_Prop,MATCH(K42,Chem_List,0),$AE42)</f>
        <v>0</v>
      </c>
      <c r="L45" s="132" cm="1">
        <f t="array" ref="L45">INDEX(Phys_Prop,MATCH(L42,Chem_List,0),$AE42)</f>
        <v>0</v>
      </c>
      <c r="M45" s="132" cm="1">
        <f t="array" ref="M45">INDEX(Phys_Prop,MATCH(M42,Chem_List,0),$AE42)</f>
        <v>0</v>
      </c>
      <c r="N45" s="132" cm="1">
        <f t="array" ref="N45">INDEX(Phys_Prop,MATCH(N42,Chem_List,0),$AE42)</f>
        <v>0</v>
      </c>
      <c r="O45" s="132" cm="1">
        <f t="array" ref="O45">INDEX(Phys_Prop,MATCH(O42,Chem_List,0),$AE42)</f>
        <v>0</v>
      </c>
      <c r="P45" s="132" cm="1">
        <f t="array" ref="P45">INDEX(Phys_Prop,MATCH(P42,Chem_List,0),$AE42)</f>
        <v>0</v>
      </c>
      <c r="Q45" s="134" t="s">
        <v>1629</v>
      </c>
      <c r="W45" s="142">
        <f t="shared" si="17"/>
        <v>40</v>
      </c>
      <c r="X45" s="142"/>
      <c r="Y45" s="142"/>
      <c r="Z45" s="142"/>
    </row>
    <row r="46" spans="2:31" x14ac:dyDescent="0.4">
      <c r="B46" s="528"/>
      <c r="C46" s="531"/>
      <c r="D46" s="150" t="s">
        <v>1620</v>
      </c>
      <c r="E46" s="145">
        <f>1-E51</f>
        <v>1</v>
      </c>
      <c r="F46" s="145">
        <f>1-F51</f>
        <v>1</v>
      </c>
      <c r="G46" s="145">
        <f>1-G51</f>
        <v>1</v>
      </c>
      <c r="H46" s="145">
        <f>1-H51</f>
        <v>1</v>
      </c>
      <c r="I46" s="132">
        <f t="shared" ref="I46:P46" si="26">1-I51</f>
        <v>1</v>
      </c>
      <c r="J46" s="132">
        <f t="shared" si="26"/>
        <v>1</v>
      </c>
      <c r="K46" s="132">
        <f t="shared" si="26"/>
        <v>1</v>
      </c>
      <c r="L46" s="132">
        <f t="shared" si="26"/>
        <v>1</v>
      </c>
      <c r="M46" s="132">
        <f t="shared" si="26"/>
        <v>1</v>
      </c>
      <c r="N46" s="132">
        <f t="shared" si="26"/>
        <v>1</v>
      </c>
      <c r="O46" s="132">
        <f t="shared" si="26"/>
        <v>1</v>
      </c>
      <c r="P46" s="132">
        <f t="shared" si="26"/>
        <v>1</v>
      </c>
      <c r="Q46" s="134" t="s">
        <v>1629</v>
      </c>
      <c r="W46" s="142">
        <f t="shared" si="17"/>
        <v>41</v>
      </c>
      <c r="X46" s="142"/>
      <c r="Y46" s="142"/>
      <c r="Z46" s="142"/>
    </row>
    <row r="47" spans="2:31" ht="16.3" x14ac:dyDescent="0.4">
      <c r="B47" s="528"/>
      <c r="C47" s="531"/>
      <c r="D47" s="149" t="s">
        <v>1621</v>
      </c>
      <c r="E47" s="146" t="str">
        <f>IF(E42="Ethanol","Gasoline","")</f>
        <v/>
      </c>
      <c r="F47" s="146" t="str">
        <f>E47</f>
        <v/>
      </c>
      <c r="G47" s="146" t="str">
        <f t="shared" ref="G47:P47" si="27">F47</f>
        <v/>
      </c>
      <c r="H47" s="146" t="str">
        <f t="shared" si="27"/>
        <v/>
      </c>
      <c r="I47" s="146" t="str">
        <f t="shared" si="27"/>
        <v/>
      </c>
      <c r="J47" s="146" t="str">
        <f t="shared" si="27"/>
        <v/>
      </c>
      <c r="K47" s="146" t="str">
        <f t="shared" si="27"/>
        <v/>
      </c>
      <c r="L47" s="146" t="str">
        <f t="shared" si="27"/>
        <v/>
      </c>
      <c r="M47" s="146" t="str">
        <f t="shared" si="27"/>
        <v/>
      </c>
      <c r="N47" s="146" t="str">
        <f t="shared" si="27"/>
        <v/>
      </c>
      <c r="O47" s="146" t="str">
        <f t="shared" si="27"/>
        <v/>
      </c>
      <c r="P47" s="146" t="str">
        <f t="shared" si="27"/>
        <v/>
      </c>
      <c r="Q47" s="133" t="s">
        <v>1629</v>
      </c>
      <c r="W47" s="142">
        <f t="shared" si="17"/>
        <v>42</v>
      </c>
      <c r="X47" s="142"/>
      <c r="Y47" s="142"/>
      <c r="Z47" s="142"/>
    </row>
    <row r="48" spans="2:31" x14ac:dyDescent="0.4">
      <c r="B48" s="528"/>
      <c r="C48" s="531"/>
      <c r="D48" s="149" t="s">
        <v>1622</v>
      </c>
      <c r="E48" s="132" t="e" cm="1">
        <f t="array" ref="E48">INDEX(Phys_Prop,MATCH(E47,Chem_List,0),$AD42)</f>
        <v>#N/A</v>
      </c>
      <c r="F48" s="132" t="e" cm="1">
        <f t="array" ref="F48">INDEX(Phys_Prop,MATCH(F47,Chem_List,0),$AD42)</f>
        <v>#N/A</v>
      </c>
      <c r="G48" s="132" t="e" cm="1">
        <f t="array" ref="G48">INDEX(Phys_Prop,MATCH(G47,Chem_List,0),$AD42)</f>
        <v>#N/A</v>
      </c>
      <c r="H48" s="132" t="e" cm="1">
        <f t="array" ref="H48">INDEX(Phys_Prop,MATCH(H47,Chem_List,0),$AD42)</f>
        <v>#N/A</v>
      </c>
      <c r="I48" s="132" t="e" cm="1">
        <f t="array" ref="I48">INDEX(Phys_Prop,MATCH(I47,Chem_List,0),$AD42)</f>
        <v>#N/A</v>
      </c>
      <c r="J48" s="132" t="e" cm="1">
        <f t="array" ref="J48">INDEX(Phys_Prop,MATCH(J47,Chem_List,0),$AD42)</f>
        <v>#N/A</v>
      </c>
      <c r="K48" s="132" t="e" cm="1">
        <f t="array" ref="K48">INDEX(Phys_Prop,MATCH(K47,Chem_List,0),$AD42)</f>
        <v>#N/A</v>
      </c>
      <c r="L48" s="132" t="e" cm="1">
        <f t="array" ref="L48">INDEX(Phys_Prop,MATCH(L47,Chem_List,0),$AD42)</f>
        <v>#N/A</v>
      </c>
      <c r="M48" s="132" t="e" cm="1">
        <f t="array" ref="M48">INDEX(Phys_Prop,MATCH(M47,Chem_List,0),$AD42)</f>
        <v>#N/A</v>
      </c>
      <c r="N48" s="132" t="e" cm="1">
        <f t="array" ref="N48">INDEX(Phys_Prop,MATCH(N47,Chem_List,0),$AD42)</f>
        <v>#N/A</v>
      </c>
      <c r="O48" s="132" t="e" cm="1">
        <f t="array" ref="O48">INDEX(Phys_Prop,MATCH(O47,Chem_List,0),$AD42)</f>
        <v>#N/A</v>
      </c>
      <c r="P48" s="132" t="e" cm="1">
        <f t="array" ref="P48">INDEX(Phys_Prop,MATCH(P47,Chem_List,0),$AD42)</f>
        <v>#N/A</v>
      </c>
      <c r="Q48" s="134" t="s">
        <v>1629</v>
      </c>
      <c r="W48" s="142">
        <f t="shared" si="17"/>
        <v>43</v>
      </c>
      <c r="X48" s="142"/>
      <c r="Y48" s="142"/>
      <c r="Z48" s="142"/>
    </row>
    <row r="49" spans="2:31" x14ac:dyDescent="0.4">
      <c r="B49" s="528"/>
      <c r="C49" s="531"/>
      <c r="D49" s="149" t="s">
        <v>1623</v>
      </c>
      <c r="E49" s="146" t="e">
        <f t="shared" ref="E49:P49" si="28">VLOOKUP(E47,RVP_XRef,2,FALSE)</f>
        <v>#N/A</v>
      </c>
      <c r="F49" s="146" t="e">
        <f t="shared" si="28"/>
        <v>#N/A</v>
      </c>
      <c r="G49" s="146" t="e">
        <f t="shared" si="28"/>
        <v>#N/A</v>
      </c>
      <c r="H49" s="146" t="e">
        <f t="shared" si="28"/>
        <v>#N/A</v>
      </c>
      <c r="I49" s="146" t="e">
        <f t="shared" si="28"/>
        <v>#N/A</v>
      </c>
      <c r="J49" s="146" t="e">
        <f t="shared" si="28"/>
        <v>#N/A</v>
      </c>
      <c r="K49" s="146" t="e">
        <f t="shared" si="28"/>
        <v>#N/A</v>
      </c>
      <c r="L49" s="146" t="e">
        <f t="shared" si="28"/>
        <v>#N/A</v>
      </c>
      <c r="M49" s="146" t="e">
        <f t="shared" si="28"/>
        <v>#N/A</v>
      </c>
      <c r="N49" s="146" t="e">
        <f t="shared" si="28"/>
        <v>#N/A</v>
      </c>
      <c r="O49" s="146" t="e">
        <f t="shared" si="28"/>
        <v>#N/A</v>
      </c>
      <c r="P49" s="146" t="e">
        <f t="shared" si="28"/>
        <v>#N/A</v>
      </c>
      <c r="Q49" s="133" t="s">
        <v>1629</v>
      </c>
      <c r="W49" s="142">
        <f t="shared" si="17"/>
        <v>44</v>
      </c>
      <c r="X49" s="142"/>
      <c r="Y49" s="142"/>
      <c r="Z49" s="142"/>
    </row>
    <row r="50" spans="2:31" x14ac:dyDescent="0.4">
      <c r="B50" s="528"/>
      <c r="C50" s="531"/>
      <c r="D50" s="150" t="s">
        <v>1624</v>
      </c>
      <c r="E50" s="145" t="str" cm="1">
        <f t="array" ref="E50">IFERROR(INDEX(Phys_Prop,MATCH(E47,Chem_List,0),$AE42),"N/A")</f>
        <v>N/A</v>
      </c>
      <c r="F50" s="145" t="str" cm="1">
        <f t="array" ref="F50">IFERROR(INDEX(Phys_Prop,MATCH(F47,Chem_List,0),$AE42),"N/A")</f>
        <v>N/A</v>
      </c>
      <c r="G50" s="145" t="str" cm="1">
        <f t="array" ref="G50">IFERROR(INDEX(Phys_Prop,MATCH(G47,Chem_List,0),$AE42),"N/A")</f>
        <v>N/A</v>
      </c>
      <c r="H50" s="145" t="str" cm="1">
        <f t="array" ref="H50">IFERROR(INDEX(Phys_Prop,MATCH(H47,Chem_List,0),$AE42),"N/A")</f>
        <v>N/A</v>
      </c>
      <c r="I50" s="145" t="str" cm="1">
        <f t="array" ref="I50">IFERROR(INDEX(Phys_Prop,MATCH(I47,Chem_List,0),$AE42),"N/A")</f>
        <v>N/A</v>
      </c>
      <c r="J50" s="145" t="str" cm="1">
        <f t="array" ref="J50">IFERROR(INDEX(Phys_Prop,MATCH(J47,Chem_List,0),$AE42),"N/A")</f>
        <v>N/A</v>
      </c>
      <c r="K50" s="145" t="str" cm="1">
        <f t="array" ref="K50">IFERROR(INDEX(Phys_Prop,MATCH(K47,Chem_List,0),$AE42),"N/A")</f>
        <v>N/A</v>
      </c>
      <c r="L50" s="145" t="str" cm="1">
        <f t="array" ref="L50">IFERROR(INDEX(Phys_Prop,MATCH(L47,Chem_List,0),$AE42),"N/A")</f>
        <v>N/A</v>
      </c>
      <c r="M50" s="145" t="str" cm="1">
        <f t="array" ref="M50">IFERROR(INDEX(Phys_Prop,MATCH(M47,Chem_List,0),$AE42),"N/A")</f>
        <v>N/A</v>
      </c>
      <c r="N50" s="145" t="str" cm="1">
        <f t="array" ref="N50">IFERROR(INDEX(Phys_Prop,MATCH(N47,Chem_List,0),$AE42),"N/A")</f>
        <v>N/A</v>
      </c>
      <c r="O50" s="145" t="str" cm="1">
        <f t="array" ref="O50">IFERROR(INDEX(Phys_Prop,MATCH(O47,Chem_List,0),$AE42),"N/A")</f>
        <v>N/A</v>
      </c>
      <c r="P50" s="145" t="str" cm="1">
        <f t="array" ref="P50">IFERROR(INDEX(Phys_Prop,MATCH(P47,Chem_List,0),$AE42),"N/A")</f>
        <v>N/A</v>
      </c>
      <c r="Q50" s="134" t="s">
        <v>1629</v>
      </c>
      <c r="W50" s="142">
        <f t="shared" si="17"/>
        <v>45</v>
      </c>
      <c r="X50" s="142"/>
      <c r="Y50" s="142"/>
      <c r="Z50" s="142"/>
    </row>
    <row r="51" spans="2:31" x14ac:dyDescent="0.4">
      <c r="B51" s="528"/>
      <c r="C51" s="531"/>
      <c r="D51" s="149" t="s">
        <v>1625</v>
      </c>
      <c r="E51" s="146">
        <f>IF(E47="Gasoline",0.25,0)</f>
        <v>0</v>
      </c>
      <c r="F51" s="146">
        <f t="shared" ref="F51:P51" si="29">IF(F47="Gasoline",0.25,0)</f>
        <v>0</v>
      </c>
      <c r="G51" s="146">
        <f t="shared" si="29"/>
        <v>0</v>
      </c>
      <c r="H51" s="146">
        <f t="shared" si="29"/>
        <v>0</v>
      </c>
      <c r="I51" s="146">
        <f t="shared" si="29"/>
        <v>0</v>
      </c>
      <c r="J51" s="146">
        <f t="shared" si="29"/>
        <v>0</v>
      </c>
      <c r="K51" s="146">
        <f t="shared" si="29"/>
        <v>0</v>
      </c>
      <c r="L51" s="146">
        <f t="shared" si="29"/>
        <v>0</v>
      </c>
      <c r="M51" s="146">
        <f t="shared" si="29"/>
        <v>0</v>
      </c>
      <c r="N51" s="146">
        <f t="shared" si="29"/>
        <v>0</v>
      </c>
      <c r="O51" s="146">
        <f t="shared" si="29"/>
        <v>0</v>
      </c>
      <c r="P51" s="146">
        <f t="shared" si="29"/>
        <v>0</v>
      </c>
      <c r="Q51" s="133" t="s">
        <v>1629</v>
      </c>
      <c r="W51" s="142">
        <f t="shared" si="17"/>
        <v>46</v>
      </c>
      <c r="X51" s="142"/>
      <c r="Y51" s="142"/>
      <c r="Z51" s="142"/>
    </row>
    <row r="52" spans="2:31" x14ac:dyDescent="0.4">
      <c r="B52" s="528"/>
      <c r="C52" s="531"/>
      <c r="D52" s="149" t="s">
        <v>1626</v>
      </c>
      <c r="E52" s="147" cm="1">
        <f t="array" ref="E52">INDEX(FLT_Setup,X52,Z52)</f>
        <v>130521</v>
      </c>
      <c r="F52" s="147">
        <f>E52</f>
        <v>130521</v>
      </c>
      <c r="G52" s="147">
        <f t="shared" ref="G52:P52" si="30">F52</f>
        <v>130521</v>
      </c>
      <c r="H52" s="147">
        <f t="shared" si="30"/>
        <v>130521</v>
      </c>
      <c r="I52" s="147">
        <f t="shared" si="30"/>
        <v>130521</v>
      </c>
      <c r="J52" s="147">
        <f t="shared" si="30"/>
        <v>130521</v>
      </c>
      <c r="K52" s="147">
        <f t="shared" si="30"/>
        <v>130521</v>
      </c>
      <c r="L52" s="147">
        <f t="shared" si="30"/>
        <v>130521</v>
      </c>
      <c r="M52" s="147">
        <f t="shared" si="30"/>
        <v>130521</v>
      </c>
      <c r="N52" s="147">
        <f t="shared" si="30"/>
        <v>130521</v>
      </c>
      <c r="O52" s="147">
        <f t="shared" si="30"/>
        <v>130521</v>
      </c>
      <c r="P52" s="147">
        <f t="shared" si="30"/>
        <v>130521</v>
      </c>
      <c r="Q52" s="135">
        <f>SUM(E52:P52)</f>
        <v>1566252</v>
      </c>
      <c r="W52" s="142">
        <f t="shared" si="17"/>
        <v>47</v>
      </c>
      <c r="X52">
        <f>X42</f>
        <v>4</v>
      </c>
      <c r="Y52" s="142"/>
      <c r="Z52">
        <f>Z40</f>
        <v>9</v>
      </c>
    </row>
    <row r="53" spans="2:31" ht="15" thickBot="1" x14ac:dyDescent="0.45">
      <c r="B53" s="529"/>
      <c r="C53" s="532"/>
      <c r="D53" s="151" t="s">
        <v>1627</v>
      </c>
      <c r="E53" s="148"/>
      <c r="F53" s="136"/>
      <c r="G53" s="136"/>
      <c r="H53" s="136"/>
      <c r="I53" s="136"/>
      <c r="J53" s="136"/>
      <c r="K53" s="136"/>
      <c r="L53" s="136"/>
      <c r="M53" s="136"/>
      <c r="N53" s="136"/>
      <c r="O53" s="136"/>
      <c r="P53" s="136"/>
      <c r="Q53" s="137" t="e">
        <f>AVERAGE(E53:P53)</f>
        <v>#DIV/0!</v>
      </c>
      <c r="W53" s="156">
        <f t="shared" si="17"/>
        <v>48</v>
      </c>
      <c r="X53" s="156"/>
      <c r="Y53" s="156"/>
      <c r="Z53" s="156"/>
      <c r="AA53" s="11"/>
      <c r="AB53" s="11"/>
      <c r="AC53" s="11"/>
      <c r="AD53" s="11"/>
      <c r="AE53" s="11"/>
    </row>
    <row r="54" spans="2:31" ht="16.3" x14ac:dyDescent="0.4">
      <c r="B54" s="528" t="str" cm="1">
        <f t="array" ref="B54">INDEX(FLT_Cons,$AA54,$AB54)</f>
        <v>FLT - 5</v>
      </c>
      <c r="C54" s="531" t="str" cm="1">
        <f t="array" ref="C54">INDEX(FLT_Cons,$AA54,$AC54)</f>
        <v>INTANK 68</v>
      </c>
      <c r="D54" s="152" t="s">
        <v>1618</v>
      </c>
      <c r="E54" s="144" t="str" cm="1">
        <f t="array" ref="E54">INDEX(Surrogate_Lst,MATCH(INDEX(FLT_Setup,X54,Y54),Product_GRP,0),2)</f>
        <v>Bakken Crude</v>
      </c>
      <c r="F54" s="144" t="str">
        <f>E54</f>
        <v>Bakken Crude</v>
      </c>
      <c r="G54" s="144" t="str">
        <f t="shared" ref="G54:P54" si="31">F54</f>
        <v>Bakken Crude</v>
      </c>
      <c r="H54" s="144" t="str">
        <f t="shared" si="31"/>
        <v>Bakken Crude</v>
      </c>
      <c r="I54" s="144" t="str">
        <f t="shared" si="31"/>
        <v>Bakken Crude</v>
      </c>
      <c r="J54" s="144" t="str">
        <f t="shared" si="31"/>
        <v>Bakken Crude</v>
      </c>
      <c r="K54" s="144" t="str">
        <f t="shared" si="31"/>
        <v>Bakken Crude</v>
      </c>
      <c r="L54" s="144" t="str">
        <f t="shared" si="31"/>
        <v>Bakken Crude</v>
      </c>
      <c r="M54" s="144" t="str">
        <f t="shared" si="31"/>
        <v>Bakken Crude</v>
      </c>
      <c r="N54" s="144" t="str">
        <f t="shared" si="31"/>
        <v>Bakken Crude</v>
      </c>
      <c r="O54" s="144" t="str">
        <f t="shared" si="31"/>
        <v>Bakken Crude</v>
      </c>
      <c r="P54" s="144" t="str">
        <f t="shared" si="31"/>
        <v>Bakken Crude</v>
      </c>
      <c r="Q54" s="138" t="s">
        <v>1629</v>
      </c>
      <c r="W54" s="142">
        <f t="shared" si="17"/>
        <v>49</v>
      </c>
      <c r="X54">
        <f>X42+1</f>
        <v>5</v>
      </c>
      <c r="Y54" s="356">
        <v>3</v>
      </c>
      <c r="Z54" s="142"/>
      <c r="AA54">
        <f>AA42+1</f>
        <v>5</v>
      </c>
      <c r="AB54">
        <v>1</v>
      </c>
      <c r="AC54">
        <v>2</v>
      </c>
      <c r="AD54">
        <v>5</v>
      </c>
      <c r="AE54">
        <v>6</v>
      </c>
    </row>
    <row r="55" spans="2:31" x14ac:dyDescent="0.4">
      <c r="B55" s="528"/>
      <c r="C55" s="531"/>
      <c r="D55" s="150" t="s">
        <v>1615</v>
      </c>
      <c r="E55" s="145" t="str" cm="1">
        <f t="array" ref="E55">INDEX(Phys_Prop,MATCH(E54,Chem_List,0),$AD54)</f>
        <v>Crude Oil</v>
      </c>
      <c r="F55" s="145" t="str" cm="1">
        <f t="array" ref="F55">INDEX(Phys_Prop,MATCH(F54,Chem_List,0),$AD54)</f>
        <v>Crude Oil</v>
      </c>
      <c r="G55" s="145" t="str" cm="1">
        <f t="array" ref="G55">INDEX(Phys_Prop,MATCH(G54,Chem_List,0),$AD54)</f>
        <v>Crude Oil</v>
      </c>
      <c r="H55" s="145" t="str" cm="1">
        <f t="array" ref="H55">INDEX(Phys_Prop,MATCH(H54,Chem_List,0),$AD54)</f>
        <v>Crude Oil</v>
      </c>
      <c r="I55" s="132" t="str" cm="1">
        <f t="array" ref="I55">INDEX(Phys_Prop,MATCH(I54,Chem_List,0),$AD54)</f>
        <v>Crude Oil</v>
      </c>
      <c r="J55" s="132" t="str" cm="1">
        <f t="array" ref="J55">INDEX(Phys_Prop,MATCH(J54,Chem_List,0),$AD54)</f>
        <v>Crude Oil</v>
      </c>
      <c r="K55" s="132" t="str" cm="1">
        <f t="array" ref="K55">INDEX(Phys_Prop,MATCH(K54,Chem_List,0),$AD54)</f>
        <v>Crude Oil</v>
      </c>
      <c r="L55" s="132" t="str" cm="1">
        <f t="array" ref="L55">INDEX(Phys_Prop,MATCH(L54,Chem_List,0),$AD54)</f>
        <v>Crude Oil</v>
      </c>
      <c r="M55" s="132" t="str" cm="1">
        <f t="array" ref="M55">INDEX(Phys_Prop,MATCH(M54,Chem_List,0),$AD54)</f>
        <v>Crude Oil</v>
      </c>
      <c r="N55" s="132" t="str" cm="1">
        <f t="array" ref="N55">INDEX(Phys_Prop,MATCH(N54,Chem_List,0),$AD54)</f>
        <v>Crude Oil</v>
      </c>
      <c r="O55" s="132" t="str" cm="1">
        <f t="array" ref="O55">INDEX(Phys_Prop,MATCH(O54,Chem_List,0),$AD54)</f>
        <v>Crude Oil</v>
      </c>
      <c r="P55" s="132" t="str" cm="1">
        <f t="array" ref="P55">INDEX(Phys_Prop,MATCH(P54,Chem_List,0),$AD54)</f>
        <v>Crude Oil</v>
      </c>
      <c r="Q55" s="134" t="s">
        <v>1629</v>
      </c>
      <c r="W55" s="142">
        <f t="shared" si="17"/>
        <v>50</v>
      </c>
      <c r="X55" s="142"/>
      <c r="Y55" s="142"/>
      <c r="Z55" s="142"/>
    </row>
    <row r="56" spans="2:31" x14ac:dyDescent="0.4">
      <c r="B56" s="528"/>
      <c r="C56" s="531"/>
      <c r="D56" s="149" t="s">
        <v>1616</v>
      </c>
      <c r="E56" s="146">
        <f t="shared" ref="E56:P56" si="32">VLOOKUP(E54,RVP_XRef,2,FALSE)</f>
        <v>10.199999999999999</v>
      </c>
      <c r="F56" s="146">
        <f t="shared" si="32"/>
        <v>10.199999999999999</v>
      </c>
      <c r="G56" s="146">
        <f t="shared" si="32"/>
        <v>10.199999999999999</v>
      </c>
      <c r="H56" s="146">
        <f t="shared" si="32"/>
        <v>10.199999999999999</v>
      </c>
      <c r="I56" s="146">
        <f t="shared" si="32"/>
        <v>10.199999999999999</v>
      </c>
      <c r="J56" s="146">
        <f t="shared" si="32"/>
        <v>10.199999999999999</v>
      </c>
      <c r="K56" s="146">
        <f t="shared" si="32"/>
        <v>10.199999999999999</v>
      </c>
      <c r="L56" s="146">
        <f t="shared" si="32"/>
        <v>10.199999999999999</v>
      </c>
      <c r="M56" s="146">
        <f t="shared" si="32"/>
        <v>10.199999999999999</v>
      </c>
      <c r="N56" s="146">
        <f t="shared" si="32"/>
        <v>10.199999999999999</v>
      </c>
      <c r="O56" s="146">
        <f t="shared" si="32"/>
        <v>10.199999999999999</v>
      </c>
      <c r="P56" s="146">
        <f t="shared" si="32"/>
        <v>10.199999999999999</v>
      </c>
      <c r="Q56" s="133" t="s">
        <v>1629</v>
      </c>
      <c r="W56" s="142">
        <f t="shared" si="17"/>
        <v>51</v>
      </c>
      <c r="X56" s="142"/>
      <c r="Y56" s="142"/>
      <c r="Z56" s="142"/>
    </row>
    <row r="57" spans="2:31" x14ac:dyDescent="0.4">
      <c r="B57" s="528"/>
      <c r="C57" s="531"/>
      <c r="D57" s="150" t="s">
        <v>1617</v>
      </c>
      <c r="E57" s="145" cm="1">
        <f t="array" ref="E57">INDEX(Phys_Prop,MATCH(E54,Chem_List,0),$AE54)</f>
        <v>0</v>
      </c>
      <c r="F57" s="145" cm="1">
        <f t="array" ref="F57">INDEX(Phys_Prop,MATCH(F54,Chem_List,0),$AE54)</f>
        <v>0</v>
      </c>
      <c r="G57" s="145" cm="1">
        <f t="array" ref="G57">INDEX(Phys_Prop,MATCH(G54,Chem_List,0),$AE54)</f>
        <v>0</v>
      </c>
      <c r="H57" s="145" cm="1">
        <f t="array" ref="H57">INDEX(Phys_Prop,MATCH(H54,Chem_List,0),$AE54)</f>
        <v>0</v>
      </c>
      <c r="I57" s="132" cm="1">
        <f t="array" ref="I57">INDEX(Phys_Prop,MATCH(I54,Chem_List,0),$AE54)</f>
        <v>0</v>
      </c>
      <c r="J57" s="132" cm="1">
        <f t="array" ref="J57">INDEX(Phys_Prop,MATCH(J54,Chem_List,0),$AE54)</f>
        <v>0</v>
      </c>
      <c r="K57" s="132" cm="1">
        <f t="array" ref="K57">INDEX(Phys_Prop,MATCH(K54,Chem_List,0),$AE54)</f>
        <v>0</v>
      </c>
      <c r="L57" s="132" cm="1">
        <f t="array" ref="L57">INDEX(Phys_Prop,MATCH(L54,Chem_List,0),$AE54)</f>
        <v>0</v>
      </c>
      <c r="M57" s="132" cm="1">
        <f t="array" ref="M57">INDEX(Phys_Prop,MATCH(M54,Chem_List,0),$AE54)</f>
        <v>0</v>
      </c>
      <c r="N57" s="132" cm="1">
        <f t="array" ref="N57">INDEX(Phys_Prop,MATCH(N54,Chem_List,0),$AE54)</f>
        <v>0</v>
      </c>
      <c r="O57" s="132" cm="1">
        <f t="array" ref="O57">INDEX(Phys_Prop,MATCH(O54,Chem_List,0),$AE54)</f>
        <v>0</v>
      </c>
      <c r="P57" s="132" cm="1">
        <f t="array" ref="P57">INDEX(Phys_Prop,MATCH(P54,Chem_List,0),$AE54)</f>
        <v>0</v>
      </c>
      <c r="Q57" s="134" t="s">
        <v>1629</v>
      </c>
      <c r="W57" s="142">
        <f t="shared" si="17"/>
        <v>52</v>
      </c>
      <c r="X57" s="142"/>
      <c r="Y57" s="142"/>
      <c r="Z57" s="142"/>
    </row>
    <row r="58" spans="2:31" x14ac:dyDescent="0.4">
      <c r="B58" s="528"/>
      <c r="C58" s="531"/>
      <c r="D58" s="150" t="s">
        <v>1620</v>
      </c>
      <c r="E58" s="145">
        <f>1-E63</f>
        <v>1</v>
      </c>
      <c r="F58" s="145">
        <f>1-F63</f>
        <v>1</v>
      </c>
      <c r="G58" s="145">
        <f>1-G63</f>
        <v>1</v>
      </c>
      <c r="H58" s="145">
        <f>1-H63</f>
        <v>1</v>
      </c>
      <c r="I58" s="132">
        <f t="shared" ref="I58:P58" si="33">1-I63</f>
        <v>1</v>
      </c>
      <c r="J58" s="132">
        <f t="shared" si="33"/>
        <v>1</v>
      </c>
      <c r="K58" s="132">
        <f t="shared" si="33"/>
        <v>1</v>
      </c>
      <c r="L58" s="132">
        <f t="shared" si="33"/>
        <v>1</v>
      </c>
      <c r="M58" s="132">
        <f t="shared" si="33"/>
        <v>1</v>
      </c>
      <c r="N58" s="132">
        <f t="shared" si="33"/>
        <v>1</v>
      </c>
      <c r="O58" s="132">
        <f t="shared" si="33"/>
        <v>1</v>
      </c>
      <c r="P58" s="132">
        <f t="shared" si="33"/>
        <v>1</v>
      </c>
      <c r="Q58" s="134" t="s">
        <v>1629</v>
      </c>
      <c r="W58" s="142">
        <f t="shared" si="17"/>
        <v>53</v>
      </c>
      <c r="X58" s="142"/>
      <c r="Y58" s="142"/>
      <c r="Z58" s="142"/>
    </row>
    <row r="59" spans="2:31" ht="16.3" x14ac:dyDescent="0.4">
      <c r="B59" s="528"/>
      <c r="C59" s="531"/>
      <c r="D59" s="149" t="s">
        <v>1621</v>
      </c>
      <c r="E59" s="146" t="str">
        <f>IF(E54="Ethanol","Gasoline","")</f>
        <v/>
      </c>
      <c r="F59" s="146" t="str">
        <f>E59</f>
        <v/>
      </c>
      <c r="G59" s="146" t="str">
        <f t="shared" ref="G59:P59" si="34">F59</f>
        <v/>
      </c>
      <c r="H59" s="146" t="str">
        <f t="shared" si="34"/>
        <v/>
      </c>
      <c r="I59" s="146" t="str">
        <f t="shared" si="34"/>
        <v/>
      </c>
      <c r="J59" s="146" t="str">
        <f t="shared" si="34"/>
        <v/>
      </c>
      <c r="K59" s="146" t="str">
        <f t="shared" si="34"/>
        <v/>
      </c>
      <c r="L59" s="146" t="str">
        <f t="shared" si="34"/>
        <v/>
      </c>
      <c r="M59" s="146" t="str">
        <f t="shared" si="34"/>
        <v/>
      </c>
      <c r="N59" s="146" t="str">
        <f t="shared" si="34"/>
        <v/>
      </c>
      <c r="O59" s="146" t="str">
        <f t="shared" si="34"/>
        <v/>
      </c>
      <c r="P59" s="146" t="str">
        <f t="shared" si="34"/>
        <v/>
      </c>
      <c r="Q59" s="133" t="s">
        <v>1629</v>
      </c>
      <c r="W59" s="142">
        <f t="shared" si="17"/>
        <v>54</v>
      </c>
      <c r="X59" s="142"/>
      <c r="Y59" s="142"/>
      <c r="Z59" s="142"/>
    </row>
    <row r="60" spans="2:31" x14ac:dyDescent="0.4">
      <c r="B60" s="528"/>
      <c r="C60" s="531"/>
      <c r="D60" s="149" t="s">
        <v>1622</v>
      </c>
      <c r="E60" s="132" t="e" cm="1">
        <f t="array" ref="E60">INDEX(Phys_Prop,MATCH(E59,Chem_List,0),$AD54)</f>
        <v>#N/A</v>
      </c>
      <c r="F60" s="132" t="e" cm="1">
        <f t="array" ref="F60">INDEX(Phys_Prop,MATCH(F59,Chem_List,0),$AD54)</f>
        <v>#N/A</v>
      </c>
      <c r="G60" s="132" t="e" cm="1">
        <f t="array" ref="G60">INDEX(Phys_Prop,MATCH(G59,Chem_List,0),$AD54)</f>
        <v>#N/A</v>
      </c>
      <c r="H60" s="132" t="e" cm="1">
        <f t="array" ref="H60">INDEX(Phys_Prop,MATCH(H59,Chem_List,0),$AD54)</f>
        <v>#N/A</v>
      </c>
      <c r="I60" s="132" t="e" cm="1">
        <f t="array" ref="I60">INDEX(Phys_Prop,MATCH(I59,Chem_List,0),$AD54)</f>
        <v>#N/A</v>
      </c>
      <c r="J60" s="132" t="e" cm="1">
        <f t="array" ref="J60">INDEX(Phys_Prop,MATCH(J59,Chem_List,0),$AD54)</f>
        <v>#N/A</v>
      </c>
      <c r="K60" s="132" t="e" cm="1">
        <f t="array" ref="K60">INDEX(Phys_Prop,MATCH(K59,Chem_List,0),$AD54)</f>
        <v>#N/A</v>
      </c>
      <c r="L60" s="132" t="e" cm="1">
        <f t="array" ref="L60">INDEX(Phys_Prop,MATCH(L59,Chem_List,0),$AD54)</f>
        <v>#N/A</v>
      </c>
      <c r="M60" s="132" t="e" cm="1">
        <f t="array" ref="M60">INDEX(Phys_Prop,MATCH(M59,Chem_List,0),$AD54)</f>
        <v>#N/A</v>
      </c>
      <c r="N60" s="132" t="e" cm="1">
        <f t="array" ref="N60">INDEX(Phys_Prop,MATCH(N59,Chem_List,0),$AD54)</f>
        <v>#N/A</v>
      </c>
      <c r="O60" s="132" t="e" cm="1">
        <f t="array" ref="O60">INDEX(Phys_Prop,MATCH(O59,Chem_List,0),$AD54)</f>
        <v>#N/A</v>
      </c>
      <c r="P60" s="132" t="e" cm="1">
        <f t="array" ref="P60">INDEX(Phys_Prop,MATCH(P59,Chem_List,0),$AD54)</f>
        <v>#N/A</v>
      </c>
      <c r="Q60" s="134" t="s">
        <v>1629</v>
      </c>
      <c r="W60" s="142">
        <f t="shared" si="17"/>
        <v>55</v>
      </c>
      <c r="X60" s="142"/>
      <c r="Y60" s="142"/>
      <c r="Z60" s="142"/>
    </row>
    <row r="61" spans="2:31" x14ac:dyDescent="0.4">
      <c r="B61" s="528"/>
      <c r="C61" s="531"/>
      <c r="D61" s="149" t="s">
        <v>1623</v>
      </c>
      <c r="E61" s="146" t="e">
        <f t="shared" ref="E61:P61" si="35">VLOOKUP(E59,RVP_XRef,2,FALSE)</f>
        <v>#N/A</v>
      </c>
      <c r="F61" s="146" t="e">
        <f t="shared" si="35"/>
        <v>#N/A</v>
      </c>
      <c r="G61" s="146" t="e">
        <f t="shared" si="35"/>
        <v>#N/A</v>
      </c>
      <c r="H61" s="146" t="e">
        <f t="shared" si="35"/>
        <v>#N/A</v>
      </c>
      <c r="I61" s="146" t="e">
        <f t="shared" si="35"/>
        <v>#N/A</v>
      </c>
      <c r="J61" s="146" t="e">
        <f t="shared" si="35"/>
        <v>#N/A</v>
      </c>
      <c r="K61" s="146" t="e">
        <f t="shared" si="35"/>
        <v>#N/A</v>
      </c>
      <c r="L61" s="146" t="e">
        <f t="shared" si="35"/>
        <v>#N/A</v>
      </c>
      <c r="M61" s="146" t="e">
        <f t="shared" si="35"/>
        <v>#N/A</v>
      </c>
      <c r="N61" s="146" t="e">
        <f t="shared" si="35"/>
        <v>#N/A</v>
      </c>
      <c r="O61" s="146" t="e">
        <f t="shared" si="35"/>
        <v>#N/A</v>
      </c>
      <c r="P61" s="146" t="e">
        <f t="shared" si="35"/>
        <v>#N/A</v>
      </c>
      <c r="Q61" s="133" t="s">
        <v>1629</v>
      </c>
      <c r="W61" s="142">
        <f t="shared" si="17"/>
        <v>56</v>
      </c>
      <c r="X61" s="142"/>
      <c r="Y61" s="142"/>
      <c r="Z61" s="142"/>
    </row>
    <row r="62" spans="2:31" x14ac:dyDescent="0.4">
      <c r="B62" s="528"/>
      <c r="C62" s="531"/>
      <c r="D62" s="150" t="s">
        <v>1624</v>
      </c>
      <c r="E62" s="145" t="str" cm="1">
        <f t="array" ref="E62">IFERROR(INDEX(Phys_Prop,MATCH(E59,Chem_List,0),$AE54),"N/A")</f>
        <v>N/A</v>
      </c>
      <c r="F62" s="145" t="str" cm="1">
        <f t="array" ref="F62">IFERROR(INDEX(Phys_Prop,MATCH(F59,Chem_List,0),$AE54),"N/A")</f>
        <v>N/A</v>
      </c>
      <c r="G62" s="145" t="str" cm="1">
        <f t="array" ref="G62">IFERROR(INDEX(Phys_Prop,MATCH(G59,Chem_List,0),$AE54),"N/A")</f>
        <v>N/A</v>
      </c>
      <c r="H62" s="145" t="str" cm="1">
        <f t="array" ref="H62">IFERROR(INDEX(Phys_Prop,MATCH(H59,Chem_List,0),$AE54),"N/A")</f>
        <v>N/A</v>
      </c>
      <c r="I62" s="145" t="str" cm="1">
        <f t="array" ref="I62">IFERROR(INDEX(Phys_Prop,MATCH(I59,Chem_List,0),$AE54),"N/A")</f>
        <v>N/A</v>
      </c>
      <c r="J62" s="145" t="str" cm="1">
        <f t="array" ref="J62">IFERROR(INDEX(Phys_Prop,MATCH(J59,Chem_List,0),$AE54),"N/A")</f>
        <v>N/A</v>
      </c>
      <c r="K62" s="145" t="str" cm="1">
        <f t="array" ref="K62">IFERROR(INDEX(Phys_Prop,MATCH(K59,Chem_List,0),$AE54),"N/A")</f>
        <v>N/A</v>
      </c>
      <c r="L62" s="145" t="str" cm="1">
        <f t="array" ref="L62">IFERROR(INDEX(Phys_Prop,MATCH(L59,Chem_List,0),$AE54),"N/A")</f>
        <v>N/A</v>
      </c>
      <c r="M62" s="145" t="str" cm="1">
        <f t="array" ref="M62">IFERROR(INDEX(Phys_Prop,MATCH(M59,Chem_List,0),$AE54),"N/A")</f>
        <v>N/A</v>
      </c>
      <c r="N62" s="145" t="str" cm="1">
        <f t="array" ref="N62">IFERROR(INDEX(Phys_Prop,MATCH(N59,Chem_List,0),$AE54),"N/A")</f>
        <v>N/A</v>
      </c>
      <c r="O62" s="145" t="str" cm="1">
        <f t="array" ref="O62">IFERROR(INDEX(Phys_Prop,MATCH(O59,Chem_List,0),$AE54),"N/A")</f>
        <v>N/A</v>
      </c>
      <c r="P62" s="145" t="str" cm="1">
        <f t="array" ref="P62">IFERROR(INDEX(Phys_Prop,MATCH(P59,Chem_List,0),$AE54),"N/A")</f>
        <v>N/A</v>
      </c>
      <c r="Q62" s="134" t="s">
        <v>1629</v>
      </c>
      <c r="W62" s="142">
        <f t="shared" si="17"/>
        <v>57</v>
      </c>
      <c r="X62" s="142"/>
      <c r="Y62" s="142"/>
      <c r="Z62" s="142"/>
    </row>
    <row r="63" spans="2:31" x14ac:dyDescent="0.4">
      <c r="B63" s="528"/>
      <c r="C63" s="531"/>
      <c r="D63" s="149" t="s">
        <v>1625</v>
      </c>
      <c r="E63" s="146">
        <f>IF(E59="Gasoline",0.25,0)</f>
        <v>0</v>
      </c>
      <c r="F63" s="146">
        <f t="shared" ref="F63:P63" si="36">IF(F59="Gasoline",0.25,0)</f>
        <v>0</v>
      </c>
      <c r="G63" s="146">
        <f t="shared" si="36"/>
        <v>0</v>
      </c>
      <c r="H63" s="146">
        <f t="shared" si="36"/>
        <v>0</v>
      </c>
      <c r="I63" s="146">
        <f t="shared" si="36"/>
        <v>0</v>
      </c>
      <c r="J63" s="146">
        <f t="shared" si="36"/>
        <v>0</v>
      </c>
      <c r="K63" s="146">
        <f t="shared" si="36"/>
        <v>0</v>
      </c>
      <c r="L63" s="146">
        <f t="shared" si="36"/>
        <v>0</v>
      </c>
      <c r="M63" s="146">
        <f t="shared" si="36"/>
        <v>0</v>
      </c>
      <c r="N63" s="146">
        <f t="shared" si="36"/>
        <v>0</v>
      </c>
      <c r="O63" s="146">
        <f t="shared" si="36"/>
        <v>0</v>
      </c>
      <c r="P63" s="146">
        <f t="shared" si="36"/>
        <v>0</v>
      </c>
      <c r="Q63" s="133" t="s">
        <v>1629</v>
      </c>
      <c r="W63" s="142">
        <f t="shared" si="17"/>
        <v>58</v>
      </c>
      <c r="X63" s="142"/>
      <c r="Y63" s="142"/>
      <c r="Z63" s="142"/>
    </row>
    <row r="64" spans="2:31" x14ac:dyDescent="0.4">
      <c r="B64" s="528"/>
      <c r="C64" s="531"/>
      <c r="D64" s="149" t="s">
        <v>1626</v>
      </c>
      <c r="E64" s="147" cm="1">
        <f t="array" ref="E64">INDEX(FLT_Setup,X64,Z64)</f>
        <v>81087</v>
      </c>
      <c r="F64" s="147">
        <f>E64</f>
        <v>81087</v>
      </c>
      <c r="G64" s="147">
        <f t="shared" ref="G64:P64" si="37">F64</f>
        <v>81087</v>
      </c>
      <c r="H64" s="147">
        <f t="shared" si="37"/>
        <v>81087</v>
      </c>
      <c r="I64" s="147">
        <f t="shared" si="37"/>
        <v>81087</v>
      </c>
      <c r="J64" s="147">
        <f t="shared" si="37"/>
        <v>81087</v>
      </c>
      <c r="K64" s="147">
        <f t="shared" si="37"/>
        <v>81087</v>
      </c>
      <c r="L64" s="147">
        <f t="shared" si="37"/>
        <v>81087</v>
      </c>
      <c r="M64" s="147">
        <f t="shared" si="37"/>
        <v>81087</v>
      </c>
      <c r="N64" s="147">
        <f t="shared" si="37"/>
        <v>81087</v>
      </c>
      <c r="O64" s="147">
        <f t="shared" si="37"/>
        <v>81087</v>
      </c>
      <c r="P64" s="147">
        <f t="shared" si="37"/>
        <v>81087</v>
      </c>
      <c r="Q64" s="135">
        <f>SUM(E64:P64)</f>
        <v>973044</v>
      </c>
      <c r="W64" s="142">
        <f t="shared" si="17"/>
        <v>59</v>
      </c>
      <c r="X64">
        <f>X54</f>
        <v>5</v>
      </c>
      <c r="Y64" s="142"/>
      <c r="Z64">
        <f>Z52</f>
        <v>9</v>
      </c>
    </row>
    <row r="65" spans="2:31" ht="15" thickBot="1" x14ac:dyDescent="0.45">
      <c r="B65" s="529"/>
      <c r="C65" s="532"/>
      <c r="D65" s="151" t="s">
        <v>1627</v>
      </c>
      <c r="E65" s="148"/>
      <c r="F65" s="136"/>
      <c r="G65" s="136"/>
      <c r="H65" s="136"/>
      <c r="I65" s="136"/>
      <c r="J65" s="136"/>
      <c r="K65" s="136"/>
      <c r="L65" s="136"/>
      <c r="M65" s="136"/>
      <c r="N65" s="136"/>
      <c r="O65" s="136"/>
      <c r="P65" s="136"/>
      <c r="Q65" s="137" t="e">
        <f>AVERAGE(E65:P65)</f>
        <v>#DIV/0!</v>
      </c>
      <c r="W65" s="156">
        <f t="shared" si="17"/>
        <v>60</v>
      </c>
      <c r="X65" s="156"/>
      <c r="Y65" s="156"/>
      <c r="Z65" s="156"/>
      <c r="AA65" s="11"/>
      <c r="AB65" s="11"/>
      <c r="AC65" s="11"/>
      <c r="AD65" s="11"/>
      <c r="AE65" s="11"/>
    </row>
    <row r="66" spans="2:31" ht="16.3" x14ac:dyDescent="0.4">
      <c r="B66" s="528" t="str" cm="1">
        <f t="array" ref="B66">INDEX(FLT_Cons,$AA66,$AB66)</f>
        <v>FLT - 6</v>
      </c>
      <c r="C66" s="531" t="str" cm="1">
        <f t="array" ref="C66">INDEX(FLT_Cons,$AA66,$AC66)</f>
        <v>INTANK 71</v>
      </c>
      <c r="D66" s="152" t="s">
        <v>1618</v>
      </c>
      <c r="E66" s="144" t="str" cm="1">
        <f t="array" ref="E66">INDEX(Surrogate_Lst,MATCH(INDEX(FLT_Setup,X66,Y66),Product_GRP,0),2)</f>
        <v>Av-Gas</v>
      </c>
      <c r="F66" s="144" t="str">
        <f>E66</f>
        <v>Av-Gas</v>
      </c>
      <c r="G66" s="144" t="str">
        <f t="shared" ref="G66:P66" si="38">F66</f>
        <v>Av-Gas</v>
      </c>
      <c r="H66" s="144" t="str">
        <f t="shared" si="38"/>
        <v>Av-Gas</v>
      </c>
      <c r="I66" s="144" t="str">
        <f t="shared" si="38"/>
        <v>Av-Gas</v>
      </c>
      <c r="J66" s="144" t="str">
        <f t="shared" si="38"/>
        <v>Av-Gas</v>
      </c>
      <c r="K66" s="144" t="str">
        <f t="shared" si="38"/>
        <v>Av-Gas</v>
      </c>
      <c r="L66" s="144" t="str">
        <f t="shared" si="38"/>
        <v>Av-Gas</v>
      </c>
      <c r="M66" s="144" t="str">
        <f t="shared" si="38"/>
        <v>Av-Gas</v>
      </c>
      <c r="N66" s="144" t="str">
        <f t="shared" si="38"/>
        <v>Av-Gas</v>
      </c>
      <c r="O66" s="144" t="str">
        <f t="shared" si="38"/>
        <v>Av-Gas</v>
      </c>
      <c r="P66" s="144" t="str">
        <f t="shared" si="38"/>
        <v>Av-Gas</v>
      </c>
      <c r="Q66" s="138" t="s">
        <v>1629</v>
      </c>
      <c r="W66" s="142">
        <f t="shared" ref="W66:W125" si="39">W65+1</f>
        <v>61</v>
      </c>
      <c r="X66">
        <f>X54+1</f>
        <v>6</v>
      </c>
      <c r="Y66" s="356">
        <v>3</v>
      </c>
      <c r="Z66" s="142"/>
      <c r="AA66">
        <f>AA54+1</f>
        <v>6</v>
      </c>
      <c r="AB66">
        <v>1</v>
      </c>
      <c r="AC66">
        <v>2</v>
      </c>
      <c r="AD66">
        <v>5</v>
      </c>
      <c r="AE66">
        <v>6</v>
      </c>
    </row>
    <row r="67" spans="2:31" x14ac:dyDescent="0.4">
      <c r="B67" s="528"/>
      <c r="C67" s="531"/>
      <c r="D67" s="150" t="s">
        <v>1615</v>
      </c>
      <c r="E67" s="145" t="str" cm="1">
        <f t="array" ref="E67">INDEX(Phys_Prop,MATCH(E66,Chem_List,0),$AD66)</f>
        <v>Refined Petroleum Stock</v>
      </c>
      <c r="F67" s="145" t="str" cm="1">
        <f t="array" ref="F67">INDEX(Phys_Prop,MATCH(F66,Chem_List,0),$AD66)</f>
        <v>Refined Petroleum Stock</v>
      </c>
      <c r="G67" s="145" t="str" cm="1">
        <f t="array" ref="G67">INDEX(Phys_Prop,MATCH(G66,Chem_List,0),$AD66)</f>
        <v>Refined Petroleum Stock</v>
      </c>
      <c r="H67" s="145" t="str" cm="1">
        <f t="array" ref="H67">INDEX(Phys_Prop,MATCH(H66,Chem_List,0),$AD66)</f>
        <v>Refined Petroleum Stock</v>
      </c>
      <c r="I67" s="132" t="str" cm="1">
        <f t="array" ref="I67">INDEX(Phys_Prop,MATCH(I66,Chem_List,0),$AD66)</f>
        <v>Refined Petroleum Stock</v>
      </c>
      <c r="J67" s="132" t="str" cm="1">
        <f t="array" ref="J67">INDEX(Phys_Prop,MATCH(J66,Chem_List,0),$AD66)</f>
        <v>Refined Petroleum Stock</v>
      </c>
      <c r="K67" s="132" t="str" cm="1">
        <f t="array" ref="K67">INDEX(Phys_Prop,MATCH(K66,Chem_List,0),$AD66)</f>
        <v>Refined Petroleum Stock</v>
      </c>
      <c r="L67" s="132" t="str" cm="1">
        <f t="array" ref="L67">INDEX(Phys_Prop,MATCH(L66,Chem_List,0),$AD66)</f>
        <v>Refined Petroleum Stock</v>
      </c>
      <c r="M67" s="132" t="str" cm="1">
        <f t="array" ref="M67">INDEX(Phys_Prop,MATCH(M66,Chem_List,0),$AD66)</f>
        <v>Refined Petroleum Stock</v>
      </c>
      <c r="N67" s="132" t="str" cm="1">
        <f t="array" ref="N67">INDEX(Phys_Prop,MATCH(N66,Chem_List,0),$AD66)</f>
        <v>Refined Petroleum Stock</v>
      </c>
      <c r="O67" s="132" t="str" cm="1">
        <f t="array" ref="O67">INDEX(Phys_Prop,MATCH(O66,Chem_List,0),$AD66)</f>
        <v>Refined Petroleum Stock</v>
      </c>
      <c r="P67" s="132" t="str" cm="1">
        <f t="array" ref="P67">INDEX(Phys_Prop,MATCH(P66,Chem_List,0),$AD66)</f>
        <v>Refined Petroleum Stock</v>
      </c>
      <c r="Q67" s="134" t="s">
        <v>1629</v>
      </c>
      <c r="W67" s="142">
        <f t="shared" si="39"/>
        <v>62</v>
      </c>
      <c r="X67" s="142"/>
      <c r="Y67" s="142"/>
      <c r="Z67" s="142"/>
    </row>
    <row r="68" spans="2:31" x14ac:dyDescent="0.4">
      <c r="B68" s="528"/>
      <c r="C68" s="531"/>
      <c r="D68" s="149" t="s">
        <v>1616</v>
      </c>
      <c r="E68" s="146">
        <f t="shared" ref="E68:P68" si="40">VLOOKUP(E66,RVP_XRef,2,FALSE)</f>
        <v>6.3</v>
      </c>
      <c r="F68" s="146">
        <f t="shared" si="40"/>
        <v>6.3</v>
      </c>
      <c r="G68" s="146">
        <f t="shared" si="40"/>
        <v>6.3</v>
      </c>
      <c r="H68" s="146">
        <f t="shared" si="40"/>
        <v>6.3</v>
      </c>
      <c r="I68" s="146">
        <f t="shared" si="40"/>
        <v>6.3</v>
      </c>
      <c r="J68" s="146">
        <f t="shared" si="40"/>
        <v>6.3</v>
      </c>
      <c r="K68" s="146">
        <f t="shared" si="40"/>
        <v>6.3</v>
      </c>
      <c r="L68" s="146">
        <f t="shared" si="40"/>
        <v>6.3</v>
      </c>
      <c r="M68" s="146">
        <f t="shared" si="40"/>
        <v>6.3</v>
      </c>
      <c r="N68" s="146">
        <f t="shared" si="40"/>
        <v>6.3</v>
      </c>
      <c r="O68" s="146">
        <f t="shared" si="40"/>
        <v>6.3</v>
      </c>
      <c r="P68" s="146">
        <f t="shared" si="40"/>
        <v>6.3</v>
      </c>
      <c r="Q68" s="133" t="s">
        <v>1629</v>
      </c>
      <c r="W68" s="142">
        <f t="shared" si="39"/>
        <v>63</v>
      </c>
      <c r="X68" s="142"/>
      <c r="Y68" s="142"/>
      <c r="Z68" s="142"/>
    </row>
    <row r="69" spans="2:31" x14ac:dyDescent="0.4">
      <c r="B69" s="528"/>
      <c r="C69" s="531"/>
      <c r="D69" s="150" t="s">
        <v>1617</v>
      </c>
      <c r="E69" s="145" cm="1">
        <f t="array" ref="E69">INDEX(Phys_Prop,MATCH(E66,Chem_List,0),$AE66)</f>
        <v>2</v>
      </c>
      <c r="F69" s="145" cm="1">
        <f t="array" ref="F69">INDEX(Phys_Prop,MATCH(F66,Chem_List,0),$AE66)</f>
        <v>2</v>
      </c>
      <c r="G69" s="145" cm="1">
        <f t="array" ref="G69">INDEX(Phys_Prop,MATCH(G66,Chem_List,0),$AE66)</f>
        <v>2</v>
      </c>
      <c r="H69" s="145" cm="1">
        <f t="array" ref="H69">INDEX(Phys_Prop,MATCH(H66,Chem_List,0),$AE66)</f>
        <v>2</v>
      </c>
      <c r="I69" s="132" cm="1">
        <f t="array" ref="I69">INDEX(Phys_Prop,MATCH(I66,Chem_List,0),$AE66)</f>
        <v>2</v>
      </c>
      <c r="J69" s="132" cm="1">
        <f t="array" ref="J69">INDEX(Phys_Prop,MATCH(J66,Chem_List,0),$AE66)</f>
        <v>2</v>
      </c>
      <c r="K69" s="132" cm="1">
        <f t="array" ref="K69">INDEX(Phys_Prop,MATCH(K66,Chem_List,0),$AE66)</f>
        <v>2</v>
      </c>
      <c r="L69" s="132" cm="1">
        <f t="array" ref="L69">INDEX(Phys_Prop,MATCH(L66,Chem_List,0),$AE66)</f>
        <v>2</v>
      </c>
      <c r="M69" s="132" cm="1">
        <f t="array" ref="M69">INDEX(Phys_Prop,MATCH(M66,Chem_List,0),$AE66)</f>
        <v>2</v>
      </c>
      <c r="N69" s="132" cm="1">
        <f t="array" ref="N69">INDEX(Phys_Prop,MATCH(N66,Chem_List,0),$AE66)</f>
        <v>2</v>
      </c>
      <c r="O69" s="132" cm="1">
        <f t="array" ref="O69">INDEX(Phys_Prop,MATCH(O66,Chem_List,0),$AE66)</f>
        <v>2</v>
      </c>
      <c r="P69" s="132" cm="1">
        <f t="array" ref="P69">INDEX(Phys_Prop,MATCH(P66,Chem_List,0),$AE66)</f>
        <v>2</v>
      </c>
      <c r="Q69" s="134" t="s">
        <v>1629</v>
      </c>
      <c r="W69" s="142">
        <f t="shared" si="39"/>
        <v>64</v>
      </c>
      <c r="X69" s="142"/>
      <c r="Y69" s="142"/>
      <c r="Z69" s="142"/>
    </row>
    <row r="70" spans="2:31" x14ac:dyDescent="0.4">
      <c r="B70" s="528"/>
      <c r="C70" s="531"/>
      <c r="D70" s="150" t="s">
        <v>1620</v>
      </c>
      <c r="E70" s="145">
        <f>1-E75</f>
        <v>1</v>
      </c>
      <c r="F70" s="145">
        <f>1-F75</f>
        <v>1</v>
      </c>
      <c r="G70" s="145">
        <f>1-G75</f>
        <v>1</v>
      </c>
      <c r="H70" s="145">
        <f>1-H75</f>
        <v>1</v>
      </c>
      <c r="I70" s="132">
        <f t="shared" ref="I70:P70" si="41">1-I75</f>
        <v>1</v>
      </c>
      <c r="J70" s="132">
        <f t="shared" si="41"/>
        <v>1</v>
      </c>
      <c r="K70" s="132">
        <f t="shared" si="41"/>
        <v>1</v>
      </c>
      <c r="L70" s="132">
        <f t="shared" si="41"/>
        <v>1</v>
      </c>
      <c r="M70" s="132">
        <f t="shared" si="41"/>
        <v>1</v>
      </c>
      <c r="N70" s="132">
        <f t="shared" si="41"/>
        <v>1</v>
      </c>
      <c r="O70" s="132">
        <f t="shared" si="41"/>
        <v>1</v>
      </c>
      <c r="P70" s="132">
        <f t="shared" si="41"/>
        <v>1</v>
      </c>
      <c r="Q70" s="134" t="s">
        <v>1629</v>
      </c>
      <c r="W70" s="142">
        <f t="shared" si="39"/>
        <v>65</v>
      </c>
      <c r="X70" s="142"/>
      <c r="Y70" s="142"/>
      <c r="Z70" s="142"/>
    </row>
    <row r="71" spans="2:31" ht="16.3" x14ac:dyDescent="0.4">
      <c r="B71" s="528"/>
      <c r="C71" s="531"/>
      <c r="D71" s="149" t="s">
        <v>1621</v>
      </c>
      <c r="E71" s="146" t="str">
        <f>IF(E66="Ethanol","Gasoline","")</f>
        <v/>
      </c>
      <c r="F71" s="146" t="str">
        <f>E71</f>
        <v/>
      </c>
      <c r="G71" s="146" t="str">
        <f t="shared" ref="G71:P71" si="42">F71</f>
        <v/>
      </c>
      <c r="H71" s="146" t="str">
        <f t="shared" si="42"/>
        <v/>
      </c>
      <c r="I71" s="146" t="str">
        <f t="shared" si="42"/>
        <v/>
      </c>
      <c r="J71" s="146" t="str">
        <f t="shared" si="42"/>
        <v/>
      </c>
      <c r="K71" s="146" t="str">
        <f t="shared" si="42"/>
        <v/>
      </c>
      <c r="L71" s="146" t="str">
        <f t="shared" si="42"/>
        <v/>
      </c>
      <c r="M71" s="146" t="str">
        <f t="shared" si="42"/>
        <v/>
      </c>
      <c r="N71" s="146" t="str">
        <f t="shared" si="42"/>
        <v/>
      </c>
      <c r="O71" s="146" t="str">
        <f t="shared" si="42"/>
        <v/>
      </c>
      <c r="P71" s="146" t="str">
        <f t="shared" si="42"/>
        <v/>
      </c>
      <c r="Q71" s="133" t="s">
        <v>1629</v>
      </c>
      <c r="W71" s="142">
        <f t="shared" si="39"/>
        <v>66</v>
      </c>
      <c r="X71" s="142"/>
      <c r="Y71" s="142"/>
      <c r="Z71" s="142"/>
    </row>
    <row r="72" spans="2:31" x14ac:dyDescent="0.4">
      <c r="B72" s="528"/>
      <c r="C72" s="531"/>
      <c r="D72" s="149" t="s">
        <v>1622</v>
      </c>
      <c r="E72" s="132" t="e" cm="1">
        <f t="array" ref="E72">INDEX(Phys_Prop,MATCH(E71,Chem_List,0),$AD66)</f>
        <v>#N/A</v>
      </c>
      <c r="F72" s="132" t="e" cm="1">
        <f t="array" ref="F72">INDEX(Phys_Prop,MATCH(F71,Chem_List,0),$AD66)</f>
        <v>#N/A</v>
      </c>
      <c r="G72" s="132" t="e" cm="1">
        <f t="array" ref="G72">INDEX(Phys_Prop,MATCH(G71,Chem_List,0),$AD66)</f>
        <v>#N/A</v>
      </c>
      <c r="H72" s="132" t="e" cm="1">
        <f t="array" ref="H72">INDEX(Phys_Prop,MATCH(H71,Chem_List,0),$AD66)</f>
        <v>#N/A</v>
      </c>
      <c r="I72" s="132" t="e" cm="1">
        <f t="array" ref="I72">INDEX(Phys_Prop,MATCH(I71,Chem_List,0),$AD66)</f>
        <v>#N/A</v>
      </c>
      <c r="J72" s="132" t="e" cm="1">
        <f t="array" ref="J72">INDEX(Phys_Prop,MATCH(J71,Chem_List,0),$AD66)</f>
        <v>#N/A</v>
      </c>
      <c r="K72" s="132" t="e" cm="1">
        <f t="array" ref="K72">INDEX(Phys_Prop,MATCH(K71,Chem_List,0),$AD66)</f>
        <v>#N/A</v>
      </c>
      <c r="L72" s="132" t="e" cm="1">
        <f t="array" ref="L72">INDEX(Phys_Prop,MATCH(L71,Chem_List,0),$AD66)</f>
        <v>#N/A</v>
      </c>
      <c r="M72" s="132" t="e" cm="1">
        <f t="array" ref="M72">INDEX(Phys_Prop,MATCH(M71,Chem_List,0),$AD66)</f>
        <v>#N/A</v>
      </c>
      <c r="N72" s="132" t="e" cm="1">
        <f t="array" ref="N72">INDEX(Phys_Prop,MATCH(N71,Chem_List,0),$AD66)</f>
        <v>#N/A</v>
      </c>
      <c r="O72" s="132" t="e" cm="1">
        <f t="array" ref="O72">INDEX(Phys_Prop,MATCH(O71,Chem_List,0),$AD66)</f>
        <v>#N/A</v>
      </c>
      <c r="P72" s="132" t="e" cm="1">
        <f t="array" ref="P72">INDEX(Phys_Prop,MATCH(P71,Chem_List,0),$AD66)</f>
        <v>#N/A</v>
      </c>
      <c r="Q72" s="134" t="s">
        <v>1629</v>
      </c>
      <c r="W72" s="142">
        <f t="shared" si="39"/>
        <v>67</v>
      </c>
      <c r="X72" s="142"/>
      <c r="Y72" s="142"/>
      <c r="Z72" s="142"/>
    </row>
    <row r="73" spans="2:31" x14ac:dyDescent="0.4">
      <c r="B73" s="528"/>
      <c r="C73" s="531"/>
      <c r="D73" s="149" t="s">
        <v>1623</v>
      </c>
      <c r="E73" s="146" t="e">
        <f t="shared" ref="E73:P73" si="43">VLOOKUP(E71,RVP_XRef,2,FALSE)</f>
        <v>#N/A</v>
      </c>
      <c r="F73" s="146" t="e">
        <f t="shared" si="43"/>
        <v>#N/A</v>
      </c>
      <c r="G73" s="146" t="e">
        <f t="shared" si="43"/>
        <v>#N/A</v>
      </c>
      <c r="H73" s="146" t="e">
        <f t="shared" si="43"/>
        <v>#N/A</v>
      </c>
      <c r="I73" s="146" t="e">
        <f t="shared" si="43"/>
        <v>#N/A</v>
      </c>
      <c r="J73" s="146" t="e">
        <f t="shared" si="43"/>
        <v>#N/A</v>
      </c>
      <c r="K73" s="146" t="e">
        <f t="shared" si="43"/>
        <v>#N/A</v>
      </c>
      <c r="L73" s="146" t="e">
        <f t="shared" si="43"/>
        <v>#N/A</v>
      </c>
      <c r="M73" s="146" t="e">
        <f t="shared" si="43"/>
        <v>#N/A</v>
      </c>
      <c r="N73" s="146" t="e">
        <f t="shared" si="43"/>
        <v>#N/A</v>
      </c>
      <c r="O73" s="146" t="e">
        <f t="shared" si="43"/>
        <v>#N/A</v>
      </c>
      <c r="P73" s="146" t="e">
        <f t="shared" si="43"/>
        <v>#N/A</v>
      </c>
      <c r="Q73" s="133" t="s">
        <v>1629</v>
      </c>
      <c r="W73" s="142">
        <f t="shared" si="39"/>
        <v>68</v>
      </c>
      <c r="X73" s="142"/>
      <c r="Y73" s="142"/>
      <c r="Z73" s="142"/>
    </row>
    <row r="74" spans="2:31" x14ac:dyDescent="0.4">
      <c r="B74" s="528"/>
      <c r="C74" s="531"/>
      <c r="D74" s="150" t="s">
        <v>1624</v>
      </c>
      <c r="E74" s="145" t="str" cm="1">
        <f t="array" ref="E74">IFERROR(INDEX(Phys_Prop,MATCH(E71,Chem_List,0),$AE66),"N/A")</f>
        <v>N/A</v>
      </c>
      <c r="F74" s="145" t="str" cm="1">
        <f t="array" ref="F74">IFERROR(INDEX(Phys_Prop,MATCH(F71,Chem_List,0),$AE66),"N/A")</f>
        <v>N/A</v>
      </c>
      <c r="G74" s="145" t="str" cm="1">
        <f t="array" ref="G74">IFERROR(INDEX(Phys_Prop,MATCH(G71,Chem_List,0),$AE66),"N/A")</f>
        <v>N/A</v>
      </c>
      <c r="H74" s="145" t="str" cm="1">
        <f t="array" ref="H74">IFERROR(INDEX(Phys_Prop,MATCH(H71,Chem_List,0),$AE66),"N/A")</f>
        <v>N/A</v>
      </c>
      <c r="I74" s="145" t="str" cm="1">
        <f t="array" ref="I74">IFERROR(INDEX(Phys_Prop,MATCH(I71,Chem_List,0),$AE66),"N/A")</f>
        <v>N/A</v>
      </c>
      <c r="J74" s="145" t="str" cm="1">
        <f t="array" ref="J74">IFERROR(INDEX(Phys_Prop,MATCH(J71,Chem_List,0),$AE66),"N/A")</f>
        <v>N/A</v>
      </c>
      <c r="K74" s="145" t="str" cm="1">
        <f t="array" ref="K74">IFERROR(INDEX(Phys_Prop,MATCH(K71,Chem_List,0),$AE66),"N/A")</f>
        <v>N/A</v>
      </c>
      <c r="L74" s="145" t="str" cm="1">
        <f t="array" ref="L74">IFERROR(INDEX(Phys_Prop,MATCH(L71,Chem_List,0),$AE66),"N/A")</f>
        <v>N/A</v>
      </c>
      <c r="M74" s="145" t="str" cm="1">
        <f t="array" ref="M74">IFERROR(INDEX(Phys_Prop,MATCH(M71,Chem_List,0),$AE66),"N/A")</f>
        <v>N/A</v>
      </c>
      <c r="N74" s="145" t="str" cm="1">
        <f t="array" ref="N74">IFERROR(INDEX(Phys_Prop,MATCH(N71,Chem_List,0),$AE66),"N/A")</f>
        <v>N/A</v>
      </c>
      <c r="O74" s="145" t="str" cm="1">
        <f t="array" ref="O74">IFERROR(INDEX(Phys_Prop,MATCH(O71,Chem_List,0),$AE66),"N/A")</f>
        <v>N/A</v>
      </c>
      <c r="P74" s="145" t="str" cm="1">
        <f t="array" ref="P74">IFERROR(INDEX(Phys_Prop,MATCH(P71,Chem_List,0),$AE66),"N/A")</f>
        <v>N/A</v>
      </c>
      <c r="Q74" s="134" t="s">
        <v>1629</v>
      </c>
      <c r="W74" s="142">
        <f t="shared" si="39"/>
        <v>69</v>
      </c>
      <c r="X74" s="142"/>
      <c r="Y74" s="142"/>
      <c r="Z74" s="142"/>
    </row>
    <row r="75" spans="2:31" x14ac:dyDescent="0.4">
      <c r="B75" s="528"/>
      <c r="C75" s="531"/>
      <c r="D75" s="149" t="s">
        <v>1625</v>
      </c>
      <c r="E75" s="146">
        <f>IF(E71="Gasoline",0.25,0)</f>
        <v>0</v>
      </c>
      <c r="F75" s="146">
        <f t="shared" ref="F75:P75" si="44">IF(F71="Gasoline",0.25,0)</f>
        <v>0</v>
      </c>
      <c r="G75" s="146">
        <f t="shared" si="44"/>
        <v>0</v>
      </c>
      <c r="H75" s="146">
        <f t="shared" si="44"/>
        <v>0</v>
      </c>
      <c r="I75" s="146">
        <f t="shared" si="44"/>
        <v>0</v>
      </c>
      <c r="J75" s="146">
        <f t="shared" si="44"/>
        <v>0</v>
      </c>
      <c r="K75" s="146">
        <f t="shared" si="44"/>
        <v>0</v>
      </c>
      <c r="L75" s="146">
        <f t="shared" si="44"/>
        <v>0</v>
      </c>
      <c r="M75" s="146">
        <f t="shared" si="44"/>
        <v>0</v>
      </c>
      <c r="N75" s="146">
        <f t="shared" si="44"/>
        <v>0</v>
      </c>
      <c r="O75" s="146">
        <f t="shared" si="44"/>
        <v>0</v>
      </c>
      <c r="P75" s="146">
        <f t="shared" si="44"/>
        <v>0</v>
      </c>
      <c r="Q75" s="133" t="s">
        <v>1629</v>
      </c>
      <c r="W75" s="142">
        <f t="shared" si="39"/>
        <v>70</v>
      </c>
      <c r="X75" s="142"/>
      <c r="Y75" s="142"/>
      <c r="Z75" s="142"/>
    </row>
    <row r="76" spans="2:31" x14ac:dyDescent="0.4">
      <c r="B76" s="528"/>
      <c r="C76" s="531"/>
      <c r="D76" s="149" t="s">
        <v>1626</v>
      </c>
      <c r="E76" s="147" cm="1">
        <f t="array" ref="E76">INDEX(FLT_Setup,X76,Z76)</f>
        <v>35808</v>
      </c>
      <c r="F76" s="147">
        <f>E76</f>
        <v>35808</v>
      </c>
      <c r="G76" s="147">
        <f t="shared" ref="G76:P76" si="45">F76</f>
        <v>35808</v>
      </c>
      <c r="H76" s="147">
        <f t="shared" si="45"/>
        <v>35808</v>
      </c>
      <c r="I76" s="147">
        <f t="shared" si="45"/>
        <v>35808</v>
      </c>
      <c r="J76" s="147">
        <f t="shared" si="45"/>
        <v>35808</v>
      </c>
      <c r="K76" s="147">
        <f t="shared" si="45"/>
        <v>35808</v>
      </c>
      <c r="L76" s="147">
        <f t="shared" si="45"/>
        <v>35808</v>
      </c>
      <c r="M76" s="147">
        <f t="shared" si="45"/>
        <v>35808</v>
      </c>
      <c r="N76" s="147">
        <f t="shared" si="45"/>
        <v>35808</v>
      </c>
      <c r="O76" s="147">
        <f t="shared" si="45"/>
        <v>35808</v>
      </c>
      <c r="P76" s="147">
        <f t="shared" si="45"/>
        <v>35808</v>
      </c>
      <c r="Q76" s="135">
        <f>SUM(E76:P76)</f>
        <v>429696</v>
      </c>
      <c r="W76" s="142">
        <f t="shared" si="39"/>
        <v>71</v>
      </c>
      <c r="X76">
        <f>X66</f>
        <v>6</v>
      </c>
      <c r="Y76" s="142"/>
      <c r="Z76">
        <f>Z64</f>
        <v>9</v>
      </c>
    </row>
    <row r="77" spans="2:31" ht="15" thickBot="1" x14ac:dyDescent="0.45">
      <c r="B77" s="529"/>
      <c r="C77" s="532"/>
      <c r="D77" s="151" t="s">
        <v>1627</v>
      </c>
      <c r="E77" s="148"/>
      <c r="F77" s="136"/>
      <c r="G77" s="136"/>
      <c r="H77" s="136"/>
      <c r="I77" s="136"/>
      <c r="J77" s="136"/>
      <c r="K77" s="136"/>
      <c r="L77" s="136"/>
      <c r="M77" s="136"/>
      <c r="N77" s="136"/>
      <c r="O77" s="136"/>
      <c r="P77" s="136"/>
      <c r="Q77" s="137" t="e">
        <f>AVERAGE(E77:P77)</f>
        <v>#DIV/0!</v>
      </c>
      <c r="W77" s="156">
        <f t="shared" si="39"/>
        <v>72</v>
      </c>
      <c r="X77" s="156"/>
      <c r="Y77" s="156"/>
      <c r="Z77" s="156"/>
      <c r="AA77" s="11"/>
      <c r="AB77" s="11"/>
      <c r="AC77" s="11"/>
      <c r="AD77" s="11"/>
      <c r="AE77" s="11"/>
    </row>
    <row r="78" spans="2:31" ht="16.3" x14ac:dyDescent="0.4">
      <c r="B78" s="528" t="str" cm="1">
        <f t="array" ref="B78">INDEX(FLT_Cons,$AA78,$AB78)</f>
        <v>FLT - 7</v>
      </c>
      <c r="C78" s="531" t="str" cm="1">
        <f t="array" ref="C78">INDEX(FLT_Cons,$AA78,$AC78)</f>
        <v>INTANK 95</v>
      </c>
      <c r="D78" s="152" t="s">
        <v>1618</v>
      </c>
      <c r="E78" s="144" t="str" cm="1">
        <f t="array" ref="E78">INDEX(Surrogate_Lst,MATCH(INDEX(FLT_Setup,X78,Y78),Product_GRP,0),2)</f>
        <v>Jet kerosene</v>
      </c>
      <c r="F78" s="144" t="str">
        <f>E78</f>
        <v>Jet kerosene</v>
      </c>
      <c r="G78" s="144" t="str">
        <f t="shared" ref="G78:P78" si="46">F78</f>
        <v>Jet kerosene</v>
      </c>
      <c r="H78" s="144" t="str">
        <f t="shared" si="46"/>
        <v>Jet kerosene</v>
      </c>
      <c r="I78" s="144" t="str">
        <f t="shared" si="46"/>
        <v>Jet kerosene</v>
      </c>
      <c r="J78" s="144" t="str">
        <f t="shared" si="46"/>
        <v>Jet kerosene</v>
      </c>
      <c r="K78" s="144" t="str">
        <f t="shared" si="46"/>
        <v>Jet kerosene</v>
      </c>
      <c r="L78" s="144" t="str">
        <f t="shared" si="46"/>
        <v>Jet kerosene</v>
      </c>
      <c r="M78" s="144" t="str">
        <f t="shared" si="46"/>
        <v>Jet kerosene</v>
      </c>
      <c r="N78" s="144" t="str">
        <f t="shared" si="46"/>
        <v>Jet kerosene</v>
      </c>
      <c r="O78" s="144" t="str">
        <f t="shared" si="46"/>
        <v>Jet kerosene</v>
      </c>
      <c r="P78" s="144" t="str">
        <f t="shared" si="46"/>
        <v>Jet kerosene</v>
      </c>
      <c r="Q78" s="138" t="s">
        <v>1629</v>
      </c>
      <c r="W78" s="142">
        <f t="shared" si="39"/>
        <v>73</v>
      </c>
      <c r="X78">
        <f>X66+1</f>
        <v>7</v>
      </c>
      <c r="Y78" s="356">
        <v>3</v>
      </c>
      <c r="Z78" s="142"/>
      <c r="AA78">
        <f>AA66+1</f>
        <v>7</v>
      </c>
      <c r="AB78">
        <v>1</v>
      </c>
      <c r="AC78">
        <v>2</v>
      </c>
      <c r="AD78">
        <v>5</v>
      </c>
      <c r="AE78">
        <v>6</v>
      </c>
    </row>
    <row r="79" spans="2:31" x14ac:dyDescent="0.4">
      <c r="B79" s="528"/>
      <c r="C79" s="531"/>
      <c r="D79" s="150" t="s">
        <v>1615</v>
      </c>
      <c r="E79" s="145" t="str" cm="1">
        <f t="array" ref="E79">INDEX(Phys_Prop,MATCH(E78,Chem_List,0),$AD78)</f>
        <v>Select Pet Stock</v>
      </c>
      <c r="F79" s="145" t="str" cm="1">
        <f t="array" ref="F79">INDEX(Phys_Prop,MATCH(F78,Chem_List,0),$AD78)</f>
        <v>Select Pet Stock</v>
      </c>
      <c r="G79" s="145" t="str" cm="1">
        <f t="array" ref="G79">INDEX(Phys_Prop,MATCH(G78,Chem_List,0),$AD78)</f>
        <v>Select Pet Stock</v>
      </c>
      <c r="H79" s="145" t="str" cm="1">
        <f t="array" ref="H79">INDEX(Phys_Prop,MATCH(H78,Chem_List,0),$AD78)</f>
        <v>Select Pet Stock</v>
      </c>
      <c r="I79" s="132" t="str" cm="1">
        <f t="array" ref="I79">INDEX(Phys_Prop,MATCH(I78,Chem_List,0),$AD78)</f>
        <v>Select Pet Stock</v>
      </c>
      <c r="J79" s="132" t="str" cm="1">
        <f t="array" ref="J79">INDEX(Phys_Prop,MATCH(J78,Chem_List,0),$AD78)</f>
        <v>Select Pet Stock</v>
      </c>
      <c r="K79" s="132" t="str" cm="1">
        <f t="array" ref="K79">INDEX(Phys_Prop,MATCH(K78,Chem_List,0),$AD78)</f>
        <v>Select Pet Stock</v>
      </c>
      <c r="L79" s="132" t="str" cm="1">
        <f t="array" ref="L79">INDEX(Phys_Prop,MATCH(L78,Chem_List,0),$AD78)</f>
        <v>Select Pet Stock</v>
      </c>
      <c r="M79" s="132" t="str" cm="1">
        <f t="array" ref="M79">INDEX(Phys_Prop,MATCH(M78,Chem_List,0),$AD78)</f>
        <v>Select Pet Stock</v>
      </c>
      <c r="N79" s="132" t="str" cm="1">
        <f t="array" ref="N79">INDEX(Phys_Prop,MATCH(N78,Chem_List,0),$AD78)</f>
        <v>Select Pet Stock</v>
      </c>
      <c r="O79" s="132" t="str" cm="1">
        <f t="array" ref="O79">INDEX(Phys_Prop,MATCH(O78,Chem_List,0),$AD78)</f>
        <v>Select Pet Stock</v>
      </c>
      <c r="P79" s="132" t="str" cm="1">
        <f t="array" ref="P79">INDEX(Phys_Prop,MATCH(P78,Chem_List,0),$AD78)</f>
        <v>Select Pet Stock</v>
      </c>
      <c r="Q79" s="134" t="s">
        <v>1629</v>
      </c>
      <c r="W79" s="142">
        <f t="shared" si="39"/>
        <v>74</v>
      </c>
      <c r="X79" s="142"/>
      <c r="Y79" s="142"/>
      <c r="Z79" s="142"/>
    </row>
    <row r="80" spans="2:31" x14ac:dyDescent="0.4">
      <c r="B80" s="528"/>
      <c r="C80" s="531"/>
      <c r="D80" s="149" t="s">
        <v>1616</v>
      </c>
      <c r="E80" s="146" t="str">
        <f t="shared" ref="E80:P80" si="47">VLOOKUP(E78,RVP_XRef,2,FALSE)</f>
        <v>N/A</v>
      </c>
      <c r="F80" s="146" t="str">
        <f t="shared" si="47"/>
        <v>N/A</v>
      </c>
      <c r="G80" s="146" t="str">
        <f t="shared" si="47"/>
        <v>N/A</v>
      </c>
      <c r="H80" s="146" t="str">
        <f t="shared" si="47"/>
        <v>N/A</v>
      </c>
      <c r="I80" s="146" t="str">
        <f t="shared" si="47"/>
        <v>N/A</v>
      </c>
      <c r="J80" s="146" t="str">
        <f t="shared" si="47"/>
        <v>N/A</v>
      </c>
      <c r="K80" s="146" t="str">
        <f t="shared" si="47"/>
        <v>N/A</v>
      </c>
      <c r="L80" s="146" t="str">
        <f t="shared" si="47"/>
        <v>N/A</v>
      </c>
      <c r="M80" s="146" t="str">
        <f t="shared" si="47"/>
        <v>N/A</v>
      </c>
      <c r="N80" s="146" t="str">
        <f t="shared" si="47"/>
        <v>N/A</v>
      </c>
      <c r="O80" s="146" t="str">
        <f t="shared" si="47"/>
        <v>N/A</v>
      </c>
      <c r="P80" s="146" t="str">
        <f t="shared" si="47"/>
        <v>N/A</v>
      </c>
      <c r="Q80" s="133" t="s">
        <v>1629</v>
      </c>
      <c r="W80" s="142">
        <f t="shared" si="39"/>
        <v>75</v>
      </c>
      <c r="X80" s="142"/>
      <c r="Y80" s="142"/>
      <c r="Z80" s="142"/>
    </row>
    <row r="81" spans="2:31" x14ac:dyDescent="0.4">
      <c r="B81" s="528"/>
      <c r="C81" s="531"/>
      <c r="D81" s="150" t="s">
        <v>1617</v>
      </c>
      <c r="E81" s="145" cm="1">
        <f t="array" ref="E81">INDEX(Phys_Prop,MATCH(E78,Chem_List,0),$AE78)</f>
        <v>0</v>
      </c>
      <c r="F81" s="145" cm="1">
        <f t="array" ref="F81">INDEX(Phys_Prop,MATCH(F78,Chem_List,0),$AE78)</f>
        <v>0</v>
      </c>
      <c r="G81" s="145" cm="1">
        <f t="array" ref="G81">INDEX(Phys_Prop,MATCH(G78,Chem_List,0),$AE78)</f>
        <v>0</v>
      </c>
      <c r="H81" s="145" cm="1">
        <f t="array" ref="H81">INDEX(Phys_Prop,MATCH(H78,Chem_List,0),$AE78)</f>
        <v>0</v>
      </c>
      <c r="I81" s="132" cm="1">
        <f t="array" ref="I81">INDEX(Phys_Prop,MATCH(I78,Chem_List,0),$AE78)</f>
        <v>0</v>
      </c>
      <c r="J81" s="132" cm="1">
        <f t="array" ref="J81">INDEX(Phys_Prop,MATCH(J78,Chem_List,0),$AE78)</f>
        <v>0</v>
      </c>
      <c r="K81" s="132" cm="1">
        <f t="array" ref="K81">INDEX(Phys_Prop,MATCH(K78,Chem_List,0),$AE78)</f>
        <v>0</v>
      </c>
      <c r="L81" s="132" cm="1">
        <f t="array" ref="L81">INDEX(Phys_Prop,MATCH(L78,Chem_List,0),$AE78)</f>
        <v>0</v>
      </c>
      <c r="M81" s="132" cm="1">
        <f t="array" ref="M81">INDEX(Phys_Prop,MATCH(M78,Chem_List,0),$AE78)</f>
        <v>0</v>
      </c>
      <c r="N81" s="132" cm="1">
        <f t="array" ref="N81">INDEX(Phys_Prop,MATCH(N78,Chem_List,0),$AE78)</f>
        <v>0</v>
      </c>
      <c r="O81" s="132" cm="1">
        <f t="array" ref="O81">INDEX(Phys_Prop,MATCH(O78,Chem_List,0),$AE78)</f>
        <v>0</v>
      </c>
      <c r="P81" s="132" cm="1">
        <f t="array" ref="P81">INDEX(Phys_Prop,MATCH(P78,Chem_List,0),$AE78)</f>
        <v>0</v>
      </c>
      <c r="Q81" s="134" t="s">
        <v>1629</v>
      </c>
      <c r="W81" s="142">
        <f t="shared" si="39"/>
        <v>76</v>
      </c>
      <c r="X81" s="142"/>
      <c r="Y81" s="142"/>
      <c r="Z81" s="142"/>
    </row>
    <row r="82" spans="2:31" x14ac:dyDescent="0.4">
      <c r="B82" s="528"/>
      <c r="C82" s="531"/>
      <c r="D82" s="150" t="s">
        <v>1620</v>
      </c>
      <c r="E82" s="145">
        <f>1-E87</f>
        <v>1</v>
      </c>
      <c r="F82" s="145">
        <f>1-F87</f>
        <v>1</v>
      </c>
      <c r="G82" s="145">
        <f>1-G87</f>
        <v>1</v>
      </c>
      <c r="H82" s="145">
        <f>1-H87</f>
        <v>1</v>
      </c>
      <c r="I82" s="132">
        <f t="shared" ref="I82:P82" si="48">1-I87</f>
        <v>1</v>
      </c>
      <c r="J82" s="132">
        <f t="shared" si="48"/>
        <v>1</v>
      </c>
      <c r="K82" s="132">
        <f t="shared" si="48"/>
        <v>1</v>
      </c>
      <c r="L82" s="132">
        <f t="shared" si="48"/>
        <v>1</v>
      </c>
      <c r="M82" s="132">
        <f t="shared" si="48"/>
        <v>1</v>
      </c>
      <c r="N82" s="132">
        <f t="shared" si="48"/>
        <v>1</v>
      </c>
      <c r="O82" s="132">
        <f t="shared" si="48"/>
        <v>1</v>
      </c>
      <c r="P82" s="132">
        <f t="shared" si="48"/>
        <v>1</v>
      </c>
      <c r="Q82" s="134" t="s">
        <v>1629</v>
      </c>
      <c r="W82" s="142">
        <f t="shared" si="39"/>
        <v>77</v>
      </c>
      <c r="X82" s="142"/>
      <c r="Y82" s="142"/>
      <c r="Z82" s="142"/>
    </row>
    <row r="83" spans="2:31" ht="16.3" x14ac:dyDescent="0.4">
      <c r="B83" s="528"/>
      <c r="C83" s="531"/>
      <c r="D83" s="149" t="s">
        <v>1621</v>
      </c>
      <c r="E83" s="146" t="str">
        <f>IF(E78="Ethanol","Gasoline","")</f>
        <v/>
      </c>
      <c r="F83" s="146" t="str">
        <f>E83</f>
        <v/>
      </c>
      <c r="G83" s="146" t="str">
        <f t="shared" ref="G83:P83" si="49">F83</f>
        <v/>
      </c>
      <c r="H83" s="146" t="str">
        <f t="shared" si="49"/>
        <v/>
      </c>
      <c r="I83" s="146" t="str">
        <f t="shared" si="49"/>
        <v/>
      </c>
      <c r="J83" s="146" t="str">
        <f t="shared" si="49"/>
        <v/>
      </c>
      <c r="K83" s="146" t="str">
        <f t="shared" si="49"/>
        <v/>
      </c>
      <c r="L83" s="146" t="str">
        <f t="shared" si="49"/>
        <v/>
      </c>
      <c r="M83" s="146" t="str">
        <f t="shared" si="49"/>
        <v/>
      </c>
      <c r="N83" s="146" t="str">
        <f t="shared" si="49"/>
        <v/>
      </c>
      <c r="O83" s="146" t="str">
        <f t="shared" si="49"/>
        <v/>
      </c>
      <c r="P83" s="146" t="str">
        <f t="shared" si="49"/>
        <v/>
      </c>
      <c r="Q83" s="133" t="s">
        <v>1629</v>
      </c>
      <c r="W83" s="142">
        <f t="shared" si="39"/>
        <v>78</v>
      </c>
      <c r="X83" s="142"/>
      <c r="Y83" s="142"/>
      <c r="Z83" s="142"/>
    </row>
    <row r="84" spans="2:31" x14ac:dyDescent="0.4">
      <c r="B84" s="528"/>
      <c r="C84" s="531"/>
      <c r="D84" s="149" t="s">
        <v>1622</v>
      </c>
      <c r="E84" s="132" t="e" cm="1">
        <f t="array" ref="E84">INDEX(Phys_Prop,MATCH(E83,Chem_List,0),$AD78)</f>
        <v>#N/A</v>
      </c>
      <c r="F84" s="132" t="e" cm="1">
        <f t="array" ref="F84">INDEX(Phys_Prop,MATCH(F83,Chem_List,0),$AD78)</f>
        <v>#N/A</v>
      </c>
      <c r="G84" s="132" t="e" cm="1">
        <f t="array" ref="G84">INDEX(Phys_Prop,MATCH(G83,Chem_List,0),$AD78)</f>
        <v>#N/A</v>
      </c>
      <c r="H84" s="132" t="e" cm="1">
        <f t="array" ref="H84">INDEX(Phys_Prop,MATCH(H83,Chem_List,0),$AD78)</f>
        <v>#N/A</v>
      </c>
      <c r="I84" s="132" t="e" cm="1">
        <f t="array" ref="I84">INDEX(Phys_Prop,MATCH(I83,Chem_List,0),$AD78)</f>
        <v>#N/A</v>
      </c>
      <c r="J84" s="132" t="e" cm="1">
        <f t="array" ref="J84">INDEX(Phys_Prop,MATCH(J83,Chem_List,0),$AD78)</f>
        <v>#N/A</v>
      </c>
      <c r="K84" s="132" t="e" cm="1">
        <f t="array" ref="K84">INDEX(Phys_Prop,MATCH(K83,Chem_List,0),$AD78)</f>
        <v>#N/A</v>
      </c>
      <c r="L84" s="132" t="e" cm="1">
        <f t="array" ref="L84">INDEX(Phys_Prop,MATCH(L83,Chem_List,0),$AD78)</f>
        <v>#N/A</v>
      </c>
      <c r="M84" s="132" t="e" cm="1">
        <f t="array" ref="M84">INDEX(Phys_Prop,MATCH(M83,Chem_List,0),$AD78)</f>
        <v>#N/A</v>
      </c>
      <c r="N84" s="132" t="e" cm="1">
        <f t="array" ref="N84">INDEX(Phys_Prop,MATCH(N83,Chem_List,0),$AD78)</f>
        <v>#N/A</v>
      </c>
      <c r="O84" s="132" t="e" cm="1">
        <f t="array" ref="O84">INDEX(Phys_Prop,MATCH(O83,Chem_List,0),$AD78)</f>
        <v>#N/A</v>
      </c>
      <c r="P84" s="132" t="e" cm="1">
        <f t="array" ref="P84">INDEX(Phys_Prop,MATCH(P83,Chem_List,0),$AD78)</f>
        <v>#N/A</v>
      </c>
      <c r="Q84" s="134" t="s">
        <v>1629</v>
      </c>
      <c r="W84" s="142">
        <f t="shared" si="39"/>
        <v>79</v>
      </c>
      <c r="X84" s="142"/>
      <c r="Y84" s="142"/>
      <c r="Z84" s="142"/>
    </row>
    <row r="85" spans="2:31" x14ac:dyDescent="0.4">
      <c r="B85" s="528"/>
      <c r="C85" s="531"/>
      <c r="D85" s="149" t="s">
        <v>1623</v>
      </c>
      <c r="E85" s="146" t="e">
        <f t="shared" ref="E85:P85" si="50">VLOOKUP(E83,RVP_XRef,2,FALSE)</f>
        <v>#N/A</v>
      </c>
      <c r="F85" s="146" t="e">
        <f t="shared" si="50"/>
        <v>#N/A</v>
      </c>
      <c r="G85" s="146" t="e">
        <f t="shared" si="50"/>
        <v>#N/A</v>
      </c>
      <c r="H85" s="146" t="e">
        <f t="shared" si="50"/>
        <v>#N/A</v>
      </c>
      <c r="I85" s="146" t="e">
        <f t="shared" si="50"/>
        <v>#N/A</v>
      </c>
      <c r="J85" s="146" t="e">
        <f t="shared" si="50"/>
        <v>#N/A</v>
      </c>
      <c r="K85" s="146" t="e">
        <f t="shared" si="50"/>
        <v>#N/A</v>
      </c>
      <c r="L85" s="146" t="e">
        <f t="shared" si="50"/>
        <v>#N/A</v>
      </c>
      <c r="M85" s="146" t="e">
        <f t="shared" si="50"/>
        <v>#N/A</v>
      </c>
      <c r="N85" s="146" t="e">
        <f t="shared" si="50"/>
        <v>#N/A</v>
      </c>
      <c r="O85" s="146" t="e">
        <f t="shared" si="50"/>
        <v>#N/A</v>
      </c>
      <c r="P85" s="146" t="e">
        <f t="shared" si="50"/>
        <v>#N/A</v>
      </c>
      <c r="Q85" s="133" t="s">
        <v>1629</v>
      </c>
      <c r="W85" s="142">
        <f t="shared" si="39"/>
        <v>80</v>
      </c>
      <c r="X85" s="142"/>
      <c r="Y85" s="142"/>
      <c r="Z85" s="142"/>
    </row>
    <row r="86" spans="2:31" x14ac:dyDescent="0.4">
      <c r="B86" s="528"/>
      <c r="C86" s="531"/>
      <c r="D86" s="150" t="s">
        <v>1624</v>
      </c>
      <c r="E86" s="145" t="str" cm="1">
        <f t="array" ref="E86">IFERROR(INDEX(Phys_Prop,MATCH(E83,Chem_List,0),$AE78),"N/A")</f>
        <v>N/A</v>
      </c>
      <c r="F86" s="145" t="str" cm="1">
        <f t="array" ref="F86">IFERROR(INDEX(Phys_Prop,MATCH(F83,Chem_List,0),$AE78),"N/A")</f>
        <v>N/A</v>
      </c>
      <c r="G86" s="145" t="str" cm="1">
        <f t="array" ref="G86">IFERROR(INDEX(Phys_Prop,MATCH(G83,Chem_List,0),$AE78),"N/A")</f>
        <v>N/A</v>
      </c>
      <c r="H86" s="145" t="str" cm="1">
        <f t="array" ref="H86">IFERROR(INDEX(Phys_Prop,MATCH(H83,Chem_List,0),$AE78),"N/A")</f>
        <v>N/A</v>
      </c>
      <c r="I86" s="145" t="str" cm="1">
        <f t="array" ref="I86">IFERROR(INDEX(Phys_Prop,MATCH(I83,Chem_List,0),$AE78),"N/A")</f>
        <v>N/A</v>
      </c>
      <c r="J86" s="145" t="str" cm="1">
        <f t="array" ref="J86">IFERROR(INDEX(Phys_Prop,MATCH(J83,Chem_List,0),$AE78),"N/A")</f>
        <v>N/A</v>
      </c>
      <c r="K86" s="145" t="str" cm="1">
        <f t="array" ref="K86">IFERROR(INDEX(Phys_Prop,MATCH(K83,Chem_List,0),$AE78),"N/A")</f>
        <v>N/A</v>
      </c>
      <c r="L86" s="145" t="str" cm="1">
        <f t="array" ref="L86">IFERROR(INDEX(Phys_Prop,MATCH(L83,Chem_List,0),$AE78),"N/A")</f>
        <v>N/A</v>
      </c>
      <c r="M86" s="145" t="str" cm="1">
        <f t="array" ref="M86">IFERROR(INDEX(Phys_Prop,MATCH(M83,Chem_List,0),$AE78),"N/A")</f>
        <v>N/A</v>
      </c>
      <c r="N86" s="145" t="str" cm="1">
        <f t="array" ref="N86">IFERROR(INDEX(Phys_Prop,MATCH(N83,Chem_List,0),$AE78),"N/A")</f>
        <v>N/A</v>
      </c>
      <c r="O86" s="145" t="str" cm="1">
        <f t="array" ref="O86">IFERROR(INDEX(Phys_Prop,MATCH(O83,Chem_List,0),$AE78),"N/A")</f>
        <v>N/A</v>
      </c>
      <c r="P86" s="145" t="str" cm="1">
        <f t="array" ref="P86">IFERROR(INDEX(Phys_Prop,MATCH(P83,Chem_List,0),$AE78),"N/A")</f>
        <v>N/A</v>
      </c>
      <c r="Q86" s="134" t="s">
        <v>1629</v>
      </c>
      <c r="W86" s="142">
        <f t="shared" si="39"/>
        <v>81</v>
      </c>
      <c r="X86" s="142"/>
      <c r="Y86" s="142"/>
      <c r="Z86" s="142"/>
    </row>
    <row r="87" spans="2:31" x14ac:dyDescent="0.4">
      <c r="B87" s="528"/>
      <c r="C87" s="531"/>
      <c r="D87" s="149" t="s">
        <v>1625</v>
      </c>
      <c r="E87" s="146">
        <f>IF(E83="Gasoline",0.25,0)</f>
        <v>0</v>
      </c>
      <c r="F87" s="146">
        <f t="shared" ref="F87:P87" si="51">IF(F83="Gasoline",0.25,0)</f>
        <v>0</v>
      </c>
      <c r="G87" s="146">
        <f t="shared" si="51"/>
        <v>0</v>
      </c>
      <c r="H87" s="146">
        <f t="shared" si="51"/>
        <v>0</v>
      </c>
      <c r="I87" s="146">
        <f t="shared" si="51"/>
        <v>0</v>
      </c>
      <c r="J87" s="146">
        <f t="shared" si="51"/>
        <v>0</v>
      </c>
      <c r="K87" s="146">
        <f t="shared" si="51"/>
        <v>0</v>
      </c>
      <c r="L87" s="146">
        <f t="shared" si="51"/>
        <v>0</v>
      </c>
      <c r="M87" s="146">
        <f t="shared" si="51"/>
        <v>0</v>
      </c>
      <c r="N87" s="146">
        <f t="shared" si="51"/>
        <v>0</v>
      </c>
      <c r="O87" s="146">
        <f t="shared" si="51"/>
        <v>0</v>
      </c>
      <c r="P87" s="146">
        <f t="shared" si="51"/>
        <v>0</v>
      </c>
      <c r="Q87" s="133" t="s">
        <v>1629</v>
      </c>
      <c r="W87" s="142">
        <f t="shared" si="39"/>
        <v>82</v>
      </c>
      <c r="X87" s="142"/>
      <c r="Y87" s="142"/>
      <c r="Z87" s="142"/>
    </row>
    <row r="88" spans="2:31" x14ac:dyDescent="0.4">
      <c r="B88" s="528"/>
      <c r="C88" s="531"/>
      <c r="D88" s="149" t="s">
        <v>1626</v>
      </c>
      <c r="E88" s="147" cm="1">
        <f t="array" ref="E88">INDEX(FLT_Setup,X88,Z88)</f>
        <v>9668</v>
      </c>
      <c r="F88" s="147">
        <f>E88</f>
        <v>9668</v>
      </c>
      <c r="G88" s="147">
        <f t="shared" ref="G88:P88" si="52">F88</f>
        <v>9668</v>
      </c>
      <c r="H88" s="147">
        <f t="shared" si="52"/>
        <v>9668</v>
      </c>
      <c r="I88" s="147">
        <f t="shared" si="52"/>
        <v>9668</v>
      </c>
      <c r="J88" s="147">
        <f t="shared" si="52"/>
        <v>9668</v>
      </c>
      <c r="K88" s="147">
        <f t="shared" si="52"/>
        <v>9668</v>
      </c>
      <c r="L88" s="147">
        <f t="shared" si="52"/>
        <v>9668</v>
      </c>
      <c r="M88" s="147">
        <f t="shared" si="52"/>
        <v>9668</v>
      </c>
      <c r="N88" s="147">
        <f t="shared" si="52"/>
        <v>9668</v>
      </c>
      <c r="O88" s="147">
        <f t="shared" si="52"/>
        <v>9668</v>
      </c>
      <c r="P88" s="147">
        <f t="shared" si="52"/>
        <v>9668</v>
      </c>
      <c r="Q88" s="135">
        <f>SUM(E88:P88)</f>
        <v>116016</v>
      </c>
      <c r="W88" s="142">
        <f t="shared" si="39"/>
        <v>83</v>
      </c>
      <c r="X88">
        <f>X78</f>
        <v>7</v>
      </c>
      <c r="Y88" s="142"/>
      <c r="Z88">
        <f>Z76</f>
        <v>9</v>
      </c>
    </row>
    <row r="89" spans="2:31" ht="15" thickBot="1" x14ac:dyDescent="0.45">
      <c r="B89" s="529"/>
      <c r="C89" s="532"/>
      <c r="D89" s="151" t="s">
        <v>1627</v>
      </c>
      <c r="E89" s="148"/>
      <c r="F89" s="136"/>
      <c r="G89" s="136"/>
      <c r="H89" s="136"/>
      <c r="I89" s="136"/>
      <c r="J89" s="136"/>
      <c r="K89" s="136"/>
      <c r="L89" s="136"/>
      <c r="M89" s="136"/>
      <c r="N89" s="136"/>
      <c r="O89" s="136"/>
      <c r="P89" s="136"/>
      <c r="Q89" s="137" t="e">
        <f>AVERAGE(E89:P89)</f>
        <v>#DIV/0!</v>
      </c>
      <c r="W89" s="156">
        <f t="shared" si="39"/>
        <v>84</v>
      </c>
      <c r="X89" s="156"/>
      <c r="Y89" s="156"/>
      <c r="Z89" s="156"/>
      <c r="AA89" s="11"/>
      <c r="AB89" s="11"/>
      <c r="AC89" s="11"/>
      <c r="AD89" s="11"/>
      <c r="AE89" s="11"/>
    </row>
    <row r="90" spans="2:31" ht="16.3" x14ac:dyDescent="0.4">
      <c r="B90" s="528" t="str" cm="1">
        <f t="array" ref="B90">INDEX(FLT_Cons,$AA90,$AB90)</f>
        <v>FLT - 8</v>
      </c>
      <c r="C90" s="531" t="str" cm="1">
        <f t="array" ref="C90">INDEX(FLT_Cons,$AA90,$AC90)</f>
        <v>INTANK 104</v>
      </c>
      <c r="D90" s="152" t="s">
        <v>1618</v>
      </c>
      <c r="E90" s="144" t="str" cm="1">
        <f t="array" ref="E90">INDEX(Surrogate_Lst,MATCH(INDEX(FLT_Setup,X90,Y90),Product_GRP,0),2)</f>
        <v>Bakken Crude</v>
      </c>
      <c r="F90" s="144" t="str">
        <f>E90</f>
        <v>Bakken Crude</v>
      </c>
      <c r="G90" s="144" t="str">
        <f t="shared" ref="G90:P90" si="53">F90</f>
        <v>Bakken Crude</v>
      </c>
      <c r="H90" s="144" t="str">
        <f t="shared" si="53"/>
        <v>Bakken Crude</v>
      </c>
      <c r="I90" s="144" t="str">
        <f t="shared" si="53"/>
        <v>Bakken Crude</v>
      </c>
      <c r="J90" s="144" t="str">
        <f t="shared" si="53"/>
        <v>Bakken Crude</v>
      </c>
      <c r="K90" s="144" t="str">
        <f t="shared" si="53"/>
        <v>Bakken Crude</v>
      </c>
      <c r="L90" s="144" t="str">
        <f t="shared" si="53"/>
        <v>Bakken Crude</v>
      </c>
      <c r="M90" s="144" t="str">
        <f t="shared" si="53"/>
        <v>Bakken Crude</v>
      </c>
      <c r="N90" s="144" t="str">
        <f t="shared" si="53"/>
        <v>Bakken Crude</v>
      </c>
      <c r="O90" s="144" t="str">
        <f t="shared" si="53"/>
        <v>Bakken Crude</v>
      </c>
      <c r="P90" s="144" t="str">
        <f t="shared" si="53"/>
        <v>Bakken Crude</v>
      </c>
      <c r="Q90" s="138" t="s">
        <v>1629</v>
      </c>
      <c r="W90" s="142">
        <f t="shared" si="39"/>
        <v>85</v>
      </c>
      <c r="X90">
        <f>X78+1</f>
        <v>8</v>
      </c>
      <c r="Y90" s="356">
        <v>3</v>
      </c>
      <c r="Z90" s="142"/>
      <c r="AA90">
        <f>AA78+1</f>
        <v>8</v>
      </c>
      <c r="AB90">
        <v>1</v>
      </c>
      <c r="AC90">
        <v>2</v>
      </c>
      <c r="AD90">
        <v>5</v>
      </c>
      <c r="AE90">
        <v>6</v>
      </c>
    </row>
    <row r="91" spans="2:31" x14ac:dyDescent="0.4">
      <c r="B91" s="528"/>
      <c r="C91" s="531"/>
      <c r="D91" s="150" t="s">
        <v>1615</v>
      </c>
      <c r="E91" s="145" t="str" cm="1">
        <f t="array" ref="E91">INDEX(Phys_Prop,MATCH(E90,Chem_List,0),$AD90)</f>
        <v>Crude Oil</v>
      </c>
      <c r="F91" s="145" t="str" cm="1">
        <f t="array" ref="F91">INDEX(Phys_Prop,MATCH(F90,Chem_List,0),$AD90)</f>
        <v>Crude Oil</v>
      </c>
      <c r="G91" s="145" t="str" cm="1">
        <f t="array" ref="G91">INDEX(Phys_Prop,MATCH(G90,Chem_List,0),$AD90)</f>
        <v>Crude Oil</v>
      </c>
      <c r="H91" s="145" t="str" cm="1">
        <f t="array" ref="H91">INDEX(Phys_Prop,MATCH(H90,Chem_List,0),$AD90)</f>
        <v>Crude Oil</v>
      </c>
      <c r="I91" s="132" t="str" cm="1">
        <f t="array" ref="I91">INDEX(Phys_Prop,MATCH(I90,Chem_List,0),$AD90)</f>
        <v>Crude Oil</v>
      </c>
      <c r="J91" s="132" t="str" cm="1">
        <f t="array" ref="J91">INDEX(Phys_Prop,MATCH(J90,Chem_List,0),$AD90)</f>
        <v>Crude Oil</v>
      </c>
      <c r="K91" s="132" t="str" cm="1">
        <f t="array" ref="K91">INDEX(Phys_Prop,MATCH(K90,Chem_List,0),$AD90)</f>
        <v>Crude Oil</v>
      </c>
      <c r="L91" s="132" t="str" cm="1">
        <f t="array" ref="L91">INDEX(Phys_Prop,MATCH(L90,Chem_List,0),$AD90)</f>
        <v>Crude Oil</v>
      </c>
      <c r="M91" s="132" t="str" cm="1">
        <f t="array" ref="M91">INDEX(Phys_Prop,MATCH(M90,Chem_List,0),$AD90)</f>
        <v>Crude Oil</v>
      </c>
      <c r="N91" s="132" t="str" cm="1">
        <f t="array" ref="N91">INDEX(Phys_Prop,MATCH(N90,Chem_List,0),$AD90)</f>
        <v>Crude Oil</v>
      </c>
      <c r="O91" s="132" t="str" cm="1">
        <f t="array" ref="O91">INDEX(Phys_Prop,MATCH(O90,Chem_List,0),$AD90)</f>
        <v>Crude Oil</v>
      </c>
      <c r="P91" s="132" t="str" cm="1">
        <f t="array" ref="P91">INDEX(Phys_Prop,MATCH(P90,Chem_List,0),$AD90)</f>
        <v>Crude Oil</v>
      </c>
      <c r="Q91" s="134" t="s">
        <v>1629</v>
      </c>
      <c r="W91" s="142">
        <f t="shared" si="39"/>
        <v>86</v>
      </c>
      <c r="X91" s="142"/>
      <c r="Y91" s="142"/>
      <c r="Z91" s="142"/>
    </row>
    <row r="92" spans="2:31" x14ac:dyDescent="0.4">
      <c r="B92" s="528"/>
      <c r="C92" s="531"/>
      <c r="D92" s="149" t="s">
        <v>1616</v>
      </c>
      <c r="E92" s="146">
        <f t="shared" ref="E92:P92" si="54">VLOOKUP(E90,RVP_XRef,2,FALSE)</f>
        <v>10.199999999999999</v>
      </c>
      <c r="F92" s="146">
        <f t="shared" si="54"/>
        <v>10.199999999999999</v>
      </c>
      <c r="G92" s="146">
        <f t="shared" si="54"/>
        <v>10.199999999999999</v>
      </c>
      <c r="H92" s="146">
        <f t="shared" si="54"/>
        <v>10.199999999999999</v>
      </c>
      <c r="I92" s="146">
        <f t="shared" si="54"/>
        <v>10.199999999999999</v>
      </c>
      <c r="J92" s="146">
        <f t="shared" si="54"/>
        <v>10.199999999999999</v>
      </c>
      <c r="K92" s="146">
        <f t="shared" si="54"/>
        <v>10.199999999999999</v>
      </c>
      <c r="L92" s="146">
        <f t="shared" si="54"/>
        <v>10.199999999999999</v>
      </c>
      <c r="M92" s="146">
        <f t="shared" si="54"/>
        <v>10.199999999999999</v>
      </c>
      <c r="N92" s="146">
        <f t="shared" si="54"/>
        <v>10.199999999999999</v>
      </c>
      <c r="O92" s="146">
        <f t="shared" si="54"/>
        <v>10.199999999999999</v>
      </c>
      <c r="P92" s="146">
        <f t="shared" si="54"/>
        <v>10.199999999999999</v>
      </c>
      <c r="Q92" s="133" t="s">
        <v>1629</v>
      </c>
      <c r="W92" s="142">
        <f t="shared" si="39"/>
        <v>87</v>
      </c>
      <c r="X92" s="142"/>
      <c r="Y92" s="142"/>
      <c r="Z92" s="142"/>
    </row>
    <row r="93" spans="2:31" x14ac:dyDescent="0.4">
      <c r="B93" s="528"/>
      <c r="C93" s="531"/>
      <c r="D93" s="150" t="s">
        <v>1617</v>
      </c>
      <c r="E93" s="145" cm="1">
        <f t="array" ref="E93">INDEX(Phys_Prop,MATCH(E90,Chem_List,0),$AE90)</f>
        <v>0</v>
      </c>
      <c r="F93" s="145" cm="1">
        <f t="array" ref="F93">INDEX(Phys_Prop,MATCH(F90,Chem_List,0),$AE90)</f>
        <v>0</v>
      </c>
      <c r="G93" s="145" cm="1">
        <f t="array" ref="G93">INDEX(Phys_Prop,MATCH(G90,Chem_List,0),$AE90)</f>
        <v>0</v>
      </c>
      <c r="H93" s="145" cm="1">
        <f t="array" ref="H93">INDEX(Phys_Prop,MATCH(H90,Chem_List,0),$AE90)</f>
        <v>0</v>
      </c>
      <c r="I93" s="132" cm="1">
        <f t="array" ref="I93">INDEX(Phys_Prop,MATCH(I90,Chem_List,0),$AE90)</f>
        <v>0</v>
      </c>
      <c r="J93" s="132" cm="1">
        <f t="array" ref="J93">INDEX(Phys_Prop,MATCH(J90,Chem_List,0),$AE90)</f>
        <v>0</v>
      </c>
      <c r="K93" s="132" cm="1">
        <f t="array" ref="K93">INDEX(Phys_Prop,MATCH(K90,Chem_List,0),$AE90)</f>
        <v>0</v>
      </c>
      <c r="L93" s="132" cm="1">
        <f t="array" ref="L93">INDEX(Phys_Prop,MATCH(L90,Chem_List,0),$AE90)</f>
        <v>0</v>
      </c>
      <c r="M93" s="132" cm="1">
        <f t="array" ref="M93">INDEX(Phys_Prop,MATCH(M90,Chem_List,0),$AE90)</f>
        <v>0</v>
      </c>
      <c r="N93" s="132" cm="1">
        <f t="array" ref="N93">INDEX(Phys_Prop,MATCH(N90,Chem_List,0),$AE90)</f>
        <v>0</v>
      </c>
      <c r="O93" s="132" cm="1">
        <f t="array" ref="O93">INDEX(Phys_Prop,MATCH(O90,Chem_List,0),$AE90)</f>
        <v>0</v>
      </c>
      <c r="P93" s="132" cm="1">
        <f t="array" ref="P93">INDEX(Phys_Prop,MATCH(P90,Chem_List,0),$AE90)</f>
        <v>0</v>
      </c>
      <c r="Q93" s="134" t="s">
        <v>1629</v>
      </c>
      <c r="W93" s="142">
        <f t="shared" si="39"/>
        <v>88</v>
      </c>
      <c r="X93" s="142"/>
      <c r="Y93" s="142"/>
      <c r="Z93" s="142"/>
    </row>
    <row r="94" spans="2:31" x14ac:dyDescent="0.4">
      <c r="B94" s="528"/>
      <c r="C94" s="531"/>
      <c r="D94" s="150" t="s">
        <v>1620</v>
      </c>
      <c r="E94" s="145">
        <f>1-E99</f>
        <v>1</v>
      </c>
      <c r="F94" s="145">
        <f>1-F99</f>
        <v>1</v>
      </c>
      <c r="G94" s="145">
        <f>1-G99</f>
        <v>1</v>
      </c>
      <c r="H94" s="145">
        <f>1-H99</f>
        <v>1</v>
      </c>
      <c r="I94" s="132">
        <f t="shared" ref="I94:P94" si="55">1-I99</f>
        <v>1</v>
      </c>
      <c r="J94" s="132">
        <f t="shared" si="55"/>
        <v>1</v>
      </c>
      <c r="K94" s="132">
        <f t="shared" si="55"/>
        <v>1</v>
      </c>
      <c r="L94" s="132">
        <f t="shared" si="55"/>
        <v>1</v>
      </c>
      <c r="M94" s="132">
        <f t="shared" si="55"/>
        <v>1</v>
      </c>
      <c r="N94" s="132">
        <f t="shared" si="55"/>
        <v>1</v>
      </c>
      <c r="O94" s="132">
        <f t="shared" si="55"/>
        <v>1</v>
      </c>
      <c r="P94" s="132">
        <f t="shared" si="55"/>
        <v>1</v>
      </c>
      <c r="Q94" s="134" t="s">
        <v>1629</v>
      </c>
      <c r="W94" s="142">
        <f t="shared" si="39"/>
        <v>89</v>
      </c>
      <c r="X94" s="142"/>
      <c r="Y94" s="142"/>
      <c r="Z94" s="142"/>
    </row>
    <row r="95" spans="2:31" ht="16.3" x14ac:dyDescent="0.4">
      <c r="B95" s="528"/>
      <c r="C95" s="531"/>
      <c r="D95" s="149" t="s">
        <v>1621</v>
      </c>
      <c r="E95" s="146" t="str">
        <f>IF(E90="Ethanol","Gasoline","")</f>
        <v/>
      </c>
      <c r="F95" s="146" t="str">
        <f>E95</f>
        <v/>
      </c>
      <c r="G95" s="146" t="str">
        <f t="shared" ref="G95:P95" si="56">F95</f>
        <v/>
      </c>
      <c r="H95" s="146" t="str">
        <f t="shared" si="56"/>
        <v/>
      </c>
      <c r="I95" s="146" t="str">
        <f t="shared" si="56"/>
        <v/>
      </c>
      <c r="J95" s="146" t="str">
        <f t="shared" si="56"/>
        <v/>
      </c>
      <c r="K95" s="146" t="str">
        <f t="shared" si="56"/>
        <v/>
      </c>
      <c r="L95" s="146" t="str">
        <f t="shared" si="56"/>
        <v/>
      </c>
      <c r="M95" s="146" t="str">
        <f t="shared" si="56"/>
        <v/>
      </c>
      <c r="N95" s="146" t="str">
        <f t="shared" si="56"/>
        <v/>
      </c>
      <c r="O95" s="146" t="str">
        <f t="shared" si="56"/>
        <v/>
      </c>
      <c r="P95" s="146" t="str">
        <f t="shared" si="56"/>
        <v/>
      </c>
      <c r="Q95" s="133" t="s">
        <v>1629</v>
      </c>
      <c r="W95" s="142">
        <f t="shared" si="39"/>
        <v>90</v>
      </c>
      <c r="X95" s="142"/>
      <c r="Y95" s="142"/>
      <c r="Z95" s="142"/>
    </row>
    <row r="96" spans="2:31" x14ac:dyDescent="0.4">
      <c r="B96" s="528"/>
      <c r="C96" s="531"/>
      <c r="D96" s="149" t="s">
        <v>1622</v>
      </c>
      <c r="E96" s="132" t="e" cm="1">
        <f t="array" ref="E96">INDEX(Phys_Prop,MATCH(E95,Chem_List,0),$AD90)</f>
        <v>#N/A</v>
      </c>
      <c r="F96" s="132" t="e" cm="1">
        <f t="array" ref="F96">INDEX(Phys_Prop,MATCH(F95,Chem_List,0),$AD90)</f>
        <v>#N/A</v>
      </c>
      <c r="G96" s="132" t="e" cm="1">
        <f t="array" ref="G96">INDEX(Phys_Prop,MATCH(G95,Chem_List,0),$AD90)</f>
        <v>#N/A</v>
      </c>
      <c r="H96" s="132" t="e" cm="1">
        <f t="array" ref="H96">INDEX(Phys_Prop,MATCH(H95,Chem_List,0),$AD90)</f>
        <v>#N/A</v>
      </c>
      <c r="I96" s="132" t="e" cm="1">
        <f t="array" ref="I96">INDEX(Phys_Prop,MATCH(I95,Chem_List,0),$AD90)</f>
        <v>#N/A</v>
      </c>
      <c r="J96" s="132" t="e" cm="1">
        <f t="array" ref="J96">INDEX(Phys_Prop,MATCH(J95,Chem_List,0),$AD90)</f>
        <v>#N/A</v>
      </c>
      <c r="K96" s="132" t="e" cm="1">
        <f t="array" ref="K96">INDEX(Phys_Prop,MATCH(K95,Chem_List,0),$AD90)</f>
        <v>#N/A</v>
      </c>
      <c r="L96" s="132" t="e" cm="1">
        <f t="array" ref="L96">INDEX(Phys_Prop,MATCH(L95,Chem_List,0),$AD90)</f>
        <v>#N/A</v>
      </c>
      <c r="M96" s="132" t="e" cm="1">
        <f t="array" ref="M96">INDEX(Phys_Prop,MATCH(M95,Chem_List,0),$AD90)</f>
        <v>#N/A</v>
      </c>
      <c r="N96" s="132" t="e" cm="1">
        <f t="array" ref="N96">INDEX(Phys_Prop,MATCH(N95,Chem_List,0),$AD90)</f>
        <v>#N/A</v>
      </c>
      <c r="O96" s="132" t="e" cm="1">
        <f t="array" ref="O96">INDEX(Phys_Prop,MATCH(O95,Chem_List,0),$AD90)</f>
        <v>#N/A</v>
      </c>
      <c r="P96" s="132" t="e" cm="1">
        <f t="array" ref="P96">INDEX(Phys_Prop,MATCH(P95,Chem_List,0),$AD90)</f>
        <v>#N/A</v>
      </c>
      <c r="Q96" s="134" t="s">
        <v>1629</v>
      </c>
      <c r="W96" s="142">
        <f t="shared" si="39"/>
        <v>91</v>
      </c>
      <c r="X96" s="142"/>
      <c r="Y96" s="142"/>
      <c r="Z96" s="142"/>
    </row>
    <row r="97" spans="2:31" x14ac:dyDescent="0.4">
      <c r="B97" s="528"/>
      <c r="C97" s="531"/>
      <c r="D97" s="149" t="s">
        <v>1623</v>
      </c>
      <c r="E97" s="146" t="e">
        <f t="shared" ref="E97:P97" si="57">VLOOKUP(E95,RVP_XRef,2,FALSE)</f>
        <v>#N/A</v>
      </c>
      <c r="F97" s="146" t="e">
        <f t="shared" si="57"/>
        <v>#N/A</v>
      </c>
      <c r="G97" s="146" t="e">
        <f t="shared" si="57"/>
        <v>#N/A</v>
      </c>
      <c r="H97" s="146" t="e">
        <f t="shared" si="57"/>
        <v>#N/A</v>
      </c>
      <c r="I97" s="146" t="e">
        <f t="shared" si="57"/>
        <v>#N/A</v>
      </c>
      <c r="J97" s="146" t="e">
        <f t="shared" si="57"/>
        <v>#N/A</v>
      </c>
      <c r="K97" s="146" t="e">
        <f t="shared" si="57"/>
        <v>#N/A</v>
      </c>
      <c r="L97" s="146" t="e">
        <f t="shared" si="57"/>
        <v>#N/A</v>
      </c>
      <c r="M97" s="146" t="e">
        <f t="shared" si="57"/>
        <v>#N/A</v>
      </c>
      <c r="N97" s="146" t="e">
        <f t="shared" si="57"/>
        <v>#N/A</v>
      </c>
      <c r="O97" s="146" t="e">
        <f t="shared" si="57"/>
        <v>#N/A</v>
      </c>
      <c r="P97" s="146" t="e">
        <f t="shared" si="57"/>
        <v>#N/A</v>
      </c>
      <c r="Q97" s="133" t="s">
        <v>1629</v>
      </c>
      <c r="W97" s="142">
        <f t="shared" si="39"/>
        <v>92</v>
      </c>
      <c r="X97" s="142"/>
      <c r="Y97" s="142"/>
      <c r="Z97" s="142"/>
    </row>
    <row r="98" spans="2:31" x14ac:dyDescent="0.4">
      <c r="B98" s="528"/>
      <c r="C98" s="531"/>
      <c r="D98" s="150" t="s">
        <v>1624</v>
      </c>
      <c r="E98" s="145" t="str" cm="1">
        <f t="array" ref="E98">IFERROR(INDEX(Phys_Prop,MATCH(E95,Chem_List,0),$AE90),"N/A")</f>
        <v>N/A</v>
      </c>
      <c r="F98" s="145" t="str" cm="1">
        <f t="array" ref="F98">IFERROR(INDEX(Phys_Prop,MATCH(F95,Chem_List,0),$AE90),"N/A")</f>
        <v>N/A</v>
      </c>
      <c r="G98" s="145" t="str" cm="1">
        <f t="array" ref="G98">IFERROR(INDEX(Phys_Prop,MATCH(G95,Chem_List,0),$AE90),"N/A")</f>
        <v>N/A</v>
      </c>
      <c r="H98" s="145" t="str" cm="1">
        <f t="array" ref="H98">IFERROR(INDEX(Phys_Prop,MATCH(H95,Chem_List,0),$AE90),"N/A")</f>
        <v>N/A</v>
      </c>
      <c r="I98" s="145" t="str" cm="1">
        <f t="array" ref="I98">IFERROR(INDEX(Phys_Prop,MATCH(I95,Chem_List,0),$AE90),"N/A")</f>
        <v>N/A</v>
      </c>
      <c r="J98" s="145" t="str" cm="1">
        <f t="array" ref="J98">IFERROR(INDEX(Phys_Prop,MATCH(J95,Chem_List,0),$AE90),"N/A")</f>
        <v>N/A</v>
      </c>
      <c r="K98" s="145" t="str" cm="1">
        <f t="array" ref="K98">IFERROR(INDEX(Phys_Prop,MATCH(K95,Chem_List,0),$AE90),"N/A")</f>
        <v>N/A</v>
      </c>
      <c r="L98" s="145" t="str" cm="1">
        <f t="array" ref="L98">IFERROR(INDEX(Phys_Prop,MATCH(L95,Chem_List,0),$AE90),"N/A")</f>
        <v>N/A</v>
      </c>
      <c r="M98" s="145" t="str" cm="1">
        <f t="array" ref="M98">IFERROR(INDEX(Phys_Prop,MATCH(M95,Chem_List,0),$AE90),"N/A")</f>
        <v>N/A</v>
      </c>
      <c r="N98" s="145" t="str" cm="1">
        <f t="array" ref="N98">IFERROR(INDEX(Phys_Prop,MATCH(N95,Chem_List,0),$AE90),"N/A")</f>
        <v>N/A</v>
      </c>
      <c r="O98" s="145" t="str" cm="1">
        <f t="array" ref="O98">IFERROR(INDEX(Phys_Prop,MATCH(O95,Chem_List,0),$AE90),"N/A")</f>
        <v>N/A</v>
      </c>
      <c r="P98" s="145" t="str" cm="1">
        <f t="array" ref="P98">IFERROR(INDEX(Phys_Prop,MATCH(P95,Chem_List,0),$AE90),"N/A")</f>
        <v>N/A</v>
      </c>
      <c r="Q98" s="134" t="s">
        <v>1629</v>
      </c>
      <c r="W98" s="142">
        <f t="shared" si="39"/>
        <v>93</v>
      </c>
      <c r="X98" s="142"/>
      <c r="Y98" s="142"/>
      <c r="Z98" s="142"/>
    </row>
    <row r="99" spans="2:31" x14ac:dyDescent="0.4">
      <c r="B99" s="528"/>
      <c r="C99" s="531"/>
      <c r="D99" s="149" t="s">
        <v>1625</v>
      </c>
      <c r="E99" s="146">
        <f>IF(E95="Gasoline",0.25,0)</f>
        <v>0</v>
      </c>
      <c r="F99" s="146">
        <f t="shared" ref="F99:P99" si="58">IF(F95="Gasoline",0.25,0)</f>
        <v>0</v>
      </c>
      <c r="G99" s="146">
        <f t="shared" si="58"/>
        <v>0</v>
      </c>
      <c r="H99" s="146">
        <f t="shared" si="58"/>
        <v>0</v>
      </c>
      <c r="I99" s="146">
        <f t="shared" si="58"/>
        <v>0</v>
      </c>
      <c r="J99" s="146">
        <f t="shared" si="58"/>
        <v>0</v>
      </c>
      <c r="K99" s="146">
        <f t="shared" si="58"/>
        <v>0</v>
      </c>
      <c r="L99" s="146">
        <f t="shared" si="58"/>
        <v>0</v>
      </c>
      <c r="M99" s="146">
        <f t="shared" si="58"/>
        <v>0</v>
      </c>
      <c r="N99" s="146">
        <f t="shared" si="58"/>
        <v>0</v>
      </c>
      <c r="O99" s="146">
        <f t="shared" si="58"/>
        <v>0</v>
      </c>
      <c r="P99" s="146">
        <f t="shared" si="58"/>
        <v>0</v>
      </c>
      <c r="Q99" s="133" t="s">
        <v>1629</v>
      </c>
      <c r="W99" s="142">
        <f t="shared" si="39"/>
        <v>94</v>
      </c>
      <c r="X99" s="142"/>
      <c r="Y99" s="142"/>
      <c r="Z99" s="142"/>
    </row>
    <row r="100" spans="2:31" x14ac:dyDescent="0.4">
      <c r="B100" s="528"/>
      <c r="C100" s="531"/>
      <c r="D100" s="149" t="s">
        <v>1626</v>
      </c>
      <c r="E100" s="147" cm="1">
        <f t="array" ref="E100">INDEX(FLT_Setup,X100,Z100)</f>
        <v>133421</v>
      </c>
      <c r="F100" s="147">
        <f>E100</f>
        <v>133421</v>
      </c>
      <c r="G100" s="147">
        <f t="shared" ref="G100:P100" si="59">F100</f>
        <v>133421</v>
      </c>
      <c r="H100" s="147">
        <f t="shared" si="59"/>
        <v>133421</v>
      </c>
      <c r="I100" s="147">
        <f t="shared" si="59"/>
        <v>133421</v>
      </c>
      <c r="J100" s="147">
        <f t="shared" si="59"/>
        <v>133421</v>
      </c>
      <c r="K100" s="147">
        <f t="shared" si="59"/>
        <v>133421</v>
      </c>
      <c r="L100" s="147">
        <f t="shared" si="59"/>
        <v>133421</v>
      </c>
      <c r="M100" s="147">
        <f t="shared" si="59"/>
        <v>133421</v>
      </c>
      <c r="N100" s="147">
        <f t="shared" si="59"/>
        <v>133421</v>
      </c>
      <c r="O100" s="147">
        <f t="shared" si="59"/>
        <v>133421</v>
      </c>
      <c r="P100" s="147">
        <f t="shared" si="59"/>
        <v>133421</v>
      </c>
      <c r="Q100" s="135">
        <f>SUM(E100:P100)</f>
        <v>1601052</v>
      </c>
      <c r="W100" s="142">
        <f t="shared" si="39"/>
        <v>95</v>
      </c>
      <c r="X100">
        <f>X90</f>
        <v>8</v>
      </c>
      <c r="Y100" s="142"/>
      <c r="Z100">
        <f>Z88</f>
        <v>9</v>
      </c>
    </row>
    <row r="101" spans="2:31" ht="15" thickBot="1" x14ac:dyDescent="0.45">
      <c r="B101" s="529"/>
      <c r="C101" s="532"/>
      <c r="D101" s="151" t="s">
        <v>1627</v>
      </c>
      <c r="E101" s="148"/>
      <c r="F101" s="136"/>
      <c r="G101" s="136"/>
      <c r="H101" s="136"/>
      <c r="I101" s="136"/>
      <c r="J101" s="136"/>
      <c r="K101" s="136"/>
      <c r="L101" s="136"/>
      <c r="M101" s="136"/>
      <c r="N101" s="136"/>
      <c r="O101" s="136"/>
      <c r="P101" s="136"/>
      <c r="Q101" s="137" t="e">
        <f>AVERAGE(E101:P101)</f>
        <v>#DIV/0!</v>
      </c>
      <c r="W101" s="156">
        <f t="shared" si="39"/>
        <v>96</v>
      </c>
      <c r="X101" s="156"/>
      <c r="Y101" s="156"/>
      <c r="Z101" s="156"/>
      <c r="AA101" s="11"/>
      <c r="AB101" s="11"/>
      <c r="AC101" s="11"/>
      <c r="AD101" s="11"/>
      <c r="AE101" s="11"/>
    </row>
    <row r="102" spans="2:31" ht="16.3" x14ac:dyDescent="0.4">
      <c r="B102" s="528" t="str" cm="1">
        <f t="array" ref="B102">INDEX(FLT_Cons,$AA102,$AB102)</f>
        <v>FLT - 9</v>
      </c>
      <c r="C102" s="531" t="str" cm="1">
        <f t="array" ref="C102">INDEX(FLT_Cons,$AA102,$AC102)</f>
        <v>INTANK 114</v>
      </c>
      <c r="D102" s="152" t="s">
        <v>1618</v>
      </c>
      <c r="E102" s="144" t="str" cm="1">
        <f t="array" ref="E102">INDEX(Surrogate_Lst,MATCH(INDEX(FLT_Setup,X102,Y102),Product_GRP,0),2)</f>
        <v>Jet kerosene</v>
      </c>
      <c r="F102" s="144" t="str">
        <f>E102</f>
        <v>Jet kerosene</v>
      </c>
      <c r="G102" s="144" t="str">
        <f t="shared" ref="G102:P102" si="60">F102</f>
        <v>Jet kerosene</v>
      </c>
      <c r="H102" s="144" t="str">
        <f t="shared" si="60"/>
        <v>Jet kerosene</v>
      </c>
      <c r="I102" s="144" t="str">
        <f t="shared" si="60"/>
        <v>Jet kerosene</v>
      </c>
      <c r="J102" s="144" t="str">
        <f t="shared" si="60"/>
        <v>Jet kerosene</v>
      </c>
      <c r="K102" s="144" t="str">
        <f t="shared" si="60"/>
        <v>Jet kerosene</v>
      </c>
      <c r="L102" s="144" t="str">
        <f t="shared" si="60"/>
        <v>Jet kerosene</v>
      </c>
      <c r="M102" s="144" t="str">
        <f t="shared" si="60"/>
        <v>Jet kerosene</v>
      </c>
      <c r="N102" s="144" t="str">
        <f t="shared" si="60"/>
        <v>Jet kerosene</v>
      </c>
      <c r="O102" s="144" t="str">
        <f t="shared" si="60"/>
        <v>Jet kerosene</v>
      </c>
      <c r="P102" s="144" t="str">
        <f t="shared" si="60"/>
        <v>Jet kerosene</v>
      </c>
      <c r="Q102" s="138" t="s">
        <v>1629</v>
      </c>
      <c r="W102" s="142">
        <f t="shared" si="39"/>
        <v>97</v>
      </c>
      <c r="X102">
        <f>X90+1</f>
        <v>9</v>
      </c>
      <c r="Y102" s="356">
        <v>3</v>
      </c>
      <c r="Z102" s="142"/>
      <c r="AA102">
        <f>AA90+1</f>
        <v>9</v>
      </c>
      <c r="AB102">
        <v>1</v>
      </c>
      <c r="AC102">
        <v>2</v>
      </c>
      <c r="AD102">
        <v>5</v>
      </c>
      <c r="AE102">
        <v>6</v>
      </c>
    </row>
    <row r="103" spans="2:31" x14ac:dyDescent="0.4">
      <c r="B103" s="528"/>
      <c r="C103" s="531"/>
      <c r="D103" s="150" t="s">
        <v>1615</v>
      </c>
      <c r="E103" s="145" t="str" cm="1">
        <f t="array" ref="E103">INDEX(Phys_Prop,MATCH(E102,Chem_List,0),$AD102)</f>
        <v>Select Pet Stock</v>
      </c>
      <c r="F103" s="145" t="str" cm="1">
        <f t="array" ref="F103">INDEX(Phys_Prop,MATCH(F102,Chem_List,0),$AD102)</f>
        <v>Select Pet Stock</v>
      </c>
      <c r="G103" s="145" t="str" cm="1">
        <f t="array" ref="G103">INDEX(Phys_Prop,MATCH(G102,Chem_List,0),$AD102)</f>
        <v>Select Pet Stock</v>
      </c>
      <c r="H103" s="145" t="str" cm="1">
        <f t="array" ref="H103">INDEX(Phys_Prop,MATCH(H102,Chem_List,0),$AD102)</f>
        <v>Select Pet Stock</v>
      </c>
      <c r="I103" s="132" t="str" cm="1">
        <f t="array" ref="I103">INDEX(Phys_Prop,MATCH(I102,Chem_List,0),$AD102)</f>
        <v>Select Pet Stock</v>
      </c>
      <c r="J103" s="132" t="str" cm="1">
        <f t="array" ref="J103">INDEX(Phys_Prop,MATCH(J102,Chem_List,0),$AD102)</f>
        <v>Select Pet Stock</v>
      </c>
      <c r="K103" s="132" t="str" cm="1">
        <f t="array" ref="K103">INDEX(Phys_Prop,MATCH(K102,Chem_List,0),$AD102)</f>
        <v>Select Pet Stock</v>
      </c>
      <c r="L103" s="132" t="str" cm="1">
        <f t="array" ref="L103">INDEX(Phys_Prop,MATCH(L102,Chem_List,0),$AD102)</f>
        <v>Select Pet Stock</v>
      </c>
      <c r="M103" s="132" t="str" cm="1">
        <f t="array" ref="M103">INDEX(Phys_Prop,MATCH(M102,Chem_List,0),$AD102)</f>
        <v>Select Pet Stock</v>
      </c>
      <c r="N103" s="132" t="str" cm="1">
        <f t="array" ref="N103">INDEX(Phys_Prop,MATCH(N102,Chem_List,0),$AD102)</f>
        <v>Select Pet Stock</v>
      </c>
      <c r="O103" s="132" t="str" cm="1">
        <f t="array" ref="O103">INDEX(Phys_Prop,MATCH(O102,Chem_List,0),$AD102)</f>
        <v>Select Pet Stock</v>
      </c>
      <c r="P103" s="132" t="str" cm="1">
        <f t="array" ref="P103">INDEX(Phys_Prop,MATCH(P102,Chem_List,0),$AD102)</f>
        <v>Select Pet Stock</v>
      </c>
      <c r="Q103" s="134" t="s">
        <v>1629</v>
      </c>
      <c r="W103" s="142">
        <f t="shared" si="39"/>
        <v>98</v>
      </c>
      <c r="X103" s="142"/>
      <c r="Y103" s="142"/>
      <c r="Z103" s="142"/>
    </row>
    <row r="104" spans="2:31" x14ac:dyDescent="0.4">
      <c r="B104" s="528"/>
      <c r="C104" s="531"/>
      <c r="D104" s="149" t="s">
        <v>1616</v>
      </c>
      <c r="E104" s="146" t="str">
        <f t="shared" ref="E104:P104" si="61">VLOOKUP(E102,RVP_XRef,2,FALSE)</f>
        <v>N/A</v>
      </c>
      <c r="F104" s="146" t="str">
        <f t="shared" si="61"/>
        <v>N/A</v>
      </c>
      <c r="G104" s="146" t="str">
        <f t="shared" si="61"/>
        <v>N/A</v>
      </c>
      <c r="H104" s="146" t="str">
        <f t="shared" si="61"/>
        <v>N/A</v>
      </c>
      <c r="I104" s="146" t="str">
        <f t="shared" si="61"/>
        <v>N/A</v>
      </c>
      <c r="J104" s="146" t="str">
        <f t="shared" si="61"/>
        <v>N/A</v>
      </c>
      <c r="K104" s="146" t="str">
        <f t="shared" si="61"/>
        <v>N/A</v>
      </c>
      <c r="L104" s="146" t="str">
        <f t="shared" si="61"/>
        <v>N/A</v>
      </c>
      <c r="M104" s="146" t="str">
        <f t="shared" si="61"/>
        <v>N/A</v>
      </c>
      <c r="N104" s="146" t="str">
        <f t="shared" si="61"/>
        <v>N/A</v>
      </c>
      <c r="O104" s="146" t="str">
        <f t="shared" si="61"/>
        <v>N/A</v>
      </c>
      <c r="P104" s="146" t="str">
        <f t="shared" si="61"/>
        <v>N/A</v>
      </c>
      <c r="Q104" s="133" t="s">
        <v>1629</v>
      </c>
      <c r="W104" s="142">
        <f t="shared" si="39"/>
        <v>99</v>
      </c>
      <c r="X104" s="142"/>
      <c r="Y104" s="142"/>
      <c r="Z104" s="142"/>
    </row>
    <row r="105" spans="2:31" x14ac:dyDescent="0.4">
      <c r="B105" s="528"/>
      <c r="C105" s="531"/>
      <c r="D105" s="150" t="s">
        <v>1617</v>
      </c>
      <c r="E105" s="145" cm="1">
        <f t="array" ref="E105">INDEX(Phys_Prop,MATCH(E102,Chem_List,0),$AE102)</f>
        <v>0</v>
      </c>
      <c r="F105" s="145" cm="1">
        <f t="array" ref="F105">INDEX(Phys_Prop,MATCH(F102,Chem_List,0),$AE102)</f>
        <v>0</v>
      </c>
      <c r="G105" s="145" cm="1">
        <f t="array" ref="G105">INDEX(Phys_Prop,MATCH(G102,Chem_List,0),$AE102)</f>
        <v>0</v>
      </c>
      <c r="H105" s="145" cm="1">
        <f t="array" ref="H105">INDEX(Phys_Prop,MATCH(H102,Chem_List,0),$AE102)</f>
        <v>0</v>
      </c>
      <c r="I105" s="132" cm="1">
        <f t="array" ref="I105">INDEX(Phys_Prop,MATCH(I102,Chem_List,0),$AE102)</f>
        <v>0</v>
      </c>
      <c r="J105" s="132" cm="1">
        <f t="array" ref="J105">INDEX(Phys_Prop,MATCH(J102,Chem_List,0),$AE102)</f>
        <v>0</v>
      </c>
      <c r="K105" s="132" cm="1">
        <f t="array" ref="K105">INDEX(Phys_Prop,MATCH(K102,Chem_List,0),$AE102)</f>
        <v>0</v>
      </c>
      <c r="L105" s="132" cm="1">
        <f t="array" ref="L105">INDEX(Phys_Prop,MATCH(L102,Chem_List,0),$AE102)</f>
        <v>0</v>
      </c>
      <c r="M105" s="132" cm="1">
        <f t="array" ref="M105">INDEX(Phys_Prop,MATCH(M102,Chem_List,0),$AE102)</f>
        <v>0</v>
      </c>
      <c r="N105" s="132" cm="1">
        <f t="array" ref="N105">INDEX(Phys_Prop,MATCH(N102,Chem_List,0),$AE102)</f>
        <v>0</v>
      </c>
      <c r="O105" s="132" cm="1">
        <f t="array" ref="O105">INDEX(Phys_Prop,MATCH(O102,Chem_List,0),$AE102)</f>
        <v>0</v>
      </c>
      <c r="P105" s="132" cm="1">
        <f t="array" ref="P105">INDEX(Phys_Prop,MATCH(P102,Chem_List,0),$AE102)</f>
        <v>0</v>
      </c>
      <c r="Q105" s="134" t="s">
        <v>1629</v>
      </c>
      <c r="W105" s="142">
        <f t="shared" si="39"/>
        <v>100</v>
      </c>
      <c r="X105" s="142"/>
      <c r="Y105" s="142"/>
      <c r="Z105" s="142"/>
    </row>
    <row r="106" spans="2:31" x14ac:dyDescent="0.4">
      <c r="B106" s="528"/>
      <c r="C106" s="531"/>
      <c r="D106" s="150" t="s">
        <v>1620</v>
      </c>
      <c r="E106" s="145">
        <f>1-E111</f>
        <v>1</v>
      </c>
      <c r="F106" s="145">
        <f>1-F111</f>
        <v>1</v>
      </c>
      <c r="G106" s="145">
        <f>1-G111</f>
        <v>1</v>
      </c>
      <c r="H106" s="145">
        <f>1-H111</f>
        <v>1</v>
      </c>
      <c r="I106" s="132">
        <f t="shared" ref="I106:P106" si="62">1-I111</f>
        <v>1</v>
      </c>
      <c r="J106" s="132">
        <f t="shared" si="62"/>
        <v>1</v>
      </c>
      <c r="K106" s="132">
        <f t="shared" si="62"/>
        <v>1</v>
      </c>
      <c r="L106" s="132">
        <f t="shared" si="62"/>
        <v>1</v>
      </c>
      <c r="M106" s="132">
        <f t="shared" si="62"/>
        <v>1</v>
      </c>
      <c r="N106" s="132">
        <f t="shared" si="62"/>
        <v>1</v>
      </c>
      <c r="O106" s="132">
        <f t="shared" si="62"/>
        <v>1</v>
      </c>
      <c r="P106" s="132">
        <f t="shared" si="62"/>
        <v>1</v>
      </c>
      <c r="Q106" s="134" t="s">
        <v>1629</v>
      </c>
      <c r="W106" s="142">
        <f t="shared" si="39"/>
        <v>101</v>
      </c>
      <c r="X106" s="142"/>
      <c r="Y106" s="142"/>
      <c r="Z106" s="142"/>
    </row>
    <row r="107" spans="2:31" ht="16.3" x14ac:dyDescent="0.4">
      <c r="B107" s="528"/>
      <c r="C107" s="531"/>
      <c r="D107" s="149" t="s">
        <v>1621</v>
      </c>
      <c r="E107" s="146" t="str">
        <f>IF(E102="Ethanol","Gasoline","")</f>
        <v/>
      </c>
      <c r="F107" s="146" t="str">
        <f>E107</f>
        <v/>
      </c>
      <c r="G107" s="146" t="str">
        <f t="shared" ref="G107:P107" si="63">F107</f>
        <v/>
      </c>
      <c r="H107" s="146" t="str">
        <f t="shared" si="63"/>
        <v/>
      </c>
      <c r="I107" s="146" t="str">
        <f t="shared" si="63"/>
        <v/>
      </c>
      <c r="J107" s="146" t="str">
        <f t="shared" si="63"/>
        <v/>
      </c>
      <c r="K107" s="146" t="str">
        <f t="shared" si="63"/>
        <v/>
      </c>
      <c r="L107" s="146" t="str">
        <f t="shared" si="63"/>
        <v/>
      </c>
      <c r="M107" s="146" t="str">
        <f t="shared" si="63"/>
        <v/>
      </c>
      <c r="N107" s="146" t="str">
        <f t="shared" si="63"/>
        <v/>
      </c>
      <c r="O107" s="146" t="str">
        <f t="shared" si="63"/>
        <v/>
      </c>
      <c r="P107" s="146" t="str">
        <f t="shared" si="63"/>
        <v/>
      </c>
      <c r="Q107" s="133" t="s">
        <v>1629</v>
      </c>
      <c r="W107" s="142">
        <f t="shared" si="39"/>
        <v>102</v>
      </c>
      <c r="X107" s="142"/>
      <c r="Y107" s="142"/>
      <c r="Z107" s="142"/>
    </row>
    <row r="108" spans="2:31" x14ac:dyDescent="0.4">
      <c r="B108" s="528"/>
      <c r="C108" s="531"/>
      <c r="D108" s="149" t="s">
        <v>1622</v>
      </c>
      <c r="E108" s="132" t="e" cm="1">
        <f t="array" ref="E108">INDEX(Phys_Prop,MATCH(E107,Chem_List,0),$AD102)</f>
        <v>#N/A</v>
      </c>
      <c r="F108" s="132" t="e" cm="1">
        <f t="array" ref="F108">INDEX(Phys_Prop,MATCH(F107,Chem_List,0),$AD102)</f>
        <v>#N/A</v>
      </c>
      <c r="G108" s="132" t="e" cm="1">
        <f t="array" ref="G108">INDEX(Phys_Prop,MATCH(G107,Chem_List,0),$AD102)</f>
        <v>#N/A</v>
      </c>
      <c r="H108" s="132" t="e" cm="1">
        <f t="array" ref="H108">INDEX(Phys_Prop,MATCH(H107,Chem_List,0),$AD102)</f>
        <v>#N/A</v>
      </c>
      <c r="I108" s="132" t="e" cm="1">
        <f t="array" ref="I108">INDEX(Phys_Prop,MATCH(I107,Chem_List,0),$AD102)</f>
        <v>#N/A</v>
      </c>
      <c r="J108" s="132" t="e" cm="1">
        <f t="array" ref="J108">INDEX(Phys_Prop,MATCH(J107,Chem_List,0),$AD102)</f>
        <v>#N/A</v>
      </c>
      <c r="K108" s="132" t="e" cm="1">
        <f t="array" ref="K108">INDEX(Phys_Prop,MATCH(K107,Chem_List,0),$AD102)</f>
        <v>#N/A</v>
      </c>
      <c r="L108" s="132" t="e" cm="1">
        <f t="array" ref="L108">INDEX(Phys_Prop,MATCH(L107,Chem_List,0),$AD102)</f>
        <v>#N/A</v>
      </c>
      <c r="M108" s="132" t="e" cm="1">
        <f t="array" ref="M108">INDEX(Phys_Prop,MATCH(M107,Chem_List,0),$AD102)</f>
        <v>#N/A</v>
      </c>
      <c r="N108" s="132" t="e" cm="1">
        <f t="array" ref="N108">INDEX(Phys_Prop,MATCH(N107,Chem_List,0),$AD102)</f>
        <v>#N/A</v>
      </c>
      <c r="O108" s="132" t="e" cm="1">
        <f t="array" ref="O108">INDEX(Phys_Prop,MATCH(O107,Chem_List,0),$AD102)</f>
        <v>#N/A</v>
      </c>
      <c r="P108" s="132" t="e" cm="1">
        <f t="array" ref="P108">INDEX(Phys_Prop,MATCH(P107,Chem_List,0),$AD102)</f>
        <v>#N/A</v>
      </c>
      <c r="Q108" s="134" t="s">
        <v>1629</v>
      </c>
      <c r="W108" s="142">
        <f t="shared" si="39"/>
        <v>103</v>
      </c>
      <c r="X108" s="142"/>
      <c r="Y108" s="142"/>
      <c r="Z108" s="142"/>
    </row>
    <row r="109" spans="2:31" x14ac:dyDescent="0.4">
      <c r="B109" s="528"/>
      <c r="C109" s="531"/>
      <c r="D109" s="149" t="s">
        <v>1623</v>
      </c>
      <c r="E109" s="146" t="e">
        <f t="shared" ref="E109:P109" si="64">VLOOKUP(E107,RVP_XRef,2,FALSE)</f>
        <v>#N/A</v>
      </c>
      <c r="F109" s="146" t="e">
        <f t="shared" si="64"/>
        <v>#N/A</v>
      </c>
      <c r="G109" s="146" t="e">
        <f t="shared" si="64"/>
        <v>#N/A</v>
      </c>
      <c r="H109" s="146" t="e">
        <f t="shared" si="64"/>
        <v>#N/A</v>
      </c>
      <c r="I109" s="146" t="e">
        <f t="shared" si="64"/>
        <v>#N/A</v>
      </c>
      <c r="J109" s="146" t="e">
        <f t="shared" si="64"/>
        <v>#N/A</v>
      </c>
      <c r="K109" s="146" t="e">
        <f t="shared" si="64"/>
        <v>#N/A</v>
      </c>
      <c r="L109" s="146" t="e">
        <f t="shared" si="64"/>
        <v>#N/A</v>
      </c>
      <c r="M109" s="146" t="e">
        <f t="shared" si="64"/>
        <v>#N/A</v>
      </c>
      <c r="N109" s="146" t="e">
        <f t="shared" si="64"/>
        <v>#N/A</v>
      </c>
      <c r="O109" s="146" t="e">
        <f t="shared" si="64"/>
        <v>#N/A</v>
      </c>
      <c r="P109" s="146" t="e">
        <f t="shared" si="64"/>
        <v>#N/A</v>
      </c>
      <c r="Q109" s="133" t="s">
        <v>1629</v>
      </c>
      <c r="W109" s="142">
        <f t="shared" si="39"/>
        <v>104</v>
      </c>
      <c r="X109" s="142"/>
      <c r="Y109" s="142"/>
      <c r="Z109" s="142"/>
    </row>
    <row r="110" spans="2:31" x14ac:dyDescent="0.4">
      <c r="B110" s="528"/>
      <c r="C110" s="531"/>
      <c r="D110" s="150" t="s">
        <v>1624</v>
      </c>
      <c r="E110" s="145" t="str" cm="1">
        <f t="array" ref="E110">IFERROR(INDEX(Phys_Prop,MATCH(E107,Chem_List,0),$AE102),"N/A")</f>
        <v>N/A</v>
      </c>
      <c r="F110" s="145" t="str" cm="1">
        <f t="array" ref="F110">IFERROR(INDEX(Phys_Prop,MATCH(F107,Chem_List,0),$AE102),"N/A")</f>
        <v>N/A</v>
      </c>
      <c r="G110" s="145" t="str" cm="1">
        <f t="array" ref="G110">IFERROR(INDEX(Phys_Prop,MATCH(G107,Chem_List,0),$AE102),"N/A")</f>
        <v>N/A</v>
      </c>
      <c r="H110" s="145" t="str" cm="1">
        <f t="array" ref="H110">IFERROR(INDEX(Phys_Prop,MATCH(H107,Chem_List,0),$AE102),"N/A")</f>
        <v>N/A</v>
      </c>
      <c r="I110" s="145" t="str" cm="1">
        <f t="array" ref="I110">IFERROR(INDEX(Phys_Prop,MATCH(I107,Chem_List,0),$AE102),"N/A")</f>
        <v>N/A</v>
      </c>
      <c r="J110" s="145" t="str" cm="1">
        <f t="array" ref="J110">IFERROR(INDEX(Phys_Prop,MATCH(J107,Chem_List,0),$AE102),"N/A")</f>
        <v>N/A</v>
      </c>
      <c r="K110" s="145" t="str" cm="1">
        <f t="array" ref="K110">IFERROR(INDEX(Phys_Prop,MATCH(K107,Chem_List,0),$AE102),"N/A")</f>
        <v>N/A</v>
      </c>
      <c r="L110" s="145" t="str" cm="1">
        <f t="array" ref="L110">IFERROR(INDEX(Phys_Prop,MATCH(L107,Chem_List,0),$AE102),"N/A")</f>
        <v>N/A</v>
      </c>
      <c r="M110" s="145" t="str" cm="1">
        <f t="array" ref="M110">IFERROR(INDEX(Phys_Prop,MATCH(M107,Chem_List,0),$AE102),"N/A")</f>
        <v>N/A</v>
      </c>
      <c r="N110" s="145" t="str" cm="1">
        <f t="array" ref="N110">IFERROR(INDEX(Phys_Prop,MATCH(N107,Chem_List,0),$AE102),"N/A")</f>
        <v>N/A</v>
      </c>
      <c r="O110" s="145" t="str" cm="1">
        <f t="array" ref="O110">IFERROR(INDEX(Phys_Prop,MATCH(O107,Chem_List,0),$AE102),"N/A")</f>
        <v>N/A</v>
      </c>
      <c r="P110" s="145" t="str" cm="1">
        <f t="array" ref="P110">IFERROR(INDEX(Phys_Prop,MATCH(P107,Chem_List,0),$AE102),"N/A")</f>
        <v>N/A</v>
      </c>
      <c r="Q110" s="134" t="s">
        <v>1629</v>
      </c>
      <c r="W110" s="142">
        <f t="shared" si="39"/>
        <v>105</v>
      </c>
      <c r="X110" s="142"/>
      <c r="Y110" s="142"/>
      <c r="Z110" s="142"/>
    </row>
    <row r="111" spans="2:31" x14ac:dyDescent="0.4">
      <c r="B111" s="528"/>
      <c r="C111" s="531"/>
      <c r="D111" s="149" t="s">
        <v>1625</v>
      </c>
      <c r="E111" s="146">
        <f>IF(E107="Gasoline",0.25,0)</f>
        <v>0</v>
      </c>
      <c r="F111" s="146">
        <f t="shared" ref="F111:P111" si="65">IF(F107="Gasoline",0.25,0)</f>
        <v>0</v>
      </c>
      <c r="G111" s="146">
        <f t="shared" si="65"/>
        <v>0</v>
      </c>
      <c r="H111" s="146">
        <f t="shared" si="65"/>
        <v>0</v>
      </c>
      <c r="I111" s="146">
        <f t="shared" si="65"/>
        <v>0</v>
      </c>
      <c r="J111" s="146">
        <f t="shared" si="65"/>
        <v>0</v>
      </c>
      <c r="K111" s="146">
        <f t="shared" si="65"/>
        <v>0</v>
      </c>
      <c r="L111" s="146">
        <f t="shared" si="65"/>
        <v>0</v>
      </c>
      <c r="M111" s="146">
        <f t="shared" si="65"/>
        <v>0</v>
      </c>
      <c r="N111" s="146">
        <f t="shared" si="65"/>
        <v>0</v>
      </c>
      <c r="O111" s="146">
        <f t="shared" si="65"/>
        <v>0</v>
      </c>
      <c r="P111" s="146">
        <f t="shared" si="65"/>
        <v>0</v>
      </c>
      <c r="Q111" s="133" t="s">
        <v>1629</v>
      </c>
      <c r="W111" s="142">
        <f t="shared" si="39"/>
        <v>106</v>
      </c>
      <c r="X111" s="142"/>
      <c r="Y111" s="142"/>
      <c r="Z111" s="142"/>
    </row>
    <row r="112" spans="2:31" x14ac:dyDescent="0.4">
      <c r="B112" s="528"/>
      <c r="C112" s="531"/>
      <c r="D112" s="149" t="s">
        <v>1626</v>
      </c>
      <c r="E112" s="147" cm="1">
        <f t="array" ref="E112">INDEX(FLT_Setup,X112,Z112)</f>
        <v>15129</v>
      </c>
      <c r="F112" s="147">
        <f>E112</f>
        <v>15129</v>
      </c>
      <c r="G112" s="147">
        <f t="shared" ref="G112:P112" si="66">F112</f>
        <v>15129</v>
      </c>
      <c r="H112" s="147">
        <f t="shared" si="66"/>
        <v>15129</v>
      </c>
      <c r="I112" s="147">
        <f t="shared" si="66"/>
        <v>15129</v>
      </c>
      <c r="J112" s="147">
        <f t="shared" si="66"/>
        <v>15129</v>
      </c>
      <c r="K112" s="147">
        <f t="shared" si="66"/>
        <v>15129</v>
      </c>
      <c r="L112" s="147">
        <f t="shared" si="66"/>
        <v>15129</v>
      </c>
      <c r="M112" s="147">
        <f t="shared" si="66"/>
        <v>15129</v>
      </c>
      <c r="N112" s="147">
        <f t="shared" si="66"/>
        <v>15129</v>
      </c>
      <c r="O112" s="147">
        <f t="shared" si="66"/>
        <v>15129</v>
      </c>
      <c r="P112" s="147">
        <f t="shared" si="66"/>
        <v>15129</v>
      </c>
      <c r="Q112" s="135">
        <f>SUM(E112:P112)</f>
        <v>181548</v>
      </c>
      <c r="W112" s="142">
        <f t="shared" si="39"/>
        <v>107</v>
      </c>
      <c r="X112">
        <f>X102</f>
        <v>9</v>
      </c>
      <c r="Y112" s="142"/>
      <c r="Z112">
        <f>Z100</f>
        <v>9</v>
      </c>
    </row>
    <row r="113" spans="2:31" ht="15" thickBot="1" x14ac:dyDescent="0.45">
      <c r="B113" s="529"/>
      <c r="C113" s="532"/>
      <c r="D113" s="151" t="s">
        <v>1627</v>
      </c>
      <c r="E113" s="148"/>
      <c r="F113" s="136"/>
      <c r="G113" s="136"/>
      <c r="H113" s="136"/>
      <c r="I113" s="136"/>
      <c r="J113" s="136"/>
      <c r="K113" s="136"/>
      <c r="L113" s="136"/>
      <c r="M113" s="136"/>
      <c r="N113" s="136"/>
      <c r="O113" s="136"/>
      <c r="P113" s="136"/>
      <c r="Q113" s="137" t="e">
        <f>AVERAGE(E113:P113)</f>
        <v>#DIV/0!</v>
      </c>
      <c r="W113" s="156">
        <f t="shared" si="39"/>
        <v>108</v>
      </c>
      <c r="X113" s="156"/>
      <c r="Y113" s="156"/>
      <c r="Z113" s="156"/>
      <c r="AA113" s="11"/>
      <c r="AB113" s="11"/>
      <c r="AC113" s="11"/>
      <c r="AD113" s="11"/>
      <c r="AE113" s="11"/>
    </row>
    <row r="114" spans="2:31" ht="16.3" x14ac:dyDescent="0.4">
      <c r="B114" s="528" t="str" cm="1">
        <f t="array" ref="B114">INDEX(FLT_Cons,$AA114,$AB114)</f>
        <v>FLT - 10</v>
      </c>
      <c r="C114" s="531" t="str" cm="1">
        <f t="array" ref="C114">INDEX(FLT_Cons,$AA114,$AC114)</f>
        <v>INTANK 130</v>
      </c>
      <c r="D114" s="152" t="s">
        <v>1618</v>
      </c>
      <c r="E114" s="144" t="str" cm="1">
        <f t="array" ref="E114">INDEX(Surrogate_Lst,MATCH(INDEX(FLT_Setup,X114,Y114),Product_GRP,0),2)</f>
        <v>Bakken Crude</v>
      </c>
      <c r="F114" s="144" t="str">
        <f>E114</f>
        <v>Bakken Crude</v>
      </c>
      <c r="G114" s="144" t="str">
        <f t="shared" ref="G114:P114" si="67">F114</f>
        <v>Bakken Crude</v>
      </c>
      <c r="H114" s="144" t="str">
        <f t="shared" si="67"/>
        <v>Bakken Crude</v>
      </c>
      <c r="I114" s="144" t="str">
        <f t="shared" si="67"/>
        <v>Bakken Crude</v>
      </c>
      <c r="J114" s="144" t="str">
        <f t="shared" si="67"/>
        <v>Bakken Crude</v>
      </c>
      <c r="K114" s="144" t="str">
        <f t="shared" si="67"/>
        <v>Bakken Crude</v>
      </c>
      <c r="L114" s="144" t="str">
        <f t="shared" si="67"/>
        <v>Bakken Crude</v>
      </c>
      <c r="M114" s="144" t="str">
        <f t="shared" si="67"/>
        <v>Bakken Crude</v>
      </c>
      <c r="N114" s="144" t="str">
        <f t="shared" si="67"/>
        <v>Bakken Crude</v>
      </c>
      <c r="O114" s="144" t="str">
        <f t="shared" si="67"/>
        <v>Bakken Crude</v>
      </c>
      <c r="P114" s="144" t="str">
        <f t="shared" si="67"/>
        <v>Bakken Crude</v>
      </c>
      <c r="Q114" s="138" t="s">
        <v>1629</v>
      </c>
      <c r="W114" s="142">
        <f t="shared" si="39"/>
        <v>109</v>
      </c>
      <c r="X114">
        <f>X102+1</f>
        <v>10</v>
      </c>
      <c r="Y114" s="356">
        <v>3</v>
      </c>
      <c r="Z114" s="142"/>
      <c r="AA114">
        <f>AA102+1</f>
        <v>10</v>
      </c>
      <c r="AB114">
        <v>1</v>
      </c>
      <c r="AC114">
        <v>2</v>
      </c>
      <c r="AD114">
        <v>5</v>
      </c>
      <c r="AE114">
        <v>6</v>
      </c>
    </row>
    <row r="115" spans="2:31" x14ac:dyDescent="0.4">
      <c r="B115" s="528"/>
      <c r="C115" s="531"/>
      <c r="D115" s="150" t="s">
        <v>1615</v>
      </c>
      <c r="E115" s="145" t="str" cm="1">
        <f t="array" ref="E115">INDEX(Phys_Prop,MATCH(E114,Chem_List,0),$AD114)</f>
        <v>Crude Oil</v>
      </c>
      <c r="F115" s="145" t="str" cm="1">
        <f t="array" ref="F115">INDEX(Phys_Prop,MATCH(F114,Chem_List,0),$AD114)</f>
        <v>Crude Oil</v>
      </c>
      <c r="G115" s="145" t="str" cm="1">
        <f t="array" ref="G115">INDEX(Phys_Prop,MATCH(G114,Chem_List,0),$AD114)</f>
        <v>Crude Oil</v>
      </c>
      <c r="H115" s="145" t="str" cm="1">
        <f t="array" ref="H115">INDEX(Phys_Prop,MATCH(H114,Chem_List,0),$AD114)</f>
        <v>Crude Oil</v>
      </c>
      <c r="I115" s="132" t="str" cm="1">
        <f t="array" ref="I115">INDEX(Phys_Prop,MATCH(I114,Chem_List,0),$AD114)</f>
        <v>Crude Oil</v>
      </c>
      <c r="J115" s="132" t="str" cm="1">
        <f t="array" ref="J115">INDEX(Phys_Prop,MATCH(J114,Chem_List,0),$AD114)</f>
        <v>Crude Oil</v>
      </c>
      <c r="K115" s="132" t="str" cm="1">
        <f t="array" ref="K115">INDEX(Phys_Prop,MATCH(K114,Chem_List,0),$AD114)</f>
        <v>Crude Oil</v>
      </c>
      <c r="L115" s="132" t="str" cm="1">
        <f t="array" ref="L115">INDEX(Phys_Prop,MATCH(L114,Chem_List,0),$AD114)</f>
        <v>Crude Oil</v>
      </c>
      <c r="M115" s="132" t="str" cm="1">
        <f t="array" ref="M115">INDEX(Phys_Prop,MATCH(M114,Chem_List,0),$AD114)</f>
        <v>Crude Oil</v>
      </c>
      <c r="N115" s="132" t="str" cm="1">
        <f t="array" ref="N115">INDEX(Phys_Prop,MATCH(N114,Chem_List,0),$AD114)</f>
        <v>Crude Oil</v>
      </c>
      <c r="O115" s="132" t="str" cm="1">
        <f t="array" ref="O115">INDEX(Phys_Prop,MATCH(O114,Chem_List,0),$AD114)</f>
        <v>Crude Oil</v>
      </c>
      <c r="P115" s="132" t="str" cm="1">
        <f t="array" ref="P115">INDEX(Phys_Prop,MATCH(P114,Chem_List,0),$AD114)</f>
        <v>Crude Oil</v>
      </c>
      <c r="Q115" s="134" t="s">
        <v>1629</v>
      </c>
      <c r="W115" s="142">
        <f t="shared" si="39"/>
        <v>110</v>
      </c>
      <c r="X115" s="142"/>
      <c r="Y115" s="142"/>
      <c r="Z115" s="142"/>
    </row>
    <row r="116" spans="2:31" x14ac:dyDescent="0.4">
      <c r="B116" s="528"/>
      <c r="C116" s="531"/>
      <c r="D116" s="149" t="s">
        <v>1616</v>
      </c>
      <c r="E116" s="146">
        <f t="shared" ref="E116:P116" si="68">VLOOKUP(E114,RVP_XRef,2,FALSE)</f>
        <v>10.199999999999999</v>
      </c>
      <c r="F116" s="146">
        <f t="shared" si="68"/>
        <v>10.199999999999999</v>
      </c>
      <c r="G116" s="146">
        <f t="shared" si="68"/>
        <v>10.199999999999999</v>
      </c>
      <c r="H116" s="146">
        <f t="shared" si="68"/>
        <v>10.199999999999999</v>
      </c>
      <c r="I116" s="146">
        <f t="shared" si="68"/>
        <v>10.199999999999999</v>
      </c>
      <c r="J116" s="146">
        <f t="shared" si="68"/>
        <v>10.199999999999999</v>
      </c>
      <c r="K116" s="146">
        <f t="shared" si="68"/>
        <v>10.199999999999999</v>
      </c>
      <c r="L116" s="146">
        <f t="shared" si="68"/>
        <v>10.199999999999999</v>
      </c>
      <c r="M116" s="146">
        <f t="shared" si="68"/>
        <v>10.199999999999999</v>
      </c>
      <c r="N116" s="146">
        <f t="shared" si="68"/>
        <v>10.199999999999999</v>
      </c>
      <c r="O116" s="146">
        <f t="shared" si="68"/>
        <v>10.199999999999999</v>
      </c>
      <c r="P116" s="146">
        <f t="shared" si="68"/>
        <v>10.199999999999999</v>
      </c>
      <c r="Q116" s="133" t="s">
        <v>1629</v>
      </c>
      <c r="W116" s="142">
        <f t="shared" si="39"/>
        <v>111</v>
      </c>
      <c r="X116" s="142"/>
      <c r="Y116" s="142"/>
      <c r="Z116" s="142"/>
    </row>
    <row r="117" spans="2:31" x14ac:dyDescent="0.4">
      <c r="B117" s="528"/>
      <c r="C117" s="531"/>
      <c r="D117" s="150" t="s">
        <v>1617</v>
      </c>
      <c r="E117" s="145" cm="1">
        <f t="array" ref="E117">INDEX(Phys_Prop,MATCH(E114,Chem_List,0),$AE114)</f>
        <v>0</v>
      </c>
      <c r="F117" s="145" cm="1">
        <f t="array" ref="F117">INDEX(Phys_Prop,MATCH(F114,Chem_List,0),$AE114)</f>
        <v>0</v>
      </c>
      <c r="G117" s="145" cm="1">
        <f t="array" ref="G117">INDEX(Phys_Prop,MATCH(G114,Chem_List,0),$AE114)</f>
        <v>0</v>
      </c>
      <c r="H117" s="145" cm="1">
        <f t="array" ref="H117">INDEX(Phys_Prop,MATCH(H114,Chem_List,0),$AE114)</f>
        <v>0</v>
      </c>
      <c r="I117" s="132" cm="1">
        <f t="array" ref="I117">INDEX(Phys_Prop,MATCH(I114,Chem_List,0),$AE114)</f>
        <v>0</v>
      </c>
      <c r="J117" s="132" cm="1">
        <f t="array" ref="J117">INDEX(Phys_Prop,MATCH(J114,Chem_List,0),$AE114)</f>
        <v>0</v>
      </c>
      <c r="K117" s="132" cm="1">
        <f t="array" ref="K117">INDEX(Phys_Prop,MATCH(K114,Chem_List,0),$AE114)</f>
        <v>0</v>
      </c>
      <c r="L117" s="132" cm="1">
        <f t="array" ref="L117">INDEX(Phys_Prop,MATCH(L114,Chem_List,0),$AE114)</f>
        <v>0</v>
      </c>
      <c r="M117" s="132" cm="1">
        <f t="array" ref="M117">INDEX(Phys_Prop,MATCH(M114,Chem_List,0),$AE114)</f>
        <v>0</v>
      </c>
      <c r="N117" s="132" cm="1">
        <f t="array" ref="N117">INDEX(Phys_Prop,MATCH(N114,Chem_List,0),$AE114)</f>
        <v>0</v>
      </c>
      <c r="O117" s="132" cm="1">
        <f t="array" ref="O117">INDEX(Phys_Prop,MATCH(O114,Chem_List,0),$AE114)</f>
        <v>0</v>
      </c>
      <c r="P117" s="132" cm="1">
        <f t="array" ref="P117">INDEX(Phys_Prop,MATCH(P114,Chem_List,0),$AE114)</f>
        <v>0</v>
      </c>
      <c r="Q117" s="134" t="s">
        <v>1629</v>
      </c>
      <c r="W117" s="142">
        <f t="shared" si="39"/>
        <v>112</v>
      </c>
      <c r="X117" s="142"/>
      <c r="Y117" s="142"/>
      <c r="Z117" s="142"/>
    </row>
    <row r="118" spans="2:31" x14ac:dyDescent="0.4">
      <c r="B118" s="528"/>
      <c r="C118" s="531"/>
      <c r="D118" s="150" t="s">
        <v>1620</v>
      </c>
      <c r="E118" s="145">
        <f>1-E123</f>
        <v>1</v>
      </c>
      <c r="F118" s="145">
        <f>1-F123</f>
        <v>1</v>
      </c>
      <c r="G118" s="145">
        <f>1-G123</f>
        <v>1</v>
      </c>
      <c r="H118" s="145">
        <f>1-H123</f>
        <v>1</v>
      </c>
      <c r="I118" s="132">
        <f t="shared" ref="I118:P118" si="69">1-I123</f>
        <v>1</v>
      </c>
      <c r="J118" s="132">
        <f t="shared" si="69"/>
        <v>1</v>
      </c>
      <c r="K118" s="132">
        <f t="shared" si="69"/>
        <v>1</v>
      </c>
      <c r="L118" s="132">
        <f t="shared" si="69"/>
        <v>1</v>
      </c>
      <c r="M118" s="132">
        <f t="shared" si="69"/>
        <v>1</v>
      </c>
      <c r="N118" s="132">
        <f t="shared" si="69"/>
        <v>1</v>
      </c>
      <c r="O118" s="132">
        <f t="shared" si="69"/>
        <v>1</v>
      </c>
      <c r="P118" s="132">
        <f t="shared" si="69"/>
        <v>1</v>
      </c>
      <c r="Q118" s="134" t="s">
        <v>1629</v>
      </c>
      <c r="W118" s="142">
        <f t="shared" si="39"/>
        <v>113</v>
      </c>
      <c r="X118" s="142"/>
      <c r="Y118" s="142"/>
      <c r="Z118" s="142"/>
    </row>
    <row r="119" spans="2:31" ht="16.3" x14ac:dyDescent="0.4">
      <c r="B119" s="528"/>
      <c r="C119" s="531"/>
      <c r="D119" s="149" t="s">
        <v>1621</v>
      </c>
      <c r="E119" s="146" t="str">
        <f>IF(E114="Ethanol","Gasoline","")</f>
        <v/>
      </c>
      <c r="F119" s="146" t="str">
        <f>E119</f>
        <v/>
      </c>
      <c r="G119" s="146" t="str">
        <f t="shared" ref="G119:P119" si="70">F119</f>
        <v/>
      </c>
      <c r="H119" s="146" t="str">
        <f t="shared" si="70"/>
        <v/>
      </c>
      <c r="I119" s="146" t="str">
        <f t="shared" si="70"/>
        <v/>
      </c>
      <c r="J119" s="146" t="str">
        <f t="shared" si="70"/>
        <v/>
      </c>
      <c r="K119" s="146" t="str">
        <f t="shared" si="70"/>
        <v/>
      </c>
      <c r="L119" s="146" t="str">
        <f t="shared" si="70"/>
        <v/>
      </c>
      <c r="M119" s="146" t="str">
        <f t="shared" si="70"/>
        <v/>
      </c>
      <c r="N119" s="146" t="str">
        <f t="shared" si="70"/>
        <v/>
      </c>
      <c r="O119" s="146" t="str">
        <f t="shared" si="70"/>
        <v/>
      </c>
      <c r="P119" s="146" t="str">
        <f t="shared" si="70"/>
        <v/>
      </c>
      <c r="Q119" s="133" t="s">
        <v>1629</v>
      </c>
      <c r="W119" s="142">
        <f t="shared" si="39"/>
        <v>114</v>
      </c>
      <c r="X119" s="142"/>
      <c r="Y119" s="142"/>
      <c r="Z119" s="142"/>
    </row>
    <row r="120" spans="2:31" x14ac:dyDescent="0.4">
      <c r="B120" s="528"/>
      <c r="C120" s="531"/>
      <c r="D120" s="149" t="s">
        <v>1622</v>
      </c>
      <c r="E120" s="132" t="e" cm="1">
        <f t="array" ref="E120">INDEX(Phys_Prop,MATCH(E119,Chem_List,0),$AD114)</f>
        <v>#N/A</v>
      </c>
      <c r="F120" s="132" t="e" cm="1">
        <f t="array" ref="F120">INDEX(Phys_Prop,MATCH(F119,Chem_List,0),$AD114)</f>
        <v>#N/A</v>
      </c>
      <c r="G120" s="132" t="e" cm="1">
        <f t="array" ref="G120">INDEX(Phys_Prop,MATCH(G119,Chem_List,0),$AD114)</f>
        <v>#N/A</v>
      </c>
      <c r="H120" s="132" t="e" cm="1">
        <f t="array" ref="H120">INDEX(Phys_Prop,MATCH(H119,Chem_List,0),$AD114)</f>
        <v>#N/A</v>
      </c>
      <c r="I120" s="132" t="e" cm="1">
        <f t="array" ref="I120">INDEX(Phys_Prop,MATCH(I119,Chem_List,0),$AD114)</f>
        <v>#N/A</v>
      </c>
      <c r="J120" s="132" t="e" cm="1">
        <f t="array" ref="J120">INDEX(Phys_Prop,MATCH(J119,Chem_List,0),$AD114)</f>
        <v>#N/A</v>
      </c>
      <c r="K120" s="132" t="e" cm="1">
        <f t="array" ref="K120">INDEX(Phys_Prop,MATCH(K119,Chem_List,0),$AD114)</f>
        <v>#N/A</v>
      </c>
      <c r="L120" s="132" t="e" cm="1">
        <f t="array" ref="L120">INDEX(Phys_Prop,MATCH(L119,Chem_List,0),$AD114)</f>
        <v>#N/A</v>
      </c>
      <c r="M120" s="132" t="e" cm="1">
        <f t="array" ref="M120">INDEX(Phys_Prop,MATCH(M119,Chem_List,0),$AD114)</f>
        <v>#N/A</v>
      </c>
      <c r="N120" s="132" t="e" cm="1">
        <f t="array" ref="N120">INDEX(Phys_Prop,MATCH(N119,Chem_List,0),$AD114)</f>
        <v>#N/A</v>
      </c>
      <c r="O120" s="132" t="e" cm="1">
        <f t="array" ref="O120">INDEX(Phys_Prop,MATCH(O119,Chem_List,0),$AD114)</f>
        <v>#N/A</v>
      </c>
      <c r="P120" s="132" t="e" cm="1">
        <f t="array" ref="P120">INDEX(Phys_Prop,MATCH(P119,Chem_List,0),$AD114)</f>
        <v>#N/A</v>
      </c>
      <c r="Q120" s="134" t="s">
        <v>1629</v>
      </c>
      <c r="W120" s="142">
        <f t="shared" si="39"/>
        <v>115</v>
      </c>
      <c r="X120" s="142"/>
      <c r="Y120" s="142"/>
      <c r="Z120" s="142"/>
    </row>
    <row r="121" spans="2:31" x14ac:dyDescent="0.4">
      <c r="B121" s="528"/>
      <c r="C121" s="531"/>
      <c r="D121" s="149" t="s">
        <v>1623</v>
      </c>
      <c r="E121" s="146" t="e">
        <f t="shared" ref="E121:P121" si="71">VLOOKUP(E119,RVP_XRef,2,FALSE)</f>
        <v>#N/A</v>
      </c>
      <c r="F121" s="146" t="e">
        <f t="shared" si="71"/>
        <v>#N/A</v>
      </c>
      <c r="G121" s="146" t="e">
        <f t="shared" si="71"/>
        <v>#N/A</v>
      </c>
      <c r="H121" s="146" t="e">
        <f t="shared" si="71"/>
        <v>#N/A</v>
      </c>
      <c r="I121" s="146" t="e">
        <f t="shared" si="71"/>
        <v>#N/A</v>
      </c>
      <c r="J121" s="146" t="e">
        <f t="shared" si="71"/>
        <v>#N/A</v>
      </c>
      <c r="K121" s="146" t="e">
        <f t="shared" si="71"/>
        <v>#N/A</v>
      </c>
      <c r="L121" s="146" t="e">
        <f t="shared" si="71"/>
        <v>#N/A</v>
      </c>
      <c r="M121" s="146" t="e">
        <f t="shared" si="71"/>
        <v>#N/A</v>
      </c>
      <c r="N121" s="146" t="e">
        <f t="shared" si="71"/>
        <v>#N/A</v>
      </c>
      <c r="O121" s="146" t="e">
        <f t="shared" si="71"/>
        <v>#N/A</v>
      </c>
      <c r="P121" s="146" t="e">
        <f t="shared" si="71"/>
        <v>#N/A</v>
      </c>
      <c r="Q121" s="133" t="s">
        <v>1629</v>
      </c>
      <c r="W121" s="142">
        <f t="shared" si="39"/>
        <v>116</v>
      </c>
      <c r="X121" s="142"/>
      <c r="Y121" s="142"/>
      <c r="Z121" s="142"/>
    </row>
    <row r="122" spans="2:31" x14ac:dyDescent="0.4">
      <c r="B122" s="528"/>
      <c r="C122" s="531"/>
      <c r="D122" s="150" t="s">
        <v>1624</v>
      </c>
      <c r="E122" s="145" t="str" cm="1">
        <f t="array" ref="E122">IFERROR(INDEX(Phys_Prop,MATCH(E119,Chem_List,0),$AE114),"N/A")</f>
        <v>N/A</v>
      </c>
      <c r="F122" s="145" t="str" cm="1">
        <f t="array" ref="F122">IFERROR(INDEX(Phys_Prop,MATCH(F119,Chem_List,0),$AE114),"N/A")</f>
        <v>N/A</v>
      </c>
      <c r="G122" s="145" t="str" cm="1">
        <f t="array" ref="G122">IFERROR(INDEX(Phys_Prop,MATCH(G119,Chem_List,0),$AE114),"N/A")</f>
        <v>N/A</v>
      </c>
      <c r="H122" s="145" t="str" cm="1">
        <f t="array" ref="H122">IFERROR(INDEX(Phys_Prop,MATCH(H119,Chem_List,0),$AE114),"N/A")</f>
        <v>N/A</v>
      </c>
      <c r="I122" s="145" t="str" cm="1">
        <f t="array" ref="I122">IFERROR(INDEX(Phys_Prop,MATCH(I119,Chem_List,0),$AE114),"N/A")</f>
        <v>N/A</v>
      </c>
      <c r="J122" s="145" t="str" cm="1">
        <f t="array" ref="J122">IFERROR(INDEX(Phys_Prop,MATCH(J119,Chem_List,0),$AE114),"N/A")</f>
        <v>N/A</v>
      </c>
      <c r="K122" s="145" t="str" cm="1">
        <f t="array" ref="K122">IFERROR(INDEX(Phys_Prop,MATCH(K119,Chem_List,0),$AE114),"N/A")</f>
        <v>N/A</v>
      </c>
      <c r="L122" s="145" t="str" cm="1">
        <f t="array" ref="L122">IFERROR(INDEX(Phys_Prop,MATCH(L119,Chem_List,0),$AE114),"N/A")</f>
        <v>N/A</v>
      </c>
      <c r="M122" s="145" t="str" cm="1">
        <f t="array" ref="M122">IFERROR(INDEX(Phys_Prop,MATCH(M119,Chem_List,0),$AE114),"N/A")</f>
        <v>N/A</v>
      </c>
      <c r="N122" s="145" t="str" cm="1">
        <f t="array" ref="N122">IFERROR(INDEX(Phys_Prop,MATCH(N119,Chem_List,0),$AE114),"N/A")</f>
        <v>N/A</v>
      </c>
      <c r="O122" s="145" t="str" cm="1">
        <f t="array" ref="O122">IFERROR(INDEX(Phys_Prop,MATCH(O119,Chem_List,0),$AE114),"N/A")</f>
        <v>N/A</v>
      </c>
      <c r="P122" s="145" t="str" cm="1">
        <f t="array" ref="P122">IFERROR(INDEX(Phys_Prop,MATCH(P119,Chem_List,0),$AE114),"N/A")</f>
        <v>N/A</v>
      </c>
      <c r="Q122" s="134" t="s">
        <v>1629</v>
      </c>
      <c r="W122" s="142">
        <f t="shared" si="39"/>
        <v>117</v>
      </c>
      <c r="X122" s="142"/>
      <c r="Y122" s="142"/>
      <c r="Z122" s="142"/>
    </row>
    <row r="123" spans="2:31" x14ac:dyDescent="0.4">
      <c r="B123" s="528"/>
      <c r="C123" s="531"/>
      <c r="D123" s="149" t="s">
        <v>1625</v>
      </c>
      <c r="E123" s="146">
        <f>IF(E119="Gasoline",0.25,0)</f>
        <v>0</v>
      </c>
      <c r="F123" s="146">
        <f t="shared" ref="F123:P123" si="72">IF(F119="Gasoline",0.25,0)</f>
        <v>0</v>
      </c>
      <c r="G123" s="146">
        <f t="shared" si="72"/>
        <v>0</v>
      </c>
      <c r="H123" s="146">
        <f t="shared" si="72"/>
        <v>0</v>
      </c>
      <c r="I123" s="146">
        <f t="shared" si="72"/>
        <v>0</v>
      </c>
      <c r="J123" s="146">
        <f t="shared" si="72"/>
        <v>0</v>
      </c>
      <c r="K123" s="146">
        <f t="shared" si="72"/>
        <v>0</v>
      </c>
      <c r="L123" s="146">
        <f t="shared" si="72"/>
        <v>0</v>
      </c>
      <c r="M123" s="146">
        <f t="shared" si="72"/>
        <v>0</v>
      </c>
      <c r="N123" s="146">
        <f t="shared" si="72"/>
        <v>0</v>
      </c>
      <c r="O123" s="146">
        <f t="shared" si="72"/>
        <v>0</v>
      </c>
      <c r="P123" s="146">
        <f t="shared" si="72"/>
        <v>0</v>
      </c>
      <c r="Q123" s="133" t="s">
        <v>1629</v>
      </c>
      <c r="W123" s="142">
        <f t="shared" si="39"/>
        <v>118</v>
      </c>
      <c r="X123" s="142"/>
      <c r="Y123" s="142"/>
      <c r="Z123" s="142"/>
    </row>
    <row r="124" spans="2:31" x14ac:dyDescent="0.4">
      <c r="B124" s="528"/>
      <c r="C124" s="531"/>
      <c r="D124" s="149" t="s">
        <v>1626</v>
      </c>
      <c r="E124" s="147" cm="1">
        <f t="array" ref="E124">INDEX(FLT_Setup,X124,Z124)</f>
        <v>80568</v>
      </c>
      <c r="F124" s="147">
        <f>E124</f>
        <v>80568</v>
      </c>
      <c r="G124" s="147">
        <f t="shared" ref="G124:P124" si="73">F124</f>
        <v>80568</v>
      </c>
      <c r="H124" s="147">
        <f t="shared" si="73"/>
        <v>80568</v>
      </c>
      <c r="I124" s="147">
        <f t="shared" si="73"/>
        <v>80568</v>
      </c>
      <c r="J124" s="147">
        <f t="shared" si="73"/>
        <v>80568</v>
      </c>
      <c r="K124" s="147">
        <f t="shared" si="73"/>
        <v>80568</v>
      </c>
      <c r="L124" s="147">
        <f t="shared" si="73"/>
        <v>80568</v>
      </c>
      <c r="M124" s="147">
        <f t="shared" si="73"/>
        <v>80568</v>
      </c>
      <c r="N124" s="147">
        <f t="shared" si="73"/>
        <v>80568</v>
      </c>
      <c r="O124" s="147">
        <f t="shared" si="73"/>
        <v>80568</v>
      </c>
      <c r="P124" s="147">
        <f t="shared" si="73"/>
        <v>80568</v>
      </c>
      <c r="Q124" s="135">
        <f>SUM(E124:P124)</f>
        <v>966816</v>
      </c>
      <c r="W124" s="142">
        <f t="shared" si="39"/>
        <v>119</v>
      </c>
      <c r="X124">
        <f>X114</f>
        <v>10</v>
      </c>
      <c r="Y124" s="142"/>
      <c r="Z124">
        <f>Z112</f>
        <v>9</v>
      </c>
    </row>
    <row r="125" spans="2:31" ht="15" thickBot="1" x14ac:dyDescent="0.45">
      <c r="B125" s="529"/>
      <c r="C125" s="532"/>
      <c r="D125" s="151" t="s">
        <v>1627</v>
      </c>
      <c r="E125" s="148"/>
      <c r="F125" s="136"/>
      <c r="G125" s="136"/>
      <c r="H125" s="136"/>
      <c r="I125" s="136"/>
      <c r="J125" s="136"/>
      <c r="K125" s="136"/>
      <c r="L125" s="136"/>
      <c r="M125" s="136"/>
      <c r="N125" s="136"/>
      <c r="O125" s="136"/>
      <c r="P125" s="136"/>
      <c r="Q125" s="137" t="e">
        <f>AVERAGE(E125:P125)</f>
        <v>#DIV/0!</v>
      </c>
      <c r="W125" s="156">
        <f t="shared" si="39"/>
        <v>120</v>
      </c>
      <c r="X125" s="156"/>
      <c r="Y125" s="156"/>
      <c r="Z125" s="156"/>
      <c r="AA125" s="11"/>
      <c r="AB125" s="11"/>
      <c r="AC125" s="11"/>
      <c r="AD125" s="11"/>
      <c r="AE125" s="11"/>
    </row>
    <row r="127" spans="2:31" x14ac:dyDescent="0.4">
      <c r="B127" t="s">
        <v>1631</v>
      </c>
    </row>
    <row r="128" spans="2:31" x14ac:dyDescent="0.4">
      <c r="B128" t="s">
        <v>1632</v>
      </c>
    </row>
    <row r="129" spans="2:17" x14ac:dyDescent="0.4">
      <c r="B129" t="s">
        <v>1633</v>
      </c>
    </row>
    <row r="133" spans="2:17" x14ac:dyDescent="0.4">
      <c r="E133">
        <v>1</v>
      </c>
      <c r="F133">
        <v>2</v>
      </c>
      <c r="G133">
        <v>3</v>
      </c>
      <c r="H133">
        <v>4</v>
      </c>
      <c r="I133">
        <v>5</v>
      </c>
      <c r="J133">
        <v>6</v>
      </c>
      <c r="K133">
        <v>7</v>
      </c>
      <c r="L133">
        <v>8</v>
      </c>
      <c r="M133">
        <v>9</v>
      </c>
      <c r="N133">
        <v>10</v>
      </c>
      <c r="O133">
        <v>11</v>
      </c>
      <c r="P133">
        <v>12</v>
      </c>
      <c r="Q133">
        <v>13</v>
      </c>
    </row>
    <row r="138" spans="2:17" x14ac:dyDescent="0.4">
      <c r="E138">
        <v>55852.3</v>
      </c>
      <c r="F138">
        <v>90166.51999999999</v>
      </c>
      <c r="G138">
        <v>176836.68</v>
      </c>
      <c r="H138">
        <v>88359.44</v>
      </c>
      <c r="I138">
        <v>90264</v>
      </c>
      <c r="J138">
        <v>98401</v>
      </c>
      <c r="K138">
        <v>129593</v>
      </c>
      <c r="L138">
        <v>102198</v>
      </c>
      <c r="M138">
        <v>93827</v>
      </c>
      <c r="N138">
        <v>1505</v>
      </c>
      <c r="O138">
        <v>301228</v>
      </c>
      <c r="P138">
        <v>96312.13</v>
      </c>
    </row>
    <row r="139" spans="2:17" x14ac:dyDescent="0.4">
      <c r="E139">
        <v>194638.55</v>
      </c>
      <c r="F139">
        <v>256686.27000000002</v>
      </c>
      <c r="G139">
        <v>331616.8</v>
      </c>
      <c r="H139">
        <v>188389.99</v>
      </c>
      <c r="I139">
        <v>174803</v>
      </c>
      <c r="J139">
        <v>175435</v>
      </c>
      <c r="K139">
        <v>177922</v>
      </c>
      <c r="L139">
        <v>110991</v>
      </c>
      <c r="M139">
        <v>111894</v>
      </c>
      <c r="N139">
        <v>95113</v>
      </c>
      <c r="O139">
        <v>145135</v>
      </c>
      <c r="P139">
        <v>86372.75</v>
      </c>
    </row>
    <row r="140" spans="2:17" x14ac:dyDescent="0.4">
      <c r="B140">
        <v>120</v>
      </c>
      <c r="C140">
        <v>120</v>
      </c>
      <c r="D140">
        <f>+C140*B140/4*PI()</f>
        <v>11309.733552923255</v>
      </c>
      <c r="E140">
        <v>34432.86</v>
      </c>
      <c r="F140">
        <v>37209</v>
      </c>
      <c r="G140">
        <v>83854.850000000006</v>
      </c>
      <c r="H140">
        <v>213723.6</v>
      </c>
      <c r="I140">
        <v>81565</v>
      </c>
      <c r="J140">
        <v>61012</v>
      </c>
      <c r="K140">
        <v>127902</v>
      </c>
      <c r="L140">
        <v>82172</v>
      </c>
      <c r="M140">
        <v>61333</v>
      </c>
      <c r="N140">
        <v>69915</v>
      </c>
      <c r="O140">
        <v>161093</v>
      </c>
      <c r="P140">
        <v>169512.7</v>
      </c>
    </row>
    <row r="141" spans="2:17" x14ac:dyDescent="0.4">
      <c r="D141">
        <f>D140*39.8*7.481</f>
        <v>3367403.045034871</v>
      </c>
      <c r="E141">
        <v>601457.15999999992</v>
      </c>
      <c r="F141">
        <v>116405.6</v>
      </c>
      <c r="G141">
        <v>106686.84</v>
      </c>
      <c r="H141">
        <v>48418.69</v>
      </c>
      <c r="I141">
        <v>32</v>
      </c>
      <c r="J141">
        <v>316</v>
      </c>
      <c r="K141">
        <v>75228</v>
      </c>
      <c r="L141">
        <v>50039</v>
      </c>
      <c r="M141">
        <v>153</v>
      </c>
      <c r="N141">
        <v>25114</v>
      </c>
      <c r="O141">
        <v>75977</v>
      </c>
      <c r="P141">
        <v>106285.98</v>
      </c>
    </row>
    <row r="142" spans="2:17" x14ac:dyDescent="0.4">
      <c r="D142">
        <f>D140*36.874*7.481</f>
        <v>3119839.6955431118</v>
      </c>
      <c r="E142">
        <v>4642</v>
      </c>
      <c r="F142">
        <v>3497</v>
      </c>
      <c r="G142">
        <v>3638</v>
      </c>
      <c r="H142">
        <v>5405</v>
      </c>
      <c r="I142">
        <v>5211</v>
      </c>
      <c r="J142">
        <v>8949</v>
      </c>
      <c r="K142">
        <v>7159</v>
      </c>
      <c r="L142">
        <v>7685</v>
      </c>
      <c r="M142">
        <v>6217</v>
      </c>
      <c r="N142">
        <v>4401</v>
      </c>
      <c r="O142">
        <v>2057</v>
      </c>
      <c r="P142">
        <v>3293.26</v>
      </c>
    </row>
    <row r="143" spans="2:17" x14ac:dyDescent="0.4">
      <c r="E143">
        <v>153130.34999999998</v>
      </c>
      <c r="F143">
        <v>60881.759999999995</v>
      </c>
      <c r="G143">
        <v>111034.09</v>
      </c>
      <c r="H143">
        <v>80956.22</v>
      </c>
      <c r="I143">
        <v>106581</v>
      </c>
      <c r="J143">
        <v>177075</v>
      </c>
      <c r="K143">
        <v>104</v>
      </c>
      <c r="L143">
        <v>73381</v>
      </c>
      <c r="M143">
        <v>72013</v>
      </c>
      <c r="N143">
        <v>88588</v>
      </c>
      <c r="O143">
        <v>193318</v>
      </c>
      <c r="P143">
        <v>204589.22</v>
      </c>
    </row>
    <row r="144" spans="2:17" x14ac:dyDescent="0.4">
      <c r="E144">
        <v>104510.45999999999</v>
      </c>
      <c r="F144">
        <v>10729.43</v>
      </c>
      <c r="G144">
        <v>98769.53</v>
      </c>
      <c r="H144">
        <v>44421</v>
      </c>
      <c r="I144">
        <v>91583</v>
      </c>
      <c r="J144">
        <v>70585</v>
      </c>
      <c r="K144">
        <v>7265</v>
      </c>
      <c r="L144">
        <v>86834</v>
      </c>
      <c r="M144">
        <v>83</v>
      </c>
      <c r="N144">
        <v>1531</v>
      </c>
      <c r="O144">
        <v>60358</v>
      </c>
      <c r="P144">
        <v>40607.17</v>
      </c>
    </row>
  </sheetData>
  <sheetProtection algorithmName="SHA-512" hashValue="63EbBKpDjIWVqWGJCTdB0YEsotqGNBlAuJq1uR1DYJ/cJ3n8jrdSjGi90IKRr/WcgNkkWXhZnsZtFym/3/Yy3g==" saltValue="78sqoWlhpN6ncwHGACyBlg==" spinCount="100000" sheet="1" objects="1" scenarios="1"/>
  <mergeCells count="20">
    <mergeCell ref="B6:B17"/>
    <mergeCell ref="C6:C17"/>
    <mergeCell ref="B18:B29"/>
    <mergeCell ref="C18:C29"/>
    <mergeCell ref="B30:B41"/>
    <mergeCell ref="C30:C41"/>
    <mergeCell ref="B42:B53"/>
    <mergeCell ref="C42:C53"/>
    <mergeCell ref="B54:B65"/>
    <mergeCell ref="C54:C65"/>
    <mergeCell ref="B102:B113"/>
    <mergeCell ref="C102:C113"/>
    <mergeCell ref="B114:B125"/>
    <mergeCell ref="C114:C125"/>
    <mergeCell ref="B66:B77"/>
    <mergeCell ref="C66:C77"/>
    <mergeCell ref="B78:B89"/>
    <mergeCell ref="C78:C89"/>
    <mergeCell ref="B90:B101"/>
    <mergeCell ref="C90:C101"/>
  </mergeCells>
  <phoneticPr fontId="11" type="noConversion"/>
  <dataValidations count="1">
    <dataValidation type="list" allowBlank="1" showInputMessage="1" showErrorMessage="1" sqref="E90:P90 E6:P6 F107:P107 E18:P18 F23:P23 F35:P35 F47:P47 E54:P54 F59:P59 E66:P66 F71:P71 F83:P83 E78:P78 F95:P95 E102:P102 F11:P11 E30:P30 E42:P42 E114:P114 F119:P119" xr:uid="{5A26E13F-80FD-4FB9-8BFA-EAA803D1CA33}">
      <formula1>Chem_List</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40551-970F-44C1-8296-7B15E2EFE004}">
  <sheetPr codeName="Sheet12">
    <tabColor rgb="FF00B050"/>
  </sheetPr>
  <dimension ref="A2:DE396"/>
  <sheetViews>
    <sheetView workbookViewId="0">
      <pane xSplit="3" ySplit="7" topLeftCell="BS8" activePane="bottomRight" state="frozen"/>
      <selection activeCell="J5" sqref="J5"/>
      <selection pane="topRight" activeCell="J5" sqref="J5"/>
      <selection pane="bottomLeft" activeCell="J5" sqref="J5"/>
      <selection pane="bottomRight" activeCell="J5" sqref="J5"/>
    </sheetView>
  </sheetViews>
  <sheetFormatPr defaultColWidth="8.84375" defaultRowHeight="14.6" x14ac:dyDescent="0.4"/>
  <cols>
    <col min="2" max="2" width="16.15234375" customWidth="1"/>
    <col min="3" max="3" width="13.4609375" customWidth="1"/>
    <col min="4" max="4" width="9.84375" bestFit="1" customWidth="1"/>
    <col min="5" max="5" width="10.15234375" bestFit="1" customWidth="1"/>
    <col min="7" max="7" width="13.4609375" customWidth="1"/>
    <col min="8" max="8" width="9.15234375" style="34"/>
    <col min="9" max="11" width="16.4609375" customWidth="1"/>
    <col min="12" max="17" width="17.15234375" customWidth="1"/>
    <col min="18" max="18" width="17.4609375" style="12" bestFit="1" customWidth="1"/>
    <col min="19" max="19" width="23.4609375" bestFit="1" customWidth="1"/>
    <col min="20" max="20" width="6" bestFit="1" customWidth="1"/>
    <col min="21" max="21" width="5" bestFit="1" customWidth="1"/>
    <col min="22" max="22" width="8.15234375" bestFit="1" customWidth="1"/>
    <col min="23" max="23" width="13.4609375" bestFit="1" customWidth="1"/>
    <col min="24" max="24" width="23.4609375" bestFit="1" customWidth="1"/>
    <col min="25" max="25" width="6" bestFit="1" customWidth="1"/>
    <col min="26" max="26" width="5" bestFit="1" customWidth="1"/>
    <col min="27" max="27" width="8.15234375" bestFit="1" customWidth="1"/>
    <col min="28" max="28" width="13.4609375" bestFit="1" customWidth="1"/>
    <col min="29" max="29" width="23.4609375" bestFit="1" customWidth="1"/>
    <col min="30" max="30" width="6" bestFit="1" customWidth="1"/>
    <col min="31" max="31" width="5" bestFit="1" customWidth="1"/>
    <col min="32" max="32" width="8.15234375" bestFit="1" customWidth="1"/>
    <col min="33" max="33" width="13.4609375" bestFit="1" customWidth="1"/>
    <col min="34" max="34" width="23.4609375" bestFit="1" customWidth="1"/>
    <col min="35" max="35" width="6" bestFit="1" customWidth="1"/>
    <col min="36" max="36" width="5" bestFit="1" customWidth="1"/>
    <col min="37" max="37" width="8.15234375" bestFit="1" customWidth="1"/>
    <col min="38" max="38" width="13.4609375" bestFit="1" customWidth="1"/>
    <col min="39" max="39" width="23.4609375" bestFit="1" customWidth="1"/>
    <col min="40" max="40" width="6" bestFit="1" customWidth="1"/>
    <col min="41" max="41" width="5" bestFit="1" customWidth="1"/>
    <col min="42" max="42" width="8.15234375" bestFit="1" customWidth="1"/>
    <col min="43" max="43" width="13.4609375" bestFit="1" customWidth="1"/>
    <col min="44" max="44" width="23.4609375" bestFit="1" customWidth="1"/>
    <col min="45" max="45" width="6" bestFit="1" customWidth="1"/>
    <col min="46" max="46" width="5" bestFit="1" customWidth="1"/>
    <col min="47" max="47" width="8.15234375" bestFit="1" customWidth="1"/>
    <col min="48" max="48" width="13.4609375" bestFit="1" customWidth="1"/>
    <col min="49" max="49" width="23.4609375" bestFit="1" customWidth="1"/>
    <col min="50" max="50" width="6" bestFit="1" customWidth="1"/>
    <col min="51" max="51" width="5" bestFit="1" customWidth="1"/>
    <col min="52" max="52" width="8.15234375" bestFit="1" customWidth="1"/>
    <col min="53" max="53" width="13.4609375" bestFit="1" customWidth="1"/>
    <col min="54" max="54" width="23.4609375" bestFit="1" customWidth="1"/>
    <col min="55" max="55" width="6" bestFit="1" customWidth="1"/>
    <col min="56" max="56" width="5" bestFit="1" customWidth="1"/>
    <col min="57" max="57" width="8.15234375" bestFit="1" customWidth="1"/>
    <col min="58" max="58" width="13.4609375" bestFit="1" customWidth="1"/>
    <col min="59" max="59" width="23.4609375" bestFit="1" customWidth="1"/>
    <col min="60" max="60" width="6" bestFit="1" customWidth="1"/>
    <col min="61" max="61" width="5" bestFit="1" customWidth="1"/>
    <col min="62" max="62" width="8.15234375" bestFit="1" customWidth="1"/>
    <col min="63" max="63" width="13.4609375" bestFit="1" customWidth="1"/>
    <col min="64" max="64" width="23.4609375" bestFit="1" customWidth="1"/>
    <col min="65" max="65" width="6" bestFit="1" customWidth="1"/>
    <col min="66" max="66" width="5" bestFit="1" customWidth="1"/>
    <col min="67" max="67" width="8.15234375" bestFit="1" customWidth="1"/>
    <col min="68" max="68" width="13.4609375" bestFit="1" customWidth="1"/>
    <col min="69" max="69" width="23.4609375" bestFit="1" customWidth="1"/>
    <col min="70" max="70" width="6" bestFit="1" customWidth="1"/>
    <col min="71" max="71" width="5" bestFit="1" customWidth="1"/>
    <col min="72" max="72" width="8.15234375" bestFit="1" customWidth="1"/>
    <col min="73" max="73" width="13.4609375" bestFit="1" customWidth="1"/>
    <col min="74" max="74" width="23.4609375" bestFit="1" customWidth="1"/>
    <col min="75" max="75" width="6" bestFit="1" customWidth="1"/>
    <col min="76" max="76" width="5" bestFit="1" customWidth="1"/>
    <col min="77" max="77" width="8.15234375" bestFit="1" customWidth="1"/>
    <col min="78" max="78" width="11" customWidth="1"/>
    <col min="90" max="101" width="12" bestFit="1" customWidth="1"/>
    <col min="102" max="102" width="10" bestFit="1" customWidth="1"/>
    <col min="105" max="105" width="9" style="8" customWidth="1"/>
  </cols>
  <sheetData>
    <row r="2" spans="2:109" ht="18.45" x14ac:dyDescent="0.5">
      <c r="B2" s="15" t="s">
        <v>0</v>
      </c>
    </row>
    <row r="3" spans="2:109" ht="18.899999999999999" thickBot="1" x14ac:dyDescent="0.55000000000000004">
      <c r="B3" s="15"/>
    </row>
    <row r="4" spans="2:109" x14ac:dyDescent="0.4">
      <c r="B4" s="445" t="s">
        <v>100</v>
      </c>
      <c r="C4" s="509"/>
      <c r="D4" s="446"/>
      <c r="E4" s="509" t="s">
        <v>1</v>
      </c>
      <c r="F4" s="509"/>
      <c r="G4" s="509"/>
      <c r="H4" s="509"/>
      <c r="I4" s="509"/>
      <c r="J4" s="509"/>
      <c r="K4" s="509"/>
      <c r="L4" s="509"/>
      <c r="M4" s="509"/>
      <c r="N4" s="509"/>
      <c r="O4" s="509"/>
      <c r="P4" s="509"/>
      <c r="Q4" s="446"/>
      <c r="R4" s="554" t="s">
        <v>99</v>
      </c>
      <c r="S4" s="555"/>
      <c r="T4" s="555"/>
      <c r="U4" s="555"/>
      <c r="V4" s="555"/>
      <c r="W4" s="555"/>
      <c r="X4" s="555"/>
      <c r="Y4" s="555"/>
      <c r="Z4" s="555"/>
      <c r="AA4" s="555"/>
      <c r="AB4" s="555"/>
      <c r="AC4" s="555"/>
      <c r="AD4" s="555"/>
      <c r="AE4" s="555"/>
      <c r="AF4" s="555"/>
      <c r="AG4" s="555"/>
      <c r="AH4" s="555"/>
      <c r="AI4" s="555"/>
      <c r="AJ4" s="555"/>
      <c r="AK4" s="555"/>
      <c r="AL4" s="555"/>
      <c r="AM4" s="555"/>
      <c r="AN4" s="555"/>
      <c r="AO4" s="555"/>
      <c r="AP4" s="555"/>
      <c r="AQ4" s="555"/>
      <c r="AR4" s="555"/>
      <c r="AS4" s="555"/>
      <c r="AT4" s="555"/>
      <c r="AU4" s="555"/>
      <c r="AV4" s="555"/>
      <c r="AW4" s="555"/>
      <c r="AX4" s="555"/>
      <c r="AY4" s="555"/>
      <c r="AZ4" s="555"/>
      <c r="BA4" s="555"/>
      <c r="BB4" s="555"/>
      <c r="BC4" s="555"/>
      <c r="BD4" s="555"/>
      <c r="BE4" s="555"/>
      <c r="BF4" s="555"/>
      <c r="BG4" s="555"/>
      <c r="BH4" s="555"/>
      <c r="BI4" s="555"/>
      <c r="BJ4" s="555"/>
      <c r="BK4" s="555"/>
      <c r="BL4" s="555"/>
      <c r="BM4" s="555"/>
      <c r="BN4" s="555"/>
      <c r="BO4" s="555"/>
      <c r="BP4" s="555"/>
      <c r="BQ4" s="555"/>
      <c r="BR4" s="555"/>
      <c r="BS4" s="555"/>
      <c r="BT4" s="555"/>
      <c r="BU4" s="555"/>
      <c r="BV4" s="555"/>
      <c r="BW4" s="555"/>
      <c r="BX4" s="555"/>
      <c r="BY4" s="556"/>
      <c r="BZ4" s="445" t="s">
        <v>2</v>
      </c>
      <c r="CA4" s="509"/>
      <c r="CB4" s="509"/>
      <c r="CC4" s="509"/>
      <c r="CD4" s="509"/>
      <c r="CE4" s="509"/>
      <c r="CF4" s="509"/>
      <c r="CG4" s="509"/>
      <c r="CH4" s="509"/>
      <c r="CI4" s="509"/>
      <c r="CJ4" s="509"/>
      <c r="CK4" s="446"/>
      <c r="CL4" s="445" t="s">
        <v>3</v>
      </c>
      <c r="CM4" s="509"/>
      <c r="CN4" s="509"/>
      <c r="CO4" s="509"/>
      <c r="CP4" s="509"/>
      <c r="CQ4" s="509"/>
      <c r="CR4" s="509"/>
      <c r="CS4" s="509"/>
      <c r="CT4" s="509"/>
      <c r="CU4" s="509"/>
      <c r="CV4" s="509"/>
      <c r="CW4" s="509"/>
      <c r="CX4" s="446"/>
      <c r="DA4" s="42" t="s">
        <v>218</v>
      </c>
      <c r="DB4" t="s">
        <v>2036</v>
      </c>
    </row>
    <row r="5" spans="2:109" ht="15" thickBot="1" x14ac:dyDescent="0.45">
      <c r="B5" s="510"/>
      <c r="C5" s="511"/>
      <c r="D5" s="512"/>
      <c r="E5" s="511"/>
      <c r="F5" s="511"/>
      <c r="G5" s="511"/>
      <c r="H5" s="511"/>
      <c r="I5" s="511"/>
      <c r="J5" s="511"/>
      <c r="K5" s="511"/>
      <c r="L5" s="511"/>
      <c r="M5" s="511"/>
      <c r="N5" s="511"/>
      <c r="O5" s="511"/>
      <c r="P5" s="511"/>
      <c r="Q5" s="512"/>
      <c r="R5" s="553" t="str" cm="1">
        <f t="array" ref="R5">INDEX(Month_Ref,R388,2)</f>
        <v>January</v>
      </c>
      <c r="S5" s="551"/>
      <c r="T5" s="551"/>
      <c r="U5" s="551"/>
      <c r="V5" s="552"/>
      <c r="W5" s="551" t="str" cm="1">
        <f t="array" ref="W5">INDEX(Month_Ref,W388,2)</f>
        <v>February</v>
      </c>
      <c r="X5" s="551"/>
      <c r="Y5" s="551"/>
      <c r="Z5" s="551"/>
      <c r="AA5" s="552"/>
      <c r="AB5" s="551" t="str" cm="1">
        <f t="array" ref="AB5">INDEX(Month_Ref,AB388,2)</f>
        <v>March</v>
      </c>
      <c r="AC5" s="551"/>
      <c r="AD5" s="551"/>
      <c r="AE5" s="551"/>
      <c r="AF5" s="552"/>
      <c r="AG5" s="551" t="str" cm="1">
        <f t="array" ref="AG5">INDEX(Month_Ref,AG388,2)</f>
        <v>April</v>
      </c>
      <c r="AH5" s="551"/>
      <c r="AI5" s="551"/>
      <c r="AJ5" s="551"/>
      <c r="AK5" s="552"/>
      <c r="AL5" s="551" t="str" cm="1">
        <f t="array" ref="AL5">INDEX(Month_Ref,AL388,2)</f>
        <v>May</v>
      </c>
      <c r="AM5" s="551"/>
      <c r="AN5" s="551"/>
      <c r="AO5" s="551"/>
      <c r="AP5" s="552"/>
      <c r="AQ5" s="551" t="str" cm="1">
        <f t="array" ref="AQ5">INDEX(Month_Ref,AQ388,2)</f>
        <v>June</v>
      </c>
      <c r="AR5" s="551"/>
      <c r="AS5" s="551"/>
      <c r="AT5" s="551"/>
      <c r="AU5" s="552"/>
      <c r="AV5" s="551" t="str" cm="1">
        <f t="array" ref="AV5">INDEX(Month_Ref,AV388,2)</f>
        <v>July</v>
      </c>
      <c r="AW5" s="551"/>
      <c r="AX5" s="551"/>
      <c r="AY5" s="551"/>
      <c r="AZ5" s="552"/>
      <c r="BA5" s="551" t="str" cm="1">
        <f t="array" ref="BA5">INDEX(Month_Ref,BA388,2)</f>
        <v>August</v>
      </c>
      <c r="BB5" s="551"/>
      <c r="BC5" s="551"/>
      <c r="BD5" s="551"/>
      <c r="BE5" s="552"/>
      <c r="BF5" s="551" t="str" cm="1">
        <f t="array" ref="BF5">INDEX(Month_Ref,BF388,2)</f>
        <v>September</v>
      </c>
      <c r="BG5" s="551"/>
      <c r="BH5" s="551"/>
      <c r="BI5" s="551"/>
      <c r="BJ5" s="552"/>
      <c r="BK5" s="551" t="str" cm="1">
        <f t="array" ref="BK5">INDEX(Month_Ref,BK388,2)</f>
        <v>October</v>
      </c>
      <c r="BL5" s="551"/>
      <c r="BM5" s="551"/>
      <c r="BN5" s="551"/>
      <c r="BO5" s="552"/>
      <c r="BP5" s="551" t="str" cm="1">
        <f t="array" ref="BP5">INDEX(Month_Ref,BP388,2)</f>
        <v>November</v>
      </c>
      <c r="BQ5" s="551"/>
      <c r="BR5" s="551"/>
      <c r="BS5" s="551"/>
      <c r="BT5" s="552"/>
      <c r="BU5" s="551" t="str" cm="1">
        <f t="array" ref="BU5">INDEX(Month_Ref,BU388,2)</f>
        <v>December</v>
      </c>
      <c r="BV5" s="551"/>
      <c r="BW5" s="551"/>
      <c r="BX5" s="551"/>
      <c r="BY5" s="552"/>
      <c r="BZ5" s="510"/>
      <c r="CA5" s="511"/>
      <c r="CB5" s="511"/>
      <c r="CC5" s="511"/>
      <c r="CD5" s="511"/>
      <c r="CE5" s="511"/>
      <c r="CF5" s="511"/>
      <c r="CG5" s="511"/>
      <c r="CH5" s="511"/>
      <c r="CI5" s="511"/>
      <c r="CJ5" s="511"/>
      <c r="CK5" s="512"/>
      <c r="CL5" s="510"/>
      <c r="CM5" s="511"/>
      <c r="CN5" s="511"/>
      <c r="CO5" s="511"/>
      <c r="CP5" s="511"/>
      <c r="CQ5" s="511"/>
      <c r="CR5" s="511"/>
      <c r="CS5" s="511"/>
      <c r="CT5" s="511"/>
      <c r="CU5" s="511"/>
      <c r="CV5" s="511"/>
      <c r="CW5" s="511"/>
      <c r="CX5" s="512"/>
      <c r="DA5" s="42"/>
    </row>
    <row r="6" spans="2:109" ht="63" customHeight="1" x14ac:dyDescent="0.4">
      <c r="B6" s="513" t="s">
        <v>222</v>
      </c>
      <c r="C6" s="515" t="s">
        <v>223</v>
      </c>
      <c r="D6" s="517" t="s">
        <v>4</v>
      </c>
      <c r="E6" s="519" t="s">
        <v>5</v>
      </c>
      <c r="F6" s="1" t="s">
        <v>6</v>
      </c>
      <c r="G6" s="1" t="s">
        <v>66</v>
      </c>
      <c r="H6" s="65" t="s">
        <v>67</v>
      </c>
      <c r="I6" s="515" t="s">
        <v>7</v>
      </c>
      <c r="J6" s="1" t="s">
        <v>70</v>
      </c>
      <c r="K6" s="1" t="s">
        <v>71</v>
      </c>
      <c r="L6" s="515" t="s">
        <v>8</v>
      </c>
      <c r="M6" s="515" t="s">
        <v>9</v>
      </c>
      <c r="N6" s="515" t="s">
        <v>10</v>
      </c>
      <c r="O6" s="515" t="s">
        <v>11</v>
      </c>
      <c r="P6" s="1" t="s">
        <v>12</v>
      </c>
      <c r="Q6" s="2" t="s">
        <v>13</v>
      </c>
      <c r="R6" s="557" t="s">
        <v>14</v>
      </c>
      <c r="S6" s="515" t="s">
        <v>15</v>
      </c>
      <c r="T6" s="515" t="s">
        <v>16</v>
      </c>
      <c r="U6" s="1" t="s">
        <v>17</v>
      </c>
      <c r="V6" s="517" t="s">
        <v>18</v>
      </c>
      <c r="W6" s="1" t="s">
        <v>14</v>
      </c>
      <c r="X6" s="1" t="s">
        <v>15</v>
      </c>
      <c r="Y6" s="1" t="s">
        <v>16</v>
      </c>
      <c r="Z6" s="1" t="s">
        <v>17</v>
      </c>
      <c r="AA6" s="2" t="s">
        <v>18</v>
      </c>
      <c r="AB6" s="1" t="s">
        <v>14</v>
      </c>
      <c r="AC6" s="1" t="s">
        <v>15</v>
      </c>
      <c r="AD6" s="1" t="s">
        <v>16</v>
      </c>
      <c r="AE6" s="1" t="s">
        <v>17</v>
      </c>
      <c r="AF6" s="2" t="s">
        <v>18</v>
      </c>
      <c r="AG6" s="1" t="s">
        <v>14</v>
      </c>
      <c r="AH6" s="1" t="s">
        <v>15</v>
      </c>
      <c r="AI6" s="1" t="s">
        <v>16</v>
      </c>
      <c r="AJ6" s="1" t="s">
        <v>17</v>
      </c>
      <c r="AK6" s="2" t="s">
        <v>18</v>
      </c>
      <c r="AL6" s="1" t="s">
        <v>14</v>
      </c>
      <c r="AM6" s="1" t="s">
        <v>15</v>
      </c>
      <c r="AN6" s="1" t="s">
        <v>16</v>
      </c>
      <c r="AO6" s="1" t="s">
        <v>17</v>
      </c>
      <c r="AP6" s="2" t="s">
        <v>18</v>
      </c>
      <c r="AQ6" s="1" t="s">
        <v>14</v>
      </c>
      <c r="AR6" s="1" t="s">
        <v>15</v>
      </c>
      <c r="AS6" s="1" t="s">
        <v>16</v>
      </c>
      <c r="AT6" s="1" t="s">
        <v>17</v>
      </c>
      <c r="AU6" s="2" t="s">
        <v>18</v>
      </c>
      <c r="AV6" s="1" t="s">
        <v>14</v>
      </c>
      <c r="AW6" s="1" t="s">
        <v>15</v>
      </c>
      <c r="AX6" s="1" t="s">
        <v>16</v>
      </c>
      <c r="AY6" s="1" t="s">
        <v>17</v>
      </c>
      <c r="AZ6" s="2" t="s">
        <v>18</v>
      </c>
      <c r="BA6" s="1" t="s">
        <v>14</v>
      </c>
      <c r="BB6" s="1" t="s">
        <v>15</v>
      </c>
      <c r="BC6" s="1" t="s">
        <v>16</v>
      </c>
      <c r="BD6" s="1" t="s">
        <v>17</v>
      </c>
      <c r="BE6" s="2" t="s">
        <v>18</v>
      </c>
      <c r="BF6" s="1" t="s">
        <v>14</v>
      </c>
      <c r="BG6" s="1" t="s">
        <v>15</v>
      </c>
      <c r="BH6" s="1" t="s">
        <v>16</v>
      </c>
      <c r="BI6" s="1" t="s">
        <v>17</v>
      </c>
      <c r="BJ6" s="2" t="s">
        <v>18</v>
      </c>
      <c r="BK6" s="1" t="s">
        <v>14</v>
      </c>
      <c r="BL6" s="1" t="s">
        <v>15</v>
      </c>
      <c r="BM6" s="1" t="s">
        <v>16</v>
      </c>
      <c r="BN6" s="1" t="s">
        <v>17</v>
      </c>
      <c r="BO6" s="2" t="s">
        <v>18</v>
      </c>
      <c r="BP6" s="1" t="s">
        <v>14</v>
      </c>
      <c r="BQ6" s="1" t="s">
        <v>15</v>
      </c>
      <c r="BR6" s="1" t="s">
        <v>16</v>
      </c>
      <c r="BS6" s="1" t="s">
        <v>17</v>
      </c>
      <c r="BT6" s="2" t="s">
        <v>18</v>
      </c>
      <c r="BU6" s="1" t="s">
        <v>14</v>
      </c>
      <c r="BV6" s="1" t="s">
        <v>15</v>
      </c>
      <c r="BW6" s="1" t="s">
        <v>16</v>
      </c>
      <c r="BX6" s="1" t="s">
        <v>17</v>
      </c>
      <c r="BY6" s="2" t="s">
        <v>18</v>
      </c>
      <c r="BZ6" s="29" t="str" cm="1">
        <f t="array" ref="BZ6">INDEX(Month_Ref,BZ388,2)</f>
        <v>January</v>
      </c>
      <c r="CA6" s="14" t="str" cm="1">
        <f t="array" ref="CA6">INDEX(Month_Ref,CA388,2)</f>
        <v>February</v>
      </c>
      <c r="CB6" s="14" t="str" cm="1">
        <f t="array" ref="CB6">INDEX(Month_Ref,CB388,2)</f>
        <v>March</v>
      </c>
      <c r="CC6" s="14" t="str" cm="1">
        <f t="array" ref="CC6">INDEX(Month_Ref,CC388,2)</f>
        <v>April</v>
      </c>
      <c r="CD6" s="14" t="str" cm="1">
        <f t="array" ref="CD6">INDEX(Month_Ref,CD388,2)</f>
        <v>May</v>
      </c>
      <c r="CE6" s="14" t="str" cm="1">
        <f t="array" ref="CE6">INDEX(Month_Ref,CE388,2)</f>
        <v>June</v>
      </c>
      <c r="CF6" s="14" t="str" cm="1">
        <f t="array" ref="CF6">INDEX(Month_Ref,CF388,2)</f>
        <v>July</v>
      </c>
      <c r="CG6" s="14" t="str" cm="1">
        <f t="array" ref="CG6">INDEX(Month_Ref,CG388,2)</f>
        <v>August</v>
      </c>
      <c r="CH6" s="14" t="str" cm="1">
        <f t="array" ref="CH6">INDEX(Month_Ref,CH388,2)</f>
        <v>September</v>
      </c>
      <c r="CI6" s="14" t="str" cm="1">
        <f t="array" ref="CI6">INDEX(Month_Ref,CI388,2)</f>
        <v>October</v>
      </c>
      <c r="CJ6" s="14" t="str" cm="1">
        <f t="array" ref="CJ6">INDEX(Month_Ref,CJ388,2)</f>
        <v>November</v>
      </c>
      <c r="CK6" s="30" t="str" cm="1">
        <f t="array" ref="CK6">INDEX(Month_Ref,CK388,2)</f>
        <v>December</v>
      </c>
      <c r="CL6" s="29" t="str" cm="1">
        <f t="array" ref="CL6">INDEX(Month_Ref,CL388,2)</f>
        <v>January</v>
      </c>
      <c r="CM6" s="14" t="str" cm="1">
        <f t="array" ref="CM6">INDEX(Month_Ref,CM388,2)</f>
        <v>February</v>
      </c>
      <c r="CN6" s="14" t="str" cm="1">
        <f t="array" ref="CN6">INDEX(Month_Ref,CN388,2)</f>
        <v>March</v>
      </c>
      <c r="CO6" s="14" t="str" cm="1">
        <f t="array" ref="CO6">INDEX(Month_Ref,CO388,2)</f>
        <v>April</v>
      </c>
      <c r="CP6" s="14" t="str" cm="1">
        <f t="array" ref="CP6">INDEX(Month_Ref,CP388,2)</f>
        <v>May</v>
      </c>
      <c r="CQ6" s="14" t="str" cm="1">
        <f t="array" ref="CQ6">INDEX(Month_Ref,CQ388,2)</f>
        <v>June</v>
      </c>
      <c r="CR6" s="14" t="str" cm="1">
        <f t="array" ref="CR6">INDEX(Month_Ref,CR388,2)</f>
        <v>July</v>
      </c>
      <c r="CS6" s="14" t="str" cm="1">
        <f t="array" ref="CS6">INDEX(Month_Ref,CS388,2)</f>
        <v>August</v>
      </c>
      <c r="CT6" s="14" t="str" cm="1">
        <f t="array" ref="CT6">INDEX(Month_Ref,CT388,2)</f>
        <v>September</v>
      </c>
      <c r="CU6" s="14" t="str" cm="1">
        <f t="array" ref="CU6">INDEX(Month_Ref,CU388,2)</f>
        <v>October</v>
      </c>
      <c r="CV6" s="14" t="str" cm="1">
        <f t="array" ref="CV6">INDEX(Month_Ref,CV388,2)</f>
        <v>November</v>
      </c>
      <c r="CW6" s="14" t="str" cm="1">
        <f t="array" ref="CW6">INDEX(Month_Ref,CW388,2)</f>
        <v>December</v>
      </c>
      <c r="CX6" s="30" t="str" cm="1">
        <f t="array" ref="CX6">INDEX(Month_Ref,CX388,2)</f>
        <v>Annual</v>
      </c>
      <c r="DA6" s="42"/>
    </row>
    <row r="7" spans="2:109" ht="15" thickBot="1" x14ac:dyDescent="0.45">
      <c r="B7" s="514"/>
      <c r="C7" s="516"/>
      <c r="D7" s="518"/>
      <c r="E7" s="520"/>
      <c r="F7" s="3" t="s">
        <v>19</v>
      </c>
      <c r="G7" s="3" t="s">
        <v>19</v>
      </c>
      <c r="H7" s="35" t="s">
        <v>20</v>
      </c>
      <c r="I7" s="516"/>
      <c r="J7" s="3" t="s">
        <v>19</v>
      </c>
      <c r="K7" s="3" t="s">
        <v>19</v>
      </c>
      <c r="L7" s="516"/>
      <c r="M7" s="516"/>
      <c r="N7" s="516"/>
      <c r="O7" s="516"/>
      <c r="P7" s="3" t="s">
        <v>21</v>
      </c>
      <c r="Q7" s="7" t="s">
        <v>21</v>
      </c>
      <c r="R7" s="558"/>
      <c r="S7" s="516"/>
      <c r="T7" s="516"/>
      <c r="U7" s="3" t="s">
        <v>25</v>
      </c>
      <c r="V7" s="518"/>
      <c r="W7" s="3"/>
      <c r="X7" s="3"/>
      <c r="Y7" s="3"/>
      <c r="Z7" s="3" t="s">
        <v>25</v>
      </c>
      <c r="AA7" s="7"/>
      <c r="AB7" s="3"/>
      <c r="AC7" s="3"/>
      <c r="AD7" s="3"/>
      <c r="AE7" s="3" t="s">
        <v>25</v>
      </c>
      <c r="AF7" s="7"/>
      <c r="AG7" s="3"/>
      <c r="AH7" s="3"/>
      <c r="AI7" s="3"/>
      <c r="AJ7" s="3" t="s">
        <v>25</v>
      </c>
      <c r="AK7" s="7"/>
      <c r="AL7" s="3"/>
      <c r="AM7" s="3"/>
      <c r="AN7" s="3"/>
      <c r="AO7" s="3" t="s">
        <v>25</v>
      </c>
      <c r="AP7" s="7"/>
      <c r="AQ7" s="3"/>
      <c r="AR7" s="3"/>
      <c r="AS7" s="3"/>
      <c r="AT7" s="3" t="s">
        <v>25</v>
      </c>
      <c r="AU7" s="7"/>
      <c r="AV7" s="3"/>
      <c r="AW7" s="3"/>
      <c r="AX7" s="3"/>
      <c r="AY7" s="3" t="s">
        <v>25</v>
      </c>
      <c r="AZ7" s="7"/>
      <c r="BA7" s="3"/>
      <c r="BB7" s="3"/>
      <c r="BC7" s="3"/>
      <c r="BD7" s="3" t="s">
        <v>25</v>
      </c>
      <c r="BE7" s="7"/>
      <c r="BF7" s="3"/>
      <c r="BG7" s="3"/>
      <c r="BH7" s="3"/>
      <c r="BI7" s="3" t="s">
        <v>25</v>
      </c>
      <c r="BJ7" s="7"/>
      <c r="BK7" s="3"/>
      <c r="BL7" s="3"/>
      <c r="BM7" s="3"/>
      <c r="BN7" s="3" t="s">
        <v>25</v>
      </c>
      <c r="BO7" s="7"/>
      <c r="BP7" s="3"/>
      <c r="BQ7" s="3"/>
      <c r="BR7" s="3"/>
      <c r="BS7" s="3" t="s">
        <v>25</v>
      </c>
      <c r="BT7" s="7"/>
      <c r="BU7" s="3"/>
      <c r="BV7" s="3"/>
      <c r="BW7" s="3"/>
      <c r="BX7" s="3" t="s">
        <v>25</v>
      </c>
      <c r="BY7" s="7"/>
      <c r="BZ7" s="4" t="s">
        <v>22</v>
      </c>
      <c r="CA7" s="5" t="s">
        <v>22</v>
      </c>
      <c r="CB7" s="5" t="s">
        <v>22</v>
      </c>
      <c r="CC7" s="5" t="s">
        <v>22</v>
      </c>
      <c r="CD7" s="5" t="s">
        <v>22</v>
      </c>
      <c r="CE7" s="5" t="s">
        <v>22</v>
      </c>
      <c r="CF7" s="5" t="s">
        <v>22</v>
      </c>
      <c r="CG7" s="5" t="s">
        <v>22</v>
      </c>
      <c r="CH7" s="5" t="s">
        <v>22</v>
      </c>
      <c r="CI7" s="5" t="s">
        <v>22</v>
      </c>
      <c r="CJ7" s="5" t="s">
        <v>22</v>
      </c>
      <c r="CK7" s="6" t="s">
        <v>22</v>
      </c>
      <c r="CL7" s="31" t="s">
        <v>23</v>
      </c>
      <c r="CM7" s="32" t="s">
        <v>23</v>
      </c>
      <c r="CN7" s="32" t="s">
        <v>23</v>
      </c>
      <c r="CO7" s="32" t="s">
        <v>23</v>
      </c>
      <c r="CP7" s="32" t="s">
        <v>23</v>
      </c>
      <c r="CQ7" s="32" t="s">
        <v>23</v>
      </c>
      <c r="CR7" s="32" t="s">
        <v>23</v>
      </c>
      <c r="CS7" s="32" t="s">
        <v>23</v>
      </c>
      <c r="CT7" s="32" t="s">
        <v>23</v>
      </c>
      <c r="CU7" s="32" t="s">
        <v>23</v>
      </c>
      <c r="CV7" s="32" t="s">
        <v>23</v>
      </c>
      <c r="CW7" s="32" t="s">
        <v>23</v>
      </c>
      <c r="CX7" s="33" t="s">
        <v>24</v>
      </c>
      <c r="DA7" s="42"/>
      <c r="DB7" t="s">
        <v>1747</v>
      </c>
      <c r="DC7" t="s">
        <v>2037</v>
      </c>
      <c r="DD7" t="s">
        <v>2038</v>
      </c>
      <c r="DE7" t="s">
        <v>1536</v>
      </c>
    </row>
    <row r="8" spans="2:109" x14ac:dyDescent="0.4">
      <c r="B8" s="504" t="str">
        <f>"FX - "&amp;DA8</f>
        <v>FX - 1</v>
      </c>
      <c r="C8" s="545" t="s">
        <v>1929</v>
      </c>
      <c r="D8" s="547" t="s">
        <v>61</v>
      </c>
      <c r="E8" s="548" t="s">
        <v>65</v>
      </c>
      <c r="F8" s="549" cm="1">
        <f t="array" ref="F8">INDEX(FX_Setup,DA8,DB8)</f>
        <v>120</v>
      </c>
      <c r="G8" s="549" cm="1">
        <f t="array" ref="G8">INDEX(FX_Setup,$DA8,DC8)</f>
        <v>40</v>
      </c>
      <c r="H8" s="550" cm="1">
        <f t="array" ref="H8">INDEX(FX_Setup,$DA8,DD8)</f>
        <v>3383856</v>
      </c>
      <c r="I8" s="549" t="s">
        <v>27</v>
      </c>
      <c r="J8" s="549"/>
      <c r="K8" s="549"/>
      <c r="L8" s="549" t="s">
        <v>28</v>
      </c>
      <c r="M8" s="549" t="s">
        <v>90</v>
      </c>
      <c r="N8" s="549" t="s">
        <v>28</v>
      </c>
      <c r="O8" s="549" t="s">
        <v>90</v>
      </c>
      <c r="P8" s="549"/>
      <c r="Q8" s="560"/>
      <c r="R8" s="37" t="str" cm="1">
        <f t="array" ref="R8">INDEX(Surrogate_Lst,MATCH(INDEX(FX_Setup,DA8,3),Product_GRP,0),2)</f>
        <v>Jet kerosene</v>
      </c>
      <c r="S8" s="36" t="str">
        <f t="shared" ref="S8" si="0">INDEX(Phys_Prop,MATCH(R8,Chem_List,0),5)</f>
        <v>Select Pet Stock</v>
      </c>
      <c r="T8" s="36"/>
      <c r="U8" s="36"/>
      <c r="V8" s="38">
        <f>1-V9</f>
        <v>1</v>
      </c>
      <c r="W8" s="37" t="str">
        <f>R8</f>
        <v>Jet kerosene</v>
      </c>
      <c r="X8" s="36" t="str">
        <f t="shared" ref="X8" si="1">INDEX(Phys_Prop,MATCH(W8,Chem_List,0),5)</f>
        <v>Select Pet Stock</v>
      </c>
      <c r="Y8" s="36"/>
      <c r="Z8" s="36"/>
      <c r="AA8" s="38">
        <f>1-AA9</f>
        <v>1</v>
      </c>
      <c r="AB8" s="37" t="str">
        <f>W8</f>
        <v>Jet kerosene</v>
      </c>
      <c r="AC8" s="36" t="str">
        <f t="shared" ref="AC8" si="2">INDEX(Phys_Prop,MATCH(AB8,Chem_List,0),5)</f>
        <v>Select Pet Stock</v>
      </c>
      <c r="AD8" s="36"/>
      <c r="AE8" s="36"/>
      <c r="AF8" s="38">
        <f>1-AF9</f>
        <v>1</v>
      </c>
      <c r="AG8" s="37" t="str">
        <f>AB8</f>
        <v>Jet kerosene</v>
      </c>
      <c r="AH8" s="36" t="str">
        <f t="shared" ref="AH8" si="3">INDEX(Phys_Prop,MATCH(AG8,Chem_List,0),5)</f>
        <v>Select Pet Stock</v>
      </c>
      <c r="AI8" s="36"/>
      <c r="AJ8" s="36"/>
      <c r="AK8" s="38">
        <f>1-AK9</f>
        <v>1</v>
      </c>
      <c r="AL8" s="37" t="str">
        <f>AG8</f>
        <v>Jet kerosene</v>
      </c>
      <c r="AM8" s="36" t="str">
        <f t="shared" ref="AM8" si="4">INDEX(Phys_Prop,MATCH(AL8,Chem_List,0),5)</f>
        <v>Select Pet Stock</v>
      </c>
      <c r="AN8" s="36"/>
      <c r="AO8" s="36"/>
      <c r="AP8" s="38">
        <f>1-AP9</f>
        <v>1</v>
      </c>
      <c r="AQ8" s="37" t="str">
        <f>AL8</f>
        <v>Jet kerosene</v>
      </c>
      <c r="AR8" s="36" t="str">
        <f t="shared" ref="AR8" si="5">INDEX(Phys_Prop,MATCH(AQ8,Chem_List,0),5)</f>
        <v>Select Pet Stock</v>
      </c>
      <c r="AS8" s="36"/>
      <c r="AT8" s="36"/>
      <c r="AU8" s="38">
        <f>1-AU9</f>
        <v>1</v>
      </c>
      <c r="AV8" s="37" t="str">
        <f>AQ8</f>
        <v>Jet kerosene</v>
      </c>
      <c r="AW8" s="36" t="str">
        <f t="shared" ref="AW8" si="6">INDEX(Phys_Prop,MATCH(AV8,Chem_List,0),5)</f>
        <v>Select Pet Stock</v>
      </c>
      <c r="AX8" s="36"/>
      <c r="AY8" s="36"/>
      <c r="AZ8" s="38">
        <f>1-AZ9</f>
        <v>1</v>
      </c>
      <c r="BA8" s="37" t="str">
        <f>AV8</f>
        <v>Jet kerosene</v>
      </c>
      <c r="BB8" s="36" t="str">
        <f t="shared" ref="BB8" si="7">INDEX(Phys_Prop,MATCH(BA8,Chem_List,0),5)</f>
        <v>Select Pet Stock</v>
      </c>
      <c r="BC8" s="36"/>
      <c r="BD8" s="36"/>
      <c r="BE8" s="38">
        <f>1-BE9</f>
        <v>1</v>
      </c>
      <c r="BF8" s="37" t="str">
        <f>BA8</f>
        <v>Jet kerosene</v>
      </c>
      <c r="BG8" s="36" t="str">
        <f t="shared" ref="BG8" si="8">INDEX(Phys_Prop,MATCH(BF8,Chem_List,0),5)</f>
        <v>Select Pet Stock</v>
      </c>
      <c r="BH8" s="36"/>
      <c r="BI8" s="36"/>
      <c r="BJ8" s="38">
        <f>1-BJ9</f>
        <v>1</v>
      </c>
      <c r="BK8" s="37" t="str">
        <f>BF8</f>
        <v>Jet kerosene</v>
      </c>
      <c r="BL8" s="36" t="str">
        <f t="shared" ref="BL8" si="9">INDEX(Phys_Prop,MATCH(BK8,Chem_List,0),5)</f>
        <v>Select Pet Stock</v>
      </c>
      <c r="BM8" s="36"/>
      <c r="BN8" s="36"/>
      <c r="BO8" s="38">
        <f>1-BO9</f>
        <v>1</v>
      </c>
      <c r="BP8" s="37" t="str">
        <f>BK8</f>
        <v>Jet kerosene</v>
      </c>
      <c r="BQ8" s="36" t="str">
        <f t="shared" ref="BQ8" si="10">INDEX(Phys_Prop,MATCH(BP8,Chem_List,0),5)</f>
        <v>Select Pet Stock</v>
      </c>
      <c r="BR8" s="36"/>
      <c r="BS8" s="36"/>
      <c r="BT8" s="38">
        <f>1-BT9</f>
        <v>1</v>
      </c>
      <c r="BU8" s="37" t="str">
        <f>BP8</f>
        <v>Jet kerosene</v>
      </c>
      <c r="BV8" s="36" t="str">
        <f t="shared" ref="BV8" si="11">INDEX(Phys_Prop,MATCH(BU8,Chem_List,0),5)</f>
        <v>Select Pet Stock</v>
      </c>
      <c r="BW8" s="36"/>
      <c r="BX8" s="36"/>
      <c r="BY8" s="38">
        <f>1-BY9</f>
        <v>1</v>
      </c>
      <c r="BZ8" s="561"/>
      <c r="CA8" s="549"/>
      <c r="CB8" s="549"/>
      <c r="CC8" s="549"/>
      <c r="CD8" s="549"/>
      <c r="CE8" s="549"/>
      <c r="CF8" s="549"/>
      <c r="CG8" s="549"/>
      <c r="CH8" s="549"/>
      <c r="CI8" s="549"/>
      <c r="CJ8" s="549"/>
      <c r="CK8" s="549"/>
      <c r="CL8" s="559" cm="1">
        <f t="array" ref="CL8">INDEX(FX_Setup,DA8,DE8)</f>
        <v>80568</v>
      </c>
      <c r="CM8" s="550">
        <f t="shared" ref="CM8:CW8" si="12">CL8</f>
        <v>80568</v>
      </c>
      <c r="CN8" s="550">
        <f t="shared" si="12"/>
        <v>80568</v>
      </c>
      <c r="CO8" s="550">
        <f t="shared" si="12"/>
        <v>80568</v>
      </c>
      <c r="CP8" s="550">
        <f t="shared" si="12"/>
        <v>80568</v>
      </c>
      <c r="CQ8" s="550">
        <f t="shared" si="12"/>
        <v>80568</v>
      </c>
      <c r="CR8" s="550">
        <f t="shared" si="12"/>
        <v>80568</v>
      </c>
      <c r="CS8" s="550">
        <f t="shared" si="12"/>
        <v>80568</v>
      </c>
      <c r="CT8" s="550">
        <f t="shared" si="12"/>
        <v>80568</v>
      </c>
      <c r="CU8" s="550">
        <f t="shared" si="12"/>
        <v>80568</v>
      </c>
      <c r="CV8" s="550">
        <f t="shared" si="12"/>
        <v>80568</v>
      </c>
      <c r="CW8" s="550">
        <f t="shared" si="12"/>
        <v>80568</v>
      </c>
      <c r="CX8" s="562">
        <f t="shared" ref="CX8" si="13">SUM(CL8:CW9)</f>
        <v>966816</v>
      </c>
      <c r="DA8" s="42">
        <f>DA6+1</f>
        <v>1</v>
      </c>
      <c r="DB8">
        <v>7</v>
      </c>
      <c r="DC8">
        <v>6</v>
      </c>
      <c r="DD8">
        <v>5</v>
      </c>
      <c r="DE8">
        <v>9</v>
      </c>
    </row>
    <row r="9" spans="2:109" x14ac:dyDescent="0.4">
      <c r="B9" s="504"/>
      <c r="C9" s="546"/>
      <c r="D9" s="547"/>
      <c r="E9" s="548"/>
      <c r="F9" s="549"/>
      <c r="G9" s="549"/>
      <c r="H9" s="550"/>
      <c r="I9" s="549"/>
      <c r="J9" s="549"/>
      <c r="K9" s="549"/>
      <c r="L9" s="549"/>
      <c r="M9" s="549"/>
      <c r="N9" s="549"/>
      <c r="O9" s="549"/>
      <c r="P9" s="549"/>
      <c r="Q9" s="560"/>
      <c r="R9" s="27"/>
      <c r="S9" s="36"/>
      <c r="T9" s="28"/>
      <c r="U9" s="28"/>
      <c r="V9" s="26"/>
      <c r="W9" s="27"/>
      <c r="X9" s="36"/>
      <c r="Y9" s="28"/>
      <c r="Z9" s="28"/>
      <c r="AA9" s="26"/>
      <c r="AB9" s="27"/>
      <c r="AC9" s="36"/>
      <c r="AD9" s="28"/>
      <c r="AE9" s="28"/>
      <c r="AF9" s="26"/>
      <c r="AG9" s="27"/>
      <c r="AH9" s="36"/>
      <c r="AI9" s="28"/>
      <c r="AJ9" s="28"/>
      <c r="AK9" s="26"/>
      <c r="AL9" s="27"/>
      <c r="AM9" s="36"/>
      <c r="AN9" s="28"/>
      <c r="AO9" s="28"/>
      <c r="AP9" s="26"/>
      <c r="AQ9" s="27"/>
      <c r="AR9" s="36"/>
      <c r="AS9" s="28"/>
      <c r="AT9" s="28"/>
      <c r="AU9" s="26"/>
      <c r="AV9" s="27"/>
      <c r="AW9" s="36"/>
      <c r="AX9" s="28"/>
      <c r="AY9" s="28"/>
      <c r="AZ9" s="26"/>
      <c r="BA9" s="27"/>
      <c r="BB9" s="36"/>
      <c r="BC9" s="28"/>
      <c r="BD9" s="28"/>
      <c r="BE9" s="26"/>
      <c r="BF9" s="27"/>
      <c r="BG9" s="36"/>
      <c r="BH9" s="28"/>
      <c r="BI9" s="28"/>
      <c r="BJ9" s="26"/>
      <c r="BK9" s="27"/>
      <c r="BL9" s="36"/>
      <c r="BM9" s="28"/>
      <c r="BN9" s="28"/>
      <c r="BO9" s="26"/>
      <c r="BP9" s="27"/>
      <c r="BQ9" s="36"/>
      <c r="BR9" s="28"/>
      <c r="BS9" s="28"/>
      <c r="BT9" s="26"/>
      <c r="BU9" s="27"/>
      <c r="BV9" s="36"/>
      <c r="BW9" s="28"/>
      <c r="BX9" s="28"/>
      <c r="BY9" s="26"/>
      <c r="BZ9" s="561"/>
      <c r="CA9" s="549"/>
      <c r="CB9" s="549"/>
      <c r="CC9" s="549"/>
      <c r="CD9" s="549"/>
      <c r="CE9" s="549"/>
      <c r="CF9" s="549"/>
      <c r="CG9" s="549"/>
      <c r="CH9" s="549"/>
      <c r="CI9" s="549"/>
      <c r="CJ9" s="549"/>
      <c r="CK9" s="549"/>
      <c r="CL9" s="559"/>
      <c r="CM9" s="550"/>
      <c r="CN9" s="550"/>
      <c r="CO9" s="550"/>
      <c r="CP9" s="550"/>
      <c r="CQ9" s="550"/>
      <c r="CR9" s="550"/>
      <c r="CS9" s="550"/>
      <c r="CT9" s="550"/>
      <c r="CU9" s="550"/>
      <c r="CV9" s="550"/>
      <c r="CW9" s="550"/>
      <c r="CX9" s="562"/>
      <c r="DA9" s="42"/>
    </row>
    <row r="10" spans="2:109" x14ac:dyDescent="0.4">
      <c r="B10" s="504" t="str">
        <f>"FX - "&amp;DA10</f>
        <v>FX - 2</v>
      </c>
      <c r="C10" s="545" t="s">
        <v>1930</v>
      </c>
      <c r="D10" s="547" t="str">
        <f t="shared" ref="D10" si="14">D8</f>
        <v>Portland</v>
      </c>
      <c r="E10" s="548" t="s">
        <v>65</v>
      </c>
      <c r="F10" s="549" cm="1">
        <f t="array" ref="F10">INDEX(FX_Setup,DA10,DB10)</f>
        <v>120</v>
      </c>
      <c r="G10" s="549" cm="1">
        <f t="array" ref="G10">INDEX(FX_Setup,$DA10,DC10)</f>
        <v>40</v>
      </c>
      <c r="H10" s="550" cm="1">
        <f t="array" ref="H10">INDEX(FX_Setup,$DA10,DD10)</f>
        <v>3383856</v>
      </c>
      <c r="I10" s="549" t="s">
        <v>27</v>
      </c>
      <c r="J10" s="549"/>
      <c r="K10" s="549"/>
      <c r="L10" s="549" t="s">
        <v>28</v>
      </c>
      <c r="M10" s="549" t="s">
        <v>90</v>
      </c>
      <c r="N10" s="549" t="s">
        <v>28</v>
      </c>
      <c r="O10" s="549" t="s">
        <v>90</v>
      </c>
      <c r="P10" s="549"/>
      <c r="Q10" s="560"/>
      <c r="R10" s="37" t="str" cm="1">
        <f t="array" ref="R10">INDEX(Surrogate_Lst,MATCH(INDEX(FX_Setup,DA10,3),Product_GRP,0),2)</f>
        <v>Jet kerosene</v>
      </c>
      <c r="S10" s="36" t="str">
        <f t="shared" ref="S10" si="15">INDEX(Phys_Prop,MATCH(R10,Chem_List,0),5)</f>
        <v>Select Pet Stock</v>
      </c>
      <c r="T10" s="36"/>
      <c r="U10" s="36"/>
      <c r="V10" s="38">
        <f>1-V11</f>
        <v>1</v>
      </c>
      <c r="W10" s="37" t="str">
        <f>R10</f>
        <v>Jet kerosene</v>
      </c>
      <c r="X10" s="36" t="str">
        <f t="shared" ref="X10" si="16">INDEX(Phys_Prop,MATCH(W10,Chem_List,0),5)</f>
        <v>Select Pet Stock</v>
      </c>
      <c r="Y10" s="36"/>
      <c r="Z10" s="36"/>
      <c r="AA10" s="38">
        <f>1-AA11</f>
        <v>1</v>
      </c>
      <c r="AB10" s="37" t="str">
        <f>W10</f>
        <v>Jet kerosene</v>
      </c>
      <c r="AC10" s="36" t="str">
        <f t="shared" ref="AC10" si="17">INDEX(Phys_Prop,MATCH(AB10,Chem_List,0),5)</f>
        <v>Select Pet Stock</v>
      </c>
      <c r="AD10" s="36"/>
      <c r="AE10" s="36"/>
      <c r="AF10" s="38">
        <f>1-AF11</f>
        <v>1</v>
      </c>
      <c r="AG10" s="37" t="str">
        <f>AB10</f>
        <v>Jet kerosene</v>
      </c>
      <c r="AH10" s="36" t="str">
        <f t="shared" ref="AH10" si="18">INDEX(Phys_Prop,MATCH(AG10,Chem_List,0),5)</f>
        <v>Select Pet Stock</v>
      </c>
      <c r="AI10" s="36"/>
      <c r="AJ10" s="36"/>
      <c r="AK10" s="38">
        <f>1-AK11</f>
        <v>1</v>
      </c>
      <c r="AL10" s="37" t="str">
        <f>AG10</f>
        <v>Jet kerosene</v>
      </c>
      <c r="AM10" s="36" t="str">
        <f t="shared" ref="AM10" si="19">INDEX(Phys_Prop,MATCH(AL10,Chem_List,0),5)</f>
        <v>Select Pet Stock</v>
      </c>
      <c r="AN10" s="36"/>
      <c r="AO10" s="36"/>
      <c r="AP10" s="38">
        <f>1-AP11</f>
        <v>1</v>
      </c>
      <c r="AQ10" s="37" t="str">
        <f>AL10</f>
        <v>Jet kerosene</v>
      </c>
      <c r="AR10" s="36" t="str">
        <f t="shared" ref="AR10" si="20">INDEX(Phys_Prop,MATCH(AQ10,Chem_List,0),5)</f>
        <v>Select Pet Stock</v>
      </c>
      <c r="AS10" s="36"/>
      <c r="AT10" s="36"/>
      <c r="AU10" s="38">
        <f>1-AU11</f>
        <v>1</v>
      </c>
      <c r="AV10" s="37" t="str">
        <f>AQ10</f>
        <v>Jet kerosene</v>
      </c>
      <c r="AW10" s="36" t="str">
        <f t="shared" ref="AW10" si="21">INDEX(Phys_Prop,MATCH(AV10,Chem_List,0),5)</f>
        <v>Select Pet Stock</v>
      </c>
      <c r="AX10" s="36"/>
      <c r="AY10" s="36"/>
      <c r="AZ10" s="38">
        <f>1-AZ11</f>
        <v>1</v>
      </c>
      <c r="BA10" s="37" t="str">
        <f>AV10</f>
        <v>Jet kerosene</v>
      </c>
      <c r="BB10" s="36" t="str">
        <f t="shared" ref="BB10" si="22">INDEX(Phys_Prop,MATCH(BA10,Chem_List,0),5)</f>
        <v>Select Pet Stock</v>
      </c>
      <c r="BC10" s="36"/>
      <c r="BD10" s="36"/>
      <c r="BE10" s="38">
        <f>1-BE11</f>
        <v>1</v>
      </c>
      <c r="BF10" s="37" t="str">
        <f>BA10</f>
        <v>Jet kerosene</v>
      </c>
      <c r="BG10" s="36" t="str">
        <f t="shared" ref="BG10" si="23">INDEX(Phys_Prop,MATCH(BF10,Chem_List,0),5)</f>
        <v>Select Pet Stock</v>
      </c>
      <c r="BH10" s="36"/>
      <c r="BI10" s="36"/>
      <c r="BJ10" s="38">
        <f>1-BJ11</f>
        <v>1</v>
      </c>
      <c r="BK10" s="37" t="str">
        <f>BF10</f>
        <v>Jet kerosene</v>
      </c>
      <c r="BL10" s="36" t="str">
        <f t="shared" ref="BL10" si="24">INDEX(Phys_Prop,MATCH(BK10,Chem_List,0),5)</f>
        <v>Select Pet Stock</v>
      </c>
      <c r="BM10" s="36"/>
      <c r="BN10" s="36"/>
      <c r="BO10" s="38">
        <f>1-BO11</f>
        <v>1</v>
      </c>
      <c r="BP10" s="37" t="str">
        <f>BK10</f>
        <v>Jet kerosene</v>
      </c>
      <c r="BQ10" s="36" t="str">
        <f t="shared" ref="BQ10" si="25">INDEX(Phys_Prop,MATCH(BP10,Chem_List,0),5)</f>
        <v>Select Pet Stock</v>
      </c>
      <c r="BR10" s="36"/>
      <c r="BS10" s="36"/>
      <c r="BT10" s="38">
        <f>1-BT11</f>
        <v>1</v>
      </c>
      <c r="BU10" s="37" t="str">
        <f>BP10</f>
        <v>Jet kerosene</v>
      </c>
      <c r="BV10" s="36" t="str">
        <f t="shared" ref="BV10" si="26">INDEX(Phys_Prop,MATCH(BU10,Chem_List,0),5)</f>
        <v>Select Pet Stock</v>
      </c>
      <c r="BW10" s="36"/>
      <c r="BX10" s="36"/>
      <c r="BY10" s="38">
        <f>1-BY11</f>
        <v>1</v>
      </c>
      <c r="BZ10" s="561"/>
      <c r="CA10" s="549"/>
      <c r="CB10" s="549"/>
      <c r="CC10" s="549"/>
      <c r="CD10" s="549"/>
      <c r="CE10" s="549"/>
      <c r="CF10" s="549"/>
      <c r="CG10" s="549"/>
      <c r="CH10" s="549"/>
      <c r="CI10" s="549"/>
      <c r="CJ10" s="549"/>
      <c r="CK10" s="549"/>
      <c r="CL10" s="567" cm="1">
        <f t="array" ref="CL10">INDEX(FX_Setup,DA10,DE10)</f>
        <v>80568</v>
      </c>
      <c r="CM10" s="563">
        <f t="shared" ref="CM10:CW10" si="27">CL10</f>
        <v>80568</v>
      </c>
      <c r="CN10" s="563">
        <f t="shared" si="27"/>
        <v>80568</v>
      </c>
      <c r="CO10" s="563">
        <f t="shared" si="27"/>
        <v>80568</v>
      </c>
      <c r="CP10" s="563">
        <f t="shared" si="27"/>
        <v>80568</v>
      </c>
      <c r="CQ10" s="563">
        <f t="shared" si="27"/>
        <v>80568</v>
      </c>
      <c r="CR10" s="563">
        <f t="shared" si="27"/>
        <v>80568</v>
      </c>
      <c r="CS10" s="563">
        <f t="shared" si="27"/>
        <v>80568</v>
      </c>
      <c r="CT10" s="563">
        <f t="shared" si="27"/>
        <v>80568</v>
      </c>
      <c r="CU10" s="563">
        <f t="shared" si="27"/>
        <v>80568</v>
      </c>
      <c r="CV10" s="563">
        <f t="shared" si="27"/>
        <v>80568</v>
      </c>
      <c r="CW10" s="563">
        <f t="shared" si="27"/>
        <v>80568</v>
      </c>
      <c r="CX10" s="565">
        <f t="shared" ref="CX10" si="28">SUM(CL10:CW11)</f>
        <v>966816</v>
      </c>
      <c r="DA10" s="42">
        <f>DA8+1</f>
        <v>2</v>
      </c>
      <c r="DB10">
        <f>DB8</f>
        <v>7</v>
      </c>
      <c r="DC10">
        <f t="shared" ref="DC10:DD10" si="29">DC8</f>
        <v>6</v>
      </c>
      <c r="DD10">
        <f t="shared" si="29"/>
        <v>5</v>
      </c>
      <c r="DE10">
        <v>9</v>
      </c>
    </row>
    <row r="11" spans="2:109" x14ac:dyDescent="0.4">
      <c r="B11" s="504"/>
      <c r="C11" s="546"/>
      <c r="D11" s="547"/>
      <c r="E11" s="548"/>
      <c r="F11" s="549"/>
      <c r="G11" s="549"/>
      <c r="H11" s="550"/>
      <c r="I11" s="549"/>
      <c r="J11" s="549"/>
      <c r="K11" s="549"/>
      <c r="L11" s="549"/>
      <c r="M11" s="549"/>
      <c r="N11" s="549"/>
      <c r="O11" s="549"/>
      <c r="P11" s="549"/>
      <c r="Q11" s="560"/>
      <c r="R11" s="27"/>
      <c r="S11" s="36"/>
      <c r="T11" s="28"/>
      <c r="U11" s="28"/>
      <c r="V11" s="26"/>
      <c r="W11" s="27"/>
      <c r="X11" s="36"/>
      <c r="Y11" s="28"/>
      <c r="Z11" s="28"/>
      <c r="AA11" s="26"/>
      <c r="AB11" s="27"/>
      <c r="AC11" s="36"/>
      <c r="AD11" s="28"/>
      <c r="AE11" s="28"/>
      <c r="AF11" s="26"/>
      <c r="AG11" s="27"/>
      <c r="AH11" s="36"/>
      <c r="AI11" s="28"/>
      <c r="AJ11" s="28"/>
      <c r="AK11" s="26"/>
      <c r="AL11" s="27"/>
      <c r="AM11" s="36"/>
      <c r="AN11" s="28"/>
      <c r="AO11" s="28"/>
      <c r="AP11" s="26"/>
      <c r="AQ11" s="27"/>
      <c r="AR11" s="36"/>
      <c r="AS11" s="28"/>
      <c r="AT11" s="28"/>
      <c r="AU11" s="26"/>
      <c r="AV11" s="27"/>
      <c r="AW11" s="36"/>
      <c r="AX11" s="28"/>
      <c r="AY11" s="28"/>
      <c r="AZ11" s="26"/>
      <c r="BA11" s="27"/>
      <c r="BB11" s="36"/>
      <c r="BC11" s="28"/>
      <c r="BD11" s="28"/>
      <c r="BE11" s="26"/>
      <c r="BF11" s="27"/>
      <c r="BG11" s="36"/>
      <c r="BH11" s="28"/>
      <c r="BI11" s="28"/>
      <c r="BJ11" s="26"/>
      <c r="BK11" s="27"/>
      <c r="BL11" s="36"/>
      <c r="BM11" s="28"/>
      <c r="BN11" s="28"/>
      <c r="BO11" s="26"/>
      <c r="BP11" s="27"/>
      <c r="BQ11" s="36"/>
      <c r="BR11" s="28"/>
      <c r="BS11" s="28"/>
      <c r="BT11" s="26"/>
      <c r="BU11" s="27"/>
      <c r="BV11" s="36"/>
      <c r="BW11" s="28"/>
      <c r="BX11" s="28"/>
      <c r="BY11" s="26"/>
      <c r="BZ11" s="561"/>
      <c r="CA11" s="549"/>
      <c r="CB11" s="549"/>
      <c r="CC11" s="549"/>
      <c r="CD11" s="549"/>
      <c r="CE11" s="549"/>
      <c r="CF11" s="549"/>
      <c r="CG11" s="549"/>
      <c r="CH11" s="549"/>
      <c r="CI11" s="549"/>
      <c r="CJ11" s="549"/>
      <c r="CK11" s="549"/>
      <c r="CL11" s="568"/>
      <c r="CM11" s="564"/>
      <c r="CN11" s="564"/>
      <c r="CO11" s="564"/>
      <c r="CP11" s="564"/>
      <c r="CQ11" s="564"/>
      <c r="CR11" s="564"/>
      <c r="CS11" s="564"/>
      <c r="CT11" s="564"/>
      <c r="CU11" s="564"/>
      <c r="CV11" s="564"/>
      <c r="CW11" s="564"/>
      <c r="CX11" s="566"/>
      <c r="DA11" s="42"/>
    </row>
    <row r="12" spans="2:109" x14ac:dyDescent="0.4">
      <c r="B12" s="504" t="str">
        <f>"FX - "&amp;DA12</f>
        <v>FX - 3</v>
      </c>
      <c r="C12" s="545" t="s">
        <v>1931</v>
      </c>
      <c r="D12" s="547" t="str">
        <f t="shared" ref="D12" si="30">D10</f>
        <v>Portland</v>
      </c>
      <c r="E12" s="548" t="s">
        <v>65</v>
      </c>
      <c r="F12" s="549" cm="1">
        <f t="array" ref="F12">INDEX(FX_Setup,DA12,DB12)</f>
        <v>100</v>
      </c>
      <c r="G12" s="549" cm="1">
        <f t="array" ref="G12">INDEX(FX_Setup,$DA12,DC12)</f>
        <v>40</v>
      </c>
      <c r="H12" s="550" cm="1">
        <f t="array" ref="H12">INDEX(FX_Setup,$DA12,DD12)</f>
        <v>2363970</v>
      </c>
      <c r="I12" s="549" t="s">
        <v>27</v>
      </c>
      <c r="J12" s="549"/>
      <c r="K12" s="549"/>
      <c r="L12" s="549" t="s">
        <v>28</v>
      </c>
      <c r="M12" s="549" t="s">
        <v>90</v>
      </c>
      <c r="N12" s="549" t="s">
        <v>28</v>
      </c>
      <c r="O12" s="549" t="s">
        <v>90</v>
      </c>
      <c r="P12" s="549"/>
      <c r="Q12" s="560"/>
      <c r="R12" s="37" t="str" cm="1">
        <f t="array" ref="R12">INDEX(Surrogate_Lst,MATCH(INDEX(FX_Setup,DA12,3),Product_GRP,0),2)</f>
        <v>Jet kerosene</v>
      </c>
      <c r="S12" s="36" t="str">
        <f t="shared" ref="S12" si="31">INDEX(Phys_Prop,MATCH(R12,Chem_List,0),5)</f>
        <v>Select Pet Stock</v>
      </c>
      <c r="T12" s="36"/>
      <c r="U12" s="36"/>
      <c r="V12" s="38">
        <f>1-V13</f>
        <v>1</v>
      </c>
      <c r="W12" s="37" t="str">
        <f>R12</f>
        <v>Jet kerosene</v>
      </c>
      <c r="X12" s="36" t="str">
        <f t="shared" ref="X12" si="32">INDEX(Phys_Prop,MATCH(W12,Chem_List,0),5)</f>
        <v>Select Pet Stock</v>
      </c>
      <c r="Y12" s="36"/>
      <c r="Z12" s="36"/>
      <c r="AA12" s="38">
        <f>1-AA13</f>
        <v>1</v>
      </c>
      <c r="AB12" s="37" t="str">
        <f>W12</f>
        <v>Jet kerosene</v>
      </c>
      <c r="AC12" s="36" t="str">
        <f t="shared" ref="AC12" si="33">INDEX(Phys_Prop,MATCH(AB12,Chem_List,0),5)</f>
        <v>Select Pet Stock</v>
      </c>
      <c r="AD12" s="36"/>
      <c r="AE12" s="36"/>
      <c r="AF12" s="38">
        <f>1-AF13</f>
        <v>1</v>
      </c>
      <c r="AG12" s="37" t="str">
        <f>AB12</f>
        <v>Jet kerosene</v>
      </c>
      <c r="AH12" s="36" t="str">
        <f t="shared" ref="AH12" si="34">INDEX(Phys_Prop,MATCH(AG12,Chem_List,0),5)</f>
        <v>Select Pet Stock</v>
      </c>
      <c r="AI12" s="36"/>
      <c r="AJ12" s="36"/>
      <c r="AK12" s="38">
        <f>1-AK13</f>
        <v>1</v>
      </c>
      <c r="AL12" s="37" t="str">
        <f>AG12</f>
        <v>Jet kerosene</v>
      </c>
      <c r="AM12" s="36" t="str">
        <f t="shared" ref="AM12" si="35">INDEX(Phys_Prop,MATCH(AL12,Chem_List,0),5)</f>
        <v>Select Pet Stock</v>
      </c>
      <c r="AN12" s="36"/>
      <c r="AO12" s="36"/>
      <c r="AP12" s="38">
        <f>1-AP13</f>
        <v>1</v>
      </c>
      <c r="AQ12" s="37" t="str">
        <f>AL12</f>
        <v>Jet kerosene</v>
      </c>
      <c r="AR12" s="36" t="str">
        <f t="shared" ref="AR12" si="36">INDEX(Phys_Prop,MATCH(AQ12,Chem_List,0),5)</f>
        <v>Select Pet Stock</v>
      </c>
      <c r="AS12" s="36"/>
      <c r="AT12" s="36"/>
      <c r="AU12" s="38">
        <f>1-AU13</f>
        <v>1</v>
      </c>
      <c r="AV12" s="37" t="str">
        <f>AQ12</f>
        <v>Jet kerosene</v>
      </c>
      <c r="AW12" s="36" t="str">
        <f t="shared" ref="AW12" si="37">INDEX(Phys_Prop,MATCH(AV12,Chem_List,0),5)</f>
        <v>Select Pet Stock</v>
      </c>
      <c r="AX12" s="36"/>
      <c r="AY12" s="36"/>
      <c r="AZ12" s="38">
        <f>1-AZ13</f>
        <v>1</v>
      </c>
      <c r="BA12" s="37" t="str">
        <f>AV12</f>
        <v>Jet kerosene</v>
      </c>
      <c r="BB12" s="36" t="str">
        <f t="shared" ref="BB12" si="38">INDEX(Phys_Prop,MATCH(BA12,Chem_List,0),5)</f>
        <v>Select Pet Stock</v>
      </c>
      <c r="BC12" s="36"/>
      <c r="BD12" s="36"/>
      <c r="BE12" s="38">
        <f>1-BE13</f>
        <v>1</v>
      </c>
      <c r="BF12" s="37" t="str">
        <f>BA12</f>
        <v>Jet kerosene</v>
      </c>
      <c r="BG12" s="36" t="str">
        <f t="shared" ref="BG12" si="39">INDEX(Phys_Prop,MATCH(BF12,Chem_List,0),5)</f>
        <v>Select Pet Stock</v>
      </c>
      <c r="BH12" s="36"/>
      <c r="BI12" s="36"/>
      <c r="BJ12" s="38">
        <f>1-BJ13</f>
        <v>1</v>
      </c>
      <c r="BK12" s="37" t="str">
        <f>BF12</f>
        <v>Jet kerosene</v>
      </c>
      <c r="BL12" s="36" t="str">
        <f t="shared" ref="BL12" si="40">INDEX(Phys_Prop,MATCH(BK12,Chem_List,0),5)</f>
        <v>Select Pet Stock</v>
      </c>
      <c r="BM12" s="36"/>
      <c r="BN12" s="36"/>
      <c r="BO12" s="38">
        <f>1-BO13</f>
        <v>1</v>
      </c>
      <c r="BP12" s="37" t="str">
        <f>BK12</f>
        <v>Jet kerosene</v>
      </c>
      <c r="BQ12" s="36" t="str">
        <f t="shared" ref="BQ12" si="41">INDEX(Phys_Prop,MATCH(BP12,Chem_List,0),5)</f>
        <v>Select Pet Stock</v>
      </c>
      <c r="BR12" s="36"/>
      <c r="BS12" s="36"/>
      <c r="BT12" s="38">
        <f>1-BT13</f>
        <v>1</v>
      </c>
      <c r="BU12" s="37" t="str">
        <f>BP12</f>
        <v>Jet kerosene</v>
      </c>
      <c r="BV12" s="36" t="str">
        <f t="shared" ref="BV12" si="42">INDEX(Phys_Prop,MATCH(BU12,Chem_List,0),5)</f>
        <v>Select Pet Stock</v>
      </c>
      <c r="BW12" s="36"/>
      <c r="BX12" s="36"/>
      <c r="BY12" s="38">
        <f>1-BY13</f>
        <v>1</v>
      </c>
      <c r="BZ12" s="561"/>
      <c r="CA12" s="549"/>
      <c r="CB12" s="549"/>
      <c r="CC12" s="549"/>
      <c r="CD12" s="549"/>
      <c r="CE12" s="549"/>
      <c r="CF12" s="549"/>
      <c r="CG12" s="549"/>
      <c r="CH12" s="549"/>
      <c r="CI12" s="549"/>
      <c r="CJ12" s="549"/>
      <c r="CK12" s="549"/>
      <c r="CL12" s="559" cm="1">
        <f t="array" ref="CL12">INDEX(FX_Setup,DA12,DE12)</f>
        <v>56285</v>
      </c>
      <c r="CM12" s="550">
        <f t="shared" ref="CM12:CW12" si="43">CL12</f>
        <v>56285</v>
      </c>
      <c r="CN12" s="550">
        <f t="shared" si="43"/>
        <v>56285</v>
      </c>
      <c r="CO12" s="550">
        <f t="shared" si="43"/>
        <v>56285</v>
      </c>
      <c r="CP12" s="550">
        <f t="shared" si="43"/>
        <v>56285</v>
      </c>
      <c r="CQ12" s="550">
        <f t="shared" si="43"/>
        <v>56285</v>
      </c>
      <c r="CR12" s="550">
        <f t="shared" si="43"/>
        <v>56285</v>
      </c>
      <c r="CS12" s="550">
        <f t="shared" si="43"/>
        <v>56285</v>
      </c>
      <c r="CT12" s="550">
        <f t="shared" si="43"/>
        <v>56285</v>
      </c>
      <c r="CU12" s="550">
        <f t="shared" si="43"/>
        <v>56285</v>
      </c>
      <c r="CV12" s="550">
        <f t="shared" si="43"/>
        <v>56285</v>
      </c>
      <c r="CW12" s="550">
        <f t="shared" si="43"/>
        <v>56285</v>
      </c>
      <c r="CX12" s="562">
        <f t="shared" ref="CX12" si="44">SUM(CL12:CW13)</f>
        <v>675420</v>
      </c>
      <c r="DA12" s="42">
        <f>DA10+1</f>
        <v>3</v>
      </c>
      <c r="DB12">
        <v>7</v>
      </c>
      <c r="DC12">
        <v>6</v>
      </c>
      <c r="DD12">
        <v>5</v>
      </c>
      <c r="DE12">
        <f>DE10</f>
        <v>9</v>
      </c>
    </row>
    <row r="13" spans="2:109" x14ac:dyDescent="0.4">
      <c r="B13" s="504"/>
      <c r="C13" s="546"/>
      <c r="D13" s="547"/>
      <c r="E13" s="548"/>
      <c r="F13" s="549"/>
      <c r="G13" s="549"/>
      <c r="H13" s="550"/>
      <c r="I13" s="549"/>
      <c r="J13" s="549"/>
      <c r="K13" s="549"/>
      <c r="L13" s="549"/>
      <c r="M13" s="549"/>
      <c r="N13" s="549"/>
      <c r="O13" s="549"/>
      <c r="P13" s="549"/>
      <c r="Q13" s="560"/>
      <c r="R13" s="27"/>
      <c r="S13" s="36"/>
      <c r="T13" s="28"/>
      <c r="U13" s="28"/>
      <c r="V13" s="26"/>
      <c r="W13" s="27"/>
      <c r="X13" s="36"/>
      <c r="Y13" s="28"/>
      <c r="Z13" s="28"/>
      <c r="AA13" s="26"/>
      <c r="AB13" s="27"/>
      <c r="AC13" s="36"/>
      <c r="AD13" s="28"/>
      <c r="AE13" s="28"/>
      <c r="AF13" s="26"/>
      <c r="AG13" s="27"/>
      <c r="AH13" s="36"/>
      <c r="AI13" s="28"/>
      <c r="AJ13" s="28"/>
      <c r="AK13" s="26"/>
      <c r="AL13" s="27"/>
      <c r="AM13" s="36"/>
      <c r="AN13" s="28"/>
      <c r="AO13" s="28"/>
      <c r="AP13" s="26"/>
      <c r="AQ13" s="27"/>
      <c r="AR13" s="36"/>
      <c r="AS13" s="28"/>
      <c r="AT13" s="28"/>
      <c r="AU13" s="26"/>
      <c r="AV13" s="27"/>
      <c r="AW13" s="36"/>
      <c r="AX13" s="28"/>
      <c r="AY13" s="28"/>
      <c r="AZ13" s="26"/>
      <c r="BA13" s="27"/>
      <c r="BB13" s="36"/>
      <c r="BC13" s="28"/>
      <c r="BD13" s="28"/>
      <c r="BE13" s="26"/>
      <c r="BF13" s="27"/>
      <c r="BG13" s="36"/>
      <c r="BH13" s="28"/>
      <c r="BI13" s="28"/>
      <c r="BJ13" s="26"/>
      <c r="BK13" s="27"/>
      <c r="BL13" s="36"/>
      <c r="BM13" s="28"/>
      <c r="BN13" s="28"/>
      <c r="BO13" s="26"/>
      <c r="BP13" s="27"/>
      <c r="BQ13" s="36"/>
      <c r="BR13" s="28"/>
      <c r="BS13" s="28"/>
      <c r="BT13" s="26"/>
      <c r="BU13" s="27"/>
      <c r="BV13" s="36"/>
      <c r="BW13" s="28"/>
      <c r="BX13" s="28"/>
      <c r="BY13" s="26"/>
      <c r="BZ13" s="561"/>
      <c r="CA13" s="549"/>
      <c r="CB13" s="549"/>
      <c r="CC13" s="549"/>
      <c r="CD13" s="549"/>
      <c r="CE13" s="549"/>
      <c r="CF13" s="549"/>
      <c r="CG13" s="549"/>
      <c r="CH13" s="549"/>
      <c r="CI13" s="549"/>
      <c r="CJ13" s="549"/>
      <c r="CK13" s="549"/>
      <c r="CL13" s="559"/>
      <c r="CM13" s="550"/>
      <c r="CN13" s="550"/>
      <c r="CO13" s="550"/>
      <c r="CP13" s="550"/>
      <c r="CQ13" s="550"/>
      <c r="CR13" s="550"/>
      <c r="CS13" s="550"/>
      <c r="CT13" s="550"/>
      <c r="CU13" s="550"/>
      <c r="CV13" s="550"/>
      <c r="CW13" s="550"/>
      <c r="CX13" s="562"/>
      <c r="DA13" s="42"/>
    </row>
    <row r="14" spans="2:109" s="39" customFormat="1" x14ac:dyDescent="0.4">
      <c r="B14" s="569" t="str">
        <f>"FX - "&amp;DA14</f>
        <v>FX - 4</v>
      </c>
      <c r="C14" s="570" t="s">
        <v>1932</v>
      </c>
      <c r="D14" s="572" t="str">
        <f t="shared" ref="D14:D16" si="45">D12</f>
        <v>Portland</v>
      </c>
      <c r="E14" s="573" t="s">
        <v>65</v>
      </c>
      <c r="F14" s="574" cm="1">
        <f t="array" ref="F14">INDEX(FX_Setup,DA14,DB14)</f>
        <v>36</v>
      </c>
      <c r="G14" s="574" cm="1">
        <f t="array" ref="G14">INDEX(FX_Setup,$DA14,DC14)</f>
        <v>48.33</v>
      </c>
      <c r="H14" s="577" cm="1">
        <f t="array" ref="H14">INDEX(FX_Setup,$DA14,DD14)</f>
        <v>366072</v>
      </c>
      <c r="I14" s="574" t="s">
        <v>27</v>
      </c>
      <c r="J14" s="574"/>
      <c r="K14" s="574"/>
      <c r="L14" s="574" t="s">
        <v>93</v>
      </c>
      <c r="M14" s="574" t="s">
        <v>90</v>
      </c>
      <c r="N14" s="574" t="s">
        <v>93</v>
      </c>
      <c r="O14" s="574" t="s">
        <v>90</v>
      </c>
      <c r="P14" s="574"/>
      <c r="Q14" s="575"/>
      <c r="R14" s="377" t="str" cm="1">
        <f t="array" ref="R14">INDEX(Surrogate_Lst,MATCH(INDEX(FX_Setup,DA14,3),Product_GRP,0),2)</f>
        <v>Jet kerosene</v>
      </c>
      <c r="S14" s="378" t="str">
        <f t="shared" ref="S14" si="46">INDEX(Phys_Prop,MATCH(R14,Chem_List,0),5)</f>
        <v>Select Pet Stock</v>
      </c>
      <c r="T14" s="378"/>
      <c r="U14" s="378"/>
      <c r="V14" s="379">
        <f>1-V15</f>
        <v>1</v>
      </c>
      <c r="W14" s="377" t="str">
        <f>R14</f>
        <v>Jet kerosene</v>
      </c>
      <c r="X14" s="378" t="str">
        <f t="shared" ref="X14" si="47">INDEX(Phys_Prop,MATCH(W14,Chem_List,0),5)</f>
        <v>Select Pet Stock</v>
      </c>
      <c r="Y14" s="378"/>
      <c r="Z14" s="378"/>
      <c r="AA14" s="379">
        <f>1-AA15</f>
        <v>1</v>
      </c>
      <c r="AB14" s="377" t="str">
        <f>W14</f>
        <v>Jet kerosene</v>
      </c>
      <c r="AC14" s="378" t="str">
        <f t="shared" ref="AC14" si="48">INDEX(Phys_Prop,MATCH(AB14,Chem_List,0),5)</f>
        <v>Select Pet Stock</v>
      </c>
      <c r="AD14" s="378"/>
      <c r="AE14" s="378"/>
      <c r="AF14" s="379">
        <f>1-AF15</f>
        <v>1</v>
      </c>
      <c r="AG14" s="377" t="str">
        <f>AB14</f>
        <v>Jet kerosene</v>
      </c>
      <c r="AH14" s="378" t="str">
        <f t="shared" ref="AH14" si="49">INDEX(Phys_Prop,MATCH(AG14,Chem_List,0),5)</f>
        <v>Select Pet Stock</v>
      </c>
      <c r="AI14" s="378"/>
      <c r="AJ14" s="378"/>
      <c r="AK14" s="379">
        <f>1-AK15</f>
        <v>1</v>
      </c>
      <c r="AL14" s="377" t="str">
        <f>AG14</f>
        <v>Jet kerosene</v>
      </c>
      <c r="AM14" s="378" t="str">
        <f t="shared" ref="AM14" si="50">INDEX(Phys_Prop,MATCH(AL14,Chem_List,0),5)</f>
        <v>Select Pet Stock</v>
      </c>
      <c r="AN14" s="378"/>
      <c r="AO14" s="378"/>
      <c r="AP14" s="379">
        <f>1-AP15</f>
        <v>1</v>
      </c>
      <c r="AQ14" s="377" t="str">
        <f>AL14</f>
        <v>Jet kerosene</v>
      </c>
      <c r="AR14" s="378" t="str">
        <f t="shared" ref="AR14" si="51">INDEX(Phys_Prop,MATCH(AQ14,Chem_List,0),5)</f>
        <v>Select Pet Stock</v>
      </c>
      <c r="AS14" s="378"/>
      <c r="AT14" s="378"/>
      <c r="AU14" s="379">
        <f>1-AU15</f>
        <v>1</v>
      </c>
      <c r="AV14" s="377" t="str">
        <f>AQ14</f>
        <v>Jet kerosene</v>
      </c>
      <c r="AW14" s="378" t="str">
        <f t="shared" ref="AW14" si="52">INDEX(Phys_Prop,MATCH(AV14,Chem_List,0),5)</f>
        <v>Select Pet Stock</v>
      </c>
      <c r="AX14" s="378"/>
      <c r="AY14" s="378"/>
      <c r="AZ14" s="379">
        <f>1-AZ15</f>
        <v>1</v>
      </c>
      <c r="BA14" s="377" t="str">
        <f>AV14</f>
        <v>Jet kerosene</v>
      </c>
      <c r="BB14" s="378" t="str">
        <f t="shared" ref="BB14" si="53">INDEX(Phys_Prop,MATCH(BA14,Chem_List,0),5)</f>
        <v>Select Pet Stock</v>
      </c>
      <c r="BC14" s="378"/>
      <c r="BD14" s="378"/>
      <c r="BE14" s="379">
        <f>1-BE15</f>
        <v>1</v>
      </c>
      <c r="BF14" s="377" t="str">
        <f>BA14</f>
        <v>Jet kerosene</v>
      </c>
      <c r="BG14" s="378" t="str">
        <f t="shared" ref="BG14" si="54">INDEX(Phys_Prop,MATCH(BF14,Chem_List,0),5)</f>
        <v>Select Pet Stock</v>
      </c>
      <c r="BH14" s="378"/>
      <c r="BI14" s="378"/>
      <c r="BJ14" s="379">
        <f>1-BJ15</f>
        <v>1</v>
      </c>
      <c r="BK14" s="377" t="str">
        <f>BF14</f>
        <v>Jet kerosene</v>
      </c>
      <c r="BL14" s="378" t="str">
        <f t="shared" ref="BL14" si="55">INDEX(Phys_Prop,MATCH(BK14,Chem_List,0),5)</f>
        <v>Select Pet Stock</v>
      </c>
      <c r="BM14" s="378"/>
      <c r="BN14" s="378"/>
      <c r="BO14" s="379">
        <f>1-BO15</f>
        <v>1</v>
      </c>
      <c r="BP14" s="377" t="str">
        <f>BK14</f>
        <v>Jet kerosene</v>
      </c>
      <c r="BQ14" s="378" t="str">
        <f t="shared" ref="BQ14" si="56">INDEX(Phys_Prop,MATCH(BP14,Chem_List,0),5)</f>
        <v>Select Pet Stock</v>
      </c>
      <c r="BR14" s="378"/>
      <c r="BS14" s="378"/>
      <c r="BT14" s="379">
        <f>1-BT15</f>
        <v>1</v>
      </c>
      <c r="BU14" s="377" t="str">
        <f>BP14</f>
        <v>Jet kerosene</v>
      </c>
      <c r="BV14" s="378" t="str">
        <f t="shared" ref="BV14" si="57">INDEX(Phys_Prop,MATCH(BU14,Chem_List,0),5)</f>
        <v>Select Pet Stock</v>
      </c>
      <c r="BW14" s="378"/>
      <c r="BX14" s="378"/>
      <c r="BY14" s="379">
        <f>1-BY15</f>
        <v>1</v>
      </c>
      <c r="BZ14" s="576"/>
      <c r="CA14" s="574"/>
      <c r="CB14" s="574"/>
      <c r="CC14" s="574"/>
      <c r="CD14" s="574"/>
      <c r="CE14" s="574"/>
      <c r="CF14" s="574"/>
      <c r="CG14" s="574"/>
      <c r="CH14" s="574"/>
      <c r="CI14" s="574"/>
      <c r="CJ14" s="574"/>
      <c r="CK14" s="574"/>
      <c r="CL14" s="579" cm="1">
        <f t="array" ref="CL14">INDEX(FX_Setup,DA14,DE14)</f>
        <v>8716</v>
      </c>
      <c r="CM14" s="577">
        <f t="shared" ref="CM14:CW14" si="58">CL14</f>
        <v>8716</v>
      </c>
      <c r="CN14" s="577">
        <f t="shared" si="58"/>
        <v>8716</v>
      </c>
      <c r="CO14" s="577">
        <f t="shared" si="58"/>
        <v>8716</v>
      </c>
      <c r="CP14" s="577">
        <f t="shared" si="58"/>
        <v>8716</v>
      </c>
      <c r="CQ14" s="577">
        <f t="shared" si="58"/>
        <v>8716</v>
      </c>
      <c r="CR14" s="577">
        <f t="shared" si="58"/>
        <v>8716</v>
      </c>
      <c r="CS14" s="577">
        <f t="shared" si="58"/>
        <v>8716</v>
      </c>
      <c r="CT14" s="577">
        <f t="shared" si="58"/>
        <v>8716</v>
      </c>
      <c r="CU14" s="577">
        <f t="shared" si="58"/>
        <v>8716</v>
      </c>
      <c r="CV14" s="577">
        <f t="shared" si="58"/>
        <v>8716</v>
      </c>
      <c r="CW14" s="577">
        <f t="shared" si="58"/>
        <v>8716</v>
      </c>
      <c r="CX14" s="578">
        <f t="shared" ref="CX14" si="59">SUM(CL14:CW15)</f>
        <v>104592</v>
      </c>
      <c r="DA14" s="42">
        <f>DA12+1</f>
        <v>4</v>
      </c>
      <c r="DB14" s="39">
        <v>7</v>
      </c>
      <c r="DC14" s="39">
        <v>6</v>
      </c>
      <c r="DD14" s="39">
        <v>5</v>
      </c>
      <c r="DE14">
        <f t="shared" ref="DE14" si="60">DE12</f>
        <v>9</v>
      </c>
    </row>
    <row r="15" spans="2:109" s="39" customFormat="1" x14ac:dyDescent="0.4">
      <c r="B15" s="569"/>
      <c r="C15" s="571"/>
      <c r="D15" s="572"/>
      <c r="E15" s="573"/>
      <c r="F15" s="574"/>
      <c r="G15" s="574"/>
      <c r="H15" s="577"/>
      <c r="I15" s="574"/>
      <c r="J15" s="574"/>
      <c r="K15" s="574"/>
      <c r="L15" s="574"/>
      <c r="M15" s="574"/>
      <c r="N15" s="574"/>
      <c r="O15" s="574"/>
      <c r="P15" s="574"/>
      <c r="Q15" s="575"/>
      <c r="R15" s="380"/>
      <c r="S15" s="378"/>
      <c r="T15" s="381"/>
      <c r="U15" s="381"/>
      <c r="V15" s="382"/>
      <c r="W15" s="380"/>
      <c r="X15" s="378"/>
      <c r="Y15" s="381"/>
      <c r="Z15" s="381"/>
      <c r="AA15" s="382"/>
      <c r="AB15" s="380"/>
      <c r="AC15" s="378"/>
      <c r="AD15" s="381"/>
      <c r="AE15" s="381"/>
      <c r="AF15" s="382"/>
      <c r="AG15" s="380"/>
      <c r="AH15" s="378"/>
      <c r="AI15" s="381"/>
      <c r="AJ15" s="381"/>
      <c r="AK15" s="382"/>
      <c r="AL15" s="380"/>
      <c r="AM15" s="378"/>
      <c r="AN15" s="381"/>
      <c r="AO15" s="381"/>
      <c r="AP15" s="382"/>
      <c r="AQ15" s="380"/>
      <c r="AR15" s="378"/>
      <c r="AS15" s="381"/>
      <c r="AT15" s="381"/>
      <c r="AU15" s="382"/>
      <c r="AV15" s="380"/>
      <c r="AW15" s="378"/>
      <c r="AX15" s="381"/>
      <c r="AY15" s="381"/>
      <c r="AZ15" s="382"/>
      <c r="BA15" s="380"/>
      <c r="BB15" s="378"/>
      <c r="BC15" s="381"/>
      <c r="BD15" s="381"/>
      <c r="BE15" s="382"/>
      <c r="BF15" s="380"/>
      <c r="BG15" s="378"/>
      <c r="BH15" s="381"/>
      <c r="BI15" s="381"/>
      <c r="BJ15" s="382"/>
      <c r="BK15" s="380"/>
      <c r="BL15" s="378"/>
      <c r="BM15" s="381"/>
      <c r="BN15" s="381"/>
      <c r="BO15" s="382"/>
      <c r="BP15" s="380"/>
      <c r="BQ15" s="378"/>
      <c r="BR15" s="381"/>
      <c r="BS15" s="381"/>
      <c r="BT15" s="382"/>
      <c r="BU15" s="380"/>
      <c r="BV15" s="378"/>
      <c r="BW15" s="381"/>
      <c r="BX15" s="381"/>
      <c r="BY15" s="382"/>
      <c r="BZ15" s="576"/>
      <c r="CA15" s="574"/>
      <c r="CB15" s="574"/>
      <c r="CC15" s="574"/>
      <c r="CD15" s="574"/>
      <c r="CE15" s="574"/>
      <c r="CF15" s="574"/>
      <c r="CG15" s="574"/>
      <c r="CH15" s="574"/>
      <c r="CI15" s="574"/>
      <c r="CJ15" s="574"/>
      <c r="CK15" s="574"/>
      <c r="CL15" s="579"/>
      <c r="CM15" s="577"/>
      <c r="CN15" s="577"/>
      <c r="CO15" s="577"/>
      <c r="CP15" s="577"/>
      <c r="CQ15" s="577"/>
      <c r="CR15" s="577"/>
      <c r="CS15" s="577"/>
      <c r="CT15" s="577"/>
      <c r="CU15" s="577"/>
      <c r="CV15" s="577"/>
      <c r="CW15" s="577"/>
      <c r="CX15" s="578"/>
      <c r="DA15" s="42"/>
      <c r="DE15"/>
    </row>
    <row r="16" spans="2:109" s="39" customFormat="1" x14ac:dyDescent="0.4">
      <c r="B16" s="569" t="str">
        <f>"FX - "&amp;DA16</f>
        <v>FX - 5</v>
      </c>
      <c r="C16" s="570" t="s">
        <v>1933</v>
      </c>
      <c r="D16" s="572" t="str">
        <f t="shared" si="45"/>
        <v>Portland</v>
      </c>
      <c r="E16" s="573" t="s">
        <v>65</v>
      </c>
      <c r="F16" s="574" cm="1">
        <f t="array" ref="F16">INDEX(FX_Setup,DA16,DB16)</f>
        <v>96</v>
      </c>
      <c r="G16" s="574" cm="1">
        <f t="array" ref="G16">INDEX(FX_Setup,$DA16,DC16)</f>
        <v>40</v>
      </c>
      <c r="H16" s="577" cm="1">
        <f t="array" ref="H16">INDEX(FX_Setup,$DA16,DD16)</f>
        <v>2165688</v>
      </c>
      <c r="I16" s="574" t="s">
        <v>27</v>
      </c>
      <c r="J16" s="574"/>
      <c r="K16" s="574"/>
      <c r="L16" s="574" t="s">
        <v>93</v>
      </c>
      <c r="M16" s="574" t="s">
        <v>90</v>
      </c>
      <c r="N16" s="574" t="s">
        <v>93</v>
      </c>
      <c r="O16" s="574" t="s">
        <v>90</v>
      </c>
      <c r="P16" s="574"/>
      <c r="Q16" s="575"/>
      <c r="R16" s="377" t="str" cm="1">
        <f t="array" ref="R16">INDEX(Surrogate_Lst,MATCH(INDEX(FX_Setup,DA16,3),Product_GRP,0),2)</f>
        <v>Jet kerosene</v>
      </c>
      <c r="S16" s="378" t="str">
        <f t="shared" ref="S16" si="61">INDEX(Phys_Prop,MATCH(R16,Chem_List,0),5)</f>
        <v>Select Pet Stock</v>
      </c>
      <c r="T16" s="378"/>
      <c r="U16" s="378"/>
      <c r="V16" s="379">
        <f>1-V17</f>
        <v>1</v>
      </c>
      <c r="W16" s="377" t="str">
        <f>R16</f>
        <v>Jet kerosene</v>
      </c>
      <c r="X16" s="378" t="str">
        <f t="shared" ref="X16" si="62">INDEX(Phys_Prop,MATCH(W16,Chem_List,0),5)</f>
        <v>Select Pet Stock</v>
      </c>
      <c r="Y16" s="378"/>
      <c r="Z16" s="378"/>
      <c r="AA16" s="379">
        <f>1-AA17</f>
        <v>1</v>
      </c>
      <c r="AB16" s="377" t="str">
        <f>W16</f>
        <v>Jet kerosene</v>
      </c>
      <c r="AC16" s="378" t="str">
        <f t="shared" ref="AC16" si="63">INDEX(Phys_Prop,MATCH(AB16,Chem_List,0),5)</f>
        <v>Select Pet Stock</v>
      </c>
      <c r="AD16" s="378"/>
      <c r="AE16" s="378"/>
      <c r="AF16" s="379">
        <f>1-AF17</f>
        <v>1</v>
      </c>
      <c r="AG16" s="377" t="str">
        <f>AB16</f>
        <v>Jet kerosene</v>
      </c>
      <c r="AH16" s="378" t="str">
        <f t="shared" ref="AH16" si="64">INDEX(Phys_Prop,MATCH(AG16,Chem_List,0),5)</f>
        <v>Select Pet Stock</v>
      </c>
      <c r="AI16" s="378"/>
      <c r="AJ16" s="378"/>
      <c r="AK16" s="379">
        <f>1-AK17</f>
        <v>1</v>
      </c>
      <c r="AL16" s="377" t="str">
        <f>AG16</f>
        <v>Jet kerosene</v>
      </c>
      <c r="AM16" s="378" t="str">
        <f t="shared" ref="AM16" si="65">INDEX(Phys_Prop,MATCH(AL16,Chem_List,0),5)</f>
        <v>Select Pet Stock</v>
      </c>
      <c r="AN16" s="378"/>
      <c r="AO16" s="378"/>
      <c r="AP16" s="379">
        <f>1-AP17</f>
        <v>1</v>
      </c>
      <c r="AQ16" s="377" t="str">
        <f>AL16</f>
        <v>Jet kerosene</v>
      </c>
      <c r="AR16" s="378" t="str">
        <f t="shared" ref="AR16" si="66">INDEX(Phys_Prop,MATCH(AQ16,Chem_List,0),5)</f>
        <v>Select Pet Stock</v>
      </c>
      <c r="AS16" s="378"/>
      <c r="AT16" s="378"/>
      <c r="AU16" s="379">
        <f>1-AU17</f>
        <v>1</v>
      </c>
      <c r="AV16" s="377" t="str">
        <f>AQ16</f>
        <v>Jet kerosene</v>
      </c>
      <c r="AW16" s="378" t="str">
        <f t="shared" ref="AW16" si="67">INDEX(Phys_Prop,MATCH(AV16,Chem_List,0),5)</f>
        <v>Select Pet Stock</v>
      </c>
      <c r="AX16" s="378"/>
      <c r="AY16" s="378"/>
      <c r="AZ16" s="379">
        <f>1-AZ17</f>
        <v>1</v>
      </c>
      <c r="BA16" s="377" t="str">
        <f>AV16</f>
        <v>Jet kerosene</v>
      </c>
      <c r="BB16" s="378" t="str">
        <f t="shared" ref="BB16" si="68">INDEX(Phys_Prop,MATCH(BA16,Chem_List,0),5)</f>
        <v>Select Pet Stock</v>
      </c>
      <c r="BC16" s="378"/>
      <c r="BD16" s="378"/>
      <c r="BE16" s="379">
        <f>1-BE17</f>
        <v>1</v>
      </c>
      <c r="BF16" s="377" t="str">
        <f>BA16</f>
        <v>Jet kerosene</v>
      </c>
      <c r="BG16" s="378" t="str">
        <f t="shared" ref="BG16" si="69">INDEX(Phys_Prop,MATCH(BF16,Chem_List,0),5)</f>
        <v>Select Pet Stock</v>
      </c>
      <c r="BH16" s="378"/>
      <c r="BI16" s="378"/>
      <c r="BJ16" s="379">
        <f>1-BJ17</f>
        <v>1</v>
      </c>
      <c r="BK16" s="377" t="str">
        <f>BF16</f>
        <v>Jet kerosene</v>
      </c>
      <c r="BL16" s="378" t="str">
        <f t="shared" ref="BL16" si="70">INDEX(Phys_Prop,MATCH(BK16,Chem_List,0),5)</f>
        <v>Select Pet Stock</v>
      </c>
      <c r="BM16" s="378"/>
      <c r="BN16" s="378"/>
      <c r="BO16" s="379">
        <f>1-BO17</f>
        <v>1</v>
      </c>
      <c r="BP16" s="377" t="str">
        <f>BK16</f>
        <v>Jet kerosene</v>
      </c>
      <c r="BQ16" s="378" t="str">
        <f t="shared" ref="BQ16" si="71">INDEX(Phys_Prop,MATCH(BP16,Chem_List,0),5)</f>
        <v>Select Pet Stock</v>
      </c>
      <c r="BR16" s="378"/>
      <c r="BS16" s="378"/>
      <c r="BT16" s="379">
        <f>1-BT17</f>
        <v>1</v>
      </c>
      <c r="BU16" s="377" t="str">
        <f>BP16</f>
        <v>Jet kerosene</v>
      </c>
      <c r="BV16" s="378" t="str">
        <f t="shared" ref="BV16" si="72">INDEX(Phys_Prop,MATCH(BU16,Chem_List,0),5)</f>
        <v>Select Pet Stock</v>
      </c>
      <c r="BW16" s="378"/>
      <c r="BX16" s="378"/>
      <c r="BY16" s="379">
        <f>1-BY17</f>
        <v>1</v>
      </c>
      <c r="BZ16" s="576"/>
      <c r="CA16" s="574"/>
      <c r="CB16" s="574"/>
      <c r="CC16" s="574"/>
      <c r="CD16" s="574"/>
      <c r="CE16" s="574"/>
      <c r="CF16" s="574"/>
      <c r="CG16" s="574"/>
      <c r="CH16" s="574"/>
      <c r="CI16" s="574"/>
      <c r="CJ16" s="574"/>
      <c r="CK16" s="574"/>
      <c r="CL16" s="579" cm="1">
        <f t="array" ref="CL16">INDEX(FX_Setup,DA16,DE16)</f>
        <v>51564</v>
      </c>
      <c r="CM16" s="577">
        <f t="shared" ref="CM16:CW16" si="73">CL16</f>
        <v>51564</v>
      </c>
      <c r="CN16" s="577">
        <f t="shared" si="73"/>
        <v>51564</v>
      </c>
      <c r="CO16" s="577">
        <f t="shared" si="73"/>
        <v>51564</v>
      </c>
      <c r="CP16" s="577">
        <f t="shared" si="73"/>
        <v>51564</v>
      </c>
      <c r="CQ16" s="577">
        <f t="shared" si="73"/>
        <v>51564</v>
      </c>
      <c r="CR16" s="577">
        <f t="shared" si="73"/>
        <v>51564</v>
      </c>
      <c r="CS16" s="577">
        <f t="shared" si="73"/>
        <v>51564</v>
      </c>
      <c r="CT16" s="577">
        <f t="shared" si="73"/>
        <v>51564</v>
      </c>
      <c r="CU16" s="577">
        <f t="shared" si="73"/>
        <v>51564</v>
      </c>
      <c r="CV16" s="577">
        <f t="shared" si="73"/>
        <v>51564</v>
      </c>
      <c r="CW16" s="577">
        <f t="shared" si="73"/>
        <v>51564</v>
      </c>
      <c r="CX16" s="578">
        <f t="shared" ref="CX16" si="74">SUM(CL16:CW17)</f>
        <v>618768</v>
      </c>
      <c r="DA16" s="42">
        <f>DA14+1</f>
        <v>5</v>
      </c>
      <c r="DB16">
        <v>7</v>
      </c>
      <c r="DC16">
        <v>6</v>
      </c>
      <c r="DD16">
        <v>5</v>
      </c>
      <c r="DE16">
        <f t="shared" ref="DE16" si="75">DE14</f>
        <v>9</v>
      </c>
    </row>
    <row r="17" spans="2:109" s="39" customFormat="1" x14ac:dyDescent="0.4">
      <c r="B17" s="569"/>
      <c r="C17" s="571"/>
      <c r="D17" s="572"/>
      <c r="E17" s="573"/>
      <c r="F17" s="574"/>
      <c r="G17" s="574"/>
      <c r="H17" s="577"/>
      <c r="I17" s="574"/>
      <c r="J17" s="574"/>
      <c r="K17" s="574"/>
      <c r="L17" s="574"/>
      <c r="M17" s="574"/>
      <c r="N17" s="574"/>
      <c r="O17" s="574"/>
      <c r="P17" s="574"/>
      <c r="Q17" s="575"/>
      <c r="R17" s="380"/>
      <c r="S17" s="378"/>
      <c r="T17" s="381"/>
      <c r="U17" s="381"/>
      <c r="V17" s="382"/>
      <c r="W17" s="380"/>
      <c r="X17" s="378"/>
      <c r="Y17" s="381"/>
      <c r="Z17" s="381"/>
      <c r="AA17" s="382"/>
      <c r="AB17" s="380"/>
      <c r="AC17" s="378"/>
      <c r="AD17" s="381"/>
      <c r="AE17" s="381"/>
      <c r="AF17" s="382"/>
      <c r="AG17" s="380"/>
      <c r="AH17" s="378"/>
      <c r="AI17" s="381"/>
      <c r="AJ17" s="381"/>
      <c r="AK17" s="382"/>
      <c r="AL17" s="380"/>
      <c r="AM17" s="378"/>
      <c r="AN17" s="381"/>
      <c r="AO17" s="381"/>
      <c r="AP17" s="382"/>
      <c r="AQ17" s="380"/>
      <c r="AR17" s="378"/>
      <c r="AS17" s="381"/>
      <c r="AT17" s="381"/>
      <c r="AU17" s="382"/>
      <c r="AV17" s="380"/>
      <c r="AW17" s="378"/>
      <c r="AX17" s="381"/>
      <c r="AY17" s="381"/>
      <c r="AZ17" s="382"/>
      <c r="BA17" s="380"/>
      <c r="BB17" s="378"/>
      <c r="BC17" s="381"/>
      <c r="BD17" s="381"/>
      <c r="BE17" s="382"/>
      <c r="BF17" s="380"/>
      <c r="BG17" s="378"/>
      <c r="BH17" s="381"/>
      <c r="BI17" s="381"/>
      <c r="BJ17" s="382"/>
      <c r="BK17" s="380"/>
      <c r="BL17" s="378"/>
      <c r="BM17" s="381"/>
      <c r="BN17" s="381"/>
      <c r="BO17" s="382"/>
      <c r="BP17" s="380"/>
      <c r="BQ17" s="378"/>
      <c r="BR17" s="381"/>
      <c r="BS17" s="381"/>
      <c r="BT17" s="382"/>
      <c r="BU17" s="380"/>
      <c r="BV17" s="378"/>
      <c r="BW17" s="381"/>
      <c r="BX17" s="381"/>
      <c r="BY17" s="382"/>
      <c r="BZ17" s="576"/>
      <c r="CA17" s="574"/>
      <c r="CB17" s="574"/>
      <c r="CC17" s="574"/>
      <c r="CD17" s="574"/>
      <c r="CE17" s="574"/>
      <c r="CF17" s="574"/>
      <c r="CG17" s="574"/>
      <c r="CH17" s="574"/>
      <c r="CI17" s="574"/>
      <c r="CJ17" s="574"/>
      <c r="CK17" s="574"/>
      <c r="CL17" s="579"/>
      <c r="CM17" s="577"/>
      <c r="CN17" s="577"/>
      <c r="CO17" s="577"/>
      <c r="CP17" s="577"/>
      <c r="CQ17" s="577"/>
      <c r="CR17" s="577"/>
      <c r="CS17" s="577"/>
      <c r="CT17" s="577"/>
      <c r="CU17" s="577"/>
      <c r="CV17" s="577"/>
      <c r="CW17" s="577"/>
      <c r="CX17" s="578"/>
      <c r="DA17" s="42"/>
      <c r="DB17"/>
      <c r="DC17"/>
      <c r="DD17"/>
      <c r="DE17"/>
    </row>
    <row r="18" spans="2:109" x14ac:dyDescent="0.4">
      <c r="B18" s="504" t="str">
        <f>"FX - "&amp;DA18</f>
        <v>FX - 6</v>
      </c>
      <c r="C18" s="545" t="s">
        <v>1934</v>
      </c>
      <c r="D18" s="547" t="str">
        <f t="shared" ref="D18" si="76">D14</f>
        <v>Portland</v>
      </c>
      <c r="E18" s="548" t="s">
        <v>65</v>
      </c>
      <c r="F18" s="549" cm="1">
        <f t="array" ref="F18">INDEX(FX_Setup,DA18,DB18)</f>
        <v>112</v>
      </c>
      <c r="G18" s="549" cm="1">
        <f t="array" ref="G18">INDEX(FX_Setup,$DA18,DC18)</f>
        <v>40.5</v>
      </c>
      <c r="H18" s="550" cm="1">
        <f t="array" ref="H18">INDEX(FX_Setup,$DA18,DD18)</f>
        <v>2984562</v>
      </c>
      <c r="I18" s="549" t="s">
        <v>27</v>
      </c>
      <c r="J18" s="549"/>
      <c r="K18" s="549"/>
      <c r="L18" s="549" t="s">
        <v>93</v>
      </c>
      <c r="M18" s="549" t="s">
        <v>90</v>
      </c>
      <c r="N18" s="549" t="s">
        <v>93</v>
      </c>
      <c r="O18" s="549" t="s">
        <v>90</v>
      </c>
      <c r="P18" s="549"/>
      <c r="Q18" s="560"/>
      <c r="R18" s="37" t="str" cm="1">
        <f t="array" ref="R18">INDEX(Surrogate_Lst,MATCH(INDEX(FX_Setup,DA18,3),Product_GRP,0),2)</f>
        <v>Jet kerosene</v>
      </c>
      <c r="S18" s="36" t="str">
        <f t="shared" ref="S18" si="77">INDEX(Phys_Prop,MATCH(R18,Chem_List,0),5)</f>
        <v>Select Pet Stock</v>
      </c>
      <c r="T18" s="36"/>
      <c r="U18" s="36"/>
      <c r="V18" s="38">
        <f>1-V19</f>
        <v>1</v>
      </c>
      <c r="W18" s="37" t="str">
        <f>R18</f>
        <v>Jet kerosene</v>
      </c>
      <c r="X18" s="36" t="str">
        <f t="shared" ref="X18" si="78">INDEX(Phys_Prop,MATCH(W18,Chem_List,0),5)</f>
        <v>Select Pet Stock</v>
      </c>
      <c r="Y18" s="36"/>
      <c r="Z18" s="36"/>
      <c r="AA18" s="38">
        <f>1-AA19</f>
        <v>1</v>
      </c>
      <c r="AB18" s="37" t="str">
        <f>W18</f>
        <v>Jet kerosene</v>
      </c>
      <c r="AC18" s="36" t="str">
        <f t="shared" ref="AC18" si="79">INDEX(Phys_Prop,MATCH(AB18,Chem_List,0),5)</f>
        <v>Select Pet Stock</v>
      </c>
      <c r="AD18" s="36"/>
      <c r="AE18" s="36"/>
      <c r="AF18" s="38">
        <f>1-AF19</f>
        <v>1</v>
      </c>
      <c r="AG18" s="37" t="str">
        <f>AB18</f>
        <v>Jet kerosene</v>
      </c>
      <c r="AH18" s="36" t="str">
        <f t="shared" ref="AH18" si="80">INDEX(Phys_Prop,MATCH(AG18,Chem_List,0),5)</f>
        <v>Select Pet Stock</v>
      </c>
      <c r="AI18" s="36"/>
      <c r="AJ18" s="36"/>
      <c r="AK18" s="38">
        <f>1-AK19</f>
        <v>1</v>
      </c>
      <c r="AL18" s="37" t="str">
        <f>AG18</f>
        <v>Jet kerosene</v>
      </c>
      <c r="AM18" s="36" t="str">
        <f t="shared" ref="AM18" si="81">INDEX(Phys_Prop,MATCH(AL18,Chem_List,0),5)</f>
        <v>Select Pet Stock</v>
      </c>
      <c r="AN18" s="36"/>
      <c r="AO18" s="36"/>
      <c r="AP18" s="38">
        <f>1-AP19</f>
        <v>1</v>
      </c>
      <c r="AQ18" s="37" t="str">
        <f>AL18</f>
        <v>Jet kerosene</v>
      </c>
      <c r="AR18" s="36" t="str">
        <f t="shared" ref="AR18" si="82">INDEX(Phys_Prop,MATCH(AQ18,Chem_List,0),5)</f>
        <v>Select Pet Stock</v>
      </c>
      <c r="AS18" s="36"/>
      <c r="AT18" s="36"/>
      <c r="AU18" s="38">
        <f>1-AU19</f>
        <v>1</v>
      </c>
      <c r="AV18" s="37" t="str">
        <f>AQ18</f>
        <v>Jet kerosene</v>
      </c>
      <c r="AW18" s="36" t="str">
        <f t="shared" ref="AW18" si="83">INDEX(Phys_Prop,MATCH(AV18,Chem_List,0),5)</f>
        <v>Select Pet Stock</v>
      </c>
      <c r="AX18" s="36"/>
      <c r="AY18" s="36"/>
      <c r="AZ18" s="38">
        <f>1-AZ19</f>
        <v>1</v>
      </c>
      <c r="BA18" s="37" t="str">
        <f>AV18</f>
        <v>Jet kerosene</v>
      </c>
      <c r="BB18" s="36" t="str">
        <f t="shared" ref="BB18" si="84">INDEX(Phys_Prop,MATCH(BA18,Chem_List,0),5)</f>
        <v>Select Pet Stock</v>
      </c>
      <c r="BC18" s="36"/>
      <c r="BD18" s="36"/>
      <c r="BE18" s="38">
        <f>1-BE19</f>
        <v>1</v>
      </c>
      <c r="BF18" s="37" t="str">
        <f>BA18</f>
        <v>Jet kerosene</v>
      </c>
      <c r="BG18" s="36" t="str">
        <f t="shared" ref="BG18" si="85">INDEX(Phys_Prop,MATCH(BF18,Chem_List,0),5)</f>
        <v>Select Pet Stock</v>
      </c>
      <c r="BH18" s="36"/>
      <c r="BI18" s="36"/>
      <c r="BJ18" s="38">
        <f>1-BJ19</f>
        <v>1</v>
      </c>
      <c r="BK18" s="37" t="str">
        <f>BF18</f>
        <v>Jet kerosene</v>
      </c>
      <c r="BL18" s="36" t="str">
        <f t="shared" ref="BL18" si="86">INDEX(Phys_Prop,MATCH(BK18,Chem_List,0),5)</f>
        <v>Select Pet Stock</v>
      </c>
      <c r="BM18" s="36"/>
      <c r="BN18" s="36"/>
      <c r="BO18" s="38">
        <f>1-BO19</f>
        <v>1</v>
      </c>
      <c r="BP18" s="37" t="str">
        <f>BK18</f>
        <v>Jet kerosene</v>
      </c>
      <c r="BQ18" s="36" t="str">
        <f t="shared" ref="BQ18" si="87">INDEX(Phys_Prop,MATCH(BP18,Chem_List,0),5)</f>
        <v>Select Pet Stock</v>
      </c>
      <c r="BR18" s="36"/>
      <c r="BS18" s="36"/>
      <c r="BT18" s="38">
        <f>1-BT19</f>
        <v>1</v>
      </c>
      <c r="BU18" s="37" t="str">
        <f>BP18</f>
        <v>Jet kerosene</v>
      </c>
      <c r="BV18" s="36" t="str">
        <f t="shared" ref="BV18" si="88">INDEX(Phys_Prop,MATCH(BU18,Chem_List,0),5)</f>
        <v>Select Pet Stock</v>
      </c>
      <c r="BW18" s="36"/>
      <c r="BX18" s="36"/>
      <c r="BY18" s="38">
        <f>1-BY19</f>
        <v>1</v>
      </c>
      <c r="BZ18" s="561"/>
      <c r="CA18" s="549"/>
      <c r="CB18" s="549"/>
      <c r="CC18" s="549"/>
      <c r="CD18" s="549"/>
      <c r="CE18" s="549"/>
      <c r="CF18" s="549"/>
      <c r="CG18" s="549"/>
      <c r="CH18" s="549"/>
      <c r="CI18" s="549"/>
      <c r="CJ18" s="549"/>
      <c r="CK18" s="549"/>
      <c r="CL18" s="559" cm="1">
        <f t="array" ref="CL18">INDEX(FX_Setup,DA18,DE18)</f>
        <v>71061</v>
      </c>
      <c r="CM18" s="550">
        <f t="shared" ref="CM18:CW18" si="89">CL18</f>
        <v>71061</v>
      </c>
      <c r="CN18" s="550">
        <f t="shared" si="89"/>
        <v>71061</v>
      </c>
      <c r="CO18" s="550">
        <f t="shared" si="89"/>
        <v>71061</v>
      </c>
      <c r="CP18" s="550">
        <f t="shared" si="89"/>
        <v>71061</v>
      </c>
      <c r="CQ18" s="550">
        <f t="shared" si="89"/>
        <v>71061</v>
      </c>
      <c r="CR18" s="550">
        <f t="shared" si="89"/>
        <v>71061</v>
      </c>
      <c r="CS18" s="550">
        <f t="shared" si="89"/>
        <v>71061</v>
      </c>
      <c r="CT18" s="550">
        <f t="shared" si="89"/>
        <v>71061</v>
      </c>
      <c r="CU18" s="550">
        <f t="shared" si="89"/>
        <v>71061</v>
      </c>
      <c r="CV18" s="550">
        <f t="shared" si="89"/>
        <v>71061</v>
      </c>
      <c r="CW18" s="550">
        <f t="shared" si="89"/>
        <v>71061</v>
      </c>
      <c r="CX18" s="562">
        <f t="shared" ref="CX18" si="90">SUM(CL18:CW19)</f>
        <v>852732</v>
      </c>
      <c r="DA18" s="42">
        <f>DA16+1</f>
        <v>6</v>
      </c>
      <c r="DB18">
        <v>7</v>
      </c>
      <c r="DC18">
        <v>6</v>
      </c>
      <c r="DD18">
        <v>5</v>
      </c>
      <c r="DE18">
        <f t="shared" ref="DE18" si="91">DE16</f>
        <v>9</v>
      </c>
    </row>
    <row r="19" spans="2:109" x14ac:dyDescent="0.4">
      <c r="B19" s="504"/>
      <c r="C19" s="546"/>
      <c r="D19" s="547"/>
      <c r="E19" s="548"/>
      <c r="F19" s="549"/>
      <c r="G19" s="549"/>
      <c r="H19" s="550"/>
      <c r="I19" s="549"/>
      <c r="J19" s="549"/>
      <c r="K19" s="549"/>
      <c r="L19" s="549"/>
      <c r="M19" s="549"/>
      <c r="N19" s="549"/>
      <c r="O19" s="549"/>
      <c r="P19" s="549"/>
      <c r="Q19" s="560"/>
      <c r="R19" s="27"/>
      <c r="S19" s="36"/>
      <c r="T19" s="28"/>
      <c r="U19" s="28"/>
      <c r="V19" s="26"/>
      <c r="W19" s="27"/>
      <c r="X19" s="36"/>
      <c r="Y19" s="28"/>
      <c r="Z19" s="28"/>
      <c r="AA19" s="26"/>
      <c r="AB19" s="27"/>
      <c r="AC19" s="36"/>
      <c r="AD19" s="28"/>
      <c r="AE19" s="28"/>
      <c r="AF19" s="26"/>
      <c r="AG19" s="27"/>
      <c r="AH19" s="36"/>
      <c r="AI19" s="28"/>
      <c r="AJ19" s="28"/>
      <c r="AK19" s="26"/>
      <c r="AL19" s="27"/>
      <c r="AM19" s="36"/>
      <c r="AN19" s="28"/>
      <c r="AO19" s="28"/>
      <c r="AP19" s="26"/>
      <c r="AQ19" s="27"/>
      <c r="AR19" s="36"/>
      <c r="AS19" s="28"/>
      <c r="AT19" s="28"/>
      <c r="AU19" s="26"/>
      <c r="AV19" s="27"/>
      <c r="AW19" s="36"/>
      <c r="AX19" s="28"/>
      <c r="AY19" s="28"/>
      <c r="AZ19" s="26"/>
      <c r="BA19" s="27"/>
      <c r="BB19" s="36"/>
      <c r="BC19" s="28"/>
      <c r="BD19" s="28"/>
      <c r="BE19" s="26"/>
      <c r="BF19" s="27"/>
      <c r="BG19" s="36"/>
      <c r="BH19" s="28"/>
      <c r="BI19" s="28"/>
      <c r="BJ19" s="26"/>
      <c r="BK19" s="27"/>
      <c r="BL19" s="36"/>
      <c r="BM19" s="28"/>
      <c r="BN19" s="28"/>
      <c r="BO19" s="26"/>
      <c r="BP19" s="27"/>
      <c r="BQ19" s="36"/>
      <c r="BR19" s="28"/>
      <c r="BS19" s="28"/>
      <c r="BT19" s="26"/>
      <c r="BU19" s="27"/>
      <c r="BV19" s="36"/>
      <c r="BW19" s="28"/>
      <c r="BX19" s="28"/>
      <c r="BY19" s="26"/>
      <c r="BZ19" s="561"/>
      <c r="CA19" s="549"/>
      <c r="CB19" s="549"/>
      <c r="CC19" s="549"/>
      <c r="CD19" s="549"/>
      <c r="CE19" s="549"/>
      <c r="CF19" s="549"/>
      <c r="CG19" s="549"/>
      <c r="CH19" s="549"/>
      <c r="CI19" s="549"/>
      <c r="CJ19" s="549"/>
      <c r="CK19" s="549"/>
      <c r="CL19" s="559"/>
      <c r="CM19" s="550"/>
      <c r="CN19" s="550"/>
      <c r="CO19" s="550"/>
      <c r="CP19" s="550"/>
      <c r="CQ19" s="550"/>
      <c r="CR19" s="550"/>
      <c r="CS19" s="550"/>
      <c r="CT19" s="550"/>
      <c r="CU19" s="550"/>
      <c r="CV19" s="550"/>
      <c r="CW19" s="550"/>
      <c r="CX19" s="562"/>
      <c r="DA19" s="42"/>
    </row>
    <row r="20" spans="2:109" x14ac:dyDescent="0.4">
      <c r="B20" s="504" t="str">
        <f>"FX - "&amp;DA20</f>
        <v>FX - 7</v>
      </c>
      <c r="C20" s="545" t="s">
        <v>1935</v>
      </c>
      <c r="D20" s="547" t="str">
        <f t="shared" ref="D20" si="92">D18</f>
        <v>Portland</v>
      </c>
      <c r="E20" s="548" t="s">
        <v>65</v>
      </c>
      <c r="F20" s="549" cm="1">
        <f t="array" ref="F20">INDEX(FX_Setup,DA20,DB20)</f>
        <v>120</v>
      </c>
      <c r="G20" s="549" cm="1">
        <f t="array" ref="G20">INDEX(FX_Setup,$DA20,DC20)</f>
        <v>40</v>
      </c>
      <c r="H20" s="550" cm="1">
        <f t="array" ref="H20">INDEX(FX_Setup,$DA20,DD20)</f>
        <v>3383856</v>
      </c>
      <c r="I20" s="549" t="s">
        <v>27</v>
      </c>
      <c r="J20" s="549"/>
      <c r="K20" s="549"/>
      <c r="L20" s="549" t="s">
        <v>28</v>
      </c>
      <c r="M20" s="549" t="s">
        <v>90</v>
      </c>
      <c r="N20" s="549" t="s">
        <v>28</v>
      </c>
      <c r="O20" s="549" t="s">
        <v>90</v>
      </c>
      <c r="P20" s="549"/>
      <c r="Q20" s="560"/>
      <c r="R20" s="37" t="str" cm="1">
        <f t="array" ref="R20">INDEX(Surrogate_Lst,MATCH(INDEX(FX_Setup,DA20,3),Product_GRP,0),2)</f>
        <v>Jet kerosene</v>
      </c>
      <c r="S20" s="36" t="str">
        <f t="shared" ref="S20" si="93">INDEX(Phys_Prop,MATCH(R20,Chem_List,0),5)</f>
        <v>Select Pet Stock</v>
      </c>
      <c r="T20" s="36"/>
      <c r="U20" s="36"/>
      <c r="V20" s="38">
        <f>1-V21</f>
        <v>1</v>
      </c>
      <c r="W20" s="37" t="str">
        <f>R20</f>
        <v>Jet kerosene</v>
      </c>
      <c r="X20" s="36" t="str">
        <f t="shared" ref="X20" si="94">INDEX(Phys_Prop,MATCH(W20,Chem_List,0),5)</f>
        <v>Select Pet Stock</v>
      </c>
      <c r="Y20" s="36"/>
      <c r="Z20" s="36"/>
      <c r="AA20" s="38">
        <f>1-AA21</f>
        <v>1</v>
      </c>
      <c r="AB20" s="37" t="str">
        <f>W20</f>
        <v>Jet kerosene</v>
      </c>
      <c r="AC20" s="36" t="str">
        <f t="shared" ref="AC20" si="95">INDEX(Phys_Prop,MATCH(AB20,Chem_List,0),5)</f>
        <v>Select Pet Stock</v>
      </c>
      <c r="AD20" s="36"/>
      <c r="AE20" s="36"/>
      <c r="AF20" s="38">
        <f>1-AF21</f>
        <v>1</v>
      </c>
      <c r="AG20" s="37" t="str">
        <f>AB20</f>
        <v>Jet kerosene</v>
      </c>
      <c r="AH20" s="36" t="str">
        <f t="shared" ref="AH20" si="96">INDEX(Phys_Prop,MATCH(AG20,Chem_List,0),5)</f>
        <v>Select Pet Stock</v>
      </c>
      <c r="AI20" s="36"/>
      <c r="AJ20" s="36"/>
      <c r="AK20" s="38">
        <f>1-AK21</f>
        <v>1</v>
      </c>
      <c r="AL20" s="37" t="str">
        <f>AG20</f>
        <v>Jet kerosene</v>
      </c>
      <c r="AM20" s="36" t="str">
        <f t="shared" ref="AM20" si="97">INDEX(Phys_Prop,MATCH(AL20,Chem_List,0),5)</f>
        <v>Select Pet Stock</v>
      </c>
      <c r="AN20" s="36"/>
      <c r="AO20" s="36"/>
      <c r="AP20" s="38">
        <f>1-AP21</f>
        <v>1</v>
      </c>
      <c r="AQ20" s="37" t="str">
        <f>AL20</f>
        <v>Jet kerosene</v>
      </c>
      <c r="AR20" s="36" t="str">
        <f t="shared" ref="AR20" si="98">INDEX(Phys_Prop,MATCH(AQ20,Chem_List,0),5)</f>
        <v>Select Pet Stock</v>
      </c>
      <c r="AS20" s="36"/>
      <c r="AT20" s="36"/>
      <c r="AU20" s="38">
        <f>1-AU21</f>
        <v>1</v>
      </c>
      <c r="AV20" s="37" t="str">
        <f>AQ20</f>
        <v>Jet kerosene</v>
      </c>
      <c r="AW20" s="36" t="str">
        <f t="shared" ref="AW20" si="99">INDEX(Phys_Prop,MATCH(AV20,Chem_List,0),5)</f>
        <v>Select Pet Stock</v>
      </c>
      <c r="AX20" s="36"/>
      <c r="AY20" s="36"/>
      <c r="AZ20" s="38">
        <f>1-AZ21</f>
        <v>1</v>
      </c>
      <c r="BA20" s="37" t="str">
        <f>AV20</f>
        <v>Jet kerosene</v>
      </c>
      <c r="BB20" s="36" t="str">
        <f t="shared" ref="BB20" si="100">INDEX(Phys_Prop,MATCH(BA20,Chem_List,0),5)</f>
        <v>Select Pet Stock</v>
      </c>
      <c r="BC20" s="36"/>
      <c r="BD20" s="36"/>
      <c r="BE20" s="38">
        <f>1-BE21</f>
        <v>1</v>
      </c>
      <c r="BF20" s="37" t="str">
        <f>BA20</f>
        <v>Jet kerosene</v>
      </c>
      <c r="BG20" s="36" t="str">
        <f t="shared" ref="BG20" si="101">INDEX(Phys_Prop,MATCH(BF20,Chem_List,0),5)</f>
        <v>Select Pet Stock</v>
      </c>
      <c r="BH20" s="36"/>
      <c r="BI20" s="36"/>
      <c r="BJ20" s="38">
        <f>1-BJ21</f>
        <v>1</v>
      </c>
      <c r="BK20" s="37" t="str">
        <f>BF20</f>
        <v>Jet kerosene</v>
      </c>
      <c r="BL20" s="36" t="str">
        <f t="shared" ref="BL20" si="102">INDEX(Phys_Prop,MATCH(BK20,Chem_List,0),5)</f>
        <v>Select Pet Stock</v>
      </c>
      <c r="BM20" s="36"/>
      <c r="BN20" s="36"/>
      <c r="BO20" s="38">
        <f>1-BO21</f>
        <v>1</v>
      </c>
      <c r="BP20" s="37" t="str">
        <f>BK20</f>
        <v>Jet kerosene</v>
      </c>
      <c r="BQ20" s="36" t="str">
        <f t="shared" ref="BQ20" si="103">INDEX(Phys_Prop,MATCH(BP20,Chem_List,0),5)</f>
        <v>Select Pet Stock</v>
      </c>
      <c r="BR20" s="36"/>
      <c r="BS20" s="36"/>
      <c r="BT20" s="38">
        <f>1-BT21</f>
        <v>1</v>
      </c>
      <c r="BU20" s="37" t="str">
        <f>BP20</f>
        <v>Jet kerosene</v>
      </c>
      <c r="BV20" s="36" t="str">
        <f t="shared" ref="BV20" si="104">INDEX(Phys_Prop,MATCH(BU20,Chem_List,0),5)</f>
        <v>Select Pet Stock</v>
      </c>
      <c r="BW20" s="36"/>
      <c r="BX20" s="36"/>
      <c r="BY20" s="38">
        <f>1-BY21</f>
        <v>1</v>
      </c>
      <c r="BZ20" s="561"/>
      <c r="CA20" s="549"/>
      <c r="CB20" s="549"/>
      <c r="CC20" s="549"/>
      <c r="CD20" s="549"/>
      <c r="CE20" s="549"/>
      <c r="CF20" s="549"/>
      <c r="CG20" s="549"/>
      <c r="CH20" s="549"/>
      <c r="CI20" s="549"/>
      <c r="CJ20" s="549"/>
      <c r="CK20" s="549"/>
      <c r="CL20" s="559" cm="1">
        <f t="array" ref="CL20">INDEX(FX_Setup,DA20,DE20)</f>
        <v>80568</v>
      </c>
      <c r="CM20" s="550">
        <f t="shared" ref="CM20:CW20" si="105">CL20</f>
        <v>80568</v>
      </c>
      <c r="CN20" s="550">
        <f t="shared" si="105"/>
        <v>80568</v>
      </c>
      <c r="CO20" s="550">
        <f t="shared" si="105"/>
        <v>80568</v>
      </c>
      <c r="CP20" s="550">
        <f t="shared" si="105"/>
        <v>80568</v>
      </c>
      <c r="CQ20" s="550">
        <f t="shared" si="105"/>
        <v>80568</v>
      </c>
      <c r="CR20" s="550">
        <f t="shared" si="105"/>
        <v>80568</v>
      </c>
      <c r="CS20" s="550">
        <f t="shared" si="105"/>
        <v>80568</v>
      </c>
      <c r="CT20" s="550">
        <f t="shared" si="105"/>
        <v>80568</v>
      </c>
      <c r="CU20" s="550">
        <f t="shared" si="105"/>
        <v>80568</v>
      </c>
      <c r="CV20" s="550">
        <f t="shared" si="105"/>
        <v>80568</v>
      </c>
      <c r="CW20" s="550">
        <f t="shared" si="105"/>
        <v>80568</v>
      </c>
      <c r="CX20" s="562">
        <f t="shared" ref="CX20" si="106">SUM(CL20:CW21)</f>
        <v>966816</v>
      </c>
      <c r="DA20" s="42">
        <f>DA18+1</f>
        <v>7</v>
      </c>
      <c r="DB20">
        <v>7</v>
      </c>
      <c r="DC20">
        <v>6</v>
      </c>
      <c r="DD20">
        <v>5</v>
      </c>
      <c r="DE20">
        <f t="shared" ref="DE20" si="107">DE18</f>
        <v>9</v>
      </c>
    </row>
    <row r="21" spans="2:109" x14ac:dyDescent="0.4">
      <c r="B21" s="504"/>
      <c r="C21" s="546"/>
      <c r="D21" s="547"/>
      <c r="E21" s="548"/>
      <c r="F21" s="549"/>
      <c r="G21" s="549"/>
      <c r="H21" s="550"/>
      <c r="I21" s="549"/>
      <c r="J21" s="549"/>
      <c r="K21" s="549"/>
      <c r="L21" s="549"/>
      <c r="M21" s="549"/>
      <c r="N21" s="549"/>
      <c r="O21" s="549"/>
      <c r="P21" s="549"/>
      <c r="Q21" s="560"/>
      <c r="R21" s="27"/>
      <c r="S21" s="36"/>
      <c r="T21" s="28"/>
      <c r="U21" s="28"/>
      <c r="V21" s="26"/>
      <c r="W21" s="27"/>
      <c r="X21" s="36"/>
      <c r="Y21" s="28"/>
      <c r="Z21" s="28"/>
      <c r="AA21" s="26"/>
      <c r="AB21" s="27"/>
      <c r="AC21" s="36"/>
      <c r="AD21" s="28"/>
      <c r="AE21" s="28"/>
      <c r="AF21" s="26"/>
      <c r="AG21" s="27"/>
      <c r="AH21" s="36"/>
      <c r="AI21" s="28"/>
      <c r="AJ21" s="28"/>
      <c r="AK21" s="26"/>
      <c r="AL21" s="27"/>
      <c r="AM21" s="36"/>
      <c r="AN21" s="28"/>
      <c r="AO21" s="28"/>
      <c r="AP21" s="26"/>
      <c r="AQ21" s="27"/>
      <c r="AR21" s="36"/>
      <c r="AS21" s="28"/>
      <c r="AT21" s="28"/>
      <c r="AU21" s="26"/>
      <c r="AV21" s="27"/>
      <c r="AW21" s="36"/>
      <c r="AX21" s="28"/>
      <c r="AY21" s="28"/>
      <c r="AZ21" s="26"/>
      <c r="BA21" s="27"/>
      <c r="BB21" s="36"/>
      <c r="BC21" s="28"/>
      <c r="BD21" s="28"/>
      <c r="BE21" s="26"/>
      <c r="BF21" s="27"/>
      <c r="BG21" s="36"/>
      <c r="BH21" s="28"/>
      <c r="BI21" s="28"/>
      <c r="BJ21" s="26"/>
      <c r="BK21" s="27"/>
      <c r="BL21" s="36"/>
      <c r="BM21" s="28"/>
      <c r="BN21" s="28"/>
      <c r="BO21" s="26"/>
      <c r="BP21" s="27"/>
      <c r="BQ21" s="36"/>
      <c r="BR21" s="28"/>
      <c r="BS21" s="28"/>
      <c r="BT21" s="26"/>
      <c r="BU21" s="27"/>
      <c r="BV21" s="36"/>
      <c r="BW21" s="28"/>
      <c r="BX21" s="28"/>
      <c r="BY21" s="26"/>
      <c r="BZ21" s="561"/>
      <c r="CA21" s="549"/>
      <c r="CB21" s="549"/>
      <c r="CC21" s="549"/>
      <c r="CD21" s="549"/>
      <c r="CE21" s="549"/>
      <c r="CF21" s="549"/>
      <c r="CG21" s="549"/>
      <c r="CH21" s="549"/>
      <c r="CI21" s="549"/>
      <c r="CJ21" s="549"/>
      <c r="CK21" s="549"/>
      <c r="CL21" s="559"/>
      <c r="CM21" s="550"/>
      <c r="CN21" s="550"/>
      <c r="CO21" s="550"/>
      <c r="CP21" s="550"/>
      <c r="CQ21" s="550"/>
      <c r="CR21" s="550"/>
      <c r="CS21" s="550"/>
      <c r="CT21" s="550"/>
      <c r="CU21" s="550"/>
      <c r="CV21" s="550"/>
      <c r="CW21" s="550"/>
      <c r="CX21" s="562"/>
      <c r="DA21" s="42"/>
    </row>
    <row r="22" spans="2:109" x14ac:dyDescent="0.4">
      <c r="B22" s="504" t="str">
        <f>"FX - "&amp;DA22</f>
        <v>FX - 8</v>
      </c>
      <c r="C22" s="545" t="s">
        <v>1936</v>
      </c>
      <c r="D22" s="547" t="str">
        <f t="shared" ref="D22" si="108">D20</f>
        <v>Portland</v>
      </c>
      <c r="E22" s="548" t="s">
        <v>65</v>
      </c>
      <c r="F22" s="549" cm="1">
        <f t="array" ref="F22">INDEX(FX_Setup,DA22,DB22)</f>
        <v>120</v>
      </c>
      <c r="G22" s="549" cm="1">
        <f t="array" ref="G22">INDEX(FX_Setup,$DA22,DC22)</f>
        <v>40</v>
      </c>
      <c r="H22" s="550" cm="1">
        <f t="array" ref="H22">INDEX(FX_Setup,$DA22,DD22)</f>
        <v>3383856</v>
      </c>
      <c r="I22" s="549" t="s">
        <v>27</v>
      </c>
      <c r="J22" s="549"/>
      <c r="K22" s="549"/>
      <c r="L22" s="549" t="s">
        <v>28</v>
      </c>
      <c r="M22" s="549" t="s">
        <v>90</v>
      </c>
      <c r="N22" s="549" t="s">
        <v>28</v>
      </c>
      <c r="O22" s="549" t="s">
        <v>90</v>
      </c>
      <c r="P22" s="549"/>
      <c r="Q22" s="560"/>
      <c r="R22" s="37" t="str" cm="1">
        <f t="array" ref="R22">INDEX(Surrogate_Lst,MATCH(INDEX(FX_Setup,DA22,3),Product_GRP,0),2)</f>
        <v>Jet kerosene</v>
      </c>
      <c r="S22" s="36" t="str">
        <f t="shared" ref="S22" si="109">INDEX(Phys_Prop,MATCH(R22,Chem_List,0),5)</f>
        <v>Select Pet Stock</v>
      </c>
      <c r="T22" s="36"/>
      <c r="U22" s="36"/>
      <c r="V22" s="38">
        <f>1-V23</f>
        <v>1</v>
      </c>
      <c r="W22" s="37" t="str">
        <f>R22</f>
        <v>Jet kerosene</v>
      </c>
      <c r="X22" s="36" t="str">
        <f t="shared" ref="X22" si="110">INDEX(Phys_Prop,MATCH(W22,Chem_List,0),5)</f>
        <v>Select Pet Stock</v>
      </c>
      <c r="Y22" s="36"/>
      <c r="Z22" s="36"/>
      <c r="AA22" s="38">
        <f>1-AA23</f>
        <v>1</v>
      </c>
      <c r="AB22" s="37" t="str">
        <f>W22</f>
        <v>Jet kerosene</v>
      </c>
      <c r="AC22" s="36" t="str">
        <f t="shared" ref="AC22" si="111">INDEX(Phys_Prop,MATCH(AB22,Chem_List,0),5)</f>
        <v>Select Pet Stock</v>
      </c>
      <c r="AD22" s="36"/>
      <c r="AE22" s="36"/>
      <c r="AF22" s="38">
        <f>1-AF23</f>
        <v>1</v>
      </c>
      <c r="AG22" s="37" t="str">
        <f>AB22</f>
        <v>Jet kerosene</v>
      </c>
      <c r="AH22" s="36" t="str">
        <f t="shared" ref="AH22" si="112">INDEX(Phys_Prop,MATCH(AG22,Chem_List,0),5)</f>
        <v>Select Pet Stock</v>
      </c>
      <c r="AI22" s="36"/>
      <c r="AJ22" s="36"/>
      <c r="AK22" s="38">
        <f>1-AK23</f>
        <v>1</v>
      </c>
      <c r="AL22" s="37" t="str">
        <f>AG22</f>
        <v>Jet kerosene</v>
      </c>
      <c r="AM22" s="36" t="str">
        <f t="shared" ref="AM22" si="113">INDEX(Phys_Prop,MATCH(AL22,Chem_List,0),5)</f>
        <v>Select Pet Stock</v>
      </c>
      <c r="AN22" s="36"/>
      <c r="AO22" s="36"/>
      <c r="AP22" s="38">
        <f>1-AP23</f>
        <v>1</v>
      </c>
      <c r="AQ22" s="37" t="str">
        <f>AL22</f>
        <v>Jet kerosene</v>
      </c>
      <c r="AR22" s="36" t="str">
        <f t="shared" ref="AR22" si="114">INDEX(Phys_Prop,MATCH(AQ22,Chem_List,0),5)</f>
        <v>Select Pet Stock</v>
      </c>
      <c r="AS22" s="36"/>
      <c r="AT22" s="36"/>
      <c r="AU22" s="38">
        <f>1-AU23</f>
        <v>1</v>
      </c>
      <c r="AV22" s="37" t="str">
        <f>AQ22</f>
        <v>Jet kerosene</v>
      </c>
      <c r="AW22" s="36" t="str">
        <f t="shared" ref="AW22" si="115">INDEX(Phys_Prop,MATCH(AV22,Chem_List,0),5)</f>
        <v>Select Pet Stock</v>
      </c>
      <c r="AX22" s="36"/>
      <c r="AY22" s="36"/>
      <c r="AZ22" s="38">
        <f>1-AZ23</f>
        <v>1</v>
      </c>
      <c r="BA22" s="37" t="str">
        <f>AV22</f>
        <v>Jet kerosene</v>
      </c>
      <c r="BB22" s="36" t="str">
        <f t="shared" ref="BB22" si="116">INDEX(Phys_Prop,MATCH(BA22,Chem_List,0),5)</f>
        <v>Select Pet Stock</v>
      </c>
      <c r="BC22" s="36"/>
      <c r="BD22" s="36"/>
      <c r="BE22" s="38">
        <f>1-BE23</f>
        <v>1</v>
      </c>
      <c r="BF22" s="37" t="str">
        <f>BA22</f>
        <v>Jet kerosene</v>
      </c>
      <c r="BG22" s="36" t="str">
        <f t="shared" ref="BG22" si="117">INDEX(Phys_Prop,MATCH(BF22,Chem_List,0),5)</f>
        <v>Select Pet Stock</v>
      </c>
      <c r="BH22" s="36"/>
      <c r="BI22" s="36"/>
      <c r="BJ22" s="38">
        <f>1-BJ23</f>
        <v>1</v>
      </c>
      <c r="BK22" s="37" t="str">
        <f>BF22</f>
        <v>Jet kerosene</v>
      </c>
      <c r="BL22" s="36" t="str">
        <f t="shared" ref="BL22" si="118">INDEX(Phys_Prop,MATCH(BK22,Chem_List,0),5)</f>
        <v>Select Pet Stock</v>
      </c>
      <c r="BM22" s="36"/>
      <c r="BN22" s="36"/>
      <c r="BO22" s="38">
        <f>1-BO23</f>
        <v>1</v>
      </c>
      <c r="BP22" s="37" t="str">
        <f>BK22</f>
        <v>Jet kerosene</v>
      </c>
      <c r="BQ22" s="36" t="str">
        <f t="shared" ref="BQ22" si="119">INDEX(Phys_Prop,MATCH(BP22,Chem_List,0),5)</f>
        <v>Select Pet Stock</v>
      </c>
      <c r="BR22" s="36"/>
      <c r="BS22" s="36"/>
      <c r="BT22" s="38">
        <f>1-BT23</f>
        <v>1</v>
      </c>
      <c r="BU22" s="37" t="str">
        <f>BP22</f>
        <v>Jet kerosene</v>
      </c>
      <c r="BV22" s="36" t="str">
        <f t="shared" ref="BV22" si="120">INDEX(Phys_Prop,MATCH(BU22,Chem_List,0),5)</f>
        <v>Select Pet Stock</v>
      </c>
      <c r="BW22" s="36"/>
      <c r="BX22" s="36"/>
      <c r="BY22" s="38">
        <f>1-BY23</f>
        <v>1</v>
      </c>
      <c r="BZ22" s="561"/>
      <c r="CA22" s="549"/>
      <c r="CB22" s="549"/>
      <c r="CC22" s="549"/>
      <c r="CD22" s="549"/>
      <c r="CE22" s="549"/>
      <c r="CF22" s="549"/>
      <c r="CG22" s="549"/>
      <c r="CH22" s="549"/>
      <c r="CI22" s="549"/>
      <c r="CJ22" s="549"/>
      <c r="CK22" s="549"/>
      <c r="CL22" s="567" cm="1">
        <f t="array" ref="CL22">INDEX(FX_Setup,DA22,DE22)</f>
        <v>80568</v>
      </c>
      <c r="CM22" s="563">
        <f t="shared" ref="CM22:CW22" si="121">CL22</f>
        <v>80568</v>
      </c>
      <c r="CN22" s="563">
        <f t="shared" si="121"/>
        <v>80568</v>
      </c>
      <c r="CO22" s="563">
        <f t="shared" si="121"/>
        <v>80568</v>
      </c>
      <c r="CP22" s="563">
        <f t="shared" si="121"/>
        <v>80568</v>
      </c>
      <c r="CQ22" s="563">
        <f t="shared" si="121"/>
        <v>80568</v>
      </c>
      <c r="CR22" s="563">
        <f t="shared" si="121"/>
        <v>80568</v>
      </c>
      <c r="CS22" s="563">
        <f t="shared" si="121"/>
        <v>80568</v>
      </c>
      <c r="CT22" s="563">
        <f t="shared" si="121"/>
        <v>80568</v>
      </c>
      <c r="CU22" s="563">
        <f t="shared" si="121"/>
        <v>80568</v>
      </c>
      <c r="CV22" s="563">
        <f t="shared" si="121"/>
        <v>80568</v>
      </c>
      <c r="CW22" s="563">
        <f t="shared" si="121"/>
        <v>80568</v>
      </c>
      <c r="CX22" s="565">
        <f t="shared" ref="CX22" si="122">SUM(CL22:CW23)</f>
        <v>966816</v>
      </c>
      <c r="DA22" s="42">
        <f>DA20+1</f>
        <v>8</v>
      </c>
      <c r="DB22">
        <v>7</v>
      </c>
      <c r="DC22">
        <v>6</v>
      </c>
      <c r="DD22">
        <v>5</v>
      </c>
      <c r="DE22">
        <f t="shared" ref="DE22" si="123">DE20</f>
        <v>9</v>
      </c>
    </row>
    <row r="23" spans="2:109" x14ac:dyDescent="0.4">
      <c r="B23" s="504"/>
      <c r="C23" s="546"/>
      <c r="D23" s="547"/>
      <c r="E23" s="548"/>
      <c r="F23" s="549"/>
      <c r="G23" s="549"/>
      <c r="H23" s="550"/>
      <c r="I23" s="549"/>
      <c r="J23" s="549"/>
      <c r="K23" s="549"/>
      <c r="L23" s="549"/>
      <c r="M23" s="549"/>
      <c r="N23" s="549"/>
      <c r="O23" s="549"/>
      <c r="P23" s="549"/>
      <c r="Q23" s="560"/>
      <c r="R23" s="27"/>
      <c r="S23" s="36"/>
      <c r="T23" s="28"/>
      <c r="U23" s="28"/>
      <c r="V23" s="26"/>
      <c r="W23" s="27"/>
      <c r="X23" s="36"/>
      <c r="Y23" s="28"/>
      <c r="Z23" s="28"/>
      <c r="AA23" s="26"/>
      <c r="AB23" s="27"/>
      <c r="AC23" s="36"/>
      <c r="AD23" s="28"/>
      <c r="AE23" s="28"/>
      <c r="AF23" s="26"/>
      <c r="AG23" s="27"/>
      <c r="AH23" s="36"/>
      <c r="AI23" s="28"/>
      <c r="AJ23" s="28"/>
      <c r="AK23" s="26"/>
      <c r="AL23" s="27"/>
      <c r="AM23" s="36"/>
      <c r="AN23" s="28"/>
      <c r="AO23" s="28"/>
      <c r="AP23" s="26"/>
      <c r="AQ23" s="27"/>
      <c r="AR23" s="36"/>
      <c r="AS23" s="28"/>
      <c r="AT23" s="28"/>
      <c r="AU23" s="26"/>
      <c r="AV23" s="27"/>
      <c r="AW23" s="36"/>
      <c r="AX23" s="28"/>
      <c r="AY23" s="28"/>
      <c r="AZ23" s="26"/>
      <c r="BA23" s="27"/>
      <c r="BB23" s="36"/>
      <c r="BC23" s="28"/>
      <c r="BD23" s="28"/>
      <c r="BE23" s="26"/>
      <c r="BF23" s="27"/>
      <c r="BG23" s="36"/>
      <c r="BH23" s="28"/>
      <c r="BI23" s="28"/>
      <c r="BJ23" s="26"/>
      <c r="BK23" s="27"/>
      <c r="BL23" s="36"/>
      <c r="BM23" s="28"/>
      <c r="BN23" s="28"/>
      <c r="BO23" s="26"/>
      <c r="BP23" s="27"/>
      <c r="BQ23" s="36"/>
      <c r="BR23" s="28"/>
      <c r="BS23" s="28"/>
      <c r="BT23" s="26"/>
      <c r="BU23" s="27"/>
      <c r="BV23" s="36"/>
      <c r="BW23" s="28"/>
      <c r="BX23" s="28"/>
      <c r="BY23" s="26"/>
      <c r="BZ23" s="561"/>
      <c r="CA23" s="549"/>
      <c r="CB23" s="549"/>
      <c r="CC23" s="549"/>
      <c r="CD23" s="549"/>
      <c r="CE23" s="549"/>
      <c r="CF23" s="549"/>
      <c r="CG23" s="549"/>
      <c r="CH23" s="549"/>
      <c r="CI23" s="549"/>
      <c r="CJ23" s="549"/>
      <c r="CK23" s="549"/>
      <c r="CL23" s="568"/>
      <c r="CM23" s="564"/>
      <c r="CN23" s="564"/>
      <c r="CO23" s="564"/>
      <c r="CP23" s="564"/>
      <c r="CQ23" s="564"/>
      <c r="CR23" s="564"/>
      <c r="CS23" s="564"/>
      <c r="CT23" s="564"/>
      <c r="CU23" s="564"/>
      <c r="CV23" s="564"/>
      <c r="CW23" s="564"/>
      <c r="CX23" s="566"/>
      <c r="DA23" s="42"/>
    </row>
    <row r="24" spans="2:109" x14ac:dyDescent="0.4">
      <c r="B24" s="504" t="str">
        <f>"FX - "&amp;DA24</f>
        <v>FX - 9</v>
      </c>
      <c r="C24" s="545" t="s">
        <v>1937</v>
      </c>
      <c r="D24" s="547" t="str">
        <f t="shared" ref="D24" si="124">D22</f>
        <v>Portland</v>
      </c>
      <c r="E24" s="548" t="s">
        <v>65</v>
      </c>
      <c r="F24" s="549" cm="1">
        <f t="array" ref="F24">INDEX(FX_Setup,DA24,DB24)</f>
        <v>120</v>
      </c>
      <c r="G24" s="549" cm="1">
        <f t="array" ref="G24">INDEX(FX_Setup,$DA24,DC24)</f>
        <v>40</v>
      </c>
      <c r="H24" s="550" cm="1">
        <f t="array" ref="H24">INDEX(FX_Setup,$DA24,DD24)</f>
        <v>3383856</v>
      </c>
      <c r="I24" s="549" t="s">
        <v>27</v>
      </c>
      <c r="J24" s="549"/>
      <c r="K24" s="549"/>
      <c r="L24" s="549" t="s">
        <v>28</v>
      </c>
      <c r="M24" s="549" t="s">
        <v>90</v>
      </c>
      <c r="N24" s="549" t="s">
        <v>28</v>
      </c>
      <c r="O24" s="549" t="s">
        <v>90</v>
      </c>
      <c r="P24" s="549"/>
      <c r="Q24" s="560"/>
      <c r="R24" s="37" t="str" cm="1">
        <f t="array" ref="R24">INDEX(Surrogate_Lst,MATCH(INDEX(FX_Setup,DA24,3),Product_GRP,0),2)</f>
        <v>Jet kerosene</v>
      </c>
      <c r="S24" s="36" t="str">
        <f t="shared" ref="S24" si="125">INDEX(Phys_Prop,MATCH(R24,Chem_List,0),5)</f>
        <v>Select Pet Stock</v>
      </c>
      <c r="T24" s="36"/>
      <c r="U24" s="36"/>
      <c r="V24" s="38">
        <f>1-V25</f>
        <v>1</v>
      </c>
      <c r="W24" s="37" t="str">
        <f>R24</f>
        <v>Jet kerosene</v>
      </c>
      <c r="X24" s="36" t="str">
        <f t="shared" ref="X24" si="126">INDEX(Phys_Prop,MATCH(W24,Chem_List,0),5)</f>
        <v>Select Pet Stock</v>
      </c>
      <c r="Y24" s="36"/>
      <c r="Z24" s="36"/>
      <c r="AA24" s="38">
        <f>1-AA25</f>
        <v>1</v>
      </c>
      <c r="AB24" s="37" t="str">
        <f>W24</f>
        <v>Jet kerosene</v>
      </c>
      <c r="AC24" s="36" t="str">
        <f t="shared" ref="AC24" si="127">INDEX(Phys_Prop,MATCH(AB24,Chem_List,0),5)</f>
        <v>Select Pet Stock</v>
      </c>
      <c r="AD24" s="36"/>
      <c r="AE24" s="36"/>
      <c r="AF24" s="38">
        <f>1-AF25</f>
        <v>1</v>
      </c>
      <c r="AG24" s="37" t="str">
        <f>AB24</f>
        <v>Jet kerosene</v>
      </c>
      <c r="AH24" s="36" t="str">
        <f t="shared" ref="AH24" si="128">INDEX(Phys_Prop,MATCH(AG24,Chem_List,0),5)</f>
        <v>Select Pet Stock</v>
      </c>
      <c r="AI24" s="36"/>
      <c r="AJ24" s="36"/>
      <c r="AK24" s="38">
        <f>1-AK25</f>
        <v>1</v>
      </c>
      <c r="AL24" s="37" t="str">
        <f>AG24</f>
        <v>Jet kerosene</v>
      </c>
      <c r="AM24" s="36" t="str">
        <f t="shared" ref="AM24" si="129">INDEX(Phys_Prop,MATCH(AL24,Chem_List,0),5)</f>
        <v>Select Pet Stock</v>
      </c>
      <c r="AN24" s="36"/>
      <c r="AO24" s="36"/>
      <c r="AP24" s="38">
        <f>1-AP25</f>
        <v>1</v>
      </c>
      <c r="AQ24" s="37" t="str">
        <f>AL24</f>
        <v>Jet kerosene</v>
      </c>
      <c r="AR24" s="36" t="str">
        <f t="shared" ref="AR24" si="130">INDEX(Phys_Prop,MATCH(AQ24,Chem_List,0),5)</f>
        <v>Select Pet Stock</v>
      </c>
      <c r="AS24" s="36"/>
      <c r="AT24" s="36"/>
      <c r="AU24" s="38">
        <f>1-AU25</f>
        <v>1</v>
      </c>
      <c r="AV24" s="37" t="str">
        <f>AQ24</f>
        <v>Jet kerosene</v>
      </c>
      <c r="AW24" s="36" t="str">
        <f t="shared" ref="AW24" si="131">INDEX(Phys_Prop,MATCH(AV24,Chem_List,0),5)</f>
        <v>Select Pet Stock</v>
      </c>
      <c r="AX24" s="36"/>
      <c r="AY24" s="36"/>
      <c r="AZ24" s="38">
        <f>1-AZ25</f>
        <v>1</v>
      </c>
      <c r="BA24" s="37" t="str">
        <f>AV24</f>
        <v>Jet kerosene</v>
      </c>
      <c r="BB24" s="36" t="str">
        <f t="shared" ref="BB24" si="132">INDEX(Phys_Prop,MATCH(BA24,Chem_List,0),5)</f>
        <v>Select Pet Stock</v>
      </c>
      <c r="BC24" s="36"/>
      <c r="BD24" s="36"/>
      <c r="BE24" s="38">
        <f>1-BE25</f>
        <v>1</v>
      </c>
      <c r="BF24" s="37" t="str">
        <f>BA24</f>
        <v>Jet kerosene</v>
      </c>
      <c r="BG24" s="36" t="str">
        <f t="shared" ref="BG24" si="133">INDEX(Phys_Prop,MATCH(BF24,Chem_List,0),5)</f>
        <v>Select Pet Stock</v>
      </c>
      <c r="BH24" s="36"/>
      <c r="BI24" s="36"/>
      <c r="BJ24" s="38">
        <f>1-BJ25</f>
        <v>1</v>
      </c>
      <c r="BK24" s="37" t="str">
        <f>BF24</f>
        <v>Jet kerosene</v>
      </c>
      <c r="BL24" s="36" t="str">
        <f t="shared" ref="BL24" si="134">INDEX(Phys_Prop,MATCH(BK24,Chem_List,0),5)</f>
        <v>Select Pet Stock</v>
      </c>
      <c r="BM24" s="36"/>
      <c r="BN24" s="36"/>
      <c r="BO24" s="38">
        <f>1-BO25</f>
        <v>1</v>
      </c>
      <c r="BP24" s="37" t="str">
        <f>BK24</f>
        <v>Jet kerosene</v>
      </c>
      <c r="BQ24" s="36" t="str">
        <f t="shared" ref="BQ24" si="135">INDEX(Phys_Prop,MATCH(BP24,Chem_List,0),5)</f>
        <v>Select Pet Stock</v>
      </c>
      <c r="BR24" s="36"/>
      <c r="BS24" s="36"/>
      <c r="BT24" s="38">
        <f>1-BT25</f>
        <v>1</v>
      </c>
      <c r="BU24" s="37" t="str">
        <f>BP24</f>
        <v>Jet kerosene</v>
      </c>
      <c r="BV24" s="36" t="str">
        <f t="shared" ref="BV24" si="136">INDEX(Phys_Prop,MATCH(BU24,Chem_List,0),5)</f>
        <v>Select Pet Stock</v>
      </c>
      <c r="BW24" s="36"/>
      <c r="BX24" s="36"/>
      <c r="BY24" s="38">
        <f>1-BY25</f>
        <v>1</v>
      </c>
      <c r="BZ24" s="561"/>
      <c r="CA24" s="549"/>
      <c r="CB24" s="549"/>
      <c r="CC24" s="549"/>
      <c r="CD24" s="549"/>
      <c r="CE24" s="549"/>
      <c r="CF24" s="549"/>
      <c r="CG24" s="549"/>
      <c r="CH24" s="549"/>
      <c r="CI24" s="549"/>
      <c r="CJ24" s="549"/>
      <c r="CK24" s="549"/>
      <c r="CL24" s="559" cm="1">
        <f t="array" ref="CL24">INDEX(FX_Setup,DA24,DE24)</f>
        <v>80568</v>
      </c>
      <c r="CM24" s="550">
        <f t="shared" ref="CM24:CW24" si="137">CL24</f>
        <v>80568</v>
      </c>
      <c r="CN24" s="550">
        <f t="shared" si="137"/>
        <v>80568</v>
      </c>
      <c r="CO24" s="550">
        <f t="shared" si="137"/>
        <v>80568</v>
      </c>
      <c r="CP24" s="550">
        <f t="shared" si="137"/>
        <v>80568</v>
      </c>
      <c r="CQ24" s="550">
        <f t="shared" si="137"/>
        <v>80568</v>
      </c>
      <c r="CR24" s="550">
        <f t="shared" si="137"/>
        <v>80568</v>
      </c>
      <c r="CS24" s="550">
        <f t="shared" si="137"/>
        <v>80568</v>
      </c>
      <c r="CT24" s="550">
        <f t="shared" si="137"/>
        <v>80568</v>
      </c>
      <c r="CU24" s="550">
        <f t="shared" si="137"/>
        <v>80568</v>
      </c>
      <c r="CV24" s="550">
        <f t="shared" si="137"/>
        <v>80568</v>
      </c>
      <c r="CW24" s="550">
        <f t="shared" si="137"/>
        <v>80568</v>
      </c>
      <c r="CX24" s="562">
        <f t="shared" ref="CX24" si="138">SUM(CL24:CW25)</f>
        <v>966816</v>
      </c>
      <c r="DA24" s="42">
        <f>DA22+1</f>
        <v>9</v>
      </c>
      <c r="DB24">
        <v>7</v>
      </c>
      <c r="DC24">
        <v>6</v>
      </c>
      <c r="DD24">
        <v>5</v>
      </c>
      <c r="DE24">
        <f t="shared" ref="DE24" si="139">DE22</f>
        <v>9</v>
      </c>
    </row>
    <row r="25" spans="2:109" x14ac:dyDescent="0.4">
      <c r="B25" s="504"/>
      <c r="C25" s="546"/>
      <c r="D25" s="547"/>
      <c r="E25" s="548"/>
      <c r="F25" s="549"/>
      <c r="G25" s="549"/>
      <c r="H25" s="550"/>
      <c r="I25" s="549"/>
      <c r="J25" s="549"/>
      <c r="K25" s="549"/>
      <c r="L25" s="549"/>
      <c r="M25" s="549"/>
      <c r="N25" s="549"/>
      <c r="O25" s="549"/>
      <c r="P25" s="549"/>
      <c r="Q25" s="560"/>
      <c r="R25" s="27"/>
      <c r="S25" s="36"/>
      <c r="T25" s="28"/>
      <c r="U25" s="28"/>
      <c r="V25" s="26"/>
      <c r="W25" s="27"/>
      <c r="X25" s="36"/>
      <c r="Y25" s="28"/>
      <c r="Z25" s="28"/>
      <c r="AA25" s="26"/>
      <c r="AB25" s="27"/>
      <c r="AC25" s="36"/>
      <c r="AD25" s="28"/>
      <c r="AE25" s="28"/>
      <c r="AF25" s="26"/>
      <c r="AG25" s="27"/>
      <c r="AH25" s="36"/>
      <c r="AI25" s="28"/>
      <c r="AJ25" s="28"/>
      <c r="AK25" s="26"/>
      <c r="AL25" s="27"/>
      <c r="AM25" s="36"/>
      <c r="AN25" s="28"/>
      <c r="AO25" s="28"/>
      <c r="AP25" s="26"/>
      <c r="AQ25" s="27"/>
      <c r="AR25" s="36"/>
      <c r="AS25" s="28"/>
      <c r="AT25" s="28"/>
      <c r="AU25" s="26"/>
      <c r="AV25" s="27"/>
      <c r="AW25" s="36"/>
      <c r="AX25" s="28"/>
      <c r="AY25" s="28"/>
      <c r="AZ25" s="26"/>
      <c r="BA25" s="27"/>
      <c r="BB25" s="36"/>
      <c r="BC25" s="28"/>
      <c r="BD25" s="28"/>
      <c r="BE25" s="26"/>
      <c r="BF25" s="27"/>
      <c r="BG25" s="36"/>
      <c r="BH25" s="28"/>
      <c r="BI25" s="28"/>
      <c r="BJ25" s="26"/>
      <c r="BK25" s="27"/>
      <c r="BL25" s="36"/>
      <c r="BM25" s="28"/>
      <c r="BN25" s="28"/>
      <c r="BO25" s="26"/>
      <c r="BP25" s="27"/>
      <c r="BQ25" s="36"/>
      <c r="BR25" s="28"/>
      <c r="BS25" s="28"/>
      <c r="BT25" s="26"/>
      <c r="BU25" s="27"/>
      <c r="BV25" s="36"/>
      <c r="BW25" s="28"/>
      <c r="BX25" s="28"/>
      <c r="BY25" s="26"/>
      <c r="BZ25" s="561"/>
      <c r="CA25" s="549"/>
      <c r="CB25" s="549"/>
      <c r="CC25" s="549"/>
      <c r="CD25" s="549"/>
      <c r="CE25" s="549"/>
      <c r="CF25" s="549"/>
      <c r="CG25" s="549"/>
      <c r="CH25" s="549"/>
      <c r="CI25" s="549"/>
      <c r="CJ25" s="549"/>
      <c r="CK25" s="549"/>
      <c r="CL25" s="559"/>
      <c r="CM25" s="550"/>
      <c r="CN25" s="550"/>
      <c r="CO25" s="550"/>
      <c r="CP25" s="550"/>
      <c r="CQ25" s="550"/>
      <c r="CR25" s="550"/>
      <c r="CS25" s="550"/>
      <c r="CT25" s="550"/>
      <c r="CU25" s="550"/>
      <c r="CV25" s="550"/>
      <c r="CW25" s="550"/>
      <c r="CX25" s="562"/>
      <c r="DA25" s="42"/>
    </row>
    <row r="26" spans="2:109" x14ac:dyDescent="0.4">
      <c r="B26" s="504" t="str">
        <f>"FX - "&amp;DA26</f>
        <v>FX - 10</v>
      </c>
      <c r="C26" s="545" t="s">
        <v>1938</v>
      </c>
      <c r="D26" s="547" t="str">
        <f t="shared" ref="D26" si="140">D24</f>
        <v>Portland</v>
      </c>
      <c r="E26" s="548" t="s">
        <v>65</v>
      </c>
      <c r="F26" s="549" cm="1">
        <f t="array" ref="F26">INDEX(FX_Setup,DA26,DB26)</f>
        <v>50</v>
      </c>
      <c r="G26" s="549" cm="1">
        <f t="array" ref="G26">INDEX(FX_Setup,$DA26,DC26)</f>
        <v>32</v>
      </c>
      <c r="H26" s="550" cm="1">
        <f t="array" ref="H26">INDEX(FX_Setup,$DA26,DD26)</f>
        <v>466998</v>
      </c>
      <c r="I26" s="549" t="s">
        <v>27</v>
      </c>
      <c r="J26" s="549"/>
      <c r="K26" s="549"/>
      <c r="L26" s="549" t="s">
        <v>93</v>
      </c>
      <c r="M26" s="549" t="s">
        <v>90</v>
      </c>
      <c r="N26" s="549" t="s">
        <v>93</v>
      </c>
      <c r="O26" s="549" t="s">
        <v>90</v>
      </c>
      <c r="P26" s="549"/>
      <c r="Q26" s="560"/>
      <c r="R26" s="37" t="str" cm="1">
        <f t="array" ref="R26">INDEX(Surrogate_Lst,MATCH(INDEX(FX_Setup,DA26,3),Product_GRP,0),2)</f>
        <v>Jet kerosene</v>
      </c>
      <c r="S26" s="36" t="str">
        <f t="shared" ref="S26" si="141">INDEX(Phys_Prop,MATCH(R26,Chem_List,0),5)</f>
        <v>Select Pet Stock</v>
      </c>
      <c r="T26" s="36"/>
      <c r="U26" s="36"/>
      <c r="V26" s="38">
        <f>1-V27</f>
        <v>1</v>
      </c>
      <c r="W26" s="37" t="str">
        <f>R26</f>
        <v>Jet kerosene</v>
      </c>
      <c r="X26" s="36" t="str">
        <f t="shared" ref="X26" si="142">INDEX(Phys_Prop,MATCH(W26,Chem_List,0),5)</f>
        <v>Select Pet Stock</v>
      </c>
      <c r="Y26" s="36"/>
      <c r="Z26" s="36"/>
      <c r="AA26" s="38">
        <f>1-AA27</f>
        <v>1</v>
      </c>
      <c r="AB26" s="37" t="str">
        <f>W26</f>
        <v>Jet kerosene</v>
      </c>
      <c r="AC26" s="36" t="str">
        <f t="shared" ref="AC26" si="143">INDEX(Phys_Prop,MATCH(AB26,Chem_List,0),5)</f>
        <v>Select Pet Stock</v>
      </c>
      <c r="AD26" s="36"/>
      <c r="AE26" s="36"/>
      <c r="AF26" s="38">
        <f>1-AF27</f>
        <v>1</v>
      </c>
      <c r="AG26" s="37" t="str">
        <f>AB26</f>
        <v>Jet kerosene</v>
      </c>
      <c r="AH26" s="36" t="str">
        <f t="shared" ref="AH26" si="144">INDEX(Phys_Prop,MATCH(AG26,Chem_List,0),5)</f>
        <v>Select Pet Stock</v>
      </c>
      <c r="AI26" s="36"/>
      <c r="AJ26" s="36"/>
      <c r="AK26" s="38">
        <f>1-AK27</f>
        <v>1</v>
      </c>
      <c r="AL26" s="37" t="str">
        <f>AG26</f>
        <v>Jet kerosene</v>
      </c>
      <c r="AM26" s="36" t="str">
        <f t="shared" ref="AM26" si="145">INDEX(Phys_Prop,MATCH(AL26,Chem_List,0),5)</f>
        <v>Select Pet Stock</v>
      </c>
      <c r="AN26" s="36"/>
      <c r="AO26" s="36"/>
      <c r="AP26" s="38">
        <f>1-AP27</f>
        <v>1</v>
      </c>
      <c r="AQ26" s="37" t="str">
        <f>AL26</f>
        <v>Jet kerosene</v>
      </c>
      <c r="AR26" s="36" t="str">
        <f t="shared" ref="AR26" si="146">INDEX(Phys_Prop,MATCH(AQ26,Chem_List,0),5)</f>
        <v>Select Pet Stock</v>
      </c>
      <c r="AS26" s="36"/>
      <c r="AT26" s="36"/>
      <c r="AU26" s="38">
        <f>1-AU27</f>
        <v>1</v>
      </c>
      <c r="AV26" s="37" t="str">
        <f>AQ26</f>
        <v>Jet kerosene</v>
      </c>
      <c r="AW26" s="36" t="str">
        <f t="shared" ref="AW26" si="147">INDEX(Phys_Prop,MATCH(AV26,Chem_List,0),5)</f>
        <v>Select Pet Stock</v>
      </c>
      <c r="AX26" s="36"/>
      <c r="AY26" s="36"/>
      <c r="AZ26" s="38">
        <f>1-AZ27</f>
        <v>1</v>
      </c>
      <c r="BA26" s="37" t="str">
        <f>AV26</f>
        <v>Jet kerosene</v>
      </c>
      <c r="BB26" s="36" t="str">
        <f t="shared" ref="BB26" si="148">INDEX(Phys_Prop,MATCH(BA26,Chem_List,0),5)</f>
        <v>Select Pet Stock</v>
      </c>
      <c r="BC26" s="36"/>
      <c r="BD26" s="36"/>
      <c r="BE26" s="38">
        <f>1-BE27</f>
        <v>1</v>
      </c>
      <c r="BF26" s="37" t="str">
        <f>BA26</f>
        <v>Jet kerosene</v>
      </c>
      <c r="BG26" s="36" t="str">
        <f t="shared" ref="BG26" si="149">INDEX(Phys_Prop,MATCH(BF26,Chem_List,0),5)</f>
        <v>Select Pet Stock</v>
      </c>
      <c r="BH26" s="36"/>
      <c r="BI26" s="36"/>
      <c r="BJ26" s="38">
        <f>1-BJ27</f>
        <v>1</v>
      </c>
      <c r="BK26" s="37" t="str">
        <f>BF26</f>
        <v>Jet kerosene</v>
      </c>
      <c r="BL26" s="36" t="str">
        <f t="shared" ref="BL26" si="150">INDEX(Phys_Prop,MATCH(BK26,Chem_List,0),5)</f>
        <v>Select Pet Stock</v>
      </c>
      <c r="BM26" s="36"/>
      <c r="BN26" s="36"/>
      <c r="BO26" s="38">
        <f>1-BO27</f>
        <v>1</v>
      </c>
      <c r="BP26" s="37" t="str">
        <f>BK26</f>
        <v>Jet kerosene</v>
      </c>
      <c r="BQ26" s="36" t="str">
        <f t="shared" ref="BQ26" si="151">INDEX(Phys_Prop,MATCH(BP26,Chem_List,0),5)</f>
        <v>Select Pet Stock</v>
      </c>
      <c r="BR26" s="36"/>
      <c r="BS26" s="36"/>
      <c r="BT26" s="38">
        <f>1-BT27</f>
        <v>1</v>
      </c>
      <c r="BU26" s="37" t="str">
        <f>BP26</f>
        <v>Jet kerosene</v>
      </c>
      <c r="BV26" s="36" t="str">
        <f t="shared" ref="BV26" si="152">INDEX(Phys_Prop,MATCH(BU26,Chem_List,0),5)</f>
        <v>Select Pet Stock</v>
      </c>
      <c r="BW26" s="36"/>
      <c r="BX26" s="36"/>
      <c r="BY26" s="38">
        <f>1-BY27</f>
        <v>1</v>
      </c>
      <c r="BZ26" s="561"/>
      <c r="CA26" s="549"/>
      <c r="CB26" s="549"/>
      <c r="CC26" s="549"/>
      <c r="CD26" s="549"/>
      <c r="CE26" s="549"/>
      <c r="CF26" s="549"/>
      <c r="CG26" s="549"/>
      <c r="CH26" s="549"/>
      <c r="CI26" s="549"/>
      <c r="CJ26" s="549"/>
      <c r="CK26" s="549"/>
      <c r="CL26" s="559" cm="1">
        <f t="array" ref="CL26">INDEX(FX_Setup,DA26,DE26)</f>
        <v>11119</v>
      </c>
      <c r="CM26" s="550">
        <f t="shared" ref="CM26:CW26" si="153">CL26</f>
        <v>11119</v>
      </c>
      <c r="CN26" s="550">
        <f t="shared" si="153"/>
        <v>11119</v>
      </c>
      <c r="CO26" s="550">
        <f t="shared" si="153"/>
        <v>11119</v>
      </c>
      <c r="CP26" s="550">
        <f t="shared" si="153"/>
        <v>11119</v>
      </c>
      <c r="CQ26" s="550">
        <f t="shared" si="153"/>
        <v>11119</v>
      </c>
      <c r="CR26" s="550">
        <f t="shared" si="153"/>
        <v>11119</v>
      </c>
      <c r="CS26" s="550">
        <f t="shared" si="153"/>
        <v>11119</v>
      </c>
      <c r="CT26" s="550">
        <f t="shared" si="153"/>
        <v>11119</v>
      </c>
      <c r="CU26" s="550">
        <f t="shared" si="153"/>
        <v>11119</v>
      </c>
      <c r="CV26" s="550">
        <f t="shared" si="153"/>
        <v>11119</v>
      </c>
      <c r="CW26" s="550">
        <f t="shared" si="153"/>
        <v>11119</v>
      </c>
      <c r="CX26" s="562">
        <f t="shared" ref="CX26" si="154">SUM(CL26:CW27)</f>
        <v>133428</v>
      </c>
      <c r="DA26" s="42">
        <f>DA24+1</f>
        <v>10</v>
      </c>
      <c r="DB26">
        <v>7</v>
      </c>
      <c r="DC26">
        <v>6</v>
      </c>
      <c r="DD26">
        <v>5</v>
      </c>
      <c r="DE26">
        <f t="shared" ref="DE26" si="155">DE24</f>
        <v>9</v>
      </c>
    </row>
    <row r="27" spans="2:109" x14ac:dyDescent="0.4">
      <c r="B27" s="504"/>
      <c r="C27" s="546"/>
      <c r="D27" s="547"/>
      <c r="E27" s="548"/>
      <c r="F27" s="549"/>
      <c r="G27" s="549"/>
      <c r="H27" s="550"/>
      <c r="I27" s="549"/>
      <c r="J27" s="549"/>
      <c r="K27" s="549"/>
      <c r="L27" s="549"/>
      <c r="M27" s="549"/>
      <c r="N27" s="549"/>
      <c r="O27" s="549"/>
      <c r="P27" s="549"/>
      <c r="Q27" s="560"/>
      <c r="R27" s="27"/>
      <c r="S27" s="36"/>
      <c r="T27" s="28"/>
      <c r="U27" s="28"/>
      <c r="V27" s="26"/>
      <c r="W27" s="27"/>
      <c r="X27" s="36"/>
      <c r="Y27" s="28"/>
      <c r="Z27" s="28"/>
      <c r="AA27" s="26"/>
      <c r="AB27" s="27"/>
      <c r="AC27" s="36"/>
      <c r="AD27" s="28"/>
      <c r="AE27" s="28"/>
      <c r="AF27" s="26"/>
      <c r="AG27" s="27"/>
      <c r="AH27" s="36"/>
      <c r="AI27" s="28"/>
      <c r="AJ27" s="28"/>
      <c r="AK27" s="26"/>
      <c r="AL27" s="27"/>
      <c r="AM27" s="36"/>
      <c r="AN27" s="28"/>
      <c r="AO27" s="28"/>
      <c r="AP27" s="26"/>
      <c r="AQ27" s="27"/>
      <c r="AR27" s="36"/>
      <c r="AS27" s="28"/>
      <c r="AT27" s="28"/>
      <c r="AU27" s="26"/>
      <c r="AV27" s="27"/>
      <c r="AW27" s="36"/>
      <c r="AX27" s="28"/>
      <c r="AY27" s="28"/>
      <c r="AZ27" s="26"/>
      <c r="BA27" s="27"/>
      <c r="BB27" s="36"/>
      <c r="BC27" s="28"/>
      <c r="BD27" s="28"/>
      <c r="BE27" s="26"/>
      <c r="BF27" s="27"/>
      <c r="BG27" s="36"/>
      <c r="BH27" s="28"/>
      <c r="BI27" s="28"/>
      <c r="BJ27" s="26"/>
      <c r="BK27" s="27"/>
      <c r="BL27" s="36"/>
      <c r="BM27" s="28"/>
      <c r="BN27" s="28"/>
      <c r="BO27" s="26"/>
      <c r="BP27" s="27"/>
      <c r="BQ27" s="36"/>
      <c r="BR27" s="28"/>
      <c r="BS27" s="28"/>
      <c r="BT27" s="26"/>
      <c r="BU27" s="27"/>
      <c r="BV27" s="36"/>
      <c r="BW27" s="28"/>
      <c r="BX27" s="28"/>
      <c r="BY27" s="26"/>
      <c r="BZ27" s="561"/>
      <c r="CA27" s="549"/>
      <c r="CB27" s="549"/>
      <c r="CC27" s="549"/>
      <c r="CD27" s="549"/>
      <c r="CE27" s="549"/>
      <c r="CF27" s="549"/>
      <c r="CG27" s="549"/>
      <c r="CH27" s="549"/>
      <c r="CI27" s="549"/>
      <c r="CJ27" s="549"/>
      <c r="CK27" s="549"/>
      <c r="CL27" s="559"/>
      <c r="CM27" s="550"/>
      <c r="CN27" s="550"/>
      <c r="CO27" s="550"/>
      <c r="CP27" s="550"/>
      <c r="CQ27" s="550"/>
      <c r="CR27" s="550"/>
      <c r="CS27" s="550"/>
      <c r="CT27" s="550"/>
      <c r="CU27" s="550"/>
      <c r="CV27" s="550"/>
      <c r="CW27" s="550"/>
      <c r="CX27" s="562"/>
      <c r="DA27" s="42"/>
    </row>
    <row r="28" spans="2:109" x14ac:dyDescent="0.4">
      <c r="B28" s="504" t="str">
        <f>"FX - "&amp;DA28</f>
        <v>FX - 11</v>
      </c>
      <c r="C28" s="545" t="s">
        <v>1939</v>
      </c>
      <c r="D28" s="547" t="str">
        <f t="shared" ref="D28" si="156">D26</f>
        <v>Portland</v>
      </c>
      <c r="E28" s="548" t="s">
        <v>65</v>
      </c>
      <c r="F28" s="549" cm="1">
        <f t="array" ref="F28">INDEX(FX_Setup,DA28,DB28)</f>
        <v>40</v>
      </c>
      <c r="G28" s="549" cm="1">
        <f t="array" ref="G28">INDEX(FX_Setup,$DA28,DC28)</f>
        <v>32</v>
      </c>
      <c r="H28" s="550" cm="1">
        <f t="array" ref="H28">INDEX(FX_Setup,$DA28,DD28)</f>
        <v>300804</v>
      </c>
      <c r="I28" s="549" t="s">
        <v>27</v>
      </c>
      <c r="J28" s="549"/>
      <c r="K28" s="549"/>
      <c r="L28" s="549" t="s">
        <v>28</v>
      </c>
      <c r="M28" s="549" t="s">
        <v>90</v>
      </c>
      <c r="N28" s="549" t="s">
        <v>28</v>
      </c>
      <c r="O28" s="549" t="s">
        <v>90</v>
      </c>
      <c r="P28" s="549"/>
      <c r="Q28" s="560"/>
      <c r="R28" s="37" t="str" cm="1">
        <f t="array" ref="R28">INDEX(Surrogate_Lst,MATCH(INDEX(FX_Setup,DA28,3),Product_GRP,0),2)</f>
        <v>Out of Service</v>
      </c>
      <c r="S28" s="36" t="str">
        <f t="shared" ref="S28" si="157">INDEX(Phys_Prop,MATCH(R28,Chem_List,0),5)</f>
        <v>N/A</v>
      </c>
      <c r="T28" s="36"/>
      <c r="U28" s="36"/>
      <c r="V28" s="38">
        <f>1-V29</f>
        <v>1</v>
      </c>
      <c r="W28" s="37" t="str">
        <f>R28</f>
        <v>Out of Service</v>
      </c>
      <c r="X28" s="36" t="str">
        <f t="shared" ref="X28" si="158">INDEX(Phys_Prop,MATCH(W28,Chem_List,0),5)</f>
        <v>N/A</v>
      </c>
      <c r="Y28" s="36"/>
      <c r="Z28" s="36"/>
      <c r="AA28" s="38">
        <f>1-AA29</f>
        <v>1</v>
      </c>
      <c r="AB28" s="37" t="str">
        <f>W28</f>
        <v>Out of Service</v>
      </c>
      <c r="AC28" s="36" t="str">
        <f t="shared" ref="AC28" si="159">INDEX(Phys_Prop,MATCH(AB28,Chem_List,0),5)</f>
        <v>N/A</v>
      </c>
      <c r="AD28" s="36"/>
      <c r="AE28" s="36"/>
      <c r="AF28" s="38">
        <f>1-AF29</f>
        <v>1</v>
      </c>
      <c r="AG28" s="37" t="str">
        <f>AB28</f>
        <v>Out of Service</v>
      </c>
      <c r="AH28" s="36" t="str">
        <f t="shared" ref="AH28" si="160">INDEX(Phys_Prop,MATCH(AG28,Chem_List,0),5)</f>
        <v>N/A</v>
      </c>
      <c r="AI28" s="36"/>
      <c r="AJ28" s="36"/>
      <c r="AK28" s="38">
        <f>1-AK29</f>
        <v>1</v>
      </c>
      <c r="AL28" s="37" t="str">
        <f>AG28</f>
        <v>Out of Service</v>
      </c>
      <c r="AM28" s="36" t="str">
        <f t="shared" ref="AM28" si="161">INDEX(Phys_Prop,MATCH(AL28,Chem_List,0),5)</f>
        <v>N/A</v>
      </c>
      <c r="AN28" s="36"/>
      <c r="AO28" s="36"/>
      <c r="AP28" s="38">
        <f>1-AP29</f>
        <v>1</v>
      </c>
      <c r="AQ28" s="37" t="str">
        <f>AL28</f>
        <v>Out of Service</v>
      </c>
      <c r="AR28" s="36" t="str">
        <f t="shared" ref="AR28" si="162">INDEX(Phys_Prop,MATCH(AQ28,Chem_List,0),5)</f>
        <v>N/A</v>
      </c>
      <c r="AS28" s="36"/>
      <c r="AT28" s="36"/>
      <c r="AU28" s="38">
        <f>1-AU29</f>
        <v>1</v>
      </c>
      <c r="AV28" s="37" t="str">
        <f>AQ28</f>
        <v>Out of Service</v>
      </c>
      <c r="AW28" s="36" t="str">
        <f t="shared" ref="AW28" si="163">INDEX(Phys_Prop,MATCH(AV28,Chem_List,0),5)</f>
        <v>N/A</v>
      </c>
      <c r="AX28" s="36"/>
      <c r="AY28" s="36"/>
      <c r="AZ28" s="38">
        <f>1-AZ29</f>
        <v>1</v>
      </c>
      <c r="BA28" s="37" t="str">
        <f>AV28</f>
        <v>Out of Service</v>
      </c>
      <c r="BB28" s="36" t="str">
        <f t="shared" ref="BB28" si="164">INDEX(Phys_Prop,MATCH(BA28,Chem_List,0),5)</f>
        <v>N/A</v>
      </c>
      <c r="BC28" s="36"/>
      <c r="BD28" s="36"/>
      <c r="BE28" s="38">
        <f>1-BE29</f>
        <v>1</v>
      </c>
      <c r="BF28" s="37" t="str">
        <f>BA28</f>
        <v>Out of Service</v>
      </c>
      <c r="BG28" s="36" t="str">
        <f t="shared" ref="BG28" si="165">INDEX(Phys_Prop,MATCH(BF28,Chem_List,0),5)</f>
        <v>N/A</v>
      </c>
      <c r="BH28" s="36"/>
      <c r="BI28" s="36"/>
      <c r="BJ28" s="38">
        <f>1-BJ29</f>
        <v>1</v>
      </c>
      <c r="BK28" s="37" t="str">
        <f>BF28</f>
        <v>Out of Service</v>
      </c>
      <c r="BL28" s="36" t="str">
        <f t="shared" ref="BL28" si="166">INDEX(Phys_Prop,MATCH(BK28,Chem_List,0),5)</f>
        <v>N/A</v>
      </c>
      <c r="BM28" s="36"/>
      <c r="BN28" s="36"/>
      <c r="BO28" s="38">
        <f>1-BO29</f>
        <v>1</v>
      </c>
      <c r="BP28" s="37" t="str">
        <f>BK28</f>
        <v>Out of Service</v>
      </c>
      <c r="BQ28" s="36" t="str">
        <f t="shared" ref="BQ28" si="167">INDEX(Phys_Prop,MATCH(BP28,Chem_List,0),5)</f>
        <v>N/A</v>
      </c>
      <c r="BR28" s="36"/>
      <c r="BS28" s="36"/>
      <c r="BT28" s="38">
        <f>1-BT29</f>
        <v>1</v>
      </c>
      <c r="BU28" s="37" t="str">
        <f>BP28</f>
        <v>Out of Service</v>
      </c>
      <c r="BV28" s="36" t="str">
        <f t="shared" ref="BV28" si="168">INDEX(Phys_Prop,MATCH(BU28,Chem_List,0),5)</f>
        <v>N/A</v>
      </c>
      <c r="BW28" s="36"/>
      <c r="BX28" s="36"/>
      <c r="BY28" s="38">
        <f>1-BY29</f>
        <v>1</v>
      </c>
      <c r="BZ28" s="561"/>
      <c r="CA28" s="549"/>
      <c r="CB28" s="549"/>
      <c r="CC28" s="549"/>
      <c r="CD28" s="549"/>
      <c r="CE28" s="549"/>
      <c r="CF28" s="549"/>
      <c r="CG28" s="549"/>
      <c r="CH28" s="549"/>
      <c r="CI28" s="549"/>
      <c r="CJ28" s="549"/>
      <c r="CK28" s="549"/>
      <c r="CL28" s="567" cm="1">
        <f t="array" ref="CL28">INDEX(FX_Setup,DA28,DE28)</f>
        <v>0</v>
      </c>
      <c r="CM28" s="563">
        <f t="shared" ref="CM28:CW28" si="169">CL28</f>
        <v>0</v>
      </c>
      <c r="CN28" s="563">
        <f t="shared" si="169"/>
        <v>0</v>
      </c>
      <c r="CO28" s="563">
        <f t="shared" si="169"/>
        <v>0</v>
      </c>
      <c r="CP28" s="563">
        <f t="shared" si="169"/>
        <v>0</v>
      </c>
      <c r="CQ28" s="563">
        <f t="shared" si="169"/>
        <v>0</v>
      </c>
      <c r="CR28" s="563">
        <f t="shared" si="169"/>
        <v>0</v>
      </c>
      <c r="CS28" s="563">
        <f t="shared" si="169"/>
        <v>0</v>
      </c>
      <c r="CT28" s="563">
        <f t="shared" si="169"/>
        <v>0</v>
      </c>
      <c r="CU28" s="563">
        <f t="shared" si="169"/>
        <v>0</v>
      </c>
      <c r="CV28" s="563">
        <f t="shared" si="169"/>
        <v>0</v>
      </c>
      <c r="CW28" s="563">
        <f t="shared" si="169"/>
        <v>0</v>
      </c>
      <c r="CX28" s="565">
        <f t="shared" ref="CX28" si="170">SUM(CL28:CW29)</f>
        <v>0</v>
      </c>
      <c r="DA28" s="42">
        <f>DA26+1</f>
        <v>11</v>
      </c>
      <c r="DB28">
        <v>7</v>
      </c>
      <c r="DC28">
        <v>6</v>
      </c>
      <c r="DD28">
        <v>5</v>
      </c>
      <c r="DE28">
        <f t="shared" ref="DE28" si="171">DE26</f>
        <v>9</v>
      </c>
    </row>
    <row r="29" spans="2:109" x14ac:dyDescent="0.4">
      <c r="B29" s="504"/>
      <c r="C29" s="546"/>
      <c r="D29" s="547"/>
      <c r="E29" s="548"/>
      <c r="F29" s="549"/>
      <c r="G29" s="549"/>
      <c r="H29" s="550"/>
      <c r="I29" s="549"/>
      <c r="J29" s="549"/>
      <c r="K29" s="549"/>
      <c r="L29" s="549"/>
      <c r="M29" s="549"/>
      <c r="N29" s="549"/>
      <c r="O29" s="549"/>
      <c r="P29" s="549"/>
      <c r="Q29" s="560"/>
      <c r="R29" s="27"/>
      <c r="S29" s="36"/>
      <c r="T29" s="28"/>
      <c r="U29" s="28"/>
      <c r="V29" s="26"/>
      <c r="W29" s="27"/>
      <c r="X29" s="36"/>
      <c r="Y29" s="28"/>
      <c r="Z29" s="28"/>
      <c r="AA29" s="26"/>
      <c r="AB29" s="27"/>
      <c r="AC29" s="36"/>
      <c r="AD29" s="28"/>
      <c r="AE29" s="28"/>
      <c r="AF29" s="26"/>
      <c r="AG29" s="27"/>
      <c r="AH29" s="36"/>
      <c r="AI29" s="28"/>
      <c r="AJ29" s="28"/>
      <c r="AK29" s="26"/>
      <c r="AL29" s="27"/>
      <c r="AM29" s="36"/>
      <c r="AN29" s="28"/>
      <c r="AO29" s="28"/>
      <c r="AP29" s="26"/>
      <c r="AQ29" s="27"/>
      <c r="AR29" s="36"/>
      <c r="AS29" s="28"/>
      <c r="AT29" s="28"/>
      <c r="AU29" s="26"/>
      <c r="AV29" s="27"/>
      <c r="AW29" s="36"/>
      <c r="AX29" s="28"/>
      <c r="AY29" s="28"/>
      <c r="AZ29" s="26"/>
      <c r="BA29" s="27"/>
      <c r="BB29" s="36"/>
      <c r="BC29" s="28"/>
      <c r="BD29" s="28"/>
      <c r="BE29" s="26"/>
      <c r="BF29" s="27"/>
      <c r="BG29" s="36"/>
      <c r="BH29" s="28"/>
      <c r="BI29" s="28"/>
      <c r="BJ29" s="26"/>
      <c r="BK29" s="27"/>
      <c r="BL29" s="36"/>
      <c r="BM29" s="28"/>
      <c r="BN29" s="28"/>
      <c r="BO29" s="26"/>
      <c r="BP29" s="27"/>
      <c r="BQ29" s="36"/>
      <c r="BR29" s="28"/>
      <c r="BS29" s="28"/>
      <c r="BT29" s="26"/>
      <c r="BU29" s="27"/>
      <c r="BV29" s="36"/>
      <c r="BW29" s="28"/>
      <c r="BX29" s="28"/>
      <c r="BY29" s="26"/>
      <c r="BZ29" s="561"/>
      <c r="CA29" s="549"/>
      <c r="CB29" s="549"/>
      <c r="CC29" s="549"/>
      <c r="CD29" s="549"/>
      <c r="CE29" s="549"/>
      <c r="CF29" s="549"/>
      <c r="CG29" s="549"/>
      <c r="CH29" s="549"/>
      <c r="CI29" s="549"/>
      <c r="CJ29" s="549"/>
      <c r="CK29" s="549"/>
      <c r="CL29" s="568"/>
      <c r="CM29" s="564"/>
      <c r="CN29" s="564"/>
      <c r="CO29" s="564"/>
      <c r="CP29" s="564"/>
      <c r="CQ29" s="564"/>
      <c r="CR29" s="564"/>
      <c r="CS29" s="564"/>
      <c r="CT29" s="564"/>
      <c r="CU29" s="564"/>
      <c r="CV29" s="564"/>
      <c r="CW29" s="564"/>
      <c r="CX29" s="566"/>
      <c r="DA29" s="42"/>
    </row>
    <row r="30" spans="2:109" x14ac:dyDescent="0.4">
      <c r="B30" s="504" t="str">
        <f>"FX - "&amp;DA30</f>
        <v>FX - 12</v>
      </c>
      <c r="C30" s="545" t="s">
        <v>1940</v>
      </c>
      <c r="D30" s="547" t="str">
        <f t="shared" ref="D30" si="172">D28</f>
        <v>Portland</v>
      </c>
      <c r="E30" s="548" t="s">
        <v>65</v>
      </c>
      <c r="F30" s="549" cm="1">
        <f t="array" ref="F30">INDEX(FX_Setup,DA30,DB30)</f>
        <v>84</v>
      </c>
      <c r="G30" s="549" cm="1">
        <f t="array" ref="G30">INDEX(FX_Setup,$DA30,DC30)</f>
        <v>32</v>
      </c>
      <c r="H30" s="550" cm="1">
        <f t="array" ref="H30">INDEX(FX_Setup,$DA30,DD30)</f>
        <v>1326486</v>
      </c>
      <c r="I30" s="549" t="s">
        <v>27</v>
      </c>
      <c r="J30" s="549"/>
      <c r="K30" s="549"/>
      <c r="L30" s="549" t="s">
        <v>28</v>
      </c>
      <c r="M30" s="549" t="s">
        <v>90</v>
      </c>
      <c r="N30" s="549" t="s">
        <v>28</v>
      </c>
      <c r="O30" s="549" t="s">
        <v>90</v>
      </c>
      <c r="P30" s="549"/>
      <c r="Q30" s="560"/>
      <c r="R30" s="37" t="str" cm="1">
        <f t="array" ref="R30">INDEX(Surrogate_Lst,MATCH(INDEX(FX_Setup,DA30,3),Product_GRP,0),2)</f>
        <v>Jet kerosene</v>
      </c>
      <c r="S30" s="36" t="str">
        <f t="shared" ref="S30" si="173">INDEX(Phys_Prop,MATCH(R30,Chem_List,0),5)</f>
        <v>Select Pet Stock</v>
      </c>
      <c r="T30" s="36"/>
      <c r="U30" s="36"/>
      <c r="V30" s="38">
        <f>1-V31</f>
        <v>1</v>
      </c>
      <c r="W30" s="37" t="str">
        <f>R30</f>
        <v>Jet kerosene</v>
      </c>
      <c r="X30" s="36" t="str">
        <f t="shared" ref="X30" si="174">INDEX(Phys_Prop,MATCH(W30,Chem_List,0),5)</f>
        <v>Select Pet Stock</v>
      </c>
      <c r="Y30" s="36"/>
      <c r="Z30" s="36"/>
      <c r="AA30" s="38">
        <f>1-AA31</f>
        <v>1</v>
      </c>
      <c r="AB30" s="37" t="str">
        <f>W30</f>
        <v>Jet kerosene</v>
      </c>
      <c r="AC30" s="36" t="str">
        <f t="shared" ref="AC30" si="175">INDEX(Phys_Prop,MATCH(AB30,Chem_List,0),5)</f>
        <v>Select Pet Stock</v>
      </c>
      <c r="AD30" s="36"/>
      <c r="AE30" s="36"/>
      <c r="AF30" s="38">
        <f>1-AF31</f>
        <v>1</v>
      </c>
      <c r="AG30" s="37" t="str">
        <f>AB30</f>
        <v>Jet kerosene</v>
      </c>
      <c r="AH30" s="36" t="str">
        <f t="shared" ref="AH30" si="176">INDEX(Phys_Prop,MATCH(AG30,Chem_List,0),5)</f>
        <v>Select Pet Stock</v>
      </c>
      <c r="AI30" s="36"/>
      <c r="AJ30" s="36"/>
      <c r="AK30" s="38">
        <f>1-AK31</f>
        <v>1</v>
      </c>
      <c r="AL30" s="37" t="str">
        <f>AG30</f>
        <v>Jet kerosene</v>
      </c>
      <c r="AM30" s="36" t="str">
        <f t="shared" ref="AM30" si="177">INDEX(Phys_Prop,MATCH(AL30,Chem_List,0),5)</f>
        <v>Select Pet Stock</v>
      </c>
      <c r="AN30" s="36"/>
      <c r="AO30" s="36"/>
      <c r="AP30" s="38">
        <f>1-AP31</f>
        <v>1</v>
      </c>
      <c r="AQ30" s="37" t="str">
        <f>AL30</f>
        <v>Jet kerosene</v>
      </c>
      <c r="AR30" s="36" t="str">
        <f t="shared" ref="AR30" si="178">INDEX(Phys_Prop,MATCH(AQ30,Chem_List,0),5)</f>
        <v>Select Pet Stock</v>
      </c>
      <c r="AS30" s="36"/>
      <c r="AT30" s="36"/>
      <c r="AU30" s="38">
        <f>1-AU31</f>
        <v>1</v>
      </c>
      <c r="AV30" s="37" t="str">
        <f>AQ30</f>
        <v>Jet kerosene</v>
      </c>
      <c r="AW30" s="36" t="str">
        <f t="shared" ref="AW30" si="179">INDEX(Phys_Prop,MATCH(AV30,Chem_List,0),5)</f>
        <v>Select Pet Stock</v>
      </c>
      <c r="AX30" s="36"/>
      <c r="AY30" s="36"/>
      <c r="AZ30" s="38">
        <f>1-AZ31</f>
        <v>1</v>
      </c>
      <c r="BA30" s="37" t="str">
        <f>AV30</f>
        <v>Jet kerosene</v>
      </c>
      <c r="BB30" s="36" t="str">
        <f t="shared" ref="BB30" si="180">INDEX(Phys_Prop,MATCH(BA30,Chem_List,0),5)</f>
        <v>Select Pet Stock</v>
      </c>
      <c r="BC30" s="36"/>
      <c r="BD30" s="36"/>
      <c r="BE30" s="38">
        <f>1-BE31</f>
        <v>1</v>
      </c>
      <c r="BF30" s="37" t="str">
        <f>BA30</f>
        <v>Jet kerosene</v>
      </c>
      <c r="BG30" s="36" t="str">
        <f t="shared" ref="BG30" si="181">INDEX(Phys_Prop,MATCH(BF30,Chem_List,0),5)</f>
        <v>Select Pet Stock</v>
      </c>
      <c r="BH30" s="36"/>
      <c r="BI30" s="36"/>
      <c r="BJ30" s="38">
        <f>1-BJ31</f>
        <v>1</v>
      </c>
      <c r="BK30" s="37" t="str">
        <f>BF30</f>
        <v>Jet kerosene</v>
      </c>
      <c r="BL30" s="36" t="str">
        <f t="shared" ref="BL30" si="182">INDEX(Phys_Prop,MATCH(BK30,Chem_List,0),5)</f>
        <v>Select Pet Stock</v>
      </c>
      <c r="BM30" s="36"/>
      <c r="BN30" s="36"/>
      <c r="BO30" s="38">
        <f>1-BO31</f>
        <v>1</v>
      </c>
      <c r="BP30" s="37" t="str">
        <f>BK30</f>
        <v>Jet kerosene</v>
      </c>
      <c r="BQ30" s="36" t="str">
        <f t="shared" ref="BQ30" si="183">INDEX(Phys_Prop,MATCH(BP30,Chem_List,0),5)</f>
        <v>Select Pet Stock</v>
      </c>
      <c r="BR30" s="36"/>
      <c r="BS30" s="36"/>
      <c r="BT30" s="38">
        <f>1-BT31</f>
        <v>1</v>
      </c>
      <c r="BU30" s="37" t="str">
        <f>BP30</f>
        <v>Jet kerosene</v>
      </c>
      <c r="BV30" s="36" t="str">
        <f t="shared" ref="BV30" si="184">INDEX(Phys_Prop,MATCH(BU30,Chem_List,0),5)</f>
        <v>Select Pet Stock</v>
      </c>
      <c r="BW30" s="36"/>
      <c r="BX30" s="36"/>
      <c r="BY30" s="38">
        <f>1-BY31</f>
        <v>1</v>
      </c>
      <c r="BZ30" s="561"/>
      <c r="CA30" s="549"/>
      <c r="CB30" s="549"/>
      <c r="CC30" s="549"/>
      <c r="CD30" s="549"/>
      <c r="CE30" s="549"/>
      <c r="CF30" s="549"/>
      <c r="CG30" s="549"/>
      <c r="CH30" s="549"/>
      <c r="CI30" s="549"/>
      <c r="CJ30" s="549"/>
      <c r="CK30" s="549"/>
      <c r="CL30" s="559" cm="1">
        <f t="array" ref="CL30">INDEX(FX_Setup,DA30,DE30)</f>
        <v>31583</v>
      </c>
      <c r="CM30" s="550">
        <f t="shared" ref="CM30:CW30" si="185">CL30</f>
        <v>31583</v>
      </c>
      <c r="CN30" s="550">
        <f t="shared" si="185"/>
        <v>31583</v>
      </c>
      <c r="CO30" s="550">
        <f t="shared" si="185"/>
        <v>31583</v>
      </c>
      <c r="CP30" s="550">
        <f t="shared" si="185"/>
        <v>31583</v>
      </c>
      <c r="CQ30" s="550">
        <f t="shared" si="185"/>
        <v>31583</v>
      </c>
      <c r="CR30" s="550">
        <f t="shared" si="185"/>
        <v>31583</v>
      </c>
      <c r="CS30" s="550">
        <f t="shared" si="185"/>
        <v>31583</v>
      </c>
      <c r="CT30" s="550">
        <f t="shared" si="185"/>
        <v>31583</v>
      </c>
      <c r="CU30" s="550">
        <f t="shared" si="185"/>
        <v>31583</v>
      </c>
      <c r="CV30" s="550">
        <f t="shared" si="185"/>
        <v>31583</v>
      </c>
      <c r="CW30" s="550">
        <f t="shared" si="185"/>
        <v>31583</v>
      </c>
      <c r="CX30" s="562">
        <f t="shared" ref="CX30" si="186">SUM(CL30:CW31)</f>
        <v>378996</v>
      </c>
      <c r="DA30" s="42">
        <f>DA28+1</f>
        <v>12</v>
      </c>
      <c r="DB30">
        <v>7</v>
      </c>
      <c r="DC30">
        <v>6</v>
      </c>
      <c r="DD30">
        <v>5</v>
      </c>
      <c r="DE30">
        <f t="shared" ref="DE30" si="187">DE28</f>
        <v>9</v>
      </c>
    </row>
    <row r="31" spans="2:109" x14ac:dyDescent="0.4">
      <c r="B31" s="504"/>
      <c r="C31" s="546"/>
      <c r="D31" s="547"/>
      <c r="E31" s="548"/>
      <c r="F31" s="549"/>
      <c r="G31" s="549"/>
      <c r="H31" s="550"/>
      <c r="I31" s="549"/>
      <c r="J31" s="549"/>
      <c r="K31" s="549"/>
      <c r="L31" s="549"/>
      <c r="M31" s="549"/>
      <c r="N31" s="549"/>
      <c r="O31" s="549"/>
      <c r="P31" s="549"/>
      <c r="Q31" s="560"/>
      <c r="R31" s="27"/>
      <c r="S31" s="36"/>
      <c r="T31" s="28"/>
      <c r="U31" s="28"/>
      <c r="V31" s="26"/>
      <c r="W31" s="27"/>
      <c r="X31" s="36"/>
      <c r="Y31" s="28"/>
      <c r="Z31" s="28"/>
      <c r="AA31" s="26"/>
      <c r="AB31" s="27"/>
      <c r="AC31" s="36"/>
      <c r="AD31" s="28"/>
      <c r="AE31" s="28"/>
      <c r="AF31" s="26"/>
      <c r="AG31" s="27"/>
      <c r="AH31" s="36"/>
      <c r="AI31" s="28"/>
      <c r="AJ31" s="28"/>
      <c r="AK31" s="26"/>
      <c r="AL31" s="27"/>
      <c r="AM31" s="36"/>
      <c r="AN31" s="28"/>
      <c r="AO31" s="28"/>
      <c r="AP31" s="26"/>
      <c r="AQ31" s="27"/>
      <c r="AR31" s="36"/>
      <c r="AS31" s="28"/>
      <c r="AT31" s="28"/>
      <c r="AU31" s="26"/>
      <c r="AV31" s="27"/>
      <c r="AW31" s="36"/>
      <c r="AX31" s="28"/>
      <c r="AY31" s="28"/>
      <c r="AZ31" s="26"/>
      <c r="BA31" s="27"/>
      <c r="BB31" s="36"/>
      <c r="BC31" s="28"/>
      <c r="BD31" s="28"/>
      <c r="BE31" s="26"/>
      <c r="BF31" s="27"/>
      <c r="BG31" s="36"/>
      <c r="BH31" s="28"/>
      <c r="BI31" s="28"/>
      <c r="BJ31" s="26"/>
      <c r="BK31" s="27"/>
      <c r="BL31" s="36"/>
      <c r="BM31" s="28"/>
      <c r="BN31" s="28"/>
      <c r="BO31" s="26"/>
      <c r="BP31" s="27"/>
      <c r="BQ31" s="36"/>
      <c r="BR31" s="28"/>
      <c r="BS31" s="28"/>
      <c r="BT31" s="26"/>
      <c r="BU31" s="27"/>
      <c r="BV31" s="36"/>
      <c r="BW31" s="28"/>
      <c r="BX31" s="28"/>
      <c r="BY31" s="26"/>
      <c r="BZ31" s="561"/>
      <c r="CA31" s="549"/>
      <c r="CB31" s="549"/>
      <c r="CC31" s="549"/>
      <c r="CD31" s="549"/>
      <c r="CE31" s="549"/>
      <c r="CF31" s="549"/>
      <c r="CG31" s="549"/>
      <c r="CH31" s="549"/>
      <c r="CI31" s="549"/>
      <c r="CJ31" s="549"/>
      <c r="CK31" s="549"/>
      <c r="CL31" s="559"/>
      <c r="CM31" s="550"/>
      <c r="CN31" s="550"/>
      <c r="CO31" s="550"/>
      <c r="CP31" s="550"/>
      <c r="CQ31" s="550"/>
      <c r="CR31" s="550"/>
      <c r="CS31" s="550"/>
      <c r="CT31" s="550"/>
      <c r="CU31" s="550"/>
      <c r="CV31" s="550"/>
      <c r="CW31" s="550"/>
      <c r="CX31" s="562"/>
      <c r="DA31" s="42"/>
    </row>
    <row r="32" spans="2:109" x14ac:dyDescent="0.4">
      <c r="B32" s="504" t="str">
        <f>"FX - "&amp;DA32</f>
        <v>FX - 13</v>
      </c>
      <c r="C32" s="545" t="s">
        <v>1941</v>
      </c>
      <c r="D32" s="547" t="str">
        <f t="shared" ref="D32" si="188">D30</f>
        <v>Portland</v>
      </c>
      <c r="E32" s="548" t="s">
        <v>65</v>
      </c>
      <c r="F32" s="549" cm="1">
        <f t="array" ref="F32">INDEX(FX_Setup,DA32,DB32)</f>
        <v>60</v>
      </c>
      <c r="G32" s="549" cm="1">
        <f t="array" ref="G32">INDEX(FX_Setup,$DA32,DC32)</f>
        <v>32</v>
      </c>
      <c r="H32" s="550" cm="1">
        <f t="array" ref="H32">INDEX(FX_Setup,$DA32,DD32)</f>
        <v>657846</v>
      </c>
      <c r="I32" s="549" t="s">
        <v>27</v>
      </c>
      <c r="J32" s="549"/>
      <c r="K32" s="549"/>
      <c r="L32" s="549" t="s">
        <v>28</v>
      </c>
      <c r="M32" s="549" t="s">
        <v>90</v>
      </c>
      <c r="N32" s="549" t="s">
        <v>1973</v>
      </c>
      <c r="O32" s="549" t="s">
        <v>90</v>
      </c>
      <c r="P32" s="549"/>
      <c r="Q32" s="560"/>
      <c r="R32" s="37" t="str" cm="1">
        <f t="array" ref="R32">INDEX(Surrogate_Lst,MATCH(INDEX(FX_Setup,DA32,3),Product_GRP,0),2)</f>
        <v>Out of Service</v>
      </c>
      <c r="S32" s="36" t="str">
        <f t="shared" ref="S32" si="189">INDEX(Phys_Prop,MATCH(R32,Chem_List,0),5)</f>
        <v>N/A</v>
      </c>
      <c r="T32" s="36"/>
      <c r="U32" s="36"/>
      <c r="V32" s="38">
        <f>1-V33</f>
        <v>1</v>
      </c>
      <c r="W32" s="37" t="str">
        <f>R32</f>
        <v>Out of Service</v>
      </c>
      <c r="X32" s="36" t="str">
        <f t="shared" ref="X32" si="190">INDEX(Phys_Prop,MATCH(W32,Chem_List,0),5)</f>
        <v>N/A</v>
      </c>
      <c r="Y32" s="36"/>
      <c r="Z32" s="36"/>
      <c r="AA32" s="38">
        <f>1-AA33</f>
        <v>1</v>
      </c>
      <c r="AB32" s="37" t="str">
        <f>W32</f>
        <v>Out of Service</v>
      </c>
      <c r="AC32" s="36" t="str">
        <f t="shared" ref="AC32" si="191">INDEX(Phys_Prop,MATCH(AB32,Chem_List,0),5)</f>
        <v>N/A</v>
      </c>
      <c r="AD32" s="36"/>
      <c r="AE32" s="36"/>
      <c r="AF32" s="38">
        <f>1-AF33</f>
        <v>1</v>
      </c>
      <c r="AG32" s="37" t="str">
        <f>AB32</f>
        <v>Out of Service</v>
      </c>
      <c r="AH32" s="36" t="str">
        <f t="shared" ref="AH32" si="192">INDEX(Phys_Prop,MATCH(AG32,Chem_List,0),5)</f>
        <v>N/A</v>
      </c>
      <c r="AI32" s="36"/>
      <c r="AJ32" s="36"/>
      <c r="AK32" s="38">
        <f>1-AK33</f>
        <v>1</v>
      </c>
      <c r="AL32" s="37" t="str">
        <f>AG32</f>
        <v>Out of Service</v>
      </c>
      <c r="AM32" s="36" t="str">
        <f t="shared" ref="AM32" si="193">INDEX(Phys_Prop,MATCH(AL32,Chem_List,0),5)</f>
        <v>N/A</v>
      </c>
      <c r="AN32" s="36"/>
      <c r="AO32" s="36"/>
      <c r="AP32" s="38">
        <f>1-AP33</f>
        <v>1</v>
      </c>
      <c r="AQ32" s="37" t="str">
        <f>AL32</f>
        <v>Out of Service</v>
      </c>
      <c r="AR32" s="36" t="str">
        <f t="shared" ref="AR32" si="194">INDEX(Phys_Prop,MATCH(AQ32,Chem_List,0),5)</f>
        <v>N/A</v>
      </c>
      <c r="AS32" s="36"/>
      <c r="AT32" s="36"/>
      <c r="AU32" s="38">
        <f>1-AU33</f>
        <v>1</v>
      </c>
      <c r="AV32" s="37" t="str">
        <f>AQ32</f>
        <v>Out of Service</v>
      </c>
      <c r="AW32" s="36" t="str">
        <f t="shared" ref="AW32" si="195">INDEX(Phys_Prop,MATCH(AV32,Chem_List,0),5)</f>
        <v>N/A</v>
      </c>
      <c r="AX32" s="36"/>
      <c r="AY32" s="36"/>
      <c r="AZ32" s="38">
        <f>1-AZ33</f>
        <v>1</v>
      </c>
      <c r="BA32" s="37" t="str">
        <f>AV32</f>
        <v>Out of Service</v>
      </c>
      <c r="BB32" s="36" t="str">
        <f t="shared" ref="BB32" si="196">INDEX(Phys_Prop,MATCH(BA32,Chem_List,0),5)</f>
        <v>N/A</v>
      </c>
      <c r="BC32" s="36"/>
      <c r="BD32" s="36"/>
      <c r="BE32" s="38">
        <f>1-BE33</f>
        <v>1</v>
      </c>
      <c r="BF32" s="37" t="str">
        <f>BA32</f>
        <v>Out of Service</v>
      </c>
      <c r="BG32" s="36" t="str">
        <f t="shared" ref="BG32" si="197">INDEX(Phys_Prop,MATCH(BF32,Chem_List,0),5)</f>
        <v>N/A</v>
      </c>
      <c r="BH32" s="36"/>
      <c r="BI32" s="36"/>
      <c r="BJ32" s="38">
        <f>1-BJ33</f>
        <v>1</v>
      </c>
      <c r="BK32" s="37" t="str">
        <f>BF32</f>
        <v>Out of Service</v>
      </c>
      <c r="BL32" s="36" t="str">
        <f t="shared" ref="BL32" si="198">INDEX(Phys_Prop,MATCH(BK32,Chem_List,0),5)</f>
        <v>N/A</v>
      </c>
      <c r="BM32" s="36"/>
      <c r="BN32" s="36"/>
      <c r="BO32" s="38">
        <f>1-BO33</f>
        <v>1</v>
      </c>
      <c r="BP32" s="37" t="str">
        <f>BK32</f>
        <v>Out of Service</v>
      </c>
      <c r="BQ32" s="36" t="str">
        <f t="shared" ref="BQ32" si="199">INDEX(Phys_Prop,MATCH(BP32,Chem_List,0),5)</f>
        <v>N/A</v>
      </c>
      <c r="BR32" s="36"/>
      <c r="BS32" s="36"/>
      <c r="BT32" s="38">
        <f>1-BT33</f>
        <v>1</v>
      </c>
      <c r="BU32" s="37" t="str">
        <f>BP32</f>
        <v>Out of Service</v>
      </c>
      <c r="BV32" s="36" t="str">
        <f t="shared" ref="BV32" si="200">INDEX(Phys_Prop,MATCH(BU32,Chem_List,0),5)</f>
        <v>N/A</v>
      </c>
      <c r="BW32" s="36"/>
      <c r="BX32" s="36"/>
      <c r="BY32" s="38">
        <f>1-BY33</f>
        <v>1</v>
      </c>
      <c r="BZ32" s="561"/>
      <c r="CA32" s="549"/>
      <c r="CB32" s="549"/>
      <c r="CC32" s="549"/>
      <c r="CD32" s="549"/>
      <c r="CE32" s="549"/>
      <c r="CF32" s="549"/>
      <c r="CG32" s="549"/>
      <c r="CH32" s="549"/>
      <c r="CI32" s="549"/>
      <c r="CJ32" s="549"/>
      <c r="CK32" s="549"/>
      <c r="CL32" s="559" cm="1">
        <f t="array" ref="CL32">INDEX(FX_Setup,DA32,DE32)</f>
        <v>0</v>
      </c>
      <c r="CM32" s="550">
        <f t="shared" ref="CM32:CW32" si="201">CL32</f>
        <v>0</v>
      </c>
      <c r="CN32" s="550">
        <f t="shared" si="201"/>
        <v>0</v>
      </c>
      <c r="CO32" s="550">
        <f t="shared" si="201"/>
        <v>0</v>
      </c>
      <c r="CP32" s="550">
        <f t="shared" si="201"/>
        <v>0</v>
      </c>
      <c r="CQ32" s="550">
        <f t="shared" si="201"/>
        <v>0</v>
      </c>
      <c r="CR32" s="550">
        <f t="shared" si="201"/>
        <v>0</v>
      </c>
      <c r="CS32" s="550">
        <f t="shared" si="201"/>
        <v>0</v>
      </c>
      <c r="CT32" s="550">
        <f t="shared" si="201"/>
        <v>0</v>
      </c>
      <c r="CU32" s="550">
        <f t="shared" si="201"/>
        <v>0</v>
      </c>
      <c r="CV32" s="550">
        <f t="shared" si="201"/>
        <v>0</v>
      </c>
      <c r="CW32" s="550">
        <f t="shared" si="201"/>
        <v>0</v>
      </c>
      <c r="CX32" s="562">
        <f t="shared" ref="CX32" si="202">SUM(CL32:CW33)</f>
        <v>0</v>
      </c>
      <c r="DA32" s="42">
        <f>DA30+1</f>
        <v>13</v>
      </c>
      <c r="DB32">
        <v>7</v>
      </c>
      <c r="DC32">
        <v>6</v>
      </c>
      <c r="DD32">
        <v>5</v>
      </c>
      <c r="DE32">
        <f t="shared" ref="DE32" si="203">DE30</f>
        <v>9</v>
      </c>
    </row>
    <row r="33" spans="2:109" x14ac:dyDescent="0.4">
      <c r="B33" s="504"/>
      <c r="C33" s="546"/>
      <c r="D33" s="547"/>
      <c r="E33" s="548"/>
      <c r="F33" s="549"/>
      <c r="G33" s="549"/>
      <c r="H33" s="550"/>
      <c r="I33" s="549"/>
      <c r="J33" s="549"/>
      <c r="K33" s="549"/>
      <c r="L33" s="549"/>
      <c r="M33" s="549"/>
      <c r="N33" s="549"/>
      <c r="O33" s="549"/>
      <c r="P33" s="549"/>
      <c r="Q33" s="560"/>
      <c r="R33" s="27"/>
      <c r="S33" s="36"/>
      <c r="T33" s="28"/>
      <c r="U33" s="28"/>
      <c r="V33" s="26"/>
      <c r="W33" s="27"/>
      <c r="X33" s="36"/>
      <c r="Y33" s="28"/>
      <c r="Z33" s="28"/>
      <c r="AA33" s="26"/>
      <c r="AB33" s="27"/>
      <c r="AC33" s="36"/>
      <c r="AD33" s="28"/>
      <c r="AE33" s="28"/>
      <c r="AF33" s="26"/>
      <c r="AG33" s="27"/>
      <c r="AH33" s="36"/>
      <c r="AI33" s="28"/>
      <c r="AJ33" s="28"/>
      <c r="AK33" s="26"/>
      <c r="AL33" s="27"/>
      <c r="AM33" s="36"/>
      <c r="AN33" s="28"/>
      <c r="AO33" s="28"/>
      <c r="AP33" s="26"/>
      <c r="AQ33" s="27"/>
      <c r="AR33" s="36"/>
      <c r="AS33" s="28"/>
      <c r="AT33" s="28"/>
      <c r="AU33" s="26"/>
      <c r="AV33" s="27"/>
      <c r="AW33" s="36"/>
      <c r="AX33" s="28"/>
      <c r="AY33" s="28"/>
      <c r="AZ33" s="26"/>
      <c r="BA33" s="27"/>
      <c r="BB33" s="36"/>
      <c r="BC33" s="28"/>
      <c r="BD33" s="28"/>
      <c r="BE33" s="26"/>
      <c r="BF33" s="27"/>
      <c r="BG33" s="36"/>
      <c r="BH33" s="28"/>
      <c r="BI33" s="28"/>
      <c r="BJ33" s="26"/>
      <c r="BK33" s="27"/>
      <c r="BL33" s="36"/>
      <c r="BM33" s="28"/>
      <c r="BN33" s="28"/>
      <c r="BO33" s="26"/>
      <c r="BP33" s="27"/>
      <c r="BQ33" s="36"/>
      <c r="BR33" s="28"/>
      <c r="BS33" s="28"/>
      <c r="BT33" s="26"/>
      <c r="BU33" s="27"/>
      <c r="BV33" s="36"/>
      <c r="BW33" s="28"/>
      <c r="BX33" s="28"/>
      <c r="BY33" s="26"/>
      <c r="BZ33" s="561"/>
      <c r="CA33" s="549"/>
      <c r="CB33" s="549"/>
      <c r="CC33" s="549"/>
      <c r="CD33" s="549"/>
      <c r="CE33" s="549"/>
      <c r="CF33" s="549"/>
      <c r="CG33" s="549"/>
      <c r="CH33" s="549"/>
      <c r="CI33" s="549"/>
      <c r="CJ33" s="549"/>
      <c r="CK33" s="549"/>
      <c r="CL33" s="559"/>
      <c r="CM33" s="550"/>
      <c r="CN33" s="550"/>
      <c r="CO33" s="550"/>
      <c r="CP33" s="550"/>
      <c r="CQ33" s="550"/>
      <c r="CR33" s="550"/>
      <c r="CS33" s="550"/>
      <c r="CT33" s="550"/>
      <c r="CU33" s="550"/>
      <c r="CV33" s="550"/>
      <c r="CW33" s="550"/>
      <c r="CX33" s="562"/>
      <c r="DA33" s="42"/>
    </row>
    <row r="34" spans="2:109" x14ac:dyDescent="0.4">
      <c r="B34" s="504" t="str">
        <f>"FX - "&amp;DA34</f>
        <v>FX - 14</v>
      </c>
      <c r="C34" s="545" t="s">
        <v>1942</v>
      </c>
      <c r="D34" s="547" t="str">
        <f t="shared" ref="D34" si="204">D32</f>
        <v>Portland</v>
      </c>
      <c r="E34" s="548" t="s">
        <v>65</v>
      </c>
      <c r="F34" s="549" cm="1">
        <f t="array" ref="F34">INDEX(FX_Setup,DA34,DB34)</f>
        <v>32</v>
      </c>
      <c r="G34" s="549" cm="1">
        <f t="array" ref="G34">INDEX(FX_Setup,$DA34,DC34)</f>
        <v>32</v>
      </c>
      <c r="H34" s="550" cm="1">
        <f t="array" ref="H34">INDEX(FX_Setup,$DA34,DD34)</f>
        <v>192486</v>
      </c>
      <c r="I34" s="549" t="s">
        <v>27</v>
      </c>
      <c r="J34" s="549"/>
      <c r="K34" s="549"/>
      <c r="L34" s="549" t="s">
        <v>1973</v>
      </c>
      <c r="M34" s="549" t="s">
        <v>90</v>
      </c>
      <c r="N34" s="549" t="s">
        <v>1973</v>
      </c>
      <c r="O34" s="549" t="s">
        <v>90</v>
      </c>
      <c r="P34" s="549"/>
      <c r="Q34" s="560"/>
      <c r="R34" s="37" t="str" cm="1">
        <f t="array" ref="R34">INDEX(Surrogate_Lst,MATCH(INDEX(FX_Setup,DA34,3),Product_GRP,0),2)</f>
        <v>Jet kerosene</v>
      </c>
      <c r="S34" s="36" t="str">
        <f t="shared" ref="S34" si="205">INDEX(Phys_Prop,MATCH(R34,Chem_List,0),5)</f>
        <v>Select Pet Stock</v>
      </c>
      <c r="T34" s="36"/>
      <c r="U34" s="36"/>
      <c r="V34" s="38">
        <f>1-V35</f>
        <v>1</v>
      </c>
      <c r="W34" s="37" t="str">
        <f>R34</f>
        <v>Jet kerosene</v>
      </c>
      <c r="X34" s="36" t="str">
        <f t="shared" ref="X34" si="206">INDEX(Phys_Prop,MATCH(W34,Chem_List,0),5)</f>
        <v>Select Pet Stock</v>
      </c>
      <c r="Y34" s="36"/>
      <c r="Z34" s="36"/>
      <c r="AA34" s="38">
        <f>1-AA35</f>
        <v>1</v>
      </c>
      <c r="AB34" s="37" t="str">
        <f>W34</f>
        <v>Jet kerosene</v>
      </c>
      <c r="AC34" s="36" t="str">
        <f t="shared" ref="AC34" si="207">INDEX(Phys_Prop,MATCH(AB34,Chem_List,0),5)</f>
        <v>Select Pet Stock</v>
      </c>
      <c r="AD34" s="36"/>
      <c r="AE34" s="36"/>
      <c r="AF34" s="38">
        <f>1-AF35</f>
        <v>1</v>
      </c>
      <c r="AG34" s="37" t="str">
        <f>AB34</f>
        <v>Jet kerosene</v>
      </c>
      <c r="AH34" s="36" t="str">
        <f t="shared" ref="AH34" si="208">INDEX(Phys_Prop,MATCH(AG34,Chem_List,0),5)</f>
        <v>Select Pet Stock</v>
      </c>
      <c r="AI34" s="36"/>
      <c r="AJ34" s="36"/>
      <c r="AK34" s="38">
        <f>1-AK35</f>
        <v>1</v>
      </c>
      <c r="AL34" s="37" t="str">
        <f>AG34</f>
        <v>Jet kerosene</v>
      </c>
      <c r="AM34" s="36" t="str">
        <f t="shared" ref="AM34" si="209">INDEX(Phys_Prop,MATCH(AL34,Chem_List,0),5)</f>
        <v>Select Pet Stock</v>
      </c>
      <c r="AN34" s="36"/>
      <c r="AO34" s="36"/>
      <c r="AP34" s="38">
        <f>1-AP35</f>
        <v>1</v>
      </c>
      <c r="AQ34" s="37" t="str">
        <f>AL34</f>
        <v>Jet kerosene</v>
      </c>
      <c r="AR34" s="36" t="str">
        <f t="shared" ref="AR34" si="210">INDEX(Phys_Prop,MATCH(AQ34,Chem_List,0),5)</f>
        <v>Select Pet Stock</v>
      </c>
      <c r="AS34" s="36"/>
      <c r="AT34" s="36"/>
      <c r="AU34" s="38">
        <f>1-AU35</f>
        <v>1</v>
      </c>
      <c r="AV34" s="37" t="str">
        <f>AQ34</f>
        <v>Jet kerosene</v>
      </c>
      <c r="AW34" s="36" t="str">
        <f t="shared" ref="AW34" si="211">INDEX(Phys_Prop,MATCH(AV34,Chem_List,0),5)</f>
        <v>Select Pet Stock</v>
      </c>
      <c r="AX34" s="36"/>
      <c r="AY34" s="36"/>
      <c r="AZ34" s="38">
        <f>1-AZ35</f>
        <v>1</v>
      </c>
      <c r="BA34" s="37" t="str">
        <f>AV34</f>
        <v>Jet kerosene</v>
      </c>
      <c r="BB34" s="36" t="str">
        <f t="shared" ref="BB34" si="212">INDEX(Phys_Prop,MATCH(BA34,Chem_List,0),5)</f>
        <v>Select Pet Stock</v>
      </c>
      <c r="BC34" s="36"/>
      <c r="BD34" s="36"/>
      <c r="BE34" s="38">
        <f>1-BE35</f>
        <v>1</v>
      </c>
      <c r="BF34" s="37" t="str">
        <f>BA34</f>
        <v>Jet kerosene</v>
      </c>
      <c r="BG34" s="36" t="str">
        <f t="shared" ref="BG34" si="213">INDEX(Phys_Prop,MATCH(BF34,Chem_List,0),5)</f>
        <v>Select Pet Stock</v>
      </c>
      <c r="BH34" s="36"/>
      <c r="BI34" s="36"/>
      <c r="BJ34" s="38">
        <f>1-BJ35</f>
        <v>1</v>
      </c>
      <c r="BK34" s="37" t="str">
        <f>BF34</f>
        <v>Jet kerosene</v>
      </c>
      <c r="BL34" s="36" t="str">
        <f t="shared" ref="BL34" si="214">INDEX(Phys_Prop,MATCH(BK34,Chem_List,0),5)</f>
        <v>Select Pet Stock</v>
      </c>
      <c r="BM34" s="36"/>
      <c r="BN34" s="36"/>
      <c r="BO34" s="38">
        <f>1-BO35</f>
        <v>1</v>
      </c>
      <c r="BP34" s="37" t="str">
        <f>BK34</f>
        <v>Jet kerosene</v>
      </c>
      <c r="BQ34" s="36" t="str">
        <f t="shared" ref="BQ34" si="215">INDEX(Phys_Prop,MATCH(BP34,Chem_List,0),5)</f>
        <v>Select Pet Stock</v>
      </c>
      <c r="BR34" s="36"/>
      <c r="BS34" s="36"/>
      <c r="BT34" s="38">
        <f>1-BT35</f>
        <v>1</v>
      </c>
      <c r="BU34" s="37" t="str">
        <f>BP34</f>
        <v>Jet kerosene</v>
      </c>
      <c r="BV34" s="36" t="str">
        <f t="shared" ref="BV34" si="216">INDEX(Phys_Prop,MATCH(BU34,Chem_List,0),5)</f>
        <v>Select Pet Stock</v>
      </c>
      <c r="BW34" s="36"/>
      <c r="BX34" s="36"/>
      <c r="BY34" s="38">
        <f>1-BY35</f>
        <v>1</v>
      </c>
      <c r="BZ34" s="561"/>
      <c r="CA34" s="549"/>
      <c r="CB34" s="549"/>
      <c r="CC34" s="549"/>
      <c r="CD34" s="549"/>
      <c r="CE34" s="549"/>
      <c r="CF34" s="549"/>
      <c r="CG34" s="549"/>
      <c r="CH34" s="549"/>
      <c r="CI34" s="549"/>
      <c r="CJ34" s="549"/>
      <c r="CK34" s="549"/>
      <c r="CL34" s="567" cm="1">
        <f t="array" ref="CL34">INDEX(FX_Setup,DA34,DE34)</f>
        <v>4583</v>
      </c>
      <c r="CM34" s="563">
        <f t="shared" ref="CM34:CW34" si="217">CL34</f>
        <v>4583</v>
      </c>
      <c r="CN34" s="563">
        <f t="shared" si="217"/>
        <v>4583</v>
      </c>
      <c r="CO34" s="563">
        <f t="shared" si="217"/>
        <v>4583</v>
      </c>
      <c r="CP34" s="563">
        <f t="shared" si="217"/>
        <v>4583</v>
      </c>
      <c r="CQ34" s="563">
        <f t="shared" si="217"/>
        <v>4583</v>
      </c>
      <c r="CR34" s="563">
        <f t="shared" si="217"/>
        <v>4583</v>
      </c>
      <c r="CS34" s="563">
        <f t="shared" si="217"/>
        <v>4583</v>
      </c>
      <c r="CT34" s="563">
        <f t="shared" si="217"/>
        <v>4583</v>
      </c>
      <c r="CU34" s="563">
        <f t="shared" si="217"/>
        <v>4583</v>
      </c>
      <c r="CV34" s="563">
        <f t="shared" si="217"/>
        <v>4583</v>
      </c>
      <c r="CW34" s="563">
        <f t="shared" si="217"/>
        <v>4583</v>
      </c>
      <c r="CX34" s="565">
        <f t="shared" ref="CX34" si="218">SUM(CL34:CW35)</f>
        <v>54996</v>
      </c>
      <c r="DA34" s="42">
        <f>DA32+1</f>
        <v>14</v>
      </c>
      <c r="DB34">
        <v>7</v>
      </c>
      <c r="DC34">
        <v>6</v>
      </c>
      <c r="DD34">
        <v>5</v>
      </c>
      <c r="DE34">
        <f t="shared" ref="DE34" si="219">DE32</f>
        <v>9</v>
      </c>
    </row>
    <row r="35" spans="2:109" x14ac:dyDescent="0.4">
      <c r="B35" s="504"/>
      <c r="C35" s="546"/>
      <c r="D35" s="547"/>
      <c r="E35" s="548"/>
      <c r="F35" s="549"/>
      <c r="G35" s="549"/>
      <c r="H35" s="550"/>
      <c r="I35" s="549"/>
      <c r="J35" s="549"/>
      <c r="K35" s="549"/>
      <c r="L35" s="549"/>
      <c r="M35" s="549"/>
      <c r="N35" s="549"/>
      <c r="O35" s="549"/>
      <c r="P35" s="549"/>
      <c r="Q35" s="560"/>
      <c r="R35" s="27"/>
      <c r="S35" s="36"/>
      <c r="T35" s="28"/>
      <c r="U35" s="28"/>
      <c r="V35" s="26"/>
      <c r="W35" s="27"/>
      <c r="X35" s="36"/>
      <c r="Y35" s="28"/>
      <c r="Z35" s="28"/>
      <c r="AA35" s="26"/>
      <c r="AB35" s="27"/>
      <c r="AC35" s="36"/>
      <c r="AD35" s="28"/>
      <c r="AE35" s="28"/>
      <c r="AF35" s="26"/>
      <c r="AG35" s="27"/>
      <c r="AH35" s="36"/>
      <c r="AI35" s="28"/>
      <c r="AJ35" s="28"/>
      <c r="AK35" s="26"/>
      <c r="AL35" s="27"/>
      <c r="AM35" s="36"/>
      <c r="AN35" s="28"/>
      <c r="AO35" s="28"/>
      <c r="AP35" s="26"/>
      <c r="AQ35" s="27"/>
      <c r="AR35" s="36"/>
      <c r="AS35" s="28"/>
      <c r="AT35" s="28"/>
      <c r="AU35" s="26"/>
      <c r="AV35" s="27"/>
      <c r="AW35" s="36"/>
      <c r="AX35" s="28"/>
      <c r="AY35" s="28"/>
      <c r="AZ35" s="26"/>
      <c r="BA35" s="27"/>
      <c r="BB35" s="36"/>
      <c r="BC35" s="28"/>
      <c r="BD35" s="28"/>
      <c r="BE35" s="26"/>
      <c r="BF35" s="27"/>
      <c r="BG35" s="36"/>
      <c r="BH35" s="28"/>
      <c r="BI35" s="28"/>
      <c r="BJ35" s="26"/>
      <c r="BK35" s="27"/>
      <c r="BL35" s="36"/>
      <c r="BM35" s="28"/>
      <c r="BN35" s="28"/>
      <c r="BO35" s="26"/>
      <c r="BP35" s="27"/>
      <c r="BQ35" s="36"/>
      <c r="BR35" s="28"/>
      <c r="BS35" s="28"/>
      <c r="BT35" s="26"/>
      <c r="BU35" s="27"/>
      <c r="BV35" s="36"/>
      <c r="BW35" s="28"/>
      <c r="BX35" s="28"/>
      <c r="BY35" s="26"/>
      <c r="BZ35" s="561"/>
      <c r="CA35" s="549"/>
      <c r="CB35" s="549"/>
      <c r="CC35" s="549"/>
      <c r="CD35" s="549"/>
      <c r="CE35" s="549"/>
      <c r="CF35" s="549"/>
      <c r="CG35" s="549"/>
      <c r="CH35" s="549"/>
      <c r="CI35" s="549"/>
      <c r="CJ35" s="549"/>
      <c r="CK35" s="549"/>
      <c r="CL35" s="568"/>
      <c r="CM35" s="564"/>
      <c r="CN35" s="564"/>
      <c r="CO35" s="564"/>
      <c r="CP35" s="564"/>
      <c r="CQ35" s="564"/>
      <c r="CR35" s="564"/>
      <c r="CS35" s="564"/>
      <c r="CT35" s="564"/>
      <c r="CU35" s="564"/>
      <c r="CV35" s="564"/>
      <c r="CW35" s="564"/>
      <c r="CX35" s="566"/>
      <c r="DA35" s="42"/>
    </row>
    <row r="36" spans="2:109" x14ac:dyDescent="0.4">
      <c r="B36" s="504" t="str">
        <f>"FX - "&amp;DA36</f>
        <v>FX - 15</v>
      </c>
      <c r="C36" s="545" t="s">
        <v>1943</v>
      </c>
      <c r="D36" s="547" t="str">
        <f t="shared" ref="D36" si="220">D34</f>
        <v>Portland</v>
      </c>
      <c r="E36" s="548" t="s">
        <v>65</v>
      </c>
      <c r="F36" s="549" cm="1">
        <f t="array" ref="F36">INDEX(FX_Setup,DA36,DB36)</f>
        <v>32</v>
      </c>
      <c r="G36" s="549" cm="1">
        <f t="array" ref="G36">INDEX(FX_Setup,$DA36,DC36)</f>
        <v>32</v>
      </c>
      <c r="H36" s="550" cm="1">
        <f t="array" ref="H36">INDEX(FX_Setup,$DA36,DD36)</f>
        <v>192486</v>
      </c>
      <c r="I36" s="549" t="s">
        <v>27</v>
      </c>
      <c r="J36" s="549"/>
      <c r="K36" s="549"/>
      <c r="L36" s="549" t="s">
        <v>93</v>
      </c>
      <c r="M36" s="549" t="s">
        <v>90</v>
      </c>
      <c r="N36" s="549" t="s">
        <v>93</v>
      </c>
      <c r="O36" s="549" t="s">
        <v>90</v>
      </c>
      <c r="P36" s="549"/>
      <c r="Q36" s="560"/>
      <c r="R36" s="37" t="str" cm="1">
        <f t="array" ref="R36">INDEX(Surrogate_Lst,MATCH(INDEX(FX_Setup,DA36,3),Product_GRP,0),2)</f>
        <v>Jet kerosene</v>
      </c>
      <c r="S36" s="36" t="str">
        <f t="shared" ref="S36" si="221">INDEX(Phys_Prop,MATCH(R36,Chem_List,0),5)</f>
        <v>Select Pet Stock</v>
      </c>
      <c r="T36" s="36"/>
      <c r="U36" s="36"/>
      <c r="V36" s="38">
        <f>1-V37</f>
        <v>1</v>
      </c>
      <c r="W36" s="37" t="str">
        <f>R36</f>
        <v>Jet kerosene</v>
      </c>
      <c r="X36" s="36" t="str">
        <f t="shared" ref="X36" si="222">INDEX(Phys_Prop,MATCH(W36,Chem_List,0),5)</f>
        <v>Select Pet Stock</v>
      </c>
      <c r="Y36" s="36"/>
      <c r="Z36" s="36"/>
      <c r="AA36" s="38">
        <f>1-AA37</f>
        <v>1</v>
      </c>
      <c r="AB36" s="37" t="str">
        <f>W36</f>
        <v>Jet kerosene</v>
      </c>
      <c r="AC36" s="36" t="str">
        <f t="shared" ref="AC36" si="223">INDEX(Phys_Prop,MATCH(AB36,Chem_List,0),5)</f>
        <v>Select Pet Stock</v>
      </c>
      <c r="AD36" s="36"/>
      <c r="AE36" s="36"/>
      <c r="AF36" s="38">
        <f>1-AF37</f>
        <v>1</v>
      </c>
      <c r="AG36" s="37" t="str">
        <f>AB36</f>
        <v>Jet kerosene</v>
      </c>
      <c r="AH36" s="36" t="str">
        <f t="shared" ref="AH36" si="224">INDEX(Phys_Prop,MATCH(AG36,Chem_List,0),5)</f>
        <v>Select Pet Stock</v>
      </c>
      <c r="AI36" s="36"/>
      <c r="AJ36" s="36"/>
      <c r="AK36" s="38">
        <f>1-AK37</f>
        <v>1</v>
      </c>
      <c r="AL36" s="37" t="str">
        <f>AG36</f>
        <v>Jet kerosene</v>
      </c>
      <c r="AM36" s="36" t="str">
        <f t="shared" ref="AM36" si="225">INDEX(Phys_Prop,MATCH(AL36,Chem_List,0),5)</f>
        <v>Select Pet Stock</v>
      </c>
      <c r="AN36" s="36"/>
      <c r="AO36" s="36"/>
      <c r="AP36" s="38">
        <f>1-AP37</f>
        <v>1</v>
      </c>
      <c r="AQ36" s="37" t="str">
        <f>AL36</f>
        <v>Jet kerosene</v>
      </c>
      <c r="AR36" s="36" t="str">
        <f t="shared" ref="AR36" si="226">INDEX(Phys_Prop,MATCH(AQ36,Chem_List,0),5)</f>
        <v>Select Pet Stock</v>
      </c>
      <c r="AS36" s="36"/>
      <c r="AT36" s="36"/>
      <c r="AU36" s="38">
        <f>1-AU37</f>
        <v>1</v>
      </c>
      <c r="AV36" s="37" t="str">
        <f>AQ36</f>
        <v>Jet kerosene</v>
      </c>
      <c r="AW36" s="36" t="str">
        <f t="shared" ref="AW36" si="227">INDEX(Phys_Prop,MATCH(AV36,Chem_List,0),5)</f>
        <v>Select Pet Stock</v>
      </c>
      <c r="AX36" s="36"/>
      <c r="AY36" s="36"/>
      <c r="AZ36" s="38">
        <f>1-AZ37</f>
        <v>1</v>
      </c>
      <c r="BA36" s="37" t="str">
        <f>AV36</f>
        <v>Jet kerosene</v>
      </c>
      <c r="BB36" s="36" t="str">
        <f t="shared" ref="BB36" si="228">INDEX(Phys_Prop,MATCH(BA36,Chem_List,0),5)</f>
        <v>Select Pet Stock</v>
      </c>
      <c r="BC36" s="36"/>
      <c r="BD36" s="36"/>
      <c r="BE36" s="38">
        <f>1-BE37</f>
        <v>1</v>
      </c>
      <c r="BF36" s="37" t="str">
        <f>BA36</f>
        <v>Jet kerosene</v>
      </c>
      <c r="BG36" s="36" t="str">
        <f t="shared" ref="BG36" si="229">INDEX(Phys_Prop,MATCH(BF36,Chem_List,0),5)</f>
        <v>Select Pet Stock</v>
      </c>
      <c r="BH36" s="36"/>
      <c r="BI36" s="36"/>
      <c r="BJ36" s="38">
        <f>1-BJ37</f>
        <v>1</v>
      </c>
      <c r="BK36" s="37" t="str">
        <f>BF36</f>
        <v>Jet kerosene</v>
      </c>
      <c r="BL36" s="36" t="str">
        <f t="shared" ref="BL36" si="230">INDEX(Phys_Prop,MATCH(BK36,Chem_List,0),5)</f>
        <v>Select Pet Stock</v>
      </c>
      <c r="BM36" s="36"/>
      <c r="BN36" s="36"/>
      <c r="BO36" s="38">
        <f>1-BO37</f>
        <v>1</v>
      </c>
      <c r="BP36" s="37" t="str">
        <f>BK36</f>
        <v>Jet kerosene</v>
      </c>
      <c r="BQ36" s="36" t="str">
        <f t="shared" ref="BQ36" si="231">INDEX(Phys_Prop,MATCH(BP36,Chem_List,0),5)</f>
        <v>Select Pet Stock</v>
      </c>
      <c r="BR36" s="36"/>
      <c r="BS36" s="36"/>
      <c r="BT36" s="38">
        <f>1-BT37</f>
        <v>1</v>
      </c>
      <c r="BU36" s="37" t="str">
        <f>BP36</f>
        <v>Jet kerosene</v>
      </c>
      <c r="BV36" s="36" t="str">
        <f t="shared" ref="BV36" si="232">INDEX(Phys_Prop,MATCH(BU36,Chem_List,0),5)</f>
        <v>Select Pet Stock</v>
      </c>
      <c r="BW36" s="36"/>
      <c r="BX36" s="36"/>
      <c r="BY36" s="38">
        <f>1-BY37</f>
        <v>1</v>
      </c>
      <c r="BZ36" s="561"/>
      <c r="CA36" s="549"/>
      <c r="CB36" s="549"/>
      <c r="CC36" s="549"/>
      <c r="CD36" s="549"/>
      <c r="CE36" s="549"/>
      <c r="CF36" s="549"/>
      <c r="CG36" s="549"/>
      <c r="CH36" s="549"/>
      <c r="CI36" s="549"/>
      <c r="CJ36" s="549"/>
      <c r="CK36" s="549"/>
      <c r="CL36" s="559" cm="1">
        <f t="array" ref="CL36">INDEX(FX_Setup,DA36,DE36)</f>
        <v>4583</v>
      </c>
      <c r="CM36" s="550">
        <f t="shared" ref="CM36:CW36" si="233">CL36</f>
        <v>4583</v>
      </c>
      <c r="CN36" s="550">
        <f t="shared" si="233"/>
        <v>4583</v>
      </c>
      <c r="CO36" s="550">
        <f t="shared" si="233"/>
        <v>4583</v>
      </c>
      <c r="CP36" s="550">
        <f t="shared" si="233"/>
        <v>4583</v>
      </c>
      <c r="CQ36" s="550">
        <f t="shared" si="233"/>
        <v>4583</v>
      </c>
      <c r="CR36" s="550">
        <f t="shared" si="233"/>
        <v>4583</v>
      </c>
      <c r="CS36" s="550">
        <f t="shared" si="233"/>
        <v>4583</v>
      </c>
      <c r="CT36" s="550">
        <f t="shared" si="233"/>
        <v>4583</v>
      </c>
      <c r="CU36" s="550">
        <f t="shared" si="233"/>
        <v>4583</v>
      </c>
      <c r="CV36" s="550">
        <f t="shared" si="233"/>
        <v>4583</v>
      </c>
      <c r="CW36" s="550">
        <f t="shared" si="233"/>
        <v>4583</v>
      </c>
      <c r="CX36" s="562">
        <f t="shared" ref="CX36" si="234">SUM(CL36:CW37)</f>
        <v>54996</v>
      </c>
      <c r="DA36" s="42">
        <f>DA34+1</f>
        <v>15</v>
      </c>
      <c r="DB36">
        <v>7</v>
      </c>
      <c r="DC36">
        <v>6</v>
      </c>
      <c r="DD36">
        <v>5</v>
      </c>
      <c r="DE36">
        <f t="shared" ref="DE36" si="235">DE34</f>
        <v>9</v>
      </c>
    </row>
    <row r="37" spans="2:109" x14ac:dyDescent="0.4">
      <c r="B37" s="504"/>
      <c r="C37" s="546"/>
      <c r="D37" s="547"/>
      <c r="E37" s="548"/>
      <c r="F37" s="549"/>
      <c r="G37" s="549"/>
      <c r="H37" s="550"/>
      <c r="I37" s="549"/>
      <c r="J37" s="549"/>
      <c r="K37" s="549"/>
      <c r="L37" s="549"/>
      <c r="M37" s="549"/>
      <c r="N37" s="549"/>
      <c r="O37" s="549"/>
      <c r="P37" s="549"/>
      <c r="Q37" s="560"/>
      <c r="R37" s="27"/>
      <c r="S37" s="36"/>
      <c r="T37" s="28"/>
      <c r="U37" s="28"/>
      <c r="V37" s="26"/>
      <c r="W37" s="27"/>
      <c r="X37" s="36"/>
      <c r="Y37" s="28"/>
      <c r="Z37" s="28"/>
      <c r="AA37" s="26"/>
      <c r="AB37" s="27"/>
      <c r="AC37" s="36"/>
      <c r="AD37" s="28"/>
      <c r="AE37" s="28"/>
      <c r="AF37" s="26"/>
      <c r="AG37" s="27"/>
      <c r="AH37" s="36"/>
      <c r="AI37" s="28"/>
      <c r="AJ37" s="28"/>
      <c r="AK37" s="26"/>
      <c r="AL37" s="27"/>
      <c r="AM37" s="36"/>
      <c r="AN37" s="28"/>
      <c r="AO37" s="28"/>
      <c r="AP37" s="26"/>
      <c r="AQ37" s="27"/>
      <c r="AR37" s="36"/>
      <c r="AS37" s="28"/>
      <c r="AT37" s="28"/>
      <c r="AU37" s="26"/>
      <c r="AV37" s="27"/>
      <c r="AW37" s="36"/>
      <c r="AX37" s="28"/>
      <c r="AY37" s="28"/>
      <c r="AZ37" s="26"/>
      <c r="BA37" s="27"/>
      <c r="BB37" s="36"/>
      <c r="BC37" s="28"/>
      <c r="BD37" s="28"/>
      <c r="BE37" s="26"/>
      <c r="BF37" s="27"/>
      <c r="BG37" s="36"/>
      <c r="BH37" s="28"/>
      <c r="BI37" s="28"/>
      <c r="BJ37" s="26"/>
      <c r="BK37" s="27"/>
      <c r="BL37" s="36"/>
      <c r="BM37" s="28"/>
      <c r="BN37" s="28"/>
      <c r="BO37" s="26"/>
      <c r="BP37" s="27"/>
      <c r="BQ37" s="36"/>
      <c r="BR37" s="28"/>
      <c r="BS37" s="28"/>
      <c r="BT37" s="26"/>
      <c r="BU37" s="27"/>
      <c r="BV37" s="36"/>
      <c r="BW37" s="28"/>
      <c r="BX37" s="28"/>
      <c r="BY37" s="26"/>
      <c r="BZ37" s="561"/>
      <c r="CA37" s="549"/>
      <c r="CB37" s="549"/>
      <c r="CC37" s="549"/>
      <c r="CD37" s="549"/>
      <c r="CE37" s="549"/>
      <c r="CF37" s="549"/>
      <c r="CG37" s="549"/>
      <c r="CH37" s="549"/>
      <c r="CI37" s="549"/>
      <c r="CJ37" s="549"/>
      <c r="CK37" s="549"/>
      <c r="CL37" s="559"/>
      <c r="CM37" s="550"/>
      <c r="CN37" s="550"/>
      <c r="CO37" s="550"/>
      <c r="CP37" s="550"/>
      <c r="CQ37" s="550"/>
      <c r="CR37" s="550"/>
      <c r="CS37" s="550"/>
      <c r="CT37" s="550"/>
      <c r="CU37" s="550"/>
      <c r="CV37" s="550"/>
      <c r="CW37" s="550"/>
      <c r="CX37" s="562"/>
      <c r="DA37" s="42"/>
    </row>
    <row r="38" spans="2:109" x14ac:dyDescent="0.4">
      <c r="B38" s="504" t="str">
        <f>"FX - "&amp;DA38</f>
        <v>FX - 16</v>
      </c>
      <c r="C38" s="545" t="s">
        <v>1944</v>
      </c>
      <c r="D38" s="547" t="str">
        <f t="shared" ref="D38" si="236">D36</f>
        <v>Portland</v>
      </c>
      <c r="E38" s="548" t="s">
        <v>65</v>
      </c>
      <c r="F38" s="549" cm="1">
        <f t="array" ref="F38">INDEX(FX_Setup,DA38,DB38)</f>
        <v>32</v>
      </c>
      <c r="G38" s="549" cm="1">
        <f t="array" ref="G38">INDEX(FX_Setup,$DA38,DC38)</f>
        <v>32</v>
      </c>
      <c r="H38" s="550" cm="1">
        <f t="array" ref="H38">INDEX(FX_Setup,$DA38,DD38)</f>
        <v>192486</v>
      </c>
      <c r="I38" s="549" t="s">
        <v>27</v>
      </c>
      <c r="J38" s="549"/>
      <c r="K38" s="549"/>
      <c r="L38" s="549" t="s">
        <v>93</v>
      </c>
      <c r="M38" s="549" t="s">
        <v>90</v>
      </c>
      <c r="N38" s="549" t="s">
        <v>93</v>
      </c>
      <c r="O38" s="549" t="s">
        <v>90</v>
      </c>
      <c r="P38" s="549"/>
      <c r="Q38" s="560"/>
      <c r="R38" s="37" t="str" cm="1">
        <f t="array" ref="R38">INDEX(Surrogate_Lst,MATCH(INDEX(FX_Setup,DA38,3),Product_GRP,0),2)</f>
        <v>Jet kerosene</v>
      </c>
      <c r="S38" s="36" t="str">
        <f t="shared" ref="S38" si="237">INDEX(Phys_Prop,MATCH(R38,Chem_List,0),5)</f>
        <v>Select Pet Stock</v>
      </c>
      <c r="T38" s="36"/>
      <c r="U38" s="36"/>
      <c r="V38" s="38">
        <f>1-V39</f>
        <v>1</v>
      </c>
      <c r="W38" s="37" t="str">
        <f>R38</f>
        <v>Jet kerosene</v>
      </c>
      <c r="X38" s="36" t="str">
        <f t="shared" ref="X38" si="238">INDEX(Phys_Prop,MATCH(W38,Chem_List,0),5)</f>
        <v>Select Pet Stock</v>
      </c>
      <c r="Y38" s="36"/>
      <c r="Z38" s="36"/>
      <c r="AA38" s="38">
        <f>1-AA39</f>
        <v>1</v>
      </c>
      <c r="AB38" s="37" t="str">
        <f>W38</f>
        <v>Jet kerosene</v>
      </c>
      <c r="AC38" s="36" t="str">
        <f t="shared" ref="AC38" si="239">INDEX(Phys_Prop,MATCH(AB38,Chem_List,0),5)</f>
        <v>Select Pet Stock</v>
      </c>
      <c r="AD38" s="36"/>
      <c r="AE38" s="36"/>
      <c r="AF38" s="38">
        <f>1-AF39</f>
        <v>1</v>
      </c>
      <c r="AG38" s="37" t="str">
        <f>AB38</f>
        <v>Jet kerosene</v>
      </c>
      <c r="AH38" s="36" t="str">
        <f t="shared" ref="AH38" si="240">INDEX(Phys_Prop,MATCH(AG38,Chem_List,0),5)</f>
        <v>Select Pet Stock</v>
      </c>
      <c r="AI38" s="36"/>
      <c r="AJ38" s="36"/>
      <c r="AK38" s="38">
        <f>1-AK39</f>
        <v>1</v>
      </c>
      <c r="AL38" s="37" t="str">
        <f>AG38</f>
        <v>Jet kerosene</v>
      </c>
      <c r="AM38" s="36" t="str">
        <f t="shared" ref="AM38" si="241">INDEX(Phys_Prop,MATCH(AL38,Chem_List,0),5)</f>
        <v>Select Pet Stock</v>
      </c>
      <c r="AN38" s="36"/>
      <c r="AO38" s="36"/>
      <c r="AP38" s="38">
        <f>1-AP39</f>
        <v>1</v>
      </c>
      <c r="AQ38" s="37" t="str">
        <f>AL38</f>
        <v>Jet kerosene</v>
      </c>
      <c r="AR38" s="36" t="str">
        <f t="shared" ref="AR38" si="242">INDEX(Phys_Prop,MATCH(AQ38,Chem_List,0),5)</f>
        <v>Select Pet Stock</v>
      </c>
      <c r="AS38" s="36"/>
      <c r="AT38" s="36"/>
      <c r="AU38" s="38">
        <f>1-AU39</f>
        <v>1</v>
      </c>
      <c r="AV38" s="37" t="str">
        <f>AQ38</f>
        <v>Jet kerosene</v>
      </c>
      <c r="AW38" s="36" t="str">
        <f t="shared" ref="AW38" si="243">INDEX(Phys_Prop,MATCH(AV38,Chem_List,0),5)</f>
        <v>Select Pet Stock</v>
      </c>
      <c r="AX38" s="36"/>
      <c r="AY38" s="36"/>
      <c r="AZ38" s="38">
        <f>1-AZ39</f>
        <v>1</v>
      </c>
      <c r="BA38" s="37" t="str">
        <f>AV38</f>
        <v>Jet kerosene</v>
      </c>
      <c r="BB38" s="36" t="str">
        <f t="shared" ref="BB38" si="244">INDEX(Phys_Prop,MATCH(BA38,Chem_List,0),5)</f>
        <v>Select Pet Stock</v>
      </c>
      <c r="BC38" s="36"/>
      <c r="BD38" s="36"/>
      <c r="BE38" s="38">
        <f>1-BE39</f>
        <v>1</v>
      </c>
      <c r="BF38" s="37" t="str">
        <f>BA38</f>
        <v>Jet kerosene</v>
      </c>
      <c r="BG38" s="36" t="str">
        <f t="shared" ref="BG38" si="245">INDEX(Phys_Prop,MATCH(BF38,Chem_List,0),5)</f>
        <v>Select Pet Stock</v>
      </c>
      <c r="BH38" s="36"/>
      <c r="BI38" s="36"/>
      <c r="BJ38" s="38">
        <f>1-BJ39</f>
        <v>1</v>
      </c>
      <c r="BK38" s="37" t="str">
        <f>BF38</f>
        <v>Jet kerosene</v>
      </c>
      <c r="BL38" s="36" t="str">
        <f t="shared" ref="BL38" si="246">INDEX(Phys_Prop,MATCH(BK38,Chem_List,0),5)</f>
        <v>Select Pet Stock</v>
      </c>
      <c r="BM38" s="36"/>
      <c r="BN38" s="36"/>
      <c r="BO38" s="38">
        <f>1-BO39</f>
        <v>1</v>
      </c>
      <c r="BP38" s="37" t="str">
        <f>BK38</f>
        <v>Jet kerosene</v>
      </c>
      <c r="BQ38" s="36" t="str">
        <f t="shared" ref="BQ38" si="247">INDEX(Phys_Prop,MATCH(BP38,Chem_List,0),5)</f>
        <v>Select Pet Stock</v>
      </c>
      <c r="BR38" s="36"/>
      <c r="BS38" s="36"/>
      <c r="BT38" s="38">
        <f>1-BT39</f>
        <v>1</v>
      </c>
      <c r="BU38" s="37" t="str">
        <f>BP38</f>
        <v>Jet kerosene</v>
      </c>
      <c r="BV38" s="36" t="str">
        <f t="shared" ref="BV38" si="248">INDEX(Phys_Prop,MATCH(BU38,Chem_List,0),5)</f>
        <v>Select Pet Stock</v>
      </c>
      <c r="BW38" s="36"/>
      <c r="BX38" s="36"/>
      <c r="BY38" s="38">
        <f>1-BY39</f>
        <v>1</v>
      </c>
      <c r="BZ38" s="561"/>
      <c r="CA38" s="549"/>
      <c r="CB38" s="549"/>
      <c r="CC38" s="549"/>
      <c r="CD38" s="549"/>
      <c r="CE38" s="549"/>
      <c r="CF38" s="549"/>
      <c r="CG38" s="549"/>
      <c r="CH38" s="549"/>
      <c r="CI38" s="549"/>
      <c r="CJ38" s="549"/>
      <c r="CK38" s="549"/>
      <c r="CL38" s="559" cm="1">
        <f t="array" ref="CL38">INDEX(FX_Setup,DA38,DE38)</f>
        <v>4583</v>
      </c>
      <c r="CM38" s="550">
        <f t="shared" ref="CM38:CW38" si="249">CL38</f>
        <v>4583</v>
      </c>
      <c r="CN38" s="550">
        <f t="shared" si="249"/>
        <v>4583</v>
      </c>
      <c r="CO38" s="550">
        <f t="shared" si="249"/>
        <v>4583</v>
      </c>
      <c r="CP38" s="550">
        <f t="shared" si="249"/>
        <v>4583</v>
      </c>
      <c r="CQ38" s="550">
        <f t="shared" si="249"/>
        <v>4583</v>
      </c>
      <c r="CR38" s="550">
        <f t="shared" si="249"/>
        <v>4583</v>
      </c>
      <c r="CS38" s="550">
        <f t="shared" si="249"/>
        <v>4583</v>
      </c>
      <c r="CT38" s="550">
        <f t="shared" si="249"/>
        <v>4583</v>
      </c>
      <c r="CU38" s="550">
        <f t="shared" si="249"/>
        <v>4583</v>
      </c>
      <c r="CV38" s="550">
        <f t="shared" si="249"/>
        <v>4583</v>
      </c>
      <c r="CW38" s="550">
        <f t="shared" si="249"/>
        <v>4583</v>
      </c>
      <c r="CX38" s="562">
        <f t="shared" ref="CX38" si="250">SUM(CL38:CW39)</f>
        <v>54996</v>
      </c>
      <c r="DA38" s="42">
        <f>DA36+1</f>
        <v>16</v>
      </c>
      <c r="DB38">
        <v>7</v>
      </c>
      <c r="DC38">
        <v>6</v>
      </c>
      <c r="DD38">
        <v>5</v>
      </c>
      <c r="DE38">
        <f t="shared" ref="DE38" si="251">DE36</f>
        <v>9</v>
      </c>
    </row>
    <row r="39" spans="2:109" x14ac:dyDescent="0.4">
      <c r="B39" s="504"/>
      <c r="C39" s="546"/>
      <c r="D39" s="547"/>
      <c r="E39" s="548"/>
      <c r="F39" s="549"/>
      <c r="G39" s="549"/>
      <c r="H39" s="550"/>
      <c r="I39" s="549"/>
      <c r="J39" s="549"/>
      <c r="K39" s="549"/>
      <c r="L39" s="549"/>
      <c r="M39" s="549"/>
      <c r="N39" s="549"/>
      <c r="O39" s="549"/>
      <c r="P39" s="549"/>
      <c r="Q39" s="560"/>
      <c r="R39" s="27"/>
      <c r="S39" s="36"/>
      <c r="T39" s="28"/>
      <c r="U39" s="28"/>
      <c r="V39" s="26"/>
      <c r="W39" s="27"/>
      <c r="X39" s="36"/>
      <c r="Y39" s="28"/>
      <c r="Z39" s="28"/>
      <c r="AA39" s="26"/>
      <c r="AB39" s="27"/>
      <c r="AC39" s="36"/>
      <c r="AD39" s="28"/>
      <c r="AE39" s="28"/>
      <c r="AF39" s="26"/>
      <c r="AG39" s="27"/>
      <c r="AH39" s="36"/>
      <c r="AI39" s="28"/>
      <c r="AJ39" s="28"/>
      <c r="AK39" s="26"/>
      <c r="AL39" s="27"/>
      <c r="AM39" s="36"/>
      <c r="AN39" s="28"/>
      <c r="AO39" s="28"/>
      <c r="AP39" s="26"/>
      <c r="AQ39" s="27"/>
      <c r="AR39" s="36"/>
      <c r="AS39" s="28"/>
      <c r="AT39" s="28"/>
      <c r="AU39" s="26"/>
      <c r="AV39" s="27"/>
      <c r="AW39" s="36"/>
      <c r="AX39" s="28"/>
      <c r="AY39" s="28"/>
      <c r="AZ39" s="26"/>
      <c r="BA39" s="27"/>
      <c r="BB39" s="36"/>
      <c r="BC39" s="28"/>
      <c r="BD39" s="28"/>
      <c r="BE39" s="26"/>
      <c r="BF39" s="27"/>
      <c r="BG39" s="36"/>
      <c r="BH39" s="28"/>
      <c r="BI39" s="28"/>
      <c r="BJ39" s="26"/>
      <c r="BK39" s="27"/>
      <c r="BL39" s="36"/>
      <c r="BM39" s="28"/>
      <c r="BN39" s="28"/>
      <c r="BO39" s="26"/>
      <c r="BP39" s="27"/>
      <c r="BQ39" s="36"/>
      <c r="BR39" s="28"/>
      <c r="BS39" s="28"/>
      <c r="BT39" s="26"/>
      <c r="BU39" s="27"/>
      <c r="BV39" s="36"/>
      <c r="BW39" s="28"/>
      <c r="BX39" s="28"/>
      <c r="BY39" s="26"/>
      <c r="BZ39" s="561"/>
      <c r="CA39" s="549"/>
      <c r="CB39" s="549"/>
      <c r="CC39" s="549"/>
      <c r="CD39" s="549"/>
      <c r="CE39" s="549"/>
      <c r="CF39" s="549"/>
      <c r="CG39" s="549"/>
      <c r="CH39" s="549"/>
      <c r="CI39" s="549"/>
      <c r="CJ39" s="549"/>
      <c r="CK39" s="549"/>
      <c r="CL39" s="559"/>
      <c r="CM39" s="550"/>
      <c r="CN39" s="550"/>
      <c r="CO39" s="550"/>
      <c r="CP39" s="550"/>
      <c r="CQ39" s="550"/>
      <c r="CR39" s="550"/>
      <c r="CS39" s="550"/>
      <c r="CT39" s="550"/>
      <c r="CU39" s="550"/>
      <c r="CV39" s="550"/>
      <c r="CW39" s="550"/>
      <c r="CX39" s="562"/>
      <c r="DA39" s="42"/>
    </row>
    <row r="40" spans="2:109" x14ac:dyDescent="0.4">
      <c r="B40" s="504" t="str">
        <f>"FX - "&amp;DA40</f>
        <v>FX - 17</v>
      </c>
      <c r="C40" s="545" t="s">
        <v>1945</v>
      </c>
      <c r="D40" s="547" t="str">
        <f t="shared" ref="D40" si="252">D38</f>
        <v>Portland</v>
      </c>
      <c r="E40" s="548" t="s">
        <v>65</v>
      </c>
      <c r="F40" s="580" cm="1">
        <f t="array" ref="F40">INDEX(FX_Setup,DA40,DB40)</f>
        <v>50</v>
      </c>
      <c r="G40" s="580" cm="1">
        <f t="array" ref="G40">INDEX(FX_Setup,$DA40,DC40)</f>
        <v>32</v>
      </c>
      <c r="H40" s="563" cm="1">
        <f t="array" ref="H40">INDEX(FX_Setup,$DA40,DD40)</f>
        <v>469980</v>
      </c>
      <c r="I40" s="549" t="s">
        <v>27</v>
      </c>
      <c r="J40" s="549"/>
      <c r="K40" s="549"/>
      <c r="L40" s="549" t="s">
        <v>93</v>
      </c>
      <c r="M40" s="549" t="s">
        <v>90</v>
      </c>
      <c r="N40" s="549" t="s">
        <v>93</v>
      </c>
      <c r="O40" s="549" t="s">
        <v>90</v>
      </c>
      <c r="P40" s="549"/>
      <c r="Q40" s="560"/>
      <c r="R40" s="37" t="str" cm="1">
        <f t="array" ref="R40">INDEX(Surrogate_Lst,MATCH(INDEX(FX_Setup,DA40,3),Product_GRP,0),2)</f>
        <v>Jet kerosene</v>
      </c>
      <c r="S40" s="36" t="str">
        <f t="shared" ref="S40" si="253">INDEX(Phys_Prop,MATCH(R40,Chem_List,0),5)</f>
        <v>Select Pet Stock</v>
      </c>
      <c r="T40" s="36"/>
      <c r="U40" s="36"/>
      <c r="V40" s="38">
        <f>1-V41</f>
        <v>1</v>
      </c>
      <c r="W40" s="37" t="str">
        <f>R40</f>
        <v>Jet kerosene</v>
      </c>
      <c r="X40" s="36" t="str">
        <f t="shared" ref="X40" si="254">INDEX(Phys_Prop,MATCH(W40,Chem_List,0),5)</f>
        <v>Select Pet Stock</v>
      </c>
      <c r="Y40" s="36"/>
      <c r="Z40" s="36"/>
      <c r="AA40" s="38">
        <f>1-AA41</f>
        <v>1</v>
      </c>
      <c r="AB40" s="37" t="str">
        <f>W40</f>
        <v>Jet kerosene</v>
      </c>
      <c r="AC40" s="36" t="str">
        <f t="shared" ref="AC40" si="255">INDEX(Phys_Prop,MATCH(AB40,Chem_List,0),5)</f>
        <v>Select Pet Stock</v>
      </c>
      <c r="AD40" s="36"/>
      <c r="AE40" s="36"/>
      <c r="AF40" s="38">
        <f>1-AF41</f>
        <v>1</v>
      </c>
      <c r="AG40" s="37" t="str">
        <f>AB40</f>
        <v>Jet kerosene</v>
      </c>
      <c r="AH40" s="36" t="str">
        <f t="shared" ref="AH40" si="256">INDEX(Phys_Prop,MATCH(AG40,Chem_List,0),5)</f>
        <v>Select Pet Stock</v>
      </c>
      <c r="AI40" s="36"/>
      <c r="AJ40" s="36"/>
      <c r="AK40" s="38">
        <f>1-AK41</f>
        <v>1</v>
      </c>
      <c r="AL40" s="37" t="str">
        <f>AG40</f>
        <v>Jet kerosene</v>
      </c>
      <c r="AM40" s="36" t="str">
        <f t="shared" ref="AM40" si="257">INDEX(Phys_Prop,MATCH(AL40,Chem_List,0),5)</f>
        <v>Select Pet Stock</v>
      </c>
      <c r="AN40" s="36"/>
      <c r="AO40" s="36"/>
      <c r="AP40" s="38">
        <f>1-AP41</f>
        <v>1</v>
      </c>
      <c r="AQ40" s="37" t="str">
        <f>AL40</f>
        <v>Jet kerosene</v>
      </c>
      <c r="AR40" s="36" t="str">
        <f t="shared" ref="AR40" si="258">INDEX(Phys_Prop,MATCH(AQ40,Chem_List,0),5)</f>
        <v>Select Pet Stock</v>
      </c>
      <c r="AS40" s="36"/>
      <c r="AT40" s="36"/>
      <c r="AU40" s="38">
        <f>1-AU41</f>
        <v>1</v>
      </c>
      <c r="AV40" s="37" t="str">
        <f>AQ40</f>
        <v>Jet kerosene</v>
      </c>
      <c r="AW40" s="36" t="str">
        <f t="shared" ref="AW40" si="259">INDEX(Phys_Prop,MATCH(AV40,Chem_List,0),5)</f>
        <v>Select Pet Stock</v>
      </c>
      <c r="AX40" s="36"/>
      <c r="AY40" s="36"/>
      <c r="AZ40" s="38">
        <f>1-AZ41</f>
        <v>1</v>
      </c>
      <c r="BA40" s="37" t="str">
        <f>AV40</f>
        <v>Jet kerosene</v>
      </c>
      <c r="BB40" s="36" t="str">
        <f t="shared" ref="BB40" si="260">INDEX(Phys_Prop,MATCH(BA40,Chem_List,0),5)</f>
        <v>Select Pet Stock</v>
      </c>
      <c r="BC40" s="36"/>
      <c r="BD40" s="36"/>
      <c r="BE40" s="38">
        <f>1-BE41</f>
        <v>1</v>
      </c>
      <c r="BF40" s="37" t="str">
        <f>BA40</f>
        <v>Jet kerosene</v>
      </c>
      <c r="BG40" s="36" t="str">
        <f t="shared" ref="BG40" si="261">INDEX(Phys_Prop,MATCH(BF40,Chem_List,0),5)</f>
        <v>Select Pet Stock</v>
      </c>
      <c r="BH40" s="36"/>
      <c r="BI40" s="36"/>
      <c r="BJ40" s="38">
        <f>1-BJ41</f>
        <v>1</v>
      </c>
      <c r="BK40" s="37" t="str">
        <f>BF40</f>
        <v>Jet kerosene</v>
      </c>
      <c r="BL40" s="36" t="str">
        <f t="shared" ref="BL40" si="262">INDEX(Phys_Prop,MATCH(BK40,Chem_List,0),5)</f>
        <v>Select Pet Stock</v>
      </c>
      <c r="BM40" s="36"/>
      <c r="BN40" s="36"/>
      <c r="BO40" s="38">
        <f>1-BO41</f>
        <v>1</v>
      </c>
      <c r="BP40" s="37" t="str">
        <f>BK40</f>
        <v>Jet kerosene</v>
      </c>
      <c r="BQ40" s="36" t="str">
        <f t="shared" ref="BQ40" si="263">INDEX(Phys_Prop,MATCH(BP40,Chem_List,0),5)</f>
        <v>Select Pet Stock</v>
      </c>
      <c r="BR40" s="36"/>
      <c r="BS40" s="36"/>
      <c r="BT40" s="38">
        <f>1-BT41</f>
        <v>1</v>
      </c>
      <c r="BU40" s="37" t="str">
        <f>BP40</f>
        <v>Jet kerosene</v>
      </c>
      <c r="BV40" s="36" t="str">
        <f t="shared" ref="BV40" si="264">INDEX(Phys_Prop,MATCH(BU40,Chem_List,0),5)</f>
        <v>Select Pet Stock</v>
      </c>
      <c r="BW40" s="36"/>
      <c r="BX40" s="36"/>
      <c r="BY40" s="38">
        <f>1-BY41</f>
        <v>1</v>
      </c>
      <c r="BZ40" s="561"/>
      <c r="CA40" s="549"/>
      <c r="CB40" s="549"/>
      <c r="CC40" s="549"/>
      <c r="CD40" s="549"/>
      <c r="CE40" s="549"/>
      <c r="CF40" s="549"/>
      <c r="CG40" s="549"/>
      <c r="CH40" s="549"/>
      <c r="CI40" s="549"/>
      <c r="CJ40" s="549"/>
      <c r="CK40" s="549"/>
      <c r="CL40" s="567" cm="1">
        <f t="array" ref="CL40">INDEX(FX_Setup,DA40,DE40)</f>
        <v>11190</v>
      </c>
      <c r="CM40" s="563">
        <f t="shared" ref="CM40:CW40" si="265">CL40</f>
        <v>11190</v>
      </c>
      <c r="CN40" s="563">
        <f t="shared" si="265"/>
        <v>11190</v>
      </c>
      <c r="CO40" s="563">
        <f t="shared" si="265"/>
        <v>11190</v>
      </c>
      <c r="CP40" s="563">
        <f t="shared" si="265"/>
        <v>11190</v>
      </c>
      <c r="CQ40" s="563">
        <f t="shared" si="265"/>
        <v>11190</v>
      </c>
      <c r="CR40" s="563">
        <f t="shared" si="265"/>
        <v>11190</v>
      </c>
      <c r="CS40" s="563">
        <f t="shared" si="265"/>
        <v>11190</v>
      </c>
      <c r="CT40" s="563">
        <f t="shared" si="265"/>
        <v>11190</v>
      </c>
      <c r="CU40" s="563">
        <f t="shared" si="265"/>
        <v>11190</v>
      </c>
      <c r="CV40" s="563">
        <f t="shared" si="265"/>
        <v>11190</v>
      </c>
      <c r="CW40" s="563">
        <f t="shared" si="265"/>
        <v>11190</v>
      </c>
      <c r="CX40" s="565">
        <f t="shared" ref="CX40" si="266">SUM(CL40:CW41)</f>
        <v>134280</v>
      </c>
      <c r="DA40" s="42">
        <f>DA38+1</f>
        <v>17</v>
      </c>
      <c r="DB40">
        <v>7</v>
      </c>
      <c r="DC40">
        <v>6</v>
      </c>
      <c r="DD40">
        <v>5</v>
      </c>
      <c r="DE40">
        <f t="shared" ref="DE40" si="267">DE38</f>
        <v>9</v>
      </c>
    </row>
    <row r="41" spans="2:109" x14ac:dyDescent="0.4">
      <c r="B41" s="504"/>
      <c r="C41" s="546"/>
      <c r="D41" s="547"/>
      <c r="E41" s="548"/>
      <c r="F41" s="581"/>
      <c r="G41" s="581"/>
      <c r="H41" s="564"/>
      <c r="I41" s="549"/>
      <c r="J41" s="549"/>
      <c r="K41" s="549"/>
      <c r="L41" s="549"/>
      <c r="M41" s="549"/>
      <c r="N41" s="549"/>
      <c r="O41" s="549"/>
      <c r="P41" s="549"/>
      <c r="Q41" s="560"/>
      <c r="R41" s="27"/>
      <c r="S41" s="36"/>
      <c r="T41" s="28"/>
      <c r="U41" s="28"/>
      <c r="V41" s="26"/>
      <c r="W41" s="27"/>
      <c r="X41" s="36"/>
      <c r="Y41" s="28"/>
      <c r="Z41" s="28"/>
      <c r="AA41" s="26"/>
      <c r="AB41" s="27"/>
      <c r="AC41" s="36"/>
      <c r="AD41" s="28"/>
      <c r="AE41" s="28"/>
      <c r="AF41" s="26"/>
      <c r="AG41" s="27"/>
      <c r="AH41" s="36"/>
      <c r="AI41" s="28"/>
      <c r="AJ41" s="28"/>
      <c r="AK41" s="26"/>
      <c r="AL41" s="27"/>
      <c r="AM41" s="36"/>
      <c r="AN41" s="28"/>
      <c r="AO41" s="28"/>
      <c r="AP41" s="26"/>
      <c r="AQ41" s="27"/>
      <c r="AR41" s="36"/>
      <c r="AS41" s="28"/>
      <c r="AT41" s="28"/>
      <c r="AU41" s="26"/>
      <c r="AV41" s="27"/>
      <c r="AW41" s="36"/>
      <c r="AX41" s="28"/>
      <c r="AY41" s="28"/>
      <c r="AZ41" s="26"/>
      <c r="BA41" s="27"/>
      <c r="BB41" s="36"/>
      <c r="BC41" s="28"/>
      <c r="BD41" s="28"/>
      <c r="BE41" s="26"/>
      <c r="BF41" s="27"/>
      <c r="BG41" s="36"/>
      <c r="BH41" s="28"/>
      <c r="BI41" s="28"/>
      <c r="BJ41" s="26"/>
      <c r="BK41" s="27"/>
      <c r="BL41" s="36"/>
      <c r="BM41" s="28"/>
      <c r="BN41" s="28"/>
      <c r="BO41" s="26"/>
      <c r="BP41" s="27"/>
      <c r="BQ41" s="36"/>
      <c r="BR41" s="28"/>
      <c r="BS41" s="28"/>
      <c r="BT41" s="26"/>
      <c r="BU41" s="27"/>
      <c r="BV41" s="36"/>
      <c r="BW41" s="28"/>
      <c r="BX41" s="28"/>
      <c r="BY41" s="26"/>
      <c r="BZ41" s="561"/>
      <c r="CA41" s="549"/>
      <c r="CB41" s="549"/>
      <c r="CC41" s="549"/>
      <c r="CD41" s="549"/>
      <c r="CE41" s="549"/>
      <c r="CF41" s="549"/>
      <c r="CG41" s="549"/>
      <c r="CH41" s="549"/>
      <c r="CI41" s="549"/>
      <c r="CJ41" s="549"/>
      <c r="CK41" s="549"/>
      <c r="CL41" s="568"/>
      <c r="CM41" s="564"/>
      <c r="CN41" s="564"/>
      <c r="CO41" s="564"/>
      <c r="CP41" s="564"/>
      <c r="CQ41" s="564"/>
      <c r="CR41" s="564"/>
      <c r="CS41" s="564"/>
      <c r="CT41" s="564"/>
      <c r="CU41" s="564"/>
      <c r="CV41" s="564"/>
      <c r="CW41" s="564"/>
      <c r="CX41" s="566"/>
      <c r="DA41" s="42"/>
    </row>
    <row r="42" spans="2:109" x14ac:dyDescent="0.4">
      <c r="B42" s="504" t="str">
        <f>"FX - "&amp;DA42</f>
        <v>FX - 18</v>
      </c>
      <c r="C42" s="545" t="s">
        <v>1946</v>
      </c>
      <c r="D42" s="547" t="str">
        <f t="shared" ref="D42" si="268">D40</f>
        <v>Portland</v>
      </c>
      <c r="E42" s="548" t="s">
        <v>65</v>
      </c>
      <c r="F42" s="580" cm="1">
        <f t="array" ref="F42">INDEX(FX_Setup,DA42,DB42)</f>
        <v>50</v>
      </c>
      <c r="G42" s="580" cm="1">
        <f t="array" ref="G42">INDEX(FX_Setup,$DA42,DC42)</f>
        <v>32</v>
      </c>
      <c r="H42" s="563" cm="1">
        <f t="array" ref="H42">INDEX(FX_Setup,$DA42,DD42)</f>
        <v>469980</v>
      </c>
      <c r="I42" s="549" t="s">
        <v>27</v>
      </c>
      <c r="J42" s="549"/>
      <c r="K42" s="549"/>
      <c r="L42" s="549" t="s">
        <v>93</v>
      </c>
      <c r="M42" s="549" t="s">
        <v>90</v>
      </c>
      <c r="N42" s="549" t="s">
        <v>93</v>
      </c>
      <c r="O42" s="549" t="s">
        <v>90</v>
      </c>
      <c r="P42" s="549"/>
      <c r="Q42" s="560"/>
      <c r="R42" s="37" t="str" cm="1">
        <f t="array" ref="R42">INDEX(Surrogate_Lst,MATCH(INDEX(FX_Setup,DA42,3),Product_GRP,0),2)</f>
        <v>Jet kerosene</v>
      </c>
      <c r="S42" s="36" t="str">
        <f t="shared" ref="S42" si="269">INDEX(Phys_Prop,MATCH(R42,Chem_List,0),5)</f>
        <v>Select Pet Stock</v>
      </c>
      <c r="T42" s="36"/>
      <c r="U42" s="36"/>
      <c r="V42" s="38">
        <f>1-V43</f>
        <v>1</v>
      </c>
      <c r="W42" s="37" t="str">
        <f>R42</f>
        <v>Jet kerosene</v>
      </c>
      <c r="X42" s="36" t="str">
        <f t="shared" ref="X42" si="270">INDEX(Phys_Prop,MATCH(W42,Chem_List,0),5)</f>
        <v>Select Pet Stock</v>
      </c>
      <c r="Y42" s="36"/>
      <c r="Z42" s="36"/>
      <c r="AA42" s="38">
        <f>1-AA43</f>
        <v>1</v>
      </c>
      <c r="AB42" s="37" t="str">
        <f>W42</f>
        <v>Jet kerosene</v>
      </c>
      <c r="AC42" s="36" t="str">
        <f t="shared" ref="AC42" si="271">INDEX(Phys_Prop,MATCH(AB42,Chem_List,0),5)</f>
        <v>Select Pet Stock</v>
      </c>
      <c r="AD42" s="36"/>
      <c r="AE42" s="36"/>
      <c r="AF42" s="38">
        <f>1-AF43</f>
        <v>1</v>
      </c>
      <c r="AG42" s="37" t="str">
        <f>AB42</f>
        <v>Jet kerosene</v>
      </c>
      <c r="AH42" s="36" t="str">
        <f t="shared" ref="AH42" si="272">INDEX(Phys_Prop,MATCH(AG42,Chem_List,0),5)</f>
        <v>Select Pet Stock</v>
      </c>
      <c r="AI42" s="36"/>
      <c r="AJ42" s="36"/>
      <c r="AK42" s="38">
        <f>1-AK43</f>
        <v>1</v>
      </c>
      <c r="AL42" s="37" t="str">
        <f>AG42</f>
        <v>Jet kerosene</v>
      </c>
      <c r="AM42" s="36" t="str">
        <f t="shared" ref="AM42" si="273">INDEX(Phys_Prop,MATCH(AL42,Chem_List,0),5)</f>
        <v>Select Pet Stock</v>
      </c>
      <c r="AN42" s="36"/>
      <c r="AO42" s="36"/>
      <c r="AP42" s="38">
        <f>1-AP43</f>
        <v>1</v>
      </c>
      <c r="AQ42" s="37" t="str">
        <f>AL42</f>
        <v>Jet kerosene</v>
      </c>
      <c r="AR42" s="36" t="str">
        <f t="shared" ref="AR42" si="274">INDEX(Phys_Prop,MATCH(AQ42,Chem_List,0),5)</f>
        <v>Select Pet Stock</v>
      </c>
      <c r="AS42" s="36"/>
      <c r="AT42" s="36"/>
      <c r="AU42" s="38">
        <f>1-AU43</f>
        <v>1</v>
      </c>
      <c r="AV42" s="37" t="str">
        <f>AQ42</f>
        <v>Jet kerosene</v>
      </c>
      <c r="AW42" s="36" t="str">
        <f t="shared" ref="AW42" si="275">INDEX(Phys_Prop,MATCH(AV42,Chem_List,0),5)</f>
        <v>Select Pet Stock</v>
      </c>
      <c r="AX42" s="36"/>
      <c r="AY42" s="36"/>
      <c r="AZ42" s="38">
        <f>1-AZ43</f>
        <v>1</v>
      </c>
      <c r="BA42" s="37" t="str">
        <f>AV42</f>
        <v>Jet kerosene</v>
      </c>
      <c r="BB42" s="36" t="str">
        <f t="shared" ref="BB42" si="276">INDEX(Phys_Prop,MATCH(BA42,Chem_List,0),5)</f>
        <v>Select Pet Stock</v>
      </c>
      <c r="BC42" s="36"/>
      <c r="BD42" s="36"/>
      <c r="BE42" s="38">
        <f>1-BE43</f>
        <v>1</v>
      </c>
      <c r="BF42" s="37" t="str">
        <f>BA42</f>
        <v>Jet kerosene</v>
      </c>
      <c r="BG42" s="36" t="str">
        <f t="shared" ref="BG42" si="277">INDEX(Phys_Prop,MATCH(BF42,Chem_List,0),5)</f>
        <v>Select Pet Stock</v>
      </c>
      <c r="BH42" s="36"/>
      <c r="BI42" s="36"/>
      <c r="BJ42" s="38">
        <f>1-BJ43</f>
        <v>1</v>
      </c>
      <c r="BK42" s="37" t="str">
        <f>BF42</f>
        <v>Jet kerosene</v>
      </c>
      <c r="BL42" s="36" t="str">
        <f t="shared" ref="BL42" si="278">INDEX(Phys_Prop,MATCH(BK42,Chem_List,0),5)</f>
        <v>Select Pet Stock</v>
      </c>
      <c r="BM42" s="36"/>
      <c r="BN42" s="36"/>
      <c r="BO42" s="38">
        <f>1-BO43</f>
        <v>1</v>
      </c>
      <c r="BP42" s="37" t="str">
        <f>BK42</f>
        <v>Jet kerosene</v>
      </c>
      <c r="BQ42" s="36" t="str">
        <f t="shared" ref="BQ42" si="279">INDEX(Phys_Prop,MATCH(BP42,Chem_List,0),5)</f>
        <v>Select Pet Stock</v>
      </c>
      <c r="BR42" s="36"/>
      <c r="BS42" s="36"/>
      <c r="BT42" s="38">
        <f>1-BT43</f>
        <v>1</v>
      </c>
      <c r="BU42" s="37" t="str">
        <f>BP42</f>
        <v>Jet kerosene</v>
      </c>
      <c r="BV42" s="36" t="str">
        <f t="shared" ref="BV42" si="280">INDEX(Phys_Prop,MATCH(BU42,Chem_List,0),5)</f>
        <v>Select Pet Stock</v>
      </c>
      <c r="BW42" s="36"/>
      <c r="BX42" s="36"/>
      <c r="BY42" s="38">
        <f>1-BY43</f>
        <v>1</v>
      </c>
      <c r="BZ42" s="561"/>
      <c r="CA42" s="549"/>
      <c r="CB42" s="549"/>
      <c r="CC42" s="549"/>
      <c r="CD42" s="549"/>
      <c r="CE42" s="549"/>
      <c r="CF42" s="549"/>
      <c r="CG42" s="549"/>
      <c r="CH42" s="549"/>
      <c r="CI42" s="549"/>
      <c r="CJ42" s="549"/>
      <c r="CK42" s="549"/>
      <c r="CL42" s="559" cm="1">
        <f t="array" ref="CL42">INDEX(FX_Setup,DA42,DE42)</f>
        <v>11190</v>
      </c>
      <c r="CM42" s="550">
        <f t="shared" ref="CM42:CW42" si="281">CL42</f>
        <v>11190</v>
      </c>
      <c r="CN42" s="550">
        <f t="shared" si="281"/>
        <v>11190</v>
      </c>
      <c r="CO42" s="550">
        <f t="shared" si="281"/>
        <v>11190</v>
      </c>
      <c r="CP42" s="550">
        <f t="shared" si="281"/>
        <v>11190</v>
      </c>
      <c r="CQ42" s="550">
        <f t="shared" si="281"/>
        <v>11190</v>
      </c>
      <c r="CR42" s="550">
        <f t="shared" si="281"/>
        <v>11190</v>
      </c>
      <c r="CS42" s="550">
        <f t="shared" si="281"/>
        <v>11190</v>
      </c>
      <c r="CT42" s="550">
        <f t="shared" si="281"/>
        <v>11190</v>
      </c>
      <c r="CU42" s="550">
        <f t="shared" si="281"/>
        <v>11190</v>
      </c>
      <c r="CV42" s="550">
        <f t="shared" si="281"/>
        <v>11190</v>
      </c>
      <c r="CW42" s="550">
        <f t="shared" si="281"/>
        <v>11190</v>
      </c>
      <c r="CX42" s="562">
        <f t="shared" ref="CX42" si="282">SUM(CL42:CW43)</f>
        <v>134280</v>
      </c>
      <c r="DA42" s="42">
        <f>DA40+1</f>
        <v>18</v>
      </c>
      <c r="DB42">
        <v>7</v>
      </c>
      <c r="DC42">
        <v>6</v>
      </c>
      <c r="DD42">
        <v>5</v>
      </c>
      <c r="DE42">
        <f t="shared" ref="DE42" si="283">DE40</f>
        <v>9</v>
      </c>
    </row>
    <row r="43" spans="2:109" x14ac:dyDescent="0.4">
      <c r="B43" s="504"/>
      <c r="C43" s="546"/>
      <c r="D43" s="547"/>
      <c r="E43" s="548"/>
      <c r="F43" s="581"/>
      <c r="G43" s="581"/>
      <c r="H43" s="564"/>
      <c r="I43" s="549"/>
      <c r="J43" s="549"/>
      <c r="K43" s="549"/>
      <c r="L43" s="549"/>
      <c r="M43" s="549"/>
      <c r="N43" s="549"/>
      <c r="O43" s="549"/>
      <c r="P43" s="549"/>
      <c r="Q43" s="560"/>
      <c r="R43" s="27"/>
      <c r="S43" s="36"/>
      <c r="T43" s="28"/>
      <c r="U43" s="28"/>
      <c r="V43" s="26"/>
      <c r="W43" s="27"/>
      <c r="X43" s="36"/>
      <c r="Y43" s="28"/>
      <c r="Z43" s="28"/>
      <c r="AA43" s="26"/>
      <c r="AB43" s="27"/>
      <c r="AC43" s="36"/>
      <c r="AD43" s="28"/>
      <c r="AE43" s="28"/>
      <c r="AF43" s="26"/>
      <c r="AG43" s="27"/>
      <c r="AH43" s="36"/>
      <c r="AI43" s="28"/>
      <c r="AJ43" s="28"/>
      <c r="AK43" s="26"/>
      <c r="AL43" s="27"/>
      <c r="AM43" s="36"/>
      <c r="AN43" s="28"/>
      <c r="AO43" s="28"/>
      <c r="AP43" s="26"/>
      <c r="AQ43" s="27"/>
      <c r="AR43" s="36"/>
      <c r="AS43" s="28"/>
      <c r="AT43" s="28"/>
      <c r="AU43" s="26"/>
      <c r="AV43" s="27"/>
      <c r="AW43" s="36"/>
      <c r="AX43" s="28"/>
      <c r="AY43" s="28"/>
      <c r="AZ43" s="26"/>
      <c r="BA43" s="27"/>
      <c r="BB43" s="36"/>
      <c r="BC43" s="28"/>
      <c r="BD43" s="28"/>
      <c r="BE43" s="26"/>
      <c r="BF43" s="27"/>
      <c r="BG43" s="36"/>
      <c r="BH43" s="28"/>
      <c r="BI43" s="28"/>
      <c r="BJ43" s="26"/>
      <c r="BK43" s="27"/>
      <c r="BL43" s="36"/>
      <c r="BM43" s="28"/>
      <c r="BN43" s="28"/>
      <c r="BO43" s="26"/>
      <c r="BP43" s="27"/>
      <c r="BQ43" s="36"/>
      <c r="BR43" s="28"/>
      <c r="BS43" s="28"/>
      <c r="BT43" s="26"/>
      <c r="BU43" s="27"/>
      <c r="BV43" s="36"/>
      <c r="BW43" s="28"/>
      <c r="BX43" s="28"/>
      <c r="BY43" s="26"/>
      <c r="BZ43" s="561"/>
      <c r="CA43" s="549"/>
      <c r="CB43" s="549"/>
      <c r="CC43" s="549"/>
      <c r="CD43" s="549"/>
      <c r="CE43" s="549"/>
      <c r="CF43" s="549"/>
      <c r="CG43" s="549"/>
      <c r="CH43" s="549"/>
      <c r="CI43" s="549"/>
      <c r="CJ43" s="549"/>
      <c r="CK43" s="549"/>
      <c r="CL43" s="559"/>
      <c r="CM43" s="550"/>
      <c r="CN43" s="550"/>
      <c r="CO43" s="550"/>
      <c r="CP43" s="550"/>
      <c r="CQ43" s="550"/>
      <c r="CR43" s="550"/>
      <c r="CS43" s="550"/>
      <c r="CT43" s="550"/>
      <c r="CU43" s="550"/>
      <c r="CV43" s="550"/>
      <c r="CW43" s="550"/>
      <c r="CX43" s="562"/>
      <c r="DA43" s="42"/>
    </row>
    <row r="44" spans="2:109" x14ac:dyDescent="0.4">
      <c r="B44" s="504" t="str">
        <f>"FX - "&amp;DA44</f>
        <v>FX - 19</v>
      </c>
      <c r="C44" s="545" t="s">
        <v>1947</v>
      </c>
      <c r="D44" s="547" t="str">
        <f t="shared" ref="D44" si="284">D42</f>
        <v>Portland</v>
      </c>
      <c r="E44" s="548" t="s">
        <v>65</v>
      </c>
      <c r="F44" s="549" cm="1">
        <f t="array" ref="F44">INDEX(FX_Setup,DA44,DB44)</f>
        <v>30</v>
      </c>
      <c r="G44" s="549" cm="1">
        <f t="array" ref="G44">INDEX(FX_Setup,$DA44,DC44)</f>
        <v>35</v>
      </c>
      <c r="H44" s="550" cm="1">
        <f t="array" ref="H44">INDEX(FX_Setup,$DA44,DD44)</f>
        <v>189000</v>
      </c>
      <c r="I44" s="549" t="s">
        <v>27</v>
      </c>
      <c r="J44" s="549"/>
      <c r="K44" s="549"/>
      <c r="L44" s="549" t="s">
        <v>93</v>
      </c>
      <c r="M44" s="549" t="s">
        <v>90</v>
      </c>
      <c r="N44" s="549" t="s">
        <v>93</v>
      </c>
      <c r="O44" s="549" t="s">
        <v>90</v>
      </c>
      <c r="P44" s="549"/>
      <c r="Q44" s="560"/>
      <c r="R44" s="37" t="str" cm="1">
        <f t="array" ref="R44">INDEX(Surrogate_Lst,MATCH(INDEX(FX_Setup,DA44,3),Product_GRP,0),2)</f>
        <v>Jet kerosene</v>
      </c>
      <c r="S44" s="36" t="str">
        <f t="shared" ref="S44" si="285">INDEX(Phys_Prop,MATCH(R44,Chem_List,0),5)</f>
        <v>Select Pet Stock</v>
      </c>
      <c r="T44" s="36"/>
      <c r="U44" s="36"/>
      <c r="V44" s="38">
        <f>1-V45</f>
        <v>1</v>
      </c>
      <c r="W44" s="37" t="str">
        <f>R44</f>
        <v>Jet kerosene</v>
      </c>
      <c r="X44" s="36" t="str">
        <f t="shared" ref="X44" si="286">INDEX(Phys_Prop,MATCH(W44,Chem_List,0),5)</f>
        <v>Select Pet Stock</v>
      </c>
      <c r="Y44" s="36"/>
      <c r="Z44" s="36"/>
      <c r="AA44" s="38">
        <f>1-AA45</f>
        <v>1</v>
      </c>
      <c r="AB44" s="37" t="str">
        <f>W44</f>
        <v>Jet kerosene</v>
      </c>
      <c r="AC44" s="36" t="str">
        <f t="shared" ref="AC44" si="287">INDEX(Phys_Prop,MATCH(AB44,Chem_List,0),5)</f>
        <v>Select Pet Stock</v>
      </c>
      <c r="AD44" s="36"/>
      <c r="AE44" s="36"/>
      <c r="AF44" s="38">
        <f>1-AF45</f>
        <v>1</v>
      </c>
      <c r="AG44" s="37" t="str">
        <f>AB44</f>
        <v>Jet kerosene</v>
      </c>
      <c r="AH44" s="36" t="str">
        <f t="shared" ref="AH44" si="288">INDEX(Phys_Prop,MATCH(AG44,Chem_List,0),5)</f>
        <v>Select Pet Stock</v>
      </c>
      <c r="AI44" s="36"/>
      <c r="AJ44" s="36"/>
      <c r="AK44" s="38">
        <f>1-AK45</f>
        <v>1</v>
      </c>
      <c r="AL44" s="37" t="str">
        <f>AG44</f>
        <v>Jet kerosene</v>
      </c>
      <c r="AM44" s="36" t="str">
        <f t="shared" ref="AM44" si="289">INDEX(Phys_Prop,MATCH(AL44,Chem_List,0),5)</f>
        <v>Select Pet Stock</v>
      </c>
      <c r="AN44" s="36"/>
      <c r="AO44" s="36"/>
      <c r="AP44" s="38">
        <f>1-AP45</f>
        <v>1</v>
      </c>
      <c r="AQ44" s="37" t="str">
        <f>AL44</f>
        <v>Jet kerosene</v>
      </c>
      <c r="AR44" s="36" t="str">
        <f t="shared" ref="AR44" si="290">INDEX(Phys_Prop,MATCH(AQ44,Chem_List,0),5)</f>
        <v>Select Pet Stock</v>
      </c>
      <c r="AS44" s="36"/>
      <c r="AT44" s="36"/>
      <c r="AU44" s="38">
        <f>1-AU45</f>
        <v>1</v>
      </c>
      <c r="AV44" s="37" t="str">
        <f>AQ44</f>
        <v>Jet kerosene</v>
      </c>
      <c r="AW44" s="36" t="str">
        <f t="shared" ref="AW44" si="291">INDEX(Phys_Prop,MATCH(AV44,Chem_List,0),5)</f>
        <v>Select Pet Stock</v>
      </c>
      <c r="AX44" s="36"/>
      <c r="AY44" s="36"/>
      <c r="AZ44" s="38">
        <f>1-AZ45</f>
        <v>1</v>
      </c>
      <c r="BA44" s="37" t="str">
        <f>AV44</f>
        <v>Jet kerosene</v>
      </c>
      <c r="BB44" s="36" t="str">
        <f t="shared" ref="BB44" si="292">INDEX(Phys_Prop,MATCH(BA44,Chem_List,0),5)</f>
        <v>Select Pet Stock</v>
      </c>
      <c r="BC44" s="36"/>
      <c r="BD44" s="36"/>
      <c r="BE44" s="38">
        <f>1-BE45</f>
        <v>1</v>
      </c>
      <c r="BF44" s="37" t="str">
        <f>BA44</f>
        <v>Jet kerosene</v>
      </c>
      <c r="BG44" s="36" t="str">
        <f t="shared" ref="BG44" si="293">INDEX(Phys_Prop,MATCH(BF44,Chem_List,0),5)</f>
        <v>Select Pet Stock</v>
      </c>
      <c r="BH44" s="36"/>
      <c r="BI44" s="36"/>
      <c r="BJ44" s="38">
        <f>1-BJ45</f>
        <v>1</v>
      </c>
      <c r="BK44" s="37" t="str">
        <f>BF44</f>
        <v>Jet kerosene</v>
      </c>
      <c r="BL44" s="36" t="str">
        <f t="shared" ref="BL44" si="294">INDEX(Phys_Prop,MATCH(BK44,Chem_List,0),5)</f>
        <v>Select Pet Stock</v>
      </c>
      <c r="BM44" s="36"/>
      <c r="BN44" s="36"/>
      <c r="BO44" s="38">
        <f>1-BO45</f>
        <v>1</v>
      </c>
      <c r="BP44" s="37" t="str">
        <f>BK44</f>
        <v>Jet kerosene</v>
      </c>
      <c r="BQ44" s="36" t="str">
        <f t="shared" ref="BQ44" si="295">INDEX(Phys_Prop,MATCH(BP44,Chem_List,0),5)</f>
        <v>Select Pet Stock</v>
      </c>
      <c r="BR44" s="36"/>
      <c r="BS44" s="36"/>
      <c r="BT44" s="38">
        <f>1-BT45</f>
        <v>1</v>
      </c>
      <c r="BU44" s="37" t="str">
        <f>BP44</f>
        <v>Jet kerosene</v>
      </c>
      <c r="BV44" s="36" t="str">
        <f t="shared" ref="BV44" si="296">INDEX(Phys_Prop,MATCH(BU44,Chem_List,0),5)</f>
        <v>Select Pet Stock</v>
      </c>
      <c r="BW44" s="36"/>
      <c r="BX44" s="36"/>
      <c r="BY44" s="38">
        <f>1-BY45</f>
        <v>1</v>
      </c>
      <c r="BZ44" s="561"/>
      <c r="CA44" s="549"/>
      <c r="CB44" s="549"/>
      <c r="CC44" s="549"/>
      <c r="CD44" s="549"/>
      <c r="CE44" s="549"/>
      <c r="CF44" s="549"/>
      <c r="CG44" s="549"/>
      <c r="CH44" s="549"/>
      <c r="CI44" s="549"/>
      <c r="CJ44" s="549"/>
      <c r="CK44" s="549"/>
      <c r="CL44" s="559" cm="1">
        <f t="array" ref="CL44">INDEX(FX_Setup,DA44,DE44)</f>
        <v>4500</v>
      </c>
      <c r="CM44" s="550">
        <f t="shared" ref="CM44:CW44" si="297">CL44</f>
        <v>4500</v>
      </c>
      <c r="CN44" s="550">
        <f t="shared" si="297"/>
        <v>4500</v>
      </c>
      <c r="CO44" s="550">
        <f t="shared" si="297"/>
        <v>4500</v>
      </c>
      <c r="CP44" s="550">
        <f t="shared" si="297"/>
        <v>4500</v>
      </c>
      <c r="CQ44" s="550">
        <f t="shared" si="297"/>
        <v>4500</v>
      </c>
      <c r="CR44" s="550">
        <f t="shared" si="297"/>
        <v>4500</v>
      </c>
      <c r="CS44" s="550">
        <f t="shared" si="297"/>
        <v>4500</v>
      </c>
      <c r="CT44" s="550">
        <f t="shared" si="297"/>
        <v>4500</v>
      </c>
      <c r="CU44" s="550">
        <f t="shared" si="297"/>
        <v>4500</v>
      </c>
      <c r="CV44" s="550">
        <f t="shared" si="297"/>
        <v>4500</v>
      </c>
      <c r="CW44" s="550">
        <f t="shared" si="297"/>
        <v>4500</v>
      </c>
      <c r="CX44" s="562">
        <f t="shared" ref="CX44" si="298">SUM(CL44:CW45)</f>
        <v>54000</v>
      </c>
      <c r="DA44" s="42">
        <f>DA42+1</f>
        <v>19</v>
      </c>
      <c r="DB44">
        <v>7</v>
      </c>
      <c r="DC44">
        <v>6</v>
      </c>
      <c r="DD44">
        <v>5</v>
      </c>
      <c r="DE44">
        <f t="shared" ref="DE44" si="299">DE42</f>
        <v>9</v>
      </c>
    </row>
    <row r="45" spans="2:109" x14ac:dyDescent="0.4">
      <c r="B45" s="504"/>
      <c r="C45" s="546"/>
      <c r="D45" s="547"/>
      <c r="E45" s="548"/>
      <c r="F45" s="549"/>
      <c r="G45" s="549"/>
      <c r="H45" s="550"/>
      <c r="I45" s="549"/>
      <c r="J45" s="549"/>
      <c r="K45" s="549"/>
      <c r="L45" s="549"/>
      <c r="M45" s="549"/>
      <c r="N45" s="549"/>
      <c r="O45" s="549"/>
      <c r="P45" s="549"/>
      <c r="Q45" s="560"/>
      <c r="R45" s="27"/>
      <c r="S45" s="36"/>
      <c r="T45" s="28"/>
      <c r="U45" s="28"/>
      <c r="V45" s="26"/>
      <c r="W45" s="27"/>
      <c r="X45" s="36"/>
      <c r="Y45" s="28"/>
      <c r="Z45" s="28"/>
      <c r="AA45" s="26"/>
      <c r="AB45" s="27"/>
      <c r="AC45" s="36"/>
      <c r="AD45" s="28"/>
      <c r="AE45" s="28"/>
      <c r="AF45" s="26"/>
      <c r="AG45" s="27"/>
      <c r="AH45" s="36"/>
      <c r="AI45" s="28"/>
      <c r="AJ45" s="28"/>
      <c r="AK45" s="26"/>
      <c r="AL45" s="27"/>
      <c r="AM45" s="36"/>
      <c r="AN45" s="28"/>
      <c r="AO45" s="28"/>
      <c r="AP45" s="26"/>
      <c r="AQ45" s="27"/>
      <c r="AR45" s="36"/>
      <c r="AS45" s="28"/>
      <c r="AT45" s="28"/>
      <c r="AU45" s="26"/>
      <c r="AV45" s="27"/>
      <c r="AW45" s="36"/>
      <c r="AX45" s="28"/>
      <c r="AY45" s="28"/>
      <c r="AZ45" s="26"/>
      <c r="BA45" s="27"/>
      <c r="BB45" s="36"/>
      <c r="BC45" s="28"/>
      <c r="BD45" s="28"/>
      <c r="BE45" s="26"/>
      <c r="BF45" s="27"/>
      <c r="BG45" s="36"/>
      <c r="BH45" s="28"/>
      <c r="BI45" s="28"/>
      <c r="BJ45" s="26"/>
      <c r="BK45" s="27"/>
      <c r="BL45" s="36"/>
      <c r="BM45" s="28"/>
      <c r="BN45" s="28"/>
      <c r="BO45" s="26"/>
      <c r="BP45" s="27"/>
      <c r="BQ45" s="36"/>
      <c r="BR45" s="28"/>
      <c r="BS45" s="28"/>
      <c r="BT45" s="26"/>
      <c r="BU45" s="27"/>
      <c r="BV45" s="36"/>
      <c r="BW45" s="28"/>
      <c r="BX45" s="28"/>
      <c r="BY45" s="26"/>
      <c r="BZ45" s="561"/>
      <c r="CA45" s="549"/>
      <c r="CB45" s="549"/>
      <c r="CC45" s="549"/>
      <c r="CD45" s="549"/>
      <c r="CE45" s="549"/>
      <c r="CF45" s="549"/>
      <c r="CG45" s="549"/>
      <c r="CH45" s="549"/>
      <c r="CI45" s="549"/>
      <c r="CJ45" s="549"/>
      <c r="CK45" s="549"/>
      <c r="CL45" s="559"/>
      <c r="CM45" s="550"/>
      <c r="CN45" s="550"/>
      <c r="CO45" s="550"/>
      <c r="CP45" s="550"/>
      <c r="CQ45" s="550"/>
      <c r="CR45" s="550"/>
      <c r="CS45" s="550"/>
      <c r="CT45" s="550"/>
      <c r="CU45" s="550"/>
      <c r="CV45" s="550"/>
      <c r="CW45" s="550"/>
      <c r="CX45" s="562"/>
      <c r="DA45" s="42"/>
    </row>
    <row r="46" spans="2:109" x14ac:dyDescent="0.4">
      <c r="B46" s="504" t="str">
        <f>"FX - "&amp;DA46</f>
        <v>FX - 20</v>
      </c>
      <c r="C46" s="545" t="s">
        <v>1948</v>
      </c>
      <c r="D46" s="547" t="str">
        <f t="shared" ref="D46" si="300">D44</f>
        <v>Portland</v>
      </c>
      <c r="E46" s="548" t="s">
        <v>65</v>
      </c>
      <c r="F46" s="549" cm="1">
        <f t="array" ref="F46">INDEX(FX_Setup,DA46,DB46)</f>
        <v>60</v>
      </c>
      <c r="G46" s="549" cm="1">
        <f t="array" ref="G46">INDEX(FX_Setup,$DA46,DC46)</f>
        <v>40</v>
      </c>
      <c r="H46" s="550" cm="1">
        <f t="array" ref="H46">INDEX(FX_Setup,$DA46,DD46)</f>
        <v>845964</v>
      </c>
      <c r="I46" s="549" t="s">
        <v>27</v>
      </c>
      <c r="J46" s="549"/>
      <c r="K46" s="549"/>
      <c r="L46" s="549" t="s">
        <v>93</v>
      </c>
      <c r="M46" s="549" t="s">
        <v>90</v>
      </c>
      <c r="N46" s="549" t="s">
        <v>93</v>
      </c>
      <c r="O46" s="549" t="s">
        <v>90</v>
      </c>
      <c r="P46" s="549"/>
      <c r="Q46" s="560"/>
      <c r="R46" s="37" t="str" cm="1">
        <f t="array" ref="R46">INDEX(Surrogate_Lst,MATCH(INDEX(FX_Setup,DA46,3),Product_GRP,0),2)</f>
        <v>Jet kerosene</v>
      </c>
      <c r="S46" s="36" t="str">
        <f t="shared" ref="S46" si="301">INDEX(Phys_Prop,MATCH(R46,Chem_List,0),5)</f>
        <v>Select Pet Stock</v>
      </c>
      <c r="T46" s="36"/>
      <c r="U46" s="36"/>
      <c r="V46" s="38">
        <f>1-V47</f>
        <v>1</v>
      </c>
      <c r="W46" s="37" t="str">
        <f>R46</f>
        <v>Jet kerosene</v>
      </c>
      <c r="X46" s="36" t="str">
        <f t="shared" ref="X46" si="302">INDEX(Phys_Prop,MATCH(W46,Chem_List,0),5)</f>
        <v>Select Pet Stock</v>
      </c>
      <c r="Y46" s="36"/>
      <c r="Z46" s="36"/>
      <c r="AA46" s="38">
        <f>1-AA47</f>
        <v>1</v>
      </c>
      <c r="AB46" s="37" t="str">
        <f>W46</f>
        <v>Jet kerosene</v>
      </c>
      <c r="AC46" s="36" t="str">
        <f t="shared" ref="AC46" si="303">INDEX(Phys_Prop,MATCH(AB46,Chem_List,0),5)</f>
        <v>Select Pet Stock</v>
      </c>
      <c r="AD46" s="36"/>
      <c r="AE46" s="36"/>
      <c r="AF46" s="38">
        <f>1-AF47</f>
        <v>1</v>
      </c>
      <c r="AG46" s="37" t="str">
        <f>AB46</f>
        <v>Jet kerosene</v>
      </c>
      <c r="AH46" s="36" t="str">
        <f t="shared" ref="AH46" si="304">INDEX(Phys_Prop,MATCH(AG46,Chem_List,0),5)</f>
        <v>Select Pet Stock</v>
      </c>
      <c r="AI46" s="36"/>
      <c r="AJ46" s="36"/>
      <c r="AK46" s="38">
        <f>1-AK47</f>
        <v>1</v>
      </c>
      <c r="AL46" s="37" t="str">
        <f>AG46</f>
        <v>Jet kerosene</v>
      </c>
      <c r="AM46" s="36" t="str">
        <f t="shared" ref="AM46" si="305">INDEX(Phys_Prop,MATCH(AL46,Chem_List,0),5)</f>
        <v>Select Pet Stock</v>
      </c>
      <c r="AN46" s="36"/>
      <c r="AO46" s="36"/>
      <c r="AP46" s="38">
        <f>1-AP47</f>
        <v>1</v>
      </c>
      <c r="AQ46" s="37" t="str">
        <f>AL46</f>
        <v>Jet kerosene</v>
      </c>
      <c r="AR46" s="36" t="str">
        <f t="shared" ref="AR46" si="306">INDEX(Phys_Prop,MATCH(AQ46,Chem_List,0),5)</f>
        <v>Select Pet Stock</v>
      </c>
      <c r="AS46" s="36"/>
      <c r="AT46" s="36"/>
      <c r="AU46" s="38">
        <f>1-AU47</f>
        <v>1</v>
      </c>
      <c r="AV46" s="37" t="str">
        <f>AQ46</f>
        <v>Jet kerosene</v>
      </c>
      <c r="AW46" s="36" t="str">
        <f t="shared" ref="AW46" si="307">INDEX(Phys_Prop,MATCH(AV46,Chem_List,0),5)</f>
        <v>Select Pet Stock</v>
      </c>
      <c r="AX46" s="36"/>
      <c r="AY46" s="36"/>
      <c r="AZ46" s="38">
        <f>1-AZ47</f>
        <v>1</v>
      </c>
      <c r="BA46" s="37" t="str">
        <f>AV46</f>
        <v>Jet kerosene</v>
      </c>
      <c r="BB46" s="36" t="str">
        <f t="shared" ref="BB46" si="308">INDEX(Phys_Prop,MATCH(BA46,Chem_List,0),5)</f>
        <v>Select Pet Stock</v>
      </c>
      <c r="BC46" s="36"/>
      <c r="BD46" s="36"/>
      <c r="BE46" s="38">
        <f>1-BE47</f>
        <v>1</v>
      </c>
      <c r="BF46" s="37" t="str">
        <f>BA46</f>
        <v>Jet kerosene</v>
      </c>
      <c r="BG46" s="36" t="str">
        <f t="shared" ref="BG46" si="309">INDEX(Phys_Prop,MATCH(BF46,Chem_List,0),5)</f>
        <v>Select Pet Stock</v>
      </c>
      <c r="BH46" s="36"/>
      <c r="BI46" s="36"/>
      <c r="BJ46" s="38">
        <f>1-BJ47</f>
        <v>1</v>
      </c>
      <c r="BK46" s="37" t="str">
        <f>BF46</f>
        <v>Jet kerosene</v>
      </c>
      <c r="BL46" s="36" t="str">
        <f t="shared" ref="BL46" si="310">INDEX(Phys_Prop,MATCH(BK46,Chem_List,0),5)</f>
        <v>Select Pet Stock</v>
      </c>
      <c r="BM46" s="36"/>
      <c r="BN46" s="36"/>
      <c r="BO46" s="38">
        <f>1-BO47</f>
        <v>1</v>
      </c>
      <c r="BP46" s="37" t="str">
        <f>BK46</f>
        <v>Jet kerosene</v>
      </c>
      <c r="BQ46" s="36" t="str">
        <f t="shared" ref="BQ46" si="311">INDEX(Phys_Prop,MATCH(BP46,Chem_List,0),5)</f>
        <v>Select Pet Stock</v>
      </c>
      <c r="BR46" s="36"/>
      <c r="BS46" s="36"/>
      <c r="BT46" s="38">
        <f>1-BT47</f>
        <v>1</v>
      </c>
      <c r="BU46" s="37" t="str">
        <f>BP46</f>
        <v>Jet kerosene</v>
      </c>
      <c r="BV46" s="36" t="str">
        <f t="shared" ref="BV46" si="312">INDEX(Phys_Prop,MATCH(BU46,Chem_List,0),5)</f>
        <v>Select Pet Stock</v>
      </c>
      <c r="BW46" s="36"/>
      <c r="BX46" s="36"/>
      <c r="BY46" s="38">
        <f>1-BY47</f>
        <v>1</v>
      </c>
      <c r="BZ46" s="561"/>
      <c r="CA46" s="549"/>
      <c r="CB46" s="549"/>
      <c r="CC46" s="549"/>
      <c r="CD46" s="549"/>
      <c r="CE46" s="549"/>
      <c r="CF46" s="549"/>
      <c r="CG46" s="549"/>
      <c r="CH46" s="549"/>
      <c r="CI46" s="549"/>
      <c r="CJ46" s="549"/>
      <c r="CK46" s="549"/>
      <c r="CL46" s="567" cm="1">
        <f t="array" ref="CL46">INDEX(FX_Setup,DA46,DE46)</f>
        <v>20142</v>
      </c>
      <c r="CM46" s="563">
        <f t="shared" ref="CM46:CW46" si="313">CL46</f>
        <v>20142</v>
      </c>
      <c r="CN46" s="563">
        <f t="shared" si="313"/>
        <v>20142</v>
      </c>
      <c r="CO46" s="563">
        <f t="shared" si="313"/>
        <v>20142</v>
      </c>
      <c r="CP46" s="563">
        <f t="shared" si="313"/>
        <v>20142</v>
      </c>
      <c r="CQ46" s="563">
        <f t="shared" si="313"/>
        <v>20142</v>
      </c>
      <c r="CR46" s="563">
        <f t="shared" si="313"/>
        <v>20142</v>
      </c>
      <c r="CS46" s="563">
        <f t="shared" si="313"/>
        <v>20142</v>
      </c>
      <c r="CT46" s="563">
        <f t="shared" si="313"/>
        <v>20142</v>
      </c>
      <c r="CU46" s="563">
        <f t="shared" si="313"/>
        <v>20142</v>
      </c>
      <c r="CV46" s="563">
        <f t="shared" si="313"/>
        <v>20142</v>
      </c>
      <c r="CW46" s="563">
        <f t="shared" si="313"/>
        <v>20142</v>
      </c>
      <c r="CX46" s="565">
        <f t="shared" ref="CX46" si="314">SUM(CL46:CW47)</f>
        <v>241704</v>
      </c>
      <c r="DA46" s="42">
        <f>DA44+1</f>
        <v>20</v>
      </c>
      <c r="DB46">
        <v>7</v>
      </c>
      <c r="DC46">
        <v>6</v>
      </c>
      <c r="DD46">
        <v>5</v>
      </c>
      <c r="DE46">
        <f t="shared" ref="DE46" si="315">DE44</f>
        <v>9</v>
      </c>
    </row>
    <row r="47" spans="2:109" x14ac:dyDescent="0.4">
      <c r="B47" s="504"/>
      <c r="C47" s="546"/>
      <c r="D47" s="547"/>
      <c r="E47" s="548"/>
      <c r="F47" s="549"/>
      <c r="G47" s="549"/>
      <c r="H47" s="550"/>
      <c r="I47" s="549"/>
      <c r="J47" s="549"/>
      <c r="K47" s="549"/>
      <c r="L47" s="549"/>
      <c r="M47" s="549"/>
      <c r="N47" s="549"/>
      <c r="O47" s="549"/>
      <c r="P47" s="549"/>
      <c r="Q47" s="560"/>
      <c r="R47" s="27"/>
      <c r="S47" s="36"/>
      <c r="T47" s="28"/>
      <c r="U47" s="28"/>
      <c r="V47" s="26"/>
      <c r="W47" s="27"/>
      <c r="X47" s="36"/>
      <c r="Y47" s="28"/>
      <c r="Z47" s="28"/>
      <c r="AA47" s="26"/>
      <c r="AB47" s="27"/>
      <c r="AC47" s="36"/>
      <c r="AD47" s="28"/>
      <c r="AE47" s="28"/>
      <c r="AF47" s="26"/>
      <c r="AG47" s="27"/>
      <c r="AH47" s="36"/>
      <c r="AI47" s="28"/>
      <c r="AJ47" s="28"/>
      <c r="AK47" s="26"/>
      <c r="AL47" s="27"/>
      <c r="AM47" s="36"/>
      <c r="AN47" s="28"/>
      <c r="AO47" s="28"/>
      <c r="AP47" s="26"/>
      <c r="AQ47" s="27"/>
      <c r="AR47" s="36"/>
      <c r="AS47" s="28"/>
      <c r="AT47" s="28"/>
      <c r="AU47" s="26"/>
      <c r="AV47" s="27"/>
      <c r="AW47" s="36"/>
      <c r="AX47" s="28"/>
      <c r="AY47" s="28"/>
      <c r="AZ47" s="26"/>
      <c r="BA47" s="27"/>
      <c r="BB47" s="36"/>
      <c r="BC47" s="28"/>
      <c r="BD47" s="28"/>
      <c r="BE47" s="26"/>
      <c r="BF47" s="27"/>
      <c r="BG47" s="36"/>
      <c r="BH47" s="28"/>
      <c r="BI47" s="28"/>
      <c r="BJ47" s="26"/>
      <c r="BK47" s="27"/>
      <c r="BL47" s="36"/>
      <c r="BM47" s="28"/>
      <c r="BN47" s="28"/>
      <c r="BO47" s="26"/>
      <c r="BP47" s="27"/>
      <c r="BQ47" s="36"/>
      <c r="BR47" s="28"/>
      <c r="BS47" s="28"/>
      <c r="BT47" s="26"/>
      <c r="BU47" s="27"/>
      <c r="BV47" s="36"/>
      <c r="BW47" s="28"/>
      <c r="BX47" s="28"/>
      <c r="BY47" s="26"/>
      <c r="BZ47" s="561"/>
      <c r="CA47" s="549"/>
      <c r="CB47" s="549"/>
      <c r="CC47" s="549"/>
      <c r="CD47" s="549"/>
      <c r="CE47" s="549"/>
      <c r="CF47" s="549"/>
      <c r="CG47" s="549"/>
      <c r="CH47" s="549"/>
      <c r="CI47" s="549"/>
      <c r="CJ47" s="549"/>
      <c r="CK47" s="549"/>
      <c r="CL47" s="568"/>
      <c r="CM47" s="564"/>
      <c r="CN47" s="564"/>
      <c r="CO47" s="564"/>
      <c r="CP47" s="564"/>
      <c r="CQ47" s="564"/>
      <c r="CR47" s="564"/>
      <c r="CS47" s="564"/>
      <c r="CT47" s="564"/>
      <c r="CU47" s="564"/>
      <c r="CV47" s="564"/>
      <c r="CW47" s="564"/>
      <c r="CX47" s="566"/>
      <c r="DA47" s="42"/>
    </row>
    <row r="48" spans="2:109" x14ac:dyDescent="0.4">
      <c r="B48" s="504" t="str">
        <f>"FX - "&amp;DA48</f>
        <v>FX - 21</v>
      </c>
      <c r="C48" s="545" t="s">
        <v>1949</v>
      </c>
      <c r="D48" s="547" t="str">
        <f t="shared" ref="D48" si="316">D46</f>
        <v>Portland</v>
      </c>
      <c r="E48" s="548" t="s">
        <v>65</v>
      </c>
      <c r="F48" s="549" cm="1">
        <f t="array" ref="F48">INDEX(FX_Setup,DA48,DB48)</f>
        <v>100</v>
      </c>
      <c r="G48" s="549" cm="1">
        <f t="array" ref="G48">INDEX(FX_Setup,$DA48,DC48)</f>
        <v>40</v>
      </c>
      <c r="H48" s="550" cm="1">
        <f t="array" ref="H48">INDEX(FX_Setup,$DA48,DD48)</f>
        <v>2349900</v>
      </c>
      <c r="I48" s="549" t="s">
        <v>27</v>
      </c>
      <c r="J48" s="549"/>
      <c r="K48" s="549"/>
      <c r="L48" s="549" t="s">
        <v>93</v>
      </c>
      <c r="M48" s="549" t="s">
        <v>90</v>
      </c>
      <c r="N48" s="549" t="s">
        <v>93</v>
      </c>
      <c r="O48" s="549" t="s">
        <v>90</v>
      </c>
      <c r="P48" s="549"/>
      <c r="Q48" s="560"/>
      <c r="R48" s="37" t="str" cm="1">
        <f t="array" ref="R48">INDEX(Surrogate_Lst,MATCH(INDEX(FX_Setup,DA48,3),Product_GRP,0),2)</f>
        <v>Jet kerosene</v>
      </c>
      <c r="S48" s="36" t="str">
        <f t="shared" ref="S48" si="317">INDEX(Phys_Prop,MATCH(R48,Chem_List,0),5)</f>
        <v>Select Pet Stock</v>
      </c>
      <c r="T48" s="36"/>
      <c r="U48" s="36"/>
      <c r="V48" s="38">
        <f>1-V49</f>
        <v>1</v>
      </c>
      <c r="W48" s="37" t="str">
        <f>R48</f>
        <v>Jet kerosene</v>
      </c>
      <c r="X48" s="36" t="str">
        <f t="shared" ref="X48" si="318">INDEX(Phys_Prop,MATCH(W48,Chem_List,0),5)</f>
        <v>Select Pet Stock</v>
      </c>
      <c r="Y48" s="36"/>
      <c r="Z48" s="36"/>
      <c r="AA48" s="38">
        <f>1-AA49</f>
        <v>1</v>
      </c>
      <c r="AB48" s="37" t="str">
        <f>W48</f>
        <v>Jet kerosene</v>
      </c>
      <c r="AC48" s="36" t="str">
        <f t="shared" ref="AC48" si="319">INDEX(Phys_Prop,MATCH(AB48,Chem_List,0),5)</f>
        <v>Select Pet Stock</v>
      </c>
      <c r="AD48" s="36"/>
      <c r="AE48" s="36"/>
      <c r="AF48" s="38">
        <f>1-AF49</f>
        <v>1</v>
      </c>
      <c r="AG48" s="37" t="str">
        <f>AB48</f>
        <v>Jet kerosene</v>
      </c>
      <c r="AH48" s="36" t="str">
        <f t="shared" ref="AH48" si="320">INDEX(Phys_Prop,MATCH(AG48,Chem_List,0),5)</f>
        <v>Select Pet Stock</v>
      </c>
      <c r="AI48" s="36"/>
      <c r="AJ48" s="36"/>
      <c r="AK48" s="38">
        <f>1-AK49</f>
        <v>1</v>
      </c>
      <c r="AL48" s="37" t="str">
        <f>AG48</f>
        <v>Jet kerosene</v>
      </c>
      <c r="AM48" s="36" t="str">
        <f t="shared" ref="AM48" si="321">INDEX(Phys_Prop,MATCH(AL48,Chem_List,0),5)</f>
        <v>Select Pet Stock</v>
      </c>
      <c r="AN48" s="36"/>
      <c r="AO48" s="36"/>
      <c r="AP48" s="38">
        <f>1-AP49</f>
        <v>1</v>
      </c>
      <c r="AQ48" s="37" t="str">
        <f>AL48</f>
        <v>Jet kerosene</v>
      </c>
      <c r="AR48" s="36" t="str">
        <f t="shared" ref="AR48" si="322">INDEX(Phys_Prop,MATCH(AQ48,Chem_List,0),5)</f>
        <v>Select Pet Stock</v>
      </c>
      <c r="AS48" s="36"/>
      <c r="AT48" s="36"/>
      <c r="AU48" s="38">
        <f>1-AU49</f>
        <v>1</v>
      </c>
      <c r="AV48" s="37" t="str">
        <f>AQ48</f>
        <v>Jet kerosene</v>
      </c>
      <c r="AW48" s="36" t="str">
        <f t="shared" ref="AW48" si="323">INDEX(Phys_Prop,MATCH(AV48,Chem_List,0),5)</f>
        <v>Select Pet Stock</v>
      </c>
      <c r="AX48" s="36"/>
      <c r="AY48" s="36"/>
      <c r="AZ48" s="38">
        <f>1-AZ49</f>
        <v>1</v>
      </c>
      <c r="BA48" s="37" t="str">
        <f>AV48</f>
        <v>Jet kerosene</v>
      </c>
      <c r="BB48" s="36" t="str">
        <f t="shared" ref="BB48" si="324">INDEX(Phys_Prop,MATCH(BA48,Chem_List,0),5)</f>
        <v>Select Pet Stock</v>
      </c>
      <c r="BC48" s="36"/>
      <c r="BD48" s="36"/>
      <c r="BE48" s="38">
        <f>1-BE49</f>
        <v>1</v>
      </c>
      <c r="BF48" s="37" t="str">
        <f>BA48</f>
        <v>Jet kerosene</v>
      </c>
      <c r="BG48" s="36" t="str">
        <f t="shared" ref="BG48" si="325">INDEX(Phys_Prop,MATCH(BF48,Chem_List,0),5)</f>
        <v>Select Pet Stock</v>
      </c>
      <c r="BH48" s="36"/>
      <c r="BI48" s="36"/>
      <c r="BJ48" s="38">
        <f>1-BJ49</f>
        <v>1</v>
      </c>
      <c r="BK48" s="37" t="str">
        <f>BF48</f>
        <v>Jet kerosene</v>
      </c>
      <c r="BL48" s="36" t="str">
        <f t="shared" ref="BL48" si="326">INDEX(Phys_Prop,MATCH(BK48,Chem_List,0),5)</f>
        <v>Select Pet Stock</v>
      </c>
      <c r="BM48" s="36"/>
      <c r="BN48" s="36"/>
      <c r="BO48" s="38">
        <f>1-BO49</f>
        <v>1</v>
      </c>
      <c r="BP48" s="37" t="str">
        <f>BK48</f>
        <v>Jet kerosene</v>
      </c>
      <c r="BQ48" s="36" t="str">
        <f t="shared" ref="BQ48" si="327">INDEX(Phys_Prop,MATCH(BP48,Chem_List,0),5)</f>
        <v>Select Pet Stock</v>
      </c>
      <c r="BR48" s="36"/>
      <c r="BS48" s="36"/>
      <c r="BT48" s="38">
        <f>1-BT49</f>
        <v>1</v>
      </c>
      <c r="BU48" s="37" t="str">
        <f>BP48</f>
        <v>Jet kerosene</v>
      </c>
      <c r="BV48" s="36" t="str">
        <f t="shared" ref="BV48" si="328">INDEX(Phys_Prop,MATCH(BU48,Chem_List,0),5)</f>
        <v>Select Pet Stock</v>
      </c>
      <c r="BW48" s="36"/>
      <c r="BX48" s="36"/>
      <c r="BY48" s="38">
        <f>1-BY49</f>
        <v>1</v>
      </c>
      <c r="BZ48" s="561"/>
      <c r="CA48" s="549"/>
      <c r="CB48" s="549"/>
      <c r="CC48" s="549"/>
      <c r="CD48" s="549"/>
      <c r="CE48" s="549"/>
      <c r="CF48" s="549"/>
      <c r="CG48" s="549"/>
      <c r="CH48" s="549"/>
      <c r="CI48" s="549"/>
      <c r="CJ48" s="549"/>
      <c r="CK48" s="549"/>
      <c r="CL48" s="559" cm="1">
        <f t="array" ref="CL48">INDEX(FX_Setup,DA48,DE48)</f>
        <v>55950</v>
      </c>
      <c r="CM48" s="550">
        <f t="shared" ref="CM48:CW48" si="329">CL48</f>
        <v>55950</v>
      </c>
      <c r="CN48" s="550">
        <f t="shared" si="329"/>
        <v>55950</v>
      </c>
      <c r="CO48" s="550">
        <f t="shared" si="329"/>
        <v>55950</v>
      </c>
      <c r="CP48" s="550">
        <f t="shared" si="329"/>
        <v>55950</v>
      </c>
      <c r="CQ48" s="550">
        <f t="shared" si="329"/>
        <v>55950</v>
      </c>
      <c r="CR48" s="550">
        <f t="shared" si="329"/>
        <v>55950</v>
      </c>
      <c r="CS48" s="550">
        <f t="shared" si="329"/>
        <v>55950</v>
      </c>
      <c r="CT48" s="550">
        <f t="shared" si="329"/>
        <v>55950</v>
      </c>
      <c r="CU48" s="550">
        <f t="shared" si="329"/>
        <v>55950</v>
      </c>
      <c r="CV48" s="550">
        <f t="shared" si="329"/>
        <v>55950</v>
      </c>
      <c r="CW48" s="550">
        <f t="shared" si="329"/>
        <v>55950</v>
      </c>
      <c r="CX48" s="562">
        <f t="shared" ref="CX48" si="330">SUM(CL48:CW49)</f>
        <v>671400</v>
      </c>
      <c r="DA48" s="42">
        <f>DA46+1</f>
        <v>21</v>
      </c>
      <c r="DB48">
        <v>7</v>
      </c>
      <c r="DC48">
        <v>6</v>
      </c>
      <c r="DD48">
        <v>5</v>
      </c>
      <c r="DE48">
        <f t="shared" ref="DE48" si="331">DE46</f>
        <v>9</v>
      </c>
    </row>
    <row r="49" spans="1:109" x14ac:dyDescent="0.4">
      <c r="B49" s="504"/>
      <c r="C49" s="546"/>
      <c r="D49" s="547"/>
      <c r="E49" s="548"/>
      <c r="F49" s="549"/>
      <c r="G49" s="549"/>
      <c r="H49" s="550"/>
      <c r="I49" s="549"/>
      <c r="J49" s="549"/>
      <c r="K49" s="549"/>
      <c r="L49" s="549"/>
      <c r="M49" s="549"/>
      <c r="N49" s="549"/>
      <c r="O49" s="549"/>
      <c r="P49" s="549"/>
      <c r="Q49" s="560"/>
      <c r="R49" s="27"/>
      <c r="S49" s="36"/>
      <c r="T49" s="28"/>
      <c r="U49" s="28"/>
      <c r="V49" s="26"/>
      <c r="W49" s="27"/>
      <c r="X49" s="36"/>
      <c r="Y49" s="28"/>
      <c r="Z49" s="28"/>
      <c r="AA49" s="26"/>
      <c r="AB49" s="27"/>
      <c r="AC49" s="36"/>
      <c r="AD49" s="28"/>
      <c r="AE49" s="28"/>
      <c r="AF49" s="26"/>
      <c r="AG49" s="27"/>
      <c r="AH49" s="36"/>
      <c r="AI49" s="28"/>
      <c r="AJ49" s="28"/>
      <c r="AK49" s="26"/>
      <c r="AL49" s="27"/>
      <c r="AM49" s="36"/>
      <c r="AN49" s="28"/>
      <c r="AO49" s="28"/>
      <c r="AP49" s="26"/>
      <c r="AQ49" s="27"/>
      <c r="AR49" s="36"/>
      <c r="AS49" s="28"/>
      <c r="AT49" s="28"/>
      <c r="AU49" s="26"/>
      <c r="AV49" s="27"/>
      <c r="AW49" s="36"/>
      <c r="AX49" s="28"/>
      <c r="AY49" s="28"/>
      <c r="AZ49" s="26"/>
      <c r="BA49" s="27"/>
      <c r="BB49" s="36"/>
      <c r="BC49" s="28"/>
      <c r="BD49" s="28"/>
      <c r="BE49" s="26"/>
      <c r="BF49" s="27"/>
      <c r="BG49" s="36"/>
      <c r="BH49" s="28"/>
      <c r="BI49" s="28"/>
      <c r="BJ49" s="26"/>
      <c r="BK49" s="27"/>
      <c r="BL49" s="36"/>
      <c r="BM49" s="28"/>
      <c r="BN49" s="28"/>
      <c r="BO49" s="26"/>
      <c r="BP49" s="27"/>
      <c r="BQ49" s="36"/>
      <c r="BR49" s="28"/>
      <c r="BS49" s="28"/>
      <c r="BT49" s="26"/>
      <c r="BU49" s="27"/>
      <c r="BV49" s="36"/>
      <c r="BW49" s="28"/>
      <c r="BX49" s="28"/>
      <c r="BY49" s="26"/>
      <c r="BZ49" s="561"/>
      <c r="CA49" s="549"/>
      <c r="CB49" s="549"/>
      <c r="CC49" s="549"/>
      <c r="CD49" s="549"/>
      <c r="CE49" s="549"/>
      <c r="CF49" s="549"/>
      <c r="CG49" s="549"/>
      <c r="CH49" s="549"/>
      <c r="CI49" s="549"/>
      <c r="CJ49" s="549"/>
      <c r="CK49" s="549"/>
      <c r="CL49" s="559"/>
      <c r="CM49" s="550"/>
      <c r="CN49" s="550"/>
      <c r="CO49" s="550"/>
      <c r="CP49" s="550"/>
      <c r="CQ49" s="550"/>
      <c r="CR49" s="550"/>
      <c r="CS49" s="550"/>
      <c r="CT49" s="550"/>
      <c r="CU49" s="550"/>
      <c r="CV49" s="550"/>
      <c r="CW49" s="550"/>
      <c r="CX49" s="562"/>
      <c r="DA49" s="42"/>
    </row>
    <row r="50" spans="1:109" x14ac:dyDescent="0.4">
      <c r="B50" s="504" t="str">
        <f>"FX - "&amp;DA50</f>
        <v>FX - 22</v>
      </c>
      <c r="C50" s="545" t="s">
        <v>1950</v>
      </c>
      <c r="D50" s="547" t="str">
        <f t="shared" ref="D50" si="332">D48</f>
        <v>Portland</v>
      </c>
      <c r="E50" s="548" t="s">
        <v>65</v>
      </c>
      <c r="F50" s="549" cm="1">
        <f t="array" ref="F50">INDEX(FX_Setup,DA50,DB50)</f>
        <v>120</v>
      </c>
      <c r="G50" s="549" cm="1">
        <f t="array" ref="G50">INDEX(FX_Setup,$DA50,DC50)</f>
        <v>40</v>
      </c>
      <c r="H50" s="550" cm="1">
        <f t="array" ref="H50">INDEX(FX_Setup,$DA50,DD50)</f>
        <v>3383856</v>
      </c>
      <c r="I50" s="549" t="s">
        <v>27</v>
      </c>
      <c r="J50" s="549"/>
      <c r="K50" s="549"/>
      <c r="L50" s="549" t="s">
        <v>93</v>
      </c>
      <c r="M50" s="549" t="s">
        <v>90</v>
      </c>
      <c r="N50" s="549" t="s">
        <v>93</v>
      </c>
      <c r="O50" s="549" t="s">
        <v>90</v>
      </c>
      <c r="P50" s="549"/>
      <c r="Q50" s="560"/>
      <c r="R50" s="37" t="str" cm="1">
        <f t="array" ref="R50">INDEX(Surrogate_Lst,MATCH(INDEX(FX_Setup,DA50,3),Product_GRP,0),2)</f>
        <v>Jet kerosene</v>
      </c>
      <c r="S50" s="36" t="str">
        <f t="shared" ref="S50" si="333">INDEX(Phys_Prop,MATCH(R50,Chem_List,0),5)</f>
        <v>Select Pet Stock</v>
      </c>
      <c r="T50" s="36"/>
      <c r="U50" s="36"/>
      <c r="V50" s="38">
        <f>1-V51</f>
        <v>1</v>
      </c>
      <c r="W50" s="37" t="str">
        <f>R50</f>
        <v>Jet kerosene</v>
      </c>
      <c r="X50" s="36" t="str">
        <f t="shared" ref="X50" si="334">INDEX(Phys_Prop,MATCH(W50,Chem_List,0),5)</f>
        <v>Select Pet Stock</v>
      </c>
      <c r="Y50" s="36"/>
      <c r="Z50" s="36"/>
      <c r="AA50" s="38">
        <f>1-AA51</f>
        <v>1</v>
      </c>
      <c r="AB50" s="37" t="str">
        <f>W50</f>
        <v>Jet kerosene</v>
      </c>
      <c r="AC50" s="36" t="str">
        <f t="shared" ref="AC50" si="335">INDEX(Phys_Prop,MATCH(AB50,Chem_List,0),5)</f>
        <v>Select Pet Stock</v>
      </c>
      <c r="AD50" s="36"/>
      <c r="AE50" s="36"/>
      <c r="AF50" s="38">
        <f>1-AF51</f>
        <v>1</v>
      </c>
      <c r="AG50" s="37" t="str">
        <f>AB50</f>
        <v>Jet kerosene</v>
      </c>
      <c r="AH50" s="36" t="str">
        <f t="shared" ref="AH50" si="336">INDEX(Phys_Prop,MATCH(AG50,Chem_List,0),5)</f>
        <v>Select Pet Stock</v>
      </c>
      <c r="AI50" s="36"/>
      <c r="AJ50" s="36"/>
      <c r="AK50" s="38">
        <f>1-AK51</f>
        <v>1</v>
      </c>
      <c r="AL50" s="37" t="str">
        <f>AG50</f>
        <v>Jet kerosene</v>
      </c>
      <c r="AM50" s="36" t="str">
        <f t="shared" ref="AM50" si="337">INDEX(Phys_Prop,MATCH(AL50,Chem_List,0),5)</f>
        <v>Select Pet Stock</v>
      </c>
      <c r="AN50" s="36"/>
      <c r="AO50" s="36"/>
      <c r="AP50" s="38">
        <f>1-AP51</f>
        <v>1</v>
      </c>
      <c r="AQ50" s="37" t="str">
        <f>AL50</f>
        <v>Jet kerosene</v>
      </c>
      <c r="AR50" s="36" t="str">
        <f t="shared" ref="AR50" si="338">INDEX(Phys_Prop,MATCH(AQ50,Chem_List,0),5)</f>
        <v>Select Pet Stock</v>
      </c>
      <c r="AS50" s="36"/>
      <c r="AT50" s="36"/>
      <c r="AU50" s="38">
        <f>1-AU51</f>
        <v>1</v>
      </c>
      <c r="AV50" s="37" t="str">
        <f>AQ50</f>
        <v>Jet kerosene</v>
      </c>
      <c r="AW50" s="36" t="str">
        <f t="shared" ref="AW50" si="339">INDEX(Phys_Prop,MATCH(AV50,Chem_List,0),5)</f>
        <v>Select Pet Stock</v>
      </c>
      <c r="AX50" s="36"/>
      <c r="AY50" s="36"/>
      <c r="AZ50" s="38">
        <f>1-AZ51</f>
        <v>1</v>
      </c>
      <c r="BA50" s="37" t="str">
        <f>AV50</f>
        <v>Jet kerosene</v>
      </c>
      <c r="BB50" s="36" t="str">
        <f t="shared" ref="BB50" si="340">INDEX(Phys_Prop,MATCH(BA50,Chem_List,0),5)</f>
        <v>Select Pet Stock</v>
      </c>
      <c r="BC50" s="36"/>
      <c r="BD50" s="36"/>
      <c r="BE50" s="38">
        <f>1-BE51</f>
        <v>1</v>
      </c>
      <c r="BF50" s="37" t="str">
        <f>BA50</f>
        <v>Jet kerosene</v>
      </c>
      <c r="BG50" s="36" t="str">
        <f t="shared" ref="BG50" si="341">INDEX(Phys_Prop,MATCH(BF50,Chem_List,0),5)</f>
        <v>Select Pet Stock</v>
      </c>
      <c r="BH50" s="36"/>
      <c r="BI50" s="36"/>
      <c r="BJ50" s="38">
        <f>1-BJ51</f>
        <v>1</v>
      </c>
      <c r="BK50" s="37" t="str">
        <f>BF50</f>
        <v>Jet kerosene</v>
      </c>
      <c r="BL50" s="36" t="str">
        <f t="shared" ref="BL50" si="342">INDEX(Phys_Prop,MATCH(BK50,Chem_List,0),5)</f>
        <v>Select Pet Stock</v>
      </c>
      <c r="BM50" s="36"/>
      <c r="BN50" s="36"/>
      <c r="BO50" s="38">
        <f>1-BO51</f>
        <v>1</v>
      </c>
      <c r="BP50" s="37" t="str">
        <f>BK50</f>
        <v>Jet kerosene</v>
      </c>
      <c r="BQ50" s="36" t="str">
        <f t="shared" ref="BQ50" si="343">INDEX(Phys_Prop,MATCH(BP50,Chem_List,0),5)</f>
        <v>Select Pet Stock</v>
      </c>
      <c r="BR50" s="36"/>
      <c r="BS50" s="36"/>
      <c r="BT50" s="38">
        <f>1-BT51</f>
        <v>1</v>
      </c>
      <c r="BU50" s="37" t="str">
        <f>BP50</f>
        <v>Jet kerosene</v>
      </c>
      <c r="BV50" s="36" t="str">
        <f t="shared" ref="BV50" si="344">INDEX(Phys_Prop,MATCH(BU50,Chem_List,0),5)</f>
        <v>Select Pet Stock</v>
      </c>
      <c r="BW50" s="36"/>
      <c r="BX50" s="36"/>
      <c r="BY50" s="38">
        <f>1-BY51</f>
        <v>1</v>
      </c>
      <c r="BZ50" s="561"/>
      <c r="CA50" s="549"/>
      <c r="CB50" s="549"/>
      <c r="CC50" s="549"/>
      <c r="CD50" s="549"/>
      <c r="CE50" s="549"/>
      <c r="CF50" s="549"/>
      <c r="CG50" s="549"/>
      <c r="CH50" s="549"/>
      <c r="CI50" s="549"/>
      <c r="CJ50" s="549"/>
      <c r="CK50" s="549"/>
      <c r="CL50" s="559" cm="1">
        <f t="array" ref="CL50">INDEX(FX_Setup,DA50,DE50)</f>
        <v>80568</v>
      </c>
      <c r="CM50" s="550">
        <f t="shared" ref="CM50:CW50" si="345">CL50</f>
        <v>80568</v>
      </c>
      <c r="CN50" s="550">
        <f t="shared" si="345"/>
        <v>80568</v>
      </c>
      <c r="CO50" s="550">
        <f t="shared" si="345"/>
        <v>80568</v>
      </c>
      <c r="CP50" s="550">
        <f t="shared" si="345"/>
        <v>80568</v>
      </c>
      <c r="CQ50" s="550">
        <f t="shared" si="345"/>
        <v>80568</v>
      </c>
      <c r="CR50" s="550">
        <f t="shared" si="345"/>
        <v>80568</v>
      </c>
      <c r="CS50" s="550">
        <f t="shared" si="345"/>
        <v>80568</v>
      </c>
      <c r="CT50" s="550">
        <f t="shared" si="345"/>
        <v>80568</v>
      </c>
      <c r="CU50" s="550">
        <f t="shared" si="345"/>
        <v>80568</v>
      </c>
      <c r="CV50" s="550">
        <f t="shared" si="345"/>
        <v>80568</v>
      </c>
      <c r="CW50" s="550">
        <f t="shared" si="345"/>
        <v>80568</v>
      </c>
      <c r="CX50" s="562">
        <f t="shared" ref="CX50" si="346">SUM(CL50:CW51)</f>
        <v>966816</v>
      </c>
      <c r="DA50" s="42">
        <f>DA48+1</f>
        <v>22</v>
      </c>
      <c r="DB50">
        <v>7</v>
      </c>
      <c r="DC50">
        <v>6</v>
      </c>
      <c r="DD50">
        <v>5</v>
      </c>
      <c r="DE50">
        <f t="shared" ref="DE50" si="347">DE48</f>
        <v>9</v>
      </c>
    </row>
    <row r="51" spans="1:109" x14ac:dyDescent="0.4">
      <c r="B51" s="504"/>
      <c r="C51" s="546"/>
      <c r="D51" s="547"/>
      <c r="E51" s="548"/>
      <c r="F51" s="549"/>
      <c r="G51" s="549"/>
      <c r="H51" s="550"/>
      <c r="I51" s="549"/>
      <c r="J51" s="549"/>
      <c r="K51" s="549"/>
      <c r="L51" s="549"/>
      <c r="M51" s="549"/>
      <c r="N51" s="549"/>
      <c r="O51" s="549"/>
      <c r="P51" s="549"/>
      <c r="Q51" s="560"/>
      <c r="R51" s="27"/>
      <c r="S51" s="36"/>
      <c r="T51" s="28"/>
      <c r="U51" s="28"/>
      <c r="V51" s="26"/>
      <c r="W51" s="27"/>
      <c r="X51" s="36"/>
      <c r="Y51" s="28"/>
      <c r="Z51" s="28"/>
      <c r="AA51" s="26"/>
      <c r="AB51" s="27"/>
      <c r="AC51" s="36"/>
      <c r="AD51" s="28"/>
      <c r="AE51" s="28"/>
      <c r="AF51" s="26"/>
      <c r="AG51" s="27"/>
      <c r="AH51" s="36"/>
      <c r="AI51" s="28"/>
      <c r="AJ51" s="28"/>
      <c r="AK51" s="26"/>
      <c r="AL51" s="27"/>
      <c r="AM51" s="36"/>
      <c r="AN51" s="28"/>
      <c r="AO51" s="28"/>
      <c r="AP51" s="26"/>
      <c r="AQ51" s="27"/>
      <c r="AR51" s="36"/>
      <c r="AS51" s="28"/>
      <c r="AT51" s="28"/>
      <c r="AU51" s="26"/>
      <c r="AV51" s="27"/>
      <c r="AW51" s="36"/>
      <c r="AX51" s="28"/>
      <c r="AY51" s="28"/>
      <c r="AZ51" s="26"/>
      <c r="BA51" s="27"/>
      <c r="BB51" s="36"/>
      <c r="BC51" s="28"/>
      <c r="BD51" s="28"/>
      <c r="BE51" s="26"/>
      <c r="BF51" s="27"/>
      <c r="BG51" s="36"/>
      <c r="BH51" s="28"/>
      <c r="BI51" s="28"/>
      <c r="BJ51" s="26"/>
      <c r="BK51" s="27"/>
      <c r="BL51" s="36"/>
      <c r="BM51" s="28"/>
      <c r="BN51" s="28"/>
      <c r="BO51" s="26"/>
      <c r="BP51" s="27"/>
      <c r="BQ51" s="36"/>
      <c r="BR51" s="28"/>
      <c r="BS51" s="28"/>
      <c r="BT51" s="26"/>
      <c r="BU51" s="27"/>
      <c r="BV51" s="36"/>
      <c r="BW51" s="28"/>
      <c r="BX51" s="28"/>
      <c r="BY51" s="26"/>
      <c r="BZ51" s="561"/>
      <c r="CA51" s="549"/>
      <c r="CB51" s="549"/>
      <c r="CC51" s="549"/>
      <c r="CD51" s="549"/>
      <c r="CE51" s="549"/>
      <c r="CF51" s="549"/>
      <c r="CG51" s="549"/>
      <c r="CH51" s="549"/>
      <c r="CI51" s="549"/>
      <c r="CJ51" s="549"/>
      <c r="CK51" s="549"/>
      <c r="CL51" s="559"/>
      <c r="CM51" s="550"/>
      <c r="CN51" s="550"/>
      <c r="CO51" s="550"/>
      <c r="CP51" s="550"/>
      <c r="CQ51" s="550"/>
      <c r="CR51" s="550"/>
      <c r="CS51" s="550"/>
      <c r="CT51" s="550"/>
      <c r="CU51" s="550"/>
      <c r="CV51" s="550"/>
      <c r="CW51" s="550"/>
      <c r="CX51" s="562"/>
      <c r="DA51" s="42"/>
    </row>
    <row r="52" spans="1:109" x14ac:dyDescent="0.4">
      <c r="A52">
        <v>1</v>
      </c>
      <c r="B52" s="504" t="str">
        <f>"FX - "&amp;DA52</f>
        <v>FX - 23</v>
      </c>
      <c r="C52" s="545" t="s">
        <v>1951</v>
      </c>
      <c r="D52" s="547" t="str">
        <f t="shared" ref="D52" si="348">D50</f>
        <v>Portland</v>
      </c>
      <c r="E52" s="548" t="s">
        <v>65</v>
      </c>
      <c r="F52" s="549" cm="1">
        <f t="array" ref="F52">INDEX(FX_Setup,DA52,DB52)</f>
        <v>18</v>
      </c>
      <c r="G52" s="549" cm="1">
        <f t="array" ref="G52">INDEX(FX_Setup,$DA52,DC52)</f>
        <v>24</v>
      </c>
      <c r="H52" s="550" cm="1">
        <f t="array" ref="H52">INDEX(FX_Setup,$DA52,DD52)</f>
        <v>45696</v>
      </c>
      <c r="I52" s="549" t="s">
        <v>27</v>
      </c>
      <c r="J52" s="549"/>
      <c r="K52" s="549"/>
      <c r="L52" s="549" t="s">
        <v>93</v>
      </c>
      <c r="M52" s="549" t="s">
        <v>90</v>
      </c>
      <c r="N52" s="549" t="s">
        <v>93</v>
      </c>
      <c r="O52" s="549" t="s">
        <v>90</v>
      </c>
      <c r="P52" s="549"/>
      <c r="Q52" s="560"/>
      <c r="R52" s="37" t="str" cm="1">
        <f t="array" ref="R52">INDEX(Surrogate_Lst,MATCH(INDEX(FX_Setup,DA52,3),Product_GRP,0),2)</f>
        <v>Out of Service</v>
      </c>
      <c r="S52" s="36" t="str">
        <f t="shared" ref="S52" si="349">INDEX(Phys_Prop,MATCH(R52,Chem_List,0),5)</f>
        <v>N/A</v>
      </c>
      <c r="T52" s="36"/>
      <c r="U52" s="36"/>
      <c r="V52" s="38">
        <f>1-V53</f>
        <v>1</v>
      </c>
      <c r="W52" s="37" t="str">
        <f>R52</f>
        <v>Out of Service</v>
      </c>
      <c r="X52" s="36" t="str">
        <f t="shared" ref="X52" si="350">INDEX(Phys_Prop,MATCH(W52,Chem_List,0),5)</f>
        <v>N/A</v>
      </c>
      <c r="Y52" s="36"/>
      <c r="Z52" s="36"/>
      <c r="AA52" s="38">
        <f>1-AA53</f>
        <v>1</v>
      </c>
      <c r="AB52" s="37" t="str">
        <f>W52</f>
        <v>Out of Service</v>
      </c>
      <c r="AC52" s="36" t="str">
        <f t="shared" ref="AC52" si="351">INDEX(Phys_Prop,MATCH(AB52,Chem_List,0),5)</f>
        <v>N/A</v>
      </c>
      <c r="AD52" s="36"/>
      <c r="AE52" s="36"/>
      <c r="AF52" s="38">
        <f>1-AF53</f>
        <v>1</v>
      </c>
      <c r="AG52" s="37" t="str">
        <f>AB52</f>
        <v>Out of Service</v>
      </c>
      <c r="AH52" s="36" t="str">
        <f t="shared" ref="AH52" si="352">INDEX(Phys_Prop,MATCH(AG52,Chem_List,0),5)</f>
        <v>N/A</v>
      </c>
      <c r="AI52" s="36"/>
      <c r="AJ52" s="36"/>
      <c r="AK52" s="38">
        <f>1-AK53</f>
        <v>1</v>
      </c>
      <c r="AL52" s="37" t="str">
        <f>AG52</f>
        <v>Out of Service</v>
      </c>
      <c r="AM52" s="36" t="str">
        <f t="shared" ref="AM52" si="353">INDEX(Phys_Prop,MATCH(AL52,Chem_List,0),5)</f>
        <v>N/A</v>
      </c>
      <c r="AN52" s="36"/>
      <c r="AO52" s="36"/>
      <c r="AP52" s="38">
        <f>1-AP53</f>
        <v>1</v>
      </c>
      <c r="AQ52" s="37" t="str">
        <f>AL52</f>
        <v>Out of Service</v>
      </c>
      <c r="AR52" s="36" t="str">
        <f t="shared" ref="AR52" si="354">INDEX(Phys_Prop,MATCH(AQ52,Chem_List,0),5)</f>
        <v>N/A</v>
      </c>
      <c r="AS52" s="36"/>
      <c r="AT52" s="36"/>
      <c r="AU52" s="38">
        <f>1-AU53</f>
        <v>1</v>
      </c>
      <c r="AV52" s="37" t="str">
        <f>AQ52</f>
        <v>Out of Service</v>
      </c>
      <c r="AW52" s="36" t="str">
        <f t="shared" ref="AW52" si="355">INDEX(Phys_Prop,MATCH(AV52,Chem_List,0),5)</f>
        <v>N/A</v>
      </c>
      <c r="AX52" s="36"/>
      <c r="AY52" s="36"/>
      <c r="AZ52" s="38">
        <f>1-AZ53</f>
        <v>1</v>
      </c>
      <c r="BA52" s="37" t="str">
        <f>AV52</f>
        <v>Out of Service</v>
      </c>
      <c r="BB52" s="36" t="str">
        <f t="shared" ref="BB52" si="356">INDEX(Phys_Prop,MATCH(BA52,Chem_List,0),5)</f>
        <v>N/A</v>
      </c>
      <c r="BC52" s="36"/>
      <c r="BD52" s="36"/>
      <c r="BE52" s="38">
        <f>1-BE53</f>
        <v>1</v>
      </c>
      <c r="BF52" s="37" t="str">
        <f>BA52</f>
        <v>Out of Service</v>
      </c>
      <c r="BG52" s="36" t="str">
        <f t="shared" ref="BG52" si="357">INDEX(Phys_Prop,MATCH(BF52,Chem_List,0),5)</f>
        <v>N/A</v>
      </c>
      <c r="BH52" s="36"/>
      <c r="BI52" s="36"/>
      <c r="BJ52" s="38">
        <f>1-BJ53</f>
        <v>1</v>
      </c>
      <c r="BK52" s="37" t="str">
        <f>BF52</f>
        <v>Out of Service</v>
      </c>
      <c r="BL52" s="36" t="str">
        <f t="shared" ref="BL52" si="358">INDEX(Phys_Prop,MATCH(BK52,Chem_List,0),5)</f>
        <v>N/A</v>
      </c>
      <c r="BM52" s="36"/>
      <c r="BN52" s="36"/>
      <c r="BO52" s="38">
        <f>1-BO53</f>
        <v>1</v>
      </c>
      <c r="BP52" s="37" t="str">
        <f>BK52</f>
        <v>Out of Service</v>
      </c>
      <c r="BQ52" s="36" t="str">
        <f t="shared" ref="BQ52" si="359">INDEX(Phys_Prop,MATCH(BP52,Chem_List,0),5)</f>
        <v>N/A</v>
      </c>
      <c r="BR52" s="36"/>
      <c r="BS52" s="36"/>
      <c r="BT52" s="38">
        <f>1-BT53</f>
        <v>1</v>
      </c>
      <c r="BU52" s="37" t="str">
        <f>BP52</f>
        <v>Out of Service</v>
      </c>
      <c r="BV52" s="36" t="str">
        <f t="shared" ref="BV52" si="360">INDEX(Phys_Prop,MATCH(BU52,Chem_List,0),5)</f>
        <v>N/A</v>
      </c>
      <c r="BW52" s="36"/>
      <c r="BX52" s="36"/>
      <c r="BY52" s="38">
        <f>1-BY53</f>
        <v>1</v>
      </c>
      <c r="BZ52" s="561"/>
      <c r="CA52" s="549"/>
      <c r="CB52" s="549"/>
      <c r="CC52" s="549"/>
      <c r="CD52" s="549"/>
      <c r="CE52" s="549"/>
      <c r="CF52" s="549"/>
      <c r="CG52" s="549"/>
      <c r="CH52" s="549"/>
      <c r="CI52" s="549"/>
      <c r="CJ52" s="549"/>
      <c r="CK52" s="549"/>
      <c r="CL52" s="567" cm="1">
        <f t="array" ref="CL52">INDEX(FX_Setup,DA52,DE52)</f>
        <v>0</v>
      </c>
      <c r="CM52" s="563">
        <f t="shared" ref="CM52:CW52" si="361">CL52</f>
        <v>0</v>
      </c>
      <c r="CN52" s="563">
        <f t="shared" si="361"/>
        <v>0</v>
      </c>
      <c r="CO52" s="563">
        <f t="shared" si="361"/>
        <v>0</v>
      </c>
      <c r="CP52" s="563">
        <f t="shared" si="361"/>
        <v>0</v>
      </c>
      <c r="CQ52" s="563">
        <f t="shared" si="361"/>
        <v>0</v>
      </c>
      <c r="CR52" s="563">
        <f t="shared" si="361"/>
        <v>0</v>
      </c>
      <c r="CS52" s="563">
        <f t="shared" si="361"/>
        <v>0</v>
      </c>
      <c r="CT52" s="563">
        <f t="shared" si="361"/>
        <v>0</v>
      </c>
      <c r="CU52" s="563">
        <f t="shared" si="361"/>
        <v>0</v>
      </c>
      <c r="CV52" s="563">
        <f t="shared" si="361"/>
        <v>0</v>
      </c>
      <c r="CW52" s="563">
        <f t="shared" si="361"/>
        <v>0</v>
      </c>
      <c r="CX52" s="565">
        <f t="shared" ref="CX52" si="362">SUM(CL52:CW53)</f>
        <v>0</v>
      </c>
      <c r="DA52" s="42">
        <f>DA50+1</f>
        <v>23</v>
      </c>
      <c r="DB52">
        <v>7</v>
      </c>
      <c r="DC52">
        <v>6</v>
      </c>
      <c r="DD52">
        <v>5</v>
      </c>
      <c r="DE52">
        <f t="shared" ref="DE52" si="363">DE50</f>
        <v>9</v>
      </c>
    </row>
    <row r="53" spans="1:109" x14ac:dyDescent="0.4">
      <c r="B53" s="504"/>
      <c r="C53" s="546"/>
      <c r="D53" s="547"/>
      <c r="E53" s="548"/>
      <c r="F53" s="549"/>
      <c r="G53" s="549"/>
      <c r="H53" s="550"/>
      <c r="I53" s="549"/>
      <c r="J53" s="549"/>
      <c r="K53" s="549"/>
      <c r="L53" s="549"/>
      <c r="M53" s="549"/>
      <c r="N53" s="549"/>
      <c r="O53" s="549"/>
      <c r="P53" s="549"/>
      <c r="Q53" s="560"/>
      <c r="R53" s="27"/>
      <c r="S53" s="36"/>
      <c r="T53" s="28"/>
      <c r="U53" s="28"/>
      <c r="V53" s="26"/>
      <c r="W53" s="27"/>
      <c r="X53" s="36"/>
      <c r="Y53" s="28"/>
      <c r="Z53" s="28"/>
      <c r="AA53" s="26"/>
      <c r="AB53" s="27"/>
      <c r="AC53" s="36"/>
      <c r="AD53" s="28"/>
      <c r="AE53" s="28"/>
      <c r="AF53" s="26"/>
      <c r="AG53" s="27"/>
      <c r="AH53" s="36"/>
      <c r="AI53" s="28"/>
      <c r="AJ53" s="28"/>
      <c r="AK53" s="26"/>
      <c r="AL53" s="27"/>
      <c r="AM53" s="36"/>
      <c r="AN53" s="28"/>
      <c r="AO53" s="28"/>
      <c r="AP53" s="26"/>
      <c r="AQ53" s="27"/>
      <c r="AR53" s="36"/>
      <c r="AS53" s="28"/>
      <c r="AT53" s="28"/>
      <c r="AU53" s="26"/>
      <c r="AV53" s="27"/>
      <c r="AW53" s="36"/>
      <c r="AX53" s="28"/>
      <c r="AY53" s="28"/>
      <c r="AZ53" s="26"/>
      <c r="BA53" s="27"/>
      <c r="BB53" s="36"/>
      <c r="BC53" s="28"/>
      <c r="BD53" s="28"/>
      <c r="BE53" s="26"/>
      <c r="BF53" s="27"/>
      <c r="BG53" s="36"/>
      <c r="BH53" s="28"/>
      <c r="BI53" s="28"/>
      <c r="BJ53" s="26"/>
      <c r="BK53" s="27"/>
      <c r="BL53" s="36"/>
      <c r="BM53" s="28"/>
      <c r="BN53" s="28"/>
      <c r="BO53" s="26"/>
      <c r="BP53" s="27"/>
      <c r="BQ53" s="36"/>
      <c r="BR53" s="28"/>
      <c r="BS53" s="28"/>
      <c r="BT53" s="26"/>
      <c r="BU53" s="27"/>
      <c r="BV53" s="36"/>
      <c r="BW53" s="28"/>
      <c r="BX53" s="28"/>
      <c r="BY53" s="26"/>
      <c r="BZ53" s="561"/>
      <c r="CA53" s="549"/>
      <c r="CB53" s="549"/>
      <c r="CC53" s="549"/>
      <c r="CD53" s="549"/>
      <c r="CE53" s="549"/>
      <c r="CF53" s="549"/>
      <c r="CG53" s="549"/>
      <c r="CH53" s="549"/>
      <c r="CI53" s="549"/>
      <c r="CJ53" s="549"/>
      <c r="CK53" s="549"/>
      <c r="CL53" s="568"/>
      <c r="CM53" s="564"/>
      <c r="CN53" s="564"/>
      <c r="CO53" s="564"/>
      <c r="CP53" s="564"/>
      <c r="CQ53" s="564"/>
      <c r="CR53" s="564"/>
      <c r="CS53" s="564"/>
      <c r="CT53" s="564"/>
      <c r="CU53" s="564"/>
      <c r="CV53" s="564"/>
      <c r="CW53" s="564"/>
      <c r="CX53" s="566"/>
      <c r="DA53" s="42"/>
    </row>
    <row r="54" spans="1:109" x14ac:dyDescent="0.4">
      <c r="B54" s="504" t="str">
        <f>"FX - "&amp;DA54</f>
        <v>FX - 24</v>
      </c>
      <c r="C54" s="545" t="s">
        <v>1952</v>
      </c>
      <c r="D54" s="547" t="str">
        <f t="shared" ref="D54" si="364">D52</f>
        <v>Portland</v>
      </c>
      <c r="E54" s="548" t="s">
        <v>65</v>
      </c>
      <c r="F54" s="549" cm="1">
        <f t="array" ref="F54">INDEX(FX_Setup,DA54,DB54)</f>
        <v>18</v>
      </c>
      <c r="G54" s="549" cm="1">
        <f t="array" ref="G54">INDEX(FX_Setup,$DA54,DC54)</f>
        <v>24</v>
      </c>
      <c r="H54" s="550" cm="1">
        <f t="array" ref="H54">INDEX(FX_Setup,$DA54,DD54)</f>
        <v>45696</v>
      </c>
      <c r="I54" s="549" t="s">
        <v>27</v>
      </c>
      <c r="J54" s="549"/>
      <c r="K54" s="549"/>
      <c r="L54" s="549" t="s">
        <v>93</v>
      </c>
      <c r="M54" s="549" t="s">
        <v>90</v>
      </c>
      <c r="N54" s="549" t="s">
        <v>93</v>
      </c>
      <c r="O54" s="549" t="s">
        <v>90</v>
      </c>
      <c r="P54" s="549"/>
      <c r="Q54" s="560"/>
      <c r="R54" s="37" t="str" cm="1">
        <f t="array" ref="R54">INDEX(Surrogate_Lst,MATCH(INDEX(FX_Setup,DA54,3),Product_GRP,0),2)</f>
        <v>Out of Service</v>
      </c>
      <c r="S54" s="36" t="str">
        <f t="shared" ref="S54" si="365">INDEX(Phys_Prop,MATCH(R54,Chem_List,0),5)</f>
        <v>N/A</v>
      </c>
      <c r="T54" s="36"/>
      <c r="U54" s="36"/>
      <c r="V54" s="38">
        <f>1-V55</f>
        <v>1</v>
      </c>
      <c r="W54" s="37" t="str">
        <f>R54</f>
        <v>Out of Service</v>
      </c>
      <c r="X54" s="36" t="str">
        <f t="shared" ref="X54" si="366">INDEX(Phys_Prop,MATCH(W54,Chem_List,0),5)</f>
        <v>N/A</v>
      </c>
      <c r="Y54" s="36"/>
      <c r="Z54" s="36"/>
      <c r="AA54" s="38">
        <f>1-AA55</f>
        <v>1</v>
      </c>
      <c r="AB54" s="37" t="str">
        <f>W54</f>
        <v>Out of Service</v>
      </c>
      <c r="AC54" s="36" t="str">
        <f t="shared" ref="AC54" si="367">INDEX(Phys_Prop,MATCH(AB54,Chem_List,0),5)</f>
        <v>N/A</v>
      </c>
      <c r="AD54" s="36"/>
      <c r="AE54" s="36"/>
      <c r="AF54" s="38">
        <f>1-AF55</f>
        <v>1</v>
      </c>
      <c r="AG54" s="37" t="str">
        <f>AB54</f>
        <v>Out of Service</v>
      </c>
      <c r="AH54" s="36" t="str">
        <f t="shared" ref="AH54" si="368">INDEX(Phys_Prop,MATCH(AG54,Chem_List,0),5)</f>
        <v>N/A</v>
      </c>
      <c r="AI54" s="36"/>
      <c r="AJ54" s="36"/>
      <c r="AK54" s="38">
        <f>1-AK55</f>
        <v>1</v>
      </c>
      <c r="AL54" s="37" t="str">
        <f>AG54</f>
        <v>Out of Service</v>
      </c>
      <c r="AM54" s="36" t="str">
        <f t="shared" ref="AM54" si="369">INDEX(Phys_Prop,MATCH(AL54,Chem_List,0),5)</f>
        <v>N/A</v>
      </c>
      <c r="AN54" s="36"/>
      <c r="AO54" s="36"/>
      <c r="AP54" s="38">
        <f>1-AP55</f>
        <v>1</v>
      </c>
      <c r="AQ54" s="37" t="str">
        <f>AL54</f>
        <v>Out of Service</v>
      </c>
      <c r="AR54" s="36" t="str">
        <f t="shared" ref="AR54" si="370">INDEX(Phys_Prop,MATCH(AQ54,Chem_List,0),5)</f>
        <v>N/A</v>
      </c>
      <c r="AS54" s="36"/>
      <c r="AT54" s="36"/>
      <c r="AU54" s="38">
        <f>1-AU55</f>
        <v>1</v>
      </c>
      <c r="AV54" s="37" t="str">
        <f>AQ54</f>
        <v>Out of Service</v>
      </c>
      <c r="AW54" s="36" t="str">
        <f t="shared" ref="AW54" si="371">INDEX(Phys_Prop,MATCH(AV54,Chem_List,0),5)</f>
        <v>N/A</v>
      </c>
      <c r="AX54" s="36"/>
      <c r="AY54" s="36"/>
      <c r="AZ54" s="38">
        <f>1-AZ55</f>
        <v>1</v>
      </c>
      <c r="BA54" s="37" t="str">
        <f>AV54</f>
        <v>Out of Service</v>
      </c>
      <c r="BB54" s="36" t="str">
        <f t="shared" ref="BB54" si="372">INDEX(Phys_Prop,MATCH(BA54,Chem_List,0),5)</f>
        <v>N/A</v>
      </c>
      <c r="BC54" s="36"/>
      <c r="BD54" s="36"/>
      <c r="BE54" s="38">
        <f>1-BE55</f>
        <v>1</v>
      </c>
      <c r="BF54" s="37" t="str">
        <f>BA54</f>
        <v>Out of Service</v>
      </c>
      <c r="BG54" s="36" t="str">
        <f t="shared" ref="BG54" si="373">INDEX(Phys_Prop,MATCH(BF54,Chem_List,0),5)</f>
        <v>N/A</v>
      </c>
      <c r="BH54" s="36"/>
      <c r="BI54" s="36"/>
      <c r="BJ54" s="38">
        <f>1-BJ55</f>
        <v>1</v>
      </c>
      <c r="BK54" s="37" t="str">
        <f>BF54</f>
        <v>Out of Service</v>
      </c>
      <c r="BL54" s="36" t="str">
        <f t="shared" ref="BL54" si="374">INDEX(Phys_Prop,MATCH(BK54,Chem_List,0),5)</f>
        <v>N/A</v>
      </c>
      <c r="BM54" s="36"/>
      <c r="BN54" s="36"/>
      <c r="BO54" s="38">
        <f>1-BO55</f>
        <v>1</v>
      </c>
      <c r="BP54" s="37" t="str">
        <f>BK54</f>
        <v>Out of Service</v>
      </c>
      <c r="BQ54" s="36" t="str">
        <f t="shared" ref="BQ54" si="375">INDEX(Phys_Prop,MATCH(BP54,Chem_List,0),5)</f>
        <v>N/A</v>
      </c>
      <c r="BR54" s="36"/>
      <c r="BS54" s="36"/>
      <c r="BT54" s="38">
        <f>1-BT55</f>
        <v>1</v>
      </c>
      <c r="BU54" s="37" t="str">
        <f>BP54</f>
        <v>Out of Service</v>
      </c>
      <c r="BV54" s="36" t="str">
        <f t="shared" ref="BV54" si="376">INDEX(Phys_Prop,MATCH(BU54,Chem_List,0),5)</f>
        <v>N/A</v>
      </c>
      <c r="BW54" s="36"/>
      <c r="BX54" s="36"/>
      <c r="BY54" s="38">
        <f>1-BY55</f>
        <v>1</v>
      </c>
      <c r="BZ54" s="561"/>
      <c r="CA54" s="549"/>
      <c r="CB54" s="549"/>
      <c r="CC54" s="549"/>
      <c r="CD54" s="549"/>
      <c r="CE54" s="549"/>
      <c r="CF54" s="549"/>
      <c r="CG54" s="549"/>
      <c r="CH54" s="549"/>
      <c r="CI54" s="549"/>
      <c r="CJ54" s="549"/>
      <c r="CK54" s="549"/>
      <c r="CL54" s="559" cm="1">
        <f t="array" ref="CL54">INDEX(FX_Setup,DA54,DE54)</f>
        <v>0</v>
      </c>
      <c r="CM54" s="550">
        <f t="shared" ref="CM54:CW54" si="377">CL54</f>
        <v>0</v>
      </c>
      <c r="CN54" s="550">
        <f t="shared" si="377"/>
        <v>0</v>
      </c>
      <c r="CO54" s="550">
        <f t="shared" si="377"/>
        <v>0</v>
      </c>
      <c r="CP54" s="550">
        <f t="shared" si="377"/>
        <v>0</v>
      </c>
      <c r="CQ54" s="550">
        <f t="shared" si="377"/>
        <v>0</v>
      </c>
      <c r="CR54" s="550">
        <f t="shared" si="377"/>
        <v>0</v>
      </c>
      <c r="CS54" s="550">
        <f t="shared" si="377"/>
        <v>0</v>
      </c>
      <c r="CT54" s="550">
        <f t="shared" si="377"/>
        <v>0</v>
      </c>
      <c r="CU54" s="550">
        <f t="shared" si="377"/>
        <v>0</v>
      </c>
      <c r="CV54" s="550">
        <f t="shared" si="377"/>
        <v>0</v>
      </c>
      <c r="CW54" s="550">
        <f t="shared" si="377"/>
        <v>0</v>
      </c>
      <c r="CX54" s="562">
        <f t="shared" ref="CX54" si="378">SUM(CL54:CW55)</f>
        <v>0</v>
      </c>
      <c r="DA54" s="42">
        <f>DA52+1</f>
        <v>24</v>
      </c>
      <c r="DB54">
        <v>7</v>
      </c>
      <c r="DC54">
        <v>6</v>
      </c>
      <c r="DD54">
        <v>5</v>
      </c>
      <c r="DE54">
        <f t="shared" ref="DE54" si="379">DE52</f>
        <v>9</v>
      </c>
    </row>
    <row r="55" spans="1:109" x14ac:dyDescent="0.4">
      <c r="B55" s="504"/>
      <c r="C55" s="546"/>
      <c r="D55" s="547"/>
      <c r="E55" s="548"/>
      <c r="F55" s="549"/>
      <c r="G55" s="549"/>
      <c r="H55" s="550"/>
      <c r="I55" s="549"/>
      <c r="J55" s="549"/>
      <c r="K55" s="549"/>
      <c r="L55" s="549"/>
      <c r="M55" s="549"/>
      <c r="N55" s="549"/>
      <c r="O55" s="549"/>
      <c r="P55" s="549"/>
      <c r="Q55" s="560"/>
      <c r="R55" s="27"/>
      <c r="S55" s="36"/>
      <c r="T55" s="28"/>
      <c r="U55" s="28"/>
      <c r="V55" s="26"/>
      <c r="W55" s="27"/>
      <c r="X55" s="36"/>
      <c r="Y55" s="28"/>
      <c r="Z55" s="28"/>
      <c r="AA55" s="26"/>
      <c r="AB55" s="27"/>
      <c r="AC55" s="36"/>
      <c r="AD55" s="28"/>
      <c r="AE55" s="28"/>
      <c r="AF55" s="26"/>
      <c r="AG55" s="27"/>
      <c r="AH55" s="36"/>
      <c r="AI55" s="28"/>
      <c r="AJ55" s="28"/>
      <c r="AK55" s="26"/>
      <c r="AL55" s="27"/>
      <c r="AM55" s="36"/>
      <c r="AN55" s="28"/>
      <c r="AO55" s="28"/>
      <c r="AP55" s="26"/>
      <c r="AQ55" s="27"/>
      <c r="AR55" s="36"/>
      <c r="AS55" s="28"/>
      <c r="AT55" s="28"/>
      <c r="AU55" s="26"/>
      <c r="AV55" s="27"/>
      <c r="AW55" s="36"/>
      <c r="AX55" s="28"/>
      <c r="AY55" s="28"/>
      <c r="AZ55" s="26"/>
      <c r="BA55" s="27"/>
      <c r="BB55" s="36"/>
      <c r="BC55" s="28"/>
      <c r="BD55" s="28"/>
      <c r="BE55" s="26"/>
      <c r="BF55" s="27"/>
      <c r="BG55" s="36"/>
      <c r="BH55" s="28"/>
      <c r="BI55" s="28"/>
      <c r="BJ55" s="26"/>
      <c r="BK55" s="27"/>
      <c r="BL55" s="36"/>
      <c r="BM55" s="28"/>
      <c r="BN55" s="28"/>
      <c r="BO55" s="26"/>
      <c r="BP55" s="27"/>
      <c r="BQ55" s="36"/>
      <c r="BR55" s="28"/>
      <c r="BS55" s="28"/>
      <c r="BT55" s="26"/>
      <c r="BU55" s="27"/>
      <c r="BV55" s="36"/>
      <c r="BW55" s="28"/>
      <c r="BX55" s="28"/>
      <c r="BY55" s="26"/>
      <c r="BZ55" s="561"/>
      <c r="CA55" s="549"/>
      <c r="CB55" s="549"/>
      <c r="CC55" s="549"/>
      <c r="CD55" s="549"/>
      <c r="CE55" s="549"/>
      <c r="CF55" s="549"/>
      <c r="CG55" s="549"/>
      <c r="CH55" s="549"/>
      <c r="CI55" s="549"/>
      <c r="CJ55" s="549"/>
      <c r="CK55" s="549"/>
      <c r="CL55" s="559"/>
      <c r="CM55" s="550"/>
      <c r="CN55" s="550"/>
      <c r="CO55" s="550"/>
      <c r="CP55" s="550"/>
      <c r="CQ55" s="550"/>
      <c r="CR55" s="550"/>
      <c r="CS55" s="550"/>
      <c r="CT55" s="550"/>
      <c r="CU55" s="550"/>
      <c r="CV55" s="550"/>
      <c r="CW55" s="550"/>
      <c r="CX55" s="562"/>
      <c r="DA55" s="42"/>
    </row>
    <row r="56" spans="1:109" x14ac:dyDescent="0.4">
      <c r="B56" s="504" t="str">
        <f>"FX - "&amp;DA56</f>
        <v>FX - 25</v>
      </c>
      <c r="C56" s="545" t="s">
        <v>1953</v>
      </c>
      <c r="D56" s="547" t="str">
        <f t="shared" ref="D56" si="380">D54</f>
        <v>Portland</v>
      </c>
      <c r="E56" s="548" t="s">
        <v>65</v>
      </c>
      <c r="F56" s="549" cm="1">
        <f t="array" ref="F56">INDEX(FX_Setup,DA56,DB56)</f>
        <v>18</v>
      </c>
      <c r="G56" s="549" cm="1">
        <f t="array" ref="G56">INDEX(FX_Setup,$DA56,DC56)</f>
        <v>24</v>
      </c>
      <c r="H56" s="550" cm="1">
        <f t="array" ref="H56">INDEX(FX_Setup,$DA56,DD56)</f>
        <v>45696</v>
      </c>
      <c r="I56" s="549" t="s">
        <v>27</v>
      </c>
      <c r="J56" s="549"/>
      <c r="K56" s="549"/>
      <c r="L56" s="549" t="s">
        <v>93</v>
      </c>
      <c r="M56" s="549" t="s">
        <v>90</v>
      </c>
      <c r="N56" s="549" t="s">
        <v>93</v>
      </c>
      <c r="O56" s="549" t="s">
        <v>90</v>
      </c>
      <c r="P56" s="549"/>
      <c r="Q56" s="560"/>
      <c r="R56" s="37" t="str" cm="1">
        <f t="array" ref="R56">INDEX(Surrogate_Lst,MATCH(INDEX(FX_Setup,DA56,3),Product_GRP,0),2)</f>
        <v>Out of Service</v>
      </c>
      <c r="S56" s="36" t="str">
        <f t="shared" ref="S56" si="381">INDEX(Phys_Prop,MATCH(R56,Chem_List,0),5)</f>
        <v>N/A</v>
      </c>
      <c r="T56" s="36"/>
      <c r="U56" s="36"/>
      <c r="V56" s="38">
        <f>1-V57</f>
        <v>1</v>
      </c>
      <c r="W56" s="37" t="str">
        <f>R56</f>
        <v>Out of Service</v>
      </c>
      <c r="X56" s="36" t="str">
        <f t="shared" ref="X56" si="382">INDEX(Phys_Prop,MATCH(W56,Chem_List,0),5)</f>
        <v>N/A</v>
      </c>
      <c r="Y56" s="36"/>
      <c r="Z56" s="36"/>
      <c r="AA56" s="38">
        <f>1-AA57</f>
        <v>1</v>
      </c>
      <c r="AB56" s="37" t="str">
        <f>W56</f>
        <v>Out of Service</v>
      </c>
      <c r="AC56" s="36" t="str">
        <f t="shared" ref="AC56" si="383">INDEX(Phys_Prop,MATCH(AB56,Chem_List,0),5)</f>
        <v>N/A</v>
      </c>
      <c r="AD56" s="36"/>
      <c r="AE56" s="36"/>
      <c r="AF56" s="38">
        <f>1-AF57</f>
        <v>1</v>
      </c>
      <c r="AG56" s="37" t="str">
        <f>AB56</f>
        <v>Out of Service</v>
      </c>
      <c r="AH56" s="36" t="str">
        <f t="shared" ref="AH56" si="384">INDEX(Phys_Prop,MATCH(AG56,Chem_List,0),5)</f>
        <v>N/A</v>
      </c>
      <c r="AI56" s="36"/>
      <c r="AJ56" s="36"/>
      <c r="AK56" s="38">
        <f>1-AK57</f>
        <v>1</v>
      </c>
      <c r="AL56" s="37" t="str">
        <f>AG56</f>
        <v>Out of Service</v>
      </c>
      <c r="AM56" s="36" t="str">
        <f t="shared" ref="AM56" si="385">INDEX(Phys_Prop,MATCH(AL56,Chem_List,0),5)</f>
        <v>N/A</v>
      </c>
      <c r="AN56" s="36"/>
      <c r="AO56" s="36"/>
      <c r="AP56" s="38">
        <f>1-AP57</f>
        <v>1</v>
      </c>
      <c r="AQ56" s="37" t="str">
        <f>AL56</f>
        <v>Out of Service</v>
      </c>
      <c r="AR56" s="36" t="str">
        <f t="shared" ref="AR56" si="386">INDEX(Phys_Prop,MATCH(AQ56,Chem_List,0),5)</f>
        <v>N/A</v>
      </c>
      <c r="AS56" s="36"/>
      <c r="AT56" s="36"/>
      <c r="AU56" s="38">
        <f>1-AU57</f>
        <v>1</v>
      </c>
      <c r="AV56" s="37" t="str">
        <f>AQ56</f>
        <v>Out of Service</v>
      </c>
      <c r="AW56" s="36" t="str">
        <f t="shared" ref="AW56" si="387">INDEX(Phys_Prop,MATCH(AV56,Chem_List,0),5)</f>
        <v>N/A</v>
      </c>
      <c r="AX56" s="36"/>
      <c r="AY56" s="36"/>
      <c r="AZ56" s="38">
        <f>1-AZ57</f>
        <v>1</v>
      </c>
      <c r="BA56" s="37" t="str">
        <f>AV56</f>
        <v>Out of Service</v>
      </c>
      <c r="BB56" s="36" t="str">
        <f t="shared" ref="BB56" si="388">INDEX(Phys_Prop,MATCH(BA56,Chem_List,0),5)</f>
        <v>N/A</v>
      </c>
      <c r="BC56" s="36"/>
      <c r="BD56" s="36"/>
      <c r="BE56" s="38">
        <f>1-BE57</f>
        <v>1</v>
      </c>
      <c r="BF56" s="37" t="str">
        <f>BA56</f>
        <v>Out of Service</v>
      </c>
      <c r="BG56" s="36" t="str">
        <f t="shared" ref="BG56" si="389">INDEX(Phys_Prop,MATCH(BF56,Chem_List,0),5)</f>
        <v>N/A</v>
      </c>
      <c r="BH56" s="36"/>
      <c r="BI56" s="36"/>
      <c r="BJ56" s="38">
        <f>1-BJ57</f>
        <v>1</v>
      </c>
      <c r="BK56" s="37" t="str">
        <f>BF56</f>
        <v>Out of Service</v>
      </c>
      <c r="BL56" s="36" t="str">
        <f t="shared" ref="BL56" si="390">INDEX(Phys_Prop,MATCH(BK56,Chem_List,0),5)</f>
        <v>N/A</v>
      </c>
      <c r="BM56" s="36"/>
      <c r="BN56" s="36"/>
      <c r="BO56" s="38">
        <f>1-BO57</f>
        <v>1</v>
      </c>
      <c r="BP56" s="37" t="str">
        <f>BK56</f>
        <v>Out of Service</v>
      </c>
      <c r="BQ56" s="36" t="str">
        <f t="shared" ref="BQ56" si="391">INDEX(Phys_Prop,MATCH(BP56,Chem_List,0),5)</f>
        <v>N/A</v>
      </c>
      <c r="BR56" s="36"/>
      <c r="BS56" s="36"/>
      <c r="BT56" s="38">
        <f>1-BT57</f>
        <v>1</v>
      </c>
      <c r="BU56" s="37" t="str">
        <f>BP56</f>
        <v>Out of Service</v>
      </c>
      <c r="BV56" s="36" t="str">
        <f t="shared" ref="BV56" si="392">INDEX(Phys_Prop,MATCH(BU56,Chem_List,0),5)</f>
        <v>N/A</v>
      </c>
      <c r="BW56" s="36"/>
      <c r="BX56" s="36"/>
      <c r="BY56" s="38">
        <f>1-BY57</f>
        <v>1</v>
      </c>
      <c r="BZ56" s="561"/>
      <c r="CA56" s="549"/>
      <c r="CB56" s="549"/>
      <c r="CC56" s="549"/>
      <c r="CD56" s="549"/>
      <c r="CE56" s="549"/>
      <c r="CF56" s="549"/>
      <c r="CG56" s="549"/>
      <c r="CH56" s="549"/>
      <c r="CI56" s="549"/>
      <c r="CJ56" s="549"/>
      <c r="CK56" s="549"/>
      <c r="CL56" s="559" cm="1">
        <f t="array" ref="CL56">INDEX(FX_Setup,DA56,DE56)</f>
        <v>0</v>
      </c>
      <c r="CM56" s="550">
        <f t="shared" ref="CM56:CW56" si="393">CL56</f>
        <v>0</v>
      </c>
      <c r="CN56" s="550">
        <f t="shared" si="393"/>
        <v>0</v>
      </c>
      <c r="CO56" s="550">
        <f t="shared" si="393"/>
        <v>0</v>
      </c>
      <c r="CP56" s="550">
        <f t="shared" si="393"/>
        <v>0</v>
      </c>
      <c r="CQ56" s="550">
        <f t="shared" si="393"/>
        <v>0</v>
      </c>
      <c r="CR56" s="550">
        <f t="shared" si="393"/>
        <v>0</v>
      </c>
      <c r="CS56" s="550">
        <f t="shared" si="393"/>
        <v>0</v>
      </c>
      <c r="CT56" s="550">
        <f t="shared" si="393"/>
        <v>0</v>
      </c>
      <c r="CU56" s="550">
        <f t="shared" si="393"/>
        <v>0</v>
      </c>
      <c r="CV56" s="550">
        <f t="shared" si="393"/>
        <v>0</v>
      </c>
      <c r="CW56" s="550">
        <f t="shared" si="393"/>
        <v>0</v>
      </c>
      <c r="CX56" s="562">
        <f t="shared" ref="CX56" si="394">SUM(CL56:CW57)</f>
        <v>0</v>
      </c>
      <c r="DA56" s="42">
        <f>DA54+1</f>
        <v>25</v>
      </c>
      <c r="DB56">
        <v>7</v>
      </c>
      <c r="DC56">
        <v>6</v>
      </c>
      <c r="DD56">
        <v>5</v>
      </c>
      <c r="DE56">
        <f t="shared" ref="DE56" si="395">DE54</f>
        <v>9</v>
      </c>
    </row>
    <row r="57" spans="1:109" x14ac:dyDescent="0.4">
      <c r="B57" s="504"/>
      <c r="C57" s="546"/>
      <c r="D57" s="547"/>
      <c r="E57" s="548"/>
      <c r="F57" s="549"/>
      <c r="G57" s="549"/>
      <c r="H57" s="550"/>
      <c r="I57" s="549"/>
      <c r="J57" s="549"/>
      <c r="K57" s="549"/>
      <c r="L57" s="549"/>
      <c r="M57" s="549"/>
      <c r="N57" s="549"/>
      <c r="O57" s="549"/>
      <c r="P57" s="549"/>
      <c r="Q57" s="560"/>
      <c r="R57" s="27"/>
      <c r="S57" s="36"/>
      <c r="T57" s="28"/>
      <c r="U57" s="28"/>
      <c r="V57" s="26"/>
      <c r="W57" s="27"/>
      <c r="X57" s="36"/>
      <c r="Y57" s="28"/>
      <c r="Z57" s="28"/>
      <c r="AA57" s="26"/>
      <c r="AB57" s="27"/>
      <c r="AC57" s="36"/>
      <c r="AD57" s="28"/>
      <c r="AE57" s="28"/>
      <c r="AF57" s="26"/>
      <c r="AG57" s="27"/>
      <c r="AH57" s="36"/>
      <c r="AI57" s="28"/>
      <c r="AJ57" s="28"/>
      <c r="AK57" s="26"/>
      <c r="AL57" s="27"/>
      <c r="AM57" s="36"/>
      <c r="AN57" s="28"/>
      <c r="AO57" s="28"/>
      <c r="AP57" s="26"/>
      <c r="AQ57" s="27"/>
      <c r="AR57" s="36"/>
      <c r="AS57" s="28"/>
      <c r="AT57" s="28"/>
      <c r="AU57" s="26"/>
      <c r="AV57" s="27"/>
      <c r="AW57" s="36"/>
      <c r="AX57" s="28"/>
      <c r="AY57" s="28"/>
      <c r="AZ57" s="26"/>
      <c r="BA57" s="27"/>
      <c r="BB57" s="36"/>
      <c r="BC57" s="28"/>
      <c r="BD57" s="28"/>
      <c r="BE57" s="26"/>
      <c r="BF57" s="27"/>
      <c r="BG57" s="36"/>
      <c r="BH57" s="28"/>
      <c r="BI57" s="28"/>
      <c r="BJ57" s="26"/>
      <c r="BK57" s="27"/>
      <c r="BL57" s="36"/>
      <c r="BM57" s="28"/>
      <c r="BN57" s="28"/>
      <c r="BO57" s="26"/>
      <c r="BP57" s="27"/>
      <c r="BQ57" s="36"/>
      <c r="BR57" s="28"/>
      <c r="BS57" s="28"/>
      <c r="BT57" s="26"/>
      <c r="BU57" s="27"/>
      <c r="BV57" s="36"/>
      <c r="BW57" s="28"/>
      <c r="BX57" s="28"/>
      <c r="BY57" s="26"/>
      <c r="BZ57" s="561"/>
      <c r="CA57" s="549"/>
      <c r="CB57" s="549"/>
      <c r="CC57" s="549"/>
      <c r="CD57" s="549"/>
      <c r="CE57" s="549"/>
      <c r="CF57" s="549"/>
      <c r="CG57" s="549"/>
      <c r="CH57" s="549"/>
      <c r="CI57" s="549"/>
      <c r="CJ57" s="549"/>
      <c r="CK57" s="549"/>
      <c r="CL57" s="559"/>
      <c r="CM57" s="550"/>
      <c r="CN57" s="550"/>
      <c r="CO57" s="550"/>
      <c r="CP57" s="550"/>
      <c r="CQ57" s="550"/>
      <c r="CR57" s="550"/>
      <c r="CS57" s="550"/>
      <c r="CT57" s="550"/>
      <c r="CU57" s="550"/>
      <c r="CV57" s="550"/>
      <c r="CW57" s="550"/>
      <c r="CX57" s="562"/>
      <c r="DA57" s="42"/>
    </row>
    <row r="58" spans="1:109" x14ac:dyDescent="0.4">
      <c r="B58" s="504" t="str">
        <f>"FX - "&amp;DA58</f>
        <v>FX - 26</v>
      </c>
      <c r="C58" s="545" t="s">
        <v>1954</v>
      </c>
      <c r="D58" s="547" t="str">
        <f t="shared" ref="D58:D60" si="396">D56</f>
        <v>Portland</v>
      </c>
      <c r="E58" s="548" t="s">
        <v>65</v>
      </c>
      <c r="F58" s="549" cm="1">
        <f t="array" ref="F58">INDEX(FX_Setup,DA58,DB58)</f>
        <v>18</v>
      </c>
      <c r="G58" s="549" cm="1">
        <f t="array" ref="G58">INDEX(FX_Setup,$DA58,DC58)</f>
        <v>24</v>
      </c>
      <c r="H58" s="550" cm="1">
        <f t="array" ref="H58">INDEX(FX_Setup,$DA58,DD58)</f>
        <v>45696</v>
      </c>
      <c r="I58" s="549" t="s">
        <v>27</v>
      </c>
      <c r="J58" s="549"/>
      <c r="K58" s="549"/>
      <c r="L58" s="549" t="s">
        <v>93</v>
      </c>
      <c r="M58" s="549" t="s">
        <v>90</v>
      </c>
      <c r="N58" s="549" t="s">
        <v>93</v>
      </c>
      <c r="O58" s="549" t="s">
        <v>90</v>
      </c>
      <c r="P58" s="549"/>
      <c r="Q58" s="560"/>
      <c r="R58" s="37" t="str" cm="1">
        <f t="array" ref="R58">INDEX(Surrogate_Lst,MATCH(INDEX(FX_Setup,DA58,3),Product_GRP,0),2)</f>
        <v>Out of Service</v>
      </c>
      <c r="S58" s="36" t="str">
        <f t="shared" ref="S58" si="397">INDEX(Phys_Prop,MATCH(R58,Chem_List,0),5)</f>
        <v>N/A</v>
      </c>
      <c r="T58" s="36"/>
      <c r="U58" s="36"/>
      <c r="V58" s="38">
        <f>1-V59</f>
        <v>1</v>
      </c>
      <c r="W58" s="37" t="str">
        <f>R58</f>
        <v>Out of Service</v>
      </c>
      <c r="X58" s="36" t="str">
        <f t="shared" ref="X58" si="398">INDEX(Phys_Prop,MATCH(W58,Chem_List,0),5)</f>
        <v>N/A</v>
      </c>
      <c r="Y58" s="36"/>
      <c r="Z58" s="36"/>
      <c r="AA58" s="38">
        <f>1-AA59</f>
        <v>1</v>
      </c>
      <c r="AB58" s="37" t="str">
        <f>W58</f>
        <v>Out of Service</v>
      </c>
      <c r="AC58" s="36" t="str">
        <f t="shared" ref="AC58" si="399">INDEX(Phys_Prop,MATCH(AB58,Chem_List,0),5)</f>
        <v>N/A</v>
      </c>
      <c r="AD58" s="36"/>
      <c r="AE58" s="36"/>
      <c r="AF58" s="38">
        <f>1-AF59</f>
        <v>1</v>
      </c>
      <c r="AG58" s="37" t="str">
        <f>AB58</f>
        <v>Out of Service</v>
      </c>
      <c r="AH58" s="36" t="str">
        <f t="shared" ref="AH58" si="400">INDEX(Phys_Prop,MATCH(AG58,Chem_List,0),5)</f>
        <v>N/A</v>
      </c>
      <c r="AI58" s="36"/>
      <c r="AJ58" s="36"/>
      <c r="AK58" s="38">
        <f>1-AK59</f>
        <v>1</v>
      </c>
      <c r="AL58" s="37" t="str">
        <f>AG58</f>
        <v>Out of Service</v>
      </c>
      <c r="AM58" s="36" t="str">
        <f t="shared" ref="AM58" si="401">INDEX(Phys_Prop,MATCH(AL58,Chem_List,0),5)</f>
        <v>N/A</v>
      </c>
      <c r="AN58" s="36"/>
      <c r="AO58" s="36"/>
      <c r="AP58" s="38">
        <f>1-AP59</f>
        <v>1</v>
      </c>
      <c r="AQ58" s="37" t="str">
        <f>AL58</f>
        <v>Out of Service</v>
      </c>
      <c r="AR58" s="36" t="str">
        <f t="shared" ref="AR58" si="402">INDEX(Phys_Prop,MATCH(AQ58,Chem_List,0),5)</f>
        <v>N/A</v>
      </c>
      <c r="AS58" s="36"/>
      <c r="AT58" s="36"/>
      <c r="AU58" s="38">
        <f>1-AU59</f>
        <v>1</v>
      </c>
      <c r="AV58" s="37" t="str">
        <f>AQ58</f>
        <v>Out of Service</v>
      </c>
      <c r="AW58" s="36" t="str">
        <f t="shared" ref="AW58" si="403">INDEX(Phys_Prop,MATCH(AV58,Chem_List,0),5)</f>
        <v>N/A</v>
      </c>
      <c r="AX58" s="36"/>
      <c r="AY58" s="36"/>
      <c r="AZ58" s="38">
        <f>1-AZ59</f>
        <v>1</v>
      </c>
      <c r="BA58" s="37" t="str">
        <f>AV58</f>
        <v>Out of Service</v>
      </c>
      <c r="BB58" s="36" t="str">
        <f t="shared" ref="BB58" si="404">INDEX(Phys_Prop,MATCH(BA58,Chem_List,0),5)</f>
        <v>N/A</v>
      </c>
      <c r="BC58" s="36"/>
      <c r="BD58" s="36"/>
      <c r="BE58" s="38">
        <f>1-BE59</f>
        <v>1</v>
      </c>
      <c r="BF58" s="37" t="str">
        <f>BA58</f>
        <v>Out of Service</v>
      </c>
      <c r="BG58" s="36" t="str">
        <f t="shared" ref="BG58" si="405">INDEX(Phys_Prop,MATCH(BF58,Chem_List,0),5)</f>
        <v>N/A</v>
      </c>
      <c r="BH58" s="36"/>
      <c r="BI58" s="36"/>
      <c r="BJ58" s="38">
        <f>1-BJ59</f>
        <v>1</v>
      </c>
      <c r="BK58" s="37" t="str">
        <f>BF58</f>
        <v>Out of Service</v>
      </c>
      <c r="BL58" s="36" t="str">
        <f t="shared" ref="BL58" si="406">INDEX(Phys_Prop,MATCH(BK58,Chem_List,0),5)</f>
        <v>N/A</v>
      </c>
      <c r="BM58" s="36"/>
      <c r="BN58" s="36"/>
      <c r="BO58" s="38">
        <f>1-BO59</f>
        <v>1</v>
      </c>
      <c r="BP58" s="37" t="str">
        <f>BK58</f>
        <v>Out of Service</v>
      </c>
      <c r="BQ58" s="36" t="str">
        <f t="shared" ref="BQ58" si="407">INDEX(Phys_Prop,MATCH(BP58,Chem_List,0),5)</f>
        <v>N/A</v>
      </c>
      <c r="BR58" s="36"/>
      <c r="BS58" s="36"/>
      <c r="BT58" s="38">
        <f>1-BT59</f>
        <v>1</v>
      </c>
      <c r="BU58" s="37" t="str">
        <f>BP58</f>
        <v>Out of Service</v>
      </c>
      <c r="BV58" s="36" t="str">
        <f t="shared" ref="BV58" si="408">INDEX(Phys_Prop,MATCH(BU58,Chem_List,0),5)</f>
        <v>N/A</v>
      </c>
      <c r="BW58" s="36"/>
      <c r="BX58" s="36"/>
      <c r="BY58" s="38">
        <f>1-BY59</f>
        <v>1</v>
      </c>
      <c r="BZ58" s="561"/>
      <c r="CA58" s="549"/>
      <c r="CB58" s="549"/>
      <c r="CC58" s="549"/>
      <c r="CD58" s="549"/>
      <c r="CE58" s="549"/>
      <c r="CF58" s="549"/>
      <c r="CG58" s="549"/>
      <c r="CH58" s="549"/>
      <c r="CI58" s="549"/>
      <c r="CJ58" s="549"/>
      <c r="CK58" s="549"/>
      <c r="CL58" s="567" cm="1">
        <f t="array" ref="CL58">INDEX(FX_Setup,DA58,DE58)</f>
        <v>0</v>
      </c>
      <c r="CM58" s="563">
        <f t="shared" ref="CM58:CW58" si="409">CL58</f>
        <v>0</v>
      </c>
      <c r="CN58" s="563">
        <f t="shared" si="409"/>
        <v>0</v>
      </c>
      <c r="CO58" s="563">
        <f t="shared" si="409"/>
        <v>0</v>
      </c>
      <c r="CP58" s="563">
        <f t="shared" si="409"/>
        <v>0</v>
      </c>
      <c r="CQ58" s="563">
        <f t="shared" si="409"/>
        <v>0</v>
      </c>
      <c r="CR58" s="563">
        <f t="shared" si="409"/>
        <v>0</v>
      </c>
      <c r="CS58" s="563">
        <f t="shared" si="409"/>
        <v>0</v>
      </c>
      <c r="CT58" s="563">
        <f t="shared" si="409"/>
        <v>0</v>
      </c>
      <c r="CU58" s="563">
        <f t="shared" si="409"/>
        <v>0</v>
      </c>
      <c r="CV58" s="563">
        <f t="shared" si="409"/>
        <v>0</v>
      </c>
      <c r="CW58" s="563">
        <f t="shared" si="409"/>
        <v>0</v>
      </c>
      <c r="CX58" s="565">
        <f t="shared" ref="CX58" si="410">SUM(CL58:CW59)</f>
        <v>0</v>
      </c>
      <c r="DA58" s="42">
        <f>DA56+1</f>
        <v>26</v>
      </c>
      <c r="DB58">
        <v>7</v>
      </c>
      <c r="DC58">
        <v>6</v>
      </c>
      <c r="DD58">
        <v>5</v>
      </c>
      <c r="DE58">
        <f t="shared" ref="DE58" si="411">DE56</f>
        <v>9</v>
      </c>
    </row>
    <row r="59" spans="1:109" x14ac:dyDescent="0.4">
      <c r="B59" s="504"/>
      <c r="C59" s="546"/>
      <c r="D59" s="547"/>
      <c r="E59" s="548"/>
      <c r="F59" s="549"/>
      <c r="G59" s="549"/>
      <c r="H59" s="550"/>
      <c r="I59" s="549"/>
      <c r="J59" s="549"/>
      <c r="K59" s="549"/>
      <c r="L59" s="549"/>
      <c r="M59" s="549"/>
      <c r="N59" s="549"/>
      <c r="O59" s="549"/>
      <c r="P59" s="549"/>
      <c r="Q59" s="560"/>
      <c r="R59" s="27"/>
      <c r="S59" s="36"/>
      <c r="T59" s="28"/>
      <c r="U59" s="28"/>
      <c r="V59" s="26"/>
      <c r="W59" s="27"/>
      <c r="X59" s="36"/>
      <c r="Y59" s="28"/>
      <c r="Z59" s="28"/>
      <c r="AA59" s="26"/>
      <c r="AB59" s="27"/>
      <c r="AC59" s="36"/>
      <c r="AD59" s="28"/>
      <c r="AE59" s="28"/>
      <c r="AF59" s="26"/>
      <c r="AG59" s="27"/>
      <c r="AH59" s="36"/>
      <c r="AI59" s="28"/>
      <c r="AJ59" s="28"/>
      <c r="AK59" s="26"/>
      <c r="AL59" s="27"/>
      <c r="AM59" s="36"/>
      <c r="AN59" s="28"/>
      <c r="AO59" s="28"/>
      <c r="AP59" s="26"/>
      <c r="AQ59" s="27"/>
      <c r="AR59" s="36"/>
      <c r="AS59" s="28"/>
      <c r="AT59" s="28"/>
      <c r="AU59" s="26"/>
      <c r="AV59" s="27"/>
      <c r="AW59" s="36"/>
      <c r="AX59" s="28"/>
      <c r="AY59" s="28"/>
      <c r="AZ59" s="26"/>
      <c r="BA59" s="27"/>
      <c r="BB59" s="36"/>
      <c r="BC59" s="28"/>
      <c r="BD59" s="28"/>
      <c r="BE59" s="26"/>
      <c r="BF59" s="27"/>
      <c r="BG59" s="36"/>
      <c r="BH59" s="28"/>
      <c r="BI59" s="28"/>
      <c r="BJ59" s="26"/>
      <c r="BK59" s="27"/>
      <c r="BL59" s="36"/>
      <c r="BM59" s="28"/>
      <c r="BN59" s="28"/>
      <c r="BO59" s="26"/>
      <c r="BP59" s="27"/>
      <c r="BQ59" s="36"/>
      <c r="BR59" s="28"/>
      <c r="BS59" s="28"/>
      <c r="BT59" s="26"/>
      <c r="BU59" s="27"/>
      <c r="BV59" s="36"/>
      <c r="BW59" s="28"/>
      <c r="BX59" s="28"/>
      <c r="BY59" s="26"/>
      <c r="BZ59" s="561"/>
      <c r="CA59" s="549"/>
      <c r="CB59" s="549"/>
      <c r="CC59" s="549"/>
      <c r="CD59" s="549"/>
      <c r="CE59" s="549"/>
      <c r="CF59" s="549"/>
      <c r="CG59" s="549"/>
      <c r="CH59" s="549"/>
      <c r="CI59" s="549"/>
      <c r="CJ59" s="549"/>
      <c r="CK59" s="549"/>
      <c r="CL59" s="568"/>
      <c r="CM59" s="564"/>
      <c r="CN59" s="564"/>
      <c r="CO59" s="564"/>
      <c r="CP59" s="564"/>
      <c r="CQ59" s="564"/>
      <c r="CR59" s="564"/>
      <c r="CS59" s="564"/>
      <c r="CT59" s="564"/>
      <c r="CU59" s="564"/>
      <c r="CV59" s="564"/>
      <c r="CW59" s="564"/>
      <c r="CX59" s="566"/>
      <c r="DA59" s="42"/>
    </row>
    <row r="60" spans="1:109" s="39" customFormat="1" x14ac:dyDescent="0.4">
      <c r="B60" s="569" t="str">
        <f>"FX - "&amp;DA60</f>
        <v>FX - 27</v>
      </c>
      <c r="C60" s="570" t="s">
        <v>2035</v>
      </c>
      <c r="D60" s="572" t="str">
        <f t="shared" si="396"/>
        <v>Portland</v>
      </c>
      <c r="E60" s="573" t="s">
        <v>65</v>
      </c>
      <c r="F60" s="574" cm="1">
        <f t="array" ref="F60">INDEX(FX_Setup,DA60,DB60)</f>
        <v>18</v>
      </c>
      <c r="G60" s="574" cm="1">
        <f t="array" ref="G60">INDEX(FX_Setup,$DA60,DC60)</f>
        <v>24</v>
      </c>
      <c r="H60" s="577" cm="1">
        <f t="array" ref="H60">INDEX(FX_Setup,$DA60,DD60)</f>
        <v>45696</v>
      </c>
      <c r="I60" s="574" t="s">
        <v>27</v>
      </c>
      <c r="J60" s="574"/>
      <c r="K60" s="574"/>
      <c r="L60" s="574" t="s">
        <v>93</v>
      </c>
      <c r="M60" s="574" t="s">
        <v>90</v>
      </c>
      <c r="N60" s="574" t="s">
        <v>93</v>
      </c>
      <c r="O60" s="574" t="s">
        <v>90</v>
      </c>
      <c r="P60" s="574"/>
      <c r="Q60" s="575"/>
      <c r="R60" s="377" t="str" cm="1">
        <f t="array" ref="R60">INDEX(Surrogate_Lst,MATCH(INDEX(FX_Setup,DA60,3),Product_GRP,0),2)</f>
        <v>Out of Service</v>
      </c>
      <c r="S60" s="378" t="str">
        <f t="shared" ref="S60" si="412">INDEX(Phys_Prop,MATCH(R60,Chem_List,0),5)</f>
        <v>N/A</v>
      </c>
      <c r="T60" s="378"/>
      <c r="U60" s="378"/>
      <c r="V60" s="379">
        <f>1-V61</f>
        <v>1</v>
      </c>
      <c r="W60" s="377" t="str">
        <f>R60</f>
        <v>Out of Service</v>
      </c>
      <c r="X60" s="378" t="str">
        <f t="shared" ref="X60" si="413">INDEX(Phys_Prop,MATCH(W60,Chem_List,0),5)</f>
        <v>N/A</v>
      </c>
      <c r="Y60" s="378"/>
      <c r="Z60" s="378"/>
      <c r="AA60" s="379">
        <f>1-AA61</f>
        <v>1</v>
      </c>
      <c r="AB60" s="377" t="str">
        <f>W60</f>
        <v>Out of Service</v>
      </c>
      <c r="AC60" s="378" t="str">
        <f t="shared" ref="AC60" si="414">INDEX(Phys_Prop,MATCH(AB60,Chem_List,0),5)</f>
        <v>N/A</v>
      </c>
      <c r="AD60" s="378"/>
      <c r="AE60" s="378"/>
      <c r="AF60" s="379">
        <f>1-AF61</f>
        <v>1</v>
      </c>
      <c r="AG60" s="377" t="str">
        <f>AB60</f>
        <v>Out of Service</v>
      </c>
      <c r="AH60" s="378" t="str">
        <f t="shared" ref="AH60" si="415">INDEX(Phys_Prop,MATCH(AG60,Chem_List,0),5)</f>
        <v>N/A</v>
      </c>
      <c r="AI60" s="378"/>
      <c r="AJ60" s="378"/>
      <c r="AK60" s="379">
        <f>1-AK61</f>
        <v>1</v>
      </c>
      <c r="AL60" s="377" t="str">
        <f>AG60</f>
        <v>Out of Service</v>
      </c>
      <c r="AM60" s="378" t="str">
        <f t="shared" ref="AM60" si="416">INDEX(Phys_Prop,MATCH(AL60,Chem_List,0),5)</f>
        <v>N/A</v>
      </c>
      <c r="AN60" s="378"/>
      <c r="AO60" s="378"/>
      <c r="AP60" s="379">
        <f>1-AP61</f>
        <v>1</v>
      </c>
      <c r="AQ60" s="377" t="str">
        <f>AL60</f>
        <v>Out of Service</v>
      </c>
      <c r="AR60" s="378" t="str">
        <f t="shared" ref="AR60" si="417">INDEX(Phys_Prop,MATCH(AQ60,Chem_List,0),5)</f>
        <v>N/A</v>
      </c>
      <c r="AS60" s="378"/>
      <c r="AT60" s="378"/>
      <c r="AU60" s="379">
        <f>1-AU61</f>
        <v>1</v>
      </c>
      <c r="AV60" s="377" t="str">
        <f>AQ60</f>
        <v>Out of Service</v>
      </c>
      <c r="AW60" s="378" t="str">
        <f t="shared" ref="AW60" si="418">INDEX(Phys_Prop,MATCH(AV60,Chem_List,0),5)</f>
        <v>N/A</v>
      </c>
      <c r="AX60" s="378"/>
      <c r="AY60" s="378"/>
      <c r="AZ60" s="379">
        <f>1-AZ61</f>
        <v>1</v>
      </c>
      <c r="BA60" s="377" t="str">
        <f>AV60</f>
        <v>Out of Service</v>
      </c>
      <c r="BB60" s="378" t="str">
        <f t="shared" ref="BB60" si="419">INDEX(Phys_Prop,MATCH(BA60,Chem_List,0),5)</f>
        <v>N/A</v>
      </c>
      <c r="BC60" s="378"/>
      <c r="BD60" s="378"/>
      <c r="BE60" s="379">
        <f>1-BE61</f>
        <v>1</v>
      </c>
      <c r="BF60" s="377" t="str">
        <f>BA60</f>
        <v>Out of Service</v>
      </c>
      <c r="BG60" s="378" t="str">
        <f t="shared" ref="BG60" si="420">INDEX(Phys_Prop,MATCH(BF60,Chem_List,0),5)</f>
        <v>N/A</v>
      </c>
      <c r="BH60" s="378"/>
      <c r="BI60" s="378"/>
      <c r="BJ60" s="379">
        <f>1-BJ61</f>
        <v>1</v>
      </c>
      <c r="BK60" s="377" t="str">
        <f>BF60</f>
        <v>Out of Service</v>
      </c>
      <c r="BL60" s="378" t="str">
        <f t="shared" ref="BL60" si="421">INDEX(Phys_Prop,MATCH(BK60,Chem_List,0),5)</f>
        <v>N/A</v>
      </c>
      <c r="BM60" s="378"/>
      <c r="BN60" s="378"/>
      <c r="BO60" s="379">
        <f>1-BO61</f>
        <v>1</v>
      </c>
      <c r="BP60" s="377" t="str">
        <f>BK60</f>
        <v>Out of Service</v>
      </c>
      <c r="BQ60" s="378" t="str">
        <f t="shared" ref="BQ60" si="422">INDEX(Phys_Prop,MATCH(BP60,Chem_List,0),5)</f>
        <v>N/A</v>
      </c>
      <c r="BR60" s="378"/>
      <c r="BS60" s="378"/>
      <c r="BT60" s="379">
        <f>1-BT61</f>
        <v>1</v>
      </c>
      <c r="BU60" s="377" t="str">
        <f>BP60</f>
        <v>Out of Service</v>
      </c>
      <c r="BV60" s="378" t="str">
        <f t="shared" ref="BV60" si="423">INDEX(Phys_Prop,MATCH(BU60,Chem_List,0),5)</f>
        <v>N/A</v>
      </c>
      <c r="BW60" s="378"/>
      <c r="BX60" s="378"/>
      <c r="BY60" s="379">
        <f>1-BY61</f>
        <v>1</v>
      </c>
      <c r="BZ60" s="576"/>
      <c r="CA60" s="574"/>
      <c r="CB60" s="574"/>
      <c r="CC60" s="574"/>
      <c r="CD60" s="574"/>
      <c r="CE60" s="574"/>
      <c r="CF60" s="574"/>
      <c r="CG60" s="574"/>
      <c r="CH60" s="574"/>
      <c r="CI60" s="574"/>
      <c r="CJ60" s="574"/>
      <c r="CK60" s="574"/>
      <c r="CL60" s="595" cm="1">
        <f t="array" ref="CL60">INDEX(FX_Setup,DA60,DE60)</f>
        <v>0</v>
      </c>
      <c r="CM60" s="591">
        <f t="shared" ref="CM60:CW60" si="424">CL60</f>
        <v>0</v>
      </c>
      <c r="CN60" s="591">
        <f t="shared" si="424"/>
        <v>0</v>
      </c>
      <c r="CO60" s="591">
        <f t="shared" si="424"/>
        <v>0</v>
      </c>
      <c r="CP60" s="591">
        <f t="shared" si="424"/>
        <v>0</v>
      </c>
      <c r="CQ60" s="591">
        <f t="shared" si="424"/>
        <v>0</v>
      </c>
      <c r="CR60" s="591">
        <f t="shared" si="424"/>
        <v>0</v>
      </c>
      <c r="CS60" s="591">
        <f t="shared" si="424"/>
        <v>0</v>
      </c>
      <c r="CT60" s="591">
        <f t="shared" si="424"/>
        <v>0</v>
      </c>
      <c r="CU60" s="591">
        <f t="shared" si="424"/>
        <v>0</v>
      </c>
      <c r="CV60" s="591">
        <f t="shared" si="424"/>
        <v>0</v>
      </c>
      <c r="CW60" s="591">
        <f t="shared" si="424"/>
        <v>0</v>
      </c>
      <c r="CX60" s="593">
        <f t="shared" ref="CX60" si="425">SUM(CL60:CW61)</f>
        <v>0</v>
      </c>
      <c r="DA60" s="42">
        <f>DA58+1</f>
        <v>27</v>
      </c>
      <c r="DB60">
        <v>7</v>
      </c>
      <c r="DC60">
        <v>6</v>
      </c>
      <c r="DD60">
        <v>5</v>
      </c>
      <c r="DE60">
        <f t="shared" ref="DE60" si="426">DE58</f>
        <v>9</v>
      </c>
    </row>
    <row r="61" spans="1:109" s="39" customFormat="1" x14ac:dyDescent="0.4">
      <c r="B61" s="569"/>
      <c r="C61" s="571"/>
      <c r="D61" s="572"/>
      <c r="E61" s="573"/>
      <c r="F61" s="574"/>
      <c r="G61" s="574"/>
      <c r="H61" s="577"/>
      <c r="I61" s="574"/>
      <c r="J61" s="574"/>
      <c r="K61" s="574"/>
      <c r="L61" s="574"/>
      <c r="M61" s="574"/>
      <c r="N61" s="574"/>
      <c r="O61" s="574"/>
      <c r="P61" s="574"/>
      <c r="Q61" s="575"/>
      <c r="R61" s="380"/>
      <c r="S61" s="378"/>
      <c r="T61" s="381"/>
      <c r="U61" s="381"/>
      <c r="V61" s="382"/>
      <c r="W61" s="380"/>
      <c r="X61" s="378"/>
      <c r="Y61" s="381"/>
      <c r="Z61" s="381"/>
      <c r="AA61" s="382"/>
      <c r="AB61" s="380"/>
      <c r="AC61" s="378"/>
      <c r="AD61" s="381"/>
      <c r="AE61" s="381"/>
      <c r="AF61" s="382"/>
      <c r="AG61" s="380"/>
      <c r="AH61" s="378"/>
      <c r="AI61" s="381"/>
      <c r="AJ61" s="381"/>
      <c r="AK61" s="382"/>
      <c r="AL61" s="380"/>
      <c r="AM61" s="378"/>
      <c r="AN61" s="381"/>
      <c r="AO61" s="381"/>
      <c r="AP61" s="382"/>
      <c r="AQ61" s="380"/>
      <c r="AR61" s="378"/>
      <c r="AS61" s="381"/>
      <c r="AT61" s="381"/>
      <c r="AU61" s="382"/>
      <c r="AV61" s="380"/>
      <c r="AW61" s="378"/>
      <c r="AX61" s="381"/>
      <c r="AY61" s="381"/>
      <c r="AZ61" s="382"/>
      <c r="BA61" s="380"/>
      <c r="BB61" s="378"/>
      <c r="BC61" s="381"/>
      <c r="BD61" s="381"/>
      <c r="BE61" s="382"/>
      <c r="BF61" s="380"/>
      <c r="BG61" s="378"/>
      <c r="BH61" s="381"/>
      <c r="BI61" s="381"/>
      <c r="BJ61" s="382"/>
      <c r="BK61" s="380"/>
      <c r="BL61" s="378"/>
      <c r="BM61" s="381"/>
      <c r="BN61" s="381"/>
      <c r="BO61" s="382"/>
      <c r="BP61" s="380"/>
      <c r="BQ61" s="378"/>
      <c r="BR61" s="381"/>
      <c r="BS61" s="381"/>
      <c r="BT61" s="382"/>
      <c r="BU61" s="380"/>
      <c r="BV61" s="378"/>
      <c r="BW61" s="381"/>
      <c r="BX61" s="381"/>
      <c r="BY61" s="382"/>
      <c r="BZ61" s="576"/>
      <c r="CA61" s="574"/>
      <c r="CB61" s="574"/>
      <c r="CC61" s="574"/>
      <c r="CD61" s="574"/>
      <c r="CE61" s="574"/>
      <c r="CF61" s="574"/>
      <c r="CG61" s="574"/>
      <c r="CH61" s="574"/>
      <c r="CI61" s="574"/>
      <c r="CJ61" s="574"/>
      <c r="CK61" s="574"/>
      <c r="CL61" s="596"/>
      <c r="CM61" s="592"/>
      <c r="CN61" s="592"/>
      <c r="CO61" s="592"/>
      <c r="CP61" s="592"/>
      <c r="CQ61" s="592"/>
      <c r="CR61" s="592"/>
      <c r="CS61" s="592"/>
      <c r="CT61" s="592"/>
      <c r="CU61" s="592"/>
      <c r="CV61" s="592"/>
      <c r="CW61" s="592"/>
      <c r="CX61" s="594"/>
      <c r="DA61" s="42"/>
      <c r="DB61"/>
      <c r="DC61"/>
      <c r="DD61"/>
      <c r="DE61"/>
    </row>
    <row r="62" spans="1:109" x14ac:dyDescent="0.4">
      <c r="B62" s="504" t="str">
        <f>"FX - "&amp;DA62</f>
        <v>FX - 28</v>
      </c>
      <c r="C62" s="545" t="s">
        <v>1955</v>
      </c>
      <c r="D62" s="547" t="str">
        <f t="shared" ref="D62" si="427">D58</f>
        <v>Portland</v>
      </c>
      <c r="E62" s="548" t="s">
        <v>65</v>
      </c>
      <c r="F62" s="549" cm="1">
        <f t="array" ref="F62">INDEX(FX_Setup,DA62,DB62)</f>
        <v>18</v>
      </c>
      <c r="G62" s="549" cm="1">
        <f t="array" ref="G62">INDEX(FX_Setup,$DA62,DC62)</f>
        <v>24</v>
      </c>
      <c r="H62" s="550" cm="1">
        <f t="array" ref="H62">INDEX(FX_Setup,$DA62,DD62)</f>
        <v>45696</v>
      </c>
      <c r="I62" s="549" t="s">
        <v>27</v>
      </c>
      <c r="J62" s="549"/>
      <c r="K62" s="549"/>
      <c r="L62" s="549" t="s">
        <v>93</v>
      </c>
      <c r="M62" s="549" t="s">
        <v>90</v>
      </c>
      <c r="N62" s="549" t="s">
        <v>93</v>
      </c>
      <c r="O62" s="549" t="s">
        <v>90</v>
      </c>
      <c r="P62" s="549"/>
      <c r="Q62" s="560"/>
      <c r="R62" s="37" t="str" cm="1">
        <f t="array" ref="R62">INDEX(Surrogate_Lst,MATCH(INDEX(FX_Setup,DA62,3),Product_GRP,0),2)</f>
        <v>Out of Service</v>
      </c>
      <c r="S62" s="36" t="str">
        <f t="shared" ref="S62" si="428">INDEX(Phys_Prop,MATCH(R62,Chem_List,0),5)</f>
        <v>N/A</v>
      </c>
      <c r="T62" s="36"/>
      <c r="U62" s="36"/>
      <c r="V62" s="38">
        <f>1-V63</f>
        <v>1</v>
      </c>
      <c r="W62" s="37" t="str">
        <f>R62</f>
        <v>Out of Service</v>
      </c>
      <c r="X62" s="36" t="str">
        <f t="shared" ref="X62" si="429">INDEX(Phys_Prop,MATCH(W62,Chem_List,0),5)</f>
        <v>N/A</v>
      </c>
      <c r="Y62" s="36"/>
      <c r="Z62" s="36"/>
      <c r="AA62" s="38">
        <f>1-AA63</f>
        <v>1</v>
      </c>
      <c r="AB62" s="37" t="str">
        <f>W62</f>
        <v>Out of Service</v>
      </c>
      <c r="AC62" s="36" t="str">
        <f t="shared" ref="AC62" si="430">INDEX(Phys_Prop,MATCH(AB62,Chem_List,0),5)</f>
        <v>N/A</v>
      </c>
      <c r="AD62" s="36"/>
      <c r="AE62" s="36"/>
      <c r="AF62" s="38">
        <f>1-AF63</f>
        <v>1</v>
      </c>
      <c r="AG62" s="37" t="str">
        <f>AB62</f>
        <v>Out of Service</v>
      </c>
      <c r="AH62" s="36" t="str">
        <f t="shared" ref="AH62" si="431">INDEX(Phys_Prop,MATCH(AG62,Chem_List,0),5)</f>
        <v>N/A</v>
      </c>
      <c r="AI62" s="36"/>
      <c r="AJ62" s="36"/>
      <c r="AK62" s="38">
        <f>1-AK63</f>
        <v>1</v>
      </c>
      <c r="AL62" s="37" t="str">
        <f>AG62</f>
        <v>Out of Service</v>
      </c>
      <c r="AM62" s="36" t="str">
        <f t="shared" ref="AM62" si="432">INDEX(Phys_Prop,MATCH(AL62,Chem_List,0),5)</f>
        <v>N/A</v>
      </c>
      <c r="AN62" s="36"/>
      <c r="AO62" s="36"/>
      <c r="AP62" s="38">
        <f>1-AP63</f>
        <v>1</v>
      </c>
      <c r="AQ62" s="37" t="str">
        <f>AL62</f>
        <v>Out of Service</v>
      </c>
      <c r="AR62" s="36" t="str">
        <f t="shared" ref="AR62" si="433">INDEX(Phys_Prop,MATCH(AQ62,Chem_List,0),5)</f>
        <v>N/A</v>
      </c>
      <c r="AS62" s="36"/>
      <c r="AT62" s="36"/>
      <c r="AU62" s="38">
        <f>1-AU63</f>
        <v>1</v>
      </c>
      <c r="AV62" s="37" t="str">
        <f>AQ62</f>
        <v>Out of Service</v>
      </c>
      <c r="AW62" s="36" t="str">
        <f t="shared" ref="AW62" si="434">INDEX(Phys_Prop,MATCH(AV62,Chem_List,0),5)</f>
        <v>N/A</v>
      </c>
      <c r="AX62" s="36"/>
      <c r="AY62" s="36"/>
      <c r="AZ62" s="38">
        <f>1-AZ63</f>
        <v>1</v>
      </c>
      <c r="BA62" s="37" t="str">
        <f>AV62</f>
        <v>Out of Service</v>
      </c>
      <c r="BB62" s="36" t="str">
        <f t="shared" ref="BB62" si="435">INDEX(Phys_Prop,MATCH(BA62,Chem_List,0),5)</f>
        <v>N/A</v>
      </c>
      <c r="BC62" s="36"/>
      <c r="BD62" s="36"/>
      <c r="BE62" s="38">
        <f>1-BE63</f>
        <v>1</v>
      </c>
      <c r="BF62" s="37" t="str">
        <f>BA62</f>
        <v>Out of Service</v>
      </c>
      <c r="BG62" s="36" t="str">
        <f t="shared" ref="BG62" si="436">INDEX(Phys_Prop,MATCH(BF62,Chem_List,0),5)</f>
        <v>N/A</v>
      </c>
      <c r="BH62" s="36"/>
      <c r="BI62" s="36"/>
      <c r="BJ62" s="38">
        <f>1-BJ63</f>
        <v>1</v>
      </c>
      <c r="BK62" s="37" t="str">
        <f>BF62</f>
        <v>Out of Service</v>
      </c>
      <c r="BL62" s="36" t="str">
        <f t="shared" ref="BL62" si="437">INDEX(Phys_Prop,MATCH(BK62,Chem_List,0),5)</f>
        <v>N/A</v>
      </c>
      <c r="BM62" s="36"/>
      <c r="BN62" s="36"/>
      <c r="BO62" s="38">
        <f>1-BO63</f>
        <v>1</v>
      </c>
      <c r="BP62" s="37" t="str">
        <f>BK62</f>
        <v>Out of Service</v>
      </c>
      <c r="BQ62" s="36" t="str">
        <f t="shared" ref="BQ62" si="438">INDEX(Phys_Prop,MATCH(BP62,Chem_List,0),5)</f>
        <v>N/A</v>
      </c>
      <c r="BR62" s="36"/>
      <c r="BS62" s="36"/>
      <c r="BT62" s="38">
        <f>1-BT63</f>
        <v>1</v>
      </c>
      <c r="BU62" s="37" t="str">
        <f>BP62</f>
        <v>Out of Service</v>
      </c>
      <c r="BV62" s="36" t="str">
        <f t="shared" ref="BV62" si="439">INDEX(Phys_Prop,MATCH(BU62,Chem_List,0),5)</f>
        <v>N/A</v>
      </c>
      <c r="BW62" s="36"/>
      <c r="BX62" s="36"/>
      <c r="BY62" s="38">
        <f>1-BY63</f>
        <v>1</v>
      </c>
      <c r="BZ62" s="561"/>
      <c r="CA62" s="549"/>
      <c r="CB62" s="549"/>
      <c r="CC62" s="549"/>
      <c r="CD62" s="549"/>
      <c r="CE62" s="549"/>
      <c r="CF62" s="549"/>
      <c r="CG62" s="549"/>
      <c r="CH62" s="549"/>
      <c r="CI62" s="549"/>
      <c r="CJ62" s="549"/>
      <c r="CK62" s="549"/>
      <c r="CL62" s="559" cm="1">
        <f t="array" ref="CL62">INDEX(FX_Setup,DA62,DE62)</f>
        <v>0</v>
      </c>
      <c r="CM62" s="550">
        <f t="shared" ref="CM62:CW62" si="440">CL62</f>
        <v>0</v>
      </c>
      <c r="CN62" s="550">
        <f t="shared" si="440"/>
        <v>0</v>
      </c>
      <c r="CO62" s="550">
        <f t="shared" si="440"/>
        <v>0</v>
      </c>
      <c r="CP62" s="550">
        <f t="shared" si="440"/>
        <v>0</v>
      </c>
      <c r="CQ62" s="550">
        <f t="shared" si="440"/>
        <v>0</v>
      </c>
      <c r="CR62" s="550">
        <f t="shared" si="440"/>
        <v>0</v>
      </c>
      <c r="CS62" s="550">
        <f t="shared" si="440"/>
        <v>0</v>
      </c>
      <c r="CT62" s="550">
        <f t="shared" si="440"/>
        <v>0</v>
      </c>
      <c r="CU62" s="550">
        <f t="shared" si="440"/>
        <v>0</v>
      </c>
      <c r="CV62" s="550">
        <f t="shared" si="440"/>
        <v>0</v>
      </c>
      <c r="CW62" s="550">
        <f t="shared" si="440"/>
        <v>0</v>
      </c>
      <c r="CX62" s="562">
        <f t="shared" ref="CX62" si="441">SUM(CL62:CW63)</f>
        <v>0</v>
      </c>
      <c r="DA62" s="42">
        <f>DA60+1</f>
        <v>28</v>
      </c>
      <c r="DB62">
        <v>7</v>
      </c>
      <c r="DC62">
        <v>6</v>
      </c>
      <c r="DD62">
        <v>5</v>
      </c>
      <c r="DE62">
        <f t="shared" ref="DE62" si="442">DE60</f>
        <v>9</v>
      </c>
    </row>
    <row r="63" spans="1:109" x14ac:dyDescent="0.4">
      <c r="B63" s="504"/>
      <c r="C63" s="546"/>
      <c r="D63" s="547"/>
      <c r="E63" s="548"/>
      <c r="F63" s="549"/>
      <c r="G63" s="549"/>
      <c r="H63" s="550"/>
      <c r="I63" s="549"/>
      <c r="J63" s="549"/>
      <c r="K63" s="549"/>
      <c r="L63" s="549"/>
      <c r="M63" s="549"/>
      <c r="N63" s="549"/>
      <c r="O63" s="549"/>
      <c r="P63" s="549"/>
      <c r="Q63" s="560"/>
      <c r="R63" s="27"/>
      <c r="S63" s="36"/>
      <c r="T63" s="28"/>
      <c r="U63" s="28"/>
      <c r="V63" s="26"/>
      <c r="W63" s="27"/>
      <c r="X63" s="36"/>
      <c r="Y63" s="28"/>
      <c r="Z63" s="28"/>
      <c r="AA63" s="26"/>
      <c r="AB63" s="27"/>
      <c r="AC63" s="36"/>
      <c r="AD63" s="28"/>
      <c r="AE63" s="28"/>
      <c r="AF63" s="26"/>
      <c r="AG63" s="27"/>
      <c r="AH63" s="36"/>
      <c r="AI63" s="28"/>
      <c r="AJ63" s="28"/>
      <c r="AK63" s="26"/>
      <c r="AL63" s="27"/>
      <c r="AM63" s="36"/>
      <c r="AN63" s="28"/>
      <c r="AO63" s="28"/>
      <c r="AP63" s="26"/>
      <c r="AQ63" s="27"/>
      <c r="AR63" s="36"/>
      <c r="AS63" s="28"/>
      <c r="AT63" s="28"/>
      <c r="AU63" s="26"/>
      <c r="AV63" s="27"/>
      <c r="AW63" s="36"/>
      <c r="AX63" s="28"/>
      <c r="AY63" s="28"/>
      <c r="AZ63" s="26"/>
      <c r="BA63" s="27"/>
      <c r="BB63" s="36"/>
      <c r="BC63" s="28"/>
      <c r="BD63" s="28"/>
      <c r="BE63" s="26"/>
      <c r="BF63" s="27"/>
      <c r="BG63" s="36"/>
      <c r="BH63" s="28"/>
      <c r="BI63" s="28"/>
      <c r="BJ63" s="26"/>
      <c r="BK63" s="27"/>
      <c r="BL63" s="36"/>
      <c r="BM63" s="28"/>
      <c r="BN63" s="28"/>
      <c r="BO63" s="26"/>
      <c r="BP63" s="27"/>
      <c r="BQ63" s="36"/>
      <c r="BR63" s="28"/>
      <c r="BS63" s="28"/>
      <c r="BT63" s="26"/>
      <c r="BU63" s="27"/>
      <c r="BV63" s="36"/>
      <c r="BW63" s="28"/>
      <c r="BX63" s="28"/>
      <c r="BY63" s="26"/>
      <c r="BZ63" s="561"/>
      <c r="CA63" s="549"/>
      <c r="CB63" s="549"/>
      <c r="CC63" s="549"/>
      <c r="CD63" s="549"/>
      <c r="CE63" s="549"/>
      <c r="CF63" s="549"/>
      <c r="CG63" s="549"/>
      <c r="CH63" s="549"/>
      <c r="CI63" s="549"/>
      <c r="CJ63" s="549"/>
      <c r="CK63" s="549"/>
      <c r="CL63" s="559"/>
      <c r="CM63" s="550"/>
      <c r="CN63" s="550"/>
      <c r="CO63" s="550"/>
      <c r="CP63" s="550"/>
      <c r="CQ63" s="550"/>
      <c r="CR63" s="550"/>
      <c r="CS63" s="550"/>
      <c r="CT63" s="550"/>
      <c r="CU63" s="550"/>
      <c r="CV63" s="550"/>
      <c r="CW63" s="550"/>
      <c r="CX63" s="562"/>
      <c r="DA63" s="42"/>
    </row>
    <row r="64" spans="1:109" x14ac:dyDescent="0.4">
      <c r="B64" s="504" t="str">
        <f>"FX - "&amp;DA64</f>
        <v>FX - 29</v>
      </c>
      <c r="C64" s="545" t="s">
        <v>1956</v>
      </c>
      <c r="D64" s="547" t="str">
        <f t="shared" ref="D64" si="443">D62</f>
        <v>Portland</v>
      </c>
      <c r="E64" s="548" t="s">
        <v>65</v>
      </c>
      <c r="F64" s="549" cm="1">
        <f t="array" ref="F64">INDEX(FX_Setup,DA64,DB64)</f>
        <v>18</v>
      </c>
      <c r="G64" s="549" cm="1">
        <f t="array" ref="G64">INDEX(FX_Setup,$DA64,DC64)</f>
        <v>24</v>
      </c>
      <c r="H64" s="550" cm="1">
        <f t="array" ref="H64">INDEX(FX_Setup,$DA64,DD64)</f>
        <v>45696</v>
      </c>
      <c r="I64" s="549" t="s">
        <v>27</v>
      </c>
      <c r="J64" s="549"/>
      <c r="K64" s="549"/>
      <c r="L64" s="549" t="s">
        <v>93</v>
      </c>
      <c r="M64" s="549" t="s">
        <v>90</v>
      </c>
      <c r="N64" s="549" t="s">
        <v>93</v>
      </c>
      <c r="O64" s="549" t="s">
        <v>90</v>
      </c>
      <c r="P64" s="549"/>
      <c r="Q64" s="560"/>
      <c r="R64" s="37" t="str" cm="1">
        <f t="array" ref="R64">INDEX(Surrogate_Lst,MATCH(INDEX(FX_Setup,DA64,3),Product_GRP,0),2)</f>
        <v>Out of Service</v>
      </c>
      <c r="S64" s="36" t="str">
        <f t="shared" ref="S64" si="444">INDEX(Phys_Prop,MATCH(R64,Chem_List,0),5)</f>
        <v>N/A</v>
      </c>
      <c r="T64" s="36"/>
      <c r="U64" s="36"/>
      <c r="V64" s="38">
        <f>1-V65</f>
        <v>1</v>
      </c>
      <c r="W64" s="37" t="str">
        <f>R64</f>
        <v>Out of Service</v>
      </c>
      <c r="X64" s="36" t="str">
        <f t="shared" ref="X64" si="445">INDEX(Phys_Prop,MATCH(W64,Chem_List,0),5)</f>
        <v>N/A</v>
      </c>
      <c r="Y64" s="36"/>
      <c r="Z64" s="36"/>
      <c r="AA64" s="38">
        <f>1-AA65</f>
        <v>1</v>
      </c>
      <c r="AB64" s="37" t="str">
        <f>W64</f>
        <v>Out of Service</v>
      </c>
      <c r="AC64" s="36" t="str">
        <f t="shared" ref="AC64" si="446">INDEX(Phys_Prop,MATCH(AB64,Chem_List,0),5)</f>
        <v>N/A</v>
      </c>
      <c r="AD64" s="36"/>
      <c r="AE64" s="36"/>
      <c r="AF64" s="38">
        <f>1-AF65</f>
        <v>1</v>
      </c>
      <c r="AG64" s="37" t="str">
        <f>AB64</f>
        <v>Out of Service</v>
      </c>
      <c r="AH64" s="36" t="str">
        <f t="shared" ref="AH64" si="447">INDEX(Phys_Prop,MATCH(AG64,Chem_List,0),5)</f>
        <v>N/A</v>
      </c>
      <c r="AI64" s="36"/>
      <c r="AJ64" s="36"/>
      <c r="AK64" s="38">
        <f>1-AK65</f>
        <v>1</v>
      </c>
      <c r="AL64" s="37" t="str">
        <f>AG64</f>
        <v>Out of Service</v>
      </c>
      <c r="AM64" s="36" t="str">
        <f t="shared" ref="AM64" si="448">INDEX(Phys_Prop,MATCH(AL64,Chem_List,0),5)</f>
        <v>N/A</v>
      </c>
      <c r="AN64" s="36"/>
      <c r="AO64" s="36"/>
      <c r="AP64" s="38">
        <f>1-AP65</f>
        <v>1</v>
      </c>
      <c r="AQ64" s="37" t="str">
        <f>AL64</f>
        <v>Out of Service</v>
      </c>
      <c r="AR64" s="36" t="str">
        <f t="shared" ref="AR64" si="449">INDEX(Phys_Prop,MATCH(AQ64,Chem_List,0),5)</f>
        <v>N/A</v>
      </c>
      <c r="AS64" s="36"/>
      <c r="AT64" s="36"/>
      <c r="AU64" s="38">
        <f>1-AU65</f>
        <v>1</v>
      </c>
      <c r="AV64" s="37" t="str">
        <f>AQ64</f>
        <v>Out of Service</v>
      </c>
      <c r="AW64" s="36" t="str">
        <f t="shared" ref="AW64" si="450">INDEX(Phys_Prop,MATCH(AV64,Chem_List,0),5)</f>
        <v>N/A</v>
      </c>
      <c r="AX64" s="36"/>
      <c r="AY64" s="36"/>
      <c r="AZ64" s="38">
        <f>1-AZ65</f>
        <v>1</v>
      </c>
      <c r="BA64" s="37" t="str">
        <f>AV64</f>
        <v>Out of Service</v>
      </c>
      <c r="BB64" s="36" t="str">
        <f t="shared" ref="BB64" si="451">INDEX(Phys_Prop,MATCH(BA64,Chem_List,0),5)</f>
        <v>N/A</v>
      </c>
      <c r="BC64" s="36"/>
      <c r="BD64" s="36"/>
      <c r="BE64" s="38">
        <f>1-BE65</f>
        <v>1</v>
      </c>
      <c r="BF64" s="37" t="str">
        <f>BA64</f>
        <v>Out of Service</v>
      </c>
      <c r="BG64" s="36" t="str">
        <f t="shared" ref="BG64" si="452">INDEX(Phys_Prop,MATCH(BF64,Chem_List,0),5)</f>
        <v>N/A</v>
      </c>
      <c r="BH64" s="36"/>
      <c r="BI64" s="36"/>
      <c r="BJ64" s="38">
        <f>1-BJ65</f>
        <v>1</v>
      </c>
      <c r="BK64" s="37" t="str">
        <f>BF64</f>
        <v>Out of Service</v>
      </c>
      <c r="BL64" s="36" t="str">
        <f t="shared" ref="BL64" si="453">INDEX(Phys_Prop,MATCH(BK64,Chem_List,0),5)</f>
        <v>N/A</v>
      </c>
      <c r="BM64" s="36"/>
      <c r="BN64" s="36"/>
      <c r="BO64" s="38">
        <f>1-BO65</f>
        <v>1</v>
      </c>
      <c r="BP64" s="37" t="str">
        <f>BK64</f>
        <v>Out of Service</v>
      </c>
      <c r="BQ64" s="36" t="str">
        <f t="shared" ref="BQ64" si="454">INDEX(Phys_Prop,MATCH(BP64,Chem_List,0),5)</f>
        <v>N/A</v>
      </c>
      <c r="BR64" s="36"/>
      <c r="BS64" s="36"/>
      <c r="BT64" s="38">
        <f>1-BT65</f>
        <v>1</v>
      </c>
      <c r="BU64" s="37" t="str">
        <f>BP64</f>
        <v>Out of Service</v>
      </c>
      <c r="BV64" s="36" t="str">
        <f t="shared" ref="BV64" si="455">INDEX(Phys_Prop,MATCH(BU64,Chem_List,0),5)</f>
        <v>N/A</v>
      </c>
      <c r="BW64" s="36"/>
      <c r="BX64" s="36"/>
      <c r="BY64" s="38">
        <f>1-BY65</f>
        <v>1</v>
      </c>
      <c r="BZ64" s="561"/>
      <c r="CA64" s="549"/>
      <c r="CB64" s="549"/>
      <c r="CC64" s="549"/>
      <c r="CD64" s="549"/>
      <c r="CE64" s="549"/>
      <c r="CF64" s="549"/>
      <c r="CG64" s="549"/>
      <c r="CH64" s="549"/>
      <c r="CI64" s="549"/>
      <c r="CJ64" s="549"/>
      <c r="CK64" s="549"/>
      <c r="CL64" s="559" cm="1">
        <f t="array" ref="CL64">INDEX(FX_Setup,DA64,DE64)</f>
        <v>0</v>
      </c>
      <c r="CM64" s="550">
        <f t="shared" ref="CM64:CW64" si="456">CL64</f>
        <v>0</v>
      </c>
      <c r="CN64" s="550">
        <f t="shared" si="456"/>
        <v>0</v>
      </c>
      <c r="CO64" s="550">
        <f t="shared" si="456"/>
        <v>0</v>
      </c>
      <c r="CP64" s="550">
        <f t="shared" si="456"/>
        <v>0</v>
      </c>
      <c r="CQ64" s="550">
        <f t="shared" si="456"/>
        <v>0</v>
      </c>
      <c r="CR64" s="550">
        <f t="shared" si="456"/>
        <v>0</v>
      </c>
      <c r="CS64" s="550">
        <f t="shared" si="456"/>
        <v>0</v>
      </c>
      <c r="CT64" s="550">
        <f t="shared" si="456"/>
        <v>0</v>
      </c>
      <c r="CU64" s="550">
        <f t="shared" si="456"/>
        <v>0</v>
      </c>
      <c r="CV64" s="550">
        <f t="shared" si="456"/>
        <v>0</v>
      </c>
      <c r="CW64" s="550">
        <f t="shared" si="456"/>
        <v>0</v>
      </c>
      <c r="CX64" s="562">
        <f t="shared" ref="CX64" si="457">SUM(CL64:CW65)</f>
        <v>0</v>
      </c>
      <c r="DA64" s="42">
        <f>DA62+1</f>
        <v>29</v>
      </c>
      <c r="DB64">
        <v>7</v>
      </c>
      <c r="DC64">
        <v>6</v>
      </c>
      <c r="DD64">
        <v>5</v>
      </c>
      <c r="DE64">
        <f t="shared" ref="DE64" si="458">DE62</f>
        <v>9</v>
      </c>
    </row>
    <row r="65" spans="1:109" x14ac:dyDescent="0.4">
      <c r="B65" s="504"/>
      <c r="C65" s="546"/>
      <c r="D65" s="547"/>
      <c r="E65" s="548"/>
      <c r="F65" s="549"/>
      <c r="G65" s="549"/>
      <c r="H65" s="550"/>
      <c r="I65" s="549"/>
      <c r="J65" s="549"/>
      <c r="K65" s="549"/>
      <c r="L65" s="549"/>
      <c r="M65" s="549"/>
      <c r="N65" s="549"/>
      <c r="O65" s="549"/>
      <c r="P65" s="549"/>
      <c r="Q65" s="560"/>
      <c r="R65" s="27"/>
      <c r="S65" s="36"/>
      <c r="T65" s="28"/>
      <c r="U65" s="28"/>
      <c r="V65" s="26"/>
      <c r="W65" s="27"/>
      <c r="X65" s="36"/>
      <c r="Y65" s="28"/>
      <c r="Z65" s="28"/>
      <c r="AA65" s="26"/>
      <c r="AB65" s="27"/>
      <c r="AC65" s="36"/>
      <c r="AD65" s="28"/>
      <c r="AE65" s="28"/>
      <c r="AF65" s="26"/>
      <c r="AG65" s="27"/>
      <c r="AH65" s="36"/>
      <c r="AI65" s="28"/>
      <c r="AJ65" s="28"/>
      <c r="AK65" s="26"/>
      <c r="AL65" s="27"/>
      <c r="AM65" s="36"/>
      <c r="AN65" s="28"/>
      <c r="AO65" s="28"/>
      <c r="AP65" s="26"/>
      <c r="AQ65" s="27"/>
      <c r="AR65" s="36"/>
      <c r="AS65" s="28"/>
      <c r="AT65" s="28"/>
      <c r="AU65" s="26"/>
      <c r="AV65" s="27"/>
      <c r="AW65" s="36"/>
      <c r="AX65" s="28"/>
      <c r="AY65" s="28"/>
      <c r="AZ65" s="26"/>
      <c r="BA65" s="27"/>
      <c r="BB65" s="36"/>
      <c r="BC65" s="28"/>
      <c r="BD65" s="28"/>
      <c r="BE65" s="26"/>
      <c r="BF65" s="27"/>
      <c r="BG65" s="36"/>
      <c r="BH65" s="28"/>
      <c r="BI65" s="28"/>
      <c r="BJ65" s="26"/>
      <c r="BK65" s="27"/>
      <c r="BL65" s="36"/>
      <c r="BM65" s="28"/>
      <c r="BN65" s="28"/>
      <c r="BO65" s="26"/>
      <c r="BP65" s="27"/>
      <c r="BQ65" s="36"/>
      <c r="BR65" s="28"/>
      <c r="BS65" s="28"/>
      <c r="BT65" s="26"/>
      <c r="BU65" s="27"/>
      <c r="BV65" s="36"/>
      <c r="BW65" s="28"/>
      <c r="BX65" s="28"/>
      <c r="BY65" s="26"/>
      <c r="BZ65" s="561"/>
      <c r="CA65" s="549"/>
      <c r="CB65" s="549"/>
      <c r="CC65" s="549"/>
      <c r="CD65" s="549"/>
      <c r="CE65" s="549"/>
      <c r="CF65" s="549"/>
      <c r="CG65" s="549"/>
      <c r="CH65" s="549"/>
      <c r="CI65" s="549"/>
      <c r="CJ65" s="549"/>
      <c r="CK65" s="549"/>
      <c r="CL65" s="559"/>
      <c r="CM65" s="550"/>
      <c r="CN65" s="550"/>
      <c r="CO65" s="550"/>
      <c r="CP65" s="550"/>
      <c r="CQ65" s="550"/>
      <c r="CR65" s="550"/>
      <c r="CS65" s="550"/>
      <c r="CT65" s="550"/>
      <c r="CU65" s="550"/>
      <c r="CV65" s="550"/>
      <c r="CW65" s="550"/>
      <c r="CX65" s="562"/>
      <c r="DA65" s="42"/>
    </row>
    <row r="66" spans="1:109" x14ac:dyDescent="0.4">
      <c r="B66" s="504" t="str">
        <f>"FX - "&amp;DA66</f>
        <v>FX - 30</v>
      </c>
      <c r="C66" s="545" t="s">
        <v>1957</v>
      </c>
      <c r="D66" s="547" t="str">
        <f t="shared" ref="D66" si="459">D64</f>
        <v>Portland</v>
      </c>
      <c r="E66" s="548" t="s">
        <v>65</v>
      </c>
      <c r="F66" s="549" cm="1">
        <f t="array" ref="F66">INDEX(FX_Setup,DA66,DB66)</f>
        <v>18</v>
      </c>
      <c r="G66" s="549" cm="1">
        <f t="array" ref="G66">INDEX(FX_Setup,$DA66,DC66)</f>
        <v>24</v>
      </c>
      <c r="H66" s="550" cm="1">
        <f t="array" ref="H66">INDEX(FX_Setup,$DA66,DD66)</f>
        <v>45696</v>
      </c>
      <c r="I66" s="549" t="s">
        <v>27</v>
      </c>
      <c r="J66" s="549"/>
      <c r="K66" s="549"/>
      <c r="L66" s="549" t="s">
        <v>93</v>
      </c>
      <c r="M66" s="549" t="s">
        <v>90</v>
      </c>
      <c r="N66" s="549" t="s">
        <v>93</v>
      </c>
      <c r="O66" s="549" t="s">
        <v>90</v>
      </c>
      <c r="P66" s="549"/>
      <c r="Q66" s="560"/>
      <c r="R66" s="37" t="str" cm="1">
        <f t="array" ref="R66">INDEX(Surrogate_Lst,MATCH(INDEX(FX_Setup,DA66,3),Product_GRP,0),2)</f>
        <v>Out of Service</v>
      </c>
      <c r="S66" s="36" t="str">
        <f t="shared" ref="S66" si="460">INDEX(Phys_Prop,MATCH(R66,Chem_List,0),5)</f>
        <v>N/A</v>
      </c>
      <c r="T66" s="36"/>
      <c r="U66" s="36"/>
      <c r="V66" s="38">
        <f>1-V67</f>
        <v>1</v>
      </c>
      <c r="W66" s="37" t="str">
        <f>R66</f>
        <v>Out of Service</v>
      </c>
      <c r="X66" s="36" t="str">
        <f t="shared" ref="X66" si="461">INDEX(Phys_Prop,MATCH(W66,Chem_List,0),5)</f>
        <v>N/A</v>
      </c>
      <c r="Y66" s="36"/>
      <c r="Z66" s="36"/>
      <c r="AA66" s="38">
        <f>1-AA67</f>
        <v>1</v>
      </c>
      <c r="AB66" s="37" t="str">
        <f>W66</f>
        <v>Out of Service</v>
      </c>
      <c r="AC66" s="36" t="str">
        <f t="shared" ref="AC66" si="462">INDEX(Phys_Prop,MATCH(AB66,Chem_List,0),5)</f>
        <v>N/A</v>
      </c>
      <c r="AD66" s="36"/>
      <c r="AE66" s="36"/>
      <c r="AF66" s="38">
        <f>1-AF67</f>
        <v>1</v>
      </c>
      <c r="AG66" s="37" t="str">
        <f>AB66</f>
        <v>Out of Service</v>
      </c>
      <c r="AH66" s="36" t="str">
        <f t="shared" ref="AH66" si="463">INDEX(Phys_Prop,MATCH(AG66,Chem_List,0),5)</f>
        <v>N/A</v>
      </c>
      <c r="AI66" s="36"/>
      <c r="AJ66" s="36"/>
      <c r="AK66" s="38">
        <f>1-AK67</f>
        <v>1</v>
      </c>
      <c r="AL66" s="37" t="str">
        <f>AG66</f>
        <v>Out of Service</v>
      </c>
      <c r="AM66" s="36" t="str">
        <f t="shared" ref="AM66" si="464">INDEX(Phys_Prop,MATCH(AL66,Chem_List,0),5)</f>
        <v>N/A</v>
      </c>
      <c r="AN66" s="36"/>
      <c r="AO66" s="36"/>
      <c r="AP66" s="38">
        <f>1-AP67</f>
        <v>1</v>
      </c>
      <c r="AQ66" s="37" t="str">
        <f>AL66</f>
        <v>Out of Service</v>
      </c>
      <c r="AR66" s="36" t="str">
        <f t="shared" ref="AR66" si="465">INDEX(Phys_Prop,MATCH(AQ66,Chem_List,0),5)</f>
        <v>N/A</v>
      </c>
      <c r="AS66" s="36"/>
      <c r="AT66" s="36"/>
      <c r="AU66" s="38">
        <f>1-AU67</f>
        <v>1</v>
      </c>
      <c r="AV66" s="37" t="str">
        <f>AQ66</f>
        <v>Out of Service</v>
      </c>
      <c r="AW66" s="36" t="str">
        <f t="shared" ref="AW66" si="466">INDEX(Phys_Prop,MATCH(AV66,Chem_List,0),5)</f>
        <v>N/A</v>
      </c>
      <c r="AX66" s="36"/>
      <c r="AY66" s="36"/>
      <c r="AZ66" s="38">
        <f>1-AZ67</f>
        <v>1</v>
      </c>
      <c r="BA66" s="37" t="str">
        <f>AV66</f>
        <v>Out of Service</v>
      </c>
      <c r="BB66" s="36" t="str">
        <f t="shared" ref="BB66" si="467">INDEX(Phys_Prop,MATCH(BA66,Chem_List,0),5)</f>
        <v>N/A</v>
      </c>
      <c r="BC66" s="36"/>
      <c r="BD66" s="36"/>
      <c r="BE66" s="38">
        <f>1-BE67</f>
        <v>1</v>
      </c>
      <c r="BF66" s="37" t="str">
        <f>BA66</f>
        <v>Out of Service</v>
      </c>
      <c r="BG66" s="36" t="str">
        <f t="shared" ref="BG66" si="468">INDEX(Phys_Prop,MATCH(BF66,Chem_List,0),5)</f>
        <v>N/A</v>
      </c>
      <c r="BH66" s="36"/>
      <c r="BI66" s="36"/>
      <c r="BJ66" s="38">
        <f>1-BJ67</f>
        <v>1</v>
      </c>
      <c r="BK66" s="37" t="str">
        <f>BF66</f>
        <v>Out of Service</v>
      </c>
      <c r="BL66" s="36" t="str">
        <f t="shared" ref="BL66" si="469">INDEX(Phys_Prop,MATCH(BK66,Chem_List,0),5)</f>
        <v>N/A</v>
      </c>
      <c r="BM66" s="36"/>
      <c r="BN66" s="36"/>
      <c r="BO66" s="38">
        <f>1-BO67</f>
        <v>1</v>
      </c>
      <c r="BP66" s="37" t="str">
        <f>BK66</f>
        <v>Out of Service</v>
      </c>
      <c r="BQ66" s="36" t="str">
        <f t="shared" ref="BQ66" si="470">INDEX(Phys_Prop,MATCH(BP66,Chem_List,0),5)</f>
        <v>N/A</v>
      </c>
      <c r="BR66" s="36"/>
      <c r="BS66" s="36"/>
      <c r="BT66" s="38">
        <f>1-BT67</f>
        <v>1</v>
      </c>
      <c r="BU66" s="37" t="str">
        <f>BP66</f>
        <v>Out of Service</v>
      </c>
      <c r="BV66" s="36" t="str">
        <f t="shared" ref="BV66" si="471">INDEX(Phys_Prop,MATCH(BU66,Chem_List,0),5)</f>
        <v>N/A</v>
      </c>
      <c r="BW66" s="36"/>
      <c r="BX66" s="36"/>
      <c r="BY66" s="38">
        <f>1-BY67</f>
        <v>1</v>
      </c>
      <c r="BZ66" s="561"/>
      <c r="CA66" s="549"/>
      <c r="CB66" s="549"/>
      <c r="CC66" s="549"/>
      <c r="CD66" s="549"/>
      <c r="CE66" s="549"/>
      <c r="CF66" s="549"/>
      <c r="CG66" s="549"/>
      <c r="CH66" s="549"/>
      <c r="CI66" s="549"/>
      <c r="CJ66" s="549"/>
      <c r="CK66" s="549"/>
      <c r="CL66" s="567" cm="1">
        <f t="array" ref="CL66">INDEX(FX_Setup,DA66,DE66)</f>
        <v>0</v>
      </c>
      <c r="CM66" s="563">
        <f t="shared" ref="CM66:CW66" si="472">CL66</f>
        <v>0</v>
      </c>
      <c r="CN66" s="563">
        <f t="shared" si="472"/>
        <v>0</v>
      </c>
      <c r="CO66" s="563">
        <f t="shared" si="472"/>
        <v>0</v>
      </c>
      <c r="CP66" s="563">
        <f t="shared" si="472"/>
        <v>0</v>
      </c>
      <c r="CQ66" s="563">
        <f t="shared" si="472"/>
        <v>0</v>
      </c>
      <c r="CR66" s="563">
        <f t="shared" si="472"/>
        <v>0</v>
      </c>
      <c r="CS66" s="563">
        <f t="shared" si="472"/>
        <v>0</v>
      </c>
      <c r="CT66" s="563">
        <f t="shared" si="472"/>
        <v>0</v>
      </c>
      <c r="CU66" s="563">
        <f t="shared" si="472"/>
        <v>0</v>
      </c>
      <c r="CV66" s="563">
        <f t="shared" si="472"/>
        <v>0</v>
      </c>
      <c r="CW66" s="563">
        <f t="shared" si="472"/>
        <v>0</v>
      </c>
      <c r="CX66" s="565">
        <f t="shared" ref="CX66" si="473">SUM(CL66:CW67)</f>
        <v>0</v>
      </c>
      <c r="DA66" s="42">
        <f>DA64+1</f>
        <v>30</v>
      </c>
      <c r="DB66">
        <v>7</v>
      </c>
      <c r="DC66">
        <v>6</v>
      </c>
      <c r="DD66">
        <v>5</v>
      </c>
      <c r="DE66">
        <f t="shared" ref="DE66" si="474">DE64</f>
        <v>9</v>
      </c>
    </row>
    <row r="67" spans="1:109" x14ac:dyDescent="0.4">
      <c r="B67" s="504"/>
      <c r="C67" s="546"/>
      <c r="D67" s="547"/>
      <c r="E67" s="548"/>
      <c r="F67" s="549"/>
      <c r="G67" s="549"/>
      <c r="H67" s="550"/>
      <c r="I67" s="549"/>
      <c r="J67" s="549"/>
      <c r="K67" s="549"/>
      <c r="L67" s="549"/>
      <c r="M67" s="549"/>
      <c r="N67" s="549"/>
      <c r="O67" s="549"/>
      <c r="P67" s="549"/>
      <c r="Q67" s="560"/>
      <c r="R67" s="27"/>
      <c r="S67" s="36"/>
      <c r="T67" s="28"/>
      <c r="U67" s="28"/>
      <c r="V67" s="26"/>
      <c r="W67" s="27"/>
      <c r="X67" s="36"/>
      <c r="Y67" s="28"/>
      <c r="Z67" s="28"/>
      <c r="AA67" s="26"/>
      <c r="AB67" s="27"/>
      <c r="AC67" s="36"/>
      <c r="AD67" s="28"/>
      <c r="AE67" s="28"/>
      <c r="AF67" s="26"/>
      <c r="AG67" s="27"/>
      <c r="AH67" s="36"/>
      <c r="AI67" s="28"/>
      <c r="AJ67" s="28"/>
      <c r="AK67" s="26"/>
      <c r="AL67" s="27"/>
      <c r="AM67" s="36"/>
      <c r="AN67" s="28"/>
      <c r="AO67" s="28"/>
      <c r="AP67" s="26"/>
      <c r="AQ67" s="27"/>
      <c r="AR67" s="36"/>
      <c r="AS67" s="28"/>
      <c r="AT67" s="28"/>
      <c r="AU67" s="26"/>
      <c r="AV67" s="27"/>
      <c r="AW67" s="36"/>
      <c r="AX67" s="28"/>
      <c r="AY67" s="28"/>
      <c r="AZ67" s="26"/>
      <c r="BA67" s="27"/>
      <c r="BB67" s="36"/>
      <c r="BC67" s="28"/>
      <c r="BD67" s="28"/>
      <c r="BE67" s="26"/>
      <c r="BF67" s="27"/>
      <c r="BG67" s="36"/>
      <c r="BH67" s="28"/>
      <c r="BI67" s="28"/>
      <c r="BJ67" s="26"/>
      <c r="BK67" s="27"/>
      <c r="BL67" s="36"/>
      <c r="BM67" s="28"/>
      <c r="BN67" s="28"/>
      <c r="BO67" s="26"/>
      <c r="BP67" s="27"/>
      <c r="BQ67" s="36"/>
      <c r="BR67" s="28"/>
      <c r="BS67" s="28"/>
      <c r="BT67" s="26"/>
      <c r="BU67" s="27"/>
      <c r="BV67" s="36"/>
      <c r="BW67" s="28"/>
      <c r="BX67" s="28"/>
      <c r="BY67" s="26"/>
      <c r="BZ67" s="561"/>
      <c r="CA67" s="549"/>
      <c r="CB67" s="549"/>
      <c r="CC67" s="549"/>
      <c r="CD67" s="549"/>
      <c r="CE67" s="549"/>
      <c r="CF67" s="549"/>
      <c r="CG67" s="549"/>
      <c r="CH67" s="549"/>
      <c r="CI67" s="549"/>
      <c r="CJ67" s="549"/>
      <c r="CK67" s="549"/>
      <c r="CL67" s="568"/>
      <c r="CM67" s="564"/>
      <c r="CN67" s="564"/>
      <c r="CO67" s="564"/>
      <c r="CP67" s="564"/>
      <c r="CQ67" s="564"/>
      <c r="CR67" s="564"/>
      <c r="CS67" s="564"/>
      <c r="CT67" s="564"/>
      <c r="CU67" s="564"/>
      <c r="CV67" s="564"/>
      <c r="CW67" s="564"/>
      <c r="CX67" s="566"/>
      <c r="DA67" s="42"/>
    </row>
    <row r="68" spans="1:109" x14ac:dyDescent="0.4">
      <c r="B68" s="504" t="str">
        <f>"FX - "&amp;DA68</f>
        <v>FX - 31</v>
      </c>
      <c r="C68" s="545" t="s">
        <v>1958</v>
      </c>
      <c r="D68" s="547" t="str">
        <f t="shared" ref="D68" si="475">D66</f>
        <v>Portland</v>
      </c>
      <c r="E68" s="548" t="s">
        <v>65</v>
      </c>
      <c r="F68" s="549" cm="1">
        <f t="array" ref="F68">INDEX(FX_Setup,DA68,DB68)</f>
        <v>18</v>
      </c>
      <c r="G68" s="549" cm="1">
        <f t="array" ref="G68">INDEX(FX_Setup,$DA68,DC68)</f>
        <v>24</v>
      </c>
      <c r="H68" s="550" cm="1">
        <f t="array" ref="H68">INDEX(FX_Setup,$DA68,DD68)</f>
        <v>45696</v>
      </c>
      <c r="I68" s="549" t="s">
        <v>27</v>
      </c>
      <c r="J68" s="549"/>
      <c r="K68" s="549"/>
      <c r="L68" s="549" t="s">
        <v>93</v>
      </c>
      <c r="M68" s="549" t="s">
        <v>90</v>
      </c>
      <c r="N68" s="549" t="s">
        <v>93</v>
      </c>
      <c r="O68" s="549" t="s">
        <v>90</v>
      </c>
      <c r="P68" s="549"/>
      <c r="Q68" s="560"/>
      <c r="R68" s="37" t="str" cm="1">
        <f t="array" ref="R68">INDEX(Surrogate_Lst,MATCH(INDEX(FX_Setup,DA68,3),Product_GRP,0),2)</f>
        <v>Out of Service</v>
      </c>
      <c r="S68" s="36" t="str">
        <f t="shared" ref="S68" si="476">INDEX(Phys_Prop,MATCH(R68,Chem_List,0),5)</f>
        <v>N/A</v>
      </c>
      <c r="T68" s="36"/>
      <c r="U68" s="36"/>
      <c r="V68" s="38">
        <f>1-V69</f>
        <v>1</v>
      </c>
      <c r="W68" s="37" t="str">
        <f>R68</f>
        <v>Out of Service</v>
      </c>
      <c r="X68" s="36" t="str">
        <f t="shared" ref="X68" si="477">INDEX(Phys_Prop,MATCH(W68,Chem_List,0),5)</f>
        <v>N/A</v>
      </c>
      <c r="Y68" s="36"/>
      <c r="Z68" s="36"/>
      <c r="AA68" s="38">
        <f>1-AA69</f>
        <v>1</v>
      </c>
      <c r="AB68" s="37" t="str">
        <f>W68</f>
        <v>Out of Service</v>
      </c>
      <c r="AC68" s="36" t="str">
        <f t="shared" ref="AC68" si="478">INDEX(Phys_Prop,MATCH(AB68,Chem_List,0),5)</f>
        <v>N/A</v>
      </c>
      <c r="AD68" s="36"/>
      <c r="AE68" s="36"/>
      <c r="AF68" s="38">
        <f>1-AF69</f>
        <v>1</v>
      </c>
      <c r="AG68" s="37" t="str">
        <f>AB68</f>
        <v>Out of Service</v>
      </c>
      <c r="AH68" s="36" t="str">
        <f t="shared" ref="AH68" si="479">INDEX(Phys_Prop,MATCH(AG68,Chem_List,0),5)</f>
        <v>N/A</v>
      </c>
      <c r="AI68" s="36"/>
      <c r="AJ68" s="36"/>
      <c r="AK68" s="38">
        <f>1-AK69</f>
        <v>1</v>
      </c>
      <c r="AL68" s="37" t="str">
        <f>AG68</f>
        <v>Out of Service</v>
      </c>
      <c r="AM68" s="36" t="str">
        <f t="shared" ref="AM68" si="480">INDEX(Phys_Prop,MATCH(AL68,Chem_List,0),5)</f>
        <v>N/A</v>
      </c>
      <c r="AN68" s="36"/>
      <c r="AO68" s="36"/>
      <c r="AP68" s="38">
        <f>1-AP69</f>
        <v>1</v>
      </c>
      <c r="AQ68" s="37" t="str">
        <f>AL68</f>
        <v>Out of Service</v>
      </c>
      <c r="AR68" s="36" t="str">
        <f t="shared" ref="AR68" si="481">INDEX(Phys_Prop,MATCH(AQ68,Chem_List,0),5)</f>
        <v>N/A</v>
      </c>
      <c r="AS68" s="36"/>
      <c r="AT68" s="36"/>
      <c r="AU68" s="38">
        <f>1-AU69</f>
        <v>1</v>
      </c>
      <c r="AV68" s="37" t="str">
        <f>AQ68</f>
        <v>Out of Service</v>
      </c>
      <c r="AW68" s="36" t="str">
        <f t="shared" ref="AW68" si="482">INDEX(Phys_Prop,MATCH(AV68,Chem_List,0),5)</f>
        <v>N/A</v>
      </c>
      <c r="AX68" s="36"/>
      <c r="AY68" s="36"/>
      <c r="AZ68" s="38">
        <f>1-AZ69</f>
        <v>1</v>
      </c>
      <c r="BA68" s="37" t="str">
        <f>AV68</f>
        <v>Out of Service</v>
      </c>
      <c r="BB68" s="36" t="str">
        <f t="shared" ref="BB68" si="483">INDEX(Phys_Prop,MATCH(BA68,Chem_List,0),5)</f>
        <v>N/A</v>
      </c>
      <c r="BC68" s="36"/>
      <c r="BD68" s="36"/>
      <c r="BE68" s="38">
        <f>1-BE69</f>
        <v>1</v>
      </c>
      <c r="BF68" s="37" t="str">
        <f>BA68</f>
        <v>Out of Service</v>
      </c>
      <c r="BG68" s="36" t="str">
        <f t="shared" ref="BG68" si="484">INDEX(Phys_Prop,MATCH(BF68,Chem_List,0),5)</f>
        <v>N/A</v>
      </c>
      <c r="BH68" s="36"/>
      <c r="BI68" s="36"/>
      <c r="BJ68" s="38">
        <f>1-BJ69</f>
        <v>1</v>
      </c>
      <c r="BK68" s="37" t="str">
        <f>BF68</f>
        <v>Out of Service</v>
      </c>
      <c r="BL68" s="36" t="str">
        <f t="shared" ref="BL68" si="485">INDEX(Phys_Prop,MATCH(BK68,Chem_List,0),5)</f>
        <v>N/A</v>
      </c>
      <c r="BM68" s="36"/>
      <c r="BN68" s="36"/>
      <c r="BO68" s="38">
        <f>1-BO69</f>
        <v>1</v>
      </c>
      <c r="BP68" s="37" t="str">
        <f>BK68</f>
        <v>Out of Service</v>
      </c>
      <c r="BQ68" s="36" t="str">
        <f t="shared" ref="BQ68" si="486">INDEX(Phys_Prop,MATCH(BP68,Chem_List,0),5)</f>
        <v>N/A</v>
      </c>
      <c r="BR68" s="36"/>
      <c r="BS68" s="36"/>
      <c r="BT68" s="38">
        <f>1-BT69</f>
        <v>1</v>
      </c>
      <c r="BU68" s="37" t="str">
        <f>BP68</f>
        <v>Out of Service</v>
      </c>
      <c r="BV68" s="36" t="str">
        <f t="shared" ref="BV68" si="487">INDEX(Phys_Prop,MATCH(BU68,Chem_List,0),5)</f>
        <v>N/A</v>
      </c>
      <c r="BW68" s="36"/>
      <c r="BX68" s="36"/>
      <c r="BY68" s="38">
        <f>1-BY69</f>
        <v>1</v>
      </c>
      <c r="BZ68" s="561"/>
      <c r="CA68" s="549"/>
      <c r="CB68" s="549"/>
      <c r="CC68" s="549"/>
      <c r="CD68" s="549"/>
      <c r="CE68" s="549"/>
      <c r="CF68" s="549"/>
      <c r="CG68" s="549"/>
      <c r="CH68" s="549"/>
      <c r="CI68" s="549"/>
      <c r="CJ68" s="549"/>
      <c r="CK68" s="549"/>
      <c r="CL68" s="559" cm="1">
        <f t="array" ref="CL68">INDEX(FX_Setup,DA68,DE68)</f>
        <v>0</v>
      </c>
      <c r="CM68" s="550">
        <f t="shared" ref="CM68:CW68" si="488">CL68</f>
        <v>0</v>
      </c>
      <c r="CN68" s="550">
        <f t="shared" si="488"/>
        <v>0</v>
      </c>
      <c r="CO68" s="550">
        <f t="shared" si="488"/>
        <v>0</v>
      </c>
      <c r="CP68" s="550">
        <f t="shared" si="488"/>
        <v>0</v>
      </c>
      <c r="CQ68" s="550">
        <f t="shared" si="488"/>
        <v>0</v>
      </c>
      <c r="CR68" s="550">
        <f t="shared" si="488"/>
        <v>0</v>
      </c>
      <c r="CS68" s="550">
        <f t="shared" si="488"/>
        <v>0</v>
      </c>
      <c r="CT68" s="550">
        <f t="shared" si="488"/>
        <v>0</v>
      </c>
      <c r="CU68" s="550">
        <f t="shared" si="488"/>
        <v>0</v>
      </c>
      <c r="CV68" s="550">
        <f t="shared" si="488"/>
        <v>0</v>
      </c>
      <c r="CW68" s="550">
        <f t="shared" si="488"/>
        <v>0</v>
      </c>
      <c r="CX68" s="562">
        <f t="shared" ref="CX68" si="489">SUM(CL68:CW69)</f>
        <v>0</v>
      </c>
      <c r="DA68" s="42">
        <f>DA66+1</f>
        <v>31</v>
      </c>
      <c r="DB68">
        <v>7</v>
      </c>
      <c r="DC68">
        <v>6</v>
      </c>
      <c r="DD68">
        <v>5</v>
      </c>
      <c r="DE68">
        <f t="shared" ref="DE68" si="490">DE66</f>
        <v>9</v>
      </c>
    </row>
    <row r="69" spans="1:109" x14ac:dyDescent="0.4">
      <c r="B69" s="504"/>
      <c r="C69" s="546"/>
      <c r="D69" s="547"/>
      <c r="E69" s="548"/>
      <c r="F69" s="549"/>
      <c r="G69" s="549"/>
      <c r="H69" s="550"/>
      <c r="I69" s="549"/>
      <c r="J69" s="549"/>
      <c r="K69" s="549"/>
      <c r="L69" s="549"/>
      <c r="M69" s="549"/>
      <c r="N69" s="549"/>
      <c r="O69" s="549"/>
      <c r="P69" s="549"/>
      <c r="Q69" s="560"/>
      <c r="R69" s="27"/>
      <c r="S69" s="36"/>
      <c r="T69" s="28"/>
      <c r="U69" s="28"/>
      <c r="V69" s="26"/>
      <c r="W69" s="27"/>
      <c r="X69" s="36"/>
      <c r="Y69" s="28"/>
      <c r="Z69" s="28"/>
      <c r="AA69" s="26"/>
      <c r="AB69" s="27"/>
      <c r="AC69" s="36"/>
      <c r="AD69" s="28"/>
      <c r="AE69" s="28"/>
      <c r="AF69" s="26"/>
      <c r="AG69" s="27"/>
      <c r="AH69" s="36"/>
      <c r="AI69" s="28"/>
      <c r="AJ69" s="28"/>
      <c r="AK69" s="26"/>
      <c r="AL69" s="27"/>
      <c r="AM69" s="36"/>
      <c r="AN69" s="28"/>
      <c r="AO69" s="28"/>
      <c r="AP69" s="26"/>
      <c r="AQ69" s="27"/>
      <c r="AR69" s="36"/>
      <c r="AS69" s="28"/>
      <c r="AT69" s="28"/>
      <c r="AU69" s="26"/>
      <c r="AV69" s="27"/>
      <c r="AW69" s="36"/>
      <c r="AX69" s="28"/>
      <c r="AY69" s="28"/>
      <c r="AZ69" s="26"/>
      <c r="BA69" s="27"/>
      <c r="BB69" s="36"/>
      <c r="BC69" s="28"/>
      <c r="BD69" s="28"/>
      <c r="BE69" s="26"/>
      <c r="BF69" s="27"/>
      <c r="BG69" s="36"/>
      <c r="BH69" s="28"/>
      <c r="BI69" s="28"/>
      <c r="BJ69" s="26"/>
      <c r="BK69" s="27"/>
      <c r="BL69" s="36"/>
      <c r="BM69" s="28"/>
      <c r="BN69" s="28"/>
      <c r="BO69" s="26"/>
      <c r="BP69" s="27"/>
      <c r="BQ69" s="36"/>
      <c r="BR69" s="28"/>
      <c r="BS69" s="28"/>
      <c r="BT69" s="26"/>
      <c r="BU69" s="27"/>
      <c r="BV69" s="36"/>
      <c r="BW69" s="28"/>
      <c r="BX69" s="28"/>
      <c r="BY69" s="26"/>
      <c r="BZ69" s="561"/>
      <c r="CA69" s="549"/>
      <c r="CB69" s="549"/>
      <c r="CC69" s="549"/>
      <c r="CD69" s="549"/>
      <c r="CE69" s="549"/>
      <c r="CF69" s="549"/>
      <c r="CG69" s="549"/>
      <c r="CH69" s="549"/>
      <c r="CI69" s="549"/>
      <c r="CJ69" s="549"/>
      <c r="CK69" s="549"/>
      <c r="CL69" s="559"/>
      <c r="CM69" s="550"/>
      <c r="CN69" s="550"/>
      <c r="CO69" s="550"/>
      <c r="CP69" s="550"/>
      <c r="CQ69" s="550"/>
      <c r="CR69" s="550"/>
      <c r="CS69" s="550"/>
      <c r="CT69" s="550"/>
      <c r="CU69" s="550"/>
      <c r="CV69" s="550"/>
      <c r="CW69" s="550"/>
      <c r="CX69" s="562"/>
      <c r="DA69" s="42"/>
    </row>
    <row r="70" spans="1:109" x14ac:dyDescent="0.4">
      <c r="B70" s="504" t="str">
        <f>"FX - "&amp;DA70</f>
        <v>FX - 32</v>
      </c>
      <c r="C70" s="545" t="s">
        <v>1959</v>
      </c>
      <c r="D70" s="547" t="str">
        <f t="shared" ref="D70" si="491">D68</f>
        <v>Portland</v>
      </c>
      <c r="E70" s="548" t="s">
        <v>65</v>
      </c>
      <c r="F70" s="549" cm="1">
        <f t="array" ref="F70">INDEX(FX_Setup,DA70,DB70)</f>
        <v>18</v>
      </c>
      <c r="G70" s="549" cm="1">
        <f t="array" ref="G70">INDEX(FX_Setup,$DA70,DC70)</f>
        <v>24</v>
      </c>
      <c r="H70" s="550" cm="1">
        <f t="array" ref="H70">INDEX(FX_Setup,$DA70,DD70)</f>
        <v>45696</v>
      </c>
      <c r="I70" s="549" t="s">
        <v>27</v>
      </c>
      <c r="J70" s="549"/>
      <c r="K70" s="549"/>
      <c r="L70" s="549" t="s">
        <v>93</v>
      </c>
      <c r="M70" s="549" t="s">
        <v>90</v>
      </c>
      <c r="N70" s="549" t="s">
        <v>93</v>
      </c>
      <c r="O70" s="549" t="s">
        <v>90</v>
      </c>
      <c r="P70" s="549"/>
      <c r="Q70" s="560"/>
      <c r="R70" s="37" t="str" cm="1">
        <f t="array" ref="R70">INDEX(Surrogate_Lst,MATCH(INDEX(FX_Setup,DA70,3),Product_GRP,0),2)</f>
        <v>Out of Service</v>
      </c>
      <c r="S70" s="36" t="str">
        <f t="shared" ref="S70" si="492">INDEX(Phys_Prop,MATCH(R70,Chem_List,0),5)</f>
        <v>N/A</v>
      </c>
      <c r="T70" s="36"/>
      <c r="U70" s="36"/>
      <c r="V70" s="38">
        <f>1-V71</f>
        <v>1</v>
      </c>
      <c r="W70" s="37" t="str">
        <f>R70</f>
        <v>Out of Service</v>
      </c>
      <c r="X70" s="36" t="str">
        <f t="shared" ref="X70" si="493">INDEX(Phys_Prop,MATCH(W70,Chem_List,0),5)</f>
        <v>N/A</v>
      </c>
      <c r="Y70" s="36"/>
      <c r="Z70" s="36"/>
      <c r="AA70" s="38">
        <f>1-AA71</f>
        <v>1</v>
      </c>
      <c r="AB70" s="37" t="str">
        <f>W70</f>
        <v>Out of Service</v>
      </c>
      <c r="AC70" s="36" t="str">
        <f t="shared" ref="AC70" si="494">INDEX(Phys_Prop,MATCH(AB70,Chem_List,0),5)</f>
        <v>N/A</v>
      </c>
      <c r="AD70" s="36"/>
      <c r="AE70" s="36"/>
      <c r="AF70" s="38">
        <f>1-AF71</f>
        <v>1</v>
      </c>
      <c r="AG70" s="37" t="str">
        <f>AB70</f>
        <v>Out of Service</v>
      </c>
      <c r="AH70" s="36" t="str">
        <f t="shared" ref="AH70" si="495">INDEX(Phys_Prop,MATCH(AG70,Chem_List,0),5)</f>
        <v>N/A</v>
      </c>
      <c r="AI70" s="36"/>
      <c r="AJ70" s="36"/>
      <c r="AK70" s="38">
        <f>1-AK71</f>
        <v>1</v>
      </c>
      <c r="AL70" s="37" t="str">
        <f>AG70</f>
        <v>Out of Service</v>
      </c>
      <c r="AM70" s="36" t="str">
        <f t="shared" ref="AM70" si="496">INDEX(Phys_Prop,MATCH(AL70,Chem_List,0),5)</f>
        <v>N/A</v>
      </c>
      <c r="AN70" s="36"/>
      <c r="AO70" s="36"/>
      <c r="AP70" s="38">
        <f>1-AP71</f>
        <v>1</v>
      </c>
      <c r="AQ70" s="37" t="str">
        <f>AL70</f>
        <v>Out of Service</v>
      </c>
      <c r="AR70" s="36" t="str">
        <f t="shared" ref="AR70" si="497">INDEX(Phys_Prop,MATCH(AQ70,Chem_List,0),5)</f>
        <v>N/A</v>
      </c>
      <c r="AS70" s="36"/>
      <c r="AT70" s="36"/>
      <c r="AU70" s="38">
        <f>1-AU71</f>
        <v>1</v>
      </c>
      <c r="AV70" s="37" t="str">
        <f>AQ70</f>
        <v>Out of Service</v>
      </c>
      <c r="AW70" s="36" t="str">
        <f t="shared" ref="AW70" si="498">INDEX(Phys_Prop,MATCH(AV70,Chem_List,0),5)</f>
        <v>N/A</v>
      </c>
      <c r="AX70" s="36"/>
      <c r="AY70" s="36"/>
      <c r="AZ70" s="38">
        <f>1-AZ71</f>
        <v>1</v>
      </c>
      <c r="BA70" s="37" t="str">
        <f>AV70</f>
        <v>Out of Service</v>
      </c>
      <c r="BB70" s="36" t="str">
        <f t="shared" ref="BB70" si="499">INDEX(Phys_Prop,MATCH(BA70,Chem_List,0),5)</f>
        <v>N/A</v>
      </c>
      <c r="BC70" s="36"/>
      <c r="BD70" s="36"/>
      <c r="BE70" s="38">
        <f>1-BE71</f>
        <v>1</v>
      </c>
      <c r="BF70" s="37" t="str">
        <f>BA70</f>
        <v>Out of Service</v>
      </c>
      <c r="BG70" s="36" t="str">
        <f t="shared" ref="BG70" si="500">INDEX(Phys_Prop,MATCH(BF70,Chem_List,0),5)</f>
        <v>N/A</v>
      </c>
      <c r="BH70" s="36"/>
      <c r="BI70" s="36"/>
      <c r="BJ70" s="38">
        <f>1-BJ71</f>
        <v>1</v>
      </c>
      <c r="BK70" s="37" t="str">
        <f>BF70</f>
        <v>Out of Service</v>
      </c>
      <c r="BL70" s="36" t="str">
        <f t="shared" ref="BL70" si="501">INDEX(Phys_Prop,MATCH(BK70,Chem_List,0),5)</f>
        <v>N/A</v>
      </c>
      <c r="BM70" s="36"/>
      <c r="BN70" s="36"/>
      <c r="BO70" s="38">
        <f>1-BO71</f>
        <v>1</v>
      </c>
      <c r="BP70" s="37" t="str">
        <f>BK70</f>
        <v>Out of Service</v>
      </c>
      <c r="BQ70" s="36" t="str">
        <f t="shared" ref="BQ70" si="502">INDEX(Phys_Prop,MATCH(BP70,Chem_List,0),5)</f>
        <v>N/A</v>
      </c>
      <c r="BR70" s="36"/>
      <c r="BS70" s="36"/>
      <c r="BT70" s="38">
        <f>1-BT71</f>
        <v>1</v>
      </c>
      <c r="BU70" s="37" t="str">
        <f>BP70</f>
        <v>Out of Service</v>
      </c>
      <c r="BV70" s="36" t="str">
        <f t="shared" ref="BV70" si="503">INDEX(Phys_Prop,MATCH(BU70,Chem_List,0),5)</f>
        <v>N/A</v>
      </c>
      <c r="BW70" s="36"/>
      <c r="BX70" s="36"/>
      <c r="BY70" s="38">
        <f>1-BY71</f>
        <v>1</v>
      </c>
      <c r="BZ70" s="561"/>
      <c r="CA70" s="549"/>
      <c r="CB70" s="549"/>
      <c r="CC70" s="549"/>
      <c r="CD70" s="549"/>
      <c r="CE70" s="549"/>
      <c r="CF70" s="549"/>
      <c r="CG70" s="549"/>
      <c r="CH70" s="549"/>
      <c r="CI70" s="549"/>
      <c r="CJ70" s="549"/>
      <c r="CK70" s="549"/>
      <c r="CL70" s="559" cm="1">
        <f t="array" ref="CL70">INDEX(FX_Setup,DA70,DE70)</f>
        <v>0</v>
      </c>
      <c r="CM70" s="550">
        <f t="shared" ref="CM70:CW70" si="504">CL70</f>
        <v>0</v>
      </c>
      <c r="CN70" s="550">
        <f t="shared" si="504"/>
        <v>0</v>
      </c>
      <c r="CO70" s="550">
        <f t="shared" si="504"/>
        <v>0</v>
      </c>
      <c r="CP70" s="550">
        <f t="shared" si="504"/>
        <v>0</v>
      </c>
      <c r="CQ70" s="550">
        <f t="shared" si="504"/>
        <v>0</v>
      </c>
      <c r="CR70" s="550">
        <f t="shared" si="504"/>
        <v>0</v>
      </c>
      <c r="CS70" s="550">
        <f t="shared" si="504"/>
        <v>0</v>
      </c>
      <c r="CT70" s="550">
        <f t="shared" si="504"/>
        <v>0</v>
      </c>
      <c r="CU70" s="550">
        <f t="shared" si="504"/>
        <v>0</v>
      </c>
      <c r="CV70" s="550">
        <f t="shared" si="504"/>
        <v>0</v>
      </c>
      <c r="CW70" s="550">
        <f t="shared" si="504"/>
        <v>0</v>
      </c>
      <c r="CX70" s="562">
        <f t="shared" ref="CX70" si="505">SUM(CL70:CW71)</f>
        <v>0</v>
      </c>
      <c r="DA70" s="42">
        <f>DA68+1</f>
        <v>32</v>
      </c>
      <c r="DB70">
        <v>7</v>
      </c>
      <c r="DC70">
        <v>6</v>
      </c>
      <c r="DD70">
        <v>5</v>
      </c>
      <c r="DE70">
        <f t="shared" ref="DE70" si="506">DE68</f>
        <v>9</v>
      </c>
    </row>
    <row r="71" spans="1:109" x14ac:dyDescent="0.4">
      <c r="B71" s="504"/>
      <c r="C71" s="546"/>
      <c r="D71" s="547"/>
      <c r="E71" s="548"/>
      <c r="F71" s="549"/>
      <c r="G71" s="549"/>
      <c r="H71" s="550"/>
      <c r="I71" s="549"/>
      <c r="J71" s="549"/>
      <c r="K71" s="549"/>
      <c r="L71" s="549"/>
      <c r="M71" s="549"/>
      <c r="N71" s="549"/>
      <c r="O71" s="549"/>
      <c r="P71" s="549"/>
      <c r="Q71" s="560"/>
      <c r="R71" s="27"/>
      <c r="S71" s="36"/>
      <c r="T71" s="28"/>
      <c r="U71" s="28"/>
      <c r="V71" s="26"/>
      <c r="W71" s="27"/>
      <c r="X71" s="36"/>
      <c r="Y71" s="28"/>
      <c r="Z71" s="28"/>
      <c r="AA71" s="26"/>
      <c r="AB71" s="27"/>
      <c r="AC71" s="36"/>
      <c r="AD71" s="28"/>
      <c r="AE71" s="28"/>
      <c r="AF71" s="26"/>
      <c r="AG71" s="27"/>
      <c r="AH71" s="36"/>
      <c r="AI71" s="28"/>
      <c r="AJ71" s="28"/>
      <c r="AK71" s="26"/>
      <c r="AL71" s="27"/>
      <c r="AM71" s="36"/>
      <c r="AN71" s="28"/>
      <c r="AO71" s="28"/>
      <c r="AP71" s="26"/>
      <c r="AQ71" s="27"/>
      <c r="AR71" s="36"/>
      <c r="AS71" s="28"/>
      <c r="AT71" s="28"/>
      <c r="AU71" s="26"/>
      <c r="AV71" s="27"/>
      <c r="AW71" s="36"/>
      <c r="AX71" s="28"/>
      <c r="AY71" s="28"/>
      <c r="AZ71" s="26"/>
      <c r="BA71" s="27"/>
      <c r="BB71" s="36"/>
      <c r="BC71" s="28"/>
      <c r="BD71" s="28"/>
      <c r="BE71" s="26"/>
      <c r="BF71" s="27"/>
      <c r="BG71" s="36"/>
      <c r="BH71" s="28"/>
      <c r="BI71" s="28"/>
      <c r="BJ71" s="26"/>
      <c r="BK71" s="27"/>
      <c r="BL71" s="36"/>
      <c r="BM71" s="28"/>
      <c r="BN71" s="28"/>
      <c r="BO71" s="26"/>
      <c r="BP71" s="27"/>
      <c r="BQ71" s="36"/>
      <c r="BR71" s="28"/>
      <c r="BS71" s="28"/>
      <c r="BT71" s="26"/>
      <c r="BU71" s="27"/>
      <c r="BV71" s="36"/>
      <c r="BW71" s="28"/>
      <c r="BX71" s="28"/>
      <c r="BY71" s="26"/>
      <c r="BZ71" s="561"/>
      <c r="CA71" s="549"/>
      <c r="CB71" s="549"/>
      <c r="CC71" s="549"/>
      <c r="CD71" s="549"/>
      <c r="CE71" s="549"/>
      <c r="CF71" s="549"/>
      <c r="CG71" s="549"/>
      <c r="CH71" s="549"/>
      <c r="CI71" s="549"/>
      <c r="CJ71" s="549"/>
      <c r="CK71" s="549"/>
      <c r="CL71" s="559"/>
      <c r="CM71" s="550"/>
      <c r="CN71" s="550"/>
      <c r="CO71" s="550"/>
      <c r="CP71" s="550"/>
      <c r="CQ71" s="550"/>
      <c r="CR71" s="550"/>
      <c r="CS71" s="550"/>
      <c r="CT71" s="550"/>
      <c r="CU71" s="550"/>
      <c r="CV71" s="550"/>
      <c r="CW71" s="550"/>
      <c r="CX71" s="562"/>
      <c r="DA71" s="42"/>
    </row>
    <row r="72" spans="1:109" x14ac:dyDescent="0.4">
      <c r="B72" s="504" t="str">
        <f>"FX - "&amp;DA72</f>
        <v>FX - 33</v>
      </c>
      <c r="C72" s="582" t="s">
        <v>1960</v>
      </c>
      <c r="D72" s="547" t="str">
        <f t="shared" ref="D72" si="507">D70</f>
        <v>Portland</v>
      </c>
      <c r="E72" s="548" t="s">
        <v>65</v>
      </c>
      <c r="F72" s="549" cm="1">
        <f t="array" ref="F72">INDEX(FX_Setup,DA72,DB72)</f>
        <v>18</v>
      </c>
      <c r="G72" s="549" cm="1">
        <f t="array" ref="G72">INDEX(FX_Setup,$DA72,DC72)</f>
        <v>24</v>
      </c>
      <c r="H72" s="550" cm="1">
        <f t="array" ref="H72">INDEX(FX_Setup,$DA72,DD72)</f>
        <v>45696</v>
      </c>
      <c r="I72" s="549" t="s">
        <v>27</v>
      </c>
      <c r="J72" s="549"/>
      <c r="K72" s="549"/>
      <c r="L72" s="549" t="s">
        <v>93</v>
      </c>
      <c r="M72" s="549" t="s">
        <v>90</v>
      </c>
      <c r="N72" s="549" t="s">
        <v>93</v>
      </c>
      <c r="O72" s="549" t="s">
        <v>90</v>
      </c>
      <c r="P72" s="549"/>
      <c r="Q72" s="560"/>
      <c r="R72" s="37" t="str" cm="1">
        <f t="array" ref="R72">INDEX(Surrogate_Lst,MATCH(INDEX(FX_Setup,DA72,3),Product_GRP,0),2)</f>
        <v>Out of Service</v>
      </c>
      <c r="S72" s="36" t="str">
        <f t="shared" ref="S72" si="508">INDEX(Phys_Prop,MATCH(R72,Chem_List,0),5)</f>
        <v>N/A</v>
      </c>
      <c r="T72" s="36"/>
      <c r="U72" s="36"/>
      <c r="V72" s="38">
        <f>1-V73</f>
        <v>1</v>
      </c>
      <c r="W72" s="37" t="str">
        <f>R72</f>
        <v>Out of Service</v>
      </c>
      <c r="X72" s="36" t="str">
        <f t="shared" ref="X72" si="509">INDEX(Phys_Prop,MATCH(W72,Chem_List,0),5)</f>
        <v>N/A</v>
      </c>
      <c r="Y72" s="36"/>
      <c r="Z72" s="36"/>
      <c r="AA72" s="38">
        <f>1-AA73</f>
        <v>1</v>
      </c>
      <c r="AB72" s="37" t="str">
        <f>W72</f>
        <v>Out of Service</v>
      </c>
      <c r="AC72" s="36" t="str">
        <f t="shared" ref="AC72" si="510">INDEX(Phys_Prop,MATCH(AB72,Chem_List,0),5)</f>
        <v>N/A</v>
      </c>
      <c r="AD72" s="36"/>
      <c r="AE72" s="36"/>
      <c r="AF72" s="38">
        <f>1-AF73</f>
        <v>1</v>
      </c>
      <c r="AG72" s="37" t="str">
        <f>AB72</f>
        <v>Out of Service</v>
      </c>
      <c r="AH72" s="36" t="str">
        <f t="shared" ref="AH72" si="511">INDEX(Phys_Prop,MATCH(AG72,Chem_List,0),5)</f>
        <v>N/A</v>
      </c>
      <c r="AI72" s="36"/>
      <c r="AJ72" s="36"/>
      <c r="AK72" s="38">
        <f>1-AK73</f>
        <v>1</v>
      </c>
      <c r="AL72" s="37" t="str">
        <f>AG72</f>
        <v>Out of Service</v>
      </c>
      <c r="AM72" s="36" t="str">
        <f t="shared" ref="AM72" si="512">INDEX(Phys_Prop,MATCH(AL72,Chem_List,0),5)</f>
        <v>N/A</v>
      </c>
      <c r="AN72" s="36"/>
      <c r="AO72" s="36"/>
      <c r="AP72" s="38">
        <f>1-AP73</f>
        <v>1</v>
      </c>
      <c r="AQ72" s="37" t="str">
        <f>AL72</f>
        <v>Out of Service</v>
      </c>
      <c r="AR72" s="36" t="str">
        <f t="shared" ref="AR72" si="513">INDEX(Phys_Prop,MATCH(AQ72,Chem_List,0),5)</f>
        <v>N/A</v>
      </c>
      <c r="AS72" s="36"/>
      <c r="AT72" s="36"/>
      <c r="AU72" s="38">
        <f>1-AU73</f>
        <v>1</v>
      </c>
      <c r="AV72" s="37" t="str">
        <f>AQ72</f>
        <v>Out of Service</v>
      </c>
      <c r="AW72" s="36" t="str">
        <f t="shared" ref="AW72" si="514">INDEX(Phys_Prop,MATCH(AV72,Chem_List,0),5)</f>
        <v>N/A</v>
      </c>
      <c r="AX72" s="36"/>
      <c r="AY72" s="36"/>
      <c r="AZ72" s="38">
        <f>1-AZ73</f>
        <v>1</v>
      </c>
      <c r="BA72" s="37" t="str">
        <f>AV72</f>
        <v>Out of Service</v>
      </c>
      <c r="BB72" s="36" t="str">
        <f t="shared" ref="BB72" si="515">INDEX(Phys_Prop,MATCH(BA72,Chem_List,0),5)</f>
        <v>N/A</v>
      </c>
      <c r="BC72" s="36"/>
      <c r="BD72" s="36"/>
      <c r="BE72" s="38">
        <f>1-BE73</f>
        <v>1</v>
      </c>
      <c r="BF72" s="37" t="str">
        <f>BA72</f>
        <v>Out of Service</v>
      </c>
      <c r="BG72" s="36" t="str">
        <f t="shared" ref="BG72" si="516">INDEX(Phys_Prop,MATCH(BF72,Chem_List,0),5)</f>
        <v>N/A</v>
      </c>
      <c r="BH72" s="36"/>
      <c r="BI72" s="36"/>
      <c r="BJ72" s="38">
        <f>1-BJ73</f>
        <v>1</v>
      </c>
      <c r="BK72" s="37" t="str">
        <f>BF72</f>
        <v>Out of Service</v>
      </c>
      <c r="BL72" s="36" t="str">
        <f t="shared" ref="BL72" si="517">INDEX(Phys_Prop,MATCH(BK72,Chem_List,0),5)</f>
        <v>N/A</v>
      </c>
      <c r="BM72" s="36"/>
      <c r="BN72" s="36"/>
      <c r="BO72" s="38">
        <f>1-BO73</f>
        <v>1</v>
      </c>
      <c r="BP72" s="37" t="str">
        <f>BK72</f>
        <v>Out of Service</v>
      </c>
      <c r="BQ72" s="36" t="str">
        <f t="shared" ref="BQ72" si="518">INDEX(Phys_Prop,MATCH(BP72,Chem_List,0),5)</f>
        <v>N/A</v>
      </c>
      <c r="BR72" s="36"/>
      <c r="BS72" s="36"/>
      <c r="BT72" s="38">
        <f>1-BT73</f>
        <v>1</v>
      </c>
      <c r="BU72" s="37" t="str">
        <f>BP72</f>
        <v>Out of Service</v>
      </c>
      <c r="BV72" s="36" t="str">
        <f t="shared" ref="BV72" si="519">INDEX(Phys_Prop,MATCH(BU72,Chem_List,0),5)</f>
        <v>N/A</v>
      </c>
      <c r="BW72" s="36"/>
      <c r="BX72" s="36"/>
      <c r="BY72" s="38">
        <f>1-BY73</f>
        <v>1</v>
      </c>
      <c r="BZ72" s="561"/>
      <c r="CA72" s="549"/>
      <c r="CB72" s="549"/>
      <c r="CC72" s="549"/>
      <c r="CD72" s="549"/>
      <c r="CE72" s="549"/>
      <c r="CF72" s="549"/>
      <c r="CG72" s="549"/>
      <c r="CH72" s="549"/>
      <c r="CI72" s="549"/>
      <c r="CJ72" s="549"/>
      <c r="CK72" s="549"/>
      <c r="CL72" s="559" cm="1">
        <f t="array" ref="CL72">INDEX(FX_Setup,DA72,DE72)</f>
        <v>0</v>
      </c>
      <c r="CM72" s="550">
        <f t="shared" ref="CM72:CW72" si="520">CL72</f>
        <v>0</v>
      </c>
      <c r="CN72" s="550">
        <f t="shared" si="520"/>
        <v>0</v>
      </c>
      <c r="CO72" s="550">
        <f t="shared" si="520"/>
        <v>0</v>
      </c>
      <c r="CP72" s="550">
        <f t="shared" si="520"/>
        <v>0</v>
      </c>
      <c r="CQ72" s="550">
        <f t="shared" si="520"/>
        <v>0</v>
      </c>
      <c r="CR72" s="550">
        <f t="shared" si="520"/>
        <v>0</v>
      </c>
      <c r="CS72" s="550">
        <f t="shared" si="520"/>
        <v>0</v>
      </c>
      <c r="CT72" s="550">
        <f t="shared" si="520"/>
        <v>0</v>
      </c>
      <c r="CU72" s="550">
        <f t="shared" si="520"/>
        <v>0</v>
      </c>
      <c r="CV72" s="550">
        <f t="shared" si="520"/>
        <v>0</v>
      </c>
      <c r="CW72" s="550">
        <f t="shared" si="520"/>
        <v>0</v>
      </c>
      <c r="CX72" s="562">
        <f t="shared" ref="CX72" si="521">SUM(CL72:CW73)</f>
        <v>0</v>
      </c>
      <c r="DA72" s="42">
        <f>DA70+1</f>
        <v>33</v>
      </c>
      <c r="DB72">
        <v>7</v>
      </c>
      <c r="DC72">
        <v>6</v>
      </c>
      <c r="DD72">
        <v>5</v>
      </c>
      <c r="DE72">
        <f t="shared" ref="DE72" si="522">DE70</f>
        <v>9</v>
      </c>
    </row>
    <row r="73" spans="1:109" x14ac:dyDescent="0.4">
      <c r="B73" s="504"/>
      <c r="C73" s="582"/>
      <c r="D73" s="547"/>
      <c r="E73" s="548"/>
      <c r="F73" s="549"/>
      <c r="G73" s="549"/>
      <c r="H73" s="550"/>
      <c r="I73" s="549"/>
      <c r="J73" s="549"/>
      <c r="K73" s="549"/>
      <c r="L73" s="549"/>
      <c r="M73" s="549"/>
      <c r="N73" s="549"/>
      <c r="O73" s="549"/>
      <c r="P73" s="549"/>
      <c r="Q73" s="560"/>
      <c r="R73" s="27"/>
      <c r="S73" s="36"/>
      <c r="T73" s="28"/>
      <c r="U73" s="28"/>
      <c r="V73" s="26"/>
      <c r="W73" s="27"/>
      <c r="X73" s="36"/>
      <c r="Y73" s="28"/>
      <c r="Z73" s="28"/>
      <c r="AA73" s="26"/>
      <c r="AB73" s="27"/>
      <c r="AC73" s="36"/>
      <c r="AD73" s="28"/>
      <c r="AE73" s="28"/>
      <c r="AF73" s="26"/>
      <c r="AG73" s="27"/>
      <c r="AH73" s="36"/>
      <c r="AI73" s="28"/>
      <c r="AJ73" s="28"/>
      <c r="AK73" s="26"/>
      <c r="AL73" s="27"/>
      <c r="AM73" s="36"/>
      <c r="AN73" s="28"/>
      <c r="AO73" s="28"/>
      <c r="AP73" s="26"/>
      <c r="AQ73" s="27"/>
      <c r="AR73" s="36"/>
      <c r="AS73" s="28"/>
      <c r="AT73" s="28"/>
      <c r="AU73" s="26"/>
      <c r="AV73" s="27"/>
      <c r="AW73" s="36"/>
      <c r="AX73" s="28"/>
      <c r="AY73" s="28"/>
      <c r="AZ73" s="26"/>
      <c r="BA73" s="27"/>
      <c r="BB73" s="36"/>
      <c r="BC73" s="28"/>
      <c r="BD73" s="28"/>
      <c r="BE73" s="26"/>
      <c r="BF73" s="27"/>
      <c r="BG73" s="36"/>
      <c r="BH73" s="28"/>
      <c r="BI73" s="28"/>
      <c r="BJ73" s="26"/>
      <c r="BK73" s="27"/>
      <c r="BL73" s="36"/>
      <c r="BM73" s="28"/>
      <c r="BN73" s="28"/>
      <c r="BO73" s="26"/>
      <c r="BP73" s="27"/>
      <c r="BQ73" s="36"/>
      <c r="BR73" s="28"/>
      <c r="BS73" s="28"/>
      <c r="BT73" s="26"/>
      <c r="BU73" s="27"/>
      <c r="BV73" s="36"/>
      <c r="BW73" s="28"/>
      <c r="BX73" s="28"/>
      <c r="BY73" s="26"/>
      <c r="BZ73" s="561"/>
      <c r="CA73" s="549"/>
      <c r="CB73" s="549"/>
      <c r="CC73" s="549"/>
      <c r="CD73" s="549"/>
      <c r="CE73" s="549"/>
      <c r="CF73" s="549"/>
      <c r="CG73" s="549"/>
      <c r="CH73" s="549"/>
      <c r="CI73" s="549"/>
      <c r="CJ73" s="549"/>
      <c r="CK73" s="549"/>
      <c r="CL73" s="559"/>
      <c r="CM73" s="550"/>
      <c r="CN73" s="550"/>
      <c r="CO73" s="550"/>
      <c r="CP73" s="550"/>
      <c r="CQ73" s="550"/>
      <c r="CR73" s="550"/>
      <c r="CS73" s="550"/>
      <c r="CT73" s="550"/>
      <c r="CU73" s="550"/>
      <c r="CV73" s="550"/>
      <c r="CW73" s="550"/>
      <c r="CX73" s="562"/>
      <c r="DA73" s="42"/>
    </row>
    <row r="74" spans="1:109" s="8" customFormat="1" x14ac:dyDescent="0.4">
      <c r="A74" s="8">
        <v>1</v>
      </c>
      <c r="B74" s="504" t="str">
        <f>"FX - "&amp;DA74</f>
        <v>FX - 34</v>
      </c>
      <c r="C74" s="582" t="s">
        <v>1918</v>
      </c>
      <c r="D74" s="547" t="s">
        <v>61</v>
      </c>
      <c r="E74" s="561" t="s">
        <v>65</v>
      </c>
      <c r="F74" s="549" cm="1">
        <f t="array" ref="F74">INDEX(FX_Setup,DA74,DB74)</f>
        <v>12</v>
      </c>
      <c r="G74" s="549" cm="1">
        <f t="array" ref="G74">INDEX(FX_Setup,$DA74,DC74)</f>
        <v>36</v>
      </c>
      <c r="H74" s="550" cm="1">
        <f t="array" ref="H74">INDEX(FX_Setup,$DA74,DD74)</f>
        <v>30450</v>
      </c>
      <c r="I74" s="549" t="s">
        <v>27</v>
      </c>
      <c r="J74" s="549"/>
      <c r="K74" s="549"/>
      <c r="L74" s="549" t="s">
        <v>93</v>
      </c>
      <c r="M74" s="549" t="s">
        <v>90</v>
      </c>
      <c r="N74" s="549" t="s">
        <v>93</v>
      </c>
      <c r="O74" s="549" t="s">
        <v>90</v>
      </c>
      <c r="P74" s="549"/>
      <c r="Q74" s="560"/>
      <c r="R74" s="37" t="str" cm="1">
        <f t="array" ref="R74">INDEX(Surrogate_Lst,MATCH(INDEX(FX_Setup,DA74,3),Product_GRP,0),2)</f>
        <v>Out of Service</v>
      </c>
      <c r="S74" s="36" t="str">
        <f t="shared" ref="S74" si="523">INDEX(Phys_Prop,MATCH(R74,Chem_List,0),5)</f>
        <v>N/A</v>
      </c>
      <c r="T74" s="36"/>
      <c r="U74" s="36"/>
      <c r="V74" s="38">
        <f>1-V75</f>
        <v>1</v>
      </c>
      <c r="W74" s="37" t="str">
        <f>R74</f>
        <v>Out of Service</v>
      </c>
      <c r="X74" s="36" t="str">
        <f t="shared" ref="X74" si="524">INDEX(Phys_Prop,MATCH(W74,Chem_List,0),5)</f>
        <v>N/A</v>
      </c>
      <c r="Y74" s="36"/>
      <c r="Z74" s="36"/>
      <c r="AA74" s="38">
        <f>1-AA75</f>
        <v>1</v>
      </c>
      <c r="AB74" s="37" t="str">
        <f>W74</f>
        <v>Out of Service</v>
      </c>
      <c r="AC74" s="36" t="str">
        <f t="shared" ref="AC74" si="525">INDEX(Phys_Prop,MATCH(AB74,Chem_List,0),5)</f>
        <v>N/A</v>
      </c>
      <c r="AD74" s="36"/>
      <c r="AE74" s="36"/>
      <c r="AF74" s="38">
        <f>1-AF75</f>
        <v>1</v>
      </c>
      <c r="AG74" s="37" t="str">
        <f>AB74</f>
        <v>Out of Service</v>
      </c>
      <c r="AH74" s="36" t="str">
        <f t="shared" ref="AH74" si="526">INDEX(Phys_Prop,MATCH(AG74,Chem_List,0),5)</f>
        <v>N/A</v>
      </c>
      <c r="AI74" s="36"/>
      <c r="AJ74" s="36"/>
      <c r="AK74" s="38">
        <f>1-AK75</f>
        <v>1</v>
      </c>
      <c r="AL74" s="37" t="str">
        <f>AG74</f>
        <v>Out of Service</v>
      </c>
      <c r="AM74" s="36" t="str">
        <f t="shared" ref="AM74" si="527">INDEX(Phys_Prop,MATCH(AL74,Chem_List,0),5)</f>
        <v>N/A</v>
      </c>
      <c r="AN74" s="36"/>
      <c r="AO74" s="36"/>
      <c r="AP74" s="38">
        <f>1-AP75</f>
        <v>1</v>
      </c>
      <c r="AQ74" s="37" t="str">
        <f>AL74</f>
        <v>Out of Service</v>
      </c>
      <c r="AR74" s="36" t="str">
        <f t="shared" ref="AR74" si="528">INDEX(Phys_Prop,MATCH(AQ74,Chem_List,0),5)</f>
        <v>N/A</v>
      </c>
      <c r="AS74" s="36"/>
      <c r="AT74" s="36"/>
      <c r="AU74" s="38">
        <f>1-AU75</f>
        <v>1</v>
      </c>
      <c r="AV74" s="37" t="str">
        <f>AQ74</f>
        <v>Out of Service</v>
      </c>
      <c r="AW74" s="36" t="str">
        <f t="shared" ref="AW74" si="529">INDEX(Phys_Prop,MATCH(AV74,Chem_List,0),5)</f>
        <v>N/A</v>
      </c>
      <c r="AX74" s="36"/>
      <c r="AY74" s="36"/>
      <c r="AZ74" s="38">
        <f>1-AZ75</f>
        <v>1</v>
      </c>
      <c r="BA74" s="37" t="str">
        <f>AV74</f>
        <v>Out of Service</v>
      </c>
      <c r="BB74" s="36" t="str">
        <f t="shared" ref="BB74" si="530">INDEX(Phys_Prop,MATCH(BA74,Chem_List,0),5)</f>
        <v>N/A</v>
      </c>
      <c r="BC74" s="36"/>
      <c r="BD74" s="36"/>
      <c r="BE74" s="38">
        <f>1-BE75</f>
        <v>1</v>
      </c>
      <c r="BF74" s="37" t="str">
        <f>BA74</f>
        <v>Out of Service</v>
      </c>
      <c r="BG74" s="36" t="str">
        <f t="shared" ref="BG74" si="531">INDEX(Phys_Prop,MATCH(BF74,Chem_List,0),5)</f>
        <v>N/A</v>
      </c>
      <c r="BH74" s="36"/>
      <c r="BI74" s="36"/>
      <c r="BJ74" s="38">
        <f>1-BJ75</f>
        <v>1</v>
      </c>
      <c r="BK74" s="37" t="str">
        <f>BF74</f>
        <v>Out of Service</v>
      </c>
      <c r="BL74" s="36" t="str">
        <f t="shared" ref="BL74" si="532">INDEX(Phys_Prop,MATCH(BK74,Chem_List,0),5)</f>
        <v>N/A</v>
      </c>
      <c r="BM74" s="36"/>
      <c r="BN74" s="36"/>
      <c r="BO74" s="38">
        <f>1-BO75</f>
        <v>1</v>
      </c>
      <c r="BP74" s="37" t="str">
        <f>BK74</f>
        <v>Out of Service</v>
      </c>
      <c r="BQ74" s="36" t="str">
        <f t="shared" ref="BQ74" si="533">INDEX(Phys_Prop,MATCH(BP74,Chem_List,0),5)</f>
        <v>N/A</v>
      </c>
      <c r="BR74" s="36"/>
      <c r="BS74" s="36"/>
      <c r="BT74" s="38">
        <f>1-BT75</f>
        <v>1</v>
      </c>
      <c r="BU74" s="37" t="str">
        <f>BP74</f>
        <v>Out of Service</v>
      </c>
      <c r="BV74" s="36" t="str">
        <f t="shared" ref="BV74" si="534">INDEX(Phys_Prop,MATCH(BU74,Chem_List,0),5)</f>
        <v>N/A</v>
      </c>
      <c r="BW74" s="36"/>
      <c r="BX74" s="36"/>
      <c r="BY74" s="38">
        <f>1-BY75</f>
        <v>1</v>
      </c>
      <c r="BZ74" s="561"/>
      <c r="CA74" s="549"/>
      <c r="CB74" s="549"/>
      <c r="CC74" s="549"/>
      <c r="CD74" s="549"/>
      <c r="CE74" s="549"/>
      <c r="CF74" s="549"/>
      <c r="CG74" s="549"/>
      <c r="CH74" s="549"/>
      <c r="CI74" s="549"/>
      <c r="CJ74" s="549"/>
      <c r="CK74" s="549"/>
      <c r="CL74" s="559" cm="1">
        <f t="array" ref="CL74">INDEX(FX_Setup,DA74,DE74)</f>
        <v>0</v>
      </c>
      <c r="CM74" s="550">
        <f>CL74</f>
        <v>0</v>
      </c>
      <c r="CN74" s="550">
        <f t="shared" ref="CN74:CW74" si="535">CM74</f>
        <v>0</v>
      </c>
      <c r="CO74" s="550">
        <f t="shared" si="535"/>
        <v>0</v>
      </c>
      <c r="CP74" s="550">
        <f t="shared" si="535"/>
        <v>0</v>
      </c>
      <c r="CQ74" s="550">
        <f t="shared" si="535"/>
        <v>0</v>
      </c>
      <c r="CR74" s="550">
        <f t="shared" si="535"/>
        <v>0</v>
      </c>
      <c r="CS74" s="550">
        <f t="shared" si="535"/>
        <v>0</v>
      </c>
      <c r="CT74" s="550">
        <f t="shared" si="535"/>
        <v>0</v>
      </c>
      <c r="CU74" s="550">
        <f t="shared" si="535"/>
        <v>0</v>
      </c>
      <c r="CV74" s="550">
        <f t="shared" si="535"/>
        <v>0</v>
      </c>
      <c r="CW74" s="550">
        <f t="shared" si="535"/>
        <v>0</v>
      </c>
      <c r="CX74" s="562">
        <f>SUM(CL74:CW75)</f>
        <v>0</v>
      </c>
      <c r="DA74" s="42">
        <f>DA72+1</f>
        <v>34</v>
      </c>
      <c r="DB74">
        <v>7</v>
      </c>
      <c r="DC74">
        <v>6</v>
      </c>
      <c r="DD74">
        <v>5</v>
      </c>
      <c r="DE74">
        <f t="shared" ref="DE74" si="536">DE72</f>
        <v>9</v>
      </c>
    </row>
    <row r="75" spans="1:109" s="8" customFormat="1" x14ac:dyDescent="0.4">
      <c r="A75" s="8">
        <v>2</v>
      </c>
      <c r="B75" s="504"/>
      <c r="C75" s="582"/>
      <c r="D75" s="547"/>
      <c r="E75" s="561"/>
      <c r="F75" s="549"/>
      <c r="G75" s="549"/>
      <c r="H75" s="550"/>
      <c r="I75" s="549"/>
      <c r="J75" s="549"/>
      <c r="K75" s="549"/>
      <c r="L75" s="549"/>
      <c r="M75" s="549"/>
      <c r="N75" s="549"/>
      <c r="O75" s="549"/>
      <c r="P75" s="549"/>
      <c r="Q75" s="560"/>
      <c r="R75" s="27"/>
      <c r="S75" s="36"/>
      <c r="T75" s="28"/>
      <c r="U75" s="28"/>
      <c r="V75" s="26"/>
      <c r="W75" s="27"/>
      <c r="X75" s="36"/>
      <c r="Y75" s="28"/>
      <c r="Z75" s="28"/>
      <c r="AA75" s="26"/>
      <c r="AB75" s="27"/>
      <c r="AC75" s="36"/>
      <c r="AD75" s="28"/>
      <c r="AE75" s="28"/>
      <c r="AF75" s="26"/>
      <c r="AG75" s="27"/>
      <c r="AH75" s="36"/>
      <c r="AI75" s="28"/>
      <c r="AJ75" s="28"/>
      <c r="AK75" s="26"/>
      <c r="AL75" s="27"/>
      <c r="AM75" s="36"/>
      <c r="AN75" s="28"/>
      <c r="AO75" s="28"/>
      <c r="AP75" s="26"/>
      <c r="AQ75" s="27"/>
      <c r="AR75" s="36"/>
      <c r="AS75" s="28"/>
      <c r="AT75" s="28"/>
      <c r="AU75" s="26"/>
      <c r="AV75" s="27"/>
      <c r="AW75" s="36"/>
      <c r="AX75" s="28"/>
      <c r="AY75" s="28"/>
      <c r="AZ75" s="26"/>
      <c r="BA75" s="27"/>
      <c r="BB75" s="36"/>
      <c r="BC75" s="28"/>
      <c r="BD75" s="28"/>
      <c r="BE75" s="26"/>
      <c r="BF75" s="27"/>
      <c r="BG75" s="36"/>
      <c r="BH75" s="28"/>
      <c r="BI75" s="28"/>
      <c r="BJ75" s="26"/>
      <c r="BK75" s="27"/>
      <c r="BL75" s="36"/>
      <c r="BM75" s="28"/>
      <c r="BN75" s="28"/>
      <c r="BO75" s="26"/>
      <c r="BP75" s="27"/>
      <c r="BQ75" s="36"/>
      <c r="BR75" s="28"/>
      <c r="BS75" s="28"/>
      <c r="BT75" s="26"/>
      <c r="BU75" s="27"/>
      <c r="BV75" s="36"/>
      <c r="BW75" s="28"/>
      <c r="BX75" s="28"/>
      <c r="BY75" s="26"/>
      <c r="BZ75" s="561"/>
      <c r="CA75" s="549"/>
      <c r="CB75" s="549"/>
      <c r="CC75" s="549"/>
      <c r="CD75" s="549"/>
      <c r="CE75" s="549"/>
      <c r="CF75" s="549"/>
      <c r="CG75" s="549"/>
      <c r="CH75" s="549"/>
      <c r="CI75" s="549"/>
      <c r="CJ75" s="549"/>
      <c r="CK75" s="549"/>
      <c r="CL75" s="559"/>
      <c r="CM75" s="550"/>
      <c r="CN75" s="550"/>
      <c r="CO75" s="550"/>
      <c r="CP75" s="550"/>
      <c r="CQ75" s="550"/>
      <c r="CR75" s="550"/>
      <c r="CS75" s="550"/>
      <c r="CT75" s="550"/>
      <c r="CU75" s="550"/>
      <c r="CV75" s="550"/>
      <c r="CW75" s="550"/>
      <c r="CX75" s="562"/>
      <c r="DA75" s="42"/>
      <c r="DB75"/>
      <c r="DC75"/>
      <c r="DD75"/>
      <c r="DE75"/>
    </row>
    <row r="76" spans="1:109" x14ac:dyDescent="0.4">
      <c r="A76" s="8">
        <v>3</v>
      </c>
      <c r="B76" s="583" t="str">
        <f>"FX - "&amp;DA76</f>
        <v>FX - 35</v>
      </c>
      <c r="C76" s="545" t="s">
        <v>1919</v>
      </c>
      <c r="D76" s="585" t="s">
        <v>61</v>
      </c>
      <c r="E76" s="587" t="s">
        <v>65</v>
      </c>
      <c r="F76" s="580" cm="1">
        <f t="array" ref="F76">INDEX(FX_Setup,DA76,DB76)</f>
        <v>12</v>
      </c>
      <c r="G76" s="580" cm="1">
        <f t="array" ref="G76">INDEX(FX_Setup,$DA76,DC76)</f>
        <v>36</v>
      </c>
      <c r="H76" s="563" cm="1">
        <f t="array" ref="H76">INDEX(FX_Setup,$DA76,DD76)</f>
        <v>30450</v>
      </c>
      <c r="I76" s="580" t="s">
        <v>27</v>
      </c>
      <c r="J76" s="580"/>
      <c r="K76" s="580"/>
      <c r="L76" s="580" t="s">
        <v>93</v>
      </c>
      <c r="M76" s="580" t="s">
        <v>90</v>
      </c>
      <c r="N76" s="580" t="s">
        <v>93</v>
      </c>
      <c r="O76" s="580" t="s">
        <v>90</v>
      </c>
      <c r="P76" s="580"/>
      <c r="Q76" s="589"/>
      <c r="R76" s="37" t="str" cm="1">
        <f t="array" ref="R76">INDEX(Surrogate_Lst,MATCH(INDEX(FX_Setup,DA76,3),Product_GRP,0),2)</f>
        <v>Out of Service</v>
      </c>
      <c r="S76" s="36" t="str">
        <f t="shared" ref="S76" si="537">INDEX(Phys_Prop,MATCH(R76,Chem_List,0),5)</f>
        <v>N/A</v>
      </c>
      <c r="T76" s="36"/>
      <c r="U76" s="36"/>
      <c r="V76" s="38">
        <f>1-V77</f>
        <v>1</v>
      </c>
      <c r="W76" s="37" t="str">
        <f>R76</f>
        <v>Out of Service</v>
      </c>
      <c r="X76" s="36" t="str">
        <f t="shared" ref="X76" si="538">INDEX(Phys_Prop,MATCH(W76,Chem_List,0),5)</f>
        <v>N/A</v>
      </c>
      <c r="Y76" s="36"/>
      <c r="Z76" s="36"/>
      <c r="AA76" s="38">
        <f>1-AA77</f>
        <v>1</v>
      </c>
      <c r="AB76" s="37" t="str">
        <f>W76</f>
        <v>Out of Service</v>
      </c>
      <c r="AC76" s="36" t="str">
        <f t="shared" ref="AC76" si="539">INDEX(Phys_Prop,MATCH(AB76,Chem_List,0),5)</f>
        <v>N/A</v>
      </c>
      <c r="AD76" s="36"/>
      <c r="AE76" s="36"/>
      <c r="AF76" s="38">
        <f>1-AF77</f>
        <v>1</v>
      </c>
      <c r="AG76" s="37" t="str">
        <f>AB76</f>
        <v>Out of Service</v>
      </c>
      <c r="AH76" s="36" t="str">
        <f t="shared" ref="AH76" si="540">INDEX(Phys_Prop,MATCH(AG76,Chem_List,0),5)</f>
        <v>N/A</v>
      </c>
      <c r="AI76" s="36"/>
      <c r="AJ76" s="36"/>
      <c r="AK76" s="38">
        <f>1-AK77</f>
        <v>1</v>
      </c>
      <c r="AL76" s="37" t="str">
        <f>AG76</f>
        <v>Out of Service</v>
      </c>
      <c r="AM76" s="36" t="str">
        <f t="shared" ref="AM76" si="541">INDEX(Phys_Prop,MATCH(AL76,Chem_List,0),5)</f>
        <v>N/A</v>
      </c>
      <c r="AN76" s="36"/>
      <c r="AO76" s="36"/>
      <c r="AP76" s="38">
        <f>1-AP77</f>
        <v>1</v>
      </c>
      <c r="AQ76" s="37" t="str">
        <f>AL76</f>
        <v>Out of Service</v>
      </c>
      <c r="AR76" s="36" t="str">
        <f t="shared" ref="AR76" si="542">INDEX(Phys_Prop,MATCH(AQ76,Chem_List,0),5)</f>
        <v>N/A</v>
      </c>
      <c r="AS76" s="36"/>
      <c r="AT76" s="36"/>
      <c r="AU76" s="38">
        <f>1-AU77</f>
        <v>1</v>
      </c>
      <c r="AV76" s="37" t="str">
        <f>AQ76</f>
        <v>Out of Service</v>
      </c>
      <c r="AW76" s="36" t="str">
        <f t="shared" ref="AW76" si="543">INDEX(Phys_Prop,MATCH(AV76,Chem_List,0),5)</f>
        <v>N/A</v>
      </c>
      <c r="AX76" s="36"/>
      <c r="AY76" s="36"/>
      <c r="AZ76" s="38">
        <f>1-AZ77</f>
        <v>1</v>
      </c>
      <c r="BA76" s="37" t="str">
        <f>AV76</f>
        <v>Out of Service</v>
      </c>
      <c r="BB76" s="36" t="str">
        <f t="shared" ref="BB76" si="544">INDEX(Phys_Prop,MATCH(BA76,Chem_List,0),5)</f>
        <v>N/A</v>
      </c>
      <c r="BC76" s="36"/>
      <c r="BD76" s="36"/>
      <c r="BE76" s="38">
        <f>1-BE77</f>
        <v>1</v>
      </c>
      <c r="BF76" s="37" t="str">
        <f>BA76</f>
        <v>Out of Service</v>
      </c>
      <c r="BG76" s="36" t="str">
        <f t="shared" ref="BG76" si="545">INDEX(Phys_Prop,MATCH(BF76,Chem_List,0),5)</f>
        <v>N/A</v>
      </c>
      <c r="BH76" s="36"/>
      <c r="BI76" s="36"/>
      <c r="BJ76" s="38">
        <f>1-BJ77</f>
        <v>1</v>
      </c>
      <c r="BK76" s="37" t="str">
        <f>BF76</f>
        <v>Out of Service</v>
      </c>
      <c r="BL76" s="36" t="str">
        <f t="shared" ref="BL76" si="546">INDEX(Phys_Prop,MATCH(BK76,Chem_List,0),5)</f>
        <v>N/A</v>
      </c>
      <c r="BM76" s="36"/>
      <c r="BN76" s="36"/>
      <c r="BO76" s="38">
        <f>1-BO77</f>
        <v>1</v>
      </c>
      <c r="BP76" s="37" t="str">
        <f>BK76</f>
        <v>Out of Service</v>
      </c>
      <c r="BQ76" s="36" t="str">
        <f t="shared" ref="BQ76" si="547">INDEX(Phys_Prop,MATCH(BP76,Chem_List,0),5)</f>
        <v>N/A</v>
      </c>
      <c r="BR76" s="36"/>
      <c r="BS76" s="36"/>
      <c r="BT76" s="38">
        <f>1-BT77</f>
        <v>1</v>
      </c>
      <c r="BU76" s="37" t="str">
        <f>BP76</f>
        <v>Out of Service</v>
      </c>
      <c r="BV76" s="36" t="str">
        <f t="shared" ref="BV76" si="548">INDEX(Phys_Prop,MATCH(BU76,Chem_List,0),5)</f>
        <v>N/A</v>
      </c>
      <c r="BW76" s="36"/>
      <c r="BX76" s="36"/>
      <c r="BY76" s="38">
        <f>1-BY77</f>
        <v>1</v>
      </c>
      <c r="BZ76" s="587"/>
      <c r="CA76" s="580"/>
      <c r="CB76" s="580"/>
      <c r="CC76" s="580"/>
      <c r="CD76" s="580"/>
      <c r="CE76" s="580"/>
      <c r="CF76" s="580"/>
      <c r="CG76" s="580"/>
      <c r="CH76" s="580"/>
      <c r="CI76" s="580"/>
      <c r="CJ76" s="580"/>
      <c r="CK76" s="589"/>
      <c r="CL76" s="567" cm="1">
        <f t="array" ref="CL76">INDEX(FX_Setup,DA76,DE76)</f>
        <v>0</v>
      </c>
      <c r="CM76" s="563">
        <f>CL76</f>
        <v>0</v>
      </c>
      <c r="CN76" s="563">
        <f t="shared" ref="CN76:CW76" si="549">CM76</f>
        <v>0</v>
      </c>
      <c r="CO76" s="563">
        <f t="shared" si="549"/>
        <v>0</v>
      </c>
      <c r="CP76" s="563">
        <f t="shared" si="549"/>
        <v>0</v>
      </c>
      <c r="CQ76" s="563">
        <f t="shared" si="549"/>
        <v>0</v>
      </c>
      <c r="CR76" s="563">
        <f t="shared" si="549"/>
        <v>0</v>
      </c>
      <c r="CS76" s="563">
        <f t="shared" si="549"/>
        <v>0</v>
      </c>
      <c r="CT76" s="563">
        <f t="shared" si="549"/>
        <v>0</v>
      </c>
      <c r="CU76" s="563">
        <f t="shared" si="549"/>
        <v>0</v>
      </c>
      <c r="CV76" s="563">
        <f t="shared" si="549"/>
        <v>0</v>
      </c>
      <c r="CW76" s="563">
        <f t="shared" si="549"/>
        <v>0</v>
      </c>
      <c r="CX76" s="565">
        <f t="shared" ref="CX76" si="550">SUM(CL76:CW77)</f>
        <v>0</v>
      </c>
      <c r="DA76" s="42">
        <f>DA74+1</f>
        <v>35</v>
      </c>
      <c r="DB76">
        <v>7</v>
      </c>
      <c r="DC76">
        <v>6</v>
      </c>
      <c r="DD76">
        <v>5</v>
      </c>
      <c r="DE76">
        <f t="shared" ref="DE76" si="551">DE74</f>
        <v>9</v>
      </c>
    </row>
    <row r="77" spans="1:109" x14ac:dyDescent="0.4">
      <c r="A77" s="8">
        <v>4</v>
      </c>
      <c r="B77" s="584"/>
      <c r="C77" s="546"/>
      <c r="D77" s="586"/>
      <c r="E77" s="588"/>
      <c r="F77" s="581"/>
      <c r="G77" s="581"/>
      <c r="H77" s="564"/>
      <c r="I77" s="581"/>
      <c r="J77" s="581"/>
      <c r="K77" s="581"/>
      <c r="L77" s="581"/>
      <c r="M77" s="581"/>
      <c r="N77" s="581"/>
      <c r="O77" s="581"/>
      <c r="P77" s="581"/>
      <c r="Q77" s="590"/>
      <c r="R77" s="27"/>
      <c r="S77" s="36"/>
      <c r="T77" s="28"/>
      <c r="U77" s="28"/>
      <c r="V77" s="26"/>
      <c r="W77" s="27"/>
      <c r="X77" s="36"/>
      <c r="Y77" s="28"/>
      <c r="Z77" s="28"/>
      <c r="AA77" s="26"/>
      <c r="AB77" s="27"/>
      <c r="AC77" s="36"/>
      <c r="AD77" s="28"/>
      <c r="AE77" s="28"/>
      <c r="AF77" s="26"/>
      <c r="AG77" s="27"/>
      <c r="AH77" s="36"/>
      <c r="AI77" s="28"/>
      <c r="AJ77" s="28"/>
      <c r="AK77" s="26"/>
      <c r="AL77" s="27"/>
      <c r="AM77" s="36"/>
      <c r="AN77" s="28"/>
      <c r="AO77" s="28"/>
      <c r="AP77" s="26"/>
      <c r="AQ77" s="27"/>
      <c r="AR77" s="36"/>
      <c r="AS77" s="28"/>
      <c r="AT77" s="28"/>
      <c r="AU77" s="26"/>
      <c r="AV77" s="27"/>
      <c r="AW77" s="36"/>
      <c r="AX77" s="28"/>
      <c r="AY77" s="28"/>
      <c r="AZ77" s="26"/>
      <c r="BA77" s="27"/>
      <c r="BB77" s="36"/>
      <c r="BC77" s="28"/>
      <c r="BD77" s="28"/>
      <c r="BE77" s="26"/>
      <c r="BF77" s="27"/>
      <c r="BG77" s="36"/>
      <c r="BH77" s="28"/>
      <c r="BI77" s="28"/>
      <c r="BJ77" s="26"/>
      <c r="BK77" s="27"/>
      <c r="BL77" s="36"/>
      <c r="BM77" s="28"/>
      <c r="BN77" s="28"/>
      <c r="BO77" s="26"/>
      <c r="BP77" s="27"/>
      <c r="BQ77" s="36"/>
      <c r="BR77" s="28"/>
      <c r="BS77" s="28"/>
      <c r="BT77" s="26"/>
      <c r="BU77" s="27"/>
      <c r="BV77" s="36"/>
      <c r="BW77" s="28"/>
      <c r="BX77" s="28"/>
      <c r="BY77" s="26"/>
      <c r="BZ77" s="588"/>
      <c r="CA77" s="581"/>
      <c r="CB77" s="581"/>
      <c r="CC77" s="581"/>
      <c r="CD77" s="581"/>
      <c r="CE77" s="581"/>
      <c r="CF77" s="581"/>
      <c r="CG77" s="581"/>
      <c r="CH77" s="581"/>
      <c r="CI77" s="581"/>
      <c r="CJ77" s="581"/>
      <c r="CK77" s="590"/>
      <c r="CL77" s="568"/>
      <c r="CM77" s="564"/>
      <c r="CN77" s="564"/>
      <c r="CO77" s="564"/>
      <c r="CP77" s="564"/>
      <c r="CQ77" s="564"/>
      <c r="CR77" s="564"/>
      <c r="CS77" s="564"/>
      <c r="CT77" s="564"/>
      <c r="CU77" s="564"/>
      <c r="CV77" s="564"/>
      <c r="CW77" s="564"/>
      <c r="CX77" s="566"/>
      <c r="DA77" s="42"/>
    </row>
    <row r="78" spans="1:109" x14ac:dyDescent="0.4">
      <c r="B78" s="504" t="str">
        <f>"FX - "&amp;DA78</f>
        <v>FX - 36</v>
      </c>
      <c r="C78" s="545" t="s">
        <v>1961</v>
      </c>
      <c r="D78" s="547" t="str">
        <f t="shared" ref="D78" si="552">D76</f>
        <v>Portland</v>
      </c>
      <c r="E78" s="548" t="s">
        <v>65</v>
      </c>
      <c r="F78" s="549" cm="1">
        <f t="array" ref="F78">INDEX(FX_Setup,DA78,DB78)</f>
        <v>18</v>
      </c>
      <c r="G78" s="549" cm="1">
        <f t="array" ref="G78">INDEX(FX_Setup,$DA78,DC78)</f>
        <v>20</v>
      </c>
      <c r="H78" s="550" cm="1">
        <f t="array" ref="H78">INDEX(FX_Setup,$DA78,DD78)</f>
        <v>45696</v>
      </c>
      <c r="I78" s="549" t="s">
        <v>27</v>
      </c>
      <c r="J78" s="549"/>
      <c r="K78" s="549"/>
      <c r="L78" s="549" t="s">
        <v>93</v>
      </c>
      <c r="M78" s="549" t="s">
        <v>90</v>
      </c>
      <c r="N78" s="549" t="s">
        <v>93</v>
      </c>
      <c r="O78" s="549" t="s">
        <v>90</v>
      </c>
      <c r="P78" s="549"/>
      <c r="Q78" s="560"/>
      <c r="R78" s="37" t="str" cm="1">
        <f t="array" ref="R78">INDEX(Surrogate_Lst,MATCH(INDEX(FX_Setup,DA78,3),Product_GRP,0),2)</f>
        <v>Out of Service</v>
      </c>
      <c r="S78" s="36" t="str">
        <f t="shared" ref="S78" si="553">INDEX(Phys_Prop,MATCH(R78,Chem_List,0),5)</f>
        <v>N/A</v>
      </c>
      <c r="T78" s="36"/>
      <c r="U78" s="36"/>
      <c r="V78" s="38">
        <f>1-V79</f>
        <v>1</v>
      </c>
      <c r="W78" s="37" t="str">
        <f>R78</f>
        <v>Out of Service</v>
      </c>
      <c r="X78" s="36" t="str">
        <f t="shared" ref="X78" si="554">INDEX(Phys_Prop,MATCH(W78,Chem_List,0),5)</f>
        <v>N/A</v>
      </c>
      <c r="Y78" s="36"/>
      <c r="Z78" s="36"/>
      <c r="AA78" s="38">
        <f>1-AA79</f>
        <v>1</v>
      </c>
      <c r="AB78" s="37" t="str">
        <f>W78</f>
        <v>Out of Service</v>
      </c>
      <c r="AC78" s="36" t="str">
        <f t="shared" ref="AC78" si="555">INDEX(Phys_Prop,MATCH(AB78,Chem_List,0),5)</f>
        <v>N/A</v>
      </c>
      <c r="AD78" s="36"/>
      <c r="AE78" s="36"/>
      <c r="AF78" s="38">
        <f>1-AF79</f>
        <v>1</v>
      </c>
      <c r="AG78" s="37" t="str">
        <f>AB78</f>
        <v>Out of Service</v>
      </c>
      <c r="AH78" s="36" t="str">
        <f t="shared" ref="AH78" si="556">INDEX(Phys_Prop,MATCH(AG78,Chem_List,0),5)</f>
        <v>N/A</v>
      </c>
      <c r="AI78" s="36"/>
      <c r="AJ78" s="36"/>
      <c r="AK78" s="38">
        <f>1-AK79</f>
        <v>1</v>
      </c>
      <c r="AL78" s="37" t="str">
        <f>AG78</f>
        <v>Out of Service</v>
      </c>
      <c r="AM78" s="36" t="str">
        <f t="shared" ref="AM78" si="557">INDEX(Phys_Prop,MATCH(AL78,Chem_List,0),5)</f>
        <v>N/A</v>
      </c>
      <c r="AN78" s="36"/>
      <c r="AO78" s="36"/>
      <c r="AP78" s="38">
        <f>1-AP79</f>
        <v>1</v>
      </c>
      <c r="AQ78" s="37" t="str">
        <f>AL78</f>
        <v>Out of Service</v>
      </c>
      <c r="AR78" s="36" t="str">
        <f t="shared" ref="AR78" si="558">INDEX(Phys_Prop,MATCH(AQ78,Chem_List,0),5)</f>
        <v>N/A</v>
      </c>
      <c r="AS78" s="36"/>
      <c r="AT78" s="36"/>
      <c r="AU78" s="38">
        <f>1-AU79</f>
        <v>1</v>
      </c>
      <c r="AV78" s="37" t="str">
        <f>AQ78</f>
        <v>Out of Service</v>
      </c>
      <c r="AW78" s="36" t="str">
        <f t="shared" ref="AW78" si="559">INDEX(Phys_Prop,MATCH(AV78,Chem_List,0),5)</f>
        <v>N/A</v>
      </c>
      <c r="AX78" s="36"/>
      <c r="AY78" s="36"/>
      <c r="AZ78" s="38">
        <f>1-AZ79</f>
        <v>1</v>
      </c>
      <c r="BA78" s="37" t="str">
        <f>AV78</f>
        <v>Out of Service</v>
      </c>
      <c r="BB78" s="36" t="str">
        <f t="shared" ref="BB78" si="560">INDEX(Phys_Prop,MATCH(BA78,Chem_List,0),5)</f>
        <v>N/A</v>
      </c>
      <c r="BC78" s="36"/>
      <c r="BD78" s="36"/>
      <c r="BE78" s="38">
        <f>1-BE79</f>
        <v>1</v>
      </c>
      <c r="BF78" s="37" t="str">
        <f>BA78</f>
        <v>Out of Service</v>
      </c>
      <c r="BG78" s="36" t="str">
        <f t="shared" ref="BG78" si="561">INDEX(Phys_Prop,MATCH(BF78,Chem_List,0),5)</f>
        <v>N/A</v>
      </c>
      <c r="BH78" s="36"/>
      <c r="BI78" s="36"/>
      <c r="BJ78" s="38">
        <f>1-BJ79</f>
        <v>1</v>
      </c>
      <c r="BK78" s="37" t="str">
        <f>BF78</f>
        <v>Out of Service</v>
      </c>
      <c r="BL78" s="36" t="str">
        <f t="shared" ref="BL78" si="562">INDEX(Phys_Prop,MATCH(BK78,Chem_List,0),5)</f>
        <v>N/A</v>
      </c>
      <c r="BM78" s="36"/>
      <c r="BN78" s="36"/>
      <c r="BO78" s="38">
        <f>1-BO79</f>
        <v>1</v>
      </c>
      <c r="BP78" s="37" t="str">
        <f>BK78</f>
        <v>Out of Service</v>
      </c>
      <c r="BQ78" s="36" t="str">
        <f t="shared" ref="BQ78" si="563">INDEX(Phys_Prop,MATCH(BP78,Chem_List,0),5)</f>
        <v>N/A</v>
      </c>
      <c r="BR78" s="36"/>
      <c r="BS78" s="36"/>
      <c r="BT78" s="38">
        <f>1-BT79</f>
        <v>1</v>
      </c>
      <c r="BU78" s="37" t="str">
        <f>BP78</f>
        <v>Out of Service</v>
      </c>
      <c r="BV78" s="36" t="str">
        <f t="shared" ref="BV78" si="564">INDEX(Phys_Prop,MATCH(BU78,Chem_List,0),5)</f>
        <v>N/A</v>
      </c>
      <c r="BW78" s="36"/>
      <c r="BX78" s="36"/>
      <c r="BY78" s="38">
        <f>1-BY79</f>
        <v>1</v>
      </c>
      <c r="BZ78" s="561"/>
      <c r="CA78" s="549"/>
      <c r="CB78" s="549"/>
      <c r="CC78" s="549"/>
      <c r="CD78" s="549"/>
      <c r="CE78" s="549"/>
      <c r="CF78" s="549"/>
      <c r="CG78" s="549"/>
      <c r="CH78" s="549"/>
      <c r="CI78" s="549"/>
      <c r="CJ78" s="549"/>
      <c r="CK78" s="549"/>
      <c r="CL78" s="559" cm="1">
        <f t="array" ref="CL78">INDEX(FX_Setup,DA78,DE78)</f>
        <v>0</v>
      </c>
      <c r="CM78" s="550">
        <f t="shared" ref="CM78:CW78" si="565">CL78</f>
        <v>0</v>
      </c>
      <c r="CN78" s="550">
        <f t="shared" si="565"/>
        <v>0</v>
      </c>
      <c r="CO78" s="550">
        <f t="shared" si="565"/>
        <v>0</v>
      </c>
      <c r="CP78" s="550">
        <f t="shared" si="565"/>
        <v>0</v>
      </c>
      <c r="CQ78" s="550">
        <f t="shared" si="565"/>
        <v>0</v>
      </c>
      <c r="CR78" s="550">
        <f t="shared" si="565"/>
        <v>0</v>
      </c>
      <c r="CS78" s="550">
        <f t="shared" si="565"/>
        <v>0</v>
      </c>
      <c r="CT78" s="550">
        <f t="shared" si="565"/>
        <v>0</v>
      </c>
      <c r="CU78" s="550">
        <f t="shared" si="565"/>
        <v>0</v>
      </c>
      <c r="CV78" s="550">
        <f t="shared" si="565"/>
        <v>0</v>
      </c>
      <c r="CW78" s="550">
        <f t="shared" si="565"/>
        <v>0</v>
      </c>
      <c r="CX78" s="562">
        <f t="shared" ref="CX78" si="566">SUM(CL78:CW79)</f>
        <v>0</v>
      </c>
      <c r="DA78" s="42">
        <f>DA76+1</f>
        <v>36</v>
      </c>
      <c r="DB78">
        <v>7</v>
      </c>
      <c r="DC78">
        <v>6</v>
      </c>
      <c r="DD78">
        <v>5</v>
      </c>
      <c r="DE78">
        <f t="shared" ref="DE78" si="567">DE76</f>
        <v>9</v>
      </c>
    </row>
    <row r="79" spans="1:109" x14ac:dyDescent="0.4">
      <c r="B79" s="504"/>
      <c r="C79" s="546"/>
      <c r="D79" s="547"/>
      <c r="E79" s="548"/>
      <c r="F79" s="549"/>
      <c r="G79" s="549"/>
      <c r="H79" s="550"/>
      <c r="I79" s="549"/>
      <c r="J79" s="549"/>
      <c r="K79" s="549"/>
      <c r="L79" s="549"/>
      <c r="M79" s="549"/>
      <c r="N79" s="549"/>
      <c r="O79" s="549"/>
      <c r="P79" s="549"/>
      <c r="Q79" s="560"/>
      <c r="R79" s="27"/>
      <c r="S79" s="36"/>
      <c r="T79" s="28"/>
      <c r="U79" s="28"/>
      <c r="V79" s="26"/>
      <c r="W79" s="27"/>
      <c r="X79" s="36"/>
      <c r="Y79" s="28"/>
      <c r="Z79" s="28"/>
      <c r="AA79" s="26"/>
      <c r="AB79" s="27"/>
      <c r="AC79" s="36"/>
      <c r="AD79" s="28"/>
      <c r="AE79" s="28"/>
      <c r="AF79" s="26"/>
      <c r="AG79" s="27"/>
      <c r="AH79" s="36"/>
      <c r="AI79" s="28"/>
      <c r="AJ79" s="28"/>
      <c r="AK79" s="26"/>
      <c r="AL79" s="27"/>
      <c r="AM79" s="36"/>
      <c r="AN79" s="28"/>
      <c r="AO79" s="28"/>
      <c r="AP79" s="26"/>
      <c r="AQ79" s="27"/>
      <c r="AR79" s="36"/>
      <c r="AS79" s="28"/>
      <c r="AT79" s="28"/>
      <c r="AU79" s="26"/>
      <c r="AV79" s="27"/>
      <c r="AW79" s="36"/>
      <c r="AX79" s="28"/>
      <c r="AY79" s="28"/>
      <c r="AZ79" s="26"/>
      <c r="BA79" s="27"/>
      <c r="BB79" s="36"/>
      <c r="BC79" s="28"/>
      <c r="BD79" s="28"/>
      <c r="BE79" s="26"/>
      <c r="BF79" s="27"/>
      <c r="BG79" s="36"/>
      <c r="BH79" s="28"/>
      <c r="BI79" s="28"/>
      <c r="BJ79" s="26"/>
      <c r="BK79" s="27"/>
      <c r="BL79" s="36"/>
      <c r="BM79" s="28"/>
      <c r="BN79" s="28"/>
      <c r="BO79" s="26"/>
      <c r="BP79" s="27"/>
      <c r="BQ79" s="36"/>
      <c r="BR79" s="28"/>
      <c r="BS79" s="28"/>
      <c r="BT79" s="26"/>
      <c r="BU79" s="27"/>
      <c r="BV79" s="36"/>
      <c r="BW79" s="28"/>
      <c r="BX79" s="28"/>
      <c r="BY79" s="26"/>
      <c r="BZ79" s="561"/>
      <c r="CA79" s="549"/>
      <c r="CB79" s="549"/>
      <c r="CC79" s="549"/>
      <c r="CD79" s="549"/>
      <c r="CE79" s="549"/>
      <c r="CF79" s="549"/>
      <c r="CG79" s="549"/>
      <c r="CH79" s="549"/>
      <c r="CI79" s="549"/>
      <c r="CJ79" s="549"/>
      <c r="CK79" s="549"/>
      <c r="CL79" s="559"/>
      <c r="CM79" s="550"/>
      <c r="CN79" s="550"/>
      <c r="CO79" s="550"/>
      <c r="CP79" s="550"/>
      <c r="CQ79" s="550"/>
      <c r="CR79" s="550"/>
      <c r="CS79" s="550"/>
      <c r="CT79" s="550"/>
      <c r="CU79" s="550"/>
      <c r="CV79" s="550"/>
      <c r="CW79" s="550"/>
      <c r="CX79" s="562"/>
      <c r="DA79" s="42"/>
    </row>
    <row r="80" spans="1:109" x14ac:dyDescent="0.4">
      <c r="B80" s="504" t="str">
        <f>"FX - "&amp;DA80</f>
        <v>FX - 37</v>
      </c>
      <c r="C80" s="545" t="s">
        <v>1962</v>
      </c>
      <c r="D80" s="547" t="str">
        <f t="shared" ref="D80" si="568">D78</f>
        <v>Portland</v>
      </c>
      <c r="E80" s="548" t="s">
        <v>65</v>
      </c>
      <c r="F80" s="549" cm="1">
        <f t="array" ref="F80">INDEX(FX_Setup,DA80,DB80)</f>
        <v>18</v>
      </c>
      <c r="G80" s="549" cm="1">
        <f t="array" ref="G80">INDEX(FX_Setup,$DA80,DC80)</f>
        <v>24</v>
      </c>
      <c r="H80" s="550" cm="1">
        <f t="array" ref="H80">INDEX(FX_Setup,$DA80,DD80)</f>
        <v>45696</v>
      </c>
      <c r="I80" s="549" t="s">
        <v>27</v>
      </c>
      <c r="J80" s="549"/>
      <c r="K80" s="549"/>
      <c r="L80" s="549" t="s">
        <v>93</v>
      </c>
      <c r="M80" s="549" t="s">
        <v>90</v>
      </c>
      <c r="N80" s="549" t="s">
        <v>93</v>
      </c>
      <c r="O80" s="549" t="s">
        <v>90</v>
      </c>
      <c r="P80" s="549"/>
      <c r="Q80" s="560"/>
      <c r="R80" s="37" t="str" cm="1">
        <f t="array" ref="R80">INDEX(Surrogate_Lst,MATCH(INDEX(FX_Setup,DA80,3),Product_GRP,0),2)</f>
        <v>Out of Service</v>
      </c>
      <c r="S80" s="36" t="str">
        <f t="shared" ref="S80" si="569">INDEX(Phys_Prop,MATCH(R80,Chem_List,0),5)</f>
        <v>N/A</v>
      </c>
      <c r="T80" s="36"/>
      <c r="U80" s="36"/>
      <c r="V80" s="38">
        <f>1-V81</f>
        <v>1</v>
      </c>
      <c r="W80" s="37" t="str">
        <f>R80</f>
        <v>Out of Service</v>
      </c>
      <c r="X80" s="36" t="str">
        <f t="shared" ref="X80" si="570">INDEX(Phys_Prop,MATCH(W80,Chem_List,0),5)</f>
        <v>N/A</v>
      </c>
      <c r="Y80" s="36"/>
      <c r="Z80" s="36"/>
      <c r="AA80" s="38">
        <f>1-AA81</f>
        <v>1</v>
      </c>
      <c r="AB80" s="37" t="str">
        <f>W80</f>
        <v>Out of Service</v>
      </c>
      <c r="AC80" s="36" t="str">
        <f t="shared" ref="AC80" si="571">INDEX(Phys_Prop,MATCH(AB80,Chem_List,0),5)</f>
        <v>N/A</v>
      </c>
      <c r="AD80" s="36"/>
      <c r="AE80" s="36"/>
      <c r="AF80" s="38">
        <f>1-AF81</f>
        <v>1</v>
      </c>
      <c r="AG80" s="37" t="str">
        <f>AB80</f>
        <v>Out of Service</v>
      </c>
      <c r="AH80" s="36" t="str">
        <f t="shared" ref="AH80" si="572">INDEX(Phys_Prop,MATCH(AG80,Chem_List,0),5)</f>
        <v>N/A</v>
      </c>
      <c r="AI80" s="36"/>
      <c r="AJ80" s="36"/>
      <c r="AK80" s="38">
        <f>1-AK81</f>
        <v>1</v>
      </c>
      <c r="AL80" s="37" t="str">
        <f>AG80</f>
        <v>Out of Service</v>
      </c>
      <c r="AM80" s="36" t="str">
        <f t="shared" ref="AM80" si="573">INDEX(Phys_Prop,MATCH(AL80,Chem_List,0),5)</f>
        <v>N/A</v>
      </c>
      <c r="AN80" s="36"/>
      <c r="AO80" s="36"/>
      <c r="AP80" s="38">
        <f>1-AP81</f>
        <v>1</v>
      </c>
      <c r="AQ80" s="37" t="str">
        <f>AL80</f>
        <v>Out of Service</v>
      </c>
      <c r="AR80" s="36" t="str">
        <f t="shared" ref="AR80" si="574">INDEX(Phys_Prop,MATCH(AQ80,Chem_List,0),5)</f>
        <v>N/A</v>
      </c>
      <c r="AS80" s="36"/>
      <c r="AT80" s="36"/>
      <c r="AU80" s="38">
        <f>1-AU81</f>
        <v>1</v>
      </c>
      <c r="AV80" s="37" t="str">
        <f>AQ80</f>
        <v>Out of Service</v>
      </c>
      <c r="AW80" s="36" t="str">
        <f t="shared" ref="AW80" si="575">INDEX(Phys_Prop,MATCH(AV80,Chem_List,0),5)</f>
        <v>N/A</v>
      </c>
      <c r="AX80" s="36"/>
      <c r="AY80" s="36"/>
      <c r="AZ80" s="38">
        <f>1-AZ81</f>
        <v>1</v>
      </c>
      <c r="BA80" s="37" t="str">
        <f>AV80</f>
        <v>Out of Service</v>
      </c>
      <c r="BB80" s="36" t="str">
        <f t="shared" ref="BB80" si="576">INDEX(Phys_Prop,MATCH(BA80,Chem_List,0),5)</f>
        <v>N/A</v>
      </c>
      <c r="BC80" s="36"/>
      <c r="BD80" s="36"/>
      <c r="BE80" s="38">
        <f>1-BE81</f>
        <v>1</v>
      </c>
      <c r="BF80" s="37" t="str">
        <f>BA80</f>
        <v>Out of Service</v>
      </c>
      <c r="BG80" s="36" t="str">
        <f t="shared" ref="BG80" si="577">INDEX(Phys_Prop,MATCH(BF80,Chem_List,0),5)</f>
        <v>N/A</v>
      </c>
      <c r="BH80" s="36"/>
      <c r="BI80" s="36"/>
      <c r="BJ80" s="38">
        <f>1-BJ81</f>
        <v>1</v>
      </c>
      <c r="BK80" s="37" t="str">
        <f>BF80</f>
        <v>Out of Service</v>
      </c>
      <c r="BL80" s="36" t="str">
        <f t="shared" ref="BL80" si="578">INDEX(Phys_Prop,MATCH(BK80,Chem_List,0),5)</f>
        <v>N/A</v>
      </c>
      <c r="BM80" s="36"/>
      <c r="BN80" s="36"/>
      <c r="BO80" s="38">
        <f>1-BO81</f>
        <v>1</v>
      </c>
      <c r="BP80" s="37" t="str">
        <f>BK80</f>
        <v>Out of Service</v>
      </c>
      <c r="BQ80" s="36" t="str">
        <f t="shared" ref="BQ80" si="579">INDEX(Phys_Prop,MATCH(BP80,Chem_List,0),5)</f>
        <v>N/A</v>
      </c>
      <c r="BR80" s="36"/>
      <c r="BS80" s="36"/>
      <c r="BT80" s="38">
        <f>1-BT81</f>
        <v>1</v>
      </c>
      <c r="BU80" s="37" t="str">
        <f>BP80</f>
        <v>Out of Service</v>
      </c>
      <c r="BV80" s="36" t="str">
        <f t="shared" ref="BV80" si="580">INDEX(Phys_Prop,MATCH(BU80,Chem_List,0),5)</f>
        <v>N/A</v>
      </c>
      <c r="BW80" s="36"/>
      <c r="BX80" s="36"/>
      <c r="BY80" s="38">
        <f>1-BY81</f>
        <v>1</v>
      </c>
      <c r="BZ80" s="561"/>
      <c r="CA80" s="549"/>
      <c r="CB80" s="549"/>
      <c r="CC80" s="549"/>
      <c r="CD80" s="549"/>
      <c r="CE80" s="549"/>
      <c r="CF80" s="549"/>
      <c r="CG80" s="549"/>
      <c r="CH80" s="549"/>
      <c r="CI80" s="549"/>
      <c r="CJ80" s="549"/>
      <c r="CK80" s="549"/>
      <c r="CL80" s="559" cm="1">
        <f t="array" ref="CL80">INDEX(FX_Setup,DA80,DE80)</f>
        <v>0</v>
      </c>
      <c r="CM80" s="550">
        <f t="shared" ref="CM80:CW80" si="581">CL80</f>
        <v>0</v>
      </c>
      <c r="CN80" s="550">
        <f t="shared" si="581"/>
        <v>0</v>
      </c>
      <c r="CO80" s="550">
        <f t="shared" si="581"/>
        <v>0</v>
      </c>
      <c r="CP80" s="550">
        <f t="shared" si="581"/>
        <v>0</v>
      </c>
      <c r="CQ80" s="550">
        <f t="shared" si="581"/>
        <v>0</v>
      </c>
      <c r="CR80" s="550">
        <f t="shared" si="581"/>
        <v>0</v>
      </c>
      <c r="CS80" s="550">
        <f t="shared" si="581"/>
        <v>0</v>
      </c>
      <c r="CT80" s="550">
        <f t="shared" si="581"/>
        <v>0</v>
      </c>
      <c r="CU80" s="550">
        <f t="shared" si="581"/>
        <v>0</v>
      </c>
      <c r="CV80" s="550">
        <f t="shared" si="581"/>
        <v>0</v>
      </c>
      <c r="CW80" s="550">
        <f t="shared" si="581"/>
        <v>0</v>
      </c>
      <c r="CX80" s="562">
        <f t="shared" ref="CX80" si="582">SUM(CL80:CW81)</f>
        <v>0</v>
      </c>
      <c r="DA80" s="42">
        <f>DA78+1</f>
        <v>37</v>
      </c>
      <c r="DB80">
        <v>7</v>
      </c>
      <c r="DC80">
        <v>6</v>
      </c>
      <c r="DD80">
        <v>5</v>
      </c>
      <c r="DE80">
        <f t="shared" ref="DE80" si="583">DE78</f>
        <v>9</v>
      </c>
    </row>
    <row r="81" spans="1:109" x14ac:dyDescent="0.4">
      <c r="B81" s="504"/>
      <c r="C81" s="546"/>
      <c r="D81" s="547"/>
      <c r="E81" s="548"/>
      <c r="F81" s="549"/>
      <c r="G81" s="549"/>
      <c r="H81" s="550"/>
      <c r="I81" s="549"/>
      <c r="J81" s="549"/>
      <c r="K81" s="549"/>
      <c r="L81" s="549"/>
      <c r="M81" s="549"/>
      <c r="N81" s="549"/>
      <c r="O81" s="549"/>
      <c r="P81" s="549"/>
      <c r="Q81" s="560"/>
      <c r="R81" s="27"/>
      <c r="S81" s="36"/>
      <c r="T81" s="28"/>
      <c r="U81" s="28"/>
      <c r="V81" s="26"/>
      <c r="W81" s="27"/>
      <c r="X81" s="36"/>
      <c r="Y81" s="28"/>
      <c r="Z81" s="28"/>
      <c r="AA81" s="26"/>
      <c r="AB81" s="27"/>
      <c r="AC81" s="36"/>
      <c r="AD81" s="28"/>
      <c r="AE81" s="28"/>
      <c r="AF81" s="26"/>
      <c r="AG81" s="27"/>
      <c r="AH81" s="36"/>
      <c r="AI81" s="28"/>
      <c r="AJ81" s="28"/>
      <c r="AK81" s="26"/>
      <c r="AL81" s="27"/>
      <c r="AM81" s="36"/>
      <c r="AN81" s="28"/>
      <c r="AO81" s="28"/>
      <c r="AP81" s="26"/>
      <c r="AQ81" s="27"/>
      <c r="AR81" s="36"/>
      <c r="AS81" s="28"/>
      <c r="AT81" s="28"/>
      <c r="AU81" s="26"/>
      <c r="AV81" s="27"/>
      <c r="AW81" s="36"/>
      <c r="AX81" s="28"/>
      <c r="AY81" s="28"/>
      <c r="AZ81" s="26"/>
      <c r="BA81" s="27"/>
      <c r="BB81" s="36"/>
      <c r="BC81" s="28"/>
      <c r="BD81" s="28"/>
      <c r="BE81" s="26"/>
      <c r="BF81" s="27"/>
      <c r="BG81" s="36"/>
      <c r="BH81" s="28"/>
      <c r="BI81" s="28"/>
      <c r="BJ81" s="26"/>
      <c r="BK81" s="27"/>
      <c r="BL81" s="36"/>
      <c r="BM81" s="28"/>
      <c r="BN81" s="28"/>
      <c r="BO81" s="26"/>
      <c r="BP81" s="27"/>
      <c r="BQ81" s="36"/>
      <c r="BR81" s="28"/>
      <c r="BS81" s="28"/>
      <c r="BT81" s="26"/>
      <c r="BU81" s="27"/>
      <c r="BV81" s="36"/>
      <c r="BW81" s="28"/>
      <c r="BX81" s="28"/>
      <c r="BY81" s="26"/>
      <c r="BZ81" s="561"/>
      <c r="CA81" s="549"/>
      <c r="CB81" s="549"/>
      <c r="CC81" s="549"/>
      <c r="CD81" s="549"/>
      <c r="CE81" s="549"/>
      <c r="CF81" s="549"/>
      <c r="CG81" s="549"/>
      <c r="CH81" s="549"/>
      <c r="CI81" s="549"/>
      <c r="CJ81" s="549"/>
      <c r="CK81" s="549"/>
      <c r="CL81" s="559"/>
      <c r="CM81" s="550"/>
      <c r="CN81" s="550"/>
      <c r="CO81" s="550"/>
      <c r="CP81" s="550"/>
      <c r="CQ81" s="550"/>
      <c r="CR81" s="550"/>
      <c r="CS81" s="550"/>
      <c r="CT81" s="550"/>
      <c r="CU81" s="550"/>
      <c r="CV81" s="550"/>
      <c r="CW81" s="550"/>
      <c r="CX81" s="562"/>
      <c r="DA81" s="42"/>
    </row>
    <row r="82" spans="1:109" s="39" customFormat="1" x14ac:dyDescent="0.4">
      <c r="B82" s="569" t="str">
        <f>"FX - "&amp;DA82</f>
        <v>FX - 38</v>
      </c>
      <c r="C82" s="570" t="s">
        <v>2034</v>
      </c>
      <c r="D82" s="572" t="str">
        <f t="shared" ref="D82" si="584">D78</f>
        <v>Portland</v>
      </c>
      <c r="E82" s="573" t="s">
        <v>65</v>
      </c>
      <c r="F82" s="574" cm="1">
        <f t="array" ref="F82">INDEX(FX_Setup,DA82,DB82)</f>
        <v>15</v>
      </c>
      <c r="G82" s="574" cm="1">
        <f t="array" ref="G82">INDEX(FX_Setup,$DA82,DC82)</f>
        <v>30</v>
      </c>
      <c r="H82" s="577" cm="1">
        <f t="array" ref="H82">INDEX(FX_Setup,$DA82,DD82)</f>
        <v>39648</v>
      </c>
      <c r="I82" s="574" t="s">
        <v>27</v>
      </c>
      <c r="J82" s="574"/>
      <c r="K82" s="574"/>
      <c r="L82" s="574" t="s">
        <v>93</v>
      </c>
      <c r="M82" s="574" t="s">
        <v>90</v>
      </c>
      <c r="N82" s="574" t="s">
        <v>93</v>
      </c>
      <c r="O82" s="574" t="s">
        <v>90</v>
      </c>
      <c r="P82" s="574"/>
      <c r="Q82" s="575"/>
      <c r="R82" s="377" t="str" cm="1">
        <f t="array" ref="R82">INDEX(Surrogate_Lst,MATCH(INDEX(FX_Setup,DA82,3),Product_GRP,0),2)</f>
        <v>Jet kerosene</v>
      </c>
      <c r="S82" s="378" t="str">
        <f t="shared" ref="S82" si="585">INDEX(Phys_Prop,MATCH(R82,Chem_List,0),5)</f>
        <v>Select Pet Stock</v>
      </c>
      <c r="T82" s="378"/>
      <c r="U82" s="378"/>
      <c r="V82" s="379">
        <f>1-V83</f>
        <v>1</v>
      </c>
      <c r="W82" s="377" t="str">
        <f>R82</f>
        <v>Jet kerosene</v>
      </c>
      <c r="X82" s="378" t="str">
        <f t="shared" ref="X82" si="586">INDEX(Phys_Prop,MATCH(W82,Chem_List,0),5)</f>
        <v>Select Pet Stock</v>
      </c>
      <c r="Y82" s="378"/>
      <c r="Z82" s="378"/>
      <c r="AA82" s="379">
        <f>1-AA83</f>
        <v>1</v>
      </c>
      <c r="AB82" s="377" t="str">
        <f>W82</f>
        <v>Jet kerosene</v>
      </c>
      <c r="AC82" s="378" t="str">
        <f t="shared" ref="AC82" si="587">INDEX(Phys_Prop,MATCH(AB82,Chem_List,0),5)</f>
        <v>Select Pet Stock</v>
      </c>
      <c r="AD82" s="378"/>
      <c r="AE82" s="378"/>
      <c r="AF82" s="379">
        <f>1-AF83</f>
        <v>1</v>
      </c>
      <c r="AG82" s="377" t="str">
        <f>AB82</f>
        <v>Jet kerosene</v>
      </c>
      <c r="AH82" s="378" t="str">
        <f t="shared" ref="AH82" si="588">INDEX(Phys_Prop,MATCH(AG82,Chem_List,0),5)</f>
        <v>Select Pet Stock</v>
      </c>
      <c r="AI82" s="378"/>
      <c r="AJ82" s="378"/>
      <c r="AK82" s="379">
        <f>1-AK83</f>
        <v>1</v>
      </c>
      <c r="AL82" s="377" t="str">
        <f>AG82</f>
        <v>Jet kerosene</v>
      </c>
      <c r="AM82" s="378" t="str">
        <f t="shared" ref="AM82" si="589">INDEX(Phys_Prop,MATCH(AL82,Chem_List,0),5)</f>
        <v>Select Pet Stock</v>
      </c>
      <c r="AN82" s="378"/>
      <c r="AO82" s="378"/>
      <c r="AP82" s="379">
        <f>1-AP83</f>
        <v>1</v>
      </c>
      <c r="AQ82" s="377" t="str">
        <f>AL82</f>
        <v>Jet kerosene</v>
      </c>
      <c r="AR82" s="378" t="str">
        <f t="shared" ref="AR82" si="590">INDEX(Phys_Prop,MATCH(AQ82,Chem_List,0),5)</f>
        <v>Select Pet Stock</v>
      </c>
      <c r="AS82" s="378"/>
      <c r="AT82" s="378"/>
      <c r="AU82" s="379">
        <f>1-AU83</f>
        <v>1</v>
      </c>
      <c r="AV82" s="377" t="str">
        <f>AQ82</f>
        <v>Jet kerosene</v>
      </c>
      <c r="AW82" s="378" t="str">
        <f t="shared" ref="AW82" si="591">INDEX(Phys_Prop,MATCH(AV82,Chem_List,0),5)</f>
        <v>Select Pet Stock</v>
      </c>
      <c r="AX82" s="378"/>
      <c r="AY82" s="378"/>
      <c r="AZ82" s="379">
        <f>1-AZ83</f>
        <v>1</v>
      </c>
      <c r="BA82" s="377" t="str">
        <f>AV82</f>
        <v>Jet kerosene</v>
      </c>
      <c r="BB82" s="378" t="str">
        <f t="shared" ref="BB82" si="592">INDEX(Phys_Prop,MATCH(BA82,Chem_List,0),5)</f>
        <v>Select Pet Stock</v>
      </c>
      <c r="BC82" s="378"/>
      <c r="BD82" s="378"/>
      <c r="BE82" s="379">
        <f>1-BE83</f>
        <v>1</v>
      </c>
      <c r="BF82" s="377" t="str">
        <f>BA82</f>
        <v>Jet kerosene</v>
      </c>
      <c r="BG82" s="378" t="str">
        <f t="shared" ref="BG82" si="593">INDEX(Phys_Prop,MATCH(BF82,Chem_List,0),5)</f>
        <v>Select Pet Stock</v>
      </c>
      <c r="BH82" s="378"/>
      <c r="BI82" s="378"/>
      <c r="BJ82" s="379">
        <f>1-BJ83</f>
        <v>1</v>
      </c>
      <c r="BK82" s="377" t="str">
        <f>BF82</f>
        <v>Jet kerosene</v>
      </c>
      <c r="BL82" s="378" t="str">
        <f t="shared" ref="BL82" si="594">INDEX(Phys_Prop,MATCH(BK82,Chem_List,0),5)</f>
        <v>Select Pet Stock</v>
      </c>
      <c r="BM82" s="378"/>
      <c r="BN82" s="378"/>
      <c r="BO82" s="379">
        <f>1-BO83</f>
        <v>1</v>
      </c>
      <c r="BP82" s="377" t="str">
        <f>BK82</f>
        <v>Jet kerosene</v>
      </c>
      <c r="BQ82" s="378" t="str">
        <f t="shared" ref="BQ82" si="595">INDEX(Phys_Prop,MATCH(BP82,Chem_List,0),5)</f>
        <v>Select Pet Stock</v>
      </c>
      <c r="BR82" s="378"/>
      <c r="BS82" s="378"/>
      <c r="BT82" s="379">
        <f>1-BT83</f>
        <v>1</v>
      </c>
      <c r="BU82" s="377" t="str">
        <f>BP82</f>
        <v>Jet kerosene</v>
      </c>
      <c r="BV82" s="378" t="str">
        <f t="shared" ref="BV82" si="596">INDEX(Phys_Prop,MATCH(BU82,Chem_List,0),5)</f>
        <v>Select Pet Stock</v>
      </c>
      <c r="BW82" s="378"/>
      <c r="BX82" s="378"/>
      <c r="BY82" s="379">
        <f>1-BY83</f>
        <v>1</v>
      </c>
      <c r="BZ82" s="576"/>
      <c r="CA82" s="574"/>
      <c r="CB82" s="574"/>
      <c r="CC82" s="574"/>
      <c r="CD82" s="574"/>
      <c r="CE82" s="574"/>
      <c r="CF82" s="574"/>
      <c r="CG82" s="574"/>
      <c r="CH82" s="574"/>
      <c r="CI82" s="574"/>
      <c r="CJ82" s="574"/>
      <c r="CK82" s="574"/>
      <c r="CL82" s="579" cm="1">
        <f t="array" ref="CL82">INDEX(FX_Setup,DA82,DE82)</f>
        <v>944</v>
      </c>
      <c r="CM82" s="577">
        <f t="shared" ref="CM82:CW82" si="597">CL82</f>
        <v>944</v>
      </c>
      <c r="CN82" s="577">
        <f t="shared" si="597"/>
        <v>944</v>
      </c>
      <c r="CO82" s="577">
        <f t="shared" si="597"/>
        <v>944</v>
      </c>
      <c r="CP82" s="577">
        <f t="shared" si="597"/>
        <v>944</v>
      </c>
      <c r="CQ82" s="577">
        <f t="shared" si="597"/>
        <v>944</v>
      </c>
      <c r="CR82" s="577">
        <f t="shared" si="597"/>
        <v>944</v>
      </c>
      <c r="CS82" s="577">
        <f t="shared" si="597"/>
        <v>944</v>
      </c>
      <c r="CT82" s="577">
        <f t="shared" si="597"/>
        <v>944</v>
      </c>
      <c r="CU82" s="577">
        <f t="shared" si="597"/>
        <v>944</v>
      </c>
      <c r="CV82" s="577">
        <f t="shared" si="597"/>
        <v>944</v>
      </c>
      <c r="CW82" s="577">
        <f t="shared" si="597"/>
        <v>944</v>
      </c>
      <c r="CX82" s="578">
        <f t="shared" ref="CX82" si="598">SUM(CL82:CW83)</f>
        <v>11328</v>
      </c>
      <c r="DA82" s="42">
        <f>DA80+1</f>
        <v>38</v>
      </c>
      <c r="DB82">
        <v>7</v>
      </c>
      <c r="DC82">
        <v>6</v>
      </c>
      <c r="DD82">
        <v>5</v>
      </c>
      <c r="DE82">
        <f t="shared" ref="DE82" si="599">DE80</f>
        <v>9</v>
      </c>
    </row>
    <row r="83" spans="1:109" s="39" customFormat="1" x14ac:dyDescent="0.4">
      <c r="B83" s="569"/>
      <c r="C83" s="571"/>
      <c r="D83" s="572"/>
      <c r="E83" s="573"/>
      <c r="F83" s="574"/>
      <c r="G83" s="574"/>
      <c r="H83" s="577"/>
      <c r="I83" s="574"/>
      <c r="J83" s="574"/>
      <c r="K83" s="574"/>
      <c r="L83" s="574"/>
      <c r="M83" s="574"/>
      <c r="N83" s="574"/>
      <c r="O83" s="574"/>
      <c r="P83" s="574"/>
      <c r="Q83" s="575"/>
      <c r="R83" s="380"/>
      <c r="S83" s="378"/>
      <c r="T83" s="381"/>
      <c r="U83" s="381"/>
      <c r="V83" s="382"/>
      <c r="W83" s="380"/>
      <c r="X83" s="378"/>
      <c r="Y83" s="381"/>
      <c r="Z83" s="381"/>
      <c r="AA83" s="382"/>
      <c r="AB83" s="380"/>
      <c r="AC83" s="378"/>
      <c r="AD83" s="381"/>
      <c r="AE83" s="381"/>
      <c r="AF83" s="382"/>
      <c r="AG83" s="380"/>
      <c r="AH83" s="378"/>
      <c r="AI83" s="381"/>
      <c r="AJ83" s="381"/>
      <c r="AK83" s="382"/>
      <c r="AL83" s="380"/>
      <c r="AM83" s="378"/>
      <c r="AN83" s="381"/>
      <c r="AO83" s="381"/>
      <c r="AP83" s="382"/>
      <c r="AQ83" s="380"/>
      <c r="AR83" s="378"/>
      <c r="AS83" s="381"/>
      <c r="AT83" s="381"/>
      <c r="AU83" s="382"/>
      <c r="AV83" s="380"/>
      <c r="AW83" s="378"/>
      <c r="AX83" s="381"/>
      <c r="AY83" s="381"/>
      <c r="AZ83" s="382"/>
      <c r="BA83" s="380"/>
      <c r="BB83" s="378"/>
      <c r="BC83" s="381"/>
      <c r="BD83" s="381"/>
      <c r="BE83" s="382"/>
      <c r="BF83" s="380"/>
      <c r="BG83" s="378"/>
      <c r="BH83" s="381"/>
      <c r="BI83" s="381"/>
      <c r="BJ83" s="382"/>
      <c r="BK83" s="380"/>
      <c r="BL83" s="378"/>
      <c r="BM83" s="381"/>
      <c r="BN83" s="381"/>
      <c r="BO83" s="382"/>
      <c r="BP83" s="380"/>
      <c r="BQ83" s="378"/>
      <c r="BR83" s="381"/>
      <c r="BS83" s="381"/>
      <c r="BT83" s="382"/>
      <c r="BU83" s="380"/>
      <c r="BV83" s="378"/>
      <c r="BW83" s="381"/>
      <c r="BX83" s="381"/>
      <c r="BY83" s="382"/>
      <c r="BZ83" s="576"/>
      <c r="CA83" s="574"/>
      <c r="CB83" s="574"/>
      <c r="CC83" s="574"/>
      <c r="CD83" s="574"/>
      <c r="CE83" s="574"/>
      <c r="CF83" s="574"/>
      <c r="CG83" s="574"/>
      <c r="CH83" s="574"/>
      <c r="CI83" s="574"/>
      <c r="CJ83" s="574"/>
      <c r="CK83" s="574"/>
      <c r="CL83" s="579"/>
      <c r="CM83" s="577"/>
      <c r="CN83" s="577"/>
      <c r="CO83" s="577"/>
      <c r="CP83" s="577"/>
      <c r="CQ83" s="577"/>
      <c r="CR83" s="577"/>
      <c r="CS83" s="577"/>
      <c r="CT83" s="577"/>
      <c r="CU83" s="577"/>
      <c r="CV83" s="577"/>
      <c r="CW83" s="577"/>
      <c r="CX83" s="578"/>
      <c r="DA83" s="42"/>
      <c r="DB83"/>
      <c r="DC83"/>
      <c r="DD83"/>
      <c r="DE83"/>
    </row>
    <row r="84" spans="1:109" x14ac:dyDescent="0.4">
      <c r="A84" s="8">
        <v>5</v>
      </c>
      <c r="B84" s="504" t="str">
        <f>"FX - "&amp;DA84</f>
        <v>FX - 39</v>
      </c>
      <c r="C84" s="545" t="s">
        <v>1920</v>
      </c>
      <c r="D84" s="547" t="s">
        <v>61</v>
      </c>
      <c r="E84" s="548" t="s">
        <v>65</v>
      </c>
      <c r="F84" s="549" cm="1">
        <f t="array" ref="F84">INDEX(FX_Setup,DA84,DB84)</f>
        <v>15</v>
      </c>
      <c r="G84" s="549" cm="1">
        <f t="array" ref="G84">INDEX(FX_Setup,$DA84,DC84)</f>
        <v>30</v>
      </c>
      <c r="H84" s="550" cm="1">
        <f t="array" ref="H84">INDEX(FX_Setup,$DA84,DD84)</f>
        <v>39648</v>
      </c>
      <c r="I84" s="549" t="s">
        <v>27</v>
      </c>
      <c r="J84" s="549"/>
      <c r="K84" s="549"/>
      <c r="L84" s="549" t="s">
        <v>93</v>
      </c>
      <c r="M84" s="549" t="s">
        <v>90</v>
      </c>
      <c r="N84" s="549" t="s">
        <v>93</v>
      </c>
      <c r="O84" s="549" t="s">
        <v>90</v>
      </c>
      <c r="P84" s="549"/>
      <c r="Q84" s="560"/>
      <c r="R84" s="37" t="str" cm="1">
        <f t="array" ref="R84">INDEX(Surrogate_Lst,MATCH(INDEX(FX_Setup,DA84,3),Product_GRP,0),2)</f>
        <v>Jet kerosene</v>
      </c>
      <c r="S84" s="36" t="str">
        <f t="shared" ref="S84" si="600">INDEX(Phys_Prop,MATCH(R84,Chem_List,0),5)</f>
        <v>Select Pet Stock</v>
      </c>
      <c r="T84" s="36"/>
      <c r="U84" s="36"/>
      <c r="V84" s="38">
        <f>1-V85</f>
        <v>1</v>
      </c>
      <c r="W84" s="37" t="str">
        <f>R84</f>
        <v>Jet kerosene</v>
      </c>
      <c r="X84" s="36" t="str">
        <f t="shared" ref="X84" si="601">INDEX(Phys_Prop,MATCH(W84,Chem_List,0),5)</f>
        <v>Select Pet Stock</v>
      </c>
      <c r="Y84" s="36"/>
      <c r="Z84" s="36"/>
      <c r="AA84" s="38">
        <f>1-AA85</f>
        <v>1</v>
      </c>
      <c r="AB84" s="37" t="str">
        <f>W84</f>
        <v>Jet kerosene</v>
      </c>
      <c r="AC84" s="36" t="str">
        <f t="shared" ref="AC84" si="602">INDEX(Phys_Prop,MATCH(AB84,Chem_List,0),5)</f>
        <v>Select Pet Stock</v>
      </c>
      <c r="AD84" s="36"/>
      <c r="AE84" s="36"/>
      <c r="AF84" s="38">
        <f>1-AF85</f>
        <v>1</v>
      </c>
      <c r="AG84" s="37" t="str">
        <f>AB84</f>
        <v>Jet kerosene</v>
      </c>
      <c r="AH84" s="36" t="str">
        <f t="shared" ref="AH84" si="603">INDEX(Phys_Prop,MATCH(AG84,Chem_List,0),5)</f>
        <v>Select Pet Stock</v>
      </c>
      <c r="AI84" s="36"/>
      <c r="AJ84" s="36"/>
      <c r="AK84" s="38">
        <f>1-AK85</f>
        <v>1</v>
      </c>
      <c r="AL84" s="37" t="str">
        <f>AG84</f>
        <v>Jet kerosene</v>
      </c>
      <c r="AM84" s="36" t="str">
        <f t="shared" ref="AM84" si="604">INDEX(Phys_Prop,MATCH(AL84,Chem_List,0),5)</f>
        <v>Select Pet Stock</v>
      </c>
      <c r="AN84" s="36"/>
      <c r="AO84" s="36"/>
      <c r="AP84" s="38">
        <f>1-AP85</f>
        <v>1</v>
      </c>
      <c r="AQ84" s="37" t="str">
        <f>AL84</f>
        <v>Jet kerosene</v>
      </c>
      <c r="AR84" s="36" t="str">
        <f t="shared" ref="AR84" si="605">INDEX(Phys_Prop,MATCH(AQ84,Chem_List,0),5)</f>
        <v>Select Pet Stock</v>
      </c>
      <c r="AS84" s="36"/>
      <c r="AT84" s="36"/>
      <c r="AU84" s="38">
        <f>1-AU85</f>
        <v>1</v>
      </c>
      <c r="AV84" s="37" t="str">
        <f>AQ84</f>
        <v>Jet kerosene</v>
      </c>
      <c r="AW84" s="36" t="str">
        <f t="shared" ref="AW84" si="606">INDEX(Phys_Prop,MATCH(AV84,Chem_List,0),5)</f>
        <v>Select Pet Stock</v>
      </c>
      <c r="AX84" s="36"/>
      <c r="AY84" s="36"/>
      <c r="AZ84" s="38">
        <f>1-AZ85</f>
        <v>1</v>
      </c>
      <c r="BA84" s="37" t="str">
        <f>AV84</f>
        <v>Jet kerosene</v>
      </c>
      <c r="BB84" s="36" t="str">
        <f t="shared" ref="BB84" si="607">INDEX(Phys_Prop,MATCH(BA84,Chem_List,0),5)</f>
        <v>Select Pet Stock</v>
      </c>
      <c r="BC84" s="36"/>
      <c r="BD84" s="36"/>
      <c r="BE84" s="38">
        <f>1-BE85</f>
        <v>1</v>
      </c>
      <c r="BF84" s="37" t="str">
        <f>BA84</f>
        <v>Jet kerosene</v>
      </c>
      <c r="BG84" s="36" t="str">
        <f t="shared" ref="BG84" si="608">INDEX(Phys_Prop,MATCH(BF84,Chem_List,0),5)</f>
        <v>Select Pet Stock</v>
      </c>
      <c r="BH84" s="36"/>
      <c r="BI84" s="36"/>
      <c r="BJ84" s="38">
        <f>1-BJ85</f>
        <v>1</v>
      </c>
      <c r="BK84" s="37" t="str">
        <f>BF84</f>
        <v>Jet kerosene</v>
      </c>
      <c r="BL84" s="36" t="str">
        <f t="shared" ref="BL84" si="609">INDEX(Phys_Prop,MATCH(BK84,Chem_List,0),5)</f>
        <v>Select Pet Stock</v>
      </c>
      <c r="BM84" s="36"/>
      <c r="BN84" s="36"/>
      <c r="BO84" s="38">
        <f>1-BO85</f>
        <v>1</v>
      </c>
      <c r="BP84" s="37" t="str">
        <f>BK84</f>
        <v>Jet kerosene</v>
      </c>
      <c r="BQ84" s="36" t="str">
        <f t="shared" ref="BQ84" si="610">INDEX(Phys_Prop,MATCH(BP84,Chem_List,0),5)</f>
        <v>Select Pet Stock</v>
      </c>
      <c r="BR84" s="36"/>
      <c r="BS84" s="36"/>
      <c r="BT84" s="38">
        <f>1-BT85</f>
        <v>1</v>
      </c>
      <c r="BU84" s="37" t="str">
        <f>BP84</f>
        <v>Jet kerosene</v>
      </c>
      <c r="BV84" s="36" t="str">
        <f t="shared" ref="BV84" si="611">INDEX(Phys_Prop,MATCH(BU84,Chem_List,0),5)</f>
        <v>Select Pet Stock</v>
      </c>
      <c r="BW84" s="36"/>
      <c r="BX84" s="36"/>
      <c r="BY84" s="38">
        <f>1-BY85</f>
        <v>1</v>
      </c>
      <c r="BZ84" s="561"/>
      <c r="CA84" s="581"/>
      <c r="CB84" s="581"/>
      <c r="CC84" s="581"/>
      <c r="CD84" s="581"/>
      <c r="CE84" s="581"/>
      <c r="CF84" s="581"/>
      <c r="CG84" s="581"/>
      <c r="CH84" s="581"/>
      <c r="CI84" s="581"/>
      <c r="CJ84" s="581"/>
      <c r="CK84" s="581"/>
      <c r="CL84" s="559" cm="1">
        <f t="array" ref="CL84">INDEX(FX_Setup,DA84,DE84)</f>
        <v>944</v>
      </c>
      <c r="CM84" s="550">
        <f t="shared" ref="CM84:CW84" si="612">CL84</f>
        <v>944</v>
      </c>
      <c r="CN84" s="550">
        <f t="shared" si="612"/>
        <v>944</v>
      </c>
      <c r="CO84" s="550">
        <f t="shared" si="612"/>
        <v>944</v>
      </c>
      <c r="CP84" s="550">
        <f t="shared" si="612"/>
        <v>944</v>
      </c>
      <c r="CQ84" s="550">
        <f t="shared" si="612"/>
        <v>944</v>
      </c>
      <c r="CR84" s="550">
        <f t="shared" si="612"/>
        <v>944</v>
      </c>
      <c r="CS84" s="550">
        <f t="shared" si="612"/>
        <v>944</v>
      </c>
      <c r="CT84" s="550">
        <f t="shared" si="612"/>
        <v>944</v>
      </c>
      <c r="CU84" s="550">
        <f t="shared" si="612"/>
        <v>944</v>
      </c>
      <c r="CV84" s="550">
        <f t="shared" si="612"/>
        <v>944</v>
      </c>
      <c r="CW84" s="550">
        <f t="shared" si="612"/>
        <v>944</v>
      </c>
      <c r="CX84" s="562">
        <f t="shared" ref="CX84" si="613">SUM(CL84:CW85)</f>
        <v>11328</v>
      </c>
      <c r="DA84" s="42">
        <f>DA82+1</f>
        <v>39</v>
      </c>
      <c r="DB84">
        <v>7</v>
      </c>
      <c r="DC84">
        <v>6</v>
      </c>
      <c r="DD84">
        <v>5</v>
      </c>
      <c r="DE84">
        <f t="shared" ref="DE84" si="614">DE82</f>
        <v>9</v>
      </c>
    </row>
    <row r="85" spans="1:109" x14ac:dyDescent="0.4">
      <c r="A85" s="8">
        <v>6</v>
      </c>
      <c r="B85" s="504"/>
      <c r="C85" s="546"/>
      <c r="D85" s="547"/>
      <c r="E85" s="548"/>
      <c r="F85" s="549"/>
      <c r="G85" s="549"/>
      <c r="H85" s="550"/>
      <c r="I85" s="549"/>
      <c r="J85" s="549"/>
      <c r="K85" s="549"/>
      <c r="L85" s="549"/>
      <c r="M85" s="549"/>
      <c r="N85" s="549"/>
      <c r="O85" s="549"/>
      <c r="P85" s="549"/>
      <c r="Q85" s="560"/>
      <c r="R85" s="27"/>
      <c r="S85" s="36"/>
      <c r="T85" s="28"/>
      <c r="U85" s="28"/>
      <c r="V85" s="26"/>
      <c r="W85" s="27"/>
      <c r="X85" s="36"/>
      <c r="Y85" s="28"/>
      <c r="Z85" s="28"/>
      <c r="AA85" s="26"/>
      <c r="AB85" s="27"/>
      <c r="AC85" s="36"/>
      <c r="AD85" s="28"/>
      <c r="AE85" s="28"/>
      <c r="AF85" s="26"/>
      <c r="AG85" s="27"/>
      <c r="AH85" s="36"/>
      <c r="AI85" s="28"/>
      <c r="AJ85" s="28"/>
      <c r="AK85" s="26"/>
      <c r="AL85" s="27"/>
      <c r="AM85" s="36"/>
      <c r="AN85" s="28"/>
      <c r="AO85" s="28"/>
      <c r="AP85" s="26"/>
      <c r="AQ85" s="27"/>
      <c r="AR85" s="36"/>
      <c r="AS85" s="28"/>
      <c r="AT85" s="28"/>
      <c r="AU85" s="26"/>
      <c r="AV85" s="27"/>
      <c r="AW85" s="36"/>
      <c r="AX85" s="28"/>
      <c r="AY85" s="28"/>
      <c r="AZ85" s="26"/>
      <c r="BA85" s="27"/>
      <c r="BB85" s="36"/>
      <c r="BC85" s="28"/>
      <c r="BD85" s="28"/>
      <c r="BE85" s="26"/>
      <c r="BF85" s="27"/>
      <c r="BG85" s="36"/>
      <c r="BH85" s="28"/>
      <c r="BI85" s="28"/>
      <c r="BJ85" s="26"/>
      <c r="BK85" s="27"/>
      <c r="BL85" s="36"/>
      <c r="BM85" s="28"/>
      <c r="BN85" s="28"/>
      <c r="BO85" s="26"/>
      <c r="BP85" s="27"/>
      <c r="BQ85" s="36"/>
      <c r="BR85" s="28"/>
      <c r="BS85" s="28"/>
      <c r="BT85" s="26"/>
      <c r="BU85" s="27"/>
      <c r="BV85" s="36"/>
      <c r="BW85" s="28"/>
      <c r="BX85" s="28"/>
      <c r="BY85" s="26"/>
      <c r="BZ85" s="561"/>
      <c r="CA85" s="549"/>
      <c r="CB85" s="549"/>
      <c r="CC85" s="549"/>
      <c r="CD85" s="549"/>
      <c r="CE85" s="549"/>
      <c r="CF85" s="549"/>
      <c r="CG85" s="549"/>
      <c r="CH85" s="549"/>
      <c r="CI85" s="549"/>
      <c r="CJ85" s="549"/>
      <c r="CK85" s="549"/>
      <c r="CL85" s="559"/>
      <c r="CM85" s="550"/>
      <c r="CN85" s="550"/>
      <c r="CO85" s="550"/>
      <c r="CP85" s="550"/>
      <c r="CQ85" s="550"/>
      <c r="CR85" s="550"/>
      <c r="CS85" s="550"/>
      <c r="CT85" s="550"/>
      <c r="CU85" s="550"/>
      <c r="CV85" s="550"/>
      <c r="CW85" s="550"/>
      <c r="CX85" s="562"/>
      <c r="DA85" s="42"/>
    </row>
    <row r="86" spans="1:109" x14ac:dyDescent="0.4">
      <c r="B86" s="504" t="str">
        <f>"FX - "&amp;DA86</f>
        <v>FX - 40</v>
      </c>
      <c r="C86" s="545" t="s">
        <v>1921</v>
      </c>
      <c r="D86" s="547" t="str">
        <f t="shared" ref="D86" si="615">D84</f>
        <v>Portland</v>
      </c>
      <c r="E86" s="548" t="s">
        <v>65</v>
      </c>
      <c r="F86" s="549" cm="1">
        <f t="array" ref="F86">INDEX(FX_Setup,DA86,DB86)</f>
        <v>15</v>
      </c>
      <c r="G86" s="549" cm="1">
        <f t="array" ref="G86">INDEX(FX_Setup,$DA86,DC86)</f>
        <v>30</v>
      </c>
      <c r="H86" s="550" cm="1">
        <f t="array" ref="H86">INDEX(FX_Setup,$DA86,DD86)</f>
        <v>39648</v>
      </c>
      <c r="I86" s="549" t="s">
        <v>27</v>
      </c>
      <c r="J86" s="549"/>
      <c r="K86" s="549"/>
      <c r="L86" s="549" t="s">
        <v>93</v>
      </c>
      <c r="M86" s="549" t="s">
        <v>90</v>
      </c>
      <c r="N86" s="549" t="s">
        <v>93</v>
      </c>
      <c r="O86" s="549" t="s">
        <v>90</v>
      </c>
      <c r="P86" s="549"/>
      <c r="Q86" s="560"/>
      <c r="R86" s="37" t="str" cm="1">
        <f t="array" ref="R86">INDEX(Surrogate_Lst,MATCH(INDEX(FX_Setup,DA86,3),Product_GRP,0),2)</f>
        <v>Jet kerosene</v>
      </c>
      <c r="S86" s="36" t="str">
        <f t="shared" ref="S86" si="616">INDEX(Phys_Prop,MATCH(R86,Chem_List,0),5)</f>
        <v>Select Pet Stock</v>
      </c>
      <c r="T86" s="36"/>
      <c r="U86" s="36"/>
      <c r="V86" s="38">
        <f>1-V87</f>
        <v>1</v>
      </c>
      <c r="W86" s="37" t="str">
        <f>R86</f>
        <v>Jet kerosene</v>
      </c>
      <c r="X86" s="36" t="str">
        <f t="shared" ref="X86" si="617">INDEX(Phys_Prop,MATCH(W86,Chem_List,0),5)</f>
        <v>Select Pet Stock</v>
      </c>
      <c r="Y86" s="36"/>
      <c r="Z86" s="36"/>
      <c r="AA86" s="38">
        <f>1-AA87</f>
        <v>1</v>
      </c>
      <c r="AB86" s="37" t="str">
        <f>W86</f>
        <v>Jet kerosene</v>
      </c>
      <c r="AC86" s="36" t="str">
        <f t="shared" ref="AC86" si="618">INDEX(Phys_Prop,MATCH(AB86,Chem_List,0),5)</f>
        <v>Select Pet Stock</v>
      </c>
      <c r="AD86" s="36"/>
      <c r="AE86" s="36"/>
      <c r="AF86" s="38">
        <f>1-AF87</f>
        <v>1</v>
      </c>
      <c r="AG86" s="37" t="str">
        <f>AB86</f>
        <v>Jet kerosene</v>
      </c>
      <c r="AH86" s="36" t="str">
        <f t="shared" ref="AH86" si="619">INDEX(Phys_Prop,MATCH(AG86,Chem_List,0),5)</f>
        <v>Select Pet Stock</v>
      </c>
      <c r="AI86" s="36"/>
      <c r="AJ86" s="36"/>
      <c r="AK86" s="38">
        <f>1-AK87</f>
        <v>1</v>
      </c>
      <c r="AL86" s="37" t="str">
        <f>AG86</f>
        <v>Jet kerosene</v>
      </c>
      <c r="AM86" s="36" t="str">
        <f t="shared" ref="AM86" si="620">INDEX(Phys_Prop,MATCH(AL86,Chem_List,0),5)</f>
        <v>Select Pet Stock</v>
      </c>
      <c r="AN86" s="36"/>
      <c r="AO86" s="36"/>
      <c r="AP86" s="38">
        <f>1-AP87</f>
        <v>1</v>
      </c>
      <c r="AQ86" s="37" t="str">
        <f>AL86</f>
        <v>Jet kerosene</v>
      </c>
      <c r="AR86" s="36" t="str">
        <f t="shared" ref="AR86" si="621">INDEX(Phys_Prop,MATCH(AQ86,Chem_List,0),5)</f>
        <v>Select Pet Stock</v>
      </c>
      <c r="AS86" s="36"/>
      <c r="AT86" s="36"/>
      <c r="AU86" s="38">
        <f>1-AU87</f>
        <v>1</v>
      </c>
      <c r="AV86" s="37" t="str">
        <f>AQ86</f>
        <v>Jet kerosene</v>
      </c>
      <c r="AW86" s="36" t="str">
        <f t="shared" ref="AW86" si="622">INDEX(Phys_Prop,MATCH(AV86,Chem_List,0),5)</f>
        <v>Select Pet Stock</v>
      </c>
      <c r="AX86" s="36"/>
      <c r="AY86" s="36"/>
      <c r="AZ86" s="38">
        <f>1-AZ87</f>
        <v>1</v>
      </c>
      <c r="BA86" s="37" t="str">
        <f>AV86</f>
        <v>Jet kerosene</v>
      </c>
      <c r="BB86" s="36" t="str">
        <f t="shared" ref="BB86" si="623">INDEX(Phys_Prop,MATCH(BA86,Chem_List,0),5)</f>
        <v>Select Pet Stock</v>
      </c>
      <c r="BC86" s="36"/>
      <c r="BD86" s="36"/>
      <c r="BE86" s="38">
        <f>1-BE87</f>
        <v>1</v>
      </c>
      <c r="BF86" s="37" t="str">
        <f>BA86</f>
        <v>Jet kerosene</v>
      </c>
      <c r="BG86" s="36" t="str">
        <f t="shared" ref="BG86" si="624">INDEX(Phys_Prop,MATCH(BF86,Chem_List,0),5)</f>
        <v>Select Pet Stock</v>
      </c>
      <c r="BH86" s="36"/>
      <c r="BI86" s="36"/>
      <c r="BJ86" s="38">
        <f>1-BJ87</f>
        <v>1</v>
      </c>
      <c r="BK86" s="37" t="str">
        <f>BF86</f>
        <v>Jet kerosene</v>
      </c>
      <c r="BL86" s="36" t="str">
        <f t="shared" ref="BL86" si="625">INDEX(Phys_Prop,MATCH(BK86,Chem_List,0),5)</f>
        <v>Select Pet Stock</v>
      </c>
      <c r="BM86" s="36"/>
      <c r="BN86" s="36"/>
      <c r="BO86" s="38">
        <f>1-BO87</f>
        <v>1</v>
      </c>
      <c r="BP86" s="37" t="str">
        <f>BK86</f>
        <v>Jet kerosene</v>
      </c>
      <c r="BQ86" s="36" t="str">
        <f t="shared" ref="BQ86" si="626">INDEX(Phys_Prop,MATCH(BP86,Chem_List,0),5)</f>
        <v>Select Pet Stock</v>
      </c>
      <c r="BR86" s="36"/>
      <c r="BS86" s="36"/>
      <c r="BT86" s="38">
        <f>1-BT87</f>
        <v>1</v>
      </c>
      <c r="BU86" s="37" t="str">
        <f>BP86</f>
        <v>Jet kerosene</v>
      </c>
      <c r="BV86" s="36" t="str">
        <f t="shared" ref="BV86" si="627">INDEX(Phys_Prop,MATCH(BU86,Chem_List,0),5)</f>
        <v>Select Pet Stock</v>
      </c>
      <c r="BW86" s="36"/>
      <c r="BX86" s="36"/>
      <c r="BY86" s="38">
        <f>1-BY87</f>
        <v>1</v>
      </c>
      <c r="BZ86" s="561"/>
      <c r="CA86" s="581"/>
      <c r="CB86" s="581"/>
      <c r="CC86" s="581"/>
      <c r="CD86" s="581"/>
      <c r="CE86" s="581"/>
      <c r="CF86" s="581"/>
      <c r="CG86" s="581"/>
      <c r="CH86" s="581"/>
      <c r="CI86" s="581"/>
      <c r="CJ86" s="581"/>
      <c r="CK86" s="581"/>
      <c r="CL86" s="567" cm="1">
        <f t="array" ref="CL86">INDEX(FX_Setup,DA86,DE86)</f>
        <v>944</v>
      </c>
      <c r="CM86" s="563">
        <f t="shared" ref="CM86:CW86" si="628">CL86</f>
        <v>944</v>
      </c>
      <c r="CN86" s="563">
        <f t="shared" si="628"/>
        <v>944</v>
      </c>
      <c r="CO86" s="563">
        <f t="shared" si="628"/>
        <v>944</v>
      </c>
      <c r="CP86" s="563">
        <f t="shared" si="628"/>
        <v>944</v>
      </c>
      <c r="CQ86" s="563">
        <f t="shared" si="628"/>
        <v>944</v>
      </c>
      <c r="CR86" s="563">
        <f t="shared" si="628"/>
        <v>944</v>
      </c>
      <c r="CS86" s="563">
        <f t="shared" si="628"/>
        <v>944</v>
      </c>
      <c r="CT86" s="563">
        <f t="shared" si="628"/>
        <v>944</v>
      </c>
      <c r="CU86" s="563">
        <f t="shared" si="628"/>
        <v>944</v>
      </c>
      <c r="CV86" s="563">
        <f t="shared" si="628"/>
        <v>944</v>
      </c>
      <c r="CW86" s="563">
        <f t="shared" si="628"/>
        <v>944</v>
      </c>
      <c r="CX86" s="565">
        <f t="shared" ref="CX86" si="629">SUM(CL86:CW87)</f>
        <v>11328</v>
      </c>
      <c r="DA86" s="42">
        <f>DA84+1</f>
        <v>40</v>
      </c>
      <c r="DB86">
        <v>7</v>
      </c>
      <c r="DC86">
        <v>6</v>
      </c>
      <c r="DD86">
        <v>5</v>
      </c>
      <c r="DE86">
        <f t="shared" ref="DE86" si="630">DE84</f>
        <v>9</v>
      </c>
    </row>
    <row r="87" spans="1:109" x14ac:dyDescent="0.4">
      <c r="B87" s="504"/>
      <c r="C87" s="546"/>
      <c r="D87" s="547"/>
      <c r="E87" s="548"/>
      <c r="F87" s="549"/>
      <c r="G87" s="549"/>
      <c r="H87" s="550"/>
      <c r="I87" s="549"/>
      <c r="J87" s="549"/>
      <c r="K87" s="549"/>
      <c r="L87" s="549"/>
      <c r="M87" s="549"/>
      <c r="N87" s="549"/>
      <c r="O87" s="549"/>
      <c r="P87" s="549"/>
      <c r="Q87" s="560"/>
      <c r="R87" s="27"/>
      <c r="S87" s="36"/>
      <c r="T87" s="28"/>
      <c r="U87" s="28"/>
      <c r="V87" s="26"/>
      <c r="W87" s="27"/>
      <c r="X87" s="36"/>
      <c r="Y87" s="28"/>
      <c r="Z87" s="28"/>
      <c r="AA87" s="26"/>
      <c r="AB87" s="27"/>
      <c r="AC87" s="36"/>
      <c r="AD87" s="28"/>
      <c r="AE87" s="28"/>
      <c r="AF87" s="26"/>
      <c r="AG87" s="27"/>
      <c r="AH87" s="36"/>
      <c r="AI87" s="28"/>
      <c r="AJ87" s="28"/>
      <c r="AK87" s="26"/>
      <c r="AL87" s="27"/>
      <c r="AM87" s="36"/>
      <c r="AN87" s="28"/>
      <c r="AO87" s="28"/>
      <c r="AP87" s="26"/>
      <c r="AQ87" s="27"/>
      <c r="AR87" s="36"/>
      <c r="AS87" s="28"/>
      <c r="AT87" s="28"/>
      <c r="AU87" s="26"/>
      <c r="AV87" s="27"/>
      <c r="AW87" s="36"/>
      <c r="AX87" s="28"/>
      <c r="AY87" s="28"/>
      <c r="AZ87" s="26"/>
      <c r="BA87" s="27"/>
      <c r="BB87" s="36"/>
      <c r="BC87" s="28"/>
      <c r="BD87" s="28"/>
      <c r="BE87" s="26"/>
      <c r="BF87" s="27"/>
      <c r="BG87" s="36"/>
      <c r="BH87" s="28"/>
      <c r="BI87" s="28"/>
      <c r="BJ87" s="26"/>
      <c r="BK87" s="27"/>
      <c r="BL87" s="36"/>
      <c r="BM87" s="28"/>
      <c r="BN87" s="28"/>
      <c r="BO87" s="26"/>
      <c r="BP87" s="27"/>
      <c r="BQ87" s="36"/>
      <c r="BR87" s="28"/>
      <c r="BS87" s="28"/>
      <c r="BT87" s="26"/>
      <c r="BU87" s="27"/>
      <c r="BV87" s="36"/>
      <c r="BW87" s="28"/>
      <c r="BX87" s="28"/>
      <c r="BY87" s="26"/>
      <c r="BZ87" s="561"/>
      <c r="CA87" s="549"/>
      <c r="CB87" s="549"/>
      <c r="CC87" s="549"/>
      <c r="CD87" s="549"/>
      <c r="CE87" s="549"/>
      <c r="CF87" s="549"/>
      <c r="CG87" s="549"/>
      <c r="CH87" s="549"/>
      <c r="CI87" s="549"/>
      <c r="CJ87" s="549"/>
      <c r="CK87" s="549"/>
      <c r="CL87" s="568"/>
      <c r="CM87" s="564"/>
      <c r="CN87" s="564"/>
      <c r="CO87" s="564"/>
      <c r="CP87" s="564"/>
      <c r="CQ87" s="564"/>
      <c r="CR87" s="564"/>
      <c r="CS87" s="564"/>
      <c r="CT87" s="564"/>
      <c r="CU87" s="564"/>
      <c r="CV87" s="564"/>
      <c r="CW87" s="564"/>
      <c r="CX87" s="566"/>
      <c r="DA87" s="42"/>
    </row>
    <row r="88" spans="1:109" x14ac:dyDescent="0.4">
      <c r="B88" s="504" t="str">
        <f>"FX - "&amp;DA88</f>
        <v>FX - 41</v>
      </c>
      <c r="C88" s="545" t="s">
        <v>1922</v>
      </c>
      <c r="D88" s="547" t="str">
        <f t="shared" ref="D88" si="631">D86</f>
        <v>Portland</v>
      </c>
      <c r="E88" s="548" t="s">
        <v>65</v>
      </c>
      <c r="F88" s="549" cm="1">
        <f t="array" ref="F88">INDEX(FX_Setup,DA88,DB88)</f>
        <v>15</v>
      </c>
      <c r="G88" s="549" cm="1">
        <f t="array" ref="G88">INDEX(FX_Setup,$DA88,DC88)</f>
        <v>18</v>
      </c>
      <c r="H88" s="550" cm="1">
        <f t="array" ref="H88">INDEX(FX_Setup,$DA88,DD88)</f>
        <v>23772</v>
      </c>
      <c r="I88" s="549" t="s">
        <v>27</v>
      </c>
      <c r="J88" s="549"/>
      <c r="K88" s="549"/>
      <c r="L88" s="549" t="s">
        <v>93</v>
      </c>
      <c r="M88" s="549" t="s">
        <v>90</v>
      </c>
      <c r="N88" s="549" t="s">
        <v>93</v>
      </c>
      <c r="O88" s="549" t="s">
        <v>90</v>
      </c>
      <c r="P88" s="549"/>
      <c r="Q88" s="560"/>
      <c r="R88" s="37" t="str" cm="1">
        <f t="array" ref="R88">INDEX(Surrogate_Lst,MATCH(INDEX(FX_Setup,DA88,3),Product_GRP,0),2)</f>
        <v>Jet kerosene</v>
      </c>
      <c r="S88" s="36" t="str">
        <f t="shared" ref="S88" si="632">INDEX(Phys_Prop,MATCH(R88,Chem_List,0),5)</f>
        <v>Select Pet Stock</v>
      </c>
      <c r="T88" s="36"/>
      <c r="U88" s="36"/>
      <c r="V88" s="38">
        <f>1-V89</f>
        <v>1</v>
      </c>
      <c r="W88" s="37" t="str">
        <f>R88</f>
        <v>Jet kerosene</v>
      </c>
      <c r="X88" s="36" t="str">
        <f t="shared" ref="X88" si="633">INDEX(Phys_Prop,MATCH(W88,Chem_List,0),5)</f>
        <v>Select Pet Stock</v>
      </c>
      <c r="Y88" s="36"/>
      <c r="Z88" s="36"/>
      <c r="AA88" s="38">
        <f>1-AA89</f>
        <v>1</v>
      </c>
      <c r="AB88" s="37" t="str">
        <f>W88</f>
        <v>Jet kerosene</v>
      </c>
      <c r="AC88" s="36" t="str">
        <f t="shared" ref="AC88" si="634">INDEX(Phys_Prop,MATCH(AB88,Chem_List,0),5)</f>
        <v>Select Pet Stock</v>
      </c>
      <c r="AD88" s="36"/>
      <c r="AE88" s="36"/>
      <c r="AF88" s="38">
        <f>1-AF89</f>
        <v>1</v>
      </c>
      <c r="AG88" s="37" t="str">
        <f>AB88</f>
        <v>Jet kerosene</v>
      </c>
      <c r="AH88" s="36" t="str">
        <f t="shared" ref="AH88" si="635">INDEX(Phys_Prop,MATCH(AG88,Chem_List,0),5)</f>
        <v>Select Pet Stock</v>
      </c>
      <c r="AI88" s="36"/>
      <c r="AJ88" s="36"/>
      <c r="AK88" s="38">
        <f>1-AK89</f>
        <v>1</v>
      </c>
      <c r="AL88" s="37" t="str">
        <f>AG88</f>
        <v>Jet kerosene</v>
      </c>
      <c r="AM88" s="36" t="str">
        <f t="shared" ref="AM88" si="636">INDEX(Phys_Prop,MATCH(AL88,Chem_List,0),5)</f>
        <v>Select Pet Stock</v>
      </c>
      <c r="AN88" s="36"/>
      <c r="AO88" s="36"/>
      <c r="AP88" s="38">
        <f>1-AP89</f>
        <v>1</v>
      </c>
      <c r="AQ88" s="37" t="str">
        <f>AL88</f>
        <v>Jet kerosene</v>
      </c>
      <c r="AR88" s="36" t="str">
        <f t="shared" ref="AR88" si="637">INDEX(Phys_Prop,MATCH(AQ88,Chem_List,0),5)</f>
        <v>Select Pet Stock</v>
      </c>
      <c r="AS88" s="36"/>
      <c r="AT88" s="36"/>
      <c r="AU88" s="38">
        <f>1-AU89</f>
        <v>1</v>
      </c>
      <c r="AV88" s="37" t="str">
        <f>AQ88</f>
        <v>Jet kerosene</v>
      </c>
      <c r="AW88" s="36" t="str">
        <f t="shared" ref="AW88" si="638">INDEX(Phys_Prop,MATCH(AV88,Chem_List,0),5)</f>
        <v>Select Pet Stock</v>
      </c>
      <c r="AX88" s="36"/>
      <c r="AY88" s="36"/>
      <c r="AZ88" s="38">
        <f>1-AZ89</f>
        <v>1</v>
      </c>
      <c r="BA88" s="37" t="str">
        <f>AV88</f>
        <v>Jet kerosene</v>
      </c>
      <c r="BB88" s="36" t="str">
        <f t="shared" ref="BB88" si="639">INDEX(Phys_Prop,MATCH(BA88,Chem_List,0),5)</f>
        <v>Select Pet Stock</v>
      </c>
      <c r="BC88" s="36"/>
      <c r="BD88" s="36"/>
      <c r="BE88" s="38">
        <f>1-BE89</f>
        <v>1</v>
      </c>
      <c r="BF88" s="37" t="str">
        <f>BA88</f>
        <v>Jet kerosene</v>
      </c>
      <c r="BG88" s="36" t="str">
        <f t="shared" ref="BG88" si="640">INDEX(Phys_Prop,MATCH(BF88,Chem_List,0),5)</f>
        <v>Select Pet Stock</v>
      </c>
      <c r="BH88" s="36"/>
      <c r="BI88" s="36"/>
      <c r="BJ88" s="38">
        <f>1-BJ89</f>
        <v>1</v>
      </c>
      <c r="BK88" s="37" t="str">
        <f>BF88</f>
        <v>Jet kerosene</v>
      </c>
      <c r="BL88" s="36" t="str">
        <f t="shared" ref="BL88" si="641">INDEX(Phys_Prop,MATCH(BK88,Chem_List,0),5)</f>
        <v>Select Pet Stock</v>
      </c>
      <c r="BM88" s="36"/>
      <c r="BN88" s="36"/>
      <c r="BO88" s="38">
        <f>1-BO89</f>
        <v>1</v>
      </c>
      <c r="BP88" s="37" t="str">
        <f>BK88</f>
        <v>Jet kerosene</v>
      </c>
      <c r="BQ88" s="36" t="str">
        <f t="shared" ref="BQ88" si="642">INDEX(Phys_Prop,MATCH(BP88,Chem_List,0),5)</f>
        <v>Select Pet Stock</v>
      </c>
      <c r="BR88" s="36"/>
      <c r="BS88" s="36"/>
      <c r="BT88" s="38">
        <f>1-BT89</f>
        <v>1</v>
      </c>
      <c r="BU88" s="37" t="str">
        <f>BP88</f>
        <v>Jet kerosene</v>
      </c>
      <c r="BV88" s="36" t="str">
        <f t="shared" ref="BV88" si="643">INDEX(Phys_Prop,MATCH(BU88,Chem_List,0),5)</f>
        <v>Select Pet Stock</v>
      </c>
      <c r="BW88" s="36"/>
      <c r="BX88" s="36"/>
      <c r="BY88" s="38">
        <f>1-BY89</f>
        <v>1</v>
      </c>
      <c r="BZ88" s="561"/>
      <c r="CA88" s="549"/>
      <c r="CB88" s="549"/>
      <c r="CC88" s="549"/>
      <c r="CD88" s="549"/>
      <c r="CE88" s="549"/>
      <c r="CF88" s="549"/>
      <c r="CG88" s="549"/>
      <c r="CH88" s="549"/>
      <c r="CI88" s="549"/>
      <c r="CJ88" s="549"/>
      <c r="CK88" s="549"/>
      <c r="CL88" s="559" cm="1">
        <f t="array" ref="CL88">INDEX(FX_Setup,DA88,DE88)</f>
        <v>566</v>
      </c>
      <c r="CM88" s="550">
        <f t="shared" ref="CM88:CW88" si="644">CL88</f>
        <v>566</v>
      </c>
      <c r="CN88" s="550">
        <f t="shared" si="644"/>
        <v>566</v>
      </c>
      <c r="CO88" s="550">
        <f t="shared" si="644"/>
        <v>566</v>
      </c>
      <c r="CP88" s="550">
        <f t="shared" si="644"/>
        <v>566</v>
      </c>
      <c r="CQ88" s="550">
        <f t="shared" si="644"/>
        <v>566</v>
      </c>
      <c r="CR88" s="550">
        <f t="shared" si="644"/>
        <v>566</v>
      </c>
      <c r="CS88" s="550">
        <f t="shared" si="644"/>
        <v>566</v>
      </c>
      <c r="CT88" s="550">
        <f t="shared" si="644"/>
        <v>566</v>
      </c>
      <c r="CU88" s="550">
        <f t="shared" si="644"/>
        <v>566</v>
      </c>
      <c r="CV88" s="550">
        <f t="shared" si="644"/>
        <v>566</v>
      </c>
      <c r="CW88" s="550">
        <f t="shared" si="644"/>
        <v>566</v>
      </c>
      <c r="CX88" s="562">
        <f t="shared" ref="CX88" si="645">SUM(CL88:CW89)</f>
        <v>6792</v>
      </c>
      <c r="DA88" s="42">
        <f>DA86+1</f>
        <v>41</v>
      </c>
      <c r="DB88">
        <v>7</v>
      </c>
      <c r="DC88">
        <v>6</v>
      </c>
      <c r="DD88">
        <v>5</v>
      </c>
      <c r="DE88">
        <f t="shared" ref="DE88" si="646">DE86</f>
        <v>9</v>
      </c>
    </row>
    <row r="89" spans="1:109" x14ac:dyDescent="0.4">
      <c r="B89" s="504"/>
      <c r="C89" s="546"/>
      <c r="D89" s="547"/>
      <c r="E89" s="548"/>
      <c r="F89" s="549"/>
      <c r="G89" s="549"/>
      <c r="H89" s="550"/>
      <c r="I89" s="549"/>
      <c r="J89" s="549"/>
      <c r="K89" s="549"/>
      <c r="L89" s="549"/>
      <c r="M89" s="549"/>
      <c r="N89" s="549"/>
      <c r="O89" s="549"/>
      <c r="P89" s="549"/>
      <c r="Q89" s="560"/>
      <c r="R89" s="27"/>
      <c r="S89" s="36"/>
      <c r="T89" s="28"/>
      <c r="U89" s="28"/>
      <c r="V89" s="26"/>
      <c r="W89" s="27"/>
      <c r="X89" s="36"/>
      <c r="Y89" s="28"/>
      <c r="Z89" s="28"/>
      <c r="AA89" s="26"/>
      <c r="AB89" s="27"/>
      <c r="AC89" s="36"/>
      <c r="AD89" s="28"/>
      <c r="AE89" s="28"/>
      <c r="AF89" s="26"/>
      <c r="AG89" s="27"/>
      <c r="AH89" s="36"/>
      <c r="AI89" s="28"/>
      <c r="AJ89" s="28"/>
      <c r="AK89" s="26"/>
      <c r="AL89" s="27"/>
      <c r="AM89" s="36"/>
      <c r="AN89" s="28"/>
      <c r="AO89" s="28"/>
      <c r="AP89" s="26"/>
      <c r="AQ89" s="27"/>
      <c r="AR89" s="36"/>
      <c r="AS89" s="28"/>
      <c r="AT89" s="28"/>
      <c r="AU89" s="26"/>
      <c r="AV89" s="27"/>
      <c r="AW89" s="36"/>
      <c r="AX89" s="28"/>
      <c r="AY89" s="28"/>
      <c r="AZ89" s="26"/>
      <c r="BA89" s="27"/>
      <c r="BB89" s="36"/>
      <c r="BC89" s="28"/>
      <c r="BD89" s="28"/>
      <c r="BE89" s="26"/>
      <c r="BF89" s="27"/>
      <c r="BG89" s="36"/>
      <c r="BH89" s="28"/>
      <c r="BI89" s="28"/>
      <c r="BJ89" s="26"/>
      <c r="BK89" s="27"/>
      <c r="BL89" s="36"/>
      <c r="BM89" s="28"/>
      <c r="BN89" s="28"/>
      <c r="BO89" s="26"/>
      <c r="BP89" s="27"/>
      <c r="BQ89" s="36"/>
      <c r="BR89" s="28"/>
      <c r="BS89" s="28"/>
      <c r="BT89" s="26"/>
      <c r="BU89" s="27"/>
      <c r="BV89" s="36"/>
      <c r="BW89" s="28"/>
      <c r="BX89" s="28"/>
      <c r="BY89" s="26"/>
      <c r="BZ89" s="561"/>
      <c r="CA89" s="549"/>
      <c r="CB89" s="549"/>
      <c r="CC89" s="549"/>
      <c r="CD89" s="549"/>
      <c r="CE89" s="549"/>
      <c r="CF89" s="549"/>
      <c r="CG89" s="549"/>
      <c r="CH89" s="549"/>
      <c r="CI89" s="549"/>
      <c r="CJ89" s="549"/>
      <c r="CK89" s="549"/>
      <c r="CL89" s="559"/>
      <c r="CM89" s="550"/>
      <c r="CN89" s="550"/>
      <c r="CO89" s="550"/>
      <c r="CP89" s="550"/>
      <c r="CQ89" s="550"/>
      <c r="CR89" s="550"/>
      <c r="CS89" s="550"/>
      <c r="CT89" s="550"/>
      <c r="CU89" s="550"/>
      <c r="CV89" s="550"/>
      <c r="CW89" s="550"/>
      <c r="CX89" s="562"/>
      <c r="DA89" s="42"/>
    </row>
    <row r="90" spans="1:109" x14ac:dyDescent="0.4">
      <c r="B90" s="504" t="str">
        <f>"FX - "&amp;DA90</f>
        <v>FX - 42</v>
      </c>
      <c r="C90" s="545" t="s">
        <v>1963</v>
      </c>
      <c r="D90" s="547" t="str">
        <f t="shared" ref="D90" si="647">D88</f>
        <v>Portland</v>
      </c>
      <c r="E90" s="548" t="s">
        <v>65</v>
      </c>
      <c r="F90" s="549" cm="1">
        <f t="array" ref="F90">INDEX(FX_Setup,DA90,DB90)</f>
        <v>24</v>
      </c>
      <c r="G90" s="549" cm="1">
        <f t="array" ref="G90">INDEX(FX_Setup,$DA90,DC90)</f>
        <v>40</v>
      </c>
      <c r="H90" s="550" cm="1">
        <f t="array" ref="H90">INDEX(FX_Setup,$DA90,DD90)</f>
        <v>135366</v>
      </c>
      <c r="I90" s="549" t="s">
        <v>27</v>
      </c>
      <c r="J90" s="549"/>
      <c r="K90" s="549"/>
      <c r="L90" s="549" t="s">
        <v>93</v>
      </c>
      <c r="M90" s="549" t="s">
        <v>90</v>
      </c>
      <c r="N90" s="549" t="s">
        <v>93</v>
      </c>
      <c r="O90" s="549" t="s">
        <v>90</v>
      </c>
      <c r="P90" s="549"/>
      <c r="Q90" s="560"/>
      <c r="R90" s="37" t="str" cm="1">
        <f t="array" ref="R90">INDEX(Surrogate_Lst,MATCH(INDEX(FX_Setup,DA90,3),Product_GRP,0),2)</f>
        <v>Jet kerosene</v>
      </c>
      <c r="S90" s="36" t="str">
        <f t="shared" ref="S90" si="648">INDEX(Phys_Prop,MATCH(R90,Chem_List,0),5)</f>
        <v>Select Pet Stock</v>
      </c>
      <c r="T90" s="36"/>
      <c r="U90" s="36"/>
      <c r="V90" s="38">
        <f>1-V91</f>
        <v>1</v>
      </c>
      <c r="W90" s="37" t="str">
        <f>R90</f>
        <v>Jet kerosene</v>
      </c>
      <c r="X90" s="36" t="str">
        <f t="shared" ref="X90" si="649">INDEX(Phys_Prop,MATCH(W90,Chem_List,0),5)</f>
        <v>Select Pet Stock</v>
      </c>
      <c r="Y90" s="36"/>
      <c r="Z90" s="36"/>
      <c r="AA90" s="38">
        <f>1-AA91</f>
        <v>1</v>
      </c>
      <c r="AB90" s="37" t="str">
        <f>W90</f>
        <v>Jet kerosene</v>
      </c>
      <c r="AC90" s="36" t="str">
        <f t="shared" ref="AC90" si="650">INDEX(Phys_Prop,MATCH(AB90,Chem_List,0),5)</f>
        <v>Select Pet Stock</v>
      </c>
      <c r="AD90" s="36"/>
      <c r="AE90" s="36"/>
      <c r="AF90" s="38">
        <f>1-AF91</f>
        <v>1</v>
      </c>
      <c r="AG90" s="37" t="str">
        <f>AB90</f>
        <v>Jet kerosene</v>
      </c>
      <c r="AH90" s="36" t="str">
        <f t="shared" ref="AH90" si="651">INDEX(Phys_Prop,MATCH(AG90,Chem_List,0),5)</f>
        <v>Select Pet Stock</v>
      </c>
      <c r="AI90" s="36"/>
      <c r="AJ90" s="36"/>
      <c r="AK90" s="38">
        <f>1-AK91</f>
        <v>1</v>
      </c>
      <c r="AL90" s="37" t="str">
        <f>AG90</f>
        <v>Jet kerosene</v>
      </c>
      <c r="AM90" s="36" t="str">
        <f t="shared" ref="AM90" si="652">INDEX(Phys_Prop,MATCH(AL90,Chem_List,0),5)</f>
        <v>Select Pet Stock</v>
      </c>
      <c r="AN90" s="36"/>
      <c r="AO90" s="36"/>
      <c r="AP90" s="38">
        <f>1-AP91</f>
        <v>1</v>
      </c>
      <c r="AQ90" s="37" t="str">
        <f>AL90</f>
        <v>Jet kerosene</v>
      </c>
      <c r="AR90" s="36" t="str">
        <f t="shared" ref="AR90" si="653">INDEX(Phys_Prop,MATCH(AQ90,Chem_List,0),5)</f>
        <v>Select Pet Stock</v>
      </c>
      <c r="AS90" s="36"/>
      <c r="AT90" s="36"/>
      <c r="AU90" s="38">
        <f>1-AU91</f>
        <v>1</v>
      </c>
      <c r="AV90" s="37" t="str">
        <f>AQ90</f>
        <v>Jet kerosene</v>
      </c>
      <c r="AW90" s="36" t="str">
        <f t="shared" ref="AW90" si="654">INDEX(Phys_Prop,MATCH(AV90,Chem_List,0),5)</f>
        <v>Select Pet Stock</v>
      </c>
      <c r="AX90" s="36"/>
      <c r="AY90" s="36"/>
      <c r="AZ90" s="38">
        <f>1-AZ91</f>
        <v>1</v>
      </c>
      <c r="BA90" s="37" t="str">
        <f>AV90</f>
        <v>Jet kerosene</v>
      </c>
      <c r="BB90" s="36" t="str">
        <f t="shared" ref="BB90" si="655">INDEX(Phys_Prop,MATCH(BA90,Chem_List,0),5)</f>
        <v>Select Pet Stock</v>
      </c>
      <c r="BC90" s="36"/>
      <c r="BD90" s="36"/>
      <c r="BE90" s="38">
        <f>1-BE91</f>
        <v>1</v>
      </c>
      <c r="BF90" s="37" t="str">
        <f>BA90</f>
        <v>Jet kerosene</v>
      </c>
      <c r="BG90" s="36" t="str">
        <f t="shared" ref="BG90" si="656">INDEX(Phys_Prop,MATCH(BF90,Chem_List,0),5)</f>
        <v>Select Pet Stock</v>
      </c>
      <c r="BH90" s="36"/>
      <c r="BI90" s="36"/>
      <c r="BJ90" s="38">
        <f>1-BJ91</f>
        <v>1</v>
      </c>
      <c r="BK90" s="37" t="str">
        <f>BF90</f>
        <v>Jet kerosene</v>
      </c>
      <c r="BL90" s="36" t="str">
        <f t="shared" ref="BL90" si="657">INDEX(Phys_Prop,MATCH(BK90,Chem_List,0),5)</f>
        <v>Select Pet Stock</v>
      </c>
      <c r="BM90" s="36"/>
      <c r="BN90" s="36"/>
      <c r="BO90" s="38">
        <f>1-BO91</f>
        <v>1</v>
      </c>
      <c r="BP90" s="37" t="str">
        <f>BK90</f>
        <v>Jet kerosene</v>
      </c>
      <c r="BQ90" s="36" t="str">
        <f t="shared" ref="BQ90" si="658">INDEX(Phys_Prop,MATCH(BP90,Chem_List,0),5)</f>
        <v>Select Pet Stock</v>
      </c>
      <c r="BR90" s="36"/>
      <c r="BS90" s="36"/>
      <c r="BT90" s="38">
        <f>1-BT91</f>
        <v>1</v>
      </c>
      <c r="BU90" s="37" t="str">
        <f>BP90</f>
        <v>Jet kerosene</v>
      </c>
      <c r="BV90" s="36" t="str">
        <f t="shared" ref="BV90" si="659">INDEX(Phys_Prop,MATCH(BU90,Chem_List,0),5)</f>
        <v>Select Pet Stock</v>
      </c>
      <c r="BW90" s="36"/>
      <c r="BX90" s="36"/>
      <c r="BY90" s="38">
        <f>1-BY91</f>
        <v>1</v>
      </c>
      <c r="BZ90" s="561"/>
      <c r="CA90" s="549"/>
      <c r="CB90" s="549"/>
      <c r="CC90" s="549"/>
      <c r="CD90" s="549"/>
      <c r="CE90" s="549"/>
      <c r="CF90" s="549"/>
      <c r="CG90" s="549"/>
      <c r="CH90" s="549"/>
      <c r="CI90" s="549"/>
      <c r="CJ90" s="549"/>
      <c r="CK90" s="549"/>
      <c r="CL90" s="567" cm="1">
        <f t="array" ref="CL90">INDEX(FX_Setup,DA90,DE90)</f>
        <v>3223</v>
      </c>
      <c r="CM90" s="563">
        <f t="shared" ref="CM90:CW90" si="660">CL90</f>
        <v>3223</v>
      </c>
      <c r="CN90" s="563">
        <f t="shared" si="660"/>
        <v>3223</v>
      </c>
      <c r="CO90" s="563">
        <f t="shared" si="660"/>
        <v>3223</v>
      </c>
      <c r="CP90" s="563">
        <f t="shared" si="660"/>
        <v>3223</v>
      </c>
      <c r="CQ90" s="563">
        <f t="shared" si="660"/>
        <v>3223</v>
      </c>
      <c r="CR90" s="563">
        <f t="shared" si="660"/>
        <v>3223</v>
      </c>
      <c r="CS90" s="563">
        <f t="shared" si="660"/>
        <v>3223</v>
      </c>
      <c r="CT90" s="563">
        <f t="shared" si="660"/>
        <v>3223</v>
      </c>
      <c r="CU90" s="563">
        <f t="shared" si="660"/>
        <v>3223</v>
      </c>
      <c r="CV90" s="563">
        <f t="shared" si="660"/>
        <v>3223</v>
      </c>
      <c r="CW90" s="563">
        <f t="shared" si="660"/>
        <v>3223</v>
      </c>
      <c r="CX90" s="565">
        <f t="shared" ref="CX90" si="661">SUM(CL90:CW91)</f>
        <v>38676</v>
      </c>
      <c r="DA90" s="42">
        <f>DA88+1</f>
        <v>42</v>
      </c>
      <c r="DB90">
        <v>7</v>
      </c>
      <c r="DC90">
        <v>6</v>
      </c>
      <c r="DD90">
        <v>5</v>
      </c>
      <c r="DE90">
        <f t="shared" ref="DE90" si="662">DE88</f>
        <v>9</v>
      </c>
    </row>
    <row r="91" spans="1:109" x14ac:dyDescent="0.4">
      <c r="B91" s="504"/>
      <c r="C91" s="546"/>
      <c r="D91" s="547"/>
      <c r="E91" s="548"/>
      <c r="F91" s="549"/>
      <c r="G91" s="549"/>
      <c r="H91" s="550"/>
      <c r="I91" s="549"/>
      <c r="J91" s="549"/>
      <c r="K91" s="549"/>
      <c r="L91" s="549"/>
      <c r="M91" s="549"/>
      <c r="N91" s="549"/>
      <c r="O91" s="549"/>
      <c r="P91" s="549"/>
      <c r="Q91" s="560"/>
      <c r="R91" s="27"/>
      <c r="S91" s="36"/>
      <c r="T91" s="28"/>
      <c r="U91" s="28"/>
      <c r="V91" s="26"/>
      <c r="W91" s="27"/>
      <c r="X91" s="36"/>
      <c r="Y91" s="28"/>
      <c r="Z91" s="28"/>
      <c r="AA91" s="26"/>
      <c r="AB91" s="27"/>
      <c r="AC91" s="36"/>
      <c r="AD91" s="28"/>
      <c r="AE91" s="28"/>
      <c r="AF91" s="26"/>
      <c r="AG91" s="27"/>
      <c r="AH91" s="36"/>
      <c r="AI91" s="28"/>
      <c r="AJ91" s="28"/>
      <c r="AK91" s="26"/>
      <c r="AL91" s="27"/>
      <c r="AM91" s="36"/>
      <c r="AN91" s="28"/>
      <c r="AO91" s="28"/>
      <c r="AP91" s="26"/>
      <c r="AQ91" s="27"/>
      <c r="AR91" s="36"/>
      <c r="AS91" s="28"/>
      <c r="AT91" s="28"/>
      <c r="AU91" s="26"/>
      <c r="AV91" s="27"/>
      <c r="AW91" s="36"/>
      <c r="AX91" s="28"/>
      <c r="AY91" s="28"/>
      <c r="AZ91" s="26"/>
      <c r="BA91" s="27"/>
      <c r="BB91" s="36"/>
      <c r="BC91" s="28"/>
      <c r="BD91" s="28"/>
      <c r="BE91" s="26"/>
      <c r="BF91" s="27"/>
      <c r="BG91" s="36"/>
      <c r="BH91" s="28"/>
      <c r="BI91" s="28"/>
      <c r="BJ91" s="26"/>
      <c r="BK91" s="27"/>
      <c r="BL91" s="36"/>
      <c r="BM91" s="28"/>
      <c r="BN91" s="28"/>
      <c r="BO91" s="26"/>
      <c r="BP91" s="27"/>
      <c r="BQ91" s="36"/>
      <c r="BR91" s="28"/>
      <c r="BS91" s="28"/>
      <c r="BT91" s="26"/>
      <c r="BU91" s="27"/>
      <c r="BV91" s="36"/>
      <c r="BW91" s="28"/>
      <c r="BX91" s="28"/>
      <c r="BY91" s="26"/>
      <c r="BZ91" s="561"/>
      <c r="CA91" s="549"/>
      <c r="CB91" s="549"/>
      <c r="CC91" s="549"/>
      <c r="CD91" s="549"/>
      <c r="CE91" s="549"/>
      <c r="CF91" s="549"/>
      <c r="CG91" s="549"/>
      <c r="CH91" s="549"/>
      <c r="CI91" s="549"/>
      <c r="CJ91" s="549"/>
      <c r="CK91" s="549"/>
      <c r="CL91" s="568"/>
      <c r="CM91" s="564"/>
      <c r="CN91" s="564"/>
      <c r="CO91" s="564"/>
      <c r="CP91" s="564"/>
      <c r="CQ91" s="564"/>
      <c r="CR91" s="564"/>
      <c r="CS91" s="564"/>
      <c r="CT91" s="564"/>
      <c r="CU91" s="564"/>
      <c r="CV91" s="564"/>
      <c r="CW91" s="564"/>
      <c r="CX91" s="566"/>
      <c r="DA91" s="42"/>
    </row>
    <row r="92" spans="1:109" x14ac:dyDescent="0.4">
      <c r="B92" s="504" t="str">
        <f>"FX - "&amp;DA92</f>
        <v>FX - 43</v>
      </c>
      <c r="C92" s="545" t="s">
        <v>1964</v>
      </c>
      <c r="D92" s="547" t="str">
        <f t="shared" ref="D92" si="663">D90</f>
        <v>Portland</v>
      </c>
      <c r="E92" s="548" t="s">
        <v>65</v>
      </c>
      <c r="F92" s="549" cm="1">
        <f t="array" ref="F92">INDEX(FX_Setup,DA92,DB92)</f>
        <v>24</v>
      </c>
      <c r="G92" s="549" cm="1">
        <f t="array" ref="G92">INDEX(FX_Setup,$DA92,DC92)</f>
        <v>40</v>
      </c>
      <c r="H92" s="550" cm="1">
        <f t="array" ref="H92">INDEX(FX_Setup,$DA92,DD92)</f>
        <v>135366</v>
      </c>
      <c r="I92" s="549" t="s">
        <v>27</v>
      </c>
      <c r="J92" s="549"/>
      <c r="K92" s="549"/>
      <c r="L92" s="549" t="s">
        <v>93</v>
      </c>
      <c r="M92" s="549" t="s">
        <v>90</v>
      </c>
      <c r="N92" s="549" t="s">
        <v>93</v>
      </c>
      <c r="O92" s="549" t="s">
        <v>90</v>
      </c>
      <c r="P92" s="549"/>
      <c r="Q92" s="560"/>
      <c r="R92" s="37" t="str" cm="1">
        <f t="array" ref="R92">INDEX(Surrogate_Lst,MATCH(INDEX(FX_Setup,DA92,3),Product_GRP,0),2)</f>
        <v>Jet kerosene</v>
      </c>
      <c r="S92" s="36" t="str">
        <f t="shared" ref="S92" si="664">INDEX(Phys_Prop,MATCH(R92,Chem_List,0),5)</f>
        <v>Select Pet Stock</v>
      </c>
      <c r="T92" s="36"/>
      <c r="U92" s="36"/>
      <c r="V92" s="38">
        <f>1-V93</f>
        <v>1</v>
      </c>
      <c r="W92" s="37" t="str">
        <f>R92</f>
        <v>Jet kerosene</v>
      </c>
      <c r="X92" s="36" t="str">
        <f t="shared" ref="X92" si="665">INDEX(Phys_Prop,MATCH(W92,Chem_List,0),5)</f>
        <v>Select Pet Stock</v>
      </c>
      <c r="Y92" s="36"/>
      <c r="Z92" s="36"/>
      <c r="AA92" s="38">
        <f>1-AA93</f>
        <v>1</v>
      </c>
      <c r="AB92" s="37" t="str">
        <f>W92</f>
        <v>Jet kerosene</v>
      </c>
      <c r="AC92" s="36" t="str">
        <f t="shared" ref="AC92" si="666">INDEX(Phys_Prop,MATCH(AB92,Chem_List,0),5)</f>
        <v>Select Pet Stock</v>
      </c>
      <c r="AD92" s="36"/>
      <c r="AE92" s="36"/>
      <c r="AF92" s="38">
        <f>1-AF93</f>
        <v>1</v>
      </c>
      <c r="AG92" s="37" t="str">
        <f>AB92</f>
        <v>Jet kerosene</v>
      </c>
      <c r="AH92" s="36" t="str">
        <f t="shared" ref="AH92" si="667">INDEX(Phys_Prop,MATCH(AG92,Chem_List,0),5)</f>
        <v>Select Pet Stock</v>
      </c>
      <c r="AI92" s="36"/>
      <c r="AJ92" s="36"/>
      <c r="AK92" s="38">
        <f>1-AK93</f>
        <v>1</v>
      </c>
      <c r="AL92" s="37" t="str">
        <f>AG92</f>
        <v>Jet kerosene</v>
      </c>
      <c r="AM92" s="36" t="str">
        <f t="shared" ref="AM92" si="668">INDEX(Phys_Prop,MATCH(AL92,Chem_List,0),5)</f>
        <v>Select Pet Stock</v>
      </c>
      <c r="AN92" s="36"/>
      <c r="AO92" s="36"/>
      <c r="AP92" s="38">
        <f>1-AP93</f>
        <v>1</v>
      </c>
      <c r="AQ92" s="37" t="str">
        <f>AL92</f>
        <v>Jet kerosene</v>
      </c>
      <c r="AR92" s="36" t="str">
        <f t="shared" ref="AR92" si="669">INDEX(Phys_Prop,MATCH(AQ92,Chem_List,0),5)</f>
        <v>Select Pet Stock</v>
      </c>
      <c r="AS92" s="36"/>
      <c r="AT92" s="36"/>
      <c r="AU92" s="38">
        <f>1-AU93</f>
        <v>1</v>
      </c>
      <c r="AV92" s="37" t="str">
        <f>AQ92</f>
        <v>Jet kerosene</v>
      </c>
      <c r="AW92" s="36" t="str">
        <f t="shared" ref="AW92" si="670">INDEX(Phys_Prop,MATCH(AV92,Chem_List,0),5)</f>
        <v>Select Pet Stock</v>
      </c>
      <c r="AX92" s="36"/>
      <c r="AY92" s="36"/>
      <c r="AZ92" s="38">
        <f>1-AZ93</f>
        <v>1</v>
      </c>
      <c r="BA92" s="37" t="str">
        <f>AV92</f>
        <v>Jet kerosene</v>
      </c>
      <c r="BB92" s="36" t="str">
        <f t="shared" ref="BB92" si="671">INDEX(Phys_Prop,MATCH(BA92,Chem_List,0),5)</f>
        <v>Select Pet Stock</v>
      </c>
      <c r="BC92" s="36"/>
      <c r="BD92" s="36"/>
      <c r="BE92" s="38">
        <f>1-BE93</f>
        <v>1</v>
      </c>
      <c r="BF92" s="37" t="str">
        <f>BA92</f>
        <v>Jet kerosene</v>
      </c>
      <c r="BG92" s="36" t="str">
        <f t="shared" ref="BG92" si="672">INDEX(Phys_Prop,MATCH(BF92,Chem_List,0),5)</f>
        <v>Select Pet Stock</v>
      </c>
      <c r="BH92" s="36"/>
      <c r="BI92" s="36"/>
      <c r="BJ92" s="38">
        <f>1-BJ93</f>
        <v>1</v>
      </c>
      <c r="BK92" s="37" t="str">
        <f>BF92</f>
        <v>Jet kerosene</v>
      </c>
      <c r="BL92" s="36" t="str">
        <f t="shared" ref="BL92" si="673">INDEX(Phys_Prop,MATCH(BK92,Chem_List,0),5)</f>
        <v>Select Pet Stock</v>
      </c>
      <c r="BM92" s="36"/>
      <c r="BN92" s="36"/>
      <c r="BO92" s="38">
        <f>1-BO93</f>
        <v>1</v>
      </c>
      <c r="BP92" s="37" t="str">
        <f>BK92</f>
        <v>Jet kerosene</v>
      </c>
      <c r="BQ92" s="36" t="str">
        <f t="shared" ref="BQ92" si="674">INDEX(Phys_Prop,MATCH(BP92,Chem_List,0),5)</f>
        <v>Select Pet Stock</v>
      </c>
      <c r="BR92" s="36"/>
      <c r="BS92" s="36"/>
      <c r="BT92" s="38">
        <f>1-BT93</f>
        <v>1</v>
      </c>
      <c r="BU92" s="37" t="str">
        <f>BP92</f>
        <v>Jet kerosene</v>
      </c>
      <c r="BV92" s="36" t="str">
        <f t="shared" ref="BV92" si="675">INDEX(Phys_Prop,MATCH(BU92,Chem_List,0),5)</f>
        <v>Select Pet Stock</v>
      </c>
      <c r="BW92" s="36"/>
      <c r="BX92" s="36"/>
      <c r="BY92" s="38">
        <f>1-BY93</f>
        <v>1</v>
      </c>
      <c r="BZ92" s="561"/>
      <c r="CA92" s="549"/>
      <c r="CB92" s="549"/>
      <c r="CC92" s="549"/>
      <c r="CD92" s="549"/>
      <c r="CE92" s="549"/>
      <c r="CF92" s="549"/>
      <c r="CG92" s="549"/>
      <c r="CH92" s="549"/>
      <c r="CI92" s="549"/>
      <c r="CJ92" s="549"/>
      <c r="CK92" s="549"/>
      <c r="CL92" s="559" cm="1">
        <f t="array" ref="CL92">INDEX(FX_Setup,DA92,DE92)</f>
        <v>3223</v>
      </c>
      <c r="CM92" s="550">
        <f t="shared" ref="CM92:CW92" si="676">CL92</f>
        <v>3223</v>
      </c>
      <c r="CN92" s="550">
        <f t="shared" si="676"/>
        <v>3223</v>
      </c>
      <c r="CO92" s="550">
        <f t="shared" si="676"/>
        <v>3223</v>
      </c>
      <c r="CP92" s="550">
        <f t="shared" si="676"/>
        <v>3223</v>
      </c>
      <c r="CQ92" s="550">
        <f t="shared" si="676"/>
        <v>3223</v>
      </c>
      <c r="CR92" s="550">
        <f t="shared" si="676"/>
        <v>3223</v>
      </c>
      <c r="CS92" s="550">
        <f t="shared" si="676"/>
        <v>3223</v>
      </c>
      <c r="CT92" s="550">
        <f t="shared" si="676"/>
        <v>3223</v>
      </c>
      <c r="CU92" s="550">
        <f t="shared" si="676"/>
        <v>3223</v>
      </c>
      <c r="CV92" s="550">
        <f t="shared" si="676"/>
        <v>3223</v>
      </c>
      <c r="CW92" s="550">
        <f t="shared" si="676"/>
        <v>3223</v>
      </c>
      <c r="CX92" s="562">
        <f t="shared" ref="CX92" si="677">SUM(CL92:CW93)</f>
        <v>38676</v>
      </c>
      <c r="DA92" s="42">
        <f>DA90+1</f>
        <v>43</v>
      </c>
      <c r="DB92">
        <v>7</v>
      </c>
      <c r="DC92">
        <v>6</v>
      </c>
      <c r="DD92">
        <v>5</v>
      </c>
      <c r="DE92">
        <f t="shared" ref="DE92" si="678">DE90</f>
        <v>9</v>
      </c>
    </row>
    <row r="93" spans="1:109" x14ac:dyDescent="0.4">
      <c r="B93" s="504"/>
      <c r="C93" s="546"/>
      <c r="D93" s="547"/>
      <c r="E93" s="548"/>
      <c r="F93" s="549"/>
      <c r="G93" s="549"/>
      <c r="H93" s="550"/>
      <c r="I93" s="549"/>
      <c r="J93" s="549"/>
      <c r="K93" s="549"/>
      <c r="L93" s="549"/>
      <c r="M93" s="549"/>
      <c r="N93" s="549"/>
      <c r="O93" s="549"/>
      <c r="P93" s="549"/>
      <c r="Q93" s="560"/>
      <c r="R93" s="27"/>
      <c r="S93" s="36"/>
      <c r="T93" s="28"/>
      <c r="U93" s="28"/>
      <c r="V93" s="26"/>
      <c r="W93" s="27"/>
      <c r="X93" s="36"/>
      <c r="Y93" s="28"/>
      <c r="Z93" s="28"/>
      <c r="AA93" s="26"/>
      <c r="AB93" s="27"/>
      <c r="AC93" s="36"/>
      <c r="AD93" s="28"/>
      <c r="AE93" s="28"/>
      <c r="AF93" s="26"/>
      <c r="AG93" s="27"/>
      <c r="AH93" s="36"/>
      <c r="AI93" s="28"/>
      <c r="AJ93" s="28"/>
      <c r="AK93" s="26"/>
      <c r="AL93" s="27"/>
      <c r="AM93" s="36"/>
      <c r="AN93" s="28"/>
      <c r="AO93" s="28"/>
      <c r="AP93" s="26"/>
      <c r="AQ93" s="27"/>
      <c r="AR93" s="36"/>
      <c r="AS93" s="28"/>
      <c r="AT93" s="28"/>
      <c r="AU93" s="26"/>
      <c r="AV93" s="27"/>
      <c r="AW93" s="36"/>
      <c r="AX93" s="28"/>
      <c r="AY93" s="28"/>
      <c r="AZ93" s="26"/>
      <c r="BA93" s="27"/>
      <c r="BB93" s="36"/>
      <c r="BC93" s="28"/>
      <c r="BD93" s="28"/>
      <c r="BE93" s="26"/>
      <c r="BF93" s="27"/>
      <c r="BG93" s="36"/>
      <c r="BH93" s="28"/>
      <c r="BI93" s="28"/>
      <c r="BJ93" s="26"/>
      <c r="BK93" s="27"/>
      <c r="BL93" s="36"/>
      <c r="BM93" s="28"/>
      <c r="BN93" s="28"/>
      <c r="BO93" s="26"/>
      <c r="BP93" s="27"/>
      <c r="BQ93" s="36"/>
      <c r="BR93" s="28"/>
      <c r="BS93" s="28"/>
      <c r="BT93" s="26"/>
      <c r="BU93" s="27"/>
      <c r="BV93" s="36"/>
      <c r="BW93" s="28"/>
      <c r="BX93" s="28"/>
      <c r="BY93" s="26"/>
      <c r="BZ93" s="561"/>
      <c r="CA93" s="549"/>
      <c r="CB93" s="549"/>
      <c r="CC93" s="549"/>
      <c r="CD93" s="549"/>
      <c r="CE93" s="549"/>
      <c r="CF93" s="549"/>
      <c r="CG93" s="549"/>
      <c r="CH93" s="549"/>
      <c r="CI93" s="549"/>
      <c r="CJ93" s="549"/>
      <c r="CK93" s="549"/>
      <c r="CL93" s="559"/>
      <c r="CM93" s="550"/>
      <c r="CN93" s="550"/>
      <c r="CO93" s="550"/>
      <c r="CP93" s="550"/>
      <c r="CQ93" s="550"/>
      <c r="CR93" s="550"/>
      <c r="CS93" s="550"/>
      <c r="CT93" s="550"/>
      <c r="CU93" s="550"/>
      <c r="CV93" s="550"/>
      <c r="CW93" s="550"/>
      <c r="CX93" s="562"/>
      <c r="DA93" s="42"/>
    </row>
    <row r="94" spans="1:109" x14ac:dyDescent="0.4">
      <c r="B94" s="504" t="str">
        <f>"FX - "&amp;DA94</f>
        <v>FX - 44</v>
      </c>
      <c r="C94" s="545" t="s">
        <v>1965</v>
      </c>
      <c r="D94" s="547" t="str">
        <f t="shared" ref="D94" si="679">D92</f>
        <v>Portland</v>
      </c>
      <c r="E94" s="548" t="s">
        <v>65</v>
      </c>
      <c r="F94" s="549" cm="1">
        <f t="array" ref="F94">INDEX(FX_Setup,DA94,DB94)</f>
        <v>24</v>
      </c>
      <c r="G94" s="549" cm="1">
        <f t="array" ref="G94">INDEX(FX_Setup,$DA94,DC94)</f>
        <v>40</v>
      </c>
      <c r="H94" s="550" cm="1">
        <f t="array" ref="H94">INDEX(FX_Setup,$DA94,DD94)</f>
        <v>135366</v>
      </c>
      <c r="I94" s="549" t="s">
        <v>27</v>
      </c>
      <c r="J94" s="549"/>
      <c r="K94" s="549"/>
      <c r="L94" s="549" t="s">
        <v>93</v>
      </c>
      <c r="M94" s="549" t="s">
        <v>90</v>
      </c>
      <c r="N94" s="549" t="s">
        <v>93</v>
      </c>
      <c r="O94" s="549" t="s">
        <v>90</v>
      </c>
      <c r="P94" s="549"/>
      <c r="Q94" s="560"/>
      <c r="R94" s="37" t="str" cm="1">
        <f t="array" ref="R94">INDEX(Surrogate_Lst,MATCH(INDEX(FX_Setup,DA94,3),Product_GRP,0),2)</f>
        <v>Jet kerosene</v>
      </c>
      <c r="S94" s="36" t="str">
        <f t="shared" ref="S94" si="680">INDEX(Phys_Prop,MATCH(R94,Chem_List,0),5)</f>
        <v>Select Pet Stock</v>
      </c>
      <c r="T94" s="36"/>
      <c r="U94" s="36"/>
      <c r="V94" s="38">
        <f>1-V95</f>
        <v>1</v>
      </c>
      <c r="W94" s="37" t="str">
        <f>R94</f>
        <v>Jet kerosene</v>
      </c>
      <c r="X94" s="36" t="str">
        <f t="shared" ref="X94" si="681">INDEX(Phys_Prop,MATCH(W94,Chem_List,0),5)</f>
        <v>Select Pet Stock</v>
      </c>
      <c r="Y94" s="36"/>
      <c r="Z94" s="36"/>
      <c r="AA94" s="38">
        <f>1-AA95</f>
        <v>1</v>
      </c>
      <c r="AB94" s="37" t="str">
        <f>W94</f>
        <v>Jet kerosene</v>
      </c>
      <c r="AC94" s="36" t="str">
        <f t="shared" ref="AC94" si="682">INDEX(Phys_Prop,MATCH(AB94,Chem_List,0),5)</f>
        <v>Select Pet Stock</v>
      </c>
      <c r="AD94" s="36"/>
      <c r="AE94" s="36"/>
      <c r="AF94" s="38">
        <f>1-AF95</f>
        <v>1</v>
      </c>
      <c r="AG94" s="37" t="str">
        <f>AB94</f>
        <v>Jet kerosene</v>
      </c>
      <c r="AH94" s="36" t="str">
        <f t="shared" ref="AH94" si="683">INDEX(Phys_Prop,MATCH(AG94,Chem_List,0),5)</f>
        <v>Select Pet Stock</v>
      </c>
      <c r="AI94" s="36"/>
      <c r="AJ94" s="36"/>
      <c r="AK94" s="38">
        <f>1-AK95</f>
        <v>1</v>
      </c>
      <c r="AL94" s="37" t="str">
        <f>AG94</f>
        <v>Jet kerosene</v>
      </c>
      <c r="AM94" s="36" t="str">
        <f t="shared" ref="AM94" si="684">INDEX(Phys_Prop,MATCH(AL94,Chem_List,0),5)</f>
        <v>Select Pet Stock</v>
      </c>
      <c r="AN94" s="36"/>
      <c r="AO94" s="36"/>
      <c r="AP94" s="38">
        <f>1-AP95</f>
        <v>1</v>
      </c>
      <c r="AQ94" s="37" t="str">
        <f>AL94</f>
        <v>Jet kerosene</v>
      </c>
      <c r="AR94" s="36" t="str">
        <f t="shared" ref="AR94" si="685">INDEX(Phys_Prop,MATCH(AQ94,Chem_List,0),5)</f>
        <v>Select Pet Stock</v>
      </c>
      <c r="AS94" s="36"/>
      <c r="AT94" s="36"/>
      <c r="AU94" s="38">
        <f>1-AU95</f>
        <v>1</v>
      </c>
      <c r="AV94" s="37" t="str">
        <f>AQ94</f>
        <v>Jet kerosene</v>
      </c>
      <c r="AW94" s="36" t="str">
        <f t="shared" ref="AW94" si="686">INDEX(Phys_Prop,MATCH(AV94,Chem_List,0),5)</f>
        <v>Select Pet Stock</v>
      </c>
      <c r="AX94" s="36"/>
      <c r="AY94" s="36"/>
      <c r="AZ94" s="38">
        <f>1-AZ95</f>
        <v>1</v>
      </c>
      <c r="BA94" s="37" t="str">
        <f>AV94</f>
        <v>Jet kerosene</v>
      </c>
      <c r="BB94" s="36" t="str">
        <f t="shared" ref="BB94" si="687">INDEX(Phys_Prop,MATCH(BA94,Chem_List,0),5)</f>
        <v>Select Pet Stock</v>
      </c>
      <c r="BC94" s="36"/>
      <c r="BD94" s="36"/>
      <c r="BE94" s="38">
        <f>1-BE95</f>
        <v>1</v>
      </c>
      <c r="BF94" s="37" t="str">
        <f>BA94</f>
        <v>Jet kerosene</v>
      </c>
      <c r="BG94" s="36" t="str">
        <f t="shared" ref="BG94" si="688">INDEX(Phys_Prop,MATCH(BF94,Chem_List,0),5)</f>
        <v>Select Pet Stock</v>
      </c>
      <c r="BH94" s="36"/>
      <c r="BI94" s="36"/>
      <c r="BJ94" s="38">
        <f>1-BJ95</f>
        <v>1</v>
      </c>
      <c r="BK94" s="37" t="str">
        <f>BF94</f>
        <v>Jet kerosene</v>
      </c>
      <c r="BL94" s="36" t="str">
        <f t="shared" ref="BL94" si="689">INDEX(Phys_Prop,MATCH(BK94,Chem_List,0),5)</f>
        <v>Select Pet Stock</v>
      </c>
      <c r="BM94" s="36"/>
      <c r="BN94" s="36"/>
      <c r="BO94" s="38">
        <f>1-BO95</f>
        <v>1</v>
      </c>
      <c r="BP94" s="37" t="str">
        <f>BK94</f>
        <v>Jet kerosene</v>
      </c>
      <c r="BQ94" s="36" t="str">
        <f t="shared" ref="BQ94" si="690">INDEX(Phys_Prop,MATCH(BP94,Chem_List,0),5)</f>
        <v>Select Pet Stock</v>
      </c>
      <c r="BR94" s="36"/>
      <c r="BS94" s="36"/>
      <c r="BT94" s="38">
        <f>1-BT95</f>
        <v>1</v>
      </c>
      <c r="BU94" s="37" t="str">
        <f>BP94</f>
        <v>Jet kerosene</v>
      </c>
      <c r="BV94" s="36" t="str">
        <f t="shared" ref="BV94" si="691">INDEX(Phys_Prop,MATCH(BU94,Chem_List,0),5)</f>
        <v>Select Pet Stock</v>
      </c>
      <c r="BW94" s="36"/>
      <c r="BX94" s="36"/>
      <c r="BY94" s="38">
        <f>1-BY95</f>
        <v>1</v>
      </c>
      <c r="BZ94" s="561"/>
      <c r="CA94" s="549"/>
      <c r="CB94" s="549"/>
      <c r="CC94" s="549"/>
      <c r="CD94" s="549"/>
      <c r="CE94" s="549"/>
      <c r="CF94" s="549"/>
      <c r="CG94" s="549"/>
      <c r="CH94" s="549"/>
      <c r="CI94" s="549"/>
      <c r="CJ94" s="549"/>
      <c r="CK94" s="549"/>
      <c r="CL94" s="559" cm="1">
        <f t="array" ref="CL94">INDEX(FX_Setup,DA94,DE94)</f>
        <v>3223</v>
      </c>
      <c r="CM94" s="550">
        <f t="shared" ref="CM94:CW94" si="692">CL94</f>
        <v>3223</v>
      </c>
      <c r="CN94" s="550">
        <f t="shared" si="692"/>
        <v>3223</v>
      </c>
      <c r="CO94" s="550">
        <f t="shared" si="692"/>
        <v>3223</v>
      </c>
      <c r="CP94" s="550">
        <f t="shared" si="692"/>
        <v>3223</v>
      </c>
      <c r="CQ94" s="550">
        <f t="shared" si="692"/>
        <v>3223</v>
      </c>
      <c r="CR94" s="550">
        <f t="shared" si="692"/>
        <v>3223</v>
      </c>
      <c r="CS94" s="550">
        <f t="shared" si="692"/>
        <v>3223</v>
      </c>
      <c r="CT94" s="550">
        <f t="shared" si="692"/>
        <v>3223</v>
      </c>
      <c r="CU94" s="550">
        <f t="shared" si="692"/>
        <v>3223</v>
      </c>
      <c r="CV94" s="550">
        <f t="shared" si="692"/>
        <v>3223</v>
      </c>
      <c r="CW94" s="550">
        <f t="shared" si="692"/>
        <v>3223</v>
      </c>
      <c r="CX94" s="562">
        <f t="shared" ref="CX94" si="693">SUM(CL94:CW95)</f>
        <v>38676</v>
      </c>
      <c r="DA94" s="42">
        <f>DA92+1</f>
        <v>44</v>
      </c>
      <c r="DB94">
        <v>7</v>
      </c>
      <c r="DC94">
        <v>6</v>
      </c>
      <c r="DD94">
        <v>5</v>
      </c>
      <c r="DE94">
        <f t="shared" ref="DE94" si="694">DE92</f>
        <v>9</v>
      </c>
    </row>
    <row r="95" spans="1:109" x14ac:dyDescent="0.4">
      <c r="B95" s="504"/>
      <c r="C95" s="546"/>
      <c r="D95" s="547"/>
      <c r="E95" s="548"/>
      <c r="F95" s="549"/>
      <c r="G95" s="549"/>
      <c r="H95" s="550"/>
      <c r="I95" s="549"/>
      <c r="J95" s="549"/>
      <c r="K95" s="549"/>
      <c r="L95" s="549"/>
      <c r="M95" s="549"/>
      <c r="N95" s="549"/>
      <c r="O95" s="549"/>
      <c r="P95" s="549"/>
      <c r="Q95" s="560"/>
      <c r="R95" s="27"/>
      <c r="S95" s="36"/>
      <c r="T95" s="28"/>
      <c r="U95" s="28"/>
      <c r="V95" s="26"/>
      <c r="W95" s="27"/>
      <c r="X95" s="36"/>
      <c r="Y95" s="28"/>
      <c r="Z95" s="28"/>
      <c r="AA95" s="26"/>
      <c r="AB95" s="27"/>
      <c r="AC95" s="36"/>
      <c r="AD95" s="28"/>
      <c r="AE95" s="28"/>
      <c r="AF95" s="26"/>
      <c r="AG95" s="27"/>
      <c r="AH95" s="36"/>
      <c r="AI95" s="28"/>
      <c r="AJ95" s="28"/>
      <c r="AK95" s="26"/>
      <c r="AL95" s="27"/>
      <c r="AM95" s="36"/>
      <c r="AN95" s="28"/>
      <c r="AO95" s="28"/>
      <c r="AP95" s="26"/>
      <c r="AQ95" s="27"/>
      <c r="AR95" s="36"/>
      <c r="AS95" s="28"/>
      <c r="AT95" s="28"/>
      <c r="AU95" s="26"/>
      <c r="AV95" s="27"/>
      <c r="AW95" s="36"/>
      <c r="AX95" s="28"/>
      <c r="AY95" s="28"/>
      <c r="AZ95" s="26"/>
      <c r="BA95" s="27"/>
      <c r="BB95" s="36"/>
      <c r="BC95" s="28"/>
      <c r="BD95" s="28"/>
      <c r="BE95" s="26"/>
      <c r="BF95" s="27"/>
      <c r="BG95" s="36"/>
      <c r="BH95" s="28"/>
      <c r="BI95" s="28"/>
      <c r="BJ95" s="26"/>
      <c r="BK95" s="27"/>
      <c r="BL95" s="36"/>
      <c r="BM95" s="28"/>
      <c r="BN95" s="28"/>
      <c r="BO95" s="26"/>
      <c r="BP95" s="27"/>
      <c r="BQ95" s="36"/>
      <c r="BR95" s="28"/>
      <c r="BS95" s="28"/>
      <c r="BT95" s="26"/>
      <c r="BU95" s="27"/>
      <c r="BV95" s="36"/>
      <c r="BW95" s="28"/>
      <c r="BX95" s="28"/>
      <c r="BY95" s="26"/>
      <c r="BZ95" s="561"/>
      <c r="CA95" s="549"/>
      <c r="CB95" s="549"/>
      <c r="CC95" s="549"/>
      <c r="CD95" s="549"/>
      <c r="CE95" s="549"/>
      <c r="CF95" s="549"/>
      <c r="CG95" s="549"/>
      <c r="CH95" s="549"/>
      <c r="CI95" s="549"/>
      <c r="CJ95" s="549"/>
      <c r="CK95" s="549"/>
      <c r="CL95" s="559"/>
      <c r="CM95" s="550"/>
      <c r="CN95" s="550"/>
      <c r="CO95" s="550"/>
      <c r="CP95" s="550"/>
      <c r="CQ95" s="550"/>
      <c r="CR95" s="550"/>
      <c r="CS95" s="550"/>
      <c r="CT95" s="550"/>
      <c r="CU95" s="550"/>
      <c r="CV95" s="550"/>
      <c r="CW95" s="550"/>
      <c r="CX95" s="562"/>
      <c r="DA95" s="42"/>
    </row>
    <row r="96" spans="1:109" x14ac:dyDescent="0.4">
      <c r="B96" s="504" t="str">
        <f>"FX - "&amp;DA96</f>
        <v>FX - 45</v>
      </c>
      <c r="C96" s="545" t="s">
        <v>1966</v>
      </c>
      <c r="D96" s="547" t="str">
        <f t="shared" ref="D96" si="695">D94</f>
        <v>Portland</v>
      </c>
      <c r="E96" s="548" t="s">
        <v>65</v>
      </c>
      <c r="F96" s="549" cm="1">
        <f t="array" ref="F96">INDEX(FX_Setup,DA96,DB96)</f>
        <v>24</v>
      </c>
      <c r="G96" s="549" cm="1">
        <f t="array" ref="G96">INDEX(FX_Setup,$DA96,DC96)</f>
        <v>40</v>
      </c>
      <c r="H96" s="550" cm="1">
        <f t="array" ref="H96">INDEX(FX_Setup,$DA96,DD96)</f>
        <v>135366</v>
      </c>
      <c r="I96" s="549" t="s">
        <v>27</v>
      </c>
      <c r="J96" s="549"/>
      <c r="K96" s="549"/>
      <c r="L96" s="549" t="s">
        <v>93</v>
      </c>
      <c r="M96" s="549" t="s">
        <v>90</v>
      </c>
      <c r="N96" s="549" t="s">
        <v>93</v>
      </c>
      <c r="O96" s="549" t="s">
        <v>90</v>
      </c>
      <c r="P96" s="549"/>
      <c r="Q96" s="560"/>
      <c r="R96" s="37" t="str" cm="1">
        <f t="array" ref="R96">INDEX(Surrogate_Lst,MATCH(INDEX(FX_Setup,DA96,3),Product_GRP,0),2)</f>
        <v>Jet kerosene</v>
      </c>
      <c r="S96" s="36" t="str">
        <f t="shared" ref="S96" si="696">INDEX(Phys_Prop,MATCH(R96,Chem_List,0),5)</f>
        <v>Select Pet Stock</v>
      </c>
      <c r="T96" s="36"/>
      <c r="U96" s="36"/>
      <c r="V96" s="38">
        <f>1-V97</f>
        <v>1</v>
      </c>
      <c r="W96" s="37" t="str">
        <f>R96</f>
        <v>Jet kerosene</v>
      </c>
      <c r="X96" s="36" t="str">
        <f t="shared" ref="X96" si="697">INDEX(Phys_Prop,MATCH(W96,Chem_List,0),5)</f>
        <v>Select Pet Stock</v>
      </c>
      <c r="Y96" s="36"/>
      <c r="Z96" s="36"/>
      <c r="AA96" s="38">
        <f>1-AA97</f>
        <v>1</v>
      </c>
      <c r="AB96" s="37" t="str">
        <f>W96</f>
        <v>Jet kerosene</v>
      </c>
      <c r="AC96" s="36" t="str">
        <f t="shared" ref="AC96" si="698">INDEX(Phys_Prop,MATCH(AB96,Chem_List,0),5)</f>
        <v>Select Pet Stock</v>
      </c>
      <c r="AD96" s="36"/>
      <c r="AE96" s="36"/>
      <c r="AF96" s="38">
        <f>1-AF97</f>
        <v>1</v>
      </c>
      <c r="AG96" s="37" t="str">
        <f>AB96</f>
        <v>Jet kerosene</v>
      </c>
      <c r="AH96" s="36" t="str">
        <f t="shared" ref="AH96" si="699">INDEX(Phys_Prop,MATCH(AG96,Chem_List,0),5)</f>
        <v>Select Pet Stock</v>
      </c>
      <c r="AI96" s="36"/>
      <c r="AJ96" s="36"/>
      <c r="AK96" s="38">
        <f>1-AK97</f>
        <v>1</v>
      </c>
      <c r="AL96" s="37" t="str">
        <f>AG96</f>
        <v>Jet kerosene</v>
      </c>
      <c r="AM96" s="36" t="str">
        <f t="shared" ref="AM96" si="700">INDEX(Phys_Prop,MATCH(AL96,Chem_List,0),5)</f>
        <v>Select Pet Stock</v>
      </c>
      <c r="AN96" s="36"/>
      <c r="AO96" s="36"/>
      <c r="AP96" s="38">
        <f>1-AP97</f>
        <v>1</v>
      </c>
      <c r="AQ96" s="37" t="str">
        <f>AL96</f>
        <v>Jet kerosene</v>
      </c>
      <c r="AR96" s="36" t="str">
        <f t="shared" ref="AR96" si="701">INDEX(Phys_Prop,MATCH(AQ96,Chem_List,0),5)</f>
        <v>Select Pet Stock</v>
      </c>
      <c r="AS96" s="36"/>
      <c r="AT96" s="36"/>
      <c r="AU96" s="38">
        <f>1-AU97</f>
        <v>1</v>
      </c>
      <c r="AV96" s="37" t="str">
        <f>AQ96</f>
        <v>Jet kerosene</v>
      </c>
      <c r="AW96" s="36" t="str">
        <f t="shared" ref="AW96" si="702">INDEX(Phys_Prop,MATCH(AV96,Chem_List,0),5)</f>
        <v>Select Pet Stock</v>
      </c>
      <c r="AX96" s="36"/>
      <c r="AY96" s="36"/>
      <c r="AZ96" s="38">
        <f>1-AZ97</f>
        <v>1</v>
      </c>
      <c r="BA96" s="37" t="str">
        <f>AV96</f>
        <v>Jet kerosene</v>
      </c>
      <c r="BB96" s="36" t="str">
        <f t="shared" ref="BB96" si="703">INDEX(Phys_Prop,MATCH(BA96,Chem_List,0),5)</f>
        <v>Select Pet Stock</v>
      </c>
      <c r="BC96" s="36"/>
      <c r="BD96" s="36"/>
      <c r="BE96" s="38">
        <f>1-BE97</f>
        <v>1</v>
      </c>
      <c r="BF96" s="37" t="str">
        <f>BA96</f>
        <v>Jet kerosene</v>
      </c>
      <c r="BG96" s="36" t="str">
        <f t="shared" ref="BG96" si="704">INDEX(Phys_Prop,MATCH(BF96,Chem_List,0),5)</f>
        <v>Select Pet Stock</v>
      </c>
      <c r="BH96" s="36"/>
      <c r="BI96" s="36"/>
      <c r="BJ96" s="38">
        <f>1-BJ97</f>
        <v>1</v>
      </c>
      <c r="BK96" s="37" t="str">
        <f>BF96</f>
        <v>Jet kerosene</v>
      </c>
      <c r="BL96" s="36" t="str">
        <f t="shared" ref="BL96" si="705">INDEX(Phys_Prop,MATCH(BK96,Chem_List,0),5)</f>
        <v>Select Pet Stock</v>
      </c>
      <c r="BM96" s="36"/>
      <c r="BN96" s="36"/>
      <c r="BO96" s="38">
        <f>1-BO97</f>
        <v>1</v>
      </c>
      <c r="BP96" s="37" t="str">
        <f>BK96</f>
        <v>Jet kerosene</v>
      </c>
      <c r="BQ96" s="36" t="str">
        <f t="shared" ref="BQ96" si="706">INDEX(Phys_Prop,MATCH(BP96,Chem_List,0),5)</f>
        <v>Select Pet Stock</v>
      </c>
      <c r="BR96" s="36"/>
      <c r="BS96" s="36"/>
      <c r="BT96" s="38">
        <f>1-BT97</f>
        <v>1</v>
      </c>
      <c r="BU96" s="37" t="str">
        <f>BP96</f>
        <v>Jet kerosene</v>
      </c>
      <c r="BV96" s="36" t="str">
        <f t="shared" ref="BV96" si="707">INDEX(Phys_Prop,MATCH(BU96,Chem_List,0),5)</f>
        <v>Select Pet Stock</v>
      </c>
      <c r="BW96" s="36"/>
      <c r="BX96" s="36"/>
      <c r="BY96" s="38">
        <f>1-BY97</f>
        <v>1</v>
      </c>
      <c r="BZ96" s="561"/>
      <c r="CA96" s="549"/>
      <c r="CB96" s="549"/>
      <c r="CC96" s="549"/>
      <c r="CD96" s="549"/>
      <c r="CE96" s="549"/>
      <c r="CF96" s="549"/>
      <c r="CG96" s="549"/>
      <c r="CH96" s="549"/>
      <c r="CI96" s="549"/>
      <c r="CJ96" s="549"/>
      <c r="CK96" s="549"/>
      <c r="CL96" s="567" cm="1">
        <f t="array" ref="CL96">INDEX(FX_Setup,DA96,DE96)</f>
        <v>3223</v>
      </c>
      <c r="CM96" s="563">
        <f t="shared" ref="CM96:CW96" si="708">CL96</f>
        <v>3223</v>
      </c>
      <c r="CN96" s="563">
        <f t="shared" si="708"/>
        <v>3223</v>
      </c>
      <c r="CO96" s="563">
        <f t="shared" si="708"/>
        <v>3223</v>
      </c>
      <c r="CP96" s="563">
        <f t="shared" si="708"/>
        <v>3223</v>
      </c>
      <c r="CQ96" s="563">
        <f t="shared" si="708"/>
        <v>3223</v>
      </c>
      <c r="CR96" s="563">
        <f t="shared" si="708"/>
        <v>3223</v>
      </c>
      <c r="CS96" s="563">
        <f t="shared" si="708"/>
        <v>3223</v>
      </c>
      <c r="CT96" s="563">
        <f t="shared" si="708"/>
        <v>3223</v>
      </c>
      <c r="CU96" s="563">
        <f t="shared" si="708"/>
        <v>3223</v>
      </c>
      <c r="CV96" s="563">
        <f t="shared" si="708"/>
        <v>3223</v>
      </c>
      <c r="CW96" s="563">
        <f t="shared" si="708"/>
        <v>3223</v>
      </c>
      <c r="CX96" s="565">
        <f t="shared" ref="CX96" si="709">SUM(CL96:CW97)</f>
        <v>38676</v>
      </c>
      <c r="DA96" s="42">
        <f>DA94+1</f>
        <v>45</v>
      </c>
      <c r="DB96">
        <v>7</v>
      </c>
      <c r="DC96">
        <v>6</v>
      </c>
      <c r="DD96">
        <v>5</v>
      </c>
      <c r="DE96">
        <f t="shared" ref="DE96" si="710">DE94</f>
        <v>9</v>
      </c>
    </row>
    <row r="97" spans="2:109" x14ac:dyDescent="0.4">
      <c r="B97" s="504"/>
      <c r="C97" s="546"/>
      <c r="D97" s="547"/>
      <c r="E97" s="548"/>
      <c r="F97" s="549"/>
      <c r="G97" s="549"/>
      <c r="H97" s="550"/>
      <c r="I97" s="549"/>
      <c r="J97" s="549"/>
      <c r="K97" s="549"/>
      <c r="L97" s="549"/>
      <c r="M97" s="549"/>
      <c r="N97" s="549"/>
      <c r="O97" s="549"/>
      <c r="P97" s="549"/>
      <c r="Q97" s="560"/>
      <c r="R97" s="27"/>
      <c r="S97" s="36"/>
      <c r="T97" s="28"/>
      <c r="U97" s="28"/>
      <c r="V97" s="26"/>
      <c r="W97" s="27"/>
      <c r="X97" s="36"/>
      <c r="Y97" s="28"/>
      <c r="Z97" s="28"/>
      <c r="AA97" s="26"/>
      <c r="AB97" s="27"/>
      <c r="AC97" s="36"/>
      <c r="AD97" s="28"/>
      <c r="AE97" s="28"/>
      <c r="AF97" s="26"/>
      <c r="AG97" s="27"/>
      <c r="AH97" s="36"/>
      <c r="AI97" s="28"/>
      <c r="AJ97" s="28"/>
      <c r="AK97" s="26"/>
      <c r="AL97" s="27"/>
      <c r="AM97" s="36"/>
      <c r="AN97" s="28"/>
      <c r="AO97" s="28"/>
      <c r="AP97" s="26"/>
      <c r="AQ97" s="27"/>
      <c r="AR97" s="36"/>
      <c r="AS97" s="28"/>
      <c r="AT97" s="28"/>
      <c r="AU97" s="26"/>
      <c r="AV97" s="27"/>
      <c r="AW97" s="36"/>
      <c r="AX97" s="28"/>
      <c r="AY97" s="28"/>
      <c r="AZ97" s="26"/>
      <c r="BA97" s="27"/>
      <c r="BB97" s="36"/>
      <c r="BC97" s="28"/>
      <c r="BD97" s="28"/>
      <c r="BE97" s="26"/>
      <c r="BF97" s="27"/>
      <c r="BG97" s="36"/>
      <c r="BH97" s="28"/>
      <c r="BI97" s="28"/>
      <c r="BJ97" s="26"/>
      <c r="BK97" s="27"/>
      <c r="BL97" s="36"/>
      <c r="BM97" s="28"/>
      <c r="BN97" s="28"/>
      <c r="BO97" s="26"/>
      <c r="BP97" s="27"/>
      <c r="BQ97" s="36"/>
      <c r="BR97" s="28"/>
      <c r="BS97" s="28"/>
      <c r="BT97" s="26"/>
      <c r="BU97" s="27"/>
      <c r="BV97" s="36"/>
      <c r="BW97" s="28"/>
      <c r="BX97" s="28"/>
      <c r="BY97" s="26"/>
      <c r="BZ97" s="561"/>
      <c r="CA97" s="549"/>
      <c r="CB97" s="549"/>
      <c r="CC97" s="549"/>
      <c r="CD97" s="549"/>
      <c r="CE97" s="549"/>
      <c r="CF97" s="549"/>
      <c r="CG97" s="549"/>
      <c r="CH97" s="549"/>
      <c r="CI97" s="549"/>
      <c r="CJ97" s="549"/>
      <c r="CK97" s="549"/>
      <c r="CL97" s="568"/>
      <c r="CM97" s="564"/>
      <c r="CN97" s="564"/>
      <c r="CO97" s="564"/>
      <c r="CP97" s="564"/>
      <c r="CQ97" s="564"/>
      <c r="CR97" s="564"/>
      <c r="CS97" s="564"/>
      <c r="CT97" s="564"/>
      <c r="CU97" s="564"/>
      <c r="CV97" s="564"/>
      <c r="CW97" s="564"/>
      <c r="CX97" s="566"/>
      <c r="DA97" s="42"/>
    </row>
    <row r="98" spans="2:109" x14ac:dyDescent="0.4">
      <c r="B98" s="504" t="str">
        <f>"FX - "&amp;DA98</f>
        <v>FX - 46</v>
      </c>
      <c r="C98" s="545" t="s">
        <v>1967</v>
      </c>
      <c r="D98" s="547" t="str">
        <f t="shared" ref="D98" si="711">D96</f>
        <v>Portland</v>
      </c>
      <c r="E98" s="548" t="s">
        <v>65</v>
      </c>
      <c r="F98" s="549" cm="1">
        <f t="array" ref="F98">INDEX(FX_Setup,DA98,DB98)</f>
        <v>24</v>
      </c>
      <c r="G98" s="549" cm="1">
        <f t="array" ref="G98">INDEX(FX_Setup,$DA98,DC98)</f>
        <v>40</v>
      </c>
      <c r="H98" s="550" cm="1">
        <f t="array" ref="H98">INDEX(FX_Setup,$DA98,DD98)</f>
        <v>135366</v>
      </c>
      <c r="I98" s="549" t="s">
        <v>27</v>
      </c>
      <c r="J98" s="549"/>
      <c r="K98" s="549"/>
      <c r="L98" s="549" t="s">
        <v>93</v>
      </c>
      <c r="M98" s="549" t="s">
        <v>90</v>
      </c>
      <c r="N98" s="549" t="s">
        <v>93</v>
      </c>
      <c r="O98" s="549" t="s">
        <v>90</v>
      </c>
      <c r="P98" s="549"/>
      <c r="Q98" s="560"/>
      <c r="R98" s="37" t="str" cm="1">
        <f t="array" ref="R98">INDEX(Surrogate_Lst,MATCH(INDEX(FX_Setup,DA98,3),Product_GRP,0),2)</f>
        <v>Jet kerosene</v>
      </c>
      <c r="S98" s="36" t="str">
        <f t="shared" ref="S98" si="712">INDEX(Phys_Prop,MATCH(R98,Chem_List,0),5)</f>
        <v>Select Pet Stock</v>
      </c>
      <c r="T98" s="36"/>
      <c r="U98" s="36"/>
      <c r="V98" s="38">
        <f>1-V99</f>
        <v>1</v>
      </c>
      <c r="W98" s="37" t="str">
        <f>R98</f>
        <v>Jet kerosene</v>
      </c>
      <c r="X98" s="36" t="str">
        <f t="shared" ref="X98" si="713">INDEX(Phys_Prop,MATCH(W98,Chem_List,0),5)</f>
        <v>Select Pet Stock</v>
      </c>
      <c r="Y98" s="36"/>
      <c r="Z98" s="36"/>
      <c r="AA98" s="38">
        <f>1-AA99</f>
        <v>1</v>
      </c>
      <c r="AB98" s="37" t="str">
        <f>W98</f>
        <v>Jet kerosene</v>
      </c>
      <c r="AC98" s="36" t="str">
        <f t="shared" ref="AC98" si="714">INDEX(Phys_Prop,MATCH(AB98,Chem_List,0),5)</f>
        <v>Select Pet Stock</v>
      </c>
      <c r="AD98" s="36"/>
      <c r="AE98" s="36"/>
      <c r="AF98" s="38">
        <f>1-AF99</f>
        <v>1</v>
      </c>
      <c r="AG98" s="37" t="str">
        <f>AB98</f>
        <v>Jet kerosene</v>
      </c>
      <c r="AH98" s="36" t="str">
        <f t="shared" ref="AH98" si="715">INDEX(Phys_Prop,MATCH(AG98,Chem_List,0),5)</f>
        <v>Select Pet Stock</v>
      </c>
      <c r="AI98" s="36"/>
      <c r="AJ98" s="36"/>
      <c r="AK98" s="38">
        <f>1-AK99</f>
        <v>1</v>
      </c>
      <c r="AL98" s="37" t="str">
        <f>AG98</f>
        <v>Jet kerosene</v>
      </c>
      <c r="AM98" s="36" t="str">
        <f t="shared" ref="AM98" si="716">INDEX(Phys_Prop,MATCH(AL98,Chem_List,0),5)</f>
        <v>Select Pet Stock</v>
      </c>
      <c r="AN98" s="36"/>
      <c r="AO98" s="36"/>
      <c r="AP98" s="38">
        <f>1-AP99</f>
        <v>1</v>
      </c>
      <c r="AQ98" s="37" t="str">
        <f>AL98</f>
        <v>Jet kerosene</v>
      </c>
      <c r="AR98" s="36" t="str">
        <f t="shared" ref="AR98" si="717">INDEX(Phys_Prop,MATCH(AQ98,Chem_List,0),5)</f>
        <v>Select Pet Stock</v>
      </c>
      <c r="AS98" s="36"/>
      <c r="AT98" s="36"/>
      <c r="AU98" s="38">
        <f>1-AU99</f>
        <v>1</v>
      </c>
      <c r="AV98" s="37" t="str">
        <f>AQ98</f>
        <v>Jet kerosene</v>
      </c>
      <c r="AW98" s="36" t="str">
        <f t="shared" ref="AW98" si="718">INDEX(Phys_Prop,MATCH(AV98,Chem_List,0),5)</f>
        <v>Select Pet Stock</v>
      </c>
      <c r="AX98" s="36"/>
      <c r="AY98" s="36"/>
      <c r="AZ98" s="38">
        <f>1-AZ99</f>
        <v>1</v>
      </c>
      <c r="BA98" s="37" t="str">
        <f>AV98</f>
        <v>Jet kerosene</v>
      </c>
      <c r="BB98" s="36" t="str">
        <f t="shared" ref="BB98" si="719">INDEX(Phys_Prop,MATCH(BA98,Chem_List,0),5)</f>
        <v>Select Pet Stock</v>
      </c>
      <c r="BC98" s="36"/>
      <c r="BD98" s="36"/>
      <c r="BE98" s="38">
        <f>1-BE99</f>
        <v>1</v>
      </c>
      <c r="BF98" s="37" t="str">
        <f>BA98</f>
        <v>Jet kerosene</v>
      </c>
      <c r="BG98" s="36" t="str">
        <f t="shared" ref="BG98" si="720">INDEX(Phys_Prop,MATCH(BF98,Chem_List,0),5)</f>
        <v>Select Pet Stock</v>
      </c>
      <c r="BH98" s="36"/>
      <c r="BI98" s="36"/>
      <c r="BJ98" s="38">
        <f>1-BJ99</f>
        <v>1</v>
      </c>
      <c r="BK98" s="37" t="str">
        <f>BF98</f>
        <v>Jet kerosene</v>
      </c>
      <c r="BL98" s="36" t="str">
        <f t="shared" ref="BL98" si="721">INDEX(Phys_Prop,MATCH(BK98,Chem_List,0),5)</f>
        <v>Select Pet Stock</v>
      </c>
      <c r="BM98" s="36"/>
      <c r="BN98" s="36"/>
      <c r="BO98" s="38">
        <f>1-BO99</f>
        <v>1</v>
      </c>
      <c r="BP98" s="37" t="str">
        <f>BK98</f>
        <v>Jet kerosene</v>
      </c>
      <c r="BQ98" s="36" t="str">
        <f t="shared" ref="BQ98" si="722">INDEX(Phys_Prop,MATCH(BP98,Chem_List,0),5)</f>
        <v>Select Pet Stock</v>
      </c>
      <c r="BR98" s="36"/>
      <c r="BS98" s="36"/>
      <c r="BT98" s="38">
        <f>1-BT99</f>
        <v>1</v>
      </c>
      <c r="BU98" s="37" t="str">
        <f>BP98</f>
        <v>Jet kerosene</v>
      </c>
      <c r="BV98" s="36" t="str">
        <f t="shared" ref="BV98" si="723">INDEX(Phys_Prop,MATCH(BU98,Chem_List,0),5)</f>
        <v>Select Pet Stock</v>
      </c>
      <c r="BW98" s="36"/>
      <c r="BX98" s="36"/>
      <c r="BY98" s="38">
        <f>1-BY99</f>
        <v>1</v>
      </c>
      <c r="BZ98" s="561"/>
      <c r="CA98" s="549"/>
      <c r="CB98" s="549"/>
      <c r="CC98" s="549"/>
      <c r="CD98" s="549"/>
      <c r="CE98" s="549"/>
      <c r="CF98" s="549"/>
      <c r="CG98" s="549"/>
      <c r="CH98" s="549"/>
      <c r="CI98" s="549"/>
      <c r="CJ98" s="549"/>
      <c r="CK98" s="549"/>
      <c r="CL98" s="567" cm="1">
        <f t="array" ref="CL98">INDEX(FX_Setup,DA98,DE98)</f>
        <v>3223</v>
      </c>
      <c r="CM98" s="563">
        <f t="shared" ref="CM98:CW98" si="724">CL98</f>
        <v>3223</v>
      </c>
      <c r="CN98" s="563">
        <f t="shared" si="724"/>
        <v>3223</v>
      </c>
      <c r="CO98" s="563">
        <f t="shared" si="724"/>
        <v>3223</v>
      </c>
      <c r="CP98" s="563">
        <f t="shared" si="724"/>
        <v>3223</v>
      </c>
      <c r="CQ98" s="563">
        <f t="shared" si="724"/>
        <v>3223</v>
      </c>
      <c r="CR98" s="563">
        <f t="shared" si="724"/>
        <v>3223</v>
      </c>
      <c r="CS98" s="563">
        <f t="shared" si="724"/>
        <v>3223</v>
      </c>
      <c r="CT98" s="563">
        <f t="shared" si="724"/>
        <v>3223</v>
      </c>
      <c r="CU98" s="563">
        <f t="shared" si="724"/>
        <v>3223</v>
      </c>
      <c r="CV98" s="563">
        <f t="shared" si="724"/>
        <v>3223</v>
      </c>
      <c r="CW98" s="563">
        <f t="shared" si="724"/>
        <v>3223</v>
      </c>
      <c r="CX98" s="565">
        <f t="shared" ref="CX98" si="725">SUM(CL98:CW99)</f>
        <v>38676</v>
      </c>
      <c r="DA98" s="42">
        <f>DA96+1</f>
        <v>46</v>
      </c>
      <c r="DB98">
        <v>7</v>
      </c>
      <c r="DC98">
        <v>6</v>
      </c>
      <c r="DD98">
        <v>5</v>
      </c>
      <c r="DE98">
        <f t="shared" ref="DE98" si="726">DE96</f>
        <v>9</v>
      </c>
    </row>
    <row r="99" spans="2:109" x14ac:dyDescent="0.4">
      <c r="B99" s="504"/>
      <c r="C99" s="546"/>
      <c r="D99" s="547"/>
      <c r="E99" s="548"/>
      <c r="F99" s="549"/>
      <c r="G99" s="549"/>
      <c r="H99" s="550"/>
      <c r="I99" s="549"/>
      <c r="J99" s="549"/>
      <c r="K99" s="549"/>
      <c r="L99" s="549"/>
      <c r="M99" s="549"/>
      <c r="N99" s="549"/>
      <c r="O99" s="549"/>
      <c r="P99" s="549"/>
      <c r="Q99" s="560"/>
      <c r="R99" s="27"/>
      <c r="S99" s="36"/>
      <c r="T99" s="28"/>
      <c r="U99" s="28"/>
      <c r="V99" s="26"/>
      <c r="W99" s="27"/>
      <c r="X99" s="36"/>
      <c r="Y99" s="28"/>
      <c r="Z99" s="28"/>
      <c r="AA99" s="26"/>
      <c r="AB99" s="27"/>
      <c r="AC99" s="36"/>
      <c r="AD99" s="28"/>
      <c r="AE99" s="28"/>
      <c r="AF99" s="26"/>
      <c r="AG99" s="27"/>
      <c r="AH99" s="36"/>
      <c r="AI99" s="28"/>
      <c r="AJ99" s="28"/>
      <c r="AK99" s="26"/>
      <c r="AL99" s="27"/>
      <c r="AM99" s="36"/>
      <c r="AN99" s="28"/>
      <c r="AO99" s="28"/>
      <c r="AP99" s="26"/>
      <c r="AQ99" s="27"/>
      <c r="AR99" s="36"/>
      <c r="AS99" s="28"/>
      <c r="AT99" s="28"/>
      <c r="AU99" s="26"/>
      <c r="AV99" s="27"/>
      <c r="AW99" s="36"/>
      <c r="AX99" s="28"/>
      <c r="AY99" s="28"/>
      <c r="AZ99" s="26"/>
      <c r="BA99" s="27"/>
      <c r="BB99" s="36"/>
      <c r="BC99" s="28"/>
      <c r="BD99" s="28"/>
      <c r="BE99" s="26"/>
      <c r="BF99" s="27"/>
      <c r="BG99" s="36"/>
      <c r="BH99" s="28"/>
      <c r="BI99" s="28"/>
      <c r="BJ99" s="26"/>
      <c r="BK99" s="27"/>
      <c r="BL99" s="36"/>
      <c r="BM99" s="28"/>
      <c r="BN99" s="28"/>
      <c r="BO99" s="26"/>
      <c r="BP99" s="27"/>
      <c r="BQ99" s="36"/>
      <c r="BR99" s="28"/>
      <c r="BS99" s="28"/>
      <c r="BT99" s="26"/>
      <c r="BU99" s="27"/>
      <c r="BV99" s="36"/>
      <c r="BW99" s="28"/>
      <c r="BX99" s="28"/>
      <c r="BY99" s="26"/>
      <c r="BZ99" s="561"/>
      <c r="CA99" s="549"/>
      <c r="CB99" s="549"/>
      <c r="CC99" s="549"/>
      <c r="CD99" s="549"/>
      <c r="CE99" s="549"/>
      <c r="CF99" s="549"/>
      <c r="CG99" s="549"/>
      <c r="CH99" s="549"/>
      <c r="CI99" s="549"/>
      <c r="CJ99" s="549"/>
      <c r="CK99" s="549"/>
      <c r="CL99" s="568"/>
      <c r="CM99" s="564"/>
      <c r="CN99" s="564"/>
      <c r="CO99" s="564"/>
      <c r="CP99" s="564"/>
      <c r="CQ99" s="564"/>
      <c r="CR99" s="564"/>
      <c r="CS99" s="564"/>
      <c r="CT99" s="564"/>
      <c r="CU99" s="564"/>
      <c r="CV99" s="564"/>
      <c r="CW99" s="564"/>
      <c r="CX99" s="566"/>
      <c r="DA99" s="42"/>
    </row>
    <row r="100" spans="2:109" x14ac:dyDescent="0.4">
      <c r="B100" s="504" t="str">
        <f>"FX - "&amp;DA100</f>
        <v>FX - 47</v>
      </c>
      <c r="C100" s="545" t="s">
        <v>1968</v>
      </c>
      <c r="D100" s="547" t="str">
        <f t="shared" ref="D100" si="727">D98</f>
        <v>Portland</v>
      </c>
      <c r="E100" s="548" t="s">
        <v>65</v>
      </c>
      <c r="F100" s="549" cm="1">
        <f t="array" ref="F100">INDEX(FX_Setup,DA100,DB100)</f>
        <v>15</v>
      </c>
      <c r="G100" s="549" cm="1">
        <f t="array" ref="G100">INDEX(FX_Setup,$DA100,DC100)</f>
        <v>31.5</v>
      </c>
      <c r="H100" s="550" cm="1">
        <f t="array" ref="H100">INDEX(FX_Setup,$DA100,DD100)</f>
        <v>42000</v>
      </c>
      <c r="I100" s="549" t="s">
        <v>27</v>
      </c>
      <c r="J100" s="549"/>
      <c r="K100" s="549"/>
      <c r="L100" s="549" t="s">
        <v>93</v>
      </c>
      <c r="M100" s="549" t="s">
        <v>90</v>
      </c>
      <c r="N100" s="549" t="s">
        <v>93</v>
      </c>
      <c r="O100" s="549" t="s">
        <v>90</v>
      </c>
      <c r="P100" s="549"/>
      <c r="Q100" s="560"/>
      <c r="R100" s="37" t="str" cm="1">
        <f t="array" ref="R100">INDEX(Surrogate_Lst,MATCH(INDEX(FX_Setup,DA100,3),Product_GRP,0),2)</f>
        <v>Out of Service</v>
      </c>
      <c r="S100" s="36" t="str">
        <f t="shared" ref="S100" si="728">INDEX(Phys_Prop,MATCH(R100,Chem_List,0),5)</f>
        <v>N/A</v>
      </c>
      <c r="T100" s="36"/>
      <c r="U100" s="36"/>
      <c r="V100" s="38">
        <f>1-V101</f>
        <v>1</v>
      </c>
      <c r="W100" s="37" t="str">
        <f>R100</f>
        <v>Out of Service</v>
      </c>
      <c r="X100" s="36" t="str">
        <f t="shared" ref="X100" si="729">INDEX(Phys_Prop,MATCH(W100,Chem_List,0),5)</f>
        <v>N/A</v>
      </c>
      <c r="Y100" s="36"/>
      <c r="Z100" s="36"/>
      <c r="AA100" s="38">
        <f>1-AA101</f>
        <v>1</v>
      </c>
      <c r="AB100" s="37" t="str">
        <f>W100</f>
        <v>Out of Service</v>
      </c>
      <c r="AC100" s="36" t="str">
        <f t="shared" ref="AC100" si="730">INDEX(Phys_Prop,MATCH(AB100,Chem_List,0),5)</f>
        <v>N/A</v>
      </c>
      <c r="AD100" s="36"/>
      <c r="AE100" s="36"/>
      <c r="AF100" s="38">
        <f>1-AF101</f>
        <v>1</v>
      </c>
      <c r="AG100" s="37" t="str">
        <f>AB100</f>
        <v>Out of Service</v>
      </c>
      <c r="AH100" s="36" t="str">
        <f t="shared" ref="AH100" si="731">INDEX(Phys_Prop,MATCH(AG100,Chem_List,0),5)</f>
        <v>N/A</v>
      </c>
      <c r="AI100" s="36"/>
      <c r="AJ100" s="36"/>
      <c r="AK100" s="38">
        <f>1-AK101</f>
        <v>1</v>
      </c>
      <c r="AL100" s="37" t="str">
        <f>AG100</f>
        <v>Out of Service</v>
      </c>
      <c r="AM100" s="36" t="str">
        <f t="shared" ref="AM100" si="732">INDEX(Phys_Prop,MATCH(AL100,Chem_List,0),5)</f>
        <v>N/A</v>
      </c>
      <c r="AN100" s="36"/>
      <c r="AO100" s="36"/>
      <c r="AP100" s="38">
        <f>1-AP101</f>
        <v>1</v>
      </c>
      <c r="AQ100" s="37" t="str">
        <f>AL100</f>
        <v>Out of Service</v>
      </c>
      <c r="AR100" s="36" t="str">
        <f t="shared" ref="AR100" si="733">INDEX(Phys_Prop,MATCH(AQ100,Chem_List,0),5)</f>
        <v>N/A</v>
      </c>
      <c r="AS100" s="36"/>
      <c r="AT100" s="36"/>
      <c r="AU100" s="38">
        <f>1-AU101</f>
        <v>1</v>
      </c>
      <c r="AV100" s="37" t="str">
        <f>AQ100</f>
        <v>Out of Service</v>
      </c>
      <c r="AW100" s="36" t="str">
        <f t="shared" ref="AW100" si="734">INDEX(Phys_Prop,MATCH(AV100,Chem_List,0),5)</f>
        <v>N/A</v>
      </c>
      <c r="AX100" s="36"/>
      <c r="AY100" s="36"/>
      <c r="AZ100" s="38">
        <f>1-AZ101</f>
        <v>1</v>
      </c>
      <c r="BA100" s="37" t="str">
        <f>AV100</f>
        <v>Out of Service</v>
      </c>
      <c r="BB100" s="36" t="str">
        <f t="shared" ref="BB100" si="735">INDEX(Phys_Prop,MATCH(BA100,Chem_List,0),5)</f>
        <v>N/A</v>
      </c>
      <c r="BC100" s="36"/>
      <c r="BD100" s="36"/>
      <c r="BE100" s="38">
        <f>1-BE101</f>
        <v>1</v>
      </c>
      <c r="BF100" s="37" t="str">
        <f>BA100</f>
        <v>Out of Service</v>
      </c>
      <c r="BG100" s="36" t="str">
        <f t="shared" ref="BG100" si="736">INDEX(Phys_Prop,MATCH(BF100,Chem_List,0),5)</f>
        <v>N/A</v>
      </c>
      <c r="BH100" s="36"/>
      <c r="BI100" s="36"/>
      <c r="BJ100" s="38">
        <f>1-BJ101</f>
        <v>1</v>
      </c>
      <c r="BK100" s="37" t="str">
        <f>BF100</f>
        <v>Out of Service</v>
      </c>
      <c r="BL100" s="36" t="str">
        <f t="shared" ref="BL100" si="737">INDEX(Phys_Prop,MATCH(BK100,Chem_List,0),5)</f>
        <v>N/A</v>
      </c>
      <c r="BM100" s="36"/>
      <c r="BN100" s="36"/>
      <c r="BO100" s="38">
        <f>1-BO101</f>
        <v>1</v>
      </c>
      <c r="BP100" s="37" t="str">
        <f>BK100</f>
        <v>Out of Service</v>
      </c>
      <c r="BQ100" s="36" t="str">
        <f t="shared" ref="BQ100" si="738">INDEX(Phys_Prop,MATCH(BP100,Chem_List,0),5)</f>
        <v>N/A</v>
      </c>
      <c r="BR100" s="36"/>
      <c r="BS100" s="36"/>
      <c r="BT100" s="38">
        <f>1-BT101</f>
        <v>1</v>
      </c>
      <c r="BU100" s="37" t="str">
        <f>BP100</f>
        <v>Out of Service</v>
      </c>
      <c r="BV100" s="36" t="str">
        <f t="shared" ref="BV100" si="739">INDEX(Phys_Prop,MATCH(BU100,Chem_List,0),5)</f>
        <v>N/A</v>
      </c>
      <c r="BW100" s="36"/>
      <c r="BX100" s="36"/>
      <c r="BY100" s="38">
        <f>1-BY101</f>
        <v>1</v>
      </c>
      <c r="BZ100" s="561"/>
      <c r="CA100" s="549"/>
      <c r="CB100" s="549"/>
      <c r="CC100" s="549"/>
      <c r="CD100" s="549"/>
      <c r="CE100" s="549"/>
      <c r="CF100" s="549"/>
      <c r="CG100" s="549"/>
      <c r="CH100" s="549"/>
      <c r="CI100" s="549"/>
      <c r="CJ100" s="549"/>
      <c r="CK100" s="549"/>
      <c r="CL100" s="559" cm="1">
        <f t="array" ref="CL100">INDEX(FX_Setup,DA100,DE100)</f>
        <v>0</v>
      </c>
      <c r="CM100" s="550">
        <f t="shared" ref="CM100:CW100" si="740">CL100</f>
        <v>0</v>
      </c>
      <c r="CN100" s="550">
        <f t="shared" si="740"/>
        <v>0</v>
      </c>
      <c r="CO100" s="550">
        <f t="shared" si="740"/>
        <v>0</v>
      </c>
      <c r="CP100" s="550">
        <f t="shared" si="740"/>
        <v>0</v>
      </c>
      <c r="CQ100" s="550">
        <f t="shared" si="740"/>
        <v>0</v>
      </c>
      <c r="CR100" s="550">
        <f t="shared" si="740"/>
        <v>0</v>
      </c>
      <c r="CS100" s="550">
        <f t="shared" si="740"/>
        <v>0</v>
      </c>
      <c r="CT100" s="550">
        <f t="shared" si="740"/>
        <v>0</v>
      </c>
      <c r="CU100" s="550">
        <f t="shared" si="740"/>
        <v>0</v>
      </c>
      <c r="CV100" s="550">
        <f t="shared" si="740"/>
        <v>0</v>
      </c>
      <c r="CW100" s="550">
        <f t="shared" si="740"/>
        <v>0</v>
      </c>
      <c r="CX100" s="562">
        <f t="shared" ref="CX100" si="741">SUM(CL100:CW101)</f>
        <v>0</v>
      </c>
      <c r="DA100" s="42">
        <f>DA98+1</f>
        <v>47</v>
      </c>
      <c r="DB100">
        <v>7</v>
      </c>
      <c r="DC100">
        <v>6</v>
      </c>
      <c r="DD100">
        <v>5</v>
      </c>
      <c r="DE100">
        <f t="shared" ref="DE100" si="742">DE98</f>
        <v>9</v>
      </c>
    </row>
    <row r="101" spans="2:109" x14ac:dyDescent="0.4">
      <c r="B101" s="504"/>
      <c r="C101" s="546"/>
      <c r="D101" s="547"/>
      <c r="E101" s="548"/>
      <c r="F101" s="549"/>
      <c r="G101" s="549"/>
      <c r="H101" s="550"/>
      <c r="I101" s="549"/>
      <c r="J101" s="549"/>
      <c r="K101" s="549"/>
      <c r="L101" s="549"/>
      <c r="M101" s="549"/>
      <c r="N101" s="549"/>
      <c r="O101" s="549"/>
      <c r="P101" s="549"/>
      <c r="Q101" s="560"/>
      <c r="R101" s="27"/>
      <c r="S101" s="36"/>
      <c r="T101" s="28"/>
      <c r="U101" s="28"/>
      <c r="V101" s="26"/>
      <c r="W101" s="27"/>
      <c r="X101" s="36"/>
      <c r="Y101" s="28"/>
      <c r="Z101" s="28"/>
      <c r="AA101" s="26"/>
      <c r="AB101" s="27"/>
      <c r="AC101" s="36"/>
      <c r="AD101" s="28"/>
      <c r="AE101" s="28"/>
      <c r="AF101" s="26"/>
      <c r="AG101" s="27"/>
      <c r="AH101" s="36"/>
      <c r="AI101" s="28"/>
      <c r="AJ101" s="28"/>
      <c r="AK101" s="26"/>
      <c r="AL101" s="27"/>
      <c r="AM101" s="36"/>
      <c r="AN101" s="28"/>
      <c r="AO101" s="28"/>
      <c r="AP101" s="26"/>
      <c r="AQ101" s="27"/>
      <c r="AR101" s="36"/>
      <c r="AS101" s="28"/>
      <c r="AT101" s="28"/>
      <c r="AU101" s="26"/>
      <c r="AV101" s="27"/>
      <c r="AW101" s="36"/>
      <c r="AX101" s="28"/>
      <c r="AY101" s="28"/>
      <c r="AZ101" s="26"/>
      <c r="BA101" s="27"/>
      <c r="BB101" s="36"/>
      <c r="BC101" s="28"/>
      <c r="BD101" s="28"/>
      <c r="BE101" s="26"/>
      <c r="BF101" s="27"/>
      <c r="BG101" s="36"/>
      <c r="BH101" s="28"/>
      <c r="BI101" s="28"/>
      <c r="BJ101" s="26"/>
      <c r="BK101" s="27"/>
      <c r="BL101" s="36"/>
      <c r="BM101" s="28"/>
      <c r="BN101" s="28"/>
      <c r="BO101" s="26"/>
      <c r="BP101" s="27"/>
      <c r="BQ101" s="36"/>
      <c r="BR101" s="28"/>
      <c r="BS101" s="28"/>
      <c r="BT101" s="26"/>
      <c r="BU101" s="27"/>
      <c r="BV101" s="36"/>
      <c r="BW101" s="28"/>
      <c r="BX101" s="28"/>
      <c r="BY101" s="26"/>
      <c r="BZ101" s="561"/>
      <c r="CA101" s="549"/>
      <c r="CB101" s="549"/>
      <c r="CC101" s="549"/>
      <c r="CD101" s="549"/>
      <c r="CE101" s="549"/>
      <c r="CF101" s="549"/>
      <c r="CG101" s="549"/>
      <c r="CH101" s="549"/>
      <c r="CI101" s="549"/>
      <c r="CJ101" s="549"/>
      <c r="CK101" s="549"/>
      <c r="CL101" s="559"/>
      <c r="CM101" s="550"/>
      <c r="CN101" s="550"/>
      <c r="CO101" s="550"/>
      <c r="CP101" s="550"/>
      <c r="CQ101" s="550"/>
      <c r="CR101" s="550"/>
      <c r="CS101" s="550"/>
      <c r="CT101" s="550"/>
      <c r="CU101" s="550"/>
      <c r="CV101" s="550"/>
      <c r="CW101" s="550"/>
      <c r="CX101" s="562"/>
      <c r="DA101" s="42"/>
    </row>
    <row r="102" spans="2:109" x14ac:dyDescent="0.4">
      <c r="B102" s="504" t="str">
        <f>"FX - "&amp;DA102</f>
        <v>FX - 48</v>
      </c>
      <c r="C102" s="545" t="s">
        <v>1923</v>
      </c>
      <c r="D102" s="547" t="str">
        <f t="shared" ref="D102" si="743">D100</f>
        <v>Portland</v>
      </c>
      <c r="E102" s="548" t="s">
        <v>65</v>
      </c>
      <c r="F102" s="549" cm="1">
        <f t="array" ref="F102">INDEX(FX_Setup,DA102,DB102)</f>
        <v>12.5</v>
      </c>
      <c r="G102" s="549" cm="1">
        <f t="array" ref="G102">INDEX(FX_Setup,$DA102,DC102)</f>
        <v>33</v>
      </c>
      <c r="H102" s="550" cm="1">
        <f t="array" ref="H102">INDEX(FX_Setup,$DA102,DD102)</f>
        <v>30282</v>
      </c>
      <c r="I102" s="549" t="s">
        <v>27</v>
      </c>
      <c r="J102" s="549"/>
      <c r="K102" s="549"/>
      <c r="L102" s="549" t="s">
        <v>93</v>
      </c>
      <c r="M102" s="549" t="s">
        <v>90</v>
      </c>
      <c r="N102" s="549" t="s">
        <v>28</v>
      </c>
      <c r="O102" s="549" t="s">
        <v>90</v>
      </c>
      <c r="P102" s="549"/>
      <c r="Q102" s="560"/>
      <c r="R102" s="37" t="str" cm="1">
        <f t="array" ref="R102">INDEX(Surrogate_Lst,MATCH(INDEX(FX_Setup,DA102,3),Product_GRP,0),2)</f>
        <v>Out of Service</v>
      </c>
      <c r="S102" s="36" t="str">
        <f t="shared" ref="S102" si="744">INDEX(Phys_Prop,MATCH(R102,Chem_List,0),5)</f>
        <v>N/A</v>
      </c>
      <c r="T102" s="36"/>
      <c r="U102" s="36"/>
      <c r="V102" s="38">
        <f>1-V103</f>
        <v>1</v>
      </c>
      <c r="W102" s="37" t="str">
        <f>R102</f>
        <v>Out of Service</v>
      </c>
      <c r="X102" s="36" t="str">
        <f t="shared" ref="X102" si="745">INDEX(Phys_Prop,MATCH(W102,Chem_List,0),5)</f>
        <v>N/A</v>
      </c>
      <c r="Y102" s="36"/>
      <c r="Z102" s="36"/>
      <c r="AA102" s="38">
        <f>1-AA103</f>
        <v>1</v>
      </c>
      <c r="AB102" s="37" t="str">
        <f>W102</f>
        <v>Out of Service</v>
      </c>
      <c r="AC102" s="36" t="str">
        <f t="shared" ref="AC102" si="746">INDEX(Phys_Prop,MATCH(AB102,Chem_List,0),5)</f>
        <v>N/A</v>
      </c>
      <c r="AD102" s="36"/>
      <c r="AE102" s="36"/>
      <c r="AF102" s="38">
        <f>1-AF103</f>
        <v>1</v>
      </c>
      <c r="AG102" s="37" t="str">
        <f>AB102</f>
        <v>Out of Service</v>
      </c>
      <c r="AH102" s="36" t="str">
        <f t="shared" ref="AH102" si="747">INDEX(Phys_Prop,MATCH(AG102,Chem_List,0),5)</f>
        <v>N/A</v>
      </c>
      <c r="AI102" s="36"/>
      <c r="AJ102" s="36"/>
      <c r="AK102" s="38">
        <f>1-AK103</f>
        <v>1</v>
      </c>
      <c r="AL102" s="37" t="str">
        <f>AG102</f>
        <v>Out of Service</v>
      </c>
      <c r="AM102" s="36" t="str">
        <f t="shared" ref="AM102" si="748">INDEX(Phys_Prop,MATCH(AL102,Chem_List,0),5)</f>
        <v>N/A</v>
      </c>
      <c r="AN102" s="36"/>
      <c r="AO102" s="36"/>
      <c r="AP102" s="38">
        <f>1-AP103</f>
        <v>1</v>
      </c>
      <c r="AQ102" s="37" t="str">
        <f>AL102</f>
        <v>Out of Service</v>
      </c>
      <c r="AR102" s="36" t="str">
        <f t="shared" ref="AR102" si="749">INDEX(Phys_Prop,MATCH(AQ102,Chem_List,0),5)</f>
        <v>N/A</v>
      </c>
      <c r="AS102" s="36"/>
      <c r="AT102" s="36"/>
      <c r="AU102" s="38">
        <f>1-AU103</f>
        <v>1</v>
      </c>
      <c r="AV102" s="37" t="str">
        <f>AQ102</f>
        <v>Out of Service</v>
      </c>
      <c r="AW102" s="36" t="str">
        <f t="shared" ref="AW102" si="750">INDEX(Phys_Prop,MATCH(AV102,Chem_List,0),5)</f>
        <v>N/A</v>
      </c>
      <c r="AX102" s="36"/>
      <c r="AY102" s="36"/>
      <c r="AZ102" s="38">
        <f>1-AZ103</f>
        <v>1</v>
      </c>
      <c r="BA102" s="37" t="str">
        <f>AV102</f>
        <v>Out of Service</v>
      </c>
      <c r="BB102" s="36" t="str">
        <f t="shared" ref="BB102" si="751">INDEX(Phys_Prop,MATCH(BA102,Chem_List,0),5)</f>
        <v>N/A</v>
      </c>
      <c r="BC102" s="36"/>
      <c r="BD102" s="36"/>
      <c r="BE102" s="38">
        <f>1-BE103</f>
        <v>1</v>
      </c>
      <c r="BF102" s="37" t="str">
        <f>BA102</f>
        <v>Out of Service</v>
      </c>
      <c r="BG102" s="36" t="str">
        <f t="shared" ref="BG102" si="752">INDEX(Phys_Prop,MATCH(BF102,Chem_List,0),5)</f>
        <v>N/A</v>
      </c>
      <c r="BH102" s="36"/>
      <c r="BI102" s="36"/>
      <c r="BJ102" s="38">
        <f>1-BJ103</f>
        <v>1</v>
      </c>
      <c r="BK102" s="37" t="str">
        <f>BF102</f>
        <v>Out of Service</v>
      </c>
      <c r="BL102" s="36" t="str">
        <f t="shared" ref="BL102" si="753">INDEX(Phys_Prop,MATCH(BK102,Chem_List,0),5)</f>
        <v>N/A</v>
      </c>
      <c r="BM102" s="36"/>
      <c r="BN102" s="36"/>
      <c r="BO102" s="38">
        <f>1-BO103</f>
        <v>1</v>
      </c>
      <c r="BP102" s="37" t="str">
        <f>BK102</f>
        <v>Out of Service</v>
      </c>
      <c r="BQ102" s="36" t="str">
        <f t="shared" ref="BQ102" si="754">INDEX(Phys_Prop,MATCH(BP102,Chem_List,0),5)</f>
        <v>N/A</v>
      </c>
      <c r="BR102" s="36"/>
      <c r="BS102" s="36"/>
      <c r="BT102" s="38">
        <f>1-BT103</f>
        <v>1</v>
      </c>
      <c r="BU102" s="37" t="str">
        <f>BP102</f>
        <v>Out of Service</v>
      </c>
      <c r="BV102" s="36" t="str">
        <f t="shared" ref="BV102" si="755">INDEX(Phys_Prop,MATCH(BU102,Chem_List,0),5)</f>
        <v>N/A</v>
      </c>
      <c r="BW102" s="36"/>
      <c r="BX102" s="36"/>
      <c r="BY102" s="38">
        <f>1-BY103</f>
        <v>1</v>
      </c>
      <c r="BZ102" s="561"/>
      <c r="CA102" s="549"/>
      <c r="CB102" s="549"/>
      <c r="CC102" s="549"/>
      <c r="CD102" s="549"/>
      <c r="CE102" s="549"/>
      <c r="CF102" s="549"/>
      <c r="CG102" s="549"/>
      <c r="CH102" s="549"/>
      <c r="CI102" s="549"/>
      <c r="CJ102" s="549"/>
      <c r="CK102" s="549"/>
      <c r="CL102" s="559" cm="1">
        <f t="array" ref="CL102">INDEX(FX_Setup,DA102,DE102)</f>
        <v>0</v>
      </c>
      <c r="CM102" s="550">
        <f t="shared" ref="CM102:CW102" si="756">CL102</f>
        <v>0</v>
      </c>
      <c r="CN102" s="550">
        <f t="shared" si="756"/>
        <v>0</v>
      </c>
      <c r="CO102" s="550">
        <f t="shared" si="756"/>
        <v>0</v>
      </c>
      <c r="CP102" s="550">
        <f t="shared" si="756"/>
        <v>0</v>
      </c>
      <c r="CQ102" s="550">
        <f t="shared" si="756"/>
        <v>0</v>
      </c>
      <c r="CR102" s="550">
        <f t="shared" si="756"/>
        <v>0</v>
      </c>
      <c r="CS102" s="550">
        <f t="shared" si="756"/>
        <v>0</v>
      </c>
      <c r="CT102" s="550">
        <f t="shared" si="756"/>
        <v>0</v>
      </c>
      <c r="CU102" s="550">
        <f t="shared" si="756"/>
        <v>0</v>
      </c>
      <c r="CV102" s="550">
        <f t="shared" si="756"/>
        <v>0</v>
      </c>
      <c r="CW102" s="550">
        <f t="shared" si="756"/>
        <v>0</v>
      </c>
      <c r="CX102" s="562">
        <f t="shared" ref="CX102" si="757">SUM(CL102:CW103)</f>
        <v>0</v>
      </c>
      <c r="DA102" s="42">
        <f>DA100+1</f>
        <v>48</v>
      </c>
      <c r="DB102">
        <v>7</v>
      </c>
      <c r="DC102">
        <v>6</v>
      </c>
      <c r="DD102">
        <v>5</v>
      </c>
      <c r="DE102">
        <f t="shared" ref="DE102" si="758">DE100</f>
        <v>9</v>
      </c>
    </row>
    <row r="103" spans="2:109" x14ac:dyDescent="0.4">
      <c r="B103" s="504"/>
      <c r="C103" s="546"/>
      <c r="D103" s="547"/>
      <c r="E103" s="548"/>
      <c r="F103" s="549"/>
      <c r="G103" s="549"/>
      <c r="H103" s="550"/>
      <c r="I103" s="549"/>
      <c r="J103" s="549"/>
      <c r="K103" s="549"/>
      <c r="L103" s="549"/>
      <c r="M103" s="549"/>
      <c r="N103" s="549"/>
      <c r="O103" s="549"/>
      <c r="P103" s="549"/>
      <c r="Q103" s="560"/>
      <c r="R103" s="27"/>
      <c r="S103" s="36"/>
      <c r="T103" s="28"/>
      <c r="U103" s="28"/>
      <c r="V103" s="26"/>
      <c r="W103" s="27"/>
      <c r="X103" s="36"/>
      <c r="Y103" s="28"/>
      <c r="Z103" s="28"/>
      <c r="AA103" s="26"/>
      <c r="AB103" s="27"/>
      <c r="AC103" s="36"/>
      <c r="AD103" s="28"/>
      <c r="AE103" s="28"/>
      <c r="AF103" s="26"/>
      <c r="AG103" s="27"/>
      <c r="AH103" s="36"/>
      <c r="AI103" s="28"/>
      <c r="AJ103" s="28"/>
      <c r="AK103" s="26"/>
      <c r="AL103" s="27"/>
      <c r="AM103" s="36"/>
      <c r="AN103" s="28"/>
      <c r="AO103" s="28"/>
      <c r="AP103" s="26"/>
      <c r="AQ103" s="27"/>
      <c r="AR103" s="36"/>
      <c r="AS103" s="28"/>
      <c r="AT103" s="28"/>
      <c r="AU103" s="26"/>
      <c r="AV103" s="27"/>
      <c r="AW103" s="36"/>
      <c r="AX103" s="28"/>
      <c r="AY103" s="28"/>
      <c r="AZ103" s="26"/>
      <c r="BA103" s="27"/>
      <c r="BB103" s="36"/>
      <c r="BC103" s="28"/>
      <c r="BD103" s="28"/>
      <c r="BE103" s="26"/>
      <c r="BF103" s="27"/>
      <c r="BG103" s="36"/>
      <c r="BH103" s="28"/>
      <c r="BI103" s="28"/>
      <c r="BJ103" s="26"/>
      <c r="BK103" s="27"/>
      <c r="BL103" s="36"/>
      <c r="BM103" s="28"/>
      <c r="BN103" s="28"/>
      <c r="BO103" s="26"/>
      <c r="BP103" s="27"/>
      <c r="BQ103" s="36"/>
      <c r="BR103" s="28"/>
      <c r="BS103" s="28"/>
      <c r="BT103" s="26"/>
      <c r="BU103" s="27"/>
      <c r="BV103" s="36"/>
      <c r="BW103" s="28"/>
      <c r="BX103" s="28"/>
      <c r="BY103" s="26"/>
      <c r="BZ103" s="561"/>
      <c r="CA103" s="549"/>
      <c r="CB103" s="549"/>
      <c r="CC103" s="549"/>
      <c r="CD103" s="549"/>
      <c r="CE103" s="549"/>
      <c r="CF103" s="549"/>
      <c r="CG103" s="549"/>
      <c r="CH103" s="549"/>
      <c r="CI103" s="549"/>
      <c r="CJ103" s="549"/>
      <c r="CK103" s="549"/>
      <c r="CL103" s="559"/>
      <c r="CM103" s="550"/>
      <c r="CN103" s="550"/>
      <c r="CO103" s="550"/>
      <c r="CP103" s="550"/>
      <c r="CQ103" s="550"/>
      <c r="CR103" s="550"/>
      <c r="CS103" s="550"/>
      <c r="CT103" s="550"/>
      <c r="CU103" s="550"/>
      <c r="CV103" s="550"/>
      <c r="CW103" s="550"/>
      <c r="CX103" s="562"/>
      <c r="DA103" s="42"/>
    </row>
    <row r="104" spans="2:109" s="39" customFormat="1" x14ac:dyDescent="0.4">
      <c r="B104" s="569" t="str">
        <f>"FX - "&amp;DA104</f>
        <v>FX - 49</v>
      </c>
      <c r="C104" s="570" t="s">
        <v>2025</v>
      </c>
      <c r="D104" s="572" t="str">
        <f t="shared" ref="D104" si="759">D102</f>
        <v>Portland</v>
      </c>
      <c r="E104" s="573" t="s">
        <v>65</v>
      </c>
      <c r="F104" s="574" cm="1">
        <f t="array" ref="F104">INDEX(FX_Setup,DA104,DB104)</f>
        <v>10.5</v>
      </c>
      <c r="G104" s="574" cm="1">
        <f t="array" ref="G104">INDEX(FX_Setup,$DA104,DC104)</f>
        <v>30</v>
      </c>
      <c r="H104" s="577" cm="1">
        <f t="array" ref="H104">INDEX(FX_Setup,$DA104,DD104)</f>
        <v>19446</v>
      </c>
      <c r="I104" s="574" t="s">
        <v>27</v>
      </c>
      <c r="J104" s="574"/>
      <c r="K104" s="574"/>
      <c r="L104" s="574" t="s">
        <v>28</v>
      </c>
      <c r="M104" s="574" t="s">
        <v>90</v>
      </c>
      <c r="N104" s="574" t="s">
        <v>28</v>
      </c>
      <c r="O104" s="574" t="s">
        <v>90</v>
      </c>
      <c r="P104" s="574"/>
      <c r="Q104" s="575"/>
      <c r="R104" s="377" t="str" cm="1">
        <f t="array" ref="R104">INDEX(Surrogate_Lst,MATCH(INDEX(FX_Setup,DA104,3),Product_GRP,0),2)</f>
        <v>Jet kerosene</v>
      </c>
      <c r="S104" s="378" t="str">
        <f t="shared" ref="S104" si="760">INDEX(Phys_Prop,MATCH(R104,Chem_List,0),5)</f>
        <v>Select Pet Stock</v>
      </c>
      <c r="T104" s="378"/>
      <c r="U104" s="378"/>
      <c r="V104" s="379">
        <f>1-V105</f>
        <v>1</v>
      </c>
      <c r="W104" s="377" t="str">
        <f>R104</f>
        <v>Jet kerosene</v>
      </c>
      <c r="X104" s="378" t="str">
        <f t="shared" ref="X104" si="761">INDEX(Phys_Prop,MATCH(W104,Chem_List,0),5)</f>
        <v>Select Pet Stock</v>
      </c>
      <c r="Y104" s="378"/>
      <c r="Z104" s="378"/>
      <c r="AA104" s="379">
        <f>1-AA105</f>
        <v>1</v>
      </c>
      <c r="AB104" s="377" t="str">
        <f>W104</f>
        <v>Jet kerosene</v>
      </c>
      <c r="AC104" s="378" t="str">
        <f t="shared" ref="AC104" si="762">INDEX(Phys_Prop,MATCH(AB104,Chem_List,0),5)</f>
        <v>Select Pet Stock</v>
      </c>
      <c r="AD104" s="378"/>
      <c r="AE104" s="378"/>
      <c r="AF104" s="379">
        <f>1-AF105</f>
        <v>1</v>
      </c>
      <c r="AG104" s="377" t="str">
        <f>AB104</f>
        <v>Jet kerosene</v>
      </c>
      <c r="AH104" s="378" t="str">
        <f t="shared" ref="AH104" si="763">INDEX(Phys_Prop,MATCH(AG104,Chem_List,0),5)</f>
        <v>Select Pet Stock</v>
      </c>
      <c r="AI104" s="378"/>
      <c r="AJ104" s="378"/>
      <c r="AK104" s="379">
        <f>1-AK105</f>
        <v>1</v>
      </c>
      <c r="AL104" s="377" t="str">
        <f>AG104</f>
        <v>Jet kerosene</v>
      </c>
      <c r="AM104" s="378" t="str">
        <f t="shared" ref="AM104" si="764">INDEX(Phys_Prop,MATCH(AL104,Chem_List,0),5)</f>
        <v>Select Pet Stock</v>
      </c>
      <c r="AN104" s="378"/>
      <c r="AO104" s="378"/>
      <c r="AP104" s="379">
        <f>1-AP105</f>
        <v>1</v>
      </c>
      <c r="AQ104" s="377" t="str">
        <f>AL104</f>
        <v>Jet kerosene</v>
      </c>
      <c r="AR104" s="378" t="str">
        <f t="shared" ref="AR104" si="765">INDEX(Phys_Prop,MATCH(AQ104,Chem_List,0),5)</f>
        <v>Select Pet Stock</v>
      </c>
      <c r="AS104" s="378"/>
      <c r="AT104" s="378"/>
      <c r="AU104" s="379">
        <f>1-AU105</f>
        <v>1</v>
      </c>
      <c r="AV104" s="377" t="str">
        <f>AQ104</f>
        <v>Jet kerosene</v>
      </c>
      <c r="AW104" s="378" t="str">
        <f t="shared" ref="AW104" si="766">INDEX(Phys_Prop,MATCH(AV104,Chem_List,0),5)</f>
        <v>Select Pet Stock</v>
      </c>
      <c r="AX104" s="378"/>
      <c r="AY104" s="378"/>
      <c r="AZ104" s="379">
        <f>1-AZ105</f>
        <v>1</v>
      </c>
      <c r="BA104" s="377" t="str">
        <f>AV104</f>
        <v>Jet kerosene</v>
      </c>
      <c r="BB104" s="378" t="str">
        <f t="shared" ref="BB104" si="767">INDEX(Phys_Prop,MATCH(BA104,Chem_List,0),5)</f>
        <v>Select Pet Stock</v>
      </c>
      <c r="BC104" s="378"/>
      <c r="BD104" s="378"/>
      <c r="BE104" s="379">
        <f>1-BE105</f>
        <v>1</v>
      </c>
      <c r="BF104" s="377" t="str">
        <f>BA104</f>
        <v>Jet kerosene</v>
      </c>
      <c r="BG104" s="378" t="str">
        <f t="shared" ref="BG104" si="768">INDEX(Phys_Prop,MATCH(BF104,Chem_List,0),5)</f>
        <v>Select Pet Stock</v>
      </c>
      <c r="BH104" s="378"/>
      <c r="BI104" s="378"/>
      <c r="BJ104" s="379">
        <f>1-BJ105</f>
        <v>1</v>
      </c>
      <c r="BK104" s="377" t="str">
        <f>BF104</f>
        <v>Jet kerosene</v>
      </c>
      <c r="BL104" s="378" t="str">
        <f t="shared" ref="BL104" si="769">INDEX(Phys_Prop,MATCH(BK104,Chem_List,0),5)</f>
        <v>Select Pet Stock</v>
      </c>
      <c r="BM104" s="378"/>
      <c r="BN104" s="378"/>
      <c r="BO104" s="379">
        <f>1-BO105</f>
        <v>1</v>
      </c>
      <c r="BP104" s="377" t="str">
        <f>BK104</f>
        <v>Jet kerosene</v>
      </c>
      <c r="BQ104" s="378" t="str">
        <f t="shared" ref="BQ104" si="770">INDEX(Phys_Prop,MATCH(BP104,Chem_List,0),5)</f>
        <v>Select Pet Stock</v>
      </c>
      <c r="BR104" s="378"/>
      <c r="BS104" s="378"/>
      <c r="BT104" s="379">
        <f>1-BT105</f>
        <v>1</v>
      </c>
      <c r="BU104" s="377" t="str">
        <f>BP104</f>
        <v>Jet kerosene</v>
      </c>
      <c r="BV104" s="378" t="str">
        <f t="shared" ref="BV104" si="771">INDEX(Phys_Prop,MATCH(BU104,Chem_List,0),5)</f>
        <v>Select Pet Stock</v>
      </c>
      <c r="BW104" s="378"/>
      <c r="BX104" s="378"/>
      <c r="BY104" s="379">
        <f>1-BY105</f>
        <v>1</v>
      </c>
      <c r="BZ104" s="576"/>
      <c r="CA104" s="574"/>
      <c r="CB104" s="574"/>
      <c r="CC104" s="574"/>
      <c r="CD104" s="574"/>
      <c r="CE104" s="574"/>
      <c r="CF104" s="574"/>
      <c r="CG104" s="574"/>
      <c r="CH104" s="574"/>
      <c r="CI104" s="574"/>
      <c r="CJ104" s="574"/>
      <c r="CK104" s="574"/>
      <c r="CL104" s="579" cm="1">
        <f t="array" ref="CL104">INDEX(FX_Setup,DA104,DE104)</f>
        <v>463</v>
      </c>
      <c r="CM104" s="577">
        <f t="shared" ref="CM104:CW104" si="772">CL104</f>
        <v>463</v>
      </c>
      <c r="CN104" s="577">
        <f t="shared" si="772"/>
        <v>463</v>
      </c>
      <c r="CO104" s="577">
        <f t="shared" si="772"/>
        <v>463</v>
      </c>
      <c r="CP104" s="577">
        <f t="shared" si="772"/>
        <v>463</v>
      </c>
      <c r="CQ104" s="577">
        <f t="shared" si="772"/>
        <v>463</v>
      </c>
      <c r="CR104" s="577">
        <f t="shared" si="772"/>
        <v>463</v>
      </c>
      <c r="CS104" s="577">
        <f t="shared" si="772"/>
        <v>463</v>
      </c>
      <c r="CT104" s="577">
        <f t="shared" si="772"/>
        <v>463</v>
      </c>
      <c r="CU104" s="577">
        <f t="shared" si="772"/>
        <v>463</v>
      </c>
      <c r="CV104" s="577">
        <f t="shared" si="772"/>
        <v>463</v>
      </c>
      <c r="CW104" s="577">
        <f t="shared" si="772"/>
        <v>463</v>
      </c>
      <c r="CX104" s="578">
        <f t="shared" ref="CX104" si="773">SUM(CL104:CW105)</f>
        <v>5556</v>
      </c>
      <c r="DA104" s="42">
        <f>DA102+1</f>
        <v>49</v>
      </c>
      <c r="DB104">
        <v>7</v>
      </c>
      <c r="DC104">
        <v>6</v>
      </c>
      <c r="DD104">
        <v>5</v>
      </c>
      <c r="DE104">
        <f t="shared" ref="DE104" si="774">DE102</f>
        <v>9</v>
      </c>
    </row>
    <row r="105" spans="2:109" s="39" customFormat="1" x14ac:dyDescent="0.4">
      <c r="B105" s="569"/>
      <c r="C105" s="571"/>
      <c r="D105" s="572"/>
      <c r="E105" s="573"/>
      <c r="F105" s="574"/>
      <c r="G105" s="574"/>
      <c r="H105" s="577"/>
      <c r="I105" s="574"/>
      <c r="J105" s="574"/>
      <c r="K105" s="574"/>
      <c r="L105" s="574"/>
      <c r="M105" s="574"/>
      <c r="N105" s="574"/>
      <c r="O105" s="574"/>
      <c r="P105" s="574"/>
      <c r="Q105" s="575"/>
      <c r="R105" s="380"/>
      <c r="S105" s="378"/>
      <c r="T105" s="381"/>
      <c r="U105" s="381"/>
      <c r="V105" s="382"/>
      <c r="W105" s="380"/>
      <c r="X105" s="378"/>
      <c r="Y105" s="381"/>
      <c r="Z105" s="381"/>
      <c r="AA105" s="382"/>
      <c r="AB105" s="380"/>
      <c r="AC105" s="378"/>
      <c r="AD105" s="381"/>
      <c r="AE105" s="381"/>
      <c r="AF105" s="382"/>
      <c r="AG105" s="380"/>
      <c r="AH105" s="378"/>
      <c r="AI105" s="381"/>
      <c r="AJ105" s="381"/>
      <c r="AK105" s="382"/>
      <c r="AL105" s="380"/>
      <c r="AM105" s="378"/>
      <c r="AN105" s="381"/>
      <c r="AO105" s="381"/>
      <c r="AP105" s="382"/>
      <c r="AQ105" s="380"/>
      <c r="AR105" s="378"/>
      <c r="AS105" s="381"/>
      <c r="AT105" s="381"/>
      <c r="AU105" s="382"/>
      <c r="AV105" s="380"/>
      <c r="AW105" s="378"/>
      <c r="AX105" s="381"/>
      <c r="AY105" s="381"/>
      <c r="AZ105" s="382"/>
      <c r="BA105" s="380"/>
      <c r="BB105" s="378"/>
      <c r="BC105" s="381"/>
      <c r="BD105" s="381"/>
      <c r="BE105" s="382"/>
      <c r="BF105" s="380"/>
      <c r="BG105" s="378"/>
      <c r="BH105" s="381"/>
      <c r="BI105" s="381"/>
      <c r="BJ105" s="382"/>
      <c r="BK105" s="380"/>
      <c r="BL105" s="378"/>
      <c r="BM105" s="381"/>
      <c r="BN105" s="381"/>
      <c r="BO105" s="382"/>
      <c r="BP105" s="380"/>
      <c r="BQ105" s="378"/>
      <c r="BR105" s="381"/>
      <c r="BS105" s="381"/>
      <c r="BT105" s="382"/>
      <c r="BU105" s="380"/>
      <c r="BV105" s="378"/>
      <c r="BW105" s="381"/>
      <c r="BX105" s="381"/>
      <c r="BY105" s="382"/>
      <c r="BZ105" s="576"/>
      <c r="CA105" s="574"/>
      <c r="CB105" s="574"/>
      <c r="CC105" s="574"/>
      <c r="CD105" s="574"/>
      <c r="CE105" s="574"/>
      <c r="CF105" s="574"/>
      <c r="CG105" s="574"/>
      <c r="CH105" s="574"/>
      <c r="CI105" s="574"/>
      <c r="CJ105" s="574"/>
      <c r="CK105" s="574"/>
      <c r="CL105" s="579"/>
      <c r="CM105" s="577"/>
      <c r="CN105" s="577"/>
      <c r="CO105" s="577"/>
      <c r="CP105" s="577"/>
      <c r="CQ105" s="577"/>
      <c r="CR105" s="577"/>
      <c r="CS105" s="577"/>
      <c r="CT105" s="577"/>
      <c r="CU105" s="577"/>
      <c r="CV105" s="577"/>
      <c r="CW105" s="577"/>
      <c r="CX105" s="578"/>
      <c r="DA105" s="42"/>
      <c r="DB105"/>
      <c r="DC105"/>
      <c r="DD105"/>
      <c r="DE105"/>
    </row>
    <row r="106" spans="2:109" s="39" customFormat="1" x14ac:dyDescent="0.4">
      <c r="B106" s="569" t="str">
        <f t="shared" ref="B106" si="775">"FX - "&amp;DA106</f>
        <v>FX - 50</v>
      </c>
      <c r="C106" s="570" t="s">
        <v>2026</v>
      </c>
      <c r="D106" s="572" t="str">
        <f t="shared" ref="D106" si="776">D104</f>
        <v>Portland</v>
      </c>
      <c r="E106" s="573" t="s">
        <v>65</v>
      </c>
      <c r="F106" s="574" cm="1">
        <f t="array" ref="F106">INDEX(FX_Setup,DA106,DB106)</f>
        <v>10.5</v>
      </c>
      <c r="G106" s="574" cm="1">
        <f t="array" ref="G106">INDEX(FX_Setup,$DA106,DC106)</f>
        <v>30</v>
      </c>
      <c r="H106" s="577" cm="1">
        <f t="array" ref="H106">INDEX(FX_Setup,$DA106,DD106)</f>
        <v>19446</v>
      </c>
      <c r="I106" s="574" t="s">
        <v>27</v>
      </c>
      <c r="J106" s="574"/>
      <c r="K106" s="574"/>
      <c r="L106" s="574" t="s">
        <v>28</v>
      </c>
      <c r="M106" s="574" t="s">
        <v>90</v>
      </c>
      <c r="N106" s="574" t="s">
        <v>28</v>
      </c>
      <c r="O106" s="574" t="s">
        <v>90</v>
      </c>
      <c r="P106" s="574"/>
      <c r="Q106" s="575"/>
      <c r="R106" s="377" t="str" cm="1">
        <f t="array" ref="R106">INDEX(Surrogate_Lst,MATCH(INDEX(FX_Setup,DA106,3),Product_GRP,0),2)</f>
        <v>Jet kerosene</v>
      </c>
      <c r="S106" s="378" t="str">
        <f t="shared" ref="S106" si="777">INDEX(Phys_Prop,MATCH(R106,Chem_List,0),5)</f>
        <v>Select Pet Stock</v>
      </c>
      <c r="T106" s="378"/>
      <c r="U106" s="378"/>
      <c r="V106" s="379">
        <f>1-V107</f>
        <v>1</v>
      </c>
      <c r="W106" s="377" t="str">
        <f>R106</f>
        <v>Jet kerosene</v>
      </c>
      <c r="X106" s="378" t="str">
        <f t="shared" ref="X106" si="778">INDEX(Phys_Prop,MATCH(W106,Chem_List,0),5)</f>
        <v>Select Pet Stock</v>
      </c>
      <c r="Y106" s="378"/>
      <c r="Z106" s="378"/>
      <c r="AA106" s="379">
        <f>1-AA107</f>
        <v>1</v>
      </c>
      <c r="AB106" s="377" t="str">
        <f>W106</f>
        <v>Jet kerosene</v>
      </c>
      <c r="AC106" s="378" t="str">
        <f t="shared" ref="AC106" si="779">INDEX(Phys_Prop,MATCH(AB106,Chem_List,0),5)</f>
        <v>Select Pet Stock</v>
      </c>
      <c r="AD106" s="378"/>
      <c r="AE106" s="378"/>
      <c r="AF106" s="379">
        <f>1-AF107</f>
        <v>1</v>
      </c>
      <c r="AG106" s="377" t="str">
        <f>AB106</f>
        <v>Jet kerosene</v>
      </c>
      <c r="AH106" s="378" t="str">
        <f t="shared" ref="AH106" si="780">INDEX(Phys_Prop,MATCH(AG106,Chem_List,0),5)</f>
        <v>Select Pet Stock</v>
      </c>
      <c r="AI106" s="378"/>
      <c r="AJ106" s="378"/>
      <c r="AK106" s="379">
        <f>1-AK107</f>
        <v>1</v>
      </c>
      <c r="AL106" s="377" t="str">
        <f>AG106</f>
        <v>Jet kerosene</v>
      </c>
      <c r="AM106" s="378" t="str">
        <f t="shared" ref="AM106" si="781">INDEX(Phys_Prop,MATCH(AL106,Chem_List,0),5)</f>
        <v>Select Pet Stock</v>
      </c>
      <c r="AN106" s="378"/>
      <c r="AO106" s="378"/>
      <c r="AP106" s="379">
        <f>1-AP107</f>
        <v>1</v>
      </c>
      <c r="AQ106" s="377" t="str">
        <f>AL106</f>
        <v>Jet kerosene</v>
      </c>
      <c r="AR106" s="378" t="str">
        <f t="shared" ref="AR106" si="782">INDEX(Phys_Prop,MATCH(AQ106,Chem_List,0),5)</f>
        <v>Select Pet Stock</v>
      </c>
      <c r="AS106" s="378"/>
      <c r="AT106" s="378"/>
      <c r="AU106" s="379">
        <f>1-AU107</f>
        <v>1</v>
      </c>
      <c r="AV106" s="377" t="str">
        <f>AQ106</f>
        <v>Jet kerosene</v>
      </c>
      <c r="AW106" s="378" t="str">
        <f t="shared" ref="AW106" si="783">INDEX(Phys_Prop,MATCH(AV106,Chem_List,0),5)</f>
        <v>Select Pet Stock</v>
      </c>
      <c r="AX106" s="378"/>
      <c r="AY106" s="378"/>
      <c r="AZ106" s="379">
        <f>1-AZ107</f>
        <v>1</v>
      </c>
      <c r="BA106" s="377" t="str">
        <f>AV106</f>
        <v>Jet kerosene</v>
      </c>
      <c r="BB106" s="378" t="str">
        <f t="shared" ref="BB106" si="784">INDEX(Phys_Prop,MATCH(BA106,Chem_List,0),5)</f>
        <v>Select Pet Stock</v>
      </c>
      <c r="BC106" s="378"/>
      <c r="BD106" s="378"/>
      <c r="BE106" s="379">
        <f>1-BE107</f>
        <v>1</v>
      </c>
      <c r="BF106" s="377" t="str">
        <f>BA106</f>
        <v>Jet kerosene</v>
      </c>
      <c r="BG106" s="378" t="str">
        <f t="shared" ref="BG106" si="785">INDEX(Phys_Prop,MATCH(BF106,Chem_List,0),5)</f>
        <v>Select Pet Stock</v>
      </c>
      <c r="BH106" s="378"/>
      <c r="BI106" s="378"/>
      <c r="BJ106" s="379">
        <f>1-BJ107</f>
        <v>1</v>
      </c>
      <c r="BK106" s="377" t="str">
        <f>BF106</f>
        <v>Jet kerosene</v>
      </c>
      <c r="BL106" s="378" t="str">
        <f t="shared" ref="BL106" si="786">INDEX(Phys_Prop,MATCH(BK106,Chem_List,0),5)</f>
        <v>Select Pet Stock</v>
      </c>
      <c r="BM106" s="378"/>
      <c r="BN106" s="378"/>
      <c r="BO106" s="379">
        <f>1-BO107</f>
        <v>1</v>
      </c>
      <c r="BP106" s="377" t="str">
        <f>BK106</f>
        <v>Jet kerosene</v>
      </c>
      <c r="BQ106" s="378" t="str">
        <f t="shared" ref="BQ106" si="787">INDEX(Phys_Prop,MATCH(BP106,Chem_List,0),5)</f>
        <v>Select Pet Stock</v>
      </c>
      <c r="BR106" s="378"/>
      <c r="BS106" s="378"/>
      <c r="BT106" s="379">
        <f>1-BT107</f>
        <v>1</v>
      </c>
      <c r="BU106" s="377" t="str">
        <f>BP106</f>
        <v>Jet kerosene</v>
      </c>
      <c r="BV106" s="378" t="str">
        <f t="shared" ref="BV106" si="788">INDEX(Phys_Prop,MATCH(BU106,Chem_List,0),5)</f>
        <v>Select Pet Stock</v>
      </c>
      <c r="BW106" s="378"/>
      <c r="BX106" s="378"/>
      <c r="BY106" s="379">
        <f>1-BY107</f>
        <v>1</v>
      </c>
      <c r="BZ106" s="576"/>
      <c r="CA106" s="574"/>
      <c r="CB106" s="574"/>
      <c r="CC106" s="574"/>
      <c r="CD106" s="574"/>
      <c r="CE106" s="574"/>
      <c r="CF106" s="574"/>
      <c r="CG106" s="574"/>
      <c r="CH106" s="574"/>
      <c r="CI106" s="574"/>
      <c r="CJ106" s="574"/>
      <c r="CK106" s="574"/>
      <c r="CL106" s="579" cm="1">
        <f t="array" ref="CL106">INDEX(FX_Setup,DA106,DE106)</f>
        <v>463</v>
      </c>
      <c r="CM106" s="577">
        <f t="shared" ref="CM106:CW106" si="789">CL106</f>
        <v>463</v>
      </c>
      <c r="CN106" s="577">
        <f t="shared" si="789"/>
        <v>463</v>
      </c>
      <c r="CO106" s="577">
        <f t="shared" si="789"/>
        <v>463</v>
      </c>
      <c r="CP106" s="577">
        <f t="shared" si="789"/>
        <v>463</v>
      </c>
      <c r="CQ106" s="577">
        <f t="shared" si="789"/>
        <v>463</v>
      </c>
      <c r="CR106" s="577">
        <f t="shared" si="789"/>
        <v>463</v>
      </c>
      <c r="CS106" s="577">
        <f t="shared" si="789"/>
        <v>463</v>
      </c>
      <c r="CT106" s="577">
        <f t="shared" si="789"/>
        <v>463</v>
      </c>
      <c r="CU106" s="577">
        <f t="shared" si="789"/>
        <v>463</v>
      </c>
      <c r="CV106" s="577">
        <f t="shared" si="789"/>
        <v>463</v>
      </c>
      <c r="CW106" s="577">
        <f t="shared" si="789"/>
        <v>463</v>
      </c>
      <c r="CX106" s="578">
        <f t="shared" ref="CX106" si="790">SUM(CL106:CW107)</f>
        <v>5556</v>
      </c>
      <c r="DA106" s="42">
        <f>DA104+1</f>
        <v>50</v>
      </c>
      <c r="DB106">
        <v>7</v>
      </c>
      <c r="DC106">
        <v>6</v>
      </c>
      <c r="DD106">
        <v>5</v>
      </c>
      <c r="DE106">
        <f t="shared" ref="DE106" si="791">DE104</f>
        <v>9</v>
      </c>
    </row>
    <row r="107" spans="2:109" s="39" customFormat="1" x14ac:dyDescent="0.4">
      <c r="B107" s="569"/>
      <c r="C107" s="571"/>
      <c r="D107" s="572"/>
      <c r="E107" s="573"/>
      <c r="F107" s="574"/>
      <c r="G107" s="574"/>
      <c r="H107" s="577"/>
      <c r="I107" s="574"/>
      <c r="J107" s="574"/>
      <c r="K107" s="574"/>
      <c r="L107" s="574"/>
      <c r="M107" s="574"/>
      <c r="N107" s="574"/>
      <c r="O107" s="574"/>
      <c r="P107" s="574"/>
      <c r="Q107" s="575"/>
      <c r="R107" s="380"/>
      <c r="S107" s="378"/>
      <c r="T107" s="381"/>
      <c r="U107" s="381"/>
      <c r="V107" s="382"/>
      <c r="W107" s="380"/>
      <c r="X107" s="378"/>
      <c r="Y107" s="381"/>
      <c r="Z107" s="381"/>
      <c r="AA107" s="382"/>
      <c r="AB107" s="380"/>
      <c r="AC107" s="378"/>
      <c r="AD107" s="381"/>
      <c r="AE107" s="381"/>
      <c r="AF107" s="382"/>
      <c r="AG107" s="380"/>
      <c r="AH107" s="378"/>
      <c r="AI107" s="381"/>
      <c r="AJ107" s="381"/>
      <c r="AK107" s="382"/>
      <c r="AL107" s="380"/>
      <c r="AM107" s="378"/>
      <c r="AN107" s="381"/>
      <c r="AO107" s="381"/>
      <c r="AP107" s="382"/>
      <c r="AQ107" s="380"/>
      <c r="AR107" s="378"/>
      <c r="AS107" s="381"/>
      <c r="AT107" s="381"/>
      <c r="AU107" s="382"/>
      <c r="AV107" s="380"/>
      <c r="AW107" s="378"/>
      <c r="AX107" s="381"/>
      <c r="AY107" s="381"/>
      <c r="AZ107" s="382"/>
      <c r="BA107" s="380"/>
      <c r="BB107" s="378"/>
      <c r="BC107" s="381"/>
      <c r="BD107" s="381"/>
      <c r="BE107" s="382"/>
      <c r="BF107" s="380"/>
      <c r="BG107" s="378"/>
      <c r="BH107" s="381"/>
      <c r="BI107" s="381"/>
      <c r="BJ107" s="382"/>
      <c r="BK107" s="380"/>
      <c r="BL107" s="378"/>
      <c r="BM107" s="381"/>
      <c r="BN107" s="381"/>
      <c r="BO107" s="382"/>
      <c r="BP107" s="380"/>
      <c r="BQ107" s="378"/>
      <c r="BR107" s="381"/>
      <c r="BS107" s="381"/>
      <c r="BT107" s="382"/>
      <c r="BU107" s="380"/>
      <c r="BV107" s="378"/>
      <c r="BW107" s="381"/>
      <c r="BX107" s="381"/>
      <c r="BY107" s="382"/>
      <c r="BZ107" s="576"/>
      <c r="CA107" s="574"/>
      <c r="CB107" s="574"/>
      <c r="CC107" s="574"/>
      <c r="CD107" s="574"/>
      <c r="CE107" s="574"/>
      <c r="CF107" s="574"/>
      <c r="CG107" s="574"/>
      <c r="CH107" s="574"/>
      <c r="CI107" s="574"/>
      <c r="CJ107" s="574"/>
      <c r="CK107" s="574"/>
      <c r="CL107" s="579"/>
      <c r="CM107" s="577"/>
      <c r="CN107" s="577"/>
      <c r="CO107" s="577"/>
      <c r="CP107" s="577"/>
      <c r="CQ107" s="577"/>
      <c r="CR107" s="577"/>
      <c r="CS107" s="577"/>
      <c r="CT107" s="577"/>
      <c r="CU107" s="577"/>
      <c r="CV107" s="577"/>
      <c r="CW107" s="577"/>
      <c r="CX107" s="578"/>
      <c r="DA107" s="42"/>
      <c r="DB107"/>
      <c r="DC107"/>
      <c r="DD107"/>
      <c r="DE107"/>
    </row>
    <row r="108" spans="2:109" x14ac:dyDescent="0.4">
      <c r="B108" s="504" t="str">
        <f>"FX - "&amp;DA108</f>
        <v>FX - 51</v>
      </c>
      <c r="C108" s="545" t="s">
        <v>1969</v>
      </c>
      <c r="D108" s="547" t="str">
        <f t="shared" ref="D108" si="792">D106</f>
        <v>Portland</v>
      </c>
      <c r="E108" s="548" t="s">
        <v>65</v>
      </c>
      <c r="F108" s="549" cm="1">
        <f t="array" ref="F108">INDEX(FX_Setup,DA108,DB108)</f>
        <v>15</v>
      </c>
      <c r="G108" s="549" cm="1">
        <f t="array" ref="G108">INDEX(FX_Setup,$DA108,DC108)</f>
        <v>32</v>
      </c>
      <c r="H108" s="550" cm="1">
        <f t="array" ref="H108">INDEX(FX_Setup,$DA108,DD108)</f>
        <v>42294</v>
      </c>
      <c r="I108" s="549" t="s">
        <v>27</v>
      </c>
      <c r="J108" s="549"/>
      <c r="K108" s="549"/>
      <c r="L108" s="549" t="s">
        <v>93</v>
      </c>
      <c r="M108" s="549" t="s">
        <v>90</v>
      </c>
      <c r="N108" s="549" t="s">
        <v>93</v>
      </c>
      <c r="O108" s="549" t="s">
        <v>90</v>
      </c>
      <c r="P108" s="549"/>
      <c r="Q108" s="560"/>
      <c r="R108" s="37" t="str" cm="1">
        <f t="array" ref="R108">INDEX(Surrogate_Lst,MATCH(INDEX(FX_Setup,DA108,3),Product_GRP,0),2)</f>
        <v>Out of Service</v>
      </c>
      <c r="S108" s="36" t="str">
        <f t="shared" ref="S108" si="793">INDEX(Phys_Prop,MATCH(R108,Chem_List,0),5)</f>
        <v>N/A</v>
      </c>
      <c r="T108" s="36"/>
      <c r="U108" s="36"/>
      <c r="V108" s="38">
        <f>1-V109</f>
        <v>1</v>
      </c>
      <c r="W108" s="37" t="str">
        <f>R108</f>
        <v>Out of Service</v>
      </c>
      <c r="X108" s="36" t="str">
        <f t="shared" ref="X108" si="794">INDEX(Phys_Prop,MATCH(W108,Chem_List,0),5)</f>
        <v>N/A</v>
      </c>
      <c r="Y108" s="36"/>
      <c r="Z108" s="36"/>
      <c r="AA108" s="38">
        <f>1-AA109</f>
        <v>1</v>
      </c>
      <c r="AB108" s="37" t="str">
        <f>W108</f>
        <v>Out of Service</v>
      </c>
      <c r="AC108" s="36" t="str">
        <f t="shared" ref="AC108" si="795">INDEX(Phys_Prop,MATCH(AB108,Chem_List,0),5)</f>
        <v>N/A</v>
      </c>
      <c r="AD108" s="36"/>
      <c r="AE108" s="36"/>
      <c r="AF108" s="38">
        <f>1-AF109</f>
        <v>1</v>
      </c>
      <c r="AG108" s="37" t="str">
        <f>AB108</f>
        <v>Out of Service</v>
      </c>
      <c r="AH108" s="36" t="str">
        <f t="shared" ref="AH108" si="796">INDEX(Phys_Prop,MATCH(AG108,Chem_List,0),5)</f>
        <v>N/A</v>
      </c>
      <c r="AI108" s="36"/>
      <c r="AJ108" s="36"/>
      <c r="AK108" s="38">
        <f>1-AK109</f>
        <v>1</v>
      </c>
      <c r="AL108" s="37" t="str">
        <f>AG108</f>
        <v>Out of Service</v>
      </c>
      <c r="AM108" s="36" t="str">
        <f t="shared" ref="AM108" si="797">INDEX(Phys_Prop,MATCH(AL108,Chem_List,0),5)</f>
        <v>N/A</v>
      </c>
      <c r="AN108" s="36"/>
      <c r="AO108" s="36"/>
      <c r="AP108" s="38">
        <f>1-AP109</f>
        <v>1</v>
      </c>
      <c r="AQ108" s="37" t="str">
        <f>AL108</f>
        <v>Out of Service</v>
      </c>
      <c r="AR108" s="36" t="str">
        <f t="shared" ref="AR108" si="798">INDEX(Phys_Prop,MATCH(AQ108,Chem_List,0),5)</f>
        <v>N/A</v>
      </c>
      <c r="AS108" s="36"/>
      <c r="AT108" s="36"/>
      <c r="AU108" s="38">
        <f>1-AU109</f>
        <v>1</v>
      </c>
      <c r="AV108" s="37" t="str">
        <f>AQ108</f>
        <v>Out of Service</v>
      </c>
      <c r="AW108" s="36" t="str">
        <f t="shared" ref="AW108" si="799">INDEX(Phys_Prop,MATCH(AV108,Chem_List,0),5)</f>
        <v>N/A</v>
      </c>
      <c r="AX108" s="36"/>
      <c r="AY108" s="36"/>
      <c r="AZ108" s="38">
        <f>1-AZ109</f>
        <v>1</v>
      </c>
      <c r="BA108" s="37" t="str">
        <f>AV108</f>
        <v>Out of Service</v>
      </c>
      <c r="BB108" s="36" t="str">
        <f t="shared" ref="BB108" si="800">INDEX(Phys_Prop,MATCH(BA108,Chem_List,0),5)</f>
        <v>N/A</v>
      </c>
      <c r="BC108" s="36"/>
      <c r="BD108" s="36"/>
      <c r="BE108" s="38">
        <f>1-BE109</f>
        <v>1</v>
      </c>
      <c r="BF108" s="37" t="str">
        <f>BA108</f>
        <v>Out of Service</v>
      </c>
      <c r="BG108" s="36" t="str">
        <f t="shared" ref="BG108" si="801">INDEX(Phys_Prop,MATCH(BF108,Chem_List,0),5)</f>
        <v>N/A</v>
      </c>
      <c r="BH108" s="36"/>
      <c r="BI108" s="36"/>
      <c r="BJ108" s="38">
        <f>1-BJ109</f>
        <v>1</v>
      </c>
      <c r="BK108" s="37" t="str">
        <f>BF108</f>
        <v>Out of Service</v>
      </c>
      <c r="BL108" s="36" t="str">
        <f t="shared" ref="BL108" si="802">INDEX(Phys_Prop,MATCH(BK108,Chem_List,0),5)</f>
        <v>N/A</v>
      </c>
      <c r="BM108" s="36"/>
      <c r="BN108" s="36"/>
      <c r="BO108" s="38">
        <f>1-BO109</f>
        <v>1</v>
      </c>
      <c r="BP108" s="37" t="str">
        <f>BK108</f>
        <v>Out of Service</v>
      </c>
      <c r="BQ108" s="36" t="str">
        <f t="shared" ref="BQ108" si="803">INDEX(Phys_Prop,MATCH(BP108,Chem_List,0),5)</f>
        <v>N/A</v>
      </c>
      <c r="BR108" s="36"/>
      <c r="BS108" s="36"/>
      <c r="BT108" s="38">
        <f>1-BT109</f>
        <v>1</v>
      </c>
      <c r="BU108" s="37" t="str">
        <f>BP108</f>
        <v>Out of Service</v>
      </c>
      <c r="BV108" s="36" t="str">
        <f t="shared" ref="BV108" si="804">INDEX(Phys_Prop,MATCH(BU108,Chem_List,0),5)</f>
        <v>N/A</v>
      </c>
      <c r="BW108" s="36"/>
      <c r="BX108" s="36"/>
      <c r="BY108" s="38">
        <f>1-BY109</f>
        <v>1</v>
      </c>
      <c r="BZ108" s="561"/>
      <c r="CA108" s="549"/>
      <c r="CB108" s="549"/>
      <c r="CC108" s="549"/>
      <c r="CD108" s="549"/>
      <c r="CE108" s="549"/>
      <c r="CF108" s="549"/>
      <c r="CG108" s="549"/>
      <c r="CH108" s="549"/>
      <c r="CI108" s="549"/>
      <c r="CJ108" s="549"/>
      <c r="CK108" s="549"/>
      <c r="CL108" s="559" cm="1">
        <f t="array" ref="CL108">INDEX(FX_Setup,DA108,DE108)</f>
        <v>0</v>
      </c>
      <c r="CM108" s="550">
        <f t="shared" ref="CM108:CW108" si="805">CL108</f>
        <v>0</v>
      </c>
      <c r="CN108" s="550">
        <f t="shared" si="805"/>
        <v>0</v>
      </c>
      <c r="CO108" s="550">
        <f t="shared" si="805"/>
        <v>0</v>
      </c>
      <c r="CP108" s="550">
        <f t="shared" si="805"/>
        <v>0</v>
      </c>
      <c r="CQ108" s="550">
        <f t="shared" si="805"/>
        <v>0</v>
      </c>
      <c r="CR108" s="550">
        <f t="shared" si="805"/>
        <v>0</v>
      </c>
      <c r="CS108" s="550">
        <f t="shared" si="805"/>
        <v>0</v>
      </c>
      <c r="CT108" s="550">
        <f t="shared" si="805"/>
        <v>0</v>
      </c>
      <c r="CU108" s="550">
        <f t="shared" si="805"/>
        <v>0</v>
      </c>
      <c r="CV108" s="550">
        <f t="shared" si="805"/>
        <v>0</v>
      </c>
      <c r="CW108" s="550">
        <f t="shared" si="805"/>
        <v>0</v>
      </c>
      <c r="CX108" s="562">
        <f t="shared" ref="CX108" si="806">SUM(CL108:CW109)</f>
        <v>0</v>
      </c>
      <c r="DA108" s="42">
        <f>DA106+1</f>
        <v>51</v>
      </c>
      <c r="DB108">
        <v>7</v>
      </c>
      <c r="DC108">
        <v>6</v>
      </c>
      <c r="DD108">
        <v>5</v>
      </c>
      <c r="DE108">
        <f t="shared" ref="DE108" si="807">DE106</f>
        <v>9</v>
      </c>
    </row>
    <row r="109" spans="2:109" x14ac:dyDescent="0.4">
      <c r="B109" s="504"/>
      <c r="C109" s="546"/>
      <c r="D109" s="547"/>
      <c r="E109" s="548"/>
      <c r="F109" s="549"/>
      <c r="G109" s="549"/>
      <c r="H109" s="550"/>
      <c r="I109" s="549"/>
      <c r="J109" s="549"/>
      <c r="K109" s="549"/>
      <c r="L109" s="549"/>
      <c r="M109" s="549"/>
      <c r="N109" s="549"/>
      <c r="O109" s="549"/>
      <c r="P109" s="549"/>
      <c r="Q109" s="560"/>
      <c r="R109" s="27"/>
      <c r="S109" s="36"/>
      <c r="T109" s="28"/>
      <c r="U109" s="28"/>
      <c r="V109" s="26"/>
      <c r="W109" s="27"/>
      <c r="X109" s="36"/>
      <c r="Y109" s="28"/>
      <c r="Z109" s="28"/>
      <c r="AA109" s="26"/>
      <c r="AB109" s="27"/>
      <c r="AC109" s="36"/>
      <c r="AD109" s="28"/>
      <c r="AE109" s="28"/>
      <c r="AF109" s="26"/>
      <c r="AG109" s="27"/>
      <c r="AH109" s="36"/>
      <c r="AI109" s="28"/>
      <c r="AJ109" s="28"/>
      <c r="AK109" s="26"/>
      <c r="AL109" s="27"/>
      <c r="AM109" s="36"/>
      <c r="AN109" s="28"/>
      <c r="AO109" s="28"/>
      <c r="AP109" s="26"/>
      <c r="AQ109" s="27"/>
      <c r="AR109" s="36"/>
      <c r="AS109" s="28"/>
      <c r="AT109" s="28"/>
      <c r="AU109" s="26"/>
      <c r="AV109" s="27"/>
      <c r="AW109" s="36"/>
      <c r="AX109" s="28"/>
      <c r="AY109" s="28"/>
      <c r="AZ109" s="26"/>
      <c r="BA109" s="27"/>
      <c r="BB109" s="36"/>
      <c r="BC109" s="28"/>
      <c r="BD109" s="28"/>
      <c r="BE109" s="26"/>
      <c r="BF109" s="27"/>
      <c r="BG109" s="36"/>
      <c r="BH109" s="28"/>
      <c r="BI109" s="28"/>
      <c r="BJ109" s="26"/>
      <c r="BK109" s="27"/>
      <c r="BL109" s="36"/>
      <c r="BM109" s="28"/>
      <c r="BN109" s="28"/>
      <c r="BO109" s="26"/>
      <c r="BP109" s="27"/>
      <c r="BQ109" s="36"/>
      <c r="BR109" s="28"/>
      <c r="BS109" s="28"/>
      <c r="BT109" s="26"/>
      <c r="BU109" s="27"/>
      <c r="BV109" s="36"/>
      <c r="BW109" s="28"/>
      <c r="BX109" s="28"/>
      <c r="BY109" s="26"/>
      <c r="BZ109" s="561"/>
      <c r="CA109" s="549"/>
      <c r="CB109" s="549"/>
      <c r="CC109" s="549"/>
      <c r="CD109" s="549"/>
      <c r="CE109" s="549"/>
      <c r="CF109" s="549"/>
      <c r="CG109" s="549"/>
      <c r="CH109" s="549"/>
      <c r="CI109" s="549"/>
      <c r="CJ109" s="549"/>
      <c r="CK109" s="549"/>
      <c r="CL109" s="559"/>
      <c r="CM109" s="550"/>
      <c r="CN109" s="550"/>
      <c r="CO109" s="550"/>
      <c r="CP109" s="550"/>
      <c r="CQ109" s="550"/>
      <c r="CR109" s="550"/>
      <c r="CS109" s="550"/>
      <c r="CT109" s="550"/>
      <c r="CU109" s="550"/>
      <c r="CV109" s="550"/>
      <c r="CW109" s="550"/>
      <c r="CX109" s="562"/>
      <c r="DA109" s="42"/>
    </row>
    <row r="110" spans="2:109" x14ac:dyDescent="0.4">
      <c r="B110" s="504" t="str">
        <f>"FX - "&amp;DA110</f>
        <v>FX - 52</v>
      </c>
      <c r="C110" s="545" t="s">
        <v>1970</v>
      </c>
      <c r="D110" s="547" t="str">
        <f t="shared" ref="D110" si="808">D108</f>
        <v>Portland</v>
      </c>
      <c r="E110" s="548" t="s">
        <v>65</v>
      </c>
      <c r="F110" s="549" cm="1">
        <f t="array" ref="F110">INDEX(FX_Setup,DA110,DB110)</f>
        <v>30</v>
      </c>
      <c r="G110" s="549" cm="1">
        <f t="array" ref="G110">INDEX(FX_Setup,$DA110,DC110)</f>
        <v>42</v>
      </c>
      <c r="H110" s="550" cm="1">
        <f t="array" ref="H110">INDEX(FX_Setup,$DA110,DD110)</f>
        <v>222180</v>
      </c>
      <c r="I110" s="549" t="s">
        <v>27</v>
      </c>
      <c r="J110" s="549"/>
      <c r="K110" s="549"/>
      <c r="L110" s="549" t="s">
        <v>1973</v>
      </c>
      <c r="M110" s="549" t="s">
        <v>90</v>
      </c>
      <c r="N110" s="549" t="s">
        <v>1973</v>
      </c>
      <c r="O110" s="549" t="s">
        <v>90</v>
      </c>
      <c r="P110" s="549"/>
      <c r="Q110" s="560"/>
      <c r="R110" s="37" t="str" cm="1">
        <f t="array" ref="R110">INDEX(Surrogate_Lst,MATCH(INDEX(FX_Setup,DA110,3),Product_GRP,0),2)</f>
        <v>Jet kerosene</v>
      </c>
      <c r="S110" s="36" t="str">
        <f t="shared" ref="S110" si="809">INDEX(Phys_Prop,MATCH(R110,Chem_List,0),5)</f>
        <v>Select Pet Stock</v>
      </c>
      <c r="T110" s="36"/>
      <c r="U110" s="36"/>
      <c r="V110" s="38">
        <f>1-V111</f>
        <v>1</v>
      </c>
      <c r="W110" s="37" t="str">
        <f>R110</f>
        <v>Jet kerosene</v>
      </c>
      <c r="X110" s="36" t="str">
        <f t="shared" ref="X110" si="810">INDEX(Phys_Prop,MATCH(W110,Chem_List,0),5)</f>
        <v>Select Pet Stock</v>
      </c>
      <c r="Y110" s="36"/>
      <c r="Z110" s="36"/>
      <c r="AA110" s="38">
        <f>1-AA111</f>
        <v>1</v>
      </c>
      <c r="AB110" s="37" t="str">
        <f>W110</f>
        <v>Jet kerosene</v>
      </c>
      <c r="AC110" s="36" t="str">
        <f t="shared" ref="AC110" si="811">INDEX(Phys_Prop,MATCH(AB110,Chem_List,0),5)</f>
        <v>Select Pet Stock</v>
      </c>
      <c r="AD110" s="36"/>
      <c r="AE110" s="36"/>
      <c r="AF110" s="38">
        <f>1-AF111</f>
        <v>1</v>
      </c>
      <c r="AG110" s="37" t="str">
        <f>AB110</f>
        <v>Jet kerosene</v>
      </c>
      <c r="AH110" s="36" t="str">
        <f t="shared" ref="AH110" si="812">INDEX(Phys_Prop,MATCH(AG110,Chem_List,0),5)</f>
        <v>Select Pet Stock</v>
      </c>
      <c r="AI110" s="36"/>
      <c r="AJ110" s="36"/>
      <c r="AK110" s="38">
        <f>1-AK111</f>
        <v>1</v>
      </c>
      <c r="AL110" s="37" t="str">
        <f>AG110</f>
        <v>Jet kerosene</v>
      </c>
      <c r="AM110" s="36" t="str">
        <f t="shared" ref="AM110" si="813">INDEX(Phys_Prop,MATCH(AL110,Chem_List,0),5)</f>
        <v>Select Pet Stock</v>
      </c>
      <c r="AN110" s="36"/>
      <c r="AO110" s="36"/>
      <c r="AP110" s="38">
        <f>1-AP111</f>
        <v>1</v>
      </c>
      <c r="AQ110" s="37" t="str">
        <f>AL110</f>
        <v>Jet kerosene</v>
      </c>
      <c r="AR110" s="36" t="str">
        <f t="shared" ref="AR110" si="814">INDEX(Phys_Prop,MATCH(AQ110,Chem_List,0),5)</f>
        <v>Select Pet Stock</v>
      </c>
      <c r="AS110" s="36"/>
      <c r="AT110" s="36"/>
      <c r="AU110" s="38">
        <f>1-AU111</f>
        <v>1</v>
      </c>
      <c r="AV110" s="37" t="str">
        <f>AQ110</f>
        <v>Jet kerosene</v>
      </c>
      <c r="AW110" s="36" t="str">
        <f t="shared" ref="AW110" si="815">INDEX(Phys_Prop,MATCH(AV110,Chem_List,0),5)</f>
        <v>Select Pet Stock</v>
      </c>
      <c r="AX110" s="36"/>
      <c r="AY110" s="36"/>
      <c r="AZ110" s="38">
        <f>1-AZ111</f>
        <v>1</v>
      </c>
      <c r="BA110" s="37" t="str">
        <f>AV110</f>
        <v>Jet kerosene</v>
      </c>
      <c r="BB110" s="36" t="str">
        <f t="shared" ref="BB110" si="816">INDEX(Phys_Prop,MATCH(BA110,Chem_List,0),5)</f>
        <v>Select Pet Stock</v>
      </c>
      <c r="BC110" s="36"/>
      <c r="BD110" s="36"/>
      <c r="BE110" s="38">
        <f>1-BE111</f>
        <v>1</v>
      </c>
      <c r="BF110" s="37" t="str">
        <f>BA110</f>
        <v>Jet kerosene</v>
      </c>
      <c r="BG110" s="36" t="str">
        <f t="shared" ref="BG110" si="817">INDEX(Phys_Prop,MATCH(BF110,Chem_List,0),5)</f>
        <v>Select Pet Stock</v>
      </c>
      <c r="BH110" s="36"/>
      <c r="BI110" s="36"/>
      <c r="BJ110" s="38">
        <f>1-BJ111</f>
        <v>1</v>
      </c>
      <c r="BK110" s="37" t="str">
        <f>BF110</f>
        <v>Jet kerosene</v>
      </c>
      <c r="BL110" s="36" t="str">
        <f t="shared" ref="BL110" si="818">INDEX(Phys_Prop,MATCH(BK110,Chem_List,0),5)</f>
        <v>Select Pet Stock</v>
      </c>
      <c r="BM110" s="36"/>
      <c r="BN110" s="36"/>
      <c r="BO110" s="38">
        <f>1-BO111</f>
        <v>1</v>
      </c>
      <c r="BP110" s="37" t="str">
        <f>BK110</f>
        <v>Jet kerosene</v>
      </c>
      <c r="BQ110" s="36" t="str">
        <f t="shared" ref="BQ110" si="819">INDEX(Phys_Prop,MATCH(BP110,Chem_List,0),5)</f>
        <v>Select Pet Stock</v>
      </c>
      <c r="BR110" s="36"/>
      <c r="BS110" s="36"/>
      <c r="BT110" s="38">
        <f>1-BT111</f>
        <v>1</v>
      </c>
      <c r="BU110" s="37" t="str">
        <f>BP110</f>
        <v>Jet kerosene</v>
      </c>
      <c r="BV110" s="36" t="str">
        <f t="shared" ref="BV110" si="820">INDEX(Phys_Prop,MATCH(BU110,Chem_List,0),5)</f>
        <v>Select Pet Stock</v>
      </c>
      <c r="BW110" s="36"/>
      <c r="BX110" s="36"/>
      <c r="BY110" s="38">
        <f>1-BY111</f>
        <v>1</v>
      </c>
      <c r="BZ110" s="561"/>
      <c r="CA110" s="549"/>
      <c r="CB110" s="549"/>
      <c r="CC110" s="549"/>
      <c r="CD110" s="549"/>
      <c r="CE110" s="549"/>
      <c r="CF110" s="549"/>
      <c r="CG110" s="549"/>
      <c r="CH110" s="549"/>
      <c r="CI110" s="549"/>
      <c r="CJ110" s="549"/>
      <c r="CK110" s="549"/>
      <c r="CL110" s="567" cm="1">
        <f t="array" ref="CL110">INDEX(FX_Setup,DA110,DE110)</f>
        <v>5290</v>
      </c>
      <c r="CM110" s="563">
        <f t="shared" ref="CM110:CW110" si="821">CL110</f>
        <v>5290</v>
      </c>
      <c r="CN110" s="563">
        <f t="shared" si="821"/>
        <v>5290</v>
      </c>
      <c r="CO110" s="563">
        <f t="shared" si="821"/>
        <v>5290</v>
      </c>
      <c r="CP110" s="563">
        <f t="shared" si="821"/>
        <v>5290</v>
      </c>
      <c r="CQ110" s="563">
        <f t="shared" si="821"/>
        <v>5290</v>
      </c>
      <c r="CR110" s="563">
        <f t="shared" si="821"/>
        <v>5290</v>
      </c>
      <c r="CS110" s="563">
        <f t="shared" si="821"/>
        <v>5290</v>
      </c>
      <c r="CT110" s="563">
        <f t="shared" si="821"/>
        <v>5290</v>
      </c>
      <c r="CU110" s="563">
        <f t="shared" si="821"/>
        <v>5290</v>
      </c>
      <c r="CV110" s="563">
        <f t="shared" si="821"/>
        <v>5290</v>
      </c>
      <c r="CW110" s="563">
        <f t="shared" si="821"/>
        <v>5290</v>
      </c>
      <c r="CX110" s="565">
        <f t="shared" ref="CX110" si="822">SUM(CL110:CW111)</f>
        <v>63480</v>
      </c>
      <c r="DA110" s="42">
        <f>DA108+1</f>
        <v>52</v>
      </c>
      <c r="DB110">
        <v>7</v>
      </c>
      <c r="DC110">
        <v>6</v>
      </c>
      <c r="DD110">
        <v>5</v>
      </c>
      <c r="DE110">
        <f t="shared" ref="DE110" si="823">DE108</f>
        <v>9</v>
      </c>
    </row>
    <row r="111" spans="2:109" x14ac:dyDescent="0.4">
      <c r="B111" s="504"/>
      <c r="C111" s="546"/>
      <c r="D111" s="547"/>
      <c r="E111" s="548"/>
      <c r="F111" s="549"/>
      <c r="G111" s="549"/>
      <c r="H111" s="550"/>
      <c r="I111" s="549"/>
      <c r="J111" s="549"/>
      <c r="K111" s="549"/>
      <c r="L111" s="549"/>
      <c r="M111" s="549"/>
      <c r="N111" s="549"/>
      <c r="O111" s="549"/>
      <c r="P111" s="549"/>
      <c r="Q111" s="560"/>
      <c r="R111" s="27"/>
      <c r="S111" s="36"/>
      <c r="T111" s="28"/>
      <c r="U111" s="28"/>
      <c r="V111" s="26"/>
      <c r="W111" s="27"/>
      <c r="X111" s="36"/>
      <c r="Y111" s="28"/>
      <c r="Z111" s="28"/>
      <c r="AA111" s="26"/>
      <c r="AB111" s="27"/>
      <c r="AC111" s="36"/>
      <c r="AD111" s="28"/>
      <c r="AE111" s="28"/>
      <c r="AF111" s="26"/>
      <c r="AG111" s="27"/>
      <c r="AH111" s="36"/>
      <c r="AI111" s="28"/>
      <c r="AJ111" s="28"/>
      <c r="AK111" s="26"/>
      <c r="AL111" s="27"/>
      <c r="AM111" s="36"/>
      <c r="AN111" s="28"/>
      <c r="AO111" s="28"/>
      <c r="AP111" s="26"/>
      <c r="AQ111" s="27"/>
      <c r="AR111" s="36"/>
      <c r="AS111" s="28"/>
      <c r="AT111" s="28"/>
      <c r="AU111" s="26"/>
      <c r="AV111" s="27"/>
      <c r="AW111" s="36"/>
      <c r="AX111" s="28"/>
      <c r="AY111" s="28"/>
      <c r="AZ111" s="26"/>
      <c r="BA111" s="27"/>
      <c r="BB111" s="36"/>
      <c r="BC111" s="28"/>
      <c r="BD111" s="28"/>
      <c r="BE111" s="26"/>
      <c r="BF111" s="27"/>
      <c r="BG111" s="36"/>
      <c r="BH111" s="28"/>
      <c r="BI111" s="28"/>
      <c r="BJ111" s="26"/>
      <c r="BK111" s="27"/>
      <c r="BL111" s="36"/>
      <c r="BM111" s="28"/>
      <c r="BN111" s="28"/>
      <c r="BO111" s="26"/>
      <c r="BP111" s="27"/>
      <c r="BQ111" s="36"/>
      <c r="BR111" s="28"/>
      <c r="BS111" s="28"/>
      <c r="BT111" s="26"/>
      <c r="BU111" s="27"/>
      <c r="BV111" s="36"/>
      <c r="BW111" s="28"/>
      <c r="BX111" s="28"/>
      <c r="BY111" s="26"/>
      <c r="BZ111" s="561"/>
      <c r="CA111" s="549"/>
      <c r="CB111" s="549"/>
      <c r="CC111" s="549"/>
      <c r="CD111" s="549"/>
      <c r="CE111" s="549"/>
      <c r="CF111" s="549"/>
      <c r="CG111" s="549"/>
      <c r="CH111" s="549"/>
      <c r="CI111" s="549"/>
      <c r="CJ111" s="549"/>
      <c r="CK111" s="549"/>
      <c r="CL111" s="568"/>
      <c r="CM111" s="564"/>
      <c r="CN111" s="564"/>
      <c r="CO111" s="564"/>
      <c r="CP111" s="564"/>
      <c r="CQ111" s="564"/>
      <c r="CR111" s="564"/>
      <c r="CS111" s="564"/>
      <c r="CT111" s="564"/>
      <c r="CU111" s="564"/>
      <c r="CV111" s="564"/>
      <c r="CW111" s="564"/>
      <c r="CX111" s="566"/>
      <c r="DA111" s="42"/>
    </row>
    <row r="112" spans="2:109" x14ac:dyDescent="0.4">
      <c r="B112" s="504" t="str">
        <f>"FX - "&amp;DA112</f>
        <v>FX - 53</v>
      </c>
      <c r="C112" s="545" t="s">
        <v>1971</v>
      </c>
      <c r="D112" s="547" t="str">
        <f t="shared" ref="D112" si="824">D110</f>
        <v>Portland</v>
      </c>
      <c r="E112" s="548" t="s">
        <v>65</v>
      </c>
      <c r="F112" s="549" cm="1">
        <f t="array" ref="F112">INDEX(FX_Setup,DA112,DB112)</f>
        <v>30</v>
      </c>
      <c r="G112" s="549" cm="1">
        <f t="array" ref="G112">INDEX(FX_Setup,$DA112,DC112)</f>
        <v>42</v>
      </c>
      <c r="H112" s="550" cm="1">
        <f t="array" ref="H112">INDEX(FX_Setup,$DA112,DD112)</f>
        <v>222180</v>
      </c>
      <c r="I112" s="549" t="s">
        <v>27</v>
      </c>
      <c r="J112" s="549"/>
      <c r="K112" s="549"/>
      <c r="L112" s="549" t="s">
        <v>1973</v>
      </c>
      <c r="M112" s="549" t="s">
        <v>90</v>
      </c>
      <c r="N112" s="549" t="s">
        <v>1973</v>
      </c>
      <c r="O112" s="549" t="s">
        <v>90</v>
      </c>
      <c r="P112" s="549"/>
      <c r="Q112" s="560"/>
      <c r="R112" s="37" t="str" cm="1">
        <f t="array" ref="R112">INDEX(Surrogate_Lst,MATCH(INDEX(FX_Setup,DA112,3),Product_GRP,0),2)</f>
        <v>Jet kerosene</v>
      </c>
      <c r="S112" s="36" t="str">
        <f t="shared" ref="S112" si="825">INDEX(Phys_Prop,MATCH(R112,Chem_List,0),5)</f>
        <v>Select Pet Stock</v>
      </c>
      <c r="T112" s="36"/>
      <c r="U112" s="36"/>
      <c r="V112" s="38">
        <f>1-V113</f>
        <v>1</v>
      </c>
      <c r="W112" s="37" t="str">
        <f>R112</f>
        <v>Jet kerosene</v>
      </c>
      <c r="X112" s="36" t="str">
        <f t="shared" ref="X112" si="826">INDEX(Phys_Prop,MATCH(W112,Chem_List,0),5)</f>
        <v>Select Pet Stock</v>
      </c>
      <c r="Y112" s="36"/>
      <c r="Z112" s="36"/>
      <c r="AA112" s="38">
        <f>1-AA113</f>
        <v>1</v>
      </c>
      <c r="AB112" s="37" t="str">
        <f>W112</f>
        <v>Jet kerosene</v>
      </c>
      <c r="AC112" s="36" t="str">
        <f t="shared" ref="AC112" si="827">INDEX(Phys_Prop,MATCH(AB112,Chem_List,0),5)</f>
        <v>Select Pet Stock</v>
      </c>
      <c r="AD112" s="36"/>
      <c r="AE112" s="36"/>
      <c r="AF112" s="38">
        <f>1-AF113</f>
        <v>1</v>
      </c>
      <c r="AG112" s="37" t="str">
        <f>AB112</f>
        <v>Jet kerosene</v>
      </c>
      <c r="AH112" s="36" t="str">
        <f t="shared" ref="AH112" si="828">INDEX(Phys_Prop,MATCH(AG112,Chem_List,0),5)</f>
        <v>Select Pet Stock</v>
      </c>
      <c r="AI112" s="36"/>
      <c r="AJ112" s="36"/>
      <c r="AK112" s="38">
        <f>1-AK113</f>
        <v>1</v>
      </c>
      <c r="AL112" s="37" t="str">
        <f>AG112</f>
        <v>Jet kerosene</v>
      </c>
      <c r="AM112" s="36" t="str">
        <f t="shared" ref="AM112" si="829">INDEX(Phys_Prop,MATCH(AL112,Chem_List,0),5)</f>
        <v>Select Pet Stock</v>
      </c>
      <c r="AN112" s="36"/>
      <c r="AO112" s="36"/>
      <c r="AP112" s="38">
        <f>1-AP113</f>
        <v>1</v>
      </c>
      <c r="AQ112" s="37" t="str">
        <f>AL112</f>
        <v>Jet kerosene</v>
      </c>
      <c r="AR112" s="36" t="str">
        <f t="shared" ref="AR112" si="830">INDEX(Phys_Prop,MATCH(AQ112,Chem_List,0),5)</f>
        <v>Select Pet Stock</v>
      </c>
      <c r="AS112" s="36"/>
      <c r="AT112" s="36"/>
      <c r="AU112" s="38">
        <f>1-AU113</f>
        <v>1</v>
      </c>
      <c r="AV112" s="37" t="str">
        <f>AQ112</f>
        <v>Jet kerosene</v>
      </c>
      <c r="AW112" s="36" t="str">
        <f t="shared" ref="AW112" si="831">INDEX(Phys_Prop,MATCH(AV112,Chem_List,0),5)</f>
        <v>Select Pet Stock</v>
      </c>
      <c r="AX112" s="36"/>
      <c r="AY112" s="36"/>
      <c r="AZ112" s="38">
        <f>1-AZ113</f>
        <v>1</v>
      </c>
      <c r="BA112" s="37" t="str">
        <f>AV112</f>
        <v>Jet kerosene</v>
      </c>
      <c r="BB112" s="36" t="str">
        <f t="shared" ref="BB112" si="832">INDEX(Phys_Prop,MATCH(BA112,Chem_List,0),5)</f>
        <v>Select Pet Stock</v>
      </c>
      <c r="BC112" s="36"/>
      <c r="BD112" s="36"/>
      <c r="BE112" s="38">
        <f>1-BE113</f>
        <v>1</v>
      </c>
      <c r="BF112" s="37" t="str">
        <f>BA112</f>
        <v>Jet kerosene</v>
      </c>
      <c r="BG112" s="36" t="str">
        <f t="shared" ref="BG112" si="833">INDEX(Phys_Prop,MATCH(BF112,Chem_List,0),5)</f>
        <v>Select Pet Stock</v>
      </c>
      <c r="BH112" s="36"/>
      <c r="BI112" s="36"/>
      <c r="BJ112" s="38">
        <f>1-BJ113</f>
        <v>1</v>
      </c>
      <c r="BK112" s="37" t="str">
        <f>BF112</f>
        <v>Jet kerosene</v>
      </c>
      <c r="BL112" s="36" t="str">
        <f t="shared" ref="BL112" si="834">INDEX(Phys_Prop,MATCH(BK112,Chem_List,0),5)</f>
        <v>Select Pet Stock</v>
      </c>
      <c r="BM112" s="36"/>
      <c r="BN112" s="36"/>
      <c r="BO112" s="38">
        <f>1-BO113</f>
        <v>1</v>
      </c>
      <c r="BP112" s="37" t="str">
        <f>BK112</f>
        <v>Jet kerosene</v>
      </c>
      <c r="BQ112" s="36" t="str">
        <f t="shared" ref="BQ112" si="835">INDEX(Phys_Prop,MATCH(BP112,Chem_List,0),5)</f>
        <v>Select Pet Stock</v>
      </c>
      <c r="BR112" s="36"/>
      <c r="BS112" s="36"/>
      <c r="BT112" s="38">
        <f>1-BT113</f>
        <v>1</v>
      </c>
      <c r="BU112" s="37" t="str">
        <f>BP112</f>
        <v>Jet kerosene</v>
      </c>
      <c r="BV112" s="36" t="str">
        <f t="shared" ref="BV112" si="836">INDEX(Phys_Prop,MATCH(BU112,Chem_List,0),5)</f>
        <v>Select Pet Stock</v>
      </c>
      <c r="BW112" s="36"/>
      <c r="BX112" s="36"/>
      <c r="BY112" s="38">
        <f>1-BY113</f>
        <v>1</v>
      </c>
      <c r="BZ112" s="561"/>
      <c r="CA112" s="549"/>
      <c r="CB112" s="549"/>
      <c r="CC112" s="549"/>
      <c r="CD112" s="549"/>
      <c r="CE112" s="549"/>
      <c r="CF112" s="549"/>
      <c r="CG112" s="549"/>
      <c r="CH112" s="549"/>
      <c r="CI112" s="549"/>
      <c r="CJ112" s="549"/>
      <c r="CK112" s="549"/>
      <c r="CL112" s="559" cm="1">
        <f t="array" ref="CL112">INDEX(FX_Setup,DA112,DE112)</f>
        <v>5290</v>
      </c>
      <c r="CM112" s="550">
        <f t="shared" ref="CM112:CW112" si="837">CL112</f>
        <v>5290</v>
      </c>
      <c r="CN112" s="550">
        <f t="shared" si="837"/>
        <v>5290</v>
      </c>
      <c r="CO112" s="550">
        <f t="shared" si="837"/>
        <v>5290</v>
      </c>
      <c r="CP112" s="550">
        <f t="shared" si="837"/>
        <v>5290</v>
      </c>
      <c r="CQ112" s="550">
        <f t="shared" si="837"/>
        <v>5290</v>
      </c>
      <c r="CR112" s="550">
        <f t="shared" si="837"/>
        <v>5290</v>
      </c>
      <c r="CS112" s="550">
        <f t="shared" si="837"/>
        <v>5290</v>
      </c>
      <c r="CT112" s="550">
        <f t="shared" si="837"/>
        <v>5290</v>
      </c>
      <c r="CU112" s="550">
        <f t="shared" si="837"/>
        <v>5290</v>
      </c>
      <c r="CV112" s="550">
        <f t="shared" si="837"/>
        <v>5290</v>
      </c>
      <c r="CW112" s="550">
        <f t="shared" si="837"/>
        <v>5290</v>
      </c>
      <c r="CX112" s="562">
        <f t="shared" ref="CX112" si="838">SUM(CL112:CW113)</f>
        <v>63480</v>
      </c>
      <c r="DA112" s="42">
        <f>DA110+1</f>
        <v>53</v>
      </c>
      <c r="DB112">
        <v>7</v>
      </c>
      <c r="DC112">
        <v>6</v>
      </c>
      <c r="DD112">
        <v>5</v>
      </c>
      <c r="DE112">
        <f t="shared" ref="DE112" si="839">DE110</f>
        <v>9</v>
      </c>
    </row>
    <row r="113" spans="2:109" x14ac:dyDescent="0.4">
      <c r="B113" s="504"/>
      <c r="C113" s="546"/>
      <c r="D113" s="547"/>
      <c r="E113" s="548"/>
      <c r="F113" s="549"/>
      <c r="G113" s="549"/>
      <c r="H113" s="550"/>
      <c r="I113" s="549"/>
      <c r="J113" s="549"/>
      <c r="K113" s="549"/>
      <c r="L113" s="549"/>
      <c r="M113" s="549"/>
      <c r="N113" s="549"/>
      <c r="O113" s="549"/>
      <c r="P113" s="549"/>
      <c r="Q113" s="560"/>
      <c r="R113" s="27"/>
      <c r="S113" s="36"/>
      <c r="T113" s="28"/>
      <c r="U113" s="28"/>
      <c r="V113" s="26"/>
      <c r="W113" s="27"/>
      <c r="X113" s="36"/>
      <c r="Y113" s="28"/>
      <c r="Z113" s="28"/>
      <c r="AA113" s="26"/>
      <c r="AB113" s="27"/>
      <c r="AC113" s="36"/>
      <c r="AD113" s="28"/>
      <c r="AE113" s="28"/>
      <c r="AF113" s="26"/>
      <c r="AG113" s="27"/>
      <c r="AH113" s="36"/>
      <c r="AI113" s="28"/>
      <c r="AJ113" s="28"/>
      <c r="AK113" s="26"/>
      <c r="AL113" s="27"/>
      <c r="AM113" s="36"/>
      <c r="AN113" s="28"/>
      <c r="AO113" s="28"/>
      <c r="AP113" s="26"/>
      <c r="AQ113" s="27"/>
      <c r="AR113" s="36"/>
      <c r="AS113" s="28"/>
      <c r="AT113" s="28"/>
      <c r="AU113" s="26"/>
      <c r="AV113" s="27"/>
      <c r="AW113" s="36"/>
      <c r="AX113" s="28"/>
      <c r="AY113" s="28"/>
      <c r="AZ113" s="26"/>
      <c r="BA113" s="27"/>
      <c r="BB113" s="36"/>
      <c r="BC113" s="28"/>
      <c r="BD113" s="28"/>
      <c r="BE113" s="26"/>
      <c r="BF113" s="27"/>
      <c r="BG113" s="36"/>
      <c r="BH113" s="28"/>
      <c r="BI113" s="28"/>
      <c r="BJ113" s="26"/>
      <c r="BK113" s="27"/>
      <c r="BL113" s="36"/>
      <c r="BM113" s="28"/>
      <c r="BN113" s="28"/>
      <c r="BO113" s="26"/>
      <c r="BP113" s="27"/>
      <c r="BQ113" s="36"/>
      <c r="BR113" s="28"/>
      <c r="BS113" s="28"/>
      <c r="BT113" s="26"/>
      <c r="BU113" s="27"/>
      <c r="BV113" s="36"/>
      <c r="BW113" s="28"/>
      <c r="BX113" s="28"/>
      <c r="BY113" s="26"/>
      <c r="BZ113" s="561"/>
      <c r="CA113" s="549"/>
      <c r="CB113" s="549"/>
      <c r="CC113" s="549"/>
      <c r="CD113" s="549"/>
      <c r="CE113" s="549"/>
      <c r="CF113" s="549"/>
      <c r="CG113" s="549"/>
      <c r="CH113" s="549"/>
      <c r="CI113" s="549"/>
      <c r="CJ113" s="549"/>
      <c r="CK113" s="549"/>
      <c r="CL113" s="559"/>
      <c r="CM113" s="550"/>
      <c r="CN113" s="550"/>
      <c r="CO113" s="550"/>
      <c r="CP113" s="550"/>
      <c r="CQ113" s="550"/>
      <c r="CR113" s="550"/>
      <c r="CS113" s="550"/>
      <c r="CT113" s="550"/>
      <c r="CU113" s="550"/>
      <c r="CV113" s="550"/>
      <c r="CW113" s="550"/>
      <c r="CX113" s="562"/>
      <c r="DA113" s="42"/>
    </row>
    <row r="114" spans="2:109" x14ac:dyDescent="0.4">
      <c r="B114" s="504" t="str">
        <f>"FX - "&amp;DA114</f>
        <v>FX - 54</v>
      </c>
      <c r="C114" s="545" t="s">
        <v>1972</v>
      </c>
      <c r="D114" s="547" t="str">
        <f t="shared" ref="D114" si="840">D112</f>
        <v>Portland</v>
      </c>
      <c r="E114" s="548" t="s">
        <v>65</v>
      </c>
      <c r="F114" s="549" cm="1">
        <f t="array" ref="F114">INDEX(FX_Setup,DA114,DB114)</f>
        <v>30</v>
      </c>
      <c r="G114" s="549" cm="1">
        <f t="array" ref="G114">INDEX(FX_Setup,$DA114,DC114)</f>
        <v>42</v>
      </c>
      <c r="H114" s="550" cm="1">
        <f t="array" ref="H114">INDEX(FX_Setup,$DA114,DD114)</f>
        <v>222054</v>
      </c>
      <c r="I114" s="549" t="s">
        <v>27</v>
      </c>
      <c r="J114" s="549"/>
      <c r="K114" s="549"/>
      <c r="L114" s="549" t="s">
        <v>1973</v>
      </c>
      <c r="M114" s="549" t="s">
        <v>90</v>
      </c>
      <c r="N114" s="549" t="s">
        <v>1973</v>
      </c>
      <c r="O114" s="549" t="s">
        <v>90</v>
      </c>
      <c r="P114" s="549"/>
      <c r="Q114" s="560"/>
      <c r="R114" s="37" t="str" cm="1">
        <f t="array" ref="R114">INDEX(Surrogate_Lst,MATCH(INDEX(FX_Setup,DA114,3),Product_GRP,0),2)</f>
        <v>Jet kerosene</v>
      </c>
      <c r="S114" s="36" t="str">
        <f t="shared" ref="S114" si="841">INDEX(Phys_Prop,MATCH(R114,Chem_List,0),5)</f>
        <v>Select Pet Stock</v>
      </c>
      <c r="T114" s="36"/>
      <c r="U114" s="36"/>
      <c r="V114" s="38">
        <f>1-V115</f>
        <v>1</v>
      </c>
      <c r="W114" s="37" t="str">
        <f>R114</f>
        <v>Jet kerosene</v>
      </c>
      <c r="X114" s="36" t="str">
        <f t="shared" ref="X114" si="842">INDEX(Phys_Prop,MATCH(W114,Chem_List,0),5)</f>
        <v>Select Pet Stock</v>
      </c>
      <c r="Y114" s="36"/>
      <c r="Z114" s="36"/>
      <c r="AA114" s="38">
        <f>1-AA115</f>
        <v>1</v>
      </c>
      <c r="AB114" s="37" t="str">
        <f>W114</f>
        <v>Jet kerosene</v>
      </c>
      <c r="AC114" s="36" t="str">
        <f t="shared" ref="AC114" si="843">INDEX(Phys_Prop,MATCH(AB114,Chem_List,0),5)</f>
        <v>Select Pet Stock</v>
      </c>
      <c r="AD114" s="36"/>
      <c r="AE114" s="36"/>
      <c r="AF114" s="38">
        <f>1-AF115</f>
        <v>1</v>
      </c>
      <c r="AG114" s="37" t="str">
        <f>AB114</f>
        <v>Jet kerosene</v>
      </c>
      <c r="AH114" s="36" t="str">
        <f t="shared" ref="AH114" si="844">INDEX(Phys_Prop,MATCH(AG114,Chem_List,0),5)</f>
        <v>Select Pet Stock</v>
      </c>
      <c r="AI114" s="36"/>
      <c r="AJ114" s="36"/>
      <c r="AK114" s="38">
        <f>1-AK115</f>
        <v>1</v>
      </c>
      <c r="AL114" s="37" t="str">
        <f>AG114</f>
        <v>Jet kerosene</v>
      </c>
      <c r="AM114" s="36" t="str">
        <f t="shared" ref="AM114" si="845">INDEX(Phys_Prop,MATCH(AL114,Chem_List,0),5)</f>
        <v>Select Pet Stock</v>
      </c>
      <c r="AN114" s="36"/>
      <c r="AO114" s="36"/>
      <c r="AP114" s="38">
        <f>1-AP115</f>
        <v>1</v>
      </c>
      <c r="AQ114" s="37" t="str">
        <f>AL114</f>
        <v>Jet kerosene</v>
      </c>
      <c r="AR114" s="36" t="str">
        <f t="shared" ref="AR114" si="846">INDEX(Phys_Prop,MATCH(AQ114,Chem_List,0),5)</f>
        <v>Select Pet Stock</v>
      </c>
      <c r="AS114" s="36"/>
      <c r="AT114" s="36"/>
      <c r="AU114" s="38">
        <f>1-AU115</f>
        <v>1</v>
      </c>
      <c r="AV114" s="37" t="str">
        <f>AQ114</f>
        <v>Jet kerosene</v>
      </c>
      <c r="AW114" s="36" t="str">
        <f t="shared" ref="AW114" si="847">INDEX(Phys_Prop,MATCH(AV114,Chem_List,0),5)</f>
        <v>Select Pet Stock</v>
      </c>
      <c r="AX114" s="36"/>
      <c r="AY114" s="36"/>
      <c r="AZ114" s="38">
        <f>1-AZ115</f>
        <v>1</v>
      </c>
      <c r="BA114" s="37" t="str">
        <f>AV114</f>
        <v>Jet kerosene</v>
      </c>
      <c r="BB114" s="36" t="str">
        <f t="shared" ref="BB114" si="848">INDEX(Phys_Prop,MATCH(BA114,Chem_List,0),5)</f>
        <v>Select Pet Stock</v>
      </c>
      <c r="BC114" s="36"/>
      <c r="BD114" s="36"/>
      <c r="BE114" s="38">
        <f>1-BE115</f>
        <v>1</v>
      </c>
      <c r="BF114" s="37" t="str">
        <f>BA114</f>
        <v>Jet kerosene</v>
      </c>
      <c r="BG114" s="36" t="str">
        <f t="shared" ref="BG114" si="849">INDEX(Phys_Prop,MATCH(BF114,Chem_List,0),5)</f>
        <v>Select Pet Stock</v>
      </c>
      <c r="BH114" s="36"/>
      <c r="BI114" s="36"/>
      <c r="BJ114" s="38">
        <f>1-BJ115</f>
        <v>1</v>
      </c>
      <c r="BK114" s="37" t="str">
        <f>BF114</f>
        <v>Jet kerosene</v>
      </c>
      <c r="BL114" s="36" t="str">
        <f t="shared" ref="BL114" si="850">INDEX(Phys_Prop,MATCH(BK114,Chem_List,0),5)</f>
        <v>Select Pet Stock</v>
      </c>
      <c r="BM114" s="36"/>
      <c r="BN114" s="36"/>
      <c r="BO114" s="38">
        <f>1-BO115</f>
        <v>1</v>
      </c>
      <c r="BP114" s="37" t="str">
        <f>BK114</f>
        <v>Jet kerosene</v>
      </c>
      <c r="BQ114" s="36" t="str">
        <f t="shared" ref="BQ114" si="851">INDEX(Phys_Prop,MATCH(BP114,Chem_List,0),5)</f>
        <v>Select Pet Stock</v>
      </c>
      <c r="BR114" s="36"/>
      <c r="BS114" s="36"/>
      <c r="BT114" s="38">
        <f>1-BT115</f>
        <v>1</v>
      </c>
      <c r="BU114" s="37" t="str">
        <f>BP114</f>
        <v>Jet kerosene</v>
      </c>
      <c r="BV114" s="36" t="str">
        <f t="shared" ref="BV114" si="852">INDEX(Phys_Prop,MATCH(BU114,Chem_List,0),5)</f>
        <v>Select Pet Stock</v>
      </c>
      <c r="BW114" s="36"/>
      <c r="BX114" s="36"/>
      <c r="BY114" s="38">
        <f>1-BY115</f>
        <v>1</v>
      </c>
      <c r="BZ114" s="561"/>
      <c r="CA114" s="549"/>
      <c r="CB114" s="549"/>
      <c r="CC114" s="549"/>
      <c r="CD114" s="549"/>
      <c r="CE114" s="549"/>
      <c r="CF114" s="549"/>
      <c r="CG114" s="549"/>
      <c r="CH114" s="549"/>
      <c r="CI114" s="549"/>
      <c r="CJ114" s="549"/>
      <c r="CK114" s="549"/>
      <c r="CL114" s="559" cm="1">
        <f t="array" ref="CL114">INDEX(FX_Setup,DA114,DE114)</f>
        <v>5287</v>
      </c>
      <c r="CM114" s="550">
        <f t="shared" ref="CM114:CW114" si="853">CL114</f>
        <v>5287</v>
      </c>
      <c r="CN114" s="550">
        <f t="shared" si="853"/>
        <v>5287</v>
      </c>
      <c r="CO114" s="550">
        <f t="shared" si="853"/>
        <v>5287</v>
      </c>
      <c r="CP114" s="550">
        <f t="shared" si="853"/>
        <v>5287</v>
      </c>
      <c r="CQ114" s="550">
        <f t="shared" si="853"/>
        <v>5287</v>
      </c>
      <c r="CR114" s="550">
        <f t="shared" si="853"/>
        <v>5287</v>
      </c>
      <c r="CS114" s="550">
        <f t="shared" si="853"/>
        <v>5287</v>
      </c>
      <c r="CT114" s="550">
        <f t="shared" si="853"/>
        <v>5287</v>
      </c>
      <c r="CU114" s="550">
        <f t="shared" si="853"/>
        <v>5287</v>
      </c>
      <c r="CV114" s="550">
        <f t="shared" si="853"/>
        <v>5287</v>
      </c>
      <c r="CW114" s="550">
        <f t="shared" si="853"/>
        <v>5287</v>
      </c>
      <c r="CX114" s="562">
        <f t="shared" ref="CX114" si="854">SUM(CL114:CW115)</f>
        <v>63444</v>
      </c>
      <c r="DA114" s="42">
        <f>DA112+1</f>
        <v>54</v>
      </c>
      <c r="DB114">
        <v>7</v>
      </c>
      <c r="DC114">
        <v>6</v>
      </c>
      <c r="DD114">
        <v>5</v>
      </c>
      <c r="DE114">
        <f t="shared" ref="DE114" si="855">DE112</f>
        <v>9</v>
      </c>
    </row>
    <row r="115" spans="2:109" x14ac:dyDescent="0.4">
      <c r="B115" s="504"/>
      <c r="C115" s="546"/>
      <c r="D115" s="547"/>
      <c r="E115" s="548"/>
      <c r="F115" s="549"/>
      <c r="G115" s="549"/>
      <c r="H115" s="550"/>
      <c r="I115" s="549"/>
      <c r="J115" s="549"/>
      <c r="K115" s="549"/>
      <c r="L115" s="549"/>
      <c r="M115" s="549"/>
      <c r="N115" s="549"/>
      <c r="O115" s="549"/>
      <c r="P115" s="549"/>
      <c r="Q115" s="560"/>
      <c r="R115" s="27"/>
      <c r="S115" s="36"/>
      <c r="T115" s="28"/>
      <c r="U115" s="28"/>
      <c r="V115" s="26"/>
      <c r="W115" s="27"/>
      <c r="X115" s="36"/>
      <c r="Y115" s="28"/>
      <c r="Z115" s="28"/>
      <c r="AA115" s="26"/>
      <c r="AB115" s="27"/>
      <c r="AC115" s="36"/>
      <c r="AD115" s="28"/>
      <c r="AE115" s="28"/>
      <c r="AF115" s="26"/>
      <c r="AG115" s="27"/>
      <c r="AH115" s="36"/>
      <c r="AI115" s="28"/>
      <c r="AJ115" s="28"/>
      <c r="AK115" s="26"/>
      <c r="AL115" s="27"/>
      <c r="AM115" s="36"/>
      <c r="AN115" s="28"/>
      <c r="AO115" s="28"/>
      <c r="AP115" s="26"/>
      <c r="AQ115" s="27"/>
      <c r="AR115" s="36"/>
      <c r="AS115" s="28"/>
      <c r="AT115" s="28"/>
      <c r="AU115" s="26"/>
      <c r="AV115" s="27"/>
      <c r="AW115" s="36"/>
      <c r="AX115" s="28"/>
      <c r="AY115" s="28"/>
      <c r="AZ115" s="26"/>
      <c r="BA115" s="27"/>
      <c r="BB115" s="36"/>
      <c r="BC115" s="28"/>
      <c r="BD115" s="28"/>
      <c r="BE115" s="26"/>
      <c r="BF115" s="27"/>
      <c r="BG115" s="36"/>
      <c r="BH115" s="28"/>
      <c r="BI115" s="28"/>
      <c r="BJ115" s="26"/>
      <c r="BK115" s="27"/>
      <c r="BL115" s="36"/>
      <c r="BM115" s="28"/>
      <c r="BN115" s="28"/>
      <c r="BO115" s="26"/>
      <c r="BP115" s="27"/>
      <c r="BQ115" s="36"/>
      <c r="BR115" s="28"/>
      <c r="BS115" s="28"/>
      <c r="BT115" s="26"/>
      <c r="BU115" s="27"/>
      <c r="BV115" s="36"/>
      <c r="BW115" s="28"/>
      <c r="BX115" s="28"/>
      <c r="BY115" s="26"/>
      <c r="BZ115" s="561"/>
      <c r="CA115" s="549"/>
      <c r="CB115" s="549"/>
      <c r="CC115" s="549"/>
      <c r="CD115" s="549"/>
      <c r="CE115" s="549"/>
      <c r="CF115" s="549"/>
      <c r="CG115" s="549"/>
      <c r="CH115" s="549"/>
      <c r="CI115" s="549"/>
      <c r="CJ115" s="549"/>
      <c r="CK115" s="549"/>
      <c r="CL115" s="559"/>
      <c r="CM115" s="550"/>
      <c r="CN115" s="550"/>
      <c r="CO115" s="550"/>
      <c r="CP115" s="550"/>
      <c r="CQ115" s="550"/>
      <c r="CR115" s="550"/>
      <c r="CS115" s="550"/>
      <c r="CT115" s="550"/>
      <c r="CU115" s="550"/>
      <c r="CV115" s="550"/>
      <c r="CW115" s="550"/>
      <c r="CX115" s="562"/>
      <c r="DA115" s="42"/>
    </row>
    <row r="116" spans="2:109" x14ac:dyDescent="0.4">
      <c r="B116" s="504" t="str">
        <f>"FX - "&amp;DA116</f>
        <v>FX - 55</v>
      </c>
      <c r="C116" s="582" t="s">
        <v>1974</v>
      </c>
      <c r="D116" s="547" t="str">
        <f t="shared" ref="D116" si="856">D114</f>
        <v>Portland</v>
      </c>
      <c r="E116" s="548" t="s">
        <v>65</v>
      </c>
      <c r="F116" s="549" cm="1">
        <f t="array" ref="F116">INDEX(FX_Setup,DA116,DB116)</f>
        <v>30</v>
      </c>
      <c r="G116" s="549" cm="1">
        <f t="array" ref="G116">INDEX(FX_Setup,$DA116,DC116)</f>
        <v>42</v>
      </c>
      <c r="H116" s="550" cm="1">
        <f t="array" ref="H116">INDEX(FX_Setup,$DA116,DD116)</f>
        <v>222054</v>
      </c>
      <c r="I116" s="549" t="s">
        <v>27</v>
      </c>
      <c r="J116" s="549"/>
      <c r="K116" s="549"/>
      <c r="L116" s="549" t="s">
        <v>1973</v>
      </c>
      <c r="M116" s="549" t="s">
        <v>90</v>
      </c>
      <c r="N116" s="549" t="s">
        <v>1973</v>
      </c>
      <c r="O116" s="549" t="s">
        <v>90</v>
      </c>
      <c r="P116" s="549"/>
      <c r="Q116" s="560"/>
      <c r="R116" s="37" t="str" cm="1">
        <f t="array" ref="R116">INDEX(Surrogate_Lst,MATCH(INDEX(FX_Setup,DA116,3),Product_GRP,0),2)</f>
        <v>Jet kerosene</v>
      </c>
      <c r="S116" s="36" t="str">
        <f t="shared" ref="S116" si="857">INDEX(Phys_Prop,MATCH(R116,Chem_List,0),5)</f>
        <v>Select Pet Stock</v>
      </c>
      <c r="T116" s="36"/>
      <c r="U116" s="36"/>
      <c r="V116" s="38">
        <f>1-V117</f>
        <v>1</v>
      </c>
      <c r="W116" s="37" t="str">
        <f>R116</f>
        <v>Jet kerosene</v>
      </c>
      <c r="X116" s="36" t="str">
        <f t="shared" ref="X116" si="858">INDEX(Phys_Prop,MATCH(W116,Chem_List,0),5)</f>
        <v>Select Pet Stock</v>
      </c>
      <c r="Y116" s="36"/>
      <c r="Z116" s="36"/>
      <c r="AA116" s="38">
        <f>1-AA117</f>
        <v>1</v>
      </c>
      <c r="AB116" s="37" t="str">
        <f>W116</f>
        <v>Jet kerosene</v>
      </c>
      <c r="AC116" s="36" t="str">
        <f t="shared" ref="AC116" si="859">INDEX(Phys_Prop,MATCH(AB116,Chem_List,0),5)</f>
        <v>Select Pet Stock</v>
      </c>
      <c r="AD116" s="36"/>
      <c r="AE116" s="36"/>
      <c r="AF116" s="38">
        <f>1-AF117</f>
        <v>1</v>
      </c>
      <c r="AG116" s="37" t="str">
        <f>AB116</f>
        <v>Jet kerosene</v>
      </c>
      <c r="AH116" s="36" t="str">
        <f t="shared" ref="AH116" si="860">INDEX(Phys_Prop,MATCH(AG116,Chem_List,0),5)</f>
        <v>Select Pet Stock</v>
      </c>
      <c r="AI116" s="36"/>
      <c r="AJ116" s="36"/>
      <c r="AK116" s="38">
        <f>1-AK117</f>
        <v>1</v>
      </c>
      <c r="AL116" s="37" t="str">
        <f>AG116</f>
        <v>Jet kerosene</v>
      </c>
      <c r="AM116" s="36" t="str">
        <f t="shared" ref="AM116" si="861">INDEX(Phys_Prop,MATCH(AL116,Chem_List,0),5)</f>
        <v>Select Pet Stock</v>
      </c>
      <c r="AN116" s="36"/>
      <c r="AO116" s="36"/>
      <c r="AP116" s="38">
        <f>1-AP117</f>
        <v>1</v>
      </c>
      <c r="AQ116" s="37" t="str">
        <f>AL116</f>
        <v>Jet kerosene</v>
      </c>
      <c r="AR116" s="36" t="str">
        <f t="shared" ref="AR116" si="862">INDEX(Phys_Prop,MATCH(AQ116,Chem_List,0),5)</f>
        <v>Select Pet Stock</v>
      </c>
      <c r="AS116" s="36"/>
      <c r="AT116" s="36"/>
      <c r="AU116" s="38">
        <f>1-AU117</f>
        <v>1</v>
      </c>
      <c r="AV116" s="37" t="str">
        <f>AQ116</f>
        <v>Jet kerosene</v>
      </c>
      <c r="AW116" s="36" t="str">
        <f t="shared" ref="AW116" si="863">INDEX(Phys_Prop,MATCH(AV116,Chem_List,0),5)</f>
        <v>Select Pet Stock</v>
      </c>
      <c r="AX116" s="36"/>
      <c r="AY116" s="36"/>
      <c r="AZ116" s="38">
        <f>1-AZ117</f>
        <v>1</v>
      </c>
      <c r="BA116" s="37" t="str">
        <f>AV116</f>
        <v>Jet kerosene</v>
      </c>
      <c r="BB116" s="36" t="str">
        <f t="shared" ref="BB116" si="864">INDEX(Phys_Prop,MATCH(BA116,Chem_List,0),5)</f>
        <v>Select Pet Stock</v>
      </c>
      <c r="BC116" s="36"/>
      <c r="BD116" s="36"/>
      <c r="BE116" s="38">
        <f>1-BE117</f>
        <v>1</v>
      </c>
      <c r="BF116" s="37" t="str">
        <f>BA116</f>
        <v>Jet kerosene</v>
      </c>
      <c r="BG116" s="36" t="str">
        <f t="shared" ref="BG116" si="865">INDEX(Phys_Prop,MATCH(BF116,Chem_List,0),5)</f>
        <v>Select Pet Stock</v>
      </c>
      <c r="BH116" s="36"/>
      <c r="BI116" s="36"/>
      <c r="BJ116" s="38">
        <f>1-BJ117</f>
        <v>1</v>
      </c>
      <c r="BK116" s="37" t="str">
        <f>BF116</f>
        <v>Jet kerosene</v>
      </c>
      <c r="BL116" s="36" t="str">
        <f t="shared" ref="BL116" si="866">INDEX(Phys_Prop,MATCH(BK116,Chem_List,0),5)</f>
        <v>Select Pet Stock</v>
      </c>
      <c r="BM116" s="36"/>
      <c r="BN116" s="36"/>
      <c r="BO116" s="38">
        <f>1-BO117</f>
        <v>1</v>
      </c>
      <c r="BP116" s="37" t="str">
        <f>BK116</f>
        <v>Jet kerosene</v>
      </c>
      <c r="BQ116" s="36" t="str">
        <f t="shared" ref="BQ116" si="867">INDEX(Phys_Prop,MATCH(BP116,Chem_List,0),5)</f>
        <v>Select Pet Stock</v>
      </c>
      <c r="BR116" s="36"/>
      <c r="BS116" s="36"/>
      <c r="BT116" s="38">
        <f>1-BT117</f>
        <v>1</v>
      </c>
      <c r="BU116" s="37" t="str">
        <f>BP116</f>
        <v>Jet kerosene</v>
      </c>
      <c r="BV116" s="36" t="str">
        <f t="shared" ref="BV116" si="868">INDEX(Phys_Prop,MATCH(BU116,Chem_List,0),5)</f>
        <v>Select Pet Stock</v>
      </c>
      <c r="BW116" s="36"/>
      <c r="BX116" s="36"/>
      <c r="BY116" s="38">
        <f>1-BY117</f>
        <v>1</v>
      </c>
      <c r="BZ116" s="561"/>
      <c r="CA116" s="549"/>
      <c r="CB116" s="549"/>
      <c r="CC116" s="549"/>
      <c r="CD116" s="549"/>
      <c r="CE116" s="549"/>
      <c r="CF116" s="549"/>
      <c r="CG116" s="549"/>
      <c r="CH116" s="549"/>
      <c r="CI116" s="549"/>
      <c r="CJ116" s="549"/>
      <c r="CK116" s="549"/>
      <c r="CL116" s="559" cm="1">
        <f t="array" ref="CL116">INDEX(FX_Setup,DA116,DE116)</f>
        <v>5287</v>
      </c>
      <c r="CM116" s="550">
        <f t="shared" ref="CM116:CW116" si="869">CL116</f>
        <v>5287</v>
      </c>
      <c r="CN116" s="550">
        <f t="shared" si="869"/>
        <v>5287</v>
      </c>
      <c r="CO116" s="550">
        <f t="shared" si="869"/>
        <v>5287</v>
      </c>
      <c r="CP116" s="550">
        <f t="shared" si="869"/>
        <v>5287</v>
      </c>
      <c r="CQ116" s="550">
        <f t="shared" si="869"/>
        <v>5287</v>
      </c>
      <c r="CR116" s="550">
        <f t="shared" si="869"/>
        <v>5287</v>
      </c>
      <c r="CS116" s="550">
        <f t="shared" si="869"/>
        <v>5287</v>
      </c>
      <c r="CT116" s="550">
        <f t="shared" si="869"/>
        <v>5287</v>
      </c>
      <c r="CU116" s="550">
        <f t="shared" si="869"/>
        <v>5287</v>
      </c>
      <c r="CV116" s="550">
        <f t="shared" si="869"/>
        <v>5287</v>
      </c>
      <c r="CW116" s="550">
        <f t="shared" si="869"/>
        <v>5287</v>
      </c>
      <c r="CX116" s="562">
        <f t="shared" ref="CX116" si="870">SUM(CL116:CW117)</f>
        <v>63444</v>
      </c>
      <c r="DA116" s="42">
        <f>DA114+1</f>
        <v>55</v>
      </c>
      <c r="DB116">
        <v>7</v>
      </c>
      <c r="DC116">
        <v>6</v>
      </c>
      <c r="DD116">
        <v>5</v>
      </c>
      <c r="DE116">
        <f t="shared" ref="DE116" si="871">DE114</f>
        <v>9</v>
      </c>
    </row>
    <row r="117" spans="2:109" x14ac:dyDescent="0.4">
      <c r="B117" s="504"/>
      <c r="C117" s="582"/>
      <c r="D117" s="547"/>
      <c r="E117" s="548"/>
      <c r="F117" s="549"/>
      <c r="G117" s="549"/>
      <c r="H117" s="550"/>
      <c r="I117" s="549"/>
      <c r="J117" s="549"/>
      <c r="K117" s="549"/>
      <c r="L117" s="549"/>
      <c r="M117" s="549"/>
      <c r="N117" s="549"/>
      <c r="O117" s="549"/>
      <c r="P117" s="549"/>
      <c r="Q117" s="560"/>
      <c r="R117" s="27"/>
      <c r="S117" s="36"/>
      <c r="T117" s="28"/>
      <c r="U117" s="28"/>
      <c r="V117" s="26"/>
      <c r="W117" s="27"/>
      <c r="X117" s="36"/>
      <c r="Y117" s="28"/>
      <c r="Z117" s="28"/>
      <c r="AA117" s="26"/>
      <c r="AB117" s="27"/>
      <c r="AC117" s="36"/>
      <c r="AD117" s="28"/>
      <c r="AE117" s="28"/>
      <c r="AF117" s="26"/>
      <c r="AG117" s="27"/>
      <c r="AH117" s="36"/>
      <c r="AI117" s="28"/>
      <c r="AJ117" s="28"/>
      <c r="AK117" s="26"/>
      <c r="AL117" s="27"/>
      <c r="AM117" s="36"/>
      <c r="AN117" s="28"/>
      <c r="AO117" s="28"/>
      <c r="AP117" s="26"/>
      <c r="AQ117" s="27"/>
      <c r="AR117" s="36"/>
      <c r="AS117" s="28"/>
      <c r="AT117" s="28"/>
      <c r="AU117" s="26"/>
      <c r="AV117" s="27"/>
      <c r="AW117" s="36"/>
      <c r="AX117" s="28"/>
      <c r="AY117" s="28"/>
      <c r="AZ117" s="26"/>
      <c r="BA117" s="27"/>
      <c r="BB117" s="36"/>
      <c r="BC117" s="28"/>
      <c r="BD117" s="28"/>
      <c r="BE117" s="26"/>
      <c r="BF117" s="27"/>
      <c r="BG117" s="36"/>
      <c r="BH117" s="28"/>
      <c r="BI117" s="28"/>
      <c r="BJ117" s="26"/>
      <c r="BK117" s="27"/>
      <c r="BL117" s="36"/>
      <c r="BM117" s="28"/>
      <c r="BN117" s="28"/>
      <c r="BO117" s="26"/>
      <c r="BP117" s="27"/>
      <c r="BQ117" s="36"/>
      <c r="BR117" s="28"/>
      <c r="BS117" s="28"/>
      <c r="BT117" s="26"/>
      <c r="BU117" s="27"/>
      <c r="BV117" s="36"/>
      <c r="BW117" s="28"/>
      <c r="BX117" s="28"/>
      <c r="BY117" s="26"/>
      <c r="BZ117" s="561"/>
      <c r="CA117" s="549"/>
      <c r="CB117" s="549"/>
      <c r="CC117" s="549"/>
      <c r="CD117" s="549"/>
      <c r="CE117" s="549"/>
      <c r="CF117" s="549"/>
      <c r="CG117" s="549"/>
      <c r="CH117" s="549"/>
      <c r="CI117" s="549"/>
      <c r="CJ117" s="549"/>
      <c r="CK117" s="549"/>
      <c r="CL117" s="559"/>
      <c r="CM117" s="550"/>
      <c r="CN117" s="550"/>
      <c r="CO117" s="550"/>
      <c r="CP117" s="550"/>
      <c r="CQ117" s="550"/>
      <c r="CR117" s="550"/>
      <c r="CS117" s="550"/>
      <c r="CT117" s="550"/>
      <c r="CU117" s="550"/>
      <c r="CV117" s="550"/>
      <c r="CW117" s="550"/>
      <c r="CX117" s="562"/>
      <c r="DA117" s="42"/>
    </row>
    <row r="118" spans="2:109" x14ac:dyDescent="0.4">
      <c r="B118" s="504" t="str">
        <f t="shared" ref="B118" si="872">"FX - "&amp;DA118</f>
        <v>FX - 56</v>
      </c>
      <c r="C118" s="582" t="s">
        <v>1924</v>
      </c>
      <c r="D118" s="547" t="str">
        <f>D112</f>
        <v>Portland</v>
      </c>
      <c r="E118" s="548" t="s">
        <v>65</v>
      </c>
      <c r="F118" s="549" cm="1">
        <f t="array" ref="F118">INDEX(FX_Setup,DA118,DB118)</f>
        <v>10</v>
      </c>
      <c r="G118" s="549" cm="1">
        <f t="array" ref="G118">INDEX(FX_Setup,$DA118,DC118)</f>
        <v>20</v>
      </c>
      <c r="H118" s="550" cm="1">
        <f t="array" ref="H118">INDEX(FX_Setup,$DA118,DD118)</f>
        <v>11760</v>
      </c>
      <c r="I118" s="549" t="s">
        <v>27</v>
      </c>
      <c r="J118" s="549"/>
      <c r="K118" s="549"/>
      <c r="L118" s="549" t="s">
        <v>93</v>
      </c>
      <c r="M118" s="549" t="s">
        <v>90</v>
      </c>
      <c r="N118" s="549" t="s">
        <v>28</v>
      </c>
      <c r="O118" s="549" t="s">
        <v>90</v>
      </c>
      <c r="P118" s="549"/>
      <c r="Q118" s="560"/>
      <c r="R118" s="37" t="str" cm="1">
        <f t="array" ref="R118">INDEX(Surrogate_Lst,MATCH(INDEX(FX_Setup,DA118,3),Product_GRP,0),2)</f>
        <v>Jet kerosene</v>
      </c>
      <c r="S118" s="36" t="str">
        <f t="shared" ref="S118" si="873">INDEX(Phys_Prop,MATCH(R118,Chem_List,0),5)</f>
        <v>Select Pet Stock</v>
      </c>
      <c r="T118" s="36"/>
      <c r="U118" s="36"/>
      <c r="V118" s="38">
        <f>1-V119</f>
        <v>1</v>
      </c>
      <c r="W118" s="37" t="str">
        <f>R118</f>
        <v>Jet kerosene</v>
      </c>
      <c r="X118" s="36" t="str">
        <f t="shared" ref="X118" si="874">INDEX(Phys_Prop,MATCH(W118,Chem_List,0),5)</f>
        <v>Select Pet Stock</v>
      </c>
      <c r="Y118" s="36"/>
      <c r="Z118" s="36"/>
      <c r="AA118" s="38">
        <f>1-AA119</f>
        <v>1</v>
      </c>
      <c r="AB118" s="37" t="str">
        <f>W118</f>
        <v>Jet kerosene</v>
      </c>
      <c r="AC118" s="36" t="str">
        <f t="shared" ref="AC118" si="875">INDEX(Phys_Prop,MATCH(AB118,Chem_List,0),5)</f>
        <v>Select Pet Stock</v>
      </c>
      <c r="AD118" s="36"/>
      <c r="AE118" s="36"/>
      <c r="AF118" s="38">
        <f>1-AF119</f>
        <v>1</v>
      </c>
      <c r="AG118" s="37" t="str">
        <f>AB118</f>
        <v>Jet kerosene</v>
      </c>
      <c r="AH118" s="36" t="str">
        <f t="shared" ref="AH118" si="876">INDEX(Phys_Prop,MATCH(AG118,Chem_List,0),5)</f>
        <v>Select Pet Stock</v>
      </c>
      <c r="AI118" s="36"/>
      <c r="AJ118" s="36"/>
      <c r="AK118" s="38">
        <f>1-AK119</f>
        <v>1</v>
      </c>
      <c r="AL118" s="37" t="str">
        <f>AG118</f>
        <v>Jet kerosene</v>
      </c>
      <c r="AM118" s="36" t="str">
        <f t="shared" ref="AM118" si="877">INDEX(Phys_Prop,MATCH(AL118,Chem_List,0),5)</f>
        <v>Select Pet Stock</v>
      </c>
      <c r="AN118" s="36"/>
      <c r="AO118" s="36"/>
      <c r="AP118" s="38">
        <f>1-AP119</f>
        <v>1</v>
      </c>
      <c r="AQ118" s="37" t="str">
        <f>AL118</f>
        <v>Jet kerosene</v>
      </c>
      <c r="AR118" s="36" t="str">
        <f t="shared" ref="AR118" si="878">INDEX(Phys_Prop,MATCH(AQ118,Chem_List,0),5)</f>
        <v>Select Pet Stock</v>
      </c>
      <c r="AS118" s="36"/>
      <c r="AT118" s="36"/>
      <c r="AU118" s="38">
        <f>1-AU119</f>
        <v>1</v>
      </c>
      <c r="AV118" s="37" t="str">
        <f>AQ118</f>
        <v>Jet kerosene</v>
      </c>
      <c r="AW118" s="36" t="str">
        <f t="shared" ref="AW118" si="879">INDEX(Phys_Prop,MATCH(AV118,Chem_List,0),5)</f>
        <v>Select Pet Stock</v>
      </c>
      <c r="AX118" s="36"/>
      <c r="AY118" s="36"/>
      <c r="AZ118" s="38">
        <f>1-AZ119</f>
        <v>1</v>
      </c>
      <c r="BA118" s="37" t="str">
        <f>AV118</f>
        <v>Jet kerosene</v>
      </c>
      <c r="BB118" s="36" t="str">
        <f t="shared" ref="BB118" si="880">INDEX(Phys_Prop,MATCH(BA118,Chem_List,0),5)</f>
        <v>Select Pet Stock</v>
      </c>
      <c r="BC118" s="36"/>
      <c r="BD118" s="36"/>
      <c r="BE118" s="38">
        <f>1-BE119</f>
        <v>1</v>
      </c>
      <c r="BF118" s="37" t="str">
        <f>BA118</f>
        <v>Jet kerosene</v>
      </c>
      <c r="BG118" s="36" t="str">
        <f t="shared" ref="BG118" si="881">INDEX(Phys_Prop,MATCH(BF118,Chem_List,0),5)</f>
        <v>Select Pet Stock</v>
      </c>
      <c r="BH118" s="36"/>
      <c r="BI118" s="36"/>
      <c r="BJ118" s="38">
        <f>1-BJ119</f>
        <v>1</v>
      </c>
      <c r="BK118" s="37" t="str">
        <f>BF118</f>
        <v>Jet kerosene</v>
      </c>
      <c r="BL118" s="36" t="str">
        <f t="shared" ref="BL118" si="882">INDEX(Phys_Prop,MATCH(BK118,Chem_List,0),5)</f>
        <v>Select Pet Stock</v>
      </c>
      <c r="BM118" s="36"/>
      <c r="BN118" s="36"/>
      <c r="BO118" s="38">
        <f>1-BO119</f>
        <v>1</v>
      </c>
      <c r="BP118" s="37" t="str">
        <f>BK118</f>
        <v>Jet kerosene</v>
      </c>
      <c r="BQ118" s="36" t="str">
        <f t="shared" ref="BQ118" si="883">INDEX(Phys_Prop,MATCH(BP118,Chem_List,0),5)</f>
        <v>Select Pet Stock</v>
      </c>
      <c r="BR118" s="36"/>
      <c r="BS118" s="36"/>
      <c r="BT118" s="38">
        <f>1-BT119</f>
        <v>1</v>
      </c>
      <c r="BU118" s="37" t="str">
        <f>BP118</f>
        <v>Jet kerosene</v>
      </c>
      <c r="BV118" s="36" t="str">
        <f t="shared" ref="BV118" si="884">INDEX(Phys_Prop,MATCH(BU118,Chem_List,0),5)</f>
        <v>Select Pet Stock</v>
      </c>
      <c r="BW118" s="36"/>
      <c r="BX118" s="36"/>
      <c r="BY118" s="38">
        <f>1-BY119</f>
        <v>1</v>
      </c>
      <c r="BZ118" s="561"/>
      <c r="CA118" s="549"/>
      <c r="CB118" s="549"/>
      <c r="CC118" s="549"/>
      <c r="CD118" s="549"/>
      <c r="CE118" s="549"/>
      <c r="CF118" s="549"/>
      <c r="CG118" s="549"/>
      <c r="CH118" s="549"/>
      <c r="CI118" s="549"/>
      <c r="CJ118" s="549"/>
      <c r="CK118" s="549"/>
      <c r="CL118" s="559" cm="1">
        <f t="array" ref="CL118">INDEX(FX_Setup,DA118,DE118)</f>
        <v>280</v>
      </c>
      <c r="CM118" s="550">
        <f t="shared" ref="CM118:CW118" si="885">CL118</f>
        <v>280</v>
      </c>
      <c r="CN118" s="550">
        <f t="shared" si="885"/>
        <v>280</v>
      </c>
      <c r="CO118" s="550">
        <f t="shared" si="885"/>
        <v>280</v>
      </c>
      <c r="CP118" s="550">
        <f t="shared" si="885"/>
        <v>280</v>
      </c>
      <c r="CQ118" s="550">
        <f t="shared" si="885"/>
        <v>280</v>
      </c>
      <c r="CR118" s="550">
        <f t="shared" si="885"/>
        <v>280</v>
      </c>
      <c r="CS118" s="550">
        <f t="shared" si="885"/>
        <v>280</v>
      </c>
      <c r="CT118" s="550">
        <f t="shared" si="885"/>
        <v>280</v>
      </c>
      <c r="CU118" s="550">
        <f t="shared" si="885"/>
        <v>280</v>
      </c>
      <c r="CV118" s="550">
        <f t="shared" si="885"/>
        <v>280</v>
      </c>
      <c r="CW118" s="550">
        <f t="shared" si="885"/>
        <v>280</v>
      </c>
      <c r="CX118" s="562">
        <f t="shared" ref="CX118" si="886">SUM(CL118:CW119)</f>
        <v>3360</v>
      </c>
      <c r="DA118" s="42">
        <f>DA116+1</f>
        <v>56</v>
      </c>
      <c r="DB118">
        <v>7</v>
      </c>
      <c r="DC118">
        <v>6</v>
      </c>
      <c r="DD118">
        <v>5</v>
      </c>
      <c r="DE118">
        <f t="shared" ref="DE118" si="887">DE116</f>
        <v>9</v>
      </c>
    </row>
    <row r="119" spans="2:109" x14ac:dyDescent="0.4">
      <c r="B119" s="504"/>
      <c r="C119" s="582"/>
      <c r="D119" s="547"/>
      <c r="E119" s="548"/>
      <c r="F119" s="549"/>
      <c r="G119" s="549"/>
      <c r="H119" s="550"/>
      <c r="I119" s="549"/>
      <c r="J119" s="549"/>
      <c r="K119" s="549"/>
      <c r="L119" s="549"/>
      <c r="M119" s="549"/>
      <c r="N119" s="549"/>
      <c r="O119" s="549"/>
      <c r="P119" s="549"/>
      <c r="Q119" s="560"/>
      <c r="R119" s="27"/>
      <c r="S119" s="36"/>
      <c r="T119" s="28"/>
      <c r="U119" s="28"/>
      <c r="V119" s="26"/>
      <c r="W119" s="27"/>
      <c r="X119" s="36"/>
      <c r="Y119" s="28"/>
      <c r="Z119" s="28"/>
      <c r="AA119" s="26"/>
      <c r="AB119" s="27"/>
      <c r="AC119" s="36"/>
      <c r="AD119" s="28"/>
      <c r="AE119" s="28"/>
      <c r="AF119" s="26"/>
      <c r="AG119" s="27"/>
      <c r="AH119" s="36"/>
      <c r="AI119" s="28"/>
      <c r="AJ119" s="28"/>
      <c r="AK119" s="26"/>
      <c r="AL119" s="27"/>
      <c r="AM119" s="36"/>
      <c r="AN119" s="28"/>
      <c r="AO119" s="28"/>
      <c r="AP119" s="26"/>
      <c r="AQ119" s="27"/>
      <c r="AR119" s="36"/>
      <c r="AS119" s="28"/>
      <c r="AT119" s="28"/>
      <c r="AU119" s="26"/>
      <c r="AV119" s="27"/>
      <c r="AW119" s="36"/>
      <c r="AX119" s="28"/>
      <c r="AY119" s="28"/>
      <c r="AZ119" s="26"/>
      <c r="BA119" s="27"/>
      <c r="BB119" s="36"/>
      <c r="BC119" s="28"/>
      <c r="BD119" s="28"/>
      <c r="BE119" s="26"/>
      <c r="BF119" s="27"/>
      <c r="BG119" s="36"/>
      <c r="BH119" s="28"/>
      <c r="BI119" s="28"/>
      <c r="BJ119" s="26"/>
      <c r="BK119" s="27"/>
      <c r="BL119" s="36"/>
      <c r="BM119" s="28"/>
      <c r="BN119" s="28"/>
      <c r="BO119" s="26"/>
      <c r="BP119" s="27"/>
      <c r="BQ119" s="36"/>
      <c r="BR119" s="28"/>
      <c r="BS119" s="28"/>
      <c r="BT119" s="26"/>
      <c r="BU119" s="27"/>
      <c r="BV119" s="36"/>
      <c r="BW119" s="28"/>
      <c r="BX119" s="28"/>
      <c r="BY119" s="26"/>
      <c r="BZ119" s="561"/>
      <c r="CA119" s="549"/>
      <c r="CB119" s="549"/>
      <c r="CC119" s="549"/>
      <c r="CD119" s="549"/>
      <c r="CE119" s="549"/>
      <c r="CF119" s="549"/>
      <c r="CG119" s="549"/>
      <c r="CH119" s="549"/>
      <c r="CI119" s="549"/>
      <c r="CJ119" s="549"/>
      <c r="CK119" s="549"/>
      <c r="CL119" s="559"/>
      <c r="CM119" s="550"/>
      <c r="CN119" s="550"/>
      <c r="CO119" s="550"/>
      <c r="CP119" s="550"/>
      <c r="CQ119" s="550"/>
      <c r="CR119" s="550"/>
      <c r="CS119" s="550"/>
      <c r="CT119" s="550"/>
      <c r="CU119" s="550"/>
      <c r="CV119" s="550"/>
      <c r="CW119" s="550"/>
      <c r="CX119" s="562"/>
      <c r="DA119" s="42"/>
    </row>
    <row r="120" spans="2:109" s="39" customFormat="1" x14ac:dyDescent="0.4">
      <c r="B120" s="569" t="str">
        <f t="shared" ref="B120" si="888">"FX - "&amp;DA120</f>
        <v>FX - 57</v>
      </c>
      <c r="C120" s="570" t="s">
        <v>2027</v>
      </c>
      <c r="D120" s="572" t="str">
        <f>D114</f>
        <v>Portland</v>
      </c>
      <c r="E120" s="573" t="s">
        <v>65</v>
      </c>
      <c r="F120" s="574" cm="1">
        <f t="array" ref="F120">INDEX(FX_Setup,DA120,DB120)</f>
        <v>12</v>
      </c>
      <c r="G120" s="574" cm="1">
        <f t="array" ref="G120">INDEX(FX_Setup,$DA120,DC120)</f>
        <v>24</v>
      </c>
      <c r="H120" s="577" cm="1">
        <f t="array" ref="H120">INDEX(FX_Setup,$DA120,DD120)</f>
        <v>20370</v>
      </c>
      <c r="I120" s="574" t="s">
        <v>27</v>
      </c>
      <c r="J120" s="574"/>
      <c r="K120" s="574"/>
      <c r="L120" s="574" t="s">
        <v>93</v>
      </c>
      <c r="M120" s="574" t="s">
        <v>90</v>
      </c>
      <c r="N120" s="574" t="s">
        <v>28</v>
      </c>
      <c r="O120" s="574" t="s">
        <v>90</v>
      </c>
      <c r="P120" s="574"/>
      <c r="Q120" s="575"/>
      <c r="R120" s="377" t="str" cm="1">
        <f t="array" ref="R120">INDEX(Surrogate_Lst,MATCH(INDEX(FX_Setup,DA120,3),Product_GRP,0),2)</f>
        <v>Jet kerosene</v>
      </c>
      <c r="S120" s="378" t="str">
        <f t="shared" ref="S120" si="889">INDEX(Phys_Prop,MATCH(R120,Chem_List,0),5)</f>
        <v>Select Pet Stock</v>
      </c>
      <c r="T120" s="378"/>
      <c r="U120" s="378"/>
      <c r="V120" s="379">
        <f>1-V121</f>
        <v>1</v>
      </c>
      <c r="W120" s="377" t="str">
        <f>R120</f>
        <v>Jet kerosene</v>
      </c>
      <c r="X120" s="378" t="str">
        <f t="shared" ref="X120" si="890">INDEX(Phys_Prop,MATCH(W120,Chem_List,0),5)</f>
        <v>Select Pet Stock</v>
      </c>
      <c r="Y120" s="378"/>
      <c r="Z120" s="378"/>
      <c r="AA120" s="379">
        <f>1-AA121</f>
        <v>1</v>
      </c>
      <c r="AB120" s="377" t="str">
        <f>W120</f>
        <v>Jet kerosene</v>
      </c>
      <c r="AC120" s="378" t="str">
        <f t="shared" ref="AC120" si="891">INDEX(Phys_Prop,MATCH(AB120,Chem_List,0),5)</f>
        <v>Select Pet Stock</v>
      </c>
      <c r="AD120" s="378"/>
      <c r="AE120" s="378"/>
      <c r="AF120" s="379">
        <f>1-AF121</f>
        <v>1</v>
      </c>
      <c r="AG120" s="377" t="str">
        <f>AB120</f>
        <v>Jet kerosene</v>
      </c>
      <c r="AH120" s="378" t="str">
        <f t="shared" ref="AH120" si="892">INDEX(Phys_Prop,MATCH(AG120,Chem_List,0),5)</f>
        <v>Select Pet Stock</v>
      </c>
      <c r="AI120" s="378"/>
      <c r="AJ120" s="378"/>
      <c r="AK120" s="379">
        <f>1-AK121</f>
        <v>1</v>
      </c>
      <c r="AL120" s="377" t="str">
        <f>AG120</f>
        <v>Jet kerosene</v>
      </c>
      <c r="AM120" s="378" t="str">
        <f t="shared" ref="AM120" si="893">INDEX(Phys_Prop,MATCH(AL120,Chem_List,0),5)</f>
        <v>Select Pet Stock</v>
      </c>
      <c r="AN120" s="378"/>
      <c r="AO120" s="378"/>
      <c r="AP120" s="379">
        <f>1-AP121</f>
        <v>1</v>
      </c>
      <c r="AQ120" s="377" t="str">
        <f>AL120</f>
        <v>Jet kerosene</v>
      </c>
      <c r="AR120" s="378" t="str">
        <f t="shared" ref="AR120" si="894">INDEX(Phys_Prop,MATCH(AQ120,Chem_List,0),5)</f>
        <v>Select Pet Stock</v>
      </c>
      <c r="AS120" s="378"/>
      <c r="AT120" s="378"/>
      <c r="AU120" s="379">
        <f>1-AU121</f>
        <v>1</v>
      </c>
      <c r="AV120" s="377" t="str">
        <f>AQ120</f>
        <v>Jet kerosene</v>
      </c>
      <c r="AW120" s="378" t="str">
        <f t="shared" ref="AW120" si="895">INDEX(Phys_Prop,MATCH(AV120,Chem_List,0),5)</f>
        <v>Select Pet Stock</v>
      </c>
      <c r="AX120" s="378"/>
      <c r="AY120" s="378"/>
      <c r="AZ120" s="379">
        <f>1-AZ121</f>
        <v>1</v>
      </c>
      <c r="BA120" s="377" t="str">
        <f>AV120</f>
        <v>Jet kerosene</v>
      </c>
      <c r="BB120" s="378" t="str">
        <f t="shared" ref="BB120" si="896">INDEX(Phys_Prop,MATCH(BA120,Chem_List,0),5)</f>
        <v>Select Pet Stock</v>
      </c>
      <c r="BC120" s="378"/>
      <c r="BD120" s="378"/>
      <c r="BE120" s="379">
        <f>1-BE121</f>
        <v>1</v>
      </c>
      <c r="BF120" s="377" t="str">
        <f>BA120</f>
        <v>Jet kerosene</v>
      </c>
      <c r="BG120" s="378" t="str">
        <f t="shared" ref="BG120" si="897">INDEX(Phys_Prop,MATCH(BF120,Chem_List,0),5)</f>
        <v>Select Pet Stock</v>
      </c>
      <c r="BH120" s="378"/>
      <c r="BI120" s="378"/>
      <c r="BJ120" s="379">
        <f>1-BJ121</f>
        <v>1</v>
      </c>
      <c r="BK120" s="377" t="str">
        <f>BF120</f>
        <v>Jet kerosene</v>
      </c>
      <c r="BL120" s="378" t="str">
        <f t="shared" ref="BL120" si="898">INDEX(Phys_Prop,MATCH(BK120,Chem_List,0),5)</f>
        <v>Select Pet Stock</v>
      </c>
      <c r="BM120" s="378"/>
      <c r="BN120" s="378"/>
      <c r="BO120" s="379">
        <f>1-BO121</f>
        <v>1</v>
      </c>
      <c r="BP120" s="377" t="str">
        <f>BK120</f>
        <v>Jet kerosene</v>
      </c>
      <c r="BQ120" s="378" t="str">
        <f t="shared" ref="BQ120" si="899">INDEX(Phys_Prop,MATCH(BP120,Chem_List,0),5)</f>
        <v>Select Pet Stock</v>
      </c>
      <c r="BR120" s="378"/>
      <c r="BS120" s="378"/>
      <c r="BT120" s="379">
        <f>1-BT121</f>
        <v>1</v>
      </c>
      <c r="BU120" s="377" t="str">
        <f>BP120</f>
        <v>Jet kerosene</v>
      </c>
      <c r="BV120" s="378" t="str">
        <f t="shared" ref="BV120" si="900">INDEX(Phys_Prop,MATCH(BU120,Chem_List,0),5)</f>
        <v>Select Pet Stock</v>
      </c>
      <c r="BW120" s="378"/>
      <c r="BX120" s="378"/>
      <c r="BY120" s="379">
        <f>1-BY121</f>
        <v>1</v>
      </c>
      <c r="BZ120" s="576"/>
      <c r="CA120" s="574"/>
      <c r="CB120" s="574"/>
      <c r="CC120" s="574"/>
      <c r="CD120" s="574"/>
      <c r="CE120" s="574"/>
      <c r="CF120" s="574"/>
      <c r="CG120" s="574"/>
      <c r="CH120" s="574"/>
      <c r="CI120" s="574"/>
      <c r="CJ120" s="574"/>
      <c r="CK120" s="574"/>
      <c r="CL120" s="595" cm="1">
        <f t="array" ref="CL120">INDEX(FX_Setup,DA120,DE120)</f>
        <v>485</v>
      </c>
      <c r="CM120" s="591">
        <f t="shared" ref="CM120:CW120" si="901">CL120</f>
        <v>485</v>
      </c>
      <c r="CN120" s="591">
        <f t="shared" si="901"/>
        <v>485</v>
      </c>
      <c r="CO120" s="591">
        <f t="shared" si="901"/>
        <v>485</v>
      </c>
      <c r="CP120" s="591">
        <f t="shared" si="901"/>
        <v>485</v>
      </c>
      <c r="CQ120" s="591">
        <f t="shared" si="901"/>
        <v>485</v>
      </c>
      <c r="CR120" s="591">
        <f t="shared" si="901"/>
        <v>485</v>
      </c>
      <c r="CS120" s="591">
        <f t="shared" si="901"/>
        <v>485</v>
      </c>
      <c r="CT120" s="591">
        <f t="shared" si="901"/>
        <v>485</v>
      </c>
      <c r="CU120" s="591">
        <f t="shared" si="901"/>
        <v>485</v>
      </c>
      <c r="CV120" s="591">
        <f t="shared" si="901"/>
        <v>485</v>
      </c>
      <c r="CW120" s="591">
        <f t="shared" si="901"/>
        <v>485</v>
      </c>
      <c r="CX120" s="593">
        <f t="shared" ref="CX120" si="902">SUM(CL120:CW121)</f>
        <v>5820</v>
      </c>
      <c r="DA120" s="42">
        <f>DA118+1</f>
        <v>57</v>
      </c>
      <c r="DB120">
        <v>7</v>
      </c>
      <c r="DC120">
        <v>6</v>
      </c>
      <c r="DD120">
        <v>5</v>
      </c>
      <c r="DE120">
        <f t="shared" ref="DE120" si="903">DE118</f>
        <v>9</v>
      </c>
    </row>
    <row r="121" spans="2:109" s="39" customFormat="1" x14ac:dyDescent="0.4">
      <c r="B121" s="569"/>
      <c r="C121" s="571"/>
      <c r="D121" s="572"/>
      <c r="E121" s="573"/>
      <c r="F121" s="574"/>
      <c r="G121" s="574"/>
      <c r="H121" s="577"/>
      <c r="I121" s="574"/>
      <c r="J121" s="574"/>
      <c r="K121" s="574"/>
      <c r="L121" s="574"/>
      <c r="M121" s="574"/>
      <c r="N121" s="574"/>
      <c r="O121" s="574"/>
      <c r="P121" s="574"/>
      <c r="Q121" s="575"/>
      <c r="R121" s="380"/>
      <c r="S121" s="378"/>
      <c r="T121" s="381"/>
      <c r="U121" s="381"/>
      <c r="V121" s="382"/>
      <c r="W121" s="380"/>
      <c r="X121" s="378"/>
      <c r="Y121" s="381"/>
      <c r="Z121" s="381"/>
      <c r="AA121" s="382"/>
      <c r="AB121" s="380"/>
      <c r="AC121" s="378"/>
      <c r="AD121" s="381"/>
      <c r="AE121" s="381"/>
      <c r="AF121" s="382"/>
      <c r="AG121" s="380"/>
      <c r="AH121" s="378"/>
      <c r="AI121" s="381"/>
      <c r="AJ121" s="381"/>
      <c r="AK121" s="382"/>
      <c r="AL121" s="380"/>
      <c r="AM121" s="378"/>
      <c r="AN121" s="381"/>
      <c r="AO121" s="381"/>
      <c r="AP121" s="382"/>
      <c r="AQ121" s="380"/>
      <c r="AR121" s="378"/>
      <c r="AS121" s="381"/>
      <c r="AT121" s="381"/>
      <c r="AU121" s="382"/>
      <c r="AV121" s="380"/>
      <c r="AW121" s="378"/>
      <c r="AX121" s="381"/>
      <c r="AY121" s="381"/>
      <c r="AZ121" s="382"/>
      <c r="BA121" s="380"/>
      <c r="BB121" s="378"/>
      <c r="BC121" s="381"/>
      <c r="BD121" s="381"/>
      <c r="BE121" s="382"/>
      <c r="BF121" s="380"/>
      <c r="BG121" s="378"/>
      <c r="BH121" s="381"/>
      <c r="BI121" s="381"/>
      <c r="BJ121" s="382"/>
      <c r="BK121" s="380"/>
      <c r="BL121" s="378"/>
      <c r="BM121" s="381"/>
      <c r="BN121" s="381"/>
      <c r="BO121" s="382"/>
      <c r="BP121" s="380"/>
      <c r="BQ121" s="378"/>
      <c r="BR121" s="381"/>
      <c r="BS121" s="381"/>
      <c r="BT121" s="382"/>
      <c r="BU121" s="380"/>
      <c r="BV121" s="378"/>
      <c r="BW121" s="381"/>
      <c r="BX121" s="381"/>
      <c r="BY121" s="382"/>
      <c r="BZ121" s="576"/>
      <c r="CA121" s="574"/>
      <c r="CB121" s="574"/>
      <c r="CC121" s="574"/>
      <c r="CD121" s="574"/>
      <c r="CE121" s="574"/>
      <c r="CF121" s="574"/>
      <c r="CG121" s="574"/>
      <c r="CH121" s="574"/>
      <c r="CI121" s="574"/>
      <c r="CJ121" s="574"/>
      <c r="CK121" s="574"/>
      <c r="CL121" s="596"/>
      <c r="CM121" s="592"/>
      <c r="CN121" s="592"/>
      <c r="CO121" s="592"/>
      <c r="CP121" s="592"/>
      <c r="CQ121" s="592"/>
      <c r="CR121" s="592"/>
      <c r="CS121" s="592"/>
      <c r="CT121" s="592"/>
      <c r="CU121" s="592"/>
      <c r="CV121" s="592"/>
      <c r="CW121" s="592"/>
      <c r="CX121" s="594"/>
      <c r="DA121" s="42"/>
      <c r="DB121"/>
      <c r="DC121"/>
      <c r="DD121"/>
      <c r="DE121"/>
    </row>
    <row r="122" spans="2:109" s="39" customFormat="1" x14ac:dyDescent="0.4">
      <c r="B122" s="569" t="str">
        <f t="shared" ref="B122" si="904">"FX - "&amp;DA122</f>
        <v>FX - 58</v>
      </c>
      <c r="C122" s="570" t="s">
        <v>2028</v>
      </c>
      <c r="D122" s="572" t="str">
        <f>D116</f>
        <v>Portland</v>
      </c>
      <c r="E122" s="573" t="s">
        <v>65</v>
      </c>
      <c r="F122" s="574" cm="1">
        <f t="array" ref="F122">INDEX(FX_Setup,DA122,DB122)</f>
        <v>12</v>
      </c>
      <c r="G122" s="574" cm="1">
        <f t="array" ref="G122">INDEX(FX_Setup,$DA122,DC122)</f>
        <v>24</v>
      </c>
      <c r="H122" s="577" cm="1">
        <f t="array" ref="H122">INDEX(FX_Setup,$DA122,DD122)</f>
        <v>20286</v>
      </c>
      <c r="I122" s="574" t="s">
        <v>27</v>
      </c>
      <c r="J122" s="574"/>
      <c r="K122" s="574"/>
      <c r="L122" s="574" t="s">
        <v>93</v>
      </c>
      <c r="M122" s="574" t="s">
        <v>90</v>
      </c>
      <c r="N122" s="574" t="s">
        <v>28</v>
      </c>
      <c r="O122" s="574" t="s">
        <v>90</v>
      </c>
      <c r="P122" s="574"/>
      <c r="Q122" s="575"/>
      <c r="R122" s="377" t="str" cm="1">
        <f t="array" ref="R122">INDEX(Surrogate_Lst,MATCH(INDEX(FX_Setup,DA122,3),Product_GRP,0),2)</f>
        <v>Jet kerosene</v>
      </c>
      <c r="S122" s="378" t="str">
        <f t="shared" ref="S122" si="905">INDEX(Phys_Prop,MATCH(R122,Chem_List,0),5)</f>
        <v>Select Pet Stock</v>
      </c>
      <c r="T122" s="378"/>
      <c r="U122" s="378"/>
      <c r="V122" s="379">
        <f>1-V123</f>
        <v>1</v>
      </c>
      <c r="W122" s="377" t="str">
        <f>R122</f>
        <v>Jet kerosene</v>
      </c>
      <c r="X122" s="378" t="str">
        <f t="shared" ref="X122" si="906">INDEX(Phys_Prop,MATCH(W122,Chem_List,0),5)</f>
        <v>Select Pet Stock</v>
      </c>
      <c r="Y122" s="378"/>
      <c r="Z122" s="378"/>
      <c r="AA122" s="379">
        <f>1-AA123</f>
        <v>1</v>
      </c>
      <c r="AB122" s="377" t="str">
        <f>W122</f>
        <v>Jet kerosene</v>
      </c>
      <c r="AC122" s="378" t="str">
        <f t="shared" ref="AC122" si="907">INDEX(Phys_Prop,MATCH(AB122,Chem_List,0),5)</f>
        <v>Select Pet Stock</v>
      </c>
      <c r="AD122" s="378"/>
      <c r="AE122" s="378"/>
      <c r="AF122" s="379">
        <f>1-AF123</f>
        <v>1</v>
      </c>
      <c r="AG122" s="377" t="str">
        <f>AB122</f>
        <v>Jet kerosene</v>
      </c>
      <c r="AH122" s="378" t="str">
        <f t="shared" ref="AH122" si="908">INDEX(Phys_Prop,MATCH(AG122,Chem_List,0),5)</f>
        <v>Select Pet Stock</v>
      </c>
      <c r="AI122" s="378"/>
      <c r="AJ122" s="378"/>
      <c r="AK122" s="379">
        <f>1-AK123</f>
        <v>1</v>
      </c>
      <c r="AL122" s="377" t="str">
        <f>AG122</f>
        <v>Jet kerosene</v>
      </c>
      <c r="AM122" s="378" t="str">
        <f t="shared" ref="AM122" si="909">INDEX(Phys_Prop,MATCH(AL122,Chem_List,0),5)</f>
        <v>Select Pet Stock</v>
      </c>
      <c r="AN122" s="378"/>
      <c r="AO122" s="378"/>
      <c r="AP122" s="379">
        <f>1-AP123</f>
        <v>1</v>
      </c>
      <c r="AQ122" s="377" t="str">
        <f>AL122</f>
        <v>Jet kerosene</v>
      </c>
      <c r="AR122" s="378" t="str">
        <f t="shared" ref="AR122" si="910">INDEX(Phys_Prop,MATCH(AQ122,Chem_List,0),5)</f>
        <v>Select Pet Stock</v>
      </c>
      <c r="AS122" s="378"/>
      <c r="AT122" s="378"/>
      <c r="AU122" s="379">
        <f>1-AU123</f>
        <v>1</v>
      </c>
      <c r="AV122" s="377" t="str">
        <f>AQ122</f>
        <v>Jet kerosene</v>
      </c>
      <c r="AW122" s="378" t="str">
        <f t="shared" ref="AW122" si="911">INDEX(Phys_Prop,MATCH(AV122,Chem_List,0),5)</f>
        <v>Select Pet Stock</v>
      </c>
      <c r="AX122" s="378"/>
      <c r="AY122" s="378"/>
      <c r="AZ122" s="379">
        <f>1-AZ123</f>
        <v>1</v>
      </c>
      <c r="BA122" s="377" t="str">
        <f>AV122</f>
        <v>Jet kerosene</v>
      </c>
      <c r="BB122" s="378" t="str">
        <f t="shared" ref="BB122" si="912">INDEX(Phys_Prop,MATCH(BA122,Chem_List,0),5)</f>
        <v>Select Pet Stock</v>
      </c>
      <c r="BC122" s="378"/>
      <c r="BD122" s="378"/>
      <c r="BE122" s="379">
        <f>1-BE123</f>
        <v>1</v>
      </c>
      <c r="BF122" s="377" t="str">
        <f>BA122</f>
        <v>Jet kerosene</v>
      </c>
      <c r="BG122" s="378" t="str">
        <f t="shared" ref="BG122" si="913">INDEX(Phys_Prop,MATCH(BF122,Chem_List,0),5)</f>
        <v>Select Pet Stock</v>
      </c>
      <c r="BH122" s="378"/>
      <c r="BI122" s="378"/>
      <c r="BJ122" s="379">
        <f>1-BJ123</f>
        <v>1</v>
      </c>
      <c r="BK122" s="377" t="str">
        <f>BF122</f>
        <v>Jet kerosene</v>
      </c>
      <c r="BL122" s="378" t="str">
        <f t="shared" ref="BL122" si="914">INDEX(Phys_Prop,MATCH(BK122,Chem_List,0),5)</f>
        <v>Select Pet Stock</v>
      </c>
      <c r="BM122" s="378"/>
      <c r="BN122" s="378"/>
      <c r="BO122" s="379">
        <f>1-BO123</f>
        <v>1</v>
      </c>
      <c r="BP122" s="377" t="str">
        <f>BK122</f>
        <v>Jet kerosene</v>
      </c>
      <c r="BQ122" s="378" t="str">
        <f t="shared" ref="BQ122" si="915">INDEX(Phys_Prop,MATCH(BP122,Chem_List,0),5)</f>
        <v>Select Pet Stock</v>
      </c>
      <c r="BR122" s="378"/>
      <c r="BS122" s="378"/>
      <c r="BT122" s="379">
        <f>1-BT123</f>
        <v>1</v>
      </c>
      <c r="BU122" s="377" t="str">
        <f>BP122</f>
        <v>Jet kerosene</v>
      </c>
      <c r="BV122" s="378" t="str">
        <f t="shared" ref="BV122" si="916">INDEX(Phys_Prop,MATCH(BU122,Chem_List,0),5)</f>
        <v>Select Pet Stock</v>
      </c>
      <c r="BW122" s="378"/>
      <c r="BX122" s="378"/>
      <c r="BY122" s="379">
        <f>1-BY123</f>
        <v>1</v>
      </c>
      <c r="BZ122" s="576"/>
      <c r="CA122" s="574"/>
      <c r="CB122" s="574"/>
      <c r="CC122" s="574"/>
      <c r="CD122" s="574"/>
      <c r="CE122" s="574"/>
      <c r="CF122" s="574"/>
      <c r="CG122" s="574"/>
      <c r="CH122" s="574"/>
      <c r="CI122" s="574"/>
      <c r="CJ122" s="574"/>
      <c r="CK122" s="574"/>
      <c r="CL122" s="595" cm="1">
        <f t="array" ref="CL122">INDEX(FX_Setup,DA122,DE122)</f>
        <v>483</v>
      </c>
      <c r="CM122" s="591">
        <f t="shared" ref="CM122:CW122" si="917">CL122</f>
        <v>483</v>
      </c>
      <c r="CN122" s="591">
        <f t="shared" si="917"/>
        <v>483</v>
      </c>
      <c r="CO122" s="591">
        <f t="shared" si="917"/>
        <v>483</v>
      </c>
      <c r="CP122" s="591">
        <f t="shared" si="917"/>
        <v>483</v>
      </c>
      <c r="CQ122" s="591">
        <f t="shared" si="917"/>
        <v>483</v>
      </c>
      <c r="CR122" s="591">
        <f t="shared" si="917"/>
        <v>483</v>
      </c>
      <c r="CS122" s="591">
        <f t="shared" si="917"/>
        <v>483</v>
      </c>
      <c r="CT122" s="591">
        <f t="shared" si="917"/>
        <v>483</v>
      </c>
      <c r="CU122" s="591">
        <f t="shared" si="917"/>
        <v>483</v>
      </c>
      <c r="CV122" s="591">
        <f t="shared" si="917"/>
        <v>483</v>
      </c>
      <c r="CW122" s="591">
        <f t="shared" si="917"/>
        <v>483</v>
      </c>
      <c r="CX122" s="593">
        <f t="shared" ref="CX122" si="918">SUM(CL122:CW123)</f>
        <v>5796</v>
      </c>
      <c r="DA122" s="42">
        <f>DA120+1</f>
        <v>58</v>
      </c>
      <c r="DB122">
        <v>7</v>
      </c>
      <c r="DC122">
        <v>6</v>
      </c>
      <c r="DD122">
        <v>5</v>
      </c>
      <c r="DE122">
        <f t="shared" ref="DE122" si="919">DE120</f>
        <v>9</v>
      </c>
    </row>
    <row r="123" spans="2:109" s="39" customFormat="1" x14ac:dyDescent="0.4">
      <c r="B123" s="569"/>
      <c r="C123" s="571"/>
      <c r="D123" s="572"/>
      <c r="E123" s="573"/>
      <c r="F123" s="574"/>
      <c r="G123" s="574"/>
      <c r="H123" s="577"/>
      <c r="I123" s="574"/>
      <c r="J123" s="574"/>
      <c r="K123" s="574"/>
      <c r="L123" s="574"/>
      <c r="M123" s="574"/>
      <c r="N123" s="574"/>
      <c r="O123" s="574"/>
      <c r="P123" s="574"/>
      <c r="Q123" s="575"/>
      <c r="R123" s="380"/>
      <c r="S123" s="378"/>
      <c r="T123" s="381"/>
      <c r="U123" s="381"/>
      <c r="V123" s="382"/>
      <c r="W123" s="380"/>
      <c r="X123" s="378"/>
      <c r="Y123" s="381"/>
      <c r="Z123" s="381"/>
      <c r="AA123" s="382"/>
      <c r="AB123" s="380"/>
      <c r="AC123" s="378"/>
      <c r="AD123" s="381"/>
      <c r="AE123" s="381"/>
      <c r="AF123" s="382"/>
      <c r="AG123" s="380"/>
      <c r="AH123" s="378"/>
      <c r="AI123" s="381"/>
      <c r="AJ123" s="381"/>
      <c r="AK123" s="382"/>
      <c r="AL123" s="380"/>
      <c r="AM123" s="378"/>
      <c r="AN123" s="381"/>
      <c r="AO123" s="381"/>
      <c r="AP123" s="382"/>
      <c r="AQ123" s="380"/>
      <c r="AR123" s="378"/>
      <c r="AS123" s="381"/>
      <c r="AT123" s="381"/>
      <c r="AU123" s="382"/>
      <c r="AV123" s="380"/>
      <c r="AW123" s="378"/>
      <c r="AX123" s="381"/>
      <c r="AY123" s="381"/>
      <c r="AZ123" s="382"/>
      <c r="BA123" s="380"/>
      <c r="BB123" s="378"/>
      <c r="BC123" s="381"/>
      <c r="BD123" s="381"/>
      <c r="BE123" s="382"/>
      <c r="BF123" s="380"/>
      <c r="BG123" s="378"/>
      <c r="BH123" s="381"/>
      <c r="BI123" s="381"/>
      <c r="BJ123" s="382"/>
      <c r="BK123" s="380"/>
      <c r="BL123" s="378"/>
      <c r="BM123" s="381"/>
      <c r="BN123" s="381"/>
      <c r="BO123" s="382"/>
      <c r="BP123" s="380"/>
      <c r="BQ123" s="378"/>
      <c r="BR123" s="381"/>
      <c r="BS123" s="381"/>
      <c r="BT123" s="382"/>
      <c r="BU123" s="380"/>
      <c r="BV123" s="378"/>
      <c r="BW123" s="381"/>
      <c r="BX123" s="381"/>
      <c r="BY123" s="382"/>
      <c r="BZ123" s="576"/>
      <c r="CA123" s="574"/>
      <c r="CB123" s="574"/>
      <c r="CC123" s="574"/>
      <c r="CD123" s="574"/>
      <c r="CE123" s="574"/>
      <c r="CF123" s="574"/>
      <c r="CG123" s="574"/>
      <c r="CH123" s="574"/>
      <c r="CI123" s="574"/>
      <c r="CJ123" s="574"/>
      <c r="CK123" s="574"/>
      <c r="CL123" s="596"/>
      <c r="CM123" s="592"/>
      <c r="CN123" s="592"/>
      <c r="CO123" s="592"/>
      <c r="CP123" s="592"/>
      <c r="CQ123" s="592"/>
      <c r="CR123" s="592"/>
      <c r="CS123" s="592"/>
      <c r="CT123" s="592"/>
      <c r="CU123" s="592"/>
      <c r="CV123" s="592"/>
      <c r="CW123" s="592"/>
      <c r="CX123" s="594"/>
      <c r="DA123" s="42"/>
      <c r="DB123"/>
      <c r="DC123"/>
      <c r="DD123"/>
      <c r="DE123"/>
    </row>
    <row r="124" spans="2:109" s="39" customFormat="1" x14ac:dyDescent="0.4">
      <c r="B124" s="569" t="str">
        <f t="shared" ref="B124" si="920">"FX - "&amp;DA124</f>
        <v>FX - 59</v>
      </c>
      <c r="C124" s="570" t="s">
        <v>2029</v>
      </c>
      <c r="D124" s="572" t="str">
        <f>D118</f>
        <v>Portland</v>
      </c>
      <c r="E124" s="573" t="s">
        <v>65</v>
      </c>
      <c r="F124" s="574" cm="1">
        <f t="array" ref="F124">INDEX(FX_Setup,DA124,DB124)</f>
        <v>12</v>
      </c>
      <c r="G124" s="574" cm="1">
        <f t="array" ref="G124">INDEX(FX_Setup,$DA124,DC124)</f>
        <v>24</v>
      </c>
      <c r="H124" s="577" cm="1">
        <f t="array" ref="H124">INDEX(FX_Setup,$DA124,DD124)</f>
        <v>20286</v>
      </c>
      <c r="I124" s="574" t="s">
        <v>27</v>
      </c>
      <c r="J124" s="574"/>
      <c r="K124" s="574"/>
      <c r="L124" s="574" t="s">
        <v>93</v>
      </c>
      <c r="M124" s="574" t="s">
        <v>90</v>
      </c>
      <c r="N124" s="574" t="s">
        <v>28</v>
      </c>
      <c r="O124" s="574" t="s">
        <v>90</v>
      </c>
      <c r="P124" s="574"/>
      <c r="Q124" s="575"/>
      <c r="R124" s="377" t="str" cm="1">
        <f t="array" ref="R124">INDEX(Surrogate_Lst,MATCH(INDEX(FX_Setup,DA124,3),Product_GRP,0),2)</f>
        <v>Jet kerosene</v>
      </c>
      <c r="S124" s="378" t="str">
        <f t="shared" ref="S124" si="921">INDEX(Phys_Prop,MATCH(R124,Chem_List,0),5)</f>
        <v>Select Pet Stock</v>
      </c>
      <c r="T124" s="378"/>
      <c r="U124" s="378"/>
      <c r="V124" s="379">
        <f>1-V125</f>
        <v>1</v>
      </c>
      <c r="W124" s="377" t="str">
        <f>R124</f>
        <v>Jet kerosene</v>
      </c>
      <c r="X124" s="378" t="str">
        <f t="shared" ref="X124" si="922">INDEX(Phys_Prop,MATCH(W124,Chem_List,0),5)</f>
        <v>Select Pet Stock</v>
      </c>
      <c r="Y124" s="378"/>
      <c r="Z124" s="378"/>
      <c r="AA124" s="379">
        <f>1-AA125</f>
        <v>1</v>
      </c>
      <c r="AB124" s="377" t="str">
        <f>W124</f>
        <v>Jet kerosene</v>
      </c>
      <c r="AC124" s="378" t="str">
        <f t="shared" ref="AC124" si="923">INDEX(Phys_Prop,MATCH(AB124,Chem_List,0),5)</f>
        <v>Select Pet Stock</v>
      </c>
      <c r="AD124" s="378"/>
      <c r="AE124" s="378"/>
      <c r="AF124" s="379">
        <f>1-AF125</f>
        <v>1</v>
      </c>
      <c r="AG124" s="377" t="str">
        <f>AB124</f>
        <v>Jet kerosene</v>
      </c>
      <c r="AH124" s="378" t="str">
        <f t="shared" ref="AH124" si="924">INDEX(Phys_Prop,MATCH(AG124,Chem_List,0),5)</f>
        <v>Select Pet Stock</v>
      </c>
      <c r="AI124" s="378"/>
      <c r="AJ124" s="378"/>
      <c r="AK124" s="379">
        <f>1-AK125</f>
        <v>1</v>
      </c>
      <c r="AL124" s="377" t="str">
        <f>AG124</f>
        <v>Jet kerosene</v>
      </c>
      <c r="AM124" s="378" t="str">
        <f t="shared" ref="AM124" si="925">INDEX(Phys_Prop,MATCH(AL124,Chem_List,0),5)</f>
        <v>Select Pet Stock</v>
      </c>
      <c r="AN124" s="378"/>
      <c r="AO124" s="378"/>
      <c r="AP124" s="379">
        <f>1-AP125</f>
        <v>1</v>
      </c>
      <c r="AQ124" s="377" t="str">
        <f>AL124</f>
        <v>Jet kerosene</v>
      </c>
      <c r="AR124" s="378" t="str">
        <f t="shared" ref="AR124" si="926">INDEX(Phys_Prop,MATCH(AQ124,Chem_List,0),5)</f>
        <v>Select Pet Stock</v>
      </c>
      <c r="AS124" s="378"/>
      <c r="AT124" s="378"/>
      <c r="AU124" s="379">
        <f>1-AU125</f>
        <v>1</v>
      </c>
      <c r="AV124" s="377" t="str">
        <f>AQ124</f>
        <v>Jet kerosene</v>
      </c>
      <c r="AW124" s="378" t="str">
        <f t="shared" ref="AW124" si="927">INDEX(Phys_Prop,MATCH(AV124,Chem_List,0),5)</f>
        <v>Select Pet Stock</v>
      </c>
      <c r="AX124" s="378"/>
      <c r="AY124" s="378"/>
      <c r="AZ124" s="379">
        <f>1-AZ125</f>
        <v>1</v>
      </c>
      <c r="BA124" s="377" t="str">
        <f>AV124</f>
        <v>Jet kerosene</v>
      </c>
      <c r="BB124" s="378" t="str">
        <f t="shared" ref="BB124" si="928">INDEX(Phys_Prop,MATCH(BA124,Chem_List,0),5)</f>
        <v>Select Pet Stock</v>
      </c>
      <c r="BC124" s="378"/>
      <c r="BD124" s="378"/>
      <c r="BE124" s="379">
        <f>1-BE125</f>
        <v>1</v>
      </c>
      <c r="BF124" s="377" t="str">
        <f>BA124</f>
        <v>Jet kerosene</v>
      </c>
      <c r="BG124" s="378" t="str">
        <f t="shared" ref="BG124" si="929">INDEX(Phys_Prop,MATCH(BF124,Chem_List,0),5)</f>
        <v>Select Pet Stock</v>
      </c>
      <c r="BH124" s="378"/>
      <c r="BI124" s="378"/>
      <c r="BJ124" s="379">
        <f>1-BJ125</f>
        <v>1</v>
      </c>
      <c r="BK124" s="377" t="str">
        <f>BF124</f>
        <v>Jet kerosene</v>
      </c>
      <c r="BL124" s="378" t="str">
        <f t="shared" ref="BL124" si="930">INDEX(Phys_Prop,MATCH(BK124,Chem_List,0),5)</f>
        <v>Select Pet Stock</v>
      </c>
      <c r="BM124" s="378"/>
      <c r="BN124" s="378"/>
      <c r="BO124" s="379">
        <f>1-BO125</f>
        <v>1</v>
      </c>
      <c r="BP124" s="377" t="str">
        <f>BK124</f>
        <v>Jet kerosene</v>
      </c>
      <c r="BQ124" s="378" t="str">
        <f t="shared" ref="BQ124" si="931">INDEX(Phys_Prop,MATCH(BP124,Chem_List,0),5)</f>
        <v>Select Pet Stock</v>
      </c>
      <c r="BR124" s="378"/>
      <c r="BS124" s="378"/>
      <c r="BT124" s="379">
        <f>1-BT125</f>
        <v>1</v>
      </c>
      <c r="BU124" s="377" t="str">
        <f>BP124</f>
        <v>Jet kerosene</v>
      </c>
      <c r="BV124" s="378" t="str">
        <f t="shared" ref="BV124" si="932">INDEX(Phys_Prop,MATCH(BU124,Chem_List,0),5)</f>
        <v>Select Pet Stock</v>
      </c>
      <c r="BW124" s="378"/>
      <c r="BX124" s="378"/>
      <c r="BY124" s="379">
        <f>1-BY125</f>
        <v>1</v>
      </c>
      <c r="BZ124" s="576"/>
      <c r="CA124" s="574"/>
      <c r="CB124" s="574"/>
      <c r="CC124" s="574"/>
      <c r="CD124" s="574"/>
      <c r="CE124" s="574"/>
      <c r="CF124" s="574"/>
      <c r="CG124" s="574"/>
      <c r="CH124" s="574"/>
      <c r="CI124" s="574"/>
      <c r="CJ124" s="574"/>
      <c r="CK124" s="574"/>
      <c r="CL124" s="595" cm="1">
        <f t="array" ref="CL124">INDEX(FX_Setup,DA124,DE124)</f>
        <v>483</v>
      </c>
      <c r="CM124" s="591">
        <f t="shared" ref="CM124:CW124" si="933">CL124</f>
        <v>483</v>
      </c>
      <c r="CN124" s="591">
        <f t="shared" si="933"/>
        <v>483</v>
      </c>
      <c r="CO124" s="591">
        <f t="shared" si="933"/>
        <v>483</v>
      </c>
      <c r="CP124" s="591">
        <f t="shared" si="933"/>
        <v>483</v>
      </c>
      <c r="CQ124" s="591">
        <f t="shared" si="933"/>
        <v>483</v>
      </c>
      <c r="CR124" s="591">
        <f t="shared" si="933"/>
        <v>483</v>
      </c>
      <c r="CS124" s="591">
        <f t="shared" si="933"/>
        <v>483</v>
      </c>
      <c r="CT124" s="591">
        <f t="shared" si="933"/>
        <v>483</v>
      </c>
      <c r="CU124" s="591">
        <f t="shared" si="933"/>
        <v>483</v>
      </c>
      <c r="CV124" s="591">
        <f t="shared" si="933"/>
        <v>483</v>
      </c>
      <c r="CW124" s="591">
        <f t="shared" si="933"/>
        <v>483</v>
      </c>
      <c r="CX124" s="593">
        <f t="shared" ref="CX124" si="934">SUM(CL124:CW125)</f>
        <v>5796</v>
      </c>
      <c r="DA124" s="42">
        <f>DA122+1</f>
        <v>59</v>
      </c>
      <c r="DB124">
        <v>7</v>
      </c>
      <c r="DC124">
        <v>6</v>
      </c>
      <c r="DD124">
        <v>5</v>
      </c>
      <c r="DE124">
        <f t="shared" ref="DE124" si="935">DE122</f>
        <v>9</v>
      </c>
    </row>
    <row r="125" spans="2:109" s="39" customFormat="1" x14ac:dyDescent="0.4">
      <c r="B125" s="569"/>
      <c r="C125" s="571"/>
      <c r="D125" s="572"/>
      <c r="E125" s="573"/>
      <c r="F125" s="574"/>
      <c r="G125" s="574"/>
      <c r="H125" s="577"/>
      <c r="I125" s="574"/>
      <c r="J125" s="574"/>
      <c r="K125" s="574"/>
      <c r="L125" s="574"/>
      <c r="M125" s="574"/>
      <c r="N125" s="574"/>
      <c r="O125" s="574"/>
      <c r="P125" s="574"/>
      <c r="Q125" s="575"/>
      <c r="R125" s="380"/>
      <c r="S125" s="378"/>
      <c r="T125" s="381"/>
      <c r="U125" s="381"/>
      <c r="V125" s="382"/>
      <c r="W125" s="380"/>
      <c r="X125" s="378"/>
      <c r="Y125" s="381"/>
      <c r="Z125" s="381"/>
      <c r="AA125" s="382"/>
      <c r="AB125" s="380"/>
      <c r="AC125" s="378"/>
      <c r="AD125" s="381"/>
      <c r="AE125" s="381"/>
      <c r="AF125" s="382"/>
      <c r="AG125" s="380"/>
      <c r="AH125" s="378"/>
      <c r="AI125" s="381"/>
      <c r="AJ125" s="381"/>
      <c r="AK125" s="382"/>
      <c r="AL125" s="380"/>
      <c r="AM125" s="378"/>
      <c r="AN125" s="381"/>
      <c r="AO125" s="381"/>
      <c r="AP125" s="382"/>
      <c r="AQ125" s="380"/>
      <c r="AR125" s="378"/>
      <c r="AS125" s="381"/>
      <c r="AT125" s="381"/>
      <c r="AU125" s="382"/>
      <c r="AV125" s="380"/>
      <c r="AW125" s="378"/>
      <c r="AX125" s="381"/>
      <c r="AY125" s="381"/>
      <c r="AZ125" s="382"/>
      <c r="BA125" s="380"/>
      <c r="BB125" s="378"/>
      <c r="BC125" s="381"/>
      <c r="BD125" s="381"/>
      <c r="BE125" s="382"/>
      <c r="BF125" s="380"/>
      <c r="BG125" s="378"/>
      <c r="BH125" s="381"/>
      <c r="BI125" s="381"/>
      <c r="BJ125" s="382"/>
      <c r="BK125" s="380"/>
      <c r="BL125" s="378"/>
      <c r="BM125" s="381"/>
      <c r="BN125" s="381"/>
      <c r="BO125" s="382"/>
      <c r="BP125" s="380"/>
      <c r="BQ125" s="378"/>
      <c r="BR125" s="381"/>
      <c r="BS125" s="381"/>
      <c r="BT125" s="382"/>
      <c r="BU125" s="380"/>
      <c r="BV125" s="378"/>
      <c r="BW125" s="381"/>
      <c r="BX125" s="381"/>
      <c r="BY125" s="382"/>
      <c r="BZ125" s="576"/>
      <c r="CA125" s="574"/>
      <c r="CB125" s="574"/>
      <c r="CC125" s="574"/>
      <c r="CD125" s="574"/>
      <c r="CE125" s="574"/>
      <c r="CF125" s="574"/>
      <c r="CG125" s="574"/>
      <c r="CH125" s="574"/>
      <c r="CI125" s="574"/>
      <c r="CJ125" s="574"/>
      <c r="CK125" s="574"/>
      <c r="CL125" s="596"/>
      <c r="CM125" s="592"/>
      <c r="CN125" s="592"/>
      <c r="CO125" s="592"/>
      <c r="CP125" s="592"/>
      <c r="CQ125" s="592"/>
      <c r="CR125" s="592"/>
      <c r="CS125" s="592"/>
      <c r="CT125" s="592"/>
      <c r="CU125" s="592"/>
      <c r="CV125" s="592"/>
      <c r="CW125" s="592"/>
      <c r="CX125" s="594"/>
      <c r="DA125" s="42"/>
      <c r="DB125"/>
      <c r="DC125"/>
      <c r="DD125"/>
      <c r="DE125"/>
    </row>
    <row r="126" spans="2:109" s="39" customFormat="1" x14ac:dyDescent="0.4">
      <c r="B126" s="569" t="str">
        <f t="shared" ref="B126" si="936">"FX - "&amp;DA126</f>
        <v>FX - 60</v>
      </c>
      <c r="C126" s="570" t="s">
        <v>2030</v>
      </c>
      <c r="D126" s="572" t="str">
        <f>D120</f>
        <v>Portland</v>
      </c>
      <c r="E126" s="573" t="s">
        <v>65</v>
      </c>
      <c r="F126" s="574" cm="1">
        <f t="array" ref="F126">INDEX(FX_Setup,DA126,DB126)</f>
        <v>10</v>
      </c>
      <c r="G126" s="574" cm="1">
        <f t="array" ref="G126">INDEX(FX_Setup,$DA126,DC126)</f>
        <v>20</v>
      </c>
      <c r="H126" s="577" cm="1">
        <f t="array" ref="H126">INDEX(FX_Setup,$DA126,DD126)</f>
        <v>11760</v>
      </c>
      <c r="I126" s="574" t="s">
        <v>27</v>
      </c>
      <c r="J126" s="574"/>
      <c r="K126" s="574"/>
      <c r="L126" s="574" t="s">
        <v>93</v>
      </c>
      <c r="M126" s="574" t="s">
        <v>90</v>
      </c>
      <c r="N126" s="574" t="s">
        <v>28</v>
      </c>
      <c r="O126" s="574" t="s">
        <v>90</v>
      </c>
      <c r="P126" s="574"/>
      <c r="Q126" s="575"/>
      <c r="R126" s="377" t="str" cm="1">
        <f t="array" ref="R126">INDEX(Surrogate_Lst,MATCH(INDEX(FX_Setup,DA126,3),Product_GRP,0),2)</f>
        <v>Jet kerosene</v>
      </c>
      <c r="S126" s="378" t="str">
        <f t="shared" ref="S126" si="937">INDEX(Phys_Prop,MATCH(R126,Chem_List,0),5)</f>
        <v>Select Pet Stock</v>
      </c>
      <c r="T126" s="378"/>
      <c r="U126" s="378"/>
      <c r="V126" s="379">
        <f>1-V127</f>
        <v>1</v>
      </c>
      <c r="W126" s="377" t="str">
        <f>R126</f>
        <v>Jet kerosene</v>
      </c>
      <c r="X126" s="378" t="str">
        <f t="shared" ref="X126" si="938">INDEX(Phys_Prop,MATCH(W126,Chem_List,0),5)</f>
        <v>Select Pet Stock</v>
      </c>
      <c r="Y126" s="378"/>
      <c r="Z126" s="378"/>
      <c r="AA126" s="379">
        <f>1-AA127</f>
        <v>1</v>
      </c>
      <c r="AB126" s="377" t="str">
        <f>W126</f>
        <v>Jet kerosene</v>
      </c>
      <c r="AC126" s="378" t="str">
        <f t="shared" ref="AC126" si="939">INDEX(Phys_Prop,MATCH(AB126,Chem_List,0),5)</f>
        <v>Select Pet Stock</v>
      </c>
      <c r="AD126" s="378"/>
      <c r="AE126" s="378"/>
      <c r="AF126" s="379">
        <f>1-AF127</f>
        <v>1</v>
      </c>
      <c r="AG126" s="377" t="str">
        <f>AB126</f>
        <v>Jet kerosene</v>
      </c>
      <c r="AH126" s="378" t="str">
        <f t="shared" ref="AH126" si="940">INDEX(Phys_Prop,MATCH(AG126,Chem_List,0),5)</f>
        <v>Select Pet Stock</v>
      </c>
      <c r="AI126" s="378"/>
      <c r="AJ126" s="378"/>
      <c r="AK126" s="379">
        <f>1-AK127</f>
        <v>1</v>
      </c>
      <c r="AL126" s="377" t="str">
        <f>AG126</f>
        <v>Jet kerosene</v>
      </c>
      <c r="AM126" s="378" t="str">
        <f t="shared" ref="AM126" si="941">INDEX(Phys_Prop,MATCH(AL126,Chem_List,0),5)</f>
        <v>Select Pet Stock</v>
      </c>
      <c r="AN126" s="378"/>
      <c r="AO126" s="378"/>
      <c r="AP126" s="379">
        <f>1-AP127</f>
        <v>1</v>
      </c>
      <c r="AQ126" s="377" t="str">
        <f>AL126</f>
        <v>Jet kerosene</v>
      </c>
      <c r="AR126" s="378" t="str">
        <f t="shared" ref="AR126" si="942">INDEX(Phys_Prop,MATCH(AQ126,Chem_List,0),5)</f>
        <v>Select Pet Stock</v>
      </c>
      <c r="AS126" s="378"/>
      <c r="AT126" s="378"/>
      <c r="AU126" s="379">
        <f>1-AU127</f>
        <v>1</v>
      </c>
      <c r="AV126" s="377" t="str">
        <f>AQ126</f>
        <v>Jet kerosene</v>
      </c>
      <c r="AW126" s="378" t="str">
        <f t="shared" ref="AW126" si="943">INDEX(Phys_Prop,MATCH(AV126,Chem_List,0),5)</f>
        <v>Select Pet Stock</v>
      </c>
      <c r="AX126" s="378"/>
      <c r="AY126" s="378"/>
      <c r="AZ126" s="379">
        <f>1-AZ127</f>
        <v>1</v>
      </c>
      <c r="BA126" s="377" t="str">
        <f>AV126</f>
        <v>Jet kerosene</v>
      </c>
      <c r="BB126" s="378" t="str">
        <f t="shared" ref="BB126" si="944">INDEX(Phys_Prop,MATCH(BA126,Chem_List,0),5)</f>
        <v>Select Pet Stock</v>
      </c>
      <c r="BC126" s="378"/>
      <c r="BD126" s="378"/>
      <c r="BE126" s="379">
        <f>1-BE127</f>
        <v>1</v>
      </c>
      <c r="BF126" s="377" t="str">
        <f>BA126</f>
        <v>Jet kerosene</v>
      </c>
      <c r="BG126" s="378" t="str">
        <f t="shared" ref="BG126" si="945">INDEX(Phys_Prop,MATCH(BF126,Chem_List,0),5)</f>
        <v>Select Pet Stock</v>
      </c>
      <c r="BH126" s="378"/>
      <c r="BI126" s="378"/>
      <c r="BJ126" s="379">
        <f>1-BJ127</f>
        <v>1</v>
      </c>
      <c r="BK126" s="377" t="str">
        <f>BF126</f>
        <v>Jet kerosene</v>
      </c>
      <c r="BL126" s="378" t="str">
        <f t="shared" ref="BL126" si="946">INDEX(Phys_Prop,MATCH(BK126,Chem_List,0),5)</f>
        <v>Select Pet Stock</v>
      </c>
      <c r="BM126" s="378"/>
      <c r="BN126" s="378"/>
      <c r="BO126" s="379">
        <f>1-BO127</f>
        <v>1</v>
      </c>
      <c r="BP126" s="377" t="str">
        <f>BK126</f>
        <v>Jet kerosene</v>
      </c>
      <c r="BQ126" s="378" t="str">
        <f t="shared" ref="BQ126" si="947">INDEX(Phys_Prop,MATCH(BP126,Chem_List,0),5)</f>
        <v>Select Pet Stock</v>
      </c>
      <c r="BR126" s="378"/>
      <c r="BS126" s="378"/>
      <c r="BT126" s="379">
        <f>1-BT127</f>
        <v>1</v>
      </c>
      <c r="BU126" s="377" t="str">
        <f>BP126</f>
        <v>Jet kerosene</v>
      </c>
      <c r="BV126" s="378" t="str">
        <f t="shared" ref="BV126" si="948">INDEX(Phys_Prop,MATCH(BU126,Chem_List,0),5)</f>
        <v>Select Pet Stock</v>
      </c>
      <c r="BW126" s="378"/>
      <c r="BX126" s="378"/>
      <c r="BY126" s="379">
        <f>1-BY127</f>
        <v>1</v>
      </c>
      <c r="BZ126" s="576"/>
      <c r="CA126" s="574"/>
      <c r="CB126" s="574"/>
      <c r="CC126" s="574"/>
      <c r="CD126" s="574"/>
      <c r="CE126" s="574"/>
      <c r="CF126" s="574"/>
      <c r="CG126" s="574"/>
      <c r="CH126" s="574"/>
      <c r="CI126" s="574"/>
      <c r="CJ126" s="574"/>
      <c r="CK126" s="574"/>
      <c r="CL126" s="595" cm="1">
        <f t="array" ref="CL126">INDEX(FX_Setup,DA126,DE126)</f>
        <v>280</v>
      </c>
      <c r="CM126" s="591">
        <f t="shared" ref="CM126:CW126" si="949">CL126</f>
        <v>280</v>
      </c>
      <c r="CN126" s="591">
        <f t="shared" si="949"/>
        <v>280</v>
      </c>
      <c r="CO126" s="591">
        <f t="shared" si="949"/>
        <v>280</v>
      </c>
      <c r="CP126" s="591">
        <f t="shared" si="949"/>
        <v>280</v>
      </c>
      <c r="CQ126" s="591">
        <f t="shared" si="949"/>
        <v>280</v>
      </c>
      <c r="CR126" s="591">
        <f t="shared" si="949"/>
        <v>280</v>
      </c>
      <c r="CS126" s="591">
        <f t="shared" si="949"/>
        <v>280</v>
      </c>
      <c r="CT126" s="591">
        <f t="shared" si="949"/>
        <v>280</v>
      </c>
      <c r="CU126" s="591">
        <f t="shared" si="949"/>
        <v>280</v>
      </c>
      <c r="CV126" s="591">
        <f t="shared" si="949"/>
        <v>280</v>
      </c>
      <c r="CW126" s="591">
        <f t="shared" si="949"/>
        <v>280</v>
      </c>
      <c r="CX126" s="593">
        <f t="shared" ref="CX126" si="950">SUM(CL126:CW127)</f>
        <v>3360</v>
      </c>
      <c r="DA126" s="42">
        <f>DA124+1</f>
        <v>60</v>
      </c>
      <c r="DB126">
        <v>7</v>
      </c>
      <c r="DC126">
        <v>6</v>
      </c>
      <c r="DD126">
        <v>5</v>
      </c>
      <c r="DE126">
        <f t="shared" ref="DE126" si="951">DE124</f>
        <v>9</v>
      </c>
    </row>
    <row r="127" spans="2:109" s="39" customFormat="1" x14ac:dyDescent="0.4">
      <c r="B127" s="569"/>
      <c r="C127" s="571"/>
      <c r="D127" s="572"/>
      <c r="E127" s="573"/>
      <c r="F127" s="574"/>
      <c r="G127" s="574"/>
      <c r="H127" s="577"/>
      <c r="I127" s="574"/>
      <c r="J127" s="574"/>
      <c r="K127" s="574"/>
      <c r="L127" s="574"/>
      <c r="M127" s="574"/>
      <c r="N127" s="574"/>
      <c r="O127" s="574"/>
      <c r="P127" s="574"/>
      <c r="Q127" s="575"/>
      <c r="R127" s="380"/>
      <c r="S127" s="378"/>
      <c r="T127" s="381"/>
      <c r="U127" s="381"/>
      <c r="V127" s="382"/>
      <c r="W127" s="380"/>
      <c r="X127" s="378"/>
      <c r="Y127" s="381"/>
      <c r="Z127" s="381"/>
      <c r="AA127" s="382"/>
      <c r="AB127" s="380"/>
      <c r="AC127" s="378"/>
      <c r="AD127" s="381"/>
      <c r="AE127" s="381"/>
      <c r="AF127" s="382"/>
      <c r="AG127" s="380"/>
      <c r="AH127" s="378"/>
      <c r="AI127" s="381"/>
      <c r="AJ127" s="381"/>
      <c r="AK127" s="382"/>
      <c r="AL127" s="380"/>
      <c r="AM127" s="378"/>
      <c r="AN127" s="381"/>
      <c r="AO127" s="381"/>
      <c r="AP127" s="382"/>
      <c r="AQ127" s="380"/>
      <c r="AR127" s="378"/>
      <c r="AS127" s="381"/>
      <c r="AT127" s="381"/>
      <c r="AU127" s="382"/>
      <c r="AV127" s="380"/>
      <c r="AW127" s="378"/>
      <c r="AX127" s="381"/>
      <c r="AY127" s="381"/>
      <c r="AZ127" s="382"/>
      <c r="BA127" s="380"/>
      <c r="BB127" s="378"/>
      <c r="BC127" s="381"/>
      <c r="BD127" s="381"/>
      <c r="BE127" s="382"/>
      <c r="BF127" s="380"/>
      <c r="BG127" s="378"/>
      <c r="BH127" s="381"/>
      <c r="BI127" s="381"/>
      <c r="BJ127" s="382"/>
      <c r="BK127" s="380"/>
      <c r="BL127" s="378"/>
      <c r="BM127" s="381"/>
      <c r="BN127" s="381"/>
      <c r="BO127" s="382"/>
      <c r="BP127" s="380"/>
      <c r="BQ127" s="378"/>
      <c r="BR127" s="381"/>
      <c r="BS127" s="381"/>
      <c r="BT127" s="382"/>
      <c r="BU127" s="380"/>
      <c r="BV127" s="378"/>
      <c r="BW127" s="381"/>
      <c r="BX127" s="381"/>
      <c r="BY127" s="382"/>
      <c r="BZ127" s="576"/>
      <c r="CA127" s="574"/>
      <c r="CB127" s="574"/>
      <c r="CC127" s="574"/>
      <c r="CD127" s="574"/>
      <c r="CE127" s="574"/>
      <c r="CF127" s="574"/>
      <c r="CG127" s="574"/>
      <c r="CH127" s="574"/>
      <c r="CI127" s="574"/>
      <c r="CJ127" s="574"/>
      <c r="CK127" s="574"/>
      <c r="CL127" s="596"/>
      <c r="CM127" s="592"/>
      <c r="CN127" s="592"/>
      <c r="CO127" s="592"/>
      <c r="CP127" s="592"/>
      <c r="CQ127" s="592"/>
      <c r="CR127" s="592"/>
      <c r="CS127" s="592"/>
      <c r="CT127" s="592"/>
      <c r="CU127" s="592"/>
      <c r="CV127" s="592"/>
      <c r="CW127" s="592"/>
      <c r="CX127" s="594"/>
      <c r="DA127" s="42"/>
      <c r="DB127"/>
      <c r="DC127"/>
      <c r="DD127"/>
      <c r="DE127"/>
    </row>
    <row r="128" spans="2:109" s="39" customFormat="1" x14ac:dyDescent="0.4">
      <c r="B128" s="569" t="str">
        <f t="shared" ref="B128" si="952">"FX - "&amp;DA128</f>
        <v>FX - 61</v>
      </c>
      <c r="C128" s="570" t="s">
        <v>2031</v>
      </c>
      <c r="D128" s="572" t="str">
        <f>D122</f>
        <v>Portland</v>
      </c>
      <c r="E128" s="573" t="s">
        <v>65</v>
      </c>
      <c r="F128" s="574" cm="1">
        <f t="array" ref="F128">INDEX(FX_Setup,DA128,DB128)</f>
        <v>10</v>
      </c>
      <c r="G128" s="574" cm="1">
        <f t="array" ref="G128">INDEX(FX_Setup,$DA128,DC128)</f>
        <v>20</v>
      </c>
      <c r="H128" s="577" cm="1">
        <f t="array" ref="H128">INDEX(FX_Setup,$DA128,DD128)</f>
        <v>11760</v>
      </c>
      <c r="I128" s="574" t="s">
        <v>27</v>
      </c>
      <c r="J128" s="574"/>
      <c r="K128" s="574"/>
      <c r="L128" s="574" t="s">
        <v>93</v>
      </c>
      <c r="M128" s="574" t="s">
        <v>90</v>
      </c>
      <c r="N128" s="574" t="s">
        <v>28</v>
      </c>
      <c r="O128" s="574" t="s">
        <v>90</v>
      </c>
      <c r="P128" s="574"/>
      <c r="Q128" s="575"/>
      <c r="R128" s="377" t="str" cm="1">
        <f t="array" ref="R128">INDEX(Surrogate_Lst,MATCH(INDEX(FX_Setup,DA128,3),Product_GRP,0),2)</f>
        <v>Jet kerosene</v>
      </c>
      <c r="S128" s="378" t="str">
        <f t="shared" ref="S128" si="953">INDEX(Phys_Prop,MATCH(R128,Chem_List,0),5)</f>
        <v>Select Pet Stock</v>
      </c>
      <c r="T128" s="378"/>
      <c r="U128" s="378"/>
      <c r="V128" s="379">
        <f>1-V129</f>
        <v>1</v>
      </c>
      <c r="W128" s="377" t="str">
        <f>R128</f>
        <v>Jet kerosene</v>
      </c>
      <c r="X128" s="378" t="str">
        <f t="shared" ref="X128" si="954">INDEX(Phys_Prop,MATCH(W128,Chem_List,0),5)</f>
        <v>Select Pet Stock</v>
      </c>
      <c r="Y128" s="378"/>
      <c r="Z128" s="378"/>
      <c r="AA128" s="379">
        <f>1-AA129</f>
        <v>1</v>
      </c>
      <c r="AB128" s="377" t="str">
        <f>W128</f>
        <v>Jet kerosene</v>
      </c>
      <c r="AC128" s="378" t="str">
        <f t="shared" ref="AC128" si="955">INDEX(Phys_Prop,MATCH(AB128,Chem_List,0),5)</f>
        <v>Select Pet Stock</v>
      </c>
      <c r="AD128" s="378"/>
      <c r="AE128" s="378"/>
      <c r="AF128" s="379">
        <f>1-AF129</f>
        <v>1</v>
      </c>
      <c r="AG128" s="377" t="str">
        <f>AB128</f>
        <v>Jet kerosene</v>
      </c>
      <c r="AH128" s="378" t="str">
        <f t="shared" ref="AH128" si="956">INDEX(Phys_Prop,MATCH(AG128,Chem_List,0),5)</f>
        <v>Select Pet Stock</v>
      </c>
      <c r="AI128" s="378"/>
      <c r="AJ128" s="378"/>
      <c r="AK128" s="379">
        <f>1-AK129</f>
        <v>1</v>
      </c>
      <c r="AL128" s="377" t="str">
        <f>AG128</f>
        <v>Jet kerosene</v>
      </c>
      <c r="AM128" s="378" t="str">
        <f t="shared" ref="AM128" si="957">INDEX(Phys_Prop,MATCH(AL128,Chem_List,0),5)</f>
        <v>Select Pet Stock</v>
      </c>
      <c r="AN128" s="378"/>
      <c r="AO128" s="378"/>
      <c r="AP128" s="379">
        <f>1-AP129</f>
        <v>1</v>
      </c>
      <c r="AQ128" s="377" t="str">
        <f>AL128</f>
        <v>Jet kerosene</v>
      </c>
      <c r="AR128" s="378" t="str">
        <f t="shared" ref="AR128" si="958">INDEX(Phys_Prop,MATCH(AQ128,Chem_List,0),5)</f>
        <v>Select Pet Stock</v>
      </c>
      <c r="AS128" s="378"/>
      <c r="AT128" s="378"/>
      <c r="AU128" s="379">
        <f>1-AU129</f>
        <v>1</v>
      </c>
      <c r="AV128" s="377" t="str">
        <f>AQ128</f>
        <v>Jet kerosene</v>
      </c>
      <c r="AW128" s="378" t="str">
        <f t="shared" ref="AW128" si="959">INDEX(Phys_Prop,MATCH(AV128,Chem_List,0),5)</f>
        <v>Select Pet Stock</v>
      </c>
      <c r="AX128" s="378"/>
      <c r="AY128" s="378"/>
      <c r="AZ128" s="379">
        <f>1-AZ129</f>
        <v>1</v>
      </c>
      <c r="BA128" s="377" t="str">
        <f>AV128</f>
        <v>Jet kerosene</v>
      </c>
      <c r="BB128" s="378" t="str">
        <f t="shared" ref="BB128" si="960">INDEX(Phys_Prop,MATCH(BA128,Chem_List,0),5)</f>
        <v>Select Pet Stock</v>
      </c>
      <c r="BC128" s="378"/>
      <c r="BD128" s="378"/>
      <c r="BE128" s="379">
        <f>1-BE129</f>
        <v>1</v>
      </c>
      <c r="BF128" s="377" t="str">
        <f>BA128</f>
        <v>Jet kerosene</v>
      </c>
      <c r="BG128" s="378" t="str">
        <f t="shared" ref="BG128" si="961">INDEX(Phys_Prop,MATCH(BF128,Chem_List,0),5)</f>
        <v>Select Pet Stock</v>
      </c>
      <c r="BH128" s="378"/>
      <c r="BI128" s="378"/>
      <c r="BJ128" s="379">
        <f>1-BJ129</f>
        <v>1</v>
      </c>
      <c r="BK128" s="377" t="str">
        <f>BF128</f>
        <v>Jet kerosene</v>
      </c>
      <c r="BL128" s="378" t="str">
        <f t="shared" ref="BL128" si="962">INDEX(Phys_Prop,MATCH(BK128,Chem_List,0),5)</f>
        <v>Select Pet Stock</v>
      </c>
      <c r="BM128" s="378"/>
      <c r="BN128" s="378"/>
      <c r="BO128" s="379">
        <f>1-BO129</f>
        <v>1</v>
      </c>
      <c r="BP128" s="377" t="str">
        <f>BK128</f>
        <v>Jet kerosene</v>
      </c>
      <c r="BQ128" s="378" t="str">
        <f t="shared" ref="BQ128" si="963">INDEX(Phys_Prop,MATCH(BP128,Chem_List,0),5)</f>
        <v>Select Pet Stock</v>
      </c>
      <c r="BR128" s="378"/>
      <c r="BS128" s="378"/>
      <c r="BT128" s="379">
        <f>1-BT129</f>
        <v>1</v>
      </c>
      <c r="BU128" s="377" t="str">
        <f>BP128</f>
        <v>Jet kerosene</v>
      </c>
      <c r="BV128" s="378" t="str">
        <f t="shared" ref="BV128" si="964">INDEX(Phys_Prop,MATCH(BU128,Chem_List,0),5)</f>
        <v>Select Pet Stock</v>
      </c>
      <c r="BW128" s="378"/>
      <c r="BX128" s="378"/>
      <c r="BY128" s="379">
        <f>1-BY129</f>
        <v>1</v>
      </c>
      <c r="BZ128" s="576"/>
      <c r="CA128" s="574"/>
      <c r="CB128" s="574"/>
      <c r="CC128" s="574"/>
      <c r="CD128" s="574"/>
      <c r="CE128" s="574"/>
      <c r="CF128" s="574"/>
      <c r="CG128" s="574"/>
      <c r="CH128" s="574"/>
      <c r="CI128" s="574"/>
      <c r="CJ128" s="574"/>
      <c r="CK128" s="574"/>
      <c r="CL128" s="595" cm="1">
        <f t="array" ref="CL128">INDEX(FX_Setup,DA128,DE128)</f>
        <v>280</v>
      </c>
      <c r="CM128" s="591">
        <f t="shared" ref="CM128:CW128" si="965">CL128</f>
        <v>280</v>
      </c>
      <c r="CN128" s="591">
        <f t="shared" si="965"/>
        <v>280</v>
      </c>
      <c r="CO128" s="591">
        <f t="shared" si="965"/>
        <v>280</v>
      </c>
      <c r="CP128" s="591">
        <f t="shared" si="965"/>
        <v>280</v>
      </c>
      <c r="CQ128" s="591">
        <f t="shared" si="965"/>
        <v>280</v>
      </c>
      <c r="CR128" s="591">
        <f t="shared" si="965"/>
        <v>280</v>
      </c>
      <c r="CS128" s="591">
        <f t="shared" si="965"/>
        <v>280</v>
      </c>
      <c r="CT128" s="591">
        <f t="shared" si="965"/>
        <v>280</v>
      </c>
      <c r="CU128" s="591">
        <f t="shared" si="965"/>
        <v>280</v>
      </c>
      <c r="CV128" s="591">
        <f t="shared" si="965"/>
        <v>280</v>
      </c>
      <c r="CW128" s="591">
        <f t="shared" si="965"/>
        <v>280</v>
      </c>
      <c r="CX128" s="593">
        <f t="shared" ref="CX128" si="966">SUM(CL128:CW129)</f>
        <v>3360</v>
      </c>
      <c r="DA128" s="42">
        <f>DA126+1</f>
        <v>61</v>
      </c>
      <c r="DB128">
        <v>7</v>
      </c>
      <c r="DC128">
        <v>6</v>
      </c>
      <c r="DD128">
        <v>5</v>
      </c>
      <c r="DE128">
        <f t="shared" ref="DE128" si="967">DE126</f>
        <v>9</v>
      </c>
    </row>
    <row r="129" spans="2:109" s="39" customFormat="1" x14ac:dyDescent="0.4">
      <c r="B129" s="569"/>
      <c r="C129" s="571"/>
      <c r="D129" s="572"/>
      <c r="E129" s="573"/>
      <c r="F129" s="574"/>
      <c r="G129" s="574"/>
      <c r="H129" s="577"/>
      <c r="I129" s="574"/>
      <c r="J129" s="574"/>
      <c r="K129" s="574"/>
      <c r="L129" s="574"/>
      <c r="M129" s="574"/>
      <c r="N129" s="574"/>
      <c r="O129" s="574"/>
      <c r="P129" s="574"/>
      <c r="Q129" s="575"/>
      <c r="R129" s="380"/>
      <c r="S129" s="378"/>
      <c r="T129" s="381"/>
      <c r="U129" s="381"/>
      <c r="V129" s="382"/>
      <c r="W129" s="380"/>
      <c r="X129" s="378"/>
      <c r="Y129" s="381"/>
      <c r="Z129" s="381"/>
      <c r="AA129" s="382"/>
      <c r="AB129" s="380"/>
      <c r="AC129" s="378"/>
      <c r="AD129" s="381"/>
      <c r="AE129" s="381"/>
      <c r="AF129" s="382"/>
      <c r="AG129" s="380"/>
      <c r="AH129" s="378"/>
      <c r="AI129" s="381"/>
      <c r="AJ129" s="381"/>
      <c r="AK129" s="382"/>
      <c r="AL129" s="380"/>
      <c r="AM129" s="378"/>
      <c r="AN129" s="381"/>
      <c r="AO129" s="381"/>
      <c r="AP129" s="382"/>
      <c r="AQ129" s="380"/>
      <c r="AR129" s="378"/>
      <c r="AS129" s="381"/>
      <c r="AT129" s="381"/>
      <c r="AU129" s="382"/>
      <c r="AV129" s="380"/>
      <c r="AW129" s="378"/>
      <c r="AX129" s="381"/>
      <c r="AY129" s="381"/>
      <c r="AZ129" s="382"/>
      <c r="BA129" s="380"/>
      <c r="BB129" s="378"/>
      <c r="BC129" s="381"/>
      <c r="BD129" s="381"/>
      <c r="BE129" s="382"/>
      <c r="BF129" s="380"/>
      <c r="BG129" s="378"/>
      <c r="BH129" s="381"/>
      <c r="BI129" s="381"/>
      <c r="BJ129" s="382"/>
      <c r="BK129" s="380"/>
      <c r="BL129" s="378"/>
      <c r="BM129" s="381"/>
      <c r="BN129" s="381"/>
      <c r="BO129" s="382"/>
      <c r="BP129" s="380"/>
      <c r="BQ129" s="378"/>
      <c r="BR129" s="381"/>
      <c r="BS129" s="381"/>
      <c r="BT129" s="382"/>
      <c r="BU129" s="380"/>
      <c r="BV129" s="378"/>
      <c r="BW129" s="381"/>
      <c r="BX129" s="381"/>
      <c r="BY129" s="382"/>
      <c r="BZ129" s="576"/>
      <c r="CA129" s="574"/>
      <c r="CB129" s="574"/>
      <c r="CC129" s="574"/>
      <c r="CD129" s="574"/>
      <c r="CE129" s="574"/>
      <c r="CF129" s="574"/>
      <c r="CG129" s="574"/>
      <c r="CH129" s="574"/>
      <c r="CI129" s="574"/>
      <c r="CJ129" s="574"/>
      <c r="CK129" s="574"/>
      <c r="CL129" s="596"/>
      <c r="CM129" s="592"/>
      <c r="CN129" s="592"/>
      <c r="CO129" s="592"/>
      <c r="CP129" s="592"/>
      <c r="CQ129" s="592"/>
      <c r="CR129" s="592"/>
      <c r="CS129" s="592"/>
      <c r="CT129" s="592"/>
      <c r="CU129" s="592"/>
      <c r="CV129" s="592"/>
      <c r="CW129" s="592"/>
      <c r="CX129" s="594"/>
      <c r="DA129" s="42"/>
      <c r="DB129"/>
      <c r="DC129"/>
      <c r="DD129"/>
      <c r="DE129"/>
    </row>
    <row r="130" spans="2:109" x14ac:dyDescent="0.4">
      <c r="B130" s="504" t="str">
        <f t="shared" ref="B130" si="968">"FX - "&amp;DA130</f>
        <v>FX - 62</v>
      </c>
      <c r="C130" s="545" t="s">
        <v>1925</v>
      </c>
      <c r="D130" s="547" t="str">
        <f t="shared" ref="D130" si="969">D118</f>
        <v>Portland</v>
      </c>
      <c r="E130" s="548" t="s">
        <v>65</v>
      </c>
      <c r="F130" s="549" cm="1">
        <f t="array" ref="F130">INDEX(FX_Setup,DA130,DB130)</f>
        <v>11</v>
      </c>
      <c r="G130" s="549" cm="1">
        <f t="array" ref="G130">INDEX(FX_Setup,$DA130,DC130)</f>
        <v>24</v>
      </c>
      <c r="H130" s="550" cm="1">
        <f t="array" ref="H130">INDEX(FX_Setup,$DA130,DD130)</f>
        <v>17052</v>
      </c>
      <c r="I130" s="549" t="s">
        <v>27</v>
      </c>
      <c r="J130" s="549"/>
      <c r="K130" s="549"/>
      <c r="L130" s="549" t="s">
        <v>93</v>
      </c>
      <c r="M130" s="549" t="s">
        <v>90</v>
      </c>
      <c r="N130" s="549" t="s">
        <v>93</v>
      </c>
      <c r="O130" s="549" t="s">
        <v>90</v>
      </c>
      <c r="P130" s="549"/>
      <c r="Q130" s="560"/>
      <c r="R130" s="37" t="str" cm="1">
        <f t="array" ref="R130">INDEX(Surrogate_Lst,MATCH(INDEX(FX_Setup,DA130,3),Product_GRP,0),2)</f>
        <v>Jet kerosene</v>
      </c>
      <c r="S130" s="36" t="str">
        <f t="shared" ref="S130" si="970">INDEX(Phys_Prop,MATCH(R130,Chem_List,0),5)</f>
        <v>Select Pet Stock</v>
      </c>
      <c r="T130" s="36"/>
      <c r="U130" s="36"/>
      <c r="V130" s="38">
        <f>1-V131</f>
        <v>1</v>
      </c>
      <c r="W130" s="37" t="str">
        <f>R130</f>
        <v>Jet kerosene</v>
      </c>
      <c r="X130" s="36" t="str">
        <f t="shared" ref="X130" si="971">INDEX(Phys_Prop,MATCH(W130,Chem_List,0),5)</f>
        <v>Select Pet Stock</v>
      </c>
      <c r="Y130" s="36"/>
      <c r="Z130" s="36"/>
      <c r="AA130" s="38">
        <f>1-AA131</f>
        <v>1</v>
      </c>
      <c r="AB130" s="37" t="str">
        <f>W130</f>
        <v>Jet kerosene</v>
      </c>
      <c r="AC130" s="36" t="str">
        <f t="shared" ref="AC130" si="972">INDEX(Phys_Prop,MATCH(AB130,Chem_List,0),5)</f>
        <v>Select Pet Stock</v>
      </c>
      <c r="AD130" s="36"/>
      <c r="AE130" s="36"/>
      <c r="AF130" s="38">
        <f>1-AF131</f>
        <v>1</v>
      </c>
      <c r="AG130" s="37" t="str">
        <f>AB130</f>
        <v>Jet kerosene</v>
      </c>
      <c r="AH130" s="36" t="str">
        <f t="shared" ref="AH130" si="973">INDEX(Phys_Prop,MATCH(AG130,Chem_List,0),5)</f>
        <v>Select Pet Stock</v>
      </c>
      <c r="AI130" s="36"/>
      <c r="AJ130" s="36"/>
      <c r="AK130" s="38">
        <f>1-AK131</f>
        <v>1</v>
      </c>
      <c r="AL130" s="37" t="str">
        <f>AG130</f>
        <v>Jet kerosene</v>
      </c>
      <c r="AM130" s="36" t="str">
        <f t="shared" ref="AM130" si="974">INDEX(Phys_Prop,MATCH(AL130,Chem_List,0),5)</f>
        <v>Select Pet Stock</v>
      </c>
      <c r="AN130" s="36"/>
      <c r="AO130" s="36"/>
      <c r="AP130" s="38">
        <f>1-AP131</f>
        <v>1</v>
      </c>
      <c r="AQ130" s="37" t="str">
        <f>AL130</f>
        <v>Jet kerosene</v>
      </c>
      <c r="AR130" s="36" t="str">
        <f t="shared" ref="AR130" si="975">INDEX(Phys_Prop,MATCH(AQ130,Chem_List,0),5)</f>
        <v>Select Pet Stock</v>
      </c>
      <c r="AS130" s="36"/>
      <c r="AT130" s="36"/>
      <c r="AU130" s="38">
        <f>1-AU131</f>
        <v>1</v>
      </c>
      <c r="AV130" s="37" t="str">
        <f>AQ130</f>
        <v>Jet kerosene</v>
      </c>
      <c r="AW130" s="36" t="str">
        <f t="shared" ref="AW130" si="976">INDEX(Phys_Prop,MATCH(AV130,Chem_List,0),5)</f>
        <v>Select Pet Stock</v>
      </c>
      <c r="AX130" s="36"/>
      <c r="AY130" s="36"/>
      <c r="AZ130" s="38">
        <f>1-AZ131</f>
        <v>1</v>
      </c>
      <c r="BA130" s="37" t="str">
        <f>AV130</f>
        <v>Jet kerosene</v>
      </c>
      <c r="BB130" s="36" t="str">
        <f t="shared" ref="BB130" si="977">INDEX(Phys_Prop,MATCH(BA130,Chem_List,0),5)</f>
        <v>Select Pet Stock</v>
      </c>
      <c r="BC130" s="36"/>
      <c r="BD130" s="36"/>
      <c r="BE130" s="38">
        <f>1-BE131</f>
        <v>1</v>
      </c>
      <c r="BF130" s="37" t="str">
        <f>BA130</f>
        <v>Jet kerosene</v>
      </c>
      <c r="BG130" s="36" t="str">
        <f t="shared" ref="BG130" si="978">INDEX(Phys_Prop,MATCH(BF130,Chem_List,0),5)</f>
        <v>Select Pet Stock</v>
      </c>
      <c r="BH130" s="36"/>
      <c r="BI130" s="36"/>
      <c r="BJ130" s="38">
        <f>1-BJ131</f>
        <v>1</v>
      </c>
      <c r="BK130" s="37" t="str">
        <f>BF130</f>
        <v>Jet kerosene</v>
      </c>
      <c r="BL130" s="36" t="str">
        <f t="shared" ref="BL130" si="979">INDEX(Phys_Prop,MATCH(BK130,Chem_List,0),5)</f>
        <v>Select Pet Stock</v>
      </c>
      <c r="BM130" s="36"/>
      <c r="BN130" s="36"/>
      <c r="BO130" s="38">
        <f>1-BO131</f>
        <v>1</v>
      </c>
      <c r="BP130" s="37" t="str">
        <f>BK130</f>
        <v>Jet kerosene</v>
      </c>
      <c r="BQ130" s="36" t="str">
        <f t="shared" ref="BQ130" si="980">INDEX(Phys_Prop,MATCH(BP130,Chem_List,0),5)</f>
        <v>Select Pet Stock</v>
      </c>
      <c r="BR130" s="36"/>
      <c r="BS130" s="36"/>
      <c r="BT130" s="38">
        <f>1-BT131</f>
        <v>1</v>
      </c>
      <c r="BU130" s="37" t="str">
        <f>BP130</f>
        <v>Jet kerosene</v>
      </c>
      <c r="BV130" s="36" t="str">
        <f t="shared" ref="BV130" si="981">INDEX(Phys_Prop,MATCH(BU130,Chem_List,0),5)</f>
        <v>Select Pet Stock</v>
      </c>
      <c r="BW130" s="36"/>
      <c r="BX130" s="36"/>
      <c r="BY130" s="38">
        <f>1-BY131</f>
        <v>1</v>
      </c>
      <c r="BZ130" s="561"/>
      <c r="CA130" s="549"/>
      <c r="CB130" s="549"/>
      <c r="CC130" s="549"/>
      <c r="CD130" s="549"/>
      <c r="CE130" s="549"/>
      <c r="CF130" s="549"/>
      <c r="CG130" s="549"/>
      <c r="CH130" s="549"/>
      <c r="CI130" s="549"/>
      <c r="CJ130" s="549"/>
      <c r="CK130" s="549"/>
      <c r="CL130" s="559" cm="1">
        <f t="array" ref="CL130">INDEX(FX_Setup,DA130,DE130)</f>
        <v>406</v>
      </c>
      <c r="CM130" s="550">
        <f t="shared" ref="CM130:CW130" si="982">CL130</f>
        <v>406</v>
      </c>
      <c r="CN130" s="550">
        <f t="shared" si="982"/>
        <v>406</v>
      </c>
      <c r="CO130" s="550">
        <f t="shared" si="982"/>
        <v>406</v>
      </c>
      <c r="CP130" s="550">
        <f t="shared" si="982"/>
        <v>406</v>
      </c>
      <c r="CQ130" s="550">
        <f t="shared" si="982"/>
        <v>406</v>
      </c>
      <c r="CR130" s="550">
        <f t="shared" si="982"/>
        <v>406</v>
      </c>
      <c r="CS130" s="550">
        <f t="shared" si="982"/>
        <v>406</v>
      </c>
      <c r="CT130" s="550">
        <f t="shared" si="982"/>
        <v>406</v>
      </c>
      <c r="CU130" s="550">
        <f t="shared" si="982"/>
        <v>406</v>
      </c>
      <c r="CV130" s="550">
        <f t="shared" si="982"/>
        <v>406</v>
      </c>
      <c r="CW130" s="550">
        <f t="shared" si="982"/>
        <v>406</v>
      </c>
      <c r="CX130" s="562">
        <f t="shared" ref="CX130" si="983">SUM(CL130:CW131)</f>
        <v>4872</v>
      </c>
      <c r="DA130" s="42">
        <f>DA128+1</f>
        <v>62</v>
      </c>
      <c r="DB130">
        <v>7</v>
      </c>
      <c r="DC130">
        <v>6</v>
      </c>
      <c r="DD130">
        <v>5</v>
      </c>
      <c r="DE130">
        <f t="shared" ref="DE130" si="984">DE128</f>
        <v>9</v>
      </c>
    </row>
    <row r="131" spans="2:109" x14ac:dyDescent="0.4">
      <c r="B131" s="504"/>
      <c r="C131" s="546"/>
      <c r="D131" s="547"/>
      <c r="E131" s="548"/>
      <c r="F131" s="549"/>
      <c r="G131" s="549"/>
      <c r="H131" s="550"/>
      <c r="I131" s="549"/>
      <c r="J131" s="549"/>
      <c r="K131" s="549"/>
      <c r="L131" s="549"/>
      <c r="M131" s="549"/>
      <c r="N131" s="549"/>
      <c r="O131" s="549"/>
      <c r="P131" s="549"/>
      <c r="Q131" s="560"/>
      <c r="R131" s="27"/>
      <c r="S131" s="36"/>
      <c r="T131" s="28"/>
      <c r="U131" s="28"/>
      <c r="V131" s="26"/>
      <c r="W131" s="27"/>
      <c r="X131" s="36"/>
      <c r="Y131" s="28"/>
      <c r="Z131" s="28"/>
      <c r="AA131" s="26"/>
      <c r="AB131" s="27"/>
      <c r="AC131" s="36"/>
      <c r="AD131" s="28"/>
      <c r="AE131" s="28"/>
      <c r="AF131" s="26"/>
      <c r="AG131" s="27"/>
      <c r="AH131" s="36"/>
      <c r="AI131" s="28"/>
      <c r="AJ131" s="28"/>
      <c r="AK131" s="26"/>
      <c r="AL131" s="27"/>
      <c r="AM131" s="36"/>
      <c r="AN131" s="28"/>
      <c r="AO131" s="28"/>
      <c r="AP131" s="26"/>
      <c r="AQ131" s="27"/>
      <c r="AR131" s="36"/>
      <c r="AS131" s="28"/>
      <c r="AT131" s="28"/>
      <c r="AU131" s="26"/>
      <c r="AV131" s="27"/>
      <c r="AW131" s="36"/>
      <c r="AX131" s="28"/>
      <c r="AY131" s="28"/>
      <c r="AZ131" s="26"/>
      <c r="BA131" s="27"/>
      <c r="BB131" s="36"/>
      <c r="BC131" s="28"/>
      <c r="BD131" s="28"/>
      <c r="BE131" s="26"/>
      <c r="BF131" s="27"/>
      <c r="BG131" s="36"/>
      <c r="BH131" s="28"/>
      <c r="BI131" s="28"/>
      <c r="BJ131" s="26"/>
      <c r="BK131" s="27"/>
      <c r="BL131" s="36"/>
      <c r="BM131" s="28"/>
      <c r="BN131" s="28"/>
      <c r="BO131" s="26"/>
      <c r="BP131" s="27"/>
      <c r="BQ131" s="36"/>
      <c r="BR131" s="28"/>
      <c r="BS131" s="28"/>
      <c r="BT131" s="26"/>
      <c r="BU131" s="27"/>
      <c r="BV131" s="36"/>
      <c r="BW131" s="28"/>
      <c r="BX131" s="28"/>
      <c r="BY131" s="26"/>
      <c r="BZ131" s="561"/>
      <c r="CA131" s="549"/>
      <c r="CB131" s="549"/>
      <c r="CC131" s="549"/>
      <c r="CD131" s="549"/>
      <c r="CE131" s="549"/>
      <c r="CF131" s="549"/>
      <c r="CG131" s="549"/>
      <c r="CH131" s="549"/>
      <c r="CI131" s="549"/>
      <c r="CJ131" s="549"/>
      <c r="CK131" s="549"/>
      <c r="CL131" s="559"/>
      <c r="CM131" s="550"/>
      <c r="CN131" s="550"/>
      <c r="CO131" s="550"/>
      <c r="CP131" s="550"/>
      <c r="CQ131" s="550"/>
      <c r="CR131" s="550"/>
      <c r="CS131" s="550"/>
      <c r="CT131" s="550"/>
      <c r="CU131" s="550"/>
      <c r="CV131" s="550"/>
      <c r="CW131" s="550"/>
      <c r="CX131" s="562"/>
      <c r="DA131" s="42"/>
    </row>
    <row r="132" spans="2:109" x14ac:dyDescent="0.4">
      <c r="B132" s="504" t="str">
        <f t="shared" ref="B132" si="985">"FX - "&amp;DA132</f>
        <v>FX - 63</v>
      </c>
      <c r="C132" s="545" t="s">
        <v>1926</v>
      </c>
      <c r="D132" s="547" t="str">
        <f t="shared" ref="D132" si="986">D130</f>
        <v>Portland</v>
      </c>
      <c r="E132" s="548" t="s">
        <v>65</v>
      </c>
      <c r="F132" s="549" cm="1">
        <f t="array" ref="F132">INDEX(FX_Setup,DA132,DB132)</f>
        <v>12</v>
      </c>
      <c r="G132" s="549" cm="1">
        <f t="array" ref="G132">INDEX(FX_Setup,$DA132,DC132)</f>
        <v>24</v>
      </c>
      <c r="H132" s="550" cm="1">
        <f t="array" ref="H132">INDEX(FX_Setup,$DA132,DD132)</f>
        <v>21000</v>
      </c>
      <c r="I132" s="549" t="s">
        <v>27</v>
      </c>
      <c r="J132" s="549"/>
      <c r="K132" s="549"/>
      <c r="L132" s="549" t="s">
        <v>93</v>
      </c>
      <c r="M132" s="549" t="s">
        <v>90</v>
      </c>
      <c r="N132" s="549" t="s">
        <v>93</v>
      </c>
      <c r="O132" s="549" t="s">
        <v>90</v>
      </c>
      <c r="P132" s="549"/>
      <c r="Q132" s="560"/>
      <c r="R132" s="37" t="str" cm="1">
        <f t="array" ref="R132">INDEX(Surrogate_Lst,MATCH(INDEX(FX_Setup,DA132,3),Product_GRP,0),2)</f>
        <v>Jet kerosene</v>
      </c>
      <c r="S132" s="36" t="str">
        <f t="shared" ref="S132" si="987">INDEX(Phys_Prop,MATCH(R132,Chem_List,0),5)</f>
        <v>Select Pet Stock</v>
      </c>
      <c r="T132" s="36"/>
      <c r="U132" s="36"/>
      <c r="V132" s="38">
        <f>1-V133</f>
        <v>1</v>
      </c>
      <c r="W132" s="37" t="str">
        <f>R132</f>
        <v>Jet kerosene</v>
      </c>
      <c r="X132" s="36" t="str">
        <f t="shared" ref="X132" si="988">INDEX(Phys_Prop,MATCH(W132,Chem_List,0),5)</f>
        <v>Select Pet Stock</v>
      </c>
      <c r="Y132" s="36"/>
      <c r="Z132" s="36"/>
      <c r="AA132" s="38">
        <f>1-AA133</f>
        <v>1</v>
      </c>
      <c r="AB132" s="37" t="str">
        <f>W132</f>
        <v>Jet kerosene</v>
      </c>
      <c r="AC132" s="36" t="str">
        <f t="shared" ref="AC132" si="989">INDEX(Phys_Prop,MATCH(AB132,Chem_List,0),5)</f>
        <v>Select Pet Stock</v>
      </c>
      <c r="AD132" s="36"/>
      <c r="AE132" s="36"/>
      <c r="AF132" s="38">
        <f>1-AF133</f>
        <v>1</v>
      </c>
      <c r="AG132" s="37" t="str">
        <f>AB132</f>
        <v>Jet kerosene</v>
      </c>
      <c r="AH132" s="36" t="str">
        <f t="shared" ref="AH132" si="990">INDEX(Phys_Prop,MATCH(AG132,Chem_List,0),5)</f>
        <v>Select Pet Stock</v>
      </c>
      <c r="AI132" s="36"/>
      <c r="AJ132" s="36"/>
      <c r="AK132" s="38">
        <f>1-AK133</f>
        <v>1</v>
      </c>
      <c r="AL132" s="37" t="str">
        <f>AG132</f>
        <v>Jet kerosene</v>
      </c>
      <c r="AM132" s="36" t="str">
        <f t="shared" ref="AM132" si="991">INDEX(Phys_Prop,MATCH(AL132,Chem_List,0),5)</f>
        <v>Select Pet Stock</v>
      </c>
      <c r="AN132" s="36"/>
      <c r="AO132" s="36"/>
      <c r="AP132" s="38">
        <f>1-AP133</f>
        <v>1</v>
      </c>
      <c r="AQ132" s="37" t="str">
        <f>AL132</f>
        <v>Jet kerosene</v>
      </c>
      <c r="AR132" s="36" t="str">
        <f t="shared" ref="AR132" si="992">INDEX(Phys_Prop,MATCH(AQ132,Chem_List,0),5)</f>
        <v>Select Pet Stock</v>
      </c>
      <c r="AS132" s="36"/>
      <c r="AT132" s="36"/>
      <c r="AU132" s="38">
        <f>1-AU133</f>
        <v>1</v>
      </c>
      <c r="AV132" s="37" t="str">
        <f>AQ132</f>
        <v>Jet kerosene</v>
      </c>
      <c r="AW132" s="36" t="str">
        <f t="shared" ref="AW132" si="993">INDEX(Phys_Prop,MATCH(AV132,Chem_List,0),5)</f>
        <v>Select Pet Stock</v>
      </c>
      <c r="AX132" s="36"/>
      <c r="AY132" s="36"/>
      <c r="AZ132" s="38">
        <f>1-AZ133</f>
        <v>1</v>
      </c>
      <c r="BA132" s="37" t="str">
        <f>AV132</f>
        <v>Jet kerosene</v>
      </c>
      <c r="BB132" s="36" t="str">
        <f t="shared" ref="BB132" si="994">INDEX(Phys_Prop,MATCH(BA132,Chem_List,0),5)</f>
        <v>Select Pet Stock</v>
      </c>
      <c r="BC132" s="36"/>
      <c r="BD132" s="36"/>
      <c r="BE132" s="38">
        <f>1-BE133</f>
        <v>1</v>
      </c>
      <c r="BF132" s="37" t="str">
        <f>BA132</f>
        <v>Jet kerosene</v>
      </c>
      <c r="BG132" s="36" t="str">
        <f t="shared" ref="BG132" si="995">INDEX(Phys_Prop,MATCH(BF132,Chem_List,0),5)</f>
        <v>Select Pet Stock</v>
      </c>
      <c r="BH132" s="36"/>
      <c r="BI132" s="36"/>
      <c r="BJ132" s="38">
        <f>1-BJ133</f>
        <v>1</v>
      </c>
      <c r="BK132" s="37" t="str">
        <f>BF132</f>
        <v>Jet kerosene</v>
      </c>
      <c r="BL132" s="36" t="str">
        <f t="shared" ref="BL132" si="996">INDEX(Phys_Prop,MATCH(BK132,Chem_List,0),5)</f>
        <v>Select Pet Stock</v>
      </c>
      <c r="BM132" s="36"/>
      <c r="BN132" s="36"/>
      <c r="BO132" s="38">
        <f>1-BO133</f>
        <v>1</v>
      </c>
      <c r="BP132" s="37" t="str">
        <f>BK132</f>
        <v>Jet kerosene</v>
      </c>
      <c r="BQ132" s="36" t="str">
        <f t="shared" ref="BQ132" si="997">INDEX(Phys_Prop,MATCH(BP132,Chem_List,0),5)</f>
        <v>Select Pet Stock</v>
      </c>
      <c r="BR132" s="36"/>
      <c r="BS132" s="36"/>
      <c r="BT132" s="38">
        <f>1-BT133</f>
        <v>1</v>
      </c>
      <c r="BU132" s="37" t="str">
        <f>BP132</f>
        <v>Jet kerosene</v>
      </c>
      <c r="BV132" s="36" t="str">
        <f t="shared" ref="BV132" si="998">INDEX(Phys_Prop,MATCH(BU132,Chem_List,0),5)</f>
        <v>Select Pet Stock</v>
      </c>
      <c r="BW132" s="36"/>
      <c r="BX132" s="36"/>
      <c r="BY132" s="38">
        <f>1-BY133</f>
        <v>1</v>
      </c>
      <c r="BZ132" s="561"/>
      <c r="CA132" s="549"/>
      <c r="CB132" s="549"/>
      <c r="CC132" s="549"/>
      <c r="CD132" s="549"/>
      <c r="CE132" s="549"/>
      <c r="CF132" s="549"/>
      <c r="CG132" s="549"/>
      <c r="CH132" s="549"/>
      <c r="CI132" s="549"/>
      <c r="CJ132" s="549"/>
      <c r="CK132" s="549"/>
      <c r="CL132" s="559" cm="1">
        <f t="array" ref="CL132">INDEX(FX_Setup,DA132,DE132)</f>
        <v>500</v>
      </c>
      <c r="CM132" s="550">
        <f t="shared" ref="CM132:CW132" si="999">CL132</f>
        <v>500</v>
      </c>
      <c r="CN132" s="550">
        <f t="shared" si="999"/>
        <v>500</v>
      </c>
      <c r="CO132" s="550">
        <f t="shared" si="999"/>
        <v>500</v>
      </c>
      <c r="CP132" s="550">
        <f t="shared" si="999"/>
        <v>500</v>
      </c>
      <c r="CQ132" s="550">
        <f t="shared" si="999"/>
        <v>500</v>
      </c>
      <c r="CR132" s="550">
        <f t="shared" si="999"/>
        <v>500</v>
      </c>
      <c r="CS132" s="550">
        <f t="shared" si="999"/>
        <v>500</v>
      </c>
      <c r="CT132" s="550">
        <f t="shared" si="999"/>
        <v>500</v>
      </c>
      <c r="CU132" s="550">
        <f t="shared" si="999"/>
        <v>500</v>
      </c>
      <c r="CV132" s="550">
        <f t="shared" si="999"/>
        <v>500</v>
      </c>
      <c r="CW132" s="550">
        <f t="shared" si="999"/>
        <v>500</v>
      </c>
      <c r="CX132" s="562">
        <f t="shared" ref="CX132" si="1000">SUM(CL132:CW133)</f>
        <v>6000</v>
      </c>
      <c r="DA132" s="42">
        <f>DA130+1</f>
        <v>63</v>
      </c>
      <c r="DB132">
        <v>7</v>
      </c>
      <c r="DC132">
        <v>6</v>
      </c>
      <c r="DD132">
        <v>5</v>
      </c>
      <c r="DE132">
        <f t="shared" ref="DE132" si="1001">DE130</f>
        <v>9</v>
      </c>
    </row>
    <row r="133" spans="2:109" x14ac:dyDescent="0.4">
      <c r="B133" s="504"/>
      <c r="C133" s="546"/>
      <c r="D133" s="547"/>
      <c r="E133" s="548"/>
      <c r="F133" s="549"/>
      <c r="G133" s="549"/>
      <c r="H133" s="550"/>
      <c r="I133" s="549"/>
      <c r="J133" s="549"/>
      <c r="K133" s="549"/>
      <c r="L133" s="549"/>
      <c r="M133" s="549"/>
      <c r="N133" s="549"/>
      <c r="O133" s="549"/>
      <c r="P133" s="549"/>
      <c r="Q133" s="560"/>
      <c r="R133" s="27"/>
      <c r="S133" s="36"/>
      <c r="T133" s="28"/>
      <c r="U133" s="28"/>
      <c r="V133" s="26"/>
      <c r="W133" s="27"/>
      <c r="X133" s="36"/>
      <c r="Y133" s="28"/>
      <c r="Z133" s="28"/>
      <c r="AA133" s="26"/>
      <c r="AB133" s="27"/>
      <c r="AC133" s="36"/>
      <c r="AD133" s="28"/>
      <c r="AE133" s="28"/>
      <c r="AF133" s="26"/>
      <c r="AG133" s="27"/>
      <c r="AH133" s="36"/>
      <c r="AI133" s="28"/>
      <c r="AJ133" s="28"/>
      <c r="AK133" s="26"/>
      <c r="AL133" s="27"/>
      <c r="AM133" s="36"/>
      <c r="AN133" s="28"/>
      <c r="AO133" s="28"/>
      <c r="AP133" s="26"/>
      <c r="AQ133" s="27"/>
      <c r="AR133" s="36"/>
      <c r="AS133" s="28"/>
      <c r="AT133" s="28"/>
      <c r="AU133" s="26"/>
      <c r="AV133" s="27"/>
      <c r="AW133" s="36"/>
      <c r="AX133" s="28"/>
      <c r="AY133" s="28"/>
      <c r="AZ133" s="26"/>
      <c r="BA133" s="27"/>
      <c r="BB133" s="36"/>
      <c r="BC133" s="28"/>
      <c r="BD133" s="28"/>
      <c r="BE133" s="26"/>
      <c r="BF133" s="27"/>
      <c r="BG133" s="36"/>
      <c r="BH133" s="28"/>
      <c r="BI133" s="28"/>
      <c r="BJ133" s="26"/>
      <c r="BK133" s="27"/>
      <c r="BL133" s="36"/>
      <c r="BM133" s="28"/>
      <c r="BN133" s="28"/>
      <c r="BO133" s="26"/>
      <c r="BP133" s="27"/>
      <c r="BQ133" s="36"/>
      <c r="BR133" s="28"/>
      <c r="BS133" s="28"/>
      <c r="BT133" s="26"/>
      <c r="BU133" s="27"/>
      <c r="BV133" s="36"/>
      <c r="BW133" s="28"/>
      <c r="BX133" s="28"/>
      <c r="BY133" s="26"/>
      <c r="BZ133" s="561"/>
      <c r="CA133" s="549"/>
      <c r="CB133" s="549"/>
      <c r="CC133" s="549"/>
      <c r="CD133" s="549"/>
      <c r="CE133" s="549"/>
      <c r="CF133" s="549"/>
      <c r="CG133" s="549"/>
      <c r="CH133" s="549"/>
      <c r="CI133" s="549"/>
      <c r="CJ133" s="549"/>
      <c r="CK133" s="549"/>
      <c r="CL133" s="559"/>
      <c r="CM133" s="550"/>
      <c r="CN133" s="550"/>
      <c r="CO133" s="550"/>
      <c r="CP133" s="550"/>
      <c r="CQ133" s="550"/>
      <c r="CR133" s="550"/>
      <c r="CS133" s="550"/>
      <c r="CT133" s="550"/>
      <c r="CU133" s="550"/>
      <c r="CV133" s="550"/>
      <c r="CW133" s="550"/>
      <c r="CX133" s="562"/>
      <c r="DA133" s="42"/>
    </row>
    <row r="134" spans="2:109" x14ac:dyDescent="0.4">
      <c r="B134" s="504" t="str">
        <f>"FX - "&amp;DA134</f>
        <v>FX - 64</v>
      </c>
      <c r="C134" s="545" t="s">
        <v>1927</v>
      </c>
      <c r="D134" s="547" t="str">
        <f t="shared" ref="D134" si="1002">D132</f>
        <v>Portland</v>
      </c>
      <c r="E134" s="548" t="s">
        <v>65</v>
      </c>
      <c r="F134" s="549" cm="1">
        <f t="array" ref="F134">INDEX(FX_Setup,DA134,DB134)</f>
        <v>10.5</v>
      </c>
      <c r="G134" s="549" cm="1">
        <f t="array" ref="G134">INDEX(FX_Setup,$DA134,DC134)</f>
        <v>20</v>
      </c>
      <c r="H134" s="550" cm="1">
        <f t="array" ref="H134">INDEX(FX_Setup,$DA134,DD134)</f>
        <v>12936</v>
      </c>
      <c r="I134" s="549" t="s">
        <v>27</v>
      </c>
      <c r="J134" s="549"/>
      <c r="K134" s="549"/>
      <c r="L134" s="549" t="s">
        <v>93</v>
      </c>
      <c r="M134" s="549" t="s">
        <v>90</v>
      </c>
      <c r="N134" s="549" t="s">
        <v>93</v>
      </c>
      <c r="O134" s="549" t="s">
        <v>90</v>
      </c>
      <c r="P134" s="549"/>
      <c r="Q134" s="560"/>
      <c r="R134" s="37" t="str" cm="1">
        <f t="array" ref="R134">INDEX(Surrogate_Lst,MATCH(INDEX(FX_Setup,DA134,3),Product_GRP,0),2)</f>
        <v>Jet kerosene</v>
      </c>
      <c r="S134" s="36" t="str">
        <f t="shared" ref="S134" si="1003">INDEX(Phys_Prop,MATCH(R134,Chem_List,0),5)</f>
        <v>Select Pet Stock</v>
      </c>
      <c r="T134" s="36"/>
      <c r="U134" s="36"/>
      <c r="V134" s="38">
        <f>1-V135</f>
        <v>1</v>
      </c>
      <c r="W134" s="37" t="str">
        <f>R134</f>
        <v>Jet kerosene</v>
      </c>
      <c r="X134" s="36" t="str">
        <f t="shared" ref="X134" si="1004">INDEX(Phys_Prop,MATCH(W134,Chem_List,0),5)</f>
        <v>Select Pet Stock</v>
      </c>
      <c r="Y134" s="36"/>
      <c r="Z134" s="36"/>
      <c r="AA134" s="38">
        <f>1-AA135</f>
        <v>1</v>
      </c>
      <c r="AB134" s="37" t="str">
        <f>W134</f>
        <v>Jet kerosene</v>
      </c>
      <c r="AC134" s="36" t="str">
        <f t="shared" ref="AC134" si="1005">INDEX(Phys_Prop,MATCH(AB134,Chem_List,0),5)</f>
        <v>Select Pet Stock</v>
      </c>
      <c r="AD134" s="36"/>
      <c r="AE134" s="36"/>
      <c r="AF134" s="38">
        <f>1-AF135</f>
        <v>1</v>
      </c>
      <c r="AG134" s="37" t="str">
        <f>AB134</f>
        <v>Jet kerosene</v>
      </c>
      <c r="AH134" s="36" t="str">
        <f t="shared" ref="AH134" si="1006">INDEX(Phys_Prop,MATCH(AG134,Chem_List,0),5)</f>
        <v>Select Pet Stock</v>
      </c>
      <c r="AI134" s="36"/>
      <c r="AJ134" s="36"/>
      <c r="AK134" s="38">
        <f>1-AK135</f>
        <v>1</v>
      </c>
      <c r="AL134" s="37" t="str">
        <f>AG134</f>
        <v>Jet kerosene</v>
      </c>
      <c r="AM134" s="36" t="str">
        <f t="shared" ref="AM134" si="1007">INDEX(Phys_Prop,MATCH(AL134,Chem_List,0),5)</f>
        <v>Select Pet Stock</v>
      </c>
      <c r="AN134" s="36"/>
      <c r="AO134" s="36"/>
      <c r="AP134" s="38">
        <f>1-AP135</f>
        <v>1</v>
      </c>
      <c r="AQ134" s="37" t="str">
        <f>AL134</f>
        <v>Jet kerosene</v>
      </c>
      <c r="AR134" s="36" t="str">
        <f t="shared" ref="AR134" si="1008">INDEX(Phys_Prop,MATCH(AQ134,Chem_List,0),5)</f>
        <v>Select Pet Stock</v>
      </c>
      <c r="AS134" s="36"/>
      <c r="AT134" s="36"/>
      <c r="AU134" s="38">
        <f>1-AU135</f>
        <v>1</v>
      </c>
      <c r="AV134" s="37" t="str">
        <f>AQ134</f>
        <v>Jet kerosene</v>
      </c>
      <c r="AW134" s="36" t="str">
        <f t="shared" ref="AW134" si="1009">INDEX(Phys_Prop,MATCH(AV134,Chem_List,0),5)</f>
        <v>Select Pet Stock</v>
      </c>
      <c r="AX134" s="36"/>
      <c r="AY134" s="36"/>
      <c r="AZ134" s="38">
        <f>1-AZ135</f>
        <v>1</v>
      </c>
      <c r="BA134" s="37" t="str">
        <f>AV134</f>
        <v>Jet kerosene</v>
      </c>
      <c r="BB134" s="36" t="str">
        <f t="shared" ref="BB134" si="1010">INDEX(Phys_Prop,MATCH(BA134,Chem_List,0),5)</f>
        <v>Select Pet Stock</v>
      </c>
      <c r="BC134" s="36"/>
      <c r="BD134" s="36"/>
      <c r="BE134" s="38">
        <f>1-BE135</f>
        <v>1</v>
      </c>
      <c r="BF134" s="37" t="str">
        <f>BA134</f>
        <v>Jet kerosene</v>
      </c>
      <c r="BG134" s="36" t="str">
        <f t="shared" ref="BG134" si="1011">INDEX(Phys_Prop,MATCH(BF134,Chem_List,0),5)</f>
        <v>Select Pet Stock</v>
      </c>
      <c r="BH134" s="36"/>
      <c r="BI134" s="36"/>
      <c r="BJ134" s="38">
        <f>1-BJ135</f>
        <v>1</v>
      </c>
      <c r="BK134" s="37" t="str">
        <f>BF134</f>
        <v>Jet kerosene</v>
      </c>
      <c r="BL134" s="36" t="str">
        <f t="shared" ref="BL134" si="1012">INDEX(Phys_Prop,MATCH(BK134,Chem_List,0),5)</f>
        <v>Select Pet Stock</v>
      </c>
      <c r="BM134" s="36"/>
      <c r="BN134" s="36"/>
      <c r="BO134" s="38">
        <f>1-BO135</f>
        <v>1</v>
      </c>
      <c r="BP134" s="37" t="str">
        <f>BK134</f>
        <v>Jet kerosene</v>
      </c>
      <c r="BQ134" s="36" t="str">
        <f t="shared" ref="BQ134" si="1013">INDEX(Phys_Prop,MATCH(BP134,Chem_List,0),5)</f>
        <v>Select Pet Stock</v>
      </c>
      <c r="BR134" s="36"/>
      <c r="BS134" s="36"/>
      <c r="BT134" s="38">
        <f>1-BT135</f>
        <v>1</v>
      </c>
      <c r="BU134" s="37" t="str">
        <f>BP134</f>
        <v>Jet kerosene</v>
      </c>
      <c r="BV134" s="36" t="str">
        <f t="shared" ref="BV134" si="1014">INDEX(Phys_Prop,MATCH(BU134,Chem_List,0),5)</f>
        <v>Select Pet Stock</v>
      </c>
      <c r="BW134" s="36"/>
      <c r="BX134" s="36"/>
      <c r="BY134" s="38">
        <f>1-BY135</f>
        <v>1</v>
      </c>
      <c r="BZ134" s="561"/>
      <c r="CA134" s="549"/>
      <c r="CB134" s="549"/>
      <c r="CC134" s="549"/>
      <c r="CD134" s="549"/>
      <c r="CE134" s="549"/>
      <c r="CF134" s="549"/>
      <c r="CG134" s="549"/>
      <c r="CH134" s="549"/>
      <c r="CI134" s="549"/>
      <c r="CJ134" s="549"/>
      <c r="CK134" s="549"/>
      <c r="CL134" s="567" cm="1">
        <f t="array" ref="CL134">INDEX(FX_Setup,DA134,DE134)</f>
        <v>308</v>
      </c>
      <c r="CM134" s="563">
        <f t="shared" ref="CM134:CW134" si="1015">CL134</f>
        <v>308</v>
      </c>
      <c r="CN134" s="563">
        <f t="shared" si="1015"/>
        <v>308</v>
      </c>
      <c r="CO134" s="563">
        <f t="shared" si="1015"/>
        <v>308</v>
      </c>
      <c r="CP134" s="563">
        <f t="shared" si="1015"/>
        <v>308</v>
      </c>
      <c r="CQ134" s="563">
        <f t="shared" si="1015"/>
        <v>308</v>
      </c>
      <c r="CR134" s="563">
        <f t="shared" si="1015"/>
        <v>308</v>
      </c>
      <c r="CS134" s="563">
        <f t="shared" si="1015"/>
        <v>308</v>
      </c>
      <c r="CT134" s="563">
        <f t="shared" si="1015"/>
        <v>308</v>
      </c>
      <c r="CU134" s="563">
        <f t="shared" si="1015"/>
        <v>308</v>
      </c>
      <c r="CV134" s="563">
        <f t="shared" si="1015"/>
        <v>308</v>
      </c>
      <c r="CW134" s="563">
        <f t="shared" si="1015"/>
        <v>308</v>
      </c>
      <c r="CX134" s="565">
        <f t="shared" ref="CX134" si="1016">SUM(CL134:CW135)</f>
        <v>3696</v>
      </c>
      <c r="DA134" s="42">
        <f>DA132+1</f>
        <v>64</v>
      </c>
      <c r="DB134">
        <v>7</v>
      </c>
      <c r="DC134">
        <v>6</v>
      </c>
      <c r="DD134">
        <v>5</v>
      </c>
      <c r="DE134">
        <f t="shared" ref="DE134" si="1017">DE132</f>
        <v>9</v>
      </c>
    </row>
    <row r="135" spans="2:109" x14ac:dyDescent="0.4">
      <c r="B135" s="504"/>
      <c r="C135" s="546"/>
      <c r="D135" s="547"/>
      <c r="E135" s="548"/>
      <c r="F135" s="549"/>
      <c r="G135" s="549"/>
      <c r="H135" s="550"/>
      <c r="I135" s="549"/>
      <c r="J135" s="549"/>
      <c r="K135" s="549"/>
      <c r="L135" s="549"/>
      <c r="M135" s="549"/>
      <c r="N135" s="549"/>
      <c r="O135" s="549"/>
      <c r="P135" s="549"/>
      <c r="Q135" s="560"/>
      <c r="R135" s="27"/>
      <c r="S135" s="36"/>
      <c r="T135" s="28"/>
      <c r="U135" s="28"/>
      <c r="V135" s="26"/>
      <c r="W135" s="27"/>
      <c r="X135" s="36"/>
      <c r="Y135" s="28"/>
      <c r="Z135" s="28"/>
      <c r="AA135" s="26"/>
      <c r="AB135" s="27"/>
      <c r="AC135" s="36"/>
      <c r="AD135" s="28"/>
      <c r="AE135" s="28"/>
      <c r="AF135" s="26"/>
      <c r="AG135" s="27"/>
      <c r="AH135" s="36"/>
      <c r="AI135" s="28"/>
      <c r="AJ135" s="28"/>
      <c r="AK135" s="26"/>
      <c r="AL135" s="27"/>
      <c r="AM135" s="36"/>
      <c r="AN135" s="28"/>
      <c r="AO135" s="28"/>
      <c r="AP135" s="26"/>
      <c r="AQ135" s="27"/>
      <c r="AR135" s="36"/>
      <c r="AS135" s="28"/>
      <c r="AT135" s="28"/>
      <c r="AU135" s="26"/>
      <c r="AV135" s="27"/>
      <c r="AW135" s="36"/>
      <c r="AX135" s="28"/>
      <c r="AY135" s="28"/>
      <c r="AZ135" s="26"/>
      <c r="BA135" s="27"/>
      <c r="BB135" s="36"/>
      <c r="BC135" s="28"/>
      <c r="BD135" s="28"/>
      <c r="BE135" s="26"/>
      <c r="BF135" s="27"/>
      <c r="BG135" s="36"/>
      <c r="BH135" s="28"/>
      <c r="BI135" s="28"/>
      <c r="BJ135" s="26"/>
      <c r="BK135" s="27"/>
      <c r="BL135" s="36"/>
      <c r="BM135" s="28"/>
      <c r="BN135" s="28"/>
      <c r="BO135" s="26"/>
      <c r="BP135" s="27"/>
      <c r="BQ135" s="36"/>
      <c r="BR135" s="28"/>
      <c r="BS135" s="28"/>
      <c r="BT135" s="26"/>
      <c r="BU135" s="27"/>
      <c r="BV135" s="36"/>
      <c r="BW135" s="28"/>
      <c r="BX135" s="28"/>
      <c r="BY135" s="26"/>
      <c r="BZ135" s="561"/>
      <c r="CA135" s="549"/>
      <c r="CB135" s="549"/>
      <c r="CC135" s="549"/>
      <c r="CD135" s="549"/>
      <c r="CE135" s="549"/>
      <c r="CF135" s="549"/>
      <c r="CG135" s="549"/>
      <c r="CH135" s="549"/>
      <c r="CI135" s="549"/>
      <c r="CJ135" s="549"/>
      <c r="CK135" s="549"/>
      <c r="CL135" s="568"/>
      <c r="CM135" s="564"/>
      <c r="CN135" s="564"/>
      <c r="CO135" s="564"/>
      <c r="CP135" s="564"/>
      <c r="CQ135" s="564"/>
      <c r="CR135" s="564"/>
      <c r="CS135" s="564"/>
      <c r="CT135" s="564"/>
      <c r="CU135" s="564"/>
      <c r="CV135" s="564"/>
      <c r="CW135" s="564"/>
      <c r="CX135" s="566"/>
      <c r="DA135" s="42"/>
    </row>
    <row r="136" spans="2:109" x14ac:dyDescent="0.4">
      <c r="B136" s="504" t="str">
        <f>"FX - "&amp;DA136</f>
        <v>FX - 65</v>
      </c>
      <c r="C136" s="545" t="s">
        <v>1928</v>
      </c>
      <c r="D136" s="547" t="str">
        <f t="shared" ref="D136" si="1018">D134</f>
        <v>Portland</v>
      </c>
      <c r="E136" s="548" t="s">
        <v>65</v>
      </c>
      <c r="F136" s="549" cm="1">
        <f t="array" ref="F136">INDEX(FX_Setup,DA136,DB136)</f>
        <v>6</v>
      </c>
      <c r="G136" s="549" cm="1">
        <f t="array" ref="G136">INDEX(FX_Setup,$DA136,DC136)</f>
        <v>13</v>
      </c>
      <c r="H136" s="550" cm="1">
        <f t="array" ref="H136">INDEX(FX_Setup,$DA136,DD136)</f>
        <v>2940</v>
      </c>
      <c r="I136" s="549" t="s">
        <v>27</v>
      </c>
      <c r="J136" s="549"/>
      <c r="K136" s="549"/>
      <c r="L136" s="549" t="s">
        <v>93</v>
      </c>
      <c r="M136" s="549" t="s">
        <v>90</v>
      </c>
      <c r="N136" s="549" t="s">
        <v>93</v>
      </c>
      <c r="O136" s="549" t="s">
        <v>90</v>
      </c>
      <c r="P136" s="549"/>
      <c r="Q136" s="560"/>
      <c r="R136" s="37" t="str" cm="1">
        <f t="array" ref="R136">INDEX(Surrogate_Lst,MATCH(INDEX(FX_Setup,DA136,3),Product_GRP,0),2)</f>
        <v>Jet kerosene</v>
      </c>
      <c r="S136" s="36" t="str">
        <f t="shared" ref="S136" si="1019">INDEX(Phys_Prop,MATCH(R136,Chem_List,0),5)</f>
        <v>Select Pet Stock</v>
      </c>
      <c r="T136" s="36"/>
      <c r="U136" s="36"/>
      <c r="V136" s="38">
        <f>1-V137</f>
        <v>1</v>
      </c>
      <c r="W136" s="37" t="str">
        <f>R136</f>
        <v>Jet kerosene</v>
      </c>
      <c r="X136" s="36" t="str">
        <f t="shared" ref="X136" si="1020">INDEX(Phys_Prop,MATCH(W136,Chem_List,0),5)</f>
        <v>Select Pet Stock</v>
      </c>
      <c r="Y136" s="36"/>
      <c r="Z136" s="36"/>
      <c r="AA136" s="38">
        <f>1-AA137</f>
        <v>1</v>
      </c>
      <c r="AB136" s="37" t="str">
        <f>W136</f>
        <v>Jet kerosene</v>
      </c>
      <c r="AC136" s="36" t="str">
        <f t="shared" ref="AC136" si="1021">INDEX(Phys_Prop,MATCH(AB136,Chem_List,0),5)</f>
        <v>Select Pet Stock</v>
      </c>
      <c r="AD136" s="36"/>
      <c r="AE136" s="36"/>
      <c r="AF136" s="38">
        <f>1-AF137</f>
        <v>1</v>
      </c>
      <c r="AG136" s="37" t="str">
        <f>AB136</f>
        <v>Jet kerosene</v>
      </c>
      <c r="AH136" s="36" t="str">
        <f t="shared" ref="AH136" si="1022">INDEX(Phys_Prop,MATCH(AG136,Chem_List,0),5)</f>
        <v>Select Pet Stock</v>
      </c>
      <c r="AI136" s="36"/>
      <c r="AJ136" s="36"/>
      <c r="AK136" s="38">
        <f>1-AK137</f>
        <v>1</v>
      </c>
      <c r="AL136" s="37" t="str">
        <f>AG136</f>
        <v>Jet kerosene</v>
      </c>
      <c r="AM136" s="36" t="str">
        <f t="shared" ref="AM136" si="1023">INDEX(Phys_Prop,MATCH(AL136,Chem_List,0),5)</f>
        <v>Select Pet Stock</v>
      </c>
      <c r="AN136" s="36"/>
      <c r="AO136" s="36"/>
      <c r="AP136" s="38">
        <f>1-AP137</f>
        <v>1</v>
      </c>
      <c r="AQ136" s="37" t="str">
        <f>AL136</f>
        <v>Jet kerosene</v>
      </c>
      <c r="AR136" s="36" t="str">
        <f t="shared" ref="AR136" si="1024">INDEX(Phys_Prop,MATCH(AQ136,Chem_List,0),5)</f>
        <v>Select Pet Stock</v>
      </c>
      <c r="AS136" s="36"/>
      <c r="AT136" s="36"/>
      <c r="AU136" s="38">
        <f>1-AU137</f>
        <v>1</v>
      </c>
      <c r="AV136" s="37" t="str">
        <f>AQ136</f>
        <v>Jet kerosene</v>
      </c>
      <c r="AW136" s="36" t="str">
        <f t="shared" ref="AW136" si="1025">INDEX(Phys_Prop,MATCH(AV136,Chem_List,0),5)</f>
        <v>Select Pet Stock</v>
      </c>
      <c r="AX136" s="36"/>
      <c r="AY136" s="36"/>
      <c r="AZ136" s="38">
        <f>1-AZ137</f>
        <v>1</v>
      </c>
      <c r="BA136" s="37" t="str">
        <f>AV136</f>
        <v>Jet kerosene</v>
      </c>
      <c r="BB136" s="36" t="str">
        <f t="shared" ref="BB136" si="1026">INDEX(Phys_Prop,MATCH(BA136,Chem_List,0),5)</f>
        <v>Select Pet Stock</v>
      </c>
      <c r="BC136" s="36"/>
      <c r="BD136" s="36"/>
      <c r="BE136" s="38">
        <f>1-BE137</f>
        <v>1</v>
      </c>
      <c r="BF136" s="37" t="str">
        <f>BA136</f>
        <v>Jet kerosene</v>
      </c>
      <c r="BG136" s="36" t="str">
        <f t="shared" ref="BG136" si="1027">INDEX(Phys_Prop,MATCH(BF136,Chem_List,0),5)</f>
        <v>Select Pet Stock</v>
      </c>
      <c r="BH136" s="36"/>
      <c r="BI136" s="36"/>
      <c r="BJ136" s="38">
        <f>1-BJ137</f>
        <v>1</v>
      </c>
      <c r="BK136" s="37" t="str">
        <f>BF136</f>
        <v>Jet kerosene</v>
      </c>
      <c r="BL136" s="36" t="str">
        <f t="shared" ref="BL136" si="1028">INDEX(Phys_Prop,MATCH(BK136,Chem_List,0),5)</f>
        <v>Select Pet Stock</v>
      </c>
      <c r="BM136" s="36"/>
      <c r="BN136" s="36"/>
      <c r="BO136" s="38">
        <f>1-BO137</f>
        <v>1</v>
      </c>
      <c r="BP136" s="37" t="str">
        <f>BK136</f>
        <v>Jet kerosene</v>
      </c>
      <c r="BQ136" s="36" t="str">
        <f t="shared" ref="BQ136" si="1029">INDEX(Phys_Prop,MATCH(BP136,Chem_List,0),5)</f>
        <v>Select Pet Stock</v>
      </c>
      <c r="BR136" s="36"/>
      <c r="BS136" s="36"/>
      <c r="BT136" s="38">
        <f>1-BT137</f>
        <v>1</v>
      </c>
      <c r="BU136" s="37" t="str">
        <f>BP136</f>
        <v>Jet kerosene</v>
      </c>
      <c r="BV136" s="36" t="str">
        <f t="shared" ref="BV136" si="1030">INDEX(Phys_Prop,MATCH(BU136,Chem_List,0),5)</f>
        <v>Select Pet Stock</v>
      </c>
      <c r="BW136" s="36"/>
      <c r="BX136" s="36"/>
      <c r="BY136" s="38">
        <f>1-BY137</f>
        <v>1</v>
      </c>
      <c r="BZ136" s="561"/>
      <c r="CA136" s="549"/>
      <c r="CB136" s="549"/>
      <c r="CC136" s="549"/>
      <c r="CD136" s="549"/>
      <c r="CE136" s="549"/>
      <c r="CF136" s="549"/>
      <c r="CG136" s="549"/>
      <c r="CH136" s="549"/>
      <c r="CI136" s="549"/>
      <c r="CJ136" s="549"/>
      <c r="CK136" s="549"/>
      <c r="CL136" s="559" cm="1">
        <f t="array" ref="CL136">INDEX(FX_Setup,DA136,DE136)</f>
        <v>70</v>
      </c>
      <c r="CM136" s="550">
        <f t="shared" ref="CM136:CW136" si="1031">CL136</f>
        <v>70</v>
      </c>
      <c r="CN136" s="550">
        <f t="shared" si="1031"/>
        <v>70</v>
      </c>
      <c r="CO136" s="550">
        <f t="shared" si="1031"/>
        <v>70</v>
      </c>
      <c r="CP136" s="550">
        <f t="shared" si="1031"/>
        <v>70</v>
      </c>
      <c r="CQ136" s="550">
        <f t="shared" si="1031"/>
        <v>70</v>
      </c>
      <c r="CR136" s="550">
        <f t="shared" si="1031"/>
        <v>70</v>
      </c>
      <c r="CS136" s="550">
        <f t="shared" si="1031"/>
        <v>70</v>
      </c>
      <c r="CT136" s="550">
        <f t="shared" si="1031"/>
        <v>70</v>
      </c>
      <c r="CU136" s="550">
        <f t="shared" si="1031"/>
        <v>70</v>
      </c>
      <c r="CV136" s="550">
        <f t="shared" si="1031"/>
        <v>70</v>
      </c>
      <c r="CW136" s="550">
        <f t="shared" si="1031"/>
        <v>70</v>
      </c>
      <c r="CX136" s="562">
        <f t="shared" ref="CX136" si="1032">SUM(CL136:CW137)</f>
        <v>840</v>
      </c>
      <c r="DA136" s="42">
        <f>DA134+1</f>
        <v>65</v>
      </c>
      <c r="DB136">
        <v>7</v>
      </c>
      <c r="DC136">
        <v>6</v>
      </c>
      <c r="DD136">
        <v>5</v>
      </c>
      <c r="DE136">
        <f t="shared" ref="DE136" si="1033">DE134</f>
        <v>9</v>
      </c>
    </row>
    <row r="137" spans="2:109" x14ac:dyDescent="0.4">
      <c r="B137" s="504"/>
      <c r="C137" s="546"/>
      <c r="D137" s="547"/>
      <c r="E137" s="548"/>
      <c r="F137" s="549"/>
      <c r="G137" s="549"/>
      <c r="H137" s="550"/>
      <c r="I137" s="549"/>
      <c r="J137" s="549"/>
      <c r="K137" s="549"/>
      <c r="L137" s="549"/>
      <c r="M137" s="549"/>
      <c r="N137" s="549"/>
      <c r="O137" s="549"/>
      <c r="P137" s="549"/>
      <c r="Q137" s="560"/>
      <c r="R137" s="27"/>
      <c r="S137" s="36"/>
      <c r="T137" s="28"/>
      <c r="U137" s="28"/>
      <c r="V137" s="26"/>
      <c r="W137" s="27"/>
      <c r="X137" s="36"/>
      <c r="Y137" s="28"/>
      <c r="Z137" s="28"/>
      <c r="AA137" s="26"/>
      <c r="AB137" s="27"/>
      <c r="AC137" s="36"/>
      <c r="AD137" s="28"/>
      <c r="AE137" s="28"/>
      <c r="AF137" s="26"/>
      <c r="AG137" s="27"/>
      <c r="AH137" s="36"/>
      <c r="AI137" s="28"/>
      <c r="AJ137" s="28"/>
      <c r="AK137" s="26"/>
      <c r="AL137" s="27"/>
      <c r="AM137" s="36"/>
      <c r="AN137" s="28"/>
      <c r="AO137" s="28"/>
      <c r="AP137" s="26"/>
      <c r="AQ137" s="27"/>
      <c r="AR137" s="36"/>
      <c r="AS137" s="28"/>
      <c r="AT137" s="28"/>
      <c r="AU137" s="26"/>
      <c r="AV137" s="27"/>
      <c r="AW137" s="36"/>
      <c r="AX137" s="28"/>
      <c r="AY137" s="28"/>
      <c r="AZ137" s="26"/>
      <c r="BA137" s="27"/>
      <c r="BB137" s="36"/>
      <c r="BC137" s="28"/>
      <c r="BD137" s="28"/>
      <c r="BE137" s="26"/>
      <c r="BF137" s="27"/>
      <c r="BG137" s="36"/>
      <c r="BH137" s="28"/>
      <c r="BI137" s="28"/>
      <c r="BJ137" s="26"/>
      <c r="BK137" s="27"/>
      <c r="BL137" s="36"/>
      <c r="BM137" s="28"/>
      <c r="BN137" s="28"/>
      <c r="BO137" s="26"/>
      <c r="BP137" s="27"/>
      <c r="BQ137" s="36"/>
      <c r="BR137" s="28"/>
      <c r="BS137" s="28"/>
      <c r="BT137" s="26"/>
      <c r="BU137" s="27"/>
      <c r="BV137" s="36"/>
      <c r="BW137" s="28"/>
      <c r="BX137" s="28"/>
      <c r="BY137" s="26"/>
      <c r="BZ137" s="561"/>
      <c r="CA137" s="549"/>
      <c r="CB137" s="549"/>
      <c r="CC137" s="549"/>
      <c r="CD137" s="549"/>
      <c r="CE137" s="549"/>
      <c r="CF137" s="549"/>
      <c r="CG137" s="549"/>
      <c r="CH137" s="549"/>
      <c r="CI137" s="549"/>
      <c r="CJ137" s="549"/>
      <c r="CK137" s="549"/>
      <c r="CL137" s="559"/>
      <c r="CM137" s="550"/>
      <c r="CN137" s="550"/>
      <c r="CO137" s="550"/>
      <c r="CP137" s="550"/>
      <c r="CQ137" s="550"/>
      <c r="CR137" s="550"/>
      <c r="CS137" s="550"/>
      <c r="CT137" s="550"/>
      <c r="CU137" s="550"/>
      <c r="CV137" s="550"/>
      <c r="CW137" s="550"/>
      <c r="CX137" s="562"/>
      <c r="DA137" s="42"/>
    </row>
    <row r="138" spans="2:109" x14ac:dyDescent="0.4">
      <c r="B138" s="504" t="str">
        <f>"FX - "&amp;DA138</f>
        <v>FX - 66</v>
      </c>
      <c r="C138" s="545" t="s">
        <v>2032</v>
      </c>
      <c r="D138" s="547" t="str">
        <f t="shared" ref="D138" si="1034">D136</f>
        <v>Portland</v>
      </c>
      <c r="E138" s="548" t="s">
        <v>65</v>
      </c>
      <c r="F138" s="549" cm="1">
        <f t="array" ref="F138">INDEX(FX_Setup,DA138,DB138)</f>
        <v>7</v>
      </c>
      <c r="G138" s="549" cm="1">
        <f t="array" ref="G138">INDEX(FX_Setup,$DA138,DC138)</f>
        <v>9</v>
      </c>
      <c r="H138" s="550" cm="1">
        <f t="array" ref="H138">INDEX(FX_Setup,$DA138,DD138)</f>
        <v>3570</v>
      </c>
      <c r="I138" s="549" t="s">
        <v>27</v>
      </c>
      <c r="J138" s="549"/>
      <c r="K138" s="549"/>
      <c r="L138" s="549" t="s">
        <v>93</v>
      </c>
      <c r="M138" s="549" t="s">
        <v>90</v>
      </c>
      <c r="N138" s="549" t="s">
        <v>93</v>
      </c>
      <c r="O138" s="549" t="s">
        <v>90</v>
      </c>
      <c r="P138" s="549"/>
      <c r="Q138" s="560"/>
      <c r="R138" s="37" t="str" cm="1">
        <f t="array" ref="R138">INDEX(Surrogate_Lst,MATCH(INDEX(FX_Setup,DA138,3),Product_GRP,0),2)</f>
        <v>Jet kerosene</v>
      </c>
      <c r="S138" s="36" t="str">
        <f t="shared" ref="S138" si="1035">INDEX(Phys_Prop,MATCH(R138,Chem_List,0),5)</f>
        <v>Select Pet Stock</v>
      </c>
      <c r="T138" s="36"/>
      <c r="U138" s="36"/>
      <c r="V138" s="38">
        <f>1-V139</f>
        <v>1</v>
      </c>
      <c r="W138" s="37" t="str">
        <f>R138</f>
        <v>Jet kerosene</v>
      </c>
      <c r="X138" s="36" t="str">
        <f t="shared" ref="X138" si="1036">INDEX(Phys_Prop,MATCH(W138,Chem_List,0),5)</f>
        <v>Select Pet Stock</v>
      </c>
      <c r="Y138" s="36"/>
      <c r="Z138" s="36"/>
      <c r="AA138" s="38">
        <f>1-AA139</f>
        <v>1</v>
      </c>
      <c r="AB138" s="37" t="str">
        <f>W138</f>
        <v>Jet kerosene</v>
      </c>
      <c r="AC138" s="36" t="str">
        <f t="shared" ref="AC138" si="1037">INDEX(Phys_Prop,MATCH(AB138,Chem_List,0),5)</f>
        <v>Select Pet Stock</v>
      </c>
      <c r="AD138" s="36"/>
      <c r="AE138" s="36"/>
      <c r="AF138" s="38">
        <f>1-AF139</f>
        <v>1</v>
      </c>
      <c r="AG138" s="37" t="str">
        <f>AB138</f>
        <v>Jet kerosene</v>
      </c>
      <c r="AH138" s="36" t="str">
        <f t="shared" ref="AH138" si="1038">INDEX(Phys_Prop,MATCH(AG138,Chem_List,0),5)</f>
        <v>Select Pet Stock</v>
      </c>
      <c r="AI138" s="36"/>
      <c r="AJ138" s="36"/>
      <c r="AK138" s="38">
        <f>1-AK139</f>
        <v>1</v>
      </c>
      <c r="AL138" s="37" t="str">
        <f>AG138</f>
        <v>Jet kerosene</v>
      </c>
      <c r="AM138" s="36" t="str">
        <f t="shared" ref="AM138" si="1039">INDEX(Phys_Prop,MATCH(AL138,Chem_List,0),5)</f>
        <v>Select Pet Stock</v>
      </c>
      <c r="AN138" s="36"/>
      <c r="AO138" s="36"/>
      <c r="AP138" s="38">
        <f>1-AP139</f>
        <v>1</v>
      </c>
      <c r="AQ138" s="37" t="str">
        <f>AL138</f>
        <v>Jet kerosene</v>
      </c>
      <c r="AR138" s="36" t="str">
        <f t="shared" ref="AR138" si="1040">INDEX(Phys_Prop,MATCH(AQ138,Chem_List,0),5)</f>
        <v>Select Pet Stock</v>
      </c>
      <c r="AS138" s="36"/>
      <c r="AT138" s="36"/>
      <c r="AU138" s="38">
        <f>1-AU139</f>
        <v>1</v>
      </c>
      <c r="AV138" s="37" t="str">
        <f>AQ138</f>
        <v>Jet kerosene</v>
      </c>
      <c r="AW138" s="36" t="str">
        <f t="shared" ref="AW138" si="1041">INDEX(Phys_Prop,MATCH(AV138,Chem_List,0),5)</f>
        <v>Select Pet Stock</v>
      </c>
      <c r="AX138" s="36"/>
      <c r="AY138" s="36"/>
      <c r="AZ138" s="38">
        <f>1-AZ139</f>
        <v>1</v>
      </c>
      <c r="BA138" s="37" t="str">
        <f>AV138</f>
        <v>Jet kerosene</v>
      </c>
      <c r="BB138" s="36" t="str">
        <f t="shared" ref="BB138" si="1042">INDEX(Phys_Prop,MATCH(BA138,Chem_List,0),5)</f>
        <v>Select Pet Stock</v>
      </c>
      <c r="BC138" s="36"/>
      <c r="BD138" s="36"/>
      <c r="BE138" s="38">
        <f>1-BE139</f>
        <v>1</v>
      </c>
      <c r="BF138" s="37" t="str">
        <f>BA138</f>
        <v>Jet kerosene</v>
      </c>
      <c r="BG138" s="36" t="str">
        <f t="shared" ref="BG138" si="1043">INDEX(Phys_Prop,MATCH(BF138,Chem_List,0),5)</f>
        <v>Select Pet Stock</v>
      </c>
      <c r="BH138" s="36"/>
      <c r="BI138" s="36"/>
      <c r="BJ138" s="38">
        <f>1-BJ139</f>
        <v>1</v>
      </c>
      <c r="BK138" s="37" t="str">
        <f>BF138</f>
        <v>Jet kerosene</v>
      </c>
      <c r="BL138" s="36" t="str">
        <f t="shared" ref="BL138" si="1044">INDEX(Phys_Prop,MATCH(BK138,Chem_List,0),5)</f>
        <v>Select Pet Stock</v>
      </c>
      <c r="BM138" s="36"/>
      <c r="BN138" s="36"/>
      <c r="BO138" s="38">
        <f>1-BO139</f>
        <v>1</v>
      </c>
      <c r="BP138" s="37" t="str">
        <f>BK138</f>
        <v>Jet kerosene</v>
      </c>
      <c r="BQ138" s="36" t="str">
        <f t="shared" ref="BQ138" si="1045">INDEX(Phys_Prop,MATCH(BP138,Chem_List,0),5)</f>
        <v>Select Pet Stock</v>
      </c>
      <c r="BR138" s="36"/>
      <c r="BS138" s="36"/>
      <c r="BT138" s="38">
        <f>1-BT139</f>
        <v>1</v>
      </c>
      <c r="BU138" s="37" t="str">
        <f>BP138</f>
        <v>Jet kerosene</v>
      </c>
      <c r="BV138" s="36" t="str">
        <f t="shared" ref="BV138" si="1046">INDEX(Phys_Prop,MATCH(BU138,Chem_List,0),5)</f>
        <v>Select Pet Stock</v>
      </c>
      <c r="BW138" s="36"/>
      <c r="BX138" s="36"/>
      <c r="BY138" s="38">
        <f>1-BY139</f>
        <v>1</v>
      </c>
      <c r="BZ138" s="561"/>
      <c r="CA138" s="549"/>
      <c r="CB138" s="549"/>
      <c r="CC138" s="549"/>
      <c r="CD138" s="549"/>
      <c r="CE138" s="549"/>
      <c r="CF138" s="549"/>
      <c r="CG138" s="549"/>
      <c r="CH138" s="549"/>
      <c r="CI138" s="549"/>
      <c r="CJ138" s="549"/>
      <c r="CK138" s="549"/>
      <c r="CL138" s="559" cm="1">
        <f t="array" ref="CL138">INDEX(FX_Setup,DA138,DE138)</f>
        <v>85</v>
      </c>
      <c r="CM138" s="550">
        <f t="shared" ref="CM138:CW138" si="1047">CL138</f>
        <v>85</v>
      </c>
      <c r="CN138" s="550">
        <f t="shared" si="1047"/>
        <v>85</v>
      </c>
      <c r="CO138" s="550">
        <f t="shared" si="1047"/>
        <v>85</v>
      </c>
      <c r="CP138" s="550">
        <f t="shared" si="1047"/>
        <v>85</v>
      </c>
      <c r="CQ138" s="550">
        <f t="shared" si="1047"/>
        <v>85</v>
      </c>
      <c r="CR138" s="550">
        <f t="shared" si="1047"/>
        <v>85</v>
      </c>
      <c r="CS138" s="550">
        <f t="shared" si="1047"/>
        <v>85</v>
      </c>
      <c r="CT138" s="550">
        <f t="shared" si="1047"/>
        <v>85</v>
      </c>
      <c r="CU138" s="550">
        <f t="shared" si="1047"/>
        <v>85</v>
      </c>
      <c r="CV138" s="550">
        <f t="shared" si="1047"/>
        <v>85</v>
      </c>
      <c r="CW138" s="550">
        <f t="shared" si="1047"/>
        <v>85</v>
      </c>
      <c r="CX138" s="562">
        <f t="shared" ref="CX138" si="1048">SUM(CL138:CW139)</f>
        <v>1020</v>
      </c>
      <c r="DA138" s="42">
        <f>DA136+1</f>
        <v>66</v>
      </c>
      <c r="DB138">
        <v>7</v>
      </c>
      <c r="DC138">
        <v>6</v>
      </c>
      <c r="DD138">
        <v>5</v>
      </c>
      <c r="DE138">
        <f t="shared" ref="DE138" si="1049">DE136</f>
        <v>9</v>
      </c>
    </row>
    <row r="139" spans="2:109" x14ac:dyDescent="0.4">
      <c r="B139" s="504"/>
      <c r="C139" s="546"/>
      <c r="D139" s="547"/>
      <c r="E139" s="548"/>
      <c r="F139" s="549"/>
      <c r="G139" s="549"/>
      <c r="H139" s="550"/>
      <c r="I139" s="549"/>
      <c r="J139" s="549"/>
      <c r="K139" s="549"/>
      <c r="L139" s="549"/>
      <c r="M139" s="549"/>
      <c r="N139" s="549"/>
      <c r="O139" s="549"/>
      <c r="P139" s="549"/>
      <c r="Q139" s="560"/>
      <c r="R139" s="27"/>
      <c r="S139" s="36"/>
      <c r="T139" s="28"/>
      <c r="U139" s="28"/>
      <c r="V139" s="26"/>
      <c r="W139" s="27"/>
      <c r="X139" s="36"/>
      <c r="Y139" s="28"/>
      <c r="Z139" s="28"/>
      <c r="AA139" s="26"/>
      <c r="AB139" s="27"/>
      <c r="AC139" s="36"/>
      <c r="AD139" s="28"/>
      <c r="AE139" s="28"/>
      <c r="AF139" s="26"/>
      <c r="AG139" s="27"/>
      <c r="AH139" s="36"/>
      <c r="AI139" s="28"/>
      <c r="AJ139" s="28"/>
      <c r="AK139" s="26"/>
      <c r="AL139" s="27"/>
      <c r="AM139" s="36"/>
      <c r="AN139" s="28"/>
      <c r="AO139" s="28"/>
      <c r="AP139" s="26"/>
      <c r="AQ139" s="27"/>
      <c r="AR139" s="36"/>
      <c r="AS139" s="28"/>
      <c r="AT139" s="28"/>
      <c r="AU139" s="26"/>
      <c r="AV139" s="27"/>
      <c r="AW139" s="36"/>
      <c r="AX139" s="28"/>
      <c r="AY139" s="28"/>
      <c r="AZ139" s="26"/>
      <c r="BA139" s="27"/>
      <c r="BB139" s="36"/>
      <c r="BC139" s="28"/>
      <c r="BD139" s="28"/>
      <c r="BE139" s="26"/>
      <c r="BF139" s="27"/>
      <c r="BG139" s="36"/>
      <c r="BH139" s="28"/>
      <c r="BI139" s="28"/>
      <c r="BJ139" s="26"/>
      <c r="BK139" s="27"/>
      <c r="BL139" s="36"/>
      <c r="BM139" s="28"/>
      <c r="BN139" s="28"/>
      <c r="BO139" s="26"/>
      <c r="BP139" s="27"/>
      <c r="BQ139" s="36"/>
      <c r="BR139" s="28"/>
      <c r="BS139" s="28"/>
      <c r="BT139" s="26"/>
      <c r="BU139" s="27"/>
      <c r="BV139" s="36"/>
      <c r="BW139" s="28"/>
      <c r="BX139" s="28"/>
      <c r="BY139" s="26"/>
      <c r="BZ139" s="561"/>
      <c r="CA139" s="549"/>
      <c r="CB139" s="549"/>
      <c r="CC139" s="549"/>
      <c r="CD139" s="549"/>
      <c r="CE139" s="549"/>
      <c r="CF139" s="549"/>
      <c r="CG139" s="549"/>
      <c r="CH139" s="549"/>
      <c r="CI139" s="549"/>
      <c r="CJ139" s="549"/>
      <c r="CK139" s="549"/>
      <c r="CL139" s="559"/>
      <c r="CM139" s="550"/>
      <c r="CN139" s="550"/>
      <c r="CO139" s="550"/>
      <c r="CP139" s="550"/>
      <c r="CQ139" s="550"/>
      <c r="CR139" s="550"/>
      <c r="CS139" s="550"/>
      <c r="CT139" s="550"/>
      <c r="CU139" s="550"/>
      <c r="CV139" s="550"/>
      <c r="CW139" s="550"/>
      <c r="CX139" s="562"/>
      <c r="DA139" s="42"/>
    </row>
    <row r="140" spans="2:109" x14ac:dyDescent="0.4">
      <c r="B140" s="504" t="str">
        <f>"FX - "&amp;DA140</f>
        <v>FX - 67</v>
      </c>
      <c r="C140" s="545" t="s">
        <v>2033</v>
      </c>
      <c r="D140" s="547" t="str">
        <f t="shared" ref="D140" si="1050">D138</f>
        <v>Portland</v>
      </c>
      <c r="E140" s="548" t="s">
        <v>65</v>
      </c>
      <c r="F140" s="549" cm="1">
        <f t="array" ref="F140">INDEX(FX_Setup,DA140,DB140)</f>
        <v>10</v>
      </c>
      <c r="G140" s="549" cm="1">
        <f t="array" ref="G140">INDEX(FX_Setup,$DA140,DC140)</f>
        <v>17.5</v>
      </c>
      <c r="H140" s="550" cm="1">
        <f t="array" ref="H140">INDEX(FX_Setup,$DA140,DD140)</f>
        <v>10500</v>
      </c>
      <c r="I140" s="549" t="s">
        <v>27</v>
      </c>
      <c r="J140" s="549"/>
      <c r="K140" s="549"/>
      <c r="L140" s="549" t="s">
        <v>93</v>
      </c>
      <c r="M140" s="549" t="s">
        <v>90</v>
      </c>
      <c r="N140" s="549" t="s">
        <v>93</v>
      </c>
      <c r="O140" s="549" t="s">
        <v>90</v>
      </c>
      <c r="P140" s="549"/>
      <c r="Q140" s="560"/>
      <c r="R140" s="37" t="str" cm="1">
        <f t="array" ref="R140">INDEX(Surrogate_Lst,MATCH(INDEX(FX_Setup,DA140,3),Product_GRP,0),2)</f>
        <v>Jet kerosene</v>
      </c>
      <c r="S140" s="36" t="str">
        <f t="shared" ref="S140" si="1051">INDEX(Phys_Prop,MATCH(R140,Chem_List,0),5)</f>
        <v>Select Pet Stock</v>
      </c>
      <c r="T140" s="36"/>
      <c r="U140" s="36"/>
      <c r="V140" s="38">
        <f>1-V141</f>
        <v>1</v>
      </c>
      <c r="W140" s="37" t="str">
        <f>R140</f>
        <v>Jet kerosene</v>
      </c>
      <c r="X140" s="36" t="str">
        <f t="shared" ref="X140" si="1052">INDEX(Phys_Prop,MATCH(W140,Chem_List,0),5)</f>
        <v>Select Pet Stock</v>
      </c>
      <c r="Y140" s="36"/>
      <c r="Z140" s="36"/>
      <c r="AA140" s="38">
        <f>1-AA141</f>
        <v>1</v>
      </c>
      <c r="AB140" s="37" t="str">
        <f>W140</f>
        <v>Jet kerosene</v>
      </c>
      <c r="AC140" s="36" t="str">
        <f t="shared" ref="AC140" si="1053">INDEX(Phys_Prop,MATCH(AB140,Chem_List,0),5)</f>
        <v>Select Pet Stock</v>
      </c>
      <c r="AD140" s="36"/>
      <c r="AE140" s="36"/>
      <c r="AF140" s="38">
        <f>1-AF141</f>
        <v>1</v>
      </c>
      <c r="AG140" s="37" t="str">
        <f>AB140</f>
        <v>Jet kerosene</v>
      </c>
      <c r="AH140" s="36" t="str">
        <f t="shared" ref="AH140" si="1054">INDEX(Phys_Prop,MATCH(AG140,Chem_List,0),5)</f>
        <v>Select Pet Stock</v>
      </c>
      <c r="AI140" s="36"/>
      <c r="AJ140" s="36"/>
      <c r="AK140" s="38">
        <f>1-AK141</f>
        <v>1</v>
      </c>
      <c r="AL140" s="37" t="str">
        <f>AG140</f>
        <v>Jet kerosene</v>
      </c>
      <c r="AM140" s="36" t="str">
        <f t="shared" ref="AM140" si="1055">INDEX(Phys_Prop,MATCH(AL140,Chem_List,0),5)</f>
        <v>Select Pet Stock</v>
      </c>
      <c r="AN140" s="36"/>
      <c r="AO140" s="36"/>
      <c r="AP140" s="38">
        <f>1-AP141</f>
        <v>1</v>
      </c>
      <c r="AQ140" s="37" t="str">
        <f>AL140</f>
        <v>Jet kerosene</v>
      </c>
      <c r="AR140" s="36" t="str">
        <f t="shared" ref="AR140" si="1056">INDEX(Phys_Prop,MATCH(AQ140,Chem_List,0),5)</f>
        <v>Select Pet Stock</v>
      </c>
      <c r="AS140" s="36"/>
      <c r="AT140" s="36"/>
      <c r="AU140" s="38">
        <f>1-AU141</f>
        <v>1</v>
      </c>
      <c r="AV140" s="37" t="str">
        <f>AQ140</f>
        <v>Jet kerosene</v>
      </c>
      <c r="AW140" s="36" t="str">
        <f t="shared" ref="AW140" si="1057">INDEX(Phys_Prop,MATCH(AV140,Chem_List,0),5)</f>
        <v>Select Pet Stock</v>
      </c>
      <c r="AX140" s="36"/>
      <c r="AY140" s="36"/>
      <c r="AZ140" s="38">
        <f>1-AZ141</f>
        <v>1</v>
      </c>
      <c r="BA140" s="37" t="str">
        <f>AV140</f>
        <v>Jet kerosene</v>
      </c>
      <c r="BB140" s="36" t="str">
        <f t="shared" ref="BB140" si="1058">INDEX(Phys_Prop,MATCH(BA140,Chem_List,0),5)</f>
        <v>Select Pet Stock</v>
      </c>
      <c r="BC140" s="36"/>
      <c r="BD140" s="36"/>
      <c r="BE140" s="38">
        <f>1-BE141</f>
        <v>1</v>
      </c>
      <c r="BF140" s="37" t="str">
        <f>BA140</f>
        <v>Jet kerosene</v>
      </c>
      <c r="BG140" s="36" t="str">
        <f t="shared" ref="BG140" si="1059">INDEX(Phys_Prop,MATCH(BF140,Chem_List,0),5)</f>
        <v>Select Pet Stock</v>
      </c>
      <c r="BH140" s="36"/>
      <c r="BI140" s="36"/>
      <c r="BJ140" s="38">
        <f>1-BJ141</f>
        <v>1</v>
      </c>
      <c r="BK140" s="37" t="str">
        <f>BF140</f>
        <v>Jet kerosene</v>
      </c>
      <c r="BL140" s="36" t="str">
        <f t="shared" ref="BL140" si="1060">INDEX(Phys_Prop,MATCH(BK140,Chem_List,0),5)</f>
        <v>Select Pet Stock</v>
      </c>
      <c r="BM140" s="36"/>
      <c r="BN140" s="36"/>
      <c r="BO140" s="38">
        <f>1-BO141</f>
        <v>1</v>
      </c>
      <c r="BP140" s="37" t="str">
        <f>BK140</f>
        <v>Jet kerosene</v>
      </c>
      <c r="BQ140" s="36" t="str">
        <f t="shared" ref="BQ140" si="1061">INDEX(Phys_Prop,MATCH(BP140,Chem_List,0),5)</f>
        <v>Select Pet Stock</v>
      </c>
      <c r="BR140" s="36"/>
      <c r="BS140" s="36"/>
      <c r="BT140" s="38">
        <f>1-BT141</f>
        <v>1</v>
      </c>
      <c r="BU140" s="37" t="str">
        <f>BP140</f>
        <v>Jet kerosene</v>
      </c>
      <c r="BV140" s="36" t="str">
        <f t="shared" ref="BV140" si="1062">INDEX(Phys_Prop,MATCH(BU140,Chem_List,0),5)</f>
        <v>Select Pet Stock</v>
      </c>
      <c r="BW140" s="36"/>
      <c r="BX140" s="36"/>
      <c r="BY140" s="38">
        <f>1-BY141</f>
        <v>1</v>
      </c>
      <c r="BZ140" s="561"/>
      <c r="CA140" s="549"/>
      <c r="CB140" s="549"/>
      <c r="CC140" s="549"/>
      <c r="CD140" s="549"/>
      <c r="CE140" s="549"/>
      <c r="CF140" s="549"/>
      <c r="CG140" s="549"/>
      <c r="CH140" s="549"/>
      <c r="CI140" s="549"/>
      <c r="CJ140" s="549"/>
      <c r="CK140" s="549"/>
      <c r="CL140" s="559" cm="1">
        <f t="array" ref="CL140">INDEX(FX_Setup,DA140,DE140)</f>
        <v>250</v>
      </c>
      <c r="CM140" s="550">
        <f t="shared" ref="CM140:CW140" si="1063">CL140</f>
        <v>250</v>
      </c>
      <c r="CN140" s="550">
        <f t="shared" si="1063"/>
        <v>250</v>
      </c>
      <c r="CO140" s="550">
        <f t="shared" si="1063"/>
        <v>250</v>
      </c>
      <c r="CP140" s="550">
        <f t="shared" si="1063"/>
        <v>250</v>
      </c>
      <c r="CQ140" s="550">
        <f t="shared" si="1063"/>
        <v>250</v>
      </c>
      <c r="CR140" s="550">
        <f t="shared" si="1063"/>
        <v>250</v>
      </c>
      <c r="CS140" s="550">
        <f t="shared" si="1063"/>
        <v>250</v>
      </c>
      <c r="CT140" s="550">
        <f t="shared" si="1063"/>
        <v>250</v>
      </c>
      <c r="CU140" s="550">
        <f t="shared" si="1063"/>
        <v>250</v>
      </c>
      <c r="CV140" s="550">
        <f t="shared" si="1063"/>
        <v>250</v>
      </c>
      <c r="CW140" s="550">
        <f t="shared" si="1063"/>
        <v>250</v>
      </c>
      <c r="CX140" s="562">
        <f t="shared" ref="CX140" si="1064">SUM(CL140:CW141)</f>
        <v>3000</v>
      </c>
      <c r="DA140" s="42">
        <f>DA138+1</f>
        <v>67</v>
      </c>
      <c r="DB140">
        <v>7</v>
      </c>
      <c r="DC140">
        <v>6</v>
      </c>
      <c r="DD140">
        <v>5</v>
      </c>
      <c r="DE140">
        <f t="shared" ref="DE140" si="1065">DE138</f>
        <v>9</v>
      </c>
    </row>
    <row r="141" spans="2:109" x14ac:dyDescent="0.4">
      <c r="B141" s="504"/>
      <c r="C141" s="546"/>
      <c r="D141" s="547"/>
      <c r="E141" s="548"/>
      <c r="F141" s="549"/>
      <c r="G141" s="549"/>
      <c r="H141" s="550"/>
      <c r="I141" s="549"/>
      <c r="J141" s="549"/>
      <c r="K141" s="549"/>
      <c r="L141" s="549"/>
      <c r="M141" s="549"/>
      <c r="N141" s="549"/>
      <c r="O141" s="549"/>
      <c r="P141" s="549"/>
      <c r="Q141" s="560"/>
      <c r="R141" s="27"/>
      <c r="S141" s="36"/>
      <c r="T141" s="28"/>
      <c r="U141" s="28"/>
      <c r="V141" s="26"/>
      <c r="W141" s="27"/>
      <c r="X141" s="36"/>
      <c r="Y141" s="28"/>
      <c r="Z141" s="28"/>
      <c r="AA141" s="26"/>
      <c r="AB141" s="27"/>
      <c r="AC141" s="36"/>
      <c r="AD141" s="28"/>
      <c r="AE141" s="28"/>
      <c r="AF141" s="26"/>
      <c r="AG141" s="27"/>
      <c r="AH141" s="36"/>
      <c r="AI141" s="28"/>
      <c r="AJ141" s="28"/>
      <c r="AK141" s="26"/>
      <c r="AL141" s="27"/>
      <c r="AM141" s="36"/>
      <c r="AN141" s="28"/>
      <c r="AO141" s="28"/>
      <c r="AP141" s="26"/>
      <c r="AQ141" s="27"/>
      <c r="AR141" s="36"/>
      <c r="AS141" s="28"/>
      <c r="AT141" s="28"/>
      <c r="AU141" s="26"/>
      <c r="AV141" s="27"/>
      <c r="AW141" s="36"/>
      <c r="AX141" s="28"/>
      <c r="AY141" s="28"/>
      <c r="AZ141" s="26"/>
      <c r="BA141" s="27"/>
      <c r="BB141" s="36"/>
      <c r="BC141" s="28"/>
      <c r="BD141" s="28"/>
      <c r="BE141" s="26"/>
      <c r="BF141" s="27"/>
      <c r="BG141" s="36"/>
      <c r="BH141" s="28"/>
      <c r="BI141" s="28"/>
      <c r="BJ141" s="26"/>
      <c r="BK141" s="27"/>
      <c r="BL141" s="36"/>
      <c r="BM141" s="28"/>
      <c r="BN141" s="28"/>
      <c r="BO141" s="26"/>
      <c r="BP141" s="27"/>
      <c r="BQ141" s="36"/>
      <c r="BR141" s="28"/>
      <c r="BS141" s="28"/>
      <c r="BT141" s="26"/>
      <c r="BU141" s="27"/>
      <c r="BV141" s="36"/>
      <c r="BW141" s="28"/>
      <c r="BX141" s="28"/>
      <c r="BY141" s="26"/>
      <c r="BZ141" s="561"/>
      <c r="CA141" s="549"/>
      <c r="CB141" s="549"/>
      <c r="CC141" s="549"/>
      <c r="CD141" s="549"/>
      <c r="CE141" s="549"/>
      <c r="CF141" s="549"/>
      <c r="CG141" s="549"/>
      <c r="CH141" s="549"/>
      <c r="CI141" s="549"/>
      <c r="CJ141" s="549"/>
      <c r="CK141" s="549"/>
      <c r="CL141" s="559"/>
      <c r="CM141" s="550"/>
      <c r="CN141" s="550"/>
      <c r="CO141" s="550"/>
      <c r="CP141" s="550"/>
      <c r="CQ141" s="550"/>
      <c r="CR141" s="550"/>
      <c r="CS141" s="550"/>
      <c r="CT141" s="550"/>
      <c r="CU141" s="550"/>
      <c r="CV141" s="550"/>
      <c r="CW141" s="550"/>
      <c r="CX141" s="562"/>
      <c r="DA141" s="42"/>
    </row>
    <row r="388" spans="1:102" x14ac:dyDescent="0.4">
      <c r="A388" s="39" t="s">
        <v>98</v>
      </c>
      <c r="B388" s="39"/>
      <c r="C388" s="39"/>
      <c r="D388" s="39"/>
      <c r="E388" s="39"/>
      <c r="F388" s="39"/>
      <c r="G388" s="39"/>
      <c r="H388" s="40"/>
      <c r="I388" s="39"/>
      <c r="J388" s="39"/>
      <c r="K388" s="39"/>
      <c r="L388" s="39"/>
      <c r="M388" s="39"/>
      <c r="N388" s="39"/>
      <c r="O388" s="39"/>
      <c r="P388" s="39"/>
      <c r="Q388" s="39"/>
      <c r="R388" s="41">
        <v>1</v>
      </c>
      <c r="S388" s="39"/>
      <c r="T388" s="39"/>
      <c r="U388" s="39"/>
      <c r="V388" s="39"/>
      <c r="W388" s="39">
        <f>R388+1</f>
        <v>2</v>
      </c>
      <c r="X388" s="39"/>
      <c r="Y388" s="39"/>
      <c r="Z388" s="39"/>
      <c r="AA388" s="39"/>
      <c r="AB388" s="39">
        <f>W388+1</f>
        <v>3</v>
      </c>
      <c r="AC388" s="39"/>
      <c r="AD388" s="39"/>
      <c r="AE388" s="39"/>
      <c r="AF388" s="39"/>
      <c r="AG388" s="39">
        <f>AB388+1</f>
        <v>4</v>
      </c>
      <c r="AH388" s="39"/>
      <c r="AI388" s="39"/>
      <c r="AJ388" s="39"/>
      <c r="AK388" s="39"/>
      <c r="AL388" s="39">
        <f>AG388+1</f>
        <v>5</v>
      </c>
      <c r="AM388" s="39"/>
      <c r="AN388" s="39"/>
      <c r="AO388" s="39"/>
      <c r="AP388" s="39"/>
      <c r="AQ388" s="39">
        <f>AL388+1</f>
        <v>6</v>
      </c>
      <c r="AR388" s="39"/>
      <c r="AS388" s="39"/>
      <c r="AT388" s="39"/>
      <c r="AU388" s="39"/>
      <c r="AV388" s="39">
        <f>AQ388+1</f>
        <v>7</v>
      </c>
      <c r="AW388" s="39"/>
      <c r="AX388" s="39"/>
      <c r="AY388" s="39"/>
      <c r="AZ388" s="39"/>
      <c r="BA388" s="39">
        <f>AV388+1</f>
        <v>8</v>
      </c>
      <c r="BB388" s="39"/>
      <c r="BC388" s="39"/>
      <c r="BD388" s="39"/>
      <c r="BE388" s="39"/>
      <c r="BF388" s="39">
        <f>BA388+1</f>
        <v>9</v>
      </c>
      <c r="BG388" s="39"/>
      <c r="BH388" s="39"/>
      <c r="BI388" s="39"/>
      <c r="BJ388" s="39"/>
      <c r="BK388" s="39">
        <f>BF388+1</f>
        <v>10</v>
      </c>
      <c r="BL388" s="39"/>
      <c r="BM388" s="39"/>
      <c r="BN388" s="39"/>
      <c r="BO388" s="39"/>
      <c r="BP388" s="39">
        <f>BK388+1</f>
        <v>11</v>
      </c>
      <c r="BQ388" s="39"/>
      <c r="BR388" s="39"/>
      <c r="BS388" s="39"/>
      <c r="BT388" s="39"/>
      <c r="BU388" s="39">
        <f>BP388+1</f>
        <v>12</v>
      </c>
      <c r="BV388" s="39"/>
      <c r="BW388" s="39"/>
      <c r="BX388" s="39"/>
      <c r="BY388" s="39"/>
      <c r="BZ388" s="39">
        <v>1</v>
      </c>
      <c r="CA388" s="39">
        <f>BZ388+1</f>
        <v>2</v>
      </c>
      <c r="CB388" s="39">
        <f t="shared" ref="CB388:CK388" si="1066">CA388+1</f>
        <v>3</v>
      </c>
      <c r="CC388" s="39">
        <f t="shared" si="1066"/>
        <v>4</v>
      </c>
      <c r="CD388" s="39">
        <f t="shared" si="1066"/>
        <v>5</v>
      </c>
      <c r="CE388" s="39">
        <f t="shared" si="1066"/>
        <v>6</v>
      </c>
      <c r="CF388" s="39">
        <f t="shared" si="1066"/>
        <v>7</v>
      </c>
      <c r="CG388" s="39">
        <f t="shared" si="1066"/>
        <v>8</v>
      </c>
      <c r="CH388" s="39">
        <f t="shared" si="1066"/>
        <v>9</v>
      </c>
      <c r="CI388" s="39">
        <f t="shared" si="1066"/>
        <v>10</v>
      </c>
      <c r="CJ388" s="39">
        <f t="shared" si="1066"/>
        <v>11</v>
      </c>
      <c r="CK388" s="39">
        <f t="shared" si="1066"/>
        <v>12</v>
      </c>
      <c r="CL388" s="39">
        <v>1</v>
      </c>
      <c r="CM388" s="39">
        <f>CL388+1</f>
        <v>2</v>
      </c>
      <c r="CN388" s="39">
        <f t="shared" ref="CN388:CX388" si="1067">CM388+1</f>
        <v>3</v>
      </c>
      <c r="CO388" s="39">
        <f t="shared" si="1067"/>
        <v>4</v>
      </c>
      <c r="CP388" s="39">
        <f t="shared" si="1067"/>
        <v>5</v>
      </c>
      <c r="CQ388" s="39">
        <f t="shared" si="1067"/>
        <v>6</v>
      </c>
      <c r="CR388" s="39">
        <f t="shared" si="1067"/>
        <v>7</v>
      </c>
      <c r="CS388" s="39">
        <f t="shared" si="1067"/>
        <v>8</v>
      </c>
      <c r="CT388" s="39">
        <f t="shared" si="1067"/>
        <v>9</v>
      </c>
      <c r="CU388" s="39">
        <f t="shared" si="1067"/>
        <v>10</v>
      </c>
      <c r="CV388" s="39">
        <f t="shared" si="1067"/>
        <v>11</v>
      </c>
      <c r="CW388" s="39">
        <f t="shared" si="1067"/>
        <v>12</v>
      </c>
      <c r="CX388" s="39">
        <f t="shared" si="1067"/>
        <v>13</v>
      </c>
    </row>
    <row r="389" spans="1:102" x14ac:dyDescent="0.4">
      <c r="A389" s="39" t="s">
        <v>219</v>
      </c>
      <c r="B389" s="39">
        <v>1</v>
      </c>
      <c r="C389" s="39">
        <v>2</v>
      </c>
      <c r="D389" s="39">
        <v>3</v>
      </c>
      <c r="E389" s="39">
        <v>4</v>
      </c>
      <c r="F389" s="39">
        <v>5</v>
      </c>
      <c r="G389" s="39">
        <v>6</v>
      </c>
      <c r="H389" s="40">
        <v>7</v>
      </c>
      <c r="I389" s="39">
        <v>8</v>
      </c>
      <c r="J389" s="39">
        <v>9</v>
      </c>
      <c r="K389" s="39">
        <v>10</v>
      </c>
      <c r="L389" s="39">
        <v>11</v>
      </c>
      <c r="M389" s="39">
        <v>12</v>
      </c>
      <c r="N389" s="39">
        <v>13</v>
      </c>
      <c r="O389" s="39">
        <v>14</v>
      </c>
      <c r="P389" s="39">
        <v>15</v>
      </c>
      <c r="Q389" s="39">
        <v>16</v>
      </c>
      <c r="R389" s="39">
        <v>17</v>
      </c>
      <c r="S389" s="39">
        <v>18</v>
      </c>
      <c r="T389" s="39">
        <v>19</v>
      </c>
      <c r="U389" s="39">
        <v>20</v>
      </c>
      <c r="V389" s="39">
        <v>21</v>
      </c>
      <c r="W389" s="39">
        <v>22</v>
      </c>
      <c r="X389" s="39">
        <v>23</v>
      </c>
      <c r="Y389" s="39">
        <v>24</v>
      </c>
      <c r="Z389" s="39">
        <v>25</v>
      </c>
      <c r="AA389" s="39">
        <v>26</v>
      </c>
      <c r="AB389" s="39">
        <v>27</v>
      </c>
      <c r="AC389" s="39">
        <v>28</v>
      </c>
      <c r="AD389" s="39">
        <v>29</v>
      </c>
      <c r="AE389" s="39">
        <v>30</v>
      </c>
      <c r="AF389" s="39">
        <v>31</v>
      </c>
      <c r="AG389" s="39">
        <v>32</v>
      </c>
      <c r="AH389" s="39">
        <v>33</v>
      </c>
      <c r="AI389" s="39">
        <v>34</v>
      </c>
      <c r="AJ389" s="39">
        <v>35</v>
      </c>
      <c r="AK389" s="39">
        <v>36</v>
      </c>
      <c r="AL389" s="39">
        <v>37</v>
      </c>
      <c r="AM389" s="39">
        <v>38</v>
      </c>
      <c r="AN389" s="39">
        <v>39</v>
      </c>
      <c r="AO389" s="39">
        <v>40</v>
      </c>
      <c r="AP389" s="39">
        <v>41</v>
      </c>
      <c r="AQ389" s="39">
        <v>42</v>
      </c>
      <c r="AR389" s="39">
        <v>43</v>
      </c>
      <c r="AS389" s="39">
        <v>44</v>
      </c>
      <c r="AT389" s="39">
        <v>45</v>
      </c>
      <c r="AU389" s="39">
        <v>46</v>
      </c>
      <c r="AV389" s="39">
        <v>47</v>
      </c>
      <c r="AW389" s="39">
        <v>48</v>
      </c>
      <c r="AX389" s="39">
        <v>49</v>
      </c>
      <c r="AY389" s="39">
        <v>50</v>
      </c>
      <c r="AZ389" s="39">
        <v>51</v>
      </c>
      <c r="BA389" s="39">
        <v>52</v>
      </c>
      <c r="BB389" s="39">
        <v>53</v>
      </c>
      <c r="BC389" s="39">
        <v>54</v>
      </c>
      <c r="BD389" s="39">
        <v>55</v>
      </c>
      <c r="BE389" s="39">
        <v>56</v>
      </c>
      <c r="BF389" s="39">
        <v>57</v>
      </c>
      <c r="BG389" s="39">
        <v>58</v>
      </c>
      <c r="BH389" s="39">
        <v>59</v>
      </c>
      <c r="BI389" s="39">
        <v>60</v>
      </c>
      <c r="BJ389" s="39">
        <v>61</v>
      </c>
      <c r="BK389" s="39">
        <v>62</v>
      </c>
      <c r="BL389" s="39">
        <v>63</v>
      </c>
      <c r="BM389" s="39">
        <v>64</v>
      </c>
      <c r="BN389" s="39">
        <v>65</v>
      </c>
      <c r="BO389" s="39">
        <v>66</v>
      </c>
      <c r="BP389" s="39">
        <v>67</v>
      </c>
      <c r="BQ389" s="39">
        <v>68</v>
      </c>
      <c r="BR389" s="39">
        <v>69</v>
      </c>
      <c r="BS389" s="39">
        <v>70</v>
      </c>
      <c r="BT389" s="39">
        <v>71</v>
      </c>
      <c r="BU389" s="39">
        <v>72</v>
      </c>
      <c r="BV389" s="39">
        <v>73</v>
      </c>
      <c r="BW389" s="39">
        <v>74</v>
      </c>
      <c r="BX389" s="39">
        <v>75</v>
      </c>
      <c r="BY389" s="39">
        <v>76</v>
      </c>
      <c r="BZ389" s="39">
        <v>77</v>
      </c>
      <c r="CA389" s="39">
        <v>78</v>
      </c>
      <c r="CB389" s="39">
        <v>79</v>
      </c>
      <c r="CC389" s="39">
        <v>80</v>
      </c>
      <c r="CD389" s="39">
        <v>81</v>
      </c>
      <c r="CE389" s="39">
        <v>82</v>
      </c>
      <c r="CF389" s="39">
        <v>83</v>
      </c>
      <c r="CG389" s="39">
        <v>84</v>
      </c>
      <c r="CH389" s="39">
        <v>85</v>
      </c>
      <c r="CI389" s="39">
        <v>86</v>
      </c>
      <c r="CJ389" s="39">
        <v>87</v>
      </c>
      <c r="CK389" s="39">
        <v>88</v>
      </c>
      <c r="CL389" s="39">
        <v>89</v>
      </c>
      <c r="CM389" s="39">
        <v>90</v>
      </c>
      <c r="CN389" s="39">
        <v>91</v>
      </c>
      <c r="CO389" s="39">
        <v>92</v>
      </c>
      <c r="CP389" s="39">
        <v>93</v>
      </c>
      <c r="CQ389" s="39">
        <v>94</v>
      </c>
      <c r="CR389" s="39">
        <v>95</v>
      </c>
      <c r="CS389" s="39">
        <v>96</v>
      </c>
      <c r="CT389" s="39">
        <v>97</v>
      </c>
      <c r="CU389" s="39">
        <v>98</v>
      </c>
      <c r="CV389" s="39">
        <v>99</v>
      </c>
      <c r="CW389" s="39">
        <v>100</v>
      </c>
      <c r="CX389" s="39">
        <v>101</v>
      </c>
    </row>
    <row r="392" spans="1:102" x14ac:dyDescent="0.4">
      <c r="CK392">
        <v>66</v>
      </c>
      <c r="CL392">
        <v>27.269999999999982</v>
      </c>
      <c r="CM392">
        <v>105834.62</v>
      </c>
      <c r="CN392">
        <v>971.66999999999825</v>
      </c>
      <c r="CO392">
        <v>71374.01999999999</v>
      </c>
      <c r="CP392">
        <v>66501</v>
      </c>
      <c r="CQ392">
        <v>97546</v>
      </c>
      <c r="CR392">
        <v>514</v>
      </c>
      <c r="CS392">
        <v>123055</v>
      </c>
      <c r="CT392">
        <v>153577</v>
      </c>
      <c r="CU392">
        <v>66760</v>
      </c>
      <c r="CV392">
        <v>117092</v>
      </c>
      <c r="CW392">
        <v>52894</v>
      </c>
      <c r="CX392" s="34">
        <f>SUM(CX8:CX141)</f>
        <v>10511520</v>
      </c>
    </row>
    <row r="393" spans="1:102" x14ac:dyDescent="0.4">
      <c r="CK393">
        <v>67</v>
      </c>
      <c r="CL393">
        <v>0</v>
      </c>
      <c r="CM393">
        <v>0</v>
      </c>
      <c r="CN393">
        <v>0</v>
      </c>
      <c r="CO393">
        <v>0</v>
      </c>
      <c r="CP393">
        <v>0</v>
      </c>
      <c r="CQ393">
        <v>0</v>
      </c>
      <c r="CR393">
        <v>0</v>
      </c>
      <c r="CS393">
        <v>0</v>
      </c>
      <c r="CT393">
        <v>0</v>
      </c>
      <c r="CU393">
        <v>0</v>
      </c>
      <c r="CV393">
        <v>73405</v>
      </c>
      <c r="CW393">
        <v>0</v>
      </c>
    </row>
    <row r="394" spans="1:102" x14ac:dyDescent="0.4">
      <c r="CK394">
        <v>69</v>
      </c>
      <c r="CL394">
        <v>74.149999999999977</v>
      </c>
      <c r="CM394">
        <v>19807.28</v>
      </c>
      <c r="CN394">
        <v>1269.5000000000009</v>
      </c>
      <c r="CO394">
        <v>90.360000000000014</v>
      </c>
      <c r="CP394">
        <v>35792</v>
      </c>
      <c r="CQ394">
        <v>71</v>
      </c>
      <c r="CR394">
        <v>29256</v>
      </c>
      <c r="CS394">
        <v>97</v>
      </c>
      <c r="CT394">
        <v>8059</v>
      </c>
      <c r="CU394">
        <v>353</v>
      </c>
      <c r="CV394">
        <v>265</v>
      </c>
      <c r="CW394">
        <v>54</v>
      </c>
    </row>
    <row r="395" spans="1:102" x14ac:dyDescent="0.4">
      <c r="CK395">
        <v>112</v>
      </c>
      <c r="CL395">
        <v>11.18999999999869</v>
      </c>
      <c r="CM395">
        <v>4741.3899999999994</v>
      </c>
      <c r="CN395">
        <v>541.77000000000044</v>
      </c>
      <c r="CO395">
        <v>183.95000000000073</v>
      </c>
      <c r="CP395">
        <v>99</v>
      </c>
      <c r="CQ395">
        <v>10036</v>
      </c>
      <c r="CR395">
        <v>228934</v>
      </c>
      <c r="CS395">
        <v>223</v>
      </c>
      <c r="CT395">
        <v>32</v>
      </c>
      <c r="CU395">
        <v>28</v>
      </c>
      <c r="CV395">
        <v>8434</v>
      </c>
      <c r="CW395">
        <v>91984</v>
      </c>
    </row>
    <row r="396" spans="1:102" x14ac:dyDescent="0.4">
      <c r="CK396">
        <v>184</v>
      </c>
      <c r="CL396">
        <v>532</v>
      </c>
      <c r="CM396">
        <v>25</v>
      </c>
      <c r="CN396">
        <v>3973</v>
      </c>
      <c r="CO396">
        <v>0</v>
      </c>
      <c r="CP396">
        <v>10</v>
      </c>
      <c r="CQ396">
        <v>419</v>
      </c>
      <c r="CR396">
        <v>21897</v>
      </c>
      <c r="CS396">
        <v>0</v>
      </c>
      <c r="CT396">
        <v>415</v>
      </c>
      <c r="CU396">
        <v>15</v>
      </c>
      <c r="CV396">
        <v>796</v>
      </c>
      <c r="CW396">
        <v>2827</v>
      </c>
    </row>
  </sheetData>
  <sheetProtection algorithmName="SHA-512" hashValue="bfJxBSuPcTpodZB0V5+Pxuniu+j/FlI6ZIaj7YeKDJ1RoBRBbQ/AwMNujXD7eMh1KOkNHmFDtjxrXWjAQIXNdg==" saltValue="JldKthV2KNV7NAAwjjRSvw==" spinCount="100000" sheet="1" objects="1" scenarios="1"/>
  <mergeCells count="2777">
    <mergeCell ref="CH60:CH61"/>
    <mergeCell ref="CI60:CI61"/>
    <mergeCell ref="CJ60:CJ61"/>
    <mergeCell ref="CK60:CK61"/>
    <mergeCell ref="CL60:CL61"/>
    <mergeCell ref="CM60:CM61"/>
    <mergeCell ref="CN60:CN61"/>
    <mergeCell ref="CO60:CO61"/>
    <mergeCell ref="CP60:CP61"/>
    <mergeCell ref="CQ60:CQ61"/>
    <mergeCell ref="CR60:CR61"/>
    <mergeCell ref="CS60:CS61"/>
    <mergeCell ref="CT60:CT61"/>
    <mergeCell ref="CU60:CU61"/>
    <mergeCell ref="CV60:CV61"/>
    <mergeCell ref="CW60:CW61"/>
    <mergeCell ref="CX60:CX61"/>
    <mergeCell ref="CQ16:CQ17"/>
    <mergeCell ref="CR16:CR17"/>
    <mergeCell ref="CS16:CS17"/>
    <mergeCell ref="CT16:CT17"/>
    <mergeCell ref="CU16:CU17"/>
    <mergeCell ref="CV16:CV17"/>
    <mergeCell ref="CW16:CW17"/>
    <mergeCell ref="CX16:CX17"/>
    <mergeCell ref="B60:B61"/>
    <mergeCell ref="C60:C61"/>
    <mergeCell ref="D60:D61"/>
    <mergeCell ref="E60:E61"/>
    <mergeCell ref="F60:F61"/>
    <mergeCell ref="G60:G61"/>
    <mergeCell ref="H60:H61"/>
    <mergeCell ref="I60:I61"/>
    <mergeCell ref="J60:J61"/>
    <mergeCell ref="K60:K61"/>
    <mergeCell ref="L60:L61"/>
    <mergeCell ref="M60:M61"/>
    <mergeCell ref="N60:N61"/>
    <mergeCell ref="O60:O61"/>
    <mergeCell ref="P60:P61"/>
    <mergeCell ref="Q60:Q61"/>
    <mergeCell ref="BZ60:BZ61"/>
    <mergeCell ref="CA60:CA61"/>
    <mergeCell ref="CB60:CB61"/>
    <mergeCell ref="CC60:CC61"/>
    <mergeCell ref="CD60:CD61"/>
    <mergeCell ref="CE60:CE61"/>
    <mergeCell ref="CF60:CF61"/>
    <mergeCell ref="CG60:CG61"/>
    <mergeCell ref="BZ16:BZ17"/>
    <mergeCell ref="CA16:CA17"/>
    <mergeCell ref="CB16:CB17"/>
    <mergeCell ref="CC16:CC17"/>
    <mergeCell ref="CD16:CD17"/>
    <mergeCell ref="CE16:CE17"/>
    <mergeCell ref="CF16:CF17"/>
    <mergeCell ref="CG16:CG17"/>
    <mergeCell ref="CH16:CH17"/>
    <mergeCell ref="CI16:CI17"/>
    <mergeCell ref="CJ16:CJ17"/>
    <mergeCell ref="CK16:CK17"/>
    <mergeCell ref="CL16:CL17"/>
    <mergeCell ref="CM16:CM17"/>
    <mergeCell ref="CN16:CN17"/>
    <mergeCell ref="CO16:CO17"/>
    <mergeCell ref="CP16:CP17"/>
    <mergeCell ref="CI82:CI83"/>
    <mergeCell ref="CJ82:CJ83"/>
    <mergeCell ref="CK82:CK83"/>
    <mergeCell ref="CL82:CL83"/>
    <mergeCell ref="CM82:CM83"/>
    <mergeCell ref="CN82:CN83"/>
    <mergeCell ref="CO82:CO83"/>
    <mergeCell ref="CP82:CP83"/>
    <mergeCell ref="CQ82:CQ83"/>
    <mergeCell ref="CR82:CR83"/>
    <mergeCell ref="CS82:CS83"/>
    <mergeCell ref="CT82:CT83"/>
    <mergeCell ref="CU82:CU83"/>
    <mergeCell ref="CV82:CV83"/>
    <mergeCell ref="CW82:CW83"/>
    <mergeCell ref="CX82:CX83"/>
    <mergeCell ref="B16:B17"/>
    <mergeCell ref="C16:C17"/>
    <mergeCell ref="D16:D17"/>
    <mergeCell ref="E16:E17"/>
    <mergeCell ref="F16:F17"/>
    <mergeCell ref="G16:G17"/>
    <mergeCell ref="H16:H17"/>
    <mergeCell ref="I16:I17"/>
    <mergeCell ref="J16:J17"/>
    <mergeCell ref="K16:K17"/>
    <mergeCell ref="L16:L17"/>
    <mergeCell ref="M16:M17"/>
    <mergeCell ref="N16:N17"/>
    <mergeCell ref="O16:O17"/>
    <mergeCell ref="P16:P17"/>
    <mergeCell ref="Q16:Q17"/>
    <mergeCell ref="B82:B83"/>
    <mergeCell ref="C82:C83"/>
    <mergeCell ref="D82:D83"/>
    <mergeCell ref="E82:E83"/>
    <mergeCell ref="F82:F83"/>
    <mergeCell ref="G82:G83"/>
    <mergeCell ref="H82:H83"/>
    <mergeCell ref="I82:I83"/>
    <mergeCell ref="J82:J83"/>
    <mergeCell ref="K82:K83"/>
    <mergeCell ref="L82:L83"/>
    <mergeCell ref="M82:M83"/>
    <mergeCell ref="N82:N83"/>
    <mergeCell ref="O82:O83"/>
    <mergeCell ref="P82:P83"/>
    <mergeCell ref="Q82:Q83"/>
    <mergeCell ref="BZ82:BZ83"/>
    <mergeCell ref="CA82:CA83"/>
    <mergeCell ref="CB82:CB83"/>
    <mergeCell ref="CC82:CC83"/>
    <mergeCell ref="CD82:CD83"/>
    <mergeCell ref="CE82:CE83"/>
    <mergeCell ref="CF82:CF83"/>
    <mergeCell ref="CG82:CG83"/>
    <mergeCell ref="CH82:CH83"/>
    <mergeCell ref="CQ140:CQ141"/>
    <mergeCell ref="CR140:CR141"/>
    <mergeCell ref="CS140:CS141"/>
    <mergeCell ref="CT140:CT141"/>
    <mergeCell ref="CU140:CU141"/>
    <mergeCell ref="CV140:CV141"/>
    <mergeCell ref="CW140:CW141"/>
    <mergeCell ref="CX140:CX141"/>
    <mergeCell ref="BZ140:BZ141"/>
    <mergeCell ref="CA140:CA141"/>
    <mergeCell ref="CB140:CB141"/>
    <mergeCell ref="CC140:CC141"/>
    <mergeCell ref="CD140:CD141"/>
    <mergeCell ref="CE140:CE141"/>
    <mergeCell ref="CF140:CF141"/>
    <mergeCell ref="CG140:CG141"/>
    <mergeCell ref="CH140:CH141"/>
    <mergeCell ref="CI140:CI141"/>
    <mergeCell ref="CJ140:CJ141"/>
    <mergeCell ref="CK140:CK141"/>
    <mergeCell ref="CL140:CL141"/>
    <mergeCell ref="CM140:CM141"/>
    <mergeCell ref="CN140:CN141"/>
    <mergeCell ref="CO140:CO141"/>
    <mergeCell ref="CP140:CP141"/>
    <mergeCell ref="B140:B141"/>
    <mergeCell ref="C140:C141"/>
    <mergeCell ref="D140:D141"/>
    <mergeCell ref="E140:E141"/>
    <mergeCell ref="F140:F141"/>
    <mergeCell ref="G140:G141"/>
    <mergeCell ref="H140:H141"/>
    <mergeCell ref="I140:I141"/>
    <mergeCell ref="J140:J141"/>
    <mergeCell ref="K140:K141"/>
    <mergeCell ref="L140:L141"/>
    <mergeCell ref="M140:M141"/>
    <mergeCell ref="N140:N141"/>
    <mergeCell ref="O140:O141"/>
    <mergeCell ref="P140:P141"/>
    <mergeCell ref="Q140:Q141"/>
    <mergeCell ref="CR48:CR49"/>
    <mergeCell ref="CS48:CS49"/>
    <mergeCell ref="CT48:CT49"/>
    <mergeCell ref="CU48:CU49"/>
    <mergeCell ref="CV48:CV49"/>
    <mergeCell ref="CW48:CW49"/>
    <mergeCell ref="CX48:CX49"/>
    <mergeCell ref="CA48:CA49"/>
    <mergeCell ref="CB48:CB49"/>
    <mergeCell ref="CC48:CC49"/>
    <mergeCell ref="CD48:CD49"/>
    <mergeCell ref="CE48:CE49"/>
    <mergeCell ref="CF48:CF49"/>
    <mergeCell ref="CG48:CG49"/>
    <mergeCell ref="CH48:CH49"/>
    <mergeCell ref="CI48:CI49"/>
    <mergeCell ref="CJ48:CJ49"/>
    <mergeCell ref="CK48:CK49"/>
    <mergeCell ref="CL48:CL49"/>
    <mergeCell ref="CM48:CM49"/>
    <mergeCell ref="CN48:CN49"/>
    <mergeCell ref="CO48:CO49"/>
    <mergeCell ref="CP48:CP49"/>
    <mergeCell ref="CQ48:CQ49"/>
    <mergeCell ref="B48:B49"/>
    <mergeCell ref="C48:C49"/>
    <mergeCell ref="D48:D49"/>
    <mergeCell ref="E48:E49"/>
    <mergeCell ref="F48:F49"/>
    <mergeCell ref="G48:G49"/>
    <mergeCell ref="H48:H49"/>
    <mergeCell ref="I48:I49"/>
    <mergeCell ref="J48:J49"/>
    <mergeCell ref="K48:K49"/>
    <mergeCell ref="L48:L49"/>
    <mergeCell ref="M48:M49"/>
    <mergeCell ref="N48:N49"/>
    <mergeCell ref="O48:O49"/>
    <mergeCell ref="P48:P49"/>
    <mergeCell ref="Q48:Q49"/>
    <mergeCell ref="BZ48:BZ49"/>
    <mergeCell ref="CH46:CH47"/>
    <mergeCell ref="CI46:CI47"/>
    <mergeCell ref="CJ46:CJ47"/>
    <mergeCell ref="CK46:CK47"/>
    <mergeCell ref="CL46:CL47"/>
    <mergeCell ref="CM46:CM47"/>
    <mergeCell ref="CN46:CN47"/>
    <mergeCell ref="CO46:CO47"/>
    <mergeCell ref="CP46:CP47"/>
    <mergeCell ref="CQ46:CQ47"/>
    <mergeCell ref="CR46:CR47"/>
    <mergeCell ref="CS46:CS47"/>
    <mergeCell ref="CT46:CT47"/>
    <mergeCell ref="CU46:CU47"/>
    <mergeCell ref="CV46:CV47"/>
    <mergeCell ref="CW46:CW47"/>
    <mergeCell ref="CX46:CX47"/>
    <mergeCell ref="CQ36:CQ37"/>
    <mergeCell ref="CR36:CR37"/>
    <mergeCell ref="CS36:CS37"/>
    <mergeCell ref="CT36:CT37"/>
    <mergeCell ref="CU36:CU37"/>
    <mergeCell ref="CV36:CV37"/>
    <mergeCell ref="CW36:CW37"/>
    <mergeCell ref="CX36:CX37"/>
    <mergeCell ref="B46:B47"/>
    <mergeCell ref="C46:C47"/>
    <mergeCell ref="D46:D47"/>
    <mergeCell ref="E46:E47"/>
    <mergeCell ref="F46:F47"/>
    <mergeCell ref="G46:G47"/>
    <mergeCell ref="H46:H47"/>
    <mergeCell ref="I46:I47"/>
    <mergeCell ref="J46:J47"/>
    <mergeCell ref="K46:K47"/>
    <mergeCell ref="L46:L47"/>
    <mergeCell ref="M46:M47"/>
    <mergeCell ref="N46:N47"/>
    <mergeCell ref="O46:O47"/>
    <mergeCell ref="P46:P47"/>
    <mergeCell ref="Q46:Q47"/>
    <mergeCell ref="BZ46:BZ47"/>
    <mergeCell ref="CA46:CA47"/>
    <mergeCell ref="CB46:CB47"/>
    <mergeCell ref="CC46:CC47"/>
    <mergeCell ref="CD46:CD47"/>
    <mergeCell ref="CE46:CE47"/>
    <mergeCell ref="CF46:CF47"/>
    <mergeCell ref="CG46:CG47"/>
    <mergeCell ref="BZ36:BZ37"/>
    <mergeCell ref="CA36:CA37"/>
    <mergeCell ref="CB36:CB37"/>
    <mergeCell ref="CC36:CC37"/>
    <mergeCell ref="CD36:CD37"/>
    <mergeCell ref="CE36:CE37"/>
    <mergeCell ref="CF36:CF37"/>
    <mergeCell ref="CG36:CG37"/>
    <mergeCell ref="CH36:CH37"/>
    <mergeCell ref="CI36:CI37"/>
    <mergeCell ref="CJ36:CJ37"/>
    <mergeCell ref="CK36:CK37"/>
    <mergeCell ref="CL36:CL37"/>
    <mergeCell ref="CM36:CM37"/>
    <mergeCell ref="CN36:CN37"/>
    <mergeCell ref="CO36:CO37"/>
    <mergeCell ref="CP36:CP37"/>
    <mergeCell ref="CI34:CI35"/>
    <mergeCell ref="CJ34:CJ35"/>
    <mergeCell ref="CK34:CK35"/>
    <mergeCell ref="CL34:CL35"/>
    <mergeCell ref="CM34:CM35"/>
    <mergeCell ref="CN34:CN35"/>
    <mergeCell ref="CO34:CO35"/>
    <mergeCell ref="CP34:CP35"/>
    <mergeCell ref="CQ34:CQ35"/>
    <mergeCell ref="CR34:CR35"/>
    <mergeCell ref="CS34:CS35"/>
    <mergeCell ref="CT34:CT35"/>
    <mergeCell ref="CU34:CU35"/>
    <mergeCell ref="CV34:CV35"/>
    <mergeCell ref="CW34:CW35"/>
    <mergeCell ref="CX34:CX35"/>
    <mergeCell ref="B36:B37"/>
    <mergeCell ref="C36:C37"/>
    <mergeCell ref="D36:D37"/>
    <mergeCell ref="E36:E37"/>
    <mergeCell ref="F36:F37"/>
    <mergeCell ref="G36:G37"/>
    <mergeCell ref="H36:H37"/>
    <mergeCell ref="I36:I37"/>
    <mergeCell ref="J36:J37"/>
    <mergeCell ref="K36:K37"/>
    <mergeCell ref="L36:L37"/>
    <mergeCell ref="M36:M37"/>
    <mergeCell ref="N36:N37"/>
    <mergeCell ref="O36:O37"/>
    <mergeCell ref="P36:P37"/>
    <mergeCell ref="Q36:Q37"/>
    <mergeCell ref="CR32:CR33"/>
    <mergeCell ref="CS32:CS33"/>
    <mergeCell ref="CT32:CT33"/>
    <mergeCell ref="CU32:CU33"/>
    <mergeCell ref="CV32:CV33"/>
    <mergeCell ref="CW32:CW33"/>
    <mergeCell ref="CX32:CX33"/>
    <mergeCell ref="B34:B35"/>
    <mergeCell ref="C34:C35"/>
    <mergeCell ref="D34:D35"/>
    <mergeCell ref="E34:E35"/>
    <mergeCell ref="F34:F35"/>
    <mergeCell ref="G34:G35"/>
    <mergeCell ref="H34:H35"/>
    <mergeCell ref="I34:I35"/>
    <mergeCell ref="J34:J35"/>
    <mergeCell ref="K34:K35"/>
    <mergeCell ref="L34:L35"/>
    <mergeCell ref="M34:M35"/>
    <mergeCell ref="N34:N35"/>
    <mergeCell ref="O34:O35"/>
    <mergeCell ref="P34:P35"/>
    <mergeCell ref="Q34:Q35"/>
    <mergeCell ref="BZ34:BZ35"/>
    <mergeCell ref="CA34:CA35"/>
    <mergeCell ref="CB34:CB35"/>
    <mergeCell ref="CC34:CC35"/>
    <mergeCell ref="CD34:CD35"/>
    <mergeCell ref="CE34:CE35"/>
    <mergeCell ref="CF34:CF35"/>
    <mergeCell ref="CG34:CG35"/>
    <mergeCell ref="CH34:CH35"/>
    <mergeCell ref="CA32:CA33"/>
    <mergeCell ref="CB32:CB33"/>
    <mergeCell ref="CC32:CC33"/>
    <mergeCell ref="CD32:CD33"/>
    <mergeCell ref="CE32:CE33"/>
    <mergeCell ref="CF32:CF33"/>
    <mergeCell ref="CG32:CG33"/>
    <mergeCell ref="CH32:CH33"/>
    <mergeCell ref="CI32:CI33"/>
    <mergeCell ref="CJ32:CJ33"/>
    <mergeCell ref="CK32:CK33"/>
    <mergeCell ref="CL32:CL33"/>
    <mergeCell ref="CM32:CM33"/>
    <mergeCell ref="CN32:CN33"/>
    <mergeCell ref="CO32:CO33"/>
    <mergeCell ref="CP32:CP33"/>
    <mergeCell ref="CQ32:CQ33"/>
    <mergeCell ref="B32:B33"/>
    <mergeCell ref="C32:C33"/>
    <mergeCell ref="D32:D33"/>
    <mergeCell ref="E32:E33"/>
    <mergeCell ref="F32:F33"/>
    <mergeCell ref="G32:G33"/>
    <mergeCell ref="H32:H33"/>
    <mergeCell ref="I32:I33"/>
    <mergeCell ref="J32:J33"/>
    <mergeCell ref="K32:K33"/>
    <mergeCell ref="L32:L33"/>
    <mergeCell ref="M32:M33"/>
    <mergeCell ref="N32:N33"/>
    <mergeCell ref="O32:O33"/>
    <mergeCell ref="P32:P33"/>
    <mergeCell ref="Q32:Q33"/>
    <mergeCell ref="BZ32:BZ33"/>
    <mergeCell ref="CH30:CH31"/>
    <mergeCell ref="CI30:CI31"/>
    <mergeCell ref="CJ30:CJ31"/>
    <mergeCell ref="CK30:CK31"/>
    <mergeCell ref="CL30:CL31"/>
    <mergeCell ref="CM30:CM31"/>
    <mergeCell ref="CN30:CN31"/>
    <mergeCell ref="CO30:CO31"/>
    <mergeCell ref="CP30:CP31"/>
    <mergeCell ref="CQ30:CQ31"/>
    <mergeCell ref="CR30:CR31"/>
    <mergeCell ref="CS30:CS31"/>
    <mergeCell ref="CT30:CT31"/>
    <mergeCell ref="CU30:CU31"/>
    <mergeCell ref="CV30:CV31"/>
    <mergeCell ref="CW30:CW31"/>
    <mergeCell ref="CX30:CX31"/>
    <mergeCell ref="CQ28:CQ29"/>
    <mergeCell ref="CR28:CR29"/>
    <mergeCell ref="CS28:CS29"/>
    <mergeCell ref="CT28:CT29"/>
    <mergeCell ref="CU28:CU29"/>
    <mergeCell ref="CV28:CV29"/>
    <mergeCell ref="CW28:CW29"/>
    <mergeCell ref="CX28:CX29"/>
    <mergeCell ref="B30:B31"/>
    <mergeCell ref="C30:C31"/>
    <mergeCell ref="D30:D31"/>
    <mergeCell ref="E30:E31"/>
    <mergeCell ref="F30:F31"/>
    <mergeCell ref="G30:G31"/>
    <mergeCell ref="H30:H31"/>
    <mergeCell ref="I30:I31"/>
    <mergeCell ref="J30:J31"/>
    <mergeCell ref="K30:K31"/>
    <mergeCell ref="L30:L31"/>
    <mergeCell ref="M30:M31"/>
    <mergeCell ref="N30:N31"/>
    <mergeCell ref="O30:O31"/>
    <mergeCell ref="P30:P31"/>
    <mergeCell ref="Q30:Q31"/>
    <mergeCell ref="BZ30:BZ31"/>
    <mergeCell ref="CA30:CA31"/>
    <mergeCell ref="CB30:CB31"/>
    <mergeCell ref="CC30:CC31"/>
    <mergeCell ref="CD30:CD31"/>
    <mergeCell ref="CE30:CE31"/>
    <mergeCell ref="CF30:CF31"/>
    <mergeCell ref="CG30:CG31"/>
    <mergeCell ref="BZ28:BZ29"/>
    <mergeCell ref="CA28:CA29"/>
    <mergeCell ref="CB28:CB29"/>
    <mergeCell ref="CC28:CC29"/>
    <mergeCell ref="CD28:CD29"/>
    <mergeCell ref="CE28:CE29"/>
    <mergeCell ref="CF28:CF29"/>
    <mergeCell ref="CG28:CG29"/>
    <mergeCell ref="CH28:CH29"/>
    <mergeCell ref="CI28:CI29"/>
    <mergeCell ref="CJ28:CJ29"/>
    <mergeCell ref="CK28:CK29"/>
    <mergeCell ref="CL28:CL29"/>
    <mergeCell ref="CM28:CM29"/>
    <mergeCell ref="CN28:CN29"/>
    <mergeCell ref="CO28:CO29"/>
    <mergeCell ref="CP28:CP29"/>
    <mergeCell ref="CI24:CI25"/>
    <mergeCell ref="CJ24:CJ25"/>
    <mergeCell ref="CK24:CK25"/>
    <mergeCell ref="CL24:CL25"/>
    <mergeCell ref="CM24:CM25"/>
    <mergeCell ref="CN24:CN25"/>
    <mergeCell ref="CO24:CO25"/>
    <mergeCell ref="CP24:CP25"/>
    <mergeCell ref="CQ24:CQ25"/>
    <mergeCell ref="CR24:CR25"/>
    <mergeCell ref="CS24:CS25"/>
    <mergeCell ref="CT24:CT25"/>
    <mergeCell ref="CU24:CU25"/>
    <mergeCell ref="CV24:CV25"/>
    <mergeCell ref="CW24:CW25"/>
    <mergeCell ref="CX24:CX25"/>
    <mergeCell ref="B28:B29"/>
    <mergeCell ref="C28:C29"/>
    <mergeCell ref="D28:D29"/>
    <mergeCell ref="E28:E29"/>
    <mergeCell ref="F28:F29"/>
    <mergeCell ref="G28:G29"/>
    <mergeCell ref="H28:H29"/>
    <mergeCell ref="I28:I29"/>
    <mergeCell ref="J28:J29"/>
    <mergeCell ref="K28:K29"/>
    <mergeCell ref="L28:L29"/>
    <mergeCell ref="M28:M29"/>
    <mergeCell ref="N28:N29"/>
    <mergeCell ref="O28:O29"/>
    <mergeCell ref="P28:P29"/>
    <mergeCell ref="Q28:Q29"/>
    <mergeCell ref="CR22:CR23"/>
    <mergeCell ref="CS22:CS23"/>
    <mergeCell ref="CT22:CT23"/>
    <mergeCell ref="CU22:CU23"/>
    <mergeCell ref="CV22:CV23"/>
    <mergeCell ref="CW22:CW23"/>
    <mergeCell ref="CX22:CX23"/>
    <mergeCell ref="B24:B25"/>
    <mergeCell ref="C24:C25"/>
    <mergeCell ref="D24:D25"/>
    <mergeCell ref="E24:E25"/>
    <mergeCell ref="F24:F25"/>
    <mergeCell ref="G24:G25"/>
    <mergeCell ref="H24:H25"/>
    <mergeCell ref="I24:I25"/>
    <mergeCell ref="J24:J25"/>
    <mergeCell ref="K24:K25"/>
    <mergeCell ref="L24:L25"/>
    <mergeCell ref="M24:M25"/>
    <mergeCell ref="N24:N25"/>
    <mergeCell ref="O24:O25"/>
    <mergeCell ref="P24:P25"/>
    <mergeCell ref="Q24:Q25"/>
    <mergeCell ref="BZ24:BZ25"/>
    <mergeCell ref="CA24:CA25"/>
    <mergeCell ref="CB24:CB25"/>
    <mergeCell ref="CC24:CC25"/>
    <mergeCell ref="CD24:CD25"/>
    <mergeCell ref="CE24:CE25"/>
    <mergeCell ref="CF24:CF25"/>
    <mergeCell ref="CG24:CG25"/>
    <mergeCell ref="CH24:CH25"/>
    <mergeCell ref="CA22:CA23"/>
    <mergeCell ref="CB22:CB23"/>
    <mergeCell ref="CC22:CC23"/>
    <mergeCell ref="CD22:CD23"/>
    <mergeCell ref="CE22:CE23"/>
    <mergeCell ref="CF22:CF23"/>
    <mergeCell ref="CG22:CG23"/>
    <mergeCell ref="CH22:CH23"/>
    <mergeCell ref="CI22:CI23"/>
    <mergeCell ref="CJ22:CJ23"/>
    <mergeCell ref="CK22:CK23"/>
    <mergeCell ref="CL22:CL23"/>
    <mergeCell ref="CM22:CM23"/>
    <mergeCell ref="CN22:CN23"/>
    <mergeCell ref="CO22:CO23"/>
    <mergeCell ref="CP22:CP23"/>
    <mergeCell ref="CQ22:CQ23"/>
    <mergeCell ref="B22:B23"/>
    <mergeCell ref="C22:C23"/>
    <mergeCell ref="D22:D23"/>
    <mergeCell ref="E22:E23"/>
    <mergeCell ref="F22:F23"/>
    <mergeCell ref="G22:G23"/>
    <mergeCell ref="H22:H23"/>
    <mergeCell ref="I22:I23"/>
    <mergeCell ref="J22:J23"/>
    <mergeCell ref="K22:K23"/>
    <mergeCell ref="L22:L23"/>
    <mergeCell ref="M22:M23"/>
    <mergeCell ref="N22:N23"/>
    <mergeCell ref="O22:O23"/>
    <mergeCell ref="P22:P23"/>
    <mergeCell ref="Q22:Q23"/>
    <mergeCell ref="BZ22:BZ23"/>
    <mergeCell ref="CT138:CT139"/>
    <mergeCell ref="CU138:CU139"/>
    <mergeCell ref="CV138:CV139"/>
    <mergeCell ref="CW138:CW139"/>
    <mergeCell ref="CX138:CX139"/>
    <mergeCell ref="CN138:CN139"/>
    <mergeCell ref="CO138:CO139"/>
    <mergeCell ref="CP138:CP139"/>
    <mergeCell ref="CQ138:CQ139"/>
    <mergeCell ref="CR138:CR139"/>
    <mergeCell ref="CS138:CS139"/>
    <mergeCell ref="CH138:CH139"/>
    <mergeCell ref="CI138:CI139"/>
    <mergeCell ref="CJ138:CJ139"/>
    <mergeCell ref="CK138:CK139"/>
    <mergeCell ref="CL138:CL139"/>
    <mergeCell ref="CM138:CM139"/>
    <mergeCell ref="CB138:CB139"/>
    <mergeCell ref="CC138:CC139"/>
    <mergeCell ref="CD138:CD139"/>
    <mergeCell ref="CE138:CE139"/>
    <mergeCell ref="CF138:CF139"/>
    <mergeCell ref="CG138:CG139"/>
    <mergeCell ref="N138:N139"/>
    <mergeCell ref="O138:O139"/>
    <mergeCell ref="P138:P139"/>
    <mergeCell ref="Q138:Q139"/>
    <mergeCell ref="BZ138:BZ139"/>
    <mergeCell ref="CA138:CA139"/>
    <mergeCell ref="H138:H139"/>
    <mergeCell ref="I138:I139"/>
    <mergeCell ref="J138:J139"/>
    <mergeCell ref="K138:K139"/>
    <mergeCell ref="L138:L139"/>
    <mergeCell ref="M138:M139"/>
    <mergeCell ref="B138:B139"/>
    <mergeCell ref="C138:C139"/>
    <mergeCell ref="D138:D139"/>
    <mergeCell ref="E138:E139"/>
    <mergeCell ref="F138:F139"/>
    <mergeCell ref="G138:G139"/>
    <mergeCell ref="CS136:CS137"/>
    <mergeCell ref="CT136:CT137"/>
    <mergeCell ref="CU136:CU137"/>
    <mergeCell ref="CV136:CV137"/>
    <mergeCell ref="CW136:CW137"/>
    <mergeCell ref="CX136:CX137"/>
    <mergeCell ref="CM136:CM137"/>
    <mergeCell ref="CN136:CN137"/>
    <mergeCell ref="CO136:CO137"/>
    <mergeCell ref="CP136:CP137"/>
    <mergeCell ref="CQ136:CQ137"/>
    <mergeCell ref="CR136:CR137"/>
    <mergeCell ref="CG136:CG137"/>
    <mergeCell ref="CH136:CH137"/>
    <mergeCell ref="CI136:CI137"/>
    <mergeCell ref="CJ136:CJ137"/>
    <mergeCell ref="CK136:CK137"/>
    <mergeCell ref="CL136:CL137"/>
    <mergeCell ref="CA136:CA137"/>
    <mergeCell ref="CB136:CB137"/>
    <mergeCell ref="CC136:CC137"/>
    <mergeCell ref="CD136:CD137"/>
    <mergeCell ref="CE136:CE137"/>
    <mergeCell ref="CF136:CF137"/>
    <mergeCell ref="M136:M137"/>
    <mergeCell ref="N136:N137"/>
    <mergeCell ref="O136:O137"/>
    <mergeCell ref="P136:P137"/>
    <mergeCell ref="Q136:Q137"/>
    <mergeCell ref="BZ136:BZ137"/>
    <mergeCell ref="G136:G137"/>
    <mergeCell ref="H136:H137"/>
    <mergeCell ref="I136:I137"/>
    <mergeCell ref="J136:J137"/>
    <mergeCell ref="K136:K137"/>
    <mergeCell ref="L136:L137"/>
    <mergeCell ref="CT134:CT135"/>
    <mergeCell ref="CU134:CU135"/>
    <mergeCell ref="CV134:CV135"/>
    <mergeCell ref="CW134:CW135"/>
    <mergeCell ref="CX134:CX135"/>
    <mergeCell ref="B136:B137"/>
    <mergeCell ref="C136:C137"/>
    <mergeCell ref="D136:D137"/>
    <mergeCell ref="E136:E137"/>
    <mergeCell ref="F136:F137"/>
    <mergeCell ref="CN134:CN135"/>
    <mergeCell ref="CO134:CO135"/>
    <mergeCell ref="CP134:CP135"/>
    <mergeCell ref="CQ134:CQ135"/>
    <mergeCell ref="CR134:CR135"/>
    <mergeCell ref="CS134:CS135"/>
    <mergeCell ref="CH134:CH135"/>
    <mergeCell ref="CI134:CI135"/>
    <mergeCell ref="CJ134:CJ135"/>
    <mergeCell ref="CK134:CK135"/>
    <mergeCell ref="CL134:CL135"/>
    <mergeCell ref="CM134:CM135"/>
    <mergeCell ref="CB134:CB135"/>
    <mergeCell ref="CC134:CC135"/>
    <mergeCell ref="CD134:CD135"/>
    <mergeCell ref="CE134:CE135"/>
    <mergeCell ref="CF134:CF135"/>
    <mergeCell ref="CG134:CG135"/>
    <mergeCell ref="N134:N135"/>
    <mergeCell ref="O134:O135"/>
    <mergeCell ref="P134:P135"/>
    <mergeCell ref="Q134:Q135"/>
    <mergeCell ref="BZ134:BZ135"/>
    <mergeCell ref="CA134:CA135"/>
    <mergeCell ref="H134:H135"/>
    <mergeCell ref="I134:I135"/>
    <mergeCell ref="J134:J135"/>
    <mergeCell ref="K134:K135"/>
    <mergeCell ref="L134:L135"/>
    <mergeCell ref="M134:M135"/>
    <mergeCell ref="B134:B135"/>
    <mergeCell ref="C134:C135"/>
    <mergeCell ref="D134:D135"/>
    <mergeCell ref="E134:E135"/>
    <mergeCell ref="F134:F135"/>
    <mergeCell ref="G134:G135"/>
    <mergeCell ref="CS132:CS133"/>
    <mergeCell ref="CT132:CT133"/>
    <mergeCell ref="CU132:CU133"/>
    <mergeCell ref="CV132:CV133"/>
    <mergeCell ref="CW132:CW133"/>
    <mergeCell ref="CX132:CX133"/>
    <mergeCell ref="CM132:CM133"/>
    <mergeCell ref="CN132:CN133"/>
    <mergeCell ref="CO132:CO133"/>
    <mergeCell ref="CP132:CP133"/>
    <mergeCell ref="CQ132:CQ133"/>
    <mergeCell ref="CR132:CR133"/>
    <mergeCell ref="CG132:CG133"/>
    <mergeCell ref="CH132:CH133"/>
    <mergeCell ref="CI132:CI133"/>
    <mergeCell ref="CJ132:CJ133"/>
    <mergeCell ref="CK132:CK133"/>
    <mergeCell ref="CL132:CL133"/>
    <mergeCell ref="CA132:CA133"/>
    <mergeCell ref="CB132:CB133"/>
    <mergeCell ref="CC132:CC133"/>
    <mergeCell ref="CD132:CD133"/>
    <mergeCell ref="CE132:CE133"/>
    <mergeCell ref="CF132:CF133"/>
    <mergeCell ref="M132:M133"/>
    <mergeCell ref="N132:N133"/>
    <mergeCell ref="O132:O133"/>
    <mergeCell ref="P132:P133"/>
    <mergeCell ref="Q132:Q133"/>
    <mergeCell ref="BZ132:BZ133"/>
    <mergeCell ref="G132:G133"/>
    <mergeCell ref="H132:H133"/>
    <mergeCell ref="I132:I133"/>
    <mergeCell ref="J132:J133"/>
    <mergeCell ref="K132:K133"/>
    <mergeCell ref="L132:L133"/>
    <mergeCell ref="CT130:CT131"/>
    <mergeCell ref="CU130:CU131"/>
    <mergeCell ref="CV130:CV131"/>
    <mergeCell ref="CW130:CW131"/>
    <mergeCell ref="CX130:CX131"/>
    <mergeCell ref="B132:B133"/>
    <mergeCell ref="C132:C133"/>
    <mergeCell ref="D132:D133"/>
    <mergeCell ref="E132:E133"/>
    <mergeCell ref="F132:F133"/>
    <mergeCell ref="CN130:CN131"/>
    <mergeCell ref="CO130:CO131"/>
    <mergeCell ref="CP130:CP131"/>
    <mergeCell ref="CQ130:CQ131"/>
    <mergeCell ref="CR130:CR131"/>
    <mergeCell ref="CS130:CS131"/>
    <mergeCell ref="CH130:CH131"/>
    <mergeCell ref="CI130:CI131"/>
    <mergeCell ref="CJ130:CJ131"/>
    <mergeCell ref="CK130:CK131"/>
    <mergeCell ref="CL130:CL131"/>
    <mergeCell ref="CM130:CM131"/>
    <mergeCell ref="CB130:CB131"/>
    <mergeCell ref="CC130:CC131"/>
    <mergeCell ref="CD130:CD131"/>
    <mergeCell ref="CE130:CE131"/>
    <mergeCell ref="CF130:CF131"/>
    <mergeCell ref="CG130:CG131"/>
    <mergeCell ref="N130:N131"/>
    <mergeCell ref="O130:O131"/>
    <mergeCell ref="P130:P131"/>
    <mergeCell ref="Q130:Q131"/>
    <mergeCell ref="BZ130:BZ131"/>
    <mergeCell ref="CA130:CA131"/>
    <mergeCell ref="H130:H131"/>
    <mergeCell ref="I130:I131"/>
    <mergeCell ref="J130:J131"/>
    <mergeCell ref="K130:K131"/>
    <mergeCell ref="L130:L131"/>
    <mergeCell ref="M130:M131"/>
    <mergeCell ref="B130:B131"/>
    <mergeCell ref="C130:C131"/>
    <mergeCell ref="D130:D131"/>
    <mergeCell ref="E130:E131"/>
    <mergeCell ref="F130:F131"/>
    <mergeCell ref="G130:G131"/>
    <mergeCell ref="CS128:CS129"/>
    <mergeCell ref="CT128:CT129"/>
    <mergeCell ref="CU128:CU129"/>
    <mergeCell ref="CV128:CV129"/>
    <mergeCell ref="CW128:CW129"/>
    <mergeCell ref="CX128:CX129"/>
    <mergeCell ref="CM128:CM129"/>
    <mergeCell ref="CN128:CN129"/>
    <mergeCell ref="CO128:CO129"/>
    <mergeCell ref="CP128:CP129"/>
    <mergeCell ref="CQ128:CQ129"/>
    <mergeCell ref="CR128:CR129"/>
    <mergeCell ref="CG128:CG129"/>
    <mergeCell ref="CH128:CH129"/>
    <mergeCell ref="CI128:CI129"/>
    <mergeCell ref="CJ128:CJ129"/>
    <mergeCell ref="CK128:CK129"/>
    <mergeCell ref="CL128:CL129"/>
    <mergeCell ref="CA128:CA129"/>
    <mergeCell ref="CB128:CB129"/>
    <mergeCell ref="CC128:CC129"/>
    <mergeCell ref="CD128:CD129"/>
    <mergeCell ref="CE128:CE129"/>
    <mergeCell ref="CF128:CF129"/>
    <mergeCell ref="M128:M129"/>
    <mergeCell ref="N128:N129"/>
    <mergeCell ref="O128:O129"/>
    <mergeCell ref="P128:P129"/>
    <mergeCell ref="Q128:Q129"/>
    <mergeCell ref="BZ128:BZ129"/>
    <mergeCell ref="G128:G129"/>
    <mergeCell ref="H128:H129"/>
    <mergeCell ref="I128:I129"/>
    <mergeCell ref="J128:J129"/>
    <mergeCell ref="K128:K129"/>
    <mergeCell ref="L128:L129"/>
    <mergeCell ref="CT126:CT127"/>
    <mergeCell ref="CU126:CU127"/>
    <mergeCell ref="CV126:CV127"/>
    <mergeCell ref="CW126:CW127"/>
    <mergeCell ref="CX126:CX127"/>
    <mergeCell ref="B128:B129"/>
    <mergeCell ref="C128:C129"/>
    <mergeCell ref="D128:D129"/>
    <mergeCell ref="E128:E129"/>
    <mergeCell ref="F128:F129"/>
    <mergeCell ref="CN126:CN127"/>
    <mergeCell ref="CO126:CO127"/>
    <mergeCell ref="CP126:CP127"/>
    <mergeCell ref="CQ126:CQ127"/>
    <mergeCell ref="CR126:CR127"/>
    <mergeCell ref="CS126:CS127"/>
    <mergeCell ref="CH126:CH127"/>
    <mergeCell ref="CI126:CI127"/>
    <mergeCell ref="CJ126:CJ127"/>
    <mergeCell ref="CK126:CK127"/>
    <mergeCell ref="CL126:CL127"/>
    <mergeCell ref="CM126:CM127"/>
    <mergeCell ref="CB126:CB127"/>
    <mergeCell ref="CC126:CC127"/>
    <mergeCell ref="CD126:CD127"/>
    <mergeCell ref="CE126:CE127"/>
    <mergeCell ref="CF126:CF127"/>
    <mergeCell ref="CG126:CG127"/>
    <mergeCell ref="N126:N127"/>
    <mergeCell ref="O126:O127"/>
    <mergeCell ref="P126:P127"/>
    <mergeCell ref="Q126:Q127"/>
    <mergeCell ref="BZ126:BZ127"/>
    <mergeCell ref="CA126:CA127"/>
    <mergeCell ref="H126:H127"/>
    <mergeCell ref="I126:I127"/>
    <mergeCell ref="J126:J127"/>
    <mergeCell ref="K126:K127"/>
    <mergeCell ref="L126:L127"/>
    <mergeCell ref="M126:M127"/>
    <mergeCell ref="B126:B127"/>
    <mergeCell ref="C126:C127"/>
    <mergeCell ref="D126:D127"/>
    <mergeCell ref="E126:E127"/>
    <mergeCell ref="F126:F127"/>
    <mergeCell ref="G126:G127"/>
    <mergeCell ref="CS124:CS125"/>
    <mergeCell ref="CT124:CT125"/>
    <mergeCell ref="CU124:CU125"/>
    <mergeCell ref="CV124:CV125"/>
    <mergeCell ref="CW124:CW125"/>
    <mergeCell ref="CX124:CX125"/>
    <mergeCell ref="CM124:CM125"/>
    <mergeCell ref="CN124:CN125"/>
    <mergeCell ref="CO124:CO125"/>
    <mergeCell ref="CP124:CP125"/>
    <mergeCell ref="CQ124:CQ125"/>
    <mergeCell ref="CR124:CR125"/>
    <mergeCell ref="CG124:CG125"/>
    <mergeCell ref="CH124:CH125"/>
    <mergeCell ref="CI124:CI125"/>
    <mergeCell ref="CJ124:CJ125"/>
    <mergeCell ref="CK124:CK125"/>
    <mergeCell ref="CL124:CL125"/>
    <mergeCell ref="CA124:CA125"/>
    <mergeCell ref="CB124:CB125"/>
    <mergeCell ref="CC124:CC125"/>
    <mergeCell ref="CD124:CD125"/>
    <mergeCell ref="CE124:CE125"/>
    <mergeCell ref="CF124:CF125"/>
    <mergeCell ref="M124:M125"/>
    <mergeCell ref="N124:N125"/>
    <mergeCell ref="O124:O125"/>
    <mergeCell ref="P124:P125"/>
    <mergeCell ref="Q124:Q125"/>
    <mergeCell ref="BZ124:BZ125"/>
    <mergeCell ref="G124:G125"/>
    <mergeCell ref="H124:H125"/>
    <mergeCell ref="I124:I125"/>
    <mergeCell ref="J124:J125"/>
    <mergeCell ref="K124:K125"/>
    <mergeCell ref="L124:L125"/>
    <mergeCell ref="CT122:CT123"/>
    <mergeCell ref="CU122:CU123"/>
    <mergeCell ref="CV122:CV123"/>
    <mergeCell ref="CW122:CW123"/>
    <mergeCell ref="CX122:CX123"/>
    <mergeCell ref="B124:B125"/>
    <mergeCell ref="C124:C125"/>
    <mergeCell ref="D124:D125"/>
    <mergeCell ref="E124:E125"/>
    <mergeCell ref="F124:F125"/>
    <mergeCell ref="CN122:CN123"/>
    <mergeCell ref="CO122:CO123"/>
    <mergeCell ref="CP122:CP123"/>
    <mergeCell ref="CQ122:CQ123"/>
    <mergeCell ref="CR122:CR123"/>
    <mergeCell ref="CS122:CS123"/>
    <mergeCell ref="CH122:CH123"/>
    <mergeCell ref="CI122:CI123"/>
    <mergeCell ref="CJ122:CJ123"/>
    <mergeCell ref="CK122:CK123"/>
    <mergeCell ref="CL122:CL123"/>
    <mergeCell ref="CM122:CM123"/>
    <mergeCell ref="CB122:CB123"/>
    <mergeCell ref="CC122:CC123"/>
    <mergeCell ref="CD122:CD123"/>
    <mergeCell ref="CE122:CE123"/>
    <mergeCell ref="CF122:CF123"/>
    <mergeCell ref="CG122:CG123"/>
    <mergeCell ref="N122:N123"/>
    <mergeCell ref="O122:O123"/>
    <mergeCell ref="P122:P123"/>
    <mergeCell ref="Q122:Q123"/>
    <mergeCell ref="BZ122:BZ123"/>
    <mergeCell ref="CA122:CA123"/>
    <mergeCell ref="H122:H123"/>
    <mergeCell ref="I122:I123"/>
    <mergeCell ref="J122:J123"/>
    <mergeCell ref="K122:K123"/>
    <mergeCell ref="L122:L123"/>
    <mergeCell ref="M122:M123"/>
    <mergeCell ref="B122:B123"/>
    <mergeCell ref="C122:C123"/>
    <mergeCell ref="D122:D123"/>
    <mergeCell ref="E122:E123"/>
    <mergeCell ref="F122:F123"/>
    <mergeCell ref="G122:G123"/>
    <mergeCell ref="CS120:CS121"/>
    <mergeCell ref="CT120:CT121"/>
    <mergeCell ref="CU120:CU121"/>
    <mergeCell ref="CV120:CV121"/>
    <mergeCell ref="CW120:CW121"/>
    <mergeCell ref="CX120:CX121"/>
    <mergeCell ref="CM120:CM121"/>
    <mergeCell ref="CN120:CN121"/>
    <mergeCell ref="CO120:CO121"/>
    <mergeCell ref="CP120:CP121"/>
    <mergeCell ref="CQ120:CQ121"/>
    <mergeCell ref="CR120:CR121"/>
    <mergeCell ref="CG120:CG121"/>
    <mergeCell ref="CH120:CH121"/>
    <mergeCell ref="CI120:CI121"/>
    <mergeCell ref="CJ120:CJ121"/>
    <mergeCell ref="CK120:CK121"/>
    <mergeCell ref="CL120:CL121"/>
    <mergeCell ref="CA120:CA121"/>
    <mergeCell ref="CB120:CB121"/>
    <mergeCell ref="CC120:CC121"/>
    <mergeCell ref="CD120:CD121"/>
    <mergeCell ref="CE120:CE121"/>
    <mergeCell ref="CF120:CF121"/>
    <mergeCell ref="M120:M121"/>
    <mergeCell ref="N120:N121"/>
    <mergeCell ref="O120:O121"/>
    <mergeCell ref="P120:P121"/>
    <mergeCell ref="Q120:Q121"/>
    <mergeCell ref="BZ120:BZ121"/>
    <mergeCell ref="G120:G121"/>
    <mergeCell ref="H120:H121"/>
    <mergeCell ref="I120:I121"/>
    <mergeCell ref="J120:J121"/>
    <mergeCell ref="K120:K121"/>
    <mergeCell ref="L120:L121"/>
    <mergeCell ref="CT118:CT119"/>
    <mergeCell ref="CU118:CU119"/>
    <mergeCell ref="CV118:CV119"/>
    <mergeCell ref="CW118:CW119"/>
    <mergeCell ref="CX118:CX119"/>
    <mergeCell ref="B120:B121"/>
    <mergeCell ref="C120:C121"/>
    <mergeCell ref="D120:D121"/>
    <mergeCell ref="E120:E121"/>
    <mergeCell ref="F120:F121"/>
    <mergeCell ref="CN118:CN119"/>
    <mergeCell ref="CO118:CO119"/>
    <mergeCell ref="CP118:CP119"/>
    <mergeCell ref="CQ118:CQ119"/>
    <mergeCell ref="CR118:CR119"/>
    <mergeCell ref="CS118:CS119"/>
    <mergeCell ref="CH118:CH119"/>
    <mergeCell ref="CI118:CI119"/>
    <mergeCell ref="CJ118:CJ119"/>
    <mergeCell ref="CK118:CK119"/>
    <mergeCell ref="CL118:CL119"/>
    <mergeCell ref="CM118:CM119"/>
    <mergeCell ref="CB118:CB119"/>
    <mergeCell ref="CC118:CC119"/>
    <mergeCell ref="CD118:CD119"/>
    <mergeCell ref="CE118:CE119"/>
    <mergeCell ref="CF118:CF119"/>
    <mergeCell ref="CG118:CG119"/>
    <mergeCell ref="N118:N119"/>
    <mergeCell ref="O118:O119"/>
    <mergeCell ref="P118:P119"/>
    <mergeCell ref="Q118:Q119"/>
    <mergeCell ref="BZ118:BZ119"/>
    <mergeCell ref="CA118:CA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CS116:CS117"/>
    <mergeCell ref="CT116:CT117"/>
    <mergeCell ref="CU116:CU117"/>
    <mergeCell ref="CV116:CV117"/>
    <mergeCell ref="CW116:CW117"/>
    <mergeCell ref="CX116:CX117"/>
    <mergeCell ref="CM116:CM117"/>
    <mergeCell ref="CN116:CN117"/>
    <mergeCell ref="CO116:CO117"/>
    <mergeCell ref="CP116:CP117"/>
    <mergeCell ref="CQ116:CQ117"/>
    <mergeCell ref="CR116:CR117"/>
    <mergeCell ref="CG116:CG117"/>
    <mergeCell ref="CH116:CH117"/>
    <mergeCell ref="CI116:CI117"/>
    <mergeCell ref="CJ116:CJ117"/>
    <mergeCell ref="CK116:CK117"/>
    <mergeCell ref="CL116:CL117"/>
    <mergeCell ref="CA116:CA117"/>
    <mergeCell ref="CB116:CB117"/>
    <mergeCell ref="CC116:CC117"/>
    <mergeCell ref="CD116:CD117"/>
    <mergeCell ref="CE116:CE117"/>
    <mergeCell ref="CF116:CF117"/>
    <mergeCell ref="M116:M117"/>
    <mergeCell ref="N116:N117"/>
    <mergeCell ref="O116:O117"/>
    <mergeCell ref="P116:P117"/>
    <mergeCell ref="Q116:Q117"/>
    <mergeCell ref="BZ116:BZ117"/>
    <mergeCell ref="G116:G117"/>
    <mergeCell ref="H116:H117"/>
    <mergeCell ref="I116:I117"/>
    <mergeCell ref="J116:J117"/>
    <mergeCell ref="K116:K117"/>
    <mergeCell ref="L116:L117"/>
    <mergeCell ref="CT114:CT115"/>
    <mergeCell ref="CU114:CU115"/>
    <mergeCell ref="CV114:CV115"/>
    <mergeCell ref="CW114:CW115"/>
    <mergeCell ref="CX114:CX115"/>
    <mergeCell ref="B116:B117"/>
    <mergeCell ref="C116:C117"/>
    <mergeCell ref="D116:D117"/>
    <mergeCell ref="E116:E117"/>
    <mergeCell ref="F116:F117"/>
    <mergeCell ref="CN114:CN115"/>
    <mergeCell ref="CO114:CO115"/>
    <mergeCell ref="CP114:CP115"/>
    <mergeCell ref="CQ114:CQ115"/>
    <mergeCell ref="CR114:CR115"/>
    <mergeCell ref="CS114:CS115"/>
    <mergeCell ref="CH114:CH115"/>
    <mergeCell ref="CI114:CI115"/>
    <mergeCell ref="CJ114:CJ115"/>
    <mergeCell ref="CK114:CK115"/>
    <mergeCell ref="CL114:CL115"/>
    <mergeCell ref="CM114:CM115"/>
    <mergeCell ref="CB114:CB115"/>
    <mergeCell ref="CC114:CC115"/>
    <mergeCell ref="CD114:CD115"/>
    <mergeCell ref="CE114:CE115"/>
    <mergeCell ref="CF114:CF115"/>
    <mergeCell ref="CG114:CG115"/>
    <mergeCell ref="N114:N115"/>
    <mergeCell ref="O114:O115"/>
    <mergeCell ref="P114:P115"/>
    <mergeCell ref="Q114:Q115"/>
    <mergeCell ref="BZ114:BZ115"/>
    <mergeCell ref="CA114:CA115"/>
    <mergeCell ref="H114:H115"/>
    <mergeCell ref="I114:I115"/>
    <mergeCell ref="J114:J115"/>
    <mergeCell ref="K114:K115"/>
    <mergeCell ref="L114:L115"/>
    <mergeCell ref="M114:M115"/>
    <mergeCell ref="B114:B115"/>
    <mergeCell ref="C114:C115"/>
    <mergeCell ref="D114:D115"/>
    <mergeCell ref="E114:E115"/>
    <mergeCell ref="F114:F115"/>
    <mergeCell ref="G114:G115"/>
    <mergeCell ref="CS112:CS113"/>
    <mergeCell ref="CT112:CT113"/>
    <mergeCell ref="CU112:CU113"/>
    <mergeCell ref="CV112:CV113"/>
    <mergeCell ref="CW112:CW113"/>
    <mergeCell ref="CX112:CX113"/>
    <mergeCell ref="CM112:CM113"/>
    <mergeCell ref="CN112:CN113"/>
    <mergeCell ref="CO112:CO113"/>
    <mergeCell ref="CP112:CP113"/>
    <mergeCell ref="CQ112:CQ113"/>
    <mergeCell ref="CR112:CR113"/>
    <mergeCell ref="CG112:CG113"/>
    <mergeCell ref="CH112:CH113"/>
    <mergeCell ref="CI112:CI113"/>
    <mergeCell ref="CJ112:CJ113"/>
    <mergeCell ref="CK112:CK113"/>
    <mergeCell ref="CL112:CL113"/>
    <mergeCell ref="CA112:CA113"/>
    <mergeCell ref="CB112:CB113"/>
    <mergeCell ref="CC112:CC113"/>
    <mergeCell ref="CD112:CD113"/>
    <mergeCell ref="CE112:CE113"/>
    <mergeCell ref="CF112:CF113"/>
    <mergeCell ref="M112:M113"/>
    <mergeCell ref="N112:N113"/>
    <mergeCell ref="O112:O113"/>
    <mergeCell ref="P112:P113"/>
    <mergeCell ref="Q112:Q113"/>
    <mergeCell ref="BZ112:BZ113"/>
    <mergeCell ref="G112:G113"/>
    <mergeCell ref="H112:H113"/>
    <mergeCell ref="I112:I113"/>
    <mergeCell ref="J112:J113"/>
    <mergeCell ref="K112:K113"/>
    <mergeCell ref="L112:L113"/>
    <mergeCell ref="CT110:CT111"/>
    <mergeCell ref="CU110:CU111"/>
    <mergeCell ref="CV110:CV111"/>
    <mergeCell ref="CW110:CW111"/>
    <mergeCell ref="CX110:CX111"/>
    <mergeCell ref="B112:B113"/>
    <mergeCell ref="C112:C113"/>
    <mergeCell ref="D112:D113"/>
    <mergeCell ref="E112:E113"/>
    <mergeCell ref="F112:F113"/>
    <mergeCell ref="CN110:CN111"/>
    <mergeCell ref="CO110:CO111"/>
    <mergeCell ref="CP110:CP111"/>
    <mergeCell ref="CQ110:CQ111"/>
    <mergeCell ref="CR110:CR111"/>
    <mergeCell ref="CS110:CS111"/>
    <mergeCell ref="CH110:CH111"/>
    <mergeCell ref="CI110:CI111"/>
    <mergeCell ref="CJ110:CJ111"/>
    <mergeCell ref="CK110:CK111"/>
    <mergeCell ref="CL110:CL111"/>
    <mergeCell ref="CM110:CM111"/>
    <mergeCell ref="CB110:CB111"/>
    <mergeCell ref="CC110:CC111"/>
    <mergeCell ref="CD110:CD111"/>
    <mergeCell ref="CE110:CE111"/>
    <mergeCell ref="CF110:CF111"/>
    <mergeCell ref="CG110:CG111"/>
    <mergeCell ref="N110:N111"/>
    <mergeCell ref="O110:O111"/>
    <mergeCell ref="P110:P111"/>
    <mergeCell ref="Q110:Q111"/>
    <mergeCell ref="BZ110:BZ111"/>
    <mergeCell ref="CA110:CA111"/>
    <mergeCell ref="H110:H111"/>
    <mergeCell ref="I110:I111"/>
    <mergeCell ref="J110:J111"/>
    <mergeCell ref="K110:K111"/>
    <mergeCell ref="L110:L111"/>
    <mergeCell ref="M110:M111"/>
    <mergeCell ref="B110:B111"/>
    <mergeCell ref="C110:C111"/>
    <mergeCell ref="D110:D111"/>
    <mergeCell ref="E110:E111"/>
    <mergeCell ref="F110:F111"/>
    <mergeCell ref="G110:G111"/>
    <mergeCell ref="CS108:CS109"/>
    <mergeCell ref="CT108:CT109"/>
    <mergeCell ref="CU108:CU109"/>
    <mergeCell ref="CV108:CV109"/>
    <mergeCell ref="CW108:CW109"/>
    <mergeCell ref="CX108:CX109"/>
    <mergeCell ref="CM108:CM109"/>
    <mergeCell ref="CN108:CN109"/>
    <mergeCell ref="CO108:CO109"/>
    <mergeCell ref="CP108:CP109"/>
    <mergeCell ref="CQ108:CQ109"/>
    <mergeCell ref="CR108:CR109"/>
    <mergeCell ref="CG108:CG109"/>
    <mergeCell ref="CH108:CH109"/>
    <mergeCell ref="CI108:CI109"/>
    <mergeCell ref="CJ108:CJ109"/>
    <mergeCell ref="CK108:CK109"/>
    <mergeCell ref="CL108:CL109"/>
    <mergeCell ref="CA108:CA109"/>
    <mergeCell ref="CB108:CB109"/>
    <mergeCell ref="CC108:CC109"/>
    <mergeCell ref="CD108:CD109"/>
    <mergeCell ref="CE108:CE109"/>
    <mergeCell ref="CF108:CF109"/>
    <mergeCell ref="M108:M109"/>
    <mergeCell ref="N108:N109"/>
    <mergeCell ref="O108:O109"/>
    <mergeCell ref="P108:P109"/>
    <mergeCell ref="Q108:Q109"/>
    <mergeCell ref="BZ108:BZ109"/>
    <mergeCell ref="G108:G109"/>
    <mergeCell ref="H108:H109"/>
    <mergeCell ref="I108:I109"/>
    <mergeCell ref="J108:J109"/>
    <mergeCell ref="K108:K109"/>
    <mergeCell ref="L108:L109"/>
    <mergeCell ref="CT106:CT107"/>
    <mergeCell ref="CU106:CU107"/>
    <mergeCell ref="CV106:CV107"/>
    <mergeCell ref="CW106:CW107"/>
    <mergeCell ref="CX106:CX107"/>
    <mergeCell ref="B108:B109"/>
    <mergeCell ref="C108:C109"/>
    <mergeCell ref="D108:D109"/>
    <mergeCell ref="E108:E109"/>
    <mergeCell ref="F108:F109"/>
    <mergeCell ref="CN106:CN107"/>
    <mergeCell ref="CO106:CO107"/>
    <mergeCell ref="CP106:CP107"/>
    <mergeCell ref="CQ106:CQ107"/>
    <mergeCell ref="CR106:CR107"/>
    <mergeCell ref="CS106:CS107"/>
    <mergeCell ref="CH106:CH107"/>
    <mergeCell ref="CI106:CI107"/>
    <mergeCell ref="CJ106:CJ107"/>
    <mergeCell ref="CK106:CK107"/>
    <mergeCell ref="CL106:CL107"/>
    <mergeCell ref="CM106:CM107"/>
    <mergeCell ref="CB106:CB107"/>
    <mergeCell ref="CC106:CC107"/>
    <mergeCell ref="CD106:CD107"/>
    <mergeCell ref="CE106:CE107"/>
    <mergeCell ref="CF106:CF107"/>
    <mergeCell ref="CG106:CG107"/>
    <mergeCell ref="N106:N107"/>
    <mergeCell ref="O106:O107"/>
    <mergeCell ref="P106:P107"/>
    <mergeCell ref="Q106:Q107"/>
    <mergeCell ref="BZ106:BZ107"/>
    <mergeCell ref="CA106:CA107"/>
    <mergeCell ref="H106:H107"/>
    <mergeCell ref="I106:I107"/>
    <mergeCell ref="J106:J107"/>
    <mergeCell ref="K106:K107"/>
    <mergeCell ref="L106:L107"/>
    <mergeCell ref="M106:M107"/>
    <mergeCell ref="B106:B107"/>
    <mergeCell ref="C106:C107"/>
    <mergeCell ref="D106:D107"/>
    <mergeCell ref="E106:E107"/>
    <mergeCell ref="F106:F107"/>
    <mergeCell ref="G106:G107"/>
    <mergeCell ref="CS104:CS105"/>
    <mergeCell ref="CT104:CT105"/>
    <mergeCell ref="CU104:CU105"/>
    <mergeCell ref="CV104:CV105"/>
    <mergeCell ref="CW104:CW105"/>
    <mergeCell ref="CX104:CX105"/>
    <mergeCell ref="CM104:CM105"/>
    <mergeCell ref="CN104:CN105"/>
    <mergeCell ref="CO104:CO105"/>
    <mergeCell ref="CP104:CP105"/>
    <mergeCell ref="CQ104:CQ105"/>
    <mergeCell ref="CR104:CR105"/>
    <mergeCell ref="CG104:CG105"/>
    <mergeCell ref="CH104:CH105"/>
    <mergeCell ref="CI104:CI105"/>
    <mergeCell ref="CJ104:CJ105"/>
    <mergeCell ref="CK104:CK105"/>
    <mergeCell ref="CL104:CL105"/>
    <mergeCell ref="CA104:CA105"/>
    <mergeCell ref="CB104:CB105"/>
    <mergeCell ref="CC104:CC105"/>
    <mergeCell ref="CD104:CD105"/>
    <mergeCell ref="CE104:CE105"/>
    <mergeCell ref="CF104:CF105"/>
    <mergeCell ref="M104:M105"/>
    <mergeCell ref="N104:N105"/>
    <mergeCell ref="O104:O105"/>
    <mergeCell ref="P104:P105"/>
    <mergeCell ref="Q104:Q105"/>
    <mergeCell ref="BZ104:BZ105"/>
    <mergeCell ref="G104:G105"/>
    <mergeCell ref="H104:H105"/>
    <mergeCell ref="I104:I105"/>
    <mergeCell ref="J104:J105"/>
    <mergeCell ref="K104:K105"/>
    <mergeCell ref="L104:L105"/>
    <mergeCell ref="CT102:CT103"/>
    <mergeCell ref="CU102:CU103"/>
    <mergeCell ref="CV102:CV103"/>
    <mergeCell ref="CW102:CW103"/>
    <mergeCell ref="CX102:CX103"/>
    <mergeCell ref="B104:B105"/>
    <mergeCell ref="C104:C105"/>
    <mergeCell ref="D104:D105"/>
    <mergeCell ref="E104:E105"/>
    <mergeCell ref="F104:F105"/>
    <mergeCell ref="CN102:CN103"/>
    <mergeCell ref="CO102:CO103"/>
    <mergeCell ref="CP102:CP103"/>
    <mergeCell ref="CQ102:CQ103"/>
    <mergeCell ref="CR102:CR103"/>
    <mergeCell ref="CS102:CS103"/>
    <mergeCell ref="CH102:CH103"/>
    <mergeCell ref="CI102:CI103"/>
    <mergeCell ref="CJ102:CJ103"/>
    <mergeCell ref="CK102:CK103"/>
    <mergeCell ref="CL102:CL103"/>
    <mergeCell ref="CM102:CM103"/>
    <mergeCell ref="CB102:CB103"/>
    <mergeCell ref="CC102:CC103"/>
    <mergeCell ref="CD102:CD103"/>
    <mergeCell ref="CE102:CE103"/>
    <mergeCell ref="CF102:CF103"/>
    <mergeCell ref="CG102:CG103"/>
    <mergeCell ref="N102:N103"/>
    <mergeCell ref="O102:O103"/>
    <mergeCell ref="P102:P103"/>
    <mergeCell ref="Q102:Q103"/>
    <mergeCell ref="BZ102:BZ103"/>
    <mergeCell ref="CA102:CA103"/>
    <mergeCell ref="H102:H103"/>
    <mergeCell ref="I102:I103"/>
    <mergeCell ref="J102:J103"/>
    <mergeCell ref="K102:K103"/>
    <mergeCell ref="L102:L103"/>
    <mergeCell ref="M102:M103"/>
    <mergeCell ref="B102:B103"/>
    <mergeCell ref="C102:C103"/>
    <mergeCell ref="D102:D103"/>
    <mergeCell ref="E102:E103"/>
    <mergeCell ref="F102:F103"/>
    <mergeCell ref="G102:G103"/>
    <mergeCell ref="CS100:CS101"/>
    <mergeCell ref="CT100:CT101"/>
    <mergeCell ref="CU100:CU101"/>
    <mergeCell ref="CV100:CV101"/>
    <mergeCell ref="CW100:CW101"/>
    <mergeCell ref="CX100:CX101"/>
    <mergeCell ref="CM100:CM101"/>
    <mergeCell ref="CN100:CN101"/>
    <mergeCell ref="CO100:CO101"/>
    <mergeCell ref="CP100:CP101"/>
    <mergeCell ref="CQ100:CQ101"/>
    <mergeCell ref="CR100:CR101"/>
    <mergeCell ref="CG100:CG101"/>
    <mergeCell ref="CH100:CH101"/>
    <mergeCell ref="CI100:CI101"/>
    <mergeCell ref="CJ100:CJ101"/>
    <mergeCell ref="CK100:CK101"/>
    <mergeCell ref="CL100:CL101"/>
    <mergeCell ref="CA100:CA101"/>
    <mergeCell ref="CB100:CB101"/>
    <mergeCell ref="CC100:CC101"/>
    <mergeCell ref="CD100:CD101"/>
    <mergeCell ref="CE100:CE101"/>
    <mergeCell ref="CF100:CF101"/>
    <mergeCell ref="M100:M101"/>
    <mergeCell ref="N100:N101"/>
    <mergeCell ref="O100:O101"/>
    <mergeCell ref="P100:P101"/>
    <mergeCell ref="Q100:Q101"/>
    <mergeCell ref="BZ100:BZ101"/>
    <mergeCell ref="G100:G101"/>
    <mergeCell ref="H100:H101"/>
    <mergeCell ref="I100:I101"/>
    <mergeCell ref="J100:J101"/>
    <mergeCell ref="K100:K101"/>
    <mergeCell ref="L100:L101"/>
    <mergeCell ref="CT98:CT99"/>
    <mergeCell ref="CU98:CU99"/>
    <mergeCell ref="CV98:CV99"/>
    <mergeCell ref="CW98:CW99"/>
    <mergeCell ref="CX98:CX99"/>
    <mergeCell ref="B100:B101"/>
    <mergeCell ref="C100:C101"/>
    <mergeCell ref="D100:D101"/>
    <mergeCell ref="E100:E101"/>
    <mergeCell ref="F100:F101"/>
    <mergeCell ref="CN98:CN99"/>
    <mergeCell ref="CO98:CO99"/>
    <mergeCell ref="CP98:CP99"/>
    <mergeCell ref="CQ98:CQ99"/>
    <mergeCell ref="CR98:CR99"/>
    <mergeCell ref="CS98:CS99"/>
    <mergeCell ref="CH98:CH99"/>
    <mergeCell ref="CI98:CI99"/>
    <mergeCell ref="CJ98:CJ99"/>
    <mergeCell ref="CK98:CK99"/>
    <mergeCell ref="CL98:CL99"/>
    <mergeCell ref="CM98:CM99"/>
    <mergeCell ref="CB98:CB99"/>
    <mergeCell ref="CC98:CC99"/>
    <mergeCell ref="CD98:CD99"/>
    <mergeCell ref="CE98:CE99"/>
    <mergeCell ref="CF98:CF99"/>
    <mergeCell ref="CG98:CG99"/>
    <mergeCell ref="N98:N99"/>
    <mergeCell ref="O98:O99"/>
    <mergeCell ref="P98:P99"/>
    <mergeCell ref="Q98:Q99"/>
    <mergeCell ref="BZ98:BZ99"/>
    <mergeCell ref="CA98:CA99"/>
    <mergeCell ref="H98:H99"/>
    <mergeCell ref="I98:I99"/>
    <mergeCell ref="J98:J99"/>
    <mergeCell ref="K98:K99"/>
    <mergeCell ref="L98:L99"/>
    <mergeCell ref="M98:M99"/>
    <mergeCell ref="B98:B99"/>
    <mergeCell ref="C98:C99"/>
    <mergeCell ref="D98:D99"/>
    <mergeCell ref="E98:E99"/>
    <mergeCell ref="F98:F99"/>
    <mergeCell ref="G98:G99"/>
    <mergeCell ref="CS96:CS97"/>
    <mergeCell ref="CT96:CT97"/>
    <mergeCell ref="CU96:CU97"/>
    <mergeCell ref="CV96:CV97"/>
    <mergeCell ref="CW96:CW97"/>
    <mergeCell ref="CX96:CX97"/>
    <mergeCell ref="CM96:CM97"/>
    <mergeCell ref="CN96:CN97"/>
    <mergeCell ref="CO96:CO97"/>
    <mergeCell ref="CP96:CP97"/>
    <mergeCell ref="CQ96:CQ97"/>
    <mergeCell ref="CR96:CR97"/>
    <mergeCell ref="CG96:CG97"/>
    <mergeCell ref="CH96:CH97"/>
    <mergeCell ref="CI96:CI97"/>
    <mergeCell ref="CJ96:CJ97"/>
    <mergeCell ref="CK96:CK97"/>
    <mergeCell ref="CL96:CL97"/>
    <mergeCell ref="CA96:CA97"/>
    <mergeCell ref="CB96:CB97"/>
    <mergeCell ref="CC96:CC97"/>
    <mergeCell ref="CD96:CD97"/>
    <mergeCell ref="CE96:CE97"/>
    <mergeCell ref="CF96:CF97"/>
    <mergeCell ref="M96:M97"/>
    <mergeCell ref="N96:N97"/>
    <mergeCell ref="O96:O97"/>
    <mergeCell ref="P96:P97"/>
    <mergeCell ref="Q96:Q97"/>
    <mergeCell ref="BZ96:BZ97"/>
    <mergeCell ref="G96:G97"/>
    <mergeCell ref="H96:H97"/>
    <mergeCell ref="I96:I97"/>
    <mergeCell ref="J96:J97"/>
    <mergeCell ref="K96:K97"/>
    <mergeCell ref="L96:L97"/>
    <mergeCell ref="CT94:CT95"/>
    <mergeCell ref="CU94:CU95"/>
    <mergeCell ref="CV94:CV95"/>
    <mergeCell ref="CW94:CW95"/>
    <mergeCell ref="CX94:CX95"/>
    <mergeCell ref="B96:B97"/>
    <mergeCell ref="C96:C97"/>
    <mergeCell ref="D96:D97"/>
    <mergeCell ref="E96:E97"/>
    <mergeCell ref="F96:F97"/>
    <mergeCell ref="CN94:CN95"/>
    <mergeCell ref="CO94:CO95"/>
    <mergeCell ref="CP94:CP95"/>
    <mergeCell ref="CQ94:CQ95"/>
    <mergeCell ref="CR94:CR95"/>
    <mergeCell ref="CS94:CS95"/>
    <mergeCell ref="CH94:CH95"/>
    <mergeCell ref="CI94:CI95"/>
    <mergeCell ref="CJ94:CJ95"/>
    <mergeCell ref="CK94:CK95"/>
    <mergeCell ref="CL94:CL95"/>
    <mergeCell ref="CM94:CM95"/>
    <mergeCell ref="CB94:CB95"/>
    <mergeCell ref="CC94:CC95"/>
    <mergeCell ref="CD94:CD95"/>
    <mergeCell ref="CE94:CE95"/>
    <mergeCell ref="CF94:CF95"/>
    <mergeCell ref="CG94:CG95"/>
    <mergeCell ref="N94:N95"/>
    <mergeCell ref="O94:O95"/>
    <mergeCell ref="P94:P95"/>
    <mergeCell ref="Q94:Q95"/>
    <mergeCell ref="BZ94:BZ95"/>
    <mergeCell ref="CA94:CA95"/>
    <mergeCell ref="H94:H95"/>
    <mergeCell ref="I94:I95"/>
    <mergeCell ref="J94:J95"/>
    <mergeCell ref="K94:K95"/>
    <mergeCell ref="L94:L95"/>
    <mergeCell ref="M94:M95"/>
    <mergeCell ref="B94:B95"/>
    <mergeCell ref="C94:C95"/>
    <mergeCell ref="D94:D95"/>
    <mergeCell ref="E94:E95"/>
    <mergeCell ref="F94:F95"/>
    <mergeCell ref="G94:G95"/>
    <mergeCell ref="CS92:CS93"/>
    <mergeCell ref="CT92:CT93"/>
    <mergeCell ref="CU92:CU93"/>
    <mergeCell ref="CV92:CV93"/>
    <mergeCell ref="CW92:CW93"/>
    <mergeCell ref="CX92:CX93"/>
    <mergeCell ref="CM92:CM93"/>
    <mergeCell ref="CN92:CN93"/>
    <mergeCell ref="CO92:CO93"/>
    <mergeCell ref="CP92:CP93"/>
    <mergeCell ref="CQ92:CQ93"/>
    <mergeCell ref="CR92:CR93"/>
    <mergeCell ref="CG92:CG93"/>
    <mergeCell ref="CH92:CH93"/>
    <mergeCell ref="CI92:CI93"/>
    <mergeCell ref="CJ92:CJ93"/>
    <mergeCell ref="CK92:CK93"/>
    <mergeCell ref="CL92:CL93"/>
    <mergeCell ref="CA92:CA93"/>
    <mergeCell ref="CB92:CB93"/>
    <mergeCell ref="CC92:CC93"/>
    <mergeCell ref="CD92:CD93"/>
    <mergeCell ref="CE92:CE93"/>
    <mergeCell ref="CF92:CF93"/>
    <mergeCell ref="M92:M93"/>
    <mergeCell ref="N92:N93"/>
    <mergeCell ref="O92:O93"/>
    <mergeCell ref="P92:P93"/>
    <mergeCell ref="Q92:Q93"/>
    <mergeCell ref="BZ92:BZ93"/>
    <mergeCell ref="G92:G93"/>
    <mergeCell ref="H92:H93"/>
    <mergeCell ref="I92:I93"/>
    <mergeCell ref="J92:J93"/>
    <mergeCell ref="K92:K93"/>
    <mergeCell ref="L92:L93"/>
    <mergeCell ref="CT90:CT91"/>
    <mergeCell ref="CU90:CU91"/>
    <mergeCell ref="CV90:CV91"/>
    <mergeCell ref="CW90:CW91"/>
    <mergeCell ref="CX90:CX91"/>
    <mergeCell ref="B92:B93"/>
    <mergeCell ref="C92:C93"/>
    <mergeCell ref="D92:D93"/>
    <mergeCell ref="E92:E93"/>
    <mergeCell ref="F92:F93"/>
    <mergeCell ref="CN90:CN91"/>
    <mergeCell ref="CO90:CO91"/>
    <mergeCell ref="CP90:CP91"/>
    <mergeCell ref="CQ90:CQ91"/>
    <mergeCell ref="CR90:CR91"/>
    <mergeCell ref="CS90:CS91"/>
    <mergeCell ref="CH90:CH91"/>
    <mergeCell ref="CI90:CI91"/>
    <mergeCell ref="CJ90:CJ91"/>
    <mergeCell ref="CK90:CK91"/>
    <mergeCell ref="CL90:CL91"/>
    <mergeCell ref="CM90:CM91"/>
    <mergeCell ref="CB90:CB91"/>
    <mergeCell ref="CC90:CC91"/>
    <mergeCell ref="CD90:CD91"/>
    <mergeCell ref="CE90:CE91"/>
    <mergeCell ref="CF90:CF91"/>
    <mergeCell ref="CG90:CG91"/>
    <mergeCell ref="N90:N91"/>
    <mergeCell ref="O90:O91"/>
    <mergeCell ref="P90:P91"/>
    <mergeCell ref="Q90:Q91"/>
    <mergeCell ref="BZ90:BZ91"/>
    <mergeCell ref="CA90:CA91"/>
    <mergeCell ref="H90:H91"/>
    <mergeCell ref="I90:I91"/>
    <mergeCell ref="J90:J91"/>
    <mergeCell ref="K90:K91"/>
    <mergeCell ref="L90:L91"/>
    <mergeCell ref="M90:M91"/>
    <mergeCell ref="B90:B91"/>
    <mergeCell ref="C90:C91"/>
    <mergeCell ref="D90:D91"/>
    <mergeCell ref="E90:E91"/>
    <mergeCell ref="F90:F91"/>
    <mergeCell ref="G90:G91"/>
    <mergeCell ref="CS88:CS89"/>
    <mergeCell ref="CT88:CT89"/>
    <mergeCell ref="CU88:CU89"/>
    <mergeCell ref="CV88:CV89"/>
    <mergeCell ref="CW88:CW89"/>
    <mergeCell ref="CX88:CX89"/>
    <mergeCell ref="CM88:CM89"/>
    <mergeCell ref="CN88:CN89"/>
    <mergeCell ref="CO88:CO89"/>
    <mergeCell ref="CP88:CP89"/>
    <mergeCell ref="CQ88:CQ89"/>
    <mergeCell ref="CR88:CR89"/>
    <mergeCell ref="CG88:CG89"/>
    <mergeCell ref="CH88:CH89"/>
    <mergeCell ref="CI88:CI89"/>
    <mergeCell ref="CJ88:CJ89"/>
    <mergeCell ref="CK88:CK89"/>
    <mergeCell ref="CL88:CL89"/>
    <mergeCell ref="CA88:CA89"/>
    <mergeCell ref="CB88:CB89"/>
    <mergeCell ref="CC88:CC89"/>
    <mergeCell ref="CD88:CD89"/>
    <mergeCell ref="CE88:CE89"/>
    <mergeCell ref="CF88:CF89"/>
    <mergeCell ref="M88:M89"/>
    <mergeCell ref="N88:N89"/>
    <mergeCell ref="O88:O89"/>
    <mergeCell ref="P88:P89"/>
    <mergeCell ref="Q88:Q89"/>
    <mergeCell ref="BZ88:BZ89"/>
    <mergeCell ref="G88:G89"/>
    <mergeCell ref="H88:H89"/>
    <mergeCell ref="I88:I89"/>
    <mergeCell ref="J88:J89"/>
    <mergeCell ref="K88:K89"/>
    <mergeCell ref="L88:L89"/>
    <mergeCell ref="CT86:CT87"/>
    <mergeCell ref="CU86:CU87"/>
    <mergeCell ref="CV86:CV87"/>
    <mergeCell ref="CW86:CW87"/>
    <mergeCell ref="CX86:CX87"/>
    <mergeCell ref="B88:B89"/>
    <mergeCell ref="C88:C89"/>
    <mergeCell ref="D88:D89"/>
    <mergeCell ref="E88:E89"/>
    <mergeCell ref="F88:F89"/>
    <mergeCell ref="CN86:CN87"/>
    <mergeCell ref="CO86:CO87"/>
    <mergeCell ref="CP86:CP87"/>
    <mergeCell ref="CQ86:CQ87"/>
    <mergeCell ref="CR86:CR87"/>
    <mergeCell ref="CS86:CS87"/>
    <mergeCell ref="CH86:CH87"/>
    <mergeCell ref="CI86:CI87"/>
    <mergeCell ref="CJ86:CJ87"/>
    <mergeCell ref="CK86:CK87"/>
    <mergeCell ref="CL86:CL87"/>
    <mergeCell ref="CM86:CM87"/>
    <mergeCell ref="CB86:CB87"/>
    <mergeCell ref="CC86:CC87"/>
    <mergeCell ref="CD86:CD87"/>
    <mergeCell ref="CE86:CE87"/>
    <mergeCell ref="CF86:CF87"/>
    <mergeCell ref="CG86:CG87"/>
    <mergeCell ref="N86:N87"/>
    <mergeCell ref="O86:O87"/>
    <mergeCell ref="P86:P87"/>
    <mergeCell ref="Q86:Q87"/>
    <mergeCell ref="BZ86:BZ87"/>
    <mergeCell ref="CA86:CA87"/>
    <mergeCell ref="H86:H87"/>
    <mergeCell ref="I86:I87"/>
    <mergeCell ref="J86:J87"/>
    <mergeCell ref="K86:K87"/>
    <mergeCell ref="L86:L87"/>
    <mergeCell ref="M86:M87"/>
    <mergeCell ref="B86:B87"/>
    <mergeCell ref="C86:C87"/>
    <mergeCell ref="D86:D87"/>
    <mergeCell ref="E86:E87"/>
    <mergeCell ref="F86:F87"/>
    <mergeCell ref="G86:G87"/>
    <mergeCell ref="CS84:CS85"/>
    <mergeCell ref="CT84:CT85"/>
    <mergeCell ref="CU84:CU85"/>
    <mergeCell ref="CV84:CV85"/>
    <mergeCell ref="CW84:CW85"/>
    <mergeCell ref="CX84:CX85"/>
    <mergeCell ref="CM84:CM85"/>
    <mergeCell ref="CN84:CN85"/>
    <mergeCell ref="CO84:CO85"/>
    <mergeCell ref="CP84:CP85"/>
    <mergeCell ref="CQ84:CQ85"/>
    <mergeCell ref="CR84:CR85"/>
    <mergeCell ref="CG84:CG85"/>
    <mergeCell ref="CH84:CH85"/>
    <mergeCell ref="CI84:CI85"/>
    <mergeCell ref="CJ84:CJ85"/>
    <mergeCell ref="CK84:CK85"/>
    <mergeCell ref="CL84:CL85"/>
    <mergeCell ref="CA84:CA85"/>
    <mergeCell ref="CB84:CB85"/>
    <mergeCell ref="CC84:CC85"/>
    <mergeCell ref="CD84:CD85"/>
    <mergeCell ref="CE84:CE85"/>
    <mergeCell ref="CF84:CF85"/>
    <mergeCell ref="M84:M85"/>
    <mergeCell ref="N84:N85"/>
    <mergeCell ref="O84:O85"/>
    <mergeCell ref="P84:P85"/>
    <mergeCell ref="Q84:Q85"/>
    <mergeCell ref="BZ84:BZ85"/>
    <mergeCell ref="G84:G85"/>
    <mergeCell ref="H84:H85"/>
    <mergeCell ref="I84:I85"/>
    <mergeCell ref="J84:J85"/>
    <mergeCell ref="K84:K85"/>
    <mergeCell ref="L84:L85"/>
    <mergeCell ref="CT80:CT81"/>
    <mergeCell ref="CU80:CU81"/>
    <mergeCell ref="CV80:CV81"/>
    <mergeCell ref="CW80:CW81"/>
    <mergeCell ref="CX80:CX81"/>
    <mergeCell ref="B84:B85"/>
    <mergeCell ref="C84:C85"/>
    <mergeCell ref="D84:D85"/>
    <mergeCell ref="E84:E85"/>
    <mergeCell ref="F84:F85"/>
    <mergeCell ref="CN80:CN81"/>
    <mergeCell ref="CO80:CO81"/>
    <mergeCell ref="CP80:CP81"/>
    <mergeCell ref="CQ80:CQ81"/>
    <mergeCell ref="CR80:CR81"/>
    <mergeCell ref="CS80:CS81"/>
    <mergeCell ref="CH80:CH81"/>
    <mergeCell ref="CI80:CI81"/>
    <mergeCell ref="CJ80:CJ81"/>
    <mergeCell ref="CK80:CK81"/>
    <mergeCell ref="CL80:CL81"/>
    <mergeCell ref="CM80:CM81"/>
    <mergeCell ref="CB80:CB81"/>
    <mergeCell ref="CC80:CC81"/>
    <mergeCell ref="CD80:CD81"/>
    <mergeCell ref="CE80:CE81"/>
    <mergeCell ref="CF80:CF81"/>
    <mergeCell ref="CG80:CG81"/>
    <mergeCell ref="N80:N81"/>
    <mergeCell ref="O80:O81"/>
    <mergeCell ref="P80:P81"/>
    <mergeCell ref="Q80:Q81"/>
    <mergeCell ref="BZ80:BZ81"/>
    <mergeCell ref="CA80:CA81"/>
    <mergeCell ref="H80:H81"/>
    <mergeCell ref="I80:I81"/>
    <mergeCell ref="J80:J81"/>
    <mergeCell ref="K80:K81"/>
    <mergeCell ref="L80:L81"/>
    <mergeCell ref="M80:M81"/>
    <mergeCell ref="B80:B81"/>
    <mergeCell ref="C80:C81"/>
    <mergeCell ref="D80:D81"/>
    <mergeCell ref="E80:E81"/>
    <mergeCell ref="F80:F81"/>
    <mergeCell ref="G80:G81"/>
    <mergeCell ref="CS78:CS79"/>
    <mergeCell ref="CT78:CT79"/>
    <mergeCell ref="CU78:CU79"/>
    <mergeCell ref="CV78:CV79"/>
    <mergeCell ref="CW78:CW79"/>
    <mergeCell ref="CX78:CX79"/>
    <mergeCell ref="CM78:CM79"/>
    <mergeCell ref="CN78:CN79"/>
    <mergeCell ref="CO78:CO79"/>
    <mergeCell ref="CP78:CP79"/>
    <mergeCell ref="CQ78:CQ79"/>
    <mergeCell ref="CR78:CR79"/>
    <mergeCell ref="CG78:CG79"/>
    <mergeCell ref="CH78:CH79"/>
    <mergeCell ref="CI78:CI79"/>
    <mergeCell ref="CJ78:CJ79"/>
    <mergeCell ref="CK78:CK79"/>
    <mergeCell ref="CL78:CL79"/>
    <mergeCell ref="CA78:CA79"/>
    <mergeCell ref="CB78:CB79"/>
    <mergeCell ref="CC78:CC79"/>
    <mergeCell ref="CD78:CD79"/>
    <mergeCell ref="CE78:CE79"/>
    <mergeCell ref="CF78:CF79"/>
    <mergeCell ref="M78:M79"/>
    <mergeCell ref="N78:N79"/>
    <mergeCell ref="O78:O79"/>
    <mergeCell ref="P78:P79"/>
    <mergeCell ref="Q78:Q79"/>
    <mergeCell ref="BZ78:BZ79"/>
    <mergeCell ref="G78:G79"/>
    <mergeCell ref="H78:H79"/>
    <mergeCell ref="I78:I79"/>
    <mergeCell ref="J78:J79"/>
    <mergeCell ref="K78:K79"/>
    <mergeCell ref="L78:L79"/>
    <mergeCell ref="CT76:CT77"/>
    <mergeCell ref="CU76:CU77"/>
    <mergeCell ref="CV76:CV77"/>
    <mergeCell ref="CW76:CW77"/>
    <mergeCell ref="CX76:CX77"/>
    <mergeCell ref="B78:B79"/>
    <mergeCell ref="C78:C79"/>
    <mergeCell ref="D78:D79"/>
    <mergeCell ref="E78:E79"/>
    <mergeCell ref="F78:F79"/>
    <mergeCell ref="CN76:CN77"/>
    <mergeCell ref="CO76:CO77"/>
    <mergeCell ref="CP76:CP77"/>
    <mergeCell ref="CQ76:CQ77"/>
    <mergeCell ref="CR76:CR77"/>
    <mergeCell ref="CS76:CS77"/>
    <mergeCell ref="CH76:CH77"/>
    <mergeCell ref="CI76:CI77"/>
    <mergeCell ref="CJ76:CJ77"/>
    <mergeCell ref="CK76:CK77"/>
    <mergeCell ref="CL76:CL77"/>
    <mergeCell ref="CM76:CM77"/>
    <mergeCell ref="CB76:CB77"/>
    <mergeCell ref="CC76:CC77"/>
    <mergeCell ref="CD76:CD77"/>
    <mergeCell ref="CE76:CE77"/>
    <mergeCell ref="CF76:CF77"/>
    <mergeCell ref="CG76:CG77"/>
    <mergeCell ref="N76:N77"/>
    <mergeCell ref="O76:O77"/>
    <mergeCell ref="P76:P77"/>
    <mergeCell ref="Q76:Q77"/>
    <mergeCell ref="BZ76:BZ77"/>
    <mergeCell ref="CA76:CA77"/>
    <mergeCell ref="H76:H77"/>
    <mergeCell ref="I76:I77"/>
    <mergeCell ref="J76:J77"/>
    <mergeCell ref="K76:K77"/>
    <mergeCell ref="L76:L77"/>
    <mergeCell ref="M76:M77"/>
    <mergeCell ref="B76:B77"/>
    <mergeCell ref="C76:C77"/>
    <mergeCell ref="D76:D77"/>
    <mergeCell ref="E76:E77"/>
    <mergeCell ref="F76:F77"/>
    <mergeCell ref="G76:G77"/>
    <mergeCell ref="CS74:CS75"/>
    <mergeCell ref="CT74:CT75"/>
    <mergeCell ref="CU74:CU75"/>
    <mergeCell ref="CV74:CV75"/>
    <mergeCell ref="CW74:CW75"/>
    <mergeCell ref="CX74:CX75"/>
    <mergeCell ref="CM74:CM75"/>
    <mergeCell ref="CN74:CN75"/>
    <mergeCell ref="CO74:CO75"/>
    <mergeCell ref="CP74:CP75"/>
    <mergeCell ref="CQ74:CQ75"/>
    <mergeCell ref="CR74:CR75"/>
    <mergeCell ref="CG74:CG75"/>
    <mergeCell ref="CH74:CH75"/>
    <mergeCell ref="CI74:CI75"/>
    <mergeCell ref="CJ74:CJ75"/>
    <mergeCell ref="CK74:CK75"/>
    <mergeCell ref="CL74:CL75"/>
    <mergeCell ref="CA74:CA75"/>
    <mergeCell ref="CB74:CB75"/>
    <mergeCell ref="CC74:CC75"/>
    <mergeCell ref="CD74:CD75"/>
    <mergeCell ref="CE74:CE75"/>
    <mergeCell ref="CF74:CF75"/>
    <mergeCell ref="M74:M75"/>
    <mergeCell ref="N74:N75"/>
    <mergeCell ref="O74:O75"/>
    <mergeCell ref="P74:P75"/>
    <mergeCell ref="Q74:Q75"/>
    <mergeCell ref="BZ74:BZ75"/>
    <mergeCell ref="G74:G75"/>
    <mergeCell ref="H74:H75"/>
    <mergeCell ref="I74:I75"/>
    <mergeCell ref="J74:J75"/>
    <mergeCell ref="K74:K75"/>
    <mergeCell ref="L74:L75"/>
    <mergeCell ref="CT72:CT73"/>
    <mergeCell ref="CU72:CU73"/>
    <mergeCell ref="CV72:CV73"/>
    <mergeCell ref="CW72:CW73"/>
    <mergeCell ref="CX72:CX73"/>
    <mergeCell ref="B74:B75"/>
    <mergeCell ref="C74:C75"/>
    <mergeCell ref="D74:D75"/>
    <mergeCell ref="E74:E75"/>
    <mergeCell ref="F74:F75"/>
    <mergeCell ref="CN72:CN73"/>
    <mergeCell ref="CO72:CO73"/>
    <mergeCell ref="CP72:CP73"/>
    <mergeCell ref="CQ72:CQ73"/>
    <mergeCell ref="CR72:CR73"/>
    <mergeCell ref="CS72:CS73"/>
    <mergeCell ref="CH72:CH73"/>
    <mergeCell ref="CI72:CI73"/>
    <mergeCell ref="CJ72:CJ73"/>
    <mergeCell ref="CK72:CK73"/>
    <mergeCell ref="CL72:CL73"/>
    <mergeCell ref="CM72:CM73"/>
    <mergeCell ref="CB72:CB73"/>
    <mergeCell ref="CC72:CC73"/>
    <mergeCell ref="CD72:CD73"/>
    <mergeCell ref="CE72:CE73"/>
    <mergeCell ref="CF72:CF73"/>
    <mergeCell ref="CG72:CG73"/>
    <mergeCell ref="N72:N73"/>
    <mergeCell ref="O72:O73"/>
    <mergeCell ref="P72:P73"/>
    <mergeCell ref="Q72:Q73"/>
    <mergeCell ref="BZ72:BZ73"/>
    <mergeCell ref="CA72:CA73"/>
    <mergeCell ref="H72:H73"/>
    <mergeCell ref="I72:I73"/>
    <mergeCell ref="J72:J73"/>
    <mergeCell ref="K72:K73"/>
    <mergeCell ref="L72:L73"/>
    <mergeCell ref="M72:M73"/>
    <mergeCell ref="B72:B73"/>
    <mergeCell ref="C72:C73"/>
    <mergeCell ref="D72:D73"/>
    <mergeCell ref="E72:E73"/>
    <mergeCell ref="F72:F73"/>
    <mergeCell ref="G72:G73"/>
    <mergeCell ref="CS70:CS71"/>
    <mergeCell ref="CT70:CT71"/>
    <mergeCell ref="CU70:CU71"/>
    <mergeCell ref="CV70:CV71"/>
    <mergeCell ref="CW70:CW71"/>
    <mergeCell ref="CX70:CX71"/>
    <mergeCell ref="CM70:CM71"/>
    <mergeCell ref="CN70:CN71"/>
    <mergeCell ref="CO70:CO71"/>
    <mergeCell ref="CP70:CP71"/>
    <mergeCell ref="CQ70:CQ71"/>
    <mergeCell ref="CR70:CR71"/>
    <mergeCell ref="CG70:CG71"/>
    <mergeCell ref="CH70:CH71"/>
    <mergeCell ref="CI70:CI71"/>
    <mergeCell ref="CJ70:CJ71"/>
    <mergeCell ref="CK70:CK71"/>
    <mergeCell ref="CL70:CL71"/>
    <mergeCell ref="CA70:CA71"/>
    <mergeCell ref="CB70:CB71"/>
    <mergeCell ref="CC70:CC71"/>
    <mergeCell ref="CD70:CD71"/>
    <mergeCell ref="CE70:CE71"/>
    <mergeCell ref="CF70:CF71"/>
    <mergeCell ref="M70:M71"/>
    <mergeCell ref="N70:N71"/>
    <mergeCell ref="O70:O71"/>
    <mergeCell ref="P70:P71"/>
    <mergeCell ref="Q70:Q71"/>
    <mergeCell ref="BZ70:BZ71"/>
    <mergeCell ref="G70:G71"/>
    <mergeCell ref="H70:H71"/>
    <mergeCell ref="I70:I71"/>
    <mergeCell ref="J70:J71"/>
    <mergeCell ref="K70:K71"/>
    <mergeCell ref="L70:L71"/>
    <mergeCell ref="CT68:CT69"/>
    <mergeCell ref="CU68:CU69"/>
    <mergeCell ref="CV68:CV69"/>
    <mergeCell ref="CW68:CW69"/>
    <mergeCell ref="CX68:CX69"/>
    <mergeCell ref="B70:B71"/>
    <mergeCell ref="C70:C71"/>
    <mergeCell ref="D70:D71"/>
    <mergeCell ref="E70:E71"/>
    <mergeCell ref="F70:F71"/>
    <mergeCell ref="CN68:CN69"/>
    <mergeCell ref="CO68:CO69"/>
    <mergeCell ref="CP68:CP69"/>
    <mergeCell ref="CQ68:CQ69"/>
    <mergeCell ref="CR68:CR69"/>
    <mergeCell ref="CS68:CS69"/>
    <mergeCell ref="CH68:CH69"/>
    <mergeCell ref="CI68:CI69"/>
    <mergeCell ref="CJ68:CJ69"/>
    <mergeCell ref="CK68:CK69"/>
    <mergeCell ref="CL68:CL69"/>
    <mergeCell ref="CM68:CM69"/>
    <mergeCell ref="CB68:CB69"/>
    <mergeCell ref="CC68:CC69"/>
    <mergeCell ref="CD68:CD69"/>
    <mergeCell ref="CE68:CE69"/>
    <mergeCell ref="CF68:CF69"/>
    <mergeCell ref="CG68:CG69"/>
    <mergeCell ref="N68:N69"/>
    <mergeCell ref="O68:O69"/>
    <mergeCell ref="P68:P69"/>
    <mergeCell ref="Q68:Q69"/>
    <mergeCell ref="BZ68:BZ69"/>
    <mergeCell ref="CA68:CA69"/>
    <mergeCell ref="H68:H69"/>
    <mergeCell ref="I68:I69"/>
    <mergeCell ref="J68:J69"/>
    <mergeCell ref="K68:K69"/>
    <mergeCell ref="L68:L69"/>
    <mergeCell ref="M68:M69"/>
    <mergeCell ref="B68:B69"/>
    <mergeCell ref="C68:C69"/>
    <mergeCell ref="D68:D69"/>
    <mergeCell ref="E68:E69"/>
    <mergeCell ref="F68:F69"/>
    <mergeCell ref="G68:G69"/>
    <mergeCell ref="CS66:CS67"/>
    <mergeCell ref="CT66:CT67"/>
    <mergeCell ref="CU66:CU67"/>
    <mergeCell ref="CV66:CV67"/>
    <mergeCell ref="CW66:CW67"/>
    <mergeCell ref="CX66:CX67"/>
    <mergeCell ref="CM66:CM67"/>
    <mergeCell ref="CN66:CN67"/>
    <mergeCell ref="CO66:CO67"/>
    <mergeCell ref="CP66:CP67"/>
    <mergeCell ref="CQ66:CQ67"/>
    <mergeCell ref="CR66:CR67"/>
    <mergeCell ref="CG66:CG67"/>
    <mergeCell ref="CH66:CH67"/>
    <mergeCell ref="CI66:CI67"/>
    <mergeCell ref="CJ66:CJ67"/>
    <mergeCell ref="CK66:CK67"/>
    <mergeCell ref="CL66:CL67"/>
    <mergeCell ref="CA66:CA67"/>
    <mergeCell ref="CB66:CB67"/>
    <mergeCell ref="CC66:CC67"/>
    <mergeCell ref="CD66:CD67"/>
    <mergeCell ref="CE66:CE67"/>
    <mergeCell ref="CF66:CF67"/>
    <mergeCell ref="M66:M67"/>
    <mergeCell ref="N66:N67"/>
    <mergeCell ref="O66:O67"/>
    <mergeCell ref="P66:P67"/>
    <mergeCell ref="Q66:Q67"/>
    <mergeCell ref="BZ66:BZ67"/>
    <mergeCell ref="G66:G67"/>
    <mergeCell ref="H66:H67"/>
    <mergeCell ref="I66:I67"/>
    <mergeCell ref="J66:J67"/>
    <mergeCell ref="K66:K67"/>
    <mergeCell ref="L66:L67"/>
    <mergeCell ref="CT64:CT65"/>
    <mergeCell ref="CU64:CU65"/>
    <mergeCell ref="CV64:CV65"/>
    <mergeCell ref="CW64:CW65"/>
    <mergeCell ref="CX64:CX65"/>
    <mergeCell ref="B66:B67"/>
    <mergeCell ref="C66:C67"/>
    <mergeCell ref="D66:D67"/>
    <mergeCell ref="E66:E67"/>
    <mergeCell ref="F66:F67"/>
    <mergeCell ref="CN64:CN65"/>
    <mergeCell ref="CO64:CO65"/>
    <mergeCell ref="CP64:CP65"/>
    <mergeCell ref="CQ64:CQ65"/>
    <mergeCell ref="CR64:CR65"/>
    <mergeCell ref="CS64:CS65"/>
    <mergeCell ref="CH64:CH65"/>
    <mergeCell ref="CI64:CI65"/>
    <mergeCell ref="CJ64:CJ65"/>
    <mergeCell ref="CK64:CK65"/>
    <mergeCell ref="CL64:CL65"/>
    <mergeCell ref="CM64:CM65"/>
    <mergeCell ref="CB64:CB65"/>
    <mergeCell ref="CC64:CC65"/>
    <mergeCell ref="CD64:CD65"/>
    <mergeCell ref="CE64:CE65"/>
    <mergeCell ref="CF64:CF65"/>
    <mergeCell ref="CG64:CG65"/>
    <mergeCell ref="N64:N65"/>
    <mergeCell ref="O64:O65"/>
    <mergeCell ref="P64:P65"/>
    <mergeCell ref="Q64:Q65"/>
    <mergeCell ref="BZ64:BZ65"/>
    <mergeCell ref="CA64:CA65"/>
    <mergeCell ref="H64:H65"/>
    <mergeCell ref="I64:I65"/>
    <mergeCell ref="J64:J65"/>
    <mergeCell ref="K64:K65"/>
    <mergeCell ref="L64:L65"/>
    <mergeCell ref="M64:M65"/>
    <mergeCell ref="B64:B65"/>
    <mergeCell ref="C64:C65"/>
    <mergeCell ref="D64:D65"/>
    <mergeCell ref="E64:E65"/>
    <mergeCell ref="F64:F65"/>
    <mergeCell ref="G64:G65"/>
    <mergeCell ref="CS62:CS63"/>
    <mergeCell ref="CT62:CT63"/>
    <mergeCell ref="CU62:CU63"/>
    <mergeCell ref="CV62:CV63"/>
    <mergeCell ref="CW62:CW63"/>
    <mergeCell ref="CX62:CX63"/>
    <mergeCell ref="CM62:CM63"/>
    <mergeCell ref="CN62:CN63"/>
    <mergeCell ref="CO62:CO63"/>
    <mergeCell ref="CP62:CP63"/>
    <mergeCell ref="CQ62:CQ63"/>
    <mergeCell ref="CR62:CR63"/>
    <mergeCell ref="CG62:CG63"/>
    <mergeCell ref="CH62:CH63"/>
    <mergeCell ref="CI62:CI63"/>
    <mergeCell ref="CJ62:CJ63"/>
    <mergeCell ref="CK62:CK63"/>
    <mergeCell ref="CL62:CL63"/>
    <mergeCell ref="CA62:CA63"/>
    <mergeCell ref="CB62:CB63"/>
    <mergeCell ref="CC62:CC63"/>
    <mergeCell ref="CD62:CD63"/>
    <mergeCell ref="CE62:CE63"/>
    <mergeCell ref="CF62:CF63"/>
    <mergeCell ref="M62:M63"/>
    <mergeCell ref="N62:N63"/>
    <mergeCell ref="O62:O63"/>
    <mergeCell ref="P62:P63"/>
    <mergeCell ref="Q62:Q63"/>
    <mergeCell ref="BZ62:BZ63"/>
    <mergeCell ref="G62:G63"/>
    <mergeCell ref="H62:H63"/>
    <mergeCell ref="I62:I63"/>
    <mergeCell ref="J62:J63"/>
    <mergeCell ref="K62:K63"/>
    <mergeCell ref="L62:L63"/>
    <mergeCell ref="CT58:CT59"/>
    <mergeCell ref="CU58:CU59"/>
    <mergeCell ref="CV58:CV59"/>
    <mergeCell ref="CW58:CW59"/>
    <mergeCell ref="CX58:CX59"/>
    <mergeCell ref="B62:B63"/>
    <mergeCell ref="C62:C63"/>
    <mergeCell ref="D62:D63"/>
    <mergeCell ref="E62:E63"/>
    <mergeCell ref="F62:F63"/>
    <mergeCell ref="CN58:CN59"/>
    <mergeCell ref="CO58:CO59"/>
    <mergeCell ref="CP58:CP59"/>
    <mergeCell ref="CQ58:CQ59"/>
    <mergeCell ref="CR58:CR59"/>
    <mergeCell ref="CS58:CS59"/>
    <mergeCell ref="CH58:CH59"/>
    <mergeCell ref="CI58:CI59"/>
    <mergeCell ref="CJ58:CJ59"/>
    <mergeCell ref="CK58:CK59"/>
    <mergeCell ref="CL58:CL59"/>
    <mergeCell ref="CM58:CM59"/>
    <mergeCell ref="CB58:CB59"/>
    <mergeCell ref="CC58:CC59"/>
    <mergeCell ref="CD58:CD59"/>
    <mergeCell ref="CE58:CE59"/>
    <mergeCell ref="CF58:CF59"/>
    <mergeCell ref="CG58:CG59"/>
    <mergeCell ref="N58:N59"/>
    <mergeCell ref="O58:O59"/>
    <mergeCell ref="P58:P59"/>
    <mergeCell ref="Q58:Q59"/>
    <mergeCell ref="BZ58:BZ59"/>
    <mergeCell ref="CA58:CA59"/>
    <mergeCell ref="H58:H59"/>
    <mergeCell ref="I58:I59"/>
    <mergeCell ref="J58:J59"/>
    <mergeCell ref="K58:K59"/>
    <mergeCell ref="L58:L59"/>
    <mergeCell ref="M58:M59"/>
    <mergeCell ref="B58:B59"/>
    <mergeCell ref="C58:C59"/>
    <mergeCell ref="D58:D59"/>
    <mergeCell ref="E58:E59"/>
    <mergeCell ref="F58:F59"/>
    <mergeCell ref="G58:G59"/>
    <mergeCell ref="CS56:CS57"/>
    <mergeCell ref="CT56:CT57"/>
    <mergeCell ref="CU56:CU57"/>
    <mergeCell ref="CV56:CV57"/>
    <mergeCell ref="CW56:CW57"/>
    <mergeCell ref="CX56:CX57"/>
    <mergeCell ref="CM56:CM57"/>
    <mergeCell ref="CN56:CN57"/>
    <mergeCell ref="CO56:CO57"/>
    <mergeCell ref="CP56:CP57"/>
    <mergeCell ref="CQ56:CQ57"/>
    <mergeCell ref="CR56:CR57"/>
    <mergeCell ref="CG56:CG57"/>
    <mergeCell ref="CH56:CH57"/>
    <mergeCell ref="CI56:CI57"/>
    <mergeCell ref="CJ56:CJ57"/>
    <mergeCell ref="CK56:CK57"/>
    <mergeCell ref="CL56:CL57"/>
    <mergeCell ref="CA56:CA57"/>
    <mergeCell ref="CB56:CB57"/>
    <mergeCell ref="CC56:CC57"/>
    <mergeCell ref="CD56:CD57"/>
    <mergeCell ref="CE56:CE57"/>
    <mergeCell ref="CF56:CF57"/>
    <mergeCell ref="M56:M57"/>
    <mergeCell ref="N56:N57"/>
    <mergeCell ref="O56:O57"/>
    <mergeCell ref="P56:P57"/>
    <mergeCell ref="Q56:Q57"/>
    <mergeCell ref="BZ56:BZ57"/>
    <mergeCell ref="G56:G57"/>
    <mergeCell ref="H56:H57"/>
    <mergeCell ref="I56:I57"/>
    <mergeCell ref="J56:J57"/>
    <mergeCell ref="K56:K57"/>
    <mergeCell ref="L56:L57"/>
    <mergeCell ref="CT54:CT55"/>
    <mergeCell ref="CU54:CU55"/>
    <mergeCell ref="CV54:CV55"/>
    <mergeCell ref="CW54:CW55"/>
    <mergeCell ref="CX54:CX55"/>
    <mergeCell ref="B56:B57"/>
    <mergeCell ref="C56:C57"/>
    <mergeCell ref="D56:D57"/>
    <mergeCell ref="E56:E57"/>
    <mergeCell ref="F56:F57"/>
    <mergeCell ref="CN54:CN55"/>
    <mergeCell ref="CO54:CO55"/>
    <mergeCell ref="CP54:CP55"/>
    <mergeCell ref="CQ54:CQ55"/>
    <mergeCell ref="CR54:CR55"/>
    <mergeCell ref="CS54:CS55"/>
    <mergeCell ref="CH54:CH55"/>
    <mergeCell ref="CI54:CI55"/>
    <mergeCell ref="CJ54:CJ55"/>
    <mergeCell ref="CK54:CK55"/>
    <mergeCell ref="CL54:CL55"/>
    <mergeCell ref="CM54:CM55"/>
    <mergeCell ref="CB54:CB55"/>
    <mergeCell ref="CC54:CC55"/>
    <mergeCell ref="CD54:CD55"/>
    <mergeCell ref="CE54:CE55"/>
    <mergeCell ref="CF54:CF55"/>
    <mergeCell ref="CG54:CG55"/>
    <mergeCell ref="N54:N55"/>
    <mergeCell ref="O54:O55"/>
    <mergeCell ref="P54:P55"/>
    <mergeCell ref="Q54:Q55"/>
    <mergeCell ref="BZ54:BZ55"/>
    <mergeCell ref="CA54:CA55"/>
    <mergeCell ref="H54:H55"/>
    <mergeCell ref="I54:I55"/>
    <mergeCell ref="J54:J55"/>
    <mergeCell ref="K54:K55"/>
    <mergeCell ref="L54:L55"/>
    <mergeCell ref="M54:M55"/>
    <mergeCell ref="B54:B55"/>
    <mergeCell ref="C54:C55"/>
    <mergeCell ref="D54:D55"/>
    <mergeCell ref="E54:E55"/>
    <mergeCell ref="F54:F55"/>
    <mergeCell ref="G54:G55"/>
    <mergeCell ref="CS52:CS53"/>
    <mergeCell ref="CT52:CT53"/>
    <mergeCell ref="CU52:CU53"/>
    <mergeCell ref="CV52:CV53"/>
    <mergeCell ref="CW52:CW53"/>
    <mergeCell ref="CX52:CX53"/>
    <mergeCell ref="CM52:CM53"/>
    <mergeCell ref="CN52:CN53"/>
    <mergeCell ref="CO52:CO53"/>
    <mergeCell ref="CP52:CP53"/>
    <mergeCell ref="CQ52:CQ53"/>
    <mergeCell ref="CR52:CR53"/>
    <mergeCell ref="CG52:CG53"/>
    <mergeCell ref="CH52:CH53"/>
    <mergeCell ref="CI52:CI53"/>
    <mergeCell ref="CJ52:CJ53"/>
    <mergeCell ref="CK52:CK53"/>
    <mergeCell ref="CL52:CL53"/>
    <mergeCell ref="CA52:CA53"/>
    <mergeCell ref="CB52:CB53"/>
    <mergeCell ref="CC52:CC53"/>
    <mergeCell ref="CD52:CD53"/>
    <mergeCell ref="CE52:CE53"/>
    <mergeCell ref="CF52:CF53"/>
    <mergeCell ref="M52:M53"/>
    <mergeCell ref="N52:N53"/>
    <mergeCell ref="O52:O53"/>
    <mergeCell ref="P52:P53"/>
    <mergeCell ref="Q52:Q53"/>
    <mergeCell ref="BZ52:BZ53"/>
    <mergeCell ref="G52:G53"/>
    <mergeCell ref="H52:H53"/>
    <mergeCell ref="I52:I53"/>
    <mergeCell ref="J52:J53"/>
    <mergeCell ref="K52:K53"/>
    <mergeCell ref="L52:L53"/>
    <mergeCell ref="CT50:CT51"/>
    <mergeCell ref="CU50:CU51"/>
    <mergeCell ref="CV50:CV51"/>
    <mergeCell ref="CW50:CW51"/>
    <mergeCell ref="CX50:CX51"/>
    <mergeCell ref="B52:B53"/>
    <mergeCell ref="C52:C53"/>
    <mergeCell ref="D52:D53"/>
    <mergeCell ref="E52:E53"/>
    <mergeCell ref="F52:F53"/>
    <mergeCell ref="CN50:CN51"/>
    <mergeCell ref="CO50:CO51"/>
    <mergeCell ref="CP50:CP51"/>
    <mergeCell ref="CQ50:CQ51"/>
    <mergeCell ref="CR50:CR51"/>
    <mergeCell ref="CS50:CS51"/>
    <mergeCell ref="CH50:CH51"/>
    <mergeCell ref="CI50:CI51"/>
    <mergeCell ref="CJ50:CJ51"/>
    <mergeCell ref="CK50:CK51"/>
    <mergeCell ref="CL50:CL51"/>
    <mergeCell ref="CM50:CM51"/>
    <mergeCell ref="CB50:CB51"/>
    <mergeCell ref="CC50:CC51"/>
    <mergeCell ref="CD50:CD51"/>
    <mergeCell ref="CE50:CE51"/>
    <mergeCell ref="CF50:CF51"/>
    <mergeCell ref="CG50:CG51"/>
    <mergeCell ref="N50:N51"/>
    <mergeCell ref="O50:O51"/>
    <mergeCell ref="P50:P51"/>
    <mergeCell ref="Q50:Q51"/>
    <mergeCell ref="BZ50:BZ51"/>
    <mergeCell ref="CA50:CA51"/>
    <mergeCell ref="H50:H51"/>
    <mergeCell ref="I50:I51"/>
    <mergeCell ref="J50:J51"/>
    <mergeCell ref="K50:K51"/>
    <mergeCell ref="L50:L51"/>
    <mergeCell ref="M50:M51"/>
    <mergeCell ref="B50:B51"/>
    <mergeCell ref="C50:C51"/>
    <mergeCell ref="D50:D51"/>
    <mergeCell ref="E50:E51"/>
    <mergeCell ref="F50:F51"/>
    <mergeCell ref="G50:G51"/>
    <mergeCell ref="CS44:CS45"/>
    <mergeCell ref="CT44:CT45"/>
    <mergeCell ref="CU44:CU45"/>
    <mergeCell ref="CV44:CV45"/>
    <mergeCell ref="CW44:CW45"/>
    <mergeCell ref="CX44:CX45"/>
    <mergeCell ref="CM44:CM45"/>
    <mergeCell ref="CN44:CN45"/>
    <mergeCell ref="CO44:CO45"/>
    <mergeCell ref="CP44:CP45"/>
    <mergeCell ref="CQ44:CQ45"/>
    <mergeCell ref="CR44:CR45"/>
    <mergeCell ref="CG44:CG45"/>
    <mergeCell ref="CH44:CH45"/>
    <mergeCell ref="CI44:CI45"/>
    <mergeCell ref="CJ44:CJ45"/>
    <mergeCell ref="CK44:CK45"/>
    <mergeCell ref="CL44:CL45"/>
    <mergeCell ref="CA44:CA45"/>
    <mergeCell ref="CB44:CB45"/>
    <mergeCell ref="CC44:CC45"/>
    <mergeCell ref="CD44:CD45"/>
    <mergeCell ref="CE44:CE45"/>
    <mergeCell ref="CF44:CF45"/>
    <mergeCell ref="M44:M45"/>
    <mergeCell ref="N44:N45"/>
    <mergeCell ref="O44:O45"/>
    <mergeCell ref="P44:P45"/>
    <mergeCell ref="Q44:Q45"/>
    <mergeCell ref="BZ44:BZ45"/>
    <mergeCell ref="G44:G45"/>
    <mergeCell ref="H44:H45"/>
    <mergeCell ref="I44:I45"/>
    <mergeCell ref="J44:J45"/>
    <mergeCell ref="K44:K45"/>
    <mergeCell ref="L44:L45"/>
    <mergeCell ref="CT42:CT43"/>
    <mergeCell ref="CU42:CU43"/>
    <mergeCell ref="CV42:CV43"/>
    <mergeCell ref="CW42:CW43"/>
    <mergeCell ref="CX42:CX43"/>
    <mergeCell ref="B44:B45"/>
    <mergeCell ref="C44:C45"/>
    <mergeCell ref="D44:D45"/>
    <mergeCell ref="E44:E45"/>
    <mergeCell ref="F44:F45"/>
    <mergeCell ref="CN42:CN43"/>
    <mergeCell ref="CO42:CO43"/>
    <mergeCell ref="CP42:CP43"/>
    <mergeCell ref="CQ42:CQ43"/>
    <mergeCell ref="CR42:CR43"/>
    <mergeCell ref="CS42:CS43"/>
    <mergeCell ref="CH42:CH43"/>
    <mergeCell ref="CI42:CI43"/>
    <mergeCell ref="CJ42:CJ43"/>
    <mergeCell ref="CK42:CK43"/>
    <mergeCell ref="CL42:CL43"/>
    <mergeCell ref="CM42:CM43"/>
    <mergeCell ref="CB42:CB43"/>
    <mergeCell ref="CC42:CC43"/>
    <mergeCell ref="CD42:CD43"/>
    <mergeCell ref="CE42:CE43"/>
    <mergeCell ref="CF42:CF43"/>
    <mergeCell ref="CG42:CG43"/>
    <mergeCell ref="N42:N43"/>
    <mergeCell ref="O42:O43"/>
    <mergeCell ref="P42:P43"/>
    <mergeCell ref="Q42:Q43"/>
    <mergeCell ref="BZ42:BZ43"/>
    <mergeCell ref="CA42:CA43"/>
    <mergeCell ref="H42:H43"/>
    <mergeCell ref="I42:I43"/>
    <mergeCell ref="J42:J43"/>
    <mergeCell ref="K42:K43"/>
    <mergeCell ref="L42:L43"/>
    <mergeCell ref="M42:M43"/>
    <mergeCell ref="B42:B43"/>
    <mergeCell ref="C42:C43"/>
    <mergeCell ref="D42:D43"/>
    <mergeCell ref="E42:E43"/>
    <mergeCell ref="F42:F43"/>
    <mergeCell ref="G42:G43"/>
    <mergeCell ref="CS40:CS41"/>
    <mergeCell ref="CT40:CT41"/>
    <mergeCell ref="CU40:CU41"/>
    <mergeCell ref="CV40:CV41"/>
    <mergeCell ref="CW40:CW41"/>
    <mergeCell ref="CX40:CX41"/>
    <mergeCell ref="CM40:CM41"/>
    <mergeCell ref="CN40:CN41"/>
    <mergeCell ref="CO40:CO41"/>
    <mergeCell ref="CP40:CP41"/>
    <mergeCell ref="CQ40:CQ41"/>
    <mergeCell ref="CR40:CR41"/>
    <mergeCell ref="CG40:CG41"/>
    <mergeCell ref="CH40:CH41"/>
    <mergeCell ref="CI40:CI41"/>
    <mergeCell ref="CJ40:CJ41"/>
    <mergeCell ref="CK40:CK41"/>
    <mergeCell ref="CL40:CL41"/>
    <mergeCell ref="CA40:CA41"/>
    <mergeCell ref="CB40:CB41"/>
    <mergeCell ref="CC40:CC41"/>
    <mergeCell ref="CD40:CD41"/>
    <mergeCell ref="CE40:CE41"/>
    <mergeCell ref="CF40:CF41"/>
    <mergeCell ref="M40:M41"/>
    <mergeCell ref="N40:N41"/>
    <mergeCell ref="O40:O41"/>
    <mergeCell ref="P40:P41"/>
    <mergeCell ref="Q40:Q41"/>
    <mergeCell ref="BZ40:BZ41"/>
    <mergeCell ref="G40:G41"/>
    <mergeCell ref="H40:H41"/>
    <mergeCell ref="I40:I41"/>
    <mergeCell ref="J40:J41"/>
    <mergeCell ref="K40:K41"/>
    <mergeCell ref="L40:L41"/>
    <mergeCell ref="CT38:CT39"/>
    <mergeCell ref="CU38:CU39"/>
    <mergeCell ref="CV38:CV39"/>
    <mergeCell ref="CW38:CW39"/>
    <mergeCell ref="CX38:CX39"/>
    <mergeCell ref="B40:B41"/>
    <mergeCell ref="C40:C41"/>
    <mergeCell ref="D40:D41"/>
    <mergeCell ref="E40:E41"/>
    <mergeCell ref="F40:F41"/>
    <mergeCell ref="CN38:CN39"/>
    <mergeCell ref="CO38:CO39"/>
    <mergeCell ref="CP38:CP39"/>
    <mergeCell ref="CQ38:CQ39"/>
    <mergeCell ref="CR38:CR39"/>
    <mergeCell ref="CS38:CS39"/>
    <mergeCell ref="CH38:CH39"/>
    <mergeCell ref="CI38:CI39"/>
    <mergeCell ref="CJ38:CJ39"/>
    <mergeCell ref="CK38:CK39"/>
    <mergeCell ref="CL38:CL39"/>
    <mergeCell ref="CM38:CM39"/>
    <mergeCell ref="CB38:CB39"/>
    <mergeCell ref="CC38:CC39"/>
    <mergeCell ref="CD38:CD39"/>
    <mergeCell ref="CE38:CE39"/>
    <mergeCell ref="CF38:CF39"/>
    <mergeCell ref="CG38:CG39"/>
    <mergeCell ref="N38:N39"/>
    <mergeCell ref="O38:O39"/>
    <mergeCell ref="P38:P39"/>
    <mergeCell ref="Q38:Q39"/>
    <mergeCell ref="BZ38:BZ39"/>
    <mergeCell ref="CA38:CA39"/>
    <mergeCell ref="H38:H39"/>
    <mergeCell ref="I38:I39"/>
    <mergeCell ref="J38:J39"/>
    <mergeCell ref="K38:K39"/>
    <mergeCell ref="L38:L39"/>
    <mergeCell ref="M38:M39"/>
    <mergeCell ref="B38:B39"/>
    <mergeCell ref="C38:C39"/>
    <mergeCell ref="D38:D39"/>
    <mergeCell ref="E38:E39"/>
    <mergeCell ref="F38:F39"/>
    <mergeCell ref="G38:G39"/>
    <mergeCell ref="CS26:CS27"/>
    <mergeCell ref="CT26:CT27"/>
    <mergeCell ref="CU26:CU27"/>
    <mergeCell ref="CV26:CV27"/>
    <mergeCell ref="CW26:CW27"/>
    <mergeCell ref="CX26:CX27"/>
    <mergeCell ref="CM26:CM27"/>
    <mergeCell ref="CN26:CN27"/>
    <mergeCell ref="CO26:CO27"/>
    <mergeCell ref="CP26:CP27"/>
    <mergeCell ref="CQ26:CQ27"/>
    <mergeCell ref="CR26:CR27"/>
    <mergeCell ref="CG26:CG27"/>
    <mergeCell ref="CH26:CH27"/>
    <mergeCell ref="CI26:CI27"/>
    <mergeCell ref="CJ26:CJ27"/>
    <mergeCell ref="CK26:CK27"/>
    <mergeCell ref="CL26:CL27"/>
    <mergeCell ref="CA26:CA27"/>
    <mergeCell ref="CB26:CB27"/>
    <mergeCell ref="CC26:CC27"/>
    <mergeCell ref="CD26:CD27"/>
    <mergeCell ref="CE26:CE27"/>
    <mergeCell ref="CF26:CF27"/>
    <mergeCell ref="M26:M27"/>
    <mergeCell ref="N26:N27"/>
    <mergeCell ref="O26:O27"/>
    <mergeCell ref="P26:P27"/>
    <mergeCell ref="Q26:Q27"/>
    <mergeCell ref="BZ26:BZ27"/>
    <mergeCell ref="G26:G27"/>
    <mergeCell ref="H26:H27"/>
    <mergeCell ref="I26:I27"/>
    <mergeCell ref="J26:J27"/>
    <mergeCell ref="K26:K27"/>
    <mergeCell ref="L26:L27"/>
    <mergeCell ref="CT20:CT21"/>
    <mergeCell ref="CU20:CU21"/>
    <mergeCell ref="CV20:CV21"/>
    <mergeCell ref="CW20:CW21"/>
    <mergeCell ref="CX20:CX21"/>
    <mergeCell ref="B26:B27"/>
    <mergeCell ref="C26:C27"/>
    <mergeCell ref="D26:D27"/>
    <mergeCell ref="E26:E27"/>
    <mergeCell ref="F26:F27"/>
    <mergeCell ref="CN20:CN21"/>
    <mergeCell ref="CO20:CO21"/>
    <mergeCell ref="CP20:CP21"/>
    <mergeCell ref="CQ20:CQ21"/>
    <mergeCell ref="CR20:CR21"/>
    <mergeCell ref="CS20:CS21"/>
    <mergeCell ref="CH20:CH21"/>
    <mergeCell ref="CI20:CI21"/>
    <mergeCell ref="CJ20:CJ21"/>
    <mergeCell ref="CK20:CK21"/>
    <mergeCell ref="CL20:CL21"/>
    <mergeCell ref="CM20:CM21"/>
    <mergeCell ref="CB20:CB21"/>
    <mergeCell ref="CC20:CC21"/>
    <mergeCell ref="CD20:CD21"/>
    <mergeCell ref="CE20:CE21"/>
    <mergeCell ref="CF20:CF21"/>
    <mergeCell ref="CG20:CG21"/>
    <mergeCell ref="N20:N21"/>
    <mergeCell ref="O20:O21"/>
    <mergeCell ref="P20:P21"/>
    <mergeCell ref="Q20:Q21"/>
    <mergeCell ref="BZ20:BZ21"/>
    <mergeCell ref="CA20:CA21"/>
    <mergeCell ref="H20:H21"/>
    <mergeCell ref="I20:I21"/>
    <mergeCell ref="J20:J21"/>
    <mergeCell ref="K20:K21"/>
    <mergeCell ref="L20:L21"/>
    <mergeCell ref="M20:M21"/>
    <mergeCell ref="B20:B21"/>
    <mergeCell ref="C20:C21"/>
    <mergeCell ref="D20:D21"/>
    <mergeCell ref="E20:E21"/>
    <mergeCell ref="F20:F21"/>
    <mergeCell ref="G20:G21"/>
    <mergeCell ref="CS18:CS19"/>
    <mergeCell ref="CT18:CT19"/>
    <mergeCell ref="CU18:CU19"/>
    <mergeCell ref="CV18:CV19"/>
    <mergeCell ref="CW18:CW19"/>
    <mergeCell ref="CX18:CX19"/>
    <mergeCell ref="CM18:CM19"/>
    <mergeCell ref="CN18:CN19"/>
    <mergeCell ref="CO18:CO19"/>
    <mergeCell ref="CP18:CP19"/>
    <mergeCell ref="CQ18:CQ19"/>
    <mergeCell ref="CR18:CR19"/>
    <mergeCell ref="CG18:CG19"/>
    <mergeCell ref="CH18:CH19"/>
    <mergeCell ref="CI18:CI19"/>
    <mergeCell ref="CJ18:CJ19"/>
    <mergeCell ref="CK18:CK19"/>
    <mergeCell ref="CL18:CL19"/>
    <mergeCell ref="CA18:CA19"/>
    <mergeCell ref="CB18:CB19"/>
    <mergeCell ref="CC18:CC19"/>
    <mergeCell ref="CD18:CD19"/>
    <mergeCell ref="CE18:CE19"/>
    <mergeCell ref="CF18:CF19"/>
    <mergeCell ref="M18:M19"/>
    <mergeCell ref="N18:N19"/>
    <mergeCell ref="O18:O19"/>
    <mergeCell ref="P18:P19"/>
    <mergeCell ref="Q18:Q19"/>
    <mergeCell ref="BZ18:BZ19"/>
    <mergeCell ref="G18:G19"/>
    <mergeCell ref="H18:H19"/>
    <mergeCell ref="I18:I19"/>
    <mergeCell ref="J18:J19"/>
    <mergeCell ref="K18:K19"/>
    <mergeCell ref="L18:L19"/>
    <mergeCell ref="CT14:CT15"/>
    <mergeCell ref="CU14:CU15"/>
    <mergeCell ref="CV14:CV15"/>
    <mergeCell ref="CW14:CW15"/>
    <mergeCell ref="CX14:CX15"/>
    <mergeCell ref="B18:B19"/>
    <mergeCell ref="C18:C19"/>
    <mergeCell ref="D18:D19"/>
    <mergeCell ref="E18:E19"/>
    <mergeCell ref="F18:F19"/>
    <mergeCell ref="CN14:CN15"/>
    <mergeCell ref="CO14:CO15"/>
    <mergeCell ref="CP14:CP15"/>
    <mergeCell ref="CQ14:CQ15"/>
    <mergeCell ref="CR14:CR15"/>
    <mergeCell ref="CS14:CS15"/>
    <mergeCell ref="CH14:CH15"/>
    <mergeCell ref="CI14:CI15"/>
    <mergeCell ref="CJ14:CJ15"/>
    <mergeCell ref="CK14:CK15"/>
    <mergeCell ref="CL14:CL15"/>
    <mergeCell ref="CM14:CM15"/>
    <mergeCell ref="BZ12:BZ13"/>
    <mergeCell ref="CB14:CB15"/>
    <mergeCell ref="CC14:CC15"/>
    <mergeCell ref="CD14:CD15"/>
    <mergeCell ref="CE14:CE15"/>
    <mergeCell ref="CF14:CF15"/>
    <mergeCell ref="CG14:CG15"/>
    <mergeCell ref="N14:N15"/>
    <mergeCell ref="O14:O15"/>
    <mergeCell ref="P14:P15"/>
    <mergeCell ref="Q14:Q15"/>
    <mergeCell ref="BZ14:BZ15"/>
    <mergeCell ref="CA14:CA15"/>
    <mergeCell ref="H14:H15"/>
    <mergeCell ref="I14:I15"/>
    <mergeCell ref="J14:J15"/>
    <mergeCell ref="K14:K15"/>
    <mergeCell ref="L14:L15"/>
    <mergeCell ref="M14:M15"/>
    <mergeCell ref="CE10:CE11"/>
    <mergeCell ref="CU12:CU13"/>
    <mergeCell ref="CV12:CV13"/>
    <mergeCell ref="CW12:CW13"/>
    <mergeCell ref="CX12:CX13"/>
    <mergeCell ref="B14:B15"/>
    <mergeCell ref="C14:C15"/>
    <mergeCell ref="D14:D15"/>
    <mergeCell ref="E14:E15"/>
    <mergeCell ref="F14:F15"/>
    <mergeCell ref="G14:G15"/>
    <mergeCell ref="CO12:CO13"/>
    <mergeCell ref="CP12:CP13"/>
    <mergeCell ref="CQ12:CQ13"/>
    <mergeCell ref="CR12:CR13"/>
    <mergeCell ref="CS12:CS13"/>
    <mergeCell ref="CT12:CT13"/>
    <mergeCell ref="CI12:CI13"/>
    <mergeCell ref="CJ12:CJ13"/>
    <mergeCell ref="CK12:CK13"/>
    <mergeCell ref="CL12:CL13"/>
    <mergeCell ref="CM12:CM13"/>
    <mergeCell ref="CN12:CN13"/>
    <mergeCell ref="CC12:CC13"/>
    <mergeCell ref="CD12:CD13"/>
    <mergeCell ref="CE12:CE13"/>
    <mergeCell ref="CF12:CF13"/>
    <mergeCell ref="CG12:CG13"/>
    <mergeCell ref="CH12:CH13"/>
    <mergeCell ref="O12:O13"/>
    <mergeCell ref="P12:P13"/>
    <mergeCell ref="Q12:Q13"/>
    <mergeCell ref="CE8:CE9"/>
    <mergeCell ref="CA12:CA13"/>
    <mergeCell ref="CB12:CB13"/>
    <mergeCell ref="I12:I13"/>
    <mergeCell ref="J12:J13"/>
    <mergeCell ref="K12:K13"/>
    <mergeCell ref="L12:L13"/>
    <mergeCell ref="M12:M13"/>
    <mergeCell ref="N12:N13"/>
    <mergeCell ref="CV10:CV11"/>
    <mergeCell ref="CW10:CW11"/>
    <mergeCell ref="CX10:CX11"/>
    <mergeCell ref="B12:B13"/>
    <mergeCell ref="C12:C13"/>
    <mergeCell ref="D12:D13"/>
    <mergeCell ref="E12:E13"/>
    <mergeCell ref="F12:F13"/>
    <mergeCell ref="G12:G13"/>
    <mergeCell ref="H12:H13"/>
    <mergeCell ref="CP10:CP11"/>
    <mergeCell ref="CQ10:CQ11"/>
    <mergeCell ref="CR10:CR11"/>
    <mergeCell ref="CS10:CS11"/>
    <mergeCell ref="CT10:CT11"/>
    <mergeCell ref="CU10:CU11"/>
    <mergeCell ref="CJ10:CJ11"/>
    <mergeCell ref="CK10:CK11"/>
    <mergeCell ref="CL10:CL11"/>
    <mergeCell ref="CM10:CM11"/>
    <mergeCell ref="CN10:CN11"/>
    <mergeCell ref="CO10:CO11"/>
    <mergeCell ref="CD10:CD11"/>
    <mergeCell ref="CG10:CG11"/>
    <mergeCell ref="CH10:CH11"/>
    <mergeCell ref="CI10:CI11"/>
    <mergeCell ref="P10:P11"/>
    <mergeCell ref="Q10:Q11"/>
    <mergeCell ref="BZ10:BZ11"/>
    <mergeCell ref="CA10:CA11"/>
    <mergeCell ref="CB10:CB11"/>
    <mergeCell ref="CC10:CC11"/>
    <mergeCell ref="J10:J11"/>
    <mergeCell ref="K10:K11"/>
    <mergeCell ref="L10:L11"/>
    <mergeCell ref="M10:M11"/>
    <mergeCell ref="N10:N11"/>
    <mergeCell ref="O10:O11"/>
    <mergeCell ref="CL4:CX5"/>
    <mergeCell ref="CX8:CX9"/>
    <mergeCell ref="O8:O9"/>
    <mergeCell ref="N6:N7"/>
    <mergeCell ref="O6:O7"/>
    <mergeCell ref="BZ4:CK5"/>
    <mergeCell ref="CF8:CF9"/>
    <mergeCell ref="CG8:CG9"/>
    <mergeCell ref="CH8:CH9"/>
    <mergeCell ref="CI8:CI9"/>
    <mergeCell ref="P8:P9"/>
    <mergeCell ref="Q8:Q9"/>
    <mergeCell ref="BZ8:BZ9"/>
    <mergeCell ref="CA8:CA9"/>
    <mergeCell ref="CB8:CB9"/>
    <mergeCell ref="CC8:CC9"/>
    <mergeCell ref="AB5:AF5"/>
    <mergeCell ref="B10:B11"/>
    <mergeCell ref="C10:C11"/>
    <mergeCell ref="D10:D11"/>
    <mergeCell ref="E10:E11"/>
    <mergeCell ref="F10:F11"/>
    <mergeCell ref="G10:G11"/>
    <mergeCell ref="H10:H11"/>
    <mergeCell ref="I10:I11"/>
    <mergeCell ref="J8:J9"/>
    <mergeCell ref="K8:K9"/>
    <mergeCell ref="R6:R7"/>
    <mergeCell ref="S6:S7"/>
    <mergeCell ref="T6:T7"/>
    <mergeCell ref="V6:V7"/>
    <mergeCell ref="CV8:CV9"/>
    <mergeCell ref="CW8:CW9"/>
    <mergeCell ref="CP8:CP9"/>
    <mergeCell ref="CQ8:CQ9"/>
    <mergeCell ref="CR8:CR9"/>
    <mergeCell ref="CS8:CS9"/>
    <mergeCell ref="CT8:CT9"/>
    <mergeCell ref="CU8:CU9"/>
    <mergeCell ref="CJ8:CJ9"/>
    <mergeCell ref="CK8:CK9"/>
    <mergeCell ref="CL8:CL9"/>
    <mergeCell ref="CM8:CM9"/>
    <mergeCell ref="CN8:CN9"/>
    <mergeCell ref="CO8:CO9"/>
    <mergeCell ref="CD8:CD9"/>
    <mergeCell ref="M8:M9"/>
    <mergeCell ref="N8:N9"/>
    <mergeCell ref="CF10:CF11"/>
    <mergeCell ref="B8:B9"/>
    <mergeCell ref="C8:C9"/>
    <mergeCell ref="D8:D9"/>
    <mergeCell ref="E8:E9"/>
    <mergeCell ref="F8:F9"/>
    <mergeCell ref="G8:G9"/>
    <mergeCell ref="H8:H9"/>
    <mergeCell ref="BK5:BO5"/>
    <mergeCell ref="BP5:BT5"/>
    <mergeCell ref="B6:B7"/>
    <mergeCell ref="C6:C7"/>
    <mergeCell ref="D6:D7"/>
    <mergeCell ref="E6:E7"/>
    <mergeCell ref="I6:I7"/>
    <mergeCell ref="L6:L7"/>
    <mergeCell ref="M6:M7"/>
    <mergeCell ref="AG5:AK5"/>
    <mergeCell ref="AL5:AP5"/>
    <mergeCell ref="AQ5:AU5"/>
    <mergeCell ref="AV5:AZ5"/>
    <mergeCell ref="BA5:BE5"/>
    <mergeCell ref="BF5:BJ5"/>
    <mergeCell ref="R5:V5"/>
    <mergeCell ref="W5:AA5"/>
    <mergeCell ref="B4:D5"/>
    <mergeCell ref="R4:BY4"/>
    <mergeCell ref="E4:Q5"/>
    <mergeCell ref="BU5:BY5"/>
    <mergeCell ref="I8:I9"/>
    <mergeCell ref="L8:L9"/>
  </mergeCells>
  <conditionalFormatting sqref="R8">
    <cfRule type="expression" priority="5983">
      <formula>IF(#REF!="Vertical/Ambient",80)</formula>
    </cfRule>
  </conditionalFormatting>
  <conditionalFormatting sqref="R10:BY10">
    <cfRule type="expression" priority="4585">
      <formula>IF(#REF!="Vertical/Ambient",80)</formula>
    </cfRule>
  </conditionalFormatting>
  <conditionalFormatting sqref="R12:BY12">
    <cfRule type="expression" priority="4513">
      <formula>IF(#REF!="Vertical/Ambient",80)</formula>
    </cfRule>
  </conditionalFormatting>
  <conditionalFormatting sqref="R14:BY14">
    <cfRule type="expression" priority="4441">
      <formula>IF(#REF!="Vertical/Ambient",80)</formula>
    </cfRule>
  </conditionalFormatting>
  <conditionalFormatting sqref="R16:BY16">
    <cfRule type="expression" priority="133">
      <formula>IF(#REF!="Vertical/Ambient",80)</formula>
    </cfRule>
  </conditionalFormatting>
  <conditionalFormatting sqref="R18:BY18">
    <cfRule type="expression" priority="4369">
      <formula>IF(#REF!="Vertical/Ambient",80)</formula>
    </cfRule>
  </conditionalFormatting>
  <conditionalFormatting sqref="R20:BY20">
    <cfRule type="expression" priority="4297">
      <formula>IF(#REF!="Vertical/Ambient",80)</formula>
    </cfRule>
  </conditionalFormatting>
  <conditionalFormatting sqref="R22:BY22">
    <cfRule type="expression" priority="4225">
      <formula>IF(#REF!="Vertical/Ambient",80)</formula>
    </cfRule>
  </conditionalFormatting>
  <conditionalFormatting sqref="R24:BY24">
    <cfRule type="expression" priority="4153">
      <formula>IF(#REF!="Vertical/Ambient",80)</formula>
    </cfRule>
  </conditionalFormatting>
  <conditionalFormatting sqref="R26:BY26">
    <cfRule type="expression" priority="4081">
      <formula>IF(#REF!="Vertical/Ambient",80)</formula>
    </cfRule>
  </conditionalFormatting>
  <conditionalFormatting sqref="R28:BY28">
    <cfRule type="expression" priority="4009">
      <formula>IF(#REF!="Vertical/Ambient",80)</formula>
    </cfRule>
  </conditionalFormatting>
  <conditionalFormatting sqref="R30:BY30">
    <cfRule type="expression" priority="3937">
      <formula>IF(#REF!="Vertical/Ambient",80)</formula>
    </cfRule>
  </conditionalFormatting>
  <conditionalFormatting sqref="R32:BY32">
    <cfRule type="expression" priority="3865">
      <formula>IF(#REF!="Vertical/Ambient",80)</formula>
    </cfRule>
  </conditionalFormatting>
  <conditionalFormatting sqref="R34:BY34">
    <cfRule type="expression" priority="3793">
      <formula>IF(#REF!="Vertical/Ambient",80)</formula>
    </cfRule>
  </conditionalFormatting>
  <conditionalFormatting sqref="R36:BY36">
    <cfRule type="expression" priority="3721">
      <formula>IF(#REF!="Vertical/Ambient",80)</formula>
    </cfRule>
  </conditionalFormatting>
  <conditionalFormatting sqref="R38:BY38">
    <cfRule type="expression" priority="3649">
      <formula>IF(#REF!="Vertical/Ambient",80)</formula>
    </cfRule>
  </conditionalFormatting>
  <conditionalFormatting sqref="R40:BY40">
    <cfRule type="expression" priority="3577">
      <formula>IF(#REF!="Vertical/Ambient",80)</formula>
    </cfRule>
  </conditionalFormatting>
  <conditionalFormatting sqref="R42:BY42">
    <cfRule type="expression" priority="3505">
      <formula>IF(#REF!="Vertical/Ambient",80)</formula>
    </cfRule>
  </conditionalFormatting>
  <conditionalFormatting sqref="R44:BY44">
    <cfRule type="expression" priority="3433">
      <formula>IF(#REF!="Vertical/Ambient",80)</formula>
    </cfRule>
  </conditionalFormatting>
  <conditionalFormatting sqref="R46:BY46">
    <cfRule type="expression" priority="3361">
      <formula>IF(#REF!="Vertical/Ambient",80)</formula>
    </cfRule>
  </conditionalFormatting>
  <conditionalFormatting sqref="R48:BY48">
    <cfRule type="expression" priority="3289">
      <formula>IF(#REF!="Vertical/Ambient",80)</formula>
    </cfRule>
  </conditionalFormatting>
  <conditionalFormatting sqref="R50:BY50">
    <cfRule type="expression" priority="3217">
      <formula>IF(#REF!="Vertical/Ambient",80)</formula>
    </cfRule>
  </conditionalFormatting>
  <conditionalFormatting sqref="R52:BY52">
    <cfRule type="expression" priority="3145">
      <formula>IF(#REF!="Vertical/Ambient",80)</formula>
    </cfRule>
  </conditionalFormatting>
  <conditionalFormatting sqref="R54:BY54">
    <cfRule type="expression" priority="3073">
      <formula>IF(#REF!="Vertical/Ambient",80)</formula>
    </cfRule>
  </conditionalFormatting>
  <conditionalFormatting sqref="R56:BY56">
    <cfRule type="expression" priority="3001">
      <formula>IF(#REF!="Vertical/Ambient",80)</formula>
    </cfRule>
  </conditionalFormatting>
  <conditionalFormatting sqref="R58:BY58">
    <cfRule type="expression" priority="2929">
      <formula>IF(#REF!="Vertical/Ambient",80)</formula>
    </cfRule>
  </conditionalFormatting>
  <conditionalFormatting sqref="R60:BY60">
    <cfRule type="expression" priority="73">
      <formula>IF(#REF!="Vertical/Ambient",80)</formula>
    </cfRule>
  </conditionalFormatting>
  <conditionalFormatting sqref="R62:BY62">
    <cfRule type="expression" priority="2857">
      <formula>IF(#REF!="Vertical/Ambient",80)</formula>
    </cfRule>
  </conditionalFormatting>
  <conditionalFormatting sqref="R64:BY64">
    <cfRule type="expression" priority="2785">
      <formula>IF(#REF!="Vertical/Ambient",80)</formula>
    </cfRule>
  </conditionalFormatting>
  <conditionalFormatting sqref="R66:BY66">
    <cfRule type="expression" priority="2713">
      <formula>IF(#REF!="Vertical/Ambient",80)</formula>
    </cfRule>
  </conditionalFormatting>
  <conditionalFormatting sqref="R68:BY68">
    <cfRule type="expression" priority="2641">
      <formula>IF(#REF!="Vertical/Ambient",80)</formula>
    </cfRule>
  </conditionalFormatting>
  <conditionalFormatting sqref="R70:BY70">
    <cfRule type="expression" priority="2569">
      <formula>IF(#REF!="Vertical/Ambient",80)</formula>
    </cfRule>
  </conditionalFormatting>
  <conditionalFormatting sqref="R72:BY72">
    <cfRule type="expression" priority="2497">
      <formula>IF(#REF!="Vertical/Ambient",80)</formula>
    </cfRule>
  </conditionalFormatting>
  <conditionalFormatting sqref="R74:BY74">
    <cfRule type="expression" priority="2425">
      <formula>IF(#REF!="Vertical/Ambient",80)</formula>
    </cfRule>
  </conditionalFormatting>
  <conditionalFormatting sqref="R76:BY76">
    <cfRule type="expression" priority="2353">
      <formula>IF(#REF!="Vertical/Ambient",80)</formula>
    </cfRule>
  </conditionalFormatting>
  <conditionalFormatting sqref="R78:BY78">
    <cfRule type="expression" priority="2281">
      <formula>IF(#REF!="Vertical/Ambient",80)</formula>
    </cfRule>
  </conditionalFormatting>
  <conditionalFormatting sqref="R80:BY80">
    <cfRule type="expression" priority="2209">
      <formula>IF(#REF!="Vertical/Ambient",80)</formula>
    </cfRule>
  </conditionalFormatting>
  <conditionalFormatting sqref="R82:BY82">
    <cfRule type="expression" priority="2137">
      <formula>IF(#REF!="Vertical/Ambient",80)</formula>
    </cfRule>
  </conditionalFormatting>
  <conditionalFormatting sqref="R84:BY84">
    <cfRule type="expression" priority="2065">
      <formula>IF(#REF!="Vertical/Ambient",80)</formula>
    </cfRule>
  </conditionalFormatting>
  <conditionalFormatting sqref="R86:BY86">
    <cfRule type="expression" priority="1993">
      <formula>IF(#REF!="Vertical/Ambient",80)</formula>
    </cfRule>
  </conditionalFormatting>
  <conditionalFormatting sqref="R88:BY88">
    <cfRule type="expression" priority="1921">
      <formula>IF(#REF!="Vertical/Ambient",80)</formula>
    </cfRule>
  </conditionalFormatting>
  <conditionalFormatting sqref="R90:BY90">
    <cfRule type="expression" priority="1849">
      <formula>IF(#REF!="Vertical/Ambient",80)</formula>
    </cfRule>
  </conditionalFormatting>
  <conditionalFormatting sqref="R92:BY92">
    <cfRule type="expression" priority="1777">
      <formula>IF(#REF!="Vertical/Ambient",80)</formula>
    </cfRule>
  </conditionalFormatting>
  <conditionalFormatting sqref="R94:BY94">
    <cfRule type="expression" priority="1705">
      <formula>IF(#REF!="Vertical/Ambient",80)</formula>
    </cfRule>
  </conditionalFormatting>
  <conditionalFormatting sqref="R96:BY96">
    <cfRule type="expression" priority="1633">
      <formula>IF(#REF!="Vertical/Ambient",80)</formula>
    </cfRule>
  </conditionalFormatting>
  <conditionalFormatting sqref="R98:BY98">
    <cfRule type="expression" priority="1561">
      <formula>IF(#REF!="Vertical/Ambient",80)</formula>
    </cfRule>
  </conditionalFormatting>
  <conditionalFormatting sqref="R100:BY100">
    <cfRule type="expression" priority="1489">
      <formula>IF(#REF!="Vertical/Ambient",80)</formula>
    </cfRule>
  </conditionalFormatting>
  <conditionalFormatting sqref="R102:BY102">
    <cfRule type="expression" priority="1417">
      <formula>IF(#REF!="Vertical/Ambient",80)</formula>
    </cfRule>
  </conditionalFormatting>
  <conditionalFormatting sqref="R104:BY104">
    <cfRule type="expression" priority="1345">
      <formula>IF(#REF!="Vertical/Ambient",80)</formula>
    </cfRule>
  </conditionalFormatting>
  <conditionalFormatting sqref="R106:BY106">
    <cfRule type="expression" priority="1285">
      <formula>IF(#REF!="Vertical/Ambient",80)</formula>
    </cfRule>
  </conditionalFormatting>
  <conditionalFormatting sqref="R108:BY108">
    <cfRule type="expression" priority="1213">
      <formula>IF(#REF!="Vertical/Ambient",80)</formula>
    </cfRule>
  </conditionalFormatting>
  <conditionalFormatting sqref="R110:BY110">
    <cfRule type="expression" priority="1141">
      <formula>IF(#REF!="Vertical/Ambient",80)</formula>
    </cfRule>
  </conditionalFormatting>
  <conditionalFormatting sqref="R112:BY112">
    <cfRule type="expression" priority="1069">
      <formula>IF(#REF!="Vertical/Ambient",80)</formula>
    </cfRule>
  </conditionalFormatting>
  <conditionalFormatting sqref="R114:BY114">
    <cfRule type="expression" priority="997">
      <formula>IF(#REF!="Vertical/Ambient",80)</formula>
    </cfRule>
  </conditionalFormatting>
  <conditionalFormatting sqref="R116:BY116">
    <cfRule type="expression" priority="925">
      <formula>IF(#REF!="Vertical/Ambient",80)</formula>
    </cfRule>
  </conditionalFormatting>
  <conditionalFormatting sqref="R118:BY118">
    <cfRule type="expression" priority="853">
      <formula>IF(#REF!="Vertical/Ambient",80)</formula>
    </cfRule>
  </conditionalFormatting>
  <conditionalFormatting sqref="R120:BY120">
    <cfRule type="expression" priority="793">
      <formula>IF(#REF!="Vertical/Ambient",80)</formula>
    </cfRule>
  </conditionalFormatting>
  <conditionalFormatting sqref="R122:BY122">
    <cfRule type="expression" priority="733">
      <formula>IF(#REF!="Vertical/Ambient",80)</formula>
    </cfRule>
  </conditionalFormatting>
  <conditionalFormatting sqref="R124:BY124">
    <cfRule type="expression" priority="589">
      <formula>IF(#REF!="Vertical/Ambient",80)</formula>
    </cfRule>
  </conditionalFormatting>
  <conditionalFormatting sqref="R126:BY126">
    <cfRule type="expression" priority="529">
      <formula>IF(#REF!="Vertical/Ambient",80)</formula>
    </cfRule>
  </conditionalFormatting>
  <conditionalFormatting sqref="R128:BY128">
    <cfRule type="expression" priority="469">
      <formula>IF(#REF!="Vertical/Ambient",80)</formula>
    </cfRule>
  </conditionalFormatting>
  <conditionalFormatting sqref="R130:BY130">
    <cfRule type="expression" priority="649">
      <formula>IF(#REF!="Vertical/Ambient",80)</formula>
    </cfRule>
  </conditionalFormatting>
  <conditionalFormatting sqref="R132:BY132">
    <cfRule type="expression" priority="397">
      <formula>IF(#REF!="Vertical/Ambient",80)</formula>
    </cfRule>
  </conditionalFormatting>
  <conditionalFormatting sqref="R134:BY134">
    <cfRule type="expression" priority="325">
      <formula>IF(#REF!="Vertical/Ambient",80)</formula>
    </cfRule>
  </conditionalFormatting>
  <conditionalFormatting sqref="R136:BY136">
    <cfRule type="expression" priority="253">
      <formula>IF(#REF!="Vertical/Ambient",80)</formula>
    </cfRule>
  </conditionalFormatting>
  <conditionalFormatting sqref="R138:BY138">
    <cfRule type="expression" priority="193">
      <formula>IF(#REF!="Vertical/Ambient",80)</formula>
    </cfRule>
  </conditionalFormatting>
  <conditionalFormatting sqref="R140:BY140">
    <cfRule type="expression" priority="1">
      <formula>IF(#REF!="Vertical/Ambient",80)</formula>
    </cfRule>
  </conditionalFormatting>
  <conditionalFormatting sqref="S9">
    <cfRule type="expression" priority="5984">
      <formula>IF(#REF!="Vertical/Ambient",80)</formula>
    </cfRule>
  </conditionalFormatting>
  <conditionalFormatting sqref="S11">
    <cfRule type="expression" priority="4652">
      <formula>IF(#REF!="Vertical/Ambient",80)</formula>
    </cfRule>
  </conditionalFormatting>
  <conditionalFormatting sqref="S13">
    <cfRule type="expression" priority="4580">
      <formula>IF(#REF!="Vertical/Ambient",80)</formula>
    </cfRule>
  </conditionalFormatting>
  <conditionalFormatting sqref="S15 S17">
    <cfRule type="expression" priority="4508">
      <formula>IF(#REF!="Vertical/Ambient",80)</formula>
    </cfRule>
  </conditionalFormatting>
  <conditionalFormatting sqref="S19">
    <cfRule type="expression" priority="4436">
      <formula>IF(#REF!="Vertical/Ambient",80)</formula>
    </cfRule>
  </conditionalFormatting>
  <conditionalFormatting sqref="S21">
    <cfRule type="expression" priority="4364">
      <formula>IF(#REF!="Vertical/Ambient",80)</formula>
    </cfRule>
  </conditionalFormatting>
  <conditionalFormatting sqref="S23">
    <cfRule type="expression" priority="4292">
      <formula>IF(#REF!="Vertical/Ambient",80)</formula>
    </cfRule>
  </conditionalFormatting>
  <conditionalFormatting sqref="S25">
    <cfRule type="expression" priority="4220">
      <formula>IF(#REF!="Vertical/Ambient",80)</formula>
    </cfRule>
  </conditionalFormatting>
  <conditionalFormatting sqref="S27">
    <cfRule type="expression" priority="4148">
      <formula>IF(#REF!="Vertical/Ambient",80)</formula>
    </cfRule>
  </conditionalFormatting>
  <conditionalFormatting sqref="S29">
    <cfRule type="expression" priority="4076">
      <formula>IF(#REF!="Vertical/Ambient",80)</formula>
    </cfRule>
  </conditionalFormatting>
  <conditionalFormatting sqref="S31">
    <cfRule type="expression" priority="4004">
      <formula>IF(#REF!="Vertical/Ambient",80)</formula>
    </cfRule>
  </conditionalFormatting>
  <conditionalFormatting sqref="S33">
    <cfRule type="expression" priority="3932">
      <formula>IF(#REF!="Vertical/Ambient",80)</formula>
    </cfRule>
  </conditionalFormatting>
  <conditionalFormatting sqref="S35">
    <cfRule type="expression" priority="3860">
      <formula>IF(#REF!="Vertical/Ambient",80)</formula>
    </cfRule>
  </conditionalFormatting>
  <conditionalFormatting sqref="S37">
    <cfRule type="expression" priority="3788">
      <formula>IF(#REF!="Vertical/Ambient",80)</formula>
    </cfRule>
  </conditionalFormatting>
  <conditionalFormatting sqref="S39">
    <cfRule type="expression" priority="3716">
      <formula>IF(#REF!="Vertical/Ambient",80)</formula>
    </cfRule>
  </conditionalFormatting>
  <conditionalFormatting sqref="S41">
    <cfRule type="expression" priority="3644">
      <formula>IF(#REF!="Vertical/Ambient",80)</formula>
    </cfRule>
  </conditionalFormatting>
  <conditionalFormatting sqref="S43">
    <cfRule type="expression" priority="3572">
      <formula>IF(#REF!="Vertical/Ambient",80)</formula>
    </cfRule>
  </conditionalFormatting>
  <conditionalFormatting sqref="S45">
    <cfRule type="expression" priority="3500">
      <formula>IF(#REF!="Vertical/Ambient",80)</formula>
    </cfRule>
  </conditionalFormatting>
  <conditionalFormatting sqref="S47">
    <cfRule type="expression" priority="3428">
      <formula>IF(#REF!="Vertical/Ambient",80)</formula>
    </cfRule>
  </conditionalFormatting>
  <conditionalFormatting sqref="S49">
    <cfRule type="expression" priority="3356">
      <formula>IF(#REF!="Vertical/Ambient",80)</formula>
    </cfRule>
  </conditionalFormatting>
  <conditionalFormatting sqref="S51">
    <cfRule type="expression" priority="3284">
      <formula>IF(#REF!="Vertical/Ambient",80)</formula>
    </cfRule>
  </conditionalFormatting>
  <conditionalFormatting sqref="S53">
    <cfRule type="expression" priority="3212">
      <formula>IF(#REF!="Vertical/Ambient",80)</formula>
    </cfRule>
  </conditionalFormatting>
  <conditionalFormatting sqref="S55">
    <cfRule type="expression" priority="3140">
      <formula>IF(#REF!="Vertical/Ambient",80)</formula>
    </cfRule>
  </conditionalFormatting>
  <conditionalFormatting sqref="S57">
    <cfRule type="expression" priority="3068">
      <formula>IF(#REF!="Vertical/Ambient",80)</formula>
    </cfRule>
  </conditionalFormatting>
  <conditionalFormatting sqref="S59 S61">
    <cfRule type="expression" priority="2996">
      <formula>IF(#REF!="Vertical/Ambient",80)</formula>
    </cfRule>
  </conditionalFormatting>
  <conditionalFormatting sqref="S63">
    <cfRule type="expression" priority="2924">
      <formula>IF(#REF!="Vertical/Ambient",80)</formula>
    </cfRule>
  </conditionalFormatting>
  <conditionalFormatting sqref="S65">
    <cfRule type="expression" priority="2852">
      <formula>IF(#REF!="Vertical/Ambient",80)</formula>
    </cfRule>
  </conditionalFormatting>
  <conditionalFormatting sqref="S67">
    <cfRule type="expression" priority="2780">
      <formula>IF(#REF!="Vertical/Ambient",80)</formula>
    </cfRule>
  </conditionalFormatting>
  <conditionalFormatting sqref="S69">
    <cfRule type="expression" priority="2708">
      <formula>IF(#REF!="Vertical/Ambient",80)</formula>
    </cfRule>
  </conditionalFormatting>
  <conditionalFormatting sqref="S71">
    <cfRule type="expression" priority="2636">
      <formula>IF(#REF!="Vertical/Ambient",80)</formula>
    </cfRule>
  </conditionalFormatting>
  <conditionalFormatting sqref="S73">
    <cfRule type="expression" priority="2564">
      <formula>IF(#REF!="Vertical/Ambient",80)</formula>
    </cfRule>
  </conditionalFormatting>
  <conditionalFormatting sqref="S75">
    <cfRule type="expression" priority="2492">
      <formula>IF(#REF!="Vertical/Ambient",80)</formula>
    </cfRule>
  </conditionalFormatting>
  <conditionalFormatting sqref="S77">
    <cfRule type="expression" priority="2420">
      <formula>IF(#REF!="Vertical/Ambient",80)</formula>
    </cfRule>
  </conditionalFormatting>
  <conditionalFormatting sqref="S79">
    <cfRule type="expression" priority="2348">
      <formula>IF(#REF!="Vertical/Ambient",80)</formula>
    </cfRule>
  </conditionalFormatting>
  <conditionalFormatting sqref="S81">
    <cfRule type="expression" priority="2276">
      <formula>IF(#REF!="Vertical/Ambient",80)</formula>
    </cfRule>
  </conditionalFormatting>
  <conditionalFormatting sqref="S83">
    <cfRule type="expression" priority="2204">
      <formula>IF(#REF!="Vertical/Ambient",80)</formula>
    </cfRule>
  </conditionalFormatting>
  <conditionalFormatting sqref="S85">
    <cfRule type="expression" priority="2132">
      <formula>IF(#REF!="Vertical/Ambient",80)</formula>
    </cfRule>
  </conditionalFormatting>
  <conditionalFormatting sqref="S87">
    <cfRule type="expression" priority="2060">
      <formula>IF(#REF!="Vertical/Ambient",80)</formula>
    </cfRule>
  </conditionalFormatting>
  <conditionalFormatting sqref="S89">
    <cfRule type="expression" priority="1988">
      <formula>IF(#REF!="Vertical/Ambient",80)</formula>
    </cfRule>
  </conditionalFormatting>
  <conditionalFormatting sqref="S91">
    <cfRule type="expression" priority="1916">
      <formula>IF(#REF!="Vertical/Ambient",80)</formula>
    </cfRule>
  </conditionalFormatting>
  <conditionalFormatting sqref="S93">
    <cfRule type="expression" priority="1844">
      <formula>IF(#REF!="Vertical/Ambient",80)</formula>
    </cfRule>
  </conditionalFormatting>
  <conditionalFormatting sqref="S95">
    <cfRule type="expression" priority="1772">
      <formula>IF(#REF!="Vertical/Ambient",80)</formula>
    </cfRule>
  </conditionalFormatting>
  <conditionalFormatting sqref="S97">
    <cfRule type="expression" priority="1700">
      <formula>IF(#REF!="Vertical/Ambient",80)</formula>
    </cfRule>
  </conditionalFormatting>
  <conditionalFormatting sqref="S99">
    <cfRule type="expression" priority="1628">
      <formula>IF(#REF!="Vertical/Ambient",80)</formula>
    </cfRule>
  </conditionalFormatting>
  <conditionalFormatting sqref="S101">
    <cfRule type="expression" priority="1556">
      <formula>IF(#REF!="Vertical/Ambient",80)</formula>
    </cfRule>
  </conditionalFormatting>
  <conditionalFormatting sqref="S103">
    <cfRule type="expression" priority="1484">
      <formula>IF(#REF!="Vertical/Ambient",80)</formula>
    </cfRule>
  </conditionalFormatting>
  <conditionalFormatting sqref="S105 S107">
    <cfRule type="expression" priority="1416">
      <formula>IF(#REF!="Vertical/Ambient",80)</formula>
    </cfRule>
  </conditionalFormatting>
  <conditionalFormatting sqref="S109">
    <cfRule type="expression" priority="1280">
      <formula>IF(#REF!="Vertical/Ambient",80)</formula>
    </cfRule>
  </conditionalFormatting>
  <conditionalFormatting sqref="S111">
    <cfRule type="expression" priority="1208">
      <formula>IF(#REF!="Vertical/Ambient",80)</formula>
    </cfRule>
  </conditionalFormatting>
  <conditionalFormatting sqref="S113">
    <cfRule type="expression" priority="1136">
      <formula>IF(#REF!="Vertical/Ambient",80)</formula>
    </cfRule>
  </conditionalFormatting>
  <conditionalFormatting sqref="S115">
    <cfRule type="expression" priority="1064">
      <formula>IF(#REF!="Vertical/Ambient",80)</formula>
    </cfRule>
  </conditionalFormatting>
  <conditionalFormatting sqref="S117">
    <cfRule type="expression" priority="992">
      <formula>IF(#REF!="Vertical/Ambient",80)</formula>
    </cfRule>
  </conditionalFormatting>
  <conditionalFormatting sqref="S119 S121 S123">
    <cfRule type="expression" priority="920">
      <formula>IF(#REF!="Vertical/Ambient",80)</formula>
    </cfRule>
  </conditionalFormatting>
  <conditionalFormatting sqref="S125 S127 S129">
    <cfRule type="expression" priority="732">
      <formula>IF(#REF!="Vertical/Ambient",80)</formula>
    </cfRule>
  </conditionalFormatting>
  <conditionalFormatting sqref="S131">
    <cfRule type="expression" priority="716">
      <formula>IF(#REF!="Vertical/Ambient",80)</formula>
    </cfRule>
  </conditionalFormatting>
  <conditionalFormatting sqref="S133">
    <cfRule type="expression" priority="464">
      <formula>IF(#REF!="Vertical/Ambient",80)</formula>
    </cfRule>
  </conditionalFormatting>
  <conditionalFormatting sqref="S135">
    <cfRule type="expression" priority="392">
      <formula>IF(#REF!="Vertical/Ambient",80)</formula>
    </cfRule>
  </conditionalFormatting>
  <conditionalFormatting sqref="S137 S139">
    <cfRule type="expression" priority="320">
      <formula>IF(#REF!="Vertical/Ambient",80)</formula>
    </cfRule>
  </conditionalFormatting>
  <conditionalFormatting sqref="S141">
    <cfRule type="expression" priority="72">
      <formula>IF(#REF!="Vertical/Ambient",80)</formula>
    </cfRule>
  </conditionalFormatting>
  <conditionalFormatting sqref="S8:V8">
    <cfRule type="expression" priority="5987">
      <formula>IF(#REF!="Vertical/Ambient",80)</formula>
    </cfRule>
  </conditionalFormatting>
  <conditionalFormatting sqref="T8">
    <cfRule type="expression" priority="5985">
      <formula>IF(#REF!="Vertical/Ambient",80)</formula>
    </cfRule>
  </conditionalFormatting>
  <conditionalFormatting sqref="U8:V8">
    <cfRule type="expression" priority="5986">
      <formula>IF(#REF!="Vertical/Ambient",80)</formula>
    </cfRule>
  </conditionalFormatting>
  <conditionalFormatting sqref="V8">
    <cfRule type="expression" priority="5988">
      <formula>IF(#REF!="Vertical/Ambient",80)</formula>
    </cfRule>
  </conditionalFormatting>
  <conditionalFormatting sqref="W8:BY8">
    <cfRule type="expression" priority="5917">
      <formula>IF(#REF!="Vertical/Ambient",80)</formula>
    </cfRule>
  </conditionalFormatting>
  <conditionalFormatting sqref="X9">
    <cfRule type="expression" priority="5978">
      <formula>IF(#REF!="Vertical/Ambient",80)</formula>
    </cfRule>
  </conditionalFormatting>
  <conditionalFormatting sqref="X11">
    <cfRule type="expression" priority="4646">
      <formula>IF(#REF!="Vertical/Ambient",80)</formula>
    </cfRule>
  </conditionalFormatting>
  <conditionalFormatting sqref="X13">
    <cfRule type="expression" priority="4574">
      <formula>IF(#REF!="Vertical/Ambient",80)</formula>
    </cfRule>
  </conditionalFormatting>
  <conditionalFormatting sqref="X15 X17">
    <cfRule type="expression" priority="4502">
      <formula>IF(#REF!="Vertical/Ambient",80)</formula>
    </cfRule>
  </conditionalFormatting>
  <conditionalFormatting sqref="X19">
    <cfRule type="expression" priority="4430">
      <formula>IF(#REF!="Vertical/Ambient",80)</formula>
    </cfRule>
  </conditionalFormatting>
  <conditionalFormatting sqref="X21">
    <cfRule type="expression" priority="4358">
      <formula>IF(#REF!="Vertical/Ambient",80)</formula>
    </cfRule>
  </conditionalFormatting>
  <conditionalFormatting sqref="X23">
    <cfRule type="expression" priority="4286">
      <formula>IF(#REF!="Vertical/Ambient",80)</formula>
    </cfRule>
  </conditionalFormatting>
  <conditionalFormatting sqref="X25">
    <cfRule type="expression" priority="4214">
      <formula>IF(#REF!="Vertical/Ambient",80)</formula>
    </cfRule>
  </conditionalFormatting>
  <conditionalFormatting sqref="X27">
    <cfRule type="expression" priority="4142">
      <formula>IF(#REF!="Vertical/Ambient",80)</formula>
    </cfRule>
  </conditionalFormatting>
  <conditionalFormatting sqref="X29">
    <cfRule type="expression" priority="4070">
      <formula>IF(#REF!="Vertical/Ambient",80)</formula>
    </cfRule>
  </conditionalFormatting>
  <conditionalFormatting sqref="X31">
    <cfRule type="expression" priority="3998">
      <formula>IF(#REF!="Vertical/Ambient",80)</formula>
    </cfRule>
  </conditionalFormatting>
  <conditionalFormatting sqref="X33">
    <cfRule type="expression" priority="3926">
      <formula>IF(#REF!="Vertical/Ambient",80)</formula>
    </cfRule>
  </conditionalFormatting>
  <conditionalFormatting sqref="X35">
    <cfRule type="expression" priority="3854">
      <formula>IF(#REF!="Vertical/Ambient",80)</formula>
    </cfRule>
  </conditionalFormatting>
  <conditionalFormatting sqref="X37">
    <cfRule type="expression" priority="3782">
      <formula>IF(#REF!="Vertical/Ambient",80)</formula>
    </cfRule>
  </conditionalFormatting>
  <conditionalFormatting sqref="X39">
    <cfRule type="expression" priority="3710">
      <formula>IF(#REF!="Vertical/Ambient",80)</formula>
    </cfRule>
  </conditionalFormatting>
  <conditionalFormatting sqref="X41">
    <cfRule type="expression" priority="3638">
      <formula>IF(#REF!="Vertical/Ambient",80)</formula>
    </cfRule>
  </conditionalFormatting>
  <conditionalFormatting sqref="X43">
    <cfRule type="expression" priority="3566">
      <formula>IF(#REF!="Vertical/Ambient",80)</formula>
    </cfRule>
  </conditionalFormatting>
  <conditionalFormatting sqref="X45">
    <cfRule type="expression" priority="3494">
      <formula>IF(#REF!="Vertical/Ambient",80)</formula>
    </cfRule>
  </conditionalFormatting>
  <conditionalFormatting sqref="X47">
    <cfRule type="expression" priority="3422">
      <formula>IF(#REF!="Vertical/Ambient",80)</formula>
    </cfRule>
  </conditionalFormatting>
  <conditionalFormatting sqref="X49">
    <cfRule type="expression" priority="3350">
      <formula>IF(#REF!="Vertical/Ambient",80)</formula>
    </cfRule>
  </conditionalFormatting>
  <conditionalFormatting sqref="X51">
    <cfRule type="expression" priority="3278">
      <formula>IF(#REF!="Vertical/Ambient",80)</formula>
    </cfRule>
  </conditionalFormatting>
  <conditionalFormatting sqref="X53">
    <cfRule type="expression" priority="3206">
      <formula>IF(#REF!="Vertical/Ambient",80)</formula>
    </cfRule>
  </conditionalFormatting>
  <conditionalFormatting sqref="X55">
    <cfRule type="expression" priority="3134">
      <formula>IF(#REF!="Vertical/Ambient",80)</formula>
    </cfRule>
  </conditionalFormatting>
  <conditionalFormatting sqref="X57">
    <cfRule type="expression" priority="3062">
      <formula>IF(#REF!="Vertical/Ambient",80)</formula>
    </cfRule>
  </conditionalFormatting>
  <conditionalFormatting sqref="X59 X61">
    <cfRule type="expression" priority="2990">
      <formula>IF(#REF!="Vertical/Ambient",80)</formula>
    </cfRule>
  </conditionalFormatting>
  <conditionalFormatting sqref="X63">
    <cfRule type="expression" priority="2918">
      <formula>IF(#REF!="Vertical/Ambient",80)</formula>
    </cfRule>
  </conditionalFormatting>
  <conditionalFormatting sqref="X65">
    <cfRule type="expression" priority="2846">
      <formula>IF(#REF!="Vertical/Ambient",80)</formula>
    </cfRule>
  </conditionalFormatting>
  <conditionalFormatting sqref="X67">
    <cfRule type="expression" priority="2774">
      <formula>IF(#REF!="Vertical/Ambient",80)</formula>
    </cfRule>
  </conditionalFormatting>
  <conditionalFormatting sqref="X69">
    <cfRule type="expression" priority="2702">
      <formula>IF(#REF!="Vertical/Ambient",80)</formula>
    </cfRule>
  </conditionalFormatting>
  <conditionalFormatting sqref="X71">
    <cfRule type="expression" priority="2630">
      <formula>IF(#REF!="Vertical/Ambient",80)</formula>
    </cfRule>
  </conditionalFormatting>
  <conditionalFormatting sqref="X73">
    <cfRule type="expression" priority="2558">
      <formula>IF(#REF!="Vertical/Ambient",80)</formula>
    </cfRule>
  </conditionalFormatting>
  <conditionalFormatting sqref="X75">
    <cfRule type="expression" priority="2486">
      <formula>IF(#REF!="Vertical/Ambient",80)</formula>
    </cfRule>
  </conditionalFormatting>
  <conditionalFormatting sqref="X77">
    <cfRule type="expression" priority="2414">
      <formula>IF(#REF!="Vertical/Ambient",80)</formula>
    </cfRule>
  </conditionalFormatting>
  <conditionalFormatting sqref="X79">
    <cfRule type="expression" priority="2342">
      <formula>IF(#REF!="Vertical/Ambient",80)</formula>
    </cfRule>
  </conditionalFormatting>
  <conditionalFormatting sqref="X81">
    <cfRule type="expression" priority="2270">
      <formula>IF(#REF!="Vertical/Ambient",80)</formula>
    </cfRule>
  </conditionalFormatting>
  <conditionalFormatting sqref="X83">
    <cfRule type="expression" priority="2198">
      <formula>IF(#REF!="Vertical/Ambient",80)</formula>
    </cfRule>
  </conditionalFormatting>
  <conditionalFormatting sqref="X85">
    <cfRule type="expression" priority="2126">
      <formula>IF(#REF!="Vertical/Ambient",80)</formula>
    </cfRule>
  </conditionalFormatting>
  <conditionalFormatting sqref="X87">
    <cfRule type="expression" priority="2054">
      <formula>IF(#REF!="Vertical/Ambient",80)</formula>
    </cfRule>
  </conditionalFormatting>
  <conditionalFormatting sqref="X89">
    <cfRule type="expression" priority="1982">
      <formula>IF(#REF!="Vertical/Ambient",80)</formula>
    </cfRule>
  </conditionalFormatting>
  <conditionalFormatting sqref="X91">
    <cfRule type="expression" priority="1910">
      <formula>IF(#REF!="Vertical/Ambient",80)</formula>
    </cfRule>
  </conditionalFormatting>
  <conditionalFormatting sqref="X93">
    <cfRule type="expression" priority="1838">
      <formula>IF(#REF!="Vertical/Ambient",80)</formula>
    </cfRule>
  </conditionalFormatting>
  <conditionalFormatting sqref="X95">
    <cfRule type="expression" priority="1766">
      <formula>IF(#REF!="Vertical/Ambient",80)</formula>
    </cfRule>
  </conditionalFormatting>
  <conditionalFormatting sqref="X97">
    <cfRule type="expression" priority="1694">
      <formula>IF(#REF!="Vertical/Ambient",80)</formula>
    </cfRule>
  </conditionalFormatting>
  <conditionalFormatting sqref="X99">
    <cfRule type="expression" priority="1622">
      <formula>IF(#REF!="Vertical/Ambient",80)</formula>
    </cfRule>
  </conditionalFormatting>
  <conditionalFormatting sqref="X101">
    <cfRule type="expression" priority="1550">
      <formula>IF(#REF!="Vertical/Ambient",80)</formula>
    </cfRule>
  </conditionalFormatting>
  <conditionalFormatting sqref="X103">
    <cfRule type="expression" priority="1478">
      <formula>IF(#REF!="Vertical/Ambient",80)</formula>
    </cfRule>
  </conditionalFormatting>
  <conditionalFormatting sqref="X105 X107">
    <cfRule type="expression" priority="1415">
      <formula>IF(#REF!="Vertical/Ambient",80)</formula>
    </cfRule>
  </conditionalFormatting>
  <conditionalFormatting sqref="X109">
    <cfRule type="expression" priority="1274">
      <formula>IF(#REF!="Vertical/Ambient",80)</formula>
    </cfRule>
  </conditionalFormatting>
  <conditionalFormatting sqref="X111">
    <cfRule type="expression" priority="1202">
      <formula>IF(#REF!="Vertical/Ambient",80)</formula>
    </cfRule>
  </conditionalFormatting>
  <conditionalFormatting sqref="X113">
    <cfRule type="expression" priority="1130">
      <formula>IF(#REF!="Vertical/Ambient",80)</formula>
    </cfRule>
  </conditionalFormatting>
  <conditionalFormatting sqref="X115">
    <cfRule type="expression" priority="1058">
      <formula>IF(#REF!="Vertical/Ambient",80)</formula>
    </cfRule>
  </conditionalFormatting>
  <conditionalFormatting sqref="X117">
    <cfRule type="expression" priority="986">
      <formula>IF(#REF!="Vertical/Ambient",80)</formula>
    </cfRule>
  </conditionalFormatting>
  <conditionalFormatting sqref="X119 X121 X123">
    <cfRule type="expression" priority="914">
      <formula>IF(#REF!="Vertical/Ambient",80)</formula>
    </cfRule>
  </conditionalFormatting>
  <conditionalFormatting sqref="X125 X127 X129">
    <cfRule type="expression" priority="731">
      <formula>IF(#REF!="Vertical/Ambient",80)</formula>
    </cfRule>
  </conditionalFormatting>
  <conditionalFormatting sqref="X131">
    <cfRule type="expression" priority="710">
      <formula>IF(#REF!="Vertical/Ambient",80)</formula>
    </cfRule>
  </conditionalFormatting>
  <conditionalFormatting sqref="X133">
    <cfRule type="expression" priority="458">
      <formula>IF(#REF!="Vertical/Ambient",80)</formula>
    </cfRule>
  </conditionalFormatting>
  <conditionalFormatting sqref="X135">
    <cfRule type="expression" priority="386">
      <formula>IF(#REF!="Vertical/Ambient",80)</formula>
    </cfRule>
  </conditionalFormatting>
  <conditionalFormatting sqref="X137 X139">
    <cfRule type="expression" priority="314">
      <formula>IF(#REF!="Vertical/Ambient",80)</formula>
    </cfRule>
  </conditionalFormatting>
  <conditionalFormatting sqref="X141">
    <cfRule type="expression" priority="71">
      <formula>IF(#REF!="Vertical/Ambient",80)</formula>
    </cfRule>
  </conditionalFormatting>
  <conditionalFormatting sqref="AC9">
    <cfRule type="expression" priority="5972">
      <formula>IF(#REF!="Vertical/Ambient",80)</formula>
    </cfRule>
  </conditionalFormatting>
  <conditionalFormatting sqref="AC11">
    <cfRule type="expression" priority="4640">
      <formula>IF(#REF!="Vertical/Ambient",80)</formula>
    </cfRule>
  </conditionalFormatting>
  <conditionalFormatting sqref="AC13">
    <cfRule type="expression" priority="4568">
      <formula>IF(#REF!="Vertical/Ambient",80)</formula>
    </cfRule>
  </conditionalFormatting>
  <conditionalFormatting sqref="AC15 AC17">
    <cfRule type="expression" priority="4496">
      <formula>IF(#REF!="Vertical/Ambient",80)</formula>
    </cfRule>
  </conditionalFormatting>
  <conditionalFormatting sqref="AC19">
    <cfRule type="expression" priority="4424">
      <formula>IF(#REF!="Vertical/Ambient",80)</formula>
    </cfRule>
  </conditionalFormatting>
  <conditionalFormatting sqref="AC21">
    <cfRule type="expression" priority="4352">
      <formula>IF(#REF!="Vertical/Ambient",80)</formula>
    </cfRule>
  </conditionalFormatting>
  <conditionalFormatting sqref="AC23">
    <cfRule type="expression" priority="4280">
      <formula>IF(#REF!="Vertical/Ambient",80)</formula>
    </cfRule>
  </conditionalFormatting>
  <conditionalFormatting sqref="AC25">
    <cfRule type="expression" priority="4208">
      <formula>IF(#REF!="Vertical/Ambient",80)</formula>
    </cfRule>
  </conditionalFormatting>
  <conditionalFormatting sqref="AC27">
    <cfRule type="expression" priority="4136">
      <formula>IF(#REF!="Vertical/Ambient",80)</formula>
    </cfRule>
  </conditionalFormatting>
  <conditionalFormatting sqref="AC29">
    <cfRule type="expression" priority="4064">
      <formula>IF(#REF!="Vertical/Ambient",80)</formula>
    </cfRule>
  </conditionalFormatting>
  <conditionalFormatting sqref="AC31">
    <cfRule type="expression" priority="3992">
      <formula>IF(#REF!="Vertical/Ambient",80)</formula>
    </cfRule>
  </conditionalFormatting>
  <conditionalFormatting sqref="AC33">
    <cfRule type="expression" priority="3920">
      <formula>IF(#REF!="Vertical/Ambient",80)</formula>
    </cfRule>
  </conditionalFormatting>
  <conditionalFormatting sqref="AC35">
    <cfRule type="expression" priority="3848">
      <formula>IF(#REF!="Vertical/Ambient",80)</formula>
    </cfRule>
  </conditionalFormatting>
  <conditionalFormatting sqref="AC37">
    <cfRule type="expression" priority="3776">
      <formula>IF(#REF!="Vertical/Ambient",80)</formula>
    </cfRule>
  </conditionalFormatting>
  <conditionalFormatting sqref="AC39">
    <cfRule type="expression" priority="3704">
      <formula>IF(#REF!="Vertical/Ambient",80)</formula>
    </cfRule>
  </conditionalFormatting>
  <conditionalFormatting sqref="AC41">
    <cfRule type="expression" priority="3632">
      <formula>IF(#REF!="Vertical/Ambient",80)</formula>
    </cfRule>
  </conditionalFormatting>
  <conditionalFormatting sqref="AC43">
    <cfRule type="expression" priority="3560">
      <formula>IF(#REF!="Vertical/Ambient",80)</formula>
    </cfRule>
  </conditionalFormatting>
  <conditionalFormatting sqref="AC45">
    <cfRule type="expression" priority="3488">
      <formula>IF(#REF!="Vertical/Ambient",80)</formula>
    </cfRule>
  </conditionalFormatting>
  <conditionalFormatting sqref="AC47">
    <cfRule type="expression" priority="3416">
      <formula>IF(#REF!="Vertical/Ambient",80)</formula>
    </cfRule>
  </conditionalFormatting>
  <conditionalFormatting sqref="AC49">
    <cfRule type="expression" priority="3344">
      <formula>IF(#REF!="Vertical/Ambient",80)</formula>
    </cfRule>
  </conditionalFormatting>
  <conditionalFormatting sqref="AC51">
    <cfRule type="expression" priority="3272">
      <formula>IF(#REF!="Vertical/Ambient",80)</formula>
    </cfRule>
  </conditionalFormatting>
  <conditionalFormatting sqref="AC53">
    <cfRule type="expression" priority="3200">
      <formula>IF(#REF!="Vertical/Ambient",80)</formula>
    </cfRule>
  </conditionalFormatting>
  <conditionalFormatting sqref="AC55">
    <cfRule type="expression" priority="3128">
      <formula>IF(#REF!="Vertical/Ambient",80)</formula>
    </cfRule>
  </conditionalFormatting>
  <conditionalFormatting sqref="AC57">
    <cfRule type="expression" priority="3056">
      <formula>IF(#REF!="Vertical/Ambient",80)</formula>
    </cfRule>
  </conditionalFormatting>
  <conditionalFormatting sqref="AC59 AC61">
    <cfRule type="expression" priority="2984">
      <formula>IF(#REF!="Vertical/Ambient",80)</formula>
    </cfRule>
  </conditionalFormatting>
  <conditionalFormatting sqref="AC63">
    <cfRule type="expression" priority="2912">
      <formula>IF(#REF!="Vertical/Ambient",80)</formula>
    </cfRule>
  </conditionalFormatting>
  <conditionalFormatting sqref="AC65">
    <cfRule type="expression" priority="2840">
      <formula>IF(#REF!="Vertical/Ambient",80)</formula>
    </cfRule>
  </conditionalFormatting>
  <conditionalFormatting sqref="AC67">
    <cfRule type="expression" priority="2768">
      <formula>IF(#REF!="Vertical/Ambient",80)</formula>
    </cfRule>
  </conditionalFormatting>
  <conditionalFormatting sqref="AC69">
    <cfRule type="expression" priority="2696">
      <formula>IF(#REF!="Vertical/Ambient",80)</formula>
    </cfRule>
  </conditionalFormatting>
  <conditionalFormatting sqref="AC71">
    <cfRule type="expression" priority="2624">
      <formula>IF(#REF!="Vertical/Ambient",80)</formula>
    </cfRule>
  </conditionalFormatting>
  <conditionalFormatting sqref="AC73">
    <cfRule type="expression" priority="2552">
      <formula>IF(#REF!="Vertical/Ambient",80)</formula>
    </cfRule>
  </conditionalFormatting>
  <conditionalFormatting sqref="AC75">
    <cfRule type="expression" priority="2480">
      <formula>IF(#REF!="Vertical/Ambient",80)</formula>
    </cfRule>
  </conditionalFormatting>
  <conditionalFormatting sqref="AC77">
    <cfRule type="expression" priority="2408">
      <formula>IF(#REF!="Vertical/Ambient",80)</formula>
    </cfRule>
  </conditionalFormatting>
  <conditionalFormatting sqref="AC79">
    <cfRule type="expression" priority="2336">
      <formula>IF(#REF!="Vertical/Ambient",80)</formula>
    </cfRule>
  </conditionalFormatting>
  <conditionalFormatting sqref="AC81">
    <cfRule type="expression" priority="2264">
      <formula>IF(#REF!="Vertical/Ambient",80)</formula>
    </cfRule>
  </conditionalFormatting>
  <conditionalFormatting sqref="AC83">
    <cfRule type="expression" priority="2192">
      <formula>IF(#REF!="Vertical/Ambient",80)</formula>
    </cfRule>
  </conditionalFormatting>
  <conditionalFormatting sqref="AC85">
    <cfRule type="expression" priority="2120">
      <formula>IF(#REF!="Vertical/Ambient",80)</formula>
    </cfRule>
  </conditionalFormatting>
  <conditionalFormatting sqref="AC87">
    <cfRule type="expression" priority="2048">
      <formula>IF(#REF!="Vertical/Ambient",80)</formula>
    </cfRule>
  </conditionalFormatting>
  <conditionalFormatting sqref="AC89">
    <cfRule type="expression" priority="1976">
      <formula>IF(#REF!="Vertical/Ambient",80)</formula>
    </cfRule>
  </conditionalFormatting>
  <conditionalFormatting sqref="AC91">
    <cfRule type="expression" priority="1904">
      <formula>IF(#REF!="Vertical/Ambient",80)</formula>
    </cfRule>
  </conditionalFormatting>
  <conditionalFormatting sqref="AC93">
    <cfRule type="expression" priority="1832">
      <formula>IF(#REF!="Vertical/Ambient",80)</formula>
    </cfRule>
  </conditionalFormatting>
  <conditionalFormatting sqref="AC95">
    <cfRule type="expression" priority="1760">
      <formula>IF(#REF!="Vertical/Ambient",80)</formula>
    </cfRule>
  </conditionalFormatting>
  <conditionalFormatting sqref="AC97">
    <cfRule type="expression" priority="1688">
      <formula>IF(#REF!="Vertical/Ambient",80)</formula>
    </cfRule>
  </conditionalFormatting>
  <conditionalFormatting sqref="AC99">
    <cfRule type="expression" priority="1616">
      <formula>IF(#REF!="Vertical/Ambient",80)</formula>
    </cfRule>
  </conditionalFormatting>
  <conditionalFormatting sqref="AC101">
    <cfRule type="expression" priority="1544">
      <formula>IF(#REF!="Vertical/Ambient",80)</formula>
    </cfRule>
  </conditionalFormatting>
  <conditionalFormatting sqref="AC103">
    <cfRule type="expression" priority="1472">
      <formula>IF(#REF!="Vertical/Ambient",80)</formula>
    </cfRule>
  </conditionalFormatting>
  <conditionalFormatting sqref="AC105 AC107">
    <cfRule type="expression" priority="1414">
      <formula>IF(#REF!="Vertical/Ambient",80)</formula>
    </cfRule>
  </conditionalFormatting>
  <conditionalFormatting sqref="AC109">
    <cfRule type="expression" priority="1268">
      <formula>IF(#REF!="Vertical/Ambient",80)</formula>
    </cfRule>
  </conditionalFormatting>
  <conditionalFormatting sqref="AC111">
    <cfRule type="expression" priority="1196">
      <formula>IF(#REF!="Vertical/Ambient",80)</formula>
    </cfRule>
  </conditionalFormatting>
  <conditionalFormatting sqref="AC113">
    <cfRule type="expression" priority="1124">
      <formula>IF(#REF!="Vertical/Ambient",80)</formula>
    </cfRule>
  </conditionalFormatting>
  <conditionalFormatting sqref="AC115">
    <cfRule type="expression" priority="1052">
      <formula>IF(#REF!="Vertical/Ambient",80)</formula>
    </cfRule>
  </conditionalFormatting>
  <conditionalFormatting sqref="AC117">
    <cfRule type="expression" priority="980">
      <formula>IF(#REF!="Vertical/Ambient",80)</formula>
    </cfRule>
  </conditionalFormatting>
  <conditionalFormatting sqref="AC119 AC121 AC123">
    <cfRule type="expression" priority="908">
      <formula>IF(#REF!="Vertical/Ambient",80)</formula>
    </cfRule>
  </conditionalFormatting>
  <conditionalFormatting sqref="AC125 AC127 AC129">
    <cfRule type="expression" priority="730">
      <formula>IF(#REF!="Vertical/Ambient",80)</formula>
    </cfRule>
  </conditionalFormatting>
  <conditionalFormatting sqref="AC131">
    <cfRule type="expression" priority="704">
      <formula>IF(#REF!="Vertical/Ambient",80)</formula>
    </cfRule>
  </conditionalFormatting>
  <conditionalFormatting sqref="AC133">
    <cfRule type="expression" priority="452">
      <formula>IF(#REF!="Vertical/Ambient",80)</formula>
    </cfRule>
  </conditionalFormatting>
  <conditionalFormatting sqref="AC135">
    <cfRule type="expression" priority="380">
      <formula>IF(#REF!="Vertical/Ambient",80)</formula>
    </cfRule>
  </conditionalFormatting>
  <conditionalFormatting sqref="AC137 AC139">
    <cfRule type="expression" priority="308">
      <formula>IF(#REF!="Vertical/Ambient",80)</formula>
    </cfRule>
  </conditionalFormatting>
  <conditionalFormatting sqref="AC141">
    <cfRule type="expression" priority="70">
      <formula>IF(#REF!="Vertical/Ambient",80)</formula>
    </cfRule>
  </conditionalFormatting>
  <conditionalFormatting sqref="AH9">
    <cfRule type="expression" priority="5966">
      <formula>IF(#REF!="Vertical/Ambient",80)</formula>
    </cfRule>
  </conditionalFormatting>
  <conditionalFormatting sqref="AH11">
    <cfRule type="expression" priority="4634">
      <formula>IF(#REF!="Vertical/Ambient",80)</formula>
    </cfRule>
  </conditionalFormatting>
  <conditionalFormatting sqref="AH13">
    <cfRule type="expression" priority="4562">
      <formula>IF(#REF!="Vertical/Ambient",80)</formula>
    </cfRule>
  </conditionalFormatting>
  <conditionalFormatting sqref="AH15 AH17">
    <cfRule type="expression" priority="4490">
      <formula>IF(#REF!="Vertical/Ambient",80)</formula>
    </cfRule>
  </conditionalFormatting>
  <conditionalFormatting sqref="AH19">
    <cfRule type="expression" priority="4418">
      <formula>IF(#REF!="Vertical/Ambient",80)</formula>
    </cfRule>
  </conditionalFormatting>
  <conditionalFormatting sqref="AH21">
    <cfRule type="expression" priority="4346">
      <formula>IF(#REF!="Vertical/Ambient",80)</formula>
    </cfRule>
  </conditionalFormatting>
  <conditionalFormatting sqref="AH23">
    <cfRule type="expression" priority="4274">
      <formula>IF(#REF!="Vertical/Ambient",80)</formula>
    </cfRule>
  </conditionalFormatting>
  <conditionalFormatting sqref="AH25">
    <cfRule type="expression" priority="4202">
      <formula>IF(#REF!="Vertical/Ambient",80)</formula>
    </cfRule>
  </conditionalFormatting>
  <conditionalFormatting sqref="AH27">
    <cfRule type="expression" priority="4130">
      <formula>IF(#REF!="Vertical/Ambient",80)</formula>
    </cfRule>
  </conditionalFormatting>
  <conditionalFormatting sqref="AH29">
    <cfRule type="expression" priority="4058">
      <formula>IF(#REF!="Vertical/Ambient",80)</formula>
    </cfRule>
  </conditionalFormatting>
  <conditionalFormatting sqref="AH31">
    <cfRule type="expression" priority="3986">
      <formula>IF(#REF!="Vertical/Ambient",80)</formula>
    </cfRule>
  </conditionalFormatting>
  <conditionalFormatting sqref="AH33">
    <cfRule type="expression" priority="3914">
      <formula>IF(#REF!="Vertical/Ambient",80)</formula>
    </cfRule>
  </conditionalFormatting>
  <conditionalFormatting sqref="AH35">
    <cfRule type="expression" priority="3842">
      <formula>IF(#REF!="Vertical/Ambient",80)</formula>
    </cfRule>
  </conditionalFormatting>
  <conditionalFormatting sqref="AH37">
    <cfRule type="expression" priority="3770">
      <formula>IF(#REF!="Vertical/Ambient",80)</formula>
    </cfRule>
  </conditionalFormatting>
  <conditionalFormatting sqref="AH39">
    <cfRule type="expression" priority="3698">
      <formula>IF(#REF!="Vertical/Ambient",80)</formula>
    </cfRule>
  </conditionalFormatting>
  <conditionalFormatting sqref="AH41">
    <cfRule type="expression" priority="3626">
      <formula>IF(#REF!="Vertical/Ambient",80)</formula>
    </cfRule>
  </conditionalFormatting>
  <conditionalFormatting sqref="AH43">
    <cfRule type="expression" priority="3554">
      <formula>IF(#REF!="Vertical/Ambient",80)</formula>
    </cfRule>
  </conditionalFormatting>
  <conditionalFormatting sqref="AH45">
    <cfRule type="expression" priority="3482">
      <formula>IF(#REF!="Vertical/Ambient",80)</formula>
    </cfRule>
  </conditionalFormatting>
  <conditionalFormatting sqref="AH47">
    <cfRule type="expression" priority="3410">
      <formula>IF(#REF!="Vertical/Ambient",80)</formula>
    </cfRule>
  </conditionalFormatting>
  <conditionalFormatting sqref="AH49">
    <cfRule type="expression" priority="3338">
      <formula>IF(#REF!="Vertical/Ambient",80)</formula>
    </cfRule>
  </conditionalFormatting>
  <conditionalFormatting sqref="AH51">
    <cfRule type="expression" priority="3266">
      <formula>IF(#REF!="Vertical/Ambient",80)</formula>
    </cfRule>
  </conditionalFormatting>
  <conditionalFormatting sqref="AH53">
    <cfRule type="expression" priority="3194">
      <formula>IF(#REF!="Vertical/Ambient",80)</formula>
    </cfRule>
  </conditionalFormatting>
  <conditionalFormatting sqref="AH55">
    <cfRule type="expression" priority="3122">
      <formula>IF(#REF!="Vertical/Ambient",80)</formula>
    </cfRule>
  </conditionalFormatting>
  <conditionalFormatting sqref="AH57">
    <cfRule type="expression" priority="3050">
      <formula>IF(#REF!="Vertical/Ambient",80)</formula>
    </cfRule>
  </conditionalFormatting>
  <conditionalFormatting sqref="AH59 AH61">
    <cfRule type="expression" priority="2978">
      <formula>IF(#REF!="Vertical/Ambient",80)</formula>
    </cfRule>
  </conditionalFormatting>
  <conditionalFormatting sqref="AH63">
    <cfRule type="expression" priority="2906">
      <formula>IF(#REF!="Vertical/Ambient",80)</formula>
    </cfRule>
  </conditionalFormatting>
  <conditionalFormatting sqref="AH65">
    <cfRule type="expression" priority="2834">
      <formula>IF(#REF!="Vertical/Ambient",80)</formula>
    </cfRule>
  </conditionalFormatting>
  <conditionalFormatting sqref="AH67">
    <cfRule type="expression" priority="2762">
      <formula>IF(#REF!="Vertical/Ambient",80)</formula>
    </cfRule>
  </conditionalFormatting>
  <conditionalFormatting sqref="AH69">
    <cfRule type="expression" priority="2690">
      <formula>IF(#REF!="Vertical/Ambient",80)</formula>
    </cfRule>
  </conditionalFormatting>
  <conditionalFormatting sqref="AH71">
    <cfRule type="expression" priority="2618">
      <formula>IF(#REF!="Vertical/Ambient",80)</formula>
    </cfRule>
  </conditionalFormatting>
  <conditionalFormatting sqref="AH73">
    <cfRule type="expression" priority="2546">
      <formula>IF(#REF!="Vertical/Ambient",80)</formula>
    </cfRule>
  </conditionalFormatting>
  <conditionalFormatting sqref="AH75">
    <cfRule type="expression" priority="2474">
      <formula>IF(#REF!="Vertical/Ambient",80)</formula>
    </cfRule>
  </conditionalFormatting>
  <conditionalFormatting sqref="AH77">
    <cfRule type="expression" priority="2402">
      <formula>IF(#REF!="Vertical/Ambient",80)</formula>
    </cfRule>
  </conditionalFormatting>
  <conditionalFormatting sqref="AH79">
    <cfRule type="expression" priority="2330">
      <formula>IF(#REF!="Vertical/Ambient",80)</formula>
    </cfRule>
  </conditionalFormatting>
  <conditionalFormatting sqref="AH81">
    <cfRule type="expression" priority="2258">
      <formula>IF(#REF!="Vertical/Ambient",80)</formula>
    </cfRule>
  </conditionalFormatting>
  <conditionalFormatting sqref="AH83">
    <cfRule type="expression" priority="2186">
      <formula>IF(#REF!="Vertical/Ambient",80)</formula>
    </cfRule>
  </conditionalFormatting>
  <conditionalFormatting sqref="AH85">
    <cfRule type="expression" priority="2114">
      <formula>IF(#REF!="Vertical/Ambient",80)</formula>
    </cfRule>
  </conditionalFormatting>
  <conditionalFormatting sqref="AH87">
    <cfRule type="expression" priority="2042">
      <formula>IF(#REF!="Vertical/Ambient",80)</formula>
    </cfRule>
  </conditionalFormatting>
  <conditionalFormatting sqref="AH89">
    <cfRule type="expression" priority="1970">
      <formula>IF(#REF!="Vertical/Ambient",80)</formula>
    </cfRule>
  </conditionalFormatting>
  <conditionalFormatting sqref="AH91">
    <cfRule type="expression" priority="1898">
      <formula>IF(#REF!="Vertical/Ambient",80)</formula>
    </cfRule>
  </conditionalFormatting>
  <conditionalFormatting sqref="AH93">
    <cfRule type="expression" priority="1826">
      <formula>IF(#REF!="Vertical/Ambient",80)</formula>
    </cfRule>
  </conditionalFormatting>
  <conditionalFormatting sqref="AH95">
    <cfRule type="expression" priority="1754">
      <formula>IF(#REF!="Vertical/Ambient",80)</formula>
    </cfRule>
  </conditionalFormatting>
  <conditionalFormatting sqref="AH97">
    <cfRule type="expression" priority="1682">
      <formula>IF(#REF!="Vertical/Ambient",80)</formula>
    </cfRule>
  </conditionalFormatting>
  <conditionalFormatting sqref="AH99">
    <cfRule type="expression" priority="1610">
      <formula>IF(#REF!="Vertical/Ambient",80)</formula>
    </cfRule>
  </conditionalFormatting>
  <conditionalFormatting sqref="AH101">
    <cfRule type="expression" priority="1538">
      <formula>IF(#REF!="Vertical/Ambient",80)</formula>
    </cfRule>
  </conditionalFormatting>
  <conditionalFormatting sqref="AH103">
    <cfRule type="expression" priority="1466">
      <formula>IF(#REF!="Vertical/Ambient",80)</formula>
    </cfRule>
  </conditionalFormatting>
  <conditionalFormatting sqref="AH105 AH107">
    <cfRule type="expression" priority="1413">
      <formula>IF(#REF!="Vertical/Ambient",80)</formula>
    </cfRule>
  </conditionalFormatting>
  <conditionalFormatting sqref="AH109">
    <cfRule type="expression" priority="1262">
      <formula>IF(#REF!="Vertical/Ambient",80)</formula>
    </cfRule>
  </conditionalFormatting>
  <conditionalFormatting sqref="AH111">
    <cfRule type="expression" priority="1190">
      <formula>IF(#REF!="Vertical/Ambient",80)</formula>
    </cfRule>
  </conditionalFormatting>
  <conditionalFormatting sqref="AH113">
    <cfRule type="expression" priority="1118">
      <formula>IF(#REF!="Vertical/Ambient",80)</formula>
    </cfRule>
  </conditionalFormatting>
  <conditionalFormatting sqref="AH115">
    <cfRule type="expression" priority="1046">
      <formula>IF(#REF!="Vertical/Ambient",80)</formula>
    </cfRule>
  </conditionalFormatting>
  <conditionalFormatting sqref="AH117">
    <cfRule type="expression" priority="974">
      <formula>IF(#REF!="Vertical/Ambient",80)</formula>
    </cfRule>
  </conditionalFormatting>
  <conditionalFormatting sqref="AH119 AH121 AH123">
    <cfRule type="expression" priority="902">
      <formula>IF(#REF!="Vertical/Ambient",80)</formula>
    </cfRule>
  </conditionalFormatting>
  <conditionalFormatting sqref="AH125 AH127 AH129">
    <cfRule type="expression" priority="729">
      <formula>IF(#REF!="Vertical/Ambient",80)</formula>
    </cfRule>
  </conditionalFormatting>
  <conditionalFormatting sqref="AH131">
    <cfRule type="expression" priority="698">
      <formula>IF(#REF!="Vertical/Ambient",80)</formula>
    </cfRule>
  </conditionalFormatting>
  <conditionalFormatting sqref="AH133">
    <cfRule type="expression" priority="446">
      <formula>IF(#REF!="Vertical/Ambient",80)</formula>
    </cfRule>
  </conditionalFormatting>
  <conditionalFormatting sqref="AH135">
    <cfRule type="expression" priority="374">
      <formula>IF(#REF!="Vertical/Ambient",80)</formula>
    </cfRule>
  </conditionalFormatting>
  <conditionalFormatting sqref="AH137 AH139">
    <cfRule type="expression" priority="302">
      <formula>IF(#REF!="Vertical/Ambient",80)</formula>
    </cfRule>
  </conditionalFormatting>
  <conditionalFormatting sqref="AH141">
    <cfRule type="expression" priority="69">
      <formula>IF(#REF!="Vertical/Ambient",80)</formula>
    </cfRule>
  </conditionalFormatting>
  <conditionalFormatting sqref="AM9">
    <cfRule type="expression" priority="5960">
      <formula>IF(#REF!="Vertical/Ambient",80)</formula>
    </cfRule>
  </conditionalFormatting>
  <conditionalFormatting sqref="AM11">
    <cfRule type="expression" priority="4628">
      <formula>IF(#REF!="Vertical/Ambient",80)</formula>
    </cfRule>
  </conditionalFormatting>
  <conditionalFormatting sqref="AM13">
    <cfRule type="expression" priority="4556">
      <formula>IF(#REF!="Vertical/Ambient",80)</formula>
    </cfRule>
  </conditionalFormatting>
  <conditionalFormatting sqref="AM15 AM17">
    <cfRule type="expression" priority="4484">
      <formula>IF(#REF!="Vertical/Ambient",80)</formula>
    </cfRule>
  </conditionalFormatting>
  <conditionalFormatting sqref="AM19">
    <cfRule type="expression" priority="4412">
      <formula>IF(#REF!="Vertical/Ambient",80)</formula>
    </cfRule>
  </conditionalFormatting>
  <conditionalFormatting sqref="AM21">
    <cfRule type="expression" priority="4340">
      <formula>IF(#REF!="Vertical/Ambient",80)</formula>
    </cfRule>
  </conditionalFormatting>
  <conditionalFormatting sqref="AM23">
    <cfRule type="expression" priority="4268">
      <formula>IF(#REF!="Vertical/Ambient",80)</formula>
    </cfRule>
  </conditionalFormatting>
  <conditionalFormatting sqref="AM25">
    <cfRule type="expression" priority="4196">
      <formula>IF(#REF!="Vertical/Ambient",80)</formula>
    </cfRule>
  </conditionalFormatting>
  <conditionalFormatting sqref="AM27">
    <cfRule type="expression" priority="4124">
      <formula>IF(#REF!="Vertical/Ambient",80)</formula>
    </cfRule>
  </conditionalFormatting>
  <conditionalFormatting sqref="AM29">
    <cfRule type="expression" priority="4052">
      <formula>IF(#REF!="Vertical/Ambient",80)</formula>
    </cfRule>
  </conditionalFormatting>
  <conditionalFormatting sqref="AM31">
    <cfRule type="expression" priority="3980">
      <formula>IF(#REF!="Vertical/Ambient",80)</formula>
    </cfRule>
  </conditionalFormatting>
  <conditionalFormatting sqref="AM33">
    <cfRule type="expression" priority="3908">
      <formula>IF(#REF!="Vertical/Ambient",80)</formula>
    </cfRule>
  </conditionalFormatting>
  <conditionalFormatting sqref="AM35">
    <cfRule type="expression" priority="3836">
      <formula>IF(#REF!="Vertical/Ambient",80)</formula>
    </cfRule>
  </conditionalFormatting>
  <conditionalFormatting sqref="AM37">
    <cfRule type="expression" priority="3764">
      <formula>IF(#REF!="Vertical/Ambient",80)</formula>
    </cfRule>
  </conditionalFormatting>
  <conditionalFormatting sqref="AM39">
    <cfRule type="expression" priority="3692">
      <formula>IF(#REF!="Vertical/Ambient",80)</formula>
    </cfRule>
  </conditionalFormatting>
  <conditionalFormatting sqref="AM41">
    <cfRule type="expression" priority="3620">
      <formula>IF(#REF!="Vertical/Ambient",80)</formula>
    </cfRule>
  </conditionalFormatting>
  <conditionalFormatting sqref="AM43">
    <cfRule type="expression" priority="3548">
      <formula>IF(#REF!="Vertical/Ambient",80)</formula>
    </cfRule>
  </conditionalFormatting>
  <conditionalFormatting sqref="AM45">
    <cfRule type="expression" priority="3476">
      <formula>IF(#REF!="Vertical/Ambient",80)</formula>
    </cfRule>
  </conditionalFormatting>
  <conditionalFormatting sqref="AM47">
    <cfRule type="expression" priority="3404">
      <formula>IF(#REF!="Vertical/Ambient",80)</formula>
    </cfRule>
  </conditionalFormatting>
  <conditionalFormatting sqref="AM49">
    <cfRule type="expression" priority="3332">
      <formula>IF(#REF!="Vertical/Ambient",80)</formula>
    </cfRule>
  </conditionalFormatting>
  <conditionalFormatting sqref="AM51">
    <cfRule type="expression" priority="3260">
      <formula>IF(#REF!="Vertical/Ambient",80)</formula>
    </cfRule>
  </conditionalFormatting>
  <conditionalFormatting sqref="AM53">
    <cfRule type="expression" priority="3188">
      <formula>IF(#REF!="Vertical/Ambient",80)</formula>
    </cfRule>
  </conditionalFormatting>
  <conditionalFormatting sqref="AM55">
    <cfRule type="expression" priority="3116">
      <formula>IF(#REF!="Vertical/Ambient",80)</formula>
    </cfRule>
  </conditionalFormatting>
  <conditionalFormatting sqref="AM57">
    <cfRule type="expression" priority="3044">
      <formula>IF(#REF!="Vertical/Ambient",80)</formula>
    </cfRule>
  </conditionalFormatting>
  <conditionalFormatting sqref="AM59 AM61">
    <cfRule type="expression" priority="2972">
      <formula>IF(#REF!="Vertical/Ambient",80)</formula>
    </cfRule>
  </conditionalFormatting>
  <conditionalFormatting sqref="AM63">
    <cfRule type="expression" priority="2900">
      <formula>IF(#REF!="Vertical/Ambient",80)</formula>
    </cfRule>
  </conditionalFormatting>
  <conditionalFormatting sqref="AM65">
    <cfRule type="expression" priority="2828">
      <formula>IF(#REF!="Vertical/Ambient",80)</formula>
    </cfRule>
  </conditionalFormatting>
  <conditionalFormatting sqref="AM67">
    <cfRule type="expression" priority="2756">
      <formula>IF(#REF!="Vertical/Ambient",80)</formula>
    </cfRule>
  </conditionalFormatting>
  <conditionalFormatting sqref="AM69">
    <cfRule type="expression" priority="2684">
      <formula>IF(#REF!="Vertical/Ambient",80)</formula>
    </cfRule>
  </conditionalFormatting>
  <conditionalFormatting sqref="AM71">
    <cfRule type="expression" priority="2612">
      <formula>IF(#REF!="Vertical/Ambient",80)</formula>
    </cfRule>
  </conditionalFormatting>
  <conditionalFormatting sqref="AM73">
    <cfRule type="expression" priority="2540">
      <formula>IF(#REF!="Vertical/Ambient",80)</formula>
    </cfRule>
  </conditionalFormatting>
  <conditionalFormatting sqref="AM75">
    <cfRule type="expression" priority="2468">
      <formula>IF(#REF!="Vertical/Ambient",80)</formula>
    </cfRule>
  </conditionalFormatting>
  <conditionalFormatting sqref="AM77">
    <cfRule type="expression" priority="2396">
      <formula>IF(#REF!="Vertical/Ambient",80)</formula>
    </cfRule>
  </conditionalFormatting>
  <conditionalFormatting sqref="AM79">
    <cfRule type="expression" priority="2324">
      <formula>IF(#REF!="Vertical/Ambient",80)</formula>
    </cfRule>
  </conditionalFormatting>
  <conditionalFormatting sqref="AM81">
    <cfRule type="expression" priority="2252">
      <formula>IF(#REF!="Vertical/Ambient",80)</formula>
    </cfRule>
  </conditionalFormatting>
  <conditionalFormatting sqref="AM83">
    <cfRule type="expression" priority="2180">
      <formula>IF(#REF!="Vertical/Ambient",80)</formula>
    </cfRule>
  </conditionalFormatting>
  <conditionalFormatting sqref="AM85">
    <cfRule type="expression" priority="2108">
      <formula>IF(#REF!="Vertical/Ambient",80)</formula>
    </cfRule>
  </conditionalFormatting>
  <conditionalFormatting sqref="AM87">
    <cfRule type="expression" priority="2036">
      <formula>IF(#REF!="Vertical/Ambient",80)</formula>
    </cfRule>
  </conditionalFormatting>
  <conditionalFormatting sqref="AM89">
    <cfRule type="expression" priority="1964">
      <formula>IF(#REF!="Vertical/Ambient",80)</formula>
    </cfRule>
  </conditionalFormatting>
  <conditionalFormatting sqref="AM91">
    <cfRule type="expression" priority="1892">
      <formula>IF(#REF!="Vertical/Ambient",80)</formula>
    </cfRule>
  </conditionalFormatting>
  <conditionalFormatting sqref="AM93">
    <cfRule type="expression" priority="1820">
      <formula>IF(#REF!="Vertical/Ambient",80)</formula>
    </cfRule>
  </conditionalFormatting>
  <conditionalFormatting sqref="AM95">
    <cfRule type="expression" priority="1748">
      <formula>IF(#REF!="Vertical/Ambient",80)</formula>
    </cfRule>
  </conditionalFormatting>
  <conditionalFormatting sqref="AM97">
    <cfRule type="expression" priority="1676">
      <formula>IF(#REF!="Vertical/Ambient",80)</formula>
    </cfRule>
  </conditionalFormatting>
  <conditionalFormatting sqref="AM99">
    <cfRule type="expression" priority="1604">
      <formula>IF(#REF!="Vertical/Ambient",80)</formula>
    </cfRule>
  </conditionalFormatting>
  <conditionalFormatting sqref="AM101">
    <cfRule type="expression" priority="1532">
      <formula>IF(#REF!="Vertical/Ambient",80)</formula>
    </cfRule>
  </conditionalFormatting>
  <conditionalFormatting sqref="AM103">
    <cfRule type="expression" priority="1460">
      <formula>IF(#REF!="Vertical/Ambient",80)</formula>
    </cfRule>
  </conditionalFormatting>
  <conditionalFormatting sqref="AM105 AM107">
    <cfRule type="expression" priority="1412">
      <formula>IF(#REF!="Vertical/Ambient",80)</formula>
    </cfRule>
  </conditionalFormatting>
  <conditionalFormatting sqref="AM109">
    <cfRule type="expression" priority="1256">
      <formula>IF(#REF!="Vertical/Ambient",80)</formula>
    </cfRule>
  </conditionalFormatting>
  <conditionalFormatting sqref="AM111">
    <cfRule type="expression" priority="1184">
      <formula>IF(#REF!="Vertical/Ambient",80)</formula>
    </cfRule>
  </conditionalFormatting>
  <conditionalFormatting sqref="AM113">
    <cfRule type="expression" priority="1112">
      <formula>IF(#REF!="Vertical/Ambient",80)</formula>
    </cfRule>
  </conditionalFormatting>
  <conditionalFormatting sqref="AM115">
    <cfRule type="expression" priority="1040">
      <formula>IF(#REF!="Vertical/Ambient",80)</formula>
    </cfRule>
  </conditionalFormatting>
  <conditionalFormatting sqref="AM117">
    <cfRule type="expression" priority="968">
      <formula>IF(#REF!="Vertical/Ambient",80)</formula>
    </cfRule>
  </conditionalFormatting>
  <conditionalFormatting sqref="AM119 AM121 AM123">
    <cfRule type="expression" priority="896">
      <formula>IF(#REF!="Vertical/Ambient",80)</formula>
    </cfRule>
  </conditionalFormatting>
  <conditionalFormatting sqref="AM125 AM127 AM129">
    <cfRule type="expression" priority="728">
      <formula>IF(#REF!="Vertical/Ambient",80)</formula>
    </cfRule>
  </conditionalFormatting>
  <conditionalFormatting sqref="AM131">
    <cfRule type="expression" priority="692">
      <formula>IF(#REF!="Vertical/Ambient",80)</formula>
    </cfRule>
  </conditionalFormatting>
  <conditionalFormatting sqref="AM133">
    <cfRule type="expression" priority="440">
      <formula>IF(#REF!="Vertical/Ambient",80)</formula>
    </cfRule>
  </conditionalFormatting>
  <conditionalFormatting sqref="AM135">
    <cfRule type="expression" priority="368">
      <formula>IF(#REF!="Vertical/Ambient",80)</formula>
    </cfRule>
  </conditionalFormatting>
  <conditionalFormatting sqref="AM137 AM139">
    <cfRule type="expression" priority="296">
      <formula>IF(#REF!="Vertical/Ambient",80)</formula>
    </cfRule>
  </conditionalFormatting>
  <conditionalFormatting sqref="AM141">
    <cfRule type="expression" priority="68">
      <formula>IF(#REF!="Vertical/Ambient",80)</formula>
    </cfRule>
  </conditionalFormatting>
  <conditionalFormatting sqref="AR9">
    <cfRule type="expression" priority="5954">
      <formula>IF(#REF!="Vertical/Ambient",80)</formula>
    </cfRule>
  </conditionalFormatting>
  <conditionalFormatting sqref="AR11">
    <cfRule type="expression" priority="4622">
      <formula>IF(#REF!="Vertical/Ambient",80)</formula>
    </cfRule>
  </conditionalFormatting>
  <conditionalFormatting sqref="AR13">
    <cfRule type="expression" priority="4550">
      <formula>IF(#REF!="Vertical/Ambient",80)</formula>
    </cfRule>
  </conditionalFormatting>
  <conditionalFormatting sqref="AR15 AR17">
    <cfRule type="expression" priority="4478">
      <formula>IF(#REF!="Vertical/Ambient",80)</formula>
    </cfRule>
  </conditionalFormatting>
  <conditionalFormatting sqref="AR19">
    <cfRule type="expression" priority="4406">
      <formula>IF(#REF!="Vertical/Ambient",80)</formula>
    </cfRule>
  </conditionalFormatting>
  <conditionalFormatting sqref="AR21">
    <cfRule type="expression" priority="4334">
      <formula>IF(#REF!="Vertical/Ambient",80)</formula>
    </cfRule>
  </conditionalFormatting>
  <conditionalFormatting sqref="AR23">
    <cfRule type="expression" priority="4262">
      <formula>IF(#REF!="Vertical/Ambient",80)</formula>
    </cfRule>
  </conditionalFormatting>
  <conditionalFormatting sqref="AR25">
    <cfRule type="expression" priority="4190">
      <formula>IF(#REF!="Vertical/Ambient",80)</formula>
    </cfRule>
  </conditionalFormatting>
  <conditionalFormatting sqref="AR27">
    <cfRule type="expression" priority="4118">
      <formula>IF(#REF!="Vertical/Ambient",80)</formula>
    </cfRule>
  </conditionalFormatting>
  <conditionalFormatting sqref="AR29">
    <cfRule type="expression" priority="4046">
      <formula>IF(#REF!="Vertical/Ambient",80)</formula>
    </cfRule>
  </conditionalFormatting>
  <conditionalFormatting sqref="AR31">
    <cfRule type="expression" priority="3974">
      <formula>IF(#REF!="Vertical/Ambient",80)</formula>
    </cfRule>
  </conditionalFormatting>
  <conditionalFormatting sqref="AR33">
    <cfRule type="expression" priority="3902">
      <formula>IF(#REF!="Vertical/Ambient",80)</formula>
    </cfRule>
  </conditionalFormatting>
  <conditionalFormatting sqref="AR35">
    <cfRule type="expression" priority="3830">
      <formula>IF(#REF!="Vertical/Ambient",80)</formula>
    </cfRule>
  </conditionalFormatting>
  <conditionalFormatting sqref="AR37">
    <cfRule type="expression" priority="3758">
      <formula>IF(#REF!="Vertical/Ambient",80)</formula>
    </cfRule>
  </conditionalFormatting>
  <conditionalFormatting sqref="AR39">
    <cfRule type="expression" priority="3686">
      <formula>IF(#REF!="Vertical/Ambient",80)</formula>
    </cfRule>
  </conditionalFormatting>
  <conditionalFormatting sqref="AR41">
    <cfRule type="expression" priority="3614">
      <formula>IF(#REF!="Vertical/Ambient",80)</formula>
    </cfRule>
  </conditionalFormatting>
  <conditionalFormatting sqref="AR43">
    <cfRule type="expression" priority="3542">
      <formula>IF(#REF!="Vertical/Ambient",80)</formula>
    </cfRule>
  </conditionalFormatting>
  <conditionalFormatting sqref="AR45">
    <cfRule type="expression" priority="3470">
      <formula>IF(#REF!="Vertical/Ambient",80)</formula>
    </cfRule>
  </conditionalFormatting>
  <conditionalFormatting sqref="AR47">
    <cfRule type="expression" priority="3398">
      <formula>IF(#REF!="Vertical/Ambient",80)</formula>
    </cfRule>
  </conditionalFormatting>
  <conditionalFormatting sqref="AR49">
    <cfRule type="expression" priority="3326">
      <formula>IF(#REF!="Vertical/Ambient",80)</formula>
    </cfRule>
  </conditionalFormatting>
  <conditionalFormatting sqref="AR51">
    <cfRule type="expression" priority="3254">
      <formula>IF(#REF!="Vertical/Ambient",80)</formula>
    </cfRule>
  </conditionalFormatting>
  <conditionalFormatting sqref="AR53">
    <cfRule type="expression" priority="3182">
      <formula>IF(#REF!="Vertical/Ambient",80)</formula>
    </cfRule>
  </conditionalFormatting>
  <conditionalFormatting sqref="AR55">
    <cfRule type="expression" priority="3110">
      <formula>IF(#REF!="Vertical/Ambient",80)</formula>
    </cfRule>
  </conditionalFormatting>
  <conditionalFormatting sqref="AR57">
    <cfRule type="expression" priority="3038">
      <formula>IF(#REF!="Vertical/Ambient",80)</formula>
    </cfRule>
  </conditionalFormatting>
  <conditionalFormatting sqref="AR59 AR61">
    <cfRule type="expression" priority="2966">
      <formula>IF(#REF!="Vertical/Ambient",80)</formula>
    </cfRule>
  </conditionalFormatting>
  <conditionalFormatting sqref="AR63">
    <cfRule type="expression" priority="2894">
      <formula>IF(#REF!="Vertical/Ambient",80)</formula>
    </cfRule>
  </conditionalFormatting>
  <conditionalFormatting sqref="AR65">
    <cfRule type="expression" priority="2822">
      <formula>IF(#REF!="Vertical/Ambient",80)</formula>
    </cfRule>
  </conditionalFormatting>
  <conditionalFormatting sqref="AR67">
    <cfRule type="expression" priority="2750">
      <formula>IF(#REF!="Vertical/Ambient",80)</formula>
    </cfRule>
  </conditionalFormatting>
  <conditionalFormatting sqref="AR69">
    <cfRule type="expression" priority="2678">
      <formula>IF(#REF!="Vertical/Ambient",80)</formula>
    </cfRule>
  </conditionalFormatting>
  <conditionalFormatting sqref="AR71">
    <cfRule type="expression" priority="2606">
      <formula>IF(#REF!="Vertical/Ambient",80)</formula>
    </cfRule>
  </conditionalFormatting>
  <conditionalFormatting sqref="AR73">
    <cfRule type="expression" priority="2534">
      <formula>IF(#REF!="Vertical/Ambient",80)</formula>
    </cfRule>
  </conditionalFormatting>
  <conditionalFormatting sqref="AR75">
    <cfRule type="expression" priority="2462">
      <formula>IF(#REF!="Vertical/Ambient",80)</formula>
    </cfRule>
  </conditionalFormatting>
  <conditionalFormatting sqref="AR77">
    <cfRule type="expression" priority="2390">
      <formula>IF(#REF!="Vertical/Ambient",80)</formula>
    </cfRule>
  </conditionalFormatting>
  <conditionalFormatting sqref="AR79">
    <cfRule type="expression" priority="2318">
      <formula>IF(#REF!="Vertical/Ambient",80)</formula>
    </cfRule>
  </conditionalFormatting>
  <conditionalFormatting sqref="AR81">
    <cfRule type="expression" priority="2246">
      <formula>IF(#REF!="Vertical/Ambient",80)</formula>
    </cfRule>
  </conditionalFormatting>
  <conditionalFormatting sqref="AR83">
    <cfRule type="expression" priority="2174">
      <formula>IF(#REF!="Vertical/Ambient",80)</formula>
    </cfRule>
  </conditionalFormatting>
  <conditionalFormatting sqref="AR85">
    <cfRule type="expression" priority="2102">
      <formula>IF(#REF!="Vertical/Ambient",80)</formula>
    </cfRule>
  </conditionalFormatting>
  <conditionalFormatting sqref="AR87">
    <cfRule type="expression" priority="2030">
      <formula>IF(#REF!="Vertical/Ambient",80)</formula>
    </cfRule>
  </conditionalFormatting>
  <conditionalFormatting sqref="AR89">
    <cfRule type="expression" priority="1958">
      <formula>IF(#REF!="Vertical/Ambient",80)</formula>
    </cfRule>
  </conditionalFormatting>
  <conditionalFormatting sqref="AR91">
    <cfRule type="expression" priority="1886">
      <formula>IF(#REF!="Vertical/Ambient",80)</formula>
    </cfRule>
  </conditionalFormatting>
  <conditionalFormatting sqref="AR93">
    <cfRule type="expression" priority="1814">
      <formula>IF(#REF!="Vertical/Ambient",80)</formula>
    </cfRule>
  </conditionalFormatting>
  <conditionalFormatting sqref="AR95">
    <cfRule type="expression" priority="1742">
      <formula>IF(#REF!="Vertical/Ambient",80)</formula>
    </cfRule>
  </conditionalFormatting>
  <conditionalFormatting sqref="AR97">
    <cfRule type="expression" priority="1670">
      <formula>IF(#REF!="Vertical/Ambient",80)</formula>
    </cfRule>
  </conditionalFormatting>
  <conditionalFormatting sqref="AR99">
    <cfRule type="expression" priority="1598">
      <formula>IF(#REF!="Vertical/Ambient",80)</formula>
    </cfRule>
  </conditionalFormatting>
  <conditionalFormatting sqref="AR101">
    <cfRule type="expression" priority="1526">
      <formula>IF(#REF!="Vertical/Ambient",80)</formula>
    </cfRule>
  </conditionalFormatting>
  <conditionalFormatting sqref="AR103">
    <cfRule type="expression" priority="1454">
      <formula>IF(#REF!="Vertical/Ambient",80)</formula>
    </cfRule>
  </conditionalFormatting>
  <conditionalFormatting sqref="AR105 AR107">
    <cfRule type="expression" priority="1411">
      <formula>IF(#REF!="Vertical/Ambient",80)</formula>
    </cfRule>
  </conditionalFormatting>
  <conditionalFormatting sqref="AR109">
    <cfRule type="expression" priority="1250">
      <formula>IF(#REF!="Vertical/Ambient",80)</formula>
    </cfRule>
  </conditionalFormatting>
  <conditionalFormatting sqref="AR111">
    <cfRule type="expression" priority="1178">
      <formula>IF(#REF!="Vertical/Ambient",80)</formula>
    </cfRule>
  </conditionalFormatting>
  <conditionalFormatting sqref="AR113">
    <cfRule type="expression" priority="1106">
      <formula>IF(#REF!="Vertical/Ambient",80)</formula>
    </cfRule>
  </conditionalFormatting>
  <conditionalFormatting sqref="AR115">
    <cfRule type="expression" priority="1034">
      <formula>IF(#REF!="Vertical/Ambient",80)</formula>
    </cfRule>
  </conditionalFormatting>
  <conditionalFormatting sqref="AR117">
    <cfRule type="expression" priority="962">
      <formula>IF(#REF!="Vertical/Ambient",80)</formula>
    </cfRule>
  </conditionalFormatting>
  <conditionalFormatting sqref="AR119 AR121 AR123">
    <cfRule type="expression" priority="890">
      <formula>IF(#REF!="Vertical/Ambient",80)</formula>
    </cfRule>
  </conditionalFormatting>
  <conditionalFormatting sqref="AR125 AR127 AR129">
    <cfRule type="expression" priority="727">
      <formula>IF(#REF!="Vertical/Ambient",80)</formula>
    </cfRule>
  </conditionalFormatting>
  <conditionalFormatting sqref="AR131">
    <cfRule type="expression" priority="686">
      <formula>IF(#REF!="Vertical/Ambient",80)</formula>
    </cfRule>
  </conditionalFormatting>
  <conditionalFormatting sqref="AR133">
    <cfRule type="expression" priority="434">
      <formula>IF(#REF!="Vertical/Ambient",80)</formula>
    </cfRule>
  </conditionalFormatting>
  <conditionalFormatting sqref="AR135">
    <cfRule type="expression" priority="362">
      <formula>IF(#REF!="Vertical/Ambient",80)</formula>
    </cfRule>
  </conditionalFormatting>
  <conditionalFormatting sqref="AR137 AR139">
    <cfRule type="expression" priority="290">
      <formula>IF(#REF!="Vertical/Ambient",80)</formula>
    </cfRule>
  </conditionalFormatting>
  <conditionalFormatting sqref="AR141">
    <cfRule type="expression" priority="67">
      <formula>IF(#REF!="Vertical/Ambient",80)</formula>
    </cfRule>
  </conditionalFormatting>
  <conditionalFormatting sqref="AW9">
    <cfRule type="expression" priority="5948">
      <formula>IF(#REF!="Vertical/Ambient",80)</formula>
    </cfRule>
  </conditionalFormatting>
  <conditionalFormatting sqref="AW11">
    <cfRule type="expression" priority="4616">
      <formula>IF(#REF!="Vertical/Ambient",80)</formula>
    </cfRule>
  </conditionalFormatting>
  <conditionalFormatting sqref="AW13">
    <cfRule type="expression" priority="4544">
      <formula>IF(#REF!="Vertical/Ambient",80)</formula>
    </cfRule>
  </conditionalFormatting>
  <conditionalFormatting sqref="AW15 AW17">
    <cfRule type="expression" priority="4472">
      <formula>IF(#REF!="Vertical/Ambient",80)</formula>
    </cfRule>
  </conditionalFormatting>
  <conditionalFormatting sqref="AW19">
    <cfRule type="expression" priority="4400">
      <formula>IF(#REF!="Vertical/Ambient",80)</formula>
    </cfRule>
  </conditionalFormatting>
  <conditionalFormatting sqref="AW21">
    <cfRule type="expression" priority="4328">
      <formula>IF(#REF!="Vertical/Ambient",80)</formula>
    </cfRule>
  </conditionalFormatting>
  <conditionalFormatting sqref="AW23">
    <cfRule type="expression" priority="4256">
      <formula>IF(#REF!="Vertical/Ambient",80)</formula>
    </cfRule>
  </conditionalFormatting>
  <conditionalFormatting sqref="AW25">
    <cfRule type="expression" priority="4184">
      <formula>IF(#REF!="Vertical/Ambient",80)</formula>
    </cfRule>
  </conditionalFormatting>
  <conditionalFormatting sqref="AW27">
    <cfRule type="expression" priority="4112">
      <formula>IF(#REF!="Vertical/Ambient",80)</formula>
    </cfRule>
  </conditionalFormatting>
  <conditionalFormatting sqref="AW29">
    <cfRule type="expression" priority="4040">
      <formula>IF(#REF!="Vertical/Ambient",80)</formula>
    </cfRule>
  </conditionalFormatting>
  <conditionalFormatting sqref="AW31">
    <cfRule type="expression" priority="3968">
      <formula>IF(#REF!="Vertical/Ambient",80)</formula>
    </cfRule>
  </conditionalFormatting>
  <conditionalFormatting sqref="AW33">
    <cfRule type="expression" priority="3896">
      <formula>IF(#REF!="Vertical/Ambient",80)</formula>
    </cfRule>
  </conditionalFormatting>
  <conditionalFormatting sqref="AW35">
    <cfRule type="expression" priority="3824">
      <formula>IF(#REF!="Vertical/Ambient",80)</formula>
    </cfRule>
  </conditionalFormatting>
  <conditionalFormatting sqref="AW37">
    <cfRule type="expression" priority="3752">
      <formula>IF(#REF!="Vertical/Ambient",80)</formula>
    </cfRule>
  </conditionalFormatting>
  <conditionalFormatting sqref="AW39">
    <cfRule type="expression" priority="3680">
      <formula>IF(#REF!="Vertical/Ambient",80)</formula>
    </cfRule>
  </conditionalFormatting>
  <conditionalFormatting sqref="AW41">
    <cfRule type="expression" priority="3608">
      <formula>IF(#REF!="Vertical/Ambient",80)</formula>
    </cfRule>
  </conditionalFormatting>
  <conditionalFormatting sqref="AW43">
    <cfRule type="expression" priority="3536">
      <formula>IF(#REF!="Vertical/Ambient",80)</formula>
    </cfRule>
  </conditionalFormatting>
  <conditionalFormatting sqref="AW45">
    <cfRule type="expression" priority="3464">
      <formula>IF(#REF!="Vertical/Ambient",80)</formula>
    </cfRule>
  </conditionalFormatting>
  <conditionalFormatting sqref="AW47">
    <cfRule type="expression" priority="3392">
      <formula>IF(#REF!="Vertical/Ambient",80)</formula>
    </cfRule>
  </conditionalFormatting>
  <conditionalFormatting sqref="AW49">
    <cfRule type="expression" priority="3320">
      <formula>IF(#REF!="Vertical/Ambient",80)</formula>
    </cfRule>
  </conditionalFormatting>
  <conditionalFormatting sqref="AW51">
    <cfRule type="expression" priority="3248">
      <formula>IF(#REF!="Vertical/Ambient",80)</formula>
    </cfRule>
  </conditionalFormatting>
  <conditionalFormatting sqref="AW53">
    <cfRule type="expression" priority="3176">
      <formula>IF(#REF!="Vertical/Ambient",80)</formula>
    </cfRule>
  </conditionalFormatting>
  <conditionalFormatting sqref="AW55">
    <cfRule type="expression" priority="3104">
      <formula>IF(#REF!="Vertical/Ambient",80)</formula>
    </cfRule>
  </conditionalFormatting>
  <conditionalFormatting sqref="AW57">
    <cfRule type="expression" priority="3032">
      <formula>IF(#REF!="Vertical/Ambient",80)</formula>
    </cfRule>
  </conditionalFormatting>
  <conditionalFormatting sqref="AW59 AW61">
    <cfRule type="expression" priority="2960">
      <formula>IF(#REF!="Vertical/Ambient",80)</formula>
    </cfRule>
  </conditionalFormatting>
  <conditionalFormatting sqref="AW63">
    <cfRule type="expression" priority="2888">
      <formula>IF(#REF!="Vertical/Ambient",80)</formula>
    </cfRule>
  </conditionalFormatting>
  <conditionalFormatting sqref="AW65">
    <cfRule type="expression" priority="2816">
      <formula>IF(#REF!="Vertical/Ambient",80)</formula>
    </cfRule>
  </conditionalFormatting>
  <conditionalFormatting sqref="AW67">
    <cfRule type="expression" priority="2744">
      <formula>IF(#REF!="Vertical/Ambient",80)</formula>
    </cfRule>
  </conditionalFormatting>
  <conditionalFormatting sqref="AW69">
    <cfRule type="expression" priority="2672">
      <formula>IF(#REF!="Vertical/Ambient",80)</formula>
    </cfRule>
  </conditionalFormatting>
  <conditionalFormatting sqref="AW71">
    <cfRule type="expression" priority="2600">
      <formula>IF(#REF!="Vertical/Ambient",80)</formula>
    </cfRule>
  </conditionalFormatting>
  <conditionalFormatting sqref="AW73">
    <cfRule type="expression" priority="2528">
      <formula>IF(#REF!="Vertical/Ambient",80)</formula>
    </cfRule>
  </conditionalFormatting>
  <conditionalFormatting sqref="AW75">
    <cfRule type="expression" priority="2456">
      <formula>IF(#REF!="Vertical/Ambient",80)</formula>
    </cfRule>
  </conditionalFormatting>
  <conditionalFormatting sqref="AW77">
    <cfRule type="expression" priority="2384">
      <formula>IF(#REF!="Vertical/Ambient",80)</formula>
    </cfRule>
  </conditionalFormatting>
  <conditionalFormatting sqref="AW79">
    <cfRule type="expression" priority="2312">
      <formula>IF(#REF!="Vertical/Ambient",80)</formula>
    </cfRule>
  </conditionalFormatting>
  <conditionalFormatting sqref="AW81">
    <cfRule type="expression" priority="2240">
      <formula>IF(#REF!="Vertical/Ambient",80)</formula>
    </cfRule>
  </conditionalFormatting>
  <conditionalFormatting sqref="AW83">
    <cfRule type="expression" priority="2168">
      <formula>IF(#REF!="Vertical/Ambient",80)</formula>
    </cfRule>
  </conditionalFormatting>
  <conditionalFormatting sqref="AW85">
    <cfRule type="expression" priority="2096">
      <formula>IF(#REF!="Vertical/Ambient",80)</formula>
    </cfRule>
  </conditionalFormatting>
  <conditionalFormatting sqref="AW87">
    <cfRule type="expression" priority="2024">
      <formula>IF(#REF!="Vertical/Ambient",80)</formula>
    </cfRule>
  </conditionalFormatting>
  <conditionalFormatting sqref="AW89">
    <cfRule type="expression" priority="1952">
      <formula>IF(#REF!="Vertical/Ambient",80)</formula>
    </cfRule>
  </conditionalFormatting>
  <conditionalFormatting sqref="AW91">
    <cfRule type="expression" priority="1880">
      <formula>IF(#REF!="Vertical/Ambient",80)</formula>
    </cfRule>
  </conditionalFormatting>
  <conditionalFormatting sqref="AW93">
    <cfRule type="expression" priority="1808">
      <formula>IF(#REF!="Vertical/Ambient",80)</formula>
    </cfRule>
  </conditionalFormatting>
  <conditionalFormatting sqref="AW95">
    <cfRule type="expression" priority="1736">
      <formula>IF(#REF!="Vertical/Ambient",80)</formula>
    </cfRule>
  </conditionalFormatting>
  <conditionalFormatting sqref="AW97">
    <cfRule type="expression" priority="1664">
      <formula>IF(#REF!="Vertical/Ambient",80)</formula>
    </cfRule>
  </conditionalFormatting>
  <conditionalFormatting sqref="AW99">
    <cfRule type="expression" priority="1592">
      <formula>IF(#REF!="Vertical/Ambient",80)</formula>
    </cfRule>
  </conditionalFormatting>
  <conditionalFormatting sqref="AW101">
    <cfRule type="expression" priority="1520">
      <formula>IF(#REF!="Vertical/Ambient",80)</formula>
    </cfRule>
  </conditionalFormatting>
  <conditionalFormatting sqref="AW103">
    <cfRule type="expression" priority="1448">
      <formula>IF(#REF!="Vertical/Ambient",80)</formula>
    </cfRule>
  </conditionalFormatting>
  <conditionalFormatting sqref="AW105 AW107">
    <cfRule type="expression" priority="1410">
      <formula>IF(#REF!="Vertical/Ambient",80)</formula>
    </cfRule>
  </conditionalFormatting>
  <conditionalFormatting sqref="AW109">
    <cfRule type="expression" priority="1244">
      <formula>IF(#REF!="Vertical/Ambient",80)</formula>
    </cfRule>
  </conditionalFormatting>
  <conditionalFormatting sqref="AW111">
    <cfRule type="expression" priority="1172">
      <formula>IF(#REF!="Vertical/Ambient",80)</formula>
    </cfRule>
  </conditionalFormatting>
  <conditionalFormatting sqref="AW113">
    <cfRule type="expression" priority="1100">
      <formula>IF(#REF!="Vertical/Ambient",80)</formula>
    </cfRule>
  </conditionalFormatting>
  <conditionalFormatting sqref="AW115">
    <cfRule type="expression" priority="1028">
      <formula>IF(#REF!="Vertical/Ambient",80)</formula>
    </cfRule>
  </conditionalFormatting>
  <conditionalFormatting sqref="AW117">
    <cfRule type="expression" priority="956">
      <formula>IF(#REF!="Vertical/Ambient",80)</formula>
    </cfRule>
  </conditionalFormatting>
  <conditionalFormatting sqref="AW119 AW121 AW123">
    <cfRule type="expression" priority="884">
      <formula>IF(#REF!="Vertical/Ambient",80)</formula>
    </cfRule>
  </conditionalFormatting>
  <conditionalFormatting sqref="AW125 AW127 AW129">
    <cfRule type="expression" priority="726">
      <formula>IF(#REF!="Vertical/Ambient",80)</formula>
    </cfRule>
  </conditionalFormatting>
  <conditionalFormatting sqref="AW131">
    <cfRule type="expression" priority="680">
      <formula>IF(#REF!="Vertical/Ambient",80)</formula>
    </cfRule>
  </conditionalFormatting>
  <conditionalFormatting sqref="AW133">
    <cfRule type="expression" priority="428">
      <formula>IF(#REF!="Vertical/Ambient",80)</formula>
    </cfRule>
  </conditionalFormatting>
  <conditionalFormatting sqref="AW135">
    <cfRule type="expression" priority="356">
      <formula>IF(#REF!="Vertical/Ambient",80)</formula>
    </cfRule>
  </conditionalFormatting>
  <conditionalFormatting sqref="AW137 AW139">
    <cfRule type="expression" priority="284">
      <formula>IF(#REF!="Vertical/Ambient",80)</formula>
    </cfRule>
  </conditionalFormatting>
  <conditionalFormatting sqref="AW141">
    <cfRule type="expression" priority="66">
      <formula>IF(#REF!="Vertical/Ambient",80)</formula>
    </cfRule>
  </conditionalFormatting>
  <conditionalFormatting sqref="BB9">
    <cfRule type="expression" priority="5942">
      <formula>IF(#REF!="Vertical/Ambient",80)</formula>
    </cfRule>
  </conditionalFormatting>
  <conditionalFormatting sqref="BB11">
    <cfRule type="expression" priority="4610">
      <formula>IF(#REF!="Vertical/Ambient",80)</formula>
    </cfRule>
  </conditionalFormatting>
  <conditionalFormatting sqref="BB13">
    <cfRule type="expression" priority="4538">
      <formula>IF(#REF!="Vertical/Ambient",80)</formula>
    </cfRule>
  </conditionalFormatting>
  <conditionalFormatting sqref="BB15 BB17">
    <cfRule type="expression" priority="4466">
      <formula>IF(#REF!="Vertical/Ambient",80)</formula>
    </cfRule>
  </conditionalFormatting>
  <conditionalFormatting sqref="BB19">
    <cfRule type="expression" priority="4394">
      <formula>IF(#REF!="Vertical/Ambient",80)</formula>
    </cfRule>
  </conditionalFormatting>
  <conditionalFormatting sqref="BB21">
    <cfRule type="expression" priority="4322">
      <formula>IF(#REF!="Vertical/Ambient",80)</formula>
    </cfRule>
  </conditionalFormatting>
  <conditionalFormatting sqref="BB23">
    <cfRule type="expression" priority="4250">
      <formula>IF(#REF!="Vertical/Ambient",80)</formula>
    </cfRule>
  </conditionalFormatting>
  <conditionalFormatting sqref="BB25">
    <cfRule type="expression" priority="4178">
      <formula>IF(#REF!="Vertical/Ambient",80)</formula>
    </cfRule>
  </conditionalFormatting>
  <conditionalFormatting sqref="BB27">
    <cfRule type="expression" priority="4106">
      <formula>IF(#REF!="Vertical/Ambient",80)</formula>
    </cfRule>
  </conditionalFormatting>
  <conditionalFormatting sqref="BB29">
    <cfRule type="expression" priority="4034">
      <formula>IF(#REF!="Vertical/Ambient",80)</formula>
    </cfRule>
  </conditionalFormatting>
  <conditionalFormatting sqref="BB31">
    <cfRule type="expression" priority="3962">
      <formula>IF(#REF!="Vertical/Ambient",80)</formula>
    </cfRule>
  </conditionalFormatting>
  <conditionalFormatting sqref="BB33">
    <cfRule type="expression" priority="3890">
      <formula>IF(#REF!="Vertical/Ambient",80)</formula>
    </cfRule>
  </conditionalFormatting>
  <conditionalFormatting sqref="BB35">
    <cfRule type="expression" priority="3818">
      <formula>IF(#REF!="Vertical/Ambient",80)</formula>
    </cfRule>
  </conditionalFormatting>
  <conditionalFormatting sqref="BB37">
    <cfRule type="expression" priority="3746">
      <formula>IF(#REF!="Vertical/Ambient",80)</formula>
    </cfRule>
  </conditionalFormatting>
  <conditionalFormatting sqref="BB39">
    <cfRule type="expression" priority="3674">
      <formula>IF(#REF!="Vertical/Ambient",80)</formula>
    </cfRule>
  </conditionalFormatting>
  <conditionalFormatting sqref="BB41">
    <cfRule type="expression" priority="3602">
      <formula>IF(#REF!="Vertical/Ambient",80)</formula>
    </cfRule>
  </conditionalFormatting>
  <conditionalFormatting sqref="BB43">
    <cfRule type="expression" priority="3530">
      <formula>IF(#REF!="Vertical/Ambient",80)</formula>
    </cfRule>
  </conditionalFormatting>
  <conditionalFormatting sqref="BB45">
    <cfRule type="expression" priority="3458">
      <formula>IF(#REF!="Vertical/Ambient",80)</formula>
    </cfRule>
  </conditionalFormatting>
  <conditionalFormatting sqref="BB47">
    <cfRule type="expression" priority="3386">
      <formula>IF(#REF!="Vertical/Ambient",80)</formula>
    </cfRule>
  </conditionalFormatting>
  <conditionalFormatting sqref="BB49">
    <cfRule type="expression" priority="3314">
      <formula>IF(#REF!="Vertical/Ambient",80)</formula>
    </cfRule>
  </conditionalFormatting>
  <conditionalFormatting sqref="BB51">
    <cfRule type="expression" priority="3242">
      <formula>IF(#REF!="Vertical/Ambient",80)</formula>
    </cfRule>
  </conditionalFormatting>
  <conditionalFormatting sqref="BB53">
    <cfRule type="expression" priority="3170">
      <formula>IF(#REF!="Vertical/Ambient",80)</formula>
    </cfRule>
  </conditionalFormatting>
  <conditionalFormatting sqref="BB55">
    <cfRule type="expression" priority="3098">
      <formula>IF(#REF!="Vertical/Ambient",80)</formula>
    </cfRule>
  </conditionalFormatting>
  <conditionalFormatting sqref="BB57">
    <cfRule type="expression" priority="3026">
      <formula>IF(#REF!="Vertical/Ambient",80)</formula>
    </cfRule>
  </conditionalFormatting>
  <conditionalFormatting sqref="BB59 BB61">
    <cfRule type="expression" priority="2954">
      <formula>IF(#REF!="Vertical/Ambient",80)</formula>
    </cfRule>
  </conditionalFormatting>
  <conditionalFormatting sqref="BB63">
    <cfRule type="expression" priority="2882">
      <formula>IF(#REF!="Vertical/Ambient",80)</formula>
    </cfRule>
  </conditionalFormatting>
  <conditionalFormatting sqref="BB65">
    <cfRule type="expression" priority="2810">
      <formula>IF(#REF!="Vertical/Ambient",80)</formula>
    </cfRule>
  </conditionalFormatting>
  <conditionalFormatting sqref="BB67">
    <cfRule type="expression" priority="2738">
      <formula>IF(#REF!="Vertical/Ambient",80)</formula>
    </cfRule>
  </conditionalFormatting>
  <conditionalFormatting sqref="BB69">
    <cfRule type="expression" priority="2666">
      <formula>IF(#REF!="Vertical/Ambient",80)</formula>
    </cfRule>
  </conditionalFormatting>
  <conditionalFormatting sqref="BB71">
    <cfRule type="expression" priority="2594">
      <formula>IF(#REF!="Vertical/Ambient",80)</formula>
    </cfRule>
  </conditionalFormatting>
  <conditionalFormatting sqref="BB73">
    <cfRule type="expression" priority="2522">
      <formula>IF(#REF!="Vertical/Ambient",80)</formula>
    </cfRule>
  </conditionalFormatting>
  <conditionalFormatting sqref="BB75">
    <cfRule type="expression" priority="2450">
      <formula>IF(#REF!="Vertical/Ambient",80)</formula>
    </cfRule>
  </conditionalFormatting>
  <conditionalFormatting sqref="BB77">
    <cfRule type="expression" priority="2378">
      <formula>IF(#REF!="Vertical/Ambient",80)</formula>
    </cfRule>
  </conditionalFormatting>
  <conditionalFormatting sqref="BB79">
    <cfRule type="expression" priority="2306">
      <formula>IF(#REF!="Vertical/Ambient",80)</formula>
    </cfRule>
  </conditionalFormatting>
  <conditionalFormatting sqref="BB81">
    <cfRule type="expression" priority="2234">
      <formula>IF(#REF!="Vertical/Ambient",80)</formula>
    </cfRule>
  </conditionalFormatting>
  <conditionalFormatting sqref="BB83">
    <cfRule type="expression" priority="2162">
      <formula>IF(#REF!="Vertical/Ambient",80)</formula>
    </cfRule>
  </conditionalFormatting>
  <conditionalFormatting sqref="BB85">
    <cfRule type="expression" priority="2090">
      <formula>IF(#REF!="Vertical/Ambient",80)</formula>
    </cfRule>
  </conditionalFormatting>
  <conditionalFormatting sqref="BB87">
    <cfRule type="expression" priority="2018">
      <formula>IF(#REF!="Vertical/Ambient",80)</formula>
    </cfRule>
  </conditionalFormatting>
  <conditionalFormatting sqref="BB89">
    <cfRule type="expression" priority="1946">
      <formula>IF(#REF!="Vertical/Ambient",80)</formula>
    </cfRule>
  </conditionalFormatting>
  <conditionalFormatting sqref="BB91">
    <cfRule type="expression" priority="1874">
      <formula>IF(#REF!="Vertical/Ambient",80)</formula>
    </cfRule>
  </conditionalFormatting>
  <conditionalFormatting sqref="BB93">
    <cfRule type="expression" priority="1802">
      <formula>IF(#REF!="Vertical/Ambient",80)</formula>
    </cfRule>
  </conditionalFormatting>
  <conditionalFormatting sqref="BB95">
    <cfRule type="expression" priority="1730">
      <formula>IF(#REF!="Vertical/Ambient",80)</formula>
    </cfRule>
  </conditionalFormatting>
  <conditionalFormatting sqref="BB97">
    <cfRule type="expression" priority="1658">
      <formula>IF(#REF!="Vertical/Ambient",80)</formula>
    </cfRule>
  </conditionalFormatting>
  <conditionalFormatting sqref="BB99">
    <cfRule type="expression" priority="1586">
      <formula>IF(#REF!="Vertical/Ambient",80)</formula>
    </cfRule>
  </conditionalFormatting>
  <conditionalFormatting sqref="BB101">
    <cfRule type="expression" priority="1514">
      <formula>IF(#REF!="Vertical/Ambient",80)</formula>
    </cfRule>
  </conditionalFormatting>
  <conditionalFormatting sqref="BB103">
    <cfRule type="expression" priority="1442">
      <formula>IF(#REF!="Vertical/Ambient",80)</formula>
    </cfRule>
  </conditionalFormatting>
  <conditionalFormatting sqref="BB105 BB107">
    <cfRule type="expression" priority="1409">
      <formula>IF(#REF!="Vertical/Ambient",80)</formula>
    </cfRule>
  </conditionalFormatting>
  <conditionalFormatting sqref="BB109">
    <cfRule type="expression" priority="1238">
      <formula>IF(#REF!="Vertical/Ambient",80)</formula>
    </cfRule>
  </conditionalFormatting>
  <conditionalFormatting sqref="BB111">
    <cfRule type="expression" priority="1166">
      <formula>IF(#REF!="Vertical/Ambient",80)</formula>
    </cfRule>
  </conditionalFormatting>
  <conditionalFormatting sqref="BB113">
    <cfRule type="expression" priority="1094">
      <formula>IF(#REF!="Vertical/Ambient",80)</formula>
    </cfRule>
  </conditionalFormatting>
  <conditionalFormatting sqref="BB115">
    <cfRule type="expression" priority="1022">
      <formula>IF(#REF!="Vertical/Ambient",80)</formula>
    </cfRule>
  </conditionalFormatting>
  <conditionalFormatting sqref="BB117">
    <cfRule type="expression" priority="950">
      <formula>IF(#REF!="Vertical/Ambient",80)</formula>
    </cfRule>
  </conditionalFormatting>
  <conditionalFormatting sqref="BB119 BB121 BB123">
    <cfRule type="expression" priority="878">
      <formula>IF(#REF!="Vertical/Ambient",80)</formula>
    </cfRule>
  </conditionalFormatting>
  <conditionalFormatting sqref="BB125 BB127 BB129">
    <cfRule type="expression" priority="725">
      <formula>IF(#REF!="Vertical/Ambient",80)</formula>
    </cfRule>
  </conditionalFormatting>
  <conditionalFormatting sqref="BB131">
    <cfRule type="expression" priority="674">
      <formula>IF(#REF!="Vertical/Ambient",80)</formula>
    </cfRule>
  </conditionalFormatting>
  <conditionalFormatting sqref="BB133">
    <cfRule type="expression" priority="422">
      <formula>IF(#REF!="Vertical/Ambient",80)</formula>
    </cfRule>
  </conditionalFormatting>
  <conditionalFormatting sqref="BB135">
    <cfRule type="expression" priority="350">
      <formula>IF(#REF!="Vertical/Ambient",80)</formula>
    </cfRule>
  </conditionalFormatting>
  <conditionalFormatting sqref="BB137 BB139">
    <cfRule type="expression" priority="278">
      <formula>IF(#REF!="Vertical/Ambient",80)</formula>
    </cfRule>
  </conditionalFormatting>
  <conditionalFormatting sqref="BB141">
    <cfRule type="expression" priority="65">
      <formula>IF(#REF!="Vertical/Ambient",80)</formula>
    </cfRule>
  </conditionalFormatting>
  <conditionalFormatting sqref="BG9">
    <cfRule type="expression" priority="5936">
      <formula>IF(#REF!="Vertical/Ambient",80)</formula>
    </cfRule>
  </conditionalFormatting>
  <conditionalFormatting sqref="BG11">
    <cfRule type="expression" priority="4604">
      <formula>IF(#REF!="Vertical/Ambient",80)</formula>
    </cfRule>
  </conditionalFormatting>
  <conditionalFormatting sqref="BG13">
    <cfRule type="expression" priority="4532">
      <formula>IF(#REF!="Vertical/Ambient",80)</formula>
    </cfRule>
  </conditionalFormatting>
  <conditionalFormatting sqref="BG15 BG17">
    <cfRule type="expression" priority="4460">
      <formula>IF(#REF!="Vertical/Ambient",80)</formula>
    </cfRule>
  </conditionalFormatting>
  <conditionalFormatting sqref="BG19">
    <cfRule type="expression" priority="4388">
      <formula>IF(#REF!="Vertical/Ambient",80)</formula>
    </cfRule>
  </conditionalFormatting>
  <conditionalFormatting sqref="BG21">
    <cfRule type="expression" priority="4316">
      <formula>IF(#REF!="Vertical/Ambient",80)</formula>
    </cfRule>
  </conditionalFormatting>
  <conditionalFormatting sqref="BG23">
    <cfRule type="expression" priority="4244">
      <formula>IF(#REF!="Vertical/Ambient",80)</formula>
    </cfRule>
  </conditionalFormatting>
  <conditionalFormatting sqref="BG25">
    <cfRule type="expression" priority="4172">
      <formula>IF(#REF!="Vertical/Ambient",80)</formula>
    </cfRule>
  </conditionalFormatting>
  <conditionalFormatting sqref="BG27">
    <cfRule type="expression" priority="4100">
      <formula>IF(#REF!="Vertical/Ambient",80)</formula>
    </cfRule>
  </conditionalFormatting>
  <conditionalFormatting sqref="BG29">
    <cfRule type="expression" priority="4028">
      <formula>IF(#REF!="Vertical/Ambient",80)</formula>
    </cfRule>
  </conditionalFormatting>
  <conditionalFormatting sqref="BG31">
    <cfRule type="expression" priority="3956">
      <formula>IF(#REF!="Vertical/Ambient",80)</formula>
    </cfRule>
  </conditionalFormatting>
  <conditionalFormatting sqref="BG33">
    <cfRule type="expression" priority="3884">
      <formula>IF(#REF!="Vertical/Ambient",80)</formula>
    </cfRule>
  </conditionalFormatting>
  <conditionalFormatting sqref="BG35">
    <cfRule type="expression" priority="3812">
      <formula>IF(#REF!="Vertical/Ambient",80)</formula>
    </cfRule>
  </conditionalFormatting>
  <conditionalFormatting sqref="BG37">
    <cfRule type="expression" priority="3740">
      <formula>IF(#REF!="Vertical/Ambient",80)</formula>
    </cfRule>
  </conditionalFormatting>
  <conditionalFormatting sqref="BG39">
    <cfRule type="expression" priority="3668">
      <formula>IF(#REF!="Vertical/Ambient",80)</formula>
    </cfRule>
  </conditionalFormatting>
  <conditionalFormatting sqref="BG41">
    <cfRule type="expression" priority="3596">
      <formula>IF(#REF!="Vertical/Ambient",80)</formula>
    </cfRule>
  </conditionalFormatting>
  <conditionalFormatting sqref="BG43">
    <cfRule type="expression" priority="3524">
      <formula>IF(#REF!="Vertical/Ambient",80)</formula>
    </cfRule>
  </conditionalFormatting>
  <conditionalFormatting sqref="BG45">
    <cfRule type="expression" priority="3452">
      <formula>IF(#REF!="Vertical/Ambient",80)</formula>
    </cfRule>
  </conditionalFormatting>
  <conditionalFormatting sqref="BG47">
    <cfRule type="expression" priority="3380">
      <formula>IF(#REF!="Vertical/Ambient",80)</formula>
    </cfRule>
  </conditionalFormatting>
  <conditionalFormatting sqref="BG49">
    <cfRule type="expression" priority="3308">
      <formula>IF(#REF!="Vertical/Ambient",80)</formula>
    </cfRule>
  </conditionalFormatting>
  <conditionalFormatting sqref="BG51">
    <cfRule type="expression" priority="3236">
      <formula>IF(#REF!="Vertical/Ambient",80)</formula>
    </cfRule>
  </conditionalFormatting>
  <conditionalFormatting sqref="BG53">
    <cfRule type="expression" priority="3164">
      <formula>IF(#REF!="Vertical/Ambient",80)</formula>
    </cfRule>
  </conditionalFormatting>
  <conditionalFormatting sqref="BG55">
    <cfRule type="expression" priority="3092">
      <formula>IF(#REF!="Vertical/Ambient",80)</formula>
    </cfRule>
  </conditionalFormatting>
  <conditionalFormatting sqref="BG57">
    <cfRule type="expression" priority="3020">
      <formula>IF(#REF!="Vertical/Ambient",80)</formula>
    </cfRule>
  </conditionalFormatting>
  <conditionalFormatting sqref="BG59 BG61">
    <cfRule type="expression" priority="2948">
      <formula>IF(#REF!="Vertical/Ambient",80)</formula>
    </cfRule>
  </conditionalFormatting>
  <conditionalFormatting sqref="BG63">
    <cfRule type="expression" priority="2876">
      <formula>IF(#REF!="Vertical/Ambient",80)</formula>
    </cfRule>
  </conditionalFormatting>
  <conditionalFormatting sqref="BG65">
    <cfRule type="expression" priority="2804">
      <formula>IF(#REF!="Vertical/Ambient",80)</formula>
    </cfRule>
  </conditionalFormatting>
  <conditionalFormatting sqref="BG67">
    <cfRule type="expression" priority="2732">
      <formula>IF(#REF!="Vertical/Ambient",80)</formula>
    </cfRule>
  </conditionalFormatting>
  <conditionalFormatting sqref="BG69">
    <cfRule type="expression" priority="2660">
      <formula>IF(#REF!="Vertical/Ambient",80)</formula>
    </cfRule>
  </conditionalFormatting>
  <conditionalFormatting sqref="BG71">
    <cfRule type="expression" priority="2588">
      <formula>IF(#REF!="Vertical/Ambient",80)</formula>
    </cfRule>
  </conditionalFormatting>
  <conditionalFormatting sqref="BG73">
    <cfRule type="expression" priority="2516">
      <formula>IF(#REF!="Vertical/Ambient",80)</formula>
    </cfRule>
  </conditionalFormatting>
  <conditionalFormatting sqref="BG75">
    <cfRule type="expression" priority="2444">
      <formula>IF(#REF!="Vertical/Ambient",80)</formula>
    </cfRule>
  </conditionalFormatting>
  <conditionalFormatting sqref="BG77">
    <cfRule type="expression" priority="2372">
      <formula>IF(#REF!="Vertical/Ambient",80)</formula>
    </cfRule>
  </conditionalFormatting>
  <conditionalFormatting sqref="BG79">
    <cfRule type="expression" priority="2300">
      <formula>IF(#REF!="Vertical/Ambient",80)</formula>
    </cfRule>
  </conditionalFormatting>
  <conditionalFormatting sqref="BG81">
    <cfRule type="expression" priority="2228">
      <formula>IF(#REF!="Vertical/Ambient",80)</formula>
    </cfRule>
  </conditionalFormatting>
  <conditionalFormatting sqref="BG83">
    <cfRule type="expression" priority="2156">
      <formula>IF(#REF!="Vertical/Ambient",80)</formula>
    </cfRule>
  </conditionalFormatting>
  <conditionalFormatting sqref="BG85">
    <cfRule type="expression" priority="2084">
      <formula>IF(#REF!="Vertical/Ambient",80)</formula>
    </cfRule>
  </conditionalFormatting>
  <conditionalFormatting sqref="BG87">
    <cfRule type="expression" priority="2012">
      <formula>IF(#REF!="Vertical/Ambient",80)</formula>
    </cfRule>
  </conditionalFormatting>
  <conditionalFormatting sqref="BG89">
    <cfRule type="expression" priority="1940">
      <formula>IF(#REF!="Vertical/Ambient",80)</formula>
    </cfRule>
  </conditionalFormatting>
  <conditionalFormatting sqref="BG91">
    <cfRule type="expression" priority="1868">
      <formula>IF(#REF!="Vertical/Ambient",80)</formula>
    </cfRule>
  </conditionalFormatting>
  <conditionalFormatting sqref="BG93">
    <cfRule type="expression" priority="1796">
      <formula>IF(#REF!="Vertical/Ambient",80)</formula>
    </cfRule>
  </conditionalFormatting>
  <conditionalFormatting sqref="BG95">
    <cfRule type="expression" priority="1724">
      <formula>IF(#REF!="Vertical/Ambient",80)</formula>
    </cfRule>
  </conditionalFormatting>
  <conditionalFormatting sqref="BG97">
    <cfRule type="expression" priority="1652">
      <formula>IF(#REF!="Vertical/Ambient",80)</formula>
    </cfRule>
  </conditionalFormatting>
  <conditionalFormatting sqref="BG99">
    <cfRule type="expression" priority="1580">
      <formula>IF(#REF!="Vertical/Ambient",80)</formula>
    </cfRule>
  </conditionalFormatting>
  <conditionalFormatting sqref="BG101">
    <cfRule type="expression" priority="1508">
      <formula>IF(#REF!="Vertical/Ambient",80)</formula>
    </cfRule>
  </conditionalFormatting>
  <conditionalFormatting sqref="BG103">
    <cfRule type="expression" priority="1436">
      <formula>IF(#REF!="Vertical/Ambient",80)</formula>
    </cfRule>
  </conditionalFormatting>
  <conditionalFormatting sqref="BG105 BG107">
    <cfRule type="expression" priority="1408">
      <formula>IF(#REF!="Vertical/Ambient",80)</formula>
    </cfRule>
  </conditionalFormatting>
  <conditionalFormatting sqref="BG109">
    <cfRule type="expression" priority="1232">
      <formula>IF(#REF!="Vertical/Ambient",80)</formula>
    </cfRule>
  </conditionalFormatting>
  <conditionalFormatting sqref="BG111">
    <cfRule type="expression" priority="1160">
      <formula>IF(#REF!="Vertical/Ambient",80)</formula>
    </cfRule>
  </conditionalFormatting>
  <conditionalFormatting sqref="BG113">
    <cfRule type="expression" priority="1088">
      <formula>IF(#REF!="Vertical/Ambient",80)</formula>
    </cfRule>
  </conditionalFormatting>
  <conditionalFormatting sqref="BG115">
    <cfRule type="expression" priority="1016">
      <formula>IF(#REF!="Vertical/Ambient",80)</formula>
    </cfRule>
  </conditionalFormatting>
  <conditionalFormatting sqref="BG117">
    <cfRule type="expression" priority="944">
      <formula>IF(#REF!="Vertical/Ambient",80)</formula>
    </cfRule>
  </conditionalFormatting>
  <conditionalFormatting sqref="BG119 BG121 BG123">
    <cfRule type="expression" priority="872">
      <formula>IF(#REF!="Vertical/Ambient",80)</formula>
    </cfRule>
  </conditionalFormatting>
  <conditionalFormatting sqref="BG125 BG127 BG129">
    <cfRule type="expression" priority="724">
      <formula>IF(#REF!="Vertical/Ambient",80)</formula>
    </cfRule>
  </conditionalFormatting>
  <conditionalFormatting sqref="BG131">
    <cfRule type="expression" priority="668">
      <formula>IF(#REF!="Vertical/Ambient",80)</formula>
    </cfRule>
  </conditionalFormatting>
  <conditionalFormatting sqref="BG133">
    <cfRule type="expression" priority="416">
      <formula>IF(#REF!="Vertical/Ambient",80)</formula>
    </cfRule>
  </conditionalFormatting>
  <conditionalFormatting sqref="BG135">
    <cfRule type="expression" priority="344">
      <formula>IF(#REF!="Vertical/Ambient",80)</formula>
    </cfRule>
  </conditionalFormatting>
  <conditionalFormatting sqref="BG137 BG139">
    <cfRule type="expression" priority="272">
      <formula>IF(#REF!="Vertical/Ambient",80)</formula>
    </cfRule>
  </conditionalFormatting>
  <conditionalFormatting sqref="BG141">
    <cfRule type="expression" priority="64">
      <formula>IF(#REF!="Vertical/Ambient",80)</formula>
    </cfRule>
  </conditionalFormatting>
  <conditionalFormatting sqref="BL9">
    <cfRule type="expression" priority="5930">
      <formula>IF(#REF!="Vertical/Ambient",80)</formula>
    </cfRule>
  </conditionalFormatting>
  <conditionalFormatting sqref="BL11">
    <cfRule type="expression" priority="4598">
      <formula>IF(#REF!="Vertical/Ambient",80)</formula>
    </cfRule>
  </conditionalFormatting>
  <conditionalFormatting sqref="BL13">
    <cfRule type="expression" priority="4526">
      <formula>IF(#REF!="Vertical/Ambient",80)</formula>
    </cfRule>
  </conditionalFormatting>
  <conditionalFormatting sqref="BL15 BL17">
    <cfRule type="expression" priority="4454">
      <formula>IF(#REF!="Vertical/Ambient",80)</formula>
    </cfRule>
  </conditionalFormatting>
  <conditionalFormatting sqref="BL19">
    <cfRule type="expression" priority="4382">
      <formula>IF(#REF!="Vertical/Ambient",80)</formula>
    </cfRule>
  </conditionalFormatting>
  <conditionalFormatting sqref="BL21">
    <cfRule type="expression" priority="4310">
      <formula>IF(#REF!="Vertical/Ambient",80)</formula>
    </cfRule>
  </conditionalFormatting>
  <conditionalFormatting sqref="BL23">
    <cfRule type="expression" priority="4238">
      <formula>IF(#REF!="Vertical/Ambient",80)</formula>
    </cfRule>
  </conditionalFormatting>
  <conditionalFormatting sqref="BL25">
    <cfRule type="expression" priority="4166">
      <formula>IF(#REF!="Vertical/Ambient",80)</formula>
    </cfRule>
  </conditionalFormatting>
  <conditionalFormatting sqref="BL27">
    <cfRule type="expression" priority="4094">
      <formula>IF(#REF!="Vertical/Ambient",80)</formula>
    </cfRule>
  </conditionalFormatting>
  <conditionalFormatting sqref="BL29">
    <cfRule type="expression" priority="4022">
      <formula>IF(#REF!="Vertical/Ambient",80)</formula>
    </cfRule>
  </conditionalFormatting>
  <conditionalFormatting sqref="BL31">
    <cfRule type="expression" priority="3950">
      <formula>IF(#REF!="Vertical/Ambient",80)</formula>
    </cfRule>
  </conditionalFormatting>
  <conditionalFormatting sqref="BL33">
    <cfRule type="expression" priority="3878">
      <formula>IF(#REF!="Vertical/Ambient",80)</formula>
    </cfRule>
  </conditionalFormatting>
  <conditionalFormatting sqref="BL35">
    <cfRule type="expression" priority="3806">
      <formula>IF(#REF!="Vertical/Ambient",80)</formula>
    </cfRule>
  </conditionalFormatting>
  <conditionalFormatting sqref="BL37">
    <cfRule type="expression" priority="3734">
      <formula>IF(#REF!="Vertical/Ambient",80)</formula>
    </cfRule>
  </conditionalFormatting>
  <conditionalFormatting sqref="BL39">
    <cfRule type="expression" priority="3662">
      <formula>IF(#REF!="Vertical/Ambient",80)</formula>
    </cfRule>
  </conditionalFormatting>
  <conditionalFormatting sqref="BL41">
    <cfRule type="expression" priority="3590">
      <formula>IF(#REF!="Vertical/Ambient",80)</formula>
    </cfRule>
  </conditionalFormatting>
  <conditionalFormatting sqref="BL43">
    <cfRule type="expression" priority="3518">
      <formula>IF(#REF!="Vertical/Ambient",80)</formula>
    </cfRule>
  </conditionalFormatting>
  <conditionalFormatting sqref="BL45">
    <cfRule type="expression" priority="3446">
      <formula>IF(#REF!="Vertical/Ambient",80)</formula>
    </cfRule>
  </conditionalFormatting>
  <conditionalFormatting sqref="BL47">
    <cfRule type="expression" priority="3374">
      <formula>IF(#REF!="Vertical/Ambient",80)</formula>
    </cfRule>
  </conditionalFormatting>
  <conditionalFormatting sqref="BL49">
    <cfRule type="expression" priority="3302">
      <formula>IF(#REF!="Vertical/Ambient",80)</formula>
    </cfRule>
  </conditionalFormatting>
  <conditionalFormatting sqref="BL51">
    <cfRule type="expression" priority="3230">
      <formula>IF(#REF!="Vertical/Ambient",80)</formula>
    </cfRule>
  </conditionalFormatting>
  <conditionalFormatting sqref="BL53">
    <cfRule type="expression" priority="3158">
      <formula>IF(#REF!="Vertical/Ambient",80)</formula>
    </cfRule>
  </conditionalFormatting>
  <conditionalFormatting sqref="BL55">
    <cfRule type="expression" priority="3086">
      <formula>IF(#REF!="Vertical/Ambient",80)</formula>
    </cfRule>
  </conditionalFormatting>
  <conditionalFormatting sqref="BL57">
    <cfRule type="expression" priority="3014">
      <formula>IF(#REF!="Vertical/Ambient",80)</formula>
    </cfRule>
  </conditionalFormatting>
  <conditionalFormatting sqref="BL59 BL61">
    <cfRule type="expression" priority="2942">
      <formula>IF(#REF!="Vertical/Ambient",80)</formula>
    </cfRule>
  </conditionalFormatting>
  <conditionalFormatting sqref="BL63">
    <cfRule type="expression" priority="2870">
      <formula>IF(#REF!="Vertical/Ambient",80)</formula>
    </cfRule>
  </conditionalFormatting>
  <conditionalFormatting sqref="BL65">
    <cfRule type="expression" priority="2798">
      <formula>IF(#REF!="Vertical/Ambient",80)</formula>
    </cfRule>
  </conditionalFormatting>
  <conditionalFormatting sqref="BL67">
    <cfRule type="expression" priority="2726">
      <formula>IF(#REF!="Vertical/Ambient",80)</formula>
    </cfRule>
  </conditionalFormatting>
  <conditionalFormatting sqref="BL69">
    <cfRule type="expression" priority="2654">
      <formula>IF(#REF!="Vertical/Ambient",80)</formula>
    </cfRule>
  </conditionalFormatting>
  <conditionalFormatting sqref="BL71">
    <cfRule type="expression" priority="2582">
      <formula>IF(#REF!="Vertical/Ambient",80)</formula>
    </cfRule>
  </conditionalFormatting>
  <conditionalFormatting sqref="BL73">
    <cfRule type="expression" priority="2510">
      <formula>IF(#REF!="Vertical/Ambient",80)</formula>
    </cfRule>
  </conditionalFormatting>
  <conditionalFormatting sqref="BL75">
    <cfRule type="expression" priority="2438">
      <formula>IF(#REF!="Vertical/Ambient",80)</formula>
    </cfRule>
  </conditionalFormatting>
  <conditionalFormatting sqref="BL77">
    <cfRule type="expression" priority="2366">
      <formula>IF(#REF!="Vertical/Ambient",80)</formula>
    </cfRule>
  </conditionalFormatting>
  <conditionalFormatting sqref="BL79">
    <cfRule type="expression" priority="2294">
      <formula>IF(#REF!="Vertical/Ambient",80)</formula>
    </cfRule>
  </conditionalFormatting>
  <conditionalFormatting sqref="BL81">
    <cfRule type="expression" priority="2222">
      <formula>IF(#REF!="Vertical/Ambient",80)</formula>
    </cfRule>
  </conditionalFormatting>
  <conditionalFormatting sqref="BL83">
    <cfRule type="expression" priority="2150">
      <formula>IF(#REF!="Vertical/Ambient",80)</formula>
    </cfRule>
  </conditionalFormatting>
  <conditionalFormatting sqref="BL85">
    <cfRule type="expression" priority="2078">
      <formula>IF(#REF!="Vertical/Ambient",80)</formula>
    </cfRule>
  </conditionalFormatting>
  <conditionalFormatting sqref="BL87">
    <cfRule type="expression" priority="2006">
      <formula>IF(#REF!="Vertical/Ambient",80)</formula>
    </cfRule>
  </conditionalFormatting>
  <conditionalFormatting sqref="BL89">
    <cfRule type="expression" priority="1934">
      <formula>IF(#REF!="Vertical/Ambient",80)</formula>
    </cfRule>
  </conditionalFormatting>
  <conditionalFormatting sqref="BL91">
    <cfRule type="expression" priority="1862">
      <formula>IF(#REF!="Vertical/Ambient",80)</formula>
    </cfRule>
  </conditionalFormatting>
  <conditionalFormatting sqref="BL93">
    <cfRule type="expression" priority="1790">
      <formula>IF(#REF!="Vertical/Ambient",80)</formula>
    </cfRule>
  </conditionalFormatting>
  <conditionalFormatting sqref="BL95">
    <cfRule type="expression" priority="1718">
      <formula>IF(#REF!="Vertical/Ambient",80)</formula>
    </cfRule>
  </conditionalFormatting>
  <conditionalFormatting sqref="BL97">
    <cfRule type="expression" priority="1646">
      <formula>IF(#REF!="Vertical/Ambient",80)</formula>
    </cfRule>
  </conditionalFormatting>
  <conditionalFormatting sqref="BL99">
    <cfRule type="expression" priority="1574">
      <formula>IF(#REF!="Vertical/Ambient",80)</formula>
    </cfRule>
  </conditionalFormatting>
  <conditionalFormatting sqref="BL101">
    <cfRule type="expression" priority="1502">
      <formula>IF(#REF!="Vertical/Ambient",80)</formula>
    </cfRule>
  </conditionalFormatting>
  <conditionalFormatting sqref="BL103">
    <cfRule type="expression" priority="1430">
      <formula>IF(#REF!="Vertical/Ambient",80)</formula>
    </cfRule>
  </conditionalFormatting>
  <conditionalFormatting sqref="BL105 BL107">
    <cfRule type="expression" priority="1407">
      <formula>IF(#REF!="Vertical/Ambient",80)</formula>
    </cfRule>
  </conditionalFormatting>
  <conditionalFormatting sqref="BL109">
    <cfRule type="expression" priority="1226">
      <formula>IF(#REF!="Vertical/Ambient",80)</formula>
    </cfRule>
  </conditionalFormatting>
  <conditionalFormatting sqref="BL111">
    <cfRule type="expression" priority="1154">
      <formula>IF(#REF!="Vertical/Ambient",80)</formula>
    </cfRule>
  </conditionalFormatting>
  <conditionalFormatting sqref="BL113">
    <cfRule type="expression" priority="1082">
      <formula>IF(#REF!="Vertical/Ambient",80)</formula>
    </cfRule>
  </conditionalFormatting>
  <conditionalFormatting sqref="BL115">
    <cfRule type="expression" priority="1010">
      <formula>IF(#REF!="Vertical/Ambient",80)</formula>
    </cfRule>
  </conditionalFormatting>
  <conditionalFormatting sqref="BL117">
    <cfRule type="expression" priority="938">
      <formula>IF(#REF!="Vertical/Ambient",80)</formula>
    </cfRule>
  </conditionalFormatting>
  <conditionalFormatting sqref="BL119 BL121 BL123">
    <cfRule type="expression" priority="866">
      <formula>IF(#REF!="Vertical/Ambient",80)</formula>
    </cfRule>
  </conditionalFormatting>
  <conditionalFormatting sqref="BL125 BL127 BL129">
    <cfRule type="expression" priority="723">
      <formula>IF(#REF!="Vertical/Ambient",80)</formula>
    </cfRule>
  </conditionalFormatting>
  <conditionalFormatting sqref="BL131">
    <cfRule type="expression" priority="662">
      <formula>IF(#REF!="Vertical/Ambient",80)</formula>
    </cfRule>
  </conditionalFormatting>
  <conditionalFormatting sqref="BL133">
    <cfRule type="expression" priority="410">
      <formula>IF(#REF!="Vertical/Ambient",80)</formula>
    </cfRule>
  </conditionalFormatting>
  <conditionalFormatting sqref="BL135">
    <cfRule type="expression" priority="338">
      <formula>IF(#REF!="Vertical/Ambient",80)</formula>
    </cfRule>
  </conditionalFormatting>
  <conditionalFormatting sqref="BL137 BL139">
    <cfRule type="expression" priority="266">
      <formula>IF(#REF!="Vertical/Ambient",80)</formula>
    </cfRule>
  </conditionalFormatting>
  <conditionalFormatting sqref="BL141">
    <cfRule type="expression" priority="63">
      <formula>IF(#REF!="Vertical/Ambient",80)</formula>
    </cfRule>
  </conditionalFormatting>
  <conditionalFormatting sqref="BQ9">
    <cfRule type="expression" priority="5924">
      <formula>IF(#REF!="Vertical/Ambient",80)</formula>
    </cfRule>
  </conditionalFormatting>
  <conditionalFormatting sqref="BQ11">
    <cfRule type="expression" priority="4592">
      <formula>IF(#REF!="Vertical/Ambient",80)</formula>
    </cfRule>
  </conditionalFormatting>
  <conditionalFormatting sqref="BQ13">
    <cfRule type="expression" priority="4520">
      <formula>IF(#REF!="Vertical/Ambient",80)</formula>
    </cfRule>
  </conditionalFormatting>
  <conditionalFormatting sqref="BQ15 BQ17">
    <cfRule type="expression" priority="4448">
      <formula>IF(#REF!="Vertical/Ambient",80)</formula>
    </cfRule>
  </conditionalFormatting>
  <conditionalFormatting sqref="BQ19">
    <cfRule type="expression" priority="4376">
      <formula>IF(#REF!="Vertical/Ambient",80)</formula>
    </cfRule>
  </conditionalFormatting>
  <conditionalFormatting sqref="BQ21">
    <cfRule type="expression" priority="4304">
      <formula>IF(#REF!="Vertical/Ambient",80)</formula>
    </cfRule>
  </conditionalFormatting>
  <conditionalFormatting sqref="BQ23">
    <cfRule type="expression" priority="4232">
      <formula>IF(#REF!="Vertical/Ambient",80)</formula>
    </cfRule>
  </conditionalFormatting>
  <conditionalFormatting sqref="BQ25">
    <cfRule type="expression" priority="4160">
      <formula>IF(#REF!="Vertical/Ambient",80)</formula>
    </cfRule>
  </conditionalFormatting>
  <conditionalFormatting sqref="BQ27">
    <cfRule type="expression" priority="4088">
      <formula>IF(#REF!="Vertical/Ambient",80)</formula>
    </cfRule>
  </conditionalFormatting>
  <conditionalFormatting sqref="BQ29">
    <cfRule type="expression" priority="4016">
      <formula>IF(#REF!="Vertical/Ambient",80)</formula>
    </cfRule>
  </conditionalFormatting>
  <conditionalFormatting sqref="BQ31">
    <cfRule type="expression" priority="3944">
      <formula>IF(#REF!="Vertical/Ambient",80)</formula>
    </cfRule>
  </conditionalFormatting>
  <conditionalFormatting sqref="BQ33">
    <cfRule type="expression" priority="3872">
      <formula>IF(#REF!="Vertical/Ambient",80)</formula>
    </cfRule>
  </conditionalFormatting>
  <conditionalFormatting sqref="BQ35">
    <cfRule type="expression" priority="3800">
      <formula>IF(#REF!="Vertical/Ambient",80)</formula>
    </cfRule>
  </conditionalFormatting>
  <conditionalFormatting sqref="BQ37">
    <cfRule type="expression" priority="3728">
      <formula>IF(#REF!="Vertical/Ambient",80)</formula>
    </cfRule>
  </conditionalFormatting>
  <conditionalFormatting sqref="BQ39">
    <cfRule type="expression" priority="3656">
      <formula>IF(#REF!="Vertical/Ambient",80)</formula>
    </cfRule>
  </conditionalFormatting>
  <conditionalFormatting sqref="BQ41">
    <cfRule type="expression" priority="3584">
      <formula>IF(#REF!="Vertical/Ambient",80)</formula>
    </cfRule>
  </conditionalFormatting>
  <conditionalFormatting sqref="BQ43">
    <cfRule type="expression" priority="3512">
      <formula>IF(#REF!="Vertical/Ambient",80)</formula>
    </cfRule>
  </conditionalFormatting>
  <conditionalFormatting sqref="BQ45">
    <cfRule type="expression" priority="3440">
      <formula>IF(#REF!="Vertical/Ambient",80)</formula>
    </cfRule>
  </conditionalFormatting>
  <conditionalFormatting sqref="BQ47">
    <cfRule type="expression" priority="3368">
      <formula>IF(#REF!="Vertical/Ambient",80)</formula>
    </cfRule>
  </conditionalFormatting>
  <conditionalFormatting sqref="BQ49">
    <cfRule type="expression" priority="3296">
      <formula>IF(#REF!="Vertical/Ambient",80)</formula>
    </cfRule>
  </conditionalFormatting>
  <conditionalFormatting sqref="BQ51">
    <cfRule type="expression" priority="3224">
      <formula>IF(#REF!="Vertical/Ambient",80)</formula>
    </cfRule>
  </conditionalFormatting>
  <conditionalFormatting sqref="BQ53">
    <cfRule type="expression" priority="3152">
      <formula>IF(#REF!="Vertical/Ambient",80)</formula>
    </cfRule>
  </conditionalFormatting>
  <conditionalFormatting sqref="BQ55">
    <cfRule type="expression" priority="3080">
      <formula>IF(#REF!="Vertical/Ambient",80)</formula>
    </cfRule>
  </conditionalFormatting>
  <conditionalFormatting sqref="BQ57">
    <cfRule type="expression" priority="3008">
      <formula>IF(#REF!="Vertical/Ambient",80)</formula>
    </cfRule>
  </conditionalFormatting>
  <conditionalFormatting sqref="BQ59 BQ61">
    <cfRule type="expression" priority="2936">
      <formula>IF(#REF!="Vertical/Ambient",80)</formula>
    </cfRule>
  </conditionalFormatting>
  <conditionalFormatting sqref="BQ63">
    <cfRule type="expression" priority="2864">
      <formula>IF(#REF!="Vertical/Ambient",80)</formula>
    </cfRule>
  </conditionalFormatting>
  <conditionalFormatting sqref="BQ65">
    <cfRule type="expression" priority="2792">
      <formula>IF(#REF!="Vertical/Ambient",80)</formula>
    </cfRule>
  </conditionalFormatting>
  <conditionalFormatting sqref="BQ67">
    <cfRule type="expression" priority="2720">
      <formula>IF(#REF!="Vertical/Ambient",80)</formula>
    </cfRule>
  </conditionalFormatting>
  <conditionalFormatting sqref="BQ69">
    <cfRule type="expression" priority="2648">
      <formula>IF(#REF!="Vertical/Ambient",80)</formula>
    </cfRule>
  </conditionalFormatting>
  <conditionalFormatting sqref="BQ71">
    <cfRule type="expression" priority="2576">
      <formula>IF(#REF!="Vertical/Ambient",80)</formula>
    </cfRule>
  </conditionalFormatting>
  <conditionalFormatting sqref="BQ73">
    <cfRule type="expression" priority="2504">
      <formula>IF(#REF!="Vertical/Ambient",80)</formula>
    </cfRule>
  </conditionalFormatting>
  <conditionalFormatting sqref="BQ75">
    <cfRule type="expression" priority="2432">
      <formula>IF(#REF!="Vertical/Ambient",80)</formula>
    </cfRule>
  </conditionalFormatting>
  <conditionalFormatting sqref="BQ77">
    <cfRule type="expression" priority="2360">
      <formula>IF(#REF!="Vertical/Ambient",80)</formula>
    </cfRule>
  </conditionalFormatting>
  <conditionalFormatting sqref="BQ79">
    <cfRule type="expression" priority="2288">
      <formula>IF(#REF!="Vertical/Ambient",80)</formula>
    </cfRule>
  </conditionalFormatting>
  <conditionalFormatting sqref="BQ81">
    <cfRule type="expression" priority="2216">
      <formula>IF(#REF!="Vertical/Ambient",80)</formula>
    </cfRule>
  </conditionalFormatting>
  <conditionalFormatting sqref="BQ83">
    <cfRule type="expression" priority="2144">
      <formula>IF(#REF!="Vertical/Ambient",80)</formula>
    </cfRule>
  </conditionalFormatting>
  <conditionalFormatting sqref="BQ85">
    <cfRule type="expression" priority="2072">
      <formula>IF(#REF!="Vertical/Ambient",80)</formula>
    </cfRule>
  </conditionalFormatting>
  <conditionalFormatting sqref="BQ87">
    <cfRule type="expression" priority="2000">
      <formula>IF(#REF!="Vertical/Ambient",80)</formula>
    </cfRule>
  </conditionalFormatting>
  <conditionalFormatting sqref="BQ89">
    <cfRule type="expression" priority="1928">
      <formula>IF(#REF!="Vertical/Ambient",80)</formula>
    </cfRule>
  </conditionalFormatting>
  <conditionalFormatting sqref="BQ91">
    <cfRule type="expression" priority="1856">
      <formula>IF(#REF!="Vertical/Ambient",80)</formula>
    </cfRule>
  </conditionalFormatting>
  <conditionalFormatting sqref="BQ93">
    <cfRule type="expression" priority="1784">
      <formula>IF(#REF!="Vertical/Ambient",80)</formula>
    </cfRule>
  </conditionalFormatting>
  <conditionalFormatting sqref="BQ95">
    <cfRule type="expression" priority="1712">
      <formula>IF(#REF!="Vertical/Ambient",80)</formula>
    </cfRule>
  </conditionalFormatting>
  <conditionalFormatting sqref="BQ97">
    <cfRule type="expression" priority="1640">
      <formula>IF(#REF!="Vertical/Ambient",80)</formula>
    </cfRule>
  </conditionalFormatting>
  <conditionalFormatting sqref="BQ99">
    <cfRule type="expression" priority="1568">
      <formula>IF(#REF!="Vertical/Ambient",80)</formula>
    </cfRule>
  </conditionalFormatting>
  <conditionalFormatting sqref="BQ101">
    <cfRule type="expression" priority="1496">
      <formula>IF(#REF!="Vertical/Ambient",80)</formula>
    </cfRule>
  </conditionalFormatting>
  <conditionalFormatting sqref="BQ103">
    <cfRule type="expression" priority="1424">
      <formula>IF(#REF!="Vertical/Ambient",80)</formula>
    </cfRule>
  </conditionalFormatting>
  <conditionalFormatting sqref="BQ105 BQ107">
    <cfRule type="expression" priority="1406">
      <formula>IF(#REF!="Vertical/Ambient",80)</formula>
    </cfRule>
  </conditionalFormatting>
  <conditionalFormatting sqref="BQ109">
    <cfRule type="expression" priority="1220">
      <formula>IF(#REF!="Vertical/Ambient",80)</formula>
    </cfRule>
  </conditionalFormatting>
  <conditionalFormatting sqref="BQ111">
    <cfRule type="expression" priority="1148">
      <formula>IF(#REF!="Vertical/Ambient",80)</formula>
    </cfRule>
  </conditionalFormatting>
  <conditionalFormatting sqref="BQ113">
    <cfRule type="expression" priority="1076">
      <formula>IF(#REF!="Vertical/Ambient",80)</formula>
    </cfRule>
  </conditionalFormatting>
  <conditionalFormatting sqref="BQ115">
    <cfRule type="expression" priority="1004">
      <formula>IF(#REF!="Vertical/Ambient",80)</formula>
    </cfRule>
  </conditionalFormatting>
  <conditionalFormatting sqref="BQ117">
    <cfRule type="expression" priority="932">
      <formula>IF(#REF!="Vertical/Ambient",80)</formula>
    </cfRule>
  </conditionalFormatting>
  <conditionalFormatting sqref="BQ119 BQ121 BQ123">
    <cfRule type="expression" priority="860">
      <formula>IF(#REF!="Vertical/Ambient",80)</formula>
    </cfRule>
  </conditionalFormatting>
  <conditionalFormatting sqref="BQ125 BQ127 BQ129">
    <cfRule type="expression" priority="722">
      <formula>IF(#REF!="Vertical/Ambient",80)</formula>
    </cfRule>
  </conditionalFormatting>
  <conditionalFormatting sqref="BQ131">
    <cfRule type="expression" priority="656">
      <formula>IF(#REF!="Vertical/Ambient",80)</formula>
    </cfRule>
  </conditionalFormatting>
  <conditionalFormatting sqref="BQ133">
    <cfRule type="expression" priority="404">
      <formula>IF(#REF!="Vertical/Ambient",80)</formula>
    </cfRule>
  </conditionalFormatting>
  <conditionalFormatting sqref="BQ135">
    <cfRule type="expression" priority="332">
      <formula>IF(#REF!="Vertical/Ambient",80)</formula>
    </cfRule>
  </conditionalFormatting>
  <conditionalFormatting sqref="BQ137 BQ139">
    <cfRule type="expression" priority="260">
      <formula>IF(#REF!="Vertical/Ambient",80)</formula>
    </cfRule>
  </conditionalFormatting>
  <conditionalFormatting sqref="BQ141">
    <cfRule type="expression" priority="62">
      <formula>IF(#REF!="Vertical/Ambient",80)</formula>
    </cfRule>
  </conditionalFormatting>
  <conditionalFormatting sqref="BV9">
    <cfRule type="expression" priority="5918">
      <formula>IF(#REF!="Vertical/Ambient",80)</formula>
    </cfRule>
  </conditionalFormatting>
  <conditionalFormatting sqref="BV11">
    <cfRule type="expression" priority="4586">
      <formula>IF(#REF!="Vertical/Ambient",80)</formula>
    </cfRule>
  </conditionalFormatting>
  <conditionalFormatting sqref="BV13">
    <cfRule type="expression" priority="4514">
      <formula>IF(#REF!="Vertical/Ambient",80)</formula>
    </cfRule>
  </conditionalFormatting>
  <conditionalFormatting sqref="BV15 BV17">
    <cfRule type="expression" priority="4442">
      <formula>IF(#REF!="Vertical/Ambient",80)</formula>
    </cfRule>
  </conditionalFormatting>
  <conditionalFormatting sqref="BV19">
    <cfRule type="expression" priority="4370">
      <formula>IF(#REF!="Vertical/Ambient",80)</formula>
    </cfRule>
  </conditionalFormatting>
  <conditionalFormatting sqref="BV21">
    <cfRule type="expression" priority="4298">
      <formula>IF(#REF!="Vertical/Ambient",80)</formula>
    </cfRule>
  </conditionalFormatting>
  <conditionalFormatting sqref="BV23">
    <cfRule type="expression" priority="4226">
      <formula>IF(#REF!="Vertical/Ambient",80)</formula>
    </cfRule>
  </conditionalFormatting>
  <conditionalFormatting sqref="BV25">
    <cfRule type="expression" priority="4154">
      <formula>IF(#REF!="Vertical/Ambient",80)</formula>
    </cfRule>
  </conditionalFormatting>
  <conditionalFormatting sqref="BV27">
    <cfRule type="expression" priority="4082">
      <formula>IF(#REF!="Vertical/Ambient",80)</formula>
    </cfRule>
  </conditionalFormatting>
  <conditionalFormatting sqref="BV29">
    <cfRule type="expression" priority="4010">
      <formula>IF(#REF!="Vertical/Ambient",80)</formula>
    </cfRule>
  </conditionalFormatting>
  <conditionalFormatting sqref="BV31">
    <cfRule type="expression" priority="3938">
      <formula>IF(#REF!="Vertical/Ambient",80)</formula>
    </cfRule>
  </conditionalFormatting>
  <conditionalFormatting sqref="BV33">
    <cfRule type="expression" priority="3866">
      <formula>IF(#REF!="Vertical/Ambient",80)</formula>
    </cfRule>
  </conditionalFormatting>
  <conditionalFormatting sqref="BV35">
    <cfRule type="expression" priority="3794">
      <formula>IF(#REF!="Vertical/Ambient",80)</formula>
    </cfRule>
  </conditionalFormatting>
  <conditionalFormatting sqref="BV37">
    <cfRule type="expression" priority="3722">
      <formula>IF(#REF!="Vertical/Ambient",80)</formula>
    </cfRule>
  </conditionalFormatting>
  <conditionalFormatting sqref="BV39">
    <cfRule type="expression" priority="3650">
      <formula>IF(#REF!="Vertical/Ambient",80)</formula>
    </cfRule>
  </conditionalFormatting>
  <conditionalFormatting sqref="BV41">
    <cfRule type="expression" priority="3578">
      <formula>IF(#REF!="Vertical/Ambient",80)</formula>
    </cfRule>
  </conditionalFormatting>
  <conditionalFormatting sqref="BV43">
    <cfRule type="expression" priority="3506">
      <formula>IF(#REF!="Vertical/Ambient",80)</formula>
    </cfRule>
  </conditionalFormatting>
  <conditionalFormatting sqref="BV45">
    <cfRule type="expression" priority="3434">
      <formula>IF(#REF!="Vertical/Ambient",80)</formula>
    </cfRule>
  </conditionalFormatting>
  <conditionalFormatting sqref="BV47">
    <cfRule type="expression" priority="3362">
      <formula>IF(#REF!="Vertical/Ambient",80)</formula>
    </cfRule>
  </conditionalFormatting>
  <conditionalFormatting sqref="BV49">
    <cfRule type="expression" priority="3290">
      <formula>IF(#REF!="Vertical/Ambient",80)</formula>
    </cfRule>
  </conditionalFormatting>
  <conditionalFormatting sqref="BV51">
    <cfRule type="expression" priority="3218">
      <formula>IF(#REF!="Vertical/Ambient",80)</formula>
    </cfRule>
  </conditionalFormatting>
  <conditionalFormatting sqref="BV53">
    <cfRule type="expression" priority="3146">
      <formula>IF(#REF!="Vertical/Ambient",80)</formula>
    </cfRule>
  </conditionalFormatting>
  <conditionalFormatting sqref="BV55">
    <cfRule type="expression" priority="3074">
      <formula>IF(#REF!="Vertical/Ambient",80)</formula>
    </cfRule>
  </conditionalFormatting>
  <conditionalFormatting sqref="BV57">
    <cfRule type="expression" priority="3002">
      <formula>IF(#REF!="Vertical/Ambient",80)</formula>
    </cfRule>
  </conditionalFormatting>
  <conditionalFormatting sqref="BV59 BV61">
    <cfRule type="expression" priority="2930">
      <formula>IF(#REF!="Vertical/Ambient",80)</formula>
    </cfRule>
  </conditionalFormatting>
  <conditionalFormatting sqref="BV63">
    <cfRule type="expression" priority="2858">
      <formula>IF(#REF!="Vertical/Ambient",80)</formula>
    </cfRule>
  </conditionalFormatting>
  <conditionalFormatting sqref="BV65">
    <cfRule type="expression" priority="2786">
      <formula>IF(#REF!="Vertical/Ambient",80)</formula>
    </cfRule>
  </conditionalFormatting>
  <conditionalFormatting sqref="BV67">
    <cfRule type="expression" priority="2714">
      <formula>IF(#REF!="Vertical/Ambient",80)</formula>
    </cfRule>
  </conditionalFormatting>
  <conditionalFormatting sqref="BV69">
    <cfRule type="expression" priority="2642">
      <formula>IF(#REF!="Vertical/Ambient",80)</formula>
    </cfRule>
  </conditionalFormatting>
  <conditionalFormatting sqref="BV71">
    <cfRule type="expression" priority="2570">
      <formula>IF(#REF!="Vertical/Ambient",80)</formula>
    </cfRule>
  </conditionalFormatting>
  <conditionalFormatting sqref="BV73">
    <cfRule type="expression" priority="2498">
      <formula>IF(#REF!="Vertical/Ambient",80)</formula>
    </cfRule>
  </conditionalFormatting>
  <conditionalFormatting sqref="BV75">
    <cfRule type="expression" priority="2426">
      <formula>IF(#REF!="Vertical/Ambient",80)</formula>
    </cfRule>
  </conditionalFormatting>
  <conditionalFormatting sqref="BV77">
    <cfRule type="expression" priority="2354">
      <formula>IF(#REF!="Vertical/Ambient",80)</formula>
    </cfRule>
  </conditionalFormatting>
  <conditionalFormatting sqref="BV79">
    <cfRule type="expression" priority="2282">
      <formula>IF(#REF!="Vertical/Ambient",80)</formula>
    </cfRule>
  </conditionalFormatting>
  <conditionalFormatting sqref="BV81">
    <cfRule type="expression" priority="2210">
      <formula>IF(#REF!="Vertical/Ambient",80)</formula>
    </cfRule>
  </conditionalFormatting>
  <conditionalFormatting sqref="BV83">
    <cfRule type="expression" priority="2138">
      <formula>IF(#REF!="Vertical/Ambient",80)</formula>
    </cfRule>
  </conditionalFormatting>
  <conditionalFormatting sqref="BV85">
    <cfRule type="expression" priority="2066">
      <formula>IF(#REF!="Vertical/Ambient",80)</formula>
    </cfRule>
  </conditionalFormatting>
  <conditionalFormatting sqref="BV87">
    <cfRule type="expression" priority="1994">
      <formula>IF(#REF!="Vertical/Ambient",80)</formula>
    </cfRule>
  </conditionalFormatting>
  <conditionalFormatting sqref="BV89">
    <cfRule type="expression" priority="1922">
      <formula>IF(#REF!="Vertical/Ambient",80)</formula>
    </cfRule>
  </conditionalFormatting>
  <conditionalFormatting sqref="BV91">
    <cfRule type="expression" priority="1850">
      <formula>IF(#REF!="Vertical/Ambient",80)</formula>
    </cfRule>
  </conditionalFormatting>
  <conditionalFormatting sqref="BV93">
    <cfRule type="expression" priority="1778">
      <formula>IF(#REF!="Vertical/Ambient",80)</formula>
    </cfRule>
  </conditionalFormatting>
  <conditionalFormatting sqref="BV95">
    <cfRule type="expression" priority="1706">
      <formula>IF(#REF!="Vertical/Ambient",80)</formula>
    </cfRule>
  </conditionalFormatting>
  <conditionalFormatting sqref="BV97">
    <cfRule type="expression" priority="1634">
      <formula>IF(#REF!="Vertical/Ambient",80)</formula>
    </cfRule>
  </conditionalFormatting>
  <conditionalFormatting sqref="BV99">
    <cfRule type="expression" priority="1562">
      <formula>IF(#REF!="Vertical/Ambient",80)</formula>
    </cfRule>
  </conditionalFormatting>
  <conditionalFormatting sqref="BV101">
    <cfRule type="expression" priority="1490">
      <formula>IF(#REF!="Vertical/Ambient",80)</formula>
    </cfRule>
  </conditionalFormatting>
  <conditionalFormatting sqref="BV103">
    <cfRule type="expression" priority="1418">
      <formula>IF(#REF!="Vertical/Ambient",80)</formula>
    </cfRule>
  </conditionalFormatting>
  <conditionalFormatting sqref="BV105 BV107">
    <cfRule type="expression" priority="1405">
      <formula>IF(#REF!="Vertical/Ambient",80)</formula>
    </cfRule>
  </conditionalFormatting>
  <conditionalFormatting sqref="BV109">
    <cfRule type="expression" priority="1214">
      <formula>IF(#REF!="Vertical/Ambient",80)</formula>
    </cfRule>
  </conditionalFormatting>
  <conditionalFormatting sqref="BV111">
    <cfRule type="expression" priority="1142">
      <formula>IF(#REF!="Vertical/Ambient",80)</formula>
    </cfRule>
  </conditionalFormatting>
  <conditionalFormatting sqref="BV113">
    <cfRule type="expression" priority="1070">
      <formula>IF(#REF!="Vertical/Ambient",80)</formula>
    </cfRule>
  </conditionalFormatting>
  <conditionalFormatting sqref="BV115">
    <cfRule type="expression" priority="998">
      <formula>IF(#REF!="Vertical/Ambient",80)</formula>
    </cfRule>
  </conditionalFormatting>
  <conditionalFormatting sqref="BV117">
    <cfRule type="expression" priority="926">
      <formula>IF(#REF!="Vertical/Ambient",80)</formula>
    </cfRule>
  </conditionalFormatting>
  <conditionalFormatting sqref="BV119 BV121 BV123">
    <cfRule type="expression" priority="854">
      <formula>IF(#REF!="Vertical/Ambient",80)</formula>
    </cfRule>
  </conditionalFormatting>
  <conditionalFormatting sqref="BV125 BV127 BV129">
    <cfRule type="expression" priority="721">
      <formula>IF(#REF!="Vertical/Ambient",80)</formula>
    </cfRule>
  </conditionalFormatting>
  <conditionalFormatting sqref="BV131">
    <cfRule type="expression" priority="650">
      <formula>IF(#REF!="Vertical/Ambient",80)</formula>
    </cfRule>
  </conditionalFormatting>
  <conditionalFormatting sqref="BV133">
    <cfRule type="expression" priority="398">
      <formula>IF(#REF!="Vertical/Ambient",80)</formula>
    </cfRule>
  </conditionalFormatting>
  <conditionalFormatting sqref="BV135">
    <cfRule type="expression" priority="326">
      <formula>IF(#REF!="Vertical/Ambient",80)</formula>
    </cfRule>
  </conditionalFormatting>
  <conditionalFormatting sqref="BV137 BV139">
    <cfRule type="expression" priority="254">
      <formula>IF(#REF!="Vertical/Ambient",80)</formula>
    </cfRule>
  </conditionalFormatting>
  <conditionalFormatting sqref="BV141">
    <cfRule type="expression" priority="61">
      <formula>IF(#REF!="Vertical/Ambient",80)</formula>
    </cfRule>
  </conditionalFormatting>
  <dataValidations count="8">
    <dataValidation type="list" allowBlank="1" showInputMessage="1" showErrorMessage="1" errorTitle="Enter Numeric Value" error="Enter Positive Numeric Value Only" sqref="AQ84 AG84 AV108 W108 BA84 BK114 AV84 W84 AQ60 AB84 AL84 BF84 BK84 BP84 BU84 AQ86 AG86 BA86 AV86 W86 AB86 AL86 BP114 BF86 BK86 BP86 BU86 BU114 AB108 AL108 AQ40 AQ94 BF108 BK108 AQ124 AG124 AG94 BA94 AV94 W94 AB94 AQ10 AG10 BA10 AV10 BP108 W10 AB10 AL10 BF10 BK10 BP10 BU10 AQ20 AG20 BA20 AV20 BU108 W20 AB20 AL20 BF20 BK20 BP20 BU20 AQ32 AG32 BA32 AV32 AQ120 W32 AB32 AL32 BF32 BK32 BP32 BU32 AQ34 AG34 BA34 AV34 AG120 W34 AB34 AL34 BF34 BK34 BP34 BU34 BA124 AV124 W124 AB124 BA120 AL124 AV120 BF124 W120 AB120 BK124 AL120 BA70 AV70 W70 AB70 AL70 BF120 BF70 BP68 BU68 AG60 BK70 BP70 BU70 AQ68 BK120 AG68 BA68 AV68 W68 BA60 AB68 AL68 AV60 BF68 BK68 AQ70 AG70 AQ72 AG72 BP120 BA72 AV72 W72 AB72 AL72 W60 BF72 BK72 BP72 BU72 AQ76 BU120 AG76 BA76 AV76 W76 AB76 AL76 AB60 BF76 BK76 BP76 BU76 AQ122 AQ78 AG78 BA78 AV78 W78 AB78 AL78 AL60 BF78 BK78 BP78 AG122 BU78 AL94 BF94 BK94 BP94 BU94 AQ90 AG90 BF60 BA90 AV90 W90 AB90 AL90 BF90 BK90 BP90 BU90 AQ92 AQ36 AG36 BA36 AV36 AG92 W36 AB36 AL36 BF36 BK36 BP36 BU36 AG40 BA40 AV40 W40 BA92 AB40 AL40 BF40 BK40 AQ46 AG46 BA46 AV46 W46 AB46 AL46 BF46 BP40 BU40 BK46 BP46 BU46 AV92 W92 BP124 AB92 BU124 AL92 AQ130 AQ18 AG18 BA18 AV18 W18 AB18 BF92 AL18 BF18 BK18 BP18 BK92 BP92 BU92 BP100 BU100 BA96 AV96 W96 AB96 AL96 BF96 BK96 BP96 BU96 BA100 AV100 W100 AB100 AL100 BF100 BP98 BU98 BK100 AQ96 AG130 AG96 BA130 AV130 W130 BK60 BP60 BU60 AB130 AL130 BF130 BK130 BU18 AQ38 AG38 BA38 AV38 W38 AB38 BA122 AL38 BF38 BK38 BP38 AQ74 AG74 BA74 AV74 W74 AB74 AL74 AV122 BF74 BK74 BP74 BU74 BU38 AQ48 AG48 BA48 AV48 W48 AB48 W122 AL48 BF48 BK48 BP48 AQ80 AG80 BA80 AV80 W80 AB80 AL80 AB122 BF80 BK80 BP80 BU80 BU48 AQ50 AG50 BA50 AV50 W50 AB50 AL122 AL50 BF50 BK50 BP50 AQ82 AG82 BA82 AV82 W82 AB82 AL82 BF122 BF82 BK82 BP82 BU82 AQ88 AG88 BA88 AV88 W88 AB88 AL88 BK122 BF88 BK88 BP88 BU88 AQ102 AG102 BA102 AV102 W102 AB102 AL102 BU50 BF102 BK102 BP102 BU102 AQ64 AG64 BA64 AV64 W64 AB64 AL64 BP122 BF64 BK64 BP64 BU64 AQ66 AG66 BA66 AV66 W66 AB66 AL66 BU122 BF66 BK66 BP66 BU66 BP130 BU130 AQ98 AG98 BA98 AV98 W98 AB98 AL98 BF98 BK98 AQ100 AG100 AQ104 AG104 BA104 AV104 W104 AB104 AL104 BF104 BK104 BP104 BU104 AQ106 AG106 BA106 AV106 W106 AB106 AL106 BF106 BK106 BP106 BU106 AQ110 AG110 BA110 AV110 W110 AB110 AL110 BF110 BK110 AQ112 AG112 BA112 AV112 W112 AB112 AL112 BF112 BP110 BU110 BK112 BP112 BU112 AQ116 AG116 BA116 AV116 W116 AB116 AL116 BF116 BK116 BP116 BU116 AQ118 AG118 BA118 AV118 W118 AB118 AL118 BF118 BK118 BP118 BU118 AQ132 AG132 BA132 AV132 W132 AB132 AL132 BF132 BK132 BP132 BU132 AQ134 AG134 BA134 AV134 W134 AB134 AL134 BF134 BK134 BP134 BU134 AQ12 AG12 BA12 AV12 W12 AB12 AL12 BF12 BK12 BP12 BU12 AQ14 AG14 BA14 AV14 W14 AB14 AL14 BF14 BK14 BP14 BU14 AQ22 AG22 BA22 AV22 W22 AB22 AL22 BF22 BK22 BP22 BU22 AQ24 AG24 BA24 AV24 W24 AB24 AL24 BF24 BK24 BP24 BU24 AQ26 AG26 BA26 AV26 W26 AB26 AL26 BF26 BK26 AQ28 AG28 BA28 AV28 W28 AB28 AL28 BF28 BP26 BU26 BK28 BP28 BU28 AQ30 AG30 BA30 AV30 W30 AB30 AL30 BF30 BK30 BP30 BU30 AQ42 AG42 BA42 AV42 W42 AB42 AL42 BF42 BK42 BP42 BU42 AQ44 AG44 BA44 AV44 W44 AB44 AL44 BF44 BK44 BP44 BU44 AQ8 AG8 BA8 AV8 W8 AB8 AL8 BF8 BK8 BP8 BU8 AQ52 AG52 BA52 AV52 W52 AB52 AL52 BF52 BK52 BP52 BU52 AQ54 AG54 BA54 AV54 W54 AB54 AL54 BF54 BK54 BP54 BU54 AQ56 AG56 BA56 AV56 W56 AB56 AL56 BF56 BK56 BP56 BU56 AQ58 AG58 BA58 AV58 W58 AB58 AL58 BF58 BK58 BP58 BU58 AQ62 AG62 BA62 AV62 W62 AB62 AL62 BF62 BK62 BP62 BU62 AQ114 AG114 BA114 AV114 W114 AB114 AL114 BF114 AQ108 AG108 BA108 AQ128 AG128 BA128 AV128 W128 AB128 AL128 BF128 BK128 BP128 BU128 AQ126 AG126 BA126 AV126 W126 AB126 AL126 BF126 BK126 BP126 BU126 AQ138 AG138 BA138 AV138 W138 AB138 AL138 BF138 BK138 BP138 BU138 AQ136 AG136 BA136 AV136 W136 AB136 AL136 BF136 BK136 BP136 BU136 AQ16 AG16 BA16 AV16 W16 AB16 AL16 BF16 BK16 BP16 BU16 AQ140 AG140 BA140 AV140 W140 AB140 AL140 BF140 BK140 BP140 BU140" xr:uid="{131E899A-D2D3-4993-923E-C9F07413B93A}">
      <formula1>Chem_List</formula1>
    </dataValidation>
    <dataValidation type="decimal" allowBlank="1" showInputMessage="1" showErrorMessage="1" errorTitle="Enter Numeric Value" error="Enter Positive Numeric Value Only" sqref="CX62 CX112 CX116 CX114 CX108 CX120 CX22 CX10 CX78 CX74 CX80 CX82 CX86 CX122 CX36 CX34 CX32 CX38 CX46 CX18 CX40 CX48 CX68 CX50 CX64 CX76 CX72 CX84 CX88 CX90 CX92 CX94 CX100 CX98 CX102 CX66 CX96 CX104 CX106 CX124 CX134 CX130 CX132 CX60 CX118 CX12 CX14 CX20 CX24 CX28 CX26 CX30 CX42 CX44 CX8 CX70 CX52 CX54 CX58 CX56 CX110 CX128 CX126 CX138 CX136 CX16 CX140" xr:uid="{180801C3-5007-4361-A527-D0588F221DC6}">
      <formula1>0</formula1>
      <formula2>10000000</formula2>
    </dataValidation>
    <dataValidation type="list" allowBlank="1" showInputMessage="1" showErrorMessage="1" sqref="CL53 H115 F111 CX53 CX111 CX109 F29 F27 CX37 F33 CX127 CL109 CX113 H33 H127 H133 F135 H35 F35 F43 H13 F13 H43 H45 F47 H15 H27 CX65 CX15 F61 H37 F131 H131 CL113 CX115 H111 CL111 CL119 CX119 F119 H119 H135 F133 F37 CL35 CX35 CX33 CL65 CL33 CL37 CL41 CX63 CL63 H29 CX79 CL67 CX67 CX77 H47 CL77 F19 H19 F21 H21 CL79 F79 H39 F39 F41 H75 F75 CX75 H41 F45 CL75 H85 F85 F49 H49 F51 CL87 CX87 H51 CX49 CL49 H81 F81 F89 CX69 CL69 H89 CL91 CX91 CX51 CL51 CX55 F73 H73 CX93 CL93 F91 H77 F77 H91 F97 H97 CL73 CX73 H79 F99 H99 CL81 CX81 H83 CL97 CX97 CL55 F83 CX83 F17 F59 CX57 CL83 CX85 CL85 CL57 CL99 F87 CX89 CL89 CX99 F101 H101 H87 F93 H93 CL115 F115 F95 H95 CL117 CX117 F117 CX95 CL95 H117 CL121 H121 CX103 H103 CX101 CL101 CX121 F121 CL123 F123 H123 CX123 F103 CL103 CL105 F105 CX105 H105 CX107 F107 H107 CL107 CL127 CX131 CL135 CX135 CL131 F129 CX133 CL133 CL47 H61 CL61 CX61 F11 H11 CL11 CX11 CX13 CL13 CL15 CL139 F23 H23 F25 H25 CX19 CL19 CL23 CX23 CX21 CL21 CX25 CL25 F31 H31 CL29 CX29 CX27 CL27 CX31 CL31 CX41 CX39 CL39 CX43 CL43 CX47 CX45 CL45 F141 CL9:CX9 CX71 CL71 F53 H53 F55 H55 F57 H57 H59 CL59 F63 H63 F65 H65 F67 H67 F69 H69 F71 H71 F109 H109 F113 H113 F127 CX129 H129 CL129 CL125 CX125 F125 H125 CL137 CX137 F137 H137 F139 CX139 H139 F15 H17 CX17 CL17 CX59 CX141 H141 CL141 F9:H9" xr:uid="{4783351C-47E7-464A-BF16-22B5742C73BF}">
      <formula1>flt_RSST</formula1>
    </dataValidation>
    <dataValidation type="list" allowBlank="1" showInputMessage="1" showErrorMessage="1" sqref="AG85 AQ85 W109 BA85 W85 AB85 AB109 BK115 AL85 AV85 BF85 BK85 BP85 BU85 AG87 AQ87 BA87 W87 AB87 AQ61 BP115 BU115 AL109 AV109 BF109 BK109 AL127 AL87 AV127 BF127 BK127 BP127 AG41 BU127 AV87 BF87 BK87 BP87 BU87 AG127 AQ127 BP109 AG95 AQ95 BU109 BA127 W127 AG131 BA95 W95 AB95 AL95 BU119 AG11 AQ11 BA11 W11 BP119 AB11 AL11 AV11 BF11 BK11 BP11 AG27 AQ27 BA27 W27 BK119 AB27 AL27 AV27 BF27 BK27 AG29 BU11 AG33 AQ33 BA33 W33 BF119 AB33 AL33 AV33 BF33 BK33 BP33 BU33 AV95 AG35 AQ35 BA35 W35 AV119 AB35 AL35 AV35 BF35 BK35 BP35 BU35 BF95 BK95 BP95 BU95 AL119 AB119 AG91 AQ91 BA91 W91 AB91 AL91 AV91 BF91 BK91 BP91 BU91 W119 AG93 AQ93 BA93 W93 BA61 BA119 BA71 W71 AB71 W61 AL71 AV71 BF71 BP69 BU69 AQ119 AB61 BK71 BP71 BU71 AG69 AQ69 BA69 AG119 W69 AB69 AL69 AV69 AL61 BF69 BK69 AG71 AQ71 AG73 AQ73 AG121 BA73 W73 AB73 AL73 AV73 AV61 BF73 BK73 BP73 BU73 AG77 BU121 AQ77 BA77 W77 AB77 AL77 AV77 BF61 BF77 BK77 BP77 BU77 AB93 AG79 AQ79 BA79 W79 AB79 AL79 AV79 BK61 BF79 BK79 AL93 BP79 BU79 AV93 BF93 BK93 BP93 BU93 AG37 AQ37 BA37 W37 AG97 AB37 AL37 AV37 BF37 BK37 BP37 BU37 AQ97 AQ41 BA41 W41 AB41 BA97 AL41 AV41 BF41 BK41 AG47 AQ47 BA47 W47 AB47 AL47 AV47 BF47 BP41 AQ29 BK47 BP47 BU47 W97 AB97 AQ131 AL97 BA131 W131 AV97 AG19 AQ19 BA19 W19 AB19 AL19 BF97 AV19 BF19 BK19 BP19 BK97 BP97 BU97 BA101 W101 AB101 AL101 AV101 BF101 BP99 BU99 BK101 BP101 BU101 BU103 BP103 BK103 BF103 AV103 AL103 AB103 W103 BA103 AQ103 BP121 AB131 AL131 BP61 BU61 AG61 AV131 BF131 BK131 BP131 BU131 AB129 BU19 AG39 AQ39 BA39 W39 AB39 AL39 BK121 AV39 BF39 BK39 BP39 AG103 AG75 AQ75 BA75 W75 AB75 AL75 AV75 BF121 BF75 BK75 BP75 BU75 BU39 AG49 AQ49 BA49 W49 AB49 AL49 AV121 AV49 BF49 BK49 BP49 AQ81 BA81 W81 AB81 AL81 AV81 BF81 AL121 BK81 BP81 BU81 AG81 BU49 AG51 AQ51 BA51 W51 AB51 AL51 AB121 AV51 BF51 BK51 BP51 AG83 AQ83 BA83 W83 AB83 AL83 AV83 W121 BF83 BK83 BP83 BU83 AG89 AQ89 BA89 W89 AB89 AL89 AV89 BU51 BF89 BK89 BP89 BU89 AG65 AQ65 BA65 W65 AB65 BA121 AL65 AV65 BF65 BK65 BP65 BU65 AG67 AQ67 BA67 W67 AB67 AQ121 AL67 AV67 BF67 BK67 BP67 BU67 AG99 AQ99 BA99 W99 AB99 AL99 AV99 BF99 BK99 AG101 AQ101 AG105 BU105 BP105 BK105 BF105 AV105 AL105 AB105 W105 BA105 AQ105 BA107 W107 AB107 AL107 AV107 BF107 BK107 BP107 BU107 AG107 AQ107 AG111 AQ111 BA111 W111 AB111 AL111 AV111 BF111 BK111 AG113 AQ113 BA113 W113 AB113 AL113 AV113 BF113 BP111 BU111 BK113 BP113 BU113 BP117 BK117 BF117 AV117 AL117 AB117 W117 BA117 AQ117 AG117 BU117 AQ123 AG123 BU123 BP123 BK123 BF123 AV123 AL123 AB123 W123 BA123 AG133 AQ133 BA133 W133 AB133 AL133 AV133 BF133 BK133 BP133 BU133 AG135 AQ135 BA135 W135 AB135 AL135 AV135 BF135 BK135 BP135 BU135 AG45 AG13 AQ13 BA13 W13 AB13 AL13 AV13 BF13 BK13 BP13 BU13 AQ15 BA15 W15 AB15 AL15 AV15 BF15 BK15 BP15 BU15 AG139 AG21 AQ21 BA21 W21 AB21 AL21 AV21 BF21 BK21 BP21 BU21 AG23 AQ23 BA23 W23 AB23 AL23 AV23 BF23 BK23 BP23 BU23 AG25 AQ25 BA25 W25 AB25 AL25 AV25 BF25 BK25 BP25 BU25 BA29 W29 AB29 AL29 AV29 BF29 BP27 BU27 BK29 BP29 BU29 AG31 AQ31 BA31 W31 AB31 AL31 AV31 BF31 BK31 BP31 BU31 BU41 AG43 AQ43 BA43 W43 AB43 AL43 AV43 BF43 BK43 BP43 BU43 AQ45 BA45 W45 AB45 AL45 AV45 BF45 BK45 BP45 BU45 AG9 AQ9 BA9 W9 AB9 AL9 AV9 BF9 BK9 BP9 BU9 AG53 AQ53 BA53 W53 AB53 AL53 AV53 BF53 BK53 BP53 BU53 AG55 AQ55 BA55 W55 AB55 AL55 AV55 BF55 BK55 BP55 BU55 AG57 AQ57 BA57 W57 AB57 AL57 AV57 BF57 BK57 BP57 BU57 AQ59 BA59 W59 AB59 AL59 AV59 BF59 BK59 BP59 BU59 AG17 AG63 AQ63 BA63 W63 AB63 AL63 AV63 BF63 BK63 BP63 BU63 AG115 AQ115 BA115 W115 AB115 AL115 AV115 BF115 AG109 AQ109 BA109 AB127 AL129 AV129 BF129 BK129 BP129 BU129 AG129 AQ129 BA129 W129 BA125 AQ125 AG125 BU125 BP125 BK125 BF125 AV125 AL125 AB125 W125 BU137 BP137 BK137 BF137 AV137 AL137 AB137 W137 BA137 AQ137 AG137 AQ139 BA139 W139 AB139 AL139 AV139 BF139 BK139 BP139 BU139 AG15 AQ17 BA17 W17 AB17 AL17 AV17 BF17 BK17 BP17 BU17 AG59 BA141 W141 AB141 AL141 AV141 BF141 BK141 BP141 BU141 AG141 AQ141" xr:uid="{508C3923-5CFD-4F3C-99CA-979922031016}">
      <formula1>Chem_List</formula1>
    </dataValidation>
    <dataValidation type="list" allowBlank="1" showInputMessage="1" showErrorMessage="1" sqref="E8:E141" xr:uid="{D4476EAD-7596-4FF0-9082-45931019C074}">
      <formula1>FX_Tank_Type</formula1>
    </dataValidation>
    <dataValidation type="list" allowBlank="1" showInputMessage="1" showErrorMessage="1" sqref="I8:I141" xr:uid="{5CB67890-B83E-47F5-92BF-5665BF2328C2}">
      <formula1>FX_Roof_Type</formula1>
    </dataValidation>
    <dataValidation type="list" allowBlank="1" showInputMessage="1" showErrorMessage="1" sqref="L8:L141 N8:N141" xr:uid="{9B8C3178-8644-418A-A76A-A210BDCBAA06}">
      <formula1>Paint_Color</formula1>
    </dataValidation>
    <dataValidation type="list" allowBlank="1" showInputMessage="1" showErrorMessage="1" sqref="M8:M141 O8:O141" xr:uid="{C13718FF-9876-4254-91C9-C2412DECF002}">
      <formula1>Paint_Condition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CEC8002-93F3-4935-937B-D4DDE72FEF18}">
          <x14:formula1>
            <xm:f>'Pull Downs'!$B$5:$B$22</xm:f>
          </x14:formula1>
          <xm:sqref>D8:D141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51FB6-04BE-47A1-A61F-528AEE2C6373}">
  <sheetPr codeName="Sheet13">
    <tabColor theme="8" tint="0.39997558519241921"/>
  </sheetPr>
  <dimension ref="A2:AA234"/>
  <sheetViews>
    <sheetView zoomScaleNormal="100" workbookViewId="0">
      <pane xSplit="3" ySplit="4" topLeftCell="D97" activePane="bottomRight" state="frozen"/>
      <selection activeCell="J5" sqref="J5"/>
      <selection pane="topRight" activeCell="J5" sqref="J5"/>
      <selection pane="bottomLeft" activeCell="J5" sqref="J5"/>
      <selection pane="bottomRight" activeCell="J5" sqref="J5"/>
    </sheetView>
  </sheetViews>
  <sheetFormatPr defaultColWidth="8.84375" defaultRowHeight="14.6" x14ac:dyDescent="0.4"/>
  <cols>
    <col min="1" max="1" width="19" bestFit="1" customWidth="1"/>
    <col min="2" max="2" width="8.4609375" bestFit="1" customWidth="1"/>
    <col min="3" max="3" width="19.4609375" bestFit="1" customWidth="1"/>
    <col min="4" max="4" width="23.4609375" bestFit="1" customWidth="1"/>
    <col min="5" max="17" width="23.4609375" customWidth="1"/>
    <col min="18" max="18" width="12.3046875" bestFit="1" customWidth="1"/>
    <col min="19" max="19" width="11.3046875" bestFit="1" customWidth="1"/>
    <col min="20" max="20" width="2" bestFit="1" customWidth="1"/>
    <col min="21" max="21" width="13.4609375" bestFit="1" customWidth="1"/>
    <col min="22" max="22" width="3" bestFit="1" customWidth="1"/>
    <col min="23" max="23" width="13.15234375" bestFit="1" customWidth="1"/>
    <col min="24" max="24" width="3" bestFit="1" customWidth="1"/>
    <col min="25" max="25" width="12.4609375" bestFit="1" customWidth="1"/>
    <col min="26" max="26" width="3" bestFit="1" customWidth="1"/>
    <col min="27" max="27" width="23.4609375" customWidth="1"/>
  </cols>
  <sheetData>
    <row r="2" spans="1:27" x14ac:dyDescent="0.4">
      <c r="A2" t="s">
        <v>236</v>
      </c>
    </row>
    <row r="3" spans="1:27" x14ac:dyDescent="0.4">
      <c r="C3" t="s">
        <v>543</v>
      </c>
      <c r="D3">
        <v>1</v>
      </c>
      <c r="E3">
        <v>2</v>
      </c>
      <c r="F3">
        <v>3</v>
      </c>
      <c r="G3">
        <v>4</v>
      </c>
      <c r="H3">
        <v>5</v>
      </c>
      <c r="I3">
        <v>6</v>
      </c>
      <c r="J3">
        <v>7</v>
      </c>
      <c r="K3">
        <v>8</v>
      </c>
      <c r="L3">
        <v>9</v>
      </c>
      <c r="M3">
        <v>10</v>
      </c>
      <c r="N3">
        <v>11</v>
      </c>
      <c r="O3">
        <v>12</v>
      </c>
    </row>
    <row r="4" spans="1:27" x14ac:dyDescent="0.4">
      <c r="A4" s="11" t="s">
        <v>240</v>
      </c>
      <c r="B4" s="11" t="s">
        <v>4</v>
      </c>
      <c r="C4" s="11" t="s">
        <v>509</v>
      </c>
      <c r="D4" s="11" t="s">
        <v>30</v>
      </c>
      <c r="E4" s="11" t="s">
        <v>31</v>
      </c>
      <c r="F4" s="11" t="s">
        <v>32</v>
      </c>
      <c r="G4" s="11" t="s">
        <v>33</v>
      </c>
      <c r="H4" s="11" t="s">
        <v>34</v>
      </c>
      <c r="I4" s="11" t="s">
        <v>35</v>
      </c>
      <c r="J4" s="11" t="s">
        <v>36</v>
      </c>
      <c r="K4" s="11" t="s">
        <v>37</v>
      </c>
      <c r="L4" s="11" t="s">
        <v>38</v>
      </c>
      <c r="M4" s="11" t="s">
        <v>39</v>
      </c>
      <c r="N4" s="11" t="s">
        <v>40</v>
      </c>
      <c r="O4" s="11" t="s">
        <v>41</v>
      </c>
      <c r="P4" s="11"/>
      <c r="Q4" s="11"/>
      <c r="R4" t="s">
        <v>1781</v>
      </c>
      <c r="S4" s="11" t="s">
        <v>1782</v>
      </c>
      <c r="T4" s="11"/>
      <c r="U4" s="11" t="s">
        <v>1783</v>
      </c>
      <c r="V4" s="11"/>
      <c r="W4" s="11" t="s">
        <v>1784</v>
      </c>
      <c r="X4" s="11"/>
      <c r="Y4" s="11" t="s">
        <v>1785</v>
      </c>
      <c r="Z4" s="11"/>
      <c r="AA4" s="11"/>
    </row>
    <row r="5" spans="1:27" ht="17.149999999999999" x14ac:dyDescent="0.55000000000000004">
      <c r="A5" t="str" cm="1">
        <f t="array" ref="A5">INDEX(FLT_Cons,$R5,T$5)</f>
        <v>FLT - 1</v>
      </c>
      <c r="B5" t="str" cm="1">
        <f t="array" ref="B5">INDEX(FLT_Cons,$R5,T$6)</f>
        <v>Portland</v>
      </c>
      <c r="C5" t="s">
        <v>563</v>
      </c>
      <c r="D5">
        <v>14.7</v>
      </c>
      <c r="E5">
        <v>14.7</v>
      </c>
      <c r="F5">
        <v>14.7</v>
      </c>
      <c r="G5">
        <v>14.7</v>
      </c>
      <c r="H5">
        <v>14.7</v>
      </c>
      <c r="I5">
        <v>14.7</v>
      </c>
      <c r="J5">
        <v>14.7</v>
      </c>
      <c r="K5">
        <v>14.7</v>
      </c>
      <c r="L5">
        <v>14.7</v>
      </c>
      <c r="M5">
        <v>14.7</v>
      </c>
      <c r="N5">
        <v>14.7</v>
      </c>
      <c r="O5">
        <v>14.7</v>
      </c>
      <c r="P5">
        <v>1</v>
      </c>
      <c r="R5">
        <v>1</v>
      </c>
      <c r="S5" t="s">
        <v>237</v>
      </c>
      <c r="T5">
        <v>1</v>
      </c>
      <c r="W5" t="s">
        <v>1516</v>
      </c>
      <c r="X5">
        <v>6</v>
      </c>
      <c r="Y5" t="s">
        <v>1787</v>
      </c>
      <c r="Z5">
        <v>3</v>
      </c>
    </row>
    <row r="6" spans="1:27" x14ac:dyDescent="0.4">
      <c r="C6" s="66" t="s">
        <v>567</v>
      </c>
      <c r="D6" t="str" cm="1">
        <f t="array" ref="D6">INDEX(Flt_Multi,$V6,D$3)</f>
        <v>Bakken Crude</v>
      </c>
      <c r="E6" t="str" cm="1">
        <f t="array" ref="E6">INDEX(Flt_Multi,$V6,E$3)</f>
        <v>Bakken Crude</v>
      </c>
      <c r="F6" t="str" cm="1">
        <f t="array" ref="F6">INDEX(Flt_Multi,$V6,F$3)</f>
        <v>Bakken Crude</v>
      </c>
      <c r="G6" t="str" cm="1">
        <f t="array" ref="G6">INDEX(Flt_Multi,$V6,G$3)</f>
        <v>Bakken Crude</v>
      </c>
      <c r="H6" t="str" cm="1">
        <f t="array" ref="H6">INDEX(Flt_Multi,$V6,H$3)</f>
        <v>Bakken Crude</v>
      </c>
      <c r="I6" t="str" cm="1">
        <f t="array" ref="I6">INDEX(Flt_Multi,$V6,I$3)</f>
        <v>Bakken Crude</v>
      </c>
      <c r="J6" t="str" cm="1">
        <f t="array" ref="J6">INDEX(Flt_Multi,$V6,J$3)</f>
        <v>Bakken Crude</v>
      </c>
      <c r="K6" t="str" cm="1">
        <f t="array" ref="K6">INDEX(Flt_Multi,$V6,K$3)</f>
        <v>Bakken Crude</v>
      </c>
      <c r="L6" t="str" cm="1">
        <f t="array" ref="L6">INDEX(Flt_Multi,$V6,L$3)</f>
        <v>Bakken Crude</v>
      </c>
      <c r="M6" t="str" cm="1">
        <f t="array" ref="M6">INDEX(Flt_Multi,$V6,M$3)</f>
        <v>Bakken Crude</v>
      </c>
      <c r="N6" t="str" cm="1">
        <f t="array" ref="N6">INDEX(Flt_Multi,$V6,N$3)</f>
        <v>Bakken Crude</v>
      </c>
      <c r="O6" t="str" cm="1">
        <f t="array" ref="O6">INDEX(Flt_Multi,$V6,O$3)</f>
        <v>Bakken Crude</v>
      </c>
      <c r="P6">
        <f>P5+1</f>
        <v>2</v>
      </c>
      <c r="S6" t="s">
        <v>549</v>
      </c>
      <c r="T6">
        <v>3</v>
      </c>
      <c r="U6" s="66" t="s">
        <v>567</v>
      </c>
      <c r="V6">
        <v>1</v>
      </c>
      <c r="Y6" t="s">
        <v>1786</v>
      </c>
      <c r="Z6">
        <f>Z5+1</f>
        <v>4</v>
      </c>
    </row>
    <row r="7" spans="1:27" x14ac:dyDescent="0.4">
      <c r="C7" s="66" t="s">
        <v>566</v>
      </c>
      <c r="D7" t="str" cm="1">
        <f t="array" ref="D7">INDEX(Flt_Multi,$V7,D$3)</f>
        <v>Crude Oil</v>
      </c>
      <c r="E7" t="str" cm="1">
        <f t="array" ref="E7">INDEX(Flt_Multi,$V7,E$3)</f>
        <v>Crude Oil</v>
      </c>
      <c r="F7" t="str" cm="1">
        <f t="array" ref="F7">INDEX(Flt_Multi,$V7,F$3)</f>
        <v>Crude Oil</v>
      </c>
      <c r="G7" t="str" cm="1">
        <f t="array" ref="G7">INDEX(Flt_Multi,$V7,G$3)</f>
        <v>Crude Oil</v>
      </c>
      <c r="H7" t="str" cm="1">
        <f t="array" ref="H7">INDEX(Flt_Multi,$V7,H$3)</f>
        <v>Crude Oil</v>
      </c>
      <c r="I7" t="str" cm="1">
        <f t="array" ref="I7">INDEX(Flt_Multi,$V7,I$3)</f>
        <v>Crude Oil</v>
      </c>
      <c r="J7" t="str" cm="1">
        <f t="array" ref="J7">INDEX(Flt_Multi,$V7,J$3)</f>
        <v>Crude Oil</v>
      </c>
      <c r="K7" t="str" cm="1">
        <f t="array" ref="K7">INDEX(Flt_Multi,$V7,K$3)</f>
        <v>Crude Oil</v>
      </c>
      <c r="L7" t="str" cm="1">
        <f t="array" ref="L7">INDEX(Flt_Multi,$V7,L$3)</f>
        <v>Crude Oil</v>
      </c>
      <c r="M7" t="str" cm="1">
        <f t="array" ref="M7">INDEX(Flt_Multi,$V7,M$3)</f>
        <v>Crude Oil</v>
      </c>
      <c r="N7" t="str" cm="1">
        <f t="array" ref="N7">INDEX(Flt_Multi,$V7,N$3)</f>
        <v>Crude Oil</v>
      </c>
      <c r="O7" t="str" cm="1">
        <f t="array" ref="O7">INDEX(Flt_Multi,$V7,O$3)</f>
        <v>Crude Oil</v>
      </c>
      <c r="P7">
        <f t="shared" ref="P7:P27" si="0">P6+1</f>
        <v>3</v>
      </c>
      <c r="U7" s="66" t="s">
        <v>566</v>
      </c>
      <c r="V7">
        <f>V6+2</f>
        <v>3</v>
      </c>
      <c r="Y7" t="s">
        <v>1788</v>
      </c>
      <c r="Z7">
        <f>Z5+5</f>
        <v>8</v>
      </c>
    </row>
    <row r="8" spans="1:27" x14ac:dyDescent="0.4">
      <c r="C8" s="66" t="s">
        <v>568</v>
      </c>
      <c r="D8" t="str" cm="1">
        <f t="array" ref="D8">INDEX(Flt_Multi,$V8,D$3)</f>
        <v/>
      </c>
      <c r="E8" t="str" cm="1">
        <f t="array" ref="E8">INDEX(Flt_Multi,$V8,E$3)</f>
        <v/>
      </c>
      <c r="F8" t="str" cm="1">
        <f t="array" ref="F8">INDEX(Flt_Multi,$V8,F$3)</f>
        <v/>
      </c>
      <c r="G8" t="str" cm="1">
        <f t="array" ref="G8">INDEX(Flt_Multi,$V8,G$3)</f>
        <v/>
      </c>
      <c r="H8" t="str" cm="1">
        <f t="array" ref="H8">INDEX(Flt_Multi,$V8,H$3)</f>
        <v/>
      </c>
      <c r="I8" t="str" cm="1">
        <f t="array" ref="I8">INDEX(Flt_Multi,$V8,I$3)</f>
        <v/>
      </c>
      <c r="J8" t="str" cm="1">
        <f t="array" ref="J8">INDEX(Flt_Multi,$V8,J$3)</f>
        <v/>
      </c>
      <c r="K8" t="str" cm="1">
        <f t="array" ref="K8">INDEX(Flt_Multi,$V8,K$3)</f>
        <v/>
      </c>
      <c r="L8" t="str" cm="1">
        <f t="array" ref="L8">INDEX(Flt_Multi,$V8,L$3)</f>
        <v/>
      </c>
      <c r="M8" t="str" cm="1">
        <f t="array" ref="M8">INDEX(Flt_Multi,$V8,M$3)</f>
        <v/>
      </c>
      <c r="N8" t="str" cm="1">
        <f t="array" ref="N8">INDEX(Flt_Multi,$V8,N$3)</f>
        <v/>
      </c>
      <c r="O8" t="str" cm="1">
        <f t="array" ref="O8">INDEX(Flt_Multi,$V8,O$3)</f>
        <v/>
      </c>
      <c r="P8">
        <f t="shared" si="0"/>
        <v>4</v>
      </c>
      <c r="U8" s="66" t="s">
        <v>568</v>
      </c>
      <c r="V8">
        <f>V6+1</f>
        <v>2</v>
      </c>
      <c r="Y8" t="s">
        <v>1789</v>
      </c>
      <c r="Z8">
        <f>Z7+1</f>
        <v>9</v>
      </c>
    </row>
    <row r="9" spans="1:27" x14ac:dyDescent="0.4">
      <c r="C9" s="66" t="s">
        <v>569</v>
      </c>
      <c r="D9" t="e" cm="1">
        <f t="array" ref="D9">INDEX(Flt_Multi,$V9,D$3)</f>
        <v>#N/A</v>
      </c>
      <c r="E9" t="e" cm="1">
        <f t="array" ref="E9">INDEX(Flt_Multi,$V9,E$3)</f>
        <v>#N/A</v>
      </c>
      <c r="F9" t="e" cm="1">
        <f t="array" ref="F9">INDEX(Flt_Multi,$V9,F$3)</f>
        <v>#N/A</v>
      </c>
      <c r="G9" t="e" cm="1">
        <f t="array" ref="G9">INDEX(Flt_Multi,$V9,G$3)</f>
        <v>#N/A</v>
      </c>
      <c r="H9" t="e" cm="1">
        <f t="array" ref="H9">INDEX(Flt_Multi,$V9,H$3)</f>
        <v>#N/A</v>
      </c>
      <c r="I9" t="e" cm="1">
        <f t="array" ref="I9">INDEX(Flt_Multi,$V9,I$3)</f>
        <v>#N/A</v>
      </c>
      <c r="J9" t="e" cm="1">
        <f t="array" ref="J9">INDEX(Flt_Multi,$V9,J$3)</f>
        <v>#N/A</v>
      </c>
      <c r="K9" t="e" cm="1">
        <f t="array" ref="K9">INDEX(Flt_Multi,$V9,K$3)</f>
        <v>#N/A</v>
      </c>
      <c r="L9" t="e" cm="1">
        <f t="array" ref="L9">INDEX(Flt_Multi,$V9,L$3)</f>
        <v>#N/A</v>
      </c>
      <c r="M9" t="e" cm="1">
        <f t="array" ref="M9">INDEX(Flt_Multi,$V9,M$3)</f>
        <v>#N/A</v>
      </c>
      <c r="N9" t="e" cm="1">
        <f t="array" ref="N9">INDEX(Flt_Multi,$V9,N$3)</f>
        <v>#N/A</v>
      </c>
      <c r="O9" t="e" cm="1">
        <f t="array" ref="O9">INDEX(Flt_Multi,$V9,O$3)</f>
        <v>#N/A</v>
      </c>
      <c r="P9">
        <f t="shared" si="0"/>
        <v>5</v>
      </c>
      <c r="U9" s="66" t="s">
        <v>569</v>
      </c>
      <c r="V9">
        <f>V8+2</f>
        <v>4</v>
      </c>
    </row>
    <row r="10" spans="1:27" ht="17.149999999999999" x14ac:dyDescent="0.55000000000000004">
      <c r="C10" t="s">
        <v>570</v>
      </c>
      <c r="D10" cm="1">
        <f t="array" ref="D10">INDEX(Flt_Multi,$V10,D$3)</f>
        <v>1</v>
      </c>
      <c r="E10" cm="1">
        <f t="array" ref="E10">INDEX(Flt_Multi,$V10,E$3)</f>
        <v>1</v>
      </c>
      <c r="F10" cm="1">
        <f t="array" ref="F10">INDEX(Flt_Multi,$V10,F$3)</f>
        <v>1</v>
      </c>
      <c r="G10" cm="1">
        <f t="array" ref="G10">INDEX(Flt_Multi,$V10,G$3)</f>
        <v>1</v>
      </c>
      <c r="H10" cm="1">
        <f t="array" ref="H10">INDEX(Flt_Multi,$V10,H$3)</f>
        <v>1</v>
      </c>
      <c r="I10" cm="1">
        <f t="array" ref="I10">INDEX(Flt_Multi,$V10,I$3)</f>
        <v>1</v>
      </c>
      <c r="J10" cm="1">
        <f t="array" ref="J10">INDEX(Flt_Multi,$V10,J$3)</f>
        <v>1</v>
      </c>
      <c r="K10" cm="1">
        <f t="array" ref="K10">INDEX(Flt_Multi,$V10,K$3)</f>
        <v>1</v>
      </c>
      <c r="L10" cm="1">
        <f t="array" ref="L10">INDEX(Flt_Multi,$V10,L$3)</f>
        <v>1</v>
      </c>
      <c r="M10" cm="1">
        <f t="array" ref="M10">INDEX(Flt_Multi,$V10,M$3)</f>
        <v>1</v>
      </c>
      <c r="N10" cm="1">
        <f t="array" ref="N10">INDEX(Flt_Multi,$V10,N$3)</f>
        <v>1</v>
      </c>
      <c r="O10" cm="1">
        <f t="array" ref="O10">INDEX(Flt_Multi,$V10,O$3)</f>
        <v>1</v>
      </c>
      <c r="P10">
        <f t="shared" si="0"/>
        <v>6</v>
      </c>
      <c r="U10" t="s">
        <v>570</v>
      </c>
      <c r="V10">
        <f>V6+9</f>
        <v>10</v>
      </c>
    </row>
    <row r="11" spans="1:27" ht="17.149999999999999" x14ac:dyDescent="0.55000000000000004">
      <c r="C11" t="s">
        <v>572</v>
      </c>
      <c r="D11" cm="1">
        <f t="array" ref="D11">INDEX(Flt_Multi,$V11,D$3)</f>
        <v>0</v>
      </c>
      <c r="E11" cm="1">
        <f t="array" ref="E11">INDEX(Flt_Multi,$V11,E$3)</f>
        <v>0</v>
      </c>
      <c r="F11" cm="1">
        <f t="array" ref="F11">INDEX(Flt_Multi,$V11,F$3)</f>
        <v>0</v>
      </c>
      <c r="G11" cm="1">
        <f t="array" ref="G11">INDEX(Flt_Multi,$V11,G$3)</f>
        <v>0</v>
      </c>
      <c r="H11" cm="1">
        <f t="array" ref="H11">INDEX(Flt_Multi,$V11,H$3)</f>
        <v>0</v>
      </c>
      <c r="I11" cm="1">
        <f t="array" ref="I11">INDEX(Flt_Multi,$V11,I$3)</f>
        <v>0</v>
      </c>
      <c r="J11" cm="1">
        <f t="array" ref="J11">INDEX(Flt_Multi,$V11,J$3)</f>
        <v>0</v>
      </c>
      <c r="K11" cm="1">
        <f t="array" ref="K11">INDEX(Flt_Multi,$V11,K$3)</f>
        <v>0</v>
      </c>
      <c r="L11" cm="1">
        <f t="array" ref="L11">INDEX(Flt_Multi,$V11,L$3)</f>
        <v>0</v>
      </c>
      <c r="M11" cm="1">
        <f t="array" ref="M11">INDEX(Flt_Multi,$V11,M$3)</f>
        <v>0</v>
      </c>
      <c r="N11" cm="1">
        <f t="array" ref="N11">INDEX(Flt_Multi,$V11,N$3)</f>
        <v>0</v>
      </c>
      <c r="O11" cm="1">
        <f t="array" ref="O11">INDEX(Flt_Multi,$V11,O$3)</f>
        <v>0</v>
      </c>
      <c r="P11">
        <f t="shared" si="0"/>
        <v>7</v>
      </c>
      <c r="U11" t="s">
        <v>572</v>
      </c>
      <c r="V11">
        <f>V8+9</f>
        <v>11</v>
      </c>
    </row>
    <row r="12" spans="1:27" ht="17.149999999999999" x14ac:dyDescent="0.55000000000000004">
      <c r="C12" t="s">
        <v>552</v>
      </c>
      <c r="D12" cm="1">
        <f t="array" ref="D12">INDEX(Flt_Temps,$X5,D$3)-459.6</f>
        <v>44.724288605619051</v>
      </c>
      <c r="E12" cm="1">
        <f t="array" ref="E12">INDEX(Flt_Temps,$X5,E$3)-459.6</f>
        <v>46.28075962539026</v>
      </c>
      <c r="F12" cm="1">
        <f t="array" ref="F12">INDEX(Flt_Temps,$X5,F$3)-459.6</f>
        <v>48.410543652445369</v>
      </c>
      <c r="G12" cm="1">
        <f t="array" ref="G12">INDEX(Flt_Temps,$X5,G$3)-459.6</f>
        <v>51.898518418314211</v>
      </c>
      <c r="H12" cm="1">
        <f t="array" ref="H12">INDEX(Flt_Temps,$X5,H$3)-459.6</f>
        <v>57.199379240374469</v>
      </c>
      <c r="I12" cm="1">
        <f t="array" ref="I12">INDEX(Flt_Temps,$X5,I$3)-459.6</f>
        <v>61.236493184183246</v>
      </c>
      <c r="J12" cm="1">
        <f t="array" ref="J12">INDEX(Flt_Temps,$X5,J$3)-459.6</f>
        <v>64.949895733610788</v>
      </c>
      <c r="K12" cm="1">
        <f t="array" ref="K12">INDEX(Flt_Temps,$X5,K$3)-459.6</f>
        <v>64.830822268470342</v>
      </c>
      <c r="L12" cm="1">
        <f t="array" ref="L12">INDEX(Flt_Temps,$X5,L$3)-459.6</f>
        <v>61.750980853277838</v>
      </c>
      <c r="M12" cm="1">
        <f t="array" ref="M12">INDEX(Flt_Temps,$X5,M$3)-459.6</f>
        <v>54.567988345473395</v>
      </c>
      <c r="N12" cm="1">
        <f t="array" ref="N12">INDEX(Flt_Temps,$X5,N$3)-459.6</f>
        <v>48.130128355879265</v>
      </c>
      <c r="O12" cm="1">
        <f t="array" ref="O12">INDEX(Flt_Temps,$X5,O$3)-459.6</f>
        <v>44.39564901144638</v>
      </c>
      <c r="P12">
        <f t="shared" si="0"/>
        <v>8</v>
      </c>
    </row>
    <row r="13" spans="1:27" ht="17.149999999999999" x14ac:dyDescent="0.55000000000000004">
      <c r="C13" t="s">
        <v>1790</v>
      </c>
      <c r="D13" cm="1">
        <f t="array" ref="D13">INDEX(FLT_Prod_Info,$Z5,D$3)</f>
        <v>10.199999999999999</v>
      </c>
      <c r="E13" cm="1">
        <f t="array" ref="E13">INDEX(FLT_Prod_Info,$Z5,E$3)</f>
        <v>10.199999999999999</v>
      </c>
      <c r="F13" cm="1">
        <f t="array" ref="F13">INDEX(FLT_Prod_Info,$Z5,F$3)</f>
        <v>10.199999999999999</v>
      </c>
      <c r="G13" cm="1">
        <f t="array" ref="G13">INDEX(FLT_Prod_Info,$Z5,G$3)</f>
        <v>10.199999999999999</v>
      </c>
      <c r="H13" cm="1">
        <f t="array" ref="H13">INDEX(FLT_Prod_Info,$Z5,H$3)</f>
        <v>10.199999999999999</v>
      </c>
      <c r="I13" cm="1">
        <f t="array" ref="I13">INDEX(FLT_Prod_Info,$Z5,I$3)</f>
        <v>10.199999999999999</v>
      </c>
      <c r="J13" cm="1">
        <f t="array" ref="J13">INDEX(FLT_Prod_Info,$Z5,J$3)</f>
        <v>10.199999999999999</v>
      </c>
      <c r="K13" cm="1">
        <f t="array" ref="K13">INDEX(FLT_Prod_Info,$Z5,K$3)</f>
        <v>10.199999999999999</v>
      </c>
      <c r="L13" cm="1">
        <f t="array" ref="L13">INDEX(FLT_Prod_Info,$Z5,L$3)</f>
        <v>10.199999999999999</v>
      </c>
      <c r="M13" cm="1">
        <f t="array" ref="M13">INDEX(FLT_Prod_Info,$Z5,M$3)</f>
        <v>10.199999999999999</v>
      </c>
      <c r="N13" cm="1">
        <f t="array" ref="N13">INDEX(FLT_Prod_Info,$Z5,N$3)</f>
        <v>10.199999999999999</v>
      </c>
      <c r="O13" cm="1">
        <f t="array" ref="O13">INDEX(FLT_Prod_Info,$Z5,O$3)</f>
        <v>10.199999999999999</v>
      </c>
      <c r="P13">
        <f t="shared" si="0"/>
        <v>9</v>
      </c>
    </row>
    <row r="14" spans="1:27" ht="17.149999999999999" x14ac:dyDescent="0.55000000000000004">
      <c r="C14" t="s">
        <v>1791</v>
      </c>
      <c r="D14" cm="1">
        <f t="array" ref="D14">INDEX(FLT_Prod_Info,$Z6,D$3)</f>
        <v>0</v>
      </c>
      <c r="E14" cm="1">
        <f t="array" ref="E14">INDEX(FLT_Prod_Info,$Z6,E$3)</f>
        <v>0</v>
      </c>
      <c r="F14" cm="1">
        <f t="array" ref="F14">INDEX(FLT_Prod_Info,$Z6,F$3)</f>
        <v>0</v>
      </c>
      <c r="G14" cm="1">
        <f t="array" ref="G14">INDEX(FLT_Prod_Info,$Z6,G$3)</f>
        <v>0</v>
      </c>
      <c r="H14" cm="1">
        <f t="array" ref="H14">INDEX(FLT_Prod_Info,$Z6,H$3)</f>
        <v>0</v>
      </c>
      <c r="I14" cm="1">
        <f t="array" ref="I14">INDEX(FLT_Prod_Info,$Z6,I$3)</f>
        <v>0</v>
      </c>
      <c r="J14" cm="1">
        <f t="array" ref="J14">INDEX(FLT_Prod_Info,$Z6,J$3)</f>
        <v>0</v>
      </c>
      <c r="K14" cm="1">
        <f t="array" ref="K14">INDEX(FLT_Prod_Info,$Z6,K$3)</f>
        <v>0</v>
      </c>
      <c r="L14" cm="1">
        <f t="array" ref="L14">INDEX(FLT_Prod_Info,$Z6,L$3)</f>
        <v>0</v>
      </c>
      <c r="M14" cm="1">
        <f t="array" ref="M14">INDEX(FLT_Prod_Info,$Z6,M$3)</f>
        <v>0</v>
      </c>
      <c r="N14" cm="1">
        <f t="array" ref="N14">INDEX(FLT_Prod_Info,$Z6,N$3)</f>
        <v>0</v>
      </c>
      <c r="O14" cm="1">
        <f t="array" ref="O14">INDEX(FLT_Prod_Info,$Z6,O$3)</f>
        <v>0</v>
      </c>
      <c r="P14">
        <f t="shared" si="0"/>
        <v>10</v>
      </c>
    </row>
    <row r="15" spans="1:27" ht="17.149999999999999" x14ac:dyDescent="0.55000000000000004">
      <c r="C15" t="s">
        <v>1792</v>
      </c>
      <c r="D15" t="e" cm="1">
        <f t="array" ref="D15">INDEX(FLT_Prod_Info,$Z7,D$3)</f>
        <v>#N/A</v>
      </c>
      <c r="E15" t="e" cm="1">
        <f t="array" ref="E15">INDEX(FLT_Prod_Info,$Z7,E$3)</f>
        <v>#N/A</v>
      </c>
      <c r="F15" t="e" cm="1">
        <f t="array" ref="F15">INDEX(FLT_Prod_Info,$Z7,F$3)</f>
        <v>#N/A</v>
      </c>
      <c r="G15" t="e" cm="1">
        <f t="array" ref="G15">INDEX(FLT_Prod_Info,$Z7,G$3)</f>
        <v>#N/A</v>
      </c>
      <c r="H15" t="e" cm="1">
        <f t="array" ref="H15">INDEX(FLT_Prod_Info,$Z7,H$3)</f>
        <v>#N/A</v>
      </c>
      <c r="I15" t="e" cm="1">
        <f t="array" ref="I15">INDEX(FLT_Prod_Info,$Z7,I$3)</f>
        <v>#N/A</v>
      </c>
      <c r="J15" t="e" cm="1">
        <f t="array" ref="J15">INDEX(FLT_Prod_Info,$Z7,J$3)</f>
        <v>#N/A</v>
      </c>
      <c r="K15" t="e" cm="1">
        <f t="array" ref="K15">INDEX(FLT_Prod_Info,$Z7,K$3)</f>
        <v>#N/A</v>
      </c>
      <c r="L15" t="e" cm="1">
        <f t="array" ref="L15">INDEX(FLT_Prod_Info,$Z7,L$3)</f>
        <v>#N/A</v>
      </c>
      <c r="M15" t="e" cm="1">
        <f t="array" ref="M15">INDEX(FLT_Prod_Info,$Z7,M$3)</f>
        <v>#N/A</v>
      </c>
      <c r="N15" t="e" cm="1">
        <f t="array" ref="N15">INDEX(FLT_Prod_Info,$Z7,N$3)</f>
        <v>#N/A</v>
      </c>
      <c r="O15" t="e" cm="1">
        <f t="array" ref="O15">INDEX(FLT_Prod_Info,$Z7,O$3)</f>
        <v>#N/A</v>
      </c>
      <c r="P15">
        <f t="shared" si="0"/>
        <v>11</v>
      </c>
    </row>
    <row r="16" spans="1:27" ht="17.149999999999999" x14ac:dyDescent="0.55000000000000004">
      <c r="C16" t="s">
        <v>1793</v>
      </c>
      <c r="D16" t="str" cm="1">
        <f t="array" ref="D16">INDEX(FLT_Prod_Info,$Z8,D$3)</f>
        <v>N/A</v>
      </c>
      <c r="E16" t="str" cm="1">
        <f t="array" ref="E16">INDEX(FLT_Prod_Info,$Z8,E$3)</f>
        <v>N/A</v>
      </c>
      <c r="F16" t="str" cm="1">
        <f t="array" ref="F16">INDEX(FLT_Prod_Info,$Z8,F$3)</f>
        <v>N/A</v>
      </c>
      <c r="G16" t="str" cm="1">
        <f t="array" ref="G16">INDEX(FLT_Prod_Info,$Z8,G$3)</f>
        <v>N/A</v>
      </c>
      <c r="H16" t="str" cm="1">
        <f t="array" ref="H16">INDEX(FLT_Prod_Info,$Z8,H$3)</f>
        <v>N/A</v>
      </c>
      <c r="I16" t="str" cm="1">
        <f t="array" ref="I16">INDEX(FLT_Prod_Info,$Z8,I$3)</f>
        <v>N/A</v>
      </c>
      <c r="J16" t="str" cm="1">
        <f t="array" ref="J16">INDEX(FLT_Prod_Info,$Z8,J$3)</f>
        <v>N/A</v>
      </c>
      <c r="K16" t="str" cm="1">
        <f t="array" ref="K16">INDEX(FLT_Prod_Info,$Z8,K$3)</f>
        <v>N/A</v>
      </c>
      <c r="L16" t="str" cm="1">
        <f t="array" ref="L16">INDEX(FLT_Prod_Info,$Z8,L$3)</f>
        <v>N/A</v>
      </c>
      <c r="M16" t="str" cm="1">
        <f t="array" ref="M16">INDEX(FLT_Prod_Info,$Z8,M$3)</f>
        <v>N/A</v>
      </c>
      <c r="N16" t="str" cm="1">
        <f t="array" ref="N16">INDEX(FLT_Prod_Info,$Z8,N$3)</f>
        <v>N/A</v>
      </c>
      <c r="O16" t="str" cm="1">
        <f t="array" ref="O16">INDEX(FLT_Prod_Info,$Z8,O$3)</f>
        <v>N/A</v>
      </c>
      <c r="P16">
        <f t="shared" si="0"/>
        <v>12</v>
      </c>
    </row>
    <row r="17" spans="1:26" ht="17.149999999999999" x14ac:dyDescent="0.55000000000000004">
      <c r="C17" t="s">
        <v>1388</v>
      </c>
      <c r="D17">
        <f t="shared" ref="D17:O17" si="1">IFERROR(IF(D7="Chemical",(10^(INDEX(Antoines,MATCH(D6,Antoine_Name,0),2)-INDEX(Antoines,MATCH(D6,Antoine_Name,0),3)/(INDEX(Antoines,MATCH(D6,Antoine_Name,0),4)+(D12-32)*5/9)))*14.7/760,IF(D7="Crude Oil",EXP((2799/(D12+459.6)-2.227)*LOG10(D13)-(7261/(D12+459.6))+12.82),IF(D7="Refined Petroleum Stock",EXP((0.7553-(413/(D12+459.6)))*(D14^0.5)*LOG10(D13)-(1.854-(1042/(D12+459.6)))*(D14^0.5)+((2416/(D12+459.6)-2.013)*LOG10(D13))-(8742/(D12+459.6))+15.64),EXP(INDEX(Antoines,MATCH(D6,Antoine_Name,0),2)-INDEX(Antoines,MATCH(D6,Antoine_Name,0),3)/(D12+459.6))))),0)</f>
        <v>5.8949526647142561</v>
      </c>
      <c r="E17">
        <f t="shared" si="1"/>
        <v>6.0567368379404254</v>
      </c>
      <c r="F17">
        <f t="shared" si="1"/>
        <v>6.283642059124805</v>
      </c>
      <c r="G17">
        <f t="shared" si="1"/>
        <v>6.6693404884876069</v>
      </c>
      <c r="H17">
        <f t="shared" si="1"/>
        <v>7.2900827022708894</v>
      </c>
      <c r="I17">
        <f t="shared" si="1"/>
        <v>7.7918407096608675</v>
      </c>
      <c r="J17">
        <f t="shared" si="1"/>
        <v>8.2763123878843672</v>
      </c>
      <c r="K17">
        <f t="shared" si="1"/>
        <v>8.2604291130473815</v>
      </c>
      <c r="L17">
        <f t="shared" si="1"/>
        <v>7.8576354052697734</v>
      </c>
      <c r="M17">
        <f t="shared" si="1"/>
        <v>6.9766366224365344</v>
      </c>
      <c r="N17">
        <f t="shared" si="1"/>
        <v>6.2533979721884903</v>
      </c>
      <c r="O17">
        <f t="shared" si="1"/>
        <v>5.8612240584033284</v>
      </c>
      <c r="P17">
        <f t="shared" si="0"/>
        <v>13</v>
      </c>
    </row>
    <row r="18" spans="1:26" ht="17.149999999999999" x14ac:dyDescent="0.55000000000000004">
      <c r="C18" t="s">
        <v>1389</v>
      </c>
      <c r="D18">
        <f t="shared" ref="D18:O18" si="2">D17*D10</f>
        <v>5.8949526647142561</v>
      </c>
      <c r="E18">
        <f t="shared" si="2"/>
        <v>6.0567368379404254</v>
      </c>
      <c r="F18">
        <f t="shared" si="2"/>
        <v>6.283642059124805</v>
      </c>
      <c r="G18">
        <f t="shared" si="2"/>
        <v>6.6693404884876069</v>
      </c>
      <c r="H18">
        <f t="shared" si="2"/>
        <v>7.2900827022708894</v>
      </c>
      <c r="I18">
        <f t="shared" si="2"/>
        <v>7.7918407096608675</v>
      </c>
      <c r="J18">
        <f t="shared" si="2"/>
        <v>8.2763123878843672</v>
      </c>
      <c r="K18">
        <f t="shared" si="2"/>
        <v>8.2604291130473815</v>
      </c>
      <c r="L18">
        <f t="shared" si="2"/>
        <v>7.8576354052697734</v>
      </c>
      <c r="M18">
        <f t="shared" si="2"/>
        <v>6.9766366224365344</v>
      </c>
      <c r="N18">
        <f t="shared" si="2"/>
        <v>6.2533979721884903</v>
      </c>
      <c r="O18">
        <f t="shared" si="2"/>
        <v>5.8612240584033284</v>
      </c>
      <c r="P18">
        <f t="shared" si="0"/>
        <v>14</v>
      </c>
    </row>
    <row r="19" spans="1:26" ht="17.149999999999999" x14ac:dyDescent="0.55000000000000004">
      <c r="C19" t="s">
        <v>1390</v>
      </c>
      <c r="D19">
        <f t="shared" ref="D19:O19" si="3">IFERROR(IF(D9="Chemical",(10^(INDEX(Antoines,MATCH(D8,Antoine_Name,0),2)-INDEX(Antoines,MATCH(D8,Antoine_Name,0),3)/(INDEX(Antoines,MATCH(D8,Antoine_Name,0),4)+(D12-32)*5/9)))*14.7/760,IF(D9="Crude Oil",EXP((2799/(D12+459.6)-2.227)*LOG10(D15)-(7261/(D12+459.6))+12.82),IF(D9="Refined Petroleum Stock",EXP((0.7553-(413/(D12+459.6)))*(D16^0.5)*LOG10(D15)-(1.854-(1042/(D12+459.6)))*(D16^0.5)+((2416/(D12+459.6)-2.013)*LOG10(D15))-(8742/(D12+459.6))+15.64),EXP(INDEX(Antoines,MATCH(D8,Antoine_Name,0),2)-INDEX(Antoines,MATCH(D8,Antoine_Name,0),3)/(D12+459.6))))),0)</f>
        <v>0</v>
      </c>
      <c r="E19">
        <f t="shared" si="3"/>
        <v>0</v>
      </c>
      <c r="F19">
        <f t="shared" si="3"/>
        <v>0</v>
      </c>
      <c r="G19">
        <f t="shared" si="3"/>
        <v>0</v>
      </c>
      <c r="H19">
        <f t="shared" si="3"/>
        <v>0</v>
      </c>
      <c r="I19">
        <f t="shared" si="3"/>
        <v>0</v>
      </c>
      <c r="J19">
        <f t="shared" si="3"/>
        <v>0</v>
      </c>
      <c r="K19">
        <f t="shared" si="3"/>
        <v>0</v>
      </c>
      <c r="L19">
        <f t="shared" si="3"/>
        <v>0</v>
      </c>
      <c r="M19">
        <f t="shared" si="3"/>
        <v>0</v>
      </c>
      <c r="N19">
        <f t="shared" si="3"/>
        <v>0</v>
      </c>
      <c r="O19">
        <f t="shared" si="3"/>
        <v>0</v>
      </c>
      <c r="P19">
        <f t="shared" si="0"/>
        <v>15</v>
      </c>
    </row>
    <row r="20" spans="1:26" ht="17.149999999999999" x14ac:dyDescent="0.55000000000000004">
      <c r="C20" t="s">
        <v>1391</v>
      </c>
      <c r="D20">
        <f t="shared" ref="D20:O20" si="4">D19*D11</f>
        <v>0</v>
      </c>
      <c r="E20">
        <f t="shared" si="4"/>
        <v>0</v>
      </c>
      <c r="F20">
        <f t="shared" si="4"/>
        <v>0</v>
      </c>
      <c r="G20">
        <f t="shared" si="4"/>
        <v>0</v>
      </c>
      <c r="H20">
        <f t="shared" si="4"/>
        <v>0</v>
      </c>
      <c r="I20">
        <f t="shared" si="4"/>
        <v>0</v>
      </c>
      <c r="J20">
        <f t="shared" si="4"/>
        <v>0</v>
      </c>
      <c r="K20">
        <f t="shared" si="4"/>
        <v>0</v>
      </c>
      <c r="L20">
        <f t="shared" si="4"/>
        <v>0</v>
      </c>
      <c r="M20">
        <f t="shared" si="4"/>
        <v>0</v>
      </c>
      <c r="N20">
        <f t="shared" si="4"/>
        <v>0</v>
      </c>
      <c r="O20">
        <f t="shared" si="4"/>
        <v>0</v>
      </c>
      <c r="P20">
        <f t="shared" si="0"/>
        <v>16</v>
      </c>
    </row>
    <row r="21" spans="1:26" ht="17.149999999999999" x14ac:dyDescent="0.55000000000000004">
      <c r="C21" t="s">
        <v>1392</v>
      </c>
      <c r="D21">
        <f>IF(D6="Out of Service",0,D18+D20)</f>
        <v>5.8949526647142561</v>
      </c>
      <c r="E21">
        <f t="shared" ref="E21" si="5">IF(E6="Out of Service",0,E18+E20)</f>
        <v>6.0567368379404254</v>
      </c>
      <c r="F21">
        <f t="shared" ref="F21" si="6">IF(F6="Out of Service",0,F18+F20)</f>
        <v>6.283642059124805</v>
      </c>
      <c r="G21">
        <f t="shared" ref="G21" si="7">IF(G6="Out of Service",0,G18+G20)</f>
        <v>6.6693404884876069</v>
      </c>
      <c r="H21">
        <f t="shared" ref="H21" si="8">IF(H6="Out of Service",0,H18+H20)</f>
        <v>7.2900827022708894</v>
      </c>
      <c r="I21">
        <f t="shared" ref="I21" si="9">IF(I6="Out of Service",0,I18+I20)</f>
        <v>7.7918407096608675</v>
      </c>
      <c r="J21">
        <f t="shared" ref="J21" si="10">IF(J6="Out of Service",0,J18+J20)</f>
        <v>8.2763123878843672</v>
      </c>
      <c r="K21">
        <f t="shared" ref="K21" si="11">IF(K6="Out of Service",0,K18+K20)</f>
        <v>8.2604291130473815</v>
      </c>
      <c r="L21">
        <f t="shared" ref="L21" si="12">IF(L6="Out of Service",0,L18+L20)</f>
        <v>7.8576354052697734</v>
      </c>
      <c r="M21">
        <f t="shared" ref="M21" si="13">IF(M6="Out of Service",0,M18+M20)</f>
        <v>6.9766366224365344</v>
      </c>
      <c r="N21">
        <f t="shared" ref="N21" si="14">IF(N6="Out of Service",0,N18+N20)</f>
        <v>6.2533979721884903</v>
      </c>
      <c r="O21">
        <f t="shared" ref="O21" si="15">IF(O6="Out of Service",0,O18+O20)</f>
        <v>5.8612240584033284</v>
      </c>
      <c r="P21">
        <f t="shared" si="0"/>
        <v>17</v>
      </c>
    </row>
    <row r="22" spans="1:26" x14ac:dyDescent="0.4">
      <c r="C22" t="s">
        <v>1513</v>
      </c>
      <c r="D22">
        <f t="shared" ref="D22:O22" si="16">(D21/D5)/(1+(SQRT(1-D21/D5))^2)</f>
        <v>0.25079518371634002</v>
      </c>
      <c r="E22">
        <f t="shared" si="16"/>
        <v>0.25946401734375341</v>
      </c>
      <c r="F22">
        <f t="shared" si="16"/>
        <v>0.27182664653300942</v>
      </c>
      <c r="G22">
        <f t="shared" si="16"/>
        <v>0.2934072583820011</v>
      </c>
      <c r="H22">
        <f t="shared" si="16"/>
        <v>0.32972003486506246</v>
      </c>
      <c r="I22">
        <f t="shared" si="16"/>
        <v>0.36059715244438001</v>
      </c>
      <c r="J22">
        <f t="shared" si="16"/>
        <v>0.39180244187749835</v>
      </c>
      <c r="K22">
        <f t="shared" si="16"/>
        <v>0.39075670727761708</v>
      </c>
      <c r="L22">
        <f t="shared" si="16"/>
        <v>0.36475268862508892</v>
      </c>
      <c r="M22">
        <f t="shared" si="16"/>
        <v>0.31113247843172664</v>
      </c>
      <c r="N22">
        <f t="shared" si="16"/>
        <v>0.27016483735603175</v>
      </c>
      <c r="O22">
        <f t="shared" si="16"/>
        <v>0.24900292491614384</v>
      </c>
      <c r="P22">
        <f t="shared" si="0"/>
        <v>18</v>
      </c>
    </row>
    <row r="23" spans="1:26" ht="17.149999999999999" x14ac:dyDescent="0.55000000000000004">
      <c r="C23" t="s">
        <v>584</v>
      </c>
      <c r="D23">
        <f t="shared" ref="D23:H23" si="17">IFERROR(D18/D21,1)</f>
        <v>1</v>
      </c>
      <c r="E23">
        <f t="shared" si="17"/>
        <v>1</v>
      </c>
      <c r="F23">
        <f t="shared" si="17"/>
        <v>1</v>
      </c>
      <c r="G23">
        <f t="shared" si="17"/>
        <v>1</v>
      </c>
      <c r="H23">
        <f t="shared" si="17"/>
        <v>1</v>
      </c>
      <c r="I23">
        <f>IFERROR(I18/I21,1)</f>
        <v>1</v>
      </c>
      <c r="J23">
        <f t="shared" ref="J23:O23" si="18">IFERROR(J18/J21,1)</f>
        <v>1</v>
      </c>
      <c r="K23">
        <f t="shared" si="18"/>
        <v>1</v>
      </c>
      <c r="L23">
        <f t="shared" si="18"/>
        <v>1</v>
      </c>
      <c r="M23">
        <f t="shared" si="18"/>
        <v>1</v>
      </c>
      <c r="N23">
        <f t="shared" si="18"/>
        <v>1</v>
      </c>
      <c r="O23">
        <f t="shared" si="18"/>
        <v>1</v>
      </c>
      <c r="P23">
        <f t="shared" si="0"/>
        <v>19</v>
      </c>
    </row>
    <row r="24" spans="1:26" ht="17.149999999999999" x14ac:dyDescent="0.55000000000000004">
      <c r="C24" t="s">
        <v>585</v>
      </c>
      <c r="D24">
        <f t="shared" ref="D24:O24" si="19">INDEX(Phys_Prop,MATCH(D6,Chem_List,0),3)</f>
        <v>61.103726164670178</v>
      </c>
      <c r="E24">
        <f t="shared" si="19"/>
        <v>61.103726164670178</v>
      </c>
      <c r="F24">
        <f t="shared" si="19"/>
        <v>61.103726164670178</v>
      </c>
      <c r="G24">
        <f t="shared" si="19"/>
        <v>61.103726164670178</v>
      </c>
      <c r="H24">
        <f t="shared" si="19"/>
        <v>61.103726164670178</v>
      </c>
      <c r="I24">
        <f t="shared" si="19"/>
        <v>61.103726164670178</v>
      </c>
      <c r="J24">
        <f t="shared" si="19"/>
        <v>61.103726164670178</v>
      </c>
      <c r="K24">
        <f t="shared" si="19"/>
        <v>61.103726164670178</v>
      </c>
      <c r="L24">
        <f t="shared" si="19"/>
        <v>61.103726164670178</v>
      </c>
      <c r="M24">
        <f t="shared" si="19"/>
        <v>61.103726164670178</v>
      </c>
      <c r="N24">
        <f t="shared" si="19"/>
        <v>61.103726164670178</v>
      </c>
      <c r="O24">
        <f t="shared" si="19"/>
        <v>61.103726164670178</v>
      </c>
      <c r="P24">
        <f t="shared" si="0"/>
        <v>20</v>
      </c>
    </row>
    <row r="25" spans="1:26" ht="17.149999999999999" x14ac:dyDescent="0.55000000000000004">
      <c r="C25" t="s">
        <v>586</v>
      </c>
      <c r="D25">
        <f>D20/D21</f>
        <v>0</v>
      </c>
      <c r="E25">
        <f t="shared" ref="E25:O25" si="20">E20/E21</f>
        <v>0</v>
      </c>
      <c r="F25">
        <f t="shared" si="20"/>
        <v>0</v>
      </c>
      <c r="G25">
        <f t="shared" si="20"/>
        <v>0</v>
      </c>
      <c r="H25">
        <f t="shared" si="20"/>
        <v>0</v>
      </c>
      <c r="I25">
        <f t="shared" si="20"/>
        <v>0</v>
      </c>
      <c r="J25">
        <f t="shared" si="20"/>
        <v>0</v>
      </c>
      <c r="K25">
        <f t="shared" si="20"/>
        <v>0</v>
      </c>
      <c r="L25">
        <f t="shared" si="20"/>
        <v>0</v>
      </c>
      <c r="M25">
        <f t="shared" si="20"/>
        <v>0</v>
      </c>
      <c r="N25">
        <f t="shared" si="20"/>
        <v>0</v>
      </c>
      <c r="O25">
        <f t="shared" si="20"/>
        <v>0</v>
      </c>
      <c r="P25">
        <f t="shared" si="0"/>
        <v>21</v>
      </c>
    </row>
    <row r="26" spans="1:26" ht="17.149999999999999" x14ac:dyDescent="0.55000000000000004">
      <c r="C26" t="s">
        <v>587</v>
      </c>
      <c r="D26">
        <f t="shared" ref="D26:O26" si="21">IFERROR(INDEX(Phys_Prop,MATCH(D8,Chem_List,0),3),0)</f>
        <v>0</v>
      </c>
      <c r="E26">
        <f t="shared" si="21"/>
        <v>0</v>
      </c>
      <c r="F26">
        <f t="shared" si="21"/>
        <v>0</v>
      </c>
      <c r="G26">
        <f t="shared" si="21"/>
        <v>0</v>
      </c>
      <c r="H26">
        <f t="shared" si="21"/>
        <v>0</v>
      </c>
      <c r="I26">
        <f t="shared" si="21"/>
        <v>0</v>
      </c>
      <c r="J26">
        <f t="shared" si="21"/>
        <v>0</v>
      </c>
      <c r="K26">
        <f t="shared" si="21"/>
        <v>0</v>
      </c>
      <c r="L26">
        <f t="shared" si="21"/>
        <v>0</v>
      </c>
      <c r="M26">
        <f t="shared" si="21"/>
        <v>0</v>
      </c>
      <c r="N26">
        <f t="shared" si="21"/>
        <v>0</v>
      </c>
      <c r="O26">
        <f t="shared" si="21"/>
        <v>0</v>
      </c>
      <c r="P26">
        <f t="shared" si="0"/>
        <v>22</v>
      </c>
    </row>
    <row r="27" spans="1:26" ht="17.149999999999999" x14ac:dyDescent="0.55000000000000004">
      <c r="A27" s="11"/>
      <c r="B27" s="11"/>
      <c r="C27" s="11" t="s">
        <v>588</v>
      </c>
      <c r="D27" s="11">
        <f>IFERROR(D23*D24+D25*D26,0)</f>
        <v>61.103726164670178</v>
      </c>
      <c r="E27" s="11">
        <f t="shared" ref="E27" si="22">IFERROR(E23*E24+E25*E26,0)</f>
        <v>61.103726164670178</v>
      </c>
      <c r="F27" s="11">
        <f t="shared" ref="F27" si="23">IFERROR(F23*F24+F25*F26,0)</f>
        <v>61.103726164670178</v>
      </c>
      <c r="G27" s="11">
        <f t="shared" ref="G27" si="24">IFERROR(G23*G24+G25*G26,0)</f>
        <v>61.103726164670178</v>
      </c>
      <c r="H27" s="11">
        <f t="shared" ref="H27" si="25">IFERROR(H23*H24+H25*H26,0)</f>
        <v>61.103726164670178</v>
      </c>
      <c r="I27" s="11">
        <f t="shared" ref="I27" si="26">IFERROR(I23*I24+I25*I26,0)</f>
        <v>61.103726164670178</v>
      </c>
      <c r="J27" s="11">
        <f t="shared" ref="J27" si="27">IFERROR(J23*J24+J25*J26,0)</f>
        <v>61.103726164670178</v>
      </c>
      <c r="K27" s="11">
        <f t="shared" ref="K27" si="28">IFERROR(K23*K24+K25*K26,0)</f>
        <v>61.103726164670178</v>
      </c>
      <c r="L27" s="11">
        <f t="shared" ref="L27" si="29">IFERROR(L23*L24+L25*L26,0)</f>
        <v>61.103726164670178</v>
      </c>
      <c r="M27" s="11">
        <f t="shared" ref="M27" si="30">IFERROR(M23*M24+M25*M26,0)</f>
        <v>61.103726164670178</v>
      </c>
      <c r="N27" s="11">
        <f t="shared" ref="N27" si="31">IFERROR(N23*N24+N25*N26,0)</f>
        <v>61.103726164670178</v>
      </c>
      <c r="O27" s="11">
        <f t="shared" ref="O27" si="32">IFERROR(O23*O24+O25*O26,0)</f>
        <v>61.103726164670178</v>
      </c>
      <c r="P27" s="11">
        <f t="shared" si="0"/>
        <v>23</v>
      </c>
      <c r="Q27" s="11"/>
      <c r="R27" s="11"/>
      <c r="S27" s="11"/>
      <c r="T27" s="11"/>
      <c r="U27" s="11"/>
      <c r="V27" s="11"/>
      <c r="W27" s="11"/>
      <c r="X27" s="11"/>
      <c r="Y27" s="11"/>
      <c r="Z27" s="11"/>
    </row>
    <row r="28" spans="1:26" ht="17.149999999999999" x14ac:dyDescent="0.55000000000000004">
      <c r="A28" t="str" cm="1">
        <f t="array" ref="A28">INDEX(FLT_Cons,$R28,T$5)</f>
        <v>FLT - 2</v>
      </c>
      <c r="B28" t="str" cm="1">
        <f t="array" ref="B28">INDEX(FLT_Cons,$R28,T$6)</f>
        <v>Portland</v>
      </c>
      <c r="C28" t="s">
        <v>563</v>
      </c>
      <c r="D28">
        <v>14.7</v>
      </c>
      <c r="E28">
        <v>14.7</v>
      </c>
      <c r="F28">
        <v>14.7</v>
      </c>
      <c r="G28">
        <v>14.7</v>
      </c>
      <c r="H28">
        <v>14.7</v>
      </c>
      <c r="I28">
        <v>14.7</v>
      </c>
      <c r="J28">
        <v>14.7</v>
      </c>
      <c r="K28">
        <v>14.7</v>
      </c>
      <c r="L28">
        <v>14.7</v>
      </c>
      <c r="M28">
        <v>14.7</v>
      </c>
      <c r="N28">
        <v>14.7</v>
      </c>
      <c r="O28">
        <v>14.7</v>
      </c>
      <c r="P28">
        <f>P27+1</f>
        <v>24</v>
      </c>
      <c r="R28">
        <f>R5+1</f>
        <v>2</v>
      </c>
      <c r="S28" t="s">
        <v>237</v>
      </c>
      <c r="T28">
        <v>1</v>
      </c>
      <c r="W28" t="s">
        <v>1516</v>
      </c>
      <c r="X28">
        <f>X5+12</f>
        <v>18</v>
      </c>
      <c r="Y28" t="s">
        <v>1787</v>
      </c>
      <c r="Z28">
        <f>Z5+12</f>
        <v>15</v>
      </c>
    </row>
    <row r="29" spans="1:26" x14ac:dyDescent="0.4">
      <c r="C29" s="66" t="s">
        <v>567</v>
      </c>
      <c r="D29" t="str" cm="1">
        <f t="array" ref="D29">INDEX(Flt_Multi,$V29,D$3)</f>
        <v>Bakken Crude</v>
      </c>
      <c r="E29" t="str" cm="1">
        <f t="array" ref="E29">INDEX(Flt_Multi,$V29,E$3)</f>
        <v>Bakken Crude</v>
      </c>
      <c r="F29" t="str" cm="1">
        <f t="array" ref="F29">INDEX(Flt_Multi,$V29,F$3)</f>
        <v>Bakken Crude</v>
      </c>
      <c r="G29" t="str" cm="1">
        <f t="array" ref="G29">INDEX(Flt_Multi,$V29,G$3)</f>
        <v>Bakken Crude</v>
      </c>
      <c r="H29" t="str" cm="1">
        <f t="array" ref="H29">INDEX(Flt_Multi,$V29,H$3)</f>
        <v>Bakken Crude</v>
      </c>
      <c r="I29" t="str" cm="1">
        <f t="array" ref="I29">INDEX(Flt_Multi,$V29,I$3)</f>
        <v>Bakken Crude</v>
      </c>
      <c r="J29" t="str" cm="1">
        <f t="array" ref="J29">INDEX(Flt_Multi,$V29,J$3)</f>
        <v>Bakken Crude</v>
      </c>
      <c r="K29" t="str" cm="1">
        <f t="array" ref="K29">INDEX(Flt_Multi,$V29,K$3)</f>
        <v>Bakken Crude</v>
      </c>
      <c r="L29" t="str" cm="1">
        <f t="array" ref="L29">INDEX(Flt_Multi,$V29,L$3)</f>
        <v>Bakken Crude</v>
      </c>
      <c r="M29" t="str" cm="1">
        <f t="array" ref="M29">INDEX(Flt_Multi,$V29,M$3)</f>
        <v>Bakken Crude</v>
      </c>
      <c r="N29" t="str" cm="1">
        <f t="array" ref="N29">INDEX(Flt_Multi,$V29,N$3)</f>
        <v>Bakken Crude</v>
      </c>
      <c r="O29" t="str" cm="1">
        <f t="array" ref="O29">INDEX(Flt_Multi,$V29,O$3)</f>
        <v>Bakken Crude</v>
      </c>
      <c r="P29">
        <f>P28+1</f>
        <v>25</v>
      </c>
      <c r="S29" t="s">
        <v>549</v>
      </c>
      <c r="T29">
        <v>3</v>
      </c>
      <c r="U29" s="66" t="s">
        <v>567</v>
      </c>
      <c r="V29">
        <f>V6+14</f>
        <v>15</v>
      </c>
      <c r="Y29" t="s">
        <v>1786</v>
      </c>
      <c r="Z29">
        <f>Z28+1</f>
        <v>16</v>
      </c>
    </row>
    <row r="30" spans="1:26" x14ac:dyDescent="0.4">
      <c r="C30" s="66" t="s">
        <v>566</v>
      </c>
      <c r="D30" t="str" cm="1">
        <f t="array" ref="D30">INDEX(Flt_Multi,$V30,D$3)</f>
        <v>Crude Oil</v>
      </c>
      <c r="E30" t="str" cm="1">
        <f t="array" ref="E30">INDEX(Flt_Multi,$V30,E$3)</f>
        <v>Crude Oil</v>
      </c>
      <c r="F30" t="str" cm="1">
        <f t="array" ref="F30">INDEX(Flt_Multi,$V30,F$3)</f>
        <v>Crude Oil</v>
      </c>
      <c r="G30" t="str" cm="1">
        <f t="array" ref="G30">INDEX(Flt_Multi,$V30,G$3)</f>
        <v>Crude Oil</v>
      </c>
      <c r="H30" t="str" cm="1">
        <f t="array" ref="H30">INDEX(Flt_Multi,$V30,H$3)</f>
        <v>Crude Oil</v>
      </c>
      <c r="I30" t="str" cm="1">
        <f t="array" ref="I30">INDEX(Flt_Multi,$V30,I$3)</f>
        <v>Crude Oil</v>
      </c>
      <c r="J30" t="str" cm="1">
        <f t="array" ref="J30">INDEX(Flt_Multi,$V30,J$3)</f>
        <v>Crude Oil</v>
      </c>
      <c r="K30" t="str" cm="1">
        <f t="array" ref="K30">INDEX(Flt_Multi,$V30,K$3)</f>
        <v>Crude Oil</v>
      </c>
      <c r="L30" t="str" cm="1">
        <f t="array" ref="L30">INDEX(Flt_Multi,$V30,L$3)</f>
        <v>Crude Oil</v>
      </c>
      <c r="M30" t="str" cm="1">
        <f t="array" ref="M30">INDEX(Flt_Multi,$V30,M$3)</f>
        <v>Crude Oil</v>
      </c>
      <c r="N30" t="str" cm="1">
        <f t="array" ref="N30">INDEX(Flt_Multi,$V30,N$3)</f>
        <v>Crude Oil</v>
      </c>
      <c r="O30" t="str" cm="1">
        <f t="array" ref="O30">INDEX(Flt_Multi,$V30,O$3)</f>
        <v>Crude Oil</v>
      </c>
      <c r="P30">
        <f t="shared" ref="P30:P50" si="33">P29+1</f>
        <v>26</v>
      </c>
      <c r="U30" s="66" t="s">
        <v>566</v>
      </c>
      <c r="V30">
        <f>V29+2</f>
        <v>17</v>
      </c>
      <c r="Y30" t="s">
        <v>1788</v>
      </c>
      <c r="Z30">
        <f>Z28+5</f>
        <v>20</v>
      </c>
    </row>
    <row r="31" spans="1:26" x14ac:dyDescent="0.4">
      <c r="C31" s="66" t="s">
        <v>568</v>
      </c>
      <c r="D31" t="str" cm="1">
        <f t="array" ref="D31">INDEX(Flt_Multi,$V31,D$3)</f>
        <v/>
      </c>
      <c r="E31" t="str" cm="1">
        <f t="array" ref="E31">INDEX(Flt_Multi,$V31,E$3)</f>
        <v/>
      </c>
      <c r="F31" t="str" cm="1">
        <f t="array" ref="F31">INDEX(Flt_Multi,$V31,F$3)</f>
        <v/>
      </c>
      <c r="G31" t="str" cm="1">
        <f t="array" ref="G31">INDEX(Flt_Multi,$V31,G$3)</f>
        <v/>
      </c>
      <c r="H31" t="str" cm="1">
        <f t="array" ref="H31">INDEX(Flt_Multi,$V31,H$3)</f>
        <v/>
      </c>
      <c r="I31" t="str" cm="1">
        <f t="array" ref="I31">INDEX(Flt_Multi,$V31,I$3)</f>
        <v/>
      </c>
      <c r="J31" t="str" cm="1">
        <f t="array" ref="J31">INDEX(Flt_Multi,$V31,J$3)</f>
        <v/>
      </c>
      <c r="K31" t="str" cm="1">
        <f t="array" ref="K31">INDEX(Flt_Multi,$V31,K$3)</f>
        <v/>
      </c>
      <c r="L31" t="str" cm="1">
        <f t="array" ref="L31">INDEX(Flt_Multi,$V31,L$3)</f>
        <v/>
      </c>
      <c r="M31" t="str" cm="1">
        <f t="array" ref="M31">INDEX(Flt_Multi,$V31,M$3)</f>
        <v/>
      </c>
      <c r="N31" t="str" cm="1">
        <f t="array" ref="N31">INDEX(Flt_Multi,$V31,N$3)</f>
        <v/>
      </c>
      <c r="O31" t="str" cm="1">
        <f t="array" ref="O31">INDEX(Flt_Multi,$V31,O$3)</f>
        <v/>
      </c>
      <c r="P31">
        <f t="shared" si="33"/>
        <v>27</v>
      </c>
      <c r="U31" s="66" t="s">
        <v>568</v>
      </c>
      <c r="V31">
        <f>V29+1</f>
        <v>16</v>
      </c>
      <c r="Y31" t="s">
        <v>1789</v>
      </c>
      <c r="Z31">
        <f>Z30+1</f>
        <v>21</v>
      </c>
    </row>
    <row r="32" spans="1:26" x14ac:dyDescent="0.4">
      <c r="C32" s="66" t="s">
        <v>569</v>
      </c>
      <c r="D32" t="e" cm="1">
        <f t="array" ref="D32">INDEX(Flt_Multi,$V32,D$3)</f>
        <v>#N/A</v>
      </c>
      <c r="E32" t="e" cm="1">
        <f t="array" ref="E32">INDEX(Flt_Multi,$V32,E$3)</f>
        <v>#N/A</v>
      </c>
      <c r="F32" t="e" cm="1">
        <f t="array" ref="F32">INDEX(Flt_Multi,$V32,F$3)</f>
        <v>#N/A</v>
      </c>
      <c r="G32" t="e" cm="1">
        <f t="array" ref="G32">INDEX(Flt_Multi,$V32,G$3)</f>
        <v>#N/A</v>
      </c>
      <c r="H32" t="e" cm="1">
        <f t="array" ref="H32">INDEX(Flt_Multi,$V32,H$3)</f>
        <v>#N/A</v>
      </c>
      <c r="I32" t="e" cm="1">
        <f t="array" ref="I32">INDEX(Flt_Multi,$V32,I$3)</f>
        <v>#N/A</v>
      </c>
      <c r="J32" t="e" cm="1">
        <f t="array" ref="J32">INDEX(Flt_Multi,$V32,J$3)</f>
        <v>#N/A</v>
      </c>
      <c r="K32" t="e" cm="1">
        <f t="array" ref="K32">INDEX(Flt_Multi,$V32,K$3)</f>
        <v>#N/A</v>
      </c>
      <c r="L32" t="e" cm="1">
        <f t="array" ref="L32">INDEX(Flt_Multi,$V32,L$3)</f>
        <v>#N/A</v>
      </c>
      <c r="M32" t="e" cm="1">
        <f t="array" ref="M32">INDEX(Flt_Multi,$V32,M$3)</f>
        <v>#N/A</v>
      </c>
      <c r="N32" t="e" cm="1">
        <f t="array" ref="N32">INDEX(Flt_Multi,$V32,N$3)</f>
        <v>#N/A</v>
      </c>
      <c r="O32" t="e" cm="1">
        <f t="array" ref="O32">INDEX(Flt_Multi,$V32,O$3)</f>
        <v>#N/A</v>
      </c>
      <c r="P32">
        <f t="shared" si="33"/>
        <v>28</v>
      </c>
      <c r="U32" s="66" t="s">
        <v>569</v>
      </c>
      <c r="V32">
        <f>V31+2</f>
        <v>18</v>
      </c>
    </row>
    <row r="33" spans="3:22" ht="17.149999999999999" x14ac:dyDescent="0.55000000000000004">
      <c r="C33" t="s">
        <v>570</v>
      </c>
      <c r="D33" cm="1">
        <f t="array" ref="D33">INDEX(Flt_Multi,$V33,D$3)</f>
        <v>1</v>
      </c>
      <c r="E33" cm="1">
        <f t="array" ref="E33">INDEX(Flt_Multi,$V33,E$3)</f>
        <v>1</v>
      </c>
      <c r="F33" cm="1">
        <f t="array" ref="F33">INDEX(Flt_Multi,$V33,F$3)</f>
        <v>1</v>
      </c>
      <c r="G33" cm="1">
        <f t="array" ref="G33">INDEX(Flt_Multi,$V33,G$3)</f>
        <v>1</v>
      </c>
      <c r="H33" cm="1">
        <f t="array" ref="H33">INDEX(Flt_Multi,$V33,H$3)</f>
        <v>1</v>
      </c>
      <c r="I33" cm="1">
        <f t="array" ref="I33">INDEX(Flt_Multi,$V33,I$3)</f>
        <v>1</v>
      </c>
      <c r="J33" cm="1">
        <f t="array" ref="J33">INDEX(Flt_Multi,$V33,J$3)</f>
        <v>1</v>
      </c>
      <c r="K33" cm="1">
        <f t="array" ref="K33">INDEX(Flt_Multi,$V33,K$3)</f>
        <v>1</v>
      </c>
      <c r="L33" cm="1">
        <f t="array" ref="L33">INDEX(Flt_Multi,$V33,L$3)</f>
        <v>1</v>
      </c>
      <c r="M33" cm="1">
        <f t="array" ref="M33">INDEX(Flt_Multi,$V33,M$3)</f>
        <v>1</v>
      </c>
      <c r="N33" cm="1">
        <f t="array" ref="N33">INDEX(Flt_Multi,$V33,N$3)</f>
        <v>1</v>
      </c>
      <c r="O33" cm="1">
        <f t="array" ref="O33">INDEX(Flt_Multi,$V33,O$3)</f>
        <v>1</v>
      </c>
      <c r="P33">
        <f t="shared" si="33"/>
        <v>29</v>
      </c>
      <c r="U33" t="s">
        <v>570</v>
      </c>
      <c r="V33">
        <f>V29+9</f>
        <v>24</v>
      </c>
    </row>
    <row r="34" spans="3:22" ht="17.149999999999999" x14ac:dyDescent="0.55000000000000004">
      <c r="C34" t="s">
        <v>572</v>
      </c>
      <c r="D34" cm="1">
        <f t="array" ref="D34">INDEX(Flt_Multi,$V34,D$3)</f>
        <v>0</v>
      </c>
      <c r="E34" cm="1">
        <f t="array" ref="E34">INDEX(Flt_Multi,$V34,E$3)</f>
        <v>0</v>
      </c>
      <c r="F34" cm="1">
        <f t="array" ref="F34">INDEX(Flt_Multi,$V34,F$3)</f>
        <v>0</v>
      </c>
      <c r="G34" cm="1">
        <f t="array" ref="G34">INDEX(Flt_Multi,$V34,G$3)</f>
        <v>0</v>
      </c>
      <c r="H34" cm="1">
        <f t="array" ref="H34">INDEX(Flt_Multi,$V34,H$3)</f>
        <v>0</v>
      </c>
      <c r="I34" cm="1">
        <f t="array" ref="I34">INDEX(Flt_Multi,$V34,I$3)</f>
        <v>0</v>
      </c>
      <c r="J34" cm="1">
        <f t="array" ref="J34">INDEX(Flt_Multi,$V34,J$3)</f>
        <v>0</v>
      </c>
      <c r="K34" cm="1">
        <f t="array" ref="K34">INDEX(Flt_Multi,$V34,K$3)</f>
        <v>0</v>
      </c>
      <c r="L34" cm="1">
        <f t="array" ref="L34">INDEX(Flt_Multi,$V34,L$3)</f>
        <v>0</v>
      </c>
      <c r="M34" cm="1">
        <f t="array" ref="M34">INDEX(Flt_Multi,$V34,M$3)</f>
        <v>0</v>
      </c>
      <c r="N34" cm="1">
        <f t="array" ref="N34">INDEX(Flt_Multi,$V34,N$3)</f>
        <v>0</v>
      </c>
      <c r="O34" cm="1">
        <f t="array" ref="O34">INDEX(Flt_Multi,$V34,O$3)</f>
        <v>0</v>
      </c>
      <c r="P34">
        <f t="shared" si="33"/>
        <v>30</v>
      </c>
      <c r="U34" t="s">
        <v>572</v>
      </c>
      <c r="V34">
        <f>V31+9</f>
        <v>25</v>
      </c>
    </row>
    <row r="35" spans="3:22" ht="17.149999999999999" x14ac:dyDescent="0.55000000000000004">
      <c r="C35" t="s">
        <v>552</v>
      </c>
      <c r="D35" cm="1">
        <f t="array" ref="D35">INDEX(Flt_Temps,$X28,D$3)-459.6</f>
        <v>44.724288605619051</v>
      </c>
      <c r="E35" cm="1">
        <f t="array" ref="E35">INDEX(Flt_Temps,$X28,E$3)-459.6</f>
        <v>46.28075962539026</v>
      </c>
      <c r="F35" cm="1">
        <f t="array" ref="F35">INDEX(Flt_Temps,$X28,F$3)-459.6</f>
        <v>48.410543652445369</v>
      </c>
      <c r="G35" cm="1">
        <f t="array" ref="G35">INDEX(Flt_Temps,$X28,G$3)-459.6</f>
        <v>51.898518418314211</v>
      </c>
      <c r="H35" cm="1">
        <f t="array" ref="H35">INDEX(Flt_Temps,$X28,H$3)-459.6</f>
        <v>57.199379240374469</v>
      </c>
      <c r="I35" cm="1">
        <f t="array" ref="I35">INDEX(Flt_Temps,$X28,I$3)-459.6</f>
        <v>61.236493184183246</v>
      </c>
      <c r="J35" cm="1">
        <f t="array" ref="J35">INDEX(Flt_Temps,$X28,J$3)-459.6</f>
        <v>64.949895733610788</v>
      </c>
      <c r="K35" cm="1">
        <f t="array" ref="K35">INDEX(Flt_Temps,$X28,K$3)-459.6</f>
        <v>64.830822268470342</v>
      </c>
      <c r="L35" cm="1">
        <f t="array" ref="L35">INDEX(Flt_Temps,$X28,L$3)-459.6</f>
        <v>61.750980853277838</v>
      </c>
      <c r="M35" cm="1">
        <f t="array" ref="M35">INDEX(Flt_Temps,$X28,M$3)-459.6</f>
        <v>54.567988345473395</v>
      </c>
      <c r="N35" cm="1">
        <f t="array" ref="N35">INDEX(Flt_Temps,$X28,N$3)-459.6</f>
        <v>48.130128355879265</v>
      </c>
      <c r="O35" cm="1">
        <f t="array" ref="O35">INDEX(Flt_Temps,$X28,O$3)-459.6</f>
        <v>44.39564901144638</v>
      </c>
      <c r="P35">
        <f t="shared" si="33"/>
        <v>31</v>
      </c>
    </row>
    <row r="36" spans="3:22" ht="17.149999999999999" x14ac:dyDescent="0.55000000000000004">
      <c r="C36" t="s">
        <v>1790</v>
      </c>
      <c r="D36" cm="1">
        <f t="array" ref="D36">INDEX(FLT_Prod_Info,$Z28,D$3)</f>
        <v>10.199999999999999</v>
      </c>
      <c r="E36" cm="1">
        <f t="array" ref="E36">INDEX(FLT_Prod_Info,$Z28,E$3)</f>
        <v>10.199999999999999</v>
      </c>
      <c r="F36" cm="1">
        <f t="array" ref="F36">INDEX(FLT_Prod_Info,$Z28,F$3)</f>
        <v>10.199999999999999</v>
      </c>
      <c r="G36" cm="1">
        <f t="array" ref="G36">INDEX(FLT_Prod_Info,$Z28,G$3)</f>
        <v>10.199999999999999</v>
      </c>
      <c r="H36" cm="1">
        <f t="array" ref="H36">INDEX(FLT_Prod_Info,$Z28,H$3)</f>
        <v>10.199999999999999</v>
      </c>
      <c r="I36" cm="1">
        <f t="array" ref="I36">INDEX(FLT_Prod_Info,$Z28,I$3)</f>
        <v>10.199999999999999</v>
      </c>
      <c r="J36" cm="1">
        <f t="array" ref="J36">INDEX(FLT_Prod_Info,$Z28,J$3)</f>
        <v>10.199999999999999</v>
      </c>
      <c r="K36" cm="1">
        <f t="array" ref="K36">INDEX(FLT_Prod_Info,$Z28,K$3)</f>
        <v>10.199999999999999</v>
      </c>
      <c r="L36" cm="1">
        <f t="array" ref="L36">INDEX(FLT_Prod_Info,$Z28,L$3)</f>
        <v>10.199999999999999</v>
      </c>
      <c r="M36" cm="1">
        <f t="array" ref="M36">INDEX(FLT_Prod_Info,$Z28,M$3)</f>
        <v>10.199999999999999</v>
      </c>
      <c r="N36" cm="1">
        <f t="array" ref="N36">INDEX(FLT_Prod_Info,$Z28,N$3)</f>
        <v>10.199999999999999</v>
      </c>
      <c r="O36" cm="1">
        <f t="array" ref="O36">INDEX(FLT_Prod_Info,$Z28,O$3)</f>
        <v>10.199999999999999</v>
      </c>
      <c r="P36">
        <f t="shared" si="33"/>
        <v>32</v>
      </c>
    </row>
    <row r="37" spans="3:22" ht="17.149999999999999" x14ac:dyDescent="0.55000000000000004">
      <c r="C37" t="s">
        <v>1791</v>
      </c>
      <c r="D37" cm="1">
        <f t="array" ref="D37">INDEX(FLT_Prod_Info,$Z29,D$3)</f>
        <v>0</v>
      </c>
      <c r="E37" cm="1">
        <f t="array" ref="E37">INDEX(FLT_Prod_Info,$Z29,E$3)</f>
        <v>0</v>
      </c>
      <c r="F37" cm="1">
        <f t="array" ref="F37">INDEX(FLT_Prod_Info,$Z29,F$3)</f>
        <v>0</v>
      </c>
      <c r="G37" cm="1">
        <f t="array" ref="G37">INDEX(FLT_Prod_Info,$Z29,G$3)</f>
        <v>0</v>
      </c>
      <c r="H37" cm="1">
        <f t="array" ref="H37">INDEX(FLT_Prod_Info,$Z29,H$3)</f>
        <v>0</v>
      </c>
      <c r="I37" cm="1">
        <f t="array" ref="I37">INDEX(FLT_Prod_Info,$Z29,I$3)</f>
        <v>0</v>
      </c>
      <c r="J37" cm="1">
        <f t="array" ref="J37">INDEX(FLT_Prod_Info,$Z29,J$3)</f>
        <v>0</v>
      </c>
      <c r="K37" cm="1">
        <f t="array" ref="K37">INDEX(FLT_Prod_Info,$Z29,K$3)</f>
        <v>0</v>
      </c>
      <c r="L37" cm="1">
        <f t="array" ref="L37">INDEX(FLT_Prod_Info,$Z29,L$3)</f>
        <v>0</v>
      </c>
      <c r="M37" cm="1">
        <f t="array" ref="M37">INDEX(FLT_Prod_Info,$Z29,M$3)</f>
        <v>0</v>
      </c>
      <c r="N37" cm="1">
        <f t="array" ref="N37">INDEX(FLT_Prod_Info,$Z29,N$3)</f>
        <v>0</v>
      </c>
      <c r="O37" cm="1">
        <f t="array" ref="O37">INDEX(FLT_Prod_Info,$Z29,O$3)</f>
        <v>0</v>
      </c>
      <c r="P37">
        <f t="shared" si="33"/>
        <v>33</v>
      </c>
    </row>
    <row r="38" spans="3:22" ht="17.149999999999999" x14ac:dyDescent="0.55000000000000004">
      <c r="C38" t="s">
        <v>1792</v>
      </c>
      <c r="D38" t="e" cm="1">
        <f t="array" ref="D38">INDEX(FLT_Prod_Info,$Z30,D$3)</f>
        <v>#N/A</v>
      </c>
      <c r="E38" t="e" cm="1">
        <f t="array" ref="E38">INDEX(FLT_Prod_Info,$Z30,E$3)</f>
        <v>#N/A</v>
      </c>
      <c r="F38" t="e" cm="1">
        <f t="array" ref="F38">INDEX(FLT_Prod_Info,$Z30,F$3)</f>
        <v>#N/A</v>
      </c>
      <c r="G38" t="e" cm="1">
        <f t="array" ref="G38">INDEX(FLT_Prod_Info,$Z30,G$3)</f>
        <v>#N/A</v>
      </c>
      <c r="H38" t="e" cm="1">
        <f t="array" ref="H38">INDEX(FLT_Prod_Info,$Z30,H$3)</f>
        <v>#N/A</v>
      </c>
      <c r="I38" t="e" cm="1">
        <f t="array" ref="I38">INDEX(FLT_Prod_Info,$Z30,I$3)</f>
        <v>#N/A</v>
      </c>
      <c r="J38" t="e" cm="1">
        <f t="array" ref="J38">INDEX(FLT_Prod_Info,$Z30,J$3)</f>
        <v>#N/A</v>
      </c>
      <c r="K38" t="e" cm="1">
        <f t="array" ref="K38">INDEX(FLT_Prod_Info,$Z30,K$3)</f>
        <v>#N/A</v>
      </c>
      <c r="L38" t="e" cm="1">
        <f t="array" ref="L38">INDEX(FLT_Prod_Info,$Z30,L$3)</f>
        <v>#N/A</v>
      </c>
      <c r="M38" t="e" cm="1">
        <f t="array" ref="M38">INDEX(FLT_Prod_Info,$Z30,M$3)</f>
        <v>#N/A</v>
      </c>
      <c r="N38" t="e" cm="1">
        <f t="array" ref="N38">INDEX(FLT_Prod_Info,$Z30,N$3)</f>
        <v>#N/A</v>
      </c>
      <c r="O38" t="e" cm="1">
        <f t="array" ref="O38">INDEX(FLT_Prod_Info,$Z30,O$3)</f>
        <v>#N/A</v>
      </c>
      <c r="P38">
        <f t="shared" si="33"/>
        <v>34</v>
      </c>
    </row>
    <row r="39" spans="3:22" ht="17.149999999999999" x14ac:dyDescent="0.55000000000000004">
      <c r="C39" t="s">
        <v>1793</v>
      </c>
      <c r="D39" t="str" cm="1">
        <f t="array" ref="D39">INDEX(FLT_Prod_Info,$Z31,D$3)</f>
        <v>N/A</v>
      </c>
      <c r="E39" t="str" cm="1">
        <f t="array" ref="E39">INDEX(FLT_Prod_Info,$Z31,E$3)</f>
        <v>N/A</v>
      </c>
      <c r="F39" t="str" cm="1">
        <f t="array" ref="F39">INDEX(FLT_Prod_Info,$Z31,F$3)</f>
        <v>N/A</v>
      </c>
      <c r="G39" t="str" cm="1">
        <f t="array" ref="G39">INDEX(FLT_Prod_Info,$Z31,G$3)</f>
        <v>N/A</v>
      </c>
      <c r="H39" t="str" cm="1">
        <f t="array" ref="H39">INDEX(FLT_Prod_Info,$Z31,H$3)</f>
        <v>N/A</v>
      </c>
      <c r="I39" t="str" cm="1">
        <f t="array" ref="I39">INDEX(FLT_Prod_Info,$Z31,I$3)</f>
        <v>N/A</v>
      </c>
      <c r="J39" t="str" cm="1">
        <f t="array" ref="J39">INDEX(FLT_Prod_Info,$Z31,J$3)</f>
        <v>N/A</v>
      </c>
      <c r="K39" t="str" cm="1">
        <f t="array" ref="K39">INDEX(FLT_Prod_Info,$Z31,K$3)</f>
        <v>N/A</v>
      </c>
      <c r="L39" t="str" cm="1">
        <f t="array" ref="L39">INDEX(FLT_Prod_Info,$Z31,L$3)</f>
        <v>N/A</v>
      </c>
      <c r="M39" t="str" cm="1">
        <f t="array" ref="M39">INDEX(FLT_Prod_Info,$Z31,M$3)</f>
        <v>N/A</v>
      </c>
      <c r="N39" t="str" cm="1">
        <f t="array" ref="N39">INDEX(FLT_Prod_Info,$Z31,N$3)</f>
        <v>N/A</v>
      </c>
      <c r="O39" t="str" cm="1">
        <f t="array" ref="O39">INDEX(FLT_Prod_Info,$Z31,O$3)</f>
        <v>N/A</v>
      </c>
      <c r="P39">
        <f t="shared" si="33"/>
        <v>35</v>
      </c>
    </row>
    <row r="40" spans="3:22" ht="17.149999999999999" x14ac:dyDescent="0.55000000000000004">
      <c r="C40" t="s">
        <v>1388</v>
      </c>
      <c r="D40">
        <f t="shared" ref="D40:O40" si="34">IFERROR(IF(D30="Chemical",(10^(INDEX(Antoines,MATCH(D29,Antoine_Name,0),2)-INDEX(Antoines,MATCH(D29,Antoine_Name,0),3)/(INDEX(Antoines,MATCH(D29,Antoine_Name,0),4)+(D35-32)*5/9)))*14.7/760,IF(D30="Crude Oil",EXP((2799/(D35+459.6)-2.227)*LOG10(D36)-(7261/(D35+459.6))+12.82),IF(D30="Refined Petroleum Stock",EXP((0.7553-(413/(D35+459.6)))*(D37^0.5)*LOG10(D36)-(1.854-(1042/(D35+459.6)))*(D37^0.5)+((2416/(D35+459.6)-2.013)*LOG10(D36))-(8742/(D35+459.6))+15.64),EXP(INDEX(Antoines,MATCH(D29,Antoine_Name,0),2)-INDEX(Antoines,MATCH(D29,Antoine_Name,0),3)/(D35+459.6))))),0)</f>
        <v>5.8949526647142561</v>
      </c>
      <c r="E40">
        <f t="shared" si="34"/>
        <v>6.0567368379404254</v>
      </c>
      <c r="F40">
        <f t="shared" si="34"/>
        <v>6.283642059124805</v>
      </c>
      <c r="G40">
        <f t="shared" si="34"/>
        <v>6.6693404884876069</v>
      </c>
      <c r="H40">
        <f t="shared" si="34"/>
        <v>7.2900827022708894</v>
      </c>
      <c r="I40">
        <f t="shared" si="34"/>
        <v>7.7918407096608675</v>
      </c>
      <c r="J40">
        <f t="shared" si="34"/>
        <v>8.2763123878843672</v>
      </c>
      <c r="K40">
        <f t="shared" si="34"/>
        <v>8.2604291130473815</v>
      </c>
      <c r="L40">
        <f t="shared" si="34"/>
        <v>7.8576354052697734</v>
      </c>
      <c r="M40">
        <f t="shared" si="34"/>
        <v>6.9766366224365344</v>
      </c>
      <c r="N40">
        <f t="shared" si="34"/>
        <v>6.2533979721884903</v>
      </c>
      <c r="O40">
        <f t="shared" si="34"/>
        <v>5.8612240584033284</v>
      </c>
      <c r="P40">
        <f t="shared" si="33"/>
        <v>36</v>
      </c>
    </row>
    <row r="41" spans="3:22" ht="17.149999999999999" x14ac:dyDescent="0.55000000000000004">
      <c r="C41" t="s">
        <v>1389</v>
      </c>
      <c r="D41">
        <f t="shared" ref="D41:O41" si="35">D40*D33</f>
        <v>5.8949526647142561</v>
      </c>
      <c r="E41">
        <f t="shared" si="35"/>
        <v>6.0567368379404254</v>
      </c>
      <c r="F41">
        <f t="shared" si="35"/>
        <v>6.283642059124805</v>
      </c>
      <c r="G41">
        <f t="shared" si="35"/>
        <v>6.6693404884876069</v>
      </c>
      <c r="H41">
        <f t="shared" si="35"/>
        <v>7.2900827022708894</v>
      </c>
      <c r="I41">
        <f t="shared" si="35"/>
        <v>7.7918407096608675</v>
      </c>
      <c r="J41">
        <f t="shared" si="35"/>
        <v>8.2763123878843672</v>
      </c>
      <c r="K41">
        <f t="shared" si="35"/>
        <v>8.2604291130473815</v>
      </c>
      <c r="L41">
        <f t="shared" si="35"/>
        <v>7.8576354052697734</v>
      </c>
      <c r="M41">
        <f t="shared" si="35"/>
        <v>6.9766366224365344</v>
      </c>
      <c r="N41">
        <f t="shared" si="35"/>
        <v>6.2533979721884903</v>
      </c>
      <c r="O41">
        <f t="shared" si="35"/>
        <v>5.8612240584033284</v>
      </c>
      <c r="P41">
        <f t="shared" si="33"/>
        <v>37</v>
      </c>
    </row>
    <row r="42" spans="3:22" ht="17.149999999999999" x14ac:dyDescent="0.55000000000000004">
      <c r="C42" t="s">
        <v>1390</v>
      </c>
      <c r="D42">
        <f t="shared" ref="D42:O42" si="36">IFERROR(IF(D32="Chemical",(10^(INDEX(Antoines,MATCH(D31,Antoine_Name,0),2)-INDEX(Antoines,MATCH(D31,Antoine_Name,0),3)/(INDEX(Antoines,MATCH(D31,Antoine_Name,0),4)+(D35-32)*5/9)))*14.7/760,IF(D32="Crude Oil",EXP((2799/(D35+459.6)-2.227)*LOG10(D38)-(7261/(D35+459.6))+12.82),IF(D32="Refined Petroleum Stock",EXP((0.7553-(413/(D35+459.6)))*(D39^0.5)*LOG10(D38)-(1.854-(1042/(D35+459.6)))*(D39^0.5)+((2416/(D35+459.6)-2.013)*LOG10(D38))-(8742/(D35+459.6))+15.64),EXP(INDEX(Antoines,MATCH(D31,Antoine_Name,0),2)-INDEX(Antoines,MATCH(D31,Antoine_Name,0),3)/(D35+459.6))))),0)</f>
        <v>0</v>
      </c>
      <c r="E42">
        <f t="shared" si="36"/>
        <v>0</v>
      </c>
      <c r="F42">
        <f t="shared" si="36"/>
        <v>0</v>
      </c>
      <c r="G42">
        <f t="shared" si="36"/>
        <v>0</v>
      </c>
      <c r="H42">
        <f t="shared" si="36"/>
        <v>0</v>
      </c>
      <c r="I42">
        <f t="shared" si="36"/>
        <v>0</v>
      </c>
      <c r="J42">
        <f t="shared" si="36"/>
        <v>0</v>
      </c>
      <c r="K42">
        <f t="shared" si="36"/>
        <v>0</v>
      </c>
      <c r="L42">
        <f t="shared" si="36"/>
        <v>0</v>
      </c>
      <c r="M42">
        <f t="shared" si="36"/>
        <v>0</v>
      </c>
      <c r="N42">
        <f t="shared" si="36"/>
        <v>0</v>
      </c>
      <c r="O42">
        <f t="shared" si="36"/>
        <v>0</v>
      </c>
      <c r="P42">
        <f t="shared" si="33"/>
        <v>38</v>
      </c>
    </row>
    <row r="43" spans="3:22" ht="17.149999999999999" x14ac:dyDescent="0.55000000000000004">
      <c r="C43" t="s">
        <v>1391</v>
      </c>
      <c r="D43">
        <f t="shared" ref="D43:O43" si="37">D42*D34</f>
        <v>0</v>
      </c>
      <c r="E43">
        <f t="shared" si="37"/>
        <v>0</v>
      </c>
      <c r="F43">
        <f t="shared" si="37"/>
        <v>0</v>
      </c>
      <c r="G43">
        <f t="shared" si="37"/>
        <v>0</v>
      </c>
      <c r="H43">
        <f t="shared" si="37"/>
        <v>0</v>
      </c>
      <c r="I43">
        <f t="shared" si="37"/>
        <v>0</v>
      </c>
      <c r="J43">
        <f t="shared" si="37"/>
        <v>0</v>
      </c>
      <c r="K43">
        <f t="shared" si="37"/>
        <v>0</v>
      </c>
      <c r="L43">
        <f t="shared" si="37"/>
        <v>0</v>
      </c>
      <c r="M43">
        <f t="shared" si="37"/>
        <v>0</v>
      </c>
      <c r="N43">
        <f t="shared" si="37"/>
        <v>0</v>
      </c>
      <c r="O43">
        <f t="shared" si="37"/>
        <v>0</v>
      </c>
      <c r="P43">
        <f t="shared" si="33"/>
        <v>39</v>
      </c>
    </row>
    <row r="44" spans="3:22" ht="17.149999999999999" x14ac:dyDescent="0.55000000000000004">
      <c r="C44" t="s">
        <v>1392</v>
      </c>
      <c r="D44">
        <f>IF(D29="Out of Service",0,D41+D43)</f>
        <v>5.8949526647142561</v>
      </c>
      <c r="E44">
        <f t="shared" ref="E44" si="38">IF(E29="Out of Service",0,E41+E43)</f>
        <v>6.0567368379404254</v>
      </c>
      <c r="F44">
        <f t="shared" ref="F44" si="39">IF(F29="Out of Service",0,F41+F43)</f>
        <v>6.283642059124805</v>
      </c>
      <c r="G44">
        <f t="shared" ref="G44" si="40">IF(G29="Out of Service",0,G41+G43)</f>
        <v>6.6693404884876069</v>
      </c>
      <c r="H44">
        <f t="shared" ref="H44" si="41">IF(H29="Out of Service",0,H41+H43)</f>
        <v>7.2900827022708894</v>
      </c>
      <c r="I44">
        <f t="shared" ref="I44" si="42">IF(I29="Out of Service",0,I41+I43)</f>
        <v>7.7918407096608675</v>
      </c>
      <c r="J44">
        <f t="shared" ref="J44" si="43">IF(J29="Out of Service",0,J41+J43)</f>
        <v>8.2763123878843672</v>
      </c>
      <c r="K44">
        <f t="shared" ref="K44" si="44">IF(K29="Out of Service",0,K41+K43)</f>
        <v>8.2604291130473815</v>
      </c>
      <c r="L44">
        <f t="shared" ref="L44" si="45">IF(L29="Out of Service",0,L41+L43)</f>
        <v>7.8576354052697734</v>
      </c>
      <c r="M44">
        <f t="shared" ref="M44" si="46">IF(M29="Out of Service",0,M41+M43)</f>
        <v>6.9766366224365344</v>
      </c>
      <c r="N44">
        <f t="shared" ref="N44" si="47">IF(N29="Out of Service",0,N41+N43)</f>
        <v>6.2533979721884903</v>
      </c>
      <c r="O44">
        <f t="shared" ref="O44" si="48">IF(O29="Out of Service",0,O41+O43)</f>
        <v>5.8612240584033284</v>
      </c>
      <c r="P44">
        <f t="shared" si="33"/>
        <v>40</v>
      </c>
    </row>
    <row r="45" spans="3:22" x14ac:dyDescent="0.4">
      <c r="C45" t="s">
        <v>1513</v>
      </c>
      <c r="D45">
        <f t="shared" ref="D45:O45" si="49">(D44/D28)/(1+(SQRT(1-D44/D28))^2)</f>
        <v>0.25079518371634002</v>
      </c>
      <c r="E45">
        <f t="shared" si="49"/>
        <v>0.25946401734375341</v>
      </c>
      <c r="F45">
        <f t="shared" si="49"/>
        <v>0.27182664653300942</v>
      </c>
      <c r="G45">
        <f t="shared" si="49"/>
        <v>0.2934072583820011</v>
      </c>
      <c r="H45">
        <f t="shared" si="49"/>
        <v>0.32972003486506246</v>
      </c>
      <c r="I45">
        <f t="shared" si="49"/>
        <v>0.36059715244438001</v>
      </c>
      <c r="J45">
        <f t="shared" si="49"/>
        <v>0.39180244187749835</v>
      </c>
      <c r="K45">
        <f t="shared" si="49"/>
        <v>0.39075670727761708</v>
      </c>
      <c r="L45">
        <f t="shared" si="49"/>
        <v>0.36475268862508892</v>
      </c>
      <c r="M45">
        <f t="shared" si="49"/>
        <v>0.31113247843172664</v>
      </c>
      <c r="N45">
        <f t="shared" si="49"/>
        <v>0.27016483735603175</v>
      </c>
      <c r="O45">
        <f t="shared" si="49"/>
        <v>0.24900292491614384</v>
      </c>
      <c r="P45">
        <f t="shared" si="33"/>
        <v>41</v>
      </c>
    </row>
    <row r="46" spans="3:22" ht="17.149999999999999" x14ac:dyDescent="0.55000000000000004">
      <c r="C46" t="s">
        <v>584</v>
      </c>
      <c r="D46">
        <f t="shared" ref="D46:H46" si="50">IFERROR(D41/D44,1)</f>
        <v>1</v>
      </c>
      <c r="E46">
        <f t="shared" si="50"/>
        <v>1</v>
      </c>
      <c r="F46">
        <f t="shared" si="50"/>
        <v>1</v>
      </c>
      <c r="G46">
        <f t="shared" si="50"/>
        <v>1</v>
      </c>
      <c r="H46">
        <f t="shared" si="50"/>
        <v>1</v>
      </c>
      <c r="I46">
        <f>IFERROR(I41/I44,1)</f>
        <v>1</v>
      </c>
      <c r="J46">
        <f t="shared" ref="J46:O46" si="51">IFERROR(J41/J44,1)</f>
        <v>1</v>
      </c>
      <c r="K46">
        <f t="shared" si="51"/>
        <v>1</v>
      </c>
      <c r="L46">
        <f t="shared" si="51"/>
        <v>1</v>
      </c>
      <c r="M46">
        <f t="shared" si="51"/>
        <v>1</v>
      </c>
      <c r="N46">
        <f t="shared" si="51"/>
        <v>1</v>
      </c>
      <c r="O46">
        <f t="shared" si="51"/>
        <v>1</v>
      </c>
      <c r="P46">
        <f t="shared" si="33"/>
        <v>42</v>
      </c>
    </row>
    <row r="47" spans="3:22" ht="17.149999999999999" x14ac:dyDescent="0.55000000000000004">
      <c r="C47" t="s">
        <v>585</v>
      </c>
      <c r="D47">
        <f t="shared" ref="D47:O47" si="52">INDEX(Phys_Prop,MATCH(D29,Chem_List,0),3)</f>
        <v>61.103726164670178</v>
      </c>
      <c r="E47">
        <f t="shared" si="52"/>
        <v>61.103726164670178</v>
      </c>
      <c r="F47">
        <f t="shared" si="52"/>
        <v>61.103726164670178</v>
      </c>
      <c r="G47">
        <f t="shared" si="52"/>
        <v>61.103726164670178</v>
      </c>
      <c r="H47">
        <f t="shared" si="52"/>
        <v>61.103726164670178</v>
      </c>
      <c r="I47">
        <f t="shared" si="52"/>
        <v>61.103726164670178</v>
      </c>
      <c r="J47">
        <f t="shared" si="52"/>
        <v>61.103726164670178</v>
      </c>
      <c r="K47">
        <f t="shared" si="52"/>
        <v>61.103726164670178</v>
      </c>
      <c r="L47">
        <f t="shared" si="52"/>
        <v>61.103726164670178</v>
      </c>
      <c r="M47">
        <f t="shared" si="52"/>
        <v>61.103726164670178</v>
      </c>
      <c r="N47">
        <f t="shared" si="52"/>
        <v>61.103726164670178</v>
      </c>
      <c r="O47">
        <f t="shared" si="52"/>
        <v>61.103726164670178</v>
      </c>
      <c r="P47">
        <f t="shared" si="33"/>
        <v>43</v>
      </c>
    </row>
    <row r="48" spans="3:22" ht="17.149999999999999" x14ac:dyDescent="0.55000000000000004">
      <c r="C48" t="s">
        <v>586</v>
      </c>
      <c r="D48">
        <f>D43/D44</f>
        <v>0</v>
      </c>
      <c r="E48">
        <f t="shared" ref="E48:O48" si="53">E43/E44</f>
        <v>0</v>
      </c>
      <c r="F48">
        <f t="shared" si="53"/>
        <v>0</v>
      </c>
      <c r="G48">
        <f t="shared" si="53"/>
        <v>0</v>
      </c>
      <c r="H48">
        <f t="shared" si="53"/>
        <v>0</v>
      </c>
      <c r="I48">
        <f t="shared" si="53"/>
        <v>0</v>
      </c>
      <c r="J48">
        <f t="shared" si="53"/>
        <v>0</v>
      </c>
      <c r="K48">
        <f t="shared" si="53"/>
        <v>0</v>
      </c>
      <c r="L48">
        <f t="shared" si="53"/>
        <v>0</v>
      </c>
      <c r="M48">
        <f t="shared" si="53"/>
        <v>0</v>
      </c>
      <c r="N48">
        <f t="shared" si="53"/>
        <v>0</v>
      </c>
      <c r="O48">
        <f t="shared" si="53"/>
        <v>0</v>
      </c>
      <c r="P48">
        <f t="shared" si="33"/>
        <v>44</v>
      </c>
    </row>
    <row r="49" spans="1:26" ht="17.149999999999999" x14ac:dyDescent="0.55000000000000004">
      <c r="C49" t="s">
        <v>587</v>
      </c>
      <c r="D49">
        <f t="shared" ref="D49:O49" si="54">IFERROR(INDEX(Phys_Prop,MATCH(D31,Chem_List,0),3),0)</f>
        <v>0</v>
      </c>
      <c r="E49">
        <f t="shared" si="54"/>
        <v>0</v>
      </c>
      <c r="F49">
        <f t="shared" si="54"/>
        <v>0</v>
      </c>
      <c r="G49">
        <f t="shared" si="54"/>
        <v>0</v>
      </c>
      <c r="H49">
        <f t="shared" si="54"/>
        <v>0</v>
      </c>
      <c r="I49">
        <f t="shared" si="54"/>
        <v>0</v>
      </c>
      <c r="J49">
        <f t="shared" si="54"/>
        <v>0</v>
      </c>
      <c r="K49">
        <f t="shared" si="54"/>
        <v>0</v>
      </c>
      <c r="L49">
        <f t="shared" si="54"/>
        <v>0</v>
      </c>
      <c r="M49">
        <f t="shared" si="54"/>
        <v>0</v>
      </c>
      <c r="N49">
        <f t="shared" si="54"/>
        <v>0</v>
      </c>
      <c r="O49">
        <f t="shared" si="54"/>
        <v>0</v>
      </c>
      <c r="P49">
        <f t="shared" si="33"/>
        <v>45</v>
      </c>
    </row>
    <row r="50" spans="1:26" ht="17.149999999999999" x14ac:dyDescent="0.55000000000000004">
      <c r="A50" s="11"/>
      <c r="B50" s="11"/>
      <c r="C50" s="11" t="s">
        <v>588</v>
      </c>
      <c r="D50" s="11">
        <f>IFERROR(D46*D47+D48*D49,0)</f>
        <v>61.103726164670178</v>
      </c>
      <c r="E50" s="11">
        <f t="shared" ref="E50" si="55">IFERROR(E46*E47+E48*E49,0)</f>
        <v>61.103726164670178</v>
      </c>
      <c r="F50" s="11">
        <f t="shared" ref="F50" si="56">IFERROR(F46*F47+F48*F49,0)</f>
        <v>61.103726164670178</v>
      </c>
      <c r="G50" s="11">
        <f t="shared" ref="G50" si="57">IFERROR(G46*G47+G48*G49,0)</f>
        <v>61.103726164670178</v>
      </c>
      <c r="H50" s="11">
        <f t="shared" ref="H50" si="58">IFERROR(H46*H47+H48*H49,0)</f>
        <v>61.103726164670178</v>
      </c>
      <c r="I50" s="11">
        <f t="shared" ref="I50" si="59">IFERROR(I46*I47+I48*I49,0)</f>
        <v>61.103726164670178</v>
      </c>
      <c r="J50" s="11">
        <f t="shared" ref="J50" si="60">IFERROR(J46*J47+J48*J49,0)</f>
        <v>61.103726164670178</v>
      </c>
      <c r="K50" s="11">
        <f t="shared" ref="K50" si="61">IFERROR(K46*K47+K48*K49,0)</f>
        <v>61.103726164670178</v>
      </c>
      <c r="L50" s="11">
        <f t="shared" ref="L50" si="62">IFERROR(L46*L47+L48*L49,0)</f>
        <v>61.103726164670178</v>
      </c>
      <c r="M50" s="11">
        <f t="shared" ref="M50" si="63">IFERROR(M46*M47+M48*M49,0)</f>
        <v>61.103726164670178</v>
      </c>
      <c r="N50" s="11">
        <f t="shared" ref="N50" si="64">IFERROR(N46*N47+N48*N49,0)</f>
        <v>61.103726164670178</v>
      </c>
      <c r="O50" s="11">
        <f t="shared" ref="O50" si="65">IFERROR(O46*O47+O48*O49,0)</f>
        <v>61.103726164670178</v>
      </c>
      <c r="P50" s="11">
        <f t="shared" si="33"/>
        <v>46</v>
      </c>
      <c r="Q50" s="11"/>
      <c r="R50" s="11"/>
      <c r="S50" s="11"/>
      <c r="T50" s="11"/>
      <c r="U50" s="11"/>
      <c r="V50" s="11"/>
      <c r="W50" s="11"/>
      <c r="X50" s="11"/>
      <c r="Y50" s="11"/>
    </row>
    <row r="51" spans="1:26" ht="17.149999999999999" x14ac:dyDescent="0.55000000000000004">
      <c r="A51" t="str" cm="1">
        <f t="array" ref="A51">INDEX(FLT_Cons,$R51,T$5)</f>
        <v>FLT - 3</v>
      </c>
      <c r="B51" t="str" cm="1">
        <f t="array" ref="B51">INDEX(FLT_Cons,$R51,T$6)</f>
        <v>Portland</v>
      </c>
      <c r="C51" t="s">
        <v>563</v>
      </c>
      <c r="D51">
        <v>14.7</v>
      </c>
      <c r="E51">
        <v>14.7</v>
      </c>
      <c r="F51">
        <v>14.7</v>
      </c>
      <c r="G51">
        <v>14.7</v>
      </c>
      <c r="H51">
        <v>14.7</v>
      </c>
      <c r="I51">
        <v>14.7</v>
      </c>
      <c r="J51">
        <v>14.7</v>
      </c>
      <c r="K51">
        <v>14.7</v>
      </c>
      <c r="L51">
        <v>14.7</v>
      </c>
      <c r="M51">
        <v>14.7</v>
      </c>
      <c r="N51">
        <v>14.7</v>
      </c>
      <c r="O51">
        <v>14.7</v>
      </c>
      <c r="P51">
        <f>P50+1</f>
        <v>47</v>
      </c>
      <c r="R51">
        <f>R28+1</f>
        <v>3</v>
      </c>
      <c r="S51" t="s">
        <v>237</v>
      </c>
      <c r="T51">
        <v>1</v>
      </c>
      <c r="W51" t="s">
        <v>1516</v>
      </c>
      <c r="X51">
        <f>X28+12</f>
        <v>30</v>
      </c>
      <c r="Y51" t="s">
        <v>1787</v>
      </c>
      <c r="Z51">
        <f>Z28+12</f>
        <v>27</v>
      </c>
    </row>
    <row r="52" spans="1:26" x14ac:dyDescent="0.4">
      <c r="C52" s="66" t="s">
        <v>567</v>
      </c>
      <c r="D52" t="str" cm="1">
        <f t="array" ref="D52">INDEX(Flt_Multi,$V52,D$3)</f>
        <v>Jet kerosene</v>
      </c>
      <c r="E52" t="str" cm="1">
        <f t="array" ref="E52">INDEX(Flt_Multi,$V52,E$3)</f>
        <v>Jet kerosene</v>
      </c>
      <c r="F52" t="str" cm="1">
        <f t="array" ref="F52">INDEX(Flt_Multi,$V52,F$3)</f>
        <v>Jet kerosene</v>
      </c>
      <c r="G52" t="str" cm="1">
        <f t="array" ref="G52">INDEX(Flt_Multi,$V52,G$3)</f>
        <v>Jet kerosene</v>
      </c>
      <c r="H52" t="str" cm="1">
        <f t="array" ref="H52">INDEX(Flt_Multi,$V52,H$3)</f>
        <v>Jet kerosene</v>
      </c>
      <c r="I52" t="str" cm="1">
        <f t="array" ref="I52">INDEX(Flt_Multi,$V52,I$3)</f>
        <v>Jet kerosene</v>
      </c>
      <c r="J52" t="str" cm="1">
        <f t="array" ref="J52">INDEX(Flt_Multi,$V52,J$3)</f>
        <v>Jet kerosene</v>
      </c>
      <c r="K52" t="str" cm="1">
        <f t="array" ref="K52">INDEX(Flt_Multi,$V52,K$3)</f>
        <v>Jet kerosene</v>
      </c>
      <c r="L52" t="str" cm="1">
        <f t="array" ref="L52">INDEX(Flt_Multi,$V52,L$3)</f>
        <v>Jet kerosene</v>
      </c>
      <c r="M52" t="str" cm="1">
        <f t="array" ref="M52">INDEX(Flt_Multi,$V52,M$3)</f>
        <v>Jet kerosene</v>
      </c>
      <c r="N52" t="str" cm="1">
        <f t="array" ref="N52">INDEX(Flt_Multi,$V52,N$3)</f>
        <v>Jet kerosene</v>
      </c>
      <c r="O52" t="str" cm="1">
        <f t="array" ref="O52">INDEX(Flt_Multi,$V52,O$3)</f>
        <v>Jet kerosene</v>
      </c>
      <c r="P52">
        <f>P51+1</f>
        <v>48</v>
      </c>
      <c r="S52" t="s">
        <v>549</v>
      </c>
      <c r="T52">
        <v>3</v>
      </c>
      <c r="U52" s="66" t="s">
        <v>567</v>
      </c>
      <c r="V52">
        <f>V29+14</f>
        <v>29</v>
      </c>
      <c r="Y52" t="s">
        <v>1786</v>
      </c>
      <c r="Z52">
        <f>Z51+1</f>
        <v>28</v>
      </c>
    </row>
    <row r="53" spans="1:26" x14ac:dyDescent="0.4">
      <c r="C53" s="66" t="s">
        <v>566</v>
      </c>
      <c r="D53" t="str" cm="1">
        <f t="array" ref="D53">INDEX(Flt_Multi,$V53,D$3)</f>
        <v>Select Pet Stock</v>
      </c>
      <c r="E53" t="str" cm="1">
        <f t="array" ref="E53">INDEX(Flt_Multi,$V53,E$3)</f>
        <v>Select Pet Stock</v>
      </c>
      <c r="F53" t="str" cm="1">
        <f t="array" ref="F53">INDEX(Flt_Multi,$V53,F$3)</f>
        <v>Select Pet Stock</v>
      </c>
      <c r="G53" t="str" cm="1">
        <f t="array" ref="G53">INDEX(Flt_Multi,$V53,G$3)</f>
        <v>Select Pet Stock</v>
      </c>
      <c r="H53" t="str" cm="1">
        <f t="array" ref="H53">INDEX(Flt_Multi,$V53,H$3)</f>
        <v>Select Pet Stock</v>
      </c>
      <c r="I53" t="str" cm="1">
        <f t="array" ref="I53">INDEX(Flt_Multi,$V53,I$3)</f>
        <v>Select Pet Stock</v>
      </c>
      <c r="J53" t="str" cm="1">
        <f t="array" ref="J53">INDEX(Flt_Multi,$V53,J$3)</f>
        <v>Select Pet Stock</v>
      </c>
      <c r="K53" t="str" cm="1">
        <f t="array" ref="K53">INDEX(Flt_Multi,$V53,K$3)</f>
        <v>Select Pet Stock</v>
      </c>
      <c r="L53" t="str" cm="1">
        <f t="array" ref="L53">INDEX(Flt_Multi,$V53,L$3)</f>
        <v>Select Pet Stock</v>
      </c>
      <c r="M53" t="str" cm="1">
        <f t="array" ref="M53">INDEX(Flt_Multi,$V53,M$3)</f>
        <v>Select Pet Stock</v>
      </c>
      <c r="N53" t="str" cm="1">
        <f t="array" ref="N53">INDEX(Flt_Multi,$V53,N$3)</f>
        <v>Select Pet Stock</v>
      </c>
      <c r="O53" t="str" cm="1">
        <f t="array" ref="O53">INDEX(Flt_Multi,$V53,O$3)</f>
        <v>Select Pet Stock</v>
      </c>
      <c r="P53">
        <f t="shared" ref="P53:P73" si="66">P52+1</f>
        <v>49</v>
      </c>
      <c r="U53" s="66" t="s">
        <v>566</v>
      </c>
      <c r="V53">
        <f>V52+2</f>
        <v>31</v>
      </c>
      <c r="Y53" t="s">
        <v>1788</v>
      </c>
      <c r="Z53">
        <f>Z51+5</f>
        <v>32</v>
      </c>
    </row>
    <row r="54" spans="1:26" x14ac:dyDescent="0.4">
      <c r="C54" s="66" t="s">
        <v>568</v>
      </c>
      <c r="D54" t="str" cm="1">
        <f t="array" ref="D54">INDEX(Flt_Multi,$V54,D$3)</f>
        <v/>
      </c>
      <c r="E54" t="str" cm="1">
        <f t="array" ref="E54">INDEX(Flt_Multi,$V54,E$3)</f>
        <v/>
      </c>
      <c r="F54" t="str" cm="1">
        <f t="array" ref="F54">INDEX(Flt_Multi,$V54,F$3)</f>
        <v/>
      </c>
      <c r="G54" t="str" cm="1">
        <f t="array" ref="G54">INDEX(Flt_Multi,$V54,G$3)</f>
        <v/>
      </c>
      <c r="H54" t="str" cm="1">
        <f t="array" ref="H54">INDEX(Flt_Multi,$V54,H$3)</f>
        <v/>
      </c>
      <c r="I54" t="str" cm="1">
        <f t="array" ref="I54">INDEX(Flt_Multi,$V54,I$3)</f>
        <v/>
      </c>
      <c r="J54" t="str" cm="1">
        <f t="array" ref="J54">INDEX(Flt_Multi,$V54,J$3)</f>
        <v/>
      </c>
      <c r="K54" t="str" cm="1">
        <f t="array" ref="K54">INDEX(Flt_Multi,$V54,K$3)</f>
        <v/>
      </c>
      <c r="L54" t="str" cm="1">
        <f t="array" ref="L54">INDEX(Flt_Multi,$V54,L$3)</f>
        <v/>
      </c>
      <c r="M54" t="str" cm="1">
        <f t="array" ref="M54">INDEX(Flt_Multi,$V54,M$3)</f>
        <v/>
      </c>
      <c r="N54" t="str" cm="1">
        <f t="array" ref="N54">INDEX(Flt_Multi,$V54,N$3)</f>
        <v/>
      </c>
      <c r="O54" t="str" cm="1">
        <f t="array" ref="O54">INDEX(Flt_Multi,$V54,O$3)</f>
        <v/>
      </c>
      <c r="P54">
        <f t="shared" si="66"/>
        <v>50</v>
      </c>
      <c r="U54" s="66" t="s">
        <v>568</v>
      </c>
      <c r="V54">
        <f>V52+1</f>
        <v>30</v>
      </c>
      <c r="Y54" t="s">
        <v>1789</v>
      </c>
      <c r="Z54">
        <f>Z53+1</f>
        <v>33</v>
      </c>
    </row>
    <row r="55" spans="1:26" x14ac:dyDescent="0.4">
      <c r="C55" s="66" t="s">
        <v>569</v>
      </c>
      <c r="D55" t="e" cm="1">
        <f t="array" ref="D55">INDEX(Flt_Multi,$V55,D$3)</f>
        <v>#N/A</v>
      </c>
      <c r="E55" t="e" cm="1">
        <f t="array" ref="E55">INDEX(Flt_Multi,$V55,E$3)</f>
        <v>#N/A</v>
      </c>
      <c r="F55" t="e" cm="1">
        <f t="array" ref="F55">INDEX(Flt_Multi,$V55,F$3)</f>
        <v>#N/A</v>
      </c>
      <c r="G55" t="e" cm="1">
        <f t="array" ref="G55">INDEX(Flt_Multi,$V55,G$3)</f>
        <v>#N/A</v>
      </c>
      <c r="H55" t="e" cm="1">
        <f t="array" ref="H55">INDEX(Flt_Multi,$V55,H$3)</f>
        <v>#N/A</v>
      </c>
      <c r="I55" t="e" cm="1">
        <f t="array" ref="I55">INDEX(Flt_Multi,$V55,I$3)</f>
        <v>#N/A</v>
      </c>
      <c r="J55" t="e" cm="1">
        <f t="array" ref="J55">INDEX(Flt_Multi,$V55,J$3)</f>
        <v>#N/A</v>
      </c>
      <c r="K55" t="e" cm="1">
        <f t="array" ref="K55">INDEX(Flt_Multi,$V55,K$3)</f>
        <v>#N/A</v>
      </c>
      <c r="L55" t="e" cm="1">
        <f t="array" ref="L55">INDEX(Flt_Multi,$V55,L$3)</f>
        <v>#N/A</v>
      </c>
      <c r="M55" t="e" cm="1">
        <f t="array" ref="M55">INDEX(Flt_Multi,$V55,M$3)</f>
        <v>#N/A</v>
      </c>
      <c r="N55" t="e" cm="1">
        <f t="array" ref="N55">INDEX(Flt_Multi,$V55,N$3)</f>
        <v>#N/A</v>
      </c>
      <c r="O55" t="e" cm="1">
        <f t="array" ref="O55">INDEX(Flt_Multi,$V55,O$3)</f>
        <v>#N/A</v>
      </c>
      <c r="P55">
        <f t="shared" si="66"/>
        <v>51</v>
      </c>
      <c r="U55" s="66" t="s">
        <v>569</v>
      </c>
      <c r="V55">
        <f>V54+2</f>
        <v>32</v>
      </c>
    </row>
    <row r="56" spans="1:26" ht="17.149999999999999" x14ac:dyDescent="0.55000000000000004">
      <c r="C56" t="s">
        <v>570</v>
      </c>
      <c r="D56" cm="1">
        <f t="array" ref="D56">INDEX(Flt_Multi,$V56,D$3)</f>
        <v>1</v>
      </c>
      <c r="E56" cm="1">
        <f t="array" ref="E56">INDEX(Flt_Multi,$V56,E$3)</f>
        <v>1</v>
      </c>
      <c r="F56" cm="1">
        <f t="array" ref="F56">INDEX(Flt_Multi,$V56,F$3)</f>
        <v>1</v>
      </c>
      <c r="G56" cm="1">
        <f t="array" ref="G56">INDEX(Flt_Multi,$V56,G$3)</f>
        <v>1</v>
      </c>
      <c r="H56" cm="1">
        <f t="array" ref="H56">INDEX(Flt_Multi,$V56,H$3)</f>
        <v>1</v>
      </c>
      <c r="I56" cm="1">
        <f t="array" ref="I56">INDEX(Flt_Multi,$V56,I$3)</f>
        <v>1</v>
      </c>
      <c r="J56" cm="1">
        <f t="array" ref="J56">INDEX(Flt_Multi,$V56,J$3)</f>
        <v>1</v>
      </c>
      <c r="K56" cm="1">
        <f t="array" ref="K56">INDEX(Flt_Multi,$V56,K$3)</f>
        <v>1</v>
      </c>
      <c r="L56" cm="1">
        <f t="array" ref="L56">INDEX(Flt_Multi,$V56,L$3)</f>
        <v>1</v>
      </c>
      <c r="M56" cm="1">
        <f t="array" ref="M56">INDEX(Flt_Multi,$V56,M$3)</f>
        <v>1</v>
      </c>
      <c r="N56" cm="1">
        <f t="array" ref="N56">INDEX(Flt_Multi,$V56,N$3)</f>
        <v>1</v>
      </c>
      <c r="O56" cm="1">
        <f t="array" ref="O56">INDEX(Flt_Multi,$V56,O$3)</f>
        <v>1</v>
      </c>
      <c r="P56">
        <f t="shared" si="66"/>
        <v>52</v>
      </c>
      <c r="U56" t="s">
        <v>570</v>
      </c>
      <c r="V56">
        <f>V52+9</f>
        <v>38</v>
      </c>
    </row>
    <row r="57" spans="1:26" ht="17.149999999999999" x14ac:dyDescent="0.55000000000000004">
      <c r="C57" t="s">
        <v>572</v>
      </c>
      <c r="D57" cm="1">
        <f t="array" ref="D57">INDEX(Flt_Multi,$V57,D$3)</f>
        <v>0</v>
      </c>
      <c r="E57" cm="1">
        <f t="array" ref="E57">INDEX(Flt_Multi,$V57,E$3)</f>
        <v>0</v>
      </c>
      <c r="F57" cm="1">
        <f t="array" ref="F57">INDEX(Flt_Multi,$V57,F$3)</f>
        <v>0</v>
      </c>
      <c r="G57" cm="1">
        <f t="array" ref="G57">INDEX(Flt_Multi,$V57,G$3)</f>
        <v>0</v>
      </c>
      <c r="H57" cm="1">
        <f t="array" ref="H57">INDEX(Flt_Multi,$V57,H$3)</f>
        <v>0</v>
      </c>
      <c r="I57" cm="1">
        <f t="array" ref="I57">INDEX(Flt_Multi,$V57,I$3)</f>
        <v>0</v>
      </c>
      <c r="J57" cm="1">
        <f t="array" ref="J57">INDEX(Flt_Multi,$V57,J$3)</f>
        <v>0</v>
      </c>
      <c r="K57" cm="1">
        <f t="array" ref="K57">INDEX(Flt_Multi,$V57,K$3)</f>
        <v>0</v>
      </c>
      <c r="L57" cm="1">
        <f t="array" ref="L57">INDEX(Flt_Multi,$V57,L$3)</f>
        <v>0</v>
      </c>
      <c r="M57" cm="1">
        <f t="array" ref="M57">INDEX(Flt_Multi,$V57,M$3)</f>
        <v>0</v>
      </c>
      <c r="N57" cm="1">
        <f t="array" ref="N57">INDEX(Flt_Multi,$V57,N$3)</f>
        <v>0</v>
      </c>
      <c r="O57" cm="1">
        <f t="array" ref="O57">INDEX(Flt_Multi,$V57,O$3)</f>
        <v>0</v>
      </c>
      <c r="P57">
        <f t="shared" si="66"/>
        <v>53</v>
      </c>
      <c r="U57" t="s">
        <v>572</v>
      </c>
      <c r="V57">
        <f>V54+9</f>
        <v>39</v>
      </c>
    </row>
    <row r="58" spans="1:26" ht="17.149999999999999" x14ac:dyDescent="0.55000000000000004">
      <c r="C58" t="s">
        <v>552</v>
      </c>
      <c r="D58" cm="1">
        <f t="array" ref="D58">INDEX(Flt_Temps,$X51,D$3)-459.6</f>
        <v>46.145573139534861</v>
      </c>
      <c r="E58" cm="1">
        <f t="array" ref="E58">INDEX(Flt_Temps,$X51,E$3)-459.6</f>
        <v>48.818330232558196</v>
      </c>
      <c r="F58" cm="1">
        <f t="array" ref="F58">INDEX(Flt_Temps,$X51,F$3)-459.6</f>
        <v>52.119626023255819</v>
      </c>
      <c r="G58" cm="1">
        <f t="array" ref="G58">INDEX(Flt_Temps,$X51,G$3)-459.6</f>
        <v>57.193582418604592</v>
      </c>
      <c r="H58" cm="1">
        <f t="array" ref="H58">INDEX(Flt_Temps,$X51,H$3)-459.6</f>
        <v>63.699789279069591</v>
      </c>
      <c r="I58" cm="1">
        <f t="array" ref="I58">INDEX(Flt_Temps,$X51,I$3)-459.6</f>
        <v>68.117538813953502</v>
      </c>
      <c r="J58" cm="1">
        <f t="array" ref="J58">INDEX(Flt_Temps,$X51,J$3)-459.6</f>
        <v>72.173513395348778</v>
      </c>
      <c r="K58" cm="1">
        <f t="array" ref="K58">INDEX(Flt_Temps,$X51,K$3)-459.6</f>
        <v>71.140914511627898</v>
      </c>
      <c r="L58" cm="1">
        <f t="array" ref="L58">INDEX(Flt_Temps,$X51,L$3)-459.6</f>
        <v>66.809204930232568</v>
      </c>
      <c r="M58" cm="1">
        <f t="array" ref="M58">INDEX(Flt_Temps,$X51,M$3)-459.6</f>
        <v>57.646907348837203</v>
      </c>
      <c r="N58" cm="1">
        <f t="array" ref="N58">INDEX(Flt_Temps,$X51,N$3)-459.6</f>
        <v>49.783778534883766</v>
      </c>
      <c r="O58" cm="1">
        <f t="array" ref="O58">INDEX(Flt_Temps,$X51,O$3)-459.6</f>
        <v>45.672892883720863</v>
      </c>
      <c r="P58">
        <f t="shared" si="66"/>
        <v>54</v>
      </c>
    </row>
    <row r="59" spans="1:26" ht="17.149999999999999" x14ac:dyDescent="0.55000000000000004">
      <c r="C59" t="s">
        <v>1790</v>
      </c>
      <c r="D59" t="str" cm="1">
        <f t="array" ref="D59">INDEX(FLT_Prod_Info,$Z51,D$3)</f>
        <v>N/A</v>
      </c>
      <c r="E59" t="str" cm="1">
        <f t="array" ref="E59">INDEX(FLT_Prod_Info,$Z51,E$3)</f>
        <v>N/A</v>
      </c>
      <c r="F59" t="str" cm="1">
        <f t="array" ref="F59">INDEX(FLT_Prod_Info,$Z51,F$3)</f>
        <v>N/A</v>
      </c>
      <c r="G59" t="str" cm="1">
        <f t="array" ref="G59">INDEX(FLT_Prod_Info,$Z51,G$3)</f>
        <v>N/A</v>
      </c>
      <c r="H59" t="str" cm="1">
        <f t="array" ref="H59">INDEX(FLT_Prod_Info,$Z51,H$3)</f>
        <v>N/A</v>
      </c>
      <c r="I59" t="str" cm="1">
        <f t="array" ref="I59">INDEX(FLT_Prod_Info,$Z51,I$3)</f>
        <v>N/A</v>
      </c>
      <c r="J59" t="str" cm="1">
        <f t="array" ref="J59">INDEX(FLT_Prod_Info,$Z51,J$3)</f>
        <v>N/A</v>
      </c>
      <c r="K59" t="str" cm="1">
        <f t="array" ref="K59">INDEX(FLT_Prod_Info,$Z51,K$3)</f>
        <v>N/A</v>
      </c>
      <c r="L59" t="str" cm="1">
        <f t="array" ref="L59">INDEX(FLT_Prod_Info,$Z51,L$3)</f>
        <v>N/A</v>
      </c>
      <c r="M59" t="str" cm="1">
        <f t="array" ref="M59">INDEX(FLT_Prod_Info,$Z51,M$3)</f>
        <v>N/A</v>
      </c>
      <c r="N59" t="str" cm="1">
        <f t="array" ref="N59">INDEX(FLT_Prod_Info,$Z51,N$3)</f>
        <v>N/A</v>
      </c>
      <c r="O59" t="str" cm="1">
        <f t="array" ref="O59">INDEX(FLT_Prod_Info,$Z51,O$3)</f>
        <v>N/A</v>
      </c>
      <c r="P59">
        <f t="shared" si="66"/>
        <v>55</v>
      </c>
    </row>
    <row r="60" spans="1:26" ht="17.149999999999999" x14ac:dyDescent="0.55000000000000004">
      <c r="C60" t="s">
        <v>1791</v>
      </c>
      <c r="D60" cm="1">
        <f t="array" ref="D60">INDEX(FLT_Prod_Info,$Z52,D$3)</f>
        <v>0</v>
      </c>
      <c r="E60" cm="1">
        <f t="array" ref="E60">INDEX(FLT_Prod_Info,$Z52,E$3)</f>
        <v>0</v>
      </c>
      <c r="F60" cm="1">
        <f t="array" ref="F60">INDEX(FLT_Prod_Info,$Z52,F$3)</f>
        <v>0</v>
      </c>
      <c r="G60" cm="1">
        <f t="array" ref="G60">INDEX(FLT_Prod_Info,$Z52,G$3)</f>
        <v>0</v>
      </c>
      <c r="H60" cm="1">
        <f t="array" ref="H60">INDEX(FLT_Prod_Info,$Z52,H$3)</f>
        <v>0</v>
      </c>
      <c r="I60" cm="1">
        <f t="array" ref="I60">INDEX(FLT_Prod_Info,$Z52,I$3)</f>
        <v>0</v>
      </c>
      <c r="J60" cm="1">
        <f t="array" ref="J60">INDEX(FLT_Prod_Info,$Z52,J$3)</f>
        <v>0</v>
      </c>
      <c r="K60" cm="1">
        <f t="array" ref="K60">INDEX(FLT_Prod_Info,$Z52,K$3)</f>
        <v>0</v>
      </c>
      <c r="L60" cm="1">
        <f t="array" ref="L60">INDEX(FLT_Prod_Info,$Z52,L$3)</f>
        <v>0</v>
      </c>
      <c r="M60" cm="1">
        <f t="array" ref="M60">INDEX(FLT_Prod_Info,$Z52,M$3)</f>
        <v>0</v>
      </c>
      <c r="N60" cm="1">
        <f t="array" ref="N60">INDEX(FLT_Prod_Info,$Z52,N$3)</f>
        <v>0</v>
      </c>
      <c r="O60" cm="1">
        <f t="array" ref="O60">INDEX(FLT_Prod_Info,$Z52,O$3)</f>
        <v>0</v>
      </c>
      <c r="P60">
        <f t="shared" si="66"/>
        <v>56</v>
      </c>
    </row>
    <row r="61" spans="1:26" ht="17.149999999999999" x14ac:dyDescent="0.55000000000000004">
      <c r="C61" t="s">
        <v>1792</v>
      </c>
      <c r="D61" t="e" cm="1">
        <f t="array" ref="D61">INDEX(FLT_Prod_Info,$Z53,D$3)</f>
        <v>#N/A</v>
      </c>
      <c r="E61" t="e" cm="1">
        <f t="array" ref="E61">INDEX(FLT_Prod_Info,$Z53,E$3)</f>
        <v>#N/A</v>
      </c>
      <c r="F61" t="e" cm="1">
        <f t="array" ref="F61">INDEX(FLT_Prod_Info,$Z53,F$3)</f>
        <v>#N/A</v>
      </c>
      <c r="G61" t="e" cm="1">
        <f t="array" ref="G61">INDEX(FLT_Prod_Info,$Z53,G$3)</f>
        <v>#N/A</v>
      </c>
      <c r="H61" t="e" cm="1">
        <f t="array" ref="H61">INDEX(FLT_Prod_Info,$Z53,H$3)</f>
        <v>#N/A</v>
      </c>
      <c r="I61" t="e" cm="1">
        <f t="array" ref="I61">INDEX(FLT_Prod_Info,$Z53,I$3)</f>
        <v>#N/A</v>
      </c>
      <c r="J61" t="e" cm="1">
        <f t="array" ref="J61">INDEX(FLT_Prod_Info,$Z53,J$3)</f>
        <v>#N/A</v>
      </c>
      <c r="K61" t="e" cm="1">
        <f t="array" ref="K61">INDEX(FLT_Prod_Info,$Z53,K$3)</f>
        <v>#N/A</v>
      </c>
      <c r="L61" t="e" cm="1">
        <f t="array" ref="L61">INDEX(FLT_Prod_Info,$Z53,L$3)</f>
        <v>#N/A</v>
      </c>
      <c r="M61" t="e" cm="1">
        <f t="array" ref="M61">INDEX(FLT_Prod_Info,$Z53,M$3)</f>
        <v>#N/A</v>
      </c>
      <c r="N61" t="e" cm="1">
        <f t="array" ref="N61">INDEX(FLT_Prod_Info,$Z53,N$3)</f>
        <v>#N/A</v>
      </c>
      <c r="O61" t="e" cm="1">
        <f t="array" ref="O61">INDEX(FLT_Prod_Info,$Z53,O$3)</f>
        <v>#N/A</v>
      </c>
      <c r="P61">
        <f t="shared" si="66"/>
        <v>57</v>
      </c>
    </row>
    <row r="62" spans="1:26" ht="17.149999999999999" x14ac:dyDescent="0.55000000000000004">
      <c r="C62" t="s">
        <v>1793</v>
      </c>
      <c r="D62" t="str" cm="1">
        <f t="array" ref="D62">INDEX(FLT_Prod_Info,$Z54,D$3)</f>
        <v>N/A</v>
      </c>
      <c r="E62" t="str" cm="1">
        <f t="array" ref="E62">INDEX(FLT_Prod_Info,$Z54,E$3)</f>
        <v>N/A</v>
      </c>
      <c r="F62" t="str" cm="1">
        <f t="array" ref="F62">INDEX(FLT_Prod_Info,$Z54,F$3)</f>
        <v>N/A</v>
      </c>
      <c r="G62" t="str" cm="1">
        <f t="array" ref="G62">INDEX(FLT_Prod_Info,$Z54,G$3)</f>
        <v>N/A</v>
      </c>
      <c r="H62" t="str" cm="1">
        <f t="array" ref="H62">INDEX(FLT_Prod_Info,$Z54,H$3)</f>
        <v>N/A</v>
      </c>
      <c r="I62" t="str" cm="1">
        <f t="array" ref="I62">INDEX(FLT_Prod_Info,$Z54,I$3)</f>
        <v>N/A</v>
      </c>
      <c r="J62" t="str" cm="1">
        <f t="array" ref="J62">INDEX(FLT_Prod_Info,$Z54,J$3)</f>
        <v>N/A</v>
      </c>
      <c r="K62" t="str" cm="1">
        <f t="array" ref="K62">INDEX(FLT_Prod_Info,$Z54,K$3)</f>
        <v>N/A</v>
      </c>
      <c r="L62" t="str" cm="1">
        <f t="array" ref="L62">INDEX(FLT_Prod_Info,$Z54,L$3)</f>
        <v>N/A</v>
      </c>
      <c r="M62" t="str" cm="1">
        <f t="array" ref="M62">INDEX(FLT_Prod_Info,$Z54,M$3)</f>
        <v>N/A</v>
      </c>
      <c r="N62" t="str" cm="1">
        <f t="array" ref="N62">INDEX(FLT_Prod_Info,$Z54,N$3)</f>
        <v>N/A</v>
      </c>
      <c r="O62" t="str" cm="1">
        <f t="array" ref="O62">INDEX(FLT_Prod_Info,$Z54,O$3)</f>
        <v>N/A</v>
      </c>
      <c r="P62">
        <f t="shared" si="66"/>
        <v>58</v>
      </c>
    </row>
    <row r="63" spans="1:26" ht="17.149999999999999" x14ac:dyDescent="0.55000000000000004">
      <c r="C63" t="s">
        <v>1388</v>
      </c>
      <c r="D63">
        <f t="shared" ref="D63:O63" si="67">IFERROR(IF(D53="Chemical",(10^(INDEX(Antoines,MATCH(D52,Antoine_Name,0),2)-INDEX(Antoines,MATCH(D52,Antoine_Name,0),3)/(INDEX(Antoines,MATCH(D52,Antoine_Name,0),4)+(D58-32)*5/9)))*14.7/760,IF(D53="Crude Oil",EXP((2799/(D58+459.6)-2.227)*LOG10(D59)-(7261/(D58+459.6))+12.82),IF(D53="Refined Petroleum Stock",EXP((0.7553-(413/(D58+459.6)))*(D60^0.5)*LOG10(D59)-(1.854-(1042/(D58+459.6)))*(D60^0.5)+((2416/(D58+459.6)-2.013)*LOG10(D59))-(8742/(D58+459.6))+15.64),EXP(INDEX(Antoines,MATCH(D52,Antoine_Name,0),2)-INDEX(Antoines,MATCH(D52,Antoine_Name,0),3)/(D58+459.6))))),0)</f>
        <v>5.1280412205890252E-3</v>
      </c>
      <c r="E63">
        <f t="shared" si="67"/>
        <v>5.6270109234937893E-3</v>
      </c>
      <c r="F63">
        <f t="shared" si="67"/>
        <v>6.3023980378194453E-3</v>
      </c>
      <c r="G63">
        <f t="shared" si="67"/>
        <v>7.4806816057680229E-3</v>
      </c>
      <c r="H63">
        <f t="shared" si="67"/>
        <v>9.2741815275681101E-3</v>
      </c>
      <c r="I63">
        <f t="shared" si="67"/>
        <v>1.0698879339815172E-2</v>
      </c>
      <c r="J63">
        <f t="shared" si="67"/>
        <v>1.2173364453005431E-2</v>
      </c>
      <c r="K63">
        <f t="shared" si="67"/>
        <v>1.1781935739354852E-2</v>
      </c>
      <c r="L63">
        <f t="shared" si="67"/>
        <v>1.0258095699530383E-2</v>
      </c>
      <c r="M63">
        <f t="shared" si="67"/>
        <v>7.594871289515197E-3</v>
      </c>
      <c r="N63">
        <f t="shared" si="67"/>
        <v>5.817552229906502E-3</v>
      </c>
      <c r="O63">
        <f t="shared" si="67"/>
        <v>5.0440033414775884E-3</v>
      </c>
      <c r="P63">
        <f t="shared" si="66"/>
        <v>59</v>
      </c>
    </row>
    <row r="64" spans="1:26" ht="17.149999999999999" x14ac:dyDescent="0.55000000000000004">
      <c r="C64" t="s">
        <v>1389</v>
      </c>
      <c r="D64">
        <f t="shared" ref="D64:O64" si="68">D63*D56</f>
        <v>5.1280412205890252E-3</v>
      </c>
      <c r="E64">
        <f t="shared" si="68"/>
        <v>5.6270109234937893E-3</v>
      </c>
      <c r="F64">
        <f t="shared" si="68"/>
        <v>6.3023980378194453E-3</v>
      </c>
      <c r="G64">
        <f t="shared" si="68"/>
        <v>7.4806816057680229E-3</v>
      </c>
      <c r="H64">
        <f t="shared" si="68"/>
        <v>9.2741815275681101E-3</v>
      </c>
      <c r="I64">
        <f t="shared" si="68"/>
        <v>1.0698879339815172E-2</v>
      </c>
      <c r="J64">
        <f t="shared" si="68"/>
        <v>1.2173364453005431E-2</v>
      </c>
      <c r="K64">
        <f t="shared" si="68"/>
        <v>1.1781935739354852E-2</v>
      </c>
      <c r="L64">
        <f t="shared" si="68"/>
        <v>1.0258095699530383E-2</v>
      </c>
      <c r="M64">
        <f t="shared" si="68"/>
        <v>7.594871289515197E-3</v>
      </c>
      <c r="N64">
        <f t="shared" si="68"/>
        <v>5.817552229906502E-3</v>
      </c>
      <c r="O64">
        <f t="shared" si="68"/>
        <v>5.0440033414775884E-3</v>
      </c>
      <c r="P64">
        <f t="shared" si="66"/>
        <v>60</v>
      </c>
    </row>
    <row r="65" spans="1:26" ht="17.149999999999999" x14ac:dyDescent="0.55000000000000004">
      <c r="C65" t="s">
        <v>1390</v>
      </c>
      <c r="D65">
        <f t="shared" ref="D65:O65" si="69">IFERROR(IF(D55="Chemical",(10^(INDEX(Antoines,MATCH(D54,Antoine_Name,0),2)-INDEX(Antoines,MATCH(D54,Antoine_Name,0),3)/(INDEX(Antoines,MATCH(D54,Antoine_Name,0),4)+(D58-32)*5/9)))*14.7/760,IF(D55="Crude Oil",EXP((2799/(D58+459.6)-2.227)*LOG10(D61)-(7261/(D58+459.6))+12.82),IF(D55="Refined Petroleum Stock",EXP((0.7553-(413/(D58+459.6)))*(D62^0.5)*LOG10(D61)-(1.854-(1042/(D58+459.6)))*(D62^0.5)+((2416/(D58+459.6)-2.013)*LOG10(D61))-(8742/(D58+459.6))+15.64),EXP(INDEX(Antoines,MATCH(D54,Antoine_Name,0),2)-INDEX(Antoines,MATCH(D54,Antoine_Name,0),3)/(D58+459.6))))),0)</f>
        <v>0</v>
      </c>
      <c r="E65">
        <f t="shared" si="69"/>
        <v>0</v>
      </c>
      <c r="F65">
        <f t="shared" si="69"/>
        <v>0</v>
      </c>
      <c r="G65">
        <f t="shared" si="69"/>
        <v>0</v>
      </c>
      <c r="H65">
        <f t="shared" si="69"/>
        <v>0</v>
      </c>
      <c r="I65">
        <f t="shared" si="69"/>
        <v>0</v>
      </c>
      <c r="J65">
        <f t="shared" si="69"/>
        <v>0</v>
      </c>
      <c r="K65">
        <f t="shared" si="69"/>
        <v>0</v>
      </c>
      <c r="L65">
        <f t="shared" si="69"/>
        <v>0</v>
      </c>
      <c r="M65">
        <f t="shared" si="69"/>
        <v>0</v>
      </c>
      <c r="N65">
        <f t="shared" si="69"/>
        <v>0</v>
      </c>
      <c r="O65">
        <f t="shared" si="69"/>
        <v>0</v>
      </c>
      <c r="P65">
        <f t="shared" si="66"/>
        <v>61</v>
      </c>
    </row>
    <row r="66" spans="1:26" ht="17.149999999999999" x14ac:dyDescent="0.55000000000000004">
      <c r="C66" t="s">
        <v>1391</v>
      </c>
      <c r="D66">
        <f t="shared" ref="D66:O66" si="70">D65*D57</f>
        <v>0</v>
      </c>
      <c r="E66">
        <f t="shared" si="70"/>
        <v>0</v>
      </c>
      <c r="F66">
        <f t="shared" si="70"/>
        <v>0</v>
      </c>
      <c r="G66">
        <f t="shared" si="70"/>
        <v>0</v>
      </c>
      <c r="H66">
        <f t="shared" si="70"/>
        <v>0</v>
      </c>
      <c r="I66">
        <f t="shared" si="70"/>
        <v>0</v>
      </c>
      <c r="J66">
        <f t="shared" si="70"/>
        <v>0</v>
      </c>
      <c r="K66">
        <f t="shared" si="70"/>
        <v>0</v>
      </c>
      <c r="L66">
        <f t="shared" si="70"/>
        <v>0</v>
      </c>
      <c r="M66">
        <f t="shared" si="70"/>
        <v>0</v>
      </c>
      <c r="N66">
        <f t="shared" si="70"/>
        <v>0</v>
      </c>
      <c r="O66">
        <f t="shared" si="70"/>
        <v>0</v>
      </c>
      <c r="P66">
        <f t="shared" si="66"/>
        <v>62</v>
      </c>
    </row>
    <row r="67" spans="1:26" ht="17.149999999999999" x14ac:dyDescent="0.55000000000000004">
      <c r="C67" t="s">
        <v>1392</v>
      </c>
      <c r="D67">
        <f>IF(D52="Out of Service",0,D64+D66)</f>
        <v>5.1280412205890252E-3</v>
      </c>
      <c r="E67">
        <f t="shared" ref="E67:O67" si="71">IF(E52="Out of Service",0,E64+E66)</f>
        <v>5.6270109234937893E-3</v>
      </c>
      <c r="F67">
        <f t="shared" si="71"/>
        <v>6.3023980378194453E-3</v>
      </c>
      <c r="G67">
        <f t="shared" si="71"/>
        <v>7.4806816057680229E-3</v>
      </c>
      <c r="H67">
        <f t="shared" si="71"/>
        <v>9.2741815275681101E-3</v>
      </c>
      <c r="I67">
        <f t="shared" si="71"/>
        <v>1.0698879339815172E-2</v>
      </c>
      <c r="J67">
        <f t="shared" si="71"/>
        <v>1.2173364453005431E-2</v>
      </c>
      <c r="K67">
        <f t="shared" si="71"/>
        <v>1.1781935739354852E-2</v>
      </c>
      <c r="L67">
        <f t="shared" si="71"/>
        <v>1.0258095699530383E-2</v>
      </c>
      <c r="M67">
        <f t="shared" si="71"/>
        <v>7.594871289515197E-3</v>
      </c>
      <c r="N67">
        <f t="shared" si="71"/>
        <v>5.817552229906502E-3</v>
      </c>
      <c r="O67">
        <f t="shared" si="71"/>
        <v>5.0440033414775884E-3</v>
      </c>
      <c r="P67">
        <f t="shared" si="66"/>
        <v>63</v>
      </c>
    </row>
    <row r="68" spans="1:26" x14ac:dyDescent="0.4">
      <c r="C68" t="s">
        <v>1513</v>
      </c>
      <c r="D68">
        <f t="shared" ref="D68:O68" si="72">(D67/D51)/(1+(SQRT(1-D67/D51))^2)</f>
        <v>1.7445359951831412E-4</v>
      </c>
      <c r="E68">
        <f t="shared" si="72"/>
        <v>1.9143156840205065E-4</v>
      </c>
      <c r="F68">
        <f t="shared" si="72"/>
        <v>2.1441324338176247E-4</v>
      </c>
      <c r="G68">
        <f t="shared" si="72"/>
        <v>2.5450971128856287E-4</v>
      </c>
      <c r="H68">
        <f t="shared" si="72"/>
        <v>3.1554789033958375E-4</v>
      </c>
      <c r="I68">
        <f t="shared" si="72"/>
        <v>3.6403993738707999E-4</v>
      </c>
      <c r="J68">
        <f t="shared" si="72"/>
        <v>4.1423153212292145E-4</v>
      </c>
      <c r="K68">
        <f t="shared" si="72"/>
        <v>4.0090677541565554E-4</v>
      </c>
      <c r="L68">
        <f t="shared" si="72"/>
        <v>3.4903660375559012E-4</v>
      </c>
      <c r="M68">
        <f t="shared" si="72"/>
        <v>2.5839570651863843E-4</v>
      </c>
      <c r="N68">
        <f t="shared" si="72"/>
        <v>1.9791508881880247E-4</v>
      </c>
      <c r="O68">
        <f t="shared" si="72"/>
        <v>1.7159417901666419E-4</v>
      </c>
      <c r="P68">
        <f t="shared" si="66"/>
        <v>64</v>
      </c>
    </row>
    <row r="69" spans="1:26" ht="17.149999999999999" x14ac:dyDescent="0.55000000000000004">
      <c r="C69" t="s">
        <v>584</v>
      </c>
      <c r="D69">
        <f t="shared" ref="D69:H69" si="73">IFERROR(D64/D67,1)</f>
        <v>1</v>
      </c>
      <c r="E69">
        <f t="shared" si="73"/>
        <v>1</v>
      </c>
      <c r="F69">
        <f t="shared" si="73"/>
        <v>1</v>
      </c>
      <c r="G69">
        <f t="shared" si="73"/>
        <v>1</v>
      </c>
      <c r="H69">
        <f t="shared" si="73"/>
        <v>1</v>
      </c>
      <c r="I69">
        <f>IFERROR(I64/I67,1)</f>
        <v>1</v>
      </c>
      <c r="J69">
        <f t="shared" ref="J69:O69" si="74">IFERROR(J64/J67,1)</f>
        <v>1</v>
      </c>
      <c r="K69">
        <f t="shared" si="74"/>
        <v>1</v>
      </c>
      <c r="L69">
        <f t="shared" si="74"/>
        <v>1</v>
      </c>
      <c r="M69">
        <f t="shared" si="74"/>
        <v>1</v>
      </c>
      <c r="N69">
        <f t="shared" si="74"/>
        <v>1</v>
      </c>
      <c r="O69">
        <f t="shared" si="74"/>
        <v>1</v>
      </c>
      <c r="P69">
        <f t="shared" si="66"/>
        <v>65</v>
      </c>
    </row>
    <row r="70" spans="1:26" ht="17.149999999999999" x14ac:dyDescent="0.55000000000000004">
      <c r="C70" t="s">
        <v>585</v>
      </c>
      <c r="D70">
        <f t="shared" ref="D70:O70" si="75">INDEX(Phys_Prop,MATCH(D52,Chem_List,0),3)</f>
        <v>130</v>
      </c>
      <c r="E70">
        <f t="shared" si="75"/>
        <v>130</v>
      </c>
      <c r="F70">
        <f t="shared" si="75"/>
        <v>130</v>
      </c>
      <c r="G70">
        <f t="shared" si="75"/>
        <v>130</v>
      </c>
      <c r="H70">
        <f t="shared" si="75"/>
        <v>130</v>
      </c>
      <c r="I70">
        <f t="shared" si="75"/>
        <v>130</v>
      </c>
      <c r="J70">
        <f t="shared" si="75"/>
        <v>130</v>
      </c>
      <c r="K70">
        <f t="shared" si="75"/>
        <v>130</v>
      </c>
      <c r="L70">
        <f t="shared" si="75"/>
        <v>130</v>
      </c>
      <c r="M70">
        <f t="shared" si="75"/>
        <v>130</v>
      </c>
      <c r="N70">
        <f t="shared" si="75"/>
        <v>130</v>
      </c>
      <c r="O70">
        <f t="shared" si="75"/>
        <v>130</v>
      </c>
      <c r="P70">
        <f t="shared" si="66"/>
        <v>66</v>
      </c>
    </row>
    <row r="71" spans="1:26" ht="17.149999999999999" x14ac:dyDescent="0.55000000000000004">
      <c r="C71" t="s">
        <v>586</v>
      </c>
      <c r="D71">
        <f>D66/D67</f>
        <v>0</v>
      </c>
      <c r="E71">
        <f t="shared" ref="E71:O71" si="76">E66/E67</f>
        <v>0</v>
      </c>
      <c r="F71">
        <f t="shared" si="76"/>
        <v>0</v>
      </c>
      <c r="G71">
        <f t="shared" si="76"/>
        <v>0</v>
      </c>
      <c r="H71">
        <f t="shared" si="76"/>
        <v>0</v>
      </c>
      <c r="I71">
        <f t="shared" si="76"/>
        <v>0</v>
      </c>
      <c r="J71">
        <f t="shared" si="76"/>
        <v>0</v>
      </c>
      <c r="K71">
        <f t="shared" si="76"/>
        <v>0</v>
      </c>
      <c r="L71">
        <f t="shared" si="76"/>
        <v>0</v>
      </c>
      <c r="M71">
        <f t="shared" si="76"/>
        <v>0</v>
      </c>
      <c r="N71">
        <f t="shared" si="76"/>
        <v>0</v>
      </c>
      <c r="O71">
        <f t="shared" si="76"/>
        <v>0</v>
      </c>
      <c r="P71">
        <f t="shared" si="66"/>
        <v>67</v>
      </c>
    </row>
    <row r="72" spans="1:26" ht="17.149999999999999" x14ac:dyDescent="0.55000000000000004">
      <c r="C72" t="s">
        <v>587</v>
      </c>
      <c r="D72">
        <f t="shared" ref="D72:O72" si="77">IFERROR(INDEX(Phys_Prop,MATCH(D54,Chem_List,0),3),0)</f>
        <v>0</v>
      </c>
      <c r="E72">
        <f t="shared" si="77"/>
        <v>0</v>
      </c>
      <c r="F72">
        <f t="shared" si="77"/>
        <v>0</v>
      </c>
      <c r="G72">
        <f t="shared" si="77"/>
        <v>0</v>
      </c>
      <c r="H72">
        <f t="shared" si="77"/>
        <v>0</v>
      </c>
      <c r="I72">
        <f t="shared" si="77"/>
        <v>0</v>
      </c>
      <c r="J72">
        <f t="shared" si="77"/>
        <v>0</v>
      </c>
      <c r="K72">
        <f t="shared" si="77"/>
        <v>0</v>
      </c>
      <c r="L72">
        <f t="shared" si="77"/>
        <v>0</v>
      </c>
      <c r="M72">
        <f t="shared" si="77"/>
        <v>0</v>
      </c>
      <c r="N72">
        <f t="shared" si="77"/>
        <v>0</v>
      </c>
      <c r="O72">
        <f t="shared" si="77"/>
        <v>0</v>
      </c>
      <c r="P72">
        <f t="shared" si="66"/>
        <v>68</v>
      </c>
    </row>
    <row r="73" spans="1:26" ht="17.149999999999999" x14ac:dyDescent="0.55000000000000004">
      <c r="A73" s="11"/>
      <c r="B73" s="11"/>
      <c r="C73" s="11" t="s">
        <v>588</v>
      </c>
      <c r="D73" s="11">
        <f>IFERROR(D69*D70+D71*D72,0)</f>
        <v>130</v>
      </c>
      <c r="E73" s="11">
        <f t="shared" ref="E73:O73" si="78">IFERROR(E69*E70+E71*E72,0)</f>
        <v>130</v>
      </c>
      <c r="F73" s="11">
        <f t="shared" si="78"/>
        <v>130</v>
      </c>
      <c r="G73" s="11">
        <f t="shared" si="78"/>
        <v>130</v>
      </c>
      <c r="H73" s="11">
        <f t="shared" si="78"/>
        <v>130</v>
      </c>
      <c r="I73" s="11">
        <f t="shared" si="78"/>
        <v>130</v>
      </c>
      <c r="J73" s="11">
        <f t="shared" si="78"/>
        <v>130</v>
      </c>
      <c r="K73" s="11">
        <f t="shared" si="78"/>
        <v>130</v>
      </c>
      <c r="L73" s="11">
        <f t="shared" si="78"/>
        <v>130</v>
      </c>
      <c r="M73" s="11">
        <f t="shared" si="78"/>
        <v>130</v>
      </c>
      <c r="N73" s="11">
        <f t="shared" si="78"/>
        <v>130</v>
      </c>
      <c r="O73" s="11">
        <f t="shared" si="78"/>
        <v>130</v>
      </c>
      <c r="P73" s="11">
        <f t="shared" si="66"/>
        <v>69</v>
      </c>
      <c r="Q73" s="11"/>
      <c r="R73" s="11"/>
      <c r="S73" s="11"/>
      <c r="T73" s="11"/>
      <c r="U73" s="11"/>
      <c r="V73" s="11"/>
      <c r="W73" s="11"/>
      <c r="X73" s="11"/>
      <c r="Y73" s="11"/>
    </row>
    <row r="74" spans="1:26" ht="17.149999999999999" x14ac:dyDescent="0.55000000000000004">
      <c r="A74" t="str" cm="1">
        <f t="array" ref="A74">INDEX(FLT_Cons,$R74,T$5)</f>
        <v>FLT - 4</v>
      </c>
      <c r="B74" t="str" cm="1">
        <f t="array" ref="B74">INDEX(FLT_Cons,$R74,T$6)</f>
        <v>Portland</v>
      </c>
      <c r="C74" t="s">
        <v>563</v>
      </c>
      <c r="D74">
        <v>14.7</v>
      </c>
      <c r="E74">
        <v>14.7</v>
      </c>
      <c r="F74">
        <v>14.7</v>
      </c>
      <c r="G74">
        <v>14.7</v>
      </c>
      <c r="H74">
        <v>14.7</v>
      </c>
      <c r="I74">
        <v>14.7</v>
      </c>
      <c r="J74">
        <v>14.7</v>
      </c>
      <c r="K74">
        <v>14.7</v>
      </c>
      <c r="L74">
        <v>14.7</v>
      </c>
      <c r="M74">
        <v>14.7</v>
      </c>
      <c r="N74">
        <v>14.7</v>
      </c>
      <c r="O74">
        <v>14.7</v>
      </c>
      <c r="P74">
        <f>P73+1</f>
        <v>70</v>
      </c>
      <c r="R74">
        <f>R51+1</f>
        <v>4</v>
      </c>
      <c r="S74" t="s">
        <v>237</v>
      </c>
      <c r="T74">
        <v>1</v>
      </c>
      <c r="W74" t="s">
        <v>1516</v>
      </c>
      <c r="X74">
        <f>X51+12</f>
        <v>42</v>
      </c>
      <c r="Y74" t="s">
        <v>1787</v>
      </c>
      <c r="Z74">
        <f>Z51+12</f>
        <v>39</v>
      </c>
    </row>
    <row r="75" spans="1:26" x14ac:dyDescent="0.4">
      <c r="C75" s="66" t="s">
        <v>567</v>
      </c>
      <c r="D75" t="str" cm="1">
        <f t="array" ref="D75">INDEX(Flt_Multi,$V75,D$3)</f>
        <v>Bakken Crude</v>
      </c>
      <c r="E75" t="str" cm="1">
        <f t="array" ref="E75">INDEX(Flt_Multi,$V75,E$3)</f>
        <v>Bakken Crude</v>
      </c>
      <c r="F75" t="str" cm="1">
        <f t="array" ref="F75">INDEX(Flt_Multi,$V75,F$3)</f>
        <v>Bakken Crude</v>
      </c>
      <c r="G75" t="str" cm="1">
        <f t="array" ref="G75">INDEX(Flt_Multi,$V75,G$3)</f>
        <v>Bakken Crude</v>
      </c>
      <c r="H75" t="str" cm="1">
        <f t="array" ref="H75">INDEX(Flt_Multi,$V75,H$3)</f>
        <v>Bakken Crude</v>
      </c>
      <c r="I75" t="str" cm="1">
        <f t="array" ref="I75">INDEX(Flt_Multi,$V75,I$3)</f>
        <v>Bakken Crude</v>
      </c>
      <c r="J75" t="str" cm="1">
        <f t="array" ref="J75">INDEX(Flt_Multi,$V75,J$3)</f>
        <v>Bakken Crude</v>
      </c>
      <c r="K75" t="str" cm="1">
        <f t="array" ref="K75">INDEX(Flt_Multi,$V75,K$3)</f>
        <v>Bakken Crude</v>
      </c>
      <c r="L75" t="str" cm="1">
        <f t="array" ref="L75">INDEX(Flt_Multi,$V75,L$3)</f>
        <v>Bakken Crude</v>
      </c>
      <c r="M75" t="str" cm="1">
        <f t="array" ref="M75">INDEX(Flt_Multi,$V75,M$3)</f>
        <v>Bakken Crude</v>
      </c>
      <c r="N75" t="str" cm="1">
        <f t="array" ref="N75">INDEX(Flt_Multi,$V75,N$3)</f>
        <v>Bakken Crude</v>
      </c>
      <c r="O75" t="str" cm="1">
        <f t="array" ref="O75">INDEX(Flt_Multi,$V75,O$3)</f>
        <v>Bakken Crude</v>
      </c>
      <c r="P75">
        <f>P74+1</f>
        <v>71</v>
      </c>
      <c r="S75" t="s">
        <v>549</v>
      </c>
      <c r="T75">
        <v>3</v>
      </c>
      <c r="U75" s="66" t="s">
        <v>567</v>
      </c>
      <c r="V75">
        <f>V52+14</f>
        <v>43</v>
      </c>
      <c r="Y75" t="s">
        <v>1786</v>
      </c>
      <c r="Z75">
        <f>Z74+1</f>
        <v>40</v>
      </c>
    </row>
    <row r="76" spans="1:26" x14ac:dyDescent="0.4">
      <c r="C76" s="66" t="s">
        <v>566</v>
      </c>
      <c r="D76" t="str" cm="1">
        <f t="array" ref="D76">INDEX(Flt_Multi,$V76,D$3)</f>
        <v>Crude Oil</v>
      </c>
      <c r="E76" t="str" cm="1">
        <f t="array" ref="E76">INDEX(Flt_Multi,$V76,E$3)</f>
        <v>Crude Oil</v>
      </c>
      <c r="F76" t="str" cm="1">
        <f t="array" ref="F76">INDEX(Flt_Multi,$V76,F$3)</f>
        <v>Crude Oil</v>
      </c>
      <c r="G76" t="str" cm="1">
        <f t="array" ref="G76">INDEX(Flt_Multi,$V76,G$3)</f>
        <v>Crude Oil</v>
      </c>
      <c r="H76" t="str" cm="1">
        <f t="array" ref="H76">INDEX(Flt_Multi,$V76,H$3)</f>
        <v>Crude Oil</v>
      </c>
      <c r="I76" t="str" cm="1">
        <f t="array" ref="I76">INDEX(Flt_Multi,$V76,I$3)</f>
        <v>Crude Oil</v>
      </c>
      <c r="J76" t="str" cm="1">
        <f t="array" ref="J76">INDEX(Flt_Multi,$V76,J$3)</f>
        <v>Crude Oil</v>
      </c>
      <c r="K76" t="str" cm="1">
        <f t="array" ref="K76">INDEX(Flt_Multi,$V76,K$3)</f>
        <v>Crude Oil</v>
      </c>
      <c r="L76" t="str" cm="1">
        <f t="array" ref="L76">INDEX(Flt_Multi,$V76,L$3)</f>
        <v>Crude Oil</v>
      </c>
      <c r="M76" t="str" cm="1">
        <f t="array" ref="M76">INDEX(Flt_Multi,$V76,M$3)</f>
        <v>Crude Oil</v>
      </c>
      <c r="N76" t="str" cm="1">
        <f t="array" ref="N76">INDEX(Flt_Multi,$V76,N$3)</f>
        <v>Crude Oil</v>
      </c>
      <c r="O76" t="str" cm="1">
        <f t="array" ref="O76">INDEX(Flt_Multi,$V76,O$3)</f>
        <v>Crude Oil</v>
      </c>
      <c r="P76">
        <f t="shared" ref="P76:P96" si="79">P75+1</f>
        <v>72</v>
      </c>
      <c r="U76" s="66" t="s">
        <v>566</v>
      </c>
      <c r="V76">
        <f>V75+2</f>
        <v>45</v>
      </c>
      <c r="Y76" t="s">
        <v>1788</v>
      </c>
      <c r="Z76">
        <f>Z74+5</f>
        <v>44</v>
      </c>
    </row>
    <row r="77" spans="1:26" x14ac:dyDescent="0.4">
      <c r="C77" s="66" t="s">
        <v>568</v>
      </c>
      <c r="D77" t="str" cm="1">
        <f t="array" ref="D77">INDEX(Flt_Multi,$V77,D$3)</f>
        <v/>
      </c>
      <c r="E77" t="str" cm="1">
        <f t="array" ref="E77">INDEX(Flt_Multi,$V77,E$3)</f>
        <v/>
      </c>
      <c r="F77" t="str" cm="1">
        <f t="array" ref="F77">INDEX(Flt_Multi,$V77,F$3)</f>
        <v/>
      </c>
      <c r="G77" t="str" cm="1">
        <f t="array" ref="G77">INDEX(Flt_Multi,$V77,G$3)</f>
        <v/>
      </c>
      <c r="H77" t="str" cm="1">
        <f t="array" ref="H77">INDEX(Flt_Multi,$V77,H$3)</f>
        <v/>
      </c>
      <c r="I77" t="str" cm="1">
        <f t="array" ref="I77">INDEX(Flt_Multi,$V77,I$3)</f>
        <v/>
      </c>
      <c r="J77" t="str" cm="1">
        <f t="array" ref="J77">INDEX(Flt_Multi,$V77,J$3)</f>
        <v/>
      </c>
      <c r="K77" t="str" cm="1">
        <f t="array" ref="K77">INDEX(Flt_Multi,$V77,K$3)</f>
        <v/>
      </c>
      <c r="L77" t="str" cm="1">
        <f t="array" ref="L77">INDEX(Flt_Multi,$V77,L$3)</f>
        <v/>
      </c>
      <c r="M77" t="str" cm="1">
        <f t="array" ref="M77">INDEX(Flt_Multi,$V77,M$3)</f>
        <v/>
      </c>
      <c r="N77" t="str" cm="1">
        <f t="array" ref="N77">INDEX(Flt_Multi,$V77,N$3)</f>
        <v/>
      </c>
      <c r="O77" t="str" cm="1">
        <f t="array" ref="O77">INDEX(Flt_Multi,$V77,O$3)</f>
        <v/>
      </c>
      <c r="P77">
        <f t="shared" si="79"/>
        <v>73</v>
      </c>
      <c r="U77" s="66" t="s">
        <v>568</v>
      </c>
      <c r="V77">
        <f>V75+1</f>
        <v>44</v>
      </c>
      <c r="Y77" t="s">
        <v>1789</v>
      </c>
      <c r="Z77">
        <f>Z76+1</f>
        <v>45</v>
      </c>
    </row>
    <row r="78" spans="1:26" x14ac:dyDescent="0.4">
      <c r="C78" s="66" t="s">
        <v>569</v>
      </c>
      <c r="D78" t="e" cm="1">
        <f t="array" ref="D78">INDEX(Flt_Multi,$V78,D$3)</f>
        <v>#N/A</v>
      </c>
      <c r="E78" t="e" cm="1">
        <f t="array" ref="E78">INDEX(Flt_Multi,$V78,E$3)</f>
        <v>#N/A</v>
      </c>
      <c r="F78" t="e" cm="1">
        <f t="array" ref="F78">INDEX(Flt_Multi,$V78,F$3)</f>
        <v>#N/A</v>
      </c>
      <c r="G78" t="e" cm="1">
        <f t="array" ref="G78">INDEX(Flt_Multi,$V78,G$3)</f>
        <v>#N/A</v>
      </c>
      <c r="H78" t="e" cm="1">
        <f t="array" ref="H78">INDEX(Flt_Multi,$V78,H$3)</f>
        <v>#N/A</v>
      </c>
      <c r="I78" t="e" cm="1">
        <f t="array" ref="I78">INDEX(Flt_Multi,$V78,I$3)</f>
        <v>#N/A</v>
      </c>
      <c r="J78" t="e" cm="1">
        <f t="array" ref="J78">INDEX(Flt_Multi,$V78,J$3)</f>
        <v>#N/A</v>
      </c>
      <c r="K78" t="e" cm="1">
        <f t="array" ref="K78">INDEX(Flt_Multi,$V78,K$3)</f>
        <v>#N/A</v>
      </c>
      <c r="L78" t="e" cm="1">
        <f t="array" ref="L78">INDEX(Flt_Multi,$V78,L$3)</f>
        <v>#N/A</v>
      </c>
      <c r="M78" t="e" cm="1">
        <f t="array" ref="M78">INDEX(Flt_Multi,$V78,M$3)</f>
        <v>#N/A</v>
      </c>
      <c r="N78" t="e" cm="1">
        <f t="array" ref="N78">INDEX(Flt_Multi,$V78,N$3)</f>
        <v>#N/A</v>
      </c>
      <c r="O78" t="e" cm="1">
        <f t="array" ref="O78">INDEX(Flt_Multi,$V78,O$3)</f>
        <v>#N/A</v>
      </c>
      <c r="P78">
        <f t="shared" si="79"/>
        <v>74</v>
      </c>
      <c r="U78" s="66" t="s">
        <v>569</v>
      </c>
      <c r="V78">
        <f>V77+2</f>
        <v>46</v>
      </c>
    </row>
    <row r="79" spans="1:26" ht="17.149999999999999" x14ac:dyDescent="0.55000000000000004">
      <c r="C79" t="s">
        <v>570</v>
      </c>
      <c r="D79" cm="1">
        <f t="array" ref="D79">INDEX(Flt_Multi,$V79,D$3)</f>
        <v>1</v>
      </c>
      <c r="E79" cm="1">
        <f t="array" ref="E79">INDEX(Flt_Multi,$V79,E$3)</f>
        <v>1</v>
      </c>
      <c r="F79" cm="1">
        <f t="array" ref="F79">INDEX(Flt_Multi,$V79,F$3)</f>
        <v>1</v>
      </c>
      <c r="G79" cm="1">
        <f t="array" ref="G79">INDEX(Flt_Multi,$V79,G$3)</f>
        <v>1</v>
      </c>
      <c r="H79" cm="1">
        <f t="array" ref="H79">INDEX(Flt_Multi,$V79,H$3)</f>
        <v>1</v>
      </c>
      <c r="I79" cm="1">
        <f t="array" ref="I79">INDEX(Flt_Multi,$V79,I$3)</f>
        <v>1</v>
      </c>
      <c r="J79" cm="1">
        <f t="array" ref="J79">INDEX(Flt_Multi,$V79,J$3)</f>
        <v>1</v>
      </c>
      <c r="K79" cm="1">
        <f t="array" ref="K79">INDEX(Flt_Multi,$V79,K$3)</f>
        <v>1</v>
      </c>
      <c r="L79" cm="1">
        <f t="array" ref="L79">INDEX(Flt_Multi,$V79,L$3)</f>
        <v>1</v>
      </c>
      <c r="M79" cm="1">
        <f t="array" ref="M79">INDEX(Flt_Multi,$V79,M$3)</f>
        <v>1</v>
      </c>
      <c r="N79" cm="1">
        <f t="array" ref="N79">INDEX(Flt_Multi,$V79,N$3)</f>
        <v>1</v>
      </c>
      <c r="O79" cm="1">
        <f t="array" ref="O79">INDEX(Flt_Multi,$V79,O$3)</f>
        <v>1</v>
      </c>
      <c r="P79">
        <f t="shared" si="79"/>
        <v>75</v>
      </c>
      <c r="U79" t="s">
        <v>570</v>
      </c>
      <c r="V79">
        <f>V75+9</f>
        <v>52</v>
      </c>
    </row>
    <row r="80" spans="1:26" ht="17.149999999999999" x14ac:dyDescent="0.55000000000000004">
      <c r="C80" t="s">
        <v>572</v>
      </c>
      <c r="D80" cm="1">
        <f t="array" ref="D80">INDEX(Flt_Multi,$V80,D$3)</f>
        <v>0</v>
      </c>
      <c r="E80" cm="1">
        <f t="array" ref="E80">INDEX(Flt_Multi,$V80,E$3)</f>
        <v>0</v>
      </c>
      <c r="F80" cm="1">
        <f t="array" ref="F80">INDEX(Flt_Multi,$V80,F$3)</f>
        <v>0</v>
      </c>
      <c r="G80" cm="1">
        <f t="array" ref="G80">INDEX(Flt_Multi,$V80,G$3)</f>
        <v>0</v>
      </c>
      <c r="H80" cm="1">
        <f t="array" ref="H80">INDEX(Flt_Multi,$V80,H$3)</f>
        <v>0</v>
      </c>
      <c r="I80" cm="1">
        <f t="array" ref="I80">INDEX(Flt_Multi,$V80,I$3)</f>
        <v>0</v>
      </c>
      <c r="J80" cm="1">
        <f t="array" ref="J80">INDEX(Flt_Multi,$V80,J$3)</f>
        <v>0</v>
      </c>
      <c r="K80" cm="1">
        <f t="array" ref="K80">INDEX(Flt_Multi,$V80,K$3)</f>
        <v>0</v>
      </c>
      <c r="L80" cm="1">
        <f t="array" ref="L80">INDEX(Flt_Multi,$V80,L$3)</f>
        <v>0</v>
      </c>
      <c r="M80" cm="1">
        <f t="array" ref="M80">INDEX(Flt_Multi,$V80,M$3)</f>
        <v>0</v>
      </c>
      <c r="N80" cm="1">
        <f t="array" ref="N80">INDEX(Flt_Multi,$V80,N$3)</f>
        <v>0</v>
      </c>
      <c r="O80" cm="1">
        <f t="array" ref="O80">INDEX(Flt_Multi,$V80,O$3)</f>
        <v>0</v>
      </c>
      <c r="P80">
        <f t="shared" si="79"/>
        <v>76</v>
      </c>
      <c r="U80" t="s">
        <v>572</v>
      </c>
      <c r="V80">
        <f>V77+9</f>
        <v>53</v>
      </c>
    </row>
    <row r="81" spans="1:25" ht="17.149999999999999" x14ac:dyDescent="0.55000000000000004">
      <c r="C81" t="s">
        <v>552</v>
      </c>
      <c r="D81" cm="1">
        <f t="array" ref="D81">INDEX(Flt_Temps,$X74,D$3)-459.6</f>
        <v>44.458481978859879</v>
      </c>
      <c r="E81" cm="1">
        <f t="array" ref="E81">INDEX(Flt_Temps,$X74,E$3)-459.6</f>
        <v>45.67693640616892</v>
      </c>
      <c r="F81" cm="1">
        <f t="array" ref="F81">INDEX(Flt_Temps,$X74,F$3)-459.6</f>
        <v>47.527955380350249</v>
      </c>
      <c r="G81" cm="1">
        <f t="array" ref="G81">INDEX(Flt_Temps,$X74,G$3)-459.6</f>
        <v>50.638540634205697</v>
      </c>
      <c r="H81" cm="1">
        <f t="array" ref="H81">INDEX(Flt_Temps,$X74,H$3)-459.6</f>
        <v>55.652585427135705</v>
      </c>
      <c r="I81" cm="1">
        <f t="array" ref="I81">INDEX(Flt_Temps,$X74,I$3)-459.6</f>
        <v>59.599125888061167</v>
      </c>
      <c r="J81" cm="1">
        <f t="array" ref="J81">INDEX(Flt_Temps,$X74,J$3)-459.6</f>
        <v>63.23101230289376</v>
      </c>
      <c r="K81" cm="1">
        <f t="array" ref="K81">INDEX(Flt_Temps,$X74,K$3)-459.6</f>
        <v>63.329315196673065</v>
      </c>
      <c r="L81" cm="1">
        <f t="array" ref="L81">INDEX(Flt_Temps,$X74,L$3)-459.6</f>
        <v>60.547359902963308</v>
      </c>
      <c r="M81" cm="1">
        <f t="array" ref="M81">INDEX(Flt_Temps,$X74,M$3)-459.6</f>
        <v>53.835349506151488</v>
      </c>
      <c r="N81" cm="1">
        <f t="array" ref="N81">INDEX(Flt_Temps,$X74,N$3)-459.6</f>
        <v>47.736636891353385</v>
      </c>
      <c r="O81" cm="1">
        <f t="array" ref="O81">INDEX(Flt_Temps,$X74,O$3)-459.6</f>
        <v>44.091724657771749</v>
      </c>
      <c r="P81">
        <f t="shared" si="79"/>
        <v>77</v>
      </c>
    </row>
    <row r="82" spans="1:25" ht="17.149999999999999" x14ac:dyDescent="0.55000000000000004">
      <c r="C82" t="s">
        <v>1790</v>
      </c>
      <c r="D82" cm="1">
        <f t="array" ref="D82">INDEX(FLT_Prod_Info,$Z74,D$3)</f>
        <v>10.199999999999999</v>
      </c>
      <c r="E82" cm="1">
        <f t="array" ref="E82">INDEX(FLT_Prod_Info,$Z74,E$3)</f>
        <v>10.199999999999999</v>
      </c>
      <c r="F82" cm="1">
        <f t="array" ref="F82">INDEX(FLT_Prod_Info,$Z74,F$3)</f>
        <v>10.199999999999999</v>
      </c>
      <c r="G82" cm="1">
        <f t="array" ref="G82">INDEX(FLT_Prod_Info,$Z74,G$3)</f>
        <v>10.199999999999999</v>
      </c>
      <c r="H82" cm="1">
        <f t="array" ref="H82">INDEX(FLT_Prod_Info,$Z74,H$3)</f>
        <v>10.199999999999999</v>
      </c>
      <c r="I82" cm="1">
        <f t="array" ref="I82">INDEX(FLT_Prod_Info,$Z74,I$3)</f>
        <v>10.199999999999999</v>
      </c>
      <c r="J82" cm="1">
        <f t="array" ref="J82">INDEX(FLT_Prod_Info,$Z74,J$3)</f>
        <v>10.199999999999999</v>
      </c>
      <c r="K82" cm="1">
        <f t="array" ref="K82">INDEX(FLT_Prod_Info,$Z74,K$3)</f>
        <v>10.199999999999999</v>
      </c>
      <c r="L82" cm="1">
        <f t="array" ref="L82">INDEX(FLT_Prod_Info,$Z74,L$3)</f>
        <v>10.199999999999999</v>
      </c>
      <c r="M82" cm="1">
        <f t="array" ref="M82">INDEX(FLT_Prod_Info,$Z74,M$3)</f>
        <v>10.199999999999999</v>
      </c>
      <c r="N82" cm="1">
        <f t="array" ref="N82">INDEX(FLT_Prod_Info,$Z74,N$3)</f>
        <v>10.199999999999999</v>
      </c>
      <c r="O82" cm="1">
        <f t="array" ref="O82">INDEX(FLT_Prod_Info,$Z74,O$3)</f>
        <v>10.199999999999999</v>
      </c>
      <c r="P82">
        <f t="shared" si="79"/>
        <v>78</v>
      </c>
    </row>
    <row r="83" spans="1:25" ht="17.149999999999999" x14ac:dyDescent="0.55000000000000004">
      <c r="C83" t="s">
        <v>1791</v>
      </c>
      <c r="D83" cm="1">
        <f t="array" ref="D83">INDEX(FLT_Prod_Info,$Z75,D$3)</f>
        <v>0</v>
      </c>
      <c r="E83" cm="1">
        <f t="array" ref="E83">INDEX(FLT_Prod_Info,$Z75,E$3)</f>
        <v>0</v>
      </c>
      <c r="F83" cm="1">
        <f t="array" ref="F83">INDEX(FLT_Prod_Info,$Z75,F$3)</f>
        <v>0</v>
      </c>
      <c r="G83" cm="1">
        <f t="array" ref="G83">INDEX(FLT_Prod_Info,$Z75,G$3)</f>
        <v>0</v>
      </c>
      <c r="H83" cm="1">
        <f t="array" ref="H83">INDEX(FLT_Prod_Info,$Z75,H$3)</f>
        <v>0</v>
      </c>
      <c r="I83" cm="1">
        <f t="array" ref="I83">INDEX(FLT_Prod_Info,$Z75,I$3)</f>
        <v>0</v>
      </c>
      <c r="J83" cm="1">
        <f t="array" ref="J83">INDEX(FLT_Prod_Info,$Z75,J$3)</f>
        <v>0</v>
      </c>
      <c r="K83" cm="1">
        <f t="array" ref="K83">INDEX(FLT_Prod_Info,$Z75,K$3)</f>
        <v>0</v>
      </c>
      <c r="L83" cm="1">
        <f t="array" ref="L83">INDEX(FLT_Prod_Info,$Z75,L$3)</f>
        <v>0</v>
      </c>
      <c r="M83" cm="1">
        <f t="array" ref="M83">INDEX(FLT_Prod_Info,$Z75,M$3)</f>
        <v>0</v>
      </c>
      <c r="N83" cm="1">
        <f t="array" ref="N83">INDEX(FLT_Prod_Info,$Z75,N$3)</f>
        <v>0</v>
      </c>
      <c r="O83" cm="1">
        <f t="array" ref="O83">INDEX(FLT_Prod_Info,$Z75,O$3)</f>
        <v>0</v>
      </c>
      <c r="P83">
        <f t="shared" si="79"/>
        <v>79</v>
      </c>
    </row>
    <row r="84" spans="1:25" ht="17.149999999999999" x14ac:dyDescent="0.55000000000000004">
      <c r="C84" t="s">
        <v>1792</v>
      </c>
      <c r="D84" t="e" cm="1">
        <f t="array" ref="D84">INDEX(FLT_Prod_Info,$Z76,D$3)</f>
        <v>#N/A</v>
      </c>
      <c r="E84" t="e" cm="1">
        <f t="array" ref="E84">INDEX(FLT_Prod_Info,$Z76,E$3)</f>
        <v>#N/A</v>
      </c>
      <c r="F84" t="e" cm="1">
        <f t="array" ref="F84">INDEX(FLT_Prod_Info,$Z76,F$3)</f>
        <v>#N/A</v>
      </c>
      <c r="G84" t="e" cm="1">
        <f t="array" ref="G84">INDEX(FLT_Prod_Info,$Z76,G$3)</f>
        <v>#N/A</v>
      </c>
      <c r="H84" t="e" cm="1">
        <f t="array" ref="H84">INDEX(FLT_Prod_Info,$Z76,H$3)</f>
        <v>#N/A</v>
      </c>
      <c r="I84" t="e" cm="1">
        <f t="array" ref="I84">INDEX(FLT_Prod_Info,$Z76,I$3)</f>
        <v>#N/A</v>
      </c>
      <c r="J84" t="e" cm="1">
        <f t="array" ref="J84">INDEX(FLT_Prod_Info,$Z76,J$3)</f>
        <v>#N/A</v>
      </c>
      <c r="K84" t="e" cm="1">
        <f t="array" ref="K84">INDEX(FLT_Prod_Info,$Z76,K$3)</f>
        <v>#N/A</v>
      </c>
      <c r="L84" t="e" cm="1">
        <f t="array" ref="L84">INDEX(FLT_Prod_Info,$Z76,L$3)</f>
        <v>#N/A</v>
      </c>
      <c r="M84" t="e" cm="1">
        <f t="array" ref="M84">INDEX(FLT_Prod_Info,$Z76,M$3)</f>
        <v>#N/A</v>
      </c>
      <c r="N84" t="e" cm="1">
        <f t="array" ref="N84">INDEX(FLT_Prod_Info,$Z76,N$3)</f>
        <v>#N/A</v>
      </c>
      <c r="O84" t="e" cm="1">
        <f t="array" ref="O84">INDEX(FLT_Prod_Info,$Z76,O$3)</f>
        <v>#N/A</v>
      </c>
      <c r="P84">
        <f t="shared" si="79"/>
        <v>80</v>
      </c>
    </row>
    <row r="85" spans="1:25" ht="17.149999999999999" x14ac:dyDescent="0.55000000000000004">
      <c r="C85" t="s">
        <v>1793</v>
      </c>
      <c r="D85" t="str" cm="1">
        <f t="array" ref="D85">INDEX(FLT_Prod_Info,$Z77,D$3)</f>
        <v>N/A</v>
      </c>
      <c r="E85" t="str" cm="1">
        <f t="array" ref="E85">INDEX(FLT_Prod_Info,$Z77,E$3)</f>
        <v>N/A</v>
      </c>
      <c r="F85" t="str" cm="1">
        <f t="array" ref="F85">INDEX(FLT_Prod_Info,$Z77,F$3)</f>
        <v>N/A</v>
      </c>
      <c r="G85" t="str" cm="1">
        <f t="array" ref="G85">INDEX(FLT_Prod_Info,$Z77,G$3)</f>
        <v>N/A</v>
      </c>
      <c r="H85" t="str" cm="1">
        <f t="array" ref="H85">INDEX(FLT_Prod_Info,$Z77,H$3)</f>
        <v>N/A</v>
      </c>
      <c r="I85" t="str" cm="1">
        <f t="array" ref="I85">INDEX(FLT_Prod_Info,$Z77,I$3)</f>
        <v>N/A</v>
      </c>
      <c r="J85" t="str" cm="1">
        <f t="array" ref="J85">INDEX(FLT_Prod_Info,$Z77,J$3)</f>
        <v>N/A</v>
      </c>
      <c r="K85" t="str" cm="1">
        <f t="array" ref="K85">INDEX(FLT_Prod_Info,$Z77,K$3)</f>
        <v>N/A</v>
      </c>
      <c r="L85" t="str" cm="1">
        <f t="array" ref="L85">INDEX(FLT_Prod_Info,$Z77,L$3)</f>
        <v>N/A</v>
      </c>
      <c r="M85" t="str" cm="1">
        <f t="array" ref="M85">INDEX(FLT_Prod_Info,$Z77,M$3)</f>
        <v>N/A</v>
      </c>
      <c r="N85" t="str" cm="1">
        <f t="array" ref="N85">INDEX(FLT_Prod_Info,$Z77,N$3)</f>
        <v>N/A</v>
      </c>
      <c r="O85" t="str" cm="1">
        <f t="array" ref="O85">INDEX(FLT_Prod_Info,$Z77,O$3)</f>
        <v>N/A</v>
      </c>
      <c r="P85">
        <f t="shared" si="79"/>
        <v>81</v>
      </c>
    </row>
    <row r="86" spans="1:25" ht="17.149999999999999" x14ac:dyDescent="0.55000000000000004">
      <c r="C86" t="s">
        <v>1388</v>
      </c>
      <c r="D86">
        <f t="shared" ref="D86:O86" si="80">IFERROR(IF(D76="Chemical",(10^(INDEX(Antoines,MATCH(D75,Antoine_Name,0),2)-INDEX(Antoines,MATCH(D75,Antoine_Name,0),3)/(INDEX(Antoines,MATCH(D75,Antoine_Name,0),4)+(D81-32)*5/9)))*14.7/760,IF(D76="Crude Oil",EXP((2799/(D81+459.6)-2.227)*LOG10(D82)-(7261/(D81+459.6))+12.82),IF(D76="Refined Petroleum Stock",EXP((0.7553-(413/(D81+459.6)))*(D83^0.5)*LOG10(D82)-(1.854-(1042/(D81+459.6)))*(D83^0.5)+((2416/(D81+459.6)-2.013)*LOG10(D82))-(8742/(D81+459.6))+15.64),EXP(INDEX(Antoines,MATCH(D75,Antoine_Name,0),2)-INDEX(Antoines,MATCH(D75,Antoine_Name,0),3)/(D81+459.6))))),0)</f>
        <v>5.867661107401692</v>
      </c>
      <c r="E86">
        <f t="shared" si="80"/>
        <v>5.9935718185823612</v>
      </c>
      <c r="F86">
        <f t="shared" si="80"/>
        <v>6.188830273420832</v>
      </c>
      <c r="G86">
        <f t="shared" si="80"/>
        <v>6.5279682032356678</v>
      </c>
      <c r="H86">
        <f t="shared" si="80"/>
        <v>7.1045514346753809</v>
      </c>
      <c r="I86">
        <f t="shared" si="80"/>
        <v>7.5852508081720345</v>
      </c>
      <c r="J86">
        <f t="shared" si="80"/>
        <v>8.0492791332983735</v>
      </c>
      <c r="K86">
        <f t="shared" si="80"/>
        <v>8.0621333544026594</v>
      </c>
      <c r="L86">
        <f t="shared" si="80"/>
        <v>7.7043732166834999</v>
      </c>
      <c r="M86">
        <f t="shared" si="80"/>
        <v>6.891237422021784</v>
      </c>
      <c r="N86">
        <f t="shared" si="80"/>
        <v>6.2111475349287595</v>
      </c>
      <c r="O86">
        <f t="shared" si="80"/>
        <v>5.8301649306133871</v>
      </c>
      <c r="P86">
        <f t="shared" si="79"/>
        <v>82</v>
      </c>
    </row>
    <row r="87" spans="1:25" ht="17.149999999999999" x14ac:dyDescent="0.55000000000000004">
      <c r="C87" t="s">
        <v>1389</v>
      </c>
      <c r="D87">
        <f t="shared" ref="D87:O87" si="81">D86*D79</f>
        <v>5.867661107401692</v>
      </c>
      <c r="E87">
        <f t="shared" si="81"/>
        <v>5.9935718185823612</v>
      </c>
      <c r="F87">
        <f t="shared" si="81"/>
        <v>6.188830273420832</v>
      </c>
      <c r="G87">
        <f t="shared" si="81"/>
        <v>6.5279682032356678</v>
      </c>
      <c r="H87">
        <f t="shared" si="81"/>
        <v>7.1045514346753809</v>
      </c>
      <c r="I87">
        <f t="shared" si="81"/>
        <v>7.5852508081720345</v>
      </c>
      <c r="J87">
        <f t="shared" si="81"/>
        <v>8.0492791332983735</v>
      </c>
      <c r="K87">
        <f t="shared" si="81"/>
        <v>8.0621333544026594</v>
      </c>
      <c r="L87">
        <f t="shared" si="81"/>
        <v>7.7043732166834999</v>
      </c>
      <c r="M87">
        <f t="shared" si="81"/>
        <v>6.891237422021784</v>
      </c>
      <c r="N87">
        <f t="shared" si="81"/>
        <v>6.2111475349287595</v>
      </c>
      <c r="O87">
        <f t="shared" si="81"/>
        <v>5.8301649306133871</v>
      </c>
      <c r="P87">
        <f t="shared" si="79"/>
        <v>83</v>
      </c>
    </row>
    <row r="88" spans="1:25" ht="17.149999999999999" x14ac:dyDescent="0.55000000000000004">
      <c r="C88" t="s">
        <v>1390</v>
      </c>
      <c r="D88">
        <f t="shared" ref="D88:O88" si="82">IFERROR(IF(D78="Chemical",(10^(INDEX(Antoines,MATCH(D77,Antoine_Name,0),2)-INDEX(Antoines,MATCH(D77,Antoine_Name,0),3)/(INDEX(Antoines,MATCH(D77,Antoine_Name,0),4)+(D81-32)*5/9)))*14.7/760,IF(D78="Crude Oil",EXP((2799/(D81+459.6)-2.227)*LOG10(D84)-(7261/(D81+459.6))+12.82),IF(D78="Refined Petroleum Stock",EXP((0.7553-(413/(D81+459.6)))*(D85^0.5)*LOG10(D84)-(1.854-(1042/(D81+459.6)))*(D85^0.5)+((2416/(D81+459.6)-2.013)*LOG10(D84))-(8742/(D81+459.6))+15.64),EXP(INDEX(Antoines,MATCH(D77,Antoine_Name,0),2)-INDEX(Antoines,MATCH(D77,Antoine_Name,0),3)/(D81+459.6))))),0)</f>
        <v>0</v>
      </c>
      <c r="E88">
        <f t="shared" si="82"/>
        <v>0</v>
      </c>
      <c r="F88">
        <f t="shared" si="82"/>
        <v>0</v>
      </c>
      <c r="G88">
        <f t="shared" si="82"/>
        <v>0</v>
      </c>
      <c r="H88">
        <f t="shared" si="82"/>
        <v>0</v>
      </c>
      <c r="I88">
        <f t="shared" si="82"/>
        <v>0</v>
      </c>
      <c r="J88">
        <f t="shared" si="82"/>
        <v>0</v>
      </c>
      <c r="K88">
        <f t="shared" si="82"/>
        <v>0</v>
      </c>
      <c r="L88">
        <f t="shared" si="82"/>
        <v>0</v>
      </c>
      <c r="M88">
        <f t="shared" si="82"/>
        <v>0</v>
      </c>
      <c r="N88">
        <f t="shared" si="82"/>
        <v>0</v>
      </c>
      <c r="O88">
        <f t="shared" si="82"/>
        <v>0</v>
      </c>
      <c r="P88">
        <f t="shared" si="79"/>
        <v>84</v>
      </c>
    </row>
    <row r="89" spans="1:25" ht="17.149999999999999" x14ac:dyDescent="0.55000000000000004">
      <c r="C89" t="s">
        <v>1391</v>
      </c>
      <c r="D89">
        <f t="shared" ref="D89:O89" si="83">D88*D80</f>
        <v>0</v>
      </c>
      <c r="E89">
        <f t="shared" si="83"/>
        <v>0</v>
      </c>
      <c r="F89">
        <f t="shared" si="83"/>
        <v>0</v>
      </c>
      <c r="G89">
        <f t="shared" si="83"/>
        <v>0</v>
      </c>
      <c r="H89">
        <f t="shared" si="83"/>
        <v>0</v>
      </c>
      <c r="I89">
        <f t="shared" si="83"/>
        <v>0</v>
      </c>
      <c r="J89">
        <f t="shared" si="83"/>
        <v>0</v>
      </c>
      <c r="K89">
        <f t="shared" si="83"/>
        <v>0</v>
      </c>
      <c r="L89">
        <f t="shared" si="83"/>
        <v>0</v>
      </c>
      <c r="M89">
        <f t="shared" si="83"/>
        <v>0</v>
      </c>
      <c r="N89">
        <f t="shared" si="83"/>
        <v>0</v>
      </c>
      <c r="O89">
        <f t="shared" si="83"/>
        <v>0</v>
      </c>
      <c r="P89">
        <f t="shared" si="79"/>
        <v>85</v>
      </c>
    </row>
    <row r="90" spans="1:25" ht="17.149999999999999" x14ac:dyDescent="0.55000000000000004">
      <c r="C90" t="s">
        <v>1392</v>
      </c>
      <c r="D90">
        <f>IF(D75="Out of Service",0,D87+D89)</f>
        <v>5.867661107401692</v>
      </c>
      <c r="E90">
        <f t="shared" ref="E90" si="84">IF(E75="Out of Service",0,E87+E89)</f>
        <v>5.9935718185823612</v>
      </c>
      <c r="F90">
        <f t="shared" ref="F90" si="85">IF(F75="Out of Service",0,F87+F89)</f>
        <v>6.188830273420832</v>
      </c>
      <c r="G90">
        <f t="shared" ref="G90" si="86">IF(G75="Out of Service",0,G87+G89)</f>
        <v>6.5279682032356678</v>
      </c>
      <c r="H90">
        <f t="shared" ref="H90" si="87">IF(H75="Out of Service",0,H87+H89)</f>
        <v>7.1045514346753809</v>
      </c>
      <c r="I90">
        <f t="shared" ref="I90" si="88">IF(I75="Out of Service",0,I87+I89)</f>
        <v>7.5852508081720345</v>
      </c>
      <c r="J90">
        <f t="shared" ref="J90" si="89">IF(J75="Out of Service",0,J87+J89)</f>
        <v>8.0492791332983735</v>
      </c>
      <c r="K90">
        <f t="shared" ref="K90" si="90">IF(K75="Out of Service",0,K87+K89)</f>
        <v>8.0621333544026594</v>
      </c>
      <c r="L90">
        <f t="shared" ref="L90" si="91">IF(L75="Out of Service",0,L87+L89)</f>
        <v>7.7043732166834999</v>
      </c>
      <c r="M90">
        <f t="shared" ref="M90" si="92">IF(M75="Out of Service",0,M87+M89)</f>
        <v>6.891237422021784</v>
      </c>
      <c r="N90">
        <f t="shared" ref="N90" si="93">IF(N75="Out of Service",0,N87+N89)</f>
        <v>6.2111475349287595</v>
      </c>
      <c r="O90">
        <f t="shared" ref="O90" si="94">IF(O75="Out of Service",0,O87+O89)</f>
        <v>5.8301649306133871</v>
      </c>
      <c r="P90">
        <f t="shared" si="79"/>
        <v>86</v>
      </c>
    </row>
    <row r="91" spans="1:25" x14ac:dyDescent="0.4">
      <c r="C91" t="s">
        <v>1513</v>
      </c>
      <c r="D91">
        <f t="shared" ref="D91:O91" si="95">(D90/D74)/(1+(SQRT(1-D90/D74))^2)</f>
        <v>0.24934457786715217</v>
      </c>
      <c r="E91">
        <f t="shared" si="95"/>
        <v>0.2560652044868878</v>
      </c>
      <c r="F91">
        <f t="shared" si="95"/>
        <v>0.26663155482138357</v>
      </c>
      <c r="G91">
        <f t="shared" si="95"/>
        <v>0.28541269360071325</v>
      </c>
      <c r="H91">
        <f t="shared" si="95"/>
        <v>0.31865478794290136</v>
      </c>
      <c r="I91">
        <f t="shared" si="95"/>
        <v>0.34771203379287757</v>
      </c>
      <c r="J91">
        <f t="shared" si="95"/>
        <v>0.37700268686721256</v>
      </c>
      <c r="K91">
        <f t="shared" si="95"/>
        <v>0.37783221201572781</v>
      </c>
      <c r="L91">
        <f t="shared" si="95"/>
        <v>0.35511180633914702</v>
      </c>
      <c r="M91">
        <f t="shared" si="95"/>
        <v>0.30615798616863682</v>
      </c>
      <c r="N91">
        <f t="shared" si="95"/>
        <v>0.26785057795699241</v>
      </c>
      <c r="O91">
        <f t="shared" si="95"/>
        <v>0.24735705249740267</v>
      </c>
      <c r="P91">
        <f t="shared" si="79"/>
        <v>87</v>
      </c>
    </row>
    <row r="92" spans="1:25" ht="17.149999999999999" x14ac:dyDescent="0.55000000000000004">
      <c r="C92" t="s">
        <v>584</v>
      </c>
      <c r="D92">
        <f t="shared" ref="D92:H92" si="96">IFERROR(D87/D90,1)</f>
        <v>1</v>
      </c>
      <c r="E92">
        <f t="shared" si="96"/>
        <v>1</v>
      </c>
      <c r="F92">
        <f t="shared" si="96"/>
        <v>1</v>
      </c>
      <c r="G92">
        <f t="shared" si="96"/>
        <v>1</v>
      </c>
      <c r="H92">
        <f t="shared" si="96"/>
        <v>1</v>
      </c>
      <c r="I92">
        <f>IFERROR(I87/I90,1)</f>
        <v>1</v>
      </c>
      <c r="J92">
        <f t="shared" ref="J92:O92" si="97">IFERROR(J87/J90,1)</f>
        <v>1</v>
      </c>
      <c r="K92">
        <f t="shared" si="97"/>
        <v>1</v>
      </c>
      <c r="L92">
        <f t="shared" si="97"/>
        <v>1</v>
      </c>
      <c r="M92">
        <f t="shared" si="97"/>
        <v>1</v>
      </c>
      <c r="N92">
        <f t="shared" si="97"/>
        <v>1</v>
      </c>
      <c r="O92">
        <f t="shared" si="97"/>
        <v>1</v>
      </c>
      <c r="P92">
        <f t="shared" si="79"/>
        <v>88</v>
      </c>
    </row>
    <row r="93" spans="1:25" ht="17.149999999999999" x14ac:dyDescent="0.55000000000000004">
      <c r="C93" t="s">
        <v>585</v>
      </c>
      <c r="D93">
        <f t="shared" ref="D93:O93" si="98">INDEX(Phys_Prop,MATCH(D75,Chem_List,0),3)</f>
        <v>61.103726164670178</v>
      </c>
      <c r="E93">
        <f t="shared" si="98"/>
        <v>61.103726164670178</v>
      </c>
      <c r="F93">
        <f t="shared" si="98"/>
        <v>61.103726164670178</v>
      </c>
      <c r="G93">
        <f t="shared" si="98"/>
        <v>61.103726164670178</v>
      </c>
      <c r="H93">
        <f t="shared" si="98"/>
        <v>61.103726164670178</v>
      </c>
      <c r="I93">
        <f t="shared" si="98"/>
        <v>61.103726164670178</v>
      </c>
      <c r="J93">
        <f t="shared" si="98"/>
        <v>61.103726164670178</v>
      </c>
      <c r="K93">
        <f t="shared" si="98"/>
        <v>61.103726164670178</v>
      </c>
      <c r="L93">
        <f t="shared" si="98"/>
        <v>61.103726164670178</v>
      </c>
      <c r="M93">
        <f t="shared" si="98"/>
        <v>61.103726164670178</v>
      </c>
      <c r="N93">
        <f t="shared" si="98"/>
        <v>61.103726164670178</v>
      </c>
      <c r="O93">
        <f t="shared" si="98"/>
        <v>61.103726164670178</v>
      </c>
      <c r="P93">
        <f t="shared" si="79"/>
        <v>89</v>
      </c>
    </row>
    <row r="94" spans="1:25" ht="17.149999999999999" x14ac:dyDescent="0.55000000000000004">
      <c r="C94" t="s">
        <v>586</v>
      </c>
      <c r="D94">
        <f>D89/D90</f>
        <v>0</v>
      </c>
      <c r="E94">
        <f t="shared" ref="E94:O94" si="99">E89/E90</f>
        <v>0</v>
      </c>
      <c r="F94">
        <f t="shared" si="99"/>
        <v>0</v>
      </c>
      <c r="G94">
        <f t="shared" si="99"/>
        <v>0</v>
      </c>
      <c r="H94">
        <f t="shared" si="99"/>
        <v>0</v>
      </c>
      <c r="I94">
        <f t="shared" si="99"/>
        <v>0</v>
      </c>
      <c r="J94">
        <f t="shared" si="99"/>
        <v>0</v>
      </c>
      <c r="K94">
        <f t="shared" si="99"/>
        <v>0</v>
      </c>
      <c r="L94">
        <f t="shared" si="99"/>
        <v>0</v>
      </c>
      <c r="M94">
        <f t="shared" si="99"/>
        <v>0</v>
      </c>
      <c r="N94">
        <f t="shared" si="99"/>
        <v>0</v>
      </c>
      <c r="O94">
        <f t="shared" si="99"/>
        <v>0</v>
      </c>
      <c r="P94">
        <f t="shared" si="79"/>
        <v>90</v>
      </c>
    </row>
    <row r="95" spans="1:25" ht="17.149999999999999" x14ac:dyDescent="0.55000000000000004">
      <c r="C95" t="s">
        <v>587</v>
      </c>
      <c r="D95">
        <f t="shared" ref="D95:O95" si="100">IFERROR(INDEX(Phys_Prop,MATCH(D77,Chem_List,0),3),0)</f>
        <v>0</v>
      </c>
      <c r="E95">
        <f t="shared" si="100"/>
        <v>0</v>
      </c>
      <c r="F95">
        <f t="shared" si="100"/>
        <v>0</v>
      </c>
      <c r="G95">
        <f t="shared" si="100"/>
        <v>0</v>
      </c>
      <c r="H95">
        <f t="shared" si="100"/>
        <v>0</v>
      </c>
      <c r="I95">
        <f t="shared" si="100"/>
        <v>0</v>
      </c>
      <c r="J95">
        <f t="shared" si="100"/>
        <v>0</v>
      </c>
      <c r="K95">
        <f t="shared" si="100"/>
        <v>0</v>
      </c>
      <c r="L95">
        <f t="shared" si="100"/>
        <v>0</v>
      </c>
      <c r="M95">
        <f t="shared" si="100"/>
        <v>0</v>
      </c>
      <c r="N95">
        <f t="shared" si="100"/>
        <v>0</v>
      </c>
      <c r="O95">
        <f t="shared" si="100"/>
        <v>0</v>
      </c>
      <c r="P95">
        <f t="shared" si="79"/>
        <v>91</v>
      </c>
    </row>
    <row r="96" spans="1:25" ht="17.149999999999999" x14ac:dyDescent="0.55000000000000004">
      <c r="A96" s="11"/>
      <c r="B96" s="11"/>
      <c r="C96" s="11" t="s">
        <v>588</v>
      </c>
      <c r="D96" s="11">
        <f>IFERROR(D92*D93+D94*D95,0)</f>
        <v>61.103726164670178</v>
      </c>
      <c r="E96" s="11">
        <f t="shared" ref="E96" si="101">IFERROR(E92*E93+E94*E95,0)</f>
        <v>61.103726164670178</v>
      </c>
      <c r="F96" s="11">
        <f t="shared" ref="F96" si="102">IFERROR(F92*F93+F94*F95,0)</f>
        <v>61.103726164670178</v>
      </c>
      <c r="G96" s="11">
        <f t="shared" ref="G96" si="103">IFERROR(G92*G93+G94*G95,0)</f>
        <v>61.103726164670178</v>
      </c>
      <c r="H96" s="11">
        <f t="shared" ref="H96" si="104">IFERROR(H92*H93+H94*H95,0)</f>
        <v>61.103726164670178</v>
      </c>
      <c r="I96" s="11">
        <f t="shared" ref="I96" si="105">IFERROR(I92*I93+I94*I95,0)</f>
        <v>61.103726164670178</v>
      </c>
      <c r="J96" s="11">
        <f t="shared" ref="J96" si="106">IFERROR(J92*J93+J94*J95,0)</f>
        <v>61.103726164670178</v>
      </c>
      <c r="K96" s="11">
        <f t="shared" ref="K96" si="107">IFERROR(K92*K93+K94*K95,0)</f>
        <v>61.103726164670178</v>
      </c>
      <c r="L96" s="11">
        <f t="shared" ref="L96" si="108">IFERROR(L92*L93+L94*L95,0)</f>
        <v>61.103726164670178</v>
      </c>
      <c r="M96" s="11">
        <f t="shared" ref="M96" si="109">IFERROR(M92*M93+M94*M95,0)</f>
        <v>61.103726164670178</v>
      </c>
      <c r="N96" s="11">
        <f t="shared" ref="N96" si="110">IFERROR(N92*N93+N94*N95,0)</f>
        <v>61.103726164670178</v>
      </c>
      <c r="O96" s="11">
        <f t="shared" ref="O96" si="111">IFERROR(O92*O93+O94*O95,0)</f>
        <v>61.103726164670178</v>
      </c>
      <c r="P96" s="11">
        <f t="shared" si="79"/>
        <v>92</v>
      </c>
      <c r="Q96" s="11"/>
      <c r="R96" s="11"/>
      <c r="S96" s="11"/>
      <c r="T96" s="11"/>
      <c r="U96" s="11"/>
      <c r="V96" s="11"/>
      <c r="W96" s="11"/>
      <c r="X96" s="11"/>
      <c r="Y96" s="11"/>
    </row>
    <row r="97" spans="1:26" ht="17.149999999999999" x14ac:dyDescent="0.55000000000000004">
      <c r="A97" t="str" cm="1">
        <f t="array" ref="A97">INDEX(FLT_Cons,$R97,T$5)</f>
        <v>FLT - 5</v>
      </c>
      <c r="B97" t="str" cm="1">
        <f t="array" ref="B97">INDEX(FLT_Cons,$R97,T$6)</f>
        <v>Portland</v>
      </c>
      <c r="C97" t="s">
        <v>563</v>
      </c>
      <c r="D97">
        <v>14.7</v>
      </c>
      <c r="E97">
        <v>14.7</v>
      </c>
      <c r="F97">
        <v>14.7</v>
      </c>
      <c r="G97">
        <v>14.7</v>
      </c>
      <c r="H97">
        <v>14.7</v>
      </c>
      <c r="I97">
        <v>14.7</v>
      </c>
      <c r="J97">
        <v>14.7</v>
      </c>
      <c r="K97">
        <v>14.7</v>
      </c>
      <c r="L97">
        <v>14.7</v>
      </c>
      <c r="M97">
        <v>14.7</v>
      </c>
      <c r="N97">
        <v>14.7</v>
      </c>
      <c r="O97">
        <v>14.7</v>
      </c>
      <c r="P97">
        <f>P96+1</f>
        <v>93</v>
      </c>
      <c r="R97">
        <f>R74+1</f>
        <v>5</v>
      </c>
      <c r="S97" t="s">
        <v>237</v>
      </c>
      <c r="T97">
        <v>1</v>
      </c>
      <c r="W97" t="s">
        <v>1516</v>
      </c>
      <c r="X97">
        <f>X74+12</f>
        <v>54</v>
      </c>
      <c r="Y97" t="s">
        <v>1787</v>
      </c>
      <c r="Z97">
        <f>Z74+12</f>
        <v>51</v>
      </c>
    </row>
    <row r="98" spans="1:26" x14ac:dyDescent="0.4">
      <c r="C98" s="66" t="s">
        <v>567</v>
      </c>
      <c r="D98" t="str" cm="1">
        <f t="array" ref="D98">INDEX(Flt_Multi,$V98,D$3)</f>
        <v>Bakken Crude</v>
      </c>
      <c r="E98" t="str" cm="1">
        <f t="array" ref="E98">INDEX(Flt_Multi,$V98,E$3)</f>
        <v>Bakken Crude</v>
      </c>
      <c r="F98" t="str" cm="1">
        <f t="array" ref="F98">INDEX(Flt_Multi,$V98,F$3)</f>
        <v>Bakken Crude</v>
      </c>
      <c r="G98" t="str" cm="1">
        <f t="array" ref="G98">INDEX(Flt_Multi,$V98,G$3)</f>
        <v>Bakken Crude</v>
      </c>
      <c r="H98" t="str" cm="1">
        <f t="array" ref="H98">INDEX(Flt_Multi,$V98,H$3)</f>
        <v>Bakken Crude</v>
      </c>
      <c r="I98" t="str" cm="1">
        <f t="array" ref="I98">INDEX(Flt_Multi,$V98,I$3)</f>
        <v>Bakken Crude</v>
      </c>
      <c r="J98" t="str" cm="1">
        <f t="array" ref="J98">INDEX(Flt_Multi,$V98,J$3)</f>
        <v>Bakken Crude</v>
      </c>
      <c r="K98" t="str" cm="1">
        <f t="array" ref="K98">INDEX(Flt_Multi,$V98,K$3)</f>
        <v>Bakken Crude</v>
      </c>
      <c r="L98" t="str" cm="1">
        <f t="array" ref="L98">INDEX(Flt_Multi,$V98,L$3)</f>
        <v>Bakken Crude</v>
      </c>
      <c r="M98" t="str" cm="1">
        <f t="array" ref="M98">INDEX(Flt_Multi,$V98,M$3)</f>
        <v>Bakken Crude</v>
      </c>
      <c r="N98" t="str" cm="1">
        <f t="array" ref="N98">INDEX(Flt_Multi,$V98,N$3)</f>
        <v>Bakken Crude</v>
      </c>
      <c r="O98" t="str" cm="1">
        <f t="array" ref="O98">INDEX(Flt_Multi,$V98,O$3)</f>
        <v>Bakken Crude</v>
      </c>
      <c r="P98">
        <f>P97+1</f>
        <v>94</v>
      </c>
      <c r="S98" t="s">
        <v>549</v>
      </c>
      <c r="T98">
        <v>3</v>
      </c>
      <c r="U98" s="66" t="s">
        <v>567</v>
      </c>
      <c r="V98">
        <f>V75+14</f>
        <v>57</v>
      </c>
      <c r="Y98" t="s">
        <v>1786</v>
      </c>
      <c r="Z98">
        <f>Z97+1</f>
        <v>52</v>
      </c>
    </row>
    <row r="99" spans="1:26" x14ac:dyDescent="0.4">
      <c r="C99" s="66" t="s">
        <v>566</v>
      </c>
      <c r="D99" t="str" cm="1">
        <f t="array" ref="D99">INDEX(Flt_Multi,$V99,D$3)</f>
        <v>Crude Oil</v>
      </c>
      <c r="E99" t="str" cm="1">
        <f t="array" ref="E99">INDEX(Flt_Multi,$V99,E$3)</f>
        <v>Crude Oil</v>
      </c>
      <c r="F99" t="str" cm="1">
        <f t="array" ref="F99">INDEX(Flt_Multi,$V99,F$3)</f>
        <v>Crude Oil</v>
      </c>
      <c r="G99" t="str" cm="1">
        <f t="array" ref="G99">INDEX(Flt_Multi,$V99,G$3)</f>
        <v>Crude Oil</v>
      </c>
      <c r="H99" t="str" cm="1">
        <f t="array" ref="H99">INDEX(Flt_Multi,$V99,H$3)</f>
        <v>Crude Oil</v>
      </c>
      <c r="I99" t="str" cm="1">
        <f t="array" ref="I99">INDEX(Flt_Multi,$V99,I$3)</f>
        <v>Crude Oil</v>
      </c>
      <c r="J99" t="str" cm="1">
        <f t="array" ref="J99">INDEX(Flt_Multi,$V99,J$3)</f>
        <v>Crude Oil</v>
      </c>
      <c r="K99" t="str" cm="1">
        <f t="array" ref="K99">INDEX(Flt_Multi,$V99,K$3)</f>
        <v>Crude Oil</v>
      </c>
      <c r="L99" t="str" cm="1">
        <f t="array" ref="L99">INDEX(Flt_Multi,$V99,L$3)</f>
        <v>Crude Oil</v>
      </c>
      <c r="M99" t="str" cm="1">
        <f t="array" ref="M99">INDEX(Flt_Multi,$V99,M$3)</f>
        <v>Crude Oil</v>
      </c>
      <c r="N99" t="str" cm="1">
        <f t="array" ref="N99">INDEX(Flt_Multi,$V99,N$3)</f>
        <v>Crude Oil</v>
      </c>
      <c r="O99" t="str" cm="1">
        <f t="array" ref="O99">INDEX(Flt_Multi,$V99,O$3)</f>
        <v>Crude Oil</v>
      </c>
      <c r="P99">
        <f t="shared" ref="P99:P119" si="112">P98+1</f>
        <v>95</v>
      </c>
      <c r="U99" s="66" t="s">
        <v>566</v>
      </c>
      <c r="V99">
        <f>V98+2</f>
        <v>59</v>
      </c>
      <c r="Y99" t="s">
        <v>1788</v>
      </c>
      <c r="Z99">
        <f>Z97+5</f>
        <v>56</v>
      </c>
    </row>
    <row r="100" spans="1:26" x14ac:dyDescent="0.4">
      <c r="C100" s="66" t="s">
        <v>568</v>
      </c>
      <c r="D100" t="str" cm="1">
        <f t="array" ref="D100">INDEX(Flt_Multi,$V100,D$3)</f>
        <v/>
      </c>
      <c r="E100" t="str" cm="1">
        <f t="array" ref="E100">INDEX(Flt_Multi,$V100,E$3)</f>
        <v/>
      </c>
      <c r="F100" t="str" cm="1">
        <f t="array" ref="F100">INDEX(Flt_Multi,$V100,F$3)</f>
        <v/>
      </c>
      <c r="G100" t="str" cm="1">
        <f t="array" ref="G100">INDEX(Flt_Multi,$V100,G$3)</f>
        <v/>
      </c>
      <c r="H100" t="str" cm="1">
        <f t="array" ref="H100">INDEX(Flt_Multi,$V100,H$3)</f>
        <v/>
      </c>
      <c r="I100" t="str" cm="1">
        <f t="array" ref="I100">INDEX(Flt_Multi,$V100,I$3)</f>
        <v/>
      </c>
      <c r="J100" t="str" cm="1">
        <f t="array" ref="J100">INDEX(Flt_Multi,$V100,J$3)</f>
        <v/>
      </c>
      <c r="K100" t="str" cm="1">
        <f t="array" ref="K100">INDEX(Flt_Multi,$V100,K$3)</f>
        <v/>
      </c>
      <c r="L100" t="str" cm="1">
        <f t="array" ref="L100">INDEX(Flt_Multi,$V100,L$3)</f>
        <v/>
      </c>
      <c r="M100" t="str" cm="1">
        <f t="array" ref="M100">INDEX(Flt_Multi,$V100,M$3)</f>
        <v/>
      </c>
      <c r="N100" t="str" cm="1">
        <f t="array" ref="N100">INDEX(Flt_Multi,$V100,N$3)</f>
        <v/>
      </c>
      <c r="O100" t="str" cm="1">
        <f t="array" ref="O100">INDEX(Flt_Multi,$V100,O$3)</f>
        <v/>
      </c>
      <c r="P100">
        <f t="shared" si="112"/>
        <v>96</v>
      </c>
      <c r="U100" s="66" t="s">
        <v>568</v>
      </c>
      <c r="V100">
        <f>V98+1</f>
        <v>58</v>
      </c>
      <c r="Y100" t="s">
        <v>1789</v>
      </c>
      <c r="Z100">
        <f>Z99+1</f>
        <v>57</v>
      </c>
    </row>
    <row r="101" spans="1:26" x14ac:dyDescent="0.4">
      <c r="C101" s="66" t="s">
        <v>569</v>
      </c>
      <c r="D101" t="e" cm="1">
        <f t="array" ref="D101">INDEX(Flt_Multi,$V101,D$3)</f>
        <v>#N/A</v>
      </c>
      <c r="E101" t="e" cm="1">
        <f t="array" ref="E101">INDEX(Flt_Multi,$V101,E$3)</f>
        <v>#N/A</v>
      </c>
      <c r="F101" t="e" cm="1">
        <f t="array" ref="F101">INDEX(Flt_Multi,$V101,F$3)</f>
        <v>#N/A</v>
      </c>
      <c r="G101" t="e" cm="1">
        <f t="array" ref="G101">INDEX(Flt_Multi,$V101,G$3)</f>
        <v>#N/A</v>
      </c>
      <c r="H101" t="e" cm="1">
        <f t="array" ref="H101">INDEX(Flt_Multi,$V101,H$3)</f>
        <v>#N/A</v>
      </c>
      <c r="I101" t="e" cm="1">
        <f t="array" ref="I101">INDEX(Flt_Multi,$V101,I$3)</f>
        <v>#N/A</v>
      </c>
      <c r="J101" t="e" cm="1">
        <f t="array" ref="J101">INDEX(Flt_Multi,$V101,J$3)</f>
        <v>#N/A</v>
      </c>
      <c r="K101" t="e" cm="1">
        <f t="array" ref="K101">INDEX(Flt_Multi,$V101,K$3)</f>
        <v>#N/A</v>
      </c>
      <c r="L101" t="e" cm="1">
        <f t="array" ref="L101">INDEX(Flt_Multi,$V101,L$3)</f>
        <v>#N/A</v>
      </c>
      <c r="M101" t="e" cm="1">
        <f t="array" ref="M101">INDEX(Flt_Multi,$V101,M$3)</f>
        <v>#N/A</v>
      </c>
      <c r="N101" t="e" cm="1">
        <f t="array" ref="N101">INDEX(Flt_Multi,$V101,N$3)</f>
        <v>#N/A</v>
      </c>
      <c r="O101" t="e" cm="1">
        <f t="array" ref="O101">INDEX(Flt_Multi,$V101,O$3)</f>
        <v>#N/A</v>
      </c>
      <c r="P101">
        <f t="shared" si="112"/>
        <v>97</v>
      </c>
      <c r="U101" s="66" t="s">
        <v>569</v>
      </c>
      <c r="V101">
        <f>V100+2</f>
        <v>60</v>
      </c>
    </row>
    <row r="102" spans="1:26" ht="17.149999999999999" x14ac:dyDescent="0.55000000000000004">
      <c r="C102" t="s">
        <v>570</v>
      </c>
      <c r="D102" cm="1">
        <f t="array" ref="D102">INDEX(Flt_Multi,$V102,D$3)</f>
        <v>1</v>
      </c>
      <c r="E102" cm="1">
        <f t="array" ref="E102">INDEX(Flt_Multi,$V102,E$3)</f>
        <v>1</v>
      </c>
      <c r="F102" cm="1">
        <f t="array" ref="F102">INDEX(Flt_Multi,$V102,F$3)</f>
        <v>1</v>
      </c>
      <c r="G102" cm="1">
        <f t="array" ref="G102">INDEX(Flt_Multi,$V102,G$3)</f>
        <v>1</v>
      </c>
      <c r="H102" cm="1">
        <f t="array" ref="H102">INDEX(Flt_Multi,$V102,H$3)</f>
        <v>1</v>
      </c>
      <c r="I102" cm="1">
        <f t="array" ref="I102">INDEX(Flt_Multi,$V102,I$3)</f>
        <v>1</v>
      </c>
      <c r="J102" cm="1">
        <f t="array" ref="J102">INDEX(Flt_Multi,$V102,J$3)</f>
        <v>1</v>
      </c>
      <c r="K102" cm="1">
        <f t="array" ref="K102">INDEX(Flt_Multi,$V102,K$3)</f>
        <v>1</v>
      </c>
      <c r="L102" cm="1">
        <f t="array" ref="L102">INDEX(Flt_Multi,$V102,L$3)</f>
        <v>1</v>
      </c>
      <c r="M102" cm="1">
        <f t="array" ref="M102">INDEX(Flt_Multi,$V102,M$3)</f>
        <v>1</v>
      </c>
      <c r="N102" cm="1">
        <f t="array" ref="N102">INDEX(Flt_Multi,$V102,N$3)</f>
        <v>1</v>
      </c>
      <c r="O102" cm="1">
        <f t="array" ref="O102">INDEX(Flt_Multi,$V102,O$3)</f>
        <v>1</v>
      </c>
      <c r="P102">
        <f t="shared" si="112"/>
        <v>98</v>
      </c>
      <c r="U102" t="s">
        <v>570</v>
      </c>
      <c r="V102">
        <f>V98+9</f>
        <v>66</v>
      </c>
    </row>
    <row r="103" spans="1:26" ht="17.149999999999999" x14ac:dyDescent="0.55000000000000004">
      <c r="C103" t="s">
        <v>572</v>
      </c>
      <c r="D103" cm="1">
        <f t="array" ref="D103">INDEX(Flt_Multi,$V103,D$3)</f>
        <v>0</v>
      </c>
      <c r="E103" cm="1">
        <f t="array" ref="E103">INDEX(Flt_Multi,$V103,E$3)</f>
        <v>0</v>
      </c>
      <c r="F103" cm="1">
        <f t="array" ref="F103">INDEX(Flt_Multi,$V103,F$3)</f>
        <v>0</v>
      </c>
      <c r="G103" cm="1">
        <f t="array" ref="G103">INDEX(Flt_Multi,$V103,G$3)</f>
        <v>0</v>
      </c>
      <c r="H103" cm="1">
        <f t="array" ref="H103">INDEX(Flt_Multi,$V103,H$3)</f>
        <v>0</v>
      </c>
      <c r="I103" cm="1">
        <f t="array" ref="I103">INDEX(Flt_Multi,$V103,I$3)</f>
        <v>0</v>
      </c>
      <c r="J103" cm="1">
        <f t="array" ref="J103">INDEX(Flt_Multi,$V103,J$3)</f>
        <v>0</v>
      </c>
      <c r="K103" cm="1">
        <f t="array" ref="K103">INDEX(Flt_Multi,$V103,K$3)</f>
        <v>0</v>
      </c>
      <c r="L103" cm="1">
        <f t="array" ref="L103">INDEX(Flt_Multi,$V103,L$3)</f>
        <v>0</v>
      </c>
      <c r="M103" cm="1">
        <f t="array" ref="M103">INDEX(Flt_Multi,$V103,M$3)</f>
        <v>0</v>
      </c>
      <c r="N103" cm="1">
        <f t="array" ref="N103">INDEX(Flt_Multi,$V103,N$3)</f>
        <v>0</v>
      </c>
      <c r="O103" cm="1">
        <f t="array" ref="O103">INDEX(Flt_Multi,$V103,O$3)</f>
        <v>0</v>
      </c>
      <c r="P103">
        <f t="shared" si="112"/>
        <v>99</v>
      </c>
      <c r="U103" t="s">
        <v>572</v>
      </c>
      <c r="V103">
        <f>V100+9</f>
        <v>67</v>
      </c>
    </row>
    <row r="104" spans="1:26" ht="17.149999999999999" x14ac:dyDescent="0.55000000000000004">
      <c r="C104" t="s">
        <v>552</v>
      </c>
      <c r="D104" cm="1">
        <f t="array" ref="D104">INDEX(Flt_Temps,$X97,D$3)-459.6</f>
        <v>44.456425618701587</v>
      </c>
      <c r="E104" cm="1">
        <f t="array" ref="E104">INDEX(Flt_Temps,$X97,E$3)-459.6</f>
        <v>45.67333927469673</v>
      </c>
      <c r="F104" cm="1">
        <f t="array" ref="F104">INDEX(Flt_Temps,$X97,F$3)-459.6</f>
        <v>47.522697573181574</v>
      </c>
      <c r="G104" cm="1">
        <f t="array" ref="G104">INDEX(Flt_Temps,$X97,G$3)-459.6</f>
        <v>50.631034619866966</v>
      </c>
      <c r="H104" cm="1">
        <f t="array" ref="H104">INDEX(Flt_Temps,$X97,H$3)-459.6</f>
        <v>55.643370775347876</v>
      </c>
      <c r="I104" cm="1">
        <f t="array" ref="I104">INDEX(Flt_Temps,$X97,I$3)-459.6</f>
        <v>59.589371666552552</v>
      </c>
      <c r="J104" cm="1">
        <f t="array" ref="J104">INDEX(Flt_Temps,$X97,J$3)-459.6</f>
        <v>63.220772468636369</v>
      </c>
      <c r="K104" cm="1">
        <f t="array" ref="K104">INDEX(Flt_Temps,$X97,K$3)-459.6</f>
        <v>63.320370329745629</v>
      </c>
      <c r="L104" cm="1">
        <f t="array" ref="L104">INDEX(Flt_Temps,$X97,L$3)-459.6</f>
        <v>60.540189620895376</v>
      </c>
      <c r="M104" cm="1">
        <f t="array" ref="M104">INDEX(Flt_Temps,$X97,M$3)-459.6</f>
        <v>53.830984986631961</v>
      </c>
      <c r="N104" cm="1">
        <f t="array" ref="N104">INDEX(Flt_Temps,$X97,N$3)-459.6</f>
        <v>47.734292760677363</v>
      </c>
      <c r="O104" cm="1">
        <f t="array" ref="O104">INDEX(Flt_Temps,$X97,O$3)-459.6</f>
        <v>44.089914101597287</v>
      </c>
      <c r="P104">
        <f t="shared" si="112"/>
        <v>100</v>
      </c>
    </row>
    <row r="105" spans="1:26" ht="17.149999999999999" x14ac:dyDescent="0.55000000000000004">
      <c r="C105" t="s">
        <v>1790</v>
      </c>
      <c r="D105" cm="1">
        <f t="array" ref="D105">INDEX(FLT_Prod_Info,$Z97,D$3)</f>
        <v>10.199999999999999</v>
      </c>
      <c r="E105" cm="1">
        <f t="array" ref="E105">INDEX(FLT_Prod_Info,$Z97,E$3)</f>
        <v>10.199999999999999</v>
      </c>
      <c r="F105" cm="1">
        <f t="array" ref="F105">INDEX(FLT_Prod_Info,$Z97,F$3)</f>
        <v>10.199999999999999</v>
      </c>
      <c r="G105" cm="1">
        <f t="array" ref="G105">INDEX(FLT_Prod_Info,$Z97,G$3)</f>
        <v>10.199999999999999</v>
      </c>
      <c r="H105" cm="1">
        <f t="array" ref="H105">INDEX(FLT_Prod_Info,$Z97,H$3)</f>
        <v>10.199999999999999</v>
      </c>
      <c r="I105" cm="1">
        <f t="array" ref="I105">INDEX(FLT_Prod_Info,$Z97,I$3)</f>
        <v>10.199999999999999</v>
      </c>
      <c r="J105" cm="1">
        <f t="array" ref="J105">INDEX(FLT_Prod_Info,$Z97,J$3)</f>
        <v>10.199999999999999</v>
      </c>
      <c r="K105" cm="1">
        <f t="array" ref="K105">INDEX(FLT_Prod_Info,$Z97,K$3)</f>
        <v>10.199999999999999</v>
      </c>
      <c r="L105" cm="1">
        <f t="array" ref="L105">INDEX(FLT_Prod_Info,$Z97,L$3)</f>
        <v>10.199999999999999</v>
      </c>
      <c r="M105" cm="1">
        <f t="array" ref="M105">INDEX(FLT_Prod_Info,$Z97,M$3)</f>
        <v>10.199999999999999</v>
      </c>
      <c r="N105" cm="1">
        <f t="array" ref="N105">INDEX(FLT_Prod_Info,$Z97,N$3)</f>
        <v>10.199999999999999</v>
      </c>
      <c r="O105" cm="1">
        <f t="array" ref="O105">INDEX(FLT_Prod_Info,$Z97,O$3)</f>
        <v>10.199999999999999</v>
      </c>
      <c r="P105">
        <f t="shared" si="112"/>
        <v>101</v>
      </c>
    </row>
    <row r="106" spans="1:26" ht="17.149999999999999" x14ac:dyDescent="0.55000000000000004">
      <c r="C106" t="s">
        <v>1791</v>
      </c>
      <c r="D106" cm="1">
        <f t="array" ref="D106">INDEX(FLT_Prod_Info,$Z98,D$3)</f>
        <v>0</v>
      </c>
      <c r="E106" cm="1">
        <f t="array" ref="E106">INDEX(FLT_Prod_Info,$Z98,E$3)</f>
        <v>0</v>
      </c>
      <c r="F106" cm="1">
        <f t="array" ref="F106">INDEX(FLT_Prod_Info,$Z98,F$3)</f>
        <v>0</v>
      </c>
      <c r="G106" cm="1">
        <f t="array" ref="G106">INDEX(FLT_Prod_Info,$Z98,G$3)</f>
        <v>0</v>
      </c>
      <c r="H106" cm="1">
        <f t="array" ref="H106">INDEX(FLT_Prod_Info,$Z98,H$3)</f>
        <v>0</v>
      </c>
      <c r="I106" cm="1">
        <f t="array" ref="I106">INDEX(FLT_Prod_Info,$Z98,I$3)</f>
        <v>0</v>
      </c>
      <c r="J106" cm="1">
        <f t="array" ref="J106">INDEX(FLT_Prod_Info,$Z98,J$3)</f>
        <v>0</v>
      </c>
      <c r="K106" cm="1">
        <f t="array" ref="K106">INDEX(FLT_Prod_Info,$Z98,K$3)</f>
        <v>0</v>
      </c>
      <c r="L106" cm="1">
        <f t="array" ref="L106">INDEX(FLT_Prod_Info,$Z98,L$3)</f>
        <v>0</v>
      </c>
      <c r="M106" cm="1">
        <f t="array" ref="M106">INDEX(FLT_Prod_Info,$Z98,M$3)</f>
        <v>0</v>
      </c>
      <c r="N106" cm="1">
        <f t="array" ref="N106">INDEX(FLT_Prod_Info,$Z98,N$3)</f>
        <v>0</v>
      </c>
      <c r="O106" cm="1">
        <f t="array" ref="O106">INDEX(FLT_Prod_Info,$Z98,O$3)</f>
        <v>0</v>
      </c>
      <c r="P106">
        <f t="shared" si="112"/>
        <v>102</v>
      </c>
    </row>
    <row r="107" spans="1:26" ht="17.149999999999999" x14ac:dyDescent="0.55000000000000004">
      <c r="C107" t="s">
        <v>1792</v>
      </c>
      <c r="D107" t="e" cm="1">
        <f t="array" ref="D107">INDEX(FLT_Prod_Info,$Z99,D$3)</f>
        <v>#N/A</v>
      </c>
      <c r="E107" t="e" cm="1">
        <f t="array" ref="E107">INDEX(FLT_Prod_Info,$Z99,E$3)</f>
        <v>#N/A</v>
      </c>
      <c r="F107" t="e" cm="1">
        <f t="array" ref="F107">INDEX(FLT_Prod_Info,$Z99,F$3)</f>
        <v>#N/A</v>
      </c>
      <c r="G107" t="e" cm="1">
        <f t="array" ref="G107">INDEX(FLT_Prod_Info,$Z99,G$3)</f>
        <v>#N/A</v>
      </c>
      <c r="H107" t="e" cm="1">
        <f t="array" ref="H107">INDEX(FLT_Prod_Info,$Z99,H$3)</f>
        <v>#N/A</v>
      </c>
      <c r="I107" t="e" cm="1">
        <f t="array" ref="I107">INDEX(FLT_Prod_Info,$Z99,I$3)</f>
        <v>#N/A</v>
      </c>
      <c r="J107" t="e" cm="1">
        <f t="array" ref="J107">INDEX(FLT_Prod_Info,$Z99,J$3)</f>
        <v>#N/A</v>
      </c>
      <c r="K107" t="e" cm="1">
        <f t="array" ref="K107">INDEX(FLT_Prod_Info,$Z99,K$3)</f>
        <v>#N/A</v>
      </c>
      <c r="L107" t="e" cm="1">
        <f t="array" ref="L107">INDEX(FLT_Prod_Info,$Z99,L$3)</f>
        <v>#N/A</v>
      </c>
      <c r="M107" t="e" cm="1">
        <f t="array" ref="M107">INDEX(FLT_Prod_Info,$Z99,M$3)</f>
        <v>#N/A</v>
      </c>
      <c r="N107" t="e" cm="1">
        <f t="array" ref="N107">INDEX(FLT_Prod_Info,$Z99,N$3)</f>
        <v>#N/A</v>
      </c>
      <c r="O107" t="e" cm="1">
        <f t="array" ref="O107">INDEX(FLT_Prod_Info,$Z99,O$3)</f>
        <v>#N/A</v>
      </c>
      <c r="P107">
        <f t="shared" si="112"/>
        <v>103</v>
      </c>
    </row>
    <row r="108" spans="1:26" ht="17.149999999999999" x14ac:dyDescent="0.55000000000000004">
      <c r="C108" t="s">
        <v>1793</v>
      </c>
      <c r="D108" t="str" cm="1">
        <f t="array" ref="D108">INDEX(FLT_Prod_Info,$Z100,D$3)</f>
        <v>N/A</v>
      </c>
      <c r="E108" t="str" cm="1">
        <f t="array" ref="E108">INDEX(FLT_Prod_Info,$Z100,E$3)</f>
        <v>N/A</v>
      </c>
      <c r="F108" t="str" cm="1">
        <f t="array" ref="F108">INDEX(FLT_Prod_Info,$Z100,F$3)</f>
        <v>N/A</v>
      </c>
      <c r="G108" t="str" cm="1">
        <f t="array" ref="G108">INDEX(FLT_Prod_Info,$Z100,G$3)</f>
        <v>N/A</v>
      </c>
      <c r="H108" t="str" cm="1">
        <f t="array" ref="H108">INDEX(FLT_Prod_Info,$Z100,H$3)</f>
        <v>N/A</v>
      </c>
      <c r="I108" t="str" cm="1">
        <f t="array" ref="I108">INDEX(FLT_Prod_Info,$Z100,I$3)</f>
        <v>N/A</v>
      </c>
      <c r="J108" t="str" cm="1">
        <f t="array" ref="J108">INDEX(FLT_Prod_Info,$Z100,J$3)</f>
        <v>N/A</v>
      </c>
      <c r="K108" t="str" cm="1">
        <f t="array" ref="K108">INDEX(FLT_Prod_Info,$Z100,K$3)</f>
        <v>N/A</v>
      </c>
      <c r="L108" t="str" cm="1">
        <f t="array" ref="L108">INDEX(FLT_Prod_Info,$Z100,L$3)</f>
        <v>N/A</v>
      </c>
      <c r="M108" t="str" cm="1">
        <f t="array" ref="M108">INDEX(FLT_Prod_Info,$Z100,M$3)</f>
        <v>N/A</v>
      </c>
      <c r="N108" t="str" cm="1">
        <f t="array" ref="N108">INDEX(FLT_Prod_Info,$Z100,N$3)</f>
        <v>N/A</v>
      </c>
      <c r="O108" t="str" cm="1">
        <f t="array" ref="O108">INDEX(FLT_Prod_Info,$Z100,O$3)</f>
        <v>N/A</v>
      </c>
      <c r="P108">
        <f t="shared" si="112"/>
        <v>104</v>
      </c>
    </row>
    <row r="109" spans="1:26" ht="17.149999999999999" x14ac:dyDescent="0.55000000000000004">
      <c r="C109" t="s">
        <v>1388</v>
      </c>
      <c r="D109">
        <f t="shared" ref="D109:O109" si="113">IFERROR(IF(D99="Chemical",(10^(INDEX(Antoines,MATCH(D98,Antoine_Name,0),2)-INDEX(Antoines,MATCH(D98,Antoine_Name,0),3)/(INDEX(Antoines,MATCH(D98,Antoine_Name,0),4)+(D104-32)*5/9)))*14.7/760,IF(D99="Crude Oil",EXP((2799/(D104+459.6)-2.227)*LOG10(D105)-(7261/(D104+459.6))+12.82),IF(D99="Refined Petroleum Stock",EXP((0.7553-(413/(D104+459.6)))*(D106^0.5)*LOG10(D105)-(1.854-(1042/(D104+459.6)))*(D106^0.5)+((2416/(D104+459.6)-2.013)*LOG10(D105))-(8742/(D104+459.6))+15.64),EXP(INDEX(Antoines,MATCH(D98,Antoine_Name,0),2)-INDEX(Antoines,MATCH(D98,Antoine_Name,0),3)/(D104+459.6))))),0)</f>
        <v>5.8674503530332869</v>
      </c>
      <c r="E109">
        <f t="shared" si="113"/>
        <v>5.9931970589085486</v>
      </c>
      <c r="F109">
        <f t="shared" si="113"/>
        <v>6.1882687819184277</v>
      </c>
      <c r="G109">
        <f t="shared" si="113"/>
        <v>6.527132985382738</v>
      </c>
      <c r="H109">
        <f t="shared" si="113"/>
        <v>7.1034571512682039</v>
      </c>
      <c r="I109">
        <f t="shared" si="113"/>
        <v>7.584032805598131</v>
      </c>
      <c r="J109">
        <f t="shared" si="113"/>
        <v>8.0479410600001788</v>
      </c>
      <c r="K109">
        <f t="shared" si="113"/>
        <v>8.0609630628953592</v>
      </c>
      <c r="L109">
        <f t="shared" si="113"/>
        <v>7.7034671055494872</v>
      </c>
      <c r="M109">
        <f t="shared" si="113"/>
        <v>6.8907310961477055</v>
      </c>
      <c r="N109">
        <f t="shared" si="113"/>
        <v>6.2108964996803664</v>
      </c>
      <c r="O109">
        <f t="shared" si="113"/>
        <v>5.829980285354563</v>
      </c>
      <c r="P109">
        <f t="shared" si="112"/>
        <v>105</v>
      </c>
    </row>
    <row r="110" spans="1:26" ht="17.149999999999999" x14ac:dyDescent="0.55000000000000004">
      <c r="C110" t="s">
        <v>1389</v>
      </c>
      <c r="D110">
        <f t="shared" ref="D110:O110" si="114">D109*D102</f>
        <v>5.8674503530332869</v>
      </c>
      <c r="E110">
        <f t="shared" si="114"/>
        <v>5.9931970589085486</v>
      </c>
      <c r="F110">
        <f t="shared" si="114"/>
        <v>6.1882687819184277</v>
      </c>
      <c r="G110">
        <f t="shared" si="114"/>
        <v>6.527132985382738</v>
      </c>
      <c r="H110">
        <f t="shared" si="114"/>
        <v>7.1034571512682039</v>
      </c>
      <c r="I110">
        <f t="shared" si="114"/>
        <v>7.584032805598131</v>
      </c>
      <c r="J110">
        <f t="shared" si="114"/>
        <v>8.0479410600001788</v>
      </c>
      <c r="K110">
        <f t="shared" si="114"/>
        <v>8.0609630628953592</v>
      </c>
      <c r="L110">
        <f t="shared" si="114"/>
        <v>7.7034671055494872</v>
      </c>
      <c r="M110">
        <f t="shared" si="114"/>
        <v>6.8907310961477055</v>
      </c>
      <c r="N110">
        <f t="shared" si="114"/>
        <v>6.2108964996803664</v>
      </c>
      <c r="O110">
        <f t="shared" si="114"/>
        <v>5.829980285354563</v>
      </c>
      <c r="P110">
        <f t="shared" si="112"/>
        <v>106</v>
      </c>
    </row>
    <row r="111" spans="1:26" ht="17.149999999999999" x14ac:dyDescent="0.55000000000000004">
      <c r="C111" t="s">
        <v>1390</v>
      </c>
      <c r="D111">
        <f t="shared" ref="D111:O111" si="115">IFERROR(IF(D101="Chemical",(10^(INDEX(Antoines,MATCH(D100,Antoine_Name,0),2)-INDEX(Antoines,MATCH(D100,Antoine_Name,0),3)/(INDEX(Antoines,MATCH(D100,Antoine_Name,0),4)+(D104-32)*5/9)))*14.7/760,IF(D101="Crude Oil",EXP((2799/(D104+459.6)-2.227)*LOG10(D107)-(7261/(D104+459.6))+12.82),IF(D101="Refined Petroleum Stock",EXP((0.7553-(413/(D104+459.6)))*(D108^0.5)*LOG10(D107)-(1.854-(1042/(D104+459.6)))*(D108^0.5)+((2416/(D104+459.6)-2.013)*LOG10(D107))-(8742/(D104+459.6))+15.64),EXP(INDEX(Antoines,MATCH(D100,Antoine_Name,0),2)-INDEX(Antoines,MATCH(D100,Antoine_Name,0),3)/(D104+459.6))))),0)</f>
        <v>0</v>
      </c>
      <c r="E111">
        <f t="shared" si="115"/>
        <v>0</v>
      </c>
      <c r="F111">
        <f t="shared" si="115"/>
        <v>0</v>
      </c>
      <c r="G111">
        <f t="shared" si="115"/>
        <v>0</v>
      </c>
      <c r="H111">
        <f t="shared" si="115"/>
        <v>0</v>
      </c>
      <c r="I111">
        <f t="shared" si="115"/>
        <v>0</v>
      </c>
      <c r="J111">
        <f t="shared" si="115"/>
        <v>0</v>
      </c>
      <c r="K111">
        <f t="shared" si="115"/>
        <v>0</v>
      </c>
      <c r="L111">
        <f t="shared" si="115"/>
        <v>0</v>
      </c>
      <c r="M111">
        <f t="shared" si="115"/>
        <v>0</v>
      </c>
      <c r="N111">
        <f t="shared" si="115"/>
        <v>0</v>
      </c>
      <c r="O111">
        <f t="shared" si="115"/>
        <v>0</v>
      </c>
      <c r="P111">
        <f t="shared" si="112"/>
        <v>107</v>
      </c>
    </row>
    <row r="112" spans="1:26" ht="17.149999999999999" x14ac:dyDescent="0.55000000000000004">
      <c r="C112" t="s">
        <v>1391</v>
      </c>
      <c r="D112">
        <f t="shared" ref="D112:O112" si="116">D111*D103</f>
        <v>0</v>
      </c>
      <c r="E112">
        <f t="shared" si="116"/>
        <v>0</v>
      </c>
      <c r="F112">
        <f t="shared" si="116"/>
        <v>0</v>
      </c>
      <c r="G112">
        <f t="shared" si="116"/>
        <v>0</v>
      </c>
      <c r="H112">
        <f t="shared" si="116"/>
        <v>0</v>
      </c>
      <c r="I112">
        <f t="shared" si="116"/>
        <v>0</v>
      </c>
      <c r="J112">
        <f t="shared" si="116"/>
        <v>0</v>
      </c>
      <c r="K112">
        <f t="shared" si="116"/>
        <v>0</v>
      </c>
      <c r="L112">
        <f t="shared" si="116"/>
        <v>0</v>
      </c>
      <c r="M112">
        <f t="shared" si="116"/>
        <v>0</v>
      </c>
      <c r="N112">
        <f t="shared" si="116"/>
        <v>0</v>
      </c>
      <c r="O112">
        <f t="shared" si="116"/>
        <v>0</v>
      </c>
      <c r="P112">
        <f t="shared" si="112"/>
        <v>108</v>
      </c>
    </row>
    <row r="113" spans="1:26" ht="17.149999999999999" x14ac:dyDescent="0.55000000000000004">
      <c r="C113" t="s">
        <v>1392</v>
      </c>
      <c r="D113">
        <f>IF(D98="Out of Service",0,D110+D112)</f>
        <v>5.8674503530332869</v>
      </c>
      <c r="E113">
        <f t="shared" ref="E113" si="117">IF(E98="Out of Service",0,E110+E112)</f>
        <v>5.9931970589085486</v>
      </c>
      <c r="F113">
        <f t="shared" ref="F113" si="118">IF(F98="Out of Service",0,F110+F112)</f>
        <v>6.1882687819184277</v>
      </c>
      <c r="G113">
        <f t="shared" ref="G113" si="119">IF(G98="Out of Service",0,G110+G112)</f>
        <v>6.527132985382738</v>
      </c>
      <c r="H113">
        <f t="shared" ref="H113" si="120">IF(H98="Out of Service",0,H110+H112)</f>
        <v>7.1034571512682039</v>
      </c>
      <c r="I113">
        <f t="shared" ref="I113" si="121">IF(I98="Out of Service",0,I110+I112)</f>
        <v>7.584032805598131</v>
      </c>
      <c r="J113">
        <f t="shared" ref="J113" si="122">IF(J98="Out of Service",0,J110+J112)</f>
        <v>8.0479410600001788</v>
      </c>
      <c r="K113">
        <f t="shared" ref="K113" si="123">IF(K98="Out of Service",0,K110+K112)</f>
        <v>8.0609630628953592</v>
      </c>
      <c r="L113">
        <f t="shared" ref="L113" si="124">IF(L98="Out of Service",0,L110+L112)</f>
        <v>7.7034671055494872</v>
      </c>
      <c r="M113">
        <f t="shared" ref="M113" si="125">IF(M98="Out of Service",0,M110+M112)</f>
        <v>6.8907310961477055</v>
      </c>
      <c r="N113">
        <f t="shared" ref="N113" si="126">IF(N98="Out of Service",0,N110+N112)</f>
        <v>6.2108964996803664</v>
      </c>
      <c r="O113">
        <f t="shared" ref="O113" si="127">IF(O98="Out of Service",0,O110+O112)</f>
        <v>5.829980285354563</v>
      </c>
      <c r="P113">
        <f t="shared" si="112"/>
        <v>109</v>
      </c>
    </row>
    <row r="114" spans="1:26" x14ac:dyDescent="0.4">
      <c r="C114" t="s">
        <v>1513</v>
      </c>
      <c r="D114">
        <f t="shared" ref="D114:O114" si="128">(D113/D97)/(1+(SQRT(1-D113/D97))^2)</f>
        <v>0.24933338890414655</v>
      </c>
      <c r="E114">
        <f t="shared" si="128"/>
        <v>0.25604509398365055</v>
      </c>
      <c r="F114">
        <f t="shared" si="128"/>
        <v>0.26660091501912037</v>
      </c>
      <c r="G114">
        <f t="shared" si="128"/>
        <v>0.28536575590683372</v>
      </c>
      <c r="H114">
        <f t="shared" si="128"/>
        <v>0.3185900701943235</v>
      </c>
      <c r="I114">
        <f t="shared" si="128"/>
        <v>0.34763678997208286</v>
      </c>
      <c r="J114">
        <f t="shared" si="128"/>
        <v>0.37691639399344251</v>
      </c>
      <c r="K114">
        <f t="shared" si="128"/>
        <v>0.37775664790564356</v>
      </c>
      <c r="L114">
        <f t="shared" si="128"/>
        <v>0.35505521287780784</v>
      </c>
      <c r="M114">
        <f t="shared" si="128"/>
        <v>0.30612860531282776</v>
      </c>
      <c r="N114">
        <f t="shared" si="128"/>
        <v>0.26783685275261965</v>
      </c>
      <c r="O114">
        <f t="shared" si="128"/>
        <v>0.24734728082268231</v>
      </c>
      <c r="P114">
        <f t="shared" si="112"/>
        <v>110</v>
      </c>
    </row>
    <row r="115" spans="1:26" ht="17.149999999999999" x14ac:dyDescent="0.55000000000000004">
      <c r="C115" t="s">
        <v>584</v>
      </c>
      <c r="D115">
        <f t="shared" ref="D115:H115" si="129">IFERROR(D110/D113,1)</f>
        <v>1</v>
      </c>
      <c r="E115">
        <f t="shared" si="129"/>
        <v>1</v>
      </c>
      <c r="F115">
        <f t="shared" si="129"/>
        <v>1</v>
      </c>
      <c r="G115">
        <f t="shared" si="129"/>
        <v>1</v>
      </c>
      <c r="H115">
        <f t="shared" si="129"/>
        <v>1</v>
      </c>
      <c r="I115">
        <f>IFERROR(I110/I113,1)</f>
        <v>1</v>
      </c>
      <c r="J115">
        <f t="shared" ref="J115:O115" si="130">IFERROR(J110/J113,1)</f>
        <v>1</v>
      </c>
      <c r="K115">
        <f t="shared" si="130"/>
        <v>1</v>
      </c>
      <c r="L115">
        <f t="shared" si="130"/>
        <v>1</v>
      </c>
      <c r="M115">
        <f t="shared" si="130"/>
        <v>1</v>
      </c>
      <c r="N115">
        <f t="shared" si="130"/>
        <v>1</v>
      </c>
      <c r="O115">
        <f t="shared" si="130"/>
        <v>1</v>
      </c>
      <c r="P115">
        <f t="shared" si="112"/>
        <v>111</v>
      </c>
    </row>
    <row r="116" spans="1:26" ht="17.149999999999999" x14ac:dyDescent="0.55000000000000004">
      <c r="C116" t="s">
        <v>585</v>
      </c>
      <c r="D116">
        <f t="shared" ref="D116:O116" si="131">INDEX(Phys_Prop,MATCH(D98,Chem_List,0),3)</f>
        <v>61.103726164670178</v>
      </c>
      <c r="E116">
        <f t="shared" si="131"/>
        <v>61.103726164670178</v>
      </c>
      <c r="F116">
        <f t="shared" si="131"/>
        <v>61.103726164670178</v>
      </c>
      <c r="G116">
        <f t="shared" si="131"/>
        <v>61.103726164670178</v>
      </c>
      <c r="H116">
        <f t="shared" si="131"/>
        <v>61.103726164670178</v>
      </c>
      <c r="I116">
        <f t="shared" si="131"/>
        <v>61.103726164670178</v>
      </c>
      <c r="J116">
        <f t="shared" si="131"/>
        <v>61.103726164670178</v>
      </c>
      <c r="K116">
        <f t="shared" si="131"/>
        <v>61.103726164670178</v>
      </c>
      <c r="L116">
        <f t="shared" si="131"/>
        <v>61.103726164670178</v>
      </c>
      <c r="M116">
        <f t="shared" si="131"/>
        <v>61.103726164670178</v>
      </c>
      <c r="N116">
        <f t="shared" si="131"/>
        <v>61.103726164670178</v>
      </c>
      <c r="O116">
        <f t="shared" si="131"/>
        <v>61.103726164670178</v>
      </c>
      <c r="P116">
        <f t="shared" si="112"/>
        <v>112</v>
      </c>
    </row>
    <row r="117" spans="1:26" ht="17.149999999999999" x14ac:dyDescent="0.55000000000000004">
      <c r="C117" t="s">
        <v>586</v>
      </c>
      <c r="D117">
        <f>D112/D113</f>
        <v>0</v>
      </c>
      <c r="E117">
        <f t="shared" ref="E117:O117" si="132">E112/E113</f>
        <v>0</v>
      </c>
      <c r="F117">
        <f t="shared" si="132"/>
        <v>0</v>
      </c>
      <c r="G117">
        <f t="shared" si="132"/>
        <v>0</v>
      </c>
      <c r="H117">
        <f t="shared" si="132"/>
        <v>0</v>
      </c>
      <c r="I117">
        <f t="shared" si="132"/>
        <v>0</v>
      </c>
      <c r="J117">
        <f t="shared" si="132"/>
        <v>0</v>
      </c>
      <c r="K117">
        <f t="shared" si="132"/>
        <v>0</v>
      </c>
      <c r="L117">
        <f t="shared" si="132"/>
        <v>0</v>
      </c>
      <c r="M117">
        <f t="shared" si="132"/>
        <v>0</v>
      </c>
      <c r="N117">
        <f t="shared" si="132"/>
        <v>0</v>
      </c>
      <c r="O117">
        <f t="shared" si="132"/>
        <v>0</v>
      </c>
      <c r="P117">
        <f t="shared" si="112"/>
        <v>113</v>
      </c>
    </row>
    <row r="118" spans="1:26" ht="17.149999999999999" x14ac:dyDescent="0.55000000000000004">
      <c r="C118" t="s">
        <v>587</v>
      </c>
      <c r="D118">
        <f t="shared" ref="D118:O118" si="133">IFERROR(INDEX(Phys_Prop,MATCH(D100,Chem_List,0),3),0)</f>
        <v>0</v>
      </c>
      <c r="E118">
        <f t="shared" si="133"/>
        <v>0</v>
      </c>
      <c r="F118">
        <f t="shared" si="133"/>
        <v>0</v>
      </c>
      <c r="G118">
        <f t="shared" si="133"/>
        <v>0</v>
      </c>
      <c r="H118">
        <f t="shared" si="133"/>
        <v>0</v>
      </c>
      <c r="I118">
        <f t="shared" si="133"/>
        <v>0</v>
      </c>
      <c r="J118">
        <f t="shared" si="133"/>
        <v>0</v>
      </c>
      <c r="K118">
        <f t="shared" si="133"/>
        <v>0</v>
      </c>
      <c r="L118">
        <f t="shared" si="133"/>
        <v>0</v>
      </c>
      <c r="M118">
        <f t="shared" si="133"/>
        <v>0</v>
      </c>
      <c r="N118">
        <f t="shared" si="133"/>
        <v>0</v>
      </c>
      <c r="O118">
        <f t="shared" si="133"/>
        <v>0</v>
      </c>
      <c r="P118">
        <f t="shared" si="112"/>
        <v>114</v>
      </c>
    </row>
    <row r="119" spans="1:26" ht="17.149999999999999" x14ac:dyDescent="0.55000000000000004">
      <c r="A119" s="11"/>
      <c r="B119" s="11"/>
      <c r="C119" s="11" t="s">
        <v>588</v>
      </c>
      <c r="D119" s="11">
        <f>IFERROR(D115*D116+D117*D118,0)</f>
        <v>61.103726164670178</v>
      </c>
      <c r="E119" s="11">
        <f t="shared" ref="E119" si="134">IFERROR(E115*E116+E117*E118,0)</f>
        <v>61.103726164670178</v>
      </c>
      <c r="F119" s="11">
        <f t="shared" ref="F119" si="135">IFERROR(F115*F116+F117*F118,0)</f>
        <v>61.103726164670178</v>
      </c>
      <c r="G119" s="11">
        <f t="shared" ref="G119" si="136">IFERROR(G115*G116+G117*G118,0)</f>
        <v>61.103726164670178</v>
      </c>
      <c r="H119" s="11">
        <f t="shared" ref="H119" si="137">IFERROR(H115*H116+H117*H118,0)</f>
        <v>61.103726164670178</v>
      </c>
      <c r="I119" s="11">
        <f t="shared" ref="I119" si="138">IFERROR(I115*I116+I117*I118,0)</f>
        <v>61.103726164670178</v>
      </c>
      <c r="J119" s="11">
        <f t="shared" ref="J119" si="139">IFERROR(J115*J116+J117*J118,0)</f>
        <v>61.103726164670178</v>
      </c>
      <c r="K119" s="11">
        <f t="shared" ref="K119" si="140">IFERROR(K115*K116+K117*K118,0)</f>
        <v>61.103726164670178</v>
      </c>
      <c r="L119" s="11">
        <f t="shared" ref="L119" si="141">IFERROR(L115*L116+L117*L118,0)</f>
        <v>61.103726164670178</v>
      </c>
      <c r="M119" s="11">
        <f t="shared" ref="M119" si="142">IFERROR(M115*M116+M117*M118,0)</f>
        <v>61.103726164670178</v>
      </c>
      <c r="N119" s="11">
        <f t="shared" ref="N119" si="143">IFERROR(N115*N116+N117*N118,0)</f>
        <v>61.103726164670178</v>
      </c>
      <c r="O119" s="11">
        <f t="shared" ref="O119" si="144">IFERROR(O115*O116+O117*O118,0)</f>
        <v>61.103726164670178</v>
      </c>
      <c r="P119" s="11">
        <f t="shared" si="112"/>
        <v>115</v>
      </c>
      <c r="Q119" s="11"/>
      <c r="R119" s="11"/>
      <c r="S119" s="11"/>
      <c r="T119" s="11"/>
      <c r="U119" s="11"/>
      <c r="V119" s="11"/>
      <c r="W119" s="11"/>
      <c r="X119" s="11"/>
      <c r="Y119" s="11"/>
    </row>
    <row r="120" spans="1:26" ht="17.149999999999999" x14ac:dyDescent="0.55000000000000004">
      <c r="A120" t="str" cm="1">
        <f t="array" ref="A120">INDEX(FLT_Cons,$R120,T$5)</f>
        <v>FLT - 6</v>
      </c>
      <c r="B120" t="str" cm="1">
        <f t="array" ref="B120">INDEX(FLT_Cons,$R120,T$6)</f>
        <v>Portland</v>
      </c>
      <c r="C120" t="s">
        <v>563</v>
      </c>
      <c r="D120">
        <v>14.7</v>
      </c>
      <c r="E120">
        <v>14.7</v>
      </c>
      <c r="F120">
        <v>14.7</v>
      </c>
      <c r="G120">
        <v>14.7</v>
      </c>
      <c r="H120">
        <v>14.7</v>
      </c>
      <c r="I120">
        <v>14.7</v>
      </c>
      <c r="J120">
        <v>14.7</v>
      </c>
      <c r="K120">
        <v>14.7</v>
      </c>
      <c r="L120">
        <v>14.7</v>
      </c>
      <c r="M120">
        <v>14.7</v>
      </c>
      <c r="N120">
        <v>14.7</v>
      </c>
      <c r="O120">
        <v>14.7</v>
      </c>
      <c r="P120">
        <f>P119+1</f>
        <v>116</v>
      </c>
      <c r="R120">
        <f>R97+1</f>
        <v>6</v>
      </c>
      <c r="S120" t="s">
        <v>237</v>
      </c>
      <c r="T120">
        <v>1</v>
      </c>
      <c r="W120" t="s">
        <v>1516</v>
      </c>
      <c r="X120">
        <f>X97+12</f>
        <v>66</v>
      </c>
      <c r="Y120" t="s">
        <v>1787</v>
      </c>
      <c r="Z120">
        <f>Z97+12</f>
        <v>63</v>
      </c>
    </row>
    <row r="121" spans="1:26" x14ac:dyDescent="0.4">
      <c r="C121" s="66" t="s">
        <v>567</v>
      </c>
      <c r="D121" t="str" cm="1">
        <f t="array" ref="D121">INDEX(Flt_Multi,$V121,D$3)</f>
        <v>Av-Gas</v>
      </c>
      <c r="E121" t="str" cm="1">
        <f t="array" ref="E121">INDEX(Flt_Multi,$V121,E$3)</f>
        <v>Av-Gas</v>
      </c>
      <c r="F121" t="str" cm="1">
        <f t="array" ref="F121">INDEX(Flt_Multi,$V121,F$3)</f>
        <v>Av-Gas</v>
      </c>
      <c r="G121" t="str" cm="1">
        <f t="array" ref="G121">INDEX(Flt_Multi,$V121,G$3)</f>
        <v>Av-Gas</v>
      </c>
      <c r="H121" t="str" cm="1">
        <f t="array" ref="H121">INDEX(Flt_Multi,$V121,H$3)</f>
        <v>Av-Gas</v>
      </c>
      <c r="I121" t="str" cm="1">
        <f t="array" ref="I121">INDEX(Flt_Multi,$V121,I$3)</f>
        <v>Av-Gas</v>
      </c>
      <c r="J121" t="str" cm="1">
        <f t="array" ref="J121">INDEX(Flt_Multi,$V121,J$3)</f>
        <v>Av-Gas</v>
      </c>
      <c r="K121" t="str" cm="1">
        <f t="array" ref="K121">INDEX(Flt_Multi,$V121,K$3)</f>
        <v>Av-Gas</v>
      </c>
      <c r="L121" t="str" cm="1">
        <f t="array" ref="L121">INDEX(Flt_Multi,$V121,L$3)</f>
        <v>Av-Gas</v>
      </c>
      <c r="M121" t="str" cm="1">
        <f t="array" ref="M121">INDEX(Flt_Multi,$V121,M$3)</f>
        <v>Av-Gas</v>
      </c>
      <c r="N121" t="str" cm="1">
        <f t="array" ref="N121">INDEX(Flt_Multi,$V121,N$3)</f>
        <v>Av-Gas</v>
      </c>
      <c r="O121" t="str" cm="1">
        <f t="array" ref="O121">INDEX(Flt_Multi,$V121,O$3)</f>
        <v>Av-Gas</v>
      </c>
      <c r="P121">
        <f>P120+1</f>
        <v>117</v>
      </c>
      <c r="S121" t="s">
        <v>549</v>
      </c>
      <c r="T121">
        <v>3</v>
      </c>
      <c r="U121" s="66" t="s">
        <v>567</v>
      </c>
      <c r="V121">
        <f>V98+14</f>
        <v>71</v>
      </c>
      <c r="Y121" t="s">
        <v>1786</v>
      </c>
      <c r="Z121">
        <f>Z120+1</f>
        <v>64</v>
      </c>
    </row>
    <row r="122" spans="1:26" x14ac:dyDescent="0.4">
      <c r="C122" s="66" t="s">
        <v>566</v>
      </c>
      <c r="D122" t="str" cm="1">
        <f t="array" ref="D122">INDEX(Flt_Multi,$V122,D$3)</f>
        <v>Refined Petroleum Stock</v>
      </c>
      <c r="E122" t="str" cm="1">
        <f t="array" ref="E122">INDEX(Flt_Multi,$V122,E$3)</f>
        <v>Refined Petroleum Stock</v>
      </c>
      <c r="F122" t="str" cm="1">
        <f t="array" ref="F122">INDEX(Flt_Multi,$V122,F$3)</f>
        <v>Refined Petroleum Stock</v>
      </c>
      <c r="G122" t="str" cm="1">
        <f t="array" ref="G122">INDEX(Flt_Multi,$V122,G$3)</f>
        <v>Refined Petroleum Stock</v>
      </c>
      <c r="H122" t="str" cm="1">
        <f t="array" ref="H122">INDEX(Flt_Multi,$V122,H$3)</f>
        <v>Refined Petroleum Stock</v>
      </c>
      <c r="I122" t="str" cm="1">
        <f t="array" ref="I122">INDEX(Flt_Multi,$V122,I$3)</f>
        <v>Refined Petroleum Stock</v>
      </c>
      <c r="J122" t="str" cm="1">
        <f t="array" ref="J122">INDEX(Flt_Multi,$V122,J$3)</f>
        <v>Refined Petroleum Stock</v>
      </c>
      <c r="K122" t="str" cm="1">
        <f t="array" ref="K122">INDEX(Flt_Multi,$V122,K$3)</f>
        <v>Refined Petroleum Stock</v>
      </c>
      <c r="L122" t="str" cm="1">
        <f t="array" ref="L122">INDEX(Flt_Multi,$V122,L$3)</f>
        <v>Refined Petroleum Stock</v>
      </c>
      <c r="M122" t="str" cm="1">
        <f t="array" ref="M122">INDEX(Flt_Multi,$V122,M$3)</f>
        <v>Refined Petroleum Stock</v>
      </c>
      <c r="N122" t="str" cm="1">
        <f t="array" ref="N122">INDEX(Flt_Multi,$V122,N$3)</f>
        <v>Refined Petroleum Stock</v>
      </c>
      <c r="O122" t="str" cm="1">
        <f t="array" ref="O122">INDEX(Flt_Multi,$V122,O$3)</f>
        <v>Refined Petroleum Stock</v>
      </c>
      <c r="P122">
        <f t="shared" ref="P122:P142" si="145">P121+1</f>
        <v>118</v>
      </c>
      <c r="U122" s="66" t="s">
        <v>566</v>
      </c>
      <c r="V122">
        <f>V121+2</f>
        <v>73</v>
      </c>
      <c r="Y122" t="s">
        <v>1788</v>
      </c>
      <c r="Z122">
        <f>Z120+5</f>
        <v>68</v>
      </c>
    </row>
    <row r="123" spans="1:26" x14ac:dyDescent="0.4">
      <c r="C123" s="66" t="s">
        <v>568</v>
      </c>
      <c r="D123" t="str" cm="1">
        <f t="array" ref="D123">INDEX(Flt_Multi,$V123,D$3)</f>
        <v/>
      </c>
      <c r="E123" t="str" cm="1">
        <f t="array" ref="E123">INDEX(Flt_Multi,$V123,E$3)</f>
        <v/>
      </c>
      <c r="F123" t="str" cm="1">
        <f t="array" ref="F123">INDEX(Flt_Multi,$V123,F$3)</f>
        <v/>
      </c>
      <c r="G123" t="str" cm="1">
        <f t="array" ref="G123">INDEX(Flt_Multi,$V123,G$3)</f>
        <v/>
      </c>
      <c r="H123" t="str" cm="1">
        <f t="array" ref="H123">INDEX(Flt_Multi,$V123,H$3)</f>
        <v/>
      </c>
      <c r="I123" t="str" cm="1">
        <f t="array" ref="I123">INDEX(Flt_Multi,$V123,I$3)</f>
        <v/>
      </c>
      <c r="J123" t="str" cm="1">
        <f t="array" ref="J123">INDEX(Flt_Multi,$V123,J$3)</f>
        <v/>
      </c>
      <c r="K123" t="str" cm="1">
        <f t="array" ref="K123">INDEX(Flt_Multi,$V123,K$3)</f>
        <v/>
      </c>
      <c r="L123" t="str" cm="1">
        <f t="array" ref="L123">INDEX(Flt_Multi,$V123,L$3)</f>
        <v/>
      </c>
      <c r="M123" t="str" cm="1">
        <f t="array" ref="M123">INDEX(Flt_Multi,$V123,M$3)</f>
        <v/>
      </c>
      <c r="N123" t="str" cm="1">
        <f t="array" ref="N123">INDEX(Flt_Multi,$V123,N$3)</f>
        <v/>
      </c>
      <c r="O123" t="str" cm="1">
        <f t="array" ref="O123">INDEX(Flt_Multi,$V123,O$3)</f>
        <v/>
      </c>
      <c r="P123">
        <f t="shared" si="145"/>
        <v>119</v>
      </c>
      <c r="U123" s="66" t="s">
        <v>568</v>
      </c>
      <c r="V123">
        <f>V121+1</f>
        <v>72</v>
      </c>
      <c r="Y123" t="s">
        <v>1789</v>
      </c>
      <c r="Z123">
        <f>Z122+1</f>
        <v>69</v>
      </c>
    </row>
    <row r="124" spans="1:26" x14ac:dyDescent="0.4">
      <c r="C124" s="66" t="s">
        <v>569</v>
      </c>
      <c r="D124" t="e" cm="1">
        <f t="array" ref="D124">INDEX(Flt_Multi,$V124,D$3)</f>
        <v>#N/A</v>
      </c>
      <c r="E124" t="e" cm="1">
        <f t="array" ref="E124">INDEX(Flt_Multi,$V124,E$3)</f>
        <v>#N/A</v>
      </c>
      <c r="F124" t="e" cm="1">
        <f t="array" ref="F124">INDEX(Flt_Multi,$V124,F$3)</f>
        <v>#N/A</v>
      </c>
      <c r="G124" t="e" cm="1">
        <f t="array" ref="G124">INDEX(Flt_Multi,$V124,G$3)</f>
        <v>#N/A</v>
      </c>
      <c r="H124" t="e" cm="1">
        <f t="array" ref="H124">INDEX(Flt_Multi,$V124,H$3)</f>
        <v>#N/A</v>
      </c>
      <c r="I124" t="e" cm="1">
        <f t="array" ref="I124">INDEX(Flt_Multi,$V124,I$3)</f>
        <v>#N/A</v>
      </c>
      <c r="J124" t="e" cm="1">
        <f t="array" ref="J124">INDEX(Flt_Multi,$V124,J$3)</f>
        <v>#N/A</v>
      </c>
      <c r="K124" t="e" cm="1">
        <f t="array" ref="K124">INDEX(Flt_Multi,$V124,K$3)</f>
        <v>#N/A</v>
      </c>
      <c r="L124" t="e" cm="1">
        <f t="array" ref="L124">INDEX(Flt_Multi,$V124,L$3)</f>
        <v>#N/A</v>
      </c>
      <c r="M124" t="e" cm="1">
        <f t="array" ref="M124">INDEX(Flt_Multi,$V124,M$3)</f>
        <v>#N/A</v>
      </c>
      <c r="N124" t="e" cm="1">
        <f t="array" ref="N124">INDEX(Flt_Multi,$V124,N$3)</f>
        <v>#N/A</v>
      </c>
      <c r="O124" t="e" cm="1">
        <f t="array" ref="O124">INDEX(Flt_Multi,$V124,O$3)</f>
        <v>#N/A</v>
      </c>
      <c r="P124">
        <f t="shared" si="145"/>
        <v>120</v>
      </c>
      <c r="U124" s="66" t="s">
        <v>569</v>
      </c>
      <c r="V124">
        <f>V123+2</f>
        <v>74</v>
      </c>
    </row>
    <row r="125" spans="1:26" ht="17.149999999999999" x14ac:dyDescent="0.55000000000000004">
      <c r="C125" t="s">
        <v>570</v>
      </c>
      <c r="D125" cm="1">
        <f t="array" ref="D125">INDEX(Flt_Multi,$V125,D$3)</f>
        <v>1</v>
      </c>
      <c r="E125" cm="1">
        <f t="array" ref="E125">INDEX(Flt_Multi,$V125,E$3)</f>
        <v>1</v>
      </c>
      <c r="F125" cm="1">
        <f t="array" ref="F125">INDEX(Flt_Multi,$V125,F$3)</f>
        <v>1</v>
      </c>
      <c r="G125" cm="1">
        <f t="array" ref="G125">INDEX(Flt_Multi,$V125,G$3)</f>
        <v>1</v>
      </c>
      <c r="H125" cm="1">
        <f t="array" ref="H125">INDEX(Flt_Multi,$V125,H$3)</f>
        <v>1</v>
      </c>
      <c r="I125" cm="1">
        <f t="array" ref="I125">INDEX(Flt_Multi,$V125,I$3)</f>
        <v>1</v>
      </c>
      <c r="J125" cm="1">
        <f t="array" ref="J125">INDEX(Flt_Multi,$V125,J$3)</f>
        <v>1</v>
      </c>
      <c r="K125" cm="1">
        <f t="array" ref="K125">INDEX(Flt_Multi,$V125,K$3)</f>
        <v>1</v>
      </c>
      <c r="L125" cm="1">
        <f t="array" ref="L125">INDEX(Flt_Multi,$V125,L$3)</f>
        <v>1</v>
      </c>
      <c r="M125" cm="1">
        <f t="array" ref="M125">INDEX(Flt_Multi,$V125,M$3)</f>
        <v>1</v>
      </c>
      <c r="N125" cm="1">
        <f t="array" ref="N125">INDEX(Flt_Multi,$V125,N$3)</f>
        <v>1</v>
      </c>
      <c r="O125" cm="1">
        <f t="array" ref="O125">INDEX(Flt_Multi,$V125,O$3)</f>
        <v>1</v>
      </c>
      <c r="P125">
        <f t="shared" si="145"/>
        <v>121</v>
      </c>
      <c r="U125" t="s">
        <v>570</v>
      </c>
      <c r="V125">
        <f>V121+9</f>
        <v>80</v>
      </c>
    </row>
    <row r="126" spans="1:26" ht="17.149999999999999" x14ac:dyDescent="0.55000000000000004">
      <c r="C126" t="s">
        <v>572</v>
      </c>
      <c r="D126" cm="1">
        <f t="array" ref="D126">INDEX(Flt_Multi,$V126,D$3)</f>
        <v>0</v>
      </c>
      <c r="E126" cm="1">
        <f t="array" ref="E126">INDEX(Flt_Multi,$V126,E$3)</f>
        <v>0</v>
      </c>
      <c r="F126" cm="1">
        <f t="array" ref="F126">INDEX(Flt_Multi,$V126,F$3)</f>
        <v>0</v>
      </c>
      <c r="G126" cm="1">
        <f t="array" ref="G126">INDEX(Flt_Multi,$V126,G$3)</f>
        <v>0</v>
      </c>
      <c r="H126" cm="1">
        <f t="array" ref="H126">INDEX(Flt_Multi,$V126,H$3)</f>
        <v>0</v>
      </c>
      <c r="I126" cm="1">
        <f t="array" ref="I126">INDEX(Flt_Multi,$V126,I$3)</f>
        <v>0</v>
      </c>
      <c r="J126" cm="1">
        <f t="array" ref="J126">INDEX(Flt_Multi,$V126,J$3)</f>
        <v>0</v>
      </c>
      <c r="K126" cm="1">
        <f t="array" ref="K126">INDEX(Flt_Multi,$V126,K$3)</f>
        <v>0</v>
      </c>
      <c r="L126" cm="1">
        <f t="array" ref="L126">INDEX(Flt_Multi,$V126,L$3)</f>
        <v>0</v>
      </c>
      <c r="M126" cm="1">
        <f t="array" ref="M126">INDEX(Flt_Multi,$V126,M$3)</f>
        <v>0</v>
      </c>
      <c r="N126" cm="1">
        <f t="array" ref="N126">INDEX(Flt_Multi,$V126,N$3)</f>
        <v>0</v>
      </c>
      <c r="O126" cm="1">
        <f t="array" ref="O126">INDEX(Flt_Multi,$V126,O$3)</f>
        <v>0</v>
      </c>
      <c r="P126">
        <f t="shared" si="145"/>
        <v>122</v>
      </c>
      <c r="U126" t="s">
        <v>572</v>
      </c>
      <c r="V126">
        <f>V123+9</f>
        <v>81</v>
      </c>
    </row>
    <row r="127" spans="1:26" ht="17.149999999999999" x14ac:dyDescent="0.55000000000000004">
      <c r="C127" t="s">
        <v>552</v>
      </c>
      <c r="D127" cm="1">
        <f t="array" ref="D127">INDEX(Flt_Temps,$X120,D$3)-459.6</f>
        <v>44.431731569559929</v>
      </c>
      <c r="E127" cm="1">
        <f t="array" ref="E127">INDEX(Flt_Temps,$X120,E$3)-459.6</f>
        <v>45.630142687276987</v>
      </c>
      <c r="F127" cm="1">
        <f t="array" ref="F127">INDEX(Flt_Temps,$X120,F$3)-459.6</f>
        <v>47.459558561236634</v>
      </c>
      <c r="G127" cm="1">
        <f t="array" ref="G127">INDEX(Flt_Temps,$X120,G$3)-459.6</f>
        <v>50.540897740784771</v>
      </c>
      <c r="H127" cm="1">
        <f t="array" ref="H127">INDEX(Flt_Temps,$X120,H$3)-459.6</f>
        <v>55.532715517241286</v>
      </c>
      <c r="I127" cm="1">
        <f t="array" ref="I127">INDEX(Flt_Temps,$X120,I$3)-459.6</f>
        <v>59.472236920332989</v>
      </c>
      <c r="J127" cm="1">
        <f t="array" ref="J127">INDEX(Flt_Temps,$X120,J$3)-459.6</f>
        <v>63.097806183115267</v>
      </c>
      <c r="K127" cm="1">
        <f t="array" ref="K127">INDEX(Flt_Temps,$X120,K$3)-459.6</f>
        <v>63.212954815695639</v>
      </c>
      <c r="L127" cm="1">
        <f t="array" ref="L127">INDEX(Flt_Temps,$X120,L$3)-459.6</f>
        <v>60.454084423305744</v>
      </c>
      <c r="M127" cm="1">
        <f t="array" ref="M127">INDEX(Flt_Temps,$X120,M$3)-459.6</f>
        <v>53.778573127229265</v>
      </c>
      <c r="N127" cm="1">
        <f t="array" ref="N127">INDEX(Flt_Temps,$X120,N$3)-459.6</f>
        <v>47.706142984542169</v>
      </c>
      <c r="O127" cm="1">
        <f t="array" ref="O127">INDEX(Flt_Temps,$X120,O$3)-459.6</f>
        <v>44.068171819262659</v>
      </c>
      <c r="P127">
        <f t="shared" si="145"/>
        <v>123</v>
      </c>
    </row>
    <row r="128" spans="1:26" ht="17.149999999999999" x14ac:dyDescent="0.55000000000000004">
      <c r="C128" t="s">
        <v>1790</v>
      </c>
      <c r="D128" cm="1">
        <f t="array" ref="D128">INDEX(FLT_Prod_Info,$Z120,D$3)</f>
        <v>6.3</v>
      </c>
      <c r="E128" cm="1">
        <f t="array" ref="E128">INDEX(FLT_Prod_Info,$Z120,E$3)</f>
        <v>6.3</v>
      </c>
      <c r="F128" cm="1">
        <f t="array" ref="F128">INDEX(FLT_Prod_Info,$Z120,F$3)</f>
        <v>6.3</v>
      </c>
      <c r="G128" cm="1">
        <f t="array" ref="G128">INDEX(FLT_Prod_Info,$Z120,G$3)</f>
        <v>6.3</v>
      </c>
      <c r="H128" cm="1">
        <f t="array" ref="H128">INDEX(FLT_Prod_Info,$Z120,H$3)</f>
        <v>6.3</v>
      </c>
      <c r="I128" cm="1">
        <f t="array" ref="I128">INDEX(FLT_Prod_Info,$Z120,I$3)</f>
        <v>6.3</v>
      </c>
      <c r="J128" cm="1">
        <f t="array" ref="J128">INDEX(FLT_Prod_Info,$Z120,J$3)</f>
        <v>6.3</v>
      </c>
      <c r="K128" cm="1">
        <f t="array" ref="K128">INDEX(FLT_Prod_Info,$Z120,K$3)</f>
        <v>6.3</v>
      </c>
      <c r="L128" cm="1">
        <f t="array" ref="L128">INDEX(FLT_Prod_Info,$Z120,L$3)</f>
        <v>6.3</v>
      </c>
      <c r="M128" cm="1">
        <f t="array" ref="M128">INDEX(FLT_Prod_Info,$Z120,M$3)</f>
        <v>6.3</v>
      </c>
      <c r="N128" cm="1">
        <f t="array" ref="N128">INDEX(FLT_Prod_Info,$Z120,N$3)</f>
        <v>6.3</v>
      </c>
      <c r="O128" cm="1">
        <f t="array" ref="O128">INDEX(FLT_Prod_Info,$Z120,O$3)</f>
        <v>6.3</v>
      </c>
      <c r="P128">
        <f t="shared" si="145"/>
        <v>124</v>
      </c>
    </row>
    <row r="129" spans="1:26" ht="17.149999999999999" x14ac:dyDescent="0.55000000000000004">
      <c r="C129" t="s">
        <v>1791</v>
      </c>
      <c r="D129" cm="1">
        <f t="array" ref="D129">INDEX(FLT_Prod_Info,$Z121,D$3)</f>
        <v>2</v>
      </c>
      <c r="E129" cm="1">
        <f t="array" ref="E129">INDEX(FLT_Prod_Info,$Z121,E$3)</f>
        <v>2</v>
      </c>
      <c r="F129" cm="1">
        <f t="array" ref="F129">INDEX(FLT_Prod_Info,$Z121,F$3)</f>
        <v>2</v>
      </c>
      <c r="G129" cm="1">
        <f t="array" ref="G129">INDEX(FLT_Prod_Info,$Z121,G$3)</f>
        <v>2</v>
      </c>
      <c r="H129" cm="1">
        <f t="array" ref="H129">INDEX(FLT_Prod_Info,$Z121,H$3)</f>
        <v>2</v>
      </c>
      <c r="I129" cm="1">
        <f t="array" ref="I129">INDEX(FLT_Prod_Info,$Z121,I$3)</f>
        <v>2</v>
      </c>
      <c r="J129" cm="1">
        <f t="array" ref="J129">INDEX(FLT_Prod_Info,$Z121,J$3)</f>
        <v>2</v>
      </c>
      <c r="K129" cm="1">
        <f t="array" ref="K129">INDEX(FLT_Prod_Info,$Z121,K$3)</f>
        <v>2</v>
      </c>
      <c r="L129" cm="1">
        <f t="array" ref="L129">INDEX(FLT_Prod_Info,$Z121,L$3)</f>
        <v>2</v>
      </c>
      <c r="M129" cm="1">
        <f t="array" ref="M129">INDEX(FLT_Prod_Info,$Z121,M$3)</f>
        <v>2</v>
      </c>
      <c r="N129" cm="1">
        <f t="array" ref="N129">INDEX(FLT_Prod_Info,$Z121,N$3)</f>
        <v>2</v>
      </c>
      <c r="O129" cm="1">
        <f t="array" ref="O129">INDEX(FLT_Prod_Info,$Z121,O$3)</f>
        <v>2</v>
      </c>
      <c r="P129">
        <f t="shared" si="145"/>
        <v>125</v>
      </c>
    </row>
    <row r="130" spans="1:26" ht="17.149999999999999" x14ac:dyDescent="0.55000000000000004">
      <c r="C130" t="s">
        <v>1792</v>
      </c>
      <c r="D130" t="e" cm="1">
        <f t="array" ref="D130">INDEX(FLT_Prod_Info,$Z122,D$3)</f>
        <v>#N/A</v>
      </c>
      <c r="E130" t="e" cm="1">
        <f t="array" ref="E130">INDEX(FLT_Prod_Info,$Z122,E$3)</f>
        <v>#N/A</v>
      </c>
      <c r="F130" t="e" cm="1">
        <f t="array" ref="F130">INDEX(FLT_Prod_Info,$Z122,F$3)</f>
        <v>#N/A</v>
      </c>
      <c r="G130" t="e" cm="1">
        <f t="array" ref="G130">INDEX(FLT_Prod_Info,$Z122,G$3)</f>
        <v>#N/A</v>
      </c>
      <c r="H130" t="e" cm="1">
        <f t="array" ref="H130">INDEX(FLT_Prod_Info,$Z122,H$3)</f>
        <v>#N/A</v>
      </c>
      <c r="I130" t="e" cm="1">
        <f t="array" ref="I130">INDEX(FLT_Prod_Info,$Z122,I$3)</f>
        <v>#N/A</v>
      </c>
      <c r="J130" t="e" cm="1">
        <f t="array" ref="J130">INDEX(FLT_Prod_Info,$Z122,J$3)</f>
        <v>#N/A</v>
      </c>
      <c r="K130" t="e" cm="1">
        <f t="array" ref="K130">INDEX(FLT_Prod_Info,$Z122,K$3)</f>
        <v>#N/A</v>
      </c>
      <c r="L130" t="e" cm="1">
        <f t="array" ref="L130">INDEX(FLT_Prod_Info,$Z122,L$3)</f>
        <v>#N/A</v>
      </c>
      <c r="M130" t="e" cm="1">
        <f t="array" ref="M130">INDEX(FLT_Prod_Info,$Z122,M$3)</f>
        <v>#N/A</v>
      </c>
      <c r="N130" t="e" cm="1">
        <f t="array" ref="N130">INDEX(FLT_Prod_Info,$Z122,N$3)</f>
        <v>#N/A</v>
      </c>
      <c r="O130" t="e" cm="1">
        <f t="array" ref="O130">INDEX(FLT_Prod_Info,$Z122,O$3)</f>
        <v>#N/A</v>
      </c>
      <c r="P130">
        <f t="shared" si="145"/>
        <v>126</v>
      </c>
    </row>
    <row r="131" spans="1:26" ht="17.149999999999999" x14ac:dyDescent="0.55000000000000004">
      <c r="C131" t="s">
        <v>1793</v>
      </c>
      <c r="D131" t="str" cm="1">
        <f t="array" ref="D131">INDEX(FLT_Prod_Info,$Z123,D$3)</f>
        <v>N/A</v>
      </c>
      <c r="E131" t="str" cm="1">
        <f t="array" ref="E131">INDEX(FLT_Prod_Info,$Z123,E$3)</f>
        <v>N/A</v>
      </c>
      <c r="F131" t="str" cm="1">
        <f t="array" ref="F131">INDEX(FLT_Prod_Info,$Z123,F$3)</f>
        <v>N/A</v>
      </c>
      <c r="G131" t="str" cm="1">
        <f t="array" ref="G131">INDEX(FLT_Prod_Info,$Z123,G$3)</f>
        <v>N/A</v>
      </c>
      <c r="H131" t="str" cm="1">
        <f t="array" ref="H131">INDEX(FLT_Prod_Info,$Z123,H$3)</f>
        <v>N/A</v>
      </c>
      <c r="I131" t="str" cm="1">
        <f t="array" ref="I131">INDEX(FLT_Prod_Info,$Z123,I$3)</f>
        <v>N/A</v>
      </c>
      <c r="J131" t="str" cm="1">
        <f t="array" ref="J131">INDEX(FLT_Prod_Info,$Z123,J$3)</f>
        <v>N/A</v>
      </c>
      <c r="K131" t="str" cm="1">
        <f t="array" ref="K131">INDEX(FLT_Prod_Info,$Z123,K$3)</f>
        <v>N/A</v>
      </c>
      <c r="L131" t="str" cm="1">
        <f t="array" ref="L131">INDEX(FLT_Prod_Info,$Z123,L$3)</f>
        <v>N/A</v>
      </c>
      <c r="M131" t="str" cm="1">
        <f t="array" ref="M131">INDEX(FLT_Prod_Info,$Z123,M$3)</f>
        <v>N/A</v>
      </c>
      <c r="N131" t="str" cm="1">
        <f t="array" ref="N131">INDEX(FLT_Prod_Info,$Z123,N$3)</f>
        <v>N/A</v>
      </c>
      <c r="O131" t="str" cm="1">
        <f t="array" ref="O131">INDEX(FLT_Prod_Info,$Z123,O$3)</f>
        <v>N/A</v>
      </c>
      <c r="P131">
        <f t="shared" si="145"/>
        <v>127</v>
      </c>
    </row>
    <row r="132" spans="1:26" ht="17.149999999999999" x14ac:dyDescent="0.55000000000000004">
      <c r="C132" t="s">
        <v>1388</v>
      </c>
      <c r="D132">
        <f t="shared" ref="D132:O132" si="146">IFERROR(IF(D122="Chemical",(10^(INDEX(Antoines,MATCH(D121,Antoine_Name,0),2)-INDEX(Antoines,MATCH(D121,Antoine_Name,0),3)/(INDEX(Antoines,MATCH(D121,Antoine_Name,0),4)+(D127-32)*5/9)))*14.7/760,IF(D122="Crude Oil",EXP((2799/(D127+459.6)-2.227)*LOG10(D128)-(7261/(D127+459.6))+12.82),IF(D122="Refined Petroleum Stock",EXP((0.7553-(413/(D127+459.6)))*(D129^0.5)*LOG10(D128)-(1.854-(1042/(D127+459.6)))*(D129^0.5)+((2416/(D127+459.6)-2.013)*LOG10(D128))-(8742/(D127+459.6))+15.64),EXP(INDEX(Antoines,MATCH(D121,Antoine_Name,0),2)-INDEX(Antoines,MATCH(D121,Antoine_Name,0),3)/(D127+459.6))))),0)</f>
        <v>2.1118006558579938</v>
      </c>
      <c r="E132">
        <f t="shared" si="146"/>
        <v>2.1702780169073743</v>
      </c>
      <c r="F132">
        <f t="shared" si="146"/>
        <v>2.2621202106565343</v>
      </c>
      <c r="G132">
        <f t="shared" si="146"/>
        <v>2.4240539285028491</v>
      </c>
      <c r="H132">
        <f t="shared" si="146"/>
        <v>2.7065963674688565</v>
      </c>
      <c r="I132">
        <f t="shared" si="146"/>
        <v>2.9482272795776381</v>
      </c>
      <c r="J132">
        <f t="shared" si="146"/>
        <v>3.1859882474231145</v>
      </c>
      <c r="K132">
        <f t="shared" si="146"/>
        <v>3.1937895753060208</v>
      </c>
      <c r="L132">
        <f t="shared" si="146"/>
        <v>3.011127514483122</v>
      </c>
      <c r="M132">
        <f t="shared" si="146"/>
        <v>2.6043777623569655</v>
      </c>
      <c r="N132">
        <f t="shared" si="146"/>
        <v>2.2747411697543671</v>
      </c>
      <c r="O132">
        <f t="shared" si="146"/>
        <v>2.0943201467179966</v>
      </c>
      <c r="P132">
        <f t="shared" si="145"/>
        <v>128</v>
      </c>
    </row>
    <row r="133" spans="1:26" ht="17.149999999999999" x14ac:dyDescent="0.55000000000000004">
      <c r="C133" t="s">
        <v>1389</v>
      </c>
      <c r="D133">
        <f t="shared" ref="D133:O133" si="147">D132*D125</f>
        <v>2.1118006558579938</v>
      </c>
      <c r="E133">
        <f t="shared" si="147"/>
        <v>2.1702780169073743</v>
      </c>
      <c r="F133">
        <f t="shared" si="147"/>
        <v>2.2621202106565343</v>
      </c>
      <c r="G133">
        <f t="shared" si="147"/>
        <v>2.4240539285028491</v>
      </c>
      <c r="H133">
        <f t="shared" si="147"/>
        <v>2.7065963674688565</v>
      </c>
      <c r="I133">
        <f t="shared" si="147"/>
        <v>2.9482272795776381</v>
      </c>
      <c r="J133">
        <f t="shared" si="147"/>
        <v>3.1859882474231145</v>
      </c>
      <c r="K133">
        <f t="shared" si="147"/>
        <v>3.1937895753060208</v>
      </c>
      <c r="L133">
        <f t="shared" si="147"/>
        <v>3.011127514483122</v>
      </c>
      <c r="M133">
        <f t="shared" si="147"/>
        <v>2.6043777623569655</v>
      </c>
      <c r="N133">
        <f t="shared" si="147"/>
        <v>2.2747411697543671</v>
      </c>
      <c r="O133">
        <f t="shared" si="147"/>
        <v>2.0943201467179966</v>
      </c>
      <c r="P133">
        <f t="shared" si="145"/>
        <v>129</v>
      </c>
    </row>
    <row r="134" spans="1:26" ht="17.149999999999999" x14ac:dyDescent="0.55000000000000004">
      <c r="C134" t="s">
        <v>1390</v>
      </c>
      <c r="D134">
        <f t="shared" ref="D134:O134" si="148">IFERROR(IF(D124="Chemical",(10^(INDEX(Antoines,MATCH(D123,Antoine_Name,0),2)-INDEX(Antoines,MATCH(D123,Antoine_Name,0),3)/(INDEX(Antoines,MATCH(D123,Antoine_Name,0),4)+(D127-32)*5/9)))*14.7/760,IF(D124="Crude Oil",EXP((2799/(D127+459.6)-2.227)*LOG10(D130)-(7261/(D127+459.6))+12.82),IF(D124="Refined Petroleum Stock",EXP((0.7553-(413/(D127+459.6)))*(D131^0.5)*LOG10(D130)-(1.854-(1042/(D127+459.6)))*(D131^0.5)+((2416/(D127+459.6)-2.013)*LOG10(D130))-(8742/(D127+459.6))+15.64),EXP(INDEX(Antoines,MATCH(D123,Antoine_Name,0),2)-INDEX(Antoines,MATCH(D123,Antoine_Name,0),3)/(D127+459.6))))),0)</f>
        <v>0</v>
      </c>
      <c r="E134">
        <f t="shared" si="148"/>
        <v>0</v>
      </c>
      <c r="F134">
        <f t="shared" si="148"/>
        <v>0</v>
      </c>
      <c r="G134">
        <f t="shared" si="148"/>
        <v>0</v>
      </c>
      <c r="H134">
        <f t="shared" si="148"/>
        <v>0</v>
      </c>
      <c r="I134">
        <f t="shared" si="148"/>
        <v>0</v>
      </c>
      <c r="J134">
        <f t="shared" si="148"/>
        <v>0</v>
      </c>
      <c r="K134">
        <f t="shared" si="148"/>
        <v>0</v>
      </c>
      <c r="L134">
        <f t="shared" si="148"/>
        <v>0</v>
      </c>
      <c r="M134">
        <f t="shared" si="148"/>
        <v>0</v>
      </c>
      <c r="N134">
        <f t="shared" si="148"/>
        <v>0</v>
      </c>
      <c r="O134">
        <f t="shared" si="148"/>
        <v>0</v>
      </c>
      <c r="P134">
        <f t="shared" si="145"/>
        <v>130</v>
      </c>
    </row>
    <row r="135" spans="1:26" ht="17.149999999999999" x14ac:dyDescent="0.55000000000000004">
      <c r="C135" t="s">
        <v>1391</v>
      </c>
      <c r="D135">
        <f t="shared" ref="D135:O135" si="149">D134*D126</f>
        <v>0</v>
      </c>
      <c r="E135">
        <f t="shared" si="149"/>
        <v>0</v>
      </c>
      <c r="F135">
        <f t="shared" si="149"/>
        <v>0</v>
      </c>
      <c r="G135">
        <f t="shared" si="149"/>
        <v>0</v>
      </c>
      <c r="H135">
        <f t="shared" si="149"/>
        <v>0</v>
      </c>
      <c r="I135">
        <f t="shared" si="149"/>
        <v>0</v>
      </c>
      <c r="J135">
        <f t="shared" si="149"/>
        <v>0</v>
      </c>
      <c r="K135">
        <f t="shared" si="149"/>
        <v>0</v>
      </c>
      <c r="L135">
        <f t="shared" si="149"/>
        <v>0</v>
      </c>
      <c r="M135">
        <f t="shared" si="149"/>
        <v>0</v>
      </c>
      <c r="N135">
        <f t="shared" si="149"/>
        <v>0</v>
      </c>
      <c r="O135">
        <f t="shared" si="149"/>
        <v>0</v>
      </c>
      <c r="P135">
        <f t="shared" si="145"/>
        <v>131</v>
      </c>
    </row>
    <row r="136" spans="1:26" ht="17.149999999999999" x14ac:dyDescent="0.55000000000000004">
      <c r="C136" t="s">
        <v>1392</v>
      </c>
      <c r="D136">
        <f>IF(D121="Out of Service",0,D133+D135)</f>
        <v>2.1118006558579938</v>
      </c>
      <c r="E136">
        <f t="shared" ref="E136" si="150">IF(E121="Out of Service",0,E133+E135)</f>
        <v>2.1702780169073743</v>
      </c>
      <c r="F136">
        <f t="shared" ref="F136" si="151">IF(F121="Out of Service",0,F133+F135)</f>
        <v>2.2621202106565343</v>
      </c>
      <c r="G136">
        <f t="shared" ref="G136" si="152">IF(G121="Out of Service",0,G133+G135)</f>
        <v>2.4240539285028491</v>
      </c>
      <c r="H136">
        <f t="shared" ref="H136" si="153">IF(H121="Out of Service",0,H133+H135)</f>
        <v>2.7065963674688565</v>
      </c>
      <c r="I136">
        <f t="shared" ref="I136" si="154">IF(I121="Out of Service",0,I133+I135)</f>
        <v>2.9482272795776381</v>
      </c>
      <c r="J136">
        <f t="shared" ref="J136" si="155">IF(J121="Out of Service",0,J133+J135)</f>
        <v>3.1859882474231145</v>
      </c>
      <c r="K136">
        <f t="shared" ref="K136" si="156">IF(K121="Out of Service",0,K133+K135)</f>
        <v>3.1937895753060208</v>
      </c>
      <c r="L136">
        <f t="shared" ref="L136" si="157">IF(L121="Out of Service",0,L133+L135)</f>
        <v>3.011127514483122</v>
      </c>
      <c r="M136">
        <f t="shared" ref="M136" si="158">IF(M121="Out of Service",0,M133+M135)</f>
        <v>2.6043777623569655</v>
      </c>
      <c r="N136">
        <f t="shared" ref="N136" si="159">IF(N121="Out of Service",0,N133+N135)</f>
        <v>2.2747411697543671</v>
      </c>
      <c r="O136">
        <f t="shared" ref="O136" si="160">IF(O121="Out of Service",0,O133+O135)</f>
        <v>2.0943201467179966</v>
      </c>
      <c r="P136">
        <f t="shared" si="145"/>
        <v>132</v>
      </c>
    </row>
    <row r="137" spans="1:26" x14ac:dyDescent="0.4">
      <c r="C137" t="s">
        <v>1513</v>
      </c>
      <c r="D137">
        <f t="shared" ref="D137:O137" si="161">(D136/D120)/(1+(SQRT(1-D136/D120))^2)</f>
        <v>7.7388787337165837E-2</v>
      </c>
      <c r="E137">
        <f t="shared" si="161"/>
        <v>7.9702540417229933E-2</v>
      </c>
      <c r="F137">
        <f t="shared" si="161"/>
        <v>8.3356556526012274E-2</v>
      </c>
      <c r="G137">
        <f t="shared" si="161"/>
        <v>8.9859830015901102E-2</v>
      </c>
      <c r="H137">
        <f t="shared" si="161"/>
        <v>0.10139570077793821</v>
      </c>
      <c r="I137">
        <f t="shared" si="161"/>
        <v>0.11145669935767402</v>
      </c>
      <c r="J137">
        <f t="shared" si="161"/>
        <v>0.12153760658591015</v>
      </c>
      <c r="K137">
        <f t="shared" si="161"/>
        <v>0.12187147716315859</v>
      </c>
      <c r="L137">
        <f t="shared" si="161"/>
        <v>0.1141059556877897</v>
      </c>
      <c r="M137">
        <f t="shared" si="161"/>
        <v>9.7194151315444469E-2</v>
      </c>
      <c r="N137">
        <f t="shared" si="161"/>
        <v>8.3860625404169387E-2</v>
      </c>
      <c r="O137">
        <f t="shared" si="161"/>
        <v>7.6699066200553515E-2</v>
      </c>
      <c r="P137">
        <f t="shared" si="145"/>
        <v>133</v>
      </c>
    </row>
    <row r="138" spans="1:26" ht="17.149999999999999" x14ac:dyDescent="0.55000000000000004">
      <c r="C138" t="s">
        <v>584</v>
      </c>
      <c r="D138">
        <f t="shared" ref="D138:H138" si="162">IFERROR(D133/D136,1)</f>
        <v>1</v>
      </c>
      <c r="E138">
        <f t="shared" si="162"/>
        <v>1</v>
      </c>
      <c r="F138">
        <f t="shared" si="162"/>
        <v>1</v>
      </c>
      <c r="G138">
        <f t="shared" si="162"/>
        <v>1</v>
      </c>
      <c r="H138">
        <f t="shared" si="162"/>
        <v>1</v>
      </c>
      <c r="I138">
        <f>IFERROR(I133/I136,1)</f>
        <v>1</v>
      </c>
      <c r="J138">
        <f t="shared" ref="J138:O138" si="163">IFERROR(J133/J136,1)</f>
        <v>1</v>
      </c>
      <c r="K138">
        <f t="shared" si="163"/>
        <v>1</v>
      </c>
      <c r="L138">
        <f t="shared" si="163"/>
        <v>1</v>
      </c>
      <c r="M138">
        <f t="shared" si="163"/>
        <v>1</v>
      </c>
      <c r="N138">
        <f t="shared" si="163"/>
        <v>1</v>
      </c>
      <c r="O138">
        <f t="shared" si="163"/>
        <v>1</v>
      </c>
      <c r="P138">
        <f t="shared" si="145"/>
        <v>134</v>
      </c>
    </row>
    <row r="139" spans="1:26" ht="17.149999999999999" x14ac:dyDescent="0.55000000000000004">
      <c r="C139" t="s">
        <v>585</v>
      </c>
      <c r="D139">
        <f t="shared" ref="D139:O139" si="164">INDEX(Phys_Prop,MATCH(D121,Chem_List,0),3)</f>
        <v>80</v>
      </c>
      <c r="E139">
        <f t="shared" si="164"/>
        <v>80</v>
      </c>
      <c r="F139">
        <f t="shared" si="164"/>
        <v>80</v>
      </c>
      <c r="G139">
        <f t="shared" si="164"/>
        <v>80</v>
      </c>
      <c r="H139">
        <f t="shared" si="164"/>
        <v>80</v>
      </c>
      <c r="I139">
        <f t="shared" si="164"/>
        <v>80</v>
      </c>
      <c r="J139">
        <f t="shared" si="164"/>
        <v>80</v>
      </c>
      <c r="K139">
        <f t="shared" si="164"/>
        <v>80</v>
      </c>
      <c r="L139">
        <f t="shared" si="164"/>
        <v>80</v>
      </c>
      <c r="M139">
        <f t="shared" si="164"/>
        <v>80</v>
      </c>
      <c r="N139">
        <f t="shared" si="164"/>
        <v>80</v>
      </c>
      <c r="O139">
        <f t="shared" si="164"/>
        <v>80</v>
      </c>
      <c r="P139">
        <f t="shared" si="145"/>
        <v>135</v>
      </c>
    </row>
    <row r="140" spans="1:26" ht="17.149999999999999" x14ac:dyDescent="0.55000000000000004">
      <c r="C140" t="s">
        <v>586</v>
      </c>
      <c r="D140">
        <f>D135/D136</f>
        <v>0</v>
      </c>
      <c r="E140">
        <f t="shared" ref="E140:O140" si="165">E135/E136</f>
        <v>0</v>
      </c>
      <c r="F140">
        <f t="shared" si="165"/>
        <v>0</v>
      </c>
      <c r="G140">
        <f t="shared" si="165"/>
        <v>0</v>
      </c>
      <c r="H140">
        <f t="shared" si="165"/>
        <v>0</v>
      </c>
      <c r="I140">
        <f t="shared" si="165"/>
        <v>0</v>
      </c>
      <c r="J140">
        <f t="shared" si="165"/>
        <v>0</v>
      </c>
      <c r="K140">
        <f t="shared" si="165"/>
        <v>0</v>
      </c>
      <c r="L140">
        <f t="shared" si="165"/>
        <v>0</v>
      </c>
      <c r="M140">
        <f t="shared" si="165"/>
        <v>0</v>
      </c>
      <c r="N140">
        <f t="shared" si="165"/>
        <v>0</v>
      </c>
      <c r="O140">
        <f t="shared" si="165"/>
        <v>0</v>
      </c>
      <c r="P140">
        <f t="shared" si="145"/>
        <v>136</v>
      </c>
    </row>
    <row r="141" spans="1:26" ht="17.149999999999999" x14ac:dyDescent="0.55000000000000004">
      <c r="C141" t="s">
        <v>587</v>
      </c>
      <c r="D141">
        <f t="shared" ref="D141:O141" si="166">IFERROR(INDEX(Phys_Prop,MATCH(D123,Chem_List,0),3),0)</f>
        <v>0</v>
      </c>
      <c r="E141">
        <f t="shared" si="166"/>
        <v>0</v>
      </c>
      <c r="F141">
        <f t="shared" si="166"/>
        <v>0</v>
      </c>
      <c r="G141">
        <f t="shared" si="166"/>
        <v>0</v>
      </c>
      <c r="H141">
        <f t="shared" si="166"/>
        <v>0</v>
      </c>
      <c r="I141">
        <f t="shared" si="166"/>
        <v>0</v>
      </c>
      <c r="J141">
        <f t="shared" si="166"/>
        <v>0</v>
      </c>
      <c r="K141">
        <f t="shared" si="166"/>
        <v>0</v>
      </c>
      <c r="L141">
        <f t="shared" si="166"/>
        <v>0</v>
      </c>
      <c r="M141">
        <f t="shared" si="166"/>
        <v>0</v>
      </c>
      <c r="N141">
        <f t="shared" si="166"/>
        <v>0</v>
      </c>
      <c r="O141">
        <f t="shared" si="166"/>
        <v>0</v>
      </c>
      <c r="P141">
        <f t="shared" si="145"/>
        <v>137</v>
      </c>
    </row>
    <row r="142" spans="1:26" ht="17.149999999999999" x14ac:dyDescent="0.55000000000000004">
      <c r="A142" s="11"/>
      <c r="B142" s="11"/>
      <c r="C142" s="11" t="s">
        <v>588</v>
      </c>
      <c r="D142" s="11">
        <f>IFERROR(D138*D139+D140*D141,0)</f>
        <v>80</v>
      </c>
      <c r="E142" s="11">
        <f t="shared" ref="E142" si="167">IFERROR(E138*E139+E140*E141,0)</f>
        <v>80</v>
      </c>
      <c r="F142" s="11">
        <f t="shared" ref="F142" si="168">IFERROR(F138*F139+F140*F141,0)</f>
        <v>80</v>
      </c>
      <c r="G142" s="11">
        <f t="shared" ref="G142" si="169">IFERROR(G138*G139+G140*G141,0)</f>
        <v>80</v>
      </c>
      <c r="H142" s="11">
        <f t="shared" ref="H142" si="170">IFERROR(H138*H139+H140*H141,0)</f>
        <v>80</v>
      </c>
      <c r="I142" s="11">
        <f t="shared" ref="I142" si="171">IFERROR(I138*I139+I140*I141,0)</f>
        <v>80</v>
      </c>
      <c r="J142" s="11">
        <f t="shared" ref="J142" si="172">IFERROR(J138*J139+J140*J141,0)</f>
        <v>80</v>
      </c>
      <c r="K142" s="11">
        <f t="shared" ref="K142" si="173">IFERROR(K138*K139+K140*K141,0)</f>
        <v>80</v>
      </c>
      <c r="L142" s="11">
        <f t="shared" ref="L142" si="174">IFERROR(L138*L139+L140*L141,0)</f>
        <v>80</v>
      </c>
      <c r="M142" s="11">
        <f t="shared" ref="M142" si="175">IFERROR(M138*M139+M140*M141,0)</f>
        <v>80</v>
      </c>
      <c r="N142" s="11">
        <f t="shared" ref="N142" si="176">IFERROR(N138*N139+N140*N141,0)</f>
        <v>80</v>
      </c>
      <c r="O142" s="11">
        <f t="shared" ref="O142" si="177">IFERROR(O138*O139+O140*O141,0)</f>
        <v>80</v>
      </c>
      <c r="P142" s="11">
        <f t="shared" si="145"/>
        <v>138</v>
      </c>
      <c r="Q142" s="11"/>
      <c r="R142" s="11"/>
      <c r="S142" s="11"/>
      <c r="T142" s="11"/>
      <c r="U142" s="11"/>
      <c r="V142" s="11"/>
      <c r="W142" s="11"/>
      <c r="X142" s="11"/>
      <c r="Y142" s="11"/>
    </row>
    <row r="143" spans="1:26" ht="17.149999999999999" x14ac:dyDescent="0.55000000000000004">
      <c r="A143" t="str" cm="1">
        <f t="array" ref="A143">INDEX(FLT_Cons,$R143,T$5)</f>
        <v>FLT - 7</v>
      </c>
      <c r="B143" t="str" cm="1">
        <f t="array" ref="B143">INDEX(FLT_Cons,$R143,T$6)</f>
        <v>Portland</v>
      </c>
      <c r="C143" t="s">
        <v>563</v>
      </c>
      <c r="D143">
        <v>14.7</v>
      </c>
      <c r="E143">
        <v>14.7</v>
      </c>
      <c r="F143">
        <v>14.7</v>
      </c>
      <c r="G143">
        <v>14.7</v>
      </c>
      <c r="H143">
        <v>14.7</v>
      </c>
      <c r="I143">
        <v>14.7</v>
      </c>
      <c r="J143">
        <v>14.7</v>
      </c>
      <c r="K143">
        <v>14.7</v>
      </c>
      <c r="L143">
        <v>14.7</v>
      </c>
      <c r="M143">
        <v>14.7</v>
      </c>
      <c r="N143">
        <v>14.7</v>
      </c>
      <c r="O143">
        <v>14.7</v>
      </c>
      <c r="P143">
        <f>P142+1</f>
        <v>139</v>
      </c>
      <c r="R143">
        <f>R120+1</f>
        <v>7</v>
      </c>
      <c r="S143" t="s">
        <v>237</v>
      </c>
      <c r="T143">
        <v>1</v>
      </c>
      <c r="W143" t="s">
        <v>1516</v>
      </c>
      <c r="X143">
        <f>X120+12</f>
        <v>78</v>
      </c>
      <c r="Y143" t="s">
        <v>1787</v>
      </c>
      <c r="Z143">
        <f>Z120+12</f>
        <v>75</v>
      </c>
    </row>
    <row r="144" spans="1:26" x14ac:dyDescent="0.4">
      <c r="C144" s="66" t="s">
        <v>567</v>
      </c>
      <c r="D144" t="str" cm="1">
        <f t="array" ref="D144">INDEX(Flt_Multi,$V144,D$3)</f>
        <v>Jet kerosene</v>
      </c>
      <c r="E144" t="str" cm="1">
        <f t="array" ref="E144">INDEX(Flt_Multi,$V144,E$3)</f>
        <v>Jet kerosene</v>
      </c>
      <c r="F144" t="str" cm="1">
        <f t="array" ref="F144">INDEX(Flt_Multi,$V144,F$3)</f>
        <v>Jet kerosene</v>
      </c>
      <c r="G144" t="str" cm="1">
        <f t="array" ref="G144">INDEX(Flt_Multi,$V144,G$3)</f>
        <v>Jet kerosene</v>
      </c>
      <c r="H144" t="str" cm="1">
        <f t="array" ref="H144">INDEX(Flt_Multi,$V144,H$3)</f>
        <v>Jet kerosene</v>
      </c>
      <c r="I144" t="str" cm="1">
        <f t="array" ref="I144">INDEX(Flt_Multi,$V144,I$3)</f>
        <v>Jet kerosene</v>
      </c>
      <c r="J144" t="str" cm="1">
        <f t="array" ref="J144">INDEX(Flt_Multi,$V144,J$3)</f>
        <v>Jet kerosene</v>
      </c>
      <c r="K144" t="str" cm="1">
        <f t="array" ref="K144">INDEX(Flt_Multi,$V144,K$3)</f>
        <v>Jet kerosene</v>
      </c>
      <c r="L144" t="str" cm="1">
        <f t="array" ref="L144">INDEX(Flt_Multi,$V144,L$3)</f>
        <v>Jet kerosene</v>
      </c>
      <c r="M144" t="str" cm="1">
        <f t="array" ref="M144">INDEX(Flt_Multi,$V144,M$3)</f>
        <v>Jet kerosene</v>
      </c>
      <c r="N144" t="str" cm="1">
        <f t="array" ref="N144">INDEX(Flt_Multi,$V144,N$3)</f>
        <v>Jet kerosene</v>
      </c>
      <c r="O144" t="str" cm="1">
        <f t="array" ref="O144">INDEX(Flt_Multi,$V144,O$3)</f>
        <v>Jet kerosene</v>
      </c>
      <c r="P144">
        <f>P143+1</f>
        <v>140</v>
      </c>
      <c r="S144" t="s">
        <v>549</v>
      </c>
      <c r="T144">
        <v>3</v>
      </c>
      <c r="U144" s="66" t="s">
        <v>567</v>
      </c>
      <c r="V144">
        <f>V121+14</f>
        <v>85</v>
      </c>
      <c r="Y144" t="s">
        <v>1786</v>
      </c>
      <c r="Z144">
        <f>Z143+1</f>
        <v>76</v>
      </c>
    </row>
    <row r="145" spans="3:26" x14ac:dyDescent="0.4">
      <c r="C145" s="66" t="s">
        <v>566</v>
      </c>
      <c r="D145" t="str" cm="1">
        <f t="array" ref="D145">INDEX(Flt_Multi,$V145,D$3)</f>
        <v>Select Pet Stock</v>
      </c>
      <c r="E145" t="str" cm="1">
        <f t="array" ref="E145">INDEX(Flt_Multi,$V145,E$3)</f>
        <v>Select Pet Stock</v>
      </c>
      <c r="F145" t="str" cm="1">
        <f t="array" ref="F145">INDEX(Flt_Multi,$V145,F$3)</f>
        <v>Select Pet Stock</v>
      </c>
      <c r="G145" t="str" cm="1">
        <f t="array" ref="G145">INDEX(Flt_Multi,$V145,G$3)</f>
        <v>Select Pet Stock</v>
      </c>
      <c r="H145" t="str" cm="1">
        <f t="array" ref="H145">INDEX(Flt_Multi,$V145,H$3)</f>
        <v>Select Pet Stock</v>
      </c>
      <c r="I145" t="str" cm="1">
        <f t="array" ref="I145">INDEX(Flt_Multi,$V145,I$3)</f>
        <v>Select Pet Stock</v>
      </c>
      <c r="J145" t="str" cm="1">
        <f t="array" ref="J145">INDEX(Flt_Multi,$V145,J$3)</f>
        <v>Select Pet Stock</v>
      </c>
      <c r="K145" t="str" cm="1">
        <f t="array" ref="K145">INDEX(Flt_Multi,$V145,K$3)</f>
        <v>Select Pet Stock</v>
      </c>
      <c r="L145" t="str" cm="1">
        <f t="array" ref="L145">INDEX(Flt_Multi,$V145,L$3)</f>
        <v>Select Pet Stock</v>
      </c>
      <c r="M145" t="str" cm="1">
        <f t="array" ref="M145">INDEX(Flt_Multi,$V145,M$3)</f>
        <v>Select Pet Stock</v>
      </c>
      <c r="N145" t="str" cm="1">
        <f t="array" ref="N145">INDEX(Flt_Multi,$V145,N$3)</f>
        <v>Select Pet Stock</v>
      </c>
      <c r="O145" t="str" cm="1">
        <f t="array" ref="O145">INDEX(Flt_Multi,$V145,O$3)</f>
        <v>Select Pet Stock</v>
      </c>
      <c r="P145">
        <f t="shared" ref="P145:P165" si="178">P144+1</f>
        <v>141</v>
      </c>
      <c r="U145" s="66" t="s">
        <v>566</v>
      </c>
      <c r="V145">
        <f>V144+2</f>
        <v>87</v>
      </c>
      <c r="Y145" t="s">
        <v>1788</v>
      </c>
      <c r="Z145">
        <f>Z143+5</f>
        <v>80</v>
      </c>
    </row>
    <row r="146" spans="3:26" x14ac:dyDescent="0.4">
      <c r="C146" s="66" t="s">
        <v>568</v>
      </c>
      <c r="D146" t="str" cm="1">
        <f t="array" ref="D146">INDEX(Flt_Multi,$V146,D$3)</f>
        <v/>
      </c>
      <c r="E146" t="str" cm="1">
        <f t="array" ref="E146">INDEX(Flt_Multi,$V146,E$3)</f>
        <v/>
      </c>
      <c r="F146" t="str" cm="1">
        <f t="array" ref="F146">INDEX(Flt_Multi,$V146,F$3)</f>
        <v/>
      </c>
      <c r="G146" t="str" cm="1">
        <f t="array" ref="G146">INDEX(Flt_Multi,$V146,G$3)</f>
        <v/>
      </c>
      <c r="H146" t="str" cm="1">
        <f t="array" ref="H146">INDEX(Flt_Multi,$V146,H$3)</f>
        <v/>
      </c>
      <c r="I146" t="str" cm="1">
        <f t="array" ref="I146">INDEX(Flt_Multi,$V146,I$3)</f>
        <v/>
      </c>
      <c r="J146" t="str" cm="1">
        <f t="array" ref="J146">INDEX(Flt_Multi,$V146,J$3)</f>
        <v/>
      </c>
      <c r="K146" t="str" cm="1">
        <f t="array" ref="K146">INDEX(Flt_Multi,$V146,K$3)</f>
        <v/>
      </c>
      <c r="L146" t="str" cm="1">
        <f t="array" ref="L146">INDEX(Flt_Multi,$V146,L$3)</f>
        <v/>
      </c>
      <c r="M146" t="str" cm="1">
        <f t="array" ref="M146">INDEX(Flt_Multi,$V146,M$3)</f>
        <v/>
      </c>
      <c r="N146" t="str" cm="1">
        <f t="array" ref="N146">INDEX(Flt_Multi,$V146,N$3)</f>
        <v/>
      </c>
      <c r="O146" t="str" cm="1">
        <f t="array" ref="O146">INDEX(Flt_Multi,$V146,O$3)</f>
        <v/>
      </c>
      <c r="P146">
        <f t="shared" si="178"/>
        <v>142</v>
      </c>
      <c r="U146" s="66" t="s">
        <v>568</v>
      </c>
      <c r="V146">
        <f>V144+1</f>
        <v>86</v>
      </c>
      <c r="Y146" t="s">
        <v>1789</v>
      </c>
      <c r="Z146">
        <f>Z145+1</f>
        <v>81</v>
      </c>
    </row>
    <row r="147" spans="3:26" x14ac:dyDescent="0.4">
      <c r="C147" s="66" t="s">
        <v>569</v>
      </c>
      <c r="D147" t="e" cm="1">
        <f t="array" ref="D147">INDEX(Flt_Multi,$V147,D$3)</f>
        <v>#N/A</v>
      </c>
      <c r="E147" t="e" cm="1">
        <f t="array" ref="E147">INDEX(Flt_Multi,$V147,E$3)</f>
        <v>#N/A</v>
      </c>
      <c r="F147" t="e" cm="1">
        <f t="array" ref="F147">INDEX(Flt_Multi,$V147,F$3)</f>
        <v>#N/A</v>
      </c>
      <c r="G147" t="e" cm="1">
        <f t="array" ref="G147">INDEX(Flt_Multi,$V147,G$3)</f>
        <v>#N/A</v>
      </c>
      <c r="H147" t="e" cm="1">
        <f t="array" ref="H147">INDEX(Flt_Multi,$V147,H$3)</f>
        <v>#N/A</v>
      </c>
      <c r="I147" t="e" cm="1">
        <f t="array" ref="I147">INDEX(Flt_Multi,$V147,I$3)</f>
        <v>#N/A</v>
      </c>
      <c r="J147" t="e" cm="1">
        <f t="array" ref="J147">INDEX(Flt_Multi,$V147,J$3)</f>
        <v>#N/A</v>
      </c>
      <c r="K147" t="e" cm="1">
        <f t="array" ref="K147">INDEX(Flt_Multi,$V147,K$3)</f>
        <v>#N/A</v>
      </c>
      <c r="L147" t="e" cm="1">
        <f t="array" ref="L147">INDEX(Flt_Multi,$V147,L$3)</f>
        <v>#N/A</v>
      </c>
      <c r="M147" t="e" cm="1">
        <f t="array" ref="M147">INDEX(Flt_Multi,$V147,M$3)</f>
        <v>#N/A</v>
      </c>
      <c r="N147" t="e" cm="1">
        <f t="array" ref="N147">INDEX(Flt_Multi,$V147,N$3)</f>
        <v>#N/A</v>
      </c>
      <c r="O147" t="e" cm="1">
        <f t="array" ref="O147">INDEX(Flt_Multi,$V147,O$3)</f>
        <v>#N/A</v>
      </c>
      <c r="P147">
        <f t="shared" si="178"/>
        <v>143</v>
      </c>
      <c r="U147" s="66" t="s">
        <v>569</v>
      </c>
      <c r="V147">
        <f>V146+2</f>
        <v>88</v>
      </c>
    </row>
    <row r="148" spans="3:26" ht="17.149999999999999" x14ac:dyDescent="0.55000000000000004">
      <c r="C148" t="s">
        <v>570</v>
      </c>
      <c r="D148" cm="1">
        <f t="array" ref="D148">INDEX(Flt_Multi,$V148,D$3)</f>
        <v>1</v>
      </c>
      <c r="E148" cm="1">
        <f t="array" ref="E148">INDEX(Flt_Multi,$V148,E$3)</f>
        <v>1</v>
      </c>
      <c r="F148" cm="1">
        <f t="array" ref="F148">INDEX(Flt_Multi,$V148,F$3)</f>
        <v>1</v>
      </c>
      <c r="G148" cm="1">
        <f t="array" ref="G148">INDEX(Flt_Multi,$V148,G$3)</f>
        <v>1</v>
      </c>
      <c r="H148" cm="1">
        <f t="array" ref="H148">INDEX(Flt_Multi,$V148,H$3)</f>
        <v>1</v>
      </c>
      <c r="I148" cm="1">
        <f t="array" ref="I148">INDEX(Flt_Multi,$V148,I$3)</f>
        <v>1</v>
      </c>
      <c r="J148" cm="1">
        <f t="array" ref="J148">INDEX(Flt_Multi,$V148,J$3)</f>
        <v>1</v>
      </c>
      <c r="K148" cm="1">
        <f t="array" ref="K148">INDEX(Flt_Multi,$V148,K$3)</f>
        <v>1</v>
      </c>
      <c r="L148" cm="1">
        <f t="array" ref="L148">INDEX(Flt_Multi,$V148,L$3)</f>
        <v>1</v>
      </c>
      <c r="M148" cm="1">
        <f t="array" ref="M148">INDEX(Flt_Multi,$V148,M$3)</f>
        <v>1</v>
      </c>
      <c r="N148" cm="1">
        <f t="array" ref="N148">INDEX(Flt_Multi,$V148,N$3)</f>
        <v>1</v>
      </c>
      <c r="O148" cm="1">
        <f t="array" ref="O148">INDEX(Flt_Multi,$V148,O$3)</f>
        <v>1</v>
      </c>
      <c r="P148">
        <f t="shared" si="178"/>
        <v>144</v>
      </c>
      <c r="U148" t="s">
        <v>570</v>
      </c>
      <c r="V148">
        <f>V144+9</f>
        <v>94</v>
      </c>
    </row>
    <row r="149" spans="3:26" ht="17.149999999999999" x14ac:dyDescent="0.55000000000000004">
      <c r="C149" t="s">
        <v>572</v>
      </c>
      <c r="D149" cm="1">
        <f t="array" ref="D149">INDEX(Flt_Multi,$V149,D$3)</f>
        <v>0</v>
      </c>
      <c r="E149" cm="1">
        <f t="array" ref="E149">INDEX(Flt_Multi,$V149,E$3)</f>
        <v>0</v>
      </c>
      <c r="F149" cm="1">
        <f t="array" ref="F149">INDEX(Flt_Multi,$V149,F$3)</f>
        <v>0</v>
      </c>
      <c r="G149" cm="1">
        <f t="array" ref="G149">INDEX(Flt_Multi,$V149,G$3)</f>
        <v>0</v>
      </c>
      <c r="H149" cm="1">
        <f t="array" ref="H149">INDEX(Flt_Multi,$V149,H$3)</f>
        <v>0</v>
      </c>
      <c r="I149" cm="1">
        <f t="array" ref="I149">INDEX(Flt_Multi,$V149,I$3)</f>
        <v>0</v>
      </c>
      <c r="J149" cm="1">
        <f t="array" ref="J149">INDEX(Flt_Multi,$V149,J$3)</f>
        <v>0</v>
      </c>
      <c r="K149" cm="1">
        <f t="array" ref="K149">INDEX(Flt_Multi,$V149,K$3)</f>
        <v>0</v>
      </c>
      <c r="L149" cm="1">
        <f t="array" ref="L149">INDEX(Flt_Multi,$V149,L$3)</f>
        <v>0</v>
      </c>
      <c r="M149" cm="1">
        <f t="array" ref="M149">INDEX(Flt_Multi,$V149,M$3)</f>
        <v>0</v>
      </c>
      <c r="N149" cm="1">
        <f t="array" ref="N149">INDEX(Flt_Multi,$V149,N$3)</f>
        <v>0</v>
      </c>
      <c r="O149" cm="1">
        <f t="array" ref="O149">INDEX(Flt_Multi,$V149,O$3)</f>
        <v>0</v>
      </c>
      <c r="P149">
        <f t="shared" si="178"/>
        <v>145</v>
      </c>
      <c r="U149" t="s">
        <v>572</v>
      </c>
      <c r="V149">
        <f>V146+9</f>
        <v>95</v>
      </c>
    </row>
    <row r="150" spans="3:26" ht="17.149999999999999" x14ac:dyDescent="0.55000000000000004">
      <c r="C150" t="s">
        <v>552</v>
      </c>
      <c r="D150" cm="1">
        <f t="array" ref="D150">INDEX(Flt_Temps,$X143,D$3)-459.6</f>
        <v>45.3704371816454</v>
      </c>
      <c r="E150" cm="1">
        <f t="array" ref="E150">INDEX(Flt_Temps,$X143,E$3)-459.6</f>
        <v>47.272193320662552</v>
      </c>
      <c r="F150" cm="1">
        <f t="array" ref="F150">INDEX(Flt_Temps,$X143,F$3)-459.6</f>
        <v>49.85968923703507</v>
      </c>
      <c r="G150" cm="1">
        <f t="array" ref="G150">INDEX(Flt_Temps,$X143,G$3)-459.6</f>
        <v>53.967310062448973</v>
      </c>
      <c r="H150" cm="1">
        <f t="array" ref="H150">INDEX(Flt_Temps,$X143,H$3)-459.6</f>
        <v>59.739101889763788</v>
      </c>
      <c r="I150" cm="1">
        <f t="array" ref="I150">INDEX(Flt_Temps,$X143,I$3)-459.6</f>
        <v>63.924930887863184</v>
      </c>
      <c r="J150" cm="1">
        <f t="array" ref="J150">INDEX(Flt_Temps,$X143,J$3)-459.6</f>
        <v>67.772176986152658</v>
      </c>
      <c r="K150" cm="1">
        <f t="array" ref="K150">INDEX(Flt_Temps,$X143,K$3)-459.6</f>
        <v>67.296187390714067</v>
      </c>
      <c r="L150" cm="1">
        <f t="array" ref="L150">INDEX(Flt_Temps,$X143,L$3)-459.6</f>
        <v>63.727238685853877</v>
      </c>
      <c r="M150" cm="1">
        <f t="array" ref="M150">INDEX(Flt_Temps,$X143,M$3)-459.6</f>
        <v>55.770927895737259</v>
      </c>
      <c r="N150" cm="1">
        <f t="array" ref="N150">INDEX(Flt_Temps,$X143,N$3)-459.6</f>
        <v>48.776212647298394</v>
      </c>
      <c r="O150" cm="1">
        <f t="array" ref="O150">INDEX(Flt_Temps,$X143,O$3)-459.6</f>
        <v>44.894670638066941</v>
      </c>
      <c r="P150">
        <f t="shared" si="178"/>
        <v>146</v>
      </c>
    </row>
    <row r="151" spans="3:26" ht="17.149999999999999" x14ac:dyDescent="0.55000000000000004">
      <c r="C151" t="s">
        <v>1790</v>
      </c>
      <c r="D151" t="str" cm="1">
        <f t="array" ref="D151">INDEX(FLT_Prod_Info,$Z143,D$3)</f>
        <v>N/A</v>
      </c>
      <c r="E151" t="str" cm="1">
        <f t="array" ref="E151">INDEX(FLT_Prod_Info,$Z143,E$3)</f>
        <v>N/A</v>
      </c>
      <c r="F151" t="str" cm="1">
        <f t="array" ref="F151">INDEX(FLT_Prod_Info,$Z143,F$3)</f>
        <v>N/A</v>
      </c>
      <c r="G151" t="str" cm="1">
        <f t="array" ref="G151">INDEX(FLT_Prod_Info,$Z143,G$3)</f>
        <v>N/A</v>
      </c>
      <c r="H151" t="str" cm="1">
        <f t="array" ref="H151">INDEX(FLT_Prod_Info,$Z143,H$3)</f>
        <v>N/A</v>
      </c>
      <c r="I151" t="str" cm="1">
        <f t="array" ref="I151">INDEX(FLT_Prod_Info,$Z143,I$3)</f>
        <v>N/A</v>
      </c>
      <c r="J151" t="str" cm="1">
        <f t="array" ref="J151">INDEX(FLT_Prod_Info,$Z143,J$3)</f>
        <v>N/A</v>
      </c>
      <c r="K151" t="str" cm="1">
        <f t="array" ref="K151">INDEX(FLT_Prod_Info,$Z143,K$3)</f>
        <v>N/A</v>
      </c>
      <c r="L151" t="str" cm="1">
        <f t="array" ref="L151">INDEX(FLT_Prod_Info,$Z143,L$3)</f>
        <v>N/A</v>
      </c>
      <c r="M151" t="str" cm="1">
        <f t="array" ref="M151">INDEX(FLT_Prod_Info,$Z143,M$3)</f>
        <v>N/A</v>
      </c>
      <c r="N151" t="str" cm="1">
        <f t="array" ref="N151">INDEX(FLT_Prod_Info,$Z143,N$3)</f>
        <v>N/A</v>
      </c>
      <c r="O151" t="str" cm="1">
        <f t="array" ref="O151">INDEX(FLT_Prod_Info,$Z143,O$3)</f>
        <v>N/A</v>
      </c>
      <c r="P151">
        <f t="shared" si="178"/>
        <v>147</v>
      </c>
    </row>
    <row r="152" spans="3:26" ht="17.149999999999999" x14ac:dyDescent="0.55000000000000004">
      <c r="C152" t="s">
        <v>1791</v>
      </c>
      <c r="D152" cm="1">
        <f t="array" ref="D152">INDEX(FLT_Prod_Info,$Z144,D$3)</f>
        <v>0</v>
      </c>
      <c r="E152" cm="1">
        <f t="array" ref="E152">INDEX(FLT_Prod_Info,$Z144,E$3)</f>
        <v>0</v>
      </c>
      <c r="F152" cm="1">
        <f t="array" ref="F152">INDEX(FLT_Prod_Info,$Z144,F$3)</f>
        <v>0</v>
      </c>
      <c r="G152" cm="1">
        <f t="array" ref="G152">INDEX(FLT_Prod_Info,$Z144,G$3)</f>
        <v>0</v>
      </c>
      <c r="H152" cm="1">
        <f t="array" ref="H152">INDEX(FLT_Prod_Info,$Z144,H$3)</f>
        <v>0</v>
      </c>
      <c r="I152" cm="1">
        <f t="array" ref="I152">INDEX(FLT_Prod_Info,$Z144,I$3)</f>
        <v>0</v>
      </c>
      <c r="J152" cm="1">
        <f t="array" ref="J152">INDEX(FLT_Prod_Info,$Z144,J$3)</f>
        <v>0</v>
      </c>
      <c r="K152" cm="1">
        <f t="array" ref="K152">INDEX(FLT_Prod_Info,$Z144,K$3)</f>
        <v>0</v>
      </c>
      <c r="L152" cm="1">
        <f t="array" ref="L152">INDEX(FLT_Prod_Info,$Z144,L$3)</f>
        <v>0</v>
      </c>
      <c r="M152" cm="1">
        <f t="array" ref="M152">INDEX(FLT_Prod_Info,$Z144,M$3)</f>
        <v>0</v>
      </c>
      <c r="N152" cm="1">
        <f t="array" ref="N152">INDEX(FLT_Prod_Info,$Z144,N$3)</f>
        <v>0</v>
      </c>
      <c r="O152" cm="1">
        <f t="array" ref="O152">INDEX(FLT_Prod_Info,$Z144,O$3)</f>
        <v>0</v>
      </c>
      <c r="P152">
        <f t="shared" si="178"/>
        <v>148</v>
      </c>
    </row>
    <row r="153" spans="3:26" ht="17.149999999999999" x14ac:dyDescent="0.55000000000000004">
      <c r="C153" t="s">
        <v>1792</v>
      </c>
      <c r="D153" t="e" cm="1">
        <f t="array" ref="D153">INDEX(FLT_Prod_Info,$Z145,D$3)</f>
        <v>#N/A</v>
      </c>
      <c r="E153" t="e" cm="1">
        <f t="array" ref="E153">INDEX(FLT_Prod_Info,$Z145,E$3)</f>
        <v>#N/A</v>
      </c>
      <c r="F153" t="e" cm="1">
        <f t="array" ref="F153">INDEX(FLT_Prod_Info,$Z145,F$3)</f>
        <v>#N/A</v>
      </c>
      <c r="G153" t="e" cm="1">
        <f t="array" ref="G153">INDEX(FLT_Prod_Info,$Z145,G$3)</f>
        <v>#N/A</v>
      </c>
      <c r="H153" t="e" cm="1">
        <f t="array" ref="H153">INDEX(FLT_Prod_Info,$Z145,H$3)</f>
        <v>#N/A</v>
      </c>
      <c r="I153" t="e" cm="1">
        <f t="array" ref="I153">INDEX(FLT_Prod_Info,$Z145,I$3)</f>
        <v>#N/A</v>
      </c>
      <c r="J153" t="e" cm="1">
        <f t="array" ref="J153">INDEX(FLT_Prod_Info,$Z145,J$3)</f>
        <v>#N/A</v>
      </c>
      <c r="K153" t="e" cm="1">
        <f t="array" ref="K153">INDEX(FLT_Prod_Info,$Z145,K$3)</f>
        <v>#N/A</v>
      </c>
      <c r="L153" t="e" cm="1">
        <f t="array" ref="L153">INDEX(FLT_Prod_Info,$Z145,L$3)</f>
        <v>#N/A</v>
      </c>
      <c r="M153" t="e" cm="1">
        <f t="array" ref="M153">INDEX(FLT_Prod_Info,$Z145,M$3)</f>
        <v>#N/A</v>
      </c>
      <c r="N153" t="e" cm="1">
        <f t="array" ref="N153">INDEX(FLT_Prod_Info,$Z145,N$3)</f>
        <v>#N/A</v>
      </c>
      <c r="O153" t="e" cm="1">
        <f t="array" ref="O153">INDEX(FLT_Prod_Info,$Z145,O$3)</f>
        <v>#N/A</v>
      </c>
      <c r="P153">
        <f t="shared" si="178"/>
        <v>149</v>
      </c>
    </row>
    <row r="154" spans="3:26" ht="17.149999999999999" x14ac:dyDescent="0.55000000000000004">
      <c r="C154" t="s">
        <v>1793</v>
      </c>
      <c r="D154" t="str" cm="1">
        <f t="array" ref="D154">INDEX(FLT_Prod_Info,$Z146,D$3)</f>
        <v>N/A</v>
      </c>
      <c r="E154" t="str" cm="1">
        <f t="array" ref="E154">INDEX(FLT_Prod_Info,$Z146,E$3)</f>
        <v>N/A</v>
      </c>
      <c r="F154" t="str" cm="1">
        <f t="array" ref="F154">INDEX(FLT_Prod_Info,$Z146,F$3)</f>
        <v>N/A</v>
      </c>
      <c r="G154" t="str" cm="1">
        <f t="array" ref="G154">INDEX(FLT_Prod_Info,$Z146,G$3)</f>
        <v>N/A</v>
      </c>
      <c r="H154" t="str" cm="1">
        <f t="array" ref="H154">INDEX(FLT_Prod_Info,$Z146,H$3)</f>
        <v>N/A</v>
      </c>
      <c r="I154" t="str" cm="1">
        <f t="array" ref="I154">INDEX(FLT_Prod_Info,$Z146,I$3)</f>
        <v>N/A</v>
      </c>
      <c r="J154" t="str" cm="1">
        <f t="array" ref="J154">INDEX(FLT_Prod_Info,$Z146,J$3)</f>
        <v>N/A</v>
      </c>
      <c r="K154" t="str" cm="1">
        <f t="array" ref="K154">INDEX(FLT_Prod_Info,$Z146,K$3)</f>
        <v>N/A</v>
      </c>
      <c r="L154" t="str" cm="1">
        <f t="array" ref="L154">INDEX(FLT_Prod_Info,$Z146,L$3)</f>
        <v>N/A</v>
      </c>
      <c r="M154" t="str" cm="1">
        <f t="array" ref="M154">INDEX(FLT_Prod_Info,$Z146,M$3)</f>
        <v>N/A</v>
      </c>
      <c r="N154" t="str" cm="1">
        <f t="array" ref="N154">INDEX(FLT_Prod_Info,$Z146,N$3)</f>
        <v>N/A</v>
      </c>
      <c r="O154" t="str" cm="1">
        <f t="array" ref="O154">INDEX(FLT_Prod_Info,$Z146,O$3)</f>
        <v>N/A</v>
      </c>
      <c r="P154">
        <f t="shared" si="178"/>
        <v>150</v>
      </c>
    </row>
    <row r="155" spans="3:26" ht="17.149999999999999" x14ac:dyDescent="0.55000000000000004">
      <c r="C155" t="s">
        <v>1388</v>
      </c>
      <c r="D155">
        <f t="shared" ref="D155:O155" si="179">IFERROR(IF(D145="Chemical",(10^(INDEX(Antoines,MATCH(D144,Antoine_Name,0),2)-INDEX(Antoines,MATCH(D144,Antoine_Name,0),3)/(INDEX(Antoines,MATCH(D144,Antoine_Name,0),4)+(D150-32)*5/9)))*14.7/760,IF(D145="Crude Oil",EXP((2799/(D150+459.6)-2.227)*LOG10(D151)-(7261/(D150+459.6))+12.82),IF(D145="Refined Petroleum Stock",EXP((0.7553-(413/(D150+459.6)))*(D152^0.5)*LOG10(D151)-(1.854-(1042/(D150+459.6)))*(D152^0.5)+((2416/(D150+459.6)-2.013)*LOG10(D151))-(8742/(D150+459.6))+15.64),EXP(INDEX(Antoines,MATCH(D144,Antoine_Name,0),2)-INDEX(Antoines,MATCH(D144,Antoine_Name,0),3)/(D150+459.6))))),0)</f>
        <v>4.9908726931861365E-3</v>
      </c>
      <c r="E155">
        <f t="shared" si="179"/>
        <v>5.3333695079556664E-3</v>
      </c>
      <c r="F155">
        <f t="shared" si="179"/>
        <v>5.8327735820621158E-3</v>
      </c>
      <c r="G155">
        <f t="shared" si="179"/>
        <v>6.7109156408769006E-3</v>
      </c>
      <c r="H155">
        <f t="shared" si="179"/>
        <v>8.1420968892496615E-3</v>
      </c>
      <c r="I155">
        <f t="shared" si="179"/>
        <v>9.3425153717444642E-3</v>
      </c>
      <c r="J155">
        <f t="shared" si="179"/>
        <v>1.0580932511488851E-2</v>
      </c>
      <c r="K155">
        <f t="shared" si="179"/>
        <v>1.0420253968363562E-2</v>
      </c>
      <c r="L155">
        <f t="shared" si="179"/>
        <v>9.2824891439311965E-3</v>
      </c>
      <c r="M155">
        <f t="shared" si="179"/>
        <v>7.132118972177537E-3</v>
      </c>
      <c r="N155">
        <f t="shared" si="179"/>
        <v>5.6188259724821105E-3</v>
      </c>
      <c r="O155">
        <f t="shared" si="179"/>
        <v>4.9083016820941801E-3</v>
      </c>
      <c r="P155">
        <f t="shared" si="178"/>
        <v>151</v>
      </c>
    </row>
    <row r="156" spans="3:26" ht="17.149999999999999" x14ac:dyDescent="0.55000000000000004">
      <c r="C156" t="s">
        <v>1389</v>
      </c>
      <c r="D156">
        <f t="shared" ref="D156:O156" si="180">D155*D148</f>
        <v>4.9908726931861365E-3</v>
      </c>
      <c r="E156">
        <f t="shared" si="180"/>
        <v>5.3333695079556664E-3</v>
      </c>
      <c r="F156">
        <f t="shared" si="180"/>
        <v>5.8327735820621158E-3</v>
      </c>
      <c r="G156">
        <f t="shared" si="180"/>
        <v>6.7109156408769006E-3</v>
      </c>
      <c r="H156">
        <f t="shared" si="180"/>
        <v>8.1420968892496615E-3</v>
      </c>
      <c r="I156">
        <f t="shared" si="180"/>
        <v>9.3425153717444642E-3</v>
      </c>
      <c r="J156">
        <f t="shared" si="180"/>
        <v>1.0580932511488851E-2</v>
      </c>
      <c r="K156">
        <f t="shared" si="180"/>
        <v>1.0420253968363562E-2</v>
      </c>
      <c r="L156">
        <f t="shared" si="180"/>
        <v>9.2824891439311965E-3</v>
      </c>
      <c r="M156">
        <f t="shared" si="180"/>
        <v>7.132118972177537E-3</v>
      </c>
      <c r="N156">
        <f t="shared" si="180"/>
        <v>5.6188259724821105E-3</v>
      </c>
      <c r="O156">
        <f t="shared" si="180"/>
        <v>4.9083016820941801E-3</v>
      </c>
      <c r="P156">
        <f t="shared" si="178"/>
        <v>152</v>
      </c>
    </row>
    <row r="157" spans="3:26" ht="17.149999999999999" x14ac:dyDescent="0.55000000000000004">
      <c r="C157" t="s">
        <v>1390</v>
      </c>
      <c r="D157">
        <f t="shared" ref="D157:O157" si="181">IFERROR(IF(D147="Chemical",(10^(INDEX(Antoines,MATCH(D146,Antoine_Name,0),2)-INDEX(Antoines,MATCH(D146,Antoine_Name,0),3)/(INDEX(Antoines,MATCH(D146,Antoine_Name,0),4)+(D150-32)*5/9)))*14.7/760,IF(D147="Crude Oil",EXP((2799/(D150+459.6)-2.227)*LOG10(D153)-(7261/(D150+459.6))+12.82),IF(D147="Refined Petroleum Stock",EXP((0.7553-(413/(D150+459.6)))*(D154^0.5)*LOG10(D153)-(1.854-(1042/(D150+459.6)))*(D154^0.5)+((2416/(D150+459.6)-2.013)*LOG10(D153))-(8742/(D150+459.6))+15.64),EXP(INDEX(Antoines,MATCH(D146,Antoine_Name,0),2)-INDEX(Antoines,MATCH(D146,Antoine_Name,0),3)/(D150+459.6))))),0)</f>
        <v>0</v>
      </c>
      <c r="E157">
        <f t="shared" si="181"/>
        <v>0</v>
      </c>
      <c r="F157">
        <f t="shared" si="181"/>
        <v>0</v>
      </c>
      <c r="G157">
        <f t="shared" si="181"/>
        <v>0</v>
      </c>
      <c r="H157">
        <f t="shared" si="181"/>
        <v>0</v>
      </c>
      <c r="I157">
        <f t="shared" si="181"/>
        <v>0</v>
      </c>
      <c r="J157">
        <f t="shared" si="181"/>
        <v>0</v>
      </c>
      <c r="K157">
        <f t="shared" si="181"/>
        <v>0</v>
      </c>
      <c r="L157">
        <f t="shared" si="181"/>
        <v>0</v>
      </c>
      <c r="M157">
        <f t="shared" si="181"/>
        <v>0</v>
      </c>
      <c r="N157">
        <f t="shared" si="181"/>
        <v>0</v>
      </c>
      <c r="O157">
        <f t="shared" si="181"/>
        <v>0</v>
      </c>
      <c r="P157">
        <f t="shared" si="178"/>
        <v>153</v>
      </c>
    </row>
    <row r="158" spans="3:26" ht="17.149999999999999" x14ac:dyDescent="0.55000000000000004">
      <c r="C158" t="s">
        <v>1391</v>
      </c>
      <c r="D158">
        <f t="shared" ref="D158:O158" si="182">D157*D149</f>
        <v>0</v>
      </c>
      <c r="E158">
        <f t="shared" si="182"/>
        <v>0</v>
      </c>
      <c r="F158">
        <f t="shared" si="182"/>
        <v>0</v>
      </c>
      <c r="G158">
        <f t="shared" si="182"/>
        <v>0</v>
      </c>
      <c r="H158">
        <f t="shared" si="182"/>
        <v>0</v>
      </c>
      <c r="I158">
        <f t="shared" si="182"/>
        <v>0</v>
      </c>
      <c r="J158">
        <f t="shared" si="182"/>
        <v>0</v>
      </c>
      <c r="K158">
        <f t="shared" si="182"/>
        <v>0</v>
      </c>
      <c r="L158">
        <f t="shared" si="182"/>
        <v>0</v>
      </c>
      <c r="M158">
        <f t="shared" si="182"/>
        <v>0</v>
      </c>
      <c r="N158">
        <f t="shared" si="182"/>
        <v>0</v>
      </c>
      <c r="O158">
        <f t="shared" si="182"/>
        <v>0</v>
      </c>
      <c r="P158">
        <f t="shared" si="178"/>
        <v>154</v>
      </c>
    </row>
    <row r="159" spans="3:26" ht="17.149999999999999" x14ac:dyDescent="0.55000000000000004">
      <c r="C159" t="s">
        <v>1392</v>
      </c>
      <c r="D159">
        <f>IF(D144="Out of Service",0,D156+D158)</f>
        <v>4.9908726931861365E-3</v>
      </c>
      <c r="E159">
        <f t="shared" ref="E159" si="183">IF(E144="Out of Service",0,E156+E158)</f>
        <v>5.3333695079556664E-3</v>
      </c>
      <c r="F159">
        <f t="shared" ref="F159" si="184">IF(F144="Out of Service",0,F156+F158)</f>
        <v>5.8327735820621158E-3</v>
      </c>
      <c r="G159">
        <f t="shared" ref="G159" si="185">IF(G144="Out of Service",0,G156+G158)</f>
        <v>6.7109156408769006E-3</v>
      </c>
      <c r="H159">
        <f t="shared" ref="H159" si="186">IF(H144="Out of Service",0,H156+H158)</f>
        <v>8.1420968892496615E-3</v>
      </c>
      <c r="I159">
        <f t="shared" ref="I159" si="187">IF(I144="Out of Service",0,I156+I158)</f>
        <v>9.3425153717444642E-3</v>
      </c>
      <c r="J159">
        <f t="shared" ref="J159" si="188">IF(J144="Out of Service",0,J156+J158)</f>
        <v>1.0580932511488851E-2</v>
      </c>
      <c r="K159">
        <f t="shared" ref="K159" si="189">IF(K144="Out of Service",0,K156+K158)</f>
        <v>1.0420253968363562E-2</v>
      </c>
      <c r="L159">
        <f t="shared" ref="L159" si="190">IF(L144="Out of Service",0,L156+L158)</f>
        <v>9.2824891439311965E-3</v>
      </c>
      <c r="M159">
        <f t="shared" ref="M159" si="191">IF(M144="Out of Service",0,M156+M158)</f>
        <v>7.132118972177537E-3</v>
      </c>
      <c r="N159">
        <f t="shared" ref="N159" si="192">IF(N144="Out of Service",0,N156+N158)</f>
        <v>5.6188259724821105E-3</v>
      </c>
      <c r="O159">
        <f t="shared" ref="O159" si="193">IF(O144="Out of Service",0,O156+O158)</f>
        <v>4.9083016820941801E-3</v>
      </c>
      <c r="P159">
        <f t="shared" si="178"/>
        <v>155</v>
      </c>
    </row>
    <row r="160" spans="3:26" x14ac:dyDescent="0.4">
      <c r="C160" t="s">
        <v>1513</v>
      </c>
      <c r="D160">
        <f t="shared" ref="D160:O160" si="194">(D159/D143)/(1+(SQRT(1-D159/D143))^2)</f>
        <v>1.6978639712514365E-4</v>
      </c>
      <c r="E160">
        <f t="shared" si="194"/>
        <v>1.8144004063727634E-4</v>
      </c>
      <c r="F160">
        <f t="shared" si="194"/>
        <v>1.9843302710817828E-4</v>
      </c>
      <c r="G160">
        <f t="shared" si="194"/>
        <v>2.2831455240060017E-4</v>
      </c>
      <c r="H160">
        <f t="shared" si="194"/>
        <v>2.7701878922012363E-4</v>
      </c>
      <c r="I160">
        <f t="shared" si="194"/>
        <v>3.1787364323614527E-4</v>
      </c>
      <c r="J160">
        <f t="shared" si="194"/>
        <v>3.6002523517703034E-4</v>
      </c>
      <c r="K160">
        <f t="shared" si="194"/>
        <v>3.5455607254032174E-4</v>
      </c>
      <c r="L160">
        <f t="shared" si="194"/>
        <v>3.1583064076276865E-4</v>
      </c>
      <c r="M160">
        <f t="shared" si="194"/>
        <v>2.4264794442808003E-4</v>
      </c>
      <c r="N160">
        <f t="shared" si="194"/>
        <v>1.9115306218614426E-4</v>
      </c>
      <c r="O160">
        <f t="shared" si="194"/>
        <v>1.6697691344079227E-4</v>
      </c>
      <c r="P160">
        <f t="shared" si="178"/>
        <v>156</v>
      </c>
    </row>
    <row r="161" spans="1:26" ht="17.149999999999999" x14ac:dyDescent="0.55000000000000004">
      <c r="C161" t="s">
        <v>584</v>
      </c>
      <c r="D161">
        <f t="shared" ref="D161:H161" si="195">IFERROR(D156/D159,1)</f>
        <v>1</v>
      </c>
      <c r="E161">
        <f t="shared" si="195"/>
        <v>1</v>
      </c>
      <c r="F161">
        <f t="shared" si="195"/>
        <v>1</v>
      </c>
      <c r="G161">
        <f t="shared" si="195"/>
        <v>1</v>
      </c>
      <c r="H161">
        <f t="shared" si="195"/>
        <v>1</v>
      </c>
      <c r="I161">
        <f>IFERROR(I156/I159,1)</f>
        <v>1</v>
      </c>
      <c r="J161">
        <f t="shared" ref="J161:O161" si="196">IFERROR(J156/J159,1)</f>
        <v>1</v>
      </c>
      <c r="K161">
        <f t="shared" si="196"/>
        <v>1</v>
      </c>
      <c r="L161">
        <f t="shared" si="196"/>
        <v>1</v>
      </c>
      <c r="M161">
        <f t="shared" si="196"/>
        <v>1</v>
      </c>
      <c r="N161">
        <f t="shared" si="196"/>
        <v>1</v>
      </c>
      <c r="O161">
        <f t="shared" si="196"/>
        <v>1</v>
      </c>
      <c r="P161">
        <f t="shared" si="178"/>
        <v>157</v>
      </c>
    </row>
    <row r="162" spans="1:26" ht="17.149999999999999" x14ac:dyDescent="0.55000000000000004">
      <c r="C162" t="s">
        <v>585</v>
      </c>
      <c r="D162">
        <f t="shared" ref="D162:O162" si="197">INDEX(Phys_Prop,MATCH(D144,Chem_List,0),3)</f>
        <v>130</v>
      </c>
      <c r="E162">
        <f t="shared" si="197"/>
        <v>130</v>
      </c>
      <c r="F162">
        <f t="shared" si="197"/>
        <v>130</v>
      </c>
      <c r="G162">
        <f t="shared" si="197"/>
        <v>130</v>
      </c>
      <c r="H162">
        <f t="shared" si="197"/>
        <v>130</v>
      </c>
      <c r="I162">
        <f t="shared" si="197"/>
        <v>130</v>
      </c>
      <c r="J162">
        <f t="shared" si="197"/>
        <v>130</v>
      </c>
      <c r="K162">
        <f t="shared" si="197"/>
        <v>130</v>
      </c>
      <c r="L162">
        <f t="shared" si="197"/>
        <v>130</v>
      </c>
      <c r="M162">
        <f t="shared" si="197"/>
        <v>130</v>
      </c>
      <c r="N162">
        <f t="shared" si="197"/>
        <v>130</v>
      </c>
      <c r="O162">
        <f t="shared" si="197"/>
        <v>130</v>
      </c>
      <c r="P162">
        <f t="shared" si="178"/>
        <v>158</v>
      </c>
    </row>
    <row r="163" spans="1:26" ht="17.149999999999999" x14ac:dyDescent="0.55000000000000004">
      <c r="C163" t="s">
        <v>586</v>
      </c>
      <c r="D163">
        <f>D158/D159</f>
        <v>0</v>
      </c>
      <c r="E163">
        <f t="shared" ref="E163:O163" si="198">E158/E159</f>
        <v>0</v>
      </c>
      <c r="F163">
        <f t="shared" si="198"/>
        <v>0</v>
      </c>
      <c r="G163">
        <f t="shared" si="198"/>
        <v>0</v>
      </c>
      <c r="H163">
        <f t="shared" si="198"/>
        <v>0</v>
      </c>
      <c r="I163">
        <f t="shared" si="198"/>
        <v>0</v>
      </c>
      <c r="J163">
        <f t="shared" si="198"/>
        <v>0</v>
      </c>
      <c r="K163">
        <f t="shared" si="198"/>
        <v>0</v>
      </c>
      <c r="L163">
        <f t="shared" si="198"/>
        <v>0</v>
      </c>
      <c r="M163">
        <f t="shared" si="198"/>
        <v>0</v>
      </c>
      <c r="N163">
        <f t="shared" si="198"/>
        <v>0</v>
      </c>
      <c r="O163">
        <f t="shared" si="198"/>
        <v>0</v>
      </c>
      <c r="P163">
        <f t="shared" si="178"/>
        <v>159</v>
      </c>
    </row>
    <row r="164" spans="1:26" ht="17.149999999999999" x14ac:dyDescent="0.55000000000000004">
      <c r="C164" t="s">
        <v>587</v>
      </c>
      <c r="D164">
        <f t="shared" ref="D164:O164" si="199">IFERROR(INDEX(Phys_Prop,MATCH(D146,Chem_List,0),3),0)</f>
        <v>0</v>
      </c>
      <c r="E164">
        <f t="shared" si="199"/>
        <v>0</v>
      </c>
      <c r="F164">
        <f t="shared" si="199"/>
        <v>0</v>
      </c>
      <c r="G164">
        <f t="shared" si="199"/>
        <v>0</v>
      </c>
      <c r="H164">
        <f t="shared" si="199"/>
        <v>0</v>
      </c>
      <c r="I164">
        <f t="shared" si="199"/>
        <v>0</v>
      </c>
      <c r="J164">
        <f t="shared" si="199"/>
        <v>0</v>
      </c>
      <c r="K164">
        <f t="shared" si="199"/>
        <v>0</v>
      </c>
      <c r="L164">
        <f t="shared" si="199"/>
        <v>0</v>
      </c>
      <c r="M164">
        <f t="shared" si="199"/>
        <v>0</v>
      </c>
      <c r="N164">
        <f t="shared" si="199"/>
        <v>0</v>
      </c>
      <c r="O164">
        <f t="shared" si="199"/>
        <v>0</v>
      </c>
      <c r="P164">
        <f t="shared" si="178"/>
        <v>160</v>
      </c>
    </row>
    <row r="165" spans="1:26" ht="17.149999999999999" x14ac:dyDescent="0.55000000000000004">
      <c r="A165" s="11"/>
      <c r="B165" s="11"/>
      <c r="C165" s="11" t="s">
        <v>588</v>
      </c>
      <c r="D165" s="11">
        <f>IFERROR(D161*D162+D163*D164,0)</f>
        <v>130</v>
      </c>
      <c r="E165" s="11">
        <f t="shared" ref="E165" si="200">IFERROR(E161*E162+E163*E164,0)</f>
        <v>130</v>
      </c>
      <c r="F165" s="11">
        <f t="shared" ref="F165" si="201">IFERROR(F161*F162+F163*F164,0)</f>
        <v>130</v>
      </c>
      <c r="G165" s="11">
        <f t="shared" ref="G165" si="202">IFERROR(G161*G162+G163*G164,0)</f>
        <v>130</v>
      </c>
      <c r="H165" s="11">
        <f t="shared" ref="H165" si="203">IFERROR(H161*H162+H163*H164,0)</f>
        <v>130</v>
      </c>
      <c r="I165" s="11">
        <f t="shared" ref="I165" si="204">IFERROR(I161*I162+I163*I164,0)</f>
        <v>130</v>
      </c>
      <c r="J165" s="11">
        <f t="shared" ref="J165" si="205">IFERROR(J161*J162+J163*J164,0)</f>
        <v>130</v>
      </c>
      <c r="K165" s="11">
        <f t="shared" ref="K165" si="206">IFERROR(K161*K162+K163*K164,0)</f>
        <v>130</v>
      </c>
      <c r="L165" s="11">
        <f t="shared" ref="L165" si="207">IFERROR(L161*L162+L163*L164,0)</f>
        <v>130</v>
      </c>
      <c r="M165" s="11">
        <f t="shared" ref="M165" si="208">IFERROR(M161*M162+M163*M164,0)</f>
        <v>130</v>
      </c>
      <c r="N165" s="11">
        <f t="shared" ref="N165" si="209">IFERROR(N161*N162+N163*N164,0)</f>
        <v>130</v>
      </c>
      <c r="O165" s="11">
        <f t="shared" ref="O165" si="210">IFERROR(O161*O162+O163*O164,0)</f>
        <v>130</v>
      </c>
      <c r="P165" s="11">
        <f t="shared" si="178"/>
        <v>161</v>
      </c>
      <c r="Q165" s="11"/>
      <c r="R165" s="11"/>
      <c r="S165" s="11"/>
      <c r="T165" s="11"/>
      <c r="U165" s="11"/>
      <c r="V165" s="11"/>
      <c r="W165" s="11"/>
      <c r="X165" s="11"/>
      <c r="Y165" s="11"/>
    </row>
    <row r="166" spans="1:26" ht="17.149999999999999" x14ac:dyDescent="0.55000000000000004">
      <c r="A166" t="str" cm="1">
        <f t="array" ref="A166">INDEX(FLT_Cons,$R166,T$5)</f>
        <v>FLT - 8</v>
      </c>
      <c r="B166" t="str" cm="1">
        <f t="array" ref="B166">INDEX(FLT_Cons,$R166,T$6)</f>
        <v>Portland</v>
      </c>
      <c r="C166" t="s">
        <v>563</v>
      </c>
      <c r="D166">
        <v>14.7</v>
      </c>
      <c r="E166">
        <v>14.7</v>
      </c>
      <c r="F166">
        <v>14.7</v>
      </c>
      <c r="G166">
        <v>14.7</v>
      </c>
      <c r="H166">
        <v>14.7</v>
      </c>
      <c r="I166">
        <v>14.7</v>
      </c>
      <c r="J166">
        <v>14.7</v>
      </c>
      <c r="K166">
        <v>14.7</v>
      </c>
      <c r="L166">
        <v>14.7</v>
      </c>
      <c r="M166">
        <v>14.7</v>
      </c>
      <c r="N166">
        <v>14.7</v>
      </c>
      <c r="O166">
        <v>14.7</v>
      </c>
      <c r="P166">
        <f>P165+1</f>
        <v>162</v>
      </c>
      <c r="R166">
        <f>R143+1</f>
        <v>8</v>
      </c>
      <c r="S166" t="s">
        <v>237</v>
      </c>
      <c r="T166">
        <v>1</v>
      </c>
      <c r="W166" t="s">
        <v>1516</v>
      </c>
      <c r="X166">
        <f>X143+12</f>
        <v>90</v>
      </c>
      <c r="Y166" t="s">
        <v>1787</v>
      </c>
      <c r="Z166">
        <f>Z143+12</f>
        <v>87</v>
      </c>
    </row>
    <row r="167" spans="1:26" x14ac:dyDescent="0.4">
      <c r="C167" s="66" t="s">
        <v>567</v>
      </c>
      <c r="D167" t="str" cm="1">
        <f t="array" ref="D167">INDEX(Flt_Multi,$V167,D$3)</f>
        <v>Bakken Crude</v>
      </c>
      <c r="E167" t="str" cm="1">
        <f t="array" ref="E167">INDEX(Flt_Multi,$V167,E$3)</f>
        <v>Bakken Crude</v>
      </c>
      <c r="F167" t="str" cm="1">
        <f t="array" ref="F167">INDEX(Flt_Multi,$V167,F$3)</f>
        <v>Bakken Crude</v>
      </c>
      <c r="G167" t="str" cm="1">
        <f t="array" ref="G167">INDEX(Flt_Multi,$V167,G$3)</f>
        <v>Bakken Crude</v>
      </c>
      <c r="H167" t="str" cm="1">
        <f t="array" ref="H167">INDEX(Flt_Multi,$V167,H$3)</f>
        <v>Bakken Crude</v>
      </c>
      <c r="I167" t="str" cm="1">
        <f t="array" ref="I167">INDEX(Flt_Multi,$V167,I$3)</f>
        <v>Bakken Crude</v>
      </c>
      <c r="J167" t="str" cm="1">
        <f t="array" ref="J167">INDEX(Flt_Multi,$V167,J$3)</f>
        <v>Bakken Crude</v>
      </c>
      <c r="K167" t="str" cm="1">
        <f t="array" ref="K167">INDEX(Flt_Multi,$V167,K$3)</f>
        <v>Bakken Crude</v>
      </c>
      <c r="L167" t="str" cm="1">
        <f t="array" ref="L167">INDEX(Flt_Multi,$V167,L$3)</f>
        <v>Bakken Crude</v>
      </c>
      <c r="M167" t="str" cm="1">
        <f t="array" ref="M167">INDEX(Flt_Multi,$V167,M$3)</f>
        <v>Bakken Crude</v>
      </c>
      <c r="N167" t="str" cm="1">
        <f t="array" ref="N167">INDEX(Flt_Multi,$V167,N$3)</f>
        <v>Bakken Crude</v>
      </c>
      <c r="O167" t="str" cm="1">
        <f t="array" ref="O167">INDEX(Flt_Multi,$V167,O$3)</f>
        <v>Bakken Crude</v>
      </c>
      <c r="P167">
        <f>P166+1</f>
        <v>163</v>
      </c>
      <c r="S167" t="s">
        <v>549</v>
      </c>
      <c r="T167">
        <v>3</v>
      </c>
      <c r="U167" s="66" t="s">
        <v>567</v>
      </c>
      <c r="V167">
        <f>V144+14</f>
        <v>99</v>
      </c>
      <c r="Y167" t="s">
        <v>1786</v>
      </c>
      <c r="Z167">
        <f>Z166+1</f>
        <v>88</v>
      </c>
    </row>
    <row r="168" spans="1:26" x14ac:dyDescent="0.4">
      <c r="C168" s="66" t="s">
        <v>566</v>
      </c>
      <c r="D168" t="str" cm="1">
        <f t="array" ref="D168">INDEX(Flt_Multi,$V168,D$3)</f>
        <v>Crude Oil</v>
      </c>
      <c r="E168" t="str" cm="1">
        <f t="array" ref="E168">INDEX(Flt_Multi,$V168,E$3)</f>
        <v>Crude Oil</v>
      </c>
      <c r="F168" t="str" cm="1">
        <f t="array" ref="F168">INDEX(Flt_Multi,$V168,F$3)</f>
        <v>Crude Oil</v>
      </c>
      <c r="G168" t="str" cm="1">
        <f t="array" ref="G168">INDEX(Flt_Multi,$V168,G$3)</f>
        <v>Crude Oil</v>
      </c>
      <c r="H168" t="str" cm="1">
        <f t="array" ref="H168">INDEX(Flt_Multi,$V168,H$3)</f>
        <v>Crude Oil</v>
      </c>
      <c r="I168" t="str" cm="1">
        <f t="array" ref="I168">INDEX(Flt_Multi,$V168,I$3)</f>
        <v>Crude Oil</v>
      </c>
      <c r="J168" t="str" cm="1">
        <f t="array" ref="J168">INDEX(Flt_Multi,$V168,J$3)</f>
        <v>Crude Oil</v>
      </c>
      <c r="K168" t="str" cm="1">
        <f t="array" ref="K168">INDEX(Flt_Multi,$V168,K$3)</f>
        <v>Crude Oil</v>
      </c>
      <c r="L168" t="str" cm="1">
        <f t="array" ref="L168">INDEX(Flt_Multi,$V168,L$3)</f>
        <v>Crude Oil</v>
      </c>
      <c r="M168" t="str" cm="1">
        <f t="array" ref="M168">INDEX(Flt_Multi,$V168,M$3)</f>
        <v>Crude Oil</v>
      </c>
      <c r="N168" t="str" cm="1">
        <f t="array" ref="N168">INDEX(Flt_Multi,$V168,N$3)</f>
        <v>Crude Oil</v>
      </c>
      <c r="O168" t="str" cm="1">
        <f t="array" ref="O168">INDEX(Flt_Multi,$V168,O$3)</f>
        <v>Crude Oil</v>
      </c>
      <c r="P168">
        <f t="shared" ref="P168:P188" si="211">P167+1</f>
        <v>164</v>
      </c>
      <c r="U168" s="66" t="s">
        <v>566</v>
      </c>
      <c r="V168">
        <f>V167+2</f>
        <v>101</v>
      </c>
      <c r="Y168" t="s">
        <v>1788</v>
      </c>
      <c r="Z168">
        <f>Z166+5</f>
        <v>92</v>
      </c>
    </row>
    <row r="169" spans="1:26" x14ac:dyDescent="0.4">
      <c r="C169" s="66" t="s">
        <v>568</v>
      </c>
      <c r="D169" t="str" cm="1">
        <f t="array" ref="D169">INDEX(Flt_Multi,$V169,D$3)</f>
        <v/>
      </c>
      <c r="E169" t="str" cm="1">
        <f t="array" ref="E169">INDEX(Flt_Multi,$V169,E$3)</f>
        <v/>
      </c>
      <c r="F169" t="str" cm="1">
        <f t="array" ref="F169">INDEX(Flt_Multi,$V169,F$3)</f>
        <v/>
      </c>
      <c r="G169" t="str" cm="1">
        <f t="array" ref="G169">INDEX(Flt_Multi,$V169,G$3)</f>
        <v/>
      </c>
      <c r="H169" t="str" cm="1">
        <f t="array" ref="H169">INDEX(Flt_Multi,$V169,H$3)</f>
        <v/>
      </c>
      <c r="I169" t="str" cm="1">
        <f t="array" ref="I169">INDEX(Flt_Multi,$V169,I$3)</f>
        <v/>
      </c>
      <c r="J169" t="str" cm="1">
        <f t="array" ref="J169">INDEX(Flt_Multi,$V169,J$3)</f>
        <v/>
      </c>
      <c r="K169" t="str" cm="1">
        <f t="array" ref="K169">INDEX(Flt_Multi,$V169,K$3)</f>
        <v/>
      </c>
      <c r="L169" t="str" cm="1">
        <f t="array" ref="L169">INDEX(Flt_Multi,$V169,L$3)</f>
        <v/>
      </c>
      <c r="M169" t="str" cm="1">
        <f t="array" ref="M169">INDEX(Flt_Multi,$V169,M$3)</f>
        <v/>
      </c>
      <c r="N169" t="str" cm="1">
        <f t="array" ref="N169">INDEX(Flt_Multi,$V169,N$3)</f>
        <v/>
      </c>
      <c r="O169" t="str" cm="1">
        <f t="array" ref="O169">INDEX(Flt_Multi,$V169,O$3)</f>
        <v/>
      </c>
      <c r="P169">
        <f t="shared" si="211"/>
        <v>165</v>
      </c>
      <c r="U169" s="66" t="s">
        <v>568</v>
      </c>
      <c r="V169">
        <f>V167+1</f>
        <v>100</v>
      </c>
      <c r="Y169" t="s">
        <v>1789</v>
      </c>
      <c r="Z169">
        <f>Z168+1</f>
        <v>93</v>
      </c>
    </row>
    <row r="170" spans="1:26" x14ac:dyDescent="0.4">
      <c r="C170" s="66" t="s">
        <v>569</v>
      </c>
      <c r="D170" t="e" cm="1">
        <f t="array" ref="D170">INDEX(Flt_Multi,$V170,D$3)</f>
        <v>#N/A</v>
      </c>
      <c r="E170" t="e" cm="1">
        <f t="array" ref="E170">INDEX(Flt_Multi,$V170,E$3)</f>
        <v>#N/A</v>
      </c>
      <c r="F170" t="e" cm="1">
        <f t="array" ref="F170">INDEX(Flt_Multi,$V170,F$3)</f>
        <v>#N/A</v>
      </c>
      <c r="G170" t="e" cm="1">
        <f t="array" ref="G170">INDEX(Flt_Multi,$V170,G$3)</f>
        <v>#N/A</v>
      </c>
      <c r="H170" t="e" cm="1">
        <f t="array" ref="H170">INDEX(Flt_Multi,$V170,H$3)</f>
        <v>#N/A</v>
      </c>
      <c r="I170" t="e" cm="1">
        <f t="array" ref="I170">INDEX(Flt_Multi,$V170,I$3)</f>
        <v>#N/A</v>
      </c>
      <c r="J170" t="e" cm="1">
        <f t="array" ref="J170">INDEX(Flt_Multi,$V170,J$3)</f>
        <v>#N/A</v>
      </c>
      <c r="K170" t="e" cm="1">
        <f t="array" ref="K170">INDEX(Flt_Multi,$V170,K$3)</f>
        <v>#N/A</v>
      </c>
      <c r="L170" t="e" cm="1">
        <f t="array" ref="L170">INDEX(Flt_Multi,$V170,L$3)</f>
        <v>#N/A</v>
      </c>
      <c r="M170" t="e" cm="1">
        <f t="array" ref="M170">INDEX(Flt_Multi,$V170,M$3)</f>
        <v>#N/A</v>
      </c>
      <c r="N170" t="e" cm="1">
        <f t="array" ref="N170">INDEX(Flt_Multi,$V170,N$3)</f>
        <v>#N/A</v>
      </c>
      <c r="O170" t="e" cm="1">
        <f t="array" ref="O170">INDEX(Flt_Multi,$V170,O$3)</f>
        <v>#N/A</v>
      </c>
      <c r="P170">
        <f t="shared" si="211"/>
        <v>166</v>
      </c>
      <c r="U170" s="66" t="s">
        <v>569</v>
      </c>
      <c r="V170">
        <f>V169+2</f>
        <v>102</v>
      </c>
    </row>
    <row r="171" spans="1:26" ht="17.149999999999999" x14ac:dyDescent="0.55000000000000004">
      <c r="C171" t="s">
        <v>570</v>
      </c>
      <c r="D171" cm="1">
        <f t="array" ref="D171">INDEX(Flt_Multi,$V171,D$3)</f>
        <v>1</v>
      </c>
      <c r="E171" cm="1">
        <f t="array" ref="E171">INDEX(Flt_Multi,$V171,E$3)</f>
        <v>1</v>
      </c>
      <c r="F171" cm="1">
        <f t="array" ref="F171">INDEX(Flt_Multi,$V171,F$3)</f>
        <v>1</v>
      </c>
      <c r="G171" cm="1">
        <f t="array" ref="G171">INDEX(Flt_Multi,$V171,G$3)</f>
        <v>1</v>
      </c>
      <c r="H171" cm="1">
        <f t="array" ref="H171">INDEX(Flt_Multi,$V171,H$3)</f>
        <v>1</v>
      </c>
      <c r="I171" cm="1">
        <f t="array" ref="I171">INDEX(Flt_Multi,$V171,I$3)</f>
        <v>1</v>
      </c>
      <c r="J171" cm="1">
        <f t="array" ref="J171">INDEX(Flt_Multi,$V171,J$3)</f>
        <v>1</v>
      </c>
      <c r="K171" cm="1">
        <f t="array" ref="K171">INDEX(Flt_Multi,$V171,K$3)</f>
        <v>1</v>
      </c>
      <c r="L171" cm="1">
        <f t="array" ref="L171">INDEX(Flt_Multi,$V171,L$3)</f>
        <v>1</v>
      </c>
      <c r="M171" cm="1">
        <f t="array" ref="M171">INDEX(Flt_Multi,$V171,M$3)</f>
        <v>1</v>
      </c>
      <c r="N171" cm="1">
        <f t="array" ref="N171">INDEX(Flt_Multi,$V171,N$3)</f>
        <v>1</v>
      </c>
      <c r="O171" cm="1">
        <f t="array" ref="O171">INDEX(Flt_Multi,$V171,O$3)</f>
        <v>1</v>
      </c>
      <c r="P171">
        <f t="shared" si="211"/>
        <v>167</v>
      </c>
      <c r="U171" t="s">
        <v>570</v>
      </c>
      <c r="V171">
        <f>V167+9</f>
        <v>108</v>
      </c>
    </row>
    <row r="172" spans="1:26" ht="17.149999999999999" x14ac:dyDescent="0.55000000000000004">
      <c r="C172" t="s">
        <v>572</v>
      </c>
      <c r="D172" cm="1">
        <f t="array" ref="D172">INDEX(Flt_Multi,$V172,D$3)</f>
        <v>0</v>
      </c>
      <c r="E172" cm="1">
        <f t="array" ref="E172">INDEX(Flt_Multi,$V172,E$3)</f>
        <v>0</v>
      </c>
      <c r="F172" cm="1">
        <f t="array" ref="F172">INDEX(Flt_Multi,$V172,F$3)</f>
        <v>0</v>
      </c>
      <c r="G172" cm="1">
        <f t="array" ref="G172">INDEX(Flt_Multi,$V172,G$3)</f>
        <v>0</v>
      </c>
      <c r="H172" cm="1">
        <f t="array" ref="H172">INDEX(Flt_Multi,$V172,H$3)</f>
        <v>0</v>
      </c>
      <c r="I172" cm="1">
        <f t="array" ref="I172">INDEX(Flt_Multi,$V172,I$3)</f>
        <v>0</v>
      </c>
      <c r="J172" cm="1">
        <f t="array" ref="J172">INDEX(Flt_Multi,$V172,J$3)</f>
        <v>0</v>
      </c>
      <c r="K172" cm="1">
        <f t="array" ref="K172">INDEX(Flt_Multi,$V172,K$3)</f>
        <v>0</v>
      </c>
      <c r="L172" cm="1">
        <f t="array" ref="L172">INDEX(Flt_Multi,$V172,L$3)</f>
        <v>0</v>
      </c>
      <c r="M172" cm="1">
        <f t="array" ref="M172">INDEX(Flt_Multi,$V172,M$3)</f>
        <v>0</v>
      </c>
      <c r="N172" cm="1">
        <f t="array" ref="N172">INDEX(Flt_Multi,$V172,N$3)</f>
        <v>0</v>
      </c>
      <c r="O172" cm="1">
        <f t="array" ref="O172">INDEX(Flt_Multi,$V172,O$3)</f>
        <v>0</v>
      </c>
      <c r="P172">
        <f t="shared" si="211"/>
        <v>168</v>
      </c>
      <c r="U172" t="s">
        <v>572</v>
      </c>
      <c r="V172">
        <f>V169+9</f>
        <v>109</v>
      </c>
    </row>
    <row r="173" spans="1:26" ht="17.149999999999999" x14ac:dyDescent="0.55000000000000004">
      <c r="C173" t="s">
        <v>552</v>
      </c>
      <c r="D173" cm="1">
        <f t="array" ref="D173">INDEX(Flt_Temps,$X166,D$3)-459.6</f>
        <v>44.45733397757283</v>
      </c>
      <c r="E173" cm="1">
        <f t="array" ref="E173">INDEX(Flt_Temps,$X166,E$3)-459.6</f>
        <v>45.674928240652264</v>
      </c>
      <c r="F173" cm="1">
        <f t="array" ref="F173">INDEX(Flt_Temps,$X166,F$3)-459.6</f>
        <v>47.525020111753349</v>
      </c>
      <c r="G173" cm="1">
        <f t="array" ref="G173">INDEX(Flt_Temps,$X166,G$3)-459.6</f>
        <v>50.634350262160865</v>
      </c>
      <c r="H173" cm="1">
        <f t="array" ref="H173">INDEX(Flt_Temps,$X166,H$3)-459.6</f>
        <v>55.647441176470579</v>
      </c>
      <c r="I173" cm="1">
        <f t="array" ref="I173">INDEX(Flt_Temps,$X166,I$3)-459.6</f>
        <v>59.59368041256846</v>
      </c>
      <c r="J173" cm="1">
        <f t="array" ref="J173">INDEX(Flt_Temps,$X166,J$3)-459.6</f>
        <v>63.225295725056412</v>
      </c>
      <c r="K173" cm="1">
        <f t="array" ref="K173">INDEX(Flt_Temps,$X166,K$3)-459.6</f>
        <v>63.324321558421616</v>
      </c>
      <c r="L173" cm="1">
        <f t="array" ref="L173">INDEX(Flt_Temps,$X166,L$3)-459.6</f>
        <v>60.543356959699963</v>
      </c>
      <c r="M173" cm="1">
        <f t="array" ref="M173">INDEX(Flt_Temps,$X166,M$3)-459.6</f>
        <v>53.832912931991359</v>
      </c>
      <c r="N173" cm="1">
        <f t="array" ref="N173">INDEX(Flt_Temps,$X166,N$3)-459.6</f>
        <v>47.735328236825012</v>
      </c>
      <c r="O173" cm="1">
        <f t="array" ref="O173">INDEX(Flt_Temps,$X166,O$3)-459.6</f>
        <v>44.090713881128352</v>
      </c>
      <c r="P173">
        <f t="shared" si="211"/>
        <v>169</v>
      </c>
    </row>
    <row r="174" spans="1:26" ht="17.149999999999999" x14ac:dyDescent="0.55000000000000004">
      <c r="C174" t="s">
        <v>1790</v>
      </c>
      <c r="D174" cm="1">
        <f t="array" ref="D174">INDEX(FLT_Prod_Info,$Z166,D$3)</f>
        <v>10.199999999999999</v>
      </c>
      <c r="E174" cm="1">
        <f t="array" ref="E174">INDEX(FLT_Prod_Info,$Z166,E$3)</f>
        <v>10.199999999999999</v>
      </c>
      <c r="F174" cm="1">
        <f t="array" ref="F174">INDEX(FLT_Prod_Info,$Z166,F$3)</f>
        <v>10.199999999999999</v>
      </c>
      <c r="G174" cm="1">
        <f t="array" ref="G174">INDEX(FLT_Prod_Info,$Z166,G$3)</f>
        <v>10.199999999999999</v>
      </c>
      <c r="H174" cm="1">
        <f t="array" ref="H174">INDEX(FLT_Prod_Info,$Z166,H$3)</f>
        <v>10.199999999999999</v>
      </c>
      <c r="I174" cm="1">
        <f t="array" ref="I174">INDEX(FLT_Prod_Info,$Z166,I$3)</f>
        <v>10.199999999999999</v>
      </c>
      <c r="J174" cm="1">
        <f t="array" ref="J174">INDEX(FLT_Prod_Info,$Z166,J$3)</f>
        <v>10.199999999999999</v>
      </c>
      <c r="K174" cm="1">
        <f t="array" ref="K174">INDEX(FLT_Prod_Info,$Z166,K$3)</f>
        <v>10.199999999999999</v>
      </c>
      <c r="L174" cm="1">
        <f t="array" ref="L174">INDEX(FLT_Prod_Info,$Z166,L$3)</f>
        <v>10.199999999999999</v>
      </c>
      <c r="M174" cm="1">
        <f t="array" ref="M174">INDEX(FLT_Prod_Info,$Z166,M$3)</f>
        <v>10.199999999999999</v>
      </c>
      <c r="N174" cm="1">
        <f t="array" ref="N174">INDEX(FLT_Prod_Info,$Z166,N$3)</f>
        <v>10.199999999999999</v>
      </c>
      <c r="O174" cm="1">
        <f t="array" ref="O174">INDEX(FLT_Prod_Info,$Z166,O$3)</f>
        <v>10.199999999999999</v>
      </c>
      <c r="P174">
        <f t="shared" si="211"/>
        <v>170</v>
      </c>
    </row>
    <row r="175" spans="1:26" ht="17.149999999999999" x14ac:dyDescent="0.55000000000000004">
      <c r="C175" t="s">
        <v>1791</v>
      </c>
      <c r="D175" cm="1">
        <f t="array" ref="D175">INDEX(FLT_Prod_Info,$Z167,D$3)</f>
        <v>0</v>
      </c>
      <c r="E175" cm="1">
        <f t="array" ref="E175">INDEX(FLT_Prod_Info,$Z167,E$3)</f>
        <v>0</v>
      </c>
      <c r="F175" cm="1">
        <f t="array" ref="F175">INDEX(FLT_Prod_Info,$Z167,F$3)</f>
        <v>0</v>
      </c>
      <c r="G175" cm="1">
        <f t="array" ref="G175">INDEX(FLT_Prod_Info,$Z167,G$3)</f>
        <v>0</v>
      </c>
      <c r="H175" cm="1">
        <f t="array" ref="H175">INDEX(FLT_Prod_Info,$Z167,H$3)</f>
        <v>0</v>
      </c>
      <c r="I175" cm="1">
        <f t="array" ref="I175">INDEX(FLT_Prod_Info,$Z167,I$3)</f>
        <v>0</v>
      </c>
      <c r="J175" cm="1">
        <f t="array" ref="J175">INDEX(FLT_Prod_Info,$Z167,J$3)</f>
        <v>0</v>
      </c>
      <c r="K175" cm="1">
        <f t="array" ref="K175">INDEX(FLT_Prod_Info,$Z167,K$3)</f>
        <v>0</v>
      </c>
      <c r="L175" cm="1">
        <f t="array" ref="L175">INDEX(FLT_Prod_Info,$Z167,L$3)</f>
        <v>0</v>
      </c>
      <c r="M175" cm="1">
        <f t="array" ref="M175">INDEX(FLT_Prod_Info,$Z167,M$3)</f>
        <v>0</v>
      </c>
      <c r="N175" cm="1">
        <f t="array" ref="N175">INDEX(FLT_Prod_Info,$Z167,N$3)</f>
        <v>0</v>
      </c>
      <c r="O175" cm="1">
        <f t="array" ref="O175">INDEX(FLT_Prod_Info,$Z167,O$3)</f>
        <v>0</v>
      </c>
      <c r="P175">
        <f t="shared" si="211"/>
        <v>171</v>
      </c>
    </row>
    <row r="176" spans="1:26" ht="17.149999999999999" x14ac:dyDescent="0.55000000000000004">
      <c r="C176" t="s">
        <v>1792</v>
      </c>
      <c r="D176" t="e" cm="1">
        <f t="array" ref="D176">INDEX(FLT_Prod_Info,$Z168,D$3)</f>
        <v>#N/A</v>
      </c>
      <c r="E176" t="e" cm="1">
        <f t="array" ref="E176">INDEX(FLT_Prod_Info,$Z168,E$3)</f>
        <v>#N/A</v>
      </c>
      <c r="F176" t="e" cm="1">
        <f t="array" ref="F176">INDEX(FLT_Prod_Info,$Z168,F$3)</f>
        <v>#N/A</v>
      </c>
      <c r="G176" t="e" cm="1">
        <f t="array" ref="G176">INDEX(FLT_Prod_Info,$Z168,G$3)</f>
        <v>#N/A</v>
      </c>
      <c r="H176" t="e" cm="1">
        <f t="array" ref="H176">INDEX(FLT_Prod_Info,$Z168,H$3)</f>
        <v>#N/A</v>
      </c>
      <c r="I176" t="e" cm="1">
        <f t="array" ref="I176">INDEX(FLT_Prod_Info,$Z168,I$3)</f>
        <v>#N/A</v>
      </c>
      <c r="J176" t="e" cm="1">
        <f t="array" ref="J176">INDEX(FLT_Prod_Info,$Z168,J$3)</f>
        <v>#N/A</v>
      </c>
      <c r="K176" t="e" cm="1">
        <f t="array" ref="K176">INDEX(FLT_Prod_Info,$Z168,K$3)</f>
        <v>#N/A</v>
      </c>
      <c r="L176" t="e" cm="1">
        <f t="array" ref="L176">INDEX(FLT_Prod_Info,$Z168,L$3)</f>
        <v>#N/A</v>
      </c>
      <c r="M176" t="e" cm="1">
        <f t="array" ref="M176">INDEX(FLT_Prod_Info,$Z168,M$3)</f>
        <v>#N/A</v>
      </c>
      <c r="N176" t="e" cm="1">
        <f t="array" ref="N176">INDEX(FLT_Prod_Info,$Z168,N$3)</f>
        <v>#N/A</v>
      </c>
      <c r="O176" t="e" cm="1">
        <f t="array" ref="O176">INDEX(FLT_Prod_Info,$Z168,O$3)</f>
        <v>#N/A</v>
      </c>
      <c r="P176">
        <f t="shared" si="211"/>
        <v>172</v>
      </c>
    </row>
    <row r="177" spans="1:26" ht="17.149999999999999" x14ac:dyDescent="0.55000000000000004">
      <c r="C177" t="s">
        <v>1793</v>
      </c>
      <c r="D177" t="str" cm="1">
        <f t="array" ref="D177">INDEX(FLT_Prod_Info,$Z169,D$3)</f>
        <v>N/A</v>
      </c>
      <c r="E177" t="str" cm="1">
        <f t="array" ref="E177">INDEX(FLT_Prod_Info,$Z169,E$3)</f>
        <v>N/A</v>
      </c>
      <c r="F177" t="str" cm="1">
        <f t="array" ref="F177">INDEX(FLT_Prod_Info,$Z169,F$3)</f>
        <v>N/A</v>
      </c>
      <c r="G177" t="str" cm="1">
        <f t="array" ref="G177">INDEX(FLT_Prod_Info,$Z169,G$3)</f>
        <v>N/A</v>
      </c>
      <c r="H177" t="str" cm="1">
        <f t="array" ref="H177">INDEX(FLT_Prod_Info,$Z169,H$3)</f>
        <v>N/A</v>
      </c>
      <c r="I177" t="str" cm="1">
        <f t="array" ref="I177">INDEX(FLT_Prod_Info,$Z169,I$3)</f>
        <v>N/A</v>
      </c>
      <c r="J177" t="str" cm="1">
        <f t="array" ref="J177">INDEX(FLT_Prod_Info,$Z169,J$3)</f>
        <v>N/A</v>
      </c>
      <c r="K177" t="str" cm="1">
        <f t="array" ref="K177">INDEX(FLT_Prod_Info,$Z169,K$3)</f>
        <v>N/A</v>
      </c>
      <c r="L177" t="str" cm="1">
        <f t="array" ref="L177">INDEX(FLT_Prod_Info,$Z169,L$3)</f>
        <v>N/A</v>
      </c>
      <c r="M177" t="str" cm="1">
        <f t="array" ref="M177">INDEX(FLT_Prod_Info,$Z169,M$3)</f>
        <v>N/A</v>
      </c>
      <c r="N177" t="str" cm="1">
        <f t="array" ref="N177">INDEX(FLT_Prod_Info,$Z169,N$3)</f>
        <v>N/A</v>
      </c>
      <c r="O177" t="str" cm="1">
        <f t="array" ref="O177">INDEX(FLT_Prod_Info,$Z169,O$3)</f>
        <v>N/A</v>
      </c>
      <c r="P177">
        <f t="shared" si="211"/>
        <v>173</v>
      </c>
    </row>
    <row r="178" spans="1:26" ht="17.149999999999999" x14ac:dyDescent="0.55000000000000004">
      <c r="C178" t="s">
        <v>1388</v>
      </c>
      <c r="D178">
        <f t="shared" ref="D178:O178" si="212">IFERROR(IF(D168="Chemical",(10^(INDEX(Antoines,MATCH(D167,Antoine_Name,0),2)-INDEX(Antoines,MATCH(D167,Antoine_Name,0),3)/(INDEX(Antoines,MATCH(D167,Antoine_Name,0),4)+(D173-32)*5/9)))*14.7/760,IF(D168="Crude Oil",EXP((2799/(D173+459.6)-2.227)*LOG10(D174)-(7261/(D173+459.6))+12.82),IF(D168="Refined Petroleum Stock",EXP((0.7553-(413/(D173+459.6)))*(D175^0.5)*LOG10(D174)-(1.854-(1042/(D173+459.6)))*(D175^0.5)+((2416/(D173+459.6)-2.013)*LOG10(D174))-(8742/(D173+459.6))+15.64),EXP(INDEX(Antoines,MATCH(D167,Antoine_Name,0),2)-INDEX(Antoines,MATCH(D167,Antoine_Name,0),3)/(D173+459.6))))),0)</f>
        <v>5.8675434491361358</v>
      </c>
      <c r="E178">
        <f t="shared" si="212"/>
        <v>5.9933625997960638</v>
      </c>
      <c r="F178">
        <f t="shared" si="212"/>
        <v>6.1885168055052642</v>
      </c>
      <c r="G178">
        <f t="shared" si="212"/>
        <v>6.5275019171950621</v>
      </c>
      <c r="H178">
        <f t="shared" si="212"/>
        <v>7.1039405146622547</v>
      </c>
      <c r="I178">
        <f t="shared" si="212"/>
        <v>7.584570817117438</v>
      </c>
      <c r="J178">
        <f t="shared" si="212"/>
        <v>8.0485321080380352</v>
      </c>
      <c r="K178">
        <f t="shared" si="212"/>
        <v>8.061480001401172</v>
      </c>
      <c r="L178">
        <f t="shared" si="212"/>
        <v>7.7038673532374045</v>
      </c>
      <c r="M178">
        <f t="shared" si="212"/>
        <v>6.890954752663947</v>
      </c>
      <c r="N178">
        <f t="shared" si="212"/>
        <v>6.2110073888694624</v>
      </c>
      <c r="O178">
        <f t="shared" si="212"/>
        <v>5.8300618484076248</v>
      </c>
      <c r="P178">
        <f t="shared" si="211"/>
        <v>174</v>
      </c>
    </row>
    <row r="179" spans="1:26" ht="17.149999999999999" x14ac:dyDescent="0.55000000000000004">
      <c r="C179" t="s">
        <v>1389</v>
      </c>
      <c r="D179">
        <f t="shared" ref="D179:O179" si="213">D178*D171</f>
        <v>5.8675434491361358</v>
      </c>
      <c r="E179">
        <f t="shared" si="213"/>
        <v>5.9933625997960638</v>
      </c>
      <c r="F179">
        <f t="shared" si="213"/>
        <v>6.1885168055052642</v>
      </c>
      <c r="G179">
        <f t="shared" si="213"/>
        <v>6.5275019171950621</v>
      </c>
      <c r="H179">
        <f t="shared" si="213"/>
        <v>7.1039405146622547</v>
      </c>
      <c r="I179">
        <f t="shared" si="213"/>
        <v>7.584570817117438</v>
      </c>
      <c r="J179">
        <f t="shared" si="213"/>
        <v>8.0485321080380352</v>
      </c>
      <c r="K179">
        <f t="shared" si="213"/>
        <v>8.061480001401172</v>
      </c>
      <c r="L179">
        <f t="shared" si="213"/>
        <v>7.7038673532374045</v>
      </c>
      <c r="M179">
        <f t="shared" si="213"/>
        <v>6.890954752663947</v>
      </c>
      <c r="N179">
        <f t="shared" si="213"/>
        <v>6.2110073888694624</v>
      </c>
      <c r="O179">
        <f t="shared" si="213"/>
        <v>5.8300618484076248</v>
      </c>
      <c r="P179">
        <f t="shared" si="211"/>
        <v>175</v>
      </c>
    </row>
    <row r="180" spans="1:26" ht="17.149999999999999" x14ac:dyDescent="0.55000000000000004">
      <c r="C180" t="s">
        <v>1390</v>
      </c>
      <c r="D180">
        <f t="shared" ref="D180:O180" si="214">IFERROR(IF(D170="Chemical",(10^(INDEX(Antoines,MATCH(D169,Antoine_Name,0),2)-INDEX(Antoines,MATCH(D169,Antoine_Name,0),3)/(INDEX(Antoines,MATCH(D169,Antoine_Name,0),4)+(D173-32)*5/9)))*14.7/760,IF(D170="Crude Oil",EXP((2799/(D173+459.6)-2.227)*LOG10(D176)-(7261/(D173+459.6))+12.82),IF(D170="Refined Petroleum Stock",EXP((0.7553-(413/(D173+459.6)))*(D177^0.5)*LOG10(D176)-(1.854-(1042/(D173+459.6)))*(D177^0.5)+((2416/(D173+459.6)-2.013)*LOG10(D176))-(8742/(D173+459.6))+15.64),EXP(INDEX(Antoines,MATCH(D169,Antoine_Name,0),2)-INDEX(Antoines,MATCH(D169,Antoine_Name,0),3)/(D173+459.6))))),0)</f>
        <v>0</v>
      </c>
      <c r="E180">
        <f t="shared" si="214"/>
        <v>0</v>
      </c>
      <c r="F180">
        <f t="shared" si="214"/>
        <v>0</v>
      </c>
      <c r="G180">
        <f t="shared" si="214"/>
        <v>0</v>
      </c>
      <c r="H180">
        <f t="shared" si="214"/>
        <v>0</v>
      </c>
      <c r="I180">
        <f t="shared" si="214"/>
        <v>0</v>
      </c>
      <c r="J180">
        <f t="shared" si="214"/>
        <v>0</v>
      </c>
      <c r="K180">
        <f t="shared" si="214"/>
        <v>0</v>
      </c>
      <c r="L180">
        <f t="shared" si="214"/>
        <v>0</v>
      </c>
      <c r="M180">
        <f t="shared" si="214"/>
        <v>0</v>
      </c>
      <c r="N180">
        <f t="shared" si="214"/>
        <v>0</v>
      </c>
      <c r="O180">
        <f t="shared" si="214"/>
        <v>0</v>
      </c>
      <c r="P180">
        <f t="shared" si="211"/>
        <v>176</v>
      </c>
    </row>
    <row r="181" spans="1:26" ht="17.149999999999999" x14ac:dyDescent="0.55000000000000004">
      <c r="C181" t="s">
        <v>1391</v>
      </c>
      <c r="D181">
        <f t="shared" ref="D181:O181" si="215">D180*D172</f>
        <v>0</v>
      </c>
      <c r="E181">
        <f t="shared" si="215"/>
        <v>0</v>
      </c>
      <c r="F181">
        <f t="shared" si="215"/>
        <v>0</v>
      </c>
      <c r="G181">
        <f t="shared" si="215"/>
        <v>0</v>
      </c>
      <c r="H181">
        <f t="shared" si="215"/>
        <v>0</v>
      </c>
      <c r="I181">
        <f t="shared" si="215"/>
        <v>0</v>
      </c>
      <c r="J181">
        <f t="shared" si="215"/>
        <v>0</v>
      </c>
      <c r="K181">
        <f t="shared" si="215"/>
        <v>0</v>
      </c>
      <c r="L181">
        <f t="shared" si="215"/>
        <v>0</v>
      </c>
      <c r="M181">
        <f t="shared" si="215"/>
        <v>0</v>
      </c>
      <c r="N181">
        <f t="shared" si="215"/>
        <v>0</v>
      </c>
      <c r="O181">
        <f t="shared" si="215"/>
        <v>0</v>
      </c>
      <c r="P181">
        <f t="shared" si="211"/>
        <v>177</v>
      </c>
    </row>
    <row r="182" spans="1:26" ht="17.149999999999999" x14ac:dyDescent="0.55000000000000004">
      <c r="C182" t="s">
        <v>1392</v>
      </c>
      <c r="D182">
        <f>IF(D167="Out of Service",0,D179+D181)</f>
        <v>5.8675434491361358</v>
      </c>
      <c r="E182">
        <f t="shared" ref="E182" si="216">IF(E167="Out of Service",0,E179+E181)</f>
        <v>5.9933625997960638</v>
      </c>
      <c r="F182">
        <f t="shared" ref="F182" si="217">IF(F167="Out of Service",0,F179+F181)</f>
        <v>6.1885168055052642</v>
      </c>
      <c r="G182">
        <f t="shared" ref="G182" si="218">IF(G167="Out of Service",0,G179+G181)</f>
        <v>6.5275019171950621</v>
      </c>
      <c r="H182">
        <f t="shared" ref="H182" si="219">IF(H167="Out of Service",0,H179+H181)</f>
        <v>7.1039405146622547</v>
      </c>
      <c r="I182">
        <f t="shared" ref="I182" si="220">IF(I167="Out of Service",0,I179+I181)</f>
        <v>7.584570817117438</v>
      </c>
      <c r="J182">
        <f t="shared" ref="J182" si="221">IF(J167="Out of Service",0,J179+J181)</f>
        <v>8.0485321080380352</v>
      </c>
      <c r="K182">
        <f t="shared" ref="K182" si="222">IF(K167="Out of Service",0,K179+K181)</f>
        <v>8.061480001401172</v>
      </c>
      <c r="L182">
        <f t="shared" ref="L182" si="223">IF(L167="Out of Service",0,L179+L181)</f>
        <v>7.7038673532374045</v>
      </c>
      <c r="M182">
        <f t="shared" ref="M182" si="224">IF(M167="Out of Service",0,M179+M181)</f>
        <v>6.890954752663947</v>
      </c>
      <c r="N182">
        <f t="shared" ref="N182" si="225">IF(N167="Out of Service",0,N179+N181)</f>
        <v>6.2110073888694624</v>
      </c>
      <c r="O182">
        <f t="shared" ref="O182" si="226">IF(O167="Out of Service",0,O179+O181)</f>
        <v>5.8300618484076248</v>
      </c>
      <c r="P182">
        <f t="shared" si="211"/>
        <v>178</v>
      </c>
    </row>
    <row r="183" spans="1:26" x14ac:dyDescent="0.4">
      <c r="C183" t="s">
        <v>1513</v>
      </c>
      <c r="D183">
        <f t="shared" ref="D183:O183" si="227">(D182/D166)/(1+(SQRT(1-D182/D166))^2)</f>
        <v>0.249338331357537</v>
      </c>
      <c r="E183">
        <f t="shared" si="227"/>
        <v>0.25605397722544482</v>
      </c>
      <c r="F183">
        <f t="shared" si="227"/>
        <v>0.26661444913494575</v>
      </c>
      <c r="G183">
        <f t="shared" si="227"/>
        <v>0.28538648876758682</v>
      </c>
      <c r="H183">
        <f t="shared" si="227"/>
        <v>0.3186186563295601</v>
      </c>
      <c r="I183">
        <f t="shared" si="227"/>
        <v>0.3476700253538289</v>
      </c>
      <c r="J183">
        <f t="shared" si="227"/>
        <v>0.37695450958048698</v>
      </c>
      <c r="K183">
        <f t="shared" si="227"/>
        <v>0.37779002489069169</v>
      </c>
      <c r="L183">
        <f t="shared" si="227"/>
        <v>0.35508021077604096</v>
      </c>
      <c r="M183">
        <f t="shared" si="227"/>
        <v>0.30614158339210296</v>
      </c>
      <c r="N183">
        <f t="shared" si="227"/>
        <v>0.26784291551709011</v>
      </c>
      <c r="O183">
        <f t="shared" si="227"/>
        <v>0.24735159722995492</v>
      </c>
      <c r="P183">
        <f t="shared" si="211"/>
        <v>179</v>
      </c>
    </row>
    <row r="184" spans="1:26" ht="17.149999999999999" x14ac:dyDescent="0.55000000000000004">
      <c r="C184" t="s">
        <v>584</v>
      </c>
      <c r="D184">
        <f t="shared" ref="D184:H184" si="228">IFERROR(D179/D182,1)</f>
        <v>1</v>
      </c>
      <c r="E184">
        <f t="shared" si="228"/>
        <v>1</v>
      </c>
      <c r="F184">
        <f t="shared" si="228"/>
        <v>1</v>
      </c>
      <c r="G184">
        <f t="shared" si="228"/>
        <v>1</v>
      </c>
      <c r="H184">
        <f t="shared" si="228"/>
        <v>1</v>
      </c>
      <c r="I184">
        <f>IFERROR(I179/I182,1)</f>
        <v>1</v>
      </c>
      <c r="J184">
        <f t="shared" ref="J184:O184" si="229">IFERROR(J179/J182,1)</f>
        <v>1</v>
      </c>
      <c r="K184">
        <f t="shared" si="229"/>
        <v>1</v>
      </c>
      <c r="L184">
        <f t="shared" si="229"/>
        <v>1</v>
      </c>
      <c r="M184">
        <f t="shared" si="229"/>
        <v>1</v>
      </c>
      <c r="N184">
        <f t="shared" si="229"/>
        <v>1</v>
      </c>
      <c r="O184">
        <f t="shared" si="229"/>
        <v>1</v>
      </c>
      <c r="P184">
        <f t="shared" si="211"/>
        <v>180</v>
      </c>
    </row>
    <row r="185" spans="1:26" ht="17.149999999999999" x14ac:dyDescent="0.55000000000000004">
      <c r="C185" t="s">
        <v>585</v>
      </c>
      <c r="D185">
        <f t="shared" ref="D185:O185" si="230">INDEX(Phys_Prop,MATCH(D167,Chem_List,0),3)</f>
        <v>61.103726164670178</v>
      </c>
      <c r="E185">
        <f t="shared" si="230"/>
        <v>61.103726164670178</v>
      </c>
      <c r="F185">
        <f t="shared" si="230"/>
        <v>61.103726164670178</v>
      </c>
      <c r="G185">
        <f t="shared" si="230"/>
        <v>61.103726164670178</v>
      </c>
      <c r="H185">
        <f t="shared" si="230"/>
        <v>61.103726164670178</v>
      </c>
      <c r="I185">
        <f t="shared" si="230"/>
        <v>61.103726164670178</v>
      </c>
      <c r="J185">
        <f t="shared" si="230"/>
        <v>61.103726164670178</v>
      </c>
      <c r="K185">
        <f t="shared" si="230"/>
        <v>61.103726164670178</v>
      </c>
      <c r="L185">
        <f t="shared" si="230"/>
        <v>61.103726164670178</v>
      </c>
      <c r="M185">
        <f t="shared" si="230"/>
        <v>61.103726164670178</v>
      </c>
      <c r="N185">
        <f t="shared" si="230"/>
        <v>61.103726164670178</v>
      </c>
      <c r="O185">
        <f t="shared" si="230"/>
        <v>61.103726164670178</v>
      </c>
      <c r="P185">
        <f t="shared" si="211"/>
        <v>181</v>
      </c>
    </row>
    <row r="186" spans="1:26" ht="17.149999999999999" x14ac:dyDescent="0.55000000000000004">
      <c r="C186" t="s">
        <v>586</v>
      </c>
      <c r="D186">
        <f>D181/D182</f>
        <v>0</v>
      </c>
      <c r="E186">
        <f t="shared" ref="E186:O186" si="231">E181/E182</f>
        <v>0</v>
      </c>
      <c r="F186">
        <f t="shared" si="231"/>
        <v>0</v>
      </c>
      <c r="G186">
        <f t="shared" si="231"/>
        <v>0</v>
      </c>
      <c r="H186">
        <f t="shared" si="231"/>
        <v>0</v>
      </c>
      <c r="I186">
        <f t="shared" si="231"/>
        <v>0</v>
      </c>
      <c r="J186">
        <f t="shared" si="231"/>
        <v>0</v>
      </c>
      <c r="K186">
        <f t="shared" si="231"/>
        <v>0</v>
      </c>
      <c r="L186">
        <f t="shared" si="231"/>
        <v>0</v>
      </c>
      <c r="M186">
        <f t="shared" si="231"/>
        <v>0</v>
      </c>
      <c r="N186">
        <f t="shared" si="231"/>
        <v>0</v>
      </c>
      <c r="O186">
        <f t="shared" si="231"/>
        <v>0</v>
      </c>
      <c r="P186">
        <f t="shared" si="211"/>
        <v>182</v>
      </c>
    </row>
    <row r="187" spans="1:26" ht="17.149999999999999" x14ac:dyDescent="0.55000000000000004">
      <c r="C187" t="s">
        <v>587</v>
      </c>
      <c r="D187">
        <f t="shared" ref="D187:O187" si="232">IFERROR(INDEX(Phys_Prop,MATCH(D169,Chem_List,0),3),0)</f>
        <v>0</v>
      </c>
      <c r="E187">
        <f t="shared" si="232"/>
        <v>0</v>
      </c>
      <c r="F187">
        <f t="shared" si="232"/>
        <v>0</v>
      </c>
      <c r="G187">
        <f t="shared" si="232"/>
        <v>0</v>
      </c>
      <c r="H187">
        <f t="shared" si="232"/>
        <v>0</v>
      </c>
      <c r="I187">
        <f t="shared" si="232"/>
        <v>0</v>
      </c>
      <c r="J187">
        <f t="shared" si="232"/>
        <v>0</v>
      </c>
      <c r="K187">
        <f t="shared" si="232"/>
        <v>0</v>
      </c>
      <c r="L187">
        <f t="shared" si="232"/>
        <v>0</v>
      </c>
      <c r="M187">
        <f t="shared" si="232"/>
        <v>0</v>
      </c>
      <c r="N187">
        <f t="shared" si="232"/>
        <v>0</v>
      </c>
      <c r="O187">
        <f t="shared" si="232"/>
        <v>0</v>
      </c>
      <c r="P187">
        <f t="shared" si="211"/>
        <v>183</v>
      </c>
    </row>
    <row r="188" spans="1:26" ht="17.149999999999999" x14ac:dyDescent="0.55000000000000004">
      <c r="A188" s="11"/>
      <c r="B188" s="11"/>
      <c r="C188" s="11" t="s">
        <v>588</v>
      </c>
      <c r="D188" s="11">
        <f>IFERROR(D184*D185+D186*D187,0)</f>
        <v>61.103726164670178</v>
      </c>
      <c r="E188" s="11">
        <f t="shared" ref="E188" si="233">IFERROR(E184*E185+E186*E187,0)</f>
        <v>61.103726164670178</v>
      </c>
      <c r="F188" s="11">
        <f t="shared" ref="F188" si="234">IFERROR(F184*F185+F186*F187,0)</f>
        <v>61.103726164670178</v>
      </c>
      <c r="G188" s="11">
        <f t="shared" ref="G188" si="235">IFERROR(G184*G185+G186*G187,0)</f>
        <v>61.103726164670178</v>
      </c>
      <c r="H188" s="11">
        <f t="shared" ref="H188" si="236">IFERROR(H184*H185+H186*H187,0)</f>
        <v>61.103726164670178</v>
      </c>
      <c r="I188" s="11">
        <f t="shared" ref="I188" si="237">IFERROR(I184*I185+I186*I187,0)</f>
        <v>61.103726164670178</v>
      </c>
      <c r="J188" s="11">
        <f t="shared" ref="J188" si="238">IFERROR(J184*J185+J186*J187,0)</f>
        <v>61.103726164670178</v>
      </c>
      <c r="K188" s="11">
        <f t="shared" ref="K188" si="239">IFERROR(K184*K185+K186*K187,0)</f>
        <v>61.103726164670178</v>
      </c>
      <c r="L188" s="11">
        <f t="shared" ref="L188" si="240">IFERROR(L184*L185+L186*L187,0)</f>
        <v>61.103726164670178</v>
      </c>
      <c r="M188" s="11">
        <f t="shared" ref="M188" si="241">IFERROR(M184*M185+M186*M187,0)</f>
        <v>61.103726164670178</v>
      </c>
      <c r="N188" s="11">
        <f t="shared" ref="N188" si="242">IFERROR(N184*N185+N186*N187,0)</f>
        <v>61.103726164670178</v>
      </c>
      <c r="O188" s="11">
        <f t="shared" ref="O188" si="243">IFERROR(O184*O185+O186*O187,0)</f>
        <v>61.103726164670178</v>
      </c>
      <c r="P188" s="11">
        <f t="shared" si="211"/>
        <v>184</v>
      </c>
      <c r="Q188" s="11"/>
      <c r="R188" s="11"/>
      <c r="S188" s="11"/>
      <c r="T188" s="11"/>
      <c r="U188" s="11"/>
      <c r="V188" s="11"/>
      <c r="W188" s="11"/>
      <c r="X188" s="11"/>
      <c r="Y188" s="11"/>
    </row>
    <row r="189" spans="1:26" ht="17.149999999999999" x14ac:dyDescent="0.55000000000000004">
      <c r="A189" t="str" cm="1">
        <f t="array" ref="A189">INDEX(FLT_Cons,$R189,T$5)</f>
        <v>FLT - 9</v>
      </c>
      <c r="B189" t="str" cm="1">
        <f t="array" ref="B189">INDEX(FLT_Cons,$R189,T$6)</f>
        <v>Portland</v>
      </c>
      <c r="C189" t="s">
        <v>563</v>
      </c>
      <c r="D189">
        <v>14.7</v>
      </c>
      <c r="E189">
        <v>14.7</v>
      </c>
      <c r="F189">
        <v>14.7</v>
      </c>
      <c r="G189">
        <v>14.7</v>
      </c>
      <c r="H189">
        <v>14.7</v>
      </c>
      <c r="I189">
        <v>14.7</v>
      </c>
      <c r="J189">
        <v>14.7</v>
      </c>
      <c r="K189">
        <v>14.7</v>
      </c>
      <c r="L189">
        <v>14.7</v>
      </c>
      <c r="M189">
        <v>14.7</v>
      </c>
      <c r="N189">
        <v>14.7</v>
      </c>
      <c r="O189">
        <v>14.7</v>
      </c>
      <c r="P189">
        <f>P188+1</f>
        <v>185</v>
      </c>
      <c r="R189">
        <f>R166+1</f>
        <v>9</v>
      </c>
      <c r="S189" t="s">
        <v>237</v>
      </c>
      <c r="T189">
        <v>1</v>
      </c>
      <c r="W189" t="s">
        <v>1516</v>
      </c>
      <c r="X189">
        <f>X166+12</f>
        <v>102</v>
      </c>
      <c r="Y189" t="s">
        <v>1787</v>
      </c>
      <c r="Z189">
        <f>Z166+12</f>
        <v>99</v>
      </c>
    </row>
    <row r="190" spans="1:26" x14ac:dyDescent="0.4">
      <c r="C190" s="66" t="s">
        <v>567</v>
      </c>
      <c r="D190" t="str" cm="1">
        <f t="array" ref="D190">INDEX(Flt_Multi,$V190,D$3)</f>
        <v>Jet kerosene</v>
      </c>
      <c r="E190" t="str" cm="1">
        <f t="array" ref="E190">INDEX(Flt_Multi,$V190,E$3)</f>
        <v>Jet kerosene</v>
      </c>
      <c r="F190" t="str" cm="1">
        <f t="array" ref="F190">INDEX(Flt_Multi,$V190,F$3)</f>
        <v>Jet kerosene</v>
      </c>
      <c r="G190" t="str" cm="1">
        <f t="array" ref="G190">INDEX(Flt_Multi,$V190,G$3)</f>
        <v>Jet kerosene</v>
      </c>
      <c r="H190" t="str" cm="1">
        <f t="array" ref="H190">INDEX(Flt_Multi,$V190,H$3)</f>
        <v>Jet kerosene</v>
      </c>
      <c r="I190" t="str" cm="1">
        <f t="array" ref="I190">INDEX(Flt_Multi,$V190,I$3)</f>
        <v>Jet kerosene</v>
      </c>
      <c r="J190" t="str" cm="1">
        <f t="array" ref="J190">INDEX(Flt_Multi,$V190,J$3)</f>
        <v>Jet kerosene</v>
      </c>
      <c r="K190" t="str" cm="1">
        <f t="array" ref="K190">INDEX(Flt_Multi,$V190,K$3)</f>
        <v>Jet kerosene</v>
      </c>
      <c r="L190" t="str" cm="1">
        <f t="array" ref="L190">INDEX(Flt_Multi,$V190,L$3)</f>
        <v>Jet kerosene</v>
      </c>
      <c r="M190" t="str" cm="1">
        <f t="array" ref="M190">INDEX(Flt_Multi,$V190,M$3)</f>
        <v>Jet kerosene</v>
      </c>
      <c r="N190" t="str" cm="1">
        <f t="array" ref="N190">INDEX(Flt_Multi,$V190,N$3)</f>
        <v>Jet kerosene</v>
      </c>
      <c r="O190" t="str" cm="1">
        <f t="array" ref="O190">INDEX(Flt_Multi,$V190,O$3)</f>
        <v>Jet kerosene</v>
      </c>
      <c r="P190">
        <f>P189+1</f>
        <v>186</v>
      </c>
      <c r="S190" t="s">
        <v>549</v>
      </c>
      <c r="T190">
        <v>3</v>
      </c>
      <c r="U190" s="66" t="s">
        <v>567</v>
      </c>
      <c r="V190">
        <f>V167+14</f>
        <v>113</v>
      </c>
      <c r="Y190" t="s">
        <v>1786</v>
      </c>
      <c r="Z190">
        <f>Z189+1</f>
        <v>100</v>
      </c>
    </row>
    <row r="191" spans="1:26" x14ac:dyDescent="0.4">
      <c r="C191" s="66" t="s">
        <v>566</v>
      </c>
      <c r="D191" t="str" cm="1">
        <f t="array" ref="D191">INDEX(Flt_Multi,$V191,D$3)</f>
        <v>Select Pet Stock</v>
      </c>
      <c r="E191" t="str" cm="1">
        <f t="array" ref="E191">INDEX(Flt_Multi,$V191,E$3)</f>
        <v>Select Pet Stock</v>
      </c>
      <c r="F191" t="str" cm="1">
        <f t="array" ref="F191">INDEX(Flt_Multi,$V191,F$3)</f>
        <v>Select Pet Stock</v>
      </c>
      <c r="G191" t="str" cm="1">
        <f t="array" ref="G191">INDEX(Flt_Multi,$V191,G$3)</f>
        <v>Select Pet Stock</v>
      </c>
      <c r="H191" t="str" cm="1">
        <f t="array" ref="H191">INDEX(Flt_Multi,$V191,H$3)</f>
        <v>Select Pet Stock</v>
      </c>
      <c r="I191" t="str" cm="1">
        <f t="array" ref="I191">INDEX(Flt_Multi,$V191,I$3)</f>
        <v>Select Pet Stock</v>
      </c>
      <c r="J191" t="str" cm="1">
        <f t="array" ref="J191">INDEX(Flt_Multi,$V191,J$3)</f>
        <v>Select Pet Stock</v>
      </c>
      <c r="K191" t="str" cm="1">
        <f t="array" ref="K191">INDEX(Flt_Multi,$V191,K$3)</f>
        <v>Select Pet Stock</v>
      </c>
      <c r="L191" t="str" cm="1">
        <f t="array" ref="L191">INDEX(Flt_Multi,$V191,L$3)</f>
        <v>Select Pet Stock</v>
      </c>
      <c r="M191" t="str" cm="1">
        <f t="array" ref="M191">INDEX(Flt_Multi,$V191,M$3)</f>
        <v>Select Pet Stock</v>
      </c>
      <c r="N191" t="str" cm="1">
        <f t="array" ref="N191">INDEX(Flt_Multi,$V191,N$3)</f>
        <v>Select Pet Stock</v>
      </c>
      <c r="O191" t="str" cm="1">
        <f t="array" ref="O191">INDEX(Flt_Multi,$V191,O$3)</f>
        <v>Select Pet Stock</v>
      </c>
      <c r="P191">
        <f t="shared" ref="P191:P211" si="244">P190+1</f>
        <v>187</v>
      </c>
      <c r="U191" s="66" t="s">
        <v>566</v>
      </c>
      <c r="V191">
        <f>V190+2</f>
        <v>115</v>
      </c>
      <c r="Y191" t="s">
        <v>1788</v>
      </c>
      <c r="Z191">
        <f>Z189+5</f>
        <v>104</v>
      </c>
    </row>
    <row r="192" spans="1:26" x14ac:dyDescent="0.4">
      <c r="C192" s="66" t="s">
        <v>568</v>
      </c>
      <c r="D192" t="str" cm="1">
        <f t="array" ref="D192">INDEX(Flt_Multi,$V192,D$3)</f>
        <v/>
      </c>
      <c r="E192" t="str" cm="1">
        <f t="array" ref="E192">INDEX(Flt_Multi,$V192,E$3)</f>
        <v/>
      </c>
      <c r="F192" t="str" cm="1">
        <f t="array" ref="F192">INDEX(Flt_Multi,$V192,F$3)</f>
        <v/>
      </c>
      <c r="G192" t="str" cm="1">
        <f t="array" ref="G192">INDEX(Flt_Multi,$V192,G$3)</f>
        <v/>
      </c>
      <c r="H192" t="str" cm="1">
        <f t="array" ref="H192">INDEX(Flt_Multi,$V192,H$3)</f>
        <v/>
      </c>
      <c r="I192" t="str" cm="1">
        <f t="array" ref="I192">INDEX(Flt_Multi,$V192,I$3)</f>
        <v/>
      </c>
      <c r="J192" t="str" cm="1">
        <f t="array" ref="J192">INDEX(Flt_Multi,$V192,J$3)</f>
        <v/>
      </c>
      <c r="K192" t="str" cm="1">
        <f t="array" ref="K192">INDEX(Flt_Multi,$V192,K$3)</f>
        <v/>
      </c>
      <c r="L192" t="str" cm="1">
        <f t="array" ref="L192">INDEX(Flt_Multi,$V192,L$3)</f>
        <v/>
      </c>
      <c r="M192" t="str" cm="1">
        <f t="array" ref="M192">INDEX(Flt_Multi,$V192,M$3)</f>
        <v/>
      </c>
      <c r="N192" t="str" cm="1">
        <f t="array" ref="N192">INDEX(Flt_Multi,$V192,N$3)</f>
        <v/>
      </c>
      <c r="O192" t="str" cm="1">
        <f t="array" ref="O192">INDEX(Flt_Multi,$V192,O$3)</f>
        <v/>
      </c>
      <c r="P192">
        <f t="shared" si="244"/>
        <v>188</v>
      </c>
      <c r="U192" s="66" t="s">
        <v>568</v>
      </c>
      <c r="V192">
        <f>V190+1</f>
        <v>114</v>
      </c>
      <c r="Y192" t="s">
        <v>1789</v>
      </c>
      <c r="Z192">
        <f>Z191+1</f>
        <v>105</v>
      </c>
    </row>
    <row r="193" spans="3:22" x14ac:dyDescent="0.4">
      <c r="C193" s="66" t="s">
        <v>569</v>
      </c>
      <c r="D193" t="e" cm="1">
        <f t="array" ref="D193">INDEX(Flt_Multi,$V193,D$3)</f>
        <v>#N/A</v>
      </c>
      <c r="E193" t="e" cm="1">
        <f t="array" ref="E193">INDEX(Flt_Multi,$V193,E$3)</f>
        <v>#N/A</v>
      </c>
      <c r="F193" t="e" cm="1">
        <f t="array" ref="F193">INDEX(Flt_Multi,$V193,F$3)</f>
        <v>#N/A</v>
      </c>
      <c r="G193" t="e" cm="1">
        <f t="array" ref="G193">INDEX(Flt_Multi,$V193,G$3)</f>
        <v>#N/A</v>
      </c>
      <c r="H193" t="e" cm="1">
        <f t="array" ref="H193">INDEX(Flt_Multi,$V193,H$3)</f>
        <v>#N/A</v>
      </c>
      <c r="I193" t="e" cm="1">
        <f t="array" ref="I193">INDEX(Flt_Multi,$V193,I$3)</f>
        <v>#N/A</v>
      </c>
      <c r="J193" t="e" cm="1">
        <f t="array" ref="J193">INDEX(Flt_Multi,$V193,J$3)</f>
        <v>#N/A</v>
      </c>
      <c r="K193" t="e" cm="1">
        <f t="array" ref="K193">INDEX(Flt_Multi,$V193,K$3)</f>
        <v>#N/A</v>
      </c>
      <c r="L193" t="e" cm="1">
        <f t="array" ref="L193">INDEX(Flt_Multi,$V193,L$3)</f>
        <v>#N/A</v>
      </c>
      <c r="M193" t="e" cm="1">
        <f t="array" ref="M193">INDEX(Flt_Multi,$V193,M$3)</f>
        <v>#N/A</v>
      </c>
      <c r="N193" t="e" cm="1">
        <f t="array" ref="N193">INDEX(Flt_Multi,$V193,N$3)</f>
        <v>#N/A</v>
      </c>
      <c r="O193" t="e" cm="1">
        <f t="array" ref="O193">INDEX(Flt_Multi,$V193,O$3)</f>
        <v>#N/A</v>
      </c>
      <c r="P193">
        <f t="shared" si="244"/>
        <v>189</v>
      </c>
      <c r="U193" s="66" t="s">
        <v>569</v>
      </c>
      <c r="V193">
        <f>V192+2</f>
        <v>116</v>
      </c>
    </row>
    <row r="194" spans="3:22" ht="17.149999999999999" x14ac:dyDescent="0.55000000000000004">
      <c r="C194" t="s">
        <v>570</v>
      </c>
      <c r="D194" cm="1">
        <f t="array" ref="D194">INDEX(Flt_Multi,$V194,D$3)</f>
        <v>1</v>
      </c>
      <c r="E194" cm="1">
        <f t="array" ref="E194">INDEX(Flt_Multi,$V194,E$3)</f>
        <v>1</v>
      </c>
      <c r="F194" cm="1">
        <f t="array" ref="F194">INDEX(Flt_Multi,$V194,F$3)</f>
        <v>1</v>
      </c>
      <c r="G194" cm="1">
        <f t="array" ref="G194">INDEX(Flt_Multi,$V194,G$3)</f>
        <v>1</v>
      </c>
      <c r="H194" cm="1">
        <f t="array" ref="H194">INDEX(Flt_Multi,$V194,H$3)</f>
        <v>1</v>
      </c>
      <c r="I194" cm="1">
        <f t="array" ref="I194">INDEX(Flt_Multi,$V194,I$3)</f>
        <v>1</v>
      </c>
      <c r="J194" cm="1">
        <f t="array" ref="J194">INDEX(Flt_Multi,$V194,J$3)</f>
        <v>1</v>
      </c>
      <c r="K194" cm="1">
        <f t="array" ref="K194">INDEX(Flt_Multi,$V194,K$3)</f>
        <v>1</v>
      </c>
      <c r="L194" cm="1">
        <f t="array" ref="L194">INDEX(Flt_Multi,$V194,L$3)</f>
        <v>1</v>
      </c>
      <c r="M194" cm="1">
        <f t="array" ref="M194">INDEX(Flt_Multi,$V194,M$3)</f>
        <v>1</v>
      </c>
      <c r="N194" cm="1">
        <f t="array" ref="N194">INDEX(Flt_Multi,$V194,N$3)</f>
        <v>1</v>
      </c>
      <c r="O194" cm="1">
        <f t="array" ref="O194">INDEX(Flt_Multi,$V194,O$3)</f>
        <v>1</v>
      </c>
      <c r="P194">
        <f t="shared" si="244"/>
        <v>190</v>
      </c>
      <c r="U194" t="s">
        <v>570</v>
      </c>
      <c r="V194">
        <f>V190+9</f>
        <v>122</v>
      </c>
    </row>
    <row r="195" spans="3:22" ht="17.149999999999999" x14ac:dyDescent="0.55000000000000004">
      <c r="C195" t="s">
        <v>572</v>
      </c>
      <c r="D195" cm="1">
        <f t="array" ref="D195">INDEX(Flt_Multi,$V195,D$3)</f>
        <v>0</v>
      </c>
      <c r="E195" cm="1">
        <f t="array" ref="E195">INDEX(Flt_Multi,$V195,E$3)</f>
        <v>0</v>
      </c>
      <c r="F195" cm="1">
        <f t="array" ref="F195">INDEX(Flt_Multi,$V195,F$3)</f>
        <v>0</v>
      </c>
      <c r="G195" cm="1">
        <f t="array" ref="G195">INDEX(Flt_Multi,$V195,G$3)</f>
        <v>0</v>
      </c>
      <c r="H195" cm="1">
        <f t="array" ref="H195">INDEX(Flt_Multi,$V195,H$3)</f>
        <v>0</v>
      </c>
      <c r="I195" cm="1">
        <f t="array" ref="I195">INDEX(Flt_Multi,$V195,I$3)</f>
        <v>0</v>
      </c>
      <c r="J195" cm="1">
        <f t="array" ref="J195">INDEX(Flt_Multi,$V195,J$3)</f>
        <v>0</v>
      </c>
      <c r="K195" cm="1">
        <f t="array" ref="K195">INDEX(Flt_Multi,$V195,K$3)</f>
        <v>0</v>
      </c>
      <c r="L195" cm="1">
        <f t="array" ref="L195">INDEX(Flt_Multi,$V195,L$3)</f>
        <v>0</v>
      </c>
      <c r="M195" cm="1">
        <f t="array" ref="M195">INDEX(Flt_Multi,$V195,M$3)</f>
        <v>0</v>
      </c>
      <c r="N195" cm="1">
        <f t="array" ref="N195">INDEX(Flt_Multi,$V195,N$3)</f>
        <v>0</v>
      </c>
      <c r="O195" cm="1">
        <f t="array" ref="O195">INDEX(Flt_Multi,$V195,O$3)</f>
        <v>0</v>
      </c>
      <c r="P195">
        <f t="shared" si="244"/>
        <v>191</v>
      </c>
      <c r="U195" t="s">
        <v>572</v>
      </c>
      <c r="V195">
        <f>V192+9</f>
        <v>123</v>
      </c>
    </row>
    <row r="196" spans="3:22" ht="17.149999999999999" x14ac:dyDescent="0.55000000000000004">
      <c r="C196" t="s">
        <v>552</v>
      </c>
      <c r="D196" cm="1">
        <f t="array" ref="D196">INDEX(Flt_Temps,$X189,D$3)-459.6</f>
        <v>44.404372303660921</v>
      </c>
      <c r="E196" cm="1">
        <f t="array" ref="E196">INDEX(Flt_Temps,$X189,E$3)-459.6</f>
        <v>45.582283913109563</v>
      </c>
      <c r="F196" cm="1">
        <f t="array" ref="F196">INDEX(Flt_Temps,$X189,F$3)-459.6</f>
        <v>47.38960498632855</v>
      </c>
      <c r="G196" cm="1">
        <f t="array" ref="G196">INDEX(Flt_Temps,$X189,G$3)-459.6</f>
        <v>50.441032432021927</v>
      </c>
      <c r="H196" cm="1">
        <f t="array" ref="H196">INDEX(Flt_Temps,$X189,H$3)-459.6</f>
        <v>55.410117290748985</v>
      </c>
      <c r="I196" cm="1">
        <f t="array" ref="I196">INDEX(Flt_Temps,$X189,I$3)-459.6</f>
        <v>59.342459877715328</v>
      </c>
      <c r="J196" cm="1">
        <f t="array" ref="J196">INDEX(Flt_Temps,$X189,J$3)-459.6</f>
        <v>62.961568205985031</v>
      </c>
      <c r="K196" cm="1">
        <f t="array" ref="K196">INDEX(Flt_Temps,$X189,K$3)-459.6</f>
        <v>63.093945997265678</v>
      </c>
      <c r="L196" cm="1">
        <f t="array" ref="L196">INDEX(Flt_Temps,$X189,L$3)-459.6</f>
        <v>60.35868593346504</v>
      </c>
      <c r="M196" cm="1">
        <f t="array" ref="M196">INDEX(Flt_Temps,$X189,M$3)-459.6</f>
        <v>53.720504481239573</v>
      </c>
      <c r="N196" cm="1">
        <f t="array" ref="N196">INDEX(Flt_Temps,$X189,N$3)-459.6</f>
        <v>47.67495501670976</v>
      </c>
      <c r="O196" cm="1">
        <f t="array" ref="O196">INDEX(Flt_Temps,$X189,O$3)-459.6</f>
        <v>44.044082902931848</v>
      </c>
      <c r="P196">
        <f t="shared" si="244"/>
        <v>192</v>
      </c>
    </row>
    <row r="197" spans="3:22" ht="17.149999999999999" x14ac:dyDescent="0.55000000000000004">
      <c r="C197" t="s">
        <v>1790</v>
      </c>
      <c r="D197" t="str" cm="1">
        <f t="array" ref="D197">INDEX(FLT_Prod_Info,$Z189,D$3)</f>
        <v>N/A</v>
      </c>
      <c r="E197" t="str" cm="1">
        <f t="array" ref="E197">INDEX(FLT_Prod_Info,$Z189,E$3)</f>
        <v>N/A</v>
      </c>
      <c r="F197" t="str" cm="1">
        <f t="array" ref="F197">INDEX(FLT_Prod_Info,$Z189,F$3)</f>
        <v>N/A</v>
      </c>
      <c r="G197" t="str" cm="1">
        <f t="array" ref="G197">INDEX(FLT_Prod_Info,$Z189,G$3)</f>
        <v>N/A</v>
      </c>
      <c r="H197" t="str" cm="1">
        <f t="array" ref="H197">INDEX(FLT_Prod_Info,$Z189,H$3)</f>
        <v>N/A</v>
      </c>
      <c r="I197" t="str" cm="1">
        <f t="array" ref="I197">INDEX(FLT_Prod_Info,$Z189,I$3)</f>
        <v>N/A</v>
      </c>
      <c r="J197" t="str" cm="1">
        <f t="array" ref="J197">INDEX(FLT_Prod_Info,$Z189,J$3)</f>
        <v>N/A</v>
      </c>
      <c r="K197" t="str" cm="1">
        <f t="array" ref="K197">INDEX(FLT_Prod_Info,$Z189,K$3)</f>
        <v>N/A</v>
      </c>
      <c r="L197" t="str" cm="1">
        <f t="array" ref="L197">INDEX(FLT_Prod_Info,$Z189,L$3)</f>
        <v>N/A</v>
      </c>
      <c r="M197" t="str" cm="1">
        <f t="array" ref="M197">INDEX(FLT_Prod_Info,$Z189,M$3)</f>
        <v>N/A</v>
      </c>
      <c r="N197" t="str" cm="1">
        <f t="array" ref="N197">INDEX(FLT_Prod_Info,$Z189,N$3)</f>
        <v>N/A</v>
      </c>
      <c r="O197" t="str" cm="1">
        <f t="array" ref="O197">INDEX(FLT_Prod_Info,$Z189,O$3)</f>
        <v>N/A</v>
      </c>
      <c r="P197">
        <f t="shared" si="244"/>
        <v>193</v>
      </c>
    </row>
    <row r="198" spans="3:22" ht="17.149999999999999" x14ac:dyDescent="0.55000000000000004">
      <c r="C198" t="s">
        <v>1791</v>
      </c>
      <c r="D198" cm="1">
        <f t="array" ref="D198">INDEX(FLT_Prod_Info,$Z190,D$3)</f>
        <v>0</v>
      </c>
      <c r="E198" cm="1">
        <f t="array" ref="E198">INDEX(FLT_Prod_Info,$Z190,E$3)</f>
        <v>0</v>
      </c>
      <c r="F198" cm="1">
        <f t="array" ref="F198">INDEX(FLT_Prod_Info,$Z190,F$3)</f>
        <v>0</v>
      </c>
      <c r="G198" cm="1">
        <f t="array" ref="G198">INDEX(FLT_Prod_Info,$Z190,G$3)</f>
        <v>0</v>
      </c>
      <c r="H198" cm="1">
        <f t="array" ref="H198">INDEX(FLT_Prod_Info,$Z190,H$3)</f>
        <v>0</v>
      </c>
      <c r="I198" cm="1">
        <f t="array" ref="I198">INDEX(FLT_Prod_Info,$Z190,I$3)</f>
        <v>0</v>
      </c>
      <c r="J198" cm="1">
        <f t="array" ref="J198">INDEX(FLT_Prod_Info,$Z190,J$3)</f>
        <v>0</v>
      </c>
      <c r="K198" cm="1">
        <f t="array" ref="K198">INDEX(FLT_Prod_Info,$Z190,K$3)</f>
        <v>0</v>
      </c>
      <c r="L198" cm="1">
        <f t="array" ref="L198">INDEX(FLT_Prod_Info,$Z190,L$3)</f>
        <v>0</v>
      </c>
      <c r="M198" cm="1">
        <f t="array" ref="M198">INDEX(FLT_Prod_Info,$Z190,M$3)</f>
        <v>0</v>
      </c>
      <c r="N198" cm="1">
        <f t="array" ref="N198">INDEX(FLT_Prod_Info,$Z190,N$3)</f>
        <v>0</v>
      </c>
      <c r="O198" cm="1">
        <f t="array" ref="O198">INDEX(FLT_Prod_Info,$Z190,O$3)</f>
        <v>0</v>
      </c>
      <c r="P198">
        <f t="shared" si="244"/>
        <v>194</v>
      </c>
    </row>
    <row r="199" spans="3:22" ht="17.149999999999999" x14ac:dyDescent="0.55000000000000004">
      <c r="C199" t="s">
        <v>1792</v>
      </c>
      <c r="D199" t="e" cm="1">
        <f t="array" ref="D199">INDEX(FLT_Prod_Info,$Z191,D$3)</f>
        <v>#N/A</v>
      </c>
      <c r="E199" t="e" cm="1">
        <f t="array" ref="E199">INDEX(FLT_Prod_Info,$Z191,E$3)</f>
        <v>#N/A</v>
      </c>
      <c r="F199" t="e" cm="1">
        <f t="array" ref="F199">INDEX(FLT_Prod_Info,$Z191,F$3)</f>
        <v>#N/A</v>
      </c>
      <c r="G199" t="e" cm="1">
        <f t="array" ref="G199">INDEX(FLT_Prod_Info,$Z191,G$3)</f>
        <v>#N/A</v>
      </c>
      <c r="H199" t="e" cm="1">
        <f t="array" ref="H199">INDEX(FLT_Prod_Info,$Z191,H$3)</f>
        <v>#N/A</v>
      </c>
      <c r="I199" t="e" cm="1">
        <f t="array" ref="I199">INDEX(FLT_Prod_Info,$Z191,I$3)</f>
        <v>#N/A</v>
      </c>
      <c r="J199" t="e" cm="1">
        <f t="array" ref="J199">INDEX(FLT_Prod_Info,$Z191,J$3)</f>
        <v>#N/A</v>
      </c>
      <c r="K199" t="e" cm="1">
        <f t="array" ref="K199">INDEX(FLT_Prod_Info,$Z191,K$3)</f>
        <v>#N/A</v>
      </c>
      <c r="L199" t="e" cm="1">
        <f t="array" ref="L199">INDEX(FLT_Prod_Info,$Z191,L$3)</f>
        <v>#N/A</v>
      </c>
      <c r="M199" t="e" cm="1">
        <f t="array" ref="M199">INDEX(FLT_Prod_Info,$Z191,M$3)</f>
        <v>#N/A</v>
      </c>
      <c r="N199" t="e" cm="1">
        <f t="array" ref="N199">INDEX(FLT_Prod_Info,$Z191,N$3)</f>
        <v>#N/A</v>
      </c>
      <c r="O199" t="e" cm="1">
        <f t="array" ref="O199">INDEX(FLT_Prod_Info,$Z191,O$3)</f>
        <v>#N/A</v>
      </c>
      <c r="P199">
        <f t="shared" si="244"/>
        <v>195</v>
      </c>
    </row>
    <row r="200" spans="3:22" ht="17.149999999999999" x14ac:dyDescent="0.55000000000000004">
      <c r="C200" t="s">
        <v>1793</v>
      </c>
      <c r="D200" t="str" cm="1">
        <f t="array" ref="D200">INDEX(FLT_Prod_Info,$Z192,D$3)</f>
        <v>N/A</v>
      </c>
      <c r="E200" t="str" cm="1">
        <f t="array" ref="E200">INDEX(FLT_Prod_Info,$Z192,E$3)</f>
        <v>N/A</v>
      </c>
      <c r="F200" t="str" cm="1">
        <f t="array" ref="F200">INDEX(FLT_Prod_Info,$Z192,F$3)</f>
        <v>N/A</v>
      </c>
      <c r="G200" t="str" cm="1">
        <f t="array" ref="G200">INDEX(FLT_Prod_Info,$Z192,G$3)</f>
        <v>N/A</v>
      </c>
      <c r="H200" t="str" cm="1">
        <f t="array" ref="H200">INDEX(FLT_Prod_Info,$Z192,H$3)</f>
        <v>N/A</v>
      </c>
      <c r="I200" t="str" cm="1">
        <f t="array" ref="I200">INDEX(FLT_Prod_Info,$Z192,I$3)</f>
        <v>N/A</v>
      </c>
      <c r="J200" t="str" cm="1">
        <f t="array" ref="J200">INDEX(FLT_Prod_Info,$Z192,J$3)</f>
        <v>N/A</v>
      </c>
      <c r="K200" t="str" cm="1">
        <f t="array" ref="K200">INDEX(FLT_Prod_Info,$Z192,K$3)</f>
        <v>N/A</v>
      </c>
      <c r="L200" t="str" cm="1">
        <f t="array" ref="L200">INDEX(FLT_Prod_Info,$Z192,L$3)</f>
        <v>N/A</v>
      </c>
      <c r="M200" t="str" cm="1">
        <f t="array" ref="M200">INDEX(FLT_Prod_Info,$Z192,M$3)</f>
        <v>N/A</v>
      </c>
      <c r="N200" t="str" cm="1">
        <f t="array" ref="N200">INDEX(FLT_Prod_Info,$Z192,N$3)</f>
        <v>N/A</v>
      </c>
      <c r="O200" t="str" cm="1">
        <f t="array" ref="O200">INDEX(FLT_Prod_Info,$Z192,O$3)</f>
        <v>N/A</v>
      </c>
      <c r="P200">
        <f t="shared" si="244"/>
        <v>196</v>
      </c>
    </row>
    <row r="201" spans="3:22" ht="17.149999999999999" x14ac:dyDescent="0.55000000000000004">
      <c r="C201" t="s">
        <v>1388</v>
      </c>
      <c r="D201">
        <f t="shared" ref="D201:O201" si="245">IFERROR(IF(D191="Chemical",(10^(INDEX(Antoines,MATCH(D190,Antoine_Name,0),2)-INDEX(Antoines,MATCH(D190,Antoine_Name,0),3)/(INDEX(Antoines,MATCH(D190,Antoine_Name,0),4)+(D196-32)*5/9)))*14.7/760,IF(D191="Crude Oil",EXP((2799/(D196+459.6)-2.227)*LOG10(D197)-(7261/(D196+459.6))+12.82),IF(D191="Refined Petroleum Stock",EXP((0.7553-(413/(D196+459.6)))*(D198^0.5)*LOG10(D197)-(1.854-(1042/(D196+459.6)))*(D198^0.5)+((2416/(D196+459.6)-2.013)*LOG10(D197))-(8742/(D196+459.6))+15.64),EXP(INDEX(Antoines,MATCH(D190,Antoine_Name,0),2)-INDEX(Antoines,MATCH(D190,Antoine_Name,0),3)/(D196+459.6))))),0)</f>
        <v>4.8244787100066907E-3</v>
      </c>
      <c r="E201">
        <f t="shared" si="245"/>
        <v>5.0280342063650568E-3</v>
      </c>
      <c r="F201">
        <f t="shared" si="245"/>
        <v>5.3551816996230449E-3</v>
      </c>
      <c r="G201">
        <f t="shared" si="245"/>
        <v>5.9505171322245887E-3</v>
      </c>
      <c r="H201">
        <f t="shared" si="245"/>
        <v>7.0460344073129157E-3</v>
      </c>
      <c r="I201">
        <f t="shared" si="245"/>
        <v>8.035753528204518E-3</v>
      </c>
      <c r="J201">
        <f t="shared" si="245"/>
        <v>9.0532054532778839E-3</v>
      </c>
      <c r="K201">
        <f t="shared" si="245"/>
        <v>9.0924853521168591E-3</v>
      </c>
      <c r="L201">
        <f t="shared" si="245"/>
        <v>8.3107026094258567E-3</v>
      </c>
      <c r="M201">
        <f t="shared" si="245"/>
        <v>6.6550257384644955E-3</v>
      </c>
      <c r="N201">
        <f t="shared" si="245"/>
        <v>5.4085226797941904E-3</v>
      </c>
      <c r="O201">
        <f t="shared" si="245"/>
        <v>4.7636944915997893E-3</v>
      </c>
      <c r="P201">
        <f t="shared" si="244"/>
        <v>197</v>
      </c>
    </row>
    <row r="202" spans="3:22" ht="17.149999999999999" x14ac:dyDescent="0.55000000000000004">
      <c r="C202" t="s">
        <v>1389</v>
      </c>
      <c r="D202">
        <f t="shared" ref="D202:O202" si="246">D201*D194</f>
        <v>4.8244787100066907E-3</v>
      </c>
      <c r="E202">
        <f t="shared" si="246"/>
        <v>5.0280342063650568E-3</v>
      </c>
      <c r="F202">
        <f t="shared" si="246"/>
        <v>5.3551816996230449E-3</v>
      </c>
      <c r="G202">
        <f t="shared" si="246"/>
        <v>5.9505171322245887E-3</v>
      </c>
      <c r="H202">
        <f t="shared" si="246"/>
        <v>7.0460344073129157E-3</v>
      </c>
      <c r="I202">
        <f t="shared" si="246"/>
        <v>8.035753528204518E-3</v>
      </c>
      <c r="J202">
        <f t="shared" si="246"/>
        <v>9.0532054532778839E-3</v>
      </c>
      <c r="K202">
        <f t="shared" si="246"/>
        <v>9.0924853521168591E-3</v>
      </c>
      <c r="L202">
        <f t="shared" si="246"/>
        <v>8.3107026094258567E-3</v>
      </c>
      <c r="M202">
        <f t="shared" si="246"/>
        <v>6.6550257384644955E-3</v>
      </c>
      <c r="N202">
        <f t="shared" si="246"/>
        <v>5.4085226797941904E-3</v>
      </c>
      <c r="O202">
        <f t="shared" si="246"/>
        <v>4.7636944915997893E-3</v>
      </c>
      <c r="P202">
        <f t="shared" si="244"/>
        <v>198</v>
      </c>
    </row>
    <row r="203" spans="3:22" ht="17.149999999999999" x14ac:dyDescent="0.55000000000000004">
      <c r="C203" t="s">
        <v>1390</v>
      </c>
      <c r="D203">
        <f t="shared" ref="D203:O203" si="247">IFERROR(IF(D193="Chemical",(10^(INDEX(Antoines,MATCH(D192,Antoine_Name,0),2)-INDEX(Antoines,MATCH(D192,Antoine_Name,0),3)/(INDEX(Antoines,MATCH(D192,Antoine_Name,0),4)+(D196-32)*5/9)))*14.7/760,IF(D193="Crude Oil",EXP((2799/(D196+459.6)-2.227)*LOG10(D199)-(7261/(D196+459.6))+12.82),IF(D193="Refined Petroleum Stock",EXP((0.7553-(413/(D196+459.6)))*(D200^0.5)*LOG10(D199)-(1.854-(1042/(D196+459.6)))*(D200^0.5)+((2416/(D196+459.6)-2.013)*LOG10(D199))-(8742/(D196+459.6))+15.64),EXP(INDEX(Antoines,MATCH(D192,Antoine_Name,0),2)-INDEX(Antoines,MATCH(D192,Antoine_Name,0),3)/(D196+459.6))))),0)</f>
        <v>0</v>
      </c>
      <c r="E203">
        <f t="shared" si="247"/>
        <v>0</v>
      </c>
      <c r="F203">
        <f t="shared" si="247"/>
        <v>0</v>
      </c>
      <c r="G203">
        <f t="shared" si="247"/>
        <v>0</v>
      </c>
      <c r="H203">
        <f t="shared" si="247"/>
        <v>0</v>
      </c>
      <c r="I203">
        <f t="shared" si="247"/>
        <v>0</v>
      </c>
      <c r="J203">
        <f t="shared" si="247"/>
        <v>0</v>
      </c>
      <c r="K203">
        <f t="shared" si="247"/>
        <v>0</v>
      </c>
      <c r="L203">
        <f t="shared" si="247"/>
        <v>0</v>
      </c>
      <c r="M203">
        <f t="shared" si="247"/>
        <v>0</v>
      </c>
      <c r="N203">
        <f t="shared" si="247"/>
        <v>0</v>
      </c>
      <c r="O203">
        <f t="shared" si="247"/>
        <v>0</v>
      </c>
      <c r="P203">
        <f t="shared" si="244"/>
        <v>199</v>
      </c>
    </row>
    <row r="204" spans="3:22" ht="17.149999999999999" x14ac:dyDescent="0.55000000000000004">
      <c r="C204" t="s">
        <v>1391</v>
      </c>
      <c r="D204">
        <f t="shared" ref="D204:O204" si="248">D203*D195</f>
        <v>0</v>
      </c>
      <c r="E204">
        <f t="shared" si="248"/>
        <v>0</v>
      </c>
      <c r="F204">
        <f t="shared" si="248"/>
        <v>0</v>
      </c>
      <c r="G204">
        <f t="shared" si="248"/>
        <v>0</v>
      </c>
      <c r="H204">
        <f t="shared" si="248"/>
        <v>0</v>
      </c>
      <c r="I204">
        <f t="shared" si="248"/>
        <v>0</v>
      </c>
      <c r="J204">
        <f t="shared" si="248"/>
        <v>0</v>
      </c>
      <c r="K204">
        <f t="shared" si="248"/>
        <v>0</v>
      </c>
      <c r="L204">
        <f t="shared" si="248"/>
        <v>0</v>
      </c>
      <c r="M204">
        <f t="shared" si="248"/>
        <v>0</v>
      </c>
      <c r="N204">
        <f t="shared" si="248"/>
        <v>0</v>
      </c>
      <c r="O204">
        <f t="shared" si="248"/>
        <v>0</v>
      </c>
      <c r="P204">
        <f t="shared" si="244"/>
        <v>200</v>
      </c>
    </row>
    <row r="205" spans="3:22" ht="17.149999999999999" x14ac:dyDescent="0.55000000000000004">
      <c r="C205" t="s">
        <v>1392</v>
      </c>
      <c r="D205">
        <f>IF(D190="Out of Service",0,D202+D204)</f>
        <v>4.8244787100066907E-3</v>
      </c>
      <c r="E205">
        <f t="shared" ref="E205" si="249">IF(E190="Out of Service",0,E202+E204)</f>
        <v>5.0280342063650568E-3</v>
      </c>
      <c r="F205">
        <f t="shared" ref="F205" si="250">IF(F190="Out of Service",0,F202+F204)</f>
        <v>5.3551816996230449E-3</v>
      </c>
      <c r="G205">
        <f t="shared" ref="G205" si="251">IF(G190="Out of Service",0,G202+G204)</f>
        <v>5.9505171322245887E-3</v>
      </c>
      <c r="H205">
        <f t="shared" ref="H205" si="252">IF(H190="Out of Service",0,H202+H204)</f>
        <v>7.0460344073129157E-3</v>
      </c>
      <c r="I205">
        <f t="shared" ref="I205" si="253">IF(I190="Out of Service",0,I202+I204)</f>
        <v>8.035753528204518E-3</v>
      </c>
      <c r="J205">
        <f t="shared" ref="J205" si="254">IF(J190="Out of Service",0,J202+J204)</f>
        <v>9.0532054532778839E-3</v>
      </c>
      <c r="K205">
        <f t="shared" ref="K205" si="255">IF(K190="Out of Service",0,K202+K204)</f>
        <v>9.0924853521168591E-3</v>
      </c>
      <c r="L205">
        <f t="shared" ref="L205" si="256">IF(L190="Out of Service",0,L202+L204)</f>
        <v>8.3107026094258567E-3</v>
      </c>
      <c r="M205">
        <f t="shared" ref="M205" si="257">IF(M190="Out of Service",0,M202+M204)</f>
        <v>6.6550257384644955E-3</v>
      </c>
      <c r="N205">
        <f t="shared" ref="N205" si="258">IF(N190="Out of Service",0,N202+N204)</f>
        <v>5.4085226797941904E-3</v>
      </c>
      <c r="O205">
        <f t="shared" ref="O205" si="259">IF(O190="Out of Service",0,O202+O204)</f>
        <v>4.7636944915997893E-3</v>
      </c>
      <c r="P205">
        <f t="shared" si="244"/>
        <v>201</v>
      </c>
    </row>
    <row r="206" spans="3:22" x14ac:dyDescent="0.4">
      <c r="C206" t="s">
        <v>1513</v>
      </c>
      <c r="D206">
        <f t="shared" ref="D206:O206" si="260">(D205/D189)/(1+(SQRT(1-D205/D189))^2)</f>
        <v>1.6412484785173248E-4</v>
      </c>
      <c r="E206">
        <f t="shared" si="260"/>
        <v>1.710508250259971E-4</v>
      </c>
      <c r="F206">
        <f t="shared" si="260"/>
        <v>1.8218222171846219E-4</v>
      </c>
      <c r="G206">
        <f t="shared" si="260"/>
        <v>2.0243951537513835E-4</v>
      </c>
      <c r="H206">
        <f t="shared" si="260"/>
        <v>2.3971848544249703E-4</v>
      </c>
      <c r="I206">
        <f t="shared" si="260"/>
        <v>2.7339967689192903E-4</v>
      </c>
      <c r="J206">
        <f t="shared" si="260"/>
        <v>3.0802700969666073E-4</v>
      </c>
      <c r="K206">
        <f t="shared" si="260"/>
        <v>3.0936388567060521E-4</v>
      </c>
      <c r="L206">
        <f t="shared" si="260"/>
        <v>2.8275688836176187E-4</v>
      </c>
      <c r="M206">
        <f t="shared" si="260"/>
        <v>2.2641267076925099E-4</v>
      </c>
      <c r="N206">
        <f t="shared" si="260"/>
        <v>1.8399720519903155E-4</v>
      </c>
      <c r="O206">
        <f t="shared" si="260"/>
        <v>1.6205668299754803E-4</v>
      </c>
      <c r="P206">
        <f t="shared" si="244"/>
        <v>202</v>
      </c>
    </row>
    <row r="207" spans="3:22" ht="17.149999999999999" x14ac:dyDescent="0.55000000000000004">
      <c r="C207" t="s">
        <v>584</v>
      </c>
      <c r="D207">
        <f t="shared" ref="D207:H207" si="261">IFERROR(D202/D205,1)</f>
        <v>1</v>
      </c>
      <c r="E207">
        <f t="shared" si="261"/>
        <v>1</v>
      </c>
      <c r="F207">
        <f t="shared" si="261"/>
        <v>1</v>
      </c>
      <c r="G207">
        <f t="shared" si="261"/>
        <v>1</v>
      </c>
      <c r="H207">
        <f t="shared" si="261"/>
        <v>1</v>
      </c>
      <c r="I207">
        <f>IFERROR(I202/I205,1)</f>
        <v>1</v>
      </c>
      <c r="J207">
        <f t="shared" ref="J207:O207" si="262">IFERROR(J202/J205,1)</f>
        <v>1</v>
      </c>
      <c r="K207">
        <f t="shared" si="262"/>
        <v>1</v>
      </c>
      <c r="L207">
        <f t="shared" si="262"/>
        <v>1</v>
      </c>
      <c r="M207">
        <f t="shared" si="262"/>
        <v>1</v>
      </c>
      <c r="N207">
        <f t="shared" si="262"/>
        <v>1</v>
      </c>
      <c r="O207">
        <f t="shared" si="262"/>
        <v>1</v>
      </c>
      <c r="P207">
        <f t="shared" si="244"/>
        <v>203</v>
      </c>
    </row>
    <row r="208" spans="3:22" ht="17.149999999999999" x14ac:dyDescent="0.55000000000000004">
      <c r="C208" t="s">
        <v>585</v>
      </c>
      <c r="D208">
        <f t="shared" ref="D208:O208" si="263">INDEX(Phys_Prop,MATCH(D190,Chem_List,0),3)</f>
        <v>130</v>
      </c>
      <c r="E208">
        <f t="shared" si="263"/>
        <v>130</v>
      </c>
      <c r="F208">
        <f t="shared" si="263"/>
        <v>130</v>
      </c>
      <c r="G208">
        <f t="shared" si="263"/>
        <v>130</v>
      </c>
      <c r="H208">
        <f t="shared" si="263"/>
        <v>130</v>
      </c>
      <c r="I208">
        <f t="shared" si="263"/>
        <v>130</v>
      </c>
      <c r="J208">
        <f t="shared" si="263"/>
        <v>130</v>
      </c>
      <c r="K208">
        <f t="shared" si="263"/>
        <v>130</v>
      </c>
      <c r="L208">
        <f t="shared" si="263"/>
        <v>130</v>
      </c>
      <c r="M208">
        <f t="shared" si="263"/>
        <v>130</v>
      </c>
      <c r="N208">
        <f t="shared" si="263"/>
        <v>130</v>
      </c>
      <c r="O208">
        <f t="shared" si="263"/>
        <v>130</v>
      </c>
      <c r="P208">
        <f t="shared" si="244"/>
        <v>204</v>
      </c>
    </row>
    <row r="209" spans="1:26" ht="17.149999999999999" x14ac:dyDescent="0.55000000000000004">
      <c r="C209" t="s">
        <v>586</v>
      </c>
      <c r="D209">
        <f>D204/D205</f>
        <v>0</v>
      </c>
      <c r="E209">
        <f t="shared" ref="E209:O209" si="264">E204/E205</f>
        <v>0</v>
      </c>
      <c r="F209">
        <f t="shared" si="264"/>
        <v>0</v>
      </c>
      <c r="G209">
        <f t="shared" si="264"/>
        <v>0</v>
      </c>
      <c r="H209">
        <f t="shared" si="264"/>
        <v>0</v>
      </c>
      <c r="I209">
        <f t="shared" si="264"/>
        <v>0</v>
      </c>
      <c r="J209">
        <f t="shared" si="264"/>
        <v>0</v>
      </c>
      <c r="K209">
        <f t="shared" si="264"/>
        <v>0</v>
      </c>
      <c r="L209">
        <f t="shared" si="264"/>
        <v>0</v>
      </c>
      <c r="M209">
        <f t="shared" si="264"/>
        <v>0</v>
      </c>
      <c r="N209">
        <f t="shared" si="264"/>
        <v>0</v>
      </c>
      <c r="O209">
        <f t="shared" si="264"/>
        <v>0</v>
      </c>
      <c r="P209">
        <f t="shared" si="244"/>
        <v>205</v>
      </c>
    </row>
    <row r="210" spans="1:26" ht="17.149999999999999" x14ac:dyDescent="0.55000000000000004">
      <c r="C210" t="s">
        <v>587</v>
      </c>
      <c r="D210">
        <f t="shared" ref="D210:O210" si="265">IFERROR(INDEX(Phys_Prop,MATCH(D192,Chem_List,0),3),0)</f>
        <v>0</v>
      </c>
      <c r="E210">
        <f t="shared" si="265"/>
        <v>0</v>
      </c>
      <c r="F210">
        <f t="shared" si="265"/>
        <v>0</v>
      </c>
      <c r="G210">
        <f t="shared" si="265"/>
        <v>0</v>
      </c>
      <c r="H210">
        <f t="shared" si="265"/>
        <v>0</v>
      </c>
      <c r="I210">
        <f t="shared" si="265"/>
        <v>0</v>
      </c>
      <c r="J210">
        <f t="shared" si="265"/>
        <v>0</v>
      </c>
      <c r="K210">
        <f t="shared" si="265"/>
        <v>0</v>
      </c>
      <c r="L210">
        <f t="shared" si="265"/>
        <v>0</v>
      </c>
      <c r="M210">
        <f t="shared" si="265"/>
        <v>0</v>
      </c>
      <c r="N210">
        <f t="shared" si="265"/>
        <v>0</v>
      </c>
      <c r="O210">
        <f t="shared" si="265"/>
        <v>0</v>
      </c>
      <c r="P210">
        <f t="shared" si="244"/>
        <v>206</v>
      </c>
    </row>
    <row r="211" spans="1:26" ht="17.149999999999999" x14ac:dyDescent="0.55000000000000004">
      <c r="A211" s="11"/>
      <c r="B211" s="11"/>
      <c r="C211" s="11" t="s">
        <v>588</v>
      </c>
      <c r="D211" s="11">
        <f>IFERROR(D207*D208+D209*D210,0)</f>
        <v>130</v>
      </c>
      <c r="E211" s="11">
        <f t="shared" ref="E211" si="266">IFERROR(E207*E208+E209*E210,0)</f>
        <v>130</v>
      </c>
      <c r="F211" s="11">
        <f t="shared" ref="F211" si="267">IFERROR(F207*F208+F209*F210,0)</f>
        <v>130</v>
      </c>
      <c r="G211" s="11">
        <f t="shared" ref="G211" si="268">IFERROR(G207*G208+G209*G210,0)</f>
        <v>130</v>
      </c>
      <c r="H211" s="11">
        <f t="shared" ref="H211" si="269">IFERROR(H207*H208+H209*H210,0)</f>
        <v>130</v>
      </c>
      <c r="I211" s="11">
        <f t="shared" ref="I211" si="270">IFERROR(I207*I208+I209*I210,0)</f>
        <v>130</v>
      </c>
      <c r="J211" s="11">
        <f t="shared" ref="J211" si="271">IFERROR(J207*J208+J209*J210,0)</f>
        <v>130</v>
      </c>
      <c r="K211" s="11">
        <f t="shared" ref="K211" si="272">IFERROR(K207*K208+K209*K210,0)</f>
        <v>130</v>
      </c>
      <c r="L211" s="11">
        <f t="shared" ref="L211" si="273">IFERROR(L207*L208+L209*L210,0)</f>
        <v>130</v>
      </c>
      <c r="M211" s="11">
        <f t="shared" ref="M211" si="274">IFERROR(M207*M208+M209*M210,0)</f>
        <v>130</v>
      </c>
      <c r="N211" s="11">
        <f t="shared" ref="N211" si="275">IFERROR(N207*N208+N209*N210,0)</f>
        <v>130</v>
      </c>
      <c r="O211" s="11">
        <f t="shared" ref="O211" si="276">IFERROR(O207*O208+O209*O210,0)</f>
        <v>130</v>
      </c>
      <c r="P211" s="11">
        <f t="shared" si="244"/>
        <v>207</v>
      </c>
      <c r="Q211" s="11"/>
      <c r="R211" s="11"/>
      <c r="S211" s="11"/>
      <c r="T211" s="11"/>
      <c r="U211" s="11"/>
      <c r="V211" s="11"/>
      <c r="W211" s="11"/>
      <c r="X211" s="11"/>
      <c r="Y211" s="11"/>
    </row>
    <row r="212" spans="1:26" ht="17.149999999999999" x14ac:dyDescent="0.55000000000000004">
      <c r="A212" t="str" cm="1">
        <f t="array" ref="A212">INDEX(FLT_Cons,$R212,T$5)</f>
        <v>FLT - 10</v>
      </c>
      <c r="B212" t="str" cm="1">
        <f t="array" ref="B212">INDEX(FLT_Cons,$R212,T$6)</f>
        <v>Portland</v>
      </c>
      <c r="C212" t="s">
        <v>563</v>
      </c>
      <c r="D212">
        <v>14.7</v>
      </c>
      <c r="E212">
        <v>14.7</v>
      </c>
      <c r="F212">
        <v>14.7</v>
      </c>
      <c r="G212">
        <v>14.7</v>
      </c>
      <c r="H212">
        <v>14.7</v>
      </c>
      <c r="I212">
        <v>14.7</v>
      </c>
      <c r="J212">
        <v>14.7</v>
      </c>
      <c r="K212">
        <v>14.7</v>
      </c>
      <c r="L212">
        <v>14.7</v>
      </c>
      <c r="M212">
        <v>14.7</v>
      </c>
      <c r="N212">
        <v>14.7</v>
      </c>
      <c r="O212">
        <v>14.7</v>
      </c>
      <c r="P212">
        <f>P211+1</f>
        <v>208</v>
      </c>
      <c r="R212">
        <f>R189+1</f>
        <v>10</v>
      </c>
      <c r="S212" t="s">
        <v>237</v>
      </c>
      <c r="T212">
        <v>1</v>
      </c>
      <c r="W212" t="s">
        <v>1516</v>
      </c>
      <c r="X212">
        <f>X189+12</f>
        <v>114</v>
      </c>
      <c r="Y212" t="s">
        <v>1787</v>
      </c>
      <c r="Z212">
        <f>Z189+12</f>
        <v>111</v>
      </c>
    </row>
    <row r="213" spans="1:26" x14ac:dyDescent="0.4">
      <c r="C213" s="66" t="s">
        <v>567</v>
      </c>
      <c r="D213" t="str" cm="1">
        <f t="array" ref="D213">INDEX(Flt_Multi,$V213,D$3)</f>
        <v>Bakken Crude</v>
      </c>
      <c r="E213" t="str" cm="1">
        <f t="array" ref="E213">INDEX(Flt_Multi,$V213,E$3)</f>
        <v>Bakken Crude</v>
      </c>
      <c r="F213" t="str" cm="1">
        <f t="array" ref="F213">INDEX(Flt_Multi,$V213,F$3)</f>
        <v>Bakken Crude</v>
      </c>
      <c r="G213" t="str" cm="1">
        <f t="array" ref="G213">INDEX(Flt_Multi,$V213,G$3)</f>
        <v>Bakken Crude</v>
      </c>
      <c r="H213" t="str" cm="1">
        <f t="array" ref="H213">INDEX(Flt_Multi,$V213,H$3)</f>
        <v>Bakken Crude</v>
      </c>
      <c r="I213" t="str" cm="1">
        <f t="array" ref="I213">INDEX(Flt_Multi,$V213,I$3)</f>
        <v>Bakken Crude</v>
      </c>
      <c r="J213" t="str" cm="1">
        <f t="array" ref="J213">INDEX(Flt_Multi,$V213,J$3)</f>
        <v>Bakken Crude</v>
      </c>
      <c r="K213" t="str" cm="1">
        <f t="array" ref="K213">INDEX(Flt_Multi,$V213,K$3)</f>
        <v>Bakken Crude</v>
      </c>
      <c r="L213" t="str" cm="1">
        <f t="array" ref="L213">INDEX(Flt_Multi,$V213,L$3)</f>
        <v>Bakken Crude</v>
      </c>
      <c r="M213" t="str" cm="1">
        <f t="array" ref="M213">INDEX(Flt_Multi,$V213,M$3)</f>
        <v>Bakken Crude</v>
      </c>
      <c r="N213" t="str" cm="1">
        <f t="array" ref="N213">INDEX(Flt_Multi,$V213,N$3)</f>
        <v>Bakken Crude</v>
      </c>
      <c r="O213" t="str" cm="1">
        <f t="array" ref="O213">INDEX(Flt_Multi,$V213,O$3)</f>
        <v>Bakken Crude</v>
      </c>
      <c r="P213">
        <f>P212+1</f>
        <v>209</v>
      </c>
      <c r="S213" t="s">
        <v>549</v>
      </c>
      <c r="T213">
        <v>3</v>
      </c>
      <c r="U213" s="66" t="s">
        <v>567</v>
      </c>
      <c r="V213">
        <f>V190+14</f>
        <v>127</v>
      </c>
      <c r="Y213" t="s">
        <v>1786</v>
      </c>
      <c r="Z213">
        <f>Z212+1</f>
        <v>112</v>
      </c>
    </row>
    <row r="214" spans="1:26" x14ac:dyDescent="0.4">
      <c r="C214" s="66" t="s">
        <v>566</v>
      </c>
      <c r="D214" t="str" cm="1">
        <f t="array" ref="D214">INDEX(Flt_Multi,$V214,D$3)</f>
        <v>Crude Oil</v>
      </c>
      <c r="E214" t="str" cm="1">
        <f t="array" ref="E214">INDEX(Flt_Multi,$V214,E$3)</f>
        <v>Crude Oil</v>
      </c>
      <c r="F214" t="str" cm="1">
        <f t="array" ref="F214">INDEX(Flt_Multi,$V214,F$3)</f>
        <v>Crude Oil</v>
      </c>
      <c r="G214" t="str" cm="1">
        <f t="array" ref="G214">INDEX(Flt_Multi,$V214,G$3)</f>
        <v>Crude Oil</v>
      </c>
      <c r="H214" t="str" cm="1">
        <f t="array" ref="H214">INDEX(Flt_Multi,$V214,H$3)</f>
        <v>Crude Oil</v>
      </c>
      <c r="I214" t="str" cm="1">
        <f t="array" ref="I214">INDEX(Flt_Multi,$V214,I$3)</f>
        <v>Crude Oil</v>
      </c>
      <c r="J214" t="str" cm="1">
        <f t="array" ref="J214">INDEX(Flt_Multi,$V214,J$3)</f>
        <v>Crude Oil</v>
      </c>
      <c r="K214" t="str" cm="1">
        <f t="array" ref="K214">INDEX(Flt_Multi,$V214,K$3)</f>
        <v>Crude Oil</v>
      </c>
      <c r="L214" t="str" cm="1">
        <f t="array" ref="L214">INDEX(Flt_Multi,$V214,L$3)</f>
        <v>Crude Oil</v>
      </c>
      <c r="M214" t="str" cm="1">
        <f t="array" ref="M214">INDEX(Flt_Multi,$V214,M$3)</f>
        <v>Crude Oil</v>
      </c>
      <c r="N214" t="str" cm="1">
        <f t="array" ref="N214">INDEX(Flt_Multi,$V214,N$3)</f>
        <v>Crude Oil</v>
      </c>
      <c r="O214" t="str" cm="1">
        <f t="array" ref="O214">INDEX(Flt_Multi,$V214,O$3)</f>
        <v>Crude Oil</v>
      </c>
      <c r="P214">
        <f t="shared" ref="P214:P234" si="277">P213+1</f>
        <v>210</v>
      </c>
      <c r="U214" s="66" t="s">
        <v>566</v>
      </c>
      <c r="V214">
        <f>V213+2</f>
        <v>129</v>
      </c>
      <c r="Y214" t="s">
        <v>1788</v>
      </c>
      <c r="Z214">
        <f>Z212+5</f>
        <v>116</v>
      </c>
    </row>
    <row r="215" spans="1:26" x14ac:dyDescent="0.4">
      <c r="C215" s="66" t="s">
        <v>568</v>
      </c>
      <c r="D215" t="str" cm="1">
        <f t="array" ref="D215">INDEX(Flt_Multi,$V215,D$3)</f>
        <v/>
      </c>
      <c r="E215" t="str" cm="1">
        <f t="array" ref="E215">INDEX(Flt_Multi,$V215,E$3)</f>
        <v/>
      </c>
      <c r="F215" t="str" cm="1">
        <f t="array" ref="F215">INDEX(Flt_Multi,$V215,F$3)</f>
        <v/>
      </c>
      <c r="G215" t="str" cm="1">
        <f t="array" ref="G215">INDEX(Flt_Multi,$V215,G$3)</f>
        <v/>
      </c>
      <c r="H215" t="str" cm="1">
        <f t="array" ref="H215">INDEX(Flt_Multi,$V215,H$3)</f>
        <v/>
      </c>
      <c r="I215" t="str" cm="1">
        <f t="array" ref="I215">INDEX(Flt_Multi,$V215,I$3)</f>
        <v/>
      </c>
      <c r="J215" t="str" cm="1">
        <f t="array" ref="J215">INDEX(Flt_Multi,$V215,J$3)</f>
        <v/>
      </c>
      <c r="K215" t="str" cm="1">
        <f t="array" ref="K215">INDEX(Flt_Multi,$V215,K$3)</f>
        <v/>
      </c>
      <c r="L215" t="str" cm="1">
        <f t="array" ref="L215">INDEX(Flt_Multi,$V215,L$3)</f>
        <v/>
      </c>
      <c r="M215" t="str" cm="1">
        <f t="array" ref="M215">INDEX(Flt_Multi,$V215,M$3)</f>
        <v/>
      </c>
      <c r="N215" t="str" cm="1">
        <f t="array" ref="N215">INDEX(Flt_Multi,$V215,N$3)</f>
        <v/>
      </c>
      <c r="O215" t="str" cm="1">
        <f t="array" ref="O215">INDEX(Flt_Multi,$V215,O$3)</f>
        <v/>
      </c>
      <c r="P215">
        <f t="shared" si="277"/>
        <v>211</v>
      </c>
      <c r="U215" s="66" t="s">
        <v>568</v>
      </c>
      <c r="V215">
        <f>V213+1</f>
        <v>128</v>
      </c>
      <c r="Y215" t="s">
        <v>1789</v>
      </c>
      <c r="Z215">
        <f>Z214+1</f>
        <v>117</v>
      </c>
    </row>
    <row r="216" spans="1:26" x14ac:dyDescent="0.4">
      <c r="C216" s="66" t="s">
        <v>569</v>
      </c>
      <c r="D216" t="e" cm="1">
        <f t="array" ref="D216">INDEX(Flt_Multi,$V216,D$3)</f>
        <v>#N/A</v>
      </c>
      <c r="E216" t="e" cm="1">
        <f t="array" ref="E216">INDEX(Flt_Multi,$V216,E$3)</f>
        <v>#N/A</v>
      </c>
      <c r="F216" t="e" cm="1">
        <f t="array" ref="F216">INDEX(Flt_Multi,$V216,F$3)</f>
        <v>#N/A</v>
      </c>
      <c r="G216" t="e" cm="1">
        <f t="array" ref="G216">INDEX(Flt_Multi,$V216,G$3)</f>
        <v>#N/A</v>
      </c>
      <c r="H216" t="e" cm="1">
        <f t="array" ref="H216">INDEX(Flt_Multi,$V216,H$3)</f>
        <v>#N/A</v>
      </c>
      <c r="I216" t="e" cm="1">
        <f t="array" ref="I216">INDEX(Flt_Multi,$V216,I$3)</f>
        <v>#N/A</v>
      </c>
      <c r="J216" t="e" cm="1">
        <f t="array" ref="J216">INDEX(Flt_Multi,$V216,J$3)</f>
        <v>#N/A</v>
      </c>
      <c r="K216" t="e" cm="1">
        <f t="array" ref="K216">INDEX(Flt_Multi,$V216,K$3)</f>
        <v>#N/A</v>
      </c>
      <c r="L216" t="e" cm="1">
        <f t="array" ref="L216">INDEX(Flt_Multi,$V216,L$3)</f>
        <v>#N/A</v>
      </c>
      <c r="M216" t="e" cm="1">
        <f t="array" ref="M216">INDEX(Flt_Multi,$V216,M$3)</f>
        <v>#N/A</v>
      </c>
      <c r="N216" t="e" cm="1">
        <f t="array" ref="N216">INDEX(Flt_Multi,$V216,N$3)</f>
        <v>#N/A</v>
      </c>
      <c r="O216" t="e" cm="1">
        <f t="array" ref="O216">INDEX(Flt_Multi,$V216,O$3)</f>
        <v>#N/A</v>
      </c>
      <c r="P216">
        <f t="shared" si="277"/>
        <v>212</v>
      </c>
      <c r="U216" s="66" t="s">
        <v>569</v>
      </c>
      <c r="V216">
        <f>V215+2</f>
        <v>130</v>
      </c>
    </row>
    <row r="217" spans="1:26" ht="17.149999999999999" x14ac:dyDescent="0.55000000000000004">
      <c r="C217" t="s">
        <v>570</v>
      </c>
      <c r="D217" cm="1">
        <f t="array" ref="D217">INDEX(Flt_Multi,$V217,D$3)</f>
        <v>1</v>
      </c>
      <c r="E217" cm="1">
        <f t="array" ref="E217">INDEX(Flt_Multi,$V217,E$3)</f>
        <v>1</v>
      </c>
      <c r="F217" cm="1">
        <f t="array" ref="F217">INDEX(Flt_Multi,$V217,F$3)</f>
        <v>1</v>
      </c>
      <c r="G217" cm="1">
        <f t="array" ref="G217">INDEX(Flt_Multi,$V217,G$3)</f>
        <v>1</v>
      </c>
      <c r="H217" cm="1">
        <f t="array" ref="H217">INDEX(Flt_Multi,$V217,H$3)</f>
        <v>1</v>
      </c>
      <c r="I217" cm="1">
        <f t="array" ref="I217">INDEX(Flt_Multi,$V217,I$3)</f>
        <v>1</v>
      </c>
      <c r="J217" cm="1">
        <f t="array" ref="J217">INDEX(Flt_Multi,$V217,J$3)</f>
        <v>1</v>
      </c>
      <c r="K217" cm="1">
        <f t="array" ref="K217">INDEX(Flt_Multi,$V217,K$3)</f>
        <v>1</v>
      </c>
      <c r="L217" cm="1">
        <f t="array" ref="L217">INDEX(Flt_Multi,$V217,L$3)</f>
        <v>1</v>
      </c>
      <c r="M217" cm="1">
        <f t="array" ref="M217">INDEX(Flt_Multi,$V217,M$3)</f>
        <v>1</v>
      </c>
      <c r="N217" cm="1">
        <f t="array" ref="N217">INDEX(Flt_Multi,$V217,N$3)</f>
        <v>1</v>
      </c>
      <c r="O217" cm="1">
        <f t="array" ref="O217">INDEX(Flt_Multi,$V217,O$3)</f>
        <v>1</v>
      </c>
      <c r="P217">
        <f t="shared" si="277"/>
        <v>213</v>
      </c>
      <c r="U217" t="s">
        <v>570</v>
      </c>
      <c r="V217">
        <f>V213+9</f>
        <v>136</v>
      </c>
    </row>
    <row r="218" spans="1:26" ht="17.149999999999999" x14ac:dyDescent="0.55000000000000004">
      <c r="C218" t="s">
        <v>572</v>
      </c>
      <c r="D218" cm="1">
        <f t="array" ref="D218">INDEX(Flt_Multi,$V218,D$3)</f>
        <v>0</v>
      </c>
      <c r="E218" cm="1">
        <f t="array" ref="E218">INDEX(Flt_Multi,$V218,E$3)</f>
        <v>0</v>
      </c>
      <c r="F218" cm="1">
        <f t="array" ref="F218">INDEX(Flt_Multi,$V218,F$3)</f>
        <v>0</v>
      </c>
      <c r="G218" cm="1">
        <f t="array" ref="G218">INDEX(Flt_Multi,$V218,G$3)</f>
        <v>0</v>
      </c>
      <c r="H218" cm="1">
        <f t="array" ref="H218">INDEX(Flt_Multi,$V218,H$3)</f>
        <v>0</v>
      </c>
      <c r="I218" cm="1">
        <f t="array" ref="I218">INDEX(Flt_Multi,$V218,I$3)</f>
        <v>0</v>
      </c>
      <c r="J218" cm="1">
        <f t="array" ref="J218">INDEX(Flt_Multi,$V218,J$3)</f>
        <v>0</v>
      </c>
      <c r="K218" cm="1">
        <f t="array" ref="K218">INDEX(Flt_Multi,$V218,K$3)</f>
        <v>0</v>
      </c>
      <c r="L218" cm="1">
        <f t="array" ref="L218">INDEX(Flt_Multi,$V218,L$3)</f>
        <v>0</v>
      </c>
      <c r="M218" cm="1">
        <f t="array" ref="M218">INDEX(Flt_Multi,$V218,M$3)</f>
        <v>0</v>
      </c>
      <c r="N218" cm="1">
        <f t="array" ref="N218">INDEX(Flt_Multi,$V218,N$3)</f>
        <v>0</v>
      </c>
      <c r="O218" cm="1">
        <f t="array" ref="O218">INDEX(Flt_Multi,$V218,O$3)</f>
        <v>0</v>
      </c>
      <c r="P218">
        <f t="shared" si="277"/>
        <v>214</v>
      </c>
      <c r="U218" t="s">
        <v>572</v>
      </c>
      <c r="V218">
        <f>V215+9</f>
        <v>137</v>
      </c>
    </row>
    <row r="219" spans="1:26" ht="17.149999999999999" x14ac:dyDescent="0.55000000000000004">
      <c r="C219" t="s">
        <v>552</v>
      </c>
      <c r="D219" cm="1">
        <f t="array" ref="D219">INDEX(Flt_Temps,$X212,D$3)-459.6</f>
        <v>44.455079514519014</v>
      </c>
      <c r="E219" cm="1">
        <f t="array" ref="E219">INDEX(Flt_Temps,$X212,E$3)-459.6</f>
        <v>45.670984573502835</v>
      </c>
      <c r="F219" cm="1">
        <f t="array" ref="F219">INDEX(Flt_Temps,$X212,F$3)-459.6</f>
        <v>47.519255784936547</v>
      </c>
      <c r="G219" cm="1">
        <f t="array" ref="G219">INDEX(Flt_Temps,$X212,G$3)-459.6</f>
        <v>50.626121143375713</v>
      </c>
      <c r="H219" cm="1">
        <f t="array" ref="H219">INDEX(Flt_Temps,$X212,H$3)-459.6</f>
        <v>55.637338815789462</v>
      </c>
      <c r="I219" cm="1">
        <f t="array" ref="I219">INDEX(Flt_Temps,$X212,I$3)-459.6</f>
        <v>59.582986501814844</v>
      </c>
      <c r="J219" cm="1">
        <f t="array" ref="J219">INDEX(Flt_Temps,$X212,J$3)-459.6</f>
        <v>63.214069419237603</v>
      </c>
      <c r="K219" cm="1">
        <f t="array" ref="K219">INDEX(Flt_Temps,$X212,K$3)-459.6</f>
        <v>63.314514972776806</v>
      </c>
      <c r="L219" cm="1">
        <f t="array" ref="L219">INDEX(Flt_Temps,$X212,L$3)-459.6</f>
        <v>60.535495916515515</v>
      </c>
      <c r="M219" cm="1">
        <f t="array" ref="M219">INDEX(Flt_Temps,$X212,M$3)-459.6</f>
        <v>53.82812794918334</v>
      </c>
      <c r="N219" cm="1">
        <f t="array" ref="N219">INDEX(Flt_Temps,$X212,N$3)-459.6</f>
        <v>47.73275828039931</v>
      </c>
      <c r="O219" cm="1">
        <f t="array" ref="O219">INDEX(Flt_Temps,$X212,O$3)-459.6</f>
        <v>44.088728901996433</v>
      </c>
      <c r="P219">
        <f t="shared" si="277"/>
        <v>215</v>
      </c>
    </row>
    <row r="220" spans="1:26" ht="17.149999999999999" x14ac:dyDescent="0.55000000000000004">
      <c r="C220" t="s">
        <v>1790</v>
      </c>
      <c r="D220" cm="1">
        <f t="array" ref="D220">INDEX(FLT_Prod_Info,$Z212,D$3)</f>
        <v>10.199999999999999</v>
      </c>
      <c r="E220" cm="1">
        <f t="array" ref="E220">INDEX(FLT_Prod_Info,$Z212,E$3)</f>
        <v>10.199999999999999</v>
      </c>
      <c r="F220" cm="1">
        <f t="array" ref="F220">INDEX(FLT_Prod_Info,$Z212,F$3)</f>
        <v>10.199999999999999</v>
      </c>
      <c r="G220" cm="1">
        <f t="array" ref="G220">INDEX(FLT_Prod_Info,$Z212,G$3)</f>
        <v>10.199999999999999</v>
      </c>
      <c r="H220" cm="1">
        <f t="array" ref="H220">INDEX(FLT_Prod_Info,$Z212,H$3)</f>
        <v>10.199999999999999</v>
      </c>
      <c r="I220" cm="1">
        <f t="array" ref="I220">INDEX(FLT_Prod_Info,$Z212,I$3)</f>
        <v>10.199999999999999</v>
      </c>
      <c r="J220" cm="1">
        <f t="array" ref="J220">INDEX(FLT_Prod_Info,$Z212,J$3)</f>
        <v>10.199999999999999</v>
      </c>
      <c r="K220" cm="1">
        <f t="array" ref="K220">INDEX(FLT_Prod_Info,$Z212,K$3)</f>
        <v>10.199999999999999</v>
      </c>
      <c r="L220" cm="1">
        <f t="array" ref="L220">INDEX(FLT_Prod_Info,$Z212,L$3)</f>
        <v>10.199999999999999</v>
      </c>
      <c r="M220" cm="1">
        <f t="array" ref="M220">INDEX(FLT_Prod_Info,$Z212,M$3)</f>
        <v>10.199999999999999</v>
      </c>
      <c r="N220" cm="1">
        <f t="array" ref="N220">INDEX(FLT_Prod_Info,$Z212,N$3)</f>
        <v>10.199999999999999</v>
      </c>
      <c r="O220" cm="1">
        <f t="array" ref="O220">INDEX(FLT_Prod_Info,$Z212,O$3)</f>
        <v>10.199999999999999</v>
      </c>
      <c r="P220">
        <f t="shared" si="277"/>
        <v>216</v>
      </c>
    </row>
    <row r="221" spans="1:26" ht="17.149999999999999" x14ac:dyDescent="0.55000000000000004">
      <c r="C221" t="s">
        <v>1791</v>
      </c>
      <c r="D221" cm="1">
        <f t="array" ref="D221">INDEX(FLT_Prod_Info,$Z213,D$3)</f>
        <v>0</v>
      </c>
      <c r="E221" cm="1">
        <f t="array" ref="E221">INDEX(FLT_Prod_Info,$Z213,E$3)</f>
        <v>0</v>
      </c>
      <c r="F221" cm="1">
        <f t="array" ref="F221">INDEX(FLT_Prod_Info,$Z213,F$3)</f>
        <v>0</v>
      </c>
      <c r="G221" cm="1">
        <f t="array" ref="G221">INDEX(FLT_Prod_Info,$Z213,G$3)</f>
        <v>0</v>
      </c>
      <c r="H221" cm="1">
        <f t="array" ref="H221">INDEX(FLT_Prod_Info,$Z213,H$3)</f>
        <v>0</v>
      </c>
      <c r="I221" cm="1">
        <f t="array" ref="I221">INDEX(FLT_Prod_Info,$Z213,I$3)</f>
        <v>0</v>
      </c>
      <c r="J221" cm="1">
        <f t="array" ref="J221">INDEX(FLT_Prod_Info,$Z213,J$3)</f>
        <v>0</v>
      </c>
      <c r="K221" cm="1">
        <f t="array" ref="K221">INDEX(FLT_Prod_Info,$Z213,K$3)</f>
        <v>0</v>
      </c>
      <c r="L221" cm="1">
        <f t="array" ref="L221">INDEX(FLT_Prod_Info,$Z213,L$3)</f>
        <v>0</v>
      </c>
      <c r="M221" cm="1">
        <f t="array" ref="M221">INDEX(FLT_Prod_Info,$Z213,M$3)</f>
        <v>0</v>
      </c>
      <c r="N221" cm="1">
        <f t="array" ref="N221">INDEX(FLT_Prod_Info,$Z213,N$3)</f>
        <v>0</v>
      </c>
      <c r="O221" cm="1">
        <f t="array" ref="O221">INDEX(FLT_Prod_Info,$Z213,O$3)</f>
        <v>0</v>
      </c>
      <c r="P221">
        <f t="shared" si="277"/>
        <v>217</v>
      </c>
    </row>
    <row r="222" spans="1:26" ht="17.149999999999999" x14ac:dyDescent="0.55000000000000004">
      <c r="C222" t="s">
        <v>1792</v>
      </c>
      <c r="D222" t="e" cm="1">
        <f t="array" ref="D222">INDEX(FLT_Prod_Info,$Z214,D$3)</f>
        <v>#N/A</v>
      </c>
      <c r="E222" t="e" cm="1">
        <f t="array" ref="E222">INDEX(FLT_Prod_Info,$Z214,E$3)</f>
        <v>#N/A</v>
      </c>
      <c r="F222" t="e" cm="1">
        <f t="array" ref="F222">INDEX(FLT_Prod_Info,$Z214,F$3)</f>
        <v>#N/A</v>
      </c>
      <c r="G222" t="e" cm="1">
        <f t="array" ref="G222">INDEX(FLT_Prod_Info,$Z214,G$3)</f>
        <v>#N/A</v>
      </c>
      <c r="H222" t="e" cm="1">
        <f t="array" ref="H222">INDEX(FLT_Prod_Info,$Z214,H$3)</f>
        <v>#N/A</v>
      </c>
      <c r="I222" t="e" cm="1">
        <f t="array" ref="I222">INDEX(FLT_Prod_Info,$Z214,I$3)</f>
        <v>#N/A</v>
      </c>
      <c r="J222" t="e" cm="1">
        <f t="array" ref="J222">INDEX(FLT_Prod_Info,$Z214,J$3)</f>
        <v>#N/A</v>
      </c>
      <c r="K222" t="e" cm="1">
        <f t="array" ref="K222">INDEX(FLT_Prod_Info,$Z214,K$3)</f>
        <v>#N/A</v>
      </c>
      <c r="L222" t="e" cm="1">
        <f t="array" ref="L222">INDEX(FLT_Prod_Info,$Z214,L$3)</f>
        <v>#N/A</v>
      </c>
      <c r="M222" t="e" cm="1">
        <f t="array" ref="M222">INDEX(FLT_Prod_Info,$Z214,M$3)</f>
        <v>#N/A</v>
      </c>
      <c r="N222" t="e" cm="1">
        <f t="array" ref="N222">INDEX(FLT_Prod_Info,$Z214,N$3)</f>
        <v>#N/A</v>
      </c>
      <c r="O222" t="e" cm="1">
        <f t="array" ref="O222">INDEX(FLT_Prod_Info,$Z214,O$3)</f>
        <v>#N/A</v>
      </c>
      <c r="P222">
        <f t="shared" si="277"/>
        <v>218</v>
      </c>
    </row>
    <row r="223" spans="1:26" ht="17.149999999999999" x14ac:dyDescent="0.55000000000000004">
      <c r="C223" t="s">
        <v>1793</v>
      </c>
      <c r="D223" t="str" cm="1">
        <f t="array" ref="D223">INDEX(FLT_Prod_Info,$Z215,D$3)</f>
        <v>N/A</v>
      </c>
      <c r="E223" t="str" cm="1">
        <f t="array" ref="E223">INDEX(FLT_Prod_Info,$Z215,E$3)</f>
        <v>N/A</v>
      </c>
      <c r="F223" t="str" cm="1">
        <f t="array" ref="F223">INDEX(FLT_Prod_Info,$Z215,F$3)</f>
        <v>N/A</v>
      </c>
      <c r="G223" t="str" cm="1">
        <f t="array" ref="G223">INDEX(FLT_Prod_Info,$Z215,G$3)</f>
        <v>N/A</v>
      </c>
      <c r="H223" t="str" cm="1">
        <f t="array" ref="H223">INDEX(FLT_Prod_Info,$Z215,H$3)</f>
        <v>N/A</v>
      </c>
      <c r="I223" t="str" cm="1">
        <f t="array" ref="I223">INDEX(FLT_Prod_Info,$Z215,I$3)</f>
        <v>N/A</v>
      </c>
      <c r="J223" t="str" cm="1">
        <f t="array" ref="J223">INDEX(FLT_Prod_Info,$Z215,J$3)</f>
        <v>N/A</v>
      </c>
      <c r="K223" t="str" cm="1">
        <f t="array" ref="K223">INDEX(FLT_Prod_Info,$Z215,K$3)</f>
        <v>N/A</v>
      </c>
      <c r="L223" t="str" cm="1">
        <f t="array" ref="L223">INDEX(FLT_Prod_Info,$Z215,L$3)</f>
        <v>N/A</v>
      </c>
      <c r="M223" t="str" cm="1">
        <f t="array" ref="M223">INDEX(FLT_Prod_Info,$Z215,M$3)</f>
        <v>N/A</v>
      </c>
      <c r="N223" t="str" cm="1">
        <f t="array" ref="N223">INDEX(FLT_Prod_Info,$Z215,N$3)</f>
        <v>N/A</v>
      </c>
      <c r="O223" t="str" cm="1">
        <f t="array" ref="O223">INDEX(FLT_Prod_Info,$Z215,O$3)</f>
        <v>N/A</v>
      </c>
      <c r="P223">
        <f t="shared" si="277"/>
        <v>219</v>
      </c>
    </row>
    <row r="224" spans="1:26" ht="17.149999999999999" x14ac:dyDescent="0.55000000000000004">
      <c r="C224" t="s">
        <v>1388</v>
      </c>
      <c r="D224">
        <f t="shared" ref="D224:O224" si="278">IFERROR(IF(D214="Chemical",(10^(INDEX(Antoines,MATCH(D213,Antoine_Name,0),2)-INDEX(Antoines,MATCH(D213,Antoine_Name,0),3)/(INDEX(Antoines,MATCH(D213,Antoine_Name,0),4)+(D219-32)*5/9)))*14.7/760,IF(D214="Crude Oil",EXP((2799/(D219+459.6)-2.227)*LOG10(D220)-(7261/(D219+459.6))+12.82),IF(D214="Refined Petroleum Stock",EXP((0.7553-(413/(D219+459.6)))*(D221^0.5)*LOG10(D220)-(1.854-(1042/(D219+459.6)))*(D221^0.5)+((2416/(D219+459.6)-2.013)*LOG10(D220))-(8742/(D219+459.6))+15.64),EXP(INDEX(Antoines,MATCH(D213,Antoine_Name,0),2)-INDEX(Antoines,MATCH(D213,Antoine_Name,0),3)/(D219+459.6))))),0)</f>
        <v>5.867312395282811</v>
      </c>
      <c r="E224">
        <f t="shared" si="278"/>
        <v>5.9929517490542885</v>
      </c>
      <c r="F224">
        <f t="shared" si="278"/>
        <v>6.1879012479094264</v>
      </c>
      <c r="G224">
        <f t="shared" si="278"/>
        <v>6.5265862919465194</v>
      </c>
      <c r="H224">
        <f t="shared" si="278"/>
        <v>7.1027408976770037</v>
      </c>
      <c r="I224">
        <f t="shared" si="278"/>
        <v>7.5832355758420755</v>
      </c>
      <c r="J224">
        <f t="shared" si="278"/>
        <v>8.047065242259821</v>
      </c>
      <c r="K224">
        <f t="shared" si="278"/>
        <v>8.060197054236605</v>
      </c>
      <c r="L224">
        <f t="shared" si="278"/>
        <v>7.702874004617926</v>
      </c>
      <c r="M224">
        <f t="shared" si="278"/>
        <v>6.8903996680511943</v>
      </c>
      <c r="N224">
        <f t="shared" si="278"/>
        <v>6.2107321749239732</v>
      </c>
      <c r="O224">
        <f t="shared" si="278"/>
        <v>5.8298594180444212</v>
      </c>
      <c r="P224">
        <f t="shared" si="277"/>
        <v>220</v>
      </c>
    </row>
    <row r="225" spans="1:25" ht="17.149999999999999" x14ac:dyDescent="0.55000000000000004">
      <c r="C225" t="s">
        <v>1389</v>
      </c>
      <c r="D225">
        <f t="shared" ref="D225:O225" si="279">D224*D217</f>
        <v>5.867312395282811</v>
      </c>
      <c r="E225">
        <f t="shared" si="279"/>
        <v>5.9929517490542885</v>
      </c>
      <c r="F225">
        <f t="shared" si="279"/>
        <v>6.1879012479094264</v>
      </c>
      <c r="G225">
        <f t="shared" si="279"/>
        <v>6.5265862919465194</v>
      </c>
      <c r="H225">
        <f t="shared" si="279"/>
        <v>7.1027408976770037</v>
      </c>
      <c r="I225">
        <f t="shared" si="279"/>
        <v>7.5832355758420755</v>
      </c>
      <c r="J225">
        <f t="shared" si="279"/>
        <v>8.047065242259821</v>
      </c>
      <c r="K225">
        <f t="shared" si="279"/>
        <v>8.060197054236605</v>
      </c>
      <c r="L225">
        <f t="shared" si="279"/>
        <v>7.702874004617926</v>
      </c>
      <c r="M225">
        <f t="shared" si="279"/>
        <v>6.8903996680511943</v>
      </c>
      <c r="N225">
        <f t="shared" si="279"/>
        <v>6.2107321749239732</v>
      </c>
      <c r="O225">
        <f t="shared" si="279"/>
        <v>5.8298594180444212</v>
      </c>
      <c r="P225">
        <f t="shared" si="277"/>
        <v>221</v>
      </c>
    </row>
    <row r="226" spans="1:25" ht="17.149999999999999" x14ac:dyDescent="0.55000000000000004">
      <c r="C226" t="s">
        <v>1390</v>
      </c>
      <c r="D226">
        <f t="shared" ref="D226:O226" si="280">IFERROR(IF(D216="Chemical",(10^(INDEX(Antoines,MATCH(D215,Antoine_Name,0),2)-INDEX(Antoines,MATCH(D215,Antoine_Name,0),3)/(INDEX(Antoines,MATCH(D215,Antoine_Name,0),4)+(D219-32)*5/9)))*14.7/760,IF(D216="Crude Oil",EXP((2799/(D219+459.6)-2.227)*LOG10(D222)-(7261/(D219+459.6))+12.82),IF(D216="Refined Petroleum Stock",EXP((0.7553-(413/(D219+459.6)))*(D223^0.5)*LOG10(D222)-(1.854-(1042/(D219+459.6)))*(D223^0.5)+((2416/(D219+459.6)-2.013)*LOG10(D222))-(8742/(D219+459.6))+15.64),EXP(INDEX(Antoines,MATCH(D215,Antoine_Name,0),2)-INDEX(Antoines,MATCH(D215,Antoine_Name,0),3)/(D219+459.6))))),0)</f>
        <v>0</v>
      </c>
      <c r="E226">
        <f t="shared" si="280"/>
        <v>0</v>
      </c>
      <c r="F226">
        <f t="shared" si="280"/>
        <v>0</v>
      </c>
      <c r="G226">
        <f t="shared" si="280"/>
        <v>0</v>
      </c>
      <c r="H226">
        <f t="shared" si="280"/>
        <v>0</v>
      </c>
      <c r="I226">
        <f t="shared" si="280"/>
        <v>0</v>
      </c>
      <c r="J226">
        <f t="shared" si="280"/>
        <v>0</v>
      </c>
      <c r="K226">
        <f t="shared" si="280"/>
        <v>0</v>
      </c>
      <c r="L226">
        <f t="shared" si="280"/>
        <v>0</v>
      </c>
      <c r="M226">
        <f t="shared" si="280"/>
        <v>0</v>
      </c>
      <c r="N226">
        <f t="shared" si="280"/>
        <v>0</v>
      </c>
      <c r="O226">
        <f t="shared" si="280"/>
        <v>0</v>
      </c>
      <c r="P226">
        <f t="shared" si="277"/>
        <v>222</v>
      </c>
    </row>
    <row r="227" spans="1:25" ht="17.149999999999999" x14ac:dyDescent="0.55000000000000004">
      <c r="C227" t="s">
        <v>1391</v>
      </c>
      <c r="D227">
        <f t="shared" ref="D227:O227" si="281">D226*D218</f>
        <v>0</v>
      </c>
      <c r="E227">
        <f t="shared" si="281"/>
        <v>0</v>
      </c>
      <c r="F227">
        <f t="shared" si="281"/>
        <v>0</v>
      </c>
      <c r="G227">
        <f t="shared" si="281"/>
        <v>0</v>
      </c>
      <c r="H227">
        <f t="shared" si="281"/>
        <v>0</v>
      </c>
      <c r="I227">
        <f t="shared" si="281"/>
        <v>0</v>
      </c>
      <c r="J227">
        <f t="shared" si="281"/>
        <v>0</v>
      </c>
      <c r="K227">
        <f t="shared" si="281"/>
        <v>0</v>
      </c>
      <c r="L227">
        <f t="shared" si="281"/>
        <v>0</v>
      </c>
      <c r="M227">
        <f t="shared" si="281"/>
        <v>0</v>
      </c>
      <c r="N227">
        <f t="shared" si="281"/>
        <v>0</v>
      </c>
      <c r="O227">
        <f t="shared" si="281"/>
        <v>0</v>
      </c>
      <c r="P227">
        <f t="shared" si="277"/>
        <v>223</v>
      </c>
    </row>
    <row r="228" spans="1:25" ht="17.149999999999999" x14ac:dyDescent="0.55000000000000004">
      <c r="C228" t="s">
        <v>1392</v>
      </c>
      <c r="D228">
        <f>IF(D213="Out of Service",0,D225+D227)</f>
        <v>5.867312395282811</v>
      </c>
      <c r="E228">
        <f t="shared" ref="E228" si="282">IF(E213="Out of Service",0,E225+E227)</f>
        <v>5.9929517490542885</v>
      </c>
      <c r="F228">
        <f t="shared" ref="F228" si="283">IF(F213="Out of Service",0,F225+F227)</f>
        <v>6.1879012479094264</v>
      </c>
      <c r="G228">
        <f t="shared" ref="G228" si="284">IF(G213="Out of Service",0,G225+G227)</f>
        <v>6.5265862919465194</v>
      </c>
      <c r="H228">
        <f t="shared" ref="H228" si="285">IF(H213="Out of Service",0,H225+H227)</f>
        <v>7.1027408976770037</v>
      </c>
      <c r="I228">
        <f t="shared" ref="I228" si="286">IF(I213="Out of Service",0,I225+I227)</f>
        <v>7.5832355758420755</v>
      </c>
      <c r="J228">
        <f t="shared" ref="J228" si="287">IF(J213="Out of Service",0,J225+J227)</f>
        <v>8.047065242259821</v>
      </c>
      <c r="K228">
        <f t="shared" ref="K228" si="288">IF(K213="Out of Service",0,K225+K227)</f>
        <v>8.060197054236605</v>
      </c>
      <c r="L228">
        <f t="shared" ref="L228" si="289">IF(L213="Out of Service",0,L225+L227)</f>
        <v>7.702874004617926</v>
      </c>
      <c r="M228">
        <f t="shared" ref="M228" si="290">IF(M213="Out of Service",0,M225+M227)</f>
        <v>6.8903996680511943</v>
      </c>
      <c r="N228">
        <f t="shared" ref="N228" si="291">IF(N213="Out of Service",0,N225+N227)</f>
        <v>6.2107321749239732</v>
      </c>
      <c r="O228">
        <f t="shared" ref="O228" si="292">IF(O213="Out of Service",0,O225+O227)</f>
        <v>5.8298594180444212</v>
      </c>
      <c r="P228">
        <f t="shared" si="277"/>
        <v>224</v>
      </c>
    </row>
    <row r="229" spans="1:25" x14ac:dyDescent="0.4">
      <c r="C229" t="s">
        <v>1513</v>
      </c>
      <c r="D229">
        <f t="shared" ref="D229:O229" si="293">(D228/D212)/(1+(SQRT(1-D228/D212))^2)</f>
        <v>0.24932606482681105</v>
      </c>
      <c r="E229">
        <f t="shared" si="293"/>
        <v>0.25603193041703398</v>
      </c>
      <c r="F229">
        <f t="shared" si="293"/>
        <v>0.26658086000741832</v>
      </c>
      <c r="G229">
        <f t="shared" si="293"/>
        <v>0.28533503460607534</v>
      </c>
      <c r="H229">
        <f t="shared" si="293"/>
        <v>0.31854771320018516</v>
      </c>
      <c r="I229">
        <f t="shared" si="293"/>
        <v>0.34758754453273016</v>
      </c>
      <c r="J229">
        <f t="shared" si="293"/>
        <v>0.37685991801866286</v>
      </c>
      <c r="K229">
        <f t="shared" si="293"/>
        <v>0.37770719226987065</v>
      </c>
      <c r="L229">
        <f t="shared" si="293"/>
        <v>0.35501817181950157</v>
      </c>
      <c r="M229">
        <f t="shared" si="293"/>
        <v>0.30610937406433497</v>
      </c>
      <c r="N229">
        <f t="shared" si="293"/>
        <v>0.26782786855425916</v>
      </c>
      <c r="O229">
        <f t="shared" si="293"/>
        <v>0.24734088444544727</v>
      </c>
      <c r="P229">
        <f t="shared" si="277"/>
        <v>225</v>
      </c>
    </row>
    <row r="230" spans="1:25" ht="17.149999999999999" x14ac:dyDescent="0.55000000000000004">
      <c r="C230" t="s">
        <v>584</v>
      </c>
      <c r="D230">
        <f t="shared" ref="D230:H230" si="294">IFERROR(D225/D228,1)</f>
        <v>1</v>
      </c>
      <c r="E230">
        <f t="shared" si="294"/>
        <v>1</v>
      </c>
      <c r="F230">
        <f t="shared" si="294"/>
        <v>1</v>
      </c>
      <c r="G230">
        <f t="shared" si="294"/>
        <v>1</v>
      </c>
      <c r="H230">
        <f t="shared" si="294"/>
        <v>1</v>
      </c>
      <c r="I230">
        <f>IFERROR(I225/I228,1)</f>
        <v>1</v>
      </c>
      <c r="J230">
        <f t="shared" ref="J230:O230" si="295">IFERROR(J225/J228,1)</f>
        <v>1</v>
      </c>
      <c r="K230">
        <f t="shared" si="295"/>
        <v>1</v>
      </c>
      <c r="L230">
        <f t="shared" si="295"/>
        <v>1</v>
      </c>
      <c r="M230">
        <f t="shared" si="295"/>
        <v>1</v>
      </c>
      <c r="N230">
        <f t="shared" si="295"/>
        <v>1</v>
      </c>
      <c r="O230">
        <f t="shared" si="295"/>
        <v>1</v>
      </c>
      <c r="P230">
        <f t="shared" si="277"/>
        <v>226</v>
      </c>
    </row>
    <row r="231" spans="1:25" ht="17.149999999999999" x14ac:dyDescent="0.55000000000000004">
      <c r="C231" t="s">
        <v>585</v>
      </c>
      <c r="D231">
        <f t="shared" ref="D231:O231" si="296">INDEX(Phys_Prop,MATCH(D213,Chem_List,0),3)</f>
        <v>61.103726164670178</v>
      </c>
      <c r="E231">
        <f t="shared" si="296"/>
        <v>61.103726164670178</v>
      </c>
      <c r="F231">
        <f t="shared" si="296"/>
        <v>61.103726164670178</v>
      </c>
      <c r="G231">
        <f t="shared" si="296"/>
        <v>61.103726164670178</v>
      </c>
      <c r="H231">
        <f t="shared" si="296"/>
        <v>61.103726164670178</v>
      </c>
      <c r="I231">
        <f t="shared" si="296"/>
        <v>61.103726164670178</v>
      </c>
      <c r="J231">
        <f t="shared" si="296"/>
        <v>61.103726164670178</v>
      </c>
      <c r="K231">
        <f t="shared" si="296"/>
        <v>61.103726164670178</v>
      </c>
      <c r="L231">
        <f t="shared" si="296"/>
        <v>61.103726164670178</v>
      </c>
      <c r="M231">
        <f t="shared" si="296"/>
        <v>61.103726164670178</v>
      </c>
      <c r="N231">
        <f t="shared" si="296"/>
        <v>61.103726164670178</v>
      </c>
      <c r="O231">
        <f t="shared" si="296"/>
        <v>61.103726164670178</v>
      </c>
      <c r="P231">
        <f t="shared" si="277"/>
        <v>227</v>
      </c>
    </row>
    <row r="232" spans="1:25" ht="17.149999999999999" x14ac:dyDescent="0.55000000000000004">
      <c r="C232" t="s">
        <v>586</v>
      </c>
      <c r="D232">
        <f>D227/D228</f>
        <v>0</v>
      </c>
      <c r="E232">
        <f t="shared" ref="E232:O232" si="297">E227/E228</f>
        <v>0</v>
      </c>
      <c r="F232">
        <f t="shared" si="297"/>
        <v>0</v>
      </c>
      <c r="G232">
        <f t="shared" si="297"/>
        <v>0</v>
      </c>
      <c r="H232">
        <f t="shared" si="297"/>
        <v>0</v>
      </c>
      <c r="I232">
        <f t="shared" si="297"/>
        <v>0</v>
      </c>
      <c r="J232">
        <f t="shared" si="297"/>
        <v>0</v>
      </c>
      <c r="K232">
        <f t="shared" si="297"/>
        <v>0</v>
      </c>
      <c r="L232">
        <f t="shared" si="297"/>
        <v>0</v>
      </c>
      <c r="M232">
        <f t="shared" si="297"/>
        <v>0</v>
      </c>
      <c r="N232">
        <f t="shared" si="297"/>
        <v>0</v>
      </c>
      <c r="O232">
        <f t="shared" si="297"/>
        <v>0</v>
      </c>
      <c r="P232">
        <f t="shared" si="277"/>
        <v>228</v>
      </c>
    </row>
    <row r="233" spans="1:25" ht="17.149999999999999" x14ac:dyDescent="0.55000000000000004">
      <c r="C233" t="s">
        <v>587</v>
      </c>
      <c r="D233">
        <f t="shared" ref="D233:O233" si="298">IFERROR(INDEX(Phys_Prop,MATCH(D215,Chem_List,0),3),0)</f>
        <v>0</v>
      </c>
      <c r="E233">
        <f t="shared" si="298"/>
        <v>0</v>
      </c>
      <c r="F233">
        <f t="shared" si="298"/>
        <v>0</v>
      </c>
      <c r="G233">
        <f t="shared" si="298"/>
        <v>0</v>
      </c>
      <c r="H233">
        <f t="shared" si="298"/>
        <v>0</v>
      </c>
      <c r="I233">
        <f t="shared" si="298"/>
        <v>0</v>
      </c>
      <c r="J233">
        <f t="shared" si="298"/>
        <v>0</v>
      </c>
      <c r="K233">
        <f t="shared" si="298"/>
        <v>0</v>
      </c>
      <c r="L233">
        <f t="shared" si="298"/>
        <v>0</v>
      </c>
      <c r="M233">
        <f t="shared" si="298"/>
        <v>0</v>
      </c>
      <c r="N233">
        <f t="shared" si="298"/>
        <v>0</v>
      </c>
      <c r="O233">
        <f t="shared" si="298"/>
        <v>0</v>
      </c>
      <c r="P233">
        <f t="shared" si="277"/>
        <v>229</v>
      </c>
    </row>
    <row r="234" spans="1:25" ht="17.149999999999999" x14ac:dyDescent="0.55000000000000004">
      <c r="A234" s="11"/>
      <c r="B234" s="11"/>
      <c r="C234" s="11" t="s">
        <v>588</v>
      </c>
      <c r="D234" s="11">
        <f>IFERROR(D230*D231+D232*D233,0)</f>
        <v>61.103726164670178</v>
      </c>
      <c r="E234" s="11">
        <f t="shared" ref="E234" si="299">IFERROR(E230*E231+E232*E233,0)</f>
        <v>61.103726164670178</v>
      </c>
      <c r="F234" s="11">
        <f t="shared" ref="F234" si="300">IFERROR(F230*F231+F232*F233,0)</f>
        <v>61.103726164670178</v>
      </c>
      <c r="G234" s="11">
        <f t="shared" ref="G234" si="301">IFERROR(G230*G231+G232*G233,0)</f>
        <v>61.103726164670178</v>
      </c>
      <c r="H234" s="11">
        <f t="shared" ref="H234" si="302">IFERROR(H230*H231+H232*H233,0)</f>
        <v>61.103726164670178</v>
      </c>
      <c r="I234" s="11">
        <f t="shared" ref="I234" si="303">IFERROR(I230*I231+I232*I233,0)</f>
        <v>61.103726164670178</v>
      </c>
      <c r="J234" s="11">
        <f t="shared" ref="J234" si="304">IFERROR(J230*J231+J232*J233,0)</f>
        <v>61.103726164670178</v>
      </c>
      <c r="K234" s="11">
        <f t="shared" ref="K234" si="305">IFERROR(K230*K231+K232*K233,0)</f>
        <v>61.103726164670178</v>
      </c>
      <c r="L234" s="11">
        <f t="shared" ref="L234" si="306">IFERROR(L230*L231+L232*L233,0)</f>
        <v>61.103726164670178</v>
      </c>
      <c r="M234" s="11">
        <f t="shared" ref="M234" si="307">IFERROR(M230*M231+M232*M233,0)</f>
        <v>61.103726164670178</v>
      </c>
      <c r="N234" s="11">
        <f t="shared" ref="N234" si="308">IFERROR(N230*N231+N232*N233,0)</f>
        <v>61.103726164670178</v>
      </c>
      <c r="O234" s="11">
        <f t="shared" ref="O234" si="309">IFERROR(O230*O231+O232*O233,0)</f>
        <v>61.103726164670178</v>
      </c>
      <c r="P234" s="11">
        <f t="shared" si="277"/>
        <v>230</v>
      </c>
      <c r="Q234" s="11"/>
      <c r="R234" s="11"/>
      <c r="S234" s="11"/>
      <c r="T234" s="11"/>
      <c r="U234" s="11"/>
      <c r="V234" s="11"/>
      <c r="W234" s="11"/>
      <c r="X234" s="11"/>
      <c r="Y234" s="11"/>
    </row>
  </sheetData>
  <sheetProtection algorithmName="SHA-512" hashValue="n6KK4Ak4HRU2lxtAey869/DQ9pXcjZNKSRgkBQgSwBlweAC9B/249+02htOfua2wT2Y16DUAE0A8GA2gFihPJA==" saltValue="+FsrmabMqkyaAhakMeKADw==" spinCount="100000" sheet="1" objects="1" scenarios="1"/>
  <pageMargins left="0.7" right="0.7" top="0.75" bottom="0.75" header="0.3" footer="0.3"/>
  <pageSetup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C29C3-47E5-4FEC-AB42-2AE4C307FD60}">
  <sheetPr codeName="Sheet14">
    <tabColor theme="4" tint="0.39997558519241921"/>
  </sheetPr>
  <dimension ref="A2:AC145"/>
  <sheetViews>
    <sheetView workbookViewId="0">
      <selection activeCell="J5" sqref="J5"/>
    </sheetView>
  </sheetViews>
  <sheetFormatPr defaultColWidth="8.84375" defaultRowHeight="14.6" x14ac:dyDescent="0.4"/>
  <cols>
    <col min="1" max="1" width="19" bestFit="1" customWidth="1"/>
    <col min="2" max="2" width="14.4609375" bestFit="1" customWidth="1"/>
    <col min="3" max="3" width="19.4609375" bestFit="1" customWidth="1"/>
    <col min="4" max="4" width="23.4609375" style="43" bestFit="1" customWidth="1"/>
    <col min="5" max="15" width="23.4609375" style="43" customWidth="1"/>
    <col min="21" max="21" width="13.3046875" bestFit="1" customWidth="1"/>
    <col min="22" max="23" width="13.3046875" customWidth="1"/>
  </cols>
  <sheetData>
    <row r="2" spans="1:29" x14ac:dyDescent="0.4">
      <c r="A2" t="s">
        <v>545</v>
      </c>
    </row>
    <row r="3" spans="1:29" x14ac:dyDescent="0.4">
      <c r="R3" t="s">
        <v>1781</v>
      </c>
      <c r="S3" t="s">
        <v>1782</v>
      </c>
      <c r="U3" t="s">
        <v>1780</v>
      </c>
      <c r="V3" t="s">
        <v>239</v>
      </c>
      <c r="X3" t="s">
        <v>537</v>
      </c>
      <c r="Y3" t="s">
        <v>538</v>
      </c>
      <c r="Z3" t="s">
        <v>539</v>
      </c>
      <c r="AA3" t="s">
        <v>540</v>
      </c>
      <c r="AB3" t="s">
        <v>541</v>
      </c>
      <c r="AC3" t="s">
        <v>542</v>
      </c>
    </row>
    <row r="4" spans="1:29" x14ac:dyDescent="0.4">
      <c r="A4" s="11" t="s">
        <v>240</v>
      </c>
      <c r="B4" s="11" t="s">
        <v>4</v>
      </c>
      <c r="C4" s="11" t="s">
        <v>509</v>
      </c>
      <c r="D4" s="208" t="s">
        <v>30</v>
      </c>
      <c r="E4" s="208" t="s">
        <v>31</v>
      </c>
      <c r="F4" s="208" t="s">
        <v>32</v>
      </c>
      <c r="G4" s="208" t="s">
        <v>33</v>
      </c>
      <c r="H4" s="208" t="s">
        <v>34</v>
      </c>
      <c r="I4" s="208" t="s">
        <v>35</v>
      </c>
      <c r="J4" s="208" t="s">
        <v>36</v>
      </c>
      <c r="K4" s="208" t="s">
        <v>37</v>
      </c>
      <c r="L4" s="208" t="s">
        <v>38</v>
      </c>
      <c r="M4" s="208" t="s">
        <v>39</v>
      </c>
      <c r="N4" s="208" t="s">
        <v>40</v>
      </c>
      <c r="O4" s="208" t="s">
        <v>41</v>
      </c>
      <c r="P4" s="11"/>
      <c r="Q4" s="11"/>
      <c r="R4" s="11"/>
      <c r="S4" s="11"/>
      <c r="T4" s="11"/>
      <c r="U4" s="11"/>
      <c r="V4" s="11" t="s">
        <v>237</v>
      </c>
      <c r="W4" s="11" t="s">
        <v>4</v>
      </c>
      <c r="X4" s="11" t="s">
        <v>243</v>
      </c>
      <c r="Y4" s="11" t="s">
        <v>244</v>
      </c>
      <c r="Z4" s="11"/>
      <c r="AA4" s="11"/>
      <c r="AB4" s="11"/>
      <c r="AC4" s="11"/>
    </row>
    <row r="5" spans="1:29" x14ac:dyDescent="0.4">
      <c r="C5" t="s">
        <v>543</v>
      </c>
      <c r="D5" s="43">
        <v>1</v>
      </c>
      <c r="E5" s="43">
        <v>2</v>
      </c>
      <c r="F5" s="43">
        <v>3</v>
      </c>
      <c r="G5" s="43">
        <v>4</v>
      </c>
      <c r="H5" s="43">
        <v>5</v>
      </c>
      <c r="I5" s="43">
        <v>6</v>
      </c>
      <c r="J5" s="43">
        <v>7</v>
      </c>
      <c r="K5" s="43">
        <v>8</v>
      </c>
      <c r="L5" s="43">
        <v>9</v>
      </c>
      <c r="M5" s="43">
        <v>10</v>
      </c>
      <c r="N5" s="43">
        <v>11</v>
      </c>
      <c r="O5" s="43">
        <v>12</v>
      </c>
    </row>
    <row r="6" spans="1:29" x14ac:dyDescent="0.4">
      <c r="A6" t="str" cm="1">
        <f t="array" ref="A6">INDEX(FLT_Cons,$R6,$T6)</f>
        <v>FLT - 1</v>
      </c>
      <c r="B6" t="str" cm="1">
        <f t="array" ref="B6">INDEX(FLT_Cons,$R6,$T7)</f>
        <v>Portland</v>
      </c>
      <c r="C6" t="s">
        <v>528</v>
      </c>
      <c r="D6" s="43" t="str" cm="1">
        <f t="array" ref="D6">INDEX(FLT_Prod_Info,$U6,$AB6*D$5+$AC6)</f>
        <v>Bakken Crude</v>
      </c>
      <c r="E6" s="43" t="str" cm="1">
        <f t="array" ref="E6">INDEX(FLT_Prod_Info,$U6,$AB6*E$5+$AC6)</f>
        <v>Bakken Crude</v>
      </c>
      <c r="F6" s="43" t="str" cm="1">
        <f t="array" ref="F6">INDEX(FLT_Prod_Info,$U6,$AB6*F$5+$AC6)</f>
        <v>Bakken Crude</v>
      </c>
      <c r="G6" s="43" t="str" cm="1">
        <f t="array" ref="G6">INDEX(FLT_Prod_Info,$U6,$AB6*G$5+$AC6)</f>
        <v>Bakken Crude</v>
      </c>
      <c r="H6" s="43" t="str" cm="1">
        <f t="array" ref="H6">INDEX(FLT_Prod_Info,$U6,$AB6*H$5+$AC6)</f>
        <v>Bakken Crude</v>
      </c>
      <c r="I6" s="43" t="str" cm="1">
        <f t="array" ref="I6">INDEX(FLT_Prod_Info,$U6,$AB6*I$5+$AC6)</f>
        <v>Bakken Crude</v>
      </c>
      <c r="J6" s="43" t="str" cm="1">
        <f t="array" ref="J6">INDEX(FLT_Prod_Info,$U6,$AB6*J$5+$AC6)</f>
        <v>Bakken Crude</v>
      </c>
      <c r="K6" s="43" t="str" cm="1">
        <f t="array" ref="K6">INDEX(FLT_Prod_Info,$U6,$AB6*K$5+$AC6)</f>
        <v>Bakken Crude</v>
      </c>
      <c r="L6" s="43" t="str" cm="1">
        <f t="array" ref="L6">INDEX(FLT_Prod_Info,$U6,$AB6*L$5+$AC6)</f>
        <v>Bakken Crude</v>
      </c>
      <c r="M6" s="43" t="str" cm="1">
        <f t="array" ref="M6">INDEX(FLT_Prod_Info,$U6,$AB6*M$5+$AC6)</f>
        <v>Bakken Crude</v>
      </c>
      <c r="N6" s="43" t="str" cm="1">
        <f t="array" ref="N6">INDEX(FLT_Prod_Info,$U6,$AB6*N$5+$AC6)</f>
        <v>Bakken Crude</v>
      </c>
      <c r="O6" s="43" t="str" cm="1">
        <f t="array" ref="O6">INDEX(FLT_Prod_Info,$U6,$AB6*O$5+$AC6)</f>
        <v>Bakken Crude</v>
      </c>
      <c r="Q6">
        <v>1</v>
      </c>
      <c r="R6">
        <v>1</v>
      </c>
      <c r="S6" t="s">
        <v>237</v>
      </c>
      <c r="T6">
        <v>1</v>
      </c>
      <c r="U6">
        <v>1</v>
      </c>
      <c r="V6">
        <v>1</v>
      </c>
      <c r="W6">
        <v>3</v>
      </c>
      <c r="X6">
        <v>1</v>
      </c>
      <c r="Y6">
        <v>2</v>
      </c>
      <c r="Z6">
        <v>1</v>
      </c>
      <c r="AA6">
        <v>2</v>
      </c>
      <c r="AB6">
        <f t="shared" ref="AB6" si="0">(Y6-X6)/(AA6-Z6)</f>
        <v>1</v>
      </c>
      <c r="AC6">
        <f t="shared" ref="AC6" si="1">X6-AB6*Z6</f>
        <v>0</v>
      </c>
    </row>
    <row r="7" spans="1:29" x14ac:dyDescent="0.4">
      <c r="C7" t="s">
        <v>529</v>
      </c>
      <c r="D7" s="43" t="str" cm="1">
        <f t="array" ref="D7">INDEX(FLT_Prod_Info,$U7,$AB7*D$5+$AC7)</f>
        <v/>
      </c>
      <c r="E7" s="43" t="str" cm="1">
        <f t="array" ref="E7">INDEX(FLT_Prod_Info,$U7,$AB7*E$5+$AC7)</f>
        <v/>
      </c>
      <c r="F7" s="43" t="str" cm="1">
        <f t="array" ref="F7">INDEX(FLT_Prod_Info,$U7,$AB7*F$5+$AC7)</f>
        <v/>
      </c>
      <c r="G7" s="43" t="str" cm="1">
        <f t="array" ref="G7">INDEX(FLT_Prod_Info,$U7,$AB7*G$5+$AC7)</f>
        <v/>
      </c>
      <c r="H7" s="43" t="str" cm="1">
        <f t="array" ref="H7">INDEX(FLT_Prod_Info,$U7,$AB7*H$5+$AC7)</f>
        <v/>
      </c>
      <c r="I7" s="43" t="str" cm="1">
        <f t="array" ref="I7">INDEX(FLT_Prod_Info,$U7,$AB7*I$5+$AC7)</f>
        <v/>
      </c>
      <c r="J7" s="43" t="str" cm="1">
        <f t="array" ref="J7">INDEX(FLT_Prod_Info,$U7,$AB7*J$5+$AC7)</f>
        <v/>
      </c>
      <c r="K7" s="43" t="str" cm="1">
        <f t="array" ref="K7">INDEX(FLT_Prod_Info,$U7,$AB7*K$5+$AC7)</f>
        <v/>
      </c>
      <c r="L7" s="43" t="str" cm="1">
        <f t="array" ref="L7">INDEX(FLT_Prod_Info,$U7,$AB7*L$5+$AC7)</f>
        <v/>
      </c>
      <c r="M7" s="43" t="str" cm="1">
        <f t="array" ref="M7">INDEX(FLT_Prod_Info,$U7,$AB7*M$5+$AC7)</f>
        <v/>
      </c>
      <c r="N7" s="43" t="str" cm="1">
        <f t="array" ref="N7">INDEX(FLT_Prod_Info,$U7,$AB7*N$5+$AC7)</f>
        <v/>
      </c>
      <c r="O7" s="43" t="str" cm="1">
        <f t="array" ref="O7">INDEX(FLT_Prod_Info,$U7,$AB7*O$5+$AC7)</f>
        <v/>
      </c>
      <c r="Q7">
        <f>Q6+1</f>
        <v>2</v>
      </c>
      <c r="S7" t="s">
        <v>549</v>
      </c>
      <c r="T7">
        <v>3</v>
      </c>
      <c r="U7">
        <f>U6+5</f>
        <v>6</v>
      </c>
      <c r="X7">
        <v>1</v>
      </c>
      <c r="Y7">
        <v>2</v>
      </c>
      <c r="Z7">
        <v>1</v>
      </c>
      <c r="AA7">
        <v>2</v>
      </c>
      <c r="AB7">
        <f t="shared" ref="AB7:AB11" si="2">(Y7-X7)/(AA7-Z7)</f>
        <v>1</v>
      </c>
      <c r="AC7">
        <f t="shared" ref="AC7:AC11" si="3">X7-AB7*Z7</f>
        <v>0</v>
      </c>
    </row>
    <row r="8" spans="1:29" x14ac:dyDescent="0.4">
      <c r="C8" t="s">
        <v>530</v>
      </c>
      <c r="D8" s="43" t="str" cm="1">
        <f t="array" ref="D8">INDEX(FLT_Prod_Info,$U8,$AB8*D$5+$AC8)</f>
        <v>Crude Oil</v>
      </c>
      <c r="E8" s="43" t="str" cm="1">
        <f t="array" ref="E8">INDEX(FLT_Prod_Info,$U8,$AB8*E$5+$AC8)</f>
        <v>Crude Oil</v>
      </c>
      <c r="F8" s="43" t="str" cm="1">
        <f t="array" ref="F8">INDEX(FLT_Prod_Info,$U8,$AB8*F$5+$AC8)</f>
        <v>Crude Oil</v>
      </c>
      <c r="G8" s="43" t="str" cm="1">
        <f t="array" ref="G8">INDEX(FLT_Prod_Info,$U8,$AB8*G$5+$AC8)</f>
        <v>Crude Oil</v>
      </c>
      <c r="H8" s="43" t="str" cm="1">
        <f t="array" ref="H8">INDEX(FLT_Prod_Info,$U8,$AB8*H$5+$AC8)</f>
        <v>Crude Oil</v>
      </c>
      <c r="I8" s="43" t="str" cm="1">
        <f t="array" ref="I8">INDEX(FLT_Prod_Info,$U8,$AB8*I$5+$AC8)</f>
        <v>Crude Oil</v>
      </c>
      <c r="J8" s="43" t="str" cm="1">
        <f t="array" ref="J8">INDEX(FLT_Prod_Info,$U8,$AB8*J$5+$AC8)</f>
        <v>Crude Oil</v>
      </c>
      <c r="K8" s="43" t="str" cm="1">
        <f t="array" ref="K8">INDEX(FLT_Prod_Info,$U8,$AB8*K$5+$AC8)</f>
        <v>Crude Oil</v>
      </c>
      <c r="L8" s="43" t="str" cm="1">
        <f t="array" ref="L8">INDEX(FLT_Prod_Info,$U8,$AB8*L$5+$AC8)</f>
        <v>Crude Oil</v>
      </c>
      <c r="M8" s="43" t="str" cm="1">
        <f t="array" ref="M8">INDEX(FLT_Prod_Info,$U8,$AB8*M$5+$AC8)</f>
        <v>Crude Oil</v>
      </c>
      <c r="N8" s="43" t="str" cm="1">
        <f t="array" ref="N8">INDEX(FLT_Prod_Info,$U8,$AB8*N$5+$AC8)</f>
        <v>Crude Oil</v>
      </c>
      <c r="O8" s="43" t="str" cm="1">
        <f t="array" ref="O8">INDEX(FLT_Prod_Info,$U8,$AB8*O$5+$AC8)</f>
        <v>Crude Oil</v>
      </c>
      <c r="Q8">
        <f t="shared" ref="Q8:Q18" si="4">Q7+1</f>
        <v>3</v>
      </c>
      <c r="U8">
        <f>U6+1</f>
        <v>2</v>
      </c>
      <c r="X8">
        <v>1</v>
      </c>
      <c r="Y8">
        <v>2</v>
      </c>
      <c r="Z8">
        <v>1</v>
      </c>
      <c r="AA8">
        <v>2</v>
      </c>
      <c r="AB8">
        <f t="shared" si="2"/>
        <v>1</v>
      </c>
      <c r="AC8">
        <f t="shared" si="3"/>
        <v>0</v>
      </c>
    </row>
    <row r="9" spans="1:29" x14ac:dyDescent="0.4">
      <c r="C9" t="s">
        <v>531</v>
      </c>
      <c r="D9" s="43" t="e" cm="1">
        <f t="array" ref="D9">INDEX(FLT_Prod_Info,$U9,$AB9*D$5+$AC9)</f>
        <v>#N/A</v>
      </c>
      <c r="E9" s="43" t="e" cm="1">
        <f t="array" ref="E9">INDEX(FLT_Prod_Info,$U9,$AB9*E$5+$AC9)</f>
        <v>#N/A</v>
      </c>
      <c r="F9" s="43" t="e" cm="1">
        <f t="array" ref="F9">INDEX(FLT_Prod_Info,$U9,$AB9*F$5+$AC9)</f>
        <v>#N/A</v>
      </c>
      <c r="G9" s="43" t="e" cm="1">
        <f t="array" ref="G9">INDEX(FLT_Prod_Info,$U9,$AB9*G$5+$AC9)</f>
        <v>#N/A</v>
      </c>
      <c r="H9" s="43" t="e" cm="1">
        <f t="array" ref="H9">INDEX(FLT_Prod_Info,$U9,$AB9*H$5+$AC9)</f>
        <v>#N/A</v>
      </c>
      <c r="I9" s="43" t="e" cm="1">
        <f t="array" ref="I9">INDEX(FLT_Prod_Info,$U9,$AB9*I$5+$AC9)</f>
        <v>#N/A</v>
      </c>
      <c r="J9" s="43" t="e" cm="1">
        <f t="array" ref="J9">INDEX(FLT_Prod_Info,$U9,$AB9*J$5+$AC9)</f>
        <v>#N/A</v>
      </c>
      <c r="K9" s="43" t="e" cm="1">
        <f t="array" ref="K9">INDEX(FLT_Prod_Info,$U9,$AB9*K$5+$AC9)</f>
        <v>#N/A</v>
      </c>
      <c r="L9" s="43" t="e" cm="1">
        <f t="array" ref="L9">INDEX(FLT_Prod_Info,$U9,$AB9*L$5+$AC9)</f>
        <v>#N/A</v>
      </c>
      <c r="M9" s="43" t="e" cm="1">
        <f t="array" ref="M9">INDEX(FLT_Prod_Info,$U9,$AB9*M$5+$AC9)</f>
        <v>#N/A</v>
      </c>
      <c r="N9" s="43" t="e" cm="1">
        <f t="array" ref="N9">INDEX(FLT_Prod_Info,$U9,$AB9*N$5+$AC9)</f>
        <v>#N/A</v>
      </c>
      <c r="O9" s="43" t="e" cm="1">
        <f t="array" ref="O9">INDEX(FLT_Prod_Info,$U9,$AB9*O$5+$AC9)</f>
        <v>#N/A</v>
      </c>
      <c r="Q9">
        <f t="shared" si="4"/>
        <v>4</v>
      </c>
      <c r="U9">
        <f>U8+5</f>
        <v>7</v>
      </c>
      <c r="X9">
        <v>1</v>
      </c>
      <c r="Y9">
        <v>2</v>
      </c>
      <c r="Z9">
        <v>1</v>
      </c>
      <c r="AA9">
        <v>2</v>
      </c>
      <c r="AB9">
        <f t="shared" si="2"/>
        <v>1</v>
      </c>
      <c r="AC9">
        <f t="shared" si="3"/>
        <v>0</v>
      </c>
    </row>
    <row r="10" spans="1:29" x14ac:dyDescent="0.4">
      <c r="C10" t="s">
        <v>546</v>
      </c>
      <c r="D10" s="43" cm="1">
        <f t="array" ref="D10">INDEX(FLT_Prod_Info,$U10,$AB10*D$5+$AC10)</f>
        <v>1</v>
      </c>
      <c r="E10" s="43" cm="1">
        <f t="array" ref="E10">INDEX(FLT_Prod_Info,$U10,$AB10*E$5+$AC10)</f>
        <v>1</v>
      </c>
      <c r="F10" s="43" cm="1">
        <f t="array" ref="F10">INDEX(FLT_Prod_Info,$U10,$AB10*F$5+$AC10)</f>
        <v>1</v>
      </c>
      <c r="G10" s="43" cm="1">
        <f t="array" ref="G10">INDEX(FLT_Prod_Info,$U10,$AB10*G$5+$AC10)</f>
        <v>1</v>
      </c>
      <c r="H10" s="43" cm="1">
        <f t="array" ref="H10">INDEX(FLT_Prod_Info,$U10,$AB10*H$5+$AC10)</f>
        <v>1</v>
      </c>
      <c r="I10" s="43" cm="1">
        <f t="array" ref="I10">INDEX(FLT_Prod_Info,$U10,$AB10*I$5+$AC10)</f>
        <v>1</v>
      </c>
      <c r="J10" s="43" cm="1">
        <f t="array" ref="J10">INDEX(FLT_Prod_Info,$U10,$AB10*J$5+$AC10)</f>
        <v>1</v>
      </c>
      <c r="K10" s="43" cm="1">
        <f t="array" ref="K10">INDEX(FLT_Prod_Info,$U10,$AB10*K$5+$AC10)</f>
        <v>1</v>
      </c>
      <c r="L10" s="43" cm="1">
        <f t="array" ref="L10">INDEX(FLT_Prod_Info,$U10,$AB10*L$5+$AC10)</f>
        <v>1</v>
      </c>
      <c r="M10" s="43" cm="1">
        <f t="array" ref="M10">INDEX(FLT_Prod_Info,$U10,$AB10*M$5+$AC10)</f>
        <v>1</v>
      </c>
      <c r="N10" s="43" cm="1">
        <f t="array" ref="N10">INDEX(FLT_Prod_Info,$U10,$AB10*N$5+$AC10)</f>
        <v>1</v>
      </c>
      <c r="O10" s="43" cm="1">
        <f t="array" ref="O10">INDEX(FLT_Prod_Info,$U10,$AB10*O$5+$AC10)</f>
        <v>1</v>
      </c>
      <c r="Q10">
        <f t="shared" si="4"/>
        <v>5</v>
      </c>
      <c r="U10">
        <f>U6+4</f>
        <v>5</v>
      </c>
      <c r="X10">
        <v>1</v>
      </c>
      <c r="Y10">
        <v>2</v>
      </c>
      <c r="Z10">
        <v>1</v>
      </c>
      <c r="AA10">
        <v>2</v>
      </c>
      <c r="AB10">
        <f t="shared" si="2"/>
        <v>1</v>
      </c>
      <c r="AC10">
        <f t="shared" si="3"/>
        <v>0</v>
      </c>
    </row>
    <row r="11" spans="1:29" x14ac:dyDescent="0.4">
      <c r="C11" t="s">
        <v>547</v>
      </c>
      <c r="D11" s="43" cm="1">
        <f t="array" ref="D11">INDEX(FLT_Prod_Info,$U11,$AB11*D$5+$AC11)</f>
        <v>0</v>
      </c>
      <c r="E11" s="43" cm="1">
        <f t="array" ref="E11">INDEX(FLT_Prod_Info,$U11,$AB11*E$5+$AC11)</f>
        <v>0</v>
      </c>
      <c r="F11" s="43" cm="1">
        <f t="array" ref="F11">INDEX(FLT_Prod_Info,$U11,$AB11*F$5+$AC11)</f>
        <v>0</v>
      </c>
      <c r="G11" s="43" cm="1">
        <f t="array" ref="G11">INDEX(FLT_Prod_Info,$U11,$AB11*G$5+$AC11)</f>
        <v>0</v>
      </c>
      <c r="H11" s="43" cm="1">
        <f t="array" ref="H11">INDEX(FLT_Prod_Info,$U11,$AB11*H$5+$AC11)</f>
        <v>0</v>
      </c>
      <c r="I11" s="43" cm="1">
        <f t="array" ref="I11">INDEX(FLT_Prod_Info,$U11,$AB11*I$5+$AC11)</f>
        <v>0</v>
      </c>
      <c r="J11" s="43" cm="1">
        <f t="array" ref="J11">INDEX(FLT_Prod_Info,$U11,$AB11*J$5+$AC11)</f>
        <v>0</v>
      </c>
      <c r="K11" s="43" cm="1">
        <f t="array" ref="K11">INDEX(FLT_Prod_Info,$U11,$AB11*K$5+$AC11)</f>
        <v>0</v>
      </c>
      <c r="L11" s="43" cm="1">
        <f t="array" ref="L11">INDEX(FLT_Prod_Info,$U11,$AB11*L$5+$AC11)</f>
        <v>0</v>
      </c>
      <c r="M11" s="43" cm="1">
        <f t="array" ref="M11">INDEX(FLT_Prod_Info,$U11,$AB11*M$5+$AC11)</f>
        <v>0</v>
      </c>
      <c r="N11" s="43" cm="1">
        <f t="array" ref="N11">INDEX(FLT_Prod_Info,$U11,$AB11*N$5+$AC11)</f>
        <v>0</v>
      </c>
      <c r="O11" s="43" cm="1">
        <f t="array" ref="O11">INDEX(FLT_Prod_Info,$U11,$AB11*O$5+$AC11)</f>
        <v>0</v>
      </c>
      <c r="Q11">
        <f t="shared" si="4"/>
        <v>6</v>
      </c>
      <c r="U11">
        <f>U7+4</f>
        <v>10</v>
      </c>
      <c r="X11">
        <v>1</v>
      </c>
      <c r="Y11">
        <v>2</v>
      </c>
      <c r="Z11">
        <v>1</v>
      </c>
      <c r="AA11">
        <v>2</v>
      </c>
      <c r="AB11">
        <f t="shared" si="2"/>
        <v>1</v>
      </c>
      <c r="AC11">
        <f t="shared" si="3"/>
        <v>0</v>
      </c>
    </row>
    <row r="12" spans="1:29" x14ac:dyDescent="0.4">
      <c r="C12" t="s">
        <v>532</v>
      </c>
      <c r="D12" s="43">
        <f t="shared" ref="D12:D13" si="5">IFERROR(VLOOKUP(D6,Phys_Prop,2,FALSE),0)</f>
        <v>127.98873179194693</v>
      </c>
      <c r="E12" s="43">
        <f t="shared" ref="E12:O12" si="6">IFERROR(VLOOKUP(E6,Phys_Prop,2,FALSE),0)</f>
        <v>127.98873179194693</v>
      </c>
      <c r="F12" s="43">
        <f t="shared" si="6"/>
        <v>127.98873179194693</v>
      </c>
      <c r="G12" s="43">
        <f t="shared" si="6"/>
        <v>127.98873179194693</v>
      </c>
      <c r="H12" s="43">
        <f t="shared" si="6"/>
        <v>127.98873179194693</v>
      </c>
      <c r="I12" s="43">
        <f t="shared" si="6"/>
        <v>127.98873179194693</v>
      </c>
      <c r="J12" s="43">
        <f t="shared" si="6"/>
        <v>127.98873179194693</v>
      </c>
      <c r="K12" s="43">
        <f t="shared" si="6"/>
        <v>127.98873179194693</v>
      </c>
      <c r="L12" s="43">
        <f t="shared" si="6"/>
        <v>127.98873179194693</v>
      </c>
      <c r="M12" s="43">
        <f t="shared" si="6"/>
        <v>127.98873179194693</v>
      </c>
      <c r="N12" s="43">
        <f t="shared" si="6"/>
        <v>127.98873179194693</v>
      </c>
      <c r="O12" s="43">
        <f t="shared" si="6"/>
        <v>127.98873179194693</v>
      </c>
      <c r="Q12">
        <f t="shared" si="4"/>
        <v>7</v>
      </c>
    </row>
    <row r="13" spans="1:29" x14ac:dyDescent="0.4">
      <c r="C13" t="s">
        <v>533</v>
      </c>
      <c r="D13" s="43">
        <f t="shared" si="5"/>
        <v>0</v>
      </c>
      <c r="E13" s="43">
        <f t="shared" ref="E13:O13" si="7">IFERROR(VLOOKUP(E7,Phys_Prop,2,FALSE),0)</f>
        <v>0</v>
      </c>
      <c r="F13" s="43">
        <f t="shared" si="7"/>
        <v>0</v>
      </c>
      <c r="G13" s="43">
        <f t="shared" si="7"/>
        <v>0</v>
      </c>
      <c r="H13" s="43">
        <f t="shared" si="7"/>
        <v>0</v>
      </c>
      <c r="I13" s="43">
        <f t="shared" si="7"/>
        <v>0</v>
      </c>
      <c r="J13" s="43">
        <f t="shared" si="7"/>
        <v>0</v>
      </c>
      <c r="K13" s="43">
        <f t="shared" si="7"/>
        <v>0</v>
      </c>
      <c r="L13" s="43">
        <f t="shared" si="7"/>
        <v>0</v>
      </c>
      <c r="M13" s="43">
        <f t="shared" si="7"/>
        <v>0</v>
      </c>
      <c r="N13" s="43">
        <f t="shared" si="7"/>
        <v>0</v>
      </c>
      <c r="O13" s="43">
        <f t="shared" si="7"/>
        <v>0</v>
      </c>
      <c r="Q13">
        <f t="shared" si="4"/>
        <v>8</v>
      </c>
    </row>
    <row r="14" spans="1:29" x14ac:dyDescent="0.4">
      <c r="C14" t="s">
        <v>544</v>
      </c>
      <c r="D14" s="43">
        <f>IFERROR(IFERROR(1/(D10/D12+D11/D13),D12/D10),1)</f>
        <v>127.98873179194693</v>
      </c>
      <c r="E14" s="43">
        <f t="shared" ref="E14:O14" si="8">IFERROR(IFERROR(1/(E10/E12+E11/E13),E12/E10),1)</f>
        <v>127.98873179194693</v>
      </c>
      <c r="F14" s="43">
        <f t="shared" si="8"/>
        <v>127.98873179194693</v>
      </c>
      <c r="G14" s="43">
        <f t="shared" si="8"/>
        <v>127.98873179194693</v>
      </c>
      <c r="H14" s="43">
        <f t="shared" si="8"/>
        <v>127.98873179194693</v>
      </c>
      <c r="I14" s="43">
        <f t="shared" si="8"/>
        <v>127.98873179194693</v>
      </c>
      <c r="J14" s="43">
        <f t="shared" si="8"/>
        <v>127.98873179194693</v>
      </c>
      <c r="K14" s="43">
        <f t="shared" si="8"/>
        <v>127.98873179194693</v>
      </c>
      <c r="L14" s="43">
        <f t="shared" si="8"/>
        <v>127.98873179194693</v>
      </c>
      <c r="M14" s="43">
        <f t="shared" si="8"/>
        <v>127.98873179194693</v>
      </c>
      <c r="N14" s="43">
        <f t="shared" si="8"/>
        <v>127.98873179194693</v>
      </c>
      <c r="O14" s="43">
        <f t="shared" si="8"/>
        <v>127.98873179194693</v>
      </c>
      <c r="Q14">
        <f t="shared" si="4"/>
        <v>9</v>
      </c>
    </row>
    <row r="15" spans="1:29" x14ac:dyDescent="0.4">
      <c r="C15" t="s">
        <v>539</v>
      </c>
      <c r="D15" s="43">
        <f>IFERROR((D10/D12)*D14,1)</f>
        <v>1</v>
      </c>
      <c r="E15" s="43">
        <f t="shared" ref="E15:O15" si="9">IFERROR((E10/E12)*E14,1)</f>
        <v>1</v>
      </c>
      <c r="F15" s="43">
        <f t="shared" si="9"/>
        <v>1</v>
      </c>
      <c r="G15" s="43">
        <f t="shared" si="9"/>
        <v>1</v>
      </c>
      <c r="H15" s="43">
        <f t="shared" si="9"/>
        <v>1</v>
      </c>
      <c r="I15" s="43">
        <f t="shared" si="9"/>
        <v>1</v>
      </c>
      <c r="J15" s="43">
        <f t="shared" si="9"/>
        <v>1</v>
      </c>
      <c r="K15" s="43">
        <f t="shared" si="9"/>
        <v>1</v>
      </c>
      <c r="L15" s="43">
        <f t="shared" si="9"/>
        <v>1</v>
      </c>
      <c r="M15" s="43">
        <f t="shared" si="9"/>
        <v>1</v>
      </c>
      <c r="N15" s="43">
        <f t="shared" si="9"/>
        <v>1</v>
      </c>
      <c r="O15" s="43">
        <f t="shared" si="9"/>
        <v>1</v>
      </c>
      <c r="Q15">
        <f t="shared" si="4"/>
        <v>10</v>
      </c>
    </row>
    <row r="16" spans="1:29" x14ac:dyDescent="0.4">
      <c r="C16" t="s">
        <v>540</v>
      </c>
      <c r="D16" s="43">
        <f>IFERROR(D11/D13*D14,0)</f>
        <v>0</v>
      </c>
      <c r="E16" s="43">
        <f t="shared" ref="E16:O16" si="10">IFERROR(E11/E13*E14,0)</f>
        <v>0</v>
      </c>
      <c r="F16" s="43">
        <f t="shared" si="10"/>
        <v>0</v>
      </c>
      <c r="G16" s="43">
        <f t="shared" si="10"/>
        <v>0</v>
      </c>
      <c r="H16" s="43">
        <f t="shared" si="10"/>
        <v>0</v>
      </c>
      <c r="I16" s="43">
        <f t="shared" si="10"/>
        <v>0</v>
      </c>
      <c r="J16" s="43">
        <f t="shared" si="10"/>
        <v>0</v>
      </c>
      <c r="K16" s="43">
        <f t="shared" si="10"/>
        <v>0</v>
      </c>
      <c r="L16" s="43">
        <f t="shared" si="10"/>
        <v>0</v>
      </c>
      <c r="M16" s="43">
        <f t="shared" si="10"/>
        <v>0</v>
      </c>
      <c r="N16" s="43">
        <f t="shared" si="10"/>
        <v>0</v>
      </c>
      <c r="O16" s="43">
        <f t="shared" si="10"/>
        <v>0</v>
      </c>
      <c r="Q16">
        <f t="shared" si="4"/>
        <v>11</v>
      </c>
    </row>
    <row r="17" spans="1:29" x14ac:dyDescent="0.4">
      <c r="C17" s="21" t="s">
        <v>534</v>
      </c>
      <c r="D17" s="43">
        <f t="shared" ref="D17:D18" si="11">IFERROR(VLOOKUP(D6,Phys_Prop,4,FALSE),0)</f>
        <v>6.7389700000000001</v>
      </c>
      <c r="E17" s="43">
        <f t="shared" ref="E17:O17" si="12">IFERROR(VLOOKUP(E6,Phys_Prop,4,FALSE),0)</f>
        <v>6.7389700000000001</v>
      </c>
      <c r="F17" s="43">
        <f t="shared" si="12"/>
        <v>6.7389700000000001</v>
      </c>
      <c r="G17" s="43">
        <f t="shared" si="12"/>
        <v>6.7389700000000001</v>
      </c>
      <c r="H17" s="43">
        <f t="shared" si="12"/>
        <v>6.7389700000000001</v>
      </c>
      <c r="I17" s="43">
        <f t="shared" si="12"/>
        <v>6.7389700000000001</v>
      </c>
      <c r="J17" s="43">
        <f t="shared" si="12"/>
        <v>6.7389700000000001</v>
      </c>
      <c r="K17" s="43">
        <f t="shared" si="12"/>
        <v>6.7389700000000001</v>
      </c>
      <c r="L17" s="43">
        <f t="shared" si="12"/>
        <v>6.7389700000000001</v>
      </c>
      <c r="M17" s="43">
        <f t="shared" si="12"/>
        <v>6.7389700000000001</v>
      </c>
      <c r="N17" s="43">
        <f t="shared" si="12"/>
        <v>6.7389700000000001</v>
      </c>
      <c r="O17" s="43">
        <f t="shared" si="12"/>
        <v>6.7389700000000001</v>
      </c>
      <c r="Q17">
        <f t="shared" si="4"/>
        <v>12</v>
      </c>
    </row>
    <row r="18" spans="1:29" x14ac:dyDescent="0.4">
      <c r="C18" s="21" t="s">
        <v>535</v>
      </c>
      <c r="D18" s="43">
        <f t="shared" si="11"/>
        <v>0</v>
      </c>
      <c r="E18" s="43">
        <f t="shared" ref="E18:O18" si="13">IFERROR(VLOOKUP(E7,Phys_Prop,4,FALSE),0)</f>
        <v>0</v>
      </c>
      <c r="F18" s="43">
        <f t="shared" si="13"/>
        <v>0</v>
      </c>
      <c r="G18" s="43">
        <f t="shared" si="13"/>
        <v>0</v>
      </c>
      <c r="H18" s="43">
        <f t="shared" si="13"/>
        <v>0</v>
      </c>
      <c r="I18" s="43">
        <f t="shared" si="13"/>
        <v>0</v>
      </c>
      <c r="J18" s="43">
        <f t="shared" si="13"/>
        <v>0</v>
      </c>
      <c r="K18" s="43">
        <f t="shared" si="13"/>
        <v>0</v>
      </c>
      <c r="L18" s="43">
        <f t="shared" si="13"/>
        <v>0</v>
      </c>
      <c r="M18" s="43">
        <f t="shared" si="13"/>
        <v>0</v>
      </c>
      <c r="N18" s="43">
        <f t="shared" si="13"/>
        <v>0</v>
      </c>
      <c r="O18" s="43">
        <f t="shared" si="13"/>
        <v>0</v>
      </c>
      <c r="Q18">
        <f t="shared" si="4"/>
        <v>13</v>
      </c>
    </row>
    <row r="19" spans="1:29" x14ac:dyDescent="0.4">
      <c r="A19" s="11"/>
      <c r="B19" s="11"/>
      <c r="C19" s="62" t="s">
        <v>536</v>
      </c>
      <c r="D19" s="208">
        <f>IF(IFERROR(IFERROR(1/(D15/D17+D16/D18),D17),0)="N/A",0,IFERROR(IFERROR(1/(D15/D17+D16/D18),D17),0))</f>
        <v>6.7389700000000001</v>
      </c>
      <c r="E19" s="208">
        <f t="shared" ref="E19" si="14">IF(IFERROR(IFERROR(1/(E15/E17+E16/E18),E17),0)="N/A",0,IFERROR(IFERROR(1/(E15/E17+E16/E18),E17),0))</f>
        <v>6.7389700000000001</v>
      </c>
      <c r="F19" s="208">
        <f t="shared" ref="F19" si="15">IF(IFERROR(IFERROR(1/(F15/F17+F16/F18),F17),0)="N/A",0,IFERROR(IFERROR(1/(F15/F17+F16/F18),F17),0))</f>
        <v>6.7389700000000001</v>
      </c>
      <c r="G19" s="208">
        <f t="shared" ref="G19" si="16">IF(IFERROR(IFERROR(1/(G15/G17+G16/G18),G17),0)="N/A",0,IFERROR(IFERROR(1/(G15/G17+G16/G18),G17),0))</f>
        <v>6.7389700000000001</v>
      </c>
      <c r="H19" s="208">
        <f t="shared" ref="H19" si="17">IF(IFERROR(IFERROR(1/(H15/H17+H16/H18),H17),0)="N/A",0,IFERROR(IFERROR(1/(H15/H17+H16/H18),H17),0))</f>
        <v>6.7389700000000001</v>
      </c>
      <c r="I19" s="208">
        <f t="shared" ref="I19" si="18">IF(IFERROR(IFERROR(1/(I15/I17+I16/I18),I17),0)="N/A",0,IFERROR(IFERROR(1/(I15/I17+I16/I18),I17),0))</f>
        <v>6.7389700000000001</v>
      </c>
      <c r="J19" s="208">
        <f t="shared" ref="J19" si="19">IF(IFERROR(IFERROR(1/(J15/J17+J16/J18),J17),0)="N/A",0,IFERROR(IFERROR(1/(J15/J17+J16/J18),J17),0))</f>
        <v>6.7389700000000001</v>
      </c>
      <c r="K19" s="208">
        <f t="shared" ref="K19" si="20">IF(IFERROR(IFERROR(1/(K15/K17+K16/K18),K17),0)="N/A",0,IFERROR(IFERROR(1/(K15/K17+K16/K18),K17),0))</f>
        <v>6.7389700000000001</v>
      </c>
      <c r="L19" s="208">
        <f t="shared" ref="L19" si="21">IF(IFERROR(IFERROR(1/(L15/L17+L16/L18),L17),0)="N/A",0,IFERROR(IFERROR(1/(L15/L17+L16/L18),L17),0))</f>
        <v>6.7389700000000001</v>
      </c>
      <c r="M19" s="208">
        <f t="shared" ref="M19" si="22">IF(IFERROR(IFERROR(1/(M15/M17+M16/M18),M17),0)="N/A",0,IFERROR(IFERROR(1/(M15/M17+M16/M18),M17),0))</f>
        <v>6.7389700000000001</v>
      </c>
      <c r="N19" s="208">
        <f t="shared" ref="N19" si="23">IF(IFERROR(IFERROR(1/(N15/N17+N16/N18),N17),0)="N/A",0,IFERROR(IFERROR(1/(N15/N17+N16/N18),N17),0))</f>
        <v>6.7389700000000001</v>
      </c>
      <c r="O19" s="208">
        <f t="shared" ref="O19" si="24">IF(IFERROR(IFERROR(1/(O15/O17+O16/O18),O17),0)="N/A",0,IFERROR(IFERROR(1/(O15/O17+O16/O18),O17),0))</f>
        <v>6.7389700000000001</v>
      </c>
      <c r="P19" s="11"/>
      <c r="Q19" s="11">
        <f>Q18+1</f>
        <v>14</v>
      </c>
      <c r="R19" s="11"/>
      <c r="S19" s="11"/>
      <c r="T19" s="11"/>
      <c r="U19" s="11"/>
      <c r="V19" s="11"/>
      <c r="W19" s="11"/>
      <c r="X19" s="11"/>
      <c r="Y19" s="11"/>
      <c r="Z19" s="11"/>
      <c r="AA19" s="11"/>
      <c r="AB19" s="11"/>
      <c r="AC19" s="11"/>
    </row>
    <row r="20" spans="1:29" x14ac:dyDescent="0.4">
      <c r="A20" t="str" cm="1">
        <f t="array" ref="A20">INDEX(FLT_Cons,$R20,$T20)</f>
        <v>FLT - 2</v>
      </c>
      <c r="B20" t="str" cm="1">
        <f t="array" ref="B20">INDEX(FLT_Cons,$R20,$T21)</f>
        <v>Portland</v>
      </c>
      <c r="C20" t="s">
        <v>528</v>
      </c>
      <c r="D20" s="43" t="str" cm="1">
        <f t="array" ref="D20">INDEX(FLT_Prod_Info,$U20,$AB20*D$5+$AC20)</f>
        <v>Bakken Crude</v>
      </c>
      <c r="E20" s="43" t="str" cm="1">
        <f t="array" ref="E20">INDEX(FLT_Prod_Info,$U20,$AB20*E$5+$AC20)</f>
        <v>Bakken Crude</v>
      </c>
      <c r="F20" s="43" t="str" cm="1">
        <f t="array" ref="F20">INDEX(FLT_Prod_Info,$U20,$AB20*F$5+$AC20)</f>
        <v>Bakken Crude</v>
      </c>
      <c r="G20" s="43" t="str" cm="1">
        <f t="array" ref="G20">INDEX(FLT_Prod_Info,$U20,$AB20*G$5+$AC20)</f>
        <v>Bakken Crude</v>
      </c>
      <c r="H20" s="43" t="str" cm="1">
        <f t="array" ref="H20">INDEX(FLT_Prod_Info,$U20,$AB20*H$5+$AC20)</f>
        <v>Bakken Crude</v>
      </c>
      <c r="I20" s="43" t="str" cm="1">
        <f t="array" ref="I20">INDEX(FLT_Prod_Info,$U20,$AB20*I$5+$AC20)</f>
        <v>Bakken Crude</v>
      </c>
      <c r="J20" s="43" t="str" cm="1">
        <f t="array" ref="J20">INDEX(FLT_Prod_Info,$U20,$AB20*J$5+$AC20)</f>
        <v>Bakken Crude</v>
      </c>
      <c r="K20" s="43" t="str" cm="1">
        <f t="array" ref="K20">INDEX(FLT_Prod_Info,$U20,$AB20*K$5+$AC20)</f>
        <v>Bakken Crude</v>
      </c>
      <c r="L20" s="43" t="str" cm="1">
        <f t="array" ref="L20">INDEX(FLT_Prod_Info,$U20,$AB20*L$5+$AC20)</f>
        <v>Bakken Crude</v>
      </c>
      <c r="M20" s="43" t="str" cm="1">
        <f t="array" ref="M20">INDEX(FLT_Prod_Info,$U20,$AB20*M$5+$AC20)</f>
        <v>Bakken Crude</v>
      </c>
      <c r="N20" s="43" t="str" cm="1">
        <f t="array" ref="N20">INDEX(FLT_Prod_Info,$U20,$AB20*N$5+$AC20)</f>
        <v>Bakken Crude</v>
      </c>
      <c r="O20" s="43" t="str" cm="1">
        <f t="array" ref="O20">INDEX(FLT_Prod_Info,$U20,$AB20*O$5+$AC20)</f>
        <v>Bakken Crude</v>
      </c>
      <c r="Q20">
        <f>Q19+1</f>
        <v>15</v>
      </c>
      <c r="R20">
        <f>R6+1</f>
        <v>2</v>
      </c>
      <c r="S20" t="s">
        <v>237</v>
      </c>
      <c r="T20">
        <v>1</v>
      </c>
      <c r="U20">
        <f>U6+12</f>
        <v>13</v>
      </c>
      <c r="V20">
        <v>1</v>
      </c>
      <c r="W20">
        <v>3</v>
      </c>
      <c r="X20">
        <v>1</v>
      </c>
      <c r="Y20">
        <v>2</v>
      </c>
      <c r="Z20">
        <v>1</v>
      </c>
      <c r="AA20">
        <v>2</v>
      </c>
      <c r="AB20">
        <f t="shared" ref="AB20:AB25" si="25">(Y20-X20)/(AA20-Z20)</f>
        <v>1</v>
      </c>
      <c r="AC20">
        <f t="shared" ref="AC20:AC25" si="26">X20-AB20*Z20</f>
        <v>0</v>
      </c>
    </row>
    <row r="21" spans="1:29" x14ac:dyDescent="0.4">
      <c r="C21" t="s">
        <v>529</v>
      </c>
      <c r="D21" s="43" t="str" cm="1">
        <f t="array" ref="D21">INDEX(FLT_Prod_Info,$U21,$AB21*D$5+$AC21)</f>
        <v/>
      </c>
      <c r="E21" s="43" t="str" cm="1">
        <f t="array" ref="E21">INDEX(FLT_Prod_Info,$U21,$AB21*E$5+$AC21)</f>
        <v/>
      </c>
      <c r="F21" s="43" t="str" cm="1">
        <f t="array" ref="F21">INDEX(FLT_Prod_Info,$U21,$AB21*F$5+$AC21)</f>
        <v/>
      </c>
      <c r="G21" s="43" t="str" cm="1">
        <f t="array" ref="G21">INDEX(FLT_Prod_Info,$U21,$AB21*G$5+$AC21)</f>
        <v/>
      </c>
      <c r="H21" s="43" t="str" cm="1">
        <f t="array" ref="H21">INDEX(FLT_Prod_Info,$U21,$AB21*H$5+$AC21)</f>
        <v/>
      </c>
      <c r="I21" s="43" t="str" cm="1">
        <f t="array" ref="I21">INDEX(FLT_Prod_Info,$U21,$AB21*I$5+$AC21)</f>
        <v/>
      </c>
      <c r="J21" s="43" t="str" cm="1">
        <f t="array" ref="J21">INDEX(FLT_Prod_Info,$U21,$AB21*J$5+$AC21)</f>
        <v/>
      </c>
      <c r="K21" s="43" t="str" cm="1">
        <f t="array" ref="K21">INDEX(FLT_Prod_Info,$U21,$AB21*K$5+$AC21)</f>
        <v/>
      </c>
      <c r="L21" s="43" t="str" cm="1">
        <f t="array" ref="L21">INDEX(FLT_Prod_Info,$U21,$AB21*L$5+$AC21)</f>
        <v/>
      </c>
      <c r="M21" s="43" t="str" cm="1">
        <f t="array" ref="M21">INDEX(FLT_Prod_Info,$U21,$AB21*M$5+$AC21)</f>
        <v/>
      </c>
      <c r="N21" s="43" t="str" cm="1">
        <f t="array" ref="N21">INDEX(FLT_Prod_Info,$U21,$AB21*N$5+$AC21)</f>
        <v/>
      </c>
      <c r="O21" s="43" t="str" cm="1">
        <f t="array" ref="O21">INDEX(FLT_Prod_Info,$U21,$AB21*O$5+$AC21)</f>
        <v/>
      </c>
      <c r="Q21">
        <f>Q20+1</f>
        <v>16</v>
      </c>
      <c r="S21" t="s">
        <v>549</v>
      </c>
      <c r="T21">
        <v>3</v>
      </c>
      <c r="U21">
        <f>U20+5</f>
        <v>18</v>
      </c>
      <c r="X21">
        <v>1</v>
      </c>
      <c r="Y21">
        <v>2</v>
      </c>
      <c r="Z21">
        <v>1</v>
      </c>
      <c r="AA21">
        <v>2</v>
      </c>
      <c r="AB21">
        <f t="shared" si="25"/>
        <v>1</v>
      </c>
      <c r="AC21">
        <f t="shared" si="26"/>
        <v>0</v>
      </c>
    </row>
    <row r="22" spans="1:29" x14ac:dyDescent="0.4">
      <c r="C22" t="s">
        <v>530</v>
      </c>
      <c r="D22" s="43" t="str" cm="1">
        <f t="array" ref="D22">INDEX(FLT_Prod_Info,$U22,$AB22*D$5+$AC22)</f>
        <v>Crude Oil</v>
      </c>
      <c r="E22" s="43" t="str" cm="1">
        <f t="array" ref="E22">INDEX(FLT_Prod_Info,$U22,$AB22*E$5+$AC22)</f>
        <v>Crude Oil</v>
      </c>
      <c r="F22" s="43" t="str" cm="1">
        <f t="array" ref="F22">INDEX(FLT_Prod_Info,$U22,$AB22*F$5+$AC22)</f>
        <v>Crude Oil</v>
      </c>
      <c r="G22" s="43" t="str" cm="1">
        <f t="array" ref="G22">INDEX(FLT_Prod_Info,$U22,$AB22*G$5+$AC22)</f>
        <v>Crude Oil</v>
      </c>
      <c r="H22" s="43" t="str" cm="1">
        <f t="array" ref="H22">INDEX(FLT_Prod_Info,$U22,$AB22*H$5+$AC22)</f>
        <v>Crude Oil</v>
      </c>
      <c r="I22" s="43" t="str" cm="1">
        <f t="array" ref="I22">INDEX(FLT_Prod_Info,$U22,$AB22*I$5+$AC22)</f>
        <v>Crude Oil</v>
      </c>
      <c r="J22" s="43" t="str" cm="1">
        <f t="array" ref="J22">INDEX(FLT_Prod_Info,$U22,$AB22*J$5+$AC22)</f>
        <v>Crude Oil</v>
      </c>
      <c r="K22" s="43" t="str" cm="1">
        <f t="array" ref="K22">INDEX(FLT_Prod_Info,$U22,$AB22*K$5+$AC22)</f>
        <v>Crude Oil</v>
      </c>
      <c r="L22" s="43" t="str" cm="1">
        <f t="array" ref="L22">INDEX(FLT_Prod_Info,$U22,$AB22*L$5+$AC22)</f>
        <v>Crude Oil</v>
      </c>
      <c r="M22" s="43" t="str" cm="1">
        <f t="array" ref="M22">INDEX(FLT_Prod_Info,$U22,$AB22*M$5+$AC22)</f>
        <v>Crude Oil</v>
      </c>
      <c r="N22" s="43" t="str" cm="1">
        <f t="array" ref="N22">INDEX(FLT_Prod_Info,$U22,$AB22*N$5+$AC22)</f>
        <v>Crude Oil</v>
      </c>
      <c r="O22" s="43" t="str" cm="1">
        <f t="array" ref="O22">INDEX(FLT_Prod_Info,$U22,$AB22*O$5+$AC22)</f>
        <v>Crude Oil</v>
      </c>
      <c r="Q22">
        <f t="shared" ref="Q22:Q32" si="27">Q21+1</f>
        <v>17</v>
      </c>
      <c r="U22">
        <f>U20+1</f>
        <v>14</v>
      </c>
      <c r="X22">
        <v>1</v>
      </c>
      <c r="Y22">
        <v>2</v>
      </c>
      <c r="Z22">
        <v>1</v>
      </c>
      <c r="AA22">
        <v>2</v>
      </c>
      <c r="AB22">
        <f t="shared" si="25"/>
        <v>1</v>
      </c>
      <c r="AC22">
        <f t="shared" si="26"/>
        <v>0</v>
      </c>
    </row>
    <row r="23" spans="1:29" x14ac:dyDescent="0.4">
      <c r="C23" t="s">
        <v>531</v>
      </c>
      <c r="D23" s="43" t="e" cm="1">
        <f t="array" ref="D23">INDEX(FLT_Prod_Info,$U23,$AB23*D$5+$AC23)</f>
        <v>#N/A</v>
      </c>
      <c r="E23" s="43" t="e" cm="1">
        <f t="array" ref="E23">INDEX(FLT_Prod_Info,$U23,$AB23*E$5+$AC23)</f>
        <v>#N/A</v>
      </c>
      <c r="F23" s="43" t="e" cm="1">
        <f t="array" ref="F23">INDEX(FLT_Prod_Info,$U23,$AB23*F$5+$AC23)</f>
        <v>#N/A</v>
      </c>
      <c r="G23" s="43" t="e" cm="1">
        <f t="array" ref="G23">INDEX(FLT_Prod_Info,$U23,$AB23*G$5+$AC23)</f>
        <v>#N/A</v>
      </c>
      <c r="H23" s="43" t="e" cm="1">
        <f t="array" ref="H23">INDEX(FLT_Prod_Info,$U23,$AB23*H$5+$AC23)</f>
        <v>#N/A</v>
      </c>
      <c r="I23" s="43" t="e" cm="1">
        <f t="array" ref="I23">INDEX(FLT_Prod_Info,$U23,$AB23*I$5+$AC23)</f>
        <v>#N/A</v>
      </c>
      <c r="J23" s="43" t="e" cm="1">
        <f t="array" ref="J23">INDEX(FLT_Prod_Info,$U23,$AB23*J$5+$AC23)</f>
        <v>#N/A</v>
      </c>
      <c r="K23" s="43" t="e" cm="1">
        <f t="array" ref="K23">INDEX(FLT_Prod_Info,$U23,$AB23*K$5+$AC23)</f>
        <v>#N/A</v>
      </c>
      <c r="L23" s="43" t="e" cm="1">
        <f t="array" ref="L23">INDEX(FLT_Prod_Info,$U23,$AB23*L$5+$AC23)</f>
        <v>#N/A</v>
      </c>
      <c r="M23" s="43" t="e" cm="1">
        <f t="array" ref="M23">INDEX(FLT_Prod_Info,$U23,$AB23*M$5+$AC23)</f>
        <v>#N/A</v>
      </c>
      <c r="N23" s="43" t="e" cm="1">
        <f t="array" ref="N23">INDEX(FLT_Prod_Info,$U23,$AB23*N$5+$AC23)</f>
        <v>#N/A</v>
      </c>
      <c r="O23" s="43" t="e" cm="1">
        <f t="array" ref="O23">INDEX(FLT_Prod_Info,$U23,$AB23*O$5+$AC23)</f>
        <v>#N/A</v>
      </c>
      <c r="Q23">
        <f t="shared" si="27"/>
        <v>18</v>
      </c>
      <c r="U23">
        <f>U22+5</f>
        <v>19</v>
      </c>
      <c r="X23">
        <v>1</v>
      </c>
      <c r="Y23">
        <v>2</v>
      </c>
      <c r="Z23">
        <v>1</v>
      </c>
      <c r="AA23">
        <v>2</v>
      </c>
      <c r="AB23">
        <f t="shared" si="25"/>
        <v>1</v>
      </c>
      <c r="AC23">
        <f t="shared" si="26"/>
        <v>0</v>
      </c>
    </row>
    <row r="24" spans="1:29" x14ac:dyDescent="0.4">
      <c r="C24" t="s">
        <v>546</v>
      </c>
      <c r="D24" s="43" cm="1">
        <f t="array" ref="D24">INDEX(FLT_Prod_Info,$U24,$AB24*D$5+$AC24)</f>
        <v>1</v>
      </c>
      <c r="E24" s="43" cm="1">
        <f t="array" ref="E24">INDEX(FLT_Prod_Info,$U24,$AB24*E$5+$AC24)</f>
        <v>1</v>
      </c>
      <c r="F24" s="43" cm="1">
        <f t="array" ref="F24">INDEX(FLT_Prod_Info,$U24,$AB24*F$5+$AC24)</f>
        <v>1</v>
      </c>
      <c r="G24" s="43" cm="1">
        <f t="array" ref="G24">INDEX(FLT_Prod_Info,$U24,$AB24*G$5+$AC24)</f>
        <v>1</v>
      </c>
      <c r="H24" s="43" cm="1">
        <f t="array" ref="H24">INDEX(FLT_Prod_Info,$U24,$AB24*H$5+$AC24)</f>
        <v>1</v>
      </c>
      <c r="I24" s="43" cm="1">
        <f t="array" ref="I24">INDEX(FLT_Prod_Info,$U24,$AB24*I$5+$AC24)</f>
        <v>1</v>
      </c>
      <c r="J24" s="43" cm="1">
        <f t="array" ref="J24">INDEX(FLT_Prod_Info,$U24,$AB24*J$5+$AC24)</f>
        <v>1</v>
      </c>
      <c r="K24" s="43" cm="1">
        <f t="array" ref="K24">INDEX(FLT_Prod_Info,$U24,$AB24*K$5+$AC24)</f>
        <v>1</v>
      </c>
      <c r="L24" s="43" cm="1">
        <f t="array" ref="L24">INDEX(FLT_Prod_Info,$U24,$AB24*L$5+$AC24)</f>
        <v>1</v>
      </c>
      <c r="M24" s="43" cm="1">
        <f t="array" ref="M24">INDEX(FLT_Prod_Info,$U24,$AB24*M$5+$AC24)</f>
        <v>1</v>
      </c>
      <c r="N24" s="43" cm="1">
        <f t="array" ref="N24">INDEX(FLT_Prod_Info,$U24,$AB24*N$5+$AC24)</f>
        <v>1</v>
      </c>
      <c r="O24" s="43" cm="1">
        <f t="array" ref="O24">INDEX(FLT_Prod_Info,$U24,$AB24*O$5+$AC24)</f>
        <v>1</v>
      </c>
      <c r="Q24">
        <f t="shared" si="27"/>
        <v>19</v>
      </c>
      <c r="U24">
        <f>U20+4</f>
        <v>17</v>
      </c>
      <c r="X24">
        <v>1</v>
      </c>
      <c r="Y24">
        <v>2</v>
      </c>
      <c r="Z24">
        <v>1</v>
      </c>
      <c r="AA24">
        <v>2</v>
      </c>
      <c r="AB24">
        <f t="shared" si="25"/>
        <v>1</v>
      </c>
      <c r="AC24">
        <f t="shared" si="26"/>
        <v>0</v>
      </c>
    </row>
    <row r="25" spans="1:29" x14ac:dyDescent="0.4">
      <c r="C25" t="s">
        <v>547</v>
      </c>
      <c r="D25" s="43" cm="1">
        <f t="array" ref="D25">INDEX(FLT_Prod_Info,$U25,$AB25*D$5+$AC25)</f>
        <v>0</v>
      </c>
      <c r="E25" s="43" cm="1">
        <f t="array" ref="E25">INDEX(FLT_Prod_Info,$U25,$AB25*E$5+$AC25)</f>
        <v>0</v>
      </c>
      <c r="F25" s="43" cm="1">
        <f t="array" ref="F25">INDEX(FLT_Prod_Info,$U25,$AB25*F$5+$AC25)</f>
        <v>0</v>
      </c>
      <c r="G25" s="43" cm="1">
        <f t="array" ref="G25">INDEX(FLT_Prod_Info,$U25,$AB25*G$5+$AC25)</f>
        <v>0</v>
      </c>
      <c r="H25" s="43" cm="1">
        <f t="array" ref="H25">INDEX(FLT_Prod_Info,$U25,$AB25*H$5+$AC25)</f>
        <v>0</v>
      </c>
      <c r="I25" s="43" cm="1">
        <f t="array" ref="I25">INDEX(FLT_Prod_Info,$U25,$AB25*I$5+$AC25)</f>
        <v>0</v>
      </c>
      <c r="J25" s="43" cm="1">
        <f t="array" ref="J25">INDEX(FLT_Prod_Info,$U25,$AB25*J$5+$AC25)</f>
        <v>0</v>
      </c>
      <c r="K25" s="43" cm="1">
        <f t="array" ref="K25">INDEX(FLT_Prod_Info,$U25,$AB25*K$5+$AC25)</f>
        <v>0</v>
      </c>
      <c r="L25" s="43" cm="1">
        <f t="array" ref="L25">INDEX(FLT_Prod_Info,$U25,$AB25*L$5+$AC25)</f>
        <v>0</v>
      </c>
      <c r="M25" s="43" cm="1">
        <f t="array" ref="M25">INDEX(FLT_Prod_Info,$U25,$AB25*M$5+$AC25)</f>
        <v>0</v>
      </c>
      <c r="N25" s="43" cm="1">
        <f t="array" ref="N25">INDEX(FLT_Prod_Info,$U25,$AB25*N$5+$AC25)</f>
        <v>0</v>
      </c>
      <c r="O25" s="43" cm="1">
        <f t="array" ref="O25">INDEX(FLT_Prod_Info,$U25,$AB25*O$5+$AC25)</f>
        <v>0</v>
      </c>
      <c r="Q25">
        <f t="shared" si="27"/>
        <v>20</v>
      </c>
      <c r="U25">
        <f>U21+4</f>
        <v>22</v>
      </c>
      <c r="X25">
        <v>1</v>
      </c>
      <c r="Y25">
        <v>2</v>
      </c>
      <c r="Z25">
        <v>1</v>
      </c>
      <c r="AA25">
        <v>2</v>
      </c>
      <c r="AB25">
        <f t="shared" si="25"/>
        <v>1</v>
      </c>
      <c r="AC25">
        <f t="shared" si="26"/>
        <v>0</v>
      </c>
    </row>
    <row r="26" spans="1:29" x14ac:dyDescent="0.4">
      <c r="C26" t="s">
        <v>532</v>
      </c>
      <c r="D26" s="43">
        <f t="shared" ref="D26:O27" si="28">IFERROR(VLOOKUP(D20,Phys_Prop,2,FALSE),0)</f>
        <v>127.98873179194693</v>
      </c>
      <c r="E26" s="43">
        <f t="shared" si="28"/>
        <v>127.98873179194693</v>
      </c>
      <c r="F26" s="43">
        <f t="shared" si="28"/>
        <v>127.98873179194693</v>
      </c>
      <c r="G26" s="43">
        <f t="shared" si="28"/>
        <v>127.98873179194693</v>
      </c>
      <c r="H26" s="43">
        <f t="shared" si="28"/>
        <v>127.98873179194693</v>
      </c>
      <c r="I26" s="43">
        <f t="shared" si="28"/>
        <v>127.98873179194693</v>
      </c>
      <c r="J26" s="43">
        <f t="shared" si="28"/>
        <v>127.98873179194693</v>
      </c>
      <c r="K26" s="43">
        <f t="shared" si="28"/>
        <v>127.98873179194693</v>
      </c>
      <c r="L26" s="43">
        <f t="shared" si="28"/>
        <v>127.98873179194693</v>
      </c>
      <c r="M26" s="43">
        <f t="shared" si="28"/>
        <v>127.98873179194693</v>
      </c>
      <c r="N26" s="43">
        <f t="shared" si="28"/>
        <v>127.98873179194693</v>
      </c>
      <c r="O26" s="43">
        <f t="shared" si="28"/>
        <v>127.98873179194693</v>
      </c>
      <c r="Q26">
        <f t="shared" si="27"/>
        <v>21</v>
      </c>
    </row>
    <row r="27" spans="1:29" x14ac:dyDescent="0.4">
      <c r="C27" t="s">
        <v>533</v>
      </c>
      <c r="D27" s="43">
        <f t="shared" si="28"/>
        <v>0</v>
      </c>
      <c r="E27" s="43">
        <f t="shared" si="28"/>
        <v>0</v>
      </c>
      <c r="F27" s="43">
        <f t="shared" si="28"/>
        <v>0</v>
      </c>
      <c r="G27" s="43">
        <f t="shared" si="28"/>
        <v>0</v>
      </c>
      <c r="H27" s="43">
        <f t="shared" si="28"/>
        <v>0</v>
      </c>
      <c r="I27" s="43">
        <f t="shared" si="28"/>
        <v>0</v>
      </c>
      <c r="J27" s="43">
        <f t="shared" si="28"/>
        <v>0</v>
      </c>
      <c r="K27" s="43">
        <f t="shared" si="28"/>
        <v>0</v>
      </c>
      <c r="L27" s="43">
        <f t="shared" si="28"/>
        <v>0</v>
      </c>
      <c r="M27" s="43">
        <f t="shared" si="28"/>
        <v>0</v>
      </c>
      <c r="N27" s="43">
        <f t="shared" si="28"/>
        <v>0</v>
      </c>
      <c r="O27" s="43">
        <f t="shared" si="28"/>
        <v>0</v>
      </c>
      <c r="Q27">
        <f t="shared" si="27"/>
        <v>22</v>
      </c>
    </row>
    <row r="28" spans="1:29" x14ac:dyDescent="0.4">
      <c r="C28" t="s">
        <v>544</v>
      </c>
      <c r="D28" s="43">
        <f>IFERROR(IFERROR(1/(D24/D26+D25/D27),D26/D24),1)</f>
        <v>127.98873179194693</v>
      </c>
      <c r="E28" s="43">
        <f t="shared" ref="E28" si="29">IFERROR(IFERROR(1/(E24/E26+E25/E27),E26/E24),1)</f>
        <v>127.98873179194693</v>
      </c>
      <c r="F28" s="43">
        <f t="shared" ref="F28" si="30">IFERROR(IFERROR(1/(F24/F26+F25/F27),F26/F24),1)</f>
        <v>127.98873179194693</v>
      </c>
      <c r="G28" s="43">
        <f t="shared" ref="G28" si="31">IFERROR(IFERROR(1/(G24/G26+G25/G27),G26/G24),1)</f>
        <v>127.98873179194693</v>
      </c>
      <c r="H28" s="43">
        <f t="shared" ref="H28" si="32">IFERROR(IFERROR(1/(H24/H26+H25/H27),H26/H24),1)</f>
        <v>127.98873179194693</v>
      </c>
      <c r="I28" s="43">
        <f t="shared" ref="I28" si="33">IFERROR(IFERROR(1/(I24/I26+I25/I27),I26/I24),1)</f>
        <v>127.98873179194693</v>
      </c>
      <c r="J28" s="43">
        <f t="shared" ref="J28" si="34">IFERROR(IFERROR(1/(J24/J26+J25/J27),J26/J24),1)</f>
        <v>127.98873179194693</v>
      </c>
      <c r="K28" s="43">
        <f t="shared" ref="K28" si="35">IFERROR(IFERROR(1/(K24/K26+K25/K27),K26/K24),1)</f>
        <v>127.98873179194693</v>
      </c>
      <c r="L28" s="43">
        <f t="shared" ref="L28" si="36">IFERROR(IFERROR(1/(L24/L26+L25/L27),L26/L24),1)</f>
        <v>127.98873179194693</v>
      </c>
      <c r="M28" s="43">
        <f t="shared" ref="M28" si="37">IFERROR(IFERROR(1/(M24/M26+M25/M27),M26/M24),1)</f>
        <v>127.98873179194693</v>
      </c>
      <c r="N28" s="43">
        <f t="shared" ref="N28" si="38">IFERROR(IFERROR(1/(N24/N26+N25/N27),N26/N24),1)</f>
        <v>127.98873179194693</v>
      </c>
      <c r="O28" s="43">
        <f t="shared" ref="O28" si="39">IFERROR(IFERROR(1/(O24/O26+O25/O27),O26/O24),1)</f>
        <v>127.98873179194693</v>
      </c>
      <c r="Q28">
        <f t="shared" si="27"/>
        <v>23</v>
      </c>
    </row>
    <row r="29" spans="1:29" x14ac:dyDescent="0.4">
      <c r="C29" t="s">
        <v>539</v>
      </c>
      <c r="D29" s="43">
        <f>IFERROR((D24/D26)*D28,1)</f>
        <v>1</v>
      </c>
      <c r="E29" s="43">
        <f t="shared" ref="E29" si="40">IFERROR((E24/E26)*E28,1)</f>
        <v>1</v>
      </c>
      <c r="F29" s="43">
        <f t="shared" ref="F29" si="41">IFERROR((F24/F26)*F28,1)</f>
        <v>1</v>
      </c>
      <c r="G29" s="43">
        <f t="shared" ref="G29" si="42">IFERROR((G24/G26)*G28,1)</f>
        <v>1</v>
      </c>
      <c r="H29" s="43">
        <f t="shared" ref="H29" si="43">IFERROR((H24/H26)*H28,1)</f>
        <v>1</v>
      </c>
      <c r="I29" s="43">
        <f t="shared" ref="I29" si="44">IFERROR((I24/I26)*I28,1)</f>
        <v>1</v>
      </c>
      <c r="J29" s="43">
        <f t="shared" ref="J29" si="45">IFERROR((J24/J26)*J28,1)</f>
        <v>1</v>
      </c>
      <c r="K29" s="43">
        <f t="shared" ref="K29" si="46">IFERROR((K24/K26)*K28,1)</f>
        <v>1</v>
      </c>
      <c r="L29" s="43">
        <f t="shared" ref="L29" si="47">IFERROR((L24/L26)*L28,1)</f>
        <v>1</v>
      </c>
      <c r="M29" s="43">
        <f t="shared" ref="M29" si="48">IFERROR((M24/M26)*M28,1)</f>
        <v>1</v>
      </c>
      <c r="N29" s="43">
        <f t="shared" ref="N29" si="49">IFERROR((N24/N26)*N28,1)</f>
        <v>1</v>
      </c>
      <c r="O29" s="43">
        <f t="shared" ref="O29" si="50">IFERROR((O24/O26)*O28,1)</f>
        <v>1</v>
      </c>
      <c r="Q29">
        <f t="shared" si="27"/>
        <v>24</v>
      </c>
    </row>
    <row r="30" spans="1:29" x14ac:dyDescent="0.4">
      <c r="C30" t="s">
        <v>540</v>
      </c>
      <c r="D30" s="43">
        <f>IFERROR(D25/D27*D28,0)</f>
        <v>0</v>
      </c>
      <c r="E30" s="43">
        <f t="shared" ref="E30:O30" si="51">IFERROR(E25/E27*E28,0)</f>
        <v>0</v>
      </c>
      <c r="F30" s="43">
        <f t="shared" si="51"/>
        <v>0</v>
      </c>
      <c r="G30" s="43">
        <f t="shared" si="51"/>
        <v>0</v>
      </c>
      <c r="H30" s="43">
        <f t="shared" si="51"/>
        <v>0</v>
      </c>
      <c r="I30" s="43">
        <f t="shared" si="51"/>
        <v>0</v>
      </c>
      <c r="J30" s="43">
        <f t="shared" si="51"/>
        <v>0</v>
      </c>
      <c r="K30" s="43">
        <f t="shared" si="51"/>
        <v>0</v>
      </c>
      <c r="L30" s="43">
        <f t="shared" si="51"/>
        <v>0</v>
      </c>
      <c r="M30" s="43">
        <f t="shared" si="51"/>
        <v>0</v>
      </c>
      <c r="N30" s="43">
        <f t="shared" si="51"/>
        <v>0</v>
      </c>
      <c r="O30" s="43">
        <f t="shared" si="51"/>
        <v>0</v>
      </c>
      <c r="Q30">
        <f t="shared" si="27"/>
        <v>25</v>
      </c>
    </row>
    <row r="31" spans="1:29" x14ac:dyDescent="0.4">
      <c r="C31" s="21" t="s">
        <v>534</v>
      </c>
      <c r="D31" s="43">
        <f t="shared" ref="D31:O32" si="52">IFERROR(VLOOKUP(D20,Phys_Prop,4,FALSE),0)</f>
        <v>6.7389700000000001</v>
      </c>
      <c r="E31" s="43">
        <f t="shared" si="52"/>
        <v>6.7389700000000001</v>
      </c>
      <c r="F31" s="43">
        <f t="shared" si="52"/>
        <v>6.7389700000000001</v>
      </c>
      <c r="G31" s="43">
        <f t="shared" si="52"/>
        <v>6.7389700000000001</v>
      </c>
      <c r="H31" s="43">
        <f t="shared" si="52"/>
        <v>6.7389700000000001</v>
      </c>
      <c r="I31" s="43">
        <f t="shared" si="52"/>
        <v>6.7389700000000001</v>
      </c>
      <c r="J31" s="43">
        <f t="shared" si="52"/>
        <v>6.7389700000000001</v>
      </c>
      <c r="K31" s="43">
        <f t="shared" si="52"/>
        <v>6.7389700000000001</v>
      </c>
      <c r="L31" s="43">
        <f t="shared" si="52"/>
        <v>6.7389700000000001</v>
      </c>
      <c r="M31" s="43">
        <f t="shared" si="52"/>
        <v>6.7389700000000001</v>
      </c>
      <c r="N31" s="43">
        <f t="shared" si="52"/>
        <v>6.7389700000000001</v>
      </c>
      <c r="O31" s="43">
        <f t="shared" si="52"/>
        <v>6.7389700000000001</v>
      </c>
      <c r="Q31">
        <f t="shared" si="27"/>
        <v>26</v>
      </c>
    </row>
    <row r="32" spans="1:29" x14ac:dyDescent="0.4">
      <c r="C32" s="21" t="s">
        <v>535</v>
      </c>
      <c r="D32" s="43">
        <f t="shared" si="52"/>
        <v>0</v>
      </c>
      <c r="E32" s="43">
        <f t="shared" si="52"/>
        <v>0</v>
      </c>
      <c r="F32" s="43">
        <f t="shared" si="52"/>
        <v>0</v>
      </c>
      <c r="G32" s="43">
        <f t="shared" si="52"/>
        <v>0</v>
      </c>
      <c r="H32" s="43">
        <f t="shared" si="52"/>
        <v>0</v>
      </c>
      <c r="I32" s="43">
        <f t="shared" si="52"/>
        <v>0</v>
      </c>
      <c r="J32" s="43">
        <f t="shared" si="52"/>
        <v>0</v>
      </c>
      <c r="K32" s="43">
        <f t="shared" si="52"/>
        <v>0</v>
      </c>
      <c r="L32" s="43">
        <f t="shared" si="52"/>
        <v>0</v>
      </c>
      <c r="M32" s="43">
        <f t="shared" si="52"/>
        <v>0</v>
      </c>
      <c r="N32" s="43">
        <f t="shared" si="52"/>
        <v>0</v>
      </c>
      <c r="O32" s="43">
        <f t="shared" si="52"/>
        <v>0</v>
      </c>
      <c r="Q32">
        <f t="shared" si="27"/>
        <v>27</v>
      </c>
    </row>
    <row r="33" spans="1:29" x14ac:dyDescent="0.4">
      <c r="A33" s="11"/>
      <c r="B33" s="11"/>
      <c r="C33" s="62" t="s">
        <v>536</v>
      </c>
      <c r="D33" s="208">
        <f>IF(IFERROR(IFERROR(1/(D29/D31+D30/D32),D31),0)="N/A",0,IFERROR(IFERROR(1/(D29/D31+D30/D32),D31),0))</f>
        <v>6.7389700000000001</v>
      </c>
      <c r="E33" s="208">
        <f t="shared" ref="E33" si="53">IF(IFERROR(IFERROR(1/(E29/E31+E30/E32),E31),0)="N/A",0,IFERROR(IFERROR(1/(E29/E31+E30/E32),E31),0))</f>
        <v>6.7389700000000001</v>
      </c>
      <c r="F33" s="208">
        <f t="shared" ref="F33" si="54">IF(IFERROR(IFERROR(1/(F29/F31+F30/F32),F31),0)="N/A",0,IFERROR(IFERROR(1/(F29/F31+F30/F32),F31),0))</f>
        <v>6.7389700000000001</v>
      </c>
      <c r="G33" s="208">
        <f t="shared" ref="G33" si="55">IF(IFERROR(IFERROR(1/(G29/G31+G30/G32),G31),0)="N/A",0,IFERROR(IFERROR(1/(G29/G31+G30/G32),G31),0))</f>
        <v>6.7389700000000001</v>
      </c>
      <c r="H33" s="208">
        <f t="shared" ref="H33" si="56">IF(IFERROR(IFERROR(1/(H29/H31+H30/H32),H31),0)="N/A",0,IFERROR(IFERROR(1/(H29/H31+H30/H32),H31),0))</f>
        <v>6.7389700000000001</v>
      </c>
      <c r="I33" s="208">
        <f t="shared" ref="I33" si="57">IF(IFERROR(IFERROR(1/(I29/I31+I30/I32),I31),0)="N/A",0,IFERROR(IFERROR(1/(I29/I31+I30/I32),I31),0))</f>
        <v>6.7389700000000001</v>
      </c>
      <c r="J33" s="208">
        <f t="shared" ref="J33" si="58">IF(IFERROR(IFERROR(1/(J29/J31+J30/J32),J31),0)="N/A",0,IFERROR(IFERROR(1/(J29/J31+J30/J32),J31),0))</f>
        <v>6.7389700000000001</v>
      </c>
      <c r="K33" s="208">
        <f t="shared" ref="K33" si="59">IF(IFERROR(IFERROR(1/(K29/K31+K30/K32),K31),0)="N/A",0,IFERROR(IFERROR(1/(K29/K31+K30/K32),K31),0))</f>
        <v>6.7389700000000001</v>
      </c>
      <c r="L33" s="208">
        <f t="shared" ref="L33" si="60">IF(IFERROR(IFERROR(1/(L29/L31+L30/L32),L31),0)="N/A",0,IFERROR(IFERROR(1/(L29/L31+L30/L32),L31),0))</f>
        <v>6.7389700000000001</v>
      </c>
      <c r="M33" s="208">
        <f t="shared" ref="M33" si="61">IF(IFERROR(IFERROR(1/(M29/M31+M30/M32),M31),0)="N/A",0,IFERROR(IFERROR(1/(M29/M31+M30/M32),M31),0))</f>
        <v>6.7389700000000001</v>
      </c>
      <c r="N33" s="208">
        <f t="shared" ref="N33" si="62">IF(IFERROR(IFERROR(1/(N29/N31+N30/N32),N31),0)="N/A",0,IFERROR(IFERROR(1/(N29/N31+N30/N32),N31),0))</f>
        <v>6.7389700000000001</v>
      </c>
      <c r="O33" s="208">
        <f t="shared" ref="O33" si="63">IF(IFERROR(IFERROR(1/(O29/O31+O30/O32),O31),0)="N/A",0,IFERROR(IFERROR(1/(O29/O31+O30/O32),O31),0))</f>
        <v>6.7389700000000001</v>
      </c>
      <c r="P33" s="11"/>
      <c r="Q33" s="11">
        <f>Q32+1</f>
        <v>28</v>
      </c>
      <c r="R33" s="11"/>
      <c r="S33" s="11"/>
      <c r="T33" s="11"/>
      <c r="U33" s="11"/>
      <c r="V33" s="11"/>
      <c r="W33" s="11"/>
      <c r="X33" s="11"/>
      <c r="Y33" s="11"/>
      <c r="Z33" s="11"/>
      <c r="AA33" s="11"/>
      <c r="AB33" s="11"/>
      <c r="AC33" s="11"/>
    </row>
    <row r="34" spans="1:29" x14ac:dyDescent="0.4">
      <c r="A34" t="str" cm="1">
        <f t="array" ref="A34">INDEX(FLT_Cons,$R34,$T34)</f>
        <v>FLT - 3</v>
      </c>
      <c r="B34" t="str" cm="1">
        <f t="array" ref="B34">INDEX(FLT_Cons,$R34,$T35)</f>
        <v>Portland</v>
      </c>
      <c r="C34" t="s">
        <v>528</v>
      </c>
      <c r="D34" s="43" t="str" cm="1">
        <f t="array" ref="D34">INDEX(FLT_Prod_Info,$U34,$AB34*D$5+$AC34)</f>
        <v>Jet kerosene</v>
      </c>
      <c r="E34" s="43" t="str" cm="1">
        <f t="array" ref="E34">INDEX(FLT_Prod_Info,$U34,$AB34*E$5+$AC34)</f>
        <v>Jet kerosene</v>
      </c>
      <c r="F34" s="43" t="str" cm="1">
        <f t="array" ref="F34">INDEX(FLT_Prod_Info,$U34,$AB34*F$5+$AC34)</f>
        <v>Jet kerosene</v>
      </c>
      <c r="G34" s="43" t="str" cm="1">
        <f t="array" ref="G34">INDEX(FLT_Prod_Info,$U34,$AB34*G$5+$AC34)</f>
        <v>Jet kerosene</v>
      </c>
      <c r="H34" s="43" t="str" cm="1">
        <f t="array" ref="H34">INDEX(FLT_Prod_Info,$U34,$AB34*H$5+$AC34)</f>
        <v>Jet kerosene</v>
      </c>
      <c r="I34" s="43" t="str" cm="1">
        <f t="array" ref="I34">INDEX(FLT_Prod_Info,$U34,$AB34*I$5+$AC34)</f>
        <v>Jet kerosene</v>
      </c>
      <c r="J34" s="43" t="str" cm="1">
        <f t="array" ref="J34">INDEX(FLT_Prod_Info,$U34,$AB34*J$5+$AC34)</f>
        <v>Jet kerosene</v>
      </c>
      <c r="K34" s="43" t="str" cm="1">
        <f t="array" ref="K34">INDEX(FLT_Prod_Info,$U34,$AB34*K$5+$AC34)</f>
        <v>Jet kerosene</v>
      </c>
      <c r="L34" s="43" t="str" cm="1">
        <f t="array" ref="L34">INDEX(FLT_Prod_Info,$U34,$AB34*L$5+$AC34)</f>
        <v>Jet kerosene</v>
      </c>
      <c r="M34" s="43" t="str" cm="1">
        <f t="array" ref="M34">INDEX(FLT_Prod_Info,$U34,$AB34*M$5+$AC34)</f>
        <v>Jet kerosene</v>
      </c>
      <c r="N34" s="43" t="str" cm="1">
        <f t="array" ref="N34">INDEX(FLT_Prod_Info,$U34,$AB34*N$5+$AC34)</f>
        <v>Jet kerosene</v>
      </c>
      <c r="O34" s="43" t="str" cm="1">
        <f t="array" ref="O34">INDEX(FLT_Prod_Info,$U34,$AB34*O$5+$AC34)</f>
        <v>Jet kerosene</v>
      </c>
      <c r="Q34">
        <v>1</v>
      </c>
      <c r="R34">
        <f>R20+1</f>
        <v>3</v>
      </c>
      <c r="S34" t="s">
        <v>237</v>
      </c>
      <c r="T34">
        <v>1</v>
      </c>
      <c r="U34">
        <f>U20+12</f>
        <v>25</v>
      </c>
      <c r="V34">
        <v>1</v>
      </c>
      <c r="W34">
        <v>3</v>
      </c>
      <c r="X34">
        <v>1</v>
      </c>
      <c r="Y34">
        <v>2</v>
      </c>
      <c r="Z34">
        <v>1</v>
      </c>
      <c r="AA34">
        <v>2</v>
      </c>
      <c r="AB34">
        <f t="shared" ref="AB34:AB39" si="64">(Y34-X34)/(AA34-Z34)</f>
        <v>1</v>
      </c>
      <c r="AC34">
        <f t="shared" ref="AC34:AC39" si="65">X34-AB34*Z34</f>
        <v>0</v>
      </c>
    </row>
    <row r="35" spans="1:29" x14ac:dyDescent="0.4">
      <c r="C35" t="s">
        <v>529</v>
      </c>
      <c r="D35" s="43" t="str" cm="1">
        <f t="array" ref="D35">INDEX(FLT_Prod_Info,$U35,$AB35*D$5+$AC35)</f>
        <v/>
      </c>
      <c r="E35" s="43" t="str" cm="1">
        <f t="array" ref="E35">INDEX(FLT_Prod_Info,$U35,$AB35*E$5+$AC35)</f>
        <v/>
      </c>
      <c r="F35" s="43" t="str" cm="1">
        <f t="array" ref="F35">INDEX(FLT_Prod_Info,$U35,$AB35*F$5+$AC35)</f>
        <v/>
      </c>
      <c r="G35" s="43" t="str" cm="1">
        <f t="array" ref="G35">INDEX(FLT_Prod_Info,$U35,$AB35*G$5+$AC35)</f>
        <v/>
      </c>
      <c r="H35" s="43" t="str" cm="1">
        <f t="array" ref="H35">INDEX(FLT_Prod_Info,$U35,$AB35*H$5+$AC35)</f>
        <v/>
      </c>
      <c r="I35" s="43" t="str" cm="1">
        <f t="array" ref="I35">INDEX(FLT_Prod_Info,$U35,$AB35*I$5+$AC35)</f>
        <v/>
      </c>
      <c r="J35" s="43" t="str" cm="1">
        <f t="array" ref="J35">INDEX(FLT_Prod_Info,$U35,$AB35*J$5+$AC35)</f>
        <v/>
      </c>
      <c r="K35" s="43" t="str" cm="1">
        <f t="array" ref="K35">INDEX(FLT_Prod_Info,$U35,$AB35*K$5+$AC35)</f>
        <v/>
      </c>
      <c r="L35" s="43" t="str" cm="1">
        <f t="array" ref="L35">INDEX(FLT_Prod_Info,$U35,$AB35*L$5+$AC35)</f>
        <v/>
      </c>
      <c r="M35" s="43" t="str" cm="1">
        <f t="array" ref="M35">INDEX(FLT_Prod_Info,$U35,$AB35*M$5+$AC35)</f>
        <v/>
      </c>
      <c r="N35" s="43" t="str" cm="1">
        <f t="array" ref="N35">INDEX(FLT_Prod_Info,$U35,$AB35*N$5+$AC35)</f>
        <v/>
      </c>
      <c r="O35" s="43" t="str" cm="1">
        <f t="array" ref="O35">INDEX(FLT_Prod_Info,$U35,$AB35*O$5+$AC35)</f>
        <v/>
      </c>
      <c r="Q35">
        <f>Q34+1</f>
        <v>2</v>
      </c>
      <c r="S35" t="s">
        <v>549</v>
      </c>
      <c r="T35">
        <v>3</v>
      </c>
      <c r="U35">
        <f>U34+5</f>
        <v>30</v>
      </c>
      <c r="X35">
        <v>1</v>
      </c>
      <c r="Y35">
        <v>2</v>
      </c>
      <c r="Z35">
        <v>1</v>
      </c>
      <c r="AA35">
        <v>2</v>
      </c>
      <c r="AB35">
        <f t="shared" si="64"/>
        <v>1</v>
      </c>
      <c r="AC35">
        <f t="shared" si="65"/>
        <v>0</v>
      </c>
    </row>
    <row r="36" spans="1:29" x14ac:dyDescent="0.4">
      <c r="C36" t="s">
        <v>530</v>
      </c>
      <c r="D36" s="43" t="str" cm="1">
        <f t="array" ref="D36">INDEX(FLT_Prod_Info,$U36,$AB36*D$5+$AC36)</f>
        <v>Select Pet Stock</v>
      </c>
      <c r="E36" s="43" t="str" cm="1">
        <f t="array" ref="E36">INDEX(FLT_Prod_Info,$U36,$AB36*E$5+$AC36)</f>
        <v>Select Pet Stock</v>
      </c>
      <c r="F36" s="43" t="str" cm="1">
        <f t="array" ref="F36">INDEX(FLT_Prod_Info,$U36,$AB36*F$5+$AC36)</f>
        <v>Select Pet Stock</v>
      </c>
      <c r="G36" s="43" t="str" cm="1">
        <f t="array" ref="G36">INDEX(FLT_Prod_Info,$U36,$AB36*G$5+$AC36)</f>
        <v>Select Pet Stock</v>
      </c>
      <c r="H36" s="43" t="str" cm="1">
        <f t="array" ref="H36">INDEX(FLT_Prod_Info,$U36,$AB36*H$5+$AC36)</f>
        <v>Select Pet Stock</v>
      </c>
      <c r="I36" s="43" t="str" cm="1">
        <f t="array" ref="I36">INDEX(FLT_Prod_Info,$U36,$AB36*I$5+$AC36)</f>
        <v>Select Pet Stock</v>
      </c>
      <c r="J36" s="43" t="str" cm="1">
        <f t="array" ref="J36">INDEX(FLT_Prod_Info,$U36,$AB36*J$5+$AC36)</f>
        <v>Select Pet Stock</v>
      </c>
      <c r="K36" s="43" t="str" cm="1">
        <f t="array" ref="K36">INDEX(FLT_Prod_Info,$U36,$AB36*K$5+$AC36)</f>
        <v>Select Pet Stock</v>
      </c>
      <c r="L36" s="43" t="str" cm="1">
        <f t="array" ref="L36">INDEX(FLT_Prod_Info,$U36,$AB36*L$5+$AC36)</f>
        <v>Select Pet Stock</v>
      </c>
      <c r="M36" s="43" t="str" cm="1">
        <f t="array" ref="M36">INDEX(FLT_Prod_Info,$U36,$AB36*M$5+$AC36)</f>
        <v>Select Pet Stock</v>
      </c>
      <c r="N36" s="43" t="str" cm="1">
        <f t="array" ref="N36">INDEX(FLT_Prod_Info,$U36,$AB36*N$5+$AC36)</f>
        <v>Select Pet Stock</v>
      </c>
      <c r="O36" s="43" t="str" cm="1">
        <f t="array" ref="O36">INDEX(FLT_Prod_Info,$U36,$AB36*O$5+$AC36)</f>
        <v>Select Pet Stock</v>
      </c>
      <c r="Q36">
        <f t="shared" ref="Q36:Q46" si="66">Q35+1</f>
        <v>3</v>
      </c>
      <c r="U36">
        <f>U34+1</f>
        <v>26</v>
      </c>
      <c r="X36">
        <v>1</v>
      </c>
      <c r="Y36">
        <v>2</v>
      </c>
      <c r="Z36">
        <v>1</v>
      </c>
      <c r="AA36">
        <v>2</v>
      </c>
      <c r="AB36">
        <f t="shared" si="64"/>
        <v>1</v>
      </c>
      <c r="AC36">
        <f t="shared" si="65"/>
        <v>0</v>
      </c>
    </row>
    <row r="37" spans="1:29" x14ac:dyDescent="0.4">
      <c r="C37" t="s">
        <v>531</v>
      </c>
      <c r="D37" s="43" t="e" cm="1">
        <f t="array" ref="D37">INDEX(FLT_Prod_Info,$U37,$AB37*D$5+$AC37)</f>
        <v>#N/A</v>
      </c>
      <c r="E37" s="43" t="e" cm="1">
        <f t="array" ref="E37">INDEX(FLT_Prod_Info,$U37,$AB37*E$5+$AC37)</f>
        <v>#N/A</v>
      </c>
      <c r="F37" s="43" t="e" cm="1">
        <f t="array" ref="F37">INDEX(FLT_Prod_Info,$U37,$AB37*F$5+$AC37)</f>
        <v>#N/A</v>
      </c>
      <c r="G37" s="43" t="e" cm="1">
        <f t="array" ref="G37">INDEX(FLT_Prod_Info,$U37,$AB37*G$5+$AC37)</f>
        <v>#N/A</v>
      </c>
      <c r="H37" s="43" t="e" cm="1">
        <f t="array" ref="H37">INDEX(FLT_Prod_Info,$U37,$AB37*H$5+$AC37)</f>
        <v>#N/A</v>
      </c>
      <c r="I37" s="43" t="e" cm="1">
        <f t="array" ref="I37">INDEX(FLT_Prod_Info,$U37,$AB37*I$5+$AC37)</f>
        <v>#N/A</v>
      </c>
      <c r="J37" s="43" t="e" cm="1">
        <f t="array" ref="J37">INDEX(FLT_Prod_Info,$U37,$AB37*J$5+$AC37)</f>
        <v>#N/A</v>
      </c>
      <c r="K37" s="43" t="e" cm="1">
        <f t="array" ref="K37">INDEX(FLT_Prod_Info,$U37,$AB37*K$5+$AC37)</f>
        <v>#N/A</v>
      </c>
      <c r="L37" s="43" t="e" cm="1">
        <f t="array" ref="L37">INDEX(FLT_Prod_Info,$U37,$AB37*L$5+$AC37)</f>
        <v>#N/A</v>
      </c>
      <c r="M37" s="43" t="e" cm="1">
        <f t="array" ref="M37">INDEX(FLT_Prod_Info,$U37,$AB37*M$5+$AC37)</f>
        <v>#N/A</v>
      </c>
      <c r="N37" s="43" t="e" cm="1">
        <f t="array" ref="N37">INDEX(FLT_Prod_Info,$U37,$AB37*N$5+$AC37)</f>
        <v>#N/A</v>
      </c>
      <c r="O37" s="43" t="e" cm="1">
        <f t="array" ref="O37">INDEX(FLT_Prod_Info,$U37,$AB37*O$5+$AC37)</f>
        <v>#N/A</v>
      </c>
      <c r="Q37">
        <f t="shared" si="66"/>
        <v>4</v>
      </c>
      <c r="U37">
        <f>U36+5</f>
        <v>31</v>
      </c>
      <c r="X37">
        <v>1</v>
      </c>
      <c r="Y37">
        <v>2</v>
      </c>
      <c r="Z37">
        <v>1</v>
      </c>
      <c r="AA37">
        <v>2</v>
      </c>
      <c r="AB37">
        <f t="shared" si="64"/>
        <v>1</v>
      </c>
      <c r="AC37">
        <f t="shared" si="65"/>
        <v>0</v>
      </c>
    </row>
    <row r="38" spans="1:29" x14ac:dyDescent="0.4">
      <c r="C38" t="s">
        <v>546</v>
      </c>
      <c r="D38" s="43" cm="1">
        <f t="array" ref="D38">INDEX(FLT_Prod_Info,$U38,$AB38*D$5+$AC38)</f>
        <v>1</v>
      </c>
      <c r="E38" s="43" cm="1">
        <f t="array" ref="E38">INDEX(FLT_Prod_Info,$U38,$AB38*E$5+$AC38)</f>
        <v>1</v>
      </c>
      <c r="F38" s="43" cm="1">
        <f t="array" ref="F38">INDEX(FLT_Prod_Info,$U38,$AB38*F$5+$AC38)</f>
        <v>1</v>
      </c>
      <c r="G38" s="43" cm="1">
        <f t="array" ref="G38">INDEX(FLT_Prod_Info,$U38,$AB38*G$5+$AC38)</f>
        <v>1</v>
      </c>
      <c r="H38" s="43" cm="1">
        <f t="array" ref="H38">INDEX(FLT_Prod_Info,$U38,$AB38*H$5+$AC38)</f>
        <v>1</v>
      </c>
      <c r="I38" s="43" cm="1">
        <f t="array" ref="I38">INDEX(FLT_Prod_Info,$U38,$AB38*I$5+$AC38)</f>
        <v>1</v>
      </c>
      <c r="J38" s="43" cm="1">
        <f t="array" ref="J38">INDEX(FLT_Prod_Info,$U38,$AB38*J$5+$AC38)</f>
        <v>1</v>
      </c>
      <c r="K38" s="43" cm="1">
        <f t="array" ref="K38">INDEX(FLT_Prod_Info,$U38,$AB38*K$5+$AC38)</f>
        <v>1</v>
      </c>
      <c r="L38" s="43" cm="1">
        <f t="array" ref="L38">INDEX(FLT_Prod_Info,$U38,$AB38*L$5+$AC38)</f>
        <v>1</v>
      </c>
      <c r="M38" s="43" cm="1">
        <f t="array" ref="M38">INDEX(FLT_Prod_Info,$U38,$AB38*M$5+$AC38)</f>
        <v>1</v>
      </c>
      <c r="N38" s="43" cm="1">
        <f t="array" ref="N38">INDEX(FLT_Prod_Info,$U38,$AB38*N$5+$AC38)</f>
        <v>1</v>
      </c>
      <c r="O38" s="43" cm="1">
        <f t="array" ref="O38">INDEX(FLT_Prod_Info,$U38,$AB38*O$5+$AC38)</f>
        <v>1</v>
      </c>
      <c r="Q38">
        <f t="shared" si="66"/>
        <v>5</v>
      </c>
      <c r="U38">
        <f>U34+4</f>
        <v>29</v>
      </c>
      <c r="X38">
        <v>1</v>
      </c>
      <c r="Y38">
        <v>2</v>
      </c>
      <c r="Z38">
        <v>1</v>
      </c>
      <c r="AA38">
        <v>2</v>
      </c>
      <c r="AB38">
        <f t="shared" si="64"/>
        <v>1</v>
      </c>
      <c r="AC38">
        <f t="shared" si="65"/>
        <v>0</v>
      </c>
    </row>
    <row r="39" spans="1:29" x14ac:dyDescent="0.4">
      <c r="C39" t="s">
        <v>547</v>
      </c>
      <c r="D39" s="43" cm="1">
        <f t="array" ref="D39">INDEX(FLT_Prod_Info,$U39,$AB39*D$5+$AC39)</f>
        <v>0</v>
      </c>
      <c r="E39" s="43" cm="1">
        <f t="array" ref="E39">INDEX(FLT_Prod_Info,$U39,$AB39*E$5+$AC39)</f>
        <v>0</v>
      </c>
      <c r="F39" s="43" cm="1">
        <f t="array" ref="F39">INDEX(FLT_Prod_Info,$U39,$AB39*F$5+$AC39)</f>
        <v>0</v>
      </c>
      <c r="G39" s="43" cm="1">
        <f t="array" ref="G39">INDEX(FLT_Prod_Info,$U39,$AB39*G$5+$AC39)</f>
        <v>0</v>
      </c>
      <c r="H39" s="43" cm="1">
        <f t="array" ref="H39">INDEX(FLT_Prod_Info,$U39,$AB39*H$5+$AC39)</f>
        <v>0</v>
      </c>
      <c r="I39" s="43" cm="1">
        <f t="array" ref="I39">INDEX(FLT_Prod_Info,$U39,$AB39*I$5+$AC39)</f>
        <v>0</v>
      </c>
      <c r="J39" s="43" cm="1">
        <f t="array" ref="J39">INDEX(FLT_Prod_Info,$U39,$AB39*J$5+$AC39)</f>
        <v>0</v>
      </c>
      <c r="K39" s="43" cm="1">
        <f t="array" ref="K39">INDEX(FLT_Prod_Info,$U39,$AB39*K$5+$AC39)</f>
        <v>0</v>
      </c>
      <c r="L39" s="43" cm="1">
        <f t="array" ref="L39">INDEX(FLT_Prod_Info,$U39,$AB39*L$5+$AC39)</f>
        <v>0</v>
      </c>
      <c r="M39" s="43" cm="1">
        <f t="array" ref="M39">INDEX(FLT_Prod_Info,$U39,$AB39*M$5+$AC39)</f>
        <v>0</v>
      </c>
      <c r="N39" s="43" cm="1">
        <f t="array" ref="N39">INDEX(FLT_Prod_Info,$U39,$AB39*N$5+$AC39)</f>
        <v>0</v>
      </c>
      <c r="O39" s="43" cm="1">
        <f t="array" ref="O39">INDEX(FLT_Prod_Info,$U39,$AB39*O$5+$AC39)</f>
        <v>0</v>
      </c>
      <c r="Q39">
        <f t="shared" si="66"/>
        <v>6</v>
      </c>
      <c r="U39">
        <f>U35+4</f>
        <v>34</v>
      </c>
      <c r="X39">
        <v>1</v>
      </c>
      <c r="Y39">
        <v>2</v>
      </c>
      <c r="Z39">
        <v>1</v>
      </c>
      <c r="AA39">
        <v>2</v>
      </c>
      <c r="AB39">
        <f t="shared" si="64"/>
        <v>1</v>
      </c>
      <c r="AC39">
        <f t="shared" si="65"/>
        <v>0</v>
      </c>
    </row>
    <row r="40" spans="1:29" x14ac:dyDescent="0.4">
      <c r="C40" t="s">
        <v>532</v>
      </c>
      <c r="D40" s="43">
        <f t="shared" ref="D40:O41" si="67">IFERROR(VLOOKUP(D34,Phys_Prop,2,FALSE),0)</f>
        <v>162</v>
      </c>
      <c r="E40" s="43">
        <f t="shared" si="67"/>
        <v>162</v>
      </c>
      <c r="F40" s="43">
        <f t="shared" si="67"/>
        <v>162</v>
      </c>
      <c r="G40" s="43">
        <f t="shared" si="67"/>
        <v>162</v>
      </c>
      <c r="H40" s="43">
        <f t="shared" si="67"/>
        <v>162</v>
      </c>
      <c r="I40" s="43">
        <f t="shared" si="67"/>
        <v>162</v>
      </c>
      <c r="J40" s="43">
        <f t="shared" si="67"/>
        <v>162</v>
      </c>
      <c r="K40" s="43">
        <f t="shared" si="67"/>
        <v>162</v>
      </c>
      <c r="L40" s="43">
        <f t="shared" si="67"/>
        <v>162</v>
      </c>
      <c r="M40" s="43">
        <f t="shared" si="67"/>
        <v>162</v>
      </c>
      <c r="N40" s="43">
        <f t="shared" si="67"/>
        <v>162</v>
      </c>
      <c r="O40" s="43">
        <f t="shared" si="67"/>
        <v>162</v>
      </c>
      <c r="Q40">
        <f t="shared" si="66"/>
        <v>7</v>
      </c>
    </row>
    <row r="41" spans="1:29" x14ac:dyDescent="0.4">
      <c r="C41" t="s">
        <v>533</v>
      </c>
      <c r="D41" s="43">
        <f t="shared" si="67"/>
        <v>0</v>
      </c>
      <c r="E41" s="43">
        <f t="shared" si="67"/>
        <v>0</v>
      </c>
      <c r="F41" s="43">
        <f t="shared" si="67"/>
        <v>0</v>
      </c>
      <c r="G41" s="43">
        <f t="shared" si="67"/>
        <v>0</v>
      </c>
      <c r="H41" s="43">
        <f t="shared" si="67"/>
        <v>0</v>
      </c>
      <c r="I41" s="43">
        <f t="shared" si="67"/>
        <v>0</v>
      </c>
      <c r="J41" s="43">
        <f t="shared" si="67"/>
        <v>0</v>
      </c>
      <c r="K41" s="43">
        <f t="shared" si="67"/>
        <v>0</v>
      </c>
      <c r="L41" s="43">
        <f t="shared" si="67"/>
        <v>0</v>
      </c>
      <c r="M41" s="43">
        <f t="shared" si="67"/>
        <v>0</v>
      </c>
      <c r="N41" s="43">
        <f t="shared" si="67"/>
        <v>0</v>
      </c>
      <c r="O41" s="43">
        <f t="shared" si="67"/>
        <v>0</v>
      </c>
      <c r="Q41">
        <f t="shared" si="66"/>
        <v>8</v>
      </c>
    </row>
    <row r="42" spans="1:29" x14ac:dyDescent="0.4">
      <c r="C42" t="s">
        <v>544</v>
      </c>
      <c r="D42" s="43">
        <f>IFERROR(IFERROR(1/(D38/D40+D39/D41),D40/D38),1)</f>
        <v>162</v>
      </c>
      <c r="E42" s="43">
        <f t="shared" ref="E42" si="68">IFERROR(IFERROR(1/(E38/E40+E39/E41),E40/E38),1)</f>
        <v>162</v>
      </c>
      <c r="F42" s="43">
        <f t="shared" ref="F42" si="69">IFERROR(IFERROR(1/(F38/F40+F39/F41),F40/F38),1)</f>
        <v>162</v>
      </c>
      <c r="G42" s="43">
        <f t="shared" ref="G42" si="70">IFERROR(IFERROR(1/(G38/G40+G39/G41),G40/G38),1)</f>
        <v>162</v>
      </c>
      <c r="H42" s="43">
        <f t="shared" ref="H42" si="71">IFERROR(IFERROR(1/(H38/H40+H39/H41),H40/H38),1)</f>
        <v>162</v>
      </c>
      <c r="I42" s="43">
        <f t="shared" ref="I42" si="72">IFERROR(IFERROR(1/(I38/I40+I39/I41),I40/I38),1)</f>
        <v>162</v>
      </c>
      <c r="J42" s="43">
        <f t="shared" ref="J42" si="73">IFERROR(IFERROR(1/(J38/J40+J39/J41),J40/J38),1)</f>
        <v>162</v>
      </c>
      <c r="K42" s="43">
        <f t="shared" ref="K42" si="74">IFERROR(IFERROR(1/(K38/K40+K39/K41),K40/K38),1)</f>
        <v>162</v>
      </c>
      <c r="L42" s="43">
        <f t="shared" ref="L42" si="75">IFERROR(IFERROR(1/(L38/L40+L39/L41),L40/L38),1)</f>
        <v>162</v>
      </c>
      <c r="M42" s="43">
        <f t="shared" ref="M42" si="76">IFERROR(IFERROR(1/(M38/M40+M39/M41),M40/M38),1)</f>
        <v>162</v>
      </c>
      <c r="N42" s="43">
        <f t="shared" ref="N42" si="77">IFERROR(IFERROR(1/(N38/N40+N39/N41),N40/N38),1)</f>
        <v>162</v>
      </c>
      <c r="O42" s="43">
        <f t="shared" ref="O42" si="78">IFERROR(IFERROR(1/(O38/O40+O39/O41),O40/O38),1)</f>
        <v>162</v>
      </c>
      <c r="Q42">
        <f t="shared" si="66"/>
        <v>9</v>
      </c>
    </row>
    <row r="43" spans="1:29" x14ac:dyDescent="0.4">
      <c r="C43" t="s">
        <v>539</v>
      </c>
      <c r="D43" s="43">
        <f>IFERROR((D38/D40)*D42,1)</f>
        <v>1</v>
      </c>
      <c r="E43" s="43">
        <f t="shared" ref="E43" si="79">IFERROR((E38/E40)*E42,1)</f>
        <v>1</v>
      </c>
      <c r="F43" s="43">
        <f t="shared" ref="F43" si="80">IFERROR((F38/F40)*F42,1)</f>
        <v>1</v>
      </c>
      <c r="G43" s="43">
        <f t="shared" ref="G43" si="81">IFERROR((G38/G40)*G42,1)</f>
        <v>1</v>
      </c>
      <c r="H43" s="43">
        <f t="shared" ref="H43" si="82">IFERROR((H38/H40)*H42,1)</f>
        <v>1</v>
      </c>
      <c r="I43" s="43">
        <f t="shared" ref="I43" si="83">IFERROR((I38/I40)*I42,1)</f>
        <v>1</v>
      </c>
      <c r="J43" s="43">
        <f t="shared" ref="J43" si="84">IFERROR((J38/J40)*J42,1)</f>
        <v>1</v>
      </c>
      <c r="K43" s="43">
        <f t="shared" ref="K43" si="85">IFERROR((K38/K40)*K42,1)</f>
        <v>1</v>
      </c>
      <c r="L43" s="43">
        <f t="shared" ref="L43" si="86">IFERROR((L38/L40)*L42,1)</f>
        <v>1</v>
      </c>
      <c r="M43" s="43">
        <f t="shared" ref="M43" si="87">IFERROR((M38/M40)*M42,1)</f>
        <v>1</v>
      </c>
      <c r="N43" s="43">
        <f t="shared" ref="N43" si="88">IFERROR((N38/N40)*N42,1)</f>
        <v>1</v>
      </c>
      <c r="O43" s="43">
        <f t="shared" ref="O43" si="89">IFERROR((O38/O40)*O42,1)</f>
        <v>1</v>
      </c>
      <c r="Q43">
        <f t="shared" si="66"/>
        <v>10</v>
      </c>
    </row>
    <row r="44" spans="1:29" x14ac:dyDescent="0.4">
      <c r="C44" t="s">
        <v>540</v>
      </c>
      <c r="D44" s="43">
        <f>IFERROR(D39/D41*D42,0)</f>
        <v>0</v>
      </c>
      <c r="E44" s="43">
        <f t="shared" ref="E44:O44" si="90">IFERROR(E39/E41*E42,0)</f>
        <v>0</v>
      </c>
      <c r="F44" s="43">
        <f t="shared" si="90"/>
        <v>0</v>
      </c>
      <c r="G44" s="43">
        <f t="shared" si="90"/>
        <v>0</v>
      </c>
      <c r="H44" s="43">
        <f t="shared" si="90"/>
        <v>0</v>
      </c>
      <c r="I44" s="43">
        <f t="shared" si="90"/>
        <v>0</v>
      </c>
      <c r="J44" s="43">
        <f t="shared" si="90"/>
        <v>0</v>
      </c>
      <c r="K44" s="43">
        <f t="shared" si="90"/>
        <v>0</v>
      </c>
      <c r="L44" s="43">
        <f t="shared" si="90"/>
        <v>0</v>
      </c>
      <c r="M44" s="43">
        <f t="shared" si="90"/>
        <v>0</v>
      </c>
      <c r="N44" s="43">
        <f t="shared" si="90"/>
        <v>0</v>
      </c>
      <c r="O44" s="43">
        <f t="shared" si="90"/>
        <v>0</v>
      </c>
      <c r="Q44">
        <f t="shared" si="66"/>
        <v>11</v>
      </c>
    </row>
    <row r="45" spans="1:29" x14ac:dyDescent="0.4">
      <c r="C45" s="21" t="s">
        <v>534</v>
      </c>
      <c r="D45" s="43">
        <f t="shared" ref="D45:O46" si="91">IFERROR(VLOOKUP(D34,Phys_Prop,4,FALSE),0)</f>
        <v>7</v>
      </c>
      <c r="E45" s="43">
        <f t="shared" si="91"/>
        <v>7</v>
      </c>
      <c r="F45" s="43">
        <f t="shared" si="91"/>
        <v>7</v>
      </c>
      <c r="G45" s="43">
        <f t="shared" si="91"/>
        <v>7</v>
      </c>
      <c r="H45" s="43">
        <f t="shared" si="91"/>
        <v>7</v>
      </c>
      <c r="I45" s="43">
        <f t="shared" si="91"/>
        <v>7</v>
      </c>
      <c r="J45" s="43">
        <f t="shared" si="91"/>
        <v>7</v>
      </c>
      <c r="K45" s="43">
        <f t="shared" si="91"/>
        <v>7</v>
      </c>
      <c r="L45" s="43">
        <f t="shared" si="91"/>
        <v>7</v>
      </c>
      <c r="M45" s="43">
        <f t="shared" si="91"/>
        <v>7</v>
      </c>
      <c r="N45" s="43">
        <f t="shared" si="91"/>
        <v>7</v>
      </c>
      <c r="O45" s="43">
        <f t="shared" si="91"/>
        <v>7</v>
      </c>
      <c r="Q45">
        <f t="shared" si="66"/>
        <v>12</v>
      </c>
    </row>
    <row r="46" spans="1:29" x14ac:dyDescent="0.4">
      <c r="C46" s="21" t="s">
        <v>535</v>
      </c>
      <c r="D46" s="43">
        <f t="shared" si="91"/>
        <v>0</v>
      </c>
      <c r="E46" s="43">
        <f t="shared" si="91"/>
        <v>0</v>
      </c>
      <c r="F46" s="43">
        <f t="shared" si="91"/>
        <v>0</v>
      </c>
      <c r="G46" s="43">
        <f t="shared" si="91"/>
        <v>0</v>
      </c>
      <c r="H46" s="43">
        <f t="shared" si="91"/>
        <v>0</v>
      </c>
      <c r="I46" s="43">
        <f t="shared" si="91"/>
        <v>0</v>
      </c>
      <c r="J46" s="43">
        <f t="shared" si="91"/>
        <v>0</v>
      </c>
      <c r="K46" s="43">
        <f t="shared" si="91"/>
        <v>0</v>
      </c>
      <c r="L46" s="43">
        <f t="shared" si="91"/>
        <v>0</v>
      </c>
      <c r="M46" s="43">
        <f t="shared" si="91"/>
        <v>0</v>
      </c>
      <c r="N46" s="43">
        <f t="shared" si="91"/>
        <v>0</v>
      </c>
      <c r="O46" s="43">
        <f t="shared" si="91"/>
        <v>0</v>
      </c>
      <c r="Q46">
        <f t="shared" si="66"/>
        <v>13</v>
      </c>
    </row>
    <row r="47" spans="1:29" x14ac:dyDescent="0.4">
      <c r="A47" s="11"/>
      <c r="B47" s="11"/>
      <c r="C47" s="62" t="s">
        <v>536</v>
      </c>
      <c r="D47" s="208">
        <f>IF(IFERROR(IFERROR(1/(D43/D45+D44/D46),D45),0)="N/A",0,IFERROR(IFERROR(1/(D43/D45+D44/D46),D45),0))</f>
        <v>7</v>
      </c>
      <c r="E47" s="208">
        <f t="shared" ref="E47:O47" si="92">IF(IFERROR(IFERROR(1/(E43/E45+E44/E46),E45),0)="N/A",0,IFERROR(IFERROR(1/(E43/E45+E44/E46),E45),0))</f>
        <v>7</v>
      </c>
      <c r="F47" s="208">
        <f t="shared" si="92"/>
        <v>7</v>
      </c>
      <c r="G47" s="208">
        <f t="shared" si="92"/>
        <v>7</v>
      </c>
      <c r="H47" s="208">
        <f t="shared" si="92"/>
        <v>7</v>
      </c>
      <c r="I47" s="208">
        <f t="shared" si="92"/>
        <v>7</v>
      </c>
      <c r="J47" s="208">
        <f t="shared" si="92"/>
        <v>7</v>
      </c>
      <c r="K47" s="208">
        <f t="shared" si="92"/>
        <v>7</v>
      </c>
      <c r="L47" s="208">
        <f t="shared" si="92"/>
        <v>7</v>
      </c>
      <c r="M47" s="208">
        <f t="shared" si="92"/>
        <v>7</v>
      </c>
      <c r="N47" s="208">
        <f t="shared" si="92"/>
        <v>7</v>
      </c>
      <c r="O47" s="208">
        <f t="shared" si="92"/>
        <v>7</v>
      </c>
      <c r="P47" s="11"/>
      <c r="Q47" s="11">
        <f>Q46+1</f>
        <v>14</v>
      </c>
      <c r="R47" s="11"/>
      <c r="S47" s="11"/>
      <c r="T47" s="11"/>
      <c r="U47" s="11"/>
      <c r="V47" s="11"/>
      <c r="W47" s="11"/>
      <c r="X47" s="11"/>
      <c r="Y47" s="11"/>
      <c r="Z47" s="11"/>
      <c r="AA47" s="11"/>
      <c r="AB47" s="11"/>
      <c r="AC47" s="11"/>
    </row>
    <row r="48" spans="1:29" x14ac:dyDescent="0.4">
      <c r="A48" t="str" cm="1">
        <f t="array" ref="A48">INDEX(FLT_Cons,$R48,$T48)</f>
        <v>FLT - 4</v>
      </c>
      <c r="B48" t="str" cm="1">
        <f t="array" ref="B48">INDEX(FLT_Cons,$R48,$T49)</f>
        <v>Portland</v>
      </c>
      <c r="C48" t="s">
        <v>528</v>
      </c>
      <c r="D48" s="43" t="str" cm="1">
        <f t="array" ref="D48">INDEX(FLT_Prod_Info,$U48,$AB48*D$5+$AC48)</f>
        <v>Bakken Crude</v>
      </c>
      <c r="E48" s="43" t="str" cm="1">
        <f t="array" ref="E48">INDEX(FLT_Prod_Info,$U48,$AB48*E$5+$AC48)</f>
        <v>Bakken Crude</v>
      </c>
      <c r="F48" s="43" t="str" cm="1">
        <f t="array" ref="F48">INDEX(FLT_Prod_Info,$U48,$AB48*F$5+$AC48)</f>
        <v>Bakken Crude</v>
      </c>
      <c r="G48" s="43" t="str" cm="1">
        <f t="array" ref="G48">INDEX(FLT_Prod_Info,$U48,$AB48*G$5+$AC48)</f>
        <v>Bakken Crude</v>
      </c>
      <c r="H48" s="43" t="str" cm="1">
        <f t="array" ref="H48">INDEX(FLT_Prod_Info,$U48,$AB48*H$5+$AC48)</f>
        <v>Bakken Crude</v>
      </c>
      <c r="I48" s="43" t="str" cm="1">
        <f t="array" ref="I48">INDEX(FLT_Prod_Info,$U48,$AB48*I$5+$AC48)</f>
        <v>Bakken Crude</v>
      </c>
      <c r="J48" s="43" t="str" cm="1">
        <f t="array" ref="J48">INDEX(FLT_Prod_Info,$U48,$AB48*J$5+$AC48)</f>
        <v>Bakken Crude</v>
      </c>
      <c r="K48" s="43" t="str" cm="1">
        <f t="array" ref="K48">INDEX(FLT_Prod_Info,$U48,$AB48*K$5+$AC48)</f>
        <v>Bakken Crude</v>
      </c>
      <c r="L48" s="43" t="str" cm="1">
        <f t="array" ref="L48">INDEX(FLT_Prod_Info,$U48,$AB48*L$5+$AC48)</f>
        <v>Bakken Crude</v>
      </c>
      <c r="M48" s="43" t="str" cm="1">
        <f t="array" ref="M48">INDEX(FLT_Prod_Info,$U48,$AB48*M$5+$AC48)</f>
        <v>Bakken Crude</v>
      </c>
      <c r="N48" s="43" t="str" cm="1">
        <f t="array" ref="N48">INDEX(FLT_Prod_Info,$U48,$AB48*N$5+$AC48)</f>
        <v>Bakken Crude</v>
      </c>
      <c r="O48" s="43" t="str" cm="1">
        <f t="array" ref="O48">INDEX(FLT_Prod_Info,$U48,$AB48*O$5+$AC48)</f>
        <v>Bakken Crude</v>
      </c>
      <c r="Q48">
        <v>1</v>
      </c>
      <c r="R48">
        <f>R34+1</f>
        <v>4</v>
      </c>
      <c r="S48" t="s">
        <v>237</v>
      </c>
      <c r="T48">
        <v>1</v>
      </c>
      <c r="U48">
        <f>U34+12</f>
        <v>37</v>
      </c>
      <c r="V48">
        <v>1</v>
      </c>
      <c r="W48">
        <v>3</v>
      </c>
      <c r="X48">
        <v>1</v>
      </c>
      <c r="Y48">
        <v>2</v>
      </c>
      <c r="Z48">
        <v>1</v>
      </c>
      <c r="AA48">
        <v>2</v>
      </c>
      <c r="AB48">
        <f t="shared" ref="AB48:AB53" si="93">(Y48-X48)/(AA48-Z48)</f>
        <v>1</v>
      </c>
      <c r="AC48">
        <f t="shared" ref="AC48:AC53" si="94">X48-AB48*Z48</f>
        <v>0</v>
      </c>
    </row>
    <row r="49" spans="1:29" x14ac:dyDescent="0.4">
      <c r="C49" t="s">
        <v>529</v>
      </c>
      <c r="D49" s="43" t="str" cm="1">
        <f t="array" ref="D49">INDEX(FLT_Prod_Info,$U49,$AB49*D$5+$AC49)</f>
        <v/>
      </c>
      <c r="E49" s="43" t="str" cm="1">
        <f t="array" ref="E49">INDEX(FLT_Prod_Info,$U49,$AB49*E$5+$AC49)</f>
        <v/>
      </c>
      <c r="F49" s="43" t="str" cm="1">
        <f t="array" ref="F49">INDEX(FLT_Prod_Info,$U49,$AB49*F$5+$AC49)</f>
        <v/>
      </c>
      <c r="G49" s="43" t="str" cm="1">
        <f t="array" ref="G49">INDEX(FLT_Prod_Info,$U49,$AB49*G$5+$AC49)</f>
        <v/>
      </c>
      <c r="H49" s="43" t="str" cm="1">
        <f t="array" ref="H49">INDEX(FLT_Prod_Info,$U49,$AB49*H$5+$AC49)</f>
        <v/>
      </c>
      <c r="I49" s="43" t="str" cm="1">
        <f t="array" ref="I49">INDEX(FLT_Prod_Info,$U49,$AB49*I$5+$AC49)</f>
        <v/>
      </c>
      <c r="J49" s="43" t="str" cm="1">
        <f t="array" ref="J49">INDEX(FLT_Prod_Info,$U49,$AB49*J$5+$AC49)</f>
        <v/>
      </c>
      <c r="K49" s="43" t="str" cm="1">
        <f t="array" ref="K49">INDEX(FLT_Prod_Info,$U49,$AB49*K$5+$AC49)</f>
        <v/>
      </c>
      <c r="L49" s="43" t="str" cm="1">
        <f t="array" ref="L49">INDEX(FLT_Prod_Info,$U49,$AB49*L$5+$AC49)</f>
        <v/>
      </c>
      <c r="M49" s="43" t="str" cm="1">
        <f t="array" ref="M49">INDEX(FLT_Prod_Info,$U49,$AB49*M$5+$AC49)</f>
        <v/>
      </c>
      <c r="N49" s="43" t="str" cm="1">
        <f t="array" ref="N49">INDEX(FLT_Prod_Info,$U49,$AB49*N$5+$AC49)</f>
        <v/>
      </c>
      <c r="O49" s="43" t="str" cm="1">
        <f t="array" ref="O49">INDEX(FLT_Prod_Info,$U49,$AB49*O$5+$AC49)</f>
        <v/>
      </c>
      <c r="Q49">
        <f>Q48+1</f>
        <v>2</v>
      </c>
      <c r="S49" t="s">
        <v>549</v>
      </c>
      <c r="T49">
        <v>3</v>
      </c>
      <c r="U49">
        <f>U48+5</f>
        <v>42</v>
      </c>
      <c r="X49">
        <v>1</v>
      </c>
      <c r="Y49">
        <v>2</v>
      </c>
      <c r="Z49">
        <v>1</v>
      </c>
      <c r="AA49">
        <v>2</v>
      </c>
      <c r="AB49">
        <f t="shared" si="93"/>
        <v>1</v>
      </c>
      <c r="AC49">
        <f t="shared" si="94"/>
        <v>0</v>
      </c>
    </row>
    <row r="50" spans="1:29" x14ac:dyDescent="0.4">
      <c r="C50" t="s">
        <v>530</v>
      </c>
      <c r="D50" s="43" t="str" cm="1">
        <f t="array" ref="D50">INDEX(FLT_Prod_Info,$U50,$AB50*D$5+$AC50)</f>
        <v>Crude Oil</v>
      </c>
      <c r="E50" s="43" t="str" cm="1">
        <f t="array" ref="E50">INDEX(FLT_Prod_Info,$U50,$AB50*E$5+$AC50)</f>
        <v>Crude Oil</v>
      </c>
      <c r="F50" s="43" t="str" cm="1">
        <f t="array" ref="F50">INDEX(FLT_Prod_Info,$U50,$AB50*F$5+$AC50)</f>
        <v>Crude Oil</v>
      </c>
      <c r="G50" s="43" t="str" cm="1">
        <f t="array" ref="G50">INDEX(FLT_Prod_Info,$U50,$AB50*G$5+$AC50)</f>
        <v>Crude Oil</v>
      </c>
      <c r="H50" s="43" t="str" cm="1">
        <f t="array" ref="H50">INDEX(FLT_Prod_Info,$U50,$AB50*H$5+$AC50)</f>
        <v>Crude Oil</v>
      </c>
      <c r="I50" s="43" t="str" cm="1">
        <f t="array" ref="I50">INDEX(FLT_Prod_Info,$U50,$AB50*I$5+$AC50)</f>
        <v>Crude Oil</v>
      </c>
      <c r="J50" s="43" t="str" cm="1">
        <f t="array" ref="J50">INDEX(FLT_Prod_Info,$U50,$AB50*J$5+$AC50)</f>
        <v>Crude Oil</v>
      </c>
      <c r="K50" s="43" t="str" cm="1">
        <f t="array" ref="K50">INDEX(FLT_Prod_Info,$U50,$AB50*K$5+$AC50)</f>
        <v>Crude Oil</v>
      </c>
      <c r="L50" s="43" t="str" cm="1">
        <f t="array" ref="L50">INDEX(FLT_Prod_Info,$U50,$AB50*L$5+$AC50)</f>
        <v>Crude Oil</v>
      </c>
      <c r="M50" s="43" t="str" cm="1">
        <f t="array" ref="M50">INDEX(FLT_Prod_Info,$U50,$AB50*M$5+$AC50)</f>
        <v>Crude Oil</v>
      </c>
      <c r="N50" s="43" t="str" cm="1">
        <f t="array" ref="N50">INDEX(FLT_Prod_Info,$U50,$AB50*N$5+$AC50)</f>
        <v>Crude Oil</v>
      </c>
      <c r="O50" s="43" t="str" cm="1">
        <f t="array" ref="O50">INDEX(FLT_Prod_Info,$U50,$AB50*O$5+$AC50)</f>
        <v>Crude Oil</v>
      </c>
      <c r="Q50">
        <f t="shared" ref="Q50:Q60" si="95">Q49+1</f>
        <v>3</v>
      </c>
      <c r="U50">
        <f>U48+1</f>
        <v>38</v>
      </c>
      <c r="X50">
        <v>1</v>
      </c>
      <c r="Y50">
        <v>2</v>
      </c>
      <c r="Z50">
        <v>1</v>
      </c>
      <c r="AA50">
        <v>2</v>
      </c>
      <c r="AB50">
        <f t="shared" si="93"/>
        <v>1</v>
      </c>
      <c r="AC50">
        <f t="shared" si="94"/>
        <v>0</v>
      </c>
    </row>
    <row r="51" spans="1:29" x14ac:dyDescent="0.4">
      <c r="C51" t="s">
        <v>531</v>
      </c>
      <c r="D51" s="43" t="e" cm="1">
        <f t="array" ref="D51">INDEX(FLT_Prod_Info,$U51,$AB51*D$5+$AC51)</f>
        <v>#N/A</v>
      </c>
      <c r="E51" s="43" t="e" cm="1">
        <f t="array" ref="E51">INDEX(FLT_Prod_Info,$U51,$AB51*E$5+$AC51)</f>
        <v>#N/A</v>
      </c>
      <c r="F51" s="43" t="e" cm="1">
        <f t="array" ref="F51">INDEX(FLT_Prod_Info,$U51,$AB51*F$5+$AC51)</f>
        <v>#N/A</v>
      </c>
      <c r="G51" s="43" t="e" cm="1">
        <f t="array" ref="G51">INDEX(FLT_Prod_Info,$U51,$AB51*G$5+$AC51)</f>
        <v>#N/A</v>
      </c>
      <c r="H51" s="43" t="e" cm="1">
        <f t="array" ref="H51">INDEX(FLT_Prod_Info,$U51,$AB51*H$5+$AC51)</f>
        <v>#N/A</v>
      </c>
      <c r="I51" s="43" t="e" cm="1">
        <f t="array" ref="I51">INDEX(FLT_Prod_Info,$U51,$AB51*I$5+$AC51)</f>
        <v>#N/A</v>
      </c>
      <c r="J51" s="43" t="e" cm="1">
        <f t="array" ref="J51">INDEX(FLT_Prod_Info,$U51,$AB51*J$5+$AC51)</f>
        <v>#N/A</v>
      </c>
      <c r="K51" s="43" t="e" cm="1">
        <f t="array" ref="K51">INDEX(FLT_Prod_Info,$U51,$AB51*K$5+$AC51)</f>
        <v>#N/A</v>
      </c>
      <c r="L51" s="43" t="e" cm="1">
        <f t="array" ref="L51">INDEX(FLT_Prod_Info,$U51,$AB51*L$5+$AC51)</f>
        <v>#N/A</v>
      </c>
      <c r="M51" s="43" t="e" cm="1">
        <f t="array" ref="M51">INDEX(FLT_Prod_Info,$U51,$AB51*M$5+$AC51)</f>
        <v>#N/A</v>
      </c>
      <c r="N51" s="43" t="e" cm="1">
        <f t="array" ref="N51">INDEX(FLT_Prod_Info,$U51,$AB51*N$5+$AC51)</f>
        <v>#N/A</v>
      </c>
      <c r="O51" s="43" t="e" cm="1">
        <f t="array" ref="O51">INDEX(FLT_Prod_Info,$U51,$AB51*O$5+$AC51)</f>
        <v>#N/A</v>
      </c>
      <c r="Q51">
        <f t="shared" si="95"/>
        <v>4</v>
      </c>
      <c r="U51">
        <f>U50+5</f>
        <v>43</v>
      </c>
      <c r="X51">
        <v>1</v>
      </c>
      <c r="Y51">
        <v>2</v>
      </c>
      <c r="Z51">
        <v>1</v>
      </c>
      <c r="AA51">
        <v>2</v>
      </c>
      <c r="AB51">
        <f t="shared" si="93"/>
        <v>1</v>
      </c>
      <c r="AC51">
        <f t="shared" si="94"/>
        <v>0</v>
      </c>
    </row>
    <row r="52" spans="1:29" x14ac:dyDescent="0.4">
      <c r="C52" t="s">
        <v>546</v>
      </c>
      <c r="D52" s="43" cm="1">
        <f t="array" ref="D52">INDEX(FLT_Prod_Info,$U52,$AB52*D$5+$AC52)</f>
        <v>1</v>
      </c>
      <c r="E52" s="43" cm="1">
        <f t="array" ref="E52">INDEX(FLT_Prod_Info,$U52,$AB52*E$5+$AC52)</f>
        <v>1</v>
      </c>
      <c r="F52" s="43" cm="1">
        <f t="array" ref="F52">INDEX(FLT_Prod_Info,$U52,$AB52*F$5+$AC52)</f>
        <v>1</v>
      </c>
      <c r="G52" s="43" cm="1">
        <f t="array" ref="G52">INDEX(FLT_Prod_Info,$U52,$AB52*G$5+$AC52)</f>
        <v>1</v>
      </c>
      <c r="H52" s="43" cm="1">
        <f t="array" ref="H52">INDEX(FLT_Prod_Info,$U52,$AB52*H$5+$AC52)</f>
        <v>1</v>
      </c>
      <c r="I52" s="43" cm="1">
        <f t="array" ref="I52">INDEX(FLT_Prod_Info,$U52,$AB52*I$5+$AC52)</f>
        <v>1</v>
      </c>
      <c r="J52" s="43" cm="1">
        <f t="array" ref="J52">INDEX(FLT_Prod_Info,$U52,$AB52*J$5+$AC52)</f>
        <v>1</v>
      </c>
      <c r="K52" s="43" cm="1">
        <f t="array" ref="K52">INDEX(FLT_Prod_Info,$U52,$AB52*K$5+$AC52)</f>
        <v>1</v>
      </c>
      <c r="L52" s="43" cm="1">
        <f t="array" ref="L52">INDEX(FLT_Prod_Info,$U52,$AB52*L$5+$AC52)</f>
        <v>1</v>
      </c>
      <c r="M52" s="43" cm="1">
        <f t="array" ref="M52">INDEX(FLT_Prod_Info,$U52,$AB52*M$5+$AC52)</f>
        <v>1</v>
      </c>
      <c r="N52" s="43" cm="1">
        <f t="array" ref="N52">INDEX(FLT_Prod_Info,$U52,$AB52*N$5+$AC52)</f>
        <v>1</v>
      </c>
      <c r="O52" s="43" cm="1">
        <f t="array" ref="O52">INDEX(FLT_Prod_Info,$U52,$AB52*O$5+$AC52)</f>
        <v>1</v>
      </c>
      <c r="Q52">
        <f t="shared" si="95"/>
        <v>5</v>
      </c>
      <c r="U52">
        <f>U48+4</f>
        <v>41</v>
      </c>
      <c r="X52">
        <v>1</v>
      </c>
      <c r="Y52">
        <v>2</v>
      </c>
      <c r="Z52">
        <v>1</v>
      </c>
      <c r="AA52">
        <v>2</v>
      </c>
      <c r="AB52">
        <f t="shared" si="93"/>
        <v>1</v>
      </c>
      <c r="AC52">
        <f t="shared" si="94"/>
        <v>0</v>
      </c>
    </row>
    <row r="53" spans="1:29" x14ac:dyDescent="0.4">
      <c r="C53" t="s">
        <v>547</v>
      </c>
      <c r="D53" s="43" cm="1">
        <f t="array" ref="D53">INDEX(FLT_Prod_Info,$U53,$AB53*D$5+$AC53)</f>
        <v>0</v>
      </c>
      <c r="E53" s="43" cm="1">
        <f t="array" ref="E53">INDEX(FLT_Prod_Info,$U53,$AB53*E$5+$AC53)</f>
        <v>0</v>
      </c>
      <c r="F53" s="43" cm="1">
        <f t="array" ref="F53">INDEX(FLT_Prod_Info,$U53,$AB53*F$5+$AC53)</f>
        <v>0</v>
      </c>
      <c r="G53" s="43" cm="1">
        <f t="array" ref="G53">INDEX(FLT_Prod_Info,$U53,$AB53*G$5+$AC53)</f>
        <v>0</v>
      </c>
      <c r="H53" s="43" cm="1">
        <f t="array" ref="H53">INDEX(FLT_Prod_Info,$U53,$AB53*H$5+$AC53)</f>
        <v>0</v>
      </c>
      <c r="I53" s="43" cm="1">
        <f t="array" ref="I53">INDEX(FLT_Prod_Info,$U53,$AB53*I$5+$AC53)</f>
        <v>0</v>
      </c>
      <c r="J53" s="43" cm="1">
        <f t="array" ref="J53">INDEX(FLT_Prod_Info,$U53,$AB53*J$5+$AC53)</f>
        <v>0</v>
      </c>
      <c r="K53" s="43" cm="1">
        <f t="array" ref="K53">INDEX(FLT_Prod_Info,$U53,$AB53*K$5+$AC53)</f>
        <v>0</v>
      </c>
      <c r="L53" s="43" cm="1">
        <f t="array" ref="L53">INDEX(FLT_Prod_Info,$U53,$AB53*L$5+$AC53)</f>
        <v>0</v>
      </c>
      <c r="M53" s="43" cm="1">
        <f t="array" ref="M53">INDEX(FLT_Prod_Info,$U53,$AB53*M$5+$AC53)</f>
        <v>0</v>
      </c>
      <c r="N53" s="43" cm="1">
        <f t="array" ref="N53">INDEX(FLT_Prod_Info,$U53,$AB53*N$5+$AC53)</f>
        <v>0</v>
      </c>
      <c r="O53" s="43" cm="1">
        <f t="array" ref="O53">INDEX(FLT_Prod_Info,$U53,$AB53*O$5+$AC53)</f>
        <v>0</v>
      </c>
      <c r="Q53">
        <f t="shared" si="95"/>
        <v>6</v>
      </c>
      <c r="U53">
        <f>U49+4</f>
        <v>46</v>
      </c>
      <c r="X53">
        <v>1</v>
      </c>
      <c r="Y53">
        <v>2</v>
      </c>
      <c r="Z53">
        <v>1</v>
      </c>
      <c r="AA53">
        <v>2</v>
      </c>
      <c r="AB53">
        <f t="shared" si="93"/>
        <v>1</v>
      </c>
      <c r="AC53">
        <f t="shared" si="94"/>
        <v>0</v>
      </c>
    </row>
    <row r="54" spans="1:29" x14ac:dyDescent="0.4">
      <c r="C54" t="s">
        <v>532</v>
      </c>
      <c r="D54" s="43">
        <f t="shared" ref="D54:O55" si="96">IFERROR(VLOOKUP(D48,Phys_Prop,2,FALSE),0)</f>
        <v>127.98873179194693</v>
      </c>
      <c r="E54" s="43">
        <f t="shared" si="96"/>
        <v>127.98873179194693</v>
      </c>
      <c r="F54" s="43">
        <f t="shared" si="96"/>
        <v>127.98873179194693</v>
      </c>
      <c r="G54" s="43">
        <f t="shared" si="96"/>
        <v>127.98873179194693</v>
      </c>
      <c r="H54" s="43">
        <f t="shared" si="96"/>
        <v>127.98873179194693</v>
      </c>
      <c r="I54" s="43">
        <f t="shared" si="96"/>
        <v>127.98873179194693</v>
      </c>
      <c r="J54" s="43">
        <f t="shared" si="96"/>
        <v>127.98873179194693</v>
      </c>
      <c r="K54" s="43">
        <f t="shared" si="96"/>
        <v>127.98873179194693</v>
      </c>
      <c r="L54" s="43">
        <f t="shared" si="96"/>
        <v>127.98873179194693</v>
      </c>
      <c r="M54" s="43">
        <f t="shared" si="96"/>
        <v>127.98873179194693</v>
      </c>
      <c r="N54" s="43">
        <f t="shared" si="96"/>
        <v>127.98873179194693</v>
      </c>
      <c r="O54" s="43">
        <f t="shared" si="96"/>
        <v>127.98873179194693</v>
      </c>
      <c r="Q54">
        <f t="shared" si="95"/>
        <v>7</v>
      </c>
    </row>
    <row r="55" spans="1:29" x14ac:dyDescent="0.4">
      <c r="C55" t="s">
        <v>533</v>
      </c>
      <c r="D55" s="43">
        <f t="shared" si="96"/>
        <v>0</v>
      </c>
      <c r="E55" s="43">
        <f t="shared" si="96"/>
        <v>0</v>
      </c>
      <c r="F55" s="43">
        <f t="shared" si="96"/>
        <v>0</v>
      </c>
      <c r="G55" s="43">
        <f t="shared" si="96"/>
        <v>0</v>
      </c>
      <c r="H55" s="43">
        <f t="shared" si="96"/>
        <v>0</v>
      </c>
      <c r="I55" s="43">
        <f t="shared" si="96"/>
        <v>0</v>
      </c>
      <c r="J55" s="43">
        <f t="shared" si="96"/>
        <v>0</v>
      </c>
      <c r="K55" s="43">
        <f t="shared" si="96"/>
        <v>0</v>
      </c>
      <c r="L55" s="43">
        <f t="shared" si="96"/>
        <v>0</v>
      </c>
      <c r="M55" s="43">
        <f t="shared" si="96"/>
        <v>0</v>
      </c>
      <c r="N55" s="43">
        <f t="shared" si="96"/>
        <v>0</v>
      </c>
      <c r="O55" s="43">
        <f t="shared" si="96"/>
        <v>0</v>
      </c>
      <c r="Q55">
        <f t="shared" si="95"/>
        <v>8</v>
      </c>
    </row>
    <row r="56" spans="1:29" x14ac:dyDescent="0.4">
      <c r="C56" t="s">
        <v>544</v>
      </c>
      <c r="D56" s="43">
        <f>IFERROR(IFERROR(1/(D52/D54+D53/D55),D54/D52),1)</f>
        <v>127.98873179194693</v>
      </c>
      <c r="E56" s="43">
        <f t="shared" ref="E56" si="97">IFERROR(IFERROR(1/(E52/E54+E53/E55),E54/E52),1)</f>
        <v>127.98873179194693</v>
      </c>
      <c r="F56" s="43">
        <f t="shared" ref="F56" si="98">IFERROR(IFERROR(1/(F52/F54+F53/F55),F54/F52),1)</f>
        <v>127.98873179194693</v>
      </c>
      <c r="G56" s="43">
        <f t="shared" ref="G56" si="99">IFERROR(IFERROR(1/(G52/G54+G53/G55),G54/G52),1)</f>
        <v>127.98873179194693</v>
      </c>
      <c r="H56" s="43">
        <f t="shared" ref="H56" si="100">IFERROR(IFERROR(1/(H52/H54+H53/H55),H54/H52),1)</f>
        <v>127.98873179194693</v>
      </c>
      <c r="I56" s="43">
        <f t="shared" ref="I56" si="101">IFERROR(IFERROR(1/(I52/I54+I53/I55),I54/I52),1)</f>
        <v>127.98873179194693</v>
      </c>
      <c r="J56" s="43">
        <f t="shared" ref="J56" si="102">IFERROR(IFERROR(1/(J52/J54+J53/J55),J54/J52),1)</f>
        <v>127.98873179194693</v>
      </c>
      <c r="K56" s="43">
        <f t="shared" ref="K56" si="103">IFERROR(IFERROR(1/(K52/K54+K53/K55),K54/K52),1)</f>
        <v>127.98873179194693</v>
      </c>
      <c r="L56" s="43">
        <f t="shared" ref="L56" si="104">IFERROR(IFERROR(1/(L52/L54+L53/L55),L54/L52),1)</f>
        <v>127.98873179194693</v>
      </c>
      <c r="M56" s="43">
        <f t="shared" ref="M56" si="105">IFERROR(IFERROR(1/(M52/M54+M53/M55),M54/M52),1)</f>
        <v>127.98873179194693</v>
      </c>
      <c r="N56" s="43">
        <f t="shared" ref="N56" si="106">IFERROR(IFERROR(1/(N52/N54+N53/N55),N54/N52),1)</f>
        <v>127.98873179194693</v>
      </c>
      <c r="O56" s="43">
        <f t="shared" ref="O56" si="107">IFERROR(IFERROR(1/(O52/O54+O53/O55),O54/O52),1)</f>
        <v>127.98873179194693</v>
      </c>
      <c r="Q56">
        <f t="shared" si="95"/>
        <v>9</v>
      </c>
    </row>
    <row r="57" spans="1:29" x14ac:dyDescent="0.4">
      <c r="C57" t="s">
        <v>539</v>
      </c>
      <c r="D57" s="43">
        <f>IFERROR((D52/D54)*D56,1)</f>
        <v>1</v>
      </c>
      <c r="E57" s="43">
        <f t="shared" ref="E57" si="108">IFERROR((E52/E54)*E56,1)</f>
        <v>1</v>
      </c>
      <c r="F57" s="43">
        <f t="shared" ref="F57" si="109">IFERROR((F52/F54)*F56,1)</f>
        <v>1</v>
      </c>
      <c r="G57" s="43">
        <f t="shared" ref="G57" si="110">IFERROR((G52/G54)*G56,1)</f>
        <v>1</v>
      </c>
      <c r="H57" s="43">
        <f t="shared" ref="H57" si="111">IFERROR((H52/H54)*H56,1)</f>
        <v>1</v>
      </c>
      <c r="I57" s="43">
        <f t="shared" ref="I57" si="112">IFERROR((I52/I54)*I56,1)</f>
        <v>1</v>
      </c>
      <c r="J57" s="43">
        <f t="shared" ref="J57" si="113">IFERROR((J52/J54)*J56,1)</f>
        <v>1</v>
      </c>
      <c r="K57" s="43">
        <f t="shared" ref="K57" si="114">IFERROR((K52/K54)*K56,1)</f>
        <v>1</v>
      </c>
      <c r="L57" s="43">
        <f t="shared" ref="L57" si="115">IFERROR((L52/L54)*L56,1)</f>
        <v>1</v>
      </c>
      <c r="M57" s="43">
        <f t="shared" ref="M57" si="116">IFERROR((M52/M54)*M56,1)</f>
        <v>1</v>
      </c>
      <c r="N57" s="43">
        <f t="shared" ref="N57" si="117">IFERROR((N52/N54)*N56,1)</f>
        <v>1</v>
      </c>
      <c r="O57" s="43">
        <f t="shared" ref="O57" si="118">IFERROR((O52/O54)*O56,1)</f>
        <v>1</v>
      </c>
      <c r="Q57">
        <f t="shared" si="95"/>
        <v>10</v>
      </c>
    </row>
    <row r="58" spans="1:29" x14ac:dyDescent="0.4">
      <c r="C58" t="s">
        <v>540</v>
      </c>
      <c r="D58" s="43">
        <f>IFERROR(D53/D55*D56,0)</f>
        <v>0</v>
      </c>
      <c r="E58" s="43">
        <f t="shared" ref="E58:O58" si="119">IFERROR(E53/E55*E56,0)</f>
        <v>0</v>
      </c>
      <c r="F58" s="43">
        <f t="shared" si="119"/>
        <v>0</v>
      </c>
      <c r="G58" s="43">
        <f t="shared" si="119"/>
        <v>0</v>
      </c>
      <c r="H58" s="43">
        <f t="shared" si="119"/>
        <v>0</v>
      </c>
      <c r="I58" s="43">
        <f t="shared" si="119"/>
        <v>0</v>
      </c>
      <c r="J58" s="43">
        <f t="shared" si="119"/>
        <v>0</v>
      </c>
      <c r="K58" s="43">
        <f t="shared" si="119"/>
        <v>0</v>
      </c>
      <c r="L58" s="43">
        <f t="shared" si="119"/>
        <v>0</v>
      </c>
      <c r="M58" s="43">
        <f t="shared" si="119"/>
        <v>0</v>
      </c>
      <c r="N58" s="43">
        <f t="shared" si="119"/>
        <v>0</v>
      </c>
      <c r="O58" s="43">
        <f t="shared" si="119"/>
        <v>0</v>
      </c>
      <c r="Q58">
        <f t="shared" si="95"/>
        <v>11</v>
      </c>
    </row>
    <row r="59" spans="1:29" x14ac:dyDescent="0.4">
      <c r="C59" s="21" t="s">
        <v>534</v>
      </c>
      <c r="D59" s="43">
        <f t="shared" ref="D59:O60" si="120">IFERROR(VLOOKUP(D48,Phys_Prop,4,FALSE),0)</f>
        <v>6.7389700000000001</v>
      </c>
      <c r="E59" s="43">
        <f t="shared" si="120"/>
        <v>6.7389700000000001</v>
      </c>
      <c r="F59" s="43">
        <f t="shared" si="120"/>
        <v>6.7389700000000001</v>
      </c>
      <c r="G59" s="43">
        <f t="shared" si="120"/>
        <v>6.7389700000000001</v>
      </c>
      <c r="H59" s="43">
        <f t="shared" si="120"/>
        <v>6.7389700000000001</v>
      </c>
      <c r="I59" s="43">
        <f t="shared" si="120"/>
        <v>6.7389700000000001</v>
      </c>
      <c r="J59" s="43">
        <f t="shared" si="120"/>
        <v>6.7389700000000001</v>
      </c>
      <c r="K59" s="43">
        <f t="shared" si="120"/>
        <v>6.7389700000000001</v>
      </c>
      <c r="L59" s="43">
        <f t="shared" si="120"/>
        <v>6.7389700000000001</v>
      </c>
      <c r="M59" s="43">
        <f t="shared" si="120"/>
        <v>6.7389700000000001</v>
      </c>
      <c r="N59" s="43">
        <f t="shared" si="120"/>
        <v>6.7389700000000001</v>
      </c>
      <c r="O59" s="43">
        <f t="shared" si="120"/>
        <v>6.7389700000000001</v>
      </c>
      <c r="Q59">
        <f t="shared" si="95"/>
        <v>12</v>
      </c>
    </row>
    <row r="60" spans="1:29" x14ac:dyDescent="0.4">
      <c r="C60" s="21" t="s">
        <v>535</v>
      </c>
      <c r="D60" s="43">
        <f t="shared" si="120"/>
        <v>0</v>
      </c>
      <c r="E60" s="43">
        <f t="shared" si="120"/>
        <v>0</v>
      </c>
      <c r="F60" s="43">
        <f t="shared" si="120"/>
        <v>0</v>
      </c>
      <c r="G60" s="43">
        <f t="shared" si="120"/>
        <v>0</v>
      </c>
      <c r="H60" s="43">
        <f t="shared" si="120"/>
        <v>0</v>
      </c>
      <c r="I60" s="43">
        <f t="shared" si="120"/>
        <v>0</v>
      </c>
      <c r="J60" s="43">
        <f t="shared" si="120"/>
        <v>0</v>
      </c>
      <c r="K60" s="43">
        <f t="shared" si="120"/>
        <v>0</v>
      </c>
      <c r="L60" s="43">
        <f t="shared" si="120"/>
        <v>0</v>
      </c>
      <c r="M60" s="43">
        <f t="shared" si="120"/>
        <v>0</v>
      </c>
      <c r="N60" s="43">
        <f t="shared" si="120"/>
        <v>0</v>
      </c>
      <c r="O60" s="43">
        <f t="shared" si="120"/>
        <v>0</v>
      </c>
      <c r="Q60">
        <f t="shared" si="95"/>
        <v>13</v>
      </c>
    </row>
    <row r="61" spans="1:29" x14ac:dyDescent="0.4">
      <c r="A61" s="11"/>
      <c r="B61" s="11"/>
      <c r="C61" s="62" t="s">
        <v>536</v>
      </c>
      <c r="D61" s="208">
        <f>IF(IFERROR(IFERROR(1/(D57/D59+D58/D60),D59),0)="N/A",0,IFERROR(IFERROR(1/(D57/D59+D58/D60),D59),0))</f>
        <v>6.7389700000000001</v>
      </c>
      <c r="E61" s="208">
        <f t="shared" ref="E61" si="121">IF(IFERROR(IFERROR(1/(E57/E59+E58/E60),E59),0)="N/A",0,IFERROR(IFERROR(1/(E57/E59+E58/E60),E59),0))</f>
        <v>6.7389700000000001</v>
      </c>
      <c r="F61" s="208">
        <f t="shared" ref="F61" si="122">IF(IFERROR(IFERROR(1/(F57/F59+F58/F60),F59),0)="N/A",0,IFERROR(IFERROR(1/(F57/F59+F58/F60),F59),0))</f>
        <v>6.7389700000000001</v>
      </c>
      <c r="G61" s="208">
        <f t="shared" ref="G61" si="123">IF(IFERROR(IFERROR(1/(G57/G59+G58/G60),G59),0)="N/A",0,IFERROR(IFERROR(1/(G57/G59+G58/G60),G59),0))</f>
        <v>6.7389700000000001</v>
      </c>
      <c r="H61" s="208">
        <f t="shared" ref="H61" si="124">IF(IFERROR(IFERROR(1/(H57/H59+H58/H60),H59),0)="N/A",0,IFERROR(IFERROR(1/(H57/H59+H58/H60),H59),0))</f>
        <v>6.7389700000000001</v>
      </c>
      <c r="I61" s="208">
        <f t="shared" ref="I61" si="125">IF(IFERROR(IFERROR(1/(I57/I59+I58/I60),I59),0)="N/A",0,IFERROR(IFERROR(1/(I57/I59+I58/I60),I59),0))</f>
        <v>6.7389700000000001</v>
      </c>
      <c r="J61" s="208">
        <f t="shared" ref="J61" si="126">IF(IFERROR(IFERROR(1/(J57/J59+J58/J60),J59),0)="N/A",0,IFERROR(IFERROR(1/(J57/J59+J58/J60),J59),0))</f>
        <v>6.7389700000000001</v>
      </c>
      <c r="K61" s="208">
        <f t="shared" ref="K61" si="127">IF(IFERROR(IFERROR(1/(K57/K59+K58/K60),K59),0)="N/A",0,IFERROR(IFERROR(1/(K57/K59+K58/K60),K59),0))</f>
        <v>6.7389700000000001</v>
      </c>
      <c r="L61" s="208">
        <f t="shared" ref="L61" si="128">IF(IFERROR(IFERROR(1/(L57/L59+L58/L60),L59),0)="N/A",0,IFERROR(IFERROR(1/(L57/L59+L58/L60),L59),0))</f>
        <v>6.7389700000000001</v>
      </c>
      <c r="M61" s="208">
        <f t="shared" ref="M61" si="129">IF(IFERROR(IFERROR(1/(M57/M59+M58/M60),M59),0)="N/A",0,IFERROR(IFERROR(1/(M57/M59+M58/M60),M59),0))</f>
        <v>6.7389700000000001</v>
      </c>
      <c r="N61" s="208">
        <f t="shared" ref="N61" si="130">IF(IFERROR(IFERROR(1/(N57/N59+N58/N60),N59),0)="N/A",0,IFERROR(IFERROR(1/(N57/N59+N58/N60),N59),0))</f>
        <v>6.7389700000000001</v>
      </c>
      <c r="O61" s="208">
        <f t="shared" ref="O61" si="131">IF(IFERROR(IFERROR(1/(O57/O59+O58/O60),O59),0)="N/A",0,IFERROR(IFERROR(1/(O57/O59+O58/O60),O59),0))</f>
        <v>6.7389700000000001</v>
      </c>
      <c r="P61" s="11"/>
      <c r="Q61" s="11">
        <f>Q60+1</f>
        <v>14</v>
      </c>
      <c r="R61" s="11"/>
      <c r="S61" s="11"/>
      <c r="T61" s="11"/>
      <c r="U61" s="11"/>
      <c r="V61" s="11"/>
      <c r="W61" s="11"/>
      <c r="X61" s="11"/>
      <c r="Y61" s="11"/>
      <c r="Z61" s="11"/>
      <c r="AA61" s="11"/>
      <c r="AB61" s="11"/>
      <c r="AC61" s="11"/>
    </row>
    <row r="62" spans="1:29" x14ac:dyDescent="0.4">
      <c r="A62" t="str" cm="1">
        <f t="array" ref="A62">INDEX(FLT_Cons,$R62,$T62)</f>
        <v>FLT - 5</v>
      </c>
      <c r="B62" t="str" cm="1">
        <f t="array" ref="B62">INDEX(FLT_Cons,$R62,$T63)</f>
        <v>Portland</v>
      </c>
      <c r="C62" t="s">
        <v>528</v>
      </c>
      <c r="D62" s="43" t="str" cm="1">
        <f t="array" ref="D62">INDEX(FLT_Prod_Info,$U62,$AB62*D$5+$AC62)</f>
        <v>Bakken Crude</v>
      </c>
      <c r="E62" s="43" t="str" cm="1">
        <f t="array" ref="E62">INDEX(FLT_Prod_Info,$U62,$AB62*E$5+$AC62)</f>
        <v>Bakken Crude</v>
      </c>
      <c r="F62" s="43" t="str" cm="1">
        <f t="array" ref="F62">INDEX(FLT_Prod_Info,$U62,$AB62*F$5+$AC62)</f>
        <v>Bakken Crude</v>
      </c>
      <c r="G62" s="43" t="str" cm="1">
        <f t="array" ref="G62">INDEX(FLT_Prod_Info,$U62,$AB62*G$5+$AC62)</f>
        <v>Bakken Crude</v>
      </c>
      <c r="H62" s="43" t="str" cm="1">
        <f t="array" ref="H62">INDEX(FLT_Prod_Info,$U62,$AB62*H$5+$AC62)</f>
        <v>Bakken Crude</v>
      </c>
      <c r="I62" s="43" t="str" cm="1">
        <f t="array" ref="I62">INDEX(FLT_Prod_Info,$U62,$AB62*I$5+$AC62)</f>
        <v>Bakken Crude</v>
      </c>
      <c r="J62" s="43" t="str" cm="1">
        <f t="array" ref="J62">INDEX(FLT_Prod_Info,$U62,$AB62*J$5+$AC62)</f>
        <v>Bakken Crude</v>
      </c>
      <c r="K62" s="43" t="str" cm="1">
        <f t="array" ref="K62">INDEX(FLT_Prod_Info,$U62,$AB62*K$5+$AC62)</f>
        <v>Bakken Crude</v>
      </c>
      <c r="L62" s="43" t="str" cm="1">
        <f t="array" ref="L62">INDEX(FLT_Prod_Info,$U62,$AB62*L$5+$AC62)</f>
        <v>Bakken Crude</v>
      </c>
      <c r="M62" s="43" t="str" cm="1">
        <f t="array" ref="M62">INDEX(FLT_Prod_Info,$U62,$AB62*M$5+$AC62)</f>
        <v>Bakken Crude</v>
      </c>
      <c r="N62" s="43" t="str" cm="1">
        <f t="array" ref="N62">INDEX(FLT_Prod_Info,$U62,$AB62*N$5+$AC62)</f>
        <v>Bakken Crude</v>
      </c>
      <c r="O62" s="43" t="str" cm="1">
        <f t="array" ref="O62">INDEX(FLT_Prod_Info,$U62,$AB62*O$5+$AC62)</f>
        <v>Bakken Crude</v>
      </c>
      <c r="Q62">
        <v>1</v>
      </c>
      <c r="R62">
        <f>R48+1</f>
        <v>5</v>
      </c>
      <c r="S62" t="s">
        <v>237</v>
      </c>
      <c r="T62">
        <v>1</v>
      </c>
      <c r="U62">
        <f>U48+12</f>
        <v>49</v>
      </c>
      <c r="V62">
        <v>1</v>
      </c>
      <c r="W62">
        <v>3</v>
      </c>
      <c r="X62">
        <v>1</v>
      </c>
      <c r="Y62">
        <v>2</v>
      </c>
      <c r="Z62">
        <v>1</v>
      </c>
      <c r="AA62">
        <v>2</v>
      </c>
      <c r="AB62">
        <f t="shared" ref="AB62:AB67" si="132">(Y62-X62)/(AA62-Z62)</f>
        <v>1</v>
      </c>
      <c r="AC62">
        <f t="shared" ref="AC62:AC67" si="133">X62-AB62*Z62</f>
        <v>0</v>
      </c>
    </row>
    <row r="63" spans="1:29" x14ac:dyDescent="0.4">
      <c r="C63" t="s">
        <v>529</v>
      </c>
      <c r="D63" s="43" t="str" cm="1">
        <f t="array" ref="D63">INDEX(FLT_Prod_Info,$U63,$AB63*D$5+$AC63)</f>
        <v/>
      </c>
      <c r="E63" s="43" t="str" cm="1">
        <f t="array" ref="E63">INDEX(FLT_Prod_Info,$U63,$AB63*E$5+$AC63)</f>
        <v/>
      </c>
      <c r="F63" s="43" t="str" cm="1">
        <f t="array" ref="F63">INDEX(FLT_Prod_Info,$U63,$AB63*F$5+$AC63)</f>
        <v/>
      </c>
      <c r="G63" s="43" t="str" cm="1">
        <f t="array" ref="G63">INDEX(FLT_Prod_Info,$U63,$AB63*G$5+$AC63)</f>
        <v/>
      </c>
      <c r="H63" s="43" t="str" cm="1">
        <f t="array" ref="H63">INDEX(FLT_Prod_Info,$U63,$AB63*H$5+$AC63)</f>
        <v/>
      </c>
      <c r="I63" s="43" t="str" cm="1">
        <f t="array" ref="I63">INDEX(FLT_Prod_Info,$U63,$AB63*I$5+$AC63)</f>
        <v/>
      </c>
      <c r="J63" s="43" t="str" cm="1">
        <f t="array" ref="J63">INDEX(FLT_Prod_Info,$U63,$AB63*J$5+$AC63)</f>
        <v/>
      </c>
      <c r="K63" s="43" t="str" cm="1">
        <f t="array" ref="K63">INDEX(FLT_Prod_Info,$U63,$AB63*K$5+$AC63)</f>
        <v/>
      </c>
      <c r="L63" s="43" t="str" cm="1">
        <f t="array" ref="L63">INDEX(FLT_Prod_Info,$U63,$AB63*L$5+$AC63)</f>
        <v/>
      </c>
      <c r="M63" s="43" t="str" cm="1">
        <f t="array" ref="M63">INDEX(FLT_Prod_Info,$U63,$AB63*M$5+$AC63)</f>
        <v/>
      </c>
      <c r="N63" s="43" t="str" cm="1">
        <f t="array" ref="N63">INDEX(FLT_Prod_Info,$U63,$AB63*N$5+$AC63)</f>
        <v/>
      </c>
      <c r="O63" s="43" t="str" cm="1">
        <f t="array" ref="O63">INDEX(FLT_Prod_Info,$U63,$AB63*O$5+$AC63)</f>
        <v/>
      </c>
      <c r="Q63">
        <f>Q62+1</f>
        <v>2</v>
      </c>
      <c r="S63" t="s">
        <v>549</v>
      </c>
      <c r="T63">
        <v>3</v>
      </c>
      <c r="U63">
        <f>U62+5</f>
        <v>54</v>
      </c>
      <c r="X63">
        <v>1</v>
      </c>
      <c r="Y63">
        <v>2</v>
      </c>
      <c r="Z63">
        <v>1</v>
      </c>
      <c r="AA63">
        <v>2</v>
      </c>
      <c r="AB63">
        <f t="shared" si="132"/>
        <v>1</v>
      </c>
      <c r="AC63">
        <f t="shared" si="133"/>
        <v>0</v>
      </c>
    </row>
    <row r="64" spans="1:29" x14ac:dyDescent="0.4">
      <c r="C64" t="s">
        <v>530</v>
      </c>
      <c r="D64" s="43" t="str" cm="1">
        <f t="array" ref="D64">INDEX(FLT_Prod_Info,$U64,$AB64*D$5+$AC64)</f>
        <v>Crude Oil</v>
      </c>
      <c r="E64" s="43" t="str" cm="1">
        <f t="array" ref="E64">INDEX(FLT_Prod_Info,$U64,$AB64*E$5+$AC64)</f>
        <v>Crude Oil</v>
      </c>
      <c r="F64" s="43" t="str" cm="1">
        <f t="array" ref="F64">INDEX(FLT_Prod_Info,$U64,$AB64*F$5+$AC64)</f>
        <v>Crude Oil</v>
      </c>
      <c r="G64" s="43" t="str" cm="1">
        <f t="array" ref="G64">INDEX(FLT_Prod_Info,$U64,$AB64*G$5+$AC64)</f>
        <v>Crude Oil</v>
      </c>
      <c r="H64" s="43" t="str" cm="1">
        <f t="array" ref="H64">INDEX(FLT_Prod_Info,$U64,$AB64*H$5+$AC64)</f>
        <v>Crude Oil</v>
      </c>
      <c r="I64" s="43" t="str" cm="1">
        <f t="array" ref="I64">INDEX(FLT_Prod_Info,$U64,$AB64*I$5+$AC64)</f>
        <v>Crude Oil</v>
      </c>
      <c r="J64" s="43" t="str" cm="1">
        <f t="array" ref="J64">INDEX(FLT_Prod_Info,$U64,$AB64*J$5+$AC64)</f>
        <v>Crude Oil</v>
      </c>
      <c r="K64" s="43" t="str" cm="1">
        <f t="array" ref="K64">INDEX(FLT_Prod_Info,$U64,$AB64*K$5+$AC64)</f>
        <v>Crude Oil</v>
      </c>
      <c r="L64" s="43" t="str" cm="1">
        <f t="array" ref="L64">INDEX(FLT_Prod_Info,$U64,$AB64*L$5+$AC64)</f>
        <v>Crude Oil</v>
      </c>
      <c r="M64" s="43" t="str" cm="1">
        <f t="array" ref="M64">INDEX(FLT_Prod_Info,$U64,$AB64*M$5+$AC64)</f>
        <v>Crude Oil</v>
      </c>
      <c r="N64" s="43" t="str" cm="1">
        <f t="array" ref="N64">INDEX(FLT_Prod_Info,$U64,$AB64*N$5+$AC64)</f>
        <v>Crude Oil</v>
      </c>
      <c r="O64" s="43" t="str" cm="1">
        <f t="array" ref="O64">INDEX(FLT_Prod_Info,$U64,$AB64*O$5+$AC64)</f>
        <v>Crude Oil</v>
      </c>
      <c r="Q64">
        <f t="shared" ref="Q64:Q74" si="134">Q63+1</f>
        <v>3</v>
      </c>
      <c r="U64">
        <f>U62+1</f>
        <v>50</v>
      </c>
      <c r="X64">
        <v>1</v>
      </c>
      <c r="Y64">
        <v>2</v>
      </c>
      <c r="Z64">
        <v>1</v>
      </c>
      <c r="AA64">
        <v>2</v>
      </c>
      <c r="AB64">
        <f t="shared" si="132"/>
        <v>1</v>
      </c>
      <c r="AC64">
        <f t="shared" si="133"/>
        <v>0</v>
      </c>
    </row>
    <row r="65" spans="1:29" x14ac:dyDescent="0.4">
      <c r="C65" t="s">
        <v>531</v>
      </c>
      <c r="D65" s="43" t="e" cm="1">
        <f t="array" ref="D65">INDEX(FLT_Prod_Info,$U65,$AB65*D$5+$AC65)</f>
        <v>#N/A</v>
      </c>
      <c r="E65" s="43" t="e" cm="1">
        <f t="array" ref="E65">INDEX(FLT_Prod_Info,$U65,$AB65*E$5+$AC65)</f>
        <v>#N/A</v>
      </c>
      <c r="F65" s="43" t="e" cm="1">
        <f t="array" ref="F65">INDEX(FLT_Prod_Info,$U65,$AB65*F$5+$AC65)</f>
        <v>#N/A</v>
      </c>
      <c r="G65" s="43" t="e" cm="1">
        <f t="array" ref="G65">INDEX(FLT_Prod_Info,$U65,$AB65*G$5+$AC65)</f>
        <v>#N/A</v>
      </c>
      <c r="H65" s="43" t="e" cm="1">
        <f t="array" ref="H65">INDEX(FLT_Prod_Info,$U65,$AB65*H$5+$AC65)</f>
        <v>#N/A</v>
      </c>
      <c r="I65" s="43" t="e" cm="1">
        <f t="array" ref="I65">INDEX(FLT_Prod_Info,$U65,$AB65*I$5+$AC65)</f>
        <v>#N/A</v>
      </c>
      <c r="J65" s="43" t="e" cm="1">
        <f t="array" ref="J65">INDEX(FLT_Prod_Info,$U65,$AB65*J$5+$AC65)</f>
        <v>#N/A</v>
      </c>
      <c r="K65" s="43" t="e" cm="1">
        <f t="array" ref="K65">INDEX(FLT_Prod_Info,$U65,$AB65*K$5+$AC65)</f>
        <v>#N/A</v>
      </c>
      <c r="L65" s="43" t="e" cm="1">
        <f t="array" ref="L65">INDEX(FLT_Prod_Info,$U65,$AB65*L$5+$AC65)</f>
        <v>#N/A</v>
      </c>
      <c r="M65" s="43" t="e" cm="1">
        <f t="array" ref="M65">INDEX(FLT_Prod_Info,$U65,$AB65*M$5+$AC65)</f>
        <v>#N/A</v>
      </c>
      <c r="N65" s="43" t="e" cm="1">
        <f t="array" ref="N65">INDEX(FLT_Prod_Info,$U65,$AB65*N$5+$AC65)</f>
        <v>#N/A</v>
      </c>
      <c r="O65" s="43" t="e" cm="1">
        <f t="array" ref="O65">INDEX(FLT_Prod_Info,$U65,$AB65*O$5+$AC65)</f>
        <v>#N/A</v>
      </c>
      <c r="Q65">
        <f t="shared" si="134"/>
        <v>4</v>
      </c>
      <c r="U65">
        <f>U64+5</f>
        <v>55</v>
      </c>
      <c r="X65">
        <v>1</v>
      </c>
      <c r="Y65">
        <v>2</v>
      </c>
      <c r="Z65">
        <v>1</v>
      </c>
      <c r="AA65">
        <v>2</v>
      </c>
      <c r="AB65">
        <f t="shared" si="132"/>
        <v>1</v>
      </c>
      <c r="AC65">
        <f t="shared" si="133"/>
        <v>0</v>
      </c>
    </row>
    <row r="66" spans="1:29" x14ac:dyDescent="0.4">
      <c r="C66" t="s">
        <v>546</v>
      </c>
      <c r="D66" s="43" cm="1">
        <f t="array" ref="D66">INDEX(FLT_Prod_Info,$U66,$AB66*D$5+$AC66)</f>
        <v>1</v>
      </c>
      <c r="E66" s="43" cm="1">
        <f t="array" ref="E66">INDEX(FLT_Prod_Info,$U66,$AB66*E$5+$AC66)</f>
        <v>1</v>
      </c>
      <c r="F66" s="43" cm="1">
        <f t="array" ref="F66">INDEX(FLT_Prod_Info,$U66,$AB66*F$5+$AC66)</f>
        <v>1</v>
      </c>
      <c r="G66" s="43" cm="1">
        <f t="array" ref="G66">INDEX(FLT_Prod_Info,$U66,$AB66*G$5+$AC66)</f>
        <v>1</v>
      </c>
      <c r="H66" s="43" cm="1">
        <f t="array" ref="H66">INDEX(FLT_Prod_Info,$U66,$AB66*H$5+$AC66)</f>
        <v>1</v>
      </c>
      <c r="I66" s="43" cm="1">
        <f t="array" ref="I66">INDEX(FLT_Prod_Info,$U66,$AB66*I$5+$AC66)</f>
        <v>1</v>
      </c>
      <c r="J66" s="43" cm="1">
        <f t="array" ref="J66">INDEX(FLT_Prod_Info,$U66,$AB66*J$5+$AC66)</f>
        <v>1</v>
      </c>
      <c r="K66" s="43" cm="1">
        <f t="array" ref="K66">INDEX(FLT_Prod_Info,$U66,$AB66*K$5+$AC66)</f>
        <v>1</v>
      </c>
      <c r="L66" s="43" cm="1">
        <f t="array" ref="L66">INDEX(FLT_Prod_Info,$U66,$AB66*L$5+$AC66)</f>
        <v>1</v>
      </c>
      <c r="M66" s="43" cm="1">
        <f t="array" ref="M66">INDEX(FLT_Prod_Info,$U66,$AB66*M$5+$AC66)</f>
        <v>1</v>
      </c>
      <c r="N66" s="43" cm="1">
        <f t="array" ref="N66">INDEX(FLT_Prod_Info,$U66,$AB66*N$5+$AC66)</f>
        <v>1</v>
      </c>
      <c r="O66" s="43" cm="1">
        <f t="array" ref="O66">INDEX(FLT_Prod_Info,$U66,$AB66*O$5+$AC66)</f>
        <v>1</v>
      </c>
      <c r="Q66">
        <f t="shared" si="134"/>
        <v>5</v>
      </c>
      <c r="U66">
        <f>U62+4</f>
        <v>53</v>
      </c>
      <c r="X66">
        <v>1</v>
      </c>
      <c r="Y66">
        <v>2</v>
      </c>
      <c r="Z66">
        <v>1</v>
      </c>
      <c r="AA66">
        <v>2</v>
      </c>
      <c r="AB66">
        <f t="shared" si="132"/>
        <v>1</v>
      </c>
      <c r="AC66">
        <f t="shared" si="133"/>
        <v>0</v>
      </c>
    </row>
    <row r="67" spans="1:29" x14ac:dyDescent="0.4">
      <c r="C67" t="s">
        <v>547</v>
      </c>
      <c r="D67" s="43" cm="1">
        <f t="array" ref="D67">INDEX(FLT_Prod_Info,$U67,$AB67*D$5+$AC67)</f>
        <v>0</v>
      </c>
      <c r="E67" s="43" cm="1">
        <f t="array" ref="E67">INDEX(FLT_Prod_Info,$U67,$AB67*E$5+$AC67)</f>
        <v>0</v>
      </c>
      <c r="F67" s="43" cm="1">
        <f t="array" ref="F67">INDEX(FLT_Prod_Info,$U67,$AB67*F$5+$AC67)</f>
        <v>0</v>
      </c>
      <c r="G67" s="43" cm="1">
        <f t="array" ref="G67">INDEX(FLT_Prod_Info,$U67,$AB67*G$5+$AC67)</f>
        <v>0</v>
      </c>
      <c r="H67" s="43" cm="1">
        <f t="array" ref="H67">INDEX(FLT_Prod_Info,$U67,$AB67*H$5+$AC67)</f>
        <v>0</v>
      </c>
      <c r="I67" s="43" cm="1">
        <f t="array" ref="I67">INDEX(FLT_Prod_Info,$U67,$AB67*I$5+$AC67)</f>
        <v>0</v>
      </c>
      <c r="J67" s="43" cm="1">
        <f t="array" ref="J67">INDEX(FLT_Prod_Info,$U67,$AB67*J$5+$AC67)</f>
        <v>0</v>
      </c>
      <c r="K67" s="43" cm="1">
        <f t="array" ref="K67">INDEX(FLT_Prod_Info,$U67,$AB67*K$5+$AC67)</f>
        <v>0</v>
      </c>
      <c r="L67" s="43" cm="1">
        <f t="array" ref="L67">INDEX(FLT_Prod_Info,$U67,$AB67*L$5+$AC67)</f>
        <v>0</v>
      </c>
      <c r="M67" s="43" cm="1">
        <f t="array" ref="M67">INDEX(FLT_Prod_Info,$U67,$AB67*M$5+$AC67)</f>
        <v>0</v>
      </c>
      <c r="N67" s="43" cm="1">
        <f t="array" ref="N67">INDEX(FLT_Prod_Info,$U67,$AB67*N$5+$AC67)</f>
        <v>0</v>
      </c>
      <c r="O67" s="43" cm="1">
        <f t="array" ref="O67">INDEX(FLT_Prod_Info,$U67,$AB67*O$5+$AC67)</f>
        <v>0</v>
      </c>
      <c r="Q67">
        <f t="shared" si="134"/>
        <v>6</v>
      </c>
      <c r="U67">
        <f>U63+4</f>
        <v>58</v>
      </c>
      <c r="X67">
        <v>1</v>
      </c>
      <c r="Y67">
        <v>2</v>
      </c>
      <c r="Z67">
        <v>1</v>
      </c>
      <c r="AA67">
        <v>2</v>
      </c>
      <c r="AB67">
        <f t="shared" si="132"/>
        <v>1</v>
      </c>
      <c r="AC67">
        <f t="shared" si="133"/>
        <v>0</v>
      </c>
    </row>
    <row r="68" spans="1:29" x14ac:dyDescent="0.4">
      <c r="C68" t="s">
        <v>532</v>
      </c>
      <c r="D68" s="43">
        <f t="shared" ref="D68:O69" si="135">IFERROR(VLOOKUP(D62,Phys_Prop,2,FALSE),0)</f>
        <v>127.98873179194693</v>
      </c>
      <c r="E68" s="43">
        <f t="shared" si="135"/>
        <v>127.98873179194693</v>
      </c>
      <c r="F68" s="43">
        <f t="shared" si="135"/>
        <v>127.98873179194693</v>
      </c>
      <c r="G68" s="43">
        <f t="shared" si="135"/>
        <v>127.98873179194693</v>
      </c>
      <c r="H68" s="43">
        <f t="shared" si="135"/>
        <v>127.98873179194693</v>
      </c>
      <c r="I68" s="43">
        <f t="shared" si="135"/>
        <v>127.98873179194693</v>
      </c>
      <c r="J68" s="43">
        <f t="shared" si="135"/>
        <v>127.98873179194693</v>
      </c>
      <c r="K68" s="43">
        <f t="shared" si="135"/>
        <v>127.98873179194693</v>
      </c>
      <c r="L68" s="43">
        <f t="shared" si="135"/>
        <v>127.98873179194693</v>
      </c>
      <c r="M68" s="43">
        <f t="shared" si="135"/>
        <v>127.98873179194693</v>
      </c>
      <c r="N68" s="43">
        <f t="shared" si="135"/>
        <v>127.98873179194693</v>
      </c>
      <c r="O68" s="43">
        <f t="shared" si="135"/>
        <v>127.98873179194693</v>
      </c>
      <c r="Q68">
        <f t="shared" si="134"/>
        <v>7</v>
      </c>
    </row>
    <row r="69" spans="1:29" x14ac:dyDescent="0.4">
      <c r="C69" t="s">
        <v>533</v>
      </c>
      <c r="D69" s="43">
        <f t="shared" si="135"/>
        <v>0</v>
      </c>
      <c r="E69" s="43">
        <f t="shared" si="135"/>
        <v>0</v>
      </c>
      <c r="F69" s="43">
        <f t="shared" si="135"/>
        <v>0</v>
      </c>
      <c r="G69" s="43">
        <f t="shared" si="135"/>
        <v>0</v>
      </c>
      <c r="H69" s="43">
        <f t="shared" si="135"/>
        <v>0</v>
      </c>
      <c r="I69" s="43">
        <f t="shared" si="135"/>
        <v>0</v>
      </c>
      <c r="J69" s="43">
        <f t="shared" si="135"/>
        <v>0</v>
      </c>
      <c r="K69" s="43">
        <f t="shared" si="135"/>
        <v>0</v>
      </c>
      <c r="L69" s="43">
        <f t="shared" si="135"/>
        <v>0</v>
      </c>
      <c r="M69" s="43">
        <f t="shared" si="135"/>
        <v>0</v>
      </c>
      <c r="N69" s="43">
        <f t="shared" si="135"/>
        <v>0</v>
      </c>
      <c r="O69" s="43">
        <f t="shared" si="135"/>
        <v>0</v>
      </c>
      <c r="Q69">
        <f t="shared" si="134"/>
        <v>8</v>
      </c>
    </row>
    <row r="70" spans="1:29" x14ac:dyDescent="0.4">
      <c r="C70" t="s">
        <v>544</v>
      </c>
      <c r="D70" s="43">
        <f>IFERROR(IFERROR(1/(D66/D68+D67/D69),D68/D66),1)</f>
        <v>127.98873179194693</v>
      </c>
      <c r="E70" s="43">
        <f t="shared" ref="E70" si="136">IFERROR(IFERROR(1/(E66/E68+E67/E69),E68/E66),1)</f>
        <v>127.98873179194693</v>
      </c>
      <c r="F70" s="43">
        <f t="shared" ref="F70" si="137">IFERROR(IFERROR(1/(F66/F68+F67/F69),F68/F66),1)</f>
        <v>127.98873179194693</v>
      </c>
      <c r="G70" s="43">
        <f t="shared" ref="G70" si="138">IFERROR(IFERROR(1/(G66/G68+G67/G69),G68/G66),1)</f>
        <v>127.98873179194693</v>
      </c>
      <c r="H70" s="43">
        <f t="shared" ref="H70" si="139">IFERROR(IFERROR(1/(H66/H68+H67/H69),H68/H66),1)</f>
        <v>127.98873179194693</v>
      </c>
      <c r="I70" s="43">
        <f t="shared" ref="I70" si="140">IFERROR(IFERROR(1/(I66/I68+I67/I69),I68/I66),1)</f>
        <v>127.98873179194693</v>
      </c>
      <c r="J70" s="43">
        <f t="shared" ref="J70" si="141">IFERROR(IFERROR(1/(J66/J68+J67/J69),J68/J66),1)</f>
        <v>127.98873179194693</v>
      </c>
      <c r="K70" s="43">
        <f t="shared" ref="K70" si="142">IFERROR(IFERROR(1/(K66/K68+K67/K69),K68/K66),1)</f>
        <v>127.98873179194693</v>
      </c>
      <c r="L70" s="43">
        <f t="shared" ref="L70" si="143">IFERROR(IFERROR(1/(L66/L68+L67/L69),L68/L66),1)</f>
        <v>127.98873179194693</v>
      </c>
      <c r="M70" s="43">
        <f t="shared" ref="M70" si="144">IFERROR(IFERROR(1/(M66/M68+M67/M69),M68/M66),1)</f>
        <v>127.98873179194693</v>
      </c>
      <c r="N70" s="43">
        <f t="shared" ref="N70" si="145">IFERROR(IFERROR(1/(N66/N68+N67/N69),N68/N66),1)</f>
        <v>127.98873179194693</v>
      </c>
      <c r="O70" s="43">
        <f t="shared" ref="O70" si="146">IFERROR(IFERROR(1/(O66/O68+O67/O69),O68/O66),1)</f>
        <v>127.98873179194693</v>
      </c>
      <c r="Q70">
        <f t="shared" si="134"/>
        <v>9</v>
      </c>
    </row>
    <row r="71" spans="1:29" x14ac:dyDescent="0.4">
      <c r="C71" t="s">
        <v>539</v>
      </c>
      <c r="D71" s="43">
        <f>IFERROR((D66/D68)*D70,1)</f>
        <v>1</v>
      </c>
      <c r="E71" s="43">
        <f t="shared" ref="E71" si="147">IFERROR((E66/E68)*E70,1)</f>
        <v>1</v>
      </c>
      <c r="F71" s="43">
        <f t="shared" ref="F71" si="148">IFERROR((F66/F68)*F70,1)</f>
        <v>1</v>
      </c>
      <c r="G71" s="43">
        <f t="shared" ref="G71" si="149">IFERROR((G66/G68)*G70,1)</f>
        <v>1</v>
      </c>
      <c r="H71" s="43">
        <f t="shared" ref="H71" si="150">IFERROR((H66/H68)*H70,1)</f>
        <v>1</v>
      </c>
      <c r="I71" s="43">
        <f t="shared" ref="I71" si="151">IFERROR((I66/I68)*I70,1)</f>
        <v>1</v>
      </c>
      <c r="J71" s="43">
        <f t="shared" ref="J71" si="152">IFERROR((J66/J68)*J70,1)</f>
        <v>1</v>
      </c>
      <c r="K71" s="43">
        <f t="shared" ref="K71" si="153">IFERROR((K66/K68)*K70,1)</f>
        <v>1</v>
      </c>
      <c r="L71" s="43">
        <f t="shared" ref="L71" si="154">IFERROR((L66/L68)*L70,1)</f>
        <v>1</v>
      </c>
      <c r="M71" s="43">
        <f t="shared" ref="M71" si="155">IFERROR((M66/M68)*M70,1)</f>
        <v>1</v>
      </c>
      <c r="N71" s="43">
        <f t="shared" ref="N71" si="156">IFERROR((N66/N68)*N70,1)</f>
        <v>1</v>
      </c>
      <c r="O71" s="43">
        <f t="shared" ref="O71" si="157">IFERROR((O66/O68)*O70,1)</f>
        <v>1</v>
      </c>
      <c r="Q71">
        <f t="shared" si="134"/>
        <v>10</v>
      </c>
    </row>
    <row r="72" spans="1:29" x14ac:dyDescent="0.4">
      <c r="C72" t="s">
        <v>540</v>
      </c>
      <c r="D72" s="43">
        <f>IFERROR(D67/D69*D70,0)</f>
        <v>0</v>
      </c>
      <c r="E72" s="43">
        <f t="shared" ref="E72:O72" si="158">IFERROR(E67/E69*E70,0)</f>
        <v>0</v>
      </c>
      <c r="F72" s="43">
        <f t="shared" si="158"/>
        <v>0</v>
      </c>
      <c r="G72" s="43">
        <f t="shared" si="158"/>
        <v>0</v>
      </c>
      <c r="H72" s="43">
        <f t="shared" si="158"/>
        <v>0</v>
      </c>
      <c r="I72" s="43">
        <f t="shared" si="158"/>
        <v>0</v>
      </c>
      <c r="J72" s="43">
        <f t="shared" si="158"/>
        <v>0</v>
      </c>
      <c r="K72" s="43">
        <f t="shared" si="158"/>
        <v>0</v>
      </c>
      <c r="L72" s="43">
        <f t="shared" si="158"/>
        <v>0</v>
      </c>
      <c r="M72" s="43">
        <f t="shared" si="158"/>
        <v>0</v>
      </c>
      <c r="N72" s="43">
        <f t="shared" si="158"/>
        <v>0</v>
      </c>
      <c r="O72" s="43">
        <f t="shared" si="158"/>
        <v>0</v>
      </c>
      <c r="Q72">
        <f t="shared" si="134"/>
        <v>11</v>
      </c>
    </row>
    <row r="73" spans="1:29" x14ac:dyDescent="0.4">
      <c r="C73" s="21" t="s">
        <v>534</v>
      </c>
      <c r="D73" s="43">
        <f t="shared" ref="D73:O74" si="159">IFERROR(VLOOKUP(D62,Phys_Prop,4,FALSE),0)</f>
        <v>6.7389700000000001</v>
      </c>
      <c r="E73" s="43">
        <f t="shared" si="159"/>
        <v>6.7389700000000001</v>
      </c>
      <c r="F73" s="43">
        <f t="shared" si="159"/>
        <v>6.7389700000000001</v>
      </c>
      <c r="G73" s="43">
        <f t="shared" si="159"/>
        <v>6.7389700000000001</v>
      </c>
      <c r="H73" s="43">
        <f t="shared" si="159"/>
        <v>6.7389700000000001</v>
      </c>
      <c r="I73" s="43">
        <f t="shared" si="159"/>
        <v>6.7389700000000001</v>
      </c>
      <c r="J73" s="43">
        <f t="shared" si="159"/>
        <v>6.7389700000000001</v>
      </c>
      <c r="K73" s="43">
        <f t="shared" si="159"/>
        <v>6.7389700000000001</v>
      </c>
      <c r="L73" s="43">
        <f t="shared" si="159"/>
        <v>6.7389700000000001</v>
      </c>
      <c r="M73" s="43">
        <f t="shared" si="159"/>
        <v>6.7389700000000001</v>
      </c>
      <c r="N73" s="43">
        <f t="shared" si="159"/>
        <v>6.7389700000000001</v>
      </c>
      <c r="O73" s="43">
        <f t="shared" si="159"/>
        <v>6.7389700000000001</v>
      </c>
      <c r="Q73">
        <f t="shared" si="134"/>
        <v>12</v>
      </c>
    </row>
    <row r="74" spans="1:29" x14ac:dyDescent="0.4">
      <c r="C74" s="21" t="s">
        <v>535</v>
      </c>
      <c r="D74" s="43">
        <f t="shared" si="159"/>
        <v>0</v>
      </c>
      <c r="E74" s="43">
        <f t="shared" si="159"/>
        <v>0</v>
      </c>
      <c r="F74" s="43">
        <f t="shared" si="159"/>
        <v>0</v>
      </c>
      <c r="G74" s="43">
        <f t="shared" si="159"/>
        <v>0</v>
      </c>
      <c r="H74" s="43">
        <f t="shared" si="159"/>
        <v>0</v>
      </c>
      <c r="I74" s="43">
        <f t="shared" si="159"/>
        <v>0</v>
      </c>
      <c r="J74" s="43">
        <f t="shared" si="159"/>
        <v>0</v>
      </c>
      <c r="K74" s="43">
        <f t="shared" si="159"/>
        <v>0</v>
      </c>
      <c r="L74" s="43">
        <f t="shared" si="159"/>
        <v>0</v>
      </c>
      <c r="M74" s="43">
        <f t="shared" si="159"/>
        <v>0</v>
      </c>
      <c r="N74" s="43">
        <f t="shared" si="159"/>
        <v>0</v>
      </c>
      <c r="O74" s="43">
        <f t="shared" si="159"/>
        <v>0</v>
      </c>
      <c r="Q74">
        <f t="shared" si="134"/>
        <v>13</v>
      </c>
    </row>
    <row r="75" spans="1:29" x14ac:dyDescent="0.4">
      <c r="A75" s="11"/>
      <c r="B75" s="11"/>
      <c r="C75" s="62" t="s">
        <v>536</v>
      </c>
      <c r="D75" s="208">
        <f>IF(IFERROR(IFERROR(1/(D71/D73+D72/D74),D73),0)="N/A",0,IFERROR(IFERROR(1/(D71/D73+D72/D74),D73),0))</f>
        <v>6.7389700000000001</v>
      </c>
      <c r="E75" s="208">
        <f t="shared" ref="E75" si="160">IF(IFERROR(IFERROR(1/(E71/E73+E72/E74),E73),0)="N/A",0,IFERROR(IFERROR(1/(E71/E73+E72/E74),E73),0))</f>
        <v>6.7389700000000001</v>
      </c>
      <c r="F75" s="208">
        <f t="shared" ref="F75" si="161">IF(IFERROR(IFERROR(1/(F71/F73+F72/F74),F73),0)="N/A",0,IFERROR(IFERROR(1/(F71/F73+F72/F74),F73),0))</f>
        <v>6.7389700000000001</v>
      </c>
      <c r="G75" s="208">
        <f t="shared" ref="G75" si="162">IF(IFERROR(IFERROR(1/(G71/G73+G72/G74),G73),0)="N/A",0,IFERROR(IFERROR(1/(G71/G73+G72/G74),G73),0))</f>
        <v>6.7389700000000001</v>
      </c>
      <c r="H75" s="208">
        <f t="shared" ref="H75" si="163">IF(IFERROR(IFERROR(1/(H71/H73+H72/H74),H73),0)="N/A",0,IFERROR(IFERROR(1/(H71/H73+H72/H74),H73),0))</f>
        <v>6.7389700000000001</v>
      </c>
      <c r="I75" s="208">
        <f t="shared" ref="I75" si="164">IF(IFERROR(IFERROR(1/(I71/I73+I72/I74),I73),0)="N/A",0,IFERROR(IFERROR(1/(I71/I73+I72/I74),I73),0))</f>
        <v>6.7389700000000001</v>
      </c>
      <c r="J75" s="208">
        <f t="shared" ref="J75" si="165">IF(IFERROR(IFERROR(1/(J71/J73+J72/J74),J73),0)="N/A",0,IFERROR(IFERROR(1/(J71/J73+J72/J74),J73),0))</f>
        <v>6.7389700000000001</v>
      </c>
      <c r="K75" s="208">
        <f t="shared" ref="K75" si="166">IF(IFERROR(IFERROR(1/(K71/K73+K72/K74),K73),0)="N/A",0,IFERROR(IFERROR(1/(K71/K73+K72/K74),K73),0))</f>
        <v>6.7389700000000001</v>
      </c>
      <c r="L75" s="208">
        <f t="shared" ref="L75" si="167">IF(IFERROR(IFERROR(1/(L71/L73+L72/L74),L73),0)="N/A",0,IFERROR(IFERROR(1/(L71/L73+L72/L74),L73),0))</f>
        <v>6.7389700000000001</v>
      </c>
      <c r="M75" s="208">
        <f t="shared" ref="M75" si="168">IF(IFERROR(IFERROR(1/(M71/M73+M72/M74),M73),0)="N/A",0,IFERROR(IFERROR(1/(M71/M73+M72/M74),M73),0))</f>
        <v>6.7389700000000001</v>
      </c>
      <c r="N75" s="208">
        <f t="shared" ref="N75" si="169">IF(IFERROR(IFERROR(1/(N71/N73+N72/N74),N73),0)="N/A",0,IFERROR(IFERROR(1/(N71/N73+N72/N74),N73),0))</f>
        <v>6.7389700000000001</v>
      </c>
      <c r="O75" s="208">
        <f t="shared" ref="O75" si="170">IF(IFERROR(IFERROR(1/(O71/O73+O72/O74),O73),0)="N/A",0,IFERROR(IFERROR(1/(O71/O73+O72/O74),O73),0))</f>
        <v>6.7389700000000001</v>
      </c>
      <c r="P75" s="11"/>
      <c r="Q75" s="11">
        <f>Q74+1</f>
        <v>14</v>
      </c>
      <c r="R75" s="11"/>
      <c r="S75" s="11"/>
      <c r="T75" s="11"/>
      <c r="U75" s="11"/>
      <c r="V75" s="11"/>
      <c r="W75" s="11"/>
      <c r="X75" s="11"/>
      <c r="Y75" s="11"/>
      <c r="Z75" s="11"/>
      <c r="AA75" s="11"/>
      <c r="AB75" s="11"/>
      <c r="AC75" s="11"/>
    </row>
    <row r="76" spans="1:29" x14ac:dyDescent="0.4">
      <c r="A76" t="str" cm="1">
        <f t="array" ref="A76">INDEX(FLT_Cons,$R76,$T76)</f>
        <v>FLT - 6</v>
      </c>
      <c r="B76" t="str" cm="1">
        <f t="array" ref="B76">INDEX(FLT_Cons,$R76,$T77)</f>
        <v>Portland</v>
      </c>
      <c r="C76" t="s">
        <v>528</v>
      </c>
      <c r="D76" s="43" t="str" cm="1">
        <f t="array" ref="D76">INDEX(FLT_Prod_Info,$U76,$AB76*D$5+$AC76)</f>
        <v>Av-Gas</v>
      </c>
      <c r="E76" s="43" t="str" cm="1">
        <f t="array" ref="E76">INDEX(FLT_Prod_Info,$U76,$AB76*E$5+$AC76)</f>
        <v>Av-Gas</v>
      </c>
      <c r="F76" s="43" t="str" cm="1">
        <f t="array" ref="F76">INDEX(FLT_Prod_Info,$U76,$AB76*F$5+$AC76)</f>
        <v>Av-Gas</v>
      </c>
      <c r="G76" s="43" t="str" cm="1">
        <f t="array" ref="G76">INDEX(FLT_Prod_Info,$U76,$AB76*G$5+$AC76)</f>
        <v>Av-Gas</v>
      </c>
      <c r="H76" s="43" t="str" cm="1">
        <f t="array" ref="H76">INDEX(FLT_Prod_Info,$U76,$AB76*H$5+$AC76)</f>
        <v>Av-Gas</v>
      </c>
      <c r="I76" s="43" t="str" cm="1">
        <f t="array" ref="I76">INDEX(FLT_Prod_Info,$U76,$AB76*I$5+$AC76)</f>
        <v>Av-Gas</v>
      </c>
      <c r="J76" s="43" t="str" cm="1">
        <f t="array" ref="J76">INDEX(FLT_Prod_Info,$U76,$AB76*J$5+$AC76)</f>
        <v>Av-Gas</v>
      </c>
      <c r="K76" s="43" t="str" cm="1">
        <f t="array" ref="K76">INDEX(FLT_Prod_Info,$U76,$AB76*K$5+$AC76)</f>
        <v>Av-Gas</v>
      </c>
      <c r="L76" s="43" t="str" cm="1">
        <f t="array" ref="L76">INDEX(FLT_Prod_Info,$U76,$AB76*L$5+$AC76)</f>
        <v>Av-Gas</v>
      </c>
      <c r="M76" s="43" t="str" cm="1">
        <f t="array" ref="M76">INDEX(FLT_Prod_Info,$U76,$AB76*M$5+$AC76)</f>
        <v>Av-Gas</v>
      </c>
      <c r="N76" s="43" t="str" cm="1">
        <f t="array" ref="N76">INDEX(FLT_Prod_Info,$U76,$AB76*N$5+$AC76)</f>
        <v>Av-Gas</v>
      </c>
      <c r="O76" s="43" t="str" cm="1">
        <f t="array" ref="O76">INDEX(FLT_Prod_Info,$U76,$AB76*O$5+$AC76)</f>
        <v>Av-Gas</v>
      </c>
      <c r="Q76">
        <v>1</v>
      </c>
      <c r="R76">
        <f>R62+1</f>
        <v>6</v>
      </c>
      <c r="S76" t="s">
        <v>237</v>
      </c>
      <c r="T76">
        <v>1</v>
      </c>
      <c r="U76">
        <f>U62+12</f>
        <v>61</v>
      </c>
      <c r="V76">
        <v>1</v>
      </c>
      <c r="W76">
        <v>3</v>
      </c>
      <c r="X76">
        <v>1</v>
      </c>
      <c r="Y76">
        <v>2</v>
      </c>
      <c r="Z76">
        <v>1</v>
      </c>
      <c r="AA76">
        <v>2</v>
      </c>
      <c r="AB76">
        <f t="shared" ref="AB76:AB81" si="171">(Y76-X76)/(AA76-Z76)</f>
        <v>1</v>
      </c>
      <c r="AC76">
        <f t="shared" ref="AC76:AC81" si="172">X76-AB76*Z76</f>
        <v>0</v>
      </c>
    </row>
    <row r="77" spans="1:29" x14ac:dyDescent="0.4">
      <c r="C77" t="s">
        <v>529</v>
      </c>
      <c r="D77" s="43" t="str" cm="1">
        <f t="array" ref="D77">INDEX(FLT_Prod_Info,$U77,$AB77*D$5+$AC77)</f>
        <v/>
      </c>
      <c r="E77" s="43" t="str" cm="1">
        <f t="array" ref="E77">INDEX(FLT_Prod_Info,$U77,$AB77*E$5+$AC77)</f>
        <v/>
      </c>
      <c r="F77" s="43" t="str" cm="1">
        <f t="array" ref="F77">INDEX(FLT_Prod_Info,$U77,$AB77*F$5+$AC77)</f>
        <v/>
      </c>
      <c r="G77" s="43" t="str" cm="1">
        <f t="array" ref="G77">INDEX(FLT_Prod_Info,$U77,$AB77*G$5+$AC77)</f>
        <v/>
      </c>
      <c r="H77" s="43" t="str" cm="1">
        <f t="array" ref="H77">INDEX(FLT_Prod_Info,$U77,$AB77*H$5+$AC77)</f>
        <v/>
      </c>
      <c r="I77" s="43" t="str" cm="1">
        <f t="array" ref="I77">INDEX(FLT_Prod_Info,$U77,$AB77*I$5+$AC77)</f>
        <v/>
      </c>
      <c r="J77" s="43" t="str" cm="1">
        <f t="array" ref="J77">INDEX(FLT_Prod_Info,$U77,$AB77*J$5+$AC77)</f>
        <v/>
      </c>
      <c r="K77" s="43" t="str" cm="1">
        <f t="array" ref="K77">INDEX(FLT_Prod_Info,$U77,$AB77*K$5+$AC77)</f>
        <v/>
      </c>
      <c r="L77" s="43" t="str" cm="1">
        <f t="array" ref="L77">INDEX(FLT_Prod_Info,$U77,$AB77*L$5+$AC77)</f>
        <v/>
      </c>
      <c r="M77" s="43" t="str" cm="1">
        <f t="array" ref="M77">INDEX(FLT_Prod_Info,$U77,$AB77*M$5+$AC77)</f>
        <v/>
      </c>
      <c r="N77" s="43" t="str" cm="1">
        <f t="array" ref="N77">INDEX(FLT_Prod_Info,$U77,$AB77*N$5+$AC77)</f>
        <v/>
      </c>
      <c r="O77" s="43" t="str" cm="1">
        <f t="array" ref="O77">INDEX(FLT_Prod_Info,$U77,$AB77*O$5+$AC77)</f>
        <v/>
      </c>
      <c r="Q77">
        <f>Q76+1</f>
        <v>2</v>
      </c>
      <c r="S77" t="s">
        <v>549</v>
      </c>
      <c r="T77">
        <v>3</v>
      </c>
      <c r="U77">
        <f>U76+5</f>
        <v>66</v>
      </c>
      <c r="X77">
        <v>1</v>
      </c>
      <c r="Y77">
        <v>2</v>
      </c>
      <c r="Z77">
        <v>1</v>
      </c>
      <c r="AA77">
        <v>2</v>
      </c>
      <c r="AB77">
        <f t="shared" si="171"/>
        <v>1</v>
      </c>
      <c r="AC77">
        <f t="shared" si="172"/>
        <v>0</v>
      </c>
    </row>
    <row r="78" spans="1:29" x14ac:dyDescent="0.4">
      <c r="C78" t="s">
        <v>530</v>
      </c>
      <c r="D78" s="43" t="str" cm="1">
        <f t="array" ref="D78">INDEX(FLT_Prod_Info,$U78,$AB78*D$5+$AC78)</f>
        <v>Refined Petroleum Stock</v>
      </c>
      <c r="E78" s="43" t="str" cm="1">
        <f t="array" ref="E78">INDEX(FLT_Prod_Info,$U78,$AB78*E$5+$AC78)</f>
        <v>Refined Petroleum Stock</v>
      </c>
      <c r="F78" s="43" t="str" cm="1">
        <f t="array" ref="F78">INDEX(FLT_Prod_Info,$U78,$AB78*F$5+$AC78)</f>
        <v>Refined Petroleum Stock</v>
      </c>
      <c r="G78" s="43" t="str" cm="1">
        <f t="array" ref="G78">INDEX(FLT_Prod_Info,$U78,$AB78*G$5+$AC78)</f>
        <v>Refined Petroleum Stock</v>
      </c>
      <c r="H78" s="43" t="str" cm="1">
        <f t="array" ref="H78">INDEX(FLT_Prod_Info,$U78,$AB78*H$5+$AC78)</f>
        <v>Refined Petroleum Stock</v>
      </c>
      <c r="I78" s="43" t="str" cm="1">
        <f t="array" ref="I78">INDEX(FLT_Prod_Info,$U78,$AB78*I$5+$AC78)</f>
        <v>Refined Petroleum Stock</v>
      </c>
      <c r="J78" s="43" t="str" cm="1">
        <f t="array" ref="J78">INDEX(FLT_Prod_Info,$U78,$AB78*J$5+$AC78)</f>
        <v>Refined Petroleum Stock</v>
      </c>
      <c r="K78" s="43" t="str" cm="1">
        <f t="array" ref="K78">INDEX(FLT_Prod_Info,$U78,$AB78*K$5+$AC78)</f>
        <v>Refined Petroleum Stock</v>
      </c>
      <c r="L78" s="43" t="str" cm="1">
        <f t="array" ref="L78">INDEX(FLT_Prod_Info,$U78,$AB78*L$5+$AC78)</f>
        <v>Refined Petroleum Stock</v>
      </c>
      <c r="M78" s="43" t="str" cm="1">
        <f t="array" ref="M78">INDEX(FLT_Prod_Info,$U78,$AB78*M$5+$AC78)</f>
        <v>Refined Petroleum Stock</v>
      </c>
      <c r="N78" s="43" t="str" cm="1">
        <f t="array" ref="N78">INDEX(FLT_Prod_Info,$U78,$AB78*N$5+$AC78)</f>
        <v>Refined Petroleum Stock</v>
      </c>
      <c r="O78" s="43" t="str" cm="1">
        <f t="array" ref="O78">INDEX(FLT_Prod_Info,$U78,$AB78*O$5+$AC78)</f>
        <v>Refined Petroleum Stock</v>
      </c>
      <c r="Q78">
        <f t="shared" ref="Q78:Q88" si="173">Q77+1</f>
        <v>3</v>
      </c>
      <c r="U78">
        <f>U76+1</f>
        <v>62</v>
      </c>
      <c r="X78">
        <v>1</v>
      </c>
      <c r="Y78">
        <v>2</v>
      </c>
      <c r="Z78">
        <v>1</v>
      </c>
      <c r="AA78">
        <v>2</v>
      </c>
      <c r="AB78">
        <f t="shared" si="171"/>
        <v>1</v>
      </c>
      <c r="AC78">
        <f t="shared" si="172"/>
        <v>0</v>
      </c>
    </row>
    <row r="79" spans="1:29" x14ac:dyDescent="0.4">
      <c r="C79" t="s">
        <v>531</v>
      </c>
      <c r="D79" s="43" t="e" cm="1">
        <f t="array" ref="D79">INDEX(FLT_Prod_Info,$U79,$AB79*D$5+$AC79)</f>
        <v>#N/A</v>
      </c>
      <c r="E79" s="43" t="e" cm="1">
        <f t="array" ref="E79">INDEX(FLT_Prod_Info,$U79,$AB79*E$5+$AC79)</f>
        <v>#N/A</v>
      </c>
      <c r="F79" s="43" t="e" cm="1">
        <f t="array" ref="F79">INDEX(FLT_Prod_Info,$U79,$AB79*F$5+$AC79)</f>
        <v>#N/A</v>
      </c>
      <c r="G79" s="43" t="e" cm="1">
        <f t="array" ref="G79">INDEX(FLT_Prod_Info,$U79,$AB79*G$5+$AC79)</f>
        <v>#N/A</v>
      </c>
      <c r="H79" s="43" t="e" cm="1">
        <f t="array" ref="H79">INDEX(FLT_Prod_Info,$U79,$AB79*H$5+$AC79)</f>
        <v>#N/A</v>
      </c>
      <c r="I79" s="43" t="e" cm="1">
        <f t="array" ref="I79">INDEX(FLT_Prod_Info,$U79,$AB79*I$5+$AC79)</f>
        <v>#N/A</v>
      </c>
      <c r="J79" s="43" t="e" cm="1">
        <f t="array" ref="J79">INDEX(FLT_Prod_Info,$U79,$AB79*J$5+$AC79)</f>
        <v>#N/A</v>
      </c>
      <c r="K79" s="43" t="e" cm="1">
        <f t="array" ref="K79">INDEX(FLT_Prod_Info,$U79,$AB79*K$5+$AC79)</f>
        <v>#N/A</v>
      </c>
      <c r="L79" s="43" t="e" cm="1">
        <f t="array" ref="L79">INDEX(FLT_Prod_Info,$U79,$AB79*L$5+$AC79)</f>
        <v>#N/A</v>
      </c>
      <c r="M79" s="43" t="e" cm="1">
        <f t="array" ref="M79">INDEX(FLT_Prod_Info,$U79,$AB79*M$5+$AC79)</f>
        <v>#N/A</v>
      </c>
      <c r="N79" s="43" t="e" cm="1">
        <f t="array" ref="N79">INDEX(FLT_Prod_Info,$U79,$AB79*N$5+$AC79)</f>
        <v>#N/A</v>
      </c>
      <c r="O79" s="43" t="e" cm="1">
        <f t="array" ref="O79">INDEX(FLT_Prod_Info,$U79,$AB79*O$5+$AC79)</f>
        <v>#N/A</v>
      </c>
      <c r="Q79">
        <f t="shared" si="173"/>
        <v>4</v>
      </c>
      <c r="U79">
        <f>U78+5</f>
        <v>67</v>
      </c>
      <c r="X79">
        <v>1</v>
      </c>
      <c r="Y79">
        <v>2</v>
      </c>
      <c r="Z79">
        <v>1</v>
      </c>
      <c r="AA79">
        <v>2</v>
      </c>
      <c r="AB79">
        <f t="shared" si="171"/>
        <v>1</v>
      </c>
      <c r="AC79">
        <f t="shared" si="172"/>
        <v>0</v>
      </c>
    </row>
    <row r="80" spans="1:29" x14ac:dyDescent="0.4">
      <c r="C80" t="s">
        <v>546</v>
      </c>
      <c r="D80" s="43" cm="1">
        <f t="array" ref="D80">INDEX(FLT_Prod_Info,$U80,$AB80*D$5+$AC80)</f>
        <v>1</v>
      </c>
      <c r="E80" s="43" cm="1">
        <f t="array" ref="E80">INDEX(FLT_Prod_Info,$U80,$AB80*E$5+$AC80)</f>
        <v>1</v>
      </c>
      <c r="F80" s="43" cm="1">
        <f t="array" ref="F80">INDEX(FLT_Prod_Info,$U80,$AB80*F$5+$AC80)</f>
        <v>1</v>
      </c>
      <c r="G80" s="43" cm="1">
        <f t="array" ref="G80">INDEX(FLT_Prod_Info,$U80,$AB80*G$5+$AC80)</f>
        <v>1</v>
      </c>
      <c r="H80" s="43" cm="1">
        <f t="array" ref="H80">INDEX(FLT_Prod_Info,$U80,$AB80*H$5+$AC80)</f>
        <v>1</v>
      </c>
      <c r="I80" s="43" cm="1">
        <f t="array" ref="I80">INDEX(FLT_Prod_Info,$U80,$AB80*I$5+$AC80)</f>
        <v>1</v>
      </c>
      <c r="J80" s="43" cm="1">
        <f t="array" ref="J80">INDEX(FLT_Prod_Info,$U80,$AB80*J$5+$AC80)</f>
        <v>1</v>
      </c>
      <c r="K80" s="43" cm="1">
        <f t="array" ref="K80">INDEX(FLT_Prod_Info,$U80,$AB80*K$5+$AC80)</f>
        <v>1</v>
      </c>
      <c r="L80" s="43" cm="1">
        <f t="array" ref="L80">INDEX(FLT_Prod_Info,$U80,$AB80*L$5+$AC80)</f>
        <v>1</v>
      </c>
      <c r="M80" s="43" cm="1">
        <f t="array" ref="M80">INDEX(FLT_Prod_Info,$U80,$AB80*M$5+$AC80)</f>
        <v>1</v>
      </c>
      <c r="N80" s="43" cm="1">
        <f t="array" ref="N80">INDEX(FLT_Prod_Info,$U80,$AB80*N$5+$AC80)</f>
        <v>1</v>
      </c>
      <c r="O80" s="43" cm="1">
        <f t="array" ref="O80">INDEX(FLT_Prod_Info,$U80,$AB80*O$5+$AC80)</f>
        <v>1</v>
      </c>
      <c r="Q80">
        <f t="shared" si="173"/>
        <v>5</v>
      </c>
      <c r="U80">
        <f>U76+4</f>
        <v>65</v>
      </c>
      <c r="X80">
        <v>1</v>
      </c>
      <c r="Y80">
        <v>2</v>
      </c>
      <c r="Z80">
        <v>1</v>
      </c>
      <c r="AA80">
        <v>2</v>
      </c>
      <c r="AB80">
        <f t="shared" si="171"/>
        <v>1</v>
      </c>
      <c r="AC80">
        <f t="shared" si="172"/>
        <v>0</v>
      </c>
    </row>
    <row r="81" spans="1:29" x14ac:dyDescent="0.4">
      <c r="C81" t="s">
        <v>547</v>
      </c>
      <c r="D81" s="43" cm="1">
        <f t="array" ref="D81">INDEX(FLT_Prod_Info,$U81,$AB81*D$5+$AC81)</f>
        <v>0</v>
      </c>
      <c r="E81" s="43" cm="1">
        <f t="array" ref="E81">INDEX(FLT_Prod_Info,$U81,$AB81*E$5+$AC81)</f>
        <v>0</v>
      </c>
      <c r="F81" s="43" cm="1">
        <f t="array" ref="F81">INDEX(FLT_Prod_Info,$U81,$AB81*F$5+$AC81)</f>
        <v>0</v>
      </c>
      <c r="G81" s="43" cm="1">
        <f t="array" ref="G81">INDEX(FLT_Prod_Info,$U81,$AB81*G$5+$AC81)</f>
        <v>0</v>
      </c>
      <c r="H81" s="43" cm="1">
        <f t="array" ref="H81">INDEX(FLT_Prod_Info,$U81,$AB81*H$5+$AC81)</f>
        <v>0</v>
      </c>
      <c r="I81" s="43" cm="1">
        <f t="array" ref="I81">INDEX(FLT_Prod_Info,$U81,$AB81*I$5+$AC81)</f>
        <v>0</v>
      </c>
      <c r="J81" s="43" cm="1">
        <f t="array" ref="J81">INDEX(FLT_Prod_Info,$U81,$AB81*J$5+$AC81)</f>
        <v>0</v>
      </c>
      <c r="K81" s="43" cm="1">
        <f t="array" ref="K81">INDEX(FLT_Prod_Info,$U81,$AB81*K$5+$AC81)</f>
        <v>0</v>
      </c>
      <c r="L81" s="43" cm="1">
        <f t="array" ref="L81">INDEX(FLT_Prod_Info,$U81,$AB81*L$5+$AC81)</f>
        <v>0</v>
      </c>
      <c r="M81" s="43" cm="1">
        <f t="array" ref="M81">INDEX(FLT_Prod_Info,$U81,$AB81*M$5+$AC81)</f>
        <v>0</v>
      </c>
      <c r="N81" s="43" cm="1">
        <f t="array" ref="N81">INDEX(FLT_Prod_Info,$U81,$AB81*N$5+$AC81)</f>
        <v>0</v>
      </c>
      <c r="O81" s="43" cm="1">
        <f t="array" ref="O81">INDEX(FLT_Prod_Info,$U81,$AB81*O$5+$AC81)</f>
        <v>0</v>
      </c>
      <c r="Q81">
        <f t="shared" si="173"/>
        <v>6</v>
      </c>
      <c r="U81">
        <f>U77+4</f>
        <v>70</v>
      </c>
      <c r="X81">
        <v>1</v>
      </c>
      <c r="Y81">
        <v>2</v>
      </c>
      <c r="Z81">
        <v>1</v>
      </c>
      <c r="AA81">
        <v>2</v>
      </c>
      <c r="AB81">
        <f t="shared" si="171"/>
        <v>1</v>
      </c>
      <c r="AC81">
        <f t="shared" si="172"/>
        <v>0</v>
      </c>
    </row>
    <row r="82" spans="1:29" x14ac:dyDescent="0.4">
      <c r="C82" t="s">
        <v>532</v>
      </c>
      <c r="D82" s="43">
        <f t="shared" ref="D82:O83" si="174">IFERROR(VLOOKUP(D76,Phys_Prop,2,FALSE),0)</f>
        <v>80</v>
      </c>
      <c r="E82" s="43">
        <f t="shared" si="174"/>
        <v>80</v>
      </c>
      <c r="F82" s="43">
        <f t="shared" si="174"/>
        <v>80</v>
      </c>
      <c r="G82" s="43">
        <f t="shared" si="174"/>
        <v>80</v>
      </c>
      <c r="H82" s="43">
        <f t="shared" si="174"/>
        <v>80</v>
      </c>
      <c r="I82" s="43">
        <f t="shared" si="174"/>
        <v>80</v>
      </c>
      <c r="J82" s="43">
        <f t="shared" si="174"/>
        <v>80</v>
      </c>
      <c r="K82" s="43">
        <f t="shared" si="174"/>
        <v>80</v>
      </c>
      <c r="L82" s="43">
        <f t="shared" si="174"/>
        <v>80</v>
      </c>
      <c r="M82" s="43">
        <f t="shared" si="174"/>
        <v>80</v>
      </c>
      <c r="N82" s="43">
        <f t="shared" si="174"/>
        <v>80</v>
      </c>
      <c r="O82" s="43">
        <f t="shared" si="174"/>
        <v>80</v>
      </c>
      <c r="Q82">
        <f t="shared" si="173"/>
        <v>7</v>
      </c>
    </row>
    <row r="83" spans="1:29" x14ac:dyDescent="0.4">
      <c r="C83" t="s">
        <v>533</v>
      </c>
      <c r="D83" s="43">
        <f t="shared" si="174"/>
        <v>0</v>
      </c>
      <c r="E83" s="43">
        <f t="shared" si="174"/>
        <v>0</v>
      </c>
      <c r="F83" s="43">
        <f t="shared" si="174"/>
        <v>0</v>
      </c>
      <c r="G83" s="43">
        <f t="shared" si="174"/>
        <v>0</v>
      </c>
      <c r="H83" s="43">
        <f t="shared" si="174"/>
        <v>0</v>
      </c>
      <c r="I83" s="43">
        <f t="shared" si="174"/>
        <v>0</v>
      </c>
      <c r="J83" s="43">
        <f t="shared" si="174"/>
        <v>0</v>
      </c>
      <c r="K83" s="43">
        <f t="shared" si="174"/>
        <v>0</v>
      </c>
      <c r="L83" s="43">
        <f t="shared" si="174"/>
        <v>0</v>
      </c>
      <c r="M83" s="43">
        <f t="shared" si="174"/>
        <v>0</v>
      </c>
      <c r="N83" s="43">
        <f t="shared" si="174"/>
        <v>0</v>
      </c>
      <c r="O83" s="43">
        <f t="shared" si="174"/>
        <v>0</v>
      </c>
      <c r="Q83">
        <f t="shared" si="173"/>
        <v>8</v>
      </c>
    </row>
    <row r="84" spans="1:29" x14ac:dyDescent="0.4">
      <c r="C84" t="s">
        <v>544</v>
      </c>
      <c r="D84" s="43">
        <f>IFERROR(IFERROR(1/(D80/D82+D81/D83),D82/D80),1)</f>
        <v>80</v>
      </c>
      <c r="E84" s="43">
        <f t="shared" ref="E84" si="175">IFERROR(IFERROR(1/(E80/E82+E81/E83),E82/E80),1)</f>
        <v>80</v>
      </c>
      <c r="F84" s="43">
        <f t="shared" ref="F84" si="176">IFERROR(IFERROR(1/(F80/F82+F81/F83),F82/F80),1)</f>
        <v>80</v>
      </c>
      <c r="G84" s="43">
        <f t="shared" ref="G84" si="177">IFERROR(IFERROR(1/(G80/G82+G81/G83),G82/G80),1)</f>
        <v>80</v>
      </c>
      <c r="H84" s="43">
        <f t="shared" ref="H84" si="178">IFERROR(IFERROR(1/(H80/H82+H81/H83),H82/H80),1)</f>
        <v>80</v>
      </c>
      <c r="I84" s="43">
        <f t="shared" ref="I84" si="179">IFERROR(IFERROR(1/(I80/I82+I81/I83),I82/I80),1)</f>
        <v>80</v>
      </c>
      <c r="J84" s="43">
        <f t="shared" ref="J84" si="180">IFERROR(IFERROR(1/(J80/J82+J81/J83),J82/J80),1)</f>
        <v>80</v>
      </c>
      <c r="K84" s="43">
        <f t="shared" ref="K84" si="181">IFERROR(IFERROR(1/(K80/K82+K81/K83),K82/K80),1)</f>
        <v>80</v>
      </c>
      <c r="L84" s="43">
        <f t="shared" ref="L84" si="182">IFERROR(IFERROR(1/(L80/L82+L81/L83),L82/L80),1)</f>
        <v>80</v>
      </c>
      <c r="M84" s="43">
        <f t="shared" ref="M84" si="183">IFERROR(IFERROR(1/(M80/M82+M81/M83),M82/M80),1)</f>
        <v>80</v>
      </c>
      <c r="N84" s="43">
        <f t="shared" ref="N84" si="184">IFERROR(IFERROR(1/(N80/N82+N81/N83),N82/N80),1)</f>
        <v>80</v>
      </c>
      <c r="O84" s="43">
        <f t="shared" ref="O84" si="185">IFERROR(IFERROR(1/(O80/O82+O81/O83),O82/O80),1)</f>
        <v>80</v>
      </c>
      <c r="Q84">
        <f t="shared" si="173"/>
        <v>9</v>
      </c>
    </row>
    <row r="85" spans="1:29" x14ac:dyDescent="0.4">
      <c r="C85" t="s">
        <v>539</v>
      </c>
      <c r="D85" s="43">
        <f>IFERROR((D80/D82)*D84,1)</f>
        <v>1</v>
      </c>
      <c r="E85" s="43">
        <f t="shared" ref="E85" si="186">IFERROR((E80/E82)*E84,1)</f>
        <v>1</v>
      </c>
      <c r="F85" s="43">
        <f t="shared" ref="F85" si="187">IFERROR((F80/F82)*F84,1)</f>
        <v>1</v>
      </c>
      <c r="G85" s="43">
        <f t="shared" ref="G85" si="188">IFERROR((G80/G82)*G84,1)</f>
        <v>1</v>
      </c>
      <c r="H85" s="43">
        <f t="shared" ref="H85" si="189">IFERROR((H80/H82)*H84,1)</f>
        <v>1</v>
      </c>
      <c r="I85" s="43">
        <f t="shared" ref="I85" si="190">IFERROR((I80/I82)*I84,1)</f>
        <v>1</v>
      </c>
      <c r="J85" s="43">
        <f t="shared" ref="J85" si="191">IFERROR((J80/J82)*J84,1)</f>
        <v>1</v>
      </c>
      <c r="K85" s="43">
        <f t="shared" ref="K85" si="192">IFERROR((K80/K82)*K84,1)</f>
        <v>1</v>
      </c>
      <c r="L85" s="43">
        <f t="shared" ref="L85" si="193">IFERROR((L80/L82)*L84,1)</f>
        <v>1</v>
      </c>
      <c r="M85" s="43">
        <f t="shared" ref="M85" si="194">IFERROR((M80/M82)*M84,1)</f>
        <v>1</v>
      </c>
      <c r="N85" s="43">
        <f t="shared" ref="N85" si="195">IFERROR((N80/N82)*N84,1)</f>
        <v>1</v>
      </c>
      <c r="O85" s="43">
        <f t="shared" ref="O85" si="196">IFERROR((O80/O82)*O84,1)</f>
        <v>1</v>
      </c>
      <c r="Q85">
        <f t="shared" si="173"/>
        <v>10</v>
      </c>
    </row>
    <row r="86" spans="1:29" x14ac:dyDescent="0.4">
      <c r="C86" t="s">
        <v>540</v>
      </c>
      <c r="D86" s="43">
        <f>IFERROR(D81/D83*D84,0)</f>
        <v>0</v>
      </c>
      <c r="E86" s="43">
        <f t="shared" ref="E86:O86" si="197">IFERROR(E81/E83*E84,0)</f>
        <v>0</v>
      </c>
      <c r="F86" s="43">
        <f t="shared" si="197"/>
        <v>0</v>
      </c>
      <c r="G86" s="43">
        <f t="shared" si="197"/>
        <v>0</v>
      </c>
      <c r="H86" s="43">
        <f t="shared" si="197"/>
        <v>0</v>
      </c>
      <c r="I86" s="43">
        <f t="shared" si="197"/>
        <v>0</v>
      </c>
      <c r="J86" s="43">
        <f t="shared" si="197"/>
        <v>0</v>
      </c>
      <c r="K86" s="43">
        <f t="shared" si="197"/>
        <v>0</v>
      </c>
      <c r="L86" s="43">
        <f t="shared" si="197"/>
        <v>0</v>
      </c>
      <c r="M86" s="43">
        <f t="shared" si="197"/>
        <v>0</v>
      </c>
      <c r="N86" s="43">
        <f t="shared" si="197"/>
        <v>0</v>
      </c>
      <c r="O86" s="43">
        <f t="shared" si="197"/>
        <v>0</v>
      </c>
      <c r="Q86">
        <f t="shared" si="173"/>
        <v>11</v>
      </c>
    </row>
    <row r="87" spans="1:29" x14ac:dyDescent="0.4">
      <c r="C87" s="21" t="s">
        <v>534</v>
      </c>
      <c r="D87" s="43">
        <f t="shared" ref="D87:O88" si="198">IFERROR(VLOOKUP(D76,Phys_Prop,4,FALSE),0)</f>
        <v>5.8309999999999995</v>
      </c>
      <c r="E87" s="43">
        <f t="shared" si="198"/>
        <v>5.8309999999999995</v>
      </c>
      <c r="F87" s="43">
        <f t="shared" si="198"/>
        <v>5.8309999999999995</v>
      </c>
      <c r="G87" s="43">
        <f t="shared" si="198"/>
        <v>5.8309999999999995</v>
      </c>
      <c r="H87" s="43">
        <f t="shared" si="198"/>
        <v>5.8309999999999995</v>
      </c>
      <c r="I87" s="43">
        <f t="shared" si="198"/>
        <v>5.8309999999999995</v>
      </c>
      <c r="J87" s="43">
        <f t="shared" si="198"/>
        <v>5.8309999999999995</v>
      </c>
      <c r="K87" s="43">
        <f t="shared" si="198"/>
        <v>5.8309999999999995</v>
      </c>
      <c r="L87" s="43">
        <f t="shared" si="198"/>
        <v>5.8309999999999995</v>
      </c>
      <c r="M87" s="43">
        <f t="shared" si="198"/>
        <v>5.8309999999999995</v>
      </c>
      <c r="N87" s="43">
        <f t="shared" si="198"/>
        <v>5.8309999999999995</v>
      </c>
      <c r="O87" s="43">
        <f t="shared" si="198"/>
        <v>5.8309999999999995</v>
      </c>
      <c r="Q87">
        <f t="shared" si="173"/>
        <v>12</v>
      </c>
    </row>
    <row r="88" spans="1:29" x14ac:dyDescent="0.4">
      <c r="C88" s="21" t="s">
        <v>535</v>
      </c>
      <c r="D88" s="43">
        <f t="shared" si="198"/>
        <v>0</v>
      </c>
      <c r="E88" s="43">
        <f t="shared" si="198"/>
        <v>0</v>
      </c>
      <c r="F88" s="43">
        <f t="shared" si="198"/>
        <v>0</v>
      </c>
      <c r="G88" s="43">
        <f t="shared" si="198"/>
        <v>0</v>
      </c>
      <c r="H88" s="43">
        <f t="shared" si="198"/>
        <v>0</v>
      </c>
      <c r="I88" s="43">
        <f t="shared" si="198"/>
        <v>0</v>
      </c>
      <c r="J88" s="43">
        <f t="shared" si="198"/>
        <v>0</v>
      </c>
      <c r="K88" s="43">
        <f t="shared" si="198"/>
        <v>0</v>
      </c>
      <c r="L88" s="43">
        <f t="shared" si="198"/>
        <v>0</v>
      </c>
      <c r="M88" s="43">
        <f t="shared" si="198"/>
        <v>0</v>
      </c>
      <c r="N88" s="43">
        <f t="shared" si="198"/>
        <v>0</v>
      </c>
      <c r="O88" s="43">
        <f t="shared" si="198"/>
        <v>0</v>
      </c>
      <c r="Q88">
        <f t="shared" si="173"/>
        <v>13</v>
      </c>
    </row>
    <row r="89" spans="1:29" x14ac:dyDescent="0.4">
      <c r="A89" s="11"/>
      <c r="B89" s="11"/>
      <c r="C89" s="62" t="s">
        <v>536</v>
      </c>
      <c r="D89" s="208">
        <f>IF(IFERROR(IFERROR(1/(D85/D87+D86/D88),D87),0)="N/A",0,IFERROR(IFERROR(1/(D85/D87+D86/D88),D87),0))</f>
        <v>5.8309999999999995</v>
      </c>
      <c r="E89" s="208">
        <f t="shared" ref="E89" si="199">IF(IFERROR(IFERROR(1/(E85/E87+E86/E88),E87),0)="N/A",0,IFERROR(IFERROR(1/(E85/E87+E86/E88),E87),0))</f>
        <v>5.8309999999999995</v>
      </c>
      <c r="F89" s="208">
        <f t="shared" ref="F89" si="200">IF(IFERROR(IFERROR(1/(F85/F87+F86/F88),F87),0)="N/A",0,IFERROR(IFERROR(1/(F85/F87+F86/F88),F87),0))</f>
        <v>5.8309999999999995</v>
      </c>
      <c r="G89" s="208">
        <f t="shared" ref="G89" si="201">IF(IFERROR(IFERROR(1/(G85/G87+G86/G88),G87),0)="N/A",0,IFERROR(IFERROR(1/(G85/G87+G86/G88),G87),0))</f>
        <v>5.8309999999999995</v>
      </c>
      <c r="H89" s="208">
        <f t="shared" ref="H89" si="202">IF(IFERROR(IFERROR(1/(H85/H87+H86/H88),H87),0)="N/A",0,IFERROR(IFERROR(1/(H85/H87+H86/H88),H87),0))</f>
        <v>5.8309999999999995</v>
      </c>
      <c r="I89" s="208">
        <f t="shared" ref="I89" si="203">IF(IFERROR(IFERROR(1/(I85/I87+I86/I88),I87),0)="N/A",0,IFERROR(IFERROR(1/(I85/I87+I86/I88),I87),0))</f>
        <v>5.8309999999999995</v>
      </c>
      <c r="J89" s="208">
        <f t="shared" ref="J89" si="204">IF(IFERROR(IFERROR(1/(J85/J87+J86/J88),J87),0)="N/A",0,IFERROR(IFERROR(1/(J85/J87+J86/J88),J87),0))</f>
        <v>5.8309999999999995</v>
      </c>
      <c r="K89" s="208">
        <f t="shared" ref="K89" si="205">IF(IFERROR(IFERROR(1/(K85/K87+K86/K88),K87),0)="N/A",0,IFERROR(IFERROR(1/(K85/K87+K86/K88),K87),0))</f>
        <v>5.8309999999999995</v>
      </c>
      <c r="L89" s="208">
        <f t="shared" ref="L89" si="206">IF(IFERROR(IFERROR(1/(L85/L87+L86/L88),L87),0)="N/A",0,IFERROR(IFERROR(1/(L85/L87+L86/L88),L87),0))</f>
        <v>5.8309999999999995</v>
      </c>
      <c r="M89" s="208">
        <f t="shared" ref="M89" si="207">IF(IFERROR(IFERROR(1/(M85/M87+M86/M88),M87),0)="N/A",0,IFERROR(IFERROR(1/(M85/M87+M86/M88),M87),0))</f>
        <v>5.8309999999999995</v>
      </c>
      <c r="N89" s="208">
        <f t="shared" ref="N89" si="208">IF(IFERROR(IFERROR(1/(N85/N87+N86/N88),N87),0)="N/A",0,IFERROR(IFERROR(1/(N85/N87+N86/N88),N87),0))</f>
        <v>5.8309999999999995</v>
      </c>
      <c r="O89" s="208">
        <f t="shared" ref="O89" si="209">IF(IFERROR(IFERROR(1/(O85/O87+O86/O88),O87),0)="N/A",0,IFERROR(IFERROR(1/(O85/O87+O86/O88),O87),0))</f>
        <v>5.8309999999999995</v>
      </c>
      <c r="P89" s="11"/>
      <c r="Q89" s="11">
        <f>Q88+1</f>
        <v>14</v>
      </c>
      <c r="R89" s="11"/>
      <c r="S89" s="11"/>
      <c r="T89" s="11"/>
      <c r="U89" s="11"/>
      <c r="V89" s="11"/>
      <c r="W89" s="11"/>
      <c r="X89" s="11"/>
      <c r="Y89" s="11"/>
      <c r="Z89" s="11"/>
      <c r="AA89" s="11"/>
      <c r="AB89" s="11"/>
      <c r="AC89" s="11"/>
    </row>
    <row r="90" spans="1:29" x14ac:dyDescent="0.4">
      <c r="A90" t="str" cm="1">
        <f t="array" ref="A90">INDEX(FLT_Cons,$R90,$T90)</f>
        <v>FLT - 7</v>
      </c>
      <c r="B90" t="str" cm="1">
        <f t="array" ref="B90">INDEX(FLT_Cons,$R90,$T91)</f>
        <v>Portland</v>
      </c>
      <c r="C90" t="s">
        <v>528</v>
      </c>
      <c r="D90" s="43" t="str" cm="1">
        <f t="array" ref="D90">INDEX(FLT_Prod_Info,$U90,$AB90*D$5+$AC90)</f>
        <v>Jet kerosene</v>
      </c>
      <c r="E90" s="43" t="str" cm="1">
        <f t="array" ref="E90">INDEX(FLT_Prod_Info,$U90,$AB90*E$5+$AC90)</f>
        <v>Jet kerosene</v>
      </c>
      <c r="F90" s="43" t="str" cm="1">
        <f t="array" ref="F90">INDEX(FLT_Prod_Info,$U90,$AB90*F$5+$AC90)</f>
        <v>Jet kerosene</v>
      </c>
      <c r="G90" s="43" t="str" cm="1">
        <f t="array" ref="G90">INDEX(FLT_Prod_Info,$U90,$AB90*G$5+$AC90)</f>
        <v>Jet kerosene</v>
      </c>
      <c r="H90" s="43" t="str" cm="1">
        <f t="array" ref="H90">INDEX(FLT_Prod_Info,$U90,$AB90*H$5+$AC90)</f>
        <v>Jet kerosene</v>
      </c>
      <c r="I90" s="43" t="str" cm="1">
        <f t="array" ref="I90">INDEX(FLT_Prod_Info,$U90,$AB90*I$5+$AC90)</f>
        <v>Jet kerosene</v>
      </c>
      <c r="J90" s="43" t="str" cm="1">
        <f t="array" ref="J90">INDEX(FLT_Prod_Info,$U90,$AB90*J$5+$AC90)</f>
        <v>Jet kerosene</v>
      </c>
      <c r="K90" s="43" t="str" cm="1">
        <f t="array" ref="K90">INDEX(FLT_Prod_Info,$U90,$AB90*K$5+$AC90)</f>
        <v>Jet kerosene</v>
      </c>
      <c r="L90" s="43" t="str" cm="1">
        <f t="array" ref="L90">INDEX(FLT_Prod_Info,$U90,$AB90*L$5+$AC90)</f>
        <v>Jet kerosene</v>
      </c>
      <c r="M90" s="43" t="str" cm="1">
        <f t="array" ref="M90">INDEX(FLT_Prod_Info,$U90,$AB90*M$5+$AC90)</f>
        <v>Jet kerosene</v>
      </c>
      <c r="N90" s="43" t="str" cm="1">
        <f t="array" ref="N90">INDEX(FLT_Prod_Info,$U90,$AB90*N$5+$AC90)</f>
        <v>Jet kerosene</v>
      </c>
      <c r="O90" s="43" t="str" cm="1">
        <f t="array" ref="O90">INDEX(FLT_Prod_Info,$U90,$AB90*O$5+$AC90)</f>
        <v>Jet kerosene</v>
      </c>
      <c r="Q90">
        <v>1</v>
      </c>
      <c r="R90">
        <f>R76+1</f>
        <v>7</v>
      </c>
      <c r="S90" t="s">
        <v>237</v>
      </c>
      <c r="T90">
        <v>1</v>
      </c>
      <c r="U90">
        <f>U76+12</f>
        <v>73</v>
      </c>
      <c r="V90">
        <v>1</v>
      </c>
      <c r="W90">
        <v>3</v>
      </c>
      <c r="X90">
        <v>1</v>
      </c>
      <c r="Y90">
        <v>2</v>
      </c>
      <c r="Z90">
        <v>1</v>
      </c>
      <c r="AA90">
        <v>2</v>
      </c>
      <c r="AB90">
        <f t="shared" ref="AB90:AB95" si="210">(Y90-X90)/(AA90-Z90)</f>
        <v>1</v>
      </c>
      <c r="AC90">
        <f t="shared" ref="AC90:AC95" si="211">X90-AB90*Z90</f>
        <v>0</v>
      </c>
    </row>
    <row r="91" spans="1:29" x14ac:dyDescent="0.4">
      <c r="C91" t="s">
        <v>529</v>
      </c>
      <c r="D91" s="43" t="str" cm="1">
        <f t="array" ref="D91">INDEX(FLT_Prod_Info,$U91,$AB91*D$5+$AC91)</f>
        <v/>
      </c>
      <c r="E91" s="43" t="str" cm="1">
        <f t="array" ref="E91">INDEX(FLT_Prod_Info,$U91,$AB91*E$5+$AC91)</f>
        <v/>
      </c>
      <c r="F91" s="43" t="str" cm="1">
        <f t="array" ref="F91">INDEX(FLT_Prod_Info,$U91,$AB91*F$5+$AC91)</f>
        <v/>
      </c>
      <c r="G91" s="43" t="str" cm="1">
        <f t="array" ref="G91">INDEX(FLT_Prod_Info,$U91,$AB91*G$5+$AC91)</f>
        <v/>
      </c>
      <c r="H91" s="43" t="str" cm="1">
        <f t="array" ref="H91">INDEX(FLT_Prod_Info,$U91,$AB91*H$5+$AC91)</f>
        <v/>
      </c>
      <c r="I91" s="43" t="str" cm="1">
        <f t="array" ref="I91">INDEX(FLT_Prod_Info,$U91,$AB91*I$5+$AC91)</f>
        <v/>
      </c>
      <c r="J91" s="43" t="str" cm="1">
        <f t="array" ref="J91">INDEX(FLT_Prod_Info,$U91,$AB91*J$5+$AC91)</f>
        <v/>
      </c>
      <c r="K91" s="43" t="str" cm="1">
        <f t="array" ref="K91">INDEX(FLT_Prod_Info,$U91,$AB91*K$5+$AC91)</f>
        <v/>
      </c>
      <c r="L91" s="43" t="str" cm="1">
        <f t="array" ref="L91">INDEX(FLT_Prod_Info,$U91,$AB91*L$5+$AC91)</f>
        <v/>
      </c>
      <c r="M91" s="43" t="str" cm="1">
        <f t="array" ref="M91">INDEX(FLT_Prod_Info,$U91,$AB91*M$5+$AC91)</f>
        <v/>
      </c>
      <c r="N91" s="43" t="str" cm="1">
        <f t="array" ref="N91">INDEX(FLT_Prod_Info,$U91,$AB91*N$5+$AC91)</f>
        <v/>
      </c>
      <c r="O91" s="43" t="str" cm="1">
        <f t="array" ref="O91">INDEX(FLT_Prod_Info,$U91,$AB91*O$5+$AC91)</f>
        <v/>
      </c>
      <c r="Q91">
        <f>Q90+1</f>
        <v>2</v>
      </c>
      <c r="S91" t="s">
        <v>549</v>
      </c>
      <c r="T91">
        <v>3</v>
      </c>
      <c r="U91">
        <f>U90+5</f>
        <v>78</v>
      </c>
      <c r="X91">
        <v>1</v>
      </c>
      <c r="Y91">
        <v>2</v>
      </c>
      <c r="Z91">
        <v>1</v>
      </c>
      <c r="AA91">
        <v>2</v>
      </c>
      <c r="AB91">
        <f t="shared" si="210"/>
        <v>1</v>
      </c>
      <c r="AC91">
        <f t="shared" si="211"/>
        <v>0</v>
      </c>
    </row>
    <row r="92" spans="1:29" x14ac:dyDescent="0.4">
      <c r="C92" t="s">
        <v>530</v>
      </c>
      <c r="D92" s="43" t="str" cm="1">
        <f t="array" ref="D92">INDEX(FLT_Prod_Info,$U92,$AB92*D$5+$AC92)</f>
        <v>Select Pet Stock</v>
      </c>
      <c r="E92" s="43" t="str" cm="1">
        <f t="array" ref="E92">INDEX(FLT_Prod_Info,$U92,$AB92*E$5+$AC92)</f>
        <v>Select Pet Stock</v>
      </c>
      <c r="F92" s="43" t="str" cm="1">
        <f t="array" ref="F92">INDEX(FLT_Prod_Info,$U92,$AB92*F$5+$AC92)</f>
        <v>Select Pet Stock</v>
      </c>
      <c r="G92" s="43" t="str" cm="1">
        <f t="array" ref="G92">INDEX(FLT_Prod_Info,$U92,$AB92*G$5+$AC92)</f>
        <v>Select Pet Stock</v>
      </c>
      <c r="H92" s="43" t="str" cm="1">
        <f t="array" ref="H92">INDEX(FLT_Prod_Info,$U92,$AB92*H$5+$AC92)</f>
        <v>Select Pet Stock</v>
      </c>
      <c r="I92" s="43" t="str" cm="1">
        <f t="array" ref="I92">INDEX(FLT_Prod_Info,$U92,$AB92*I$5+$AC92)</f>
        <v>Select Pet Stock</v>
      </c>
      <c r="J92" s="43" t="str" cm="1">
        <f t="array" ref="J92">INDEX(FLT_Prod_Info,$U92,$AB92*J$5+$AC92)</f>
        <v>Select Pet Stock</v>
      </c>
      <c r="K92" s="43" t="str" cm="1">
        <f t="array" ref="K92">INDEX(FLT_Prod_Info,$U92,$AB92*K$5+$AC92)</f>
        <v>Select Pet Stock</v>
      </c>
      <c r="L92" s="43" t="str" cm="1">
        <f t="array" ref="L92">INDEX(FLT_Prod_Info,$U92,$AB92*L$5+$AC92)</f>
        <v>Select Pet Stock</v>
      </c>
      <c r="M92" s="43" t="str" cm="1">
        <f t="array" ref="M92">INDEX(FLT_Prod_Info,$U92,$AB92*M$5+$AC92)</f>
        <v>Select Pet Stock</v>
      </c>
      <c r="N92" s="43" t="str" cm="1">
        <f t="array" ref="N92">INDEX(FLT_Prod_Info,$U92,$AB92*N$5+$AC92)</f>
        <v>Select Pet Stock</v>
      </c>
      <c r="O92" s="43" t="str" cm="1">
        <f t="array" ref="O92">INDEX(FLT_Prod_Info,$U92,$AB92*O$5+$AC92)</f>
        <v>Select Pet Stock</v>
      </c>
      <c r="Q92">
        <f t="shared" ref="Q92:Q102" si="212">Q91+1</f>
        <v>3</v>
      </c>
      <c r="U92">
        <f>U90+1</f>
        <v>74</v>
      </c>
      <c r="X92">
        <v>1</v>
      </c>
      <c r="Y92">
        <v>2</v>
      </c>
      <c r="Z92">
        <v>1</v>
      </c>
      <c r="AA92">
        <v>2</v>
      </c>
      <c r="AB92">
        <f t="shared" si="210"/>
        <v>1</v>
      </c>
      <c r="AC92">
        <f t="shared" si="211"/>
        <v>0</v>
      </c>
    </row>
    <row r="93" spans="1:29" x14ac:dyDescent="0.4">
      <c r="C93" t="s">
        <v>531</v>
      </c>
      <c r="D93" s="43" t="e" cm="1">
        <f t="array" ref="D93">INDEX(FLT_Prod_Info,$U93,$AB93*D$5+$AC93)</f>
        <v>#N/A</v>
      </c>
      <c r="E93" s="43" t="e" cm="1">
        <f t="array" ref="E93">INDEX(FLT_Prod_Info,$U93,$AB93*E$5+$AC93)</f>
        <v>#N/A</v>
      </c>
      <c r="F93" s="43" t="e" cm="1">
        <f t="array" ref="F93">INDEX(FLT_Prod_Info,$U93,$AB93*F$5+$AC93)</f>
        <v>#N/A</v>
      </c>
      <c r="G93" s="43" t="e" cm="1">
        <f t="array" ref="G93">INDEX(FLT_Prod_Info,$U93,$AB93*G$5+$AC93)</f>
        <v>#N/A</v>
      </c>
      <c r="H93" s="43" t="e" cm="1">
        <f t="array" ref="H93">INDEX(FLT_Prod_Info,$U93,$AB93*H$5+$AC93)</f>
        <v>#N/A</v>
      </c>
      <c r="I93" s="43" t="e" cm="1">
        <f t="array" ref="I93">INDEX(FLT_Prod_Info,$U93,$AB93*I$5+$AC93)</f>
        <v>#N/A</v>
      </c>
      <c r="J93" s="43" t="e" cm="1">
        <f t="array" ref="J93">INDEX(FLT_Prod_Info,$U93,$AB93*J$5+$AC93)</f>
        <v>#N/A</v>
      </c>
      <c r="K93" s="43" t="e" cm="1">
        <f t="array" ref="K93">INDEX(FLT_Prod_Info,$U93,$AB93*K$5+$AC93)</f>
        <v>#N/A</v>
      </c>
      <c r="L93" s="43" t="e" cm="1">
        <f t="array" ref="L93">INDEX(FLT_Prod_Info,$U93,$AB93*L$5+$AC93)</f>
        <v>#N/A</v>
      </c>
      <c r="M93" s="43" t="e" cm="1">
        <f t="array" ref="M93">INDEX(FLT_Prod_Info,$U93,$AB93*M$5+$AC93)</f>
        <v>#N/A</v>
      </c>
      <c r="N93" s="43" t="e" cm="1">
        <f t="array" ref="N93">INDEX(FLT_Prod_Info,$U93,$AB93*N$5+$AC93)</f>
        <v>#N/A</v>
      </c>
      <c r="O93" s="43" t="e" cm="1">
        <f t="array" ref="O93">INDEX(FLT_Prod_Info,$U93,$AB93*O$5+$AC93)</f>
        <v>#N/A</v>
      </c>
      <c r="Q93">
        <f t="shared" si="212"/>
        <v>4</v>
      </c>
      <c r="U93">
        <f>U92+5</f>
        <v>79</v>
      </c>
      <c r="X93">
        <v>1</v>
      </c>
      <c r="Y93">
        <v>2</v>
      </c>
      <c r="Z93">
        <v>1</v>
      </c>
      <c r="AA93">
        <v>2</v>
      </c>
      <c r="AB93">
        <f t="shared" si="210"/>
        <v>1</v>
      </c>
      <c r="AC93">
        <f t="shared" si="211"/>
        <v>0</v>
      </c>
    </row>
    <row r="94" spans="1:29" x14ac:dyDescent="0.4">
      <c r="C94" t="s">
        <v>546</v>
      </c>
      <c r="D94" s="43" cm="1">
        <f t="array" ref="D94">INDEX(FLT_Prod_Info,$U94,$AB94*D$5+$AC94)</f>
        <v>1</v>
      </c>
      <c r="E94" s="43" cm="1">
        <f t="array" ref="E94">INDEX(FLT_Prod_Info,$U94,$AB94*E$5+$AC94)</f>
        <v>1</v>
      </c>
      <c r="F94" s="43" cm="1">
        <f t="array" ref="F94">INDEX(FLT_Prod_Info,$U94,$AB94*F$5+$AC94)</f>
        <v>1</v>
      </c>
      <c r="G94" s="43" cm="1">
        <f t="array" ref="G94">INDEX(FLT_Prod_Info,$U94,$AB94*G$5+$AC94)</f>
        <v>1</v>
      </c>
      <c r="H94" s="43" cm="1">
        <f t="array" ref="H94">INDEX(FLT_Prod_Info,$U94,$AB94*H$5+$AC94)</f>
        <v>1</v>
      </c>
      <c r="I94" s="43" cm="1">
        <f t="array" ref="I94">INDEX(FLT_Prod_Info,$U94,$AB94*I$5+$AC94)</f>
        <v>1</v>
      </c>
      <c r="J94" s="43" cm="1">
        <f t="array" ref="J94">INDEX(FLT_Prod_Info,$U94,$AB94*J$5+$AC94)</f>
        <v>1</v>
      </c>
      <c r="K94" s="43" cm="1">
        <f t="array" ref="K94">INDEX(FLT_Prod_Info,$U94,$AB94*K$5+$AC94)</f>
        <v>1</v>
      </c>
      <c r="L94" s="43" cm="1">
        <f t="array" ref="L94">INDEX(FLT_Prod_Info,$U94,$AB94*L$5+$AC94)</f>
        <v>1</v>
      </c>
      <c r="M94" s="43" cm="1">
        <f t="array" ref="M94">INDEX(FLT_Prod_Info,$U94,$AB94*M$5+$AC94)</f>
        <v>1</v>
      </c>
      <c r="N94" s="43" cm="1">
        <f t="array" ref="N94">INDEX(FLT_Prod_Info,$U94,$AB94*N$5+$AC94)</f>
        <v>1</v>
      </c>
      <c r="O94" s="43" cm="1">
        <f t="array" ref="O94">INDEX(FLT_Prod_Info,$U94,$AB94*O$5+$AC94)</f>
        <v>1</v>
      </c>
      <c r="Q94">
        <f t="shared" si="212"/>
        <v>5</v>
      </c>
      <c r="U94">
        <f>U90+4</f>
        <v>77</v>
      </c>
      <c r="X94">
        <v>1</v>
      </c>
      <c r="Y94">
        <v>2</v>
      </c>
      <c r="Z94">
        <v>1</v>
      </c>
      <c r="AA94">
        <v>2</v>
      </c>
      <c r="AB94">
        <f t="shared" si="210"/>
        <v>1</v>
      </c>
      <c r="AC94">
        <f t="shared" si="211"/>
        <v>0</v>
      </c>
    </row>
    <row r="95" spans="1:29" x14ac:dyDescent="0.4">
      <c r="C95" t="s">
        <v>547</v>
      </c>
      <c r="D95" s="43" cm="1">
        <f t="array" ref="D95">INDEX(FLT_Prod_Info,$U95,$AB95*D$5+$AC95)</f>
        <v>0</v>
      </c>
      <c r="E95" s="43" cm="1">
        <f t="array" ref="E95">INDEX(FLT_Prod_Info,$U95,$AB95*E$5+$AC95)</f>
        <v>0</v>
      </c>
      <c r="F95" s="43" cm="1">
        <f t="array" ref="F95">INDEX(FLT_Prod_Info,$U95,$AB95*F$5+$AC95)</f>
        <v>0</v>
      </c>
      <c r="G95" s="43" cm="1">
        <f t="array" ref="G95">INDEX(FLT_Prod_Info,$U95,$AB95*G$5+$AC95)</f>
        <v>0</v>
      </c>
      <c r="H95" s="43" cm="1">
        <f t="array" ref="H95">INDEX(FLT_Prod_Info,$U95,$AB95*H$5+$AC95)</f>
        <v>0</v>
      </c>
      <c r="I95" s="43" cm="1">
        <f t="array" ref="I95">INDEX(FLT_Prod_Info,$U95,$AB95*I$5+$AC95)</f>
        <v>0</v>
      </c>
      <c r="J95" s="43" cm="1">
        <f t="array" ref="J95">INDEX(FLT_Prod_Info,$U95,$AB95*J$5+$AC95)</f>
        <v>0</v>
      </c>
      <c r="K95" s="43" cm="1">
        <f t="array" ref="K95">INDEX(FLT_Prod_Info,$U95,$AB95*K$5+$AC95)</f>
        <v>0</v>
      </c>
      <c r="L95" s="43" cm="1">
        <f t="array" ref="L95">INDEX(FLT_Prod_Info,$U95,$AB95*L$5+$AC95)</f>
        <v>0</v>
      </c>
      <c r="M95" s="43" cm="1">
        <f t="array" ref="M95">INDEX(FLT_Prod_Info,$U95,$AB95*M$5+$AC95)</f>
        <v>0</v>
      </c>
      <c r="N95" s="43" cm="1">
        <f t="array" ref="N95">INDEX(FLT_Prod_Info,$U95,$AB95*N$5+$AC95)</f>
        <v>0</v>
      </c>
      <c r="O95" s="43" cm="1">
        <f t="array" ref="O95">INDEX(FLT_Prod_Info,$U95,$AB95*O$5+$AC95)</f>
        <v>0</v>
      </c>
      <c r="Q95">
        <f t="shared" si="212"/>
        <v>6</v>
      </c>
      <c r="U95">
        <f>U91+4</f>
        <v>82</v>
      </c>
      <c r="X95">
        <v>1</v>
      </c>
      <c r="Y95">
        <v>2</v>
      </c>
      <c r="Z95">
        <v>1</v>
      </c>
      <c r="AA95">
        <v>2</v>
      </c>
      <c r="AB95">
        <f t="shared" si="210"/>
        <v>1</v>
      </c>
      <c r="AC95">
        <f t="shared" si="211"/>
        <v>0</v>
      </c>
    </row>
    <row r="96" spans="1:29" x14ac:dyDescent="0.4">
      <c r="C96" t="s">
        <v>532</v>
      </c>
      <c r="D96" s="43">
        <f t="shared" ref="D96:O97" si="213">IFERROR(VLOOKUP(D90,Phys_Prop,2,FALSE),0)</f>
        <v>162</v>
      </c>
      <c r="E96" s="43">
        <f t="shared" si="213"/>
        <v>162</v>
      </c>
      <c r="F96" s="43">
        <f t="shared" si="213"/>
        <v>162</v>
      </c>
      <c r="G96" s="43">
        <f t="shared" si="213"/>
        <v>162</v>
      </c>
      <c r="H96" s="43">
        <f t="shared" si="213"/>
        <v>162</v>
      </c>
      <c r="I96" s="43">
        <f t="shared" si="213"/>
        <v>162</v>
      </c>
      <c r="J96" s="43">
        <f t="shared" si="213"/>
        <v>162</v>
      </c>
      <c r="K96" s="43">
        <f t="shared" si="213"/>
        <v>162</v>
      </c>
      <c r="L96" s="43">
        <f t="shared" si="213"/>
        <v>162</v>
      </c>
      <c r="M96" s="43">
        <f t="shared" si="213"/>
        <v>162</v>
      </c>
      <c r="N96" s="43">
        <f t="shared" si="213"/>
        <v>162</v>
      </c>
      <c r="O96" s="43">
        <f t="shared" si="213"/>
        <v>162</v>
      </c>
      <c r="Q96">
        <f t="shared" si="212"/>
        <v>7</v>
      </c>
    </row>
    <row r="97" spans="1:29" x14ac:dyDescent="0.4">
      <c r="C97" t="s">
        <v>533</v>
      </c>
      <c r="D97" s="43">
        <f t="shared" si="213"/>
        <v>0</v>
      </c>
      <c r="E97" s="43">
        <f t="shared" si="213"/>
        <v>0</v>
      </c>
      <c r="F97" s="43">
        <f t="shared" si="213"/>
        <v>0</v>
      </c>
      <c r="G97" s="43">
        <f t="shared" si="213"/>
        <v>0</v>
      </c>
      <c r="H97" s="43">
        <f t="shared" si="213"/>
        <v>0</v>
      </c>
      <c r="I97" s="43">
        <f t="shared" si="213"/>
        <v>0</v>
      </c>
      <c r="J97" s="43">
        <f t="shared" si="213"/>
        <v>0</v>
      </c>
      <c r="K97" s="43">
        <f t="shared" si="213"/>
        <v>0</v>
      </c>
      <c r="L97" s="43">
        <f t="shared" si="213"/>
        <v>0</v>
      </c>
      <c r="M97" s="43">
        <f t="shared" si="213"/>
        <v>0</v>
      </c>
      <c r="N97" s="43">
        <f t="shared" si="213"/>
        <v>0</v>
      </c>
      <c r="O97" s="43">
        <f t="shared" si="213"/>
        <v>0</v>
      </c>
      <c r="Q97">
        <f t="shared" si="212"/>
        <v>8</v>
      </c>
    </row>
    <row r="98" spans="1:29" x14ac:dyDescent="0.4">
      <c r="C98" t="s">
        <v>544</v>
      </c>
      <c r="D98" s="43">
        <f>IFERROR(IFERROR(1/(D94/D96+D95/D97),D96/D94),1)</f>
        <v>162</v>
      </c>
      <c r="E98" s="43">
        <f t="shared" ref="E98" si="214">IFERROR(IFERROR(1/(E94/E96+E95/E97),E96/E94),1)</f>
        <v>162</v>
      </c>
      <c r="F98" s="43">
        <f t="shared" ref="F98" si="215">IFERROR(IFERROR(1/(F94/F96+F95/F97),F96/F94),1)</f>
        <v>162</v>
      </c>
      <c r="G98" s="43">
        <f t="shared" ref="G98" si="216">IFERROR(IFERROR(1/(G94/G96+G95/G97),G96/G94),1)</f>
        <v>162</v>
      </c>
      <c r="H98" s="43">
        <f t="shared" ref="H98" si="217">IFERROR(IFERROR(1/(H94/H96+H95/H97),H96/H94),1)</f>
        <v>162</v>
      </c>
      <c r="I98" s="43">
        <f t="shared" ref="I98" si="218">IFERROR(IFERROR(1/(I94/I96+I95/I97),I96/I94),1)</f>
        <v>162</v>
      </c>
      <c r="J98" s="43">
        <f t="shared" ref="J98" si="219">IFERROR(IFERROR(1/(J94/J96+J95/J97),J96/J94),1)</f>
        <v>162</v>
      </c>
      <c r="K98" s="43">
        <f t="shared" ref="K98" si="220">IFERROR(IFERROR(1/(K94/K96+K95/K97),K96/K94),1)</f>
        <v>162</v>
      </c>
      <c r="L98" s="43">
        <f t="shared" ref="L98" si="221">IFERROR(IFERROR(1/(L94/L96+L95/L97),L96/L94),1)</f>
        <v>162</v>
      </c>
      <c r="M98" s="43">
        <f t="shared" ref="M98" si="222">IFERROR(IFERROR(1/(M94/M96+M95/M97),M96/M94),1)</f>
        <v>162</v>
      </c>
      <c r="N98" s="43">
        <f t="shared" ref="N98" si="223">IFERROR(IFERROR(1/(N94/N96+N95/N97),N96/N94),1)</f>
        <v>162</v>
      </c>
      <c r="O98" s="43">
        <f t="shared" ref="O98" si="224">IFERROR(IFERROR(1/(O94/O96+O95/O97),O96/O94),1)</f>
        <v>162</v>
      </c>
      <c r="Q98">
        <f t="shared" si="212"/>
        <v>9</v>
      </c>
    </row>
    <row r="99" spans="1:29" x14ac:dyDescent="0.4">
      <c r="C99" t="s">
        <v>539</v>
      </c>
      <c r="D99" s="43">
        <f>IFERROR((D94/D96)*D98,1)</f>
        <v>1</v>
      </c>
      <c r="E99" s="43">
        <f t="shared" ref="E99" si="225">IFERROR((E94/E96)*E98,1)</f>
        <v>1</v>
      </c>
      <c r="F99" s="43">
        <f t="shared" ref="F99" si="226">IFERROR((F94/F96)*F98,1)</f>
        <v>1</v>
      </c>
      <c r="G99" s="43">
        <f t="shared" ref="G99" si="227">IFERROR((G94/G96)*G98,1)</f>
        <v>1</v>
      </c>
      <c r="H99" s="43">
        <f t="shared" ref="H99" si="228">IFERROR((H94/H96)*H98,1)</f>
        <v>1</v>
      </c>
      <c r="I99" s="43">
        <f t="shared" ref="I99" si="229">IFERROR((I94/I96)*I98,1)</f>
        <v>1</v>
      </c>
      <c r="J99" s="43">
        <f t="shared" ref="J99" si="230">IFERROR((J94/J96)*J98,1)</f>
        <v>1</v>
      </c>
      <c r="K99" s="43">
        <f t="shared" ref="K99" si="231">IFERROR((K94/K96)*K98,1)</f>
        <v>1</v>
      </c>
      <c r="L99" s="43">
        <f t="shared" ref="L99" si="232">IFERROR((L94/L96)*L98,1)</f>
        <v>1</v>
      </c>
      <c r="M99" s="43">
        <f t="shared" ref="M99" si="233">IFERROR((M94/M96)*M98,1)</f>
        <v>1</v>
      </c>
      <c r="N99" s="43">
        <f t="shared" ref="N99" si="234">IFERROR((N94/N96)*N98,1)</f>
        <v>1</v>
      </c>
      <c r="O99" s="43">
        <f t="shared" ref="O99" si="235">IFERROR((O94/O96)*O98,1)</f>
        <v>1</v>
      </c>
      <c r="Q99">
        <f t="shared" si="212"/>
        <v>10</v>
      </c>
    </row>
    <row r="100" spans="1:29" x14ac:dyDescent="0.4">
      <c r="C100" t="s">
        <v>540</v>
      </c>
      <c r="D100" s="43">
        <f>IFERROR(D95/D97*D98,0)</f>
        <v>0</v>
      </c>
      <c r="E100" s="43">
        <f t="shared" ref="E100:O100" si="236">IFERROR(E95/E97*E98,0)</f>
        <v>0</v>
      </c>
      <c r="F100" s="43">
        <f t="shared" si="236"/>
        <v>0</v>
      </c>
      <c r="G100" s="43">
        <f t="shared" si="236"/>
        <v>0</v>
      </c>
      <c r="H100" s="43">
        <f t="shared" si="236"/>
        <v>0</v>
      </c>
      <c r="I100" s="43">
        <f t="shared" si="236"/>
        <v>0</v>
      </c>
      <c r="J100" s="43">
        <f t="shared" si="236"/>
        <v>0</v>
      </c>
      <c r="K100" s="43">
        <f t="shared" si="236"/>
        <v>0</v>
      </c>
      <c r="L100" s="43">
        <f t="shared" si="236"/>
        <v>0</v>
      </c>
      <c r="M100" s="43">
        <f t="shared" si="236"/>
        <v>0</v>
      </c>
      <c r="N100" s="43">
        <f t="shared" si="236"/>
        <v>0</v>
      </c>
      <c r="O100" s="43">
        <f t="shared" si="236"/>
        <v>0</v>
      </c>
      <c r="Q100">
        <f t="shared" si="212"/>
        <v>11</v>
      </c>
    </row>
    <row r="101" spans="1:29" x14ac:dyDescent="0.4">
      <c r="C101" s="21" t="s">
        <v>534</v>
      </c>
      <c r="D101" s="43">
        <f t="shared" ref="D101:O102" si="237">IFERROR(VLOOKUP(D90,Phys_Prop,4,FALSE),0)</f>
        <v>7</v>
      </c>
      <c r="E101" s="43">
        <f t="shared" si="237"/>
        <v>7</v>
      </c>
      <c r="F101" s="43">
        <f t="shared" si="237"/>
        <v>7</v>
      </c>
      <c r="G101" s="43">
        <f t="shared" si="237"/>
        <v>7</v>
      </c>
      <c r="H101" s="43">
        <f t="shared" si="237"/>
        <v>7</v>
      </c>
      <c r="I101" s="43">
        <f t="shared" si="237"/>
        <v>7</v>
      </c>
      <c r="J101" s="43">
        <f t="shared" si="237"/>
        <v>7</v>
      </c>
      <c r="K101" s="43">
        <f t="shared" si="237"/>
        <v>7</v>
      </c>
      <c r="L101" s="43">
        <f t="shared" si="237"/>
        <v>7</v>
      </c>
      <c r="M101" s="43">
        <f t="shared" si="237"/>
        <v>7</v>
      </c>
      <c r="N101" s="43">
        <f t="shared" si="237"/>
        <v>7</v>
      </c>
      <c r="O101" s="43">
        <f t="shared" si="237"/>
        <v>7</v>
      </c>
      <c r="Q101">
        <f t="shared" si="212"/>
        <v>12</v>
      </c>
    </row>
    <row r="102" spans="1:29" x14ac:dyDescent="0.4">
      <c r="C102" s="21" t="s">
        <v>535</v>
      </c>
      <c r="D102" s="43">
        <f t="shared" si="237"/>
        <v>0</v>
      </c>
      <c r="E102" s="43">
        <f t="shared" si="237"/>
        <v>0</v>
      </c>
      <c r="F102" s="43">
        <f t="shared" si="237"/>
        <v>0</v>
      </c>
      <c r="G102" s="43">
        <f t="shared" si="237"/>
        <v>0</v>
      </c>
      <c r="H102" s="43">
        <f t="shared" si="237"/>
        <v>0</v>
      </c>
      <c r="I102" s="43">
        <f t="shared" si="237"/>
        <v>0</v>
      </c>
      <c r="J102" s="43">
        <f t="shared" si="237"/>
        <v>0</v>
      </c>
      <c r="K102" s="43">
        <f t="shared" si="237"/>
        <v>0</v>
      </c>
      <c r="L102" s="43">
        <f t="shared" si="237"/>
        <v>0</v>
      </c>
      <c r="M102" s="43">
        <f t="shared" si="237"/>
        <v>0</v>
      </c>
      <c r="N102" s="43">
        <f t="shared" si="237"/>
        <v>0</v>
      </c>
      <c r="O102" s="43">
        <f t="shared" si="237"/>
        <v>0</v>
      </c>
      <c r="Q102">
        <f t="shared" si="212"/>
        <v>13</v>
      </c>
    </row>
    <row r="103" spans="1:29" x14ac:dyDescent="0.4">
      <c r="A103" s="11"/>
      <c r="B103" s="11"/>
      <c r="C103" s="62" t="s">
        <v>536</v>
      </c>
      <c r="D103" s="208">
        <f>IF(IFERROR(IFERROR(1/(D99/D101+D100/D102),D101),0)="N/A",0,IFERROR(IFERROR(1/(D99/D101+D100/D102),D101),0))</f>
        <v>7</v>
      </c>
      <c r="E103" s="208">
        <f t="shared" ref="E103" si="238">IF(IFERROR(IFERROR(1/(E99/E101+E100/E102),E101),0)="N/A",0,IFERROR(IFERROR(1/(E99/E101+E100/E102),E101),0))</f>
        <v>7</v>
      </c>
      <c r="F103" s="208">
        <f t="shared" ref="F103" si="239">IF(IFERROR(IFERROR(1/(F99/F101+F100/F102),F101),0)="N/A",0,IFERROR(IFERROR(1/(F99/F101+F100/F102),F101),0))</f>
        <v>7</v>
      </c>
      <c r="G103" s="208">
        <f t="shared" ref="G103" si="240">IF(IFERROR(IFERROR(1/(G99/G101+G100/G102),G101),0)="N/A",0,IFERROR(IFERROR(1/(G99/G101+G100/G102),G101),0))</f>
        <v>7</v>
      </c>
      <c r="H103" s="208">
        <f t="shared" ref="H103" si="241">IF(IFERROR(IFERROR(1/(H99/H101+H100/H102),H101),0)="N/A",0,IFERROR(IFERROR(1/(H99/H101+H100/H102),H101),0))</f>
        <v>7</v>
      </c>
      <c r="I103" s="208">
        <f t="shared" ref="I103" si="242">IF(IFERROR(IFERROR(1/(I99/I101+I100/I102),I101),0)="N/A",0,IFERROR(IFERROR(1/(I99/I101+I100/I102),I101),0))</f>
        <v>7</v>
      </c>
      <c r="J103" s="208">
        <f t="shared" ref="J103" si="243">IF(IFERROR(IFERROR(1/(J99/J101+J100/J102),J101),0)="N/A",0,IFERROR(IFERROR(1/(J99/J101+J100/J102),J101),0))</f>
        <v>7</v>
      </c>
      <c r="K103" s="208">
        <f t="shared" ref="K103" si="244">IF(IFERROR(IFERROR(1/(K99/K101+K100/K102),K101),0)="N/A",0,IFERROR(IFERROR(1/(K99/K101+K100/K102),K101),0))</f>
        <v>7</v>
      </c>
      <c r="L103" s="208">
        <f t="shared" ref="L103" si="245">IF(IFERROR(IFERROR(1/(L99/L101+L100/L102),L101),0)="N/A",0,IFERROR(IFERROR(1/(L99/L101+L100/L102),L101),0))</f>
        <v>7</v>
      </c>
      <c r="M103" s="208">
        <f t="shared" ref="M103" si="246">IF(IFERROR(IFERROR(1/(M99/M101+M100/M102),M101),0)="N/A",0,IFERROR(IFERROR(1/(M99/M101+M100/M102),M101),0))</f>
        <v>7</v>
      </c>
      <c r="N103" s="208">
        <f t="shared" ref="N103" si="247">IF(IFERROR(IFERROR(1/(N99/N101+N100/N102),N101),0)="N/A",0,IFERROR(IFERROR(1/(N99/N101+N100/N102),N101),0))</f>
        <v>7</v>
      </c>
      <c r="O103" s="208">
        <f t="shared" ref="O103" si="248">IF(IFERROR(IFERROR(1/(O99/O101+O100/O102),O101),0)="N/A",0,IFERROR(IFERROR(1/(O99/O101+O100/O102),O101),0))</f>
        <v>7</v>
      </c>
      <c r="P103" s="11"/>
      <c r="Q103" s="11">
        <f>Q102+1</f>
        <v>14</v>
      </c>
      <c r="R103" s="11"/>
      <c r="S103" s="11"/>
      <c r="T103" s="11"/>
      <c r="U103" s="11"/>
      <c r="V103" s="11"/>
      <c r="W103" s="11"/>
      <c r="X103" s="11"/>
      <c r="Y103" s="11"/>
      <c r="Z103" s="11"/>
      <c r="AA103" s="11"/>
      <c r="AB103" s="11"/>
      <c r="AC103" s="11"/>
    </row>
    <row r="104" spans="1:29" x14ac:dyDescent="0.4">
      <c r="A104" t="str" cm="1">
        <f t="array" ref="A104">INDEX(FLT_Cons,$R104,$T104)</f>
        <v>FLT - 8</v>
      </c>
      <c r="B104" t="str" cm="1">
        <f t="array" ref="B104">INDEX(FLT_Cons,$R104,$T105)</f>
        <v>Portland</v>
      </c>
      <c r="C104" t="s">
        <v>528</v>
      </c>
      <c r="D104" s="43" t="str" cm="1">
        <f t="array" ref="D104">INDEX(FLT_Prod_Info,$U104,$AB104*D$5+$AC104)</f>
        <v>Bakken Crude</v>
      </c>
      <c r="E104" s="43" t="str" cm="1">
        <f t="array" ref="E104">INDEX(FLT_Prod_Info,$U104,$AB104*E$5+$AC104)</f>
        <v>Bakken Crude</v>
      </c>
      <c r="F104" s="43" t="str" cm="1">
        <f t="array" ref="F104">INDEX(FLT_Prod_Info,$U104,$AB104*F$5+$AC104)</f>
        <v>Bakken Crude</v>
      </c>
      <c r="G104" s="43" t="str" cm="1">
        <f t="array" ref="G104">INDEX(FLT_Prod_Info,$U104,$AB104*G$5+$AC104)</f>
        <v>Bakken Crude</v>
      </c>
      <c r="H104" s="43" t="str" cm="1">
        <f t="array" ref="H104">INDEX(FLT_Prod_Info,$U104,$AB104*H$5+$AC104)</f>
        <v>Bakken Crude</v>
      </c>
      <c r="I104" s="43" t="str" cm="1">
        <f t="array" ref="I104">INDEX(FLT_Prod_Info,$U104,$AB104*I$5+$AC104)</f>
        <v>Bakken Crude</v>
      </c>
      <c r="J104" s="43" t="str" cm="1">
        <f t="array" ref="J104">INDEX(FLT_Prod_Info,$U104,$AB104*J$5+$AC104)</f>
        <v>Bakken Crude</v>
      </c>
      <c r="K104" s="43" t="str" cm="1">
        <f t="array" ref="K104">INDEX(FLT_Prod_Info,$U104,$AB104*K$5+$AC104)</f>
        <v>Bakken Crude</v>
      </c>
      <c r="L104" s="43" t="str" cm="1">
        <f t="array" ref="L104">INDEX(FLT_Prod_Info,$U104,$AB104*L$5+$AC104)</f>
        <v>Bakken Crude</v>
      </c>
      <c r="M104" s="43" t="str" cm="1">
        <f t="array" ref="M104">INDEX(FLT_Prod_Info,$U104,$AB104*M$5+$AC104)</f>
        <v>Bakken Crude</v>
      </c>
      <c r="N104" s="43" t="str" cm="1">
        <f t="array" ref="N104">INDEX(FLT_Prod_Info,$U104,$AB104*N$5+$AC104)</f>
        <v>Bakken Crude</v>
      </c>
      <c r="O104" s="43" t="str" cm="1">
        <f t="array" ref="O104">INDEX(FLT_Prod_Info,$U104,$AB104*O$5+$AC104)</f>
        <v>Bakken Crude</v>
      </c>
      <c r="Q104">
        <v>1</v>
      </c>
      <c r="R104">
        <f>R90+1</f>
        <v>8</v>
      </c>
      <c r="S104" t="s">
        <v>237</v>
      </c>
      <c r="T104">
        <v>1</v>
      </c>
      <c r="U104">
        <f>U90+12</f>
        <v>85</v>
      </c>
      <c r="V104">
        <v>1</v>
      </c>
      <c r="W104">
        <v>3</v>
      </c>
      <c r="X104">
        <v>1</v>
      </c>
      <c r="Y104">
        <v>2</v>
      </c>
      <c r="Z104">
        <v>1</v>
      </c>
      <c r="AA104">
        <v>2</v>
      </c>
      <c r="AB104">
        <f t="shared" ref="AB104:AB109" si="249">(Y104-X104)/(AA104-Z104)</f>
        <v>1</v>
      </c>
      <c r="AC104">
        <f t="shared" ref="AC104:AC109" si="250">X104-AB104*Z104</f>
        <v>0</v>
      </c>
    </row>
    <row r="105" spans="1:29" x14ac:dyDescent="0.4">
      <c r="C105" t="s">
        <v>529</v>
      </c>
      <c r="D105" s="43" t="str" cm="1">
        <f t="array" ref="D105">INDEX(FLT_Prod_Info,$U105,$AB105*D$5+$AC105)</f>
        <v/>
      </c>
      <c r="E105" s="43" t="str" cm="1">
        <f t="array" ref="E105">INDEX(FLT_Prod_Info,$U105,$AB105*E$5+$AC105)</f>
        <v/>
      </c>
      <c r="F105" s="43" t="str" cm="1">
        <f t="array" ref="F105">INDEX(FLT_Prod_Info,$U105,$AB105*F$5+$AC105)</f>
        <v/>
      </c>
      <c r="G105" s="43" t="str" cm="1">
        <f t="array" ref="G105">INDEX(FLT_Prod_Info,$U105,$AB105*G$5+$AC105)</f>
        <v/>
      </c>
      <c r="H105" s="43" t="str" cm="1">
        <f t="array" ref="H105">INDEX(FLT_Prod_Info,$U105,$AB105*H$5+$AC105)</f>
        <v/>
      </c>
      <c r="I105" s="43" t="str" cm="1">
        <f t="array" ref="I105">INDEX(FLT_Prod_Info,$U105,$AB105*I$5+$AC105)</f>
        <v/>
      </c>
      <c r="J105" s="43" t="str" cm="1">
        <f t="array" ref="J105">INDEX(FLT_Prod_Info,$U105,$AB105*J$5+$AC105)</f>
        <v/>
      </c>
      <c r="K105" s="43" t="str" cm="1">
        <f t="array" ref="K105">INDEX(FLT_Prod_Info,$U105,$AB105*K$5+$AC105)</f>
        <v/>
      </c>
      <c r="L105" s="43" t="str" cm="1">
        <f t="array" ref="L105">INDEX(FLT_Prod_Info,$U105,$AB105*L$5+$AC105)</f>
        <v/>
      </c>
      <c r="M105" s="43" t="str" cm="1">
        <f t="array" ref="M105">INDEX(FLT_Prod_Info,$U105,$AB105*M$5+$AC105)</f>
        <v/>
      </c>
      <c r="N105" s="43" t="str" cm="1">
        <f t="array" ref="N105">INDEX(FLT_Prod_Info,$U105,$AB105*N$5+$AC105)</f>
        <v/>
      </c>
      <c r="O105" s="43" t="str" cm="1">
        <f t="array" ref="O105">INDEX(FLT_Prod_Info,$U105,$AB105*O$5+$AC105)</f>
        <v/>
      </c>
      <c r="Q105">
        <f>Q104+1</f>
        <v>2</v>
      </c>
      <c r="S105" t="s">
        <v>549</v>
      </c>
      <c r="T105">
        <v>3</v>
      </c>
      <c r="U105">
        <f>U104+5</f>
        <v>90</v>
      </c>
      <c r="X105">
        <v>1</v>
      </c>
      <c r="Y105">
        <v>2</v>
      </c>
      <c r="Z105">
        <v>1</v>
      </c>
      <c r="AA105">
        <v>2</v>
      </c>
      <c r="AB105">
        <f t="shared" si="249"/>
        <v>1</v>
      </c>
      <c r="AC105">
        <f t="shared" si="250"/>
        <v>0</v>
      </c>
    </row>
    <row r="106" spans="1:29" x14ac:dyDescent="0.4">
      <c r="C106" t="s">
        <v>530</v>
      </c>
      <c r="D106" s="43" t="str" cm="1">
        <f t="array" ref="D106">INDEX(FLT_Prod_Info,$U106,$AB106*D$5+$AC106)</f>
        <v>Crude Oil</v>
      </c>
      <c r="E106" s="43" t="str" cm="1">
        <f t="array" ref="E106">INDEX(FLT_Prod_Info,$U106,$AB106*E$5+$AC106)</f>
        <v>Crude Oil</v>
      </c>
      <c r="F106" s="43" t="str" cm="1">
        <f t="array" ref="F106">INDEX(FLT_Prod_Info,$U106,$AB106*F$5+$AC106)</f>
        <v>Crude Oil</v>
      </c>
      <c r="G106" s="43" t="str" cm="1">
        <f t="array" ref="G106">INDEX(FLT_Prod_Info,$U106,$AB106*G$5+$AC106)</f>
        <v>Crude Oil</v>
      </c>
      <c r="H106" s="43" t="str" cm="1">
        <f t="array" ref="H106">INDEX(FLT_Prod_Info,$U106,$AB106*H$5+$AC106)</f>
        <v>Crude Oil</v>
      </c>
      <c r="I106" s="43" t="str" cm="1">
        <f t="array" ref="I106">INDEX(FLT_Prod_Info,$U106,$AB106*I$5+$AC106)</f>
        <v>Crude Oil</v>
      </c>
      <c r="J106" s="43" t="str" cm="1">
        <f t="array" ref="J106">INDEX(FLT_Prod_Info,$U106,$AB106*J$5+$AC106)</f>
        <v>Crude Oil</v>
      </c>
      <c r="K106" s="43" t="str" cm="1">
        <f t="array" ref="K106">INDEX(FLT_Prod_Info,$U106,$AB106*K$5+$AC106)</f>
        <v>Crude Oil</v>
      </c>
      <c r="L106" s="43" t="str" cm="1">
        <f t="array" ref="L106">INDEX(FLT_Prod_Info,$U106,$AB106*L$5+$AC106)</f>
        <v>Crude Oil</v>
      </c>
      <c r="M106" s="43" t="str" cm="1">
        <f t="array" ref="M106">INDEX(FLT_Prod_Info,$U106,$AB106*M$5+$AC106)</f>
        <v>Crude Oil</v>
      </c>
      <c r="N106" s="43" t="str" cm="1">
        <f t="array" ref="N106">INDEX(FLT_Prod_Info,$U106,$AB106*N$5+$AC106)</f>
        <v>Crude Oil</v>
      </c>
      <c r="O106" s="43" t="str" cm="1">
        <f t="array" ref="O106">INDEX(FLT_Prod_Info,$U106,$AB106*O$5+$AC106)</f>
        <v>Crude Oil</v>
      </c>
      <c r="Q106">
        <f t="shared" ref="Q106:Q116" si="251">Q105+1</f>
        <v>3</v>
      </c>
      <c r="U106">
        <f>U104+1</f>
        <v>86</v>
      </c>
      <c r="X106">
        <v>1</v>
      </c>
      <c r="Y106">
        <v>2</v>
      </c>
      <c r="Z106">
        <v>1</v>
      </c>
      <c r="AA106">
        <v>2</v>
      </c>
      <c r="AB106">
        <f t="shared" si="249"/>
        <v>1</v>
      </c>
      <c r="AC106">
        <f t="shared" si="250"/>
        <v>0</v>
      </c>
    </row>
    <row r="107" spans="1:29" x14ac:dyDescent="0.4">
      <c r="C107" t="s">
        <v>531</v>
      </c>
      <c r="D107" s="43" t="e" cm="1">
        <f t="array" ref="D107">INDEX(FLT_Prod_Info,$U107,$AB107*D$5+$AC107)</f>
        <v>#N/A</v>
      </c>
      <c r="E107" s="43" t="e" cm="1">
        <f t="array" ref="E107">INDEX(FLT_Prod_Info,$U107,$AB107*E$5+$AC107)</f>
        <v>#N/A</v>
      </c>
      <c r="F107" s="43" t="e" cm="1">
        <f t="array" ref="F107">INDEX(FLT_Prod_Info,$U107,$AB107*F$5+$AC107)</f>
        <v>#N/A</v>
      </c>
      <c r="G107" s="43" t="e" cm="1">
        <f t="array" ref="G107">INDEX(FLT_Prod_Info,$U107,$AB107*G$5+$AC107)</f>
        <v>#N/A</v>
      </c>
      <c r="H107" s="43" t="e" cm="1">
        <f t="array" ref="H107">INDEX(FLT_Prod_Info,$U107,$AB107*H$5+$AC107)</f>
        <v>#N/A</v>
      </c>
      <c r="I107" s="43" t="e" cm="1">
        <f t="array" ref="I107">INDEX(FLT_Prod_Info,$U107,$AB107*I$5+$AC107)</f>
        <v>#N/A</v>
      </c>
      <c r="J107" s="43" t="e" cm="1">
        <f t="array" ref="J107">INDEX(FLT_Prod_Info,$U107,$AB107*J$5+$AC107)</f>
        <v>#N/A</v>
      </c>
      <c r="K107" s="43" t="e" cm="1">
        <f t="array" ref="K107">INDEX(FLT_Prod_Info,$U107,$AB107*K$5+$AC107)</f>
        <v>#N/A</v>
      </c>
      <c r="L107" s="43" t="e" cm="1">
        <f t="array" ref="L107">INDEX(FLT_Prod_Info,$U107,$AB107*L$5+$AC107)</f>
        <v>#N/A</v>
      </c>
      <c r="M107" s="43" t="e" cm="1">
        <f t="array" ref="M107">INDEX(FLT_Prod_Info,$U107,$AB107*M$5+$AC107)</f>
        <v>#N/A</v>
      </c>
      <c r="N107" s="43" t="e" cm="1">
        <f t="array" ref="N107">INDEX(FLT_Prod_Info,$U107,$AB107*N$5+$AC107)</f>
        <v>#N/A</v>
      </c>
      <c r="O107" s="43" t="e" cm="1">
        <f t="array" ref="O107">INDEX(FLT_Prod_Info,$U107,$AB107*O$5+$AC107)</f>
        <v>#N/A</v>
      </c>
      <c r="Q107">
        <f t="shared" si="251"/>
        <v>4</v>
      </c>
      <c r="U107">
        <f>U106+5</f>
        <v>91</v>
      </c>
      <c r="X107">
        <v>1</v>
      </c>
      <c r="Y107">
        <v>2</v>
      </c>
      <c r="Z107">
        <v>1</v>
      </c>
      <c r="AA107">
        <v>2</v>
      </c>
      <c r="AB107">
        <f t="shared" si="249"/>
        <v>1</v>
      </c>
      <c r="AC107">
        <f t="shared" si="250"/>
        <v>0</v>
      </c>
    </row>
    <row r="108" spans="1:29" x14ac:dyDescent="0.4">
      <c r="C108" t="s">
        <v>546</v>
      </c>
      <c r="D108" s="43" cm="1">
        <f t="array" ref="D108">INDEX(FLT_Prod_Info,$U108,$AB108*D$5+$AC108)</f>
        <v>1</v>
      </c>
      <c r="E108" s="43" cm="1">
        <f t="array" ref="E108">INDEX(FLT_Prod_Info,$U108,$AB108*E$5+$AC108)</f>
        <v>1</v>
      </c>
      <c r="F108" s="43" cm="1">
        <f t="array" ref="F108">INDEX(FLT_Prod_Info,$U108,$AB108*F$5+$AC108)</f>
        <v>1</v>
      </c>
      <c r="G108" s="43" cm="1">
        <f t="array" ref="G108">INDEX(FLT_Prod_Info,$U108,$AB108*G$5+$AC108)</f>
        <v>1</v>
      </c>
      <c r="H108" s="43" cm="1">
        <f t="array" ref="H108">INDEX(FLT_Prod_Info,$U108,$AB108*H$5+$AC108)</f>
        <v>1</v>
      </c>
      <c r="I108" s="43" cm="1">
        <f t="array" ref="I108">INDEX(FLT_Prod_Info,$U108,$AB108*I$5+$AC108)</f>
        <v>1</v>
      </c>
      <c r="J108" s="43" cm="1">
        <f t="array" ref="J108">INDEX(FLT_Prod_Info,$U108,$AB108*J$5+$AC108)</f>
        <v>1</v>
      </c>
      <c r="K108" s="43" cm="1">
        <f t="array" ref="K108">INDEX(FLT_Prod_Info,$U108,$AB108*K$5+$AC108)</f>
        <v>1</v>
      </c>
      <c r="L108" s="43" cm="1">
        <f t="array" ref="L108">INDEX(FLT_Prod_Info,$U108,$AB108*L$5+$AC108)</f>
        <v>1</v>
      </c>
      <c r="M108" s="43" cm="1">
        <f t="array" ref="M108">INDEX(FLT_Prod_Info,$U108,$AB108*M$5+$AC108)</f>
        <v>1</v>
      </c>
      <c r="N108" s="43" cm="1">
        <f t="array" ref="N108">INDEX(FLT_Prod_Info,$U108,$AB108*N$5+$AC108)</f>
        <v>1</v>
      </c>
      <c r="O108" s="43" cm="1">
        <f t="array" ref="O108">INDEX(FLT_Prod_Info,$U108,$AB108*O$5+$AC108)</f>
        <v>1</v>
      </c>
      <c r="Q108">
        <f t="shared" si="251"/>
        <v>5</v>
      </c>
      <c r="U108">
        <f>U104+4</f>
        <v>89</v>
      </c>
      <c r="X108">
        <v>1</v>
      </c>
      <c r="Y108">
        <v>2</v>
      </c>
      <c r="Z108">
        <v>1</v>
      </c>
      <c r="AA108">
        <v>2</v>
      </c>
      <c r="AB108">
        <f t="shared" si="249"/>
        <v>1</v>
      </c>
      <c r="AC108">
        <f t="shared" si="250"/>
        <v>0</v>
      </c>
    </row>
    <row r="109" spans="1:29" x14ac:dyDescent="0.4">
      <c r="C109" t="s">
        <v>547</v>
      </c>
      <c r="D109" s="43" cm="1">
        <f t="array" ref="D109">INDEX(FLT_Prod_Info,$U109,$AB109*D$5+$AC109)</f>
        <v>0</v>
      </c>
      <c r="E109" s="43" cm="1">
        <f t="array" ref="E109">INDEX(FLT_Prod_Info,$U109,$AB109*E$5+$AC109)</f>
        <v>0</v>
      </c>
      <c r="F109" s="43" cm="1">
        <f t="array" ref="F109">INDEX(FLT_Prod_Info,$U109,$AB109*F$5+$AC109)</f>
        <v>0</v>
      </c>
      <c r="G109" s="43" cm="1">
        <f t="array" ref="G109">INDEX(FLT_Prod_Info,$U109,$AB109*G$5+$AC109)</f>
        <v>0</v>
      </c>
      <c r="H109" s="43" cm="1">
        <f t="array" ref="H109">INDEX(FLT_Prod_Info,$U109,$AB109*H$5+$AC109)</f>
        <v>0</v>
      </c>
      <c r="I109" s="43" cm="1">
        <f t="array" ref="I109">INDEX(FLT_Prod_Info,$U109,$AB109*I$5+$AC109)</f>
        <v>0</v>
      </c>
      <c r="J109" s="43" cm="1">
        <f t="array" ref="J109">INDEX(FLT_Prod_Info,$U109,$AB109*J$5+$AC109)</f>
        <v>0</v>
      </c>
      <c r="K109" s="43" cm="1">
        <f t="array" ref="K109">INDEX(FLT_Prod_Info,$U109,$AB109*K$5+$AC109)</f>
        <v>0</v>
      </c>
      <c r="L109" s="43" cm="1">
        <f t="array" ref="L109">INDEX(FLT_Prod_Info,$U109,$AB109*L$5+$AC109)</f>
        <v>0</v>
      </c>
      <c r="M109" s="43" cm="1">
        <f t="array" ref="M109">INDEX(FLT_Prod_Info,$U109,$AB109*M$5+$AC109)</f>
        <v>0</v>
      </c>
      <c r="N109" s="43" cm="1">
        <f t="array" ref="N109">INDEX(FLT_Prod_Info,$U109,$AB109*N$5+$AC109)</f>
        <v>0</v>
      </c>
      <c r="O109" s="43" cm="1">
        <f t="array" ref="O109">INDEX(FLT_Prod_Info,$U109,$AB109*O$5+$AC109)</f>
        <v>0</v>
      </c>
      <c r="Q109">
        <f t="shared" si="251"/>
        <v>6</v>
      </c>
      <c r="U109">
        <f>U105+4</f>
        <v>94</v>
      </c>
      <c r="X109">
        <v>1</v>
      </c>
      <c r="Y109">
        <v>2</v>
      </c>
      <c r="Z109">
        <v>1</v>
      </c>
      <c r="AA109">
        <v>2</v>
      </c>
      <c r="AB109">
        <f t="shared" si="249"/>
        <v>1</v>
      </c>
      <c r="AC109">
        <f t="shared" si="250"/>
        <v>0</v>
      </c>
    </row>
    <row r="110" spans="1:29" x14ac:dyDescent="0.4">
      <c r="C110" t="s">
        <v>532</v>
      </c>
      <c r="D110" s="43">
        <f t="shared" ref="D110:O111" si="252">IFERROR(VLOOKUP(D104,Phys_Prop,2,FALSE),0)</f>
        <v>127.98873179194693</v>
      </c>
      <c r="E110" s="43">
        <f t="shared" si="252"/>
        <v>127.98873179194693</v>
      </c>
      <c r="F110" s="43">
        <f t="shared" si="252"/>
        <v>127.98873179194693</v>
      </c>
      <c r="G110" s="43">
        <f t="shared" si="252"/>
        <v>127.98873179194693</v>
      </c>
      <c r="H110" s="43">
        <f t="shared" si="252"/>
        <v>127.98873179194693</v>
      </c>
      <c r="I110" s="43">
        <f t="shared" si="252"/>
        <v>127.98873179194693</v>
      </c>
      <c r="J110" s="43">
        <f t="shared" si="252"/>
        <v>127.98873179194693</v>
      </c>
      <c r="K110" s="43">
        <f t="shared" si="252"/>
        <v>127.98873179194693</v>
      </c>
      <c r="L110" s="43">
        <f t="shared" si="252"/>
        <v>127.98873179194693</v>
      </c>
      <c r="M110" s="43">
        <f t="shared" si="252"/>
        <v>127.98873179194693</v>
      </c>
      <c r="N110" s="43">
        <f t="shared" si="252"/>
        <v>127.98873179194693</v>
      </c>
      <c r="O110" s="43">
        <f t="shared" si="252"/>
        <v>127.98873179194693</v>
      </c>
      <c r="Q110">
        <f t="shared" si="251"/>
        <v>7</v>
      </c>
    </row>
    <row r="111" spans="1:29" x14ac:dyDescent="0.4">
      <c r="C111" t="s">
        <v>533</v>
      </c>
      <c r="D111" s="43">
        <f t="shared" si="252"/>
        <v>0</v>
      </c>
      <c r="E111" s="43">
        <f t="shared" si="252"/>
        <v>0</v>
      </c>
      <c r="F111" s="43">
        <f t="shared" si="252"/>
        <v>0</v>
      </c>
      <c r="G111" s="43">
        <f t="shared" si="252"/>
        <v>0</v>
      </c>
      <c r="H111" s="43">
        <f t="shared" si="252"/>
        <v>0</v>
      </c>
      <c r="I111" s="43">
        <f t="shared" si="252"/>
        <v>0</v>
      </c>
      <c r="J111" s="43">
        <f t="shared" si="252"/>
        <v>0</v>
      </c>
      <c r="K111" s="43">
        <f t="shared" si="252"/>
        <v>0</v>
      </c>
      <c r="L111" s="43">
        <f t="shared" si="252"/>
        <v>0</v>
      </c>
      <c r="M111" s="43">
        <f t="shared" si="252"/>
        <v>0</v>
      </c>
      <c r="N111" s="43">
        <f t="shared" si="252"/>
        <v>0</v>
      </c>
      <c r="O111" s="43">
        <f t="shared" si="252"/>
        <v>0</v>
      </c>
      <c r="Q111">
        <f t="shared" si="251"/>
        <v>8</v>
      </c>
    </row>
    <row r="112" spans="1:29" x14ac:dyDescent="0.4">
      <c r="C112" t="s">
        <v>544</v>
      </c>
      <c r="D112" s="43">
        <f>IFERROR(IFERROR(1/(D108/D110+D109/D111),D110/D108),1)</f>
        <v>127.98873179194693</v>
      </c>
      <c r="E112" s="43">
        <f t="shared" ref="E112" si="253">IFERROR(IFERROR(1/(E108/E110+E109/E111),E110/E108),1)</f>
        <v>127.98873179194693</v>
      </c>
      <c r="F112" s="43">
        <f t="shared" ref="F112" si="254">IFERROR(IFERROR(1/(F108/F110+F109/F111),F110/F108),1)</f>
        <v>127.98873179194693</v>
      </c>
      <c r="G112" s="43">
        <f t="shared" ref="G112" si="255">IFERROR(IFERROR(1/(G108/G110+G109/G111),G110/G108),1)</f>
        <v>127.98873179194693</v>
      </c>
      <c r="H112" s="43">
        <f t="shared" ref="H112" si="256">IFERROR(IFERROR(1/(H108/H110+H109/H111),H110/H108),1)</f>
        <v>127.98873179194693</v>
      </c>
      <c r="I112" s="43">
        <f t="shared" ref="I112" si="257">IFERROR(IFERROR(1/(I108/I110+I109/I111),I110/I108),1)</f>
        <v>127.98873179194693</v>
      </c>
      <c r="J112" s="43">
        <f t="shared" ref="J112" si="258">IFERROR(IFERROR(1/(J108/J110+J109/J111),J110/J108),1)</f>
        <v>127.98873179194693</v>
      </c>
      <c r="K112" s="43">
        <f t="shared" ref="K112" si="259">IFERROR(IFERROR(1/(K108/K110+K109/K111),K110/K108),1)</f>
        <v>127.98873179194693</v>
      </c>
      <c r="L112" s="43">
        <f t="shared" ref="L112" si="260">IFERROR(IFERROR(1/(L108/L110+L109/L111),L110/L108),1)</f>
        <v>127.98873179194693</v>
      </c>
      <c r="M112" s="43">
        <f t="shared" ref="M112" si="261">IFERROR(IFERROR(1/(M108/M110+M109/M111),M110/M108),1)</f>
        <v>127.98873179194693</v>
      </c>
      <c r="N112" s="43">
        <f t="shared" ref="N112" si="262">IFERROR(IFERROR(1/(N108/N110+N109/N111),N110/N108),1)</f>
        <v>127.98873179194693</v>
      </c>
      <c r="O112" s="43">
        <f t="shared" ref="O112" si="263">IFERROR(IFERROR(1/(O108/O110+O109/O111),O110/O108),1)</f>
        <v>127.98873179194693</v>
      </c>
      <c r="Q112">
        <f t="shared" si="251"/>
        <v>9</v>
      </c>
    </row>
    <row r="113" spans="1:29" x14ac:dyDescent="0.4">
      <c r="C113" t="s">
        <v>539</v>
      </c>
      <c r="D113" s="43">
        <f>IFERROR((D108/D110)*D112,1)</f>
        <v>1</v>
      </c>
      <c r="E113" s="43">
        <f t="shared" ref="E113" si="264">IFERROR((E108/E110)*E112,1)</f>
        <v>1</v>
      </c>
      <c r="F113" s="43">
        <f t="shared" ref="F113" si="265">IFERROR((F108/F110)*F112,1)</f>
        <v>1</v>
      </c>
      <c r="G113" s="43">
        <f t="shared" ref="G113" si="266">IFERROR((G108/G110)*G112,1)</f>
        <v>1</v>
      </c>
      <c r="H113" s="43">
        <f t="shared" ref="H113" si="267">IFERROR((H108/H110)*H112,1)</f>
        <v>1</v>
      </c>
      <c r="I113" s="43">
        <f t="shared" ref="I113" si="268">IFERROR((I108/I110)*I112,1)</f>
        <v>1</v>
      </c>
      <c r="J113" s="43">
        <f t="shared" ref="J113" si="269">IFERROR((J108/J110)*J112,1)</f>
        <v>1</v>
      </c>
      <c r="K113" s="43">
        <f t="shared" ref="K113" si="270">IFERROR((K108/K110)*K112,1)</f>
        <v>1</v>
      </c>
      <c r="L113" s="43">
        <f t="shared" ref="L113" si="271">IFERROR((L108/L110)*L112,1)</f>
        <v>1</v>
      </c>
      <c r="M113" s="43">
        <f t="shared" ref="M113" si="272">IFERROR((M108/M110)*M112,1)</f>
        <v>1</v>
      </c>
      <c r="N113" s="43">
        <f t="shared" ref="N113" si="273">IFERROR((N108/N110)*N112,1)</f>
        <v>1</v>
      </c>
      <c r="O113" s="43">
        <f t="shared" ref="O113" si="274">IFERROR((O108/O110)*O112,1)</f>
        <v>1</v>
      </c>
      <c r="Q113">
        <f t="shared" si="251"/>
        <v>10</v>
      </c>
    </row>
    <row r="114" spans="1:29" x14ac:dyDescent="0.4">
      <c r="C114" t="s">
        <v>540</v>
      </c>
      <c r="D114" s="43">
        <f>IFERROR(D109/D111*D112,0)</f>
        <v>0</v>
      </c>
      <c r="E114" s="43">
        <f t="shared" ref="E114:O114" si="275">IFERROR(E109/E111*E112,0)</f>
        <v>0</v>
      </c>
      <c r="F114" s="43">
        <f t="shared" si="275"/>
        <v>0</v>
      </c>
      <c r="G114" s="43">
        <f t="shared" si="275"/>
        <v>0</v>
      </c>
      <c r="H114" s="43">
        <f t="shared" si="275"/>
        <v>0</v>
      </c>
      <c r="I114" s="43">
        <f t="shared" si="275"/>
        <v>0</v>
      </c>
      <c r="J114" s="43">
        <f t="shared" si="275"/>
        <v>0</v>
      </c>
      <c r="K114" s="43">
        <f t="shared" si="275"/>
        <v>0</v>
      </c>
      <c r="L114" s="43">
        <f t="shared" si="275"/>
        <v>0</v>
      </c>
      <c r="M114" s="43">
        <f t="shared" si="275"/>
        <v>0</v>
      </c>
      <c r="N114" s="43">
        <f t="shared" si="275"/>
        <v>0</v>
      </c>
      <c r="O114" s="43">
        <f t="shared" si="275"/>
        <v>0</v>
      </c>
      <c r="Q114">
        <f t="shared" si="251"/>
        <v>11</v>
      </c>
    </row>
    <row r="115" spans="1:29" x14ac:dyDescent="0.4">
      <c r="C115" s="21" t="s">
        <v>534</v>
      </c>
      <c r="D115" s="43">
        <f t="shared" ref="D115:O116" si="276">IFERROR(VLOOKUP(D104,Phys_Prop,4,FALSE),0)</f>
        <v>6.7389700000000001</v>
      </c>
      <c r="E115" s="43">
        <f t="shared" si="276"/>
        <v>6.7389700000000001</v>
      </c>
      <c r="F115" s="43">
        <f t="shared" si="276"/>
        <v>6.7389700000000001</v>
      </c>
      <c r="G115" s="43">
        <f t="shared" si="276"/>
        <v>6.7389700000000001</v>
      </c>
      <c r="H115" s="43">
        <f t="shared" si="276"/>
        <v>6.7389700000000001</v>
      </c>
      <c r="I115" s="43">
        <f t="shared" si="276"/>
        <v>6.7389700000000001</v>
      </c>
      <c r="J115" s="43">
        <f t="shared" si="276"/>
        <v>6.7389700000000001</v>
      </c>
      <c r="K115" s="43">
        <f t="shared" si="276"/>
        <v>6.7389700000000001</v>
      </c>
      <c r="L115" s="43">
        <f t="shared" si="276"/>
        <v>6.7389700000000001</v>
      </c>
      <c r="M115" s="43">
        <f t="shared" si="276"/>
        <v>6.7389700000000001</v>
      </c>
      <c r="N115" s="43">
        <f t="shared" si="276"/>
        <v>6.7389700000000001</v>
      </c>
      <c r="O115" s="43">
        <f t="shared" si="276"/>
        <v>6.7389700000000001</v>
      </c>
      <c r="Q115">
        <f t="shared" si="251"/>
        <v>12</v>
      </c>
    </row>
    <row r="116" spans="1:29" x14ac:dyDescent="0.4">
      <c r="C116" s="21" t="s">
        <v>535</v>
      </c>
      <c r="D116" s="43">
        <f t="shared" si="276"/>
        <v>0</v>
      </c>
      <c r="E116" s="43">
        <f t="shared" si="276"/>
        <v>0</v>
      </c>
      <c r="F116" s="43">
        <f t="shared" si="276"/>
        <v>0</v>
      </c>
      <c r="G116" s="43">
        <f t="shared" si="276"/>
        <v>0</v>
      </c>
      <c r="H116" s="43">
        <f t="shared" si="276"/>
        <v>0</v>
      </c>
      <c r="I116" s="43">
        <f t="shared" si="276"/>
        <v>0</v>
      </c>
      <c r="J116" s="43">
        <f t="shared" si="276"/>
        <v>0</v>
      </c>
      <c r="K116" s="43">
        <f t="shared" si="276"/>
        <v>0</v>
      </c>
      <c r="L116" s="43">
        <f t="shared" si="276"/>
        <v>0</v>
      </c>
      <c r="M116" s="43">
        <f t="shared" si="276"/>
        <v>0</v>
      </c>
      <c r="N116" s="43">
        <f t="shared" si="276"/>
        <v>0</v>
      </c>
      <c r="O116" s="43">
        <f t="shared" si="276"/>
        <v>0</v>
      </c>
      <c r="Q116">
        <f t="shared" si="251"/>
        <v>13</v>
      </c>
    </row>
    <row r="117" spans="1:29" x14ac:dyDescent="0.4">
      <c r="A117" s="11"/>
      <c r="B117" s="11"/>
      <c r="C117" s="62" t="s">
        <v>536</v>
      </c>
      <c r="D117" s="208">
        <f>IF(IFERROR(IFERROR(1/(D113/D115+D114/D116),D115),0)="N/A",0,IFERROR(IFERROR(1/(D113/D115+D114/D116),D115),0))</f>
        <v>6.7389700000000001</v>
      </c>
      <c r="E117" s="208">
        <f t="shared" ref="E117" si="277">IF(IFERROR(IFERROR(1/(E113/E115+E114/E116),E115),0)="N/A",0,IFERROR(IFERROR(1/(E113/E115+E114/E116),E115),0))</f>
        <v>6.7389700000000001</v>
      </c>
      <c r="F117" s="208">
        <f t="shared" ref="F117" si="278">IF(IFERROR(IFERROR(1/(F113/F115+F114/F116),F115),0)="N/A",0,IFERROR(IFERROR(1/(F113/F115+F114/F116),F115),0))</f>
        <v>6.7389700000000001</v>
      </c>
      <c r="G117" s="208">
        <f t="shared" ref="G117" si="279">IF(IFERROR(IFERROR(1/(G113/G115+G114/G116),G115),0)="N/A",0,IFERROR(IFERROR(1/(G113/G115+G114/G116),G115),0))</f>
        <v>6.7389700000000001</v>
      </c>
      <c r="H117" s="208">
        <f t="shared" ref="H117" si="280">IF(IFERROR(IFERROR(1/(H113/H115+H114/H116),H115),0)="N/A",0,IFERROR(IFERROR(1/(H113/H115+H114/H116),H115),0))</f>
        <v>6.7389700000000001</v>
      </c>
      <c r="I117" s="208">
        <f t="shared" ref="I117" si="281">IF(IFERROR(IFERROR(1/(I113/I115+I114/I116),I115),0)="N/A",0,IFERROR(IFERROR(1/(I113/I115+I114/I116),I115),0))</f>
        <v>6.7389700000000001</v>
      </c>
      <c r="J117" s="208">
        <f t="shared" ref="J117" si="282">IF(IFERROR(IFERROR(1/(J113/J115+J114/J116),J115),0)="N/A",0,IFERROR(IFERROR(1/(J113/J115+J114/J116),J115),0))</f>
        <v>6.7389700000000001</v>
      </c>
      <c r="K117" s="208">
        <f t="shared" ref="K117" si="283">IF(IFERROR(IFERROR(1/(K113/K115+K114/K116),K115),0)="N/A",0,IFERROR(IFERROR(1/(K113/K115+K114/K116),K115),0))</f>
        <v>6.7389700000000001</v>
      </c>
      <c r="L117" s="208">
        <f t="shared" ref="L117" si="284">IF(IFERROR(IFERROR(1/(L113/L115+L114/L116),L115),0)="N/A",0,IFERROR(IFERROR(1/(L113/L115+L114/L116),L115),0))</f>
        <v>6.7389700000000001</v>
      </c>
      <c r="M117" s="208">
        <f t="shared" ref="M117" si="285">IF(IFERROR(IFERROR(1/(M113/M115+M114/M116),M115),0)="N/A",0,IFERROR(IFERROR(1/(M113/M115+M114/M116),M115),0))</f>
        <v>6.7389700000000001</v>
      </c>
      <c r="N117" s="208">
        <f t="shared" ref="N117" si="286">IF(IFERROR(IFERROR(1/(N113/N115+N114/N116),N115),0)="N/A",0,IFERROR(IFERROR(1/(N113/N115+N114/N116),N115),0))</f>
        <v>6.7389700000000001</v>
      </c>
      <c r="O117" s="208">
        <f t="shared" ref="O117" si="287">IF(IFERROR(IFERROR(1/(O113/O115+O114/O116),O115),0)="N/A",0,IFERROR(IFERROR(1/(O113/O115+O114/O116),O115),0))</f>
        <v>6.7389700000000001</v>
      </c>
      <c r="P117" s="11"/>
      <c r="Q117" s="11">
        <f>Q116+1</f>
        <v>14</v>
      </c>
      <c r="R117" s="11"/>
      <c r="S117" s="11"/>
      <c r="T117" s="11"/>
      <c r="U117" s="11"/>
      <c r="V117" s="11"/>
      <c r="W117" s="11"/>
      <c r="X117" s="11"/>
      <c r="Y117" s="11"/>
      <c r="Z117" s="11"/>
      <c r="AA117" s="11"/>
      <c r="AB117" s="11"/>
      <c r="AC117" s="11"/>
    </row>
    <row r="118" spans="1:29" x14ac:dyDescent="0.4">
      <c r="A118" t="str" cm="1">
        <f t="array" ref="A118">INDEX(FLT_Cons,$R118,$T118)</f>
        <v>FLT - 9</v>
      </c>
      <c r="B118" t="str" cm="1">
        <f t="array" ref="B118">INDEX(FLT_Cons,$R118,$T119)</f>
        <v>Portland</v>
      </c>
      <c r="C118" t="s">
        <v>528</v>
      </c>
      <c r="D118" s="43" t="str" cm="1">
        <f t="array" ref="D118">INDEX(FLT_Prod_Info,$U118,$AB118*D$5+$AC118)</f>
        <v>Jet kerosene</v>
      </c>
      <c r="E118" s="43" t="str" cm="1">
        <f t="array" ref="E118">INDEX(FLT_Prod_Info,$U118,$AB118*E$5+$AC118)</f>
        <v>Jet kerosene</v>
      </c>
      <c r="F118" s="43" t="str" cm="1">
        <f t="array" ref="F118">INDEX(FLT_Prod_Info,$U118,$AB118*F$5+$AC118)</f>
        <v>Jet kerosene</v>
      </c>
      <c r="G118" s="43" t="str" cm="1">
        <f t="array" ref="G118">INDEX(FLT_Prod_Info,$U118,$AB118*G$5+$AC118)</f>
        <v>Jet kerosene</v>
      </c>
      <c r="H118" s="43" t="str" cm="1">
        <f t="array" ref="H118">INDEX(FLT_Prod_Info,$U118,$AB118*H$5+$AC118)</f>
        <v>Jet kerosene</v>
      </c>
      <c r="I118" s="43" t="str" cm="1">
        <f t="array" ref="I118">INDEX(FLT_Prod_Info,$U118,$AB118*I$5+$AC118)</f>
        <v>Jet kerosene</v>
      </c>
      <c r="J118" s="43" t="str" cm="1">
        <f t="array" ref="J118">INDEX(FLT_Prod_Info,$U118,$AB118*J$5+$AC118)</f>
        <v>Jet kerosene</v>
      </c>
      <c r="K118" s="43" t="str" cm="1">
        <f t="array" ref="K118">INDEX(FLT_Prod_Info,$U118,$AB118*K$5+$AC118)</f>
        <v>Jet kerosene</v>
      </c>
      <c r="L118" s="43" t="str" cm="1">
        <f t="array" ref="L118">INDEX(FLT_Prod_Info,$U118,$AB118*L$5+$AC118)</f>
        <v>Jet kerosene</v>
      </c>
      <c r="M118" s="43" t="str" cm="1">
        <f t="array" ref="M118">INDEX(FLT_Prod_Info,$U118,$AB118*M$5+$AC118)</f>
        <v>Jet kerosene</v>
      </c>
      <c r="N118" s="43" t="str" cm="1">
        <f t="array" ref="N118">INDEX(FLT_Prod_Info,$U118,$AB118*N$5+$AC118)</f>
        <v>Jet kerosene</v>
      </c>
      <c r="O118" s="43" t="str" cm="1">
        <f t="array" ref="O118">INDEX(FLT_Prod_Info,$U118,$AB118*O$5+$AC118)</f>
        <v>Jet kerosene</v>
      </c>
      <c r="Q118">
        <v>1</v>
      </c>
      <c r="R118">
        <f>R104+1</f>
        <v>9</v>
      </c>
      <c r="S118" t="s">
        <v>237</v>
      </c>
      <c r="T118">
        <v>1</v>
      </c>
      <c r="U118">
        <f>U104+12</f>
        <v>97</v>
      </c>
      <c r="V118">
        <v>1</v>
      </c>
      <c r="W118">
        <v>3</v>
      </c>
      <c r="X118">
        <v>1</v>
      </c>
      <c r="Y118">
        <v>2</v>
      </c>
      <c r="Z118">
        <v>1</v>
      </c>
      <c r="AA118">
        <v>2</v>
      </c>
      <c r="AB118">
        <f t="shared" ref="AB118:AB123" si="288">(Y118-X118)/(AA118-Z118)</f>
        <v>1</v>
      </c>
      <c r="AC118">
        <f t="shared" ref="AC118:AC123" si="289">X118-AB118*Z118</f>
        <v>0</v>
      </c>
    </row>
    <row r="119" spans="1:29" x14ac:dyDescent="0.4">
      <c r="C119" t="s">
        <v>529</v>
      </c>
      <c r="D119" s="43" t="str" cm="1">
        <f t="array" ref="D119">INDEX(FLT_Prod_Info,$U119,$AB119*D$5+$AC119)</f>
        <v/>
      </c>
      <c r="E119" s="43" t="str" cm="1">
        <f t="array" ref="E119">INDEX(FLT_Prod_Info,$U119,$AB119*E$5+$AC119)</f>
        <v/>
      </c>
      <c r="F119" s="43" t="str" cm="1">
        <f t="array" ref="F119">INDEX(FLT_Prod_Info,$U119,$AB119*F$5+$AC119)</f>
        <v/>
      </c>
      <c r="G119" s="43" t="str" cm="1">
        <f t="array" ref="G119">INDEX(FLT_Prod_Info,$U119,$AB119*G$5+$AC119)</f>
        <v/>
      </c>
      <c r="H119" s="43" t="str" cm="1">
        <f t="array" ref="H119">INDEX(FLT_Prod_Info,$U119,$AB119*H$5+$AC119)</f>
        <v/>
      </c>
      <c r="I119" s="43" t="str" cm="1">
        <f t="array" ref="I119">INDEX(FLT_Prod_Info,$U119,$AB119*I$5+$AC119)</f>
        <v/>
      </c>
      <c r="J119" s="43" t="str" cm="1">
        <f t="array" ref="J119">INDEX(FLT_Prod_Info,$U119,$AB119*J$5+$AC119)</f>
        <v/>
      </c>
      <c r="K119" s="43" t="str" cm="1">
        <f t="array" ref="K119">INDEX(FLT_Prod_Info,$U119,$AB119*K$5+$AC119)</f>
        <v/>
      </c>
      <c r="L119" s="43" t="str" cm="1">
        <f t="array" ref="L119">INDEX(FLT_Prod_Info,$U119,$AB119*L$5+$AC119)</f>
        <v/>
      </c>
      <c r="M119" s="43" t="str" cm="1">
        <f t="array" ref="M119">INDEX(FLT_Prod_Info,$U119,$AB119*M$5+$AC119)</f>
        <v/>
      </c>
      <c r="N119" s="43" t="str" cm="1">
        <f t="array" ref="N119">INDEX(FLT_Prod_Info,$U119,$AB119*N$5+$AC119)</f>
        <v/>
      </c>
      <c r="O119" s="43" t="str" cm="1">
        <f t="array" ref="O119">INDEX(FLT_Prod_Info,$U119,$AB119*O$5+$AC119)</f>
        <v/>
      </c>
      <c r="Q119">
        <f>Q118+1</f>
        <v>2</v>
      </c>
      <c r="S119" t="s">
        <v>549</v>
      </c>
      <c r="T119">
        <v>3</v>
      </c>
      <c r="U119">
        <f>U118+5</f>
        <v>102</v>
      </c>
      <c r="X119">
        <v>1</v>
      </c>
      <c r="Y119">
        <v>2</v>
      </c>
      <c r="Z119">
        <v>1</v>
      </c>
      <c r="AA119">
        <v>2</v>
      </c>
      <c r="AB119">
        <f t="shared" si="288"/>
        <v>1</v>
      </c>
      <c r="AC119">
        <f t="shared" si="289"/>
        <v>0</v>
      </c>
    </row>
    <row r="120" spans="1:29" x14ac:dyDescent="0.4">
      <c r="C120" t="s">
        <v>530</v>
      </c>
      <c r="D120" s="43" t="str" cm="1">
        <f t="array" ref="D120">INDEX(FLT_Prod_Info,$U120,$AB120*D$5+$AC120)</f>
        <v>Select Pet Stock</v>
      </c>
      <c r="E120" s="43" t="str" cm="1">
        <f t="array" ref="E120">INDEX(FLT_Prod_Info,$U120,$AB120*E$5+$AC120)</f>
        <v>Select Pet Stock</v>
      </c>
      <c r="F120" s="43" t="str" cm="1">
        <f t="array" ref="F120">INDEX(FLT_Prod_Info,$U120,$AB120*F$5+$AC120)</f>
        <v>Select Pet Stock</v>
      </c>
      <c r="G120" s="43" t="str" cm="1">
        <f t="array" ref="G120">INDEX(FLT_Prod_Info,$U120,$AB120*G$5+$AC120)</f>
        <v>Select Pet Stock</v>
      </c>
      <c r="H120" s="43" t="str" cm="1">
        <f t="array" ref="H120">INDEX(FLT_Prod_Info,$U120,$AB120*H$5+$AC120)</f>
        <v>Select Pet Stock</v>
      </c>
      <c r="I120" s="43" t="str" cm="1">
        <f t="array" ref="I120">INDEX(FLT_Prod_Info,$U120,$AB120*I$5+$AC120)</f>
        <v>Select Pet Stock</v>
      </c>
      <c r="J120" s="43" t="str" cm="1">
        <f t="array" ref="J120">INDEX(FLT_Prod_Info,$U120,$AB120*J$5+$AC120)</f>
        <v>Select Pet Stock</v>
      </c>
      <c r="K120" s="43" t="str" cm="1">
        <f t="array" ref="K120">INDEX(FLT_Prod_Info,$U120,$AB120*K$5+$AC120)</f>
        <v>Select Pet Stock</v>
      </c>
      <c r="L120" s="43" t="str" cm="1">
        <f t="array" ref="L120">INDEX(FLT_Prod_Info,$U120,$AB120*L$5+$AC120)</f>
        <v>Select Pet Stock</v>
      </c>
      <c r="M120" s="43" t="str" cm="1">
        <f t="array" ref="M120">INDEX(FLT_Prod_Info,$U120,$AB120*M$5+$AC120)</f>
        <v>Select Pet Stock</v>
      </c>
      <c r="N120" s="43" t="str" cm="1">
        <f t="array" ref="N120">INDEX(FLT_Prod_Info,$U120,$AB120*N$5+$AC120)</f>
        <v>Select Pet Stock</v>
      </c>
      <c r="O120" s="43" t="str" cm="1">
        <f t="array" ref="O120">INDEX(FLT_Prod_Info,$U120,$AB120*O$5+$AC120)</f>
        <v>Select Pet Stock</v>
      </c>
      <c r="Q120">
        <f t="shared" ref="Q120:Q130" si="290">Q119+1</f>
        <v>3</v>
      </c>
      <c r="U120">
        <f>U118+1</f>
        <v>98</v>
      </c>
      <c r="X120">
        <v>1</v>
      </c>
      <c r="Y120">
        <v>2</v>
      </c>
      <c r="Z120">
        <v>1</v>
      </c>
      <c r="AA120">
        <v>2</v>
      </c>
      <c r="AB120">
        <f t="shared" si="288"/>
        <v>1</v>
      </c>
      <c r="AC120">
        <f t="shared" si="289"/>
        <v>0</v>
      </c>
    </row>
    <row r="121" spans="1:29" x14ac:dyDescent="0.4">
      <c r="C121" t="s">
        <v>531</v>
      </c>
      <c r="D121" s="43" t="e" cm="1">
        <f t="array" ref="D121">INDEX(FLT_Prod_Info,$U121,$AB121*D$5+$AC121)</f>
        <v>#N/A</v>
      </c>
      <c r="E121" s="43" t="e" cm="1">
        <f t="array" ref="E121">INDEX(FLT_Prod_Info,$U121,$AB121*E$5+$AC121)</f>
        <v>#N/A</v>
      </c>
      <c r="F121" s="43" t="e" cm="1">
        <f t="array" ref="F121">INDEX(FLT_Prod_Info,$U121,$AB121*F$5+$AC121)</f>
        <v>#N/A</v>
      </c>
      <c r="G121" s="43" t="e" cm="1">
        <f t="array" ref="G121">INDEX(FLT_Prod_Info,$U121,$AB121*G$5+$AC121)</f>
        <v>#N/A</v>
      </c>
      <c r="H121" s="43" t="e" cm="1">
        <f t="array" ref="H121">INDEX(FLT_Prod_Info,$U121,$AB121*H$5+$AC121)</f>
        <v>#N/A</v>
      </c>
      <c r="I121" s="43" t="e" cm="1">
        <f t="array" ref="I121">INDEX(FLT_Prod_Info,$U121,$AB121*I$5+$AC121)</f>
        <v>#N/A</v>
      </c>
      <c r="J121" s="43" t="e" cm="1">
        <f t="array" ref="J121">INDEX(FLT_Prod_Info,$U121,$AB121*J$5+$AC121)</f>
        <v>#N/A</v>
      </c>
      <c r="K121" s="43" t="e" cm="1">
        <f t="array" ref="K121">INDEX(FLT_Prod_Info,$U121,$AB121*K$5+$AC121)</f>
        <v>#N/A</v>
      </c>
      <c r="L121" s="43" t="e" cm="1">
        <f t="array" ref="L121">INDEX(FLT_Prod_Info,$U121,$AB121*L$5+$AC121)</f>
        <v>#N/A</v>
      </c>
      <c r="M121" s="43" t="e" cm="1">
        <f t="array" ref="M121">INDEX(FLT_Prod_Info,$U121,$AB121*M$5+$AC121)</f>
        <v>#N/A</v>
      </c>
      <c r="N121" s="43" t="e" cm="1">
        <f t="array" ref="N121">INDEX(FLT_Prod_Info,$U121,$AB121*N$5+$AC121)</f>
        <v>#N/A</v>
      </c>
      <c r="O121" s="43" t="e" cm="1">
        <f t="array" ref="O121">INDEX(FLT_Prod_Info,$U121,$AB121*O$5+$AC121)</f>
        <v>#N/A</v>
      </c>
      <c r="Q121">
        <f t="shared" si="290"/>
        <v>4</v>
      </c>
      <c r="U121">
        <f>U120+5</f>
        <v>103</v>
      </c>
      <c r="X121">
        <v>1</v>
      </c>
      <c r="Y121">
        <v>2</v>
      </c>
      <c r="Z121">
        <v>1</v>
      </c>
      <c r="AA121">
        <v>2</v>
      </c>
      <c r="AB121">
        <f t="shared" si="288"/>
        <v>1</v>
      </c>
      <c r="AC121">
        <f t="shared" si="289"/>
        <v>0</v>
      </c>
    </row>
    <row r="122" spans="1:29" x14ac:dyDescent="0.4">
      <c r="C122" t="s">
        <v>546</v>
      </c>
      <c r="D122" s="43" cm="1">
        <f t="array" ref="D122">INDEX(FLT_Prod_Info,$U122,$AB122*D$5+$AC122)</f>
        <v>1</v>
      </c>
      <c r="E122" s="43" cm="1">
        <f t="array" ref="E122">INDEX(FLT_Prod_Info,$U122,$AB122*E$5+$AC122)</f>
        <v>1</v>
      </c>
      <c r="F122" s="43" cm="1">
        <f t="array" ref="F122">INDEX(FLT_Prod_Info,$U122,$AB122*F$5+$AC122)</f>
        <v>1</v>
      </c>
      <c r="G122" s="43" cm="1">
        <f t="array" ref="G122">INDEX(FLT_Prod_Info,$U122,$AB122*G$5+$AC122)</f>
        <v>1</v>
      </c>
      <c r="H122" s="43" cm="1">
        <f t="array" ref="H122">INDEX(FLT_Prod_Info,$U122,$AB122*H$5+$AC122)</f>
        <v>1</v>
      </c>
      <c r="I122" s="43" cm="1">
        <f t="array" ref="I122">INDEX(FLT_Prod_Info,$U122,$AB122*I$5+$AC122)</f>
        <v>1</v>
      </c>
      <c r="J122" s="43" cm="1">
        <f t="array" ref="J122">INDEX(FLT_Prod_Info,$U122,$AB122*J$5+$AC122)</f>
        <v>1</v>
      </c>
      <c r="K122" s="43" cm="1">
        <f t="array" ref="K122">INDEX(FLT_Prod_Info,$U122,$AB122*K$5+$AC122)</f>
        <v>1</v>
      </c>
      <c r="L122" s="43" cm="1">
        <f t="array" ref="L122">INDEX(FLT_Prod_Info,$U122,$AB122*L$5+$AC122)</f>
        <v>1</v>
      </c>
      <c r="M122" s="43" cm="1">
        <f t="array" ref="M122">INDEX(FLT_Prod_Info,$U122,$AB122*M$5+$AC122)</f>
        <v>1</v>
      </c>
      <c r="N122" s="43" cm="1">
        <f t="array" ref="N122">INDEX(FLT_Prod_Info,$U122,$AB122*N$5+$AC122)</f>
        <v>1</v>
      </c>
      <c r="O122" s="43" cm="1">
        <f t="array" ref="O122">INDEX(FLT_Prod_Info,$U122,$AB122*O$5+$AC122)</f>
        <v>1</v>
      </c>
      <c r="Q122">
        <f t="shared" si="290"/>
        <v>5</v>
      </c>
      <c r="U122">
        <f>U118+4</f>
        <v>101</v>
      </c>
      <c r="X122">
        <v>1</v>
      </c>
      <c r="Y122">
        <v>2</v>
      </c>
      <c r="Z122">
        <v>1</v>
      </c>
      <c r="AA122">
        <v>2</v>
      </c>
      <c r="AB122">
        <f t="shared" si="288"/>
        <v>1</v>
      </c>
      <c r="AC122">
        <f t="shared" si="289"/>
        <v>0</v>
      </c>
    </row>
    <row r="123" spans="1:29" x14ac:dyDescent="0.4">
      <c r="C123" t="s">
        <v>547</v>
      </c>
      <c r="D123" s="43" cm="1">
        <f t="array" ref="D123">INDEX(FLT_Prod_Info,$U123,$AB123*D$5+$AC123)</f>
        <v>0</v>
      </c>
      <c r="E123" s="43" cm="1">
        <f t="array" ref="E123">INDEX(FLT_Prod_Info,$U123,$AB123*E$5+$AC123)</f>
        <v>0</v>
      </c>
      <c r="F123" s="43" cm="1">
        <f t="array" ref="F123">INDEX(FLT_Prod_Info,$U123,$AB123*F$5+$AC123)</f>
        <v>0</v>
      </c>
      <c r="G123" s="43" cm="1">
        <f t="array" ref="G123">INDEX(FLT_Prod_Info,$U123,$AB123*G$5+$AC123)</f>
        <v>0</v>
      </c>
      <c r="H123" s="43" cm="1">
        <f t="array" ref="H123">INDEX(FLT_Prod_Info,$U123,$AB123*H$5+$AC123)</f>
        <v>0</v>
      </c>
      <c r="I123" s="43" cm="1">
        <f t="array" ref="I123">INDEX(FLT_Prod_Info,$U123,$AB123*I$5+$AC123)</f>
        <v>0</v>
      </c>
      <c r="J123" s="43" cm="1">
        <f t="array" ref="J123">INDEX(FLT_Prod_Info,$U123,$AB123*J$5+$AC123)</f>
        <v>0</v>
      </c>
      <c r="K123" s="43" cm="1">
        <f t="array" ref="K123">INDEX(FLT_Prod_Info,$U123,$AB123*K$5+$AC123)</f>
        <v>0</v>
      </c>
      <c r="L123" s="43" cm="1">
        <f t="array" ref="L123">INDEX(FLT_Prod_Info,$U123,$AB123*L$5+$AC123)</f>
        <v>0</v>
      </c>
      <c r="M123" s="43" cm="1">
        <f t="array" ref="M123">INDEX(FLT_Prod_Info,$U123,$AB123*M$5+$AC123)</f>
        <v>0</v>
      </c>
      <c r="N123" s="43" cm="1">
        <f t="array" ref="N123">INDEX(FLT_Prod_Info,$U123,$AB123*N$5+$AC123)</f>
        <v>0</v>
      </c>
      <c r="O123" s="43" cm="1">
        <f t="array" ref="O123">INDEX(FLT_Prod_Info,$U123,$AB123*O$5+$AC123)</f>
        <v>0</v>
      </c>
      <c r="Q123">
        <f t="shared" si="290"/>
        <v>6</v>
      </c>
      <c r="U123">
        <f>U119+4</f>
        <v>106</v>
      </c>
      <c r="X123">
        <v>1</v>
      </c>
      <c r="Y123">
        <v>2</v>
      </c>
      <c r="Z123">
        <v>1</v>
      </c>
      <c r="AA123">
        <v>2</v>
      </c>
      <c r="AB123">
        <f t="shared" si="288"/>
        <v>1</v>
      </c>
      <c r="AC123">
        <f t="shared" si="289"/>
        <v>0</v>
      </c>
    </row>
    <row r="124" spans="1:29" x14ac:dyDescent="0.4">
      <c r="C124" t="s">
        <v>532</v>
      </c>
      <c r="D124" s="43">
        <f t="shared" ref="D124:O125" si="291">IFERROR(VLOOKUP(D118,Phys_Prop,2,FALSE),0)</f>
        <v>162</v>
      </c>
      <c r="E124" s="43">
        <f t="shared" si="291"/>
        <v>162</v>
      </c>
      <c r="F124" s="43">
        <f t="shared" si="291"/>
        <v>162</v>
      </c>
      <c r="G124" s="43">
        <f t="shared" si="291"/>
        <v>162</v>
      </c>
      <c r="H124" s="43">
        <f t="shared" si="291"/>
        <v>162</v>
      </c>
      <c r="I124" s="43">
        <f t="shared" si="291"/>
        <v>162</v>
      </c>
      <c r="J124" s="43">
        <f t="shared" si="291"/>
        <v>162</v>
      </c>
      <c r="K124" s="43">
        <f t="shared" si="291"/>
        <v>162</v>
      </c>
      <c r="L124" s="43">
        <f t="shared" si="291"/>
        <v>162</v>
      </c>
      <c r="M124" s="43">
        <f t="shared" si="291"/>
        <v>162</v>
      </c>
      <c r="N124" s="43">
        <f t="shared" si="291"/>
        <v>162</v>
      </c>
      <c r="O124" s="43">
        <f t="shared" si="291"/>
        <v>162</v>
      </c>
      <c r="Q124">
        <f t="shared" si="290"/>
        <v>7</v>
      </c>
    </row>
    <row r="125" spans="1:29" x14ac:dyDescent="0.4">
      <c r="C125" t="s">
        <v>533</v>
      </c>
      <c r="D125" s="43">
        <f t="shared" si="291"/>
        <v>0</v>
      </c>
      <c r="E125" s="43">
        <f t="shared" si="291"/>
        <v>0</v>
      </c>
      <c r="F125" s="43">
        <f t="shared" si="291"/>
        <v>0</v>
      </c>
      <c r="G125" s="43">
        <f t="shared" si="291"/>
        <v>0</v>
      </c>
      <c r="H125" s="43">
        <f t="shared" si="291"/>
        <v>0</v>
      </c>
      <c r="I125" s="43">
        <f t="shared" si="291"/>
        <v>0</v>
      </c>
      <c r="J125" s="43">
        <f t="shared" si="291"/>
        <v>0</v>
      </c>
      <c r="K125" s="43">
        <f t="shared" si="291"/>
        <v>0</v>
      </c>
      <c r="L125" s="43">
        <f t="shared" si="291"/>
        <v>0</v>
      </c>
      <c r="M125" s="43">
        <f t="shared" si="291"/>
        <v>0</v>
      </c>
      <c r="N125" s="43">
        <f t="shared" si="291"/>
        <v>0</v>
      </c>
      <c r="O125" s="43">
        <f t="shared" si="291"/>
        <v>0</v>
      </c>
      <c r="Q125">
        <f t="shared" si="290"/>
        <v>8</v>
      </c>
    </row>
    <row r="126" spans="1:29" x14ac:dyDescent="0.4">
      <c r="C126" t="s">
        <v>544</v>
      </c>
      <c r="D126" s="43">
        <f>IFERROR(IFERROR(1/(D122/D124+D123/D125),D124/D122),1)</f>
        <v>162</v>
      </c>
      <c r="E126" s="43">
        <f t="shared" ref="E126" si="292">IFERROR(IFERROR(1/(E122/E124+E123/E125),E124/E122),1)</f>
        <v>162</v>
      </c>
      <c r="F126" s="43">
        <f t="shared" ref="F126" si="293">IFERROR(IFERROR(1/(F122/F124+F123/F125),F124/F122),1)</f>
        <v>162</v>
      </c>
      <c r="G126" s="43">
        <f t="shared" ref="G126" si="294">IFERROR(IFERROR(1/(G122/G124+G123/G125),G124/G122),1)</f>
        <v>162</v>
      </c>
      <c r="H126" s="43">
        <f t="shared" ref="H126" si="295">IFERROR(IFERROR(1/(H122/H124+H123/H125),H124/H122),1)</f>
        <v>162</v>
      </c>
      <c r="I126" s="43">
        <f t="shared" ref="I126" si="296">IFERROR(IFERROR(1/(I122/I124+I123/I125),I124/I122),1)</f>
        <v>162</v>
      </c>
      <c r="J126" s="43">
        <f t="shared" ref="J126" si="297">IFERROR(IFERROR(1/(J122/J124+J123/J125),J124/J122),1)</f>
        <v>162</v>
      </c>
      <c r="K126" s="43">
        <f t="shared" ref="K126" si="298">IFERROR(IFERROR(1/(K122/K124+K123/K125),K124/K122),1)</f>
        <v>162</v>
      </c>
      <c r="L126" s="43">
        <f t="shared" ref="L126" si="299">IFERROR(IFERROR(1/(L122/L124+L123/L125),L124/L122),1)</f>
        <v>162</v>
      </c>
      <c r="M126" s="43">
        <f t="shared" ref="M126" si="300">IFERROR(IFERROR(1/(M122/M124+M123/M125),M124/M122),1)</f>
        <v>162</v>
      </c>
      <c r="N126" s="43">
        <f t="shared" ref="N126" si="301">IFERROR(IFERROR(1/(N122/N124+N123/N125),N124/N122),1)</f>
        <v>162</v>
      </c>
      <c r="O126" s="43">
        <f t="shared" ref="O126" si="302">IFERROR(IFERROR(1/(O122/O124+O123/O125),O124/O122),1)</f>
        <v>162</v>
      </c>
      <c r="Q126">
        <f t="shared" si="290"/>
        <v>9</v>
      </c>
    </row>
    <row r="127" spans="1:29" x14ac:dyDescent="0.4">
      <c r="C127" t="s">
        <v>539</v>
      </c>
      <c r="D127" s="43">
        <f>IFERROR((D122/D124)*D126,1)</f>
        <v>1</v>
      </c>
      <c r="E127" s="43">
        <f t="shared" ref="E127" si="303">IFERROR((E122/E124)*E126,1)</f>
        <v>1</v>
      </c>
      <c r="F127" s="43">
        <f t="shared" ref="F127" si="304">IFERROR((F122/F124)*F126,1)</f>
        <v>1</v>
      </c>
      <c r="G127" s="43">
        <f t="shared" ref="G127" si="305">IFERROR((G122/G124)*G126,1)</f>
        <v>1</v>
      </c>
      <c r="H127" s="43">
        <f t="shared" ref="H127" si="306">IFERROR((H122/H124)*H126,1)</f>
        <v>1</v>
      </c>
      <c r="I127" s="43">
        <f t="shared" ref="I127" si="307">IFERROR((I122/I124)*I126,1)</f>
        <v>1</v>
      </c>
      <c r="J127" s="43">
        <f t="shared" ref="J127" si="308">IFERROR((J122/J124)*J126,1)</f>
        <v>1</v>
      </c>
      <c r="K127" s="43">
        <f t="shared" ref="K127" si="309">IFERROR((K122/K124)*K126,1)</f>
        <v>1</v>
      </c>
      <c r="L127" s="43">
        <f t="shared" ref="L127" si="310">IFERROR((L122/L124)*L126,1)</f>
        <v>1</v>
      </c>
      <c r="M127" s="43">
        <f t="shared" ref="M127" si="311">IFERROR((M122/M124)*M126,1)</f>
        <v>1</v>
      </c>
      <c r="N127" s="43">
        <f t="shared" ref="N127" si="312">IFERROR((N122/N124)*N126,1)</f>
        <v>1</v>
      </c>
      <c r="O127" s="43">
        <f t="shared" ref="O127" si="313">IFERROR((O122/O124)*O126,1)</f>
        <v>1</v>
      </c>
      <c r="Q127">
        <f t="shared" si="290"/>
        <v>10</v>
      </c>
    </row>
    <row r="128" spans="1:29" x14ac:dyDescent="0.4">
      <c r="C128" t="s">
        <v>540</v>
      </c>
      <c r="D128" s="43">
        <f>IFERROR(D123/D125*D126,0)</f>
        <v>0</v>
      </c>
      <c r="E128" s="43">
        <f t="shared" ref="E128:O128" si="314">IFERROR(E123/E125*E126,0)</f>
        <v>0</v>
      </c>
      <c r="F128" s="43">
        <f t="shared" si="314"/>
        <v>0</v>
      </c>
      <c r="G128" s="43">
        <f t="shared" si="314"/>
        <v>0</v>
      </c>
      <c r="H128" s="43">
        <f t="shared" si="314"/>
        <v>0</v>
      </c>
      <c r="I128" s="43">
        <f t="shared" si="314"/>
        <v>0</v>
      </c>
      <c r="J128" s="43">
        <f t="shared" si="314"/>
        <v>0</v>
      </c>
      <c r="K128" s="43">
        <f t="shared" si="314"/>
        <v>0</v>
      </c>
      <c r="L128" s="43">
        <f t="shared" si="314"/>
        <v>0</v>
      </c>
      <c r="M128" s="43">
        <f t="shared" si="314"/>
        <v>0</v>
      </c>
      <c r="N128" s="43">
        <f t="shared" si="314"/>
        <v>0</v>
      </c>
      <c r="O128" s="43">
        <f t="shared" si="314"/>
        <v>0</v>
      </c>
      <c r="Q128">
        <f t="shared" si="290"/>
        <v>11</v>
      </c>
    </row>
    <row r="129" spans="1:29" x14ac:dyDescent="0.4">
      <c r="C129" s="21" t="s">
        <v>534</v>
      </c>
      <c r="D129" s="43">
        <f t="shared" ref="D129:O130" si="315">IFERROR(VLOOKUP(D118,Phys_Prop,4,FALSE),0)</f>
        <v>7</v>
      </c>
      <c r="E129" s="43">
        <f t="shared" si="315"/>
        <v>7</v>
      </c>
      <c r="F129" s="43">
        <f t="shared" si="315"/>
        <v>7</v>
      </c>
      <c r="G129" s="43">
        <f t="shared" si="315"/>
        <v>7</v>
      </c>
      <c r="H129" s="43">
        <f t="shared" si="315"/>
        <v>7</v>
      </c>
      <c r="I129" s="43">
        <f t="shared" si="315"/>
        <v>7</v>
      </c>
      <c r="J129" s="43">
        <f t="shared" si="315"/>
        <v>7</v>
      </c>
      <c r="K129" s="43">
        <f t="shared" si="315"/>
        <v>7</v>
      </c>
      <c r="L129" s="43">
        <f t="shared" si="315"/>
        <v>7</v>
      </c>
      <c r="M129" s="43">
        <f t="shared" si="315"/>
        <v>7</v>
      </c>
      <c r="N129" s="43">
        <f t="shared" si="315"/>
        <v>7</v>
      </c>
      <c r="O129" s="43">
        <f t="shared" si="315"/>
        <v>7</v>
      </c>
      <c r="Q129">
        <f t="shared" si="290"/>
        <v>12</v>
      </c>
    </row>
    <row r="130" spans="1:29" x14ac:dyDescent="0.4">
      <c r="C130" s="21" t="s">
        <v>535</v>
      </c>
      <c r="D130" s="43">
        <f t="shared" si="315"/>
        <v>0</v>
      </c>
      <c r="E130" s="43">
        <f t="shared" si="315"/>
        <v>0</v>
      </c>
      <c r="F130" s="43">
        <f t="shared" si="315"/>
        <v>0</v>
      </c>
      <c r="G130" s="43">
        <f t="shared" si="315"/>
        <v>0</v>
      </c>
      <c r="H130" s="43">
        <f t="shared" si="315"/>
        <v>0</v>
      </c>
      <c r="I130" s="43">
        <f t="shared" si="315"/>
        <v>0</v>
      </c>
      <c r="J130" s="43">
        <f t="shared" si="315"/>
        <v>0</v>
      </c>
      <c r="K130" s="43">
        <f t="shared" si="315"/>
        <v>0</v>
      </c>
      <c r="L130" s="43">
        <f t="shared" si="315"/>
        <v>0</v>
      </c>
      <c r="M130" s="43">
        <f t="shared" si="315"/>
        <v>0</v>
      </c>
      <c r="N130" s="43">
        <f t="shared" si="315"/>
        <v>0</v>
      </c>
      <c r="O130" s="43">
        <f t="shared" si="315"/>
        <v>0</v>
      </c>
      <c r="Q130">
        <f t="shared" si="290"/>
        <v>13</v>
      </c>
    </row>
    <row r="131" spans="1:29" x14ac:dyDescent="0.4">
      <c r="A131" s="11"/>
      <c r="B131" s="11"/>
      <c r="C131" s="62" t="s">
        <v>536</v>
      </c>
      <c r="D131" s="208">
        <f>IF(IFERROR(IFERROR(1/(D127/D129+D128/D130),D129),0)="N/A",0,IFERROR(IFERROR(1/(D127/D129+D128/D130),D129),0))</f>
        <v>7</v>
      </c>
      <c r="E131" s="208">
        <f t="shared" ref="E131" si="316">IF(IFERROR(IFERROR(1/(E127/E129+E128/E130),E129),0)="N/A",0,IFERROR(IFERROR(1/(E127/E129+E128/E130),E129),0))</f>
        <v>7</v>
      </c>
      <c r="F131" s="208">
        <f t="shared" ref="F131" si="317">IF(IFERROR(IFERROR(1/(F127/F129+F128/F130),F129),0)="N/A",0,IFERROR(IFERROR(1/(F127/F129+F128/F130),F129),0))</f>
        <v>7</v>
      </c>
      <c r="G131" s="208">
        <f t="shared" ref="G131" si="318">IF(IFERROR(IFERROR(1/(G127/G129+G128/G130),G129),0)="N/A",0,IFERROR(IFERROR(1/(G127/G129+G128/G130),G129),0))</f>
        <v>7</v>
      </c>
      <c r="H131" s="208">
        <f t="shared" ref="H131" si="319">IF(IFERROR(IFERROR(1/(H127/H129+H128/H130),H129),0)="N/A",0,IFERROR(IFERROR(1/(H127/H129+H128/H130),H129),0))</f>
        <v>7</v>
      </c>
      <c r="I131" s="208">
        <f t="shared" ref="I131" si="320">IF(IFERROR(IFERROR(1/(I127/I129+I128/I130),I129),0)="N/A",0,IFERROR(IFERROR(1/(I127/I129+I128/I130),I129),0))</f>
        <v>7</v>
      </c>
      <c r="J131" s="208">
        <f t="shared" ref="J131" si="321">IF(IFERROR(IFERROR(1/(J127/J129+J128/J130),J129),0)="N/A",0,IFERROR(IFERROR(1/(J127/J129+J128/J130),J129),0))</f>
        <v>7</v>
      </c>
      <c r="K131" s="208">
        <f t="shared" ref="K131" si="322">IF(IFERROR(IFERROR(1/(K127/K129+K128/K130),K129),0)="N/A",0,IFERROR(IFERROR(1/(K127/K129+K128/K130),K129),0))</f>
        <v>7</v>
      </c>
      <c r="L131" s="208">
        <f t="shared" ref="L131" si="323">IF(IFERROR(IFERROR(1/(L127/L129+L128/L130),L129),0)="N/A",0,IFERROR(IFERROR(1/(L127/L129+L128/L130),L129),0))</f>
        <v>7</v>
      </c>
      <c r="M131" s="208">
        <f t="shared" ref="M131" si="324">IF(IFERROR(IFERROR(1/(M127/M129+M128/M130),M129),0)="N/A",0,IFERROR(IFERROR(1/(M127/M129+M128/M130),M129),0))</f>
        <v>7</v>
      </c>
      <c r="N131" s="208">
        <f t="shared" ref="N131" si="325">IF(IFERROR(IFERROR(1/(N127/N129+N128/N130),N129),0)="N/A",0,IFERROR(IFERROR(1/(N127/N129+N128/N130),N129),0))</f>
        <v>7</v>
      </c>
      <c r="O131" s="208">
        <f t="shared" ref="O131" si="326">IF(IFERROR(IFERROR(1/(O127/O129+O128/O130),O129),0)="N/A",0,IFERROR(IFERROR(1/(O127/O129+O128/O130),O129),0))</f>
        <v>7</v>
      </c>
      <c r="P131" s="11"/>
      <c r="Q131" s="11">
        <f>Q130+1</f>
        <v>14</v>
      </c>
      <c r="R131" s="11"/>
      <c r="S131" s="11"/>
      <c r="T131" s="11"/>
      <c r="U131" s="11"/>
      <c r="V131" s="11"/>
      <c r="W131" s="11"/>
      <c r="X131" s="11"/>
      <c r="Y131" s="11"/>
      <c r="Z131" s="11"/>
      <c r="AA131" s="11"/>
      <c r="AB131" s="11"/>
      <c r="AC131" s="11"/>
    </row>
    <row r="132" spans="1:29" x14ac:dyDescent="0.4">
      <c r="A132" t="str" cm="1">
        <f t="array" ref="A132">INDEX(FLT_Cons,$R132,$T132)</f>
        <v>FLT - 10</v>
      </c>
      <c r="B132" t="str" cm="1">
        <f t="array" ref="B132">INDEX(FLT_Cons,$R132,$T133)</f>
        <v>Portland</v>
      </c>
      <c r="C132" t="s">
        <v>528</v>
      </c>
      <c r="D132" s="43" t="str" cm="1">
        <f t="array" ref="D132">INDEX(FLT_Prod_Info,$U132,$AB132*D$5+$AC132)</f>
        <v>Bakken Crude</v>
      </c>
      <c r="E132" s="43" t="str" cm="1">
        <f t="array" ref="E132">INDEX(FLT_Prod_Info,$U132,$AB132*E$5+$AC132)</f>
        <v>Bakken Crude</v>
      </c>
      <c r="F132" s="43" t="str" cm="1">
        <f t="array" ref="F132">INDEX(FLT_Prod_Info,$U132,$AB132*F$5+$AC132)</f>
        <v>Bakken Crude</v>
      </c>
      <c r="G132" s="43" t="str" cm="1">
        <f t="array" ref="G132">INDEX(FLT_Prod_Info,$U132,$AB132*G$5+$AC132)</f>
        <v>Bakken Crude</v>
      </c>
      <c r="H132" s="43" t="str" cm="1">
        <f t="array" ref="H132">INDEX(FLT_Prod_Info,$U132,$AB132*H$5+$AC132)</f>
        <v>Bakken Crude</v>
      </c>
      <c r="I132" s="43" t="str" cm="1">
        <f t="array" ref="I132">INDEX(FLT_Prod_Info,$U132,$AB132*I$5+$AC132)</f>
        <v>Bakken Crude</v>
      </c>
      <c r="J132" s="43" t="str" cm="1">
        <f t="array" ref="J132">INDEX(FLT_Prod_Info,$U132,$AB132*J$5+$AC132)</f>
        <v>Bakken Crude</v>
      </c>
      <c r="K132" s="43" t="str" cm="1">
        <f t="array" ref="K132">INDEX(FLT_Prod_Info,$U132,$AB132*K$5+$AC132)</f>
        <v>Bakken Crude</v>
      </c>
      <c r="L132" s="43" t="str" cm="1">
        <f t="array" ref="L132">INDEX(FLT_Prod_Info,$U132,$AB132*L$5+$AC132)</f>
        <v>Bakken Crude</v>
      </c>
      <c r="M132" s="43" t="str" cm="1">
        <f t="array" ref="M132">INDEX(FLT_Prod_Info,$U132,$AB132*M$5+$AC132)</f>
        <v>Bakken Crude</v>
      </c>
      <c r="N132" s="43" t="str" cm="1">
        <f t="array" ref="N132">INDEX(FLT_Prod_Info,$U132,$AB132*N$5+$AC132)</f>
        <v>Bakken Crude</v>
      </c>
      <c r="O132" s="43" t="str" cm="1">
        <f t="array" ref="O132">INDEX(FLT_Prod_Info,$U132,$AB132*O$5+$AC132)</f>
        <v>Bakken Crude</v>
      </c>
      <c r="Q132">
        <v>1</v>
      </c>
      <c r="R132">
        <f>R118+1</f>
        <v>10</v>
      </c>
      <c r="S132" t="s">
        <v>237</v>
      </c>
      <c r="T132">
        <v>1</v>
      </c>
      <c r="U132">
        <f>U118+12</f>
        <v>109</v>
      </c>
      <c r="V132">
        <v>1</v>
      </c>
      <c r="W132">
        <v>3</v>
      </c>
      <c r="X132">
        <v>1</v>
      </c>
      <c r="Y132">
        <v>2</v>
      </c>
      <c r="Z132">
        <v>1</v>
      </c>
      <c r="AA132">
        <v>2</v>
      </c>
      <c r="AB132">
        <f t="shared" ref="AB132:AB137" si="327">(Y132-X132)/(AA132-Z132)</f>
        <v>1</v>
      </c>
      <c r="AC132">
        <f t="shared" ref="AC132:AC137" si="328">X132-AB132*Z132</f>
        <v>0</v>
      </c>
    </row>
    <row r="133" spans="1:29" x14ac:dyDescent="0.4">
      <c r="C133" t="s">
        <v>529</v>
      </c>
      <c r="D133" s="43" t="str" cm="1">
        <f t="array" ref="D133">INDEX(FLT_Prod_Info,$U133,$AB133*D$5+$AC133)</f>
        <v/>
      </c>
      <c r="E133" s="43" t="str" cm="1">
        <f t="array" ref="E133">INDEX(FLT_Prod_Info,$U133,$AB133*E$5+$AC133)</f>
        <v/>
      </c>
      <c r="F133" s="43" t="str" cm="1">
        <f t="array" ref="F133">INDEX(FLT_Prod_Info,$U133,$AB133*F$5+$AC133)</f>
        <v/>
      </c>
      <c r="G133" s="43" t="str" cm="1">
        <f t="array" ref="G133">INDEX(FLT_Prod_Info,$U133,$AB133*G$5+$AC133)</f>
        <v/>
      </c>
      <c r="H133" s="43" t="str" cm="1">
        <f t="array" ref="H133">INDEX(FLT_Prod_Info,$U133,$AB133*H$5+$AC133)</f>
        <v/>
      </c>
      <c r="I133" s="43" t="str" cm="1">
        <f t="array" ref="I133">INDEX(FLT_Prod_Info,$U133,$AB133*I$5+$AC133)</f>
        <v/>
      </c>
      <c r="J133" s="43" t="str" cm="1">
        <f t="array" ref="J133">INDEX(FLT_Prod_Info,$U133,$AB133*J$5+$AC133)</f>
        <v/>
      </c>
      <c r="K133" s="43" t="str" cm="1">
        <f t="array" ref="K133">INDEX(FLT_Prod_Info,$U133,$AB133*K$5+$AC133)</f>
        <v/>
      </c>
      <c r="L133" s="43" t="str" cm="1">
        <f t="array" ref="L133">INDEX(FLT_Prod_Info,$U133,$AB133*L$5+$AC133)</f>
        <v/>
      </c>
      <c r="M133" s="43" t="str" cm="1">
        <f t="array" ref="M133">INDEX(FLT_Prod_Info,$U133,$AB133*M$5+$AC133)</f>
        <v/>
      </c>
      <c r="N133" s="43" t="str" cm="1">
        <f t="array" ref="N133">INDEX(FLT_Prod_Info,$U133,$AB133*N$5+$AC133)</f>
        <v/>
      </c>
      <c r="O133" s="43" t="str" cm="1">
        <f t="array" ref="O133">INDEX(FLT_Prod_Info,$U133,$AB133*O$5+$AC133)</f>
        <v/>
      </c>
      <c r="Q133">
        <f>Q132+1</f>
        <v>2</v>
      </c>
      <c r="S133" t="s">
        <v>549</v>
      </c>
      <c r="T133">
        <v>3</v>
      </c>
      <c r="U133">
        <f>U132+5</f>
        <v>114</v>
      </c>
      <c r="X133">
        <v>1</v>
      </c>
      <c r="Y133">
        <v>2</v>
      </c>
      <c r="Z133">
        <v>1</v>
      </c>
      <c r="AA133">
        <v>2</v>
      </c>
      <c r="AB133">
        <f t="shared" si="327"/>
        <v>1</v>
      </c>
      <c r="AC133">
        <f t="shared" si="328"/>
        <v>0</v>
      </c>
    </row>
    <row r="134" spans="1:29" x14ac:dyDescent="0.4">
      <c r="C134" t="s">
        <v>530</v>
      </c>
      <c r="D134" s="43" t="str" cm="1">
        <f t="array" ref="D134">INDEX(FLT_Prod_Info,$U134,$AB134*D$5+$AC134)</f>
        <v>Crude Oil</v>
      </c>
      <c r="E134" s="43" t="str" cm="1">
        <f t="array" ref="E134">INDEX(FLT_Prod_Info,$U134,$AB134*E$5+$AC134)</f>
        <v>Crude Oil</v>
      </c>
      <c r="F134" s="43" t="str" cm="1">
        <f t="array" ref="F134">INDEX(FLT_Prod_Info,$U134,$AB134*F$5+$AC134)</f>
        <v>Crude Oil</v>
      </c>
      <c r="G134" s="43" t="str" cm="1">
        <f t="array" ref="G134">INDEX(FLT_Prod_Info,$U134,$AB134*G$5+$AC134)</f>
        <v>Crude Oil</v>
      </c>
      <c r="H134" s="43" t="str" cm="1">
        <f t="array" ref="H134">INDEX(FLT_Prod_Info,$U134,$AB134*H$5+$AC134)</f>
        <v>Crude Oil</v>
      </c>
      <c r="I134" s="43" t="str" cm="1">
        <f t="array" ref="I134">INDEX(FLT_Prod_Info,$U134,$AB134*I$5+$AC134)</f>
        <v>Crude Oil</v>
      </c>
      <c r="J134" s="43" t="str" cm="1">
        <f t="array" ref="J134">INDEX(FLT_Prod_Info,$U134,$AB134*J$5+$AC134)</f>
        <v>Crude Oil</v>
      </c>
      <c r="K134" s="43" t="str" cm="1">
        <f t="array" ref="K134">INDEX(FLT_Prod_Info,$U134,$AB134*K$5+$AC134)</f>
        <v>Crude Oil</v>
      </c>
      <c r="L134" s="43" t="str" cm="1">
        <f t="array" ref="L134">INDEX(FLT_Prod_Info,$U134,$AB134*L$5+$AC134)</f>
        <v>Crude Oil</v>
      </c>
      <c r="M134" s="43" t="str" cm="1">
        <f t="array" ref="M134">INDEX(FLT_Prod_Info,$U134,$AB134*M$5+$AC134)</f>
        <v>Crude Oil</v>
      </c>
      <c r="N134" s="43" t="str" cm="1">
        <f t="array" ref="N134">INDEX(FLT_Prod_Info,$U134,$AB134*N$5+$AC134)</f>
        <v>Crude Oil</v>
      </c>
      <c r="O134" s="43" t="str" cm="1">
        <f t="array" ref="O134">INDEX(FLT_Prod_Info,$U134,$AB134*O$5+$AC134)</f>
        <v>Crude Oil</v>
      </c>
      <c r="Q134">
        <f t="shared" ref="Q134:Q144" si="329">Q133+1</f>
        <v>3</v>
      </c>
      <c r="U134">
        <f>U132+1</f>
        <v>110</v>
      </c>
      <c r="X134">
        <v>1</v>
      </c>
      <c r="Y134">
        <v>2</v>
      </c>
      <c r="Z134">
        <v>1</v>
      </c>
      <c r="AA134">
        <v>2</v>
      </c>
      <c r="AB134">
        <f t="shared" si="327"/>
        <v>1</v>
      </c>
      <c r="AC134">
        <f t="shared" si="328"/>
        <v>0</v>
      </c>
    </row>
    <row r="135" spans="1:29" x14ac:dyDescent="0.4">
      <c r="C135" t="s">
        <v>531</v>
      </c>
      <c r="D135" s="43" t="e" cm="1">
        <f t="array" ref="D135">INDEX(FLT_Prod_Info,$U135,$AB135*D$5+$AC135)</f>
        <v>#N/A</v>
      </c>
      <c r="E135" s="43" t="e" cm="1">
        <f t="array" ref="E135">INDEX(FLT_Prod_Info,$U135,$AB135*E$5+$AC135)</f>
        <v>#N/A</v>
      </c>
      <c r="F135" s="43" t="e" cm="1">
        <f t="array" ref="F135">INDEX(FLT_Prod_Info,$U135,$AB135*F$5+$AC135)</f>
        <v>#N/A</v>
      </c>
      <c r="G135" s="43" t="e" cm="1">
        <f t="array" ref="G135">INDEX(FLT_Prod_Info,$U135,$AB135*G$5+$AC135)</f>
        <v>#N/A</v>
      </c>
      <c r="H135" s="43" t="e" cm="1">
        <f t="array" ref="H135">INDEX(FLT_Prod_Info,$U135,$AB135*H$5+$AC135)</f>
        <v>#N/A</v>
      </c>
      <c r="I135" s="43" t="e" cm="1">
        <f t="array" ref="I135">INDEX(FLT_Prod_Info,$U135,$AB135*I$5+$AC135)</f>
        <v>#N/A</v>
      </c>
      <c r="J135" s="43" t="e" cm="1">
        <f t="array" ref="J135">INDEX(FLT_Prod_Info,$U135,$AB135*J$5+$AC135)</f>
        <v>#N/A</v>
      </c>
      <c r="K135" s="43" t="e" cm="1">
        <f t="array" ref="K135">INDEX(FLT_Prod_Info,$U135,$AB135*K$5+$AC135)</f>
        <v>#N/A</v>
      </c>
      <c r="L135" s="43" t="e" cm="1">
        <f t="array" ref="L135">INDEX(FLT_Prod_Info,$U135,$AB135*L$5+$AC135)</f>
        <v>#N/A</v>
      </c>
      <c r="M135" s="43" t="e" cm="1">
        <f t="array" ref="M135">INDEX(FLT_Prod_Info,$U135,$AB135*M$5+$AC135)</f>
        <v>#N/A</v>
      </c>
      <c r="N135" s="43" t="e" cm="1">
        <f t="array" ref="N135">INDEX(FLT_Prod_Info,$U135,$AB135*N$5+$AC135)</f>
        <v>#N/A</v>
      </c>
      <c r="O135" s="43" t="e" cm="1">
        <f t="array" ref="O135">INDEX(FLT_Prod_Info,$U135,$AB135*O$5+$AC135)</f>
        <v>#N/A</v>
      </c>
      <c r="Q135">
        <f t="shared" si="329"/>
        <v>4</v>
      </c>
      <c r="U135">
        <f>U134+5</f>
        <v>115</v>
      </c>
      <c r="X135">
        <v>1</v>
      </c>
      <c r="Y135">
        <v>2</v>
      </c>
      <c r="Z135">
        <v>1</v>
      </c>
      <c r="AA135">
        <v>2</v>
      </c>
      <c r="AB135">
        <f t="shared" si="327"/>
        <v>1</v>
      </c>
      <c r="AC135">
        <f t="shared" si="328"/>
        <v>0</v>
      </c>
    </row>
    <row r="136" spans="1:29" x14ac:dyDescent="0.4">
      <c r="C136" t="s">
        <v>546</v>
      </c>
      <c r="D136" s="43" cm="1">
        <f t="array" ref="D136">INDEX(FLT_Prod_Info,$U136,$AB136*D$5+$AC136)</f>
        <v>1</v>
      </c>
      <c r="E136" s="43" cm="1">
        <f t="array" ref="E136">INDEX(FLT_Prod_Info,$U136,$AB136*E$5+$AC136)</f>
        <v>1</v>
      </c>
      <c r="F136" s="43" cm="1">
        <f t="array" ref="F136">INDEX(FLT_Prod_Info,$U136,$AB136*F$5+$AC136)</f>
        <v>1</v>
      </c>
      <c r="G136" s="43" cm="1">
        <f t="array" ref="G136">INDEX(FLT_Prod_Info,$U136,$AB136*G$5+$AC136)</f>
        <v>1</v>
      </c>
      <c r="H136" s="43" cm="1">
        <f t="array" ref="H136">INDEX(FLT_Prod_Info,$U136,$AB136*H$5+$AC136)</f>
        <v>1</v>
      </c>
      <c r="I136" s="43" cm="1">
        <f t="array" ref="I136">INDEX(FLT_Prod_Info,$U136,$AB136*I$5+$AC136)</f>
        <v>1</v>
      </c>
      <c r="J136" s="43" cm="1">
        <f t="array" ref="J136">INDEX(FLT_Prod_Info,$U136,$AB136*J$5+$AC136)</f>
        <v>1</v>
      </c>
      <c r="K136" s="43" cm="1">
        <f t="array" ref="K136">INDEX(FLT_Prod_Info,$U136,$AB136*K$5+$AC136)</f>
        <v>1</v>
      </c>
      <c r="L136" s="43" cm="1">
        <f t="array" ref="L136">INDEX(FLT_Prod_Info,$U136,$AB136*L$5+$AC136)</f>
        <v>1</v>
      </c>
      <c r="M136" s="43" cm="1">
        <f t="array" ref="M136">INDEX(FLT_Prod_Info,$U136,$AB136*M$5+$AC136)</f>
        <v>1</v>
      </c>
      <c r="N136" s="43" cm="1">
        <f t="array" ref="N136">INDEX(FLT_Prod_Info,$U136,$AB136*N$5+$AC136)</f>
        <v>1</v>
      </c>
      <c r="O136" s="43" cm="1">
        <f t="array" ref="O136">INDEX(FLT_Prod_Info,$U136,$AB136*O$5+$AC136)</f>
        <v>1</v>
      </c>
      <c r="Q136">
        <f t="shared" si="329"/>
        <v>5</v>
      </c>
      <c r="U136">
        <f>U132+4</f>
        <v>113</v>
      </c>
      <c r="X136">
        <v>1</v>
      </c>
      <c r="Y136">
        <v>2</v>
      </c>
      <c r="Z136">
        <v>1</v>
      </c>
      <c r="AA136">
        <v>2</v>
      </c>
      <c r="AB136">
        <f t="shared" si="327"/>
        <v>1</v>
      </c>
      <c r="AC136">
        <f t="shared" si="328"/>
        <v>0</v>
      </c>
    </row>
    <row r="137" spans="1:29" x14ac:dyDescent="0.4">
      <c r="C137" t="s">
        <v>547</v>
      </c>
      <c r="D137" s="43" cm="1">
        <f t="array" ref="D137">INDEX(FLT_Prod_Info,$U137,$AB137*D$5+$AC137)</f>
        <v>0</v>
      </c>
      <c r="E137" s="43" cm="1">
        <f t="array" ref="E137">INDEX(FLT_Prod_Info,$U137,$AB137*E$5+$AC137)</f>
        <v>0</v>
      </c>
      <c r="F137" s="43" cm="1">
        <f t="array" ref="F137">INDEX(FLT_Prod_Info,$U137,$AB137*F$5+$AC137)</f>
        <v>0</v>
      </c>
      <c r="G137" s="43" cm="1">
        <f t="array" ref="G137">INDEX(FLT_Prod_Info,$U137,$AB137*G$5+$AC137)</f>
        <v>0</v>
      </c>
      <c r="H137" s="43" cm="1">
        <f t="array" ref="H137">INDEX(FLT_Prod_Info,$U137,$AB137*H$5+$AC137)</f>
        <v>0</v>
      </c>
      <c r="I137" s="43" cm="1">
        <f t="array" ref="I137">INDEX(FLT_Prod_Info,$U137,$AB137*I$5+$AC137)</f>
        <v>0</v>
      </c>
      <c r="J137" s="43" cm="1">
        <f t="array" ref="J137">INDEX(FLT_Prod_Info,$U137,$AB137*J$5+$AC137)</f>
        <v>0</v>
      </c>
      <c r="K137" s="43" cm="1">
        <f t="array" ref="K137">INDEX(FLT_Prod_Info,$U137,$AB137*K$5+$AC137)</f>
        <v>0</v>
      </c>
      <c r="L137" s="43" cm="1">
        <f t="array" ref="L137">INDEX(FLT_Prod_Info,$U137,$AB137*L$5+$AC137)</f>
        <v>0</v>
      </c>
      <c r="M137" s="43" cm="1">
        <f t="array" ref="M137">INDEX(FLT_Prod_Info,$U137,$AB137*M$5+$AC137)</f>
        <v>0</v>
      </c>
      <c r="N137" s="43" cm="1">
        <f t="array" ref="N137">INDEX(FLT_Prod_Info,$U137,$AB137*N$5+$AC137)</f>
        <v>0</v>
      </c>
      <c r="O137" s="43" cm="1">
        <f t="array" ref="O137">INDEX(FLT_Prod_Info,$U137,$AB137*O$5+$AC137)</f>
        <v>0</v>
      </c>
      <c r="Q137">
        <f t="shared" si="329"/>
        <v>6</v>
      </c>
      <c r="U137">
        <f>U133+4</f>
        <v>118</v>
      </c>
      <c r="X137">
        <v>1</v>
      </c>
      <c r="Y137">
        <v>2</v>
      </c>
      <c r="Z137">
        <v>1</v>
      </c>
      <c r="AA137">
        <v>2</v>
      </c>
      <c r="AB137">
        <f t="shared" si="327"/>
        <v>1</v>
      </c>
      <c r="AC137">
        <f t="shared" si="328"/>
        <v>0</v>
      </c>
    </row>
    <row r="138" spans="1:29" x14ac:dyDescent="0.4">
      <c r="C138" t="s">
        <v>532</v>
      </c>
      <c r="D138" s="43">
        <f t="shared" ref="D138:O139" si="330">IFERROR(VLOOKUP(D132,Phys_Prop,2,FALSE),0)</f>
        <v>127.98873179194693</v>
      </c>
      <c r="E138" s="43">
        <f t="shared" si="330"/>
        <v>127.98873179194693</v>
      </c>
      <c r="F138" s="43">
        <f t="shared" si="330"/>
        <v>127.98873179194693</v>
      </c>
      <c r="G138" s="43">
        <f t="shared" si="330"/>
        <v>127.98873179194693</v>
      </c>
      <c r="H138" s="43">
        <f t="shared" si="330"/>
        <v>127.98873179194693</v>
      </c>
      <c r="I138" s="43">
        <f t="shared" si="330"/>
        <v>127.98873179194693</v>
      </c>
      <c r="J138" s="43">
        <f t="shared" si="330"/>
        <v>127.98873179194693</v>
      </c>
      <c r="K138" s="43">
        <f t="shared" si="330"/>
        <v>127.98873179194693</v>
      </c>
      <c r="L138" s="43">
        <f t="shared" si="330"/>
        <v>127.98873179194693</v>
      </c>
      <c r="M138" s="43">
        <f t="shared" si="330"/>
        <v>127.98873179194693</v>
      </c>
      <c r="N138" s="43">
        <f t="shared" si="330"/>
        <v>127.98873179194693</v>
      </c>
      <c r="O138" s="43">
        <f t="shared" si="330"/>
        <v>127.98873179194693</v>
      </c>
      <c r="Q138">
        <f t="shared" si="329"/>
        <v>7</v>
      </c>
    </row>
    <row r="139" spans="1:29" x14ac:dyDescent="0.4">
      <c r="C139" t="s">
        <v>533</v>
      </c>
      <c r="D139" s="43">
        <f t="shared" si="330"/>
        <v>0</v>
      </c>
      <c r="E139" s="43">
        <f t="shared" si="330"/>
        <v>0</v>
      </c>
      <c r="F139" s="43">
        <f t="shared" si="330"/>
        <v>0</v>
      </c>
      <c r="G139" s="43">
        <f t="shared" si="330"/>
        <v>0</v>
      </c>
      <c r="H139" s="43">
        <f t="shared" si="330"/>
        <v>0</v>
      </c>
      <c r="I139" s="43">
        <f t="shared" si="330"/>
        <v>0</v>
      </c>
      <c r="J139" s="43">
        <f t="shared" si="330"/>
        <v>0</v>
      </c>
      <c r="K139" s="43">
        <f t="shared" si="330"/>
        <v>0</v>
      </c>
      <c r="L139" s="43">
        <f t="shared" si="330"/>
        <v>0</v>
      </c>
      <c r="M139" s="43">
        <f t="shared" si="330"/>
        <v>0</v>
      </c>
      <c r="N139" s="43">
        <f t="shared" si="330"/>
        <v>0</v>
      </c>
      <c r="O139" s="43">
        <f t="shared" si="330"/>
        <v>0</v>
      </c>
      <c r="Q139">
        <f t="shared" si="329"/>
        <v>8</v>
      </c>
    </row>
    <row r="140" spans="1:29" x14ac:dyDescent="0.4">
      <c r="C140" t="s">
        <v>544</v>
      </c>
      <c r="D140" s="43">
        <f>IFERROR(IFERROR(1/(D136/D138+D137/D139),D138/D136),1)</f>
        <v>127.98873179194693</v>
      </c>
      <c r="E140" s="43">
        <f t="shared" ref="E140" si="331">IFERROR(IFERROR(1/(E136/E138+E137/E139),E138/E136),1)</f>
        <v>127.98873179194693</v>
      </c>
      <c r="F140" s="43">
        <f t="shared" ref="F140" si="332">IFERROR(IFERROR(1/(F136/F138+F137/F139),F138/F136),1)</f>
        <v>127.98873179194693</v>
      </c>
      <c r="G140" s="43">
        <f t="shared" ref="G140" si="333">IFERROR(IFERROR(1/(G136/G138+G137/G139),G138/G136),1)</f>
        <v>127.98873179194693</v>
      </c>
      <c r="H140" s="43">
        <f t="shared" ref="H140" si="334">IFERROR(IFERROR(1/(H136/H138+H137/H139),H138/H136),1)</f>
        <v>127.98873179194693</v>
      </c>
      <c r="I140" s="43">
        <f t="shared" ref="I140" si="335">IFERROR(IFERROR(1/(I136/I138+I137/I139),I138/I136),1)</f>
        <v>127.98873179194693</v>
      </c>
      <c r="J140" s="43">
        <f t="shared" ref="J140" si="336">IFERROR(IFERROR(1/(J136/J138+J137/J139),J138/J136),1)</f>
        <v>127.98873179194693</v>
      </c>
      <c r="K140" s="43">
        <f t="shared" ref="K140" si="337">IFERROR(IFERROR(1/(K136/K138+K137/K139),K138/K136),1)</f>
        <v>127.98873179194693</v>
      </c>
      <c r="L140" s="43">
        <f t="shared" ref="L140" si="338">IFERROR(IFERROR(1/(L136/L138+L137/L139),L138/L136),1)</f>
        <v>127.98873179194693</v>
      </c>
      <c r="M140" s="43">
        <f t="shared" ref="M140" si="339">IFERROR(IFERROR(1/(M136/M138+M137/M139),M138/M136),1)</f>
        <v>127.98873179194693</v>
      </c>
      <c r="N140" s="43">
        <f t="shared" ref="N140" si="340">IFERROR(IFERROR(1/(N136/N138+N137/N139),N138/N136),1)</f>
        <v>127.98873179194693</v>
      </c>
      <c r="O140" s="43">
        <f t="shared" ref="O140" si="341">IFERROR(IFERROR(1/(O136/O138+O137/O139),O138/O136),1)</f>
        <v>127.98873179194693</v>
      </c>
      <c r="Q140">
        <f t="shared" si="329"/>
        <v>9</v>
      </c>
    </row>
    <row r="141" spans="1:29" x14ac:dyDescent="0.4">
      <c r="C141" t="s">
        <v>539</v>
      </c>
      <c r="D141" s="43">
        <f>IFERROR((D136/D138)*D140,1)</f>
        <v>1</v>
      </c>
      <c r="E141" s="43">
        <f t="shared" ref="E141" si="342">IFERROR((E136/E138)*E140,1)</f>
        <v>1</v>
      </c>
      <c r="F141" s="43">
        <f t="shared" ref="F141" si="343">IFERROR((F136/F138)*F140,1)</f>
        <v>1</v>
      </c>
      <c r="G141" s="43">
        <f t="shared" ref="G141" si="344">IFERROR((G136/G138)*G140,1)</f>
        <v>1</v>
      </c>
      <c r="H141" s="43">
        <f t="shared" ref="H141" si="345">IFERROR((H136/H138)*H140,1)</f>
        <v>1</v>
      </c>
      <c r="I141" s="43">
        <f t="shared" ref="I141" si="346">IFERROR((I136/I138)*I140,1)</f>
        <v>1</v>
      </c>
      <c r="J141" s="43">
        <f t="shared" ref="J141" si="347">IFERROR((J136/J138)*J140,1)</f>
        <v>1</v>
      </c>
      <c r="K141" s="43">
        <f t="shared" ref="K141" si="348">IFERROR((K136/K138)*K140,1)</f>
        <v>1</v>
      </c>
      <c r="L141" s="43">
        <f t="shared" ref="L141" si="349">IFERROR((L136/L138)*L140,1)</f>
        <v>1</v>
      </c>
      <c r="M141" s="43">
        <f t="shared" ref="M141" si="350">IFERROR((M136/M138)*M140,1)</f>
        <v>1</v>
      </c>
      <c r="N141" s="43">
        <f t="shared" ref="N141" si="351">IFERROR((N136/N138)*N140,1)</f>
        <v>1</v>
      </c>
      <c r="O141" s="43">
        <f t="shared" ref="O141" si="352">IFERROR((O136/O138)*O140,1)</f>
        <v>1</v>
      </c>
      <c r="Q141">
        <f t="shared" si="329"/>
        <v>10</v>
      </c>
    </row>
    <row r="142" spans="1:29" x14ac:dyDescent="0.4">
      <c r="C142" t="s">
        <v>540</v>
      </c>
      <c r="D142" s="43">
        <f>IFERROR(D137/D139*D140,0)</f>
        <v>0</v>
      </c>
      <c r="E142" s="43">
        <f t="shared" ref="E142:O142" si="353">IFERROR(E137/E139*E140,0)</f>
        <v>0</v>
      </c>
      <c r="F142" s="43">
        <f t="shared" si="353"/>
        <v>0</v>
      </c>
      <c r="G142" s="43">
        <f t="shared" si="353"/>
        <v>0</v>
      </c>
      <c r="H142" s="43">
        <f t="shared" si="353"/>
        <v>0</v>
      </c>
      <c r="I142" s="43">
        <f t="shared" si="353"/>
        <v>0</v>
      </c>
      <c r="J142" s="43">
        <f t="shared" si="353"/>
        <v>0</v>
      </c>
      <c r="K142" s="43">
        <f t="shared" si="353"/>
        <v>0</v>
      </c>
      <c r="L142" s="43">
        <f t="shared" si="353"/>
        <v>0</v>
      </c>
      <c r="M142" s="43">
        <f t="shared" si="353"/>
        <v>0</v>
      </c>
      <c r="N142" s="43">
        <f t="shared" si="353"/>
        <v>0</v>
      </c>
      <c r="O142" s="43">
        <f t="shared" si="353"/>
        <v>0</v>
      </c>
      <c r="Q142">
        <f t="shared" si="329"/>
        <v>11</v>
      </c>
    </row>
    <row r="143" spans="1:29" x14ac:dyDescent="0.4">
      <c r="C143" s="21" t="s">
        <v>534</v>
      </c>
      <c r="D143" s="43">
        <f t="shared" ref="D143:O144" si="354">IFERROR(VLOOKUP(D132,Phys_Prop,4,FALSE),0)</f>
        <v>6.7389700000000001</v>
      </c>
      <c r="E143" s="43">
        <f t="shared" si="354"/>
        <v>6.7389700000000001</v>
      </c>
      <c r="F143" s="43">
        <f t="shared" si="354"/>
        <v>6.7389700000000001</v>
      </c>
      <c r="G143" s="43">
        <f t="shared" si="354"/>
        <v>6.7389700000000001</v>
      </c>
      <c r="H143" s="43">
        <f t="shared" si="354"/>
        <v>6.7389700000000001</v>
      </c>
      <c r="I143" s="43">
        <f t="shared" si="354"/>
        <v>6.7389700000000001</v>
      </c>
      <c r="J143" s="43">
        <f t="shared" si="354"/>
        <v>6.7389700000000001</v>
      </c>
      <c r="K143" s="43">
        <f t="shared" si="354"/>
        <v>6.7389700000000001</v>
      </c>
      <c r="L143" s="43">
        <f t="shared" si="354"/>
        <v>6.7389700000000001</v>
      </c>
      <c r="M143" s="43">
        <f t="shared" si="354"/>
        <v>6.7389700000000001</v>
      </c>
      <c r="N143" s="43">
        <f t="shared" si="354"/>
        <v>6.7389700000000001</v>
      </c>
      <c r="O143" s="43">
        <f t="shared" si="354"/>
        <v>6.7389700000000001</v>
      </c>
      <c r="Q143">
        <f t="shared" si="329"/>
        <v>12</v>
      </c>
    </row>
    <row r="144" spans="1:29" x14ac:dyDescent="0.4">
      <c r="C144" s="21" t="s">
        <v>535</v>
      </c>
      <c r="D144" s="43">
        <f t="shared" si="354"/>
        <v>0</v>
      </c>
      <c r="E144" s="43">
        <f t="shared" si="354"/>
        <v>0</v>
      </c>
      <c r="F144" s="43">
        <f t="shared" si="354"/>
        <v>0</v>
      </c>
      <c r="G144" s="43">
        <f t="shared" si="354"/>
        <v>0</v>
      </c>
      <c r="H144" s="43">
        <f t="shared" si="354"/>
        <v>0</v>
      </c>
      <c r="I144" s="43">
        <f t="shared" si="354"/>
        <v>0</v>
      </c>
      <c r="J144" s="43">
        <f t="shared" si="354"/>
        <v>0</v>
      </c>
      <c r="K144" s="43">
        <f t="shared" si="354"/>
        <v>0</v>
      </c>
      <c r="L144" s="43">
        <f t="shared" si="354"/>
        <v>0</v>
      </c>
      <c r="M144" s="43">
        <f t="shared" si="354"/>
        <v>0</v>
      </c>
      <c r="N144" s="43">
        <f t="shared" si="354"/>
        <v>0</v>
      </c>
      <c r="O144" s="43">
        <f t="shared" si="354"/>
        <v>0</v>
      </c>
      <c r="Q144">
        <f t="shared" si="329"/>
        <v>13</v>
      </c>
    </row>
    <row r="145" spans="1:29" x14ac:dyDescent="0.4">
      <c r="A145" s="11"/>
      <c r="B145" s="11"/>
      <c r="C145" s="62" t="s">
        <v>536</v>
      </c>
      <c r="D145" s="208">
        <f>IF(IFERROR(IFERROR(1/(D141/D143+D142/D144),D143),0)="N/A",0,IFERROR(IFERROR(1/(D141/D143+D142/D144),D143),0))</f>
        <v>6.7389700000000001</v>
      </c>
      <c r="E145" s="208">
        <f t="shared" ref="E145" si="355">IF(IFERROR(IFERROR(1/(E141/E143+E142/E144),E143),0)="N/A",0,IFERROR(IFERROR(1/(E141/E143+E142/E144),E143),0))</f>
        <v>6.7389700000000001</v>
      </c>
      <c r="F145" s="208">
        <f t="shared" ref="F145" si="356">IF(IFERROR(IFERROR(1/(F141/F143+F142/F144),F143),0)="N/A",0,IFERROR(IFERROR(1/(F141/F143+F142/F144),F143),0))</f>
        <v>6.7389700000000001</v>
      </c>
      <c r="G145" s="208">
        <f t="shared" ref="G145" si="357">IF(IFERROR(IFERROR(1/(G141/G143+G142/G144),G143),0)="N/A",0,IFERROR(IFERROR(1/(G141/G143+G142/G144),G143),0))</f>
        <v>6.7389700000000001</v>
      </c>
      <c r="H145" s="208">
        <f t="shared" ref="H145" si="358">IF(IFERROR(IFERROR(1/(H141/H143+H142/H144),H143),0)="N/A",0,IFERROR(IFERROR(1/(H141/H143+H142/H144),H143),0))</f>
        <v>6.7389700000000001</v>
      </c>
      <c r="I145" s="208">
        <f t="shared" ref="I145" si="359">IF(IFERROR(IFERROR(1/(I141/I143+I142/I144),I143),0)="N/A",0,IFERROR(IFERROR(1/(I141/I143+I142/I144),I143),0))</f>
        <v>6.7389700000000001</v>
      </c>
      <c r="J145" s="208">
        <f t="shared" ref="J145" si="360">IF(IFERROR(IFERROR(1/(J141/J143+J142/J144),J143),0)="N/A",0,IFERROR(IFERROR(1/(J141/J143+J142/J144),J143),0))</f>
        <v>6.7389700000000001</v>
      </c>
      <c r="K145" s="208">
        <f t="shared" ref="K145" si="361">IF(IFERROR(IFERROR(1/(K141/K143+K142/K144),K143),0)="N/A",0,IFERROR(IFERROR(1/(K141/K143+K142/K144),K143),0))</f>
        <v>6.7389700000000001</v>
      </c>
      <c r="L145" s="208">
        <f t="shared" ref="L145" si="362">IF(IFERROR(IFERROR(1/(L141/L143+L142/L144),L143),0)="N/A",0,IFERROR(IFERROR(1/(L141/L143+L142/L144),L143),0))</f>
        <v>6.7389700000000001</v>
      </c>
      <c r="M145" s="208">
        <f t="shared" ref="M145" si="363">IF(IFERROR(IFERROR(1/(M141/M143+M142/M144),M143),0)="N/A",0,IFERROR(IFERROR(1/(M141/M143+M142/M144),M143),0))</f>
        <v>6.7389700000000001</v>
      </c>
      <c r="N145" s="208">
        <f t="shared" ref="N145" si="364">IF(IFERROR(IFERROR(1/(N141/N143+N142/N144),N143),0)="N/A",0,IFERROR(IFERROR(1/(N141/N143+N142/N144),N143),0))</f>
        <v>6.7389700000000001</v>
      </c>
      <c r="O145" s="208">
        <f t="shared" ref="O145" si="365">IF(IFERROR(IFERROR(1/(O141/O143+O142/O144),O143),0)="N/A",0,IFERROR(IFERROR(1/(O141/O143+O142/O144),O143),0))</f>
        <v>6.7389700000000001</v>
      </c>
      <c r="P145" s="11"/>
      <c r="Q145" s="11">
        <f>Q144+1</f>
        <v>14</v>
      </c>
      <c r="R145" s="11"/>
      <c r="S145" s="11"/>
      <c r="T145" s="11"/>
      <c r="U145" s="11"/>
      <c r="V145" s="11"/>
      <c r="W145" s="11"/>
      <c r="X145" s="11"/>
      <c r="Y145" s="11"/>
      <c r="Z145" s="11"/>
      <c r="AA145" s="11"/>
      <c r="AB145" s="11"/>
      <c r="AC145" s="11"/>
    </row>
  </sheetData>
  <sheetProtection algorithmName="SHA-512" hashValue="JHYIn2Tf5J2VRhsz35eZVPQHBt/EBV1DKEfxOHoKuPccbSeU51qFnXQsUm2Ag1JZPT7E4vB4QktFpAUenA0O5w==" saltValue="5OHPi940FAZ9hLhmXf46oQ=="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A67F2-9501-440B-BCFF-DDFD9F32681C}">
  <sheetPr codeName="Sheet15">
    <tabColor theme="4" tint="0.39997558519241921"/>
  </sheetPr>
  <dimension ref="A2:AE124"/>
  <sheetViews>
    <sheetView workbookViewId="0">
      <pane xSplit="4" ySplit="4" topLeftCell="K5" activePane="bottomRight" state="frozen"/>
      <selection activeCell="J5" sqref="J5"/>
      <selection pane="topRight" activeCell="J5" sqref="J5"/>
      <selection pane="bottomLeft" activeCell="J5" sqref="J5"/>
      <selection pane="bottomRight" activeCell="J5" sqref="J5"/>
    </sheetView>
  </sheetViews>
  <sheetFormatPr defaultColWidth="8.84375" defaultRowHeight="14.6" x14ac:dyDescent="0.4"/>
  <cols>
    <col min="1" max="1" width="19" bestFit="1" customWidth="1"/>
    <col min="2" max="2" width="19.4609375" bestFit="1" customWidth="1"/>
    <col min="3" max="3" width="19.4609375" customWidth="1"/>
    <col min="4" max="4" width="19.4609375" bestFit="1" customWidth="1"/>
    <col min="5" max="18" width="17.3046875" customWidth="1"/>
    <col min="19" max="19" width="13.3046875" bestFit="1" customWidth="1"/>
    <col min="20" max="20" width="13.3046875" customWidth="1"/>
    <col min="22" max="22" width="15" bestFit="1" customWidth="1"/>
  </cols>
  <sheetData>
    <row r="2" spans="1:31" x14ac:dyDescent="0.4">
      <c r="A2" t="s">
        <v>236</v>
      </c>
    </row>
    <row r="3" spans="1:31" x14ac:dyDescent="0.4">
      <c r="D3" t="s">
        <v>543</v>
      </c>
      <c r="E3">
        <v>1</v>
      </c>
      <c r="F3">
        <v>2</v>
      </c>
      <c r="G3">
        <v>3</v>
      </c>
      <c r="H3">
        <v>4</v>
      </c>
      <c r="I3">
        <v>5</v>
      </c>
      <c r="J3">
        <v>6</v>
      </c>
      <c r="K3">
        <v>7</v>
      </c>
      <c r="L3">
        <v>8</v>
      </c>
      <c r="M3">
        <v>9</v>
      </c>
      <c r="N3">
        <v>10</v>
      </c>
      <c r="O3">
        <v>11</v>
      </c>
      <c r="P3">
        <v>12</v>
      </c>
      <c r="Q3">
        <v>13</v>
      </c>
      <c r="Z3" t="s">
        <v>508</v>
      </c>
    </row>
    <row r="4" spans="1:31" x14ac:dyDescent="0.4">
      <c r="A4" s="11" t="s">
        <v>240</v>
      </c>
      <c r="B4" s="11" t="s">
        <v>1773</v>
      </c>
      <c r="D4" s="11" t="s">
        <v>509</v>
      </c>
      <c r="E4" s="11" t="s">
        <v>30</v>
      </c>
      <c r="F4" s="11" t="s">
        <v>31</v>
      </c>
      <c r="G4" s="11" t="s">
        <v>32</v>
      </c>
      <c r="H4" s="11" t="s">
        <v>33</v>
      </c>
      <c r="I4" s="11" t="s">
        <v>34</v>
      </c>
      <c r="J4" s="11" t="s">
        <v>35</v>
      </c>
      <c r="K4" s="11" t="s">
        <v>36</v>
      </c>
      <c r="L4" s="11" t="s">
        <v>37</v>
      </c>
      <c r="M4" s="11" t="s">
        <v>38</v>
      </c>
      <c r="N4" s="11" t="s">
        <v>39</v>
      </c>
      <c r="O4" s="11" t="s">
        <v>40</v>
      </c>
      <c r="P4" s="11" t="s">
        <v>41</v>
      </c>
      <c r="Q4" s="11" t="s">
        <v>42</v>
      </c>
      <c r="R4" s="11"/>
      <c r="S4" t="s">
        <v>1769</v>
      </c>
      <c r="T4" t="s">
        <v>1770</v>
      </c>
      <c r="V4" t="s">
        <v>1774</v>
      </c>
      <c r="X4" t="s">
        <v>1775</v>
      </c>
      <c r="Z4" s="11" t="s">
        <v>243</v>
      </c>
      <c r="AA4" s="11" t="s">
        <v>244</v>
      </c>
      <c r="AB4" s="11" t="s">
        <v>539</v>
      </c>
      <c r="AC4" s="11" t="s">
        <v>540</v>
      </c>
      <c r="AD4" s="11" t="s">
        <v>541</v>
      </c>
      <c r="AE4" s="11" t="s">
        <v>542</v>
      </c>
    </row>
    <row r="5" spans="1:31" ht="17.149999999999999" x14ac:dyDescent="0.55000000000000004">
      <c r="A5" t="str" cm="1">
        <f t="array" ref="A5">INDEX(FLT_Cons,$S5,$U5)</f>
        <v>FLT - 1</v>
      </c>
      <c r="B5" t="s">
        <v>4</v>
      </c>
      <c r="C5" t="str" cm="1">
        <f t="array" ref="C5">INDEX(FLT_Cons,$S5,$U6)</f>
        <v>Portland</v>
      </c>
      <c r="D5" t="s">
        <v>510</v>
      </c>
      <c r="E5">
        <f t="shared" ref="E5:P5" si="0">VLOOKUP(VLOOKUP($C5,Terminal_X_Ref,2,FALSE)&amp;$D5,Weather_Data,$AD5*E$3+$AE5,FALSE)+459.6</f>
        <v>498.3</v>
      </c>
      <c r="F5">
        <f t="shared" si="0"/>
        <v>497.70000000000005</v>
      </c>
      <c r="G5">
        <f t="shared" si="0"/>
        <v>499.1</v>
      </c>
      <c r="H5">
        <f t="shared" si="0"/>
        <v>501.5</v>
      </c>
      <c r="I5">
        <f t="shared" si="0"/>
        <v>506.1</v>
      </c>
      <c r="J5">
        <f t="shared" si="0"/>
        <v>510.3</v>
      </c>
      <c r="K5">
        <f t="shared" si="0"/>
        <v>513.70000000000005</v>
      </c>
      <c r="L5">
        <f t="shared" si="0"/>
        <v>513.70000000000005</v>
      </c>
      <c r="M5">
        <f t="shared" si="0"/>
        <v>510</v>
      </c>
      <c r="N5">
        <f t="shared" si="0"/>
        <v>504.90000000000003</v>
      </c>
      <c r="O5">
        <f t="shared" si="0"/>
        <v>500.6</v>
      </c>
      <c r="P5">
        <f t="shared" si="0"/>
        <v>498.20000000000005</v>
      </c>
      <c r="Q5" s="20">
        <f>AVERAGE(E5:P5)</f>
        <v>504.50833333333327</v>
      </c>
      <c r="R5">
        <v>1</v>
      </c>
      <c r="S5">
        <v>1</v>
      </c>
      <c r="T5" s="206" t="s">
        <v>548</v>
      </c>
      <c r="U5">
        <v>1</v>
      </c>
      <c r="V5" t="s">
        <v>1386</v>
      </c>
      <c r="W5">
        <v>12</v>
      </c>
      <c r="X5" t="s">
        <v>550</v>
      </c>
      <c r="Y5">
        <v>1</v>
      </c>
      <c r="Z5">
        <v>2</v>
      </c>
      <c r="AA5">
        <v>3</v>
      </c>
      <c r="AB5">
        <v>1</v>
      </c>
      <c r="AC5">
        <v>2</v>
      </c>
      <c r="AD5">
        <f>(AA5-Z5)/(AC5-AB5)</f>
        <v>1</v>
      </c>
      <c r="AE5">
        <f>Z5-AD5*AB5</f>
        <v>1</v>
      </c>
    </row>
    <row r="6" spans="1:31" ht="17.149999999999999" x14ac:dyDescent="0.55000000000000004">
      <c r="B6" t="s">
        <v>1771</v>
      </c>
      <c r="C6" cm="1">
        <f t="array" ref="C6">INDEX(FLT_Cons,$S5,$U7)</f>
        <v>139</v>
      </c>
      <c r="D6" t="s">
        <v>511</v>
      </c>
      <c r="E6">
        <f t="shared" ref="E6:P6" si="1">VLOOKUP(VLOOKUP($C5,Terminal_X_Ref,2,FALSE)&amp;$D6,Weather_Data,$AD6*E$3+$AE6,FALSE)+459.6</f>
        <v>508.70000000000005</v>
      </c>
      <c r="F6">
        <f t="shared" si="1"/>
        <v>510.90000000000003</v>
      </c>
      <c r="G6">
        <f t="shared" si="1"/>
        <v>512.30000000000007</v>
      </c>
      <c r="H6">
        <f t="shared" si="1"/>
        <v>514.9</v>
      </c>
      <c r="I6">
        <f t="shared" si="1"/>
        <v>519.4</v>
      </c>
      <c r="J6">
        <f t="shared" si="1"/>
        <v>522.80000000000007</v>
      </c>
      <c r="K6">
        <f t="shared" si="1"/>
        <v>526.4</v>
      </c>
      <c r="L6">
        <f t="shared" si="1"/>
        <v>527.30000000000007</v>
      </c>
      <c r="M6">
        <f t="shared" si="1"/>
        <v>526.4</v>
      </c>
      <c r="N6">
        <f t="shared" si="1"/>
        <v>519.6</v>
      </c>
      <c r="O6">
        <f t="shared" si="1"/>
        <v>512.80000000000007</v>
      </c>
      <c r="P6">
        <f t="shared" si="1"/>
        <v>508.20000000000005</v>
      </c>
      <c r="Q6" s="20">
        <f t="shared" ref="Q6:Q10" si="2">AVERAGE(E6:P6)</f>
        <v>517.47500000000002</v>
      </c>
      <c r="R6">
        <f>R5+1</f>
        <v>2</v>
      </c>
      <c r="T6" t="s">
        <v>549</v>
      </c>
      <c r="U6">
        <v>3</v>
      </c>
      <c r="X6" t="s">
        <v>551</v>
      </c>
      <c r="Y6">
        <v>2</v>
      </c>
      <c r="Z6">
        <f>Z5</f>
        <v>2</v>
      </c>
      <c r="AA6">
        <f t="shared" ref="AA6:AE6" si="3">AA5</f>
        <v>3</v>
      </c>
      <c r="AB6">
        <f t="shared" si="3"/>
        <v>1</v>
      </c>
      <c r="AC6">
        <f t="shared" si="3"/>
        <v>2</v>
      </c>
      <c r="AD6">
        <f t="shared" si="3"/>
        <v>1</v>
      </c>
      <c r="AE6">
        <f t="shared" si="3"/>
        <v>1</v>
      </c>
    </row>
    <row r="7" spans="1:31" x14ac:dyDescent="0.4">
      <c r="B7" t="s">
        <v>231</v>
      </c>
      <c r="C7" cm="1">
        <f t="array" ref="C7">INDEX(FLT_Cons,$S5,$U8)</f>
        <v>48</v>
      </c>
      <c r="D7" t="s">
        <v>260</v>
      </c>
      <c r="E7">
        <f t="shared" ref="E7:P7" si="4">VLOOKUP(VLOOKUP($C5,Terminal_X_Ref,2,FALSE)&amp;$D7,Weather_Data,$AD5*E$3+$AE5,FALSE)</f>
        <v>343</v>
      </c>
      <c r="F7">
        <f t="shared" si="4"/>
        <v>600</v>
      </c>
      <c r="G7">
        <f t="shared" si="4"/>
        <v>877</v>
      </c>
      <c r="H7">
        <f t="shared" si="4"/>
        <v>1252</v>
      </c>
      <c r="I7">
        <f t="shared" si="4"/>
        <v>1537</v>
      </c>
      <c r="J7">
        <f t="shared" si="4"/>
        <v>1627</v>
      </c>
      <c r="K7">
        <f t="shared" si="4"/>
        <v>1708</v>
      </c>
      <c r="L7">
        <f t="shared" si="4"/>
        <v>1492</v>
      </c>
      <c r="M7">
        <f t="shared" si="4"/>
        <v>1196</v>
      </c>
      <c r="N7">
        <f t="shared" si="4"/>
        <v>728</v>
      </c>
      <c r="O7">
        <f t="shared" si="4"/>
        <v>391</v>
      </c>
      <c r="P7">
        <f t="shared" si="4"/>
        <v>302</v>
      </c>
      <c r="Q7" s="20">
        <f t="shared" si="2"/>
        <v>1004.4166666666666</v>
      </c>
      <c r="R7">
        <f t="shared" ref="R7:R16" si="5">R6+1</f>
        <v>3</v>
      </c>
      <c r="T7" t="s">
        <v>1747</v>
      </c>
      <c r="U7">
        <v>5</v>
      </c>
      <c r="X7" t="s">
        <v>1776</v>
      </c>
      <c r="Y7">
        <v>1</v>
      </c>
    </row>
    <row r="8" spans="1:31" ht="17.149999999999999" x14ac:dyDescent="0.55000000000000004">
      <c r="B8" t="s">
        <v>1521</v>
      </c>
      <c r="C8" t="str" cm="1">
        <f t="array" ref="C8">INDEX(FLT_Cons,$S5,$U9)</f>
        <v>White</v>
      </c>
      <c r="D8" t="s">
        <v>524</v>
      </c>
      <c r="E8">
        <f>AVERAGE(E5:E6)</f>
        <v>503.5</v>
      </c>
      <c r="F8">
        <f t="shared" ref="F8:P8" si="6">AVERAGE(F5:F6)</f>
        <v>504.30000000000007</v>
      </c>
      <c r="G8">
        <f t="shared" si="6"/>
        <v>505.70000000000005</v>
      </c>
      <c r="H8">
        <f t="shared" si="6"/>
        <v>508.2</v>
      </c>
      <c r="I8">
        <f t="shared" si="6"/>
        <v>512.75</v>
      </c>
      <c r="J8">
        <f t="shared" si="6"/>
        <v>516.55000000000007</v>
      </c>
      <c r="K8">
        <f t="shared" si="6"/>
        <v>520.04999999999995</v>
      </c>
      <c r="L8">
        <f t="shared" si="6"/>
        <v>520.5</v>
      </c>
      <c r="M8">
        <f t="shared" si="6"/>
        <v>518.20000000000005</v>
      </c>
      <c r="N8">
        <f t="shared" si="6"/>
        <v>512.25</v>
      </c>
      <c r="O8">
        <f t="shared" si="6"/>
        <v>506.70000000000005</v>
      </c>
      <c r="P8">
        <f t="shared" si="6"/>
        <v>503.20000000000005</v>
      </c>
      <c r="Q8" s="20">
        <f t="shared" si="2"/>
        <v>510.99166666666662</v>
      </c>
      <c r="R8">
        <f t="shared" si="5"/>
        <v>4</v>
      </c>
      <c r="T8" t="s">
        <v>231</v>
      </c>
      <c r="U8">
        <v>6</v>
      </c>
      <c r="X8" t="s">
        <v>1777</v>
      </c>
      <c r="Y8">
        <v>2</v>
      </c>
    </row>
    <row r="9" spans="1:31" ht="17.149999999999999" x14ac:dyDescent="0.55000000000000004">
      <c r="B9" t="s">
        <v>1652</v>
      </c>
      <c r="C9" t="str" cm="1">
        <f t="array" ref="C9">INDEX(FLT_Cons,$S5,$U10)</f>
        <v>Average</v>
      </c>
      <c r="D9" t="s">
        <v>525</v>
      </c>
      <c r="E9" cm="1">
        <f t="array" ref="E9">IF(NOT(ISBLANK(INDEX(FLT_Prod_Info,$W5,E$3*$Y9+$Y10))),INDEX(FLT_Prod_Info,$W5,E$3*$Y9+$Y10)+459.6,IF($C12&lt;&gt;"External Floating Roof",E8+0.003*$C16*E7,IF(C13&lt;&gt;"Pontoon",E8+(0.71*$C15*E7+0.485*($C7/$C6)*$C14*E7)/(170*$C7/$C6+45),E8+(0.39*$C15*E7+0.485*($C7/$C6)*$C14*E7)/(170*$C7/$C6+45))))</f>
        <v>503.96096201873047</v>
      </c>
      <c r="F9" cm="1">
        <f t="array" ref="F9">IF(NOT(ISBLANK(INDEX(FLT_Prod_Info,$W5,F$3*$Y9+$Y10))),INDEX(FLT_Prod_Info,$W5,F$3*$Y9+$Y10)+459.6,IF($C12&lt;&gt;"External Floating Roof",F8+0.003*$C16*F7,IF(D13&lt;&gt;"Pontoon",F8+(0.71*$C15*F7+0.485*($C7/$C6)*$C14*F7)/(170*$C7/$C6+45),F8+(0.39*$C15*F7+0.485*($C7/$C6)*$C14*F7)/(170*$C7/$C6+45))))</f>
        <v>505.5691987513008</v>
      </c>
      <c r="G9" cm="1">
        <f t="array" ref="G9">IF(NOT(ISBLANK(INDEX(FLT_Prod_Info,$W5,G$3*$Y9+$Y10))),INDEX(FLT_Prod_Info,$W5,G$3*$Y9+$Y10)+459.6,IF($C12&lt;&gt;"External Floating Roof",G8+0.003*$C16*G7,IF(E13&lt;&gt;"Pontoon",G8+(0.71*$C15*G7+0.485*($C7/$C6)*$C14*G7)/(170*$C7/$C6+45),G8+(0.39*$C15*G7+0.485*($C7/$C6)*$C14*G7)/(170*$C7/$C6+45))))</f>
        <v>507.55514550815127</v>
      </c>
      <c r="H9" cm="1">
        <f t="array" ref="H9">IF(NOT(ISBLANK(INDEX(FLT_Prod_Info,$W5,H$3*$Y9+$Y10))),INDEX(FLT_Prod_Info,$W5,H$3*$Y9+$Y10)+459.6,IF($C12&lt;&gt;"External Floating Roof",H8+0.003*$C16*H7,IF(F13&lt;&gt;"Pontoon",H8+(0.71*$C15*H7+0.485*($C7/$C6)*$C14*H7)/(170*$C7/$C6+45),H8+(0.39*$C15*H7+0.485*($C7/$C6)*$C14*H7)/(170*$C7/$C6+45))))</f>
        <v>510.84839472771415</v>
      </c>
      <c r="I9" cm="1">
        <f t="array" ref="I9">IF(NOT(ISBLANK(INDEX(FLT_Prod_Info,$W5,I$3*$Y9+$Y10))),INDEX(FLT_Prod_Info,$W5,I$3*$Y9+$Y10)+459.6,IF($C12&lt;&gt;"External Floating Roof",I8+0.003*$C16*I7,IF(G13&lt;&gt;"Pontoon",I8+(0.71*$C15*I7+0.485*($C7/$C6)*$C14*I7)/(170*$C7/$C6+45),I8+(0.39*$C15*I7+0.485*($C7/$C6)*$C14*I7)/(170*$C7/$C6+45))))</f>
        <v>516.00126413458202</v>
      </c>
      <c r="J9" cm="1">
        <f t="array" ref="J9">IF(NOT(ISBLANK(INDEX(FLT_Prod_Info,$W5,J$3*$Y9+$Y10))),INDEX(FLT_Prod_Info,$W5,J$3*$Y9+$Y10)+459.6,IF($C12&lt;&gt;"External Floating Roof",J8+0.003*$C16*J7,IF(H13&lt;&gt;"Pontoon",J8+(0.71*$C15*J7+0.485*($C7/$C6)*$C14*J7)/(170*$C7/$C6+45),J8+(0.39*$C15*J7+0.485*($C7/$C6)*$C14*J7)/(170*$C7/$C6+45))))</f>
        <v>519.99164394727723</v>
      </c>
      <c r="K9" cm="1">
        <f t="array" ref="K9">IF(NOT(ISBLANK(INDEX(FLT_Prod_Info,$W5,K$3*$Y9+$Y10))),INDEX(FLT_Prod_Info,$W5,K$3*$Y9+$Y10)+459.6,IF($C12&lt;&gt;"External Floating Roof",K8+0.003*$C16*K7,IF(I13&lt;&gt;"Pontoon",K8+(0.71*$C15*K7+0.485*($C7/$C6)*$C14*K7)/(170*$C7/$C6+45),K8+(0.39*$C15*K7+0.485*($C7/$C6)*$C14*K7)/(170*$C7/$C6+45))))</f>
        <v>523.6629857787027</v>
      </c>
      <c r="L9" cm="1">
        <f t="array" ref="L9">IF(NOT(ISBLANK(INDEX(FLT_Prod_Info,$W5,L$3*$Y9+$Y10))),INDEX(FLT_Prod_Info,$W5,L$3*$Y9+$Y10)+459.6,IF($C12&lt;&gt;"External Floating Roof",L8+0.003*$C16*L7,IF(J13&lt;&gt;"Pontoon",L8+(0.71*$C15*L7+0.485*($C7/$C6)*$C14*L7)/(170*$C7/$C6+45),L8+(0.39*$C15*L7+0.485*($C7/$C6)*$C14*L7)/(170*$C7/$C6+45))))</f>
        <v>523.6560742282345</v>
      </c>
      <c r="M9" cm="1">
        <f t="array" ref="M9">IF(NOT(ISBLANK(INDEX(FLT_Prod_Info,$W5,M$3*$Y9+$Y10))),INDEX(FLT_Prod_Info,$W5,M$3*$Y9+$Y10)+459.6,IF($C12&lt;&gt;"External Floating Roof",M8+0.003*$C16*M7,IF(K13&lt;&gt;"Pontoon",M8+(0.71*$C15*M7+0.485*($C7/$C6)*$C14*M7)/(170*$C7/$C6+45),M8+(0.39*$C15*M7+0.485*($C7/$C6)*$C14*M7)/(170*$C7/$C6+45))))</f>
        <v>520.72993617759278</v>
      </c>
      <c r="N9" cm="1">
        <f t="array" ref="N9">IF(NOT(ISBLANK(INDEX(FLT_Prod_Info,$W5,N$3*$Y9+$Y10))),INDEX(FLT_Prod_Info,$W5,N$3*$Y9+$Y10)+459.6,IF($C12&lt;&gt;"External Floating Roof",N8+0.003*$C16*N7,IF(L13&lt;&gt;"Pontoon",N8+(0.71*$C15*N7+0.485*($C7/$C6)*$C14*N7)/(170*$C7/$C6+45),N8+(0.39*$C15*N7+0.485*($C7/$C6)*$C14*N7)/(170*$C7/$C6+45))))</f>
        <v>513.78996115157827</v>
      </c>
      <c r="O9" cm="1">
        <f t="array" ref="O9">IF(NOT(ISBLANK(INDEX(FLT_Prod_Info,$W5,O$3*$Y9+$Y10))),INDEX(FLT_Prod_Info,$W5,O$3*$Y9+$Y10)+459.6,IF($C12&lt;&gt;"External Floating Roof",O8+0.003*$C16*O7,IF(M13&lt;&gt;"Pontoon",O8+(0.71*$C15*O7+0.485*($C7/$C6)*$C14*O7)/(170*$C7/$C6+45),O8+(0.39*$C15*O7+0.485*($C7/$C6)*$C14*O7)/(170*$C7/$C6+45))))</f>
        <v>507.52709451959771</v>
      </c>
      <c r="P9" cm="1">
        <f t="array" ref="P9">IF(NOT(ISBLANK(INDEX(FLT_Prod_Info,$W5,P$3*$Y9+$Y10))),INDEX(FLT_Prod_Info,$W5,P$3*$Y9+$Y10)+459.6,IF($C12&lt;&gt;"External Floating Roof",P8+0.003*$C16*P7,IF(N13&lt;&gt;"Pontoon",P8+(0.71*$C15*P7+0.485*($C7/$C6)*$C14*P7)/(170*$C7/$C6+45),P8+(0.39*$C15*P7+0.485*($C7/$C6)*$C14*P7)/(170*$C7/$C6+45))))</f>
        <v>503.83883003815475</v>
      </c>
      <c r="Q9" s="20">
        <f t="shared" si="2"/>
        <v>513.09429091513482</v>
      </c>
      <c r="R9">
        <f t="shared" si="5"/>
        <v>5</v>
      </c>
      <c r="T9" t="s">
        <v>1521</v>
      </c>
      <c r="U9">
        <v>8</v>
      </c>
      <c r="X9" t="s">
        <v>541</v>
      </c>
      <c r="Y9">
        <f>(Y6-Y5)/(Y8-Y7)</f>
        <v>1</v>
      </c>
    </row>
    <row r="10" spans="1:31" ht="17.149999999999999" x14ac:dyDescent="0.55000000000000004">
      <c r="B10" t="s">
        <v>1522</v>
      </c>
      <c r="C10" t="str" cm="1">
        <f t="array" ref="C10">INDEX(FLT_Cons,$S5,$U11)</f>
        <v>White</v>
      </c>
      <c r="D10" t="s">
        <v>552</v>
      </c>
      <c r="E10" s="25">
        <f>IF($C12&lt;&gt;"External Floating Roof",((2.86*($C7/$C6)+1.43)*E8+(3.52*($C7/$C6)+3.79)*E9+0.027*$C15*E7+0.017*($C7/$C6)*$C14*E7)/(6.38*($C7/$C6)+5.22),IF($C13="Pontoon",0.7*E8+0.3*E9+0.008*$C15*E7,0.3*E8+0.7*E9+0.009*$C15*E7))</f>
        <v>504.32428860561907</v>
      </c>
      <c r="F10" s="25">
        <f t="shared" ref="F10:P10" si="7">IF($C12&lt;&gt;"External Floating Roof",((2.86*($C7/$C6)+1.43)*F8+(3.52*($C7/$C6)+3.79)*F9+0.027*$C15*F7+0.017*($C7/$C6)*$C14*F7)/(6.38*($C7/$C6)+5.22),IF($C13="Pontoon",0.7*F8+0.3*F9+0.008*$C15*F7,0.3*F8+0.7*F9+0.009*$C15*F7))</f>
        <v>505.88075962539028</v>
      </c>
      <c r="G10" s="25">
        <f t="shared" si="7"/>
        <v>508.01054365244539</v>
      </c>
      <c r="H10" s="25">
        <f t="shared" si="7"/>
        <v>511.49851841831423</v>
      </c>
      <c r="I10" s="25">
        <f t="shared" si="7"/>
        <v>516.79937924037449</v>
      </c>
      <c r="J10" s="25">
        <f t="shared" si="7"/>
        <v>520.83649318418327</v>
      </c>
      <c r="K10" s="25">
        <f t="shared" si="7"/>
        <v>524.54989573361081</v>
      </c>
      <c r="L10" s="25">
        <f t="shared" si="7"/>
        <v>524.43082226847037</v>
      </c>
      <c r="M10" s="25">
        <f t="shared" si="7"/>
        <v>521.35098085327786</v>
      </c>
      <c r="N10" s="25">
        <f t="shared" si="7"/>
        <v>514.16798834547342</v>
      </c>
      <c r="O10" s="25">
        <f t="shared" si="7"/>
        <v>507.73012835587929</v>
      </c>
      <c r="P10" s="25">
        <f t="shared" si="7"/>
        <v>503.9956490114464</v>
      </c>
      <c r="Q10" s="20">
        <f t="shared" si="2"/>
        <v>513.63128727454034</v>
      </c>
      <c r="R10">
        <f t="shared" si="5"/>
        <v>6</v>
      </c>
      <c r="T10" t="s">
        <v>1652</v>
      </c>
      <c r="U10">
        <v>9</v>
      </c>
      <c r="X10" t="s">
        <v>542</v>
      </c>
      <c r="Y10">
        <f>Y8*Y9-Y6</f>
        <v>0</v>
      </c>
    </row>
    <row r="11" spans="1:31" x14ac:dyDescent="0.4">
      <c r="B11" t="s">
        <v>1772</v>
      </c>
      <c r="C11" t="str" cm="1">
        <f t="array" ref="C11">INDEX(FLT_Cons,$S5,$U12)</f>
        <v>Average</v>
      </c>
      <c r="R11">
        <f t="shared" si="5"/>
        <v>7</v>
      </c>
      <c r="T11" t="s">
        <v>1522</v>
      </c>
      <c r="U11">
        <v>10</v>
      </c>
    </row>
    <row r="12" spans="1:31" x14ac:dyDescent="0.4">
      <c r="B12" t="s">
        <v>1507</v>
      </c>
      <c r="C12" t="str" cm="1">
        <f t="array" ref="C12">INDEX(FLT_Cons,$S5,$U13)</f>
        <v>External Floating Roof</v>
      </c>
      <c r="R12">
        <f t="shared" si="5"/>
        <v>8</v>
      </c>
      <c r="T12" t="s">
        <v>1772</v>
      </c>
      <c r="U12">
        <v>11</v>
      </c>
    </row>
    <row r="13" spans="1:31" x14ac:dyDescent="0.4">
      <c r="B13" t="s">
        <v>1525</v>
      </c>
      <c r="C13" t="str" cm="1">
        <f t="array" ref="C13">INDEX(FLT_Cons,$S5,$U14)</f>
        <v>Pontoon</v>
      </c>
      <c r="R13">
        <f t="shared" si="5"/>
        <v>9</v>
      </c>
      <c r="T13" t="s">
        <v>1507</v>
      </c>
      <c r="U13">
        <v>13</v>
      </c>
    </row>
    <row r="14" spans="1:31" ht="17.149999999999999" x14ac:dyDescent="0.4">
      <c r="B14" s="66" t="s">
        <v>514</v>
      </c>
      <c r="C14" cm="1">
        <f t="array" ref="C14">INDEX(Tbl_71_6,MATCH(C8,Paint_Color,0),MATCH(C9,Paint_Condition,0)+1)</f>
        <v>0.25</v>
      </c>
      <c r="R14">
        <f t="shared" si="5"/>
        <v>10</v>
      </c>
      <c r="T14" t="s">
        <v>1525</v>
      </c>
      <c r="U14">
        <v>16</v>
      </c>
    </row>
    <row r="15" spans="1:31" ht="17.149999999999999" x14ac:dyDescent="0.4">
      <c r="B15" s="66" t="s">
        <v>513</v>
      </c>
      <c r="C15" cm="1">
        <f t="array" ref="C15">INDEX(Tbl_71_6,MATCH(C10,Paint_Color,0),MATCH(C11,Paint_Condition,0)+1)</f>
        <v>0.25</v>
      </c>
      <c r="R15">
        <f t="shared" si="5"/>
        <v>11</v>
      </c>
    </row>
    <row r="16" spans="1:31" x14ac:dyDescent="0.4">
      <c r="A16" s="11"/>
      <c r="B16" s="207" t="s">
        <v>558</v>
      </c>
      <c r="C16" s="11">
        <f>AVERAGE(C14:C15)</f>
        <v>0.25</v>
      </c>
      <c r="D16" s="11"/>
      <c r="E16" s="11"/>
      <c r="F16" s="11"/>
      <c r="G16" s="11"/>
      <c r="H16" s="11"/>
      <c r="I16" s="11"/>
      <c r="J16" s="11"/>
      <c r="K16" s="11"/>
      <c r="L16" s="11"/>
      <c r="M16" s="11"/>
      <c r="N16" s="11"/>
      <c r="O16" s="11"/>
      <c r="P16" s="11"/>
      <c r="Q16" s="11"/>
      <c r="R16" s="11">
        <f t="shared" si="5"/>
        <v>12</v>
      </c>
      <c r="S16" s="11"/>
      <c r="T16" s="11"/>
      <c r="U16" s="11"/>
      <c r="V16" s="11"/>
      <c r="W16" s="11"/>
      <c r="X16" s="11"/>
      <c r="Y16" s="11"/>
      <c r="Z16" s="11"/>
      <c r="AA16" s="11"/>
      <c r="AB16" s="11"/>
      <c r="AC16" s="11"/>
      <c r="AD16" s="11"/>
      <c r="AE16" s="11"/>
    </row>
    <row r="17" spans="1:31" ht="17.149999999999999" x14ac:dyDescent="0.55000000000000004">
      <c r="A17" t="str" cm="1">
        <f t="array" ref="A17">INDEX(FLT_Cons,$S17,$U17)</f>
        <v>FLT - 2</v>
      </c>
      <c r="B17" t="s">
        <v>4</v>
      </c>
      <c r="C17" t="str" cm="1">
        <f t="array" ref="C17">INDEX(FLT_Cons,$S17,$U18)</f>
        <v>Portland</v>
      </c>
      <c r="D17" t="s">
        <v>510</v>
      </c>
      <c r="E17" s="20">
        <f t="shared" ref="E17:P17" si="8">VLOOKUP(VLOOKUP($C17,Terminal_X_Ref,2,FALSE)&amp;$D17,Weather_Data,$AD17*E$3+$AE17,FALSE)+459.6</f>
        <v>498.3</v>
      </c>
      <c r="F17" s="20">
        <f t="shared" si="8"/>
        <v>497.70000000000005</v>
      </c>
      <c r="G17" s="20">
        <f t="shared" si="8"/>
        <v>499.1</v>
      </c>
      <c r="H17" s="20">
        <f t="shared" si="8"/>
        <v>501.5</v>
      </c>
      <c r="I17" s="20">
        <f t="shared" si="8"/>
        <v>506.1</v>
      </c>
      <c r="J17" s="20">
        <f t="shared" si="8"/>
        <v>510.3</v>
      </c>
      <c r="K17" s="20">
        <f t="shared" si="8"/>
        <v>513.70000000000005</v>
      </c>
      <c r="L17" s="20">
        <f t="shared" si="8"/>
        <v>513.70000000000005</v>
      </c>
      <c r="M17" s="20">
        <f t="shared" si="8"/>
        <v>510</v>
      </c>
      <c r="N17" s="20">
        <f t="shared" si="8"/>
        <v>504.90000000000003</v>
      </c>
      <c r="O17" s="20">
        <f t="shared" si="8"/>
        <v>500.6</v>
      </c>
      <c r="P17" s="20">
        <f t="shared" si="8"/>
        <v>498.20000000000005</v>
      </c>
      <c r="Q17" s="20">
        <f>AVERAGE(E17:P17)</f>
        <v>504.50833333333327</v>
      </c>
      <c r="R17">
        <f>R16+1</f>
        <v>13</v>
      </c>
      <c r="S17">
        <f>S5+1</f>
        <v>2</v>
      </c>
      <c r="T17" s="206" t="s">
        <v>548</v>
      </c>
      <c r="U17">
        <v>1</v>
      </c>
      <c r="V17" t="s">
        <v>1386</v>
      </c>
      <c r="W17">
        <f>W5+12</f>
        <v>24</v>
      </c>
      <c r="X17" t="s">
        <v>550</v>
      </c>
      <c r="Y17">
        <v>1</v>
      </c>
      <c r="Z17">
        <v>2</v>
      </c>
      <c r="AA17">
        <v>3</v>
      </c>
      <c r="AB17">
        <v>1</v>
      </c>
      <c r="AC17">
        <v>2</v>
      </c>
      <c r="AD17">
        <f>(AA17-Z17)/(AC17-AB17)</f>
        <v>1</v>
      </c>
      <c r="AE17">
        <f>Z17-AD17*AB17</f>
        <v>1</v>
      </c>
    </row>
    <row r="18" spans="1:31" ht="17.149999999999999" x14ac:dyDescent="0.55000000000000004">
      <c r="B18" t="s">
        <v>1771</v>
      </c>
      <c r="C18" cm="1">
        <f t="array" ref="C18">INDEX(FLT_Cons,$S17,$U19)</f>
        <v>139</v>
      </c>
      <c r="D18" t="s">
        <v>511</v>
      </c>
      <c r="E18" s="20">
        <f t="shared" ref="E18:P18" si="9">VLOOKUP(VLOOKUP($C17,Terminal_X_Ref,2,FALSE)&amp;$D18,Weather_Data,$AD18*E$3+$AE18,FALSE)+459.6</f>
        <v>508.70000000000005</v>
      </c>
      <c r="F18" s="20">
        <f t="shared" si="9"/>
        <v>510.90000000000003</v>
      </c>
      <c r="G18" s="20">
        <f t="shared" si="9"/>
        <v>512.30000000000007</v>
      </c>
      <c r="H18" s="20">
        <f t="shared" si="9"/>
        <v>514.9</v>
      </c>
      <c r="I18" s="20">
        <f t="shared" si="9"/>
        <v>519.4</v>
      </c>
      <c r="J18" s="20">
        <f t="shared" si="9"/>
        <v>522.80000000000007</v>
      </c>
      <c r="K18" s="20">
        <f t="shared" si="9"/>
        <v>526.4</v>
      </c>
      <c r="L18" s="20">
        <f t="shared" si="9"/>
        <v>527.30000000000007</v>
      </c>
      <c r="M18" s="20">
        <f t="shared" si="9"/>
        <v>526.4</v>
      </c>
      <c r="N18" s="20">
        <f t="shared" si="9"/>
        <v>519.6</v>
      </c>
      <c r="O18" s="20">
        <f t="shared" si="9"/>
        <v>512.80000000000007</v>
      </c>
      <c r="P18" s="20">
        <f t="shared" si="9"/>
        <v>508.20000000000005</v>
      </c>
      <c r="Q18" s="20">
        <f t="shared" ref="Q18:Q22" si="10">AVERAGE(E18:P18)</f>
        <v>517.47500000000002</v>
      </c>
      <c r="R18">
        <f>R17+1</f>
        <v>14</v>
      </c>
      <c r="T18" t="s">
        <v>549</v>
      </c>
      <c r="U18">
        <v>3</v>
      </c>
      <c r="X18" t="s">
        <v>551</v>
      </c>
      <c r="Y18">
        <v>2</v>
      </c>
      <c r="Z18">
        <f>Z17</f>
        <v>2</v>
      </c>
      <c r="AA18">
        <f t="shared" ref="AA18:AE18" si="11">AA17</f>
        <v>3</v>
      </c>
      <c r="AB18">
        <f t="shared" si="11"/>
        <v>1</v>
      </c>
      <c r="AC18">
        <f t="shared" si="11"/>
        <v>2</v>
      </c>
      <c r="AD18">
        <f t="shared" si="11"/>
        <v>1</v>
      </c>
      <c r="AE18">
        <f t="shared" si="11"/>
        <v>1</v>
      </c>
    </row>
    <row r="19" spans="1:31" x14ac:dyDescent="0.4">
      <c r="B19" t="s">
        <v>231</v>
      </c>
      <c r="C19" cm="1">
        <f t="array" ref="C19">INDEX(FLT_Cons,$S17,$U20)</f>
        <v>48</v>
      </c>
      <c r="D19" t="s">
        <v>260</v>
      </c>
      <c r="E19" s="20">
        <f t="shared" ref="E19:P19" si="12">VLOOKUP(VLOOKUP($C17,Terminal_X_Ref,2,FALSE)&amp;$D19,Weather_Data,$AD17*E$3+$AE17,FALSE)</f>
        <v>343</v>
      </c>
      <c r="F19" s="20">
        <f t="shared" si="12"/>
        <v>600</v>
      </c>
      <c r="G19" s="20">
        <f t="shared" si="12"/>
        <v>877</v>
      </c>
      <c r="H19" s="20">
        <f t="shared" si="12"/>
        <v>1252</v>
      </c>
      <c r="I19" s="20">
        <f t="shared" si="12"/>
        <v>1537</v>
      </c>
      <c r="J19" s="20">
        <f t="shared" si="12"/>
        <v>1627</v>
      </c>
      <c r="K19" s="20">
        <f t="shared" si="12"/>
        <v>1708</v>
      </c>
      <c r="L19" s="20">
        <f t="shared" si="12"/>
        <v>1492</v>
      </c>
      <c r="M19" s="20">
        <f t="shared" si="12"/>
        <v>1196</v>
      </c>
      <c r="N19" s="20">
        <f t="shared" si="12"/>
        <v>728</v>
      </c>
      <c r="O19" s="20">
        <f t="shared" si="12"/>
        <v>391</v>
      </c>
      <c r="P19" s="20">
        <f t="shared" si="12"/>
        <v>302</v>
      </c>
      <c r="Q19" s="20">
        <f t="shared" si="10"/>
        <v>1004.4166666666666</v>
      </c>
      <c r="R19">
        <f t="shared" ref="R19:R28" si="13">R18+1</f>
        <v>15</v>
      </c>
      <c r="T19" t="s">
        <v>1747</v>
      </c>
      <c r="U19">
        <v>5</v>
      </c>
      <c r="X19" t="s">
        <v>1776</v>
      </c>
      <c r="Y19">
        <v>1</v>
      </c>
    </row>
    <row r="20" spans="1:31" ht="17.149999999999999" x14ac:dyDescent="0.55000000000000004">
      <c r="B20" t="s">
        <v>1521</v>
      </c>
      <c r="C20" t="str" cm="1">
        <f t="array" ref="C20">INDEX(FLT_Cons,$S17,$U21)</f>
        <v>White</v>
      </c>
      <c r="D20" t="s">
        <v>524</v>
      </c>
      <c r="E20" s="20">
        <f>AVERAGE(E17:E18)</f>
        <v>503.5</v>
      </c>
      <c r="F20" s="20">
        <f t="shared" ref="F20:P20" si="14">AVERAGE(F17:F18)</f>
        <v>504.30000000000007</v>
      </c>
      <c r="G20" s="20">
        <f t="shared" si="14"/>
        <v>505.70000000000005</v>
      </c>
      <c r="H20" s="20">
        <f t="shared" si="14"/>
        <v>508.2</v>
      </c>
      <c r="I20" s="20">
        <f t="shared" si="14"/>
        <v>512.75</v>
      </c>
      <c r="J20" s="20">
        <f t="shared" si="14"/>
        <v>516.55000000000007</v>
      </c>
      <c r="K20" s="20">
        <f t="shared" si="14"/>
        <v>520.04999999999995</v>
      </c>
      <c r="L20" s="20">
        <f t="shared" si="14"/>
        <v>520.5</v>
      </c>
      <c r="M20" s="20">
        <f t="shared" si="14"/>
        <v>518.20000000000005</v>
      </c>
      <c r="N20" s="20">
        <f t="shared" si="14"/>
        <v>512.25</v>
      </c>
      <c r="O20" s="20">
        <f t="shared" si="14"/>
        <v>506.70000000000005</v>
      </c>
      <c r="P20" s="20">
        <f t="shared" si="14"/>
        <v>503.20000000000005</v>
      </c>
      <c r="Q20" s="20">
        <f t="shared" si="10"/>
        <v>510.99166666666662</v>
      </c>
      <c r="R20">
        <f t="shared" si="13"/>
        <v>16</v>
      </c>
      <c r="T20" t="s">
        <v>231</v>
      </c>
      <c r="U20">
        <v>6</v>
      </c>
      <c r="X20" t="s">
        <v>1777</v>
      </c>
      <c r="Y20">
        <v>2</v>
      </c>
    </row>
    <row r="21" spans="1:31" ht="17.149999999999999" x14ac:dyDescent="0.55000000000000004">
      <c r="B21" t="s">
        <v>1652</v>
      </c>
      <c r="C21" t="str" cm="1">
        <f t="array" ref="C21">INDEX(FLT_Cons,$S17,$U22)</f>
        <v>Average</v>
      </c>
      <c r="D21" t="s">
        <v>525</v>
      </c>
      <c r="E21" s="20" cm="1">
        <f t="array" ref="E21">IF(NOT(ISBLANK(INDEX(FLT_Prod_Info,$W17,E$3*$Y21+$Y22))),INDEX(FLT_Prod_Info,$W17,E$3*$Y21+$Y22)+459.6,IF($C24&lt;&gt;"External Floating Roof",E20+0.003*$C28*E19,IF(C25&lt;&gt;"Pontoon",E20+(0.71*$C27*E19+0.485*($C19/$C18)*$C26*E19)/(170*$C19/$C18+45),E20+(0.39*$C27*E19+0.485*($C19/$C18)*$C26*E19)/(170*$C19/$C18+45))))</f>
        <v>503.96096201873047</v>
      </c>
      <c r="F21" s="20" cm="1">
        <f t="array" ref="F21">IF(NOT(ISBLANK(INDEX(FLT_Prod_Info,$W17,F$3*$Y21+$Y22))),INDEX(FLT_Prod_Info,$W17,F$3*$Y21+$Y22)+459.6,IF($C24&lt;&gt;"External Floating Roof",F20+0.003*$C28*F19,IF(D25&lt;&gt;"Pontoon",F20+(0.71*$C27*F19+0.485*($C19/$C18)*$C26*F19)/(170*$C19/$C18+45),F20+(0.39*$C27*F19+0.485*($C19/$C18)*$C26*F19)/(170*$C19/$C18+45))))</f>
        <v>505.5691987513008</v>
      </c>
      <c r="G21" s="20" cm="1">
        <f t="array" ref="G21">IF(NOT(ISBLANK(INDEX(FLT_Prod_Info,$W17,G$3*$Y21+$Y22))),INDEX(FLT_Prod_Info,$W17,G$3*$Y21+$Y22)+459.6,IF($C24&lt;&gt;"External Floating Roof",G20+0.003*$C28*G19,IF(E25&lt;&gt;"Pontoon",G20+(0.71*$C27*G19+0.485*($C19/$C18)*$C26*G19)/(170*$C19/$C18+45),G20+(0.39*$C27*G19+0.485*($C19/$C18)*$C26*G19)/(170*$C19/$C18+45))))</f>
        <v>507.55514550815127</v>
      </c>
      <c r="H21" s="20" cm="1">
        <f t="array" ref="H21">IF(NOT(ISBLANK(INDEX(FLT_Prod_Info,$W17,H$3*$Y21+$Y22))),INDEX(FLT_Prod_Info,$W17,H$3*$Y21+$Y22)+459.6,IF($C24&lt;&gt;"External Floating Roof",H20+0.003*$C28*H19,IF(F25&lt;&gt;"Pontoon",H20+(0.71*$C27*H19+0.485*($C19/$C18)*$C26*H19)/(170*$C19/$C18+45),H20+(0.39*$C27*H19+0.485*($C19/$C18)*$C26*H19)/(170*$C19/$C18+45))))</f>
        <v>510.84839472771415</v>
      </c>
      <c r="I21" s="20" cm="1">
        <f t="array" ref="I21">IF(NOT(ISBLANK(INDEX(FLT_Prod_Info,$W17,I$3*$Y21+$Y22))),INDEX(FLT_Prod_Info,$W17,I$3*$Y21+$Y22)+459.6,IF($C24&lt;&gt;"External Floating Roof",I20+0.003*$C28*I19,IF(G25&lt;&gt;"Pontoon",I20+(0.71*$C27*I19+0.485*($C19/$C18)*$C26*I19)/(170*$C19/$C18+45),I20+(0.39*$C27*I19+0.485*($C19/$C18)*$C26*I19)/(170*$C19/$C18+45))))</f>
        <v>516.00126413458202</v>
      </c>
      <c r="J21" s="20" cm="1">
        <f t="array" ref="J21">IF(NOT(ISBLANK(INDEX(FLT_Prod_Info,$W17,J$3*$Y21+$Y22))),INDEX(FLT_Prod_Info,$W17,J$3*$Y21+$Y22)+459.6,IF($C24&lt;&gt;"External Floating Roof",J20+0.003*$C28*J19,IF(H25&lt;&gt;"Pontoon",J20+(0.71*$C27*J19+0.485*($C19/$C18)*$C26*J19)/(170*$C19/$C18+45),J20+(0.39*$C27*J19+0.485*($C19/$C18)*$C26*J19)/(170*$C19/$C18+45))))</f>
        <v>519.99164394727723</v>
      </c>
      <c r="K21" s="20" cm="1">
        <f t="array" ref="K21">IF(NOT(ISBLANK(INDEX(FLT_Prod_Info,$W17,K$3*$Y21+$Y22))),INDEX(FLT_Prod_Info,$W17,K$3*$Y21+$Y22)+459.6,IF($C24&lt;&gt;"External Floating Roof",K20+0.003*$C28*K19,IF(I25&lt;&gt;"Pontoon",K20+(0.71*$C27*K19+0.485*($C19/$C18)*$C26*K19)/(170*$C19/$C18+45),K20+(0.39*$C27*K19+0.485*($C19/$C18)*$C26*K19)/(170*$C19/$C18+45))))</f>
        <v>523.6629857787027</v>
      </c>
      <c r="L21" s="20" cm="1">
        <f t="array" ref="L21">IF(NOT(ISBLANK(INDEX(FLT_Prod_Info,$W17,L$3*$Y21+$Y22))),INDEX(FLT_Prod_Info,$W17,L$3*$Y21+$Y22)+459.6,IF($C24&lt;&gt;"External Floating Roof",L20+0.003*$C28*L19,IF(J25&lt;&gt;"Pontoon",L20+(0.71*$C27*L19+0.485*($C19/$C18)*$C26*L19)/(170*$C19/$C18+45),L20+(0.39*$C27*L19+0.485*($C19/$C18)*$C26*L19)/(170*$C19/$C18+45))))</f>
        <v>523.6560742282345</v>
      </c>
      <c r="M21" s="20" cm="1">
        <f t="array" ref="M21">IF(NOT(ISBLANK(INDEX(FLT_Prod_Info,$W17,M$3*$Y21+$Y22))),INDEX(FLT_Prod_Info,$W17,M$3*$Y21+$Y22)+459.6,IF($C24&lt;&gt;"External Floating Roof",M20+0.003*$C28*M19,IF(K25&lt;&gt;"Pontoon",M20+(0.71*$C27*M19+0.485*($C19/$C18)*$C26*M19)/(170*$C19/$C18+45),M20+(0.39*$C27*M19+0.485*($C19/$C18)*$C26*M19)/(170*$C19/$C18+45))))</f>
        <v>520.72993617759278</v>
      </c>
      <c r="N21" s="20" cm="1">
        <f t="array" ref="N21">IF(NOT(ISBLANK(INDEX(FLT_Prod_Info,$W17,N$3*$Y21+$Y22))),INDEX(FLT_Prod_Info,$W17,N$3*$Y21+$Y22)+459.6,IF($C24&lt;&gt;"External Floating Roof",N20+0.003*$C28*N19,IF(L25&lt;&gt;"Pontoon",N20+(0.71*$C27*N19+0.485*($C19/$C18)*$C26*N19)/(170*$C19/$C18+45),N20+(0.39*$C27*N19+0.485*($C19/$C18)*$C26*N19)/(170*$C19/$C18+45))))</f>
        <v>513.78996115157827</v>
      </c>
      <c r="O21" s="20" cm="1">
        <f t="array" ref="O21">IF(NOT(ISBLANK(INDEX(FLT_Prod_Info,$W17,O$3*$Y21+$Y22))),INDEX(FLT_Prod_Info,$W17,O$3*$Y21+$Y22)+459.6,IF($C24&lt;&gt;"External Floating Roof",O20+0.003*$C28*O19,IF(M25&lt;&gt;"Pontoon",O20+(0.71*$C27*O19+0.485*($C19/$C18)*$C26*O19)/(170*$C19/$C18+45),O20+(0.39*$C27*O19+0.485*($C19/$C18)*$C26*O19)/(170*$C19/$C18+45))))</f>
        <v>507.52709451959771</v>
      </c>
      <c r="P21" s="20" cm="1">
        <f t="array" ref="P21">IF(NOT(ISBLANK(INDEX(FLT_Prod_Info,$W17,P$3*$Y21+$Y22))),INDEX(FLT_Prod_Info,$W17,P$3*$Y21+$Y22)+459.6,IF($C24&lt;&gt;"External Floating Roof",P20+0.003*$C28*P19,IF(N25&lt;&gt;"Pontoon",P20+(0.71*$C27*P19+0.485*($C19/$C18)*$C26*P19)/(170*$C19/$C18+45),P20+(0.39*$C27*P19+0.485*($C19/$C18)*$C26*P19)/(170*$C19/$C18+45))))</f>
        <v>503.83883003815475</v>
      </c>
      <c r="Q21" s="20">
        <f t="shared" si="10"/>
        <v>513.09429091513482</v>
      </c>
      <c r="R21">
        <f t="shared" si="13"/>
        <v>17</v>
      </c>
      <c r="T21" t="s">
        <v>1521</v>
      </c>
      <c r="U21">
        <v>8</v>
      </c>
      <c r="X21" t="s">
        <v>541</v>
      </c>
      <c r="Y21">
        <f>(Y18-Y17)/(Y20-Y19)</f>
        <v>1</v>
      </c>
    </row>
    <row r="22" spans="1:31" ht="17.149999999999999" x14ac:dyDescent="0.55000000000000004">
      <c r="B22" t="s">
        <v>1522</v>
      </c>
      <c r="C22" t="str" cm="1">
        <f t="array" ref="C22">INDEX(FLT_Cons,$S17,$U23)</f>
        <v>White</v>
      </c>
      <c r="D22" t="s">
        <v>552</v>
      </c>
      <c r="E22" s="20">
        <f>IF($C24&lt;&gt;"External Floating Roof",((2.86*($C19/$C18)+1.43)*E20+(3.52*($C19/$C18)+3.79)*E21+0.027*$C27*E19+0.017*($C19/$C18)*$C26*E19)/(6.38*($C19/$C18)+5.22),IF($C25="Pontoon",0.7*E20+0.3*E21+0.008*$C27*E19,0.3*E20+0.7*E21+0.009*$C27*E19))</f>
        <v>504.32428860561907</v>
      </c>
      <c r="F22" s="20">
        <f t="shared" ref="F22" si="15">IF($C24&lt;&gt;"External Floating Roof",((2.86*($C19/$C18)+1.43)*F20+(3.52*($C19/$C18)+3.79)*F21+0.027*$C27*F19+0.017*($C19/$C18)*$C26*F19)/(6.38*($C19/$C18)+5.22),IF($C25="Pontoon",0.7*F20+0.3*F21+0.008*$C27*F19,0.3*F20+0.7*F21+0.009*$C27*F19))</f>
        <v>505.88075962539028</v>
      </c>
      <c r="G22" s="20">
        <f t="shared" ref="G22" si="16">IF($C24&lt;&gt;"External Floating Roof",((2.86*($C19/$C18)+1.43)*G20+(3.52*($C19/$C18)+3.79)*G21+0.027*$C27*G19+0.017*($C19/$C18)*$C26*G19)/(6.38*($C19/$C18)+5.22),IF($C25="Pontoon",0.7*G20+0.3*G21+0.008*$C27*G19,0.3*G20+0.7*G21+0.009*$C27*G19))</f>
        <v>508.01054365244539</v>
      </c>
      <c r="H22" s="20">
        <f t="shared" ref="H22" si="17">IF($C24&lt;&gt;"External Floating Roof",((2.86*($C19/$C18)+1.43)*H20+(3.52*($C19/$C18)+3.79)*H21+0.027*$C27*H19+0.017*($C19/$C18)*$C26*H19)/(6.38*($C19/$C18)+5.22),IF($C25="Pontoon",0.7*H20+0.3*H21+0.008*$C27*H19,0.3*H20+0.7*H21+0.009*$C27*H19))</f>
        <v>511.49851841831423</v>
      </c>
      <c r="I22" s="20">
        <f t="shared" ref="I22" si="18">IF($C24&lt;&gt;"External Floating Roof",((2.86*($C19/$C18)+1.43)*I20+(3.52*($C19/$C18)+3.79)*I21+0.027*$C27*I19+0.017*($C19/$C18)*$C26*I19)/(6.38*($C19/$C18)+5.22),IF($C25="Pontoon",0.7*I20+0.3*I21+0.008*$C27*I19,0.3*I20+0.7*I21+0.009*$C27*I19))</f>
        <v>516.79937924037449</v>
      </c>
      <c r="J22" s="20">
        <f t="shared" ref="J22" si="19">IF($C24&lt;&gt;"External Floating Roof",((2.86*($C19/$C18)+1.43)*J20+(3.52*($C19/$C18)+3.79)*J21+0.027*$C27*J19+0.017*($C19/$C18)*$C26*J19)/(6.38*($C19/$C18)+5.22),IF($C25="Pontoon",0.7*J20+0.3*J21+0.008*$C27*J19,0.3*J20+0.7*J21+0.009*$C27*J19))</f>
        <v>520.83649318418327</v>
      </c>
      <c r="K22" s="20">
        <f t="shared" ref="K22" si="20">IF($C24&lt;&gt;"External Floating Roof",((2.86*($C19/$C18)+1.43)*K20+(3.52*($C19/$C18)+3.79)*K21+0.027*$C27*K19+0.017*($C19/$C18)*$C26*K19)/(6.38*($C19/$C18)+5.22),IF($C25="Pontoon",0.7*K20+0.3*K21+0.008*$C27*K19,0.3*K20+0.7*K21+0.009*$C27*K19))</f>
        <v>524.54989573361081</v>
      </c>
      <c r="L22" s="20">
        <f t="shared" ref="L22" si="21">IF($C24&lt;&gt;"External Floating Roof",((2.86*($C19/$C18)+1.43)*L20+(3.52*($C19/$C18)+3.79)*L21+0.027*$C27*L19+0.017*($C19/$C18)*$C26*L19)/(6.38*($C19/$C18)+5.22),IF($C25="Pontoon",0.7*L20+0.3*L21+0.008*$C27*L19,0.3*L20+0.7*L21+0.009*$C27*L19))</f>
        <v>524.43082226847037</v>
      </c>
      <c r="M22" s="20">
        <f t="shared" ref="M22" si="22">IF($C24&lt;&gt;"External Floating Roof",((2.86*($C19/$C18)+1.43)*M20+(3.52*($C19/$C18)+3.79)*M21+0.027*$C27*M19+0.017*($C19/$C18)*$C26*M19)/(6.38*($C19/$C18)+5.22),IF($C25="Pontoon",0.7*M20+0.3*M21+0.008*$C27*M19,0.3*M20+0.7*M21+0.009*$C27*M19))</f>
        <v>521.35098085327786</v>
      </c>
      <c r="N22" s="20">
        <f t="shared" ref="N22" si="23">IF($C24&lt;&gt;"External Floating Roof",((2.86*($C19/$C18)+1.43)*N20+(3.52*($C19/$C18)+3.79)*N21+0.027*$C27*N19+0.017*($C19/$C18)*$C26*N19)/(6.38*($C19/$C18)+5.22),IF($C25="Pontoon",0.7*N20+0.3*N21+0.008*$C27*N19,0.3*N20+0.7*N21+0.009*$C27*N19))</f>
        <v>514.16798834547342</v>
      </c>
      <c r="O22" s="20">
        <f t="shared" ref="O22" si="24">IF($C24&lt;&gt;"External Floating Roof",((2.86*($C19/$C18)+1.43)*O20+(3.52*($C19/$C18)+3.79)*O21+0.027*$C27*O19+0.017*($C19/$C18)*$C26*O19)/(6.38*($C19/$C18)+5.22),IF($C25="Pontoon",0.7*O20+0.3*O21+0.008*$C27*O19,0.3*O20+0.7*O21+0.009*$C27*O19))</f>
        <v>507.73012835587929</v>
      </c>
      <c r="P22" s="20">
        <f t="shared" ref="P22" si="25">IF($C24&lt;&gt;"External Floating Roof",((2.86*($C19/$C18)+1.43)*P20+(3.52*($C19/$C18)+3.79)*P21+0.027*$C27*P19+0.017*($C19/$C18)*$C26*P19)/(6.38*($C19/$C18)+5.22),IF($C25="Pontoon",0.7*P20+0.3*P21+0.008*$C27*P19,0.3*P20+0.7*P21+0.009*$C27*P19))</f>
        <v>503.9956490114464</v>
      </c>
      <c r="Q22" s="20">
        <f t="shared" si="10"/>
        <v>513.63128727454034</v>
      </c>
      <c r="R22">
        <f t="shared" si="13"/>
        <v>18</v>
      </c>
      <c r="T22" t="s">
        <v>1652</v>
      </c>
      <c r="U22">
        <v>9</v>
      </c>
      <c r="X22" t="s">
        <v>542</v>
      </c>
      <c r="Y22">
        <f>Y20*Y21-Y18</f>
        <v>0</v>
      </c>
    </row>
    <row r="23" spans="1:31" x14ac:dyDescent="0.4">
      <c r="B23" t="s">
        <v>1772</v>
      </c>
      <c r="C23" t="str" cm="1">
        <f t="array" ref="C23">INDEX(FLT_Cons,$S17,$U24)</f>
        <v>Average</v>
      </c>
      <c r="R23">
        <f t="shared" si="13"/>
        <v>19</v>
      </c>
      <c r="T23" t="s">
        <v>1522</v>
      </c>
      <c r="U23">
        <v>10</v>
      </c>
    </row>
    <row r="24" spans="1:31" x14ac:dyDescent="0.4">
      <c r="B24" t="s">
        <v>1507</v>
      </c>
      <c r="C24" t="str" cm="1">
        <f t="array" ref="C24">INDEX(FLT_Cons,$S17,$U25)</f>
        <v>External Floating Roof</v>
      </c>
      <c r="R24">
        <f t="shared" si="13"/>
        <v>20</v>
      </c>
      <c r="T24" t="s">
        <v>1772</v>
      </c>
      <c r="U24">
        <v>11</v>
      </c>
    </row>
    <row r="25" spans="1:31" x14ac:dyDescent="0.4">
      <c r="B25" t="s">
        <v>1525</v>
      </c>
      <c r="C25" t="str" cm="1">
        <f t="array" ref="C25">INDEX(FLT_Cons,$S17,$U26)</f>
        <v>Pontoon</v>
      </c>
      <c r="R25">
        <f t="shared" si="13"/>
        <v>21</v>
      </c>
      <c r="T25" t="s">
        <v>1507</v>
      </c>
      <c r="U25">
        <v>13</v>
      </c>
    </row>
    <row r="26" spans="1:31" ht="17.149999999999999" x14ac:dyDescent="0.4">
      <c r="B26" s="66" t="s">
        <v>514</v>
      </c>
      <c r="C26" cm="1">
        <f t="array" ref="C26">INDEX(Tbl_71_6,MATCH(C20,Paint_Color,0),MATCH(C21,Paint_Condition,0)+1)</f>
        <v>0.25</v>
      </c>
      <c r="R26">
        <f t="shared" si="13"/>
        <v>22</v>
      </c>
      <c r="T26" t="s">
        <v>1525</v>
      </c>
      <c r="U26">
        <v>16</v>
      </c>
    </row>
    <row r="27" spans="1:31" ht="17.149999999999999" x14ac:dyDescent="0.4">
      <c r="B27" s="66" t="s">
        <v>513</v>
      </c>
      <c r="C27" cm="1">
        <f t="array" ref="C27">INDEX(Tbl_71_6,MATCH(C22,Paint_Color,0),MATCH(C23,Paint_Condition,0)+1)</f>
        <v>0.25</v>
      </c>
      <c r="R27">
        <f t="shared" si="13"/>
        <v>23</v>
      </c>
    </row>
    <row r="28" spans="1:31" x14ac:dyDescent="0.4">
      <c r="A28" s="11"/>
      <c r="B28" s="207" t="s">
        <v>558</v>
      </c>
      <c r="C28" s="11">
        <f>AVERAGE(C26:C27)</f>
        <v>0.25</v>
      </c>
      <c r="D28" s="11"/>
      <c r="E28" s="11"/>
      <c r="F28" s="11"/>
      <c r="G28" s="11"/>
      <c r="H28" s="11"/>
      <c r="I28" s="11"/>
      <c r="J28" s="11"/>
      <c r="K28" s="11"/>
      <c r="L28" s="11"/>
      <c r="M28" s="11"/>
      <c r="N28" s="11"/>
      <c r="O28" s="11"/>
      <c r="P28" s="11"/>
      <c r="Q28" s="11"/>
      <c r="R28" s="11">
        <f t="shared" si="13"/>
        <v>24</v>
      </c>
      <c r="S28" s="11"/>
      <c r="T28" s="11"/>
      <c r="U28" s="11"/>
      <c r="V28" s="11"/>
      <c r="W28" s="11"/>
      <c r="X28" s="11"/>
      <c r="Y28" s="11"/>
      <c r="Z28" s="11"/>
      <c r="AA28" s="11"/>
      <c r="AB28" s="11"/>
      <c r="AC28" s="11"/>
      <c r="AD28" s="11"/>
      <c r="AE28" s="11"/>
    </row>
    <row r="29" spans="1:31" ht="17.149999999999999" x14ac:dyDescent="0.55000000000000004">
      <c r="A29" t="str" cm="1">
        <f t="array" ref="A29">INDEX(FLT_Cons,$S29,$U29)</f>
        <v>FLT - 3</v>
      </c>
      <c r="B29" t="s">
        <v>4</v>
      </c>
      <c r="C29" t="str" cm="1">
        <f t="array" ref="C29">INDEX(FLT_Cons,$S29,$U30)</f>
        <v>Portland</v>
      </c>
      <c r="D29" t="s">
        <v>510</v>
      </c>
      <c r="E29" s="20">
        <f t="shared" ref="E29:P29" si="26">VLOOKUP(VLOOKUP($C29,Terminal_X_Ref,2,FALSE)&amp;$D29,Weather_Data,$AD29*E$3+$AE29,FALSE)+459.6</f>
        <v>498.3</v>
      </c>
      <c r="F29" s="20">
        <f t="shared" si="26"/>
        <v>497.70000000000005</v>
      </c>
      <c r="G29" s="20">
        <f t="shared" si="26"/>
        <v>499.1</v>
      </c>
      <c r="H29" s="20">
        <f t="shared" si="26"/>
        <v>501.5</v>
      </c>
      <c r="I29" s="20">
        <f t="shared" si="26"/>
        <v>506.1</v>
      </c>
      <c r="J29" s="20">
        <f t="shared" si="26"/>
        <v>510.3</v>
      </c>
      <c r="K29" s="20">
        <f t="shared" si="26"/>
        <v>513.70000000000005</v>
      </c>
      <c r="L29" s="20">
        <f t="shared" si="26"/>
        <v>513.70000000000005</v>
      </c>
      <c r="M29" s="20">
        <f t="shared" si="26"/>
        <v>510</v>
      </c>
      <c r="N29" s="20">
        <f t="shared" si="26"/>
        <v>504.90000000000003</v>
      </c>
      <c r="O29" s="20">
        <f t="shared" si="26"/>
        <v>500.6</v>
      </c>
      <c r="P29" s="20">
        <f t="shared" si="26"/>
        <v>498.20000000000005</v>
      </c>
      <c r="Q29" s="20">
        <f>AVERAGE(E29:P29)</f>
        <v>504.50833333333327</v>
      </c>
      <c r="R29">
        <f>R28+1</f>
        <v>25</v>
      </c>
      <c r="S29">
        <f>S17+1</f>
        <v>3</v>
      </c>
      <c r="T29" s="206" t="s">
        <v>548</v>
      </c>
      <c r="U29">
        <v>1</v>
      </c>
      <c r="V29" t="s">
        <v>1386</v>
      </c>
      <c r="W29">
        <f>W17+12</f>
        <v>36</v>
      </c>
      <c r="X29" t="s">
        <v>550</v>
      </c>
      <c r="Y29">
        <v>1</v>
      </c>
      <c r="Z29">
        <v>2</v>
      </c>
      <c r="AA29">
        <v>3</v>
      </c>
      <c r="AB29">
        <v>1</v>
      </c>
      <c r="AC29">
        <v>2</v>
      </c>
      <c r="AD29">
        <f>(AA29-Z29)/(AC29-AB29)</f>
        <v>1</v>
      </c>
      <c r="AE29">
        <f>Z29-AD29*AB29</f>
        <v>1</v>
      </c>
    </row>
    <row r="30" spans="1:31" ht="17.149999999999999" x14ac:dyDescent="0.55000000000000004">
      <c r="B30" t="s">
        <v>1771</v>
      </c>
      <c r="C30" cm="1">
        <f t="array" ref="C30">INDEX(FLT_Cons,$S29,$U31)</f>
        <v>32</v>
      </c>
      <c r="D30" t="s">
        <v>511</v>
      </c>
      <c r="E30" s="20">
        <f t="shared" ref="E30:P30" si="27">VLOOKUP(VLOOKUP($C29,Terminal_X_Ref,2,FALSE)&amp;$D30,Weather_Data,$AD30*E$3+$AE30,FALSE)+459.6</f>
        <v>508.70000000000005</v>
      </c>
      <c r="F30" s="20">
        <f t="shared" si="27"/>
        <v>510.90000000000003</v>
      </c>
      <c r="G30" s="20">
        <f t="shared" si="27"/>
        <v>512.30000000000007</v>
      </c>
      <c r="H30" s="20">
        <f t="shared" si="27"/>
        <v>514.9</v>
      </c>
      <c r="I30" s="20">
        <f t="shared" si="27"/>
        <v>519.4</v>
      </c>
      <c r="J30" s="20">
        <f t="shared" si="27"/>
        <v>522.80000000000007</v>
      </c>
      <c r="K30" s="20">
        <f t="shared" si="27"/>
        <v>526.4</v>
      </c>
      <c r="L30" s="20">
        <f t="shared" si="27"/>
        <v>527.30000000000007</v>
      </c>
      <c r="M30" s="20">
        <f t="shared" si="27"/>
        <v>526.4</v>
      </c>
      <c r="N30" s="20">
        <f t="shared" si="27"/>
        <v>519.6</v>
      </c>
      <c r="O30" s="20">
        <f t="shared" si="27"/>
        <v>512.80000000000007</v>
      </c>
      <c r="P30" s="20">
        <f t="shared" si="27"/>
        <v>508.20000000000005</v>
      </c>
      <c r="Q30" s="20">
        <f t="shared" ref="Q30:Q34" si="28">AVERAGE(E30:P30)</f>
        <v>517.47500000000002</v>
      </c>
      <c r="R30">
        <f>R29+1</f>
        <v>26</v>
      </c>
      <c r="T30" t="s">
        <v>549</v>
      </c>
      <c r="U30">
        <v>3</v>
      </c>
      <c r="X30" t="s">
        <v>551</v>
      </c>
      <c r="Y30">
        <v>2</v>
      </c>
      <c r="Z30">
        <f>Z29</f>
        <v>2</v>
      </c>
      <c r="AA30">
        <f t="shared" ref="AA30:AE30" si="29">AA29</f>
        <v>3</v>
      </c>
      <c r="AB30">
        <f t="shared" si="29"/>
        <v>1</v>
      </c>
      <c r="AC30">
        <f t="shared" si="29"/>
        <v>2</v>
      </c>
      <c r="AD30">
        <f t="shared" si="29"/>
        <v>1</v>
      </c>
      <c r="AE30">
        <f t="shared" si="29"/>
        <v>1</v>
      </c>
    </row>
    <row r="31" spans="1:31" x14ac:dyDescent="0.4">
      <c r="B31" t="s">
        <v>231</v>
      </c>
      <c r="C31" cm="1">
        <f t="array" ref="C31">INDEX(FLT_Cons,$S29,$U32)</f>
        <v>32</v>
      </c>
      <c r="D31" t="s">
        <v>260</v>
      </c>
      <c r="E31" s="20">
        <f t="shared" ref="E31:P31" si="30">VLOOKUP(VLOOKUP($C29,Terminal_X_Ref,2,FALSE)&amp;$D31,Weather_Data,$AD29*E$3+$AE29,FALSE)</f>
        <v>343</v>
      </c>
      <c r="F31" s="20">
        <f t="shared" si="30"/>
        <v>600</v>
      </c>
      <c r="G31" s="20">
        <f t="shared" si="30"/>
        <v>877</v>
      </c>
      <c r="H31" s="20">
        <f t="shared" si="30"/>
        <v>1252</v>
      </c>
      <c r="I31" s="20">
        <f t="shared" si="30"/>
        <v>1537</v>
      </c>
      <c r="J31" s="20">
        <f t="shared" si="30"/>
        <v>1627</v>
      </c>
      <c r="K31" s="20">
        <f t="shared" si="30"/>
        <v>1708</v>
      </c>
      <c r="L31" s="20">
        <f t="shared" si="30"/>
        <v>1492</v>
      </c>
      <c r="M31" s="20">
        <f t="shared" si="30"/>
        <v>1196</v>
      </c>
      <c r="N31" s="20">
        <f t="shared" si="30"/>
        <v>728</v>
      </c>
      <c r="O31" s="20">
        <f t="shared" si="30"/>
        <v>391</v>
      </c>
      <c r="P31" s="20">
        <f t="shared" si="30"/>
        <v>302</v>
      </c>
      <c r="Q31" s="20">
        <f t="shared" si="28"/>
        <v>1004.4166666666666</v>
      </c>
      <c r="R31">
        <f t="shared" ref="R31:R40" si="31">R30+1</f>
        <v>27</v>
      </c>
      <c r="T31" t="s">
        <v>1747</v>
      </c>
      <c r="U31">
        <v>5</v>
      </c>
      <c r="X31" t="s">
        <v>1776</v>
      </c>
      <c r="Y31">
        <v>1</v>
      </c>
    </row>
    <row r="32" spans="1:31" ht="17.149999999999999" x14ac:dyDescent="0.55000000000000004">
      <c r="B32" t="s">
        <v>1521</v>
      </c>
      <c r="C32" t="str" cm="1">
        <f t="array" ref="C32">INDEX(FLT_Cons,$S29,$U33)</f>
        <v>Gray-Medium</v>
      </c>
      <c r="D32" t="s">
        <v>524</v>
      </c>
      <c r="E32" s="20">
        <f>AVERAGE(E29:E30)</f>
        <v>503.5</v>
      </c>
      <c r="F32" s="20">
        <f t="shared" ref="F32:P32" si="32">AVERAGE(F29:F30)</f>
        <v>504.30000000000007</v>
      </c>
      <c r="G32" s="20">
        <f t="shared" si="32"/>
        <v>505.70000000000005</v>
      </c>
      <c r="H32" s="20">
        <f t="shared" si="32"/>
        <v>508.2</v>
      </c>
      <c r="I32" s="20">
        <f t="shared" si="32"/>
        <v>512.75</v>
      </c>
      <c r="J32" s="20">
        <f t="shared" si="32"/>
        <v>516.55000000000007</v>
      </c>
      <c r="K32" s="20">
        <f t="shared" si="32"/>
        <v>520.04999999999995</v>
      </c>
      <c r="L32" s="20">
        <f t="shared" si="32"/>
        <v>520.5</v>
      </c>
      <c r="M32" s="20">
        <f t="shared" si="32"/>
        <v>518.20000000000005</v>
      </c>
      <c r="N32" s="20">
        <f t="shared" si="32"/>
        <v>512.25</v>
      </c>
      <c r="O32" s="20">
        <f t="shared" si="32"/>
        <v>506.70000000000005</v>
      </c>
      <c r="P32" s="20">
        <f t="shared" si="32"/>
        <v>503.20000000000005</v>
      </c>
      <c r="Q32" s="20">
        <f t="shared" si="28"/>
        <v>510.99166666666662</v>
      </c>
      <c r="R32">
        <f t="shared" si="31"/>
        <v>28</v>
      </c>
      <c r="T32" t="s">
        <v>231</v>
      </c>
      <c r="U32">
        <v>6</v>
      </c>
      <c r="X32" t="s">
        <v>1777</v>
      </c>
      <c r="Y32">
        <v>2</v>
      </c>
    </row>
    <row r="33" spans="1:31" ht="17.149999999999999" x14ac:dyDescent="0.55000000000000004">
      <c r="B33" t="s">
        <v>1652</v>
      </c>
      <c r="C33" t="str" cm="1">
        <f t="array" ref="C33">INDEX(FLT_Cons,$S29,$U34)</f>
        <v>Average</v>
      </c>
      <c r="D33" t="s">
        <v>525</v>
      </c>
      <c r="E33" s="20" cm="1">
        <f t="array" ref="E33">IF(NOT(ISBLANK(INDEX(FLT_Prod_Info,$W29,E$3*$Y33+$Y34))),INDEX(FLT_Prod_Info,$W29,E$3*$Y33+$Y34)+459.6,IF($C36&lt;&gt;"External Floating Roof",E32+0.003*$C40*E31,IF(C37&lt;&gt;"Pontoon",E32+(0.71*$C39*E31+0.485*($C31/$C30)*$C38*E31)/(170*$C31/$C30+45),E32+(0.39*$C39*E31+0.485*($C31/$C30)*$C38*E31)/(170*$C31/$C30+45))))</f>
        <v>504.49111046511626</v>
      </c>
      <c r="F33" s="20" cm="1">
        <f t="array" ref="F33">IF(NOT(ISBLANK(INDEX(FLT_Prod_Info,$W29,F$3*$Y33+$Y34))),INDEX(FLT_Prod_Info,$W29,F$3*$Y33+$Y34)+459.6,IF($C36&lt;&gt;"External Floating Roof",F32+0.003*$C40*F31,IF(D37&lt;&gt;"Pontoon",F32+(0.71*$C39*F31+0.485*($C31/$C30)*$C38*F31)/(170*$C31/$C30+45),F32+(0.39*$C39*F31+0.485*($C31/$C30)*$C38*F31)/(170*$C31/$C30+45))))</f>
        <v>506.66776744186052</v>
      </c>
      <c r="G33" s="20" cm="1">
        <f t="array" ref="G33">IF(NOT(ISBLANK(INDEX(FLT_Prod_Info,$W29,G$3*$Y33+$Y34))),INDEX(FLT_Prod_Info,$W29,G$3*$Y33+$Y34)+459.6,IF($C36&lt;&gt;"External Floating Roof",G32+0.003*$C40*G31,IF(E37&lt;&gt;"Pontoon",G32+(0.71*$C39*G31+0.485*($C31/$C30)*$C38*G31)/(170*$C31/$C30+45),G32+(0.39*$C39*G31+0.485*($C31/$C30)*$C38*G31)/(170*$C31/$C30+45))))</f>
        <v>509.16088674418609</v>
      </c>
      <c r="H33" s="20" cm="1">
        <f t="array" ref="H33">IF(NOT(ISBLANK(INDEX(FLT_Prod_Info,$W29,H$3*$Y33+$Y34))),INDEX(FLT_Prod_Info,$W29,H$3*$Y33+$Y34)+459.6,IF($C36&lt;&gt;"External Floating Roof",H32+0.003*$C40*H31,IF(F37&lt;&gt;"Pontoon",H32+(0.71*$C39*H31+0.485*($C31/$C30)*$C38*H31)/(170*$C31/$C30+45),H32+(0.39*$C39*H31+0.485*($C31/$C30)*$C38*H31)/(170*$C31/$C30+45))))</f>
        <v>513.14074139534887</v>
      </c>
      <c r="I33" s="20" cm="1">
        <f t="array" ref="I33">IF(NOT(ISBLANK(INDEX(FLT_Prod_Info,$W29,I$3*$Y33+$Y34))),INDEX(FLT_Prod_Info,$W29,I$3*$Y33+$Y34)+459.6,IF($C36&lt;&gt;"External Floating Roof",I32+0.003*$C40*I31,IF(G37&lt;&gt;"Pontoon",I32+(0.71*$C39*I31+0.485*($C31/$C30)*$C38*I31)/(170*$C31/$C30+45),I32+(0.39*$C39*I31+0.485*($C31/$C30)*$C38*I31)/(170*$C31/$C30+45))))</f>
        <v>518.81543093023254</v>
      </c>
      <c r="J33" s="20" cm="1">
        <f t="array" ref="J33">IF(NOT(ISBLANK(INDEX(FLT_Prod_Info,$W29,J$3*$Y33+$Y34))),INDEX(FLT_Prod_Info,$W29,J$3*$Y33+$Y34)+459.6,IF($C36&lt;&gt;"External Floating Roof",J32+0.003*$C40*J31,IF(H37&lt;&gt;"Pontoon",J32+(0.71*$C39*J31+0.485*($C31/$C30)*$C38*J31)/(170*$C31/$C30+45),J32+(0.39*$C39*J31+0.485*($C31/$C30)*$C38*J31)/(170*$C31/$C30+45))))</f>
        <v>522.97059604651167</v>
      </c>
      <c r="K33" s="20" cm="1">
        <f t="array" ref="K33">IF(NOT(ISBLANK(INDEX(FLT_Prod_Info,$W29,K$3*$Y33+$Y34))),INDEX(FLT_Prod_Info,$W29,K$3*$Y33+$Y34)+459.6,IF($C36&lt;&gt;"External Floating Roof",K32+0.003*$C40*K31,IF(I37&lt;&gt;"Pontoon",K32+(0.71*$C39*K31+0.485*($C31/$C30)*$C38*K31)/(170*$C31/$C30+45),K32+(0.39*$C39*K31+0.485*($C31/$C30)*$C38*K31)/(170*$C31/$C30+45))))</f>
        <v>526.79024465116277</v>
      </c>
      <c r="L33" s="20" cm="1">
        <f t="array" ref="L33">IF(NOT(ISBLANK(INDEX(FLT_Prod_Info,$W29,L$3*$Y33+$Y34))),INDEX(FLT_Prod_Info,$W29,L$3*$Y33+$Y34)+459.6,IF($C36&lt;&gt;"External Floating Roof",L32+0.003*$C40*L31,IF(J37&lt;&gt;"Pontoon",L32+(0.71*$C39*L31+0.485*($C31/$C30)*$C38*L31)/(170*$C31/$C30+45),L32+(0.39*$C39*L31+0.485*($C31/$C30)*$C38*L31)/(170*$C31/$C30+45))))</f>
        <v>526.387848372093</v>
      </c>
      <c r="M33" s="20" cm="1">
        <f t="array" ref="M33">IF(NOT(ISBLANK(INDEX(FLT_Prod_Info,$W29,M$3*$Y33+$Y34))),INDEX(FLT_Prod_Info,$W29,M$3*$Y33+$Y34)+459.6,IF($C36&lt;&gt;"External Floating Roof",M32+0.003*$C40*M31,IF(K37&lt;&gt;"Pontoon",M32+(0.71*$C39*M31+0.485*($C31/$C30)*$C38*M31)/(170*$C31/$C30+45),M32+(0.39*$C39*M31+0.485*($C31/$C30)*$C38*M31)/(170*$C31/$C30+45))))</f>
        <v>522.91974976744189</v>
      </c>
      <c r="N33" s="20" cm="1">
        <f t="array" ref="N33">IF(NOT(ISBLANK(INDEX(FLT_Prod_Info,$W29,N$3*$Y33+$Y34))),INDEX(FLT_Prod_Info,$W29,N$3*$Y33+$Y34)+459.6,IF($C36&lt;&gt;"External Floating Roof",N32+0.003*$C40*N31,IF(L37&lt;&gt;"Pontoon",N32+(0.71*$C39*N31+0.485*($C31/$C30)*$C38*N31)/(170*$C31/$C30+45),N32+(0.39*$C39*N31+0.485*($C31/$C30)*$C38*N31)/(170*$C31/$C30+45))))</f>
        <v>515.12289116279067</v>
      </c>
      <c r="O33" s="20" cm="1">
        <f t="array" ref="O33">IF(NOT(ISBLANK(INDEX(FLT_Prod_Info,$W29,O$3*$Y33+$Y34))),INDEX(FLT_Prod_Info,$W29,O$3*$Y33+$Y34)+459.6,IF($C36&lt;&gt;"External Floating Roof",O32+0.003*$C40*O31,IF(M37&lt;&gt;"Pontoon",O32+(0.71*$C39*O31+0.485*($C31/$C30)*$C38*O31)/(170*$C31/$C30+45),O32+(0.39*$C39*O31+0.485*($C31/$C30)*$C38*O31)/(170*$C31/$C30+45))))</f>
        <v>508.24299511627913</v>
      </c>
      <c r="P33" s="20" cm="1">
        <f t="array" ref="P33">IF(NOT(ISBLANK(INDEX(FLT_Prod_Info,$W29,P$3*$Y33+$Y34))),INDEX(FLT_Prod_Info,$W29,P$3*$Y33+$Y34)+459.6,IF($C36&lt;&gt;"External Floating Roof",P32+0.003*$C40*P31,IF(N37&lt;&gt;"Pontoon",P32+(0.71*$C39*P31+0.485*($C31/$C30)*$C38*P31)/(170*$C31/$C30+45),P32+(0.39*$C39*P31+0.485*($C31/$C30)*$C38*P31)/(170*$C31/$C30+45))))</f>
        <v>504.3917762790698</v>
      </c>
      <c r="Q33" s="20">
        <f t="shared" si="28"/>
        <v>514.92516986434111</v>
      </c>
      <c r="R33">
        <f t="shared" si="31"/>
        <v>29</v>
      </c>
      <c r="T33" t="s">
        <v>1521</v>
      </c>
      <c r="U33">
        <v>8</v>
      </c>
      <c r="X33" t="s">
        <v>541</v>
      </c>
      <c r="Y33">
        <f>(Y30-Y29)/(Y32-Y31)</f>
        <v>1</v>
      </c>
    </row>
    <row r="34" spans="1:31" ht="17.149999999999999" x14ac:dyDescent="0.55000000000000004">
      <c r="B34" t="s">
        <v>1522</v>
      </c>
      <c r="C34" t="str" cm="1">
        <f t="array" ref="C34">INDEX(FLT_Cons,$S29,$U35)</f>
        <v>Gray-Medium</v>
      </c>
      <c r="D34" t="s">
        <v>552</v>
      </c>
      <c r="E34" s="20">
        <f>IF($C36&lt;&gt;"External Floating Roof",((2.86*($C31/$C30)+1.43)*E32+(3.52*($C31/$C30)+3.79)*E33+0.027*$C39*E31+0.017*($C31/$C30)*$C38*E31)/(6.38*($C31/$C30)+5.22),IF($C37="Pontoon",0.7*E32+0.3*E33+0.008*$C39*E31,0.3*E32+0.7*E33+0.009*$C39*E31))</f>
        <v>505.74557313953488</v>
      </c>
      <c r="F34" s="20">
        <f t="shared" ref="F34" si="33">IF($C36&lt;&gt;"External Floating Roof",((2.86*($C31/$C30)+1.43)*F32+(3.52*($C31/$C30)+3.79)*F33+0.027*$C39*F31+0.017*($C31/$C30)*$C38*F31)/(6.38*($C31/$C30)+5.22),IF($C37="Pontoon",0.7*F32+0.3*F33+0.008*$C39*F31,0.3*F32+0.7*F33+0.009*$C39*F31))</f>
        <v>508.41833023255822</v>
      </c>
      <c r="G34" s="20">
        <f t="shared" ref="G34" si="34">IF($C36&lt;&gt;"External Floating Roof",((2.86*($C31/$C30)+1.43)*G32+(3.52*($C31/$C30)+3.79)*G33+0.027*$C39*G31+0.017*($C31/$C30)*$C38*G31)/(6.38*($C31/$C30)+5.22),IF($C37="Pontoon",0.7*G32+0.3*G33+0.008*$C39*G31,0.3*G32+0.7*G33+0.009*$C39*G31))</f>
        <v>511.71962602325584</v>
      </c>
      <c r="H34" s="20">
        <f t="shared" ref="H34" si="35">IF($C36&lt;&gt;"External Floating Roof",((2.86*($C31/$C30)+1.43)*H32+(3.52*($C31/$C30)+3.79)*H33+0.027*$C39*H31+0.017*($C31/$C30)*$C38*H31)/(6.38*($C31/$C30)+5.22),IF($C37="Pontoon",0.7*H32+0.3*H33+0.008*$C39*H31,0.3*H32+0.7*H33+0.009*$C39*H31))</f>
        <v>516.79358241860461</v>
      </c>
      <c r="I34" s="20">
        <f t="shared" ref="I34" si="36">IF($C36&lt;&gt;"External Floating Roof",((2.86*($C31/$C30)+1.43)*I32+(3.52*($C31/$C30)+3.79)*I33+0.027*$C39*I31+0.017*($C31/$C30)*$C38*I31)/(6.38*($C31/$C30)+5.22),IF($C37="Pontoon",0.7*I32+0.3*I33+0.008*$C39*I31,0.3*I32+0.7*I33+0.009*$C39*I31))</f>
        <v>523.29978927906961</v>
      </c>
      <c r="J34" s="20">
        <f t="shared" ref="J34" si="37">IF($C36&lt;&gt;"External Floating Roof",((2.86*($C31/$C30)+1.43)*J32+(3.52*($C31/$C30)+3.79)*J33+0.027*$C39*J31+0.017*($C31/$C30)*$C38*J31)/(6.38*($C31/$C30)+5.22),IF($C37="Pontoon",0.7*J32+0.3*J33+0.008*$C39*J31,0.3*J32+0.7*J33+0.009*$C39*J31))</f>
        <v>527.71753881395352</v>
      </c>
      <c r="K34" s="20">
        <f t="shared" ref="K34" si="38">IF($C36&lt;&gt;"External Floating Roof",((2.86*($C31/$C30)+1.43)*K32+(3.52*($C31/$C30)+3.79)*K33+0.027*$C39*K31+0.017*($C31/$C30)*$C38*K31)/(6.38*($C31/$C30)+5.22),IF($C37="Pontoon",0.7*K32+0.3*K33+0.008*$C39*K31,0.3*K32+0.7*K33+0.009*$C39*K31))</f>
        <v>531.7735133953488</v>
      </c>
      <c r="L34" s="20">
        <f t="shared" ref="L34" si="39">IF($C36&lt;&gt;"External Floating Roof",((2.86*($C31/$C30)+1.43)*L32+(3.52*($C31/$C30)+3.79)*L33+0.027*$C39*L31+0.017*($C31/$C30)*$C38*L31)/(6.38*($C31/$C30)+5.22),IF($C37="Pontoon",0.7*L32+0.3*L33+0.008*$C39*L31,0.3*L32+0.7*L33+0.009*$C39*L31))</f>
        <v>530.74091451162792</v>
      </c>
      <c r="M34" s="20">
        <f t="shared" ref="M34" si="40">IF($C36&lt;&gt;"External Floating Roof",((2.86*($C31/$C30)+1.43)*M32+(3.52*($C31/$C30)+3.79)*M33+0.027*$C39*M31+0.017*($C31/$C30)*$C38*M31)/(6.38*($C31/$C30)+5.22),IF($C37="Pontoon",0.7*M32+0.3*M33+0.008*$C39*M31,0.3*M32+0.7*M33+0.009*$C39*M31))</f>
        <v>526.40920493023259</v>
      </c>
      <c r="N34" s="20">
        <f t="shared" ref="N34" si="41">IF($C36&lt;&gt;"External Floating Roof",((2.86*($C31/$C30)+1.43)*N32+(3.52*($C31/$C30)+3.79)*N33+0.027*$C39*N31+0.017*($C31/$C30)*$C38*N31)/(6.38*($C31/$C30)+5.22),IF($C37="Pontoon",0.7*N32+0.3*N33+0.008*$C39*N31,0.3*N32+0.7*N33+0.009*$C39*N31))</f>
        <v>517.24690734883723</v>
      </c>
      <c r="O34" s="20">
        <f t="shared" ref="O34" si="42">IF($C36&lt;&gt;"External Floating Roof",((2.86*($C31/$C30)+1.43)*O32+(3.52*($C31/$C30)+3.79)*O33+0.027*$C39*O31+0.017*($C31/$C30)*$C38*O31)/(6.38*($C31/$C30)+5.22),IF($C37="Pontoon",0.7*O32+0.3*O33+0.008*$C39*O31,0.3*O32+0.7*O33+0.009*$C39*O31))</f>
        <v>509.38377853488379</v>
      </c>
      <c r="P34" s="20">
        <f t="shared" ref="P34" si="43">IF($C36&lt;&gt;"External Floating Roof",((2.86*($C31/$C30)+1.43)*P32+(3.52*($C31/$C30)+3.79)*P33+0.027*$C39*P31+0.017*($C31/$C30)*$C38*P31)/(6.38*($C31/$C30)+5.22),IF($C37="Pontoon",0.7*P32+0.3*P33+0.008*$C39*P31,0.3*P32+0.7*P33+0.009*$C39*P31))</f>
        <v>505.27289288372089</v>
      </c>
      <c r="Q34" s="20">
        <f t="shared" si="28"/>
        <v>517.87680429263571</v>
      </c>
      <c r="R34">
        <f t="shared" si="31"/>
        <v>30</v>
      </c>
      <c r="T34" t="s">
        <v>1652</v>
      </c>
      <c r="U34">
        <v>9</v>
      </c>
      <c r="X34" t="s">
        <v>542</v>
      </c>
      <c r="Y34">
        <f>Y32*Y33-Y30</f>
        <v>0</v>
      </c>
    </row>
    <row r="35" spans="1:31" x14ac:dyDescent="0.4">
      <c r="B35" t="s">
        <v>1772</v>
      </c>
      <c r="C35" t="str" cm="1">
        <f t="array" ref="C35">INDEX(FLT_Cons,$S29,$U36)</f>
        <v>Average</v>
      </c>
      <c r="R35">
        <f t="shared" si="31"/>
        <v>31</v>
      </c>
      <c r="T35" t="s">
        <v>1522</v>
      </c>
      <c r="U35">
        <v>10</v>
      </c>
    </row>
    <row r="36" spans="1:31" x14ac:dyDescent="0.4">
      <c r="B36" t="s">
        <v>1507</v>
      </c>
      <c r="C36" t="str" cm="1">
        <f t="array" ref="C36">INDEX(FLT_Cons,$S29,$U37)</f>
        <v>External Floating Roof</v>
      </c>
      <c r="R36">
        <f t="shared" si="31"/>
        <v>32</v>
      </c>
      <c r="T36" t="s">
        <v>1772</v>
      </c>
      <c r="U36">
        <v>11</v>
      </c>
    </row>
    <row r="37" spans="1:31" x14ac:dyDescent="0.4">
      <c r="B37" t="s">
        <v>1525</v>
      </c>
      <c r="C37" t="str" cm="1">
        <f t="array" ref="C37">INDEX(FLT_Cons,$S29,$U38)</f>
        <v>Pontoon</v>
      </c>
      <c r="R37">
        <f t="shared" si="31"/>
        <v>33</v>
      </c>
      <c r="T37" t="s">
        <v>1507</v>
      </c>
      <c r="U37">
        <v>13</v>
      </c>
    </row>
    <row r="38" spans="1:31" ht="17.149999999999999" x14ac:dyDescent="0.4">
      <c r="B38" s="66" t="s">
        <v>514</v>
      </c>
      <c r="C38" cm="1">
        <f t="array" ref="C38">INDEX(Tbl_71_6,MATCH(C32,Paint_Color,0),MATCH(C33,Paint_Condition,0)+1)</f>
        <v>0.71</v>
      </c>
      <c r="R38">
        <f t="shared" si="31"/>
        <v>34</v>
      </c>
      <c r="T38" t="s">
        <v>1525</v>
      </c>
      <c r="U38">
        <v>16</v>
      </c>
    </row>
    <row r="39" spans="1:31" ht="17.149999999999999" x14ac:dyDescent="0.4">
      <c r="B39" s="66" t="s">
        <v>513</v>
      </c>
      <c r="C39" cm="1">
        <f t="array" ref="C39">INDEX(Tbl_71_6,MATCH(C34,Paint_Color,0),MATCH(C35,Paint_Condition,0)+1)</f>
        <v>0.71</v>
      </c>
      <c r="R39">
        <f t="shared" si="31"/>
        <v>35</v>
      </c>
    </row>
    <row r="40" spans="1:31" x14ac:dyDescent="0.4">
      <c r="A40" s="11"/>
      <c r="B40" s="207" t="s">
        <v>558</v>
      </c>
      <c r="C40" s="11">
        <f>AVERAGE(C38:C39)</f>
        <v>0.71</v>
      </c>
      <c r="D40" s="11"/>
      <c r="E40" s="11"/>
      <c r="F40" s="11"/>
      <c r="G40" s="11"/>
      <c r="H40" s="11"/>
      <c r="I40" s="11"/>
      <c r="J40" s="11"/>
      <c r="K40" s="11"/>
      <c r="L40" s="11"/>
      <c r="M40" s="11"/>
      <c r="N40" s="11"/>
      <c r="O40" s="11"/>
      <c r="P40" s="11"/>
      <c r="Q40" s="11"/>
      <c r="R40" s="11">
        <f t="shared" si="31"/>
        <v>36</v>
      </c>
      <c r="S40" s="11"/>
      <c r="T40" s="11"/>
      <c r="U40" s="11"/>
      <c r="V40" s="11"/>
      <c r="W40" s="11"/>
      <c r="X40" s="11"/>
      <c r="Y40" s="11"/>
      <c r="Z40" s="11"/>
      <c r="AA40" s="11"/>
      <c r="AB40" s="11"/>
      <c r="AC40" s="11"/>
      <c r="AD40" s="11"/>
      <c r="AE40" s="11"/>
    </row>
    <row r="41" spans="1:31" ht="17.149999999999999" x14ac:dyDescent="0.55000000000000004">
      <c r="A41" t="str" cm="1">
        <f t="array" ref="A41">INDEX(FLT_Cons,$S41,$U41)</f>
        <v>FLT - 4</v>
      </c>
      <c r="B41" t="s">
        <v>4</v>
      </c>
      <c r="C41" t="str" cm="1">
        <f t="array" ref="C41">INDEX(FLT_Cons,$S41,$U42)</f>
        <v>Portland</v>
      </c>
      <c r="D41" t="s">
        <v>510</v>
      </c>
      <c r="E41" s="20">
        <f t="shared" ref="E41:P41" si="44">VLOOKUP(VLOOKUP($C41,Terminal_X_Ref,2,FALSE)&amp;$D41,Weather_Data,$AD41*E$3+$AE41,FALSE)+459.6</f>
        <v>498.3</v>
      </c>
      <c r="F41" s="20">
        <f t="shared" si="44"/>
        <v>497.70000000000005</v>
      </c>
      <c r="G41" s="20">
        <f t="shared" si="44"/>
        <v>499.1</v>
      </c>
      <c r="H41" s="20">
        <f t="shared" si="44"/>
        <v>501.5</v>
      </c>
      <c r="I41" s="20">
        <f t="shared" si="44"/>
        <v>506.1</v>
      </c>
      <c r="J41" s="20">
        <f t="shared" si="44"/>
        <v>510.3</v>
      </c>
      <c r="K41" s="20">
        <f t="shared" si="44"/>
        <v>513.70000000000005</v>
      </c>
      <c r="L41" s="20">
        <f t="shared" si="44"/>
        <v>513.70000000000005</v>
      </c>
      <c r="M41" s="20">
        <f t="shared" si="44"/>
        <v>510</v>
      </c>
      <c r="N41" s="20">
        <f t="shared" si="44"/>
        <v>504.90000000000003</v>
      </c>
      <c r="O41" s="20">
        <f t="shared" si="44"/>
        <v>500.6</v>
      </c>
      <c r="P41" s="20">
        <f t="shared" si="44"/>
        <v>498.20000000000005</v>
      </c>
      <c r="Q41" s="20">
        <f>AVERAGE(E41:P41)</f>
        <v>504.50833333333327</v>
      </c>
      <c r="R41">
        <f>R40+1</f>
        <v>37</v>
      </c>
      <c r="S41">
        <f>S29+1</f>
        <v>4</v>
      </c>
      <c r="T41" s="206" t="s">
        <v>548</v>
      </c>
      <c r="U41">
        <v>1</v>
      </c>
      <c r="V41" t="s">
        <v>1386</v>
      </c>
      <c r="W41">
        <f>W29+12</f>
        <v>48</v>
      </c>
      <c r="X41" t="s">
        <v>550</v>
      </c>
      <c r="Y41">
        <v>1</v>
      </c>
      <c r="Z41">
        <v>2</v>
      </c>
      <c r="AA41">
        <v>3</v>
      </c>
      <c r="AB41">
        <v>1</v>
      </c>
      <c r="AC41">
        <v>2</v>
      </c>
      <c r="AD41">
        <f>(AA41-Z41)/(AC41-AB41)</f>
        <v>1</v>
      </c>
      <c r="AE41">
        <f>Z41-AD41*AB41</f>
        <v>1</v>
      </c>
    </row>
    <row r="42" spans="1:31" ht="17.149999999999999" x14ac:dyDescent="0.55000000000000004">
      <c r="B42" t="s">
        <v>1771</v>
      </c>
      <c r="C42" cm="1">
        <f t="array" ref="C42">INDEX(FLT_Cons,$S41,$U43)</f>
        <v>144</v>
      </c>
      <c r="D42" t="s">
        <v>511</v>
      </c>
      <c r="E42" s="20">
        <f t="shared" ref="E42:P42" si="45">VLOOKUP(VLOOKUP($C41,Terminal_X_Ref,2,FALSE)&amp;$D42,Weather_Data,$AD42*E$3+$AE42,FALSE)+459.6</f>
        <v>508.70000000000005</v>
      </c>
      <c r="F42" s="20">
        <f t="shared" si="45"/>
        <v>510.90000000000003</v>
      </c>
      <c r="G42" s="20">
        <f t="shared" si="45"/>
        <v>512.30000000000007</v>
      </c>
      <c r="H42" s="20">
        <f t="shared" si="45"/>
        <v>514.9</v>
      </c>
      <c r="I42" s="20">
        <f t="shared" si="45"/>
        <v>519.4</v>
      </c>
      <c r="J42" s="20">
        <f t="shared" si="45"/>
        <v>522.80000000000007</v>
      </c>
      <c r="K42" s="20">
        <f t="shared" si="45"/>
        <v>526.4</v>
      </c>
      <c r="L42" s="20">
        <f t="shared" si="45"/>
        <v>527.30000000000007</v>
      </c>
      <c r="M42" s="20">
        <f t="shared" si="45"/>
        <v>526.4</v>
      </c>
      <c r="N42" s="20">
        <f t="shared" si="45"/>
        <v>519.6</v>
      </c>
      <c r="O42" s="20">
        <f t="shared" si="45"/>
        <v>512.80000000000007</v>
      </c>
      <c r="P42" s="20">
        <f t="shared" si="45"/>
        <v>508.20000000000005</v>
      </c>
      <c r="Q42" s="20">
        <f t="shared" ref="Q42:Q46" si="46">AVERAGE(E42:P42)</f>
        <v>517.47500000000002</v>
      </c>
      <c r="R42">
        <f>R41+1</f>
        <v>38</v>
      </c>
      <c r="T42" t="s">
        <v>549</v>
      </c>
      <c r="U42">
        <v>3</v>
      </c>
      <c r="X42" t="s">
        <v>551</v>
      </c>
      <c r="Y42">
        <v>2</v>
      </c>
      <c r="Z42">
        <f>Z41</f>
        <v>2</v>
      </c>
      <c r="AA42">
        <f t="shared" ref="AA42:AE42" si="47">AA41</f>
        <v>3</v>
      </c>
      <c r="AB42">
        <f t="shared" si="47"/>
        <v>1</v>
      </c>
      <c r="AC42">
        <f t="shared" si="47"/>
        <v>2</v>
      </c>
      <c r="AD42">
        <f t="shared" si="47"/>
        <v>1</v>
      </c>
      <c r="AE42">
        <f t="shared" si="47"/>
        <v>1</v>
      </c>
    </row>
    <row r="43" spans="1:31" x14ac:dyDescent="0.4">
      <c r="B43" t="s">
        <v>231</v>
      </c>
      <c r="C43" cm="1">
        <f t="array" ref="C43">INDEX(FLT_Cons,$S41,$U44)</f>
        <v>45</v>
      </c>
      <c r="D43" t="s">
        <v>260</v>
      </c>
      <c r="E43" s="20">
        <f t="shared" ref="E43:P43" si="48">VLOOKUP(VLOOKUP($C41,Terminal_X_Ref,2,FALSE)&amp;$D43,Weather_Data,$AD41*E$3+$AE41,FALSE)</f>
        <v>343</v>
      </c>
      <c r="F43" s="20">
        <f t="shared" si="48"/>
        <v>600</v>
      </c>
      <c r="G43" s="20">
        <f t="shared" si="48"/>
        <v>877</v>
      </c>
      <c r="H43" s="20">
        <f t="shared" si="48"/>
        <v>1252</v>
      </c>
      <c r="I43" s="20">
        <f t="shared" si="48"/>
        <v>1537</v>
      </c>
      <c r="J43" s="20">
        <f t="shared" si="48"/>
        <v>1627</v>
      </c>
      <c r="K43" s="20">
        <f t="shared" si="48"/>
        <v>1708</v>
      </c>
      <c r="L43" s="20">
        <f t="shared" si="48"/>
        <v>1492</v>
      </c>
      <c r="M43" s="20">
        <f t="shared" si="48"/>
        <v>1196</v>
      </c>
      <c r="N43" s="20">
        <f t="shared" si="48"/>
        <v>728</v>
      </c>
      <c r="O43" s="20">
        <f t="shared" si="48"/>
        <v>391</v>
      </c>
      <c r="P43" s="20">
        <f t="shared" si="48"/>
        <v>302</v>
      </c>
      <c r="Q43" s="20">
        <f t="shared" si="46"/>
        <v>1004.4166666666666</v>
      </c>
      <c r="R43">
        <f t="shared" ref="R43:R52" si="49">R42+1</f>
        <v>39</v>
      </c>
      <c r="T43" t="s">
        <v>1747</v>
      </c>
      <c r="U43">
        <v>5</v>
      </c>
      <c r="X43" t="s">
        <v>1776</v>
      </c>
      <c r="Y43">
        <v>1</v>
      </c>
    </row>
    <row r="44" spans="1:31" ht="17.149999999999999" x14ac:dyDescent="0.55000000000000004">
      <c r="B44" t="s">
        <v>1521</v>
      </c>
      <c r="C44" t="str" cm="1">
        <f t="array" ref="C44">INDEX(FLT_Cons,$S41,$U45)</f>
        <v>White</v>
      </c>
      <c r="D44" t="s">
        <v>524</v>
      </c>
      <c r="E44" s="20">
        <f>AVERAGE(E41:E42)</f>
        <v>503.5</v>
      </c>
      <c r="F44" s="20">
        <f t="shared" ref="F44:P44" si="50">AVERAGE(F41:F42)</f>
        <v>504.30000000000007</v>
      </c>
      <c r="G44" s="20">
        <f t="shared" si="50"/>
        <v>505.70000000000005</v>
      </c>
      <c r="H44" s="20">
        <f t="shared" si="50"/>
        <v>508.2</v>
      </c>
      <c r="I44" s="20">
        <f t="shared" si="50"/>
        <v>512.75</v>
      </c>
      <c r="J44" s="20">
        <f t="shared" si="50"/>
        <v>516.55000000000007</v>
      </c>
      <c r="K44" s="20">
        <f t="shared" si="50"/>
        <v>520.04999999999995</v>
      </c>
      <c r="L44" s="20">
        <f t="shared" si="50"/>
        <v>520.5</v>
      </c>
      <c r="M44" s="20">
        <f t="shared" si="50"/>
        <v>518.20000000000005</v>
      </c>
      <c r="N44" s="20">
        <f t="shared" si="50"/>
        <v>512.25</v>
      </c>
      <c r="O44" s="20">
        <f t="shared" si="50"/>
        <v>506.70000000000005</v>
      </c>
      <c r="P44" s="20">
        <f t="shared" si="50"/>
        <v>503.20000000000005</v>
      </c>
      <c r="Q44" s="20">
        <f t="shared" si="46"/>
        <v>510.99166666666662</v>
      </c>
      <c r="R44">
        <f t="shared" si="49"/>
        <v>40</v>
      </c>
      <c r="T44" t="s">
        <v>231</v>
      </c>
      <c r="U44">
        <v>6</v>
      </c>
      <c r="X44" t="s">
        <v>1777</v>
      </c>
      <c r="Y44">
        <v>2</v>
      </c>
    </row>
    <row r="45" spans="1:31" ht="17.149999999999999" x14ac:dyDescent="0.55000000000000004">
      <c r="B45" t="s">
        <v>1652</v>
      </c>
      <c r="C45" t="str" cm="1">
        <f t="array" ref="C45">INDEX(FLT_Cons,$S41,$U46)</f>
        <v>Average</v>
      </c>
      <c r="D45" t="s">
        <v>525</v>
      </c>
      <c r="E45" s="20" cm="1">
        <f t="array" ref="E45">IF(NOT(ISBLANK(INDEX(FLT_Prod_Info,$W41,E$3*$Y45+$Y46))),INDEX(FLT_Prod_Info,$W41,E$3*$Y45+$Y46)+459.6,IF($C48&lt;&gt;"External Floating Roof",E44+0.003*$C52*E43,IF(C49&lt;&gt;"Pontoon",E44+(0.71*$C51*E43+0.485*($C43/$C42)*$C50*E43)/(170*$C43/$C42+45),E44+(0.39*$C51*E43+0.485*($C43/$C42)*$C50*E43)/(170*$C43/$C42+45))))</f>
        <v>503.75725</v>
      </c>
      <c r="F45" s="20" cm="1">
        <f t="array" ref="F45">IF(NOT(ISBLANK(INDEX(FLT_Prod_Info,$W41,F$3*$Y45+$Y46))),INDEX(FLT_Prod_Info,$W41,F$3*$Y45+$Y46)+459.6,IF($C48&lt;&gt;"External Floating Roof",F44+0.003*$C52*F43,IF(D49&lt;&gt;"Pontoon",F44+(0.71*$C51*F43+0.485*($C43/$C42)*$C50*F43)/(170*$C43/$C42+45),F44+(0.39*$C51*F43+0.485*($C43/$C42)*$C50*F43)/(170*$C43/$C42+45))))</f>
        <v>504.75000000000006</v>
      </c>
      <c r="G45" s="20" cm="1">
        <f t="array" ref="G45">IF(NOT(ISBLANK(INDEX(FLT_Prod_Info,$W41,G$3*$Y45+$Y46))),INDEX(FLT_Prod_Info,$W41,G$3*$Y45+$Y46)+459.6,IF($C48&lt;&gt;"External Floating Roof",G44+0.003*$C52*G43,IF(E49&lt;&gt;"Pontoon",G44+(0.71*$C51*G43+0.485*($C43/$C42)*$C50*G43)/(170*$C43/$C42+45),G44+(0.39*$C51*G43+0.485*($C43/$C42)*$C50*G43)/(170*$C43/$C42+45))))</f>
        <v>506.35775000000007</v>
      </c>
      <c r="H45" s="20" cm="1">
        <f t="array" ref="H45">IF(NOT(ISBLANK(INDEX(FLT_Prod_Info,$W41,H$3*$Y45+$Y46))),INDEX(FLT_Prod_Info,$W41,H$3*$Y45+$Y46)+459.6,IF($C48&lt;&gt;"External Floating Roof",H44+0.003*$C52*H43,IF(F49&lt;&gt;"Pontoon",H44+(0.71*$C51*H43+0.485*($C43/$C42)*$C50*H43)/(170*$C43/$C42+45),H44+(0.39*$C51*H43+0.485*($C43/$C42)*$C50*H43)/(170*$C43/$C42+45))))</f>
        <v>509.13900000000001</v>
      </c>
      <c r="I45" s="20" cm="1">
        <f t="array" ref="I45">IF(NOT(ISBLANK(INDEX(FLT_Prod_Info,$W41,I$3*$Y45+$Y46))),INDEX(FLT_Prod_Info,$W41,I$3*$Y45+$Y46)+459.6,IF($C48&lt;&gt;"External Floating Roof",I44+0.003*$C52*I43,IF(G49&lt;&gt;"Pontoon",I44+(0.71*$C51*I43+0.485*($C43/$C42)*$C50*I43)/(170*$C43/$C42+45),I44+(0.39*$C51*I43+0.485*($C43/$C42)*$C50*I43)/(170*$C43/$C42+45))))</f>
        <v>513.90274999999997</v>
      </c>
      <c r="J45" s="20" cm="1">
        <f t="array" ref="J45">IF(NOT(ISBLANK(INDEX(FLT_Prod_Info,$W41,J$3*$Y45+$Y46))),INDEX(FLT_Prod_Info,$W41,J$3*$Y45+$Y46)+459.6,IF($C48&lt;&gt;"External Floating Roof",J44+0.003*$C52*J43,IF(H49&lt;&gt;"Pontoon",J44+(0.71*$C51*J43+0.485*($C43/$C42)*$C50*J43)/(170*$C43/$C42+45),J44+(0.39*$C51*J43+0.485*($C43/$C42)*$C50*J43)/(170*$C43/$C42+45))))</f>
        <v>517.77025000000003</v>
      </c>
      <c r="K45" s="20" cm="1">
        <f t="array" ref="K45">IF(NOT(ISBLANK(INDEX(FLT_Prod_Info,$W41,K$3*$Y45+$Y46))),INDEX(FLT_Prod_Info,$W41,K$3*$Y45+$Y46)+459.6,IF($C48&lt;&gt;"External Floating Roof",K44+0.003*$C52*K43,IF(I49&lt;&gt;"Pontoon",K44+(0.71*$C51*K43+0.485*($C43/$C42)*$C50*K43)/(170*$C43/$C42+45),K44+(0.39*$C51*K43+0.485*($C43/$C42)*$C50*K43)/(170*$C43/$C42+45))))</f>
        <v>521.3309999999999</v>
      </c>
      <c r="L45" s="20" cm="1">
        <f t="array" ref="L45">IF(NOT(ISBLANK(INDEX(FLT_Prod_Info,$W41,L$3*$Y45+$Y46))),INDEX(FLT_Prod_Info,$W41,L$3*$Y45+$Y46)+459.6,IF($C48&lt;&gt;"External Floating Roof",L44+0.003*$C52*L43,IF(J49&lt;&gt;"Pontoon",L44+(0.71*$C51*L43+0.485*($C43/$C42)*$C50*L43)/(170*$C43/$C42+45),L44+(0.39*$C51*L43+0.485*($C43/$C42)*$C50*L43)/(170*$C43/$C42+45))))</f>
        <v>521.61900000000003</v>
      </c>
      <c r="M45" s="20" cm="1">
        <f t="array" ref="M45">IF(NOT(ISBLANK(INDEX(FLT_Prod_Info,$W41,M$3*$Y45+$Y46))),INDEX(FLT_Prod_Info,$W41,M$3*$Y45+$Y46)+459.6,IF($C48&lt;&gt;"External Floating Roof",M44+0.003*$C52*M43,IF(K49&lt;&gt;"Pontoon",M44+(0.71*$C51*M43+0.485*($C43/$C42)*$C50*M43)/(170*$C43/$C42+45),M44+(0.39*$C51*M43+0.485*($C43/$C42)*$C50*M43)/(170*$C43/$C42+45))))</f>
        <v>519.09700000000009</v>
      </c>
      <c r="N45" s="20" cm="1">
        <f t="array" ref="N45">IF(NOT(ISBLANK(INDEX(FLT_Prod_Info,$W41,N$3*$Y45+$Y46))),INDEX(FLT_Prod_Info,$W41,N$3*$Y45+$Y46)+459.6,IF($C48&lt;&gt;"External Floating Roof",N44+0.003*$C52*N43,IF(L49&lt;&gt;"Pontoon",N44+(0.71*$C51*N43+0.485*($C43/$C42)*$C50*N43)/(170*$C43/$C42+45),N44+(0.39*$C51*N43+0.485*($C43/$C42)*$C50*N43)/(170*$C43/$C42+45))))</f>
        <v>512.79600000000005</v>
      </c>
      <c r="O45" s="20" cm="1">
        <f t="array" ref="O45">IF(NOT(ISBLANK(INDEX(FLT_Prod_Info,$W41,O$3*$Y45+$Y46))),INDEX(FLT_Prod_Info,$W41,O$3*$Y45+$Y46)+459.6,IF($C48&lt;&gt;"External Floating Roof",O44+0.003*$C52*O43,IF(M49&lt;&gt;"Pontoon",O44+(0.71*$C51*O43+0.485*($C43/$C42)*$C50*O43)/(170*$C43/$C42+45),O44+(0.39*$C51*O43+0.485*($C43/$C42)*$C50*O43)/(170*$C43/$C42+45))))</f>
        <v>506.99325000000005</v>
      </c>
      <c r="P45" s="20" cm="1">
        <f t="array" ref="P45">IF(NOT(ISBLANK(INDEX(FLT_Prod_Info,$W41,P$3*$Y45+$Y46))),INDEX(FLT_Prod_Info,$W41,P$3*$Y45+$Y46)+459.6,IF($C48&lt;&gt;"External Floating Roof",P44+0.003*$C52*P43,IF(N49&lt;&gt;"Pontoon",P44+(0.71*$C51*P43+0.485*($C43/$C42)*$C50*P43)/(170*$C43/$C42+45),P44+(0.39*$C51*P43+0.485*($C43/$C42)*$C50*P43)/(170*$C43/$C42+45))))</f>
        <v>503.42650000000003</v>
      </c>
      <c r="Q45" s="20">
        <f t="shared" si="46"/>
        <v>511.74497916666661</v>
      </c>
      <c r="R45">
        <f t="shared" si="49"/>
        <v>41</v>
      </c>
      <c r="T45" t="s">
        <v>1521</v>
      </c>
      <c r="U45">
        <v>8</v>
      </c>
      <c r="X45" t="s">
        <v>541</v>
      </c>
      <c r="Y45">
        <f>(Y42-Y41)/(Y44-Y43)</f>
        <v>1</v>
      </c>
    </row>
    <row r="46" spans="1:31" ht="17.149999999999999" x14ac:dyDescent="0.55000000000000004">
      <c r="B46" t="s">
        <v>1522</v>
      </c>
      <c r="C46" t="str" cm="1">
        <f t="array" ref="C46">INDEX(FLT_Cons,$S41,$U47)</f>
        <v>White</v>
      </c>
      <c r="D46" t="s">
        <v>552</v>
      </c>
      <c r="E46" s="20">
        <f>IF($C48&lt;&gt;"External Floating Roof",((2.86*($C43/$C42)+1.43)*E44+(3.52*($C43/$C42)+3.79)*E45+0.027*$C51*E43+0.017*($C43/$C42)*$C50*E43)/(6.38*($C43/$C42)+5.22),IF($C49="Pontoon",0.7*E44+0.3*E45+0.008*$C51*E43,0.3*E44+0.7*E45+0.009*$C51*E43))</f>
        <v>504.0584819788599</v>
      </c>
      <c r="F46" s="20">
        <f t="shared" ref="F46" si="51">IF($C48&lt;&gt;"External Floating Roof",((2.86*($C43/$C42)+1.43)*F44+(3.52*($C43/$C42)+3.79)*F45+0.027*$C51*F43+0.017*($C43/$C42)*$C50*F43)/(6.38*($C43/$C42)+5.22),IF($C49="Pontoon",0.7*F44+0.3*F45+0.008*$C51*F43,0.3*F44+0.7*F45+0.009*$C51*F43))</f>
        <v>505.27693640616894</v>
      </c>
      <c r="G46" s="20">
        <f t="shared" ref="G46" si="52">IF($C48&lt;&gt;"External Floating Roof",((2.86*($C43/$C42)+1.43)*G44+(3.52*($C43/$C42)+3.79)*G45+0.027*$C51*G43+0.017*($C43/$C42)*$C50*G43)/(6.38*($C43/$C42)+5.22),IF($C49="Pontoon",0.7*G44+0.3*G45+0.008*$C51*G43,0.3*G44+0.7*G45+0.009*$C51*G43))</f>
        <v>507.12795538035027</v>
      </c>
      <c r="H46" s="20">
        <f t="shared" ref="H46" si="53">IF($C48&lt;&gt;"External Floating Roof",((2.86*($C43/$C42)+1.43)*H44+(3.52*($C43/$C42)+3.79)*H45+0.027*$C51*H43+0.017*($C43/$C42)*$C50*H43)/(6.38*($C43/$C42)+5.22),IF($C49="Pontoon",0.7*H44+0.3*H45+0.008*$C51*H43,0.3*H44+0.7*H45+0.009*$C51*H43))</f>
        <v>510.23854063420572</v>
      </c>
      <c r="I46" s="20">
        <f t="shared" ref="I46" si="54">IF($C48&lt;&gt;"External Floating Roof",((2.86*($C43/$C42)+1.43)*I44+(3.52*($C43/$C42)+3.79)*I45+0.027*$C51*I43+0.017*($C43/$C42)*$C50*I43)/(6.38*($C43/$C42)+5.22),IF($C49="Pontoon",0.7*I44+0.3*I45+0.008*$C51*I43,0.3*I44+0.7*I45+0.009*$C51*I43))</f>
        <v>515.25258542713573</v>
      </c>
      <c r="J46" s="20">
        <f t="shared" ref="J46" si="55">IF($C48&lt;&gt;"External Floating Roof",((2.86*($C43/$C42)+1.43)*J44+(3.52*($C43/$C42)+3.79)*J45+0.027*$C51*J43+0.017*($C43/$C42)*$C50*J43)/(6.38*($C43/$C42)+5.22),IF($C49="Pontoon",0.7*J44+0.3*J45+0.008*$C51*J43,0.3*J44+0.7*J45+0.009*$C51*J43))</f>
        <v>519.19912588806119</v>
      </c>
      <c r="K46" s="20">
        <f t="shared" ref="K46" si="56">IF($C48&lt;&gt;"External Floating Roof",((2.86*($C43/$C42)+1.43)*K44+(3.52*($C43/$C42)+3.79)*K45+0.027*$C51*K43+0.017*($C43/$C42)*$C50*K43)/(6.38*($C43/$C42)+5.22),IF($C49="Pontoon",0.7*K44+0.3*K45+0.008*$C51*K43,0.3*K44+0.7*K45+0.009*$C51*K43))</f>
        <v>522.83101230289378</v>
      </c>
      <c r="L46" s="20">
        <f t="shared" ref="L46" si="57">IF($C48&lt;&gt;"External Floating Roof",((2.86*($C43/$C42)+1.43)*L44+(3.52*($C43/$C42)+3.79)*L45+0.027*$C51*L43+0.017*($C43/$C42)*$C50*L43)/(6.38*($C43/$C42)+5.22),IF($C49="Pontoon",0.7*L44+0.3*L45+0.008*$C51*L43,0.3*L44+0.7*L45+0.009*$C51*L43))</f>
        <v>522.92931519667309</v>
      </c>
      <c r="M46" s="20">
        <f t="shared" ref="M46" si="58">IF($C48&lt;&gt;"External Floating Roof",((2.86*($C43/$C42)+1.43)*M44+(3.52*($C43/$C42)+3.79)*M45+0.027*$C51*M43+0.017*($C43/$C42)*$C50*M43)/(6.38*($C43/$C42)+5.22),IF($C49="Pontoon",0.7*M44+0.3*M45+0.008*$C51*M43,0.3*M44+0.7*M45+0.009*$C51*M43))</f>
        <v>520.14735990296333</v>
      </c>
      <c r="N46" s="20">
        <f t="shared" ref="N46" si="59">IF($C48&lt;&gt;"External Floating Roof",((2.86*($C43/$C42)+1.43)*N44+(3.52*($C43/$C42)+3.79)*N45+0.027*$C51*N43+0.017*($C43/$C42)*$C50*N43)/(6.38*($C43/$C42)+5.22),IF($C49="Pontoon",0.7*N44+0.3*N45+0.008*$C51*N43,0.3*N44+0.7*N45+0.009*$C51*N43))</f>
        <v>513.43534950615151</v>
      </c>
      <c r="O46" s="20">
        <f t="shared" ref="O46" si="60">IF($C48&lt;&gt;"External Floating Roof",((2.86*($C43/$C42)+1.43)*O44+(3.52*($C43/$C42)+3.79)*O45+0.027*$C51*O43+0.017*($C43/$C42)*$C50*O43)/(6.38*($C43/$C42)+5.22),IF($C49="Pontoon",0.7*O44+0.3*O45+0.008*$C51*O43,0.3*O44+0.7*O45+0.009*$C51*O43))</f>
        <v>507.33663689135341</v>
      </c>
      <c r="P46" s="20">
        <f t="shared" ref="P46" si="61">IF($C48&lt;&gt;"External Floating Roof",((2.86*($C43/$C42)+1.43)*P44+(3.52*($C43/$C42)+3.79)*P45+0.027*$C51*P43+0.017*($C43/$C42)*$C50*P43)/(6.38*($C43/$C42)+5.22),IF($C49="Pontoon",0.7*P44+0.3*P45+0.008*$C51*P43,0.3*P44+0.7*P45+0.009*$C51*P43))</f>
        <v>503.69172465777177</v>
      </c>
      <c r="Q46" s="20">
        <f t="shared" si="46"/>
        <v>512.62708534771559</v>
      </c>
      <c r="R46">
        <f t="shared" si="49"/>
        <v>42</v>
      </c>
      <c r="T46" t="s">
        <v>1652</v>
      </c>
      <c r="U46">
        <v>9</v>
      </c>
      <c r="X46" t="s">
        <v>542</v>
      </c>
      <c r="Y46">
        <f>Y44*Y45-Y42</f>
        <v>0</v>
      </c>
    </row>
    <row r="47" spans="1:31" x14ac:dyDescent="0.4">
      <c r="B47" t="s">
        <v>1772</v>
      </c>
      <c r="C47" t="str" cm="1">
        <f t="array" ref="C47">INDEX(FLT_Cons,$S41,$U48)</f>
        <v>Average</v>
      </c>
      <c r="R47">
        <f t="shared" si="49"/>
        <v>43</v>
      </c>
      <c r="T47" t="s">
        <v>1522</v>
      </c>
      <c r="U47">
        <v>10</v>
      </c>
    </row>
    <row r="48" spans="1:31" x14ac:dyDescent="0.4">
      <c r="B48" t="s">
        <v>1507</v>
      </c>
      <c r="C48" t="str" cm="1">
        <f t="array" ref="C48">INDEX(FLT_Cons,$S41,$U49)</f>
        <v>Internal Floating Roof</v>
      </c>
      <c r="R48">
        <f t="shared" si="49"/>
        <v>44</v>
      </c>
      <c r="T48" t="s">
        <v>1772</v>
      </c>
      <c r="U48">
        <v>11</v>
      </c>
    </row>
    <row r="49" spans="1:31" x14ac:dyDescent="0.4">
      <c r="B49" t="s">
        <v>1525</v>
      </c>
      <c r="C49" t="str" cm="1">
        <f t="array" ref="C49">INDEX(FLT_Cons,$S41,$U50)</f>
        <v>N/A - IFR</v>
      </c>
      <c r="R49">
        <f t="shared" si="49"/>
        <v>45</v>
      </c>
      <c r="T49" t="s">
        <v>1507</v>
      </c>
      <c r="U49">
        <v>13</v>
      </c>
    </row>
    <row r="50" spans="1:31" ht="17.149999999999999" x14ac:dyDescent="0.4">
      <c r="B50" s="66" t="s">
        <v>514</v>
      </c>
      <c r="C50" cm="1">
        <f t="array" ref="C50">INDEX(Tbl_71_6,MATCH(C44,Paint_Color,0),MATCH(C45,Paint_Condition,0)+1)</f>
        <v>0.25</v>
      </c>
      <c r="R50">
        <f t="shared" si="49"/>
        <v>46</v>
      </c>
      <c r="T50" t="s">
        <v>1525</v>
      </c>
      <c r="U50">
        <v>16</v>
      </c>
    </row>
    <row r="51" spans="1:31" ht="17.149999999999999" x14ac:dyDescent="0.4">
      <c r="B51" s="66" t="s">
        <v>513</v>
      </c>
      <c r="C51" cm="1">
        <f t="array" ref="C51">INDEX(Tbl_71_6,MATCH(C46,Paint_Color,0),MATCH(C47,Paint_Condition,0)+1)</f>
        <v>0.25</v>
      </c>
      <c r="R51">
        <f t="shared" si="49"/>
        <v>47</v>
      </c>
    </row>
    <row r="52" spans="1:31" x14ac:dyDescent="0.4">
      <c r="A52" s="11"/>
      <c r="B52" s="207" t="s">
        <v>558</v>
      </c>
      <c r="C52" s="11">
        <f>AVERAGE(C50:C51)</f>
        <v>0.25</v>
      </c>
      <c r="D52" s="11"/>
      <c r="E52" s="11"/>
      <c r="F52" s="11"/>
      <c r="G52" s="11"/>
      <c r="H52" s="11"/>
      <c r="I52" s="11"/>
      <c r="J52" s="11"/>
      <c r="K52" s="11"/>
      <c r="L52" s="11"/>
      <c r="M52" s="11"/>
      <c r="N52" s="11"/>
      <c r="O52" s="11"/>
      <c r="P52" s="11"/>
      <c r="Q52" s="11"/>
      <c r="R52" s="11">
        <f t="shared" si="49"/>
        <v>48</v>
      </c>
      <c r="S52" s="11"/>
      <c r="T52" s="11"/>
      <c r="U52" s="11"/>
      <c r="V52" s="11"/>
      <c r="W52" s="11"/>
      <c r="X52" s="11"/>
      <c r="Y52" s="11"/>
      <c r="Z52" s="11"/>
      <c r="AA52" s="11"/>
      <c r="AB52" s="11"/>
      <c r="AC52" s="11"/>
      <c r="AD52" s="11"/>
      <c r="AE52" s="11"/>
    </row>
    <row r="53" spans="1:31" ht="17.149999999999999" x14ac:dyDescent="0.55000000000000004">
      <c r="A53" t="str" cm="1">
        <f t="array" ref="A53">INDEX(FLT_Cons,$S53,$U53)</f>
        <v>FLT - 5</v>
      </c>
      <c r="B53" t="s">
        <v>4</v>
      </c>
      <c r="C53" t="str" cm="1">
        <f t="array" ref="C53">INDEX(FLT_Cons,$S53,$U54)</f>
        <v>Portland</v>
      </c>
      <c r="D53" t="s">
        <v>510</v>
      </c>
      <c r="E53" s="20">
        <f t="shared" ref="E53:P53" si="62">VLOOKUP(VLOOKUP($C53,Terminal_X_Ref,2,FALSE)&amp;$D53,Weather_Data,$AD53*E$3+$AE53,FALSE)+459.6</f>
        <v>498.3</v>
      </c>
      <c r="F53" s="20">
        <f t="shared" si="62"/>
        <v>497.70000000000005</v>
      </c>
      <c r="G53" s="20">
        <f t="shared" si="62"/>
        <v>499.1</v>
      </c>
      <c r="H53" s="20">
        <f t="shared" si="62"/>
        <v>501.5</v>
      </c>
      <c r="I53" s="20">
        <f t="shared" si="62"/>
        <v>506.1</v>
      </c>
      <c r="J53" s="20">
        <f t="shared" si="62"/>
        <v>510.3</v>
      </c>
      <c r="K53" s="20">
        <f t="shared" si="62"/>
        <v>513.70000000000005</v>
      </c>
      <c r="L53" s="20">
        <f t="shared" si="62"/>
        <v>513.70000000000005</v>
      </c>
      <c r="M53" s="20">
        <f t="shared" si="62"/>
        <v>510</v>
      </c>
      <c r="N53" s="20">
        <f t="shared" si="62"/>
        <v>504.90000000000003</v>
      </c>
      <c r="O53" s="20">
        <f t="shared" si="62"/>
        <v>500.6</v>
      </c>
      <c r="P53" s="20">
        <f t="shared" si="62"/>
        <v>498.20000000000005</v>
      </c>
      <c r="Q53" s="20">
        <f>AVERAGE(E53:P53)</f>
        <v>504.50833333333327</v>
      </c>
      <c r="R53">
        <f>R52+1</f>
        <v>49</v>
      </c>
      <c r="S53">
        <f>S41+1</f>
        <v>5</v>
      </c>
      <c r="T53" s="206" t="s">
        <v>548</v>
      </c>
      <c r="U53">
        <v>1</v>
      </c>
      <c r="V53" t="s">
        <v>1386</v>
      </c>
      <c r="W53">
        <f>W41+12</f>
        <v>60</v>
      </c>
      <c r="X53" t="s">
        <v>550</v>
      </c>
      <c r="Y53">
        <v>1</v>
      </c>
      <c r="Z53">
        <v>2</v>
      </c>
      <c r="AA53">
        <v>3</v>
      </c>
      <c r="AB53">
        <v>1</v>
      </c>
      <c r="AC53">
        <v>2</v>
      </c>
      <c r="AD53">
        <f>(AA53-Z53)/(AC53-AB53)</f>
        <v>1</v>
      </c>
      <c r="AE53">
        <f>Z53-AD53*AB53</f>
        <v>1</v>
      </c>
    </row>
    <row r="54" spans="1:31" ht="17.149999999999999" x14ac:dyDescent="0.55000000000000004">
      <c r="B54" t="s">
        <v>1771</v>
      </c>
      <c r="C54" cm="1">
        <f t="array" ref="C54">INDEX(FLT_Cons,$S53,$U55)</f>
        <v>120</v>
      </c>
      <c r="D54" t="s">
        <v>511</v>
      </c>
      <c r="E54" s="20">
        <f t="shared" ref="E54:P54" si="63">VLOOKUP(VLOOKUP($C53,Terminal_X_Ref,2,FALSE)&amp;$D54,Weather_Data,$AD54*E$3+$AE54,FALSE)+459.6</f>
        <v>508.70000000000005</v>
      </c>
      <c r="F54" s="20">
        <f t="shared" si="63"/>
        <v>510.90000000000003</v>
      </c>
      <c r="G54" s="20">
        <f t="shared" si="63"/>
        <v>512.30000000000007</v>
      </c>
      <c r="H54" s="20">
        <f t="shared" si="63"/>
        <v>514.9</v>
      </c>
      <c r="I54" s="20">
        <f t="shared" si="63"/>
        <v>519.4</v>
      </c>
      <c r="J54" s="20">
        <f t="shared" si="63"/>
        <v>522.80000000000007</v>
      </c>
      <c r="K54" s="20">
        <f t="shared" si="63"/>
        <v>526.4</v>
      </c>
      <c r="L54" s="20">
        <f t="shared" si="63"/>
        <v>527.30000000000007</v>
      </c>
      <c r="M54" s="20">
        <f t="shared" si="63"/>
        <v>526.4</v>
      </c>
      <c r="N54" s="20">
        <f t="shared" si="63"/>
        <v>519.6</v>
      </c>
      <c r="O54" s="20">
        <f t="shared" si="63"/>
        <v>512.80000000000007</v>
      </c>
      <c r="P54" s="20">
        <f t="shared" si="63"/>
        <v>508.20000000000005</v>
      </c>
      <c r="Q54" s="20">
        <f t="shared" ref="Q54:Q58" si="64">AVERAGE(E54:P54)</f>
        <v>517.47500000000002</v>
      </c>
      <c r="R54">
        <f>R53+1</f>
        <v>50</v>
      </c>
      <c r="T54" t="s">
        <v>549</v>
      </c>
      <c r="U54">
        <v>3</v>
      </c>
      <c r="X54" t="s">
        <v>551</v>
      </c>
      <c r="Y54">
        <v>2</v>
      </c>
      <c r="Z54">
        <f>Z53</f>
        <v>2</v>
      </c>
      <c r="AA54">
        <f t="shared" ref="AA54:AE54" si="65">AA53</f>
        <v>3</v>
      </c>
      <c r="AB54">
        <f t="shared" si="65"/>
        <v>1</v>
      </c>
      <c r="AC54">
        <f t="shared" si="65"/>
        <v>2</v>
      </c>
      <c r="AD54">
        <f t="shared" si="65"/>
        <v>1</v>
      </c>
      <c r="AE54">
        <f t="shared" si="65"/>
        <v>1</v>
      </c>
    </row>
    <row r="55" spans="1:31" x14ac:dyDescent="0.4">
      <c r="B55" t="s">
        <v>231</v>
      </c>
      <c r="C55" cm="1">
        <f t="array" ref="C55">INDEX(FLT_Cons,$S53,$U56)</f>
        <v>39</v>
      </c>
      <c r="D55" t="s">
        <v>260</v>
      </c>
      <c r="E55" s="20">
        <f t="shared" ref="E55:P55" si="66">VLOOKUP(VLOOKUP($C53,Terminal_X_Ref,2,FALSE)&amp;$D55,Weather_Data,$AD53*E$3+$AE53,FALSE)</f>
        <v>343</v>
      </c>
      <c r="F55" s="20">
        <f t="shared" si="66"/>
        <v>600</v>
      </c>
      <c r="G55" s="20">
        <f t="shared" si="66"/>
        <v>877</v>
      </c>
      <c r="H55" s="20">
        <f t="shared" si="66"/>
        <v>1252</v>
      </c>
      <c r="I55" s="20">
        <f t="shared" si="66"/>
        <v>1537</v>
      </c>
      <c r="J55" s="20">
        <f t="shared" si="66"/>
        <v>1627</v>
      </c>
      <c r="K55" s="20">
        <f t="shared" si="66"/>
        <v>1708</v>
      </c>
      <c r="L55" s="20">
        <f t="shared" si="66"/>
        <v>1492</v>
      </c>
      <c r="M55" s="20">
        <f t="shared" si="66"/>
        <v>1196</v>
      </c>
      <c r="N55" s="20">
        <f t="shared" si="66"/>
        <v>728</v>
      </c>
      <c r="O55" s="20">
        <f t="shared" si="66"/>
        <v>391</v>
      </c>
      <c r="P55" s="20">
        <f t="shared" si="66"/>
        <v>302</v>
      </c>
      <c r="Q55" s="20">
        <f t="shared" si="64"/>
        <v>1004.4166666666666</v>
      </c>
      <c r="R55">
        <f t="shared" ref="R55:R64" si="67">R54+1</f>
        <v>51</v>
      </c>
      <c r="T55" t="s">
        <v>1747</v>
      </c>
      <c r="U55">
        <v>5</v>
      </c>
      <c r="X55" t="s">
        <v>1776</v>
      </c>
      <c r="Y55">
        <v>1</v>
      </c>
    </row>
    <row r="56" spans="1:31" ht="17.149999999999999" x14ac:dyDescent="0.55000000000000004">
      <c r="B56" t="s">
        <v>1521</v>
      </c>
      <c r="C56" t="str" cm="1">
        <f t="array" ref="C56">INDEX(FLT_Cons,$S53,$U57)</f>
        <v>White</v>
      </c>
      <c r="D56" t="s">
        <v>524</v>
      </c>
      <c r="E56" s="20">
        <f>AVERAGE(E53:E54)</f>
        <v>503.5</v>
      </c>
      <c r="F56" s="20">
        <f t="shared" ref="F56:P56" si="68">AVERAGE(F53:F54)</f>
        <v>504.30000000000007</v>
      </c>
      <c r="G56" s="20">
        <f t="shared" si="68"/>
        <v>505.70000000000005</v>
      </c>
      <c r="H56" s="20">
        <f t="shared" si="68"/>
        <v>508.2</v>
      </c>
      <c r="I56" s="20">
        <f t="shared" si="68"/>
        <v>512.75</v>
      </c>
      <c r="J56" s="20">
        <f t="shared" si="68"/>
        <v>516.55000000000007</v>
      </c>
      <c r="K56" s="20">
        <f t="shared" si="68"/>
        <v>520.04999999999995</v>
      </c>
      <c r="L56" s="20">
        <f t="shared" si="68"/>
        <v>520.5</v>
      </c>
      <c r="M56" s="20">
        <f t="shared" si="68"/>
        <v>518.20000000000005</v>
      </c>
      <c r="N56" s="20">
        <f t="shared" si="68"/>
        <v>512.25</v>
      </c>
      <c r="O56" s="20">
        <f t="shared" si="68"/>
        <v>506.70000000000005</v>
      </c>
      <c r="P56" s="20">
        <f t="shared" si="68"/>
        <v>503.20000000000005</v>
      </c>
      <c r="Q56" s="20">
        <f t="shared" si="64"/>
        <v>510.99166666666662</v>
      </c>
      <c r="R56">
        <f t="shared" si="67"/>
        <v>52</v>
      </c>
      <c r="T56" t="s">
        <v>231</v>
      </c>
      <c r="U56">
        <v>6</v>
      </c>
      <c r="X56" t="s">
        <v>1777</v>
      </c>
      <c r="Y56">
        <v>2</v>
      </c>
    </row>
    <row r="57" spans="1:31" ht="17.149999999999999" x14ac:dyDescent="0.55000000000000004">
      <c r="B57" t="s">
        <v>1652</v>
      </c>
      <c r="C57" t="str" cm="1">
        <f t="array" ref="C57">INDEX(FLT_Cons,$S53,$U58)</f>
        <v>Average</v>
      </c>
      <c r="D57" t="s">
        <v>525</v>
      </c>
      <c r="E57" s="20" cm="1">
        <f t="array" ref="E57">IF(NOT(ISBLANK(INDEX(FLT_Prod_Info,$W53,E$3*$Y57+$Y58))),INDEX(FLT_Prod_Info,$W53,E$3*$Y57+$Y58)+459.6,IF($C60&lt;&gt;"External Floating Roof",E56+0.003*$C64*E55,IF(C61&lt;&gt;"Pontoon",E56+(0.71*$C63*E55+0.485*($C55/$C54)*$C62*E55)/(170*$C55/$C54+45),E56+(0.39*$C63*E55+0.485*($C55/$C54)*$C62*E55)/(170*$C55/$C54+45))))</f>
        <v>503.75725</v>
      </c>
      <c r="F57" s="20" cm="1">
        <f t="array" ref="F57">IF(NOT(ISBLANK(INDEX(FLT_Prod_Info,$W53,F$3*$Y57+$Y58))),INDEX(FLT_Prod_Info,$W53,F$3*$Y57+$Y58)+459.6,IF($C60&lt;&gt;"External Floating Roof",F56+0.003*$C64*F55,IF(D61&lt;&gt;"Pontoon",F56+(0.71*$C63*F55+0.485*($C55/$C54)*$C62*F55)/(170*$C55/$C54+45),F56+(0.39*$C63*F55+0.485*($C55/$C54)*$C62*F55)/(170*$C55/$C54+45))))</f>
        <v>504.75000000000006</v>
      </c>
      <c r="G57" s="20" cm="1">
        <f t="array" ref="G57">IF(NOT(ISBLANK(INDEX(FLT_Prod_Info,$W53,G$3*$Y57+$Y58))),INDEX(FLT_Prod_Info,$W53,G$3*$Y57+$Y58)+459.6,IF($C60&lt;&gt;"External Floating Roof",G56+0.003*$C64*G55,IF(E61&lt;&gt;"Pontoon",G56+(0.71*$C63*G55+0.485*($C55/$C54)*$C62*G55)/(170*$C55/$C54+45),G56+(0.39*$C63*G55+0.485*($C55/$C54)*$C62*G55)/(170*$C55/$C54+45))))</f>
        <v>506.35775000000007</v>
      </c>
      <c r="H57" s="20" cm="1">
        <f t="array" ref="H57">IF(NOT(ISBLANK(INDEX(FLT_Prod_Info,$W53,H$3*$Y57+$Y58))),INDEX(FLT_Prod_Info,$W53,H$3*$Y57+$Y58)+459.6,IF($C60&lt;&gt;"External Floating Roof",H56+0.003*$C64*H55,IF(F61&lt;&gt;"Pontoon",H56+(0.71*$C63*H55+0.485*($C55/$C54)*$C62*H55)/(170*$C55/$C54+45),H56+(0.39*$C63*H55+0.485*($C55/$C54)*$C62*H55)/(170*$C55/$C54+45))))</f>
        <v>509.13900000000001</v>
      </c>
      <c r="I57" s="20" cm="1">
        <f t="array" ref="I57">IF(NOT(ISBLANK(INDEX(FLT_Prod_Info,$W53,I$3*$Y57+$Y58))),INDEX(FLT_Prod_Info,$W53,I$3*$Y57+$Y58)+459.6,IF($C60&lt;&gt;"External Floating Roof",I56+0.003*$C64*I55,IF(G61&lt;&gt;"Pontoon",I56+(0.71*$C63*I55+0.485*($C55/$C54)*$C62*I55)/(170*$C55/$C54+45),I56+(0.39*$C63*I55+0.485*($C55/$C54)*$C62*I55)/(170*$C55/$C54+45))))</f>
        <v>513.90274999999997</v>
      </c>
      <c r="J57" s="20" cm="1">
        <f t="array" ref="J57">IF(NOT(ISBLANK(INDEX(FLT_Prod_Info,$W53,J$3*$Y57+$Y58))),INDEX(FLT_Prod_Info,$W53,J$3*$Y57+$Y58)+459.6,IF($C60&lt;&gt;"External Floating Roof",J56+0.003*$C64*J55,IF(H61&lt;&gt;"Pontoon",J56+(0.71*$C63*J55+0.485*($C55/$C54)*$C62*J55)/(170*$C55/$C54+45),J56+(0.39*$C63*J55+0.485*($C55/$C54)*$C62*J55)/(170*$C55/$C54+45))))</f>
        <v>517.77025000000003</v>
      </c>
      <c r="K57" s="20" cm="1">
        <f t="array" ref="K57">IF(NOT(ISBLANK(INDEX(FLT_Prod_Info,$W53,K$3*$Y57+$Y58))),INDEX(FLT_Prod_Info,$W53,K$3*$Y57+$Y58)+459.6,IF($C60&lt;&gt;"External Floating Roof",K56+0.003*$C64*K55,IF(I61&lt;&gt;"Pontoon",K56+(0.71*$C63*K55+0.485*($C55/$C54)*$C62*K55)/(170*$C55/$C54+45),K56+(0.39*$C63*K55+0.485*($C55/$C54)*$C62*K55)/(170*$C55/$C54+45))))</f>
        <v>521.3309999999999</v>
      </c>
      <c r="L57" s="20" cm="1">
        <f t="array" ref="L57">IF(NOT(ISBLANK(INDEX(FLT_Prod_Info,$W53,L$3*$Y57+$Y58))),INDEX(FLT_Prod_Info,$W53,L$3*$Y57+$Y58)+459.6,IF($C60&lt;&gt;"External Floating Roof",L56+0.003*$C64*L55,IF(J61&lt;&gt;"Pontoon",L56+(0.71*$C63*L55+0.485*($C55/$C54)*$C62*L55)/(170*$C55/$C54+45),L56+(0.39*$C63*L55+0.485*($C55/$C54)*$C62*L55)/(170*$C55/$C54+45))))</f>
        <v>521.61900000000003</v>
      </c>
      <c r="M57" s="20" cm="1">
        <f t="array" ref="M57">IF(NOT(ISBLANK(INDEX(FLT_Prod_Info,$W53,M$3*$Y57+$Y58))),INDEX(FLT_Prod_Info,$W53,M$3*$Y57+$Y58)+459.6,IF($C60&lt;&gt;"External Floating Roof",M56+0.003*$C64*M55,IF(K61&lt;&gt;"Pontoon",M56+(0.71*$C63*M55+0.485*($C55/$C54)*$C62*M55)/(170*$C55/$C54+45),M56+(0.39*$C63*M55+0.485*($C55/$C54)*$C62*M55)/(170*$C55/$C54+45))))</f>
        <v>519.09700000000009</v>
      </c>
      <c r="N57" s="20" cm="1">
        <f t="array" ref="N57">IF(NOT(ISBLANK(INDEX(FLT_Prod_Info,$W53,N$3*$Y57+$Y58))),INDEX(FLT_Prod_Info,$W53,N$3*$Y57+$Y58)+459.6,IF($C60&lt;&gt;"External Floating Roof",N56+0.003*$C64*N55,IF(L61&lt;&gt;"Pontoon",N56+(0.71*$C63*N55+0.485*($C55/$C54)*$C62*N55)/(170*$C55/$C54+45),N56+(0.39*$C63*N55+0.485*($C55/$C54)*$C62*N55)/(170*$C55/$C54+45))))</f>
        <v>512.79600000000005</v>
      </c>
      <c r="O57" s="20" cm="1">
        <f t="array" ref="O57">IF(NOT(ISBLANK(INDEX(FLT_Prod_Info,$W53,O$3*$Y57+$Y58))),INDEX(FLT_Prod_Info,$W53,O$3*$Y57+$Y58)+459.6,IF($C60&lt;&gt;"External Floating Roof",O56+0.003*$C64*O55,IF(M61&lt;&gt;"Pontoon",O56+(0.71*$C63*O55+0.485*($C55/$C54)*$C62*O55)/(170*$C55/$C54+45),O56+(0.39*$C63*O55+0.485*($C55/$C54)*$C62*O55)/(170*$C55/$C54+45))))</f>
        <v>506.99325000000005</v>
      </c>
      <c r="P57" s="20" cm="1">
        <f t="array" ref="P57">IF(NOT(ISBLANK(INDEX(FLT_Prod_Info,$W53,P$3*$Y57+$Y58))),INDEX(FLT_Prod_Info,$W53,P$3*$Y57+$Y58)+459.6,IF($C60&lt;&gt;"External Floating Roof",P56+0.003*$C64*P55,IF(N61&lt;&gt;"Pontoon",P56+(0.71*$C63*P55+0.485*($C55/$C54)*$C62*P55)/(170*$C55/$C54+45),P56+(0.39*$C63*P55+0.485*($C55/$C54)*$C62*P55)/(170*$C55/$C54+45))))</f>
        <v>503.42650000000003</v>
      </c>
      <c r="Q57" s="20">
        <f t="shared" si="64"/>
        <v>511.74497916666661</v>
      </c>
      <c r="R57">
        <f t="shared" si="67"/>
        <v>53</v>
      </c>
      <c r="T57" t="s">
        <v>1521</v>
      </c>
      <c r="U57">
        <v>8</v>
      </c>
      <c r="X57" t="s">
        <v>541</v>
      </c>
      <c r="Y57">
        <f>(Y54-Y53)/(Y56-Y55)</f>
        <v>1</v>
      </c>
    </row>
    <row r="58" spans="1:31" ht="17.149999999999999" x14ac:dyDescent="0.55000000000000004">
      <c r="B58" t="s">
        <v>1522</v>
      </c>
      <c r="C58" t="str" cm="1">
        <f t="array" ref="C58">INDEX(FLT_Cons,$S53,$U59)</f>
        <v>White</v>
      </c>
      <c r="D58" t="s">
        <v>552</v>
      </c>
      <c r="E58" s="20">
        <f>IF($C60&lt;&gt;"External Floating Roof",((2.86*($C55/$C54)+1.43)*E56+(3.52*($C55/$C54)+3.79)*E57+0.027*$C63*E55+0.017*($C55/$C54)*$C62*E55)/(6.38*($C55/$C54)+5.22),IF($C61="Pontoon",0.7*E56+0.3*E57+0.008*$C63*E55,0.3*E56+0.7*E57+0.009*$C63*E55))</f>
        <v>504.05642561870161</v>
      </c>
      <c r="F58" s="20">
        <f t="shared" ref="F58" si="69">IF($C60&lt;&gt;"External Floating Roof",((2.86*($C55/$C54)+1.43)*F56+(3.52*($C55/$C54)+3.79)*F57+0.027*$C63*F55+0.017*($C55/$C54)*$C62*F55)/(6.38*($C55/$C54)+5.22),IF($C61="Pontoon",0.7*F56+0.3*F57+0.008*$C63*F55,0.3*F56+0.7*F57+0.009*$C63*F55))</f>
        <v>505.27333927469675</v>
      </c>
      <c r="G58" s="20">
        <f t="shared" ref="G58" si="70">IF($C60&lt;&gt;"External Floating Roof",((2.86*($C55/$C54)+1.43)*G56+(3.52*($C55/$C54)+3.79)*G57+0.027*$C63*G55+0.017*($C55/$C54)*$C62*G55)/(6.38*($C55/$C54)+5.22),IF($C61="Pontoon",0.7*G56+0.3*G57+0.008*$C63*G55,0.3*G56+0.7*G57+0.009*$C63*G55))</f>
        <v>507.1226975731816</v>
      </c>
      <c r="H58" s="20">
        <f t="shared" ref="H58" si="71">IF($C60&lt;&gt;"External Floating Roof",((2.86*($C55/$C54)+1.43)*H56+(3.52*($C55/$C54)+3.79)*H57+0.027*$C63*H55+0.017*($C55/$C54)*$C62*H55)/(6.38*($C55/$C54)+5.22),IF($C61="Pontoon",0.7*H56+0.3*H57+0.008*$C63*H55,0.3*H56+0.7*H57+0.009*$C63*H55))</f>
        <v>510.23103461986699</v>
      </c>
      <c r="I58" s="20">
        <f t="shared" ref="I58" si="72">IF($C60&lt;&gt;"External Floating Roof",((2.86*($C55/$C54)+1.43)*I56+(3.52*($C55/$C54)+3.79)*I57+0.027*$C63*I55+0.017*($C55/$C54)*$C62*I55)/(6.38*($C55/$C54)+5.22),IF($C61="Pontoon",0.7*I56+0.3*I57+0.008*$C63*I55,0.3*I56+0.7*I57+0.009*$C63*I55))</f>
        <v>515.2433707753479</v>
      </c>
      <c r="J58" s="20">
        <f t="shared" ref="J58" si="73">IF($C60&lt;&gt;"External Floating Roof",((2.86*($C55/$C54)+1.43)*J56+(3.52*($C55/$C54)+3.79)*J57+0.027*$C63*J55+0.017*($C55/$C54)*$C62*J55)/(6.38*($C55/$C54)+5.22),IF($C61="Pontoon",0.7*J56+0.3*J57+0.008*$C63*J55,0.3*J56+0.7*J57+0.009*$C63*J55))</f>
        <v>519.18937166655257</v>
      </c>
      <c r="K58" s="20">
        <f t="shared" ref="K58" si="74">IF($C60&lt;&gt;"External Floating Roof",((2.86*($C55/$C54)+1.43)*K56+(3.52*($C55/$C54)+3.79)*K57+0.027*$C63*K55+0.017*($C55/$C54)*$C62*K55)/(6.38*($C55/$C54)+5.22),IF($C61="Pontoon",0.7*K56+0.3*K57+0.008*$C63*K55,0.3*K56+0.7*K57+0.009*$C63*K55))</f>
        <v>522.82077246863639</v>
      </c>
      <c r="L58" s="20">
        <f t="shared" ref="L58" si="75">IF($C60&lt;&gt;"External Floating Roof",((2.86*($C55/$C54)+1.43)*L56+(3.52*($C55/$C54)+3.79)*L57+0.027*$C63*L55+0.017*($C55/$C54)*$C62*L55)/(6.38*($C55/$C54)+5.22),IF($C61="Pontoon",0.7*L56+0.3*L57+0.008*$C63*L55,0.3*L56+0.7*L57+0.009*$C63*L55))</f>
        <v>522.92037032974565</v>
      </c>
      <c r="M58" s="20">
        <f t="shared" ref="M58" si="76">IF($C60&lt;&gt;"External Floating Roof",((2.86*($C55/$C54)+1.43)*M56+(3.52*($C55/$C54)+3.79)*M57+0.027*$C63*M55+0.017*($C55/$C54)*$C62*M55)/(6.38*($C55/$C54)+5.22),IF($C61="Pontoon",0.7*M56+0.3*M57+0.008*$C63*M55,0.3*M56+0.7*M57+0.009*$C63*M55))</f>
        <v>520.1401896208954</v>
      </c>
      <c r="N58" s="20">
        <f t="shared" ref="N58" si="77">IF($C60&lt;&gt;"External Floating Roof",((2.86*($C55/$C54)+1.43)*N56+(3.52*($C55/$C54)+3.79)*N57+0.027*$C63*N55+0.017*($C55/$C54)*$C62*N55)/(6.38*($C55/$C54)+5.22),IF($C61="Pontoon",0.7*N56+0.3*N57+0.008*$C63*N55,0.3*N56+0.7*N57+0.009*$C63*N55))</f>
        <v>513.43098498663198</v>
      </c>
      <c r="O58" s="20">
        <f t="shared" ref="O58" si="78">IF($C60&lt;&gt;"External Floating Roof",((2.86*($C55/$C54)+1.43)*O56+(3.52*($C55/$C54)+3.79)*O57+0.027*$C63*O55+0.017*($C55/$C54)*$C62*O55)/(6.38*($C55/$C54)+5.22),IF($C61="Pontoon",0.7*O56+0.3*O57+0.008*$C63*O55,0.3*O56+0.7*O57+0.009*$C63*O55))</f>
        <v>507.33429276067739</v>
      </c>
      <c r="P58" s="20">
        <f t="shared" ref="P58" si="79">IF($C60&lt;&gt;"External Floating Roof",((2.86*($C55/$C54)+1.43)*P56+(3.52*($C55/$C54)+3.79)*P57+0.027*$C63*P55+0.017*($C55/$C54)*$C62*P55)/(6.38*($C55/$C54)+5.22),IF($C61="Pontoon",0.7*P56+0.3*P57+0.008*$C63*P55,0.3*P56+0.7*P57+0.009*$C63*P55))</f>
        <v>503.68991410159731</v>
      </c>
      <c r="Q58" s="20">
        <f t="shared" si="64"/>
        <v>512.62106364971089</v>
      </c>
      <c r="R58">
        <f t="shared" si="67"/>
        <v>54</v>
      </c>
      <c r="T58" t="s">
        <v>1652</v>
      </c>
      <c r="U58">
        <v>9</v>
      </c>
      <c r="X58" t="s">
        <v>542</v>
      </c>
      <c r="Y58">
        <f>Y56*Y57-Y54</f>
        <v>0</v>
      </c>
    </row>
    <row r="59" spans="1:31" x14ac:dyDescent="0.4">
      <c r="B59" t="s">
        <v>1772</v>
      </c>
      <c r="C59" t="str" cm="1">
        <f t="array" ref="C59">INDEX(FLT_Cons,$S53,$U60)</f>
        <v>Average</v>
      </c>
      <c r="R59">
        <f t="shared" si="67"/>
        <v>55</v>
      </c>
      <c r="T59" t="s">
        <v>1522</v>
      </c>
      <c r="U59">
        <v>10</v>
      </c>
    </row>
    <row r="60" spans="1:31" x14ac:dyDescent="0.4">
      <c r="B60" t="s">
        <v>1507</v>
      </c>
      <c r="C60" t="str" cm="1">
        <f t="array" ref="C60">INDEX(FLT_Cons,$S53,$U61)</f>
        <v>Internal Floating Roof</v>
      </c>
      <c r="R60">
        <f t="shared" si="67"/>
        <v>56</v>
      </c>
      <c r="T60" t="s">
        <v>1772</v>
      </c>
      <c r="U60">
        <v>11</v>
      </c>
    </row>
    <row r="61" spans="1:31" x14ac:dyDescent="0.4">
      <c r="B61" t="s">
        <v>1525</v>
      </c>
      <c r="C61" t="str" cm="1">
        <f t="array" ref="C61">INDEX(FLT_Cons,$S53,$U62)</f>
        <v>N/A - IFR</v>
      </c>
      <c r="R61">
        <f t="shared" si="67"/>
        <v>57</v>
      </c>
      <c r="T61" t="s">
        <v>1507</v>
      </c>
      <c r="U61">
        <v>13</v>
      </c>
    </row>
    <row r="62" spans="1:31" ht="17.149999999999999" x14ac:dyDescent="0.4">
      <c r="B62" s="66" t="s">
        <v>514</v>
      </c>
      <c r="C62" cm="1">
        <f t="array" ref="C62">INDEX(Tbl_71_6,MATCH(C56,Paint_Color,0),MATCH(C57,Paint_Condition,0)+1)</f>
        <v>0.25</v>
      </c>
      <c r="R62">
        <f t="shared" si="67"/>
        <v>58</v>
      </c>
      <c r="T62" t="s">
        <v>1525</v>
      </c>
      <c r="U62">
        <v>16</v>
      </c>
    </row>
    <row r="63" spans="1:31" ht="17.149999999999999" x14ac:dyDescent="0.4">
      <c r="B63" s="66" t="s">
        <v>513</v>
      </c>
      <c r="C63" cm="1">
        <f t="array" ref="C63">INDEX(Tbl_71_6,MATCH(C58,Paint_Color,0),MATCH(C59,Paint_Condition,0)+1)</f>
        <v>0.25</v>
      </c>
      <c r="R63">
        <f t="shared" si="67"/>
        <v>59</v>
      </c>
    </row>
    <row r="64" spans="1:31" x14ac:dyDescent="0.4">
      <c r="A64" s="11"/>
      <c r="B64" s="207" t="s">
        <v>558</v>
      </c>
      <c r="C64" s="11">
        <f>AVERAGE(C62:C63)</f>
        <v>0.25</v>
      </c>
      <c r="D64" s="11"/>
      <c r="E64" s="11"/>
      <c r="F64" s="11"/>
      <c r="G64" s="11"/>
      <c r="H64" s="11"/>
      <c r="I64" s="11"/>
      <c r="J64" s="11"/>
      <c r="K64" s="11"/>
      <c r="L64" s="11"/>
      <c r="M64" s="11"/>
      <c r="N64" s="11"/>
      <c r="O64" s="11"/>
      <c r="P64" s="11"/>
      <c r="Q64" s="11"/>
      <c r="R64" s="11">
        <f t="shared" si="67"/>
        <v>60</v>
      </c>
      <c r="S64" s="11"/>
      <c r="T64" s="11"/>
      <c r="U64" s="11"/>
      <c r="V64" s="11"/>
      <c r="W64" s="11"/>
      <c r="X64" s="11"/>
      <c r="Y64" s="11"/>
      <c r="Z64" s="11"/>
      <c r="AA64" s="11"/>
      <c r="AB64" s="11"/>
      <c r="AC64" s="11"/>
      <c r="AD64" s="11"/>
      <c r="AE64" s="11"/>
    </row>
    <row r="65" spans="1:31" ht="17.149999999999999" x14ac:dyDescent="0.55000000000000004">
      <c r="A65" t="str" cm="1">
        <f t="array" ref="A65">INDEX(FLT_Cons,$S65,$U65)</f>
        <v>FLT - 6</v>
      </c>
      <c r="B65" t="s">
        <v>4</v>
      </c>
      <c r="C65" t="str" cm="1">
        <f t="array" ref="C65">INDEX(FLT_Cons,$S65,$U66)</f>
        <v>Portland</v>
      </c>
      <c r="D65" t="s">
        <v>510</v>
      </c>
      <c r="E65" s="20">
        <f t="shared" ref="E65:P65" si="80">VLOOKUP(VLOOKUP($C65,Terminal_X_Ref,2,FALSE)&amp;$D65,Weather_Data,$AD65*E$3+$AE65,FALSE)+459.6</f>
        <v>498.3</v>
      </c>
      <c r="F65" s="20">
        <f t="shared" si="80"/>
        <v>497.70000000000005</v>
      </c>
      <c r="G65" s="20">
        <f t="shared" si="80"/>
        <v>499.1</v>
      </c>
      <c r="H65" s="20">
        <f t="shared" si="80"/>
        <v>501.5</v>
      </c>
      <c r="I65" s="20">
        <f t="shared" si="80"/>
        <v>506.1</v>
      </c>
      <c r="J65" s="20">
        <f t="shared" si="80"/>
        <v>510.3</v>
      </c>
      <c r="K65" s="20">
        <f t="shared" si="80"/>
        <v>513.70000000000005</v>
      </c>
      <c r="L65" s="20">
        <f t="shared" si="80"/>
        <v>513.70000000000005</v>
      </c>
      <c r="M65" s="20">
        <f t="shared" si="80"/>
        <v>510</v>
      </c>
      <c r="N65" s="20">
        <f t="shared" si="80"/>
        <v>504.90000000000003</v>
      </c>
      <c r="O65" s="20">
        <f t="shared" si="80"/>
        <v>500.6</v>
      </c>
      <c r="P65" s="20">
        <f t="shared" si="80"/>
        <v>498.20000000000005</v>
      </c>
      <c r="Q65" s="20">
        <f>AVERAGE(E65:P65)</f>
        <v>504.50833333333327</v>
      </c>
      <c r="R65">
        <f>R64+1</f>
        <v>61</v>
      </c>
      <c r="S65">
        <f>S53+1</f>
        <v>6</v>
      </c>
      <c r="T65" s="206" t="s">
        <v>548</v>
      </c>
      <c r="U65">
        <v>1</v>
      </c>
      <c r="V65" t="s">
        <v>1386</v>
      </c>
      <c r="W65">
        <f>W53+12</f>
        <v>72</v>
      </c>
      <c r="X65" t="s">
        <v>550</v>
      </c>
      <c r="Y65">
        <v>1</v>
      </c>
      <c r="Z65">
        <v>2</v>
      </c>
      <c r="AA65">
        <v>3</v>
      </c>
      <c r="AB65">
        <v>1</v>
      </c>
      <c r="AC65">
        <v>2</v>
      </c>
      <c r="AD65">
        <f>(AA65-Z65)/(AC65-AB65)</f>
        <v>1</v>
      </c>
      <c r="AE65">
        <f>Z65-AD65*AB65</f>
        <v>1</v>
      </c>
    </row>
    <row r="66" spans="1:31" ht="17.149999999999999" x14ac:dyDescent="0.55000000000000004">
      <c r="B66" t="s">
        <v>1771</v>
      </c>
      <c r="C66" cm="1">
        <f t="array" ref="C66">INDEX(FLT_Cons,$S65,$U67)</f>
        <v>80</v>
      </c>
      <c r="D66" t="s">
        <v>511</v>
      </c>
      <c r="E66" s="20">
        <f t="shared" ref="E66:P66" si="81">VLOOKUP(VLOOKUP($C65,Terminal_X_Ref,2,FALSE)&amp;$D66,Weather_Data,$AD66*E$3+$AE66,FALSE)+459.6</f>
        <v>508.70000000000005</v>
      </c>
      <c r="F66" s="20">
        <f t="shared" si="81"/>
        <v>510.90000000000003</v>
      </c>
      <c r="G66" s="20">
        <f t="shared" si="81"/>
        <v>512.30000000000007</v>
      </c>
      <c r="H66" s="20">
        <f t="shared" si="81"/>
        <v>514.9</v>
      </c>
      <c r="I66" s="20">
        <f t="shared" si="81"/>
        <v>519.4</v>
      </c>
      <c r="J66" s="20">
        <f t="shared" si="81"/>
        <v>522.80000000000007</v>
      </c>
      <c r="K66" s="20">
        <f t="shared" si="81"/>
        <v>526.4</v>
      </c>
      <c r="L66" s="20">
        <f t="shared" si="81"/>
        <v>527.30000000000007</v>
      </c>
      <c r="M66" s="20">
        <f t="shared" si="81"/>
        <v>526.4</v>
      </c>
      <c r="N66" s="20">
        <f t="shared" si="81"/>
        <v>519.6</v>
      </c>
      <c r="O66" s="20">
        <f t="shared" si="81"/>
        <v>512.80000000000007</v>
      </c>
      <c r="P66" s="20">
        <f t="shared" si="81"/>
        <v>508.20000000000005</v>
      </c>
      <c r="Q66" s="20">
        <f t="shared" ref="Q66:Q70" si="82">AVERAGE(E66:P66)</f>
        <v>517.47500000000002</v>
      </c>
      <c r="R66">
        <f>R65+1</f>
        <v>62</v>
      </c>
      <c r="T66" t="s">
        <v>549</v>
      </c>
      <c r="U66">
        <v>3</v>
      </c>
      <c r="X66" t="s">
        <v>551</v>
      </c>
      <c r="Y66">
        <v>2</v>
      </c>
      <c r="Z66">
        <f>Z65</f>
        <v>2</v>
      </c>
      <c r="AA66">
        <f t="shared" ref="AA66:AE66" si="83">AA65</f>
        <v>3</v>
      </c>
      <c r="AB66">
        <f t="shared" si="83"/>
        <v>1</v>
      </c>
      <c r="AC66">
        <f t="shared" si="83"/>
        <v>2</v>
      </c>
      <c r="AD66">
        <f t="shared" si="83"/>
        <v>1</v>
      </c>
      <c r="AE66">
        <f t="shared" si="83"/>
        <v>1</v>
      </c>
    </row>
    <row r="67" spans="1:31" x14ac:dyDescent="0.4">
      <c r="B67" t="s">
        <v>231</v>
      </c>
      <c r="C67" cm="1">
        <f t="array" ref="C67">INDEX(FLT_Cons,$S65,$U68)</f>
        <v>40</v>
      </c>
      <c r="D67" t="s">
        <v>260</v>
      </c>
      <c r="E67" s="20">
        <f t="shared" ref="E67:P67" si="84">VLOOKUP(VLOOKUP($C65,Terminal_X_Ref,2,FALSE)&amp;$D67,Weather_Data,$AD65*E$3+$AE65,FALSE)</f>
        <v>343</v>
      </c>
      <c r="F67" s="20">
        <f t="shared" si="84"/>
        <v>600</v>
      </c>
      <c r="G67" s="20">
        <f t="shared" si="84"/>
        <v>877</v>
      </c>
      <c r="H67" s="20">
        <f t="shared" si="84"/>
        <v>1252</v>
      </c>
      <c r="I67" s="20">
        <f t="shared" si="84"/>
        <v>1537</v>
      </c>
      <c r="J67" s="20">
        <f t="shared" si="84"/>
        <v>1627</v>
      </c>
      <c r="K67" s="20">
        <f t="shared" si="84"/>
        <v>1708</v>
      </c>
      <c r="L67" s="20">
        <f t="shared" si="84"/>
        <v>1492</v>
      </c>
      <c r="M67" s="20">
        <f t="shared" si="84"/>
        <v>1196</v>
      </c>
      <c r="N67" s="20">
        <f t="shared" si="84"/>
        <v>728</v>
      </c>
      <c r="O67" s="20">
        <f t="shared" si="84"/>
        <v>391</v>
      </c>
      <c r="P67" s="20">
        <f t="shared" si="84"/>
        <v>302</v>
      </c>
      <c r="Q67" s="20">
        <f t="shared" si="82"/>
        <v>1004.4166666666666</v>
      </c>
      <c r="R67">
        <f t="shared" ref="R67:R76" si="85">R66+1</f>
        <v>63</v>
      </c>
      <c r="T67" t="s">
        <v>1747</v>
      </c>
      <c r="U67">
        <v>5</v>
      </c>
      <c r="X67" t="s">
        <v>1776</v>
      </c>
      <c r="Y67">
        <v>1</v>
      </c>
    </row>
    <row r="68" spans="1:31" ht="17.149999999999999" x14ac:dyDescent="0.55000000000000004">
      <c r="B68" t="s">
        <v>1521</v>
      </c>
      <c r="C68" t="str" cm="1">
        <f t="array" ref="C68">INDEX(FLT_Cons,$S65,$U69)</f>
        <v>White</v>
      </c>
      <c r="D68" t="s">
        <v>524</v>
      </c>
      <c r="E68" s="20">
        <f>AVERAGE(E65:E66)</f>
        <v>503.5</v>
      </c>
      <c r="F68" s="20">
        <f t="shared" ref="F68:P68" si="86">AVERAGE(F65:F66)</f>
        <v>504.30000000000007</v>
      </c>
      <c r="G68" s="20">
        <f t="shared" si="86"/>
        <v>505.70000000000005</v>
      </c>
      <c r="H68" s="20">
        <f t="shared" si="86"/>
        <v>508.2</v>
      </c>
      <c r="I68" s="20">
        <f t="shared" si="86"/>
        <v>512.75</v>
      </c>
      <c r="J68" s="20">
        <f t="shared" si="86"/>
        <v>516.55000000000007</v>
      </c>
      <c r="K68" s="20">
        <f t="shared" si="86"/>
        <v>520.04999999999995</v>
      </c>
      <c r="L68" s="20">
        <f t="shared" si="86"/>
        <v>520.5</v>
      </c>
      <c r="M68" s="20">
        <f t="shared" si="86"/>
        <v>518.20000000000005</v>
      </c>
      <c r="N68" s="20">
        <f t="shared" si="86"/>
        <v>512.25</v>
      </c>
      <c r="O68" s="20">
        <f t="shared" si="86"/>
        <v>506.70000000000005</v>
      </c>
      <c r="P68" s="20">
        <f t="shared" si="86"/>
        <v>503.20000000000005</v>
      </c>
      <c r="Q68" s="20">
        <f t="shared" si="82"/>
        <v>510.99166666666662</v>
      </c>
      <c r="R68">
        <f t="shared" si="85"/>
        <v>64</v>
      </c>
      <c r="T68" t="s">
        <v>231</v>
      </c>
      <c r="U68">
        <v>6</v>
      </c>
      <c r="X68" t="s">
        <v>1777</v>
      </c>
      <c r="Y68">
        <v>2</v>
      </c>
    </row>
    <row r="69" spans="1:31" ht="17.149999999999999" x14ac:dyDescent="0.55000000000000004">
      <c r="B69" t="s">
        <v>1652</v>
      </c>
      <c r="C69" t="str" cm="1">
        <f t="array" ref="C69">INDEX(FLT_Cons,$S65,$U70)</f>
        <v>Average</v>
      </c>
      <c r="D69" t="s">
        <v>525</v>
      </c>
      <c r="E69" s="20" cm="1">
        <f t="array" ref="E69">IF(NOT(ISBLANK(INDEX(FLT_Prod_Info,$W65,E$3*$Y69+$Y70))),INDEX(FLT_Prod_Info,$W65,E$3*$Y69+$Y70)+459.6,IF($C72&lt;&gt;"External Floating Roof",E68+0.003*$C76*E67,IF(C73&lt;&gt;"Pontoon",E68+(0.71*$C75*E67+0.485*($C67/$C66)*$C74*E67)/(170*$C67/$C66+45),E68+(0.39*$C75*E67+0.485*($C67/$C66)*$C74*E67)/(170*$C67/$C66+45))))</f>
        <v>503.75725</v>
      </c>
      <c r="F69" s="20" cm="1">
        <f t="array" ref="F69">IF(NOT(ISBLANK(INDEX(FLT_Prod_Info,$W65,F$3*$Y69+$Y70))),INDEX(FLT_Prod_Info,$W65,F$3*$Y69+$Y70)+459.6,IF($C72&lt;&gt;"External Floating Roof",F68+0.003*$C76*F67,IF(D73&lt;&gt;"Pontoon",F68+(0.71*$C75*F67+0.485*($C67/$C66)*$C74*F67)/(170*$C67/$C66+45),F68+(0.39*$C75*F67+0.485*($C67/$C66)*$C74*F67)/(170*$C67/$C66+45))))</f>
        <v>504.75000000000006</v>
      </c>
      <c r="G69" s="20" cm="1">
        <f t="array" ref="G69">IF(NOT(ISBLANK(INDEX(FLT_Prod_Info,$W65,G$3*$Y69+$Y70))),INDEX(FLT_Prod_Info,$W65,G$3*$Y69+$Y70)+459.6,IF($C72&lt;&gt;"External Floating Roof",G68+0.003*$C76*G67,IF(E73&lt;&gt;"Pontoon",G68+(0.71*$C75*G67+0.485*($C67/$C66)*$C74*G67)/(170*$C67/$C66+45),G68+(0.39*$C75*G67+0.485*($C67/$C66)*$C74*G67)/(170*$C67/$C66+45))))</f>
        <v>506.35775000000007</v>
      </c>
      <c r="H69" s="20" cm="1">
        <f t="array" ref="H69">IF(NOT(ISBLANK(INDEX(FLT_Prod_Info,$W65,H$3*$Y69+$Y70))),INDEX(FLT_Prod_Info,$W65,H$3*$Y69+$Y70)+459.6,IF($C72&lt;&gt;"External Floating Roof",H68+0.003*$C76*H67,IF(F73&lt;&gt;"Pontoon",H68+(0.71*$C75*H67+0.485*($C67/$C66)*$C74*H67)/(170*$C67/$C66+45),H68+(0.39*$C75*H67+0.485*($C67/$C66)*$C74*H67)/(170*$C67/$C66+45))))</f>
        <v>509.13900000000001</v>
      </c>
      <c r="I69" s="20" cm="1">
        <f t="array" ref="I69">IF(NOT(ISBLANK(INDEX(FLT_Prod_Info,$W65,I$3*$Y69+$Y70))),INDEX(FLT_Prod_Info,$W65,I$3*$Y69+$Y70)+459.6,IF($C72&lt;&gt;"External Floating Roof",I68+0.003*$C76*I67,IF(G73&lt;&gt;"Pontoon",I68+(0.71*$C75*I67+0.485*($C67/$C66)*$C74*I67)/(170*$C67/$C66+45),I68+(0.39*$C75*I67+0.485*($C67/$C66)*$C74*I67)/(170*$C67/$C66+45))))</f>
        <v>513.90274999999997</v>
      </c>
      <c r="J69" s="20" cm="1">
        <f t="array" ref="J69">IF(NOT(ISBLANK(INDEX(FLT_Prod_Info,$W65,J$3*$Y69+$Y70))),INDEX(FLT_Prod_Info,$W65,J$3*$Y69+$Y70)+459.6,IF($C72&lt;&gt;"External Floating Roof",J68+0.003*$C76*J67,IF(H73&lt;&gt;"Pontoon",J68+(0.71*$C75*J67+0.485*($C67/$C66)*$C74*J67)/(170*$C67/$C66+45),J68+(0.39*$C75*J67+0.485*($C67/$C66)*$C74*J67)/(170*$C67/$C66+45))))</f>
        <v>517.77025000000003</v>
      </c>
      <c r="K69" s="20" cm="1">
        <f t="array" ref="K69">IF(NOT(ISBLANK(INDEX(FLT_Prod_Info,$W65,K$3*$Y69+$Y70))),INDEX(FLT_Prod_Info,$W65,K$3*$Y69+$Y70)+459.6,IF($C72&lt;&gt;"External Floating Roof",K68+0.003*$C76*K67,IF(I73&lt;&gt;"Pontoon",K68+(0.71*$C75*K67+0.485*($C67/$C66)*$C74*K67)/(170*$C67/$C66+45),K68+(0.39*$C75*K67+0.485*($C67/$C66)*$C74*K67)/(170*$C67/$C66+45))))</f>
        <v>521.3309999999999</v>
      </c>
      <c r="L69" s="20" cm="1">
        <f t="array" ref="L69">IF(NOT(ISBLANK(INDEX(FLT_Prod_Info,$W65,L$3*$Y69+$Y70))),INDEX(FLT_Prod_Info,$W65,L$3*$Y69+$Y70)+459.6,IF($C72&lt;&gt;"External Floating Roof",L68+0.003*$C76*L67,IF(J73&lt;&gt;"Pontoon",L68+(0.71*$C75*L67+0.485*($C67/$C66)*$C74*L67)/(170*$C67/$C66+45),L68+(0.39*$C75*L67+0.485*($C67/$C66)*$C74*L67)/(170*$C67/$C66+45))))</f>
        <v>521.61900000000003</v>
      </c>
      <c r="M69" s="20" cm="1">
        <f t="array" ref="M69">IF(NOT(ISBLANK(INDEX(FLT_Prod_Info,$W65,M$3*$Y69+$Y70))),INDEX(FLT_Prod_Info,$W65,M$3*$Y69+$Y70)+459.6,IF($C72&lt;&gt;"External Floating Roof",M68+0.003*$C76*M67,IF(K73&lt;&gt;"Pontoon",M68+(0.71*$C75*M67+0.485*($C67/$C66)*$C74*M67)/(170*$C67/$C66+45),M68+(0.39*$C75*M67+0.485*($C67/$C66)*$C74*M67)/(170*$C67/$C66+45))))</f>
        <v>519.09700000000009</v>
      </c>
      <c r="N69" s="20" cm="1">
        <f t="array" ref="N69">IF(NOT(ISBLANK(INDEX(FLT_Prod_Info,$W65,N$3*$Y69+$Y70))),INDEX(FLT_Prod_Info,$W65,N$3*$Y69+$Y70)+459.6,IF($C72&lt;&gt;"External Floating Roof",N68+0.003*$C76*N67,IF(L73&lt;&gt;"Pontoon",N68+(0.71*$C75*N67+0.485*($C67/$C66)*$C74*N67)/(170*$C67/$C66+45),N68+(0.39*$C75*N67+0.485*($C67/$C66)*$C74*N67)/(170*$C67/$C66+45))))</f>
        <v>512.79600000000005</v>
      </c>
      <c r="O69" s="20" cm="1">
        <f t="array" ref="O69">IF(NOT(ISBLANK(INDEX(FLT_Prod_Info,$W65,O$3*$Y69+$Y70))),INDEX(FLT_Prod_Info,$W65,O$3*$Y69+$Y70)+459.6,IF($C72&lt;&gt;"External Floating Roof",O68+0.003*$C76*O67,IF(M73&lt;&gt;"Pontoon",O68+(0.71*$C75*O67+0.485*($C67/$C66)*$C74*O67)/(170*$C67/$C66+45),O68+(0.39*$C75*O67+0.485*($C67/$C66)*$C74*O67)/(170*$C67/$C66+45))))</f>
        <v>506.99325000000005</v>
      </c>
      <c r="P69" s="20" cm="1">
        <f t="array" ref="P69">IF(NOT(ISBLANK(INDEX(FLT_Prod_Info,$W65,P$3*$Y69+$Y70))),INDEX(FLT_Prod_Info,$W65,P$3*$Y69+$Y70)+459.6,IF($C72&lt;&gt;"External Floating Roof",P68+0.003*$C76*P67,IF(N73&lt;&gt;"Pontoon",P68+(0.71*$C75*P67+0.485*($C67/$C66)*$C74*P67)/(170*$C67/$C66+45),P68+(0.39*$C75*P67+0.485*($C67/$C66)*$C74*P67)/(170*$C67/$C66+45))))</f>
        <v>503.42650000000003</v>
      </c>
      <c r="Q69" s="20">
        <f t="shared" si="82"/>
        <v>511.74497916666661</v>
      </c>
      <c r="R69">
        <f t="shared" si="85"/>
        <v>65</v>
      </c>
      <c r="T69" t="s">
        <v>1521</v>
      </c>
      <c r="U69">
        <v>8</v>
      </c>
      <c r="X69" t="s">
        <v>541</v>
      </c>
      <c r="Y69">
        <f>(Y66-Y65)/(Y68-Y67)</f>
        <v>1</v>
      </c>
    </row>
    <row r="70" spans="1:31" ht="17.149999999999999" x14ac:dyDescent="0.55000000000000004">
      <c r="B70" t="s">
        <v>1522</v>
      </c>
      <c r="C70" t="str" cm="1">
        <f t="array" ref="C70">INDEX(FLT_Cons,$S65,$U71)</f>
        <v>White</v>
      </c>
      <c r="D70" t="s">
        <v>552</v>
      </c>
      <c r="E70" s="20">
        <f>IF($C72&lt;&gt;"External Floating Roof",((2.86*($C67/$C66)+1.43)*E68+(3.52*($C67/$C66)+3.79)*E69+0.027*$C75*E67+0.017*($C67/$C66)*$C74*E67)/(6.38*($C67/$C66)+5.22),IF($C73="Pontoon",0.7*E68+0.3*E69+0.008*$C75*E67,0.3*E68+0.7*E69+0.009*$C75*E67))</f>
        <v>504.03173156955995</v>
      </c>
      <c r="F70" s="20">
        <f t="shared" ref="F70" si="87">IF($C72&lt;&gt;"External Floating Roof",((2.86*($C67/$C66)+1.43)*F68+(3.52*($C67/$C66)+3.79)*F69+0.027*$C75*F67+0.017*($C67/$C66)*$C74*F67)/(6.38*($C67/$C66)+5.22),IF($C73="Pontoon",0.7*F68+0.3*F69+0.008*$C75*F67,0.3*F68+0.7*F69+0.009*$C75*F67))</f>
        <v>505.23014268727701</v>
      </c>
      <c r="G70" s="20">
        <f t="shared" ref="G70" si="88">IF($C72&lt;&gt;"External Floating Roof",((2.86*($C67/$C66)+1.43)*G68+(3.52*($C67/$C66)+3.79)*G69+0.027*$C75*G67+0.017*($C67/$C66)*$C74*G67)/(6.38*($C67/$C66)+5.22),IF($C73="Pontoon",0.7*G68+0.3*G69+0.008*$C75*G67,0.3*G68+0.7*G69+0.009*$C75*G67))</f>
        <v>507.05955856123666</v>
      </c>
      <c r="H70" s="20">
        <f t="shared" ref="H70" si="89">IF($C72&lt;&gt;"External Floating Roof",((2.86*($C67/$C66)+1.43)*H68+(3.52*($C67/$C66)+3.79)*H69+0.027*$C75*H67+0.017*($C67/$C66)*$C74*H67)/(6.38*($C67/$C66)+5.22),IF($C73="Pontoon",0.7*H68+0.3*H69+0.008*$C75*H67,0.3*H68+0.7*H69+0.009*$C75*H67))</f>
        <v>510.14089774078479</v>
      </c>
      <c r="I70" s="20">
        <f t="shared" ref="I70" si="90">IF($C72&lt;&gt;"External Floating Roof",((2.86*($C67/$C66)+1.43)*I68+(3.52*($C67/$C66)+3.79)*I69+0.027*$C75*I67+0.017*($C67/$C66)*$C74*I67)/(6.38*($C67/$C66)+5.22),IF($C73="Pontoon",0.7*I68+0.3*I69+0.008*$C75*I67,0.3*I68+0.7*I69+0.009*$C75*I67))</f>
        <v>515.13271551724131</v>
      </c>
      <c r="J70" s="20">
        <f t="shared" ref="J70" si="91">IF($C72&lt;&gt;"External Floating Roof",((2.86*($C67/$C66)+1.43)*J68+(3.52*($C67/$C66)+3.79)*J69+0.027*$C75*J67+0.017*($C67/$C66)*$C74*J67)/(6.38*($C67/$C66)+5.22),IF($C73="Pontoon",0.7*J68+0.3*J69+0.008*$C75*J67,0.3*J68+0.7*J69+0.009*$C75*J67))</f>
        <v>519.07223692033301</v>
      </c>
      <c r="K70" s="20">
        <f t="shared" ref="K70" si="92">IF($C72&lt;&gt;"External Floating Roof",((2.86*($C67/$C66)+1.43)*K68+(3.52*($C67/$C66)+3.79)*K69+0.027*$C75*K67+0.017*($C67/$C66)*$C74*K67)/(6.38*($C67/$C66)+5.22),IF($C73="Pontoon",0.7*K68+0.3*K69+0.008*$C75*K67,0.3*K68+0.7*K69+0.009*$C75*K67))</f>
        <v>522.69780618311529</v>
      </c>
      <c r="L70" s="20">
        <f t="shared" ref="L70" si="93">IF($C72&lt;&gt;"External Floating Roof",((2.86*($C67/$C66)+1.43)*L68+(3.52*($C67/$C66)+3.79)*L69+0.027*$C75*L67+0.017*($C67/$C66)*$C74*L67)/(6.38*($C67/$C66)+5.22),IF($C73="Pontoon",0.7*L68+0.3*L69+0.008*$C75*L67,0.3*L68+0.7*L69+0.009*$C75*L67))</f>
        <v>522.81295481569566</v>
      </c>
      <c r="M70" s="20">
        <f t="shared" ref="M70" si="94">IF($C72&lt;&gt;"External Floating Roof",((2.86*($C67/$C66)+1.43)*M68+(3.52*($C67/$C66)+3.79)*M69+0.027*$C75*M67+0.017*($C67/$C66)*$C74*M67)/(6.38*($C67/$C66)+5.22),IF($C73="Pontoon",0.7*M68+0.3*M69+0.008*$C75*M67,0.3*M68+0.7*M69+0.009*$C75*M67))</f>
        <v>520.05408442330577</v>
      </c>
      <c r="N70" s="20">
        <f t="shared" ref="N70" si="95">IF($C72&lt;&gt;"External Floating Roof",((2.86*($C67/$C66)+1.43)*N68+(3.52*($C67/$C66)+3.79)*N69+0.027*$C75*N67+0.017*($C67/$C66)*$C74*N67)/(6.38*($C67/$C66)+5.22),IF($C73="Pontoon",0.7*N68+0.3*N69+0.008*$C75*N67,0.3*N68+0.7*N69+0.009*$C75*N67))</f>
        <v>513.37857312722929</v>
      </c>
      <c r="O70" s="20">
        <f t="shared" ref="O70" si="96">IF($C72&lt;&gt;"External Floating Roof",((2.86*($C67/$C66)+1.43)*O68+(3.52*($C67/$C66)+3.79)*O69+0.027*$C75*O67+0.017*($C67/$C66)*$C74*O67)/(6.38*($C67/$C66)+5.22),IF($C73="Pontoon",0.7*O68+0.3*O69+0.008*$C75*O67,0.3*O68+0.7*O69+0.009*$C75*O67))</f>
        <v>507.30614298454219</v>
      </c>
      <c r="P70" s="20">
        <f t="shared" ref="P70" si="97">IF($C72&lt;&gt;"External Floating Roof",((2.86*($C67/$C66)+1.43)*P68+(3.52*($C67/$C66)+3.79)*P69+0.027*$C75*P67+0.017*($C67/$C66)*$C74*P67)/(6.38*($C67/$C66)+5.22),IF($C73="Pontoon",0.7*P68+0.3*P69+0.008*$C75*P67,0.3*P68+0.7*P69+0.009*$C75*P67))</f>
        <v>503.66817181926268</v>
      </c>
      <c r="Q70" s="20">
        <f t="shared" si="82"/>
        <v>512.54875136246528</v>
      </c>
      <c r="R70">
        <f t="shared" si="85"/>
        <v>66</v>
      </c>
      <c r="T70" t="s">
        <v>1652</v>
      </c>
      <c r="U70">
        <v>9</v>
      </c>
      <c r="X70" t="s">
        <v>542</v>
      </c>
      <c r="Y70">
        <f>Y68*Y69-Y66</f>
        <v>0</v>
      </c>
    </row>
    <row r="71" spans="1:31" x14ac:dyDescent="0.4">
      <c r="B71" t="s">
        <v>1772</v>
      </c>
      <c r="C71" t="str" cm="1">
        <f t="array" ref="C71">INDEX(FLT_Cons,$S65,$U72)</f>
        <v>Average</v>
      </c>
      <c r="R71">
        <f t="shared" si="85"/>
        <v>67</v>
      </c>
      <c r="T71" t="s">
        <v>1522</v>
      </c>
      <c r="U71">
        <v>10</v>
      </c>
    </row>
    <row r="72" spans="1:31" x14ac:dyDescent="0.4">
      <c r="B72" t="s">
        <v>1507</v>
      </c>
      <c r="C72" t="str" cm="1">
        <f t="array" ref="C72">INDEX(FLT_Cons,$S65,$U73)</f>
        <v>Internal Floating Roof</v>
      </c>
      <c r="R72">
        <f t="shared" si="85"/>
        <v>68</v>
      </c>
      <c r="T72" t="s">
        <v>1772</v>
      </c>
      <c r="U72">
        <v>11</v>
      </c>
    </row>
    <row r="73" spans="1:31" x14ac:dyDescent="0.4">
      <c r="B73" t="s">
        <v>1525</v>
      </c>
      <c r="C73" t="str" cm="1">
        <f t="array" ref="C73">INDEX(FLT_Cons,$S65,$U74)</f>
        <v>N/A - IFR</v>
      </c>
      <c r="R73">
        <f t="shared" si="85"/>
        <v>69</v>
      </c>
      <c r="T73" t="s">
        <v>1507</v>
      </c>
      <c r="U73">
        <v>13</v>
      </c>
    </row>
    <row r="74" spans="1:31" ht="17.149999999999999" x14ac:dyDescent="0.4">
      <c r="B74" s="66" t="s">
        <v>514</v>
      </c>
      <c r="C74" cm="1">
        <f t="array" ref="C74">INDEX(Tbl_71_6,MATCH(C68,Paint_Color,0),MATCH(C69,Paint_Condition,0)+1)</f>
        <v>0.25</v>
      </c>
      <c r="R74">
        <f t="shared" si="85"/>
        <v>70</v>
      </c>
      <c r="T74" t="s">
        <v>1525</v>
      </c>
      <c r="U74">
        <v>16</v>
      </c>
    </row>
    <row r="75" spans="1:31" ht="17.149999999999999" x14ac:dyDescent="0.4">
      <c r="B75" s="66" t="s">
        <v>513</v>
      </c>
      <c r="C75" cm="1">
        <f t="array" ref="C75">INDEX(Tbl_71_6,MATCH(C70,Paint_Color,0),MATCH(C71,Paint_Condition,0)+1)</f>
        <v>0.25</v>
      </c>
      <c r="R75">
        <f t="shared" si="85"/>
        <v>71</v>
      </c>
    </row>
    <row r="76" spans="1:31" x14ac:dyDescent="0.4">
      <c r="A76" s="11"/>
      <c r="B76" s="207" t="s">
        <v>558</v>
      </c>
      <c r="C76" s="11">
        <f>AVERAGE(C74:C75)</f>
        <v>0.25</v>
      </c>
      <c r="D76" s="11"/>
      <c r="E76" s="11"/>
      <c r="F76" s="11"/>
      <c r="G76" s="11"/>
      <c r="H76" s="11"/>
      <c r="I76" s="11"/>
      <c r="J76" s="11"/>
      <c r="K76" s="11"/>
      <c r="L76" s="11"/>
      <c r="M76" s="11"/>
      <c r="N76" s="11"/>
      <c r="O76" s="11"/>
      <c r="P76" s="11"/>
      <c r="Q76" s="11"/>
      <c r="R76" s="11">
        <f t="shared" si="85"/>
        <v>72</v>
      </c>
      <c r="S76" s="11"/>
      <c r="T76" s="11"/>
      <c r="U76" s="11"/>
      <c r="V76" s="11"/>
      <c r="W76" s="11"/>
      <c r="X76" s="11"/>
      <c r="Y76" s="11"/>
      <c r="Z76" s="11"/>
      <c r="AA76" s="11"/>
      <c r="AB76" s="11"/>
      <c r="AC76" s="11"/>
      <c r="AD76" s="11"/>
      <c r="AE76" s="11"/>
    </row>
    <row r="77" spans="1:31" ht="17.149999999999999" x14ac:dyDescent="0.55000000000000004">
      <c r="A77" t="str" cm="1">
        <f t="array" ref="A77">INDEX(FLT_Cons,$S77,$U77)</f>
        <v>FLT - 7</v>
      </c>
      <c r="B77" t="s">
        <v>4</v>
      </c>
      <c r="C77" t="str" cm="1">
        <f t="array" ref="C77">INDEX(FLT_Cons,$S77,$U78)</f>
        <v>Portland</v>
      </c>
      <c r="D77" t="s">
        <v>510</v>
      </c>
      <c r="E77" s="20">
        <f t="shared" ref="E77:P77" si="98">VLOOKUP(VLOOKUP($C77,Terminal_X_Ref,2,FALSE)&amp;$D77,Weather_Data,$AD77*E$3+$AE77,FALSE)+459.6</f>
        <v>498.3</v>
      </c>
      <c r="F77" s="20">
        <f t="shared" si="98"/>
        <v>497.70000000000005</v>
      </c>
      <c r="G77" s="20">
        <f t="shared" si="98"/>
        <v>499.1</v>
      </c>
      <c r="H77" s="20">
        <f t="shared" si="98"/>
        <v>501.5</v>
      </c>
      <c r="I77" s="20">
        <f t="shared" si="98"/>
        <v>506.1</v>
      </c>
      <c r="J77" s="20">
        <f t="shared" si="98"/>
        <v>510.3</v>
      </c>
      <c r="K77" s="20">
        <f t="shared" si="98"/>
        <v>513.70000000000005</v>
      </c>
      <c r="L77" s="20">
        <f t="shared" si="98"/>
        <v>513.70000000000005</v>
      </c>
      <c r="M77" s="20">
        <f t="shared" si="98"/>
        <v>510</v>
      </c>
      <c r="N77" s="20">
        <f t="shared" si="98"/>
        <v>504.90000000000003</v>
      </c>
      <c r="O77" s="20">
        <f t="shared" si="98"/>
        <v>500.6</v>
      </c>
      <c r="P77" s="20">
        <f t="shared" si="98"/>
        <v>498.20000000000005</v>
      </c>
      <c r="Q77" s="20">
        <f>AVERAGE(E77:P77)</f>
        <v>504.50833333333327</v>
      </c>
      <c r="R77">
        <f>R76+1</f>
        <v>73</v>
      </c>
      <c r="S77">
        <f>S65+1</f>
        <v>7</v>
      </c>
      <c r="T77" s="206" t="s">
        <v>548</v>
      </c>
      <c r="U77">
        <v>1</v>
      </c>
      <c r="V77" t="s">
        <v>1386</v>
      </c>
      <c r="W77">
        <f>W65+12</f>
        <v>84</v>
      </c>
      <c r="X77" t="s">
        <v>550</v>
      </c>
      <c r="Y77">
        <v>1</v>
      </c>
      <c r="Z77">
        <v>2</v>
      </c>
      <c r="AA77">
        <v>3</v>
      </c>
      <c r="AB77">
        <v>1</v>
      </c>
      <c r="AC77">
        <v>2</v>
      </c>
      <c r="AD77">
        <f>(AA77-Z77)/(AC77-AB77)</f>
        <v>1</v>
      </c>
      <c r="AE77">
        <f>Z77-AD77*AB77</f>
        <v>1</v>
      </c>
    </row>
    <row r="78" spans="1:31" ht="17.149999999999999" x14ac:dyDescent="0.55000000000000004">
      <c r="B78" t="s">
        <v>1771</v>
      </c>
      <c r="C78" cm="1">
        <f t="array" ref="C78">INDEX(FLT_Cons,$S77,$U79)</f>
        <v>48</v>
      </c>
      <c r="D78" t="s">
        <v>511</v>
      </c>
      <c r="E78" s="20">
        <f t="shared" ref="E78:P78" si="99">VLOOKUP(VLOOKUP($C77,Terminal_X_Ref,2,FALSE)&amp;$D78,Weather_Data,$AD78*E$3+$AE78,FALSE)+459.6</f>
        <v>508.70000000000005</v>
      </c>
      <c r="F78" s="20">
        <f t="shared" si="99"/>
        <v>510.90000000000003</v>
      </c>
      <c r="G78" s="20">
        <f t="shared" si="99"/>
        <v>512.30000000000007</v>
      </c>
      <c r="H78" s="20">
        <f t="shared" si="99"/>
        <v>514.9</v>
      </c>
      <c r="I78" s="20">
        <f t="shared" si="99"/>
        <v>519.4</v>
      </c>
      <c r="J78" s="20">
        <f t="shared" si="99"/>
        <v>522.80000000000007</v>
      </c>
      <c r="K78" s="20">
        <f t="shared" si="99"/>
        <v>526.4</v>
      </c>
      <c r="L78" s="20">
        <f t="shared" si="99"/>
        <v>527.30000000000007</v>
      </c>
      <c r="M78" s="20">
        <f t="shared" si="99"/>
        <v>526.4</v>
      </c>
      <c r="N78" s="20">
        <f t="shared" si="99"/>
        <v>519.6</v>
      </c>
      <c r="O78" s="20">
        <f t="shared" si="99"/>
        <v>512.80000000000007</v>
      </c>
      <c r="P78" s="20">
        <f t="shared" si="99"/>
        <v>508.20000000000005</v>
      </c>
      <c r="Q78" s="20">
        <f t="shared" ref="Q78:Q82" si="100">AVERAGE(E78:P78)</f>
        <v>517.47500000000002</v>
      </c>
      <c r="R78">
        <f>R77+1</f>
        <v>74</v>
      </c>
      <c r="T78" t="s">
        <v>549</v>
      </c>
      <c r="U78">
        <v>3</v>
      </c>
      <c r="X78" t="s">
        <v>551</v>
      </c>
      <c r="Y78">
        <v>2</v>
      </c>
      <c r="Z78">
        <f>Z77</f>
        <v>2</v>
      </c>
      <c r="AA78">
        <f t="shared" ref="AA78:AE78" si="101">AA77</f>
        <v>3</v>
      </c>
      <c r="AB78">
        <f t="shared" si="101"/>
        <v>1</v>
      </c>
      <c r="AC78">
        <f t="shared" si="101"/>
        <v>2</v>
      </c>
      <c r="AD78">
        <f t="shared" si="101"/>
        <v>1</v>
      </c>
      <c r="AE78">
        <f t="shared" si="101"/>
        <v>1</v>
      </c>
    </row>
    <row r="79" spans="1:31" x14ac:dyDescent="0.4">
      <c r="B79" t="s">
        <v>231</v>
      </c>
      <c r="C79" cm="1">
        <f t="array" ref="C79">INDEX(FLT_Cons,$S77,$U80)</f>
        <v>30</v>
      </c>
      <c r="D79" t="s">
        <v>260</v>
      </c>
      <c r="E79" s="20">
        <f t="shared" ref="E79:P79" si="102">VLOOKUP(VLOOKUP($C77,Terminal_X_Ref,2,FALSE)&amp;$D79,Weather_Data,$AD77*E$3+$AE77,FALSE)</f>
        <v>343</v>
      </c>
      <c r="F79" s="20">
        <f t="shared" si="102"/>
        <v>600</v>
      </c>
      <c r="G79" s="20">
        <f t="shared" si="102"/>
        <v>877</v>
      </c>
      <c r="H79" s="20">
        <f t="shared" si="102"/>
        <v>1252</v>
      </c>
      <c r="I79" s="20">
        <f t="shared" si="102"/>
        <v>1537</v>
      </c>
      <c r="J79" s="20">
        <f t="shared" si="102"/>
        <v>1627</v>
      </c>
      <c r="K79" s="20">
        <f t="shared" si="102"/>
        <v>1708</v>
      </c>
      <c r="L79" s="20">
        <f t="shared" si="102"/>
        <v>1492</v>
      </c>
      <c r="M79" s="20">
        <f t="shared" si="102"/>
        <v>1196</v>
      </c>
      <c r="N79" s="20">
        <f t="shared" si="102"/>
        <v>728</v>
      </c>
      <c r="O79" s="20">
        <f t="shared" si="102"/>
        <v>391</v>
      </c>
      <c r="P79" s="20">
        <f t="shared" si="102"/>
        <v>302</v>
      </c>
      <c r="Q79" s="20">
        <f t="shared" si="100"/>
        <v>1004.4166666666666</v>
      </c>
      <c r="R79">
        <f t="shared" ref="R79:R88" si="103">R78+1</f>
        <v>75</v>
      </c>
      <c r="T79" t="s">
        <v>1747</v>
      </c>
      <c r="U79">
        <v>5</v>
      </c>
      <c r="X79" t="s">
        <v>1776</v>
      </c>
      <c r="Y79">
        <v>1</v>
      </c>
    </row>
    <row r="80" spans="1:31" ht="17.149999999999999" x14ac:dyDescent="0.55000000000000004">
      <c r="B80" t="s">
        <v>1521</v>
      </c>
      <c r="C80" t="str" cm="1">
        <f t="array" ref="C80">INDEX(FLT_Cons,$S77,$U81)</f>
        <v>Gray-Medium</v>
      </c>
      <c r="D80" t="s">
        <v>524</v>
      </c>
      <c r="E80" s="20">
        <f>AVERAGE(E77:E78)</f>
        <v>503.5</v>
      </c>
      <c r="F80" s="20">
        <f t="shared" ref="F80:P80" si="104">AVERAGE(F77:F78)</f>
        <v>504.30000000000007</v>
      </c>
      <c r="G80" s="20">
        <f t="shared" si="104"/>
        <v>505.70000000000005</v>
      </c>
      <c r="H80" s="20">
        <f t="shared" si="104"/>
        <v>508.2</v>
      </c>
      <c r="I80" s="20">
        <f t="shared" si="104"/>
        <v>512.75</v>
      </c>
      <c r="J80" s="20">
        <f t="shared" si="104"/>
        <v>516.55000000000007</v>
      </c>
      <c r="K80" s="20">
        <f t="shared" si="104"/>
        <v>520.04999999999995</v>
      </c>
      <c r="L80" s="20">
        <f t="shared" si="104"/>
        <v>520.5</v>
      </c>
      <c r="M80" s="20">
        <f t="shared" si="104"/>
        <v>518.20000000000005</v>
      </c>
      <c r="N80" s="20">
        <f t="shared" si="104"/>
        <v>512.25</v>
      </c>
      <c r="O80" s="20">
        <f t="shared" si="104"/>
        <v>506.70000000000005</v>
      </c>
      <c r="P80" s="20">
        <f t="shared" si="104"/>
        <v>503.20000000000005</v>
      </c>
      <c r="Q80" s="20">
        <f t="shared" si="100"/>
        <v>510.99166666666662</v>
      </c>
      <c r="R80">
        <f t="shared" si="103"/>
        <v>76</v>
      </c>
      <c r="T80" t="s">
        <v>231</v>
      </c>
      <c r="U80">
        <v>6</v>
      </c>
      <c r="X80" t="s">
        <v>1777</v>
      </c>
      <c r="Y80">
        <v>2</v>
      </c>
    </row>
    <row r="81" spans="1:31" ht="17.149999999999999" x14ac:dyDescent="0.55000000000000004">
      <c r="B81" t="s">
        <v>1652</v>
      </c>
      <c r="C81" t="str" cm="1">
        <f t="array" ref="C81">INDEX(FLT_Cons,$S77,$U82)</f>
        <v>Average</v>
      </c>
      <c r="D81" t="s">
        <v>525</v>
      </c>
      <c r="E81" s="20" cm="1">
        <f t="array" ref="E81">IF(NOT(ISBLANK(INDEX(FLT_Prod_Info,$W77,E$3*$Y81+$Y82))),INDEX(FLT_Prod_Info,$W77,E$3*$Y81+$Y82)+459.6,IF($C84&lt;&gt;"External Floating Roof",E80+0.003*$C88*E79,IF(C85&lt;&gt;"Pontoon",E80+(0.71*$C87*E79+0.485*($C79/$C78)*$C86*E79)/(170*$C79/$C78+45),E80+(0.39*$C87*E79+0.485*($C79/$C78)*$C86*E79)/(170*$C79/$C78+45))))</f>
        <v>504.23059000000001</v>
      </c>
      <c r="F81" s="20" cm="1">
        <f t="array" ref="F81">IF(NOT(ISBLANK(INDEX(FLT_Prod_Info,$W77,F$3*$Y81+$Y82))),INDEX(FLT_Prod_Info,$W77,F$3*$Y81+$Y82)+459.6,IF($C84&lt;&gt;"External Floating Roof",F80+0.003*$C88*F79,IF(D85&lt;&gt;"Pontoon",F80+(0.71*$C87*F79+0.485*($C79/$C78)*$C86*F79)/(170*$C79/$C78+45),F80+(0.39*$C87*F79+0.485*($C79/$C78)*$C86*F79)/(170*$C79/$C78+45))))</f>
        <v>505.57800000000009</v>
      </c>
      <c r="G81" s="20" cm="1">
        <f t="array" ref="G81">IF(NOT(ISBLANK(INDEX(FLT_Prod_Info,$W77,G$3*$Y81+$Y82))),INDEX(FLT_Prod_Info,$W77,G$3*$Y81+$Y82)+459.6,IF($C84&lt;&gt;"External Floating Roof",G80+0.003*$C88*G79,IF(E85&lt;&gt;"Pontoon",G80+(0.71*$C87*G79+0.485*($C79/$C78)*$C86*G79)/(170*$C79/$C78+45),G80+(0.39*$C87*G79+0.485*($C79/$C78)*$C86*G79)/(170*$C79/$C78+45))))</f>
        <v>507.56801000000007</v>
      </c>
      <c r="H81" s="20" cm="1">
        <f t="array" ref="H81">IF(NOT(ISBLANK(INDEX(FLT_Prod_Info,$W77,H$3*$Y81+$Y82))),INDEX(FLT_Prod_Info,$W77,H$3*$Y81+$Y82)+459.6,IF($C84&lt;&gt;"External Floating Roof",H80+0.003*$C88*H79,IF(F85&lt;&gt;"Pontoon",H80+(0.71*$C87*H79+0.485*($C79/$C78)*$C86*H79)/(170*$C79/$C78+45),H80+(0.39*$C87*H79+0.485*($C79/$C78)*$C86*H79)/(170*$C79/$C78+45))))</f>
        <v>510.86676</v>
      </c>
      <c r="I81" s="20" cm="1">
        <f t="array" ref="I81">IF(NOT(ISBLANK(INDEX(FLT_Prod_Info,$W77,I$3*$Y81+$Y82))),INDEX(FLT_Prod_Info,$W77,I$3*$Y81+$Y82)+459.6,IF($C84&lt;&gt;"External Floating Roof",I80+0.003*$C88*I79,IF(G85&lt;&gt;"Pontoon",I80+(0.71*$C87*I79+0.485*($C79/$C78)*$C86*I79)/(170*$C79/$C78+45),I80+(0.39*$C87*I79+0.485*($C79/$C78)*$C86*I79)/(170*$C79/$C78+45))))</f>
        <v>516.02381000000003</v>
      </c>
      <c r="J81" s="20" cm="1">
        <f t="array" ref="J81">IF(NOT(ISBLANK(INDEX(FLT_Prod_Info,$W77,J$3*$Y81+$Y82))),INDEX(FLT_Prod_Info,$W77,J$3*$Y81+$Y82)+459.6,IF($C84&lt;&gt;"External Floating Roof",J80+0.003*$C88*J79,IF(H85&lt;&gt;"Pontoon",J80+(0.71*$C87*J79+0.485*($C79/$C78)*$C86*J79)/(170*$C79/$C78+45),J80+(0.39*$C87*J79+0.485*($C79/$C78)*$C86*J79)/(170*$C79/$C78+45))))</f>
        <v>520.01551000000006</v>
      </c>
      <c r="K81" s="20" cm="1">
        <f t="array" ref="K81">IF(NOT(ISBLANK(INDEX(FLT_Prod_Info,$W77,K$3*$Y81+$Y82))),INDEX(FLT_Prod_Info,$W77,K$3*$Y81+$Y82)+459.6,IF($C84&lt;&gt;"External Floating Roof",K80+0.003*$C88*K79,IF(I85&lt;&gt;"Pontoon",K80+(0.71*$C87*K79+0.485*($C79/$C78)*$C86*K79)/(170*$C79/$C78+45),K80+(0.39*$C87*K79+0.485*($C79/$C78)*$C86*K79)/(170*$C79/$C78+45))))</f>
        <v>523.68804</v>
      </c>
      <c r="L81" s="20" cm="1">
        <f t="array" ref="L81">IF(NOT(ISBLANK(INDEX(FLT_Prod_Info,$W77,L$3*$Y81+$Y82))),INDEX(FLT_Prod_Info,$W77,L$3*$Y81+$Y82)+459.6,IF($C84&lt;&gt;"External Floating Roof",L80+0.003*$C88*L79,IF(J85&lt;&gt;"Pontoon",L80+(0.71*$C87*L79+0.485*($C79/$C78)*$C86*L79)/(170*$C79/$C78+45),L80+(0.39*$C87*L79+0.485*($C79/$C78)*$C86*L79)/(170*$C79/$C78+45))))</f>
        <v>523.67795999999998</v>
      </c>
      <c r="M81" s="20" cm="1">
        <f t="array" ref="M81">IF(NOT(ISBLANK(INDEX(FLT_Prod_Info,$W77,M$3*$Y81+$Y82))),INDEX(FLT_Prod_Info,$W77,M$3*$Y81+$Y82)+459.6,IF($C84&lt;&gt;"External Floating Roof",M80+0.003*$C88*M79,IF(K85&lt;&gt;"Pontoon",M80+(0.71*$C87*M79+0.485*($C79/$C78)*$C86*M79)/(170*$C79/$C78+45),M80+(0.39*$C87*M79+0.485*($C79/$C78)*$C86*M79)/(170*$C79/$C78+45))))</f>
        <v>520.74748</v>
      </c>
      <c r="N81" s="20" cm="1">
        <f t="array" ref="N81">IF(NOT(ISBLANK(INDEX(FLT_Prod_Info,$W77,N$3*$Y81+$Y82))),INDEX(FLT_Prod_Info,$W77,N$3*$Y81+$Y82)+459.6,IF($C84&lt;&gt;"External Floating Roof",N80+0.003*$C88*N79,IF(L85&lt;&gt;"Pontoon",N80+(0.71*$C87*N79+0.485*($C79/$C78)*$C86*N79)/(170*$C79/$C78+45),N80+(0.39*$C87*N79+0.485*($C79/$C78)*$C86*N79)/(170*$C79/$C78+45))))</f>
        <v>513.80064000000004</v>
      </c>
      <c r="O81" s="20" cm="1">
        <f t="array" ref="O81">IF(NOT(ISBLANK(INDEX(FLT_Prod_Info,$W77,O$3*$Y81+$Y82))),INDEX(FLT_Prod_Info,$W77,O$3*$Y81+$Y82)+459.6,IF($C84&lt;&gt;"External Floating Roof",O80+0.003*$C88*O79,IF(M85&lt;&gt;"Pontoon",O80+(0.71*$C87*O79+0.485*($C79/$C78)*$C86*O79)/(170*$C79/$C78+45),O80+(0.39*$C87*O79+0.485*($C79/$C78)*$C86*O79)/(170*$C79/$C78+45))))</f>
        <v>507.53283000000005</v>
      </c>
      <c r="P81" s="20" cm="1">
        <f t="array" ref="P81">IF(NOT(ISBLANK(INDEX(FLT_Prod_Info,$W77,P$3*$Y81+$Y82))),INDEX(FLT_Prod_Info,$W77,P$3*$Y81+$Y82)+459.6,IF($C84&lt;&gt;"External Floating Roof",P80+0.003*$C88*P79,IF(N85&lt;&gt;"Pontoon",P80+(0.71*$C87*P79+0.485*($C79/$C78)*$C86*P79)/(170*$C79/$C78+45),P80+(0.39*$C87*P79+0.485*($C79/$C78)*$C86*P79)/(170*$C79/$C78+45))))</f>
        <v>503.84326000000004</v>
      </c>
      <c r="Q81" s="20">
        <f t="shared" si="100"/>
        <v>513.13107416666674</v>
      </c>
      <c r="R81">
        <f t="shared" si="103"/>
        <v>77</v>
      </c>
      <c r="T81" t="s">
        <v>1521</v>
      </c>
      <c r="U81">
        <v>8</v>
      </c>
      <c r="X81" t="s">
        <v>541</v>
      </c>
      <c r="Y81">
        <f>(Y78-Y77)/(Y80-Y79)</f>
        <v>1</v>
      </c>
    </row>
    <row r="82" spans="1:31" ht="17.149999999999999" x14ac:dyDescent="0.55000000000000004">
      <c r="B82" t="s">
        <v>1522</v>
      </c>
      <c r="C82" t="str" cm="1">
        <f t="array" ref="C82">INDEX(FLT_Cons,$S77,$U83)</f>
        <v>Gray-Medium</v>
      </c>
      <c r="D82" t="s">
        <v>552</v>
      </c>
      <c r="E82" s="20">
        <f>IF($C84&lt;&gt;"External Floating Roof",((2.86*($C79/$C78)+1.43)*E80+(3.52*($C79/$C78)+3.79)*E81+0.027*$C87*E79+0.017*($C79/$C78)*$C86*E79)/(6.38*($C79/$C78)+5.22),IF($C85="Pontoon",0.7*E80+0.3*E81+0.008*$C87*E79,0.3*E80+0.7*E81+0.009*$C87*E79))</f>
        <v>504.97043718164542</v>
      </c>
      <c r="F82" s="20">
        <f t="shared" ref="F82" si="105">IF($C84&lt;&gt;"External Floating Roof",((2.86*($C79/$C78)+1.43)*F80+(3.52*($C79/$C78)+3.79)*F81+0.027*$C87*F79+0.017*($C79/$C78)*$C86*F79)/(6.38*($C79/$C78)+5.22),IF($C85="Pontoon",0.7*F80+0.3*F81+0.008*$C87*F79,0.3*F80+0.7*F81+0.009*$C87*F79))</f>
        <v>506.87219332066257</v>
      </c>
      <c r="G82" s="20">
        <f t="shared" ref="G82" si="106">IF($C84&lt;&gt;"External Floating Roof",((2.86*($C79/$C78)+1.43)*G80+(3.52*($C79/$C78)+3.79)*G81+0.027*$C87*G79+0.017*($C79/$C78)*$C86*G79)/(6.38*($C79/$C78)+5.22),IF($C85="Pontoon",0.7*G80+0.3*G81+0.008*$C87*G79,0.3*G80+0.7*G81+0.009*$C87*G79))</f>
        <v>509.45968923703509</v>
      </c>
      <c r="H82" s="20">
        <f t="shared" ref="H82" si="107">IF($C84&lt;&gt;"External Floating Roof",((2.86*($C79/$C78)+1.43)*H80+(3.52*($C79/$C78)+3.79)*H81+0.027*$C87*H79+0.017*($C79/$C78)*$C86*H79)/(6.38*($C79/$C78)+5.22),IF($C85="Pontoon",0.7*H80+0.3*H81+0.008*$C87*H79,0.3*H80+0.7*H81+0.009*$C87*H79))</f>
        <v>513.567310062449</v>
      </c>
      <c r="I82" s="20">
        <f t="shared" ref="I82" si="108">IF($C84&lt;&gt;"External Floating Roof",((2.86*($C79/$C78)+1.43)*I80+(3.52*($C79/$C78)+3.79)*I81+0.027*$C87*I79+0.017*($C79/$C78)*$C86*I79)/(6.38*($C79/$C78)+5.22),IF($C85="Pontoon",0.7*I80+0.3*I81+0.008*$C87*I79,0.3*I80+0.7*I81+0.009*$C87*I79))</f>
        <v>519.33910188976381</v>
      </c>
      <c r="J82" s="20">
        <f t="shared" ref="J82" si="109">IF($C84&lt;&gt;"External Floating Roof",((2.86*($C79/$C78)+1.43)*J80+(3.52*($C79/$C78)+3.79)*J81+0.027*$C87*J79+0.017*($C79/$C78)*$C86*J79)/(6.38*($C79/$C78)+5.22),IF($C85="Pontoon",0.7*J80+0.3*J81+0.008*$C87*J79,0.3*J80+0.7*J81+0.009*$C87*J79))</f>
        <v>523.52493088786321</v>
      </c>
      <c r="K82" s="20">
        <f t="shared" ref="K82" si="110">IF($C84&lt;&gt;"External Floating Roof",((2.86*($C79/$C78)+1.43)*K80+(3.52*($C79/$C78)+3.79)*K81+0.027*$C87*K79+0.017*($C79/$C78)*$C86*K79)/(6.38*($C79/$C78)+5.22),IF($C85="Pontoon",0.7*K80+0.3*K81+0.008*$C87*K79,0.3*K80+0.7*K81+0.009*$C87*K79))</f>
        <v>527.37217698615268</v>
      </c>
      <c r="L82" s="20">
        <f t="shared" ref="L82" si="111">IF($C84&lt;&gt;"External Floating Roof",((2.86*($C79/$C78)+1.43)*L80+(3.52*($C79/$C78)+3.79)*L81+0.027*$C87*L79+0.017*($C79/$C78)*$C86*L79)/(6.38*($C79/$C78)+5.22),IF($C85="Pontoon",0.7*L80+0.3*L81+0.008*$C87*L79,0.3*L80+0.7*L81+0.009*$C87*L79))</f>
        <v>526.89618739071409</v>
      </c>
      <c r="M82" s="20">
        <f t="shared" ref="M82" si="112">IF($C84&lt;&gt;"External Floating Roof",((2.86*($C79/$C78)+1.43)*M80+(3.52*($C79/$C78)+3.79)*M81+0.027*$C87*M79+0.017*($C79/$C78)*$C86*M79)/(6.38*($C79/$C78)+5.22),IF($C85="Pontoon",0.7*M80+0.3*M81+0.008*$C87*M79,0.3*M80+0.7*M81+0.009*$C87*M79))</f>
        <v>523.3272386858539</v>
      </c>
      <c r="N82" s="20">
        <f t="shared" ref="N82" si="113">IF($C84&lt;&gt;"External Floating Roof",((2.86*($C79/$C78)+1.43)*N80+(3.52*($C79/$C78)+3.79)*N81+0.027*$C87*N79+0.017*($C79/$C78)*$C86*N79)/(6.38*($C79/$C78)+5.22),IF($C85="Pontoon",0.7*N80+0.3*N81+0.008*$C87*N79,0.3*N80+0.7*N81+0.009*$C87*N79))</f>
        <v>515.37092789573728</v>
      </c>
      <c r="O82" s="20">
        <f t="shared" ref="O82" si="114">IF($C84&lt;&gt;"External Floating Roof",((2.86*($C79/$C78)+1.43)*O80+(3.52*($C79/$C78)+3.79)*O81+0.027*$C87*O79+0.017*($C79/$C78)*$C86*O79)/(6.38*($C79/$C78)+5.22),IF($C85="Pontoon",0.7*O80+0.3*O81+0.008*$C87*O79,0.3*O80+0.7*O81+0.009*$C87*O79))</f>
        <v>508.37621264729842</v>
      </c>
      <c r="P82" s="20">
        <f t="shared" ref="P82" si="115">IF($C84&lt;&gt;"External Floating Roof",((2.86*($C79/$C78)+1.43)*P80+(3.52*($C79/$C78)+3.79)*P81+0.027*$C87*P79+0.017*($C79/$C78)*$C86*P79)/(6.38*($C79/$C78)+5.22),IF($C85="Pontoon",0.7*P80+0.3*P81+0.008*$C87*P79,0.3*P80+0.7*P81+0.009*$C87*P79))</f>
        <v>504.49467063806696</v>
      </c>
      <c r="Q82" s="20">
        <f t="shared" si="100"/>
        <v>515.29758973527021</v>
      </c>
      <c r="R82">
        <f t="shared" si="103"/>
        <v>78</v>
      </c>
      <c r="T82" t="s">
        <v>1652</v>
      </c>
      <c r="U82">
        <v>9</v>
      </c>
      <c r="X82" t="s">
        <v>542</v>
      </c>
      <c r="Y82">
        <f>Y80*Y81-Y78</f>
        <v>0</v>
      </c>
    </row>
    <row r="83" spans="1:31" x14ac:dyDescent="0.4">
      <c r="B83" t="s">
        <v>1772</v>
      </c>
      <c r="C83" t="str" cm="1">
        <f t="array" ref="C83">INDEX(FLT_Cons,$S77,$U84)</f>
        <v>Average</v>
      </c>
      <c r="R83">
        <f t="shared" si="103"/>
        <v>79</v>
      </c>
      <c r="T83" t="s">
        <v>1522</v>
      </c>
      <c r="U83">
        <v>10</v>
      </c>
    </row>
    <row r="84" spans="1:31" x14ac:dyDescent="0.4">
      <c r="B84" t="s">
        <v>1507</v>
      </c>
      <c r="C84" t="str" cm="1">
        <f t="array" ref="C84">INDEX(FLT_Cons,$S77,$U85)</f>
        <v>Internal Floating Roof</v>
      </c>
      <c r="R84">
        <f t="shared" si="103"/>
        <v>80</v>
      </c>
      <c r="T84" t="s">
        <v>1772</v>
      </c>
      <c r="U84">
        <v>11</v>
      </c>
    </row>
    <row r="85" spans="1:31" x14ac:dyDescent="0.4">
      <c r="B85" t="s">
        <v>1525</v>
      </c>
      <c r="C85" t="str" cm="1">
        <f t="array" ref="C85">INDEX(FLT_Cons,$S77,$U86)</f>
        <v>N/A - IFR</v>
      </c>
      <c r="R85">
        <f t="shared" si="103"/>
        <v>81</v>
      </c>
      <c r="T85" t="s">
        <v>1507</v>
      </c>
      <c r="U85">
        <v>13</v>
      </c>
    </row>
    <row r="86" spans="1:31" ht="17.149999999999999" x14ac:dyDescent="0.4">
      <c r="B86" s="66" t="s">
        <v>514</v>
      </c>
      <c r="C86" cm="1">
        <f t="array" ref="C86">INDEX(Tbl_71_6,MATCH(C80,Paint_Color,0),MATCH(C81,Paint_Condition,0)+1)</f>
        <v>0.71</v>
      </c>
      <c r="R86">
        <f t="shared" si="103"/>
        <v>82</v>
      </c>
      <c r="T86" t="s">
        <v>1525</v>
      </c>
      <c r="U86">
        <v>16</v>
      </c>
    </row>
    <row r="87" spans="1:31" ht="17.149999999999999" x14ac:dyDescent="0.4">
      <c r="B87" s="66" t="s">
        <v>513</v>
      </c>
      <c r="C87" cm="1">
        <f t="array" ref="C87">INDEX(Tbl_71_6,MATCH(C82,Paint_Color,0),MATCH(C83,Paint_Condition,0)+1)</f>
        <v>0.71</v>
      </c>
      <c r="R87">
        <f t="shared" si="103"/>
        <v>83</v>
      </c>
    </row>
    <row r="88" spans="1:31" x14ac:dyDescent="0.4">
      <c r="A88" s="11"/>
      <c r="B88" s="207" t="s">
        <v>558</v>
      </c>
      <c r="C88" s="11">
        <f>AVERAGE(C86:C87)</f>
        <v>0.71</v>
      </c>
      <c r="D88" s="11"/>
      <c r="E88" s="11"/>
      <c r="F88" s="11"/>
      <c r="G88" s="11"/>
      <c r="H88" s="11"/>
      <c r="I88" s="11"/>
      <c r="J88" s="11"/>
      <c r="K88" s="11"/>
      <c r="L88" s="11"/>
      <c r="M88" s="11"/>
      <c r="N88" s="11"/>
      <c r="O88" s="11"/>
      <c r="P88" s="11"/>
      <c r="Q88" s="11"/>
      <c r="R88" s="11">
        <f t="shared" si="103"/>
        <v>84</v>
      </c>
      <c r="S88" s="11"/>
      <c r="T88" s="11"/>
      <c r="U88" s="11"/>
      <c r="V88" s="11"/>
      <c r="W88" s="11"/>
      <c r="X88" s="11"/>
      <c r="Y88" s="11"/>
      <c r="Z88" s="11"/>
      <c r="AA88" s="11"/>
      <c r="AB88" s="11"/>
      <c r="AC88" s="11"/>
      <c r="AD88" s="11"/>
      <c r="AE88" s="11"/>
    </row>
    <row r="89" spans="1:31" ht="17.149999999999999" x14ac:dyDescent="0.55000000000000004">
      <c r="A89" t="str" cm="1">
        <f t="array" ref="A89">INDEX(FLT_Cons,$S89,$U89)</f>
        <v>FLT - 8</v>
      </c>
      <c r="B89" t="s">
        <v>4</v>
      </c>
      <c r="C89" t="str" cm="1">
        <f t="array" ref="C89">INDEX(FLT_Cons,$S89,$U90)</f>
        <v>Portland</v>
      </c>
      <c r="D89" t="s">
        <v>510</v>
      </c>
      <c r="E89" s="20">
        <f t="shared" ref="E89:P89" si="116">VLOOKUP(VLOOKUP($C89,Terminal_X_Ref,2,FALSE)&amp;$D89,Weather_Data,$AD89*E$3+$AE89,FALSE)+459.6</f>
        <v>498.3</v>
      </c>
      <c r="F89" s="20">
        <f t="shared" si="116"/>
        <v>497.70000000000005</v>
      </c>
      <c r="G89" s="20">
        <f t="shared" si="116"/>
        <v>499.1</v>
      </c>
      <c r="H89" s="20">
        <f t="shared" si="116"/>
        <v>501.5</v>
      </c>
      <c r="I89" s="20">
        <f t="shared" si="116"/>
        <v>506.1</v>
      </c>
      <c r="J89" s="20">
        <f t="shared" si="116"/>
        <v>510.3</v>
      </c>
      <c r="K89" s="20">
        <f t="shared" si="116"/>
        <v>513.70000000000005</v>
      </c>
      <c r="L89" s="20">
        <f t="shared" si="116"/>
        <v>513.70000000000005</v>
      </c>
      <c r="M89" s="20">
        <f t="shared" si="116"/>
        <v>510</v>
      </c>
      <c r="N89" s="20">
        <f t="shared" si="116"/>
        <v>504.90000000000003</v>
      </c>
      <c r="O89" s="20">
        <f t="shared" si="116"/>
        <v>500.6</v>
      </c>
      <c r="P89" s="20">
        <f t="shared" si="116"/>
        <v>498.20000000000005</v>
      </c>
      <c r="Q89" s="20">
        <f>AVERAGE(E89:P89)</f>
        <v>504.50833333333327</v>
      </c>
      <c r="R89">
        <f>R88+1</f>
        <v>85</v>
      </c>
      <c r="S89">
        <f>S77+1</f>
        <v>8</v>
      </c>
      <c r="T89" s="206" t="s">
        <v>548</v>
      </c>
      <c r="U89">
        <v>1</v>
      </c>
      <c r="V89" t="s">
        <v>1386</v>
      </c>
      <c r="W89">
        <f>W77+12</f>
        <v>96</v>
      </c>
      <c r="X89" t="s">
        <v>550</v>
      </c>
      <c r="Y89">
        <v>1</v>
      </c>
      <c r="Z89">
        <v>2</v>
      </c>
      <c r="AA89">
        <v>3</v>
      </c>
      <c r="AB89">
        <v>1</v>
      </c>
      <c r="AC89">
        <v>2</v>
      </c>
      <c r="AD89">
        <f>(AA89-Z89)/(AC89-AB89)</f>
        <v>1</v>
      </c>
      <c r="AE89">
        <f>Z89-AD89*AB89</f>
        <v>1</v>
      </c>
    </row>
    <row r="90" spans="1:31" ht="17.149999999999999" x14ac:dyDescent="0.55000000000000004">
      <c r="B90" t="s">
        <v>1771</v>
      </c>
      <c r="C90" cm="1">
        <f t="array" ref="C90">INDEX(FLT_Cons,$S89,$U91)</f>
        <v>144</v>
      </c>
      <c r="D90" t="s">
        <v>511</v>
      </c>
      <c r="E90" s="20">
        <f t="shared" ref="E90:P90" si="117">VLOOKUP(VLOOKUP($C89,Terminal_X_Ref,2,FALSE)&amp;$D90,Weather_Data,$AD90*E$3+$AE90,FALSE)+459.6</f>
        <v>508.70000000000005</v>
      </c>
      <c r="F90" s="20">
        <f t="shared" si="117"/>
        <v>510.90000000000003</v>
      </c>
      <c r="G90" s="20">
        <f t="shared" si="117"/>
        <v>512.30000000000007</v>
      </c>
      <c r="H90" s="20">
        <f t="shared" si="117"/>
        <v>514.9</v>
      </c>
      <c r="I90" s="20">
        <f t="shared" si="117"/>
        <v>519.4</v>
      </c>
      <c r="J90" s="20">
        <f t="shared" si="117"/>
        <v>522.80000000000007</v>
      </c>
      <c r="K90" s="20">
        <f t="shared" si="117"/>
        <v>526.4</v>
      </c>
      <c r="L90" s="20">
        <f t="shared" si="117"/>
        <v>527.30000000000007</v>
      </c>
      <c r="M90" s="20">
        <f t="shared" si="117"/>
        <v>526.4</v>
      </c>
      <c r="N90" s="20">
        <f t="shared" si="117"/>
        <v>519.6</v>
      </c>
      <c r="O90" s="20">
        <f t="shared" si="117"/>
        <v>512.80000000000007</v>
      </c>
      <c r="P90" s="20">
        <f t="shared" si="117"/>
        <v>508.20000000000005</v>
      </c>
      <c r="Q90" s="20">
        <f t="shared" ref="Q90:Q94" si="118">AVERAGE(E90:P90)</f>
        <v>517.47500000000002</v>
      </c>
      <c r="R90">
        <f>R89+1</f>
        <v>86</v>
      </c>
      <c r="T90" t="s">
        <v>549</v>
      </c>
      <c r="U90">
        <v>3</v>
      </c>
      <c r="X90" t="s">
        <v>551</v>
      </c>
      <c r="Y90">
        <v>2</v>
      </c>
      <c r="Z90">
        <f>Z89</f>
        <v>2</v>
      </c>
      <c r="AA90">
        <f t="shared" ref="AA90:AE90" si="119">AA89</f>
        <v>3</v>
      </c>
      <c r="AB90">
        <f t="shared" si="119"/>
        <v>1</v>
      </c>
      <c r="AC90">
        <f t="shared" si="119"/>
        <v>2</v>
      </c>
      <c r="AD90">
        <f t="shared" si="119"/>
        <v>1</v>
      </c>
      <c r="AE90">
        <f t="shared" si="119"/>
        <v>1</v>
      </c>
    </row>
    <row r="91" spans="1:31" x14ac:dyDescent="0.4">
      <c r="B91" t="s">
        <v>231</v>
      </c>
      <c r="C91" cm="1">
        <f t="array" ref="C91">INDEX(FLT_Cons,$S89,$U92)</f>
        <v>46</v>
      </c>
      <c r="D91" t="s">
        <v>260</v>
      </c>
      <c r="E91" s="20">
        <f t="shared" ref="E91:P91" si="120">VLOOKUP(VLOOKUP($C89,Terminal_X_Ref,2,FALSE)&amp;$D91,Weather_Data,$AD89*E$3+$AE89,FALSE)</f>
        <v>343</v>
      </c>
      <c r="F91" s="20">
        <f t="shared" si="120"/>
        <v>600</v>
      </c>
      <c r="G91" s="20">
        <f t="shared" si="120"/>
        <v>877</v>
      </c>
      <c r="H91" s="20">
        <f t="shared" si="120"/>
        <v>1252</v>
      </c>
      <c r="I91" s="20">
        <f t="shared" si="120"/>
        <v>1537</v>
      </c>
      <c r="J91" s="20">
        <f t="shared" si="120"/>
        <v>1627</v>
      </c>
      <c r="K91" s="20">
        <f t="shared" si="120"/>
        <v>1708</v>
      </c>
      <c r="L91" s="20">
        <f t="shared" si="120"/>
        <v>1492</v>
      </c>
      <c r="M91" s="20">
        <f t="shared" si="120"/>
        <v>1196</v>
      </c>
      <c r="N91" s="20">
        <f t="shared" si="120"/>
        <v>728</v>
      </c>
      <c r="O91" s="20">
        <f t="shared" si="120"/>
        <v>391</v>
      </c>
      <c r="P91" s="20">
        <f t="shared" si="120"/>
        <v>302</v>
      </c>
      <c r="Q91" s="20">
        <f t="shared" si="118"/>
        <v>1004.4166666666666</v>
      </c>
      <c r="R91">
        <f t="shared" ref="R91:R100" si="121">R90+1</f>
        <v>87</v>
      </c>
      <c r="T91" t="s">
        <v>1747</v>
      </c>
      <c r="U91">
        <v>5</v>
      </c>
      <c r="X91" t="s">
        <v>1776</v>
      </c>
      <c r="Y91">
        <v>1</v>
      </c>
    </row>
    <row r="92" spans="1:31" ht="17.149999999999999" x14ac:dyDescent="0.55000000000000004">
      <c r="B92" t="s">
        <v>1521</v>
      </c>
      <c r="C92" t="str" cm="1">
        <f t="array" ref="C92">INDEX(FLT_Cons,$S89,$U93)</f>
        <v>White</v>
      </c>
      <c r="D92" t="s">
        <v>524</v>
      </c>
      <c r="E92" s="20">
        <f>AVERAGE(E89:E90)</f>
        <v>503.5</v>
      </c>
      <c r="F92" s="20">
        <f t="shared" ref="F92:P92" si="122">AVERAGE(F89:F90)</f>
        <v>504.30000000000007</v>
      </c>
      <c r="G92" s="20">
        <f t="shared" si="122"/>
        <v>505.70000000000005</v>
      </c>
      <c r="H92" s="20">
        <f t="shared" si="122"/>
        <v>508.2</v>
      </c>
      <c r="I92" s="20">
        <f t="shared" si="122"/>
        <v>512.75</v>
      </c>
      <c r="J92" s="20">
        <f t="shared" si="122"/>
        <v>516.55000000000007</v>
      </c>
      <c r="K92" s="20">
        <f t="shared" si="122"/>
        <v>520.04999999999995</v>
      </c>
      <c r="L92" s="20">
        <f t="shared" si="122"/>
        <v>520.5</v>
      </c>
      <c r="M92" s="20">
        <f t="shared" si="122"/>
        <v>518.20000000000005</v>
      </c>
      <c r="N92" s="20">
        <f t="shared" si="122"/>
        <v>512.25</v>
      </c>
      <c r="O92" s="20">
        <f t="shared" si="122"/>
        <v>506.70000000000005</v>
      </c>
      <c r="P92" s="20">
        <f t="shared" si="122"/>
        <v>503.20000000000005</v>
      </c>
      <c r="Q92" s="20">
        <f t="shared" si="118"/>
        <v>510.99166666666662</v>
      </c>
      <c r="R92">
        <f t="shared" si="121"/>
        <v>88</v>
      </c>
      <c r="T92" t="s">
        <v>231</v>
      </c>
      <c r="U92">
        <v>6</v>
      </c>
      <c r="X92" t="s">
        <v>1777</v>
      </c>
      <c r="Y92">
        <v>2</v>
      </c>
    </row>
    <row r="93" spans="1:31" ht="17.149999999999999" x14ac:dyDescent="0.55000000000000004">
      <c r="B93" t="s">
        <v>1652</v>
      </c>
      <c r="C93" t="str" cm="1">
        <f t="array" ref="C93">INDEX(FLT_Cons,$S89,$U94)</f>
        <v>Average</v>
      </c>
      <c r="D93" t="s">
        <v>525</v>
      </c>
      <c r="E93" s="20" cm="1">
        <f t="array" ref="E93">IF(NOT(ISBLANK(INDEX(FLT_Prod_Info,$W89,E$3*$Y93+$Y94))),INDEX(FLT_Prod_Info,$W89,E$3*$Y93+$Y94)+459.6,IF($C96&lt;&gt;"External Floating Roof",E92+0.003*$C100*E91,IF(C97&lt;&gt;"Pontoon",E92+(0.71*$C99*E91+0.485*($C91/$C90)*$C98*E91)/(170*$C91/$C90+45),E92+(0.39*$C99*E91+0.485*($C91/$C90)*$C98*E91)/(170*$C91/$C90+45))))</f>
        <v>503.75725</v>
      </c>
      <c r="F93" s="20" cm="1">
        <f t="array" ref="F93">IF(NOT(ISBLANK(INDEX(FLT_Prod_Info,$W89,F$3*$Y93+$Y94))),INDEX(FLT_Prod_Info,$W89,F$3*$Y93+$Y94)+459.6,IF($C96&lt;&gt;"External Floating Roof",F92+0.003*$C100*F91,IF(D97&lt;&gt;"Pontoon",F92+(0.71*$C99*F91+0.485*($C91/$C90)*$C98*F91)/(170*$C91/$C90+45),F92+(0.39*$C99*F91+0.485*($C91/$C90)*$C98*F91)/(170*$C91/$C90+45))))</f>
        <v>504.75000000000006</v>
      </c>
      <c r="G93" s="20" cm="1">
        <f t="array" ref="G93">IF(NOT(ISBLANK(INDEX(FLT_Prod_Info,$W89,G$3*$Y93+$Y94))),INDEX(FLT_Prod_Info,$W89,G$3*$Y93+$Y94)+459.6,IF($C96&lt;&gt;"External Floating Roof",G92+0.003*$C100*G91,IF(E97&lt;&gt;"Pontoon",G92+(0.71*$C99*G91+0.485*($C91/$C90)*$C98*G91)/(170*$C91/$C90+45),G92+(0.39*$C99*G91+0.485*($C91/$C90)*$C98*G91)/(170*$C91/$C90+45))))</f>
        <v>506.35775000000007</v>
      </c>
      <c r="H93" s="20" cm="1">
        <f t="array" ref="H93">IF(NOT(ISBLANK(INDEX(FLT_Prod_Info,$W89,H$3*$Y93+$Y94))),INDEX(FLT_Prod_Info,$W89,H$3*$Y93+$Y94)+459.6,IF($C96&lt;&gt;"External Floating Roof",H92+0.003*$C100*H91,IF(F97&lt;&gt;"Pontoon",H92+(0.71*$C99*H91+0.485*($C91/$C90)*$C98*H91)/(170*$C91/$C90+45),H92+(0.39*$C99*H91+0.485*($C91/$C90)*$C98*H91)/(170*$C91/$C90+45))))</f>
        <v>509.13900000000001</v>
      </c>
      <c r="I93" s="20" cm="1">
        <f t="array" ref="I93">IF(NOT(ISBLANK(INDEX(FLT_Prod_Info,$W89,I$3*$Y93+$Y94))),INDEX(FLT_Prod_Info,$W89,I$3*$Y93+$Y94)+459.6,IF($C96&lt;&gt;"External Floating Roof",I92+0.003*$C100*I91,IF(G97&lt;&gt;"Pontoon",I92+(0.71*$C99*I91+0.485*($C91/$C90)*$C98*I91)/(170*$C91/$C90+45),I92+(0.39*$C99*I91+0.485*($C91/$C90)*$C98*I91)/(170*$C91/$C90+45))))</f>
        <v>513.90274999999997</v>
      </c>
      <c r="J93" s="20" cm="1">
        <f t="array" ref="J93">IF(NOT(ISBLANK(INDEX(FLT_Prod_Info,$W89,J$3*$Y93+$Y94))),INDEX(FLT_Prod_Info,$W89,J$3*$Y93+$Y94)+459.6,IF($C96&lt;&gt;"External Floating Roof",J92+0.003*$C100*J91,IF(H97&lt;&gt;"Pontoon",J92+(0.71*$C99*J91+0.485*($C91/$C90)*$C98*J91)/(170*$C91/$C90+45),J92+(0.39*$C99*J91+0.485*($C91/$C90)*$C98*J91)/(170*$C91/$C90+45))))</f>
        <v>517.77025000000003</v>
      </c>
      <c r="K93" s="20" cm="1">
        <f t="array" ref="K93">IF(NOT(ISBLANK(INDEX(FLT_Prod_Info,$W89,K$3*$Y93+$Y94))),INDEX(FLT_Prod_Info,$W89,K$3*$Y93+$Y94)+459.6,IF($C96&lt;&gt;"External Floating Roof",K92+0.003*$C100*K91,IF(I97&lt;&gt;"Pontoon",K92+(0.71*$C99*K91+0.485*($C91/$C90)*$C98*K91)/(170*$C91/$C90+45),K92+(0.39*$C99*K91+0.485*($C91/$C90)*$C98*K91)/(170*$C91/$C90+45))))</f>
        <v>521.3309999999999</v>
      </c>
      <c r="L93" s="20" cm="1">
        <f t="array" ref="L93">IF(NOT(ISBLANK(INDEX(FLT_Prod_Info,$W89,L$3*$Y93+$Y94))),INDEX(FLT_Prod_Info,$W89,L$3*$Y93+$Y94)+459.6,IF($C96&lt;&gt;"External Floating Roof",L92+0.003*$C100*L91,IF(J97&lt;&gt;"Pontoon",L92+(0.71*$C99*L91+0.485*($C91/$C90)*$C98*L91)/(170*$C91/$C90+45),L92+(0.39*$C99*L91+0.485*($C91/$C90)*$C98*L91)/(170*$C91/$C90+45))))</f>
        <v>521.61900000000003</v>
      </c>
      <c r="M93" s="20" cm="1">
        <f t="array" ref="M93">IF(NOT(ISBLANK(INDEX(FLT_Prod_Info,$W89,M$3*$Y93+$Y94))),INDEX(FLT_Prod_Info,$W89,M$3*$Y93+$Y94)+459.6,IF($C96&lt;&gt;"External Floating Roof",M92+0.003*$C100*M91,IF(K97&lt;&gt;"Pontoon",M92+(0.71*$C99*M91+0.485*($C91/$C90)*$C98*M91)/(170*$C91/$C90+45),M92+(0.39*$C99*M91+0.485*($C91/$C90)*$C98*M91)/(170*$C91/$C90+45))))</f>
        <v>519.09700000000009</v>
      </c>
      <c r="N93" s="20" cm="1">
        <f t="array" ref="N93">IF(NOT(ISBLANK(INDEX(FLT_Prod_Info,$W89,N$3*$Y93+$Y94))),INDEX(FLT_Prod_Info,$W89,N$3*$Y93+$Y94)+459.6,IF($C96&lt;&gt;"External Floating Roof",N92+0.003*$C100*N91,IF(L97&lt;&gt;"Pontoon",N92+(0.71*$C99*N91+0.485*($C91/$C90)*$C98*N91)/(170*$C91/$C90+45),N92+(0.39*$C99*N91+0.485*($C91/$C90)*$C98*N91)/(170*$C91/$C90+45))))</f>
        <v>512.79600000000005</v>
      </c>
      <c r="O93" s="20" cm="1">
        <f t="array" ref="O93">IF(NOT(ISBLANK(INDEX(FLT_Prod_Info,$W89,O$3*$Y93+$Y94))),INDEX(FLT_Prod_Info,$W89,O$3*$Y93+$Y94)+459.6,IF($C96&lt;&gt;"External Floating Roof",O92+0.003*$C100*O91,IF(M97&lt;&gt;"Pontoon",O92+(0.71*$C99*O91+0.485*($C91/$C90)*$C98*O91)/(170*$C91/$C90+45),O92+(0.39*$C99*O91+0.485*($C91/$C90)*$C98*O91)/(170*$C91/$C90+45))))</f>
        <v>506.99325000000005</v>
      </c>
      <c r="P93" s="20" cm="1">
        <f t="array" ref="P93">IF(NOT(ISBLANK(INDEX(FLT_Prod_Info,$W89,P$3*$Y93+$Y94))),INDEX(FLT_Prod_Info,$W89,P$3*$Y93+$Y94)+459.6,IF($C96&lt;&gt;"External Floating Roof",P92+0.003*$C100*P91,IF(N97&lt;&gt;"Pontoon",P92+(0.71*$C99*P91+0.485*($C91/$C90)*$C98*P91)/(170*$C91/$C90+45),P92+(0.39*$C99*P91+0.485*($C91/$C90)*$C98*P91)/(170*$C91/$C90+45))))</f>
        <v>503.42650000000003</v>
      </c>
      <c r="Q93" s="20">
        <f t="shared" si="118"/>
        <v>511.74497916666661</v>
      </c>
      <c r="R93">
        <f t="shared" si="121"/>
        <v>89</v>
      </c>
      <c r="T93" t="s">
        <v>1521</v>
      </c>
      <c r="U93">
        <v>8</v>
      </c>
      <c r="X93" t="s">
        <v>541</v>
      </c>
      <c r="Y93">
        <f>(Y90-Y89)/(Y92-Y91)</f>
        <v>1</v>
      </c>
    </row>
    <row r="94" spans="1:31" ht="17.149999999999999" x14ac:dyDescent="0.55000000000000004">
      <c r="B94" t="s">
        <v>1522</v>
      </c>
      <c r="C94" t="str" cm="1">
        <f t="array" ref="C94">INDEX(FLT_Cons,$S89,$U95)</f>
        <v>White</v>
      </c>
      <c r="D94" t="s">
        <v>552</v>
      </c>
      <c r="E94" s="20">
        <f>IF($C96&lt;&gt;"External Floating Roof",((2.86*($C91/$C90)+1.43)*E92+(3.52*($C91/$C90)+3.79)*E93+0.027*$C99*E91+0.017*($C91/$C90)*$C98*E91)/(6.38*($C91/$C90)+5.22),IF($C97="Pontoon",0.7*E92+0.3*E93+0.008*$C99*E91,0.3*E92+0.7*E93+0.009*$C99*E91))</f>
        <v>504.05733397757285</v>
      </c>
      <c r="F94" s="20">
        <f t="shared" ref="F94" si="123">IF($C96&lt;&gt;"External Floating Roof",((2.86*($C91/$C90)+1.43)*F92+(3.52*($C91/$C90)+3.79)*F93+0.027*$C99*F91+0.017*($C91/$C90)*$C98*F91)/(6.38*($C91/$C90)+5.22),IF($C97="Pontoon",0.7*F92+0.3*F93+0.008*$C99*F91,0.3*F92+0.7*F93+0.009*$C99*F91))</f>
        <v>505.27492824065229</v>
      </c>
      <c r="G94" s="20">
        <f t="shared" ref="G94" si="124">IF($C96&lt;&gt;"External Floating Roof",((2.86*($C91/$C90)+1.43)*G92+(3.52*($C91/$C90)+3.79)*G93+0.027*$C99*G91+0.017*($C91/$C90)*$C98*G91)/(6.38*($C91/$C90)+5.22),IF($C97="Pontoon",0.7*G92+0.3*G93+0.008*$C99*G91,0.3*G92+0.7*G93+0.009*$C99*G91))</f>
        <v>507.12502011175337</v>
      </c>
      <c r="H94" s="20">
        <f t="shared" ref="H94" si="125">IF($C96&lt;&gt;"External Floating Roof",((2.86*($C91/$C90)+1.43)*H92+(3.52*($C91/$C90)+3.79)*H93+0.027*$C99*H91+0.017*($C91/$C90)*$C98*H91)/(6.38*($C91/$C90)+5.22),IF($C97="Pontoon",0.7*H92+0.3*H93+0.008*$C99*H91,0.3*H92+0.7*H93+0.009*$C99*H91))</f>
        <v>510.23435026216089</v>
      </c>
      <c r="I94" s="20">
        <f t="shared" ref="I94" si="126">IF($C96&lt;&gt;"External Floating Roof",((2.86*($C91/$C90)+1.43)*I92+(3.52*($C91/$C90)+3.79)*I93+0.027*$C99*I91+0.017*($C91/$C90)*$C98*I91)/(6.38*($C91/$C90)+5.22),IF($C97="Pontoon",0.7*I92+0.3*I93+0.008*$C99*I91,0.3*I92+0.7*I93+0.009*$C99*I91))</f>
        <v>515.2474411764706</v>
      </c>
      <c r="J94" s="20">
        <f t="shared" ref="J94" si="127">IF($C96&lt;&gt;"External Floating Roof",((2.86*($C91/$C90)+1.43)*J92+(3.52*($C91/$C90)+3.79)*J93+0.027*$C99*J91+0.017*($C91/$C90)*$C98*J91)/(6.38*($C91/$C90)+5.22),IF($C97="Pontoon",0.7*J92+0.3*J93+0.008*$C99*J91,0.3*J92+0.7*J93+0.009*$C99*J91))</f>
        <v>519.19368041256848</v>
      </c>
      <c r="K94" s="20">
        <f t="shared" ref="K94" si="128">IF($C96&lt;&gt;"External Floating Roof",((2.86*($C91/$C90)+1.43)*K92+(3.52*($C91/$C90)+3.79)*K93+0.027*$C99*K91+0.017*($C91/$C90)*$C98*K91)/(6.38*($C91/$C90)+5.22),IF($C97="Pontoon",0.7*K92+0.3*K93+0.008*$C99*K91,0.3*K92+0.7*K93+0.009*$C99*K91))</f>
        <v>522.82529572505644</v>
      </c>
      <c r="L94" s="20">
        <f t="shared" ref="L94" si="129">IF($C96&lt;&gt;"External Floating Roof",((2.86*($C91/$C90)+1.43)*L92+(3.52*($C91/$C90)+3.79)*L93+0.027*$C99*L91+0.017*($C91/$C90)*$C98*L91)/(6.38*($C91/$C90)+5.22),IF($C97="Pontoon",0.7*L92+0.3*L93+0.008*$C99*L91,0.3*L92+0.7*L93+0.009*$C99*L91))</f>
        <v>522.92432155842164</v>
      </c>
      <c r="M94" s="20">
        <f t="shared" ref="M94" si="130">IF($C96&lt;&gt;"External Floating Roof",((2.86*($C91/$C90)+1.43)*M92+(3.52*($C91/$C90)+3.79)*M93+0.027*$C99*M91+0.017*($C91/$C90)*$C98*M91)/(6.38*($C91/$C90)+5.22),IF($C97="Pontoon",0.7*M92+0.3*M93+0.008*$C99*M91,0.3*M92+0.7*M93+0.009*$C99*M91))</f>
        <v>520.14335695969999</v>
      </c>
      <c r="N94" s="20">
        <f t="shared" ref="N94" si="131">IF($C96&lt;&gt;"External Floating Roof",((2.86*($C91/$C90)+1.43)*N92+(3.52*($C91/$C90)+3.79)*N93+0.027*$C99*N91+0.017*($C91/$C90)*$C98*N91)/(6.38*($C91/$C90)+5.22),IF($C97="Pontoon",0.7*N92+0.3*N93+0.008*$C99*N91,0.3*N92+0.7*N93+0.009*$C99*N91))</f>
        <v>513.43291293199138</v>
      </c>
      <c r="O94" s="20">
        <f t="shared" ref="O94" si="132">IF($C96&lt;&gt;"External Floating Roof",((2.86*($C91/$C90)+1.43)*O92+(3.52*($C91/$C90)+3.79)*O93+0.027*$C99*O91+0.017*($C91/$C90)*$C98*O91)/(6.38*($C91/$C90)+5.22),IF($C97="Pontoon",0.7*O92+0.3*O93+0.008*$C99*O91,0.3*O92+0.7*O93+0.009*$C99*O91))</f>
        <v>507.33532823682503</v>
      </c>
      <c r="P94" s="20">
        <f t="shared" ref="P94" si="133">IF($C96&lt;&gt;"External Floating Roof",((2.86*($C91/$C90)+1.43)*P92+(3.52*($C91/$C90)+3.79)*P93+0.027*$C99*P91+0.017*($C91/$C90)*$C98*P91)/(6.38*($C91/$C90)+5.22),IF($C97="Pontoon",0.7*P92+0.3*P93+0.008*$C99*P91,0.3*P92+0.7*P93+0.009*$C99*P91))</f>
        <v>503.69071388112837</v>
      </c>
      <c r="Q94" s="20">
        <f t="shared" si="118"/>
        <v>512.62372362285851</v>
      </c>
      <c r="R94">
        <f t="shared" si="121"/>
        <v>90</v>
      </c>
      <c r="T94" t="s">
        <v>1652</v>
      </c>
      <c r="U94">
        <v>9</v>
      </c>
      <c r="X94" t="s">
        <v>542</v>
      </c>
      <c r="Y94">
        <f>Y92*Y93-Y90</f>
        <v>0</v>
      </c>
    </row>
    <row r="95" spans="1:31" x14ac:dyDescent="0.4">
      <c r="B95" t="s">
        <v>1772</v>
      </c>
      <c r="C95" t="str" cm="1">
        <f t="array" ref="C95">INDEX(FLT_Cons,$S89,$U96)</f>
        <v>Average</v>
      </c>
      <c r="R95">
        <f t="shared" si="121"/>
        <v>91</v>
      </c>
      <c r="T95" t="s">
        <v>1522</v>
      </c>
      <c r="U95">
        <v>10</v>
      </c>
    </row>
    <row r="96" spans="1:31" x14ac:dyDescent="0.4">
      <c r="B96" t="s">
        <v>1507</v>
      </c>
      <c r="C96" t="str" cm="1">
        <f t="array" ref="C96">INDEX(FLT_Cons,$S89,$U97)</f>
        <v>Internal Floating Roof</v>
      </c>
      <c r="R96">
        <f t="shared" si="121"/>
        <v>92</v>
      </c>
      <c r="T96" t="s">
        <v>1772</v>
      </c>
      <c r="U96">
        <v>11</v>
      </c>
    </row>
    <row r="97" spans="1:31" x14ac:dyDescent="0.4">
      <c r="B97" t="s">
        <v>1525</v>
      </c>
      <c r="C97" t="str" cm="1">
        <f t="array" ref="C97">INDEX(FLT_Cons,$S89,$U98)</f>
        <v>N/A - IFR</v>
      </c>
      <c r="R97">
        <f t="shared" si="121"/>
        <v>93</v>
      </c>
      <c r="T97" t="s">
        <v>1507</v>
      </c>
      <c r="U97">
        <v>13</v>
      </c>
    </row>
    <row r="98" spans="1:31" ht="17.149999999999999" x14ac:dyDescent="0.4">
      <c r="B98" s="66" t="s">
        <v>514</v>
      </c>
      <c r="C98" cm="1">
        <f t="array" ref="C98">INDEX(Tbl_71_6,MATCH(C92,Paint_Color,0),MATCH(C93,Paint_Condition,0)+1)</f>
        <v>0.25</v>
      </c>
      <c r="R98">
        <f t="shared" si="121"/>
        <v>94</v>
      </c>
      <c r="T98" t="s">
        <v>1525</v>
      </c>
      <c r="U98">
        <v>16</v>
      </c>
    </row>
    <row r="99" spans="1:31" ht="17.149999999999999" x14ac:dyDescent="0.4">
      <c r="B99" s="66" t="s">
        <v>513</v>
      </c>
      <c r="C99" cm="1">
        <f t="array" ref="C99">INDEX(Tbl_71_6,MATCH(C94,Paint_Color,0),MATCH(C95,Paint_Condition,0)+1)</f>
        <v>0.25</v>
      </c>
      <c r="R99">
        <f t="shared" si="121"/>
        <v>95</v>
      </c>
    </row>
    <row r="100" spans="1:31" x14ac:dyDescent="0.4">
      <c r="A100" s="11"/>
      <c r="B100" s="207" t="s">
        <v>558</v>
      </c>
      <c r="C100" s="11">
        <f>AVERAGE(C98:C99)</f>
        <v>0.25</v>
      </c>
      <c r="D100" s="11"/>
      <c r="E100" s="11"/>
      <c r="F100" s="11"/>
      <c r="G100" s="11"/>
      <c r="H100" s="11"/>
      <c r="I100" s="11"/>
      <c r="J100" s="11"/>
      <c r="K100" s="11"/>
      <c r="L100" s="11"/>
      <c r="M100" s="11"/>
      <c r="N100" s="11"/>
      <c r="O100" s="11"/>
      <c r="P100" s="11"/>
      <c r="Q100" s="11"/>
      <c r="R100" s="11">
        <f t="shared" si="121"/>
        <v>96</v>
      </c>
      <c r="S100" s="11"/>
      <c r="T100" s="11"/>
      <c r="U100" s="11"/>
      <c r="V100" s="11"/>
      <c r="W100" s="11"/>
      <c r="X100" s="11"/>
      <c r="Y100" s="11"/>
      <c r="Z100" s="11"/>
      <c r="AA100" s="11"/>
      <c r="AB100" s="11"/>
      <c r="AC100" s="11"/>
      <c r="AD100" s="11"/>
      <c r="AE100" s="11"/>
    </row>
    <row r="101" spans="1:31" ht="17.149999999999999" x14ac:dyDescent="0.55000000000000004">
      <c r="A101" t="str" cm="1">
        <f t="array" ref="A101">INDEX(FLT_Cons,$S101,$U101)</f>
        <v>FLT - 9</v>
      </c>
      <c r="B101" t="s">
        <v>4</v>
      </c>
      <c r="C101" t="str" cm="1">
        <f t="array" ref="C101">INDEX(FLT_Cons,$S101,$U102)</f>
        <v>Portland</v>
      </c>
      <c r="D101" t="s">
        <v>510</v>
      </c>
      <c r="E101" s="20">
        <f t="shared" ref="E101:P101" si="134">VLOOKUP(VLOOKUP($C101,Terminal_X_Ref,2,FALSE)&amp;$D101,Weather_Data,$AD101*E$3+$AE101,FALSE)+459.6</f>
        <v>498.3</v>
      </c>
      <c r="F101" s="20">
        <f t="shared" si="134"/>
        <v>497.70000000000005</v>
      </c>
      <c r="G101" s="20">
        <f t="shared" si="134"/>
        <v>499.1</v>
      </c>
      <c r="H101" s="20">
        <f t="shared" si="134"/>
        <v>501.5</v>
      </c>
      <c r="I101" s="20">
        <f t="shared" si="134"/>
        <v>506.1</v>
      </c>
      <c r="J101" s="20">
        <f t="shared" si="134"/>
        <v>510.3</v>
      </c>
      <c r="K101" s="20">
        <f t="shared" si="134"/>
        <v>513.70000000000005</v>
      </c>
      <c r="L101" s="20">
        <f t="shared" si="134"/>
        <v>513.70000000000005</v>
      </c>
      <c r="M101" s="20">
        <f t="shared" si="134"/>
        <v>510</v>
      </c>
      <c r="N101" s="20">
        <f t="shared" si="134"/>
        <v>504.90000000000003</v>
      </c>
      <c r="O101" s="20">
        <f t="shared" si="134"/>
        <v>500.6</v>
      </c>
      <c r="P101" s="20">
        <f t="shared" si="134"/>
        <v>498.20000000000005</v>
      </c>
      <c r="Q101" s="20">
        <f>AVERAGE(E101:P101)</f>
        <v>504.50833333333327</v>
      </c>
      <c r="R101">
        <f>R100+1</f>
        <v>97</v>
      </c>
      <c r="S101">
        <f>S89+1</f>
        <v>9</v>
      </c>
      <c r="T101" s="206" t="s">
        <v>548</v>
      </c>
      <c r="U101">
        <v>1</v>
      </c>
      <c r="V101" t="s">
        <v>1386</v>
      </c>
      <c r="W101">
        <f>W89+12</f>
        <v>108</v>
      </c>
      <c r="X101" t="s">
        <v>550</v>
      </c>
      <c r="Y101">
        <v>1</v>
      </c>
      <c r="Z101">
        <v>2</v>
      </c>
      <c r="AA101">
        <v>3</v>
      </c>
      <c r="AB101">
        <v>1</v>
      </c>
      <c r="AC101">
        <v>2</v>
      </c>
      <c r="AD101">
        <f>(AA101-Z101)/(AC101-AB101)</f>
        <v>1</v>
      </c>
      <c r="AE101">
        <f>Z101-AD101*AB101</f>
        <v>1</v>
      </c>
    </row>
    <row r="102" spans="1:31" ht="17.149999999999999" x14ac:dyDescent="0.55000000000000004">
      <c r="B102" t="s">
        <v>1771</v>
      </c>
      <c r="C102" cm="1">
        <f t="array" ref="C102">INDEX(FLT_Cons,$S101,$U103)</f>
        <v>52</v>
      </c>
      <c r="D102" t="s">
        <v>511</v>
      </c>
      <c r="E102" s="20">
        <f t="shared" ref="E102:P102" si="135">VLOOKUP(VLOOKUP($C101,Terminal_X_Ref,2,FALSE)&amp;$D102,Weather_Data,$AD102*E$3+$AE102,FALSE)+459.6</f>
        <v>508.70000000000005</v>
      </c>
      <c r="F102" s="20">
        <f t="shared" si="135"/>
        <v>510.90000000000003</v>
      </c>
      <c r="G102" s="20">
        <f t="shared" si="135"/>
        <v>512.30000000000007</v>
      </c>
      <c r="H102" s="20">
        <f t="shared" si="135"/>
        <v>514.9</v>
      </c>
      <c r="I102" s="20">
        <f t="shared" si="135"/>
        <v>519.4</v>
      </c>
      <c r="J102" s="20">
        <f t="shared" si="135"/>
        <v>522.80000000000007</v>
      </c>
      <c r="K102" s="20">
        <f t="shared" si="135"/>
        <v>526.4</v>
      </c>
      <c r="L102" s="20">
        <f t="shared" si="135"/>
        <v>527.30000000000007</v>
      </c>
      <c r="M102" s="20">
        <f t="shared" si="135"/>
        <v>526.4</v>
      </c>
      <c r="N102" s="20">
        <f t="shared" si="135"/>
        <v>519.6</v>
      </c>
      <c r="O102" s="20">
        <f t="shared" si="135"/>
        <v>512.80000000000007</v>
      </c>
      <c r="P102" s="20">
        <f t="shared" si="135"/>
        <v>508.20000000000005</v>
      </c>
      <c r="Q102" s="20">
        <f t="shared" ref="Q102:Q106" si="136">AVERAGE(E102:P102)</f>
        <v>517.47500000000002</v>
      </c>
      <c r="R102">
        <f>R101+1</f>
        <v>98</v>
      </c>
      <c r="T102" t="s">
        <v>549</v>
      </c>
      <c r="U102">
        <v>3</v>
      </c>
      <c r="X102" t="s">
        <v>551</v>
      </c>
      <c r="Y102">
        <v>2</v>
      </c>
      <c r="Z102">
        <f>Z101</f>
        <v>2</v>
      </c>
      <c r="AA102">
        <f t="shared" ref="AA102:AE102" si="137">AA101</f>
        <v>3</v>
      </c>
      <c r="AB102">
        <f t="shared" si="137"/>
        <v>1</v>
      </c>
      <c r="AC102">
        <f t="shared" si="137"/>
        <v>2</v>
      </c>
      <c r="AD102">
        <f t="shared" si="137"/>
        <v>1</v>
      </c>
      <c r="AE102">
        <f t="shared" si="137"/>
        <v>1</v>
      </c>
    </row>
    <row r="103" spans="1:31" x14ac:dyDescent="0.4">
      <c r="B103" t="s">
        <v>231</v>
      </c>
      <c r="C103" cm="1">
        <f t="array" ref="C103">INDEX(FLT_Cons,$S101,$U104)</f>
        <v>40</v>
      </c>
      <c r="D103" t="s">
        <v>260</v>
      </c>
      <c r="E103" s="20">
        <f t="shared" ref="E103:P103" si="138">VLOOKUP(VLOOKUP($C101,Terminal_X_Ref,2,FALSE)&amp;$D103,Weather_Data,$AD101*E$3+$AE101,FALSE)</f>
        <v>343</v>
      </c>
      <c r="F103" s="20">
        <f t="shared" si="138"/>
        <v>600</v>
      </c>
      <c r="G103" s="20">
        <f t="shared" si="138"/>
        <v>877</v>
      </c>
      <c r="H103" s="20">
        <f t="shared" si="138"/>
        <v>1252</v>
      </c>
      <c r="I103" s="20">
        <f t="shared" si="138"/>
        <v>1537</v>
      </c>
      <c r="J103" s="20">
        <f t="shared" si="138"/>
        <v>1627</v>
      </c>
      <c r="K103" s="20">
        <f t="shared" si="138"/>
        <v>1708</v>
      </c>
      <c r="L103" s="20">
        <f t="shared" si="138"/>
        <v>1492</v>
      </c>
      <c r="M103" s="20">
        <f t="shared" si="138"/>
        <v>1196</v>
      </c>
      <c r="N103" s="20">
        <f t="shared" si="138"/>
        <v>728</v>
      </c>
      <c r="O103" s="20">
        <f t="shared" si="138"/>
        <v>391</v>
      </c>
      <c r="P103" s="20">
        <f t="shared" si="138"/>
        <v>302</v>
      </c>
      <c r="Q103" s="20">
        <f t="shared" si="136"/>
        <v>1004.4166666666666</v>
      </c>
      <c r="R103">
        <f t="shared" ref="R103:R112" si="139">R102+1</f>
        <v>99</v>
      </c>
      <c r="T103" t="s">
        <v>1747</v>
      </c>
      <c r="U103">
        <v>5</v>
      </c>
      <c r="X103" t="s">
        <v>1776</v>
      </c>
      <c r="Y103">
        <v>1</v>
      </c>
    </row>
    <row r="104" spans="1:31" ht="17.149999999999999" x14ac:dyDescent="0.55000000000000004">
      <c r="B104" t="s">
        <v>1521</v>
      </c>
      <c r="C104" t="str" cm="1">
        <f t="array" ref="C104">INDEX(FLT_Cons,$S101,$U105)</f>
        <v>White</v>
      </c>
      <c r="D104" t="s">
        <v>524</v>
      </c>
      <c r="E104" s="20">
        <f>AVERAGE(E101:E102)</f>
        <v>503.5</v>
      </c>
      <c r="F104" s="20">
        <f t="shared" ref="F104:P104" si="140">AVERAGE(F101:F102)</f>
        <v>504.30000000000007</v>
      </c>
      <c r="G104" s="20">
        <f t="shared" si="140"/>
        <v>505.70000000000005</v>
      </c>
      <c r="H104" s="20">
        <f t="shared" si="140"/>
        <v>508.2</v>
      </c>
      <c r="I104" s="20">
        <f t="shared" si="140"/>
        <v>512.75</v>
      </c>
      <c r="J104" s="20">
        <f t="shared" si="140"/>
        <v>516.55000000000007</v>
      </c>
      <c r="K104" s="20">
        <f t="shared" si="140"/>
        <v>520.04999999999995</v>
      </c>
      <c r="L104" s="20">
        <f t="shared" si="140"/>
        <v>520.5</v>
      </c>
      <c r="M104" s="20">
        <f t="shared" si="140"/>
        <v>518.20000000000005</v>
      </c>
      <c r="N104" s="20">
        <f t="shared" si="140"/>
        <v>512.25</v>
      </c>
      <c r="O104" s="20">
        <f t="shared" si="140"/>
        <v>506.70000000000005</v>
      </c>
      <c r="P104" s="20">
        <f t="shared" si="140"/>
        <v>503.20000000000005</v>
      </c>
      <c r="Q104" s="20">
        <f t="shared" si="136"/>
        <v>510.99166666666662</v>
      </c>
      <c r="R104">
        <f t="shared" si="139"/>
        <v>100</v>
      </c>
      <c r="T104" t="s">
        <v>231</v>
      </c>
      <c r="U104">
        <v>6</v>
      </c>
      <c r="X104" t="s">
        <v>1777</v>
      </c>
      <c r="Y104">
        <v>2</v>
      </c>
    </row>
    <row r="105" spans="1:31" ht="17.149999999999999" x14ac:dyDescent="0.55000000000000004">
      <c r="B105" t="s">
        <v>1652</v>
      </c>
      <c r="C105" t="str" cm="1">
        <f t="array" ref="C105">INDEX(FLT_Cons,$S101,$U106)</f>
        <v>Average</v>
      </c>
      <c r="D105" t="s">
        <v>525</v>
      </c>
      <c r="E105" s="20" cm="1">
        <f t="array" ref="E105">IF(NOT(ISBLANK(INDEX(FLT_Prod_Info,$W101,E$3*$Y105+$Y106))),INDEX(FLT_Prod_Info,$W101,E$3*$Y105+$Y106)+459.6,IF($C108&lt;&gt;"External Floating Roof",E104+0.003*$C112*E103,IF(C109&lt;&gt;"Pontoon",E104+(0.71*$C111*E103+0.485*($C103/$C102)*$C110*E103)/(170*$C103/$C102+45),E104+(0.39*$C111*E103+0.485*($C103/$C102)*$C110*E103)/(170*$C103/$C102+45))))</f>
        <v>503.75725</v>
      </c>
      <c r="F105" s="20" cm="1">
        <f t="array" ref="F105">IF(NOT(ISBLANK(INDEX(FLT_Prod_Info,$W101,F$3*$Y105+$Y106))),INDEX(FLT_Prod_Info,$W101,F$3*$Y105+$Y106)+459.6,IF($C108&lt;&gt;"External Floating Roof",F104+0.003*$C112*F103,IF(D109&lt;&gt;"Pontoon",F104+(0.71*$C111*F103+0.485*($C103/$C102)*$C110*F103)/(170*$C103/$C102+45),F104+(0.39*$C111*F103+0.485*($C103/$C102)*$C110*F103)/(170*$C103/$C102+45))))</f>
        <v>504.75000000000006</v>
      </c>
      <c r="G105" s="20" cm="1">
        <f t="array" ref="G105">IF(NOT(ISBLANK(INDEX(FLT_Prod_Info,$W101,G$3*$Y105+$Y106))),INDEX(FLT_Prod_Info,$W101,G$3*$Y105+$Y106)+459.6,IF($C108&lt;&gt;"External Floating Roof",G104+0.003*$C112*G103,IF(E109&lt;&gt;"Pontoon",G104+(0.71*$C111*G103+0.485*($C103/$C102)*$C110*G103)/(170*$C103/$C102+45),G104+(0.39*$C111*G103+0.485*($C103/$C102)*$C110*G103)/(170*$C103/$C102+45))))</f>
        <v>506.35775000000007</v>
      </c>
      <c r="H105" s="20" cm="1">
        <f t="array" ref="H105">IF(NOT(ISBLANK(INDEX(FLT_Prod_Info,$W101,H$3*$Y105+$Y106))),INDEX(FLT_Prod_Info,$W101,H$3*$Y105+$Y106)+459.6,IF($C108&lt;&gt;"External Floating Roof",H104+0.003*$C112*H103,IF(F109&lt;&gt;"Pontoon",H104+(0.71*$C111*H103+0.485*($C103/$C102)*$C110*H103)/(170*$C103/$C102+45),H104+(0.39*$C111*H103+0.485*($C103/$C102)*$C110*H103)/(170*$C103/$C102+45))))</f>
        <v>509.13900000000001</v>
      </c>
      <c r="I105" s="20" cm="1">
        <f t="array" ref="I105">IF(NOT(ISBLANK(INDEX(FLT_Prod_Info,$W101,I$3*$Y105+$Y106))),INDEX(FLT_Prod_Info,$W101,I$3*$Y105+$Y106)+459.6,IF($C108&lt;&gt;"External Floating Roof",I104+0.003*$C112*I103,IF(G109&lt;&gt;"Pontoon",I104+(0.71*$C111*I103+0.485*($C103/$C102)*$C110*I103)/(170*$C103/$C102+45),I104+(0.39*$C111*I103+0.485*($C103/$C102)*$C110*I103)/(170*$C103/$C102+45))))</f>
        <v>513.90274999999997</v>
      </c>
      <c r="J105" s="20" cm="1">
        <f t="array" ref="J105">IF(NOT(ISBLANK(INDEX(FLT_Prod_Info,$W101,J$3*$Y105+$Y106))),INDEX(FLT_Prod_Info,$W101,J$3*$Y105+$Y106)+459.6,IF($C108&lt;&gt;"External Floating Roof",J104+0.003*$C112*J103,IF(H109&lt;&gt;"Pontoon",J104+(0.71*$C111*J103+0.485*($C103/$C102)*$C110*J103)/(170*$C103/$C102+45),J104+(0.39*$C111*J103+0.485*($C103/$C102)*$C110*J103)/(170*$C103/$C102+45))))</f>
        <v>517.77025000000003</v>
      </c>
      <c r="K105" s="20" cm="1">
        <f t="array" ref="K105">IF(NOT(ISBLANK(INDEX(FLT_Prod_Info,$W101,K$3*$Y105+$Y106))),INDEX(FLT_Prod_Info,$W101,K$3*$Y105+$Y106)+459.6,IF($C108&lt;&gt;"External Floating Roof",K104+0.003*$C112*K103,IF(I109&lt;&gt;"Pontoon",K104+(0.71*$C111*K103+0.485*($C103/$C102)*$C110*K103)/(170*$C103/$C102+45),K104+(0.39*$C111*K103+0.485*($C103/$C102)*$C110*K103)/(170*$C103/$C102+45))))</f>
        <v>521.3309999999999</v>
      </c>
      <c r="L105" s="20" cm="1">
        <f t="array" ref="L105">IF(NOT(ISBLANK(INDEX(FLT_Prod_Info,$W101,L$3*$Y105+$Y106))),INDEX(FLT_Prod_Info,$W101,L$3*$Y105+$Y106)+459.6,IF($C108&lt;&gt;"External Floating Roof",L104+0.003*$C112*L103,IF(J109&lt;&gt;"Pontoon",L104+(0.71*$C111*L103+0.485*($C103/$C102)*$C110*L103)/(170*$C103/$C102+45),L104+(0.39*$C111*L103+0.485*($C103/$C102)*$C110*L103)/(170*$C103/$C102+45))))</f>
        <v>521.61900000000003</v>
      </c>
      <c r="M105" s="20" cm="1">
        <f t="array" ref="M105">IF(NOT(ISBLANK(INDEX(FLT_Prod_Info,$W101,M$3*$Y105+$Y106))),INDEX(FLT_Prod_Info,$W101,M$3*$Y105+$Y106)+459.6,IF($C108&lt;&gt;"External Floating Roof",M104+0.003*$C112*M103,IF(K109&lt;&gt;"Pontoon",M104+(0.71*$C111*M103+0.485*($C103/$C102)*$C110*M103)/(170*$C103/$C102+45),M104+(0.39*$C111*M103+0.485*($C103/$C102)*$C110*M103)/(170*$C103/$C102+45))))</f>
        <v>519.09700000000009</v>
      </c>
      <c r="N105" s="20" cm="1">
        <f t="array" ref="N105">IF(NOT(ISBLANK(INDEX(FLT_Prod_Info,$W101,N$3*$Y105+$Y106))),INDEX(FLT_Prod_Info,$W101,N$3*$Y105+$Y106)+459.6,IF($C108&lt;&gt;"External Floating Roof",N104+0.003*$C112*N103,IF(L109&lt;&gt;"Pontoon",N104+(0.71*$C111*N103+0.485*($C103/$C102)*$C110*N103)/(170*$C103/$C102+45),N104+(0.39*$C111*N103+0.485*($C103/$C102)*$C110*N103)/(170*$C103/$C102+45))))</f>
        <v>512.79600000000005</v>
      </c>
      <c r="O105" s="20" cm="1">
        <f t="array" ref="O105">IF(NOT(ISBLANK(INDEX(FLT_Prod_Info,$W101,O$3*$Y105+$Y106))),INDEX(FLT_Prod_Info,$W101,O$3*$Y105+$Y106)+459.6,IF($C108&lt;&gt;"External Floating Roof",O104+0.003*$C112*O103,IF(M109&lt;&gt;"Pontoon",O104+(0.71*$C111*O103+0.485*($C103/$C102)*$C110*O103)/(170*$C103/$C102+45),O104+(0.39*$C111*O103+0.485*($C103/$C102)*$C110*O103)/(170*$C103/$C102+45))))</f>
        <v>506.99325000000005</v>
      </c>
      <c r="P105" s="20" cm="1">
        <f t="array" ref="P105">IF(NOT(ISBLANK(INDEX(FLT_Prod_Info,$W101,P$3*$Y105+$Y106))),INDEX(FLT_Prod_Info,$W101,P$3*$Y105+$Y106)+459.6,IF($C108&lt;&gt;"External Floating Roof",P104+0.003*$C112*P103,IF(N109&lt;&gt;"Pontoon",P104+(0.71*$C111*P103+0.485*($C103/$C102)*$C110*P103)/(170*$C103/$C102+45),P104+(0.39*$C111*P103+0.485*($C103/$C102)*$C110*P103)/(170*$C103/$C102+45))))</f>
        <v>503.42650000000003</v>
      </c>
      <c r="Q105" s="20">
        <f t="shared" si="136"/>
        <v>511.74497916666661</v>
      </c>
      <c r="R105">
        <f t="shared" si="139"/>
        <v>101</v>
      </c>
      <c r="T105" t="s">
        <v>1521</v>
      </c>
      <c r="U105">
        <v>8</v>
      </c>
      <c r="X105" t="s">
        <v>541</v>
      </c>
      <c r="Y105">
        <f>(Y102-Y101)/(Y104-Y103)</f>
        <v>1</v>
      </c>
    </row>
    <row r="106" spans="1:31" ht="17.149999999999999" x14ac:dyDescent="0.55000000000000004">
      <c r="B106" t="s">
        <v>1522</v>
      </c>
      <c r="C106" t="str" cm="1">
        <f t="array" ref="C106">INDEX(FLT_Cons,$S101,$U107)</f>
        <v>White</v>
      </c>
      <c r="D106" t="s">
        <v>552</v>
      </c>
      <c r="E106" s="20">
        <f>IF($C108&lt;&gt;"External Floating Roof",((2.86*($C103/$C102)+1.43)*E104+(3.52*($C103/$C102)+3.79)*E105+0.027*$C111*E103+0.017*($C103/$C102)*$C110*E103)/(6.38*($C103/$C102)+5.22),IF($C109="Pontoon",0.7*E104+0.3*E105+0.008*$C111*E103,0.3*E104+0.7*E105+0.009*$C111*E103))</f>
        <v>504.00437230366094</v>
      </c>
      <c r="F106" s="20">
        <f t="shared" ref="F106" si="141">IF($C108&lt;&gt;"External Floating Roof",((2.86*($C103/$C102)+1.43)*F104+(3.52*($C103/$C102)+3.79)*F105+0.027*$C111*F103+0.017*($C103/$C102)*$C110*F103)/(6.38*($C103/$C102)+5.22),IF($C109="Pontoon",0.7*F104+0.3*F105+0.008*$C111*F103,0.3*F104+0.7*F105+0.009*$C111*F103))</f>
        <v>505.18228391310959</v>
      </c>
      <c r="G106" s="20">
        <f t="shared" ref="G106" si="142">IF($C108&lt;&gt;"External Floating Roof",((2.86*($C103/$C102)+1.43)*G104+(3.52*($C103/$C102)+3.79)*G105+0.027*$C111*G103+0.017*($C103/$C102)*$C110*G103)/(6.38*($C103/$C102)+5.22),IF($C109="Pontoon",0.7*G104+0.3*G105+0.008*$C111*G103,0.3*G104+0.7*G105+0.009*$C111*G103))</f>
        <v>506.98960498632857</v>
      </c>
      <c r="H106" s="20">
        <f t="shared" ref="H106" si="143">IF($C108&lt;&gt;"External Floating Roof",((2.86*($C103/$C102)+1.43)*H104+(3.52*($C103/$C102)+3.79)*H105+0.027*$C111*H103+0.017*($C103/$C102)*$C110*H103)/(6.38*($C103/$C102)+5.22),IF($C109="Pontoon",0.7*H104+0.3*H105+0.008*$C111*H103,0.3*H104+0.7*H105+0.009*$C111*H103))</f>
        <v>510.04103243202195</v>
      </c>
      <c r="I106" s="20">
        <f t="shared" ref="I106" si="144">IF($C108&lt;&gt;"External Floating Roof",((2.86*($C103/$C102)+1.43)*I104+(3.52*($C103/$C102)+3.79)*I105+0.027*$C111*I103+0.017*($C103/$C102)*$C110*I103)/(6.38*($C103/$C102)+5.22),IF($C109="Pontoon",0.7*I104+0.3*I105+0.008*$C111*I103,0.3*I104+0.7*I105+0.009*$C111*I103))</f>
        <v>515.01011729074901</v>
      </c>
      <c r="J106" s="20">
        <f t="shared" ref="J106" si="145">IF($C108&lt;&gt;"External Floating Roof",((2.86*($C103/$C102)+1.43)*J104+(3.52*($C103/$C102)+3.79)*J105+0.027*$C111*J103+0.017*($C103/$C102)*$C110*J103)/(6.38*($C103/$C102)+5.22),IF($C109="Pontoon",0.7*J104+0.3*J105+0.008*$C111*J103,0.3*J104+0.7*J105+0.009*$C111*J103))</f>
        <v>518.94245987771535</v>
      </c>
      <c r="K106" s="20">
        <f t="shared" ref="K106" si="146">IF($C108&lt;&gt;"External Floating Roof",((2.86*($C103/$C102)+1.43)*K104+(3.52*($C103/$C102)+3.79)*K105+0.027*$C111*K103+0.017*($C103/$C102)*$C110*K103)/(6.38*($C103/$C102)+5.22),IF($C109="Pontoon",0.7*K104+0.3*K105+0.008*$C111*K103,0.3*K104+0.7*K105+0.009*$C111*K103))</f>
        <v>522.56156820598505</v>
      </c>
      <c r="L106" s="20">
        <f t="shared" ref="L106" si="147">IF($C108&lt;&gt;"External Floating Roof",((2.86*($C103/$C102)+1.43)*L104+(3.52*($C103/$C102)+3.79)*L105+0.027*$C111*L103+0.017*($C103/$C102)*$C110*L103)/(6.38*($C103/$C102)+5.22),IF($C109="Pontoon",0.7*L104+0.3*L105+0.008*$C111*L103,0.3*L104+0.7*L105+0.009*$C111*L103))</f>
        <v>522.6939459972657</v>
      </c>
      <c r="M106" s="20">
        <f t="shared" ref="M106" si="148">IF($C108&lt;&gt;"External Floating Roof",((2.86*($C103/$C102)+1.43)*M104+(3.52*($C103/$C102)+3.79)*M105+0.027*$C111*M103+0.017*($C103/$C102)*$C110*M103)/(6.38*($C103/$C102)+5.22),IF($C109="Pontoon",0.7*M104+0.3*M105+0.008*$C111*M103,0.3*M104+0.7*M105+0.009*$C111*M103))</f>
        <v>519.95868593346506</v>
      </c>
      <c r="N106" s="20">
        <f t="shared" ref="N106" si="149">IF($C108&lt;&gt;"External Floating Roof",((2.86*($C103/$C102)+1.43)*N104+(3.52*($C103/$C102)+3.79)*N105+0.027*$C111*N103+0.017*($C103/$C102)*$C110*N103)/(6.38*($C103/$C102)+5.22),IF($C109="Pontoon",0.7*N104+0.3*N105+0.008*$C111*N103,0.3*N104+0.7*N105+0.009*$C111*N103))</f>
        <v>513.3205044812396</v>
      </c>
      <c r="O106" s="20">
        <f t="shared" ref="O106" si="150">IF($C108&lt;&gt;"External Floating Roof",((2.86*($C103/$C102)+1.43)*O104+(3.52*($C103/$C102)+3.79)*O105+0.027*$C111*O103+0.017*($C103/$C102)*$C110*O103)/(6.38*($C103/$C102)+5.22),IF($C109="Pontoon",0.7*O104+0.3*O105+0.008*$C111*O103,0.3*O104+0.7*O105+0.009*$C111*O103))</f>
        <v>507.27495501670978</v>
      </c>
      <c r="P106" s="20">
        <f t="shared" ref="P106" si="151">IF($C108&lt;&gt;"External Floating Roof",((2.86*($C103/$C102)+1.43)*P104+(3.52*($C103/$C102)+3.79)*P105+0.027*$C111*P103+0.017*($C103/$C102)*$C110*P103)/(6.38*($C103/$C102)+5.22),IF($C109="Pontoon",0.7*P104+0.3*P105+0.008*$C111*P103,0.3*P104+0.7*P105+0.009*$C111*P103))</f>
        <v>503.64408290293187</v>
      </c>
      <c r="Q106" s="20">
        <f t="shared" si="136"/>
        <v>512.46863444509847</v>
      </c>
      <c r="R106">
        <f t="shared" si="139"/>
        <v>102</v>
      </c>
      <c r="T106" t="s">
        <v>1652</v>
      </c>
      <c r="U106">
        <v>9</v>
      </c>
      <c r="X106" t="s">
        <v>542</v>
      </c>
      <c r="Y106">
        <f>Y104*Y105-Y102</f>
        <v>0</v>
      </c>
    </row>
    <row r="107" spans="1:31" x14ac:dyDescent="0.4">
      <c r="B107" t="s">
        <v>1772</v>
      </c>
      <c r="C107" t="str" cm="1">
        <f t="array" ref="C107">INDEX(FLT_Cons,$S101,$U108)</f>
        <v>Average</v>
      </c>
      <c r="R107">
        <f t="shared" si="139"/>
        <v>103</v>
      </c>
      <c r="T107" t="s">
        <v>1522</v>
      </c>
      <c r="U107">
        <v>10</v>
      </c>
    </row>
    <row r="108" spans="1:31" x14ac:dyDescent="0.4">
      <c r="B108" t="s">
        <v>1507</v>
      </c>
      <c r="C108" t="str" cm="1">
        <f t="array" ref="C108">INDEX(FLT_Cons,$S101,$U109)</f>
        <v>Internal Floating Roof</v>
      </c>
      <c r="R108">
        <f t="shared" si="139"/>
        <v>104</v>
      </c>
      <c r="T108" t="s">
        <v>1772</v>
      </c>
      <c r="U108">
        <v>11</v>
      </c>
    </row>
    <row r="109" spans="1:31" x14ac:dyDescent="0.4">
      <c r="B109" t="s">
        <v>1525</v>
      </c>
      <c r="C109" t="str" cm="1">
        <f t="array" ref="C109">INDEX(FLT_Cons,$S101,$U110)</f>
        <v>N/A - IFR</v>
      </c>
      <c r="R109">
        <f t="shared" si="139"/>
        <v>105</v>
      </c>
      <c r="T109" t="s">
        <v>1507</v>
      </c>
      <c r="U109">
        <v>13</v>
      </c>
    </row>
    <row r="110" spans="1:31" ht="17.149999999999999" x14ac:dyDescent="0.4">
      <c r="B110" s="66" t="s">
        <v>514</v>
      </c>
      <c r="C110" cm="1">
        <f t="array" ref="C110">INDEX(Tbl_71_6,MATCH(C104,Paint_Color,0),MATCH(C105,Paint_Condition,0)+1)</f>
        <v>0.25</v>
      </c>
      <c r="R110">
        <f t="shared" si="139"/>
        <v>106</v>
      </c>
      <c r="T110" t="s">
        <v>1525</v>
      </c>
      <c r="U110">
        <v>16</v>
      </c>
    </row>
    <row r="111" spans="1:31" ht="17.149999999999999" x14ac:dyDescent="0.4">
      <c r="B111" s="66" t="s">
        <v>513</v>
      </c>
      <c r="C111" cm="1">
        <f t="array" ref="C111">INDEX(Tbl_71_6,MATCH(C106,Paint_Color,0),MATCH(C107,Paint_Condition,0)+1)</f>
        <v>0.25</v>
      </c>
      <c r="R111">
        <f t="shared" si="139"/>
        <v>107</v>
      </c>
    </row>
    <row r="112" spans="1:31" x14ac:dyDescent="0.4">
      <c r="A112" s="11"/>
      <c r="B112" s="207" t="s">
        <v>558</v>
      </c>
      <c r="C112" s="11">
        <f>AVERAGE(C110:C111)</f>
        <v>0.25</v>
      </c>
      <c r="D112" s="11"/>
      <c r="E112" s="11"/>
      <c r="F112" s="11"/>
      <c r="G112" s="11"/>
      <c r="H112" s="11"/>
      <c r="I112" s="11"/>
      <c r="J112" s="11"/>
      <c r="K112" s="11"/>
      <c r="L112" s="11"/>
      <c r="M112" s="11"/>
      <c r="N112" s="11"/>
      <c r="O112" s="11"/>
      <c r="P112" s="11"/>
      <c r="Q112" s="11"/>
      <c r="R112" s="11">
        <f t="shared" si="139"/>
        <v>108</v>
      </c>
      <c r="S112" s="11"/>
      <c r="T112" s="11"/>
      <c r="U112" s="11"/>
      <c r="V112" s="11"/>
      <c r="W112" s="11"/>
      <c r="X112" s="11"/>
      <c r="Y112" s="11"/>
      <c r="Z112" s="11"/>
      <c r="AA112" s="11"/>
      <c r="AB112" s="11"/>
      <c r="AC112" s="11"/>
      <c r="AD112" s="11"/>
      <c r="AE112" s="11"/>
    </row>
    <row r="113" spans="1:31" ht="17.149999999999999" x14ac:dyDescent="0.55000000000000004">
      <c r="A113" t="str" cm="1">
        <f t="array" ref="A113">INDEX(FLT_Cons,$S113,$U113)</f>
        <v>FLT - 10</v>
      </c>
      <c r="B113" t="s">
        <v>4</v>
      </c>
      <c r="C113" t="str" cm="1">
        <f t="array" ref="C113">INDEX(FLT_Cons,$S113,$U114)</f>
        <v>Portland</v>
      </c>
      <c r="D113" t="s">
        <v>510</v>
      </c>
      <c r="E113" s="20">
        <f t="shared" ref="E113:P113" si="152">VLOOKUP(VLOOKUP($C113,Terminal_X_Ref,2,FALSE)&amp;$D113,Weather_Data,$AD113*E$3+$AE113,FALSE)+459.6</f>
        <v>498.3</v>
      </c>
      <c r="F113" s="20">
        <f t="shared" si="152"/>
        <v>497.70000000000005</v>
      </c>
      <c r="G113" s="20">
        <f t="shared" si="152"/>
        <v>499.1</v>
      </c>
      <c r="H113" s="20">
        <f t="shared" si="152"/>
        <v>501.5</v>
      </c>
      <c r="I113" s="20">
        <f t="shared" si="152"/>
        <v>506.1</v>
      </c>
      <c r="J113" s="20">
        <f t="shared" si="152"/>
        <v>510.3</v>
      </c>
      <c r="K113" s="20">
        <f t="shared" si="152"/>
        <v>513.70000000000005</v>
      </c>
      <c r="L113" s="20">
        <f t="shared" si="152"/>
        <v>513.70000000000005</v>
      </c>
      <c r="M113" s="20">
        <f t="shared" si="152"/>
        <v>510</v>
      </c>
      <c r="N113" s="20">
        <f t="shared" si="152"/>
        <v>504.90000000000003</v>
      </c>
      <c r="O113" s="20">
        <f t="shared" si="152"/>
        <v>500.6</v>
      </c>
      <c r="P113" s="20">
        <f t="shared" si="152"/>
        <v>498.20000000000005</v>
      </c>
      <c r="Q113" s="20">
        <f>AVERAGE(E113:P113)</f>
        <v>504.50833333333327</v>
      </c>
      <c r="R113">
        <f>R112+1</f>
        <v>109</v>
      </c>
      <c r="S113">
        <f>S101+1</f>
        <v>10</v>
      </c>
      <c r="T113" s="206" t="s">
        <v>548</v>
      </c>
      <c r="U113">
        <v>1</v>
      </c>
      <c r="V113" t="s">
        <v>1386</v>
      </c>
      <c r="W113">
        <f>W101+12</f>
        <v>120</v>
      </c>
      <c r="X113" t="s">
        <v>550</v>
      </c>
      <c r="Y113">
        <v>1</v>
      </c>
      <c r="Z113">
        <v>2</v>
      </c>
      <c r="AA113">
        <v>3</v>
      </c>
      <c r="AB113">
        <v>1</v>
      </c>
      <c r="AC113">
        <v>2</v>
      </c>
      <c r="AD113">
        <f>(AA113-Z113)/(AC113-AB113)</f>
        <v>1</v>
      </c>
      <c r="AE113">
        <f>Z113-AD113*AB113</f>
        <v>1</v>
      </c>
    </row>
    <row r="114" spans="1:31" ht="17.149999999999999" x14ac:dyDescent="0.55000000000000004">
      <c r="B114" t="s">
        <v>1771</v>
      </c>
      <c r="C114" cm="1">
        <f t="array" ref="C114">INDEX(FLT_Cons,$S113,$U115)</f>
        <v>120</v>
      </c>
      <c r="D114" t="s">
        <v>511</v>
      </c>
      <c r="E114" s="20">
        <f t="shared" ref="E114:P114" si="153">VLOOKUP(VLOOKUP($C113,Terminal_X_Ref,2,FALSE)&amp;$D114,Weather_Data,$AD114*E$3+$AE114,FALSE)+459.6</f>
        <v>508.70000000000005</v>
      </c>
      <c r="F114" s="20">
        <f t="shared" si="153"/>
        <v>510.90000000000003</v>
      </c>
      <c r="G114" s="20">
        <f t="shared" si="153"/>
        <v>512.30000000000007</v>
      </c>
      <c r="H114" s="20">
        <f t="shared" si="153"/>
        <v>514.9</v>
      </c>
      <c r="I114" s="20">
        <f t="shared" si="153"/>
        <v>519.4</v>
      </c>
      <c r="J114" s="20">
        <f t="shared" si="153"/>
        <v>522.80000000000007</v>
      </c>
      <c r="K114" s="20">
        <f t="shared" si="153"/>
        <v>526.4</v>
      </c>
      <c r="L114" s="20">
        <f t="shared" si="153"/>
        <v>527.30000000000007</v>
      </c>
      <c r="M114" s="20">
        <f t="shared" si="153"/>
        <v>526.4</v>
      </c>
      <c r="N114" s="20">
        <f t="shared" si="153"/>
        <v>519.6</v>
      </c>
      <c r="O114" s="20">
        <f t="shared" si="153"/>
        <v>512.80000000000007</v>
      </c>
      <c r="P114" s="20">
        <f t="shared" si="153"/>
        <v>508.20000000000005</v>
      </c>
      <c r="Q114" s="20">
        <f t="shared" ref="Q114:Q118" si="154">AVERAGE(E114:P114)</f>
        <v>517.47500000000002</v>
      </c>
      <c r="R114">
        <f>R113+1</f>
        <v>110</v>
      </c>
      <c r="T114" t="s">
        <v>549</v>
      </c>
      <c r="U114">
        <v>3</v>
      </c>
      <c r="X114" t="s">
        <v>551</v>
      </c>
      <c r="Y114">
        <v>2</v>
      </c>
      <c r="Z114">
        <f>Z113</f>
        <v>2</v>
      </c>
      <c r="AA114">
        <f t="shared" ref="AA114:AE114" si="155">AA113</f>
        <v>3</v>
      </c>
      <c r="AB114">
        <f t="shared" si="155"/>
        <v>1</v>
      </c>
      <c r="AC114">
        <f t="shared" si="155"/>
        <v>2</v>
      </c>
      <c r="AD114">
        <f t="shared" si="155"/>
        <v>1</v>
      </c>
      <c r="AE114">
        <f t="shared" si="155"/>
        <v>1</v>
      </c>
    </row>
    <row r="115" spans="1:31" x14ac:dyDescent="0.4">
      <c r="B115" t="s">
        <v>231</v>
      </c>
      <c r="C115" cm="1">
        <f t="array" ref="C115">INDEX(FLT_Cons,$S113,$U116)</f>
        <v>40</v>
      </c>
      <c r="D115" t="s">
        <v>260</v>
      </c>
      <c r="E115" s="20">
        <f t="shared" ref="E115:P115" si="156">VLOOKUP(VLOOKUP($C113,Terminal_X_Ref,2,FALSE)&amp;$D115,Weather_Data,$AD113*E$3+$AE113,FALSE)</f>
        <v>343</v>
      </c>
      <c r="F115" s="20">
        <f t="shared" si="156"/>
        <v>600</v>
      </c>
      <c r="G115" s="20">
        <f t="shared" si="156"/>
        <v>877</v>
      </c>
      <c r="H115" s="20">
        <f t="shared" si="156"/>
        <v>1252</v>
      </c>
      <c r="I115" s="20">
        <f t="shared" si="156"/>
        <v>1537</v>
      </c>
      <c r="J115" s="20">
        <f t="shared" si="156"/>
        <v>1627</v>
      </c>
      <c r="K115" s="20">
        <f t="shared" si="156"/>
        <v>1708</v>
      </c>
      <c r="L115" s="20">
        <f t="shared" si="156"/>
        <v>1492</v>
      </c>
      <c r="M115" s="20">
        <f t="shared" si="156"/>
        <v>1196</v>
      </c>
      <c r="N115" s="20">
        <f t="shared" si="156"/>
        <v>728</v>
      </c>
      <c r="O115" s="20">
        <f t="shared" si="156"/>
        <v>391</v>
      </c>
      <c r="P115" s="20">
        <f t="shared" si="156"/>
        <v>302</v>
      </c>
      <c r="Q115" s="20">
        <f t="shared" si="154"/>
        <v>1004.4166666666666</v>
      </c>
      <c r="R115">
        <f t="shared" ref="R115:R124" si="157">R114+1</f>
        <v>111</v>
      </c>
      <c r="T115" t="s">
        <v>1747</v>
      </c>
      <c r="U115">
        <v>5</v>
      </c>
      <c r="X115" t="s">
        <v>1776</v>
      </c>
      <c r="Y115">
        <v>1</v>
      </c>
    </row>
    <row r="116" spans="1:31" ht="17.149999999999999" x14ac:dyDescent="0.55000000000000004">
      <c r="B116" t="s">
        <v>1521</v>
      </c>
      <c r="C116" t="str" cm="1">
        <f t="array" ref="C116">INDEX(FLT_Cons,$S113,$U117)</f>
        <v>White</v>
      </c>
      <c r="D116" t="s">
        <v>524</v>
      </c>
      <c r="E116" s="20">
        <f>AVERAGE(E113:E114)</f>
        <v>503.5</v>
      </c>
      <c r="F116" s="20">
        <f t="shared" ref="F116:P116" si="158">AVERAGE(F113:F114)</f>
        <v>504.30000000000007</v>
      </c>
      <c r="G116" s="20">
        <f t="shared" si="158"/>
        <v>505.70000000000005</v>
      </c>
      <c r="H116" s="20">
        <f t="shared" si="158"/>
        <v>508.2</v>
      </c>
      <c r="I116" s="20">
        <f t="shared" si="158"/>
        <v>512.75</v>
      </c>
      <c r="J116" s="20">
        <f t="shared" si="158"/>
        <v>516.55000000000007</v>
      </c>
      <c r="K116" s="20">
        <f t="shared" si="158"/>
        <v>520.04999999999995</v>
      </c>
      <c r="L116" s="20">
        <f t="shared" si="158"/>
        <v>520.5</v>
      </c>
      <c r="M116" s="20">
        <f t="shared" si="158"/>
        <v>518.20000000000005</v>
      </c>
      <c r="N116" s="20">
        <f t="shared" si="158"/>
        <v>512.25</v>
      </c>
      <c r="O116" s="20">
        <f t="shared" si="158"/>
        <v>506.70000000000005</v>
      </c>
      <c r="P116" s="20">
        <f t="shared" si="158"/>
        <v>503.20000000000005</v>
      </c>
      <c r="Q116" s="20">
        <f t="shared" si="154"/>
        <v>510.99166666666662</v>
      </c>
      <c r="R116">
        <f t="shared" si="157"/>
        <v>112</v>
      </c>
      <c r="T116" t="s">
        <v>231</v>
      </c>
      <c r="U116">
        <v>6</v>
      </c>
      <c r="X116" t="s">
        <v>1777</v>
      </c>
      <c r="Y116">
        <v>2</v>
      </c>
    </row>
    <row r="117" spans="1:31" ht="17.149999999999999" x14ac:dyDescent="0.55000000000000004">
      <c r="B117" t="s">
        <v>1652</v>
      </c>
      <c r="C117" t="str" cm="1">
        <f t="array" ref="C117">INDEX(FLT_Cons,$S113,$U118)</f>
        <v>Average</v>
      </c>
      <c r="D117" t="s">
        <v>525</v>
      </c>
      <c r="E117" s="20" cm="1">
        <f t="array" ref="E117">IF(NOT(ISBLANK(INDEX(FLT_Prod_Info,$W113,E$3*$Y117+$Y118))),INDEX(FLT_Prod_Info,$W113,E$3*$Y117+$Y118)+459.6,IF($C120&lt;&gt;"External Floating Roof",E116+0.003*$C124*E115,IF(C121&lt;&gt;"Pontoon",E116+(0.71*$C123*E115+0.485*($C115/$C114)*$C122*E115)/(170*$C115/$C114+45),E116+(0.39*$C123*E115+0.485*($C115/$C114)*$C122*E115)/(170*$C115/$C114+45))))</f>
        <v>503.75725</v>
      </c>
      <c r="F117" s="20" cm="1">
        <f t="array" ref="F117">IF(NOT(ISBLANK(INDEX(FLT_Prod_Info,$W113,F$3*$Y117+$Y118))),INDEX(FLT_Prod_Info,$W113,F$3*$Y117+$Y118)+459.6,IF($C120&lt;&gt;"External Floating Roof",F116+0.003*$C124*F115,IF(D121&lt;&gt;"Pontoon",F116+(0.71*$C123*F115+0.485*($C115/$C114)*$C122*F115)/(170*$C115/$C114+45),F116+(0.39*$C123*F115+0.485*($C115/$C114)*$C122*F115)/(170*$C115/$C114+45))))</f>
        <v>504.75000000000006</v>
      </c>
      <c r="G117" s="20" cm="1">
        <f t="array" ref="G117">IF(NOT(ISBLANK(INDEX(FLT_Prod_Info,$W113,G$3*$Y117+$Y118))),INDEX(FLT_Prod_Info,$W113,G$3*$Y117+$Y118)+459.6,IF($C120&lt;&gt;"External Floating Roof",G116+0.003*$C124*G115,IF(E121&lt;&gt;"Pontoon",G116+(0.71*$C123*G115+0.485*($C115/$C114)*$C122*G115)/(170*$C115/$C114+45),G116+(0.39*$C123*G115+0.485*($C115/$C114)*$C122*G115)/(170*$C115/$C114+45))))</f>
        <v>506.35775000000007</v>
      </c>
      <c r="H117" s="20" cm="1">
        <f t="array" ref="H117">IF(NOT(ISBLANK(INDEX(FLT_Prod_Info,$W113,H$3*$Y117+$Y118))),INDEX(FLT_Prod_Info,$W113,H$3*$Y117+$Y118)+459.6,IF($C120&lt;&gt;"External Floating Roof",H116+0.003*$C124*H115,IF(F121&lt;&gt;"Pontoon",H116+(0.71*$C123*H115+0.485*($C115/$C114)*$C122*H115)/(170*$C115/$C114+45),H116+(0.39*$C123*H115+0.485*($C115/$C114)*$C122*H115)/(170*$C115/$C114+45))))</f>
        <v>509.13900000000001</v>
      </c>
      <c r="I117" s="20" cm="1">
        <f t="array" ref="I117">IF(NOT(ISBLANK(INDEX(FLT_Prod_Info,$W113,I$3*$Y117+$Y118))),INDEX(FLT_Prod_Info,$W113,I$3*$Y117+$Y118)+459.6,IF($C120&lt;&gt;"External Floating Roof",I116+0.003*$C124*I115,IF(G121&lt;&gt;"Pontoon",I116+(0.71*$C123*I115+0.485*($C115/$C114)*$C122*I115)/(170*$C115/$C114+45),I116+(0.39*$C123*I115+0.485*($C115/$C114)*$C122*I115)/(170*$C115/$C114+45))))</f>
        <v>513.90274999999997</v>
      </c>
      <c r="J117" s="20" cm="1">
        <f t="array" ref="J117">IF(NOT(ISBLANK(INDEX(FLT_Prod_Info,$W113,J$3*$Y117+$Y118))),INDEX(FLT_Prod_Info,$W113,J$3*$Y117+$Y118)+459.6,IF($C120&lt;&gt;"External Floating Roof",J116+0.003*$C124*J115,IF(H121&lt;&gt;"Pontoon",J116+(0.71*$C123*J115+0.485*($C115/$C114)*$C122*J115)/(170*$C115/$C114+45),J116+(0.39*$C123*J115+0.485*($C115/$C114)*$C122*J115)/(170*$C115/$C114+45))))</f>
        <v>517.77025000000003</v>
      </c>
      <c r="K117" s="20" cm="1">
        <f t="array" ref="K117">IF(NOT(ISBLANK(INDEX(FLT_Prod_Info,$W113,K$3*$Y117+$Y118))),INDEX(FLT_Prod_Info,$W113,K$3*$Y117+$Y118)+459.6,IF($C120&lt;&gt;"External Floating Roof",K116+0.003*$C124*K115,IF(I121&lt;&gt;"Pontoon",K116+(0.71*$C123*K115+0.485*($C115/$C114)*$C122*K115)/(170*$C115/$C114+45),K116+(0.39*$C123*K115+0.485*($C115/$C114)*$C122*K115)/(170*$C115/$C114+45))))</f>
        <v>521.3309999999999</v>
      </c>
      <c r="L117" s="20" cm="1">
        <f t="array" ref="L117">IF(NOT(ISBLANK(INDEX(FLT_Prod_Info,$W113,L$3*$Y117+$Y118))),INDEX(FLT_Prod_Info,$W113,L$3*$Y117+$Y118)+459.6,IF($C120&lt;&gt;"External Floating Roof",L116+0.003*$C124*L115,IF(J121&lt;&gt;"Pontoon",L116+(0.71*$C123*L115+0.485*($C115/$C114)*$C122*L115)/(170*$C115/$C114+45),L116+(0.39*$C123*L115+0.485*($C115/$C114)*$C122*L115)/(170*$C115/$C114+45))))</f>
        <v>521.61900000000003</v>
      </c>
      <c r="M117" s="20" cm="1">
        <f t="array" ref="M117">IF(NOT(ISBLANK(INDEX(FLT_Prod_Info,$W113,M$3*$Y117+$Y118))),INDEX(FLT_Prod_Info,$W113,M$3*$Y117+$Y118)+459.6,IF($C120&lt;&gt;"External Floating Roof",M116+0.003*$C124*M115,IF(K121&lt;&gt;"Pontoon",M116+(0.71*$C123*M115+0.485*($C115/$C114)*$C122*M115)/(170*$C115/$C114+45),M116+(0.39*$C123*M115+0.485*($C115/$C114)*$C122*M115)/(170*$C115/$C114+45))))</f>
        <v>519.09700000000009</v>
      </c>
      <c r="N117" s="20" cm="1">
        <f t="array" ref="N117">IF(NOT(ISBLANK(INDEX(FLT_Prod_Info,$W113,N$3*$Y117+$Y118))),INDEX(FLT_Prod_Info,$W113,N$3*$Y117+$Y118)+459.6,IF($C120&lt;&gt;"External Floating Roof",N116+0.003*$C124*N115,IF(L121&lt;&gt;"Pontoon",N116+(0.71*$C123*N115+0.485*($C115/$C114)*$C122*N115)/(170*$C115/$C114+45),N116+(0.39*$C123*N115+0.485*($C115/$C114)*$C122*N115)/(170*$C115/$C114+45))))</f>
        <v>512.79600000000005</v>
      </c>
      <c r="O117" s="20" cm="1">
        <f t="array" ref="O117">IF(NOT(ISBLANK(INDEX(FLT_Prod_Info,$W113,O$3*$Y117+$Y118))),INDEX(FLT_Prod_Info,$W113,O$3*$Y117+$Y118)+459.6,IF($C120&lt;&gt;"External Floating Roof",O116+0.003*$C124*O115,IF(M121&lt;&gt;"Pontoon",O116+(0.71*$C123*O115+0.485*($C115/$C114)*$C122*O115)/(170*$C115/$C114+45),O116+(0.39*$C123*O115+0.485*($C115/$C114)*$C122*O115)/(170*$C115/$C114+45))))</f>
        <v>506.99325000000005</v>
      </c>
      <c r="P117" s="20" cm="1">
        <f t="array" ref="P117">IF(NOT(ISBLANK(INDEX(FLT_Prod_Info,$W113,P$3*$Y117+$Y118))),INDEX(FLT_Prod_Info,$W113,P$3*$Y117+$Y118)+459.6,IF($C120&lt;&gt;"External Floating Roof",P116+0.003*$C124*P115,IF(N121&lt;&gt;"Pontoon",P116+(0.71*$C123*P115+0.485*($C115/$C114)*$C122*P115)/(170*$C115/$C114+45),P116+(0.39*$C123*P115+0.485*($C115/$C114)*$C122*P115)/(170*$C115/$C114+45))))</f>
        <v>503.42650000000003</v>
      </c>
      <c r="Q117" s="20">
        <f t="shared" si="154"/>
        <v>511.74497916666661</v>
      </c>
      <c r="R117">
        <f t="shared" si="157"/>
        <v>113</v>
      </c>
      <c r="T117" t="s">
        <v>1521</v>
      </c>
      <c r="U117">
        <v>8</v>
      </c>
      <c r="X117" t="s">
        <v>541</v>
      </c>
      <c r="Y117">
        <f>(Y114-Y113)/(Y116-Y115)</f>
        <v>1</v>
      </c>
    </row>
    <row r="118" spans="1:31" ht="17.149999999999999" x14ac:dyDescent="0.55000000000000004">
      <c r="B118" t="s">
        <v>1522</v>
      </c>
      <c r="C118" t="str" cm="1">
        <f t="array" ref="C118">INDEX(FLT_Cons,$S113,$U119)</f>
        <v>White</v>
      </c>
      <c r="D118" t="s">
        <v>552</v>
      </c>
      <c r="E118" s="20">
        <f>IF($C120&lt;&gt;"External Floating Roof",((2.86*($C115/$C114)+1.43)*E116+(3.52*($C115/$C114)+3.79)*E117+0.027*$C123*E115+0.017*($C115/$C114)*$C122*E115)/(6.38*($C115/$C114)+5.22),IF($C121="Pontoon",0.7*E116+0.3*E117+0.008*$C123*E115,0.3*E116+0.7*E117+0.009*$C123*E115))</f>
        <v>504.05507951451904</v>
      </c>
      <c r="F118" s="20">
        <f t="shared" ref="F118" si="159">IF($C120&lt;&gt;"External Floating Roof",((2.86*($C115/$C114)+1.43)*F116+(3.52*($C115/$C114)+3.79)*F117+0.027*$C123*F115+0.017*($C115/$C114)*$C122*F115)/(6.38*($C115/$C114)+5.22),IF($C121="Pontoon",0.7*F116+0.3*F117+0.008*$C123*F115,0.3*F116+0.7*F117+0.009*$C123*F115))</f>
        <v>505.27098457350286</v>
      </c>
      <c r="G118" s="20">
        <f t="shared" ref="G118" si="160">IF($C120&lt;&gt;"External Floating Roof",((2.86*($C115/$C114)+1.43)*G116+(3.52*($C115/$C114)+3.79)*G117+0.027*$C123*G115+0.017*($C115/$C114)*$C122*G115)/(6.38*($C115/$C114)+5.22),IF($C121="Pontoon",0.7*G116+0.3*G117+0.008*$C123*G115,0.3*G116+0.7*G117+0.009*$C123*G115))</f>
        <v>507.11925578493657</v>
      </c>
      <c r="H118" s="20">
        <f t="shared" ref="H118" si="161">IF($C120&lt;&gt;"External Floating Roof",((2.86*($C115/$C114)+1.43)*H116+(3.52*($C115/$C114)+3.79)*H117+0.027*$C123*H115+0.017*($C115/$C114)*$C122*H115)/(6.38*($C115/$C114)+5.22),IF($C121="Pontoon",0.7*H116+0.3*H117+0.008*$C123*H115,0.3*H116+0.7*H117+0.009*$C123*H115))</f>
        <v>510.22612114337574</v>
      </c>
      <c r="I118" s="20">
        <f t="shared" ref="I118" si="162">IF($C120&lt;&gt;"External Floating Roof",((2.86*($C115/$C114)+1.43)*I116+(3.52*($C115/$C114)+3.79)*I117+0.027*$C123*I115+0.017*($C115/$C114)*$C122*I115)/(6.38*($C115/$C114)+5.22),IF($C121="Pontoon",0.7*I116+0.3*I117+0.008*$C123*I115,0.3*I116+0.7*I117+0.009*$C123*I115))</f>
        <v>515.23733881578949</v>
      </c>
      <c r="J118" s="20">
        <f t="shared" ref="J118" si="163">IF($C120&lt;&gt;"External Floating Roof",((2.86*($C115/$C114)+1.43)*J116+(3.52*($C115/$C114)+3.79)*J117+0.027*$C123*J115+0.017*($C115/$C114)*$C122*J115)/(6.38*($C115/$C114)+5.22),IF($C121="Pontoon",0.7*J116+0.3*J117+0.008*$C123*J115,0.3*J116+0.7*J117+0.009*$C123*J115))</f>
        <v>519.18298650181487</v>
      </c>
      <c r="K118" s="20">
        <f t="shared" ref="K118" si="164">IF($C120&lt;&gt;"External Floating Roof",((2.86*($C115/$C114)+1.43)*K116+(3.52*($C115/$C114)+3.79)*K117+0.027*$C123*K115+0.017*($C115/$C114)*$C122*K115)/(6.38*($C115/$C114)+5.22),IF($C121="Pontoon",0.7*K116+0.3*K117+0.008*$C123*K115,0.3*K116+0.7*K117+0.009*$C123*K115))</f>
        <v>522.81406941923763</v>
      </c>
      <c r="L118" s="20">
        <f t="shared" ref="L118" si="165">IF($C120&lt;&gt;"External Floating Roof",((2.86*($C115/$C114)+1.43)*L116+(3.52*($C115/$C114)+3.79)*L117+0.027*$C123*L115+0.017*($C115/$C114)*$C122*L115)/(6.38*($C115/$C114)+5.22),IF($C121="Pontoon",0.7*L116+0.3*L117+0.008*$C123*L115,0.3*L116+0.7*L117+0.009*$C123*L115))</f>
        <v>522.91451497277683</v>
      </c>
      <c r="M118" s="20">
        <f t="shared" ref="M118" si="166">IF($C120&lt;&gt;"External Floating Roof",((2.86*($C115/$C114)+1.43)*M116+(3.52*($C115/$C114)+3.79)*M117+0.027*$C123*M115+0.017*($C115/$C114)*$C122*M115)/(6.38*($C115/$C114)+5.22),IF($C121="Pontoon",0.7*M116+0.3*M117+0.008*$C123*M115,0.3*M116+0.7*M117+0.009*$C123*M115))</f>
        <v>520.13549591651554</v>
      </c>
      <c r="N118" s="20">
        <f t="shared" ref="N118" si="167">IF($C120&lt;&gt;"External Floating Roof",((2.86*($C115/$C114)+1.43)*N116+(3.52*($C115/$C114)+3.79)*N117+0.027*$C123*N115+0.017*($C115/$C114)*$C122*N115)/(6.38*($C115/$C114)+5.22),IF($C121="Pontoon",0.7*N116+0.3*N117+0.008*$C123*N115,0.3*N116+0.7*N117+0.009*$C123*N115))</f>
        <v>513.42812794918336</v>
      </c>
      <c r="O118" s="20">
        <f t="shared" ref="O118" si="168">IF($C120&lt;&gt;"External Floating Roof",((2.86*($C115/$C114)+1.43)*O116+(3.52*($C115/$C114)+3.79)*O117+0.027*$C123*O115+0.017*($C115/$C114)*$C122*O115)/(6.38*($C115/$C114)+5.22),IF($C121="Pontoon",0.7*O116+0.3*O117+0.008*$C123*O115,0.3*O116+0.7*O117+0.009*$C123*O115))</f>
        <v>507.33275828039933</v>
      </c>
      <c r="P118" s="20">
        <f t="shared" ref="P118" si="169">IF($C120&lt;&gt;"External Floating Roof",((2.86*($C115/$C114)+1.43)*P116+(3.52*($C115/$C114)+3.79)*P117+0.027*$C123*P115+0.017*($C115/$C114)*$C122*P115)/(6.38*($C115/$C114)+5.22),IF($C121="Pontoon",0.7*P116+0.3*P117+0.008*$C123*P115,0.3*P116+0.7*P117+0.009*$C123*P115))</f>
        <v>503.68872890199646</v>
      </c>
      <c r="Q118" s="20">
        <f t="shared" si="154"/>
        <v>512.617121814504</v>
      </c>
      <c r="R118">
        <f t="shared" si="157"/>
        <v>114</v>
      </c>
      <c r="T118" t="s">
        <v>1652</v>
      </c>
      <c r="U118">
        <v>9</v>
      </c>
      <c r="X118" t="s">
        <v>542</v>
      </c>
      <c r="Y118">
        <f>Y116*Y117-Y114</f>
        <v>0</v>
      </c>
    </row>
    <row r="119" spans="1:31" x14ac:dyDescent="0.4">
      <c r="B119" t="s">
        <v>1772</v>
      </c>
      <c r="C119" t="str" cm="1">
        <f t="array" ref="C119">INDEX(FLT_Cons,$S113,$U120)</f>
        <v>Average</v>
      </c>
      <c r="R119">
        <f t="shared" si="157"/>
        <v>115</v>
      </c>
      <c r="T119" t="s">
        <v>1522</v>
      </c>
      <c r="U119">
        <v>10</v>
      </c>
    </row>
    <row r="120" spans="1:31" x14ac:dyDescent="0.4">
      <c r="B120" t="s">
        <v>1507</v>
      </c>
      <c r="C120" t="str" cm="1">
        <f t="array" ref="C120">INDEX(FLT_Cons,$S113,$U121)</f>
        <v>Internal Floating Roof</v>
      </c>
      <c r="R120">
        <f t="shared" si="157"/>
        <v>116</v>
      </c>
      <c r="T120" t="s">
        <v>1772</v>
      </c>
      <c r="U120">
        <v>11</v>
      </c>
    </row>
    <row r="121" spans="1:31" x14ac:dyDescent="0.4">
      <c r="B121" t="s">
        <v>1525</v>
      </c>
      <c r="C121" t="str" cm="1">
        <f t="array" ref="C121">INDEX(FLT_Cons,$S113,$U122)</f>
        <v>N/A - IFR</v>
      </c>
      <c r="R121">
        <f t="shared" si="157"/>
        <v>117</v>
      </c>
      <c r="T121" t="s">
        <v>1507</v>
      </c>
      <c r="U121">
        <v>13</v>
      </c>
    </row>
    <row r="122" spans="1:31" ht="17.149999999999999" x14ac:dyDescent="0.4">
      <c r="B122" s="66" t="s">
        <v>514</v>
      </c>
      <c r="C122" cm="1">
        <f t="array" ref="C122">INDEX(Tbl_71_6,MATCH(C116,Paint_Color,0),MATCH(C117,Paint_Condition,0)+1)</f>
        <v>0.25</v>
      </c>
      <c r="R122">
        <f t="shared" si="157"/>
        <v>118</v>
      </c>
      <c r="T122" t="s">
        <v>1525</v>
      </c>
      <c r="U122">
        <v>16</v>
      </c>
    </row>
    <row r="123" spans="1:31" ht="17.149999999999999" x14ac:dyDescent="0.4">
      <c r="B123" s="66" t="s">
        <v>513</v>
      </c>
      <c r="C123" cm="1">
        <f t="array" ref="C123">INDEX(Tbl_71_6,MATCH(C118,Paint_Color,0),MATCH(C119,Paint_Condition,0)+1)</f>
        <v>0.25</v>
      </c>
      <c r="R123">
        <f t="shared" si="157"/>
        <v>119</v>
      </c>
    </row>
    <row r="124" spans="1:31" x14ac:dyDescent="0.4">
      <c r="A124" s="11"/>
      <c r="B124" s="207" t="s">
        <v>558</v>
      </c>
      <c r="C124" s="11">
        <f>AVERAGE(C122:C123)</f>
        <v>0.25</v>
      </c>
      <c r="D124" s="11"/>
      <c r="E124" s="11"/>
      <c r="F124" s="11"/>
      <c r="G124" s="11"/>
      <c r="H124" s="11"/>
      <c r="I124" s="11"/>
      <c r="J124" s="11"/>
      <c r="K124" s="11"/>
      <c r="L124" s="11"/>
      <c r="M124" s="11"/>
      <c r="N124" s="11"/>
      <c r="O124" s="11"/>
      <c r="P124" s="11"/>
      <c r="Q124" s="11"/>
      <c r="R124" s="11">
        <f t="shared" si="157"/>
        <v>120</v>
      </c>
      <c r="S124" s="11"/>
      <c r="T124" s="11"/>
      <c r="U124" s="11"/>
      <c r="V124" s="11"/>
      <c r="W124" s="11"/>
      <c r="X124" s="11"/>
      <c r="Y124" s="11"/>
      <c r="Z124" s="11"/>
      <c r="AA124" s="11"/>
      <c r="AB124" s="11"/>
      <c r="AC124" s="11"/>
      <c r="AD124" s="11"/>
      <c r="AE124" s="11"/>
    </row>
  </sheetData>
  <sheetProtection algorithmName="SHA-512" hashValue="u1x36o0QSBwDPZ02zyyzLuvoqZkpyZcMEscigL3OENAuJ9kn40yoqu0hO5HJZeF/Bgg5oZCN3t64wYGHFU3B2A==" saltValue="mYexRLr/ZR6zoVaanQeL0g=="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E2CF1-6EF4-41D6-9751-9888FA11393D}">
  <sheetPr codeName="Sheet16">
    <tabColor theme="9" tint="0.39997558519241921"/>
  </sheetPr>
  <dimension ref="A2:AL942"/>
  <sheetViews>
    <sheetView workbookViewId="0">
      <pane xSplit="3" ySplit="4" topLeftCell="D922" activePane="bottomRight" state="frozen"/>
      <selection activeCell="J5" sqref="J5"/>
      <selection pane="topRight" activeCell="J5" sqref="J5"/>
      <selection pane="bottomLeft" activeCell="J5" sqref="J5"/>
      <selection pane="bottomRight" activeCell="J5" sqref="J5"/>
    </sheetView>
  </sheetViews>
  <sheetFormatPr defaultColWidth="8.84375" defaultRowHeight="14.6" x14ac:dyDescent="0.4"/>
  <cols>
    <col min="1" max="1" width="19" bestFit="1" customWidth="1"/>
    <col min="2" max="3" width="19.4609375" bestFit="1" customWidth="1"/>
    <col min="4" max="17" width="17.3046875" customWidth="1"/>
    <col min="18" max="18" width="13.3046875" bestFit="1" customWidth="1"/>
    <col min="27" max="27" width="12" bestFit="1" customWidth="1"/>
  </cols>
  <sheetData>
    <row r="2" spans="1:38" x14ac:dyDescent="0.4">
      <c r="A2" t="s">
        <v>236</v>
      </c>
    </row>
    <row r="3" spans="1:38" x14ac:dyDescent="0.4">
      <c r="C3" t="s">
        <v>543</v>
      </c>
      <c r="D3">
        <v>1</v>
      </c>
      <c r="E3">
        <v>2</v>
      </c>
      <c r="F3">
        <v>3</v>
      </c>
      <c r="G3">
        <v>4</v>
      </c>
      <c r="H3">
        <v>5</v>
      </c>
      <c r="I3">
        <v>6</v>
      </c>
      <c r="J3">
        <v>7</v>
      </c>
      <c r="K3">
        <v>8</v>
      </c>
      <c r="L3">
        <v>9</v>
      </c>
      <c r="M3">
        <v>10</v>
      </c>
      <c r="N3">
        <v>11</v>
      </c>
      <c r="O3">
        <v>12</v>
      </c>
      <c r="P3">
        <v>13</v>
      </c>
      <c r="R3" t="s">
        <v>238</v>
      </c>
      <c r="S3" t="s">
        <v>239</v>
      </c>
      <c r="U3" t="s">
        <v>508</v>
      </c>
      <c r="AA3" t="s">
        <v>554</v>
      </c>
      <c r="AB3" t="s">
        <v>519</v>
      </c>
    </row>
    <row r="4" spans="1:38" x14ac:dyDescent="0.4">
      <c r="A4" s="11" t="s">
        <v>240</v>
      </c>
      <c r="B4" s="11" t="s">
        <v>4</v>
      </c>
      <c r="C4" s="11" t="s">
        <v>509</v>
      </c>
      <c r="D4" s="11" t="s">
        <v>30</v>
      </c>
      <c r="E4" s="11" t="s">
        <v>31</v>
      </c>
      <c r="F4" s="11" t="s">
        <v>32</v>
      </c>
      <c r="G4" s="11" t="s">
        <v>33</v>
      </c>
      <c r="H4" s="11" t="s">
        <v>34</v>
      </c>
      <c r="I4" s="11" t="s">
        <v>35</v>
      </c>
      <c r="J4" s="11" t="s">
        <v>36</v>
      </c>
      <c r="K4" s="11" t="s">
        <v>37</v>
      </c>
      <c r="L4" s="11" t="s">
        <v>38</v>
      </c>
      <c r="M4" s="11" t="s">
        <v>39</v>
      </c>
      <c r="N4" s="11" t="s">
        <v>40</v>
      </c>
      <c r="O4" s="11" t="s">
        <v>41</v>
      </c>
      <c r="P4" s="11" t="s">
        <v>42</v>
      </c>
      <c r="Q4" s="11"/>
      <c r="R4" s="11"/>
      <c r="S4" s="11" t="s">
        <v>548</v>
      </c>
      <c r="T4" s="11" t="s">
        <v>549</v>
      </c>
      <c r="U4" s="11" t="s">
        <v>243</v>
      </c>
      <c r="V4" s="11" t="s">
        <v>244</v>
      </c>
      <c r="W4" s="11" t="s">
        <v>539</v>
      </c>
      <c r="X4" s="11" t="s">
        <v>540</v>
      </c>
      <c r="Y4" s="11" t="s">
        <v>541</v>
      </c>
      <c r="Z4" s="11" t="s">
        <v>542</v>
      </c>
      <c r="AA4" s="11"/>
      <c r="AB4" s="11" t="s">
        <v>520</v>
      </c>
      <c r="AC4" s="11" t="s">
        <v>224</v>
      </c>
      <c r="AD4" s="11" t="s">
        <v>521</v>
      </c>
      <c r="AE4" s="11" t="s">
        <v>522</v>
      </c>
      <c r="AF4" s="11" t="s">
        <v>560</v>
      </c>
      <c r="AG4" s="11" t="s">
        <v>550</v>
      </c>
      <c r="AH4" s="11" t="s">
        <v>551</v>
      </c>
      <c r="AI4" s="11" t="s">
        <v>539</v>
      </c>
      <c r="AJ4" s="11" t="s">
        <v>540</v>
      </c>
      <c r="AK4" s="11" t="s">
        <v>541</v>
      </c>
      <c r="AL4" s="11" t="s">
        <v>542</v>
      </c>
    </row>
    <row r="5" spans="1:38" ht="17.149999999999999" x14ac:dyDescent="0.55000000000000004">
      <c r="A5" t="str" cm="1">
        <f t="array" ref="A5">INDEX(FX_Input,$R5,S$5)</f>
        <v>FX - 1</v>
      </c>
      <c r="B5" t="str" cm="1">
        <f t="array" ref="B5">INDEX(FX_Input,R5,T5)</f>
        <v>Portland</v>
      </c>
      <c r="C5" t="s">
        <v>510</v>
      </c>
      <c r="D5">
        <f t="shared" ref="D5:P6" si="0">VLOOKUP(VLOOKUP($B5,Terminal_X_Ref,2,FALSE)&amp;$C5,Weather_Data,$Y5*D$3+$Z5,FALSE)+459.6</f>
        <v>498.3</v>
      </c>
      <c r="E5">
        <f t="shared" si="0"/>
        <v>497.70000000000005</v>
      </c>
      <c r="F5">
        <f t="shared" si="0"/>
        <v>499.1</v>
      </c>
      <c r="G5">
        <f t="shared" si="0"/>
        <v>501.5</v>
      </c>
      <c r="H5">
        <f t="shared" si="0"/>
        <v>506.1</v>
      </c>
      <c r="I5">
        <f t="shared" si="0"/>
        <v>510.3</v>
      </c>
      <c r="J5">
        <f t="shared" si="0"/>
        <v>513.70000000000005</v>
      </c>
      <c r="K5">
        <f t="shared" si="0"/>
        <v>513.70000000000005</v>
      </c>
      <c r="L5">
        <f t="shared" si="0"/>
        <v>510</v>
      </c>
      <c r="M5">
        <f t="shared" si="0"/>
        <v>504.90000000000003</v>
      </c>
      <c r="N5">
        <f t="shared" si="0"/>
        <v>500.6</v>
      </c>
      <c r="O5">
        <f t="shared" si="0"/>
        <v>498.20000000000005</v>
      </c>
      <c r="P5">
        <f t="shared" si="0"/>
        <v>504.5</v>
      </c>
      <c r="Q5">
        <v>1</v>
      </c>
      <c r="R5">
        <v>1</v>
      </c>
      <c r="S5">
        <v>1</v>
      </c>
      <c r="T5">
        <v>3</v>
      </c>
      <c r="U5">
        <v>2</v>
      </c>
      <c r="V5">
        <v>3</v>
      </c>
      <c r="W5">
        <v>1</v>
      </c>
      <c r="X5">
        <v>2</v>
      </c>
      <c r="Y5">
        <f>(V5-U5)/(X5-W5)</f>
        <v>1</v>
      </c>
      <c r="Z5">
        <f>U5-Y5*W5</f>
        <v>1</v>
      </c>
      <c r="AA5">
        <v>1</v>
      </c>
      <c r="AB5">
        <v>6</v>
      </c>
      <c r="AC5">
        <v>3</v>
      </c>
      <c r="AD5">
        <v>13</v>
      </c>
      <c r="AE5">
        <v>12</v>
      </c>
      <c r="AF5">
        <v>14</v>
      </c>
      <c r="AG5">
        <v>77</v>
      </c>
      <c r="AH5">
        <v>78</v>
      </c>
      <c r="AI5">
        <v>1</v>
      </c>
      <c r="AJ5">
        <v>2</v>
      </c>
      <c r="AK5">
        <f>(AH5-AG5)/(AJ5-AI5)</f>
        <v>1</v>
      </c>
      <c r="AL5">
        <f>AG5-AK5*AI5</f>
        <v>76</v>
      </c>
    </row>
    <row r="6" spans="1:38" ht="17.149999999999999" x14ac:dyDescent="0.55000000000000004">
      <c r="B6" t="str">
        <f t="shared" ref="B6:B18" si="1">B5</f>
        <v>Portland</v>
      </c>
      <c r="C6" t="s">
        <v>511</v>
      </c>
      <c r="D6">
        <f t="shared" si="0"/>
        <v>508.70000000000005</v>
      </c>
      <c r="E6">
        <f t="shared" si="0"/>
        <v>510.90000000000003</v>
      </c>
      <c r="F6">
        <f t="shared" si="0"/>
        <v>512.30000000000007</v>
      </c>
      <c r="G6">
        <f t="shared" si="0"/>
        <v>514.9</v>
      </c>
      <c r="H6">
        <f t="shared" si="0"/>
        <v>519.4</v>
      </c>
      <c r="I6">
        <f t="shared" si="0"/>
        <v>522.80000000000007</v>
      </c>
      <c r="J6">
        <f t="shared" si="0"/>
        <v>526.4</v>
      </c>
      <c r="K6">
        <f t="shared" si="0"/>
        <v>527.30000000000007</v>
      </c>
      <c r="L6">
        <f t="shared" si="0"/>
        <v>526.4</v>
      </c>
      <c r="M6">
        <f t="shared" si="0"/>
        <v>519.6</v>
      </c>
      <c r="N6">
        <f t="shared" si="0"/>
        <v>512.80000000000007</v>
      </c>
      <c r="O6">
        <f t="shared" si="0"/>
        <v>508.20000000000005</v>
      </c>
      <c r="P6">
        <f t="shared" si="0"/>
        <v>517.5</v>
      </c>
      <c r="Q6">
        <v>2</v>
      </c>
      <c r="U6">
        <f>U5</f>
        <v>2</v>
      </c>
      <c r="V6">
        <f t="shared" ref="V6:Z6" si="2">V5</f>
        <v>3</v>
      </c>
      <c r="W6">
        <f t="shared" si="2"/>
        <v>1</v>
      </c>
      <c r="X6">
        <f t="shared" si="2"/>
        <v>2</v>
      </c>
      <c r="Y6">
        <f t="shared" si="2"/>
        <v>1</v>
      </c>
      <c r="Z6">
        <f t="shared" si="2"/>
        <v>1</v>
      </c>
      <c r="AA6">
        <f>AA5</f>
        <v>1</v>
      </c>
      <c r="AB6">
        <f t="shared" ref="AB6:AL6" si="3">AB5</f>
        <v>6</v>
      </c>
      <c r="AC6">
        <f t="shared" si="3"/>
        <v>3</v>
      </c>
      <c r="AD6">
        <f t="shared" si="3"/>
        <v>13</v>
      </c>
      <c r="AE6">
        <f t="shared" si="3"/>
        <v>12</v>
      </c>
      <c r="AF6">
        <f t="shared" si="3"/>
        <v>14</v>
      </c>
      <c r="AG6">
        <f t="shared" si="3"/>
        <v>77</v>
      </c>
      <c r="AH6">
        <f t="shared" si="3"/>
        <v>78</v>
      </c>
      <c r="AI6">
        <f t="shared" si="3"/>
        <v>1</v>
      </c>
      <c r="AJ6">
        <f t="shared" si="3"/>
        <v>2</v>
      </c>
      <c r="AK6">
        <f t="shared" si="3"/>
        <v>1</v>
      </c>
      <c r="AL6">
        <f t="shared" si="3"/>
        <v>76</v>
      </c>
    </row>
    <row r="7" spans="1:38" ht="17.149999999999999" x14ac:dyDescent="0.4">
      <c r="B7" t="str">
        <f>B6</f>
        <v>Portland</v>
      </c>
      <c r="C7" s="66" t="s">
        <v>514</v>
      </c>
      <c r="D7" cm="1">
        <f t="array" ref="D7">INDEX(FX_Calcs,$AA7,$AE7)</f>
        <v>0.25</v>
      </c>
      <c r="E7" cm="1">
        <f t="array" ref="E7">INDEX(FX_Calcs,$AA7,$AE7)</f>
        <v>0.25</v>
      </c>
      <c r="F7" cm="1">
        <f t="array" ref="F7">INDEX(FX_Calcs,$AA7,$AE7)</f>
        <v>0.25</v>
      </c>
      <c r="G7" cm="1">
        <f t="array" ref="G7">INDEX(FX_Calcs,$AA7,$AE7)</f>
        <v>0.25</v>
      </c>
      <c r="H7" cm="1">
        <f t="array" ref="H7">INDEX(FX_Calcs,$AA7,$AE7)</f>
        <v>0.25</v>
      </c>
      <c r="I7" cm="1">
        <f t="array" ref="I7">INDEX(FX_Calcs,$AA7,$AE7)</f>
        <v>0.25</v>
      </c>
      <c r="J7" cm="1">
        <f t="array" ref="J7">INDEX(FX_Calcs,$AA7,$AE7)</f>
        <v>0.25</v>
      </c>
      <c r="K7" cm="1">
        <f t="array" ref="K7">INDEX(FX_Calcs,$AA7,$AE7)</f>
        <v>0.25</v>
      </c>
      <c r="L7" cm="1">
        <f t="array" ref="L7">INDEX(FX_Calcs,$AA7,$AE7)</f>
        <v>0.25</v>
      </c>
      <c r="M7" cm="1">
        <f t="array" ref="M7">INDEX(FX_Calcs,$AA7,$AE7)</f>
        <v>0.25</v>
      </c>
      <c r="N7" cm="1">
        <f t="array" ref="N7">INDEX(FX_Calcs,$AA7,$AE7)</f>
        <v>0.25</v>
      </c>
      <c r="O7" cm="1">
        <f t="array" ref="O7">INDEX(FX_Calcs,$AA7,$AE7)</f>
        <v>0.25</v>
      </c>
      <c r="P7" cm="1">
        <f t="array" ref="P7">INDEX(FX_Calcs,$AA7,$AE7)</f>
        <v>0.25</v>
      </c>
      <c r="Q7">
        <v>3</v>
      </c>
      <c r="AA7">
        <f>AA6</f>
        <v>1</v>
      </c>
      <c r="AB7">
        <f t="shared" ref="AB7" si="4">AB6</f>
        <v>6</v>
      </c>
      <c r="AC7">
        <f t="shared" ref="AC7" si="5">AC6</f>
        <v>3</v>
      </c>
      <c r="AD7">
        <f t="shared" ref="AD7" si="6">AD6</f>
        <v>13</v>
      </c>
      <c r="AE7">
        <f t="shared" ref="AE7" si="7">AE6</f>
        <v>12</v>
      </c>
      <c r="AF7">
        <f t="shared" ref="AF7" si="8">AF6</f>
        <v>14</v>
      </c>
      <c r="AG7">
        <f t="shared" ref="AG7" si="9">AG6</f>
        <v>77</v>
      </c>
      <c r="AH7">
        <f t="shared" ref="AH7" si="10">AH6</f>
        <v>78</v>
      </c>
      <c r="AI7">
        <f t="shared" ref="AI7" si="11">AI6</f>
        <v>1</v>
      </c>
      <c r="AJ7">
        <f t="shared" ref="AJ7" si="12">AJ6</f>
        <v>2</v>
      </c>
      <c r="AK7">
        <f t="shared" ref="AK7" si="13">AK6</f>
        <v>1</v>
      </c>
      <c r="AL7">
        <f t="shared" ref="AL7" si="14">AL6</f>
        <v>76</v>
      </c>
    </row>
    <row r="8" spans="1:38" ht="17.149999999999999" x14ac:dyDescent="0.4">
      <c r="B8" t="str">
        <f t="shared" ref="B8:B9" si="15">B7</f>
        <v>Portland</v>
      </c>
      <c r="C8" s="66" t="s">
        <v>513</v>
      </c>
      <c r="D8" cm="1">
        <f t="array" ref="D8">INDEX(FX_Calcs,$AA8,$AD8)</f>
        <v>0.25</v>
      </c>
      <c r="E8" cm="1">
        <f t="array" ref="E8">INDEX(FX_Calcs,$AA8,$AD8)</f>
        <v>0.25</v>
      </c>
      <c r="F8" cm="1">
        <f t="array" ref="F8">INDEX(FX_Calcs,$AA8,$AD8)</f>
        <v>0.25</v>
      </c>
      <c r="G8" cm="1">
        <f t="array" ref="G8">INDEX(FX_Calcs,$AA8,$AD8)</f>
        <v>0.25</v>
      </c>
      <c r="H8" cm="1">
        <f t="array" ref="H8">INDEX(FX_Calcs,$AA8,$AD8)</f>
        <v>0.25</v>
      </c>
      <c r="I8" cm="1">
        <f t="array" ref="I8">INDEX(FX_Calcs,$AA8,$AD8)</f>
        <v>0.25</v>
      </c>
      <c r="J8" cm="1">
        <f t="array" ref="J8">INDEX(FX_Calcs,$AA8,$AD8)</f>
        <v>0.25</v>
      </c>
      <c r="K8" cm="1">
        <f t="array" ref="K8">INDEX(FX_Calcs,$AA8,$AD8)</f>
        <v>0.25</v>
      </c>
      <c r="L8" cm="1">
        <f t="array" ref="L8">INDEX(FX_Calcs,$AA8,$AD8)</f>
        <v>0.25</v>
      </c>
      <c r="M8" cm="1">
        <f t="array" ref="M8">INDEX(FX_Calcs,$AA8,$AD8)</f>
        <v>0.25</v>
      </c>
      <c r="N8" cm="1">
        <f t="array" ref="N8">INDEX(FX_Calcs,$AA8,$AD8)</f>
        <v>0.25</v>
      </c>
      <c r="O8" cm="1">
        <f t="array" ref="O8">INDEX(FX_Calcs,$AA8,$AD8)</f>
        <v>0.25</v>
      </c>
      <c r="P8" cm="1">
        <f t="array" ref="P8">INDEX(FX_Calcs,$AA8,$AD8)</f>
        <v>0.25</v>
      </c>
      <c r="Q8">
        <v>4</v>
      </c>
      <c r="AA8">
        <f>AA7</f>
        <v>1</v>
      </c>
      <c r="AB8">
        <f t="shared" ref="AB8" si="16">AB7</f>
        <v>6</v>
      </c>
      <c r="AC8">
        <f t="shared" ref="AC8" si="17">AC7</f>
        <v>3</v>
      </c>
      <c r="AD8">
        <f t="shared" ref="AD8" si="18">AD7</f>
        <v>13</v>
      </c>
      <c r="AE8">
        <f t="shared" ref="AE8" si="19">AE7</f>
        <v>12</v>
      </c>
      <c r="AF8">
        <f t="shared" ref="AF8" si="20">AF7</f>
        <v>14</v>
      </c>
      <c r="AG8">
        <f t="shared" ref="AG8" si="21">AG7</f>
        <v>77</v>
      </c>
      <c r="AH8">
        <f t="shared" ref="AH8" si="22">AH7</f>
        <v>78</v>
      </c>
      <c r="AI8">
        <f t="shared" ref="AI8" si="23">AI7</f>
        <v>1</v>
      </c>
      <c r="AJ8">
        <f t="shared" ref="AJ8" si="24">AJ7</f>
        <v>2</v>
      </c>
      <c r="AK8">
        <f t="shared" ref="AK8" si="25">AK7</f>
        <v>1</v>
      </c>
      <c r="AL8">
        <f t="shared" ref="AL8" si="26">AL7</f>
        <v>76</v>
      </c>
    </row>
    <row r="9" spans="1:38" x14ac:dyDescent="0.4">
      <c r="B9" t="str">
        <f t="shared" si="15"/>
        <v>Portland</v>
      </c>
      <c r="C9" s="66" t="s">
        <v>558</v>
      </c>
      <c r="D9" cm="1">
        <f t="array" ref="D9">INDEX(FX_Calcs,$AA9,$AF9)</f>
        <v>0.25</v>
      </c>
      <c r="E9" cm="1">
        <f t="array" ref="E9">INDEX(FX_Calcs,$AA9,$AF9)</f>
        <v>0.25</v>
      </c>
      <c r="F9" cm="1">
        <f t="array" ref="F9">INDEX(FX_Calcs,$AA9,$AF9)</f>
        <v>0.25</v>
      </c>
      <c r="G9" cm="1">
        <f t="array" ref="G9">INDEX(FX_Calcs,$AA9,$AF9)</f>
        <v>0.25</v>
      </c>
      <c r="H9" cm="1">
        <f t="array" ref="H9">INDEX(FX_Calcs,$AA9,$AF9)</f>
        <v>0.25</v>
      </c>
      <c r="I9" cm="1">
        <f t="array" ref="I9">INDEX(FX_Calcs,$AA9,$AF9)</f>
        <v>0.25</v>
      </c>
      <c r="J9" cm="1">
        <f t="array" ref="J9">INDEX(FX_Calcs,$AA9,$AF9)</f>
        <v>0.25</v>
      </c>
      <c r="K9" cm="1">
        <f t="array" ref="K9">INDEX(FX_Calcs,$AA9,$AF9)</f>
        <v>0.25</v>
      </c>
      <c r="L9" cm="1">
        <f t="array" ref="L9">INDEX(FX_Calcs,$AA9,$AF9)</f>
        <v>0.25</v>
      </c>
      <c r="M9" cm="1">
        <f t="array" ref="M9">INDEX(FX_Calcs,$AA9,$AF9)</f>
        <v>0.25</v>
      </c>
      <c r="N9" cm="1">
        <f t="array" ref="N9">INDEX(FX_Calcs,$AA9,$AF9)</f>
        <v>0.25</v>
      </c>
      <c r="O9" cm="1">
        <f t="array" ref="O9">INDEX(FX_Calcs,$AA9,$AF9)</f>
        <v>0.25</v>
      </c>
      <c r="P9" cm="1">
        <f t="array" ref="P9">INDEX(FX_Calcs,$AA9,$AF9)</f>
        <v>0.25</v>
      </c>
      <c r="Q9">
        <v>5</v>
      </c>
      <c r="AA9">
        <f>AA8</f>
        <v>1</v>
      </c>
      <c r="AB9">
        <f t="shared" ref="AB9" si="27">AB8</f>
        <v>6</v>
      </c>
      <c r="AC9">
        <f t="shared" ref="AC9" si="28">AC8</f>
        <v>3</v>
      </c>
      <c r="AD9">
        <f t="shared" ref="AD9" si="29">AD8</f>
        <v>13</v>
      </c>
      <c r="AE9">
        <f t="shared" ref="AE9" si="30">AE8</f>
        <v>12</v>
      </c>
      <c r="AF9">
        <f t="shared" ref="AF9" si="31">AF8</f>
        <v>14</v>
      </c>
      <c r="AG9">
        <f t="shared" ref="AG9" si="32">AG8</f>
        <v>77</v>
      </c>
      <c r="AH9">
        <f t="shared" ref="AH9" si="33">AH8</f>
        <v>78</v>
      </c>
      <c r="AI9">
        <f t="shared" ref="AI9" si="34">AI8</f>
        <v>1</v>
      </c>
      <c r="AJ9">
        <f t="shared" ref="AJ9" si="35">AJ8</f>
        <v>2</v>
      </c>
      <c r="AK9">
        <f t="shared" ref="AK9" si="36">AK8</f>
        <v>1</v>
      </c>
      <c r="AL9">
        <f t="shared" ref="AL9" si="37">AL8</f>
        <v>76</v>
      </c>
    </row>
    <row r="10" spans="1:38" ht="17.149999999999999" x14ac:dyDescent="0.55000000000000004">
      <c r="B10" t="str">
        <f>B6</f>
        <v>Portland</v>
      </c>
      <c r="C10" t="s">
        <v>512</v>
      </c>
      <c r="D10">
        <f t="shared" ref="D10:P10" si="38">D6-D5</f>
        <v>10.400000000000034</v>
      </c>
      <c r="E10">
        <f t="shared" si="38"/>
        <v>13.199999999999989</v>
      </c>
      <c r="F10">
        <f t="shared" si="38"/>
        <v>13.200000000000045</v>
      </c>
      <c r="G10">
        <f t="shared" si="38"/>
        <v>13.399999999999977</v>
      </c>
      <c r="H10">
        <f t="shared" si="38"/>
        <v>13.299999999999955</v>
      </c>
      <c r="I10">
        <f t="shared" si="38"/>
        <v>12.500000000000057</v>
      </c>
      <c r="J10">
        <f t="shared" si="38"/>
        <v>12.699999999999932</v>
      </c>
      <c r="K10">
        <f t="shared" si="38"/>
        <v>13.600000000000023</v>
      </c>
      <c r="L10">
        <f t="shared" si="38"/>
        <v>16.399999999999977</v>
      </c>
      <c r="M10">
        <f t="shared" si="38"/>
        <v>14.699999999999989</v>
      </c>
      <c r="N10">
        <f t="shared" si="38"/>
        <v>12.200000000000045</v>
      </c>
      <c r="O10">
        <f t="shared" si="38"/>
        <v>10</v>
      </c>
      <c r="P10">
        <f t="shared" si="38"/>
        <v>13</v>
      </c>
      <c r="Q10">
        <v>6</v>
      </c>
    </row>
    <row r="11" spans="1:38" x14ac:dyDescent="0.4">
      <c r="B11" t="str">
        <f t="shared" si="1"/>
        <v>Portland</v>
      </c>
      <c r="C11" t="s">
        <v>260</v>
      </c>
      <c r="D11">
        <f t="shared" ref="D11:P11" si="39">VLOOKUP(VLOOKUP($B11,Terminal_X_Ref,2,FALSE)&amp;$C11,Weather_Data,$Y11*D$3+$Z11,FALSE)</f>
        <v>343</v>
      </c>
      <c r="E11">
        <f t="shared" si="39"/>
        <v>600</v>
      </c>
      <c r="F11">
        <f t="shared" si="39"/>
        <v>877</v>
      </c>
      <c r="G11">
        <f t="shared" si="39"/>
        <v>1252</v>
      </c>
      <c r="H11">
        <f t="shared" si="39"/>
        <v>1537</v>
      </c>
      <c r="I11">
        <f t="shared" si="39"/>
        <v>1627</v>
      </c>
      <c r="J11">
        <f t="shared" si="39"/>
        <v>1708</v>
      </c>
      <c r="K11">
        <f t="shared" si="39"/>
        <v>1492</v>
      </c>
      <c r="L11">
        <f t="shared" si="39"/>
        <v>1196</v>
      </c>
      <c r="M11">
        <f t="shared" si="39"/>
        <v>728</v>
      </c>
      <c r="N11">
        <f t="shared" si="39"/>
        <v>391</v>
      </c>
      <c r="O11">
        <f t="shared" si="39"/>
        <v>302</v>
      </c>
      <c r="P11">
        <f t="shared" si="39"/>
        <v>1005</v>
      </c>
      <c r="Q11">
        <v>7</v>
      </c>
      <c r="U11">
        <f t="shared" ref="U11:Z11" si="40">U6</f>
        <v>2</v>
      </c>
      <c r="V11">
        <f t="shared" si="40"/>
        <v>3</v>
      </c>
      <c r="W11">
        <f t="shared" si="40"/>
        <v>1</v>
      </c>
      <c r="X11">
        <f t="shared" si="40"/>
        <v>2</v>
      </c>
      <c r="Y11">
        <f t="shared" si="40"/>
        <v>1</v>
      </c>
      <c r="Z11">
        <f t="shared" si="40"/>
        <v>1</v>
      </c>
    </row>
    <row r="12" spans="1:38" ht="17.149999999999999" x14ac:dyDescent="0.55000000000000004">
      <c r="B12" t="str">
        <f t="shared" si="1"/>
        <v>Portland</v>
      </c>
      <c r="C12" t="s">
        <v>523</v>
      </c>
      <c r="D12">
        <f>IF(ISNUMBER(D9),0.7*D10+0.02*D9*D11,IF(D9="Partially Insulated",0.6*D10+0.02*D8*D11,0))</f>
        <v>8.9950000000000241</v>
      </c>
      <c r="E12">
        <f t="shared" ref="E12:P12" si="41">IF(ISNUMBER(E9),0.7*E10+0.02*E9*E11,IF(E9="Partially Insulated",0.6*E10+0.02*E8*E11,0))</f>
        <v>12.239999999999991</v>
      </c>
      <c r="F12">
        <f t="shared" si="41"/>
        <v>13.62500000000003</v>
      </c>
      <c r="G12">
        <f t="shared" si="41"/>
        <v>15.639999999999983</v>
      </c>
      <c r="H12">
        <f t="shared" si="41"/>
        <v>16.994999999999969</v>
      </c>
      <c r="I12">
        <f t="shared" si="41"/>
        <v>16.885000000000041</v>
      </c>
      <c r="J12">
        <f t="shared" si="41"/>
        <v>17.42999999999995</v>
      </c>
      <c r="K12">
        <f t="shared" si="41"/>
        <v>16.980000000000015</v>
      </c>
      <c r="L12">
        <f t="shared" si="41"/>
        <v>17.459999999999983</v>
      </c>
      <c r="M12">
        <f t="shared" si="41"/>
        <v>13.929999999999993</v>
      </c>
      <c r="N12">
        <f t="shared" si="41"/>
        <v>10.495000000000031</v>
      </c>
      <c r="O12">
        <f t="shared" si="41"/>
        <v>8.51</v>
      </c>
      <c r="P12">
        <f t="shared" si="41"/>
        <v>14.125</v>
      </c>
      <c r="Q12">
        <v>8</v>
      </c>
    </row>
    <row r="13" spans="1:38" ht="17.149999999999999" x14ac:dyDescent="0.55000000000000004">
      <c r="B13" t="str">
        <f t="shared" si="1"/>
        <v>Portland</v>
      </c>
      <c r="C13" t="s">
        <v>524</v>
      </c>
      <c r="D13">
        <f t="shared" ref="D13:F13" si="42">AVERAGE(D5:D6)</f>
        <v>503.5</v>
      </c>
      <c r="E13">
        <f t="shared" si="42"/>
        <v>504.30000000000007</v>
      </c>
      <c r="F13">
        <f t="shared" si="42"/>
        <v>505.70000000000005</v>
      </c>
      <c r="G13">
        <f>AVERAGE(G5:G6)</f>
        <v>508.2</v>
      </c>
      <c r="H13">
        <f t="shared" ref="H13:P13" si="43">AVERAGE(H5:H6)</f>
        <v>512.75</v>
      </c>
      <c r="I13">
        <f t="shared" si="43"/>
        <v>516.55000000000007</v>
      </c>
      <c r="J13">
        <f t="shared" si="43"/>
        <v>520.04999999999995</v>
      </c>
      <c r="K13">
        <f t="shared" si="43"/>
        <v>520.5</v>
      </c>
      <c r="L13">
        <f t="shared" si="43"/>
        <v>518.20000000000005</v>
      </c>
      <c r="M13">
        <f t="shared" si="43"/>
        <v>512.25</v>
      </c>
      <c r="N13">
        <f t="shared" si="43"/>
        <v>506.70000000000005</v>
      </c>
      <c r="O13">
        <f t="shared" si="43"/>
        <v>503.20000000000005</v>
      </c>
      <c r="P13">
        <f t="shared" si="43"/>
        <v>511</v>
      </c>
      <c r="Q13">
        <v>9</v>
      </c>
    </row>
    <row r="14" spans="1:38" ht="17.149999999999999" x14ac:dyDescent="0.55000000000000004">
      <c r="B14" t="str">
        <f t="shared" si="1"/>
        <v>Portland</v>
      </c>
      <c r="C14" t="s">
        <v>525</v>
      </c>
      <c r="D14" cm="1">
        <f t="array" ref="D14">IFERROR(IF(ISBLANK(INDEX(FX_Input,$R5,D$3*$AK5+$AL5)),D13+0.003*D7*D11,INDEX(FX_Input,$R5,D$3*$AK5+$AL5)+459.6),D13)</f>
        <v>503.75725</v>
      </c>
      <c r="E14" cm="1">
        <f t="array" ref="E14">IFERROR(IF(ISBLANK(INDEX(FX_Input,$R5,E$3*$AK5+$AL5)),E13+0.003*E7*E11,INDEX(FX_Input,$R5,E$3*$AK5+$AL5)+459.6),E13)</f>
        <v>504.75000000000006</v>
      </c>
      <c r="F14" cm="1">
        <f t="array" ref="F14">IFERROR(IF(ISBLANK(INDEX(FX_Input,$R5,F$3*$AK5+$AL5)),F13+0.003*F7*F11,INDEX(FX_Input,$R5,F$3*$AK5+$AL5)+459.6),F13)</f>
        <v>506.35775000000007</v>
      </c>
      <c r="G14" cm="1">
        <f t="array" ref="G14">IFERROR(IF(ISBLANK(INDEX(FX_Input,$R5,G$3*$AK5+$AL5)),G13+0.003*G7*G11,INDEX(FX_Input,$R5,G$3*$AK5+$AL5)+459.6),G13)</f>
        <v>509.13900000000001</v>
      </c>
      <c r="H14" cm="1">
        <f t="array" ref="H14">IFERROR(IF(ISBLANK(INDEX(FX_Input,$R5,H$3*$AK5+$AL5)),H13+0.003*H7*H11,INDEX(FX_Input,$R5,H$3*$AK5+$AL5)+459.6),H13)</f>
        <v>513.90274999999997</v>
      </c>
      <c r="I14" cm="1">
        <f t="array" ref="I14">IFERROR(IF(ISBLANK(INDEX(FX_Input,$R5,I$3*$AK5+$AL5)),I13+0.003*I7*I11,INDEX(FX_Input,$R5,I$3*$AK5+$AL5)+459.6),I13)</f>
        <v>517.77025000000003</v>
      </c>
      <c r="J14" cm="1">
        <f t="array" ref="J14">IFERROR(IF(ISBLANK(INDEX(FX_Input,$R5,J$3*$AK5+$AL5)),J13+0.003*J7*J11,INDEX(FX_Input,$R5,J$3*$AK5+$AL5)+459.6),J13)</f>
        <v>521.3309999999999</v>
      </c>
      <c r="K14" cm="1">
        <f t="array" ref="K14">IFERROR(IF(ISBLANK(INDEX(FX_Input,$R5,K$3*$AK5+$AL5)),K13+0.003*K7*K11,INDEX(FX_Input,$R5,K$3*$AK5+$AL5)+459.6),K13)</f>
        <v>521.61900000000003</v>
      </c>
      <c r="L14" cm="1">
        <f t="array" ref="L14">IFERROR(IF(ISBLANK(INDEX(FX_Input,$R5,L$3*$AK5+$AL5)),L13+0.003*L7*L11,INDEX(FX_Input,$R5,L$3*$AK5+$AL5)+459.6),L13)</f>
        <v>519.09700000000009</v>
      </c>
      <c r="M14" cm="1">
        <f t="array" ref="M14">IFERROR(IF(ISBLANK(INDEX(FX_Input,$R5,M$3*$AK5+$AL5)),M13+0.003*M7*M11,INDEX(FX_Input,$R5,M$3*$AK5+$AL5)+459.6),M13)</f>
        <v>512.79600000000005</v>
      </c>
      <c r="N14" cm="1">
        <f t="array" ref="N14">IFERROR(IF(ISBLANK(INDEX(FX_Input,$R5,N$3*$AK5+$AL5)),N13+0.003*N7*N11,INDEX(FX_Input,$R5,N$3*$AK5+$AL5)+459.6),N13)</f>
        <v>506.99325000000005</v>
      </c>
      <c r="O14" cm="1">
        <f t="array" ref="O14">IFERROR(IF(ISBLANK(INDEX(FX_Input,$R5,O$3*$AK5+$AL5)),O13+0.003*O7*O11,INDEX(FX_Input,$R5,O$3*$AK5+$AL5)+459.6),O13)</f>
        <v>503.42650000000003</v>
      </c>
      <c r="P14" cm="1">
        <f t="array" ref="P14">IFERROR(IF(ISBLANK(INDEX(FX_Input,$R5,P$3*$AK5+$AL5)),P13+0.003*P7*P11,INDEX(FX_Input,$R5,P$3*$AK5+$AL5)+459.6),P13)</f>
        <v>81027.600000000006</v>
      </c>
      <c r="Q14">
        <v>10</v>
      </c>
    </row>
    <row r="15" spans="1:38" ht="17.149999999999999" x14ac:dyDescent="0.55000000000000004">
      <c r="B15" t="str">
        <f t="shared" si="1"/>
        <v>Portland</v>
      </c>
      <c r="C15" t="s">
        <v>526</v>
      </c>
      <c r="D15">
        <f>IF(ISNUMBER(D9),0.4*D5+0.6*D14+0.005*D9*D11,IF(D9="Partially Insulated",0.3*D13+0.7*D14+0.005*D8*D11,D14))-459.6</f>
        <v>42.403099999999938</v>
      </c>
      <c r="E15">
        <f t="shared" ref="E15:O15" si="44">IF(ISNUMBER(E9),0.4*E5+0.6*E14+0.005*E9*E11,IF(E9="Partially Insulated",0.3*E13+0.7*E14+0.005*E8*E11,E14))-459.6</f>
        <v>43.080000000000041</v>
      </c>
      <c r="F15">
        <f t="shared" si="44"/>
        <v>44.95089999999999</v>
      </c>
      <c r="G15">
        <f t="shared" si="44"/>
        <v>48.048400000000015</v>
      </c>
      <c r="H15">
        <f t="shared" si="44"/>
        <v>53.102899999999977</v>
      </c>
      <c r="I15">
        <f t="shared" si="44"/>
        <v>57.215900000000033</v>
      </c>
      <c r="J15">
        <f t="shared" si="44"/>
        <v>60.813599999999838</v>
      </c>
      <c r="K15">
        <f t="shared" si="44"/>
        <v>60.716400000000021</v>
      </c>
      <c r="L15">
        <f t="shared" si="44"/>
        <v>57.353200000000015</v>
      </c>
      <c r="M15">
        <f t="shared" si="44"/>
        <v>50.947600000000079</v>
      </c>
      <c r="N15">
        <f t="shared" si="44"/>
        <v>45.324700000000007</v>
      </c>
      <c r="O15">
        <f t="shared" si="44"/>
        <v>42.113400000000013</v>
      </c>
      <c r="P15">
        <f>AVERAGE(D15:O15)</f>
        <v>50.505841666666662</v>
      </c>
      <c r="Q15">
        <v>11</v>
      </c>
    </row>
    <row r="16" spans="1:38" ht="17.149999999999999" x14ac:dyDescent="0.55000000000000004">
      <c r="B16" t="str">
        <f t="shared" si="1"/>
        <v>Portland</v>
      </c>
      <c r="C16" t="s">
        <v>527</v>
      </c>
      <c r="D16">
        <f>IF(ISNUMBER(D9),0.4*D6+0.6*D14+0.005*D9*D11,IF(D9="Partially Insulated",0.3*D13+0.7*D14+0.005*D8*D11,D14))-459.6</f>
        <v>46.563099999999963</v>
      </c>
      <c r="E16">
        <f t="shared" ref="E16:O16" si="45">IF(ISNUMBER(E9),0.4*E6+0.6*E14+0.005*E9*E11,IF(E9="Partially Insulated",0.3*E13+0.7*E14+0.005*E8*E11,E14))-459.6</f>
        <v>48.360000000000014</v>
      </c>
      <c r="F16">
        <f t="shared" si="45"/>
        <v>50.230900000000076</v>
      </c>
      <c r="G16">
        <f t="shared" si="45"/>
        <v>53.408400000000029</v>
      </c>
      <c r="H16">
        <f t="shared" si="45"/>
        <v>58.422899999999913</v>
      </c>
      <c r="I16">
        <f t="shared" si="45"/>
        <v>62.215900000000033</v>
      </c>
      <c r="J16">
        <f t="shared" si="45"/>
        <v>65.893599999999878</v>
      </c>
      <c r="K16">
        <f t="shared" si="45"/>
        <v>66.156400000000076</v>
      </c>
      <c r="L16">
        <f t="shared" si="45"/>
        <v>63.913199999999961</v>
      </c>
      <c r="M16">
        <f t="shared" si="45"/>
        <v>56.827600000000075</v>
      </c>
      <c r="N16">
        <f t="shared" si="45"/>
        <v>50.204700000000003</v>
      </c>
      <c r="O16">
        <f t="shared" si="45"/>
        <v>46.113400000000013</v>
      </c>
      <c r="P16">
        <f>AVERAGE(D16:O16)</f>
        <v>55.692508333333329</v>
      </c>
      <c r="Q16">
        <v>12</v>
      </c>
    </row>
    <row r="17" spans="1:38" ht="17.149999999999999" x14ac:dyDescent="0.55000000000000004">
      <c r="B17" t="str">
        <f t="shared" si="1"/>
        <v>Portland</v>
      </c>
      <c r="C17" t="s">
        <v>552</v>
      </c>
      <c r="D17">
        <f>IF(ISNUMBER(D9),0.4*D13+0.6*D14+0.005*D9*D11,IF(D9="Partially Insulated",0.3*D13+0.7*D14+0.005*D8*D11,D14))-459.6</f>
        <v>44.483099999999979</v>
      </c>
      <c r="E17">
        <f t="shared" ref="E17:O17" si="46">IF(ISNUMBER(E9),0.4*E13+0.6*E14+0.005*E9*E11,IF(E9="Partially Insulated",0.3*E13+0.7*E14+0.005*E8*E11,E14))-459.6</f>
        <v>45.720000000000027</v>
      </c>
      <c r="F17">
        <f t="shared" si="46"/>
        <v>47.590900000000033</v>
      </c>
      <c r="G17">
        <f t="shared" si="46"/>
        <v>50.728400000000022</v>
      </c>
      <c r="H17">
        <f t="shared" si="46"/>
        <v>55.762899999999945</v>
      </c>
      <c r="I17">
        <f t="shared" si="46"/>
        <v>59.715900000000033</v>
      </c>
      <c r="J17">
        <f t="shared" si="46"/>
        <v>63.353599999999801</v>
      </c>
      <c r="K17">
        <f t="shared" si="46"/>
        <v>63.436400000000049</v>
      </c>
      <c r="L17">
        <f t="shared" si="46"/>
        <v>60.633199999999988</v>
      </c>
      <c r="M17">
        <f t="shared" si="46"/>
        <v>53.88760000000002</v>
      </c>
      <c r="N17">
        <f t="shared" si="46"/>
        <v>47.764700000000062</v>
      </c>
      <c r="O17">
        <f t="shared" si="46"/>
        <v>44.113400000000013</v>
      </c>
      <c r="P17">
        <f>AVERAGE(D17:O17)</f>
        <v>53.099175000000002</v>
      </c>
      <c r="Q17">
        <f>P17+459.6</f>
        <v>512.69917499999997</v>
      </c>
    </row>
    <row r="18" spans="1:38" ht="17.149999999999999" x14ac:dyDescent="0.55000000000000004">
      <c r="A18" s="11"/>
      <c r="B18" s="11" t="str">
        <f t="shared" si="1"/>
        <v>Portland</v>
      </c>
      <c r="C18" s="11" t="s">
        <v>553</v>
      </c>
      <c r="D18" s="11">
        <f>IF(ISNUMBER(D9),0.7*D13+0.3*D14+0.009*D9*D11,IF(D9="Partially Insulated",0.6*D13+0.4*D14+0.01*D8*D11,D14))-459.6</f>
        <v>44.748924999999986</v>
      </c>
      <c r="E18" s="11">
        <f t="shared" ref="E18:M18" si="47">IF(ISNUMBER(E9),0.7*E13+0.3*E14+0.009*E9*E11,IF(E9="Partially Insulated",0.6*E13+0.4*E14+0.01*E8*E11,E14))-459.6</f>
        <v>46.185000000000059</v>
      </c>
      <c r="F18" s="11">
        <f t="shared" si="47"/>
        <v>48.270575000000008</v>
      </c>
      <c r="G18" s="11">
        <f t="shared" si="47"/>
        <v>51.698699999999917</v>
      </c>
      <c r="H18" s="11">
        <f t="shared" si="47"/>
        <v>56.954074999999875</v>
      </c>
      <c r="I18" s="11">
        <f t="shared" si="47"/>
        <v>60.976825000000076</v>
      </c>
      <c r="J18" s="11">
        <f t="shared" si="47"/>
        <v>64.677299999999832</v>
      </c>
      <c r="K18" s="11">
        <f t="shared" si="47"/>
        <v>64.592699999999923</v>
      </c>
      <c r="L18" s="11">
        <f t="shared" si="47"/>
        <v>61.560100000000034</v>
      </c>
      <c r="M18" s="11">
        <f t="shared" si="47"/>
        <v>54.451800000000048</v>
      </c>
      <c r="N18" s="11">
        <f t="shared" ref="N18:O18" si="48">IF(ISNUMBER(N9),0.7*N13+0.3*N14+0.009*N9*N11,IF(N9="Partially Insulated",0.6*N13+0.4*N14+0.01*N8*N11,N14))-459.6</f>
        <v>48.067724999999996</v>
      </c>
      <c r="O18" s="11">
        <f t="shared" si="48"/>
        <v>44.347450000000038</v>
      </c>
      <c r="P18" s="11">
        <f>AVERAGE(D18:O18)</f>
        <v>53.877597916666652</v>
      </c>
      <c r="Q18" s="11">
        <v>14</v>
      </c>
      <c r="R18" s="11"/>
      <c r="S18" s="11"/>
      <c r="T18" s="11"/>
      <c r="U18" s="11"/>
      <c r="V18" s="11"/>
      <c r="W18" s="11"/>
      <c r="X18" s="11"/>
      <c r="Y18" s="11"/>
      <c r="Z18" s="11"/>
      <c r="AA18" s="11"/>
      <c r="AB18" s="11"/>
      <c r="AC18" s="11"/>
      <c r="AD18" s="11"/>
      <c r="AE18" s="11"/>
      <c r="AF18" s="11"/>
      <c r="AG18" s="11"/>
      <c r="AH18" s="11"/>
      <c r="AI18" s="11"/>
      <c r="AJ18" s="11"/>
      <c r="AK18" s="11"/>
      <c r="AL18" s="11"/>
    </row>
    <row r="19" spans="1:38" ht="17.149999999999999" x14ac:dyDescent="0.55000000000000004">
      <c r="A19" t="str" cm="1">
        <f t="array" ref="A19">INDEX(FX_Input,$R19,S$5)</f>
        <v>FX - 2</v>
      </c>
      <c r="B19" t="str" cm="1">
        <f t="array" ref="B19">INDEX(FX_Input,R19,T19)</f>
        <v>Portland</v>
      </c>
      <c r="C19" t="s">
        <v>510</v>
      </c>
      <c r="D19">
        <f t="shared" ref="D19:O20" si="49">VLOOKUP(VLOOKUP($B19,Terminal_X_Ref,2,FALSE)&amp;$C19,Weather_Data,$Y19*D$3+$Z19,FALSE)+459.6</f>
        <v>498.3</v>
      </c>
      <c r="E19">
        <f t="shared" si="49"/>
        <v>497.70000000000005</v>
      </c>
      <c r="F19">
        <f t="shared" si="49"/>
        <v>499.1</v>
      </c>
      <c r="G19">
        <f t="shared" si="49"/>
        <v>501.5</v>
      </c>
      <c r="H19">
        <f t="shared" si="49"/>
        <v>506.1</v>
      </c>
      <c r="I19">
        <f t="shared" si="49"/>
        <v>510.3</v>
      </c>
      <c r="J19">
        <f t="shared" si="49"/>
        <v>513.70000000000005</v>
      </c>
      <c r="K19">
        <f t="shared" si="49"/>
        <v>513.70000000000005</v>
      </c>
      <c r="L19">
        <f t="shared" si="49"/>
        <v>510</v>
      </c>
      <c r="M19">
        <f t="shared" si="49"/>
        <v>504.90000000000003</v>
      </c>
      <c r="N19">
        <f t="shared" si="49"/>
        <v>500.6</v>
      </c>
      <c r="O19">
        <f t="shared" si="49"/>
        <v>498.20000000000005</v>
      </c>
      <c r="P19">
        <f t="shared" ref="P19:P20" si="50">VLOOKUP(VLOOKUP($B19,Terminal_X_Ref,2,FALSE)&amp;$C19,Weather_Data,$Y19*P$3+$Z19,FALSE)</f>
        <v>44.9</v>
      </c>
      <c r="Q19">
        <f>Q18+1</f>
        <v>15</v>
      </c>
      <c r="R19">
        <f>R5+2</f>
        <v>3</v>
      </c>
      <c r="S19">
        <f>S5+1</f>
        <v>2</v>
      </c>
      <c r="T19">
        <v>3</v>
      </c>
      <c r="U19">
        <v>2</v>
      </c>
      <c r="V19">
        <v>3</v>
      </c>
      <c r="W19">
        <v>1</v>
      </c>
      <c r="X19">
        <v>2</v>
      </c>
      <c r="Y19">
        <f>(V19-U19)/(X19-W19)</f>
        <v>1</v>
      </c>
      <c r="Z19">
        <f>U19-Y19*W19</f>
        <v>1</v>
      </c>
      <c r="AA19">
        <f>AA5+1</f>
        <v>2</v>
      </c>
      <c r="AB19">
        <v>6</v>
      </c>
      <c r="AC19">
        <v>3</v>
      </c>
      <c r="AD19">
        <v>13</v>
      </c>
      <c r="AE19">
        <v>12</v>
      </c>
      <c r="AF19">
        <v>14</v>
      </c>
      <c r="AG19">
        <v>77</v>
      </c>
      <c r="AH19">
        <v>78</v>
      </c>
      <c r="AI19">
        <v>1</v>
      </c>
      <c r="AJ19">
        <v>2</v>
      </c>
      <c r="AK19">
        <f>(AH19-AG19)/(AJ19-AI19)</f>
        <v>1</v>
      </c>
      <c r="AL19">
        <f>AG19-AK19*AI19</f>
        <v>76</v>
      </c>
    </row>
    <row r="20" spans="1:38" ht="17.149999999999999" x14ac:dyDescent="0.55000000000000004">
      <c r="B20" t="str">
        <f t="shared" ref="B20:B34" si="51">B19</f>
        <v>Portland</v>
      </c>
      <c r="C20" t="s">
        <v>511</v>
      </c>
      <c r="D20">
        <f t="shared" si="49"/>
        <v>508.70000000000005</v>
      </c>
      <c r="E20">
        <f t="shared" si="49"/>
        <v>510.90000000000003</v>
      </c>
      <c r="F20">
        <f t="shared" si="49"/>
        <v>512.30000000000007</v>
      </c>
      <c r="G20">
        <f t="shared" si="49"/>
        <v>514.9</v>
      </c>
      <c r="H20">
        <f t="shared" si="49"/>
        <v>519.4</v>
      </c>
      <c r="I20">
        <f t="shared" si="49"/>
        <v>522.80000000000007</v>
      </c>
      <c r="J20">
        <f t="shared" si="49"/>
        <v>526.4</v>
      </c>
      <c r="K20">
        <f t="shared" si="49"/>
        <v>527.30000000000007</v>
      </c>
      <c r="L20">
        <f t="shared" si="49"/>
        <v>526.4</v>
      </c>
      <c r="M20">
        <f t="shared" si="49"/>
        <v>519.6</v>
      </c>
      <c r="N20">
        <f t="shared" si="49"/>
        <v>512.80000000000007</v>
      </c>
      <c r="O20">
        <f t="shared" si="49"/>
        <v>508.20000000000005</v>
      </c>
      <c r="P20">
        <f t="shared" si="50"/>
        <v>57.9</v>
      </c>
      <c r="Q20">
        <f t="shared" ref="Q20:Q31" si="52">Q19+1</f>
        <v>16</v>
      </c>
      <c r="U20">
        <f>U19</f>
        <v>2</v>
      </c>
      <c r="V20">
        <f t="shared" ref="V20" si="53">V19</f>
        <v>3</v>
      </c>
      <c r="W20">
        <f t="shared" ref="W20" si="54">W19</f>
        <v>1</v>
      </c>
      <c r="X20">
        <f t="shared" ref="X20" si="55">X19</f>
        <v>2</v>
      </c>
      <c r="Y20">
        <f t="shared" ref="Y20" si="56">Y19</f>
        <v>1</v>
      </c>
      <c r="Z20">
        <f t="shared" ref="Z20" si="57">Z19</f>
        <v>1</v>
      </c>
      <c r="AA20">
        <f>AA19</f>
        <v>2</v>
      </c>
      <c r="AB20">
        <f t="shared" ref="AB20:AB23" si="58">AB19</f>
        <v>6</v>
      </c>
      <c r="AC20">
        <f t="shared" ref="AC20:AE23" si="59">AC19</f>
        <v>3</v>
      </c>
      <c r="AD20">
        <f t="shared" si="59"/>
        <v>13</v>
      </c>
      <c r="AE20">
        <f t="shared" si="59"/>
        <v>12</v>
      </c>
      <c r="AF20">
        <f t="shared" ref="AF20:AF23" si="60">AF19</f>
        <v>14</v>
      </c>
      <c r="AG20">
        <f t="shared" ref="AG20:AG23" si="61">AG19</f>
        <v>77</v>
      </c>
      <c r="AH20">
        <f t="shared" ref="AH20:AH23" si="62">AH19</f>
        <v>78</v>
      </c>
      <c r="AI20">
        <f t="shared" ref="AI20:AI23" si="63">AI19</f>
        <v>1</v>
      </c>
      <c r="AJ20">
        <f t="shared" ref="AJ20:AJ23" si="64">AJ19</f>
        <v>2</v>
      </c>
      <c r="AK20">
        <f t="shared" ref="AK20:AK23" si="65">AK19</f>
        <v>1</v>
      </c>
      <c r="AL20">
        <f t="shared" ref="AL20:AL23" si="66">AL19</f>
        <v>76</v>
      </c>
    </row>
    <row r="21" spans="1:38" ht="17.149999999999999" x14ac:dyDescent="0.4">
      <c r="B21" t="str">
        <f>B20</f>
        <v>Portland</v>
      </c>
      <c r="C21" s="66" t="s">
        <v>514</v>
      </c>
      <c r="D21" cm="1">
        <f t="array" ref="D21">INDEX(FX_Calcs,$AA21,$AE21)</f>
        <v>0.25</v>
      </c>
      <c r="E21" cm="1">
        <f t="array" ref="E21">INDEX(FX_Calcs,$AA21,$AE21)</f>
        <v>0.25</v>
      </c>
      <c r="F21" cm="1">
        <f t="array" ref="F21">INDEX(FX_Calcs,$AA21,$AE21)</f>
        <v>0.25</v>
      </c>
      <c r="G21" cm="1">
        <f t="array" ref="G21">INDEX(FX_Calcs,$AA21,$AE21)</f>
        <v>0.25</v>
      </c>
      <c r="H21" cm="1">
        <f t="array" ref="H21">INDEX(FX_Calcs,$AA21,$AE21)</f>
        <v>0.25</v>
      </c>
      <c r="I21" cm="1">
        <f t="array" ref="I21">INDEX(FX_Calcs,$AA21,$AE21)</f>
        <v>0.25</v>
      </c>
      <c r="J21" cm="1">
        <f t="array" ref="J21">INDEX(FX_Calcs,$AA21,$AE21)</f>
        <v>0.25</v>
      </c>
      <c r="K21" cm="1">
        <f t="array" ref="K21">INDEX(FX_Calcs,$AA21,$AE21)</f>
        <v>0.25</v>
      </c>
      <c r="L21" cm="1">
        <f t="array" ref="L21">INDEX(FX_Calcs,$AA21,$AE21)</f>
        <v>0.25</v>
      </c>
      <c r="M21" cm="1">
        <f t="array" ref="M21">INDEX(FX_Calcs,$AA21,$AE21)</f>
        <v>0.25</v>
      </c>
      <c r="N21" cm="1">
        <f t="array" ref="N21">INDEX(FX_Calcs,$AA21,$AE21)</f>
        <v>0.25</v>
      </c>
      <c r="O21" cm="1">
        <f t="array" ref="O21">INDEX(FX_Calcs,$AA21,$AE21)</f>
        <v>0.25</v>
      </c>
      <c r="P21" cm="1">
        <f t="array" ref="P21">INDEX(FX_Calcs,$AA21,$AE21)</f>
        <v>0.25</v>
      </c>
      <c r="Q21">
        <f t="shared" si="52"/>
        <v>17</v>
      </c>
      <c r="AA21">
        <f>AA20</f>
        <v>2</v>
      </c>
      <c r="AB21">
        <f t="shared" si="58"/>
        <v>6</v>
      </c>
      <c r="AC21">
        <f t="shared" si="59"/>
        <v>3</v>
      </c>
      <c r="AD21">
        <f t="shared" si="59"/>
        <v>13</v>
      </c>
      <c r="AE21">
        <f t="shared" si="59"/>
        <v>12</v>
      </c>
      <c r="AF21">
        <f t="shared" si="60"/>
        <v>14</v>
      </c>
      <c r="AG21">
        <f t="shared" si="61"/>
        <v>77</v>
      </c>
      <c r="AH21">
        <f t="shared" si="62"/>
        <v>78</v>
      </c>
      <c r="AI21">
        <f t="shared" si="63"/>
        <v>1</v>
      </c>
      <c r="AJ21">
        <f t="shared" si="64"/>
        <v>2</v>
      </c>
      <c r="AK21">
        <f t="shared" si="65"/>
        <v>1</v>
      </c>
      <c r="AL21">
        <f t="shared" si="66"/>
        <v>76</v>
      </c>
    </row>
    <row r="22" spans="1:38" ht="17.149999999999999" x14ac:dyDescent="0.4">
      <c r="B22" t="str">
        <f t="shared" ref="B22:B23" si="67">B21</f>
        <v>Portland</v>
      </c>
      <c r="C22" s="66" t="s">
        <v>513</v>
      </c>
      <c r="D22" cm="1">
        <f t="array" ref="D22">INDEX(FX_Calcs,$AA22,$AD22)</f>
        <v>0.25</v>
      </c>
      <c r="E22" cm="1">
        <f t="array" ref="E22">INDEX(FX_Calcs,$AA22,$AD22)</f>
        <v>0.25</v>
      </c>
      <c r="F22" cm="1">
        <f t="array" ref="F22">INDEX(FX_Calcs,$AA22,$AD22)</f>
        <v>0.25</v>
      </c>
      <c r="G22" cm="1">
        <f t="array" ref="G22">INDEX(FX_Calcs,$AA22,$AD22)</f>
        <v>0.25</v>
      </c>
      <c r="H22" cm="1">
        <f t="array" ref="H22">INDEX(FX_Calcs,$AA22,$AD22)</f>
        <v>0.25</v>
      </c>
      <c r="I22" cm="1">
        <f t="array" ref="I22">INDEX(FX_Calcs,$AA22,$AD22)</f>
        <v>0.25</v>
      </c>
      <c r="J22" cm="1">
        <f t="array" ref="J22">INDEX(FX_Calcs,$AA22,$AD22)</f>
        <v>0.25</v>
      </c>
      <c r="K22" cm="1">
        <f t="array" ref="K22">INDEX(FX_Calcs,$AA22,$AD22)</f>
        <v>0.25</v>
      </c>
      <c r="L22" cm="1">
        <f t="array" ref="L22">INDEX(FX_Calcs,$AA22,$AD22)</f>
        <v>0.25</v>
      </c>
      <c r="M22" cm="1">
        <f t="array" ref="M22">INDEX(FX_Calcs,$AA22,$AD22)</f>
        <v>0.25</v>
      </c>
      <c r="N22" cm="1">
        <f t="array" ref="N22">INDEX(FX_Calcs,$AA22,$AD22)</f>
        <v>0.25</v>
      </c>
      <c r="O22" cm="1">
        <f t="array" ref="O22">INDEX(FX_Calcs,$AA22,$AD22)</f>
        <v>0.25</v>
      </c>
      <c r="P22" cm="1">
        <f t="array" ref="P22">INDEX(FX_Calcs,$AA22,$AD22)</f>
        <v>0.25</v>
      </c>
      <c r="Q22">
        <f t="shared" si="52"/>
        <v>18</v>
      </c>
      <c r="AA22">
        <f>AA21</f>
        <v>2</v>
      </c>
      <c r="AB22">
        <f t="shared" si="58"/>
        <v>6</v>
      </c>
      <c r="AC22">
        <f t="shared" si="59"/>
        <v>3</v>
      </c>
      <c r="AD22">
        <f t="shared" si="59"/>
        <v>13</v>
      </c>
      <c r="AE22">
        <f t="shared" si="59"/>
        <v>12</v>
      </c>
      <c r="AF22">
        <f t="shared" si="60"/>
        <v>14</v>
      </c>
      <c r="AG22">
        <f t="shared" si="61"/>
        <v>77</v>
      </c>
      <c r="AH22">
        <f t="shared" si="62"/>
        <v>78</v>
      </c>
      <c r="AI22">
        <f t="shared" si="63"/>
        <v>1</v>
      </c>
      <c r="AJ22">
        <f t="shared" si="64"/>
        <v>2</v>
      </c>
      <c r="AK22">
        <f t="shared" si="65"/>
        <v>1</v>
      </c>
      <c r="AL22">
        <f t="shared" si="66"/>
        <v>76</v>
      </c>
    </row>
    <row r="23" spans="1:38" x14ac:dyDescent="0.4">
      <c r="B23" t="str">
        <f t="shared" si="67"/>
        <v>Portland</v>
      </c>
      <c r="C23" s="66" t="s">
        <v>558</v>
      </c>
      <c r="D23" cm="1">
        <f t="array" ref="D23">INDEX(FX_Calcs,$AA23,$AF23)</f>
        <v>0.25</v>
      </c>
      <c r="E23" cm="1">
        <f t="array" ref="E23">INDEX(FX_Calcs,$AA23,$AF23)</f>
        <v>0.25</v>
      </c>
      <c r="F23" cm="1">
        <f t="array" ref="F23">INDEX(FX_Calcs,$AA23,$AF23)</f>
        <v>0.25</v>
      </c>
      <c r="G23" cm="1">
        <f t="array" ref="G23">INDEX(FX_Calcs,$AA23,$AF23)</f>
        <v>0.25</v>
      </c>
      <c r="H23" cm="1">
        <f t="array" ref="H23">INDEX(FX_Calcs,$AA23,$AF23)</f>
        <v>0.25</v>
      </c>
      <c r="I23" cm="1">
        <f t="array" ref="I23">INDEX(FX_Calcs,$AA23,$AF23)</f>
        <v>0.25</v>
      </c>
      <c r="J23" cm="1">
        <f t="array" ref="J23">INDEX(FX_Calcs,$AA23,$AF23)</f>
        <v>0.25</v>
      </c>
      <c r="K23" cm="1">
        <f t="array" ref="K23">INDEX(FX_Calcs,$AA23,$AF23)</f>
        <v>0.25</v>
      </c>
      <c r="L23" cm="1">
        <f t="array" ref="L23">INDEX(FX_Calcs,$AA23,$AF23)</f>
        <v>0.25</v>
      </c>
      <c r="M23" cm="1">
        <f t="array" ref="M23">INDEX(FX_Calcs,$AA23,$AF23)</f>
        <v>0.25</v>
      </c>
      <c r="N23" cm="1">
        <f t="array" ref="N23">INDEX(FX_Calcs,$AA23,$AF23)</f>
        <v>0.25</v>
      </c>
      <c r="O23" cm="1">
        <f t="array" ref="O23">INDEX(FX_Calcs,$AA23,$AF23)</f>
        <v>0.25</v>
      </c>
      <c r="P23" cm="1">
        <f t="array" ref="P23">INDEX(FX_Calcs,$AA23,$AF23)</f>
        <v>0.25</v>
      </c>
      <c r="Q23">
        <f t="shared" si="52"/>
        <v>19</v>
      </c>
      <c r="AA23">
        <f>AA22</f>
        <v>2</v>
      </c>
      <c r="AB23">
        <f t="shared" si="58"/>
        <v>6</v>
      </c>
      <c r="AC23">
        <f t="shared" si="59"/>
        <v>3</v>
      </c>
      <c r="AD23">
        <f t="shared" si="59"/>
        <v>13</v>
      </c>
      <c r="AE23">
        <f t="shared" si="59"/>
        <v>12</v>
      </c>
      <c r="AF23">
        <f t="shared" si="60"/>
        <v>14</v>
      </c>
      <c r="AG23">
        <f t="shared" si="61"/>
        <v>77</v>
      </c>
      <c r="AH23">
        <f t="shared" si="62"/>
        <v>78</v>
      </c>
      <c r="AI23">
        <f t="shared" si="63"/>
        <v>1</v>
      </c>
      <c r="AJ23">
        <f t="shared" si="64"/>
        <v>2</v>
      </c>
      <c r="AK23">
        <f t="shared" si="65"/>
        <v>1</v>
      </c>
      <c r="AL23">
        <f t="shared" si="66"/>
        <v>76</v>
      </c>
    </row>
    <row r="24" spans="1:38" ht="17.149999999999999" x14ac:dyDescent="0.55000000000000004">
      <c r="B24" t="str">
        <f>B20</f>
        <v>Portland</v>
      </c>
      <c r="C24" t="s">
        <v>512</v>
      </c>
      <c r="D24">
        <f t="shared" ref="D24:P24" si="68">D20-D19</f>
        <v>10.400000000000034</v>
      </c>
      <c r="E24">
        <f t="shared" si="68"/>
        <v>13.199999999999989</v>
      </c>
      <c r="F24">
        <f t="shared" si="68"/>
        <v>13.200000000000045</v>
      </c>
      <c r="G24">
        <f t="shared" si="68"/>
        <v>13.399999999999977</v>
      </c>
      <c r="H24">
        <f t="shared" si="68"/>
        <v>13.299999999999955</v>
      </c>
      <c r="I24">
        <f t="shared" si="68"/>
        <v>12.500000000000057</v>
      </c>
      <c r="J24">
        <f t="shared" si="68"/>
        <v>12.699999999999932</v>
      </c>
      <c r="K24">
        <f t="shared" si="68"/>
        <v>13.600000000000023</v>
      </c>
      <c r="L24">
        <f t="shared" si="68"/>
        <v>16.399999999999977</v>
      </c>
      <c r="M24">
        <f t="shared" si="68"/>
        <v>14.699999999999989</v>
      </c>
      <c r="N24">
        <f t="shared" si="68"/>
        <v>12.200000000000045</v>
      </c>
      <c r="O24">
        <f t="shared" si="68"/>
        <v>10</v>
      </c>
      <c r="P24">
        <f t="shared" si="68"/>
        <v>13</v>
      </c>
      <c r="Q24">
        <f t="shared" si="52"/>
        <v>20</v>
      </c>
    </row>
    <row r="25" spans="1:38" x14ac:dyDescent="0.4">
      <c r="B25" t="str">
        <f t="shared" si="51"/>
        <v>Portland</v>
      </c>
      <c r="C25" t="s">
        <v>260</v>
      </c>
      <c r="D25">
        <f t="shared" ref="D25:P25" si="69">VLOOKUP(VLOOKUP($B25,Terminal_X_Ref,2,FALSE)&amp;$C25,Weather_Data,$Y25*D$3+$Z25,FALSE)</f>
        <v>343</v>
      </c>
      <c r="E25">
        <f t="shared" si="69"/>
        <v>600</v>
      </c>
      <c r="F25">
        <f t="shared" si="69"/>
        <v>877</v>
      </c>
      <c r="G25">
        <f t="shared" si="69"/>
        <v>1252</v>
      </c>
      <c r="H25">
        <f t="shared" si="69"/>
        <v>1537</v>
      </c>
      <c r="I25">
        <f t="shared" si="69"/>
        <v>1627</v>
      </c>
      <c r="J25">
        <f t="shared" si="69"/>
        <v>1708</v>
      </c>
      <c r="K25">
        <f t="shared" si="69"/>
        <v>1492</v>
      </c>
      <c r="L25">
        <f t="shared" si="69"/>
        <v>1196</v>
      </c>
      <c r="M25">
        <f t="shared" si="69"/>
        <v>728</v>
      </c>
      <c r="N25">
        <f t="shared" si="69"/>
        <v>391</v>
      </c>
      <c r="O25">
        <f t="shared" si="69"/>
        <v>302</v>
      </c>
      <c r="P25">
        <f t="shared" si="69"/>
        <v>1005</v>
      </c>
      <c r="Q25">
        <f t="shared" si="52"/>
        <v>21</v>
      </c>
      <c r="U25">
        <f>U20</f>
        <v>2</v>
      </c>
      <c r="V25">
        <f t="shared" ref="V25:Z25" si="70">V20</f>
        <v>3</v>
      </c>
      <c r="W25">
        <f t="shared" si="70"/>
        <v>1</v>
      </c>
      <c r="X25">
        <f t="shared" si="70"/>
        <v>2</v>
      </c>
      <c r="Y25">
        <f t="shared" si="70"/>
        <v>1</v>
      </c>
      <c r="Z25">
        <f t="shared" si="70"/>
        <v>1</v>
      </c>
    </row>
    <row r="26" spans="1:38" ht="17.149999999999999" x14ac:dyDescent="0.55000000000000004">
      <c r="B26" t="str">
        <f t="shared" si="51"/>
        <v>Portland</v>
      </c>
      <c r="C26" t="s">
        <v>523</v>
      </c>
      <c r="D26">
        <f>IF(ISNUMBER(D23),0.7*D24+0.02*D23*D25,IF(D23="Partially Insulated",0.6*D24+0.02*D22*D25,0))</f>
        <v>8.9950000000000241</v>
      </c>
      <c r="E26">
        <f t="shared" ref="E26:P26" si="71">IF(ISNUMBER(E23),0.7*E24+0.02*E23*E25,IF(E23="Partially Insulated",0.6*E24+0.02*E22*E25,0))</f>
        <v>12.239999999999991</v>
      </c>
      <c r="F26">
        <f t="shared" si="71"/>
        <v>13.62500000000003</v>
      </c>
      <c r="G26">
        <f t="shared" si="71"/>
        <v>15.639999999999983</v>
      </c>
      <c r="H26">
        <f t="shared" si="71"/>
        <v>16.994999999999969</v>
      </c>
      <c r="I26">
        <f t="shared" si="71"/>
        <v>16.885000000000041</v>
      </c>
      <c r="J26">
        <f t="shared" si="71"/>
        <v>17.42999999999995</v>
      </c>
      <c r="K26">
        <f t="shared" si="71"/>
        <v>16.980000000000015</v>
      </c>
      <c r="L26">
        <f t="shared" si="71"/>
        <v>17.459999999999983</v>
      </c>
      <c r="M26">
        <f t="shared" si="71"/>
        <v>13.929999999999993</v>
      </c>
      <c r="N26">
        <f t="shared" si="71"/>
        <v>10.495000000000031</v>
      </c>
      <c r="O26">
        <f t="shared" si="71"/>
        <v>8.51</v>
      </c>
      <c r="P26">
        <f t="shared" si="71"/>
        <v>14.125</v>
      </c>
      <c r="Q26">
        <f t="shared" si="52"/>
        <v>22</v>
      </c>
    </row>
    <row r="27" spans="1:38" ht="17.149999999999999" x14ac:dyDescent="0.55000000000000004">
      <c r="B27" t="str">
        <f t="shared" si="51"/>
        <v>Portland</v>
      </c>
      <c r="C27" t="s">
        <v>524</v>
      </c>
      <c r="D27">
        <f t="shared" ref="D27:F27" si="72">AVERAGE(D19:D20)</f>
        <v>503.5</v>
      </c>
      <c r="E27">
        <f t="shared" si="72"/>
        <v>504.30000000000007</v>
      </c>
      <c r="F27">
        <f t="shared" si="72"/>
        <v>505.70000000000005</v>
      </c>
      <c r="G27">
        <f>AVERAGE(G19:G20)</f>
        <v>508.2</v>
      </c>
      <c r="H27">
        <f t="shared" ref="H27:P27" si="73">AVERAGE(H19:H20)</f>
        <v>512.75</v>
      </c>
      <c r="I27">
        <f t="shared" si="73"/>
        <v>516.55000000000007</v>
      </c>
      <c r="J27">
        <f t="shared" si="73"/>
        <v>520.04999999999995</v>
      </c>
      <c r="K27">
        <f t="shared" si="73"/>
        <v>520.5</v>
      </c>
      <c r="L27">
        <f t="shared" si="73"/>
        <v>518.20000000000005</v>
      </c>
      <c r="M27">
        <f t="shared" si="73"/>
        <v>512.25</v>
      </c>
      <c r="N27">
        <f t="shared" si="73"/>
        <v>506.70000000000005</v>
      </c>
      <c r="O27">
        <f t="shared" si="73"/>
        <v>503.20000000000005</v>
      </c>
      <c r="P27">
        <f t="shared" si="73"/>
        <v>51.4</v>
      </c>
      <c r="Q27">
        <f t="shared" si="52"/>
        <v>23</v>
      </c>
    </row>
    <row r="28" spans="1:38" ht="17.149999999999999" x14ac:dyDescent="0.55000000000000004">
      <c r="B28" t="str">
        <f t="shared" si="51"/>
        <v>Portland</v>
      </c>
      <c r="C28" t="s">
        <v>525</v>
      </c>
      <c r="D28" cm="1">
        <f t="array" ref="D28">IFERROR(IF(ISBLANK(INDEX(FX_Input,$R19,D$3*$AK19+$AL19)),D27+0.003*D21*D25,INDEX(FX_Input,$R19,D$3*$AK19+$AL19)+459.6),D27)</f>
        <v>503.75725</v>
      </c>
      <c r="E28" cm="1">
        <f t="array" ref="E28">IFERROR(IF(ISBLANK(INDEX(FX_Input,$R19,E$3*$AK19+$AL19)),E27+0.003*E21*E25,INDEX(FX_Input,$R19,E$3*$AK19+$AL19)+459.6),E27)</f>
        <v>504.75000000000006</v>
      </c>
      <c r="F28" cm="1">
        <f t="array" ref="F28">IFERROR(IF(ISBLANK(INDEX(FX_Input,$R19,F$3*$AK19+$AL19)),F27+0.003*F21*F25,INDEX(FX_Input,$R19,F$3*$AK19+$AL19)+459.6),F27)</f>
        <v>506.35775000000007</v>
      </c>
      <c r="G28" cm="1">
        <f t="array" ref="G28">IFERROR(IF(ISBLANK(INDEX(FX_Input,$R19,G$3*$AK19+$AL19)),G27+0.003*G21*G25,INDEX(FX_Input,$R19,G$3*$AK19+$AL19)+459.6),G27)</f>
        <v>509.13900000000001</v>
      </c>
      <c r="H28" cm="1">
        <f t="array" ref="H28">IFERROR(IF(ISBLANK(INDEX(FX_Input,$R19,H$3*$AK19+$AL19)),H27+0.003*H21*H25,INDEX(FX_Input,$R19,H$3*$AK19+$AL19)+459.6),H27)</f>
        <v>513.90274999999997</v>
      </c>
      <c r="I28" cm="1">
        <f t="array" ref="I28">IFERROR(IF(ISBLANK(INDEX(FX_Input,$R19,I$3*$AK19+$AL19)),I27+0.003*I21*I25,INDEX(FX_Input,$R19,I$3*$AK19+$AL19)+459.6),I27)</f>
        <v>517.77025000000003</v>
      </c>
      <c r="J28" cm="1">
        <f t="array" ref="J28">IFERROR(IF(ISBLANK(INDEX(FX_Input,$R19,J$3*$AK19+$AL19)),J27+0.003*J21*J25,INDEX(FX_Input,$R19,J$3*$AK19+$AL19)+459.6),J27)</f>
        <v>521.3309999999999</v>
      </c>
      <c r="K28" cm="1">
        <f t="array" ref="K28">IFERROR(IF(ISBLANK(INDEX(FX_Input,$R19,K$3*$AK19+$AL19)),K27+0.003*K21*K25,INDEX(FX_Input,$R19,K$3*$AK19+$AL19)+459.6),K27)</f>
        <v>521.61900000000003</v>
      </c>
      <c r="L28" cm="1">
        <f t="array" ref="L28">IFERROR(IF(ISBLANK(INDEX(FX_Input,$R19,L$3*$AK19+$AL19)),L27+0.003*L21*L25,INDEX(FX_Input,$R19,L$3*$AK19+$AL19)+459.6),L27)</f>
        <v>519.09700000000009</v>
      </c>
      <c r="M28" cm="1">
        <f t="array" ref="M28">IFERROR(IF(ISBLANK(INDEX(FX_Input,$R19,M$3*$AK19+$AL19)),M27+0.003*M21*M25,INDEX(FX_Input,$R19,M$3*$AK19+$AL19)+459.6),M27)</f>
        <v>512.79600000000005</v>
      </c>
      <c r="N28" cm="1">
        <f t="array" ref="N28">IFERROR(IF(ISBLANK(INDEX(FX_Input,$R19,N$3*$AK19+$AL19)),N27+0.003*N21*N25,INDEX(FX_Input,$R19,N$3*$AK19+$AL19)+459.6),N27)</f>
        <v>506.99325000000005</v>
      </c>
      <c r="O28" cm="1">
        <f t="array" ref="O28">IFERROR(IF(ISBLANK(INDEX(FX_Input,$R19,O$3*$AK19+$AL19)),O27+0.003*O21*O25,INDEX(FX_Input,$R19,O$3*$AK19+$AL19)+459.6),O27)</f>
        <v>503.42650000000003</v>
      </c>
      <c r="P28" cm="1">
        <f t="array" ref="P28">IFERROR(IF(ISBLANK(INDEX(FX_Input,$R19,P$3*$AK19+$AL19)),P27+0.003*P21*P25,INDEX(FX_Input,$R19,P$3*$AK19+$AL19)+459.6),P27)</f>
        <v>81027.600000000006</v>
      </c>
      <c r="Q28">
        <f t="shared" si="52"/>
        <v>24</v>
      </c>
      <c r="R28" cm="1">
        <f t="array" ref="R28">INDEX(FX_Input,$R19,O$3*$AK19+$AL19)</f>
        <v>0</v>
      </c>
    </row>
    <row r="29" spans="1:38" ht="17.25" customHeight="1" x14ac:dyDescent="0.55000000000000004">
      <c r="B29" t="str">
        <f t="shared" si="51"/>
        <v>Portland</v>
      </c>
      <c r="C29" t="s">
        <v>526</v>
      </c>
      <c r="D29">
        <f>IF(ISNUMBER(D23),0.4*D19+0.6*D28+0.005*D23*D25,IF(D23="Partially Insulated",0.3*D27+0.7*D28+0.005*D22*D25,D28))-459.6</f>
        <v>42.403099999999938</v>
      </c>
      <c r="E29">
        <f t="shared" ref="E29" si="74">IF(ISNUMBER(E23),0.4*E19+0.6*E28+0.005*E23*E25,IF(E23="Partially Insulated",0.3*E27+0.7*E28+0.005*E22*E25,E28))-459.6</f>
        <v>43.080000000000041</v>
      </c>
      <c r="F29">
        <f t="shared" ref="F29" si="75">IF(ISNUMBER(F23),0.4*F19+0.6*F28+0.005*F23*F25,IF(F23="Partially Insulated",0.3*F27+0.7*F28+0.005*F22*F25,F28))-459.6</f>
        <v>44.95089999999999</v>
      </c>
      <c r="G29">
        <f t="shared" ref="G29" si="76">IF(ISNUMBER(G23),0.4*G19+0.6*G28+0.005*G23*G25,IF(G23="Partially Insulated",0.3*G27+0.7*G28+0.005*G22*G25,G28))-459.6</f>
        <v>48.048400000000015</v>
      </c>
      <c r="H29">
        <f t="shared" ref="H29" si="77">IF(ISNUMBER(H23),0.4*H19+0.6*H28+0.005*H23*H25,IF(H23="Partially Insulated",0.3*H27+0.7*H28+0.005*H22*H25,H28))-459.6</f>
        <v>53.102899999999977</v>
      </c>
      <c r="I29">
        <f t="shared" ref="I29" si="78">IF(ISNUMBER(I23),0.4*I19+0.6*I28+0.005*I23*I25,IF(I23="Partially Insulated",0.3*I27+0.7*I28+0.005*I22*I25,I28))-459.6</f>
        <v>57.215900000000033</v>
      </c>
      <c r="J29">
        <f t="shared" ref="J29" si="79">IF(ISNUMBER(J23),0.4*J19+0.6*J28+0.005*J23*J25,IF(J23="Partially Insulated",0.3*J27+0.7*J28+0.005*J22*J25,J28))-459.6</f>
        <v>60.813599999999838</v>
      </c>
      <c r="K29">
        <f t="shared" ref="K29" si="80">IF(ISNUMBER(K23),0.4*K19+0.6*K28+0.005*K23*K25,IF(K23="Partially Insulated",0.3*K27+0.7*K28+0.005*K22*K25,K28))-459.6</f>
        <v>60.716400000000021</v>
      </c>
      <c r="L29">
        <f t="shared" ref="L29" si="81">IF(ISNUMBER(L23),0.4*L19+0.6*L28+0.005*L23*L25,IF(L23="Partially Insulated",0.3*L27+0.7*L28+0.005*L22*L25,L28))-459.6</f>
        <v>57.353200000000015</v>
      </c>
      <c r="M29">
        <f t="shared" ref="M29" si="82">IF(ISNUMBER(M23),0.4*M19+0.6*M28+0.005*M23*M25,IF(M23="Partially Insulated",0.3*M27+0.7*M28+0.005*M22*M25,M28))-459.6</f>
        <v>50.947600000000079</v>
      </c>
      <c r="N29">
        <f t="shared" ref="N29" si="83">IF(ISNUMBER(N23),0.4*N19+0.6*N28+0.005*N23*N25,IF(N23="Partially Insulated",0.3*N27+0.7*N28+0.005*N22*N25,N28))-459.6</f>
        <v>45.324700000000007</v>
      </c>
      <c r="O29">
        <f t="shared" ref="O29" si="84">IF(ISNUMBER(O23),0.4*O19+0.6*O28+0.005*O23*O25,IF(O23="Partially Insulated",0.3*O27+0.7*O28+0.005*O22*O25,O28))-459.6</f>
        <v>42.113400000000013</v>
      </c>
      <c r="P29">
        <f>AVERAGE(D29:O29)</f>
        <v>50.505841666666662</v>
      </c>
      <c r="Q29">
        <f t="shared" si="52"/>
        <v>25</v>
      </c>
    </row>
    <row r="30" spans="1:38" ht="17.25" customHeight="1" x14ac:dyDescent="0.55000000000000004">
      <c r="B30" t="str">
        <f t="shared" si="51"/>
        <v>Portland</v>
      </c>
      <c r="C30" t="s">
        <v>527</v>
      </c>
      <c r="D30">
        <f>IF(ISNUMBER(D23),0.4*D20+0.6*D28+0.005*D23*D25,IF(D23="Partially Insulated",0.3*D27+0.7*D28+0.005*D22*D25,D28))-459.6</f>
        <v>46.563099999999963</v>
      </c>
      <c r="E30">
        <f t="shared" ref="E30:O30" si="85">IF(ISNUMBER(E23),0.4*E20+0.6*E28+0.005*E23*E25,IF(E23="Partially Insulated",0.3*E27+0.7*E28+0.005*E22*E25,E28))-459.6</f>
        <v>48.360000000000014</v>
      </c>
      <c r="F30">
        <f t="shared" si="85"/>
        <v>50.230900000000076</v>
      </c>
      <c r="G30">
        <f t="shared" si="85"/>
        <v>53.408400000000029</v>
      </c>
      <c r="H30">
        <f t="shared" si="85"/>
        <v>58.422899999999913</v>
      </c>
      <c r="I30">
        <f t="shared" si="85"/>
        <v>62.215900000000033</v>
      </c>
      <c r="J30">
        <f t="shared" si="85"/>
        <v>65.893599999999878</v>
      </c>
      <c r="K30">
        <f t="shared" si="85"/>
        <v>66.156400000000076</v>
      </c>
      <c r="L30">
        <f t="shared" si="85"/>
        <v>63.913199999999961</v>
      </c>
      <c r="M30">
        <f t="shared" si="85"/>
        <v>56.827600000000075</v>
      </c>
      <c r="N30">
        <f t="shared" si="85"/>
        <v>50.204700000000003</v>
      </c>
      <c r="O30">
        <f t="shared" si="85"/>
        <v>46.113400000000013</v>
      </c>
      <c r="P30">
        <f>AVERAGE(D30:O30)</f>
        <v>55.692508333333329</v>
      </c>
      <c r="Q30">
        <f t="shared" si="52"/>
        <v>26</v>
      </c>
    </row>
    <row r="31" spans="1:38" ht="17.149999999999999" x14ac:dyDescent="0.55000000000000004">
      <c r="B31" t="str">
        <f t="shared" si="51"/>
        <v>Portland</v>
      </c>
      <c r="C31" t="s">
        <v>552</v>
      </c>
      <c r="D31">
        <f>IF(ISNUMBER(D23),0.4*D27+0.6*D28+0.005*D23*D25,IF(D23="Partially Insulated",0.3*D27+0.7*D28+0.005*D22*D25,D28))-459.6</f>
        <v>44.483099999999979</v>
      </c>
      <c r="E31">
        <f t="shared" ref="E31:O31" si="86">IF(ISNUMBER(E23),0.4*E27+0.6*E28+0.005*E23*E25,IF(E23="Partially Insulated",0.3*E27+0.7*E28+0.005*E22*E25,E28))-459.6</f>
        <v>45.720000000000027</v>
      </c>
      <c r="F31">
        <f t="shared" si="86"/>
        <v>47.590900000000033</v>
      </c>
      <c r="G31">
        <f t="shared" si="86"/>
        <v>50.728400000000022</v>
      </c>
      <c r="H31">
        <f t="shared" si="86"/>
        <v>55.762899999999945</v>
      </c>
      <c r="I31">
        <f t="shared" si="86"/>
        <v>59.715900000000033</v>
      </c>
      <c r="J31">
        <f t="shared" si="86"/>
        <v>63.353599999999801</v>
      </c>
      <c r="K31">
        <f t="shared" si="86"/>
        <v>63.436400000000049</v>
      </c>
      <c r="L31">
        <f t="shared" si="86"/>
        <v>60.633199999999988</v>
      </c>
      <c r="M31">
        <f t="shared" si="86"/>
        <v>53.88760000000002</v>
      </c>
      <c r="N31">
        <f t="shared" si="86"/>
        <v>47.764700000000062</v>
      </c>
      <c r="O31">
        <f t="shared" si="86"/>
        <v>44.113400000000013</v>
      </c>
      <c r="P31">
        <f>AVERAGE(D31:O31)</f>
        <v>53.099175000000002</v>
      </c>
      <c r="Q31">
        <f t="shared" si="52"/>
        <v>27</v>
      </c>
    </row>
    <row r="32" spans="1:38" ht="17.149999999999999" x14ac:dyDescent="0.55000000000000004">
      <c r="A32" s="11"/>
      <c r="B32" s="11" t="str">
        <f t="shared" si="51"/>
        <v>Portland</v>
      </c>
      <c r="C32" s="11" t="s">
        <v>553</v>
      </c>
      <c r="D32" s="11">
        <f>IF(ISNUMBER(D23),0.7*D27+0.3*D28+0.009*D23*D25,IF(D23="Partially Insulated",0.6*D27+0.4*D28+0.01*D22*D25,D28))-459.6</f>
        <v>44.748924999999986</v>
      </c>
      <c r="E32" s="11">
        <f t="shared" ref="E32:O32" si="87">IF(ISNUMBER(E23),0.7*E27+0.3*E28+0.009*E23*E25,IF(E23="Partially Insulated",0.6*E27+0.4*E28+0.01*E22*E25,E28))-459.6</f>
        <v>46.185000000000059</v>
      </c>
      <c r="F32" s="11">
        <f t="shared" si="87"/>
        <v>48.270575000000008</v>
      </c>
      <c r="G32" s="11">
        <f t="shared" si="87"/>
        <v>51.698699999999917</v>
      </c>
      <c r="H32" s="11">
        <f t="shared" si="87"/>
        <v>56.954074999999875</v>
      </c>
      <c r="I32" s="11">
        <f t="shared" si="87"/>
        <v>60.976825000000076</v>
      </c>
      <c r="J32" s="11">
        <f t="shared" si="87"/>
        <v>64.677299999999832</v>
      </c>
      <c r="K32" s="11">
        <f t="shared" si="87"/>
        <v>64.592699999999923</v>
      </c>
      <c r="L32" s="11">
        <f t="shared" si="87"/>
        <v>61.560100000000034</v>
      </c>
      <c r="M32" s="11">
        <f t="shared" si="87"/>
        <v>54.451800000000048</v>
      </c>
      <c r="N32" s="11">
        <f t="shared" si="87"/>
        <v>48.067724999999996</v>
      </c>
      <c r="O32" s="11">
        <f t="shared" si="87"/>
        <v>44.347450000000038</v>
      </c>
      <c r="P32" s="11">
        <f>AVERAGE(D32:O32)</f>
        <v>53.877597916666652</v>
      </c>
      <c r="Q32" s="11">
        <f>Q31+1</f>
        <v>28</v>
      </c>
      <c r="R32" s="11"/>
      <c r="S32" s="11"/>
      <c r="T32" s="11"/>
      <c r="U32" s="11"/>
      <c r="V32" s="11"/>
      <c r="W32" s="11"/>
      <c r="X32" s="11"/>
      <c r="Y32" s="11"/>
      <c r="Z32" s="11"/>
      <c r="AA32" s="11"/>
      <c r="AB32" s="11"/>
      <c r="AC32" s="11"/>
      <c r="AD32" s="11"/>
      <c r="AE32" s="11"/>
      <c r="AF32" s="11"/>
      <c r="AG32" s="11"/>
      <c r="AH32" s="11"/>
      <c r="AI32" s="11"/>
      <c r="AJ32" s="11"/>
      <c r="AK32" s="11"/>
      <c r="AL32" s="11"/>
    </row>
    <row r="33" spans="1:38" ht="17.149999999999999" x14ac:dyDescent="0.55000000000000004">
      <c r="A33" t="str" cm="1">
        <f t="array" ref="A33">INDEX(FX_Input,$R33,S$5)</f>
        <v>FX - 3</v>
      </c>
      <c r="B33" t="str" cm="1">
        <f t="array" ref="B33">INDEX(FX_Input,R33,T33)</f>
        <v>Portland</v>
      </c>
      <c r="C33" t="s">
        <v>510</v>
      </c>
      <c r="D33">
        <f t="shared" ref="D33:O34" si="88">VLOOKUP(VLOOKUP($B33,Terminal_X_Ref,2,FALSE)&amp;$C33,Weather_Data,$Y33*D$3+$Z33,FALSE)+459.6</f>
        <v>498.3</v>
      </c>
      <c r="E33">
        <f t="shared" si="88"/>
        <v>497.70000000000005</v>
      </c>
      <c r="F33">
        <f t="shared" si="88"/>
        <v>499.1</v>
      </c>
      <c r="G33">
        <f t="shared" si="88"/>
        <v>501.5</v>
      </c>
      <c r="H33">
        <f t="shared" si="88"/>
        <v>506.1</v>
      </c>
      <c r="I33">
        <f t="shared" si="88"/>
        <v>510.3</v>
      </c>
      <c r="J33">
        <f t="shared" si="88"/>
        <v>513.70000000000005</v>
      </c>
      <c r="K33">
        <f t="shared" si="88"/>
        <v>513.70000000000005</v>
      </c>
      <c r="L33">
        <f t="shared" si="88"/>
        <v>510</v>
      </c>
      <c r="M33">
        <f t="shared" si="88"/>
        <v>504.90000000000003</v>
      </c>
      <c r="N33">
        <f t="shared" si="88"/>
        <v>500.6</v>
      </c>
      <c r="O33">
        <f t="shared" si="88"/>
        <v>498.20000000000005</v>
      </c>
      <c r="P33">
        <f t="shared" ref="P33:P34" si="89">VLOOKUP(VLOOKUP($B33,Terminal_X_Ref,2,FALSE)&amp;$C33,Weather_Data,$Y33*P$3+$Z33,FALSE)</f>
        <v>44.9</v>
      </c>
      <c r="R33">
        <f>R19+2</f>
        <v>5</v>
      </c>
      <c r="S33">
        <f>S19+1</f>
        <v>3</v>
      </c>
      <c r="T33">
        <v>3</v>
      </c>
      <c r="U33">
        <v>2</v>
      </c>
      <c r="V33">
        <v>3</v>
      </c>
      <c r="W33">
        <v>1</v>
      </c>
      <c r="X33">
        <v>2</v>
      </c>
      <c r="Y33">
        <f>(V33-U33)/(X33-W33)</f>
        <v>1</v>
      </c>
      <c r="Z33">
        <f>U33-Y33*W33</f>
        <v>1</v>
      </c>
      <c r="AA33">
        <f>AA19+1</f>
        <v>3</v>
      </c>
      <c r="AB33">
        <v>6</v>
      </c>
      <c r="AC33">
        <v>3</v>
      </c>
      <c r="AD33">
        <v>13</v>
      </c>
      <c r="AE33">
        <v>12</v>
      </c>
      <c r="AF33">
        <v>14</v>
      </c>
      <c r="AG33">
        <v>77</v>
      </c>
      <c r="AH33">
        <v>78</v>
      </c>
      <c r="AI33">
        <v>1</v>
      </c>
      <c r="AJ33">
        <v>2</v>
      </c>
      <c r="AK33">
        <f>(AH33-AG33)/(AJ33-AI33)</f>
        <v>1</v>
      </c>
      <c r="AL33">
        <f>AG33-AK33*AI33</f>
        <v>76</v>
      </c>
    </row>
    <row r="34" spans="1:38" ht="17.149999999999999" x14ac:dyDescent="0.55000000000000004">
      <c r="B34" t="str">
        <f t="shared" si="51"/>
        <v>Portland</v>
      </c>
      <c r="C34" t="s">
        <v>511</v>
      </c>
      <c r="D34">
        <f t="shared" si="88"/>
        <v>508.70000000000005</v>
      </c>
      <c r="E34">
        <f t="shared" si="88"/>
        <v>510.90000000000003</v>
      </c>
      <c r="F34">
        <f t="shared" si="88"/>
        <v>512.30000000000007</v>
      </c>
      <c r="G34">
        <f t="shared" si="88"/>
        <v>514.9</v>
      </c>
      <c r="H34">
        <f t="shared" si="88"/>
        <v>519.4</v>
      </c>
      <c r="I34">
        <f t="shared" si="88"/>
        <v>522.80000000000007</v>
      </c>
      <c r="J34">
        <f t="shared" si="88"/>
        <v>526.4</v>
      </c>
      <c r="K34">
        <f t="shared" si="88"/>
        <v>527.30000000000007</v>
      </c>
      <c r="L34">
        <f t="shared" si="88"/>
        <v>526.4</v>
      </c>
      <c r="M34">
        <f t="shared" si="88"/>
        <v>519.6</v>
      </c>
      <c r="N34">
        <f t="shared" si="88"/>
        <v>512.80000000000007</v>
      </c>
      <c r="O34">
        <f t="shared" si="88"/>
        <v>508.20000000000005</v>
      </c>
      <c r="P34">
        <f t="shared" si="89"/>
        <v>57.9</v>
      </c>
      <c r="U34">
        <f>U33</f>
        <v>2</v>
      </c>
      <c r="V34">
        <f t="shared" ref="V34:Z34" si="90">V33</f>
        <v>3</v>
      </c>
      <c r="W34">
        <f t="shared" si="90"/>
        <v>1</v>
      </c>
      <c r="X34">
        <f t="shared" si="90"/>
        <v>2</v>
      </c>
      <c r="Y34">
        <f t="shared" si="90"/>
        <v>1</v>
      </c>
      <c r="Z34">
        <f t="shared" si="90"/>
        <v>1</v>
      </c>
      <c r="AA34">
        <f>AA33</f>
        <v>3</v>
      </c>
      <c r="AB34">
        <f t="shared" ref="AB34:AB37" si="91">AB33</f>
        <v>6</v>
      </c>
      <c r="AC34">
        <f t="shared" ref="AC34:AE37" si="92">AC33</f>
        <v>3</v>
      </c>
      <c r="AD34">
        <f t="shared" si="92"/>
        <v>13</v>
      </c>
      <c r="AE34">
        <f t="shared" si="92"/>
        <v>12</v>
      </c>
      <c r="AF34">
        <f t="shared" ref="AF34:AF37" si="93">AF33</f>
        <v>14</v>
      </c>
      <c r="AG34">
        <f t="shared" ref="AG34:AG37" si="94">AG33</f>
        <v>77</v>
      </c>
      <c r="AH34">
        <f t="shared" ref="AH34:AH37" si="95">AH33</f>
        <v>78</v>
      </c>
      <c r="AI34">
        <f t="shared" ref="AI34:AI37" si="96">AI33</f>
        <v>1</v>
      </c>
      <c r="AJ34">
        <f t="shared" ref="AJ34:AJ37" si="97">AJ33</f>
        <v>2</v>
      </c>
      <c r="AK34">
        <f t="shared" ref="AK34:AK37" si="98">AK33</f>
        <v>1</v>
      </c>
      <c r="AL34">
        <f t="shared" ref="AL34:AL37" si="99">AL33</f>
        <v>76</v>
      </c>
    </row>
    <row r="35" spans="1:38" ht="17.149999999999999" x14ac:dyDescent="0.4">
      <c r="B35" t="str">
        <f>B34</f>
        <v>Portland</v>
      </c>
      <c r="C35" s="66" t="s">
        <v>514</v>
      </c>
      <c r="D35" cm="1">
        <f t="array" ref="D35">INDEX(FX_Calcs,$AA35,$AE35)</f>
        <v>0.25</v>
      </c>
      <c r="E35" cm="1">
        <f t="array" ref="E35">INDEX(FX_Calcs,$AA35,$AE35)</f>
        <v>0.25</v>
      </c>
      <c r="F35" cm="1">
        <f t="array" ref="F35">INDEX(FX_Calcs,$AA35,$AE35)</f>
        <v>0.25</v>
      </c>
      <c r="G35" cm="1">
        <f t="array" ref="G35">INDEX(FX_Calcs,$AA35,$AE35)</f>
        <v>0.25</v>
      </c>
      <c r="H35" cm="1">
        <f t="array" ref="H35">INDEX(FX_Calcs,$AA35,$AE35)</f>
        <v>0.25</v>
      </c>
      <c r="I35" cm="1">
        <f t="array" ref="I35">INDEX(FX_Calcs,$AA35,$AE35)</f>
        <v>0.25</v>
      </c>
      <c r="J35" cm="1">
        <f t="array" ref="J35">INDEX(FX_Calcs,$AA35,$AE35)</f>
        <v>0.25</v>
      </c>
      <c r="K35" cm="1">
        <f t="array" ref="K35">INDEX(FX_Calcs,$AA35,$AE35)</f>
        <v>0.25</v>
      </c>
      <c r="L35" cm="1">
        <f t="array" ref="L35">INDEX(FX_Calcs,$AA35,$AE35)</f>
        <v>0.25</v>
      </c>
      <c r="M35" cm="1">
        <f t="array" ref="M35">INDEX(FX_Calcs,$AA35,$AE35)</f>
        <v>0.25</v>
      </c>
      <c r="N35" cm="1">
        <f t="array" ref="N35">INDEX(FX_Calcs,$AA35,$AE35)</f>
        <v>0.25</v>
      </c>
      <c r="O35" cm="1">
        <f t="array" ref="O35">INDEX(FX_Calcs,$AA35,$AE35)</f>
        <v>0.25</v>
      </c>
      <c r="P35" cm="1">
        <f t="array" ref="P35">INDEX(FX_Calcs,$AA35,$AE35)</f>
        <v>0.25</v>
      </c>
      <c r="AA35">
        <f>AA34</f>
        <v>3</v>
      </c>
      <c r="AB35">
        <f t="shared" si="91"/>
        <v>6</v>
      </c>
      <c r="AC35">
        <f t="shared" si="92"/>
        <v>3</v>
      </c>
      <c r="AD35">
        <f t="shared" si="92"/>
        <v>13</v>
      </c>
      <c r="AE35">
        <f t="shared" si="92"/>
        <v>12</v>
      </c>
      <c r="AF35">
        <f t="shared" si="93"/>
        <v>14</v>
      </c>
      <c r="AG35">
        <f t="shared" si="94"/>
        <v>77</v>
      </c>
      <c r="AH35">
        <f t="shared" si="95"/>
        <v>78</v>
      </c>
      <c r="AI35">
        <f t="shared" si="96"/>
        <v>1</v>
      </c>
      <c r="AJ35">
        <f t="shared" si="97"/>
        <v>2</v>
      </c>
      <c r="AK35">
        <f t="shared" si="98"/>
        <v>1</v>
      </c>
      <c r="AL35">
        <f t="shared" si="99"/>
        <v>76</v>
      </c>
    </row>
    <row r="36" spans="1:38" ht="17.149999999999999" x14ac:dyDescent="0.4">
      <c r="B36" t="str">
        <f t="shared" ref="B36:B37" si="100">B35</f>
        <v>Portland</v>
      </c>
      <c r="C36" s="66" t="s">
        <v>513</v>
      </c>
      <c r="D36" cm="1">
        <f t="array" ref="D36">INDEX(FX_Calcs,$AA36,$AD36)</f>
        <v>0.25</v>
      </c>
      <c r="E36" cm="1">
        <f t="array" ref="E36">INDEX(FX_Calcs,$AA36,$AD36)</f>
        <v>0.25</v>
      </c>
      <c r="F36" cm="1">
        <f t="array" ref="F36">INDEX(FX_Calcs,$AA36,$AD36)</f>
        <v>0.25</v>
      </c>
      <c r="G36" cm="1">
        <f t="array" ref="G36">INDEX(FX_Calcs,$AA36,$AD36)</f>
        <v>0.25</v>
      </c>
      <c r="H36" cm="1">
        <f t="array" ref="H36">INDEX(FX_Calcs,$AA36,$AD36)</f>
        <v>0.25</v>
      </c>
      <c r="I36" cm="1">
        <f t="array" ref="I36">INDEX(FX_Calcs,$AA36,$AD36)</f>
        <v>0.25</v>
      </c>
      <c r="J36" cm="1">
        <f t="array" ref="J36">INDEX(FX_Calcs,$AA36,$AD36)</f>
        <v>0.25</v>
      </c>
      <c r="K36" cm="1">
        <f t="array" ref="K36">INDEX(FX_Calcs,$AA36,$AD36)</f>
        <v>0.25</v>
      </c>
      <c r="L36" cm="1">
        <f t="array" ref="L36">INDEX(FX_Calcs,$AA36,$AD36)</f>
        <v>0.25</v>
      </c>
      <c r="M36" cm="1">
        <f t="array" ref="M36">INDEX(FX_Calcs,$AA36,$AD36)</f>
        <v>0.25</v>
      </c>
      <c r="N36" cm="1">
        <f t="array" ref="N36">INDEX(FX_Calcs,$AA36,$AD36)</f>
        <v>0.25</v>
      </c>
      <c r="O36" cm="1">
        <f t="array" ref="O36">INDEX(FX_Calcs,$AA36,$AD36)</f>
        <v>0.25</v>
      </c>
      <c r="P36" cm="1">
        <f t="array" ref="P36">INDEX(FX_Calcs,$AA36,$AD36)</f>
        <v>0.25</v>
      </c>
      <c r="AA36">
        <f>AA35</f>
        <v>3</v>
      </c>
      <c r="AB36">
        <f t="shared" si="91"/>
        <v>6</v>
      </c>
      <c r="AC36">
        <f t="shared" si="92"/>
        <v>3</v>
      </c>
      <c r="AD36">
        <f t="shared" si="92"/>
        <v>13</v>
      </c>
      <c r="AE36">
        <f t="shared" si="92"/>
        <v>12</v>
      </c>
      <c r="AF36">
        <f t="shared" si="93"/>
        <v>14</v>
      </c>
      <c r="AG36">
        <f t="shared" si="94"/>
        <v>77</v>
      </c>
      <c r="AH36">
        <f t="shared" si="95"/>
        <v>78</v>
      </c>
      <c r="AI36">
        <f t="shared" si="96"/>
        <v>1</v>
      </c>
      <c r="AJ36">
        <f t="shared" si="97"/>
        <v>2</v>
      </c>
      <c r="AK36">
        <f t="shared" si="98"/>
        <v>1</v>
      </c>
      <c r="AL36">
        <f t="shared" si="99"/>
        <v>76</v>
      </c>
    </row>
    <row r="37" spans="1:38" x14ac:dyDescent="0.4">
      <c r="B37" t="str">
        <f t="shared" si="100"/>
        <v>Portland</v>
      </c>
      <c r="C37" s="66" t="s">
        <v>558</v>
      </c>
      <c r="D37" cm="1">
        <f t="array" ref="D37">INDEX(FX_Calcs,$AA37,$AF37)</f>
        <v>0.25</v>
      </c>
      <c r="E37" cm="1">
        <f t="array" ref="E37">INDEX(FX_Calcs,$AA37,$AF37)</f>
        <v>0.25</v>
      </c>
      <c r="F37" cm="1">
        <f t="array" ref="F37">INDEX(FX_Calcs,$AA37,$AF37)</f>
        <v>0.25</v>
      </c>
      <c r="G37" cm="1">
        <f t="array" ref="G37">INDEX(FX_Calcs,$AA37,$AF37)</f>
        <v>0.25</v>
      </c>
      <c r="H37" cm="1">
        <f t="array" ref="H37">INDEX(FX_Calcs,$AA37,$AF37)</f>
        <v>0.25</v>
      </c>
      <c r="I37" cm="1">
        <f t="array" ref="I37">INDEX(FX_Calcs,$AA37,$AF37)</f>
        <v>0.25</v>
      </c>
      <c r="J37" cm="1">
        <f t="array" ref="J37">INDEX(FX_Calcs,$AA37,$AF37)</f>
        <v>0.25</v>
      </c>
      <c r="K37" cm="1">
        <f t="array" ref="K37">INDEX(FX_Calcs,$AA37,$AF37)</f>
        <v>0.25</v>
      </c>
      <c r="L37" cm="1">
        <f t="array" ref="L37">INDEX(FX_Calcs,$AA37,$AF37)</f>
        <v>0.25</v>
      </c>
      <c r="M37" cm="1">
        <f t="array" ref="M37">INDEX(FX_Calcs,$AA37,$AF37)</f>
        <v>0.25</v>
      </c>
      <c r="N37" cm="1">
        <f t="array" ref="N37">INDEX(FX_Calcs,$AA37,$AF37)</f>
        <v>0.25</v>
      </c>
      <c r="O37" cm="1">
        <f t="array" ref="O37">INDEX(FX_Calcs,$AA37,$AF37)</f>
        <v>0.25</v>
      </c>
      <c r="P37" cm="1">
        <f t="array" ref="P37">INDEX(FX_Calcs,$AA37,$AF37)</f>
        <v>0.25</v>
      </c>
      <c r="AA37">
        <f>AA36</f>
        <v>3</v>
      </c>
      <c r="AB37">
        <f t="shared" si="91"/>
        <v>6</v>
      </c>
      <c r="AC37">
        <f t="shared" si="92"/>
        <v>3</v>
      </c>
      <c r="AD37">
        <f t="shared" si="92"/>
        <v>13</v>
      </c>
      <c r="AE37">
        <f t="shared" si="92"/>
        <v>12</v>
      </c>
      <c r="AF37">
        <f t="shared" si="93"/>
        <v>14</v>
      </c>
      <c r="AG37">
        <f t="shared" si="94"/>
        <v>77</v>
      </c>
      <c r="AH37">
        <f t="shared" si="95"/>
        <v>78</v>
      </c>
      <c r="AI37">
        <f t="shared" si="96"/>
        <v>1</v>
      </c>
      <c r="AJ37">
        <f t="shared" si="97"/>
        <v>2</v>
      </c>
      <c r="AK37">
        <f t="shared" si="98"/>
        <v>1</v>
      </c>
      <c r="AL37">
        <f t="shared" si="99"/>
        <v>76</v>
      </c>
    </row>
    <row r="38" spans="1:38" ht="17.149999999999999" x14ac:dyDescent="0.55000000000000004">
      <c r="B38" t="str">
        <f>B34</f>
        <v>Portland</v>
      </c>
      <c r="C38" t="s">
        <v>512</v>
      </c>
      <c r="D38">
        <f t="shared" ref="D38:P38" si="101">D34-D33</f>
        <v>10.400000000000034</v>
      </c>
      <c r="E38">
        <f t="shared" si="101"/>
        <v>13.199999999999989</v>
      </c>
      <c r="F38">
        <f t="shared" si="101"/>
        <v>13.200000000000045</v>
      </c>
      <c r="G38">
        <f t="shared" si="101"/>
        <v>13.399999999999977</v>
      </c>
      <c r="H38">
        <f t="shared" si="101"/>
        <v>13.299999999999955</v>
      </c>
      <c r="I38">
        <f t="shared" si="101"/>
        <v>12.500000000000057</v>
      </c>
      <c r="J38">
        <f t="shared" si="101"/>
        <v>12.699999999999932</v>
      </c>
      <c r="K38">
        <f t="shared" si="101"/>
        <v>13.600000000000023</v>
      </c>
      <c r="L38">
        <f t="shared" si="101"/>
        <v>16.399999999999977</v>
      </c>
      <c r="M38">
        <f t="shared" si="101"/>
        <v>14.699999999999989</v>
      </c>
      <c r="N38">
        <f t="shared" si="101"/>
        <v>12.200000000000045</v>
      </c>
      <c r="O38">
        <f t="shared" si="101"/>
        <v>10</v>
      </c>
      <c r="P38">
        <f t="shared" si="101"/>
        <v>13</v>
      </c>
    </row>
    <row r="39" spans="1:38" x14ac:dyDescent="0.4">
      <c r="B39" t="str">
        <f t="shared" ref="B39:B46" si="102">B38</f>
        <v>Portland</v>
      </c>
      <c r="C39" t="s">
        <v>260</v>
      </c>
      <c r="D39">
        <f t="shared" ref="D39:P39" si="103">VLOOKUP(VLOOKUP($B39,Terminal_X_Ref,2,FALSE)&amp;$C39,Weather_Data,$Y39*D$3+$Z39,FALSE)</f>
        <v>343</v>
      </c>
      <c r="E39">
        <f t="shared" si="103"/>
        <v>600</v>
      </c>
      <c r="F39">
        <f t="shared" si="103"/>
        <v>877</v>
      </c>
      <c r="G39">
        <f t="shared" si="103"/>
        <v>1252</v>
      </c>
      <c r="H39">
        <f t="shared" si="103"/>
        <v>1537</v>
      </c>
      <c r="I39">
        <f t="shared" si="103"/>
        <v>1627</v>
      </c>
      <c r="J39">
        <f t="shared" si="103"/>
        <v>1708</v>
      </c>
      <c r="K39">
        <f t="shared" si="103"/>
        <v>1492</v>
      </c>
      <c r="L39">
        <f t="shared" si="103"/>
        <v>1196</v>
      </c>
      <c r="M39">
        <f t="shared" si="103"/>
        <v>728</v>
      </c>
      <c r="N39">
        <f t="shared" si="103"/>
        <v>391</v>
      </c>
      <c r="O39">
        <f t="shared" si="103"/>
        <v>302</v>
      </c>
      <c r="P39">
        <f t="shared" si="103"/>
        <v>1005</v>
      </c>
      <c r="U39">
        <f>U34</f>
        <v>2</v>
      </c>
      <c r="V39">
        <f t="shared" ref="V39:Z39" si="104">V34</f>
        <v>3</v>
      </c>
      <c r="W39">
        <f t="shared" si="104"/>
        <v>1</v>
      </c>
      <c r="X39">
        <f t="shared" si="104"/>
        <v>2</v>
      </c>
      <c r="Y39">
        <f t="shared" si="104"/>
        <v>1</v>
      </c>
      <c r="Z39">
        <f t="shared" si="104"/>
        <v>1</v>
      </c>
    </row>
    <row r="40" spans="1:38" ht="17.149999999999999" x14ac:dyDescent="0.55000000000000004">
      <c r="B40" t="str">
        <f t="shared" si="102"/>
        <v>Portland</v>
      </c>
      <c r="C40" t="s">
        <v>523</v>
      </c>
      <c r="D40">
        <f>IF(ISNUMBER(D37),0.7*D38+0.02*D37*D39,IF(D37="Partially Insulated",0.6*D38+0.02*D36*D39,0))</f>
        <v>8.9950000000000241</v>
      </c>
      <c r="E40">
        <f t="shared" ref="E40:P40" si="105">IF(ISNUMBER(E37),0.7*E38+0.02*E37*E39,IF(E37="Partially Insulated",0.6*E38+0.02*E36*E39,0))</f>
        <v>12.239999999999991</v>
      </c>
      <c r="F40">
        <f t="shared" si="105"/>
        <v>13.62500000000003</v>
      </c>
      <c r="G40">
        <f t="shared" si="105"/>
        <v>15.639999999999983</v>
      </c>
      <c r="H40">
        <f t="shared" si="105"/>
        <v>16.994999999999969</v>
      </c>
      <c r="I40">
        <f t="shared" si="105"/>
        <v>16.885000000000041</v>
      </c>
      <c r="J40">
        <f t="shared" si="105"/>
        <v>17.42999999999995</v>
      </c>
      <c r="K40">
        <f t="shared" si="105"/>
        <v>16.980000000000015</v>
      </c>
      <c r="L40">
        <f t="shared" si="105"/>
        <v>17.459999999999983</v>
      </c>
      <c r="M40">
        <f t="shared" si="105"/>
        <v>13.929999999999993</v>
      </c>
      <c r="N40">
        <f t="shared" si="105"/>
        <v>10.495000000000031</v>
      </c>
      <c r="O40">
        <f t="shared" si="105"/>
        <v>8.51</v>
      </c>
      <c r="P40">
        <f t="shared" si="105"/>
        <v>14.125</v>
      </c>
    </row>
    <row r="41" spans="1:38" ht="17.149999999999999" x14ac:dyDescent="0.55000000000000004">
      <c r="B41" t="str">
        <f t="shared" si="102"/>
        <v>Portland</v>
      </c>
      <c r="C41" t="s">
        <v>524</v>
      </c>
      <c r="D41">
        <f t="shared" ref="D41:F41" si="106">AVERAGE(D33:D34)</f>
        <v>503.5</v>
      </c>
      <c r="E41">
        <f t="shared" si="106"/>
        <v>504.30000000000007</v>
      </c>
      <c r="F41">
        <f t="shared" si="106"/>
        <v>505.70000000000005</v>
      </c>
      <c r="G41">
        <f>AVERAGE(G33:G34)</f>
        <v>508.2</v>
      </c>
      <c r="H41">
        <f t="shared" ref="H41:P41" si="107">AVERAGE(H33:H34)</f>
        <v>512.75</v>
      </c>
      <c r="I41">
        <f t="shared" si="107"/>
        <v>516.55000000000007</v>
      </c>
      <c r="J41">
        <f t="shared" si="107"/>
        <v>520.04999999999995</v>
      </c>
      <c r="K41">
        <f t="shared" si="107"/>
        <v>520.5</v>
      </c>
      <c r="L41">
        <f t="shared" si="107"/>
        <v>518.20000000000005</v>
      </c>
      <c r="M41">
        <f t="shared" si="107"/>
        <v>512.25</v>
      </c>
      <c r="N41">
        <f t="shared" si="107"/>
        <v>506.70000000000005</v>
      </c>
      <c r="O41">
        <f t="shared" si="107"/>
        <v>503.20000000000005</v>
      </c>
      <c r="P41">
        <f t="shared" si="107"/>
        <v>51.4</v>
      </c>
    </row>
    <row r="42" spans="1:38" ht="17.149999999999999" x14ac:dyDescent="0.55000000000000004">
      <c r="B42" t="str">
        <f t="shared" si="102"/>
        <v>Portland</v>
      </c>
      <c r="C42" t="s">
        <v>525</v>
      </c>
      <c r="D42" cm="1">
        <f t="array" ref="D42">IFERROR(IF(ISBLANK(INDEX(FX_Input,$R33,D$3*$AK33+$AL33)),D41+0.003*D35*D39,INDEX(FX_Input,$R33,D$3*$AK33+$AL33)+459.6),D41)</f>
        <v>503.75725</v>
      </c>
      <c r="E42" cm="1">
        <f t="array" ref="E42">IFERROR(IF(ISBLANK(INDEX(FX_Input,$R33,E$3*$AK33+$AL33)),E41+0.003*E35*E39,INDEX(FX_Input,$R33,E$3*$AK33+$AL33)+459.6),E41)</f>
        <v>504.75000000000006</v>
      </c>
      <c r="F42" cm="1">
        <f t="array" ref="F42">IFERROR(IF(ISBLANK(INDEX(FX_Input,$R33,F$3*$AK33+$AL33)),F41+0.003*F35*F39,INDEX(FX_Input,$R33,F$3*$AK33+$AL33)+459.6),F41)</f>
        <v>506.35775000000007</v>
      </c>
      <c r="G42" cm="1">
        <f t="array" ref="G42">IFERROR(IF(ISBLANK(INDEX(FX_Input,$R33,G$3*$AK33+$AL33)),G41+0.003*G35*G39,INDEX(FX_Input,$R33,G$3*$AK33+$AL33)+459.6),G41)</f>
        <v>509.13900000000001</v>
      </c>
      <c r="H42" cm="1">
        <f t="array" ref="H42">IFERROR(IF(ISBLANK(INDEX(FX_Input,$R33,H$3*$AK33+$AL33)),H41+0.003*H35*H39,INDEX(FX_Input,$R33,H$3*$AK33+$AL33)+459.6),H41)</f>
        <v>513.90274999999997</v>
      </c>
      <c r="I42" cm="1">
        <f t="array" ref="I42">IFERROR(IF(ISBLANK(INDEX(FX_Input,$R33,I$3*$AK33+$AL33)),I41+0.003*I35*I39,INDEX(FX_Input,$R33,I$3*$AK33+$AL33)+459.6),I41)</f>
        <v>517.77025000000003</v>
      </c>
      <c r="J42" cm="1">
        <f t="array" ref="J42">IFERROR(IF(ISBLANK(INDEX(FX_Input,$R33,J$3*$AK33+$AL33)),J41+0.003*J35*J39,INDEX(FX_Input,$R33,J$3*$AK33+$AL33)+459.6),J41)</f>
        <v>521.3309999999999</v>
      </c>
      <c r="K42" cm="1">
        <f t="array" ref="K42">IFERROR(IF(ISBLANK(INDEX(FX_Input,$R33,K$3*$AK33+$AL33)),K41+0.003*K35*K39,INDEX(FX_Input,$R33,K$3*$AK33+$AL33)+459.6),K41)</f>
        <v>521.61900000000003</v>
      </c>
      <c r="L42" cm="1">
        <f t="array" ref="L42">IFERROR(IF(ISBLANK(INDEX(FX_Input,$R33,L$3*$AK33+$AL33)),L41+0.003*L35*L39,INDEX(FX_Input,$R33,L$3*$AK33+$AL33)+459.6),L41)</f>
        <v>519.09700000000009</v>
      </c>
      <c r="M42" cm="1">
        <f t="array" ref="M42">IFERROR(IF(ISBLANK(INDEX(FX_Input,$R33,M$3*$AK33+$AL33)),M41+0.003*M35*M39,INDEX(FX_Input,$R33,M$3*$AK33+$AL33)+459.6),M41)</f>
        <v>512.79600000000005</v>
      </c>
      <c r="N42" cm="1">
        <f t="array" ref="N42">IFERROR(IF(ISBLANK(INDEX(FX_Input,$R33,N$3*$AK33+$AL33)),N41+0.003*N35*N39,INDEX(FX_Input,$R33,N$3*$AK33+$AL33)+459.6),N41)</f>
        <v>506.99325000000005</v>
      </c>
      <c r="O42" cm="1">
        <f t="array" ref="O42">IFERROR(IF(ISBLANK(INDEX(FX_Input,$R33,O$3*$AK33+$AL33)),O41+0.003*O35*O39,INDEX(FX_Input,$R33,O$3*$AK33+$AL33)+459.6),O41)</f>
        <v>503.42650000000003</v>
      </c>
      <c r="P42" cm="1">
        <f t="array" ref="P42">IFERROR(IF(ISBLANK(INDEX(FX_Input,$R33,P$3*$AK33+$AL33)),P41+0.003*P35*P39,INDEX(FX_Input,$R33,P$3*$AK33+$AL33)+459.6),P41)</f>
        <v>56744.6</v>
      </c>
    </row>
    <row r="43" spans="1:38" ht="17.149999999999999" x14ac:dyDescent="0.55000000000000004">
      <c r="B43" t="str">
        <f t="shared" si="102"/>
        <v>Portland</v>
      </c>
      <c r="C43" t="s">
        <v>526</v>
      </c>
      <c r="D43">
        <f>IF(ISNUMBER(D37),0.4*D33+0.6*D42+0.005*D37*D39,IF(D37="Partially Insulated",0.3*D41+0.7*D42+0.005*D36*D39,D42))-459.6</f>
        <v>42.403099999999938</v>
      </c>
      <c r="E43">
        <f t="shared" ref="E43" si="108">IF(ISNUMBER(E37),0.4*E33+0.6*E42+0.005*E37*E39,IF(E37="Partially Insulated",0.3*E41+0.7*E42+0.005*E36*E39,E42))-459.6</f>
        <v>43.080000000000041</v>
      </c>
      <c r="F43">
        <f t="shared" ref="F43" si="109">IF(ISNUMBER(F37),0.4*F33+0.6*F42+0.005*F37*F39,IF(F37="Partially Insulated",0.3*F41+0.7*F42+0.005*F36*F39,F42))-459.6</f>
        <v>44.95089999999999</v>
      </c>
      <c r="G43">
        <f t="shared" ref="G43" si="110">IF(ISNUMBER(G37),0.4*G33+0.6*G42+0.005*G37*G39,IF(G37="Partially Insulated",0.3*G41+0.7*G42+0.005*G36*G39,G42))-459.6</f>
        <v>48.048400000000015</v>
      </c>
      <c r="H43">
        <f t="shared" ref="H43" si="111">IF(ISNUMBER(H37),0.4*H33+0.6*H42+0.005*H37*H39,IF(H37="Partially Insulated",0.3*H41+0.7*H42+0.005*H36*H39,H42))-459.6</f>
        <v>53.102899999999977</v>
      </c>
      <c r="I43">
        <f t="shared" ref="I43" si="112">IF(ISNUMBER(I37),0.4*I33+0.6*I42+0.005*I37*I39,IF(I37="Partially Insulated",0.3*I41+0.7*I42+0.005*I36*I39,I42))-459.6</f>
        <v>57.215900000000033</v>
      </c>
      <c r="J43">
        <f t="shared" ref="J43" si="113">IF(ISNUMBER(J37),0.4*J33+0.6*J42+0.005*J37*J39,IF(J37="Partially Insulated",0.3*J41+0.7*J42+0.005*J36*J39,J42))-459.6</f>
        <v>60.813599999999838</v>
      </c>
      <c r="K43">
        <f t="shared" ref="K43" si="114">IF(ISNUMBER(K37),0.4*K33+0.6*K42+0.005*K37*K39,IF(K37="Partially Insulated",0.3*K41+0.7*K42+0.005*K36*K39,K42))-459.6</f>
        <v>60.716400000000021</v>
      </c>
      <c r="L43">
        <f t="shared" ref="L43" si="115">IF(ISNUMBER(L37),0.4*L33+0.6*L42+0.005*L37*L39,IF(L37="Partially Insulated",0.3*L41+0.7*L42+0.005*L36*L39,L42))-459.6</f>
        <v>57.353200000000015</v>
      </c>
      <c r="M43">
        <f t="shared" ref="M43" si="116">IF(ISNUMBER(M37),0.4*M33+0.6*M42+0.005*M37*M39,IF(M37="Partially Insulated",0.3*M41+0.7*M42+0.005*M36*M39,M42))-459.6</f>
        <v>50.947600000000079</v>
      </c>
      <c r="N43">
        <f t="shared" ref="N43" si="117">IF(ISNUMBER(N37),0.4*N33+0.6*N42+0.005*N37*N39,IF(N37="Partially Insulated",0.3*N41+0.7*N42+0.005*N36*N39,N42))-459.6</f>
        <v>45.324700000000007</v>
      </c>
      <c r="O43">
        <f t="shared" ref="O43" si="118">IF(ISNUMBER(O37),0.4*O33+0.6*O42+0.005*O37*O39,IF(O37="Partially Insulated",0.3*O41+0.7*O42+0.005*O36*O39,O42))-459.6</f>
        <v>42.113400000000013</v>
      </c>
      <c r="P43">
        <f>AVERAGE(D43:O43)</f>
        <v>50.505841666666662</v>
      </c>
    </row>
    <row r="44" spans="1:38" ht="17.149999999999999" x14ac:dyDescent="0.55000000000000004">
      <c r="B44" t="str">
        <f t="shared" si="102"/>
        <v>Portland</v>
      </c>
      <c r="C44" t="s">
        <v>527</v>
      </c>
      <c r="D44">
        <f>IF(ISNUMBER(D37),0.4*D34+0.6*D42+0.005*D37*D39,IF(D37="Partially Insulated",0.3*D41+0.7*D42+0.005*D36*D39,D42))-459.6</f>
        <v>46.563099999999963</v>
      </c>
      <c r="E44">
        <f t="shared" ref="E44:O44" si="119">IF(ISNUMBER(E37),0.4*E34+0.6*E42+0.005*E37*E39,IF(E37="Partially Insulated",0.3*E41+0.7*E42+0.005*E36*E39,E42))-459.6</f>
        <v>48.360000000000014</v>
      </c>
      <c r="F44">
        <f t="shared" si="119"/>
        <v>50.230900000000076</v>
      </c>
      <c r="G44">
        <f t="shared" si="119"/>
        <v>53.408400000000029</v>
      </c>
      <c r="H44">
        <f t="shared" si="119"/>
        <v>58.422899999999913</v>
      </c>
      <c r="I44">
        <f t="shared" si="119"/>
        <v>62.215900000000033</v>
      </c>
      <c r="J44">
        <f t="shared" si="119"/>
        <v>65.893599999999878</v>
      </c>
      <c r="K44">
        <f t="shared" si="119"/>
        <v>66.156400000000076</v>
      </c>
      <c r="L44">
        <f t="shared" si="119"/>
        <v>63.913199999999961</v>
      </c>
      <c r="M44">
        <f t="shared" si="119"/>
        <v>56.827600000000075</v>
      </c>
      <c r="N44">
        <f t="shared" si="119"/>
        <v>50.204700000000003</v>
      </c>
      <c r="O44">
        <f t="shared" si="119"/>
        <v>46.113400000000013</v>
      </c>
      <c r="P44">
        <f>AVERAGE(D44:O44)</f>
        <v>55.692508333333329</v>
      </c>
    </row>
    <row r="45" spans="1:38" ht="17.149999999999999" x14ac:dyDescent="0.55000000000000004">
      <c r="B45" t="str">
        <f t="shared" si="102"/>
        <v>Portland</v>
      </c>
      <c r="C45" t="s">
        <v>552</v>
      </c>
      <c r="D45">
        <f>IF(ISNUMBER(D37),0.4*D41+0.6*D42+0.005*D37*D39,IF(D37="Partially Insulated",0.3*D41+0.7*D42+0.005*D36*D39,D42))-459.6</f>
        <v>44.483099999999979</v>
      </c>
      <c r="E45">
        <f t="shared" ref="E45:O45" si="120">IF(ISNUMBER(E37),0.4*E41+0.6*E42+0.005*E37*E39,IF(E37="Partially Insulated",0.3*E41+0.7*E42+0.005*E36*E39,E42))-459.6</f>
        <v>45.720000000000027</v>
      </c>
      <c r="F45">
        <f t="shared" si="120"/>
        <v>47.590900000000033</v>
      </c>
      <c r="G45">
        <f t="shared" si="120"/>
        <v>50.728400000000022</v>
      </c>
      <c r="H45">
        <f t="shared" si="120"/>
        <v>55.762899999999945</v>
      </c>
      <c r="I45">
        <f t="shared" si="120"/>
        <v>59.715900000000033</v>
      </c>
      <c r="J45">
        <f t="shared" si="120"/>
        <v>63.353599999999801</v>
      </c>
      <c r="K45">
        <f t="shared" si="120"/>
        <v>63.436400000000049</v>
      </c>
      <c r="L45">
        <f t="shared" si="120"/>
        <v>60.633199999999988</v>
      </c>
      <c r="M45">
        <f t="shared" si="120"/>
        <v>53.88760000000002</v>
      </c>
      <c r="N45">
        <f t="shared" si="120"/>
        <v>47.764700000000062</v>
      </c>
      <c r="O45">
        <f t="shared" si="120"/>
        <v>44.113400000000013</v>
      </c>
      <c r="P45">
        <f>AVERAGE(D45:O45)</f>
        <v>53.099175000000002</v>
      </c>
    </row>
    <row r="46" spans="1:38" ht="17.149999999999999" x14ac:dyDescent="0.55000000000000004">
      <c r="A46" s="11"/>
      <c r="B46" s="11" t="str">
        <f t="shared" si="102"/>
        <v>Portland</v>
      </c>
      <c r="C46" s="11" t="s">
        <v>553</v>
      </c>
      <c r="D46" s="11">
        <f>IF(ISNUMBER(D37),0.7*D41+0.3*D42+0.009*D37*D39,IF(D37="Partially Insulated",0.6*D41+0.4*D42+0.01*D36*D39,D42))-459.6</f>
        <v>44.748924999999986</v>
      </c>
      <c r="E46" s="11">
        <f t="shared" ref="E46:O46" si="121">IF(ISNUMBER(E37),0.7*E41+0.3*E42+0.009*E37*E39,IF(E37="Partially Insulated",0.6*E41+0.4*E42+0.01*E36*E39,E42))-459.6</f>
        <v>46.185000000000059</v>
      </c>
      <c r="F46" s="11">
        <f t="shared" si="121"/>
        <v>48.270575000000008</v>
      </c>
      <c r="G46" s="11">
        <f t="shared" si="121"/>
        <v>51.698699999999917</v>
      </c>
      <c r="H46" s="11">
        <f t="shared" si="121"/>
        <v>56.954074999999875</v>
      </c>
      <c r="I46" s="11">
        <f t="shared" si="121"/>
        <v>60.976825000000076</v>
      </c>
      <c r="J46" s="11">
        <f t="shared" si="121"/>
        <v>64.677299999999832</v>
      </c>
      <c r="K46" s="11">
        <f t="shared" si="121"/>
        <v>64.592699999999923</v>
      </c>
      <c r="L46" s="11">
        <f t="shared" si="121"/>
        <v>61.560100000000034</v>
      </c>
      <c r="M46" s="11">
        <f t="shared" si="121"/>
        <v>54.451800000000048</v>
      </c>
      <c r="N46" s="11">
        <f t="shared" si="121"/>
        <v>48.067724999999996</v>
      </c>
      <c r="O46" s="11">
        <f t="shared" si="121"/>
        <v>44.347450000000038</v>
      </c>
      <c r="P46" s="11">
        <f>AVERAGE(D46:O46)</f>
        <v>53.877597916666652</v>
      </c>
      <c r="Q46" s="11"/>
      <c r="R46" s="11"/>
      <c r="S46" s="11"/>
      <c r="T46" s="11"/>
      <c r="U46" s="11"/>
      <c r="V46" s="11"/>
      <c r="W46" s="11"/>
      <c r="X46" s="11"/>
      <c r="Y46" s="11"/>
      <c r="Z46" s="11"/>
      <c r="AA46" s="11"/>
      <c r="AB46" s="11"/>
      <c r="AC46" s="11"/>
      <c r="AD46" s="11"/>
      <c r="AE46" s="11"/>
      <c r="AF46" s="11"/>
      <c r="AG46" s="11"/>
      <c r="AH46" s="11"/>
      <c r="AI46" s="11"/>
      <c r="AJ46" s="11"/>
      <c r="AK46" s="11"/>
      <c r="AL46" s="11"/>
    </row>
    <row r="47" spans="1:38" ht="17.149999999999999" x14ac:dyDescent="0.55000000000000004">
      <c r="A47" t="str" cm="1">
        <f t="array" ref="A47">INDEX(FX_Input,$R47,S$5)</f>
        <v>FX - 4</v>
      </c>
      <c r="B47" t="str" cm="1">
        <f t="array" ref="B47">INDEX(FX_Input,R47,T47)</f>
        <v>Portland</v>
      </c>
      <c r="C47" t="s">
        <v>510</v>
      </c>
      <c r="D47">
        <f t="shared" ref="D47:O48" si="122">VLOOKUP(VLOOKUP($B47,Terminal_X_Ref,2,FALSE)&amp;$C47,Weather_Data,$Y47*D$3+$Z47,FALSE)+459.6</f>
        <v>498.3</v>
      </c>
      <c r="E47">
        <f t="shared" si="122"/>
        <v>497.70000000000005</v>
      </c>
      <c r="F47">
        <f t="shared" si="122"/>
        <v>499.1</v>
      </c>
      <c r="G47">
        <f t="shared" si="122"/>
        <v>501.5</v>
      </c>
      <c r="H47">
        <f t="shared" si="122"/>
        <v>506.1</v>
      </c>
      <c r="I47">
        <f t="shared" si="122"/>
        <v>510.3</v>
      </c>
      <c r="J47">
        <f t="shared" si="122"/>
        <v>513.70000000000005</v>
      </c>
      <c r="K47">
        <f t="shared" si="122"/>
        <v>513.70000000000005</v>
      </c>
      <c r="L47">
        <f t="shared" si="122"/>
        <v>510</v>
      </c>
      <c r="M47">
        <f t="shared" si="122"/>
        <v>504.90000000000003</v>
      </c>
      <c r="N47">
        <f t="shared" si="122"/>
        <v>500.6</v>
      </c>
      <c r="O47">
        <f t="shared" si="122"/>
        <v>498.20000000000005</v>
      </c>
      <c r="P47">
        <f t="shared" ref="P47:P48" si="123">VLOOKUP(VLOOKUP($B47,Terminal_X_Ref,2,FALSE)&amp;$C47,Weather_Data,$Y47*P$3+$Z47,FALSE)</f>
        <v>44.9</v>
      </c>
      <c r="R47">
        <f>R33+2</f>
        <v>7</v>
      </c>
      <c r="S47">
        <f>S33+1</f>
        <v>4</v>
      </c>
      <c r="T47">
        <v>3</v>
      </c>
      <c r="U47">
        <v>2</v>
      </c>
      <c r="V47">
        <v>3</v>
      </c>
      <c r="W47">
        <v>1</v>
      </c>
      <c r="X47">
        <v>2</v>
      </c>
      <c r="Y47">
        <f>(V47-U47)/(X47-W47)</f>
        <v>1</v>
      </c>
      <c r="Z47">
        <f>U47-Y47*W47</f>
        <v>1</v>
      </c>
      <c r="AA47">
        <f>AA33+1</f>
        <v>4</v>
      </c>
      <c r="AB47">
        <v>6</v>
      </c>
      <c r="AC47">
        <v>3</v>
      </c>
      <c r="AD47">
        <v>13</v>
      </c>
      <c r="AE47">
        <v>12</v>
      </c>
      <c r="AF47">
        <v>14</v>
      </c>
      <c r="AG47">
        <v>77</v>
      </c>
      <c r="AH47">
        <v>78</v>
      </c>
      <c r="AI47">
        <v>1</v>
      </c>
      <c r="AJ47">
        <v>2</v>
      </c>
      <c r="AK47">
        <f>(AH47-AG47)/(AJ47-AI47)</f>
        <v>1</v>
      </c>
      <c r="AL47">
        <f>AG47-AK47*AI47</f>
        <v>76</v>
      </c>
    </row>
    <row r="48" spans="1:38" ht="17.149999999999999" x14ac:dyDescent="0.55000000000000004">
      <c r="B48" t="str">
        <f t="shared" ref="B48" si="124">B47</f>
        <v>Portland</v>
      </c>
      <c r="C48" t="s">
        <v>511</v>
      </c>
      <c r="D48">
        <f t="shared" si="122"/>
        <v>508.70000000000005</v>
      </c>
      <c r="E48">
        <f t="shared" si="122"/>
        <v>510.90000000000003</v>
      </c>
      <c r="F48">
        <f t="shared" si="122"/>
        <v>512.30000000000007</v>
      </c>
      <c r="G48">
        <f t="shared" si="122"/>
        <v>514.9</v>
      </c>
      <c r="H48">
        <f t="shared" si="122"/>
        <v>519.4</v>
      </c>
      <c r="I48">
        <f t="shared" si="122"/>
        <v>522.80000000000007</v>
      </c>
      <c r="J48">
        <f t="shared" si="122"/>
        <v>526.4</v>
      </c>
      <c r="K48">
        <f t="shared" si="122"/>
        <v>527.30000000000007</v>
      </c>
      <c r="L48">
        <f t="shared" si="122"/>
        <v>526.4</v>
      </c>
      <c r="M48">
        <f t="shared" si="122"/>
        <v>519.6</v>
      </c>
      <c r="N48">
        <f t="shared" si="122"/>
        <v>512.80000000000007</v>
      </c>
      <c r="O48">
        <f t="shared" si="122"/>
        <v>508.20000000000005</v>
      </c>
      <c r="P48">
        <f t="shared" si="123"/>
        <v>57.9</v>
      </c>
      <c r="U48">
        <f>U47</f>
        <v>2</v>
      </c>
      <c r="V48">
        <f t="shared" ref="V48:Z48" si="125">V47</f>
        <v>3</v>
      </c>
      <c r="W48">
        <f t="shared" si="125"/>
        <v>1</v>
      </c>
      <c r="X48">
        <f t="shared" si="125"/>
        <v>2</v>
      </c>
      <c r="Y48">
        <f t="shared" si="125"/>
        <v>1</v>
      </c>
      <c r="Z48">
        <f t="shared" si="125"/>
        <v>1</v>
      </c>
      <c r="AA48">
        <f>AA47</f>
        <v>4</v>
      </c>
      <c r="AB48">
        <f t="shared" ref="AB48:AB51" si="126">AB47</f>
        <v>6</v>
      </c>
      <c r="AC48">
        <f t="shared" ref="AC48:AE51" si="127">AC47</f>
        <v>3</v>
      </c>
      <c r="AD48">
        <f t="shared" si="127"/>
        <v>13</v>
      </c>
      <c r="AE48">
        <f t="shared" si="127"/>
        <v>12</v>
      </c>
      <c r="AF48">
        <f t="shared" ref="AF48:AF51" si="128">AF47</f>
        <v>14</v>
      </c>
      <c r="AG48">
        <f t="shared" ref="AG48:AG51" si="129">AG47</f>
        <v>77</v>
      </c>
      <c r="AH48">
        <f t="shared" ref="AH48:AH51" si="130">AH47</f>
        <v>78</v>
      </c>
      <c r="AI48">
        <f t="shared" ref="AI48:AI51" si="131">AI47</f>
        <v>1</v>
      </c>
      <c r="AJ48">
        <f t="shared" ref="AJ48:AJ51" si="132">AJ47</f>
        <v>2</v>
      </c>
      <c r="AK48">
        <f t="shared" ref="AK48:AK51" si="133">AK47</f>
        <v>1</v>
      </c>
      <c r="AL48">
        <f t="shared" ref="AL48:AL51" si="134">AL47</f>
        <v>76</v>
      </c>
    </row>
    <row r="49" spans="1:38" ht="17.149999999999999" x14ac:dyDescent="0.4">
      <c r="B49" t="str">
        <f>B48</f>
        <v>Portland</v>
      </c>
      <c r="C49" s="66" t="s">
        <v>514</v>
      </c>
      <c r="D49" t="str" cm="1">
        <f t="array" ref="D49">INDEX(FX_Calcs,$AA49,$AE49)</f>
        <v>N/A</v>
      </c>
      <c r="E49" t="str" cm="1">
        <f t="array" ref="E49">INDEX(FX_Calcs,$AA49,$AE49)</f>
        <v>N/A</v>
      </c>
      <c r="F49" t="str" cm="1">
        <f t="array" ref="F49">INDEX(FX_Calcs,$AA49,$AE49)</f>
        <v>N/A</v>
      </c>
      <c r="G49" t="str" cm="1">
        <f t="array" ref="G49">INDEX(FX_Calcs,$AA49,$AE49)</f>
        <v>N/A</v>
      </c>
      <c r="H49" t="str" cm="1">
        <f t="array" ref="H49">INDEX(FX_Calcs,$AA49,$AE49)</f>
        <v>N/A</v>
      </c>
      <c r="I49" t="str" cm="1">
        <f t="array" ref="I49">INDEX(FX_Calcs,$AA49,$AE49)</f>
        <v>N/A</v>
      </c>
      <c r="J49" t="str" cm="1">
        <f t="array" ref="J49">INDEX(FX_Calcs,$AA49,$AE49)</f>
        <v>N/A</v>
      </c>
      <c r="K49" t="str" cm="1">
        <f t="array" ref="K49">INDEX(FX_Calcs,$AA49,$AE49)</f>
        <v>N/A</v>
      </c>
      <c r="L49" t="str" cm="1">
        <f t="array" ref="L49">INDEX(FX_Calcs,$AA49,$AE49)</f>
        <v>N/A</v>
      </c>
      <c r="M49" t="str" cm="1">
        <f t="array" ref="M49">INDEX(FX_Calcs,$AA49,$AE49)</f>
        <v>N/A</v>
      </c>
      <c r="N49" t="str" cm="1">
        <f t="array" ref="N49">INDEX(FX_Calcs,$AA49,$AE49)</f>
        <v>N/A</v>
      </c>
      <c r="O49" t="str" cm="1">
        <f t="array" ref="O49">INDEX(FX_Calcs,$AA49,$AE49)</f>
        <v>N/A</v>
      </c>
      <c r="P49" t="str" cm="1">
        <f t="array" ref="P49">INDEX(FX_Calcs,$AA49,$AE49)</f>
        <v>N/A</v>
      </c>
      <c r="AA49">
        <f>AA48</f>
        <v>4</v>
      </c>
      <c r="AB49">
        <f t="shared" si="126"/>
        <v>6</v>
      </c>
      <c r="AC49">
        <f t="shared" si="127"/>
        <v>3</v>
      </c>
      <c r="AD49">
        <f t="shared" si="127"/>
        <v>13</v>
      </c>
      <c r="AE49">
        <f t="shared" si="127"/>
        <v>12</v>
      </c>
      <c r="AF49">
        <f t="shared" si="128"/>
        <v>14</v>
      </c>
      <c r="AG49">
        <f t="shared" si="129"/>
        <v>77</v>
      </c>
      <c r="AH49">
        <f t="shared" si="130"/>
        <v>78</v>
      </c>
      <c r="AI49">
        <f t="shared" si="131"/>
        <v>1</v>
      </c>
      <c r="AJ49">
        <f t="shared" si="132"/>
        <v>2</v>
      </c>
      <c r="AK49">
        <f t="shared" si="133"/>
        <v>1</v>
      </c>
      <c r="AL49">
        <f t="shared" si="134"/>
        <v>76</v>
      </c>
    </row>
    <row r="50" spans="1:38" ht="17.149999999999999" x14ac:dyDescent="0.4">
      <c r="B50" t="str">
        <f t="shared" ref="B50:B51" si="135">B49</f>
        <v>Portland</v>
      </c>
      <c r="C50" s="66" t="s">
        <v>513</v>
      </c>
      <c r="D50" t="str" cm="1">
        <f t="array" ref="D50">INDEX(FX_Calcs,$AA50,$AD50)</f>
        <v>N/A</v>
      </c>
      <c r="E50" t="str" cm="1">
        <f t="array" ref="E50">INDEX(FX_Calcs,$AA50,$AD50)</f>
        <v>N/A</v>
      </c>
      <c r="F50" t="str" cm="1">
        <f t="array" ref="F50">INDEX(FX_Calcs,$AA50,$AD50)</f>
        <v>N/A</v>
      </c>
      <c r="G50" t="str" cm="1">
        <f t="array" ref="G50">INDEX(FX_Calcs,$AA50,$AD50)</f>
        <v>N/A</v>
      </c>
      <c r="H50" t="str" cm="1">
        <f t="array" ref="H50">INDEX(FX_Calcs,$AA50,$AD50)</f>
        <v>N/A</v>
      </c>
      <c r="I50" t="str" cm="1">
        <f t="array" ref="I50">INDEX(FX_Calcs,$AA50,$AD50)</f>
        <v>N/A</v>
      </c>
      <c r="J50" t="str" cm="1">
        <f t="array" ref="J50">INDEX(FX_Calcs,$AA50,$AD50)</f>
        <v>N/A</v>
      </c>
      <c r="K50" t="str" cm="1">
        <f t="array" ref="K50">INDEX(FX_Calcs,$AA50,$AD50)</f>
        <v>N/A</v>
      </c>
      <c r="L50" t="str" cm="1">
        <f t="array" ref="L50">INDEX(FX_Calcs,$AA50,$AD50)</f>
        <v>N/A</v>
      </c>
      <c r="M50" t="str" cm="1">
        <f t="array" ref="M50">INDEX(FX_Calcs,$AA50,$AD50)</f>
        <v>N/A</v>
      </c>
      <c r="N50" t="str" cm="1">
        <f t="array" ref="N50">INDEX(FX_Calcs,$AA50,$AD50)</f>
        <v>N/A</v>
      </c>
      <c r="O50" t="str" cm="1">
        <f t="array" ref="O50">INDEX(FX_Calcs,$AA50,$AD50)</f>
        <v>N/A</v>
      </c>
      <c r="P50" t="str" cm="1">
        <f t="array" ref="P50">INDEX(FX_Calcs,$AA50,$AD50)</f>
        <v>N/A</v>
      </c>
      <c r="AA50">
        <f>AA49</f>
        <v>4</v>
      </c>
      <c r="AB50">
        <f t="shared" si="126"/>
        <v>6</v>
      </c>
      <c r="AC50">
        <f t="shared" si="127"/>
        <v>3</v>
      </c>
      <c r="AD50">
        <f t="shared" si="127"/>
        <v>13</v>
      </c>
      <c r="AE50">
        <f t="shared" si="127"/>
        <v>12</v>
      </c>
      <c r="AF50">
        <f t="shared" si="128"/>
        <v>14</v>
      </c>
      <c r="AG50">
        <f t="shared" si="129"/>
        <v>77</v>
      </c>
      <c r="AH50">
        <f t="shared" si="130"/>
        <v>78</v>
      </c>
      <c r="AI50">
        <f t="shared" si="131"/>
        <v>1</v>
      </c>
      <c r="AJ50">
        <f t="shared" si="132"/>
        <v>2</v>
      </c>
      <c r="AK50">
        <f t="shared" si="133"/>
        <v>1</v>
      </c>
      <c r="AL50">
        <f t="shared" si="134"/>
        <v>76</v>
      </c>
    </row>
    <row r="51" spans="1:38" x14ac:dyDescent="0.4">
      <c r="B51" t="str">
        <f t="shared" si="135"/>
        <v>Portland</v>
      </c>
      <c r="C51" s="66" t="s">
        <v>558</v>
      </c>
      <c r="D51" t="str" cm="1">
        <f t="array" ref="D51">INDEX(FX_Calcs,$AA51,$AF51)</f>
        <v>Insulated</v>
      </c>
      <c r="E51" t="str" cm="1">
        <f t="array" ref="E51">INDEX(FX_Calcs,$AA51,$AF51)</f>
        <v>Insulated</v>
      </c>
      <c r="F51" t="str" cm="1">
        <f t="array" ref="F51">INDEX(FX_Calcs,$AA51,$AF51)</f>
        <v>Insulated</v>
      </c>
      <c r="G51" t="str" cm="1">
        <f t="array" ref="G51">INDEX(FX_Calcs,$AA51,$AF51)</f>
        <v>Insulated</v>
      </c>
      <c r="H51" t="str" cm="1">
        <f t="array" ref="H51">INDEX(FX_Calcs,$AA51,$AF51)</f>
        <v>Insulated</v>
      </c>
      <c r="I51" t="str" cm="1">
        <f t="array" ref="I51">INDEX(FX_Calcs,$AA51,$AF51)</f>
        <v>Insulated</v>
      </c>
      <c r="J51" t="str" cm="1">
        <f t="array" ref="J51">INDEX(FX_Calcs,$AA51,$AF51)</f>
        <v>Insulated</v>
      </c>
      <c r="K51" t="str" cm="1">
        <f t="array" ref="K51">INDEX(FX_Calcs,$AA51,$AF51)</f>
        <v>Insulated</v>
      </c>
      <c r="L51" t="str" cm="1">
        <f t="array" ref="L51">INDEX(FX_Calcs,$AA51,$AF51)</f>
        <v>Insulated</v>
      </c>
      <c r="M51" t="str" cm="1">
        <f t="array" ref="M51">INDEX(FX_Calcs,$AA51,$AF51)</f>
        <v>Insulated</v>
      </c>
      <c r="N51" t="str" cm="1">
        <f t="array" ref="N51">INDEX(FX_Calcs,$AA51,$AF51)</f>
        <v>Insulated</v>
      </c>
      <c r="O51" t="str" cm="1">
        <f t="array" ref="O51">INDEX(FX_Calcs,$AA51,$AF51)</f>
        <v>Insulated</v>
      </c>
      <c r="P51" t="str" cm="1">
        <f t="array" ref="P51">INDEX(FX_Calcs,$AA51,$AF51)</f>
        <v>Insulated</v>
      </c>
      <c r="AA51">
        <f>AA50</f>
        <v>4</v>
      </c>
      <c r="AB51">
        <f t="shared" si="126"/>
        <v>6</v>
      </c>
      <c r="AC51">
        <f t="shared" si="127"/>
        <v>3</v>
      </c>
      <c r="AD51">
        <f t="shared" si="127"/>
        <v>13</v>
      </c>
      <c r="AE51">
        <f t="shared" si="127"/>
        <v>12</v>
      </c>
      <c r="AF51">
        <f t="shared" si="128"/>
        <v>14</v>
      </c>
      <c r="AG51">
        <f t="shared" si="129"/>
        <v>77</v>
      </c>
      <c r="AH51">
        <f t="shared" si="130"/>
        <v>78</v>
      </c>
      <c r="AI51">
        <f t="shared" si="131"/>
        <v>1</v>
      </c>
      <c r="AJ51">
        <f t="shared" si="132"/>
        <v>2</v>
      </c>
      <c r="AK51">
        <f t="shared" si="133"/>
        <v>1</v>
      </c>
      <c r="AL51">
        <f t="shared" si="134"/>
        <v>76</v>
      </c>
    </row>
    <row r="52" spans="1:38" ht="17.149999999999999" x14ac:dyDescent="0.55000000000000004">
      <c r="B52" t="str">
        <f>B48</f>
        <v>Portland</v>
      </c>
      <c r="C52" t="s">
        <v>512</v>
      </c>
      <c r="D52">
        <f t="shared" ref="D52:P52" si="136">D48-D47</f>
        <v>10.400000000000034</v>
      </c>
      <c r="E52">
        <f t="shared" si="136"/>
        <v>13.199999999999989</v>
      </c>
      <c r="F52">
        <f t="shared" si="136"/>
        <v>13.200000000000045</v>
      </c>
      <c r="G52">
        <f t="shared" si="136"/>
        <v>13.399999999999977</v>
      </c>
      <c r="H52">
        <f t="shared" si="136"/>
        <v>13.299999999999955</v>
      </c>
      <c r="I52">
        <f t="shared" si="136"/>
        <v>12.500000000000057</v>
      </c>
      <c r="J52">
        <f t="shared" si="136"/>
        <v>12.699999999999932</v>
      </c>
      <c r="K52">
        <f t="shared" si="136"/>
        <v>13.600000000000023</v>
      </c>
      <c r="L52">
        <f t="shared" si="136"/>
        <v>16.399999999999977</v>
      </c>
      <c r="M52">
        <f t="shared" si="136"/>
        <v>14.699999999999989</v>
      </c>
      <c r="N52">
        <f t="shared" si="136"/>
        <v>12.200000000000045</v>
      </c>
      <c r="O52">
        <f t="shared" si="136"/>
        <v>10</v>
      </c>
      <c r="P52">
        <f t="shared" si="136"/>
        <v>13</v>
      </c>
    </row>
    <row r="53" spans="1:38" x14ac:dyDescent="0.4">
      <c r="B53" t="str">
        <f t="shared" ref="B53:B60" si="137">B52</f>
        <v>Portland</v>
      </c>
      <c r="C53" t="s">
        <v>260</v>
      </c>
      <c r="D53">
        <f t="shared" ref="D53:P53" si="138">VLOOKUP(VLOOKUP($B53,Terminal_X_Ref,2,FALSE)&amp;$C53,Weather_Data,$Y53*D$3+$Z53,FALSE)</f>
        <v>343</v>
      </c>
      <c r="E53">
        <f t="shared" si="138"/>
        <v>600</v>
      </c>
      <c r="F53">
        <f t="shared" si="138"/>
        <v>877</v>
      </c>
      <c r="G53">
        <f t="shared" si="138"/>
        <v>1252</v>
      </c>
      <c r="H53">
        <f t="shared" si="138"/>
        <v>1537</v>
      </c>
      <c r="I53">
        <f t="shared" si="138"/>
        <v>1627</v>
      </c>
      <c r="J53">
        <f t="shared" si="138"/>
        <v>1708</v>
      </c>
      <c r="K53">
        <f t="shared" si="138"/>
        <v>1492</v>
      </c>
      <c r="L53">
        <f t="shared" si="138"/>
        <v>1196</v>
      </c>
      <c r="M53">
        <f t="shared" si="138"/>
        <v>728</v>
      </c>
      <c r="N53">
        <f t="shared" si="138"/>
        <v>391</v>
      </c>
      <c r="O53">
        <f t="shared" si="138"/>
        <v>302</v>
      </c>
      <c r="P53">
        <f t="shared" si="138"/>
        <v>1005</v>
      </c>
      <c r="U53">
        <f>U48</f>
        <v>2</v>
      </c>
      <c r="V53">
        <f t="shared" ref="V53:Z53" si="139">V48</f>
        <v>3</v>
      </c>
      <c r="W53">
        <f t="shared" si="139"/>
        <v>1</v>
      </c>
      <c r="X53">
        <f t="shared" si="139"/>
        <v>2</v>
      </c>
      <c r="Y53">
        <f t="shared" si="139"/>
        <v>1</v>
      </c>
      <c r="Z53">
        <f t="shared" si="139"/>
        <v>1</v>
      </c>
    </row>
    <row r="54" spans="1:38" ht="17.149999999999999" x14ac:dyDescent="0.55000000000000004">
      <c r="B54" t="str">
        <f t="shared" si="137"/>
        <v>Portland</v>
      </c>
      <c r="C54" t="s">
        <v>523</v>
      </c>
      <c r="D54">
        <f>IF(ISNUMBER(D51),0.7*D52+0.02*D51*D53,IF(D51="Partially Insulated",0.6*D52+0.02*D50*D53,0))</f>
        <v>0</v>
      </c>
      <c r="E54">
        <f t="shared" ref="E54:P54" si="140">IF(ISNUMBER(E51),0.7*E52+0.02*E51*E53,IF(E51="Partially Insulated",0.6*E52+0.02*E50*E53,0))</f>
        <v>0</v>
      </c>
      <c r="F54">
        <f t="shared" si="140"/>
        <v>0</v>
      </c>
      <c r="G54">
        <f t="shared" si="140"/>
        <v>0</v>
      </c>
      <c r="H54">
        <f t="shared" si="140"/>
        <v>0</v>
      </c>
      <c r="I54">
        <f t="shared" si="140"/>
        <v>0</v>
      </c>
      <c r="J54">
        <f t="shared" si="140"/>
        <v>0</v>
      </c>
      <c r="K54">
        <f t="shared" si="140"/>
        <v>0</v>
      </c>
      <c r="L54">
        <f t="shared" si="140"/>
        <v>0</v>
      </c>
      <c r="M54">
        <f t="shared" si="140"/>
        <v>0</v>
      </c>
      <c r="N54">
        <f t="shared" si="140"/>
        <v>0</v>
      </c>
      <c r="O54">
        <f t="shared" si="140"/>
        <v>0</v>
      </c>
      <c r="P54">
        <f t="shared" si="140"/>
        <v>0</v>
      </c>
    </row>
    <row r="55" spans="1:38" ht="17.149999999999999" x14ac:dyDescent="0.55000000000000004">
      <c r="B55" t="str">
        <f t="shared" si="137"/>
        <v>Portland</v>
      </c>
      <c r="C55" t="s">
        <v>524</v>
      </c>
      <c r="D55">
        <f t="shared" ref="D55:F55" si="141">AVERAGE(D47:D48)</f>
        <v>503.5</v>
      </c>
      <c r="E55">
        <f t="shared" si="141"/>
        <v>504.30000000000007</v>
      </c>
      <c r="F55">
        <f t="shared" si="141"/>
        <v>505.70000000000005</v>
      </c>
      <c r="G55">
        <f>AVERAGE(G47:G48)</f>
        <v>508.2</v>
      </c>
      <c r="H55">
        <f t="shared" ref="H55:P55" si="142">AVERAGE(H47:H48)</f>
        <v>512.75</v>
      </c>
      <c r="I55">
        <f t="shared" si="142"/>
        <v>516.55000000000007</v>
      </c>
      <c r="J55">
        <f t="shared" si="142"/>
        <v>520.04999999999995</v>
      </c>
      <c r="K55">
        <f t="shared" si="142"/>
        <v>520.5</v>
      </c>
      <c r="L55">
        <f t="shared" si="142"/>
        <v>518.20000000000005</v>
      </c>
      <c r="M55">
        <f t="shared" si="142"/>
        <v>512.25</v>
      </c>
      <c r="N55">
        <f t="shared" si="142"/>
        <v>506.70000000000005</v>
      </c>
      <c r="O55">
        <f t="shared" si="142"/>
        <v>503.20000000000005</v>
      </c>
      <c r="P55">
        <f t="shared" si="142"/>
        <v>51.4</v>
      </c>
    </row>
    <row r="56" spans="1:38" ht="17.149999999999999" x14ac:dyDescent="0.55000000000000004">
      <c r="B56" t="str">
        <f t="shared" si="137"/>
        <v>Portland</v>
      </c>
      <c r="C56" t="s">
        <v>525</v>
      </c>
      <c r="D56" cm="1">
        <f t="array" ref="D56">IFERROR(IF(ISBLANK(INDEX(FX_Input,$R47,D$3*$AK47+$AL47)),D55+0.003*D49*D53,INDEX(FX_Input,$R47,D$3*$AK47+$AL47)+459.6),D55)</f>
        <v>503.5</v>
      </c>
      <c r="E56" cm="1">
        <f t="array" ref="E56">IFERROR(IF(ISBLANK(INDEX(FX_Input,$R47,E$3*$AK47+$AL47)),E55+0.003*E49*E53,INDEX(FX_Input,$R47,E$3*$AK47+$AL47)+459.6),E55)</f>
        <v>504.30000000000007</v>
      </c>
      <c r="F56" cm="1">
        <f t="array" ref="F56">IFERROR(IF(ISBLANK(INDEX(FX_Input,$R47,F$3*$AK47+$AL47)),F55+0.003*F49*F53,INDEX(FX_Input,$R47,F$3*$AK47+$AL47)+459.6),F55)</f>
        <v>505.70000000000005</v>
      </c>
      <c r="G56" cm="1">
        <f t="array" ref="G56">IFERROR(IF(ISBLANK(INDEX(FX_Input,$R47,G$3*$AK47+$AL47)),G55+0.003*G49*G53,INDEX(FX_Input,$R47,G$3*$AK47+$AL47)+459.6),G55)</f>
        <v>508.2</v>
      </c>
      <c r="H56" cm="1">
        <f t="array" ref="H56">IFERROR(IF(ISBLANK(INDEX(FX_Input,$R47,H$3*$AK47+$AL47)),H55+0.003*H49*H53,INDEX(FX_Input,$R47,H$3*$AK47+$AL47)+459.6),H55)</f>
        <v>512.75</v>
      </c>
      <c r="I56" cm="1">
        <f t="array" ref="I56">IFERROR(IF(ISBLANK(INDEX(FX_Input,$R47,I$3*$AK47+$AL47)),I55+0.003*I49*I53,INDEX(FX_Input,$R47,I$3*$AK47+$AL47)+459.6),I55)</f>
        <v>516.55000000000007</v>
      </c>
      <c r="J56" cm="1">
        <f t="array" ref="J56">IFERROR(IF(ISBLANK(INDEX(FX_Input,$R47,J$3*$AK47+$AL47)),J55+0.003*J49*J53,INDEX(FX_Input,$R47,J$3*$AK47+$AL47)+459.6),J55)</f>
        <v>520.04999999999995</v>
      </c>
      <c r="K56" cm="1">
        <f t="array" ref="K56">IFERROR(IF(ISBLANK(INDEX(FX_Input,$R47,K$3*$AK47+$AL47)),K55+0.003*K49*K53,INDEX(FX_Input,$R47,K$3*$AK47+$AL47)+459.6),K55)</f>
        <v>520.5</v>
      </c>
      <c r="L56" cm="1">
        <f t="array" ref="L56">IFERROR(IF(ISBLANK(INDEX(FX_Input,$R47,L$3*$AK47+$AL47)),L55+0.003*L49*L53,INDEX(FX_Input,$R47,L$3*$AK47+$AL47)+459.6),L55)</f>
        <v>518.20000000000005</v>
      </c>
      <c r="M56" cm="1">
        <f t="array" ref="M56">IFERROR(IF(ISBLANK(INDEX(FX_Input,$R47,M$3*$AK47+$AL47)),M55+0.003*M49*M53,INDEX(FX_Input,$R47,M$3*$AK47+$AL47)+459.6),M55)</f>
        <v>512.25</v>
      </c>
      <c r="N56" cm="1">
        <f t="array" ref="N56">IFERROR(IF(ISBLANK(INDEX(FX_Input,$R47,N$3*$AK47+$AL47)),N55+0.003*N49*N53,INDEX(FX_Input,$R47,N$3*$AK47+$AL47)+459.6),N55)</f>
        <v>506.70000000000005</v>
      </c>
      <c r="O56" cm="1">
        <f t="array" ref="O56">IFERROR(IF(ISBLANK(INDEX(FX_Input,$R47,O$3*$AK47+$AL47)),O55+0.003*O49*O53,INDEX(FX_Input,$R47,O$3*$AK47+$AL47)+459.6),O55)</f>
        <v>503.20000000000005</v>
      </c>
      <c r="P56" cm="1">
        <f t="array" ref="P56">IFERROR(IF(ISBLANK(INDEX(FX_Input,$R47,P$3*$AK47+$AL47)),P55+0.003*P49*P53,INDEX(FX_Input,$R47,P$3*$AK47+$AL47)+459.6),P55)</f>
        <v>9175.6</v>
      </c>
    </row>
    <row r="57" spans="1:38" ht="17.149999999999999" x14ac:dyDescent="0.55000000000000004">
      <c r="B57" t="str">
        <f t="shared" si="137"/>
        <v>Portland</v>
      </c>
      <c r="C57" t="s">
        <v>526</v>
      </c>
      <c r="D57">
        <f>IF(ISNUMBER(D51),0.4*D47+0.6*D56+0.005*D51*D53,IF(D51="Partially Insulated",0.3*D55+0.7*D56+0.005*D50*D53,D56))-459.6</f>
        <v>43.899999999999977</v>
      </c>
      <c r="E57">
        <f t="shared" ref="E57" si="143">IF(ISNUMBER(E51),0.4*E47+0.6*E56+0.005*E51*E53,IF(E51="Partially Insulated",0.3*E55+0.7*E56+0.005*E50*E53,E56))-459.6</f>
        <v>44.700000000000045</v>
      </c>
      <c r="F57">
        <f t="shared" ref="F57" si="144">IF(ISNUMBER(F51),0.4*F47+0.6*F56+0.005*F51*F53,IF(F51="Partially Insulated",0.3*F55+0.7*F56+0.005*F50*F53,F56))-459.6</f>
        <v>46.100000000000023</v>
      </c>
      <c r="G57">
        <f t="shared" ref="G57" si="145">IF(ISNUMBER(G51),0.4*G47+0.6*G56+0.005*G51*G53,IF(G51="Partially Insulated",0.3*G55+0.7*G56+0.005*G50*G53,G56))-459.6</f>
        <v>48.599999999999966</v>
      </c>
      <c r="H57">
        <f t="shared" ref="H57" si="146">IF(ISNUMBER(H51),0.4*H47+0.6*H56+0.005*H51*H53,IF(H51="Partially Insulated",0.3*H55+0.7*H56+0.005*H50*H53,H56))-459.6</f>
        <v>53.149999999999977</v>
      </c>
      <c r="I57">
        <f t="shared" ref="I57" si="147">IF(ISNUMBER(I51),0.4*I47+0.6*I56+0.005*I51*I53,IF(I51="Partially Insulated",0.3*I55+0.7*I56+0.005*I50*I53,I56))-459.6</f>
        <v>56.950000000000045</v>
      </c>
      <c r="J57">
        <f t="shared" ref="J57" si="148">IF(ISNUMBER(J51),0.4*J47+0.6*J56+0.005*J51*J53,IF(J51="Partially Insulated",0.3*J55+0.7*J56+0.005*J50*J53,J56))-459.6</f>
        <v>60.449999999999932</v>
      </c>
      <c r="K57">
        <f t="shared" ref="K57" si="149">IF(ISNUMBER(K51),0.4*K47+0.6*K56+0.005*K51*K53,IF(K51="Partially Insulated",0.3*K55+0.7*K56+0.005*K50*K53,K56))-459.6</f>
        <v>60.899999999999977</v>
      </c>
      <c r="L57">
        <f t="shared" ref="L57" si="150">IF(ISNUMBER(L51),0.4*L47+0.6*L56+0.005*L51*L53,IF(L51="Partially Insulated",0.3*L55+0.7*L56+0.005*L50*L53,L56))-459.6</f>
        <v>58.600000000000023</v>
      </c>
      <c r="M57">
        <f t="shared" ref="M57" si="151">IF(ISNUMBER(M51),0.4*M47+0.6*M56+0.005*M51*M53,IF(M51="Partially Insulated",0.3*M55+0.7*M56+0.005*M50*M53,M56))-459.6</f>
        <v>52.649999999999977</v>
      </c>
      <c r="N57">
        <f t="shared" ref="N57" si="152">IF(ISNUMBER(N51),0.4*N47+0.6*N56+0.005*N51*N53,IF(N51="Partially Insulated",0.3*N55+0.7*N56+0.005*N50*N53,N56))-459.6</f>
        <v>47.100000000000023</v>
      </c>
      <c r="O57">
        <f t="shared" ref="O57" si="153">IF(ISNUMBER(O51),0.4*O47+0.6*O56+0.005*O51*O53,IF(O51="Partially Insulated",0.3*O55+0.7*O56+0.005*O50*O53,O56))-459.6</f>
        <v>43.600000000000023</v>
      </c>
      <c r="P57">
        <f>AVERAGE(D57:O57)</f>
        <v>51.391666666666673</v>
      </c>
    </row>
    <row r="58" spans="1:38" ht="17.149999999999999" x14ac:dyDescent="0.55000000000000004">
      <c r="B58" t="str">
        <f t="shared" si="137"/>
        <v>Portland</v>
      </c>
      <c r="C58" t="s">
        <v>527</v>
      </c>
      <c r="D58">
        <f>IF(ISNUMBER(D51),0.4*D48+0.6*D56+0.005*D51*D53,IF(D51="Partially Insulated",0.3*D55+0.7*D56+0.005*D50*D53,D56))-459.6</f>
        <v>43.899999999999977</v>
      </c>
      <c r="E58">
        <f t="shared" ref="E58:O58" si="154">IF(ISNUMBER(E51),0.4*E48+0.6*E56+0.005*E51*E53,IF(E51="Partially Insulated",0.3*E55+0.7*E56+0.005*E50*E53,E56))-459.6</f>
        <v>44.700000000000045</v>
      </c>
      <c r="F58">
        <f t="shared" si="154"/>
        <v>46.100000000000023</v>
      </c>
      <c r="G58">
        <f t="shared" si="154"/>
        <v>48.599999999999966</v>
      </c>
      <c r="H58">
        <f t="shared" si="154"/>
        <v>53.149999999999977</v>
      </c>
      <c r="I58">
        <f t="shared" si="154"/>
        <v>56.950000000000045</v>
      </c>
      <c r="J58">
        <f t="shared" si="154"/>
        <v>60.449999999999932</v>
      </c>
      <c r="K58">
        <f t="shared" si="154"/>
        <v>60.899999999999977</v>
      </c>
      <c r="L58">
        <f t="shared" si="154"/>
        <v>58.600000000000023</v>
      </c>
      <c r="M58">
        <f t="shared" si="154"/>
        <v>52.649999999999977</v>
      </c>
      <c r="N58">
        <f t="shared" si="154"/>
        <v>47.100000000000023</v>
      </c>
      <c r="O58">
        <f t="shared" si="154"/>
        <v>43.600000000000023</v>
      </c>
      <c r="P58">
        <f>AVERAGE(D58:O58)</f>
        <v>51.391666666666673</v>
      </c>
    </row>
    <row r="59" spans="1:38" ht="17.149999999999999" x14ac:dyDescent="0.55000000000000004">
      <c r="B59" t="str">
        <f t="shared" si="137"/>
        <v>Portland</v>
      </c>
      <c r="C59" t="s">
        <v>552</v>
      </c>
      <c r="D59">
        <f>IF(ISNUMBER(D51),0.4*D55+0.6*D56+0.005*D51*D53,IF(D51="Partially Insulated",0.3*D55+0.7*D56+0.005*D50*D53,D56))-459.6</f>
        <v>43.899999999999977</v>
      </c>
      <c r="E59">
        <f t="shared" ref="E59:O59" si="155">IF(ISNUMBER(E51),0.4*E55+0.6*E56+0.005*E51*E53,IF(E51="Partially Insulated",0.3*E55+0.7*E56+0.005*E50*E53,E56))-459.6</f>
        <v>44.700000000000045</v>
      </c>
      <c r="F59">
        <f t="shared" si="155"/>
        <v>46.100000000000023</v>
      </c>
      <c r="G59">
        <f t="shared" si="155"/>
        <v>48.599999999999966</v>
      </c>
      <c r="H59">
        <f t="shared" si="155"/>
        <v>53.149999999999977</v>
      </c>
      <c r="I59">
        <f t="shared" si="155"/>
        <v>56.950000000000045</v>
      </c>
      <c r="J59">
        <f t="shared" si="155"/>
        <v>60.449999999999932</v>
      </c>
      <c r="K59">
        <f t="shared" si="155"/>
        <v>60.899999999999977</v>
      </c>
      <c r="L59">
        <f t="shared" si="155"/>
        <v>58.600000000000023</v>
      </c>
      <c r="M59">
        <f t="shared" si="155"/>
        <v>52.649999999999977</v>
      </c>
      <c r="N59">
        <f t="shared" si="155"/>
        <v>47.100000000000023</v>
      </c>
      <c r="O59">
        <f t="shared" si="155"/>
        <v>43.600000000000023</v>
      </c>
      <c r="P59">
        <f>AVERAGE(D59:O59)</f>
        <v>51.391666666666673</v>
      </c>
    </row>
    <row r="60" spans="1:38" ht="17.149999999999999" x14ac:dyDescent="0.55000000000000004">
      <c r="A60" s="11"/>
      <c r="B60" s="11" t="str">
        <f t="shared" si="137"/>
        <v>Portland</v>
      </c>
      <c r="C60" s="11" t="s">
        <v>553</v>
      </c>
      <c r="D60" s="11">
        <f>IF(ISNUMBER(D51),0.7*D55+0.3*D56+0.009*D51*D53,IF(D51="Partially Insulated",0.6*D55+0.4*D56+0.01*D50*D53,D56))-459.6</f>
        <v>43.899999999999977</v>
      </c>
      <c r="E60" s="11">
        <f t="shared" ref="E60:O60" si="156">IF(ISNUMBER(E51),0.7*E55+0.3*E56+0.009*E51*E53,IF(E51="Partially Insulated",0.6*E55+0.4*E56+0.01*E50*E53,E56))-459.6</f>
        <v>44.700000000000045</v>
      </c>
      <c r="F60" s="11">
        <f t="shared" si="156"/>
        <v>46.100000000000023</v>
      </c>
      <c r="G60" s="11">
        <f t="shared" si="156"/>
        <v>48.599999999999966</v>
      </c>
      <c r="H60" s="11">
        <f t="shared" si="156"/>
        <v>53.149999999999977</v>
      </c>
      <c r="I60" s="11">
        <f t="shared" si="156"/>
        <v>56.950000000000045</v>
      </c>
      <c r="J60" s="11">
        <f t="shared" si="156"/>
        <v>60.449999999999932</v>
      </c>
      <c r="K60" s="11">
        <f t="shared" si="156"/>
        <v>60.899999999999977</v>
      </c>
      <c r="L60" s="11">
        <f t="shared" si="156"/>
        <v>58.600000000000023</v>
      </c>
      <c r="M60" s="11">
        <f t="shared" si="156"/>
        <v>52.649999999999977</v>
      </c>
      <c r="N60" s="11">
        <f t="shared" si="156"/>
        <v>47.100000000000023</v>
      </c>
      <c r="O60" s="11">
        <f t="shared" si="156"/>
        <v>43.600000000000023</v>
      </c>
      <c r="P60" s="11">
        <f>AVERAGE(D60:O60)</f>
        <v>51.391666666666673</v>
      </c>
      <c r="Q60" s="11"/>
      <c r="R60" s="11"/>
      <c r="S60" s="11"/>
      <c r="T60" s="11"/>
      <c r="U60" s="11"/>
      <c r="V60" s="11"/>
      <c r="W60" s="11"/>
      <c r="X60" s="11"/>
      <c r="Y60" s="11"/>
      <c r="Z60" s="11"/>
      <c r="AA60" s="11"/>
      <c r="AB60" s="11"/>
      <c r="AC60" s="11"/>
      <c r="AD60" s="11"/>
      <c r="AE60" s="11"/>
      <c r="AF60" s="11"/>
      <c r="AG60" s="11"/>
      <c r="AH60" s="11"/>
      <c r="AI60" s="11"/>
      <c r="AJ60" s="11"/>
      <c r="AK60" s="11"/>
      <c r="AL60" s="11"/>
    </row>
    <row r="61" spans="1:38" ht="17.149999999999999" x14ac:dyDescent="0.55000000000000004">
      <c r="A61" t="str" cm="1">
        <f t="array" ref="A61">INDEX(FX_Input,$R61,S$5)</f>
        <v>FX - 5</v>
      </c>
      <c r="B61" t="str" cm="1">
        <f t="array" ref="B61">INDEX(FX_Input,R61,T61)</f>
        <v>Portland</v>
      </c>
      <c r="C61" t="s">
        <v>510</v>
      </c>
      <c r="D61">
        <f t="shared" ref="D61:O62" si="157">VLOOKUP(VLOOKUP($B61,Terminal_X_Ref,2,FALSE)&amp;$C61,Weather_Data,$Y61*D$3+$Z61,FALSE)+459.6</f>
        <v>498.3</v>
      </c>
      <c r="E61">
        <f t="shared" si="157"/>
        <v>497.70000000000005</v>
      </c>
      <c r="F61">
        <f t="shared" si="157"/>
        <v>499.1</v>
      </c>
      <c r="G61">
        <f t="shared" si="157"/>
        <v>501.5</v>
      </c>
      <c r="H61">
        <f t="shared" si="157"/>
        <v>506.1</v>
      </c>
      <c r="I61">
        <f t="shared" si="157"/>
        <v>510.3</v>
      </c>
      <c r="J61">
        <f t="shared" si="157"/>
        <v>513.70000000000005</v>
      </c>
      <c r="K61">
        <f t="shared" si="157"/>
        <v>513.70000000000005</v>
      </c>
      <c r="L61">
        <f t="shared" si="157"/>
        <v>510</v>
      </c>
      <c r="M61">
        <f t="shared" si="157"/>
        <v>504.90000000000003</v>
      </c>
      <c r="N61">
        <f t="shared" si="157"/>
        <v>500.6</v>
      </c>
      <c r="O61">
        <f t="shared" si="157"/>
        <v>498.20000000000005</v>
      </c>
      <c r="P61">
        <f t="shared" ref="P61:P62" si="158">VLOOKUP(VLOOKUP($B61,Terminal_X_Ref,2,FALSE)&amp;$C61,Weather_Data,$Y61*P$3+$Z61,FALSE)</f>
        <v>44.9</v>
      </c>
      <c r="R61">
        <f>R47+2</f>
        <v>9</v>
      </c>
      <c r="S61">
        <f>S47+1</f>
        <v>5</v>
      </c>
      <c r="T61">
        <v>3</v>
      </c>
      <c r="U61">
        <v>2</v>
      </c>
      <c r="V61">
        <v>3</v>
      </c>
      <c r="W61">
        <v>1</v>
      </c>
      <c r="X61">
        <v>2</v>
      </c>
      <c r="Y61">
        <f>(V61-U61)/(X61-W61)</f>
        <v>1</v>
      </c>
      <c r="Z61">
        <f>U61-Y61*W61</f>
        <v>1</v>
      </c>
      <c r="AA61">
        <f>AA47+1</f>
        <v>5</v>
      </c>
      <c r="AB61">
        <v>6</v>
      </c>
      <c r="AC61">
        <v>3</v>
      </c>
      <c r="AD61">
        <v>13</v>
      </c>
      <c r="AE61">
        <v>12</v>
      </c>
      <c r="AF61">
        <v>14</v>
      </c>
      <c r="AG61">
        <v>77</v>
      </c>
      <c r="AH61">
        <v>78</v>
      </c>
      <c r="AI61">
        <v>1</v>
      </c>
      <c r="AJ61">
        <v>2</v>
      </c>
      <c r="AK61">
        <f>(AH61-AG61)/(AJ61-AI61)</f>
        <v>1</v>
      </c>
      <c r="AL61">
        <f>AG61-AK61*AI61</f>
        <v>76</v>
      </c>
    </row>
    <row r="62" spans="1:38" ht="17.149999999999999" x14ac:dyDescent="0.55000000000000004">
      <c r="B62" t="str">
        <f t="shared" ref="B62" si="159">B61</f>
        <v>Portland</v>
      </c>
      <c r="C62" t="s">
        <v>511</v>
      </c>
      <c r="D62">
        <f t="shared" si="157"/>
        <v>508.70000000000005</v>
      </c>
      <c r="E62">
        <f t="shared" si="157"/>
        <v>510.90000000000003</v>
      </c>
      <c r="F62">
        <f t="shared" si="157"/>
        <v>512.30000000000007</v>
      </c>
      <c r="G62">
        <f t="shared" si="157"/>
        <v>514.9</v>
      </c>
      <c r="H62">
        <f t="shared" si="157"/>
        <v>519.4</v>
      </c>
      <c r="I62">
        <f t="shared" si="157"/>
        <v>522.80000000000007</v>
      </c>
      <c r="J62">
        <f t="shared" si="157"/>
        <v>526.4</v>
      </c>
      <c r="K62">
        <f t="shared" si="157"/>
        <v>527.30000000000007</v>
      </c>
      <c r="L62">
        <f t="shared" si="157"/>
        <v>526.4</v>
      </c>
      <c r="M62">
        <f t="shared" si="157"/>
        <v>519.6</v>
      </c>
      <c r="N62">
        <f t="shared" si="157"/>
        <v>512.80000000000007</v>
      </c>
      <c r="O62">
        <f t="shared" si="157"/>
        <v>508.20000000000005</v>
      </c>
      <c r="P62">
        <f t="shared" si="158"/>
        <v>57.9</v>
      </c>
      <c r="U62">
        <f>U61</f>
        <v>2</v>
      </c>
      <c r="V62">
        <f t="shared" ref="V62:Z62" si="160">V61</f>
        <v>3</v>
      </c>
      <c r="W62">
        <f t="shared" si="160"/>
        <v>1</v>
      </c>
      <c r="X62">
        <f t="shared" si="160"/>
        <v>2</v>
      </c>
      <c r="Y62">
        <f t="shared" si="160"/>
        <v>1</v>
      </c>
      <c r="Z62">
        <f t="shared" si="160"/>
        <v>1</v>
      </c>
      <c r="AA62">
        <f>AA61</f>
        <v>5</v>
      </c>
      <c r="AB62">
        <f t="shared" ref="AB62:AB65" si="161">AB61</f>
        <v>6</v>
      </c>
      <c r="AC62">
        <f t="shared" ref="AC62:AF65" si="162">AC61</f>
        <v>3</v>
      </c>
      <c r="AD62">
        <f t="shared" si="162"/>
        <v>13</v>
      </c>
      <c r="AE62">
        <f t="shared" si="162"/>
        <v>12</v>
      </c>
      <c r="AF62">
        <f t="shared" si="162"/>
        <v>14</v>
      </c>
      <c r="AG62">
        <f t="shared" ref="AG62:AG65" si="163">AG61</f>
        <v>77</v>
      </c>
      <c r="AH62">
        <f t="shared" ref="AH62:AH65" si="164">AH61</f>
        <v>78</v>
      </c>
      <c r="AI62">
        <f t="shared" ref="AI62:AI65" si="165">AI61</f>
        <v>1</v>
      </c>
      <c r="AJ62">
        <f t="shared" ref="AJ62:AJ65" si="166">AJ61</f>
        <v>2</v>
      </c>
      <c r="AK62">
        <f t="shared" ref="AK62:AK65" si="167">AK61</f>
        <v>1</v>
      </c>
      <c r="AL62">
        <f t="shared" ref="AL62:AL65" si="168">AL61</f>
        <v>76</v>
      </c>
    </row>
    <row r="63" spans="1:38" ht="17.149999999999999" x14ac:dyDescent="0.4">
      <c r="B63" t="str">
        <f>B62</f>
        <v>Portland</v>
      </c>
      <c r="C63" s="66" t="s">
        <v>514</v>
      </c>
      <c r="D63" t="str" cm="1">
        <f t="array" ref="D63">INDEX(FX_Calcs,$AA63,$AE63)</f>
        <v>N/A</v>
      </c>
      <c r="E63" t="str" cm="1">
        <f t="array" ref="E63">INDEX(FX_Calcs,$AA63,$AE63)</f>
        <v>N/A</v>
      </c>
      <c r="F63" t="str" cm="1">
        <f t="array" ref="F63">INDEX(FX_Calcs,$AA63,$AE63)</f>
        <v>N/A</v>
      </c>
      <c r="G63" t="str" cm="1">
        <f t="array" ref="G63">INDEX(FX_Calcs,$AA63,$AE63)</f>
        <v>N/A</v>
      </c>
      <c r="H63" t="str" cm="1">
        <f t="array" ref="H63">INDEX(FX_Calcs,$AA63,$AE63)</f>
        <v>N/A</v>
      </c>
      <c r="I63" t="str" cm="1">
        <f t="array" ref="I63">INDEX(FX_Calcs,$AA63,$AE63)</f>
        <v>N/A</v>
      </c>
      <c r="J63" t="str" cm="1">
        <f t="array" ref="J63">INDEX(FX_Calcs,$AA63,$AE63)</f>
        <v>N/A</v>
      </c>
      <c r="K63" t="str" cm="1">
        <f t="array" ref="K63">INDEX(FX_Calcs,$AA63,$AE63)</f>
        <v>N/A</v>
      </c>
      <c r="L63" t="str" cm="1">
        <f t="array" ref="L63">INDEX(FX_Calcs,$AA63,$AE63)</f>
        <v>N/A</v>
      </c>
      <c r="M63" t="str" cm="1">
        <f t="array" ref="M63">INDEX(FX_Calcs,$AA63,$AE63)</f>
        <v>N/A</v>
      </c>
      <c r="N63" t="str" cm="1">
        <f t="array" ref="N63">INDEX(FX_Calcs,$AA63,$AE63)</f>
        <v>N/A</v>
      </c>
      <c r="O63" t="str" cm="1">
        <f t="array" ref="O63">INDEX(FX_Calcs,$AA63,$AE63)</f>
        <v>N/A</v>
      </c>
      <c r="P63" t="str" cm="1">
        <f t="array" ref="P63">INDEX(FX_Calcs,$AA63,$AE63)</f>
        <v>N/A</v>
      </c>
      <c r="AA63">
        <f>AA62</f>
        <v>5</v>
      </c>
      <c r="AB63">
        <f t="shared" si="161"/>
        <v>6</v>
      </c>
      <c r="AC63">
        <f t="shared" si="162"/>
        <v>3</v>
      </c>
      <c r="AD63">
        <f t="shared" si="162"/>
        <v>13</v>
      </c>
      <c r="AE63">
        <f t="shared" si="162"/>
        <v>12</v>
      </c>
      <c r="AF63">
        <f t="shared" si="162"/>
        <v>14</v>
      </c>
      <c r="AG63">
        <f t="shared" si="163"/>
        <v>77</v>
      </c>
      <c r="AH63">
        <f t="shared" si="164"/>
        <v>78</v>
      </c>
      <c r="AI63">
        <f t="shared" si="165"/>
        <v>1</v>
      </c>
      <c r="AJ63">
        <f t="shared" si="166"/>
        <v>2</v>
      </c>
      <c r="AK63">
        <f t="shared" si="167"/>
        <v>1</v>
      </c>
      <c r="AL63">
        <f t="shared" si="168"/>
        <v>76</v>
      </c>
    </row>
    <row r="64" spans="1:38" ht="17.149999999999999" x14ac:dyDescent="0.4">
      <c r="B64" t="str">
        <f t="shared" ref="B64:B65" si="169">B63</f>
        <v>Portland</v>
      </c>
      <c r="C64" s="66" t="s">
        <v>513</v>
      </c>
      <c r="D64" t="str" cm="1">
        <f t="array" ref="D64">INDEX(FX_Calcs,$AA64,$AD64)</f>
        <v>N/A</v>
      </c>
      <c r="E64" t="str" cm="1">
        <f t="array" ref="E64">INDEX(FX_Calcs,$AA64,$AD64)</f>
        <v>N/A</v>
      </c>
      <c r="F64" t="str" cm="1">
        <f t="array" ref="F64">INDEX(FX_Calcs,$AA64,$AD64)</f>
        <v>N/A</v>
      </c>
      <c r="G64" t="str" cm="1">
        <f t="array" ref="G64">INDEX(FX_Calcs,$AA64,$AD64)</f>
        <v>N/A</v>
      </c>
      <c r="H64" t="str" cm="1">
        <f t="array" ref="H64">INDEX(FX_Calcs,$AA64,$AD64)</f>
        <v>N/A</v>
      </c>
      <c r="I64" t="str" cm="1">
        <f t="array" ref="I64">INDEX(FX_Calcs,$AA64,$AD64)</f>
        <v>N/A</v>
      </c>
      <c r="J64" t="str" cm="1">
        <f t="array" ref="J64">INDEX(FX_Calcs,$AA64,$AD64)</f>
        <v>N/A</v>
      </c>
      <c r="K64" t="str" cm="1">
        <f t="array" ref="K64">INDEX(FX_Calcs,$AA64,$AD64)</f>
        <v>N/A</v>
      </c>
      <c r="L64" t="str" cm="1">
        <f t="array" ref="L64">INDEX(FX_Calcs,$AA64,$AD64)</f>
        <v>N/A</v>
      </c>
      <c r="M64" t="str" cm="1">
        <f t="array" ref="M64">INDEX(FX_Calcs,$AA64,$AD64)</f>
        <v>N/A</v>
      </c>
      <c r="N64" t="str" cm="1">
        <f t="array" ref="N64">INDEX(FX_Calcs,$AA64,$AD64)</f>
        <v>N/A</v>
      </c>
      <c r="O64" t="str" cm="1">
        <f t="array" ref="O64">INDEX(FX_Calcs,$AA64,$AD64)</f>
        <v>N/A</v>
      </c>
      <c r="P64" t="str" cm="1">
        <f t="array" ref="P64">INDEX(FX_Calcs,$AA64,$AD64)</f>
        <v>N/A</v>
      </c>
      <c r="AA64">
        <f>AA63</f>
        <v>5</v>
      </c>
      <c r="AB64">
        <f t="shared" si="161"/>
        <v>6</v>
      </c>
      <c r="AC64">
        <f t="shared" si="162"/>
        <v>3</v>
      </c>
      <c r="AD64">
        <f t="shared" si="162"/>
        <v>13</v>
      </c>
      <c r="AE64">
        <f t="shared" si="162"/>
        <v>12</v>
      </c>
      <c r="AF64">
        <f t="shared" si="162"/>
        <v>14</v>
      </c>
      <c r="AG64">
        <f t="shared" si="163"/>
        <v>77</v>
      </c>
      <c r="AH64">
        <f t="shared" si="164"/>
        <v>78</v>
      </c>
      <c r="AI64">
        <f t="shared" si="165"/>
        <v>1</v>
      </c>
      <c r="AJ64">
        <f t="shared" si="166"/>
        <v>2</v>
      </c>
      <c r="AK64">
        <f t="shared" si="167"/>
        <v>1</v>
      </c>
      <c r="AL64">
        <f t="shared" si="168"/>
        <v>76</v>
      </c>
    </row>
    <row r="65" spans="1:38" x14ac:dyDescent="0.4">
      <c r="B65" t="str">
        <f t="shared" si="169"/>
        <v>Portland</v>
      </c>
      <c r="C65" s="66" t="s">
        <v>558</v>
      </c>
      <c r="D65" t="str" cm="1">
        <f t="array" ref="D65">INDEX(FX_Calcs,$AA65,$AF65)</f>
        <v>Insulated</v>
      </c>
      <c r="E65" t="str" cm="1">
        <f t="array" ref="E65">INDEX(FX_Calcs,$AA65,$AF65)</f>
        <v>Insulated</v>
      </c>
      <c r="F65" t="str" cm="1">
        <f t="array" ref="F65">INDEX(FX_Calcs,$AA65,$AF65)</f>
        <v>Insulated</v>
      </c>
      <c r="G65" t="str" cm="1">
        <f t="array" ref="G65">INDEX(FX_Calcs,$AA65,$AF65)</f>
        <v>Insulated</v>
      </c>
      <c r="H65" t="str" cm="1">
        <f t="array" ref="H65">INDEX(FX_Calcs,$AA65,$AF65)</f>
        <v>Insulated</v>
      </c>
      <c r="I65" t="str" cm="1">
        <f t="array" ref="I65">INDEX(FX_Calcs,$AA65,$AF65)</f>
        <v>Insulated</v>
      </c>
      <c r="J65" t="str" cm="1">
        <f t="array" ref="J65">INDEX(FX_Calcs,$AA65,$AF65)</f>
        <v>Insulated</v>
      </c>
      <c r="K65" t="str" cm="1">
        <f t="array" ref="K65">INDEX(FX_Calcs,$AA65,$AF65)</f>
        <v>Insulated</v>
      </c>
      <c r="L65" t="str" cm="1">
        <f t="array" ref="L65">INDEX(FX_Calcs,$AA65,$AF65)</f>
        <v>Insulated</v>
      </c>
      <c r="M65" t="str" cm="1">
        <f t="array" ref="M65">INDEX(FX_Calcs,$AA65,$AF65)</f>
        <v>Insulated</v>
      </c>
      <c r="N65" t="str" cm="1">
        <f t="array" ref="N65">INDEX(FX_Calcs,$AA65,$AF65)</f>
        <v>Insulated</v>
      </c>
      <c r="O65" t="str" cm="1">
        <f t="array" ref="O65">INDEX(FX_Calcs,$AA65,$AF65)</f>
        <v>Insulated</v>
      </c>
      <c r="P65" t="str" cm="1">
        <f t="array" ref="P65">INDEX(FX_Calcs,$AA65,$AF65)</f>
        <v>Insulated</v>
      </c>
      <c r="AA65">
        <f>AA64</f>
        <v>5</v>
      </c>
      <c r="AB65">
        <f t="shared" si="161"/>
        <v>6</v>
      </c>
      <c r="AC65">
        <f t="shared" si="162"/>
        <v>3</v>
      </c>
      <c r="AD65">
        <f t="shared" si="162"/>
        <v>13</v>
      </c>
      <c r="AE65">
        <f t="shared" si="162"/>
        <v>12</v>
      </c>
      <c r="AF65">
        <f t="shared" si="162"/>
        <v>14</v>
      </c>
      <c r="AG65">
        <f t="shared" si="163"/>
        <v>77</v>
      </c>
      <c r="AH65">
        <f t="shared" si="164"/>
        <v>78</v>
      </c>
      <c r="AI65">
        <f t="shared" si="165"/>
        <v>1</v>
      </c>
      <c r="AJ65">
        <f t="shared" si="166"/>
        <v>2</v>
      </c>
      <c r="AK65">
        <f t="shared" si="167"/>
        <v>1</v>
      </c>
      <c r="AL65">
        <f t="shared" si="168"/>
        <v>76</v>
      </c>
    </row>
    <row r="66" spans="1:38" ht="17.149999999999999" x14ac:dyDescent="0.55000000000000004">
      <c r="B66" t="str">
        <f>B62</f>
        <v>Portland</v>
      </c>
      <c r="C66" t="s">
        <v>512</v>
      </c>
      <c r="D66">
        <f t="shared" ref="D66:P66" si="170">D62-D61</f>
        <v>10.400000000000034</v>
      </c>
      <c r="E66">
        <f t="shared" si="170"/>
        <v>13.199999999999989</v>
      </c>
      <c r="F66">
        <f t="shared" si="170"/>
        <v>13.200000000000045</v>
      </c>
      <c r="G66">
        <f t="shared" si="170"/>
        <v>13.399999999999977</v>
      </c>
      <c r="H66">
        <f t="shared" si="170"/>
        <v>13.299999999999955</v>
      </c>
      <c r="I66">
        <f t="shared" si="170"/>
        <v>12.500000000000057</v>
      </c>
      <c r="J66">
        <f t="shared" si="170"/>
        <v>12.699999999999932</v>
      </c>
      <c r="K66">
        <f t="shared" si="170"/>
        <v>13.600000000000023</v>
      </c>
      <c r="L66">
        <f t="shared" si="170"/>
        <v>16.399999999999977</v>
      </c>
      <c r="M66">
        <f t="shared" si="170"/>
        <v>14.699999999999989</v>
      </c>
      <c r="N66">
        <f t="shared" si="170"/>
        <v>12.200000000000045</v>
      </c>
      <c r="O66">
        <f t="shared" si="170"/>
        <v>10</v>
      </c>
      <c r="P66">
        <f t="shared" si="170"/>
        <v>13</v>
      </c>
    </row>
    <row r="67" spans="1:38" x14ac:dyDescent="0.4">
      <c r="B67" t="str">
        <f t="shared" ref="B67:B74" si="171">B66</f>
        <v>Portland</v>
      </c>
      <c r="C67" t="s">
        <v>260</v>
      </c>
      <c r="D67">
        <f t="shared" ref="D67:P67" si="172">VLOOKUP(VLOOKUP($B67,Terminal_X_Ref,2,FALSE)&amp;$C67,Weather_Data,$Y67*D$3+$Z67,FALSE)</f>
        <v>343</v>
      </c>
      <c r="E67">
        <f t="shared" si="172"/>
        <v>600</v>
      </c>
      <c r="F67">
        <f t="shared" si="172"/>
        <v>877</v>
      </c>
      <c r="G67">
        <f t="shared" si="172"/>
        <v>1252</v>
      </c>
      <c r="H67">
        <f t="shared" si="172"/>
        <v>1537</v>
      </c>
      <c r="I67">
        <f t="shared" si="172"/>
        <v>1627</v>
      </c>
      <c r="J67">
        <f t="shared" si="172"/>
        <v>1708</v>
      </c>
      <c r="K67">
        <f t="shared" si="172"/>
        <v>1492</v>
      </c>
      <c r="L67">
        <f t="shared" si="172"/>
        <v>1196</v>
      </c>
      <c r="M67">
        <f t="shared" si="172"/>
        <v>728</v>
      </c>
      <c r="N67">
        <f t="shared" si="172"/>
        <v>391</v>
      </c>
      <c r="O67">
        <f t="shared" si="172"/>
        <v>302</v>
      </c>
      <c r="P67">
        <f t="shared" si="172"/>
        <v>1005</v>
      </c>
      <c r="U67">
        <f>U62</f>
        <v>2</v>
      </c>
      <c r="V67">
        <f t="shared" ref="V67:Z67" si="173">V62</f>
        <v>3</v>
      </c>
      <c r="W67">
        <f t="shared" si="173"/>
        <v>1</v>
      </c>
      <c r="X67">
        <f t="shared" si="173"/>
        <v>2</v>
      </c>
      <c r="Y67">
        <f t="shared" si="173"/>
        <v>1</v>
      </c>
      <c r="Z67">
        <f t="shared" si="173"/>
        <v>1</v>
      </c>
    </row>
    <row r="68" spans="1:38" ht="17.149999999999999" x14ac:dyDescent="0.55000000000000004">
      <c r="B68" t="str">
        <f t="shared" si="171"/>
        <v>Portland</v>
      </c>
      <c r="C68" t="s">
        <v>523</v>
      </c>
      <c r="D68">
        <f>IF(ISNUMBER(D65),0.7*D66+0.02*D65*D67,IF(D65="Partially Insulated",0.6*D66+0.02*D64*D67,0))</f>
        <v>0</v>
      </c>
      <c r="E68">
        <f t="shared" ref="E68:P68" si="174">IF(ISNUMBER(E65),0.7*E66+0.02*E65*E67,IF(E65="Partially Insulated",0.6*E66+0.02*E64*E67,0))</f>
        <v>0</v>
      </c>
      <c r="F68">
        <f t="shared" si="174"/>
        <v>0</v>
      </c>
      <c r="G68">
        <f t="shared" si="174"/>
        <v>0</v>
      </c>
      <c r="H68">
        <f t="shared" si="174"/>
        <v>0</v>
      </c>
      <c r="I68">
        <f t="shared" si="174"/>
        <v>0</v>
      </c>
      <c r="J68">
        <f t="shared" si="174"/>
        <v>0</v>
      </c>
      <c r="K68">
        <f t="shared" si="174"/>
        <v>0</v>
      </c>
      <c r="L68">
        <f t="shared" si="174"/>
        <v>0</v>
      </c>
      <c r="M68">
        <f t="shared" si="174"/>
        <v>0</v>
      </c>
      <c r="N68">
        <f t="shared" si="174"/>
        <v>0</v>
      </c>
      <c r="O68">
        <f t="shared" si="174"/>
        <v>0</v>
      </c>
      <c r="P68">
        <f t="shared" si="174"/>
        <v>0</v>
      </c>
    </row>
    <row r="69" spans="1:38" ht="17.149999999999999" x14ac:dyDescent="0.55000000000000004">
      <c r="B69" t="str">
        <f t="shared" si="171"/>
        <v>Portland</v>
      </c>
      <c r="C69" t="s">
        <v>524</v>
      </c>
      <c r="D69">
        <f t="shared" ref="D69:F69" si="175">AVERAGE(D61:D62)</f>
        <v>503.5</v>
      </c>
      <c r="E69">
        <f t="shared" si="175"/>
        <v>504.30000000000007</v>
      </c>
      <c r="F69">
        <f t="shared" si="175"/>
        <v>505.70000000000005</v>
      </c>
      <c r="G69">
        <f>AVERAGE(G61:G62)</f>
        <v>508.2</v>
      </c>
      <c r="H69">
        <f t="shared" ref="H69:P69" si="176">AVERAGE(H61:H62)</f>
        <v>512.75</v>
      </c>
      <c r="I69">
        <f t="shared" si="176"/>
        <v>516.55000000000007</v>
      </c>
      <c r="J69">
        <f t="shared" si="176"/>
        <v>520.04999999999995</v>
      </c>
      <c r="K69">
        <f t="shared" si="176"/>
        <v>520.5</v>
      </c>
      <c r="L69">
        <f t="shared" si="176"/>
        <v>518.20000000000005</v>
      </c>
      <c r="M69">
        <f t="shared" si="176"/>
        <v>512.25</v>
      </c>
      <c r="N69">
        <f t="shared" si="176"/>
        <v>506.70000000000005</v>
      </c>
      <c r="O69">
        <f t="shared" si="176"/>
        <v>503.20000000000005</v>
      </c>
      <c r="P69">
        <f t="shared" si="176"/>
        <v>51.4</v>
      </c>
    </row>
    <row r="70" spans="1:38" ht="17.149999999999999" x14ac:dyDescent="0.55000000000000004">
      <c r="B70" t="str">
        <f t="shared" si="171"/>
        <v>Portland</v>
      </c>
      <c r="C70" t="s">
        <v>525</v>
      </c>
      <c r="D70" cm="1">
        <f t="array" ref="D70">IFERROR(IF(ISBLANK(INDEX(FX_Input,$R61,D$3*$AK61+$AL61)),D69+0.003*D63*D67,INDEX(FX_Input,$R61,D$3*$AK61+$AL61)+459.6),D69)</f>
        <v>503.5</v>
      </c>
      <c r="E70" cm="1">
        <f t="array" ref="E70">IFERROR(IF(ISBLANK(INDEX(FX_Input,$R61,E$3*$AK61+$AL61)),E69+0.003*E63*E67,INDEX(FX_Input,$R61,E$3*$AK61+$AL61)+459.6),E69)</f>
        <v>504.30000000000007</v>
      </c>
      <c r="F70" cm="1">
        <f t="array" ref="F70">IFERROR(IF(ISBLANK(INDEX(FX_Input,$R61,F$3*$AK61+$AL61)),F69+0.003*F63*F67,INDEX(FX_Input,$R61,F$3*$AK61+$AL61)+459.6),F69)</f>
        <v>505.70000000000005</v>
      </c>
      <c r="G70" cm="1">
        <f t="array" ref="G70">IFERROR(IF(ISBLANK(INDEX(FX_Input,$R61,G$3*$AK61+$AL61)),G69+0.003*G63*G67,INDEX(FX_Input,$R61,G$3*$AK61+$AL61)+459.6),G69)</f>
        <v>508.2</v>
      </c>
      <c r="H70" cm="1">
        <f t="array" ref="H70">IFERROR(IF(ISBLANK(INDEX(FX_Input,$R61,H$3*$AK61+$AL61)),H69+0.003*H63*H67,INDEX(FX_Input,$R61,H$3*$AK61+$AL61)+459.6),H69)</f>
        <v>512.75</v>
      </c>
      <c r="I70" cm="1">
        <f t="array" ref="I70">IFERROR(IF(ISBLANK(INDEX(FX_Input,$R61,I$3*$AK61+$AL61)),I69+0.003*I63*I67,INDEX(FX_Input,$R61,I$3*$AK61+$AL61)+459.6),I69)</f>
        <v>516.55000000000007</v>
      </c>
      <c r="J70" cm="1">
        <f t="array" ref="J70">IFERROR(IF(ISBLANK(INDEX(FX_Input,$R61,J$3*$AK61+$AL61)),J69+0.003*J63*J67,INDEX(FX_Input,$R61,J$3*$AK61+$AL61)+459.6),J69)</f>
        <v>520.04999999999995</v>
      </c>
      <c r="K70" cm="1">
        <f t="array" ref="K70">IFERROR(IF(ISBLANK(INDEX(FX_Input,$R61,K$3*$AK61+$AL61)),K69+0.003*K63*K67,INDEX(FX_Input,$R61,K$3*$AK61+$AL61)+459.6),K69)</f>
        <v>520.5</v>
      </c>
      <c r="L70" cm="1">
        <f t="array" ref="L70">IFERROR(IF(ISBLANK(INDEX(FX_Input,$R61,L$3*$AK61+$AL61)),L69+0.003*L63*L67,INDEX(FX_Input,$R61,L$3*$AK61+$AL61)+459.6),L69)</f>
        <v>518.20000000000005</v>
      </c>
      <c r="M70" cm="1">
        <f t="array" ref="M70">IFERROR(IF(ISBLANK(INDEX(FX_Input,$R61,M$3*$AK61+$AL61)),M69+0.003*M63*M67,INDEX(FX_Input,$R61,M$3*$AK61+$AL61)+459.6),M69)</f>
        <v>512.25</v>
      </c>
      <c r="N70" cm="1">
        <f t="array" ref="N70">IFERROR(IF(ISBLANK(INDEX(FX_Input,$R61,N$3*$AK61+$AL61)),N69+0.003*N63*N67,INDEX(FX_Input,$R61,N$3*$AK61+$AL61)+459.6),N69)</f>
        <v>506.70000000000005</v>
      </c>
      <c r="O70" cm="1">
        <f t="array" ref="O70">IFERROR(IF(ISBLANK(INDEX(FX_Input,$R61,O$3*$AK61+$AL61)),O69+0.003*O63*O67,INDEX(FX_Input,$R61,O$3*$AK61+$AL61)+459.6),O69)</f>
        <v>503.20000000000005</v>
      </c>
      <c r="P70" cm="1">
        <f t="array" ref="P70">IFERROR(IF(ISBLANK(INDEX(FX_Input,$R61,P$3*$AK61+$AL61)),P69+0.003*P63*P67,INDEX(FX_Input,$R61,P$3*$AK61+$AL61)+459.6),P69)</f>
        <v>52023.6</v>
      </c>
    </row>
    <row r="71" spans="1:38" ht="17.149999999999999" x14ac:dyDescent="0.55000000000000004">
      <c r="B71" t="str">
        <f t="shared" si="171"/>
        <v>Portland</v>
      </c>
      <c r="C71" t="s">
        <v>526</v>
      </c>
      <c r="D71">
        <f>IF(ISNUMBER(D65),0.4*D61+0.6*D70+0.005*D65*D67,IF(D65="Partially Insulated",0.3*D69+0.7*D70+0.005*D64*D67,D70))-459.6</f>
        <v>43.899999999999977</v>
      </c>
      <c r="E71">
        <f t="shared" ref="E71" si="177">IF(ISNUMBER(E65),0.4*E61+0.6*E70+0.005*E65*E67,IF(E65="Partially Insulated",0.3*E69+0.7*E70+0.005*E64*E67,E70))-459.6</f>
        <v>44.700000000000045</v>
      </c>
      <c r="F71">
        <f t="shared" ref="F71" si="178">IF(ISNUMBER(F65),0.4*F61+0.6*F70+0.005*F65*F67,IF(F65="Partially Insulated",0.3*F69+0.7*F70+0.005*F64*F67,F70))-459.6</f>
        <v>46.100000000000023</v>
      </c>
      <c r="G71">
        <f t="shared" ref="G71" si="179">IF(ISNUMBER(G65),0.4*G61+0.6*G70+0.005*G65*G67,IF(G65="Partially Insulated",0.3*G69+0.7*G70+0.005*G64*G67,G70))-459.6</f>
        <v>48.599999999999966</v>
      </c>
      <c r="H71">
        <f t="shared" ref="H71" si="180">IF(ISNUMBER(H65),0.4*H61+0.6*H70+0.005*H65*H67,IF(H65="Partially Insulated",0.3*H69+0.7*H70+0.005*H64*H67,H70))-459.6</f>
        <v>53.149999999999977</v>
      </c>
      <c r="I71">
        <f t="shared" ref="I71" si="181">IF(ISNUMBER(I65),0.4*I61+0.6*I70+0.005*I65*I67,IF(I65="Partially Insulated",0.3*I69+0.7*I70+0.005*I64*I67,I70))-459.6</f>
        <v>56.950000000000045</v>
      </c>
      <c r="J71">
        <f t="shared" ref="J71" si="182">IF(ISNUMBER(J65),0.4*J61+0.6*J70+0.005*J65*J67,IF(J65="Partially Insulated",0.3*J69+0.7*J70+0.005*J64*J67,J70))-459.6</f>
        <v>60.449999999999932</v>
      </c>
      <c r="K71">
        <f t="shared" ref="K71" si="183">IF(ISNUMBER(K65),0.4*K61+0.6*K70+0.005*K65*K67,IF(K65="Partially Insulated",0.3*K69+0.7*K70+0.005*K64*K67,K70))-459.6</f>
        <v>60.899999999999977</v>
      </c>
      <c r="L71">
        <f t="shared" ref="L71" si="184">IF(ISNUMBER(L65),0.4*L61+0.6*L70+0.005*L65*L67,IF(L65="Partially Insulated",0.3*L69+0.7*L70+0.005*L64*L67,L70))-459.6</f>
        <v>58.600000000000023</v>
      </c>
      <c r="M71">
        <f t="shared" ref="M71" si="185">IF(ISNUMBER(M65),0.4*M61+0.6*M70+0.005*M65*M67,IF(M65="Partially Insulated",0.3*M69+0.7*M70+0.005*M64*M67,M70))-459.6</f>
        <v>52.649999999999977</v>
      </c>
      <c r="N71">
        <f t="shared" ref="N71" si="186">IF(ISNUMBER(N65),0.4*N61+0.6*N70+0.005*N65*N67,IF(N65="Partially Insulated",0.3*N69+0.7*N70+0.005*N64*N67,N70))-459.6</f>
        <v>47.100000000000023</v>
      </c>
      <c r="O71">
        <f t="shared" ref="O71" si="187">IF(ISNUMBER(O65),0.4*O61+0.6*O70+0.005*O65*O67,IF(O65="Partially Insulated",0.3*O69+0.7*O70+0.005*O64*O67,O70))-459.6</f>
        <v>43.600000000000023</v>
      </c>
      <c r="P71">
        <f>AVERAGE(D71:O71)</f>
        <v>51.391666666666673</v>
      </c>
    </row>
    <row r="72" spans="1:38" ht="17.149999999999999" x14ac:dyDescent="0.55000000000000004">
      <c r="B72" t="str">
        <f t="shared" si="171"/>
        <v>Portland</v>
      </c>
      <c r="C72" t="s">
        <v>527</v>
      </c>
      <c r="D72">
        <f>IF(ISNUMBER(D65),0.4*D62+0.6*D70+0.005*D65*D67,IF(D65="Partially Insulated",0.3*D69+0.7*D70+0.005*D64*D67,D70))-459.6</f>
        <v>43.899999999999977</v>
      </c>
      <c r="E72">
        <f t="shared" ref="E72:O72" si="188">IF(ISNUMBER(E65),0.4*E62+0.6*E70+0.005*E65*E67,IF(E65="Partially Insulated",0.3*E69+0.7*E70+0.005*E64*E67,E70))-459.6</f>
        <v>44.700000000000045</v>
      </c>
      <c r="F72">
        <f t="shared" si="188"/>
        <v>46.100000000000023</v>
      </c>
      <c r="G72">
        <f t="shared" si="188"/>
        <v>48.599999999999966</v>
      </c>
      <c r="H72">
        <f t="shared" si="188"/>
        <v>53.149999999999977</v>
      </c>
      <c r="I72">
        <f t="shared" si="188"/>
        <v>56.950000000000045</v>
      </c>
      <c r="J72">
        <f t="shared" si="188"/>
        <v>60.449999999999932</v>
      </c>
      <c r="K72">
        <f t="shared" si="188"/>
        <v>60.899999999999977</v>
      </c>
      <c r="L72">
        <f t="shared" si="188"/>
        <v>58.600000000000023</v>
      </c>
      <c r="M72">
        <f t="shared" si="188"/>
        <v>52.649999999999977</v>
      </c>
      <c r="N72">
        <f t="shared" si="188"/>
        <v>47.100000000000023</v>
      </c>
      <c r="O72">
        <f t="shared" si="188"/>
        <v>43.600000000000023</v>
      </c>
      <c r="P72">
        <f>AVERAGE(D72:O72)</f>
        <v>51.391666666666673</v>
      </c>
    </row>
    <row r="73" spans="1:38" ht="17.149999999999999" x14ac:dyDescent="0.55000000000000004">
      <c r="B73" t="str">
        <f t="shared" si="171"/>
        <v>Portland</v>
      </c>
      <c r="C73" t="s">
        <v>552</v>
      </c>
      <c r="D73">
        <f>IF(ISNUMBER(D65),0.4*D69+0.6*D70+0.005*D65*D67,IF(D65="Partially Insulated",0.3*D69+0.7*D70+0.005*D64*D67,D70))-459.6</f>
        <v>43.899999999999977</v>
      </c>
      <c r="E73">
        <f t="shared" ref="E73:O73" si="189">IF(ISNUMBER(E65),0.4*E69+0.6*E70+0.005*E65*E67,IF(E65="Partially Insulated",0.3*E69+0.7*E70+0.005*E64*E67,E70))-459.6</f>
        <v>44.700000000000045</v>
      </c>
      <c r="F73">
        <f t="shared" si="189"/>
        <v>46.100000000000023</v>
      </c>
      <c r="G73">
        <f t="shared" si="189"/>
        <v>48.599999999999966</v>
      </c>
      <c r="H73">
        <f t="shared" si="189"/>
        <v>53.149999999999977</v>
      </c>
      <c r="I73">
        <f t="shared" si="189"/>
        <v>56.950000000000045</v>
      </c>
      <c r="J73">
        <f t="shared" si="189"/>
        <v>60.449999999999932</v>
      </c>
      <c r="K73">
        <f t="shared" si="189"/>
        <v>60.899999999999977</v>
      </c>
      <c r="L73">
        <f t="shared" si="189"/>
        <v>58.600000000000023</v>
      </c>
      <c r="M73">
        <f t="shared" si="189"/>
        <v>52.649999999999977</v>
      </c>
      <c r="N73">
        <f t="shared" si="189"/>
        <v>47.100000000000023</v>
      </c>
      <c r="O73">
        <f t="shared" si="189"/>
        <v>43.600000000000023</v>
      </c>
      <c r="P73">
        <f>AVERAGE(D73:O73)</f>
        <v>51.391666666666673</v>
      </c>
    </row>
    <row r="74" spans="1:38" ht="17.149999999999999" x14ac:dyDescent="0.55000000000000004">
      <c r="A74" s="11"/>
      <c r="B74" s="11" t="str">
        <f t="shared" si="171"/>
        <v>Portland</v>
      </c>
      <c r="C74" s="11" t="s">
        <v>553</v>
      </c>
      <c r="D74" s="11">
        <f>IF(ISNUMBER(D65),0.7*D69+0.3*D70+0.009*D65*D67,IF(D65="Partially Insulated",0.6*D69+0.4*D70+0.01*D64*D67,D70))-459.6</f>
        <v>43.899999999999977</v>
      </c>
      <c r="E74" s="11">
        <f t="shared" ref="E74:O74" si="190">IF(ISNUMBER(E65),0.7*E69+0.3*E70+0.009*E65*E67,IF(E65="Partially Insulated",0.6*E69+0.4*E70+0.01*E64*E67,E70))-459.6</f>
        <v>44.700000000000045</v>
      </c>
      <c r="F74" s="11">
        <f t="shared" si="190"/>
        <v>46.100000000000023</v>
      </c>
      <c r="G74" s="11">
        <f t="shared" si="190"/>
        <v>48.599999999999966</v>
      </c>
      <c r="H74" s="11">
        <f t="shared" si="190"/>
        <v>53.149999999999977</v>
      </c>
      <c r="I74" s="11">
        <f t="shared" si="190"/>
        <v>56.950000000000045</v>
      </c>
      <c r="J74" s="11">
        <f t="shared" si="190"/>
        <v>60.449999999999932</v>
      </c>
      <c r="K74" s="11">
        <f t="shared" si="190"/>
        <v>60.899999999999977</v>
      </c>
      <c r="L74" s="11">
        <f t="shared" si="190"/>
        <v>58.600000000000023</v>
      </c>
      <c r="M74" s="11">
        <f t="shared" si="190"/>
        <v>52.649999999999977</v>
      </c>
      <c r="N74" s="11">
        <f t="shared" si="190"/>
        <v>47.100000000000023</v>
      </c>
      <c r="O74" s="11">
        <f t="shared" si="190"/>
        <v>43.600000000000023</v>
      </c>
      <c r="P74" s="11">
        <f>AVERAGE(D74:O74)</f>
        <v>51.391666666666673</v>
      </c>
      <c r="Q74" s="11"/>
      <c r="R74" s="11"/>
      <c r="S74" s="11"/>
      <c r="T74" s="11"/>
      <c r="U74" s="11"/>
      <c r="V74" s="11"/>
      <c r="W74" s="11"/>
      <c r="X74" s="11"/>
      <c r="Y74" s="11"/>
      <c r="Z74" s="11"/>
      <c r="AA74" s="11"/>
      <c r="AB74" s="11"/>
      <c r="AC74" s="11"/>
      <c r="AD74" s="11"/>
      <c r="AE74" s="11"/>
      <c r="AF74" s="11"/>
      <c r="AG74" s="11"/>
      <c r="AH74" s="11"/>
      <c r="AI74" s="11"/>
      <c r="AJ74" s="11"/>
      <c r="AK74" s="11"/>
      <c r="AL74" s="11"/>
    </row>
    <row r="75" spans="1:38" ht="17.149999999999999" x14ac:dyDescent="0.55000000000000004">
      <c r="A75" t="str" cm="1">
        <f t="array" ref="A75">INDEX(FX_Input,$R75,S$5)</f>
        <v>FX - 6</v>
      </c>
      <c r="B75" t="str" cm="1">
        <f t="array" ref="B75">INDEX(FX_Input,R75,T75)</f>
        <v>Portland</v>
      </c>
      <c r="C75" t="s">
        <v>510</v>
      </c>
      <c r="D75">
        <f t="shared" ref="D75:O76" si="191">VLOOKUP(VLOOKUP($B75,Terminal_X_Ref,2,FALSE)&amp;$C75,Weather_Data,$Y75*D$3+$Z75,FALSE)+459.6</f>
        <v>498.3</v>
      </c>
      <c r="E75">
        <f t="shared" si="191"/>
        <v>497.70000000000005</v>
      </c>
      <c r="F75">
        <f t="shared" si="191"/>
        <v>499.1</v>
      </c>
      <c r="G75">
        <f t="shared" si="191"/>
        <v>501.5</v>
      </c>
      <c r="H75">
        <f t="shared" si="191"/>
        <v>506.1</v>
      </c>
      <c r="I75">
        <f t="shared" si="191"/>
        <v>510.3</v>
      </c>
      <c r="J75">
        <f t="shared" si="191"/>
        <v>513.70000000000005</v>
      </c>
      <c r="K75">
        <f t="shared" si="191"/>
        <v>513.70000000000005</v>
      </c>
      <c r="L75">
        <f t="shared" si="191"/>
        <v>510</v>
      </c>
      <c r="M75">
        <f t="shared" si="191"/>
        <v>504.90000000000003</v>
      </c>
      <c r="N75">
        <f t="shared" si="191"/>
        <v>500.6</v>
      </c>
      <c r="O75">
        <f t="shared" si="191"/>
        <v>498.20000000000005</v>
      </c>
      <c r="P75">
        <f t="shared" ref="P75:P76" si="192">VLOOKUP(VLOOKUP($B75,Terminal_X_Ref,2,FALSE)&amp;$C75,Weather_Data,$Y75*P$3+$Z75,FALSE)</f>
        <v>44.9</v>
      </c>
      <c r="R75">
        <f>R61+2</f>
        <v>11</v>
      </c>
      <c r="S75">
        <f>S61+1</f>
        <v>6</v>
      </c>
      <c r="T75">
        <v>3</v>
      </c>
      <c r="U75">
        <v>2</v>
      </c>
      <c r="V75">
        <v>3</v>
      </c>
      <c r="W75">
        <v>1</v>
      </c>
      <c r="X75">
        <v>2</v>
      </c>
      <c r="Y75">
        <f>(V75-U75)/(X75-W75)</f>
        <v>1</v>
      </c>
      <c r="Z75">
        <f>U75-Y75*W75</f>
        <v>1</v>
      </c>
      <c r="AA75">
        <f>AA61+1</f>
        <v>6</v>
      </c>
      <c r="AB75">
        <v>6</v>
      </c>
      <c r="AC75">
        <v>3</v>
      </c>
      <c r="AD75">
        <v>13</v>
      </c>
      <c r="AE75">
        <v>12</v>
      </c>
      <c r="AF75">
        <v>14</v>
      </c>
      <c r="AG75">
        <v>77</v>
      </c>
      <c r="AH75">
        <v>78</v>
      </c>
      <c r="AI75">
        <v>1</v>
      </c>
      <c r="AJ75">
        <v>2</v>
      </c>
      <c r="AK75">
        <f>(AH75-AG75)/(AJ75-AI75)</f>
        <v>1</v>
      </c>
      <c r="AL75">
        <f>AG75-AK75*AI75</f>
        <v>76</v>
      </c>
    </row>
    <row r="76" spans="1:38" ht="17.149999999999999" x14ac:dyDescent="0.55000000000000004">
      <c r="B76" t="str">
        <f t="shared" ref="B76" si="193">B75</f>
        <v>Portland</v>
      </c>
      <c r="C76" t="s">
        <v>511</v>
      </c>
      <c r="D76">
        <f t="shared" si="191"/>
        <v>508.70000000000005</v>
      </c>
      <c r="E76">
        <f t="shared" si="191"/>
        <v>510.90000000000003</v>
      </c>
      <c r="F76">
        <f t="shared" si="191"/>
        <v>512.30000000000007</v>
      </c>
      <c r="G76">
        <f t="shared" si="191"/>
        <v>514.9</v>
      </c>
      <c r="H76">
        <f t="shared" si="191"/>
        <v>519.4</v>
      </c>
      <c r="I76">
        <f t="shared" si="191"/>
        <v>522.80000000000007</v>
      </c>
      <c r="J76">
        <f t="shared" si="191"/>
        <v>526.4</v>
      </c>
      <c r="K76">
        <f t="shared" si="191"/>
        <v>527.30000000000007</v>
      </c>
      <c r="L76">
        <f t="shared" si="191"/>
        <v>526.4</v>
      </c>
      <c r="M76">
        <f t="shared" si="191"/>
        <v>519.6</v>
      </c>
      <c r="N76">
        <f t="shared" si="191"/>
        <v>512.80000000000007</v>
      </c>
      <c r="O76">
        <f t="shared" si="191"/>
        <v>508.20000000000005</v>
      </c>
      <c r="P76">
        <f t="shared" si="192"/>
        <v>57.9</v>
      </c>
      <c r="U76">
        <f>U75</f>
        <v>2</v>
      </c>
      <c r="V76">
        <f t="shared" ref="V76:Z76" si="194">V75</f>
        <v>3</v>
      </c>
      <c r="W76">
        <f t="shared" si="194"/>
        <v>1</v>
      </c>
      <c r="X76">
        <f t="shared" si="194"/>
        <v>2</v>
      </c>
      <c r="Y76">
        <f t="shared" si="194"/>
        <v>1</v>
      </c>
      <c r="Z76">
        <f t="shared" si="194"/>
        <v>1</v>
      </c>
      <c r="AA76">
        <f>AA75</f>
        <v>6</v>
      </c>
      <c r="AB76">
        <f t="shared" ref="AB76:AB79" si="195">AB75</f>
        <v>6</v>
      </c>
      <c r="AC76">
        <f t="shared" ref="AC76:AF79" si="196">AC75</f>
        <v>3</v>
      </c>
      <c r="AD76">
        <f t="shared" si="196"/>
        <v>13</v>
      </c>
      <c r="AE76">
        <f t="shared" si="196"/>
        <v>12</v>
      </c>
      <c r="AF76">
        <f t="shared" si="196"/>
        <v>14</v>
      </c>
      <c r="AG76">
        <f t="shared" ref="AG76:AG79" si="197">AG75</f>
        <v>77</v>
      </c>
      <c r="AH76">
        <f t="shared" ref="AH76:AH79" si="198">AH75</f>
        <v>78</v>
      </c>
      <c r="AI76">
        <f t="shared" ref="AI76:AI79" si="199">AI75</f>
        <v>1</v>
      </c>
      <c r="AJ76">
        <f t="shared" ref="AJ76:AJ79" si="200">AJ75</f>
        <v>2</v>
      </c>
      <c r="AK76">
        <f t="shared" ref="AK76:AK79" si="201">AK75</f>
        <v>1</v>
      </c>
      <c r="AL76">
        <f t="shared" ref="AL76:AL79" si="202">AL75</f>
        <v>76</v>
      </c>
    </row>
    <row r="77" spans="1:38" ht="17.149999999999999" x14ac:dyDescent="0.4">
      <c r="B77" t="str">
        <f>B76</f>
        <v>Portland</v>
      </c>
      <c r="C77" s="66" t="s">
        <v>514</v>
      </c>
      <c r="D77" t="str" cm="1">
        <f t="array" ref="D77">INDEX(FX_Calcs,$AA77,$AE77)</f>
        <v>N/A</v>
      </c>
      <c r="E77" t="str" cm="1">
        <f t="array" ref="E77">INDEX(FX_Calcs,$AA77,$AE77)</f>
        <v>N/A</v>
      </c>
      <c r="F77" t="str" cm="1">
        <f t="array" ref="F77">INDEX(FX_Calcs,$AA77,$AE77)</f>
        <v>N/A</v>
      </c>
      <c r="G77" t="str" cm="1">
        <f t="array" ref="G77">INDEX(FX_Calcs,$AA77,$AE77)</f>
        <v>N/A</v>
      </c>
      <c r="H77" t="str" cm="1">
        <f t="array" ref="H77">INDEX(FX_Calcs,$AA77,$AE77)</f>
        <v>N/A</v>
      </c>
      <c r="I77" t="str" cm="1">
        <f t="array" ref="I77">INDEX(FX_Calcs,$AA77,$AE77)</f>
        <v>N/A</v>
      </c>
      <c r="J77" t="str" cm="1">
        <f t="array" ref="J77">INDEX(FX_Calcs,$AA77,$AE77)</f>
        <v>N/A</v>
      </c>
      <c r="K77" t="str" cm="1">
        <f t="array" ref="K77">INDEX(FX_Calcs,$AA77,$AE77)</f>
        <v>N/A</v>
      </c>
      <c r="L77" t="str" cm="1">
        <f t="array" ref="L77">INDEX(FX_Calcs,$AA77,$AE77)</f>
        <v>N/A</v>
      </c>
      <c r="M77" t="str" cm="1">
        <f t="array" ref="M77">INDEX(FX_Calcs,$AA77,$AE77)</f>
        <v>N/A</v>
      </c>
      <c r="N77" t="str" cm="1">
        <f t="array" ref="N77">INDEX(FX_Calcs,$AA77,$AE77)</f>
        <v>N/A</v>
      </c>
      <c r="O77" t="str" cm="1">
        <f t="array" ref="O77">INDEX(FX_Calcs,$AA77,$AE77)</f>
        <v>N/A</v>
      </c>
      <c r="P77" t="str" cm="1">
        <f t="array" ref="P77">INDEX(FX_Calcs,$AA77,$AE77)</f>
        <v>N/A</v>
      </c>
      <c r="AA77">
        <f>AA76</f>
        <v>6</v>
      </c>
      <c r="AB77">
        <f t="shared" si="195"/>
        <v>6</v>
      </c>
      <c r="AC77">
        <f t="shared" si="196"/>
        <v>3</v>
      </c>
      <c r="AD77">
        <f t="shared" si="196"/>
        <v>13</v>
      </c>
      <c r="AE77">
        <f t="shared" si="196"/>
        <v>12</v>
      </c>
      <c r="AF77">
        <f t="shared" si="196"/>
        <v>14</v>
      </c>
      <c r="AG77">
        <f t="shared" si="197"/>
        <v>77</v>
      </c>
      <c r="AH77">
        <f t="shared" si="198"/>
        <v>78</v>
      </c>
      <c r="AI77">
        <f t="shared" si="199"/>
        <v>1</v>
      </c>
      <c r="AJ77">
        <f t="shared" si="200"/>
        <v>2</v>
      </c>
      <c r="AK77">
        <f t="shared" si="201"/>
        <v>1</v>
      </c>
      <c r="AL77">
        <f t="shared" si="202"/>
        <v>76</v>
      </c>
    </row>
    <row r="78" spans="1:38" ht="17.149999999999999" x14ac:dyDescent="0.4">
      <c r="B78" t="str">
        <f t="shared" ref="B78:B79" si="203">B77</f>
        <v>Portland</v>
      </c>
      <c r="C78" s="66" t="s">
        <v>513</v>
      </c>
      <c r="D78" t="str" cm="1">
        <f t="array" ref="D78">INDEX(FX_Calcs,$AA78,$AD78)</f>
        <v>N/A</v>
      </c>
      <c r="E78" t="str" cm="1">
        <f t="array" ref="E78">INDEX(FX_Calcs,$AA78,$AD78)</f>
        <v>N/A</v>
      </c>
      <c r="F78" t="str" cm="1">
        <f t="array" ref="F78">INDEX(FX_Calcs,$AA78,$AD78)</f>
        <v>N/A</v>
      </c>
      <c r="G78" t="str" cm="1">
        <f t="array" ref="G78">INDEX(FX_Calcs,$AA78,$AD78)</f>
        <v>N/A</v>
      </c>
      <c r="H78" t="str" cm="1">
        <f t="array" ref="H78">INDEX(FX_Calcs,$AA78,$AD78)</f>
        <v>N/A</v>
      </c>
      <c r="I78" t="str" cm="1">
        <f t="array" ref="I78">INDEX(FX_Calcs,$AA78,$AD78)</f>
        <v>N/A</v>
      </c>
      <c r="J78" t="str" cm="1">
        <f t="array" ref="J78">INDEX(FX_Calcs,$AA78,$AD78)</f>
        <v>N/A</v>
      </c>
      <c r="K78" t="str" cm="1">
        <f t="array" ref="K78">INDEX(FX_Calcs,$AA78,$AD78)</f>
        <v>N/A</v>
      </c>
      <c r="L78" t="str" cm="1">
        <f t="array" ref="L78">INDEX(FX_Calcs,$AA78,$AD78)</f>
        <v>N/A</v>
      </c>
      <c r="M78" t="str" cm="1">
        <f t="array" ref="M78">INDEX(FX_Calcs,$AA78,$AD78)</f>
        <v>N/A</v>
      </c>
      <c r="N78" t="str" cm="1">
        <f t="array" ref="N78">INDEX(FX_Calcs,$AA78,$AD78)</f>
        <v>N/A</v>
      </c>
      <c r="O78" t="str" cm="1">
        <f t="array" ref="O78">INDEX(FX_Calcs,$AA78,$AD78)</f>
        <v>N/A</v>
      </c>
      <c r="P78" t="str" cm="1">
        <f t="array" ref="P78">INDEX(FX_Calcs,$AA78,$AD78)</f>
        <v>N/A</v>
      </c>
      <c r="AA78">
        <f>AA77</f>
        <v>6</v>
      </c>
      <c r="AB78">
        <f t="shared" si="195"/>
        <v>6</v>
      </c>
      <c r="AC78">
        <f t="shared" si="196"/>
        <v>3</v>
      </c>
      <c r="AD78">
        <f t="shared" si="196"/>
        <v>13</v>
      </c>
      <c r="AE78">
        <f t="shared" si="196"/>
        <v>12</v>
      </c>
      <c r="AF78">
        <f t="shared" si="196"/>
        <v>14</v>
      </c>
      <c r="AG78">
        <f t="shared" si="197"/>
        <v>77</v>
      </c>
      <c r="AH78">
        <f t="shared" si="198"/>
        <v>78</v>
      </c>
      <c r="AI78">
        <f t="shared" si="199"/>
        <v>1</v>
      </c>
      <c r="AJ78">
        <f t="shared" si="200"/>
        <v>2</v>
      </c>
      <c r="AK78">
        <f t="shared" si="201"/>
        <v>1</v>
      </c>
      <c r="AL78">
        <f t="shared" si="202"/>
        <v>76</v>
      </c>
    </row>
    <row r="79" spans="1:38" x14ac:dyDescent="0.4">
      <c r="B79" t="str">
        <f t="shared" si="203"/>
        <v>Portland</v>
      </c>
      <c r="C79" s="66" t="s">
        <v>558</v>
      </c>
      <c r="D79" t="str" cm="1">
        <f t="array" ref="D79">INDEX(FX_Calcs,$AA79,$AF79)</f>
        <v>Insulated</v>
      </c>
      <c r="E79" t="str" cm="1">
        <f t="array" ref="E79">INDEX(FX_Calcs,$AA79,$AF79)</f>
        <v>Insulated</v>
      </c>
      <c r="F79" t="str" cm="1">
        <f t="array" ref="F79">INDEX(FX_Calcs,$AA79,$AF79)</f>
        <v>Insulated</v>
      </c>
      <c r="G79" t="str" cm="1">
        <f t="array" ref="G79">INDEX(FX_Calcs,$AA79,$AF79)</f>
        <v>Insulated</v>
      </c>
      <c r="H79" t="str" cm="1">
        <f t="array" ref="H79">INDEX(FX_Calcs,$AA79,$AF79)</f>
        <v>Insulated</v>
      </c>
      <c r="I79" t="str" cm="1">
        <f t="array" ref="I79">INDEX(FX_Calcs,$AA79,$AF79)</f>
        <v>Insulated</v>
      </c>
      <c r="J79" t="str" cm="1">
        <f t="array" ref="J79">INDEX(FX_Calcs,$AA79,$AF79)</f>
        <v>Insulated</v>
      </c>
      <c r="K79" t="str" cm="1">
        <f t="array" ref="K79">INDEX(FX_Calcs,$AA79,$AF79)</f>
        <v>Insulated</v>
      </c>
      <c r="L79" t="str" cm="1">
        <f t="array" ref="L79">INDEX(FX_Calcs,$AA79,$AF79)</f>
        <v>Insulated</v>
      </c>
      <c r="M79" t="str" cm="1">
        <f t="array" ref="M79">INDEX(FX_Calcs,$AA79,$AF79)</f>
        <v>Insulated</v>
      </c>
      <c r="N79" t="str" cm="1">
        <f t="array" ref="N79">INDEX(FX_Calcs,$AA79,$AF79)</f>
        <v>Insulated</v>
      </c>
      <c r="O79" t="str" cm="1">
        <f t="array" ref="O79">INDEX(FX_Calcs,$AA79,$AF79)</f>
        <v>Insulated</v>
      </c>
      <c r="P79" t="str" cm="1">
        <f t="array" ref="P79">INDEX(FX_Calcs,$AA79,$AF79)</f>
        <v>Insulated</v>
      </c>
      <c r="AA79">
        <f>AA78</f>
        <v>6</v>
      </c>
      <c r="AB79">
        <f t="shared" si="195"/>
        <v>6</v>
      </c>
      <c r="AC79">
        <f t="shared" si="196"/>
        <v>3</v>
      </c>
      <c r="AD79">
        <f t="shared" si="196"/>
        <v>13</v>
      </c>
      <c r="AE79">
        <f t="shared" si="196"/>
        <v>12</v>
      </c>
      <c r="AF79">
        <f t="shared" si="196"/>
        <v>14</v>
      </c>
      <c r="AG79">
        <f t="shared" si="197"/>
        <v>77</v>
      </c>
      <c r="AH79">
        <f t="shared" si="198"/>
        <v>78</v>
      </c>
      <c r="AI79">
        <f t="shared" si="199"/>
        <v>1</v>
      </c>
      <c r="AJ79">
        <f t="shared" si="200"/>
        <v>2</v>
      </c>
      <c r="AK79">
        <f t="shared" si="201"/>
        <v>1</v>
      </c>
      <c r="AL79">
        <f t="shared" si="202"/>
        <v>76</v>
      </c>
    </row>
    <row r="80" spans="1:38" ht="17.149999999999999" x14ac:dyDescent="0.55000000000000004">
      <c r="B80" t="str">
        <f>B76</f>
        <v>Portland</v>
      </c>
      <c r="C80" t="s">
        <v>512</v>
      </c>
      <c r="D80">
        <f t="shared" ref="D80:P80" si="204">D76-D75</f>
        <v>10.400000000000034</v>
      </c>
      <c r="E80">
        <f t="shared" si="204"/>
        <v>13.199999999999989</v>
      </c>
      <c r="F80">
        <f t="shared" si="204"/>
        <v>13.200000000000045</v>
      </c>
      <c r="G80">
        <f t="shared" si="204"/>
        <v>13.399999999999977</v>
      </c>
      <c r="H80">
        <f t="shared" si="204"/>
        <v>13.299999999999955</v>
      </c>
      <c r="I80">
        <f t="shared" si="204"/>
        <v>12.500000000000057</v>
      </c>
      <c r="J80">
        <f t="shared" si="204"/>
        <v>12.699999999999932</v>
      </c>
      <c r="K80">
        <f t="shared" si="204"/>
        <v>13.600000000000023</v>
      </c>
      <c r="L80">
        <f t="shared" si="204"/>
        <v>16.399999999999977</v>
      </c>
      <c r="M80">
        <f t="shared" si="204"/>
        <v>14.699999999999989</v>
      </c>
      <c r="N80">
        <f t="shared" si="204"/>
        <v>12.200000000000045</v>
      </c>
      <c r="O80">
        <f t="shared" si="204"/>
        <v>10</v>
      </c>
      <c r="P80">
        <f t="shared" si="204"/>
        <v>13</v>
      </c>
    </row>
    <row r="81" spans="1:38" x14ac:dyDescent="0.4">
      <c r="B81" t="str">
        <f t="shared" ref="B81:B88" si="205">B80</f>
        <v>Portland</v>
      </c>
      <c r="C81" t="s">
        <v>260</v>
      </c>
      <c r="D81">
        <f t="shared" ref="D81:P81" si="206">VLOOKUP(VLOOKUP($B81,Terminal_X_Ref,2,FALSE)&amp;$C81,Weather_Data,$Y81*D$3+$Z81,FALSE)</f>
        <v>343</v>
      </c>
      <c r="E81">
        <f t="shared" si="206"/>
        <v>600</v>
      </c>
      <c r="F81">
        <f t="shared" si="206"/>
        <v>877</v>
      </c>
      <c r="G81">
        <f t="shared" si="206"/>
        <v>1252</v>
      </c>
      <c r="H81">
        <f t="shared" si="206"/>
        <v>1537</v>
      </c>
      <c r="I81">
        <f t="shared" si="206"/>
        <v>1627</v>
      </c>
      <c r="J81">
        <f t="shared" si="206"/>
        <v>1708</v>
      </c>
      <c r="K81">
        <f t="shared" si="206"/>
        <v>1492</v>
      </c>
      <c r="L81">
        <f t="shared" si="206"/>
        <v>1196</v>
      </c>
      <c r="M81">
        <f t="shared" si="206"/>
        <v>728</v>
      </c>
      <c r="N81">
        <f t="shared" si="206"/>
        <v>391</v>
      </c>
      <c r="O81">
        <f t="shared" si="206"/>
        <v>302</v>
      </c>
      <c r="P81">
        <f t="shared" si="206"/>
        <v>1005</v>
      </c>
      <c r="U81">
        <f>U76</f>
        <v>2</v>
      </c>
      <c r="V81">
        <f t="shared" ref="V81:Z81" si="207">V76</f>
        <v>3</v>
      </c>
      <c r="W81">
        <f t="shared" si="207"/>
        <v>1</v>
      </c>
      <c r="X81">
        <f t="shared" si="207"/>
        <v>2</v>
      </c>
      <c r="Y81">
        <f t="shared" si="207"/>
        <v>1</v>
      </c>
      <c r="Z81">
        <f t="shared" si="207"/>
        <v>1</v>
      </c>
    </row>
    <row r="82" spans="1:38" ht="17.149999999999999" x14ac:dyDescent="0.55000000000000004">
      <c r="B82" t="str">
        <f t="shared" si="205"/>
        <v>Portland</v>
      </c>
      <c r="C82" t="s">
        <v>523</v>
      </c>
      <c r="D82">
        <f>IF(ISNUMBER(D79),0.7*D80+0.02*D79*D81,IF(D79="Partially Insulated",0.6*D80+0.02*D78*D81,0))</f>
        <v>0</v>
      </c>
      <c r="E82">
        <f t="shared" ref="E82:P82" si="208">IF(ISNUMBER(E79),0.7*E80+0.02*E79*E81,IF(E79="Partially Insulated",0.6*E80+0.02*E78*E81,0))</f>
        <v>0</v>
      </c>
      <c r="F82">
        <f t="shared" si="208"/>
        <v>0</v>
      </c>
      <c r="G82">
        <f t="shared" si="208"/>
        <v>0</v>
      </c>
      <c r="H82">
        <f t="shared" si="208"/>
        <v>0</v>
      </c>
      <c r="I82">
        <f t="shared" si="208"/>
        <v>0</v>
      </c>
      <c r="J82">
        <f t="shared" si="208"/>
        <v>0</v>
      </c>
      <c r="K82">
        <f t="shared" si="208"/>
        <v>0</v>
      </c>
      <c r="L82">
        <f t="shared" si="208"/>
        <v>0</v>
      </c>
      <c r="M82">
        <f t="shared" si="208"/>
        <v>0</v>
      </c>
      <c r="N82">
        <f t="shared" si="208"/>
        <v>0</v>
      </c>
      <c r="O82">
        <f t="shared" si="208"/>
        <v>0</v>
      </c>
      <c r="P82">
        <f t="shared" si="208"/>
        <v>0</v>
      </c>
    </row>
    <row r="83" spans="1:38" ht="17.149999999999999" x14ac:dyDescent="0.55000000000000004">
      <c r="B83" t="str">
        <f t="shared" si="205"/>
        <v>Portland</v>
      </c>
      <c r="C83" t="s">
        <v>524</v>
      </c>
      <c r="D83">
        <f t="shared" ref="D83:F83" si="209">AVERAGE(D75:D76)</f>
        <v>503.5</v>
      </c>
      <c r="E83">
        <f t="shared" si="209"/>
        <v>504.30000000000007</v>
      </c>
      <c r="F83">
        <f t="shared" si="209"/>
        <v>505.70000000000005</v>
      </c>
      <c r="G83">
        <f>AVERAGE(G75:G76)</f>
        <v>508.2</v>
      </c>
      <c r="H83">
        <f t="shared" ref="H83:P83" si="210">AVERAGE(H75:H76)</f>
        <v>512.75</v>
      </c>
      <c r="I83">
        <f t="shared" si="210"/>
        <v>516.55000000000007</v>
      </c>
      <c r="J83">
        <f t="shared" si="210"/>
        <v>520.04999999999995</v>
      </c>
      <c r="K83">
        <f t="shared" si="210"/>
        <v>520.5</v>
      </c>
      <c r="L83">
        <f t="shared" si="210"/>
        <v>518.20000000000005</v>
      </c>
      <c r="M83">
        <f t="shared" si="210"/>
        <v>512.25</v>
      </c>
      <c r="N83">
        <f t="shared" si="210"/>
        <v>506.70000000000005</v>
      </c>
      <c r="O83">
        <f t="shared" si="210"/>
        <v>503.20000000000005</v>
      </c>
      <c r="P83">
        <f t="shared" si="210"/>
        <v>51.4</v>
      </c>
    </row>
    <row r="84" spans="1:38" ht="17.149999999999999" x14ac:dyDescent="0.55000000000000004">
      <c r="B84" t="str">
        <f t="shared" si="205"/>
        <v>Portland</v>
      </c>
      <c r="C84" t="s">
        <v>525</v>
      </c>
      <c r="D84" cm="1">
        <f t="array" ref="D84">IFERROR(IF(ISBLANK(INDEX(FX_Input,$R75,D$3*$AK75+$AL75)),D83+0.003*D77*D81,INDEX(FX_Input,$R75,D$3*$AK75+$AL75)+459.6),D83)</f>
        <v>503.5</v>
      </c>
      <c r="E84" cm="1">
        <f t="array" ref="E84">IFERROR(IF(ISBLANK(INDEX(FX_Input,$R75,E$3*$AK75+$AL75)),E83+0.003*E77*E81,INDEX(FX_Input,$R75,E$3*$AK75+$AL75)+459.6),E83)</f>
        <v>504.30000000000007</v>
      </c>
      <c r="F84" cm="1">
        <f t="array" ref="F84">IFERROR(IF(ISBLANK(INDEX(FX_Input,$R75,F$3*$AK75+$AL75)),F83+0.003*F77*F81,INDEX(FX_Input,$R75,F$3*$AK75+$AL75)+459.6),F83)</f>
        <v>505.70000000000005</v>
      </c>
      <c r="G84" cm="1">
        <f t="array" ref="G84">IFERROR(IF(ISBLANK(INDEX(FX_Input,$R75,G$3*$AK75+$AL75)),G83+0.003*G77*G81,INDEX(FX_Input,$R75,G$3*$AK75+$AL75)+459.6),G83)</f>
        <v>508.2</v>
      </c>
      <c r="H84" cm="1">
        <f t="array" ref="H84">IFERROR(IF(ISBLANK(INDEX(FX_Input,$R75,H$3*$AK75+$AL75)),H83+0.003*H77*H81,INDEX(FX_Input,$R75,H$3*$AK75+$AL75)+459.6),H83)</f>
        <v>512.75</v>
      </c>
      <c r="I84" cm="1">
        <f t="array" ref="I84">IFERROR(IF(ISBLANK(INDEX(FX_Input,$R75,I$3*$AK75+$AL75)),I83+0.003*I77*I81,INDEX(FX_Input,$R75,I$3*$AK75+$AL75)+459.6),I83)</f>
        <v>516.55000000000007</v>
      </c>
      <c r="J84" cm="1">
        <f t="array" ref="J84">IFERROR(IF(ISBLANK(INDEX(FX_Input,$R75,J$3*$AK75+$AL75)),J83+0.003*J77*J81,INDEX(FX_Input,$R75,J$3*$AK75+$AL75)+459.6),J83)</f>
        <v>520.04999999999995</v>
      </c>
      <c r="K84" cm="1">
        <f t="array" ref="K84">IFERROR(IF(ISBLANK(INDEX(FX_Input,$R75,K$3*$AK75+$AL75)),K83+0.003*K77*K81,INDEX(FX_Input,$R75,K$3*$AK75+$AL75)+459.6),K83)</f>
        <v>520.5</v>
      </c>
      <c r="L84" cm="1">
        <f t="array" ref="L84">IFERROR(IF(ISBLANK(INDEX(FX_Input,$R75,L$3*$AK75+$AL75)),L83+0.003*L77*L81,INDEX(FX_Input,$R75,L$3*$AK75+$AL75)+459.6),L83)</f>
        <v>518.20000000000005</v>
      </c>
      <c r="M84" cm="1">
        <f t="array" ref="M84">IFERROR(IF(ISBLANK(INDEX(FX_Input,$R75,M$3*$AK75+$AL75)),M83+0.003*M77*M81,INDEX(FX_Input,$R75,M$3*$AK75+$AL75)+459.6),M83)</f>
        <v>512.25</v>
      </c>
      <c r="N84" cm="1">
        <f t="array" ref="N84">IFERROR(IF(ISBLANK(INDEX(FX_Input,$R75,N$3*$AK75+$AL75)),N83+0.003*N77*N81,INDEX(FX_Input,$R75,N$3*$AK75+$AL75)+459.6),N83)</f>
        <v>506.70000000000005</v>
      </c>
      <c r="O84" cm="1">
        <f t="array" ref="O84">IFERROR(IF(ISBLANK(INDEX(FX_Input,$R75,O$3*$AK75+$AL75)),O83+0.003*O77*O81,INDEX(FX_Input,$R75,O$3*$AK75+$AL75)+459.6),O83)</f>
        <v>503.20000000000005</v>
      </c>
      <c r="P84" cm="1">
        <f t="array" ref="P84">IFERROR(IF(ISBLANK(INDEX(FX_Input,$R75,P$3*$AK75+$AL75)),P83+0.003*P77*P81,INDEX(FX_Input,$R75,P$3*$AK75+$AL75)+459.6),P83)</f>
        <v>71520.600000000006</v>
      </c>
    </row>
    <row r="85" spans="1:38" ht="17.149999999999999" x14ac:dyDescent="0.55000000000000004">
      <c r="B85" t="str">
        <f t="shared" si="205"/>
        <v>Portland</v>
      </c>
      <c r="C85" t="s">
        <v>526</v>
      </c>
      <c r="D85">
        <f>IF(ISNUMBER(D79),0.4*D75+0.6*D84+0.005*D79*D81,IF(D79="Partially Insulated",0.3*D83+0.7*D84+0.005*D78*D81,D84))-459.6</f>
        <v>43.899999999999977</v>
      </c>
      <c r="E85">
        <f t="shared" ref="E85" si="211">IF(ISNUMBER(E79),0.4*E75+0.6*E84+0.005*E79*E81,IF(E79="Partially Insulated",0.3*E83+0.7*E84+0.005*E78*E81,E84))-459.6</f>
        <v>44.700000000000045</v>
      </c>
      <c r="F85">
        <f t="shared" ref="F85" si="212">IF(ISNUMBER(F79),0.4*F75+0.6*F84+0.005*F79*F81,IF(F79="Partially Insulated",0.3*F83+0.7*F84+0.005*F78*F81,F84))-459.6</f>
        <v>46.100000000000023</v>
      </c>
      <c r="G85">
        <f t="shared" ref="G85" si="213">IF(ISNUMBER(G79),0.4*G75+0.6*G84+0.005*G79*G81,IF(G79="Partially Insulated",0.3*G83+0.7*G84+0.005*G78*G81,G84))-459.6</f>
        <v>48.599999999999966</v>
      </c>
      <c r="H85">
        <f t="shared" ref="H85" si="214">IF(ISNUMBER(H79),0.4*H75+0.6*H84+0.005*H79*H81,IF(H79="Partially Insulated",0.3*H83+0.7*H84+0.005*H78*H81,H84))-459.6</f>
        <v>53.149999999999977</v>
      </c>
      <c r="I85">
        <f t="shared" ref="I85" si="215">IF(ISNUMBER(I79),0.4*I75+0.6*I84+0.005*I79*I81,IF(I79="Partially Insulated",0.3*I83+0.7*I84+0.005*I78*I81,I84))-459.6</f>
        <v>56.950000000000045</v>
      </c>
      <c r="J85">
        <f t="shared" ref="J85" si="216">IF(ISNUMBER(J79),0.4*J75+0.6*J84+0.005*J79*J81,IF(J79="Partially Insulated",0.3*J83+0.7*J84+0.005*J78*J81,J84))-459.6</f>
        <v>60.449999999999932</v>
      </c>
      <c r="K85">
        <f t="shared" ref="K85" si="217">IF(ISNUMBER(K79),0.4*K75+0.6*K84+0.005*K79*K81,IF(K79="Partially Insulated",0.3*K83+0.7*K84+0.005*K78*K81,K84))-459.6</f>
        <v>60.899999999999977</v>
      </c>
      <c r="L85">
        <f t="shared" ref="L85" si="218">IF(ISNUMBER(L79),0.4*L75+0.6*L84+0.005*L79*L81,IF(L79="Partially Insulated",0.3*L83+0.7*L84+0.005*L78*L81,L84))-459.6</f>
        <v>58.600000000000023</v>
      </c>
      <c r="M85">
        <f t="shared" ref="M85" si="219">IF(ISNUMBER(M79),0.4*M75+0.6*M84+0.005*M79*M81,IF(M79="Partially Insulated",0.3*M83+0.7*M84+0.005*M78*M81,M84))-459.6</f>
        <v>52.649999999999977</v>
      </c>
      <c r="N85">
        <f t="shared" ref="N85" si="220">IF(ISNUMBER(N79),0.4*N75+0.6*N84+0.005*N79*N81,IF(N79="Partially Insulated",0.3*N83+0.7*N84+0.005*N78*N81,N84))-459.6</f>
        <v>47.100000000000023</v>
      </c>
      <c r="O85">
        <f t="shared" ref="O85" si="221">IF(ISNUMBER(O79),0.4*O75+0.6*O84+0.005*O79*O81,IF(O79="Partially Insulated",0.3*O83+0.7*O84+0.005*O78*O81,O84))-459.6</f>
        <v>43.600000000000023</v>
      </c>
      <c r="P85">
        <f>AVERAGE(D85:O85)</f>
        <v>51.391666666666673</v>
      </c>
    </row>
    <row r="86" spans="1:38" ht="17.149999999999999" x14ac:dyDescent="0.55000000000000004">
      <c r="B86" t="str">
        <f t="shared" si="205"/>
        <v>Portland</v>
      </c>
      <c r="C86" t="s">
        <v>527</v>
      </c>
      <c r="D86">
        <f>IF(ISNUMBER(D79),0.4*D76+0.6*D84+0.005*D79*D81,IF(D79="Partially Insulated",0.3*D83+0.7*D84+0.005*D78*D81,D84))-459.6</f>
        <v>43.899999999999977</v>
      </c>
      <c r="E86">
        <f t="shared" ref="E86:O86" si="222">IF(ISNUMBER(E79),0.4*E76+0.6*E84+0.005*E79*E81,IF(E79="Partially Insulated",0.3*E83+0.7*E84+0.005*E78*E81,E84))-459.6</f>
        <v>44.700000000000045</v>
      </c>
      <c r="F86">
        <f t="shared" si="222"/>
        <v>46.100000000000023</v>
      </c>
      <c r="G86">
        <f t="shared" si="222"/>
        <v>48.599999999999966</v>
      </c>
      <c r="H86">
        <f t="shared" si="222"/>
        <v>53.149999999999977</v>
      </c>
      <c r="I86">
        <f t="shared" si="222"/>
        <v>56.950000000000045</v>
      </c>
      <c r="J86">
        <f t="shared" si="222"/>
        <v>60.449999999999932</v>
      </c>
      <c r="K86">
        <f t="shared" si="222"/>
        <v>60.899999999999977</v>
      </c>
      <c r="L86">
        <f t="shared" si="222"/>
        <v>58.600000000000023</v>
      </c>
      <c r="M86">
        <f t="shared" si="222"/>
        <v>52.649999999999977</v>
      </c>
      <c r="N86">
        <f t="shared" si="222"/>
        <v>47.100000000000023</v>
      </c>
      <c r="O86">
        <f t="shared" si="222"/>
        <v>43.600000000000023</v>
      </c>
      <c r="P86">
        <f>AVERAGE(D86:O86)</f>
        <v>51.391666666666673</v>
      </c>
    </row>
    <row r="87" spans="1:38" ht="17.149999999999999" x14ac:dyDescent="0.55000000000000004">
      <c r="B87" t="str">
        <f t="shared" si="205"/>
        <v>Portland</v>
      </c>
      <c r="C87" t="s">
        <v>552</v>
      </c>
      <c r="D87">
        <f>IF(ISNUMBER(D79),0.4*D83+0.6*D84+0.005*D79*D81,IF(D79="Partially Insulated",0.3*D83+0.7*D84+0.005*D78*D81,D84))-459.6</f>
        <v>43.899999999999977</v>
      </c>
      <c r="E87">
        <f t="shared" ref="E87:O87" si="223">IF(ISNUMBER(E79),0.4*E83+0.6*E84+0.005*E79*E81,IF(E79="Partially Insulated",0.3*E83+0.7*E84+0.005*E78*E81,E84))-459.6</f>
        <v>44.700000000000045</v>
      </c>
      <c r="F87">
        <f t="shared" si="223"/>
        <v>46.100000000000023</v>
      </c>
      <c r="G87">
        <f t="shared" si="223"/>
        <v>48.599999999999966</v>
      </c>
      <c r="H87">
        <f t="shared" si="223"/>
        <v>53.149999999999977</v>
      </c>
      <c r="I87">
        <f t="shared" si="223"/>
        <v>56.950000000000045</v>
      </c>
      <c r="J87">
        <f t="shared" si="223"/>
        <v>60.449999999999932</v>
      </c>
      <c r="K87">
        <f t="shared" si="223"/>
        <v>60.899999999999977</v>
      </c>
      <c r="L87">
        <f t="shared" si="223"/>
        <v>58.600000000000023</v>
      </c>
      <c r="M87">
        <f t="shared" si="223"/>
        <v>52.649999999999977</v>
      </c>
      <c r="N87">
        <f t="shared" si="223"/>
        <v>47.100000000000023</v>
      </c>
      <c r="O87">
        <f t="shared" si="223"/>
        <v>43.600000000000023</v>
      </c>
      <c r="P87">
        <f>AVERAGE(D87:O87)</f>
        <v>51.391666666666673</v>
      </c>
    </row>
    <row r="88" spans="1:38" ht="17.149999999999999" x14ac:dyDescent="0.55000000000000004">
      <c r="A88" s="11"/>
      <c r="B88" s="11" t="str">
        <f t="shared" si="205"/>
        <v>Portland</v>
      </c>
      <c r="C88" s="11" t="s">
        <v>553</v>
      </c>
      <c r="D88" s="11">
        <f>IF(ISNUMBER(D79),0.7*D83+0.3*D84+0.009*D79*D81,IF(D79="Partially Insulated",0.6*D83+0.4*D84+0.01*D78*D81,D84))-459.6</f>
        <v>43.899999999999977</v>
      </c>
      <c r="E88" s="11">
        <f t="shared" ref="E88:O88" si="224">IF(ISNUMBER(E79),0.7*E83+0.3*E84+0.009*E79*E81,IF(E79="Partially Insulated",0.6*E83+0.4*E84+0.01*E78*E81,E84))-459.6</f>
        <v>44.700000000000045</v>
      </c>
      <c r="F88" s="11">
        <f t="shared" si="224"/>
        <v>46.100000000000023</v>
      </c>
      <c r="G88" s="11">
        <f t="shared" si="224"/>
        <v>48.599999999999966</v>
      </c>
      <c r="H88" s="11">
        <f t="shared" si="224"/>
        <v>53.149999999999977</v>
      </c>
      <c r="I88" s="11">
        <f t="shared" si="224"/>
        <v>56.950000000000045</v>
      </c>
      <c r="J88" s="11">
        <f t="shared" si="224"/>
        <v>60.449999999999932</v>
      </c>
      <c r="K88" s="11">
        <f t="shared" si="224"/>
        <v>60.899999999999977</v>
      </c>
      <c r="L88" s="11">
        <f t="shared" si="224"/>
        <v>58.600000000000023</v>
      </c>
      <c r="M88" s="11">
        <f t="shared" si="224"/>
        <v>52.649999999999977</v>
      </c>
      <c r="N88" s="11">
        <f t="shared" si="224"/>
        <v>47.100000000000023</v>
      </c>
      <c r="O88" s="11">
        <f t="shared" si="224"/>
        <v>43.600000000000023</v>
      </c>
      <c r="P88" s="11">
        <f>AVERAGE(D88:O88)</f>
        <v>51.391666666666673</v>
      </c>
      <c r="Q88" s="11"/>
      <c r="R88" s="11"/>
      <c r="S88" s="11"/>
      <c r="T88" s="11"/>
      <c r="U88" s="11"/>
      <c r="V88" s="11"/>
      <c r="W88" s="11"/>
      <c r="X88" s="11"/>
      <c r="Y88" s="11"/>
      <c r="Z88" s="11"/>
      <c r="AA88" s="11"/>
      <c r="AB88" s="11"/>
      <c r="AC88" s="11"/>
      <c r="AD88" s="11"/>
      <c r="AE88" s="11"/>
      <c r="AF88" s="11"/>
      <c r="AG88" s="11"/>
      <c r="AH88" s="11"/>
      <c r="AI88" s="11"/>
      <c r="AJ88" s="11"/>
      <c r="AK88" s="11"/>
      <c r="AL88" s="11"/>
    </row>
    <row r="89" spans="1:38" ht="17.149999999999999" x14ac:dyDescent="0.55000000000000004">
      <c r="A89" t="str" cm="1">
        <f t="array" ref="A89">INDEX(FX_Input,$R89,S$5)</f>
        <v>FX - 7</v>
      </c>
      <c r="B89" t="str" cm="1">
        <f t="array" ref="B89">INDEX(FX_Input,R89,T89)</f>
        <v>Portland</v>
      </c>
      <c r="C89" t="s">
        <v>510</v>
      </c>
      <c r="D89">
        <f t="shared" ref="D89:O90" si="225">VLOOKUP(VLOOKUP($B89,Terminal_X_Ref,2,FALSE)&amp;$C89,Weather_Data,$Y89*D$3+$Z89,FALSE)+459.6</f>
        <v>498.3</v>
      </c>
      <c r="E89">
        <f t="shared" si="225"/>
        <v>497.70000000000005</v>
      </c>
      <c r="F89">
        <f t="shared" si="225"/>
        <v>499.1</v>
      </c>
      <c r="G89">
        <f t="shared" si="225"/>
        <v>501.5</v>
      </c>
      <c r="H89">
        <f t="shared" si="225"/>
        <v>506.1</v>
      </c>
      <c r="I89">
        <f t="shared" si="225"/>
        <v>510.3</v>
      </c>
      <c r="J89">
        <f t="shared" si="225"/>
        <v>513.70000000000005</v>
      </c>
      <c r="K89">
        <f t="shared" si="225"/>
        <v>513.70000000000005</v>
      </c>
      <c r="L89">
        <f t="shared" si="225"/>
        <v>510</v>
      </c>
      <c r="M89">
        <f t="shared" si="225"/>
        <v>504.90000000000003</v>
      </c>
      <c r="N89">
        <f t="shared" si="225"/>
        <v>500.6</v>
      </c>
      <c r="O89">
        <f t="shared" si="225"/>
        <v>498.20000000000005</v>
      </c>
      <c r="P89">
        <f t="shared" ref="P89:P90" si="226">VLOOKUP(VLOOKUP($B89,Terminal_X_Ref,2,FALSE)&amp;$C89,Weather_Data,$Y89*P$3+$Z89,FALSE)</f>
        <v>44.9</v>
      </c>
      <c r="R89">
        <f>R75+2</f>
        <v>13</v>
      </c>
      <c r="S89">
        <f>S75+1</f>
        <v>7</v>
      </c>
      <c r="T89">
        <v>3</v>
      </c>
      <c r="U89">
        <v>2</v>
      </c>
      <c r="V89">
        <v>3</v>
      </c>
      <c r="W89">
        <v>1</v>
      </c>
      <c r="X89">
        <v>2</v>
      </c>
      <c r="Y89">
        <f>(V89-U89)/(X89-W89)</f>
        <v>1</v>
      </c>
      <c r="Z89">
        <f>U89-Y89*W89</f>
        <v>1</v>
      </c>
      <c r="AA89">
        <f>AA75+1</f>
        <v>7</v>
      </c>
      <c r="AB89">
        <v>6</v>
      </c>
      <c r="AC89">
        <v>3</v>
      </c>
      <c r="AD89">
        <v>13</v>
      </c>
      <c r="AE89">
        <v>12</v>
      </c>
      <c r="AF89">
        <v>14</v>
      </c>
      <c r="AG89">
        <v>77</v>
      </c>
      <c r="AH89">
        <v>78</v>
      </c>
      <c r="AI89">
        <v>1</v>
      </c>
      <c r="AJ89">
        <v>2</v>
      </c>
      <c r="AK89">
        <f>(AH89-AG89)/(AJ89-AI89)</f>
        <v>1</v>
      </c>
      <c r="AL89">
        <f>AG89-AK89*AI89</f>
        <v>76</v>
      </c>
    </row>
    <row r="90" spans="1:38" ht="17.149999999999999" x14ac:dyDescent="0.55000000000000004">
      <c r="B90" t="str">
        <f t="shared" ref="B90" si="227">B89</f>
        <v>Portland</v>
      </c>
      <c r="C90" t="s">
        <v>511</v>
      </c>
      <c r="D90">
        <f t="shared" si="225"/>
        <v>508.70000000000005</v>
      </c>
      <c r="E90">
        <f t="shared" si="225"/>
        <v>510.90000000000003</v>
      </c>
      <c r="F90">
        <f t="shared" si="225"/>
        <v>512.30000000000007</v>
      </c>
      <c r="G90">
        <f t="shared" si="225"/>
        <v>514.9</v>
      </c>
      <c r="H90">
        <f t="shared" si="225"/>
        <v>519.4</v>
      </c>
      <c r="I90">
        <f t="shared" si="225"/>
        <v>522.80000000000007</v>
      </c>
      <c r="J90">
        <f t="shared" si="225"/>
        <v>526.4</v>
      </c>
      <c r="K90">
        <f t="shared" si="225"/>
        <v>527.30000000000007</v>
      </c>
      <c r="L90">
        <f t="shared" si="225"/>
        <v>526.4</v>
      </c>
      <c r="M90">
        <f t="shared" si="225"/>
        <v>519.6</v>
      </c>
      <c r="N90">
        <f t="shared" si="225"/>
        <v>512.80000000000007</v>
      </c>
      <c r="O90">
        <f t="shared" si="225"/>
        <v>508.20000000000005</v>
      </c>
      <c r="P90">
        <f t="shared" si="226"/>
        <v>57.9</v>
      </c>
      <c r="U90">
        <f>U89</f>
        <v>2</v>
      </c>
      <c r="V90">
        <f t="shared" ref="V90:Z90" si="228">V89</f>
        <v>3</v>
      </c>
      <c r="W90">
        <f t="shared" si="228"/>
        <v>1</v>
      </c>
      <c r="X90">
        <f t="shared" si="228"/>
        <v>2</v>
      </c>
      <c r="Y90">
        <f t="shared" si="228"/>
        <v>1</v>
      </c>
      <c r="Z90">
        <f t="shared" si="228"/>
        <v>1</v>
      </c>
      <c r="AA90">
        <f>AA89</f>
        <v>7</v>
      </c>
      <c r="AB90">
        <f t="shared" ref="AB90:AB93" si="229">AB89</f>
        <v>6</v>
      </c>
      <c r="AC90">
        <f t="shared" ref="AC90:AF93" si="230">AC89</f>
        <v>3</v>
      </c>
      <c r="AD90">
        <f t="shared" si="230"/>
        <v>13</v>
      </c>
      <c r="AE90">
        <f t="shared" si="230"/>
        <v>12</v>
      </c>
      <c r="AF90">
        <f t="shared" si="230"/>
        <v>14</v>
      </c>
      <c r="AG90">
        <f t="shared" ref="AG90:AG93" si="231">AG89</f>
        <v>77</v>
      </c>
      <c r="AH90">
        <f t="shared" ref="AH90:AH93" si="232">AH89</f>
        <v>78</v>
      </c>
      <c r="AI90">
        <f t="shared" ref="AI90:AI93" si="233">AI89</f>
        <v>1</v>
      </c>
      <c r="AJ90">
        <f t="shared" ref="AJ90:AJ93" si="234">AJ89</f>
        <v>2</v>
      </c>
      <c r="AK90">
        <f t="shared" ref="AK90:AK93" si="235">AK89</f>
        <v>1</v>
      </c>
      <c r="AL90">
        <f t="shared" ref="AL90:AL93" si="236">AL89</f>
        <v>76</v>
      </c>
    </row>
    <row r="91" spans="1:38" ht="17.149999999999999" x14ac:dyDescent="0.4">
      <c r="B91" t="str">
        <f>B90</f>
        <v>Portland</v>
      </c>
      <c r="C91" s="66" t="s">
        <v>514</v>
      </c>
      <c r="D91" cm="1">
        <f t="array" ref="D91">INDEX(FX_Calcs,$AA91,$AE91)</f>
        <v>0.25</v>
      </c>
      <c r="E91" cm="1">
        <f t="array" ref="E91">INDEX(FX_Calcs,$AA91,$AE91)</f>
        <v>0.25</v>
      </c>
      <c r="F91" cm="1">
        <f t="array" ref="F91">INDEX(FX_Calcs,$AA91,$AE91)</f>
        <v>0.25</v>
      </c>
      <c r="G91" cm="1">
        <f t="array" ref="G91">INDEX(FX_Calcs,$AA91,$AE91)</f>
        <v>0.25</v>
      </c>
      <c r="H91" cm="1">
        <f t="array" ref="H91">INDEX(FX_Calcs,$AA91,$AE91)</f>
        <v>0.25</v>
      </c>
      <c r="I91" cm="1">
        <f t="array" ref="I91">INDEX(FX_Calcs,$AA91,$AE91)</f>
        <v>0.25</v>
      </c>
      <c r="J91" cm="1">
        <f t="array" ref="J91">INDEX(FX_Calcs,$AA91,$AE91)</f>
        <v>0.25</v>
      </c>
      <c r="K91" cm="1">
        <f t="array" ref="K91">INDEX(FX_Calcs,$AA91,$AE91)</f>
        <v>0.25</v>
      </c>
      <c r="L91" cm="1">
        <f t="array" ref="L91">INDEX(FX_Calcs,$AA91,$AE91)</f>
        <v>0.25</v>
      </c>
      <c r="M91" cm="1">
        <f t="array" ref="M91">INDEX(FX_Calcs,$AA91,$AE91)</f>
        <v>0.25</v>
      </c>
      <c r="N91" cm="1">
        <f t="array" ref="N91">INDEX(FX_Calcs,$AA91,$AE91)</f>
        <v>0.25</v>
      </c>
      <c r="O91" cm="1">
        <f t="array" ref="O91">INDEX(FX_Calcs,$AA91,$AE91)</f>
        <v>0.25</v>
      </c>
      <c r="P91" cm="1">
        <f t="array" ref="P91">INDEX(FX_Calcs,$AA91,$AE91)</f>
        <v>0.25</v>
      </c>
      <c r="AA91">
        <f>AA90</f>
        <v>7</v>
      </c>
      <c r="AB91">
        <f t="shared" si="229"/>
        <v>6</v>
      </c>
      <c r="AC91">
        <f t="shared" si="230"/>
        <v>3</v>
      </c>
      <c r="AD91">
        <f t="shared" si="230"/>
        <v>13</v>
      </c>
      <c r="AE91">
        <f t="shared" si="230"/>
        <v>12</v>
      </c>
      <c r="AF91">
        <f t="shared" si="230"/>
        <v>14</v>
      </c>
      <c r="AG91">
        <f t="shared" si="231"/>
        <v>77</v>
      </c>
      <c r="AH91">
        <f t="shared" si="232"/>
        <v>78</v>
      </c>
      <c r="AI91">
        <f t="shared" si="233"/>
        <v>1</v>
      </c>
      <c r="AJ91">
        <f t="shared" si="234"/>
        <v>2</v>
      </c>
      <c r="AK91">
        <f t="shared" si="235"/>
        <v>1</v>
      </c>
      <c r="AL91">
        <f t="shared" si="236"/>
        <v>76</v>
      </c>
    </row>
    <row r="92" spans="1:38" ht="17.149999999999999" x14ac:dyDescent="0.4">
      <c r="B92" t="str">
        <f t="shared" ref="B92:B93" si="237">B91</f>
        <v>Portland</v>
      </c>
      <c r="C92" s="66" t="s">
        <v>513</v>
      </c>
      <c r="D92" cm="1">
        <f t="array" ref="D92">INDEX(FX_Calcs,$AA92,$AD92)</f>
        <v>0.25</v>
      </c>
      <c r="E92" cm="1">
        <f t="array" ref="E92">INDEX(FX_Calcs,$AA92,$AD92)</f>
        <v>0.25</v>
      </c>
      <c r="F92" cm="1">
        <f t="array" ref="F92">INDEX(FX_Calcs,$AA92,$AD92)</f>
        <v>0.25</v>
      </c>
      <c r="G92" cm="1">
        <f t="array" ref="G92">INDEX(FX_Calcs,$AA92,$AD92)</f>
        <v>0.25</v>
      </c>
      <c r="H92" cm="1">
        <f t="array" ref="H92">INDEX(FX_Calcs,$AA92,$AD92)</f>
        <v>0.25</v>
      </c>
      <c r="I92" cm="1">
        <f t="array" ref="I92">INDEX(FX_Calcs,$AA92,$AD92)</f>
        <v>0.25</v>
      </c>
      <c r="J92" cm="1">
        <f t="array" ref="J92">INDEX(FX_Calcs,$AA92,$AD92)</f>
        <v>0.25</v>
      </c>
      <c r="K92" cm="1">
        <f t="array" ref="K92">INDEX(FX_Calcs,$AA92,$AD92)</f>
        <v>0.25</v>
      </c>
      <c r="L92" cm="1">
        <f t="array" ref="L92">INDEX(FX_Calcs,$AA92,$AD92)</f>
        <v>0.25</v>
      </c>
      <c r="M92" cm="1">
        <f t="array" ref="M92">INDEX(FX_Calcs,$AA92,$AD92)</f>
        <v>0.25</v>
      </c>
      <c r="N92" cm="1">
        <f t="array" ref="N92">INDEX(FX_Calcs,$AA92,$AD92)</f>
        <v>0.25</v>
      </c>
      <c r="O92" cm="1">
        <f t="array" ref="O92">INDEX(FX_Calcs,$AA92,$AD92)</f>
        <v>0.25</v>
      </c>
      <c r="P92" cm="1">
        <f t="array" ref="P92">INDEX(FX_Calcs,$AA92,$AD92)</f>
        <v>0.25</v>
      </c>
      <c r="AA92">
        <f>AA91</f>
        <v>7</v>
      </c>
      <c r="AB92">
        <f t="shared" si="229"/>
        <v>6</v>
      </c>
      <c r="AC92">
        <f t="shared" si="230"/>
        <v>3</v>
      </c>
      <c r="AD92">
        <f t="shared" si="230"/>
        <v>13</v>
      </c>
      <c r="AE92">
        <f t="shared" si="230"/>
        <v>12</v>
      </c>
      <c r="AF92">
        <f t="shared" si="230"/>
        <v>14</v>
      </c>
      <c r="AG92">
        <f t="shared" si="231"/>
        <v>77</v>
      </c>
      <c r="AH92">
        <f t="shared" si="232"/>
        <v>78</v>
      </c>
      <c r="AI92">
        <f t="shared" si="233"/>
        <v>1</v>
      </c>
      <c r="AJ92">
        <f t="shared" si="234"/>
        <v>2</v>
      </c>
      <c r="AK92">
        <f t="shared" si="235"/>
        <v>1</v>
      </c>
      <c r="AL92">
        <f t="shared" si="236"/>
        <v>76</v>
      </c>
    </row>
    <row r="93" spans="1:38" x14ac:dyDescent="0.4">
      <c r="B93" t="str">
        <f t="shared" si="237"/>
        <v>Portland</v>
      </c>
      <c r="C93" s="66" t="s">
        <v>558</v>
      </c>
      <c r="D93" cm="1">
        <f t="array" ref="D93">INDEX(FX_Calcs,$AA93,$AF93)</f>
        <v>0.25</v>
      </c>
      <c r="E93" cm="1">
        <f t="array" ref="E93">INDEX(FX_Calcs,$AA93,$AF93)</f>
        <v>0.25</v>
      </c>
      <c r="F93" cm="1">
        <f t="array" ref="F93">INDEX(FX_Calcs,$AA93,$AF93)</f>
        <v>0.25</v>
      </c>
      <c r="G93" cm="1">
        <f t="array" ref="G93">INDEX(FX_Calcs,$AA93,$AF93)</f>
        <v>0.25</v>
      </c>
      <c r="H93" cm="1">
        <f t="array" ref="H93">INDEX(FX_Calcs,$AA93,$AF93)</f>
        <v>0.25</v>
      </c>
      <c r="I93" cm="1">
        <f t="array" ref="I93">INDEX(FX_Calcs,$AA93,$AF93)</f>
        <v>0.25</v>
      </c>
      <c r="J93" cm="1">
        <f t="array" ref="J93">INDEX(FX_Calcs,$AA93,$AF93)</f>
        <v>0.25</v>
      </c>
      <c r="K93" cm="1">
        <f t="array" ref="K93">INDEX(FX_Calcs,$AA93,$AF93)</f>
        <v>0.25</v>
      </c>
      <c r="L93" cm="1">
        <f t="array" ref="L93">INDEX(FX_Calcs,$AA93,$AF93)</f>
        <v>0.25</v>
      </c>
      <c r="M93" cm="1">
        <f t="array" ref="M93">INDEX(FX_Calcs,$AA93,$AF93)</f>
        <v>0.25</v>
      </c>
      <c r="N93" cm="1">
        <f t="array" ref="N93">INDEX(FX_Calcs,$AA93,$AF93)</f>
        <v>0.25</v>
      </c>
      <c r="O93" cm="1">
        <f t="array" ref="O93">INDEX(FX_Calcs,$AA93,$AF93)</f>
        <v>0.25</v>
      </c>
      <c r="P93" cm="1">
        <f t="array" ref="P93">INDEX(FX_Calcs,$AA93,$AF93)</f>
        <v>0.25</v>
      </c>
      <c r="AA93">
        <f>AA92</f>
        <v>7</v>
      </c>
      <c r="AB93">
        <f t="shared" si="229"/>
        <v>6</v>
      </c>
      <c r="AC93">
        <f t="shared" si="230"/>
        <v>3</v>
      </c>
      <c r="AD93">
        <f t="shared" si="230"/>
        <v>13</v>
      </c>
      <c r="AE93">
        <f t="shared" si="230"/>
        <v>12</v>
      </c>
      <c r="AF93">
        <f t="shared" si="230"/>
        <v>14</v>
      </c>
      <c r="AG93">
        <f t="shared" si="231"/>
        <v>77</v>
      </c>
      <c r="AH93">
        <f t="shared" si="232"/>
        <v>78</v>
      </c>
      <c r="AI93">
        <f t="shared" si="233"/>
        <v>1</v>
      </c>
      <c r="AJ93">
        <f t="shared" si="234"/>
        <v>2</v>
      </c>
      <c r="AK93">
        <f t="shared" si="235"/>
        <v>1</v>
      </c>
      <c r="AL93">
        <f t="shared" si="236"/>
        <v>76</v>
      </c>
    </row>
    <row r="94" spans="1:38" ht="17.149999999999999" x14ac:dyDescent="0.55000000000000004">
      <c r="B94" t="str">
        <f>B90</f>
        <v>Portland</v>
      </c>
      <c r="C94" t="s">
        <v>512</v>
      </c>
      <c r="D94">
        <f t="shared" ref="D94:P94" si="238">D90-D89</f>
        <v>10.400000000000034</v>
      </c>
      <c r="E94">
        <f t="shared" si="238"/>
        <v>13.199999999999989</v>
      </c>
      <c r="F94">
        <f t="shared" si="238"/>
        <v>13.200000000000045</v>
      </c>
      <c r="G94">
        <f t="shared" si="238"/>
        <v>13.399999999999977</v>
      </c>
      <c r="H94">
        <f t="shared" si="238"/>
        <v>13.299999999999955</v>
      </c>
      <c r="I94">
        <f t="shared" si="238"/>
        <v>12.500000000000057</v>
      </c>
      <c r="J94">
        <f t="shared" si="238"/>
        <v>12.699999999999932</v>
      </c>
      <c r="K94">
        <f t="shared" si="238"/>
        <v>13.600000000000023</v>
      </c>
      <c r="L94">
        <f t="shared" si="238"/>
        <v>16.399999999999977</v>
      </c>
      <c r="M94">
        <f t="shared" si="238"/>
        <v>14.699999999999989</v>
      </c>
      <c r="N94">
        <f t="shared" si="238"/>
        <v>12.200000000000045</v>
      </c>
      <c r="O94">
        <f t="shared" si="238"/>
        <v>10</v>
      </c>
      <c r="P94">
        <f t="shared" si="238"/>
        <v>13</v>
      </c>
    </row>
    <row r="95" spans="1:38" x14ac:dyDescent="0.4">
      <c r="B95" t="str">
        <f t="shared" ref="B95:B102" si="239">B94</f>
        <v>Portland</v>
      </c>
      <c r="C95" t="s">
        <v>260</v>
      </c>
      <c r="D95">
        <f t="shared" ref="D95:P95" si="240">VLOOKUP(VLOOKUP($B95,Terminal_X_Ref,2,FALSE)&amp;$C95,Weather_Data,$Y95*D$3+$Z95,FALSE)</f>
        <v>343</v>
      </c>
      <c r="E95">
        <f t="shared" si="240"/>
        <v>600</v>
      </c>
      <c r="F95">
        <f t="shared" si="240"/>
        <v>877</v>
      </c>
      <c r="G95">
        <f t="shared" si="240"/>
        <v>1252</v>
      </c>
      <c r="H95">
        <f t="shared" si="240"/>
        <v>1537</v>
      </c>
      <c r="I95">
        <f t="shared" si="240"/>
        <v>1627</v>
      </c>
      <c r="J95">
        <f t="shared" si="240"/>
        <v>1708</v>
      </c>
      <c r="K95">
        <f t="shared" si="240"/>
        <v>1492</v>
      </c>
      <c r="L95">
        <f t="shared" si="240"/>
        <v>1196</v>
      </c>
      <c r="M95">
        <f t="shared" si="240"/>
        <v>728</v>
      </c>
      <c r="N95">
        <f t="shared" si="240"/>
        <v>391</v>
      </c>
      <c r="O95">
        <f t="shared" si="240"/>
        <v>302</v>
      </c>
      <c r="P95">
        <f t="shared" si="240"/>
        <v>1005</v>
      </c>
      <c r="U95">
        <f>U90</f>
        <v>2</v>
      </c>
      <c r="V95">
        <f t="shared" ref="V95:Z95" si="241">V90</f>
        <v>3</v>
      </c>
      <c r="W95">
        <f t="shared" si="241"/>
        <v>1</v>
      </c>
      <c r="X95">
        <f t="shared" si="241"/>
        <v>2</v>
      </c>
      <c r="Y95">
        <f t="shared" si="241"/>
        <v>1</v>
      </c>
      <c r="Z95">
        <f t="shared" si="241"/>
        <v>1</v>
      </c>
    </row>
    <row r="96" spans="1:38" ht="17.149999999999999" x14ac:dyDescent="0.55000000000000004">
      <c r="B96" t="str">
        <f t="shared" si="239"/>
        <v>Portland</v>
      </c>
      <c r="C96" t="s">
        <v>523</v>
      </c>
      <c r="D96">
        <f>IF(ISNUMBER(D93),0.7*D94+0.02*D93*D95,IF(D93="Partially Insulated",0.6*D94+0.02*D92*D95,0))</f>
        <v>8.9950000000000241</v>
      </c>
      <c r="E96">
        <f t="shared" ref="E96:P96" si="242">IF(ISNUMBER(E93),0.7*E94+0.02*E93*E95,IF(E93="Partially Insulated",0.6*E94+0.02*E92*E95,0))</f>
        <v>12.239999999999991</v>
      </c>
      <c r="F96">
        <f t="shared" si="242"/>
        <v>13.62500000000003</v>
      </c>
      <c r="G96">
        <f t="shared" si="242"/>
        <v>15.639999999999983</v>
      </c>
      <c r="H96">
        <f t="shared" si="242"/>
        <v>16.994999999999969</v>
      </c>
      <c r="I96">
        <f t="shared" si="242"/>
        <v>16.885000000000041</v>
      </c>
      <c r="J96">
        <f t="shared" si="242"/>
        <v>17.42999999999995</v>
      </c>
      <c r="K96">
        <f t="shared" si="242"/>
        <v>16.980000000000015</v>
      </c>
      <c r="L96">
        <f t="shared" si="242"/>
        <v>17.459999999999983</v>
      </c>
      <c r="M96">
        <f t="shared" si="242"/>
        <v>13.929999999999993</v>
      </c>
      <c r="N96">
        <f t="shared" si="242"/>
        <v>10.495000000000031</v>
      </c>
      <c r="O96">
        <f t="shared" si="242"/>
        <v>8.51</v>
      </c>
      <c r="P96">
        <f t="shared" si="242"/>
        <v>14.125</v>
      </c>
    </row>
    <row r="97" spans="1:38" ht="17.149999999999999" x14ac:dyDescent="0.55000000000000004">
      <c r="B97" t="str">
        <f t="shared" si="239"/>
        <v>Portland</v>
      </c>
      <c r="C97" t="s">
        <v>524</v>
      </c>
      <c r="D97">
        <f t="shared" ref="D97:F97" si="243">AVERAGE(D89:D90)</f>
        <v>503.5</v>
      </c>
      <c r="E97">
        <f t="shared" si="243"/>
        <v>504.30000000000007</v>
      </c>
      <c r="F97">
        <f t="shared" si="243"/>
        <v>505.70000000000005</v>
      </c>
      <c r="G97">
        <f>AVERAGE(G89:G90)</f>
        <v>508.2</v>
      </c>
      <c r="H97">
        <f t="shared" ref="H97:P97" si="244">AVERAGE(H89:H90)</f>
        <v>512.75</v>
      </c>
      <c r="I97">
        <f t="shared" si="244"/>
        <v>516.55000000000007</v>
      </c>
      <c r="J97">
        <f t="shared" si="244"/>
        <v>520.04999999999995</v>
      </c>
      <c r="K97">
        <f t="shared" si="244"/>
        <v>520.5</v>
      </c>
      <c r="L97">
        <f t="shared" si="244"/>
        <v>518.20000000000005</v>
      </c>
      <c r="M97">
        <f t="shared" si="244"/>
        <v>512.25</v>
      </c>
      <c r="N97">
        <f t="shared" si="244"/>
        <v>506.70000000000005</v>
      </c>
      <c r="O97">
        <f t="shared" si="244"/>
        <v>503.20000000000005</v>
      </c>
      <c r="P97">
        <f t="shared" si="244"/>
        <v>51.4</v>
      </c>
    </row>
    <row r="98" spans="1:38" ht="17.149999999999999" x14ac:dyDescent="0.55000000000000004">
      <c r="B98" t="str">
        <f t="shared" si="239"/>
        <v>Portland</v>
      </c>
      <c r="C98" t="s">
        <v>525</v>
      </c>
      <c r="D98" cm="1">
        <f t="array" ref="D98">IFERROR(IF(ISBLANK(INDEX(FX_Input,$R89,D$3*$AK89+$AL89)),D97+0.003*D91*D95,INDEX(FX_Input,$R89,D$3*$AK89+$AL89)+459.6),D97)</f>
        <v>503.75725</v>
      </c>
      <c r="E98" cm="1">
        <f t="array" ref="E98">IFERROR(IF(ISBLANK(INDEX(FX_Input,$R89,E$3*$AK89+$AL89)),E97+0.003*E91*E95,INDEX(FX_Input,$R89,E$3*$AK89+$AL89)+459.6),E97)</f>
        <v>504.75000000000006</v>
      </c>
      <c r="F98" cm="1">
        <f t="array" ref="F98">IFERROR(IF(ISBLANK(INDEX(FX_Input,$R89,F$3*$AK89+$AL89)),F97+0.003*F91*F95,INDEX(FX_Input,$R89,F$3*$AK89+$AL89)+459.6),F97)</f>
        <v>506.35775000000007</v>
      </c>
      <c r="G98" cm="1">
        <f t="array" ref="G98">IFERROR(IF(ISBLANK(INDEX(FX_Input,$R89,G$3*$AK89+$AL89)),G97+0.003*G91*G95,INDEX(FX_Input,$R89,G$3*$AK89+$AL89)+459.6),G97)</f>
        <v>509.13900000000001</v>
      </c>
      <c r="H98" cm="1">
        <f t="array" ref="H98">IFERROR(IF(ISBLANK(INDEX(FX_Input,$R89,H$3*$AK89+$AL89)),H97+0.003*H91*H95,INDEX(FX_Input,$R89,H$3*$AK89+$AL89)+459.6),H97)</f>
        <v>513.90274999999997</v>
      </c>
      <c r="I98" cm="1">
        <f t="array" ref="I98">IFERROR(IF(ISBLANK(INDEX(FX_Input,$R89,I$3*$AK89+$AL89)),I97+0.003*I91*I95,INDEX(FX_Input,$R89,I$3*$AK89+$AL89)+459.6),I97)</f>
        <v>517.77025000000003</v>
      </c>
      <c r="J98" cm="1">
        <f t="array" ref="J98">IFERROR(IF(ISBLANK(INDEX(FX_Input,$R89,J$3*$AK89+$AL89)),J97+0.003*J91*J95,INDEX(FX_Input,$R89,J$3*$AK89+$AL89)+459.6),J97)</f>
        <v>521.3309999999999</v>
      </c>
      <c r="K98" cm="1">
        <f t="array" ref="K98">IFERROR(IF(ISBLANK(INDEX(FX_Input,$R89,K$3*$AK89+$AL89)),K97+0.003*K91*K95,INDEX(FX_Input,$R89,K$3*$AK89+$AL89)+459.6),K97)</f>
        <v>521.61900000000003</v>
      </c>
      <c r="L98" cm="1">
        <f t="array" ref="L98">IFERROR(IF(ISBLANK(INDEX(FX_Input,$R89,L$3*$AK89+$AL89)),L97+0.003*L91*L95,INDEX(FX_Input,$R89,L$3*$AK89+$AL89)+459.6),L97)</f>
        <v>519.09700000000009</v>
      </c>
      <c r="M98" cm="1">
        <f t="array" ref="M98">IFERROR(IF(ISBLANK(INDEX(FX_Input,$R89,M$3*$AK89+$AL89)),M97+0.003*M91*M95,INDEX(FX_Input,$R89,M$3*$AK89+$AL89)+459.6),M97)</f>
        <v>512.79600000000005</v>
      </c>
      <c r="N98" cm="1">
        <f t="array" ref="N98">IFERROR(IF(ISBLANK(INDEX(FX_Input,$R89,N$3*$AK89+$AL89)),N97+0.003*N91*N95,INDEX(FX_Input,$R89,N$3*$AK89+$AL89)+459.6),N97)</f>
        <v>506.99325000000005</v>
      </c>
      <c r="O98" cm="1">
        <f t="array" ref="O98">IFERROR(IF(ISBLANK(INDEX(FX_Input,$R89,O$3*$AK89+$AL89)),O97+0.003*O91*O95,INDEX(FX_Input,$R89,O$3*$AK89+$AL89)+459.6),O97)</f>
        <v>503.42650000000003</v>
      </c>
      <c r="P98" cm="1">
        <f t="array" ref="P98">IFERROR(IF(ISBLANK(INDEX(FX_Input,$R89,P$3*$AK89+$AL89)),P97+0.003*P91*P95,INDEX(FX_Input,$R89,P$3*$AK89+$AL89)+459.6),P97)</f>
        <v>81027.600000000006</v>
      </c>
    </row>
    <row r="99" spans="1:38" ht="17.149999999999999" x14ac:dyDescent="0.55000000000000004">
      <c r="B99" t="str">
        <f t="shared" si="239"/>
        <v>Portland</v>
      </c>
      <c r="C99" t="s">
        <v>526</v>
      </c>
      <c r="D99">
        <f>IF(ISNUMBER(D93),0.4*D89+0.6*D98+0.005*D93*D95,IF(D93="Partially Insulated",0.3*D97+0.7*D98+0.005*D92*D95,D98))-459.6</f>
        <v>42.403099999999938</v>
      </c>
      <c r="E99">
        <f t="shared" ref="E99" si="245">IF(ISNUMBER(E93),0.4*E89+0.6*E98+0.005*E93*E95,IF(E93="Partially Insulated",0.3*E97+0.7*E98+0.005*E92*E95,E98))-459.6</f>
        <v>43.080000000000041</v>
      </c>
      <c r="F99">
        <f t="shared" ref="F99" si="246">IF(ISNUMBER(F93),0.4*F89+0.6*F98+0.005*F93*F95,IF(F93="Partially Insulated",0.3*F97+0.7*F98+0.005*F92*F95,F98))-459.6</f>
        <v>44.95089999999999</v>
      </c>
      <c r="G99">
        <f t="shared" ref="G99" si="247">IF(ISNUMBER(G93),0.4*G89+0.6*G98+0.005*G93*G95,IF(G93="Partially Insulated",0.3*G97+0.7*G98+0.005*G92*G95,G98))-459.6</f>
        <v>48.048400000000015</v>
      </c>
      <c r="H99">
        <f t="shared" ref="H99" si="248">IF(ISNUMBER(H93),0.4*H89+0.6*H98+0.005*H93*H95,IF(H93="Partially Insulated",0.3*H97+0.7*H98+0.005*H92*H95,H98))-459.6</f>
        <v>53.102899999999977</v>
      </c>
      <c r="I99">
        <f t="shared" ref="I99" si="249">IF(ISNUMBER(I93),0.4*I89+0.6*I98+0.005*I93*I95,IF(I93="Partially Insulated",0.3*I97+0.7*I98+0.005*I92*I95,I98))-459.6</f>
        <v>57.215900000000033</v>
      </c>
      <c r="J99">
        <f t="shared" ref="J99" si="250">IF(ISNUMBER(J93),0.4*J89+0.6*J98+0.005*J93*J95,IF(J93="Partially Insulated",0.3*J97+0.7*J98+0.005*J92*J95,J98))-459.6</f>
        <v>60.813599999999838</v>
      </c>
      <c r="K99">
        <f t="shared" ref="K99" si="251">IF(ISNUMBER(K93),0.4*K89+0.6*K98+0.005*K93*K95,IF(K93="Partially Insulated",0.3*K97+0.7*K98+0.005*K92*K95,K98))-459.6</f>
        <v>60.716400000000021</v>
      </c>
      <c r="L99">
        <f t="shared" ref="L99" si="252">IF(ISNUMBER(L93),0.4*L89+0.6*L98+0.005*L93*L95,IF(L93="Partially Insulated",0.3*L97+0.7*L98+0.005*L92*L95,L98))-459.6</f>
        <v>57.353200000000015</v>
      </c>
      <c r="M99">
        <f t="shared" ref="M99" si="253">IF(ISNUMBER(M93),0.4*M89+0.6*M98+0.005*M93*M95,IF(M93="Partially Insulated",0.3*M97+0.7*M98+0.005*M92*M95,M98))-459.6</f>
        <v>50.947600000000079</v>
      </c>
      <c r="N99">
        <f t="shared" ref="N99" si="254">IF(ISNUMBER(N93),0.4*N89+0.6*N98+0.005*N93*N95,IF(N93="Partially Insulated",0.3*N97+0.7*N98+0.005*N92*N95,N98))-459.6</f>
        <v>45.324700000000007</v>
      </c>
      <c r="O99">
        <f t="shared" ref="O99" si="255">IF(ISNUMBER(O93),0.4*O89+0.6*O98+0.005*O93*O95,IF(O93="Partially Insulated",0.3*O97+0.7*O98+0.005*O92*O95,O98))-459.6</f>
        <v>42.113400000000013</v>
      </c>
      <c r="P99">
        <f>AVERAGE(D99:O99)</f>
        <v>50.505841666666662</v>
      </c>
    </row>
    <row r="100" spans="1:38" ht="17.149999999999999" x14ac:dyDescent="0.55000000000000004">
      <c r="B100" t="str">
        <f t="shared" si="239"/>
        <v>Portland</v>
      </c>
      <c r="C100" t="s">
        <v>527</v>
      </c>
      <c r="D100">
        <f>IF(ISNUMBER(D93),0.4*D90+0.6*D98+0.005*D93*D95,IF(D93="Partially Insulated",0.3*D97+0.7*D98+0.005*D92*D95,D98))-459.6</f>
        <v>46.563099999999963</v>
      </c>
      <c r="E100">
        <f t="shared" ref="E100:O100" si="256">IF(ISNUMBER(E93),0.4*E90+0.6*E98+0.005*E93*E95,IF(E93="Partially Insulated",0.3*E97+0.7*E98+0.005*E92*E95,E98))-459.6</f>
        <v>48.360000000000014</v>
      </c>
      <c r="F100">
        <f t="shared" si="256"/>
        <v>50.230900000000076</v>
      </c>
      <c r="G100">
        <f t="shared" si="256"/>
        <v>53.408400000000029</v>
      </c>
      <c r="H100">
        <f t="shared" si="256"/>
        <v>58.422899999999913</v>
      </c>
      <c r="I100">
        <f t="shared" si="256"/>
        <v>62.215900000000033</v>
      </c>
      <c r="J100">
        <f t="shared" si="256"/>
        <v>65.893599999999878</v>
      </c>
      <c r="K100">
        <f t="shared" si="256"/>
        <v>66.156400000000076</v>
      </c>
      <c r="L100">
        <f t="shared" si="256"/>
        <v>63.913199999999961</v>
      </c>
      <c r="M100">
        <f t="shared" si="256"/>
        <v>56.827600000000075</v>
      </c>
      <c r="N100">
        <f t="shared" si="256"/>
        <v>50.204700000000003</v>
      </c>
      <c r="O100">
        <f t="shared" si="256"/>
        <v>46.113400000000013</v>
      </c>
      <c r="P100">
        <f>AVERAGE(D100:O100)</f>
        <v>55.692508333333329</v>
      </c>
    </row>
    <row r="101" spans="1:38" ht="17.149999999999999" x14ac:dyDescent="0.55000000000000004">
      <c r="B101" t="str">
        <f t="shared" si="239"/>
        <v>Portland</v>
      </c>
      <c r="C101" t="s">
        <v>552</v>
      </c>
      <c r="D101">
        <f>IF(ISNUMBER(D93),0.4*D97+0.6*D98+0.005*D93*D95,IF(D93="Partially Insulated",0.3*D97+0.7*D98+0.005*D92*D95,D98))-459.6</f>
        <v>44.483099999999979</v>
      </c>
      <c r="E101">
        <f t="shared" ref="E101:O101" si="257">IF(ISNUMBER(E93),0.4*E97+0.6*E98+0.005*E93*E95,IF(E93="Partially Insulated",0.3*E97+0.7*E98+0.005*E92*E95,E98))-459.6</f>
        <v>45.720000000000027</v>
      </c>
      <c r="F101">
        <f t="shared" si="257"/>
        <v>47.590900000000033</v>
      </c>
      <c r="G101">
        <f t="shared" si="257"/>
        <v>50.728400000000022</v>
      </c>
      <c r="H101">
        <f t="shared" si="257"/>
        <v>55.762899999999945</v>
      </c>
      <c r="I101">
        <f t="shared" si="257"/>
        <v>59.715900000000033</v>
      </c>
      <c r="J101">
        <f t="shared" si="257"/>
        <v>63.353599999999801</v>
      </c>
      <c r="K101">
        <f t="shared" si="257"/>
        <v>63.436400000000049</v>
      </c>
      <c r="L101">
        <f t="shared" si="257"/>
        <v>60.633199999999988</v>
      </c>
      <c r="M101">
        <f t="shared" si="257"/>
        <v>53.88760000000002</v>
      </c>
      <c r="N101">
        <f t="shared" si="257"/>
        <v>47.764700000000062</v>
      </c>
      <c r="O101">
        <f t="shared" si="257"/>
        <v>44.113400000000013</v>
      </c>
      <c r="P101">
        <f>AVERAGE(D101:O101)</f>
        <v>53.099175000000002</v>
      </c>
    </row>
    <row r="102" spans="1:38" ht="17.149999999999999" x14ac:dyDescent="0.55000000000000004">
      <c r="A102" s="11"/>
      <c r="B102" s="11" t="str">
        <f t="shared" si="239"/>
        <v>Portland</v>
      </c>
      <c r="C102" s="11" t="s">
        <v>553</v>
      </c>
      <c r="D102" s="11">
        <f>IF(ISNUMBER(D93),0.7*D97+0.3*D98+0.009*D93*D95,IF(D93="Partially Insulated",0.6*D97+0.4*D98+0.01*D92*D95,D98))-459.6</f>
        <v>44.748924999999986</v>
      </c>
      <c r="E102" s="11">
        <f t="shared" ref="E102:O102" si="258">IF(ISNUMBER(E93),0.7*E97+0.3*E98+0.009*E93*E95,IF(E93="Partially Insulated",0.6*E97+0.4*E98+0.01*E92*E95,E98))-459.6</f>
        <v>46.185000000000059</v>
      </c>
      <c r="F102" s="11">
        <f t="shared" si="258"/>
        <v>48.270575000000008</v>
      </c>
      <c r="G102" s="11">
        <f t="shared" si="258"/>
        <v>51.698699999999917</v>
      </c>
      <c r="H102" s="11">
        <f t="shared" si="258"/>
        <v>56.954074999999875</v>
      </c>
      <c r="I102" s="11">
        <f t="shared" si="258"/>
        <v>60.976825000000076</v>
      </c>
      <c r="J102" s="11">
        <f t="shared" si="258"/>
        <v>64.677299999999832</v>
      </c>
      <c r="K102" s="11">
        <f t="shared" si="258"/>
        <v>64.592699999999923</v>
      </c>
      <c r="L102" s="11">
        <f t="shared" si="258"/>
        <v>61.560100000000034</v>
      </c>
      <c r="M102" s="11">
        <f t="shared" si="258"/>
        <v>54.451800000000048</v>
      </c>
      <c r="N102" s="11">
        <f t="shared" si="258"/>
        <v>48.067724999999996</v>
      </c>
      <c r="O102" s="11">
        <f t="shared" si="258"/>
        <v>44.347450000000038</v>
      </c>
      <c r="P102" s="11">
        <f>AVERAGE(D102:O102)</f>
        <v>53.877597916666652</v>
      </c>
      <c r="Q102" s="11"/>
      <c r="R102" s="11"/>
      <c r="S102" s="11"/>
      <c r="T102" s="11"/>
      <c r="U102" s="11"/>
      <c r="V102" s="11"/>
      <c r="W102" s="11"/>
      <c r="X102" s="11"/>
      <c r="Y102" s="11"/>
      <c r="Z102" s="11"/>
      <c r="AA102" s="11"/>
      <c r="AB102" s="11"/>
      <c r="AC102" s="11"/>
      <c r="AD102" s="11"/>
      <c r="AE102" s="11"/>
      <c r="AF102" s="11"/>
      <c r="AG102" s="11"/>
      <c r="AH102" s="11"/>
      <c r="AI102" s="11"/>
      <c r="AJ102" s="11"/>
      <c r="AK102" s="11"/>
      <c r="AL102" s="11"/>
    </row>
    <row r="103" spans="1:38" ht="17.149999999999999" x14ac:dyDescent="0.55000000000000004">
      <c r="A103" t="str" cm="1">
        <f t="array" ref="A103">INDEX(FX_Input,$R103,S$5)</f>
        <v>FX - 8</v>
      </c>
      <c r="B103" t="str" cm="1">
        <f t="array" ref="B103">INDEX(FX_Input,R103,T103)</f>
        <v>Portland</v>
      </c>
      <c r="C103" t="s">
        <v>510</v>
      </c>
      <c r="D103">
        <f t="shared" ref="D103:O104" si="259">VLOOKUP(VLOOKUP($B103,Terminal_X_Ref,2,FALSE)&amp;$C103,Weather_Data,$Y103*D$3+$Z103,FALSE)+459.6</f>
        <v>498.3</v>
      </c>
      <c r="E103">
        <f t="shared" si="259"/>
        <v>497.70000000000005</v>
      </c>
      <c r="F103">
        <f t="shared" si="259"/>
        <v>499.1</v>
      </c>
      <c r="G103">
        <f t="shared" si="259"/>
        <v>501.5</v>
      </c>
      <c r="H103">
        <f t="shared" si="259"/>
        <v>506.1</v>
      </c>
      <c r="I103">
        <f t="shared" si="259"/>
        <v>510.3</v>
      </c>
      <c r="J103">
        <f t="shared" si="259"/>
        <v>513.70000000000005</v>
      </c>
      <c r="K103">
        <f t="shared" si="259"/>
        <v>513.70000000000005</v>
      </c>
      <c r="L103">
        <f t="shared" si="259"/>
        <v>510</v>
      </c>
      <c r="M103">
        <f t="shared" si="259"/>
        <v>504.90000000000003</v>
      </c>
      <c r="N103">
        <f t="shared" si="259"/>
        <v>500.6</v>
      </c>
      <c r="O103">
        <f t="shared" si="259"/>
        <v>498.20000000000005</v>
      </c>
      <c r="P103">
        <f t="shared" ref="P103:P104" si="260">VLOOKUP(VLOOKUP($B103,Terminal_X_Ref,2,FALSE)&amp;$C103,Weather_Data,$Y103*P$3+$Z103,FALSE)</f>
        <v>44.9</v>
      </c>
      <c r="R103">
        <f>R89+2</f>
        <v>15</v>
      </c>
      <c r="S103">
        <f>S89+1</f>
        <v>8</v>
      </c>
      <c r="T103">
        <v>3</v>
      </c>
      <c r="U103">
        <v>2</v>
      </c>
      <c r="V103">
        <v>3</v>
      </c>
      <c r="W103">
        <v>1</v>
      </c>
      <c r="X103">
        <v>2</v>
      </c>
      <c r="Y103">
        <f>(V103-U103)/(X103-W103)</f>
        <v>1</v>
      </c>
      <c r="Z103">
        <f>U103-Y103*W103</f>
        <v>1</v>
      </c>
      <c r="AA103">
        <f>AA89+1</f>
        <v>8</v>
      </c>
      <c r="AB103">
        <v>6</v>
      </c>
      <c r="AC103">
        <v>3</v>
      </c>
      <c r="AD103">
        <v>13</v>
      </c>
      <c r="AE103">
        <v>12</v>
      </c>
      <c r="AF103">
        <v>14</v>
      </c>
      <c r="AG103">
        <v>77</v>
      </c>
      <c r="AH103">
        <v>78</v>
      </c>
      <c r="AI103">
        <v>1</v>
      </c>
      <c r="AJ103">
        <v>2</v>
      </c>
      <c r="AK103">
        <f>(AH103-AG103)/(AJ103-AI103)</f>
        <v>1</v>
      </c>
      <c r="AL103">
        <f>AG103-AK103*AI103</f>
        <v>76</v>
      </c>
    </row>
    <row r="104" spans="1:38" ht="17.149999999999999" x14ac:dyDescent="0.55000000000000004">
      <c r="B104" t="str">
        <f t="shared" ref="B104" si="261">B103</f>
        <v>Portland</v>
      </c>
      <c r="C104" t="s">
        <v>511</v>
      </c>
      <c r="D104">
        <f t="shared" si="259"/>
        <v>508.70000000000005</v>
      </c>
      <c r="E104">
        <f t="shared" si="259"/>
        <v>510.90000000000003</v>
      </c>
      <c r="F104">
        <f t="shared" si="259"/>
        <v>512.30000000000007</v>
      </c>
      <c r="G104">
        <f t="shared" si="259"/>
        <v>514.9</v>
      </c>
      <c r="H104">
        <f t="shared" si="259"/>
        <v>519.4</v>
      </c>
      <c r="I104">
        <f t="shared" si="259"/>
        <v>522.80000000000007</v>
      </c>
      <c r="J104">
        <f t="shared" si="259"/>
        <v>526.4</v>
      </c>
      <c r="K104">
        <f t="shared" si="259"/>
        <v>527.30000000000007</v>
      </c>
      <c r="L104">
        <f t="shared" si="259"/>
        <v>526.4</v>
      </c>
      <c r="M104">
        <f t="shared" si="259"/>
        <v>519.6</v>
      </c>
      <c r="N104">
        <f t="shared" si="259"/>
        <v>512.80000000000007</v>
      </c>
      <c r="O104">
        <f t="shared" si="259"/>
        <v>508.20000000000005</v>
      </c>
      <c r="P104">
        <f t="shared" si="260"/>
        <v>57.9</v>
      </c>
      <c r="U104">
        <f>U103</f>
        <v>2</v>
      </c>
      <c r="V104">
        <f t="shared" ref="V104:Z104" si="262">V103</f>
        <v>3</v>
      </c>
      <c r="W104">
        <f t="shared" si="262"/>
        <v>1</v>
      </c>
      <c r="X104">
        <f t="shared" si="262"/>
        <v>2</v>
      </c>
      <c r="Y104">
        <f t="shared" si="262"/>
        <v>1</v>
      </c>
      <c r="Z104">
        <f t="shared" si="262"/>
        <v>1</v>
      </c>
      <c r="AA104">
        <f>AA103</f>
        <v>8</v>
      </c>
      <c r="AB104">
        <f t="shared" ref="AB104:AB107" si="263">AB103</f>
        <v>6</v>
      </c>
      <c r="AC104">
        <f t="shared" ref="AC104:AF107" si="264">AC103</f>
        <v>3</v>
      </c>
      <c r="AD104">
        <f t="shared" si="264"/>
        <v>13</v>
      </c>
      <c r="AE104">
        <f t="shared" si="264"/>
        <v>12</v>
      </c>
      <c r="AF104">
        <f t="shared" si="264"/>
        <v>14</v>
      </c>
      <c r="AG104">
        <f t="shared" ref="AG104:AG107" si="265">AG103</f>
        <v>77</v>
      </c>
      <c r="AH104">
        <f t="shared" ref="AH104:AH107" si="266">AH103</f>
        <v>78</v>
      </c>
      <c r="AI104">
        <f t="shared" ref="AI104:AI107" si="267">AI103</f>
        <v>1</v>
      </c>
      <c r="AJ104">
        <f t="shared" ref="AJ104:AJ107" si="268">AJ103</f>
        <v>2</v>
      </c>
      <c r="AK104">
        <f t="shared" ref="AK104:AK107" si="269">AK103</f>
        <v>1</v>
      </c>
      <c r="AL104">
        <f t="shared" ref="AL104:AL107" si="270">AL103</f>
        <v>76</v>
      </c>
    </row>
    <row r="105" spans="1:38" ht="17.149999999999999" x14ac:dyDescent="0.4">
      <c r="B105" t="str">
        <f>B104</f>
        <v>Portland</v>
      </c>
      <c r="C105" s="66" t="s">
        <v>514</v>
      </c>
      <c r="D105" cm="1">
        <f t="array" ref="D105">INDEX(FX_Calcs,$AA105,$AE105)</f>
        <v>0.25</v>
      </c>
      <c r="E105" cm="1">
        <f t="array" ref="E105">INDEX(FX_Calcs,$AA105,$AE105)</f>
        <v>0.25</v>
      </c>
      <c r="F105" cm="1">
        <f t="array" ref="F105">INDEX(FX_Calcs,$AA105,$AE105)</f>
        <v>0.25</v>
      </c>
      <c r="G105" cm="1">
        <f t="array" ref="G105">INDEX(FX_Calcs,$AA105,$AE105)</f>
        <v>0.25</v>
      </c>
      <c r="H105" cm="1">
        <f t="array" ref="H105">INDEX(FX_Calcs,$AA105,$AE105)</f>
        <v>0.25</v>
      </c>
      <c r="I105" cm="1">
        <f t="array" ref="I105">INDEX(FX_Calcs,$AA105,$AE105)</f>
        <v>0.25</v>
      </c>
      <c r="J105" cm="1">
        <f t="array" ref="J105">INDEX(FX_Calcs,$AA105,$AE105)</f>
        <v>0.25</v>
      </c>
      <c r="K105" cm="1">
        <f t="array" ref="K105">INDEX(FX_Calcs,$AA105,$AE105)</f>
        <v>0.25</v>
      </c>
      <c r="L105" cm="1">
        <f t="array" ref="L105">INDEX(FX_Calcs,$AA105,$AE105)</f>
        <v>0.25</v>
      </c>
      <c r="M105" cm="1">
        <f t="array" ref="M105">INDEX(FX_Calcs,$AA105,$AE105)</f>
        <v>0.25</v>
      </c>
      <c r="N105" cm="1">
        <f t="array" ref="N105">INDEX(FX_Calcs,$AA105,$AE105)</f>
        <v>0.25</v>
      </c>
      <c r="O105" cm="1">
        <f t="array" ref="O105">INDEX(FX_Calcs,$AA105,$AE105)</f>
        <v>0.25</v>
      </c>
      <c r="P105" cm="1">
        <f t="array" ref="P105">INDEX(FX_Calcs,$AA105,$AE105)</f>
        <v>0.25</v>
      </c>
      <c r="AA105">
        <f>AA104</f>
        <v>8</v>
      </c>
      <c r="AB105">
        <f t="shared" si="263"/>
        <v>6</v>
      </c>
      <c r="AC105">
        <f t="shared" si="264"/>
        <v>3</v>
      </c>
      <c r="AD105">
        <f t="shared" si="264"/>
        <v>13</v>
      </c>
      <c r="AE105">
        <f t="shared" si="264"/>
        <v>12</v>
      </c>
      <c r="AF105">
        <f t="shared" si="264"/>
        <v>14</v>
      </c>
      <c r="AG105">
        <f t="shared" si="265"/>
        <v>77</v>
      </c>
      <c r="AH105">
        <f t="shared" si="266"/>
        <v>78</v>
      </c>
      <c r="AI105">
        <f t="shared" si="267"/>
        <v>1</v>
      </c>
      <c r="AJ105">
        <f t="shared" si="268"/>
        <v>2</v>
      </c>
      <c r="AK105">
        <f t="shared" si="269"/>
        <v>1</v>
      </c>
      <c r="AL105">
        <f t="shared" si="270"/>
        <v>76</v>
      </c>
    </row>
    <row r="106" spans="1:38" ht="17.149999999999999" x14ac:dyDescent="0.4">
      <c r="B106" t="str">
        <f t="shared" ref="B106:B107" si="271">B105</f>
        <v>Portland</v>
      </c>
      <c r="C106" s="66" t="s">
        <v>513</v>
      </c>
      <c r="D106" cm="1">
        <f t="array" ref="D106">INDEX(FX_Calcs,$AA106,$AD106)</f>
        <v>0.25</v>
      </c>
      <c r="E106" cm="1">
        <f t="array" ref="E106">INDEX(FX_Calcs,$AA106,$AD106)</f>
        <v>0.25</v>
      </c>
      <c r="F106" cm="1">
        <f t="array" ref="F106">INDEX(FX_Calcs,$AA106,$AD106)</f>
        <v>0.25</v>
      </c>
      <c r="G106" cm="1">
        <f t="array" ref="G106">INDEX(FX_Calcs,$AA106,$AD106)</f>
        <v>0.25</v>
      </c>
      <c r="H106" cm="1">
        <f t="array" ref="H106">INDEX(FX_Calcs,$AA106,$AD106)</f>
        <v>0.25</v>
      </c>
      <c r="I106" cm="1">
        <f t="array" ref="I106">INDEX(FX_Calcs,$AA106,$AD106)</f>
        <v>0.25</v>
      </c>
      <c r="J106" cm="1">
        <f t="array" ref="J106">INDEX(FX_Calcs,$AA106,$AD106)</f>
        <v>0.25</v>
      </c>
      <c r="K106" cm="1">
        <f t="array" ref="K106">INDEX(FX_Calcs,$AA106,$AD106)</f>
        <v>0.25</v>
      </c>
      <c r="L106" cm="1">
        <f t="array" ref="L106">INDEX(FX_Calcs,$AA106,$AD106)</f>
        <v>0.25</v>
      </c>
      <c r="M106" cm="1">
        <f t="array" ref="M106">INDEX(FX_Calcs,$AA106,$AD106)</f>
        <v>0.25</v>
      </c>
      <c r="N106" cm="1">
        <f t="array" ref="N106">INDEX(FX_Calcs,$AA106,$AD106)</f>
        <v>0.25</v>
      </c>
      <c r="O106" cm="1">
        <f t="array" ref="O106">INDEX(FX_Calcs,$AA106,$AD106)</f>
        <v>0.25</v>
      </c>
      <c r="P106" cm="1">
        <f t="array" ref="P106">INDEX(FX_Calcs,$AA106,$AD106)</f>
        <v>0.25</v>
      </c>
      <c r="AA106">
        <f>AA105</f>
        <v>8</v>
      </c>
      <c r="AB106">
        <f t="shared" si="263"/>
        <v>6</v>
      </c>
      <c r="AC106">
        <f t="shared" si="264"/>
        <v>3</v>
      </c>
      <c r="AD106">
        <f t="shared" si="264"/>
        <v>13</v>
      </c>
      <c r="AE106">
        <f t="shared" si="264"/>
        <v>12</v>
      </c>
      <c r="AF106">
        <f t="shared" si="264"/>
        <v>14</v>
      </c>
      <c r="AG106">
        <f t="shared" si="265"/>
        <v>77</v>
      </c>
      <c r="AH106">
        <f t="shared" si="266"/>
        <v>78</v>
      </c>
      <c r="AI106">
        <f t="shared" si="267"/>
        <v>1</v>
      </c>
      <c r="AJ106">
        <f t="shared" si="268"/>
        <v>2</v>
      </c>
      <c r="AK106">
        <f t="shared" si="269"/>
        <v>1</v>
      </c>
      <c r="AL106">
        <f t="shared" si="270"/>
        <v>76</v>
      </c>
    </row>
    <row r="107" spans="1:38" x14ac:dyDescent="0.4">
      <c r="B107" t="str">
        <f t="shared" si="271"/>
        <v>Portland</v>
      </c>
      <c r="C107" s="66" t="s">
        <v>558</v>
      </c>
      <c r="D107" cm="1">
        <f t="array" ref="D107">INDEX(FX_Calcs,$AA107,$AF107)</f>
        <v>0.25</v>
      </c>
      <c r="E107" cm="1">
        <f t="array" ref="E107">INDEX(FX_Calcs,$AA107,$AF107)</f>
        <v>0.25</v>
      </c>
      <c r="F107" cm="1">
        <f t="array" ref="F107">INDEX(FX_Calcs,$AA107,$AF107)</f>
        <v>0.25</v>
      </c>
      <c r="G107" cm="1">
        <f t="array" ref="G107">INDEX(FX_Calcs,$AA107,$AF107)</f>
        <v>0.25</v>
      </c>
      <c r="H107" cm="1">
        <f t="array" ref="H107">INDEX(FX_Calcs,$AA107,$AF107)</f>
        <v>0.25</v>
      </c>
      <c r="I107" cm="1">
        <f t="array" ref="I107">INDEX(FX_Calcs,$AA107,$AF107)</f>
        <v>0.25</v>
      </c>
      <c r="J107" cm="1">
        <f t="array" ref="J107">INDEX(FX_Calcs,$AA107,$AF107)</f>
        <v>0.25</v>
      </c>
      <c r="K107" cm="1">
        <f t="array" ref="K107">INDEX(FX_Calcs,$AA107,$AF107)</f>
        <v>0.25</v>
      </c>
      <c r="L107" cm="1">
        <f t="array" ref="L107">INDEX(FX_Calcs,$AA107,$AF107)</f>
        <v>0.25</v>
      </c>
      <c r="M107" cm="1">
        <f t="array" ref="M107">INDEX(FX_Calcs,$AA107,$AF107)</f>
        <v>0.25</v>
      </c>
      <c r="N107" cm="1">
        <f t="array" ref="N107">INDEX(FX_Calcs,$AA107,$AF107)</f>
        <v>0.25</v>
      </c>
      <c r="O107" cm="1">
        <f t="array" ref="O107">INDEX(FX_Calcs,$AA107,$AF107)</f>
        <v>0.25</v>
      </c>
      <c r="P107" cm="1">
        <f t="array" ref="P107">INDEX(FX_Calcs,$AA107,$AF107)</f>
        <v>0.25</v>
      </c>
      <c r="AA107">
        <f>AA106</f>
        <v>8</v>
      </c>
      <c r="AB107">
        <f t="shared" si="263"/>
        <v>6</v>
      </c>
      <c r="AC107">
        <f t="shared" si="264"/>
        <v>3</v>
      </c>
      <c r="AD107">
        <f t="shared" si="264"/>
        <v>13</v>
      </c>
      <c r="AE107">
        <f t="shared" si="264"/>
        <v>12</v>
      </c>
      <c r="AF107">
        <f t="shared" si="264"/>
        <v>14</v>
      </c>
      <c r="AG107">
        <f t="shared" si="265"/>
        <v>77</v>
      </c>
      <c r="AH107">
        <f t="shared" si="266"/>
        <v>78</v>
      </c>
      <c r="AI107">
        <f t="shared" si="267"/>
        <v>1</v>
      </c>
      <c r="AJ107">
        <f t="shared" si="268"/>
        <v>2</v>
      </c>
      <c r="AK107">
        <f t="shared" si="269"/>
        <v>1</v>
      </c>
      <c r="AL107">
        <f t="shared" si="270"/>
        <v>76</v>
      </c>
    </row>
    <row r="108" spans="1:38" ht="17.149999999999999" x14ac:dyDescent="0.55000000000000004">
      <c r="B108" t="str">
        <f>B104</f>
        <v>Portland</v>
      </c>
      <c r="C108" t="s">
        <v>512</v>
      </c>
      <c r="D108">
        <f t="shared" ref="D108:P108" si="272">D104-D103</f>
        <v>10.400000000000034</v>
      </c>
      <c r="E108">
        <f t="shared" si="272"/>
        <v>13.199999999999989</v>
      </c>
      <c r="F108">
        <f t="shared" si="272"/>
        <v>13.200000000000045</v>
      </c>
      <c r="G108">
        <f t="shared" si="272"/>
        <v>13.399999999999977</v>
      </c>
      <c r="H108">
        <f t="shared" si="272"/>
        <v>13.299999999999955</v>
      </c>
      <c r="I108">
        <f t="shared" si="272"/>
        <v>12.500000000000057</v>
      </c>
      <c r="J108">
        <f t="shared" si="272"/>
        <v>12.699999999999932</v>
      </c>
      <c r="K108">
        <f t="shared" si="272"/>
        <v>13.600000000000023</v>
      </c>
      <c r="L108">
        <f t="shared" si="272"/>
        <v>16.399999999999977</v>
      </c>
      <c r="M108">
        <f t="shared" si="272"/>
        <v>14.699999999999989</v>
      </c>
      <c r="N108">
        <f t="shared" si="272"/>
        <v>12.200000000000045</v>
      </c>
      <c r="O108">
        <f t="shared" si="272"/>
        <v>10</v>
      </c>
      <c r="P108">
        <f t="shared" si="272"/>
        <v>13</v>
      </c>
    </row>
    <row r="109" spans="1:38" x14ac:dyDescent="0.4">
      <c r="B109" t="str">
        <f t="shared" ref="B109:B116" si="273">B108</f>
        <v>Portland</v>
      </c>
      <c r="C109" t="s">
        <v>260</v>
      </c>
      <c r="D109">
        <f t="shared" ref="D109:P109" si="274">VLOOKUP(VLOOKUP($B109,Terminal_X_Ref,2,FALSE)&amp;$C109,Weather_Data,$Y109*D$3+$Z109,FALSE)</f>
        <v>343</v>
      </c>
      <c r="E109">
        <f t="shared" si="274"/>
        <v>600</v>
      </c>
      <c r="F109">
        <f t="shared" si="274"/>
        <v>877</v>
      </c>
      <c r="G109">
        <f t="shared" si="274"/>
        <v>1252</v>
      </c>
      <c r="H109">
        <f t="shared" si="274"/>
        <v>1537</v>
      </c>
      <c r="I109">
        <f t="shared" si="274"/>
        <v>1627</v>
      </c>
      <c r="J109">
        <f t="shared" si="274"/>
        <v>1708</v>
      </c>
      <c r="K109">
        <f t="shared" si="274"/>
        <v>1492</v>
      </c>
      <c r="L109">
        <f t="shared" si="274"/>
        <v>1196</v>
      </c>
      <c r="M109">
        <f t="shared" si="274"/>
        <v>728</v>
      </c>
      <c r="N109">
        <f t="shared" si="274"/>
        <v>391</v>
      </c>
      <c r="O109">
        <f t="shared" si="274"/>
        <v>302</v>
      </c>
      <c r="P109">
        <f t="shared" si="274"/>
        <v>1005</v>
      </c>
      <c r="U109">
        <f>U104</f>
        <v>2</v>
      </c>
      <c r="V109">
        <f t="shared" ref="V109:Z109" si="275">V104</f>
        <v>3</v>
      </c>
      <c r="W109">
        <f t="shared" si="275"/>
        <v>1</v>
      </c>
      <c r="X109">
        <f t="shared" si="275"/>
        <v>2</v>
      </c>
      <c r="Y109">
        <f t="shared" si="275"/>
        <v>1</v>
      </c>
      <c r="Z109">
        <f t="shared" si="275"/>
        <v>1</v>
      </c>
    </row>
    <row r="110" spans="1:38" ht="17.149999999999999" x14ac:dyDescent="0.55000000000000004">
      <c r="B110" t="str">
        <f t="shared" si="273"/>
        <v>Portland</v>
      </c>
      <c r="C110" t="s">
        <v>523</v>
      </c>
      <c r="D110">
        <f>IF(ISNUMBER(D107),0.7*D108+0.02*D107*D109,IF(D107="Partially Insulated",0.6*D108+0.02*D106*D109,0))</f>
        <v>8.9950000000000241</v>
      </c>
      <c r="E110">
        <f t="shared" ref="E110:P110" si="276">IF(ISNUMBER(E107),0.7*E108+0.02*E107*E109,IF(E107="Partially Insulated",0.6*E108+0.02*E106*E109,0))</f>
        <v>12.239999999999991</v>
      </c>
      <c r="F110">
        <f t="shared" si="276"/>
        <v>13.62500000000003</v>
      </c>
      <c r="G110">
        <f t="shared" si="276"/>
        <v>15.639999999999983</v>
      </c>
      <c r="H110">
        <f t="shared" si="276"/>
        <v>16.994999999999969</v>
      </c>
      <c r="I110">
        <f t="shared" si="276"/>
        <v>16.885000000000041</v>
      </c>
      <c r="J110">
        <f t="shared" si="276"/>
        <v>17.42999999999995</v>
      </c>
      <c r="K110">
        <f t="shared" si="276"/>
        <v>16.980000000000015</v>
      </c>
      <c r="L110">
        <f t="shared" si="276"/>
        <v>17.459999999999983</v>
      </c>
      <c r="M110">
        <f t="shared" si="276"/>
        <v>13.929999999999993</v>
      </c>
      <c r="N110">
        <f t="shared" si="276"/>
        <v>10.495000000000031</v>
      </c>
      <c r="O110">
        <f t="shared" si="276"/>
        <v>8.51</v>
      </c>
      <c r="P110">
        <f t="shared" si="276"/>
        <v>14.125</v>
      </c>
    </row>
    <row r="111" spans="1:38" ht="17.149999999999999" x14ac:dyDescent="0.55000000000000004">
      <c r="B111" t="str">
        <f t="shared" si="273"/>
        <v>Portland</v>
      </c>
      <c r="C111" t="s">
        <v>524</v>
      </c>
      <c r="D111">
        <f t="shared" ref="D111:F111" si="277">AVERAGE(D103:D104)</f>
        <v>503.5</v>
      </c>
      <c r="E111">
        <f t="shared" si="277"/>
        <v>504.30000000000007</v>
      </c>
      <c r="F111">
        <f t="shared" si="277"/>
        <v>505.70000000000005</v>
      </c>
      <c r="G111">
        <f>AVERAGE(G103:G104)</f>
        <v>508.2</v>
      </c>
      <c r="H111">
        <f t="shared" ref="H111:P111" si="278">AVERAGE(H103:H104)</f>
        <v>512.75</v>
      </c>
      <c r="I111">
        <f t="shared" si="278"/>
        <v>516.55000000000007</v>
      </c>
      <c r="J111">
        <f t="shared" si="278"/>
        <v>520.04999999999995</v>
      </c>
      <c r="K111">
        <f t="shared" si="278"/>
        <v>520.5</v>
      </c>
      <c r="L111">
        <f t="shared" si="278"/>
        <v>518.20000000000005</v>
      </c>
      <c r="M111">
        <f t="shared" si="278"/>
        <v>512.25</v>
      </c>
      <c r="N111">
        <f t="shared" si="278"/>
        <v>506.70000000000005</v>
      </c>
      <c r="O111">
        <f t="shared" si="278"/>
        <v>503.20000000000005</v>
      </c>
      <c r="P111">
        <f t="shared" si="278"/>
        <v>51.4</v>
      </c>
    </row>
    <row r="112" spans="1:38" ht="17.149999999999999" x14ac:dyDescent="0.55000000000000004">
      <c r="B112" t="str">
        <f t="shared" si="273"/>
        <v>Portland</v>
      </c>
      <c r="C112" t="s">
        <v>525</v>
      </c>
      <c r="D112" cm="1">
        <f t="array" ref="D112">IFERROR(IF(ISBLANK(INDEX(FX_Input,$R103,D$3*$AK103+$AL103)),D111+0.003*D105*D109,INDEX(FX_Input,$R103,D$3*$AK103+$AL103)+459.6),D111)</f>
        <v>503.75725</v>
      </c>
      <c r="E112" cm="1">
        <f t="array" ref="E112">IFERROR(IF(ISBLANK(INDEX(FX_Input,$R103,E$3*$AK103+$AL103)),E111+0.003*E105*E109,INDEX(FX_Input,$R103,E$3*$AK103+$AL103)+459.6),E111)</f>
        <v>504.75000000000006</v>
      </c>
      <c r="F112" cm="1">
        <f t="array" ref="F112">IFERROR(IF(ISBLANK(INDEX(FX_Input,$R103,F$3*$AK103+$AL103)),F111+0.003*F105*F109,INDEX(FX_Input,$R103,F$3*$AK103+$AL103)+459.6),F111)</f>
        <v>506.35775000000007</v>
      </c>
      <c r="G112" cm="1">
        <f t="array" ref="G112">IFERROR(IF(ISBLANK(INDEX(FX_Input,$R103,G$3*$AK103+$AL103)),G111+0.003*G105*G109,INDEX(FX_Input,$R103,G$3*$AK103+$AL103)+459.6),G111)</f>
        <v>509.13900000000001</v>
      </c>
      <c r="H112" cm="1">
        <f t="array" ref="H112">IFERROR(IF(ISBLANK(INDEX(FX_Input,$R103,H$3*$AK103+$AL103)),H111+0.003*H105*H109,INDEX(FX_Input,$R103,H$3*$AK103+$AL103)+459.6),H111)</f>
        <v>513.90274999999997</v>
      </c>
      <c r="I112" cm="1">
        <f t="array" ref="I112">IFERROR(IF(ISBLANK(INDEX(FX_Input,$R103,I$3*$AK103+$AL103)),I111+0.003*I105*I109,INDEX(FX_Input,$R103,I$3*$AK103+$AL103)+459.6),I111)</f>
        <v>517.77025000000003</v>
      </c>
      <c r="J112" cm="1">
        <f t="array" ref="J112">IFERROR(IF(ISBLANK(INDEX(FX_Input,$R103,J$3*$AK103+$AL103)),J111+0.003*J105*J109,INDEX(FX_Input,$R103,J$3*$AK103+$AL103)+459.6),J111)</f>
        <v>521.3309999999999</v>
      </c>
      <c r="K112" cm="1">
        <f t="array" ref="K112">IFERROR(IF(ISBLANK(INDEX(FX_Input,$R103,K$3*$AK103+$AL103)),K111+0.003*K105*K109,INDEX(FX_Input,$R103,K$3*$AK103+$AL103)+459.6),K111)</f>
        <v>521.61900000000003</v>
      </c>
      <c r="L112" cm="1">
        <f t="array" ref="L112">IFERROR(IF(ISBLANK(INDEX(FX_Input,$R103,L$3*$AK103+$AL103)),L111+0.003*L105*L109,INDEX(FX_Input,$R103,L$3*$AK103+$AL103)+459.6),L111)</f>
        <v>519.09700000000009</v>
      </c>
      <c r="M112" cm="1">
        <f t="array" ref="M112">IFERROR(IF(ISBLANK(INDEX(FX_Input,$R103,M$3*$AK103+$AL103)),M111+0.003*M105*M109,INDEX(FX_Input,$R103,M$3*$AK103+$AL103)+459.6),M111)</f>
        <v>512.79600000000005</v>
      </c>
      <c r="N112" cm="1">
        <f t="array" ref="N112">IFERROR(IF(ISBLANK(INDEX(FX_Input,$R103,N$3*$AK103+$AL103)),N111+0.003*N105*N109,INDEX(FX_Input,$R103,N$3*$AK103+$AL103)+459.6),N111)</f>
        <v>506.99325000000005</v>
      </c>
      <c r="O112" cm="1">
        <f t="array" ref="O112">IFERROR(IF(ISBLANK(INDEX(FX_Input,$R103,O$3*$AK103+$AL103)),O111+0.003*O105*O109,INDEX(FX_Input,$R103,O$3*$AK103+$AL103)+459.6),O111)</f>
        <v>503.42650000000003</v>
      </c>
      <c r="P112" cm="1">
        <f t="array" ref="P112">IFERROR(IF(ISBLANK(INDEX(FX_Input,$R103,P$3*$AK103+$AL103)),P111+0.003*P105*P109,INDEX(FX_Input,$R103,P$3*$AK103+$AL103)+459.6),P111)</f>
        <v>81027.600000000006</v>
      </c>
    </row>
    <row r="113" spans="1:38" ht="17.149999999999999" x14ac:dyDescent="0.55000000000000004">
      <c r="B113" t="str">
        <f t="shared" si="273"/>
        <v>Portland</v>
      </c>
      <c r="C113" t="s">
        <v>526</v>
      </c>
      <c r="D113">
        <f>IF(ISNUMBER(D107),0.4*D103+0.6*D112+0.005*D107*D109,IF(D107="Partially Insulated",0.3*D111+0.7*D112+0.005*D106*D109,D112))-459.6</f>
        <v>42.403099999999938</v>
      </c>
      <c r="E113">
        <f t="shared" ref="E113" si="279">IF(ISNUMBER(E107),0.4*E103+0.6*E112+0.005*E107*E109,IF(E107="Partially Insulated",0.3*E111+0.7*E112+0.005*E106*E109,E112))-459.6</f>
        <v>43.080000000000041</v>
      </c>
      <c r="F113">
        <f t="shared" ref="F113" si="280">IF(ISNUMBER(F107),0.4*F103+0.6*F112+0.005*F107*F109,IF(F107="Partially Insulated",0.3*F111+0.7*F112+0.005*F106*F109,F112))-459.6</f>
        <v>44.95089999999999</v>
      </c>
      <c r="G113">
        <f t="shared" ref="G113" si="281">IF(ISNUMBER(G107),0.4*G103+0.6*G112+0.005*G107*G109,IF(G107="Partially Insulated",0.3*G111+0.7*G112+0.005*G106*G109,G112))-459.6</f>
        <v>48.048400000000015</v>
      </c>
      <c r="H113">
        <f t="shared" ref="H113" si="282">IF(ISNUMBER(H107),0.4*H103+0.6*H112+0.005*H107*H109,IF(H107="Partially Insulated",0.3*H111+0.7*H112+0.005*H106*H109,H112))-459.6</f>
        <v>53.102899999999977</v>
      </c>
      <c r="I113">
        <f t="shared" ref="I113" si="283">IF(ISNUMBER(I107),0.4*I103+0.6*I112+0.005*I107*I109,IF(I107="Partially Insulated",0.3*I111+0.7*I112+0.005*I106*I109,I112))-459.6</f>
        <v>57.215900000000033</v>
      </c>
      <c r="J113">
        <f t="shared" ref="J113" si="284">IF(ISNUMBER(J107),0.4*J103+0.6*J112+0.005*J107*J109,IF(J107="Partially Insulated",0.3*J111+0.7*J112+0.005*J106*J109,J112))-459.6</f>
        <v>60.813599999999838</v>
      </c>
      <c r="K113">
        <f t="shared" ref="K113" si="285">IF(ISNUMBER(K107),0.4*K103+0.6*K112+0.005*K107*K109,IF(K107="Partially Insulated",0.3*K111+0.7*K112+0.005*K106*K109,K112))-459.6</f>
        <v>60.716400000000021</v>
      </c>
      <c r="L113">
        <f t="shared" ref="L113" si="286">IF(ISNUMBER(L107),0.4*L103+0.6*L112+0.005*L107*L109,IF(L107="Partially Insulated",0.3*L111+0.7*L112+0.005*L106*L109,L112))-459.6</f>
        <v>57.353200000000015</v>
      </c>
      <c r="M113">
        <f t="shared" ref="M113" si="287">IF(ISNUMBER(M107),0.4*M103+0.6*M112+0.005*M107*M109,IF(M107="Partially Insulated",0.3*M111+0.7*M112+0.005*M106*M109,M112))-459.6</f>
        <v>50.947600000000079</v>
      </c>
      <c r="N113">
        <f t="shared" ref="N113" si="288">IF(ISNUMBER(N107),0.4*N103+0.6*N112+0.005*N107*N109,IF(N107="Partially Insulated",0.3*N111+0.7*N112+0.005*N106*N109,N112))-459.6</f>
        <v>45.324700000000007</v>
      </c>
      <c r="O113">
        <f t="shared" ref="O113" si="289">IF(ISNUMBER(O107),0.4*O103+0.6*O112+0.005*O107*O109,IF(O107="Partially Insulated",0.3*O111+0.7*O112+0.005*O106*O109,O112))-459.6</f>
        <v>42.113400000000013</v>
      </c>
      <c r="P113">
        <f>AVERAGE(D113:O113)</f>
        <v>50.505841666666662</v>
      </c>
    </row>
    <row r="114" spans="1:38" ht="17.149999999999999" x14ac:dyDescent="0.55000000000000004">
      <c r="B114" t="str">
        <f t="shared" si="273"/>
        <v>Portland</v>
      </c>
      <c r="C114" t="s">
        <v>527</v>
      </c>
      <c r="D114">
        <f>IF(ISNUMBER(D107),0.4*D104+0.6*D112+0.005*D107*D109,IF(D107="Partially Insulated",0.3*D111+0.7*D112+0.005*D106*D109,D112))-459.6</f>
        <v>46.563099999999963</v>
      </c>
      <c r="E114">
        <f t="shared" ref="E114:O114" si="290">IF(ISNUMBER(E107),0.4*E104+0.6*E112+0.005*E107*E109,IF(E107="Partially Insulated",0.3*E111+0.7*E112+0.005*E106*E109,E112))-459.6</f>
        <v>48.360000000000014</v>
      </c>
      <c r="F114">
        <f t="shared" si="290"/>
        <v>50.230900000000076</v>
      </c>
      <c r="G114">
        <f t="shared" si="290"/>
        <v>53.408400000000029</v>
      </c>
      <c r="H114">
        <f t="shared" si="290"/>
        <v>58.422899999999913</v>
      </c>
      <c r="I114">
        <f t="shared" si="290"/>
        <v>62.215900000000033</v>
      </c>
      <c r="J114">
        <f t="shared" si="290"/>
        <v>65.893599999999878</v>
      </c>
      <c r="K114">
        <f t="shared" si="290"/>
        <v>66.156400000000076</v>
      </c>
      <c r="L114">
        <f t="shared" si="290"/>
        <v>63.913199999999961</v>
      </c>
      <c r="M114">
        <f t="shared" si="290"/>
        <v>56.827600000000075</v>
      </c>
      <c r="N114">
        <f t="shared" si="290"/>
        <v>50.204700000000003</v>
      </c>
      <c r="O114">
        <f t="shared" si="290"/>
        <v>46.113400000000013</v>
      </c>
      <c r="P114">
        <f>AVERAGE(D114:O114)</f>
        <v>55.692508333333329</v>
      </c>
    </row>
    <row r="115" spans="1:38" ht="17.149999999999999" x14ac:dyDescent="0.55000000000000004">
      <c r="B115" t="str">
        <f t="shared" si="273"/>
        <v>Portland</v>
      </c>
      <c r="C115" t="s">
        <v>552</v>
      </c>
      <c r="D115">
        <f>IF(ISNUMBER(D107),0.4*D111+0.6*D112+0.005*D107*D109,IF(D107="Partially Insulated",0.3*D111+0.7*D112+0.005*D106*D109,D112))-459.6</f>
        <v>44.483099999999979</v>
      </c>
      <c r="E115">
        <f t="shared" ref="E115:O115" si="291">IF(ISNUMBER(E107),0.4*E111+0.6*E112+0.005*E107*E109,IF(E107="Partially Insulated",0.3*E111+0.7*E112+0.005*E106*E109,E112))-459.6</f>
        <v>45.720000000000027</v>
      </c>
      <c r="F115">
        <f t="shared" si="291"/>
        <v>47.590900000000033</v>
      </c>
      <c r="G115">
        <f t="shared" si="291"/>
        <v>50.728400000000022</v>
      </c>
      <c r="H115">
        <f t="shared" si="291"/>
        <v>55.762899999999945</v>
      </c>
      <c r="I115">
        <f t="shared" si="291"/>
        <v>59.715900000000033</v>
      </c>
      <c r="J115">
        <f t="shared" si="291"/>
        <v>63.353599999999801</v>
      </c>
      <c r="K115">
        <f t="shared" si="291"/>
        <v>63.436400000000049</v>
      </c>
      <c r="L115">
        <f t="shared" si="291"/>
        <v>60.633199999999988</v>
      </c>
      <c r="M115">
        <f t="shared" si="291"/>
        <v>53.88760000000002</v>
      </c>
      <c r="N115">
        <f t="shared" si="291"/>
        <v>47.764700000000062</v>
      </c>
      <c r="O115">
        <f t="shared" si="291"/>
        <v>44.113400000000013</v>
      </c>
      <c r="P115">
        <f>AVERAGE(D115:O115)</f>
        <v>53.099175000000002</v>
      </c>
    </row>
    <row r="116" spans="1:38" ht="17.149999999999999" x14ac:dyDescent="0.55000000000000004">
      <c r="A116" s="11"/>
      <c r="B116" s="11" t="str">
        <f t="shared" si="273"/>
        <v>Portland</v>
      </c>
      <c r="C116" s="11" t="s">
        <v>553</v>
      </c>
      <c r="D116" s="11">
        <f>IF(ISNUMBER(D107),0.7*D111+0.3*D112+0.009*D107*D109,IF(D107="Partially Insulated",0.6*D111+0.4*D112+0.01*D106*D109,D112))-459.6</f>
        <v>44.748924999999986</v>
      </c>
      <c r="E116" s="11">
        <f t="shared" ref="E116:O116" si="292">IF(ISNUMBER(E107),0.7*E111+0.3*E112+0.009*E107*E109,IF(E107="Partially Insulated",0.6*E111+0.4*E112+0.01*E106*E109,E112))-459.6</f>
        <v>46.185000000000059</v>
      </c>
      <c r="F116" s="11">
        <f t="shared" si="292"/>
        <v>48.270575000000008</v>
      </c>
      <c r="G116" s="11">
        <f t="shared" si="292"/>
        <v>51.698699999999917</v>
      </c>
      <c r="H116" s="11">
        <f t="shared" si="292"/>
        <v>56.954074999999875</v>
      </c>
      <c r="I116" s="11">
        <f t="shared" si="292"/>
        <v>60.976825000000076</v>
      </c>
      <c r="J116" s="11">
        <f t="shared" si="292"/>
        <v>64.677299999999832</v>
      </c>
      <c r="K116" s="11">
        <f t="shared" si="292"/>
        <v>64.592699999999923</v>
      </c>
      <c r="L116" s="11">
        <f t="shared" si="292"/>
        <v>61.560100000000034</v>
      </c>
      <c r="M116" s="11">
        <f t="shared" si="292"/>
        <v>54.451800000000048</v>
      </c>
      <c r="N116" s="11">
        <f t="shared" si="292"/>
        <v>48.067724999999996</v>
      </c>
      <c r="O116" s="11">
        <f t="shared" si="292"/>
        <v>44.347450000000038</v>
      </c>
      <c r="P116" s="11">
        <f>AVERAGE(D116:O116)</f>
        <v>53.877597916666652</v>
      </c>
      <c r="Q116" s="11"/>
      <c r="R116" s="11"/>
      <c r="S116" s="11"/>
      <c r="T116" s="11"/>
      <c r="U116" s="11"/>
      <c r="V116" s="11"/>
      <c r="W116" s="11"/>
      <c r="X116" s="11"/>
      <c r="Y116" s="11"/>
      <c r="Z116" s="11"/>
      <c r="AA116" s="11"/>
      <c r="AB116" s="11"/>
      <c r="AC116" s="11"/>
      <c r="AD116" s="11"/>
      <c r="AE116" s="11"/>
      <c r="AF116" s="11"/>
      <c r="AG116" s="11"/>
      <c r="AH116" s="11"/>
      <c r="AI116" s="11"/>
      <c r="AJ116" s="11"/>
      <c r="AK116" s="11"/>
      <c r="AL116" s="11"/>
    </row>
    <row r="117" spans="1:38" ht="17.149999999999999" x14ac:dyDescent="0.55000000000000004">
      <c r="A117" t="str" cm="1">
        <f t="array" ref="A117">INDEX(FX_Input,$R117,S$5)</f>
        <v>FX - 9</v>
      </c>
      <c r="B117" t="str" cm="1">
        <f t="array" ref="B117">INDEX(FX_Input,R117,T117)</f>
        <v>Portland</v>
      </c>
      <c r="C117" t="s">
        <v>510</v>
      </c>
      <c r="D117">
        <f t="shared" ref="D117:O118" si="293">VLOOKUP(VLOOKUP($B117,Terminal_X_Ref,2,FALSE)&amp;$C117,Weather_Data,$Y117*D$3+$Z117,FALSE)+459.6</f>
        <v>498.3</v>
      </c>
      <c r="E117">
        <f t="shared" si="293"/>
        <v>497.70000000000005</v>
      </c>
      <c r="F117">
        <f t="shared" si="293"/>
        <v>499.1</v>
      </c>
      <c r="G117">
        <f t="shared" si="293"/>
        <v>501.5</v>
      </c>
      <c r="H117">
        <f t="shared" si="293"/>
        <v>506.1</v>
      </c>
      <c r="I117">
        <f t="shared" si="293"/>
        <v>510.3</v>
      </c>
      <c r="J117">
        <f t="shared" si="293"/>
        <v>513.70000000000005</v>
      </c>
      <c r="K117">
        <f t="shared" si="293"/>
        <v>513.70000000000005</v>
      </c>
      <c r="L117">
        <f t="shared" si="293"/>
        <v>510</v>
      </c>
      <c r="M117">
        <f t="shared" si="293"/>
        <v>504.90000000000003</v>
      </c>
      <c r="N117">
        <f t="shared" si="293"/>
        <v>500.6</v>
      </c>
      <c r="O117">
        <f t="shared" si="293"/>
        <v>498.20000000000005</v>
      </c>
      <c r="P117">
        <f t="shared" ref="P117:P118" si="294">VLOOKUP(VLOOKUP($B117,Terminal_X_Ref,2,FALSE)&amp;$C117,Weather_Data,$Y117*P$3+$Z117,FALSE)</f>
        <v>44.9</v>
      </c>
      <c r="R117">
        <f>R103+2</f>
        <v>17</v>
      </c>
      <c r="S117">
        <f>S103+1</f>
        <v>9</v>
      </c>
      <c r="T117">
        <v>3</v>
      </c>
      <c r="U117">
        <v>2</v>
      </c>
      <c r="V117">
        <v>3</v>
      </c>
      <c r="W117">
        <v>1</v>
      </c>
      <c r="X117">
        <v>2</v>
      </c>
      <c r="Y117">
        <f>(V117-U117)/(X117-W117)</f>
        <v>1</v>
      </c>
      <c r="Z117">
        <f>U117-Y117*W117</f>
        <v>1</v>
      </c>
      <c r="AA117">
        <f>AA103+1</f>
        <v>9</v>
      </c>
      <c r="AB117">
        <v>6</v>
      </c>
      <c r="AC117">
        <v>3</v>
      </c>
      <c r="AD117">
        <v>13</v>
      </c>
      <c r="AE117">
        <v>12</v>
      </c>
      <c r="AF117">
        <v>14</v>
      </c>
      <c r="AG117">
        <v>77</v>
      </c>
      <c r="AH117">
        <v>78</v>
      </c>
      <c r="AI117">
        <v>1</v>
      </c>
      <c r="AJ117">
        <v>2</v>
      </c>
      <c r="AK117">
        <f>(AH117-AG117)/(AJ117-AI117)</f>
        <v>1</v>
      </c>
      <c r="AL117">
        <f>AG117-AK117*AI117</f>
        <v>76</v>
      </c>
    </row>
    <row r="118" spans="1:38" ht="17.149999999999999" x14ac:dyDescent="0.55000000000000004">
      <c r="B118" t="str">
        <f t="shared" ref="B118" si="295">B117</f>
        <v>Portland</v>
      </c>
      <c r="C118" t="s">
        <v>511</v>
      </c>
      <c r="D118">
        <f t="shared" si="293"/>
        <v>508.70000000000005</v>
      </c>
      <c r="E118">
        <f t="shared" si="293"/>
        <v>510.90000000000003</v>
      </c>
      <c r="F118">
        <f t="shared" si="293"/>
        <v>512.30000000000007</v>
      </c>
      <c r="G118">
        <f t="shared" si="293"/>
        <v>514.9</v>
      </c>
      <c r="H118">
        <f t="shared" si="293"/>
        <v>519.4</v>
      </c>
      <c r="I118">
        <f t="shared" si="293"/>
        <v>522.80000000000007</v>
      </c>
      <c r="J118">
        <f t="shared" si="293"/>
        <v>526.4</v>
      </c>
      <c r="K118">
        <f t="shared" si="293"/>
        <v>527.30000000000007</v>
      </c>
      <c r="L118">
        <f t="shared" si="293"/>
        <v>526.4</v>
      </c>
      <c r="M118">
        <f t="shared" si="293"/>
        <v>519.6</v>
      </c>
      <c r="N118">
        <f t="shared" si="293"/>
        <v>512.80000000000007</v>
      </c>
      <c r="O118">
        <f t="shared" si="293"/>
        <v>508.20000000000005</v>
      </c>
      <c r="P118">
        <f t="shared" si="294"/>
        <v>57.9</v>
      </c>
      <c r="U118">
        <f>U117</f>
        <v>2</v>
      </c>
      <c r="V118">
        <f t="shared" ref="V118:Z118" si="296">V117</f>
        <v>3</v>
      </c>
      <c r="W118">
        <f t="shared" si="296"/>
        <v>1</v>
      </c>
      <c r="X118">
        <f t="shared" si="296"/>
        <v>2</v>
      </c>
      <c r="Y118">
        <f t="shared" si="296"/>
        <v>1</v>
      </c>
      <c r="Z118">
        <f t="shared" si="296"/>
        <v>1</v>
      </c>
      <c r="AA118">
        <f>AA117</f>
        <v>9</v>
      </c>
      <c r="AB118">
        <f t="shared" ref="AB118:AB121" si="297">AB117</f>
        <v>6</v>
      </c>
      <c r="AC118">
        <f t="shared" ref="AC118:AF121" si="298">AC117</f>
        <v>3</v>
      </c>
      <c r="AD118">
        <f t="shared" si="298"/>
        <v>13</v>
      </c>
      <c r="AE118">
        <f t="shared" si="298"/>
        <v>12</v>
      </c>
      <c r="AF118">
        <f t="shared" si="298"/>
        <v>14</v>
      </c>
      <c r="AG118">
        <f t="shared" ref="AG118:AG121" si="299">AG117</f>
        <v>77</v>
      </c>
      <c r="AH118">
        <f t="shared" ref="AH118:AH121" si="300">AH117</f>
        <v>78</v>
      </c>
      <c r="AI118">
        <f t="shared" ref="AI118:AI121" si="301">AI117</f>
        <v>1</v>
      </c>
      <c r="AJ118">
        <f t="shared" ref="AJ118:AJ121" si="302">AJ117</f>
        <v>2</v>
      </c>
      <c r="AK118">
        <f t="shared" ref="AK118:AK121" si="303">AK117</f>
        <v>1</v>
      </c>
      <c r="AL118">
        <f t="shared" ref="AL118:AL121" si="304">AL117</f>
        <v>76</v>
      </c>
    </row>
    <row r="119" spans="1:38" ht="17.149999999999999" x14ac:dyDescent="0.4">
      <c r="B119" t="str">
        <f>B118</f>
        <v>Portland</v>
      </c>
      <c r="C119" s="66" t="s">
        <v>514</v>
      </c>
      <c r="D119" cm="1">
        <f t="array" ref="D119">INDEX(FX_Calcs,$AA119,$AE119)</f>
        <v>0.25</v>
      </c>
      <c r="E119" cm="1">
        <f t="array" ref="E119">INDEX(FX_Calcs,$AA119,$AE119)</f>
        <v>0.25</v>
      </c>
      <c r="F119" cm="1">
        <f t="array" ref="F119">INDEX(FX_Calcs,$AA119,$AE119)</f>
        <v>0.25</v>
      </c>
      <c r="G119" cm="1">
        <f t="array" ref="G119">INDEX(FX_Calcs,$AA119,$AE119)</f>
        <v>0.25</v>
      </c>
      <c r="H119" cm="1">
        <f t="array" ref="H119">INDEX(FX_Calcs,$AA119,$AE119)</f>
        <v>0.25</v>
      </c>
      <c r="I119" cm="1">
        <f t="array" ref="I119">INDEX(FX_Calcs,$AA119,$AE119)</f>
        <v>0.25</v>
      </c>
      <c r="J119" cm="1">
        <f t="array" ref="J119">INDEX(FX_Calcs,$AA119,$AE119)</f>
        <v>0.25</v>
      </c>
      <c r="K119" cm="1">
        <f t="array" ref="K119">INDEX(FX_Calcs,$AA119,$AE119)</f>
        <v>0.25</v>
      </c>
      <c r="L119" cm="1">
        <f t="array" ref="L119">INDEX(FX_Calcs,$AA119,$AE119)</f>
        <v>0.25</v>
      </c>
      <c r="M119" cm="1">
        <f t="array" ref="M119">INDEX(FX_Calcs,$AA119,$AE119)</f>
        <v>0.25</v>
      </c>
      <c r="N119" cm="1">
        <f t="array" ref="N119">INDEX(FX_Calcs,$AA119,$AE119)</f>
        <v>0.25</v>
      </c>
      <c r="O119" cm="1">
        <f t="array" ref="O119">INDEX(FX_Calcs,$AA119,$AE119)</f>
        <v>0.25</v>
      </c>
      <c r="P119" cm="1">
        <f t="array" ref="P119">INDEX(FX_Calcs,$AA119,$AE119)</f>
        <v>0.25</v>
      </c>
      <c r="AA119">
        <f>AA118</f>
        <v>9</v>
      </c>
      <c r="AB119">
        <f t="shared" si="297"/>
        <v>6</v>
      </c>
      <c r="AC119">
        <f t="shared" si="298"/>
        <v>3</v>
      </c>
      <c r="AD119">
        <f t="shared" si="298"/>
        <v>13</v>
      </c>
      <c r="AE119">
        <f t="shared" si="298"/>
        <v>12</v>
      </c>
      <c r="AF119">
        <f t="shared" si="298"/>
        <v>14</v>
      </c>
      <c r="AG119">
        <f t="shared" si="299"/>
        <v>77</v>
      </c>
      <c r="AH119">
        <f t="shared" si="300"/>
        <v>78</v>
      </c>
      <c r="AI119">
        <f t="shared" si="301"/>
        <v>1</v>
      </c>
      <c r="AJ119">
        <f t="shared" si="302"/>
        <v>2</v>
      </c>
      <c r="AK119">
        <f t="shared" si="303"/>
        <v>1</v>
      </c>
      <c r="AL119">
        <f t="shared" si="304"/>
        <v>76</v>
      </c>
    </row>
    <row r="120" spans="1:38" ht="17.149999999999999" x14ac:dyDescent="0.4">
      <c r="B120" t="str">
        <f t="shared" ref="B120:B121" si="305">B119</f>
        <v>Portland</v>
      </c>
      <c r="C120" s="66" t="s">
        <v>513</v>
      </c>
      <c r="D120" cm="1">
        <f t="array" ref="D120">INDEX(FX_Calcs,$AA120,$AD120)</f>
        <v>0.25</v>
      </c>
      <c r="E120" cm="1">
        <f t="array" ref="E120">INDEX(FX_Calcs,$AA120,$AD120)</f>
        <v>0.25</v>
      </c>
      <c r="F120" cm="1">
        <f t="array" ref="F120">INDEX(FX_Calcs,$AA120,$AD120)</f>
        <v>0.25</v>
      </c>
      <c r="G120" cm="1">
        <f t="array" ref="G120">INDEX(FX_Calcs,$AA120,$AD120)</f>
        <v>0.25</v>
      </c>
      <c r="H120" cm="1">
        <f t="array" ref="H120">INDEX(FX_Calcs,$AA120,$AD120)</f>
        <v>0.25</v>
      </c>
      <c r="I120" cm="1">
        <f t="array" ref="I120">INDEX(FX_Calcs,$AA120,$AD120)</f>
        <v>0.25</v>
      </c>
      <c r="J120" cm="1">
        <f t="array" ref="J120">INDEX(FX_Calcs,$AA120,$AD120)</f>
        <v>0.25</v>
      </c>
      <c r="K120" cm="1">
        <f t="array" ref="K120">INDEX(FX_Calcs,$AA120,$AD120)</f>
        <v>0.25</v>
      </c>
      <c r="L120" cm="1">
        <f t="array" ref="L120">INDEX(FX_Calcs,$AA120,$AD120)</f>
        <v>0.25</v>
      </c>
      <c r="M120" cm="1">
        <f t="array" ref="M120">INDEX(FX_Calcs,$AA120,$AD120)</f>
        <v>0.25</v>
      </c>
      <c r="N120" cm="1">
        <f t="array" ref="N120">INDEX(FX_Calcs,$AA120,$AD120)</f>
        <v>0.25</v>
      </c>
      <c r="O120" cm="1">
        <f t="array" ref="O120">INDEX(FX_Calcs,$AA120,$AD120)</f>
        <v>0.25</v>
      </c>
      <c r="P120" cm="1">
        <f t="array" ref="P120">INDEX(FX_Calcs,$AA120,$AD120)</f>
        <v>0.25</v>
      </c>
      <c r="AA120">
        <f>AA119</f>
        <v>9</v>
      </c>
      <c r="AB120">
        <f t="shared" si="297"/>
        <v>6</v>
      </c>
      <c r="AC120">
        <f t="shared" si="298"/>
        <v>3</v>
      </c>
      <c r="AD120">
        <f t="shared" si="298"/>
        <v>13</v>
      </c>
      <c r="AE120">
        <f t="shared" si="298"/>
        <v>12</v>
      </c>
      <c r="AF120">
        <f t="shared" si="298"/>
        <v>14</v>
      </c>
      <c r="AG120">
        <f t="shared" si="299"/>
        <v>77</v>
      </c>
      <c r="AH120">
        <f t="shared" si="300"/>
        <v>78</v>
      </c>
      <c r="AI120">
        <f t="shared" si="301"/>
        <v>1</v>
      </c>
      <c r="AJ120">
        <f t="shared" si="302"/>
        <v>2</v>
      </c>
      <c r="AK120">
        <f t="shared" si="303"/>
        <v>1</v>
      </c>
      <c r="AL120">
        <f t="shared" si="304"/>
        <v>76</v>
      </c>
    </row>
    <row r="121" spans="1:38" x14ac:dyDescent="0.4">
      <c r="B121" t="str">
        <f t="shared" si="305"/>
        <v>Portland</v>
      </c>
      <c r="C121" s="66" t="s">
        <v>558</v>
      </c>
      <c r="D121" cm="1">
        <f t="array" ref="D121">INDEX(FX_Calcs,$AA121,$AF121)</f>
        <v>0.25</v>
      </c>
      <c r="E121" cm="1">
        <f t="array" ref="E121">INDEX(FX_Calcs,$AA121,$AF121)</f>
        <v>0.25</v>
      </c>
      <c r="F121" cm="1">
        <f t="array" ref="F121">INDEX(FX_Calcs,$AA121,$AF121)</f>
        <v>0.25</v>
      </c>
      <c r="G121" cm="1">
        <f t="array" ref="G121">INDEX(FX_Calcs,$AA121,$AF121)</f>
        <v>0.25</v>
      </c>
      <c r="H121" cm="1">
        <f t="array" ref="H121">INDEX(FX_Calcs,$AA121,$AF121)</f>
        <v>0.25</v>
      </c>
      <c r="I121" cm="1">
        <f t="array" ref="I121">INDEX(FX_Calcs,$AA121,$AF121)</f>
        <v>0.25</v>
      </c>
      <c r="J121" cm="1">
        <f t="array" ref="J121">INDEX(FX_Calcs,$AA121,$AF121)</f>
        <v>0.25</v>
      </c>
      <c r="K121" cm="1">
        <f t="array" ref="K121">INDEX(FX_Calcs,$AA121,$AF121)</f>
        <v>0.25</v>
      </c>
      <c r="L121" cm="1">
        <f t="array" ref="L121">INDEX(FX_Calcs,$AA121,$AF121)</f>
        <v>0.25</v>
      </c>
      <c r="M121" cm="1">
        <f t="array" ref="M121">INDEX(FX_Calcs,$AA121,$AF121)</f>
        <v>0.25</v>
      </c>
      <c r="N121" cm="1">
        <f t="array" ref="N121">INDEX(FX_Calcs,$AA121,$AF121)</f>
        <v>0.25</v>
      </c>
      <c r="O121" cm="1">
        <f t="array" ref="O121">INDEX(FX_Calcs,$AA121,$AF121)</f>
        <v>0.25</v>
      </c>
      <c r="P121" cm="1">
        <f t="array" ref="P121">INDEX(FX_Calcs,$AA121,$AF121)</f>
        <v>0.25</v>
      </c>
      <c r="AA121">
        <f>AA120</f>
        <v>9</v>
      </c>
      <c r="AB121">
        <f t="shared" si="297"/>
        <v>6</v>
      </c>
      <c r="AC121">
        <f t="shared" si="298"/>
        <v>3</v>
      </c>
      <c r="AD121">
        <f t="shared" si="298"/>
        <v>13</v>
      </c>
      <c r="AE121">
        <f t="shared" si="298"/>
        <v>12</v>
      </c>
      <c r="AF121">
        <f t="shared" si="298"/>
        <v>14</v>
      </c>
      <c r="AG121">
        <f t="shared" si="299"/>
        <v>77</v>
      </c>
      <c r="AH121">
        <f t="shared" si="300"/>
        <v>78</v>
      </c>
      <c r="AI121">
        <f t="shared" si="301"/>
        <v>1</v>
      </c>
      <c r="AJ121">
        <f t="shared" si="302"/>
        <v>2</v>
      </c>
      <c r="AK121">
        <f t="shared" si="303"/>
        <v>1</v>
      </c>
      <c r="AL121">
        <f t="shared" si="304"/>
        <v>76</v>
      </c>
    </row>
    <row r="122" spans="1:38" ht="17.149999999999999" x14ac:dyDescent="0.55000000000000004">
      <c r="B122" t="str">
        <f>B118</f>
        <v>Portland</v>
      </c>
      <c r="C122" t="s">
        <v>512</v>
      </c>
      <c r="D122">
        <f t="shared" ref="D122:P122" si="306">D118-D117</f>
        <v>10.400000000000034</v>
      </c>
      <c r="E122">
        <f t="shared" si="306"/>
        <v>13.199999999999989</v>
      </c>
      <c r="F122">
        <f t="shared" si="306"/>
        <v>13.200000000000045</v>
      </c>
      <c r="G122">
        <f t="shared" si="306"/>
        <v>13.399999999999977</v>
      </c>
      <c r="H122">
        <f t="shared" si="306"/>
        <v>13.299999999999955</v>
      </c>
      <c r="I122">
        <f t="shared" si="306"/>
        <v>12.500000000000057</v>
      </c>
      <c r="J122">
        <f t="shared" si="306"/>
        <v>12.699999999999932</v>
      </c>
      <c r="K122">
        <f t="shared" si="306"/>
        <v>13.600000000000023</v>
      </c>
      <c r="L122">
        <f t="shared" si="306"/>
        <v>16.399999999999977</v>
      </c>
      <c r="M122">
        <f t="shared" si="306"/>
        <v>14.699999999999989</v>
      </c>
      <c r="N122">
        <f t="shared" si="306"/>
        <v>12.200000000000045</v>
      </c>
      <c r="O122">
        <f t="shared" si="306"/>
        <v>10</v>
      </c>
      <c r="P122">
        <f t="shared" si="306"/>
        <v>13</v>
      </c>
    </row>
    <row r="123" spans="1:38" x14ac:dyDescent="0.4">
      <c r="B123" t="str">
        <f t="shared" ref="B123:B130" si="307">B122</f>
        <v>Portland</v>
      </c>
      <c r="C123" t="s">
        <v>260</v>
      </c>
      <c r="D123">
        <f t="shared" ref="D123:P123" si="308">VLOOKUP(VLOOKUP($B123,Terminal_X_Ref,2,FALSE)&amp;$C123,Weather_Data,$Y123*D$3+$Z123,FALSE)</f>
        <v>343</v>
      </c>
      <c r="E123">
        <f t="shared" si="308"/>
        <v>600</v>
      </c>
      <c r="F123">
        <f t="shared" si="308"/>
        <v>877</v>
      </c>
      <c r="G123">
        <f t="shared" si="308"/>
        <v>1252</v>
      </c>
      <c r="H123">
        <f t="shared" si="308"/>
        <v>1537</v>
      </c>
      <c r="I123">
        <f t="shared" si="308"/>
        <v>1627</v>
      </c>
      <c r="J123">
        <f t="shared" si="308"/>
        <v>1708</v>
      </c>
      <c r="K123">
        <f t="shared" si="308"/>
        <v>1492</v>
      </c>
      <c r="L123">
        <f t="shared" si="308"/>
        <v>1196</v>
      </c>
      <c r="M123">
        <f t="shared" si="308"/>
        <v>728</v>
      </c>
      <c r="N123">
        <f t="shared" si="308"/>
        <v>391</v>
      </c>
      <c r="O123">
        <f t="shared" si="308"/>
        <v>302</v>
      </c>
      <c r="P123">
        <f t="shared" si="308"/>
        <v>1005</v>
      </c>
      <c r="U123">
        <f>U118</f>
        <v>2</v>
      </c>
      <c r="V123">
        <f t="shared" ref="V123:Z123" si="309">V118</f>
        <v>3</v>
      </c>
      <c r="W123">
        <f t="shared" si="309"/>
        <v>1</v>
      </c>
      <c r="X123">
        <f t="shared" si="309"/>
        <v>2</v>
      </c>
      <c r="Y123">
        <f t="shared" si="309"/>
        <v>1</v>
      </c>
      <c r="Z123">
        <f t="shared" si="309"/>
        <v>1</v>
      </c>
    </row>
    <row r="124" spans="1:38" ht="17.149999999999999" x14ac:dyDescent="0.55000000000000004">
      <c r="B124" t="str">
        <f t="shared" si="307"/>
        <v>Portland</v>
      </c>
      <c r="C124" t="s">
        <v>523</v>
      </c>
      <c r="D124">
        <f>IF(ISNUMBER(D121),0.7*D122+0.02*D121*D123,IF(D121="Partially Insulated",0.6*D122+0.02*D120*D123,0))</f>
        <v>8.9950000000000241</v>
      </c>
      <c r="E124">
        <f t="shared" ref="E124:P124" si="310">IF(ISNUMBER(E121),0.7*E122+0.02*E121*E123,IF(E121="Partially Insulated",0.6*E122+0.02*E120*E123,0))</f>
        <v>12.239999999999991</v>
      </c>
      <c r="F124">
        <f t="shared" si="310"/>
        <v>13.62500000000003</v>
      </c>
      <c r="G124">
        <f t="shared" si="310"/>
        <v>15.639999999999983</v>
      </c>
      <c r="H124">
        <f t="shared" si="310"/>
        <v>16.994999999999969</v>
      </c>
      <c r="I124">
        <f t="shared" si="310"/>
        <v>16.885000000000041</v>
      </c>
      <c r="J124">
        <f t="shared" si="310"/>
        <v>17.42999999999995</v>
      </c>
      <c r="K124">
        <f t="shared" si="310"/>
        <v>16.980000000000015</v>
      </c>
      <c r="L124">
        <f t="shared" si="310"/>
        <v>17.459999999999983</v>
      </c>
      <c r="M124">
        <f t="shared" si="310"/>
        <v>13.929999999999993</v>
      </c>
      <c r="N124">
        <f t="shared" si="310"/>
        <v>10.495000000000031</v>
      </c>
      <c r="O124">
        <f t="shared" si="310"/>
        <v>8.51</v>
      </c>
      <c r="P124">
        <f t="shared" si="310"/>
        <v>14.125</v>
      </c>
    </row>
    <row r="125" spans="1:38" ht="17.149999999999999" x14ac:dyDescent="0.55000000000000004">
      <c r="B125" t="str">
        <f t="shared" si="307"/>
        <v>Portland</v>
      </c>
      <c r="C125" t="s">
        <v>524</v>
      </c>
      <c r="D125">
        <f t="shared" ref="D125:F125" si="311">AVERAGE(D117:D118)</f>
        <v>503.5</v>
      </c>
      <c r="E125">
        <f t="shared" si="311"/>
        <v>504.30000000000007</v>
      </c>
      <c r="F125">
        <f t="shared" si="311"/>
        <v>505.70000000000005</v>
      </c>
      <c r="G125">
        <f>AVERAGE(G117:G118)</f>
        <v>508.2</v>
      </c>
      <c r="H125">
        <f t="shared" ref="H125:P125" si="312">AVERAGE(H117:H118)</f>
        <v>512.75</v>
      </c>
      <c r="I125">
        <f t="shared" si="312"/>
        <v>516.55000000000007</v>
      </c>
      <c r="J125">
        <f t="shared" si="312"/>
        <v>520.04999999999995</v>
      </c>
      <c r="K125">
        <f t="shared" si="312"/>
        <v>520.5</v>
      </c>
      <c r="L125">
        <f t="shared" si="312"/>
        <v>518.20000000000005</v>
      </c>
      <c r="M125">
        <f t="shared" si="312"/>
        <v>512.25</v>
      </c>
      <c r="N125">
        <f t="shared" si="312"/>
        <v>506.70000000000005</v>
      </c>
      <c r="O125">
        <f t="shared" si="312"/>
        <v>503.20000000000005</v>
      </c>
      <c r="P125">
        <f t="shared" si="312"/>
        <v>51.4</v>
      </c>
    </row>
    <row r="126" spans="1:38" ht="17.149999999999999" x14ac:dyDescent="0.55000000000000004">
      <c r="B126" t="str">
        <f t="shared" si="307"/>
        <v>Portland</v>
      </c>
      <c r="C126" t="s">
        <v>525</v>
      </c>
      <c r="D126" cm="1">
        <f t="array" ref="D126">IFERROR(IF(ISBLANK(INDEX(FX_Input,$R117,D$3*$AK117+$AL117)),D125+0.003*D119*D123,INDEX(FX_Input,$R117,D$3*$AK117+$AL117)+459.6),D125)</f>
        <v>503.75725</v>
      </c>
      <c r="E126" cm="1">
        <f t="array" ref="E126">IFERROR(IF(ISBLANK(INDEX(FX_Input,$R117,E$3*$AK117+$AL117)),E125+0.003*E119*E123,INDEX(FX_Input,$R117,E$3*$AK117+$AL117)+459.6),E125)</f>
        <v>504.75000000000006</v>
      </c>
      <c r="F126" cm="1">
        <f t="array" ref="F126">IFERROR(IF(ISBLANK(INDEX(FX_Input,$R117,F$3*$AK117+$AL117)),F125+0.003*F119*F123,INDEX(FX_Input,$R117,F$3*$AK117+$AL117)+459.6),F125)</f>
        <v>506.35775000000007</v>
      </c>
      <c r="G126" cm="1">
        <f t="array" ref="G126">IFERROR(IF(ISBLANK(INDEX(FX_Input,$R117,G$3*$AK117+$AL117)),G125+0.003*G119*G123,INDEX(FX_Input,$R117,G$3*$AK117+$AL117)+459.6),G125)</f>
        <v>509.13900000000001</v>
      </c>
      <c r="H126" cm="1">
        <f t="array" ref="H126">IFERROR(IF(ISBLANK(INDEX(FX_Input,$R117,H$3*$AK117+$AL117)),H125+0.003*H119*H123,INDEX(FX_Input,$R117,H$3*$AK117+$AL117)+459.6),H125)</f>
        <v>513.90274999999997</v>
      </c>
      <c r="I126" cm="1">
        <f t="array" ref="I126">IFERROR(IF(ISBLANK(INDEX(FX_Input,$R117,I$3*$AK117+$AL117)),I125+0.003*I119*I123,INDEX(FX_Input,$R117,I$3*$AK117+$AL117)+459.6),I125)</f>
        <v>517.77025000000003</v>
      </c>
      <c r="J126" cm="1">
        <f t="array" ref="J126">IFERROR(IF(ISBLANK(INDEX(FX_Input,$R117,J$3*$AK117+$AL117)),J125+0.003*J119*J123,INDEX(FX_Input,$R117,J$3*$AK117+$AL117)+459.6),J125)</f>
        <v>521.3309999999999</v>
      </c>
      <c r="K126" cm="1">
        <f t="array" ref="K126">IFERROR(IF(ISBLANK(INDEX(FX_Input,$R117,K$3*$AK117+$AL117)),K125+0.003*K119*K123,INDEX(FX_Input,$R117,K$3*$AK117+$AL117)+459.6),K125)</f>
        <v>521.61900000000003</v>
      </c>
      <c r="L126" cm="1">
        <f t="array" ref="L126">IFERROR(IF(ISBLANK(INDEX(FX_Input,$R117,L$3*$AK117+$AL117)),L125+0.003*L119*L123,INDEX(FX_Input,$R117,L$3*$AK117+$AL117)+459.6),L125)</f>
        <v>519.09700000000009</v>
      </c>
      <c r="M126" cm="1">
        <f t="array" ref="M126">IFERROR(IF(ISBLANK(INDEX(FX_Input,$R117,M$3*$AK117+$AL117)),M125+0.003*M119*M123,INDEX(FX_Input,$R117,M$3*$AK117+$AL117)+459.6),M125)</f>
        <v>512.79600000000005</v>
      </c>
      <c r="N126" cm="1">
        <f t="array" ref="N126">IFERROR(IF(ISBLANK(INDEX(FX_Input,$R117,N$3*$AK117+$AL117)),N125+0.003*N119*N123,INDEX(FX_Input,$R117,N$3*$AK117+$AL117)+459.6),N125)</f>
        <v>506.99325000000005</v>
      </c>
      <c r="O126" cm="1">
        <f t="array" ref="O126">IFERROR(IF(ISBLANK(INDEX(FX_Input,$R117,O$3*$AK117+$AL117)),O125+0.003*O119*O123,INDEX(FX_Input,$R117,O$3*$AK117+$AL117)+459.6),O125)</f>
        <v>503.42650000000003</v>
      </c>
      <c r="P126" cm="1">
        <f t="array" ref="P126">IFERROR(IF(ISBLANK(INDEX(FX_Input,$R117,P$3*$AK117+$AL117)),P125+0.003*P119*P123,INDEX(FX_Input,$R117,P$3*$AK117+$AL117)+459.6),P125)</f>
        <v>81027.600000000006</v>
      </c>
    </row>
    <row r="127" spans="1:38" ht="17.149999999999999" x14ac:dyDescent="0.55000000000000004">
      <c r="B127" t="str">
        <f t="shared" si="307"/>
        <v>Portland</v>
      </c>
      <c r="C127" t="s">
        <v>526</v>
      </c>
      <c r="D127">
        <f>IF(ISNUMBER(D121),0.4*D117+0.6*D126+0.005*D121*D123,IF(D121="Partially Insulated",0.3*D125+0.7*D126+0.005*D120*D123,D126))-459.6</f>
        <v>42.403099999999938</v>
      </c>
      <c r="E127">
        <f t="shared" ref="E127" si="313">IF(ISNUMBER(E121),0.4*E117+0.6*E126+0.005*E121*E123,IF(E121="Partially Insulated",0.3*E125+0.7*E126+0.005*E120*E123,E126))-459.6</f>
        <v>43.080000000000041</v>
      </c>
      <c r="F127">
        <f t="shared" ref="F127" si="314">IF(ISNUMBER(F121),0.4*F117+0.6*F126+0.005*F121*F123,IF(F121="Partially Insulated",0.3*F125+0.7*F126+0.005*F120*F123,F126))-459.6</f>
        <v>44.95089999999999</v>
      </c>
      <c r="G127">
        <f t="shared" ref="G127" si="315">IF(ISNUMBER(G121),0.4*G117+0.6*G126+0.005*G121*G123,IF(G121="Partially Insulated",0.3*G125+0.7*G126+0.005*G120*G123,G126))-459.6</f>
        <v>48.048400000000015</v>
      </c>
      <c r="H127">
        <f t="shared" ref="H127" si="316">IF(ISNUMBER(H121),0.4*H117+0.6*H126+0.005*H121*H123,IF(H121="Partially Insulated",0.3*H125+0.7*H126+0.005*H120*H123,H126))-459.6</f>
        <v>53.102899999999977</v>
      </c>
      <c r="I127">
        <f t="shared" ref="I127" si="317">IF(ISNUMBER(I121),0.4*I117+0.6*I126+0.005*I121*I123,IF(I121="Partially Insulated",0.3*I125+0.7*I126+0.005*I120*I123,I126))-459.6</f>
        <v>57.215900000000033</v>
      </c>
      <c r="J127">
        <f t="shared" ref="J127" si="318">IF(ISNUMBER(J121),0.4*J117+0.6*J126+0.005*J121*J123,IF(J121="Partially Insulated",0.3*J125+0.7*J126+0.005*J120*J123,J126))-459.6</f>
        <v>60.813599999999838</v>
      </c>
      <c r="K127">
        <f t="shared" ref="K127" si="319">IF(ISNUMBER(K121),0.4*K117+0.6*K126+0.005*K121*K123,IF(K121="Partially Insulated",0.3*K125+0.7*K126+0.005*K120*K123,K126))-459.6</f>
        <v>60.716400000000021</v>
      </c>
      <c r="L127">
        <f t="shared" ref="L127" si="320">IF(ISNUMBER(L121),0.4*L117+0.6*L126+0.005*L121*L123,IF(L121="Partially Insulated",0.3*L125+0.7*L126+0.005*L120*L123,L126))-459.6</f>
        <v>57.353200000000015</v>
      </c>
      <c r="M127">
        <f t="shared" ref="M127" si="321">IF(ISNUMBER(M121),0.4*M117+0.6*M126+0.005*M121*M123,IF(M121="Partially Insulated",0.3*M125+0.7*M126+0.005*M120*M123,M126))-459.6</f>
        <v>50.947600000000079</v>
      </c>
      <c r="N127">
        <f t="shared" ref="N127" si="322">IF(ISNUMBER(N121),0.4*N117+0.6*N126+0.005*N121*N123,IF(N121="Partially Insulated",0.3*N125+0.7*N126+0.005*N120*N123,N126))-459.6</f>
        <v>45.324700000000007</v>
      </c>
      <c r="O127">
        <f t="shared" ref="O127" si="323">IF(ISNUMBER(O121),0.4*O117+0.6*O126+0.005*O121*O123,IF(O121="Partially Insulated",0.3*O125+0.7*O126+0.005*O120*O123,O126))-459.6</f>
        <v>42.113400000000013</v>
      </c>
      <c r="P127">
        <f>AVERAGE(D127:O127)</f>
        <v>50.505841666666662</v>
      </c>
    </row>
    <row r="128" spans="1:38" ht="17.149999999999999" x14ac:dyDescent="0.55000000000000004">
      <c r="B128" t="str">
        <f t="shared" si="307"/>
        <v>Portland</v>
      </c>
      <c r="C128" t="s">
        <v>527</v>
      </c>
      <c r="D128">
        <f>IF(ISNUMBER(D121),0.4*D118+0.6*D126+0.005*D121*D123,IF(D121="Partially Insulated",0.3*D125+0.7*D126+0.005*D120*D123,D126))-459.6</f>
        <v>46.563099999999963</v>
      </c>
      <c r="E128">
        <f t="shared" ref="E128:O128" si="324">IF(ISNUMBER(E121),0.4*E118+0.6*E126+0.005*E121*E123,IF(E121="Partially Insulated",0.3*E125+0.7*E126+0.005*E120*E123,E126))-459.6</f>
        <v>48.360000000000014</v>
      </c>
      <c r="F128">
        <f t="shared" si="324"/>
        <v>50.230900000000076</v>
      </c>
      <c r="G128">
        <f t="shared" si="324"/>
        <v>53.408400000000029</v>
      </c>
      <c r="H128">
        <f t="shared" si="324"/>
        <v>58.422899999999913</v>
      </c>
      <c r="I128">
        <f t="shared" si="324"/>
        <v>62.215900000000033</v>
      </c>
      <c r="J128">
        <f t="shared" si="324"/>
        <v>65.893599999999878</v>
      </c>
      <c r="K128">
        <f t="shared" si="324"/>
        <v>66.156400000000076</v>
      </c>
      <c r="L128">
        <f t="shared" si="324"/>
        <v>63.913199999999961</v>
      </c>
      <c r="M128">
        <f t="shared" si="324"/>
        <v>56.827600000000075</v>
      </c>
      <c r="N128">
        <f t="shared" si="324"/>
        <v>50.204700000000003</v>
      </c>
      <c r="O128">
        <f t="shared" si="324"/>
        <v>46.113400000000013</v>
      </c>
      <c r="P128">
        <f>AVERAGE(D128:O128)</f>
        <v>55.692508333333329</v>
      </c>
    </row>
    <row r="129" spans="1:38" ht="17.149999999999999" x14ac:dyDescent="0.55000000000000004">
      <c r="B129" t="str">
        <f t="shared" si="307"/>
        <v>Portland</v>
      </c>
      <c r="C129" t="s">
        <v>552</v>
      </c>
      <c r="D129">
        <f>IF(ISNUMBER(D121),0.4*D125+0.6*D126+0.005*D121*D123,IF(D121="Partially Insulated",0.3*D125+0.7*D126+0.005*D120*D123,D126))-459.6</f>
        <v>44.483099999999979</v>
      </c>
      <c r="E129">
        <f t="shared" ref="E129:O129" si="325">IF(ISNUMBER(E121),0.4*E125+0.6*E126+0.005*E121*E123,IF(E121="Partially Insulated",0.3*E125+0.7*E126+0.005*E120*E123,E126))-459.6</f>
        <v>45.720000000000027</v>
      </c>
      <c r="F129">
        <f t="shared" si="325"/>
        <v>47.590900000000033</v>
      </c>
      <c r="G129">
        <f t="shared" si="325"/>
        <v>50.728400000000022</v>
      </c>
      <c r="H129">
        <f t="shared" si="325"/>
        <v>55.762899999999945</v>
      </c>
      <c r="I129">
        <f t="shared" si="325"/>
        <v>59.715900000000033</v>
      </c>
      <c r="J129">
        <f t="shared" si="325"/>
        <v>63.353599999999801</v>
      </c>
      <c r="K129">
        <f t="shared" si="325"/>
        <v>63.436400000000049</v>
      </c>
      <c r="L129">
        <f t="shared" si="325"/>
        <v>60.633199999999988</v>
      </c>
      <c r="M129">
        <f t="shared" si="325"/>
        <v>53.88760000000002</v>
      </c>
      <c r="N129">
        <f t="shared" si="325"/>
        <v>47.764700000000062</v>
      </c>
      <c r="O129">
        <f t="shared" si="325"/>
        <v>44.113400000000013</v>
      </c>
      <c r="P129">
        <f>AVERAGE(D129:O129)</f>
        <v>53.099175000000002</v>
      </c>
    </row>
    <row r="130" spans="1:38" ht="17.149999999999999" x14ac:dyDescent="0.55000000000000004">
      <c r="A130" s="11"/>
      <c r="B130" s="11" t="str">
        <f t="shared" si="307"/>
        <v>Portland</v>
      </c>
      <c r="C130" s="11" t="s">
        <v>553</v>
      </c>
      <c r="D130" s="11">
        <f>IF(ISNUMBER(D121),0.7*D125+0.3*D126+0.009*D121*D123,IF(D121="Partially Insulated",0.6*D125+0.4*D126+0.01*D120*D123,D126))-459.6</f>
        <v>44.748924999999986</v>
      </c>
      <c r="E130" s="11">
        <f t="shared" ref="E130:O130" si="326">IF(ISNUMBER(E121),0.7*E125+0.3*E126+0.009*E121*E123,IF(E121="Partially Insulated",0.6*E125+0.4*E126+0.01*E120*E123,E126))-459.6</f>
        <v>46.185000000000059</v>
      </c>
      <c r="F130" s="11">
        <f t="shared" si="326"/>
        <v>48.270575000000008</v>
      </c>
      <c r="G130" s="11">
        <f t="shared" si="326"/>
        <v>51.698699999999917</v>
      </c>
      <c r="H130" s="11">
        <f t="shared" si="326"/>
        <v>56.954074999999875</v>
      </c>
      <c r="I130" s="11">
        <f t="shared" si="326"/>
        <v>60.976825000000076</v>
      </c>
      <c r="J130" s="11">
        <f t="shared" si="326"/>
        <v>64.677299999999832</v>
      </c>
      <c r="K130" s="11">
        <f t="shared" si="326"/>
        <v>64.592699999999923</v>
      </c>
      <c r="L130" s="11">
        <f t="shared" si="326"/>
        <v>61.560100000000034</v>
      </c>
      <c r="M130" s="11">
        <f t="shared" si="326"/>
        <v>54.451800000000048</v>
      </c>
      <c r="N130" s="11">
        <f t="shared" si="326"/>
        <v>48.067724999999996</v>
      </c>
      <c r="O130" s="11">
        <f t="shared" si="326"/>
        <v>44.347450000000038</v>
      </c>
      <c r="P130" s="11">
        <f>AVERAGE(D130:O130)</f>
        <v>53.877597916666652</v>
      </c>
      <c r="Q130" s="11"/>
      <c r="R130" s="11"/>
      <c r="S130" s="11"/>
      <c r="T130" s="11"/>
      <c r="U130" s="11"/>
      <c r="V130" s="11"/>
      <c r="W130" s="11"/>
      <c r="X130" s="11"/>
      <c r="Y130" s="11"/>
      <c r="Z130" s="11"/>
      <c r="AA130" s="11"/>
      <c r="AB130" s="11"/>
      <c r="AC130" s="11"/>
      <c r="AD130" s="11"/>
      <c r="AE130" s="11"/>
      <c r="AF130" s="11"/>
      <c r="AG130" s="11"/>
      <c r="AH130" s="11"/>
      <c r="AI130" s="11"/>
      <c r="AJ130" s="11"/>
      <c r="AK130" s="11"/>
      <c r="AL130" s="11"/>
    </row>
    <row r="131" spans="1:38" ht="17.149999999999999" x14ac:dyDescent="0.55000000000000004">
      <c r="A131" t="str" cm="1">
        <f t="array" ref="A131">INDEX(FX_Input,$R131,S$5)</f>
        <v>FX - 10</v>
      </c>
      <c r="B131" t="str" cm="1">
        <f t="array" ref="B131">INDEX(FX_Input,R131,T131)</f>
        <v>Portland</v>
      </c>
      <c r="C131" t="s">
        <v>510</v>
      </c>
      <c r="D131">
        <f t="shared" ref="D131:O132" si="327">VLOOKUP(VLOOKUP($B131,Terminal_X_Ref,2,FALSE)&amp;$C131,Weather_Data,$Y131*D$3+$Z131,FALSE)+459.6</f>
        <v>498.3</v>
      </c>
      <c r="E131">
        <f t="shared" si="327"/>
        <v>497.70000000000005</v>
      </c>
      <c r="F131">
        <f t="shared" si="327"/>
        <v>499.1</v>
      </c>
      <c r="G131">
        <f t="shared" si="327"/>
        <v>501.5</v>
      </c>
      <c r="H131">
        <f t="shared" si="327"/>
        <v>506.1</v>
      </c>
      <c r="I131">
        <f t="shared" si="327"/>
        <v>510.3</v>
      </c>
      <c r="J131">
        <f t="shared" si="327"/>
        <v>513.70000000000005</v>
      </c>
      <c r="K131">
        <f t="shared" si="327"/>
        <v>513.70000000000005</v>
      </c>
      <c r="L131">
        <f t="shared" si="327"/>
        <v>510</v>
      </c>
      <c r="M131">
        <f t="shared" si="327"/>
        <v>504.90000000000003</v>
      </c>
      <c r="N131">
        <f t="shared" si="327"/>
        <v>500.6</v>
      </c>
      <c r="O131">
        <f t="shared" si="327"/>
        <v>498.20000000000005</v>
      </c>
      <c r="P131">
        <f t="shared" ref="P131:P132" si="328">VLOOKUP(VLOOKUP($B131,Terminal_X_Ref,2,FALSE)&amp;$C131,Weather_Data,$Y131*P$3+$Z131,FALSE)</f>
        <v>44.9</v>
      </c>
      <c r="R131">
        <f>R117+2</f>
        <v>19</v>
      </c>
      <c r="S131">
        <f>S117+1</f>
        <v>10</v>
      </c>
      <c r="T131">
        <v>3</v>
      </c>
      <c r="U131">
        <v>2</v>
      </c>
      <c r="V131">
        <v>3</v>
      </c>
      <c r="W131">
        <v>1</v>
      </c>
      <c r="X131">
        <v>2</v>
      </c>
      <c r="Y131">
        <f>(V131-U131)/(X131-W131)</f>
        <v>1</v>
      </c>
      <c r="Z131">
        <f>U131-Y131*W131</f>
        <v>1</v>
      </c>
      <c r="AA131">
        <f>AA117+1</f>
        <v>10</v>
      </c>
      <c r="AB131">
        <v>6</v>
      </c>
      <c r="AC131">
        <v>3</v>
      </c>
      <c r="AD131">
        <v>13</v>
      </c>
      <c r="AE131">
        <v>12</v>
      </c>
      <c r="AF131">
        <v>14</v>
      </c>
      <c r="AG131">
        <v>77</v>
      </c>
      <c r="AH131">
        <v>78</v>
      </c>
      <c r="AI131">
        <v>1</v>
      </c>
      <c r="AJ131">
        <v>2</v>
      </c>
      <c r="AK131">
        <f>(AH131-AG131)/(AJ131-AI131)</f>
        <v>1</v>
      </c>
      <c r="AL131">
        <f>AG131-AK131*AI131</f>
        <v>76</v>
      </c>
    </row>
    <row r="132" spans="1:38" ht="17.149999999999999" x14ac:dyDescent="0.55000000000000004">
      <c r="B132" t="str">
        <f t="shared" ref="B132" si="329">B131</f>
        <v>Portland</v>
      </c>
      <c r="C132" t="s">
        <v>511</v>
      </c>
      <c r="D132">
        <f t="shared" si="327"/>
        <v>508.70000000000005</v>
      </c>
      <c r="E132">
        <f t="shared" si="327"/>
        <v>510.90000000000003</v>
      </c>
      <c r="F132">
        <f t="shared" si="327"/>
        <v>512.30000000000007</v>
      </c>
      <c r="G132">
        <f t="shared" si="327"/>
        <v>514.9</v>
      </c>
      <c r="H132">
        <f t="shared" si="327"/>
        <v>519.4</v>
      </c>
      <c r="I132">
        <f t="shared" si="327"/>
        <v>522.80000000000007</v>
      </c>
      <c r="J132">
        <f t="shared" si="327"/>
        <v>526.4</v>
      </c>
      <c r="K132">
        <f t="shared" si="327"/>
        <v>527.30000000000007</v>
      </c>
      <c r="L132">
        <f t="shared" si="327"/>
        <v>526.4</v>
      </c>
      <c r="M132">
        <f t="shared" si="327"/>
        <v>519.6</v>
      </c>
      <c r="N132">
        <f t="shared" si="327"/>
        <v>512.80000000000007</v>
      </c>
      <c r="O132">
        <f t="shared" si="327"/>
        <v>508.20000000000005</v>
      </c>
      <c r="P132">
        <f t="shared" si="328"/>
        <v>57.9</v>
      </c>
      <c r="U132">
        <f>U131</f>
        <v>2</v>
      </c>
      <c r="V132">
        <f t="shared" ref="V132:Z132" si="330">V131</f>
        <v>3</v>
      </c>
      <c r="W132">
        <f t="shared" si="330"/>
        <v>1</v>
      </c>
      <c r="X132">
        <f t="shared" si="330"/>
        <v>2</v>
      </c>
      <c r="Y132">
        <f t="shared" si="330"/>
        <v>1</v>
      </c>
      <c r="Z132">
        <f t="shared" si="330"/>
        <v>1</v>
      </c>
      <c r="AA132">
        <f>AA131</f>
        <v>10</v>
      </c>
      <c r="AB132">
        <f t="shared" ref="AB132:AB135" si="331">AB131</f>
        <v>6</v>
      </c>
      <c r="AC132">
        <f t="shared" ref="AC132:AF135" si="332">AC131</f>
        <v>3</v>
      </c>
      <c r="AD132">
        <f t="shared" si="332"/>
        <v>13</v>
      </c>
      <c r="AE132">
        <f t="shared" si="332"/>
        <v>12</v>
      </c>
      <c r="AF132">
        <f t="shared" si="332"/>
        <v>14</v>
      </c>
      <c r="AG132">
        <f t="shared" ref="AG132:AG135" si="333">AG131</f>
        <v>77</v>
      </c>
      <c r="AH132">
        <f t="shared" ref="AH132:AH135" si="334">AH131</f>
        <v>78</v>
      </c>
      <c r="AI132">
        <f t="shared" ref="AI132:AI135" si="335">AI131</f>
        <v>1</v>
      </c>
      <c r="AJ132">
        <f t="shared" ref="AJ132:AJ135" si="336">AJ131</f>
        <v>2</v>
      </c>
      <c r="AK132">
        <f t="shared" ref="AK132:AK135" si="337">AK131</f>
        <v>1</v>
      </c>
      <c r="AL132">
        <f t="shared" ref="AL132:AL135" si="338">AL131</f>
        <v>76</v>
      </c>
    </row>
    <row r="133" spans="1:38" ht="17.149999999999999" x14ac:dyDescent="0.4">
      <c r="B133" t="str">
        <f>B132</f>
        <v>Portland</v>
      </c>
      <c r="C133" s="66" t="s">
        <v>514</v>
      </c>
      <c r="D133" t="str" cm="1">
        <f t="array" ref="D133">INDEX(FX_Calcs,$AA133,$AE133)</f>
        <v>N/A</v>
      </c>
      <c r="E133" t="str" cm="1">
        <f t="array" ref="E133">INDEX(FX_Calcs,$AA133,$AE133)</f>
        <v>N/A</v>
      </c>
      <c r="F133" t="str" cm="1">
        <f t="array" ref="F133">INDEX(FX_Calcs,$AA133,$AE133)</f>
        <v>N/A</v>
      </c>
      <c r="G133" t="str" cm="1">
        <f t="array" ref="G133">INDEX(FX_Calcs,$AA133,$AE133)</f>
        <v>N/A</v>
      </c>
      <c r="H133" t="str" cm="1">
        <f t="array" ref="H133">INDEX(FX_Calcs,$AA133,$AE133)</f>
        <v>N/A</v>
      </c>
      <c r="I133" t="str" cm="1">
        <f t="array" ref="I133">INDEX(FX_Calcs,$AA133,$AE133)</f>
        <v>N/A</v>
      </c>
      <c r="J133" t="str" cm="1">
        <f t="array" ref="J133">INDEX(FX_Calcs,$AA133,$AE133)</f>
        <v>N/A</v>
      </c>
      <c r="K133" t="str" cm="1">
        <f t="array" ref="K133">INDEX(FX_Calcs,$AA133,$AE133)</f>
        <v>N/A</v>
      </c>
      <c r="L133" t="str" cm="1">
        <f t="array" ref="L133">INDEX(FX_Calcs,$AA133,$AE133)</f>
        <v>N/A</v>
      </c>
      <c r="M133" t="str" cm="1">
        <f t="array" ref="M133">INDEX(FX_Calcs,$AA133,$AE133)</f>
        <v>N/A</v>
      </c>
      <c r="N133" t="str" cm="1">
        <f t="array" ref="N133">INDEX(FX_Calcs,$AA133,$AE133)</f>
        <v>N/A</v>
      </c>
      <c r="O133" t="str" cm="1">
        <f t="array" ref="O133">INDEX(FX_Calcs,$AA133,$AE133)</f>
        <v>N/A</v>
      </c>
      <c r="P133" t="str" cm="1">
        <f t="array" ref="P133">INDEX(FX_Calcs,$AA133,$AE133)</f>
        <v>N/A</v>
      </c>
      <c r="AA133">
        <f>AA132</f>
        <v>10</v>
      </c>
      <c r="AB133">
        <f t="shared" si="331"/>
        <v>6</v>
      </c>
      <c r="AC133">
        <f t="shared" si="332"/>
        <v>3</v>
      </c>
      <c r="AD133">
        <f t="shared" si="332"/>
        <v>13</v>
      </c>
      <c r="AE133">
        <f t="shared" si="332"/>
        <v>12</v>
      </c>
      <c r="AF133">
        <f t="shared" si="332"/>
        <v>14</v>
      </c>
      <c r="AG133">
        <f t="shared" si="333"/>
        <v>77</v>
      </c>
      <c r="AH133">
        <f t="shared" si="334"/>
        <v>78</v>
      </c>
      <c r="AI133">
        <f t="shared" si="335"/>
        <v>1</v>
      </c>
      <c r="AJ133">
        <f t="shared" si="336"/>
        <v>2</v>
      </c>
      <c r="AK133">
        <f t="shared" si="337"/>
        <v>1</v>
      </c>
      <c r="AL133">
        <f t="shared" si="338"/>
        <v>76</v>
      </c>
    </row>
    <row r="134" spans="1:38" ht="17.149999999999999" x14ac:dyDescent="0.4">
      <c r="B134" t="str">
        <f t="shared" ref="B134:B135" si="339">B133</f>
        <v>Portland</v>
      </c>
      <c r="C134" s="66" t="s">
        <v>513</v>
      </c>
      <c r="D134" t="str" cm="1">
        <f t="array" ref="D134">INDEX(FX_Calcs,$AA134,$AD134)</f>
        <v>N/A</v>
      </c>
      <c r="E134" t="str" cm="1">
        <f t="array" ref="E134">INDEX(FX_Calcs,$AA134,$AD134)</f>
        <v>N/A</v>
      </c>
      <c r="F134" t="str" cm="1">
        <f t="array" ref="F134">INDEX(FX_Calcs,$AA134,$AD134)</f>
        <v>N/A</v>
      </c>
      <c r="G134" t="str" cm="1">
        <f t="array" ref="G134">INDEX(FX_Calcs,$AA134,$AD134)</f>
        <v>N/A</v>
      </c>
      <c r="H134" t="str" cm="1">
        <f t="array" ref="H134">INDEX(FX_Calcs,$AA134,$AD134)</f>
        <v>N/A</v>
      </c>
      <c r="I134" t="str" cm="1">
        <f t="array" ref="I134">INDEX(FX_Calcs,$AA134,$AD134)</f>
        <v>N/A</v>
      </c>
      <c r="J134" t="str" cm="1">
        <f t="array" ref="J134">INDEX(FX_Calcs,$AA134,$AD134)</f>
        <v>N/A</v>
      </c>
      <c r="K134" t="str" cm="1">
        <f t="array" ref="K134">INDEX(FX_Calcs,$AA134,$AD134)</f>
        <v>N/A</v>
      </c>
      <c r="L134" t="str" cm="1">
        <f t="array" ref="L134">INDEX(FX_Calcs,$AA134,$AD134)</f>
        <v>N/A</v>
      </c>
      <c r="M134" t="str" cm="1">
        <f t="array" ref="M134">INDEX(FX_Calcs,$AA134,$AD134)</f>
        <v>N/A</v>
      </c>
      <c r="N134" t="str" cm="1">
        <f t="array" ref="N134">INDEX(FX_Calcs,$AA134,$AD134)</f>
        <v>N/A</v>
      </c>
      <c r="O134" t="str" cm="1">
        <f t="array" ref="O134">INDEX(FX_Calcs,$AA134,$AD134)</f>
        <v>N/A</v>
      </c>
      <c r="P134" t="str" cm="1">
        <f t="array" ref="P134">INDEX(FX_Calcs,$AA134,$AD134)</f>
        <v>N/A</v>
      </c>
      <c r="AA134">
        <f>AA133</f>
        <v>10</v>
      </c>
      <c r="AB134">
        <f t="shared" si="331"/>
        <v>6</v>
      </c>
      <c r="AC134">
        <f t="shared" si="332"/>
        <v>3</v>
      </c>
      <c r="AD134">
        <f t="shared" si="332"/>
        <v>13</v>
      </c>
      <c r="AE134">
        <f t="shared" si="332"/>
        <v>12</v>
      </c>
      <c r="AF134">
        <f t="shared" si="332"/>
        <v>14</v>
      </c>
      <c r="AG134">
        <f t="shared" si="333"/>
        <v>77</v>
      </c>
      <c r="AH134">
        <f t="shared" si="334"/>
        <v>78</v>
      </c>
      <c r="AI134">
        <f t="shared" si="335"/>
        <v>1</v>
      </c>
      <c r="AJ134">
        <f t="shared" si="336"/>
        <v>2</v>
      </c>
      <c r="AK134">
        <f t="shared" si="337"/>
        <v>1</v>
      </c>
      <c r="AL134">
        <f t="shared" si="338"/>
        <v>76</v>
      </c>
    </row>
    <row r="135" spans="1:38" x14ac:dyDescent="0.4">
      <c r="B135" t="str">
        <f t="shared" si="339"/>
        <v>Portland</v>
      </c>
      <c r="C135" s="66" t="s">
        <v>558</v>
      </c>
      <c r="D135" t="str" cm="1">
        <f t="array" ref="D135">INDEX(FX_Calcs,$AA135,$AF135)</f>
        <v>Insulated</v>
      </c>
      <c r="E135" t="str" cm="1">
        <f t="array" ref="E135">INDEX(FX_Calcs,$AA135,$AF135)</f>
        <v>Insulated</v>
      </c>
      <c r="F135" t="str" cm="1">
        <f t="array" ref="F135">INDEX(FX_Calcs,$AA135,$AF135)</f>
        <v>Insulated</v>
      </c>
      <c r="G135" t="str" cm="1">
        <f t="array" ref="G135">INDEX(FX_Calcs,$AA135,$AF135)</f>
        <v>Insulated</v>
      </c>
      <c r="H135" t="str" cm="1">
        <f t="array" ref="H135">INDEX(FX_Calcs,$AA135,$AF135)</f>
        <v>Insulated</v>
      </c>
      <c r="I135" t="str" cm="1">
        <f t="array" ref="I135">INDEX(FX_Calcs,$AA135,$AF135)</f>
        <v>Insulated</v>
      </c>
      <c r="J135" t="str" cm="1">
        <f t="array" ref="J135">INDEX(FX_Calcs,$AA135,$AF135)</f>
        <v>Insulated</v>
      </c>
      <c r="K135" t="str" cm="1">
        <f t="array" ref="K135">INDEX(FX_Calcs,$AA135,$AF135)</f>
        <v>Insulated</v>
      </c>
      <c r="L135" t="str" cm="1">
        <f t="array" ref="L135">INDEX(FX_Calcs,$AA135,$AF135)</f>
        <v>Insulated</v>
      </c>
      <c r="M135" t="str" cm="1">
        <f t="array" ref="M135">INDEX(FX_Calcs,$AA135,$AF135)</f>
        <v>Insulated</v>
      </c>
      <c r="N135" t="str" cm="1">
        <f t="array" ref="N135">INDEX(FX_Calcs,$AA135,$AF135)</f>
        <v>Insulated</v>
      </c>
      <c r="O135" t="str" cm="1">
        <f t="array" ref="O135">INDEX(FX_Calcs,$AA135,$AF135)</f>
        <v>Insulated</v>
      </c>
      <c r="P135" t="str" cm="1">
        <f t="array" ref="P135">INDEX(FX_Calcs,$AA135,$AF135)</f>
        <v>Insulated</v>
      </c>
      <c r="AA135">
        <f>AA134</f>
        <v>10</v>
      </c>
      <c r="AB135">
        <f t="shared" si="331"/>
        <v>6</v>
      </c>
      <c r="AC135">
        <f t="shared" si="332"/>
        <v>3</v>
      </c>
      <c r="AD135">
        <f t="shared" si="332"/>
        <v>13</v>
      </c>
      <c r="AE135">
        <f t="shared" si="332"/>
        <v>12</v>
      </c>
      <c r="AF135">
        <f t="shared" si="332"/>
        <v>14</v>
      </c>
      <c r="AG135">
        <f t="shared" si="333"/>
        <v>77</v>
      </c>
      <c r="AH135">
        <f t="shared" si="334"/>
        <v>78</v>
      </c>
      <c r="AI135">
        <f t="shared" si="335"/>
        <v>1</v>
      </c>
      <c r="AJ135">
        <f t="shared" si="336"/>
        <v>2</v>
      </c>
      <c r="AK135">
        <f t="shared" si="337"/>
        <v>1</v>
      </c>
      <c r="AL135">
        <f t="shared" si="338"/>
        <v>76</v>
      </c>
    </row>
    <row r="136" spans="1:38" ht="17.149999999999999" x14ac:dyDescent="0.55000000000000004">
      <c r="B136" t="str">
        <f>B132</f>
        <v>Portland</v>
      </c>
      <c r="C136" t="s">
        <v>512</v>
      </c>
      <c r="D136">
        <f t="shared" ref="D136:P136" si="340">D132-D131</f>
        <v>10.400000000000034</v>
      </c>
      <c r="E136">
        <f t="shared" si="340"/>
        <v>13.199999999999989</v>
      </c>
      <c r="F136">
        <f t="shared" si="340"/>
        <v>13.200000000000045</v>
      </c>
      <c r="G136">
        <f t="shared" si="340"/>
        <v>13.399999999999977</v>
      </c>
      <c r="H136">
        <f t="shared" si="340"/>
        <v>13.299999999999955</v>
      </c>
      <c r="I136">
        <f t="shared" si="340"/>
        <v>12.500000000000057</v>
      </c>
      <c r="J136">
        <f t="shared" si="340"/>
        <v>12.699999999999932</v>
      </c>
      <c r="K136">
        <f t="shared" si="340"/>
        <v>13.600000000000023</v>
      </c>
      <c r="L136">
        <f t="shared" si="340"/>
        <v>16.399999999999977</v>
      </c>
      <c r="M136">
        <f t="shared" si="340"/>
        <v>14.699999999999989</v>
      </c>
      <c r="N136">
        <f t="shared" si="340"/>
        <v>12.200000000000045</v>
      </c>
      <c r="O136">
        <f t="shared" si="340"/>
        <v>10</v>
      </c>
      <c r="P136">
        <f t="shared" si="340"/>
        <v>13</v>
      </c>
    </row>
    <row r="137" spans="1:38" x14ac:dyDescent="0.4">
      <c r="B137" t="str">
        <f t="shared" ref="B137:B144" si="341">B136</f>
        <v>Portland</v>
      </c>
      <c r="C137" t="s">
        <v>260</v>
      </c>
      <c r="D137">
        <f t="shared" ref="D137:P137" si="342">VLOOKUP(VLOOKUP($B137,Terminal_X_Ref,2,FALSE)&amp;$C137,Weather_Data,$Y137*D$3+$Z137,FALSE)</f>
        <v>343</v>
      </c>
      <c r="E137">
        <f t="shared" si="342"/>
        <v>600</v>
      </c>
      <c r="F137">
        <f t="shared" si="342"/>
        <v>877</v>
      </c>
      <c r="G137">
        <f t="shared" si="342"/>
        <v>1252</v>
      </c>
      <c r="H137">
        <f t="shared" si="342"/>
        <v>1537</v>
      </c>
      <c r="I137">
        <f t="shared" si="342"/>
        <v>1627</v>
      </c>
      <c r="J137">
        <f t="shared" si="342"/>
        <v>1708</v>
      </c>
      <c r="K137">
        <f t="shared" si="342"/>
        <v>1492</v>
      </c>
      <c r="L137">
        <f t="shared" si="342"/>
        <v>1196</v>
      </c>
      <c r="M137">
        <f t="shared" si="342"/>
        <v>728</v>
      </c>
      <c r="N137">
        <f t="shared" si="342"/>
        <v>391</v>
      </c>
      <c r="O137">
        <f t="shared" si="342"/>
        <v>302</v>
      </c>
      <c r="P137">
        <f t="shared" si="342"/>
        <v>1005</v>
      </c>
      <c r="U137">
        <f>U132</f>
        <v>2</v>
      </c>
      <c r="V137">
        <f t="shared" ref="V137:Z137" si="343">V132</f>
        <v>3</v>
      </c>
      <c r="W137">
        <f t="shared" si="343"/>
        <v>1</v>
      </c>
      <c r="X137">
        <f t="shared" si="343"/>
        <v>2</v>
      </c>
      <c r="Y137">
        <f t="shared" si="343"/>
        <v>1</v>
      </c>
      <c r="Z137">
        <f t="shared" si="343"/>
        <v>1</v>
      </c>
    </row>
    <row r="138" spans="1:38" ht="17.149999999999999" x14ac:dyDescent="0.55000000000000004">
      <c r="B138" t="str">
        <f t="shared" si="341"/>
        <v>Portland</v>
      </c>
      <c r="C138" t="s">
        <v>523</v>
      </c>
      <c r="D138">
        <f>IF(ISNUMBER(D135),0.7*D136+0.02*D135*D137,IF(D135="Partially Insulated",0.6*D136+0.02*D134*D137,0))</f>
        <v>0</v>
      </c>
      <c r="E138">
        <f t="shared" ref="E138:P138" si="344">IF(ISNUMBER(E135),0.7*E136+0.02*E135*E137,IF(E135="Partially Insulated",0.6*E136+0.02*E134*E137,0))</f>
        <v>0</v>
      </c>
      <c r="F138">
        <f t="shared" si="344"/>
        <v>0</v>
      </c>
      <c r="G138">
        <f t="shared" si="344"/>
        <v>0</v>
      </c>
      <c r="H138">
        <f t="shared" si="344"/>
        <v>0</v>
      </c>
      <c r="I138">
        <f t="shared" si="344"/>
        <v>0</v>
      </c>
      <c r="J138">
        <f t="shared" si="344"/>
        <v>0</v>
      </c>
      <c r="K138">
        <f t="shared" si="344"/>
        <v>0</v>
      </c>
      <c r="L138">
        <f t="shared" si="344"/>
        <v>0</v>
      </c>
      <c r="M138">
        <f t="shared" si="344"/>
        <v>0</v>
      </c>
      <c r="N138">
        <f t="shared" si="344"/>
        <v>0</v>
      </c>
      <c r="O138">
        <f t="shared" si="344"/>
        <v>0</v>
      </c>
      <c r="P138">
        <f t="shared" si="344"/>
        <v>0</v>
      </c>
    </row>
    <row r="139" spans="1:38" ht="17.149999999999999" x14ac:dyDescent="0.55000000000000004">
      <c r="B139" t="str">
        <f t="shared" si="341"/>
        <v>Portland</v>
      </c>
      <c r="C139" t="s">
        <v>524</v>
      </c>
      <c r="D139">
        <f t="shared" ref="D139:F139" si="345">AVERAGE(D131:D132)</f>
        <v>503.5</v>
      </c>
      <c r="E139">
        <f t="shared" si="345"/>
        <v>504.30000000000007</v>
      </c>
      <c r="F139">
        <f t="shared" si="345"/>
        <v>505.70000000000005</v>
      </c>
      <c r="G139">
        <f>AVERAGE(G131:G132)</f>
        <v>508.2</v>
      </c>
      <c r="H139">
        <f t="shared" ref="H139:P139" si="346">AVERAGE(H131:H132)</f>
        <v>512.75</v>
      </c>
      <c r="I139">
        <f t="shared" si="346"/>
        <v>516.55000000000007</v>
      </c>
      <c r="J139">
        <f t="shared" si="346"/>
        <v>520.04999999999995</v>
      </c>
      <c r="K139">
        <f t="shared" si="346"/>
        <v>520.5</v>
      </c>
      <c r="L139">
        <f t="shared" si="346"/>
        <v>518.20000000000005</v>
      </c>
      <c r="M139">
        <f t="shared" si="346"/>
        <v>512.25</v>
      </c>
      <c r="N139">
        <f t="shared" si="346"/>
        <v>506.70000000000005</v>
      </c>
      <c r="O139">
        <f t="shared" si="346"/>
        <v>503.20000000000005</v>
      </c>
      <c r="P139">
        <f t="shared" si="346"/>
        <v>51.4</v>
      </c>
    </row>
    <row r="140" spans="1:38" ht="17.149999999999999" x14ac:dyDescent="0.55000000000000004">
      <c r="B140" t="str">
        <f t="shared" si="341"/>
        <v>Portland</v>
      </c>
      <c r="C140" t="s">
        <v>525</v>
      </c>
      <c r="D140" cm="1">
        <f t="array" ref="D140">IFERROR(IF(ISBLANK(INDEX(FX_Input,$R131,D$3*$AK131+$AL131)),D139+0.003*D133*D137,INDEX(FX_Input,$R131,D$3*$AK131+$AL131)+459.6),D139)</f>
        <v>503.5</v>
      </c>
      <c r="E140" cm="1">
        <f t="array" ref="E140">IFERROR(IF(ISBLANK(INDEX(FX_Input,$R131,E$3*$AK131+$AL131)),E139+0.003*E133*E137,INDEX(FX_Input,$R131,E$3*$AK131+$AL131)+459.6),E139)</f>
        <v>504.30000000000007</v>
      </c>
      <c r="F140" cm="1">
        <f t="array" ref="F140">IFERROR(IF(ISBLANK(INDEX(FX_Input,$R131,F$3*$AK131+$AL131)),F139+0.003*F133*F137,INDEX(FX_Input,$R131,F$3*$AK131+$AL131)+459.6),F139)</f>
        <v>505.70000000000005</v>
      </c>
      <c r="G140" cm="1">
        <f t="array" ref="G140">IFERROR(IF(ISBLANK(INDEX(FX_Input,$R131,G$3*$AK131+$AL131)),G139+0.003*G133*G137,INDEX(FX_Input,$R131,G$3*$AK131+$AL131)+459.6),G139)</f>
        <v>508.2</v>
      </c>
      <c r="H140" cm="1">
        <f t="array" ref="H140">IFERROR(IF(ISBLANK(INDEX(FX_Input,$R131,H$3*$AK131+$AL131)),H139+0.003*H133*H137,INDEX(FX_Input,$R131,H$3*$AK131+$AL131)+459.6),H139)</f>
        <v>512.75</v>
      </c>
      <c r="I140" cm="1">
        <f t="array" ref="I140">IFERROR(IF(ISBLANK(INDEX(FX_Input,$R131,I$3*$AK131+$AL131)),I139+0.003*I133*I137,INDEX(FX_Input,$R131,I$3*$AK131+$AL131)+459.6),I139)</f>
        <v>516.55000000000007</v>
      </c>
      <c r="J140" cm="1">
        <f t="array" ref="J140">IFERROR(IF(ISBLANK(INDEX(FX_Input,$R131,J$3*$AK131+$AL131)),J139+0.003*J133*J137,INDEX(FX_Input,$R131,J$3*$AK131+$AL131)+459.6),J139)</f>
        <v>520.04999999999995</v>
      </c>
      <c r="K140" cm="1">
        <f t="array" ref="K140">IFERROR(IF(ISBLANK(INDEX(FX_Input,$R131,K$3*$AK131+$AL131)),K139+0.003*K133*K137,INDEX(FX_Input,$R131,K$3*$AK131+$AL131)+459.6),K139)</f>
        <v>520.5</v>
      </c>
      <c r="L140" cm="1">
        <f t="array" ref="L140">IFERROR(IF(ISBLANK(INDEX(FX_Input,$R131,L$3*$AK131+$AL131)),L139+0.003*L133*L137,INDEX(FX_Input,$R131,L$3*$AK131+$AL131)+459.6),L139)</f>
        <v>518.20000000000005</v>
      </c>
      <c r="M140" cm="1">
        <f t="array" ref="M140">IFERROR(IF(ISBLANK(INDEX(FX_Input,$R131,M$3*$AK131+$AL131)),M139+0.003*M133*M137,INDEX(FX_Input,$R131,M$3*$AK131+$AL131)+459.6),M139)</f>
        <v>512.25</v>
      </c>
      <c r="N140" cm="1">
        <f t="array" ref="N140">IFERROR(IF(ISBLANK(INDEX(FX_Input,$R131,N$3*$AK131+$AL131)),N139+0.003*N133*N137,INDEX(FX_Input,$R131,N$3*$AK131+$AL131)+459.6),N139)</f>
        <v>506.70000000000005</v>
      </c>
      <c r="O140" cm="1">
        <f t="array" ref="O140">IFERROR(IF(ISBLANK(INDEX(FX_Input,$R131,O$3*$AK131+$AL131)),O139+0.003*O133*O137,INDEX(FX_Input,$R131,O$3*$AK131+$AL131)+459.6),O139)</f>
        <v>503.20000000000005</v>
      </c>
      <c r="P140" cm="1">
        <f t="array" ref="P140">IFERROR(IF(ISBLANK(INDEX(FX_Input,$R131,P$3*$AK131+$AL131)),P139+0.003*P133*P137,INDEX(FX_Input,$R131,P$3*$AK131+$AL131)+459.6),P139)</f>
        <v>11578.6</v>
      </c>
    </row>
    <row r="141" spans="1:38" ht="17.149999999999999" x14ac:dyDescent="0.55000000000000004">
      <c r="B141" t="str">
        <f t="shared" si="341"/>
        <v>Portland</v>
      </c>
      <c r="C141" t="s">
        <v>526</v>
      </c>
      <c r="D141">
        <f>IF(ISNUMBER(D135),0.4*D131+0.6*D140+0.005*D135*D137,IF(D135="Partially Insulated",0.3*D139+0.7*D140+0.005*D134*D137,D140))-459.6</f>
        <v>43.899999999999977</v>
      </c>
      <c r="E141">
        <f t="shared" ref="E141" si="347">IF(ISNUMBER(E135),0.4*E131+0.6*E140+0.005*E135*E137,IF(E135="Partially Insulated",0.3*E139+0.7*E140+0.005*E134*E137,E140))-459.6</f>
        <v>44.700000000000045</v>
      </c>
      <c r="F141">
        <f t="shared" ref="F141" si="348">IF(ISNUMBER(F135),0.4*F131+0.6*F140+0.005*F135*F137,IF(F135="Partially Insulated",0.3*F139+0.7*F140+0.005*F134*F137,F140))-459.6</f>
        <v>46.100000000000023</v>
      </c>
      <c r="G141">
        <f t="shared" ref="G141" si="349">IF(ISNUMBER(G135),0.4*G131+0.6*G140+0.005*G135*G137,IF(G135="Partially Insulated",0.3*G139+0.7*G140+0.005*G134*G137,G140))-459.6</f>
        <v>48.599999999999966</v>
      </c>
      <c r="H141">
        <f t="shared" ref="H141" si="350">IF(ISNUMBER(H135),0.4*H131+0.6*H140+0.005*H135*H137,IF(H135="Partially Insulated",0.3*H139+0.7*H140+0.005*H134*H137,H140))-459.6</f>
        <v>53.149999999999977</v>
      </c>
      <c r="I141">
        <f t="shared" ref="I141" si="351">IF(ISNUMBER(I135),0.4*I131+0.6*I140+0.005*I135*I137,IF(I135="Partially Insulated",0.3*I139+0.7*I140+0.005*I134*I137,I140))-459.6</f>
        <v>56.950000000000045</v>
      </c>
      <c r="J141">
        <f t="shared" ref="J141" si="352">IF(ISNUMBER(J135),0.4*J131+0.6*J140+0.005*J135*J137,IF(J135="Partially Insulated",0.3*J139+0.7*J140+0.005*J134*J137,J140))-459.6</f>
        <v>60.449999999999932</v>
      </c>
      <c r="K141">
        <f t="shared" ref="K141" si="353">IF(ISNUMBER(K135),0.4*K131+0.6*K140+0.005*K135*K137,IF(K135="Partially Insulated",0.3*K139+0.7*K140+0.005*K134*K137,K140))-459.6</f>
        <v>60.899999999999977</v>
      </c>
      <c r="L141">
        <f t="shared" ref="L141" si="354">IF(ISNUMBER(L135),0.4*L131+0.6*L140+0.005*L135*L137,IF(L135="Partially Insulated",0.3*L139+0.7*L140+0.005*L134*L137,L140))-459.6</f>
        <v>58.600000000000023</v>
      </c>
      <c r="M141">
        <f t="shared" ref="M141" si="355">IF(ISNUMBER(M135),0.4*M131+0.6*M140+0.005*M135*M137,IF(M135="Partially Insulated",0.3*M139+0.7*M140+0.005*M134*M137,M140))-459.6</f>
        <v>52.649999999999977</v>
      </c>
      <c r="N141">
        <f t="shared" ref="N141" si="356">IF(ISNUMBER(N135),0.4*N131+0.6*N140+0.005*N135*N137,IF(N135="Partially Insulated",0.3*N139+0.7*N140+0.005*N134*N137,N140))-459.6</f>
        <v>47.100000000000023</v>
      </c>
      <c r="O141">
        <f t="shared" ref="O141" si="357">IF(ISNUMBER(O135),0.4*O131+0.6*O140+0.005*O135*O137,IF(O135="Partially Insulated",0.3*O139+0.7*O140+0.005*O134*O137,O140))-459.6</f>
        <v>43.600000000000023</v>
      </c>
      <c r="P141">
        <f>AVERAGE(D141:O141)</f>
        <v>51.391666666666673</v>
      </c>
    </row>
    <row r="142" spans="1:38" ht="17.149999999999999" x14ac:dyDescent="0.55000000000000004">
      <c r="B142" t="str">
        <f t="shared" si="341"/>
        <v>Portland</v>
      </c>
      <c r="C142" t="s">
        <v>527</v>
      </c>
      <c r="D142">
        <f>IF(ISNUMBER(D135),0.4*D132+0.6*D140+0.005*D135*D137,IF(D135="Partially Insulated",0.3*D139+0.7*D140+0.005*D134*D137,D140))-459.6</f>
        <v>43.899999999999977</v>
      </c>
      <c r="E142">
        <f t="shared" ref="E142:O142" si="358">IF(ISNUMBER(E135),0.4*E132+0.6*E140+0.005*E135*E137,IF(E135="Partially Insulated",0.3*E139+0.7*E140+0.005*E134*E137,E140))-459.6</f>
        <v>44.700000000000045</v>
      </c>
      <c r="F142">
        <f t="shared" si="358"/>
        <v>46.100000000000023</v>
      </c>
      <c r="G142">
        <f t="shared" si="358"/>
        <v>48.599999999999966</v>
      </c>
      <c r="H142">
        <f t="shared" si="358"/>
        <v>53.149999999999977</v>
      </c>
      <c r="I142">
        <f t="shared" si="358"/>
        <v>56.950000000000045</v>
      </c>
      <c r="J142">
        <f t="shared" si="358"/>
        <v>60.449999999999932</v>
      </c>
      <c r="K142">
        <f t="shared" si="358"/>
        <v>60.899999999999977</v>
      </c>
      <c r="L142">
        <f t="shared" si="358"/>
        <v>58.600000000000023</v>
      </c>
      <c r="M142">
        <f t="shared" si="358"/>
        <v>52.649999999999977</v>
      </c>
      <c r="N142">
        <f t="shared" si="358"/>
        <v>47.100000000000023</v>
      </c>
      <c r="O142">
        <f t="shared" si="358"/>
        <v>43.600000000000023</v>
      </c>
      <c r="P142">
        <f>AVERAGE(D142:O142)</f>
        <v>51.391666666666673</v>
      </c>
    </row>
    <row r="143" spans="1:38" ht="17.149999999999999" x14ac:dyDescent="0.55000000000000004">
      <c r="B143" t="str">
        <f t="shared" si="341"/>
        <v>Portland</v>
      </c>
      <c r="C143" t="s">
        <v>552</v>
      </c>
      <c r="D143">
        <f>IF(ISNUMBER(D135),0.4*D139+0.6*D140+0.005*D135*D137,IF(D135="Partially Insulated",0.3*D139+0.7*D140+0.005*D134*D137,D140))-459.6</f>
        <v>43.899999999999977</v>
      </c>
      <c r="E143">
        <f t="shared" ref="E143:O143" si="359">IF(ISNUMBER(E135),0.4*E139+0.6*E140+0.005*E135*E137,IF(E135="Partially Insulated",0.3*E139+0.7*E140+0.005*E134*E137,E140))-459.6</f>
        <v>44.700000000000045</v>
      </c>
      <c r="F143">
        <f t="shared" si="359"/>
        <v>46.100000000000023</v>
      </c>
      <c r="G143">
        <f t="shared" si="359"/>
        <v>48.599999999999966</v>
      </c>
      <c r="H143">
        <f t="shared" si="359"/>
        <v>53.149999999999977</v>
      </c>
      <c r="I143">
        <f t="shared" si="359"/>
        <v>56.950000000000045</v>
      </c>
      <c r="J143">
        <f t="shared" si="359"/>
        <v>60.449999999999932</v>
      </c>
      <c r="K143">
        <f t="shared" si="359"/>
        <v>60.899999999999977</v>
      </c>
      <c r="L143">
        <f t="shared" si="359"/>
        <v>58.600000000000023</v>
      </c>
      <c r="M143">
        <f t="shared" si="359"/>
        <v>52.649999999999977</v>
      </c>
      <c r="N143">
        <f t="shared" si="359"/>
        <v>47.100000000000023</v>
      </c>
      <c r="O143">
        <f t="shared" si="359"/>
        <v>43.600000000000023</v>
      </c>
      <c r="P143">
        <f>AVERAGE(D143:O143)</f>
        <v>51.391666666666673</v>
      </c>
    </row>
    <row r="144" spans="1:38" ht="17.149999999999999" x14ac:dyDescent="0.55000000000000004">
      <c r="A144" s="11"/>
      <c r="B144" s="11" t="str">
        <f t="shared" si="341"/>
        <v>Portland</v>
      </c>
      <c r="C144" s="11" t="s">
        <v>553</v>
      </c>
      <c r="D144" s="11">
        <f>IF(ISNUMBER(D135),0.7*D139+0.3*D140+0.009*D135*D137,IF(D135="Partially Insulated",0.6*D139+0.4*D140+0.01*D134*D137,D140))-459.6</f>
        <v>43.899999999999977</v>
      </c>
      <c r="E144" s="11">
        <f t="shared" ref="E144:O144" si="360">IF(ISNUMBER(E135),0.7*E139+0.3*E140+0.009*E135*E137,IF(E135="Partially Insulated",0.6*E139+0.4*E140+0.01*E134*E137,E140))-459.6</f>
        <v>44.700000000000045</v>
      </c>
      <c r="F144" s="11">
        <f t="shared" si="360"/>
        <v>46.100000000000023</v>
      </c>
      <c r="G144" s="11">
        <f t="shared" si="360"/>
        <v>48.599999999999966</v>
      </c>
      <c r="H144" s="11">
        <f t="shared" si="360"/>
        <v>53.149999999999977</v>
      </c>
      <c r="I144" s="11">
        <f t="shared" si="360"/>
        <v>56.950000000000045</v>
      </c>
      <c r="J144" s="11">
        <f t="shared" si="360"/>
        <v>60.449999999999932</v>
      </c>
      <c r="K144" s="11">
        <f t="shared" si="360"/>
        <v>60.899999999999977</v>
      </c>
      <c r="L144" s="11">
        <f t="shared" si="360"/>
        <v>58.600000000000023</v>
      </c>
      <c r="M144" s="11">
        <f t="shared" si="360"/>
        <v>52.649999999999977</v>
      </c>
      <c r="N144" s="11">
        <f t="shared" si="360"/>
        <v>47.100000000000023</v>
      </c>
      <c r="O144" s="11">
        <f t="shared" si="360"/>
        <v>43.600000000000023</v>
      </c>
      <c r="P144" s="11">
        <f>AVERAGE(D144:O144)</f>
        <v>51.391666666666673</v>
      </c>
      <c r="Q144" s="11"/>
      <c r="R144" s="11"/>
      <c r="S144" s="11"/>
      <c r="T144" s="11"/>
      <c r="U144" s="11"/>
      <c r="V144" s="11"/>
      <c r="W144" s="11"/>
      <c r="X144" s="11"/>
      <c r="Y144" s="11"/>
      <c r="Z144" s="11"/>
      <c r="AA144" s="11"/>
      <c r="AB144" s="11"/>
      <c r="AC144" s="11"/>
      <c r="AD144" s="11"/>
      <c r="AE144" s="11"/>
      <c r="AF144" s="11"/>
      <c r="AG144" s="11"/>
      <c r="AH144" s="11"/>
      <c r="AI144" s="11"/>
      <c r="AJ144" s="11"/>
      <c r="AK144" s="11"/>
      <c r="AL144" s="11"/>
    </row>
    <row r="145" spans="1:38" ht="17.149999999999999" x14ac:dyDescent="0.55000000000000004">
      <c r="A145" t="str" cm="1">
        <f t="array" ref="A145">INDEX(FX_Input,$R145,S$5)</f>
        <v>FX - 11</v>
      </c>
      <c r="B145" t="str" cm="1">
        <f t="array" ref="B145">INDEX(FX_Input,R145,T145)</f>
        <v>Portland</v>
      </c>
      <c r="C145" t="s">
        <v>510</v>
      </c>
      <c r="D145">
        <f t="shared" ref="D145:O146" si="361">VLOOKUP(VLOOKUP($B145,Terminal_X_Ref,2,FALSE)&amp;$C145,Weather_Data,$Y145*D$3+$Z145,FALSE)+459.6</f>
        <v>498.3</v>
      </c>
      <c r="E145">
        <f t="shared" si="361"/>
        <v>497.70000000000005</v>
      </c>
      <c r="F145">
        <f t="shared" si="361"/>
        <v>499.1</v>
      </c>
      <c r="G145">
        <f t="shared" si="361"/>
        <v>501.5</v>
      </c>
      <c r="H145">
        <f t="shared" si="361"/>
        <v>506.1</v>
      </c>
      <c r="I145">
        <f t="shared" si="361"/>
        <v>510.3</v>
      </c>
      <c r="J145">
        <f t="shared" si="361"/>
        <v>513.70000000000005</v>
      </c>
      <c r="K145">
        <f t="shared" si="361"/>
        <v>513.70000000000005</v>
      </c>
      <c r="L145">
        <f t="shared" si="361"/>
        <v>510</v>
      </c>
      <c r="M145">
        <f t="shared" si="361"/>
        <v>504.90000000000003</v>
      </c>
      <c r="N145">
        <f t="shared" si="361"/>
        <v>500.6</v>
      </c>
      <c r="O145">
        <f t="shared" si="361"/>
        <v>498.20000000000005</v>
      </c>
      <c r="P145">
        <f t="shared" ref="P145:P146" si="362">VLOOKUP(VLOOKUP($B145,Terminal_X_Ref,2,FALSE)&amp;$C145,Weather_Data,$Y145*P$3+$Z145,FALSE)</f>
        <v>44.9</v>
      </c>
      <c r="R145">
        <f>R131+2</f>
        <v>21</v>
      </c>
      <c r="S145">
        <f>S131+1</f>
        <v>11</v>
      </c>
      <c r="T145">
        <v>3</v>
      </c>
      <c r="U145">
        <v>2</v>
      </c>
      <c r="V145">
        <v>3</v>
      </c>
      <c r="W145">
        <v>1</v>
      </c>
      <c r="X145">
        <v>2</v>
      </c>
      <c r="Y145">
        <f>(V145-U145)/(X145-W145)</f>
        <v>1</v>
      </c>
      <c r="Z145">
        <f>U145-Y145*W145</f>
        <v>1</v>
      </c>
      <c r="AA145">
        <f>AA131+1</f>
        <v>11</v>
      </c>
      <c r="AB145">
        <v>6</v>
      </c>
      <c r="AC145">
        <v>3</v>
      </c>
      <c r="AD145">
        <v>13</v>
      </c>
      <c r="AE145">
        <v>12</v>
      </c>
      <c r="AF145">
        <v>14</v>
      </c>
      <c r="AG145">
        <v>77</v>
      </c>
      <c r="AH145">
        <v>78</v>
      </c>
      <c r="AI145">
        <v>1</v>
      </c>
      <c r="AJ145">
        <v>2</v>
      </c>
      <c r="AK145">
        <f>(AH145-AG145)/(AJ145-AI145)</f>
        <v>1</v>
      </c>
      <c r="AL145">
        <f>AG145-AK145*AI145</f>
        <v>76</v>
      </c>
    </row>
    <row r="146" spans="1:38" ht="17.149999999999999" x14ac:dyDescent="0.55000000000000004">
      <c r="B146" t="str">
        <f t="shared" ref="B146" si="363">B145</f>
        <v>Portland</v>
      </c>
      <c r="C146" t="s">
        <v>511</v>
      </c>
      <c r="D146">
        <f t="shared" si="361"/>
        <v>508.70000000000005</v>
      </c>
      <c r="E146">
        <f t="shared" si="361"/>
        <v>510.90000000000003</v>
      </c>
      <c r="F146">
        <f t="shared" si="361"/>
        <v>512.30000000000007</v>
      </c>
      <c r="G146">
        <f t="shared" si="361"/>
        <v>514.9</v>
      </c>
      <c r="H146">
        <f t="shared" si="361"/>
        <v>519.4</v>
      </c>
      <c r="I146">
        <f t="shared" si="361"/>
        <v>522.80000000000007</v>
      </c>
      <c r="J146">
        <f t="shared" si="361"/>
        <v>526.4</v>
      </c>
      <c r="K146">
        <f t="shared" si="361"/>
        <v>527.30000000000007</v>
      </c>
      <c r="L146">
        <f t="shared" si="361"/>
        <v>526.4</v>
      </c>
      <c r="M146">
        <f t="shared" si="361"/>
        <v>519.6</v>
      </c>
      <c r="N146">
        <f t="shared" si="361"/>
        <v>512.80000000000007</v>
      </c>
      <c r="O146">
        <f t="shared" si="361"/>
        <v>508.20000000000005</v>
      </c>
      <c r="P146">
        <f t="shared" si="362"/>
        <v>57.9</v>
      </c>
      <c r="U146">
        <f>U145</f>
        <v>2</v>
      </c>
      <c r="V146">
        <f t="shared" ref="V146:Z146" si="364">V145</f>
        <v>3</v>
      </c>
      <c r="W146">
        <f t="shared" si="364"/>
        <v>1</v>
      </c>
      <c r="X146">
        <f t="shared" si="364"/>
        <v>2</v>
      </c>
      <c r="Y146">
        <f t="shared" si="364"/>
        <v>1</v>
      </c>
      <c r="Z146">
        <f t="shared" si="364"/>
        <v>1</v>
      </c>
      <c r="AA146">
        <f>AA145</f>
        <v>11</v>
      </c>
      <c r="AB146">
        <f t="shared" ref="AB146:AB149" si="365">AB145</f>
        <v>6</v>
      </c>
      <c r="AC146">
        <f t="shared" ref="AC146:AF149" si="366">AC145</f>
        <v>3</v>
      </c>
      <c r="AD146">
        <f t="shared" si="366"/>
        <v>13</v>
      </c>
      <c r="AE146">
        <f t="shared" si="366"/>
        <v>12</v>
      </c>
      <c r="AF146">
        <f t="shared" si="366"/>
        <v>14</v>
      </c>
      <c r="AG146">
        <f t="shared" ref="AG146:AG149" si="367">AG145</f>
        <v>77</v>
      </c>
      <c r="AH146">
        <f t="shared" ref="AH146:AH149" si="368">AH145</f>
        <v>78</v>
      </c>
      <c r="AI146">
        <f t="shared" ref="AI146:AI149" si="369">AI145</f>
        <v>1</v>
      </c>
      <c r="AJ146">
        <f t="shared" ref="AJ146:AJ149" si="370">AJ145</f>
        <v>2</v>
      </c>
      <c r="AK146">
        <f t="shared" ref="AK146:AK149" si="371">AK145</f>
        <v>1</v>
      </c>
      <c r="AL146">
        <f t="shared" ref="AL146:AL149" si="372">AL145</f>
        <v>76</v>
      </c>
    </row>
    <row r="147" spans="1:38" ht="17.149999999999999" x14ac:dyDescent="0.4">
      <c r="B147" t="str">
        <f>B146</f>
        <v>Portland</v>
      </c>
      <c r="C147" s="66" t="s">
        <v>514</v>
      </c>
      <c r="D147" cm="1">
        <f t="array" ref="D147">INDEX(FX_Calcs,$AA147,$AE147)</f>
        <v>0.25</v>
      </c>
      <c r="E147" cm="1">
        <f t="array" ref="E147">INDEX(FX_Calcs,$AA147,$AE147)</f>
        <v>0.25</v>
      </c>
      <c r="F147" cm="1">
        <f t="array" ref="F147">INDEX(FX_Calcs,$AA147,$AE147)</f>
        <v>0.25</v>
      </c>
      <c r="G147" cm="1">
        <f t="array" ref="G147">INDEX(FX_Calcs,$AA147,$AE147)</f>
        <v>0.25</v>
      </c>
      <c r="H147" cm="1">
        <f t="array" ref="H147">INDEX(FX_Calcs,$AA147,$AE147)</f>
        <v>0.25</v>
      </c>
      <c r="I147" cm="1">
        <f t="array" ref="I147">INDEX(FX_Calcs,$AA147,$AE147)</f>
        <v>0.25</v>
      </c>
      <c r="J147" cm="1">
        <f t="array" ref="J147">INDEX(FX_Calcs,$AA147,$AE147)</f>
        <v>0.25</v>
      </c>
      <c r="K147" cm="1">
        <f t="array" ref="K147">INDEX(FX_Calcs,$AA147,$AE147)</f>
        <v>0.25</v>
      </c>
      <c r="L147" cm="1">
        <f t="array" ref="L147">INDEX(FX_Calcs,$AA147,$AE147)</f>
        <v>0.25</v>
      </c>
      <c r="M147" cm="1">
        <f t="array" ref="M147">INDEX(FX_Calcs,$AA147,$AE147)</f>
        <v>0.25</v>
      </c>
      <c r="N147" cm="1">
        <f t="array" ref="N147">INDEX(FX_Calcs,$AA147,$AE147)</f>
        <v>0.25</v>
      </c>
      <c r="O147" cm="1">
        <f t="array" ref="O147">INDEX(FX_Calcs,$AA147,$AE147)</f>
        <v>0.25</v>
      </c>
      <c r="P147" cm="1">
        <f t="array" ref="P147">INDEX(FX_Calcs,$AA147,$AE147)</f>
        <v>0.25</v>
      </c>
      <c r="AA147">
        <f>AA146</f>
        <v>11</v>
      </c>
      <c r="AB147">
        <f t="shared" si="365"/>
        <v>6</v>
      </c>
      <c r="AC147">
        <f t="shared" si="366"/>
        <v>3</v>
      </c>
      <c r="AD147">
        <f t="shared" si="366"/>
        <v>13</v>
      </c>
      <c r="AE147">
        <f t="shared" si="366"/>
        <v>12</v>
      </c>
      <c r="AF147">
        <f t="shared" si="366"/>
        <v>14</v>
      </c>
      <c r="AG147">
        <f t="shared" si="367"/>
        <v>77</v>
      </c>
      <c r="AH147">
        <f t="shared" si="368"/>
        <v>78</v>
      </c>
      <c r="AI147">
        <f t="shared" si="369"/>
        <v>1</v>
      </c>
      <c r="AJ147">
        <f t="shared" si="370"/>
        <v>2</v>
      </c>
      <c r="AK147">
        <f t="shared" si="371"/>
        <v>1</v>
      </c>
      <c r="AL147">
        <f t="shared" si="372"/>
        <v>76</v>
      </c>
    </row>
    <row r="148" spans="1:38" ht="17.149999999999999" x14ac:dyDescent="0.4">
      <c r="B148" t="str">
        <f t="shared" ref="B148:B149" si="373">B147</f>
        <v>Portland</v>
      </c>
      <c r="C148" s="66" t="s">
        <v>513</v>
      </c>
      <c r="D148" cm="1">
        <f t="array" ref="D148">INDEX(FX_Calcs,$AA148,$AD148)</f>
        <v>0.25</v>
      </c>
      <c r="E148" cm="1">
        <f t="array" ref="E148">INDEX(FX_Calcs,$AA148,$AD148)</f>
        <v>0.25</v>
      </c>
      <c r="F148" cm="1">
        <f t="array" ref="F148">INDEX(FX_Calcs,$AA148,$AD148)</f>
        <v>0.25</v>
      </c>
      <c r="G148" cm="1">
        <f t="array" ref="G148">INDEX(FX_Calcs,$AA148,$AD148)</f>
        <v>0.25</v>
      </c>
      <c r="H148" cm="1">
        <f t="array" ref="H148">INDEX(FX_Calcs,$AA148,$AD148)</f>
        <v>0.25</v>
      </c>
      <c r="I148" cm="1">
        <f t="array" ref="I148">INDEX(FX_Calcs,$AA148,$AD148)</f>
        <v>0.25</v>
      </c>
      <c r="J148" cm="1">
        <f t="array" ref="J148">INDEX(FX_Calcs,$AA148,$AD148)</f>
        <v>0.25</v>
      </c>
      <c r="K148" cm="1">
        <f t="array" ref="K148">INDEX(FX_Calcs,$AA148,$AD148)</f>
        <v>0.25</v>
      </c>
      <c r="L148" cm="1">
        <f t="array" ref="L148">INDEX(FX_Calcs,$AA148,$AD148)</f>
        <v>0.25</v>
      </c>
      <c r="M148" cm="1">
        <f t="array" ref="M148">INDEX(FX_Calcs,$AA148,$AD148)</f>
        <v>0.25</v>
      </c>
      <c r="N148" cm="1">
        <f t="array" ref="N148">INDEX(FX_Calcs,$AA148,$AD148)</f>
        <v>0.25</v>
      </c>
      <c r="O148" cm="1">
        <f t="array" ref="O148">INDEX(FX_Calcs,$AA148,$AD148)</f>
        <v>0.25</v>
      </c>
      <c r="P148" cm="1">
        <f t="array" ref="P148">INDEX(FX_Calcs,$AA148,$AD148)</f>
        <v>0.25</v>
      </c>
      <c r="AA148">
        <f>AA147</f>
        <v>11</v>
      </c>
      <c r="AB148">
        <f t="shared" si="365"/>
        <v>6</v>
      </c>
      <c r="AC148">
        <f t="shared" si="366"/>
        <v>3</v>
      </c>
      <c r="AD148">
        <f t="shared" si="366"/>
        <v>13</v>
      </c>
      <c r="AE148">
        <f t="shared" si="366"/>
        <v>12</v>
      </c>
      <c r="AF148">
        <f t="shared" si="366"/>
        <v>14</v>
      </c>
      <c r="AG148">
        <f t="shared" si="367"/>
        <v>77</v>
      </c>
      <c r="AH148">
        <f t="shared" si="368"/>
        <v>78</v>
      </c>
      <c r="AI148">
        <f t="shared" si="369"/>
        <v>1</v>
      </c>
      <c r="AJ148">
        <f t="shared" si="370"/>
        <v>2</v>
      </c>
      <c r="AK148">
        <f t="shared" si="371"/>
        <v>1</v>
      </c>
      <c r="AL148">
        <f t="shared" si="372"/>
        <v>76</v>
      </c>
    </row>
    <row r="149" spans="1:38" x14ac:dyDescent="0.4">
      <c r="B149" t="str">
        <f t="shared" si="373"/>
        <v>Portland</v>
      </c>
      <c r="C149" s="66" t="s">
        <v>558</v>
      </c>
      <c r="D149" cm="1">
        <f t="array" ref="D149">INDEX(FX_Calcs,$AA149,$AF149)</f>
        <v>0.25</v>
      </c>
      <c r="E149" cm="1">
        <f t="array" ref="E149">INDEX(FX_Calcs,$AA149,$AF149)</f>
        <v>0.25</v>
      </c>
      <c r="F149" cm="1">
        <f t="array" ref="F149">INDEX(FX_Calcs,$AA149,$AF149)</f>
        <v>0.25</v>
      </c>
      <c r="G149" cm="1">
        <f t="array" ref="G149">INDEX(FX_Calcs,$AA149,$AF149)</f>
        <v>0.25</v>
      </c>
      <c r="H149" cm="1">
        <f t="array" ref="H149">INDEX(FX_Calcs,$AA149,$AF149)</f>
        <v>0.25</v>
      </c>
      <c r="I149" cm="1">
        <f t="array" ref="I149">INDEX(FX_Calcs,$AA149,$AF149)</f>
        <v>0.25</v>
      </c>
      <c r="J149" cm="1">
        <f t="array" ref="J149">INDEX(FX_Calcs,$AA149,$AF149)</f>
        <v>0.25</v>
      </c>
      <c r="K149" cm="1">
        <f t="array" ref="K149">INDEX(FX_Calcs,$AA149,$AF149)</f>
        <v>0.25</v>
      </c>
      <c r="L149" cm="1">
        <f t="array" ref="L149">INDEX(FX_Calcs,$AA149,$AF149)</f>
        <v>0.25</v>
      </c>
      <c r="M149" cm="1">
        <f t="array" ref="M149">INDEX(FX_Calcs,$AA149,$AF149)</f>
        <v>0.25</v>
      </c>
      <c r="N149" cm="1">
        <f t="array" ref="N149">INDEX(FX_Calcs,$AA149,$AF149)</f>
        <v>0.25</v>
      </c>
      <c r="O149" cm="1">
        <f t="array" ref="O149">INDEX(FX_Calcs,$AA149,$AF149)</f>
        <v>0.25</v>
      </c>
      <c r="P149" cm="1">
        <f t="array" ref="P149">INDEX(FX_Calcs,$AA149,$AF149)</f>
        <v>0.25</v>
      </c>
      <c r="AA149">
        <f>AA148</f>
        <v>11</v>
      </c>
      <c r="AB149">
        <f t="shared" si="365"/>
        <v>6</v>
      </c>
      <c r="AC149">
        <f t="shared" si="366"/>
        <v>3</v>
      </c>
      <c r="AD149">
        <f t="shared" si="366"/>
        <v>13</v>
      </c>
      <c r="AE149">
        <f t="shared" si="366"/>
        <v>12</v>
      </c>
      <c r="AF149">
        <f t="shared" si="366"/>
        <v>14</v>
      </c>
      <c r="AG149">
        <f t="shared" si="367"/>
        <v>77</v>
      </c>
      <c r="AH149">
        <f t="shared" si="368"/>
        <v>78</v>
      </c>
      <c r="AI149">
        <f t="shared" si="369"/>
        <v>1</v>
      </c>
      <c r="AJ149">
        <f t="shared" si="370"/>
        <v>2</v>
      </c>
      <c r="AK149">
        <f t="shared" si="371"/>
        <v>1</v>
      </c>
      <c r="AL149">
        <f t="shared" si="372"/>
        <v>76</v>
      </c>
    </row>
    <row r="150" spans="1:38" ht="17.149999999999999" x14ac:dyDescent="0.55000000000000004">
      <c r="B150" t="str">
        <f>B146</f>
        <v>Portland</v>
      </c>
      <c r="C150" t="s">
        <v>512</v>
      </c>
      <c r="D150">
        <f t="shared" ref="D150:P150" si="374">D146-D145</f>
        <v>10.400000000000034</v>
      </c>
      <c r="E150">
        <f t="shared" si="374"/>
        <v>13.199999999999989</v>
      </c>
      <c r="F150">
        <f t="shared" si="374"/>
        <v>13.200000000000045</v>
      </c>
      <c r="G150">
        <f t="shared" si="374"/>
        <v>13.399999999999977</v>
      </c>
      <c r="H150">
        <f t="shared" si="374"/>
        <v>13.299999999999955</v>
      </c>
      <c r="I150">
        <f t="shared" si="374"/>
        <v>12.500000000000057</v>
      </c>
      <c r="J150">
        <f t="shared" si="374"/>
        <v>12.699999999999932</v>
      </c>
      <c r="K150">
        <f t="shared" si="374"/>
        <v>13.600000000000023</v>
      </c>
      <c r="L150">
        <f t="shared" si="374"/>
        <v>16.399999999999977</v>
      </c>
      <c r="M150">
        <f t="shared" si="374"/>
        <v>14.699999999999989</v>
      </c>
      <c r="N150">
        <f t="shared" si="374"/>
        <v>12.200000000000045</v>
      </c>
      <c r="O150">
        <f t="shared" si="374"/>
        <v>10</v>
      </c>
      <c r="P150">
        <f t="shared" si="374"/>
        <v>13</v>
      </c>
    </row>
    <row r="151" spans="1:38" x14ac:dyDescent="0.4">
      <c r="B151" t="str">
        <f t="shared" ref="B151:B158" si="375">B150</f>
        <v>Portland</v>
      </c>
      <c r="C151" t="s">
        <v>260</v>
      </c>
      <c r="D151">
        <f t="shared" ref="D151:P151" si="376">VLOOKUP(VLOOKUP($B151,Terminal_X_Ref,2,FALSE)&amp;$C151,Weather_Data,$Y151*D$3+$Z151,FALSE)</f>
        <v>343</v>
      </c>
      <c r="E151">
        <f t="shared" si="376"/>
        <v>600</v>
      </c>
      <c r="F151">
        <f t="shared" si="376"/>
        <v>877</v>
      </c>
      <c r="G151">
        <f t="shared" si="376"/>
        <v>1252</v>
      </c>
      <c r="H151">
        <f t="shared" si="376"/>
        <v>1537</v>
      </c>
      <c r="I151">
        <f t="shared" si="376"/>
        <v>1627</v>
      </c>
      <c r="J151">
        <f t="shared" si="376"/>
        <v>1708</v>
      </c>
      <c r="K151">
        <f t="shared" si="376"/>
        <v>1492</v>
      </c>
      <c r="L151">
        <f t="shared" si="376"/>
        <v>1196</v>
      </c>
      <c r="M151">
        <f t="shared" si="376"/>
        <v>728</v>
      </c>
      <c r="N151">
        <f t="shared" si="376"/>
        <v>391</v>
      </c>
      <c r="O151">
        <f t="shared" si="376"/>
        <v>302</v>
      </c>
      <c r="P151">
        <f t="shared" si="376"/>
        <v>1005</v>
      </c>
      <c r="U151">
        <f>U146</f>
        <v>2</v>
      </c>
      <c r="V151">
        <f t="shared" ref="V151:Z151" si="377">V146</f>
        <v>3</v>
      </c>
      <c r="W151">
        <f t="shared" si="377"/>
        <v>1</v>
      </c>
      <c r="X151">
        <f t="shared" si="377"/>
        <v>2</v>
      </c>
      <c r="Y151">
        <f t="shared" si="377"/>
        <v>1</v>
      </c>
      <c r="Z151">
        <f t="shared" si="377"/>
        <v>1</v>
      </c>
    </row>
    <row r="152" spans="1:38" ht="17.149999999999999" x14ac:dyDescent="0.55000000000000004">
      <c r="B152" t="str">
        <f t="shared" si="375"/>
        <v>Portland</v>
      </c>
      <c r="C152" t="s">
        <v>523</v>
      </c>
      <c r="D152">
        <f>IF(ISNUMBER(D149),0.7*D150+0.02*D149*D151,IF(D149="Partially Insulated",0.6*D150+0.02*D148*D151,0))</f>
        <v>8.9950000000000241</v>
      </c>
      <c r="E152">
        <f t="shared" ref="E152:P152" si="378">IF(ISNUMBER(E149),0.7*E150+0.02*E149*E151,IF(E149="Partially Insulated",0.6*E150+0.02*E148*E151,0))</f>
        <v>12.239999999999991</v>
      </c>
      <c r="F152">
        <f t="shared" si="378"/>
        <v>13.62500000000003</v>
      </c>
      <c r="G152">
        <f t="shared" si="378"/>
        <v>15.639999999999983</v>
      </c>
      <c r="H152">
        <f t="shared" si="378"/>
        <v>16.994999999999969</v>
      </c>
      <c r="I152">
        <f t="shared" si="378"/>
        <v>16.885000000000041</v>
      </c>
      <c r="J152">
        <f t="shared" si="378"/>
        <v>17.42999999999995</v>
      </c>
      <c r="K152">
        <f t="shared" si="378"/>
        <v>16.980000000000015</v>
      </c>
      <c r="L152">
        <f t="shared" si="378"/>
        <v>17.459999999999983</v>
      </c>
      <c r="M152">
        <f t="shared" si="378"/>
        <v>13.929999999999993</v>
      </c>
      <c r="N152">
        <f t="shared" si="378"/>
        <v>10.495000000000031</v>
      </c>
      <c r="O152">
        <f t="shared" si="378"/>
        <v>8.51</v>
      </c>
      <c r="P152">
        <f t="shared" si="378"/>
        <v>14.125</v>
      </c>
    </row>
    <row r="153" spans="1:38" ht="17.149999999999999" x14ac:dyDescent="0.55000000000000004">
      <c r="B153" t="str">
        <f t="shared" si="375"/>
        <v>Portland</v>
      </c>
      <c r="C153" t="s">
        <v>524</v>
      </c>
      <c r="D153">
        <f t="shared" ref="D153:F153" si="379">AVERAGE(D145:D146)</f>
        <v>503.5</v>
      </c>
      <c r="E153">
        <f t="shared" si="379"/>
        <v>504.30000000000007</v>
      </c>
      <c r="F153">
        <f t="shared" si="379"/>
        <v>505.70000000000005</v>
      </c>
      <c r="G153">
        <f>AVERAGE(G145:G146)</f>
        <v>508.2</v>
      </c>
      <c r="H153">
        <f t="shared" ref="H153:P153" si="380">AVERAGE(H145:H146)</f>
        <v>512.75</v>
      </c>
      <c r="I153">
        <f t="shared" si="380"/>
        <v>516.55000000000007</v>
      </c>
      <c r="J153">
        <f t="shared" si="380"/>
        <v>520.04999999999995</v>
      </c>
      <c r="K153">
        <f t="shared" si="380"/>
        <v>520.5</v>
      </c>
      <c r="L153">
        <f t="shared" si="380"/>
        <v>518.20000000000005</v>
      </c>
      <c r="M153">
        <f t="shared" si="380"/>
        <v>512.25</v>
      </c>
      <c r="N153">
        <f t="shared" si="380"/>
        <v>506.70000000000005</v>
      </c>
      <c r="O153">
        <f t="shared" si="380"/>
        <v>503.20000000000005</v>
      </c>
      <c r="P153">
        <f t="shared" si="380"/>
        <v>51.4</v>
      </c>
    </row>
    <row r="154" spans="1:38" ht="17.149999999999999" x14ac:dyDescent="0.55000000000000004">
      <c r="B154" t="str">
        <f t="shared" si="375"/>
        <v>Portland</v>
      </c>
      <c r="C154" t="s">
        <v>525</v>
      </c>
      <c r="D154" cm="1">
        <f t="array" ref="D154">IFERROR(IF(ISBLANK(INDEX(FX_Input,$R145,D$3*$AK145+$AL145)),D153+0.003*D147*D151,INDEX(FX_Input,$R145,D$3*$AK145+$AL145)+459.6),D153)</f>
        <v>503.75725</v>
      </c>
      <c r="E154" cm="1">
        <f t="array" ref="E154">IFERROR(IF(ISBLANK(INDEX(FX_Input,$R145,E$3*$AK145+$AL145)),E153+0.003*E147*E151,INDEX(FX_Input,$R145,E$3*$AK145+$AL145)+459.6),E153)</f>
        <v>504.75000000000006</v>
      </c>
      <c r="F154" cm="1">
        <f t="array" ref="F154">IFERROR(IF(ISBLANK(INDEX(FX_Input,$R145,F$3*$AK145+$AL145)),F153+0.003*F147*F151,INDEX(FX_Input,$R145,F$3*$AK145+$AL145)+459.6),F153)</f>
        <v>506.35775000000007</v>
      </c>
      <c r="G154" cm="1">
        <f t="array" ref="G154">IFERROR(IF(ISBLANK(INDEX(FX_Input,$R145,G$3*$AK145+$AL145)),G153+0.003*G147*G151,INDEX(FX_Input,$R145,G$3*$AK145+$AL145)+459.6),G153)</f>
        <v>509.13900000000001</v>
      </c>
      <c r="H154" cm="1">
        <f t="array" ref="H154">IFERROR(IF(ISBLANK(INDEX(FX_Input,$R145,H$3*$AK145+$AL145)),H153+0.003*H147*H151,INDEX(FX_Input,$R145,H$3*$AK145+$AL145)+459.6),H153)</f>
        <v>513.90274999999997</v>
      </c>
      <c r="I154" cm="1">
        <f t="array" ref="I154">IFERROR(IF(ISBLANK(INDEX(FX_Input,$R145,I$3*$AK145+$AL145)),I153+0.003*I147*I151,INDEX(FX_Input,$R145,I$3*$AK145+$AL145)+459.6),I153)</f>
        <v>517.77025000000003</v>
      </c>
      <c r="J154" cm="1">
        <f t="array" ref="J154">IFERROR(IF(ISBLANK(INDEX(FX_Input,$R145,J$3*$AK145+$AL145)),J153+0.003*J147*J151,INDEX(FX_Input,$R145,J$3*$AK145+$AL145)+459.6),J153)</f>
        <v>521.3309999999999</v>
      </c>
      <c r="K154" cm="1">
        <f t="array" ref="K154">IFERROR(IF(ISBLANK(INDEX(FX_Input,$R145,K$3*$AK145+$AL145)),K153+0.003*K147*K151,INDEX(FX_Input,$R145,K$3*$AK145+$AL145)+459.6),K153)</f>
        <v>521.61900000000003</v>
      </c>
      <c r="L154" cm="1">
        <f t="array" ref="L154">IFERROR(IF(ISBLANK(INDEX(FX_Input,$R145,L$3*$AK145+$AL145)),L153+0.003*L147*L151,INDEX(FX_Input,$R145,L$3*$AK145+$AL145)+459.6),L153)</f>
        <v>519.09700000000009</v>
      </c>
      <c r="M154" cm="1">
        <f t="array" ref="M154">IFERROR(IF(ISBLANK(INDEX(FX_Input,$R145,M$3*$AK145+$AL145)),M153+0.003*M147*M151,INDEX(FX_Input,$R145,M$3*$AK145+$AL145)+459.6),M153)</f>
        <v>512.79600000000005</v>
      </c>
      <c r="N154" cm="1">
        <f t="array" ref="N154">IFERROR(IF(ISBLANK(INDEX(FX_Input,$R145,N$3*$AK145+$AL145)),N153+0.003*N147*N151,INDEX(FX_Input,$R145,N$3*$AK145+$AL145)+459.6),N153)</f>
        <v>506.99325000000005</v>
      </c>
      <c r="O154" cm="1">
        <f t="array" ref="O154">IFERROR(IF(ISBLANK(INDEX(FX_Input,$R145,O$3*$AK145+$AL145)),O153+0.003*O147*O151,INDEX(FX_Input,$R145,O$3*$AK145+$AL145)+459.6),O153)</f>
        <v>503.42650000000003</v>
      </c>
      <c r="P154" cm="1">
        <f t="array" ref="P154">IFERROR(IF(ISBLANK(INDEX(FX_Input,$R145,P$3*$AK145+$AL145)),P153+0.003*P147*P151,INDEX(FX_Input,$R145,P$3*$AK145+$AL145)+459.6),P153)</f>
        <v>459.6</v>
      </c>
    </row>
    <row r="155" spans="1:38" ht="17.149999999999999" x14ac:dyDescent="0.55000000000000004">
      <c r="B155" t="str">
        <f t="shared" si="375"/>
        <v>Portland</v>
      </c>
      <c r="C155" t="s">
        <v>526</v>
      </c>
      <c r="D155">
        <f>IF(ISNUMBER(D149),0.4*D145+0.6*D154+0.005*D149*D151,IF(D149="Partially Insulated",0.3*D153+0.7*D154+0.005*D148*D151,D154))-459.6</f>
        <v>42.403099999999938</v>
      </c>
      <c r="E155">
        <f t="shared" ref="E155" si="381">IF(ISNUMBER(E149),0.4*E145+0.6*E154+0.005*E149*E151,IF(E149="Partially Insulated",0.3*E153+0.7*E154+0.005*E148*E151,E154))-459.6</f>
        <v>43.080000000000041</v>
      </c>
      <c r="F155">
        <f t="shared" ref="F155" si="382">IF(ISNUMBER(F149),0.4*F145+0.6*F154+0.005*F149*F151,IF(F149="Partially Insulated",0.3*F153+0.7*F154+0.005*F148*F151,F154))-459.6</f>
        <v>44.95089999999999</v>
      </c>
      <c r="G155">
        <f t="shared" ref="G155" si="383">IF(ISNUMBER(G149),0.4*G145+0.6*G154+0.005*G149*G151,IF(G149="Partially Insulated",0.3*G153+0.7*G154+0.005*G148*G151,G154))-459.6</f>
        <v>48.048400000000015</v>
      </c>
      <c r="H155">
        <f t="shared" ref="H155" si="384">IF(ISNUMBER(H149),0.4*H145+0.6*H154+0.005*H149*H151,IF(H149="Partially Insulated",0.3*H153+0.7*H154+0.005*H148*H151,H154))-459.6</f>
        <v>53.102899999999977</v>
      </c>
      <c r="I155">
        <f t="shared" ref="I155" si="385">IF(ISNUMBER(I149),0.4*I145+0.6*I154+0.005*I149*I151,IF(I149="Partially Insulated",0.3*I153+0.7*I154+0.005*I148*I151,I154))-459.6</f>
        <v>57.215900000000033</v>
      </c>
      <c r="J155">
        <f t="shared" ref="J155" si="386">IF(ISNUMBER(J149),0.4*J145+0.6*J154+0.005*J149*J151,IF(J149="Partially Insulated",0.3*J153+0.7*J154+0.005*J148*J151,J154))-459.6</f>
        <v>60.813599999999838</v>
      </c>
      <c r="K155">
        <f t="shared" ref="K155" si="387">IF(ISNUMBER(K149),0.4*K145+0.6*K154+0.005*K149*K151,IF(K149="Partially Insulated",0.3*K153+0.7*K154+0.005*K148*K151,K154))-459.6</f>
        <v>60.716400000000021</v>
      </c>
      <c r="L155">
        <f t="shared" ref="L155" si="388">IF(ISNUMBER(L149),0.4*L145+0.6*L154+0.005*L149*L151,IF(L149="Partially Insulated",0.3*L153+0.7*L154+0.005*L148*L151,L154))-459.6</f>
        <v>57.353200000000015</v>
      </c>
      <c r="M155">
        <f t="shared" ref="M155" si="389">IF(ISNUMBER(M149),0.4*M145+0.6*M154+0.005*M149*M151,IF(M149="Partially Insulated",0.3*M153+0.7*M154+0.005*M148*M151,M154))-459.6</f>
        <v>50.947600000000079</v>
      </c>
      <c r="N155">
        <f t="shared" ref="N155" si="390">IF(ISNUMBER(N149),0.4*N145+0.6*N154+0.005*N149*N151,IF(N149="Partially Insulated",0.3*N153+0.7*N154+0.005*N148*N151,N154))-459.6</f>
        <v>45.324700000000007</v>
      </c>
      <c r="O155">
        <f t="shared" ref="O155" si="391">IF(ISNUMBER(O149),0.4*O145+0.6*O154+0.005*O149*O151,IF(O149="Partially Insulated",0.3*O153+0.7*O154+0.005*O148*O151,O154))-459.6</f>
        <v>42.113400000000013</v>
      </c>
      <c r="P155">
        <f>AVERAGE(D155:O155)</f>
        <v>50.505841666666662</v>
      </c>
    </row>
    <row r="156" spans="1:38" ht="17.149999999999999" x14ac:dyDescent="0.55000000000000004">
      <c r="B156" t="str">
        <f t="shared" si="375"/>
        <v>Portland</v>
      </c>
      <c r="C156" t="s">
        <v>527</v>
      </c>
      <c r="D156">
        <f>IF(ISNUMBER(D149),0.4*D146+0.6*D154+0.005*D149*D151,IF(D149="Partially Insulated",0.3*D153+0.7*D154+0.005*D148*D151,D154))-459.6</f>
        <v>46.563099999999963</v>
      </c>
      <c r="E156">
        <f t="shared" ref="E156:O156" si="392">IF(ISNUMBER(E149),0.4*E146+0.6*E154+0.005*E149*E151,IF(E149="Partially Insulated",0.3*E153+0.7*E154+0.005*E148*E151,E154))-459.6</f>
        <v>48.360000000000014</v>
      </c>
      <c r="F156">
        <f t="shared" si="392"/>
        <v>50.230900000000076</v>
      </c>
      <c r="G156">
        <f t="shared" si="392"/>
        <v>53.408400000000029</v>
      </c>
      <c r="H156">
        <f t="shared" si="392"/>
        <v>58.422899999999913</v>
      </c>
      <c r="I156">
        <f t="shared" si="392"/>
        <v>62.215900000000033</v>
      </c>
      <c r="J156">
        <f t="shared" si="392"/>
        <v>65.893599999999878</v>
      </c>
      <c r="K156">
        <f t="shared" si="392"/>
        <v>66.156400000000076</v>
      </c>
      <c r="L156">
        <f t="shared" si="392"/>
        <v>63.913199999999961</v>
      </c>
      <c r="M156">
        <f t="shared" si="392"/>
        <v>56.827600000000075</v>
      </c>
      <c r="N156">
        <f t="shared" si="392"/>
        <v>50.204700000000003</v>
      </c>
      <c r="O156">
        <f t="shared" si="392"/>
        <v>46.113400000000013</v>
      </c>
      <c r="P156">
        <f>AVERAGE(D156:O156)</f>
        <v>55.692508333333329</v>
      </c>
    </row>
    <row r="157" spans="1:38" ht="17.149999999999999" x14ac:dyDescent="0.55000000000000004">
      <c r="B157" t="str">
        <f t="shared" si="375"/>
        <v>Portland</v>
      </c>
      <c r="C157" t="s">
        <v>552</v>
      </c>
      <c r="D157">
        <f>IF(ISNUMBER(D149),0.4*D153+0.6*D154+0.005*D149*D151,IF(D149="Partially Insulated",0.3*D153+0.7*D154+0.005*D148*D151,D154))-459.6</f>
        <v>44.483099999999979</v>
      </c>
      <c r="E157">
        <f t="shared" ref="E157:O157" si="393">IF(ISNUMBER(E149),0.4*E153+0.6*E154+0.005*E149*E151,IF(E149="Partially Insulated",0.3*E153+0.7*E154+0.005*E148*E151,E154))-459.6</f>
        <v>45.720000000000027</v>
      </c>
      <c r="F157">
        <f t="shared" si="393"/>
        <v>47.590900000000033</v>
      </c>
      <c r="G157">
        <f t="shared" si="393"/>
        <v>50.728400000000022</v>
      </c>
      <c r="H157">
        <f t="shared" si="393"/>
        <v>55.762899999999945</v>
      </c>
      <c r="I157">
        <f t="shared" si="393"/>
        <v>59.715900000000033</v>
      </c>
      <c r="J157">
        <f t="shared" si="393"/>
        <v>63.353599999999801</v>
      </c>
      <c r="K157">
        <f t="shared" si="393"/>
        <v>63.436400000000049</v>
      </c>
      <c r="L157">
        <f t="shared" si="393"/>
        <v>60.633199999999988</v>
      </c>
      <c r="M157">
        <f t="shared" si="393"/>
        <v>53.88760000000002</v>
      </c>
      <c r="N157">
        <f t="shared" si="393"/>
        <v>47.764700000000062</v>
      </c>
      <c r="O157">
        <f t="shared" si="393"/>
        <v>44.113400000000013</v>
      </c>
      <c r="P157">
        <f>AVERAGE(D157:O157)</f>
        <v>53.099175000000002</v>
      </c>
    </row>
    <row r="158" spans="1:38" ht="17.149999999999999" x14ac:dyDescent="0.55000000000000004">
      <c r="A158" s="11"/>
      <c r="B158" s="11" t="str">
        <f t="shared" si="375"/>
        <v>Portland</v>
      </c>
      <c r="C158" s="11" t="s">
        <v>553</v>
      </c>
      <c r="D158" s="11">
        <f>IF(ISNUMBER(D149),0.7*D153+0.3*D154+0.009*D149*D151,IF(D149="Partially Insulated",0.6*D153+0.4*D154+0.01*D148*D151,D154))-459.6</f>
        <v>44.748924999999986</v>
      </c>
      <c r="E158" s="11">
        <f t="shared" ref="E158:O158" si="394">IF(ISNUMBER(E149),0.7*E153+0.3*E154+0.009*E149*E151,IF(E149="Partially Insulated",0.6*E153+0.4*E154+0.01*E148*E151,E154))-459.6</f>
        <v>46.185000000000059</v>
      </c>
      <c r="F158" s="11">
        <f t="shared" si="394"/>
        <v>48.270575000000008</v>
      </c>
      <c r="G158" s="11">
        <f t="shared" si="394"/>
        <v>51.698699999999917</v>
      </c>
      <c r="H158" s="11">
        <f t="shared" si="394"/>
        <v>56.954074999999875</v>
      </c>
      <c r="I158" s="11">
        <f t="shared" si="394"/>
        <v>60.976825000000076</v>
      </c>
      <c r="J158" s="11">
        <f t="shared" si="394"/>
        <v>64.677299999999832</v>
      </c>
      <c r="K158" s="11">
        <f t="shared" si="394"/>
        <v>64.592699999999923</v>
      </c>
      <c r="L158" s="11">
        <f t="shared" si="394"/>
        <v>61.560100000000034</v>
      </c>
      <c r="M158" s="11">
        <f t="shared" si="394"/>
        <v>54.451800000000048</v>
      </c>
      <c r="N158" s="11">
        <f t="shared" si="394"/>
        <v>48.067724999999996</v>
      </c>
      <c r="O158" s="11">
        <f t="shared" si="394"/>
        <v>44.347450000000038</v>
      </c>
      <c r="P158" s="11">
        <f>AVERAGE(D158:O158)</f>
        <v>53.877597916666652</v>
      </c>
      <c r="Q158" s="11"/>
      <c r="R158" s="11"/>
      <c r="S158" s="11"/>
      <c r="T158" s="11"/>
      <c r="U158" s="11"/>
      <c r="V158" s="11"/>
      <c r="W158" s="11"/>
      <c r="X158" s="11"/>
      <c r="Y158" s="11"/>
      <c r="Z158" s="11"/>
      <c r="AA158" s="11"/>
      <c r="AB158" s="11"/>
      <c r="AC158" s="11"/>
      <c r="AD158" s="11"/>
      <c r="AE158" s="11"/>
      <c r="AF158" s="11"/>
      <c r="AG158" s="11"/>
      <c r="AH158" s="11"/>
      <c r="AI158" s="11"/>
      <c r="AJ158" s="11"/>
      <c r="AK158" s="11"/>
      <c r="AL158" s="11"/>
    </row>
    <row r="159" spans="1:38" ht="17.149999999999999" x14ac:dyDescent="0.55000000000000004">
      <c r="A159" t="str" cm="1">
        <f t="array" ref="A159">INDEX(FX_Input,$R159,S$5)</f>
        <v>FX - 12</v>
      </c>
      <c r="B159" t="str" cm="1">
        <f t="array" ref="B159">INDEX(FX_Input,R159,T159)</f>
        <v>Portland</v>
      </c>
      <c r="C159" t="s">
        <v>510</v>
      </c>
      <c r="D159">
        <f t="shared" ref="D159:O160" si="395">VLOOKUP(VLOOKUP($B159,Terminal_X_Ref,2,FALSE)&amp;$C159,Weather_Data,$Y159*D$3+$Z159,FALSE)+459.6</f>
        <v>498.3</v>
      </c>
      <c r="E159">
        <f t="shared" si="395"/>
        <v>497.70000000000005</v>
      </c>
      <c r="F159">
        <f t="shared" si="395"/>
        <v>499.1</v>
      </c>
      <c r="G159">
        <f t="shared" si="395"/>
        <v>501.5</v>
      </c>
      <c r="H159">
        <f t="shared" si="395"/>
        <v>506.1</v>
      </c>
      <c r="I159">
        <f t="shared" si="395"/>
        <v>510.3</v>
      </c>
      <c r="J159">
        <f t="shared" si="395"/>
        <v>513.70000000000005</v>
      </c>
      <c r="K159">
        <f t="shared" si="395"/>
        <v>513.70000000000005</v>
      </c>
      <c r="L159">
        <f t="shared" si="395"/>
        <v>510</v>
      </c>
      <c r="M159">
        <f t="shared" si="395"/>
        <v>504.90000000000003</v>
      </c>
      <c r="N159">
        <f t="shared" si="395"/>
        <v>500.6</v>
      </c>
      <c r="O159">
        <f t="shared" si="395"/>
        <v>498.20000000000005</v>
      </c>
      <c r="P159">
        <f t="shared" ref="P159:P160" si="396">VLOOKUP(VLOOKUP($B159,Terminal_X_Ref,2,FALSE)&amp;$C159,Weather_Data,$Y159*P$3+$Z159,FALSE)</f>
        <v>44.9</v>
      </c>
      <c r="R159">
        <f>R145+2</f>
        <v>23</v>
      </c>
      <c r="S159">
        <f>S145+1</f>
        <v>12</v>
      </c>
      <c r="T159">
        <v>3</v>
      </c>
      <c r="U159">
        <v>2</v>
      </c>
      <c r="V159">
        <v>3</v>
      </c>
      <c r="W159">
        <v>1</v>
      </c>
      <c r="X159">
        <v>2</v>
      </c>
      <c r="Y159">
        <f>(V159-U159)/(X159-W159)</f>
        <v>1</v>
      </c>
      <c r="Z159">
        <f>U159-Y159*W159</f>
        <v>1</v>
      </c>
      <c r="AA159">
        <f>AA145+1</f>
        <v>12</v>
      </c>
      <c r="AB159">
        <v>6</v>
      </c>
      <c r="AC159">
        <v>3</v>
      </c>
      <c r="AD159">
        <v>13</v>
      </c>
      <c r="AE159">
        <v>12</v>
      </c>
      <c r="AF159">
        <v>14</v>
      </c>
      <c r="AG159">
        <v>77</v>
      </c>
      <c r="AH159">
        <v>78</v>
      </c>
      <c r="AI159">
        <v>1</v>
      </c>
      <c r="AJ159">
        <v>2</v>
      </c>
      <c r="AK159">
        <f>(AH159-AG159)/(AJ159-AI159)</f>
        <v>1</v>
      </c>
      <c r="AL159">
        <f>AG159-AK159*AI159</f>
        <v>76</v>
      </c>
    </row>
    <row r="160" spans="1:38" ht="17.149999999999999" x14ac:dyDescent="0.55000000000000004">
      <c r="B160" t="str">
        <f t="shared" ref="B160" si="397">B159</f>
        <v>Portland</v>
      </c>
      <c r="C160" t="s">
        <v>511</v>
      </c>
      <c r="D160">
        <f t="shared" si="395"/>
        <v>508.70000000000005</v>
      </c>
      <c r="E160">
        <f t="shared" si="395"/>
        <v>510.90000000000003</v>
      </c>
      <c r="F160">
        <f t="shared" si="395"/>
        <v>512.30000000000007</v>
      </c>
      <c r="G160">
        <f t="shared" si="395"/>
        <v>514.9</v>
      </c>
      <c r="H160">
        <f t="shared" si="395"/>
        <v>519.4</v>
      </c>
      <c r="I160">
        <f t="shared" si="395"/>
        <v>522.80000000000007</v>
      </c>
      <c r="J160">
        <f t="shared" si="395"/>
        <v>526.4</v>
      </c>
      <c r="K160">
        <f t="shared" si="395"/>
        <v>527.30000000000007</v>
      </c>
      <c r="L160">
        <f t="shared" si="395"/>
        <v>526.4</v>
      </c>
      <c r="M160">
        <f t="shared" si="395"/>
        <v>519.6</v>
      </c>
      <c r="N160">
        <f t="shared" si="395"/>
        <v>512.80000000000007</v>
      </c>
      <c r="O160">
        <f t="shared" si="395"/>
        <v>508.20000000000005</v>
      </c>
      <c r="P160">
        <f t="shared" si="396"/>
        <v>57.9</v>
      </c>
      <c r="U160">
        <f>U159</f>
        <v>2</v>
      </c>
      <c r="V160">
        <f t="shared" ref="V160:Z160" si="398">V159</f>
        <v>3</v>
      </c>
      <c r="W160">
        <f t="shared" si="398"/>
        <v>1</v>
      </c>
      <c r="X160">
        <f t="shared" si="398"/>
        <v>2</v>
      </c>
      <c r="Y160">
        <f t="shared" si="398"/>
        <v>1</v>
      </c>
      <c r="Z160">
        <f t="shared" si="398"/>
        <v>1</v>
      </c>
      <c r="AA160">
        <f>AA159</f>
        <v>12</v>
      </c>
      <c r="AB160">
        <f t="shared" ref="AB160:AB163" si="399">AB159</f>
        <v>6</v>
      </c>
      <c r="AC160">
        <f t="shared" ref="AC160:AF163" si="400">AC159</f>
        <v>3</v>
      </c>
      <c r="AD160">
        <f t="shared" si="400"/>
        <v>13</v>
      </c>
      <c r="AE160">
        <f t="shared" si="400"/>
        <v>12</v>
      </c>
      <c r="AF160">
        <f t="shared" si="400"/>
        <v>14</v>
      </c>
      <c r="AG160">
        <f t="shared" ref="AG160:AG163" si="401">AG159</f>
        <v>77</v>
      </c>
      <c r="AH160">
        <f t="shared" ref="AH160:AH163" si="402">AH159</f>
        <v>78</v>
      </c>
      <c r="AI160">
        <f t="shared" ref="AI160:AI163" si="403">AI159</f>
        <v>1</v>
      </c>
      <c r="AJ160">
        <f t="shared" ref="AJ160:AJ163" si="404">AJ159</f>
        <v>2</v>
      </c>
      <c r="AK160">
        <f t="shared" ref="AK160:AK163" si="405">AK159</f>
        <v>1</v>
      </c>
      <c r="AL160">
        <f t="shared" ref="AL160:AL163" si="406">AL159</f>
        <v>76</v>
      </c>
    </row>
    <row r="161" spans="1:38" ht="17.149999999999999" x14ac:dyDescent="0.4">
      <c r="B161" t="str">
        <f>B160</f>
        <v>Portland</v>
      </c>
      <c r="C161" s="66" t="s">
        <v>514</v>
      </c>
      <c r="D161" cm="1">
        <f t="array" ref="D161">INDEX(FX_Calcs,$AA161,$AE161)</f>
        <v>0.25</v>
      </c>
      <c r="E161" cm="1">
        <f t="array" ref="E161">INDEX(FX_Calcs,$AA161,$AE161)</f>
        <v>0.25</v>
      </c>
      <c r="F161" cm="1">
        <f t="array" ref="F161">INDEX(FX_Calcs,$AA161,$AE161)</f>
        <v>0.25</v>
      </c>
      <c r="G161" cm="1">
        <f t="array" ref="G161">INDEX(FX_Calcs,$AA161,$AE161)</f>
        <v>0.25</v>
      </c>
      <c r="H161" cm="1">
        <f t="array" ref="H161">INDEX(FX_Calcs,$AA161,$AE161)</f>
        <v>0.25</v>
      </c>
      <c r="I161" cm="1">
        <f t="array" ref="I161">INDEX(FX_Calcs,$AA161,$AE161)</f>
        <v>0.25</v>
      </c>
      <c r="J161" cm="1">
        <f t="array" ref="J161">INDEX(FX_Calcs,$AA161,$AE161)</f>
        <v>0.25</v>
      </c>
      <c r="K161" cm="1">
        <f t="array" ref="K161">INDEX(FX_Calcs,$AA161,$AE161)</f>
        <v>0.25</v>
      </c>
      <c r="L161" cm="1">
        <f t="array" ref="L161">INDEX(FX_Calcs,$AA161,$AE161)</f>
        <v>0.25</v>
      </c>
      <c r="M161" cm="1">
        <f t="array" ref="M161">INDEX(FX_Calcs,$AA161,$AE161)</f>
        <v>0.25</v>
      </c>
      <c r="N161" cm="1">
        <f t="array" ref="N161">INDEX(FX_Calcs,$AA161,$AE161)</f>
        <v>0.25</v>
      </c>
      <c r="O161" cm="1">
        <f t="array" ref="O161">INDEX(FX_Calcs,$AA161,$AE161)</f>
        <v>0.25</v>
      </c>
      <c r="P161" cm="1">
        <f t="array" ref="P161">INDEX(FX_Calcs,$AA161,$AE161)</f>
        <v>0.25</v>
      </c>
      <c r="AA161">
        <f>AA160</f>
        <v>12</v>
      </c>
      <c r="AB161">
        <f t="shared" si="399"/>
        <v>6</v>
      </c>
      <c r="AC161">
        <f t="shared" si="400"/>
        <v>3</v>
      </c>
      <c r="AD161">
        <f t="shared" si="400"/>
        <v>13</v>
      </c>
      <c r="AE161">
        <f t="shared" si="400"/>
        <v>12</v>
      </c>
      <c r="AF161">
        <f t="shared" si="400"/>
        <v>14</v>
      </c>
      <c r="AG161">
        <f t="shared" si="401"/>
        <v>77</v>
      </c>
      <c r="AH161">
        <f t="shared" si="402"/>
        <v>78</v>
      </c>
      <c r="AI161">
        <f t="shared" si="403"/>
        <v>1</v>
      </c>
      <c r="AJ161">
        <f t="shared" si="404"/>
        <v>2</v>
      </c>
      <c r="AK161">
        <f t="shared" si="405"/>
        <v>1</v>
      </c>
      <c r="AL161">
        <f t="shared" si="406"/>
        <v>76</v>
      </c>
    </row>
    <row r="162" spans="1:38" ht="17.149999999999999" x14ac:dyDescent="0.4">
      <c r="B162" t="str">
        <f t="shared" ref="B162:B163" si="407">B161</f>
        <v>Portland</v>
      </c>
      <c r="C162" s="66" t="s">
        <v>513</v>
      </c>
      <c r="D162" cm="1">
        <f t="array" ref="D162">INDEX(FX_Calcs,$AA162,$AD162)</f>
        <v>0.25</v>
      </c>
      <c r="E162" cm="1">
        <f t="array" ref="E162">INDEX(FX_Calcs,$AA162,$AD162)</f>
        <v>0.25</v>
      </c>
      <c r="F162" cm="1">
        <f t="array" ref="F162">INDEX(FX_Calcs,$AA162,$AD162)</f>
        <v>0.25</v>
      </c>
      <c r="G162" cm="1">
        <f t="array" ref="G162">INDEX(FX_Calcs,$AA162,$AD162)</f>
        <v>0.25</v>
      </c>
      <c r="H162" cm="1">
        <f t="array" ref="H162">INDEX(FX_Calcs,$AA162,$AD162)</f>
        <v>0.25</v>
      </c>
      <c r="I162" cm="1">
        <f t="array" ref="I162">INDEX(FX_Calcs,$AA162,$AD162)</f>
        <v>0.25</v>
      </c>
      <c r="J162" cm="1">
        <f t="array" ref="J162">INDEX(FX_Calcs,$AA162,$AD162)</f>
        <v>0.25</v>
      </c>
      <c r="K162" cm="1">
        <f t="array" ref="K162">INDEX(FX_Calcs,$AA162,$AD162)</f>
        <v>0.25</v>
      </c>
      <c r="L162" cm="1">
        <f t="array" ref="L162">INDEX(FX_Calcs,$AA162,$AD162)</f>
        <v>0.25</v>
      </c>
      <c r="M162" cm="1">
        <f t="array" ref="M162">INDEX(FX_Calcs,$AA162,$AD162)</f>
        <v>0.25</v>
      </c>
      <c r="N162" cm="1">
        <f t="array" ref="N162">INDEX(FX_Calcs,$AA162,$AD162)</f>
        <v>0.25</v>
      </c>
      <c r="O162" cm="1">
        <f t="array" ref="O162">INDEX(FX_Calcs,$AA162,$AD162)</f>
        <v>0.25</v>
      </c>
      <c r="P162" cm="1">
        <f t="array" ref="P162">INDEX(FX_Calcs,$AA162,$AD162)</f>
        <v>0.25</v>
      </c>
      <c r="AA162">
        <f>AA161</f>
        <v>12</v>
      </c>
      <c r="AB162">
        <f t="shared" si="399"/>
        <v>6</v>
      </c>
      <c r="AC162">
        <f t="shared" si="400"/>
        <v>3</v>
      </c>
      <c r="AD162">
        <f t="shared" si="400"/>
        <v>13</v>
      </c>
      <c r="AE162">
        <f t="shared" si="400"/>
        <v>12</v>
      </c>
      <c r="AF162">
        <f t="shared" si="400"/>
        <v>14</v>
      </c>
      <c r="AG162">
        <f t="shared" si="401"/>
        <v>77</v>
      </c>
      <c r="AH162">
        <f t="shared" si="402"/>
        <v>78</v>
      </c>
      <c r="AI162">
        <f t="shared" si="403"/>
        <v>1</v>
      </c>
      <c r="AJ162">
        <f t="shared" si="404"/>
        <v>2</v>
      </c>
      <c r="AK162">
        <f t="shared" si="405"/>
        <v>1</v>
      </c>
      <c r="AL162">
        <f t="shared" si="406"/>
        <v>76</v>
      </c>
    </row>
    <row r="163" spans="1:38" x14ac:dyDescent="0.4">
      <c r="B163" t="str">
        <f t="shared" si="407"/>
        <v>Portland</v>
      </c>
      <c r="C163" s="66" t="s">
        <v>558</v>
      </c>
      <c r="D163" cm="1">
        <f t="array" ref="D163">INDEX(FX_Calcs,$AA163,$AF163)</f>
        <v>0.25</v>
      </c>
      <c r="E163" cm="1">
        <f t="array" ref="E163">INDEX(FX_Calcs,$AA163,$AF163)</f>
        <v>0.25</v>
      </c>
      <c r="F163" cm="1">
        <f t="array" ref="F163">INDEX(FX_Calcs,$AA163,$AF163)</f>
        <v>0.25</v>
      </c>
      <c r="G163" cm="1">
        <f t="array" ref="G163">INDEX(FX_Calcs,$AA163,$AF163)</f>
        <v>0.25</v>
      </c>
      <c r="H163" cm="1">
        <f t="array" ref="H163">INDEX(FX_Calcs,$AA163,$AF163)</f>
        <v>0.25</v>
      </c>
      <c r="I163" cm="1">
        <f t="array" ref="I163">INDEX(FX_Calcs,$AA163,$AF163)</f>
        <v>0.25</v>
      </c>
      <c r="J163" cm="1">
        <f t="array" ref="J163">INDEX(FX_Calcs,$AA163,$AF163)</f>
        <v>0.25</v>
      </c>
      <c r="K163" cm="1">
        <f t="array" ref="K163">INDEX(FX_Calcs,$AA163,$AF163)</f>
        <v>0.25</v>
      </c>
      <c r="L163" cm="1">
        <f t="array" ref="L163">INDEX(FX_Calcs,$AA163,$AF163)</f>
        <v>0.25</v>
      </c>
      <c r="M163" cm="1">
        <f t="array" ref="M163">INDEX(FX_Calcs,$AA163,$AF163)</f>
        <v>0.25</v>
      </c>
      <c r="N163" cm="1">
        <f t="array" ref="N163">INDEX(FX_Calcs,$AA163,$AF163)</f>
        <v>0.25</v>
      </c>
      <c r="O163" cm="1">
        <f t="array" ref="O163">INDEX(FX_Calcs,$AA163,$AF163)</f>
        <v>0.25</v>
      </c>
      <c r="P163" cm="1">
        <f t="array" ref="P163">INDEX(FX_Calcs,$AA163,$AF163)</f>
        <v>0.25</v>
      </c>
      <c r="AA163">
        <f>AA162</f>
        <v>12</v>
      </c>
      <c r="AB163">
        <f t="shared" si="399"/>
        <v>6</v>
      </c>
      <c r="AC163">
        <f t="shared" si="400"/>
        <v>3</v>
      </c>
      <c r="AD163">
        <f t="shared" si="400"/>
        <v>13</v>
      </c>
      <c r="AE163">
        <f t="shared" si="400"/>
        <v>12</v>
      </c>
      <c r="AF163">
        <f t="shared" si="400"/>
        <v>14</v>
      </c>
      <c r="AG163">
        <f t="shared" si="401"/>
        <v>77</v>
      </c>
      <c r="AH163">
        <f t="shared" si="402"/>
        <v>78</v>
      </c>
      <c r="AI163">
        <f t="shared" si="403"/>
        <v>1</v>
      </c>
      <c r="AJ163">
        <f t="shared" si="404"/>
        <v>2</v>
      </c>
      <c r="AK163">
        <f t="shared" si="405"/>
        <v>1</v>
      </c>
      <c r="AL163">
        <f t="shared" si="406"/>
        <v>76</v>
      </c>
    </row>
    <row r="164" spans="1:38" ht="17.149999999999999" x14ac:dyDescent="0.55000000000000004">
      <c r="B164" t="str">
        <f>B160</f>
        <v>Portland</v>
      </c>
      <c r="C164" t="s">
        <v>512</v>
      </c>
      <c r="D164">
        <f t="shared" ref="D164:P164" si="408">D160-D159</f>
        <v>10.400000000000034</v>
      </c>
      <c r="E164">
        <f t="shared" si="408"/>
        <v>13.199999999999989</v>
      </c>
      <c r="F164">
        <f t="shared" si="408"/>
        <v>13.200000000000045</v>
      </c>
      <c r="G164">
        <f t="shared" si="408"/>
        <v>13.399999999999977</v>
      </c>
      <c r="H164">
        <f t="shared" si="408"/>
        <v>13.299999999999955</v>
      </c>
      <c r="I164">
        <f t="shared" si="408"/>
        <v>12.500000000000057</v>
      </c>
      <c r="J164">
        <f t="shared" si="408"/>
        <v>12.699999999999932</v>
      </c>
      <c r="K164">
        <f t="shared" si="408"/>
        <v>13.600000000000023</v>
      </c>
      <c r="L164">
        <f t="shared" si="408"/>
        <v>16.399999999999977</v>
      </c>
      <c r="M164">
        <f t="shared" si="408"/>
        <v>14.699999999999989</v>
      </c>
      <c r="N164">
        <f t="shared" si="408"/>
        <v>12.200000000000045</v>
      </c>
      <c r="O164">
        <f t="shared" si="408"/>
        <v>10</v>
      </c>
      <c r="P164">
        <f t="shared" si="408"/>
        <v>13</v>
      </c>
    </row>
    <row r="165" spans="1:38" x14ac:dyDescent="0.4">
      <c r="B165" t="str">
        <f t="shared" ref="B165:B172" si="409">B164</f>
        <v>Portland</v>
      </c>
      <c r="C165" t="s">
        <v>260</v>
      </c>
      <c r="D165">
        <f t="shared" ref="D165:P165" si="410">VLOOKUP(VLOOKUP($B165,Terminal_X_Ref,2,FALSE)&amp;$C165,Weather_Data,$Y165*D$3+$Z165,FALSE)</f>
        <v>343</v>
      </c>
      <c r="E165">
        <f t="shared" si="410"/>
        <v>600</v>
      </c>
      <c r="F165">
        <f t="shared" si="410"/>
        <v>877</v>
      </c>
      <c r="G165">
        <f t="shared" si="410"/>
        <v>1252</v>
      </c>
      <c r="H165">
        <f t="shared" si="410"/>
        <v>1537</v>
      </c>
      <c r="I165">
        <f t="shared" si="410"/>
        <v>1627</v>
      </c>
      <c r="J165">
        <f t="shared" si="410"/>
        <v>1708</v>
      </c>
      <c r="K165">
        <f t="shared" si="410"/>
        <v>1492</v>
      </c>
      <c r="L165">
        <f t="shared" si="410"/>
        <v>1196</v>
      </c>
      <c r="M165">
        <f t="shared" si="410"/>
        <v>728</v>
      </c>
      <c r="N165">
        <f t="shared" si="410"/>
        <v>391</v>
      </c>
      <c r="O165">
        <f t="shared" si="410"/>
        <v>302</v>
      </c>
      <c r="P165">
        <f t="shared" si="410"/>
        <v>1005</v>
      </c>
      <c r="U165">
        <f>U160</f>
        <v>2</v>
      </c>
      <c r="V165">
        <f t="shared" ref="V165:Z165" si="411">V160</f>
        <v>3</v>
      </c>
      <c r="W165">
        <f t="shared" si="411"/>
        <v>1</v>
      </c>
      <c r="X165">
        <f t="shared" si="411"/>
        <v>2</v>
      </c>
      <c r="Y165">
        <f t="shared" si="411"/>
        <v>1</v>
      </c>
      <c r="Z165">
        <f t="shared" si="411"/>
        <v>1</v>
      </c>
    </row>
    <row r="166" spans="1:38" ht="17.149999999999999" x14ac:dyDescent="0.55000000000000004">
      <c r="B166" t="str">
        <f t="shared" si="409"/>
        <v>Portland</v>
      </c>
      <c r="C166" t="s">
        <v>523</v>
      </c>
      <c r="D166">
        <f>IF(ISNUMBER(D163),0.7*D164+0.02*D163*D165,IF(D163="Partially Insulated",0.6*D164+0.02*D162*D165,0))</f>
        <v>8.9950000000000241</v>
      </c>
      <c r="E166">
        <f t="shared" ref="E166:P166" si="412">IF(ISNUMBER(E163),0.7*E164+0.02*E163*E165,IF(E163="Partially Insulated",0.6*E164+0.02*E162*E165,0))</f>
        <v>12.239999999999991</v>
      </c>
      <c r="F166">
        <f t="shared" si="412"/>
        <v>13.62500000000003</v>
      </c>
      <c r="G166">
        <f t="shared" si="412"/>
        <v>15.639999999999983</v>
      </c>
      <c r="H166">
        <f t="shared" si="412"/>
        <v>16.994999999999969</v>
      </c>
      <c r="I166">
        <f t="shared" si="412"/>
        <v>16.885000000000041</v>
      </c>
      <c r="J166">
        <f t="shared" si="412"/>
        <v>17.42999999999995</v>
      </c>
      <c r="K166">
        <f t="shared" si="412"/>
        <v>16.980000000000015</v>
      </c>
      <c r="L166">
        <f t="shared" si="412"/>
        <v>17.459999999999983</v>
      </c>
      <c r="M166">
        <f t="shared" si="412"/>
        <v>13.929999999999993</v>
      </c>
      <c r="N166">
        <f t="shared" si="412"/>
        <v>10.495000000000031</v>
      </c>
      <c r="O166">
        <f t="shared" si="412"/>
        <v>8.51</v>
      </c>
      <c r="P166">
        <f t="shared" si="412"/>
        <v>14.125</v>
      </c>
    </row>
    <row r="167" spans="1:38" ht="17.149999999999999" x14ac:dyDescent="0.55000000000000004">
      <c r="B167" t="str">
        <f t="shared" si="409"/>
        <v>Portland</v>
      </c>
      <c r="C167" t="s">
        <v>524</v>
      </c>
      <c r="D167">
        <f t="shared" ref="D167:F167" si="413">AVERAGE(D159:D160)</f>
        <v>503.5</v>
      </c>
      <c r="E167">
        <f t="shared" si="413"/>
        <v>504.30000000000007</v>
      </c>
      <c r="F167">
        <f t="shared" si="413"/>
        <v>505.70000000000005</v>
      </c>
      <c r="G167">
        <f>AVERAGE(G159:G160)</f>
        <v>508.2</v>
      </c>
      <c r="H167">
        <f t="shared" ref="H167:P167" si="414">AVERAGE(H159:H160)</f>
        <v>512.75</v>
      </c>
      <c r="I167">
        <f t="shared" si="414"/>
        <v>516.55000000000007</v>
      </c>
      <c r="J167">
        <f t="shared" si="414"/>
        <v>520.04999999999995</v>
      </c>
      <c r="K167">
        <f t="shared" si="414"/>
        <v>520.5</v>
      </c>
      <c r="L167">
        <f t="shared" si="414"/>
        <v>518.20000000000005</v>
      </c>
      <c r="M167">
        <f t="shared" si="414"/>
        <v>512.25</v>
      </c>
      <c r="N167">
        <f t="shared" si="414"/>
        <v>506.70000000000005</v>
      </c>
      <c r="O167">
        <f t="shared" si="414"/>
        <v>503.20000000000005</v>
      </c>
      <c r="P167">
        <f t="shared" si="414"/>
        <v>51.4</v>
      </c>
    </row>
    <row r="168" spans="1:38" ht="17.149999999999999" x14ac:dyDescent="0.55000000000000004">
      <c r="B168" t="str">
        <f t="shared" si="409"/>
        <v>Portland</v>
      </c>
      <c r="C168" t="s">
        <v>525</v>
      </c>
      <c r="D168" cm="1">
        <f t="array" ref="D168">IFERROR(IF(ISBLANK(INDEX(FX_Input,$R159,D$3*$AK159+$AL159)),D167+0.003*D161*D165,INDEX(FX_Input,$R159,D$3*$AK159+$AL159)+459.6),D167)</f>
        <v>503.75725</v>
      </c>
      <c r="E168" cm="1">
        <f t="array" ref="E168">IFERROR(IF(ISBLANK(INDEX(FX_Input,$R159,E$3*$AK159+$AL159)),E167+0.003*E161*E165,INDEX(FX_Input,$R159,E$3*$AK159+$AL159)+459.6),E167)</f>
        <v>504.75000000000006</v>
      </c>
      <c r="F168" cm="1">
        <f t="array" ref="F168">IFERROR(IF(ISBLANK(INDEX(FX_Input,$R159,F$3*$AK159+$AL159)),F167+0.003*F161*F165,INDEX(FX_Input,$R159,F$3*$AK159+$AL159)+459.6),F167)</f>
        <v>506.35775000000007</v>
      </c>
      <c r="G168" cm="1">
        <f t="array" ref="G168">IFERROR(IF(ISBLANK(INDEX(FX_Input,$R159,G$3*$AK159+$AL159)),G167+0.003*G161*G165,INDEX(FX_Input,$R159,G$3*$AK159+$AL159)+459.6),G167)</f>
        <v>509.13900000000001</v>
      </c>
      <c r="H168" cm="1">
        <f t="array" ref="H168">IFERROR(IF(ISBLANK(INDEX(FX_Input,$R159,H$3*$AK159+$AL159)),H167+0.003*H161*H165,INDEX(FX_Input,$R159,H$3*$AK159+$AL159)+459.6),H167)</f>
        <v>513.90274999999997</v>
      </c>
      <c r="I168" cm="1">
        <f t="array" ref="I168">IFERROR(IF(ISBLANK(INDEX(FX_Input,$R159,I$3*$AK159+$AL159)),I167+0.003*I161*I165,INDEX(FX_Input,$R159,I$3*$AK159+$AL159)+459.6),I167)</f>
        <v>517.77025000000003</v>
      </c>
      <c r="J168" cm="1">
        <f t="array" ref="J168">IFERROR(IF(ISBLANK(INDEX(FX_Input,$R159,J$3*$AK159+$AL159)),J167+0.003*J161*J165,INDEX(FX_Input,$R159,J$3*$AK159+$AL159)+459.6),J167)</f>
        <v>521.3309999999999</v>
      </c>
      <c r="K168" cm="1">
        <f t="array" ref="K168">IFERROR(IF(ISBLANK(INDEX(FX_Input,$R159,K$3*$AK159+$AL159)),K167+0.003*K161*K165,INDEX(FX_Input,$R159,K$3*$AK159+$AL159)+459.6),K167)</f>
        <v>521.61900000000003</v>
      </c>
      <c r="L168" cm="1">
        <f t="array" ref="L168">IFERROR(IF(ISBLANK(INDEX(FX_Input,$R159,L$3*$AK159+$AL159)),L167+0.003*L161*L165,INDEX(FX_Input,$R159,L$3*$AK159+$AL159)+459.6),L167)</f>
        <v>519.09700000000009</v>
      </c>
      <c r="M168" cm="1">
        <f t="array" ref="M168">IFERROR(IF(ISBLANK(INDEX(FX_Input,$R159,M$3*$AK159+$AL159)),M167+0.003*M161*M165,INDEX(FX_Input,$R159,M$3*$AK159+$AL159)+459.6),M167)</f>
        <v>512.79600000000005</v>
      </c>
      <c r="N168" cm="1">
        <f t="array" ref="N168">IFERROR(IF(ISBLANK(INDEX(FX_Input,$R159,N$3*$AK159+$AL159)),N167+0.003*N161*N165,INDEX(FX_Input,$R159,N$3*$AK159+$AL159)+459.6),N167)</f>
        <v>506.99325000000005</v>
      </c>
      <c r="O168" cm="1">
        <f t="array" ref="O168">IFERROR(IF(ISBLANK(INDEX(FX_Input,$R159,O$3*$AK159+$AL159)),O167+0.003*O161*O165,INDEX(FX_Input,$R159,O$3*$AK159+$AL159)+459.6),O167)</f>
        <v>503.42650000000003</v>
      </c>
      <c r="P168" cm="1">
        <f t="array" ref="P168">IFERROR(IF(ISBLANK(INDEX(FX_Input,$R159,P$3*$AK159+$AL159)),P167+0.003*P161*P165,INDEX(FX_Input,$R159,P$3*$AK159+$AL159)+459.6),P167)</f>
        <v>32042.6</v>
      </c>
    </row>
    <row r="169" spans="1:38" ht="17.149999999999999" x14ac:dyDescent="0.55000000000000004">
      <c r="B169" t="str">
        <f t="shared" si="409"/>
        <v>Portland</v>
      </c>
      <c r="C169" t="s">
        <v>526</v>
      </c>
      <c r="D169">
        <f>IF(ISNUMBER(D163),0.4*D159+0.6*D168+0.005*D163*D165,IF(D163="Partially Insulated",0.3*D167+0.7*D168+0.005*D162*D165,D168))-459.6</f>
        <v>42.403099999999938</v>
      </c>
      <c r="E169">
        <f t="shared" ref="E169" si="415">IF(ISNUMBER(E163),0.4*E159+0.6*E168+0.005*E163*E165,IF(E163="Partially Insulated",0.3*E167+0.7*E168+0.005*E162*E165,E168))-459.6</f>
        <v>43.080000000000041</v>
      </c>
      <c r="F169">
        <f t="shared" ref="F169" si="416">IF(ISNUMBER(F163),0.4*F159+0.6*F168+0.005*F163*F165,IF(F163="Partially Insulated",0.3*F167+0.7*F168+0.005*F162*F165,F168))-459.6</f>
        <v>44.95089999999999</v>
      </c>
      <c r="G169">
        <f t="shared" ref="G169" si="417">IF(ISNUMBER(G163),0.4*G159+0.6*G168+0.005*G163*G165,IF(G163="Partially Insulated",0.3*G167+0.7*G168+0.005*G162*G165,G168))-459.6</f>
        <v>48.048400000000015</v>
      </c>
      <c r="H169">
        <f t="shared" ref="H169" si="418">IF(ISNUMBER(H163),0.4*H159+0.6*H168+0.005*H163*H165,IF(H163="Partially Insulated",0.3*H167+0.7*H168+0.005*H162*H165,H168))-459.6</f>
        <v>53.102899999999977</v>
      </c>
      <c r="I169">
        <f t="shared" ref="I169" si="419">IF(ISNUMBER(I163),0.4*I159+0.6*I168+0.005*I163*I165,IF(I163="Partially Insulated",0.3*I167+0.7*I168+0.005*I162*I165,I168))-459.6</f>
        <v>57.215900000000033</v>
      </c>
      <c r="J169">
        <f t="shared" ref="J169" si="420">IF(ISNUMBER(J163),0.4*J159+0.6*J168+0.005*J163*J165,IF(J163="Partially Insulated",0.3*J167+0.7*J168+0.005*J162*J165,J168))-459.6</f>
        <v>60.813599999999838</v>
      </c>
      <c r="K169">
        <f t="shared" ref="K169" si="421">IF(ISNUMBER(K163),0.4*K159+0.6*K168+0.005*K163*K165,IF(K163="Partially Insulated",0.3*K167+0.7*K168+0.005*K162*K165,K168))-459.6</f>
        <v>60.716400000000021</v>
      </c>
      <c r="L169">
        <f t="shared" ref="L169" si="422">IF(ISNUMBER(L163),0.4*L159+0.6*L168+0.005*L163*L165,IF(L163="Partially Insulated",0.3*L167+0.7*L168+0.005*L162*L165,L168))-459.6</f>
        <v>57.353200000000015</v>
      </c>
      <c r="M169">
        <f t="shared" ref="M169" si="423">IF(ISNUMBER(M163),0.4*M159+0.6*M168+0.005*M163*M165,IF(M163="Partially Insulated",0.3*M167+0.7*M168+0.005*M162*M165,M168))-459.6</f>
        <v>50.947600000000079</v>
      </c>
      <c r="N169">
        <f t="shared" ref="N169" si="424">IF(ISNUMBER(N163),0.4*N159+0.6*N168+0.005*N163*N165,IF(N163="Partially Insulated",0.3*N167+0.7*N168+0.005*N162*N165,N168))-459.6</f>
        <v>45.324700000000007</v>
      </c>
      <c r="O169">
        <f t="shared" ref="O169" si="425">IF(ISNUMBER(O163),0.4*O159+0.6*O168+0.005*O163*O165,IF(O163="Partially Insulated",0.3*O167+0.7*O168+0.005*O162*O165,O168))-459.6</f>
        <v>42.113400000000013</v>
      </c>
      <c r="P169">
        <f>AVERAGE(D169:O169)</f>
        <v>50.505841666666662</v>
      </c>
    </row>
    <row r="170" spans="1:38" ht="17.149999999999999" x14ac:dyDescent="0.55000000000000004">
      <c r="B170" t="str">
        <f t="shared" si="409"/>
        <v>Portland</v>
      </c>
      <c r="C170" t="s">
        <v>527</v>
      </c>
      <c r="D170">
        <f>IF(ISNUMBER(D163),0.4*D160+0.6*D168+0.005*D163*D165,IF(D163="Partially Insulated",0.3*D167+0.7*D168+0.005*D162*D165,D168))-459.6</f>
        <v>46.563099999999963</v>
      </c>
      <c r="E170">
        <f t="shared" ref="E170:O170" si="426">IF(ISNUMBER(E163),0.4*E160+0.6*E168+0.005*E163*E165,IF(E163="Partially Insulated",0.3*E167+0.7*E168+0.005*E162*E165,E168))-459.6</f>
        <v>48.360000000000014</v>
      </c>
      <c r="F170">
        <f t="shared" si="426"/>
        <v>50.230900000000076</v>
      </c>
      <c r="G170">
        <f t="shared" si="426"/>
        <v>53.408400000000029</v>
      </c>
      <c r="H170">
        <f t="shared" si="426"/>
        <v>58.422899999999913</v>
      </c>
      <c r="I170">
        <f t="shared" si="426"/>
        <v>62.215900000000033</v>
      </c>
      <c r="J170">
        <f t="shared" si="426"/>
        <v>65.893599999999878</v>
      </c>
      <c r="K170">
        <f t="shared" si="426"/>
        <v>66.156400000000076</v>
      </c>
      <c r="L170">
        <f t="shared" si="426"/>
        <v>63.913199999999961</v>
      </c>
      <c r="M170">
        <f t="shared" si="426"/>
        <v>56.827600000000075</v>
      </c>
      <c r="N170">
        <f t="shared" si="426"/>
        <v>50.204700000000003</v>
      </c>
      <c r="O170">
        <f t="shared" si="426"/>
        <v>46.113400000000013</v>
      </c>
      <c r="P170">
        <f>AVERAGE(D170:O170)</f>
        <v>55.692508333333329</v>
      </c>
    </row>
    <row r="171" spans="1:38" ht="17.149999999999999" x14ac:dyDescent="0.55000000000000004">
      <c r="B171" t="str">
        <f t="shared" si="409"/>
        <v>Portland</v>
      </c>
      <c r="C171" t="s">
        <v>552</v>
      </c>
      <c r="D171">
        <f>IF(ISNUMBER(D163),0.4*D167+0.6*D168+0.005*D163*D165,IF(D163="Partially Insulated",0.3*D167+0.7*D168+0.005*D162*D165,D168))-459.6</f>
        <v>44.483099999999979</v>
      </c>
      <c r="E171">
        <f t="shared" ref="E171:O171" si="427">IF(ISNUMBER(E163),0.4*E167+0.6*E168+0.005*E163*E165,IF(E163="Partially Insulated",0.3*E167+0.7*E168+0.005*E162*E165,E168))-459.6</f>
        <v>45.720000000000027</v>
      </c>
      <c r="F171">
        <f t="shared" si="427"/>
        <v>47.590900000000033</v>
      </c>
      <c r="G171">
        <f t="shared" si="427"/>
        <v>50.728400000000022</v>
      </c>
      <c r="H171">
        <f t="shared" si="427"/>
        <v>55.762899999999945</v>
      </c>
      <c r="I171">
        <f t="shared" si="427"/>
        <v>59.715900000000033</v>
      </c>
      <c r="J171">
        <f t="shared" si="427"/>
        <v>63.353599999999801</v>
      </c>
      <c r="K171">
        <f t="shared" si="427"/>
        <v>63.436400000000049</v>
      </c>
      <c r="L171">
        <f t="shared" si="427"/>
        <v>60.633199999999988</v>
      </c>
      <c r="M171">
        <f t="shared" si="427"/>
        <v>53.88760000000002</v>
      </c>
      <c r="N171">
        <f t="shared" si="427"/>
        <v>47.764700000000062</v>
      </c>
      <c r="O171">
        <f t="shared" si="427"/>
        <v>44.113400000000013</v>
      </c>
      <c r="P171">
        <f>AVERAGE(D171:O171)</f>
        <v>53.099175000000002</v>
      </c>
    </row>
    <row r="172" spans="1:38" ht="17.149999999999999" x14ac:dyDescent="0.55000000000000004">
      <c r="A172" s="11"/>
      <c r="B172" s="11" t="str">
        <f t="shared" si="409"/>
        <v>Portland</v>
      </c>
      <c r="C172" s="11" t="s">
        <v>553</v>
      </c>
      <c r="D172" s="11">
        <f>IF(ISNUMBER(D163),0.7*D167+0.3*D168+0.009*D163*D165,IF(D163="Partially Insulated",0.6*D167+0.4*D168+0.01*D162*D165,D168))-459.6</f>
        <v>44.748924999999986</v>
      </c>
      <c r="E172" s="11">
        <f t="shared" ref="E172:O172" si="428">IF(ISNUMBER(E163),0.7*E167+0.3*E168+0.009*E163*E165,IF(E163="Partially Insulated",0.6*E167+0.4*E168+0.01*E162*E165,E168))-459.6</f>
        <v>46.185000000000059</v>
      </c>
      <c r="F172" s="11">
        <f t="shared" si="428"/>
        <v>48.270575000000008</v>
      </c>
      <c r="G172" s="11">
        <f t="shared" si="428"/>
        <v>51.698699999999917</v>
      </c>
      <c r="H172" s="11">
        <f t="shared" si="428"/>
        <v>56.954074999999875</v>
      </c>
      <c r="I172" s="11">
        <f t="shared" si="428"/>
        <v>60.976825000000076</v>
      </c>
      <c r="J172" s="11">
        <f t="shared" si="428"/>
        <v>64.677299999999832</v>
      </c>
      <c r="K172" s="11">
        <f t="shared" si="428"/>
        <v>64.592699999999923</v>
      </c>
      <c r="L172" s="11">
        <f t="shared" si="428"/>
        <v>61.560100000000034</v>
      </c>
      <c r="M172" s="11">
        <f t="shared" si="428"/>
        <v>54.451800000000048</v>
      </c>
      <c r="N172" s="11">
        <f t="shared" si="428"/>
        <v>48.067724999999996</v>
      </c>
      <c r="O172" s="11">
        <f t="shared" si="428"/>
        <v>44.347450000000038</v>
      </c>
      <c r="P172" s="11">
        <f>AVERAGE(D172:O172)</f>
        <v>53.877597916666652</v>
      </c>
      <c r="Q172" s="11"/>
      <c r="R172" s="11"/>
      <c r="S172" s="11"/>
      <c r="T172" s="11"/>
      <c r="U172" s="11"/>
      <c r="V172" s="11"/>
      <c r="W172" s="11"/>
      <c r="X172" s="11"/>
      <c r="Y172" s="11"/>
      <c r="Z172" s="11"/>
      <c r="AA172" s="11"/>
      <c r="AB172" s="11"/>
      <c r="AC172" s="11"/>
      <c r="AD172" s="11"/>
      <c r="AE172" s="11"/>
      <c r="AF172" s="11"/>
      <c r="AG172" s="11"/>
      <c r="AH172" s="11"/>
      <c r="AI172" s="11"/>
      <c r="AJ172" s="11"/>
      <c r="AK172" s="11"/>
      <c r="AL172" s="11"/>
    </row>
    <row r="173" spans="1:38" ht="17.149999999999999" x14ac:dyDescent="0.55000000000000004">
      <c r="A173" t="str" cm="1">
        <f t="array" ref="A173">INDEX(FX_Input,$R173,S$5)</f>
        <v>FX - 13</v>
      </c>
      <c r="B173" t="str" cm="1">
        <f t="array" ref="B173">INDEX(FX_Input,R173,T173)</f>
        <v>Portland</v>
      </c>
      <c r="C173" t="s">
        <v>510</v>
      </c>
      <c r="D173">
        <f t="shared" ref="D173:O174" si="429">VLOOKUP(VLOOKUP($B173,Terminal_X_Ref,2,FALSE)&amp;$C173,Weather_Data,$Y173*D$3+$Z173,FALSE)+459.6</f>
        <v>498.3</v>
      </c>
      <c r="E173">
        <f t="shared" si="429"/>
        <v>497.70000000000005</v>
      </c>
      <c r="F173">
        <f t="shared" si="429"/>
        <v>499.1</v>
      </c>
      <c r="G173">
        <f t="shared" si="429"/>
        <v>501.5</v>
      </c>
      <c r="H173">
        <f t="shared" si="429"/>
        <v>506.1</v>
      </c>
      <c r="I173">
        <f t="shared" si="429"/>
        <v>510.3</v>
      </c>
      <c r="J173">
        <f t="shared" si="429"/>
        <v>513.70000000000005</v>
      </c>
      <c r="K173">
        <f t="shared" si="429"/>
        <v>513.70000000000005</v>
      </c>
      <c r="L173">
        <f t="shared" si="429"/>
        <v>510</v>
      </c>
      <c r="M173">
        <f t="shared" si="429"/>
        <v>504.90000000000003</v>
      </c>
      <c r="N173">
        <f t="shared" si="429"/>
        <v>500.6</v>
      </c>
      <c r="O173">
        <f t="shared" si="429"/>
        <v>498.20000000000005</v>
      </c>
      <c r="P173">
        <f t="shared" ref="P173:P174" si="430">VLOOKUP(VLOOKUP($B173,Terminal_X_Ref,2,FALSE)&amp;$C173,Weather_Data,$Y173*P$3+$Z173,FALSE)</f>
        <v>44.9</v>
      </c>
      <c r="R173">
        <f>R159+2</f>
        <v>25</v>
      </c>
      <c r="S173">
        <f>S159+1</f>
        <v>13</v>
      </c>
      <c r="T173">
        <v>3</v>
      </c>
      <c r="U173">
        <v>2</v>
      </c>
      <c r="V173">
        <v>3</v>
      </c>
      <c r="W173">
        <v>1</v>
      </c>
      <c r="X173">
        <v>2</v>
      </c>
      <c r="Y173">
        <f>(V173-U173)/(X173-W173)</f>
        <v>1</v>
      </c>
      <c r="Z173">
        <f>U173-Y173*W173</f>
        <v>1</v>
      </c>
      <c r="AA173">
        <f>AA159+1</f>
        <v>13</v>
      </c>
      <c r="AB173">
        <v>6</v>
      </c>
      <c r="AC173">
        <v>3</v>
      </c>
      <c r="AD173">
        <v>13</v>
      </c>
      <c r="AE173">
        <v>12</v>
      </c>
      <c r="AF173">
        <v>14</v>
      </c>
      <c r="AG173">
        <v>77</v>
      </c>
      <c r="AH173">
        <v>78</v>
      </c>
      <c r="AI173">
        <v>1</v>
      </c>
      <c r="AJ173">
        <v>2</v>
      </c>
      <c r="AK173">
        <f>(AH173-AG173)/(AJ173-AI173)</f>
        <v>1</v>
      </c>
      <c r="AL173">
        <f>AG173-AK173*AI173</f>
        <v>76</v>
      </c>
    </row>
    <row r="174" spans="1:38" ht="17.149999999999999" x14ac:dyDescent="0.55000000000000004">
      <c r="B174" t="str">
        <f t="shared" ref="B174" si="431">B173</f>
        <v>Portland</v>
      </c>
      <c r="C174" t="s">
        <v>511</v>
      </c>
      <c r="D174">
        <f t="shared" si="429"/>
        <v>508.70000000000005</v>
      </c>
      <c r="E174">
        <f t="shared" si="429"/>
        <v>510.90000000000003</v>
      </c>
      <c r="F174">
        <f t="shared" si="429"/>
        <v>512.30000000000007</v>
      </c>
      <c r="G174">
        <f t="shared" si="429"/>
        <v>514.9</v>
      </c>
      <c r="H174">
        <f t="shared" si="429"/>
        <v>519.4</v>
      </c>
      <c r="I174">
        <f t="shared" si="429"/>
        <v>522.80000000000007</v>
      </c>
      <c r="J174">
        <f t="shared" si="429"/>
        <v>526.4</v>
      </c>
      <c r="K174">
        <f t="shared" si="429"/>
        <v>527.30000000000007</v>
      </c>
      <c r="L174">
        <f t="shared" si="429"/>
        <v>526.4</v>
      </c>
      <c r="M174">
        <f t="shared" si="429"/>
        <v>519.6</v>
      </c>
      <c r="N174">
        <f t="shared" si="429"/>
        <v>512.80000000000007</v>
      </c>
      <c r="O174">
        <f t="shared" si="429"/>
        <v>508.20000000000005</v>
      </c>
      <c r="P174">
        <f t="shared" si="430"/>
        <v>57.9</v>
      </c>
      <c r="U174">
        <f>U173</f>
        <v>2</v>
      </c>
      <c r="V174">
        <f t="shared" ref="V174:Z174" si="432">V173</f>
        <v>3</v>
      </c>
      <c r="W174">
        <f t="shared" si="432"/>
        <v>1</v>
      </c>
      <c r="X174">
        <f t="shared" si="432"/>
        <v>2</v>
      </c>
      <c r="Y174">
        <f t="shared" si="432"/>
        <v>1</v>
      </c>
      <c r="Z174">
        <f t="shared" si="432"/>
        <v>1</v>
      </c>
      <c r="AA174">
        <f>AA173</f>
        <v>13</v>
      </c>
      <c r="AB174">
        <f t="shared" ref="AB174:AB177" si="433">AB173</f>
        <v>6</v>
      </c>
      <c r="AC174">
        <f t="shared" ref="AC174:AF177" si="434">AC173</f>
        <v>3</v>
      </c>
      <c r="AD174">
        <f t="shared" si="434"/>
        <v>13</v>
      </c>
      <c r="AE174">
        <f t="shared" si="434"/>
        <v>12</v>
      </c>
      <c r="AF174">
        <f t="shared" si="434"/>
        <v>14</v>
      </c>
      <c r="AG174">
        <f t="shared" ref="AG174:AG177" si="435">AG173</f>
        <v>77</v>
      </c>
      <c r="AH174">
        <f t="shared" ref="AH174:AH177" si="436">AH173</f>
        <v>78</v>
      </c>
      <c r="AI174">
        <f t="shared" ref="AI174:AI177" si="437">AI173</f>
        <v>1</v>
      </c>
      <c r="AJ174">
        <f t="shared" ref="AJ174:AJ177" si="438">AJ173</f>
        <v>2</v>
      </c>
      <c r="AK174">
        <f t="shared" ref="AK174:AK177" si="439">AK173</f>
        <v>1</v>
      </c>
      <c r="AL174">
        <f t="shared" ref="AL174:AL177" si="440">AL173</f>
        <v>76</v>
      </c>
    </row>
    <row r="175" spans="1:38" ht="17.149999999999999" x14ac:dyDescent="0.4">
      <c r="B175" t="str">
        <f>B174</f>
        <v>Portland</v>
      </c>
      <c r="C175" s="66" t="s">
        <v>514</v>
      </c>
      <c r="D175" cm="1">
        <f t="array" ref="D175">INDEX(FX_Calcs,$AA175,$AE175)</f>
        <v>0.25</v>
      </c>
      <c r="E175" cm="1">
        <f t="array" ref="E175">INDEX(FX_Calcs,$AA175,$AE175)</f>
        <v>0.25</v>
      </c>
      <c r="F175" cm="1">
        <f t="array" ref="F175">INDEX(FX_Calcs,$AA175,$AE175)</f>
        <v>0.25</v>
      </c>
      <c r="G175" cm="1">
        <f t="array" ref="G175">INDEX(FX_Calcs,$AA175,$AE175)</f>
        <v>0.25</v>
      </c>
      <c r="H175" cm="1">
        <f t="array" ref="H175">INDEX(FX_Calcs,$AA175,$AE175)</f>
        <v>0.25</v>
      </c>
      <c r="I175" cm="1">
        <f t="array" ref="I175">INDEX(FX_Calcs,$AA175,$AE175)</f>
        <v>0.25</v>
      </c>
      <c r="J175" cm="1">
        <f t="array" ref="J175">INDEX(FX_Calcs,$AA175,$AE175)</f>
        <v>0.25</v>
      </c>
      <c r="K175" cm="1">
        <f t="array" ref="K175">INDEX(FX_Calcs,$AA175,$AE175)</f>
        <v>0.25</v>
      </c>
      <c r="L175" cm="1">
        <f t="array" ref="L175">INDEX(FX_Calcs,$AA175,$AE175)</f>
        <v>0.25</v>
      </c>
      <c r="M175" cm="1">
        <f t="array" ref="M175">INDEX(FX_Calcs,$AA175,$AE175)</f>
        <v>0.25</v>
      </c>
      <c r="N175" cm="1">
        <f t="array" ref="N175">INDEX(FX_Calcs,$AA175,$AE175)</f>
        <v>0.25</v>
      </c>
      <c r="O175" cm="1">
        <f t="array" ref="O175">INDEX(FX_Calcs,$AA175,$AE175)</f>
        <v>0.25</v>
      </c>
      <c r="P175" cm="1">
        <f t="array" ref="P175">INDEX(FX_Calcs,$AA175,$AE175)</f>
        <v>0.25</v>
      </c>
      <c r="AA175">
        <f>AA174</f>
        <v>13</v>
      </c>
      <c r="AB175">
        <f t="shared" si="433"/>
        <v>6</v>
      </c>
      <c r="AC175">
        <f t="shared" si="434"/>
        <v>3</v>
      </c>
      <c r="AD175">
        <f t="shared" si="434"/>
        <v>13</v>
      </c>
      <c r="AE175">
        <f t="shared" si="434"/>
        <v>12</v>
      </c>
      <c r="AF175">
        <f t="shared" si="434"/>
        <v>14</v>
      </c>
      <c r="AG175">
        <f t="shared" si="435"/>
        <v>77</v>
      </c>
      <c r="AH175">
        <f t="shared" si="436"/>
        <v>78</v>
      </c>
      <c r="AI175">
        <f t="shared" si="437"/>
        <v>1</v>
      </c>
      <c r="AJ175">
        <f t="shared" si="438"/>
        <v>2</v>
      </c>
      <c r="AK175">
        <f t="shared" si="439"/>
        <v>1</v>
      </c>
      <c r="AL175">
        <f t="shared" si="440"/>
        <v>76</v>
      </c>
    </row>
    <row r="176" spans="1:38" ht="17.149999999999999" x14ac:dyDescent="0.4">
      <c r="B176" t="str">
        <f t="shared" ref="B176:B177" si="441">B175</f>
        <v>Portland</v>
      </c>
      <c r="C176" s="66" t="s">
        <v>513</v>
      </c>
      <c r="D176" cm="1">
        <f t="array" ref="D176">INDEX(FX_Calcs,$AA176,$AD176)</f>
        <v>0.57999999999999996</v>
      </c>
      <c r="E176" cm="1">
        <f t="array" ref="E176">INDEX(FX_Calcs,$AA176,$AD176)</f>
        <v>0.57999999999999996</v>
      </c>
      <c r="F176" cm="1">
        <f t="array" ref="F176">INDEX(FX_Calcs,$AA176,$AD176)</f>
        <v>0.57999999999999996</v>
      </c>
      <c r="G176" cm="1">
        <f t="array" ref="G176">INDEX(FX_Calcs,$AA176,$AD176)</f>
        <v>0.57999999999999996</v>
      </c>
      <c r="H176" cm="1">
        <f t="array" ref="H176">INDEX(FX_Calcs,$AA176,$AD176)</f>
        <v>0.57999999999999996</v>
      </c>
      <c r="I176" cm="1">
        <f t="array" ref="I176">INDEX(FX_Calcs,$AA176,$AD176)</f>
        <v>0.57999999999999996</v>
      </c>
      <c r="J176" cm="1">
        <f t="array" ref="J176">INDEX(FX_Calcs,$AA176,$AD176)</f>
        <v>0.57999999999999996</v>
      </c>
      <c r="K176" cm="1">
        <f t="array" ref="K176">INDEX(FX_Calcs,$AA176,$AD176)</f>
        <v>0.57999999999999996</v>
      </c>
      <c r="L176" cm="1">
        <f t="array" ref="L176">INDEX(FX_Calcs,$AA176,$AD176)</f>
        <v>0.57999999999999996</v>
      </c>
      <c r="M176" cm="1">
        <f t="array" ref="M176">INDEX(FX_Calcs,$AA176,$AD176)</f>
        <v>0.57999999999999996</v>
      </c>
      <c r="N176" cm="1">
        <f t="array" ref="N176">INDEX(FX_Calcs,$AA176,$AD176)</f>
        <v>0.57999999999999996</v>
      </c>
      <c r="O176" cm="1">
        <f t="array" ref="O176">INDEX(FX_Calcs,$AA176,$AD176)</f>
        <v>0.57999999999999996</v>
      </c>
      <c r="P176" cm="1">
        <f t="array" ref="P176">INDEX(FX_Calcs,$AA176,$AD176)</f>
        <v>0.57999999999999996</v>
      </c>
      <c r="AA176">
        <f>AA175</f>
        <v>13</v>
      </c>
      <c r="AB176">
        <f t="shared" si="433"/>
        <v>6</v>
      </c>
      <c r="AC176">
        <f t="shared" si="434"/>
        <v>3</v>
      </c>
      <c r="AD176">
        <f t="shared" si="434"/>
        <v>13</v>
      </c>
      <c r="AE176">
        <f t="shared" si="434"/>
        <v>12</v>
      </c>
      <c r="AF176">
        <f t="shared" si="434"/>
        <v>14</v>
      </c>
      <c r="AG176">
        <f t="shared" si="435"/>
        <v>77</v>
      </c>
      <c r="AH176">
        <f t="shared" si="436"/>
        <v>78</v>
      </c>
      <c r="AI176">
        <f t="shared" si="437"/>
        <v>1</v>
      </c>
      <c r="AJ176">
        <f t="shared" si="438"/>
        <v>2</v>
      </c>
      <c r="AK176">
        <f t="shared" si="439"/>
        <v>1</v>
      </c>
      <c r="AL176">
        <f t="shared" si="440"/>
        <v>76</v>
      </c>
    </row>
    <row r="177" spans="1:38" x14ac:dyDescent="0.4">
      <c r="B177" t="str">
        <f t="shared" si="441"/>
        <v>Portland</v>
      </c>
      <c r="C177" s="66" t="s">
        <v>558</v>
      </c>
      <c r="D177" cm="1">
        <f t="array" ref="D177">INDEX(FX_Calcs,$AA177,$AF177)</f>
        <v>0.41499999999999998</v>
      </c>
      <c r="E177" cm="1">
        <f t="array" ref="E177">INDEX(FX_Calcs,$AA177,$AF177)</f>
        <v>0.41499999999999998</v>
      </c>
      <c r="F177" cm="1">
        <f t="array" ref="F177">INDEX(FX_Calcs,$AA177,$AF177)</f>
        <v>0.41499999999999998</v>
      </c>
      <c r="G177" cm="1">
        <f t="array" ref="G177">INDEX(FX_Calcs,$AA177,$AF177)</f>
        <v>0.41499999999999998</v>
      </c>
      <c r="H177" cm="1">
        <f t="array" ref="H177">INDEX(FX_Calcs,$AA177,$AF177)</f>
        <v>0.41499999999999998</v>
      </c>
      <c r="I177" cm="1">
        <f t="array" ref="I177">INDEX(FX_Calcs,$AA177,$AF177)</f>
        <v>0.41499999999999998</v>
      </c>
      <c r="J177" cm="1">
        <f t="array" ref="J177">INDEX(FX_Calcs,$AA177,$AF177)</f>
        <v>0.41499999999999998</v>
      </c>
      <c r="K177" cm="1">
        <f t="array" ref="K177">INDEX(FX_Calcs,$AA177,$AF177)</f>
        <v>0.41499999999999998</v>
      </c>
      <c r="L177" cm="1">
        <f t="array" ref="L177">INDEX(FX_Calcs,$AA177,$AF177)</f>
        <v>0.41499999999999998</v>
      </c>
      <c r="M177" cm="1">
        <f t="array" ref="M177">INDEX(FX_Calcs,$AA177,$AF177)</f>
        <v>0.41499999999999998</v>
      </c>
      <c r="N177" cm="1">
        <f t="array" ref="N177">INDEX(FX_Calcs,$AA177,$AF177)</f>
        <v>0.41499999999999998</v>
      </c>
      <c r="O177" cm="1">
        <f t="array" ref="O177">INDEX(FX_Calcs,$AA177,$AF177)</f>
        <v>0.41499999999999998</v>
      </c>
      <c r="P177" cm="1">
        <f t="array" ref="P177">INDEX(FX_Calcs,$AA177,$AF177)</f>
        <v>0.41499999999999998</v>
      </c>
      <c r="AA177">
        <f>AA176</f>
        <v>13</v>
      </c>
      <c r="AB177">
        <f t="shared" si="433"/>
        <v>6</v>
      </c>
      <c r="AC177">
        <f t="shared" si="434"/>
        <v>3</v>
      </c>
      <c r="AD177">
        <f t="shared" si="434"/>
        <v>13</v>
      </c>
      <c r="AE177">
        <f t="shared" si="434"/>
        <v>12</v>
      </c>
      <c r="AF177">
        <f t="shared" si="434"/>
        <v>14</v>
      </c>
      <c r="AG177">
        <f t="shared" si="435"/>
        <v>77</v>
      </c>
      <c r="AH177">
        <f t="shared" si="436"/>
        <v>78</v>
      </c>
      <c r="AI177">
        <f t="shared" si="437"/>
        <v>1</v>
      </c>
      <c r="AJ177">
        <f t="shared" si="438"/>
        <v>2</v>
      </c>
      <c r="AK177">
        <f t="shared" si="439"/>
        <v>1</v>
      </c>
      <c r="AL177">
        <f t="shared" si="440"/>
        <v>76</v>
      </c>
    </row>
    <row r="178" spans="1:38" ht="17.149999999999999" x14ac:dyDescent="0.55000000000000004">
      <c r="B178" t="str">
        <f>B174</f>
        <v>Portland</v>
      </c>
      <c r="C178" t="s">
        <v>512</v>
      </c>
      <c r="D178">
        <f t="shared" ref="D178:P178" si="442">D174-D173</f>
        <v>10.400000000000034</v>
      </c>
      <c r="E178">
        <f t="shared" si="442"/>
        <v>13.199999999999989</v>
      </c>
      <c r="F178">
        <f t="shared" si="442"/>
        <v>13.200000000000045</v>
      </c>
      <c r="G178">
        <f t="shared" si="442"/>
        <v>13.399999999999977</v>
      </c>
      <c r="H178">
        <f t="shared" si="442"/>
        <v>13.299999999999955</v>
      </c>
      <c r="I178">
        <f t="shared" si="442"/>
        <v>12.500000000000057</v>
      </c>
      <c r="J178">
        <f t="shared" si="442"/>
        <v>12.699999999999932</v>
      </c>
      <c r="K178">
        <f t="shared" si="442"/>
        <v>13.600000000000023</v>
      </c>
      <c r="L178">
        <f t="shared" si="442"/>
        <v>16.399999999999977</v>
      </c>
      <c r="M178">
        <f t="shared" si="442"/>
        <v>14.699999999999989</v>
      </c>
      <c r="N178">
        <f t="shared" si="442"/>
        <v>12.200000000000045</v>
      </c>
      <c r="O178">
        <f t="shared" si="442"/>
        <v>10</v>
      </c>
      <c r="P178">
        <f t="shared" si="442"/>
        <v>13</v>
      </c>
    </row>
    <row r="179" spans="1:38" x14ac:dyDescent="0.4">
      <c r="B179" t="str">
        <f t="shared" ref="B179:B186" si="443">B178</f>
        <v>Portland</v>
      </c>
      <c r="C179" t="s">
        <v>260</v>
      </c>
      <c r="D179">
        <f t="shared" ref="D179:P179" si="444">VLOOKUP(VLOOKUP($B179,Terminal_X_Ref,2,FALSE)&amp;$C179,Weather_Data,$Y179*D$3+$Z179,FALSE)</f>
        <v>343</v>
      </c>
      <c r="E179">
        <f t="shared" si="444"/>
        <v>600</v>
      </c>
      <c r="F179">
        <f t="shared" si="444"/>
        <v>877</v>
      </c>
      <c r="G179">
        <f t="shared" si="444"/>
        <v>1252</v>
      </c>
      <c r="H179">
        <f t="shared" si="444"/>
        <v>1537</v>
      </c>
      <c r="I179">
        <f t="shared" si="444"/>
        <v>1627</v>
      </c>
      <c r="J179">
        <f t="shared" si="444"/>
        <v>1708</v>
      </c>
      <c r="K179">
        <f t="shared" si="444"/>
        <v>1492</v>
      </c>
      <c r="L179">
        <f t="shared" si="444"/>
        <v>1196</v>
      </c>
      <c r="M179">
        <f t="shared" si="444"/>
        <v>728</v>
      </c>
      <c r="N179">
        <f t="shared" si="444"/>
        <v>391</v>
      </c>
      <c r="O179">
        <f t="shared" si="444"/>
        <v>302</v>
      </c>
      <c r="P179">
        <f t="shared" si="444"/>
        <v>1005</v>
      </c>
      <c r="U179">
        <f>U174</f>
        <v>2</v>
      </c>
      <c r="V179">
        <f t="shared" ref="V179:Z179" si="445">V174</f>
        <v>3</v>
      </c>
      <c r="W179">
        <f t="shared" si="445"/>
        <v>1</v>
      </c>
      <c r="X179">
        <f t="shared" si="445"/>
        <v>2</v>
      </c>
      <c r="Y179">
        <f t="shared" si="445"/>
        <v>1</v>
      </c>
      <c r="Z179">
        <f t="shared" si="445"/>
        <v>1</v>
      </c>
    </row>
    <row r="180" spans="1:38" ht="17.149999999999999" x14ac:dyDescent="0.55000000000000004">
      <c r="B180" t="str">
        <f t="shared" si="443"/>
        <v>Portland</v>
      </c>
      <c r="C180" t="s">
        <v>523</v>
      </c>
      <c r="D180">
        <f>IF(ISNUMBER(D177),0.7*D178+0.02*D177*D179,IF(D177="Partially Insulated",0.6*D178+0.02*D176*D179,0))</f>
        <v>10.126900000000024</v>
      </c>
      <c r="E180">
        <f t="shared" ref="E180:P180" si="446">IF(ISNUMBER(E177),0.7*E178+0.02*E177*E179,IF(E177="Partially Insulated",0.6*E178+0.02*E176*E179,0))</f>
        <v>14.219999999999992</v>
      </c>
      <c r="F180">
        <f t="shared" si="446"/>
        <v>16.51910000000003</v>
      </c>
      <c r="G180">
        <f t="shared" si="446"/>
        <v>19.771599999999985</v>
      </c>
      <c r="H180">
        <f t="shared" si="446"/>
        <v>22.067099999999968</v>
      </c>
      <c r="I180">
        <f t="shared" si="446"/>
        <v>22.254100000000037</v>
      </c>
      <c r="J180">
        <f t="shared" si="446"/>
        <v>23.066399999999952</v>
      </c>
      <c r="K180">
        <f t="shared" si="446"/>
        <v>21.903600000000015</v>
      </c>
      <c r="L180">
        <f t="shared" si="446"/>
        <v>21.406799999999983</v>
      </c>
      <c r="M180">
        <f t="shared" si="446"/>
        <v>16.332399999999993</v>
      </c>
      <c r="N180">
        <f t="shared" si="446"/>
        <v>11.785300000000031</v>
      </c>
      <c r="O180">
        <f t="shared" si="446"/>
        <v>9.5066000000000006</v>
      </c>
      <c r="P180">
        <f t="shared" si="446"/>
        <v>17.441499999999998</v>
      </c>
    </row>
    <row r="181" spans="1:38" ht="17.149999999999999" x14ac:dyDescent="0.55000000000000004">
      <c r="B181" t="str">
        <f t="shared" si="443"/>
        <v>Portland</v>
      </c>
      <c r="C181" t="s">
        <v>524</v>
      </c>
      <c r="D181">
        <f t="shared" ref="D181:F181" si="447">AVERAGE(D173:D174)</f>
        <v>503.5</v>
      </c>
      <c r="E181">
        <f t="shared" si="447"/>
        <v>504.30000000000007</v>
      </c>
      <c r="F181">
        <f t="shared" si="447"/>
        <v>505.70000000000005</v>
      </c>
      <c r="G181">
        <f>AVERAGE(G173:G174)</f>
        <v>508.2</v>
      </c>
      <c r="H181">
        <f t="shared" ref="H181:P181" si="448">AVERAGE(H173:H174)</f>
        <v>512.75</v>
      </c>
      <c r="I181">
        <f t="shared" si="448"/>
        <v>516.55000000000007</v>
      </c>
      <c r="J181">
        <f t="shared" si="448"/>
        <v>520.04999999999995</v>
      </c>
      <c r="K181">
        <f t="shared" si="448"/>
        <v>520.5</v>
      </c>
      <c r="L181">
        <f t="shared" si="448"/>
        <v>518.20000000000005</v>
      </c>
      <c r="M181">
        <f t="shared" si="448"/>
        <v>512.25</v>
      </c>
      <c r="N181">
        <f t="shared" si="448"/>
        <v>506.70000000000005</v>
      </c>
      <c r="O181">
        <f t="shared" si="448"/>
        <v>503.20000000000005</v>
      </c>
      <c r="P181">
        <f t="shared" si="448"/>
        <v>51.4</v>
      </c>
    </row>
    <row r="182" spans="1:38" ht="17.149999999999999" x14ac:dyDescent="0.55000000000000004">
      <c r="B182" t="str">
        <f t="shared" si="443"/>
        <v>Portland</v>
      </c>
      <c r="C182" t="s">
        <v>525</v>
      </c>
      <c r="D182" cm="1">
        <f t="array" ref="D182">IFERROR(IF(ISBLANK(INDEX(FX_Input,$R173,D$3*$AK173+$AL173)),D181+0.003*D175*D179,INDEX(FX_Input,$R173,D$3*$AK173+$AL173)+459.6),D181)</f>
        <v>503.75725</v>
      </c>
      <c r="E182" cm="1">
        <f t="array" ref="E182">IFERROR(IF(ISBLANK(INDEX(FX_Input,$R173,E$3*$AK173+$AL173)),E181+0.003*E175*E179,INDEX(FX_Input,$R173,E$3*$AK173+$AL173)+459.6),E181)</f>
        <v>504.75000000000006</v>
      </c>
      <c r="F182" cm="1">
        <f t="array" ref="F182">IFERROR(IF(ISBLANK(INDEX(FX_Input,$R173,F$3*$AK173+$AL173)),F181+0.003*F175*F179,INDEX(FX_Input,$R173,F$3*$AK173+$AL173)+459.6),F181)</f>
        <v>506.35775000000007</v>
      </c>
      <c r="G182" cm="1">
        <f t="array" ref="G182">IFERROR(IF(ISBLANK(INDEX(FX_Input,$R173,G$3*$AK173+$AL173)),G181+0.003*G175*G179,INDEX(FX_Input,$R173,G$3*$AK173+$AL173)+459.6),G181)</f>
        <v>509.13900000000001</v>
      </c>
      <c r="H182" cm="1">
        <f t="array" ref="H182">IFERROR(IF(ISBLANK(INDEX(FX_Input,$R173,H$3*$AK173+$AL173)),H181+0.003*H175*H179,INDEX(FX_Input,$R173,H$3*$AK173+$AL173)+459.6),H181)</f>
        <v>513.90274999999997</v>
      </c>
      <c r="I182" cm="1">
        <f t="array" ref="I182">IFERROR(IF(ISBLANK(INDEX(FX_Input,$R173,I$3*$AK173+$AL173)),I181+0.003*I175*I179,INDEX(FX_Input,$R173,I$3*$AK173+$AL173)+459.6),I181)</f>
        <v>517.77025000000003</v>
      </c>
      <c r="J182" cm="1">
        <f t="array" ref="J182">IFERROR(IF(ISBLANK(INDEX(FX_Input,$R173,J$3*$AK173+$AL173)),J181+0.003*J175*J179,INDEX(FX_Input,$R173,J$3*$AK173+$AL173)+459.6),J181)</f>
        <v>521.3309999999999</v>
      </c>
      <c r="K182" cm="1">
        <f t="array" ref="K182">IFERROR(IF(ISBLANK(INDEX(FX_Input,$R173,K$3*$AK173+$AL173)),K181+0.003*K175*K179,INDEX(FX_Input,$R173,K$3*$AK173+$AL173)+459.6),K181)</f>
        <v>521.61900000000003</v>
      </c>
      <c r="L182" cm="1">
        <f t="array" ref="L182">IFERROR(IF(ISBLANK(INDEX(FX_Input,$R173,L$3*$AK173+$AL173)),L181+0.003*L175*L179,INDEX(FX_Input,$R173,L$3*$AK173+$AL173)+459.6),L181)</f>
        <v>519.09700000000009</v>
      </c>
      <c r="M182" cm="1">
        <f t="array" ref="M182">IFERROR(IF(ISBLANK(INDEX(FX_Input,$R173,M$3*$AK173+$AL173)),M181+0.003*M175*M179,INDEX(FX_Input,$R173,M$3*$AK173+$AL173)+459.6),M181)</f>
        <v>512.79600000000005</v>
      </c>
      <c r="N182" cm="1">
        <f t="array" ref="N182">IFERROR(IF(ISBLANK(INDEX(FX_Input,$R173,N$3*$AK173+$AL173)),N181+0.003*N175*N179,INDEX(FX_Input,$R173,N$3*$AK173+$AL173)+459.6),N181)</f>
        <v>506.99325000000005</v>
      </c>
      <c r="O182" cm="1">
        <f t="array" ref="O182">IFERROR(IF(ISBLANK(INDEX(FX_Input,$R173,O$3*$AK173+$AL173)),O181+0.003*O175*O179,INDEX(FX_Input,$R173,O$3*$AK173+$AL173)+459.6),O181)</f>
        <v>503.42650000000003</v>
      </c>
      <c r="P182" cm="1">
        <f t="array" ref="P182">IFERROR(IF(ISBLANK(INDEX(FX_Input,$R173,P$3*$AK173+$AL173)),P181+0.003*P175*P179,INDEX(FX_Input,$R173,P$3*$AK173+$AL173)+459.6),P181)</f>
        <v>459.6</v>
      </c>
    </row>
    <row r="183" spans="1:38" ht="17.149999999999999" x14ac:dyDescent="0.55000000000000004">
      <c r="B183" t="str">
        <f t="shared" si="443"/>
        <v>Portland</v>
      </c>
      <c r="C183" t="s">
        <v>526</v>
      </c>
      <c r="D183">
        <f>IF(ISNUMBER(D177),0.4*D173+0.6*D182+0.005*D177*D179,IF(D177="Partially Insulated",0.3*D181+0.7*D182+0.005*D176*D179,D182))-459.6</f>
        <v>42.68607499999996</v>
      </c>
      <c r="E183">
        <f t="shared" ref="E183" si="449">IF(ISNUMBER(E177),0.4*E173+0.6*E182+0.005*E177*E179,IF(E177="Partially Insulated",0.3*E181+0.7*E182+0.005*E176*E179,E182))-459.6</f>
        <v>43.575000000000045</v>
      </c>
      <c r="F183">
        <f t="shared" ref="F183" si="450">IF(ISNUMBER(F177),0.4*F173+0.6*F182+0.005*F177*F179,IF(F177="Partially Insulated",0.3*F181+0.7*F182+0.005*F176*F179,F182))-459.6</f>
        <v>45.674424999999985</v>
      </c>
      <c r="G183">
        <f t="shared" ref="G183" si="451">IF(ISNUMBER(G177),0.4*G173+0.6*G182+0.005*G177*G179,IF(G177="Partially Insulated",0.3*G181+0.7*G182+0.005*G176*G179,G182))-459.6</f>
        <v>49.081299999999999</v>
      </c>
      <c r="H183">
        <f t="shared" ref="H183" si="452">IF(ISNUMBER(H177),0.4*H173+0.6*H182+0.005*H177*H179,IF(H177="Partially Insulated",0.3*H181+0.7*H182+0.005*H176*H179,H182))-459.6</f>
        <v>54.370924999999943</v>
      </c>
      <c r="I183">
        <f t="shared" ref="I183" si="453">IF(ISNUMBER(I177),0.4*I173+0.6*I182+0.005*I177*I179,IF(I177="Partially Insulated",0.3*I181+0.7*I182+0.005*I176*I179,I182))-459.6</f>
        <v>58.558175000000006</v>
      </c>
      <c r="J183">
        <f t="shared" ref="J183" si="454">IF(ISNUMBER(J177),0.4*J173+0.6*J182+0.005*J177*J179,IF(J177="Partially Insulated",0.3*J181+0.7*J182+0.005*J176*J179,J182))-459.6</f>
        <v>62.222699999999804</v>
      </c>
      <c r="K183">
        <f t="shared" ref="K183" si="455">IF(ISNUMBER(K177),0.4*K173+0.6*K182+0.005*K177*K179,IF(K177="Partially Insulated",0.3*K181+0.7*K182+0.005*K176*K179,K182))-459.6</f>
        <v>61.947300000000041</v>
      </c>
      <c r="L183">
        <f t="shared" ref="L183" si="456">IF(ISNUMBER(L177),0.4*L173+0.6*L182+0.005*L177*L179,IF(L177="Partially Insulated",0.3*L181+0.7*L182+0.005*L176*L179,L182))-459.6</f>
        <v>58.339900000000057</v>
      </c>
      <c r="M183">
        <f t="shared" ref="M183" si="457">IF(ISNUMBER(M177),0.4*M173+0.6*M182+0.005*M177*M179,IF(M177="Partially Insulated",0.3*M181+0.7*M182+0.005*M176*M179,M182))-459.6</f>
        <v>51.548200000000065</v>
      </c>
      <c r="N183">
        <f t="shared" ref="N183" si="458">IF(ISNUMBER(N177),0.4*N173+0.6*N182+0.005*N177*N179,IF(N177="Partially Insulated",0.3*N181+0.7*N182+0.005*N176*N179,N182))-459.6</f>
        <v>45.647275000000036</v>
      </c>
      <c r="O183">
        <f t="shared" ref="O183" si="459">IF(ISNUMBER(O177),0.4*O173+0.6*O182+0.005*O177*O179,IF(O177="Partially Insulated",0.3*O181+0.7*O182+0.005*O176*O179,O182))-459.6</f>
        <v>42.362549999999999</v>
      </c>
      <c r="P183">
        <f>AVERAGE(D183:O183)</f>
        <v>51.334485416666666</v>
      </c>
    </row>
    <row r="184" spans="1:38" ht="17.149999999999999" x14ac:dyDescent="0.55000000000000004">
      <c r="B184" t="str">
        <f t="shared" si="443"/>
        <v>Portland</v>
      </c>
      <c r="C184" t="s">
        <v>527</v>
      </c>
      <c r="D184">
        <f>IF(ISNUMBER(D177),0.4*D174+0.6*D182+0.005*D177*D179,IF(D177="Partially Insulated",0.3*D181+0.7*D182+0.005*D176*D179,D182))-459.6</f>
        <v>46.846074999999985</v>
      </c>
      <c r="E184">
        <f t="shared" ref="E184:O184" si="460">IF(ISNUMBER(E177),0.4*E174+0.6*E182+0.005*E177*E179,IF(E177="Partially Insulated",0.3*E181+0.7*E182+0.005*E176*E179,E182))-459.6</f>
        <v>48.855000000000018</v>
      </c>
      <c r="F184">
        <f t="shared" si="460"/>
        <v>50.954425000000072</v>
      </c>
      <c r="G184">
        <f t="shared" si="460"/>
        <v>54.441299999999956</v>
      </c>
      <c r="H184">
        <f t="shared" si="460"/>
        <v>59.690924999999879</v>
      </c>
      <c r="I184">
        <f t="shared" si="460"/>
        <v>63.558175000000006</v>
      </c>
      <c r="J184">
        <f t="shared" si="460"/>
        <v>67.302699999999845</v>
      </c>
      <c r="K184">
        <f t="shared" si="460"/>
        <v>67.387300000000096</v>
      </c>
      <c r="L184">
        <f t="shared" si="460"/>
        <v>64.899900000000002</v>
      </c>
      <c r="M184">
        <f t="shared" si="460"/>
        <v>57.428200000000061</v>
      </c>
      <c r="N184">
        <f t="shared" si="460"/>
        <v>50.527275000000031</v>
      </c>
      <c r="O184">
        <f t="shared" si="460"/>
        <v>46.362549999999999</v>
      </c>
      <c r="P184">
        <f>AVERAGE(D184:O184)</f>
        <v>56.521152083333334</v>
      </c>
    </row>
    <row r="185" spans="1:38" ht="17.149999999999999" x14ac:dyDescent="0.55000000000000004">
      <c r="B185" t="str">
        <f t="shared" si="443"/>
        <v>Portland</v>
      </c>
      <c r="C185" t="s">
        <v>552</v>
      </c>
      <c r="D185">
        <f>IF(ISNUMBER(D177),0.4*D181+0.6*D182+0.005*D177*D179,IF(D177="Partially Insulated",0.3*D181+0.7*D182+0.005*D176*D179,D182))-459.6</f>
        <v>44.766075000000001</v>
      </c>
      <c r="E185">
        <f t="shared" ref="E185:O185" si="461">IF(ISNUMBER(E177),0.4*E181+0.6*E182+0.005*E177*E179,IF(E177="Partially Insulated",0.3*E181+0.7*E182+0.005*E176*E179,E182))-459.6</f>
        <v>46.215000000000032</v>
      </c>
      <c r="F185">
        <f t="shared" si="461"/>
        <v>48.314425000000028</v>
      </c>
      <c r="G185">
        <f t="shared" si="461"/>
        <v>51.761300000000006</v>
      </c>
      <c r="H185">
        <f t="shared" si="461"/>
        <v>57.030924999999911</v>
      </c>
      <c r="I185">
        <f t="shared" si="461"/>
        <v>61.058175000000006</v>
      </c>
      <c r="J185">
        <f t="shared" si="461"/>
        <v>64.762699999999768</v>
      </c>
      <c r="K185">
        <f t="shared" si="461"/>
        <v>64.667300000000068</v>
      </c>
      <c r="L185">
        <f t="shared" si="461"/>
        <v>61.61990000000003</v>
      </c>
      <c r="M185">
        <f t="shared" si="461"/>
        <v>54.488200000000006</v>
      </c>
      <c r="N185">
        <f t="shared" si="461"/>
        <v>48.087275000000091</v>
      </c>
      <c r="O185">
        <f t="shared" si="461"/>
        <v>44.362549999999999</v>
      </c>
      <c r="P185">
        <f>AVERAGE(D185:O185)</f>
        <v>53.927818749999993</v>
      </c>
    </row>
    <row r="186" spans="1:38" ht="17.149999999999999" x14ac:dyDescent="0.55000000000000004">
      <c r="A186" s="11"/>
      <c r="B186" s="11" t="str">
        <f t="shared" si="443"/>
        <v>Portland</v>
      </c>
      <c r="C186" s="11" t="s">
        <v>553</v>
      </c>
      <c r="D186" s="11">
        <f>IF(ISNUMBER(D177),0.7*D181+0.3*D182+0.009*D177*D179,IF(D177="Partially Insulated",0.6*D181+0.4*D182+0.01*D176*D179,D182))-459.6</f>
        <v>45.258280000000013</v>
      </c>
      <c r="E186" s="11">
        <f t="shared" ref="E186:O186" si="462">IF(ISNUMBER(E177),0.7*E181+0.3*E182+0.009*E177*E179,IF(E177="Partially Insulated",0.6*E181+0.4*E182+0.01*E176*E179,E182))-459.6</f>
        <v>47.076000000000022</v>
      </c>
      <c r="F186" s="11">
        <f t="shared" si="462"/>
        <v>49.572920000000011</v>
      </c>
      <c r="G186" s="11">
        <f t="shared" si="462"/>
        <v>53.557919999999854</v>
      </c>
      <c r="H186" s="11">
        <f t="shared" si="462"/>
        <v>59.236519999999814</v>
      </c>
      <c r="I186" s="11">
        <f t="shared" si="462"/>
        <v>63.392920000000117</v>
      </c>
      <c r="J186" s="11">
        <f t="shared" si="462"/>
        <v>67.21367999999984</v>
      </c>
      <c r="K186" s="11">
        <f t="shared" si="462"/>
        <v>66.808319999999981</v>
      </c>
      <c r="L186" s="11">
        <f t="shared" si="462"/>
        <v>63.33615999999995</v>
      </c>
      <c r="M186" s="11">
        <f t="shared" si="462"/>
        <v>55.532879999999977</v>
      </c>
      <c r="N186" s="11">
        <f t="shared" si="462"/>
        <v>48.648359999999968</v>
      </c>
      <c r="O186" s="11">
        <f t="shared" si="462"/>
        <v>44.795920000000024</v>
      </c>
      <c r="P186" s="11">
        <f>AVERAGE(D186:O186)</f>
        <v>55.369156666666619</v>
      </c>
      <c r="Q186" s="11"/>
      <c r="R186" s="11"/>
      <c r="S186" s="11"/>
      <c r="T186" s="11"/>
      <c r="U186" s="11"/>
      <c r="V186" s="11"/>
      <c r="W186" s="11"/>
      <c r="X186" s="11"/>
      <c r="Y186" s="11"/>
      <c r="Z186" s="11"/>
      <c r="AA186" s="11"/>
      <c r="AB186" s="11"/>
      <c r="AC186" s="11"/>
      <c r="AD186" s="11"/>
      <c r="AE186" s="11"/>
      <c r="AF186" s="11"/>
      <c r="AG186" s="11"/>
      <c r="AH186" s="11"/>
      <c r="AI186" s="11"/>
      <c r="AJ186" s="11"/>
      <c r="AK186" s="11"/>
      <c r="AL186" s="11"/>
    </row>
    <row r="187" spans="1:38" ht="17.149999999999999" x14ac:dyDescent="0.55000000000000004">
      <c r="A187" t="str" cm="1">
        <f t="array" ref="A187">INDEX(FX_Input,$R187,S$5)</f>
        <v>FX - 14</v>
      </c>
      <c r="B187" t="str" cm="1">
        <f t="array" ref="B187">INDEX(FX_Input,R187,T187)</f>
        <v>Portland</v>
      </c>
      <c r="C187" t="s">
        <v>510</v>
      </c>
      <c r="D187">
        <f t="shared" ref="D187:O188" si="463">VLOOKUP(VLOOKUP($B187,Terminal_X_Ref,2,FALSE)&amp;$C187,Weather_Data,$Y187*D$3+$Z187,FALSE)+459.6</f>
        <v>498.3</v>
      </c>
      <c r="E187">
        <f t="shared" si="463"/>
        <v>497.70000000000005</v>
      </c>
      <c r="F187">
        <f t="shared" si="463"/>
        <v>499.1</v>
      </c>
      <c r="G187">
        <f t="shared" si="463"/>
        <v>501.5</v>
      </c>
      <c r="H187">
        <f t="shared" si="463"/>
        <v>506.1</v>
      </c>
      <c r="I187">
        <f t="shared" si="463"/>
        <v>510.3</v>
      </c>
      <c r="J187">
        <f t="shared" si="463"/>
        <v>513.70000000000005</v>
      </c>
      <c r="K187">
        <f t="shared" si="463"/>
        <v>513.70000000000005</v>
      </c>
      <c r="L187">
        <f t="shared" si="463"/>
        <v>510</v>
      </c>
      <c r="M187">
        <f t="shared" si="463"/>
        <v>504.90000000000003</v>
      </c>
      <c r="N187">
        <f t="shared" si="463"/>
        <v>500.6</v>
      </c>
      <c r="O187">
        <f t="shared" si="463"/>
        <v>498.20000000000005</v>
      </c>
      <c r="P187">
        <f t="shared" ref="P187:P188" si="464">VLOOKUP(VLOOKUP($B187,Terminal_X_Ref,2,FALSE)&amp;$C187,Weather_Data,$Y187*P$3+$Z187,FALSE)</f>
        <v>44.9</v>
      </c>
      <c r="R187">
        <f>R173+2</f>
        <v>27</v>
      </c>
      <c r="S187">
        <f>S173+1</f>
        <v>14</v>
      </c>
      <c r="T187">
        <v>3</v>
      </c>
      <c r="U187">
        <v>2</v>
      </c>
      <c r="V187">
        <v>3</v>
      </c>
      <c r="W187">
        <v>1</v>
      </c>
      <c r="X187">
        <v>2</v>
      </c>
      <c r="Y187">
        <f>(V187-U187)/(X187-W187)</f>
        <v>1</v>
      </c>
      <c r="Z187">
        <f>U187-Y187*W187</f>
        <v>1</v>
      </c>
      <c r="AA187">
        <f>AA173+1</f>
        <v>14</v>
      </c>
      <c r="AB187">
        <v>6</v>
      </c>
      <c r="AC187">
        <v>3</v>
      </c>
      <c r="AD187">
        <v>13</v>
      </c>
      <c r="AE187">
        <v>12</v>
      </c>
      <c r="AF187">
        <v>14</v>
      </c>
      <c r="AG187">
        <v>77</v>
      </c>
      <c r="AH187">
        <v>78</v>
      </c>
      <c r="AI187">
        <v>1</v>
      </c>
      <c r="AJ187">
        <v>2</v>
      </c>
      <c r="AK187">
        <f>(AH187-AG187)/(AJ187-AI187)</f>
        <v>1</v>
      </c>
      <c r="AL187">
        <f>AG187-AK187*AI187</f>
        <v>76</v>
      </c>
    </row>
    <row r="188" spans="1:38" ht="17.149999999999999" x14ac:dyDescent="0.55000000000000004">
      <c r="B188" t="str">
        <f t="shared" ref="B188" si="465">B187</f>
        <v>Portland</v>
      </c>
      <c r="C188" t="s">
        <v>511</v>
      </c>
      <c r="D188">
        <f t="shared" si="463"/>
        <v>508.70000000000005</v>
      </c>
      <c r="E188">
        <f t="shared" si="463"/>
        <v>510.90000000000003</v>
      </c>
      <c r="F188">
        <f t="shared" si="463"/>
        <v>512.30000000000007</v>
      </c>
      <c r="G188">
        <f t="shared" si="463"/>
        <v>514.9</v>
      </c>
      <c r="H188">
        <f t="shared" si="463"/>
        <v>519.4</v>
      </c>
      <c r="I188">
        <f t="shared" si="463"/>
        <v>522.80000000000007</v>
      </c>
      <c r="J188">
        <f t="shared" si="463"/>
        <v>526.4</v>
      </c>
      <c r="K188">
        <f t="shared" si="463"/>
        <v>527.30000000000007</v>
      </c>
      <c r="L188">
        <f t="shared" si="463"/>
        <v>526.4</v>
      </c>
      <c r="M188">
        <f t="shared" si="463"/>
        <v>519.6</v>
      </c>
      <c r="N188">
        <f t="shared" si="463"/>
        <v>512.80000000000007</v>
      </c>
      <c r="O188">
        <f t="shared" si="463"/>
        <v>508.20000000000005</v>
      </c>
      <c r="P188">
        <f t="shared" si="464"/>
        <v>57.9</v>
      </c>
      <c r="U188">
        <f>U187</f>
        <v>2</v>
      </c>
      <c r="V188">
        <f t="shared" ref="V188:Z188" si="466">V187</f>
        <v>3</v>
      </c>
      <c r="W188">
        <f t="shared" si="466"/>
        <v>1</v>
      </c>
      <c r="X188">
        <f t="shared" si="466"/>
        <v>2</v>
      </c>
      <c r="Y188">
        <f t="shared" si="466"/>
        <v>1</v>
      </c>
      <c r="Z188">
        <f t="shared" si="466"/>
        <v>1</v>
      </c>
      <c r="AA188">
        <f>AA187</f>
        <v>14</v>
      </c>
      <c r="AB188">
        <f t="shared" ref="AB188:AB191" si="467">AB187</f>
        <v>6</v>
      </c>
      <c r="AC188">
        <f t="shared" ref="AC188:AF191" si="468">AC187</f>
        <v>3</v>
      </c>
      <c r="AD188">
        <f t="shared" si="468"/>
        <v>13</v>
      </c>
      <c r="AE188">
        <f t="shared" si="468"/>
        <v>12</v>
      </c>
      <c r="AF188">
        <f t="shared" si="468"/>
        <v>14</v>
      </c>
      <c r="AG188">
        <f t="shared" ref="AG188:AG191" si="469">AG187</f>
        <v>77</v>
      </c>
      <c r="AH188">
        <f t="shared" ref="AH188:AH191" si="470">AH187</f>
        <v>78</v>
      </c>
      <c r="AI188">
        <f t="shared" ref="AI188:AI191" si="471">AI187</f>
        <v>1</v>
      </c>
      <c r="AJ188">
        <f t="shared" ref="AJ188:AJ191" si="472">AJ187</f>
        <v>2</v>
      </c>
      <c r="AK188">
        <f t="shared" ref="AK188:AK191" si="473">AK187</f>
        <v>1</v>
      </c>
      <c r="AL188">
        <f t="shared" ref="AL188:AL191" si="474">AL187</f>
        <v>76</v>
      </c>
    </row>
    <row r="189" spans="1:38" ht="17.149999999999999" x14ac:dyDescent="0.4">
      <c r="B189" t="str">
        <f>B188</f>
        <v>Portland</v>
      </c>
      <c r="C189" s="66" t="s">
        <v>514</v>
      </c>
      <c r="D189" cm="1">
        <f t="array" ref="D189">INDEX(FX_Calcs,$AA189,$AE189)</f>
        <v>0.57999999999999996</v>
      </c>
      <c r="E189" cm="1">
        <f t="array" ref="E189">INDEX(FX_Calcs,$AA189,$AE189)</f>
        <v>0.57999999999999996</v>
      </c>
      <c r="F189" cm="1">
        <f t="array" ref="F189">INDEX(FX_Calcs,$AA189,$AE189)</f>
        <v>0.57999999999999996</v>
      </c>
      <c r="G189" cm="1">
        <f t="array" ref="G189">INDEX(FX_Calcs,$AA189,$AE189)</f>
        <v>0.57999999999999996</v>
      </c>
      <c r="H189" cm="1">
        <f t="array" ref="H189">INDEX(FX_Calcs,$AA189,$AE189)</f>
        <v>0.57999999999999996</v>
      </c>
      <c r="I189" cm="1">
        <f t="array" ref="I189">INDEX(FX_Calcs,$AA189,$AE189)</f>
        <v>0.57999999999999996</v>
      </c>
      <c r="J189" cm="1">
        <f t="array" ref="J189">INDEX(FX_Calcs,$AA189,$AE189)</f>
        <v>0.57999999999999996</v>
      </c>
      <c r="K189" cm="1">
        <f t="array" ref="K189">INDEX(FX_Calcs,$AA189,$AE189)</f>
        <v>0.57999999999999996</v>
      </c>
      <c r="L189" cm="1">
        <f t="array" ref="L189">INDEX(FX_Calcs,$AA189,$AE189)</f>
        <v>0.57999999999999996</v>
      </c>
      <c r="M189" cm="1">
        <f t="array" ref="M189">INDEX(FX_Calcs,$AA189,$AE189)</f>
        <v>0.57999999999999996</v>
      </c>
      <c r="N189" cm="1">
        <f t="array" ref="N189">INDEX(FX_Calcs,$AA189,$AE189)</f>
        <v>0.57999999999999996</v>
      </c>
      <c r="O189" cm="1">
        <f t="array" ref="O189">INDEX(FX_Calcs,$AA189,$AE189)</f>
        <v>0.57999999999999996</v>
      </c>
      <c r="P189" cm="1">
        <f t="array" ref="P189">INDEX(FX_Calcs,$AA189,$AE189)</f>
        <v>0.57999999999999996</v>
      </c>
      <c r="AA189">
        <f>AA188</f>
        <v>14</v>
      </c>
      <c r="AB189">
        <f t="shared" si="467"/>
        <v>6</v>
      </c>
      <c r="AC189">
        <f t="shared" si="468"/>
        <v>3</v>
      </c>
      <c r="AD189">
        <f t="shared" si="468"/>
        <v>13</v>
      </c>
      <c r="AE189">
        <f t="shared" si="468"/>
        <v>12</v>
      </c>
      <c r="AF189">
        <f t="shared" si="468"/>
        <v>14</v>
      </c>
      <c r="AG189">
        <f t="shared" si="469"/>
        <v>77</v>
      </c>
      <c r="AH189">
        <f t="shared" si="470"/>
        <v>78</v>
      </c>
      <c r="AI189">
        <f t="shared" si="471"/>
        <v>1</v>
      </c>
      <c r="AJ189">
        <f t="shared" si="472"/>
        <v>2</v>
      </c>
      <c r="AK189">
        <f t="shared" si="473"/>
        <v>1</v>
      </c>
      <c r="AL189">
        <f t="shared" si="474"/>
        <v>76</v>
      </c>
    </row>
    <row r="190" spans="1:38" ht="17.149999999999999" x14ac:dyDescent="0.4">
      <c r="B190" t="str">
        <f t="shared" ref="B190:B191" si="475">B189</f>
        <v>Portland</v>
      </c>
      <c r="C190" s="66" t="s">
        <v>513</v>
      </c>
      <c r="D190" cm="1">
        <f t="array" ref="D190">INDEX(FX_Calcs,$AA190,$AD190)</f>
        <v>0.57999999999999996</v>
      </c>
      <c r="E190" cm="1">
        <f t="array" ref="E190">INDEX(FX_Calcs,$AA190,$AD190)</f>
        <v>0.57999999999999996</v>
      </c>
      <c r="F190" cm="1">
        <f t="array" ref="F190">INDEX(FX_Calcs,$AA190,$AD190)</f>
        <v>0.57999999999999996</v>
      </c>
      <c r="G190" cm="1">
        <f t="array" ref="G190">INDEX(FX_Calcs,$AA190,$AD190)</f>
        <v>0.57999999999999996</v>
      </c>
      <c r="H190" cm="1">
        <f t="array" ref="H190">INDEX(FX_Calcs,$AA190,$AD190)</f>
        <v>0.57999999999999996</v>
      </c>
      <c r="I190" cm="1">
        <f t="array" ref="I190">INDEX(FX_Calcs,$AA190,$AD190)</f>
        <v>0.57999999999999996</v>
      </c>
      <c r="J190" cm="1">
        <f t="array" ref="J190">INDEX(FX_Calcs,$AA190,$AD190)</f>
        <v>0.57999999999999996</v>
      </c>
      <c r="K190" cm="1">
        <f t="array" ref="K190">INDEX(FX_Calcs,$AA190,$AD190)</f>
        <v>0.57999999999999996</v>
      </c>
      <c r="L190" cm="1">
        <f t="array" ref="L190">INDEX(FX_Calcs,$AA190,$AD190)</f>
        <v>0.57999999999999996</v>
      </c>
      <c r="M190" cm="1">
        <f t="array" ref="M190">INDEX(FX_Calcs,$AA190,$AD190)</f>
        <v>0.57999999999999996</v>
      </c>
      <c r="N190" cm="1">
        <f t="array" ref="N190">INDEX(FX_Calcs,$AA190,$AD190)</f>
        <v>0.57999999999999996</v>
      </c>
      <c r="O190" cm="1">
        <f t="array" ref="O190">INDEX(FX_Calcs,$AA190,$AD190)</f>
        <v>0.57999999999999996</v>
      </c>
      <c r="P190" cm="1">
        <f t="array" ref="P190">INDEX(FX_Calcs,$AA190,$AD190)</f>
        <v>0.57999999999999996</v>
      </c>
      <c r="AA190">
        <f>AA189</f>
        <v>14</v>
      </c>
      <c r="AB190">
        <f t="shared" si="467"/>
        <v>6</v>
      </c>
      <c r="AC190">
        <f t="shared" si="468"/>
        <v>3</v>
      </c>
      <c r="AD190">
        <f t="shared" si="468"/>
        <v>13</v>
      </c>
      <c r="AE190">
        <f t="shared" si="468"/>
        <v>12</v>
      </c>
      <c r="AF190">
        <f t="shared" si="468"/>
        <v>14</v>
      </c>
      <c r="AG190">
        <f t="shared" si="469"/>
        <v>77</v>
      </c>
      <c r="AH190">
        <f t="shared" si="470"/>
        <v>78</v>
      </c>
      <c r="AI190">
        <f t="shared" si="471"/>
        <v>1</v>
      </c>
      <c r="AJ190">
        <f t="shared" si="472"/>
        <v>2</v>
      </c>
      <c r="AK190">
        <f t="shared" si="473"/>
        <v>1</v>
      </c>
      <c r="AL190">
        <f t="shared" si="474"/>
        <v>76</v>
      </c>
    </row>
    <row r="191" spans="1:38" x14ac:dyDescent="0.4">
      <c r="B191" t="str">
        <f t="shared" si="475"/>
        <v>Portland</v>
      </c>
      <c r="C191" s="66" t="s">
        <v>558</v>
      </c>
      <c r="D191" cm="1">
        <f t="array" ref="D191">INDEX(FX_Calcs,$AA191,$AF191)</f>
        <v>0.57999999999999996</v>
      </c>
      <c r="E191" cm="1">
        <f t="array" ref="E191">INDEX(FX_Calcs,$AA191,$AF191)</f>
        <v>0.57999999999999996</v>
      </c>
      <c r="F191" cm="1">
        <f t="array" ref="F191">INDEX(FX_Calcs,$AA191,$AF191)</f>
        <v>0.57999999999999996</v>
      </c>
      <c r="G191" cm="1">
        <f t="array" ref="G191">INDEX(FX_Calcs,$AA191,$AF191)</f>
        <v>0.57999999999999996</v>
      </c>
      <c r="H191" cm="1">
        <f t="array" ref="H191">INDEX(FX_Calcs,$AA191,$AF191)</f>
        <v>0.57999999999999996</v>
      </c>
      <c r="I191" cm="1">
        <f t="array" ref="I191">INDEX(FX_Calcs,$AA191,$AF191)</f>
        <v>0.57999999999999996</v>
      </c>
      <c r="J191" cm="1">
        <f t="array" ref="J191">INDEX(FX_Calcs,$AA191,$AF191)</f>
        <v>0.57999999999999996</v>
      </c>
      <c r="K191" cm="1">
        <f t="array" ref="K191">INDEX(FX_Calcs,$AA191,$AF191)</f>
        <v>0.57999999999999996</v>
      </c>
      <c r="L191" cm="1">
        <f t="array" ref="L191">INDEX(FX_Calcs,$AA191,$AF191)</f>
        <v>0.57999999999999996</v>
      </c>
      <c r="M191" cm="1">
        <f t="array" ref="M191">INDEX(FX_Calcs,$AA191,$AF191)</f>
        <v>0.57999999999999996</v>
      </c>
      <c r="N191" cm="1">
        <f t="array" ref="N191">INDEX(FX_Calcs,$AA191,$AF191)</f>
        <v>0.57999999999999996</v>
      </c>
      <c r="O191" cm="1">
        <f t="array" ref="O191">INDEX(FX_Calcs,$AA191,$AF191)</f>
        <v>0.57999999999999996</v>
      </c>
      <c r="P191" cm="1">
        <f t="array" ref="P191">INDEX(FX_Calcs,$AA191,$AF191)</f>
        <v>0.57999999999999996</v>
      </c>
      <c r="AA191">
        <f>AA190</f>
        <v>14</v>
      </c>
      <c r="AB191">
        <f t="shared" si="467"/>
        <v>6</v>
      </c>
      <c r="AC191">
        <f t="shared" si="468"/>
        <v>3</v>
      </c>
      <c r="AD191">
        <f t="shared" si="468"/>
        <v>13</v>
      </c>
      <c r="AE191">
        <f t="shared" si="468"/>
        <v>12</v>
      </c>
      <c r="AF191">
        <f t="shared" si="468"/>
        <v>14</v>
      </c>
      <c r="AG191">
        <f t="shared" si="469"/>
        <v>77</v>
      </c>
      <c r="AH191">
        <f t="shared" si="470"/>
        <v>78</v>
      </c>
      <c r="AI191">
        <f t="shared" si="471"/>
        <v>1</v>
      </c>
      <c r="AJ191">
        <f t="shared" si="472"/>
        <v>2</v>
      </c>
      <c r="AK191">
        <f t="shared" si="473"/>
        <v>1</v>
      </c>
      <c r="AL191">
        <f t="shared" si="474"/>
        <v>76</v>
      </c>
    </row>
    <row r="192" spans="1:38" ht="17.149999999999999" x14ac:dyDescent="0.55000000000000004">
      <c r="B192" t="str">
        <f>B188</f>
        <v>Portland</v>
      </c>
      <c r="C192" t="s">
        <v>512</v>
      </c>
      <c r="D192">
        <f t="shared" ref="D192:P192" si="476">D188-D187</f>
        <v>10.400000000000034</v>
      </c>
      <c r="E192">
        <f t="shared" si="476"/>
        <v>13.199999999999989</v>
      </c>
      <c r="F192">
        <f t="shared" si="476"/>
        <v>13.200000000000045</v>
      </c>
      <c r="G192">
        <f t="shared" si="476"/>
        <v>13.399999999999977</v>
      </c>
      <c r="H192">
        <f t="shared" si="476"/>
        <v>13.299999999999955</v>
      </c>
      <c r="I192">
        <f t="shared" si="476"/>
        <v>12.500000000000057</v>
      </c>
      <c r="J192">
        <f t="shared" si="476"/>
        <v>12.699999999999932</v>
      </c>
      <c r="K192">
        <f t="shared" si="476"/>
        <v>13.600000000000023</v>
      </c>
      <c r="L192">
        <f t="shared" si="476"/>
        <v>16.399999999999977</v>
      </c>
      <c r="M192">
        <f t="shared" si="476"/>
        <v>14.699999999999989</v>
      </c>
      <c r="N192">
        <f t="shared" si="476"/>
        <v>12.200000000000045</v>
      </c>
      <c r="O192">
        <f t="shared" si="476"/>
        <v>10</v>
      </c>
      <c r="P192">
        <f t="shared" si="476"/>
        <v>13</v>
      </c>
    </row>
    <row r="193" spans="1:38" x14ac:dyDescent="0.4">
      <c r="B193" t="str">
        <f t="shared" ref="B193:B200" si="477">B192</f>
        <v>Portland</v>
      </c>
      <c r="C193" t="s">
        <v>260</v>
      </c>
      <c r="D193">
        <f t="shared" ref="D193:P193" si="478">VLOOKUP(VLOOKUP($B193,Terminal_X_Ref,2,FALSE)&amp;$C193,Weather_Data,$Y193*D$3+$Z193,FALSE)</f>
        <v>343</v>
      </c>
      <c r="E193">
        <f t="shared" si="478"/>
        <v>600</v>
      </c>
      <c r="F193">
        <f t="shared" si="478"/>
        <v>877</v>
      </c>
      <c r="G193">
        <f t="shared" si="478"/>
        <v>1252</v>
      </c>
      <c r="H193">
        <f t="shared" si="478"/>
        <v>1537</v>
      </c>
      <c r="I193">
        <f t="shared" si="478"/>
        <v>1627</v>
      </c>
      <c r="J193">
        <f t="shared" si="478"/>
        <v>1708</v>
      </c>
      <c r="K193">
        <f t="shared" si="478"/>
        <v>1492</v>
      </c>
      <c r="L193">
        <f t="shared" si="478"/>
        <v>1196</v>
      </c>
      <c r="M193">
        <f t="shared" si="478"/>
        <v>728</v>
      </c>
      <c r="N193">
        <f t="shared" si="478"/>
        <v>391</v>
      </c>
      <c r="O193">
        <f t="shared" si="478"/>
        <v>302</v>
      </c>
      <c r="P193">
        <f t="shared" si="478"/>
        <v>1005</v>
      </c>
      <c r="U193">
        <f>U188</f>
        <v>2</v>
      </c>
      <c r="V193">
        <f t="shared" ref="V193:Z193" si="479">V188</f>
        <v>3</v>
      </c>
      <c r="W193">
        <f t="shared" si="479"/>
        <v>1</v>
      </c>
      <c r="X193">
        <f t="shared" si="479"/>
        <v>2</v>
      </c>
      <c r="Y193">
        <f t="shared" si="479"/>
        <v>1</v>
      </c>
      <c r="Z193">
        <f t="shared" si="479"/>
        <v>1</v>
      </c>
    </row>
    <row r="194" spans="1:38" ht="17.149999999999999" x14ac:dyDescent="0.55000000000000004">
      <c r="B194" t="str">
        <f t="shared" si="477"/>
        <v>Portland</v>
      </c>
      <c r="C194" t="s">
        <v>523</v>
      </c>
      <c r="D194">
        <f>IF(ISNUMBER(D191),0.7*D192+0.02*D191*D193,IF(D191="Partially Insulated",0.6*D192+0.02*D190*D193,0))</f>
        <v>11.258800000000022</v>
      </c>
      <c r="E194">
        <f t="shared" ref="E194:P194" si="480">IF(ISNUMBER(E191),0.7*E192+0.02*E191*E193,IF(E191="Partially Insulated",0.6*E192+0.02*E190*E193,0))</f>
        <v>16.199999999999989</v>
      </c>
      <c r="F194">
        <f t="shared" si="480"/>
        <v>19.413200000000032</v>
      </c>
      <c r="G194">
        <f t="shared" si="480"/>
        <v>23.903199999999984</v>
      </c>
      <c r="H194">
        <f t="shared" si="480"/>
        <v>27.139199999999967</v>
      </c>
      <c r="I194">
        <f t="shared" si="480"/>
        <v>27.623200000000036</v>
      </c>
      <c r="J194">
        <f t="shared" si="480"/>
        <v>28.70279999999995</v>
      </c>
      <c r="K194">
        <f t="shared" si="480"/>
        <v>26.827200000000012</v>
      </c>
      <c r="L194">
        <f t="shared" si="480"/>
        <v>25.353599999999982</v>
      </c>
      <c r="M194">
        <f t="shared" si="480"/>
        <v>18.734799999999993</v>
      </c>
      <c r="N194">
        <f t="shared" si="480"/>
        <v>13.07560000000003</v>
      </c>
      <c r="O194">
        <f t="shared" si="480"/>
        <v>10.5032</v>
      </c>
      <c r="P194">
        <f t="shared" si="480"/>
        <v>20.757999999999999</v>
      </c>
    </row>
    <row r="195" spans="1:38" ht="17.149999999999999" x14ac:dyDescent="0.55000000000000004">
      <c r="B195" t="str">
        <f t="shared" si="477"/>
        <v>Portland</v>
      </c>
      <c r="C195" t="s">
        <v>524</v>
      </c>
      <c r="D195">
        <f t="shared" ref="D195:F195" si="481">AVERAGE(D187:D188)</f>
        <v>503.5</v>
      </c>
      <c r="E195">
        <f t="shared" si="481"/>
        <v>504.30000000000007</v>
      </c>
      <c r="F195">
        <f t="shared" si="481"/>
        <v>505.70000000000005</v>
      </c>
      <c r="G195">
        <f>AVERAGE(G187:G188)</f>
        <v>508.2</v>
      </c>
      <c r="H195">
        <f t="shared" ref="H195:P195" si="482">AVERAGE(H187:H188)</f>
        <v>512.75</v>
      </c>
      <c r="I195">
        <f t="shared" si="482"/>
        <v>516.55000000000007</v>
      </c>
      <c r="J195">
        <f t="shared" si="482"/>
        <v>520.04999999999995</v>
      </c>
      <c r="K195">
        <f t="shared" si="482"/>
        <v>520.5</v>
      </c>
      <c r="L195">
        <f t="shared" si="482"/>
        <v>518.20000000000005</v>
      </c>
      <c r="M195">
        <f t="shared" si="482"/>
        <v>512.25</v>
      </c>
      <c r="N195">
        <f t="shared" si="482"/>
        <v>506.70000000000005</v>
      </c>
      <c r="O195">
        <f t="shared" si="482"/>
        <v>503.20000000000005</v>
      </c>
      <c r="P195">
        <f t="shared" si="482"/>
        <v>51.4</v>
      </c>
    </row>
    <row r="196" spans="1:38" ht="17.149999999999999" x14ac:dyDescent="0.55000000000000004">
      <c r="B196" t="str">
        <f t="shared" si="477"/>
        <v>Portland</v>
      </c>
      <c r="C196" t="s">
        <v>525</v>
      </c>
      <c r="D196" cm="1">
        <f t="array" ref="D196">IFERROR(IF(ISBLANK(INDEX(FX_Input,$R187,D$3*$AK187+$AL187)),D195+0.003*D189*D193,INDEX(FX_Input,$R187,D$3*$AK187+$AL187)+459.6),D195)</f>
        <v>504.09681999999998</v>
      </c>
      <c r="E196" cm="1">
        <f t="array" ref="E196">IFERROR(IF(ISBLANK(INDEX(FX_Input,$R187,E$3*$AK187+$AL187)),E195+0.003*E189*E193,INDEX(FX_Input,$R187,E$3*$AK187+$AL187)+459.6),E195)</f>
        <v>505.34400000000005</v>
      </c>
      <c r="F196" cm="1">
        <f t="array" ref="F196">IFERROR(IF(ISBLANK(INDEX(FX_Input,$R187,F$3*$AK187+$AL187)),F195+0.003*F189*F193,INDEX(FX_Input,$R187,F$3*$AK187+$AL187)+459.6),F195)</f>
        <v>507.22598000000005</v>
      </c>
      <c r="G196" cm="1">
        <f t="array" ref="G196">IFERROR(IF(ISBLANK(INDEX(FX_Input,$R187,G$3*$AK187+$AL187)),G195+0.003*G189*G193,INDEX(FX_Input,$R187,G$3*$AK187+$AL187)+459.6),G195)</f>
        <v>510.37847999999997</v>
      </c>
      <c r="H196" cm="1">
        <f t="array" ref="H196">IFERROR(IF(ISBLANK(INDEX(FX_Input,$R187,H$3*$AK187+$AL187)),H195+0.003*H189*H193,INDEX(FX_Input,$R187,H$3*$AK187+$AL187)+459.6),H195)</f>
        <v>515.42438000000004</v>
      </c>
      <c r="I196" cm="1">
        <f t="array" ref="I196">IFERROR(IF(ISBLANK(INDEX(FX_Input,$R187,I$3*$AK187+$AL187)),I195+0.003*I189*I193,INDEX(FX_Input,$R187,I$3*$AK187+$AL187)+459.6),I195)</f>
        <v>519.38098000000002</v>
      </c>
      <c r="J196" cm="1">
        <f t="array" ref="J196">IFERROR(IF(ISBLANK(INDEX(FX_Input,$R187,J$3*$AK187+$AL187)),J195+0.003*J189*J193,INDEX(FX_Input,$R187,J$3*$AK187+$AL187)+459.6),J195)</f>
        <v>523.02191999999991</v>
      </c>
      <c r="K196" cm="1">
        <f t="array" ref="K196">IFERROR(IF(ISBLANK(INDEX(FX_Input,$R187,K$3*$AK187+$AL187)),K195+0.003*K189*K193,INDEX(FX_Input,$R187,K$3*$AK187+$AL187)+459.6),K195)</f>
        <v>523.09608000000003</v>
      </c>
      <c r="L196" cm="1">
        <f t="array" ref="L196">IFERROR(IF(ISBLANK(INDEX(FX_Input,$R187,L$3*$AK187+$AL187)),L195+0.003*L189*L193,INDEX(FX_Input,$R187,L$3*$AK187+$AL187)+459.6),L195)</f>
        <v>520.28104000000008</v>
      </c>
      <c r="M196" cm="1">
        <f t="array" ref="M196">IFERROR(IF(ISBLANK(INDEX(FX_Input,$R187,M$3*$AK187+$AL187)),M195+0.003*M189*M193,INDEX(FX_Input,$R187,M$3*$AK187+$AL187)+459.6),M195)</f>
        <v>513.51671999999996</v>
      </c>
      <c r="N196" cm="1">
        <f t="array" ref="N196">IFERROR(IF(ISBLANK(INDEX(FX_Input,$R187,N$3*$AK187+$AL187)),N195+0.003*N189*N193,INDEX(FX_Input,$R187,N$3*$AK187+$AL187)+459.6),N195)</f>
        <v>507.38034000000005</v>
      </c>
      <c r="O196" cm="1">
        <f t="array" ref="O196">IFERROR(IF(ISBLANK(INDEX(FX_Input,$R187,O$3*$AK187+$AL187)),O195+0.003*O189*O193,INDEX(FX_Input,$R187,O$3*$AK187+$AL187)+459.6),O195)</f>
        <v>503.72548000000006</v>
      </c>
      <c r="P196" cm="1">
        <f t="array" ref="P196">IFERROR(IF(ISBLANK(INDEX(FX_Input,$R187,P$3*$AK187+$AL187)),P195+0.003*P189*P193,INDEX(FX_Input,$R187,P$3*$AK187+$AL187)+459.6),P195)</f>
        <v>5042.6000000000004</v>
      </c>
    </row>
    <row r="197" spans="1:38" ht="17.149999999999999" x14ac:dyDescent="0.55000000000000004">
      <c r="B197" t="str">
        <f t="shared" si="477"/>
        <v>Portland</v>
      </c>
      <c r="C197" t="s">
        <v>526</v>
      </c>
      <c r="D197">
        <f>IF(ISNUMBER(D191),0.4*D187+0.6*D196+0.005*D191*D193,IF(D191="Partially Insulated",0.3*D195+0.7*D196+0.005*D190*D193,D196))-459.6</f>
        <v>43.172792000000015</v>
      </c>
      <c r="E197">
        <f t="shared" ref="E197" si="483">IF(ISNUMBER(E191),0.4*E187+0.6*E196+0.005*E191*E193,IF(E191="Partially Insulated",0.3*E195+0.7*E196+0.005*E190*E193,E196))-459.6</f>
        <v>44.426400000000058</v>
      </c>
      <c r="F197">
        <f t="shared" ref="F197" si="484">IF(ISNUMBER(F191),0.4*F187+0.6*F196+0.005*F191*F193,IF(F191="Partially Insulated",0.3*F195+0.7*F196+0.005*F190*F193,F196))-459.6</f>
        <v>46.918887999999981</v>
      </c>
      <c r="G197">
        <f t="shared" ref="G197" si="485">IF(ISNUMBER(G191),0.4*G187+0.6*G196+0.005*G191*G193,IF(G191="Partially Insulated",0.3*G195+0.7*G196+0.005*G190*G193,G196))-459.6</f>
        <v>50.857888000000003</v>
      </c>
      <c r="H197">
        <f t="shared" ref="H197" si="486">IF(ISNUMBER(H191),0.4*H187+0.6*H196+0.005*H191*H193,IF(H191="Partially Insulated",0.3*H195+0.7*H196+0.005*H190*H193,H196))-459.6</f>
        <v>56.551928000000089</v>
      </c>
      <c r="I197">
        <f t="shared" ref="I197" si="487">IF(ISNUMBER(I191),0.4*I187+0.6*I196+0.005*I191*I193,IF(I191="Partially Insulated",0.3*I195+0.7*I196+0.005*I190*I193,I196))-459.6</f>
        <v>60.866887999999904</v>
      </c>
      <c r="J197">
        <f t="shared" ref="J197" si="488">IF(ISNUMBER(J191),0.4*J187+0.6*J196+0.005*J191*J193,IF(J191="Partially Insulated",0.3*J195+0.7*J196+0.005*J190*J193,J196))-459.6</f>
        <v>64.646351999999979</v>
      </c>
      <c r="K197">
        <f t="shared" ref="K197" si="489">IF(ISNUMBER(K191),0.4*K187+0.6*K196+0.005*K191*K193,IF(K191="Partially Insulated",0.3*K195+0.7*K196+0.005*K190*K193,K196))-459.6</f>
        <v>64.06444799999997</v>
      </c>
      <c r="L197">
        <f t="shared" ref="L197" si="490">IF(ISNUMBER(L191),0.4*L187+0.6*L196+0.005*L191*L193,IF(L191="Partially Insulated",0.3*L195+0.7*L196+0.005*L190*L193,L196))-459.6</f>
        <v>60.037023999999974</v>
      </c>
      <c r="M197">
        <f t="shared" ref="M197" si="491">IF(ISNUMBER(M191),0.4*M187+0.6*M196+0.005*M191*M193,IF(M191="Partially Insulated",0.3*M195+0.7*M196+0.005*M190*M193,M196))-459.6</f>
        <v>52.581232</v>
      </c>
      <c r="N197">
        <f t="shared" ref="N197" si="492">IF(ISNUMBER(N191),0.4*N187+0.6*N196+0.005*N191*N193,IF(N191="Partially Insulated",0.3*N195+0.7*N196+0.005*N190*N193,N196))-459.6</f>
        <v>46.202103999999963</v>
      </c>
      <c r="O197">
        <f t="shared" ref="O197" si="493">IF(ISNUMBER(O191),0.4*O187+0.6*O196+0.005*O191*O193,IF(O191="Partially Insulated",0.3*O195+0.7*O196+0.005*O190*O193,O196))-459.6</f>
        <v>42.791088000000059</v>
      </c>
      <c r="P197">
        <f>AVERAGE(D197:O197)</f>
        <v>52.759752666666664</v>
      </c>
    </row>
    <row r="198" spans="1:38" ht="17.149999999999999" x14ac:dyDescent="0.55000000000000004">
      <c r="B198" t="str">
        <f t="shared" si="477"/>
        <v>Portland</v>
      </c>
      <c r="C198" t="s">
        <v>527</v>
      </c>
      <c r="D198">
        <f>IF(ISNUMBER(D191),0.4*D188+0.6*D196+0.005*D191*D193,IF(D191="Partially Insulated",0.3*D195+0.7*D196+0.005*D190*D193,D196))-459.6</f>
        <v>47.332791999999984</v>
      </c>
      <c r="E198">
        <f t="shared" ref="E198:O198" si="494">IF(ISNUMBER(E191),0.4*E188+0.6*E196+0.005*E191*E193,IF(E191="Partially Insulated",0.3*E195+0.7*E196+0.005*E190*E193,E196))-459.6</f>
        <v>49.706400000000031</v>
      </c>
      <c r="F198">
        <f t="shared" si="494"/>
        <v>52.198888000000068</v>
      </c>
      <c r="G198">
        <f t="shared" si="494"/>
        <v>56.217888000000016</v>
      </c>
      <c r="H198">
        <f t="shared" si="494"/>
        <v>61.871928000000025</v>
      </c>
      <c r="I198">
        <f t="shared" si="494"/>
        <v>65.866888000000017</v>
      </c>
      <c r="J198">
        <f t="shared" si="494"/>
        <v>69.726351999999906</v>
      </c>
      <c r="K198">
        <f t="shared" si="494"/>
        <v>69.504448000000025</v>
      </c>
      <c r="L198">
        <f t="shared" si="494"/>
        <v>66.597024000000033</v>
      </c>
      <c r="M198">
        <f t="shared" si="494"/>
        <v>58.461231999999995</v>
      </c>
      <c r="N198">
        <f t="shared" si="494"/>
        <v>51.082104000000015</v>
      </c>
      <c r="O198">
        <f t="shared" si="494"/>
        <v>46.791088000000059</v>
      </c>
      <c r="P198">
        <f>AVERAGE(D198:O198)</f>
        <v>57.946419333333353</v>
      </c>
    </row>
    <row r="199" spans="1:38" ht="17.149999999999999" x14ac:dyDescent="0.55000000000000004">
      <c r="B199" t="str">
        <f t="shared" si="477"/>
        <v>Portland</v>
      </c>
      <c r="C199" t="s">
        <v>552</v>
      </c>
      <c r="D199">
        <f>IF(ISNUMBER(D191),0.4*D195+0.6*D196+0.005*D191*D193,IF(D191="Partially Insulated",0.3*D195+0.7*D196+0.005*D190*D193,D196))-459.6</f>
        <v>45.252791999999943</v>
      </c>
      <c r="E199">
        <f t="shared" ref="E199:O199" si="495">IF(ISNUMBER(E191),0.4*E195+0.6*E196+0.005*E191*E193,IF(E191="Partially Insulated",0.3*E195+0.7*E196+0.005*E190*E193,E196))-459.6</f>
        <v>47.066400000000044</v>
      </c>
      <c r="F199">
        <f t="shared" si="495"/>
        <v>49.558888000000024</v>
      </c>
      <c r="G199">
        <f t="shared" si="495"/>
        <v>53.537887999999953</v>
      </c>
      <c r="H199">
        <f t="shared" si="495"/>
        <v>59.211928000000057</v>
      </c>
      <c r="I199">
        <f t="shared" si="495"/>
        <v>63.366888000000017</v>
      </c>
      <c r="J199">
        <f t="shared" si="495"/>
        <v>67.186351999999943</v>
      </c>
      <c r="K199">
        <f t="shared" si="495"/>
        <v>66.784447999999998</v>
      </c>
      <c r="L199">
        <f t="shared" si="495"/>
        <v>63.31702400000006</v>
      </c>
      <c r="M199">
        <f t="shared" si="495"/>
        <v>55.521232000000055</v>
      </c>
      <c r="N199">
        <f t="shared" si="495"/>
        <v>48.642103999999961</v>
      </c>
      <c r="O199">
        <f t="shared" si="495"/>
        <v>44.791088000000059</v>
      </c>
      <c r="P199">
        <f>AVERAGE(D199:O199)</f>
        <v>55.353086000000012</v>
      </c>
    </row>
    <row r="200" spans="1:38" ht="17.149999999999999" x14ac:dyDescent="0.55000000000000004">
      <c r="A200" s="11"/>
      <c r="B200" s="11" t="str">
        <f t="shared" si="477"/>
        <v>Portland</v>
      </c>
      <c r="C200" s="11" t="s">
        <v>553</v>
      </c>
      <c r="D200" s="11">
        <f>IF(ISNUMBER(D191),0.7*D195+0.3*D196+0.009*D191*D193,IF(D191="Partially Insulated",0.6*D195+0.4*D196+0.01*D190*D193,D196))-459.6</f>
        <v>45.869505999999944</v>
      </c>
      <c r="E200" s="11">
        <f t="shared" ref="E200:O200" si="496">IF(ISNUMBER(E191),0.7*E195+0.3*E196+0.009*E191*E193,IF(E191="Partially Insulated",0.6*E195+0.4*E196+0.01*E190*E193,E196))-459.6</f>
        <v>48.145200000000045</v>
      </c>
      <c r="F200" s="11">
        <f t="shared" si="496"/>
        <v>51.135734000000014</v>
      </c>
      <c r="G200" s="11">
        <f t="shared" si="496"/>
        <v>55.788983999999914</v>
      </c>
      <c r="H200" s="11">
        <f t="shared" si="496"/>
        <v>61.975454000000013</v>
      </c>
      <c r="I200" s="11">
        <f t="shared" si="496"/>
        <v>66.292234000000008</v>
      </c>
      <c r="J200" s="11">
        <f t="shared" si="496"/>
        <v>70.257335999999896</v>
      </c>
      <c r="K200" s="11">
        <f t="shared" si="496"/>
        <v>69.467063999999937</v>
      </c>
      <c r="L200" s="11">
        <f t="shared" si="496"/>
        <v>65.467431999999917</v>
      </c>
      <c r="M200" s="11">
        <f t="shared" si="496"/>
        <v>56.830175999999938</v>
      </c>
      <c r="N200" s="11">
        <f t="shared" si="496"/>
        <v>49.345121999999947</v>
      </c>
      <c r="O200" s="11">
        <f t="shared" si="496"/>
        <v>45.334084000000018</v>
      </c>
      <c r="P200" s="11">
        <f>AVERAGE(D200:O200)</f>
        <v>57.159027166666625</v>
      </c>
      <c r="Q200" s="11"/>
      <c r="R200" s="11"/>
      <c r="S200" s="11"/>
      <c r="T200" s="11"/>
      <c r="U200" s="11"/>
      <c r="V200" s="11"/>
      <c r="W200" s="11"/>
      <c r="X200" s="11"/>
      <c r="Y200" s="11"/>
      <c r="Z200" s="11"/>
      <c r="AA200" s="11"/>
      <c r="AB200" s="11"/>
      <c r="AC200" s="11"/>
      <c r="AD200" s="11"/>
      <c r="AE200" s="11"/>
      <c r="AF200" s="11"/>
      <c r="AG200" s="11"/>
      <c r="AH200" s="11"/>
      <c r="AI200" s="11"/>
      <c r="AJ200" s="11"/>
      <c r="AK200" s="11"/>
      <c r="AL200" s="11"/>
    </row>
    <row r="201" spans="1:38" ht="17.149999999999999" x14ac:dyDescent="0.55000000000000004">
      <c r="A201" t="str" cm="1">
        <f t="array" ref="A201">INDEX(FX_Input,$R201,S$5)</f>
        <v>FX - 15</v>
      </c>
      <c r="B201" t="str" cm="1">
        <f t="array" ref="B201">INDEX(FX_Input,R201,T201)</f>
        <v>Portland</v>
      </c>
      <c r="C201" t="s">
        <v>510</v>
      </c>
      <c r="D201">
        <f t="shared" ref="D201:O202" si="497">VLOOKUP(VLOOKUP($B201,Terminal_X_Ref,2,FALSE)&amp;$C201,Weather_Data,$Y201*D$3+$Z201,FALSE)+459.6</f>
        <v>498.3</v>
      </c>
      <c r="E201">
        <f t="shared" si="497"/>
        <v>497.70000000000005</v>
      </c>
      <c r="F201">
        <f t="shared" si="497"/>
        <v>499.1</v>
      </c>
      <c r="G201">
        <f t="shared" si="497"/>
        <v>501.5</v>
      </c>
      <c r="H201">
        <f t="shared" si="497"/>
        <v>506.1</v>
      </c>
      <c r="I201">
        <f t="shared" si="497"/>
        <v>510.3</v>
      </c>
      <c r="J201">
        <f t="shared" si="497"/>
        <v>513.70000000000005</v>
      </c>
      <c r="K201">
        <f t="shared" si="497"/>
        <v>513.70000000000005</v>
      </c>
      <c r="L201">
        <f t="shared" si="497"/>
        <v>510</v>
      </c>
      <c r="M201">
        <f t="shared" si="497"/>
        <v>504.90000000000003</v>
      </c>
      <c r="N201">
        <f t="shared" si="497"/>
        <v>500.6</v>
      </c>
      <c r="O201">
        <f t="shared" si="497"/>
        <v>498.20000000000005</v>
      </c>
      <c r="P201">
        <f t="shared" ref="P201:P202" si="498">VLOOKUP(VLOOKUP($B201,Terminal_X_Ref,2,FALSE)&amp;$C201,Weather_Data,$Y201*P$3+$Z201,FALSE)</f>
        <v>44.9</v>
      </c>
      <c r="R201">
        <f>R187+2</f>
        <v>29</v>
      </c>
      <c r="S201">
        <f>S187+1</f>
        <v>15</v>
      </c>
      <c r="T201">
        <v>3</v>
      </c>
      <c r="U201">
        <v>2</v>
      </c>
      <c r="V201">
        <v>3</v>
      </c>
      <c r="W201">
        <v>1</v>
      </c>
      <c r="X201">
        <v>2</v>
      </c>
      <c r="Y201">
        <f>(V201-U201)/(X201-W201)</f>
        <v>1</v>
      </c>
      <c r="Z201">
        <f>U201-Y201*W201</f>
        <v>1</v>
      </c>
      <c r="AA201">
        <f>AA187+1</f>
        <v>15</v>
      </c>
      <c r="AB201">
        <v>6</v>
      </c>
      <c r="AC201">
        <v>3</v>
      </c>
      <c r="AD201">
        <v>13</v>
      </c>
      <c r="AE201">
        <v>12</v>
      </c>
      <c r="AF201">
        <v>14</v>
      </c>
      <c r="AG201">
        <v>77</v>
      </c>
      <c r="AH201">
        <v>78</v>
      </c>
      <c r="AI201">
        <v>1</v>
      </c>
      <c r="AJ201">
        <v>2</v>
      </c>
      <c r="AK201">
        <f>(AH201-AG201)/(AJ201-AI201)</f>
        <v>1</v>
      </c>
      <c r="AL201">
        <f>AG201-AK201*AI201</f>
        <v>76</v>
      </c>
    </row>
    <row r="202" spans="1:38" ht="17.149999999999999" x14ac:dyDescent="0.55000000000000004">
      <c r="B202" t="str">
        <f t="shared" ref="B202" si="499">B201</f>
        <v>Portland</v>
      </c>
      <c r="C202" t="s">
        <v>511</v>
      </c>
      <c r="D202">
        <f t="shared" si="497"/>
        <v>508.70000000000005</v>
      </c>
      <c r="E202">
        <f t="shared" si="497"/>
        <v>510.90000000000003</v>
      </c>
      <c r="F202">
        <f t="shared" si="497"/>
        <v>512.30000000000007</v>
      </c>
      <c r="G202">
        <f t="shared" si="497"/>
        <v>514.9</v>
      </c>
      <c r="H202">
        <f t="shared" si="497"/>
        <v>519.4</v>
      </c>
      <c r="I202">
        <f t="shared" si="497"/>
        <v>522.80000000000007</v>
      </c>
      <c r="J202">
        <f t="shared" si="497"/>
        <v>526.4</v>
      </c>
      <c r="K202">
        <f t="shared" si="497"/>
        <v>527.30000000000007</v>
      </c>
      <c r="L202">
        <f t="shared" si="497"/>
        <v>526.4</v>
      </c>
      <c r="M202">
        <f t="shared" si="497"/>
        <v>519.6</v>
      </c>
      <c r="N202">
        <f t="shared" si="497"/>
        <v>512.80000000000007</v>
      </c>
      <c r="O202">
        <f t="shared" si="497"/>
        <v>508.20000000000005</v>
      </c>
      <c r="P202">
        <f t="shared" si="498"/>
        <v>57.9</v>
      </c>
      <c r="U202">
        <f>U201</f>
        <v>2</v>
      </c>
      <c r="V202">
        <f t="shared" ref="V202:Z202" si="500">V201</f>
        <v>3</v>
      </c>
      <c r="W202">
        <f t="shared" si="500"/>
        <v>1</v>
      </c>
      <c r="X202">
        <f t="shared" si="500"/>
        <v>2</v>
      </c>
      <c r="Y202">
        <f t="shared" si="500"/>
        <v>1</v>
      </c>
      <c r="Z202">
        <f t="shared" si="500"/>
        <v>1</v>
      </c>
      <c r="AA202">
        <f>AA201</f>
        <v>15</v>
      </c>
      <c r="AB202">
        <f t="shared" ref="AB202:AB205" si="501">AB201</f>
        <v>6</v>
      </c>
      <c r="AC202">
        <f t="shared" ref="AC202:AF205" si="502">AC201</f>
        <v>3</v>
      </c>
      <c r="AD202">
        <f t="shared" si="502"/>
        <v>13</v>
      </c>
      <c r="AE202">
        <f t="shared" si="502"/>
        <v>12</v>
      </c>
      <c r="AF202">
        <f t="shared" si="502"/>
        <v>14</v>
      </c>
      <c r="AG202">
        <f t="shared" ref="AG202:AG205" si="503">AG201</f>
        <v>77</v>
      </c>
      <c r="AH202">
        <f t="shared" ref="AH202:AH205" si="504">AH201</f>
        <v>78</v>
      </c>
      <c r="AI202">
        <f t="shared" ref="AI202:AI205" si="505">AI201</f>
        <v>1</v>
      </c>
      <c r="AJ202">
        <f t="shared" ref="AJ202:AJ205" si="506">AJ201</f>
        <v>2</v>
      </c>
      <c r="AK202">
        <f t="shared" ref="AK202:AK205" si="507">AK201</f>
        <v>1</v>
      </c>
      <c r="AL202">
        <f t="shared" ref="AL202:AL205" si="508">AL201</f>
        <v>76</v>
      </c>
    </row>
    <row r="203" spans="1:38" ht="17.149999999999999" x14ac:dyDescent="0.4">
      <c r="B203" t="str">
        <f>B202</f>
        <v>Portland</v>
      </c>
      <c r="C203" s="66" t="s">
        <v>514</v>
      </c>
      <c r="D203" t="str" cm="1">
        <f t="array" ref="D203">INDEX(FX_Calcs,$AA203,$AE203)</f>
        <v>N/A</v>
      </c>
      <c r="E203" t="str" cm="1">
        <f t="array" ref="E203">INDEX(FX_Calcs,$AA203,$AE203)</f>
        <v>N/A</v>
      </c>
      <c r="F203" t="str" cm="1">
        <f t="array" ref="F203">INDEX(FX_Calcs,$AA203,$AE203)</f>
        <v>N/A</v>
      </c>
      <c r="G203" t="str" cm="1">
        <f t="array" ref="G203">INDEX(FX_Calcs,$AA203,$AE203)</f>
        <v>N/A</v>
      </c>
      <c r="H203" t="str" cm="1">
        <f t="array" ref="H203">INDEX(FX_Calcs,$AA203,$AE203)</f>
        <v>N/A</v>
      </c>
      <c r="I203" t="str" cm="1">
        <f t="array" ref="I203">INDEX(FX_Calcs,$AA203,$AE203)</f>
        <v>N/A</v>
      </c>
      <c r="J203" t="str" cm="1">
        <f t="array" ref="J203">INDEX(FX_Calcs,$AA203,$AE203)</f>
        <v>N/A</v>
      </c>
      <c r="K203" t="str" cm="1">
        <f t="array" ref="K203">INDEX(FX_Calcs,$AA203,$AE203)</f>
        <v>N/A</v>
      </c>
      <c r="L203" t="str" cm="1">
        <f t="array" ref="L203">INDEX(FX_Calcs,$AA203,$AE203)</f>
        <v>N/A</v>
      </c>
      <c r="M203" t="str" cm="1">
        <f t="array" ref="M203">INDEX(FX_Calcs,$AA203,$AE203)</f>
        <v>N/A</v>
      </c>
      <c r="N203" t="str" cm="1">
        <f t="array" ref="N203">INDEX(FX_Calcs,$AA203,$AE203)</f>
        <v>N/A</v>
      </c>
      <c r="O203" t="str" cm="1">
        <f t="array" ref="O203">INDEX(FX_Calcs,$AA203,$AE203)</f>
        <v>N/A</v>
      </c>
      <c r="P203" t="str" cm="1">
        <f t="array" ref="P203">INDEX(FX_Calcs,$AA203,$AE203)</f>
        <v>N/A</v>
      </c>
      <c r="AA203">
        <f>AA202</f>
        <v>15</v>
      </c>
      <c r="AB203">
        <f t="shared" si="501"/>
        <v>6</v>
      </c>
      <c r="AC203">
        <f t="shared" si="502"/>
        <v>3</v>
      </c>
      <c r="AD203">
        <f t="shared" si="502"/>
        <v>13</v>
      </c>
      <c r="AE203">
        <f t="shared" si="502"/>
        <v>12</v>
      </c>
      <c r="AF203">
        <f t="shared" si="502"/>
        <v>14</v>
      </c>
      <c r="AG203">
        <f t="shared" si="503"/>
        <v>77</v>
      </c>
      <c r="AH203">
        <f t="shared" si="504"/>
        <v>78</v>
      </c>
      <c r="AI203">
        <f t="shared" si="505"/>
        <v>1</v>
      </c>
      <c r="AJ203">
        <f t="shared" si="506"/>
        <v>2</v>
      </c>
      <c r="AK203">
        <f t="shared" si="507"/>
        <v>1</v>
      </c>
      <c r="AL203">
        <f t="shared" si="508"/>
        <v>76</v>
      </c>
    </row>
    <row r="204" spans="1:38" ht="17.149999999999999" x14ac:dyDescent="0.4">
      <c r="B204" t="str">
        <f t="shared" ref="B204:B205" si="509">B203</f>
        <v>Portland</v>
      </c>
      <c r="C204" s="66" t="s">
        <v>513</v>
      </c>
      <c r="D204" t="str" cm="1">
        <f t="array" ref="D204">INDEX(FX_Calcs,$AA204,$AD204)</f>
        <v>N/A</v>
      </c>
      <c r="E204" t="str" cm="1">
        <f t="array" ref="E204">INDEX(FX_Calcs,$AA204,$AD204)</f>
        <v>N/A</v>
      </c>
      <c r="F204" t="str" cm="1">
        <f t="array" ref="F204">INDEX(FX_Calcs,$AA204,$AD204)</f>
        <v>N/A</v>
      </c>
      <c r="G204" t="str" cm="1">
        <f t="array" ref="G204">INDEX(FX_Calcs,$AA204,$AD204)</f>
        <v>N/A</v>
      </c>
      <c r="H204" t="str" cm="1">
        <f t="array" ref="H204">INDEX(FX_Calcs,$AA204,$AD204)</f>
        <v>N/A</v>
      </c>
      <c r="I204" t="str" cm="1">
        <f t="array" ref="I204">INDEX(FX_Calcs,$AA204,$AD204)</f>
        <v>N/A</v>
      </c>
      <c r="J204" t="str" cm="1">
        <f t="array" ref="J204">INDEX(FX_Calcs,$AA204,$AD204)</f>
        <v>N/A</v>
      </c>
      <c r="K204" t="str" cm="1">
        <f t="array" ref="K204">INDEX(FX_Calcs,$AA204,$AD204)</f>
        <v>N/A</v>
      </c>
      <c r="L204" t="str" cm="1">
        <f t="array" ref="L204">INDEX(FX_Calcs,$AA204,$AD204)</f>
        <v>N/A</v>
      </c>
      <c r="M204" t="str" cm="1">
        <f t="array" ref="M204">INDEX(FX_Calcs,$AA204,$AD204)</f>
        <v>N/A</v>
      </c>
      <c r="N204" t="str" cm="1">
        <f t="array" ref="N204">INDEX(FX_Calcs,$AA204,$AD204)</f>
        <v>N/A</v>
      </c>
      <c r="O204" t="str" cm="1">
        <f t="array" ref="O204">INDEX(FX_Calcs,$AA204,$AD204)</f>
        <v>N/A</v>
      </c>
      <c r="P204" t="str" cm="1">
        <f t="array" ref="P204">INDEX(FX_Calcs,$AA204,$AD204)</f>
        <v>N/A</v>
      </c>
      <c r="AA204">
        <f>AA203</f>
        <v>15</v>
      </c>
      <c r="AB204">
        <f t="shared" si="501"/>
        <v>6</v>
      </c>
      <c r="AC204">
        <f t="shared" si="502"/>
        <v>3</v>
      </c>
      <c r="AD204">
        <f t="shared" si="502"/>
        <v>13</v>
      </c>
      <c r="AE204">
        <f t="shared" si="502"/>
        <v>12</v>
      </c>
      <c r="AF204">
        <f t="shared" si="502"/>
        <v>14</v>
      </c>
      <c r="AG204">
        <f t="shared" si="503"/>
        <v>77</v>
      </c>
      <c r="AH204">
        <f t="shared" si="504"/>
        <v>78</v>
      </c>
      <c r="AI204">
        <f t="shared" si="505"/>
        <v>1</v>
      </c>
      <c r="AJ204">
        <f t="shared" si="506"/>
        <v>2</v>
      </c>
      <c r="AK204">
        <f t="shared" si="507"/>
        <v>1</v>
      </c>
      <c r="AL204">
        <f t="shared" si="508"/>
        <v>76</v>
      </c>
    </row>
    <row r="205" spans="1:38" x14ac:dyDescent="0.4">
      <c r="B205" t="str">
        <f t="shared" si="509"/>
        <v>Portland</v>
      </c>
      <c r="C205" s="66" t="s">
        <v>558</v>
      </c>
      <c r="D205" t="str" cm="1">
        <f t="array" ref="D205">INDEX(FX_Calcs,$AA205,$AF205)</f>
        <v>Insulated</v>
      </c>
      <c r="E205" t="str" cm="1">
        <f t="array" ref="E205">INDEX(FX_Calcs,$AA205,$AF205)</f>
        <v>Insulated</v>
      </c>
      <c r="F205" t="str" cm="1">
        <f t="array" ref="F205">INDEX(FX_Calcs,$AA205,$AF205)</f>
        <v>Insulated</v>
      </c>
      <c r="G205" t="str" cm="1">
        <f t="array" ref="G205">INDEX(FX_Calcs,$AA205,$AF205)</f>
        <v>Insulated</v>
      </c>
      <c r="H205" t="str" cm="1">
        <f t="array" ref="H205">INDEX(FX_Calcs,$AA205,$AF205)</f>
        <v>Insulated</v>
      </c>
      <c r="I205" t="str" cm="1">
        <f t="array" ref="I205">INDEX(FX_Calcs,$AA205,$AF205)</f>
        <v>Insulated</v>
      </c>
      <c r="J205" t="str" cm="1">
        <f t="array" ref="J205">INDEX(FX_Calcs,$AA205,$AF205)</f>
        <v>Insulated</v>
      </c>
      <c r="K205" t="str" cm="1">
        <f t="array" ref="K205">INDEX(FX_Calcs,$AA205,$AF205)</f>
        <v>Insulated</v>
      </c>
      <c r="L205" t="str" cm="1">
        <f t="array" ref="L205">INDEX(FX_Calcs,$AA205,$AF205)</f>
        <v>Insulated</v>
      </c>
      <c r="M205" t="str" cm="1">
        <f t="array" ref="M205">INDEX(FX_Calcs,$AA205,$AF205)</f>
        <v>Insulated</v>
      </c>
      <c r="N205" t="str" cm="1">
        <f t="array" ref="N205">INDEX(FX_Calcs,$AA205,$AF205)</f>
        <v>Insulated</v>
      </c>
      <c r="O205" t="str" cm="1">
        <f t="array" ref="O205">INDEX(FX_Calcs,$AA205,$AF205)</f>
        <v>Insulated</v>
      </c>
      <c r="P205" t="str" cm="1">
        <f t="array" ref="P205">INDEX(FX_Calcs,$AA205,$AF205)</f>
        <v>Insulated</v>
      </c>
      <c r="AA205">
        <f>AA204</f>
        <v>15</v>
      </c>
      <c r="AB205">
        <f t="shared" si="501"/>
        <v>6</v>
      </c>
      <c r="AC205">
        <f t="shared" si="502"/>
        <v>3</v>
      </c>
      <c r="AD205">
        <f t="shared" si="502"/>
        <v>13</v>
      </c>
      <c r="AE205">
        <f t="shared" si="502"/>
        <v>12</v>
      </c>
      <c r="AF205">
        <f t="shared" si="502"/>
        <v>14</v>
      </c>
      <c r="AG205">
        <f t="shared" si="503"/>
        <v>77</v>
      </c>
      <c r="AH205">
        <f t="shared" si="504"/>
        <v>78</v>
      </c>
      <c r="AI205">
        <f t="shared" si="505"/>
        <v>1</v>
      </c>
      <c r="AJ205">
        <f t="shared" si="506"/>
        <v>2</v>
      </c>
      <c r="AK205">
        <f t="shared" si="507"/>
        <v>1</v>
      </c>
      <c r="AL205">
        <f t="shared" si="508"/>
        <v>76</v>
      </c>
    </row>
    <row r="206" spans="1:38" ht="17.149999999999999" x14ac:dyDescent="0.55000000000000004">
      <c r="B206" t="str">
        <f>B202</f>
        <v>Portland</v>
      </c>
      <c r="C206" t="s">
        <v>512</v>
      </c>
      <c r="D206">
        <f t="shared" ref="D206:P206" si="510">D202-D201</f>
        <v>10.400000000000034</v>
      </c>
      <c r="E206">
        <f t="shared" si="510"/>
        <v>13.199999999999989</v>
      </c>
      <c r="F206">
        <f t="shared" si="510"/>
        <v>13.200000000000045</v>
      </c>
      <c r="G206">
        <f t="shared" si="510"/>
        <v>13.399999999999977</v>
      </c>
      <c r="H206">
        <f t="shared" si="510"/>
        <v>13.299999999999955</v>
      </c>
      <c r="I206">
        <f t="shared" si="510"/>
        <v>12.500000000000057</v>
      </c>
      <c r="J206">
        <f t="shared" si="510"/>
        <v>12.699999999999932</v>
      </c>
      <c r="K206">
        <f t="shared" si="510"/>
        <v>13.600000000000023</v>
      </c>
      <c r="L206">
        <f t="shared" si="510"/>
        <v>16.399999999999977</v>
      </c>
      <c r="M206">
        <f t="shared" si="510"/>
        <v>14.699999999999989</v>
      </c>
      <c r="N206">
        <f t="shared" si="510"/>
        <v>12.200000000000045</v>
      </c>
      <c r="O206">
        <f t="shared" si="510"/>
        <v>10</v>
      </c>
      <c r="P206">
        <f t="shared" si="510"/>
        <v>13</v>
      </c>
    </row>
    <row r="207" spans="1:38" x14ac:dyDescent="0.4">
      <c r="B207" t="str">
        <f t="shared" ref="B207:B214" si="511">B206</f>
        <v>Portland</v>
      </c>
      <c r="C207" t="s">
        <v>260</v>
      </c>
      <c r="D207">
        <f t="shared" ref="D207:P207" si="512">VLOOKUP(VLOOKUP($B207,Terminal_X_Ref,2,FALSE)&amp;$C207,Weather_Data,$Y207*D$3+$Z207,FALSE)</f>
        <v>343</v>
      </c>
      <c r="E207">
        <f t="shared" si="512"/>
        <v>600</v>
      </c>
      <c r="F207">
        <f t="shared" si="512"/>
        <v>877</v>
      </c>
      <c r="G207">
        <f t="shared" si="512"/>
        <v>1252</v>
      </c>
      <c r="H207">
        <f t="shared" si="512"/>
        <v>1537</v>
      </c>
      <c r="I207">
        <f t="shared" si="512"/>
        <v>1627</v>
      </c>
      <c r="J207">
        <f t="shared" si="512"/>
        <v>1708</v>
      </c>
      <c r="K207">
        <f t="shared" si="512"/>
        <v>1492</v>
      </c>
      <c r="L207">
        <f t="shared" si="512"/>
        <v>1196</v>
      </c>
      <c r="M207">
        <f t="shared" si="512"/>
        <v>728</v>
      </c>
      <c r="N207">
        <f t="shared" si="512"/>
        <v>391</v>
      </c>
      <c r="O207">
        <f t="shared" si="512"/>
        <v>302</v>
      </c>
      <c r="P207">
        <f t="shared" si="512"/>
        <v>1005</v>
      </c>
      <c r="U207">
        <f>U202</f>
        <v>2</v>
      </c>
      <c r="V207">
        <f t="shared" ref="V207:Z207" si="513">V202</f>
        <v>3</v>
      </c>
      <c r="W207">
        <f t="shared" si="513"/>
        <v>1</v>
      </c>
      <c r="X207">
        <f t="shared" si="513"/>
        <v>2</v>
      </c>
      <c r="Y207">
        <f t="shared" si="513"/>
        <v>1</v>
      </c>
      <c r="Z207">
        <f t="shared" si="513"/>
        <v>1</v>
      </c>
    </row>
    <row r="208" spans="1:38" ht="17.149999999999999" x14ac:dyDescent="0.55000000000000004">
      <c r="B208" t="str">
        <f t="shared" si="511"/>
        <v>Portland</v>
      </c>
      <c r="C208" t="s">
        <v>523</v>
      </c>
      <c r="D208">
        <f>IF(ISNUMBER(D205),0.7*D206+0.02*D205*D207,IF(D205="Partially Insulated",0.6*D206+0.02*D204*D207,0))</f>
        <v>0</v>
      </c>
      <c r="E208">
        <f t="shared" ref="E208:P208" si="514">IF(ISNUMBER(E205),0.7*E206+0.02*E205*E207,IF(E205="Partially Insulated",0.6*E206+0.02*E204*E207,0))</f>
        <v>0</v>
      </c>
      <c r="F208">
        <f t="shared" si="514"/>
        <v>0</v>
      </c>
      <c r="G208">
        <f t="shared" si="514"/>
        <v>0</v>
      </c>
      <c r="H208">
        <f t="shared" si="514"/>
        <v>0</v>
      </c>
      <c r="I208">
        <f t="shared" si="514"/>
        <v>0</v>
      </c>
      <c r="J208">
        <f t="shared" si="514"/>
        <v>0</v>
      </c>
      <c r="K208">
        <f t="shared" si="514"/>
        <v>0</v>
      </c>
      <c r="L208">
        <f t="shared" si="514"/>
        <v>0</v>
      </c>
      <c r="M208">
        <f t="shared" si="514"/>
        <v>0</v>
      </c>
      <c r="N208">
        <f t="shared" si="514"/>
        <v>0</v>
      </c>
      <c r="O208">
        <f t="shared" si="514"/>
        <v>0</v>
      </c>
      <c r="P208">
        <f t="shared" si="514"/>
        <v>0</v>
      </c>
    </row>
    <row r="209" spans="1:38" ht="17.149999999999999" x14ac:dyDescent="0.55000000000000004">
      <c r="B209" t="str">
        <f t="shared" si="511"/>
        <v>Portland</v>
      </c>
      <c r="C209" t="s">
        <v>524</v>
      </c>
      <c r="D209">
        <f t="shared" ref="D209:F209" si="515">AVERAGE(D201:D202)</f>
        <v>503.5</v>
      </c>
      <c r="E209">
        <f t="shared" si="515"/>
        <v>504.30000000000007</v>
      </c>
      <c r="F209">
        <f t="shared" si="515"/>
        <v>505.70000000000005</v>
      </c>
      <c r="G209">
        <f>AVERAGE(G201:G202)</f>
        <v>508.2</v>
      </c>
      <c r="H209">
        <f t="shared" ref="H209:P209" si="516">AVERAGE(H201:H202)</f>
        <v>512.75</v>
      </c>
      <c r="I209">
        <f t="shared" si="516"/>
        <v>516.55000000000007</v>
      </c>
      <c r="J209">
        <f t="shared" si="516"/>
        <v>520.04999999999995</v>
      </c>
      <c r="K209">
        <f t="shared" si="516"/>
        <v>520.5</v>
      </c>
      <c r="L209">
        <f t="shared" si="516"/>
        <v>518.20000000000005</v>
      </c>
      <c r="M209">
        <f t="shared" si="516"/>
        <v>512.25</v>
      </c>
      <c r="N209">
        <f t="shared" si="516"/>
        <v>506.70000000000005</v>
      </c>
      <c r="O209">
        <f t="shared" si="516"/>
        <v>503.20000000000005</v>
      </c>
      <c r="P209">
        <f t="shared" si="516"/>
        <v>51.4</v>
      </c>
    </row>
    <row r="210" spans="1:38" ht="17.149999999999999" x14ac:dyDescent="0.55000000000000004">
      <c r="B210" t="str">
        <f t="shared" si="511"/>
        <v>Portland</v>
      </c>
      <c r="C210" t="s">
        <v>525</v>
      </c>
      <c r="D210" cm="1">
        <f t="array" ref="D210">IFERROR(IF(ISBLANK(INDEX(FX_Input,$R201,D$3*$AK201+$AL201)),D209+0.003*D203*D207,INDEX(FX_Input,$R201,D$3*$AK201+$AL201)+459.6),D209)</f>
        <v>503.5</v>
      </c>
      <c r="E210" cm="1">
        <f t="array" ref="E210">IFERROR(IF(ISBLANK(INDEX(FX_Input,$R201,E$3*$AK201+$AL201)),E209+0.003*E203*E207,INDEX(FX_Input,$R201,E$3*$AK201+$AL201)+459.6),E209)</f>
        <v>504.30000000000007</v>
      </c>
      <c r="F210" cm="1">
        <f t="array" ref="F210">IFERROR(IF(ISBLANK(INDEX(FX_Input,$R201,F$3*$AK201+$AL201)),F209+0.003*F203*F207,INDEX(FX_Input,$R201,F$3*$AK201+$AL201)+459.6),F209)</f>
        <v>505.70000000000005</v>
      </c>
      <c r="G210" cm="1">
        <f t="array" ref="G210">IFERROR(IF(ISBLANK(INDEX(FX_Input,$R201,G$3*$AK201+$AL201)),G209+0.003*G203*G207,INDEX(FX_Input,$R201,G$3*$AK201+$AL201)+459.6),G209)</f>
        <v>508.2</v>
      </c>
      <c r="H210" cm="1">
        <f t="array" ref="H210">IFERROR(IF(ISBLANK(INDEX(FX_Input,$R201,H$3*$AK201+$AL201)),H209+0.003*H203*H207,INDEX(FX_Input,$R201,H$3*$AK201+$AL201)+459.6),H209)</f>
        <v>512.75</v>
      </c>
      <c r="I210" cm="1">
        <f t="array" ref="I210">IFERROR(IF(ISBLANK(INDEX(FX_Input,$R201,I$3*$AK201+$AL201)),I209+0.003*I203*I207,INDEX(FX_Input,$R201,I$3*$AK201+$AL201)+459.6),I209)</f>
        <v>516.55000000000007</v>
      </c>
      <c r="J210" cm="1">
        <f t="array" ref="J210">IFERROR(IF(ISBLANK(INDEX(FX_Input,$R201,J$3*$AK201+$AL201)),J209+0.003*J203*J207,INDEX(FX_Input,$R201,J$3*$AK201+$AL201)+459.6),J209)</f>
        <v>520.04999999999995</v>
      </c>
      <c r="K210" cm="1">
        <f t="array" ref="K210">IFERROR(IF(ISBLANK(INDEX(FX_Input,$R201,K$3*$AK201+$AL201)),K209+0.003*K203*K207,INDEX(FX_Input,$R201,K$3*$AK201+$AL201)+459.6),K209)</f>
        <v>520.5</v>
      </c>
      <c r="L210" cm="1">
        <f t="array" ref="L210">IFERROR(IF(ISBLANK(INDEX(FX_Input,$R201,L$3*$AK201+$AL201)),L209+0.003*L203*L207,INDEX(FX_Input,$R201,L$3*$AK201+$AL201)+459.6),L209)</f>
        <v>518.20000000000005</v>
      </c>
      <c r="M210" cm="1">
        <f t="array" ref="M210">IFERROR(IF(ISBLANK(INDEX(FX_Input,$R201,M$3*$AK201+$AL201)),M209+0.003*M203*M207,INDEX(FX_Input,$R201,M$3*$AK201+$AL201)+459.6),M209)</f>
        <v>512.25</v>
      </c>
      <c r="N210" cm="1">
        <f t="array" ref="N210">IFERROR(IF(ISBLANK(INDEX(FX_Input,$R201,N$3*$AK201+$AL201)),N209+0.003*N203*N207,INDEX(FX_Input,$R201,N$3*$AK201+$AL201)+459.6),N209)</f>
        <v>506.70000000000005</v>
      </c>
      <c r="O210" cm="1">
        <f t="array" ref="O210">IFERROR(IF(ISBLANK(INDEX(FX_Input,$R201,O$3*$AK201+$AL201)),O209+0.003*O203*O207,INDEX(FX_Input,$R201,O$3*$AK201+$AL201)+459.6),O209)</f>
        <v>503.20000000000005</v>
      </c>
      <c r="P210" cm="1">
        <f t="array" ref="P210">IFERROR(IF(ISBLANK(INDEX(FX_Input,$R201,P$3*$AK201+$AL201)),P209+0.003*P203*P207,INDEX(FX_Input,$R201,P$3*$AK201+$AL201)+459.6),P209)</f>
        <v>5042.6000000000004</v>
      </c>
    </row>
    <row r="211" spans="1:38" ht="17.149999999999999" x14ac:dyDescent="0.55000000000000004">
      <c r="B211" t="str">
        <f t="shared" si="511"/>
        <v>Portland</v>
      </c>
      <c r="C211" t="s">
        <v>526</v>
      </c>
      <c r="D211">
        <f>IF(ISNUMBER(D205),0.4*D201+0.6*D210+0.005*D205*D207,IF(D205="Partially Insulated",0.3*D209+0.7*D210+0.005*D204*D207,D210))-459.6</f>
        <v>43.899999999999977</v>
      </c>
      <c r="E211">
        <f t="shared" ref="E211" si="517">IF(ISNUMBER(E205),0.4*E201+0.6*E210+0.005*E205*E207,IF(E205="Partially Insulated",0.3*E209+0.7*E210+0.005*E204*E207,E210))-459.6</f>
        <v>44.700000000000045</v>
      </c>
      <c r="F211">
        <f t="shared" ref="F211" si="518">IF(ISNUMBER(F205),0.4*F201+0.6*F210+0.005*F205*F207,IF(F205="Partially Insulated",0.3*F209+0.7*F210+0.005*F204*F207,F210))-459.6</f>
        <v>46.100000000000023</v>
      </c>
      <c r="G211">
        <f t="shared" ref="G211" si="519">IF(ISNUMBER(G205),0.4*G201+0.6*G210+0.005*G205*G207,IF(G205="Partially Insulated",0.3*G209+0.7*G210+0.005*G204*G207,G210))-459.6</f>
        <v>48.599999999999966</v>
      </c>
      <c r="H211">
        <f t="shared" ref="H211" si="520">IF(ISNUMBER(H205),0.4*H201+0.6*H210+0.005*H205*H207,IF(H205="Partially Insulated",0.3*H209+0.7*H210+0.005*H204*H207,H210))-459.6</f>
        <v>53.149999999999977</v>
      </c>
      <c r="I211">
        <f t="shared" ref="I211" si="521">IF(ISNUMBER(I205),0.4*I201+0.6*I210+0.005*I205*I207,IF(I205="Partially Insulated",0.3*I209+0.7*I210+0.005*I204*I207,I210))-459.6</f>
        <v>56.950000000000045</v>
      </c>
      <c r="J211">
        <f t="shared" ref="J211" si="522">IF(ISNUMBER(J205),0.4*J201+0.6*J210+0.005*J205*J207,IF(J205="Partially Insulated",0.3*J209+0.7*J210+0.005*J204*J207,J210))-459.6</f>
        <v>60.449999999999932</v>
      </c>
      <c r="K211">
        <f t="shared" ref="K211" si="523">IF(ISNUMBER(K205),0.4*K201+0.6*K210+0.005*K205*K207,IF(K205="Partially Insulated",0.3*K209+0.7*K210+0.005*K204*K207,K210))-459.6</f>
        <v>60.899999999999977</v>
      </c>
      <c r="L211">
        <f t="shared" ref="L211" si="524">IF(ISNUMBER(L205),0.4*L201+0.6*L210+0.005*L205*L207,IF(L205="Partially Insulated",0.3*L209+0.7*L210+0.005*L204*L207,L210))-459.6</f>
        <v>58.600000000000023</v>
      </c>
      <c r="M211">
        <f t="shared" ref="M211" si="525">IF(ISNUMBER(M205),0.4*M201+0.6*M210+0.005*M205*M207,IF(M205="Partially Insulated",0.3*M209+0.7*M210+0.005*M204*M207,M210))-459.6</f>
        <v>52.649999999999977</v>
      </c>
      <c r="N211">
        <f t="shared" ref="N211" si="526">IF(ISNUMBER(N205),0.4*N201+0.6*N210+0.005*N205*N207,IF(N205="Partially Insulated",0.3*N209+0.7*N210+0.005*N204*N207,N210))-459.6</f>
        <v>47.100000000000023</v>
      </c>
      <c r="O211">
        <f t="shared" ref="O211" si="527">IF(ISNUMBER(O205),0.4*O201+0.6*O210+0.005*O205*O207,IF(O205="Partially Insulated",0.3*O209+0.7*O210+0.005*O204*O207,O210))-459.6</f>
        <v>43.600000000000023</v>
      </c>
      <c r="P211">
        <f>AVERAGE(D211:O211)</f>
        <v>51.391666666666673</v>
      </c>
    </row>
    <row r="212" spans="1:38" ht="17.149999999999999" x14ac:dyDescent="0.55000000000000004">
      <c r="B212" t="str">
        <f t="shared" si="511"/>
        <v>Portland</v>
      </c>
      <c r="C212" t="s">
        <v>527</v>
      </c>
      <c r="D212">
        <f>IF(ISNUMBER(D205),0.4*D202+0.6*D210+0.005*D205*D207,IF(D205="Partially Insulated",0.3*D209+0.7*D210+0.005*D204*D207,D210))-459.6</f>
        <v>43.899999999999977</v>
      </c>
      <c r="E212">
        <f t="shared" ref="E212:O212" si="528">IF(ISNUMBER(E205),0.4*E202+0.6*E210+0.005*E205*E207,IF(E205="Partially Insulated",0.3*E209+0.7*E210+0.005*E204*E207,E210))-459.6</f>
        <v>44.700000000000045</v>
      </c>
      <c r="F212">
        <f t="shared" si="528"/>
        <v>46.100000000000023</v>
      </c>
      <c r="G212">
        <f t="shared" si="528"/>
        <v>48.599999999999966</v>
      </c>
      <c r="H212">
        <f t="shared" si="528"/>
        <v>53.149999999999977</v>
      </c>
      <c r="I212">
        <f t="shared" si="528"/>
        <v>56.950000000000045</v>
      </c>
      <c r="J212">
        <f t="shared" si="528"/>
        <v>60.449999999999932</v>
      </c>
      <c r="K212">
        <f t="shared" si="528"/>
        <v>60.899999999999977</v>
      </c>
      <c r="L212">
        <f t="shared" si="528"/>
        <v>58.600000000000023</v>
      </c>
      <c r="M212">
        <f t="shared" si="528"/>
        <v>52.649999999999977</v>
      </c>
      <c r="N212">
        <f t="shared" si="528"/>
        <v>47.100000000000023</v>
      </c>
      <c r="O212">
        <f t="shared" si="528"/>
        <v>43.600000000000023</v>
      </c>
      <c r="P212">
        <f>AVERAGE(D212:O212)</f>
        <v>51.391666666666673</v>
      </c>
    </row>
    <row r="213" spans="1:38" ht="17.149999999999999" x14ac:dyDescent="0.55000000000000004">
      <c r="B213" t="str">
        <f t="shared" si="511"/>
        <v>Portland</v>
      </c>
      <c r="C213" t="s">
        <v>552</v>
      </c>
      <c r="D213">
        <f>IF(ISNUMBER(D205),0.4*D209+0.6*D210+0.005*D205*D207,IF(D205="Partially Insulated",0.3*D209+0.7*D210+0.005*D204*D207,D210))-459.6</f>
        <v>43.899999999999977</v>
      </c>
      <c r="E213">
        <f t="shared" ref="E213:O213" si="529">IF(ISNUMBER(E205),0.4*E209+0.6*E210+0.005*E205*E207,IF(E205="Partially Insulated",0.3*E209+0.7*E210+0.005*E204*E207,E210))-459.6</f>
        <v>44.700000000000045</v>
      </c>
      <c r="F213">
        <f t="shared" si="529"/>
        <v>46.100000000000023</v>
      </c>
      <c r="G213">
        <f t="shared" si="529"/>
        <v>48.599999999999966</v>
      </c>
      <c r="H213">
        <f t="shared" si="529"/>
        <v>53.149999999999977</v>
      </c>
      <c r="I213">
        <f t="shared" si="529"/>
        <v>56.950000000000045</v>
      </c>
      <c r="J213">
        <f t="shared" si="529"/>
        <v>60.449999999999932</v>
      </c>
      <c r="K213">
        <f t="shared" si="529"/>
        <v>60.899999999999977</v>
      </c>
      <c r="L213">
        <f t="shared" si="529"/>
        <v>58.600000000000023</v>
      </c>
      <c r="M213">
        <f t="shared" si="529"/>
        <v>52.649999999999977</v>
      </c>
      <c r="N213">
        <f t="shared" si="529"/>
        <v>47.100000000000023</v>
      </c>
      <c r="O213">
        <f t="shared" si="529"/>
        <v>43.600000000000023</v>
      </c>
      <c r="P213">
        <f>AVERAGE(D213:O213)</f>
        <v>51.391666666666673</v>
      </c>
    </row>
    <row r="214" spans="1:38" ht="17.149999999999999" x14ac:dyDescent="0.55000000000000004">
      <c r="A214" s="11"/>
      <c r="B214" s="11" t="str">
        <f t="shared" si="511"/>
        <v>Portland</v>
      </c>
      <c r="C214" s="11" t="s">
        <v>553</v>
      </c>
      <c r="D214" s="11">
        <f>IF(ISNUMBER(D205),0.7*D209+0.3*D210+0.009*D205*D207,IF(D205="Partially Insulated",0.6*D209+0.4*D210+0.01*D204*D207,D210))-459.6</f>
        <v>43.899999999999977</v>
      </c>
      <c r="E214" s="11">
        <f t="shared" ref="E214:O214" si="530">IF(ISNUMBER(E205),0.7*E209+0.3*E210+0.009*E205*E207,IF(E205="Partially Insulated",0.6*E209+0.4*E210+0.01*E204*E207,E210))-459.6</f>
        <v>44.700000000000045</v>
      </c>
      <c r="F214" s="11">
        <f t="shared" si="530"/>
        <v>46.100000000000023</v>
      </c>
      <c r="G214" s="11">
        <f t="shared" si="530"/>
        <v>48.599999999999966</v>
      </c>
      <c r="H214" s="11">
        <f t="shared" si="530"/>
        <v>53.149999999999977</v>
      </c>
      <c r="I214" s="11">
        <f t="shared" si="530"/>
        <v>56.950000000000045</v>
      </c>
      <c r="J214" s="11">
        <f t="shared" si="530"/>
        <v>60.449999999999932</v>
      </c>
      <c r="K214" s="11">
        <f t="shared" si="530"/>
        <v>60.899999999999977</v>
      </c>
      <c r="L214" s="11">
        <f t="shared" si="530"/>
        <v>58.600000000000023</v>
      </c>
      <c r="M214" s="11">
        <f t="shared" si="530"/>
        <v>52.649999999999977</v>
      </c>
      <c r="N214" s="11">
        <f t="shared" si="530"/>
        <v>47.100000000000023</v>
      </c>
      <c r="O214" s="11">
        <f t="shared" si="530"/>
        <v>43.600000000000023</v>
      </c>
      <c r="P214" s="11">
        <f>AVERAGE(D214:O214)</f>
        <v>51.391666666666673</v>
      </c>
      <c r="Q214" s="11"/>
      <c r="R214" s="11"/>
      <c r="S214" s="11"/>
      <c r="T214" s="11"/>
      <c r="U214" s="11"/>
      <c r="V214" s="11"/>
      <c r="W214" s="11"/>
      <c r="X214" s="11"/>
      <c r="Y214" s="11"/>
      <c r="Z214" s="11"/>
      <c r="AA214" s="11"/>
      <c r="AB214" s="11"/>
      <c r="AC214" s="11"/>
      <c r="AD214" s="11"/>
      <c r="AE214" s="11"/>
      <c r="AF214" s="11"/>
      <c r="AG214" s="11"/>
      <c r="AH214" s="11"/>
      <c r="AI214" s="11"/>
      <c r="AJ214" s="11"/>
      <c r="AK214" s="11"/>
      <c r="AL214" s="11"/>
    </row>
    <row r="215" spans="1:38" ht="17.149999999999999" x14ac:dyDescent="0.55000000000000004">
      <c r="A215" t="str" cm="1">
        <f t="array" ref="A215">INDEX(FX_Input,$R215,S$5)</f>
        <v>FX - 16</v>
      </c>
      <c r="B215" t="str" cm="1">
        <f t="array" ref="B215">INDEX(FX_Input,R215,T215)</f>
        <v>Portland</v>
      </c>
      <c r="C215" t="s">
        <v>510</v>
      </c>
      <c r="D215">
        <f t="shared" ref="D215:O216" si="531">VLOOKUP(VLOOKUP($B215,Terminal_X_Ref,2,FALSE)&amp;$C215,Weather_Data,$Y215*D$3+$Z215,FALSE)+459.6</f>
        <v>498.3</v>
      </c>
      <c r="E215">
        <f t="shared" si="531"/>
        <v>497.70000000000005</v>
      </c>
      <c r="F215">
        <f t="shared" si="531"/>
        <v>499.1</v>
      </c>
      <c r="G215">
        <f t="shared" si="531"/>
        <v>501.5</v>
      </c>
      <c r="H215">
        <f t="shared" si="531"/>
        <v>506.1</v>
      </c>
      <c r="I215">
        <f t="shared" si="531"/>
        <v>510.3</v>
      </c>
      <c r="J215">
        <f t="shared" si="531"/>
        <v>513.70000000000005</v>
      </c>
      <c r="K215">
        <f t="shared" si="531"/>
        <v>513.70000000000005</v>
      </c>
      <c r="L215">
        <f t="shared" si="531"/>
        <v>510</v>
      </c>
      <c r="M215">
        <f t="shared" si="531"/>
        <v>504.90000000000003</v>
      </c>
      <c r="N215">
        <f t="shared" si="531"/>
        <v>500.6</v>
      </c>
      <c r="O215">
        <f t="shared" si="531"/>
        <v>498.20000000000005</v>
      </c>
      <c r="P215">
        <f t="shared" ref="P215:P216" si="532">VLOOKUP(VLOOKUP($B215,Terminal_X_Ref,2,FALSE)&amp;$C215,Weather_Data,$Y215*P$3+$Z215,FALSE)</f>
        <v>44.9</v>
      </c>
      <c r="R215">
        <f>R201+2</f>
        <v>31</v>
      </c>
      <c r="S215">
        <f>S201+1</f>
        <v>16</v>
      </c>
      <c r="T215">
        <v>3</v>
      </c>
      <c r="U215">
        <v>2</v>
      </c>
      <c r="V215">
        <v>3</v>
      </c>
      <c r="W215">
        <v>1</v>
      </c>
      <c r="X215">
        <v>2</v>
      </c>
      <c r="Y215">
        <f>(V215-U215)/(X215-W215)</f>
        <v>1</v>
      </c>
      <c r="Z215">
        <f>U215-Y215*W215</f>
        <v>1</v>
      </c>
      <c r="AA215">
        <f>AA201+1</f>
        <v>16</v>
      </c>
      <c r="AB215">
        <v>6</v>
      </c>
      <c r="AC215">
        <v>3</v>
      </c>
      <c r="AD215">
        <v>13</v>
      </c>
      <c r="AE215">
        <v>12</v>
      </c>
      <c r="AF215">
        <v>14</v>
      </c>
      <c r="AG215">
        <v>77</v>
      </c>
      <c r="AH215">
        <v>78</v>
      </c>
      <c r="AI215">
        <v>1</v>
      </c>
      <c r="AJ215">
        <v>2</v>
      </c>
      <c r="AK215">
        <f>(AH215-AG215)/(AJ215-AI215)</f>
        <v>1</v>
      </c>
      <c r="AL215">
        <f>AG215-AK215*AI215</f>
        <v>76</v>
      </c>
    </row>
    <row r="216" spans="1:38" ht="17.149999999999999" x14ac:dyDescent="0.55000000000000004">
      <c r="B216" t="str">
        <f t="shared" ref="B216" si="533">B215</f>
        <v>Portland</v>
      </c>
      <c r="C216" t="s">
        <v>511</v>
      </c>
      <c r="D216">
        <f t="shared" si="531"/>
        <v>508.70000000000005</v>
      </c>
      <c r="E216">
        <f t="shared" si="531"/>
        <v>510.90000000000003</v>
      </c>
      <c r="F216">
        <f t="shared" si="531"/>
        <v>512.30000000000007</v>
      </c>
      <c r="G216">
        <f t="shared" si="531"/>
        <v>514.9</v>
      </c>
      <c r="H216">
        <f t="shared" si="531"/>
        <v>519.4</v>
      </c>
      <c r="I216">
        <f t="shared" si="531"/>
        <v>522.80000000000007</v>
      </c>
      <c r="J216">
        <f t="shared" si="531"/>
        <v>526.4</v>
      </c>
      <c r="K216">
        <f t="shared" si="531"/>
        <v>527.30000000000007</v>
      </c>
      <c r="L216">
        <f t="shared" si="531"/>
        <v>526.4</v>
      </c>
      <c r="M216">
        <f t="shared" si="531"/>
        <v>519.6</v>
      </c>
      <c r="N216">
        <f t="shared" si="531"/>
        <v>512.80000000000007</v>
      </c>
      <c r="O216">
        <f t="shared" si="531"/>
        <v>508.20000000000005</v>
      </c>
      <c r="P216">
        <f t="shared" si="532"/>
        <v>57.9</v>
      </c>
      <c r="U216">
        <f>U215</f>
        <v>2</v>
      </c>
      <c r="V216">
        <f t="shared" ref="V216:Z216" si="534">V215</f>
        <v>3</v>
      </c>
      <c r="W216">
        <f t="shared" si="534"/>
        <v>1</v>
      </c>
      <c r="X216">
        <f t="shared" si="534"/>
        <v>2</v>
      </c>
      <c r="Y216">
        <f t="shared" si="534"/>
        <v>1</v>
      </c>
      <c r="Z216">
        <f t="shared" si="534"/>
        <v>1</v>
      </c>
      <c r="AA216">
        <f>AA215</f>
        <v>16</v>
      </c>
      <c r="AB216">
        <f t="shared" ref="AB216:AB219" si="535">AB215</f>
        <v>6</v>
      </c>
      <c r="AC216">
        <f t="shared" ref="AC216:AF219" si="536">AC215</f>
        <v>3</v>
      </c>
      <c r="AD216">
        <f t="shared" si="536"/>
        <v>13</v>
      </c>
      <c r="AE216">
        <f t="shared" si="536"/>
        <v>12</v>
      </c>
      <c r="AF216">
        <f t="shared" si="536"/>
        <v>14</v>
      </c>
      <c r="AG216">
        <f t="shared" ref="AG216:AG219" si="537">AG215</f>
        <v>77</v>
      </c>
      <c r="AH216">
        <f t="shared" ref="AH216:AH219" si="538">AH215</f>
        <v>78</v>
      </c>
      <c r="AI216">
        <f t="shared" ref="AI216:AI219" si="539">AI215</f>
        <v>1</v>
      </c>
      <c r="AJ216">
        <f t="shared" ref="AJ216:AJ219" si="540">AJ215</f>
        <v>2</v>
      </c>
      <c r="AK216">
        <f t="shared" ref="AK216:AK219" si="541">AK215</f>
        <v>1</v>
      </c>
      <c r="AL216">
        <f t="shared" ref="AL216:AL219" si="542">AL215</f>
        <v>76</v>
      </c>
    </row>
    <row r="217" spans="1:38" ht="17.149999999999999" x14ac:dyDescent="0.4">
      <c r="B217" t="str">
        <f>B216</f>
        <v>Portland</v>
      </c>
      <c r="C217" s="66" t="s">
        <v>514</v>
      </c>
      <c r="D217" t="str" cm="1">
        <f t="array" ref="D217">INDEX(FX_Calcs,$AA217,$AE217)</f>
        <v>N/A</v>
      </c>
      <c r="E217" t="str" cm="1">
        <f t="array" ref="E217">INDEX(FX_Calcs,$AA217,$AE217)</f>
        <v>N/A</v>
      </c>
      <c r="F217" t="str" cm="1">
        <f t="array" ref="F217">INDEX(FX_Calcs,$AA217,$AE217)</f>
        <v>N/A</v>
      </c>
      <c r="G217" t="str" cm="1">
        <f t="array" ref="G217">INDEX(FX_Calcs,$AA217,$AE217)</f>
        <v>N/A</v>
      </c>
      <c r="H217" t="str" cm="1">
        <f t="array" ref="H217">INDEX(FX_Calcs,$AA217,$AE217)</f>
        <v>N/A</v>
      </c>
      <c r="I217" t="str" cm="1">
        <f t="array" ref="I217">INDEX(FX_Calcs,$AA217,$AE217)</f>
        <v>N/A</v>
      </c>
      <c r="J217" t="str" cm="1">
        <f t="array" ref="J217">INDEX(FX_Calcs,$AA217,$AE217)</f>
        <v>N/A</v>
      </c>
      <c r="K217" t="str" cm="1">
        <f t="array" ref="K217">INDEX(FX_Calcs,$AA217,$AE217)</f>
        <v>N/A</v>
      </c>
      <c r="L217" t="str" cm="1">
        <f t="array" ref="L217">INDEX(FX_Calcs,$AA217,$AE217)</f>
        <v>N/A</v>
      </c>
      <c r="M217" t="str" cm="1">
        <f t="array" ref="M217">INDEX(FX_Calcs,$AA217,$AE217)</f>
        <v>N/A</v>
      </c>
      <c r="N217" t="str" cm="1">
        <f t="array" ref="N217">INDEX(FX_Calcs,$AA217,$AE217)</f>
        <v>N/A</v>
      </c>
      <c r="O217" t="str" cm="1">
        <f t="array" ref="O217">INDEX(FX_Calcs,$AA217,$AE217)</f>
        <v>N/A</v>
      </c>
      <c r="P217" t="str" cm="1">
        <f t="array" ref="P217">INDEX(FX_Calcs,$AA217,$AE217)</f>
        <v>N/A</v>
      </c>
      <c r="AA217">
        <f>AA216</f>
        <v>16</v>
      </c>
      <c r="AB217">
        <f t="shared" si="535"/>
        <v>6</v>
      </c>
      <c r="AC217">
        <f t="shared" si="536"/>
        <v>3</v>
      </c>
      <c r="AD217">
        <f t="shared" si="536"/>
        <v>13</v>
      </c>
      <c r="AE217">
        <f t="shared" si="536"/>
        <v>12</v>
      </c>
      <c r="AF217">
        <f t="shared" si="536"/>
        <v>14</v>
      </c>
      <c r="AG217">
        <f t="shared" si="537"/>
        <v>77</v>
      </c>
      <c r="AH217">
        <f t="shared" si="538"/>
        <v>78</v>
      </c>
      <c r="AI217">
        <f t="shared" si="539"/>
        <v>1</v>
      </c>
      <c r="AJ217">
        <f t="shared" si="540"/>
        <v>2</v>
      </c>
      <c r="AK217">
        <f t="shared" si="541"/>
        <v>1</v>
      </c>
      <c r="AL217">
        <f t="shared" si="542"/>
        <v>76</v>
      </c>
    </row>
    <row r="218" spans="1:38" ht="17.149999999999999" x14ac:dyDescent="0.4">
      <c r="B218" t="str">
        <f t="shared" ref="B218:B219" si="543">B217</f>
        <v>Portland</v>
      </c>
      <c r="C218" s="66" t="s">
        <v>513</v>
      </c>
      <c r="D218" t="str" cm="1">
        <f t="array" ref="D218">INDEX(FX_Calcs,$AA218,$AD218)</f>
        <v>N/A</v>
      </c>
      <c r="E218" t="str" cm="1">
        <f t="array" ref="E218">INDEX(FX_Calcs,$AA218,$AD218)</f>
        <v>N/A</v>
      </c>
      <c r="F218" t="str" cm="1">
        <f t="array" ref="F218">INDEX(FX_Calcs,$AA218,$AD218)</f>
        <v>N/A</v>
      </c>
      <c r="G218" t="str" cm="1">
        <f t="array" ref="G218">INDEX(FX_Calcs,$AA218,$AD218)</f>
        <v>N/A</v>
      </c>
      <c r="H218" t="str" cm="1">
        <f t="array" ref="H218">INDEX(FX_Calcs,$AA218,$AD218)</f>
        <v>N/A</v>
      </c>
      <c r="I218" t="str" cm="1">
        <f t="array" ref="I218">INDEX(FX_Calcs,$AA218,$AD218)</f>
        <v>N/A</v>
      </c>
      <c r="J218" t="str" cm="1">
        <f t="array" ref="J218">INDEX(FX_Calcs,$AA218,$AD218)</f>
        <v>N/A</v>
      </c>
      <c r="K218" t="str" cm="1">
        <f t="array" ref="K218">INDEX(FX_Calcs,$AA218,$AD218)</f>
        <v>N/A</v>
      </c>
      <c r="L218" t="str" cm="1">
        <f t="array" ref="L218">INDEX(FX_Calcs,$AA218,$AD218)</f>
        <v>N/A</v>
      </c>
      <c r="M218" t="str" cm="1">
        <f t="array" ref="M218">INDEX(FX_Calcs,$AA218,$AD218)</f>
        <v>N/A</v>
      </c>
      <c r="N218" t="str" cm="1">
        <f t="array" ref="N218">INDEX(FX_Calcs,$AA218,$AD218)</f>
        <v>N/A</v>
      </c>
      <c r="O218" t="str" cm="1">
        <f t="array" ref="O218">INDEX(FX_Calcs,$AA218,$AD218)</f>
        <v>N/A</v>
      </c>
      <c r="P218" t="str" cm="1">
        <f t="array" ref="P218">INDEX(FX_Calcs,$AA218,$AD218)</f>
        <v>N/A</v>
      </c>
      <c r="AA218">
        <f>AA217</f>
        <v>16</v>
      </c>
      <c r="AB218">
        <f t="shared" si="535"/>
        <v>6</v>
      </c>
      <c r="AC218">
        <f t="shared" si="536"/>
        <v>3</v>
      </c>
      <c r="AD218">
        <f t="shared" si="536"/>
        <v>13</v>
      </c>
      <c r="AE218">
        <f t="shared" si="536"/>
        <v>12</v>
      </c>
      <c r="AF218">
        <f t="shared" si="536"/>
        <v>14</v>
      </c>
      <c r="AG218">
        <f t="shared" si="537"/>
        <v>77</v>
      </c>
      <c r="AH218">
        <f t="shared" si="538"/>
        <v>78</v>
      </c>
      <c r="AI218">
        <f t="shared" si="539"/>
        <v>1</v>
      </c>
      <c r="AJ218">
        <f t="shared" si="540"/>
        <v>2</v>
      </c>
      <c r="AK218">
        <f t="shared" si="541"/>
        <v>1</v>
      </c>
      <c r="AL218">
        <f t="shared" si="542"/>
        <v>76</v>
      </c>
    </row>
    <row r="219" spans="1:38" x14ac:dyDescent="0.4">
      <c r="B219" t="str">
        <f t="shared" si="543"/>
        <v>Portland</v>
      </c>
      <c r="C219" s="66" t="s">
        <v>558</v>
      </c>
      <c r="D219" t="str" cm="1">
        <f t="array" ref="D219">INDEX(FX_Calcs,$AA219,$AF219)</f>
        <v>Insulated</v>
      </c>
      <c r="E219" t="str" cm="1">
        <f t="array" ref="E219">INDEX(FX_Calcs,$AA219,$AF219)</f>
        <v>Insulated</v>
      </c>
      <c r="F219" t="str" cm="1">
        <f t="array" ref="F219">INDEX(FX_Calcs,$AA219,$AF219)</f>
        <v>Insulated</v>
      </c>
      <c r="G219" t="str" cm="1">
        <f t="array" ref="G219">INDEX(FX_Calcs,$AA219,$AF219)</f>
        <v>Insulated</v>
      </c>
      <c r="H219" t="str" cm="1">
        <f t="array" ref="H219">INDEX(FX_Calcs,$AA219,$AF219)</f>
        <v>Insulated</v>
      </c>
      <c r="I219" t="str" cm="1">
        <f t="array" ref="I219">INDEX(FX_Calcs,$AA219,$AF219)</f>
        <v>Insulated</v>
      </c>
      <c r="J219" t="str" cm="1">
        <f t="array" ref="J219">INDEX(FX_Calcs,$AA219,$AF219)</f>
        <v>Insulated</v>
      </c>
      <c r="K219" t="str" cm="1">
        <f t="array" ref="K219">INDEX(FX_Calcs,$AA219,$AF219)</f>
        <v>Insulated</v>
      </c>
      <c r="L219" t="str" cm="1">
        <f t="array" ref="L219">INDEX(FX_Calcs,$AA219,$AF219)</f>
        <v>Insulated</v>
      </c>
      <c r="M219" t="str" cm="1">
        <f t="array" ref="M219">INDEX(FX_Calcs,$AA219,$AF219)</f>
        <v>Insulated</v>
      </c>
      <c r="N219" t="str" cm="1">
        <f t="array" ref="N219">INDEX(FX_Calcs,$AA219,$AF219)</f>
        <v>Insulated</v>
      </c>
      <c r="O219" t="str" cm="1">
        <f t="array" ref="O219">INDEX(FX_Calcs,$AA219,$AF219)</f>
        <v>Insulated</v>
      </c>
      <c r="P219" t="str" cm="1">
        <f t="array" ref="P219">INDEX(FX_Calcs,$AA219,$AF219)</f>
        <v>Insulated</v>
      </c>
      <c r="AA219">
        <f>AA218</f>
        <v>16</v>
      </c>
      <c r="AB219">
        <f t="shared" si="535"/>
        <v>6</v>
      </c>
      <c r="AC219">
        <f t="shared" si="536"/>
        <v>3</v>
      </c>
      <c r="AD219">
        <f t="shared" si="536"/>
        <v>13</v>
      </c>
      <c r="AE219">
        <f t="shared" si="536"/>
        <v>12</v>
      </c>
      <c r="AF219">
        <f t="shared" si="536"/>
        <v>14</v>
      </c>
      <c r="AG219">
        <f t="shared" si="537"/>
        <v>77</v>
      </c>
      <c r="AH219">
        <f t="shared" si="538"/>
        <v>78</v>
      </c>
      <c r="AI219">
        <f t="shared" si="539"/>
        <v>1</v>
      </c>
      <c r="AJ219">
        <f t="shared" si="540"/>
        <v>2</v>
      </c>
      <c r="AK219">
        <f t="shared" si="541"/>
        <v>1</v>
      </c>
      <c r="AL219">
        <f t="shared" si="542"/>
        <v>76</v>
      </c>
    </row>
    <row r="220" spans="1:38" ht="17.149999999999999" x14ac:dyDescent="0.55000000000000004">
      <c r="B220" t="str">
        <f>B216</f>
        <v>Portland</v>
      </c>
      <c r="C220" t="s">
        <v>512</v>
      </c>
      <c r="D220">
        <f t="shared" ref="D220:P220" si="544">D216-D215</f>
        <v>10.400000000000034</v>
      </c>
      <c r="E220">
        <f t="shared" si="544"/>
        <v>13.199999999999989</v>
      </c>
      <c r="F220">
        <f t="shared" si="544"/>
        <v>13.200000000000045</v>
      </c>
      <c r="G220">
        <f t="shared" si="544"/>
        <v>13.399999999999977</v>
      </c>
      <c r="H220">
        <f t="shared" si="544"/>
        <v>13.299999999999955</v>
      </c>
      <c r="I220">
        <f t="shared" si="544"/>
        <v>12.500000000000057</v>
      </c>
      <c r="J220">
        <f t="shared" si="544"/>
        <v>12.699999999999932</v>
      </c>
      <c r="K220">
        <f t="shared" si="544"/>
        <v>13.600000000000023</v>
      </c>
      <c r="L220">
        <f t="shared" si="544"/>
        <v>16.399999999999977</v>
      </c>
      <c r="M220">
        <f t="shared" si="544"/>
        <v>14.699999999999989</v>
      </c>
      <c r="N220">
        <f t="shared" si="544"/>
        <v>12.200000000000045</v>
      </c>
      <c r="O220">
        <f t="shared" si="544"/>
        <v>10</v>
      </c>
      <c r="P220">
        <f t="shared" si="544"/>
        <v>13</v>
      </c>
    </row>
    <row r="221" spans="1:38" x14ac:dyDescent="0.4">
      <c r="B221" t="str">
        <f t="shared" ref="B221:B228" si="545">B220</f>
        <v>Portland</v>
      </c>
      <c r="C221" t="s">
        <v>260</v>
      </c>
      <c r="D221">
        <f t="shared" ref="D221:P221" si="546">VLOOKUP(VLOOKUP($B221,Terminal_X_Ref,2,FALSE)&amp;$C221,Weather_Data,$Y221*D$3+$Z221,FALSE)</f>
        <v>343</v>
      </c>
      <c r="E221">
        <f t="shared" si="546"/>
        <v>600</v>
      </c>
      <c r="F221">
        <f t="shared" si="546"/>
        <v>877</v>
      </c>
      <c r="G221">
        <f t="shared" si="546"/>
        <v>1252</v>
      </c>
      <c r="H221">
        <f t="shared" si="546"/>
        <v>1537</v>
      </c>
      <c r="I221">
        <f t="shared" si="546"/>
        <v>1627</v>
      </c>
      <c r="J221">
        <f t="shared" si="546"/>
        <v>1708</v>
      </c>
      <c r="K221">
        <f t="shared" si="546"/>
        <v>1492</v>
      </c>
      <c r="L221">
        <f t="shared" si="546"/>
        <v>1196</v>
      </c>
      <c r="M221">
        <f t="shared" si="546"/>
        <v>728</v>
      </c>
      <c r="N221">
        <f t="shared" si="546"/>
        <v>391</v>
      </c>
      <c r="O221">
        <f t="shared" si="546"/>
        <v>302</v>
      </c>
      <c r="P221">
        <f t="shared" si="546"/>
        <v>1005</v>
      </c>
      <c r="U221">
        <f>U216</f>
        <v>2</v>
      </c>
      <c r="V221">
        <f t="shared" ref="V221:Z221" si="547">V216</f>
        <v>3</v>
      </c>
      <c r="W221">
        <f t="shared" si="547"/>
        <v>1</v>
      </c>
      <c r="X221">
        <f t="shared" si="547"/>
        <v>2</v>
      </c>
      <c r="Y221">
        <f t="shared" si="547"/>
        <v>1</v>
      </c>
      <c r="Z221">
        <f t="shared" si="547"/>
        <v>1</v>
      </c>
    </row>
    <row r="222" spans="1:38" ht="17.149999999999999" x14ac:dyDescent="0.55000000000000004">
      <c r="B222" t="str">
        <f t="shared" si="545"/>
        <v>Portland</v>
      </c>
      <c r="C222" t="s">
        <v>523</v>
      </c>
      <c r="D222">
        <f>IF(ISNUMBER(D219),0.7*D220+0.02*D219*D221,IF(D219="Partially Insulated",0.6*D220+0.02*D218*D221,0))</f>
        <v>0</v>
      </c>
      <c r="E222">
        <f t="shared" ref="E222:P222" si="548">IF(ISNUMBER(E219),0.7*E220+0.02*E219*E221,IF(E219="Partially Insulated",0.6*E220+0.02*E218*E221,0))</f>
        <v>0</v>
      </c>
      <c r="F222">
        <f t="shared" si="548"/>
        <v>0</v>
      </c>
      <c r="G222">
        <f t="shared" si="548"/>
        <v>0</v>
      </c>
      <c r="H222">
        <f t="shared" si="548"/>
        <v>0</v>
      </c>
      <c r="I222">
        <f t="shared" si="548"/>
        <v>0</v>
      </c>
      <c r="J222">
        <f t="shared" si="548"/>
        <v>0</v>
      </c>
      <c r="K222">
        <f t="shared" si="548"/>
        <v>0</v>
      </c>
      <c r="L222">
        <f t="shared" si="548"/>
        <v>0</v>
      </c>
      <c r="M222">
        <f t="shared" si="548"/>
        <v>0</v>
      </c>
      <c r="N222">
        <f t="shared" si="548"/>
        <v>0</v>
      </c>
      <c r="O222">
        <f t="shared" si="548"/>
        <v>0</v>
      </c>
      <c r="P222">
        <f t="shared" si="548"/>
        <v>0</v>
      </c>
    </row>
    <row r="223" spans="1:38" ht="17.149999999999999" x14ac:dyDescent="0.55000000000000004">
      <c r="B223" t="str">
        <f t="shared" si="545"/>
        <v>Portland</v>
      </c>
      <c r="C223" t="s">
        <v>524</v>
      </c>
      <c r="D223">
        <f t="shared" ref="D223:F223" si="549">AVERAGE(D215:D216)</f>
        <v>503.5</v>
      </c>
      <c r="E223">
        <f t="shared" si="549"/>
        <v>504.30000000000007</v>
      </c>
      <c r="F223">
        <f t="shared" si="549"/>
        <v>505.70000000000005</v>
      </c>
      <c r="G223">
        <f>AVERAGE(G215:G216)</f>
        <v>508.2</v>
      </c>
      <c r="H223">
        <f t="shared" ref="H223:P223" si="550">AVERAGE(H215:H216)</f>
        <v>512.75</v>
      </c>
      <c r="I223">
        <f t="shared" si="550"/>
        <v>516.55000000000007</v>
      </c>
      <c r="J223">
        <f t="shared" si="550"/>
        <v>520.04999999999995</v>
      </c>
      <c r="K223">
        <f t="shared" si="550"/>
        <v>520.5</v>
      </c>
      <c r="L223">
        <f t="shared" si="550"/>
        <v>518.20000000000005</v>
      </c>
      <c r="M223">
        <f t="shared" si="550"/>
        <v>512.25</v>
      </c>
      <c r="N223">
        <f t="shared" si="550"/>
        <v>506.70000000000005</v>
      </c>
      <c r="O223">
        <f t="shared" si="550"/>
        <v>503.20000000000005</v>
      </c>
      <c r="P223">
        <f t="shared" si="550"/>
        <v>51.4</v>
      </c>
    </row>
    <row r="224" spans="1:38" ht="17.149999999999999" x14ac:dyDescent="0.55000000000000004">
      <c r="B224" t="str">
        <f t="shared" si="545"/>
        <v>Portland</v>
      </c>
      <c r="C224" t="s">
        <v>525</v>
      </c>
      <c r="D224" cm="1">
        <f t="array" ref="D224">IFERROR(IF(ISBLANK(INDEX(FX_Input,$R215,D$3*$AK215+$AL215)),D223+0.003*D217*D221,INDEX(FX_Input,$R215,D$3*$AK215+$AL215)+459.6),D223)</f>
        <v>503.5</v>
      </c>
      <c r="E224" cm="1">
        <f t="array" ref="E224">IFERROR(IF(ISBLANK(INDEX(FX_Input,$R215,E$3*$AK215+$AL215)),E223+0.003*E217*E221,INDEX(FX_Input,$R215,E$3*$AK215+$AL215)+459.6),E223)</f>
        <v>504.30000000000007</v>
      </c>
      <c r="F224" cm="1">
        <f t="array" ref="F224">IFERROR(IF(ISBLANK(INDEX(FX_Input,$R215,F$3*$AK215+$AL215)),F223+0.003*F217*F221,INDEX(FX_Input,$R215,F$3*$AK215+$AL215)+459.6),F223)</f>
        <v>505.70000000000005</v>
      </c>
      <c r="G224" cm="1">
        <f t="array" ref="G224">IFERROR(IF(ISBLANK(INDEX(FX_Input,$R215,G$3*$AK215+$AL215)),G223+0.003*G217*G221,INDEX(FX_Input,$R215,G$3*$AK215+$AL215)+459.6),G223)</f>
        <v>508.2</v>
      </c>
      <c r="H224" cm="1">
        <f t="array" ref="H224">IFERROR(IF(ISBLANK(INDEX(FX_Input,$R215,H$3*$AK215+$AL215)),H223+0.003*H217*H221,INDEX(FX_Input,$R215,H$3*$AK215+$AL215)+459.6),H223)</f>
        <v>512.75</v>
      </c>
      <c r="I224" cm="1">
        <f t="array" ref="I224">IFERROR(IF(ISBLANK(INDEX(FX_Input,$R215,I$3*$AK215+$AL215)),I223+0.003*I217*I221,INDEX(FX_Input,$R215,I$3*$AK215+$AL215)+459.6),I223)</f>
        <v>516.55000000000007</v>
      </c>
      <c r="J224" cm="1">
        <f t="array" ref="J224">IFERROR(IF(ISBLANK(INDEX(FX_Input,$R215,J$3*$AK215+$AL215)),J223+0.003*J217*J221,INDEX(FX_Input,$R215,J$3*$AK215+$AL215)+459.6),J223)</f>
        <v>520.04999999999995</v>
      </c>
      <c r="K224" cm="1">
        <f t="array" ref="K224">IFERROR(IF(ISBLANK(INDEX(FX_Input,$R215,K$3*$AK215+$AL215)),K223+0.003*K217*K221,INDEX(FX_Input,$R215,K$3*$AK215+$AL215)+459.6),K223)</f>
        <v>520.5</v>
      </c>
      <c r="L224" cm="1">
        <f t="array" ref="L224">IFERROR(IF(ISBLANK(INDEX(FX_Input,$R215,L$3*$AK215+$AL215)),L223+0.003*L217*L221,INDEX(FX_Input,$R215,L$3*$AK215+$AL215)+459.6),L223)</f>
        <v>518.20000000000005</v>
      </c>
      <c r="M224" cm="1">
        <f t="array" ref="M224">IFERROR(IF(ISBLANK(INDEX(FX_Input,$R215,M$3*$AK215+$AL215)),M223+0.003*M217*M221,INDEX(FX_Input,$R215,M$3*$AK215+$AL215)+459.6),M223)</f>
        <v>512.25</v>
      </c>
      <c r="N224" cm="1">
        <f t="array" ref="N224">IFERROR(IF(ISBLANK(INDEX(FX_Input,$R215,N$3*$AK215+$AL215)),N223+0.003*N217*N221,INDEX(FX_Input,$R215,N$3*$AK215+$AL215)+459.6),N223)</f>
        <v>506.70000000000005</v>
      </c>
      <c r="O224" cm="1">
        <f t="array" ref="O224">IFERROR(IF(ISBLANK(INDEX(FX_Input,$R215,O$3*$AK215+$AL215)),O223+0.003*O217*O221,INDEX(FX_Input,$R215,O$3*$AK215+$AL215)+459.6),O223)</f>
        <v>503.20000000000005</v>
      </c>
      <c r="P224" cm="1">
        <f t="array" ref="P224">IFERROR(IF(ISBLANK(INDEX(FX_Input,$R215,P$3*$AK215+$AL215)),P223+0.003*P217*P221,INDEX(FX_Input,$R215,P$3*$AK215+$AL215)+459.6),P223)</f>
        <v>5042.6000000000004</v>
      </c>
    </row>
    <row r="225" spans="1:38" ht="17.149999999999999" x14ac:dyDescent="0.55000000000000004">
      <c r="B225" t="str">
        <f t="shared" si="545"/>
        <v>Portland</v>
      </c>
      <c r="C225" t="s">
        <v>526</v>
      </c>
      <c r="D225">
        <f>IF(ISNUMBER(D219),0.4*D215+0.6*D224+0.005*D219*D221,IF(D219="Partially Insulated",0.3*D223+0.7*D224+0.005*D218*D221,D224))-459.6</f>
        <v>43.899999999999977</v>
      </c>
      <c r="E225">
        <f t="shared" ref="E225" si="551">IF(ISNUMBER(E219),0.4*E215+0.6*E224+0.005*E219*E221,IF(E219="Partially Insulated",0.3*E223+0.7*E224+0.005*E218*E221,E224))-459.6</f>
        <v>44.700000000000045</v>
      </c>
      <c r="F225">
        <f t="shared" ref="F225" si="552">IF(ISNUMBER(F219),0.4*F215+0.6*F224+0.005*F219*F221,IF(F219="Partially Insulated",0.3*F223+0.7*F224+0.005*F218*F221,F224))-459.6</f>
        <v>46.100000000000023</v>
      </c>
      <c r="G225">
        <f t="shared" ref="G225" si="553">IF(ISNUMBER(G219),0.4*G215+0.6*G224+0.005*G219*G221,IF(G219="Partially Insulated",0.3*G223+0.7*G224+0.005*G218*G221,G224))-459.6</f>
        <v>48.599999999999966</v>
      </c>
      <c r="H225">
        <f t="shared" ref="H225" si="554">IF(ISNUMBER(H219),0.4*H215+0.6*H224+0.005*H219*H221,IF(H219="Partially Insulated",0.3*H223+0.7*H224+0.005*H218*H221,H224))-459.6</f>
        <v>53.149999999999977</v>
      </c>
      <c r="I225">
        <f t="shared" ref="I225" si="555">IF(ISNUMBER(I219),0.4*I215+0.6*I224+0.005*I219*I221,IF(I219="Partially Insulated",0.3*I223+0.7*I224+0.005*I218*I221,I224))-459.6</f>
        <v>56.950000000000045</v>
      </c>
      <c r="J225">
        <f t="shared" ref="J225" si="556">IF(ISNUMBER(J219),0.4*J215+0.6*J224+0.005*J219*J221,IF(J219="Partially Insulated",0.3*J223+0.7*J224+0.005*J218*J221,J224))-459.6</f>
        <v>60.449999999999932</v>
      </c>
      <c r="K225">
        <f t="shared" ref="K225" si="557">IF(ISNUMBER(K219),0.4*K215+0.6*K224+0.005*K219*K221,IF(K219="Partially Insulated",0.3*K223+0.7*K224+0.005*K218*K221,K224))-459.6</f>
        <v>60.899999999999977</v>
      </c>
      <c r="L225">
        <f t="shared" ref="L225" si="558">IF(ISNUMBER(L219),0.4*L215+0.6*L224+0.005*L219*L221,IF(L219="Partially Insulated",0.3*L223+0.7*L224+0.005*L218*L221,L224))-459.6</f>
        <v>58.600000000000023</v>
      </c>
      <c r="M225">
        <f t="shared" ref="M225" si="559">IF(ISNUMBER(M219),0.4*M215+0.6*M224+0.005*M219*M221,IF(M219="Partially Insulated",0.3*M223+0.7*M224+0.005*M218*M221,M224))-459.6</f>
        <v>52.649999999999977</v>
      </c>
      <c r="N225">
        <f t="shared" ref="N225" si="560">IF(ISNUMBER(N219),0.4*N215+0.6*N224+0.005*N219*N221,IF(N219="Partially Insulated",0.3*N223+0.7*N224+0.005*N218*N221,N224))-459.6</f>
        <v>47.100000000000023</v>
      </c>
      <c r="O225">
        <f t="shared" ref="O225" si="561">IF(ISNUMBER(O219),0.4*O215+0.6*O224+0.005*O219*O221,IF(O219="Partially Insulated",0.3*O223+0.7*O224+0.005*O218*O221,O224))-459.6</f>
        <v>43.600000000000023</v>
      </c>
      <c r="P225">
        <f>AVERAGE(D225:O225)</f>
        <v>51.391666666666673</v>
      </c>
    </row>
    <row r="226" spans="1:38" ht="17.149999999999999" x14ac:dyDescent="0.55000000000000004">
      <c r="B226" t="str">
        <f t="shared" si="545"/>
        <v>Portland</v>
      </c>
      <c r="C226" t="s">
        <v>527</v>
      </c>
      <c r="D226">
        <f>IF(ISNUMBER(D219),0.4*D216+0.6*D224+0.005*D219*D221,IF(D219="Partially Insulated",0.3*D223+0.7*D224+0.005*D218*D221,D224))-459.6</f>
        <v>43.899999999999977</v>
      </c>
      <c r="E226">
        <f t="shared" ref="E226:O226" si="562">IF(ISNUMBER(E219),0.4*E216+0.6*E224+0.005*E219*E221,IF(E219="Partially Insulated",0.3*E223+0.7*E224+0.005*E218*E221,E224))-459.6</f>
        <v>44.700000000000045</v>
      </c>
      <c r="F226">
        <f t="shared" si="562"/>
        <v>46.100000000000023</v>
      </c>
      <c r="G226">
        <f t="shared" si="562"/>
        <v>48.599999999999966</v>
      </c>
      <c r="H226">
        <f t="shared" si="562"/>
        <v>53.149999999999977</v>
      </c>
      <c r="I226">
        <f t="shared" si="562"/>
        <v>56.950000000000045</v>
      </c>
      <c r="J226">
        <f t="shared" si="562"/>
        <v>60.449999999999932</v>
      </c>
      <c r="K226">
        <f t="shared" si="562"/>
        <v>60.899999999999977</v>
      </c>
      <c r="L226">
        <f t="shared" si="562"/>
        <v>58.600000000000023</v>
      </c>
      <c r="M226">
        <f t="shared" si="562"/>
        <v>52.649999999999977</v>
      </c>
      <c r="N226">
        <f t="shared" si="562"/>
        <v>47.100000000000023</v>
      </c>
      <c r="O226">
        <f t="shared" si="562"/>
        <v>43.600000000000023</v>
      </c>
      <c r="P226">
        <f>AVERAGE(D226:O226)</f>
        <v>51.391666666666673</v>
      </c>
    </row>
    <row r="227" spans="1:38" ht="17.149999999999999" x14ac:dyDescent="0.55000000000000004">
      <c r="B227" t="str">
        <f t="shared" si="545"/>
        <v>Portland</v>
      </c>
      <c r="C227" t="s">
        <v>552</v>
      </c>
      <c r="D227">
        <f>IF(ISNUMBER(D219),0.4*D223+0.6*D224+0.005*D219*D221,IF(D219="Partially Insulated",0.3*D223+0.7*D224+0.005*D218*D221,D224))-459.6</f>
        <v>43.899999999999977</v>
      </c>
      <c r="E227">
        <f t="shared" ref="E227:O227" si="563">IF(ISNUMBER(E219),0.4*E223+0.6*E224+0.005*E219*E221,IF(E219="Partially Insulated",0.3*E223+0.7*E224+0.005*E218*E221,E224))-459.6</f>
        <v>44.700000000000045</v>
      </c>
      <c r="F227">
        <f t="shared" si="563"/>
        <v>46.100000000000023</v>
      </c>
      <c r="G227">
        <f t="shared" si="563"/>
        <v>48.599999999999966</v>
      </c>
      <c r="H227">
        <f t="shared" si="563"/>
        <v>53.149999999999977</v>
      </c>
      <c r="I227">
        <f t="shared" si="563"/>
        <v>56.950000000000045</v>
      </c>
      <c r="J227">
        <f t="shared" si="563"/>
        <v>60.449999999999932</v>
      </c>
      <c r="K227">
        <f t="shared" si="563"/>
        <v>60.899999999999977</v>
      </c>
      <c r="L227">
        <f t="shared" si="563"/>
        <v>58.600000000000023</v>
      </c>
      <c r="M227">
        <f t="shared" si="563"/>
        <v>52.649999999999977</v>
      </c>
      <c r="N227">
        <f t="shared" si="563"/>
        <v>47.100000000000023</v>
      </c>
      <c r="O227">
        <f t="shared" si="563"/>
        <v>43.600000000000023</v>
      </c>
      <c r="P227">
        <f>AVERAGE(D227:O227)</f>
        <v>51.391666666666673</v>
      </c>
    </row>
    <row r="228" spans="1:38" ht="17.149999999999999" x14ac:dyDescent="0.55000000000000004">
      <c r="A228" s="11"/>
      <c r="B228" s="11" t="str">
        <f t="shared" si="545"/>
        <v>Portland</v>
      </c>
      <c r="C228" s="11" t="s">
        <v>553</v>
      </c>
      <c r="D228" s="11">
        <f>IF(ISNUMBER(D219),0.7*D223+0.3*D224+0.009*D219*D221,IF(D219="Partially Insulated",0.6*D223+0.4*D224+0.01*D218*D221,D224))-459.6</f>
        <v>43.899999999999977</v>
      </c>
      <c r="E228" s="11">
        <f t="shared" ref="E228:O228" si="564">IF(ISNUMBER(E219),0.7*E223+0.3*E224+0.009*E219*E221,IF(E219="Partially Insulated",0.6*E223+0.4*E224+0.01*E218*E221,E224))-459.6</f>
        <v>44.700000000000045</v>
      </c>
      <c r="F228" s="11">
        <f t="shared" si="564"/>
        <v>46.100000000000023</v>
      </c>
      <c r="G228" s="11">
        <f t="shared" si="564"/>
        <v>48.599999999999966</v>
      </c>
      <c r="H228" s="11">
        <f t="shared" si="564"/>
        <v>53.149999999999977</v>
      </c>
      <c r="I228" s="11">
        <f t="shared" si="564"/>
        <v>56.950000000000045</v>
      </c>
      <c r="J228" s="11">
        <f t="shared" si="564"/>
        <v>60.449999999999932</v>
      </c>
      <c r="K228" s="11">
        <f t="shared" si="564"/>
        <v>60.899999999999977</v>
      </c>
      <c r="L228" s="11">
        <f t="shared" si="564"/>
        <v>58.600000000000023</v>
      </c>
      <c r="M228" s="11">
        <f t="shared" si="564"/>
        <v>52.649999999999977</v>
      </c>
      <c r="N228" s="11">
        <f t="shared" si="564"/>
        <v>47.100000000000023</v>
      </c>
      <c r="O228" s="11">
        <f t="shared" si="564"/>
        <v>43.600000000000023</v>
      </c>
      <c r="P228" s="11">
        <f>AVERAGE(D228:O228)</f>
        <v>51.391666666666673</v>
      </c>
      <c r="Q228" s="11"/>
      <c r="R228" s="11"/>
      <c r="S228" s="11"/>
      <c r="T228" s="11"/>
      <c r="U228" s="11"/>
      <c r="V228" s="11"/>
      <c r="W228" s="11"/>
      <c r="X228" s="11"/>
      <c r="Y228" s="11"/>
      <c r="Z228" s="11"/>
      <c r="AA228" s="11"/>
      <c r="AB228" s="11"/>
      <c r="AC228" s="11"/>
      <c r="AD228" s="11"/>
      <c r="AE228" s="11"/>
      <c r="AF228" s="11"/>
      <c r="AG228" s="11"/>
      <c r="AH228" s="11"/>
      <c r="AI228" s="11"/>
      <c r="AJ228" s="11"/>
      <c r="AK228" s="11"/>
      <c r="AL228" s="11"/>
    </row>
    <row r="229" spans="1:38" ht="17.149999999999999" x14ac:dyDescent="0.55000000000000004">
      <c r="A229" t="str" cm="1">
        <f t="array" ref="A229">INDEX(FX_Input,$R229,S$5)</f>
        <v>FX - 17</v>
      </c>
      <c r="B229" t="str" cm="1">
        <f t="array" ref="B229">INDEX(FX_Input,R229,T229)</f>
        <v>Portland</v>
      </c>
      <c r="C229" t="s">
        <v>510</v>
      </c>
      <c r="D229">
        <f t="shared" ref="D229:O230" si="565">VLOOKUP(VLOOKUP($B229,Terminal_X_Ref,2,FALSE)&amp;$C229,Weather_Data,$Y229*D$3+$Z229,FALSE)+459.6</f>
        <v>498.3</v>
      </c>
      <c r="E229">
        <f t="shared" si="565"/>
        <v>497.70000000000005</v>
      </c>
      <c r="F229">
        <f t="shared" si="565"/>
        <v>499.1</v>
      </c>
      <c r="G229">
        <f t="shared" si="565"/>
        <v>501.5</v>
      </c>
      <c r="H229">
        <f t="shared" si="565"/>
        <v>506.1</v>
      </c>
      <c r="I229">
        <f t="shared" si="565"/>
        <v>510.3</v>
      </c>
      <c r="J229">
        <f t="shared" si="565"/>
        <v>513.70000000000005</v>
      </c>
      <c r="K229">
        <f t="shared" si="565"/>
        <v>513.70000000000005</v>
      </c>
      <c r="L229">
        <f t="shared" si="565"/>
        <v>510</v>
      </c>
      <c r="M229">
        <f t="shared" si="565"/>
        <v>504.90000000000003</v>
      </c>
      <c r="N229">
        <f t="shared" si="565"/>
        <v>500.6</v>
      </c>
      <c r="O229">
        <f t="shared" si="565"/>
        <v>498.20000000000005</v>
      </c>
      <c r="P229">
        <f t="shared" ref="P229:P230" si="566">VLOOKUP(VLOOKUP($B229,Terminal_X_Ref,2,FALSE)&amp;$C229,Weather_Data,$Y229*P$3+$Z229,FALSE)</f>
        <v>44.9</v>
      </c>
      <c r="R229">
        <f>R215+2</f>
        <v>33</v>
      </c>
      <c r="S229">
        <f>S215+1</f>
        <v>17</v>
      </c>
      <c r="T229">
        <v>3</v>
      </c>
      <c r="U229">
        <v>2</v>
      </c>
      <c r="V229">
        <v>3</v>
      </c>
      <c r="W229">
        <v>1</v>
      </c>
      <c r="X229">
        <v>2</v>
      </c>
      <c r="Y229">
        <f>(V229-U229)/(X229-W229)</f>
        <v>1</v>
      </c>
      <c r="Z229">
        <f>U229-Y229*W229</f>
        <v>1</v>
      </c>
      <c r="AA229">
        <f>AA215+1</f>
        <v>17</v>
      </c>
      <c r="AB229">
        <v>6</v>
      </c>
      <c r="AC229">
        <v>3</v>
      </c>
      <c r="AD229">
        <v>13</v>
      </c>
      <c r="AE229">
        <v>12</v>
      </c>
      <c r="AF229">
        <v>14</v>
      </c>
      <c r="AG229">
        <v>77</v>
      </c>
      <c r="AH229">
        <v>78</v>
      </c>
      <c r="AI229">
        <v>1</v>
      </c>
      <c r="AJ229">
        <v>2</v>
      </c>
      <c r="AK229">
        <f>(AH229-AG229)/(AJ229-AI229)</f>
        <v>1</v>
      </c>
      <c r="AL229">
        <f>AG229-AK229*AI229</f>
        <v>76</v>
      </c>
    </row>
    <row r="230" spans="1:38" ht="17.149999999999999" x14ac:dyDescent="0.55000000000000004">
      <c r="B230" t="str">
        <f t="shared" ref="B230" si="567">B229</f>
        <v>Portland</v>
      </c>
      <c r="C230" t="s">
        <v>511</v>
      </c>
      <c r="D230">
        <f t="shared" si="565"/>
        <v>508.70000000000005</v>
      </c>
      <c r="E230">
        <f t="shared" si="565"/>
        <v>510.90000000000003</v>
      </c>
      <c r="F230">
        <f t="shared" si="565"/>
        <v>512.30000000000007</v>
      </c>
      <c r="G230">
        <f t="shared" si="565"/>
        <v>514.9</v>
      </c>
      <c r="H230">
        <f t="shared" si="565"/>
        <v>519.4</v>
      </c>
      <c r="I230">
        <f t="shared" si="565"/>
        <v>522.80000000000007</v>
      </c>
      <c r="J230">
        <f t="shared" si="565"/>
        <v>526.4</v>
      </c>
      <c r="K230">
        <f t="shared" si="565"/>
        <v>527.30000000000007</v>
      </c>
      <c r="L230">
        <f t="shared" si="565"/>
        <v>526.4</v>
      </c>
      <c r="M230">
        <f t="shared" si="565"/>
        <v>519.6</v>
      </c>
      <c r="N230">
        <f t="shared" si="565"/>
        <v>512.80000000000007</v>
      </c>
      <c r="O230">
        <f t="shared" si="565"/>
        <v>508.20000000000005</v>
      </c>
      <c r="P230">
        <f t="shared" si="566"/>
        <v>57.9</v>
      </c>
      <c r="U230">
        <f>U229</f>
        <v>2</v>
      </c>
      <c r="V230">
        <f t="shared" ref="V230:Z230" si="568">V229</f>
        <v>3</v>
      </c>
      <c r="W230">
        <f t="shared" si="568"/>
        <v>1</v>
      </c>
      <c r="X230">
        <f t="shared" si="568"/>
        <v>2</v>
      </c>
      <c r="Y230">
        <f t="shared" si="568"/>
        <v>1</v>
      </c>
      <c r="Z230">
        <f t="shared" si="568"/>
        <v>1</v>
      </c>
      <c r="AA230">
        <f>AA229</f>
        <v>17</v>
      </c>
      <c r="AB230">
        <f t="shared" ref="AB230:AB233" si="569">AB229</f>
        <v>6</v>
      </c>
      <c r="AC230">
        <f t="shared" ref="AC230:AF233" si="570">AC229</f>
        <v>3</v>
      </c>
      <c r="AD230">
        <f t="shared" si="570"/>
        <v>13</v>
      </c>
      <c r="AE230">
        <f t="shared" si="570"/>
        <v>12</v>
      </c>
      <c r="AF230">
        <f t="shared" si="570"/>
        <v>14</v>
      </c>
      <c r="AG230">
        <f t="shared" ref="AG230:AG233" si="571">AG229</f>
        <v>77</v>
      </c>
      <c r="AH230">
        <f t="shared" ref="AH230:AH233" si="572">AH229</f>
        <v>78</v>
      </c>
      <c r="AI230">
        <f t="shared" ref="AI230:AI233" si="573">AI229</f>
        <v>1</v>
      </c>
      <c r="AJ230">
        <f t="shared" ref="AJ230:AJ233" si="574">AJ229</f>
        <v>2</v>
      </c>
      <c r="AK230">
        <f t="shared" ref="AK230:AK233" si="575">AK229</f>
        <v>1</v>
      </c>
      <c r="AL230">
        <f t="shared" ref="AL230:AL233" si="576">AL229</f>
        <v>76</v>
      </c>
    </row>
    <row r="231" spans="1:38" ht="17.149999999999999" x14ac:dyDescent="0.4">
      <c r="B231" t="str">
        <f>B230</f>
        <v>Portland</v>
      </c>
      <c r="C231" s="66" t="s">
        <v>514</v>
      </c>
      <c r="D231" t="str" cm="1">
        <f t="array" ref="D231">INDEX(FX_Calcs,$AA231,$AE231)</f>
        <v>N/A</v>
      </c>
      <c r="E231" t="str" cm="1">
        <f t="array" ref="E231">INDEX(FX_Calcs,$AA231,$AE231)</f>
        <v>N/A</v>
      </c>
      <c r="F231" t="str" cm="1">
        <f t="array" ref="F231">INDEX(FX_Calcs,$AA231,$AE231)</f>
        <v>N/A</v>
      </c>
      <c r="G231" t="str" cm="1">
        <f t="array" ref="G231">INDEX(FX_Calcs,$AA231,$AE231)</f>
        <v>N/A</v>
      </c>
      <c r="H231" t="str" cm="1">
        <f t="array" ref="H231">INDEX(FX_Calcs,$AA231,$AE231)</f>
        <v>N/A</v>
      </c>
      <c r="I231" t="str" cm="1">
        <f t="array" ref="I231">INDEX(FX_Calcs,$AA231,$AE231)</f>
        <v>N/A</v>
      </c>
      <c r="J231" t="str" cm="1">
        <f t="array" ref="J231">INDEX(FX_Calcs,$AA231,$AE231)</f>
        <v>N/A</v>
      </c>
      <c r="K231" t="str" cm="1">
        <f t="array" ref="K231">INDEX(FX_Calcs,$AA231,$AE231)</f>
        <v>N/A</v>
      </c>
      <c r="L231" t="str" cm="1">
        <f t="array" ref="L231">INDEX(FX_Calcs,$AA231,$AE231)</f>
        <v>N/A</v>
      </c>
      <c r="M231" t="str" cm="1">
        <f t="array" ref="M231">INDEX(FX_Calcs,$AA231,$AE231)</f>
        <v>N/A</v>
      </c>
      <c r="N231" t="str" cm="1">
        <f t="array" ref="N231">INDEX(FX_Calcs,$AA231,$AE231)</f>
        <v>N/A</v>
      </c>
      <c r="O231" t="str" cm="1">
        <f t="array" ref="O231">INDEX(FX_Calcs,$AA231,$AE231)</f>
        <v>N/A</v>
      </c>
      <c r="P231" t="str" cm="1">
        <f t="array" ref="P231">INDEX(FX_Calcs,$AA231,$AE231)</f>
        <v>N/A</v>
      </c>
      <c r="AA231">
        <f>AA230</f>
        <v>17</v>
      </c>
      <c r="AB231">
        <f t="shared" si="569"/>
        <v>6</v>
      </c>
      <c r="AC231">
        <f t="shared" si="570"/>
        <v>3</v>
      </c>
      <c r="AD231">
        <f t="shared" si="570"/>
        <v>13</v>
      </c>
      <c r="AE231">
        <f t="shared" si="570"/>
        <v>12</v>
      </c>
      <c r="AF231">
        <f t="shared" si="570"/>
        <v>14</v>
      </c>
      <c r="AG231">
        <f t="shared" si="571"/>
        <v>77</v>
      </c>
      <c r="AH231">
        <f t="shared" si="572"/>
        <v>78</v>
      </c>
      <c r="AI231">
        <f t="shared" si="573"/>
        <v>1</v>
      </c>
      <c r="AJ231">
        <f t="shared" si="574"/>
        <v>2</v>
      </c>
      <c r="AK231">
        <f t="shared" si="575"/>
        <v>1</v>
      </c>
      <c r="AL231">
        <f t="shared" si="576"/>
        <v>76</v>
      </c>
    </row>
    <row r="232" spans="1:38" ht="17.149999999999999" x14ac:dyDescent="0.4">
      <c r="B232" t="str">
        <f t="shared" ref="B232:B233" si="577">B231</f>
        <v>Portland</v>
      </c>
      <c r="C232" s="66" t="s">
        <v>513</v>
      </c>
      <c r="D232" t="str" cm="1">
        <f t="array" ref="D232">INDEX(FX_Calcs,$AA232,$AD232)</f>
        <v>N/A</v>
      </c>
      <c r="E232" t="str" cm="1">
        <f t="array" ref="E232">INDEX(FX_Calcs,$AA232,$AD232)</f>
        <v>N/A</v>
      </c>
      <c r="F232" t="str" cm="1">
        <f t="array" ref="F232">INDEX(FX_Calcs,$AA232,$AD232)</f>
        <v>N/A</v>
      </c>
      <c r="G232" t="str" cm="1">
        <f t="array" ref="G232">INDEX(FX_Calcs,$AA232,$AD232)</f>
        <v>N/A</v>
      </c>
      <c r="H232" t="str" cm="1">
        <f t="array" ref="H232">INDEX(FX_Calcs,$AA232,$AD232)</f>
        <v>N/A</v>
      </c>
      <c r="I232" t="str" cm="1">
        <f t="array" ref="I232">INDEX(FX_Calcs,$AA232,$AD232)</f>
        <v>N/A</v>
      </c>
      <c r="J232" t="str" cm="1">
        <f t="array" ref="J232">INDEX(FX_Calcs,$AA232,$AD232)</f>
        <v>N/A</v>
      </c>
      <c r="K232" t="str" cm="1">
        <f t="array" ref="K232">INDEX(FX_Calcs,$AA232,$AD232)</f>
        <v>N/A</v>
      </c>
      <c r="L232" t="str" cm="1">
        <f t="array" ref="L232">INDEX(FX_Calcs,$AA232,$AD232)</f>
        <v>N/A</v>
      </c>
      <c r="M232" t="str" cm="1">
        <f t="array" ref="M232">INDEX(FX_Calcs,$AA232,$AD232)</f>
        <v>N/A</v>
      </c>
      <c r="N232" t="str" cm="1">
        <f t="array" ref="N232">INDEX(FX_Calcs,$AA232,$AD232)</f>
        <v>N/A</v>
      </c>
      <c r="O232" t="str" cm="1">
        <f t="array" ref="O232">INDEX(FX_Calcs,$AA232,$AD232)</f>
        <v>N/A</v>
      </c>
      <c r="P232" t="str" cm="1">
        <f t="array" ref="P232">INDEX(FX_Calcs,$AA232,$AD232)</f>
        <v>N/A</v>
      </c>
      <c r="AA232">
        <f>AA231</f>
        <v>17</v>
      </c>
      <c r="AB232">
        <f t="shared" si="569"/>
        <v>6</v>
      </c>
      <c r="AC232">
        <f t="shared" si="570"/>
        <v>3</v>
      </c>
      <c r="AD232">
        <f t="shared" si="570"/>
        <v>13</v>
      </c>
      <c r="AE232">
        <f t="shared" si="570"/>
        <v>12</v>
      </c>
      <c r="AF232">
        <f t="shared" si="570"/>
        <v>14</v>
      </c>
      <c r="AG232">
        <f t="shared" si="571"/>
        <v>77</v>
      </c>
      <c r="AH232">
        <f t="shared" si="572"/>
        <v>78</v>
      </c>
      <c r="AI232">
        <f t="shared" si="573"/>
        <v>1</v>
      </c>
      <c r="AJ232">
        <f t="shared" si="574"/>
        <v>2</v>
      </c>
      <c r="AK232">
        <f t="shared" si="575"/>
        <v>1</v>
      </c>
      <c r="AL232">
        <f t="shared" si="576"/>
        <v>76</v>
      </c>
    </row>
    <row r="233" spans="1:38" x14ac:dyDescent="0.4">
      <c r="B233" t="str">
        <f t="shared" si="577"/>
        <v>Portland</v>
      </c>
      <c r="C233" s="66" t="s">
        <v>558</v>
      </c>
      <c r="D233" t="str" cm="1">
        <f t="array" ref="D233">INDEX(FX_Calcs,$AA233,$AF233)</f>
        <v>Insulated</v>
      </c>
      <c r="E233" t="str" cm="1">
        <f t="array" ref="E233">INDEX(FX_Calcs,$AA233,$AF233)</f>
        <v>Insulated</v>
      </c>
      <c r="F233" t="str" cm="1">
        <f t="array" ref="F233">INDEX(FX_Calcs,$AA233,$AF233)</f>
        <v>Insulated</v>
      </c>
      <c r="G233" t="str" cm="1">
        <f t="array" ref="G233">INDEX(FX_Calcs,$AA233,$AF233)</f>
        <v>Insulated</v>
      </c>
      <c r="H233" t="str" cm="1">
        <f t="array" ref="H233">INDEX(FX_Calcs,$AA233,$AF233)</f>
        <v>Insulated</v>
      </c>
      <c r="I233" t="str" cm="1">
        <f t="array" ref="I233">INDEX(FX_Calcs,$AA233,$AF233)</f>
        <v>Insulated</v>
      </c>
      <c r="J233" t="str" cm="1">
        <f t="array" ref="J233">INDEX(FX_Calcs,$AA233,$AF233)</f>
        <v>Insulated</v>
      </c>
      <c r="K233" t="str" cm="1">
        <f t="array" ref="K233">INDEX(FX_Calcs,$AA233,$AF233)</f>
        <v>Insulated</v>
      </c>
      <c r="L233" t="str" cm="1">
        <f t="array" ref="L233">INDEX(FX_Calcs,$AA233,$AF233)</f>
        <v>Insulated</v>
      </c>
      <c r="M233" t="str" cm="1">
        <f t="array" ref="M233">INDEX(FX_Calcs,$AA233,$AF233)</f>
        <v>Insulated</v>
      </c>
      <c r="N233" t="str" cm="1">
        <f t="array" ref="N233">INDEX(FX_Calcs,$AA233,$AF233)</f>
        <v>Insulated</v>
      </c>
      <c r="O233" t="str" cm="1">
        <f t="array" ref="O233">INDEX(FX_Calcs,$AA233,$AF233)</f>
        <v>Insulated</v>
      </c>
      <c r="P233" t="str" cm="1">
        <f t="array" ref="P233">INDEX(FX_Calcs,$AA233,$AF233)</f>
        <v>Insulated</v>
      </c>
      <c r="AA233">
        <f>AA232</f>
        <v>17</v>
      </c>
      <c r="AB233">
        <f t="shared" si="569"/>
        <v>6</v>
      </c>
      <c r="AC233">
        <f t="shared" si="570"/>
        <v>3</v>
      </c>
      <c r="AD233">
        <f t="shared" si="570"/>
        <v>13</v>
      </c>
      <c r="AE233">
        <f t="shared" si="570"/>
        <v>12</v>
      </c>
      <c r="AF233">
        <f t="shared" si="570"/>
        <v>14</v>
      </c>
      <c r="AG233">
        <f t="shared" si="571"/>
        <v>77</v>
      </c>
      <c r="AH233">
        <f t="shared" si="572"/>
        <v>78</v>
      </c>
      <c r="AI233">
        <f t="shared" si="573"/>
        <v>1</v>
      </c>
      <c r="AJ233">
        <f t="shared" si="574"/>
        <v>2</v>
      </c>
      <c r="AK233">
        <f t="shared" si="575"/>
        <v>1</v>
      </c>
      <c r="AL233">
        <f t="shared" si="576"/>
        <v>76</v>
      </c>
    </row>
    <row r="234" spans="1:38" ht="17.149999999999999" x14ac:dyDescent="0.55000000000000004">
      <c r="B234" t="str">
        <f>B230</f>
        <v>Portland</v>
      </c>
      <c r="C234" t="s">
        <v>512</v>
      </c>
      <c r="D234">
        <f t="shared" ref="D234:P234" si="578">D230-D229</f>
        <v>10.400000000000034</v>
      </c>
      <c r="E234">
        <f t="shared" si="578"/>
        <v>13.199999999999989</v>
      </c>
      <c r="F234">
        <f t="shared" si="578"/>
        <v>13.200000000000045</v>
      </c>
      <c r="G234">
        <f t="shared" si="578"/>
        <v>13.399999999999977</v>
      </c>
      <c r="H234">
        <f t="shared" si="578"/>
        <v>13.299999999999955</v>
      </c>
      <c r="I234">
        <f t="shared" si="578"/>
        <v>12.500000000000057</v>
      </c>
      <c r="J234">
        <f t="shared" si="578"/>
        <v>12.699999999999932</v>
      </c>
      <c r="K234">
        <f t="shared" si="578"/>
        <v>13.600000000000023</v>
      </c>
      <c r="L234">
        <f t="shared" si="578"/>
        <v>16.399999999999977</v>
      </c>
      <c r="M234">
        <f t="shared" si="578"/>
        <v>14.699999999999989</v>
      </c>
      <c r="N234">
        <f t="shared" si="578"/>
        <v>12.200000000000045</v>
      </c>
      <c r="O234">
        <f t="shared" si="578"/>
        <v>10</v>
      </c>
      <c r="P234">
        <f t="shared" si="578"/>
        <v>13</v>
      </c>
    </row>
    <row r="235" spans="1:38" x14ac:dyDescent="0.4">
      <c r="B235" t="str">
        <f t="shared" ref="B235:B242" si="579">B234</f>
        <v>Portland</v>
      </c>
      <c r="C235" t="s">
        <v>260</v>
      </c>
      <c r="D235">
        <f t="shared" ref="D235:P235" si="580">VLOOKUP(VLOOKUP($B235,Terminal_X_Ref,2,FALSE)&amp;$C235,Weather_Data,$Y235*D$3+$Z235,FALSE)</f>
        <v>343</v>
      </c>
      <c r="E235">
        <f t="shared" si="580"/>
        <v>600</v>
      </c>
      <c r="F235">
        <f t="shared" si="580"/>
        <v>877</v>
      </c>
      <c r="G235">
        <f t="shared" si="580"/>
        <v>1252</v>
      </c>
      <c r="H235">
        <f t="shared" si="580"/>
        <v>1537</v>
      </c>
      <c r="I235">
        <f t="shared" si="580"/>
        <v>1627</v>
      </c>
      <c r="J235">
        <f t="shared" si="580"/>
        <v>1708</v>
      </c>
      <c r="K235">
        <f t="shared" si="580"/>
        <v>1492</v>
      </c>
      <c r="L235">
        <f t="shared" si="580"/>
        <v>1196</v>
      </c>
      <c r="M235">
        <f t="shared" si="580"/>
        <v>728</v>
      </c>
      <c r="N235">
        <f t="shared" si="580"/>
        <v>391</v>
      </c>
      <c r="O235">
        <f t="shared" si="580"/>
        <v>302</v>
      </c>
      <c r="P235">
        <f t="shared" si="580"/>
        <v>1005</v>
      </c>
      <c r="U235">
        <f>U230</f>
        <v>2</v>
      </c>
      <c r="V235">
        <f t="shared" ref="V235:Z235" si="581">V230</f>
        <v>3</v>
      </c>
      <c r="W235">
        <f t="shared" si="581"/>
        <v>1</v>
      </c>
      <c r="X235">
        <f t="shared" si="581"/>
        <v>2</v>
      </c>
      <c r="Y235">
        <f t="shared" si="581"/>
        <v>1</v>
      </c>
      <c r="Z235">
        <f t="shared" si="581"/>
        <v>1</v>
      </c>
    </row>
    <row r="236" spans="1:38" ht="17.149999999999999" x14ac:dyDescent="0.55000000000000004">
      <c r="B236" t="str">
        <f t="shared" si="579"/>
        <v>Portland</v>
      </c>
      <c r="C236" t="s">
        <v>523</v>
      </c>
      <c r="D236">
        <f>IF(ISNUMBER(D233),0.7*D234+0.02*D233*D235,IF(D233="Partially Insulated",0.6*D234+0.02*D232*D235,0))</f>
        <v>0</v>
      </c>
      <c r="E236">
        <f t="shared" ref="E236:P236" si="582">IF(ISNUMBER(E233),0.7*E234+0.02*E233*E235,IF(E233="Partially Insulated",0.6*E234+0.02*E232*E235,0))</f>
        <v>0</v>
      </c>
      <c r="F236">
        <f t="shared" si="582"/>
        <v>0</v>
      </c>
      <c r="G236">
        <f t="shared" si="582"/>
        <v>0</v>
      </c>
      <c r="H236">
        <f t="shared" si="582"/>
        <v>0</v>
      </c>
      <c r="I236">
        <f t="shared" si="582"/>
        <v>0</v>
      </c>
      <c r="J236">
        <f t="shared" si="582"/>
        <v>0</v>
      </c>
      <c r="K236">
        <f t="shared" si="582"/>
        <v>0</v>
      </c>
      <c r="L236">
        <f t="shared" si="582"/>
        <v>0</v>
      </c>
      <c r="M236">
        <f t="shared" si="582"/>
        <v>0</v>
      </c>
      <c r="N236">
        <f t="shared" si="582"/>
        <v>0</v>
      </c>
      <c r="O236">
        <f t="shared" si="582"/>
        <v>0</v>
      </c>
      <c r="P236">
        <f t="shared" si="582"/>
        <v>0</v>
      </c>
    </row>
    <row r="237" spans="1:38" ht="17.149999999999999" x14ac:dyDescent="0.55000000000000004">
      <c r="B237" t="str">
        <f t="shared" si="579"/>
        <v>Portland</v>
      </c>
      <c r="C237" t="s">
        <v>524</v>
      </c>
      <c r="D237">
        <f t="shared" ref="D237:F237" si="583">AVERAGE(D229:D230)</f>
        <v>503.5</v>
      </c>
      <c r="E237">
        <f t="shared" si="583"/>
        <v>504.30000000000007</v>
      </c>
      <c r="F237">
        <f t="shared" si="583"/>
        <v>505.70000000000005</v>
      </c>
      <c r="G237">
        <f>AVERAGE(G229:G230)</f>
        <v>508.2</v>
      </c>
      <c r="H237">
        <f t="shared" ref="H237:P237" si="584">AVERAGE(H229:H230)</f>
        <v>512.75</v>
      </c>
      <c r="I237">
        <f t="shared" si="584"/>
        <v>516.55000000000007</v>
      </c>
      <c r="J237">
        <f t="shared" si="584"/>
        <v>520.04999999999995</v>
      </c>
      <c r="K237">
        <f t="shared" si="584"/>
        <v>520.5</v>
      </c>
      <c r="L237">
        <f t="shared" si="584"/>
        <v>518.20000000000005</v>
      </c>
      <c r="M237">
        <f t="shared" si="584"/>
        <v>512.25</v>
      </c>
      <c r="N237">
        <f t="shared" si="584"/>
        <v>506.70000000000005</v>
      </c>
      <c r="O237">
        <f t="shared" si="584"/>
        <v>503.20000000000005</v>
      </c>
      <c r="P237">
        <f t="shared" si="584"/>
        <v>51.4</v>
      </c>
    </row>
    <row r="238" spans="1:38" ht="17.149999999999999" x14ac:dyDescent="0.55000000000000004">
      <c r="B238" t="str">
        <f t="shared" si="579"/>
        <v>Portland</v>
      </c>
      <c r="C238" t="s">
        <v>525</v>
      </c>
      <c r="D238" cm="1">
        <f t="array" ref="D238">IFERROR(IF(ISBLANK(INDEX(FX_Input,$R229,D$3*$AK229+$AL229)),D237+0.003*D231*D235,INDEX(FX_Input,$R229,D$3*$AK229+$AL229)+459.6),D237)</f>
        <v>503.5</v>
      </c>
      <c r="E238" cm="1">
        <f t="array" ref="E238">IFERROR(IF(ISBLANK(INDEX(FX_Input,$R229,E$3*$AK229+$AL229)),E237+0.003*E231*E235,INDEX(FX_Input,$R229,E$3*$AK229+$AL229)+459.6),E237)</f>
        <v>504.30000000000007</v>
      </c>
      <c r="F238" cm="1">
        <f t="array" ref="F238">IFERROR(IF(ISBLANK(INDEX(FX_Input,$R229,F$3*$AK229+$AL229)),F237+0.003*F231*F235,INDEX(FX_Input,$R229,F$3*$AK229+$AL229)+459.6),F237)</f>
        <v>505.70000000000005</v>
      </c>
      <c r="G238" cm="1">
        <f t="array" ref="G238">IFERROR(IF(ISBLANK(INDEX(FX_Input,$R229,G$3*$AK229+$AL229)),G237+0.003*G231*G235,INDEX(FX_Input,$R229,G$3*$AK229+$AL229)+459.6),G237)</f>
        <v>508.2</v>
      </c>
      <c r="H238" cm="1">
        <f t="array" ref="H238">IFERROR(IF(ISBLANK(INDEX(FX_Input,$R229,H$3*$AK229+$AL229)),H237+0.003*H231*H235,INDEX(FX_Input,$R229,H$3*$AK229+$AL229)+459.6),H237)</f>
        <v>512.75</v>
      </c>
      <c r="I238" cm="1">
        <f t="array" ref="I238">IFERROR(IF(ISBLANK(INDEX(FX_Input,$R229,I$3*$AK229+$AL229)),I237+0.003*I231*I235,INDEX(FX_Input,$R229,I$3*$AK229+$AL229)+459.6),I237)</f>
        <v>516.55000000000007</v>
      </c>
      <c r="J238" cm="1">
        <f t="array" ref="J238">IFERROR(IF(ISBLANK(INDEX(FX_Input,$R229,J$3*$AK229+$AL229)),J237+0.003*J231*J235,INDEX(FX_Input,$R229,J$3*$AK229+$AL229)+459.6),J237)</f>
        <v>520.04999999999995</v>
      </c>
      <c r="K238" cm="1">
        <f t="array" ref="K238">IFERROR(IF(ISBLANK(INDEX(FX_Input,$R229,K$3*$AK229+$AL229)),K237+0.003*K231*K235,INDEX(FX_Input,$R229,K$3*$AK229+$AL229)+459.6),K237)</f>
        <v>520.5</v>
      </c>
      <c r="L238" cm="1">
        <f t="array" ref="L238">IFERROR(IF(ISBLANK(INDEX(FX_Input,$R229,L$3*$AK229+$AL229)),L237+0.003*L231*L235,INDEX(FX_Input,$R229,L$3*$AK229+$AL229)+459.6),L237)</f>
        <v>518.20000000000005</v>
      </c>
      <c r="M238" cm="1">
        <f t="array" ref="M238">IFERROR(IF(ISBLANK(INDEX(FX_Input,$R229,M$3*$AK229+$AL229)),M237+0.003*M231*M235,INDEX(FX_Input,$R229,M$3*$AK229+$AL229)+459.6),M237)</f>
        <v>512.25</v>
      </c>
      <c r="N238" cm="1">
        <f t="array" ref="N238">IFERROR(IF(ISBLANK(INDEX(FX_Input,$R229,N$3*$AK229+$AL229)),N237+0.003*N231*N235,INDEX(FX_Input,$R229,N$3*$AK229+$AL229)+459.6),N237)</f>
        <v>506.70000000000005</v>
      </c>
      <c r="O238" cm="1">
        <f t="array" ref="O238">IFERROR(IF(ISBLANK(INDEX(FX_Input,$R229,O$3*$AK229+$AL229)),O237+0.003*O231*O235,INDEX(FX_Input,$R229,O$3*$AK229+$AL229)+459.6),O237)</f>
        <v>503.20000000000005</v>
      </c>
      <c r="P238" cm="1">
        <f t="array" ref="P238">IFERROR(IF(ISBLANK(INDEX(FX_Input,$R229,P$3*$AK229+$AL229)),P237+0.003*P231*P235,INDEX(FX_Input,$R229,P$3*$AK229+$AL229)+459.6),P237)</f>
        <v>11649.6</v>
      </c>
    </row>
    <row r="239" spans="1:38" ht="17.149999999999999" x14ac:dyDescent="0.55000000000000004">
      <c r="B239" t="str">
        <f t="shared" si="579"/>
        <v>Portland</v>
      </c>
      <c r="C239" t="s">
        <v>526</v>
      </c>
      <c r="D239">
        <f>IF(ISNUMBER(D233),0.4*D229+0.6*D238+0.005*D233*D235,IF(D233="Partially Insulated",0.3*D237+0.7*D238+0.005*D232*D235,D238))-459.6</f>
        <v>43.899999999999977</v>
      </c>
      <c r="E239">
        <f t="shared" ref="E239" si="585">IF(ISNUMBER(E233),0.4*E229+0.6*E238+0.005*E233*E235,IF(E233="Partially Insulated",0.3*E237+0.7*E238+0.005*E232*E235,E238))-459.6</f>
        <v>44.700000000000045</v>
      </c>
      <c r="F239">
        <f t="shared" ref="F239" si="586">IF(ISNUMBER(F233),0.4*F229+0.6*F238+0.005*F233*F235,IF(F233="Partially Insulated",0.3*F237+0.7*F238+0.005*F232*F235,F238))-459.6</f>
        <v>46.100000000000023</v>
      </c>
      <c r="G239">
        <f t="shared" ref="G239" si="587">IF(ISNUMBER(G233),0.4*G229+0.6*G238+0.005*G233*G235,IF(G233="Partially Insulated",0.3*G237+0.7*G238+0.005*G232*G235,G238))-459.6</f>
        <v>48.599999999999966</v>
      </c>
      <c r="H239">
        <f t="shared" ref="H239" si="588">IF(ISNUMBER(H233),0.4*H229+0.6*H238+0.005*H233*H235,IF(H233="Partially Insulated",0.3*H237+0.7*H238+0.005*H232*H235,H238))-459.6</f>
        <v>53.149999999999977</v>
      </c>
      <c r="I239">
        <f t="shared" ref="I239" si="589">IF(ISNUMBER(I233),0.4*I229+0.6*I238+0.005*I233*I235,IF(I233="Partially Insulated",0.3*I237+0.7*I238+0.005*I232*I235,I238))-459.6</f>
        <v>56.950000000000045</v>
      </c>
      <c r="J239">
        <f t="shared" ref="J239" si="590">IF(ISNUMBER(J233),0.4*J229+0.6*J238+0.005*J233*J235,IF(J233="Partially Insulated",0.3*J237+0.7*J238+0.005*J232*J235,J238))-459.6</f>
        <v>60.449999999999932</v>
      </c>
      <c r="K239">
        <f t="shared" ref="K239" si="591">IF(ISNUMBER(K233),0.4*K229+0.6*K238+0.005*K233*K235,IF(K233="Partially Insulated",0.3*K237+0.7*K238+0.005*K232*K235,K238))-459.6</f>
        <v>60.899999999999977</v>
      </c>
      <c r="L239">
        <f t="shared" ref="L239" si="592">IF(ISNUMBER(L233),0.4*L229+0.6*L238+0.005*L233*L235,IF(L233="Partially Insulated",0.3*L237+0.7*L238+0.005*L232*L235,L238))-459.6</f>
        <v>58.600000000000023</v>
      </c>
      <c r="M239">
        <f t="shared" ref="M239" si="593">IF(ISNUMBER(M233),0.4*M229+0.6*M238+0.005*M233*M235,IF(M233="Partially Insulated",0.3*M237+0.7*M238+0.005*M232*M235,M238))-459.6</f>
        <v>52.649999999999977</v>
      </c>
      <c r="N239">
        <f t="shared" ref="N239" si="594">IF(ISNUMBER(N233),0.4*N229+0.6*N238+0.005*N233*N235,IF(N233="Partially Insulated",0.3*N237+0.7*N238+0.005*N232*N235,N238))-459.6</f>
        <v>47.100000000000023</v>
      </c>
      <c r="O239">
        <f t="shared" ref="O239" si="595">IF(ISNUMBER(O233),0.4*O229+0.6*O238+0.005*O233*O235,IF(O233="Partially Insulated",0.3*O237+0.7*O238+0.005*O232*O235,O238))-459.6</f>
        <v>43.600000000000023</v>
      </c>
      <c r="P239">
        <f>AVERAGE(D239:O239)</f>
        <v>51.391666666666673</v>
      </c>
    </row>
    <row r="240" spans="1:38" ht="17.149999999999999" x14ac:dyDescent="0.55000000000000004">
      <c r="B240" t="str">
        <f t="shared" si="579"/>
        <v>Portland</v>
      </c>
      <c r="C240" t="s">
        <v>527</v>
      </c>
      <c r="D240">
        <f>IF(ISNUMBER(D233),0.4*D230+0.6*D238+0.005*D233*D235,IF(D233="Partially Insulated",0.3*D237+0.7*D238+0.005*D232*D235,D238))-459.6</f>
        <v>43.899999999999977</v>
      </c>
      <c r="E240">
        <f t="shared" ref="E240:O240" si="596">IF(ISNUMBER(E233),0.4*E230+0.6*E238+0.005*E233*E235,IF(E233="Partially Insulated",0.3*E237+0.7*E238+0.005*E232*E235,E238))-459.6</f>
        <v>44.700000000000045</v>
      </c>
      <c r="F240">
        <f t="shared" si="596"/>
        <v>46.100000000000023</v>
      </c>
      <c r="G240">
        <f t="shared" si="596"/>
        <v>48.599999999999966</v>
      </c>
      <c r="H240">
        <f t="shared" si="596"/>
        <v>53.149999999999977</v>
      </c>
      <c r="I240">
        <f t="shared" si="596"/>
        <v>56.950000000000045</v>
      </c>
      <c r="J240">
        <f t="shared" si="596"/>
        <v>60.449999999999932</v>
      </c>
      <c r="K240">
        <f t="shared" si="596"/>
        <v>60.899999999999977</v>
      </c>
      <c r="L240">
        <f t="shared" si="596"/>
        <v>58.600000000000023</v>
      </c>
      <c r="M240">
        <f t="shared" si="596"/>
        <v>52.649999999999977</v>
      </c>
      <c r="N240">
        <f t="shared" si="596"/>
        <v>47.100000000000023</v>
      </c>
      <c r="O240">
        <f t="shared" si="596"/>
        <v>43.600000000000023</v>
      </c>
      <c r="P240">
        <f>AVERAGE(D240:O240)</f>
        <v>51.391666666666673</v>
      </c>
    </row>
    <row r="241" spans="1:38" ht="17.149999999999999" x14ac:dyDescent="0.55000000000000004">
      <c r="B241" t="str">
        <f t="shared" si="579"/>
        <v>Portland</v>
      </c>
      <c r="C241" t="s">
        <v>552</v>
      </c>
      <c r="D241">
        <f>IF(ISNUMBER(D233),0.4*D237+0.6*D238+0.005*D233*D235,IF(D233="Partially Insulated",0.3*D237+0.7*D238+0.005*D232*D235,D238))-459.6</f>
        <v>43.899999999999977</v>
      </c>
      <c r="E241">
        <f t="shared" ref="E241:O241" si="597">IF(ISNUMBER(E233),0.4*E237+0.6*E238+0.005*E233*E235,IF(E233="Partially Insulated",0.3*E237+0.7*E238+0.005*E232*E235,E238))-459.6</f>
        <v>44.700000000000045</v>
      </c>
      <c r="F241">
        <f t="shared" si="597"/>
        <v>46.100000000000023</v>
      </c>
      <c r="G241">
        <f t="shared" si="597"/>
        <v>48.599999999999966</v>
      </c>
      <c r="H241">
        <f t="shared" si="597"/>
        <v>53.149999999999977</v>
      </c>
      <c r="I241">
        <f t="shared" si="597"/>
        <v>56.950000000000045</v>
      </c>
      <c r="J241">
        <f t="shared" si="597"/>
        <v>60.449999999999932</v>
      </c>
      <c r="K241">
        <f t="shared" si="597"/>
        <v>60.899999999999977</v>
      </c>
      <c r="L241">
        <f t="shared" si="597"/>
        <v>58.600000000000023</v>
      </c>
      <c r="M241">
        <f t="shared" si="597"/>
        <v>52.649999999999977</v>
      </c>
      <c r="N241">
        <f t="shared" si="597"/>
        <v>47.100000000000023</v>
      </c>
      <c r="O241">
        <f t="shared" si="597"/>
        <v>43.600000000000023</v>
      </c>
      <c r="P241">
        <f>AVERAGE(D241:O241)</f>
        <v>51.391666666666673</v>
      </c>
    </row>
    <row r="242" spans="1:38" ht="17.149999999999999" x14ac:dyDescent="0.55000000000000004">
      <c r="A242" s="11"/>
      <c r="B242" s="11" t="str">
        <f t="shared" si="579"/>
        <v>Portland</v>
      </c>
      <c r="C242" s="11" t="s">
        <v>553</v>
      </c>
      <c r="D242" s="11">
        <f>IF(ISNUMBER(D233),0.7*D237+0.3*D238+0.009*D233*D235,IF(D233="Partially Insulated",0.6*D237+0.4*D238+0.01*D232*D235,D238))-459.6</f>
        <v>43.899999999999977</v>
      </c>
      <c r="E242" s="11">
        <f t="shared" ref="E242:O242" si="598">IF(ISNUMBER(E233),0.7*E237+0.3*E238+0.009*E233*E235,IF(E233="Partially Insulated",0.6*E237+0.4*E238+0.01*E232*E235,E238))-459.6</f>
        <v>44.700000000000045</v>
      </c>
      <c r="F242" s="11">
        <f t="shared" si="598"/>
        <v>46.100000000000023</v>
      </c>
      <c r="G242" s="11">
        <f t="shared" si="598"/>
        <v>48.599999999999966</v>
      </c>
      <c r="H242" s="11">
        <f t="shared" si="598"/>
        <v>53.149999999999977</v>
      </c>
      <c r="I242" s="11">
        <f t="shared" si="598"/>
        <v>56.950000000000045</v>
      </c>
      <c r="J242" s="11">
        <f t="shared" si="598"/>
        <v>60.449999999999932</v>
      </c>
      <c r="K242" s="11">
        <f t="shared" si="598"/>
        <v>60.899999999999977</v>
      </c>
      <c r="L242" s="11">
        <f t="shared" si="598"/>
        <v>58.600000000000023</v>
      </c>
      <c r="M242" s="11">
        <f t="shared" si="598"/>
        <v>52.649999999999977</v>
      </c>
      <c r="N242" s="11">
        <f t="shared" si="598"/>
        <v>47.100000000000023</v>
      </c>
      <c r="O242" s="11">
        <f t="shared" si="598"/>
        <v>43.600000000000023</v>
      </c>
      <c r="P242" s="11">
        <f>AVERAGE(D242:O242)</f>
        <v>51.391666666666673</v>
      </c>
      <c r="Q242" s="11"/>
      <c r="R242" s="11"/>
      <c r="S242" s="11"/>
      <c r="T242" s="11"/>
      <c r="U242" s="11"/>
      <c r="V242" s="11"/>
      <c r="W242" s="11"/>
      <c r="X242" s="11"/>
      <c r="Y242" s="11"/>
      <c r="Z242" s="11"/>
      <c r="AA242" s="11"/>
      <c r="AB242" s="11"/>
      <c r="AC242" s="11"/>
      <c r="AD242" s="11"/>
      <c r="AE242" s="11"/>
      <c r="AF242" s="11"/>
      <c r="AG242" s="11"/>
      <c r="AH242" s="11"/>
      <c r="AI242" s="11"/>
      <c r="AJ242" s="11"/>
      <c r="AK242" s="11"/>
      <c r="AL242" s="11"/>
    </row>
    <row r="243" spans="1:38" ht="17.149999999999999" x14ac:dyDescent="0.55000000000000004">
      <c r="A243" t="str" cm="1">
        <f t="array" ref="A243">INDEX(FX_Input,$R243,S$5)</f>
        <v>FX - 18</v>
      </c>
      <c r="B243" t="str" cm="1">
        <f t="array" ref="B243">INDEX(FX_Input,R243,T243)</f>
        <v>Portland</v>
      </c>
      <c r="C243" t="s">
        <v>510</v>
      </c>
      <c r="D243">
        <f t="shared" ref="D243:O244" si="599">VLOOKUP(VLOOKUP($B243,Terminal_X_Ref,2,FALSE)&amp;$C243,Weather_Data,$Y243*D$3+$Z243,FALSE)+459.6</f>
        <v>498.3</v>
      </c>
      <c r="E243">
        <f t="shared" si="599"/>
        <v>497.70000000000005</v>
      </c>
      <c r="F243">
        <f t="shared" si="599"/>
        <v>499.1</v>
      </c>
      <c r="G243">
        <f t="shared" si="599"/>
        <v>501.5</v>
      </c>
      <c r="H243">
        <f t="shared" si="599"/>
        <v>506.1</v>
      </c>
      <c r="I243">
        <f t="shared" si="599"/>
        <v>510.3</v>
      </c>
      <c r="J243">
        <f t="shared" si="599"/>
        <v>513.70000000000005</v>
      </c>
      <c r="K243">
        <f t="shared" si="599"/>
        <v>513.70000000000005</v>
      </c>
      <c r="L243">
        <f t="shared" si="599"/>
        <v>510</v>
      </c>
      <c r="M243">
        <f t="shared" si="599"/>
        <v>504.90000000000003</v>
      </c>
      <c r="N243">
        <f t="shared" si="599"/>
        <v>500.6</v>
      </c>
      <c r="O243">
        <f t="shared" si="599"/>
        <v>498.20000000000005</v>
      </c>
      <c r="P243">
        <f t="shared" ref="P243:P244" si="600">VLOOKUP(VLOOKUP($B243,Terminal_X_Ref,2,FALSE)&amp;$C243,Weather_Data,$Y243*P$3+$Z243,FALSE)</f>
        <v>44.9</v>
      </c>
      <c r="R243">
        <f>R229+2</f>
        <v>35</v>
      </c>
      <c r="S243">
        <f>S229+1</f>
        <v>18</v>
      </c>
      <c r="T243">
        <v>3</v>
      </c>
      <c r="U243">
        <v>2</v>
      </c>
      <c r="V243">
        <v>3</v>
      </c>
      <c r="W243">
        <v>1</v>
      </c>
      <c r="X243">
        <v>2</v>
      </c>
      <c r="Y243">
        <f>(V243-U243)/(X243-W243)</f>
        <v>1</v>
      </c>
      <c r="Z243">
        <f>U243-Y243*W243</f>
        <v>1</v>
      </c>
      <c r="AA243">
        <f>AA229+1</f>
        <v>18</v>
      </c>
      <c r="AB243">
        <v>6</v>
      </c>
      <c r="AC243">
        <v>3</v>
      </c>
      <c r="AD243">
        <v>13</v>
      </c>
      <c r="AE243">
        <v>12</v>
      </c>
      <c r="AF243">
        <v>14</v>
      </c>
      <c r="AG243">
        <v>77</v>
      </c>
      <c r="AH243">
        <v>78</v>
      </c>
      <c r="AI243">
        <v>1</v>
      </c>
      <c r="AJ243">
        <v>2</v>
      </c>
      <c r="AK243">
        <f>(AH243-AG243)/(AJ243-AI243)</f>
        <v>1</v>
      </c>
      <c r="AL243">
        <f>AG243-AK243*AI243</f>
        <v>76</v>
      </c>
    </row>
    <row r="244" spans="1:38" ht="17.149999999999999" x14ac:dyDescent="0.55000000000000004">
      <c r="B244" t="str">
        <f t="shared" ref="B244" si="601">B243</f>
        <v>Portland</v>
      </c>
      <c r="C244" t="s">
        <v>511</v>
      </c>
      <c r="D244">
        <f t="shared" si="599"/>
        <v>508.70000000000005</v>
      </c>
      <c r="E244">
        <f t="shared" si="599"/>
        <v>510.90000000000003</v>
      </c>
      <c r="F244">
        <f t="shared" si="599"/>
        <v>512.30000000000007</v>
      </c>
      <c r="G244">
        <f t="shared" si="599"/>
        <v>514.9</v>
      </c>
      <c r="H244">
        <f t="shared" si="599"/>
        <v>519.4</v>
      </c>
      <c r="I244">
        <f t="shared" si="599"/>
        <v>522.80000000000007</v>
      </c>
      <c r="J244">
        <f t="shared" si="599"/>
        <v>526.4</v>
      </c>
      <c r="K244">
        <f t="shared" si="599"/>
        <v>527.30000000000007</v>
      </c>
      <c r="L244">
        <f t="shared" si="599"/>
        <v>526.4</v>
      </c>
      <c r="M244">
        <f t="shared" si="599"/>
        <v>519.6</v>
      </c>
      <c r="N244">
        <f t="shared" si="599"/>
        <v>512.80000000000007</v>
      </c>
      <c r="O244">
        <f t="shared" si="599"/>
        <v>508.20000000000005</v>
      </c>
      <c r="P244">
        <f t="shared" si="600"/>
        <v>57.9</v>
      </c>
      <c r="U244">
        <f>U243</f>
        <v>2</v>
      </c>
      <c r="V244">
        <f t="shared" ref="V244:Z244" si="602">V243</f>
        <v>3</v>
      </c>
      <c r="W244">
        <f t="shared" si="602"/>
        <v>1</v>
      </c>
      <c r="X244">
        <f t="shared" si="602"/>
        <v>2</v>
      </c>
      <c r="Y244">
        <f t="shared" si="602"/>
        <v>1</v>
      </c>
      <c r="Z244">
        <f t="shared" si="602"/>
        <v>1</v>
      </c>
      <c r="AA244">
        <f>AA243</f>
        <v>18</v>
      </c>
      <c r="AB244">
        <f t="shared" ref="AB244:AB247" si="603">AB243</f>
        <v>6</v>
      </c>
      <c r="AC244">
        <f t="shared" ref="AC244:AF247" si="604">AC243</f>
        <v>3</v>
      </c>
      <c r="AD244">
        <f t="shared" si="604"/>
        <v>13</v>
      </c>
      <c r="AE244">
        <f t="shared" si="604"/>
        <v>12</v>
      </c>
      <c r="AF244">
        <f t="shared" si="604"/>
        <v>14</v>
      </c>
      <c r="AG244">
        <f t="shared" ref="AG244:AG247" si="605">AG243</f>
        <v>77</v>
      </c>
      <c r="AH244">
        <f t="shared" ref="AH244:AH247" si="606">AH243</f>
        <v>78</v>
      </c>
      <c r="AI244">
        <f t="shared" ref="AI244:AI247" si="607">AI243</f>
        <v>1</v>
      </c>
      <c r="AJ244">
        <f t="shared" ref="AJ244:AJ247" si="608">AJ243</f>
        <v>2</v>
      </c>
      <c r="AK244">
        <f t="shared" ref="AK244:AK247" si="609">AK243</f>
        <v>1</v>
      </c>
      <c r="AL244">
        <f t="shared" ref="AL244:AL247" si="610">AL243</f>
        <v>76</v>
      </c>
    </row>
    <row r="245" spans="1:38" ht="17.149999999999999" x14ac:dyDescent="0.4">
      <c r="B245" t="str">
        <f>B244</f>
        <v>Portland</v>
      </c>
      <c r="C245" s="66" t="s">
        <v>514</v>
      </c>
      <c r="D245" t="str" cm="1">
        <f t="array" ref="D245">INDEX(FX_Calcs,$AA245,$AE245)</f>
        <v>N/A</v>
      </c>
      <c r="E245" t="str" cm="1">
        <f t="array" ref="E245">INDEX(FX_Calcs,$AA245,$AE245)</f>
        <v>N/A</v>
      </c>
      <c r="F245" t="str" cm="1">
        <f t="array" ref="F245">INDEX(FX_Calcs,$AA245,$AE245)</f>
        <v>N/A</v>
      </c>
      <c r="G245" t="str" cm="1">
        <f t="array" ref="G245">INDEX(FX_Calcs,$AA245,$AE245)</f>
        <v>N/A</v>
      </c>
      <c r="H245" t="str" cm="1">
        <f t="array" ref="H245">INDEX(FX_Calcs,$AA245,$AE245)</f>
        <v>N/A</v>
      </c>
      <c r="I245" t="str" cm="1">
        <f t="array" ref="I245">INDEX(FX_Calcs,$AA245,$AE245)</f>
        <v>N/A</v>
      </c>
      <c r="J245" t="str" cm="1">
        <f t="array" ref="J245">INDEX(FX_Calcs,$AA245,$AE245)</f>
        <v>N/A</v>
      </c>
      <c r="K245" t="str" cm="1">
        <f t="array" ref="K245">INDEX(FX_Calcs,$AA245,$AE245)</f>
        <v>N/A</v>
      </c>
      <c r="L245" t="str" cm="1">
        <f t="array" ref="L245">INDEX(FX_Calcs,$AA245,$AE245)</f>
        <v>N/A</v>
      </c>
      <c r="M245" t="str" cm="1">
        <f t="array" ref="M245">INDEX(FX_Calcs,$AA245,$AE245)</f>
        <v>N/A</v>
      </c>
      <c r="N245" t="str" cm="1">
        <f t="array" ref="N245">INDEX(FX_Calcs,$AA245,$AE245)</f>
        <v>N/A</v>
      </c>
      <c r="O245" t="str" cm="1">
        <f t="array" ref="O245">INDEX(FX_Calcs,$AA245,$AE245)</f>
        <v>N/A</v>
      </c>
      <c r="P245" t="str" cm="1">
        <f t="array" ref="P245">INDEX(FX_Calcs,$AA245,$AE245)</f>
        <v>N/A</v>
      </c>
      <c r="AA245">
        <f>AA244</f>
        <v>18</v>
      </c>
      <c r="AB245">
        <f t="shared" si="603"/>
        <v>6</v>
      </c>
      <c r="AC245">
        <f t="shared" si="604"/>
        <v>3</v>
      </c>
      <c r="AD245">
        <f t="shared" si="604"/>
        <v>13</v>
      </c>
      <c r="AE245">
        <f t="shared" si="604"/>
        <v>12</v>
      </c>
      <c r="AF245">
        <f t="shared" si="604"/>
        <v>14</v>
      </c>
      <c r="AG245">
        <f t="shared" si="605"/>
        <v>77</v>
      </c>
      <c r="AH245">
        <f t="shared" si="606"/>
        <v>78</v>
      </c>
      <c r="AI245">
        <f t="shared" si="607"/>
        <v>1</v>
      </c>
      <c r="AJ245">
        <f t="shared" si="608"/>
        <v>2</v>
      </c>
      <c r="AK245">
        <f t="shared" si="609"/>
        <v>1</v>
      </c>
      <c r="AL245">
        <f t="shared" si="610"/>
        <v>76</v>
      </c>
    </row>
    <row r="246" spans="1:38" ht="17.149999999999999" x14ac:dyDescent="0.4">
      <c r="B246" t="str">
        <f t="shared" ref="B246:B247" si="611">B245</f>
        <v>Portland</v>
      </c>
      <c r="C246" s="66" t="s">
        <v>513</v>
      </c>
      <c r="D246" t="str" cm="1">
        <f t="array" ref="D246">INDEX(FX_Calcs,$AA246,$AD246)</f>
        <v>N/A</v>
      </c>
      <c r="E246" t="str" cm="1">
        <f t="array" ref="E246">INDEX(FX_Calcs,$AA246,$AD246)</f>
        <v>N/A</v>
      </c>
      <c r="F246" t="str" cm="1">
        <f t="array" ref="F246">INDEX(FX_Calcs,$AA246,$AD246)</f>
        <v>N/A</v>
      </c>
      <c r="G246" t="str" cm="1">
        <f t="array" ref="G246">INDEX(FX_Calcs,$AA246,$AD246)</f>
        <v>N/A</v>
      </c>
      <c r="H246" t="str" cm="1">
        <f t="array" ref="H246">INDEX(FX_Calcs,$AA246,$AD246)</f>
        <v>N/A</v>
      </c>
      <c r="I246" t="str" cm="1">
        <f t="array" ref="I246">INDEX(FX_Calcs,$AA246,$AD246)</f>
        <v>N/A</v>
      </c>
      <c r="J246" t="str" cm="1">
        <f t="array" ref="J246">INDEX(FX_Calcs,$AA246,$AD246)</f>
        <v>N/A</v>
      </c>
      <c r="K246" t="str" cm="1">
        <f t="array" ref="K246">INDEX(FX_Calcs,$AA246,$AD246)</f>
        <v>N/A</v>
      </c>
      <c r="L246" t="str" cm="1">
        <f t="array" ref="L246">INDEX(FX_Calcs,$AA246,$AD246)</f>
        <v>N/A</v>
      </c>
      <c r="M246" t="str" cm="1">
        <f t="array" ref="M246">INDEX(FX_Calcs,$AA246,$AD246)</f>
        <v>N/A</v>
      </c>
      <c r="N246" t="str" cm="1">
        <f t="array" ref="N246">INDEX(FX_Calcs,$AA246,$AD246)</f>
        <v>N/A</v>
      </c>
      <c r="O246" t="str" cm="1">
        <f t="array" ref="O246">INDEX(FX_Calcs,$AA246,$AD246)</f>
        <v>N/A</v>
      </c>
      <c r="P246" t="str" cm="1">
        <f t="array" ref="P246">INDEX(FX_Calcs,$AA246,$AD246)</f>
        <v>N/A</v>
      </c>
      <c r="AA246">
        <f>AA245</f>
        <v>18</v>
      </c>
      <c r="AB246">
        <f t="shared" si="603"/>
        <v>6</v>
      </c>
      <c r="AC246">
        <f t="shared" si="604"/>
        <v>3</v>
      </c>
      <c r="AD246">
        <f t="shared" si="604"/>
        <v>13</v>
      </c>
      <c r="AE246">
        <f t="shared" si="604"/>
        <v>12</v>
      </c>
      <c r="AF246">
        <f t="shared" si="604"/>
        <v>14</v>
      </c>
      <c r="AG246">
        <f t="shared" si="605"/>
        <v>77</v>
      </c>
      <c r="AH246">
        <f t="shared" si="606"/>
        <v>78</v>
      </c>
      <c r="AI246">
        <f t="shared" si="607"/>
        <v>1</v>
      </c>
      <c r="AJ246">
        <f t="shared" si="608"/>
        <v>2</v>
      </c>
      <c r="AK246">
        <f t="shared" si="609"/>
        <v>1</v>
      </c>
      <c r="AL246">
        <f t="shared" si="610"/>
        <v>76</v>
      </c>
    </row>
    <row r="247" spans="1:38" x14ac:dyDescent="0.4">
      <c r="B247" t="str">
        <f t="shared" si="611"/>
        <v>Portland</v>
      </c>
      <c r="C247" s="66" t="s">
        <v>558</v>
      </c>
      <c r="D247" t="str" cm="1">
        <f t="array" ref="D247">INDEX(FX_Calcs,$AA247,$AF247)</f>
        <v>Insulated</v>
      </c>
      <c r="E247" t="str" cm="1">
        <f t="array" ref="E247">INDEX(FX_Calcs,$AA247,$AF247)</f>
        <v>Insulated</v>
      </c>
      <c r="F247" t="str" cm="1">
        <f t="array" ref="F247">INDEX(FX_Calcs,$AA247,$AF247)</f>
        <v>Insulated</v>
      </c>
      <c r="G247" t="str" cm="1">
        <f t="array" ref="G247">INDEX(FX_Calcs,$AA247,$AF247)</f>
        <v>Insulated</v>
      </c>
      <c r="H247" t="str" cm="1">
        <f t="array" ref="H247">INDEX(FX_Calcs,$AA247,$AF247)</f>
        <v>Insulated</v>
      </c>
      <c r="I247" t="str" cm="1">
        <f t="array" ref="I247">INDEX(FX_Calcs,$AA247,$AF247)</f>
        <v>Insulated</v>
      </c>
      <c r="J247" t="str" cm="1">
        <f t="array" ref="J247">INDEX(FX_Calcs,$AA247,$AF247)</f>
        <v>Insulated</v>
      </c>
      <c r="K247" t="str" cm="1">
        <f t="array" ref="K247">INDEX(FX_Calcs,$AA247,$AF247)</f>
        <v>Insulated</v>
      </c>
      <c r="L247" t="str" cm="1">
        <f t="array" ref="L247">INDEX(FX_Calcs,$AA247,$AF247)</f>
        <v>Insulated</v>
      </c>
      <c r="M247" t="str" cm="1">
        <f t="array" ref="M247">INDEX(FX_Calcs,$AA247,$AF247)</f>
        <v>Insulated</v>
      </c>
      <c r="N247" t="str" cm="1">
        <f t="array" ref="N247">INDEX(FX_Calcs,$AA247,$AF247)</f>
        <v>Insulated</v>
      </c>
      <c r="O247" t="str" cm="1">
        <f t="array" ref="O247">INDEX(FX_Calcs,$AA247,$AF247)</f>
        <v>Insulated</v>
      </c>
      <c r="P247" t="str" cm="1">
        <f t="array" ref="P247">INDEX(FX_Calcs,$AA247,$AF247)</f>
        <v>Insulated</v>
      </c>
      <c r="AA247">
        <f>AA246</f>
        <v>18</v>
      </c>
      <c r="AB247">
        <f t="shared" si="603"/>
        <v>6</v>
      </c>
      <c r="AC247">
        <f t="shared" si="604"/>
        <v>3</v>
      </c>
      <c r="AD247">
        <f t="shared" si="604"/>
        <v>13</v>
      </c>
      <c r="AE247">
        <f t="shared" si="604"/>
        <v>12</v>
      </c>
      <c r="AF247">
        <f t="shared" si="604"/>
        <v>14</v>
      </c>
      <c r="AG247">
        <f t="shared" si="605"/>
        <v>77</v>
      </c>
      <c r="AH247">
        <f t="shared" si="606"/>
        <v>78</v>
      </c>
      <c r="AI247">
        <f t="shared" si="607"/>
        <v>1</v>
      </c>
      <c r="AJ247">
        <f t="shared" si="608"/>
        <v>2</v>
      </c>
      <c r="AK247">
        <f t="shared" si="609"/>
        <v>1</v>
      </c>
      <c r="AL247">
        <f t="shared" si="610"/>
        <v>76</v>
      </c>
    </row>
    <row r="248" spans="1:38" ht="17.149999999999999" x14ac:dyDescent="0.55000000000000004">
      <c r="B248" t="str">
        <f>B244</f>
        <v>Portland</v>
      </c>
      <c r="C248" t="s">
        <v>512</v>
      </c>
      <c r="D248">
        <f t="shared" ref="D248:P248" si="612">D244-D243</f>
        <v>10.400000000000034</v>
      </c>
      <c r="E248">
        <f t="shared" si="612"/>
        <v>13.199999999999989</v>
      </c>
      <c r="F248">
        <f t="shared" si="612"/>
        <v>13.200000000000045</v>
      </c>
      <c r="G248">
        <f t="shared" si="612"/>
        <v>13.399999999999977</v>
      </c>
      <c r="H248">
        <f t="shared" si="612"/>
        <v>13.299999999999955</v>
      </c>
      <c r="I248">
        <f t="shared" si="612"/>
        <v>12.500000000000057</v>
      </c>
      <c r="J248">
        <f t="shared" si="612"/>
        <v>12.699999999999932</v>
      </c>
      <c r="K248">
        <f t="shared" si="612"/>
        <v>13.600000000000023</v>
      </c>
      <c r="L248">
        <f t="shared" si="612"/>
        <v>16.399999999999977</v>
      </c>
      <c r="M248">
        <f t="shared" si="612"/>
        <v>14.699999999999989</v>
      </c>
      <c r="N248">
        <f t="shared" si="612"/>
        <v>12.200000000000045</v>
      </c>
      <c r="O248">
        <f t="shared" si="612"/>
        <v>10</v>
      </c>
      <c r="P248">
        <f t="shared" si="612"/>
        <v>13</v>
      </c>
    </row>
    <row r="249" spans="1:38" x14ac:dyDescent="0.4">
      <c r="B249" t="str">
        <f t="shared" ref="B249:B256" si="613">B248</f>
        <v>Portland</v>
      </c>
      <c r="C249" t="s">
        <v>260</v>
      </c>
      <c r="D249">
        <f t="shared" ref="D249:P249" si="614">VLOOKUP(VLOOKUP($B249,Terminal_X_Ref,2,FALSE)&amp;$C249,Weather_Data,$Y249*D$3+$Z249,FALSE)</f>
        <v>343</v>
      </c>
      <c r="E249">
        <f t="shared" si="614"/>
        <v>600</v>
      </c>
      <c r="F249">
        <f t="shared" si="614"/>
        <v>877</v>
      </c>
      <c r="G249">
        <f t="shared" si="614"/>
        <v>1252</v>
      </c>
      <c r="H249">
        <f t="shared" si="614"/>
        <v>1537</v>
      </c>
      <c r="I249">
        <f t="shared" si="614"/>
        <v>1627</v>
      </c>
      <c r="J249">
        <f t="shared" si="614"/>
        <v>1708</v>
      </c>
      <c r="K249">
        <f t="shared" si="614"/>
        <v>1492</v>
      </c>
      <c r="L249">
        <f t="shared" si="614"/>
        <v>1196</v>
      </c>
      <c r="M249">
        <f t="shared" si="614"/>
        <v>728</v>
      </c>
      <c r="N249">
        <f t="shared" si="614"/>
        <v>391</v>
      </c>
      <c r="O249">
        <f t="shared" si="614"/>
        <v>302</v>
      </c>
      <c r="P249">
        <f t="shared" si="614"/>
        <v>1005</v>
      </c>
      <c r="U249">
        <f>U244</f>
        <v>2</v>
      </c>
      <c r="V249">
        <f t="shared" ref="V249:Z249" si="615">V244</f>
        <v>3</v>
      </c>
      <c r="W249">
        <f t="shared" si="615"/>
        <v>1</v>
      </c>
      <c r="X249">
        <f t="shared" si="615"/>
        <v>2</v>
      </c>
      <c r="Y249">
        <f t="shared" si="615"/>
        <v>1</v>
      </c>
      <c r="Z249">
        <f t="shared" si="615"/>
        <v>1</v>
      </c>
    </row>
    <row r="250" spans="1:38" ht="17.149999999999999" x14ac:dyDescent="0.55000000000000004">
      <c r="B250" t="str">
        <f t="shared" si="613"/>
        <v>Portland</v>
      </c>
      <c r="C250" t="s">
        <v>523</v>
      </c>
      <c r="D250">
        <f>IF(ISNUMBER(D247),0.7*D248+0.02*D247*D249,IF(D247="Partially Insulated",0.6*D248+0.02*D246*D249,0))</f>
        <v>0</v>
      </c>
      <c r="E250">
        <f t="shared" ref="E250:P250" si="616">IF(ISNUMBER(E247),0.7*E248+0.02*E247*E249,IF(E247="Partially Insulated",0.6*E248+0.02*E246*E249,0))</f>
        <v>0</v>
      </c>
      <c r="F250">
        <f t="shared" si="616"/>
        <v>0</v>
      </c>
      <c r="G250">
        <f t="shared" si="616"/>
        <v>0</v>
      </c>
      <c r="H250">
        <f t="shared" si="616"/>
        <v>0</v>
      </c>
      <c r="I250">
        <f t="shared" si="616"/>
        <v>0</v>
      </c>
      <c r="J250">
        <f t="shared" si="616"/>
        <v>0</v>
      </c>
      <c r="K250">
        <f t="shared" si="616"/>
        <v>0</v>
      </c>
      <c r="L250">
        <f t="shared" si="616"/>
        <v>0</v>
      </c>
      <c r="M250">
        <f t="shared" si="616"/>
        <v>0</v>
      </c>
      <c r="N250">
        <f t="shared" si="616"/>
        <v>0</v>
      </c>
      <c r="O250">
        <f t="shared" si="616"/>
        <v>0</v>
      </c>
      <c r="P250">
        <f t="shared" si="616"/>
        <v>0</v>
      </c>
    </row>
    <row r="251" spans="1:38" ht="17.149999999999999" x14ac:dyDescent="0.55000000000000004">
      <c r="B251" t="str">
        <f t="shared" si="613"/>
        <v>Portland</v>
      </c>
      <c r="C251" t="s">
        <v>524</v>
      </c>
      <c r="D251">
        <f t="shared" ref="D251:F251" si="617">AVERAGE(D243:D244)</f>
        <v>503.5</v>
      </c>
      <c r="E251">
        <f t="shared" si="617"/>
        <v>504.30000000000007</v>
      </c>
      <c r="F251">
        <f t="shared" si="617"/>
        <v>505.70000000000005</v>
      </c>
      <c r="G251">
        <f>AVERAGE(G243:G244)</f>
        <v>508.2</v>
      </c>
      <c r="H251">
        <f t="shared" ref="H251:P251" si="618">AVERAGE(H243:H244)</f>
        <v>512.75</v>
      </c>
      <c r="I251">
        <f t="shared" si="618"/>
        <v>516.55000000000007</v>
      </c>
      <c r="J251">
        <f t="shared" si="618"/>
        <v>520.04999999999995</v>
      </c>
      <c r="K251">
        <f t="shared" si="618"/>
        <v>520.5</v>
      </c>
      <c r="L251">
        <f t="shared" si="618"/>
        <v>518.20000000000005</v>
      </c>
      <c r="M251">
        <f t="shared" si="618"/>
        <v>512.25</v>
      </c>
      <c r="N251">
        <f t="shared" si="618"/>
        <v>506.70000000000005</v>
      </c>
      <c r="O251">
        <f t="shared" si="618"/>
        <v>503.20000000000005</v>
      </c>
      <c r="P251">
        <f t="shared" si="618"/>
        <v>51.4</v>
      </c>
    </row>
    <row r="252" spans="1:38" ht="17.149999999999999" x14ac:dyDescent="0.55000000000000004">
      <c r="B252" t="str">
        <f t="shared" si="613"/>
        <v>Portland</v>
      </c>
      <c r="C252" t="s">
        <v>525</v>
      </c>
      <c r="D252" cm="1">
        <f t="array" ref="D252">IFERROR(IF(ISBLANK(INDEX(FX_Input,$R243,D$3*$AK243+$AL243)),D251+0.003*D245*D249,INDEX(FX_Input,$R243,D$3*$AK243+$AL243)+459.6),D251)</f>
        <v>503.5</v>
      </c>
      <c r="E252" cm="1">
        <f t="array" ref="E252">IFERROR(IF(ISBLANK(INDEX(FX_Input,$R243,E$3*$AK243+$AL243)),E251+0.003*E245*E249,INDEX(FX_Input,$R243,E$3*$AK243+$AL243)+459.6),E251)</f>
        <v>504.30000000000007</v>
      </c>
      <c r="F252" cm="1">
        <f t="array" ref="F252">IFERROR(IF(ISBLANK(INDEX(FX_Input,$R243,F$3*$AK243+$AL243)),F251+0.003*F245*F249,INDEX(FX_Input,$R243,F$3*$AK243+$AL243)+459.6),F251)</f>
        <v>505.70000000000005</v>
      </c>
      <c r="G252" cm="1">
        <f t="array" ref="G252">IFERROR(IF(ISBLANK(INDEX(FX_Input,$R243,G$3*$AK243+$AL243)),G251+0.003*G245*G249,INDEX(FX_Input,$R243,G$3*$AK243+$AL243)+459.6),G251)</f>
        <v>508.2</v>
      </c>
      <c r="H252" cm="1">
        <f t="array" ref="H252">IFERROR(IF(ISBLANK(INDEX(FX_Input,$R243,H$3*$AK243+$AL243)),H251+0.003*H245*H249,INDEX(FX_Input,$R243,H$3*$AK243+$AL243)+459.6),H251)</f>
        <v>512.75</v>
      </c>
      <c r="I252" cm="1">
        <f t="array" ref="I252">IFERROR(IF(ISBLANK(INDEX(FX_Input,$R243,I$3*$AK243+$AL243)),I251+0.003*I245*I249,INDEX(FX_Input,$R243,I$3*$AK243+$AL243)+459.6),I251)</f>
        <v>516.55000000000007</v>
      </c>
      <c r="J252" cm="1">
        <f t="array" ref="J252">IFERROR(IF(ISBLANK(INDEX(FX_Input,$R243,J$3*$AK243+$AL243)),J251+0.003*J245*J249,INDEX(FX_Input,$R243,J$3*$AK243+$AL243)+459.6),J251)</f>
        <v>520.04999999999995</v>
      </c>
      <c r="K252" cm="1">
        <f t="array" ref="K252">IFERROR(IF(ISBLANK(INDEX(FX_Input,$R243,K$3*$AK243+$AL243)),K251+0.003*K245*K249,INDEX(FX_Input,$R243,K$3*$AK243+$AL243)+459.6),K251)</f>
        <v>520.5</v>
      </c>
      <c r="L252" cm="1">
        <f t="array" ref="L252">IFERROR(IF(ISBLANK(INDEX(FX_Input,$R243,L$3*$AK243+$AL243)),L251+0.003*L245*L249,INDEX(FX_Input,$R243,L$3*$AK243+$AL243)+459.6),L251)</f>
        <v>518.20000000000005</v>
      </c>
      <c r="M252" cm="1">
        <f t="array" ref="M252">IFERROR(IF(ISBLANK(INDEX(FX_Input,$R243,M$3*$AK243+$AL243)),M251+0.003*M245*M249,INDEX(FX_Input,$R243,M$3*$AK243+$AL243)+459.6),M251)</f>
        <v>512.25</v>
      </c>
      <c r="N252" cm="1">
        <f t="array" ref="N252">IFERROR(IF(ISBLANK(INDEX(FX_Input,$R243,N$3*$AK243+$AL243)),N251+0.003*N245*N249,INDEX(FX_Input,$R243,N$3*$AK243+$AL243)+459.6),N251)</f>
        <v>506.70000000000005</v>
      </c>
      <c r="O252" cm="1">
        <f t="array" ref="O252">IFERROR(IF(ISBLANK(INDEX(FX_Input,$R243,O$3*$AK243+$AL243)),O251+0.003*O245*O249,INDEX(FX_Input,$R243,O$3*$AK243+$AL243)+459.6),O251)</f>
        <v>503.20000000000005</v>
      </c>
      <c r="P252" cm="1">
        <f t="array" ref="P252">IFERROR(IF(ISBLANK(INDEX(FX_Input,$R243,P$3*$AK243+$AL243)),P251+0.003*P245*P249,INDEX(FX_Input,$R243,P$3*$AK243+$AL243)+459.6),P251)</f>
        <v>11649.6</v>
      </c>
    </row>
    <row r="253" spans="1:38" ht="17.149999999999999" x14ac:dyDescent="0.55000000000000004">
      <c r="B253" t="str">
        <f t="shared" si="613"/>
        <v>Portland</v>
      </c>
      <c r="C253" t="s">
        <v>526</v>
      </c>
      <c r="D253">
        <f>IF(ISNUMBER(D247),0.4*D243+0.6*D252+0.005*D247*D249,IF(D247="Partially Insulated",0.3*D251+0.7*D252+0.005*D246*D249,D252))-459.6</f>
        <v>43.899999999999977</v>
      </c>
      <c r="E253">
        <f t="shared" ref="E253" si="619">IF(ISNUMBER(E247),0.4*E243+0.6*E252+0.005*E247*E249,IF(E247="Partially Insulated",0.3*E251+0.7*E252+0.005*E246*E249,E252))-459.6</f>
        <v>44.700000000000045</v>
      </c>
      <c r="F253">
        <f t="shared" ref="F253" si="620">IF(ISNUMBER(F247),0.4*F243+0.6*F252+0.005*F247*F249,IF(F247="Partially Insulated",0.3*F251+0.7*F252+0.005*F246*F249,F252))-459.6</f>
        <v>46.100000000000023</v>
      </c>
      <c r="G253">
        <f t="shared" ref="G253" si="621">IF(ISNUMBER(G247),0.4*G243+0.6*G252+0.005*G247*G249,IF(G247="Partially Insulated",0.3*G251+0.7*G252+0.005*G246*G249,G252))-459.6</f>
        <v>48.599999999999966</v>
      </c>
      <c r="H253">
        <f t="shared" ref="H253" si="622">IF(ISNUMBER(H247),0.4*H243+0.6*H252+0.005*H247*H249,IF(H247="Partially Insulated",0.3*H251+0.7*H252+0.005*H246*H249,H252))-459.6</f>
        <v>53.149999999999977</v>
      </c>
      <c r="I253">
        <f t="shared" ref="I253" si="623">IF(ISNUMBER(I247),0.4*I243+0.6*I252+0.005*I247*I249,IF(I247="Partially Insulated",0.3*I251+0.7*I252+0.005*I246*I249,I252))-459.6</f>
        <v>56.950000000000045</v>
      </c>
      <c r="J253">
        <f t="shared" ref="J253" si="624">IF(ISNUMBER(J247),0.4*J243+0.6*J252+0.005*J247*J249,IF(J247="Partially Insulated",0.3*J251+0.7*J252+0.005*J246*J249,J252))-459.6</f>
        <v>60.449999999999932</v>
      </c>
      <c r="K253">
        <f t="shared" ref="K253" si="625">IF(ISNUMBER(K247),0.4*K243+0.6*K252+0.005*K247*K249,IF(K247="Partially Insulated",0.3*K251+0.7*K252+0.005*K246*K249,K252))-459.6</f>
        <v>60.899999999999977</v>
      </c>
      <c r="L253">
        <f t="shared" ref="L253" si="626">IF(ISNUMBER(L247),0.4*L243+0.6*L252+0.005*L247*L249,IF(L247="Partially Insulated",0.3*L251+0.7*L252+0.005*L246*L249,L252))-459.6</f>
        <v>58.600000000000023</v>
      </c>
      <c r="M253">
        <f t="shared" ref="M253" si="627">IF(ISNUMBER(M247),0.4*M243+0.6*M252+0.005*M247*M249,IF(M247="Partially Insulated",0.3*M251+0.7*M252+0.005*M246*M249,M252))-459.6</f>
        <v>52.649999999999977</v>
      </c>
      <c r="N253">
        <f t="shared" ref="N253" si="628">IF(ISNUMBER(N247),0.4*N243+0.6*N252+0.005*N247*N249,IF(N247="Partially Insulated",0.3*N251+0.7*N252+0.005*N246*N249,N252))-459.6</f>
        <v>47.100000000000023</v>
      </c>
      <c r="O253">
        <f t="shared" ref="O253" si="629">IF(ISNUMBER(O247),0.4*O243+0.6*O252+0.005*O247*O249,IF(O247="Partially Insulated",0.3*O251+0.7*O252+0.005*O246*O249,O252))-459.6</f>
        <v>43.600000000000023</v>
      </c>
      <c r="P253">
        <f>AVERAGE(D253:O253)</f>
        <v>51.391666666666673</v>
      </c>
    </row>
    <row r="254" spans="1:38" ht="17.149999999999999" x14ac:dyDescent="0.55000000000000004">
      <c r="B254" t="str">
        <f t="shared" si="613"/>
        <v>Portland</v>
      </c>
      <c r="C254" t="s">
        <v>527</v>
      </c>
      <c r="D254">
        <f>IF(ISNUMBER(D247),0.4*D244+0.6*D252+0.005*D247*D249,IF(D247="Partially Insulated",0.3*D251+0.7*D252+0.005*D246*D249,D252))-459.6</f>
        <v>43.899999999999977</v>
      </c>
      <c r="E254">
        <f t="shared" ref="E254:O254" si="630">IF(ISNUMBER(E247),0.4*E244+0.6*E252+0.005*E247*E249,IF(E247="Partially Insulated",0.3*E251+0.7*E252+0.005*E246*E249,E252))-459.6</f>
        <v>44.700000000000045</v>
      </c>
      <c r="F254">
        <f t="shared" si="630"/>
        <v>46.100000000000023</v>
      </c>
      <c r="G254">
        <f t="shared" si="630"/>
        <v>48.599999999999966</v>
      </c>
      <c r="H254">
        <f t="shared" si="630"/>
        <v>53.149999999999977</v>
      </c>
      <c r="I254">
        <f t="shared" si="630"/>
        <v>56.950000000000045</v>
      </c>
      <c r="J254">
        <f t="shared" si="630"/>
        <v>60.449999999999932</v>
      </c>
      <c r="K254">
        <f t="shared" si="630"/>
        <v>60.899999999999977</v>
      </c>
      <c r="L254">
        <f t="shared" si="630"/>
        <v>58.600000000000023</v>
      </c>
      <c r="M254">
        <f t="shared" si="630"/>
        <v>52.649999999999977</v>
      </c>
      <c r="N254">
        <f t="shared" si="630"/>
        <v>47.100000000000023</v>
      </c>
      <c r="O254">
        <f t="shared" si="630"/>
        <v>43.600000000000023</v>
      </c>
      <c r="P254">
        <f>AVERAGE(D254:O254)</f>
        <v>51.391666666666673</v>
      </c>
    </row>
    <row r="255" spans="1:38" ht="17.149999999999999" x14ac:dyDescent="0.55000000000000004">
      <c r="B255" t="str">
        <f t="shared" si="613"/>
        <v>Portland</v>
      </c>
      <c r="C255" t="s">
        <v>552</v>
      </c>
      <c r="D255">
        <f>IF(ISNUMBER(D247),0.4*D251+0.6*D252+0.005*D247*D249,IF(D247="Partially Insulated",0.3*D251+0.7*D252+0.005*D246*D249,D252))-459.6</f>
        <v>43.899999999999977</v>
      </c>
      <c r="E255">
        <f t="shared" ref="E255:O255" si="631">IF(ISNUMBER(E247),0.4*E251+0.6*E252+0.005*E247*E249,IF(E247="Partially Insulated",0.3*E251+0.7*E252+0.005*E246*E249,E252))-459.6</f>
        <v>44.700000000000045</v>
      </c>
      <c r="F255">
        <f t="shared" si="631"/>
        <v>46.100000000000023</v>
      </c>
      <c r="G255">
        <f t="shared" si="631"/>
        <v>48.599999999999966</v>
      </c>
      <c r="H255">
        <f t="shared" si="631"/>
        <v>53.149999999999977</v>
      </c>
      <c r="I255">
        <f t="shared" si="631"/>
        <v>56.950000000000045</v>
      </c>
      <c r="J255">
        <f t="shared" si="631"/>
        <v>60.449999999999932</v>
      </c>
      <c r="K255">
        <f t="shared" si="631"/>
        <v>60.899999999999977</v>
      </c>
      <c r="L255">
        <f t="shared" si="631"/>
        <v>58.600000000000023</v>
      </c>
      <c r="M255">
        <f t="shared" si="631"/>
        <v>52.649999999999977</v>
      </c>
      <c r="N255">
        <f t="shared" si="631"/>
        <v>47.100000000000023</v>
      </c>
      <c r="O255">
        <f t="shared" si="631"/>
        <v>43.600000000000023</v>
      </c>
      <c r="P255">
        <f>AVERAGE(D255:O255)</f>
        <v>51.391666666666673</v>
      </c>
    </row>
    <row r="256" spans="1:38" ht="17.149999999999999" x14ac:dyDescent="0.55000000000000004">
      <c r="A256" s="11"/>
      <c r="B256" s="11" t="str">
        <f t="shared" si="613"/>
        <v>Portland</v>
      </c>
      <c r="C256" s="11" t="s">
        <v>553</v>
      </c>
      <c r="D256" s="11">
        <f>IF(ISNUMBER(D247),0.7*D251+0.3*D252+0.009*D247*D249,IF(D247="Partially Insulated",0.6*D251+0.4*D252+0.01*D246*D249,D252))-459.6</f>
        <v>43.899999999999977</v>
      </c>
      <c r="E256" s="11">
        <f t="shared" ref="E256:O256" si="632">IF(ISNUMBER(E247),0.7*E251+0.3*E252+0.009*E247*E249,IF(E247="Partially Insulated",0.6*E251+0.4*E252+0.01*E246*E249,E252))-459.6</f>
        <v>44.700000000000045</v>
      </c>
      <c r="F256" s="11">
        <f t="shared" si="632"/>
        <v>46.100000000000023</v>
      </c>
      <c r="G256" s="11">
        <f t="shared" si="632"/>
        <v>48.599999999999966</v>
      </c>
      <c r="H256" s="11">
        <f t="shared" si="632"/>
        <v>53.149999999999977</v>
      </c>
      <c r="I256" s="11">
        <f t="shared" si="632"/>
        <v>56.950000000000045</v>
      </c>
      <c r="J256" s="11">
        <f t="shared" si="632"/>
        <v>60.449999999999932</v>
      </c>
      <c r="K256" s="11">
        <f t="shared" si="632"/>
        <v>60.899999999999977</v>
      </c>
      <c r="L256" s="11">
        <f t="shared" si="632"/>
        <v>58.600000000000023</v>
      </c>
      <c r="M256" s="11">
        <f t="shared" si="632"/>
        <v>52.649999999999977</v>
      </c>
      <c r="N256" s="11">
        <f t="shared" si="632"/>
        <v>47.100000000000023</v>
      </c>
      <c r="O256" s="11">
        <f t="shared" si="632"/>
        <v>43.600000000000023</v>
      </c>
      <c r="P256" s="11">
        <f>AVERAGE(D256:O256)</f>
        <v>51.391666666666673</v>
      </c>
      <c r="Q256" s="11"/>
      <c r="R256" s="11"/>
      <c r="S256" s="11"/>
      <c r="T256" s="11"/>
      <c r="U256" s="11"/>
      <c r="V256" s="11"/>
      <c r="W256" s="11"/>
      <c r="X256" s="11"/>
      <c r="Y256" s="11"/>
      <c r="Z256" s="11"/>
      <c r="AA256" s="11"/>
      <c r="AB256" s="11"/>
      <c r="AC256" s="11"/>
      <c r="AD256" s="11"/>
      <c r="AE256" s="11"/>
      <c r="AF256" s="11"/>
      <c r="AG256" s="11"/>
      <c r="AH256" s="11"/>
      <c r="AI256" s="11"/>
      <c r="AJ256" s="11"/>
      <c r="AK256" s="11"/>
      <c r="AL256" s="11"/>
    </row>
    <row r="257" spans="1:38" ht="17.149999999999999" x14ac:dyDescent="0.55000000000000004">
      <c r="A257" t="str" cm="1">
        <f t="array" ref="A257">INDEX(FX_Input,$R257,S$5)</f>
        <v>FX - 19</v>
      </c>
      <c r="B257" t="str" cm="1">
        <f t="array" ref="B257">INDEX(FX_Input,R257,T257)</f>
        <v>Portland</v>
      </c>
      <c r="C257" t="s">
        <v>510</v>
      </c>
      <c r="D257">
        <f t="shared" ref="D257:O258" si="633">VLOOKUP(VLOOKUP($B257,Terminal_X_Ref,2,FALSE)&amp;$C257,Weather_Data,$Y257*D$3+$Z257,FALSE)+459.6</f>
        <v>498.3</v>
      </c>
      <c r="E257">
        <f t="shared" si="633"/>
        <v>497.70000000000005</v>
      </c>
      <c r="F257">
        <f t="shared" si="633"/>
        <v>499.1</v>
      </c>
      <c r="G257">
        <f t="shared" si="633"/>
        <v>501.5</v>
      </c>
      <c r="H257">
        <f t="shared" si="633"/>
        <v>506.1</v>
      </c>
      <c r="I257">
        <f t="shared" si="633"/>
        <v>510.3</v>
      </c>
      <c r="J257">
        <f t="shared" si="633"/>
        <v>513.70000000000005</v>
      </c>
      <c r="K257">
        <f t="shared" si="633"/>
        <v>513.70000000000005</v>
      </c>
      <c r="L257">
        <f t="shared" si="633"/>
        <v>510</v>
      </c>
      <c r="M257">
        <f t="shared" si="633"/>
        <v>504.90000000000003</v>
      </c>
      <c r="N257">
        <f t="shared" si="633"/>
        <v>500.6</v>
      </c>
      <c r="O257">
        <f t="shared" si="633"/>
        <v>498.20000000000005</v>
      </c>
      <c r="P257">
        <f t="shared" ref="P257:P258" si="634">VLOOKUP(VLOOKUP($B257,Terminal_X_Ref,2,FALSE)&amp;$C257,Weather_Data,$Y257*P$3+$Z257,FALSE)</f>
        <v>44.9</v>
      </c>
      <c r="R257">
        <f>R243+2</f>
        <v>37</v>
      </c>
      <c r="S257">
        <f>S243+1</f>
        <v>19</v>
      </c>
      <c r="T257">
        <v>3</v>
      </c>
      <c r="U257">
        <v>2</v>
      </c>
      <c r="V257">
        <v>3</v>
      </c>
      <c r="W257">
        <v>1</v>
      </c>
      <c r="X257">
        <v>2</v>
      </c>
      <c r="Y257">
        <f>(V257-U257)/(X257-W257)</f>
        <v>1</v>
      </c>
      <c r="Z257">
        <f>U257-Y257*W257</f>
        <v>1</v>
      </c>
      <c r="AA257">
        <f>AA243+1</f>
        <v>19</v>
      </c>
      <c r="AB257">
        <v>6</v>
      </c>
      <c r="AC257">
        <v>3</v>
      </c>
      <c r="AD257">
        <v>13</v>
      </c>
      <c r="AE257">
        <v>12</v>
      </c>
      <c r="AF257">
        <v>14</v>
      </c>
      <c r="AG257">
        <v>77</v>
      </c>
      <c r="AH257">
        <v>78</v>
      </c>
      <c r="AI257">
        <v>1</v>
      </c>
      <c r="AJ257">
        <v>2</v>
      </c>
      <c r="AK257">
        <f>(AH257-AG257)/(AJ257-AI257)</f>
        <v>1</v>
      </c>
      <c r="AL257">
        <f>AG257-AK257*AI257</f>
        <v>76</v>
      </c>
    </row>
    <row r="258" spans="1:38" ht="17.149999999999999" x14ac:dyDescent="0.55000000000000004">
      <c r="B258" t="str">
        <f t="shared" ref="B258" si="635">B257</f>
        <v>Portland</v>
      </c>
      <c r="C258" t="s">
        <v>511</v>
      </c>
      <c r="D258">
        <f t="shared" si="633"/>
        <v>508.70000000000005</v>
      </c>
      <c r="E258">
        <f t="shared" si="633"/>
        <v>510.90000000000003</v>
      </c>
      <c r="F258">
        <f t="shared" si="633"/>
        <v>512.30000000000007</v>
      </c>
      <c r="G258">
        <f t="shared" si="633"/>
        <v>514.9</v>
      </c>
      <c r="H258">
        <f t="shared" si="633"/>
        <v>519.4</v>
      </c>
      <c r="I258">
        <f t="shared" si="633"/>
        <v>522.80000000000007</v>
      </c>
      <c r="J258">
        <f t="shared" si="633"/>
        <v>526.4</v>
      </c>
      <c r="K258">
        <f t="shared" si="633"/>
        <v>527.30000000000007</v>
      </c>
      <c r="L258">
        <f t="shared" si="633"/>
        <v>526.4</v>
      </c>
      <c r="M258">
        <f t="shared" si="633"/>
        <v>519.6</v>
      </c>
      <c r="N258">
        <f t="shared" si="633"/>
        <v>512.80000000000007</v>
      </c>
      <c r="O258">
        <f t="shared" si="633"/>
        <v>508.20000000000005</v>
      </c>
      <c r="P258">
        <f t="shared" si="634"/>
        <v>57.9</v>
      </c>
      <c r="U258">
        <f>U257</f>
        <v>2</v>
      </c>
      <c r="V258">
        <f t="shared" ref="V258:Z258" si="636">V257</f>
        <v>3</v>
      </c>
      <c r="W258">
        <f t="shared" si="636"/>
        <v>1</v>
      </c>
      <c r="X258">
        <f t="shared" si="636"/>
        <v>2</v>
      </c>
      <c r="Y258">
        <f t="shared" si="636"/>
        <v>1</v>
      </c>
      <c r="Z258">
        <f t="shared" si="636"/>
        <v>1</v>
      </c>
      <c r="AA258">
        <f>AA257</f>
        <v>19</v>
      </c>
      <c r="AB258">
        <f t="shared" ref="AB258:AB261" si="637">AB257</f>
        <v>6</v>
      </c>
      <c r="AC258">
        <f t="shared" ref="AC258:AF261" si="638">AC257</f>
        <v>3</v>
      </c>
      <c r="AD258">
        <f t="shared" si="638"/>
        <v>13</v>
      </c>
      <c r="AE258">
        <f t="shared" si="638"/>
        <v>12</v>
      </c>
      <c r="AF258">
        <f t="shared" si="638"/>
        <v>14</v>
      </c>
      <c r="AG258">
        <f t="shared" ref="AG258:AG261" si="639">AG257</f>
        <v>77</v>
      </c>
      <c r="AH258">
        <f t="shared" ref="AH258:AH261" si="640">AH257</f>
        <v>78</v>
      </c>
      <c r="AI258">
        <f t="shared" ref="AI258:AI261" si="641">AI257</f>
        <v>1</v>
      </c>
      <c r="AJ258">
        <f t="shared" ref="AJ258:AJ261" si="642">AJ257</f>
        <v>2</v>
      </c>
      <c r="AK258">
        <f t="shared" ref="AK258:AK261" si="643">AK257</f>
        <v>1</v>
      </c>
      <c r="AL258">
        <f t="shared" ref="AL258:AL261" si="644">AL257</f>
        <v>76</v>
      </c>
    </row>
    <row r="259" spans="1:38" ht="17.149999999999999" x14ac:dyDescent="0.4">
      <c r="B259" t="str">
        <f>B258</f>
        <v>Portland</v>
      </c>
      <c r="C259" s="66" t="s">
        <v>514</v>
      </c>
      <c r="D259" t="str" cm="1">
        <f t="array" ref="D259">INDEX(FX_Calcs,$AA259,$AE259)</f>
        <v>N/A</v>
      </c>
      <c r="E259" t="str" cm="1">
        <f t="array" ref="E259">INDEX(FX_Calcs,$AA259,$AE259)</f>
        <v>N/A</v>
      </c>
      <c r="F259" t="str" cm="1">
        <f t="array" ref="F259">INDEX(FX_Calcs,$AA259,$AE259)</f>
        <v>N/A</v>
      </c>
      <c r="G259" t="str" cm="1">
        <f t="array" ref="G259">INDEX(FX_Calcs,$AA259,$AE259)</f>
        <v>N/A</v>
      </c>
      <c r="H259" t="str" cm="1">
        <f t="array" ref="H259">INDEX(FX_Calcs,$AA259,$AE259)</f>
        <v>N/A</v>
      </c>
      <c r="I259" t="str" cm="1">
        <f t="array" ref="I259">INDEX(FX_Calcs,$AA259,$AE259)</f>
        <v>N/A</v>
      </c>
      <c r="J259" t="str" cm="1">
        <f t="array" ref="J259">INDEX(FX_Calcs,$AA259,$AE259)</f>
        <v>N/A</v>
      </c>
      <c r="K259" t="str" cm="1">
        <f t="array" ref="K259">INDEX(FX_Calcs,$AA259,$AE259)</f>
        <v>N/A</v>
      </c>
      <c r="L259" t="str" cm="1">
        <f t="array" ref="L259">INDEX(FX_Calcs,$AA259,$AE259)</f>
        <v>N/A</v>
      </c>
      <c r="M259" t="str" cm="1">
        <f t="array" ref="M259">INDEX(FX_Calcs,$AA259,$AE259)</f>
        <v>N/A</v>
      </c>
      <c r="N259" t="str" cm="1">
        <f t="array" ref="N259">INDEX(FX_Calcs,$AA259,$AE259)</f>
        <v>N/A</v>
      </c>
      <c r="O259" t="str" cm="1">
        <f t="array" ref="O259">INDEX(FX_Calcs,$AA259,$AE259)</f>
        <v>N/A</v>
      </c>
      <c r="P259" t="str" cm="1">
        <f t="array" ref="P259">INDEX(FX_Calcs,$AA259,$AE259)</f>
        <v>N/A</v>
      </c>
      <c r="AA259">
        <f>AA258</f>
        <v>19</v>
      </c>
      <c r="AB259">
        <f t="shared" si="637"/>
        <v>6</v>
      </c>
      <c r="AC259">
        <f t="shared" si="638"/>
        <v>3</v>
      </c>
      <c r="AD259">
        <f t="shared" si="638"/>
        <v>13</v>
      </c>
      <c r="AE259">
        <f t="shared" si="638"/>
        <v>12</v>
      </c>
      <c r="AF259">
        <f t="shared" si="638"/>
        <v>14</v>
      </c>
      <c r="AG259">
        <f t="shared" si="639"/>
        <v>77</v>
      </c>
      <c r="AH259">
        <f t="shared" si="640"/>
        <v>78</v>
      </c>
      <c r="AI259">
        <f t="shared" si="641"/>
        <v>1</v>
      </c>
      <c r="AJ259">
        <f t="shared" si="642"/>
        <v>2</v>
      </c>
      <c r="AK259">
        <f t="shared" si="643"/>
        <v>1</v>
      </c>
      <c r="AL259">
        <f t="shared" si="644"/>
        <v>76</v>
      </c>
    </row>
    <row r="260" spans="1:38" ht="17.149999999999999" x14ac:dyDescent="0.4">
      <c r="B260" t="str">
        <f t="shared" ref="B260:B261" si="645">B259</f>
        <v>Portland</v>
      </c>
      <c r="C260" s="66" t="s">
        <v>513</v>
      </c>
      <c r="D260" t="str" cm="1">
        <f t="array" ref="D260">INDEX(FX_Calcs,$AA260,$AD260)</f>
        <v>N/A</v>
      </c>
      <c r="E260" t="str" cm="1">
        <f t="array" ref="E260">INDEX(FX_Calcs,$AA260,$AD260)</f>
        <v>N/A</v>
      </c>
      <c r="F260" t="str" cm="1">
        <f t="array" ref="F260">INDEX(FX_Calcs,$AA260,$AD260)</f>
        <v>N/A</v>
      </c>
      <c r="G260" t="str" cm="1">
        <f t="array" ref="G260">INDEX(FX_Calcs,$AA260,$AD260)</f>
        <v>N/A</v>
      </c>
      <c r="H260" t="str" cm="1">
        <f t="array" ref="H260">INDEX(FX_Calcs,$AA260,$AD260)</f>
        <v>N/A</v>
      </c>
      <c r="I260" t="str" cm="1">
        <f t="array" ref="I260">INDEX(FX_Calcs,$AA260,$AD260)</f>
        <v>N/A</v>
      </c>
      <c r="J260" t="str" cm="1">
        <f t="array" ref="J260">INDEX(FX_Calcs,$AA260,$AD260)</f>
        <v>N/A</v>
      </c>
      <c r="K260" t="str" cm="1">
        <f t="array" ref="K260">INDEX(FX_Calcs,$AA260,$AD260)</f>
        <v>N/A</v>
      </c>
      <c r="L260" t="str" cm="1">
        <f t="array" ref="L260">INDEX(FX_Calcs,$AA260,$AD260)</f>
        <v>N/A</v>
      </c>
      <c r="M260" t="str" cm="1">
        <f t="array" ref="M260">INDEX(FX_Calcs,$AA260,$AD260)</f>
        <v>N/A</v>
      </c>
      <c r="N260" t="str" cm="1">
        <f t="array" ref="N260">INDEX(FX_Calcs,$AA260,$AD260)</f>
        <v>N/A</v>
      </c>
      <c r="O260" t="str" cm="1">
        <f t="array" ref="O260">INDEX(FX_Calcs,$AA260,$AD260)</f>
        <v>N/A</v>
      </c>
      <c r="P260" t="str" cm="1">
        <f t="array" ref="P260">INDEX(FX_Calcs,$AA260,$AD260)</f>
        <v>N/A</v>
      </c>
      <c r="AA260">
        <f>AA259</f>
        <v>19</v>
      </c>
      <c r="AB260">
        <f t="shared" si="637"/>
        <v>6</v>
      </c>
      <c r="AC260">
        <f t="shared" si="638"/>
        <v>3</v>
      </c>
      <c r="AD260">
        <f t="shared" si="638"/>
        <v>13</v>
      </c>
      <c r="AE260">
        <f t="shared" si="638"/>
        <v>12</v>
      </c>
      <c r="AF260">
        <f t="shared" si="638"/>
        <v>14</v>
      </c>
      <c r="AG260">
        <f t="shared" si="639"/>
        <v>77</v>
      </c>
      <c r="AH260">
        <f t="shared" si="640"/>
        <v>78</v>
      </c>
      <c r="AI260">
        <f t="shared" si="641"/>
        <v>1</v>
      </c>
      <c r="AJ260">
        <f t="shared" si="642"/>
        <v>2</v>
      </c>
      <c r="AK260">
        <f t="shared" si="643"/>
        <v>1</v>
      </c>
      <c r="AL260">
        <f t="shared" si="644"/>
        <v>76</v>
      </c>
    </row>
    <row r="261" spans="1:38" x14ac:dyDescent="0.4">
      <c r="B261" t="str">
        <f t="shared" si="645"/>
        <v>Portland</v>
      </c>
      <c r="C261" s="66" t="s">
        <v>558</v>
      </c>
      <c r="D261" t="str" cm="1">
        <f t="array" ref="D261">INDEX(FX_Calcs,$AA261,$AF261)</f>
        <v>Insulated</v>
      </c>
      <c r="E261" t="str" cm="1">
        <f t="array" ref="E261">INDEX(FX_Calcs,$AA261,$AF261)</f>
        <v>Insulated</v>
      </c>
      <c r="F261" t="str" cm="1">
        <f t="array" ref="F261">INDEX(FX_Calcs,$AA261,$AF261)</f>
        <v>Insulated</v>
      </c>
      <c r="G261" t="str" cm="1">
        <f t="array" ref="G261">INDEX(FX_Calcs,$AA261,$AF261)</f>
        <v>Insulated</v>
      </c>
      <c r="H261" t="str" cm="1">
        <f t="array" ref="H261">INDEX(FX_Calcs,$AA261,$AF261)</f>
        <v>Insulated</v>
      </c>
      <c r="I261" t="str" cm="1">
        <f t="array" ref="I261">INDEX(FX_Calcs,$AA261,$AF261)</f>
        <v>Insulated</v>
      </c>
      <c r="J261" t="str" cm="1">
        <f t="array" ref="J261">INDEX(FX_Calcs,$AA261,$AF261)</f>
        <v>Insulated</v>
      </c>
      <c r="K261" t="str" cm="1">
        <f t="array" ref="K261">INDEX(FX_Calcs,$AA261,$AF261)</f>
        <v>Insulated</v>
      </c>
      <c r="L261" t="str" cm="1">
        <f t="array" ref="L261">INDEX(FX_Calcs,$AA261,$AF261)</f>
        <v>Insulated</v>
      </c>
      <c r="M261" t="str" cm="1">
        <f t="array" ref="M261">INDEX(FX_Calcs,$AA261,$AF261)</f>
        <v>Insulated</v>
      </c>
      <c r="N261" t="str" cm="1">
        <f t="array" ref="N261">INDEX(FX_Calcs,$AA261,$AF261)</f>
        <v>Insulated</v>
      </c>
      <c r="O261" t="str" cm="1">
        <f t="array" ref="O261">INDEX(FX_Calcs,$AA261,$AF261)</f>
        <v>Insulated</v>
      </c>
      <c r="P261" t="str" cm="1">
        <f t="array" ref="P261">INDEX(FX_Calcs,$AA261,$AF261)</f>
        <v>Insulated</v>
      </c>
      <c r="AA261">
        <f>AA260</f>
        <v>19</v>
      </c>
      <c r="AB261">
        <f t="shared" si="637"/>
        <v>6</v>
      </c>
      <c r="AC261">
        <f t="shared" si="638"/>
        <v>3</v>
      </c>
      <c r="AD261">
        <f t="shared" si="638"/>
        <v>13</v>
      </c>
      <c r="AE261">
        <f t="shared" si="638"/>
        <v>12</v>
      </c>
      <c r="AF261">
        <f t="shared" si="638"/>
        <v>14</v>
      </c>
      <c r="AG261">
        <f t="shared" si="639"/>
        <v>77</v>
      </c>
      <c r="AH261">
        <f t="shared" si="640"/>
        <v>78</v>
      </c>
      <c r="AI261">
        <f t="shared" si="641"/>
        <v>1</v>
      </c>
      <c r="AJ261">
        <f t="shared" si="642"/>
        <v>2</v>
      </c>
      <c r="AK261">
        <f t="shared" si="643"/>
        <v>1</v>
      </c>
      <c r="AL261">
        <f t="shared" si="644"/>
        <v>76</v>
      </c>
    </row>
    <row r="262" spans="1:38" ht="17.149999999999999" x14ac:dyDescent="0.55000000000000004">
      <c r="B262" t="str">
        <f>B258</f>
        <v>Portland</v>
      </c>
      <c r="C262" t="s">
        <v>512</v>
      </c>
      <c r="D262">
        <f t="shared" ref="D262:P262" si="646">D258-D257</f>
        <v>10.400000000000034</v>
      </c>
      <c r="E262">
        <f t="shared" si="646"/>
        <v>13.199999999999989</v>
      </c>
      <c r="F262">
        <f t="shared" si="646"/>
        <v>13.200000000000045</v>
      </c>
      <c r="G262">
        <f t="shared" si="646"/>
        <v>13.399999999999977</v>
      </c>
      <c r="H262">
        <f t="shared" si="646"/>
        <v>13.299999999999955</v>
      </c>
      <c r="I262">
        <f t="shared" si="646"/>
        <v>12.500000000000057</v>
      </c>
      <c r="J262">
        <f t="shared" si="646"/>
        <v>12.699999999999932</v>
      </c>
      <c r="K262">
        <f t="shared" si="646"/>
        <v>13.600000000000023</v>
      </c>
      <c r="L262">
        <f t="shared" si="646"/>
        <v>16.399999999999977</v>
      </c>
      <c r="M262">
        <f t="shared" si="646"/>
        <v>14.699999999999989</v>
      </c>
      <c r="N262">
        <f t="shared" si="646"/>
        <v>12.200000000000045</v>
      </c>
      <c r="O262">
        <f t="shared" si="646"/>
        <v>10</v>
      </c>
      <c r="P262">
        <f t="shared" si="646"/>
        <v>13</v>
      </c>
    </row>
    <row r="263" spans="1:38" x14ac:dyDescent="0.4">
      <c r="B263" t="str">
        <f t="shared" ref="B263:B270" si="647">B262</f>
        <v>Portland</v>
      </c>
      <c r="C263" t="s">
        <v>260</v>
      </c>
      <c r="D263">
        <f t="shared" ref="D263:P263" si="648">VLOOKUP(VLOOKUP($B263,Terminal_X_Ref,2,FALSE)&amp;$C263,Weather_Data,$Y263*D$3+$Z263,FALSE)</f>
        <v>343</v>
      </c>
      <c r="E263">
        <f t="shared" si="648"/>
        <v>600</v>
      </c>
      <c r="F263">
        <f t="shared" si="648"/>
        <v>877</v>
      </c>
      <c r="G263">
        <f t="shared" si="648"/>
        <v>1252</v>
      </c>
      <c r="H263">
        <f t="shared" si="648"/>
        <v>1537</v>
      </c>
      <c r="I263">
        <f t="shared" si="648"/>
        <v>1627</v>
      </c>
      <c r="J263">
        <f t="shared" si="648"/>
        <v>1708</v>
      </c>
      <c r="K263">
        <f t="shared" si="648"/>
        <v>1492</v>
      </c>
      <c r="L263">
        <f t="shared" si="648"/>
        <v>1196</v>
      </c>
      <c r="M263">
        <f t="shared" si="648"/>
        <v>728</v>
      </c>
      <c r="N263">
        <f t="shared" si="648"/>
        <v>391</v>
      </c>
      <c r="O263">
        <f t="shared" si="648"/>
        <v>302</v>
      </c>
      <c r="P263">
        <f t="shared" si="648"/>
        <v>1005</v>
      </c>
      <c r="U263">
        <f>U258</f>
        <v>2</v>
      </c>
      <c r="V263">
        <f t="shared" ref="V263:Z263" si="649">V258</f>
        <v>3</v>
      </c>
      <c r="W263">
        <f t="shared" si="649"/>
        <v>1</v>
      </c>
      <c r="X263">
        <f t="shared" si="649"/>
        <v>2</v>
      </c>
      <c r="Y263">
        <f t="shared" si="649"/>
        <v>1</v>
      </c>
      <c r="Z263">
        <f t="shared" si="649"/>
        <v>1</v>
      </c>
    </row>
    <row r="264" spans="1:38" ht="17.149999999999999" x14ac:dyDescent="0.55000000000000004">
      <c r="B264" t="str">
        <f t="shared" si="647"/>
        <v>Portland</v>
      </c>
      <c r="C264" t="s">
        <v>523</v>
      </c>
      <c r="D264">
        <f>IF(ISNUMBER(D261),0.7*D262+0.02*D261*D263,IF(D261="Partially Insulated",0.6*D262+0.02*D260*D263,0))</f>
        <v>0</v>
      </c>
      <c r="E264">
        <f t="shared" ref="E264:P264" si="650">IF(ISNUMBER(E261),0.7*E262+0.02*E261*E263,IF(E261="Partially Insulated",0.6*E262+0.02*E260*E263,0))</f>
        <v>0</v>
      </c>
      <c r="F264">
        <f t="shared" si="650"/>
        <v>0</v>
      </c>
      <c r="G264">
        <f t="shared" si="650"/>
        <v>0</v>
      </c>
      <c r="H264">
        <f t="shared" si="650"/>
        <v>0</v>
      </c>
      <c r="I264">
        <f t="shared" si="650"/>
        <v>0</v>
      </c>
      <c r="J264">
        <f t="shared" si="650"/>
        <v>0</v>
      </c>
      <c r="K264">
        <f t="shared" si="650"/>
        <v>0</v>
      </c>
      <c r="L264">
        <f t="shared" si="650"/>
        <v>0</v>
      </c>
      <c r="M264">
        <f t="shared" si="650"/>
        <v>0</v>
      </c>
      <c r="N264">
        <f t="shared" si="650"/>
        <v>0</v>
      </c>
      <c r="O264">
        <f t="shared" si="650"/>
        <v>0</v>
      </c>
      <c r="P264">
        <f t="shared" si="650"/>
        <v>0</v>
      </c>
    </row>
    <row r="265" spans="1:38" ht="17.149999999999999" x14ac:dyDescent="0.55000000000000004">
      <c r="B265" t="str">
        <f t="shared" si="647"/>
        <v>Portland</v>
      </c>
      <c r="C265" t="s">
        <v>524</v>
      </c>
      <c r="D265">
        <f t="shared" ref="D265:F265" si="651">AVERAGE(D257:D258)</f>
        <v>503.5</v>
      </c>
      <c r="E265">
        <f t="shared" si="651"/>
        <v>504.30000000000007</v>
      </c>
      <c r="F265">
        <f t="shared" si="651"/>
        <v>505.70000000000005</v>
      </c>
      <c r="G265">
        <f>AVERAGE(G257:G258)</f>
        <v>508.2</v>
      </c>
      <c r="H265">
        <f t="shared" ref="H265:P265" si="652">AVERAGE(H257:H258)</f>
        <v>512.75</v>
      </c>
      <c r="I265">
        <f t="shared" si="652"/>
        <v>516.55000000000007</v>
      </c>
      <c r="J265">
        <f t="shared" si="652"/>
        <v>520.04999999999995</v>
      </c>
      <c r="K265">
        <f t="shared" si="652"/>
        <v>520.5</v>
      </c>
      <c r="L265">
        <f t="shared" si="652"/>
        <v>518.20000000000005</v>
      </c>
      <c r="M265">
        <f t="shared" si="652"/>
        <v>512.25</v>
      </c>
      <c r="N265">
        <f t="shared" si="652"/>
        <v>506.70000000000005</v>
      </c>
      <c r="O265">
        <f t="shared" si="652"/>
        <v>503.20000000000005</v>
      </c>
      <c r="P265">
        <f t="shared" si="652"/>
        <v>51.4</v>
      </c>
    </row>
    <row r="266" spans="1:38" ht="17.149999999999999" x14ac:dyDescent="0.55000000000000004">
      <c r="B266" t="str">
        <f t="shared" si="647"/>
        <v>Portland</v>
      </c>
      <c r="C266" t="s">
        <v>525</v>
      </c>
      <c r="D266" cm="1">
        <f t="array" ref="D266">IFERROR(IF(ISBLANK(INDEX(FX_Input,$R257,D$3*$AK257+$AL257)),D265+0.003*D259*D263,INDEX(FX_Input,$R257,D$3*$AK257+$AL257)+459.6),D265)</f>
        <v>503.5</v>
      </c>
      <c r="E266" cm="1">
        <f t="array" ref="E266">IFERROR(IF(ISBLANK(INDEX(FX_Input,$R257,E$3*$AK257+$AL257)),E265+0.003*E259*E263,INDEX(FX_Input,$R257,E$3*$AK257+$AL257)+459.6),E265)</f>
        <v>504.30000000000007</v>
      </c>
      <c r="F266" cm="1">
        <f t="array" ref="F266">IFERROR(IF(ISBLANK(INDEX(FX_Input,$R257,F$3*$AK257+$AL257)),F265+0.003*F259*F263,INDEX(FX_Input,$R257,F$3*$AK257+$AL257)+459.6),F265)</f>
        <v>505.70000000000005</v>
      </c>
      <c r="G266" cm="1">
        <f t="array" ref="G266">IFERROR(IF(ISBLANK(INDEX(FX_Input,$R257,G$3*$AK257+$AL257)),G265+0.003*G259*G263,INDEX(FX_Input,$R257,G$3*$AK257+$AL257)+459.6),G265)</f>
        <v>508.2</v>
      </c>
      <c r="H266" cm="1">
        <f t="array" ref="H266">IFERROR(IF(ISBLANK(INDEX(FX_Input,$R257,H$3*$AK257+$AL257)),H265+0.003*H259*H263,INDEX(FX_Input,$R257,H$3*$AK257+$AL257)+459.6),H265)</f>
        <v>512.75</v>
      </c>
      <c r="I266" cm="1">
        <f t="array" ref="I266">IFERROR(IF(ISBLANK(INDEX(FX_Input,$R257,I$3*$AK257+$AL257)),I265+0.003*I259*I263,INDEX(FX_Input,$R257,I$3*$AK257+$AL257)+459.6),I265)</f>
        <v>516.55000000000007</v>
      </c>
      <c r="J266" cm="1">
        <f t="array" ref="J266">IFERROR(IF(ISBLANK(INDEX(FX_Input,$R257,J$3*$AK257+$AL257)),J265+0.003*J259*J263,INDEX(FX_Input,$R257,J$3*$AK257+$AL257)+459.6),J265)</f>
        <v>520.04999999999995</v>
      </c>
      <c r="K266" cm="1">
        <f t="array" ref="K266">IFERROR(IF(ISBLANK(INDEX(FX_Input,$R257,K$3*$AK257+$AL257)),K265+0.003*K259*K263,INDEX(FX_Input,$R257,K$3*$AK257+$AL257)+459.6),K265)</f>
        <v>520.5</v>
      </c>
      <c r="L266" cm="1">
        <f t="array" ref="L266">IFERROR(IF(ISBLANK(INDEX(FX_Input,$R257,L$3*$AK257+$AL257)),L265+0.003*L259*L263,INDEX(FX_Input,$R257,L$3*$AK257+$AL257)+459.6),L265)</f>
        <v>518.20000000000005</v>
      </c>
      <c r="M266" cm="1">
        <f t="array" ref="M266">IFERROR(IF(ISBLANK(INDEX(FX_Input,$R257,M$3*$AK257+$AL257)),M265+0.003*M259*M263,INDEX(FX_Input,$R257,M$3*$AK257+$AL257)+459.6),M265)</f>
        <v>512.25</v>
      </c>
      <c r="N266" cm="1">
        <f t="array" ref="N266">IFERROR(IF(ISBLANK(INDEX(FX_Input,$R257,N$3*$AK257+$AL257)),N265+0.003*N259*N263,INDEX(FX_Input,$R257,N$3*$AK257+$AL257)+459.6),N265)</f>
        <v>506.70000000000005</v>
      </c>
      <c r="O266" cm="1">
        <f t="array" ref="O266">IFERROR(IF(ISBLANK(INDEX(FX_Input,$R257,O$3*$AK257+$AL257)),O265+0.003*O259*O263,INDEX(FX_Input,$R257,O$3*$AK257+$AL257)+459.6),O265)</f>
        <v>503.20000000000005</v>
      </c>
      <c r="P266" cm="1">
        <f t="array" ref="P266">IFERROR(IF(ISBLANK(INDEX(FX_Input,$R257,P$3*$AK257+$AL257)),P265+0.003*P259*P263,INDEX(FX_Input,$R257,P$3*$AK257+$AL257)+459.6),P265)</f>
        <v>4959.6000000000004</v>
      </c>
    </row>
    <row r="267" spans="1:38" ht="17.149999999999999" x14ac:dyDescent="0.55000000000000004">
      <c r="B267" t="str">
        <f t="shared" si="647"/>
        <v>Portland</v>
      </c>
      <c r="C267" t="s">
        <v>526</v>
      </c>
      <c r="D267">
        <f>IF(ISNUMBER(D261),0.4*D257+0.6*D266+0.005*D261*D263,IF(D261="Partially Insulated",0.3*D265+0.7*D266+0.005*D260*D263,D266))-459.6</f>
        <v>43.899999999999977</v>
      </c>
      <c r="E267">
        <f t="shared" ref="E267" si="653">IF(ISNUMBER(E261),0.4*E257+0.6*E266+0.005*E261*E263,IF(E261="Partially Insulated",0.3*E265+0.7*E266+0.005*E260*E263,E266))-459.6</f>
        <v>44.700000000000045</v>
      </c>
      <c r="F267">
        <f t="shared" ref="F267" si="654">IF(ISNUMBER(F261),0.4*F257+0.6*F266+0.005*F261*F263,IF(F261="Partially Insulated",0.3*F265+0.7*F266+0.005*F260*F263,F266))-459.6</f>
        <v>46.100000000000023</v>
      </c>
      <c r="G267">
        <f t="shared" ref="G267" si="655">IF(ISNUMBER(G261),0.4*G257+0.6*G266+0.005*G261*G263,IF(G261="Partially Insulated",0.3*G265+0.7*G266+0.005*G260*G263,G266))-459.6</f>
        <v>48.599999999999966</v>
      </c>
      <c r="H267">
        <f t="shared" ref="H267" si="656">IF(ISNUMBER(H261),0.4*H257+0.6*H266+0.005*H261*H263,IF(H261="Partially Insulated",0.3*H265+0.7*H266+0.005*H260*H263,H266))-459.6</f>
        <v>53.149999999999977</v>
      </c>
      <c r="I267">
        <f t="shared" ref="I267" si="657">IF(ISNUMBER(I261),0.4*I257+0.6*I266+0.005*I261*I263,IF(I261="Partially Insulated",0.3*I265+0.7*I266+0.005*I260*I263,I266))-459.6</f>
        <v>56.950000000000045</v>
      </c>
      <c r="J267">
        <f t="shared" ref="J267" si="658">IF(ISNUMBER(J261),0.4*J257+0.6*J266+0.005*J261*J263,IF(J261="Partially Insulated",0.3*J265+0.7*J266+0.005*J260*J263,J266))-459.6</f>
        <v>60.449999999999932</v>
      </c>
      <c r="K267">
        <f t="shared" ref="K267" si="659">IF(ISNUMBER(K261),0.4*K257+0.6*K266+0.005*K261*K263,IF(K261="Partially Insulated",0.3*K265+0.7*K266+0.005*K260*K263,K266))-459.6</f>
        <v>60.899999999999977</v>
      </c>
      <c r="L267">
        <f t="shared" ref="L267" si="660">IF(ISNUMBER(L261),0.4*L257+0.6*L266+0.005*L261*L263,IF(L261="Partially Insulated",0.3*L265+0.7*L266+0.005*L260*L263,L266))-459.6</f>
        <v>58.600000000000023</v>
      </c>
      <c r="M267">
        <f t="shared" ref="M267" si="661">IF(ISNUMBER(M261),0.4*M257+0.6*M266+0.005*M261*M263,IF(M261="Partially Insulated",0.3*M265+0.7*M266+0.005*M260*M263,M266))-459.6</f>
        <v>52.649999999999977</v>
      </c>
      <c r="N267">
        <f t="shared" ref="N267" si="662">IF(ISNUMBER(N261),0.4*N257+0.6*N266+0.005*N261*N263,IF(N261="Partially Insulated",0.3*N265+0.7*N266+0.005*N260*N263,N266))-459.6</f>
        <v>47.100000000000023</v>
      </c>
      <c r="O267">
        <f t="shared" ref="O267" si="663">IF(ISNUMBER(O261),0.4*O257+0.6*O266+0.005*O261*O263,IF(O261="Partially Insulated",0.3*O265+0.7*O266+0.005*O260*O263,O266))-459.6</f>
        <v>43.600000000000023</v>
      </c>
      <c r="P267">
        <f>AVERAGE(D267:O267)</f>
        <v>51.391666666666673</v>
      </c>
    </row>
    <row r="268" spans="1:38" ht="17.149999999999999" x14ac:dyDescent="0.55000000000000004">
      <c r="B268" t="str">
        <f t="shared" si="647"/>
        <v>Portland</v>
      </c>
      <c r="C268" t="s">
        <v>527</v>
      </c>
      <c r="D268">
        <f>IF(ISNUMBER(D261),0.4*D258+0.6*D266+0.005*D261*D263,IF(D261="Partially Insulated",0.3*D265+0.7*D266+0.005*D260*D263,D266))-459.6</f>
        <v>43.899999999999977</v>
      </c>
      <c r="E268">
        <f t="shared" ref="E268:O268" si="664">IF(ISNUMBER(E261),0.4*E258+0.6*E266+0.005*E261*E263,IF(E261="Partially Insulated",0.3*E265+0.7*E266+0.005*E260*E263,E266))-459.6</f>
        <v>44.700000000000045</v>
      </c>
      <c r="F268">
        <f t="shared" si="664"/>
        <v>46.100000000000023</v>
      </c>
      <c r="G268">
        <f t="shared" si="664"/>
        <v>48.599999999999966</v>
      </c>
      <c r="H268">
        <f t="shared" si="664"/>
        <v>53.149999999999977</v>
      </c>
      <c r="I268">
        <f t="shared" si="664"/>
        <v>56.950000000000045</v>
      </c>
      <c r="J268">
        <f t="shared" si="664"/>
        <v>60.449999999999932</v>
      </c>
      <c r="K268">
        <f t="shared" si="664"/>
        <v>60.899999999999977</v>
      </c>
      <c r="L268">
        <f t="shared" si="664"/>
        <v>58.600000000000023</v>
      </c>
      <c r="M268">
        <f t="shared" si="664"/>
        <v>52.649999999999977</v>
      </c>
      <c r="N268">
        <f t="shared" si="664"/>
        <v>47.100000000000023</v>
      </c>
      <c r="O268">
        <f t="shared" si="664"/>
        <v>43.600000000000023</v>
      </c>
      <c r="P268">
        <f>AVERAGE(D268:O268)</f>
        <v>51.391666666666673</v>
      </c>
    </row>
    <row r="269" spans="1:38" ht="17.149999999999999" x14ac:dyDescent="0.55000000000000004">
      <c r="B269" t="str">
        <f t="shared" si="647"/>
        <v>Portland</v>
      </c>
      <c r="C269" t="s">
        <v>552</v>
      </c>
      <c r="D269">
        <f>IF(ISNUMBER(D261),0.4*D265+0.6*D266+0.005*D261*D263,IF(D261="Partially Insulated",0.3*D265+0.7*D266+0.005*D260*D263,D266))-459.6</f>
        <v>43.899999999999977</v>
      </c>
      <c r="E269">
        <f t="shared" ref="E269:O269" si="665">IF(ISNUMBER(E261),0.4*E265+0.6*E266+0.005*E261*E263,IF(E261="Partially Insulated",0.3*E265+0.7*E266+0.005*E260*E263,E266))-459.6</f>
        <v>44.700000000000045</v>
      </c>
      <c r="F269">
        <f t="shared" si="665"/>
        <v>46.100000000000023</v>
      </c>
      <c r="G269">
        <f t="shared" si="665"/>
        <v>48.599999999999966</v>
      </c>
      <c r="H269">
        <f t="shared" si="665"/>
        <v>53.149999999999977</v>
      </c>
      <c r="I269">
        <f t="shared" si="665"/>
        <v>56.950000000000045</v>
      </c>
      <c r="J269">
        <f t="shared" si="665"/>
        <v>60.449999999999932</v>
      </c>
      <c r="K269">
        <f t="shared" si="665"/>
        <v>60.899999999999977</v>
      </c>
      <c r="L269">
        <f t="shared" si="665"/>
        <v>58.600000000000023</v>
      </c>
      <c r="M269">
        <f t="shared" si="665"/>
        <v>52.649999999999977</v>
      </c>
      <c r="N269">
        <f t="shared" si="665"/>
        <v>47.100000000000023</v>
      </c>
      <c r="O269">
        <f t="shared" si="665"/>
        <v>43.600000000000023</v>
      </c>
      <c r="P269">
        <f>AVERAGE(D269:O269)</f>
        <v>51.391666666666673</v>
      </c>
    </row>
    <row r="270" spans="1:38" ht="17.149999999999999" x14ac:dyDescent="0.55000000000000004">
      <c r="A270" s="11"/>
      <c r="B270" s="11" t="str">
        <f t="shared" si="647"/>
        <v>Portland</v>
      </c>
      <c r="C270" s="11" t="s">
        <v>553</v>
      </c>
      <c r="D270" s="11">
        <f>IF(ISNUMBER(D261),0.7*D265+0.3*D266+0.009*D261*D263,IF(D261="Partially Insulated",0.6*D265+0.4*D266+0.01*D260*D263,D266))-459.6</f>
        <v>43.899999999999977</v>
      </c>
      <c r="E270" s="11">
        <f t="shared" ref="E270:O270" si="666">IF(ISNUMBER(E261),0.7*E265+0.3*E266+0.009*E261*E263,IF(E261="Partially Insulated",0.6*E265+0.4*E266+0.01*E260*E263,E266))-459.6</f>
        <v>44.700000000000045</v>
      </c>
      <c r="F270" s="11">
        <f t="shared" si="666"/>
        <v>46.100000000000023</v>
      </c>
      <c r="G270" s="11">
        <f t="shared" si="666"/>
        <v>48.599999999999966</v>
      </c>
      <c r="H270" s="11">
        <f t="shared" si="666"/>
        <v>53.149999999999977</v>
      </c>
      <c r="I270" s="11">
        <f t="shared" si="666"/>
        <v>56.950000000000045</v>
      </c>
      <c r="J270" s="11">
        <f t="shared" si="666"/>
        <v>60.449999999999932</v>
      </c>
      <c r="K270" s="11">
        <f t="shared" si="666"/>
        <v>60.899999999999977</v>
      </c>
      <c r="L270" s="11">
        <f t="shared" si="666"/>
        <v>58.600000000000023</v>
      </c>
      <c r="M270" s="11">
        <f t="shared" si="666"/>
        <v>52.649999999999977</v>
      </c>
      <c r="N270" s="11">
        <f t="shared" si="666"/>
        <v>47.100000000000023</v>
      </c>
      <c r="O270" s="11">
        <f t="shared" si="666"/>
        <v>43.600000000000023</v>
      </c>
      <c r="P270" s="11">
        <f>AVERAGE(D270:O270)</f>
        <v>51.391666666666673</v>
      </c>
      <c r="Q270" s="11"/>
      <c r="R270" s="11"/>
      <c r="S270" s="11"/>
      <c r="T270" s="11"/>
      <c r="U270" s="11"/>
      <c r="V270" s="11"/>
      <c r="W270" s="11"/>
      <c r="X270" s="11"/>
      <c r="Y270" s="11"/>
      <c r="Z270" s="11"/>
      <c r="AA270" s="11"/>
      <c r="AB270" s="11"/>
      <c r="AC270" s="11"/>
      <c r="AD270" s="11"/>
      <c r="AE270" s="11"/>
      <c r="AF270" s="11"/>
      <c r="AG270" s="11"/>
      <c r="AH270" s="11"/>
      <c r="AI270" s="11"/>
      <c r="AJ270" s="11"/>
      <c r="AK270" s="11"/>
      <c r="AL270" s="11"/>
    </row>
    <row r="271" spans="1:38" ht="17.149999999999999" x14ac:dyDescent="0.55000000000000004">
      <c r="A271" t="str" cm="1">
        <f t="array" ref="A271">INDEX(FX_Input,$R271,S$5)</f>
        <v>FX - 20</v>
      </c>
      <c r="B271" t="str" cm="1">
        <f t="array" ref="B271">INDEX(FX_Input,R271,T271)</f>
        <v>Portland</v>
      </c>
      <c r="C271" t="s">
        <v>510</v>
      </c>
      <c r="D271">
        <f t="shared" ref="D271:O272" si="667">VLOOKUP(VLOOKUP($B271,Terminal_X_Ref,2,FALSE)&amp;$C271,Weather_Data,$Y271*D$3+$Z271,FALSE)+459.6</f>
        <v>498.3</v>
      </c>
      <c r="E271">
        <f t="shared" si="667"/>
        <v>497.70000000000005</v>
      </c>
      <c r="F271">
        <f t="shared" si="667"/>
        <v>499.1</v>
      </c>
      <c r="G271">
        <f t="shared" si="667"/>
        <v>501.5</v>
      </c>
      <c r="H271">
        <f t="shared" si="667"/>
        <v>506.1</v>
      </c>
      <c r="I271">
        <f t="shared" si="667"/>
        <v>510.3</v>
      </c>
      <c r="J271">
        <f t="shared" si="667"/>
        <v>513.70000000000005</v>
      </c>
      <c r="K271">
        <f t="shared" si="667"/>
        <v>513.70000000000005</v>
      </c>
      <c r="L271">
        <f t="shared" si="667"/>
        <v>510</v>
      </c>
      <c r="M271">
        <f t="shared" si="667"/>
        <v>504.90000000000003</v>
      </c>
      <c r="N271">
        <f t="shared" si="667"/>
        <v>500.6</v>
      </c>
      <c r="O271">
        <f t="shared" si="667"/>
        <v>498.20000000000005</v>
      </c>
      <c r="P271">
        <f t="shared" ref="P271:P272" si="668">VLOOKUP(VLOOKUP($B271,Terminal_X_Ref,2,FALSE)&amp;$C271,Weather_Data,$Y271*P$3+$Z271,FALSE)</f>
        <v>44.9</v>
      </c>
      <c r="R271">
        <f>R257+2</f>
        <v>39</v>
      </c>
      <c r="S271">
        <f>S257+1</f>
        <v>20</v>
      </c>
      <c r="T271">
        <v>3</v>
      </c>
      <c r="U271">
        <v>2</v>
      </c>
      <c r="V271">
        <v>3</v>
      </c>
      <c r="W271">
        <v>1</v>
      </c>
      <c r="X271">
        <v>2</v>
      </c>
      <c r="Y271">
        <f>(V271-U271)/(X271-W271)</f>
        <v>1</v>
      </c>
      <c r="Z271">
        <f>U271-Y271*W271</f>
        <v>1</v>
      </c>
      <c r="AA271">
        <f>AA257+1</f>
        <v>20</v>
      </c>
      <c r="AB271">
        <v>6</v>
      </c>
      <c r="AC271">
        <v>3</v>
      </c>
      <c r="AD271">
        <v>13</v>
      </c>
      <c r="AE271">
        <v>12</v>
      </c>
      <c r="AF271">
        <v>14</v>
      </c>
      <c r="AG271">
        <v>77</v>
      </c>
      <c r="AH271">
        <v>78</v>
      </c>
      <c r="AI271">
        <v>1</v>
      </c>
      <c r="AJ271">
        <v>2</v>
      </c>
      <c r="AK271">
        <f>(AH271-AG271)/(AJ271-AI271)</f>
        <v>1</v>
      </c>
      <c r="AL271">
        <f>AG271-AK271*AI271</f>
        <v>76</v>
      </c>
    </row>
    <row r="272" spans="1:38" ht="17.149999999999999" x14ac:dyDescent="0.55000000000000004">
      <c r="B272" t="str">
        <f t="shared" ref="B272" si="669">B271</f>
        <v>Portland</v>
      </c>
      <c r="C272" t="s">
        <v>511</v>
      </c>
      <c r="D272">
        <f t="shared" si="667"/>
        <v>508.70000000000005</v>
      </c>
      <c r="E272">
        <f t="shared" si="667"/>
        <v>510.90000000000003</v>
      </c>
      <c r="F272">
        <f t="shared" si="667"/>
        <v>512.30000000000007</v>
      </c>
      <c r="G272">
        <f t="shared" si="667"/>
        <v>514.9</v>
      </c>
      <c r="H272">
        <f t="shared" si="667"/>
        <v>519.4</v>
      </c>
      <c r="I272">
        <f t="shared" si="667"/>
        <v>522.80000000000007</v>
      </c>
      <c r="J272">
        <f t="shared" si="667"/>
        <v>526.4</v>
      </c>
      <c r="K272">
        <f t="shared" si="667"/>
        <v>527.30000000000007</v>
      </c>
      <c r="L272">
        <f t="shared" si="667"/>
        <v>526.4</v>
      </c>
      <c r="M272">
        <f t="shared" si="667"/>
        <v>519.6</v>
      </c>
      <c r="N272">
        <f t="shared" si="667"/>
        <v>512.80000000000007</v>
      </c>
      <c r="O272">
        <f t="shared" si="667"/>
        <v>508.20000000000005</v>
      </c>
      <c r="P272">
        <f t="shared" si="668"/>
        <v>57.9</v>
      </c>
      <c r="U272">
        <f>U271</f>
        <v>2</v>
      </c>
      <c r="V272">
        <f t="shared" ref="V272:Z272" si="670">V271</f>
        <v>3</v>
      </c>
      <c r="W272">
        <f t="shared" si="670"/>
        <v>1</v>
      </c>
      <c r="X272">
        <f t="shared" si="670"/>
        <v>2</v>
      </c>
      <c r="Y272">
        <f t="shared" si="670"/>
        <v>1</v>
      </c>
      <c r="Z272">
        <f t="shared" si="670"/>
        <v>1</v>
      </c>
      <c r="AA272">
        <f>AA271</f>
        <v>20</v>
      </c>
      <c r="AB272">
        <f t="shared" ref="AB272:AB275" si="671">AB271</f>
        <v>6</v>
      </c>
      <c r="AC272">
        <f t="shared" ref="AC272:AF275" si="672">AC271</f>
        <v>3</v>
      </c>
      <c r="AD272">
        <f t="shared" si="672"/>
        <v>13</v>
      </c>
      <c r="AE272">
        <f t="shared" si="672"/>
        <v>12</v>
      </c>
      <c r="AF272">
        <f t="shared" si="672"/>
        <v>14</v>
      </c>
      <c r="AG272">
        <f t="shared" ref="AG272:AG275" si="673">AG271</f>
        <v>77</v>
      </c>
      <c r="AH272">
        <f t="shared" ref="AH272:AH275" si="674">AH271</f>
        <v>78</v>
      </c>
      <c r="AI272">
        <f t="shared" ref="AI272:AI275" si="675">AI271</f>
        <v>1</v>
      </c>
      <c r="AJ272">
        <f t="shared" ref="AJ272:AJ275" si="676">AJ271</f>
        <v>2</v>
      </c>
      <c r="AK272">
        <f t="shared" ref="AK272:AK275" si="677">AK271</f>
        <v>1</v>
      </c>
      <c r="AL272">
        <f t="shared" ref="AL272:AL275" si="678">AL271</f>
        <v>76</v>
      </c>
    </row>
    <row r="273" spans="1:38" ht="17.149999999999999" x14ac:dyDescent="0.4">
      <c r="B273" t="str">
        <f>B272</f>
        <v>Portland</v>
      </c>
      <c r="C273" s="66" t="s">
        <v>514</v>
      </c>
      <c r="D273" t="str" cm="1">
        <f t="array" ref="D273">INDEX(FX_Calcs,$AA273,$AE273)</f>
        <v>N/A</v>
      </c>
      <c r="E273" t="str" cm="1">
        <f t="array" ref="E273">INDEX(FX_Calcs,$AA273,$AE273)</f>
        <v>N/A</v>
      </c>
      <c r="F273" t="str" cm="1">
        <f t="array" ref="F273">INDEX(FX_Calcs,$AA273,$AE273)</f>
        <v>N/A</v>
      </c>
      <c r="G273" t="str" cm="1">
        <f t="array" ref="G273">INDEX(FX_Calcs,$AA273,$AE273)</f>
        <v>N/A</v>
      </c>
      <c r="H273" t="str" cm="1">
        <f t="array" ref="H273">INDEX(FX_Calcs,$AA273,$AE273)</f>
        <v>N/A</v>
      </c>
      <c r="I273" t="str" cm="1">
        <f t="array" ref="I273">INDEX(FX_Calcs,$AA273,$AE273)</f>
        <v>N/A</v>
      </c>
      <c r="J273" t="str" cm="1">
        <f t="array" ref="J273">INDEX(FX_Calcs,$AA273,$AE273)</f>
        <v>N/A</v>
      </c>
      <c r="K273" t="str" cm="1">
        <f t="array" ref="K273">INDEX(FX_Calcs,$AA273,$AE273)</f>
        <v>N/A</v>
      </c>
      <c r="L273" t="str" cm="1">
        <f t="array" ref="L273">INDEX(FX_Calcs,$AA273,$AE273)</f>
        <v>N/A</v>
      </c>
      <c r="M273" t="str" cm="1">
        <f t="array" ref="M273">INDEX(FX_Calcs,$AA273,$AE273)</f>
        <v>N/A</v>
      </c>
      <c r="N273" t="str" cm="1">
        <f t="array" ref="N273">INDEX(FX_Calcs,$AA273,$AE273)</f>
        <v>N/A</v>
      </c>
      <c r="O273" t="str" cm="1">
        <f t="array" ref="O273">INDEX(FX_Calcs,$AA273,$AE273)</f>
        <v>N/A</v>
      </c>
      <c r="P273" t="str" cm="1">
        <f t="array" ref="P273">INDEX(FX_Calcs,$AA273,$AE273)</f>
        <v>N/A</v>
      </c>
      <c r="AA273">
        <f>AA272</f>
        <v>20</v>
      </c>
      <c r="AB273">
        <f t="shared" si="671"/>
        <v>6</v>
      </c>
      <c r="AC273">
        <f t="shared" si="672"/>
        <v>3</v>
      </c>
      <c r="AD273">
        <f t="shared" si="672"/>
        <v>13</v>
      </c>
      <c r="AE273">
        <f t="shared" si="672"/>
        <v>12</v>
      </c>
      <c r="AF273">
        <f t="shared" si="672"/>
        <v>14</v>
      </c>
      <c r="AG273">
        <f t="shared" si="673"/>
        <v>77</v>
      </c>
      <c r="AH273">
        <f t="shared" si="674"/>
        <v>78</v>
      </c>
      <c r="AI273">
        <f t="shared" si="675"/>
        <v>1</v>
      </c>
      <c r="AJ273">
        <f t="shared" si="676"/>
        <v>2</v>
      </c>
      <c r="AK273">
        <f t="shared" si="677"/>
        <v>1</v>
      </c>
      <c r="AL273">
        <f t="shared" si="678"/>
        <v>76</v>
      </c>
    </row>
    <row r="274" spans="1:38" ht="17.149999999999999" x14ac:dyDescent="0.4">
      <c r="B274" t="str">
        <f t="shared" ref="B274:B275" si="679">B273</f>
        <v>Portland</v>
      </c>
      <c r="C274" s="66" t="s">
        <v>513</v>
      </c>
      <c r="D274" t="str" cm="1">
        <f t="array" ref="D274">INDEX(FX_Calcs,$AA274,$AD274)</f>
        <v>N/A</v>
      </c>
      <c r="E274" t="str" cm="1">
        <f t="array" ref="E274">INDEX(FX_Calcs,$AA274,$AD274)</f>
        <v>N/A</v>
      </c>
      <c r="F274" t="str" cm="1">
        <f t="array" ref="F274">INDEX(FX_Calcs,$AA274,$AD274)</f>
        <v>N/A</v>
      </c>
      <c r="G274" t="str" cm="1">
        <f t="array" ref="G274">INDEX(FX_Calcs,$AA274,$AD274)</f>
        <v>N/A</v>
      </c>
      <c r="H274" t="str" cm="1">
        <f t="array" ref="H274">INDEX(FX_Calcs,$AA274,$AD274)</f>
        <v>N/A</v>
      </c>
      <c r="I274" t="str" cm="1">
        <f t="array" ref="I274">INDEX(FX_Calcs,$AA274,$AD274)</f>
        <v>N/A</v>
      </c>
      <c r="J274" t="str" cm="1">
        <f t="array" ref="J274">INDEX(FX_Calcs,$AA274,$AD274)</f>
        <v>N/A</v>
      </c>
      <c r="K274" t="str" cm="1">
        <f t="array" ref="K274">INDEX(FX_Calcs,$AA274,$AD274)</f>
        <v>N/A</v>
      </c>
      <c r="L274" t="str" cm="1">
        <f t="array" ref="L274">INDEX(FX_Calcs,$AA274,$AD274)</f>
        <v>N/A</v>
      </c>
      <c r="M274" t="str" cm="1">
        <f t="array" ref="M274">INDEX(FX_Calcs,$AA274,$AD274)</f>
        <v>N/A</v>
      </c>
      <c r="N274" t="str" cm="1">
        <f t="array" ref="N274">INDEX(FX_Calcs,$AA274,$AD274)</f>
        <v>N/A</v>
      </c>
      <c r="O274" t="str" cm="1">
        <f t="array" ref="O274">INDEX(FX_Calcs,$AA274,$AD274)</f>
        <v>N/A</v>
      </c>
      <c r="P274" t="str" cm="1">
        <f t="array" ref="P274">INDEX(FX_Calcs,$AA274,$AD274)</f>
        <v>N/A</v>
      </c>
      <c r="AA274">
        <f>AA273</f>
        <v>20</v>
      </c>
      <c r="AB274">
        <f t="shared" si="671"/>
        <v>6</v>
      </c>
      <c r="AC274">
        <f t="shared" si="672"/>
        <v>3</v>
      </c>
      <c r="AD274">
        <f t="shared" si="672"/>
        <v>13</v>
      </c>
      <c r="AE274">
        <f t="shared" si="672"/>
        <v>12</v>
      </c>
      <c r="AF274">
        <f t="shared" si="672"/>
        <v>14</v>
      </c>
      <c r="AG274">
        <f t="shared" si="673"/>
        <v>77</v>
      </c>
      <c r="AH274">
        <f t="shared" si="674"/>
        <v>78</v>
      </c>
      <c r="AI274">
        <f t="shared" si="675"/>
        <v>1</v>
      </c>
      <c r="AJ274">
        <f t="shared" si="676"/>
        <v>2</v>
      </c>
      <c r="AK274">
        <f t="shared" si="677"/>
        <v>1</v>
      </c>
      <c r="AL274">
        <f t="shared" si="678"/>
        <v>76</v>
      </c>
    </row>
    <row r="275" spans="1:38" x14ac:dyDescent="0.4">
      <c r="B275" t="str">
        <f t="shared" si="679"/>
        <v>Portland</v>
      </c>
      <c r="C275" s="66" t="s">
        <v>558</v>
      </c>
      <c r="D275" t="str" cm="1">
        <f t="array" ref="D275">INDEX(FX_Calcs,$AA275,$AF275)</f>
        <v>Insulated</v>
      </c>
      <c r="E275" t="str" cm="1">
        <f t="array" ref="E275">INDEX(FX_Calcs,$AA275,$AF275)</f>
        <v>Insulated</v>
      </c>
      <c r="F275" t="str" cm="1">
        <f t="array" ref="F275">INDEX(FX_Calcs,$AA275,$AF275)</f>
        <v>Insulated</v>
      </c>
      <c r="G275" t="str" cm="1">
        <f t="array" ref="G275">INDEX(FX_Calcs,$AA275,$AF275)</f>
        <v>Insulated</v>
      </c>
      <c r="H275" t="str" cm="1">
        <f t="array" ref="H275">INDEX(FX_Calcs,$AA275,$AF275)</f>
        <v>Insulated</v>
      </c>
      <c r="I275" t="str" cm="1">
        <f t="array" ref="I275">INDEX(FX_Calcs,$AA275,$AF275)</f>
        <v>Insulated</v>
      </c>
      <c r="J275" t="str" cm="1">
        <f t="array" ref="J275">INDEX(FX_Calcs,$AA275,$AF275)</f>
        <v>Insulated</v>
      </c>
      <c r="K275" t="str" cm="1">
        <f t="array" ref="K275">INDEX(FX_Calcs,$AA275,$AF275)</f>
        <v>Insulated</v>
      </c>
      <c r="L275" t="str" cm="1">
        <f t="array" ref="L275">INDEX(FX_Calcs,$AA275,$AF275)</f>
        <v>Insulated</v>
      </c>
      <c r="M275" t="str" cm="1">
        <f t="array" ref="M275">INDEX(FX_Calcs,$AA275,$AF275)</f>
        <v>Insulated</v>
      </c>
      <c r="N275" t="str" cm="1">
        <f t="array" ref="N275">INDEX(FX_Calcs,$AA275,$AF275)</f>
        <v>Insulated</v>
      </c>
      <c r="O275" t="str" cm="1">
        <f t="array" ref="O275">INDEX(FX_Calcs,$AA275,$AF275)</f>
        <v>Insulated</v>
      </c>
      <c r="P275" t="str" cm="1">
        <f t="array" ref="P275">INDEX(FX_Calcs,$AA275,$AF275)</f>
        <v>Insulated</v>
      </c>
      <c r="AA275">
        <f>AA274</f>
        <v>20</v>
      </c>
      <c r="AB275">
        <f t="shared" si="671"/>
        <v>6</v>
      </c>
      <c r="AC275">
        <f t="shared" si="672"/>
        <v>3</v>
      </c>
      <c r="AD275">
        <f t="shared" si="672"/>
        <v>13</v>
      </c>
      <c r="AE275">
        <f t="shared" si="672"/>
        <v>12</v>
      </c>
      <c r="AF275">
        <f t="shared" si="672"/>
        <v>14</v>
      </c>
      <c r="AG275">
        <f t="shared" si="673"/>
        <v>77</v>
      </c>
      <c r="AH275">
        <f t="shared" si="674"/>
        <v>78</v>
      </c>
      <c r="AI275">
        <f t="shared" si="675"/>
        <v>1</v>
      </c>
      <c r="AJ275">
        <f t="shared" si="676"/>
        <v>2</v>
      </c>
      <c r="AK275">
        <f t="shared" si="677"/>
        <v>1</v>
      </c>
      <c r="AL275">
        <f t="shared" si="678"/>
        <v>76</v>
      </c>
    </row>
    <row r="276" spans="1:38" ht="17.149999999999999" x14ac:dyDescent="0.55000000000000004">
      <c r="B276" t="str">
        <f>B272</f>
        <v>Portland</v>
      </c>
      <c r="C276" t="s">
        <v>512</v>
      </c>
      <c r="D276">
        <f t="shared" ref="D276:P276" si="680">D272-D271</f>
        <v>10.400000000000034</v>
      </c>
      <c r="E276">
        <f t="shared" si="680"/>
        <v>13.199999999999989</v>
      </c>
      <c r="F276">
        <f t="shared" si="680"/>
        <v>13.200000000000045</v>
      </c>
      <c r="G276">
        <f t="shared" si="680"/>
        <v>13.399999999999977</v>
      </c>
      <c r="H276">
        <f t="shared" si="680"/>
        <v>13.299999999999955</v>
      </c>
      <c r="I276">
        <f t="shared" si="680"/>
        <v>12.500000000000057</v>
      </c>
      <c r="J276">
        <f t="shared" si="680"/>
        <v>12.699999999999932</v>
      </c>
      <c r="K276">
        <f t="shared" si="680"/>
        <v>13.600000000000023</v>
      </c>
      <c r="L276">
        <f t="shared" si="680"/>
        <v>16.399999999999977</v>
      </c>
      <c r="M276">
        <f t="shared" si="680"/>
        <v>14.699999999999989</v>
      </c>
      <c r="N276">
        <f t="shared" si="680"/>
        <v>12.200000000000045</v>
      </c>
      <c r="O276">
        <f t="shared" si="680"/>
        <v>10</v>
      </c>
      <c r="P276">
        <f t="shared" si="680"/>
        <v>13</v>
      </c>
    </row>
    <row r="277" spans="1:38" x14ac:dyDescent="0.4">
      <c r="B277" t="str">
        <f t="shared" ref="B277:B284" si="681">B276</f>
        <v>Portland</v>
      </c>
      <c r="C277" t="s">
        <v>260</v>
      </c>
      <c r="D277">
        <f t="shared" ref="D277:P277" si="682">VLOOKUP(VLOOKUP($B277,Terminal_X_Ref,2,FALSE)&amp;$C277,Weather_Data,$Y277*D$3+$Z277,FALSE)</f>
        <v>343</v>
      </c>
      <c r="E277">
        <f t="shared" si="682"/>
        <v>600</v>
      </c>
      <c r="F277">
        <f t="shared" si="682"/>
        <v>877</v>
      </c>
      <c r="G277">
        <f t="shared" si="682"/>
        <v>1252</v>
      </c>
      <c r="H277">
        <f t="shared" si="682"/>
        <v>1537</v>
      </c>
      <c r="I277">
        <f t="shared" si="682"/>
        <v>1627</v>
      </c>
      <c r="J277">
        <f t="shared" si="682"/>
        <v>1708</v>
      </c>
      <c r="K277">
        <f t="shared" si="682"/>
        <v>1492</v>
      </c>
      <c r="L277">
        <f t="shared" si="682"/>
        <v>1196</v>
      </c>
      <c r="M277">
        <f t="shared" si="682"/>
        <v>728</v>
      </c>
      <c r="N277">
        <f t="shared" si="682"/>
        <v>391</v>
      </c>
      <c r="O277">
        <f t="shared" si="682"/>
        <v>302</v>
      </c>
      <c r="P277">
        <f t="shared" si="682"/>
        <v>1005</v>
      </c>
      <c r="U277">
        <f>U272</f>
        <v>2</v>
      </c>
      <c r="V277">
        <f t="shared" ref="V277:Z277" si="683">V272</f>
        <v>3</v>
      </c>
      <c r="W277">
        <f t="shared" si="683"/>
        <v>1</v>
      </c>
      <c r="X277">
        <f t="shared" si="683"/>
        <v>2</v>
      </c>
      <c r="Y277">
        <f t="shared" si="683"/>
        <v>1</v>
      </c>
      <c r="Z277">
        <f t="shared" si="683"/>
        <v>1</v>
      </c>
    </row>
    <row r="278" spans="1:38" ht="17.149999999999999" x14ac:dyDescent="0.55000000000000004">
      <c r="B278" t="str">
        <f t="shared" si="681"/>
        <v>Portland</v>
      </c>
      <c r="C278" t="s">
        <v>523</v>
      </c>
      <c r="D278">
        <f>IF(ISNUMBER(D275),0.7*D276+0.02*D275*D277,IF(D275="Partially Insulated",0.6*D276+0.02*D274*D277,0))</f>
        <v>0</v>
      </c>
      <c r="E278">
        <f t="shared" ref="E278:P278" si="684">IF(ISNUMBER(E275),0.7*E276+0.02*E275*E277,IF(E275="Partially Insulated",0.6*E276+0.02*E274*E277,0))</f>
        <v>0</v>
      </c>
      <c r="F278">
        <f t="shared" si="684"/>
        <v>0</v>
      </c>
      <c r="G278">
        <f t="shared" si="684"/>
        <v>0</v>
      </c>
      <c r="H278">
        <f t="shared" si="684"/>
        <v>0</v>
      </c>
      <c r="I278">
        <f t="shared" si="684"/>
        <v>0</v>
      </c>
      <c r="J278">
        <f t="shared" si="684"/>
        <v>0</v>
      </c>
      <c r="K278">
        <f t="shared" si="684"/>
        <v>0</v>
      </c>
      <c r="L278">
        <f t="shared" si="684"/>
        <v>0</v>
      </c>
      <c r="M278">
        <f t="shared" si="684"/>
        <v>0</v>
      </c>
      <c r="N278">
        <f t="shared" si="684"/>
        <v>0</v>
      </c>
      <c r="O278">
        <f t="shared" si="684"/>
        <v>0</v>
      </c>
      <c r="P278">
        <f t="shared" si="684"/>
        <v>0</v>
      </c>
    </row>
    <row r="279" spans="1:38" ht="17.149999999999999" x14ac:dyDescent="0.55000000000000004">
      <c r="B279" t="str">
        <f t="shared" si="681"/>
        <v>Portland</v>
      </c>
      <c r="C279" t="s">
        <v>524</v>
      </c>
      <c r="D279">
        <f t="shared" ref="D279:F279" si="685">AVERAGE(D271:D272)</f>
        <v>503.5</v>
      </c>
      <c r="E279">
        <f t="shared" si="685"/>
        <v>504.30000000000007</v>
      </c>
      <c r="F279">
        <f t="shared" si="685"/>
        <v>505.70000000000005</v>
      </c>
      <c r="G279">
        <f>AVERAGE(G271:G272)</f>
        <v>508.2</v>
      </c>
      <c r="H279">
        <f t="shared" ref="H279:P279" si="686">AVERAGE(H271:H272)</f>
        <v>512.75</v>
      </c>
      <c r="I279">
        <f t="shared" si="686"/>
        <v>516.55000000000007</v>
      </c>
      <c r="J279">
        <f t="shared" si="686"/>
        <v>520.04999999999995</v>
      </c>
      <c r="K279">
        <f t="shared" si="686"/>
        <v>520.5</v>
      </c>
      <c r="L279">
        <f t="shared" si="686"/>
        <v>518.20000000000005</v>
      </c>
      <c r="M279">
        <f t="shared" si="686"/>
        <v>512.25</v>
      </c>
      <c r="N279">
        <f t="shared" si="686"/>
        <v>506.70000000000005</v>
      </c>
      <c r="O279">
        <f t="shared" si="686"/>
        <v>503.20000000000005</v>
      </c>
      <c r="P279">
        <f t="shared" si="686"/>
        <v>51.4</v>
      </c>
    </row>
    <row r="280" spans="1:38" ht="17.149999999999999" x14ac:dyDescent="0.55000000000000004">
      <c r="B280" t="str">
        <f t="shared" si="681"/>
        <v>Portland</v>
      </c>
      <c r="C280" t="s">
        <v>525</v>
      </c>
      <c r="D280" cm="1">
        <f t="array" ref="D280">IFERROR(IF(ISBLANK(INDEX(FX_Input,$R271,D$3*$AK271+$AL271)),D279+0.003*D273*D277,INDEX(FX_Input,$R271,D$3*$AK271+$AL271)+459.6),D279)</f>
        <v>503.5</v>
      </c>
      <c r="E280" cm="1">
        <f t="array" ref="E280">IFERROR(IF(ISBLANK(INDEX(FX_Input,$R271,E$3*$AK271+$AL271)),E279+0.003*E273*E277,INDEX(FX_Input,$R271,E$3*$AK271+$AL271)+459.6),E279)</f>
        <v>504.30000000000007</v>
      </c>
      <c r="F280" cm="1">
        <f t="array" ref="F280">IFERROR(IF(ISBLANK(INDEX(FX_Input,$R271,F$3*$AK271+$AL271)),F279+0.003*F273*F277,INDEX(FX_Input,$R271,F$3*$AK271+$AL271)+459.6),F279)</f>
        <v>505.70000000000005</v>
      </c>
      <c r="G280" cm="1">
        <f t="array" ref="G280">IFERROR(IF(ISBLANK(INDEX(FX_Input,$R271,G$3*$AK271+$AL271)),G279+0.003*G273*G277,INDEX(FX_Input,$R271,G$3*$AK271+$AL271)+459.6),G279)</f>
        <v>508.2</v>
      </c>
      <c r="H280" cm="1">
        <f t="array" ref="H280">IFERROR(IF(ISBLANK(INDEX(FX_Input,$R271,H$3*$AK271+$AL271)),H279+0.003*H273*H277,INDEX(FX_Input,$R271,H$3*$AK271+$AL271)+459.6),H279)</f>
        <v>512.75</v>
      </c>
      <c r="I280" cm="1">
        <f t="array" ref="I280">IFERROR(IF(ISBLANK(INDEX(FX_Input,$R271,I$3*$AK271+$AL271)),I279+0.003*I273*I277,INDEX(FX_Input,$R271,I$3*$AK271+$AL271)+459.6),I279)</f>
        <v>516.55000000000007</v>
      </c>
      <c r="J280" cm="1">
        <f t="array" ref="J280">IFERROR(IF(ISBLANK(INDEX(FX_Input,$R271,J$3*$AK271+$AL271)),J279+0.003*J273*J277,INDEX(FX_Input,$R271,J$3*$AK271+$AL271)+459.6),J279)</f>
        <v>520.04999999999995</v>
      </c>
      <c r="K280" cm="1">
        <f t="array" ref="K280">IFERROR(IF(ISBLANK(INDEX(FX_Input,$R271,K$3*$AK271+$AL271)),K279+0.003*K273*K277,INDEX(FX_Input,$R271,K$3*$AK271+$AL271)+459.6),K279)</f>
        <v>520.5</v>
      </c>
      <c r="L280" cm="1">
        <f t="array" ref="L280">IFERROR(IF(ISBLANK(INDEX(FX_Input,$R271,L$3*$AK271+$AL271)),L279+0.003*L273*L277,INDEX(FX_Input,$R271,L$3*$AK271+$AL271)+459.6),L279)</f>
        <v>518.20000000000005</v>
      </c>
      <c r="M280" cm="1">
        <f t="array" ref="M280">IFERROR(IF(ISBLANK(INDEX(FX_Input,$R271,M$3*$AK271+$AL271)),M279+0.003*M273*M277,INDEX(FX_Input,$R271,M$3*$AK271+$AL271)+459.6),M279)</f>
        <v>512.25</v>
      </c>
      <c r="N280" cm="1">
        <f t="array" ref="N280">IFERROR(IF(ISBLANK(INDEX(FX_Input,$R271,N$3*$AK271+$AL271)),N279+0.003*N273*N277,INDEX(FX_Input,$R271,N$3*$AK271+$AL271)+459.6),N279)</f>
        <v>506.70000000000005</v>
      </c>
      <c r="O280" cm="1">
        <f t="array" ref="O280">IFERROR(IF(ISBLANK(INDEX(FX_Input,$R271,O$3*$AK271+$AL271)),O279+0.003*O273*O277,INDEX(FX_Input,$R271,O$3*$AK271+$AL271)+459.6),O279)</f>
        <v>503.20000000000005</v>
      </c>
      <c r="P280" cm="1">
        <f t="array" ref="P280">IFERROR(IF(ISBLANK(INDEX(FX_Input,$R271,P$3*$AK271+$AL271)),P279+0.003*P273*P277,INDEX(FX_Input,$R271,P$3*$AK271+$AL271)+459.6),P279)</f>
        <v>20601.599999999999</v>
      </c>
    </row>
    <row r="281" spans="1:38" ht="17.149999999999999" x14ac:dyDescent="0.55000000000000004">
      <c r="B281" t="str">
        <f t="shared" si="681"/>
        <v>Portland</v>
      </c>
      <c r="C281" t="s">
        <v>526</v>
      </c>
      <c r="D281">
        <f>IF(ISNUMBER(D275),0.4*D271+0.6*D280+0.005*D275*D277,IF(D275="Partially Insulated",0.3*D279+0.7*D280+0.005*D274*D277,D280))-459.6</f>
        <v>43.899999999999977</v>
      </c>
      <c r="E281">
        <f t="shared" ref="E281" si="687">IF(ISNUMBER(E275),0.4*E271+0.6*E280+0.005*E275*E277,IF(E275="Partially Insulated",0.3*E279+0.7*E280+0.005*E274*E277,E280))-459.6</f>
        <v>44.700000000000045</v>
      </c>
      <c r="F281">
        <f t="shared" ref="F281" si="688">IF(ISNUMBER(F275),0.4*F271+0.6*F280+0.005*F275*F277,IF(F275="Partially Insulated",0.3*F279+0.7*F280+0.005*F274*F277,F280))-459.6</f>
        <v>46.100000000000023</v>
      </c>
      <c r="G281">
        <f t="shared" ref="G281" si="689">IF(ISNUMBER(G275),0.4*G271+0.6*G280+0.005*G275*G277,IF(G275="Partially Insulated",0.3*G279+0.7*G280+0.005*G274*G277,G280))-459.6</f>
        <v>48.599999999999966</v>
      </c>
      <c r="H281">
        <f t="shared" ref="H281" si="690">IF(ISNUMBER(H275),0.4*H271+0.6*H280+0.005*H275*H277,IF(H275="Partially Insulated",0.3*H279+0.7*H280+0.005*H274*H277,H280))-459.6</f>
        <v>53.149999999999977</v>
      </c>
      <c r="I281">
        <f t="shared" ref="I281" si="691">IF(ISNUMBER(I275),0.4*I271+0.6*I280+0.005*I275*I277,IF(I275="Partially Insulated",0.3*I279+0.7*I280+0.005*I274*I277,I280))-459.6</f>
        <v>56.950000000000045</v>
      </c>
      <c r="J281">
        <f t="shared" ref="J281" si="692">IF(ISNUMBER(J275),0.4*J271+0.6*J280+0.005*J275*J277,IF(J275="Partially Insulated",0.3*J279+0.7*J280+0.005*J274*J277,J280))-459.6</f>
        <v>60.449999999999932</v>
      </c>
      <c r="K281">
        <f t="shared" ref="K281" si="693">IF(ISNUMBER(K275),0.4*K271+0.6*K280+0.005*K275*K277,IF(K275="Partially Insulated",0.3*K279+0.7*K280+0.005*K274*K277,K280))-459.6</f>
        <v>60.899999999999977</v>
      </c>
      <c r="L281">
        <f t="shared" ref="L281" si="694">IF(ISNUMBER(L275),0.4*L271+0.6*L280+0.005*L275*L277,IF(L275="Partially Insulated",0.3*L279+0.7*L280+0.005*L274*L277,L280))-459.6</f>
        <v>58.600000000000023</v>
      </c>
      <c r="M281">
        <f t="shared" ref="M281" si="695">IF(ISNUMBER(M275),0.4*M271+0.6*M280+0.005*M275*M277,IF(M275="Partially Insulated",0.3*M279+0.7*M280+0.005*M274*M277,M280))-459.6</f>
        <v>52.649999999999977</v>
      </c>
      <c r="N281">
        <f t="shared" ref="N281" si="696">IF(ISNUMBER(N275),0.4*N271+0.6*N280+0.005*N275*N277,IF(N275="Partially Insulated",0.3*N279+0.7*N280+0.005*N274*N277,N280))-459.6</f>
        <v>47.100000000000023</v>
      </c>
      <c r="O281">
        <f t="shared" ref="O281" si="697">IF(ISNUMBER(O275),0.4*O271+0.6*O280+0.005*O275*O277,IF(O275="Partially Insulated",0.3*O279+0.7*O280+0.005*O274*O277,O280))-459.6</f>
        <v>43.600000000000023</v>
      </c>
      <c r="P281">
        <f>AVERAGE(D281:O281)</f>
        <v>51.391666666666673</v>
      </c>
    </row>
    <row r="282" spans="1:38" ht="17.149999999999999" x14ac:dyDescent="0.55000000000000004">
      <c r="B282" t="str">
        <f t="shared" si="681"/>
        <v>Portland</v>
      </c>
      <c r="C282" t="s">
        <v>527</v>
      </c>
      <c r="D282">
        <f>IF(ISNUMBER(D275),0.4*D272+0.6*D280+0.005*D275*D277,IF(D275="Partially Insulated",0.3*D279+0.7*D280+0.005*D274*D277,D280))-459.6</f>
        <v>43.899999999999977</v>
      </c>
      <c r="E282">
        <f t="shared" ref="E282:O282" si="698">IF(ISNUMBER(E275),0.4*E272+0.6*E280+0.005*E275*E277,IF(E275="Partially Insulated",0.3*E279+0.7*E280+0.005*E274*E277,E280))-459.6</f>
        <v>44.700000000000045</v>
      </c>
      <c r="F282">
        <f t="shared" si="698"/>
        <v>46.100000000000023</v>
      </c>
      <c r="G282">
        <f t="shared" si="698"/>
        <v>48.599999999999966</v>
      </c>
      <c r="H282">
        <f t="shared" si="698"/>
        <v>53.149999999999977</v>
      </c>
      <c r="I282">
        <f t="shared" si="698"/>
        <v>56.950000000000045</v>
      </c>
      <c r="J282">
        <f t="shared" si="698"/>
        <v>60.449999999999932</v>
      </c>
      <c r="K282">
        <f t="shared" si="698"/>
        <v>60.899999999999977</v>
      </c>
      <c r="L282">
        <f t="shared" si="698"/>
        <v>58.600000000000023</v>
      </c>
      <c r="M282">
        <f t="shared" si="698"/>
        <v>52.649999999999977</v>
      </c>
      <c r="N282">
        <f t="shared" si="698"/>
        <v>47.100000000000023</v>
      </c>
      <c r="O282">
        <f t="shared" si="698"/>
        <v>43.600000000000023</v>
      </c>
      <c r="P282">
        <f>AVERAGE(D282:O282)</f>
        <v>51.391666666666673</v>
      </c>
    </row>
    <row r="283" spans="1:38" ht="17.149999999999999" x14ac:dyDescent="0.55000000000000004">
      <c r="B283" t="str">
        <f t="shared" si="681"/>
        <v>Portland</v>
      </c>
      <c r="C283" t="s">
        <v>552</v>
      </c>
      <c r="D283">
        <f>IF(ISNUMBER(D275),0.4*D279+0.6*D280+0.005*D275*D277,IF(D275="Partially Insulated",0.3*D279+0.7*D280+0.005*D274*D277,D280))-459.6</f>
        <v>43.899999999999977</v>
      </c>
      <c r="E283">
        <f t="shared" ref="E283:O283" si="699">IF(ISNUMBER(E275),0.4*E279+0.6*E280+0.005*E275*E277,IF(E275="Partially Insulated",0.3*E279+0.7*E280+0.005*E274*E277,E280))-459.6</f>
        <v>44.700000000000045</v>
      </c>
      <c r="F283">
        <f t="shared" si="699"/>
        <v>46.100000000000023</v>
      </c>
      <c r="G283">
        <f t="shared" si="699"/>
        <v>48.599999999999966</v>
      </c>
      <c r="H283">
        <f t="shared" si="699"/>
        <v>53.149999999999977</v>
      </c>
      <c r="I283">
        <f t="shared" si="699"/>
        <v>56.950000000000045</v>
      </c>
      <c r="J283">
        <f t="shared" si="699"/>
        <v>60.449999999999932</v>
      </c>
      <c r="K283">
        <f t="shared" si="699"/>
        <v>60.899999999999977</v>
      </c>
      <c r="L283">
        <f t="shared" si="699"/>
        <v>58.600000000000023</v>
      </c>
      <c r="M283">
        <f t="shared" si="699"/>
        <v>52.649999999999977</v>
      </c>
      <c r="N283">
        <f t="shared" si="699"/>
        <v>47.100000000000023</v>
      </c>
      <c r="O283">
        <f t="shared" si="699"/>
        <v>43.600000000000023</v>
      </c>
      <c r="P283">
        <f>AVERAGE(D283:O283)</f>
        <v>51.391666666666673</v>
      </c>
    </row>
    <row r="284" spans="1:38" ht="17.149999999999999" x14ac:dyDescent="0.55000000000000004">
      <c r="A284" s="11"/>
      <c r="B284" s="11" t="str">
        <f t="shared" si="681"/>
        <v>Portland</v>
      </c>
      <c r="C284" s="11" t="s">
        <v>553</v>
      </c>
      <c r="D284" s="11">
        <f>IF(ISNUMBER(D275),0.7*D279+0.3*D280+0.009*D275*D277,IF(D275="Partially Insulated",0.6*D279+0.4*D280+0.01*D274*D277,D280))-459.6</f>
        <v>43.899999999999977</v>
      </c>
      <c r="E284" s="11">
        <f t="shared" ref="E284:O284" si="700">IF(ISNUMBER(E275),0.7*E279+0.3*E280+0.009*E275*E277,IF(E275="Partially Insulated",0.6*E279+0.4*E280+0.01*E274*E277,E280))-459.6</f>
        <v>44.700000000000045</v>
      </c>
      <c r="F284" s="11">
        <f t="shared" si="700"/>
        <v>46.100000000000023</v>
      </c>
      <c r="G284" s="11">
        <f t="shared" si="700"/>
        <v>48.599999999999966</v>
      </c>
      <c r="H284" s="11">
        <f t="shared" si="700"/>
        <v>53.149999999999977</v>
      </c>
      <c r="I284" s="11">
        <f t="shared" si="700"/>
        <v>56.950000000000045</v>
      </c>
      <c r="J284" s="11">
        <f t="shared" si="700"/>
        <v>60.449999999999932</v>
      </c>
      <c r="K284" s="11">
        <f t="shared" si="700"/>
        <v>60.899999999999977</v>
      </c>
      <c r="L284" s="11">
        <f t="shared" si="700"/>
        <v>58.600000000000023</v>
      </c>
      <c r="M284" s="11">
        <f t="shared" si="700"/>
        <v>52.649999999999977</v>
      </c>
      <c r="N284" s="11">
        <f t="shared" si="700"/>
        <v>47.100000000000023</v>
      </c>
      <c r="O284" s="11">
        <f t="shared" si="700"/>
        <v>43.600000000000023</v>
      </c>
      <c r="P284" s="11">
        <f>AVERAGE(D284:O284)</f>
        <v>51.391666666666673</v>
      </c>
      <c r="Q284" s="11"/>
      <c r="R284" s="11"/>
      <c r="S284" s="11"/>
      <c r="T284" s="11"/>
      <c r="U284" s="11"/>
      <c r="V284" s="11"/>
      <c r="W284" s="11"/>
      <c r="X284" s="11"/>
      <c r="Y284" s="11"/>
      <c r="Z284" s="11"/>
      <c r="AA284" s="11"/>
      <c r="AB284" s="11"/>
      <c r="AC284" s="11"/>
      <c r="AD284" s="11"/>
      <c r="AE284" s="11"/>
      <c r="AF284" s="11"/>
      <c r="AG284" s="11"/>
      <c r="AH284" s="11"/>
      <c r="AI284" s="11"/>
      <c r="AJ284" s="11"/>
      <c r="AK284" s="11"/>
      <c r="AL284" s="11"/>
    </row>
    <row r="285" spans="1:38" ht="17.149999999999999" x14ac:dyDescent="0.55000000000000004">
      <c r="A285" t="str" cm="1">
        <f t="array" ref="A285">INDEX(FX_Input,$R285,S$5)</f>
        <v>FX - 21</v>
      </c>
      <c r="B285" t="str" cm="1">
        <f t="array" ref="B285">INDEX(FX_Input,R285,T285)</f>
        <v>Portland</v>
      </c>
      <c r="C285" t="s">
        <v>510</v>
      </c>
      <c r="D285">
        <f t="shared" ref="D285:O286" si="701">VLOOKUP(VLOOKUP($B285,Terminal_X_Ref,2,FALSE)&amp;$C285,Weather_Data,$Y285*D$3+$Z285,FALSE)+459.6</f>
        <v>498.3</v>
      </c>
      <c r="E285">
        <f t="shared" si="701"/>
        <v>497.70000000000005</v>
      </c>
      <c r="F285">
        <f t="shared" si="701"/>
        <v>499.1</v>
      </c>
      <c r="G285">
        <f t="shared" si="701"/>
        <v>501.5</v>
      </c>
      <c r="H285">
        <f t="shared" si="701"/>
        <v>506.1</v>
      </c>
      <c r="I285">
        <f t="shared" si="701"/>
        <v>510.3</v>
      </c>
      <c r="J285">
        <f t="shared" si="701"/>
        <v>513.70000000000005</v>
      </c>
      <c r="K285">
        <f t="shared" si="701"/>
        <v>513.70000000000005</v>
      </c>
      <c r="L285">
        <f t="shared" si="701"/>
        <v>510</v>
      </c>
      <c r="M285">
        <f t="shared" si="701"/>
        <v>504.90000000000003</v>
      </c>
      <c r="N285">
        <f t="shared" si="701"/>
        <v>500.6</v>
      </c>
      <c r="O285">
        <f t="shared" si="701"/>
        <v>498.20000000000005</v>
      </c>
      <c r="P285">
        <f t="shared" ref="P285:P286" si="702">VLOOKUP(VLOOKUP($B285,Terminal_X_Ref,2,FALSE)&amp;$C285,Weather_Data,$Y285*P$3+$Z285,FALSE)</f>
        <v>44.9</v>
      </c>
      <c r="R285">
        <f>R271+2</f>
        <v>41</v>
      </c>
      <c r="S285">
        <f>S271+1</f>
        <v>21</v>
      </c>
      <c r="T285">
        <v>3</v>
      </c>
      <c r="U285">
        <v>2</v>
      </c>
      <c r="V285">
        <v>3</v>
      </c>
      <c r="W285">
        <v>1</v>
      </c>
      <c r="X285">
        <v>2</v>
      </c>
      <c r="Y285">
        <f>(V285-U285)/(X285-W285)</f>
        <v>1</v>
      </c>
      <c r="Z285">
        <f>U285-Y285*W285</f>
        <v>1</v>
      </c>
      <c r="AA285">
        <f>AA271+1</f>
        <v>21</v>
      </c>
      <c r="AB285">
        <v>6</v>
      </c>
      <c r="AC285">
        <v>3</v>
      </c>
      <c r="AD285">
        <v>13</v>
      </c>
      <c r="AE285">
        <v>12</v>
      </c>
      <c r="AF285">
        <v>14</v>
      </c>
      <c r="AG285">
        <v>77</v>
      </c>
      <c r="AH285">
        <v>78</v>
      </c>
      <c r="AI285">
        <v>1</v>
      </c>
      <c r="AJ285">
        <v>2</v>
      </c>
      <c r="AK285">
        <f>(AH285-AG285)/(AJ285-AI285)</f>
        <v>1</v>
      </c>
      <c r="AL285">
        <f>AG285-AK285*AI285</f>
        <v>76</v>
      </c>
    </row>
    <row r="286" spans="1:38" ht="17.149999999999999" x14ac:dyDescent="0.55000000000000004">
      <c r="B286" t="str">
        <f t="shared" ref="B286" si="703">B285</f>
        <v>Portland</v>
      </c>
      <c r="C286" t="s">
        <v>511</v>
      </c>
      <c r="D286">
        <f t="shared" si="701"/>
        <v>508.70000000000005</v>
      </c>
      <c r="E286">
        <f t="shared" si="701"/>
        <v>510.90000000000003</v>
      </c>
      <c r="F286">
        <f t="shared" si="701"/>
        <v>512.30000000000007</v>
      </c>
      <c r="G286">
        <f t="shared" si="701"/>
        <v>514.9</v>
      </c>
      <c r="H286">
        <f t="shared" si="701"/>
        <v>519.4</v>
      </c>
      <c r="I286">
        <f t="shared" si="701"/>
        <v>522.80000000000007</v>
      </c>
      <c r="J286">
        <f t="shared" si="701"/>
        <v>526.4</v>
      </c>
      <c r="K286">
        <f t="shared" si="701"/>
        <v>527.30000000000007</v>
      </c>
      <c r="L286">
        <f t="shared" si="701"/>
        <v>526.4</v>
      </c>
      <c r="M286">
        <f t="shared" si="701"/>
        <v>519.6</v>
      </c>
      <c r="N286">
        <f t="shared" si="701"/>
        <v>512.80000000000007</v>
      </c>
      <c r="O286">
        <f t="shared" si="701"/>
        <v>508.20000000000005</v>
      </c>
      <c r="P286">
        <f t="shared" si="702"/>
        <v>57.9</v>
      </c>
      <c r="U286">
        <f>U285</f>
        <v>2</v>
      </c>
      <c r="V286">
        <f t="shared" ref="V286:Z286" si="704">V285</f>
        <v>3</v>
      </c>
      <c r="W286">
        <f t="shared" si="704"/>
        <v>1</v>
      </c>
      <c r="X286">
        <f t="shared" si="704"/>
        <v>2</v>
      </c>
      <c r="Y286">
        <f t="shared" si="704"/>
        <v>1</v>
      </c>
      <c r="Z286">
        <f t="shared" si="704"/>
        <v>1</v>
      </c>
      <c r="AA286">
        <f>AA285</f>
        <v>21</v>
      </c>
      <c r="AB286">
        <f t="shared" ref="AB286:AB289" si="705">AB285</f>
        <v>6</v>
      </c>
      <c r="AC286">
        <f t="shared" ref="AC286:AF289" si="706">AC285</f>
        <v>3</v>
      </c>
      <c r="AD286">
        <f t="shared" si="706"/>
        <v>13</v>
      </c>
      <c r="AE286">
        <f t="shared" si="706"/>
        <v>12</v>
      </c>
      <c r="AF286">
        <f t="shared" si="706"/>
        <v>14</v>
      </c>
      <c r="AG286">
        <f t="shared" ref="AG286:AG289" si="707">AG285</f>
        <v>77</v>
      </c>
      <c r="AH286">
        <f t="shared" ref="AH286:AH289" si="708">AH285</f>
        <v>78</v>
      </c>
      <c r="AI286">
        <f t="shared" ref="AI286:AI289" si="709">AI285</f>
        <v>1</v>
      </c>
      <c r="AJ286">
        <f t="shared" ref="AJ286:AJ289" si="710">AJ285</f>
        <v>2</v>
      </c>
      <c r="AK286">
        <f t="shared" ref="AK286:AK289" si="711">AK285</f>
        <v>1</v>
      </c>
      <c r="AL286">
        <f t="shared" ref="AL286:AL289" si="712">AL285</f>
        <v>76</v>
      </c>
    </row>
    <row r="287" spans="1:38" ht="17.149999999999999" x14ac:dyDescent="0.4">
      <c r="B287" t="str">
        <f>B286</f>
        <v>Portland</v>
      </c>
      <c r="C287" s="66" t="s">
        <v>514</v>
      </c>
      <c r="D287" t="str" cm="1">
        <f t="array" ref="D287">INDEX(FX_Calcs,$AA287,$AE287)</f>
        <v>N/A</v>
      </c>
      <c r="E287" t="str" cm="1">
        <f t="array" ref="E287">INDEX(FX_Calcs,$AA287,$AE287)</f>
        <v>N/A</v>
      </c>
      <c r="F287" t="str" cm="1">
        <f t="array" ref="F287">INDEX(FX_Calcs,$AA287,$AE287)</f>
        <v>N/A</v>
      </c>
      <c r="G287" t="str" cm="1">
        <f t="array" ref="G287">INDEX(FX_Calcs,$AA287,$AE287)</f>
        <v>N/A</v>
      </c>
      <c r="H287" t="str" cm="1">
        <f t="array" ref="H287">INDEX(FX_Calcs,$AA287,$AE287)</f>
        <v>N/A</v>
      </c>
      <c r="I287" t="str" cm="1">
        <f t="array" ref="I287">INDEX(FX_Calcs,$AA287,$AE287)</f>
        <v>N/A</v>
      </c>
      <c r="J287" t="str" cm="1">
        <f t="array" ref="J287">INDEX(FX_Calcs,$AA287,$AE287)</f>
        <v>N/A</v>
      </c>
      <c r="K287" t="str" cm="1">
        <f t="array" ref="K287">INDEX(FX_Calcs,$AA287,$AE287)</f>
        <v>N/A</v>
      </c>
      <c r="L287" t="str" cm="1">
        <f t="array" ref="L287">INDEX(FX_Calcs,$AA287,$AE287)</f>
        <v>N/A</v>
      </c>
      <c r="M287" t="str" cm="1">
        <f t="array" ref="M287">INDEX(FX_Calcs,$AA287,$AE287)</f>
        <v>N/A</v>
      </c>
      <c r="N287" t="str" cm="1">
        <f t="array" ref="N287">INDEX(FX_Calcs,$AA287,$AE287)</f>
        <v>N/A</v>
      </c>
      <c r="O287" t="str" cm="1">
        <f t="array" ref="O287">INDEX(FX_Calcs,$AA287,$AE287)</f>
        <v>N/A</v>
      </c>
      <c r="P287" t="str" cm="1">
        <f t="array" ref="P287">INDEX(FX_Calcs,$AA287,$AE287)</f>
        <v>N/A</v>
      </c>
      <c r="AA287">
        <f>AA286</f>
        <v>21</v>
      </c>
      <c r="AB287">
        <f t="shared" si="705"/>
        <v>6</v>
      </c>
      <c r="AC287">
        <f t="shared" si="706"/>
        <v>3</v>
      </c>
      <c r="AD287">
        <f t="shared" si="706"/>
        <v>13</v>
      </c>
      <c r="AE287">
        <f t="shared" si="706"/>
        <v>12</v>
      </c>
      <c r="AF287">
        <f t="shared" si="706"/>
        <v>14</v>
      </c>
      <c r="AG287">
        <f t="shared" si="707"/>
        <v>77</v>
      </c>
      <c r="AH287">
        <f t="shared" si="708"/>
        <v>78</v>
      </c>
      <c r="AI287">
        <f t="shared" si="709"/>
        <v>1</v>
      </c>
      <c r="AJ287">
        <f t="shared" si="710"/>
        <v>2</v>
      </c>
      <c r="AK287">
        <f t="shared" si="711"/>
        <v>1</v>
      </c>
      <c r="AL287">
        <f t="shared" si="712"/>
        <v>76</v>
      </c>
    </row>
    <row r="288" spans="1:38" ht="17.149999999999999" x14ac:dyDescent="0.4">
      <c r="B288" t="str">
        <f t="shared" ref="B288:B289" si="713">B287</f>
        <v>Portland</v>
      </c>
      <c r="C288" s="66" t="s">
        <v>513</v>
      </c>
      <c r="D288" t="str" cm="1">
        <f t="array" ref="D288">INDEX(FX_Calcs,$AA288,$AD288)</f>
        <v>N/A</v>
      </c>
      <c r="E288" t="str" cm="1">
        <f t="array" ref="E288">INDEX(FX_Calcs,$AA288,$AD288)</f>
        <v>N/A</v>
      </c>
      <c r="F288" t="str" cm="1">
        <f t="array" ref="F288">INDEX(FX_Calcs,$AA288,$AD288)</f>
        <v>N/A</v>
      </c>
      <c r="G288" t="str" cm="1">
        <f t="array" ref="G288">INDEX(FX_Calcs,$AA288,$AD288)</f>
        <v>N/A</v>
      </c>
      <c r="H288" t="str" cm="1">
        <f t="array" ref="H288">INDEX(FX_Calcs,$AA288,$AD288)</f>
        <v>N/A</v>
      </c>
      <c r="I288" t="str" cm="1">
        <f t="array" ref="I288">INDEX(FX_Calcs,$AA288,$AD288)</f>
        <v>N/A</v>
      </c>
      <c r="J288" t="str" cm="1">
        <f t="array" ref="J288">INDEX(FX_Calcs,$AA288,$AD288)</f>
        <v>N/A</v>
      </c>
      <c r="K288" t="str" cm="1">
        <f t="array" ref="K288">INDEX(FX_Calcs,$AA288,$AD288)</f>
        <v>N/A</v>
      </c>
      <c r="L288" t="str" cm="1">
        <f t="array" ref="L288">INDEX(FX_Calcs,$AA288,$AD288)</f>
        <v>N/A</v>
      </c>
      <c r="M288" t="str" cm="1">
        <f t="array" ref="M288">INDEX(FX_Calcs,$AA288,$AD288)</f>
        <v>N/A</v>
      </c>
      <c r="N288" t="str" cm="1">
        <f t="array" ref="N288">INDEX(FX_Calcs,$AA288,$AD288)</f>
        <v>N/A</v>
      </c>
      <c r="O288" t="str" cm="1">
        <f t="array" ref="O288">INDEX(FX_Calcs,$AA288,$AD288)</f>
        <v>N/A</v>
      </c>
      <c r="P288" t="str" cm="1">
        <f t="array" ref="P288">INDEX(FX_Calcs,$AA288,$AD288)</f>
        <v>N/A</v>
      </c>
      <c r="AA288">
        <f>AA287</f>
        <v>21</v>
      </c>
      <c r="AB288">
        <f t="shared" si="705"/>
        <v>6</v>
      </c>
      <c r="AC288">
        <f t="shared" si="706"/>
        <v>3</v>
      </c>
      <c r="AD288">
        <f t="shared" si="706"/>
        <v>13</v>
      </c>
      <c r="AE288">
        <f t="shared" si="706"/>
        <v>12</v>
      </c>
      <c r="AF288">
        <f t="shared" si="706"/>
        <v>14</v>
      </c>
      <c r="AG288">
        <f t="shared" si="707"/>
        <v>77</v>
      </c>
      <c r="AH288">
        <f t="shared" si="708"/>
        <v>78</v>
      </c>
      <c r="AI288">
        <f t="shared" si="709"/>
        <v>1</v>
      </c>
      <c r="AJ288">
        <f t="shared" si="710"/>
        <v>2</v>
      </c>
      <c r="AK288">
        <f t="shared" si="711"/>
        <v>1</v>
      </c>
      <c r="AL288">
        <f t="shared" si="712"/>
        <v>76</v>
      </c>
    </row>
    <row r="289" spans="1:38" x14ac:dyDescent="0.4">
      <c r="B289" t="str">
        <f t="shared" si="713"/>
        <v>Portland</v>
      </c>
      <c r="C289" s="66" t="s">
        <v>558</v>
      </c>
      <c r="D289" t="str" cm="1">
        <f t="array" ref="D289">INDEX(FX_Calcs,$AA289,$AF289)</f>
        <v>Insulated</v>
      </c>
      <c r="E289" t="str" cm="1">
        <f t="array" ref="E289">INDEX(FX_Calcs,$AA289,$AF289)</f>
        <v>Insulated</v>
      </c>
      <c r="F289" t="str" cm="1">
        <f t="array" ref="F289">INDEX(FX_Calcs,$AA289,$AF289)</f>
        <v>Insulated</v>
      </c>
      <c r="G289" t="str" cm="1">
        <f t="array" ref="G289">INDEX(FX_Calcs,$AA289,$AF289)</f>
        <v>Insulated</v>
      </c>
      <c r="H289" t="str" cm="1">
        <f t="array" ref="H289">INDEX(FX_Calcs,$AA289,$AF289)</f>
        <v>Insulated</v>
      </c>
      <c r="I289" t="str" cm="1">
        <f t="array" ref="I289">INDEX(FX_Calcs,$AA289,$AF289)</f>
        <v>Insulated</v>
      </c>
      <c r="J289" t="str" cm="1">
        <f t="array" ref="J289">INDEX(FX_Calcs,$AA289,$AF289)</f>
        <v>Insulated</v>
      </c>
      <c r="K289" t="str" cm="1">
        <f t="array" ref="K289">INDEX(FX_Calcs,$AA289,$AF289)</f>
        <v>Insulated</v>
      </c>
      <c r="L289" t="str" cm="1">
        <f t="array" ref="L289">INDEX(FX_Calcs,$AA289,$AF289)</f>
        <v>Insulated</v>
      </c>
      <c r="M289" t="str" cm="1">
        <f t="array" ref="M289">INDEX(FX_Calcs,$AA289,$AF289)</f>
        <v>Insulated</v>
      </c>
      <c r="N289" t="str" cm="1">
        <f t="array" ref="N289">INDEX(FX_Calcs,$AA289,$AF289)</f>
        <v>Insulated</v>
      </c>
      <c r="O289" t="str" cm="1">
        <f t="array" ref="O289">INDEX(FX_Calcs,$AA289,$AF289)</f>
        <v>Insulated</v>
      </c>
      <c r="P289" t="str" cm="1">
        <f t="array" ref="P289">INDEX(FX_Calcs,$AA289,$AF289)</f>
        <v>Insulated</v>
      </c>
      <c r="AA289">
        <f>AA288</f>
        <v>21</v>
      </c>
      <c r="AB289">
        <f t="shared" si="705"/>
        <v>6</v>
      </c>
      <c r="AC289">
        <f t="shared" si="706"/>
        <v>3</v>
      </c>
      <c r="AD289">
        <f t="shared" si="706"/>
        <v>13</v>
      </c>
      <c r="AE289">
        <f t="shared" si="706"/>
        <v>12</v>
      </c>
      <c r="AF289">
        <f t="shared" si="706"/>
        <v>14</v>
      </c>
      <c r="AG289">
        <f t="shared" si="707"/>
        <v>77</v>
      </c>
      <c r="AH289">
        <f t="shared" si="708"/>
        <v>78</v>
      </c>
      <c r="AI289">
        <f t="shared" si="709"/>
        <v>1</v>
      </c>
      <c r="AJ289">
        <f t="shared" si="710"/>
        <v>2</v>
      </c>
      <c r="AK289">
        <f t="shared" si="711"/>
        <v>1</v>
      </c>
      <c r="AL289">
        <f t="shared" si="712"/>
        <v>76</v>
      </c>
    </row>
    <row r="290" spans="1:38" ht="17.149999999999999" x14ac:dyDescent="0.55000000000000004">
      <c r="B290" t="str">
        <f>B286</f>
        <v>Portland</v>
      </c>
      <c r="C290" t="s">
        <v>512</v>
      </c>
      <c r="D290">
        <f t="shared" ref="D290:P290" si="714">D286-D285</f>
        <v>10.400000000000034</v>
      </c>
      <c r="E290">
        <f t="shared" si="714"/>
        <v>13.199999999999989</v>
      </c>
      <c r="F290">
        <f t="shared" si="714"/>
        <v>13.200000000000045</v>
      </c>
      <c r="G290">
        <f t="shared" si="714"/>
        <v>13.399999999999977</v>
      </c>
      <c r="H290">
        <f t="shared" si="714"/>
        <v>13.299999999999955</v>
      </c>
      <c r="I290">
        <f t="shared" si="714"/>
        <v>12.500000000000057</v>
      </c>
      <c r="J290">
        <f t="shared" si="714"/>
        <v>12.699999999999932</v>
      </c>
      <c r="K290">
        <f t="shared" si="714"/>
        <v>13.600000000000023</v>
      </c>
      <c r="L290">
        <f t="shared" si="714"/>
        <v>16.399999999999977</v>
      </c>
      <c r="M290">
        <f t="shared" si="714"/>
        <v>14.699999999999989</v>
      </c>
      <c r="N290">
        <f t="shared" si="714"/>
        <v>12.200000000000045</v>
      </c>
      <c r="O290">
        <f t="shared" si="714"/>
        <v>10</v>
      </c>
      <c r="P290">
        <f t="shared" si="714"/>
        <v>13</v>
      </c>
    </row>
    <row r="291" spans="1:38" x14ac:dyDescent="0.4">
      <c r="B291" t="str">
        <f t="shared" ref="B291:B298" si="715">B290</f>
        <v>Portland</v>
      </c>
      <c r="C291" t="s">
        <v>260</v>
      </c>
      <c r="D291">
        <f t="shared" ref="D291:P291" si="716">VLOOKUP(VLOOKUP($B291,Terminal_X_Ref,2,FALSE)&amp;$C291,Weather_Data,$Y291*D$3+$Z291,FALSE)</f>
        <v>343</v>
      </c>
      <c r="E291">
        <f t="shared" si="716"/>
        <v>600</v>
      </c>
      <c r="F291">
        <f t="shared" si="716"/>
        <v>877</v>
      </c>
      <c r="G291">
        <f t="shared" si="716"/>
        <v>1252</v>
      </c>
      <c r="H291">
        <f t="shared" si="716"/>
        <v>1537</v>
      </c>
      <c r="I291">
        <f t="shared" si="716"/>
        <v>1627</v>
      </c>
      <c r="J291">
        <f t="shared" si="716"/>
        <v>1708</v>
      </c>
      <c r="K291">
        <f t="shared" si="716"/>
        <v>1492</v>
      </c>
      <c r="L291">
        <f t="shared" si="716"/>
        <v>1196</v>
      </c>
      <c r="M291">
        <f t="shared" si="716"/>
        <v>728</v>
      </c>
      <c r="N291">
        <f t="shared" si="716"/>
        <v>391</v>
      </c>
      <c r="O291">
        <f t="shared" si="716"/>
        <v>302</v>
      </c>
      <c r="P291">
        <f t="shared" si="716"/>
        <v>1005</v>
      </c>
      <c r="U291">
        <f>U286</f>
        <v>2</v>
      </c>
      <c r="V291">
        <f t="shared" ref="V291:Z291" si="717">V286</f>
        <v>3</v>
      </c>
      <c r="W291">
        <f t="shared" si="717"/>
        <v>1</v>
      </c>
      <c r="X291">
        <f t="shared" si="717"/>
        <v>2</v>
      </c>
      <c r="Y291">
        <f t="shared" si="717"/>
        <v>1</v>
      </c>
      <c r="Z291">
        <f t="shared" si="717"/>
        <v>1</v>
      </c>
    </row>
    <row r="292" spans="1:38" ht="17.149999999999999" x14ac:dyDescent="0.55000000000000004">
      <c r="B292" t="str">
        <f t="shared" si="715"/>
        <v>Portland</v>
      </c>
      <c r="C292" t="s">
        <v>523</v>
      </c>
      <c r="D292">
        <f>IF(ISNUMBER(D289),0.7*D290+0.02*D289*D291,IF(D289="Partially Insulated",0.6*D290+0.02*D288*D291,0))</f>
        <v>0</v>
      </c>
      <c r="E292">
        <f t="shared" ref="E292:P292" si="718">IF(ISNUMBER(E289),0.7*E290+0.02*E289*E291,IF(E289="Partially Insulated",0.6*E290+0.02*E288*E291,0))</f>
        <v>0</v>
      </c>
      <c r="F292">
        <f t="shared" si="718"/>
        <v>0</v>
      </c>
      <c r="G292">
        <f t="shared" si="718"/>
        <v>0</v>
      </c>
      <c r="H292">
        <f t="shared" si="718"/>
        <v>0</v>
      </c>
      <c r="I292">
        <f t="shared" si="718"/>
        <v>0</v>
      </c>
      <c r="J292">
        <f t="shared" si="718"/>
        <v>0</v>
      </c>
      <c r="K292">
        <f t="shared" si="718"/>
        <v>0</v>
      </c>
      <c r="L292">
        <f t="shared" si="718"/>
        <v>0</v>
      </c>
      <c r="M292">
        <f t="shared" si="718"/>
        <v>0</v>
      </c>
      <c r="N292">
        <f t="shared" si="718"/>
        <v>0</v>
      </c>
      <c r="O292">
        <f t="shared" si="718"/>
        <v>0</v>
      </c>
      <c r="P292">
        <f t="shared" si="718"/>
        <v>0</v>
      </c>
    </row>
    <row r="293" spans="1:38" ht="17.149999999999999" x14ac:dyDescent="0.55000000000000004">
      <c r="B293" t="str">
        <f t="shared" si="715"/>
        <v>Portland</v>
      </c>
      <c r="C293" t="s">
        <v>524</v>
      </c>
      <c r="D293">
        <f t="shared" ref="D293:F293" si="719">AVERAGE(D285:D286)</f>
        <v>503.5</v>
      </c>
      <c r="E293">
        <f t="shared" si="719"/>
        <v>504.30000000000007</v>
      </c>
      <c r="F293">
        <f t="shared" si="719"/>
        <v>505.70000000000005</v>
      </c>
      <c r="G293">
        <f>AVERAGE(G285:G286)</f>
        <v>508.2</v>
      </c>
      <c r="H293">
        <f t="shared" ref="H293:P293" si="720">AVERAGE(H285:H286)</f>
        <v>512.75</v>
      </c>
      <c r="I293">
        <f t="shared" si="720"/>
        <v>516.55000000000007</v>
      </c>
      <c r="J293">
        <f t="shared" si="720"/>
        <v>520.04999999999995</v>
      </c>
      <c r="K293">
        <f t="shared" si="720"/>
        <v>520.5</v>
      </c>
      <c r="L293">
        <f t="shared" si="720"/>
        <v>518.20000000000005</v>
      </c>
      <c r="M293">
        <f t="shared" si="720"/>
        <v>512.25</v>
      </c>
      <c r="N293">
        <f t="shared" si="720"/>
        <v>506.70000000000005</v>
      </c>
      <c r="O293">
        <f t="shared" si="720"/>
        <v>503.20000000000005</v>
      </c>
      <c r="P293">
        <f t="shared" si="720"/>
        <v>51.4</v>
      </c>
    </row>
    <row r="294" spans="1:38" ht="17.149999999999999" x14ac:dyDescent="0.55000000000000004">
      <c r="B294" t="str">
        <f t="shared" si="715"/>
        <v>Portland</v>
      </c>
      <c r="C294" t="s">
        <v>525</v>
      </c>
      <c r="D294" cm="1">
        <f t="array" ref="D294">IFERROR(IF(ISBLANK(INDEX(FX_Input,$R285,D$3*$AK285+$AL285)),D293+0.003*D287*D291,INDEX(FX_Input,$R285,D$3*$AK285+$AL285)+459.6),D293)</f>
        <v>503.5</v>
      </c>
      <c r="E294" cm="1">
        <f t="array" ref="E294">IFERROR(IF(ISBLANK(INDEX(FX_Input,$R285,E$3*$AK285+$AL285)),E293+0.003*E287*E291,INDEX(FX_Input,$R285,E$3*$AK285+$AL285)+459.6),E293)</f>
        <v>504.30000000000007</v>
      </c>
      <c r="F294" cm="1">
        <f t="array" ref="F294">IFERROR(IF(ISBLANK(INDEX(FX_Input,$R285,F$3*$AK285+$AL285)),F293+0.003*F287*F291,INDEX(FX_Input,$R285,F$3*$AK285+$AL285)+459.6),F293)</f>
        <v>505.70000000000005</v>
      </c>
      <c r="G294" cm="1">
        <f t="array" ref="G294">IFERROR(IF(ISBLANK(INDEX(FX_Input,$R285,G$3*$AK285+$AL285)),G293+0.003*G287*G291,INDEX(FX_Input,$R285,G$3*$AK285+$AL285)+459.6),G293)</f>
        <v>508.2</v>
      </c>
      <c r="H294" cm="1">
        <f t="array" ref="H294">IFERROR(IF(ISBLANK(INDEX(FX_Input,$R285,H$3*$AK285+$AL285)),H293+0.003*H287*H291,INDEX(FX_Input,$R285,H$3*$AK285+$AL285)+459.6),H293)</f>
        <v>512.75</v>
      </c>
      <c r="I294" cm="1">
        <f t="array" ref="I294">IFERROR(IF(ISBLANK(INDEX(FX_Input,$R285,I$3*$AK285+$AL285)),I293+0.003*I287*I291,INDEX(FX_Input,$R285,I$3*$AK285+$AL285)+459.6),I293)</f>
        <v>516.55000000000007</v>
      </c>
      <c r="J294" cm="1">
        <f t="array" ref="J294">IFERROR(IF(ISBLANK(INDEX(FX_Input,$R285,J$3*$AK285+$AL285)),J293+0.003*J287*J291,INDEX(FX_Input,$R285,J$3*$AK285+$AL285)+459.6),J293)</f>
        <v>520.04999999999995</v>
      </c>
      <c r="K294" cm="1">
        <f t="array" ref="K294">IFERROR(IF(ISBLANK(INDEX(FX_Input,$R285,K$3*$AK285+$AL285)),K293+0.003*K287*K291,INDEX(FX_Input,$R285,K$3*$AK285+$AL285)+459.6),K293)</f>
        <v>520.5</v>
      </c>
      <c r="L294" cm="1">
        <f t="array" ref="L294">IFERROR(IF(ISBLANK(INDEX(FX_Input,$R285,L$3*$AK285+$AL285)),L293+0.003*L287*L291,INDEX(FX_Input,$R285,L$3*$AK285+$AL285)+459.6),L293)</f>
        <v>518.20000000000005</v>
      </c>
      <c r="M294" cm="1">
        <f t="array" ref="M294">IFERROR(IF(ISBLANK(INDEX(FX_Input,$R285,M$3*$AK285+$AL285)),M293+0.003*M287*M291,INDEX(FX_Input,$R285,M$3*$AK285+$AL285)+459.6),M293)</f>
        <v>512.25</v>
      </c>
      <c r="N294" cm="1">
        <f t="array" ref="N294">IFERROR(IF(ISBLANK(INDEX(FX_Input,$R285,N$3*$AK285+$AL285)),N293+0.003*N287*N291,INDEX(FX_Input,$R285,N$3*$AK285+$AL285)+459.6),N293)</f>
        <v>506.70000000000005</v>
      </c>
      <c r="O294" cm="1">
        <f t="array" ref="O294">IFERROR(IF(ISBLANK(INDEX(FX_Input,$R285,O$3*$AK285+$AL285)),O293+0.003*O287*O291,INDEX(FX_Input,$R285,O$3*$AK285+$AL285)+459.6),O293)</f>
        <v>503.20000000000005</v>
      </c>
      <c r="P294" cm="1">
        <f t="array" ref="P294">IFERROR(IF(ISBLANK(INDEX(FX_Input,$R285,P$3*$AK285+$AL285)),P293+0.003*P287*P291,INDEX(FX_Input,$R285,P$3*$AK285+$AL285)+459.6),P293)</f>
        <v>56409.599999999999</v>
      </c>
    </row>
    <row r="295" spans="1:38" ht="17.149999999999999" x14ac:dyDescent="0.55000000000000004">
      <c r="B295" t="str">
        <f t="shared" si="715"/>
        <v>Portland</v>
      </c>
      <c r="C295" t="s">
        <v>526</v>
      </c>
      <c r="D295">
        <f>IF(ISNUMBER(D289),0.4*D285+0.6*D294+0.005*D289*D291,IF(D289="Partially Insulated",0.3*D293+0.7*D294+0.005*D288*D291,D294))-459.6</f>
        <v>43.899999999999977</v>
      </c>
      <c r="E295">
        <f t="shared" ref="E295" si="721">IF(ISNUMBER(E289),0.4*E285+0.6*E294+0.005*E289*E291,IF(E289="Partially Insulated",0.3*E293+0.7*E294+0.005*E288*E291,E294))-459.6</f>
        <v>44.700000000000045</v>
      </c>
      <c r="F295">
        <f t="shared" ref="F295" si="722">IF(ISNUMBER(F289),0.4*F285+0.6*F294+0.005*F289*F291,IF(F289="Partially Insulated",0.3*F293+0.7*F294+0.005*F288*F291,F294))-459.6</f>
        <v>46.100000000000023</v>
      </c>
      <c r="G295">
        <f t="shared" ref="G295" si="723">IF(ISNUMBER(G289),0.4*G285+0.6*G294+0.005*G289*G291,IF(G289="Partially Insulated",0.3*G293+0.7*G294+0.005*G288*G291,G294))-459.6</f>
        <v>48.599999999999966</v>
      </c>
      <c r="H295">
        <f t="shared" ref="H295" si="724">IF(ISNUMBER(H289),0.4*H285+0.6*H294+0.005*H289*H291,IF(H289="Partially Insulated",0.3*H293+0.7*H294+0.005*H288*H291,H294))-459.6</f>
        <v>53.149999999999977</v>
      </c>
      <c r="I295">
        <f t="shared" ref="I295" si="725">IF(ISNUMBER(I289),0.4*I285+0.6*I294+0.005*I289*I291,IF(I289="Partially Insulated",0.3*I293+0.7*I294+0.005*I288*I291,I294))-459.6</f>
        <v>56.950000000000045</v>
      </c>
      <c r="J295">
        <f t="shared" ref="J295" si="726">IF(ISNUMBER(J289),0.4*J285+0.6*J294+0.005*J289*J291,IF(J289="Partially Insulated",0.3*J293+0.7*J294+0.005*J288*J291,J294))-459.6</f>
        <v>60.449999999999932</v>
      </c>
      <c r="K295">
        <f t="shared" ref="K295" si="727">IF(ISNUMBER(K289),0.4*K285+0.6*K294+0.005*K289*K291,IF(K289="Partially Insulated",0.3*K293+0.7*K294+0.005*K288*K291,K294))-459.6</f>
        <v>60.899999999999977</v>
      </c>
      <c r="L295">
        <f t="shared" ref="L295" si="728">IF(ISNUMBER(L289),0.4*L285+0.6*L294+0.005*L289*L291,IF(L289="Partially Insulated",0.3*L293+0.7*L294+0.005*L288*L291,L294))-459.6</f>
        <v>58.600000000000023</v>
      </c>
      <c r="M295">
        <f t="shared" ref="M295" si="729">IF(ISNUMBER(M289),0.4*M285+0.6*M294+0.005*M289*M291,IF(M289="Partially Insulated",0.3*M293+0.7*M294+0.005*M288*M291,M294))-459.6</f>
        <v>52.649999999999977</v>
      </c>
      <c r="N295">
        <f t="shared" ref="N295" si="730">IF(ISNUMBER(N289),0.4*N285+0.6*N294+0.005*N289*N291,IF(N289="Partially Insulated",0.3*N293+0.7*N294+0.005*N288*N291,N294))-459.6</f>
        <v>47.100000000000023</v>
      </c>
      <c r="O295">
        <f t="shared" ref="O295" si="731">IF(ISNUMBER(O289),0.4*O285+0.6*O294+0.005*O289*O291,IF(O289="Partially Insulated",0.3*O293+0.7*O294+0.005*O288*O291,O294))-459.6</f>
        <v>43.600000000000023</v>
      </c>
      <c r="P295">
        <f>AVERAGE(D295:O295)</f>
        <v>51.391666666666673</v>
      </c>
    </row>
    <row r="296" spans="1:38" ht="17.149999999999999" x14ac:dyDescent="0.55000000000000004">
      <c r="B296" t="str">
        <f t="shared" si="715"/>
        <v>Portland</v>
      </c>
      <c r="C296" t="s">
        <v>527</v>
      </c>
      <c r="D296">
        <f>IF(ISNUMBER(D289),0.4*D286+0.6*D294+0.005*D289*D291,IF(D289="Partially Insulated",0.3*D293+0.7*D294+0.005*D288*D291,D294))-459.6</f>
        <v>43.899999999999977</v>
      </c>
      <c r="E296">
        <f t="shared" ref="E296:O296" si="732">IF(ISNUMBER(E289),0.4*E286+0.6*E294+0.005*E289*E291,IF(E289="Partially Insulated",0.3*E293+0.7*E294+0.005*E288*E291,E294))-459.6</f>
        <v>44.700000000000045</v>
      </c>
      <c r="F296">
        <f t="shared" si="732"/>
        <v>46.100000000000023</v>
      </c>
      <c r="G296">
        <f t="shared" si="732"/>
        <v>48.599999999999966</v>
      </c>
      <c r="H296">
        <f t="shared" si="732"/>
        <v>53.149999999999977</v>
      </c>
      <c r="I296">
        <f t="shared" si="732"/>
        <v>56.950000000000045</v>
      </c>
      <c r="J296">
        <f t="shared" si="732"/>
        <v>60.449999999999932</v>
      </c>
      <c r="K296">
        <f t="shared" si="732"/>
        <v>60.899999999999977</v>
      </c>
      <c r="L296">
        <f t="shared" si="732"/>
        <v>58.600000000000023</v>
      </c>
      <c r="M296">
        <f t="shared" si="732"/>
        <v>52.649999999999977</v>
      </c>
      <c r="N296">
        <f t="shared" si="732"/>
        <v>47.100000000000023</v>
      </c>
      <c r="O296">
        <f t="shared" si="732"/>
        <v>43.600000000000023</v>
      </c>
      <c r="P296">
        <f>AVERAGE(D296:O296)</f>
        <v>51.391666666666673</v>
      </c>
    </row>
    <row r="297" spans="1:38" ht="17.149999999999999" x14ac:dyDescent="0.55000000000000004">
      <c r="B297" t="str">
        <f t="shared" si="715"/>
        <v>Portland</v>
      </c>
      <c r="C297" t="s">
        <v>552</v>
      </c>
      <c r="D297">
        <f>IF(ISNUMBER(D289),0.4*D293+0.6*D294+0.005*D289*D291,IF(D289="Partially Insulated",0.3*D293+0.7*D294+0.005*D288*D291,D294))-459.6</f>
        <v>43.899999999999977</v>
      </c>
      <c r="E297">
        <f t="shared" ref="E297:O297" si="733">IF(ISNUMBER(E289),0.4*E293+0.6*E294+0.005*E289*E291,IF(E289="Partially Insulated",0.3*E293+0.7*E294+0.005*E288*E291,E294))-459.6</f>
        <v>44.700000000000045</v>
      </c>
      <c r="F297">
        <f t="shared" si="733"/>
        <v>46.100000000000023</v>
      </c>
      <c r="G297">
        <f t="shared" si="733"/>
        <v>48.599999999999966</v>
      </c>
      <c r="H297">
        <f t="shared" si="733"/>
        <v>53.149999999999977</v>
      </c>
      <c r="I297">
        <f t="shared" si="733"/>
        <v>56.950000000000045</v>
      </c>
      <c r="J297">
        <f t="shared" si="733"/>
        <v>60.449999999999932</v>
      </c>
      <c r="K297">
        <f t="shared" si="733"/>
        <v>60.899999999999977</v>
      </c>
      <c r="L297">
        <f t="shared" si="733"/>
        <v>58.600000000000023</v>
      </c>
      <c r="M297">
        <f t="shared" si="733"/>
        <v>52.649999999999977</v>
      </c>
      <c r="N297">
        <f t="shared" si="733"/>
        <v>47.100000000000023</v>
      </c>
      <c r="O297">
        <f t="shared" si="733"/>
        <v>43.600000000000023</v>
      </c>
      <c r="P297">
        <f>AVERAGE(D297:O297)</f>
        <v>51.391666666666673</v>
      </c>
    </row>
    <row r="298" spans="1:38" ht="17.149999999999999" x14ac:dyDescent="0.55000000000000004">
      <c r="A298" s="11"/>
      <c r="B298" s="11" t="str">
        <f t="shared" si="715"/>
        <v>Portland</v>
      </c>
      <c r="C298" s="11" t="s">
        <v>553</v>
      </c>
      <c r="D298" s="11">
        <f>IF(ISNUMBER(D289),0.7*D293+0.3*D294+0.009*D289*D291,IF(D289="Partially Insulated",0.6*D293+0.4*D294+0.01*D288*D291,D294))-459.6</f>
        <v>43.899999999999977</v>
      </c>
      <c r="E298" s="11">
        <f t="shared" ref="E298:O298" si="734">IF(ISNUMBER(E289),0.7*E293+0.3*E294+0.009*E289*E291,IF(E289="Partially Insulated",0.6*E293+0.4*E294+0.01*E288*E291,E294))-459.6</f>
        <v>44.700000000000045</v>
      </c>
      <c r="F298" s="11">
        <f t="shared" si="734"/>
        <v>46.100000000000023</v>
      </c>
      <c r="G298" s="11">
        <f t="shared" si="734"/>
        <v>48.599999999999966</v>
      </c>
      <c r="H298" s="11">
        <f t="shared" si="734"/>
        <v>53.149999999999977</v>
      </c>
      <c r="I298" s="11">
        <f t="shared" si="734"/>
        <v>56.950000000000045</v>
      </c>
      <c r="J298" s="11">
        <f t="shared" si="734"/>
        <v>60.449999999999932</v>
      </c>
      <c r="K298" s="11">
        <f t="shared" si="734"/>
        <v>60.899999999999977</v>
      </c>
      <c r="L298" s="11">
        <f t="shared" si="734"/>
        <v>58.600000000000023</v>
      </c>
      <c r="M298" s="11">
        <f t="shared" si="734"/>
        <v>52.649999999999977</v>
      </c>
      <c r="N298" s="11">
        <f t="shared" si="734"/>
        <v>47.100000000000023</v>
      </c>
      <c r="O298" s="11">
        <f t="shared" si="734"/>
        <v>43.600000000000023</v>
      </c>
      <c r="P298" s="11">
        <f>AVERAGE(D298:O298)</f>
        <v>51.391666666666673</v>
      </c>
      <c r="Q298" s="11"/>
      <c r="R298" s="11"/>
      <c r="S298" s="11"/>
      <c r="T298" s="11"/>
      <c r="U298" s="11"/>
      <c r="V298" s="11"/>
      <c r="W298" s="11"/>
      <c r="X298" s="11"/>
      <c r="Y298" s="11"/>
      <c r="Z298" s="11"/>
      <c r="AA298" s="11"/>
      <c r="AB298" s="11"/>
      <c r="AC298" s="11"/>
      <c r="AD298" s="11"/>
      <c r="AE298" s="11"/>
      <c r="AF298" s="11"/>
      <c r="AG298" s="11"/>
      <c r="AH298" s="11"/>
      <c r="AI298" s="11"/>
      <c r="AJ298" s="11"/>
      <c r="AK298" s="11"/>
      <c r="AL298" s="11"/>
    </row>
    <row r="299" spans="1:38" ht="17.149999999999999" x14ac:dyDescent="0.55000000000000004">
      <c r="A299" t="str" cm="1">
        <f t="array" ref="A299">INDEX(FX_Input,$R299,S$5)</f>
        <v>FX - 22</v>
      </c>
      <c r="B299" t="str" cm="1">
        <f t="array" ref="B299">INDEX(FX_Input,R299,T299)</f>
        <v>Portland</v>
      </c>
      <c r="C299" t="s">
        <v>510</v>
      </c>
      <c r="D299">
        <f t="shared" ref="D299:O300" si="735">VLOOKUP(VLOOKUP($B299,Terminal_X_Ref,2,FALSE)&amp;$C299,Weather_Data,$Y299*D$3+$Z299,FALSE)+459.6</f>
        <v>498.3</v>
      </c>
      <c r="E299">
        <f t="shared" si="735"/>
        <v>497.70000000000005</v>
      </c>
      <c r="F299">
        <f t="shared" si="735"/>
        <v>499.1</v>
      </c>
      <c r="G299">
        <f t="shared" si="735"/>
        <v>501.5</v>
      </c>
      <c r="H299">
        <f t="shared" si="735"/>
        <v>506.1</v>
      </c>
      <c r="I299">
        <f t="shared" si="735"/>
        <v>510.3</v>
      </c>
      <c r="J299">
        <f t="shared" si="735"/>
        <v>513.70000000000005</v>
      </c>
      <c r="K299">
        <f t="shared" si="735"/>
        <v>513.70000000000005</v>
      </c>
      <c r="L299">
        <f t="shared" si="735"/>
        <v>510</v>
      </c>
      <c r="M299">
        <f t="shared" si="735"/>
        <v>504.90000000000003</v>
      </c>
      <c r="N299">
        <f t="shared" si="735"/>
        <v>500.6</v>
      </c>
      <c r="O299">
        <f t="shared" si="735"/>
        <v>498.20000000000005</v>
      </c>
      <c r="P299">
        <f t="shared" ref="P299:P300" si="736">VLOOKUP(VLOOKUP($B299,Terminal_X_Ref,2,FALSE)&amp;$C299,Weather_Data,$Y299*P$3+$Z299,FALSE)</f>
        <v>44.9</v>
      </c>
      <c r="R299">
        <f>R285+2</f>
        <v>43</v>
      </c>
      <c r="S299">
        <f>S285+1</f>
        <v>22</v>
      </c>
      <c r="T299">
        <v>3</v>
      </c>
      <c r="U299">
        <v>2</v>
      </c>
      <c r="V299">
        <v>3</v>
      </c>
      <c r="W299">
        <v>1</v>
      </c>
      <c r="X299">
        <v>2</v>
      </c>
      <c r="Y299">
        <f>(V299-U299)/(X299-W299)</f>
        <v>1</v>
      </c>
      <c r="Z299">
        <f>U299-Y299*W299</f>
        <v>1</v>
      </c>
      <c r="AA299">
        <f>AA285+1</f>
        <v>22</v>
      </c>
      <c r="AB299">
        <v>6</v>
      </c>
      <c r="AC299">
        <v>3</v>
      </c>
      <c r="AD299">
        <v>13</v>
      </c>
      <c r="AE299">
        <v>12</v>
      </c>
      <c r="AF299">
        <v>14</v>
      </c>
      <c r="AG299">
        <v>77</v>
      </c>
      <c r="AH299">
        <v>78</v>
      </c>
      <c r="AI299">
        <v>1</v>
      </c>
      <c r="AJ299">
        <v>2</v>
      </c>
      <c r="AK299">
        <f>(AH299-AG299)/(AJ299-AI299)</f>
        <v>1</v>
      </c>
      <c r="AL299">
        <f>AG299-AK299*AI299</f>
        <v>76</v>
      </c>
    </row>
    <row r="300" spans="1:38" ht="17.149999999999999" x14ac:dyDescent="0.55000000000000004">
      <c r="B300" t="str">
        <f t="shared" ref="B300" si="737">B299</f>
        <v>Portland</v>
      </c>
      <c r="C300" t="s">
        <v>511</v>
      </c>
      <c r="D300">
        <f t="shared" si="735"/>
        <v>508.70000000000005</v>
      </c>
      <c r="E300">
        <f t="shared" si="735"/>
        <v>510.90000000000003</v>
      </c>
      <c r="F300">
        <f t="shared" si="735"/>
        <v>512.30000000000007</v>
      </c>
      <c r="G300">
        <f t="shared" si="735"/>
        <v>514.9</v>
      </c>
      <c r="H300">
        <f t="shared" si="735"/>
        <v>519.4</v>
      </c>
      <c r="I300">
        <f t="shared" si="735"/>
        <v>522.80000000000007</v>
      </c>
      <c r="J300">
        <f t="shared" si="735"/>
        <v>526.4</v>
      </c>
      <c r="K300">
        <f t="shared" si="735"/>
        <v>527.30000000000007</v>
      </c>
      <c r="L300">
        <f t="shared" si="735"/>
        <v>526.4</v>
      </c>
      <c r="M300">
        <f t="shared" si="735"/>
        <v>519.6</v>
      </c>
      <c r="N300">
        <f t="shared" si="735"/>
        <v>512.80000000000007</v>
      </c>
      <c r="O300">
        <f t="shared" si="735"/>
        <v>508.20000000000005</v>
      </c>
      <c r="P300">
        <f t="shared" si="736"/>
        <v>57.9</v>
      </c>
      <c r="U300">
        <f>U299</f>
        <v>2</v>
      </c>
      <c r="V300">
        <f t="shared" ref="V300:Z300" si="738">V299</f>
        <v>3</v>
      </c>
      <c r="W300">
        <f t="shared" si="738"/>
        <v>1</v>
      </c>
      <c r="X300">
        <f t="shared" si="738"/>
        <v>2</v>
      </c>
      <c r="Y300">
        <f t="shared" si="738"/>
        <v>1</v>
      </c>
      <c r="Z300">
        <f t="shared" si="738"/>
        <v>1</v>
      </c>
      <c r="AA300">
        <f>AA299</f>
        <v>22</v>
      </c>
      <c r="AB300">
        <f t="shared" ref="AB300:AB303" si="739">AB299</f>
        <v>6</v>
      </c>
      <c r="AC300">
        <f t="shared" ref="AC300:AF303" si="740">AC299</f>
        <v>3</v>
      </c>
      <c r="AD300">
        <f t="shared" si="740"/>
        <v>13</v>
      </c>
      <c r="AE300">
        <f t="shared" si="740"/>
        <v>12</v>
      </c>
      <c r="AF300">
        <f t="shared" si="740"/>
        <v>14</v>
      </c>
      <c r="AG300">
        <f t="shared" ref="AG300:AG303" si="741">AG299</f>
        <v>77</v>
      </c>
      <c r="AH300">
        <f t="shared" ref="AH300:AH303" si="742">AH299</f>
        <v>78</v>
      </c>
      <c r="AI300">
        <f t="shared" ref="AI300:AI303" si="743">AI299</f>
        <v>1</v>
      </c>
      <c r="AJ300">
        <f t="shared" ref="AJ300:AJ303" si="744">AJ299</f>
        <v>2</v>
      </c>
      <c r="AK300">
        <f t="shared" ref="AK300:AK303" si="745">AK299</f>
        <v>1</v>
      </c>
      <c r="AL300">
        <f t="shared" ref="AL300:AL303" si="746">AL299</f>
        <v>76</v>
      </c>
    </row>
    <row r="301" spans="1:38" ht="17.149999999999999" x14ac:dyDescent="0.4">
      <c r="B301" t="str">
        <f>B300</f>
        <v>Portland</v>
      </c>
      <c r="C301" s="66" t="s">
        <v>514</v>
      </c>
      <c r="D301" t="str" cm="1">
        <f t="array" ref="D301">INDEX(FX_Calcs,$AA301,$AE301)</f>
        <v>N/A</v>
      </c>
      <c r="E301" t="str" cm="1">
        <f t="array" ref="E301">INDEX(FX_Calcs,$AA301,$AE301)</f>
        <v>N/A</v>
      </c>
      <c r="F301" t="str" cm="1">
        <f t="array" ref="F301">INDEX(FX_Calcs,$AA301,$AE301)</f>
        <v>N/A</v>
      </c>
      <c r="G301" t="str" cm="1">
        <f t="array" ref="G301">INDEX(FX_Calcs,$AA301,$AE301)</f>
        <v>N/A</v>
      </c>
      <c r="H301" t="str" cm="1">
        <f t="array" ref="H301">INDEX(FX_Calcs,$AA301,$AE301)</f>
        <v>N/A</v>
      </c>
      <c r="I301" t="str" cm="1">
        <f t="array" ref="I301">INDEX(FX_Calcs,$AA301,$AE301)</f>
        <v>N/A</v>
      </c>
      <c r="J301" t="str" cm="1">
        <f t="array" ref="J301">INDEX(FX_Calcs,$AA301,$AE301)</f>
        <v>N/A</v>
      </c>
      <c r="K301" t="str" cm="1">
        <f t="array" ref="K301">INDEX(FX_Calcs,$AA301,$AE301)</f>
        <v>N/A</v>
      </c>
      <c r="L301" t="str" cm="1">
        <f t="array" ref="L301">INDEX(FX_Calcs,$AA301,$AE301)</f>
        <v>N/A</v>
      </c>
      <c r="M301" t="str" cm="1">
        <f t="array" ref="M301">INDEX(FX_Calcs,$AA301,$AE301)</f>
        <v>N/A</v>
      </c>
      <c r="N301" t="str" cm="1">
        <f t="array" ref="N301">INDEX(FX_Calcs,$AA301,$AE301)</f>
        <v>N/A</v>
      </c>
      <c r="O301" t="str" cm="1">
        <f t="array" ref="O301">INDEX(FX_Calcs,$AA301,$AE301)</f>
        <v>N/A</v>
      </c>
      <c r="P301" t="str" cm="1">
        <f t="array" ref="P301">INDEX(FX_Calcs,$AA301,$AE301)</f>
        <v>N/A</v>
      </c>
      <c r="AA301">
        <f>AA300</f>
        <v>22</v>
      </c>
      <c r="AB301">
        <f t="shared" si="739"/>
        <v>6</v>
      </c>
      <c r="AC301">
        <f t="shared" si="740"/>
        <v>3</v>
      </c>
      <c r="AD301">
        <f t="shared" si="740"/>
        <v>13</v>
      </c>
      <c r="AE301">
        <f t="shared" si="740"/>
        <v>12</v>
      </c>
      <c r="AF301">
        <f t="shared" si="740"/>
        <v>14</v>
      </c>
      <c r="AG301">
        <f t="shared" si="741"/>
        <v>77</v>
      </c>
      <c r="AH301">
        <f t="shared" si="742"/>
        <v>78</v>
      </c>
      <c r="AI301">
        <f t="shared" si="743"/>
        <v>1</v>
      </c>
      <c r="AJ301">
        <f t="shared" si="744"/>
        <v>2</v>
      </c>
      <c r="AK301">
        <f t="shared" si="745"/>
        <v>1</v>
      </c>
      <c r="AL301">
        <f t="shared" si="746"/>
        <v>76</v>
      </c>
    </row>
    <row r="302" spans="1:38" ht="17.149999999999999" x14ac:dyDescent="0.4">
      <c r="B302" t="str">
        <f t="shared" ref="B302:B303" si="747">B301</f>
        <v>Portland</v>
      </c>
      <c r="C302" s="66" t="s">
        <v>513</v>
      </c>
      <c r="D302" t="str" cm="1">
        <f t="array" ref="D302">INDEX(FX_Calcs,$AA302,$AD302)</f>
        <v>N/A</v>
      </c>
      <c r="E302" t="str" cm="1">
        <f t="array" ref="E302">INDEX(FX_Calcs,$AA302,$AD302)</f>
        <v>N/A</v>
      </c>
      <c r="F302" t="str" cm="1">
        <f t="array" ref="F302">INDEX(FX_Calcs,$AA302,$AD302)</f>
        <v>N/A</v>
      </c>
      <c r="G302" t="str" cm="1">
        <f t="array" ref="G302">INDEX(FX_Calcs,$AA302,$AD302)</f>
        <v>N/A</v>
      </c>
      <c r="H302" t="str" cm="1">
        <f t="array" ref="H302">INDEX(FX_Calcs,$AA302,$AD302)</f>
        <v>N/A</v>
      </c>
      <c r="I302" t="str" cm="1">
        <f t="array" ref="I302">INDEX(FX_Calcs,$AA302,$AD302)</f>
        <v>N/A</v>
      </c>
      <c r="J302" t="str" cm="1">
        <f t="array" ref="J302">INDEX(FX_Calcs,$AA302,$AD302)</f>
        <v>N/A</v>
      </c>
      <c r="K302" t="str" cm="1">
        <f t="array" ref="K302">INDEX(FX_Calcs,$AA302,$AD302)</f>
        <v>N/A</v>
      </c>
      <c r="L302" t="str" cm="1">
        <f t="array" ref="L302">INDEX(FX_Calcs,$AA302,$AD302)</f>
        <v>N/A</v>
      </c>
      <c r="M302" t="str" cm="1">
        <f t="array" ref="M302">INDEX(FX_Calcs,$AA302,$AD302)</f>
        <v>N/A</v>
      </c>
      <c r="N302" t="str" cm="1">
        <f t="array" ref="N302">INDEX(FX_Calcs,$AA302,$AD302)</f>
        <v>N/A</v>
      </c>
      <c r="O302" t="str" cm="1">
        <f t="array" ref="O302">INDEX(FX_Calcs,$AA302,$AD302)</f>
        <v>N/A</v>
      </c>
      <c r="P302" t="str" cm="1">
        <f t="array" ref="P302">INDEX(FX_Calcs,$AA302,$AD302)</f>
        <v>N/A</v>
      </c>
      <c r="AA302">
        <f>AA301</f>
        <v>22</v>
      </c>
      <c r="AB302">
        <f t="shared" si="739"/>
        <v>6</v>
      </c>
      <c r="AC302">
        <f t="shared" si="740"/>
        <v>3</v>
      </c>
      <c r="AD302">
        <f t="shared" si="740"/>
        <v>13</v>
      </c>
      <c r="AE302">
        <f t="shared" si="740"/>
        <v>12</v>
      </c>
      <c r="AF302">
        <f t="shared" si="740"/>
        <v>14</v>
      </c>
      <c r="AG302">
        <f t="shared" si="741"/>
        <v>77</v>
      </c>
      <c r="AH302">
        <f t="shared" si="742"/>
        <v>78</v>
      </c>
      <c r="AI302">
        <f t="shared" si="743"/>
        <v>1</v>
      </c>
      <c r="AJ302">
        <f t="shared" si="744"/>
        <v>2</v>
      </c>
      <c r="AK302">
        <f t="shared" si="745"/>
        <v>1</v>
      </c>
      <c r="AL302">
        <f t="shared" si="746"/>
        <v>76</v>
      </c>
    </row>
    <row r="303" spans="1:38" x14ac:dyDescent="0.4">
      <c r="B303" t="str">
        <f t="shared" si="747"/>
        <v>Portland</v>
      </c>
      <c r="C303" s="66" t="s">
        <v>558</v>
      </c>
      <c r="D303" t="str" cm="1">
        <f t="array" ref="D303">INDEX(FX_Calcs,$AA303,$AF303)</f>
        <v>Insulated</v>
      </c>
      <c r="E303" t="str" cm="1">
        <f t="array" ref="E303">INDEX(FX_Calcs,$AA303,$AF303)</f>
        <v>Insulated</v>
      </c>
      <c r="F303" t="str" cm="1">
        <f t="array" ref="F303">INDEX(FX_Calcs,$AA303,$AF303)</f>
        <v>Insulated</v>
      </c>
      <c r="G303" t="str" cm="1">
        <f t="array" ref="G303">INDEX(FX_Calcs,$AA303,$AF303)</f>
        <v>Insulated</v>
      </c>
      <c r="H303" t="str" cm="1">
        <f t="array" ref="H303">INDEX(FX_Calcs,$AA303,$AF303)</f>
        <v>Insulated</v>
      </c>
      <c r="I303" t="str" cm="1">
        <f t="array" ref="I303">INDEX(FX_Calcs,$AA303,$AF303)</f>
        <v>Insulated</v>
      </c>
      <c r="J303" t="str" cm="1">
        <f t="array" ref="J303">INDEX(FX_Calcs,$AA303,$AF303)</f>
        <v>Insulated</v>
      </c>
      <c r="K303" t="str" cm="1">
        <f t="array" ref="K303">INDEX(FX_Calcs,$AA303,$AF303)</f>
        <v>Insulated</v>
      </c>
      <c r="L303" t="str" cm="1">
        <f t="array" ref="L303">INDEX(FX_Calcs,$AA303,$AF303)</f>
        <v>Insulated</v>
      </c>
      <c r="M303" t="str" cm="1">
        <f t="array" ref="M303">INDEX(FX_Calcs,$AA303,$AF303)</f>
        <v>Insulated</v>
      </c>
      <c r="N303" t="str" cm="1">
        <f t="array" ref="N303">INDEX(FX_Calcs,$AA303,$AF303)</f>
        <v>Insulated</v>
      </c>
      <c r="O303" t="str" cm="1">
        <f t="array" ref="O303">INDEX(FX_Calcs,$AA303,$AF303)</f>
        <v>Insulated</v>
      </c>
      <c r="P303" t="str" cm="1">
        <f t="array" ref="P303">INDEX(FX_Calcs,$AA303,$AF303)</f>
        <v>Insulated</v>
      </c>
      <c r="AA303">
        <f>AA302</f>
        <v>22</v>
      </c>
      <c r="AB303">
        <f t="shared" si="739"/>
        <v>6</v>
      </c>
      <c r="AC303">
        <f t="shared" si="740"/>
        <v>3</v>
      </c>
      <c r="AD303">
        <f t="shared" si="740"/>
        <v>13</v>
      </c>
      <c r="AE303">
        <f t="shared" si="740"/>
        <v>12</v>
      </c>
      <c r="AF303">
        <f t="shared" si="740"/>
        <v>14</v>
      </c>
      <c r="AG303">
        <f t="shared" si="741"/>
        <v>77</v>
      </c>
      <c r="AH303">
        <f t="shared" si="742"/>
        <v>78</v>
      </c>
      <c r="AI303">
        <f t="shared" si="743"/>
        <v>1</v>
      </c>
      <c r="AJ303">
        <f t="shared" si="744"/>
        <v>2</v>
      </c>
      <c r="AK303">
        <f t="shared" si="745"/>
        <v>1</v>
      </c>
      <c r="AL303">
        <f t="shared" si="746"/>
        <v>76</v>
      </c>
    </row>
    <row r="304" spans="1:38" ht="17.149999999999999" x14ac:dyDescent="0.55000000000000004">
      <c r="B304" t="str">
        <f>B300</f>
        <v>Portland</v>
      </c>
      <c r="C304" t="s">
        <v>512</v>
      </c>
      <c r="D304">
        <f t="shared" ref="D304:P304" si="748">D300-D299</f>
        <v>10.400000000000034</v>
      </c>
      <c r="E304">
        <f t="shared" si="748"/>
        <v>13.199999999999989</v>
      </c>
      <c r="F304">
        <f t="shared" si="748"/>
        <v>13.200000000000045</v>
      </c>
      <c r="G304">
        <f t="shared" si="748"/>
        <v>13.399999999999977</v>
      </c>
      <c r="H304">
        <f t="shared" si="748"/>
        <v>13.299999999999955</v>
      </c>
      <c r="I304">
        <f t="shared" si="748"/>
        <v>12.500000000000057</v>
      </c>
      <c r="J304">
        <f t="shared" si="748"/>
        <v>12.699999999999932</v>
      </c>
      <c r="K304">
        <f t="shared" si="748"/>
        <v>13.600000000000023</v>
      </c>
      <c r="L304">
        <f t="shared" si="748"/>
        <v>16.399999999999977</v>
      </c>
      <c r="M304">
        <f t="shared" si="748"/>
        <v>14.699999999999989</v>
      </c>
      <c r="N304">
        <f t="shared" si="748"/>
        <v>12.200000000000045</v>
      </c>
      <c r="O304">
        <f t="shared" si="748"/>
        <v>10</v>
      </c>
      <c r="P304">
        <f t="shared" si="748"/>
        <v>13</v>
      </c>
    </row>
    <row r="305" spans="1:38" x14ac:dyDescent="0.4">
      <c r="B305" t="str">
        <f t="shared" ref="B305:B312" si="749">B304</f>
        <v>Portland</v>
      </c>
      <c r="C305" t="s">
        <v>260</v>
      </c>
      <c r="D305">
        <f t="shared" ref="D305:P305" si="750">VLOOKUP(VLOOKUP($B305,Terminal_X_Ref,2,FALSE)&amp;$C305,Weather_Data,$Y305*D$3+$Z305,FALSE)</f>
        <v>343</v>
      </c>
      <c r="E305">
        <f t="shared" si="750"/>
        <v>600</v>
      </c>
      <c r="F305">
        <f t="shared" si="750"/>
        <v>877</v>
      </c>
      <c r="G305">
        <f t="shared" si="750"/>
        <v>1252</v>
      </c>
      <c r="H305">
        <f t="shared" si="750"/>
        <v>1537</v>
      </c>
      <c r="I305">
        <f t="shared" si="750"/>
        <v>1627</v>
      </c>
      <c r="J305">
        <f t="shared" si="750"/>
        <v>1708</v>
      </c>
      <c r="K305">
        <f t="shared" si="750"/>
        <v>1492</v>
      </c>
      <c r="L305">
        <f t="shared" si="750"/>
        <v>1196</v>
      </c>
      <c r="M305">
        <f t="shared" si="750"/>
        <v>728</v>
      </c>
      <c r="N305">
        <f t="shared" si="750"/>
        <v>391</v>
      </c>
      <c r="O305">
        <f t="shared" si="750"/>
        <v>302</v>
      </c>
      <c r="P305">
        <f t="shared" si="750"/>
        <v>1005</v>
      </c>
      <c r="U305">
        <f>U300</f>
        <v>2</v>
      </c>
      <c r="V305">
        <f t="shared" ref="V305:Z305" si="751">V300</f>
        <v>3</v>
      </c>
      <c r="W305">
        <f t="shared" si="751"/>
        <v>1</v>
      </c>
      <c r="X305">
        <f t="shared" si="751"/>
        <v>2</v>
      </c>
      <c r="Y305">
        <f t="shared" si="751"/>
        <v>1</v>
      </c>
      <c r="Z305">
        <f t="shared" si="751"/>
        <v>1</v>
      </c>
    </row>
    <row r="306" spans="1:38" ht="17.149999999999999" x14ac:dyDescent="0.55000000000000004">
      <c r="B306" t="str">
        <f t="shared" si="749"/>
        <v>Portland</v>
      </c>
      <c r="C306" t="s">
        <v>523</v>
      </c>
      <c r="D306">
        <f>IF(ISNUMBER(D303),0.7*D304+0.02*D303*D305,IF(D303="Partially Insulated",0.6*D304+0.02*D302*D305,0))</f>
        <v>0</v>
      </c>
      <c r="E306">
        <f t="shared" ref="E306:P306" si="752">IF(ISNUMBER(E303),0.7*E304+0.02*E303*E305,IF(E303="Partially Insulated",0.6*E304+0.02*E302*E305,0))</f>
        <v>0</v>
      </c>
      <c r="F306">
        <f t="shared" si="752"/>
        <v>0</v>
      </c>
      <c r="G306">
        <f t="shared" si="752"/>
        <v>0</v>
      </c>
      <c r="H306">
        <f t="shared" si="752"/>
        <v>0</v>
      </c>
      <c r="I306">
        <f t="shared" si="752"/>
        <v>0</v>
      </c>
      <c r="J306">
        <f t="shared" si="752"/>
        <v>0</v>
      </c>
      <c r="K306">
        <f t="shared" si="752"/>
        <v>0</v>
      </c>
      <c r="L306">
        <f t="shared" si="752"/>
        <v>0</v>
      </c>
      <c r="M306">
        <f t="shared" si="752"/>
        <v>0</v>
      </c>
      <c r="N306">
        <f t="shared" si="752"/>
        <v>0</v>
      </c>
      <c r="O306">
        <f t="shared" si="752"/>
        <v>0</v>
      </c>
      <c r="P306">
        <f t="shared" si="752"/>
        <v>0</v>
      </c>
    </row>
    <row r="307" spans="1:38" ht="17.149999999999999" x14ac:dyDescent="0.55000000000000004">
      <c r="B307" t="str">
        <f t="shared" si="749"/>
        <v>Portland</v>
      </c>
      <c r="C307" t="s">
        <v>524</v>
      </c>
      <c r="D307">
        <f t="shared" ref="D307:F307" si="753">AVERAGE(D299:D300)</f>
        <v>503.5</v>
      </c>
      <c r="E307">
        <f t="shared" si="753"/>
        <v>504.30000000000007</v>
      </c>
      <c r="F307">
        <f t="shared" si="753"/>
        <v>505.70000000000005</v>
      </c>
      <c r="G307">
        <f>AVERAGE(G299:G300)</f>
        <v>508.2</v>
      </c>
      <c r="H307">
        <f t="shared" ref="H307:P307" si="754">AVERAGE(H299:H300)</f>
        <v>512.75</v>
      </c>
      <c r="I307">
        <f t="shared" si="754"/>
        <v>516.55000000000007</v>
      </c>
      <c r="J307">
        <f t="shared" si="754"/>
        <v>520.04999999999995</v>
      </c>
      <c r="K307">
        <f t="shared" si="754"/>
        <v>520.5</v>
      </c>
      <c r="L307">
        <f t="shared" si="754"/>
        <v>518.20000000000005</v>
      </c>
      <c r="M307">
        <f t="shared" si="754"/>
        <v>512.25</v>
      </c>
      <c r="N307">
        <f t="shared" si="754"/>
        <v>506.70000000000005</v>
      </c>
      <c r="O307">
        <f t="shared" si="754"/>
        <v>503.20000000000005</v>
      </c>
      <c r="P307">
        <f t="shared" si="754"/>
        <v>51.4</v>
      </c>
    </row>
    <row r="308" spans="1:38" ht="17.149999999999999" x14ac:dyDescent="0.55000000000000004">
      <c r="B308" t="str">
        <f t="shared" si="749"/>
        <v>Portland</v>
      </c>
      <c r="C308" t="s">
        <v>525</v>
      </c>
      <c r="D308" cm="1">
        <f t="array" ref="D308">IFERROR(IF(ISBLANK(INDEX(FX_Input,$R299,D$3*$AK299+$AL299)),D307+0.003*D301*D305,INDEX(FX_Input,$R299,D$3*$AK299+$AL299)+459.6),D307)</f>
        <v>503.5</v>
      </c>
      <c r="E308" cm="1">
        <f t="array" ref="E308">IFERROR(IF(ISBLANK(INDEX(FX_Input,$R299,E$3*$AK299+$AL299)),E307+0.003*E301*E305,INDEX(FX_Input,$R299,E$3*$AK299+$AL299)+459.6),E307)</f>
        <v>504.30000000000007</v>
      </c>
      <c r="F308" cm="1">
        <f t="array" ref="F308">IFERROR(IF(ISBLANK(INDEX(FX_Input,$R299,F$3*$AK299+$AL299)),F307+0.003*F301*F305,INDEX(FX_Input,$R299,F$3*$AK299+$AL299)+459.6),F307)</f>
        <v>505.70000000000005</v>
      </c>
      <c r="G308" cm="1">
        <f t="array" ref="G308">IFERROR(IF(ISBLANK(INDEX(FX_Input,$R299,G$3*$AK299+$AL299)),G307+0.003*G301*G305,INDEX(FX_Input,$R299,G$3*$AK299+$AL299)+459.6),G307)</f>
        <v>508.2</v>
      </c>
      <c r="H308" cm="1">
        <f t="array" ref="H308">IFERROR(IF(ISBLANK(INDEX(FX_Input,$R299,H$3*$AK299+$AL299)),H307+0.003*H301*H305,INDEX(FX_Input,$R299,H$3*$AK299+$AL299)+459.6),H307)</f>
        <v>512.75</v>
      </c>
      <c r="I308" cm="1">
        <f t="array" ref="I308">IFERROR(IF(ISBLANK(INDEX(FX_Input,$R299,I$3*$AK299+$AL299)),I307+0.003*I301*I305,INDEX(FX_Input,$R299,I$3*$AK299+$AL299)+459.6),I307)</f>
        <v>516.55000000000007</v>
      </c>
      <c r="J308" cm="1">
        <f t="array" ref="J308">IFERROR(IF(ISBLANK(INDEX(FX_Input,$R299,J$3*$AK299+$AL299)),J307+0.003*J301*J305,INDEX(FX_Input,$R299,J$3*$AK299+$AL299)+459.6),J307)</f>
        <v>520.04999999999995</v>
      </c>
      <c r="K308" cm="1">
        <f t="array" ref="K308">IFERROR(IF(ISBLANK(INDEX(FX_Input,$R299,K$3*$AK299+$AL299)),K307+0.003*K301*K305,INDEX(FX_Input,$R299,K$3*$AK299+$AL299)+459.6),K307)</f>
        <v>520.5</v>
      </c>
      <c r="L308" cm="1">
        <f t="array" ref="L308">IFERROR(IF(ISBLANK(INDEX(FX_Input,$R299,L$3*$AK299+$AL299)),L307+0.003*L301*L305,INDEX(FX_Input,$R299,L$3*$AK299+$AL299)+459.6),L307)</f>
        <v>518.20000000000005</v>
      </c>
      <c r="M308" cm="1">
        <f t="array" ref="M308">IFERROR(IF(ISBLANK(INDEX(FX_Input,$R299,M$3*$AK299+$AL299)),M307+0.003*M301*M305,INDEX(FX_Input,$R299,M$3*$AK299+$AL299)+459.6),M307)</f>
        <v>512.25</v>
      </c>
      <c r="N308" cm="1">
        <f t="array" ref="N308">IFERROR(IF(ISBLANK(INDEX(FX_Input,$R299,N$3*$AK299+$AL299)),N307+0.003*N301*N305,INDEX(FX_Input,$R299,N$3*$AK299+$AL299)+459.6),N307)</f>
        <v>506.70000000000005</v>
      </c>
      <c r="O308" cm="1">
        <f t="array" ref="O308">IFERROR(IF(ISBLANK(INDEX(FX_Input,$R299,O$3*$AK299+$AL299)),O307+0.003*O301*O305,INDEX(FX_Input,$R299,O$3*$AK299+$AL299)+459.6),O307)</f>
        <v>503.20000000000005</v>
      </c>
      <c r="P308" cm="1">
        <f t="array" ref="P308">IFERROR(IF(ISBLANK(INDEX(FX_Input,$R299,P$3*$AK299+$AL299)),P307+0.003*P301*P305,INDEX(FX_Input,$R299,P$3*$AK299+$AL299)+459.6),P307)</f>
        <v>81027.600000000006</v>
      </c>
    </row>
    <row r="309" spans="1:38" ht="17.149999999999999" x14ac:dyDescent="0.55000000000000004">
      <c r="B309" t="str">
        <f t="shared" si="749"/>
        <v>Portland</v>
      </c>
      <c r="C309" t="s">
        <v>526</v>
      </c>
      <c r="D309">
        <f>IF(ISNUMBER(D303),0.4*D299+0.6*D308+0.005*D303*D305,IF(D303="Partially Insulated",0.3*D307+0.7*D308+0.005*D302*D305,D308))-459.6</f>
        <v>43.899999999999977</v>
      </c>
      <c r="E309">
        <f t="shared" ref="E309" si="755">IF(ISNUMBER(E303),0.4*E299+0.6*E308+0.005*E303*E305,IF(E303="Partially Insulated",0.3*E307+0.7*E308+0.005*E302*E305,E308))-459.6</f>
        <v>44.700000000000045</v>
      </c>
      <c r="F309">
        <f t="shared" ref="F309" si="756">IF(ISNUMBER(F303),0.4*F299+0.6*F308+0.005*F303*F305,IF(F303="Partially Insulated",0.3*F307+0.7*F308+0.005*F302*F305,F308))-459.6</f>
        <v>46.100000000000023</v>
      </c>
      <c r="G309">
        <f t="shared" ref="G309" si="757">IF(ISNUMBER(G303),0.4*G299+0.6*G308+0.005*G303*G305,IF(G303="Partially Insulated",0.3*G307+0.7*G308+0.005*G302*G305,G308))-459.6</f>
        <v>48.599999999999966</v>
      </c>
      <c r="H309">
        <f t="shared" ref="H309" si="758">IF(ISNUMBER(H303),0.4*H299+0.6*H308+0.005*H303*H305,IF(H303="Partially Insulated",0.3*H307+0.7*H308+0.005*H302*H305,H308))-459.6</f>
        <v>53.149999999999977</v>
      </c>
      <c r="I309">
        <f t="shared" ref="I309" si="759">IF(ISNUMBER(I303),0.4*I299+0.6*I308+0.005*I303*I305,IF(I303="Partially Insulated",0.3*I307+0.7*I308+0.005*I302*I305,I308))-459.6</f>
        <v>56.950000000000045</v>
      </c>
      <c r="J309">
        <f t="shared" ref="J309" si="760">IF(ISNUMBER(J303),0.4*J299+0.6*J308+0.005*J303*J305,IF(J303="Partially Insulated",0.3*J307+0.7*J308+0.005*J302*J305,J308))-459.6</f>
        <v>60.449999999999932</v>
      </c>
      <c r="K309">
        <f t="shared" ref="K309" si="761">IF(ISNUMBER(K303),0.4*K299+0.6*K308+0.005*K303*K305,IF(K303="Partially Insulated",0.3*K307+0.7*K308+0.005*K302*K305,K308))-459.6</f>
        <v>60.899999999999977</v>
      </c>
      <c r="L309">
        <f t="shared" ref="L309" si="762">IF(ISNUMBER(L303),0.4*L299+0.6*L308+0.005*L303*L305,IF(L303="Partially Insulated",0.3*L307+0.7*L308+0.005*L302*L305,L308))-459.6</f>
        <v>58.600000000000023</v>
      </c>
      <c r="M309">
        <f t="shared" ref="M309" si="763">IF(ISNUMBER(M303),0.4*M299+0.6*M308+0.005*M303*M305,IF(M303="Partially Insulated",0.3*M307+0.7*M308+0.005*M302*M305,M308))-459.6</f>
        <v>52.649999999999977</v>
      </c>
      <c r="N309">
        <f t="shared" ref="N309" si="764">IF(ISNUMBER(N303),0.4*N299+0.6*N308+0.005*N303*N305,IF(N303="Partially Insulated",0.3*N307+0.7*N308+0.005*N302*N305,N308))-459.6</f>
        <v>47.100000000000023</v>
      </c>
      <c r="O309">
        <f t="shared" ref="O309" si="765">IF(ISNUMBER(O303),0.4*O299+0.6*O308+0.005*O303*O305,IF(O303="Partially Insulated",0.3*O307+0.7*O308+0.005*O302*O305,O308))-459.6</f>
        <v>43.600000000000023</v>
      </c>
      <c r="P309">
        <f>AVERAGE(D309:O309)</f>
        <v>51.391666666666673</v>
      </c>
    </row>
    <row r="310" spans="1:38" ht="17.149999999999999" x14ac:dyDescent="0.55000000000000004">
      <c r="B310" t="str">
        <f t="shared" si="749"/>
        <v>Portland</v>
      </c>
      <c r="C310" t="s">
        <v>527</v>
      </c>
      <c r="D310">
        <f>IF(ISNUMBER(D303),0.4*D300+0.6*D308+0.005*D303*D305,IF(D303="Partially Insulated",0.3*D307+0.7*D308+0.005*D302*D305,D308))-459.6</f>
        <v>43.899999999999977</v>
      </c>
      <c r="E310">
        <f t="shared" ref="E310:O310" si="766">IF(ISNUMBER(E303),0.4*E300+0.6*E308+0.005*E303*E305,IF(E303="Partially Insulated",0.3*E307+0.7*E308+0.005*E302*E305,E308))-459.6</f>
        <v>44.700000000000045</v>
      </c>
      <c r="F310">
        <f t="shared" si="766"/>
        <v>46.100000000000023</v>
      </c>
      <c r="G310">
        <f t="shared" si="766"/>
        <v>48.599999999999966</v>
      </c>
      <c r="H310">
        <f t="shared" si="766"/>
        <v>53.149999999999977</v>
      </c>
      <c r="I310">
        <f t="shared" si="766"/>
        <v>56.950000000000045</v>
      </c>
      <c r="J310">
        <f t="shared" si="766"/>
        <v>60.449999999999932</v>
      </c>
      <c r="K310">
        <f t="shared" si="766"/>
        <v>60.899999999999977</v>
      </c>
      <c r="L310">
        <f t="shared" si="766"/>
        <v>58.600000000000023</v>
      </c>
      <c r="M310">
        <f t="shared" si="766"/>
        <v>52.649999999999977</v>
      </c>
      <c r="N310">
        <f t="shared" si="766"/>
        <v>47.100000000000023</v>
      </c>
      <c r="O310">
        <f t="shared" si="766"/>
        <v>43.600000000000023</v>
      </c>
      <c r="P310">
        <f>AVERAGE(D310:O310)</f>
        <v>51.391666666666673</v>
      </c>
    </row>
    <row r="311" spans="1:38" ht="17.149999999999999" x14ac:dyDescent="0.55000000000000004">
      <c r="B311" t="str">
        <f t="shared" si="749"/>
        <v>Portland</v>
      </c>
      <c r="C311" t="s">
        <v>552</v>
      </c>
      <c r="D311">
        <f>IF(ISNUMBER(D303),0.4*D307+0.6*D308+0.005*D303*D305,IF(D303="Partially Insulated",0.3*D307+0.7*D308+0.005*D302*D305,D308))-459.6</f>
        <v>43.899999999999977</v>
      </c>
      <c r="E311">
        <f t="shared" ref="E311:O311" si="767">IF(ISNUMBER(E303),0.4*E307+0.6*E308+0.005*E303*E305,IF(E303="Partially Insulated",0.3*E307+0.7*E308+0.005*E302*E305,E308))-459.6</f>
        <v>44.700000000000045</v>
      </c>
      <c r="F311">
        <f t="shared" si="767"/>
        <v>46.100000000000023</v>
      </c>
      <c r="G311">
        <f t="shared" si="767"/>
        <v>48.599999999999966</v>
      </c>
      <c r="H311">
        <f t="shared" si="767"/>
        <v>53.149999999999977</v>
      </c>
      <c r="I311">
        <f t="shared" si="767"/>
        <v>56.950000000000045</v>
      </c>
      <c r="J311">
        <f t="shared" si="767"/>
        <v>60.449999999999932</v>
      </c>
      <c r="K311">
        <f t="shared" si="767"/>
        <v>60.899999999999977</v>
      </c>
      <c r="L311">
        <f t="shared" si="767"/>
        <v>58.600000000000023</v>
      </c>
      <c r="M311">
        <f t="shared" si="767"/>
        <v>52.649999999999977</v>
      </c>
      <c r="N311">
        <f t="shared" si="767"/>
        <v>47.100000000000023</v>
      </c>
      <c r="O311">
        <f t="shared" si="767"/>
        <v>43.600000000000023</v>
      </c>
      <c r="P311">
        <f>AVERAGE(D311:O311)</f>
        <v>51.391666666666673</v>
      </c>
    </row>
    <row r="312" spans="1:38" ht="17.149999999999999" x14ac:dyDescent="0.55000000000000004">
      <c r="A312" s="11"/>
      <c r="B312" s="11" t="str">
        <f t="shared" si="749"/>
        <v>Portland</v>
      </c>
      <c r="C312" s="11" t="s">
        <v>553</v>
      </c>
      <c r="D312" s="11">
        <f>IF(ISNUMBER(D303),0.7*D307+0.3*D308+0.009*D303*D305,IF(D303="Partially Insulated",0.6*D307+0.4*D308+0.01*D302*D305,D308))-459.6</f>
        <v>43.899999999999977</v>
      </c>
      <c r="E312" s="11">
        <f t="shared" ref="E312:O312" si="768">IF(ISNUMBER(E303),0.7*E307+0.3*E308+0.009*E303*E305,IF(E303="Partially Insulated",0.6*E307+0.4*E308+0.01*E302*E305,E308))-459.6</f>
        <v>44.700000000000045</v>
      </c>
      <c r="F312" s="11">
        <f t="shared" si="768"/>
        <v>46.100000000000023</v>
      </c>
      <c r="G312" s="11">
        <f t="shared" si="768"/>
        <v>48.599999999999966</v>
      </c>
      <c r="H312" s="11">
        <f t="shared" si="768"/>
        <v>53.149999999999977</v>
      </c>
      <c r="I312" s="11">
        <f t="shared" si="768"/>
        <v>56.950000000000045</v>
      </c>
      <c r="J312" s="11">
        <f t="shared" si="768"/>
        <v>60.449999999999932</v>
      </c>
      <c r="K312" s="11">
        <f t="shared" si="768"/>
        <v>60.899999999999977</v>
      </c>
      <c r="L312" s="11">
        <f t="shared" si="768"/>
        <v>58.600000000000023</v>
      </c>
      <c r="M312" s="11">
        <f t="shared" si="768"/>
        <v>52.649999999999977</v>
      </c>
      <c r="N312" s="11">
        <f t="shared" si="768"/>
        <v>47.100000000000023</v>
      </c>
      <c r="O312" s="11">
        <f t="shared" si="768"/>
        <v>43.600000000000023</v>
      </c>
      <c r="P312" s="11">
        <f>AVERAGE(D312:O312)</f>
        <v>51.391666666666673</v>
      </c>
      <c r="Q312" s="11"/>
      <c r="R312" s="11"/>
      <c r="S312" s="11"/>
      <c r="T312" s="11"/>
      <c r="U312" s="11"/>
      <c r="V312" s="11"/>
      <c r="W312" s="11"/>
      <c r="X312" s="11"/>
      <c r="Y312" s="11"/>
      <c r="Z312" s="11"/>
      <c r="AA312" s="11"/>
      <c r="AB312" s="11"/>
      <c r="AC312" s="11"/>
      <c r="AD312" s="11"/>
      <c r="AE312" s="11"/>
      <c r="AF312" s="11"/>
      <c r="AG312" s="11"/>
      <c r="AH312" s="11"/>
      <c r="AI312" s="11"/>
      <c r="AJ312" s="11"/>
      <c r="AK312" s="11"/>
      <c r="AL312" s="11"/>
    </row>
    <row r="313" spans="1:38" ht="17.149999999999999" x14ac:dyDescent="0.55000000000000004">
      <c r="A313" t="str" cm="1">
        <f t="array" ref="A313">INDEX(FX_Input,$R313,S$5)</f>
        <v>FX - 23</v>
      </c>
      <c r="B313" t="str" cm="1">
        <f t="array" ref="B313">INDEX(FX_Input,R313,T313)</f>
        <v>Portland</v>
      </c>
      <c r="C313" t="s">
        <v>510</v>
      </c>
      <c r="D313">
        <f t="shared" ref="D313:O314" si="769">VLOOKUP(VLOOKUP($B313,Terminal_X_Ref,2,FALSE)&amp;$C313,Weather_Data,$Y313*D$3+$Z313,FALSE)+459.6</f>
        <v>498.3</v>
      </c>
      <c r="E313">
        <f t="shared" si="769"/>
        <v>497.70000000000005</v>
      </c>
      <c r="F313">
        <f t="shared" si="769"/>
        <v>499.1</v>
      </c>
      <c r="G313">
        <f t="shared" si="769"/>
        <v>501.5</v>
      </c>
      <c r="H313">
        <f t="shared" si="769"/>
        <v>506.1</v>
      </c>
      <c r="I313">
        <f t="shared" si="769"/>
        <v>510.3</v>
      </c>
      <c r="J313">
        <f t="shared" si="769"/>
        <v>513.70000000000005</v>
      </c>
      <c r="K313">
        <f t="shared" si="769"/>
        <v>513.70000000000005</v>
      </c>
      <c r="L313">
        <f t="shared" si="769"/>
        <v>510</v>
      </c>
      <c r="M313">
        <f t="shared" si="769"/>
        <v>504.90000000000003</v>
      </c>
      <c r="N313">
        <f t="shared" si="769"/>
        <v>500.6</v>
      </c>
      <c r="O313">
        <f t="shared" si="769"/>
        <v>498.20000000000005</v>
      </c>
      <c r="P313">
        <f t="shared" ref="P313:P314" si="770">VLOOKUP(VLOOKUP($B313,Terminal_X_Ref,2,FALSE)&amp;$C313,Weather_Data,$Y313*P$3+$Z313,FALSE)</f>
        <v>44.9</v>
      </c>
      <c r="R313">
        <f>R299+2</f>
        <v>45</v>
      </c>
      <c r="S313">
        <f>S299+1</f>
        <v>23</v>
      </c>
      <c r="T313">
        <v>3</v>
      </c>
      <c r="U313">
        <v>2</v>
      </c>
      <c r="V313">
        <v>3</v>
      </c>
      <c r="W313">
        <v>1</v>
      </c>
      <c r="X313">
        <v>2</v>
      </c>
      <c r="Y313">
        <f>(V313-U313)/(X313-W313)</f>
        <v>1</v>
      </c>
      <c r="Z313">
        <f>U313-Y313*W313</f>
        <v>1</v>
      </c>
      <c r="AA313">
        <f>AA299+1</f>
        <v>23</v>
      </c>
      <c r="AB313">
        <v>6</v>
      </c>
      <c r="AC313">
        <v>3</v>
      </c>
      <c r="AD313">
        <v>13</v>
      </c>
      <c r="AE313">
        <v>12</v>
      </c>
      <c r="AF313">
        <v>14</v>
      </c>
      <c r="AG313">
        <v>77</v>
      </c>
      <c r="AH313">
        <v>78</v>
      </c>
      <c r="AI313">
        <v>1</v>
      </c>
      <c r="AJ313">
        <v>2</v>
      </c>
      <c r="AK313">
        <f>(AH313-AG313)/(AJ313-AI313)</f>
        <v>1</v>
      </c>
      <c r="AL313">
        <f>AG313-AK313*AI313</f>
        <v>76</v>
      </c>
    </row>
    <row r="314" spans="1:38" ht="17.149999999999999" x14ac:dyDescent="0.55000000000000004">
      <c r="B314" t="str">
        <f t="shared" ref="B314" si="771">B313</f>
        <v>Portland</v>
      </c>
      <c r="C314" t="s">
        <v>511</v>
      </c>
      <c r="D314">
        <f t="shared" si="769"/>
        <v>508.70000000000005</v>
      </c>
      <c r="E314">
        <f t="shared" si="769"/>
        <v>510.90000000000003</v>
      </c>
      <c r="F314">
        <f t="shared" si="769"/>
        <v>512.30000000000007</v>
      </c>
      <c r="G314">
        <f t="shared" si="769"/>
        <v>514.9</v>
      </c>
      <c r="H314">
        <f t="shared" si="769"/>
        <v>519.4</v>
      </c>
      <c r="I314">
        <f t="shared" si="769"/>
        <v>522.80000000000007</v>
      </c>
      <c r="J314">
        <f t="shared" si="769"/>
        <v>526.4</v>
      </c>
      <c r="K314">
        <f t="shared" si="769"/>
        <v>527.30000000000007</v>
      </c>
      <c r="L314">
        <f t="shared" si="769"/>
        <v>526.4</v>
      </c>
      <c r="M314">
        <f t="shared" si="769"/>
        <v>519.6</v>
      </c>
      <c r="N314">
        <f t="shared" si="769"/>
        <v>512.80000000000007</v>
      </c>
      <c r="O314">
        <f t="shared" si="769"/>
        <v>508.20000000000005</v>
      </c>
      <c r="P314">
        <f t="shared" si="770"/>
        <v>57.9</v>
      </c>
      <c r="U314">
        <f>U313</f>
        <v>2</v>
      </c>
      <c r="V314">
        <f t="shared" ref="V314:Z314" si="772">V313</f>
        <v>3</v>
      </c>
      <c r="W314">
        <f t="shared" si="772"/>
        <v>1</v>
      </c>
      <c r="X314">
        <f t="shared" si="772"/>
        <v>2</v>
      </c>
      <c r="Y314">
        <f t="shared" si="772"/>
        <v>1</v>
      </c>
      <c r="Z314">
        <f t="shared" si="772"/>
        <v>1</v>
      </c>
      <c r="AA314">
        <f>AA313</f>
        <v>23</v>
      </c>
      <c r="AB314">
        <f t="shared" ref="AB314:AB317" si="773">AB313</f>
        <v>6</v>
      </c>
      <c r="AC314">
        <f t="shared" ref="AC314:AF317" si="774">AC313</f>
        <v>3</v>
      </c>
      <c r="AD314">
        <f t="shared" si="774"/>
        <v>13</v>
      </c>
      <c r="AE314">
        <f t="shared" si="774"/>
        <v>12</v>
      </c>
      <c r="AF314">
        <f t="shared" si="774"/>
        <v>14</v>
      </c>
      <c r="AG314">
        <f t="shared" ref="AG314:AG317" si="775">AG313</f>
        <v>77</v>
      </c>
      <c r="AH314">
        <f t="shared" ref="AH314:AH317" si="776">AH313</f>
        <v>78</v>
      </c>
      <c r="AI314">
        <f t="shared" ref="AI314:AI317" si="777">AI313</f>
        <v>1</v>
      </c>
      <c r="AJ314">
        <f t="shared" ref="AJ314:AJ317" si="778">AJ313</f>
        <v>2</v>
      </c>
      <c r="AK314">
        <f t="shared" ref="AK314:AK317" si="779">AK313</f>
        <v>1</v>
      </c>
      <c r="AL314">
        <f t="shared" ref="AL314:AL317" si="780">AL313</f>
        <v>76</v>
      </c>
    </row>
    <row r="315" spans="1:38" ht="17.149999999999999" x14ac:dyDescent="0.4">
      <c r="B315" t="str">
        <f>B314</f>
        <v>Portland</v>
      </c>
      <c r="C315" s="66" t="s">
        <v>514</v>
      </c>
      <c r="D315" t="str" cm="1">
        <f t="array" ref="D315">INDEX(FX_Calcs,$AA315,$AE315)</f>
        <v>N/A</v>
      </c>
      <c r="E315" t="str" cm="1">
        <f t="array" ref="E315">INDEX(FX_Calcs,$AA315,$AE315)</f>
        <v>N/A</v>
      </c>
      <c r="F315" t="str" cm="1">
        <f t="array" ref="F315">INDEX(FX_Calcs,$AA315,$AE315)</f>
        <v>N/A</v>
      </c>
      <c r="G315" t="str" cm="1">
        <f t="array" ref="G315">INDEX(FX_Calcs,$AA315,$AE315)</f>
        <v>N/A</v>
      </c>
      <c r="H315" t="str" cm="1">
        <f t="array" ref="H315">INDEX(FX_Calcs,$AA315,$AE315)</f>
        <v>N/A</v>
      </c>
      <c r="I315" t="str" cm="1">
        <f t="array" ref="I315">INDEX(FX_Calcs,$AA315,$AE315)</f>
        <v>N/A</v>
      </c>
      <c r="J315" t="str" cm="1">
        <f t="array" ref="J315">INDEX(FX_Calcs,$AA315,$AE315)</f>
        <v>N/A</v>
      </c>
      <c r="K315" t="str" cm="1">
        <f t="array" ref="K315">INDEX(FX_Calcs,$AA315,$AE315)</f>
        <v>N/A</v>
      </c>
      <c r="L315" t="str" cm="1">
        <f t="array" ref="L315">INDEX(FX_Calcs,$AA315,$AE315)</f>
        <v>N/A</v>
      </c>
      <c r="M315" t="str" cm="1">
        <f t="array" ref="M315">INDEX(FX_Calcs,$AA315,$AE315)</f>
        <v>N/A</v>
      </c>
      <c r="N315" t="str" cm="1">
        <f t="array" ref="N315">INDEX(FX_Calcs,$AA315,$AE315)</f>
        <v>N/A</v>
      </c>
      <c r="O315" t="str" cm="1">
        <f t="array" ref="O315">INDEX(FX_Calcs,$AA315,$AE315)</f>
        <v>N/A</v>
      </c>
      <c r="P315" t="str" cm="1">
        <f t="array" ref="P315">INDEX(FX_Calcs,$AA315,$AE315)</f>
        <v>N/A</v>
      </c>
      <c r="AA315">
        <f>AA314</f>
        <v>23</v>
      </c>
      <c r="AB315">
        <f t="shared" si="773"/>
        <v>6</v>
      </c>
      <c r="AC315">
        <f t="shared" si="774"/>
        <v>3</v>
      </c>
      <c r="AD315">
        <f t="shared" si="774"/>
        <v>13</v>
      </c>
      <c r="AE315">
        <f t="shared" si="774"/>
        <v>12</v>
      </c>
      <c r="AF315">
        <f t="shared" si="774"/>
        <v>14</v>
      </c>
      <c r="AG315">
        <f t="shared" si="775"/>
        <v>77</v>
      </c>
      <c r="AH315">
        <f t="shared" si="776"/>
        <v>78</v>
      </c>
      <c r="AI315">
        <f t="shared" si="777"/>
        <v>1</v>
      </c>
      <c r="AJ315">
        <f t="shared" si="778"/>
        <v>2</v>
      </c>
      <c r="AK315">
        <f t="shared" si="779"/>
        <v>1</v>
      </c>
      <c r="AL315">
        <f t="shared" si="780"/>
        <v>76</v>
      </c>
    </row>
    <row r="316" spans="1:38" ht="17.149999999999999" x14ac:dyDescent="0.4">
      <c r="B316" t="str">
        <f t="shared" ref="B316:B317" si="781">B315</f>
        <v>Portland</v>
      </c>
      <c r="C316" s="66" t="s">
        <v>513</v>
      </c>
      <c r="D316" t="str" cm="1">
        <f t="array" ref="D316">INDEX(FX_Calcs,$AA316,$AD316)</f>
        <v>N/A</v>
      </c>
      <c r="E316" t="str" cm="1">
        <f t="array" ref="E316">INDEX(FX_Calcs,$AA316,$AD316)</f>
        <v>N/A</v>
      </c>
      <c r="F316" t="str" cm="1">
        <f t="array" ref="F316">INDEX(FX_Calcs,$AA316,$AD316)</f>
        <v>N/A</v>
      </c>
      <c r="G316" t="str" cm="1">
        <f t="array" ref="G316">INDEX(FX_Calcs,$AA316,$AD316)</f>
        <v>N/A</v>
      </c>
      <c r="H316" t="str" cm="1">
        <f t="array" ref="H316">INDEX(FX_Calcs,$AA316,$AD316)</f>
        <v>N/A</v>
      </c>
      <c r="I316" t="str" cm="1">
        <f t="array" ref="I316">INDEX(FX_Calcs,$AA316,$AD316)</f>
        <v>N/A</v>
      </c>
      <c r="J316" t="str" cm="1">
        <f t="array" ref="J316">INDEX(FX_Calcs,$AA316,$AD316)</f>
        <v>N/A</v>
      </c>
      <c r="K316" t="str" cm="1">
        <f t="array" ref="K316">INDEX(FX_Calcs,$AA316,$AD316)</f>
        <v>N/A</v>
      </c>
      <c r="L316" t="str" cm="1">
        <f t="array" ref="L316">INDEX(FX_Calcs,$AA316,$AD316)</f>
        <v>N/A</v>
      </c>
      <c r="M316" t="str" cm="1">
        <f t="array" ref="M316">INDEX(FX_Calcs,$AA316,$AD316)</f>
        <v>N/A</v>
      </c>
      <c r="N316" t="str" cm="1">
        <f t="array" ref="N316">INDEX(FX_Calcs,$AA316,$AD316)</f>
        <v>N/A</v>
      </c>
      <c r="O316" t="str" cm="1">
        <f t="array" ref="O316">INDEX(FX_Calcs,$AA316,$AD316)</f>
        <v>N/A</v>
      </c>
      <c r="P316" t="str" cm="1">
        <f t="array" ref="P316">INDEX(FX_Calcs,$AA316,$AD316)</f>
        <v>N/A</v>
      </c>
      <c r="AA316">
        <f>AA315</f>
        <v>23</v>
      </c>
      <c r="AB316">
        <f t="shared" si="773"/>
        <v>6</v>
      </c>
      <c r="AC316">
        <f t="shared" si="774"/>
        <v>3</v>
      </c>
      <c r="AD316">
        <f t="shared" si="774"/>
        <v>13</v>
      </c>
      <c r="AE316">
        <f t="shared" si="774"/>
        <v>12</v>
      </c>
      <c r="AF316">
        <f t="shared" si="774"/>
        <v>14</v>
      </c>
      <c r="AG316">
        <f t="shared" si="775"/>
        <v>77</v>
      </c>
      <c r="AH316">
        <f t="shared" si="776"/>
        <v>78</v>
      </c>
      <c r="AI316">
        <f t="shared" si="777"/>
        <v>1</v>
      </c>
      <c r="AJ316">
        <f t="shared" si="778"/>
        <v>2</v>
      </c>
      <c r="AK316">
        <f t="shared" si="779"/>
        <v>1</v>
      </c>
      <c r="AL316">
        <f t="shared" si="780"/>
        <v>76</v>
      </c>
    </row>
    <row r="317" spans="1:38" x14ac:dyDescent="0.4">
      <c r="B317" t="str">
        <f t="shared" si="781"/>
        <v>Portland</v>
      </c>
      <c r="C317" s="66" t="s">
        <v>558</v>
      </c>
      <c r="D317" t="str" cm="1">
        <f t="array" ref="D317">INDEX(FX_Calcs,$AA317,$AF317)</f>
        <v>Insulated</v>
      </c>
      <c r="E317" t="str" cm="1">
        <f t="array" ref="E317">INDEX(FX_Calcs,$AA317,$AF317)</f>
        <v>Insulated</v>
      </c>
      <c r="F317" t="str" cm="1">
        <f t="array" ref="F317">INDEX(FX_Calcs,$AA317,$AF317)</f>
        <v>Insulated</v>
      </c>
      <c r="G317" t="str" cm="1">
        <f t="array" ref="G317">INDEX(FX_Calcs,$AA317,$AF317)</f>
        <v>Insulated</v>
      </c>
      <c r="H317" t="str" cm="1">
        <f t="array" ref="H317">INDEX(FX_Calcs,$AA317,$AF317)</f>
        <v>Insulated</v>
      </c>
      <c r="I317" t="str" cm="1">
        <f t="array" ref="I317">INDEX(FX_Calcs,$AA317,$AF317)</f>
        <v>Insulated</v>
      </c>
      <c r="J317" t="str" cm="1">
        <f t="array" ref="J317">INDEX(FX_Calcs,$AA317,$AF317)</f>
        <v>Insulated</v>
      </c>
      <c r="K317" t="str" cm="1">
        <f t="array" ref="K317">INDEX(FX_Calcs,$AA317,$AF317)</f>
        <v>Insulated</v>
      </c>
      <c r="L317" t="str" cm="1">
        <f t="array" ref="L317">INDEX(FX_Calcs,$AA317,$AF317)</f>
        <v>Insulated</v>
      </c>
      <c r="M317" t="str" cm="1">
        <f t="array" ref="M317">INDEX(FX_Calcs,$AA317,$AF317)</f>
        <v>Insulated</v>
      </c>
      <c r="N317" t="str" cm="1">
        <f t="array" ref="N317">INDEX(FX_Calcs,$AA317,$AF317)</f>
        <v>Insulated</v>
      </c>
      <c r="O317" t="str" cm="1">
        <f t="array" ref="O317">INDEX(FX_Calcs,$AA317,$AF317)</f>
        <v>Insulated</v>
      </c>
      <c r="P317" t="str" cm="1">
        <f t="array" ref="P317">INDEX(FX_Calcs,$AA317,$AF317)</f>
        <v>Insulated</v>
      </c>
      <c r="AA317">
        <f>AA316</f>
        <v>23</v>
      </c>
      <c r="AB317">
        <f t="shared" si="773"/>
        <v>6</v>
      </c>
      <c r="AC317">
        <f t="shared" si="774"/>
        <v>3</v>
      </c>
      <c r="AD317">
        <f t="shared" si="774"/>
        <v>13</v>
      </c>
      <c r="AE317">
        <f t="shared" si="774"/>
        <v>12</v>
      </c>
      <c r="AF317">
        <f t="shared" si="774"/>
        <v>14</v>
      </c>
      <c r="AG317">
        <f t="shared" si="775"/>
        <v>77</v>
      </c>
      <c r="AH317">
        <f t="shared" si="776"/>
        <v>78</v>
      </c>
      <c r="AI317">
        <f t="shared" si="777"/>
        <v>1</v>
      </c>
      <c r="AJ317">
        <f t="shared" si="778"/>
        <v>2</v>
      </c>
      <c r="AK317">
        <f t="shared" si="779"/>
        <v>1</v>
      </c>
      <c r="AL317">
        <f t="shared" si="780"/>
        <v>76</v>
      </c>
    </row>
    <row r="318" spans="1:38" ht="17.149999999999999" x14ac:dyDescent="0.55000000000000004">
      <c r="B318" t="str">
        <f>B314</f>
        <v>Portland</v>
      </c>
      <c r="C318" t="s">
        <v>512</v>
      </c>
      <c r="D318">
        <f t="shared" ref="D318:P318" si="782">D314-D313</f>
        <v>10.400000000000034</v>
      </c>
      <c r="E318">
        <f t="shared" si="782"/>
        <v>13.199999999999989</v>
      </c>
      <c r="F318">
        <f t="shared" si="782"/>
        <v>13.200000000000045</v>
      </c>
      <c r="G318">
        <f t="shared" si="782"/>
        <v>13.399999999999977</v>
      </c>
      <c r="H318">
        <f t="shared" si="782"/>
        <v>13.299999999999955</v>
      </c>
      <c r="I318">
        <f t="shared" si="782"/>
        <v>12.500000000000057</v>
      </c>
      <c r="J318">
        <f t="shared" si="782"/>
        <v>12.699999999999932</v>
      </c>
      <c r="K318">
        <f t="shared" si="782"/>
        <v>13.600000000000023</v>
      </c>
      <c r="L318">
        <f t="shared" si="782"/>
        <v>16.399999999999977</v>
      </c>
      <c r="M318">
        <f t="shared" si="782"/>
        <v>14.699999999999989</v>
      </c>
      <c r="N318">
        <f t="shared" si="782"/>
        <v>12.200000000000045</v>
      </c>
      <c r="O318">
        <f t="shared" si="782"/>
        <v>10</v>
      </c>
      <c r="P318">
        <f t="shared" si="782"/>
        <v>13</v>
      </c>
    </row>
    <row r="319" spans="1:38" x14ac:dyDescent="0.4">
      <c r="B319" t="str">
        <f t="shared" ref="B319:B326" si="783">B318</f>
        <v>Portland</v>
      </c>
      <c r="C319" t="s">
        <v>260</v>
      </c>
      <c r="D319">
        <f t="shared" ref="D319:P319" si="784">VLOOKUP(VLOOKUP($B319,Terminal_X_Ref,2,FALSE)&amp;$C319,Weather_Data,$Y319*D$3+$Z319,FALSE)</f>
        <v>343</v>
      </c>
      <c r="E319">
        <f t="shared" si="784"/>
        <v>600</v>
      </c>
      <c r="F319">
        <f t="shared" si="784"/>
        <v>877</v>
      </c>
      <c r="G319">
        <f t="shared" si="784"/>
        <v>1252</v>
      </c>
      <c r="H319">
        <f t="shared" si="784"/>
        <v>1537</v>
      </c>
      <c r="I319">
        <f t="shared" si="784"/>
        <v>1627</v>
      </c>
      <c r="J319">
        <f t="shared" si="784"/>
        <v>1708</v>
      </c>
      <c r="K319">
        <f t="shared" si="784"/>
        <v>1492</v>
      </c>
      <c r="L319">
        <f t="shared" si="784"/>
        <v>1196</v>
      </c>
      <c r="M319">
        <f t="shared" si="784"/>
        <v>728</v>
      </c>
      <c r="N319">
        <f t="shared" si="784"/>
        <v>391</v>
      </c>
      <c r="O319">
        <f t="shared" si="784"/>
        <v>302</v>
      </c>
      <c r="P319">
        <f t="shared" si="784"/>
        <v>1005</v>
      </c>
      <c r="U319">
        <f>U314</f>
        <v>2</v>
      </c>
      <c r="V319">
        <f t="shared" ref="V319:Z319" si="785">V314</f>
        <v>3</v>
      </c>
      <c r="W319">
        <f t="shared" si="785"/>
        <v>1</v>
      </c>
      <c r="X319">
        <f t="shared" si="785"/>
        <v>2</v>
      </c>
      <c r="Y319">
        <f t="shared" si="785"/>
        <v>1</v>
      </c>
      <c r="Z319">
        <f t="shared" si="785"/>
        <v>1</v>
      </c>
    </row>
    <row r="320" spans="1:38" ht="17.149999999999999" x14ac:dyDescent="0.55000000000000004">
      <c r="B320" t="str">
        <f t="shared" si="783"/>
        <v>Portland</v>
      </c>
      <c r="C320" t="s">
        <v>523</v>
      </c>
      <c r="D320">
        <f>IF(ISNUMBER(D317),0.7*D318+0.02*D317*D319,IF(D317="Partially Insulated",0.6*D318+0.02*D316*D319,0))</f>
        <v>0</v>
      </c>
      <c r="E320">
        <f t="shared" ref="E320:P320" si="786">IF(ISNUMBER(E317),0.7*E318+0.02*E317*E319,IF(E317="Partially Insulated",0.6*E318+0.02*E316*E319,0))</f>
        <v>0</v>
      </c>
      <c r="F320">
        <f t="shared" si="786"/>
        <v>0</v>
      </c>
      <c r="G320">
        <f t="shared" si="786"/>
        <v>0</v>
      </c>
      <c r="H320">
        <f t="shared" si="786"/>
        <v>0</v>
      </c>
      <c r="I320">
        <f t="shared" si="786"/>
        <v>0</v>
      </c>
      <c r="J320">
        <f t="shared" si="786"/>
        <v>0</v>
      </c>
      <c r="K320">
        <f t="shared" si="786"/>
        <v>0</v>
      </c>
      <c r="L320">
        <f t="shared" si="786"/>
        <v>0</v>
      </c>
      <c r="M320">
        <f t="shared" si="786"/>
        <v>0</v>
      </c>
      <c r="N320">
        <f t="shared" si="786"/>
        <v>0</v>
      </c>
      <c r="O320">
        <f t="shared" si="786"/>
        <v>0</v>
      </c>
      <c r="P320">
        <f t="shared" si="786"/>
        <v>0</v>
      </c>
    </row>
    <row r="321" spans="1:38" ht="17.149999999999999" x14ac:dyDescent="0.55000000000000004">
      <c r="B321" t="str">
        <f t="shared" si="783"/>
        <v>Portland</v>
      </c>
      <c r="C321" t="s">
        <v>524</v>
      </c>
      <c r="D321">
        <f t="shared" ref="D321:F321" si="787">AVERAGE(D313:D314)</f>
        <v>503.5</v>
      </c>
      <c r="E321">
        <f t="shared" si="787"/>
        <v>504.30000000000007</v>
      </c>
      <c r="F321">
        <f t="shared" si="787"/>
        <v>505.70000000000005</v>
      </c>
      <c r="G321">
        <f>AVERAGE(G313:G314)</f>
        <v>508.2</v>
      </c>
      <c r="H321">
        <f t="shared" ref="H321:P321" si="788">AVERAGE(H313:H314)</f>
        <v>512.75</v>
      </c>
      <c r="I321">
        <f t="shared" si="788"/>
        <v>516.55000000000007</v>
      </c>
      <c r="J321">
        <f t="shared" si="788"/>
        <v>520.04999999999995</v>
      </c>
      <c r="K321">
        <f t="shared" si="788"/>
        <v>520.5</v>
      </c>
      <c r="L321">
        <f t="shared" si="788"/>
        <v>518.20000000000005</v>
      </c>
      <c r="M321">
        <f t="shared" si="788"/>
        <v>512.25</v>
      </c>
      <c r="N321">
        <f t="shared" si="788"/>
        <v>506.70000000000005</v>
      </c>
      <c r="O321">
        <f t="shared" si="788"/>
        <v>503.20000000000005</v>
      </c>
      <c r="P321">
        <f t="shared" si="788"/>
        <v>51.4</v>
      </c>
    </row>
    <row r="322" spans="1:38" ht="17.149999999999999" x14ac:dyDescent="0.55000000000000004">
      <c r="B322" t="str">
        <f t="shared" si="783"/>
        <v>Portland</v>
      </c>
      <c r="C322" t="s">
        <v>525</v>
      </c>
      <c r="D322" cm="1">
        <f t="array" ref="D322">IFERROR(IF(ISBLANK(INDEX(FX_Input,$R313,D$3*$AK313+$AL313)),D321+0.003*D315*D319,INDEX(FX_Input,$R313,D$3*$AK313+$AL313)+459.6),D321)</f>
        <v>503.5</v>
      </c>
      <c r="E322" cm="1">
        <f t="array" ref="E322">IFERROR(IF(ISBLANK(INDEX(FX_Input,$R313,E$3*$AK313+$AL313)),E321+0.003*E315*E319,INDEX(FX_Input,$R313,E$3*$AK313+$AL313)+459.6),E321)</f>
        <v>504.30000000000007</v>
      </c>
      <c r="F322" cm="1">
        <f t="array" ref="F322">IFERROR(IF(ISBLANK(INDEX(FX_Input,$R313,F$3*$AK313+$AL313)),F321+0.003*F315*F319,INDEX(FX_Input,$R313,F$3*$AK313+$AL313)+459.6),F321)</f>
        <v>505.70000000000005</v>
      </c>
      <c r="G322" cm="1">
        <f t="array" ref="G322">IFERROR(IF(ISBLANK(INDEX(FX_Input,$R313,G$3*$AK313+$AL313)),G321+0.003*G315*G319,INDEX(FX_Input,$R313,G$3*$AK313+$AL313)+459.6),G321)</f>
        <v>508.2</v>
      </c>
      <c r="H322" cm="1">
        <f t="array" ref="H322">IFERROR(IF(ISBLANK(INDEX(FX_Input,$R313,H$3*$AK313+$AL313)),H321+0.003*H315*H319,INDEX(FX_Input,$R313,H$3*$AK313+$AL313)+459.6),H321)</f>
        <v>512.75</v>
      </c>
      <c r="I322" cm="1">
        <f t="array" ref="I322">IFERROR(IF(ISBLANK(INDEX(FX_Input,$R313,I$3*$AK313+$AL313)),I321+0.003*I315*I319,INDEX(FX_Input,$R313,I$3*$AK313+$AL313)+459.6),I321)</f>
        <v>516.55000000000007</v>
      </c>
      <c r="J322" cm="1">
        <f t="array" ref="J322">IFERROR(IF(ISBLANK(INDEX(FX_Input,$R313,J$3*$AK313+$AL313)),J321+0.003*J315*J319,INDEX(FX_Input,$R313,J$3*$AK313+$AL313)+459.6),J321)</f>
        <v>520.04999999999995</v>
      </c>
      <c r="K322" cm="1">
        <f t="array" ref="K322">IFERROR(IF(ISBLANK(INDEX(FX_Input,$R313,K$3*$AK313+$AL313)),K321+0.003*K315*K319,INDEX(FX_Input,$R313,K$3*$AK313+$AL313)+459.6),K321)</f>
        <v>520.5</v>
      </c>
      <c r="L322" cm="1">
        <f t="array" ref="L322">IFERROR(IF(ISBLANK(INDEX(FX_Input,$R313,L$3*$AK313+$AL313)),L321+0.003*L315*L319,INDEX(FX_Input,$R313,L$3*$AK313+$AL313)+459.6),L321)</f>
        <v>518.20000000000005</v>
      </c>
      <c r="M322" cm="1">
        <f t="array" ref="M322">IFERROR(IF(ISBLANK(INDEX(FX_Input,$R313,M$3*$AK313+$AL313)),M321+0.003*M315*M319,INDEX(FX_Input,$R313,M$3*$AK313+$AL313)+459.6),M321)</f>
        <v>512.25</v>
      </c>
      <c r="N322" cm="1">
        <f t="array" ref="N322">IFERROR(IF(ISBLANK(INDEX(FX_Input,$R313,N$3*$AK313+$AL313)),N321+0.003*N315*N319,INDEX(FX_Input,$R313,N$3*$AK313+$AL313)+459.6),N321)</f>
        <v>506.70000000000005</v>
      </c>
      <c r="O322" cm="1">
        <f t="array" ref="O322">IFERROR(IF(ISBLANK(INDEX(FX_Input,$R313,O$3*$AK313+$AL313)),O321+0.003*O315*O319,INDEX(FX_Input,$R313,O$3*$AK313+$AL313)+459.6),O321)</f>
        <v>503.20000000000005</v>
      </c>
      <c r="P322" cm="1">
        <f t="array" ref="P322">IFERROR(IF(ISBLANK(INDEX(FX_Input,$R313,P$3*$AK313+$AL313)),P321+0.003*P315*P319,INDEX(FX_Input,$R313,P$3*$AK313+$AL313)+459.6),P321)</f>
        <v>459.6</v>
      </c>
    </row>
    <row r="323" spans="1:38" ht="17.149999999999999" x14ac:dyDescent="0.55000000000000004">
      <c r="B323" t="str">
        <f t="shared" si="783"/>
        <v>Portland</v>
      </c>
      <c r="C323" t="s">
        <v>526</v>
      </c>
      <c r="D323">
        <f>IF(ISNUMBER(D317),0.4*D313+0.6*D322+0.005*D317*D319,IF(D317="Partially Insulated",0.3*D321+0.7*D322+0.005*D316*D319,D322))-459.6</f>
        <v>43.899999999999977</v>
      </c>
      <c r="E323">
        <f t="shared" ref="E323" si="789">IF(ISNUMBER(E317),0.4*E313+0.6*E322+0.005*E317*E319,IF(E317="Partially Insulated",0.3*E321+0.7*E322+0.005*E316*E319,E322))-459.6</f>
        <v>44.700000000000045</v>
      </c>
      <c r="F323">
        <f t="shared" ref="F323" si="790">IF(ISNUMBER(F317),0.4*F313+0.6*F322+0.005*F317*F319,IF(F317="Partially Insulated",0.3*F321+0.7*F322+0.005*F316*F319,F322))-459.6</f>
        <v>46.100000000000023</v>
      </c>
      <c r="G323">
        <f t="shared" ref="G323" si="791">IF(ISNUMBER(G317),0.4*G313+0.6*G322+0.005*G317*G319,IF(G317="Partially Insulated",0.3*G321+0.7*G322+0.005*G316*G319,G322))-459.6</f>
        <v>48.599999999999966</v>
      </c>
      <c r="H323">
        <f t="shared" ref="H323" si="792">IF(ISNUMBER(H317),0.4*H313+0.6*H322+0.005*H317*H319,IF(H317="Partially Insulated",0.3*H321+0.7*H322+0.005*H316*H319,H322))-459.6</f>
        <v>53.149999999999977</v>
      </c>
      <c r="I323">
        <f t="shared" ref="I323" si="793">IF(ISNUMBER(I317),0.4*I313+0.6*I322+0.005*I317*I319,IF(I317="Partially Insulated",0.3*I321+0.7*I322+0.005*I316*I319,I322))-459.6</f>
        <v>56.950000000000045</v>
      </c>
      <c r="J323">
        <f t="shared" ref="J323" si="794">IF(ISNUMBER(J317),0.4*J313+0.6*J322+0.005*J317*J319,IF(J317="Partially Insulated",0.3*J321+0.7*J322+0.005*J316*J319,J322))-459.6</f>
        <v>60.449999999999932</v>
      </c>
      <c r="K323">
        <f t="shared" ref="K323" si="795">IF(ISNUMBER(K317),0.4*K313+0.6*K322+0.005*K317*K319,IF(K317="Partially Insulated",0.3*K321+0.7*K322+0.005*K316*K319,K322))-459.6</f>
        <v>60.899999999999977</v>
      </c>
      <c r="L323">
        <f t="shared" ref="L323" si="796">IF(ISNUMBER(L317),0.4*L313+0.6*L322+0.005*L317*L319,IF(L317="Partially Insulated",0.3*L321+0.7*L322+0.005*L316*L319,L322))-459.6</f>
        <v>58.600000000000023</v>
      </c>
      <c r="M323">
        <f t="shared" ref="M323" si="797">IF(ISNUMBER(M317),0.4*M313+0.6*M322+0.005*M317*M319,IF(M317="Partially Insulated",0.3*M321+0.7*M322+0.005*M316*M319,M322))-459.6</f>
        <v>52.649999999999977</v>
      </c>
      <c r="N323">
        <f t="shared" ref="N323" si="798">IF(ISNUMBER(N317),0.4*N313+0.6*N322+0.005*N317*N319,IF(N317="Partially Insulated",0.3*N321+0.7*N322+0.005*N316*N319,N322))-459.6</f>
        <v>47.100000000000023</v>
      </c>
      <c r="O323">
        <f t="shared" ref="O323" si="799">IF(ISNUMBER(O317),0.4*O313+0.6*O322+0.005*O317*O319,IF(O317="Partially Insulated",0.3*O321+0.7*O322+0.005*O316*O319,O322))-459.6</f>
        <v>43.600000000000023</v>
      </c>
      <c r="P323">
        <f>AVERAGE(D323:O323)</f>
        <v>51.391666666666673</v>
      </c>
    </row>
    <row r="324" spans="1:38" ht="17.149999999999999" x14ac:dyDescent="0.55000000000000004">
      <c r="B324" t="str">
        <f t="shared" si="783"/>
        <v>Portland</v>
      </c>
      <c r="C324" t="s">
        <v>527</v>
      </c>
      <c r="D324">
        <f>IF(ISNUMBER(D317),0.4*D314+0.6*D322+0.005*D317*D319,IF(D317="Partially Insulated",0.3*D321+0.7*D322+0.005*D316*D319,D322))-459.6</f>
        <v>43.899999999999977</v>
      </c>
      <c r="E324">
        <f t="shared" ref="E324:O324" si="800">IF(ISNUMBER(E317),0.4*E314+0.6*E322+0.005*E317*E319,IF(E317="Partially Insulated",0.3*E321+0.7*E322+0.005*E316*E319,E322))-459.6</f>
        <v>44.700000000000045</v>
      </c>
      <c r="F324">
        <f t="shared" si="800"/>
        <v>46.100000000000023</v>
      </c>
      <c r="G324">
        <f t="shared" si="800"/>
        <v>48.599999999999966</v>
      </c>
      <c r="H324">
        <f t="shared" si="800"/>
        <v>53.149999999999977</v>
      </c>
      <c r="I324">
        <f t="shared" si="800"/>
        <v>56.950000000000045</v>
      </c>
      <c r="J324">
        <f t="shared" si="800"/>
        <v>60.449999999999932</v>
      </c>
      <c r="K324">
        <f t="shared" si="800"/>
        <v>60.899999999999977</v>
      </c>
      <c r="L324">
        <f t="shared" si="800"/>
        <v>58.600000000000023</v>
      </c>
      <c r="M324">
        <f t="shared" si="800"/>
        <v>52.649999999999977</v>
      </c>
      <c r="N324">
        <f t="shared" si="800"/>
        <v>47.100000000000023</v>
      </c>
      <c r="O324">
        <f t="shared" si="800"/>
        <v>43.600000000000023</v>
      </c>
      <c r="P324">
        <f>AVERAGE(D324:O324)</f>
        <v>51.391666666666673</v>
      </c>
    </row>
    <row r="325" spans="1:38" ht="17.149999999999999" x14ac:dyDescent="0.55000000000000004">
      <c r="B325" t="str">
        <f t="shared" si="783"/>
        <v>Portland</v>
      </c>
      <c r="C325" t="s">
        <v>552</v>
      </c>
      <c r="D325">
        <f>IF(ISNUMBER(D317),0.4*D321+0.6*D322+0.005*D317*D319,IF(D317="Partially Insulated",0.3*D321+0.7*D322+0.005*D316*D319,D322))-459.6</f>
        <v>43.899999999999977</v>
      </c>
      <c r="E325">
        <f t="shared" ref="E325:O325" si="801">IF(ISNUMBER(E317),0.4*E321+0.6*E322+0.005*E317*E319,IF(E317="Partially Insulated",0.3*E321+0.7*E322+0.005*E316*E319,E322))-459.6</f>
        <v>44.700000000000045</v>
      </c>
      <c r="F325">
        <f t="shared" si="801"/>
        <v>46.100000000000023</v>
      </c>
      <c r="G325">
        <f t="shared" si="801"/>
        <v>48.599999999999966</v>
      </c>
      <c r="H325">
        <f t="shared" si="801"/>
        <v>53.149999999999977</v>
      </c>
      <c r="I325">
        <f t="shared" si="801"/>
        <v>56.950000000000045</v>
      </c>
      <c r="J325">
        <f t="shared" si="801"/>
        <v>60.449999999999932</v>
      </c>
      <c r="K325">
        <f t="shared" si="801"/>
        <v>60.899999999999977</v>
      </c>
      <c r="L325">
        <f t="shared" si="801"/>
        <v>58.600000000000023</v>
      </c>
      <c r="M325">
        <f t="shared" si="801"/>
        <v>52.649999999999977</v>
      </c>
      <c r="N325">
        <f t="shared" si="801"/>
        <v>47.100000000000023</v>
      </c>
      <c r="O325">
        <f t="shared" si="801"/>
        <v>43.600000000000023</v>
      </c>
      <c r="P325">
        <f>AVERAGE(D325:O325)</f>
        <v>51.391666666666673</v>
      </c>
    </row>
    <row r="326" spans="1:38" ht="17.149999999999999" x14ac:dyDescent="0.55000000000000004">
      <c r="A326" s="11"/>
      <c r="B326" s="11" t="str">
        <f t="shared" si="783"/>
        <v>Portland</v>
      </c>
      <c r="C326" s="11" t="s">
        <v>553</v>
      </c>
      <c r="D326" s="11">
        <f>IF(ISNUMBER(D317),0.7*D321+0.3*D322+0.009*D317*D319,IF(D317="Partially Insulated",0.6*D321+0.4*D322+0.01*D316*D319,D322))-459.6</f>
        <v>43.899999999999977</v>
      </c>
      <c r="E326" s="11">
        <f t="shared" ref="E326:O326" si="802">IF(ISNUMBER(E317),0.7*E321+0.3*E322+0.009*E317*E319,IF(E317="Partially Insulated",0.6*E321+0.4*E322+0.01*E316*E319,E322))-459.6</f>
        <v>44.700000000000045</v>
      </c>
      <c r="F326" s="11">
        <f t="shared" si="802"/>
        <v>46.100000000000023</v>
      </c>
      <c r="G326" s="11">
        <f t="shared" si="802"/>
        <v>48.599999999999966</v>
      </c>
      <c r="H326" s="11">
        <f t="shared" si="802"/>
        <v>53.149999999999977</v>
      </c>
      <c r="I326" s="11">
        <f t="shared" si="802"/>
        <v>56.950000000000045</v>
      </c>
      <c r="J326" s="11">
        <f t="shared" si="802"/>
        <v>60.449999999999932</v>
      </c>
      <c r="K326" s="11">
        <f t="shared" si="802"/>
        <v>60.899999999999977</v>
      </c>
      <c r="L326" s="11">
        <f t="shared" si="802"/>
        <v>58.600000000000023</v>
      </c>
      <c r="M326" s="11">
        <f t="shared" si="802"/>
        <v>52.649999999999977</v>
      </c>
      <c r="N326" s="11">
        <f t="shared" si="802"/>
        <v>47.100000000000023</v>
      </c>
      <c r="O326" s="11">
        <f t="shared" si="802"/>
        <v>43.600000000000023</v>
      </c>
      <c r="P326" s="11">
        <f>AVERAGE(D326:O326)</f>
        <v>51.391666666666673</v>
      </c>
      <c r="Q326" s="11"/>
      <c r="R326" s="11"/>
      <c r="S326" s="11"/>
      <c r="T326" s="11"/>
      <c r="U326" s="11"/>
      <c r="V326" s="11"/>
      <c r="W326" s="11"/>
      <c r="X326" s="11"/>
      <c r="Y326" s="11"/>
      <c r="Z326" s="11"/>
      <c r="AA326" s="11"/>
      <c r="AB326" s="11"/>
      <c r="AC326" s="11"/>
      <c r="AD326" s="11"/>
      <c r="AE326" s="11"/>
      <c r="AF326" s="11"/>
      <c r="AG326" s="11"/>
      <c r="AH326" s="11"/>
      <c r="AI326" s="11"/>
      <c r="AJ326" s="11"/>
      <c r="AK326" s="11"/>
      <c r="AL326" s="11"/>
    </row>
    <row r="327" spans="1:38" ht="17.149999999999999" x14ac:dyDescent="0.55000000000000004">
      <c r="A327" t="str" cm="1">
        <f t="array" ref="A327">INDEX(FX_Input,$R327,S$5)</f>
        <v>FX - 24</v>
      </c>
      <c r="B327" t="str" cm="1">
        <f t="array" ref="B327">INDEX(FX_Input,R327,T327)</f>
        <v>Portland</v>
      </c>
      <c r="C327" t="s">
        <v>510</v>
      </c>
      <c r="D327">
        <f t="shared" ref="D327:O328" si="803">VLOOKUP(VLOOKUP($B327,Terminal_X_Ref,2,FALSE)&amp;$C327,Weather_Data,$Y327*D$3+$Z327,FALSE)+459.6</f>
        <v>498.3</v>
      </c>
      <c r="E327">
        <f t="shared" si="803"/>
        <v>497.70000000000005</v>
      </c>
      <c r="F327">
        <f t="shared" si="803"/>
        <v>499.1</v>
      </c>
      <c r="G327">
        <f t="shared" si="803"/>
        <v>501.5</v>
      </c>
      <c r="H327">
        <f t="shared" si="803"/>
        <v>506.1</v>
      </c>
      <c r="I327">
        <f t="shared" si="803"/>
        <v>510.3</v>
      </c>
      <c r="J327">
        <f t="shared" si="803"/>
        <v>513.70000000000005</v>
      </c>
      <c r="K327">
        <f t="shared" si="803"/>
        <v>513.70000000000005</v>
      </c>
      <c r="L327">
        <f t="shared" si="803"/>
        <v>510</v>
      </c>
      <c r="M327">
        <f t="shared" si="803"/>
        <v>504.90000000000003</v>
      </c>
      <c r="N327">
        <f t="shared" si="803"/>
        <v>500.6</v>
      </c>
      <c r="O327">
        <f t="shared" si="803"/>
        <v>498.20000000000005</v>
      </c>
      <c r="P327">
        <f t="shared" ref="P327:P328" si="804">VLOOKUP(VLOOKUP($B327,Terminal_X_Ref,2,FALSE)&amp;$C327,Weather_Data,$Y327*P$3+$Z327,FALSE)</f>
        <v>44.9</v>
      </c>
      <c r="R327">
        <f>R313+2</f>
        <v>47</v>
      </c>
      <c r="S327">
        <f>S313+1</f>
        <v>24</v>
      </c>
      <c r="T327">
        <v>3</v>
      </c>
      <c r="U327">
        <v>2</v>
      </c>
      <c r="V327">
        <v>3</v>
      </c>
      <c r="W327">
        <v>1</v>
      </c>
      <c r="X327">
        <v>2</v>
      </c>
      <c r="Y327">
        <f>(V327-U327)/(X327-W327)</f>
        <v>1</v>
      </c>
      <c r="Z327">
        <f>U327-Y327*W327</f>
        <v>1</v>
      </c>
      <c r="AA327">
        <f>AA313+1</f>
        <v>24</v>
      </c>
      <c r="AB327">
        <v>6</v>
      </c>
      <c r="AC327">
        <v>3</v>
      </c>
      <c r="AD327">
        <v>13</v>
      </c>
      <c r="AE327">
        <v>12</v>
      </c>
      <c r="AF327">
        <v>14</v>
      </c>
      <c r="AG327">
        <v>77</v>
      </c>
      <c r="AH327">
        <v>78</v>
      </c>
      <c r="AI327">
        <v>1</v>
      </c>
      <c r="AJ327">
        <v>2</v>
      </c>
      <c r="AK327">
        <f>(AH327-AG327)/(AJ327-AI327)</f>
        <v>1</v>
      </c>
      <c r="AL327">
        <f>AG327-AK327*AI327</f>
        <v>76</v>
      </c>
    </row>
    <row r="328" spans="1:38" ht="17.149999999999999" x14ac:dyDescent="0.55000000000000004">
      <c r="B328" t="str">
        <f t="shared" ref="B328" si="805">B327</f>
        <v>Portland</v>
      </c>
      <c r="C328" t="s">
        <v>511</v>
      </c>
      <c r="D328">
        <f t="shared" si="803"/>
        <v>508.70000000000005</v>
      </c>
      <c r="E328">
        <f t="shared" si="803"/>
        <v>510.90000000000003</v>
      </c>
      <c r="F328">
        <f t="shared" si="803"/>
        <v>512.30000000000007</v>
      </c>
      <c r="G328">
        <f t="shared" si="803"/>
        <v>514.9</v>
      </c>
      <c r="H328">
        <f t="shared" si="803"/>
        <v>519.4</v>
      </c>
      <c r="I328">
        <f t="shared" si="803"/>
        <v>522.80000000000007</v>
      </c>
      <c r="J328">
        <f t="shared" si="803"/>
        <v>526.4</v>
      </c>
      <c r="K328">
        <f t="shared" si="803"/>
        <v>527.30000000000007</v>
      </c>
      <c r="L328">
        <f t="shared" si="803"/>
        <v>526.4</v>
      </c>
      <c r="M328">
        <f t="shared" si="803"/>
        <v>519.6</v>
      </c>
      <c r="N328">
        <f t="shared" si="803"/>
        <v>512.80000000000007</v>
      </c>
      <c r="O328">
        <f t="shared" si="803"/>
        <v>508.20000000000005</v>
      </c>
      <c r="P328">
        <f t="shared" si="804"/>
        <v>57.9</v>
      </c>
      <c r="U328">
        <f>U327</f>
        <v>2</v>
      </c>
      <c r="V328">
        <f t="shared" ref="V328:Z328" si="806">V327</f>
        <v>3</v>
      </c>
      <c r="W328">
        <f t="shared" si="806"/>
        <v>1</v>
      </c>
      <c r="X328">
        <f t="shared" si="806"/>
        <v>2</v>
      </c>
      <c r="Y328">
        <f t="shared" si="806"/>
        <v>1</v>
      </c>
      <c r="Z328">
        <f t="shared" si="806"/>
        <v>1</v>
      </c>
      <c r="AA328">
        <f>AA327</f>
        <v>24</v>
      </c>
      <c r="AB328">
        <f t="shared" ref="AB328:AB331" si="807">AB327</f>
        <v>6</v>
      </c>
      <c r="AC328">
        <f t="shared" ref="AC328:AF331" si="808">AC327</f>
        <v>3</v>
      </c>
      <c r="AD328">
        <f t="shared" si="808"/>
        <v>13</v>
      </c>
      <c r="AE328">
        <f t="shared" si="808"/>
        <v>12</v>
      </c>
      <c r="AF328">
        <f t="shared" si="808"/>
        <v>14</v>
      </c>
      <c r="AG328">
        <f t="shared" ref="AG328:AG331" si="809">AG327</f>
        <v>77</v>
      </c>
      <c r="AH328">
        <f t="shared" ref="AH328:AH331" si="810">AH327</f>
        <v>78</v>
      </c>
      <c r="AI328">
        <f t="shared" ref="AI328:AI331" si="811">AI327</f>
        <v>1</v>
      </c>
      <c r="AJ328">
        <f t="shared" ref="AJ328:AJ331" si="812">AJ327</f>
        <v>2</v>
      </c>
      <c r="AK328">
        <f t="shared" ref="AK328:AK331" si="813">AK327</f>
        <v>1</v>
      </c>
      <c r="AL328">
        <f t="shared" ref="AL328:AL331" si="814">AL327</f>
        <v>76</v>
      </c>
    </row>
    <row r="329" spans="1:38" ht="17.149999999999999" x14ac:dyDescent="0.4">
      <c r="B329" t="str">
        <f>B328</f>
        <v>Portland</v>
      </c>
      <c r="C329" s="66" t="s">
        <v>514</v>
      </c>
      <c r="D329" t="str" cm="1">
        <f t="array" ref="D329">INDEX(FX_Calcs,$AA329,$AE329)</f>
        <v>N/A</v>
      </c>
      <c r="E329" t="str" cm="1">
        <f t="array" ref="E329">INDEX(FX_Calcs,$AA329,$AE329)</f>
        <v>N/A</v>
      </c>
      <c r="F329" t="str" cm="1">
        <f t="array" ref="F329">INDEX(FX_Calcs,$AA329,$AE329)</f>
        <v>N/A</v>
      </c>
      <c r="G329" t="str" cm="1">
        <f t="array" ref="G329">INDEX(FX_Calcs,$AA329,$AE329)</f>
        <v>N/A</v>
      </c>
      <c r="H329" t="str" cm="1">
        <f t="array" ref="H329">INDEX(FX_Calcs,$AA329,$AE329)</f>
        <v>N/A</v>
      </c>
      <c r="I329" t="str" cm="1">
        <f t="array" ref="I329">INDEX(FX_Calcs,$AA329,$AE329)</f>
        <v>N/A</v>
      </c>
      <c r="J329" t="str" cm="1">
        <f t="array" ref="J329">INDEX(FX_Calcs,$AA329,$AE329)</f>
        <v>N/A</v>
      </c>
      <c r="K329" t="str" cm="1">
        <f t="array" ref="K329">INDEX(FX_Calcs,$AA329,$AE329)</f>
        <v>N/A</v>
      </c>
      <c r="L329" t="str" cm="1">
        <f t="array" ref="L329">INDEX(FX_Calcs,$AA329,$AE329)</f>
        <v>N/A</v>
      </c>
      <c r="M329" t="str" cm="1">
        <f t="array" ref="M329">INDEX(FX_Calcs,$AA329,$AE329)</f>
        <v>N/A</v>
      </c>
      <c r="N329" t="str" cm="1">
        <f t="array" ref="N329">INDEX(FX_Calcs,$AA329,$AE329)</f>
        <v>N/A</v>
      </c>
      <c r="O329" t="str" cm="1">
        <f t="array" ref="O329">INDEX(FX_Calcs,$AA329,$AE329)</f>
        <v>N/A</v>
      </c>
      <c r="P329" t="str" cm="1">
        <f t="array" ref="P329">INDEX(FX_Calcs,$AA329,$AE329)</f>
        <v>N/A</v>
      </c>
      <c r="AA329">
        <f>AA328</f>
        <v>24</v>
      </c>
      <c r="AB329">
        <f t="shared" si="807"/>
        <v>6</v>
      </c>
      <c r="AC329">
        <f t="shared" si="808"/>
        <v>3</v>
      </c>
      <c r="AD329">
        <f t="shared" si="808"/>
        <v>13</v>
      </c>
      <c r="AE329">
        <f t="shared" si="808"/>
        <v>12</v>
      </c>
      <c r="AF329">
        <f t="shared" si="808"/>
        <v>14</v>
      </c>
      <c r="AG329">
        <f t="shared" si="809"/>
        <v>77</v>
      </c>
      <c r="AH329">
        <f t="shared" si="810"/>
        <v>78</v>
      </c>
      <c r="AI329">
        <f t="shared" si="811"/>
        <v>1</v>
      </c>
      <c r="AJ329">
        <f t="shared" si="812"/>
        <v>2</v>
      </c>
      <c r="AK329">
        <f t="shared" si="813"/>
        <v>1</v>
      </c>
      <c r="AL329">
        <f t="shared" si="814"/>
        <v>76</v>
      </c>
    </row>
    <row r="330" spans="1:38" ht="17.149999999999999" x14ac:dyDescent="0.4">
      <c r="B330" t="str">
        <f t="shared" ref="B330:B331" si="815">B329</f>
        <v>Portland</v>
      </c>
      <c r="C330" s="66" t="s">
        <v>513</v>
      </c>
      <c r="D330" t="str" cm="1">
        <f t="array" ref="D330">INDEX(FX_Calcs,$AA330,$AD330)</f>
        <v>N/A</v>
      </c>
      <c r="E330" t="str" cm="1">
        <f t="array" ref="E330">INDEX(FX_Calcs,$AA330,$AD330)</f>
        <v>N/A</v>
      </c>
      <c r="F330" t="str" cm="1">
        <f t="array" ref="F330">INDEX(FX_Calcs,$AA330,$AD330)</f>
        <v>N/A</v>
      </c>
      <c r="G330" t="str" cm="1">
        <f t="array" ref="G330">INDEX(FX_Calcs,$AA330,$AD330)</f>
        <v>N/A</v>
      </c>
      <c r="H330" t="str" cm="1">
        <f t="array" ref="H330">INDEX(FX_Calcs,$AA330,$AD330)</f>
        <v>N/A</v>
      </c>
      <c r="I330" t="str" cm="1">
        <f t="array" ref="I330">INDEX(FX_Calcs,$AA330,$AD330)</f>
        <v>N/A</v>
      </c>
      <c r="J330" t="str" cm="1">
        <f t="array" ref="J330">INDEX(FX_Calcs,$AA330,$AD330)</f>
        <v>N/A</v>
      </c>
      <c r="K330" t="str" cm="1">
        <f t="array" ref="K330">INDEX(FX_Calcs,$AA330,$AD330)</f>
        <v>N/A</v>
      </c>
      <c r="L330" t="str" cm="1">
        <f t="array" ref="L330">INDEX(FX_Calcs,$AA330,$AD330)</f>
        <v>N/A</v>
      </c>
      <c r="M330" t="str" cm="1">
        <f t="array" ref="M330">INDEX(FX_Calcs,$AA330,$AD330)</f>
        <v>N/A</v>
      </c>
      <c r="N330" t="str" cm="1">
        <f t="array" ref="N330">INDEX(FX_Calcs,$AA330,$AD330)</f>
        <v>N/A</v>
      </c>
      <c r="O330" t="str" cm="1">
        <f t="array" ref="O330">INDEX(FX_Calcs,$AA330,$AD330)</f>
        <v>N/A</v>
      </c>
      <c r="P330" t="str" cm="1">
        <f t="array" ref="P330">INDEX(FX_Calcs,$AA330,$AD330)</f>
        <v>N/A</v>
      </c>
      <c r="AA330">
        <f>AA329</f>
        <v>24</v>
      </c>
      <c r="AB330">
        <f t="shared" si="807"/>
        <v>6</v>
      </c>
      <c r="AC330">
        <f t="shared" si="808"/>
        <v>3</v>
      </c>
      <c r="AD330">
        <f t="shared" si="808"/>
        <v>13</v>
      </c>
      <c r="AE330">
        <f t="shared" si="808"/>
        <v>12</v>
      </c>
      <c r="AF330">
        <f t="shared" si="808"/>
        <v>14</v>
      </c>
      <c r="AG330">
        <f t="shared" si="809"/>
        <v>77</v>
      </c>
      <c r="AH330">
        <f t="shared" si="810"/>
        <v>78</v>
      </c>
      <c r="AI330">
        <f t="shared" si="811"/>
        <v>1</v>
      </c>
      <c r="AJ330">
        <f t="shared" si="812"/>
        <v>2</v>
      </c>
      <c r="AK330">
        <f t="shared" si="813"/>
        <v>1</v>
      </c>
      <c r="AL330">
        <f t="shared" si="814"/>
        <v>76</v>
      </c>
    </row>
    <row r="331" spans="1:38" x14ac:dyDescent="0.4">
      <c r="B331" t="str">
        <f t="shared" si="815"/>
        <v>Portland</v>
      </c>
      <c r="C331" s="66" t="s">
        <v>558</v>
      </c>
      <c r="D331" t="str" cm="1">
        <f t="array" ref="D331">INDEX(FX_Calcs,$AA331,$AF331)</f>
        <v>Insulated</v>
      </c>
      <c r="E331" t="str" cm="1">
        <f t="array" ref="E331">INDEX(FX_Calcs,$AA331,$AF331)</f>
        <v>Insulated</v>
      </c>
      <c r="F331" t="str" cm="1">
        <f t="array" ref="F331">INDEX(FX_Calcs,$AA331,$AF331)</f>
        <v>Insulated</v>
      </c>
      <c r="G331" t="str" cm="1">
        <f t="array" ref="G331">INDEX(FX_Calcs,$AA331,$AF331)</f>
        <v>Insulated</v>
      </c>
      <c r="H331" t="str" cm="1">
        <f t="array" ref="H331">INDEX(FX_Calcs,$AA331,$AF331)</f>
        <v>Insulated</v>
      </c>
      <c r="I331" t="str" cm="1">
        <f t="array" ref="I331">INDEX(FX_Calcs,$AA331,$AF331)</f>
        <v>Insulated</v>
      </c>
      <c r="J331" t="str" cm="1">
        <f t="array" ref="J331">INDEX(FX_Calcs,$AA331,$AF331)</f>
        <v>Insulated</v>
      </c>
      <c r="K331" t="str" cm="1">
        <f t="array" ref="K331">INDEX(FX_Calcs,$AA331,$AF331)</f>
        <v>Insulated</v>
      </c>
      <c r="L331" t="str" cm="1">
        <f t="array" ref="L331">INDEX(FX_Calcs,$AA331,$AF331)</f>
        <v>Insulated</v>
      </c>
      <c r="M331" t="str" cm="1">
        <f t="array" ref="M331">INDEX(FX_Calcs,$AA331,$AF331)</f>
        <v>Insulated</v>
      </c>
      <c r="N331" t="str" cm="1">
        <f t="array" ref="N331">INDEX(FX_Calcs,$AA331,$AF331)</f>
        <v>Insulated</v>
      </c>
      <c r="O331" t="str" cm="1">
        <f t="array" ref="O331">INDEX(FX_Calcs,$AA331,$AF331)</f>
        <v>Insulated</v>
      </c>
      <c r="P331" t="str" cm="1">
        <f t="array" ref="P331">INDEX(FX_Calcs,$AA331,$AF331)</f>
        <v>Insulated</v>
      </c>
      <c r="AA331">
        <f>AA330</f>
        <v>24</v>
      </c>
      <c r="AB331">
        <f t="shared" si="807"/>
        <v>6</v>
      </c>
      <c r="AC331">
        <f t="shared" si="808"/>
        <v>3</v>
      </c>
      <c r="AD331">
        <f t="shared" si="808"/>
        <v>13</v>
      </c>
      <c r="AE331">
        <f t="shared" si="808"/>
        <v>12</v>
      </c>
      <c r="AF331">
        <f t="shared" si="808"/>
        <v>14</v>
      </c>
      <c r="AG331">
        <f t="shared" si="809"/>
        <v>77</v>
      </c>
      <c r="AH331">
        <f t="shared" si="810"/>
        <v>78</v>
      </c>
      <c r="AI331">
        <f t="shared" si="811"/>
        <v>1</v>
      </c>
      <c r="AJ331">
        <f t="shared" si="812"/>
        <v>2</v>
      </c>
      <c r="AK331">
        <f t="shared" si="813"/>
        <v>1</v>
      </c>
      <c r="AL331">
        <f t="shared" si="814"/>
        <v>76</v>
      </c>
    </row>
    <row r="332" spans="1:38" ht="17.149999999999999" x14ac:dyDescent="0.55000000000000004">
      <c r="B332" t="str">
        <f>B328</f>
        <v>Portland</v>
      </c>
      <c r="C332" t="s">
        <v>512</v>
      </c>
      <c r="D332">
        <f t="shared" ref="D332:P332" si="816">D328-D327</f>
        <v>10.400000000000034</v>
      </c>
      <c r="E332">
        <f t="shared" si="816"/>
        <v>13.199999999999989</v>
      </c>
      <c r="F332">
        <f t="shared" si="816"/>
        <v>13.200000000000045</v>
      </c>
      <c r="G332">
        <f t="shared" si="816"/>
        <v>13.399999999999977</v>
      </c>
      <c r="H332">
        <f t="shared" si="816"/>
        <v>13.299999999999955</v>
      </c>
      <c r="I332">
        <f t="shared" si="816"/>
        <v>12.500000000000057</v>
      </c>
      <c r="J332">
        <f t="shared" si="816"/>
        <v>12.699999999999932</v>
      </c>
      <c r="K332">
        <f t="shared" si="816"/>
        <v>13.600000000000023</v>
      </c>
      <c r="L332">
        <f t="shared" si="816"/>
        <v>16.399999999999977</v>
      </c>
      <c r="M332">
        <f t="shared" si="816"/>
        <v>14.699999999999989</v>
      </c>
      <c r="N332">
        <f t="shared" si="816"/>
        <v>12.200000000000045</v>
      </c>
      <c r="O332">
        <f t="shared" si="816"/>
        <v>10</v>
      </c>
      <c r="P332">
        <f t="shared" si="816"/>
        <v>13</v>
      </c>
    </row>
    <row r="333" spans="1:38" x14ac:dyDescent="0.4">
      <c r="B333" t="str">
        <f t="shared" ref="B333:B340" si="817">B332</f>
        <v>Portland</v>
      </c>
      <c r="C333" t="s">
        <v>260</v>
      </c>
      <c r="D333">
        <f t="shared" ref="D333:P333" si="818">VLOOKUP(VLOOKUP($B333,Terminal_X_Ref,2,FALSE)&amp;$C333,Weather_Data,$Y333*D$3+$Z333,FALSE)</f>
        <v>343</v>
      </c>
      <c r="E333">
        <f t="shared" si="818"/>
        <v>600</v>
      </c>
      <c r="F333">
        <f t="shared" si="818"/>
        <v>877</v>
      </c>
      <c r="G333">
        <f t="shared" si="818"/>
        <v>1252</v>
      </c>
      <c r="H333">
        <f t="shared" si="818"/>
        <v>1537</v>
      </c>
      <c r="I333">
        <f t="shared" si="818"/>
        <v>1627</v>
      </c>
      <c r="J333">
        <f t="shared" si="818"/>
        <v>1708</v>
      </c>
      <c r="K333">
        <f t="shared" si="818"/>
        <v>1492</v>
      </c>
      <c r="L333">
        <f t="shared" si="818"/>
        <v>1196</v>
      </c>
      <c r="M333">
        <f t="shared" si="818"/>
        <v>728</v>
      </c>
      <c r="N333">
        <f t="shared" si="818"/>
        <v>391</v>
      </c>
      <c r="O333">
        <f t="shared" si="818"/>
        <v>302</v>
      </c>
      <c r="P333">
        <f t="shared" si="818"/>
        <v>1005</v>
      </c>
      <c r="U333">
        <f>U328</f>
        <v>2</v>
      </c>
      <c r="V333">
        <f t="shared" ref="V333:Z333" si="819">V328</f>
        <v>3</v>
      </c>
      <c r="W333">
        <f t="shared" si="819"/>
        <v>1</v>
      </c>
      <c r="X333">
        <f t="shared" si="819"/>
        <v>2</v>
      </c>
      <c r="Y333">
        <f t="shared" si="819"/>
        <v>1</v>
      </c>
      <c r="Z333">
        <f t="shared" si="819"/>
        <v>1</v>
      </c>
    </row>
    <row r="334" spans="1:38" ht="17.149999999999999" x14ac:dyDescent="0.55000000000000004">
      <c r="B334" t="str">
        <f t="shared" si="817"/>
        <v>Portland</v>
      </c>
      <c r="C334" t="s">
        <v>523</v>
      </c>
      <c r="D334">
        <f>IF(ISNUMBER(D331),0.7*D332+0.02*D331*D333,IF(D331="Partially Insulated",0.6*D332+0.02*D330*D333,0))</f>
        <v>0</v>
      </c>
      <c r="E334">
        <f t="shared" ref="E334:P334" si="820">IF(ISNUMBER(E331),0.7*E332+0.02*E331*E333,IF(E331="Partially Insulated",0.6*E332+0.02*E330*E333,0))</f>
        <v>0</v>
      </c>
      <c r="F334">
        <f t="shared" si="820"/>
        <v>0</v>
      </c>
      <c r="G334">
        <f t="shared" si="820"/>
        <v>0</v>
      </c>
      <c r="H334">
        <f t="shared" si="820"/>
        <v>0</v>
      </c>
      <c r="I334">
        <f t="shared" si="820"/>
        <v>0</v>
      </c>
      <c r="J334">
        <f t="shared" si="820"/>
        <v>0</v>
      </c>
      <c r="K334">
        <f t="shared" si="820"/>
        <v>0</v>
      </c>
      <c r="L334">
        <f t="shared" si="820"/>
        <v>0</v>
      </c>
      <c r="M334">
        <f t="shared" si="820"/>
        <v>0</v>
      </c>
      <c r="N334">
        <f t="shared" si="820"/>
        <v>0</v>
      </c>
      <c r="O334">
        <f t="shared" si="820"/>
        <v>0</v>
      </c>
      <c r="P334">
        <f t="shared" si="820"/>
        <v>0</v>
      </c>
    </row>
    <row r="335" spans="1:38" ht="17.149999999999999" x14ac:dyDescent="0.55000000000000004">
      <c r="B335" t="str">
        <f t="shared" si="817"/>
        <v>Portland</v>
      </c>
      <c r="C335" t="s">
        <v>524</v>
      </c>
      <c r="D335">
        <f t="shared" ref="D335:F335" si="821">AVERAGE(D327:D328)</f>
        <v>503.5</v>
      </c>
      <c r="E335">
        <f t="shared" si="821"/>
        <v>504.30000000000007</v>
      </c>
      <c r="F335">
        <f t="shared" si="821"/>
        <v>505.70000000000005</v>
      </c>
      <c r="G335">
        <f>AVERAGE(G327:G328)</f>
        <v>508.2</v>
      </c>
      <c r="H335">
        <f t="shared" ref="H335:P335" si="822">AVERAGE(H327:H328)</f>
        <v>512.75</v>
      </c>
      <c r="I335">
        <f t="shared" si="822"/>
        <v>516.55000000000007</v>
      </c>
      <c r="J335">
        <f t="shared" si="822"/>
        <v>520.04999999999995</v>
      </c>
      <c r="K335">
        <f t="shared" si="822"/>
        <v>520.5</v>
      </c>
      <c r="L335">
        <f t="shared" si="822"/>
        <v>518.20000000000005</v>
      </c>
      <c r="M335">
        <f t="shared" si="822"/>
        <v>512.25</v>
      </c>
      <c r="N335">
        <f t="shared" si="822"/>
        <v>506.70000000000005</v>
      </c>
      <c r="O335">
        <f t="shared" si="822"/>
        <v>503.20000000000005</v>
      </c>
      <c r="P335">
        <f t="shared" si="822"/>
        <v>51.4</v>
      </c>
    </row>
    <row r="336" spans="1:38" ht="17.149999999999999" x14ac:dyDescent="0.55000000000000004">
      <c r="B336" t="str">
        <f t="shared" si="817"/>
        <v>Portland</v>
      </c>
      <c r="C336" t="s">
        <v>525</v>
      </c>
      <c r="D336" cm="1">
        <f t="array" ref="D336">IFERROR(IF(ISBLANK(INDEX(FX_Input,$R327,D$3*$AK327+$AL327)),D335+0.003*D329*D333,INDEX(FX_Input,$R327,D$3*$AK327+$AL327)+459.6),D335)</f>
        <v>503.5</v>
      </c>
      <c r="E336" cm="1">
        <f t="array" ref="E336">IFERROR(IF(ISBLANK(INDEX(FX_Input,$R327,E$3*$AK327+$AL327)),E335+0.003*E329*E333,INDEX(FX_Input,$R327,E$3*$AK327+$AL327)+459.6),E335)</f>
        <v>504.30000000000007</v>
      </c>
      <c r="F336" cm="1">
        <f t="array" ref="F336">IFERROR(IF(ISBLANK(INDEX(FX_Input,$R327,F$3*$AK327+$AL327)),F335+0.003*F329*F333,INDEX(FX_Input,$R327,F$3*$AK327+$AL327)+459.6),F335)</f>
        <v>505.70000000000005</v>
      </c>
      <c r="G336" cm="1">
        <f t="array" ref="G336">IFERROR(IF(ISBLANK(INDEX(FX_Input,$R327,G$3*$AK327+$AL327)),G335+0.003*G329*G333,INDEX(FX_Input,$R327,G$3*$AK327+$AL327)+459.6),G335)</f>
        <v>508.2</v>
      </c>
      <c r="H336" cm="1">
        <f t="array" ref="H336">IFERROR(IF(ISBLANK(INDEX(FX_Input,$R327,H$3*$AK327+$AL327)),H335+0.003*H329*H333,INDEX(FX_Input,$R327,H$3*$AK327+$AL327)+459.6),H335)</f>
        <v>512.75</v>
      </c>
      <c r="I336" cm="1">
        <f t="array" ref="I336">IFERROR(IF(ISBLANK(INDEX(FX_Input,$R327,I$3*$AK327+$AL327)),I335+0.003*I329*I333,INDEX(FX_Input,$R327,I$3*$AK327+$AL327)+459.6),I335)</f>
        <v>516.55000000000007</v>
      </c>
      <c r="J336" cm="1">
        <f t="array" ref="J336">IFERROR(IF(ISBLANK(INDEX(FX_Input,$R327,J$3*$AK327+$AL327)),J335+0.003*J329*J333,INDEX(FX_Input,$R327,J$3*$AK327+$AL327)+459.6),J335)</f>
        <v>520.04999999999995</v>
      </c>
      <c r="K336" cm="1">
        <f t="array" ref="K336">IFERROR(IF(ISBLANK(INDEX(FX_Input,$R327,K$3*$AK327+$AL327)),K335+0.003*K329*K333,INDEX(FX_Input,$R327,K$3*$AK327+$AL327)+459.6),K335)</f>
        <v>520.5</v>
      </c>
      <c r="L336" cm="1">
        <f t="array" ref="L336">IFERROR(IF(ISBLANK(INDEX(FX_Input,$R327,L$3*$AK327+$AL327)),L335+0.003*L329*L333,INDEX(FX_Input,$R327,L$3*$AK327+$AL327)+459.6),L335)</f>
        <v>518.20000000000005</v>
      </c>
      <c r="M336" cm="1">
        <f t="array" ref="M336">IFERROR(IF(ISBLANK(INDEX(FX_Input,$R327,M$3*$AK327+$AL327)),M335+0.003*M329*M333,INDEX(FX_Input,$R327,M$3*$AK327+$AL327)+459.6),M335)</f>
        <v>512.25</v>
      </c>
      <c r="N336" cm="1">
        <f t="array" ref="N336">IFERROR(IF(ISBLANK(INDEX(FX_Input,$R327,N$3*$AK327+$AL327)),N335+0.003*N329*N333,INDEX(FX_Input,$R327,N$3*$AK327+$AL327)+459.6),N335)</f>
        <v>506.70000000000005</v>
      </c>
      <c r="O336" cm="1">
        <f t="array" ref="O336">IFERROR(IF(ISBLANK(INDEX(FX_Input,$R327,O$3*$AK327+$AL327)),O335+0.003*O329*O333,INDEX(FX_Input,$R327,O$3*$AK327+$AL327)+459.6),O335)</f>
        <v>503.20000000000005</v>
      </c>
      <c r="P336" cm="1">
        <f t="array" ref="P336">IFERROR(IF(ISBLANK(INDEX(FX_Input,$R327,P$3*$AK327+$AL327)),P335+0.003*P329*P333,INDEX(FX_Input,$R327,P$3*$AK327+$AL327)+459.6),P335)</f>
        <v>459.6</v>
      </c>
    </row>
    <row r="337" spans="1:38" ht="17.149999999999999" x14ac:dyDescent="0.55000000000000004">
      <c r="B337" t="str">
        <f t="shared" si="817"/>
        <v>Portland</v>
      </c>
      <c r="C337" t="s">
        <v>526</v>
      </c>
      <c r="D337">
        <f>IF(ISNUMBER(D331),0.4*D327+0.6*D336+0.005*D331*D333,IF(D331="Partially Insulated",0.3*D335+0.7*D336+0.005*D330*D333,D336))-459.6</f>
        <v>43.899999999999977</v>
      </c>
      <c r="E337">
        <f t="shared" ref="E337" si="823">IF(ISNUMBER(E331),0.4*E327+0.6*E336+0.005*E331*E333,IF(E331="Partially Insulated",0.3*E335+0.7*E336+0.005*E330*E333,E336))-459.6</f>
        <v>44.700000000000045</v>
      </c>
      <c r="F337">
        <f t="shared" ref="F337" si="824">IF(ISNUMBER(F331),0.4*F327+0.6*F336+0.005*F331*F333,IF(F331="Partially Insulated",0.3*F335+0.7*F336+0.005*F330*F333,F336))-459.6</f>
        <v>46.100000000000023</v>
      </c>
      <c r="G337">
        <f t="shared" ref="G337" si="825">IF(ISNUMBER(G331),0.4*G327+0.6*G336+0.005*G331*G333,IF(G331="Partially Insulated",0.3*G335+0.7*G336+0.005*G330*G333,G336))-459.6</f>
        <v>48.599999999999966</v>
      </c>
      <c r="H337">
        <f t="shared" ref="H337" si="826">IF(ISNUMBER(H331),0.4*H327+0.6*H336+0.005*H331*H333,IF(H331="Partially Insulated",0.3*H335+0.7*H336+0.005*H330*H333,H336))-459.6</f>
        <v>53.149999999999977</v>
      </c>
      <c r="I337">
        <f t="shared" ref="I337" si="827">IF(ISNUMBER(I331),0.4*I327+0.6*I336+0.005*I331*I333,IF(I331="Partially Insulated",0.3*I335+0.7*I336+0.005*I330*I333,I336))-459.6</f>
        <v>56.950000000000045</v>
      </c>
      <c r="J337">
        <f t="shared" ref="J337" si="828">IF(ISNUMBER(J331),0.4*J327+0.6*J336+0.005*J331*J333,IF(J331="Partially Insulated",0.3*J335+0.7*J336+0.005*J330*J333,J336))-459.6</f>
        <v>60.449999999999932</v>
      </c>
      <c r="K337">
        <f t="shared" ref="K337" si="829">IF(ISNUMBER(K331),0.4*K327+0.6*K336+0.005*K331*K333,IF(K331="Partially Insulated",0.3*K335+0.7*K336+0.005*K330*K333,K336))-459.6</f>
        <v>60.899999999999977</v>
      </c>
      <c r="L337">
        <f t="shared" ref="L337" si="830">IF(ISNUMBER(L331),0.4*L327+0.6*L336+0.005*L331*L333,IF(L331="Partially Insulated",0.3*L335+0.7*L336+0.005*L330*L333,L336))-459.6</f>
        <v>58.600000000000023</v>
      </c>
      <c r="M337">
        <f t="shared" ref="M337" si="831">IF(ISNUMBER(M331),0.4*M327+0.6*M336+0.005*M331*M333,IF(M331="Partially Insulated",0.3*M335+0.7*M336+0.005*M330*M333,M336))-459.6</f>
        <v>52.649999999999977</v>
      </c>
      <c r="N337">
        <f t="shared" ref="N337" si="832">IF(ISNUMBER(N331),0.4*N327+0.6*N336+0.005*N331*N333,IF(N331="Partially Insulated",0.3*N335+0.7*N336+0.005*N330*N333,N336))-459.6</f>
        <v>47.100000000000023</v>
      </c>
      <c r="O337">
        <f t="shared" ref="O337" si="833">IF(ISNUMBER(O331),0.4*O327+0.6*O336+0.005*O331*O333,IF(O331="Partially Insulated",0.3*O335+0.7*O336+0.005*O330*O333,O336))-459.6</f>
        <v>43.600000000000023</v>
      </c>
      <c r="P337">
        <f>AVERAGE(D337:O337)</f>
        <v>51.391666666666673</v>
      </c>
    </row>
    <row r="338" spans="1:38" ht="17.149999999999999" x14ac:dyDescent="0.55000000000000004">
      <c r="B338" t="str">
        <f t="shared" si="817"/>
        <v>Portland</v>
      </c>
      <c r="C338" t="s">
        <v>527</v>
      </c>
      <c r="D338">
        <f>IF(ISNUMBER(D331),0.4*D328+0.6*D336+0.005*D331*D333,IF(D331="Partially Insulated",0.3*D335+0.7*D336+0.005*D330*D333,D336))-459.6</f>
        <v>43.899999999999977</v>
      </c>
      <c r="E338">
        <f t="shared" ref="E338:O338" si="834">IF(ISNUMBER(E331),0.4*E328+0.6*E336+0.005*E331*E333,IF(E331="Partially Insulated",0.3*E335+0.7*E336+0.005*E330*E333,E336))-459.6</f>
        <v>44.700000000000045</v>
      </c>
      <c r="F338">
        <f t="shared" si="834"/>
        <v>46.100000000000023</v>
      </c>
      <c r="G338">
        <f t="shared" si="834"/>
        <v>48.599999999999966</v>
      </c>
      <c r="H338">
        <f t="shared" si="834"/>
        <v>53.149999999999977</v>
      </c>
      <c r="I338">
        <f t="shared" si="834"/>
        <v>56.950000000000045</v>
      </c>
      <c r="J338">
        <f t="shared" si="834"/>
        <v>60.449999999999932</v>
      </c>
      <c r="K338">
        <f t="shared" si="834"/>
        <v>60.899999999999977</v>
      </c>
      <c r="L338">
        <f t="shared" si="834"/>
        <v>58.600000000000023</v>
      </c>
      <c r="M338">
        <f t="shared" si="834"/>
        <v>52.649999999999977</v>
      </c>
      <c r="N338">
        <f t="shared" si="834"/>
        <v>47.100000000000023</v>
      </c>
      <c r="O338">
        <f t="shared" si="834"/>
        <v>43.600000000000023</v>
      </c>
      <c r="P338">
        <f>AVERAGE(D338:O338)</f>
        <v>51.391666666666673</v>
      </c>
    </row>
    <row r="339" spans="1:38" ht="17.149999999999999" x14ac:dyDescent="0.55000000000000004">
      <c r="B339" t="str">
        <f t="shared" si="817"/>
        <v>Portland</v>
      </c>
      <c r="C339" t="s">
        <v>552</v>
      </c>
      <c r="D339">
        <f>IF(ISNUMBER(D331),0.4*D335+0.6*D336+0.005*D331*D333,IF(D331="Partially Insulated",0.3*D335+0.7*D336+0.005*D330*D333,D336))-459.6</f>
        <v>43.899999999999977</v>
      </c>
      <c r="E339">
        <f t="shared" ref="E339:O339" si="835">IF(ISNUMBER(E331),0.4*E335+0.6*E336+0.005*E331*E333,IF(E331="Partially Insulated",0.3*E335+0.7*E336+0.005*E330*E333,E336))-459.6</f>
        <v>44.700000000000045</v>
      </c>
      <c r="F339">
        <f t="shared" si="835"/>
        <v>46.100000000000023</v>
      </c>
      <c r="G339">
        <f t="shared" si="835"/>
        <v>48.599999999999966</v>
      </c>
      <c r="H339">
        <f t="shared" si="835"/>
        <v>53.149999999999977</v>
      </c>
      <c r="I339">
        <f t="shared" si="835"/>
        <v>56.950000000000045</v>
      </c>
      <c r="J339">
        <f t="shared" si="835"/>
        <v>60.449999999999932</v>
      </c>
      <c r="K339">
        <f t="shared" si="835"/>
        <v>60.899999999999977</v>
      </c>
      <c r="L339">
        <f t="shared" si="835"/>
        <v>58.600000000000023</v>
      </c>
      <c r="M339">
        <f t="shared" si="835"/>
        <v>52.649999999999977</v>
      </c>
      <c r="N339">
        <f t="shared" si="835"/>
        <v>47.100000000000023</v>
      </c>
      <c r="O339">
        <f t="shared" si="835"/>
        <v>43.600000000000023</v>
      </c>
      <c r="P339">
        <f>AVERAGE(D339:O339)</f>
        <v>51.391666666666673</v>
      </c>
    </row>
    <row r="340" spans="1:38" ht="17.149999999999999" x14ac:dyDescent="0.55000000000000004">
      <c r="A340" s="11"/>
      <c r="B340" s="11" t="str">
        <f t="shared" si="817"/>
        <v>Portland</v>
      </c>
      <c r="C340" s="11" t="s">
        <v>553</v>
      </c>
      <c r="D340" s="11">
        <f>IF(ISNUMBER(D331),0.7*D335+0.3*D336+0.009*D331*D333,IF(D331="Partially Insulated",0.6*D335+0.4*D336+0.01*D330*D333,D336))-459.6</f>
        <v>43.899999999999977</v>
      </c>
      <c r="E340" s="11">
        <f t="shared" ref="E340:O340" si="836">IF(ISNUMBER(E331),0.7*E335+0.3*E336+0.009*E331*E333,IF(E331="Partially Insulated",0.6*E335+0.4*E336+0.01*E330*E333,E336))-459.6</f>
        <v>44.700000000000045</v>
      </c>
      <c r="F340" s="11">
        <f t="shared" si="836"/>
        <v>46.100000000000023</v>
      </c>
      <c r="G340" s="11">
        <f t="shared" si="836"/>
        <v>48.599999999999966</v>
      </c>
      <c r="H340" s="11">
        <f t="shared" si="836"/>
        <v>53.149999999999977</v>
      </c>
      <c r="I340" s="11">
        <f t="shared" si="836"/>
        <v>56.950000000000045</v>
      </c>
      <c r="J340" s="11">
        <f t="shared" si="836"/>
        <v>60.449999999999932</v>
      </c>
      <c r="K340" s="11">
        <f t="shared" si="836"/>
        <v>60.899999999999977</v>
      </c>
      <c r="L340" s="11">
        <f t="shared" si="836"/>
        <v>58.600000000000023</v>
      </c>
      <c r="M340" s="11">
        <f t="shared" si="836"/>
        <v>52.649999999999977</v>
      </c>
      <c r="N340" s="11">
        <f t="shared" si="836"/>
        <v>47.100000000000023</v>
      </c>
      <c r="O340" s="11">
        <f t="shared" si="836"/>
        <v>43.600000000000023</v>
      </c>
      <c r="P340" s="11">
        <f>AVERAGE(D340:O340)</f>
        <v>51.391666666666673</v>
      </c>
      <c r="Q340" s="11"/>
      <c r="R340" s="11"/>
      <c r="S340" s="11"/>
      <c r="T340" s="11"/>
      <c r="U340" s="11"/>
      <c r="V340" s="11"/>
      <c r="W340" s="11"/>
      <c r="X340" s="11"/>
      <c r="Y340" s="11"/>
      <c r="Z340" s="11"/>
      <c r="AA340" s="11"/>
      <c r="AB340" s="11"/>
      <c r="AC340" s="11"/>
      <c r="AD340" s="11"/>
      <c r="AE340" s="11"/>
      <c r="AF340" s="11"/>
      <c r="AG340" s="11"/>
      <c r="AH340" s="11"/>
      <c r="AI340" s="11"/>
      <c r="AJ340" s="11"/>
      <c r="AK340" s="11"/>
      <c r="AL340" s="11"/>
    </row>
    <row r="341" spans="1:38" ht="17.149999999999999" x14ac:dyDescent="0.55000000000000004">
      <c r="A341" t="str" cm="1">
        <f t="array" ref="A341">INDEX(FX_Input,$R341,S$5)</f>
        <v>FX - 25</v>
      </c>
      <c r="B341" t="str" cm="1">
        <f t="array" ref="B341">INDEX(FX_Input,R341,T341)</f>
        <v>Portland</v>
      </c>
      <c r="C341" t="s">
        <v>510</v>
      </c>
      <c r="D341">
        <f t="shared" ref="D341:O342" si="837">VLOOKUP(VLOOKUP($B341,Terminal_X_Ref,2,FALSE)&amp;$C341,Weather_Data,$Y341*D$3+$Z341,FALSE)+459.6</f>
        <v>498.3</v>
      </c>
      <c r="E341">
        <f t="shared" si="837"/>
        <v>497.70000000000005</v>
      </c>
      <c r="F341">
        <f t="shared" si="837"/>
        <v>499.1</v>
      </c>
      <c r="G341">
        <f t="shared" si="837"/>
        <v>501.5</v>
      </c>
      <c r="H341">
        <f t="shared" si="837"/>
        <v>506.1</v>
      </c>
      <c r="I341">
        <f t="shared" si="837"/>
        <v>510.3</v>
      </c>
      <c r="J341">
        <f t="shared" si="837"/>
        <v>513.70000000000005</v>
      </c>
      <c r="K341">
        <f t="shared" si="837"/>
        <v>513.70000000000005</v>
      </c>
      <c r="L341">
        <f t="shared" si="837"/>
        <v>510</v>
      </c>
      <c r="M341">
        <f t="shared" si="837"/>
        <v>504.90000000000003</v>
      </c>
      <c r="N341">
        <f t="shared" si="837"/>
        <v>500.6</v>
      </c>
      <c r="O341">
        <f t="shared" si="837"/>
        <v>498.20000000000005</v>
      </c>
      <c r="P341">
        <f t="shared" ref="P341:P342" si="838">VLOOKUP(VLOOKUP($B341,Terminal_X_Ref,2,FALSE)&amp;$C341,Weather_Data,$Y341*P$3+$Z341,FALSE)</f>
        <v>44.9</v>
      </c>
      <c r="R341">
        <f>R327+2</f>
        <v>49</v>
      </c>
      <c r="S341">
        <f>S327+1</f>
        <v>25</v>
      </c>
      <c r="T341">
        <v>3</v>
      </c>
      <c r="U341">
        <v>2</v>
      </c>
      <c r="V341">
        <v>3</v>
      </c>
      <c r="W341">
        <v>1</v>
      </c>
      <c r="X341">
        <v>2</v>
      </c>
      <c r="Y341">
        <f>(V341-U341)/(X341-W341)</f>
        <v>1</v>
      </c>
      <c r="Z341">
        <f>U341-Y341*W341</f>
        <v>1</v>
      </c>
      <c r="AA341">
        <f>AA327+1</f>
        <v>25</v>
      </c>
      <c r="AB341">
        <v>6</v>
      </c>
      <c r="AC341">
        <v>3</v>
      </c>
      <c r="AD341">
        <v>13</v>
      </c>
      <c r="AE341">
        <v>12</v>
      </c>
      <c r="AF341">
        <v>14</v>
      </c>
      <c r="AG341">
        <v>77</v>
      </c>
      <c r="AH341">
        <v>78</v>
      </c>
      <c r="AI341">
        <v>1</v>
      </c>
      <c r="AJ341">
        <v>2</v>
      </c>
      <c r="AK341">
        <f>(AH341-AG341)/(AJ341-AI341)</f>
        <v>1</v>
      </c>
      <c r="AL341">
        <f>AG341-AK341*AI341</f>
        <v>76</v>
      </c>
    </row>
    <row r="342" spans="1:38" ht="17.149999999999999" x14ac:dyDescent="0.55000000000000004">
      <c r="B342" t="str">
        <f t="shared" ref="B342" si="839">B341</f>
        <v>Portland</v>
      </c>
      <c r="C342" t="s">
        <v>511</v>
      </c>
      <c r="D342">
        <f t="shared" si="837"/>
        <v>508.70000000000005</v>
      </c>
      <c r="E342">
        <f t="shared" si="837"/>
        <v>510.90000000000003</v>
      </c>
      <c r="F342">
        <f t="shared" si="837"/>
        <v>512.30000000000007</v>
      </c>
      <c r="G342">
        <f t="shared" si="837"/>
        <v>514.9</v>
      </c>
      <c r="H342">
        <f t="shared" si="837"/>
        <v>519.4</v>
      </c>
      <c r="I342">
        <f t="shared" si="837"/>
        <v>522.80000000000007</v>
      </c>
      <c r="J342">
        <f t="shared" si="837"/>
        <v>526.4</v>
      </c>
      <c r="K342">
        <f t="shared" si="837"/>
        <v>527.30000000000007</v>
      </c>
      <c r="L342">
        <f t="shared" si="837"/>
        <v>526.4</v>
      </c>
      <c r="M342">
        <f t="shared" si="837"/>
        <v>519.6</v>
      </c>
      <c r="N342">
        <f t="shared" si="837"/>
        <v>512.80000000000007</v>
      </c>
      <c r="O342">
        <f t="shared" si="837"/>
        <v>508.20000000000005</v>
      </c>
      <c r="P342">
        <f t="shared" si="838"/>
        <v>57.9</v>
      </c>
      <c r="U342">
        <f>U341</f>
        <v>2</v>
      </c>
      <c r="V342">
        <f t="shared" ref="V342:Z342" si="840">V341</f>
        <v>3</v>
      </c>
      <c r="W342">
        <f t="shared" si="840"/>
        <v>1</v>
      </c>
      <c r="X342">
        <f t="shared" si="840"/>
        <v>2</v>
      </c>
      <c r="Y342">
        <f t="shared" si="840"/>
        <v>1</v>
      </c>
      <c r="Z342">
        <f t="shared" si="840"/>
        <v>1</v>
      </c>
      <c r="AA342">
        <f>AA341</f>
        <v>25</v>
      </c>
      <c r="AB342">
        <f t="shared" ref="AB342:AB345" si="841">AB341</f>
        <v>6</v>
      </c>
      <c r="AC342">
        <f t="shared" ref="AC342:AF345" si="842">AC341</f>
        <v>3</v>
      </c>
      <c r="AD342">
        <f t="shared" si="842"/>
        <v>13</v>
      </c>
      <c r="AE342">
        <f t="shared" si="842"/>
        <v>12</v>
      </c>
      <c r="AF342">
        <f t="shared" si="842"/>
        <v>14</v>
      </c>
      <c r="AG342">
        <f t="shared" ref="AG342:AG345" si="843">AG341</f>
        <v>77</v>
      </c>
      <c r="AH342">
        <f t="shared" ref="AH342:AH345" si="844">AH341</f>
        <v>78</v>
      </c>
      <c r="AI342">
        <f t="shared" ref="AI342:AI345" si="845">AI341</f>
        <v>1</v>
      </c>
      <c r="AJ342">
        <f t="shared" ref="AJ342:AJ345" si="846">AJ341</f>
        <v>2</v>
      </c>
      <c r="AK342">
        <f t="shared" ref="AK342:AK345" si="847">AK341</f>
        <v>1</v>
      </c>
      <c r="AL342">
        <f t="shared" ref="AL342:AL345" si="848">AL341</f>
        <v>76</v>
      </c>
    </row>
    <row r="343" spans="1:38" ht="17.149999999999999" x14ac:dyDescent="0.4">
      <c r="B343" t="str">
        <f>B342</f>
        <v>Portland</v>
      </c>
      <c r="C343" s="66" t="s">
        <v>514</v>
      </c>
      <c r="D343" t="str" cm="1">
        <f t="array" ref="D343">INDEX(FX_Calcs,$AA343,$AE343)</f>
        <v>N/A</v>
      </c>
      <c r="E343" t="str" cm="1">
        <f t="array" ref="E343">INDEX(FX_Calcs,$AA343,$AE343)</f>
        <v>N/A</v>
      </c>
      <c r="F343" t="str" cm="1">
        <f t="array" ref="F343">INDEX(FX_Calcs,$AA343,$AE343)</f>
        <v>N/A</v>
      </c>
      <c r="G343" t="str" cm="1">
        <f t="array" ref="G343">INDEX(FX_Calcs,$AA343,$AE343)</f>
        <v>N/A</v>
      </c>
      <c r="H343" t="str" cm="1">
        <f t="array" ref="H343">INDEX(FX_Calcs,$AA343,$AE343)</f>
        <v>N/A</v>
      </c>
      <c r="I343" t="str" cm="1">
        <f t="array" ref="I343">INDEX(FX_Calcs,$AA343,$AE343)</f>
        <v>N/A</v>
      </c>
      <c r="J343" t="str" cm="1">
        <f t="array" ref="J343">INDEX(FX_Calcs,$AA343,$AE343)</f>
        <v>N/A</v>
      </c>
      <c r="K343" t="str" cm="1">
        <f t="array" ref="K343">INDEX(FX_Calcs,$AA343,$AE343)</f>
        <v>N/A</v>
      </c>
      <c r="L343" t="str" cm="1">
        <f t="array" ref="L343">INDEX(FX_Calcs,$AA343,$AE343)</f>
        <v>N/A</v>
      </c>
      <c r="M343" t="str" cm="1">
        <f t="array" ref="M343">INDEX(FX_Calcs,$AA343,$AE343)</f>
        <v>N/A</v>
      </c>
      <c r="N343" t="str" cm="1">
        <f t="array" ref="N343">INDEX(FX_Calcs,$AA343,$AE343)</f>
        <v>N/A</v>
      </c>
      <c r="O343" t="str" cm="1">
        <f t="array" ref="O343">INDEX(FX_Calcs,$AA343,$AE343)</f>
        <v>N/A</v>
      </c>
      <c r="P343" t="str" cm="1">
        <f t="array" ref="P343">INDEX(FX_Calcs,$AA343,$AE343)</f>
        <v>N/A</v>
      </c>
      <c r="AA343">
        <f>AA342</f>
        <v>25</v>
      </c>
      <c r="AB343">
        <f t="shared" si="841"/>
        <v>6</v>
      </c>
      <c r="AC343">
        <f t="shared" si="842"/>
        <v>3</v>
      </c>
      <c r="AD343">
        <f t="shared" si="842"/>
        <v>13</v>
      </c>
      <c r="AE343">
        <f t="shared" si="842"/>
        <v>12</v>
      </c>
      <c r="AF343">
        <f t="shared" si="842"/>
        <v>14</v>
      </c>
      <c r="AG343">
        <f t="shared" si="843"/>
        <v>77</v>
      </c>
      <c r="AH343">
        <f t="shared" si="844"/>
        <v>78</v>
      </c>
      <c r="AI343">
        <f t="shared" si="845"/>
        <v>1</v>
      </c>
      <c r="AJ343">
        <f t="shared" si="846"/>
        <v>2</v>
      </c>
      <c r="AK343">
        <f t="shared" si="847"/>
        <v>1</v>
      </c>
      <c r="AL343">
        <f t="shared" si="848"/>
        <v>76</v>
      </c>
    </row>
    <row r="344" spans="1:38" ht="17.149999999999999" x14ac:dyDescent="0.4">
      <c r="B344" t="str">
        <f t="shared" ref="B344:B345" si="849">B343</f>
        <v>Portland</v>
      </c>
      <c r="C344" s="66" t="s">
        <v>513</v>
      </c>
      <c r="D344" t="str" cm="1">
        <f t="array" ref="D344">INDEX(FX_Calcs,$AA344,$AD344)</f>
        <v>N/A</v>
      </c>
      <c r="E344" t="str" cm="1">
        <f t="array" ref="E344">INDEX(FX_Calcs,$AA344,$AD344)</f>
        <v>N/A</v>
      </c>
      <c r="F344" t="str" cm="1">
        <f t="array" ref="F344">INDEX(FX_Calcs,$AA344,$AD344)</f>
        <v>N/A</v>
      </c>
      <c r="G344" t="str" cm="1">
        <f t="array" ref="G344">INDEX(FX_Calcs,$AA344,$AD344)</f>
        <v>N/A</v>
      </c>
      <c r="H344" t="str" cm="1">
        <f t="array" ref="H344">INDEX(FX_Calcs,$AA344,$AD344)</f>
        <v>N/A</v>
      </c>
      <c r="I344" t="str" cm="1">
        <f t="array" ref="I344">INDEX(FX_Calcs,$AA344,$AD344)</f>
        <v>N/A</v>
      </c>
      <c r="J344" t="str" cm="1">
        <f t="array" ref="J344">INDEX(FX_Calcs,$AA344,$AD344)</f>
        <v>N/A</v>
      </c>
      <c r="K344" t="str" cm="1">
        <f t="array" ref="K344">INDEX(FX_Calcs,$AA344,$AD344)</f>
        <v>N/A</v>
      </c>
      <c r="L344" t="str" cm="1">
        <f t="array" ref="L344">INDEX(FX_Calcs,$AA344,$AD344)</f>
        <v>N/A</v>
      </c>
      <c r="M344" t="str" cm="1">
        <f t="array" ref="M344">INDEX(FX_Calcs,$AA344,$AD344)</f>
        <v>N/A</v>
      </c>
      <c r="N344" t="str" cm="1">
        <f t="array" ref="N344">INDEX(FX_Calcs,$AA344,$AD344)</f>
        <v>N/A</v>
      </c>
      <c r="O344" t="str" cm="1">
        <f t="array" ref="O344">INDEX(FX_Calcs,$AA344,$AD344)</f>
        <v>N/A</v>
      </c>
      <c r="P344" t="str" cm="1">
        <f t="array" ref="P344">INDEX(FX_Calcs,$AA344,$AD344)</f>
        <v>N/A</v>
      </c>
      <c r="AA344">
        <f>AA343</f>
        <v>25</v>
      </c>
      <c r="AB344">
        <f t="shared" si="841"/>
        <v>6</v>
      </c>
      <c r="AC344">
        <f t="shared" si="842"/>
        <v>3</v>
      </c>
      <c r="AD344">
        <f t="shared" si="842"/>
        <v>13</v>
      </c>
      <c r="AE344">
        <f t="shared" si="842"/>
        <v>12</v>
      </c>
      <c r="AF344">
        <f t="shared" si="842"/>
        <v>14</v>
      </c>
      <c r="AG344">
        <f t="shared" si="843"/>
        <v>77</v>
      </c>
      <c r="AH344">
        <f t="shared" si="844"/>
        <v>78</v>
      </c>
      <c r="AI344">
        <f t="shared" si="845"/>
        <v>1</v>
      </c>
      <c r="AJ344">
        <f t="shared" si="846"/>
        <v>2</v>
      </c>
      <c r="AK344">
        <f t="shared" si="847"/>
        <v>1</v>
      </c>
      <c r="AL344">
        <f t="shared" si="848"/>
        <v>76</v>
      </c>
    </row>
    <row r="345" spans="1:38" x14ac:dyDescent="0.4">
      <c r="B345" t="str">
        <f t="shared" si="849"/>
        <v>Portland</v>
      </c>
      <c r="C345" s="66" t="s">
        <v>558</v>
      </c>
      <c r="D345" t="str" cm="1">
        <f t="array" ref="D345">INDEX(FX_Calcs,$AA345,$AF345)</f>
        <v>Insulated</v>
      </c>
      <c r="E345" t="str" cm="1">
        <f t="array" ref="E345">INDEX(FX_Calcs,$AA345,$AF345)</f>
        <v>Insulated</v>
      </c>
      <c r="F345" t="str" cm="1">
        <f t="array" ref="F345">INDEX(FX_Calcs,$AA345,$AF345)</f>
        <v>Insulated</v>
      </c>
      <c r="G345" t="str" cm="1">
        <f t="array" ref="G345">INDEX(FX_Calcs,$AA345,$AF345)</f>
        <v>Insulated</v>
      </c>
      <c r="H345" t="str" cm="1">
        <f t="array" ref="H345">INDEX(FX_Calcs,$AA345,$AF345)</f>
        <v>Insulated</v>
      </c>
      <c r="I345" t="str" cm="1">
        <f t="array" ref="I345">INDEX(FX_Calcs,$AA345,$AF345)</f>
        <v>Insulated</v>
      </c>
      <c r="J345" t="str" cm="1">
        <f t="array" ref="J345">INDEX(FX_Calcs,$AA345,$AF345)</f>
        <v>Insulated</v>
      </c>
      <c r="K345" t="str" cm="1">
        <f t="array" ref="K345">INDEX(FX_Calcs,$AA345,$AF345)</f>
        <v>Insulated</v>
      </c>
      <c r="L345" t="str" cm="1">
        <f t="array" ref="L345">INDEX(FX_Calcs,$AA345,$AF345)</f>
        <v>Insulated</v>
      </c>
      <c r="M345" t="str" cm="1">
        <f t="array" ref="M345">INDEX(FX_Calcs,$AA345,$AF345)</f>
        <v>Insulated</v>
      </c>
      <c r="N345" t="str" cm="1">
        <f t="array" ref="N345">INDEX(FX_Calcs,$AA345,$AF345)</f>
        <v>Insulated</v>
      </c>
      <c r="O345" t="str" cm="1">
        <f t="array" ref="O345">INDEX(FX_Calcs,$AA345,$AF345)</f>
        <v>Insulated</v>
      </c>
      <c r="P345" t="str" cm="1">
        <f t="array" ref="P345">INDEX(FX_Calcs,$AA345,$AF345)</f>
        <v>Insulated</v>
      </c>
      <c r="AA345">
        <f>AA344</f>
        <v>25</v>
      </c>
      <c r="AB345">
        <f t="shared" si="841"/>
        <v>6</v>
      </c>
      <c r="AC345">
        <f t="shared" si="842"/>
        <v>3</v>
      </c>
      <c r="AD345">
        <f t="shared" si="842"/>
        <v>13</v>
      </c>
      <c r="AE345">
        <f t="shared" si="842"/>
        <v>12</v>
      </c>
      <c r="AF345">
        <f t="shared" si="842"/>
        <v>14</v>
      </c>
      <c r="AG345">
        <f t="shared" si="843"/>
        <v>77</v>
      </c>
      <c r="AH345">
        <f t="shared" si="844"/>
        <v>78</v>
      </c>
      <c r="AI345">
        <f t="shared" si="845"/>
        <v>1</v>
      </c>
      <c r="AJ345">
        <f t="shared" si="846"/>
        <v>2</v>
      </c>
      <c r="AK345">
        <f t="shared" si="847"/>
        <v>1</v>
      </c>
      <c r="AL345">
        <f t="shared" si="848"/>
        <v>76</v>
      </c>
    </row>
    <row r="346" spans="1:38" ht="17.149999999999999" x14ac:dyDescent="0.55000000000000004">
      <c r="B346" t="str">
        <f>B342</f>
        <v>Portland</v>
      </c>
      <c r="C346" t="s">
        <v>512</v>
      </c>
      <c r="D346">
        <f t="shared" ref="D346:P346" si="850">D342-D341</f>
        <v>10.400000000000034</v>
      </c>
      <c r="E346">
        <f t="shared" si="850"/>
        <v>13.199999999999989</v>
      </c>
      <c r="F346">
        <f t="shared" si="850"/>
        <v>13.200000000000045</v>
      </c>
      <c r="G346">
        <f t="shared" si="850"/>
        <v>13.399999999999977</v>
      </c>
      <c r="H346">
        <f t="shared" si="850"/>
        <v>13.299999999999955</v>
      </c>
      <c r="I346">
        <f t="shared" si="850"/>
        <v>12.500000000000057</v>
      </c>
      <c r="J346">
        <f t="shared" si="850"/>
        <v>12.699999999999932</v>
      </c>
      <c r="K346">
        <f t="shared" si="850"/>
        <v>13.600000000000023</v>
      </c>
      <c r="L346">
        <f t="shared" si="850"/>
        <v>16.399999999999977</v>
      </c>
      <c r="M346">
        <f t="shared" si="850"/>
        <v>14.699999999999989</v>
      </c>
      <c r="N346">
        <f t="shared" si="850"/>
        <v>12.200000000000045</v>
      </c>
      <c r="O346">
        <f t="shared" si="850"/>
        <v>10</v>
      </c>
      <c r="P346">
        <f t="shared" si="850"/>
        <v>13</v>
      </c>
    </row>
    <row r="347" spans="1:38" x14ac:dyDescent="0.4">
      <c r="B347" t="str">
        <f t="shared" ref="B347:B354" si="851">B346</f>
        <v>Portland</v>
      </c>
      <c r="C347" t="s">
        <v>260</v>
      </c>
      <c r="D347">
        <f t="shared" ref="D347:P347" si="852">VLOOKUP(VLOOKUP($B347,Terminal_X_Ref,2,FALSE)&amp;$C347,Weather_Data,$Y347*D$3+$Z347,FALSE)</f>
        <v>343</v>
      </c>
      <c r="E347">
        <f t="shared" si="852"/>
        <v>600</v>
      </c>
      <c r="F347">
        <f t="shared" si="852"/>
        <v>877</v>
      </c>
      <c r="G347">
        <f t="shared" si="852"/>
        <v>1252</v>
      </c>
      <c r="H347">
        <f t="shared" si="852"/>
        <v>1537</v>
      </c>
      <c r="I347">
        <f t="shared" si="852"/>
        <v>1627</v>
      </c>
      <c r="J347">
        <f t="shared" si="852"/>
        <v>1708</v>
      </c>
      <c r="K347">
        <f t="shared" si="852"/>
        <v>1492</v>
      </c>
      <c r="L347">
        <f t="shared" si="852"/>
        <v>1196</v>
      </c>
      <c r="M347">
        <f t="shared" si="852"/>
        <v>728</v>
      </c>
      <c r="N347">
        <f t="shared" si="852"/>
        <v>391</v>
      </c>
      <c r="O347">
        <f t="shared" si="852"/>
        <v>302</v>
      </c>
      <c r="P347">
        <f t="shared" si="852"/>
        <v>1005</v>
      </c>
      <c r="U347">
        <f>U342</f>
        <v>2</v>
      </c>
      <c r="V347">
        <f t="shared" ref="V347:Z347" si="853">V342</f>
        <v>3</v>
      </c>
      <c r="W347">
        <f t="shared" si="853"/>
        <v>1</v>
      </c>
      <c r="X347">
        <f t="shared" si="853"/>
        <v>2</v>
      </c>
      <c r="Y347">
        <f t="shared" si="853"/>
        <v>1</v>
      </c>
      <c r="Z347">
        <f t="shared" si="853"/>
        <v>1</v>
      </c>
    </row>
    <row r="348" spans="1:38" ht="17.149999999999999" x14ac:dyDescent="0.55000000000000004">
      <c r="B348" t="str">
        <f t="shared" si="851"/>
        <v>Portland</v>
      </c>
      <c r="C348" t="s">
        <v>523</v>
      </c>
      <c r="D348">
        <f>IF(ISNUMBER(D345),0.7*D346+0.02*D345*D347,IF(D345="Partially Insulated",0.6*D346+0.02*D344*D347,0))</f>
        <v>0</v>
      </c>
      <c r="E348">
        <f t="shared" ref="E348:P348" si="854">IF(ISNUMBER(E345),0.7*E346+0.02*E345*E347,IF(E345="Partially Insulated",0.6*E346+0.02*E344*E347,0))</f>
        <v>0</v>
      </c>
      <c r="F348">
        <f t="shared" si="854"/>
        <v>0</v>
      </c>
      <c r="G348">
        <f t="shared" si="854"/>
        <v>0</v>
      </c>
      <c r="H348">
        <f t="shared" si="854"/>
        <v>0</v>
      </c>
      <c r="I348">
        <f t="shared" si="854"/>
        <v>0</v>
      </c>
      <c r="J348">
        <f t="shared" si="854"/>
        <v>0</v>
      </c>
      <c r="K348">
        <f t="shared" si="854"/>
        <v>0</v>
      </c>
      <c r="L348">
        <f t="shared" si="854"/>
        <v>0</v>
      </c>
      <c r="M348">
        <f t="shared" si="854"/>
        <v>0</v>
      </c>
      <c r="N348">
        <f t="shared" si="854"/>
        <v>0</v>
      </c>
      <c r="O348">
        <f t="shared" si="854"/>
        <v>0</v>
      </c>
      <c r="P348">
        <f t="shared" si="854"/>
        <v>0</v>
      </c>
    </row>
    <row r="349" spans="1:38" ht="17.149999999999999" x14ac:dyDescent="0.55000000000000004">
      <c r="B349" t="str">
        <f t="shared" si="851"/>
        <v>Portland</v>
      </c>
      <c r="C349" t="s">
        <v>524</v>
      </c>
      <c r="D349">
        <f t="shared" ref="D349:F349" si="855">AVERAGE(D341:D342)</f>
        <v>503.5</v>
      </c>
      <c r="E349">
        <f t="shared" si="855"/>
        <v>504.30000000000007</v>
      </c>
      <c r="F349">
        <f t="shared" si="855"/>
        <v>505.70000000000005</v>
      </c>
      <c r="G349">
        <f>AVERAGE(G341:G342)</f>
        <v>508.2</v>
      </c>
      <c r="H349">
        <f t="shared" ref="H349:P349" si="856">AVERAGE(H341:H342)</f>
        <v>512.75</v>
      </c>
      <c r="I349">
        <f t="shared" si="856"/>
        <v>516.55000000000007</v>
      </c>
      <c r="J349">
        <f t="shared" si="856"/>
        <v>520.04999999999995</v>
      </c>
      <c r="K349">
        <f t="shared" si="856"/>
        <v>520.5</v>
      </c>
      <c r="L349">
        <f t="shared" si="856"/>
        <v>518.20000000000005</v>
      </c>
      <c r="M349">
        <f t="shared" si="856"/>
        <v>512.25</v>
      </c>
      <c r="N349">
        <f t="shared" si="856"/>
        <v>506.70000000000005</v>
      </c>
      <c r="O349">
        <f t="shared" si="856"/>
        <v>503.20000000000005</v>
      </c>
      <c r="P349">
        <f t="shared" si="856"/>
        <v>51.4</v>
      </c>
    </row>
    <row r="350" spans="1:38" ht="17.149999999999999" x14ac:dyDescent="0.55000000000000004">
      <c r="B350" t="str">
        <f t="shared" si="851"/>
        <v>Portland</v>
      </c>
      <c r="C350" t="s">
        <v>525</v>
      </c>
      <c r="D350" cm="1">
        <f t="array" ref="D350">IFERROR(IF(ISBLANK(INDEX(FX_Input,$R341,D$3*$AK341+$AL341)),D349+0.003*D343*D347,INDEX(FX_Input,$R341,D$3*$AK341+$AL341)+459.6),D349)</f>
        <v>503.5</v>
      </c>
      <c r="E350" cm="1">
        <f t="array" ref="E350">IFERROR(IF(ISBLANK(INDEX(FX_Input,$R341,E$3*$AK341+$AL341)),E349+0.003*E343*E347,INDEX(FX_Input,$R341,E$3*$AK341+$AL341)+459.6),E349)</f>
        <v>504.30000000000007</v>
      </c>
      <c r="F350" cm="1">
        <f t="array" ref="F350">IFERROR(IF(ISBLANK(INDEX(FX_Input,$R341,F$3*$AK341+$AL341)),F349+0.003*F343*F347,INDEX(FX_Input,$R341,F$3*$AK341+$AL341)+459.6),F349)</f>
        <v>505.70000000000005</v>
      </c>
      <c r="G350" cm="1">
        <f t="array" ref="G350">IFERROR(IF(ISBLANK(INDEX(FX_Input,$R341,G$3*$AK341+$AL341)),G349+0.003*G343*G347,INDEX(FX_Input,$R341,G$3*$AK341+$AL341)+459.6),G349)</f>
        <v>508.2</v>
      </c>
      <c r="H350" cm="1">
        <f t="array" ref="H350">IFERROR(IF(ISBLANK(INDEX(FX_Input,$R341,H$3*$AK341+$AL341)),H349+0.003*H343*H347,INDEX(FX_Input,$R341,H$3*$AK341+$AL341)+459.6),H349)</f>
        <v>512.75</v>
      </c>
      <c r="I350" cm="1">
        <f t="array" ref="I350">IFERROR(IF(ISBLANK(INDEX(FX_Input,$R341,I$3*$AK341+$AL341)),I349+0.003*I343*I347,INDEX(FX_Input,$R341,I$3*$AK341+$AL341)+459.6),I349)</f>
        <v>516.55000000000007</v>
      </c>
      <c r="J350" cm="1">
        <f t="array" ref="J350">IFERROR(IF(ISBLANK(INDEX(FX_Input,$R341,J$3*$AK341+$AL341)),J349+0.003*J343*J347,INDEX(FX_Input,$R341,J$3*$AK341+$AL341)+459.6),J349)</f>
        <v>520.04999999999995</v>
      </c>
      <c r="K350" cm="1">
        <f t="array" ref="K350">IFERROR(IF(ISBLANK(INDEX(FX_Input,$R341,K$3*$AK341+$AL341)),K349+0.003*K343*K347,INDEX(FX_Input,$R341,K$3*$AK341+$AL341)+459.6),K349)</f>
        <v>520.5</v>
      </c>
      <c r="L350" cm="1">
        <f t="array" ref="L350">IFERROR(IF(ISBLANK(INDEX(FX_Input,$R341,L$3*$AK341+$AL341)),L349+0.003*L343*L347,INDEX(FX_Input,$R341,L$3*$AK341+$AL341)+459.6),L349)</f>
        <v>518.20000000000005</v>
      </c>
      <c r="M350" cm="1">
        <f t="array" ref="M350">IFERROR(IF(ISBLANK(INDEX(FX_Input,$R341,M$3*$AK341+$AL341)),M349+0.003*M343*M347,INDEX(FX_Input,$R341,M$3*$AK341+$AL341)+459.6),M349)</f>
        <v>512.25</v>
      </c>
      <c r="N350" cm="1">
        <f t="array" ref="N350">IFERROR(IF(ISBLANK(INDEX(FX_Input,$R341,N$3*$AK341+$AL341)),N349+0.003*N343*N347,INDEX(FX_Input,$R341,N$3*$AK341+$AL341)+459.6),N349)</f>
        <v>506.70000000000005</v>
      </c>
      <c r="O350" cm="1">
        <f t="array" ref="O350">IFERROR(IF(ISBLANK(INDEX(FX_Input,$R341,O$3*$AK341+$AL341)),O349+0.003*O343*O347,INDEX(FX_Input,$R341,O$3*$AK341+$AL341)+459.6),O349)</f>
        <v>503.20000000000005</v>
      </c>
      <c r="P350" cm="1">
        <f t="array" ref="P350">IFERROR(IF(ISBLANK(INDEX(FX_Input,$R341,P$3*$AK341+$AL341)),P349+0.003*P343*P347,INDEX(FX_Input,$R341,P$3*$AK341+$AL341)+459.6),P349)</f>
        <v>459.6</v>
      </c>
    </row>
    <row r="351" spans="1:38" ht="17.149999999999999" x14ac:dyDescent="0.55000000000000004">
      <c r="B351" t="str">
        <f t="shared" si="851"/>
        <v>Portland</v>
      </c>
      <c r="C351" t="s">
        <v>526</v>
      </c>
      <c r="D351">
        <f>IF(ISNUMBER(D345),0.4*D341+0.6*D350+0.005*D345*D347,IF(D345="Partially Insulated",0.3*D349+0.7*D350+0.005*D344*D347,D350))-459.6</f>
        <v>43.899999999999977</v>
      </c>
      <c r="E351">
        <f t="shared" ref="E351" si="857">IF(ISNUMBER(E345),0.4*E341+0.6*E350+0.005*E345*E347,IF(E345="Partially Insulated",0.3*E349+0.7*E350+0.005*E344*E347,E350))-459.6</f>
        <v>44.700000000000045</v>
      </c>
      <c r="F351">
        <f t="shared" ref="F351" si="858">IF(ISNUMBER(F345),0.4*F341+0.6*F350+0.005*F345*F347,IF(F345="Partially Insulated",0.3*F349+0.7*F350+0.005*F344*F347,F350))-459.6</f>
        <v>46.100000000000023</v>
      </c>
      <c r="G351">
        <f t="shared" ref="G351" si="859">IF(ISNUMBER(G345),0.4*G341+0.6*G350+0.005*G345*G347,IF(G345="Partially Insulated",0.3*G349+0.7*G350+0.005*G344*G347,G350))-459.6</f>
        <v>48.599999999999966</v>
      </c>
      <c r="H351">
        <f t="shared" ref="H351" si="860">IF(ISNUMBER(H345),0.4*H341+0.6*H350+0.005*H345*H347,IF(H345="Partially Insulated",0.3*H349+0.7*H350+0.005*H344*H347,H350))-459.6</f>
        <v>53.149999999999977</v>
      </c>
      <c r="I351">
        <f t="shared" ref="I351" si="861">IF(ISNUMBER(I345),0.4*I341+0.6*I350+0.005*I345*I347,IF(I345="Partially Insulated",0.3*I349+0.7*I350+0.005*I344*I347,I350))-459.6</f>
        <v>56.950000000000045</v>
      </c>
      <c r="J351">
        <f t="shared" ref="J351" si="862">IF(ISNUMBER(J345),0.4*J341+0.6*J350+0.005*J345*J347,IF(J345="Partially Insulated",0.3*J349+0.7*J350+0.005*J344*J347,J350))-459.6</f>
        <v>60.449999999999932</v>
      </c>
      <c r="K351">
        <f t="shared" ref="K351" si="863">IF(ISNUMBER(K345),0.4*K341+0.6*K350+0.005*K345*K347,IF(K345="Partially Insulated",0.3*K349+0.7*K350+0.005*K344*K347,K350))-459.6</f>
        <v>60.899999999999977</v>
      </c>
      <c r="L351">
        <f t="shared" ref="L351" si="864">IF(ISNUMBER(L345),0.4*L341+0.6*L350+0.005*L345*L347,IF(L345="Partially Insulated",0.3*L349+0.7*L350+0.005*L344*L347,L350))-459.6</f>
        <v>58.600000000000023</v>
      </c>
      <c r="M351">
        <f t="shared" ref="M351" si="865">IF(ISNUMBER(M345),0.4*M341+0.6*M350+0.005*M345*M347,IF(M345="Partially Insulated",0.3*M349+0.7*M350+0.005*M344*M347,M350))-459.6</f>
        <v>52.649999999999977</v>
      </c>
      <c r="N351">
        <f t="shared" ref="N351" si="866">IF(ISNUMBER(N345),0.4*N341+0.6*N350+0.005*N345*N347,IF(N345="Partially Insulated",0.3*N349+0.7*N350+0.005*N344*N347,N350))-459.6</f>
        <v>47.100000000000023</v>
      </c>
      <c r="O351">
        <f t="shared" ref="O351" si="867">IF(ISNUMBER(O345),0.4*O341+0.6*O350+0.005*O345*O347,IF(O345="Partially Insulated",0.3*O349+0.7*O350+0.005*O344*O347,O350))-459.6</f>
        <v>43.600000000000023</v>
      </c>
      <c r="P351">
        <f>AVERAGE(D351:O351)</f>
        <v>51.391666666666673</v>
      </c>
    </row>
    <row r="352" spans="1:38" ht="17.149999999999999" x14ac:dyDescent="0.55000000000000004">
      <c r="B352" t="str">
        <f t="shared" si="851"/>
        <v>Portland</v>
      </c>
      <c r="C352" t="s">
        <v>527</v>
      </c>
      <c r="D352">
        <f>IF(ISNUMBER(D345),0.4*D342+0.6*D350+0.005*D345*D347,IF(D345="Partially Insulated",0.3*D349+0.7*D350+0.005*D344*D347,D350))-459.6</f>
        <v>43.899999999999977</v>
      </c>
      <c r="E352">
        <f t="shared" ref="E352:O352" si="868">IF(ISNUMBER(E345),0.4*E342+0.6*E350+0.005*E345*E347,IF(E345="Partially Insulated",0.3*E349+0.7*E350+0.005*E344*E347,E350))-459.6</f>
        <v>44.700000000000045</v>
      </c>
      <c r="F352">
        <f t="shared" si="868"/>
        <v>46.100000000000023</v>
      </c>
      <c r="G352">
        <f t="shared" si="868"/>
        <v>48.599999999999966</v>
      </c>
      <c r="H352">
        <f t="shared" si="868"/>
        <v>53.149999999999977</v>
      </c>
      <c r="I352">
        <f t="shared" si="868"/>
        <v>56.950000000000045</v>
      </c>
      <c r="J352">
        <f t="shared" si="868"/>
        <v>60.449999999999932</v>
      </c>
      <c r="K352">
        <f t="shared" si="868"/>
        <v>60.899999999999977</v>
      </c>
      <c r="L352">
        <f t="shared" si="868"/>
        <v>58.600000000000023</v>
      </c>
      <c r="M352">
        <f t="shared" si="868"/>
        <v>52.649999999999977</v>
      </c>
      <c r="N352">
        <f t="shared" si="868"/>
        <v>47.100000000000023</v>
      </c>
      <c r="O352">
        <f t="shared" si="868"/>
        <v>43.600000000000023</v>
      </c>
      <c r="P352">
        <f>AVERAGE(D352:O352)</f>
        <v>51.391666666666673</v>
      </c>
    </row>
    <row r="353" spans="1:38" ht="17.149999999999999" x14ac:dyDescent="0.55000000000000004">
      <c r="B353" t="str">
        <f t="shared" si="851"/>
        <v>Portland</v>
      </c>
      <c r="C353" t="s">
        <v>552</v>
      </c>
      <c r="D353">
        <f>IF(ISNUMBER(D345),0.4*D349+0.6*D350+0.005*D345*D347,IF(D345="Partially Insulated",0.3*D349+0.7*D350+0.005*D344*D347,D350))-459.6</f>
        <v>43.899999999999977</v>
      </c>
      <c r="E353">
        <f t="shared" ref="E353:O353" si="869">IF(ISNUMBER(E345),0.4*E349+0.6*E350+0.005*E345*E347,IF(E345="Partially Insulated",0.3*E349+0.7*E350+0.005*E344*E347,E350))-459.6</f>
        <v>44.700000000000045</v>
      </c>
      <c r="F353">
        <f t="shared" si="869"/>
        <v>46.100000000000023</v>
      </c>
      <c r="G353">
        <f t="shared" si="869"/>
        <v>48.599999999999966</v>
      </c>
      <c r="H353">
        <f t="shared" si="869"/>
        <v>53.149999999999977</v>
      </c>
      <c r="I353">
        <f t="shared" si="869"/>
        <v>56.950000000000045</v>
      </c>
      <c r="J353">
        <f t="shared" si="869"/>
        <v>60.449999999999932</v>
      </c>
      <c r="K353">
        <f t="shared" si="869"/>
        <v>60.899999999999977</v>
      </c>
      <c r="L353">
        <f t="shared" si="869"/>
        <v>58.600000000000023</v>
      </c>
      <c r="M353">
        <f t="shared" si="869"/>
        <v>52.649999999999977</v>
      </c>
      <c r="N353">
        <f t="shared" si="869"/>
        <v>47.100000000000023</v>
      </c>
      <c r="O353">
        <f t="shared" si="869"/>
        <v>43.600000000000023</v>
      </c>
      <c r="P353">
        <f>AVERAGE(D353:O353)</f>
        <v>51.391666666666673</v>
      </c>
    </row>
    <row r="354" spans="1:38" ht="17.149999999999999" x14ac:dyDescent="0.55000000000000004">
      <c r="A354" s="11"/>
      <c r="B354" s="11" t="str">
        <f t="shared" si="851"/>
        <v>Portland</v>
      </c>
      <c r="C354" s="11" t="s">
        <v>553</v>
      </c>
      <c r="D354" s="11">
        <f>IF(ISNUMBER(D345),0.7*D349+0.3*D350+0.009*D345*D347,IF(D345="Partially Insulated",0.6*D349+0.4*D350+0.01*D344*D347,D350))-459.6</f>
        <v>43.899999999999977</v>
      </c>
      <c r="E354" s="11">
        <f t="shared" ref="E354:O354" si="870">IF(ISNUMBER(E345),0.7*E349+0.3*E350+0.009*E345*E347,IF(E345="Partially Insulated",0.6*E349+0.4*E350+0.01*E344*E347,E350))-459.6</f>
        <v>44.700000000000045</v>
      </c>
      <c r="F354" s="11">
        <f t="shared" si="870"/>
        <v>46.100000000000023</v>
      </c>
      <c r="G354" s="11">
        <f t="shared" si="870"/>
        <v>48.599999999999966</v>
      </c>
      <c r="H354" s="11">
        <f t="shared" si="870"/>
        <v>53.149999999999977</v>
      </c>
      <c r="I354" s="11">
        <f t="shared" si="870"/>
        <v>56.950000000000045</v>
      </c>
      <c r="J354" s="11">
        <f t="shared" si="870"/>
        <v>60.449999999999932</v>
      </c>
      <c r="K354" s="11">
        <f t="shared" si="870"/>
        <v>60.899999999999977</v>
      </c>
      <c r="L354" s="11">
        <f t="shared" si="870"/>
        <v>58.600000000000023</v>
      </c>
      <c r="M354" s="11">
        <f t="shared" si="870"/>
        <v>52.649999999999977</v>
      </c>
      <c r="N354" s="11">
        <f t="shared" si="870"/>
        <v>47.100000000000023</v>
      </c>
      <c r="O354" s="11">
        <f t="shared" si="870"/>
        <v>43.600000000000023</v>
      </c>
      <c r="P354" s="11">
        <f>AVERAGE(D354:O354)</f>
        <v>51.391666666666673</v>
      </c>
      <c r="Q354" s="11"/>
      <c r="R354" s="11"/>
      <c r="S354" s="11"/>
      <c r="T354" s="11"/>
      <c r="U354" s="11"/>
      <c r="V354" s="11"/>
      <c r="W354" s="11"/>
      <c r="X354" s="11"/>
      <c r="Y354" s="11"/>
      <c r="Z354" s="11"/>
      <c r="AA354" s="11"/>
      <c r="AB354" s="11"/>
      <c r="AC354" s="11"/>
      <c r="AD354" s="11"/>
      <c r="AE354" s="11"/>
      <c r="AF354" s="11"/>
      <c r="AG354" s="11"/>
      <c r="AH354" s="11"/>
      <c r="AI354" s="11"/>
      <c r="AJ354" s="11"/>
      <c r="AK354" s="11"/>
      <c r="AL354" s="11"/>
    </row>
    <row r="355" spans="1:38" ht="17.149999999999999" x14ac:dyDescent="0.55000000000000004">
      <c r="A355" t="str" cm="1">
        <f t="array" ref="A355">INDEX(FX_Input,$R355,S$5)</f>
        <v>FX - 26</v>
      </c>
      <c r="B355" t="str" cm="1">
        <f t="array" ref="B355">INDEX(FX_Input,R355,T355)</f>
        <v>Portland</v>
      </c>
      <c r="C355" t="s">
        <v>510</v>
      </c>
      <c r="D355">
        <f t="shared" ref="D355:O356" si="871">VLOOKUP(VLOOKUP($B355,Terminal_X_Ref,2,FALSE)&amp;$C355,Weather_Data,$Y355*D$3+$Z355,FALSE)+459.6</f>
        <v>498.3</v>
      </c>
      <c r="E355">
        <f t="shared" si="871"/>
        <v>497.70000000000005</v>
      </c>
      <c r="F355">
        <f t="shared" si="871"/>
        <v>499.1</v>
      </c>
      <c r="G355">
        <f t="shared" si="871"/>
        <v>501.5</v>
      </c>
      <c r="H355">
        <f t="shared" si="871"/>
        <v>506.1</v>
      </c>
      <c r="I355">
        <f t="shared" si="871"/>
        <v>510.3</v>
      </c>
      <c r="J355">
        <f t="shared" si="871"/>
        <v>513.70000000000005</v>
      </c>
      <c r="K355">
        <f t="shared" si="871"/>
        <v>513.70000000000005</v>
      </c>
      <c r="L355">
        <f t="shared" si="871"/>
        <v>510</v>
      </c>
      <c r="M355">
        <f t="shared" si="871"/>
        <v>504.90000000000003</v>
      </c>
      <c r="N355">
        <f t="shared" si="871"/>
        <v>500.6</v>
      </c>
      <c r="O355">
        <f t="shared" si="871"/>
        <v>498.20000000000005</v>
      </c>
      <c r="P355">
        <f t="shared" ref="P355:P356" si="872">VLOOKUP(VLOOKUP($B355,Terminal_X_Ref,2,FALSE)&amp;$C355,Weather_Data,$Y355*P$3+$Z355,FALSE)</f>
        <v>44.9</v>
      </c>
      <c r="R355">
        <f>R341+2</f>
        <v>51</v>
      </c>
      <c r="S355">
        <f>S341+1</f>
        <v>26</v>
      </c>
      <c r="T355">
        <v>3</v>
      </c>
      <c r="U355">
        <v>2</v>
      </c>
      <c r="V355">
        <v>3</v>
      </c>
      <c r="W355">
        <v>1</v>
      </c>
      <c r="X355">
        <v>2</v>
      </c>
      <c r="Y355">
        <f>(V355-U355)/(X355-W355)</f>
        <v>1</v>
      </c>
      <c r="Z355">
        <f>U355-Y355*W355</f>
        <v>1</v>
      </c>
      <c r="AA355">
        <f>AA341+1</f>
        <v>26</v>
      </c>
      <c r="AB355">
        <v>6</v>
      </c>
      <c r="AC355">
        <v>3</v>
      </c>
      <c r="AD355">
        <v>13</v>
      </c>
      <c r="AE355">
        <v>12</v>
      </c>
      <c r="AF355">
        <v>14</v>
      </c>
      <c r="AG355">
        <v>77</v>
      </c>
      <c r="AH355">
        <v>78</v>
      </c>
      <c r="AI355">
        <v>1</v>
      </c>
      <c r="AJ355">
        <v>2</v>
      </c>
      <c r="AK355">
        <f>(AH355-AG355)/(AJ355-AI355)</f>
        <v>1</v>
      </c>
      <c r="AL355">
        <f>AG355-AK355*AI355</f>
        <v>76</v>
      </c>
    </row>
    <row r="356" spans="1:38" ht="17.149999999999999" x14ac:dyDescent="0.55000000000000004">
      <c r="B356" t="str">
        <f t="shared" ref="B356" si="873">B355</f>
        <v>Portland</v>
      </c>
      <c r="C356" t="s">
        <v>511</v>
      </c>
      <c r="D356">
        <f t="shared" si="871"/>
        <v>508.70000000000005</v>
      </c>
      <c r="E356">
        <f t="shared" si="871"/>
        <v>510.90000000000003</v>
      </c>
      <c r="F356">
        <f t="shared" si="871"/>
        <v>512.30000000000007</v>
      </c>
      <c r="G356">
        <f t="shared" si="871"/>
        <v>514.9</v>
      </c>
      <c r="H356">
        <f t="shared" si="871"/>
        <v>519.4</v>
      </c>
      <c r="I356">
        <f t="shared" si="871"/>
        <v>522.80000000000007</v>
      </c>
      <c r="J356">
        <f t="shared" si="871"/>
        <v>526.4</v>
      </c>
      <c r="K356">
        <f t="shared" si="871"/>
        <v>527.30000000000007</v>
      </c>
      <c r="L356">
        <f t="shared" si="871"/>
        <v>526.4</v>
      </c>
      <c r="M356">
        <f t="shared" si="871"/>
        <v>519.6</v>
      </c>
      <c r="N356">
        <f t="shared" si="871"/>
        <v>512.80000000000007</v>
      </c>
      <c r="O356">
        <f t="shared" si="871"/>
        <v>508.20000000000005</v>
      </c>
      <c r="P356">
        <f t="shared" si="872"/>
        <v>57.9</v>
      </c>
      <c r="U356">
        <f>U355</f>
        <v>2</v>
      </c>
      <c r="V356">
        <f t="shared" ref="V356:Z356" si="874">V355</f>
        <v>3</v>
      </c>
      <c r="W356">
        <f t="shared" si="874"/>
        <v>1</v>
      </c>
      <c r="X356">
        <f t="shared" si="874"/>
        <v>2</v>
      </c>
      <c r="Y356">
        <f t="shared" si="874"/>
        <v>1</v>
      </c>
      <c r="Z356">
        <f t="shared" si="874"/>
        <v>1</v>
      </c>
      <c r="AA356">
        <f>AA355</f>
        <v>26</v>
      </c>
      <c r="AB356">
        <f t="shared" ref="AB356:AB359" si="875">AB355</f>
        <v>6</v>
      </c>
      <c r="AC356">
        <f t="shared" ref="AC356:AF359" si="876">AC355</f>
        <v>3</v>
      </c>
      <c r="AD356">
        <f t="shared" si="876"/>
        <v>13</v>
      </c>
      <c r="AE356">
        <f t="shared" si="876"/>
        <v>12</v>
      </c>
      <c r="AF356">
        <f t="shared" si="876"/>
        <v>14</v>
      </c>
      <c r="AG356">
        <f t="shared" ref="AG356:AG359" si="877">AG355</f>
        <v>77</v>
      </c>
      <c r="AH356">
        <f t="shared" ref="AH356:AH359" si="878">AH355</f>
        <v>78</v>
      </c>
      <c r="AI356">
        <f t="shared" ref="AI356:AI359" si="879">AI355</f>
        <v>1</v>
      </c>
      <c r="AJ356">
        <f t="shared" ref="AJ356:AJ359" si="880">AJ355</f>
        <v>2</v>
      </c>
      <c r="AK356">
        <f t="shared" ref="AK356:AK359" si="881">AK355</f>
        <v>1</v>
      </c>
      <c r="AL356">
        <f t="shared" ref="AL356:AL359" si="882">AL355</f>
        <v>76</v>
      </c>
    </row>
    <row r="357" spans="1:38" ht="17.149999999999999" x14ac:dyDescent="0.4">
      <c r="B357" t="str">
        <f>B356</f>
        <v>Portland</v>
      </c>
      <c r="C357" s="66" t="s">
        <v>514</v>
      </c>
      <c r="D357" t="str" cm="1">
        <f t="array" ref="D357">INDEX(FX_Calcs,$AA357,$AE357)</f>
        <v>N/A</v>
      </c>
      <c r="E357" t="str" cm="1">
        <f t="array" ref="E357">INDEX(FX_Calcs,$AA357,$AE357)</f>
        <v>N/A</v>
      </c>
      <c r="F357" t="str" cm="1">
        <f t="array" ref="F357">INDEX(FX_Calcs,$AA357,$AE357)</f>
        <v>N/A</v>
      </c>
      <c r="G357" t="str" cm="1">
        <f t="array" ref="G357">INDEX(FX_Calcs,$AA357,$AE357)</f>
        <v>N/A</v>
      </c>
      <c r="H357" t="str" cm="1">
        <f t="array" ref="H357">INDEX(FX_Calcs,$AA357,$AE357)</f>
        <v>N/A</v>
      </c>
      <c r="I357" t="str" cm="1">
        <f t="array" ref="I357">INDEX(FX_Calcs,$AA357,$AE357)</f>
        <v>N/A</v>
      </c>
      <c r="J357" t="str" cm="1">
        <f t="array" ref="J357">INDEX(FX_Calcs,$AA357,$AE357)</f>
        <v>N/A</v>
      </c>
      <c r="K357" t="str" cm="1">
        <f t="array" ref="K357">INDEX(FX_Calcs,$AA357,$AE357)</f>
        <v>N/A</v>
      </c>
      <c r="L357" t="str" cm="1">
        <f t="array" ref="L357">INDEX(FX_Calcs,$AA357,$AE357)</f>
        <v>N/A</v>
      </c>
      <c r="M357" t="str" cm="1">
        <f t="array" ref="M357">INDEX(FX_Calcs,$AA357,$AE357)</f>
        <v>N/A</v>
      </c>
      <c r="N357" t="str" cm="1">
        <f t="array" ref="N357">INDEX(FX_Calcs,$AA357,$AE357)</f>
        <v>N/A</v>
      </c>
      <c r="O357" t="str" cm="1">
        <f t="array" ref="O357">INDEX(FX_Calcs,$AA357,$AE357)</f>
        <v>N/A</v>
      </c>
      <c r="P357" t="str" cm="1">
        <f t="array" ref="P357">INDEX(FX_Calcs,$AA357,$AE357)</f>
        <v>N/A</v>
      </c>
      <c r="AA357">
        <f>AA356</f>
        <v>26</v>
      </c>
      <c r="AB357">
        <f t="shared" si="875"/>
        <v>6</v>
      </c>
      <c r="AC357">
        <f t="shared" si="876"/>
        <v>3</v>
      </c>
      <c r="AD357">
        <f t="shared" si="876"/>
        <v>13</v>
      </c>
      <c r="AE357">
        <f t="shared" si="876"/>
        <v>12</v>
      </c>
      <c r="AF357">
        <f t="shared" si="876"/>
        <v>14</v>
      </c>
      <c r="AG357">
        <f t="shared" si="877"/>
        <v>77</v>
      </c>
      <c r="AH357">
        <f t="shared" si="878"/>
        <v>78</v>
      </c>
      <c r="AI357">
        <f t="shared" si="879"/>
        <v>1</v>
      </c>
      <c r="AJ357">
        <f t="shared" si="880"/>
        <v>2</v>
      </c>
      <c r="AK357">
        <f t="shared" si="881"/>
        <v>1</v>
      </c>
      <c r="AL357">
        <f t="shared" si="882"/>
        <v>76</v>
      </c>
    </row>
    <row r="358" spans="1:38" ht="17.149999999999999" x14ac:dyDescent="0.4">
      <c r="B358" t="str">
        <f t="shared" ref="B358:B359" si="883">B357</f>
        <v>Portland</v>
      </c>
      <c r="C358" s="66" t="s">
        <v>513</v>
      </c>
      <c r="D358" t="str" cm="1">
        <f t="array" ref="D358">INDEX(FX_Calcs,$AA358,$AD358)</f>
        <v>N/A</v>
      </c>
      <c r="E358" t="str" cm="1">
        <f t="array" ref="E358">INDEX(FX_Calcs,$AA358,$AD358)</f>
        <v>N/A</v>
      </c>
      <c r="F358" t="str" cm="1">
        <f t="array" ref="F358">INDEX(FX_Calcs,$AA358,$AD358)</f>
        <v>N/A</v>
      </c>
      <c r="G358" t="str" cm="1">
        <f t="array" ref="G358">INDEX(FX_Calcs,$AA358,$AD358)</f>
        <v>N/A</v>
      </c>
      <c r="H358" t="str" cm="1">
        <f t="array" ref="H358">INDEX(FX_Calcs,$AA358,$AD358)</f>
        <v>N/A</v>
      </c>
      <c r="I358" t="str" cm="1">
        <f t="array" ref="I358">INDEX(FX_Calcs,$AA358,$AD358)</f>
        <v>N/A</v>
      </c>
      <c r="J358" t="str" cm="1">
        <f t="array" ref="J358">INDEX(FX_Calcs,$AA358,$AD358)</f>
        <v>N/A</v>
      </c>
      <c r="K358" t="str" cm="1">
        <f t="array" ref="K358">INDEX(FX_Calcs,$AA358,$AD358)</f>
        <v>N/A</v>
      </c>
      <c r="L358" t="str" cm="1">
        <f t="array" ref="L358">INDEX(FX_Calcs,$AA358,$AD358)</f>
        <v>N/A</v>
      </c>
      <c r="M358" t="str" cm="1">
        <f t="array" ref="M358">INDEX(FX_Calcs,$AA358,$AD358)</f>
        <v>N/A</v>
      </c>
      <c r="N358" t="str" cm="1">
        <f t="array" ref="N358">INDEX(FX_Calcs,$AA358,$AD358)</f>
        <v>N/A</v>
      </c>
      <c r="O358" t="str" cm="1">
        <f t="array" ref="O358">INDEX(FX_Calcs,$AA358,$AD358)</f>
        <v>N/A</v>
      </c>
      <c r="P358" t="str" cm="1">
        <f t="array" ref="P358">INDEX(FX_Calcs,$AA358,$AD358)</f>
        <v>N/A</v>
      </c>
      <c r="AA358">
        <f>AA357</f>
        <v>26</v>
      </c>
      <c r="AB358">
        <f t="shared" si="875"/>
        <v>6</v>
      </c>
      <c r="AC358">
        <f t="shared" si="876"/>
        <v>3</v>
      </c>
      <c r="AD358">
        <f t="shared" si="876"/>
        <v>13</v>
      </c>
      <c r="AE358">
        <f t="shared" si="876"/>
        <v>12</v>
      </c>
      <c r="AF358">
        <f t="shared" si="876"/>
        <v>14</v>
      </c>
      <c r="AG358">
        <f t="shared" si="877"/>
        <v>77</v>
      </c>
      <c r="AH358">
        <f t="shared" si="878"/>
        <v>78</v>
      </c>
      <c r="AI358">
        <f t="shared" si="879"/>
        <v>1</v>
      </c>
      <c r="AJ358">
        <f t="shared" si="880"/>
        <v>2</v>
      </c>
      <c r="AK358">
        <f t="shared" si="881"/>
        <v>1</v>
      </c>
      <c r="AL358">
        <f t="shared" si="882"/>
        <v>76</v>
      </c>
    </row>
    <row r="359" spans="1:38" x14ac:dyDescent="0.4">
      <c r="B359" t="str">
        <f t="shared" si="883"/>
        <v>Portland</v>
      </c>
      <c r="C359" s="66" t="s">
        <v>558</v>
      </c>
      <c r="D359" t="str" cm="1">
        <f t="array" ref="D359">INDEX(FX_Calcs,$AA359,$AF359)</f>
        <v>Insulated</v>
      </c>
      <c r="E359" t="str" cm="1">
        <f t="array" ref="E359">INDEX(FX_Calcs,$AA359,$AF359)</f>
        <v>Insulated</v>
      </c>
      <c r="F359" t="str" cm="1">
        <f t="array" ref="F359">INDEX(FX_Calcs,$AA359,$AF359)</f>
        <v>Insulated</v>
      </c>
      <c r="G359" t="str" cm="1">
        <f t="array" ref="G359">INDEX(FX_Calcs,$AA359,$AF359)</f>
        <v>Insulated</v>
      </c>
      <c r="H359" t="str" cm="1">
        <f t="array" ref="H359">INDEX(FX_Calcs,$AA359,$AF359)</f>
        <v>Insulated</v>
      </c>
      <c r="I359" t="str" cm="1">
        <f t="array" ref="I359">INDEX(FX_Calcs,$AA359,$AF359)</f>
        <v>Insulated</v>
      </c>
      <c r="J359" t="str" cm="1">
        <f t="array" ref="J359">INDEX(FX_Calcs,$AA359,$AF359)</f>
        <v>Insulated</v>
      </c>
      <c r="K359" t="str" cm="1">
        <f t="array" ref="K359">INDEX(FX_Calcs,$AA359,$AF359)</f>
        <v>Insulated</v>
      </c>
      <c r="L359" t="str" cm="1">
        <f t="array" ref="L359">INDEX(FX_Calcs,$AA359,$AF359)</f>
        <v>Insulated</v>
      </c>
      <c r="M359" t="str" cm="1">
        <f t="array" ref="M359">INDEX(FX_Calcs,$AA359,$AF359)</f>
        <v>Insulated</v>
      </c>
      <c r="N359" t="str" cm="1">
        <f t="array" ref="N359">INDEX(FX_Calcs,$AA359,$AF359)</f>
        <v>Insulated</v>
      </c>
      <c r="O359" t="str" cm="1">
        <f t="array" ref="O359">INDEX(FX_Calcs,$AA359,$AF359)</f>
        <v>Insulated</v>
      </c>
      <c r="P359" t="str" cm="1">
        <f t="array" ref="P359">INDEX(FX_Calcs,$AA359,$AF359)</f>
        <v>Insulated</v>
      </c>
      <c r="AA359">
        <f>AA358</f>
        <v>26</v>
      </c>
      <c r="AB359">
        <f t="shared" si="875"/>
        <v>6</v>
      </c>
      <c r="AC359">
        <f t="shared" si="876"/>
        <v>3</v>
      </c>
      <c r="AD359">
        <f t="shared" si="876"/>
        <v>13</v>
      </c>
      <c r="AE359">
        <f t="shared" si="876"/>
        <v>12</v>
      </c>
      <c r="AF359">
        <f t="shared" si="876"/>
        <v>14</v>
      </c>
      <c r="AG359">
        <f t="shared" si="877"/>
        <v>77</v>
      </c>
      <c r="AH359">
        <f t="shared" si="878"/>
        <v>78</v>
      </c>
      <c r="AI359">
        <f t="shared" si="879"/>
        <v>1</v>
      </c>
      <c r="AJ359">
        <f t="shared" si="880"/>
        <v>2</v>
      </c>
      <c r="AK359">
        <f t="shared" si="881"/>
        <v>1</v>
      </c>
      <c r="AL359">
        <f t="shared" si="882"/>
        <v>76</v>
      </c>
    </row>
    <row r="360" spans="1:38" ht="17.149999999999999" x14ac:dyDescent="0.55000000000000004">
      <c r="B360" t="str">
        <f>B356</f>
        <v>Portland</v>
      </c>
      <c r="C360" t="s">
        <v>512</v>
      </c>
      <c r="D360">
        <f t="shared" ref="D360:P360" si="884">D356-D355</f>
        <v>10.400000000000034</v>
      </c>
      <c r="E360">
        <f t="shared" si="884"/>
        <v>13.199999999999989</v>
      </c>
      <c r="F360">
        <f t="shared" si="884"/>
        <v>13.200000000000045</v>
      </c>
      <c r="G360">
        <f t="shared" si="884"/>
        <v>13.399999999999977</v>
      </c>
      <c r="H360">
        <f t="shared" si="884"/>
        <v>13.299999999999955</v>
      </c>
      <c r="I360">
        <f t="shared" si="884"/>
        <v>12.500000000000057</v>
      </c>
      <c r="J360">
        <f t="shared" si="884"/>
        <v>12.699999999999932</v>
      </c>
      <c r="K360">
        <f t="shared" si="884"/>
        <v>13.600000000000023</v>
      </c>
      <c r="L360">
        <f t="shared" si="884"/>
        <v>16.399999999999977</v>
      </c>
      <c r="M360">
        <f t="shared" si="884"/>
        <v>14.699999999999989</v>
      </c>
      <c r="N360">
        <f t="shared" si="884"/>
        <v>12.200000000000045</v>
      </c>
      <c r="O360">
        <f t="shared" si="884"/>
        <v>10</v>
      </c>
      <c r="P360">
        <f t="shared" si="884"/>
        <v>13</v>
      </c>
    </row>
    <row r="361" spans="1:38" x14ac:dyDescent="0.4">
      <c r="B361" t="str">
        <f t="shared" ref="B361:B368" si="885">B360</f>
        <v>Portland</v>
      </c>
      <c r="C361" t="s">
        <v>260</v>
      </c>
      <c r="D361">
        <f t="shared" ref="D361:P361" si="886">VLOOKUP(VLOOKUP($B361,Terminal_X_Ref,2,FALSE)&amp;$C361,Weather_Data,$Y361*D$3+$Z361,FALSE)</f>
        <v>343</v>
      </c>
      <c r="E361">
        <f t="shared" si="886"/>
        <v>600</v>
      </c>
      <c r="F361">
        <f t="shared" si="886"/>
        <v>877</v>
      </c>
      <c r="G361">
        <f t="shared" si="886"/>
        <v>1252</v>
      </c>
      <c r="H361">
        <f t="shared" si="886"/>
        <v>1537</v>
      </c>
      <c r="I361">
        <f t="shared" si="886"/>
        <v>1627</v>
      </c>
      <c r="J361">
        <f t="shared" si="886"/>
        <v>1708</v>
      </c>
      <c r="K361">
        <f t="shared" si="886"/>
        <v>1492</v>
      </c>
      <c r="L361">
        <f t="shared" si="886"/>
        <v>1196</v>
      </c>
      <c r="M361">
        <f t="shared" si="886"/>
        <v>728</v>
      </c>
      <c r="N361">
        <f t="shared" si="886"/>
        <v>391</v>
      </c>
      <c r="O361">
        <f t="shared" si="886"/>
        <v>302</v>
      </c>
      <c r="P361">
        <f t="shared" si="886"/>
        <v>1005</v>
      </c>
      <c r="U361">
        <f>U356</f>
        <v>2</v>
      </c>
      <c r="V361">
        <f t="shared" ref="V361:Z361" si="887">V356</f>
        <v>3</v>
      </c>
      <c r="W361">
        <f t="shared" si="887"/>
        <v>1</v>
      </c>
      <c r="X361">
        <f t="shared" si="887"/>
        <v>2</v>
      </c>
      <c r="Y361">
        <f t="shared" si="887"/>
        <v>1</v>
      </c>
      <c r="Z361">
        <f t="shared" si="887"/>
        <v>1</v>
      </c>
    </row>
    <row r="362" spans="1:38" ht="17.149999999999999" x14ac:dyDescent="0.55000000000000004">
      <c r="B362" t="str">
        <f t="shared" si="885"/>
        <v>Portland</v>
      </c>
      <c r="C362" t="s">
        <v>523</v>
      </c>
      <c r="D362">
        <f>IF(ISNUMBER(D359),0.7*D360+0.02*D359*D361,IF(D359="Partially Insulated",0.6*D360+0.02*D358*D361,0))</f>
        <v>0</v>
      </c>
      <c r="E362">
        <f t="shared" ref="E362:P362" si="888">IF(ISNUMBER(E359),0.7*E360+0.02*E359*E361,IF(E359="Partially Insulated",0.6*E360+0.02*E358*E361,0))</f>
        <v>0</v>
      </c>
      <c r="F362">
        <f t="shared" si="888"/>
        <v>0</v>
      </c>
      <c r="G362">
        <f t="shared" si="888"/>
        <v>0</v>
      </c>
      <c r="H362">
        <f t="shared" si="888"/>
        <v>0</v>
      </c>
      <c r="I362">
        <f t="shared" si="888"/>
        <v>0</v>
      </c>
      <c r="J362">
        <f t="shared" si="888"/>
        <v>0</v>
      </c>
      <c r="K362">
        <f t="shared" si="888"/>
        <v>0</v>
      </c>
      <c r="L362">
        <f t="shared" si="888"/>
        <v>0</v>
      </c>
      <c r="M362">
        <f t="shared" si="888"/>
        <v>0</v>
      </c>
      <c r="N362">
        <f t="shared" si="888"/>
        <v>0</v>
      </c>
      <c r="O362">
        <f t="shared" si="888"/>
        <v>0</v>
      </c>
      <c r="P362">
        <f t="shared" si="888"/>
        <v>0</v>
      </c>
    </row>
    <row r="363" spans="1:38" ht="17.149999999999999" x14ac:dyDescent="0.55000000000000004">
      <c r="B363" t="str">
        <f t="shared" si="885"/>
        <v>Portland</v>
      </c>
      <c r="C363" t="s">
        <v>524</v>
      </c>
      <c r="D363">
        <f t="shared" ref="D363:F363" si="889">AVERAGE(D355:D356)</f>
        <v>503.5</v>
      </c>
      <c r="E363">
        <f t="shared" si="889"/>
        <v>504.30000000000007</v>
      </c>
      <c r="F363">
        <f t="shared" si="889"/>
        <v>505.70000000000005</v>
      </c>
      <c r="G363">
        <f>AVERAGE(G355:G356)</f>
        <v>508.2</v>
      </c>
      <c r="H363">
        <f t="shared" ref="H363:P363" si="890">AVERAGE(H355:H356)</f>
        <v>512.75</v>
      </c>
      <c r="I363">
        <f t="shared" si="890"/>
        <v>516.55000000000007</v>
      </c>
      <c r="J363">
        <f t="shared" si="890"/>
        <v>520.04999999999995</v>
      </c>
      <c r="K363">
        <f t="shared" si="890"/>
        <v>520.5</v>
      </c>
      <c r="L363">
        <f t="shared" si="890"/>
        <v>518.20000000000005</v>
      </c>
      <c r="M363">
        <f t="shared" si="890"/>
        <v>512.25</v>
      </c>
      <c r="N363">
        <f t="shared" si="890"/>
        <v>506.70000000000005</v>
      </c>
      <c r="O363">
        <f t="shared" si="890"/>
        <v>503.20000000000005</v>
      </c>
      <c r="P363">
        <f t="shared" si="890"/>
        <v>51.4</v>
      </c>
    </row>
    <row r="364" spans="1:38" ht="17.149999999999999" x14ac:dyDescent="0.55000000000000004">
      <c r="B364" t="str">
        <f t="shared" si="885"/>
        <v>Portland</v>
      </c>
      <c r="C364" t="s">
        <v>525</v>
      </c>
      <c r="D364" cm="1">
        <f t="array" ref="D364">IFERROR(IF(ISBLANK(INDEX(FX_Input,$R355,D$3*$AK355+$AL355)),D363+0.003*D357*D361,INDEX(FX_Input,$R355,D$3*$AK355+$AL355)+459.6),D363)</f>
        <v>503.5</v>
      </c>
      <c r="E364" cm="1">
        <f t="array" ref="E364">IFERROR(IF(ISBLANK(INDEX(FX_Input,$R355,E$3*$AK355+$AL355)),E363+0.003*E357*E361,INDEX(FX_Input,$R355,E$3*$AK355+$AL355)+459.6),E363)</f>
        <v>504.30000000000007</v>
      </c>
      <c r="F364" cm="1">
        <f t="array" ref="F364">IFERROR(IF(ISBLANK(INDEX(FX_Input,$R355,F$3*$AK355+$AL355)),F363+0.003*F357*F361,INDEX(FX_Input,$R355,F$3*$AK355+$AL355)+459.6),F363)</f>
        <v>505.70000000000005</v>
      </c>
      <c r="G364" cm="1">
        <f t="array" ref="G364">IFERROR(IF(ISBLANK(INDEX(FX_Input,$R355,G$3*$AK355+$AL355)),G363+0.003*G357*G361,INDEX(FX_Input,$R355,G$3*$AK355+$AL355)+459.6),G363)</f>
        <v>508.2</v>
      </c>
      <c r="H364" cm="1">
        <f t="array" ref="H364">IFERROR(IF(ISBLANK(INDEX(FX_Input,$R355,H$3*$AK355+$AL355)),H363+0.003*H357*H361,INDEX(FX_Input,$R355,H$3*$AK355+$AL355)+459.6),H363)</f>
        <v>512.75</v>
      </c>
      <c r="I364" cm="1">
        <f t="array" ref="I364">IFERROR(IF(ISBLANK(INDEX(FX_Input,$R355,I$3*$AK355+$AL355)),I363+0.003*I357*I361,INDEX(FX_Input,$R355,I$3*$AK355+$AL355)+459.6),I363)</f>
        <v>516.55000000000007</v>
      </c>
      <c r="J364" cm="1">
        <f t="array" ref="J364">IFERROR(IF(ISBLANK(INDEX(FX_Input,$R355,J$3*$AK355+$AL355)),J363+0.003*J357*J361,INDEX(FX_Input,$R355,J$3*$AK355+$AL355)+459.6),J363)</f>
        <v>520.04999999999995</v>
      </c>
      <c r="K364" cm="1">
        <f t="array" ref="K364">IFERROR(IF(ISBLANK(INDEX(FX_Input,$R355,K$3*$AK355+$AL355)),K363+0.003*K357*K361,INDEX(FX_Input,$R355,K$3*$AK355+$AL355)+459.6),K363)</f>
        <v>520.5</v>
      </c>
      <c r="L364" cm="1">
        <f t="array" ref="L364">IFERROR(IF(ISBLANK(INDEX(FX_Input,$R355,L$3*$AK355+$AL355)),L363+0.003*L357*L361,INDEX(FX_Input,$R355,L$3*$AK355+$AL355)+459.6),L363)</f>
        <v>518.20000000000005</v>
      </c>
      <c r="M364" cm="1">
        <f t="array" ref="M364">IFERROR(IF(ISBLANK(INDEX(FX_Input,$R355,M$3*$AK355+$AL355)),M363+0.003*M357*M361,INDEX(FX_Input,$R355,M$3*$AK355+$AL355)+459.6),M363)</f>
        <v>512.25</v>
      </c>
      <c r="N364" cm="1">
        <f t="array" ref="N364">IFERROR(IF(ISBLANK(INDEX(FX_Input,$R355,N$3*$AK355+$AL355)),N363+0.003*N357*N361,INDEX(FX_Input,$R355,N$3*$AK355+$AL355)+459.6),N363)</f>
        <v>506.70000000000005</v>
      </c>
      <c r="O364" cm="1">
        <f t="array" ref="O364">IFERROR(IF(ISBLANK(INDEX(FX_Input,$R355,O$3*$AK355+$AL355)),O363+0.003*O357*O361,INDEX(FX_Input,$R355,O$3*$AK355+$AL355)+459.6),O363)</f>
        <v>503.20000000000005</v>
      </c>
      <c r="P364" cm="1">
        <f t="array" ref="P364">IFERROR(IF(ISBLANK(INDEX(FX_Input,$R355,P$3*$AK355+$AL355)),P363+0.003*P357*P361,INDEX(FX_Input,$R355,P$3*$AK355+$AL355)+459.6),P363)</f>
        <v>459.6</v>
      </c>
    </row>
    <row r="365" spans="1:38" ht="17.149999999999999" x14ac:dyDescent="0.55000000000000004">
      <c r="B365" t="str">
        <f t="shared" si="885"/>
        <v>Portland</v>
      </c>
      <c r="C365" t="s">
        <v>526</v>
      </c>
      <c r="D365">
        <f>IF(ISNUMBER(D359),0.4*D355+0.6*D364+0.005*D359*D361,IF(D359="Partially Insulated",0.3*D363+0.7*D364+0.005*D358*D361,D364))-459.6</f>
        <v>43.899999999999977</v>
      </c>
      <c r="E365">
        <f t="shared" ref="E365" si="891">IF(ISNUMBER(E359),0.4*E355+0.6*E364+0.005*E359*E361,IF(E359="Partially Insulated",0.3*E363+0.7*E364+0.005*E358*E361,E364))-459.6</f>
        <v>44.700000000000045</v>
      </c>
      <c r="F365">
        <f t="shared" ref="F365" si="892">IF(ISNUMBER(F359),0.4*F355+0.6*F364+0.005*F359*F361,IF(F359="Partially Insulated",0.3*F363+0.7*F364+0.005*F358*F361,F364))-459.6</f>
        <v>46.100000000000023</v>
      </c>
      <c r="G365">
        <f t="shared" ref="G365" si="893">IF(ISNUMBER(G359),0.4*G355+0.6*G364+0.005*G359*G361,IF(G359="Partially Insulated",0.3*G363+0.7*G364+0.005*G358*G361,G364))-459.6</f>
        <v>48.599999999999966</v>
      </c>
      <c r="H365">
        <f t="shared" ref="H365" si="894">IF(ISNUMBER(H359),0.4*H355+0.6*H364+0.005*H359*H361,IF(H359="Partially Insulated",0.3*H363+0.7*H364+0.005*H358*H361,H364))-459.6</f>
        <v>53.149999999999977</v>
      </c>
      <c r="I365">
        <f t="shared" ref="I365" si="895">IF(ISNUMBER(I359),0.4*I355+0.6*I364+0.005*I359*I361,IF(I359="Partially Insulated",0.3*I363+0.7*I364+0.005*I358*I361,I364))-459.6</f>
        <v>56.950000000000045</v>
      </c>
      <c r="J365">
        <f t="shared" ref="J365" si="896">IF(ISNUMBER(J359),0.4*J355+0.6*J364+0.005*J359*J361,IF(J359="Partially Insulated",0.3*J363+0.7*J364+0.005*J358*J361,J364))-459.6</f>
        <v>60.449999999999932</v>
      </c>
      <c r="K365">
        <f t="shared" ref="K365" si="897">IF(ISNUMBER(K359),0.4*K355+0.6*K364+0.005*K359*K361,IF(K359="Partially Insulated",0.3*K363+0.7*K364+0.005*K358*K361,K364))-459.6</f>
        <v>60.899999999999977</v>
      </c>
      <c r="L365">
        <f t="shared" ref="L365" si="898">IF(ISNUMBER(L359),0.4*L355+0.6*L364+0.005*L359*L361,IF(L359="Partially Insulated",0.3*L363+0.7*L364+0.005*L358*L361,L364))-459.6</f>
        <v>58.600000000000023</v>
      </c>
      <c r="M365">
        <f t="shared" ref="M365" si="899">IF(ISNUMBER(M359),0.4*M355+0.6*M364+0.005*M359*M361,IF(M359="Partially Insulated",0.3*M363+0.7*M364+0.005*M358*M361,M364))-459.6</f>
        <v>52.649999999999977</v>
      </c>
      <c r="N365">
        <f t="shared" ref="N365" si="900">IF(ISNUMBER(N359),0.4*N355+0.6*N364+0.005*N359*N361,IF(N359="Partially Insulated",0.3*N363+0.7*N364+0.005*N358*N361,N364))-459.6</f>
        <v>47.100000000000023</v>
      </c>
      <c r="O365">
        <f t="shared" ref="O365" si="901">IF(ISNUMBER(O359),0.4*O355+0.6*O364+0.005*O359*O361,IF(O359="Partially Insulated",0.3*O363+0.7*O364+0.005*O358*O361,O364))-459.6</f>
        <v>43.600000000000023</v>
      </c>
      <c r="P365">
        <f>AVERAGE(D365:O365)</f>
        <v>51.391666666666673</v>
      </c>
    </row>
    <row r="366" spans="1:38" ht="17.149999999999999" x14ac:dyDescent="0.55000000000000004">
      <c r="B366" t="str">
        <f t="shared" si="885"/>
        <v>Portland</v>
      </c>
      <c r="C366" t="s">
        <v>527</v>
      </c>
      <c r="D366">
        <f>IF(ISNUMBER(D359),0.4*D356+0.6*D364+0.005*D359*D361,IF(D359="Partially Insulated",0.3*D363+0.7*D364+0.005*D358*D361,D364))-459.6</f>
        <v>43.899999999999977</v>
      </c>
      <c r="E366">
        <f t="shared" ref="E366:O366" si="902">IF(ISNUMBER(E359),0.4*E356+0.6*E364+0.005*E359*E361,IF(E359="Partially Insulated",0.3*E363+0.7*E364+0.005*E358*E361,E364))-459.6</f>
        <v>44.700000000000045</v>
      </c>
      <c r="F366">
        <f t="shared" si="902"/>
        <v>46.100000000000023</v>
      </c>
      <c r="G366">
        <f t="shared" si="902"/>
        <v>48.599999999999966</v>
      </c>
      <c r="H366">
        <f t="shared" si="902"/>
        <v>53.149999999999977</v>
      </c>
      <c r="I366">
        <f t="shared" si="902"/>
        <v>56.950000000000045</v>
      </c>
      <c r="J366">
        <f t="shared" si="902"/>
        <v>60.449999999999932</v>
      </c>
      <c r="K366">
        <f t="shared" si="902"/>
        <v>60.899999999999977</v>
      </c>
      <c r="L366">
        <f t="shared" si="902"/>
        <v>58.600000000000023</v>
      </c>
      <c r="M366">
        <f t="shared" si="902"/>
        <v>52.649999999999977</v>
      </c>
      <c r="N366">
        <f t="shared" si="902"/>
        <v>47.100000000000023</v>
      </c>
      <c r="O366">
        <f t="shared" si="902"/>
        <v>43.600000000000023</v>
      </c>
      <c r="P366">
        <f>AVERAGE(D366:O366)</f>
        <v>51.391666666666673</v>
      </c>
    </row>
    <row r="367" spans="1:38" ht="17.149999999999999" x14ac:dyDescent="0.55000000000000004">
      <c r="B367" t="str">
        <f t="shared" si="885"/>
        <v>Portland</v>
      </c>
      <c r="C367" t="s">
        <v>552</v>
      </c>
      <c r="D367">
        <f>IF(ISNUMBER(D359),0.4*D363+0.6*D364+0.005*D359*D361,IF(D359="Partially Insulated",0.3*D363+0.7*D364+0.005*D358*D361,D364))-459.6</f>
        <v>43.899999999999977</v>
      </c>
      <c r="E367">
        <f t="shared" ref="E367:O367" si="903">IF(ISNUMBER(E359),0.4*E363+0.6*E364+0.005*E359*E361,IF(E359="Partially Insulated",0.3*E363+0.7*E364+0.005*E358*E361,E364))-459.6</f>
        <v>44.700000000000045</v>
      </c>
      <c r="F367">
        <f t="shared" si="903"/>
        <v>46.100000000000023</v>
      </c>
      <c r="G367">
        <f t="shared" si="903"/>
        <v>48.599999999999966</v>
      </c>
      <c r="H367">
        <f t="shared" si="903"/>
        <v>53.149999999999977</v>
      </c>
      <c r="I367">
        <f t="shared" si="903"/>
        <v>56.950000000000045</v>
      </c>
      <c r="J367">
        <f t="shared" si="903"/>
        <v>60.449999999999932</v>
      </c>
      <c r="K367">
        <f t="shared" si="903"/>
        <v>60.899999999999977</v>
      </c>
      <c r="L367">
        <f t="shared" si="903"/>
        <v>58.600000000000023</v>
      </c>
      <c r="M367">
        <f t="shared" si="903"/>
        <v>52.649999999999977</v>
      </c>
      <c r="N367">
        <f t="shared" si="903"/>
        <v>47.100000000000023</v>
      </c>
      <c r="O367">
        <f t="shared" si="903"/>
        <v>43.600000000000023</v>
      </c>
      <c r="P367">
        <f>AVERAGE(D367:O367)</f>
        <v>51.391666666666673</v>
      </c>
    </row>
    <row r="368" spans="1:38" ht="17.149999999999999" x14ac:dyDescent="0.55000000000000004">
      <c r="A368" s="11"/>
      <c r="B368" s="11" t="str">
        <f t="shared" si="885"/>
        <v>Portland</v>
      </c>
      <c r="C368" s="11" t="s">
        <v>553</v>
      </c>
      <c r="D368" s="11">
        <f>IF(ISNUMBER(D359),0.7*D363+0.3*D364+0.009*D359*D361,IF(D359="Partially Insulated",0.6*D363+0.4*D364+0.01*D358*D361,D364))-459.6</f>
        <v>43.899999999999977</v>
      </c>
      <c r="E368" s="11">
        <f t="shared" ref="E368:O368" si="904">IF(ISNUMBER(E359),0.7*E363+0.3*E364+0.009*E359*E361,IF(E359="Partially Insulated",0.6*E363+0.4*E364+0.01*E358*E361,E364))-459.6</f>
        <v>44.700000000000045</v>
      </c>
      <c r="F368" s="11">
        <f t="shared" si="904"/>
        <v>46.100000000000023</v>
      </c>
      <c r="G368" s="11">
        <f t="shared" si="904"/>
        <v>48.599999999999966</v>
      </c>
      <c r="H368" s="11">
        <f t="shared" si="904"/>
        <v>53.149999999999977</v>
      </c>
      <c r="I368" s="11">
        <f t="shared" si="904"/>
        <v>56.950000000000045</v>
      </c>
      <c r="J368" s="11">
        <f t="shared" si="904"/>
        <v>60.449999999999932</v>
      </c>
      <c r="K368" s="11">
        <f t="shared" si="904"/>
        <v>60.899999999999977</v>
      </c>
      <c r="L368" s="11">
        <f t="shared" si="904"/>
        <v>58.600000000000023</v>
      </c>
      <c r="M368" s="11">
        <f t="shared" si="904"/>
        <v>52.649999999999977</v>
      </c>
      <c r="N368" s="11">
        <f t="shared" si="904"/>
        <v>47.100000000000023</v>
      </c>
      <c r="O368" s="11">
        <f t="shared" si="904"/>
        <v>43.600000000000023</v>
      </c>
      <c r="P368" s="11">
        <f>AVERAGE(D368:O368)</f>
        <v>51.391666666666673</v>
      </c>
      <c r="Q368" s="11"/>
      <c r="R368" s="11"/>
      <c r="S368" s="11"/>
      <c r="T368" s="11"/>
      <c r="U368" s="11"/>
      <c r="V368" s="11"/>
      <c r="W368" s="11"/>
      <c r="X368" s="11"/>
      <c r="Y368" s="11"/>
      <c r="Z368" s="11"/>
      <c r="AA368" s="11"/>
      <c r="AB368" s="11"/>
      <c r="AC368" s="11"/>
      <c r="AD368" s="11"/>
      <c r="AE368" s="11"/>
      <c r="AF368" s="11"/>
      <c r="AG368" s="11"/>
      <c r="AH368" s="11"/>
      <c r="AI368" s="11"/>
      <c r="AJ368" s="11"/>
      <c r="AK368" s="11"/>
      <c r="AL368" s="11"/>
    </row>
    <row r="369" spans="1:38" ht="17.149999999999999" x14ac:dyDescent="0.55000000000000004">
      <c r="A369" t="str" cm="1">
        <f t="array" ref="A369">INDEX(FX_Input,$R369,S$5)</f>
        <v>FX - 27</v>
      </c>
      <c r="B369" t="str" cm="1">
        <f t="array" ref="B369">INDEX(FX_Input,R369,T369)</f>
        <v>Portland</v>
      </c>
      <c r="C369" t="s">
        <v>510</v>
      </c>
      <c r="D369">
        <f t="shared" ref="D369:O370" si="905">VLOOKUP(VLOOKUP($B369,Terminal_X_Ref,2,FALSE)&amp;$C369,Weather_Data,$Y369*D$3+$Z369,FALSE)+459.6</f>
        <v>498.3</v>
      </c>
      <c r="E369">
        <f t="shared" si="905"/>
        <v>497.70000000000005</v>
      </c>
      <c r="F369">
        <f t="shared" si="905"/>
        <v>499.1</v>
      </c>
      <c r="G369">
        <f t="shared" si="905"/>
        <v>501.5</v>
      </c>
      <c r="H369">
        <f t="shared" si="905"/>
        <v>506.1</v>
      </c>
      <c r="I369">
        <f t="shared" si="905"/>
        <v>510.3</v>
      </c>
      <c r="J369">
        <f t="shared" si="905"/>
        <v>513.70000000000005</v>
      </c>
      <c r="K369">
        <f t="shared" si="905"/>
        <v>513.70000000000005</v>
      </c>
      <c r="L369">
        <f t="shared" si="905"/>
        <v>510</v>
      </c>
      <c r="M369">
        <f t="shared" si="905"/>
        <v>504.90000000000003</v>
      </c>
      <c r="N369">
        <f t="shared" si="905"/>
        <v>500.6</v>
      </c>
      <c r="O369">
        <f t="shared" si="905"/>
        <v>498.20000000000005</v>
      </c>
      <c r="P369">
        <f t="shared" ref="P369:P370" si="906">VLOOKUP(VLOOKUP($B369,Terminal_X_Ref,2,FALSE)&amp;$C369,Weather_Data,$Y369*P$3+$Z369,FALSE)</f>
        <v>44.9</v>
      </c>
      <c r="R369">
        <f>R355+2</f>
        <v>53</v>
      </c>
      <c r="S369">
        <f>S355+1</f>
        <v>27</v>
      </c>
      <c r="T369">
        <v>3</v>
      </c>
      <c r="U369">
        <v>2</v>
      </c>
      <c r="V369">
        <v>3</v>
      </c>
      <c r="W369">
        <v>1</v>
      </c>
      <c r="X369">
        <v>2</v>
      </c>
      <c r="Y369">
        <f>(V369-U369)/(X369-W369)</f>
        <v>1</v>
      </c>
      <c r="Z369">
        <f>U369-Y369*W369</f>
        <v>1</v>
      </c>
      <c r="AA369">
        <f>AA355+1</f>
        <v>27</v>
      </c>
      <c r="AB369">
        <v>6</v>
      </c>
      <c r="AC369">
        <v>3</v>
      </c>
      <c r="AD369">
        <v>13</v>
      </c>
      <c r="AE369">
        <v>12</v>
      </c>
      <c r="AF369">
        <v>14</v>
      </c>
      <c r="AG369">
        <v>77</v>
      </c>
      <c r="AH369">
        <v>78</v>
      </c>
      <c r="AI369">
        <v>1</v>
      </c>
      <c r="AJ369">
        <v>2</v>
      </c>
      <c r="AK369">
        <f>(AH369-AG369)/(AJ369-AI369)</f>
        <v>1</v>
      </c>
      <c r="AL369">
        <f>AG369-AK369*AI369</f>
        <v>76</v>
      </c>
    </row>
    <row r="370" spans="1:38" ht="17.149999999999999" x14ac:dyDescent="0.55000000000000004">
      <c r="B370" t="str">
        <f t="shared" ref="B370" si="907">B369</f>
        <v>Portland</v>
      </c>
      <c r="C370" t="s">
        <v>511</v>
      </c>
      <c r="D370">
        <f t="shared" si="905"/>
        <v>508.70000000000005</v>
      </c>
      <c r="E370">
        <f t="shared" si="905"/>
        <v>510.90000000000003</v>
      </c>
      <c r="F370">
        <f t="shared" si="905"/>
        <v>512.30000000000007</v>
      </c>
      <c r="G370">
        <f t="shared" si="905"/>
        <v>514.9</v>
      </c>
      <c r="H370">
        <f t="shared" si="905"/>
        <v>519.4</v>
      </c>
      <c r="I370">
        <f t="shared" si="905"/>
        <v>522.80000000000007</v>
      </c>
      <c r="J370">
        <f t="shared" si="905"/>
        <v>526.4</v>
      </c>
      <c r="K370">
        <f t="shared" si="905"/>
        <v>527.30000000000007</v>
      </c>
      <c r="L370">
        <f t="shared" si="905"/>
        <v>526.4</v>
      </c>
      <c r="M370">
        <f t="shared" si="905"/>
        <v>519.6</v>
      </c>
      <c r="N370">
        <f t="shared" si="905"/>
        <v>512.80000000000007</v>
      </c>
      <c r="O370">
        <f t="shared" si="905"/>
        <v>508.20000000000005</v>
      </c>
      <c r="P370">
        <f t="shared" si="906"/>
        <v>57.9</v>
      </c>
      <c r="U370">
        <f>U369</f>
        <v>2</v>
      </c>
      <c r="V370">
        <f t="shared" ref="V370:Z370" si="908">V369</f>
        <v>3</v>
      </c>
      <c r="W370">
        <f t="shared" si="908"/>
        <v>1</v>
      </c>
      <c r="X370">
        <f t="shared" si="908"/>
        <v>2</v>
      </c>
      <c r="Y370">
        <f t="shared" si="908"/>
        <v>1</v>
      </c>
      <c r="Z370">
        <f t="shared" si="908"/>
        <v>1</v>
      </c>
      <c r="AA370">
        <f>AA369</f>
        <v>27</v>
      </c>
      <c r="AB370">
        <f t="shared" ref="AB370:AB373" si="909">AB369</f>
        <v>6</v>
      </c>
      <c r="AC370">
        <f t="shared" ref="AC370:AF373" si="910">AC369</f>
        <v>3</v>
      </c>
      <c r="AD370">
        <f t="shared" si="910"/>
        <v>13</v>
      </c>
      <c r="AE370">
        <f t="shared" si="910"/>
        <v>12</v>
      </c>
      <c r="AF370">
        <f t="shared" si="910"/>
        <v>14</v>
      </c>
      <c r="AG370">
        <f t="shared" ref="AG370:AG373" si="911">AG369</f>
        <v>77</v>
      </c>
      <c r="AH370">
        <f t="shared" ref="AH370:AH373" si="912">AH369</f>
        <v>78</v>
      </c>
      <c r="AI370">
        <f t="shared" ref="AI370:AI373" si="913">AI369</f>
        <v>1</v>
      </c>
      <c r="AJ370">
        <f t="shared" ref="AJ370:AJ373" si="914">AJ369</f>
        <v>2</v>
      </c>
      <c r="AK370">
        <f t="shared" ref="AK370:AK373" si="915">AK369</f>
        <v>1</v>
      </c>
      <c r="AL370">
        <f t="shared" ref="AL370:AL373" si="916">AL369</f>
        <v>76</v>
      </c>
    </row>
    <row r="371" spans="1:38" ht="17.149999999999999" x14ac:dyDescent="0.4">
      <c r="B371" t="str">
        <f>B370</f>
        <v>Portland</v>
      </c>
      <c r="C371" s="66" t="s">
        <v>514</v>
      </c>
      <c r="D371" t="str" cm="1">
        <f t="array" ref="D371">INDEX(FX_Calcs,$AA371,$AE371)</f>
        <v>N/A</v>
      </c>
      <c r="E371" t="str" cm="1">
        <f t="array" ref="E371">INDEX(FX_Calcs,$AA371,$AE371)</f>
        <v>N/A</v>
      </c>
      <c r="F371" t="str" cm="1">
        <f t="array" ref="F371">INDEX(FX_Calcs,$AA371,$AE371)</f>
        <v>N/A</v>
      </c>
      <c r="G371" t="str" cm="1">
        <f t="array" ref="G371">INDEX(FX_Calcs,$AA371,$AE371)</f>
        <v>N/A</v>
      </c>
      <c r="H371" t="str" cm="1">
        <f t="array" ref="H371">INDEX(FX_Calcs,$AA371,$AE371)</f>
        <v>N/A</v>
      </c>
      <c r="I371" t="str" cm="1">
        <f t="array" ref="I371">INDEX(FX_Calcs,$AA371,$AE371)</f>
        <v>N/A</v>
      </c>
      <c r="J371" t="str" cm="1">
        <f t="array" ref="J371">INDEX(FX_Calcs,$AA371,$AE371)</f>
        <v>N/A</v>
      </c>
      <c r="K371" t="str" cm="1">
        <f t="array" ref="K371">INDEX(FX_Calcs,$AA371,$AE371)</f>
        <v>N/A</v>
      </c>
      <c r="L371" t="str" cm="1">
        <f t="array" ref="L371">INDEX(FX_Calcs,$AA371,$AE371)</f>
        <v>N/A</v>
      </c>
      <c r="M371" t="str" cm="1">
        <f t="array" ref="M371">INDEX(FX_Calcs,$AA371,$AE371)</f>
        <v>N/A</v>
      </c>
      <c r="N371" t="str" cm="1">
        <f t="array" ref="N371">INDEX(FX_Calcs,$AA371,$AE371)</f>
        <v>N/A</v>
      </c>
      <c r="O371" t="str" cm="1">
        <f t="array" ref="O371">INDEX(FX_Calcs,$AA371,$AE371)</f>
        <v>N/A</v>
      </c>
      <c r="P371" t="str" cm="1">
        <f t="array" ref="P371">INDEX(FX_Calcs,$AA371,$AE371)</f>
        <v>N/A</v>
      </c>
      <c r="AA371">
        <f>AA370</f>
        <v>27</v>
      </c>
      <c r="AB371">
        <f t="shared" si="909"/>
        <v>6</v>
      </c>
      <c r="AC371">
        <f t="shared" si="910"/>
        <v>3</v>
      </c>
      <c r="AD371">
        <f t="shared" si="910"/>
        <v>13</v>
      </c>
      <c r="AE371">
        <f t="shared" si="910"/>
        <v>12</v>
      </c>
      <c r="AF371">
        <f t="shared" si="910"/>
        <v>14</v>
      </c>
      <c r="AG371">
        <f t="shared" si="911"/>
        <v>77</v>
      </c>
      <c r="AH371">
        <f t="shared" si="912"/>
        <v>78</v>
      </c>
      <c r="AI371">
        <f t="shared" si="913"/>
        <v>1</v>
      </c>
      <c r="AJ371">
        <f t="shared" si="914"/>
        <v>2</v>
      </c>
      <c r="AK371">
        <f t="shared" si="915"/>
        <v>1</v>
      </c>
      <c r="AL371">
        <f t="shared" si="916"/>
        <v>76</v>
      </c>
    </row>
    <row r="372" spans="1:38" ht="17.149999999999999" x14ac:dyDescent="0.4">
      <c r="B372" t="str">
        <f t="shared" ref="B372:B373" si="917">B371</f>
        <v>Portland</v>
      </c>
      <c r="C372" s="66" t="s">
        <v>513</v>
      </c>
      <c r="D372" t="str" cm="1">
        <f t="array" ref="D372">INDEX(FX_Calcs,$AA372,$AD372)</f>
        <v>N/A</v>
      </c>
      <c r="E372" t="str" cm="1">
        <f t="array" ref="E372">INDEX(FX_Calcs,$AA372,$AD372)</f>
        <v>N/A</v>
      </c>
      <c r="F372" t="str" cm="1">
        <f t="array" ref="F372">INDEX(FX_Calcs,$AA372,$AD372)</f>
        <v>N/A</v>
      </c>
      <c r="G372" t="str" cm="1">
        <f t="array" ref="G372">INDEX(FX_Calcs,$AA372,$AD372)</f>
        <v>N/A</v>
      </c>
      <c r="H372" t="str" cm="1">
        <f t="array" ref="H372">INDEX(FX_Calcs,$AA372,$AD372)</f>
        <v>N/A</v>
      </c>
      <c r="I372" t="str" cm="1">
        <f t="array" ref="I372">INDEX(FX_Calcs,$AA372,$AD372)</f>
        <v>N/A</v>
      </c>
      <c r="J372" t="str" cm="1">
        <f t="array" ref="J372">INDEX(FX_Calcs,$AA372,$AD372)</f>
        <v>N/A</v>
      </c>
      <c r="K372" t="str" cm="1">
        <f t="array" ref="K372">INDEX(FX_Calcs,$AA372,$AD372)</f>
        <v>N/A</v>
      </c>
      <c r="L372" t="str" cm="1">
        <f t="array" ref="L372">INDEX(FX_Calcs,$AA372,$AD372)</f>
        <v>N/A</v>
      </c>
      <c r="M372" t="str" cm="1">
        <f t="array" ref="M372">INDEX(FX_Calcs,$AA372,$AD372)</f>
        <v>N/A</v>
      </c>
      <c r="N372" t="str" cm="1">
        <f t="array" ref="N372">INDEX(FX_Calcs,$AA372,$AD372)</f>
        <v>N/A</v>
      </c>
      <c r="O372" t="str" cm="1">
        <f t="array" ref="O372">INDEX(FX_Calcs,$AA372,$AD372)</f>
        <v>N/A</v>
      </c>
      <c r="P372" t="str" cm="1">
        <f t="array" ref="P372">INDEX(FX_Calcs,$AA372,$AD372)</f>
        <v>N/A</v>
      </c>
      <c r="AA372">
        <f>AA371</f>
        <v>27</v>
      </c>
      <c r="AB372">
        <f t="shared" si="909"/>
        <v>6</v>
      </c>
      <c r="AC372">
        <f t="shared" si="910"/>
        <v>3</v>
      </c>
      <c r="AD372">
        <f t="shared" si="910"/>
        <v>13</v>
      </c>
      <c r="AE372">
        <f t="shared" si="910"/>
        <v>12</v>
      </c>
      <c r="AF372">
        <f t="shared" si="910"/>
        <v>14</v>
      </c>
      <c r="AG372">
        <f t="shared" si="911"/>
        <v>77</v>
      </c>
      <c r="AH372">
        <f t="shared" si="912"/>
        <v>78</v>
      </c>
      <c r="AI372">
        <f t="shared" si="913"/>
        <v>1</v>
      </c>
      <c r="AJ372">
        <f t="shared" si="914"/>
        <v>2</v>
      </c>
      <c r="AK372">
        <f t="shared" si="915"/>
        <v>1</v>
      </c>
      <c r="AL372">
        <f t="shared" si="916"/>
        <v>76</v>
      </c>
    </row>
    <row r="373" spans="1:38" x14ac:dyDescent="0.4">
      <c r="B373" t="str">
        <f t="shared" si="917"/>
        <v>Portland</v>
      </c>
      <c r="C373" s="66" t="s">
        <v>558</v>
      </c>
      <c r="D373" t="str" cm="1">
        <f t="array" ref="D373">INDEX(FX_Calcs,$AA373,$AF373)</f>
        <v>Insulated</v>
      </c>
      <c r="E373" t="str" cm="1">
        <f t="array" ref="E373">INDEX(FX_Calcs,$AA373,$AF373)</f>
        <v>Insulated</v>
      </c>
      <c r="F373" t="str" cm="1">
        <f t="array" ref="F373">INDEX(FX_Calcs,$AA373,$AF373)</f>
        <v>Insulated</v>
      </c>
      <c r="G373" t="str" cm="1">
        <f t="array" ref="G373">INDEX(FX_Calcs,$AA373,$AF373)</f>
        <v>Insulated</v>
      </c>
      <c r="H373" t="str" cm="1">
        <f t="array" ref="H373">INDEX(FX_Calcs,$AA373,$AF373)</f>
        <v>Insulated</v>
      </c>
      <c r="I373" t="str" cm="1">
        <f t="array" ref="I373">INDEX(FX_Calcs,$AA373,$AF373)</f>
        <v>Insulated</v>
      </c>
      <c r="J373" t="str" cm="1">
        <f t="array" ref="J373">INDEX(FX_Calcs,$AA373,$AF373)</f>
        <v>Insulated</v>
      </c>
      <c r="K373" t="str" cm="1">
        <f t="array" ref="K373">INDEX(FX_Calcs,$AA373,$AF373)</f>
        <v>Insulated</v>
      </c>
      <c r="L373" t="str" cm="1">
        <f t="array" ref="L373">INDEX(FX_Calcs,$AA373,$AF373)</f>
        <v>Insulated</v>
      </c>
      <c r="M373" t="str" cm="1">
        <f t="array" ref="M373">INDEX(FX_Calcs,$AA373,$AF373)</f>
        <v>Insulated</v>
      </c>
      <c r="N373" t="str" cm="1">
        <f t="array" ref="N373">INDEX(FX_Calcs,$AA373,$AF373)</f>
        <v>Insulated</v>
      </c>
      <c r="O373" t="str" cm="1">
        <f t="array" ref="O373">INDEX(FX_Calcs,$AA373,$AF373)</f>
        <v>Insulated</v>
      </c>
      <c r="P373" t="str" cm="1">
        <f t="array" ref="P373">INDEX(FX_Calcs,$AA373,$AF373)</f>
        <v>Insulated</v>
      </c>
      <c r="AA373">
        <f>AA372</f>
        <v>27</v>
      </c>
      <c r="AB373">
        <f t="shared" si="909"/>
        <v>6</v>
      </c>
      <c r="AC373">
        <f t="shared" si="910"/>
        <v>3</v>
      </c>
      <c r="AD373">
        <f t="shared" si="910"/>
        <v>13</v>
      </c>
      <c r="AE373">
        <f t="shared" si="910"/>
        <v>12</v>
      </c>
      <c r="AF373">
        <f t="shared" si="910"/>
        <v>14</v>
      </c>
      <c r="AG373">
        <f t="shared" si="911"/>
        <v>77</v>
      </c>
      <c r="AH373">
        <f t="shared" si="912"/>
        <v>78</v>
      </c>
      <c r="AI373">
        <f t="shared" si="913"/>
        <v>1</v>
      </c>
      <c r="AJ373">
        <f t="shared" si="914"/>
        <v>2</v>
      </c>
      <c r="AK373">
        <f t="shared" si="915"/>
        <v>1</v>
      </c>
      <c r="AL373">
        <f t="shared" si="916"/>
        <v>76</v>
      </c>
    </row>
    <row r="374" spans="1:38" ht="17.149999999999999" x14ac:dyDescent="0.55000000000000004">
      <c r="B374" t="str">
        <f>B370</f>
        <v>Portland</v>
      </c>
      <c r="C374" t="s">
        <v>512</v>
      </c>
      <c r="D374">
        <f t="shared" ref="D374:P374" si="918">D370-D369</f>
        <v>10.400000000000034</v>
      </c>
      <c r="E374">
        <f t="shared" si="918"/>
        <v>13.199999999999989</v>
      </c>
      <c r="F374">
        <f t="shared" si="918"/>
        <v>13.200000000000045</v>
      </c>
      <c r="G374">
        <f t="shared" si="918"/>
        <v>13.399999999999977</v>
      </c>
      <c r="H374">
        <f t="shared" si="918"/>
        <v>13.299999999999955</v>
      </c>
      <c r="I374">
        <f t="shared" si="918"/>
        <v>12.500000000000057</v>
      </c>
      <c r="J374">
        <f t="shared" si="918"/>
        <v>12.699999999999932</v>
      </c>
      <c r="K374">
        <f t="shared" si="918"/>
        <v>13.600000000000023</v>
      </c>
      <c r="L374">
        <f t="shared" si="918"/>
        <v>16.399999999999977</v>
      </c>
      <c r="M374">
        <f t="shared" si="918"/>
        <v>14.699999999999989</v>
      </c>
      <c r="N374">
        <f t="shared" si="918"/>
        <v>12.200000000000045</v>
      </c>
      <c r="O374">
        <f t="shared" si="918"/>
        <v>10</v>
      </c>
      <c r="P374">
        <f t="shared" si="918"/>
        <v>13</v>
      </c>
    </row>
    <row r="375" spans="1:38" x14ac:dyDescent="0.4">
      <c r="B375" t="str">
        <f t="shared" ref="B375:B382" si="919">B374</f>
        <v>Portland</v>
      </c>
      <c r="C375" t="s">
        <v>260</v>
      </c>
      <c r="D375">
        <f t="shared" ref="D375:P375" si="920">VLOOKUP(VLOOKUP($B375,Terminal_X_Ref,2,FALSE)&amp;$C375,Weather_Data,$Y375*D$3+$Z375,FALSE)</f>
        <v>343</v>
      </c>
      <c r="E375">
        <f t="shared" si="920"/>
        <v>600</v>
      </c>
      <c r="F375">
        <f t="shared" si="920"/>
        <v>877</v>
      </c>
      <c r="G375">
        <f t="shared" si="920"/>
        <v>1252</v>
      </c>
      <c r="H375">
        <f t="shared" si="920"/>
        <v>1537</v>
      </c>
      <c r="I375">
        <f t="shared" si="920"/>
        <v>1627</v>
      </c>
      <c r="J375">
        <f t="shared" si="920"/>
        <v>1708</v>
      </c>
      <c r="K375">
        <f t="shared" si="920"/>
        <v>1492</v>
      </c>
      <c r="L375">
        <f t="shared" si="920"/>
        <v>1196</v>
      </c>
      <c r="M375">
        <f t="shared" si="920"/>
        <v>728</v>
      </c>
      <c r="N375">
        <f t="shared" si="920"/>
        <v>391</v>
      </c>
      <c r="O375">
        <f t="shared" si="920"/>
        <v>302</v>
      </c>
      <c r="P375">
        <f t="shared" si="920"/>
        <v>1005</v>
      </c>
      <c r="U375">
        <f>U370</f>
        <v>2</v>
      </c>
      <c r="V375">
        <f t="shared" ref="V375:Z375" si="921">V370</f>
        <v>3</v>
      </c>
      <c r="W375">
        <f t="shared" si="921"/>
        <v>1</v>
      </c>
      <c r="X375">
        <f t="shared" si="921"/>
        <v>2</v>
      </c>
      <c r="Y375">
        <f t="shared" si="921"/>
        <v>1</v>
      </c>
      <c r="Z375">
        <f t="shared" si="921"/>
        <v>1</v>
      </c>
    </row>
    <row r="376" spans="1:38" ht="17.149999999999999" x14ac:dyDescent="0.55000000000000004">
      <c r="B376" t="str">
        <f t="shared" si="919"/>
        <v>Portland</v>
      </c>
      <c r="C376" t="s">
        <v>523</v>
      </c>
      <c r="D376">
        <f>IF(ISNUMBER(D373),0.7*D374+0.02*D373*D375,IF(D373="Partially Insulated",0.6*D374+0.02*D372*D375,0))</f>
        <v>0</v>
      </c>
      <c r="E376">
        <f t="shared" ref="E376:P376" si="922">IF(ISNUMBER(E373),0.7*E374+0.02*E373*E375,IF(E373="Partially Insulated",0.6*E374+0.02*E372*E375,0))</f>
        <v>0</v>
      </c>
      <c r="F376">
        <f t="shared" si="922"/>
        <v>0</v>
      </c>
      <c r="G376">
        <f t="shared" si="922"/>
        <v>0</v>
      </c>
      <c r="H376">
        <f t="shared" si="922"/>
        <v>0</v>
      </c>
      <c r="I376">
        <f t="shared" si="922"/>
        <v>0</v>
      </c>
      <c r="J376">
        <f t="shared" si="922"/>
        <v>0</v>
      </c>
      <c r="K376">
        <f t="shared" si="922"/>
        <v>0</v>
      </c>
      <c r="L376">
        <f t="shared" si="922"/>
        <v>0</v>
      </c>
      <c r="M376">
        <f t="shared" si="922"/>
        <v>0</v>
      </c>
      <c r="N376">
        <f t="shared" si="922"/>
        <v>0</v>
      </c>
      <c r="O376">
        <f t="shared" si="922"/>
        <v>0</v>
      </c>
      <c r="P376">
        <f t="shared" si="922"/>
        <v>0</v>
      </c>
    </row>
    <row r="377" spans="1:38" ht="17.149999999999999" x14ac:dyDescent="0.55000000000000004">
      <c r="B377" t="str">
        <f t="shared" si="919"/>
        <v>Portland</v>
      </c>
      <c r="C377" t="s">
        <v>524</v>
      </c>
      <c r="D377">
        <f t="shared" ref="D377:F377" si="923">AVERAGE(D369:D370)</f>
        <v>503.5</v>
      </c>
      <c r="E377">
        <f t="shared" si="923"/>
        <v>504.30000000000007</v>
      </c>
      <c r="F377">
        <f t="shared" si="923"/>
        <v>505.70000000000005</v>
      </c>
      <c r="G377">
        <f>AVERAGE(G369:G370)</f>
        <v>508.2</v>
      </c>
      <c r="H377">
        <f t="shared" ref="H377:P377" si="924">AVERAGE(H369:H370)</f>
        <v>512.75</v>
      </c>
      <c r="I377">
        <f t="shared" si="924"/>
        <v>516.55000000000007</v>
      </c>
      <c r="J377">
        <f t="shared" si="924"/>
        <v>520.04999999999995</v>
      </c>
      <c r="K377">
        <f t="shared" si="924"/>
        <v>520.5</v>
      </c>
      <c r="L377">
        <f t="shared" si="924"/>
        <v>518.20000000000005</v>
      </c>
      <c r="M377">
        <f t="shared" si="924"/>
        <v>512.25</v>
      </c>
      <c r="N377">
        <f t="shared" si="924"/>
        <v>506.70000000000005</v>
      </c>
      <c r="O377">
        <f t="shared" si="924"/>
        <v>503.20000000000005</v>
      </c>
      <c r="P377">
        <f t="shared" si="924"/>
        <v>51.4</v>
      </c>
    </row>
    <row r="378" spans="1:38" ht="17.149999999999999" x14ac:dyDescent="0.55000000000000004">
      <c r="B378" t="str">
        <f t="shared" si="919"/>
        <v>Portland</v>
      </c>
      <c r="C378" t="s">
        <v>525</v>
      </c>
      <c r="D378" cm="1">
        <f t="array" ref="D378">IFERROR(IF(ISBLANK(INDEX(FX_Input,$R369,D$3*$AK369+$AL369)),D377+0.003*D371*D375,INDEX(FX_Input,$R369,D$3*$AK369+$AL369)+459.6),D377)</f>
        <v>503.5</v>
      </c>
      <c r="E378" cm="1">
        <f t="array" ref="E378">IFERROR(IF(ISBLANK(INDEX(FX_Input,$R369,E$3*$AK369+$AL369)),E377+0.003*E371*E375,INDEX(FX_Input,$R369,E$3*$AK369+$AL369)+459.6),E377)</f>
        <v>504.30000000000007</v>
      </c>
      <c r="F378" cm="1">
        <f t="array" ref="F378">IFERROR(IF(ISBLANK(INDEX(FX_Input,$R369,F$3*$AK369+$AL369)),F377+0.003*F371*F375,INDEX(FX_Input,$R369,F$3*$AK369+$AL369)+459.6),F377)</f>
        <v>505.70000000000005</v>
      </c>
      <c r="G378" cm="1">
        <f t="array" ref="G378">IFERROR(IF(ISBLANK(INDEX(FX_Input,$R369,G$3*$AK369+$AL369)),G377+0.003*G371*G375,INDEX(FX_Input,$R369,G$3*$AK369+$AL369)+459.6),G377)</f>
        <v>508.2</v>
      </c>
      <c r="H378" cm="1">
        <f t="array" ref="H378">IFERROR(IF(ISBLANK(INDEX(FX_Input,$R369,H$3*$AK369+$AL369)),H377+0.003*H371*H375,INDEX(FX_Input,$R369,H$3*$AK369+$AL369)+459.6),H377)</f>
        <v>512.75</v>
      </c>
      <c r="I378" cm="1">
        <f t="array" ref="I378">IFERROR(IF(ISBLANK(INDEX(FX_Input,$R369,I$3*$AK369+$AL369)),I377+0.003*I371*I375,INDEX(FX_Input,$R369,I$3*$AK369+$AL369)+459.6),I377)</f>
        <v>516.55000000000007</v>
      </c>
      <c r="J378" cm="1">
        <f t="array" ref="J378">IFERROR(IF(ISBLANK(INDEX(FX_Input,$R369,J$3*$AK369+$AL369)),J377+0.003*J371*J375,INDEX(FX_Input,$R369,J$3*$AK369+$AL369)+459.6),J377)</f>
        <v>520.04999999999995</v>
      </c>
      <c r="K378" cm="1">
        <f t="array" ref="K378">IFERROR(IF(ISBLANK(INDEX(FX_Input,$R369,K$3*$AK369+$AL369)),K377+0.003*K371*K375,INDEX(FX_Input,$R369,K$3*$AK369+$AL369)+459.6),K377)</f>
        <v>520.5</v>
      </c>
      <c r="L378" cm="1">
        <f t="array" ref="L378">IFERROR(IF(ISBLANK(INDEX(FX_Input,$R369,L$3*$AK369+$AL369)),L377+0.003*L371*L375,INDEX(FX_Input,$R369,L$3*$AK369+$AL369)+459.6),L377)</f>
        <v>518.20000000000005</v>
      </c>
      <c r="M378" cm="1">
        <f t="array" ref="M378">IFERROR(IF(ISBLANK(INDEX(FX_Input,$R369,M$3*$AK369+$AL369)),M377+0.003*M371*M375,INDEX(FX_Input,$R369,M$3*$AK369+$AL369)+459.6),M377)</f>
        <v>512.25</v>
      </c>
      <c r="N378" cm="1">
        <f t="array" ref="N378">IFERROR(IF(ISBLANK(INDEX(FX_Input,$R369,N$3*$AK369+$AL369)),N377+0.003*N371*N375,INDEX(FX_Input,$R369,N$3*$AK369+$AL369)+459.6),N377)</f>
        <v>506.70000000000005</v>
      </c>
      <c r="O378" cm="1">
        <f t="array" ref="O378">IFERROR(IF(ISBLANK(INDEX(FX_Input,$R369,O$3*$AK369+$AL369)),O377+0.003*O371*O375,INDEX(FX_Input,$R369,O$3*$AK369+$AL369)+459.6),O377)</f>
        <v>503.20000000000005</v>
      </c>
      <c r="P378" cm="1">
        <f t="array" ref="P378">IFERROR(IF(ISBLANK(INDEX(FX_Input,$R369,P$3*$AK369+$AL369)),P377+0.003*P371*P375,INDEX(FX_Input,$R369,P$3*$AK369+$AL369)+459.6),P377)</f>
        <v>459.6</v>
      </c>
    </row>
    <row r="379" spans="1:38" ht="17.149999999999999" x14ac:dyDescent="0.55000000000000004">
      <c r="B379" t="str">
        <f t="shared" si="919"/>
        <v>Portland</v>
      </c>
      <c r="C379" t="s">
        <v>526</v>
      </c>
      <c r="D379">
        <f>IF(ISNUMBER(D373),0.4*D369+0.6*D378+0.005*D373*D375,IF(D373="Partially Insulated",0.3*D377+0.7*D378+0.005*D372*D375,D378))-459.6</f>
        <v>43.899999999999977</v>
      </c>
      <c r="E379">
        <f t="shared" ref="E379" si="925">IF(ISNUMBER(E373),0.4*E369+0.6*E378+0.005*E373*E375,IF(E373="Partially Insulated",0.3*E377+0.7*E378+0.005*E372*E375,E378))-459.6</f>
        <v>44.700000000000045</v>
      </c>
      <c r="F379">
        <f t="shared" ref="F379" si="926">IF(ISNUMBER(F373),0.4*F369+0.6*F378+0.005*F373*F375,IF(F373="Partially Insulated",0.3*F377+0.7*F378+0.005*F372*F375,F378))-459.6</f>
        <v>46.100000000000023</v>
      </c>
      <c r="G379">
        <f t="shared" ref="G379" si="927">IF(ISNUMBER(G373),0.4*G369+0.6*G378+0.005*G373*G375,IF(G373="Partially Insulated",0.3*G377+0.7*G378+0.005*G372*G375,G378))-459.6</f>
        <v>48.599999999999966</v>
      </c>
      <c r="H379">
        <f t="shared" ref="H379" si="928">IF(ISNUMBER(H373),0.4*H369+0.6*H378+0.005*H373*H375,IF(H373="Partially Insulated",0.3*H377+0.7*H378+0.005*H372*H375,H378))-459.6</f>
        <v>53.149999999999977</v>
      </c>
      <c r="I379">
        <f t="shared" ref="I379" si="929">IF(ISNUMBER(I373),0.4*I369+0.6*I378+0.005*I373*I375,IF(I373="Partially Insulated",0.3*I377+0.7*I378+0.005*I372*I375,I378))-459.6</f>
        <v>56.950000000000045</v>
      </c>
      <c r="J379">
        <f t="shared" ref="J379" si="930">IF(ISNUMBER(J373),0.4*J369+0.6*J378+0.005*J373*J375,IF(J373="Partially Insulated",0.3*J377+0.7*J378+0.005*J372*J375,J378))-459.6</f>
        <v>60.449999999999932</v>
      </c>
      <c r="K379">
        <f t="shared" ref="K379" si="931">IF(ISNUMBER(K373),0.4*K369+0.6*K378+0.005*K373*K375,IF(K373="Partially Insulated",0.3*K377+0.7*K378+0.005*K372*K375,K378))-459.6</f>
        <v>60.899999999999977</v>
      </c>
      <c r="L379">
        <f t="shared" ref="L379" si="932">IF(ISNUMBER(L373),0.4*L369+0.6*L378+0.005*L373*L375,IF(L373="Partially Insulated",0.3*L377+0.7*L378+0.005*L372*L375,L378))-459.6</f>
        <v>58.600000000000023</v>
      </c>
      <c r="M379">
        <f t="shared" ref="M379" si="933">IF(ISNUMBER(M373),0.4*M369+0.6*M378+0.005*M373*M375,IF(M373="Partially Insulated",0.3*M377+0.7*M378+0.005*M372*M375,M378))-459.6</f>
        <v>52.649999999999977</v>
      </c>
      <c r="N379">
        <f t="shared" ref="N379" si="934">IF(ISNUMBER(N373),0.4*N369+0.6*N378+0.005*N373*N375,IF(N373="Partially Insulated",0.3*N377+0.7*N378+0.005*N372*N375,N378))-459.6</f>
        <v>47.100000000000023</v>
      </c>
      <c r="O379">
        <f t="shared" ref="O379" si="935">IF(ISNUMBER(O373),0.4*O369+0.6*O378+0.005*O373*O375,IF(O373="Partially Insulated",0.3*O377+0.7*O378+0.005*O372*O375,O378))-459.6</f>
        <v>43.600000000000023</v>
      </c>
      <c r="P379">
        <f>AVERAGE(D379:O379)</f>
        <v>51.391666666666673</v>
      </c>
    </row>
    <row r="380" spans="1:38" ht="17.149999999999999" x14ac:dyDescent="0.55000000000000004">
      <c r="B380" t="str">
        <f t="shared" si="919"/>
        <v>Portland</v>
      </c>
      <c r="C380" t="s">
        <v>527</v>
      </c>
      <c r="D380">
        <f>IF(ISNUMBER(D373),0.4*D370+0.6*D378+0.005*D373*D375,IF(D373="Partially Insulated",0.3*D377+0.7*D378+0.005*D372*D375,D378))-459.6</f>
        <v>43.899999999999977</v>
      </c>
      <c r="E380">
        <f t="shared" ref="E380:O380" si="936">IF(ISNUMBER(E373),0.4*E370+0.6*E378+0.005*E373*E375,IF(E373="Partially Insulated",0.3*E377+0.7*E378+0.005*E372*E375,E378))-459.6</f>
        <v>44.700000000000045</v>
      </c>
      <c r="F380">
        <f t="shared" si="936"/>
        <v>46.100000000000023</v>
      </c>
      <c r="G380">
        <f t="shared" si="936"/>
        <v>48.599999999999966</v>
      </c>
      <c r="H380">
        <f t="shared" si="936"/>
        <v>53.149999999999977</v>
      </c>
      <c r="I380">
        <f t="shared" si="936"/>
        <v>56.950000000000045</v>
      </c>
      <c r="J380">
        <f t="shared" si="936"/>
        <v>60.449999999999932</v>
      </c>
      <c r="K380">
        <f t="shared" si="936"/>
        <v>60.899999999999977</v>
      </c>
      <c r="L380">
        <f t="shared" si="936"/>
        <v>58.600000000000023</v>
      </c>
      <c r="M380">
        <f t="shared" si="936"/>
        <v>52.649999999999977</v>
      </c>
      <c r="N380">
        <f t="shared" si="936"/>
        <v>47.100000000000023</v>
      </c>
      <c r="O380">
        <f t="shared" si="936"/>
        <v>43.600000000000023</v>
      </c>
      <c r="P380">
        <f>AVERAGE(D380:O380)</f>
        <v>51.391666666666673</v>
      </c>
    </row>
    <row r="381" spans="1:38" ht="17.149999999999999" x14ac:dyDescent="0.55000000000000004">
      <c r="B381" t="str">
        <f t="shared" si="919"/>
        <v>Portland</v>
      </c>
      <c r="C381" t="s">
        <v>552</v>
      </c>
      <c r="D381">
        <f>IF(ISNUMBER(D373),0.4*D377+0.6*D378+0.005*D373*D375,IF(D373="Partially Insulated",0.3*D377+0.7*D378+0.005*D372*D375,D378))-459.6</f>
        <v>43.899999999999977</v>
      </c>
      <c r="E381">
        <f t="shared" ref="E381:O381" si="937">IF(ISNUMBER(E373),0.4*E377+0.6*E378+0.005*E373*E375,IF(E373="Partially Insulated",0.3*E377+0.7*E378+0.005*E372*E375,E378))-459.6</f>
        <v>44.700000000000045</v>
      </c>
      <c r="F381">
        <f t="shared" si="937"/>
        <v>46.100000000000023</v>
      </c>
      <c r="G381">
        <f t="shared" si="937"/>
        <v>48.599999999999966</v>
      </c>
      <c r="H381">
        <f t="shared" si="937"/>
        <v>53.149999999999977</v>
      </c>
      <c r="I381">
        <f t="shared" si="937"/>
        <v>56.950000000000045</v>
      </c>
      <c r="J381">
        <f t="shared" si="937"/>
        <v>60.449999999999932</v>
      </c>
      <c r="K381">
        <f t="shared" si="937"/>
        <v>60.899999999999977</v>
      </c>
      <c r="L381">
        <f t="shared" si="937"/>
        <v>58.600000000000023</v>
      </c>
      <c r="M381">
        <f t="shared" si="937"/>
        <v>52.649999999999977</v>
      </c>
      <c r="N381">
        <f t="shared" si="937"/>
        <v>47.100000000000023</v>
      </c>
      <c r="O381">
        <f t="shared" si="937"/>
        <v>43.600000000000023</v>
      </c>
      <c r="P381">
        <f>AVERAGE(D381:O381)</f>
        <v>51.391666666666673</v>
      </c>
    </row>
    <row r="382" spans="1:38" ht="17.149999999999999" x14ac:dyDescent="0.55000000000000004">
      <c r="A382" s="11"/>
      <c r="B382" s="11" t="str">
        <f t="shared" si="919"/>
        <v>Portland</v>
      </c>
      <c r="C382" s="11" t="s">
        <v>553</v>
      </c>
      <c r="D382" s="11">
        <f>IF(ISNUMBER(D373),0.7*D377+0.3*D378+0.009*D373*D375,IF(D373="Partially Insulated",0.6*D377+0.4*D378+0.01*D372*D375,D378))-459.6</f>
        <v>43.899999999999977</v>
      </c>
      <c r="E382" s="11">
        <f t="shared" ref="E382:O382" si="938">IF(ISNUMBER(E373),0.7*E377+0.3*E378+0.009*E373*E375,IF(E373="Partially Insulated",0.6*E377+0.4*E378+0.01*E372*E375,E378))-459.6</f>
        <v>44.700000000000045</v>
      </c>
      <c r="F382" s="11">
        <f t="shared" si="938"/>
        <v>46.100000000000023</v>
      </c>
      <c r="G382" s="11">
        <f t="shared" si="938"/>
        <v>48.599999999999966</v>
      </c>
      <c r="H382" s="11">
        <f t="shared" si="938"/>
        <v>53.149999999999977</v>
      </c>
      <c r="I382" s="11">
        <f t="shared" si="938"/>
        <v>56.950000000000045</v>
      </c>
      <c r="J382" s="11">
        <f t="shared" si="938"/>
        <v>60.449999999999932</v>
      </c>
      <c r="K382" s="11">
        <f t="shared" si="938"/>
        <v>60.899999999999977</v>
      </c>
      <c r="L382" s="11">
        <f t="shared" si="938"/>
        <v>58.600000000000023</v>
      </c>
      <c r="M382" s="11">
        <f t="shared" si="938"/>
        <v>52.649999999999977</v>
      </c>
      <c r="N382" s="11">
        <f t="shared" si="938"/>
        <v>47.100000000000023</v>
      </c>
      <c r="O382" s="11">
        <f t="shared" si="938"/>
        <v>43.600000000000023</v>
      </c>
      <c r="P382" s="11">
        <f>AVERAGE(D382:O382)</f>
        <v>51.391666666666673</v>
      </c>
      <c r="Q382" s="11"/>
      <c r="R382" s="11"/>
      <c r="S382" s="11"/>
      <c r="T382" s="11"/>
      <c r="U382" s="11"/>
      <c r="V382" s="11"/>
      <c r="W382" s="11"/>
      <c r="X382" s="11"/>
      <c r="Y382" s="11"/>
      <c r="Z382" s="11"/>
      <c r="AA382" s="11"/>
      <c r="AB382" s="11"/>
      <c r="AC382" s="11"/>
      <c r="AD382" s="11"/>
      <c r="AE382" s="11"/>
      <c r="AF382" s="11"/>
      <c r="AG382" s="11"/>
      <c r="AH382" s="11"/>
      <c r="AI382" s="11"/>
      <c r="AJ382" s="11"/>
      <c r="AK382" s="11"/>
      <c r="AL382" s="11"/>
    </row>
    <row r="383" spans="1:38" ht="17.149999999999999" x14ac:dyDescent="0.55000000000000004">
      <c r="A383" t="str" cm="1">
        <f t="array" ref="A383">INDEX(FX_Input,$R383,S$5)</f>
        <v>FX - 28</v>
      </c>
      <c r="B383" t="str" cm="1">
        <f t="array" ref="B383">INDEX(FX_Input,R383,T383)</f>
        <v>Portland</v>
      </c>
      <c r="C383" t="s">
        <v>510</v>
      </c>
      <c r="D383">
        <f t="shared" ref="D383:O384" si="939">VLOOKUP(VLOOKUP($B383,Terminal_X_Ref,2,FALSE)&amp;$C383,Weather_Data,$Y383*D$3+$Z383,FALSE)+459.6</f>
        <v>498.3</v>
      </c>
      <c r="E383">
        <f t="shared" si="939"/>
        <v>497.70000000000005</v>
      </c>
      <c r="F383">
        <f t="shared" si="939"/>
        <v>499.1</v>
      </c>
      <c r="G383">
        <f t="shared" si="939"/>
        <v>501.5</v>
      </c>
      <c r="H383">
        <f t="shared" si="939"/>
        <v>506.1</v>
      </c>
      <c r="I383">
        <f t="shared" si="939"/>
        <v>510.3</v>
      </c>
      <c r="J383">
        <f t="shared" si="939"/>
        <v>513.70000000000005</v>
      </c>
      <c r="K383">
        <f t="shared" si="939"/>
        <v>513.70000000000005</v>
      </c>
      <c r="L383">
        <f t="shared" si="939"/>
        <v>510</v>
      </c>
      <c r="M383">
        <f t="shared" si="939"/>
        <v>504.90000000000003</v>
      </c>
      <c r="N383">
        <f t="shared" si="939"/>
        <v>500.6</v>
      </c>
      <c r="O383">
        <f t="shared" si="939"/>
        <v>498.20000000000005</v>
      </c>
      <c r="P383">
        <f t="shared" ref="P383:P384" si="940">VLOOKUP(VLOOKUP($B383,Terminal_X_Ref,2,FALSE)&amp;$C383,Weather_Data,$Y383*P$3+$Z383,FALSE)</f>
        <v>44.9</v>
      </c>
      <c r="R383">
        <f>R369+2</f>
        <v>55</v>
      </c>
      <c r="S383">
        <f>S369+1</f>
        <v>28</v>
      </c>
      <c r="T383">
        <v>3</v>
      </c>
      <c r="U383">
        <v>2</v>
      </c>
      <c r="V383">
        <v>3</v>
      </c>
      <c r="W383">
        <v>1</v>
      </c>
      <c r="X383">
        <v>2</v>
      </c>
      <c r="Y383">
        <f>(V383-U383)/(X383-W383)</f>
        <v>1</v>
      </c>
      <c r="Z383">
        <f>U383-Y383*W383</f>
        <v>1</v>
      </c>
      <c r="AA383">
        <f>AA369+1</f>
        <v>28</v>
      </c>
      <c r="AB383">
        <v>6</v>
      </c>
      <c r="AC383">
        <v>3</v>
      </c>
      <c r="AD383">
        <v>13</v>
      </c>
      <c r="AE383">
        <v>12</v>
      </c>
      <c r="AF383">
        <v>14</v>
      </c>
      <c r="AG383">
        <v>77</v>
      </c>
      <c r="AH383">
        <v>78</v>
      </c>
      <c r="AI383">
        <v>1</v>
      </c>
      <c r="AJ383">
        <v>2</v>
      </c>
      <c r="AK383">
        <f>(AH383-AG383)/(AJ383-AI383)</f>
        <v>1</v>
      </c>
      <c r="AL383">
        <f>AG383-AK383*AI383</f>
        <v>76</v>
      </c>
    </row>
    <row r="384" spans="1:38" ht="17.149999999999999" x14ac:dyDescent="0.55000000000000004">
      <c r="B384" t="str">
        <f t="shared" ref="B384" si="941">B383</f>
        <v>Portland</v>
      </c>
      <c r="C384" t="s">
        <v>511</v>
      </c>
      <c r="D384">
        <f t="shared" si="939"/>
        <v>508.70000000000005</v>
      </c>
      <c r="E384">
        <f t="shared" si="939"/>
        <v>510.90000000000003</v>
      </c>
      <c r="F384">
        <f t="shared" si="939"/>
        <v>512.30000000000007</v>
      </c>
      <c r="G384">
        <f t="shared" si="939"/>
        <v>514.9</v>
      </c>
      <c r="H384">
        <f t="shared" si="939"/>
        <v>519.4</v>
      </c>
      <c r="I384">
        <f t="shared" si="939"/>
        <v>522.80000000000007</v>
      </c>
      <c r="J384">
        <f t="shared" si="939"/>
        <v>526.4</v>
      </c>
      <c r="K384">
        <f t="shared" si="939"/>
        <v>527.30000000000007</v>
      </c>
      <c r="L384">
        <f t="shared" si="939"/>
        <v>526.4</v>
      </c>
      <c r="M384">
        <f t="shared" si="939"/>
        <v>519.6</v>
      </c>
      <c r="N384">
        <f t="shared" si="939"/>
        <v>512.80000000000007</v>
      </c>
      <c r="O384">
        <f t="shared" si="939"/>
        <v>508.20000000000005</v>
      </c>
      <c r="P384">
        <f t="shared" si="940"/>
        <v>57.9</v>
      </c>
      <c r="U384">
        <f>U383</f>
        <v>2</v>
      </c>
      <c r="V384">
        <f t="shared" ref="V384:Z384" si="942">V383</f>
        <v>3</v>
      </c>
      <c r="W384">
        <f t="shared" si="942"/>
        <v>1</v>
      </c>
      <c r="X384">
        <f t="shared" si="942"/>
        <v>2</v>
      </c>
      <c r="Y384">
        <f t="shared" si="942"/>
        <v>1</v>
      </c>
      <c r="Z384">
        <f t="shared" si="942"/>
        <v>1</v>
      </c>
      <c r="AA384">
        <f>AA383</f>
        <v>28</v>
      </c>
      <c r="AB384">
        <f t="shared" ref="AB384:AB387" si="943">AB383</f>
        <v>6</v>
      </c>
      <c r="AC384">
        <f t="shared" ref="AC384:AF387" si="944">AC383</f>
        <v>3</v>
      </c>
      <c r="AD384">
        <f t="shared" si="944"/>
        <v>13</v>
      </c>
      <c r="AE384">
        <f t="shared" si="944"/>
        <v>12</v>
      </c>
      <c r="AF384">
        <f t="shared" si="944"/>
        <v>14</v>
      </c>
      <c r="AG384">
        <f t="shared" ref="AG384:AG387" si="945">AG383</f>
        <v>77</v>
      </c>
      <c r="AH384">
        <f t="shared" ref="AH384:AH387" si="946">AH383</f>
        <v>78</v>
      </c>
      <c r="AI384">
        <f t="shared" ref="AI384:AI387" si="947">AI383</f>
        <v>1</v>
      </c>
      <c r="AJ384">
        <f t="shared" ref="AJ384:AJ387" si="948">AJ383</f>
        <v>2</v>
      </c>
      <c r="AK384">
        <f t="shared" ref="AK384:AK387" si="949">AK383</f>
        <v>1</v>
      </c>
      <c r="AL384">
        <f t="shared" ref="AL384:AL387" si="950">AL383</f>
        <v>76</v>
      </c>
    </row>
    <row r="385" spans="1:38" ht="17.149999999999999" x14ac:dyDescent="0.4">
      <c r="B385" t="str">
        <f>B384</f>
        <v>Portland</v>
      </c>
      <c r="C385" s="66" t="s">
        <v>514</v>
      </c>
      <c r="D385" t="str" cm="1">
        <f t="array" ref="D385">INDEX(FX_Calcs,$AA385,$AE385)</f>
        <v>N/A</v>
      </c>
      <c r="E385" t="str" cm="1">
        <f t="array" ref="E385">INDEX(FX_Calcs,$AA385,$AE385)</f>
        <v>N/A</v>
      </c>
      <c r="F385" t="str" cm="1">
        <f t="array" ref="F385">INDEX(FX_Calcs,$AA385,$AE385)</f>
        <v>N/A</v>
      </c>
      <c r="G385" t="str" cm="1">
        <f t="array" ref="G385">INDEX(FX_Calcs,$AA385,$AE385)</f>
        <v>N/A</v>
      </c>
      <c r="H385" t="str" cm="1">
        <f t="array" ref="H385">INDEX(FX_Calcs,$AA385,$AE385)</f>
        <v>N/A</v>
      </c>
      <c r="I385" t="str" cm="1">
        <f t="array" ref="I385">INDEX(FX_Calcs,$AA385,$AE385)</f>
        <v>N/A</v>
      </c>
      <c r="J385" t="str" cm="1">
        <f t="array" ref="J385">INDEX(FX_Calcs,$AA385,$AE385)</f>
        <v>N/A</v>
      </c>
      <c r="K385" t="str" cm="1">
        <f t="array" ref="K385">INDEX(FX_Calcs,$AA385,$AE385)</f>
        <v>N/A</v>
      </c>
      <c r="L385" t="str" cm="1">
        <f t="array" ref="L385">INDEX(FX_Calcs,$AA385,$AE385)</f>
        <v>N/A</v>
      </c>
      <c r="M385" t="str" cm="1">
        <f t="array" ref="M385">INDEX(FX_Calcs,$AA385,$AE385)</f>
        <v>N/A</v>
      </c>
      <c r="N385" t="str" cm="1">
        <f t="array" ref="N385">INDEX(FX_Calcs,$AA385,$AE385)</f>
        <v>N/A</v>
      </c>
      <c r="O385" t="str" cm="1">
        <f t="array" ref="O385">INDEX(FX_Calcs,$AA385,$AE385)</f>
        <v>N/A</v>
      </c>
      <c r="P385" t="str" cm="1">
        <f t="array" ref="P385">INDEX(FX_Calcs,$AA385,$AE385)</f>
        <v>N/A</v>
      </c>
      <c r="AA385">
        <f>AA384</f>
        <v>28</v>
      </c>
      <c r="AB385">
        <f t="shared" si="943"/>
        <v>6</v>
      </c>
      <c r="AC385">
        <f t="shared" si="944"/>
        <v>3</v>
      </c>
      <c r="AD385">
        <f t="shared" si="944"/>
        <v>13</v>
      </c>
      <c r="AE385">
        <f t="shared" si="944"/>
        <v>12</v>
      </c>
      <c r="AF385">
        <f t="shared" si="944"/>
        <v>14</v>
      </c>
      <c r="AG385">
        <f t="shared" si="945"/>
        <v>77</v>
      </c>
      <c r="AH385">
        <f t="shared" si="946"/>
        <v>78</v>
      </c>
      <c r="AI385">
        <f t="shared" si="947"/>
        <v>1</v>
      </c>
      <c r="AJ385">
        <f t="shared" si="948"/>
        <v>2</v>
      </c>
      <c r="AK385">
        <f t="shared" si="949"/>
        <v>1</v>
      </c>
      <c r="AL385">
        <f t="shared" si="950"/>
        <v>76</v>
      </c>
    </row>
    <row r="386" spans="1:38" ht="17.149999999999999" x14ac:dyDescent="0.4">
      <c r="B386" t="str">
        <f t="shared" ref="B386:B387" si="951">B385</f>
        <v>Portland</v>
      </c>
      <c r="C386" s="66" t="s">
        <v>513</v>
      </c>
      <c r="D386" t="str" cm="1">
        <f t="array" ref="D386">INDEX(FX_Calcs,$AA386,$AD386)</f>
        <v>N/A</v>
      </c>
      <c r="E386" t="str" cm="1">
        <f t="array" ref="E386">INDEX(FX_Calcs,$AA386,$AD386)</f>
        <v>N/A</v>
      </c>
      <c r="F386" t="str" cm="1">
        <f t="array" ref="F386">INDEX(FX_Calcs,$AA386,$AD386)</f>
        <v>N/A</v>
      </c>
      <c r="G386" t="str" cm="1">
        <f t="array" ref="G386">INDEX(FX_Calcs,$AA386,$AD386)</f>
        <v>N/A</v>
      </c>
      <c r="H386" t="str" cm="1">
        <f t="array" ref="H386">INDEX(FX_Calcs,$AA386,$AD386)</f>
        <v>N/A</v>
      </c>
      <c r="I386" t="str" cm="1">
        <f t="array" ref="I386">INDEX(FX_Calcs,$AA386,$AD386)</f>
        <v>N/A</v>
      </c>
      <c r="J386" t="str" cm="1">
        <f t="array" ref="J386">INDEX(FX_Calcs,$AA386,$AD386)</f>
        <v>N/A</v>
      </c>
      <c r="K386" t="str" cm="1">
        <f t="array" ref="K386">INDEX(FX_Calcs,$AA386,$AD386)</f>
        <v>N/A</v>
      </c>
      <c r="L386" t="str" cm="1">
        <f t="array" ref="L386">INDEX(FX_Calcs,$AA386,$AD386)</f>
        <v>N/A</v>
      </c>
      <c r="M386" t="str" cm="1">
        <f t="array" ref="M386">INDEX(FX_Calcs,$AA386,$AD386)</f>
        <v>N/A</v>
      </c>
      <c r="N386" t="str" cm="1">
        <f t="array" ref="N386">INDEX(FX_Calcs,$AA386,$AD386)</f>
        <v>N/A</v>
      </c>
      <c r="O386" t="str" cm="1">
        <f t="array" ref="O386">INDEX(FX_Calcs,$AA386,$AD386)</f>
        <v>N/A</v>
      </c>
      <c r="P386" t="str" cm="1">
        <f t="array" ref="P386">INDEX(FX_Calcs,$AA386,$AD386)</f>
        <v>N/A</v>
      </c>
      <c r="AA386">
        <f>AA385</f>
        <v>28</v>
      </c>
      <c r="AB386">
        <f t="shared" si="943"/>
        <v>6</v>
      </c>
      <c r="AC386">
        <f t="shared" si="944"/>
        <v>3</v>
      </c>
      <c r="AD386">
        <f t="shared" si="944"/>
        <v>13</v>
      </c>
      <c r="AE386">
        <f t="shared" si="944"/>
        <v>12</v>
      </c>
      <c r="AF386">
        <f t="shared" si="944"/>
        <v>14</v>
      </c>
      <c r="AG386">
        <f t="shared" si="945"/>
        <v>77</v>
      </c>
      <c r="AH386">
        <f t="shared" si="946"/>
        <v>78</v>
      </c>
      <c r="AI386">
        <f t="shared" si="947"/>
        <v>1</v>
      </c>
      <c r="AJ386">
        <f t="shared" si="948"/>
        <v>2</v>
      </c>
      <c r="AK386">
        <f t="shared" si="949"/>
        <v>1</v>
      </c>
      <c r="AL386">
        <f t="shared" si="950"/>
        <v>76</v>
      </c>
    </row>
    <row r="387" spans="1:38" x14ac:dyDescent="0.4">
      <c r="B387" t="str">
        <f t="shared" si="951"/>
        <v>Portland</v>
      </c>
      <c r="C387" s="66" t="s">
        <v>558</v>
      </c>
      <c r="D387" t="str" cm="1">
        <f t="array" ref="D387">INDEX(FX_Calcs,$AA387,$AF387)</f>
        <v>Insulated</v>
      </c>
      <c r="E387" t="str" cm="1">
        <f t="array" ref="E387">INDEX(FX_Calcs,$AA387,$AF387)</f>
        <v>Insulated</v>
      </c>
      <c r="F387" t="str" cm="1">
        <f t="array" ref="F387">INDEX(FX_Calcs,$AA387,$AF387)</f>
        <v>Insulated</v>
      </c>
      <c r="G387" t="str" cm="1">
        <f t="array" ref="G387">INDEX(FX_Calcs,$AA387,$AF387)</f>
        <v>Insulated</v>
      </c>
      <c r="H387" t="str" cm="1">
        <f t="array" ref="H387">INDEX(FX_Calcs,$AA387,$AF387)</f>
        <v>Insulated</v>
      </c>
      <c r="I387" t="str" cm="1">
        <f t="array" ref="I387">INDEX(FX_Calcs,$AA387,$AF387)</f>
        <v>Insulated</v>
      </c>
      <c r="J387" t="str" cm="1">
        <f t="array" ref="J387">INDEX(FX_Calcs,$AA387,$AF387)</f>
        <v>Insulated</v>
      </c>
      <c r="K387" t="str" cm="1">
        <f t="array" ref="K387">INDEX(FX_Calcs,$AA387,$AF387)</f>
        <v>Insulated</v>
      </c>
      <c r="L387" t="str" cm="1">
        <f t="array" ref="L387">INDEX(FX_Calcs,$AA387,$AF387)</f>
        <v>Insulated</v>
      </c>
      <c r="M387" t="str" cm="1">
        <f t="array" ref="M387">INDEX(FX_Calcs,$AA387,$AF387)</f>
        <v>Insulated</v>
      </c>
      <c r="N387" t="str" cm="1">
        <f t="array" ref="N387">INDEX(FX_Calcs,$AA387,$AF387)</f>
        <v>Insulated</v>
      </c>
      <c r="O387" t="str" cm="1">
        <f t="array" ref="O387">INDEX(FX_Calcs,$AA387,$AF387)</f>
        <v>Insulated</v>
      </c>
      <c r="P387" t="str" cm="1">
        <f t="array" ref="P387">INDEX(FX_Calcs,$AA387,$AF387)</f>
        <v>Insulated</v>
      </c>
      <c r="AA387">
        <f>AA386</f>
        <v>28</v>
      </c>
      <c r="AB387">
        <f t="shared" si="943"/>
        <v>6</v>
      </c>
      <c r="AC387">
        <f t="shared" si="944"/>
        <v>3</v>
      </c>
      <c r="AD387">
        <f t="shared" si="944"/>
        <v>13</v>
      </c>
      <c r="AE387">
        <f t="shared" si="944"/>
        <v>12</v>
      </c>
      <c r="AF387">
        <f t="shared" si="944"/>
        <v>14</v>
      </c>
      <c r="AG387">
        <f t="shared" si="945"/>
        <v>77</v>
      </c>
      <c r="AH387">
        <f t="shared" si="946"/>
        <v>78</v>
      </c>
      <c r="AI387">
        <f t="shared" si="947"/>
        <v>1</v>
      </c>
      <c r="AJ387">
        <f t="shared" si="948"/>
        <v>2</v>
      </c>
      <c r="AK387">
        <f t="shared" si="949"/>
        <v>1</v>
      </c>
      <c r="AL387">
        <f t="shared" si="950"/>
        <v>76</v>
      </c>
    </row>
    <row r="388" spans="1:38" ht="17.149999999999999" x14ac:dyDescent="0.55000000000000004">
      <c r="B388" t="str">
        <f>B384</f>
        <v>Portland</v>
      </c>
      <c r="C388" t="s">
        <v>512</v>
      </c>
      <c r="D388">
        <f t="shared" ref="D388:P388" si="952">D384-D383</f>
        <v>10.400000000000034</v>
      </c>
      <c r="E388">
        <f t="shared" si="952"/>
        <v>13.199999999999989</v>
      </c>
      <c r="F388">
        <f t="shared" si="952"/>
        <v>13.200000000000045</v>
      </c>
      <c r="G388">
        <f t="shared" si="952"/>
        <v>13.399999999999977</v>
      </c>
      <c r="H388">
        <f t="shared" si="952"/>
        <v>13.299999999999955</v>
      </c>
      <c r="I388">
        <f t="shared" si="952"/>
        <v>12.500000000000057</v>
      </c>
      <c r="J388">
        <f t="shared" si="952"/>
        <v>12.699999999999932</v>
      </c>
      <c r="K388">
        <f t="shared" si="952"/>
        <v>13.600000000000023</v>
      </c>
      <c r="L388">
        <f t="shared" si="952"/>
        <v>16.399999999999977</v>
      </c>
      <c r="M388">
        <f t="shared" si="952"/>
        <v>14.699999999999989</v>
      </c>
      <c r="N388">
        <f t="shared" si="952"/>
        <v>12.200000000000045</v>
      </c>
      <c r="O388">
        <f t="shared" si="952"/>
        <v>10</v>
      </c>
      <c r="P388">
        <f t="shared" si="952"/>
        <v>13</v>
      </c>
    </row>
    <row r="389" spans="1:38" x14ac:dyDescent="0.4">
      <c r="B389" t="str">
        <f t="shared" ref="B389:B396" si="953">B388</f>
        <v>Portland</v>
      </c>
      <c r="C389" t="s">
        <v>260</v>
      </c>
      <c r="D389">
        <f t="shared" ref="D389:P389" si="954">VLOOKUP(VLOOKUP($B389,Terminal_X_Ref,2,FALSE)&amp;$C389,Weather_Data,$Y389*D$3+$Z389,FALSE)</f>
        <v>343</v>
      </c>
      <c r="E389">
        <f t="shared" si="954"/>
        <v>600</v>
      </c>
      <c r="F389">
        <f t="shared" si="954"/>
        <v>877</v>
      </c>
      <c r="G389">
        <f t="shared" si="954"/>
        <v>1252</v>
      </c>
      <c r="H389">
        <f t="shared" si="954"/>
        <v>1537</v>
      </c>
      <c r="I389">
        <f t="shared" si="954"/>
        <v>1627</v>
      </c>
      <c r="J389">
        <f t="shared" si="954"/>
        <v>1708</v>
      </c>
      <c r="K389">
        <f t="shared" si="954"/>
        <v>1492</v>
      </c>
      <c r="L389">
        <f t="shared" si="954"/>
        <v>1196</v>
      </c>
      <c r="M389">
        <f t="shared" si="954"/>
        <v>728</v>
      </c>
      <c r="N389">
        <f t="shared" si="954"/>
        <v>391</v>
      </c>
      <c r="O389">
        <f t="shared" si="954"/>
        <v>302</v>
      </c>
      <c r="P389">
        <f t="shared" si="954"/>
        <v>1005</v>
      </c>
      <c r="U389">
        <f>U384</f>
        <v>2</v>
      </c>
      <c r="V389">
        <f t="shared" ref="V389:Z389" si="955">V384</f>
        <v>3</v>
      </c>
      <c r="W389">
        <f t="shared" si="955"/>
        <v>1</v>
      </c>
      <c r="X389">
        <f t="shared" si="955"/>
        <v>2</v>
      </c>
      <c r="Y389">
        <f t="shared" si="955"/>
        <v>1</v>
      </c>
      <c r="Z389">
        <f t="shared" si="955"/>
        <v>1</v>
      </c>
    </row>
    <row r="390" spans="1:38" ht="17.149999999999999" x14ac:dyDescent="0.55000000000000004">
      <c r="B390" t="str">
        <f t="shared" si="953"/>
        <v>Portland</v>
      </c>
      <c r="C390" t="s">
        <v>523</v>
      </c>
      <c r="D390">
        <f>IF(ISNUMBER(D387),0.7*D388+0.02*D387*D389,IF(D387="Partially Insulated",0.6*D388+0.02*D386*D389,0))</f>
        <v>0</v>
      </c>
      <c r="E390">
        <f t="shared" ref="E390:P390" si="956">IF(ISNUMBER(E387),0.7*E388+0.02*E387*E389,IF(E387="Partially Insulated",0.6*E388+0.02*E386*E389,0))</f>
        <v>0</v>
      </c>
      <c r="F390">
        <f t="shared" si="956"/>
        <v>0</v>
      </c>
      <c r="G390">
        <f t="shared" si="956"/>
        <v>0</v>
      </c>
      <c r="H390">
        <f t="shared" si="956"/>
        <v>0</v>
      </c>
      <c r="I390">
        <f t="shared" si="956"/>
        <v>0</v>
      </c>
      <c r="J390">
        <f t="shared" si="956"/>
        <v>0</v>
      </c>
      <c r="K390">
        <f t="shared" si="956"/>
        <v>0</v>
      </c>
      <c r="L390">
        <f t="shared" si="956"/>
        <v>0</v>
      </c>
      <c r="M390">
        <f t="shared" si="956"/>
        <v>0</v>
      </c>
      <c r="N390">
        <f t="shared" si="956"/>
        <v>0</v>
      </c>
      <c r="O390">
        <f t="shared" si="956"/>
        <v>0</v>
      </c>
      <c r="P390">
        <f t="shared" si="956"/>
        <v>0</v>
      </c>
    </row>
    <row r="391" spans="1:38" ht="17.149999999999999" x14ac:dyDescent="0.55000000000000004">
      <c r="B391" t="str">
        <f t="shared" si="953"/>
        <v>Portland</v>
      </c>
      <c r="C391" t="s">
        <v>524</v>
      </c>
      <c r="D391">
        <f t="shared" ref="D391:F391" si="957">AVERAGE(D383:D384)</f>
        <v>503.5</v>
      </c>
      <c r="E391">
        <f t="shared" si="957"/>
        <v>504.30000000000007</v>
      </c>
      <c r="F391">
        <f t="shared" si="957"/>
        <v>505.70000000000005</v>
      </c>
      <c r="G391">
        <f>AVERAGE(G383:G384)</f>
        <v>508.2</v>
      </c>
      <c r="H391">
        <f t="shared" ref="H391:P391" si="958">AVERAGE(H383:H384)</f>
        <v>512.75</v>
      </c>
      <c r="I391">
        <f t="shared" si="958"/>
        <v>516.55000000000007</v>
      </c>
      <c r="J391">
        <f t="shared" si="958"/>
        <v>520.04999999999995</v>
      </c>
      <c r="K391">
        <f t="shared" si="958"/>
        <v>520.5</v>
      </c>
      <c r="L391">
        <f t="shared" si="958"/>
        <v>518.20000000000005</v>
      </c>
      <c r="M391">
        <f t="shared" si="958"/>
        <v>512.25</v>
      </c>
      <c r="N391">
        <f t="shared" si="958"/>
        <v>506.70000000000005</v>
      </c>
      <c r="O391">
        <f t="shared" si="958"/>
        <v>503.20000000000005</v>
      </c>
      <c r="P391">
        <f t="shared" si="958"/>
        <v>51.4</v>
      </c>
    </row>
    <row r="392" spans="1:38" ht="17.149999999999999" x14ac:dyDescent="0.55000000000000004">
      <c r="B392" t="str">
        <f t="shared" si="953"/>
        <v>Portland</v>
      </c>
      <c r="C392" t="s">
        <v>525</v>
      </c>
      <c r="D392" cm="1">
        <f t="array" ref="D392">IFERROR(IF(ISBLANK(INDEX(FX_Input,$R383,D$3*$AK383+$AL383)),D391+0.003*D385*D389,INDEX(FX_Input,$R383,D$3*$AK383+$AL383)+459.6),D391)</f>
        <v>503.5</v>
      </c>
      <c r="E392" cm="1">
        <f t="array" ref="E392">IFERROR(IF(ISBLANK(INDEX(FX_Input,$R383,E$3*$AK383+$AL383)),E391+0.003*E385*E389,INDEX(FX_Input,$R383,E$3*$AK383+$AL383)+459.6),E391)</f>
        <v>504.30000000000007</v>
      </c>
      <c r="F392" cm="1">
        <f t="array" ref="F392">IFERROR(IF(ISBLANK(INDEX(FX_Input,$R383,F$3*$AK383+$AL383)),F391+0.003*F385*F389,INDEX(FX_Input,$R383,F$3*$AK383+$AL383)+459.6),F391)</f>
        <v>505.70000000000005</v>
      </c>
      <c r="G392" cm="1">
        <f t="array" ref="G392">IFERROR(IF(ISBLANK(INDEX(FX_Input,$R383,G$3*$AK383+$AL383)),G391+0.003*G385*G389,INDEX(FX_Input,$R383,G$3*$AK383+$AL383)+459.6),G391)</f>
        <v>508.2</v>
      </c>
      <c r="H392" cm="1">
        <f t="array" ref="H392">IFERROR(IF(ISBLANK(INDEX(FX_Input,$R383,H$3*$AK383+$AL383)),H391+0.003*H385*H389,INDEX(FX_Input,$R383,H$3*$AK383+$AL383)+459.6),H391)</f>
        <v>512.75</v>
      </c>
      <c r="I392" cm="1">
        <f t="array" ref="I392">IFERROR(IF(ISBLANK(INDEX(FX_Input,$R383,I$3*$AK383+$AL383)),I391+0.003*I385*I389,INDEX(FX_Input,$R383,I$3*$AK383+$AL383)+459.6),I391)</f>
        <v>516.55000000000007</v>
      </c>
      <c r="J392" cm="1">
        <f t="array" ref="J392">IFERROR(IF(ISBLANK(INDEX(FX_Input,$R383,J$3*$AK383+$AL383)),J391+0.003*J385*J389,INDEX(FX_Input,$R383,J$3*$AK383+$AL383)+459.6),J391)</f>
        <v>520.04999999999995</v>
      </c>
      <c r="K392" cm="1">
        <f t="array" ref="K392">IFERROR(IF(ISBLANK(INDEX(FX_Input,$R383,K$3*$AK383+$AL383)),K391+0.003*K385*K389,INDEX(FX_Input,$R383,K$3*$AK383+$AL383)+459.6),K391)</f>
        <v>520.5</v>
      </c>
      <c r="L392" cm="1">
        <f t="array" ref="L392">IFERROR(IF(ISBLANK(INDEX(FX_Input,$R383,L$3*$AK383+$AL383)),L391+0.003*L385*L389,INDEX(FX_Input,$R383,L$3*$AK383+$AL383)+459.6),L391)</f>
        <v>518.20000000000005</v>
      </c>
      <c r="M392" cm="1">
        <f t="array" ref="M392">IFERROR(IF(ISBLANK(INDEX(FX_Input,$R383,M$3*$AK383+$AL383)),M391+0.003*M385*M389,INDEX(FX_Input,$R383,M$3*$AK383+$AL383)+459.6),M391)</f>
        <v>512.25</v>
      </c>
      <c r="N392" cm="1">
        <f t="array" ref="N392">IFERROR(IF(ISBLANK(INDEX(FX_Input,$R383,N$3*$AK383+$AL383)),N391+0.003*N385*N389,INDEX(FX_Input,$R383,N$3*$AK383+$AL383)+459.6),N391)</f>
        <v>506.70000000000005</v>
      </c>
      <c r="O392" cm="1">
        <f t="array" ref="O392">IFERROR(IF(ISBLANK(INDEX(FX_Input,$R383,O$3*$AK383+$AL383)),O391+0.003*O385*O389,INDEX(FX_Input,$R383,O$3*$AK383+$AL383)+459.6),O391)</f>
        <v>503.20000000000005</v>
      </c>
      <c r="P392" cm="1">
        <f t="array" ref="P392">IFERROR(IF(ISBLANK(INDEX(FX_Input,$R383,P$3*$AK383+$AL383)),P391+0.003*P385*P389,INDEX(FX_Input,$R383,P$3*$AK383+$AL383)+459.6),P391)</f>
        <v>459.6</v>
      </c>
    </row>
    <row r="393" spans="1:38" ht="17.149999999999999" x14ac:dyDescent="0.55000000000000004">
      <c r="B393" t="str">
        <f t="shared" si="953"/>
        <v>Portland</v>
      </c>
      <c r="C393" t="s">
        <v>526</v>
      </c>
      <c r="D393">
        <f>IF(ISNUMBER(D387),0.4*D383+0.6*D392+0.005*D387*D389,IF(D387="Partially Insulated",0.3*D391+0.7*D392+0.005*D386*D389,D392))-459.6</f>
        <v>43.899999999999977</v>
      </c>
      <c r="E393">
        <f t="shared" ref="E393" si="959">IF(ISNUMBER(E387),0.4*E383+0.6*E392+0.005*E387*E389,IF(E387="Partially Insulated",0.3*E391+0.7*E392+0.005*E386*E389,E392))-459.6</f>
        <v>44.700000000000045</v>
      </c>
      <c r="F393">
        <f t="shared" ref="F393" si="960">IF(ISNUMBER(F387),0.4*F383+0.6*F392+0.005*F387*F389,IF(F387="Partially Insulated",0.3*F391+0.7*F392+0.005*F386*F389,F392))-459.6</f>
        <v>46.100000000000023</v>
      </c>
      <c r="G393">
        <f t="shared" ref="G393" si="961">IF(ISNUMBER(G387),0.4*G383+0.6*G392+0.005*G387*G389,IF(G387="Partially Insulated",0.3*G391+0.7*G392+0.005*G386*G389,G392))-459.6</f>
        <v>48.599999999999966</v>
      </c>
      <c r="H393">
        <f t="shared" ref="H393" si="962">IF(ISNUMBER(H387),0.4*H383+0.6*H392+0.005*H387*H389,IF(H387="Partially Insulated",0.3*H391+0.7*H392+0.005*H386*H389,H392))-459.6</f>
        <v>53.149999999999977</v>
      </c>
      <c r="I393">
        <f t="shared" ref="I393" si="963">IF(ISNUMBER(I387),0.4*I383+0.6*I392+0.005*I387*I389,IF(I387="Partially Insulated",0.3*I391+0.7*I392+0.005*I386*I389,I392))-459.6</f>
        <v>56.950000000000045</v>
      </c>
      <c r="J393">
        <f t="shared" ref="J393" si="964">IF(ISNUMBER(J387),0.4*J383+0.6*J392+0.005*J387*J389,IF(J387="Partially Insulated",0.3*J391+0.7*J392+0.005*J386*J389,J392))-459.6</f>
        <v>60.449999999999932</v>
      </c>
      <c r="K393">
        <f t="shared" ref="K393" si="965">IF(ISNUMBER(K387),0.4*K383+0.6*K392+0.005*K387*K389,IF(K387="Partially Insulated",0.3*K391+0.7*K392+0.005*K386*K389,K392))-459.6</f>
        <v>60.899999999999977</v>
      </c>
      <c r="L393">
        <f t="shared" ref="L393" si="966">IF(ISNUMBER(L387),0.4*L383+0.6*L392+0.005*L387*L389,IF(L387="Partially Insulated",0.3*L391+0.7*L392+0.005*L386*L389,L392))-459.6</f>
        <v>58.600000000000023</v>
      </c>
      <c r="M393">
        <f t="shared" ref="M393" si="967">IF(ISNUMBER(M387),0.4*M383+0.6*M392+0.005*M387*M389,IF(M387="Partially Insulated",0.3*M391+0.7*M392+0.005*M386*M389,M392))-459.6</f>
        <v>52.649999999999977</v>
      </c>
      <c r="N393">
        <f t="shared" ref="N393" si="968">IF(ISNUMBER(N387),0.4*N383+0.6*N392+0.005*N387*N389,IF(N387="Partially Insulated",0.3*N391+0.7*N392+0.005*N386*N389,N392))-459.6</f>
        <v>47.100000000000023</v>
      </c>
      <c r="O393">
        <f t="shared" ref="O393" si="969">IF(ISNUMBER(O387),0.4*O383+0.6*O392+0.005*O387*O389,IF(O387="Partially Insulated",0.3*O391+0.7*O392+0.005*O386*O389,O392))-459.6</f>
        <v>43.600000000000023</v>
      </c>
      <c r="P393">
        <f>AVERAGE(D393:O393)</f>
        <v>51.391666666666673</v>
      </c>
    </row>
    <row r="394" spans="1:38" ht="17.149999999999999" x14ac:dyDescent="0.55000000000000004">
      <c r="B394" t="str">
        <f t="shared" si="953"/>
        <v>Portland</v>
      </c>
      <c r="C394" t="s">
        <v>527</v>
      </c>
      <c r="D394">
        <f>IF(ISNUMBER(D387),0.4*D384+0.6*D392+0.005*D387*D389,IF(D387="Partially Insulated",0.3*D391+0.7*D392+0.005*D386*D389,D392))-459.6</f>
        <v>43.899999999999977</v>
      </c>
      <c r="E394">
        <f t="shared" ref="E394:O394" si="970">IF(ISNUMBER(E387),0.4*E384+0.6*E392+0.005*E387*E389,IF(E387="Partially Insulated",0.3*E391+0.7*E392+0.005*E386*E389,E392))-459.6</f>
        <v>44.700000000000045</v>
      </c>
      <c r="F394">
        <f t="shared" si="970"/>
        <v>46.100000000000023</v>
      </c>
      <c r="G394">
        <f t="shared" si="970"/>
        <v>48.599999999999966</v>
      </c>
      <c r="H394">
        <f t="shared" si="970"/>
        <v>53.149999999999977</v>
      </c>
      <c r="I394">
        <f t="shared" si="970"/>
        <v>56.950000000000045</v>
      </c>
      <c r="J394">
        <f t="shared" si="970"/>
        <v>60.449999999999932</v>
      </c>
      <c r="K394">
        <f t="shared" si="970"/>
        <v>60.899999999999977</v>
      </c>
      <c r="L394">
        <f t="shared" si="970"/>
        <v>58.600000000000023</v>
      </c>
      <c r="M394">
        <f t="shared" si="970"/>
        <v>52.649999999999977</v>
      </c>
      <c r="N394">
        <f t="shared" si="970"/>
        <v>47.100000000000023</v>
      </c>
      <c r="O394">
        <f t="shared" si="970"/>
        <v>43.600000000000023</v>
      </c>
      <c r="P394">
        <f>AVERAGE(D394:O394)</f>
        <v>51.391666666666673</v>
      </c>
    </row>
    <row r="395" spans="1:38" ht="17.149999999999999" x14ac:dyDescent="0.55000000000000004">
      <c r="B395" t="str">
        <f t="shared" si="953"/>
        <v>Portland</v>
      </c>
      <c r="C395" t="s">
        <v>552</v>
      </c>
      <c r="D395">
        <f>IF(ISNUMBER(D387),0.4*D391+0.6*D392+0.005*D387*D389,IF(D387="Partially Insulated",0.3*D391+0.7*D392+0.005*D386*D389,D392))-459.6</f>
        <v>43.899999999999977</v>
      </c>
      <c r="E395">
        <f t="shared" ref="E395:O395" si="971">IF(ISNUMBER(E387),0.4*E391+0.6*E392+0.005*E387*E389,IF(E387="Partially Insulated",0.3*E391+0.7*E392+0.005*E386*E389,E392))-459.6</f>
        <v>44.700000000000045</v>
      </c>
      <c r="F395">
        <f t="shared" si="971"/>
        <v>46.100000000000023</v>
      </c>
      <c r="G395">
        <f t="shared" si="971"/>
        <v>48.599999999999966</v>
      </c>
      <c r="H395">
        <f t="shared" si="971"/>
        <v>53.149999999999977</v>
      </c>
      <c r="I395">
        <f t="shared" si="971"/>
        <v>56.950000000000045</v>
      </c>
      <c r="J395">
        <f t="shared" si="971"/>
        <v>60.449999999999932</v>
      </c>
      <c r="K395">
        <f t="shared" si="971"/>
        <v>60.899999999999977</v>
      </c>
      <c r="L395">
        <f t="shared" si="971"/>
        <v>58.600000000000023</v>
      </c>
      <c r="M395">
        <f t="shared" si="971"/>
        <v>52.649999999999977</v>
      </c>
      <c r="N395">
        <f t="shared" si="971"/>
        <v>47.100000000000023</v>
      </c>
      <c r="O395">
        <f t="shared" si="971"/>
        <v>43.600000000000023</v>
      </c>
      <c r="P395">
        <f>AVERAGE(D395:O395)</f>
        <v>51.391666666666673</v>
      </c>
    </row>
    <row r="396" spans="1:38" ht="17.149999999999999" x14ac:dyDescent="0.55000000000000004">
      <c r="A396" s="11"/>
      <c r="B396" s="11" t="str">
        <f t="shared" si="953"/>
        <v>Portland</v>
      </c>
      <c r="C396" s="11" t="s">
        <v>553</v>
      </c>
      <c r="D396" s="11">
        <f>IF(ISNUMBER(D387),0.7*D391+0.3*D392+0.009*D387*D389,IF(D387="Partially Insulated",0.6*D391+0.4*D392+0.01*D386*D389,D392))-459.6</f>
        <v>43.899999999999977</v>
      </c>
      <c r="E396" s="11">
        <f t="shared" ref="E396:O396" si="972">IF(ISNUMBER(E387),0.7*E391+0.3*E392+0.009*E387*E389,IF(E387="Partially Insulated",0.6*E391+0.4*E392+0.01*E386*E389,E392))-459.6</f>
        <v>44.700000000000045</v>
      </c>
      <c r="F396" s="11">
        <f t="shared" si="972"/>
        <v>46.100000000000023</v>
      </c>
      <c r="G396" s="11">
        <f t="shared" si="972"/>
        <v>48.599999999999966</v>
      </c>
      <c r="H396" s="11">
        <f t="shared" si="972"/>
        <v>53.149999999999977</v>
      </c>
      <c r="I396" s="11">
        <f t="shared" si="972"/>
        <v>56.950000000000045</v>
      </c>
      <c r="J396" s="11">
        <f t="shared" si="972"/>
        <v>60.449999999999932</v>
      </c>
      <c r="K396" s="11">
        <f t="shared" si="972"/>
        <v>60.899999999999977</v>
      </c>
      <c r="L396" s="11">
        <f t="shared" si="972"/>
        <v>58.600000000000023</v>
      </c>
      <c r="M396" s="11">
        <f t="shared" si="972"/>
        <v>52.649999999999977</v>
      </c>
      <c r="N396" s="11">
        <f t="shared" si="972"/>
        <v>47.100000000000023</v>
      </c>
      <c r="O396" s="11">
        <f t="shared" si="972"/>
        <v>43.600000000000023</v>
      </c>
      <c r="P396" s="11">
        <f>AVERAGE(D396:O396)</f>
        <v>51.391666666666673</v>
      </c>
      <c r="Q396" s="11"/>
      <c r="R396" s="11"/>
      <c r="S396" s="11"/>
      <c r="T396" s="11"/>
      <c r="U396" s="11"/>
      <c r="V396" s="11"/>
      <c r="W396" s="11"/>
      <c r="X396" s="11"/>
      <c r="Y396" s="11"/>
      <c r="Z396" s="11"/>
      <c r="AA396" s="11"/>
      <c r="AB396" s="11"/>
      <c r="AC396" s="11"/>
      <c r="AD396" s="11"/>
      <c r="AE396" s="11"/>
      <c r="AF396" s="11"/>
      <c r="AG396" s="11"/>
      <c r="AH396" s="11"/>
      <c r="AI396" s="11"/>
      <c r="AJ396" s="11"/>
      <c r="AK396" s="11"/>
      <c r="AL396" s="11"/>
    </row>
    <row r="397" spans="1:38" ht="17.149999999999999" x14ac:dyDescent="0.55000000000000004">
      <c r="A397" t="str" cm="1">
        <f t="array" ref="A397">INDEX(FX_Input,$R397,S$5)</f>
        <v>FX - 29</v>
      </c>
      <c r="B397" t="str" cm="1">
        <f t="array" ref="B397">INDEX(FX_Input,R397,T397)</f>
        <v>Portland</v>
      </c>
      <c r="C397" t="s">
        <v>510</v>
      </c>
      <c r="D397">
        <f t="shared" ref="D397:O398" si="973">VLOOKUP(VLOOKUP($B397,Terminal_X_Ref,2,FALSE)&amp;$C397,Weather_Data,$Y397*D$3+$Z397,FALSE)+459.6</f>
        <v>498.3</v>
      </c>
      <c r="E397">
        <f t="shared" si="973"/>
        <v>497.70000000000005</v>
      </c>
      <c r="F397">
        <f t="shared" si="973"/>
        <v>499.1</v>
      </c>
      <c r="G397">
        <f t="shared" si="973"/>
        <v>501.5</v>
      </c>
      <c r="H397">
        <f t="shared" si="973"/>
        <v>506.1</v>
      </c>
      <c r="I397">
        <f t="shared" si="973"/>
        <v>510.3</v>
      </c>
      <c r="J397">
        <f t="shared" si="973"/>
        <v>513.70000000000005</v>
      </c>
      <c r="K397">
        <f t="shared" si="973"/>
        <v>513.70000000000005</v>
      </c>
      <c r="L397">
        <f t="shared" si="973"/>
        <v>510</v>
      </c>
      <c r="M397">
        <f t="shared" si="973"/>
        <v>504.90000000000003</v>
      </c>
      <c r="N397">
        <f t="shared" si="973"/>
        <v>500.6</v>
      </c>
      <c r="O397">
        <f t="shared" si="973"/>
        <v>498.20000000000005</v>
      </c>
      <c r="P397">
        <f t="shared" ref="P397:P398" si="974">VLOOKUP(VLOOKUP($B397,Terminal_X_Ref,2,FALSE)&amp;$C397,Weather_Data,$Y397*P$3+$Z397,FALSE)</f>
        <v>44.9</v>
      </c>
      <c r="R397">
        <f>R383+2</f>
        <v>57</v>
      </c>
      <c r="S397">
        <f>S383+1</f>
        <v>29</v>
      </c>
      <c r="T397">
        <v>3</v>
      </c>
      <c r="U397">
        <v>2</v>
      </c>
      <c r="V397">
        <v>3</v>
      </c>
      <c r="W397">
        <v>1</v>
      </c>
      <c r="X397">
        <v>2</v>
      </c>
      <c r="Y397">
        <f>(V397-U397)/(X397-W397)</f>
        <v>1</v>
      </c>
      <c r="Z397">
        <f>U397-Y397*W397</f>
        <v>1</v>
      </c>
      <c r="AA397">
        <f>AA383+1</f>
        <v>29</v>
      </c>
      <c r="AB397">
        <v>6</v>
      </c>
      <c r="AC397">
        <v>3</v>
      </c>
      <c r="AD397">
        <v>13</v>
      </c>
      <c r="AE397">
        <v>12</v>
      </c>
      <c r="AF397">
        <v>14</v>
      </c>
      <c r="AG397">
        <v>77</v>
      </c>
      <c r="AH397">
        <v>78</v>
      </c>
      <c r="AI397">
        <v>1</v>
      </c>
      <c r="AJ397">
        <v>2</v>
      </c>
      <c r="AK397">
        <f>(AH397-AG397)/(AJ397-AI397)</f>
        <v>1</v>
      </c>
      <c r="AL397">
        <f>AG397-AK397*AI397</f>
        <v>76</v>
      </c>
    </row>
    <row r="398" spans="1:38" ht="17.149999999999999" x14ac:dyDescent="0.55000000000000004">
      <c r="B398" t="str">
        <f t="shared" ref="B398" si="975">B397</f>
        <v>Portland</v>
      </c>
      <c r="C398" t="s">
        <v>511</v>
      </c>
      <c r="D398">
        <f t="shared" si="973"/>
        <v>508.70000000000005</v>
      </c>
      <c r="E398">
        <f t="shared" si="973"/>
        <v>510.90000000000003</v>
      </c>
      <c r="F398">
        <f t="shared" si="973"/>
        <v>512.30000000000007</v>
      </c>
      <c r="G398">
        <f t="shared" si="973"/>
        <v>514.9</v>
      </c>
      <c r="H398">
        <f t="shared" si="973"/>
        <v>519.4</v>
      </c>
      <c r="I398">
        <f t="shared" si="973"/>
        <v>522.80000000000007</v>
      </c>
      <c r="J398">
        <f t="shared" si="973"/>
        <v>526.4</v>
      </c>
      <c r="K398">
        <f t="shared" si="973"/>
        <v>527.30000000000007</v>
      </c>
      <c r="L398">
        <f t="shared" si="973"/>
        <v>526.4</v>
      </c>
      <c r="M398">
        <f t="shared" si="973"/>
        <v>519.6</v>
      </c>
      <c r="N398">
        <f t="shared" si="973"/>
        <v>512.80000000000007</v>
      </c>
      <c r="O398">
        <f t="shared" si="973"/>
        <v>508.20000000000005</v>
      </c>
      <c r="P398">
        <f t="shared" si="974"/>
        <v>57.9</v>
      </c>
      <c r="U398">
        <f>U397</f>
        <v>2</v>
      </c>
      <c r="V398">
        <f t="shared" ref="V398:Z398" si="976">V397</f>
        <v>3</v>
      </c>
      <c r="W398">
        <f t="shared" si="976"/>
        <v>1</v>
      </c>
      <c r="X398">
        <f t="shared" si="976"/>
        <v>2</v>
      </c>
      <c r="Y398">
        <f t="shared" si="976"/>
        <v>1</v>
      </c>
      <c r="Z398">
        <f t="shared" si="976"/>
        <v>1</v>
      </c>
      <c r="AA398">
        <f>AA397</f>
        <v>29</v>
      </c>
      <c r="AB398">
        <f t="shared" ref="AB398:AB401" si="977">AB397</f>
        <v>6</v>
      </c>
      <c r="AC398">
        <f t="shared" ref="AC398:AF401" si="978">AC397</f>
        <v>3</v>
      </c>
      <c r="AD398">
        <f t="shared" si="978"/>
        <v>13</v>
      </c>
      <c r="AE398">
        <f t="shared" si="978"/>
        <v>12</v>
      </c>
      <c r="AF398">
        <f t="shared" si="978"/>
        <v>14</v>
      </c>
      <c r="AG398">
        <f t="shared" ref="AG398:AG401" si="979">AG397</f>
        <v>77</v>
      </c>
      <c r="AH398">
        <f t="shared" ref="AH398:AH401" si="980">AH397</f>
        <v>78</v>
      </c>
      <c r="AI398">
        <f t="shared" ref="AI398:AI401" si="981">AI397</f>
        <v>1</v>
      </c>
      <c r="AJ398">
        <f t="shared" ref="AJ398:AJ401" si="982">AJ397</f>
        <v>2</v>
      </c>
      <c r="AK398">
        <f t="shared" ref="AK398:AK401" si="983">AK397</f>
        <v>1</v>
      </c>
      <c r="AL398">
        <f t="shared" ref="AL398:AL401" si="984">AL397</f>
        <v>76</v>
      </c>
    </row>
    <row r="399" spans="1:38" ht="17.149999999999999" x14ac:dyDescent="0.4">
      <c r="B399" t="str">
        <f>B398</f>
        <v>Portland</v>
      </c>
      <c r="C399" s="66" t="s">
        <v>514</v>
      </c>
      <c r="D399" t="str" cm="1">
        <f t="array" ref="D399">INDEX(FX_Calcs,$AA399,$AE399)</f>
        <v>N/A</v>
      </c>
      <c r="E399" t="str" cm="1">
        <f t="array" ref="E399">INDEX(FX_Calcs,$AA399,$AE399)</f>
        <v>N/A</v>
      </c>
      <c r="F399" t="str" cm="1">
        <f t="array" ref="F399">INDEX(FX_Calcs,$AA399,$AE399)</f>
        <v>N/A</v>
      </c>
      <c r="G399" t="str" cm="1">
        <f t="array" ref="G399">INDEX(FX_Calcs,$AA399,$AE399)</f>
        <v>N/A</v>
      </c>
      <c r="H399" t="str" cm="1">
        <f t="array" ref="H399">INDEX(FX_Calcs,$AA399,$AE399)</f>
        <v>N/A</v>
      </c>
      <c r="I399" t="str" cm="1">
        <f t="array" ref="I399">INDEX(FX_Calcs,$AA399,$AE399)</f>
        <v>N/A</v>
      </c>
      <c r="J399" t="str" cm="1">
        <f t="array" ref="J399">INDEX(FX_Calcs,$AA399,$AE399)</f>
        <v>N/A</v>
      </c>
      <c r="K399" t="str" cm="1">
        <f t="array" ref="K399">INDEX(FX_Calcs,$AA399,$AE399)</f>
        <v>N/A</v>
      </c>
      <c r="L399" t="str" cm="1">
        <f t="array" ref="L399">INDEX(FX_Calcs,$AA399,$AE399)</f>
        <v>N/A</v>
      </c>
      <c r="M399" t="str" cm="1">
        <f t="array" ref="M399">INDEX(FX_Calcs,$AA399,$AE399)</f>
        <v>N/A</v>
      </c>
      <c r="N399" t="str" cm="1">
        <f t="array" ref="N399">INDEX(FX_Calcs,$AA399,$AE399)</f>
        <v>N/A</v>
      </c>
      <c r="O399" t="str" cm="1">
        <f t="array" ref="O399">INDEX(FX_Calcs,$AA399,$AE399)</f>
        <v>N/A</v>
      </c>
      <c r="P399" t="str" cm="1">
        <f t="array" ref="P399">INDEX(FX_Calcs,$AA399,$AE399)</f>
        <v>N/A</v>
      </c>
      <c r="AA399">
        <f>AA398</f>
        <v>29</v>
      </c>
      <c r="AB399">
        <f t="shared" si="977"/>
        <v>6</v>
      </c>
      <c r="AC399">
        <f t="shared" si="978"/>
        <v>3</v>
      </c>
      <c r="AD399">
        <f t="shared" si="978"/>
        <v>13</v>
      </c>
      <c r="AE399">
        <f t="shared" si="978"/>
        <v>12</v>
      </c>
      <c r="AF399">
        <f t="shared" si="978"/>
        <v>14</v>
      </c>
      <c r="AG399">
        <f t="shared" si="979"/>
        <v>77</v>
      </c>
      <c r="AH399">
        <f t="shared" si="980"/>
        <v>78</v>
      </c>
      <c r="AI399">
        <f t="shared" si="981"/>
        <v>1</v>
      </c>
      <c r="AJ399">
        <f t="shared" si="982"/>
        <v>2</v>
      </c>
      <c r="AK399">
        <f t="shared" si="983"/>
        <v>1</v>
      </c>
      <c r="AL399">
        <f t="shared" si="984"/>
        <v>76</v>
      </c>
    </row>
    <row r="400" spans="1:38" ht="17.149999999999999" x14ac:dyDescent="0.4">
      <c r="B400" t="str">
        <f t="shared" ref="B400:B401" si="985">B399</f>
        <v>Portland</v>
      </c>
      <c r="C400" s="66" t="s">
        <v>513</v>
      </c>
      <c r="D400" t="str" cm="1">
        <f t="array" ref="D400">INDEX(FX_Calcs,$AA400,$AD400)</f>
        <v>N/A</v>
      </c>
      <c r="E400" t="str" cm="1">
        <f t="array" ref="E400">INDEX(FX_Calcs,$AA400,$AD400)</f>
        <v>N/A</v>
      </c>
      <c r="F400" t="str" cm="1">
        <f t="array" ref="F400">INDEX(FX_Calcs,$AA400,$AD400)</f>
        <v>N/A</v>
      </c>
      <c r="G400" t="str" cm="1">
        <f t="array" ref="G400">INDEX(FX_Calcs,$AA400,$AD400)</f>
        <v>N/A</v>
      </c>
      <c r="H400" t="str" cm="1">
        <f t="array" ref="H400">INDEX(FX_Calcs,$AA400,$AD400)</f>
        <v>N/A</v>
      </c>
      <c r="I400" t="str" cm="1">
        <f t="array" ref="I400">INDEX(FX_Calcs,$AA400,$AD400)</f>
        <v>N/A</v>
      </c>
      <c r="J400" t="str" cm="1">
        <f t="array" ref="J400">INDEX(FX_Calcs,$AA400,$AD400)</f>
        <v>N/A</v>
      </c>
      <c r="K400" t="str" cm="1">
        <f t="array" ref="K400">INDEX(FX_Calcs,$AA400,$AD400)</f>
        <v>N/A</v>
      </c>
      <c r="L400" t="str" cm="1">
        <f t="array" ref="L400">INDEX(FX_Calcs,$AA400,$AD400)</f>
        <v>N/A</v>
      </c>
      <c r="M400" t="str" cm="1">
        <f t="array" ref="M400">INDEX(FX_Calcs,$AA400,$AD400)</f>
        <v>N/A</v>
      </c>
      <c r="N400" t="str" cm="1">
        <f t="array" ref="N400">INDEX(FX_Calcs,$AA400,$AD400)</f>
        <v>N/A</v>
      </c>
      <c r="O400" t="str" cm="1">
        <f t="array" ref="O400">INDEX(FX_Calcs,$AA400,$AD400)</f>
        <v>N/A</v>
      </c>
      <c r="P400" t="str" cm="1">
        <f t="array" ref="P400">INDEX(FX_Calcs,$AA400,$AD400)</f>
        <v>N/A</v>
      </c>
      <c r="AA400">
        <f>AA399</f>
        <v>29</v>
      </c>
      <c r="AB400">
        <f t="shared" si="977"/>
        <v>6</v>
      </c>
      <c r="AC400">
        <f t="shared" si="978"/>
        <v>3</v>
      </c>
      <c r="AD400">
        <f t="shared" si="978"/>
        <v>13</v>
      </c>
      <c r="AE400">
        <f t="shared" si="978"/>
        <v>12</v>
      </c>
      <c r="AF400">
        <f t="shared" si="978"/>
        <v>14</v>
      </c>
      <c r="AG400">
        <f t="shared" si="979"/>
        <v>77</v>
      </c>
      <c r="AH400">
        <f t="shared" si="980"/>
        <v>78</v>
      </c>
      <c r="AI400">
        <f t="shared" si="981"/>
        <v>1</v>
      </c>
      <c r="AJ400">
        <f t="shared" si="982"/>
        <v>2</v>
      </c>
      <c r="AK400">
        <f t="shared" si="983"/>
        <v>1</v>
      </c>
      <c r="AL400">
        <f t="shared" si="984"/>
        <v>76</v>
      </c>
    </row>
    <row r="401" spans="1:38" x14ac:dyDescent="0.4">
      <c r="B401" t="str">
        <f t="shared" si="985"/>
        <v>Portland</v>
      </c>
      <c r="C401" s="66" t="s">
        <v>558</v>
      </c>
      <c r="D401" t="str" cm="1">
        <f t="array" ref="D401">INDEX(FX_Calcs,$AA401,$AF401)</f>
        <v>Insulated</v>
      </c>
      <c r="E401" t="str" cm="1">
        <f t="array" ref="E401">INDEX(FX_Calcs,$AA401,$AF401)</f>
        <v>Insulated</v>
      </c>
      <c r="F401" t="str" cm="1">
        <f t="array" ref="F401">INDEX(FX_Calcs,$AA401,$AF401)</f>
        <v>Insulated</v>
      </c>
      <c r="G401" t="str" cm="1">
        <f t="array" ref="G401">INDEX(FX_Calcs,$AA401,$AF401)</f>
        <v>Insulated</v>
      </c>
      <c r="H401" t="str" cm="1">
        <f t="array" ref="H401">INDEX(FX_Calcs,$AA401,$AF401)</f>
        <v>Insulated</v>
      </c>
      <c r="I401" t="str" cm="1">
        <f t="array" ref="I401">INDEX(FX_Calcs,$AA401,$AF401)</f>
        <v>Insulated</v>
      </c>
      <c r="J401" t="str" cm="1">
        <f t="array" ref="J401">INDEX(FX_Calcs,$AA401,$AF401)</f>
        <v>Insulated</v>
      </c>
      <c r="K401" t="str" cm="1">
        <f t="array" ref="K401">INDEX(FX_Calcs,$AA401,$AF401)</f>
        <v>Insulated</v>
      </c>
      <c r="L401" t="str" cm="1">
        <f t="array" ref="L401">INDEX(FX_Calcs,$AA401,$AF401)</f>
        <v>Insulated</v>
      </c>
      <c r="M401" t="str" cm="1">
        <f t="array" ref="M401">INDEX(FX_Calcs,$AA401,$AF401)</f>
        <v>Insulated</v>
      </c>
      <c r="N401" t="str" cm="1">
        <f t="array" ref="N401">INDEX(FX_Calcs,$AA401,$AF401)</f>
        <v>Insulated</v>
      </c>
      <c r="O401" t="str" cm="1">
        <f t="array" ref="O401">INDEX(FX_Calcs,$AA401,$AF401)</f>
        <v>Insulated</v>
      </c>
      <c r="P401" t="str" cm="1">
        <f t="array" ref="P401">INDEX(FX_Calcs,$AA401,$AF401)</f>
        <v>Insulated</v>
      </c>
      <c r="AA401">
        <f>AA400</f>
        <v>29</v>
      </c>
      <c r="AB401">
        <f t="shared" si="977"/>
        <v>6</v>
      </c>
      <c r="AC401">
        <f t="shared" si="978"/>
        <v>3</v>
      </c>
      <c r="AD401">
        <f t="shared" si="978"/>
        <v>13</v>
      </c>
      <c r="AE401">
        <f t="shared" si="978"/>
        <v>12</v>
      </c>
      <c r="AF401">
        <f t="shared" si="978"/>
        <v>14</v>
      </c>
      <c r="AG401">
        <f t="shared" si="979"/>
        <v>77</v>
      </c>
      <c r="AH401">
        <f t="shared" si="980"/>
        <v>78</v>
      </c>
      <c r="AI401">
        <f t="shared" si="981"/>
        <v>1</v>
      </c>
      <c r="AJ401">
        <f t="shared" si="982"/>
        <v>2</v>
      </c>
      <c r="AK401">
        <f t="shared" si="983"/>
        <v>1</v>
      </c>
      <c r="AL401">
        <f t="shared" si="984"/>
        <v>76</v>
      </c>
    </row>
    <row r="402" spans="1:38" ht="17.149999999999999" x14ac:dyDescent="0.55000000000000004">
      <c r="B402" t="str">
        <f>B398</f>
        <v>Portland</v>
      </c>
      <c r="C402" t="s">
        <v>512</v>
      </c>
      <c r="D402">
        <f t="shared" ref="D402:P402" si="986">D398-D397</f>
        <v>10.400000000000034</v>
      </c>
      <c r="E402">
        <f t="shared" si="986"/>
        <v>13.199999999999989</v>
      </c>
      <c r="F402">
        <f t="shared" si="986"/>
        <v>13.200000000000045</v>
      </c>
      <c r="G402">
        <f t="shared" si="986"/>
        <v>13.399999999999977</v>
      </c>
      <c r="H402">
        <f t="shared" si="986"/>
        <v>13.299999999999955</v>
      </c>
      <c r="I402">
        <f t="shared" si="986"/>
        <v>12.500000000000057</v>
      </c>
      <c r="J402">
        <f t="shared" si="986"/>
        <v>12.699999999999932</v>
      </c>
      <c r="K402">
        <f t="shared" si="986"/>
        <v>13.600000000000023</v>
      </c>
      <c r="L402">
        <f t="shared" si="986"/>
        <v>16.399999999999977</v>
      </c>
      <c r="M402">
        <f t="shared" si="986"/>
        <v>14.699999999999989</v>
      </c>
      <c r="N402">
        <f t="shared" si="986"/>
        <v>12.200000000000045</v>
      </c>
      <c r="O402">
        <f t="shared" si="986"/>
        <v>10</v>
      </c>
      <c r="P402">
        <f t="shared" si="986"/>
        <v>13</v>
      </c>
    </row>
    <row r="403" spans="1:38" x14ac:dyDescent="0.4">
      <c r="B403" t="str">
        <f t="shared" ref="B403:B410" si="987">B402</f>
        <v>Portland</v>
      </c>
      <c r="C403" t="s">
        <v>260</v>
      </c>
      <c r="D403">
        <f t="shared" ref="D403:P403" si="988">VLOOKUP(VLOOKUP($B403,Terminal_X_Ref,2,FALSE)&amp;$C403,Weather_Data,$Y403*D$3+$Z403,FALSE)</f>
        <v>343</v>
      </c>
      <c r="E403">
        <f t="shared" si="988"/>
        <v>600</v>
      </c>
      <c r="F403">
        <f t="shared" si="988"/>
        <v>877</v>
      </c>
      <c r="G403">
        <f t="shared" si="988"/>
        <v>1252</v>
      </c>
      <c r="H403">
        <f t="shared" si="988"/>
        <v>1537</v>
      </c>
      <c r="I403">
        <f t="shared" si="988"/>
        <v>1627</v>
      </c>
      <c r="J403">
        <f t="shared" si="988"/>
        <v>1708</v>
      </c>
      <c r="K403">
        <f t="shared" si="988"/>
        <v>1492</v>
      </c>
      <c r="L403">
        <f t="shared" si="988"/>
        <v>1196</v>
      </c>
      <c r="M403">
        <f t="shared" si="988"/>
        <v>728</v>
      </c>
      <c r="N403">
        <f t="shared" si="988"/>
        <v>391</v>
      </c>
      <c r="O403">
        <f t="shared" si="988"/>
        <v>302</v>
      </c>
      <c r="P403">
        <f t="shared" si="988"/>
        <v>1005</v>
      </c>
      <c r="U403">
        <f>U398</f>
        <v>2</v>
      </c>
      <c r="V403">
        <f t="shared" ref="V403:Z403" si="989">V398</f>
        <v>3</v>
      </c>
      <c r="W403">
        <f t="shared" si="989"/>
        <v>1</v>
      </c>
      <c r="X403">
        <f t="shared" si="989"/>
        <v>2</v>
      </c>
      <c r="Y403">
        <f t="shared" si="989"/>
        <v>1</v>
      </c>
      <c r="Z403">
        <f t="shared" si="989"/>
        <v>1</v>
      </c>
    </row>
    <row r="404" spans="1:38" ht="17.149999999999999" x14ac:dyDescent="0.55000000000000004">
      <c r="B404" t="str">
        <f t="shared" si="987"/>
        <v>Portland</v>
      </c>
      <c r="C404" t="s">
        <v>523</v>
      </c>
      <c r="D404">
        <f>IF(ISNUMBER(D401),0.7*D402+0.02*D401*D403,IF(D401="Partially Insulated",0.6*D402+0.02*D400*D403,0))</f>
        <v>0</v>
      </c>
      <c r="E404">
        <f t="shared" ref="E404:P404" si="990">IF(ISNUMBER(E401),0.7*E402+0.02*E401*E403,IF(E401="Partially Insulated",0.6*E402+0.02*E400*E403,0))</f>
        <v>0</v>
      </c>
      <c r="F404">
        <f t="shared" si="990"/>
        <v>0</v>
      </c>
      <c r="G404">
        <f t="shared" si="990"/>
        <v>0</v>
      </c>
      <c r="H404">
        <f t="shared" si="990"/>
        <v>0</v>
      </c>
      <c r="I404">
        <f t="shared" si="990"/>
        <v>0</v>
      </c>
      <c r="J404">
        <f t="shared" si="990"/>
        <v>0</v>
      </c>
      <c r="K404">
        <f t="shared" si="990"/>
        <v>0</v>
      </c>
      <c r="L404">
        <f t="shared" si="990"/>
        <v>0</v>
      </c>
      <c r="M404">
        <f t="shared" si="990"/>
        <v>0</v>
      </c>
      <c r="N404">
        <f t="shared" si="990"/>
        <v>0</v>
      </c>
      <c r="O404">
        <f t="shared" si="990"/>
        <v>0</v>
      </c>
      <c r="P404">
        <f t="shared" si="990"/>
        <v>0</v>
      </c>
    </row>
    <row r="405" spans="1:38" ht="17.149999999999999" x14ac:dyDescent="0.55000000000000004">
      <c r="B405" t="str">
        <f t="shared" si="987"/>
        <v>Portland</v>
      </c>
      <c r="C405" t="s">
        <v>524</v>
      </c>
      <c r="D405">
        <f t="shared" ref="D405:F405" si="991">AVERAGE(D397:D398)</f>
        <v>503.5</v>
      </c>
      <c r="E405">
        <f t="shared" si="991"/>
        <v>504.30000000000007</v>
      </c>
      <c r="F405">
        <f t="shared" si="991"/>
        <v>505.70000000000005</v>
      </c>
      <c r="G405">
        <f>AVERAGE(G397:G398)</f>
        <v>508.2</v>
      </c>
      <c r="H405">
        <f t="shared" ref="H405:P405" si="992">AVERAGE(H397:H398)</f>
        <v>512.75</v>
      </c>
      <c r="I405">
        <f t="shared" si="992"/>
        <v>516.55000000000007</v>
      </c>
      <c r="J405">
        <f t="shared" si="992"/>
        <v>520.04999999999995</v>
      </c>
      <c r="K405">
        <f t="shared" si="992"/>
        <v>520.5</v>
      </c>
      <c r="L405">
        <f t="shared" si="992"/>
        <v>518.20000000000005</v>
      </c>
      <c r="M405">
        <f t="shared" si="992"/>
        <v>512.25</v>
      </c>
      <c r="N405">
        <f t="shared" si="992"/>
        <v>506.70000000000005</v>
      </c>
      <c r="O405">
        <f t="shared" si="992"/>
        <v>503.20000000000005</v>
      </c>
      <c r="P405">
        <f t="shared" si="992"/>
        <v>51.4</v>
      </c>
    </row>
    <row r="406" spans="1:38" ht="17.149999999999999" x14ac:dyDescent="0.55000000000000004">
      <c r="B406" t="str">
        <f t="shared" si="987"/>
        <v>Portland</v>
      </c>
      <c r="C406" t="s">
        <v>525</v>
      </c>
      <c r="D406" cm="1">
        <f t="array" ref="D406">IFERROR(IF(ISBLANK(INDEX(FX_Input,$R397,D$3*$AK397+$AL397)),D405+0.003*D399*D403,INDEX(FX_Input,$R397,D$3*$AK397+$AL397)+459.6),D405)</f>
        <v>503.5</v>
      </c>
      <c r="E406" cm="1">
        <f t="array" ref="E406">IFERROR(IF(ISBLANK(INDEX(FX_Input,$R397,E$3*$AK397+$AL397)),E405+0.003*E399*E403,INDEX(FX_Input,$R397,E$3*$AK397+$AL397)+459.6),E405)</f>
        <v>504.30000000000007</v>
      </c>
      <c r="F406" cm="1">
        <f t="array" ref="F406">IFERROR(IF(ISBLANK(INDEX(FX_Input,$R397,F$3*$AK397+$AL397)),F405+0.003*F399*F403,INDEX(FX_Input,$R397,F$3*$AK397+$AL397)+459.6),F405)</f>
        <v>505.70000000000005</v>
      </c>
      <c r="G406" cm="1">
        <f t="array" ref="G406">IFERROR(IF(ISBLANK(INDEX(FX_Input,$R397,G$3*$AK397+$AL397)),G405+0.003*G399*G403,INDEX(FX_Input,$R397,G$3*$AK397+$AL397)+459.6),G405)</f>
        <v>508.2</v>
      </c>
      <c r="H406" cm="1">
        <f t="array" ref="H406">IFERROR(IF(ISBLANK(INDEX(FX_Input,$R397,H$3*$AK397+$AL397)),H405+0.003*H399*H403,INDEX(FX_Input,$R397,H$3*$AK397+$AL397)+459.6),H405)</f>
        <v>512.75</v>
      </c>
      <c r="I406" cm="1">
        <f t="array" ref="I406">IFERROR(IF(ISBLANK(INDEX(FX_Input,$R397,I$3*$AK397+$AL397)),I405+0.003*I399*I403,INDEX(FX_Input,$R397,I$3*$AK397+$AL397)+459.6),I405)</f>
        <v>516.55000000000007</v>
      </c>
      <c r="J406" cm="1">
        <f t="array" ref="J406">IFERROR(IF(ISBLANK(INDEX(FX_Input,$R397,J$3*$AK397+$AL397)),J405+0.003*J399*J403,INDEX(FX_Input,$R397,J$3*$AK397+$AL397)+459.6),J405)</f>
        <v>520.04999999999995</v>
      </c>
      <c r="K406" cm="1">
        <f t="array" ref="K406">IFERROR(IF(ISBLANK(INDEX(FX_Input,$R397,K$3*$AK397+$AL397)),K405+0.003*K399*K403,INDEX(FX_Input,$R397,K$3*$AK397+$AL397)+459.6),K405)</f>
        <v>520.5</v>
      </c>
      <c r="L406" cm="1">
        <f t="array" ref="L406">IFERROR(IF(ISBLANK(INDEX(FX_Input,$R397,L$3*$AK397+$AL397)),L405+0.003*L399*L403,INDEX(FX_Input,$R397,L$3*$AK397+$AL397)+459.6),L405)</f>
        <v>518.20000000000005</v>
      </c>
      <c r="M406" cm="1">
        <f t="array" ref="M406">IFERROR(IF(ISBLANK(INDEX(FX_Input,$R397,M$3*$AK397+$AL397)),M405+0.003*M399*M403,INDEX(FX_Input,$R397,M$3*$AK397+$AL397)+459.6),M405)</f>
        <v>512.25</v>
      </c>
      <c r="N406" cm="1">
        <f t="array" ref="N406">IFERROR(IF(ISBLANK(INDEX(FX_Input,$R397,N$3*$AK397+$AL397)),N405+0.003*N399*N403,INDEX(FX_Input,$R397,N$3*$AK397+$AL397)+459.6),N405)</f>
        <v>506.70000000000005</v>
      </c>
      <c r="O406" cm="1">
        <f t="array" ref="O406">IFERROR(IF(ISBLANK(INDEX(FX_Input,$R397,O$3*$AK397+$AL397)),O405+0.003*O399*O403,INDEX(FX_Input,$R397,O$3*$AK397+$AL397)+459.6),O405)</f>
        <v>503.20000000000005</v>
      </c>
      <c r="P406" cm="1">
        <f t="array" ref="P406">IFERROR(IF(ISBLANK(INDEX(FX_Input,$R397,P$3*$AK397+$AL397)),P405+0.003*P399*P403,INDEX(FX_Input,$R397,P$3*$AK397+$AL397)+459.6),P405)</f>
        <v>459.6</v>
      </c>
    </row>
    <row r="407" spans="1:38" ht="17.149999999999999" x14ac:dyDescent="0.55000000000000004">
      <c r="B407" t="str">
        <f t="shared" si="987"/>
        <v>Portland</v>
      </c>
      <c r="C407" t="s">
        <v>526</v>
      </c>
      <c r="D407">
        <f>IF(ISNUMBER(D401),0.4*D397+0.6*D406+0.005*D401*D403,IF(D401="Partially Insulated",0.3*D405+0.7*D406+0.005*D400*D403,D406))-459.6</f>
        <v>43.899999999999977</v>
      </c>
      <c r="E407">
        <f t="shared" ref="E407" si="993">IF(ISNUMBER(E401),0.4*E397+0.6*E406+0.005*E401*E403,IF(E401="Partially Insulated",0.3*E405+0.7*E406+0.005*E400*E403,E406))-459.6</f>
        <v>44.700000000000045</v>
      </c>
      <c r="F407">
        <f t="shared" ref="F407" si="994">IF(ISNUMBER(F401),0.4*F397+0.6*F406+0.005*F401*F403,IF(F401="Partially Insulated",0.3*F405+0.7*F406+0.005*F400*F403,F406))-459.6</f>
        <v>46.100000000000023</v>
      </c>
      <c r="G407">
        <f t="shared" ref="G407" si="995">IF(ISNUMBER(G401),0.4*G397+0.6*G406+0.005*G401*G403,IF(G401="Partially Insulated",0.3*G405+0.7*G406+0.005*G400*G403,G406))-459.6</f>
        <v>48.599999999999966</v>
      </c>
      <c r="H407">
        <f t="shared" ref="H407" si="996">IF(ISNUMBER(H401),0.4*H397+0.6*H406+0.005*H401*H403,IF(H401="Partially Insulated",0.3*H405+0.7*H406+0.005*H400*H403,H406))-459.6</f>
        <v>53.149999999999977</v>
      </c>
      <c r="I407">
        <f t="shared" ref="I407" si="997">IF(ISNUMBER(I401),0.4*I397+0.6*I406+0.005*I401*I403,IF(I401="Partially Insulated",0.3*I405+0.7*I406+0.005*I400*I403,I406))-459.6</f>
        <v>56.950000000000045</v>
      </c>
      <c r="J407">
        <f t="shared" ref="J407" si="998">IF(ISNUMBER(J401),0.4*J397+0.6*J406+0.005*J401*J403,IF(J401="Partially Insulated",0.3*J405+0.7*J406+0.005*J400*J403,J406))-459.6</f>
        <v>60.449999999999932</v>
      </c>
      <c r="K407">
        <f t="shared" ref="K407" si="999">IF(ISNUMBER(K401),0.4*K397+0.6*K406+0.005*K401*K403,IF(K401="Partially Insulated",0.3*K405+0.7*K406+0.005*K400*K403,K406))-459.6</f>
        <v>60.899999999999977</v>
      </c>
      <c r="L407">
        <f t="shared" ref="L407" si="1000">IF(ISNUMBER(L401),0.4*L397+0.6*L406+0.005*L401*L403,IF(L401="Partially Insulated",0.3*L405+0.7*L406+0.005*L400*L403,L406))-459.6</f>
        <v>58.600000000000023</v>
      </c>
      <c r="M407">
        <f t="shared" ref="M407" si="1001">IF(ISNUMBER(M401),0.4*M397+0.6*M406+0.005*M401*M403,IF(M401="Partially Insulated",0.3*M405+0.7*M406+0.005*M400*M403,M406))-459.6</f>
        <v>52.649999999999977</v>
      </c>
      <c r="N407">
        <f t="shared" ref="N407" si="1002">IF(ISNUMBER(N401),0.4*N397+0.6*N406+0.005*N401*N403,IF(N401="Partially Insulated",0.3*N405+0.7*N406+0.005*N400*N403,N406))-459.6</f>
        <v>47.100000000000023</v>
      </c>
      <c r="O407">
        <f t="shared" ref="O407" si="1003">IF(ISNUMBER(O401),0.4*O397+0.6*O406+0.005*O401*O403,IF(O401="Partially Insulated",0.3*O405+0.7*O406+0.005*O400*O403,O406))-459.6</f>
        <v>43.600000000000023</v>
      </c>
      <c r="P407">
        <f>AVERAGE(D407:O407)</f>
        <v>51.391666666666673</v>
      </c>
    </row>
    <row r="408" spans="1:38" ht="17.149999999999999" x14ac:dyDescent="0.55000000000000004">
      <c r="B408" t="str">
        <f t="shared" si="987"/>
        <v>Portland</v>
      </c>
      <c r="C408" t="s">
        <v>527</v>
      </c>
      <c r="D408">
        <f>IF(ISNUMBER(D401),0.4*D398+0.6*D406+0.005*D401*D403,IF(D401="Partially Insulated",0.3*D405+0.7*D406+0.005*D400*D403,D406))-459.6</f>
        <v>43.899999999999977</v>
      </c>
      <c r="E408">
        <f t="shared" ref="E408:O408" si="1004">IF(ISNUMBER(E401),0.4*E398+0.6*E406+0.005*E401*E403,IF(E401="Partially Insulated",0.3*E405+0.7*E406+0.005*E400*E403,E406))-459.6</f>
        <v>44.700000000000045</v>
      </c>
      <c r="F408">
        <f t="shared" si="1004"/>
        <v>46.100000000000023</v>
      </c>
      <c r="G408">
        <f t="shared" si="1004"/>
        <v>48.599999999999966</v>
      </c>
      <c r="H408">
        <f t="shared" si="1004"/>
        <v>53.149999999999977</v>
      </c>
      <c r="I408">
        <f t="shared" si="1004"/>
        <v>56.950000000000045</v>
      </c>
      <c r="J408">
        <f t="shared" si="1004"/>
        <v>60.449999999999932</v>
      </c>
      <c r="K408">
        <f t="shared" si="1004"/>
        <v>60.899999999999977</v>
      </c>
      <c r="L408">
        <f t="shared" si="1004"/>
        <v>58.600000000000023</v>
      </c>
      <c r="M408">
        <f t="shared" si="1004"/>
        <v>52.649999999999977</v>
      </c>
      <c r="N408">
        <f t="shared" si="1004"/>
        <v>47.100000000000023</v>
      </c>
      <c r="O408">
        <f t="shared" si="1004"/>
        <v>43.600000000000023</v>
      </c>
      <c r="P408">
        <f>AVERAGE(D408:O408)</f>
        <v>51.391666666666673</v>
      </c>
    </row>
    <row r="409" spans="1:38" ht="17.149999999999999" x14ac:dyDescent="0.55000000000000004">
      <c r="B409" t="str">
        <f t="shared" si="987"/>
        <v>Portland</v>
      </c>
      <c r="C409" t="s">
        <v>552</v>
      </c>
      <c r="D409">
        <f>IF(ISNUMBER(D401),0.4*D405+0.6*D406+0.005*D401*D403,IF(D401="Partially Insulated",0.3*D405+0.7*D406+0.005*D400*D403,D406))-459.6</f>
        <v>43.899999999999977</v>
      </c>
      <c r="E409">
        <f t="shared" ref="E409:O409" si="1005">IF(ISNUMBER(E401),0.4*E405+0.6*E406+0.005*E401*E403,IF(E401="Partially Insulated",0.3*E405+0.7*E406+0.005*E400*E403,E406))-459.6</f>
        <v>44.700000000000045</v>
      </c>
      <c r="F409">
        <f t="shared" si="1005"/>
        <v>46.100000000000023</v>
      </c>
      <c r="G409">
        <f t="shared" si="1005"/>
        <v>48.599999999999966</v>
      </c>
      <c r="H409">
        <f t="shared" si="1005"/>
        <v>53.149999999999977</v>
      </c>
      <c r="I409">
        <f t="shared" si="1005"/>
        <v>56.950000000000045</v>
      </c>
      <c r="J409">
        <f t="shared" si="1005"/>
        <v>60.449999999999932</v>
      </c>
      <c r="K409">
        <f t="shared" si="1005"/>
        <v>60.899999999999977</v>
      </c>
      <c r="L409">
        <f t="shared" si="1005"/>
        <v>58.600000000000023</v>
      </c>
      <c r="M409">
        <f t="shared" si="1005"/>
        <v>52.649999999999977</v>
      </c>
      <c r="N409">
        <f t="shared" si="1005"/>
        <v>47.100000000000023</v>
      </c>
      <c r="O409">
        <f t="shared" si="1005"/>
        <v>43.600000000000023</v>
      </c>
      <c r="P409">
        <f>AVERAGE(D409:O409)</f>
        <v>51.391666666666673</v>
      </c>
    </row>
    <row r="410" spans="1:38" ht="17.149999999999999" x14ac:dyDescent="0.55000000000000004">
      <c r="A410" s="11"/>
      <c r="B410" s="11" t="str">
        <f t="shared" si="987"/>
        <v>Portland</v>
      </c>
      <c r="C410" s="11" t="s">
        <v>553</v>
      </c>
      <c r="D410" s="11">
        <f>IF(ISNUMBER(D401),0.7*D405+0.3*D406+0.009*D401*D403,IF(D401="Partially Insulated",0.6*D405+0.4*D406+0.01*D400*D403,D406))-459.6</f>
        <v>43.899999999999977</v>
      </c>
      <c r="E410" s="11">
        <f t="shared" ref="E410:O410" si="1006">IF(ISNUMBER(E401),0.7*E405+0.3*E406+0.009*E401*E403,IF(E401="Partially Insulated",0.6*E405+0.4*E406+0.01*E400*E403,E406))-459.6</f>
        <v>44.700000000000045</v>
      </c>
      <c r="F410" s="11">
        <f t="shared" si="1006"/>
        <v>46.100000000000023</v>
      </c>
      <c r="G410" s="11">
        <f t="shared" si="1006"/>
        <v>48.599999999999966</v>
      </c>
      <c r="H410" s="11">
        <f t="shared" si="1006"/>
        <v>53.149999999999977</v>
      </c>
      <c r="I410" s="11">
        <f t="shared" si="1006"/>
        <v>56.950000000000045</v>
      </c>
      <c r="J410" s="11">
        <f t="shared" si="1006"/>
        <v>60.449999999999932</v>
      </c>
      <c r="K410" s="11">
        <f t="shared" si="1006"/>
        <v>60.899999999999977</v>
      </c>
      <c r="L410" s="11">
        <f t="shared" si="1006"/>
        <v>58.600000000000023</v>
      </c>
      <c r="M410" s="11">
        <f t="shared" si="1006"/>
        <v>52.649999999999977</v>
      </c>
      <c r="N410" s="11">
        <f t="shared" si="1006"/>
        <v>47.100000000000023</v>
      </c>
      <c r="O410" s="11">
        <f t="shared" si="1006"/>
        <v>43.600000000000023</v>
      </c>
      <c r="P410" s="11">
        <f>AVERAGE(D410:O410)</f>
        <v>51.391666666666673</v>
      </c>
      <c r="Q410" s="11"/>
      <c r="R410" s="11"/>
      <c r="S410" s="11"/>
      <c r="T410" s="11"/>
      <c r="U410" s="11"/>
      <c r="V410" s="11"/>
      <c r="W410" s="11"/>
      <c r="X410" s="11"/>
      <c r="Y410" s="11"/>
      <c r="Z410" s="11"/>
      <c r="AA410" s="11"/>
      <c r="AB410" s="11"/>
      <c r="AC410" s="11"/>
      <c r="AD410" s="11"/>
      <c r="AE410" s="11"/>
      <c r="AF410" s="11"/>
      <c r="AG410" s="11"/>
      <c r="AH410" s="11"/>
      <c r="AI410" s="11"/>
      <c r="AJ410" s="11"/>
      <c r="AK410" s="11"/>
      <c r="AL410" s="11"/>
    </row>
    <row r="411" spans="1:38" ht="17.149999999999999" x14ac:dyDescent="0.55000000000000004">
      <c r="A411" t="str" cm="1">
        <f t="array" ref="A411">INDEX(FX_Input,$R411,S$5)</f>
        <v>FX - 30</v>
      </c>
      <c r="B411" t="str" cm="1">
        <f t="array" ref="B411">INDEX(FX_Input,R411,T411)</f>
        <v>Portland</v>
      </c>
      <c r="C411" t="s">
        <v>510</v>
      </c>
      <c r="D411">
        <f t="shared" ref="D411:O412" si="1007">VLOOKUP(VLOOKUP($B411,Terminal_X_Ref,2,FALSE)&amp;$C411,Weather_Data,$Y411*D$3+$Z411,FALSE)+459.6</f>
        <v>498.3</v>
      </c>
      <c r="E411">
        <f t="shared" si="1007"/>
        <v>497.70000000000005</v>
      </c>
      <c r="F411">
        <f t="shared" si="1007"/>
        <v>499.1</v>
      </c>
      <c r="G411">
        <f t="shared" si="1007"/>
        <v>501.5</v>
      </c>
      <c r="H411">
        <f t="shared" si="1007"/>
        <v>506.1</v>
      </c>
      <c r="I411">
        <f t="shared" si="1007"/>
        <v>510.3</v>
      </c>
      <c r="J411">
        <f t="shared" si="1007"/>
        <v>513.70000000000005</v>
      </c>
      <c r="K411">
        <f t="shared" si="1007"/>
        <v>513.70000000000005</v>
      </c>
      <c r="L411">
        <f t="shared" si="1007"/>
        <v>510</v>
      </c>
      <c r="M411">
        <f t="shared" si="1007"/>
        <v>504.90000000000003</v>
      </c>
      <c r="N411">
        <f t="shared" si="1007"/>
        <v>500.6</v>
      </c>
      <c r="O411">
        <f t="shared" si="1007"/>
        <v>498.20000000000005</v>
      </c>
      <c r="P411">
        <f t="shared" ref="P411:P412" si="1008">VLOOKUP(VLOOKUP($B411,Terminal_X_Ref,2,FALSE)&amp;$C411,Weather_Data,$Y411*P$3+$Z411,FALSE)</f>
        <v>44.9</v>
      </c>
      <c r="R411">
        <f>R397+2</f>
        <v>59</v>
      </c>
      <c r="S411">
        <f>S397+1</f>
        <v>30</v>
      </c>
      <c r="T411">
        <v>3</v>
      </c>
      <c r="U411">
        <v>2</v>
      </c>
      <c r="V411">
        <v>3</v>
      </c>
      <c r="W411">
        <v>1</v>
      </c>
      <c r="X411">
        <v>2</v>
      </c>
      <c r="Y411">
        <f>(V411-U411)/(X411-W411)</f>
        <v>1</v>
      </c>
      <c r="Z411">
        <f>U411-Y411*W411</f>
        <v>1</v>
      </c>
      <c r="AA411">
        <f>AA397+1</f>
        <v>30</v>
      </c>
      <c r="AB411">
        <v>6</v>
      </c>
      <c r="AC411">
        <v>3</v>
      </c>
      <c r="AD411">
        <v>13</v>
      </c>
      <c r="AE411">
        <v>12</v>
      </c>
      <c r="AF411">
        <v>14</v>
      </c>
      <c r="AG411">
        <v>77</v>
      </c>
      <c r="AH411">
        <v>78</v>
      </c>
      <c r="AI411">
        <v>1</v>
      </c>
      <c r="AJ411">
        <v>2</v>
      </c>
      <c r="AK411">
        <f>(AH411-AG411)/(AJ411-AI411)</f>
        <v>1</v>
      </c>
      <c r="AL411">
        <f>AG411-AK411*AI411</f>
        <v>76</v>
      </c>
    </row>
    <row r="412" spans="1:38" ht="17.149999999999999" x14ac:dyDescent="0.55000000000000004">
      <c r="B412" t="str">
        <f t="shared" ref="B412" si="1009">B411</f>
        <v>Portland</v>
      </c>
      <c r="C412" t="s">
        <v>511</v>
      </c>
      <c r="D412">
        <f t="shared" si="1007"/>
        <v>508.70000000000005</v>
      </c>
      <c r="E412">
        <f t="shared" si="1007"/>
        <v>510.90000000000003</v>
      </c>
      <c r="F412">
        <f t="shared" si="1007"/>
        <v>512.30000000000007</v>
      </c>
      <c r="G412">
        <f t="shared" si="1007"/>
        <v>514.9</v>
      </c>
      <c r="H412">
        <f t="shared" si="1007"/>
        <v>519.4</v>
      </c>
      <c r="I412">
        <f t="shared" si="1007"/>
        <v>522.80000000000007</v>
      </c>
      <c r="J412">
        <f t="shared" si="1007"/>
        <v>526.4</v>
      </c>
      <c r="K412">
        <f t="shared" si="1007"/>
        <v>527.30000000000007</v>
      </c>
      <c r="L412">
        <f t="shared" si="1007"/>
        <v>526.4</v>
      </c>
      <c r="M412">
        <f t="shared" si="1007"/>
        <v>519.6</v>
      </c>
      <c r="N412">
        <f t="shared" si="1007"/>
        <v>512.80000000000007</v>
      </c>
      <c r="O412">
        <f t="shared" si="1007"/>
        <v>508.20000000000005</v>
      </c>
      <c r="P412">
        <f t="shared" si="1008"/>
        <v>57.9</v>
      </c>
      <c r="U412">
        <f>U411</f>
        <v>2</v>
      </c>
      <c r="V412">
        <f t="shared" ref="V412:Z412" si="1010">V411</f>
        <v>3</v>
      </c>
      <c r="W412">
        <f t="shared" si="1010"/>
        <v>1</v>
      </c>
      <c r="X412">
        <f t="shared" si="1010"/>
        <v>2</v>
      </c>
      <c r="Y412">
        <f t="shared" si="1010"/>
        <v>1</v>
      </c>
      <c r="Z412">
        <f t="shared" si="1010"/>
        <v>1</v>
      </c>
      <c r="AA412">
        <f>AA411</f>
        <v>30</v>
      </c>
      <c r="AB412">
        <f t="shared" ref="AB412:AB415" si="1011">AB411</f>
        <v>6</v>
      </c>
      <c r="AC412">
        <f t="shared" ref="AC412:AF415" si="1012">AC411</f>
        <v>3</v>
      </c>
      <c r="AD412">
        <f t="shared" si="1012"/>
        <v>13</v>
      </c>
      <c r="AE412">
        <f t="shared" si="1012"/>
        <v>12</v>
      </c>
      <c r="AF412">
        <f t="shared" si="1012"/>
        <v>14</v>
      </c>
      <c r="AG412">
        <f t="shared" ref="AG412:AG415" si="1013">AG411</f>
        <v>77</v>
      </c>
      <c r="AH412">
        <f t="shared" ref="AH412:AH415" si="1014">AH411</f>
        <v>78</v>
      </c>
      <c r="AI412">
        <f t="shared" ref="AI412:AI415" si="1015">AI411</f>
        <v>1</v>
      </c>
      <c r="AJ412">
        <f t="shared" ref="AJ412:AJ415" si="1016">AJ411</f>
        <v>2</v>
      </c>
      <c r="AK412">
        <f t="shared" ref="AK412:AK415" si="1017">AK411</f>
        <v>1</v>
      </c>
      <c r="AL412">
        <f t="shared" ref="AL412:AL415" si="1018">AL411</f>
        <v>76</v>
      </c>
    </row>
    <row r="413" spans="1:38" ht="17.149999999999999" x14ac:dyDescent="0.4">
      <c r="B413" t="str">
        <f>B412</f>
        <v>Portland</v>
      </c>
      <c r="C413" s="66" t="s">
        <v>514</v>
      </c>
      <c r="D413" t="str" cm="1">
        <f t="array" ref="D413">INDEX(FX_Calcs,$AA413,$AE413)</f>
        <v>N/A</v>
      </c>
      <c r="E413" t="str" cm="1">
        <f t="array" ref="E413">INDEX(FX_Calcs,$AA413,$AE413)</f>
        <v>N/A</v>
      </c>
      <c r="F413" t="str" cm="1">
        <f t="array" ref="F413">INDEX(FX_Calcs,$AA413,$AE413)</f>
        <v>N/A</v>
      </c>
      <c r="G413" t="str" cm="1">
        <f t="array" ref="G413">INDEX(FX_Calcs,$AA413,$AE413)</f>
        <v>N/A</v>
      </c>
      <c r="H413" t="str" cm="1">
        <f t="array" ref="H413">INDEX(FX_Calcs,$AA413,$AE413)</f>
        <v>N/A</v>
      </c>
      <c r="I413" t="str" cm="1">
        <f t="array" ref="I413">INDEX(FX_Calcs,$AA413,$AE413)</f>
        <v>N/A</v>
      </c>
      <c r="J413" t="str" cm="1">
        <f t="array" ref="J413">INDEX(FX_Calcs,$AA413,$AE413)</f>
        <v>N/A</v>
      </c>
      <c r="K413" t="str" cm="1">
        <f t="array" ref="K413">INDEX(FX_Calcs,$AA413,$AE413)</f>
        <v>N/A</v>
      </c>
      <c r="L413" t="str" cm="1">
        <f t="array" ref="L413">INDEX(FX_Calcs,$AA413,$AE413)</f>
        <v>N/A</v>
      </c>
      <c r="M413" t="str" cm="1">
        <f t="array" ref="M413">INDEX(FX_Calcs,$AA413,$AE413)</f>
        <v>N/A</v>
      </c>
      <c r="N413" t="str" cm="1">
        <f t="array" ref="N413">INDEX(FX_Calcs,$AA413,$AE413)</f>
        <v>N/A</v>
      </c>
      <c r="O413" t="str" cm="1">
        <f t="array" ref="O413">INDEX(FX_Calcs,$AA413,$AE413)</f>
        <v>N/A</v>
      </c>
      <c r="P413" t="str" cm="1">
        <f t="array" ref="P413">INDEX(FX_Calcs,$AA413,$AE413)</f>
        <v>N/A</v>
      </c>
      <c r="AA413">
        <f>AA412</f>
        <v>30</v>
      </c>
      <c r="AB413">
        <f t="shared" si="1011"/>
        <v>6</v>
      </c>
      <c r="AC413">
        <f t="shared" si="1012"/>
        <v>3</v>
      </c>
      <c r="AD413">
        <f t="shared" si="1012"/>
        <v>13</v>
      </c>
      <c r="AE413">
        <f t="shared" si="1012"/>
        <v>12</v>
      </c>
      <c r="AF413">
        <f t="shared" si="1012"/>
        <v>14</v>
      </c>
      <c r="AG413">
        <f t="shared" si="1013"/>
        <v>77</v>
      </c>
      <c r="AH413">
        <f t="shared" si="1014"/>
        <v>78</v>
      </c>
      <c r="AI413">
        <f t="shared" si="1015"/>
        <v>1</v>
      </c>
      <c r="AJ413">
        <f t="shared" si="1016"/>
        <v>2</v>
      </c>
      <c r="AK413">
        <f t="shared" si="1017"/>
        <v>1</v>
      </c>
      <c r="AL413">
        <f t="shared" si="1018"/>
        <v>76</v>
      </c>
    </row>
    <row r="414" spans="1:38" ht="17.149999999999999" x14ac:dyDescent="0.4">
      <c r="B414" t="str">
        <f t="shared" ref="B414:B415" si="1019">B413</f>
        <v>Portland</v>
      </c>
      <c r="C414" s="66" t="s">
        <v>513</v>
      </c>
      <c r="D414" t="str" cm="1">
        <f t="array" ref="D414">INDEX(FX_Calcs,$AA414,$AD414)</f>
        <v>N/A</v>
      </c>
      <c r="E414" t="str" cm="1">
        <f t="array" ref="E414">INDEX(FX_Calcs,$AA414,$AD414)</f>
        <v>N/A</v>
      </c>
      <c r="F414" t="str" cm="1">
        <f t="array" ref="F414">INDEX(FX_Calcs,$AA414,$AD414)</f>
        <v>N/A</v>
      </c>
      <c r="G414" t="str" cm="1">
        <f t="array" ref="G414">INDEX(FX_Calcs,$AA414,$AD414)</f>
        <v>N/A</v>
      </c>
      <c r="H414" t="str" cm="1">
        <f t="array" ref="H414">INDEX(FX_Calcs,$AA414,$AD414)</f>
        <v>N/A</v>
      </c>
      <c r="I414" t="str" cm="1">
        <f t="array" ref="I414">INDEX(FX_Calcs,$AA414,$AD414)</f>
        <v>N/A</v>
      </c>
      <c r="J414" t="str" cm="1">
        <f t="array" ref="J414">INDEX(FX_Calcs,$AA414,$AD414)</f>
        <v>N/A</v>
      </c>
      <c r="K414" t="str" cm="1">
        <f t="array" ref="K414">INDEX(FX_Calcs,$AA414,$AD414)</f>
        <v>N/A</v>
      </c>
      <c r="L414" t="str" cm="1">
        <f t="array" ref="L414">INDEX(FX_Calcs,$AA414,$AD414)</f>
        <v>N/A</v>
      </c>
      <c r="M414" t="str" cm="1">
        <f t="array" ref="M414">INDEX(FX_Calcs,$AA414,$AD414)</f>
        <v>N/A</v>
      </c>
      <c r="N414" t="str" cm="1">
        <f t="array" ref="N414">INDEX(FX_Calcs,$AA414,$AD414)</f>
        <v>N/A</v>
      </c>
      <c r="O414" t="str" cm="1">
        <f t="array" ref="O414">INDEX(FX_Calcs,$AA414,$AD414)</f>
        <v>N/A</v>
      </c>
      <c r="P414" t="str" cm="1">
        <f t="array" ref="P414">INDEX(FX_Calcs,$AA414,$AD414)</f>
        <v>N/A</v>
      </c>
      <c r="AA414">
        <f>AA413</f>
        <v>30</v>
      </c>
      <c r="AB414">
        <f t="shared" si="1011"/>
        <v>6</v>
      </c>
      <c r="AC414">
        <f t="shared" si="1012"/>
        <v>3</v>
      </c>
      <c r="AD414">
        <f t="shared" si="1012"/>
        <v>13</v>
      </c>
      <c r="AE414">
        <f t="shared" si="1012"/>
        <v>12</v>
      </c>
      <c r="AF414">
        <f t="shared" si="1012"/>
        <v>14</v>
      </c>
      <c r="AG414">
        <f t="shared" si="1013"/>
        <v>77</v>
      </c>
      <c r="AH414">
        <f t="shared" si="1014"/>
        <v>78</v>
      </c>
      <c r="AI414">
        <f t="shared" si="1015"/>
        <v>1</v>
      </c>
      <c r="AJ414">
        <f t="shared" si="1016"/>
        <v>2</v>
      </c>
      <c r="AK414">
        <f t="shared" si="1017"/>
        <v>1</v>
      </c>
      <c r="AL414">
        <f t="shared" si="1018"/>
        <v>76</v>
      </c>
    </row>
    <row r="415" spans="1:38" x14ac:dyDescent="0.4">
      <c r="B415" t="str">
        <f t="shared" si="1019"/>
        <v>Portland</v>
      </c>
      <c r="C415" s="66" t="s">
        <v>558</v>
      </c>
      <c r="D415" t="str" cm="1">
        <f t="array" ref="D415">INDEX(FX_Calcs,$AA415,$AF415)</f>
        <v>Insulated</v>
      </c>
      <c r="E415" t="str" cm="1">
        <f t="array" ref="E415">INDEX(FX_Calcs,$AA415,$AF415)</f>
        <v>Insulated</v>
      </c>
      <c r="F415" t="str" cm="1">
        <f t="array" ref="F415">INDEX(FX_Calcs,$AA415,$AF415)</f>
        <v>Insulated</v>
      </c>
      <c r="G415" t="str" cm="1">
        <f t="array" ref="G415">INDEX(FX_Calcs,$AA415,$AF415)</f>
        <v>Insulated</v>
      </c>
      <c r="H415" t="str" cm="1">
        <f t="array" ref="H415">INDEX(FX_Calcs,$AA415,$AF415)</f>
        <v>Insulated</v>
      </c>
      <c r="I415" t="str" cm="1">
        <f t="array" ref="I415">INDEX(FX_Calcs,$AA415,$AF415)</f>
        <v>Insulated</v>
      </c>
      <c r="J415" t="str" cm="1">
        <f t="array" ref="J415">INDEX(FX_Calcs,$AA415,$AF415)</f>
        <v>Insulated</v>
      </c>
      <c r="K415" t="str" cm="1">
        <f t="array" ref="K415">INDEX(FX_Calcs,$AA415,$AF415)</f>
        <v>Insulated</v>
      </c>
      <c r="L415" t="str" cm="1">
        <f t="array" ref="L415">INDEX(FX_Calcs,$AA415,$AF415)</f>
        <v>Insulated</v>
      </c>
      <c r="M415" t="str" cm="1">
        <f t="array" ref="M415">INDEX(FX_Calcs,$AA415,$AF415)</f>
        <v>Insulated</v>
      </c>
      <c r="N415" t="str" cm="1">
        <f t="array" ref="N415">INDEX(FX_Calcs,$AA415,$AF415)</f>
        <v>Insulated</v>
      </c>
      <c r="O415" t="str" cm="1">
        <f t="array" ref="O415">INDEX(FX_Calcs,$AA415,$AF415)</f>
        <v>Insulated</v>
      </c>
      <c r="P415" t="str" cm="1">
        <f t="array" ref="P415">INDEX(FX_Calcs,$AA415,$AF415)</f>
        <v>Insulated</v>
      </c>
      <c r="AA415">
        <f>AA414</f>
        <v>30</v>
      </c>
      <c r="AB415">
        <f t="shared" si="1011"/>
        <v>6</v>
      </c>
      <c r="AC415">
        <f t="shared" si="1012"/>
        <v>3</v>
      </c>
      <c r="AD415">
        <f t="shared" si="1012"/>
        <v>13</v>
      </c>
      <c r="AE415">
        <f t="shared" si="1012"/>
        <v>12</v>
      </c>
      <c r="AF415">
        <f t="shared" si="1012"/>
        <v>14</v>
      </c>
      <c r="AG415">
        <f t="shared" si="1013"/>
        <v>77</v>
      </c>
      <c r="AH415">
        <f t="shared" si="1014"/>
        <v>78</v>
      </c>
      <c r="AI415">
        <f t="shared" si="1015"/>
        <v>1</v>
      </c>
      <c r="AJ415">
        <f t="shared" si="1016"/>
        <v>2</v>
      </c>
      <c r="AK415">
        <f t="shared" si="1017"/>
        <v>1</v>
      </c>
      <c r="AL415">
        <f t="shared" si="1018"/>
        <v>76</v>
      </c>
    </row>
    <row r="416" spans="1:38" ht="17.149999999999999" x14ac:dyDescent="0.55000000000000004">
      <c r="B416" t="str">
        <f>B412</f>
        <v>Portland</v>
      </c>
      <c r="C416" t="s">
        <v>512</v>
      </c>
      <c r="D416">
        <f t="shared" ref="D416:P416" si="1020">D412-D411</f>
        <v>10.400000000000034</v>
      </c>
      <c r="E416">
        <f t="shared" si="1020"/>
        <v>13.199999999999989</v>
      </c>
      <c r="F416">
        <f t="shared" si="1020"/>
        <v>13.200000000000045</v>
      </c>
      <c r="G416">
        <f t="shared" si="1020"/>
        <v>13.399999999999977</v>
      </c>
      <c r="H416">
        <f t="shared" si="1020"/>
        <v>13.299999999999955</v>
      </c>
      <c r="I416">
        <f t="shared" si="1020"/>
        <v>12.500000000000057</v>
      </c>
      <c r="J416">
        <f t="shared" si="1020"/>
        <v>12.699999999999932</v>
      </c>
      <c r="K416">
        <f t="shared" si="1020"/>
        <v>13.600000000000023</v>
      </c>
      <c r="L416">
        <f t="shared" si="1020"/>
        <v>16.399999999999977</v>
      </c>
      <c r="M416">
        <f t="shared" si="1020"/>
        <v>14.699999999999989</v>
      </c>
      <c r="N416">
        <f t="shared" si="1020"/>
        <v>12.200000000000045</v>
      </c>
      <c r="O416">
        <f t="shared" si="1020"/>
        <v>10</v>
      </c>
      <c r="P416">
        <f t="shared" si="1020"/>
        <v>13</v>
      </c>
    </row>
    <row r="417" spans="1:38" x14ac:dyDescent="0.4">
      <c r="B417" t="str">
        <f t="shared" ref="B417:B424" si="1021">B416</f>
        <v>Portland</v>
      </c>
      <c r="C417" t="s">
        <v>260</v>
      </c>
      <c r="D417">
        <f t="shared" ref="D417:P417" si="1022">VLOOKUP(VLOOKUP($B417,Terminal_X_Ref,2,FALSE)&amp;$C417,Weather_Data,$Y417*D$3+$Z417,FALSE)</f>
        <v>343</v>
      </c>
      <c r="E417">
        <f t="shared" si="1022"/>
        <v>600</v>
      </c>
      <c r="F417">
        <f t="shared" si="1022"/>
        <v>877</v>
      </c>
      <c r="G417">
        <f t="shared" si="1022"/>
        <v>1252</v>
      </c>
      <c r="H417">
        <f t="shared" si="1022"/>
        <v>1537</v>
      </c>
      <c r="I417">
        <f t="shared" si="1022"/>
        <v>1627</v>
      </c>
      <c r="J417">
        <f t="shared" si="1022"/>
        <v>1708</v>
      </c>
      <c r="K417">
        <f t="shared" si="1022"/>
        <v>1492</v>
      </c>
      <c r="L417">
        <f t="shared" si="1022"/>
        <v>1196</v>
      </c>
      <c r="M417">
        <f t="shared" si="1022"/>
        <v>728</v>
      </c>
      <c r="N417">
        <f t="shared" si="1022"/>
        <v>391</v>
      </c>
      <c r="O417">
        <f t="shared" si="1022"/>
        <v>302</v>
      </c>
      <c r="P417">
        <f t="shared" si="1022"/>
        <v>1005</v>
      </c>
      <c r="U417">
        <f>U412</f>
        <v>2</v>
      </c>
      <c r="V417">
        <f t="shared" ref="V417:Z417" si="1023">V412</f>
        <v>3</v>
      </c>
      <c r="W417">
        <f t="shared" si="1023"/>
        <v>1</v>
      </c>
      <c r="X417">
        <f t="shared" si="1023"/>
        <v>2</v>
      </c>
      <c r="Y417">
        <f t="shared" si="1023"/>
        <v>1</v>
      </c>
      <c r="Z417">
        <f t="shared" si="1023"/>
        <v>1</v>
      </c>
    </row>
    <row r="418" spans="1:38" ht="17.149999999999999" x14ac:dyDescent="0.55000000000000004">
      <c r="B418" t="str">
        <f t="shared" si="1021"/>
        <v>Portland</v>
      </c>
      <c r="C418" t="s">
        <v>523</v>
      </c>
      <c r="D418">
        <f>IF(ISNUMBER(D415),0.7*D416+0.02*D415*D417,IF(D415="Partially Insulated",0.6*D416+0.02*D414*D417,0))</f>
        <v>0</v>
      </c>
      <c r="E418">
        <f t="shared" ref="E418:P418" si="1024">IF(ISNUMBER(E415),0.7*E416+0.02*E415*E417,IF(E415="Partially Insulated",0.6*E416+0.02*E414*E417,0))</f>
        <v>0</v>
      </c>
      <c r="F418">
        <f t="shared" si="1024"/>
        <v>0</v>
      </c>
      <c r="G418">
        <f t="shared" si="1024"/>
        <v>0</v>
      </c>
      <c r="H418">
        <f t="shared" si="1024"/>
        <v>0</v>
      </c>
      <c r="I418">
        <f t="shared" si="1024"/>
        <v>0</v>
      </c>
      <c r="J418">
        <f t="shared" si="1024"/>
        <v>0</v>
      </c>
      <c r="K418">
        <f t="shared" si="1024"/>
        <v>0</v>
      </c>
      <c r="L418">
        <f t="shared" si="1024"/>
        <v>0</v>
      </c>
      <c r="M418">
        <f t="shared" si="1024"/>
        <v>0</v>
      </c>
      <c r="N418">
        <f t="shared" si="1024"/>
        <v>0</v>
      </c>
      <c r="O418">
        <f t="shared" si="1024"/>
        <v>0</v>
      </c>
      <c r="P418">
        <f t="shared" si="1024"/>
        <v>0</v>
      </c>
    </row>
    <row r="419" spans="1:38" ht="17.149999999999999" x14ac:dyDescent="0.55000000000000004">
      <c r="B419" t="str">
        <f t="shared" si="1021"/>
        <v>Portland</v>
      </c>
      <c r="C419" t="s">
        <v>524</v>
      </c>
      <c r="D419">
        <f t="shared" ref="D419:F419" si="1025">AVERAGE(D411:D412)</f>
        <v>503.5</v>
      </c>
      <c r="E419">
        <f t="shared" si="1025"/>
        <v>504.30000000000007</v>
      </c>
      <c r="F419">
        <f t="shared" si="1025"/>
        <v>505.70000000000005</v>
      </c>
      <c r="G419">
        <f>AVERAGE(G411:G412)</f>
        <v>508.2</v>
      </c>
      <c r="H419">
        <f t="shared" ref="H419:P419" si="1026">AVERAGE(H411:H412)</f>
        <v>512.75</v>
      </c>
      <c r="I419">
        <f t="shared" si="1026"/>
        <v>516.55000000000007</v>
      </c>
      <c r="J419">
        <f t="shared" si="1026"/>
        <v>520.04999999999995</v>
      </c>
      <c r="K419">
        <f t="shared" si="1026"/>
        <v>520.5</v>
      </c>
      <c r="L419">
        <f t="shared" si="1026"/>
        <v>518.20000000000005</v>
      </c>
      <c r="M419">
        <f t="shared" si="1026"/>
        <v>512.25</v>
      </c>
      <c r="N419">
        <f t="shared" si="1026"/>
        <v>506.70000000000005</v>
      </c>
      <c r="O419">
        <f t="shared" si="1026"/>
        <v>503.20000000000005</v>
      </c>
      <c r="P419">
        <f t="shared" si="1026"/>
        <v>51.4</v>
      </c>
    </row>
    <row r="420" spans="1:38" ht="17.149999999999999" x14ac:dyDescent="0.55000000000000004">
      <c r="B420" t="str">
        <f t="shared" si="1021"/>
        <v>Portland</v>
      </c>
      <c r="C420" t="s">
        <v>525</v>
      </c>
      <c r="D420" cm="1">
        <f t="array" ref="D420">IFERROR(IF(ISBLANK(INDEX(FX_Input,$R411,D$3*$AK411+$AL411)),D419+0.003*D413*D417,INDEX(FX_Input,$R411,D$3*$AK411+$AL411)+459.6),D419)</f>
        <v>503.5</v>
      </c>
      <c r="E420" cm="1">
        <f t="array" ref="E420">IFERROR(IF(ISBLANK(INDEX(FX_Input,$R411,E$3*$AK411+$AL411)),E419+0.003*E413*E417,INDEX(FX_Input,$R411,E$3*$AK411+$AL411)+459.6),E419)</f>
        <v>504.30000000000007</v>
      </c>
      <c r="F420" cm="1">
        <f t="array" ref="F420">IFERROR(IF(ISBLANK(INDEX(FX_Input,$R411,F$3*$AK411+$AL411)),F419+0.003*F413*F417,INDEX(FX_Input,$R411,F$3*$AK411+$AL411)+459.6),F419)</f>
        <v>505.70000000000005</v>
      </c>
      <c r="G420" cm="1">
        <f t="array" ref="G420">IFERROR(IF(ISBLANK(INDEX(FX_Input,$R411,G$3*$AK411+$AL411)),G419+0.003*G413*G417,INDEX(FX_Input,$R411,G$3*$AK411+$AL411)+459.6),G419)</f>
        <v>508.2</v>
      </c>
      <c r="H420" cm="1">
        <f t="array" ref="H420">IFERROR(IF(ISBLANK(INDEX(FX_Input,$R411,H$3*$AK411+$AL411)),H419+0.003*H413*H417,INDEX(FX_Input,$R411,H$3*$AK411+$AL411)+459.6),H419)</f>
        <v>512.75</v>
      </c>
      <c r="I420" cm="1">
        <f t="array" ref="I420">IFERROR(IF(ISBLANK(INDEX(FX_Input,$R411,I$3*$AK411+$AL411)),I419+0.003*I413*I417,INDEX(FX_Input,$R411,I$3*$AK411+$AL411)+459.6),I419)</f>
        <v>516.55000000000007</v>
      </c>
      <c r="J420" cm="1">
        <f t="array" ref="J420">IFERROR(IF(ISBLANK(INDEX(FX_Input,$R411,J$3*$AK411+$AL411)),J419+0.003*J413*J417,INDEX(FX_Input,$R411,J$3*$AK411+$AL411)+459.6),J419)</f>
        <v>520.04999999999995</v>
      </c>
      <c r="K420" cm="1">
        <f t="array" ref="K420">IFERROR(IF(ISBLANK(INDEX(FX_Input,$R411,K$3*$AK411+$AL411)),K419+0.003*K413*K417,INDEX(FX_Input,$R411,K$3*$AK411+$AL411)+459.6),K419)</f>
        <v>520.5</v>
      </c>
      <c r="L420" cm="1">
        <f t="array" ref="L420">IFERROR(IF(ISBLANK(INDEX(FX_Input,$R411,L$3*$AK411+$AL411)),L419+0.003*L413*L417,INDEX(FX_Input,$R411,L$3*$AK411+$AL411)+459.6),L419)</f>
        <v>518.20000000000005</v>
      </c>
      <c r="M420" cm="1">
        <f t="array" ref="M420">IFERROR(IF(ISBLANK(INDEX(FX_Input,$R411,M$3*$AK411+$AL411)),M419+0.003*M413*M417,INDEX(FX_Input,$R411,M$3*$AK411+$AL411)+459.6),M419)</f>
        <v>512.25</v>
      </c>
      <c r="N420" cm="1">
        <f t="array" ref="N420">IFERROR(IF(ISBLANK(INDEX(FX_Input,$R411,N$3*$AK411+$AL411)),N419+0.003*N413*N417,INDEX(FX_Input,$R411,N$3*$AK411+$AL411)+459.6),N419)</f>
        <v>506.70000000000005</v>
      </c>
      <c r="O420" cm="1">
        <f t="array" ref="O420">IFERROR(IF(ISBLANK(INDEX(FX_Input,$R411,O$3*$AK411+$AL411)),O419+0.003*O413*O417,INDEX(FX_Input,$R411,O$3*$AK411+$AL411)+459.6),O419)</f>
        <v>503.20000000000005</v>
      </c>
      <c r="P420" cm="1">
        <f t="array" ref="P420">IFERROR(IF(ISBLANK(INDEX(FX_Input,$R411,P$3*$AK411+$AL411)),P419+0.003*P413*P417,INDEX(FX_Input,$R411,P$3*$AK411+$AL411)+459.6),P419)</f>
        <v>459.6</v>
      </c>
    </row>
    <row r="421" spans="1:38" ht="17.149999999999999" x14ac:dyDescent="0.55000000000000004">
      <c r="B421" t="str">
        <f t="shared" si="1021"/>
        <v>Portland</v>
      </c>
      <c r="C421" t="s">
        <v>526</v>
      </c>
      <c r="D421">
        <f>IF(ISNUMBER(D415),0.4*D411+0.6*D420+0.005*D415*D417,IF(D415="Partially Insulated",0.3*D419+0.7*D420+0.005*D414*D417,D420))-459.6</f>
        <v>43.899999999999977</v>
      </c>
      <c r="E421">
        <f t="shared" ref="E421" si="1027">IF(ISNUMBER(E415),0.4*E411+0.6*E420+0.005*E415*E417,IF(E415="Partially Insulated",0.3*E419+0.7*E420+0.005*E414*E417,E420))-459.6</f>
        <v>44.700000000000045</v>
      </c>
      <c r="F421">
        <f t="shared" ref="F421" si="1028">IF(ISNUMBER(F415),0.4*F411+0.6*F420+0.005*F415*F417,IF(F415="Partially Insulated",0.3*F419+0.7*F420+0.005*F414*F417,F420))-459.6</f>
        <v>46.100000000000023</v>
      </c>
      <c r="G421">
        <f t="shared" ref="G421" si="1029">IF(ISNUMBER(G415),0.4*G411+0.6*G420+0.005*G415*G417,IF(G415="Partially Insulated",0.3*G419+0.7*G420+0.005*G414*G417,G420))-459.6</f>
        <v>48.599999999999966</v>
      </c>
      <c r="H421">
        <f t="shared" ref="H421" si="1030">IF(ISNUMBER(H415),0.4*H411+0.6*H420+0.005*H415*H417,IF(H415="Partially Insulated",0.3*H419+0.7*H420+0.005*H414*H417,H420))-459.6</f>
        <v>53.149999999999977</v>
      </c>
      <c r="I421">
        <f t="shared" ref="I421" si="1031">IF(ISNUMBER(I415),0.4*I411+0.6*I420+0.005*I415*I417,IF(I415="Partially Insulated",0.3*I419+0.7*I420+0.005*I414*I417,I420))-459.6</f>
        <v>56.950000000000045</v>
      </c>
      <c r="J421">
        <f t="shared" ref="J421" si="1032">IF(ISNUMBER(J415),0.4*J411+0.6*J420+0.005*J415*J417,IF(J415="Partially Insulated",0.3*J419+0.7*J420+0.005*J414*J417,J420))-459.6</f>
        <v>60.449999999999932</v>
      </c>
      <c r="K421">
        <f t="shared" ref="K421" si="1033">IF(ISNUMBER(K415),0.4*K411+0.6*K420+0.005*K415*K417,IF(K415="Partially Insulated",0.3*K419+0.7*K420+0.005*K414*K417,K420))-459.6</f>
        <v>60.899999999999977</v>
      </c>
      <c r="L421">
        <f t="shared" ref="L421" si="1034">IF(ISNUMBER(L415),0.4*L411+0.6*L420+0.005*L415*L417,IF(L415="Partially Insulated",0.3*L419+0.7*L420+0.005*L414*L417,L420))-459.6</f>
        <v>58.600000000000023</v>
      </c>
      <c r="M421">
        <f t="shared" ref="M421" si="1035">IF(ISNUMBER(M415),0.4*M411+0.6*M420+0.005*M415*M417,IF(M415="Partially Insulated",0.3*M419+0.7*M420+0.005*M414*M417,M420))-459.6</f>
        <v>52.649999999999977</v>
      </c>
      <c r="N421">
        <f t="shared" ref="N421" si="1036">IF(ISNUMBER(N415),0.4*N411+0.6*N420+0.005*N415*N417,IF(N415="Partially Insulated",0.3*N419+0.7*N420+0.005*N414*N417,N420))-459.6</f>
        <v>47.100000000000023</v>
      </c>
      <c r="O421">
        <f t="shared" ref="O421" si="1037">IF(ISNUMBER(O415),0.4*O411+0.6*O420+0.005*O415*O417,IF(O415="Partially Insulated",0.3*O419+0.7*O420+0.005*O414*O417,O420))-459.6</f>
        <v>43.600000000000023</v>
      </c>
      <c r="P421">
        <f>AVERAGE(D421:O421)</f>
        <v>51.391666666666673</v>
      </c>
    </row>
    <row r="422" spans="1:38" ht="17.149999999999999" x14ac:dyDescent="0.55000000000000004">
      <c r="B422" t="str">
        <f t="shared" si="1021"/>
        <v>Portland</v>
      </c>
      <c r="C422" t="s">
        <v>527</v>
      </c>
      <c r="D422">
        <f>IF(ISNUMBER(D415),0.4*D412+0.6*D420+0.005*D415*D417,IF(D415="Partially Insulated",0.3*D419+0.7*D420+0.005*D414*D417,D420))-459.6</f>
        <v>43.899999999999977</v>
      </c>
      <c r="E422">
        <f t="shared" ref="E422:O422" si="1038">IF(ISNUMBER(E415),0.4*E412+0.6*E420+0.005*E415*E417,IF(E415="Partially Insulated",0.3*E419+0.7*E420+0.005*E414*E417,E420))-459.6</f>
        <v>44.700000000000045</v>
      </c>
      <c r="F422">
        <f t="shared" si="1038"/>
        <v>46.100000000000023</v>
      </c>
      <c r="G422">
        <f t="shared" si="1038"/>
        <v>48.599999999999966</v>
      </c>
      <c r="H422">
        <f t="shared" si="1038"/>
        <v>53.149999999999977</v>
      </c>
      <c r="I422">
        <f t="shared" si="1038"/>
        <v>56.950000000000045</v>
      </c>
      <c r="J422">
        <f t="shared" si="1038"/>
        <v>60.449999999999932</v>
      </c>
      <c r="K422">
        <f t="shared" si="1038"/>
        <v>60.899999999999977</v>
      </c>
      <c r="L422">
        <f t="shared" si="1038"/>
        <v>58.600000000000023</v>
      </c>
      <c r="M422">
        <f t="shared" si="1038"/>
        <v>52.649999999999977</v>
      </c>
      <c r="N422">
        <f t="shared" si="1038"/>
        <v>47.100000000000023</v>
      </c>
      <c r="O422">
        <f t="shared" si="1038"/>
        <v>43.600000000000023</v>
      </c>
      <c r="P422">
        <f>AVERAGE(D422:O422)</f>
        <v>51.391666666666673</v>
      </c>
    </row>
    <row r="423" spans="1:38" ht="17.149999999999999" x14ac:dyDescent="0.55000000000000004">
      <c r="B423" t="str">
        <f t="shared" si="1021"/>
        <v>Portland</v>
      </c>
      <c r="C423" t="s">
        <v>552</v>
      </c>
      <c r="D423">
        <f>IF(ISNUMBER(D415),0.4*D419+0.6*D420+0.005*D415*D417,IF(D415="Partially Insulated",0.3*D419+0.7*D420+0.005*D414*D417,D420))-459.6</f>
        <v>43.899999999999977</v>
      </c>
      <c r="E423">
        <f t="shared" ref="E423:O423" si="1039">IF(ISNUMBER(E415),0.4*E419+0.6*E420+0.005*E415*E417,IF(E415="Partially Insulated",0.3*E419+0.7*E420+0.005*E414*E417,E420))-459.6</f>
        <v>44.700000000000045</v>
      </c>
      <c r="F423">
        <f t="shared" si="1039"/>
        <v>46.100000000000023</v>
      </c>
      <c r="G423">
        <f t="shared" si="1039"/>
        <v>48.599999999999966</v>
      </c>
      <c r="H423">
        <f t="shared" si="1039"/>
        <v>53.149999999999977</v>
      </c>
      <c r="I423">
        <f t="shared" si="1039"/>
        <v>56.950000000000045</v>
      </c>
      <c r="J423">
        <f t="shared" si="1039"/>
        <v>60.449999999999932</v>
      </c>
      <c r="K423">
        <f t="shared" si="1039"/>
        <v>60.899999999999977</v>
      </c>
      <c r="L423">
        <f t="shared" si="1039"/>
        <v>58.600000000000023</v>
      </c>
      <c r="M423">
        <f t="shared" si="1039"/>
        <v>52.649999999999977</v>
      </c>
      <c r="N423">
        <f t="shared" si="1039"/>
        <v>47.100000000000023</v>
      </c>
      <c r="O423">
        <f t="shared" si="1039"/>
        <v>43.600000000000023</v>
      </c>
      <c r="P423">
        <f>AVERAGE(D423:O423)</f>
        <v>51.391666666666673</v>
      </c>
    </row>
    <row r="424" spans="1:38" ht="17.149999999999999" x14ac:dyDescent="0.55000000000000004">
      <c r="A424" s="11"/>
      <c r="B424" s="11" t="str">
        <f t="shared" si="1021"/>
        <v>Portland</v>
      </c>
      <c r="C424" s="11" t="s">
        <v>553</v>
      </c>
      <c r="D424" s="11">
        <f>IF(ISNUMBER(D415),0.7*D419+0.3*D420+0.009*D415*D417,IF(D415="Partially Insulated",0.6*D419+0.4*D420+0.01*D414*D417,D420))-459.6</f>
        <v>43.899999999999977</v>
      </c>
      <c r="E424" s="11">
        <f t="shared" ref="E424:O424" si="1040">IF(ISNUMBER(E415),0.7*E419+0.3*E420+0.009*E415*E417,IF(E415="Partially Insulated",0.6*E419+0.4*E420+0.01*E414*E417,E420))-459.6</f>
        <v>44.700000000000045</v>
      </c>
      <c r="F424" s="11">
        <f t="shared" si="1040"/>
        <v>46.100000000000023</v>
      </c>
      <c r="G424" s="11">
        <f t="shared" si="1040"/>
        <v>48.599999999999966</v>
      </c>
      <c r="H424" s="11">
        <f t="shared" si="1040"/>
        <v>53.149999999999977</v>
      </c>
      <c r="I424" s="11">
        <f t="shared" si="1040"/>
        <v>56.950000000000045</v>
      </c>
      <c r="J424" s="11">
        <f t="shared" si="1040"/>
        <v>60.449999999999932</v>
      </c>
      <c r="K424" s="11">
        <f t="shared" si="1040"/>
        <v>60.899999999999977</v>
      </c>
      <c r="L424" s="11">
        <f t="shared" si="1040"/>
        <v>58.600000000000023</v>
      </c>
      <c r="M424" s="11">
        <f t="shared" si="1040"/>
        <v>52.649999999999977</v>
      </c>
      <c r="N424" s="11">
        <f t="shared" si="1040"/>
        <v>47.100000000000023</v>
      </c>
      <c r="O424" s="11">
        <f t="shared" si="1040"/>
        <v>43.600000000000023</v>
      </c>
      <c r="P424" s="11">
        <f>AVERAGE(D424:O424)</f>
        <v>51.391666666666673</v>
      </c>
      <c r="Q424" s="11"/>
      <c r="R424" s="11"/>
      <c r="S424" s="11"/>
      <c r="T424" s="11"/>
      <c r="U424" s="11"/>
      <c r="V424" s="11"/>
      <c r="W424" s="11"/>
      <c r="X424" s="11"/>
      <c r="Y424" s="11"/>
      <c r="Z424" s="11"/>
      <c r="AA424" s="11"/>
      <c r="AB424" s="11"/>
      <c r="AC424" s="11"/>
      <c r="AD424" s="11"/>
      <c r="AE424" s="11"/>
      <c r="AF424" s="11"/>
      <c r="AG424" s="11"/>
      <c r="AH424" s="11"/>
      <c r="AI424" s="11"/>
      <c r="AJ424" s="11"/>
      <c r="AK424" s="11"/>
      <c r="AL424" s="11"/>
    </row>
    <row r="425" spans="1:38" ht="17.149999999999999" x14ac:dyDescent="0.55000000000000004">
      <c r="A425" t="str" cm="1">
        <f t="array" ref="A425">INDEX(FX_Input,$R425,S$5)</f>
        <v>FX - 31</v>
      </c>
      <c r="B425" t="str" cm="1">
        <f t="array" ref="B425">INDEX(FX_Input,R425,T425)</f>
        <v>Portland</v>
      </c>
      <c r="C425" t="s">
        <v>510</v>
      </c>
      <c r="D425">
        <f t="shared" ref="D425:O426" si="1041">VLOOKUP(VLOOKUP($B425,Terminal_X_Ref,2,FALSE)&amp;$C425,Weather_Data,$Y425*D$3+$Z425,FALSE)+459.6</f>
        <v>498.3</v>
      </c>
      <c r="E425">
        <f t="shared" si="1041"/>
        <v>497.70000000000005</v>
      </c>
      <c r="F425">
        <f t="shared" si="1041"/>
        <v>499.1</v>
      </c>
      <c r="G425">
        <f t="shared" si="1041"/>
        <v>501.5</v>
      </c>
      <c r="H425">
        <f t="shared" si="1041"/>
        <v>506.1</v>
      </c>
      <c r="I425">
        <f t="shared" si="1041"/>
        <v>510.3</v>
      </c>
      <c r="J425">
        <f t="shared" si="1041"/>
        <v>513.70000000000005</v>
      </c>
      <c r="K425">
        <f t="shared" si="1041"/>
        <v>513.70000000000005</v>
      </c>
      <c r="L425">
        <f t="shared" si="1041"/>
        <v>510</v>
      </c>
      <c r="M425">
        <f t="shared" si="1041"/>
        <v>504.90000000000003</v>
      </c>
      <c r="N425">
        <f t="shared" si="1041"/>
        <v>500.6</v>
      </c>
      <c r="O425">
        <f t="shared" si="1041"/>
        <v>498.20000000000005</v>
      </c>
      <c r="P425">
        <f t="shared" ref="P425:P426" si="1042">VLOOKUP(VLOOKUP($B425,Terminal_X_Ref,2,FALSE)&amp;$C425,Weather_Data,$Y425*P$3+$Z425,FALSE)</f>
        <v>44.9</v>
      </c>
      <c r="R425">
        <f>R411+2</f>
        <v>61</v>
      </c>
      <c r="S425">
        <f>S411+1</f>
        <v>31</v>
      </c>
      <c r="T425">
        <v>3</v>
      </c>
      <c r="U425">
        <v>2</v>
      </c>
      <c r="V425">
        <v>3</v>
      </c>
      <c r="W425">
        <v>1</v>
      </c>
      <c r="X425">
        <v>2</v>
      </c>
      <c r="Y425">
        <f>(V425-U425)/(X425-W425)</f>
        <v>1</v>
      </c>
      <c r="Z425">
        <f>U425-Y425*W425</f>
        <v>1</v>
      </c>
      <c r="AA425">
        <f>AA411+1</f>
        <v>31</v>
      </c>
      <c r="AB425">
        <v>6</v>
      </c>
      <c r="AC425">
        <v>3</v>
      </c>
      <c r="AD425">
        <v>13</v>
      </c>
      <c r="AE425">
        <v>12</v>
      </c>
      <c r="AF425">
        <v>14</v>
      </c>
      <c r="AG425">
        <v>77</v>
      </c>
      <c r="AH425">
        <v>78</v>
      </c>
      <c r="AI425">
        <v>1</v>
      </c>
      <c r="AJ425">
        <v>2</v>
      </c>
      <c r="AK425">
        <f>(AH425-AG425)/(AJ425-AI425)</f>
        <v>1</v>
      </c>
      <c r="AL425">
        <f>AG425-AK425*AI425</f>
        <v>76</v>
      </c>
    </row>
    <row r="426" spans="1:38" ht="17.149999999999999" x14ac:dyDescent="0.55000000000000004">
      <c r="B426" t="str">
        <f t="shared" ref="B426" si="1043">B425</f>
        <v>Portland</v>
      </c>
      <c r="C426" t="s">
        <v>511</v>
      </c>
      <c r="D426">
        <f t="shared" si="1041"/>
        <v>508.70000000000005</v>
      </c>
      <c r="E426">
        <f t="shared" si="1041"/>
        <v>510.90000000000003</v>
      </c>
      <c r="F426">
        <f t="shared" si="1041"/>
        <v>512.30000000000007</v>
      </c>
      <c r="G426">
        <f t="shared" si="1041"/>
        <v>514.9</v>
      </c>
      <c r="H426">
        <f t="shared" si="1041"/>
        <v>519.4</v>
      </c>
      <c r="I426">
        <f t="shared" si="1041"/>
        <v>522.80000000000007</v>
      </c>
      <c r="J426">
        <f t="shared" si="1041"/>
        <v>526.4</v>
      </c>
      <c r="K426">
        <f t="shared" si="1041"/>
        <v>527.30000000000007</v>
      </c>
      <c r="L426">
        <f t="shared" si="1041"/>
        <v>526.4</v>
      </c>
      <c r="M426">
        <f t="shared" si="1041"/>
        <v>519.6</v>
      </c>
      <c r="N426">
        <f t="shared" si="1041"/>
        <v>512.80000000000007</v>
      </c>
      <c r="O426">
        <f t="shared" si="1041"/>
        <v>508.20000000000005</v>
      </c>
      <c r="P426">
        <f t="shared" si="1042"/>
        <v>57.9</v>
      </c>
      <c r="U426">
        <f>U425</f>
        <v>2</v>
      </c>
      <c r="V426">
        <f t="shared" ref="V426:Z426" si="1044">V425</f>
        <v>3</v>
      </c>
      <c r="W426">
        <f t="shared" si="1044"/>
        <v>1</v>
      </c>
      <c r="X426">
        <f t="shared" si="1044"/>
        <v>2</v>
      </c>
      <c r="Y426">
        <f t="shared" si="1044"/>
        <v>1</v>
      </c>
      <c r="Z426">
        <f t="shared" si="1044"/>
        <v>1</v>
      </c>
      <c r="AA426">
        <f>AA425</f>
        <v>31</v>
      </c>
      <c r="AB426">
        <f t="shared" ref="AB426:AB429" si="1045">AB425</f>
        <v>6</v>
      </c>
      <c r="AC426">
        <f t="shared" ref="AC426:AF429" si="1046">AC425</f>
        <v>3</v>
      </c>
      <c r="AD426">
        <f t="shared" si="1046"/>
        <v>13</v>
      </c>
      <c r="AE426">
        <f t="shared" si="1046"/>
        <v>12</v>
      </c>
      <c r="AF426">
        <f t="shared" si="1046"/>
        <v>14</v>
      </c>
      <c r="AG426">
        <f t="shared" ref="AG426:AG429" si="1047">AG425</f>
        <v>77</v>
      </c>
      <c r="AH426">
        <f t="shared" ref="AH426:AH429" si="1048">AH425</f>
        <v>78</v>
      </c>
      <c r="AI426">
        <f t="shared" ref="AI426:AI429" si="1049">AI425</f>
        <v>1</v>
      </c>
      <c r="AJ426">
        <f t="shared" ref="AJ426:AJ429" si="1050">AJ425</f>
        <v>2</v>
      </c>
      <c r="AK426">
        <f t="shared" ref="AK426:AK429" si="1051">AK425</f>
        <v>1</v>
      </c>
      <c r="AL426">
        <f t="shared" ref="AL426:AL429" si="1052">AL425</f>
        <v>76</v>
      </c>
    </row>
    <row r="427" spans="1:38" ht="17.149999999999999" x14ac:dyDescent="0.4">
      <c r="B427" t="str">
        <f>B426</f>
        <v>Portland</v>
      </c>
      <c r="C427" s="66" t="s">
        <v>514</v>
      </c>
      <c r="D427" t="str" cm="1">
        <f t="array" ref="D427">INDEX(FX_Calcs,$AA427,$AE427)</f>
        <v>N/A</v>
      </c>
      <c r="E427" t="str" cm="1">
        <f t="array" ref="E427">INDEX(FX_Calcs,$AA427,$AE427)</f>
        <v>N/A</v>
      </c>
      <c r="F427" t="str" cm="1">
        <f t="array" ref="F427">INDEX(FX_Calcs,$AA427,$AE427)</f>
        <v>N/A</v>
      </c>
      <c r="G427" t="str" cm="1">
        <f t="array" ref="G427">INDEX(FX_Calcs,$AA427,$AE427)</f>
        <v>N/A</v>
      </c>
      <c r="H427" t="str" cm="1">
        <f t="array" ref="H427">INDEX(FX_Calcs,$AA427,$AE427)</f>
        <v>N/A</v>
      </c>
      <c r="I427" t="str" cm="1">
        <f t="array" ref="I427">INDEX(FX_Calcs,$AA427,$AE427)</f>
        <v>N/A</v>
      </c>
      <c r="J427" t="str" cm="1">
        <f t="array" ref="J427">INDEX(FX_Calcs,$AA427,$AE427)</f>
        <v>N/A</v>
      </c>
      <c r="K427" t="str" cm="1">
        <f t="array" ref="K427">INDEX(FX_Calcs,$AA427,$AE427)</f>
        <v>N/A</v>
      </c>
      <c r="L427" t="str" cm="1">
        <f t="array" ref="L427">INDEX(FX_Calcs,$AA427,$AE427)</f>
        <v>N/A</v>
      </c>
      <c r="M427" t="str" cm="1">
        <f t="array" ref="M427">INDEX(FX_Calcs,$AA427,$AE427)</f>
        <v>N/A</v>
      </c>
      <c r="N427" t="str" cm="1">
        <f t="array" ref="N427">INDEX(FX_Calcs,$AA427,$AE427)</f>
        <v>N/A</v>
      </c>
      <c r="O427" t="str" cm="1">
        <f t="array" ref="O427">INDEX(FX_Calcs,$AA427,$AE427)</f>
        <v>N/A</v>
      </c>
      <c r="P427" t="str" cm="1">
        <f t="array" ref="P427">INDEX(FX_Calcs,$AA427,$AE427)</f>
        <v>N/A</v>
      </c>
      <c r="AA427">
        <f>AA426</f>
        <v>31</v>
      </c>
      <c r="AB427">
        <f t="shared" si="1045"/>
        <v>6</v>
      </c>
      <c r="AC427">
        <f t="shared" si="1046"/>
        <v>3</v>
      </c>
      <c r="AD427">
        <f t="shared" si="1046"/>
        <v>13</v>
      </c>
      <c r="AE427">
        <f t="shared" si="1046"/>
        <v>12</v>
      </c>
      <c r="AF427">
        <f t="shared" si="1046"/>
        <v>14</v>
      </c>
      <c r="AG427">
        <f t="shared" si="1047"/>
        <v>77</v>
      </c>
      <c r="AH427">
        <f t="shared" si="1048"/>
        <v>78</v>
      </c>
      <c r="AI427">
        <f t="shared" si="1049"/>
        <v>1</v>
      </c>
      <c r="AJ427">
        <f t="shared" si="1050"/>
        <v>2</v>
      </c>
      <c r="AK427">
        <f t="shared" si="1051"/>
        <v>1</v>
      </c>
      <c r="AL427">
        <f t="shared" si="1052"/>
        <v>76</v>
      </c>
    </row>
    <row r="428" spans="1:38" ht="17.149999999999999" x14ac:dyDescent="0.4">
      <c r="B428" t="str">
        <f t="shared" ref="B428:B429" si="1053">B427</f>
        <v>Portland</v>
      </c>
      <c r="C428" s="66" t="s">
        <v>513</v>
      </c>
      <c r="D428" t="str" cm="1">
        <f t="array" ref="D428">INDEX(FX_Calcs,$AA428,$AD428)</f>
        <v>N/A</v>
      </c>
      <c r="E428" t="str" cm="1">
        <f t="array" ref="E428">INDEX(FX_Calcs,$AA428,$AD428)</f>
        <v>N/A</v>
      </c>
      <c r="F428" t="str" cm="1">
        <f t="array" ref="F428">INDEX(FX_Calcs,$AA428,$AD428)</f>
        <v>N/A</v>
      </c>
      <c r="G428" t="str" cm="1">
        <f t="array" ref="G428">INDEX(FX_Calcs,$AA428,$AD428)</f>
        <v>N/A</v>
      </c>
      <c r="H428" t="str" cm="1">
        <f t="array" ref="H428">INDEX(FX_Calcs,$AA428,$AD428)</f>
        <v>N/A</v>
      </c>
      <c r="I428" t="str" cm="1">
        <f t="array" ref="I428">INDEX(FX_Calcs,$AA428,$AD428)</f>
        <v>N/A</v>
      </c>
      <c r="J428" t="str" cm="1">
        <f t="array" ref="J428">INDEX(FX_Calcs,$AA428,$AD428)</f>
        <v>N/A</v>
      </c>
      <c r="K428" t="str" cm="1">
        <f t="array" ref="K428">INDEX(FX_Calcs,$AA428,$AD428)</f>
        <v>N/A</v>
      </c>
      <c r="L428" t="str" cm="1">
        <f t="array" ref="L428">INDEX(FX_Calcs,$AA428,$AD428)</f>
        <v>N/A</v>
      </c>
      <c r="M428" t="str" cm="1">
        <f t="array" ref="M428">INDEX(FX_Calcs,$AA428,$AD428)</f>
        <v>N/A</v>
      </c>
      <c r="N428" t="str" cm="1">
        <f t="array" ref="N428">INDEX(FX_Calcs,$AA428,$AD428)</f>
        <v>N/A</v>
      </c>
      <c r="O428" t="str" cm="1">
        <f t="array" ref="O428">INDEX(FX_Calcs,$AA428,$AD428)</f>
        <v>N/A</v>
      </c>
      <c r="P428" t="str" cm="1">
        <f t="array" ref="P428">INDEX(FX_Calcs,$AA428,$AD428)</f>
        <v>N/A</v>
      </c>
      <c r="AA428">
        <f>AA427</f>
        <v>31</v>
      </c>
      <c r="AB428">
        <f t="shared" si="1045"/>
        <v>6</v>
      </c>
      <c r="AC428">
        <f t="shared" si="1046"/>
        <v>3</v>
      </c>
      <c r="AD428">
        <f t="shared" si="1046"/>
        <v>13</v>
      </c>
      <c r="AE428">
        <f t="shared" si="1046"/>
        <v>12</v>
      </c>
      <c r="AF428">
        <f t="shared" si="1046"/>
        <v>14</v>
      </c>
      <c r="AG428">
        <f t="shared" si="1047"/>
        <v>77</v>
      </c>
      <c r="AH428">
        <f t="shared" si="1048"/>
        <v>78</v>
      </c>
      <c r="AI428">
        <f t="shared" si="1049"/>
        <v>1</v>
      </c>
      <c r="AJ428">
        <f t="shared" si="1050"/>
        <v>2</v>
      </c>
      <c r="AK428">
        <f t="shared" si="1051"/>
        <v>1</v>
      </c>
      <c r="AL428">
        <f t="shared" si="1052"/>
        <v>76</v>
      </c>
    </row>
    <row r="429" spans="1:38" x14ac:dyDescent="0.4">
      <c r="B429" t="str">
        <f t="shared" si="1053"/>
        <v>Portland</v>
      </c>
      <c r="C429" s="66" t="s">
        <v>558</v>
      </c>
      <c r="D429" t="str" cm="1">
        <f t="array" ref="D429">INDEX(FX_Calcs,$AA429,$AF429)</f>
        <v>Insulated</v>
      </c>
      <c r="E429" t="str" cm="1">
        <f t="array" ref="E429">INDEX(FX_Calcs,$AA429,$AF429)</f>
        <v>Insulated</v>
      </c>
      <c r="F429" t="str" cm="1">
        <f t="array" ref="F429">INDEX(FX_Calcs,$AA429,$AF429)</f>
        <v>Insulated</v>
      </c>
      <c r="G429" t="str" cm="1">
        <f t="array" ref="G429">INDEX(FX_Calcs,$AA429,$AF429)</f>
        <v>Insulated</v>
      </c>
      <c r="H429" t="str" cm="1">
        <f t="array" ref="H429">INDEX(FX_Calcs,$AA429,$AF429)</f>
        <v>Insulated</v>
      </c>
      <c r="I429" t="str" cm="1">
        <f t="array" ref="I429">INDEX(FX_Calcs,$AA429,$AF429)</f>
        <v>Insulated</v>
      </c>
      <c r="J429" t="str" cm="1">
        <f t="array" ref="J429">INDEX(FX_Calcs,$AA429,$AF429)</f>
        <v>Insulated</v>
      </c>
      <c r="K429" t="str" cm="1">
        <f t="array" ref="K429">INDEX(FX_Calcs,$AA429,$AF429)</f>
        <v>Insulated</v>
      </c>
      <c r="L429" t="str" cm="1">
        <f t="array" ref="L429">INDEX(FX_Calcs,$AA429,$AF429)</f>
        <v>Insulated</v>
      </c>
      <c r="M429" t="str" cm="1">
        <f t="array" ref="M429">INDEX(FX_Calcs,$AA429,$AF429)</f>
        <v>Insulated</v>
      </c>
      <c r="N429" t="str" cm="1">
        <f t="array" ref="N429">INDEX(FX_Calcs,$AA429,$AF429)</f>
        <v>Insulated</v>
      </c>
      <c r="O429" t="str" cm="1">
        <f t="array" ref="O429">INDEX(FX_Calcs,$AA429,$AF429)</f>
        <v>Insulated</v>
      </c>
      <c r="P429" t="str" cm="1">
        <f t="array" ref="P429">INDEX(FX_Calcs,$AA429,$AF429)</f>
        <v>Insulated</v>
      </c>
      <c r="AA429">
        <f>AA428</f>
        <v>31</v>
      </c>
      <c r="AB429">
        <f t="shared" si="1045"/>
        <v>6</v>
      </c>
      <c r="AC429">
        <f t="shared" si="1046"/>
        <v>3</v>
      </c>
      <c r="AD429">
        <f t="shared" si="1046"/>
        <v>13</v>
      </c>
      <c r="AE429">
        <f t="shared" si="1046"/>
        <v>12</v>
      </c>
      <c r="AF429">
        <f t="shared" si="1046"/>
        <v>14</v>
      </c>
      <c r="AG429">
        <f t="shared" si="1047"/>
        <v>77</v>
      </c>
      <c r="AH429">
        <f t="shared" si="1048"/>
        <v>78</v>
      </c>
      <c r="AI429">
        <f t="shared" si="1049"/>
        <v>1</v>
      </c>
      <c r="AJ429">
        <f t="shared" si="1050"/>
        <v>2</v>
      </c>
      <c r="AK429">
        <f t="shared" si="1051"/>
        <v>1</v>
      </c>
      <c r="AL429">
        <f t="shared" si="1052"/>
        <v>76</v>
      </c>
    </row>
    <row r="430" spans="1:38" ht="17.149999999999999" x14ac:dyDescent="0.55000000000000004">
      <c r="B430" t="str">
        <f>B426</f>
        <v>Portland</v>
      </c>
      <c r="C430" t="s">
        <v>512</v>
      </c>
      <c r="D430">
        <f t="shared" ref="D430:P430" si="1054">D426-D425</f>
        <v>10.400000000000034</v>
      </c>
      <c r="E430">
        <f t="shared" si="1054"/>
        <v>13.199999999999989</v>
      </c>
      <c r="F430">
        <f t="shared" si="1054"/>
        <v>13.200000000000045</v>
      </c>
      <c r="G430">
        <f t="shared" si="1054"/>
        <v>13.399999999999977</v>
      </c>
      <c r="H430">
        <f t="shared" si="1054"/>
        <v>13.299999999999955</v>
      </c>
      <c r="I430">
        <f t="shared" si="1054"/>
        <v>12.500000000000057</v>
      </c>
      <c r="J430">
        <f t="shared" si="1054"/>
        <v>12.699999999999932</v>
      </c>
      <c r="K430">
        <f t="shared" si="1054"/>
        <v>13.600000000000023</v>
      </c>
      <c r="L430">
        <f t="shared" si="1054"/>
        <v>16.399999999999977</v>
      </c>
      <c r="M430">
        <f t="shared" si="1054"/>
        <v>14.699999999999989</v>
      </c>
      <c r="N430">
        <f t="shared" si="1054"/>
        <v>12.200000000000045</v>
      </c>
      <c r="O430">
        <f t="shared" si="1054"/>
        <v>10</v>
      </c>
      <c r="P430">
        <f t="shared" si="1054"/>
        <v>13</v>
      </c>
    </row>
    <row r="431" spans="1:38" x14ac:dyDescent="0.4">
      <c r="B431" t="str">
        <f t="shared" ref="B431:B438" si="1055">B430</f>
        <v>Portland</v>
      </c>
      <c r="C431" t="s">
        <v>260</v>
      </c>
      <c r="D431">
        <f t="shared" ref="D431:P431" si="1056">VLOOKUP(VLOOKUP($B431,Terminal_X_Ref,2,FALSE)&amp;$C431,Weather_Data,$Y431*D$3+$Z431,FALSE)</f>
        <v>343</v>
      </c>
      <c r="E431">
        <f t="shared" si="1056"/>
        <v>600</v>
      </c>
      <c r="F431">
        <f t="shared" si="1056"/>
        <v>877</v>
      </c>
      <c r="G431">
        <f t="shared" si="1056"/>
        <v>1252</v>
      </c>
      <c r="H431">
        <f t="shared" si="1056"/>
        <v>1537</v>
      </c>
      <c r="I431">
        <f t="shared" si="1056"/>
        <v>1627</v>
      </c>
      <c r="J431">
        <f t="shared" si="1056"/>
        <v>1708</v>
      </c>
      <c r="K431">
        <f t="shared" si="1056"/>
        <v>1492</v>
      </c>
      <c r="L431">
        <f t="shared" si="1056"/>
        <v>1196</v>
      </c>
      <c r="M431">
        <f t="shared" si="1056"/>
        <v>728</v>
      </c>
      <c r="N431">
        <f t="shared" si="1056"/>
        <v>391</v>
      </c>
      <c r="O431">
        <f t="shared" si="1056"/>
        <v>302</v>
      </c>
      <c r="P431">
        <f t="shared" si="1056"/>
        <v>1005</v>
      </c>
      <c r="U431">
        <f>U426</f>
        <v>2</v>
      </c>
      <c r="V431">
        <f t="shared" ref="V431:Z431" si="1057">V426</f>
        <v>3</v>
      </c>
      <c r="W431">
        <f t="shared" si="1057"/>
        <v>1</v>
      </c>
      <c r="X431">
        <f t="shared" si="1057"/>
        <v>2</v>
      </c>
      <c r="Y431">
        <f t="shared" si="1057"/>
        <v>1</v>
      </c>
      <c r="Z431">
        <f t="shared" si="1057"/>
        <v>1</v>
      </c>
    </row>
    <row r="432" spans="1:38" ht="17.149999999999999" x14ac:dyDescent="0.55000000000000004">
      <c r="B432" t="str">
        <f t="shared" si="1055"/>
        <v>Portland</v>
      </c>
      <c r="C432" t="s">
        <v>523</v>
      </c>
      <c r="D432">
        <f>IF(ISNUMBER(D429),0.7*D430+0.02*D429*D431,IF(D429="Partially Insulated",0.6*D430+0.02*D428*D431,0))</f>
        <v>0</v>
      </c>
      <c r="E432">
        <f t="shared" ref="E432:P432" si="1058">IF(ISNUMBER(E429),0.7*E430+0.02*E429*E431,IF(E429="Partially Insulated",0.6*E430+0.02*E428*E431,0))</f>
        <v>0</v>
      </c>
      <c r="F432">
        <f t="shared" si="1058"/>
        <v>0</v>
      </c>
      <c r="G432">
        <f t="shared" si="1058"/>
        <v>0</v>
      </c>
      <c r="H432">
        <f t="shared" si="1058"/>
        <v>0</v>
      </c>
      <c r="I432">
        <f t="shared" si="1058"/>
        <v>0</v>
      </c>
      <c r="J432">
        <f t="shared" si="1058"/>
        <v>0</v>
      </c>
      <c r="K432">
        <f t="shared" si="1058"/>
        <v>0</v>
      </c>
      <c r="L432">
        <f t="shared" si="1058"/>
        <v>0</v>
      </c>
      <c r="M432">
        <f t="shared" si="1058"/>
        <v>0</v>
      </c>
      <c r="N432">
        <f t="shared" si="1058"/>
        <v>0</v>
      </c>
      <c r="O432">
        <f t="shared" si="1058"/>
        <v>0</v>
      </c>
      <c r="P432">
        <f t="shared" si="1058"/>
        <v>0</v>
      </c>
    </row>
    <row r="433" spans="1:38" ht="17.149999999999999" x14ac:dyDescent="0.55000000000000004">
      <c r="B433" t="str">
        <f t="shared" si="1055"/>
        <v>Portland</v>
      </c>
      <c r="C433" t="s">
        <v>524</v>
      </c>
      <c r="D433">
        <f t="shared" ref="D433:F433" si="1059">AVERAGE(D425:D426)</f>
        <v>503.5</v>
      </c>
      <c r="E433">
        <f t="shared" si="1059"/>
        <v>504.30000000000007</v>
      </c>
      <c r="F433">
        <f t="shared" si="1059"/>
        <v>505.70000000000005</v>
      </c>
      <c r="G433">
        <f>AVERAGE(G425:G426)</f>
        <v>508.2</v>
      </c>
      <c r="H433">
        <f t="shared" ref="H433:P433" si="1060">AVERAGE(H425:H426)</f>
        <v>512.75</v>
      </c>
      <c r="I433">
        <f t="shared" si="1060"/>
        <v>516.55000000000007</v>
      </c>
      <c r="J433">
        <f t="shared" si="1060"/>
        <v>520.04999999999995</v>
      </c>
      <c r="K433">
        <f t="shared" si="1060"/>
        <v>520.5</v>
      </c>
      <c r="L433">
        <f t="shared" si="1060"/>
        <v>518.20000000000005</v>
      </c>
      <c r="M433">
        <f t="shared" si="1060"/>
        <v>512.25</v>
      </c>
      <c r="N433">
        <f t="shared" si="1060"/>
        <v>506.70000000000005</v>
      </c>
      <c r="O433">
        <f t="shared" si="1060"/>
        <v>503.20000000000005</v>
      </c>
      <c r="P433">
        <f t="shared" si="1060"/>
        <v>51.4</v>
      </c>
    </row>
    <row r="434" spans="1:38" ht="17.149999999999999" x14ac:dyDescent="0.55000000000000004">
      <c r="B434" t="str">
        <f t="shared" si="1055"/>
        <v>Portland</v>
      </c>
      <c r="C434" t="s">
        <v>525</v>
      </c>
      <c r="D434" cm="1">
        <f t="array" ref="D434">IFERROR(IF(ISBLANK(INDEX(FX_Input,$R425,D$3*$AK425+$AL425)),D433+0.003*D427*D431,INDEX(FX_Input,$R425,D$3*$AK425+$AL425)+459.6),D433)</f>
        <v>503.5</v>
      </c>
      <c r="E434" cm="1">
        <f t="array" ref="E434">IFERROR(IF(ISBLANK(INDEX(FX_Input,$R425,E$3*$AK425+$AL425)),E433+0.003*E427*E431,INDEX(FX_Input,$R425,E$3*$AK425+$AL425)+459.6),E433)</f>
        <v>504.30000000000007</v>
      </c>
      <c r="F434" cm="1">
        <f t="array" ref="F434">IFERROR(IF(ISBLANK(INDEX(FX_Input,$R425,F$3*$AK425+$AL425)),F433+0.003*F427*F431,INDEX(FX_Input,$R425,F$3*$AK425+$AL425)+459.6),F433)</f>
        <v>505.70000000000005</v>
      </c>
      <c r="G434" cm="1">
        <f t="array" ref="G434">IFERROR(IF(ISBLANK(INDEX(FX_Input,$R425,G$3*$AK425+$AL425)),G433+0.003*G427*G431,INDEX(FX_Input,$R425,G$3*$AK425+$AL425)+459.6),G433)</f>
        <v>508.2</v>
      </c>
      <c r="H434" cm="1">
        <f t="array" ref="H434">IFERROR(IF(ISBLANK(INDEX(FX_Input,$R425,H$3*$AK425+$AL425)),H433+0.003*H427*H431,INDEX(FX_Input,$R425,H$3*$AK425+$AL425)+459.6),H433)</f>
        <v>512.75</v>
      </c>
      <c r="I434" cm="1">
        <f t="array" ref="I434">IFERROR(IF(ISBLANK(INDEX(FX_Input,$R425,I$3*$AK425+$AL425)),I433+0.003*I427*I431,INDEX(FX_Input,$R425,I$3*$AK425+$AL425)+459.6),I433)</f>
        <v>516.55000000000007</v>
      </c>
      <c r="J434" cm="1">
        <f t="array" ref="J434">IFERROR(IF(ISBLANK(INDEX(FX_Input,$R425,J$3*$AK425+$AL425)),J433+0.003*J427*J431,INDEX(FX_Input,$R425,J$3*$AK425+$AL425)+459.6),J433)</f>
        <v>520.04999999999995</v>
      </c>
      <c r="K434" cm="1">
        <f t="array" ref="K434">IFERROR(IF(ISBLANK(INDEX(FX_Input,$R425,K$3*$AK425+$AL425)),K433+0.003*K427*K431,INDEX(FX_Input,$R425,K$3*$AK425+$AL425)+459.6),K433)</f>
        <v>520.5</v>
      </c>
      <c r="L434" cm="1">
        <f t="array" ref="L434">IFERROR(IF(ISBLANK(INDEX(FX_Input,$R425,L$3*$AK425+$AL425)),L433+0.003*L427*L431,INDEX(FX_Input,$R425,L$3*$AK425+$AL425)+459.6),L433)</f>
        <v>518.20000000000005</v>
      </c>
      <c r="M434" cm="1">
        <f t="array" ref="M434">IFERROR(IF(ISBLANK(INDEX(FX_Input,$R425,M$3*$AK425+$AL425)),M433+0.003*M427*M431,INDEX(FX_Input,$R425,M$3*$AK425+$AL425)+459.6),M433)</f>
        <v>512.25</v>
      </c>
      <c r="N434" cm="1">
        <f t="array" ref="N434">IFERROR(IF(ISBLANK(INDEX(FX_Input,$R425,N$3*$AK425+$AL425)),N433+0.003*N427*N431,INDEX(FX_Input,$R425,N$3*$AK425+$AL425)+459.6),N433)</f>
        <v>506.70000000000005</v>
      </c>
      <c r="O434" cm="1">
        <f t="array" ref="O434">IFERROR(IF(ISBLANK(INDEX(FX_Input,$R425,O$3*$AK425+$AL425)),O433+0.003*O427*O431,INDEX(FX_Input,$R425,O$3*$AK425+$AL425)+459.6),O433)</f>
        <v>503.20000000000005</v>
      </c>
      <c r="P434" cm="1">
        <f t="array" ref="P434">IFERROR(IF(ISBLANK(INDEX(FX_Input,$R425,P$3*$AK425+$AL425)),P433+0.003*P427*P431,INDEX(FX_Input,$R425,P$3*$AK425+$AL425)+459.6),P433)</f>
        <v>459.6</v>
      </c>
    </row>
    <row r="435" spans="1:38" ht="17.149999999999999" x14ac:dyDescent="0.55000000000000004">
      <c r="B435" t="str">
        <f t="shared" si="1055"/>
        <v>Portland</v>
      </c>
      <c r="C435" t="s">
        <v>526</v>
      </c>
      <c r="D435">
        <f>IF(ISNUMBER(D429),0.4*D425+0.6*D434+0.005*D429*D431,IF(D429="Partially Insulated",0.3*D433+0.7*D434+0.005*D428*D431,D434))-459.6</f>
        <v>43.899999999999977</v>
      </c>
      <c r="E435">
        <f t="shared" ref="E435" si="1061">IF(ISNUMBER(E429),0.4*E425+0.6*E434+0.005*E429*E431,IF(E429="Partially Insulated",0.3*E433+0.7*E434+0.005*E428*E431,E434))-459.6</f>
        <v>44.700000000000045</v>
      </c>
      <c r="F435">
        <f t="shared" ref="F435" si="1062">IF(ISNUMBER(F429),0.4*F425+0.6*F434+0.005*F429*F431,IF(F429="Partially Insulated",0.3*F433+0.7*F434+0.005*F428*F431,F434))-459.6</f>
        <v>46.100000000000023</v>
      </c>
      <c r="G435">
        <f t="shared" ref="G435" si="1063">IF(ISNUMBER(G429),0.4*G425+0.6*G434+0.005*G429*G431,IF(G429="Partially Insulated",0.3*G433+0.7*G434+0.005*G428*G431,G434))-459.6</f>
        <v>48.599999999999966</v>
      </c>
      <c r="H435">
        <f t="shared" ref="H435" si="1064">IF(ISNUMBER(H429),0.4*H425+0.6*H434+0.005*H429*H431,IF(H429="Partially Insulated",0.3*H433+0.7*H434+0.005*H428*H431,H434))-459.6</f>
        <v>53.149999999999977</v>
      </c>
      <c r="I435">
        <f t="shared" ref="I435" si="1065">IF(ISNUMBER(I429),0.4*I425+0.6*I434+0.005*I429*I431,IF(I429="Partially Insulated",0.3*I433+0.7*I434+0.005*I428*I431,I434))-459.6</f>
        <v>56.950000000000045</v>
      </c>
      <c r="J435">
        <f t="shared" ref="J435" si="1066">IF(ISNUMBER(J429),0.4*J425+0.6*J434+0.005*J429*J431,IF(J429="Partially Insulated",0.3*J433+0.7*J434+0.005*J428*J431,J434))-459.6</f>
        <v>60.449999999999932</v>
      </c>
      <c r="K435">
        <f t="shared" ref="K435" si="1067">IF(ISNUMBER(K429),0.4*K425+0.6*K434+0.005*K429*K431,IF(K429="Partially Insulated",0.3*K433+0.7*K434+0.005*K428*K431,K434))-459.6</f>
        <v>60.899999999999977</v>
      </c>
      <c r="L435">
        <f t="shared" ref="L435" si="1068">IF(ISNUMBER(L429),0.4*L425+0.6*L434+0.005*L429*L431,IF(L429="Partially Insulated",0.3*L433+0.7*L434+0.005*L428*L431,L434))-459.6</f>
        <v>58.600000000000023</v>
      </c>
      <c r="M435">
        <f t="shared" ref="M435" si="1069">IF(ISNUMBER(M429),0.4*M425+0.6*M434+0.005*M429*M431,IF(M429="Partially Insulated",0.3*M433+0.7*M434+0.005*M428*M431,M434))-459.6</f>
        <v>52.649999999999977</v>
      </c>
      <c r="N435">
        <f t="shared" ref="N435" si="1070">IF(ISNUMBER(N429),0.4*N425+0.6*N434+0.005*N429*N431,IF(N429="Partially Insulated",0.3*N433+0.7*N434+0.005*N428*N431,N434))-459.6</f>
        <v>47.100000000000023</v>
      </c>
      <c r="O435">
        <f t="shared" ref="O435" si="1071">IF(ISNUMBER(O429),0.4*O425+0.6*O434+0.005*O429*O431,IF(O429="Partially Insulated",0.3*O433+0.7*O434+0.005*O428*O431,O434))-459.6</f>
        <v>43.600000000000023</v>
      </c>
      <c r="P435">
        <f>AVERAGE(D435:O435)</f>
        <v>51.391666666666673</v>
      </c>
    </row>
    <row r="436" spans="1:38" ht="17.149999999999999" x14ac:dyDescent="0.55000000000000004">
      <c r="B436" t="str">
        <f t="shared" si="1055"/>
        <v>Portland</v>
      </c>
      <c r="C436" t="s">
        <v>527</v>
      </c>
      <c r="D436">
        <f>IF(ISNUMBER(D429),0.4*D426+0.6*D434+0.005*D429*D431,IF(D429="Partially Insulated",0.3*D433+0.7*D434+0.005*D428*D431,D434))-459.6</f>
        <v>43.899999999999977</v>
      </c>
      <c r="E436">
        <f t="shared" ref="E436:O436" si="1072">IF(ISNUMBER(E429),0.4*E426+0.6*E434+0.005*E429*E431,IF(E429="Partially Insulated",0.3*E433+0.7*E434+0.005*E428*E431,E434))-459.6</f>
        <v>44.700000000000045</v>
      </c>
      <c r="F436">
        <f t="shared" si="1072"/>
        <v>46.100000000000023</v>
      </c>
      <c r="G436">
        <f t="shared" si="1072"/>
        <v>48.599999999999966</v>
      </c>
      <c r="H436">
        <f t="shared" si="1072"/>
        <v>53.149999999999977</v>
      </c>
      <c r="I436">
        <f t="shared" si="1072"/>
        <v>56.950000000000045</v>
      </c>
      <c r="J436">
        <f t="shared" si="1072"/>
        <v>60.449999999999932</v>
      </c>
      <c r="K436">
        <f t="shared" si="1072"/>
        <v>60.899999999999977</v>
      </c>
      <c r="L436">
        <f t="shared" si="1072"/>
        <v>58.600000000000023</v>
      </c>
      <c r="M436">
        <f t="shared" si="1072"/>
        <v>52.649999999999977</v>
      </c>
      <c r="N436">
        <f t="shared" si="1072"/>
        <v>47.100000000000023</v>
      </c>
      <c r="O436">
        <f t="shared" si="1072"/>
        <v>43.600000000000023</v>
      </c>
      <c r="P436">
        <f>AVERAGE(D436:O436)</f>
        <v>51.391666666666673</v>
      </c>
    </row>
    <row r="437" spans="1:38" ht="17.149999999999999" x14ac:dyDescent="0.55000000000000004">
      <c r="B437" t="str">
        <f t="shared" si="1055"/>
        <v>Portland</v>
      </c>
      <c r="C437" t="s">
        <v>552</v>
      </c>
      <c r="D437">
        <f>IF(ISNUMBER(D429),0.4*D433+0.6*D434+0.005*D429*D431,IF(D429="Partially Insulated",0.3*D433+0.7*D434+0.005*D428*D431,D434))-459.6</f>
        <v>43.899999999999977</v>
      </c>
      <c r="E437">
        <f t="shared" ref="E437:O437" si="1073">IF(ISNUMBER(E429),0.4*E433+0.6*E434+0.005*E429*E431,IF(E429="Partially Insulated",0.3*E433+0.7*E434+0.005*E428*E431,E434))-459.6</f>
        <v>44.700000000000045</v>
      </c>
      <c r="F437">
        <f t="shared" si="1073"/>
        <v>46.100000000000023</v>
      </c>
      <c r="G437">
        <f t="shared" si="1073"/>
        <v>48.599999999999966</v>
      </c>
      <c r="H437">
        <f t="shared" si="1073"/>
        <v>53.149999999999977</v>
      </c>
      <c r="I437">
        <f t="shared" si="1073"/>
        <v>56.950000000000045</v>
      </c>
      <c r="J437">
        <f t="shared" si="1073"/>
        <v>60.449999999999932</v>
      </c>
      <c r="K437">
        <f t="shared" si="1073"/>
        <v>60.899999999999977</v>
      </c>
      <c r="L437">
        <f t="shared" si="1073"/>
        <v>58.600000000000023</v>
      </c>
      <c r="M437">
        <f t="shared" si="1073"/>
        <v>52.649999999999977</v>
      </c>
      <c r="N437">
        <f t="shared" si="1073"/>
        <v>47.100000000000023</v>
      </c>
      <c r="O437">
        <f t="shared" si="1073"/>
        <v>43.600000000000023</v>
      </c>
      <c r="P437">
        <f>AVERAGE(D437:O437)</f>
        <v>51.391666666666673</v>
      </c>
    </row>
    <row r="438" spans="1:38" ht="17.149999999999999" x14ac:dyDescent="0.55000000000000004">
      <c r="A438" s="11"/>
      <c r="B438" s="11" t="str">
        <f t="shared" si="1055"/>
        <v>Portland</v>
      </c>
      <c r="C438" s="11" t="s">
        <v>553</v>
      </c>
      <c r="D438" s="11">
        <f>IF(ISNUMBER(D429),0.7*D433+0.3*D434+0.009*D429*D431,IF(D429="Partially Insulated",0.6*D433+0.4*D434+0.01*D428*D431,D434))-459.6</f>
        <v>43.899999999999977</v>
      </c>
      <c r="E438" s="11">
        <f t="shared" ref="E438:O438" si="1074">IF(ISNUMBER(E429),0.7*E433+0.3*E434+0.009*E429*E431,IF(E429="Partially Insulated",0.6*E433+0.4*E434+0.01*E428*E431,E434))-459.6</f>
        <v>44.700000000000045</v>
      </c>
      <c r="F438" s="11">
        <f t="shared" si="1074"/>
        <v>46.100000000000023</v>
      </c>
      <c r="G438" s="11">
        <f t="shared" si="1074"/>
        <v>48.599999999999966</v>
      </c>
      <c r="H438" s="11">
        <f t="shared" si="1074"/>
        <v>53.149999999999977</v>
      </c>
      <c r="I438" s="11">
        <f t="shared" si="1074"/>
        <v>56.950000000000045</v>
      </c>
      <c r="J438" s="11">
        <f t="shared" si="1074"/>
        <v>60.449999999999932</v>
      </c>
      <c r="K438" s="11">
        <f t="shared" si="1074"/>
        <v>60.899999999999977</v>
      </c>
      <c r="L438" s="11">
        <f t="shared" si="1074"/>
        <v>58.600000000000023</v>
      </c>
      <c r="M438" s="11">
        <f t="shared" si="1074"/>
        <v>52.649999999999977</v>
      </c>
      <c r="N438" s="11">
        <f t="shared" si="1074"/>
        <v>47.100000000000023</v>
      </c>
      <c r="O438" s="11">
        <f t="shared" si="1074"/>
        <v>43.600000000000023</v>
      </c>
      <c r="P438" s="11">
        <f>AVERAGE(D438:O438)</f>
        <v>51.391666666666673</v>
      </c>
      <c r="Q438" s="11"/>
      <c r="R438" s="11"/>
      <c r="S438" s="11"/>
      <c r="T438" s="11"/>
      <c r="U438" s="11"/>
      <c r="V438" s="11"/>
      <c r="W438" s="11"/>
      <c r="X438" s="11"/>
      <c r="Y438" s="11"/>
      <c r="Z438" s="11"/>
      <c r="AA438" s="11"/>
      <c r="AB438" s="11"/>
      <c r="AC438" s="11"/>
      <c r="AD438" s="11"/>
      <c r="AE438" s="11"/>
      <c r="AF438" s="11"/>
      <c r="AG438" s="11"/>
      <c r="AH438" s="11"/>
      <c r="AI438" s="11"/>
      <c r="AJ438" s="11"/>
      <c r="AK438" s="11"/>
      <c r="AL438" s="11"/>
    </row>
    <row r="439" spans="1:38" ht="17.149999999999999" x14ac:dyDescent="0.55000000000000004">
      <c r="A439" t="str" cm="1">
        <f t="array" ref="A439">INDEX(FX_Input,$R439,S$5)</f>
        <v>FX - 32</v>
      </c>
      <c r="B439" t="str" cm="1">
        <f t="array" ref="B439">INDEX(FX_Input,R439,T439)</f>
        <v>Portland</v>
      </c>
      <c r="C439" t="s">
        <v>510</v>
      </c>
      <c r="D439">
        <f t="shared" ref="D439:O440" si="1075">VLOOKUP(VLOOKUP($B439,Terminal_X_Ref,2,FALSE)&amp;$C439,Weather_Data,$Y439*D$3+$Z439,FALSE)+459.6</f>
        <v>498.3</v>
      </c>
      <c r="E439">
        <f t="shared" si="1075"/>
        <v>497.70000000000005</v>
      </c>
      <c r="F439">
        <f t="shared" si="1075"/>
        <v>499.1</v>
      </c>
      <c r="G439">
        <f t="shared" si="1075"/>
        <v>501.5</v>
      </c>
      <c r="H439">
        <f t="shared" si="1075"/>
        <v>506.1</v>
      </c>
      <c r="I439">
        <f t="shared" si="1075"/>
        <v>510.3</v>
      </c>
      <c r="J439">
        <f t="shared" si="1075"/>
        <v>513.70000000000005</v>
      </c>
      <c r="K439">
        <f t="shared" si="1075"/>
        <v>513.70000000000005</v>
      </c>
      <c r="L439">
        <f t="shared" si="1075"/>
        <v>510</v>
      </c>
      <c r="M439">
        <f t="shared" si="1075"/>
        <v>504.90000000000003</v>
      </c>
      <c r="N439">
        <f t="shared" si="1075"/>
        <v>500.6</v>
      </c>
      <c r="O439">
        <f t="shared" si="1075"/>
        <v>498.20000000000005</v>
      </c>
      <c r="P439">
        <f t="shared" ref="P439:P440" si="1076">VLOOKUP(VLOOKUP($B439,Terminal_X_Ref,2,FALSE)&amp;$C439,Weather_Data,$Y439*P$3+$Z439,FALSE)</f>
        <v>44.9</v>
      </c>
      <c r="R439">
        <f>R425+2</f>
        <v>63</v>
      </c>
      <c r="S439">
        <f>S425+1</f>
        <v>32</v>
      </c>
      <c r="T439">
        <v>3</v>
      </c>
      <c r="U439">
        <v>2</v>
      </c>
      <c r="V439">
        <v>3</v>
      </c>
      <c r="W439">
        <v>1</v>
      </c>
      <c r="X439">
        <v>2</v>
      </c>
      <c r="Y439">
        <f>(V439-U439)/(X439-W439)</f>
        <v>1</v>
      </c>
      <c r="Z439">
        <f>U439-Y439*W439</f>
        <v>1</v>
      </c>
      <c r="AA439">
        <f>AA425+1</f>
        <v>32</v>
      </c>
      <c r="AB439">
        <v>6</v>
      </c>
      <c r="AC439">
        <v>3</v>
      </c>
      <c r="AD439">
        <v>13</v>
      </c>
      <c r="AE439">
        <v>12</v>
      </c>
      <c r="AF439">
        <v>14</v>
      </c>
      <c r="AG439">
        <v>77</v>
      </c>
      <c r="AH439">
        <v>78</v>
      </c>
      <c r="AI439">
        <v>1</v>
      </c>
      <c r="AJ439">
        <v>2</v>
      </c>
      <c r="AK439">
        <f>(AH439-AG439)/(AJ439-AI439)</f>
        <v>1</v>
      </c>
      <c r="AL439">
        <f>AG439-AK439*AI439</f>
        <v>76</v>
      </c>
    </row>
    <row r="440" spans="1:38" ht="17.149999999999999" x14ac:dyDescent="0.55000000000000004">
      <c r="B440" t="str">
        <f t="shared" ref="B440" si="1077">B439</f>
        <v>Portland</v>
      </c>
      <c r="C440" t="s">
        <v>511</v>
      </c>
      <c r="D440">
        <f t="shared" si="1075"/>
        <v>508.70000000000005</v>
      </c>
      <c r="E440">
        <f t="shared" si="1075"/>
        <v>510.90000000000003</v>
      </c>
      <c r="F440">
        <f t="shared" si="1075"/>
        <v>512.30000000000007</v>
      </c>
      <c r="G440">
        <f t="shared" si="1075"/>
        <v>514.9</v>
      </c>
      <c r="H440">
        <f t="shared" si="1075"/>
        <v>519.4</v>
      </c>
      <c r="I440">
        <f t="shared" si="1075"/>
        <v>522.80000000000007</v>
      </c>
      <c r="J440">
        <f t="shared" si="1075"/>
        <v>526.4</v>
      </c>
      <c r="K440">
        <f t="shared" si="1075"/>
        <v>527.30000000000007</v>
      </c>
      <c r="L440">
        <f t="shared" si="1075"/>
        <v>526.4</v>
      </c>
      <c r="M440">
        <f t="shared" si="1075"/>
        <v>519.6</v>
      </c>
      <c r="N440">
        <f t="shared" si="1075"/>
        <v>512.80000000000007</v>
      </c>
      <c r="O440">
        <f t="shared" si="1075"/>
        <v>508.20000000000005</v>
      </c>
      <c r="P440">
        <f t="shared" si="1076"/>
        <v>57.9</v>
      </c>
      <c r="U440">
        <f>U439</f>
        <v>2</v>
      </c>
      <c r="V440">
        <f t="shared" ref="V440:Z440" si="1078">V439</f>
        <v>3</v>
      </c>
      <c r="W440">
        <f t="shared" si="1078"/>
        <v>1</v>
      </c>
      <c r="X440">
        <f t="shared" si="1078"/>
        <v>2</v>
      </c>
      <c r="Y440">
        <f t="shared" si="1078"/>
        <v>1</v>
      </c>
      <c r="Z440">
        <f t="shared" si="1078"/>
        <v>1</v>
      </c>
      <c r="AA440">
        <f>AA439</f>
        <v>32</v>
      </c>
      <c r="AB440">
        <f t="shared" ref="AB440:AB443" si="1079">AB439</f>
        <v>6</v>
      </c>
      <c r="AC440">
        <f t="shared" ref="AC440:AF443" si="1080">AC439</f>
        <v>3</v>
      </c>
      <c r="AD440">
        <f t="shared" si="1080"/>
        <v>13</v>
      </c>
      <c r="AE440">
        <f t="shared" si="1080"/>
        <v>12</v>
      </c>
      <c r="AF440">
        <f t="shared" si="1080"/>
        <v>14</v>
      </c>
      <c r="AG440">
        <f t="shared" ref="AG440:AG443" si="1081">AG439</f>
        <v>77</v>
      </c>
      <c r="AH440">
        <f t="shared" ref="AH440:AH443" si="1082">AH439</f>
        <v>78</v>
      </c>
      <c r="AI440">
        <f t="shared" ref="AI440:AI443" si="1083">AI439</f>
        <v>1</v>
      </c>
      <c r="AJ440">
        <f t="shared" ref="AJ440:AJ443" si="1084">AJ439</f>
        <v>2</v>
      </c>
      <c r="AK440">
        <f t="shared" ref="AK440:AK443" si="1085">AK439</f>
        <v>1</v>
      </c>
      <c r="AL440">
        <f t="shared" ref="AL440:AL443" si="1086">AL439</f>
        <v>76</v>
      </c>
    </row>
    <row r="441" spans="1:38" ht="17.149999999999999" x14ac:dyDescent="0.4">
      <c r="B441" t="str">
        <f>B440</f>
        <v>Portland</v>
      </c>
      <c r="C441" s="66" t="s">
        <v>514</v>
      </c>
      <c r="D441" t="str" cm="1">
        <f t="array" ref="D441">INDEX(FX_Calcs,$AA441,$AE441)</f>
        <v>N/A</v>
      </c>
      <c r="E441" t="str" cm="1">
        <f t="array" ref="E441">INDEX(FX_Calcs,$AA441,$AE441)</f>
        <v>N/A</v>
      </c>
      <c r="F441" t="str" cm="1">
        <f t="array" ref="F441">INDEX(FX_Calcs,$AA441,$AE441)</f>
        <v>N/A</v>
      </c>
      <c r="G441" t="str" cm="1">
        <f t="array" ref="G441">INDEX(FX_Calcs,$AA441,$AE441)</f>
        <v>N/A</v>
      </c>
      <c r="H441" t="str" cm="1">
        <f t="array" ref="H441">INDEX(FX_Calcs,$AA441,$AE441)</f>
        <v>N/A</v>
      </c>
      <c r="I441" t="str" cm="1">
        <f t="array" ref="I441">INDEX(FX_Calcs,$AA441,$AE441)</f>
        <v>N/A</v>
      </c>
      <c r="J441" t="str" cm="1">
        <f t="array" ref="J441">INDEX(FX_Calcs,$AA441,$AE441)</f>
        <v>N/A</v>
      </c>
      <c r="K441" t="str" cm="1">
        <f t="array" ref="K441">INDEX(FX_Calcs,$AA441,$AE441)</f>
        <v>N/A</v>
      </c>
      <c r="L441" t="str" cm="1">
        <f t="array" ref="L441">INDEX(FX_Calcs,$AA441,$AE441)</f>
        <v>N/A</v>
      </c>
      <c r="M441" t="str" cm="1">
        <f t="array" ref="M441">INDEX(FX_Calcs,$AA441,$AE441)</f>
        <v>N/A</v>
      </c>
      <c r="N441" t="str" cm="1">
        <f t="array" ref="N441">INDEX(FX_Calcs,$AA441,$AE441)</f>
        <v>N/A</v>
      </c>
      <c r="O441" t="str" cm="1">
        <f t="array" ref="O441">INDEX(FX_Calcs,$AA441,$AE441)</f>
        <v>N/A</v>
      </c>
      <c r="P441" t="str" cm="1">
        <f t="array" ref="P441">INDEX(FX_Calcs,$AA441,$AE441)</f>
        <v>N/A</v>
      </c>
      <c r="AA441">
        <f>AA440</f>
        <v>32</v>
      </c>
      <c r="AB441">
        <f t="shared" si="1079"/>
        <v>6</v>
      </c>
      <c r="AC441">
        <f t="shared" si="1080"/>
        <v>3</v>
      </c>
      <c r="AD441">
        <f t="shared" si="1080"/>
        <v>13</v>
      </c>
      <c r="AE441">
        <f t="shared" si="1080"/>
        <v>12</v>
      </c>
      <c r="AF441">
        <f t="shared" si="1080"/>
        <v>14</v>
      </c>
      <c r="AG441">
        <f t="shared" si="1081"/>
        <v>77</v>
      </c>
      <c r="AH441">
        <f t="shared" si="1082"/>
        <v>78</v>
      </c>
      <c r="AI441">
        <f t="shared" si="1083"/>
        <v>1</v>
      </c>
      <c r="AJ441">
        <f t="shared" si="1084"/>
        <v>2</v>
      </c>
      <c r="AK441">
        <f t="shared" si="1085"/>
        <v>1</v>
      </c>
      <c r="AL441">
        <f t="shared" si="1086"/>
        <v>76</v>
      </c>
    </row>
    <row r="442" spans="1:38" ht="17.149999999999999" x14ac:dyDescent="0.4">
      <c r="B442" t="str">
        <f t="shared" ref="B442:B443" si="1087">B441</f>
        <v>Portland</v>
      </c>
      <c r="C442" s="66" t="s">
        <v>513</v>
      </c>
      <c r="D442" t="str" cm="1">
        <f t="array" ref="D442">INDEX(FX_Calcs,$AA442,$AD442)</f>
        <v>N/A</v>
      </c>
      <c r="E442" t="str" cm="1">
        <f t="array" ref="E442">INDEX(FX_Calcs,$AA442,$AD442)</f>
        <v>N/A</v>
      </c>
      <c r="F442" t="str" cm="1">
        <f t="array" ref="F442">INDEX(FX_Calcs,$AA442,$AD442)</f>
        <v>N/A</v>
      </c>
      <c r="G442" t="str" cm="1">
        <f t="array" ref="G442">INDEX(FX_Calcs,$AA442,$AD442)</f>
        <v>N/A</v>
      </c>
      <c r="H442" t="str" cm="1">
        <f t="array" ref="H442">INDEX(FX_Calcs,$AA442,$AD442)</f>
        <v>N/A</v>
      </c>
      <c r="I442" t="str" cm="1">
        <f t="array" ref="I442">INDEX(FX_Calcs,$AA442,$AD442)</f>
        <v>N/A</v>
      </c>
      <c r="J442" t="str" cm="1">
        <f t="array" ref="J442">INDEX(FX_Calcs,$AA442,$AD442)</f>
        <v>N/A</v>
      </c>
      <c r="K442" t="str" cm="1">
        <f t="array" ref="K442">INDEX(FX_Calcs,$AA442,$AD442)</f>
        <v>N/A</v>
      </c>
      <c r="L442" t="str" cm="1">
        <f t="array" ref="L442">INDEX(FX_Calcs,$AA442,$AD442)</f>
        <v>N/A</v>
      </c>
      <c r="M442" t="str" cm="1">
        <f t="array" ref="M442">INDEX(FX_Calcs,$AA442,$AD442)</f>
        <v>N/A</v>
      </c>
      <c r="N442" t="str" cm="1">
        <f t="array" ref="N442">INDEX(FX_Calcs,$AA442,$AD442)</f>
        <v>N/A</v>
      </c>
      <c r="O442" t="str" cm="1">
        <f t="array" ref="O442">INDEX(FX_Calcs,$AA442,$AD442)</f>
        <v>N/A</v>
      </c>
      <c r="P442" t="str" cm="1">
        <f t="array" ref="P442">INDEX(FX_Calcs,$AA442,$AD442)</f>
        <v>N/A</v>
      </c>
      <c r="AA442">
        <f>AA441</f>
        <v>32</v>
      </c>
      <c r="AB442">
        <f t="shared" si="1079"/>
        <v>6</v>
      </c>
      <c r="AC442">
        <f t="shared" si="1080"/>
        <v>3</v>
      </c>
      <c r="AD442">
        <f t="shared" si="1080"/>
        <v>13</v>
      </c>
      <c r="AE442">
        <f t="shared" si="1080"/>
        <v>12</v>
      </c>
      <c r="AF442">
        <f t="shared" si="1080"/>
        <v>14</v>
      </c>
      <c r="AG442">
        <f t="shared" si="1081"/>
        <v>77</v>
      </c>
      <c r="AH442">
        <f t="shared" si="1082"/>
        <v>78</v>
      </c>
      <c r="AI442">
        <f t="shared" si="1083"/>
        <v>1</v>
      </c>
      <c r="AJ442">
        <f t="shared" si="1084"/>
        <v>2</v>
      </c>
      <c r="AK442">
        <f t="shared" si="1085"/>
        <v>1</v>
      </c>
      <c r="AL442">
        <f t="shared" si="1086"/>
        <v>76</v>
      </c>
    </row>
    <row r="443" spans="1:38" x14ac:dyDescent="0.4">
      <c r="B443" t="str">
        <f t="shared" si="1087"/>
        <v>Portland</v>
      </c>
      <c r="C443" s="66" t="s">
        <v>558</v>
      </c>
      <c r="D443" t="str" cm="1">
        <f t="array" ref="D443">INDEX(FX_Calcs,$AA443,$AF443)</f>
        <v>Insulated</v>
      </c>
      <c r="E443" t="str" cm="1">
        <f t="array" ref="E443">INDEX(FX_Calcs,$AA443,$AF443)</f>
        <v>Insulated</v>
      </c>
      <c r="F443" t="str" cm="1">
        <f t="array" ref="F443">INDEX(FX_Calcs,$AA443,$AF443)</f>
        <v>Insulated</v>
      </c>
      <c r="G443" t="str" cm="1">
        <f t="array" ref="G443">INDEX(FX_Calcs,$AA443,$AF443)</f>
        <v>Insulated</v>
      </c>
      <c r="H443" t="str" cm="1">
        <f t="array" ref="H443">INDEX(FX_Calcs,$AA443,$AF443)</f>
        <v>Insulated</v>
      </c>
      <c r="I443" t="str" cm="1">
        <f t="array" ref="I443">INDEX(FX_Calcs,$AA443,$AF443)</f>
        <v>Insulated</v>
      </c>
      <c r="J443" t="str" cm="1">
        <f t="array" ref="J443">INDEX(FX_Calcs,$AA443,$AF443)</f>
        <v>Insulated</v>
      </c>
      <c r="K443" t="str" cm="1">
        <f t="array" ref="K443">INDEX(FX_Calcs,$AA443,$AF443)</f>
        <v>Insulated</v>
      </c>
      <c r="L443" t="str" cm="1">
        <f t="array" ref="L443">INDEX(FX_Calcs,$AA443,$AF443)</f>
        <v>Insulated</v>
      </c>
      <c r="M443" t="str" cm="1">
        <f t="array" ref="M443">INDEX(FX_Calcs,$AA443,$AF443)</f>
        <v>Insulated</v>
      </c>
      <c r="N443" t="str" cm="1">
        <f t="array" ref="N443">INDEX(FX_Calcs,$AA443,$AF443)</f>
        <v>Insulated</v>
      </c>
      <c r="O443" t="str" cm="1">
        <f t="array" ref="O443">INDEX(FX_Calcs,$AA443,$AF443)</f>
        <v>Insulated</v>
      </c>
      <c r="P443" t="str" cm="1">
        <f t="array" ref="P443">INDEX(FX_Calcs,$AA443,$AF443)</f>
        <v>Insulated</v>
      </c>
      <c r="AA443">
        <f>AA442</f>
        <v>32</v>
      </c>
      <c r="AB443">
        <f t="shared" si="1079"/>
        <v>6</v>
      </c>
      <c r="AC443">
        <f t="shared" si="1080"/>
        <v>3</v>
      </c>
      <c r="AD443">
        <f t="shared" si="1080"/>
        <v>13</v>
      </c>
      <c r="AE443">
        <f t="shared" si="1080"/>
        <v>12</v>
      </c>
      <c r="AF443">
        <f t="shared" si="1080"/>
        <v>14</v>
      </c>
      <c r="AG443">
        <f t="shared" si="1081"/>
        <v>77</v>
      </c>
      <c r="AH443">
        <f t="shared" si="1082"/>
        <v>78</v>
      </c>
      <c r="AI443">
        <f t="shared" si="1083"/>
        <v>1</v>
      </c>
      <c r="AJ443">
        <f t="shared" si="1084"/>
        <v>2</v>
      </c>
      <c r="AK443">
        <f t="shared" si="1085"/>
        <v>1</v>
      </c>
      <c r="AL443">
        <f t="shared" si="1086"/>
        <v>76</v>
      </c>
    </row>
    <row r="444" spans="1:38" ht="17.149999999999999" x14ac:dyDescent="0.55000000000000004">
      <c r="B444" t="str">
        <f>B440</f>
        <v>Portland</v>
      </c>
      <c r="C444" t="s">
        <v>512</v>
      </c>
      <c r="D444">
        <f t="shared" ref="D444:P444" si="1088">D440-D439</f>
        <v>10.400000000000034</v>
      </c>
      <c r="E444">
        <f t="shared" si="1088"/>
        <v>13.199999999999989</v>
      </c>
      <c r="F444">
        <f t="shared" si="1088"/>
        <v>13.200000000000045</v>
      </c>
      <c r="G444">
        <f t="shared" si="1088"/>
        <v>13.399999999999977</v>
      </c>
      <c r="H444">
        <f t="shared" si="1088"/>
        <v>13.299999999999955</v>
      </c>
      <c r="I444">
        <f t="shared" si="1088"/>
        <v>12.500000000000057</v>
      </c>
      <c r="J444">
        <f t="shared" si="1088"/>
        <v>12.699999999999932</v>
      </c>
      <c r="K444">
        <f t="shared" si="1088"/>
        <v>13.600000000000023</v>
      </c>
      <c r="L444">
        <f t="shared" si="1088"/>
        <v>16.399999999999977</v>
      </c>
      <c r="M444">
        <f t="shared" si="1088"/>
        <v>14.699999999999989</v>
      </c>
      <c r="N444">
        <f t="shared" si="1088"/>
        <v>12.200000000000045</v>
      </c>
      <c r="O444">
        <f t="shared" si="1088"/>
        <v>10</v>
      </c>
      <c r="P444">
        <f t="shared" si="1088"/>
        <v>13</v>
      </c>
    </row>
    <row r="445" spans="1:38" x14ac:dyDescent="0.4">
      <c r="B445" t="str">
        <f t="shared" ref="B445:B452" si="1089">B444</f>
        <v>Portland</v>
      </c>
      <c r="C445" t="s">
        <v>260</v>
      </c>
      <c r="D445">
        <f t="shared" ref="D445:P445" si="1090">VLOOKUP(VLOOKUP($B445,Terminal_X_Ref,2,FALSE)&amp;$C445,Weather_Data,$Y445*D$3+$Z445,FALSE)</f>
        <v>343</v>
      </c>
      <c r="E445">
        <f t="shared" si="1090"/>
        <v>600</v>
      </c>
      <c r="F445">
        <f t="shared" si="1090"/>
        <v>877</v>
      </c>
      <c r="G445">
        <f t="shared" si="1090"/>
        <v>1252</v>
      </c>
      <c r="H445">
        <f t="shared" si="1090"/>
        <v>1537</v>
      </c>
      <c r="I445">
        <f t="shared" si="1090"/>
        <v>1627</v>
      </c>
      <c r="J445">
        <f t="shared" si="1090"/>
        <v>1708</v>
      </c>
      <c r="K445">
        <f t="shared" si="1090"/>
        <v>1492</v>
      </c>
      <c r="L445">
        <f t="shared" si="1090"/>
        <v>1196</v>
      </c>
      <c r="M445">
        <f t="shared" si="1090"/>
        <v>728</v>
      </c>
      <c r="N445">
        <f t="shared" si="1090"/>
        <v>391</v>
      </c>
      <c r="O445">
        <f t="shared" si="1090"/>
        <v>302</v>
      </c>
      <c r="P445">
        <f t="shared" si="1090"/>
        <v>1005</v>
      </c>
      <c r="U445">
        <f>U440</f>
        <v>2</v>
      </c>
      <c r="V445">
        <f t="shared" ref="V445:Z445" si="1091">V440</f>
        <v>3</v>
      </c>
      <c r="W445">
        <f t="shared" si="1091"/>
        <v>1</v>
      </c>
      <c r="X445">
        <f t="shared" si="1091"/>
        <v>2</v>
      </c>
      <c r="Y445">
        <f t="shared" si="1091"/>
        <v>1</v>
      </c>
      <c r="Z445">
        <f t="shared" si="1091"/>
        <v>1</v>
      </c>
    </row>
    <row r="446" spans="1:38" ht="17.149999999999999" x14ac:dyDescent="0.55000000000000004">
      <c r="B446" t="str">
        <f t="shared" si="1089"/>
        <v>Portland</v>
      </c>
      <c r="C446" t="s">
        <v>523</v>
      </c>
      <c r="D446">
        <f>IF(ISNUMBER(D443),0.7*D444+0.02*D443*D445,IF(D443="Partially Insulated",0.6*D444+0.02*D442*D445,0))</f>
        <v>0</v>
      </c>
      <c r="E446">
        <f t="shared" ref="E446:P446" si="1092">IF(ISNUMBER(E443),0.7*E444+0.02*E443*E445,IF(E443="Partially Insulated",0.6*E444+0.02*E442*E445,0))</f>
        <v>0</v>
      </c>
      <c r="F446">
        <f t="shared" si="1092"/>
        <v>0</v>
      </c>
      <c r="G446">
        <f t="shared" si="1092"/>
        <v>0</v>
      </c>
      <c r="H446">
        <f t="shared" si="1092"/>
        <v>0</v>
      </c>
      <c r="I446">
        <f t="shared" si="1092"/>
        <v>0</v>
      </c>
      <c r="J446">
        <f t="shared" si="1092"/>
        <v>0</v>
      </c>
      <c r="K446">
        <f t="shared" si="1092"/>
        <v>0</v>
      </c>
      <c r="L446">
        <f t="shared" si="1092"/>
        <v>0</v>
      </c>
      <c r="M446">
        <f t="shared" si="1092"/>
        <v>0</v>
      </c>
      <c r="N446">
        <f t="shared" si="1092"/>
        <v>0</v>
      </c>
      <c r="O446">
        <f t="shared" si="1092"/>
        <v>0</v>
      </c>
      <c r="P446">
        <f t="shared" si="1092"/>
        <v>0</v>
      </c>
    </row>
    <row r="447" spans="1:38" ht="17.149999999999999" x14ac:dyDescent="0.55000000000000004">
      <c r="B447" t="str">
        <f t="shared" si="1089"/>
        <v>Portland</v>
      </c>
      <c r="C447" t="s">
        <v>524</v>
      </c>
      <c r="D447">
        <f t="shared" ref="D447:F447" si="1093">AVERAGE(D439:D440)</f>
        <v>503.5</v>
      </c>
      <c r="E447">
        <f t="shared" si="1093"/>
        <v>504.30000000000007</v>
      </c>
      <c r="F447">
        <f t="shared" si="1093"/>
        <v>505.70000000000005</v>
      </c>
      <c r="G447">
        <f>AVERAGE(G439:G440)</f>
        <v>508.2</v>
      </c>
      <c r="H447">
        <f t="shared" ref="H447:P447" si="1094">AVERAGE(H439:H440)</f>
        <v>512.75</v>
      </c>
      <c r="I447">
        <f t="shared" si="1094"/>
        <v>516.55000000000007</v>
      </c>
      <c r="J447">
        <f t="shared" si="1094"/>
        <v>520.04999999999995</v>
      </c>
      <c r="K447">
        <f t="shared" si="1094"/>
        <v>520.5</v>
      </c>
      <c r="L447">
        <f t="shared" si="1094"/>
        <v>518.20000000000005</v>
      </c>
      <c r="M447">
        <f t="shared" si="1094"/>
        <v>512.25</v>
      </c>
      <c r="N447">
        <f t="shared" si="1094"/>
        <v>506.70000000000005</v>
      </c>
      <c r="O447">
        <f t="shared" si="1094"/>
        <v>503.20000000000005</v>
      </c>
      <c r="P447">
        <f t="shared" si="1094"/>
        <v>51.4</v>
      </c>
    </row>
    <row r="448" spans="1:38" ht="17.149999999999999" x14ac:dyDescent="0.55000000000000004">
      <c r="B448" t="str">
        <f t="shared" si="1089"/>
        <v>Portland</v>
      </c>
      <c r="C448" t="s">
        <v>525</v>
      </c>
      <c r="D448" cm="1">
        <f t="array" ref="D448">IFERROR(IF(ISBLANK(INDEX(FX_Input,$R439,D$3*$AK439+$AL439)),D447+0.003*D441*D445,INDEX(FX_Input,$R439,D$3*$AK439+$AL439)+459.6),D447)</f>
        <v>503.5</v>
      </c>
      <c r="E448" cm="1">
        <f t="array" ref="E448">IFERROR(IF(ISBLANK(INDEX(FX_Input,$R439,E$3*$AK439+$AL439)),E447+0.003*E441*E445,INDEX(FX_Input,$R439,E$3*$AK439+$AL439)+459.6),E447)</f>
        <v>504.30000000000007</v>
      </c>
      <c r="F448" cm="1">
        <f t="array" ref="F448">IFERROR(IF(ISBLANK(INDEX(FX_Input,$R439,F$3*$AK439+$AL439)),F447+0.003*F441*F445,INDEX(FX_Input,$R439,F$3*$AK439+$AL439)+459.6),F447)</f>
        <v>505.70000000000005</v>
      </c>
      <c r="G448" cm="1">
        <f t="array" ref="G448">IFERROR(IF(ISBLANK(INDEX(FX_Input,$R439,G$3*$AK439+$AL439)),G447+0.003*G441*G445,INDEX(FX_Input,$R439,G$3*$AK439+$AL439)+459.6),G447)</f>
        <v>508.2</v>
      </c>
      <c r="H448" cm="1">
        <f t="array" ref="H448">IFERROR(IF(ISBLANK(INDEX(FX_Input,$R439,H$3*$AK439+$AL439)),H447+0.003*H441*H445,INDEX(FX_Input,$R439,H$3*$AK439+$AL439)+459.6),H447)</f>
        <v>512.75</v>
      </c>
      <c r="I448" cm="1">
        <f t="array" ref="I448">IFERROR(IF(ISBLANK(INDEX(FX_Input,$R439,I$3*$AK439+$AL439)),I447+0.003*I441*I445,INDEX(FX_Input,$R439,I$3*$AK439+$AL439)+459.6),I447)</f>
        <v>516.55000000000007</v>
      </c>
      <c r="J448" cm="1">
        <f t="array" ref="J448">IFERROR(IF(ISBLANK(INDEX(FX_Input,$R439,J$3*$AK439+$AL439)),J447+0.003*J441*J445,INDEX(FX_Input,$R439,J$3*$AK439+$AL439)+459.6),J447)</f>
        <v>520.04999999999995</v>
      </c>
      <c r="K448" cm="1">
        <f t="array" ref="K448">IFERROR(IF(ISBLANK(INDEX(FX_Input,$R439,K$3*$AK439+$AL439)),K447+0.003*K441*K445,INDEX(FX_Input,$R439,K$3*$AK439+$AL439)+459.6),K447)</f>
        <v>520.5</v>
      </c>
      <c r="L448" cm="1">
        <f t="array" ref="L448">IFERROR(IF(ISBLANK(INDEX(FX_Input,$R439,L$3*$AK439+$AL439)),L447+0.003*L441*L445,INDEX(FX_Input,$R439,L$3*$AK439+$AL439)+459.6),L447)</f>
        <v>518.20000000000005</v>
      </c>
      <c r="M448" cm="1">
        <f t="array" ref="M448">IFERROR(IF(ISBLANK(INDEX(FX_Input,$R439,M$3*$AK439+$AL439)),M447+0.003*M441*M445,INDEX(FX_Input,$R439,M$3*$AK439+$AL439)+459.6),M447)</f>
        <v>512.25</v>
      </c>
      <c r="N448" cm="1">
        <f t="array" ref="N448">IFERROR(IF(ISBLANK(INDEX(FX_Input,$R439,N$3*$AK439+$AL439)),N447+0.003*N441*N445,INDEX(FX_Input,$R439,N$3*$AK439+$AL439)+459.6),N447)</f>
        <v>506.70000000000005</v>
      </c>
      <c r="O448" cm="1">
        <f t="array" ref="O448">IFERROR(IF(ISBLANK(INDEX(FX_Input,$R439,O$3*$AK439+$AL439)),O447+0.003*O441*O445,INDEX(FX_Input,$R439,O$3*$AK439+$AL439)+459.6),O447)</f>
        <v>503.20000000000005</v>
      </c>
      <c r="P448" cm="1">
        <f t="array" ref="P448">IFERROR(IF(ISBLANK(INDEX(FX_Input,$R439,P$3*$AK439+$AL439)),P447+0.003*P441*P445,INDEX(FX_Input,$R439,P$3*$AK439+$AL439)+459.6),P447)</f>
        <v>459.6</v>
      </c>
    </row>
    <row r="449" spans="1:38" ht="17.149999999999999" x14ac:dyDescent="0.55000000000000004">
      <c r="B449" t="str">
        <f t="shared" si="1089"/>
        <v>Portland</v>
      </c>
      <c r="C449" t="s">
        <v>526</v>
      </c>
      <c r="D449">
        <f>IF(ISNUMBER(D443),0.4*D439+0.6*D448+0.005*D443*D445,IF(D443="Partially Insulated",0.3*D447+0.7*D448+0.005*D442*D445,D448))-459.6</f>
        <v>43.899999999999977</v>
      </c>
      <c r="E449">
        <f t="shared" ref="E449" si="1095">IF(ISNUMBER(E443),0.4*E439+0.6*E448+0.005*E443*E445,IF(E443="Partially Insulated",0.3*E447+0.7*E448+0.005*E442*E445,E448))-459.6</f>
        <v>44.700000000000045</v>
      </c>
      <c r="F449">
        <f t="shared" ref="F449" si="1096">IF(ISNUMBER(F443),0.4*F439+0.6*F448+0.005*F443*F445,IF(F443="Partially Insulated",0.3*F447+0.7*F448+0.005*F442*F445,F448))-459.6</f>
        <v>46.100000000000023</v>
      </c>
      <c r="G449">
        <f t="shared" ref="G449" si="1097">IF(ISNUMBER(G443),0.4*G439+0.6*G448+0.005*G443*G445,IF(G443="Partially Insulated",0.3*G447+0.7*G448+0.005*G442*G445,G448))-459.6</f>
        <v>48.599999999999966</v>
      </c>
      <c r="H449">
        <f t="shared" ref="H449" si="1098">IF(ISNUMBER(H443),0.4*H439+0.6*H448+0.005*H443*H445,IF(H443="Partially Insulated",0.3*H447+0.7*H448+0.005*H442*H445,H448))-459.6</f>
        <v>53.149999999999977</v>
      </c>
      <c r="I449">
        <f t="shared" ref="I449" si="1099">IF(ISNUMBER(I443),0.4*I439+0.6*I448+0.005*I443*I445,IF(I443="Partially Insulated",0.3*I447+0.7*I448+0.005*I442*I445,I448))-459.6</f>
        <v>56.950000000000045</v>
      </c>
      <c r="J449">
        <f t="shared" ref="J449" si="1100">IF(ISNUMBER(J443),0.4*J439+0.6*J448+0.005*J443*J445,IF(J443="Partially Insulated",0.3*J447+0.7*J448+0.005*J442*J445,J448))-459.6</f>
        <v>60.449999999999932</v>
      </c>
      <c r="K449">
        <f t="shared" ref="K449" si="1101">IF(ISNUMBER(K443),0.4*K439+0.6*K448+0.005*K443*K445,IF(K443="Partially Insulated",0.3*K447+0.7*K448+0.005*K442*K445,K448))-459.6</f>
        <v>60.899999999999977</v>
      </c>
      <c r="L449">
        <f t="shared" ref="L449" si="1102">IF(ISNUMBER(L443),0.4*L439+0.6*L448+0.005*L443*L445,IF(L443="Partially Insulated",0.3*L447+0.7*L448+0.005*L442*L445,L448))-459.6</f>
        <v>58.600000000000023</v>
      </c>
      <c r="M449">
        <f t="shared" ref="M449" si="1103">IF(ISNUMBER(M443),0.4*M439+0.6*M448+0.005*M443*M445,IF(M443="Partially Insulated",0.3*M447+0.7*M448+0.005*M442*M445,M448))-459.6</f>
        <v>52.649999999999977</v>
      </c>
      <c r="N449">
        <f t="shared" ref="N449" si="1104">IF(ISNUMBER(N443),0.4*N439+0.6*N448+0.005*N443*N445,IF(N443="Partially Insulated",0.3*N447+0.7*N448+0.005*N442*N445,N448))-459.6</f>
        <v>47.100000000000023</v>
      </c>
      <c r="O449">
        <f t="shared" ref="O449" si="1105">IF(ISNUMBER(O443),0.4*O439+0.6*O448+0.005*O443*O445,IF(O443="Partially Insulated",0.3*O447+0.7*O448+0.005*O442*O445,O448))-459.6</f>
        <v>43.600000000000023</v>
      </c>
      <c r="P449">
        <f>AVERAGE(D449:O449)</f>
        <v>51.391666666666673</v>
      </c>
    </row>
    <row r="450" spans="1:38" ht="17.149999999999999" x14ac:dyDescent="0.55000000000000004">
      <c r="B450" t="str">
        <f t="shared" si="1089"/>
        <v>Portland</v>
      </c>
      <c r="C450" t="s">
        <v>527</v>
      </c>
      <c r="D450">
        <f>IF(ISNUMBER(D443),0.4*D440+0.6*D448+0.005*D443*D445,IF(D443="Partially Insulated",0.3*D447+0.7*D448+0.005*D442*D445,D448))-459.6</f>
        <v>43.899999999999977</v>
      </c>
      <c r="E450">
        <f t="shared" ref="E450:O450" si="1106">IF(ISNUMBER(E443),0.4*E440+0.6*E448+0.005*E443*E445,IF(E443="Partially Insulated",0.3*E447+0.7*E448+0.005*E442*E445,E448))-459.6</f>
        <v>44.700000000000045</v>
      </c>
      <c r="F450">
        <f t="shared" si="1106"/>
        <v>46.100000000000023</v>
      </c>
      <c r="G450">
        <f t="shared" si="1106"/>
        <v>48.599999999999966</v>
      </c>
      <c r="H450">
        <f t="shared" si="1106"/>
        <v>53.149999999999977</v>
      </c>
      <c r="I450">
        <f t="shared" si="1106"/>
        <v>56.950000000000045</v>
      </c>
      <c r="J450">
        <f t="shared" si="1106"/>
        <v>60.449999999999932</v>
      </c>
      <c r="K450">
        <f t="shared" si="1106"/>
        <v>60.899999999999977</v>
      </c>
      <c r="L450">
        <f t="shared" si="1106"/>
        <v>58.600000000000023</v>
      </c>
      <c r="M450">
        <f t="shared" si="1106"/>
        <v>52.649999999999977</v>
      </c>
      <c r="N450">
        <f t="shared" si="1106"/>
        <v>47.100000000000023</v>
      </c>
      <c r="O450">
        <f t="shared" si="1106"/>
        <v>43.600000000000023</v>
      </c>
      <c r="P450">
        <f>AVERAGE(D450:O450)</f>
        <v>51.391666666666673</v>
      </c>
    </row>
    <row r="451" spans="1:38" ht="17.149999999999999" x14ac:dyDescent="0.55000000000000004">
      <c r="B451" t="str">
        <f t="shared" si="1089"/>
        <v>Portland</v>
      </c>
      <c r="C451" t="s">
        <v>552</v>
      </c>
      <c r="D451">
        <f>IF(ISNUMBER(D443),0.4*D447+0.6*D448+0.005*D443*D445,IF(D443="Partially Insulated",0.3*D447+0.7*D448+0.005*D442*D445,D448))-459.6</f>
        <v>43.899999999999977</v>
      </c>
      <c r="E451">
        <f t="shared" ref="E451:O451" si="1107">IF(ISNUMBER(E443),0.4*E447+0.6*E448+0.005*E443*E445,IF(E443="Partially Insulated",0.3*E447+0.7*E448+0.005*E442*E445,E448))-459.6</f>
        <v>44.700000000000045</v>
      </c>
      <c r="F451">
        <f t="shared" si="1107"/>
        <v>46.100000000000023</v>
      </c>
      <c r="G451">
        <f t="shared" si="1107"/>
        <v>48.599999999999966</v>
      </c>
      <c r="H451">
        <f t="shared" si="1107"/>
        <v>53.149999999999977</v>
      </c>
      <c r="I451">
        <f t="shared" si="1107"/>
        <v>56.950000000000045</v>
      </c>
      <c r="J451">
        <f t="shared" si="1107"/>
        <v>60.449999999999932</v>
      </c>
      <c r="K451">
        <f t="shared" si="1107"/>
        <v>60.899999999999977</v>
      </c>
      <c r="L451">
        <f t="shared" si="1107"/>
        <v>58.600000000000023</v>
      </c>
      <c r="M451">
        <f t="shared" si="1107"/>
        <v>52.649999999999977</v>
      </c>
      <c r="N451">
        <f t="shared" si="1107"/>
        <v>47.100000000000023</v>
      </c>
      <c r="O451">
        <f t="shared" si="1107"/>
        <v>43.600000000000023</v>
      </c>
      <c r="P451">
        <f>AVERAGE(D451:O451)</f>
        <v>51.391666666666673</v>
      </c>
    </row>
    <row r="452" spans="1:38" ht="17.149999999999999" x14ac:dyDescent="0.55000000000000004">
      <c r="A452" s="11"/>
      <c r="B452" s="11" t="str">
        <f t="shared" si="1089"/>
        <v>Portland</v>
      </c>
      <c r="C452" s="11" t="s">
        <v>553</v>
      </c>
      <c r="D452" s="11">
        <f>IF(ISNUMBER(D443),0.7*D447+0.3*D448+0.009*D443*D445,IF(D443="Partially Insulated",0.6*D447+0.4*D448+0.01*D442*D445,D448))-459.6</f>
        <v>43.899999999999977</v>
      </c>
      <c r="E452" s="11">
        <f t="shared" ref="E452:O452" si="1108">IF(ISNUMBER(E443),0.7*E447+0.3*E448+0.009*E443*E445,IF(E443="Partially Insulated",0.6*E447+0.4*E448+0.01*E442*E445,E448))-459.6</f>
        <v>44.700000000000045</v>
      </c>
      <c r="F452" s="11">
        <f t="shared" si="1108"/>
        <v>46.100000000000023</v>
      </c>
      <c r="G452" s="11">
        <f t="shared" si="1108"/>
        <v>48.599999999999966</v>
      </c>
      <c r="H452" s="11">
        <f t="shared" si="1108"/>
        <v>53.149999999999977</v>
      </c>
      <c r="I452" s="11">
        <f t="shared" si="1108"/>
        <v>56.950000000000045</v>
      </c>
      <c r="J452" s="11">
        <f t="shared" si="1108"/>
        <v>60.449999999999932</v>
      </c>
      <c r="K452" s="11">
        <f t="shared" si="1108"/>
        <v>60.899999999999977</v>
      </c>
      <c r="L452" s="11">
        <f t="shared" si="1108"/>
        <v>58.600000000000023</v>
      </c>
      <c r="M452" s="11">
        <f t="shared" si="1108"/>
        <v>52.649999999999977</v>
      </c>
      <c r="N452" s="11">
        <f t="shared" si="1108"/>
        <v>47.100000000000023</v>
      </c>
      <c r="O452" s="11">
        <f t="shared" si="1108"/>
        <v>43.600000000000023</v>
      </c>
      <c r="P452" s="11">
        <f>AVERAGE(D452:O452)</f>
        <v>51.391666666666673</v>
      </c>
      <c r="Q452" s="11"/>
      <c r="R452" s="11"/>
      <c r="S452" s="11"/>
      <c r="T452" s="11"/>
      <c r="U452" s="11"/>
      <c r="V452" s="11"/>
      <c r="W452" s="11"/>
      <c r="X452" s="11"/>
      <c r="Y452" s="11"/>
      <c r="Z452" s="11"/>
      <c r="AA452" s="11"/>
      <c r="AB452" s="11"/>
      <c r="AC452" s="11"/>
      <c r="AD452" s="11"/>
      <c r="AE452" s="11"/>
      <c r="AF452" s="11"/>
      <c r="AG452" s="11"/>
      <c r="AH452" s="11"/>
      <c r="AI452" s="11"/>
      <c r="AJ452" s="11"/>
      <c r="AK452" s="11"/>
      <c r="AL452" s="11"/>
    </row>
    <row r="453" spans="1:38" ht="17.149999999999999" x14ac:dyDescent="0.55000000000000004">
      <c r="A453" t="str" cm="1">
        <f t="array" ref="A453">INDEX(FX_Input,$R453,S$5)</f>
        <v>FX - 33</v>
      </c>
      <c r="B453" t="str" cm="1">
        <f t="array" ref="B453">INDEX(FX_Input,R453,T453)</f>
        <v>Portland</v>
      </c>
      <c r="C453" t="s">
        <v>510</v>
      </c>
      <c r="D453">
        <f t="shared" ref="D453:O454" si="1109">VLOOKUP(VLOOKUP($B453,Terminal_X_Ref,2,FALSE)&amp;$C453,Weather_Data,$Y453*D$3+$Z453,FALSE)+459.6</f>
        <v>498.3</v>
      </c>
      <c r="E453">
        <f t="shared" si="1109"/>
        <v>497.70000000000005</v>
      </c>
      <c r="F453">
        <f t="shared" si="1109"/>
        <v>499.1</v>
      </c>
      <c r="G453">
        <f t="shared" si="1109"/>
        <v>501.5</v>
      </c>
      <c r="H453">
        <f t="shared" si="1109"/>
        <v>506.1</v>
      </c>
      <c r="I453">
        <f t="shared" si="1109"/>
        <v>510.3</v>
      </c>
      <c r="J453">
        <f t="shared" si="1109"/>
        <v>513.70000000000005</v>
      </c>
      <c r="K453">
        <f t="shared" si="1109"/>
        <v>513.70000000000005</v>
      </c>
      <c r="L453">
        <f t="shared" si="1109"/>
        <v>510</v>
      </c>
      <c r="M453">
        <f t="shared" si="1109"/>
        <v>504.90000000000003</v>
      </c>
      <c r="N453">
        <f t="shared" si="1109"/>
        <v>500.6</v>
      </c>
      <c r="O453">
        <f t="shared" si="1109"/>
        <v>498.20000000000005</v>
      </c>
      <c r="P453">
        <f t="shared" ref="P453:P454" si="1110">VLOOKUP(VLOOKUP($B453,Terminal_X_Ref,2,FALSE)&amp;$C453,Weather_Data,$Y453*P$3+$Z453,FALSE)</f>
        <v>44.9</v>
      </c>
      <c r="R453">
        <f>R439+2</f>
        <v>65</v>
      </c>
      <c r="S453">
        <f>S439+1</f>
        <v>33</v>
      </c>
      <c r="T453">
        <v>3</v>
      </c>
      <c r="U453">
        <v>2</v>
      </c>
      <c r="V453">
        <v>3</v>
      </c>
      <c r="W453">
        <v>1</v>
      </c>
      <c r="X453">
        <v>2</v>
      </c>
      <c r="Y453">
        <f>(V453-U453)/(X453-W453)</f>
        <v>1</v>
      </c>
      <c r="Z453">
        <f>U453-Y453*W453</f>
        <v>1</v>
      </c>
      <c r="AA453">
        <f>AA439+1</f>
        <v>33</v>
      </c>
      <c r="AB453">
        <v>6</v>
      </c>
      <c r="AC453">
        <v>3</v>
      </c>
      <c r="AD453">
        <v>13</v>
      </c>
      <c r="AE453">
        <v>12</v>
      </c>
      <c r="AF453">
        <v>14</v>
      </c>
      <c r="AG453">
        <v>77</v>
      </c>
      <c r="AH453">
        <v>78</v>
      </c>
      <c r="AI453">
        <v>1</v>
      </c>
      <c r="AJ453">
        <v>2</v>
      </c>
      <c r="AK453">
        <f>(AH453-AG453)/(AJ453-AI453)</f>
        <v>1</v>
      </c>
      <c r="AL453">
        <f>AG453-AK453*AI453</f>
        <v>76</v>
      </c>
    </row>
    <row r="454" spans="1:38" ht="17.149999999999999" x14ac:dyDescent="0.55000000000000004">
      <c r="B454" t="str">
        <f t="shared" ref="B454" si="1111">B453</f>
        <v>Portland</v>
      </c>
      <c r="C454" t="s">
        <v>511</v>
      </c>
      <c r="D454">
        <f t="shared" si="1109"/>
        <v>508.70000000000005</v>
      </c>
      <c r="E454">
        <f t="shared" si="1109"/>
        <v>510.90000000000003</v>
      </c>
      <c r="F454">
        <f t="shared" si="1109"/>
        <v>512.30000000000007</v>
      </c>
      <c r="G454">
        <f t="shared" si="1109"/>
        <v>514.9</v>
      </c>
      <c r="H454">
        <f t="shared" si="1109"/>
        <v>519.4</v>
      </c>
      <c r="I454">
        <f t="shared" si="1109"/>
        <v>522.80000000000007</v>
      </c>
      <c r="J454">
        <f t="shared" si="1109"/>
        <v>526.4</v>
      </c>
      <c r="K454">
        <f t="shared" si="1109"/>
        <v>527.30000000000007</v>
      </c>
      <c r="L454">
        <f t="shared" si="1109"/>
        <v>526.4</v>
      </c>
      <c r="M454">
        <f t="shared" si="1109"/>
        <v>519.6</v>
      </c>
      <c r="N454">
        <f t="shared" si="1109"/>
        <v>512.80000000000007</v>
      </c>
      <c r="O454">
        <f t="shared" si="1109"/>
        <v>508.20000000000005</v>
      </c>
      <c r="P454">
        <f t="shared" si="1110"/>
        <v>57.9</v>
      </c>
      <c r="U454">
        <f>U453</f>
        <v>2</v>
      </c>
      <c r="V454">
        <f t="shared" ref="V454:Z454" si="1112">V453</f>
        <v>3</v>
      </c>
      <c r="W454">
        <f t="shared" si="1112"/>
        <v>1</v>
      </c>
      <c r="X454">
        <f t="shared" si="1112"/>
        <v>2</v>
      </c>
      <c r="Y454">
        <f t="shared" si="1112"/>
        <v>1</v>
      </c>
      <c r="Z454">
        <f t="shared" si="1112"/>
        <v>1</v>
      </c>
      <c r="AA454">
        <f>AA453</f>
        <v>33</v>
      </c>
      <c r="AB454">
        <f t="shared" ref="AB454:AB457" si="1113">AB453</f>
        <v>6</v>
      </c>
      <c r="AC454">
        <f t="shared" ref="AC454:AF457" si="1114">AC453</f>
        <v>3</v>
      </c>
      <c r="AD454">
        <f t="shared" si="1114"/>
        <v>13</v>
      </c>
      <c r="AE454">
        <f t="shared" si="1114"/>
        <v>12</v>
      </c>
      <c r="AF454">
        <f t="shared" si="1114"/>
        <v>14</v>
      </c>
      <c r="AG454">
        <f t="shared" ref="AG454:AG457" si="1115">AG453</f>
        <v>77</v>
      </c>
      <c r="AH454">
        <f t="shared" ref="AH454:AH457" si="1116">AH453</f>
        <v>78</v>
      </c>
      <c r="AI454">
        <f t="shared" ref="AI454:AI457" si="1117">AI453</f>
        <v>1</v>
      </c>
      <c r="AJ454">
        <f t="shared" ref="AJ454:AJ457" si="1118">AJ453</f>
        <v>2</v>
      </c>
      <c r="AK454">
        <f t="shared" ref="AK454:AK457" si="1119">AK453</f>
        <v>1</v>
      </c>
      <c r="AL454">
        <f t="shared" ref="AL454:AL457" si="1120">AL453</f>
        <v>76</v>
      </c>
    </row>
    <row r="455" spans="1:38" ht="17.149999999999999" x14ac:dyDescent="0.4">
      <c r="B455" t="str">
        <f>B454</f>
        <v>Portland</v>
      </c>
      <c r="C455" s="66" t="s">
        <v>514</v>
      </c>
      <c r="D455" t="str" cm="1">
        <f t="array" ref="D455">INDEX(FX_Calcs,$AA455,$AE455)</f>
        <v>N/A</v>
      </c>
      <c r="E455" t="str" cm="1">
        <f t="array" ref="E455">INDEX(FX_Calcs,$AA455,$AE455)</f>
        <v>N/A</v>
      </c>
      <c r="F455" t="str" cm="1">
        <f t="array" ref="F455">INDEX(FX_Calcs,$AA455,$AE455)</f>
        <v>N/A</v>
      </c>
      <c r="G455" t="str" cm="1">
        <f t="array" ref="G455">INDEX(FX_Calcs,$AA455,$AE455)</f>
        <v>N/A</v>
      </c>
      <c r="H455" t="str" cm="1">
        <f t="array" ref="H455">INDEX(FX_Calcs,$AA455,$AE455)</f>
        <v>N/A</v>
      </c>
      <c r="I455" t="str" cm="1">
        <f t="array" ref="I455">INDEX(FX_Calcs,$AA455,$AE455)</f>
        <v>N/A</v>
      </c>
      <c r="J455" t="str" cm="1">
        <f t="array" ref="J455">INDEX(FX_Calcs,$AA455,$AE455)</f>
        <v>N/A</v>
      </c>
      <c r="K455" t="str" cm="1">
        <f t="array" ref="K455">INDEX(FX_Calcs,$AA455,$AE455)</f>
        <v>N/A</v>
      </c>
      <c r="L455" t="str" cm="1">
        <f t="array" ref="L455">INDEX(FX_Calcs,$AA455,$AE455)</f>
        <v>N/A</v>
      </c>
      <c r="M455" t="str" cm="1">
        <f t="array" ref="M455">INDEX(FX_Calcs,$AA455,$AE455)</f>
        <v>N/A</v>
      </c>
      <c r="N455" t="str" cm="1">
        <f t="array" ref="N455">INDEX(FX_Calcs,$AA455,$AE455)</f>
        <v>N/A</v>
      </c>
      <c r="O455" t="str" cm="1">
        <f t="array" ref="O455">INDEX(FX_Calcs,$AA455,$AE455)</f>
        <v>N/A</v>
      </c>
      <c r="P455" t="str" cm="1">
        <f t="array" ref="P455">INDEX(FX_Calcs,$AA455,$AE455)</f>
        <v>N/A</v>
      </c>
      <c r="AA455">
        <f>AA454</f>
        <v>33</v>
      </c>
      <c r="AB455">
        <f t="shared" si="1113"/>
        <v>6</v>
      </c>
      <c r="AC455">
        <f t="shared" si="1114"/>
        <v>3</v>
      </c>
      <c r="AD455">
        <f t="shared" si="1114"/>
        <v>13</v>
      </c>
      <c r="AE455">
        <f t="shared" si="1114"/>
        <v>12</v>
      </c>
      <c r="AF455">
        <f t="shared" si="1114"/>
        <v>14</v>
      </c>
      <c r="AG455">
        <f t="shared" si="1115"/>
        <v>77</v>
      </c>
      <c r="AH455">
        <f t="shared" si="1116"/>
        <v>78</v>
      </c>
      <c r="AI455">
        <f t="shared" si="1117"/>
        <v>1</v>
      </c>
      <c r="AJ455">
        <f t="shared" si="1118"/>
        <v>2</v>
      </c>
      <c r="AK455">
        <f t="shared" si="1119"/>
        <v>1</v>
      </c>
      <c r="AL455">
        <f t="shared" si="1120"/>
        <v>76</v>
      </c>
    </row>
    <row r="456" spans="1:38" ht="17.149999999999999" x14ac:dyDescent="0.4">
      <c r="B456" t="str">
        <f t="shared" ref="B456:B457" si="1121">B455</f>
        <v>Portland</v>
      </c>
      <c r="C456" s="66" t="s">
        <v>513</v>
      </c>
      <c r="D456" t="str" cm="1">
        <f t="array" ref="D456">INDEX(FX_Calcs,$AA456,$AD456)</f>
        <v>N/A</v>
      </c>
      <c r="E456" t="str" cm="1">
        <f t="array" ref="E456">INDEX(FX_Calcs,$AA456,$AD456)</f>
        <v>N/A</v>
      </c>
      <c r="F456" t="str" cm="1">
        <f t="array" ref="F456">INDEX(FX_Calcs,$AA456,$AD456)</f>
        <v>N/A</v>
      </c>
      <c r="G456" t="str" cm="1">
        <f t="array" ref="G456">INDEX(FX_Calcs,$AA456,$AD456)</f>
        <v>N/A</v>
      </c>
      <c r="H456" t="str" cm="1">
        <f t="array" ref="H456">INDEX(FX_Calcs,$AA456,$AD456)</f>
        <v>N/A</v>
      </c>
      <c r="I456" t="str" cm="1">
        <f t="array" ref="I456">INDEX(FX_Calcs,$AA456,$AD456)</f>
        <v>N/A</v>
      </c>
      <c r="J456" t="str" cm="1">
        <f t="array" ref="J456">INDEX(FX_Calcs,$AA456,$AD456)</f>
        <v>N/A</v>
      </c>
      <c r="K456" t="str" cm="1">
        <f t="array" ref="K456">INDEX(FX_Calcs,$AA456,$AD456)</f>
        <v>N/A</v>
      </c>
      <c r="L456" t="str" cm="1">
        <f t="array" ref="L456">INDEX(FX_Calcs,$AA456,$AD456)</f>
        <v>N/A</v>
      </c>
      <c r="M456" t="str" cm="1">
        <f t="array" ref="M456">INDEX(FX_Calcs,$AA456,$AD456)</f>
        <v>N/A</v>
      </c>
      <c r="N456" t="str" cm="1">
        <f t="array" ref="N456">INDEX(FX_Calcs,$AA456,$AD456)</f>
        <v>N/A</v>
      </c>
      <c r="O456" t="str" cm="1">
        <f t="array" ref="O456">INDEX(FX_Calcs,$AA456,$AD456)</f>
        <v>N/A</v>
      </c>
      <c r="P456" t="str" cm="1">
        <f t="array" ref="P456">INDEX(FX_Calcs,$AA456,$AD456)</f>
        <v>N/A</v>
      </c>
      <c r="AA456">
        <f>AA455</f>
        <v>33</v>
      </c>
      <c r="AB456">
        <f t="shared" si="1113"/>
        <v>6</v>
      </c>
      <c r="AC456">
        <f t="shared" si="1114"/>
        <v>3</v>
      </c>
      <c r="AD456">
        <f t="shared" si="1114"/>
        <v>13</v>
      </c>
      <c r="AE456">
        <f t="shared" si="1114"/>
        <v>12</v>
      </c>
      <c r="AF456">
        <f t="shared" si="1114"/>
        <v>14</v>
      </c>
      <c r="AG456">
        <f t="shared" si="1115"/>
        <v>77</v>
      </c>
      <c r="AH456">
        <f t="shared" si="1116"/>
        <v>78</v>
      </c>
      <c r="AI456">
        <f t="shared" si="1117"/>
        <v>1</v>
      </c>
      <c r="AJ456">
        <f t="shared" si="1118"/>
        <v>2</v>
      </c>
      <c r="AK456">
        <f t="shared" si="1119"/>
        <v>1</v>
      </c>
      <c r="AL456">
        <f t="shared" si="1120"/>
        <v>76</v>
      </c>
    </row>
    <row r="457" spans="1:38" x14ac:dyDescent="0.4">
      <c r="B457" t="str">
        <f t="shared" si="1121"/>
        <v>Portland</v>
      </c>
      <c r="C457" s="66" t="s">
        <v>558</v>
      </c>
      <c r="D457" t="str" cm="1">
        <f t="array" ref="D457">INDEX(FX_Calcs,$AA457,$AF457)</f>
        <v>Insulated</v>
      </c>
      <c r="E457" t="str" cm="1">
        <f t="array" ref="E457">INDEX(FX_Calcs,$AA457,$AF457)</f>
        <v>Insulated</v>
      </c>
      <c r="F457" t="str" cm="1">
        <f t="array" ref="F457">INDEX(FX_Calcs,$AA457,$AF457)</f>
        <v>Insulated</v>
      </c>
      <c r="G457" t="str" cm="1">
        <f t="array" ref="G457">INDEX(FX_Calcs,$AA457,$AF457)</f>
        <v>Insulated</v>
      </c>
      <c r="H457" t="str" cm="1">
        <f t="array" ref="H457">INDEX(FX_Calcs,$AA457,$AF457)</f>
        <v>Insulated</v>
      </c>
      <c r="I457" t="str" cm="1">
        <f t="array" ref="I457">INDEX(FX_Calcs,$AA457,$AF457)</f>
        <v>Insulated</v>
      </c>
      <c r="J457" t="str" cm="1">
        <f t="array" ref="J457">INDEX(FX_Calcs,$AA457,$AF457)</f>
        <v>Insulated</v>
      </c>
      <c r="K457" t="str" cm="1">
        <f t="array" ref="K457">INDEX(FX_Calcs,$AA457,$AF457)</f>
        <v>Insulated</v>
      </c>
      <c r="L457" t="str" cm="1">
        <f t="array" ref="L457">INDEX(FX_Calcs,$AA457,$AF457)</f>
        <v>Insulated</v>
      </c>
      <c r="M457" t="str" cm="1">
        <f t="array" ref="M457">INDEX(FX_Calcs,$AA457,$AF457)</f>
        <v>Insulated</v>
      </c>
      <c r="N457" t="str" cm="1">
        <f t="array" ref="N457">INDEX(FX_Calcs,$AA457,$AF457)</f>
        <v>Insulated</v>
      </c>
      <c r="O457" t="str" cm="1">
        <f t="array" ref="O457">INDEX(FX_Calcs,$AA457,$AF457)</f>
        <v>Insulated</v>
      </c>
      <c r="P457" t="str" cm="1">
        <f t="array" ref="P457">INDEX(FX_Calcs,$AA457,$AF457)</f>
        <v>Insulated</v>
      </c>
      <c r="AA457">
        <f>AA456</f>
        <v>33</v>
      </c>
      <c r="AB457">
        <f t="shared" si="1113"/>
        <v>6</v>
      </c>
      <c r="AC457">
        <f t="shared" si="1114"/>
        <v>3</v>
      </c>
      <c r="AD457">
        <f t="shared" si="1114"/>
        <v>13</v>
      </c>
      <c r="AE457">
        <f t="shared" si="1114"/>
        <v>12</v>
      </c>
      <c r="AF457">
        <f t="shared" si="1114"/>
        <v>14</v>
      </c>
      <c r="AG457">
        <f t="shared" si="1115"/>
        <v>77</v>
      </c>
      <c r="AH457">
        <f t="shared" si="1116"/>
        <v>78</v>
      </c>
      <c r="AI457">
        <f t="shared" si="1117"/>
        <v>1</v>
      </c>
      <c r="AJ457">
        <f t="shared" si="1118"/>
        <v>2</v>
      </c>
      <c r="AK457">
        <f t="shared" si="1119"/>
        <v>1</v>
      </c>
      <c r="AL457">
        <f t="shared" si="1120"/>
        <v>76</v>
      </c>
    </row>
    <row r="458" spans="1:38" ht="17.149999999999999" x14ac:dyDescent="0.55000000000000004">
      <c r="B458" t="str">
        <f>B454</f>
        <v>Portland</v>
      </c>
      <c r="C458" t="s">
        <v>512</v>
      </c>
      <c r="D458">
        <f t="shared" ref="D458:P458" si="1122">D454-D453</f>
        <v>10.400000000000034</v>
      </c>
      <c r="E458">
        <f t="shared" si="1122"/>
        <v>13.199999999999989</v>
      </c>
      <c r="F458">
        <f t="shared" si="1122"/>
        <v>13.200000000000045</v>
      </c>
      <c r="G458">
        <f t="shared" si="1122"/>
        <v>13.399999999999977</v>
      </c>
      <c r="H458">
        <f t="shared" si="1122"/>
        <v>13.299999999999955</v>
      </c>
      <c r="I458">
        <f t="shared" si="1122"/>
        <v>12.500000000000057</v>
      </c>
      <c r="J458">
        <f t="shared" si="1122"/>
        <v>12.699999999999932</v>
      </c>
      <c r="K458">
        <f t="shared" si="1122"/>
        <v>13.600000000000023</v>
      </c>
      <c r="L458">
        <f t="shared" si="1122"/>
        <v>16.399999999999977</v>
      </c>
      <c r="M458">
        <f t="shared" si="1122"/>
        <v>14.699999999999989</v>
      </c>
      <c r="N458">
        <f t="shared" si="1122"/>
        <v>12.200000000000045</v>
      </c>
      <c r="O458">
        <f t="shared" si="1122"/>
        <v>10</v>
      </c>
      <c r="P458">
        <f t="shared" si="1122"/>
        <v>13</v>
      </c>
    </row>
    <row r="459" spans="1:38" x14ac:dyDescent="0.4">
      <c r="B459" t="str">
        <f t="shared" ref="B459:B466" si="1123">B458</f>
        <v>Portland</v>
      </c>
      <c r="C459" t="s">
        <v>260</v>
      </c>
      <c r="D459">
        <f t="shared" ref="D459:P459" si="1124">VLOOKUP(VLOOKUP($B459,Terminal_X_Ref,2,FALSE)&amp;$C459,Weather_Data,$Y459*D$3+$Z459,FALSE)</f>
        <v>343</v>
      </c>
      <c r="E459">
        <f t="shared" si="1124"/>
        <v>600</v>
      </c>
      <c r="F459">
        <f t="shared" si="1124"/>
        <v>877</v>
      </c>
      <c r="G459">
        <f t="shared" si="1124"/>
        <v>1252</v>
      </c>
      <c r="H459">
        <f t="shared" si="1124"/>
        <v>1537</v>
      </c>
      <c r="I459">
        <f t="shared" si="1124"/>
        <v>1627</v>
      </c>
      <c r="J459">
        <f t="shared" si="1124"/>
        <v>1708</v>
      </c>
      <c r="K459">
        <f t="shared" si="1124"/>
        <v>1492</v>
      </c>
      <c r="L459">
        <f t="shared" si="1124"/>
        <v>1196</v>
      </c>
      <c r="M459">
        <f t="shared" si="1124"/>
        <v>728</v>
      </c>
      <c r="N459">
        <f t="shared" si="1124"/>
        <v>391</v>
      </c>
      <c r="O459">
        <f t="shared" si="1124"/>
        <v>302</v>
      </c>
      <c r="P459">
        <f t="shared" si="1124"/>
        <v>1005</v>
      </c>
      <c r="U459">
        <f>U454</f>
        <v>2</v>
      </c>
      <c r="V459">
        <f t="shared" ref="V459:Z459" si="1125">V454</f>
        <v>3</v>
      </c>
      <c r="W459">
        <f t="shared" si="1125"/>
        <v>1</v>
      </c>
      <c r="X459">
        <f t="shared" si="1125"/>
        <v>2</v>
      </c>
      <c r="Y459">
        <f t="shared" si="1125"/>
        <v>1</v>
      </c>
      <c r="Z459">
        <f t="shared" si="1125"/>
        <v>1</v>
      </c>
    </row>
    <row r="460" spans="1:38" ht="17.149999999999999" x14ac:dyDescent="0.55000000000000004">
      <c r="B460" t="str">
        <f t="shared" si="1123"/>
        <v>Portland</v>
      </c>
      <c r="C460" t="s">
        <v>523</v>
      </c>
      <c r="D460">
        <f>IF(ISNUMBER(D457),0.7*D458+0.02*D457*D459,IF(D457="Partially Insulated",0.6*D458+0.02*D456*D459,0))</f>
        <v>0</v>
      </c>
      <c r="E460">
        <f t="shared" ref="E460:P460" si="1126">IF(ISNUMBER(E457),0.7*E458+0.02*E457*E459,IF(E457="Partially Insulated",0.6*E458+0.02*E456*E459,0))</f>
        <v>0</v>
      </c>
      <c r="F460">
        <f t="shared" si="1126"/>
        <v>0</v>
      </c>
      <c r="G460">
        <f t="shared" si="1126"/>
        <v>0</v>
      </c>
      <c r="H460">
        <f t="shared" si="1126"/>
        <v>0</v>
      </c>
      <c r="I460">
        <f t="shared" si="1126"/>
        <v>0</v>
      </c>
      <c r="J460">
        <f t="shared" si="1126"/>
        <v>0</v>
      </c>
      <c r="K460">
        <f t="shared" si="1126"/>
        <v>0</v>
      </c>
      <c r="L460">
        <f t="shared" si="1126"/>
        <v>0</v>
      </c>
      <c r="M460">
        <f t="shared" si="1126"/>
        <v>0</v>
      </c>
      <c r="N460">
        <f t="shared" si="1126"/>
        <v>0</v>
      </c>
      <c r="O460">
        <f t="shared" si="1126"/>
        <v>0</v>
      </c>
      <c r="P460">
        <f t="shared" si="1126"/>
        <v>0</v>
      </c>
    </row>
    <row r="461" spans="1:38" ht="17.149999999999999" x14ac:dyDescent="0.55000000000000004">
      <c r="B461" t="str">
        <f t="shared" si="1123"/>
        <v>Portland</v>
      </c>
      <c r="C461" t="s">
        <v>524</v>
      </c>
      <c r="D461">
        <f t="shared" ref="D461:F461" si="1127">AVERAGE(D453:D454)</f>
        <v>503.5</v>
      </c>
      <c r="E461">
        <f t="shared" si="1127"/>
        <v>504.30000000000007</v>
      </c>
      <c r="F461">
        <f t="shared" si="1127"/>
        <v>505.70000000000005</v>
      </c>
      <c r="G461">
        <f>AVERAGE(G453:G454)</f>
        <v>508.2</v>
      </c>
      <c r="H461">
        <f t="shared" ref="H461:P461" si="1128">AVERAGE(H453:H454)</f>
        <v>512.75</v>
      </c>
      <c r="I461">
        <f t="shared" si="1128"/>
        <v>516.55000000000007</v>
      </c>
      <c r="J461">
        <f t="shared" si="1128"/>
        <v>520.04999999999995</v>
      </c>
      <c r="K461">
        <f t="shared" si="1128"/>
        <v>520.5</v>
      </c>
      <c r="L461">
        <f t="shared" si="1128"/>
        <v>518.20000000000005</v>
      </c>
      <c r="M461">
        <f t="shared" si="1128"/>
        <v>512.25</v>
      </c>
      <c r="N461">
        <f t="shared" si="1128"/>
        <v>506.70000000000005</v>
      </c>
      <c r="O461">
        <f t="shared" si="1128"/>
        <v>503.20000000000005</v>
      </c>
      <c r="P461">
        <f t="shared" si="1128"/>
        <v>51.4</v>
      </c>
    </row>
    <row r="462" spans="1:38" ht="17.149999999999999" x14ac:dyDescent="0.55000000000000004">
      <c r="B462" t="str">
        <f t="shared" si="1123"/>
        <v>Portland</v>
      </c>
      <c r="C462" t="s">
        <v>525</v>
      </c>
      <c r="D462" cm="1">
        <f t="array" ref="D462">IFERROR(IF(ISBLANK(INDEX(FX_Input,$R453,D$3*$AK453+$AL453)),D461+0.003*D455*D459,INDEX(FX_Input,$R453,D$3*$AK453+$AL453)+459.6),D461)</f>
        <v>503.5</v>
      </c>
      <c r="E462" cm="1">
        <f t="array" ref="E462">IFERROR(IF(ISBLANK(INDEX(FX_Input,$R453,E$3*$AK453+$AL453)),E461+0.003*E455*E459,INDEX(FX_Input,$R453,E$3*$AK453+$AL453)+459.6),E461)</f>
        <v>504.30000000000007</v>
      </c>
      <c r="F462" cm="1">
        <f t="array" ref="F462">IFERROR(IF(ISBLANK(INDEX(FX_Input,$R453,F$3*$AK453+$AL453)),F461+0.003*F455*F459,INDEX(FX_Input,$R453,F$3*$AK453+$AL453)+459.6),F461)</f>
        <v>505.70000000000005</v>
      </c>
      <c r="G462" cm="1">
        <f t="array" ref="G462">IFERROR(IF(ISBLANK(INDEX(FX_Input,$R453,G$3*$AK453+$AL453)),G461+0.003*G455*G459,INDEX(FX_Input,$R453,G$3*$AK453+$AL453)+459.6),G461)</f>
        <v>508.2</v>
      </c>
      <c r="H462" cm="1">
        <f t="array" ref="H462">IFERROR(IF(ISBLANK(INDEX(FX_Input,$R453,H$3*$AK453+$AL453)),H461+0.003*H455*H459,INDEX(FX_Input,$R453,H$3*$AK453+$AL453)+459.6),H461)</f>
        <v>512.75</v>
      </c>
      <c r="I462" cm="1">
        <f t="array" ref="I462">IFERROR(IF(ISBLANK(INDEX(FX_Input,$R453,I$3*$AK453+$AL453)),I461+0.003*I455*I459,INDEX(FX_Input,$R453,I$3*$AK453+$AL453)+459.6),I461)</f>
        <v>516.55000000000007</v>
      </c>
      <c r="J462" cm="1">
        <f t="array" ref="J462">IFERROR(IF(ISBLANK(INDEX(FX_Input,$R453,J$3*$AK453+$AL453)),J461+0.003*J455*J459,INDEX(FX_Input,$R453,J$3*$AK453+$AL453)+459.6),J461)</f>
        <v>520.04999999999995</v>
      </c>
      <c r="K462" cm="1">
        <f t="array" ref="K462">IFERROR(IF(ISBLANK(INDEX(FX_Input,$R453,K$3*$AK453+$AL453)),K461+0.003*K455*K459,INDEX(FX_Input,$R453,K$3*$AK453+$AL453)+459.6),K461)</f>
        <v>520.5</v>
      </c>
      <c r="L462" cm="1">
        <f t="array" ref="L462">IFERROR(IF(ISBLANK(INDEX(FX_Input,$R453,L$3*$AK453+$AL453)),L461+0.003*L455*L459,INDEX(FX_Input,$R453,L$3*$AK453+$AL453)+459.6),L461)</f>
        <v>518.20000000000005</v>
      </c>
      <c r="M462" cm="1">
        <f t="array" ref="M462">IFERROR(IF(ISBLANK(INDEX(FX_Input,$R453,M$3*$AK453+$AL453)),M461+0.003*M455*M459,INDEX(FX_Input,$R453,M$3*$AK453+$AL453)+459.6),M461)</f>
        <v>512.25</v>
      </c>
      <c r="N462" cm="1">
        <f t="array" ref="N462">IFERROR(IF(ISBLANK(INDEX(FX_Input,$R453,N$3*$AK453+$AL453)),N461+0.003*N455*N459,INDEX(FX_Input,$R453,N$3*$AK453+$AL453)+459.6),N461)</f>
        <v>506.70000000000005</v>
      </c>
      <c r="O462" cm="1">
        <f t="array" ref="O462">IFERROR(IF(ISBLANK(INDEX(FX_Input,$R453,O$3*$AK453+$AL453)),O461+0.003*O455*O459,INDEX(FX_Input,$R453,O$3*$AK453+$AL453)+459.6),O461)</f>
        <v>503.20000000000005</v>
      </c>
      <c r="P462" cm="1">
        <f t="array" ref="P462">IFERROR(IF(ISBLANK(INDEX(FX_Input,$R453,P$3*$AK453+$AL453)),P461+0.003*P455*P459,INDEX(FX_Input,$R453,P$3*$AK453+$AL453)+459.6),P461)</f>
        <v>459.6</v>
      </c>
    </row>
    <row r="463" spans="1:38" ht="17.149999999999999" x14ac:dyDescent="0.55000000000000004">
      <c r="B463" t="str">
        <f t="shared" si="1123"/>
        <v>Portland</v>
      </c>
      <c r="C463" t="s">
        <v>526</v>
      </c>
      <c r="D463">
        <f>IF(ISNUMBER(D457),0.4*D453+0.6*D462+0.005*D457*D459,IF(D457="Partially Insulated",0.3*D461+0.7*D462+0.005*D456*D459,D462))-459.6</f>
        <v>43.899999999999977</v>
      </c>
      <c r="E463">
        <f t="shared" ref="E463" si="1129">IF(ISNUMBER(E457),0.4*E453+0.6*E462+0.005*E457*E459,IF(E457="Partially Insulated",0.3*E461+0.7*E462+0.005*E456*E459,E462))-459.6</f>
        <v>44.700000000000045</v>
      </c>
      <c r="F463">
        <f t="shared" ref="F463" si="1130">IF(ISNUMBER(F457),0.4*F453+0.6*F462+0.005*F457*F459,IF(F457="Partially Insulated",0.3*F461+0.7*F462+0.005*F456*F459,F462))-459.6</f>
        <v>46.100000000000023</v>
      </c>
      <c r="G463">
        <f t="shared" ref="G463" si="1131">IF(ISNUMBER(G457),0.4*G453+0.6*G462+0.005*G457*G459,IF(G457="Partially Insulated",0.3*G461+0.7*G462+0.005*G456*G459,G462))-459.6</f>
        <v>48.599999999999966</v>
      </c>
      <c r="H463">
        <f t="shared" ref="H463" si="1132">IF(ISNUMBER(H457),0.4*H453+0.6*H462+0.005*H457*H459,IF(H457="Partially Insulated",0.3*H461+0.7*H462+0.005*H456*H459,H462))-459.6</f>
        <v>53.149999999999977</v>
      </c>
      <c r="I463">
        <f t="shared" ref="I463" si="1133">IF(ISNUMBER(I457),0.4*I453+0.6*I462+0.005*I457*I459,IF(I457="Partially Insulated",0.3*I461+0.7*I462+0.005*I456*I459,I462))-459.6</f>
        <v>56.950000000000045</v>
      </c>
      <c r="J463">
        <f t="shared" ref="J463" si="1134">IF(ISNUMBER(J457),0.4*J453+0.6*J462+0.005*J457*J459,IF(J457="Partially Insulated",0.3*J461+0.7*J462+0.005*J456*J459,J462))-459.6</f>
        <v>60.449999999999932</v>
      </c>
      <c r="K463">
        <f t="shared" ref="K463" si="1135">IF(ISNUMBER(K457),0.4*K453+0.6*K462+0.005*K457*K459,IF(K457="Partially Insulated",0.3*K461+0.7*K462+0.005*K456*K459,K462))-459.6</f>
        <v>60.899999999999977</v>
      </c>
      <c r="L463">
        <f t="shared" ref="L463" si="1136">IF(ISNUMBER(L457),0.4*L453+0.6*L462+0.005*L457*L459,IF(L457="Partially Insulated",0.3*L461+0.7*L462+0.005*L456*L459,L462))-459.6</f>
        <v>58.600000000000023</v>
      </c>
      <c r="M463">
        <f t="shared" ref="M463" si="1137">IF(ISNUMBER(M457),0.4*M453+0.6*M462+0.005*M457*M459,IF(M457="Partially Insulated",0.3*M461+0.7*M462+0.005*M456*M459,M462))-459.6</f>
        <v>52.649999999999977</v>
      </c>
      <c r="N463">
        <f t="shared" ref="N463" si="1138">IF(ISNUMBER(N457),0.4*N453+0.6*N462+0.005*N457*N459,IF(N457="Partially Insulated",0.3*N461+0.7*N462+0.005*N456*N459,N462))-459.6</f>
        <v>47.100000000000023</v>
      </c>
      <c r="O463">
        <f t="shared" ref="O463" si="1139">IF(ISNUMBER(O457),0.4*O453+0.6*O462+0.005*O457*O459,IF(O457="Partially Insulated",0.3*O461+0.7*O462+0.005*O456*O459,O462))-459.6</f>
        <v>43.600000000000023</v>
      </c>
      <c r="P463">
        <f>AVERAGE(D463:O463)</f>
        <v>51.391666666666673</v>
      </c>
    </row>
    <row r="464" spans="1:38" ht="17.149999999999999" x14ac:dyDescent="0.55000000000000004">
      <c r="B464" t="str">
        <f t="shared" si="1123"/>
        <v>Portland</v>
      </c>
      <c r="C464" t="s">
        <v>527</v>
      </c>
      <c r="D464">
        <f>IF(ISNUMBER(D457),0.4*D454+0.6*D462+0.005*D457*D459,IF(D457="Partially Insulated",0.3*D461+0.7*D462+0.005*D456*D459,D462))-459.6</f>
        <v>43.899999999999977</v>
      </c>
      <c r="E464">
        <f t="shared" ref="E464:O464" si="1140">IF(ISNUMBER(E457),0.4*E454+0.6*E462+0.005*E457*E459,IF(E457="Partially Insulated",0.3*E461+0.7*E462+0.005*E456*E459,E462))-459.6</f>
        <v>44.700000000000045</v>
      </c>
      <c r="F464">
        <f t="shared" si="1140"/>
        <v>46.100000000000023</v>
      </c>
      <c r="G464">
        <f t="shared" si="1140"/>
        <v>48.599999999999966</v>
      </c>
      <c r="H464">
        <f t="shared" si="1140"/>
        <v>53.149999999999977</v>
      </c>
      <c r="I464">
        <f t="shared" si="1140"/>
        <v>56.950000000000045</v>
      </c>
      <c r="J464">
        <f t="shared" si="1140"/>
        <v>60.449999999999932</v>
      </c>
      <c r="K464">
        <f t="shared" si="1140"/>
        <v>60.899999999999977</v>
      </c>
      <c r="L464">
        <f t="shared" si="1140"/>
        <v>58.600000000000023</v>
      </c>
      <c r="M464">
        <f t="shared" si="1140"/>
        <v>52.649999999999977</v>
      </c>
      <c r="N464">
        <f t="shared" si="1140"/>
        <v>47.100000000000023</v>
      </c>
      <c r="O464">
        <f t="shared" si="1140"/>
        <v>43.600000000000023</v>
      </c>
      <c r="P464">
        <f>AVERAGE(D464:O464)</f>
        <v>51.391666666666673</v>
      </c>
    </row>
    <row r="465" spans="1:38" ht="17.149999999999999" x14ac:dyDescent="0.55000000000000004">
      <c r="B465" t="str">
        <f t="shared" si="1123"/>
        <v>Portland</v>
      </c>
      <c r="C465" t="s">
        <v>552</v>
      </c>
      <c r="D465">
        <f>IF(ISNUMBER(D457),0.4*D461+0.6*D462+0.005*D457*D459,IF(D457="Partially Insulated",0.3*D461+0.7*D462+0.005*D456*D459,D462))-459.6</f>
        <v>43.899999999999977</v>
      </c>
      <c r="E465">
        <f t="shared" ref="E465:O465" si="1141">IF(ISNUMBER(E457),0.4*E461+0.6*E462+0.005*E457*E459,IF(E457="Partially Insulated",0.3*E461+0.7*E462+0.005*E456*E459,E462))-459.6</f>
        <v>44.700000000000045</v>
      </c>
      <c r="F465">
        <f t="shared" si="1141"/>
        <v>46.100000000000023</v>
      </c>
      <c r="G465">
        <f t="shared" si="1141"/>
        <v>48.599999999999966</v>
      </c>
      <c r="H465">
        <f t="shared" si="1141"/>
        <v>53.149999999999977</v>
      </c>
      <c r="I465">
        <f t="shared" si="1141"/>
        <v>56.950000000000045</v>
      </c>
      <c r="J465">
        <f t="shared" si="1141"/>
        <v>60.449999999999932</v>
      </c>
      <c r="K465">
        <f t="shared" si="1141"/>
        <v>60.899999999999977</v>
      </c>
      <c r="L465">
        <f t="shared" si="1141"/>
        <v>58.600000000000023</v>
      </c>
      <c r="M465">
        <f t="shared" si="1141"/>
        <v>52.649999999999977</v>
      </c>
      <c r="N465">
        <f t="shared" si="1141"/>
        <v>47.100000000000023</v>
      </c>
      <c r="O465">
        <f t="shared" si="1141"/>
        <v>43.600000000000023</v>
      </c>
      <c r="P465">
        <f>AVERAGE(D465:O465)</f>
        <v>51.391666666666673</v>
      </c>
    </row>
    <row r="466" spans="1:38" ht="17.149999999999999" x14ac:dyDescent="0.55000000000000004">
      <c r="A466" s="11"/>
      <c r="B466" s="11" t="str">
        <f t="shared" si="1123"/>
        <v>Portland</v>
      </c>
      <c r="C466" s="11" t="s">
        <v>553</v>
      </c>
      <c r="D466" s="11">
        <f>IF(ISNUMBER(D457),0.7*D461+0.3*D462+0.009*D457*D459,IF(D457="Partially Insulated",0.6*D461+0.4*D462+0.01*D456*D459,D462))-459.6</f>
        <v>43.899999999999977</v>
      </c>
      <c r="E466" s="11">
        <f t="shared" ref="E466:O466" si="1142">IF(ISNUMBER(E457),0.7*E461+0.3*E462+0.009*E457*E459,IF(E457="Partially Insulated",0.6*E461+0.4*E462+0.01*E456*E459,E462))-459.6</f>
        <v>44.700000000000045</v>
      </c>
      <c r="F466" s="11">
        <f t="shared" si="1142"/>
        <v>46.100000000000023</v>
      </c>
      <c r="G466" s="11">
        <f t="shared" si="1142"/>
        <v>48.599999999999966</v>
      </c>
      <c r="H466" s="11">
        <f t="shared" si="1142"/>
        <v>53.149999999999977</v>
      </c>
      <c r="I466" s="11">
        <f t="shared" si="1142"/>
        <v>56.950000000000045</v>
      </c>
      <c r="J466" s="11">
        <f t="shared" si="1142"/>
        <v>60.449999999999932</v>
      </c>
      <c r="K466" s="11">
        <f t="shared" si="1142"/>
        <v>60.899999999999977</v>
      </c>
      <c r="L466" s="11">
        <f t="shared" si="1142"/>
        <v>58.600000000000023</v>
      </c>
      <c r="M466" s="11">
        <f t="shared" si="1142"/>
        <v>52.649999999999977</v>
      </c>
      <c r="N466" s="11">
        <f t="shared" si="1142"/>
        <v>47.100000000000023</v>
      </c>
      <c r="O466" s="11">
        <f t="shared" si="1142"/>
        <v>43.600000000000023</v>
      </c>
      <c r="P466" s="11">
        <f>AVERAGE(D466:O466)</f>
        <v>51.391666666666673</v>
      </c>
      <c r="Q466" s="11"/>
      <c r="R466" s="11"/>
      <c r="S466" s="11"/>
      <c r="T466" s="11"/>
      <c r="U466" s="11"/>
      <c r="V466" s="11"/>
      <c r="W466" s="11"/>
      <c r="X466" s="11"/>
      <c r="Y466" s="11"/>
      <c r="Z466" s="11"/>
      <c r="AA466" s="11"/>
      <c r="AB466" s="11"/>
      <c r="AC466" s="11"/>
      <c r="AD466" s="11"/>
      <c r="AE466" s="11"/>
      <c r="AF466" s="11"/>
      <c r="AG466" s="11"/>
      <c r="AH466" s="11"/>
      <c r="AI466" s="11"/>
      <c r="AJ466" s="11"/>
      <c r="AK466" s="11"/>
      <c r="AL466" s="11"/>
    </row>
    <row r="467" spans="1:38" ht="17.149999999999999" x14ac:dyDescent="0.55000000000000004">
      <c r="A467" t="str" cm="1">
        <f t="array" ref="A467">INDEX(FX_Input,$R467,S$5)</f>
        <v>FX - 34</v>
      </c>
      <c r="B467" t="str" cm="1">
        <f t="array" ref="B467">INDEX(FX_Input,R467,T467)</f>
        <v>Portland</v>
      </c>
      <c r="C467" t="s">
        <v>510</v>
      </c>
      <c r="D467">
        <f t="shared" ref="D467:O468" si="1143">VLOOKUP(VLOOKUP($B467,Terminal_X_Ref,2,FALSE)&amp;$C467,Weather_Data,$Y467*D$3+$Z467,FALSE)+459.6</f>
        <v>498.3</v>
      </c>
      <c r="E467">
        <f t="shared" si="1143"/>
        <v>497.70000000000005</v>
      </c>
      <c r="F467">
        <f t="shared" si="1143"/>
        <v>499.1</v>
      </c>
      <c r="G467">
        <f t="shared" si="1143"/>
        <v>501.5</v>
      </c>
      <c r="H467">
        <f t="shared" si="1143"/>
        <v>506.1</v>
      </c>
      <c r="I467">
        <f t="shared" si="1143"/>
        <v>510.3</v>
      </c>
      <c r="J467">
        <f t="shared" si="1143"/>
        <v>513.70000000000005</v>
      </c>
      <c r="K467">
        <f t="shared" si="1143"/>
        <v>513.70000000000005</v>
      </c>
      <c r="L467">
        <f t="shared" si="1143"/>
        <v>510</v>
      </c>
      <c r="M467">
        <f t="shared" si="1143"/>
        <v>504.90000000000003</v>
      </c>
      <c r="N467">
        <f t="shared" si="1143"/>
        <v>500.6</v>
      </c>
      <c r="O467">
        <f t="shared" si="1143"/>
        <v>498.20000000000005</v>
      </c>
      <c r="P467">
        <f t="shared" ref="P467:P468" si="1144">VLOOKUP(VLOOKUP($B467,Terminal_X_Ref,2,FALSE)&amp;$C467,Weather_Data,$Y467*P$3+$Z467,FALSE)</f>
        <v>44.9</v>
      </c>
      <c r="R467">
        <f>R453+2</f>
        <v>67</v>
      </c>
      <c r="S467">
        <f>S453+1</f>
        <v>34</v>
      </c>
      <c r="T467">
        <v>3</v>
      </c>
      <c r="U467">
        <v>2</v>
      </c>
      <c r="V467">
        <v>3</v>
      </c>
      <c r="W467">
        <v>1</v>
      </c>
      <c r="X467">
        <v>2</v>
      </c>
      <c r="Y467">
        <f>(V467-U467)/(X467-W467)</f>
        <v>1</v>
      </c>
      <c r="Z467">
        <f>U467-Y467*W467</f>
        <v>1</v>
      </c>
      <c r="AA467">
        <f>AA453+1</f>
        <v>34</v>
      </c>
      <c r="AB467">
        <v>6</v>
      </c>
      <c r="AC467">
        <v>3</v>
      </c>
      <c r="AD467">
        <v>13</v>
      </c>
      <c r="AE467">
        <v>12</v>
      </c>
      <c r="AF467">
        <v>14</v>
      </c>
      <c r="AG467">
        <v>77</v>
      </c>
      <c r="AH467">
        <v>78</v>
      </c>
      <c r="AI467">
        <v>1</v>
      </c>
      <c r="AJ467">
        <v>2</v>
      </c>
      <c r="AK467">
        <f>(AH467-AG467)/(AJ467-AI467)</f>
        <v>1</v>
      </c>
      <c r="AL467">
        <f>AG467-AK467*AI467</f>
        <v>76</v>
      </c>
    </row>
    <row r="468" spans="1:38" ht="17.149999999999999" x14ac:dyDescent="0.55000000000000004">
      <c r="B468" t="str">
        <f t="shared" ref="B468" si="1145">B467</f>
        <v>Portland</v>
      </c>
      <c r="C468" t="s">
        <v>511</v>
      </c>
      <c r="D468">
        <f t="shared" si="1143"/>
        <v>508.70000000000005</v>
      </c>
      <c r="E468">
        <f t="shared" si="1143"/>
        <v>510.90000000000003</v>
      </c>
      <c r="F468">
        <f t="shared" si="1143"/>
        <v>512.30000000000007</v>
      </c>
      <c r="G468">
        <f t="shared" si="1143"/>
        <v>514.9</v>
      </c>
      <c r="H468">
        <f t="shared" si="1143"/>
        <v>519.4</v>
      </c>
      <c r="I468">
        <f t="shared" si="1143"/>
        <v>522.80000000000007</v>
      </c>
      <c r="J468">
        <f t="shared" si="1143"/>
        <v>526.4</v>
      </c>
      <c r="K468">
        <f t="shared" si="1143"/>
        <v>527.30000000000007</v>
      </c>
      <c r="L468">
        <f t="shared" si="1143"/>
        <v>526.4</v>
      </c>
      <c r="M468">
        <f t="shared" si="1143"/>
        <v>519.6</v>
      </c>
      <c r="N468">
        <f t="shared" si="1143"/>
        <v>512.80000000000007</v>
      </c>
      <c r="O468">
        <f t="shared" si="1143"/>
        <v>508.20000000000005</v>
      </c>
      <c r="P468">
        <f t="shared" si="1144"/>
        <v>57.9</v>
      </c>
      <c r="U468">
        <f>U467</f>
        <v>2</v>
      </c>
      <c r="V468">
        <f t="shared" ref="V468:Z468" si="1146">V467</f>
        <v>3</v>
      </c>
      <c r="W468">
        <f t="shared" si="1146"/>
        <v>1</v>
      </c>
      <c r="X468">
        <f t="shared" si="1146"/>
        <v>2</v>
      </c>
      <c r="Y468">
        <f t="shared" si="1146"/>
        <v>1</v>
      </c>
      <c r="Z468">
        <f t="shared" si="1146"/>
        <v>1</v>
      </c>
      <c r="AA468">
        <f>AA467</f>
        <v>34</v>
      </c>
      <c r="AB468">
        <f t="shared" ref="AB468:AB471" si="1147">AB467</f>
        <v>6</v>
      </c>
      <c r="AC468">
        <f t="shared" ref="AC468:AF471" si="1148">AC467</f>
        <v>3</v>
      </c>
      <c r="AD468">
        <f t="shared" si="1148"/>
        <v>13</v>
      </c>
      <c r="AE468">
        <f t="shared" si="1148"/>
        <v>12</v>
      </c>
      <c r="AF468">
        <f t="shared" si="1148"/>
        <v>14</v>
      </c>
      <c r="AG468">
        <f t="shared" ref="AG468:AG471" si="1149">AG467</f>
        <v>77</v>
      </c>
      <c r="AH468">
        <f t="shared" ref="AH468:AH471" si="1150">AH467</f>
        <v>78</v>
      </c>
      <c r="AI468">
        <f t="shared" ref="AI468:AI471" si="1151">AI467</f>
        <v>1</v>
      </c>
      <c r="AJ468">
        <f t="shared" ref="AJ468:AJ471" si="1152">AJ467</f>
        <v>2</v>
      </c>
      <c r="AK468">
        <f t="shared" ref="AK468:AK471" si="1153">AK467</f>
        <v>1</v>
      </c>
      <c r="AL468">
        <f t="shared" ref="AL468:AL471" si="1154">AL467</f>
        <v>76</v>
      </c>
    </row>
    <row r="469" spans="1:38" ht="17.149999999999999" x14ac:dyDescent="0.4">
      <c r="B469" t="str">
        <f>B468</f>
        <v>Portland</v>
      </c>
      <c r="C469" s="66" t="s">
        <v>514</v>
      </c>
      <c r="D469" t="str" cm="1">
        <f t="array" ref="D469">INDEX(FX_Calcs,$AA469,$AE469)</f>
        <v>N/A</v>
      </c>
      <c r="E469" t="str" cm="1">
        <f t="array" ref="E469">INDEX(FX_Calcs,$AA469,$AE469)</f>
        <v>N/A</v>
      </c>
      <c r="F469" t="str" cm="1">
        <f t="array" ref="F469">INDEX(FX_Calcs,$AA469,$AE469)</f>
        <v>N/A</v>
      </c>
      <c r="G469" t="str" cm="1">
        <f t="array" ref="G469">INDEX(FX_Calcs,$AA469,$AE469)</f>
        <v>N/A</v>
      </c>
      <c r="H469" t="str" cm="1">
        <f t="array" ref="H469">INDEX(FX_Calcs,$AA469,$AE469)</f>
        <v>N/A</v>
      </c>
      <c r="I469" t="str" cm="1">
        <f t="array" ref="I469">INDEX(FX_Calcs,$AA469,$AE469)</f>
        <v>N/A</v>
      </c>
      <c r="J469" t="str" cm="1">
        <f t="array" ref="J469">INDEX(FX_Calcs,$AA469,$AE469)</f>
        <v>N/A</v>
      </c>
      <c r="K469" t="str" cm="1">
        <f t="array" ref="K469">INDEX(FX_Calcs,$AA469,$AE469)</f>
        <v>N/A</v>
      </c>
      <c r="L469" t="str" cm="1">
        <f t="array" ref="L469">INDEX(FX_Calcs,$AA469,$AE469)</f>
        <v>N/A</v>
      </c>
      <c r="M469" t="str" cm="1">
        <f t="array" ref="M469">INDEX(FX_Calcs,$AA469,$AE469)</f>
        <v>N/A</v>
      </c>
      <c r="N469" t="str" cm="1">
        <f t="array" ref="N469">INDEX(FX_Calcs,$AA469,$AE469)</f>
        <v>N/A</v>
      </c>
      <c r="O469" t="str" cm="1">
        <f t="array" ref="O469">INDEX(FX_Calcs,$AA469,$AE469)</f>
        <v>N/A</v>
      </c>
      <c r="P469" t="str" cm="1">
        <f t="array" ref="P469">INDEX(FX_Calcs,$AA469,$AE469)</f>
        <v>N/A</v>
      </c>
      <c r="AA469">
        <f>AA468</f>
        <v>34</v>
      </c>
      <c r="AB469">
        <f t="shared" si="1147"/>
        <v>6</v>
      </c>
      <c r="AC469">
        <f t="shared" si="1148"/>
        <v>3</v>
      </c>
      <c r="AD469">
        <f t="shared" si="1148"/>
        <v>13</v>
      </c>
      <c r="AE469">
        <f t="shared" si="1148"/>
        <v>12</v>
      </c>
      <c r="AF469">
        <f t="shared" si="1148"/>
        <v>14</v>
      </c>
      <c r="AG469">
        <f t="shared" si="1149"/>
        <v>77</v>
      </c>
      <c r="AH469">
        <f t="shared" si="1150"/>
        <v>78</v>
      </c>
      <c r="AI469">
        <f t="shared" si="1151"/>
        <v>1</v>
      </c>
      <c r="AJ469">
        <f t="shared" si="1152"/>
        <v>2</v>
      </c>
      <c r="AK469">
        <f t="shared" si="1153"/>
        <v>1</v>
      </c>
      <c r="AL469">
        <f t="shared" si="1154"/>
        <v>76</v>
      </c>
    </row>
    <row r="470" spans="1:38" ht="17.149999999999999" x14ac:dyDescent="0.4">
      <c r="B470" t="str">
        <f t="shared" ref="B470:B471" si="1155">B469</f>
        <v>Portland</v>
      </c>
      <c r="C470" s="66" t="s">
        <v>513</v>
      </c>
      <c r="D470" t="str" cm="1">
        <f t="array" ref="D470">INDEX(FX_Calcs,$AA470,$AD470)</f>
        <v>N/A</v>
      </c>
      <c r="E470" t="str" cm="1">
        <f t="array" ref="E470">INDEX(FX_Calcs,$AA470,$AD470)</f>
        <v>N/A</v>
      </c>
      <c r="F470" t="str" cm="1">
        <f t="array" ref="F470">INDEX(FX_Calcs,$AA470,$AD470)</f>
        <v>N/A</v>
      </c>
      <c r="G470" t="str" cm="1">
        <f t="array" ref="G470">INDEX(FX_Calcs,$AA470,$AD470)</f>
        <v>N/A</v>
      </c>
      <c r="H470" t="str" cm="1">
        <f t="array" ref="H470">INDEX(FX_Calcs,$AA470,$AD470)</f>
        <v>N/A</v>
      </c>
      <c r="I470" t="str" cm="1">
        <f t="array" ref="I470">INDEX(FX_Calcs,$AA470,$AD470)</f>
        <v>N/A</v>
      </c>
      <c r="J470" t="str" cm="1">
        <f t="array" ref="J470">INDEX(FX_Calcs,$AA470,$AD470)</f>
        <v>N/A</v>
      </c>
      <c r="K470" t="str" cm="1">
        <f t="array" ref="K470">INDEX(FX_Calcs,$AA470,$AD470)</f>
        <v>N/A</v>
      </c>
      <c r="L470" t="str" cm="1">
        <f t="array" ref="L470">INDEX(FX_Calcs,$AA470,$AD470)</f>
        <v>N/A</v>
      </c>
      <c r="M470" t="str" cm="1">
        <f t="array" ref="M470">INDEX(FX_Calcs,$AA470,$AD470)</f>
        <v>N/A</v>
      </c>
      <c r="N470" t="str" cm="1">
        <f t="array" ref="N470">INDEX(FX_Calcs,$AA470,$AD470)</f>
        <v>N/A</v>
      </c>
      <c r="O470" t="str" cm="1">
        <f t="array" ref="O470">INDEX(FX_Calcs,$AA470,$AD470)</f>
        <v>N/A</v>
      </c>
      <c r="P470" t="str" cm="1">
        <f t="array" ref="P470">INDEX(FX_Calcs,$AA470,$AD470)</f>
        <v>N/A</v>
      </c>
      <c r="AA470">
        <f>AA469</f>
        <v>34</v>
      </c>
      <c r="AB470">
        <f t="shared" si="1147"/>
        <v>6</v>
      </c>
      <c r="AC470">
        <f t="shared" si="1148"/>
        <v>3</v>
      </c>
      <c r="AD470">
        <f t="shared" si="1148"/>
        <v>13</v>
      </c>
      <c r="AE470">
        <f t="shared" si="1148"/>
        <v>12</v>
      </c>
      <c r="AF470">
        <f t="shared" si="1148"/>
        <v>14</v>
      </c>
      <c r="AG470">
        <f t="shared" si="1149"/>
        <v>77</v>
      </c>
      <c r="AH470">
        <f t="shared" si="1150"/>
        <v>78</v>
      </c>
      <c r="AI470">
        <f t="shared" si="1151"/>
        <v>1</v>
      </c>
      <c r="AJ470">
        <f t="shared" si="1152"/>
        <v>2</v>
      </c>
      <c r="AK470">
        <f t="shared" si="1153"/>
        <v>1</v>
      </c>
      <c r="AL470">
        <f t="shared" si="1154"/>
        <v>76</v>
      </c>
    </row>
    <row r="471" spans="1:38" x14ac:dyDescent="0.4">
      <c r="B471" t="str">
        <f t="shared" si="1155"/>
        <v>Portland</v>
      </c>
      <c r="C471" s="66" t="s">
        <v>558</v>
      </c>
      <c r="D471" t="str" cm="1">
        <f t="array" ref="D471">INDEX(FX_Calcs,$AA471,$AF471)</f>
        <v>Insulated</v>
      </c>
      <c r="E471" t="str" cm="1">
        <f t="array" ref="E471">INDEX(FX_Calcs,$AA471,$AF471)</f>
        <v>Insulated</v>
      </c>
      <c r="F471" t="str" cm="1">
        <f t="array" ref="F471">INDEX(FX_Calcs,$AA471,$AF471)</f>
        <v>Insulated</v>
      </c>
      <c r="G471" t="str" cm="1">
        <f t="array" ref="G471">INDEX(FX_Calcs,$AA471,$AF471)</f>
        <v>Insulated</v>
      </c>
      <c r="H471" t="str" cm="1">
        <f t="array" ref="H471">INDEX(FX_Calcs,$AA471,$AF471)</f>
        <v>Insulated</v>
      </c>
      <c r="I471" t="str" cm="1">
        <f t="array" ref="I471">INDEX(FX_Calcs,$AA471,$AF471)</f>
        <v>Insulated</v>
      </c>
      <c r="J471" t="str" cm="1">
        <f t="array" ref="J471">INDEX(FX_Calcs,$AA471,$AF471)</f>
        <v>Insulated</v>
      </c>
      <c r="K471" t="str" cm="1">
        <f t="array" ref="K471">INDEX(FX_Calcs,$AA471,$AF471)</f>
        <v>Insulated</v>
      </c>
      <c r="L471" t="str" cm="1">
        <f t="array" ref="L471">INDEX(FX_Calcs,$AA471,$AF471)</f>
        <v>Insulated</v>
      </c>
      <c r="M471" t="str" cm="1">
        <f t="array" ref="M471">INDEX(FX_Calcs,$AA471,$AF471)</f>
        <v>Insulated</v>
      </c>
      <c r="N471" t="str" cm="1">
        <f t="array" ref="N471">INDEX(FX_Calcs,$AA471,$AF471)</f>
        <v>Insulated</v>
      </c>
      <c r="O471" t="str" cm="1">
        <f t="array" ref="O471">INDEX(FX_Calcs,$AA471,$AF471)</f>
        <v>Insulated</v>
      </c>
      <c r="P471" t="str" cm="1">
        <f t="array" ref="P471">INDEX(FX_Calcs,$AA471,$AF471)</f>
        <v>Insulated</v>
      </c>
      <c r="AA471">
        <f>AA470</f>
        <v>34</v>
      </c>
      <c r="AB471">
        <f t="shared" si="1147"/>
        <v>6</v>
      </c>
      <c r="AC471">
        <f t="shared" si="1148"/>
        <v>3</v>
      </c>
      <c r="AD471">
        <f t="shared" si="1148"/>
        <v>13</v>
      </c>
      <c r="AE471">
        <f t="shared" si="1148"/>
        <v>12</v>
      </c>
      <c r="AF471">
        <f t="shared" si="1148"/>
        <v>14</v>
      </c>
      <c r="AG471">
        <f t="shared" si="1149"/>
        <v>77</v>
      </c>
      <c r="AH471">
        <f t="shared" si="1150"/>
        <v>78</v>
      </c>
      <c r="AI471">
        <f t="shared" si="1151"/>
        <v>1</v>
      </c>
      <c r="AJ471">
        <f t="shared" si="1152"/>
        <v>2</v>
      </c>
      <c r="AK471">
        <f t="shared" si="1153"/>
        <v>1</v>
      </c>
      <c r="AL471">
        <f t="shared" si="1154"/>
        <v>76</v>
      </c>
    </row>
    <row r="472" spans="1:38" ht="17.149999999999999" x14ac:dyDescent="0.55000000000000004">
      <c r="B472" t="str">
        <f>B468</f>
        <v>Portland</v>
      </c>
      <c r="C472" t="s">
        <v>512</v>
      </c>
      <c r="D472">
        <f t="shared" ref="D472:P472" si="1156">D468-D467</f>
        <v>10.400000000000034</v>
      </c>
      <c r="E472">
        <f t="shared" si="1156"/>
        <v>13.199999999999989</v>
      </c>
      <c r="F472">
        <f t="shared" si="1156"/>
        <v>13.200000000000045</v>
      </c>
      <c r="G472">
        <f t="shared" si="1156"/>
        <v>13.399999999999977</v>
      </c>
      <c r="H472">
        <f t="shared" si="1156"/>
        <v>13.299999999999955</v>
      </c>
      <c r="I472">
        <f t="shared" si="1156"/>
        <v>12.500000000000057</v>
      </c>
      <c r="J472">
        <f t="shared" si="1156"/>
        <v>12.699999999999932</v>
      </c>
      <c r="K472">
        <f t="shared" si="1156"/>
        <v>13.600000000000023</v>
      </c>
      <c r="L472">
        <f t="shared" si="1156"/>
        <v>16.399999999999977</v>
      </c>
      <c r="M472">
        <f t="shared" si="1156"/>
        <v>14.699999999999989</v>
      </c>
      <c r="N472">
        <f t="shared" si="1156"/>
        <v>12.200000000000045</v>
      </c>
      <c r="O472">
        <f t="shared" si="1156"/>
        <v>10</v>
      </c>
      <c r="P472">
        <f t="shared" si="1156"/>
        <v>13</v>
      </c>
    </row>
    <row r="473" spans="1:38" x14ac:dyDescent="0.4">
      <c r="B473" t="str">
        <f t="shared" ref="B473:B480" si="1157">B472</f>
        <v>Portland</v>
      </c>
      <c r="C473" t="s">
        <v>260</v>
      </c>
      <c r="D473">
        <f t="shared" ref="D473:P473" si="1158">VLOOKUP(VLOOKUP($B473,Terminal_X_Ref,2,FALSE)&amp;$C473,Weather_Data,$Y473*D$3+$Z473,FALSE)</f>
        <v>343</v>
      </c>
      <c r="E473">
        <f t="shared" si="1158"/>
        <v>600</v>
      </c>
      <c r="F473">
        <f t="shared" si="1158"/>
        <v>877</v>
      </c>
      <c r="G473">
        <f t="shared" si="1158"/>
        <v>1252</v>
      </c>
      <c r="H473">
        <f t="shared" si="1158"/>
        <v>1537</v>
      </c>
      <c r="I473">
        <f t="shared" si="1158"/>
        <v>1627</v>
      </c>
      <c r="J473">
        <f t="shared" si="1158"/>
        <v>1708</v>
      </c>
      <c r="K473">
        <f t="shared" si="1158"/>
        <v>1492</v>
      </c>
      <c r="L473">
        <f t="shared" si="1158"/>
        <v>1196</v>
      </c>
      <c r="M473">
        <f t="shared" si="1158"/>
        <v>728</v>
      </c>
      <c r="N473">
        <f t="shared" si="1158"/>
        <v>391</v>
      </c>
      <c r="O473">
        <f t="shared" si="1158"/>
        <v>302</v>
      </c>
      <c r="P473">
        <f t="shared" si="1158"/>
        <v>1005</v>
      </c>
      <c r="U473">
        <f>U468</f>
        <v>2</v>
      </c>
      <c r="V473">
        <f t="shared" ref="V473:Z473" si="1159">V468</f>
        <v>3</v>
      </c>
      <c r="W473">
        <f t="shared" si="1159"/>
        <v>1</v>
      </c>
      <c r="X473">
        <f t="shared" si="1159"/>
        <v>2</v>
      </c>
      <c r="Y473">
        <f t="shared" si="1159"/>
        <v>1</v>
      </c>
      <c r="Z473">
        <f t="shared" si="1159"/>
        <v>1</v>
      </c>
    </row>
    <row r="474" spans="1:38" ht="17.149999999999999" x14ac:dyDescent="0.55000000000000004">
      <c r="B474" t="str">
        <f t="shared" si="1157"/>
        <v>Portland</v>
      </c>
      <c r="C474" t="s">
        <v>523</v>
      </c>
      <c r="D474">
        <f>IF(ISNUMBER(D471),0.7*D472+0.02*D471*D473,IF(D471="Partially Insulated",0.6*D472+0.02*D470*D473,0))</f>
        <v>0</v>
      </c>
      <c r="E474">
        <f t="shared" ref="E474:P474" si="1160">IF(ISNUMBER(E471),0.7*E472+0.02*E471*E473,IF(E471="Partially Insulated",0.6*E472+0.02*E470*E473,0))</f>
        <v>0</v>
      </c>
      <c r="F474">
        <f t="shared" si="1160"/>
        <v>0</v>
      </c>
      <c r="G474">
        <f t="shared" si="1160"/>
        <v>0</v>
      </c>
      <c r="H474">
        <f t="shared" si="1160"/>
        <v>0</v>
      </c>
      <c r="I474">
        <f t="shared" si="1160"/>
        <v>0</v>
      </c>
      <c r="J474">
        <f t="shared" si="1160"/>
        <v>0</v>
      </c>
      <c r="K474">
        <f t="shared" si="1160"/>
        <v>0</v>
      </c>
      <c r="L474">
        <f t="shared" si="1160"/>
        <v>0</v>
      </c>
      <c r="M474">
        <f t="shared" si="1160"/>
        <v>0</v>
      </c>
      <c r="N474">
        <f t="shared" si="1160"/>
        <v>0</v>
      </c>
      <c r="O474">
        <f t="shared" si="1160"/>
        <v>0</v>
      </c>
      <c r="P474">
        <f t="shared" si="1160"/>
        <v>0</v>
      </c>
    </row>
    <row r="475" spans="1:38" ht="17.149999999999999" x14ac:dyDescent="0.55000000000000004">
      <c r="B475" t="str">
        <f t="shared" si="1157"/>
        <v>Portland</v>
      </c>
      <c r="C475" t="s">
        <v>524</v>
      </c>
      <c r="D475">
        <f t="shared" ref="D475:F475" si="1161">AVERAGE(D467:D468)</f>
        <v>503.5</v>
      </c>
      <c r="E475">
        <f t="shared" si="1161"/>
        <v>504.30000000000007</v>
      </c>
      <c r="F475">
        <f t="shared" si="1161"/>
        <v>505.70000000000005</v>
      </c>
      <c r="G475">
        <f>AVERAGE(G467:G468)</f>
        <v>508.2</v>
      </c>
      <c r="H475">
        <f t="shared" ref="H475:P475" si="1162">AVERAGE(H467:H468)</f>
        <v>512.75</v>
      </c>
      <c r="I475">
        <f t="shared" si="1162"/>
        <v>516.55000000000007</v>
      </c>
      <c r="J475">
        <f t="shared" si="1162"/>
        <v>520.04999999999995</v>
      </c>
      <c r="K475">
        <f t="shared" si="1162"/>
        <v>520.5</v>
      </c>
      <c r="L475">
        <f t="shared" si="1162"/>
        <v>518.20000000000005</v>
      </c>
      <c r="M475">
        <f t="shared" si="1162"/>
        <v>512.25</v>
      </c>
      <c r="N475">
        <f t="shared" si="1162"/>
        <v>506.70000000000005</v>
      </c>
      <c r="O475">
        <f t="shared" si="1162"/>
        <v>503.20000000000005</v>
      </c>
      <c r="P475">
        <f t="shared" si="1162"/>
        <v>51.4</v>
      </c>
    </row>
    <row r="476" spans="1:38" ht="17.149999999999999" x14ac:dyDescent="0.55000000000000004">
      <c r="B476" t="str">
        <f t="shared" si="1157"/>
        <v>Portland</v>
      </c>
      <c r="C476" t="s">
        <v>525</v>
      </c>
      <c r="D476" cm="1">
        <f t="array" ref="D476">IFERROR(IF(ISBLANK(INDEX(FX_Input,$R467,D$3*$AK467+$AL467)),D475+0.003*D469*D473,INDEX(FX_Input,$R467,D$3*$AK467+$AL467)+459.6),D475)</f>
        <v>503.5</v>
      </c>
      <c r="E476" cm="1">
        <f t="array" ref="E476">IFERROR(IF(ISBLANK(INDEX(FX_Input,$R467,E$3*$AK467+$AL467)),E475+0.003*E469*E473,INDEX(FX_Input,$R467,E$3*$AK467+$AL467)+459.6),E475)</f>
        <v>504.30000000000007</v>
      </c>
      <c r="F476" cm="1">
        <f t="array" ref="F476">IFERROR(IF(ISBLANK(INDEX(FX_Input,$R467,F$3*$AK467+$AL467)),F475+0.003*F469*F473,INDEX(FX_Input,$R467,F$3*$AK467+$AL467)+459.6),F475)</f>
        <v>505.70000000000005</v>
      </c>
      <c r="G476" cm="1">
        <f t="array" ref="G476">IFERROR(IF(ISBLANK(INDEX(FX_Input,$R467,G$3*$AK467+$AL467)),G475+0.003*G469*G473,INDEX(FX_Input,$R467,G$3*$AK467+$AL467)+459.6),G475)</f>
        <v>508.2</v>
      </c>
      <c r="H476" cm="1">
        <f t="array" ref="H476">IFERROR(IF(ISBLANK(INDEX(FX_Input,$R467,H$3*$AK467+$AL467)),H475+0.003*H469*H473,INDEX(FX_Input,$R467,H$3*$AK467+$AL467)+459.6),H475)</f>
        <v>512.75</v>
      </c>
      <c r="I476" cm="1">
        <f t="array" ref="I476">IFERROR(IF(ISBLANK(INDEX(FX_Input,$R467,I$3*$AK467+$AL467)),I475+0.003*I469*I473,INDEX(FX_Input,$R467,I$3*$AK467+$AL467)+459.6),I475)</f>
        <v>516.55000000000007</v>
      </c>
      <c r="J476" cm="1">
        <f t="array" ref="J476">IFERROR(IF(ISBLANK(INDEX(FX_Input,$R467,J$3*$AK467+$AL467)),J475+0.003*J469*J473,INDEX(FX_Input,$R467,J$3*$AK467+$AL467)+459.6),J475)</f>
        <v>520.04999999999995</v>
      </c>
      <c r="K476" cm="1">
        <f t="array" ref="K476">IFERROR(IF(ISBLANK(INDEX(FX_Input,$R467,K$3*$AK467+$AL467)),K475+0.003*K469*K473,INDEX(FX_Input,$R467,K$3*$AK467+$AL467)+459.6),K475)</f>
        <v>520.5</v>
      </c>
      <c r="L476" cm="1">
        <f t="array" ref="L476">IFERROR(IF(ISBLANK(INDEX(FX_Input,$R467,L$3*$AK467+$AL467)),L475+0.003*L469*L473,INDEX(FX_Input,$R467,L$3*$AK467+$AL467)+459.6),L475)</f>
        <v>518.20000000000005</v>
      </c>
      <c r="M476" cm="1">
        <f t="array" ref="M476">IFERROR(IF(ISBLANK(INDEX(FX_Input,$R467,M$3*$AK467+$AL467)),M475+0.003*M469*M473,INDEX(FX_Input,$R467,M$3*$AK467+$AL467)+459.6),M475)</f>
        <v>512.25</v>
      </c>
      <c r="N476" cm="1">
        <f t="array" ref="N476">IFERROR(IF(ISBLANK(INDEX(FX_Input,$R467,N$3*$AK467+$AL467)),N475+0.003*N469*N473,INDEX(FX_Input,$R467,N$3*$AK467+$AL467)+459.6),N475)</f>
        <v>506.70000000000005</v>
      </c>
      <c r="O476" cm="1">
        <f t="array" ref="O476">IFERROR(IF(ISBLANK(INDEX(FX_Input,$R467,O$3*$AK467+$AL467)),O475+0.003*O469*O473,INDEX(FX_Input,$R467,O$3*$AK467+$AL467)+459.6),O475)</f>
        <v>503.20000000000005</v>
      </c>
      <c r="P476" cm="1">
        <f t="array" ref="P476">IFERROR(IF(ISBLANK(INDEX(FX_Input,$R467,P$3*$AK467+$AL467)),P475+0.003*P469*P473,INDEX(FX_Input,$R467,P$3*$AK467+$AL467)+459.6),P475)</f>
        <v>459.6</v>
      </c>
    </row>
    <row r="477" spans="1:38" ht="17.149999999999999" x14ac:dyDescent="0.55000000000000004">
      <c r="B477" t="str">
        <f t="shared" si="1157"/>
        <v>Portland</v>
      </c>
      <c r="C477" t="s">
        <v>526</v>
      </c>
      <c r="D477">
        <f>IF(ISNUMBER(D471),0.4*D467+0.6*D476+0.005*D471*D473,IF(D471="Partially Insulated",0.3*D475+0.7*D476+0.005*D470*D473,D476))-459.6</f>
        <v>43.899999999999977</v>
      </c>
      <c r="E477">
        <f t="shared" ref="E477" si="1163">IF(ISNUMBER(E471),0.4*E467+0.6*E476+0.005*E471*E473,IF(E471="Partially Insulated",0.3*E475+0.7*E476+0.005*E470*E473,E476))-459.6</f>
        <v>44.700000000000045</v>
      </c>
      <c r="F477">
        <f t="shared" ref="F477" si="1164">IF(ISNUMBER(F471),0.4*F467+0.6*F476+0.005*F471*F473,IF(F471="Partially Insulated",0.3*F475+0.7*F476+0.005*F470*F473,F476))-459.6</f>
        <v>46.100000000000023</v>
      </c>
      <c r="G477">
        <f t="shared" ref="G477" si="1165">IF(ISNUMBER(G471),0.4*G467+0.6*G476+0.005*G471*G473,IF(G471="Partially Insulated",0.3*G475+0.7*G476+0.005*G470*G473,G476))-459.6</f>
        <v>48.599999999999966</v>
      </c>
      <c r="H477">
        <f t="shared" ref="H477" si="1166">IF(ISNUMBER(H471),0.4*H467+0.6*H476+0.005*H471*H473,IF(H471="Partially Insulated",0.3*H475+0.7*H476+0.005*H470*H473,H476))-459.6</f>
        <v>53.149999999999977</v>
      </c>
      <c r="I477">
        <f t="shared" ref="I477" si="1167">IF(ISNUMBER(I471),0.4*I467+0.6*I476+0.005*I471*I473,IF(I471="Partially Insulated",0.3*I475+0.7*I476+0.005*I470*I473,I476))-459.6</f>
        <v>56.950000000000045</v>
      </c>
      <c r="J477">
        <f t="shared" ref="J477" si="1168">IF(ISNUMBER(J471),0.4*J467+0.6*J476+0.005*J471*J473,IF(J471="Partially Insulated",0.3*J475+0.7*J476+0.005*J470*J473,J476))-459.6</f>
        <v>60.449999999999932</v>
      </c>
      <c r="K477">
        <f t="shared" ref="K477" si="1169">IF(ISNUMBER(K471),0.4*K467+0.6*K476+0.005*K471*K473,IF(K471="Partially Insulated",0.3*K475+0.7*K476+0.005*K470*K473,K476))-459.6</f>
        <v>60.899999999999977</v>
      </c>
      <c r="L477">
        <f t="shared" ref="L477" si="1170">IF(ISNUMBER(L471),0.4*L467+0.6*L476+0.005*L471*L473,IF(L471="Partially Insulated",0.3*L475+0.7*L476+0.005*L470*L473,L476))-459.6</f>
        <v>58.600000000000023</v>
      </c>
      <c r="M477">
        <f t="shared" ref="M477" si="1171">IF(ISNUMBER(M471),0.4*M467+0.6*M476+0.005*M471*M473,IF(M471="Partially Insulated",0.3*M475+0.7*M476+0.005*M470*M473,M476))-459.6</f>
        <v>52.649999999999977</v>
      </c>
      <c r="N477">
        <f t="shared" ref="N477" si="1172">IF(ISNUMBER(N471),0.4*N467+0.6*N476+0.005*N471*N473,IF(N471="Partially Insulated",0.3*N475+0.7*N476+0.005*N470*N473,N476))-459.6</f>
        <v>47.100000000000023</v>
      </c>
      <c r="O477">
        <f t="shared" ref="O477" si="1173">IF(ISNUMBER(O471),0.4*O467+0.6*O476+0.005*O471*O473,IF(O471="Partially Insulated",0.3*O475+0.7*O476+0.005*O470*O473,O476))-459.6</f>
        <v>43.600000000000023</v>
      </c>
      <c r="P477">
        <f>AVERAGE(D477:O477)</f>
        <v>51.391666666666673</v>
      </c>
    </row>
    <row r="478" spans="1:38" ht="17.149999999999999" x14ac:dyDescent="0.55000000000000004">
      <c r="B478" t="str">
        <f t="shared" si="1157"/>
        <v>Portland</v>
      </c>
      <c r="C478" t="s">
        <v>527</v>
      </c>
      <c r="D478">
        <f>IF(ISNUMBER(D471),0.4*D468+0.6*D476+0.005*D471*D473,IF(D471="Partially Insulated",0.3*D475+0.7*D476+0.005*D470*D473,D476))-459.6</f>
        <v>43.899999999999977</v>
      </c>
      <c r="E478">
        <f t="shared" ref="E478:O478" si="1174">IF(ISNUMBER(E471),0.4*E468+0.6*E476+0.005*E471*E473,IF(E471="Partially Insulated",0.3*E475+0.7*E476+0.005*E470*E473,E476))-459.6</f>
        <v>44.700000000000045</v>
      </c>
      <c r="F478">
        <f t="shared" si="1174"/>
        <v>46.100000000000023</v>
      </c>
      <c r="G478">
        <f t="shared" si="1174"/>
        <v>48.599999999999966</v>
      </c>
      <c r="H478">
        <f t="shared" si="1174"/>
        <v>53.149999999999977</v>
      </c>
      <c r="I478">
        <f t="shared" si="1174"/>
        <v>56.950000000000045</v>
      </c>
      <c r="J478">
        <f t="shared" si="1174"/>
        <v>60.449999999999932</v>
      </c>
      <c r="K478">
        <f t="shared" si="1174"/>
        <v>60.899999999999977</v>
      </c>
      <c r="L478">
        <f t="shared" si="1174"/>
        <v>58.600000000000023</v>
      </c>
      <c r="M478">
        <f t="shared" si="1174"/>
        <v>52.649999999999977</v>
      </c>
      <c r="N478">
        <f t="shared" si="1174"/>
        <v>47.100000000000023</v>
      </c>
      <c r="O478">
        <f t="shared" si="1174"/>
        <v>43.600000000000023</v>
      </c>
      <c r="P478">
        <f>AVERAGE(D478:O478)</f>
        <v>51.391666666666673</v>
      </c>
    </row>
    <row r="479" spans="1:38" ht="17.149999999999999" x14ac:dyDescent="0.55000000000000004">
      <c r="B479" t="str">
        <f t="shared" si="1157"/>
        <v>Portland</v>
      </c>
      <c r="C479" t="s">
        <v>552</v>
      </c>
      <c r="D479">
        <f>IF(ISNUMBER(D471),0.4*D475+0.6*D476+0.005*D471*D473,IF(D471="Partially Insulated",0.3*D475+0.7*D476+0.005*D470*D473,D476))-459.6</f>
        <v>43.899999999999977</v>
      </c>
      <c r="E479">
        <f t="shared" ref="E479:O479" si="1175">IF(ISNUMBER(E471),0.4*E475+0.6*E476+0.005*E471*E473,IF(E471="Partially Insulated",0.3*E475+0.7*E476+0.005*E470*E473,E476))-459.6</f>
        <v>44.700000000000045</v>
      </c>
      <c r="F479">
        <f t="shared" si="1175"/>
        <v>46.100000000000023</v>
      </c>
      <c r="G479">
        <f t="shared" si="1175"/>
        <v>48.599999999999966</v>
      </c>
      <c r="H479">
        <f t="shared" si="1175"/>
        <v>53.149999999999977</v>
      </c>
      <c r="I479">
        <f t="shared" si="1175"/>
        <v>56.950000000000045</v>
      </c>
      <c r="J479">
        <f t="shared" si="1175"/>
        <v>60.449999999999932</v>
      </c>
      <c r="K479">
        <f t="shared" si="1175"/>
        <v>60.899999999999977</v>
      </c>
      <c r="L479">
        <f t="shared" si="1175"/>
        <v>58.600000000000023</v>
      </c>
      <c r="M479">
        <f t="shared" si="1175"/>
        <v>52.649999999999977</v>
      </c>
      <c r="N479">
        <f t="shared" si="1175"/>
        <v>47.100000000000023</v>
      </c>
      <c r="O479">
        <f t="shared" si="1175"/>
        <v>43.600000000000023</v>
      </c>
      <c r="P479">
        <f>AVERAGE(D479:O479)</f>
        <v>51.391666666666673</v>
      </c>
    </row>
    <row r="480" spans="1:38" ht="17.149999999999999" x14ac:dyDescent="0.55000000000000004">
      <c r="A480" s="11"/>
      <c r="B480" s="11" t="str">
        <f t="shared" si="1157"/>
        <v>Portland</v>
      </c>
      <c r="C480" s="11" t="s">
        <v>553</v>
      </c>
      <c r="D480" s="11">
        <f>IF(ISNUMBER(D471),0.7*D475+0.3*D476+0.009*D471*D473,IF(D471="Partially Insulated",0.6*D475+0.4*D476+0.01*D470*D473,D476))-459.6</f>
        <v>43.899999999999977</v>
      </c>
      <c r="E480" s="11">
        <f t="shared" ref="E480:O480" si="1176">IF(ISNUMBER(E471),0.7*E475+0.3*E476+0.009*E471*E473,IF(E471="Partially Insulated",0.6*E475+0.4*E476+0.01*E470*E473,E476))-459.6</f>
        <v>44.700000000000045</v>
      </c>
      <c r="F480" s="11">
        <f t="shared" si="1176"/>
        <v>46.100000000000023</v>
      </c>
      <c r="G480" s="11">
        <f t="shared" si="1176"/>
        <v>48.599999999999966</v>
      </c>
      <c r="H480" s="11">
        <f t="shared" si="1176"/>
        <v>53.149999999999977</v>
      </c>
      <c r="I480" s="11">
        <f t="shared" si="1176"/>
        <v>56.950000000000045</v>
      </c>
      <c r="J480" s="11">
        <f t="shared" si="1176"/>
        <v>60.449999999999932</v>
      </c>
      <c r="K480" s="11">
        <f t="shared" si="1176"/>
        <v>60.899999999999977</v>
      </c>
      <c r="L480" s="11">
        <f t="shared" si="1176"/>
        <v>58.600000000000023</v>
      </c>
      <c r="M480" s="11">
        <f t="shared" si="1176"/>
        <v>52.649999999999977</v>
      </c>
      <c r="N480" s="11">
        <f t="shared" si="1176"/>
        <v>47.100000000000023</v>
      </c>
      <c r="O480" s="11">
        <f t="shared" si="1176"/>
        <v>43.600000000000023</v>
      </c>
      <c r="P480" s="11">
        <f>AVERAGE(D480:O480)</f>
        <v>51.391666666666673</v>
      </c>
      <c r="Q480" s="11"/>
      <c r="R480" s="11"/>
      <c r="S480" s="11"/>
      <c r="T480" s="11"/>
      <c r="U480" s="11"/>
      <c r="V480" s="11"/>
      <c r="W480" s="11"/>
      <c r="X480" s="11"/>
      <c r="Y480" s="11"/>
      <c r="Z480" s="11"/>
      <c r="AA480" s="11"/>
      <c r="AB480" s="11"/>
      <c r="AC480" s="11"/>
      <c r="AD480" s="11"/>
      <c r="AE480" s="11"/>
      <c r="AF480" s="11"/>
      <c r="AG480" s="11"/>
      <c r="AH480" s="11"/>
      <c r="AI480" s="11"/>
      <c r="AJ480" s="11"/>
      <c r="AK480" s="11"/>
      <c r="AL480" s="11"/>
    </row>
    <row r="481" spans="1:38" ht="17.149999999999999" x14ac:dyDescent="0.55000000000000004">
      <c r="A481" t="str" cm="1">
        <f t="array" ref="A481">INDEX(FX_Input,$R481,S$5)</f>
        <v>FX - 35</v>
      </c>
      <c r="B481" t="str" cm="1">
        <f t="array" ref="B481">INDEX(FX_Input,R481,T481)</f>
        <v>Portland</v>
      </c>
      <c r="C481" t="s">
        <v>510</v>
      </c>
      <c r="D481">
        <f t="shared" ref="D481:O482" si="1177">VLOOKUP(VLOOKUP($B481,Terminal_X_Ref,2,FALSE)&amp;$C481,Weather_Data,$Y481*D$3+$Z481,FALSE)+459.6</f>
        <v>498.3</v>
      </c>
      <c r="E481">
        <f t="shared" si="1177"/>
        <v>497.70000000000005</v>
      </c>
      <c r="F481">
        <f t="shared" si="1177"/>
        <v>499.1</v>
      </c>
      <c r="G481">
        <f t="shared" si="1177"/>
        <v>501.5</v>
      </c>
      <c r="H481">
        <f t="shared" si="1177"/>
        <v>506.1</v>
      </c>
      <c r="I481">
        <f t="shared" si="1177"/>
        <v>510.3</v>
      </c>
      <c r="J481">
        <f t="shared" si="1177"/>
        <v>513.70000000000005</v>
      </c>
      <c r="K481">
        <f t="shared" si="1177"/>
        <v>513.70000000000005</v>
      </c>
      <c r="L481">
        <f t="shared" si="1177"/>
        <v>510</v>
      </c>
      <c r="M481">
        <f t="shared" si="1177"/>
        <v>504.90000000000003</v>
      </c>
      <c r="N481">
        <f t="shared" si="1177"/>
        <v>500.6</v>
      </c>
      <c r="O481">
        <f t="shared" si="1177"/>
        <v>498.20000000000005</v>
      </c>
      <c r="P481">
        <f t="shared" ref="P481:P482" si="1178">VLOOKUP(VLOOKUP($B481,Terminal_X_Ref,2,FALSE)&amp;$C481,Weather_Data,$Y481*P$3+$Z481,FALSE)</f>
        <v>44.9</v>
      </c>
      <c r="R481">
        <f>R467+2</f>
        <v>69</v>
      </c>
      <c r="S481">
        <f>S467+1</f>
        <v>35</v>
      </c>
      <c r="T481">
        <v>3</v>
      </c>
      <c r="U481">
        <v>2</v>
      </c>
      <c r="V481">
        <v>3</v>
      </c>
      <c r="W481">
        <v>1</v>
      </c>
      <c r="X481">
        <v>2</v>
      </c>
      <c r="Y481">
        <f>(V481-U481)/(X481-W481)</f>
        <v>1</v>
      </c>
      <c r="Z481">
        <f>U481-Y481*W481</f>
        <v>1</v>
      </c>
      <c r="AA481">
        <f>AA467+1</f>
        <v>35</v>
      </c>
      <c r="AB481">
        <v>6</v>
      </c>
      <c r="AC481">
        <v>3</v>
      </c>
      <c r="AD481">
        <v>13</v>
      </c>
      <c r="AE481">
        <v>12</v>
      </c>
      <c r="AF481">
        <v>14</v>
      </c>
      <c r="AG481">
        <v>77</v>
      </c>
      <c r="AH481">
        <v>78</v>
      </c>
      <c r="AI481">
        <v>1</v>
      </c>
      <c r="AJ481">
        <v>2</v>
      </c>
      <c r="AK481">
        <f>(AH481-AG481)/(AJ481-AI481)</f>
        <v>1</v>
      </c>
      <c r="AL481">
        <f>AG481-AK481*AI481</f>
        <v>76</v>
      </c>
    </row>
    <row r="482" spans="1:38" ht="17.149999999999999" x14ac:dyDescent="0.55000000000000004">
      <c r="B482" t="str">
        <f t="shared" ref="B482" si="1179">B481</f>
        <v>Portland</v>
      </c>
      <c r="C482" t="s">
        <v>511</v>
      </c>
      <c r="D482">
        <f t="shared" si="1177"/>
        <v>508.70000000000005</v>
      </c>
      <c r="E482">
        <f t="shared" si="1177"/>
        <v>510.90000000000003</v>
      </c>
      <c r="F482">
        <f t="shared" si="1177"/>
        <v>512.30000000000007</v>
      </c>
      <c r="G482">
        <f t="shared" si="1177"/>
        <v>514.9</v>
      </c>
      <c r="H482">
        <f t="shared" si="1177"/>
        <v>519.4</v>
      </c>
      <c r="I482">
        <f t="shared" si="1177"/>
        <v>522.80000000000007</v>
      </c>
      <c r="J482">
        <f t="shared" si="1177"/>
        <v>526.4</v>
      </c>
      <c r="K482">
        <f t="shared" si="1177"/>
        <v>527.30000000000007</v>
      </c>
      <c r="L482">
        <f t="shared" si="1177"/>
        <v>526.4</v>
      </c>
      <c r="M482">
        <f t="shared" si="1177"/>
        <v>519.6</v>
      </c>
      <c r="N482">
        <f t="shared" si="1177"/>
        <v>512.80000000000007</v>
      </c>
      <c r="O482">
        <f t="shared" si="1177"/>
        <v>508.20000000000005</v>
      </c>
      <c r="P482">
        <f t="shared" si="1178"/>
        <v>57.9</v>
      </c>
      <c r="U482">
        <f>U481</f>
        <v>2</v>
      </c>
      <c r="V482">
        <f t="shared" ref="V482:Z482" si="1180">V481</f>
        <v>3</v>
      </c>
      <c r="W482">
        <f t="shared" si="1180"/>
        <v>1</v>
      </c>
      <c r="X482">
        <f t="shared" si="1180"/>
        <v>2</v>
      </c>
      <c r="Y482">
        <f t="shared" si="1180"/>
        <v>1</v>
      </c>
      <c r="Z482">
        <f t="shared" si="1180"/>
        <v>1</v>
      </c>
      <c r="AA482">
        <f>AA481</f>
        <v>35</v>
      </c>
      <c r="AB482">
        <f t="shared" ref="AB482:AB485" si="1181">AB481</f>
        <v>6</v>
      </c>
      <c r="AC482">
        <f t="shared" ref="AC482:AF485" si="1182">AC481</f>
        <v>3</v>
      </c>
      <c r="AD482">
        <f t="shared" si="1182"/>
        <v>13</v>
      </c>
      <c r="AE482">
        <f t="shared" si="1182"/>
        <v>12</v>
      </c>
      <c r="AF482">
        <f t="shared" si="1182"/>
        <v>14</v>
      </c>
      <c r="AG482">
        <f t="shared" ref="AG482:AG485" si="1183">AG481</f>
        <v>77</v>
      </c>
      <c r="AH482">
        <f t="shared" ref="AH482:AH485" si="1184">AH481</f>
        <v>78</v>
      </c>
      <c r="AI482">
        <f t="shared" ref="AI482:AI485" si="1185">AI481</f>
        <v>1</v>
      </c>
      <c r="AJ482">
        <f t="shared" ref="AJ482:AJ485" si="1186">AJ481</f>
        <v>2</v>
      </c>
      <c r="AK482">
        <f t="shared" ref="AK482:AK485" si="1187">AK481</f>
        <v>1</v>
      </c>
      <c r="AL482">
        <f t="shared" ref="AL482:AL485" si="1188">AL481</f>
        <v>76</v>
      </c>
    </row>
    <row r="483" spans="1:38" ht="17.149999999999999" x14ac:dyDescent="0.4">
      <c r="B483" t="str">
        <f>B482</f>
        <v>Portland</v>
      </c>
      <c r="C483" s="66" t="s">
        <v>514</v>
      </c>
      <c r="D483" t="str" cm="1">
        <f t="array" ref="D483">INDEX(FX_Calcs,$AA483,$AE483)</f>
        <v>N/A</v>
      </c>
      <c r="E483" t="str" cm="1">
        <f t="array" ref="E483">INDEX(FX_Calcs,$AA483,$AE483)</f>
        <v>N/A</v>
      </c>
      <c r="F483" t="str" cm="1">
        <f t="array" ref="F483">INDEX(FX_Calcs,$AA483,$AE483)</f>
        <v>N/A</v>
      </c>
      <c r="G483" t="str" cm="1">
        <f t="array" ref="G483">INDEX(FX_Calcs,$AA483,$AE483)</f>
        <v>N/A</v>
      </c>
      <c r="H483" t="str" cm="1">
        <f t="array" ref="H483">INDEX(FX_Calcs,$AA483,$AE483)</f>
        <v>N/A</v>
      </c>
      <c r="I483" t="str" cm="1">
        <f t="array" ref="I483">INDEX(FX_Calcs,$AA483,$AE483)</f>
        <v>N/A</v>
      </c>
      <c r="J483" t="str" cm="1">
        <f t="array" ref="J483">INDEX(FX_Calcs,$AA483,$AE483)</f>
        <v>N/A</v>
      </c>
      <c r="K483" t="str" cm="1">
        <f t="array" ref="K483">INDEX(FX_Calcs,$AA483,$AE483)</f>
        <v>N/A</v>
      </c>
      <c r="L483" t="str" cm="1">
        <f t="array" ref="L483">INDEX(FX_Calcs,$AA483,$AE483)</f>
        <v>N/A</v>
      </c>
      <c r="M483" t="str" cm="1">
        <f t="array" ref="M483">INDEX(FX_Calcs,$AA483,$AE483)</f>
        <v>N/A</v>
      </c>
      <c r="N483" t="str" cm="1">
        <f t="array" ref="N483">INDEX(FX_Calcs,$AA483,$AE483)</f>
        <v>N/A</v>
      </c>
      <c r="O483" t="str" cm="1">
        <f t="array" ref="O483">INDEX(FX_Calcs,$AA483,$AE483)</f>
        <v>N/A</v>
      </c>
      <c r="P483" t="str" cm="1">
        <f t="array" ref="P483">INDEX(FX_Calcs,$AA483,$AE483)</f>
        <v>N/A</v>
      </c>
      <c r="AA483">
        <f>AA482</f>
        <v>35</v>
      </c>
      <c r="AB483">
        <f t="shared" si="1181"/>
        <v>6</v>
      </c>
      <c r="AC483">
        <f t="shared" si="1182"/>
        <v>3</v>
      </c>
      <c r="AD483">
        <f t="shared" si="1182"/>
        <v>13</v>
      </c>
      <c r="AE483">
        <f t="shared" si="1182"/>
        <v>12</v>
      </c>
      <c r="AF483">
        <f t="shared" si="1182"/>
        <v>14</v>
      </c>
      <c r="AG483">
        <f t="shared" si="1183"/>
        <v>77</v>
      </c>
      <c r="AH483">
        <f t="shared" si="1184"/>
        <v>78</v>
      </c>
      <c r="AI483">
        <f t="shared" si="1185"/>
        <v>1</v>
      </c>
      <c r="AJ483">
        <f t="shared" si="1186"/>
        <v>2</v>
      </c>
      <c r="AK483">
        <f t="shared" si="1187"/>
        <v>1</v>
      </c>
      <c r="AL483">
        <f t="shared" si="1188"/>
        <v>76</v>
      </c>
    </row>
    <row r="484" spans="1:38" ht="17.149999999999999" x14ac:dyDescent="0.4">
      <c r="B484" t="str">
        <f t="shared" ref="B484:B485" si="1189">B483</f>
        <v>Portland</v>
      </c>
      <c r="C484" s="66" t="s">
        <v>513</v>
      </c>
      <c r="D484" t="str" cm="1">
        <f t="array" ref="D484">INDEX(FX_Calcs,$AA484,$AD484)</f>
        <v>N/A</v>
      </c>
      <c r="E484" t="str" cm="1">
        <f t="array" ref="E484">INDEX(FX_Calcs,$AA484,$AD484)</f>
        <v>N/A</v>
      </c>
      <c r="F484" t="str" cm="1">
        <f t="array" ref="F484">INDEX(FX_Calcs,$AA484,$AD484)</f>
        <v>N/A</v>
      </c>
      <c r="G484" t="str" cm="1">
        <f t="array" ref="G484">INDEX(FX_Calcs,$AA484,$AD484)</f>
        <v>N/A</v>
      </c>
      <c r="H484" t="str" cm="1">
        <f t="array" ref="H484">INDEX(FX_Calcs,$AA484,$AD484)</f>
        <v>N/A</v>
      </c>
      <c r="I484" t="str" cm="1">
        <f t="array" ref="I484">INDEX(FX_Calcs,$AA484,$AD484)</f>
        <v>N/A</v>
      </c>
      <c r="J484" t="str" cm="1">
        <f t="array" ref="J484">INDEX(FX_Calcs,$AA484,$AD484)</f>
        <v>N/A</v>
      </c>
      <c r="K484" t="str" cm="1">
        <f t="array" ref="K484">INDEX(FX_Calcs,$AA484,$AD484)</f>
        <v>N/A</v>
      </c>
      <c r="L484" t="str" cm="1">
        <f t="array" ref="L484">INDEX(FX_Calcs,$AA484,$AD484)</f>
        <v>N/A</v>
      </c>
      <c r="M484" t="str" cm="1">
        <f t="array" ref="M484">INDEX(FX_Calcs,$AA484,$AD484)</f>
        <v>N/A</v>
      </c>
      <c r="N484" t="str" cm="1">
        <f t="array" ref="N484">INDEX(FX_Calcs,$AA484,$AD484)</f>
        <v>N/A</v>
      </c>
      <c r="O484" t="str" cm="1">
        <f t="array" ref="O484">INDEX(FX_Calcs,$AA484,$AD484)</f>
        <v>N/A</v>
      </c>
      <c r="P484" t="str" cm="1">
        <f t="array" ref="P484">INDEX(FX_Calcs,$AA484,$AD484)</f>
        <v>N/A</v>
      </c>
      <c r="AA484">
        <f>AA483</f>
        <v>35</v>
      </c>
      <c r="AB484">
        <f t="shared" si="1181"/>
        <v>6</v>
      </c>
      <c r="AC484">
        <f t="shared" si="1182"/>
        <v>3</v>
      </c>
      <c r="AD484">
        <f t="shared" si="1182"/>
        <v>13</v>
      </c>
      <c r="AE484">
        <f t="shared" si="1182"/>
        <v>12</v>
      </c>
      <c r="AF484">
        <f t="shared" si="1182"/>
        <v>14</v>
      </c>
      <c r="AG484">
        <f t="shared" si="1183"/>
        <v>77</v>
      </c>
      <c r="AH484">
        <f t="shared" si="1184"/>
        <v>78</v>
      </c>
      <c r="AI484">
        <f t="shared" si="1185"/>
        <v>1</v>
      </c>
      <c r="AJ484">
        <f t="shared" si="1186"/>
        <v>2</v>
      </c>
      <c r="AK484">
        <f t="shared" si="1187"/>
        <v>1</v>
      </c>
      <c r="AL484">
        <f t="shared" si="1188"/>
        <v>76</v>
      </c>
    </row>
    <row r="485" spans="1:38" x14ac:dyDescent="0.4">
      <c r="B485" t="str">
        <f t="shared" si="1189"/>
        <v>Portland</v>
      </c>
      <c r="C485" s="66" t="s">
        <v>558</v>
      </c>
      <c r="D485" t="str" cm="1">
        <f t="array" ref="D485">INDEX(FX_Calcs,$AA485,$AF485)</f>
        <v>Insulated</v>
      </c>
      <c r="E485" t="str" cm="1">
        <f t="array" ref="E485">INDEX(FX_Calcs,$AA485,$AF485)</f>
        <v>Insulated</v>
      </c>
      <c r="F485" t="str" cm="1">
        <f t="array" ref="F485">INDEX(FX_Calcs,$AA485,$AF485)</f>
        <v>Insulated</v>
      </c>
      <c r="G485" t="str" cm="1">
        <f t="array" ref="G485">INDEX(FX_Calcs,$AA485,$AF485)</f>
        <v>Insulated</v>
      </c>
      <c r="H485" t="str" cm="1">
        <f t="array" ref="H485">INDEX(FX_Calcs,$AA485,$AF485)</f>
        <v>Insulated</v>
      </c>
      <c r="I485" t="str" cm="1">
        <f t="array" ref="I485">INDEX(FX_Calcs,$AA485,$AF485)</f>
        <v>Insulated</v>
      </c>
      <c r="J485" t="str" cm="1">
        <f t="array" ref="J485">INDEX(FX_Calcs,$AA485,$AF485)</f>
        <v>Insulated</v>
      </c>
      <c r="K485" t="str" cm="1">
        <f t="array" ref="K485">INDEX(FX_Calcs,$AA485,$AF485)</f>
        <v>Insulated</v>
      </c>
      <c r="L485" t="str" cm="1">
        <f t="array" ref="L485">INDEX(FX_Calcs,$AA485,$AF485)</f>
        <v>Insulated</v>
      </c>
      <c r="M485" t="str" cm="1">
        <f t="array" ref="M485">INDEX(FX_Calcs,$AA485,$AF485)</f>
        <v>Insulated</v>
      </c>
      <c r="N485" t="str" cm="1">
        <f t="array" ref="N485">INDEX(FX_Calcs,$AA485,$AF485)</f>
        <v>Insulated</v>
      </c>
      <c r="O485" t="str" cm="1">
        <f t="array" ref="O485">INDEX(FX_Calcs,$AA485,$AF485)</f>
        <v>Insulated</v>
      </c>
      <c r="P485" t="str" cm="1">
        <f t="array" ref="P485">INDEX(FX_Calcs,$AA485,$AF485)</f>
        <v>Insulated</v>
      </c>
      <c r="AA485">
        <f>AA484</f>
        <v>35</v>
      </c>
      <c r="AB485">
        <f t="shared" si="1181"/>
        <v>6</v>
      </c>
      <c r="AC485">
        <f t="shared" si="1182"/>
        <v>3</v>
      </c>
      <c r="AD485">
        <f t="shared" si="1182"/>
        <v>13</v>
      </c>
      <c r="AE485">
        <f t="shared" si="1182"/>
        <v>12</v>
      </c>
      <c r="AF485">
        <f t="shared" si="1182"/>
        <v>14</v>
      </c>
      <c r="AG485">
        <f t="shared" si="1183"/>
        <v>77</v>
      </c>
      <c r="AH485">
        <f t="shared" si="1184"/>
        <v>78</v>
      </c>
      <c r="AI485">
        <f t="shared" si="1185"/>
        <v>1</v>
      </c>
      <c r="AJ485">
        <f t="shared" si="1186"/>
        <v>2</v>
      </c>
      <c r="AK485">
        <f t="shared" si="1187"/>
        <v>1</v>
      </c>
      <c r="AL485">
        <f t="shared" si="1188"/>
        <v>76</v>
      </c>
    </row>
    <row r="486" spans="1:38" ht="17.149999999999999" x14ac:dyDescent="0.55000000000000004">
      <c r="B486" t="str">
        <f>B482</f>
        <v>Portland</v>
      </c>
      <c r="C486" t="s">
        <v>512</v>
      </c>
      <c r="D486">
        <f t="shared" ref="D486:P486" si="1190">D482-D481</f>
        <v>10.400000000000034</v>
      </c>
      <c r="E486">
        <f t="shared" si="1190"/>
        <v>13.199999999999989</v>
      </c>
      <c r="F486">
        <f t="shared" si="1190"/>
        <v>13.200000000000045</v>
      </c>
      <c r="G486">
        <f t="shared" si="1190"/>
        <v>13.399999999999977</v>
      </c>
      <c r="H486">
        <f t="shared" si="1190"/>
        <v>13.299999999999955</v>
      </c>
      <c r="I486">
        <f t="shared" si="1190"/>
        <v>12.500000000000057</v>
      </c>
      <c r="J486">
        <f t="shared" si="1190"/>
        <v>12.699999999999932</v>
      </c>
      <c r="K486">
        <f t="shared" si="1190"/>
        <v>13.600000000000023</v>
      </c>
      <c r="L486">
        <f t="shared" si="1190"/>
        <v>16.399999999999977</v>
      </c>
      <c r="M486">
        <f t="shared" si="1190"/>
        <v>14.699999999999989</v>
      </c>
      <c r="N486">
        <f t="shared" si="1190"/>
        <v>12.200000000000045</v>
      </c>
      <c r="O486">
        <f t="shared" si="1190"/>
        <v>10</v>
      </c>
      <c r="P486">
        <f t="shared" si="1190"/>
        <v>13</v>
      </c>
    </row>
    <row r="487" spans="1:38" x14ac:dyDescent="0.4">
      <c r="B487" t="str">
        <f t="shared" ref="B487:B494" si="1191">B486</f>
        <v>Portland</v>
      </c>
      <c r="C487" t="s">
        <v>260</v>
      </c>
      <c r="D487">
        <f t="shared" ref="D487:P487" si="1192">VLOOKUP(VLOOKUP($B487,Terminal_X_Ref,2,FALSE)&amp;$C487,Weather_Data,$Y487*D$3+$Z487,FALSE)</f>
        <v>343</v>
      </c>
      <c r="E487">
        <f t="shared" si="1192"/>
        <v>600</v>
      </c>
      <c r="F487">
        <f t="shared" si="1192"/>
        <v>877</v>
      </c>
      <c r="G487">
        <f t="shared" si="1192"/>
        <v>1252</v>
      </c>
      <c r="H487">
        <f t="shared" si="1192"/>
        <v>1537</v>
      </c>
      <c r="I487">
        <f t="shared" si="1192"/>
        <v>1627</v>
      </c>
      <c r="J487">
        <f t="shared" si="1192"/>
        <v>1708</v>
      </c>
      <c r="K487">
        <f t="shared" si="1192"/>
        <v>1492</v>
      </c>
      <c r="L487">
        <f t="shared" si="1192"/>
        <v>1196</v>
      </c>
      <c r="M487">
        <f t="shared" si="1192"/>
        <v>728</v>
      </c>
      <c r="N487">
        <f t="shared" si="1192"/>
        <v>391</v>
      </c>
      <c r="O487">
        <f t="shared" si="1192"/>
        <v>302</v>
      </c>
      <c r="P487">
        <f t="shared" si="1192"/>
        <v>1005</v>
      </c>
      <c r="U487">
        <f>U482</f>
        <v>2</v>
      </c>
      <c r="V487">
        <f t="shared" ref="V487:Z487" si="1193">V482</f>
        <v>3</v>
      </c>
      <c r="W487">
        <f t="shared" si="1193"/>
        <v>1</v>
      </c>
      <c r="X487">
        <f t="shared" si="1193"/>
        <v>2</v>
      </c>
      <c r="Y487">
        <f t="shared" si="1193"/>
        <v>1</v>
      </c>
      <c r="Z487">
        <f t="shared" si="1193"/>
        <v>1</v>
      </c>
    </row>
    <row r="488" spans="1:38" ht="17.149999999999999" x14ac:dyDescent="0.55000000000000004">
      <c r="B488" t="str">
        <f t="shared" si="1191"/>
        <v>Portland</v>
      </c>
      <c r="C488" t="s">
        <v>523</v>
      </c>
      <c r="D488">
        <f>IF(ISNUMBER(D485),0.7*D486+0.02*D485*D487,IF(D485="Partially Insulated",0.6*D486+0.02*D484*D487,0))</f>
        <v>0</v>
      </c>
      <c r="E488">
        <f t="shared" ref="E488:P488" si="1194">IF(ISNUMBER(E485),0.7*E486+0.02*E485*E487,IF(E485="Partially Insulated",0.6*E486+0.02*E484*E487,0))</f>
        <v>0</v>
      </c>
      <c r="F488">
        <f t="shared" si="1194"/>
        <v>0</v>
      </c>
      <c r="G488">
        <f t="shared" si="1194"/>
        <v>0</v>
      </c>
      <c r="H488">
        <f t="shared" si="1194"/>
        <v>0</v>
      </c>
      <c r="I488">
        <f t="shared" si="1194"/>
        <v>0</v>
      </c>
      <c r="J488">
        <f t="shared" si="1194"/>
        <v>0</v>
      </c>
      <c r="K488">
        <f t="shared" si="1194"/>
        <v>0</v>
      </c>
      <c r="L488">
        <f t="shared" si="1194"/>
        <v>0</v>
      </c>
      <c r="M488">
        <f t="shared" si="1194"/>
        <v>0</v>
      </c>
      <c r="N488">
        <f t="shared" si="1194"/>
        <v>0</v>
      </c>
      <c r="O488">
        <f t="shared" si="1194"/>
        <v>0</v>
      </c>
      <c r="P488">
        <f t="shared" si="1194"/>
        <v>0</v>
      </c>
    </row>
    <row r="489" spans="1:38" ht="17.149999999999999" x14ac:dyDescent="0.55000000000000004">
      <c r="B489" t="str">
        <f t="shared" si="1191"/>
        <v>Portland</v>
      </c>
      <c r="C489" t="s">
        <v>524</v>
      </c>
      <c r="D489">
        <f t="shared" ref="D489:F489" si="1195">AVERAGE(D481:D482)</f>
        <v>503.5</v>
      </c>
      <c r="E489">
        <f t="shared" si="1195"/>
        <v>504.30000000000007</v>
      </c>
      <c r="F489">
        <f t="shared" si="1195"/>
        <v>505.70000000000005</v>
      </c>
      <c r="G489">
        <f>AVERAGE(G481:G482)</f>
        <v>508.2</v>
      </c>
      <c r="H489">
        <f t="shared" ref="H489:P489" si="1196">AVERAGE(H481:H482)</f>
        <v>512.75</v>
      </c>
      <c r="I489">
        <f t="shared" si="1196"/>
        <v>516.55000000000007</v>
      </c>
      <c r="J489">
        <f t="shared" si="1196"/>
        <v>520.04999999999995</v>
      </c>
      <c r="K489">
        <f t="shared" si="1196"/>
        <v>520.5</v>
      </c>
      <c r="L489">
        <f t="shared" si="1196"/>
        <v>518.20000000000005</v>
      </c>
      <c r="M489">
        <f t="shared" si="1196"/>
        <v>512.25</v>
      </c>
      <c r="N489">
        <f t="shared" si="1196"/>
        <v>506.70000000000005</v>
      </c>
      <c r="O489">
        <f t="shared" si="1196"/>
        <v>503.20000000000005</v>
      </c>
      <c r="P489">
        <f t="shared" si="1196"/>
        <v>51.4</v>
      </c>
    </row>
    <row r="490" spans="1:38" ht="17.149999999999999" x14ac:dyDescent="0.55000000000000004">
      <c r="B490" t="str">
        <f t="shared" si="1191"/>
        <v>Portland</v>
      </c>
      <c r="C490" t="s">
        <v>525</v>
      </c>
      <c r="D490" cm="1">
        <f t="array" ref="D490">IFERROR(IF(ISBLANK(INDEX(FX_Input,$R481,D$3*$AK481+$AL481)),D489+0.003*D483*D487,INDEX(FX_Input,$R481,D$3*$AK481+$AL481)+459.6),D489)</f>
        <v>503.5</v>
      </c>
      <c r="E490" cm="1">
        <f t="array" ref="E490">IFERROR(IF(ISBLANK(INDEX(FX_Input,$R481,E$3*$AK481+$AL481)),E489+0.003*E483*E487,INDEX(FX_Input,$R481,E$3*$AK481+$AL481)+459.6),E489)</f>
        <v>504.30000000000007</v>
      </c>
      <c r="F490" cm="1">
        <f t="array" ref="F490">IFERROR(IF(ISBLANK(INDEX(FX_Input,$R481,F$3*$AK481+$AL481)),F489+0.003*F483*F487,INDEX(FX_Input,$R481,F$3*$AK481+$AL481)+459.6),F489)</f>
        <v>505.70000000000005</v>
      </c>
      <c r="G490" cm="1">
        <f t="array" ref="G490">IFERROR(IF(ISBLANK(INDEX(FX_Input,$R481,G$3*$AK481+$AL481)),G489+0.003*G483*G487,INDEX(FX_Input,$R481,G$3*$AK481+$AL481)+459.6),G489)</f>
        <v>508.2</v>
      </c>
      <c r="H490" cm="1">
        <f t="array" ref="H490">IFERROR(IF(ISBLANK(INDEX(FX_Input,$R481,H$3*$AK481+$AL481)),H489+0.003*H483*H487,INDEX(FX_Input,$R481,H$3*$AK481+$AL481)+459.6),H489)</f>
        <v>512.75</v>
      </c>
      <c r="I490" cm="1">
        <f t="array" ref="I490">IFERROR(IF(ISBLANK(INDEX(FX_Input,$R481,I$3*$AK481+$AL481)),I489+0.003*I483*I487,INDEX(FX_Input,$R481,I$3*$AK481+$AL481)+459.6),I489)</f>
        <v>516.55000000000007</v>
      </c>
      <c r="J490" cm="1">
        <f t="array" ref="J490">IFERROR(IF(ISBLANK(INDEX(FX_Input,$R481,J$3*$AK481+$AL481)),J489+0.003*J483*J487,INDEX(FX_Input,$R481,J$3*$AK481+$AL481)+459.6),J489)</f>
        <v>520.04999999999995</v>
      </c>
      <c r="K490" cm="1">
        <f t="array" ref="K490">IFERROR(IF(ISBLANK(INDEX(FX_Input,$R481,K$3*$AK481+$AL481)),K489+0.003*K483*K487,INDEX(FX_Input,$R481,K$3*$AK481+$AL481)+459.6),K489)</f>
        <v>520.5</v>
      </c>
      <c r="L490" cm="1">
        <f t="array" ref="L490">IFERROR(IF(ISBLANK(INDEX(FX_Input,$R481,L$3*$AK481+$AL481)),L489+0.003*L483*L487,INDEX(FX_Input,$R481,L$3*$AK481+$AL481)+459.6),L489)</f>
        <v>518.20000000000005</v>
      </c>
      <c r="M490" cm="1">
        <f t="array" ref="M490">IFERROR(IF(ISBLANK(INDEX(FX_Input,$R481,M$3*$AK481+$AL481)),M489+0.003*M483*M487,INDEX(FX_Input,$R481,M$3*$AK481+$AL481)+459.6),M489)</f>
        <v>512.25</v>
      </c>
      <c r="N490" cm="1">
        <f t="array" ref="N490">IFERROR(IF(ISBLANK(INDEX(FX_Input,$R481,N$3*$AK481+$AL481)),N489+0.003*N483*N487,INDEX(FX_Input,$R481,N$3*$AK481+$AL481)+459.6),N489)</f>
        <v>506.70000000000005</v>
      </c>
      <c r="O490" cm="1">
        <f t="array" ref="O490">IFERROR(IF(ISBLANK(INDEX(FX_Input,$R481,O$3*$AK481+$AL481)),O489+0.003*O483*O487,INDEX(FX_Input,$R481,O$3*$AK481+$AL481)+459.6),O489)</f>
        <v>503.20000000000005</v>
      </c>
      <c r="P490" cm="1">
        <f t="array" ref="P490">IFERROR(IF(ISBLANK(INDEX(FX_Input,$R481,P$3*$AK481+$AL481)),P489+0.003*P483*P487,INDEX(FX_Input,$R481,P$3*$AK481+$AL481)+459.6),P489)</f>
        <v>459.6</v>
      </c>
    </row>
    <row r="491" spans="1:38" ht="17.149999999999999" x14ac:dyDescent="0.55000000000000004">
      <c r="B491" t="str">
        <f t="shared" si="1191"/>
        <v>Portland</v>
      </c>
      <c r="C491" t="s">
        <v>526</v>
      </c>
      <c r="D491">
        <f>IF(ISNUMBER(D485),0.4*D481+0.6*D490+0.005*D485*D487,IF(D485="Partially Insulated",0.3*D489+0.7*D490+0.005*D484*D487,D490))-459.6</f>
        <v>43.899999999999977</v>
      </c>
      <c r="E491">
        <f t="shared" ref="E491" si="1197">IF(ISNUMBER(E485),0.4*E481+0.6*E490+0.005*E485*E487,IF(E485="Partially Insulated",0.3*E489+0.7*E490+0.005*E484*E487,E490))-459.6</f>
        <v>44.700000000000045</v>
      </c>
      <c r="F491">
        <f t="shared" ref="F491" si="1198">IF(ISNUMBER(F485),0.4*F481+0.6*F490+0.005*F485*F487,IF(F485="Partially Insulated",0.3*F489+0.7*F490+0.005*F484*F487,F490))-459.6</f>
        <v>46.100000000000023</v>
      </c>
      <c r="G491">
        <f t="shared" ref="G491" si="1199">IF(ISNUMBER(G485),0.4*G481+0.6*G490+0.005*G485*G487,IF(G485="Partially Insulated",0.3*G489+0.7*G490+0.005*G484*G487,G490))-459.6</f>
        <v>48.599999999999966</v>
      </c>
      <c r="H491">
        <f t="shared" ref="H491" si="1200">IF(ISNUMBER(H485),0.4*H481+0.6*H490+0.005*H485*H487,IF(H485="Partially Insulated",0.3*H489+0.7*H490+0.005*H484*H487,H490))-459.6</f>
        <v>53.149999999999977</v>
      </c>
      <c r="I491">
        <f t="shared" ref="I491" si="1201">IF(ISNUMBER(I485),0.4*I481+0.6*I490+0.005*I485*I487,IF(I485="Partially Insulated",0.3*I489+0.7*I490+0.005*I484*I487,I490))-459.6</f>
        <v>56.950000000000045</v>
      </c>
      <c r="J491">
        <f t="shared" ref="J491" si="1202">IF(ISNUMBER(J485),0.4*J481+0.6*J490+0.005*J485*J487,IF(J485="Partially Insulated",0.3*J489+0.7*J490+0.005*J484*J487,J490))-459.6</f>
        <v>60.449999999999932</v>
      </c>
      <c r="K491">
        <f t="shared" ref="K491" si="1203">IF(ISNUMBER(K485),0.4*K481+0.6*K490+0.005*K485*K487,IF(K485="Partially Insulated",0.3*K489+0.7*K490+0.005*K484*K487,K490))-459.6</f>
        <v>60.899999999999977</v>
      </c>
      <c r="L491">
        <f t="shared" ref="L491" si="1204">IF(ISNUMBER(L485),0.4*L481+0.6*L490+0.005*L485*L487,IF(L485="Partially Insulated",0.3*L489+0.7*L490+0.005*L484*L487,L490))-459.6</f>
        <v>58.600000000000023</v>
      </c>
      <c r="M491">
        <f t="shared" ref="M491" si="1205">IF(ISNUMBER(M485),0.4*M481+0.6*M490+0.005*M485*M487,IF(M485="Partially Insulated",0.3*M489+0.7*M490+0.005*M484*M487,M490))-459.6</f>
        <v>52.649999999999977</v>
      </c>
      <c r="N491">
        <f t="shared" ref="N491" si="1206">IF(ISNUMBER(N485),0.4*N481+0.6*N490+0.005*N485*N487,IF(N485="Partially Insulated",0.3*N489+0.7*N490+0.005*N484*N487,N490))-459.6</f>
        <v>47.100000000000023</v>
      </c>
      <c r="O491">
        <f t="shared" ref="O491" si="1207">IF(ISNUMBER(O485),0.4*O481+0.6*O490+0.005*O485*O487,IF(O485="Partially Insulated",0.3*O489+0.7*O490+0.005*O484*O487,O490))-459.6</f>
        <v>43.600000000000023</v>
      </c>
      <c r="P491">
        <f>AVERAGE(D491:O491)</f>
        <v>51.391666666666673</v>
      </c>
    </row>
    <row r="492" spans="1:38" ht="17.149999999999999" x14ac:dyDescent="0.55000000000000004">
      <c r="B492" t="str">
        <f t="shared" si="1191"/>
        <v>Portland</v>
      </c>
      <c r="C492" t="s">
        <v>527</v>
      </c>
      <c r="D492">
        <f>IF(ISNUMBER(D485),0.4*D482+0.6*D490+0.005*D485*D487,IF(D485="Partially Insulated",0.3*D489+0.7*D490+0.005*D484*D487,D490))-459.6</f>
        <v>43.899999999999977</v>
      </c>
      <c r="E492">
        <f t="shared" ref="E492:O492" si="1208">IF(ISNUMBER(E485),0.4*E482+0.6*E490+0.005*E485*E487,IF(E485="Partially Insulated",0.3*E489+0.7*E490+0.005*E484*E487,E490))-459.6</f>
        <v>44.700000000000045</v>
      </c>
      <c r="F492">
        <f t="shared" si="1208"/>
        <v>46.100000000000023</v>
      </c>
      <c r="G492">
        <f t="shared" si="1208"/>
        <v>48.599999999999966</v>
      </c>
      <c r="H492">
        <f t="shared" si="1208"/>
        <v>53.149999999999977</v>
      </c>
      <c r="I492">
        <f t="shared" si="1208"/>
        <v>56.950000000000045</v>
      </c>
      <c r="J492">
        <f t="shared" si="1208"/>
        <v>60.449999999999932</v>
      </c>
      <c r="K492">
        <f t="shared" si="1208"/>
        <v>60.899999999999977</v>
      </c>
      <c r="L492">
        <f t="shared" si="1208"/>
        <v>58.600000000000023</v>
      </c>
      <c r="M492">
        <f t="shared" si="1208"/>
        <v>52.649999999999977</v>
      </c>
      <c r="N492">
        <f t="shared" si="1208"/>
        <v>47.100000000000023</v>
      </c>
      <c r="O492">
        <f t="shared" si="1208"/>
        <v>43.600000000000023</v>
      </c>
      <c r="P492">
        <f>AVERAGE(D492:O492)</f>
        <v>51.391666666666673</v>
      </c>
    </row>
    <row r="493" spans="1:38" ht="17.149999999999999" x14ac:dyDescent="0.55000000000000004">
      <c r="B493" t="str">
        <f t="shared" si="1191"/>
        <v>Portland</v>
      </c>
      <c r="C493" t="s">
        <v>552</v>
      </c>
      <c r="D493">
        <f>IF(ISNUMBER(D485),0.4*D489+0.6*D490+0.005*D485*D487,IF(D485="Partially Insulated",0.3*D489+0.7*D490+0.005*D484*D487,D490))-459.6</f>
        <v>43.899999999999977</v>
      </c>
      <c r="E493">
        <f t="shared" ref="E493:O493" si="1209">IF(ISNUMBER(E485),0.4*E489+0.6*E490+0.005*E485*E487,IF(E485="Partially Insulated",0.3*E489+0.7*E490+0.005*E484*E487,E490))-459.6</f>
        <v>44.700000000000045</v>
      </c>
      <c r="F493">
        <f t="shared" si="1209"/>
        <v>46.100000000000023</v>
      </c>
      <c r="G493">
        <f t="shared" si="1209"/>
        <v>48.599999999999966</v>
      </c>
      <c r="H493">
        <f t="shared" si="1209"/>
        <v>53.149999999999977</v>
      </c>
      <c r="I493">
        <f t="shared" si="1209"/>
        <v>56.950000000000045</v>
      </c>
      <c r="J493">
        <f t="shared" si="1209"/>
        <v>60.449999999999932</v>
      </c>
      <c r="K493">
        <f t="shared" si="1209"/>
        <v>60.899999999999977</v>
      </c>
      <c r="L493">
        <f t="shared" si="1209"/>
        <v>58.600000000000023</v>
      </c>
      <c r="M493">
        <f t="shared" si="1209"/>
        <v>52.649999999999977</v>
      </c>
      <c r="N493">
        <f t="shared" si="1209"/>
        <v>47.100000000000023</v>
      </c>
      <c r="O493">
        <f t="shared" si="1209"/>
        <v>43.600000000000023</v>
      </c>
      <c r="P493">
        <f>AVERAGE(D493:O493)</f>
        <v>51.391666666666673</v>
      </c>
    </row>
    <row r="494" spans="1:38" ht="17.149999999999999" x14ac:dyDescent="0.55000000000000004">
      <c r="A494" s="11"/>
      <c r="B494" s="11" t="str">
        <f t="shared" si="1191"/>
        <v>Portland</v>
      </c>
      <c r="C494" s="11" t="s">
        <v>553</v>
      </c>
      <c r="D494" s="11">
        <f>IF(ISNUMBER(D485),0.7*D489+0.3*D490+0.009*D485*D487,IF(D485="Partially Insulated",0.6*D489+0.4*D490+0.01*D484*D487,D490))-459.6</f>
        <v>43.899999999999977</v>
      </c>
      <c r="E494" s="11">
        <f t="shared" ref="E494:O494" si="1210">IF(ISNUMBER(E485),0.7*E489+0.3*E490+0.009*E485*E487,IF(E485="Partially Insulated",0.6*E489+0.4*E490+0.01*E484*E487,E490))-459.6</f>
        <v>44.700000000000045</v>
      </c>
      <c r="F494" s="11">
        <f t="shared" si="1210"/>
        <v>46.100000000000023</v>
      </c>
      <c r="G494" s="11">
        <f t="shared" si="1210"/>
        <v>48.599999999999966</v>
      </c>
      <c r="H494" s="11">
        <f t="shared" si="1210"/>
        <v>53.149999999999977</v>
      </c>
      <c r="I494" s="11">
        <f t="shared" si="1210"/>
        <v>56.950000000000045</v>
      </c>
      <c r="J494" s="11">
        <f t="shared" si="1210"/>
        <v>60.449999999999932</v>
      </c>
      <c r="K494" s="11">
        <f t="shared" si="1210"/>
        <v>60.899999999999977</v>
      </c>
      <c r="L494" s="11">
        <f t="shared" si="1210"/>
        <v>58.600000000000023</v>
      </c>
      <c r="M494" s="11">
        <f t="shared" si="1210"/>
        <v>52.649999999999977</v>
      </c>
      <c r="N494" s="11">
        <f t="shared" si="1210"/>
        <v>47.100000000000023</v>
      </c>
      <c r="O494" s="11">
        <f t="shared" si="1210"/>
        <v>43.600000000000023</v>
      </c>
      <c r="P494" s="11">
        <f>AVERAGE(D494:O494)</f>
        <v>51.391666666666673</v>
      </c>
      <c r="Q494" s="11"/>
      <c r="R494" s="11"/>
      <c r="S494" s="11"/>
      <c r="T494" s="11"/>
      <c r="U494" s="11"/>
      <c r="V494" s="11"/>
      <c r="W494" s="11"/>
      <c r="X494" s="11"/>
      <c r="Y494" s="11"/>
      <c r="Z494" s="11"/>
      <c r="AA494" s="11"/>
      <c r="AB494" s="11"/>
      <c r="AC494" s="11"/>
      <c r="AD494" s="11"/>
      <c r="AE494" s="11"/>
      <c r="AF494" s="11"/>
      <c r="AG494" s="11"/>
      <c r="AH494" s="11"/>
      <c r="AI494" s="11"/>
      <c r="AJ494" s="11"/>
      <c r="AK494" s="11"/>
      <c r="AL494" s="11"/>
    </row>
    <row r="495" spans="1:38" ht="17.149999999999999" x14ac:dyDescent="0.55000000000000004">
      <c r="A495" t="str" cm="1">
        <f t="array" ref="A495">INDEX(FX_Input,$R495,S$5)</f>
        <v>FX - 36</v>
      </c>
      <c r="B495" t="str" cm="1">
        <f t="array" ref="B495">INDEX(FX_Input,R495,T495)</f>
        <v>Portland</v>
      </c>
      <c r="C495" t="s">
        <v>510</v>
      </c>
      <c r="D495">
        <f t="shared" ref="D495:O496" si="1211">VLOOKUP(VLOOKUP($B495,Terminal_X_Ref,2,FALSE)&amp;$C495,Weather_Data,$Y495*D$3+$Z495,FALSE)+459.6</f>
        <v>498.3</v>
      </c>
      <c r="E495">
        <f t="shared" si="1211"/>
        <v>497.70000000000005</v>
      </c>
      <c r="F495">
        <f t="shared" si="1211"/>
        <v>499.1</v>
      </c>
      <c r="G495">
        <f t="shared" si="1211"/>
        <v>501.5</v>
      </c>
      <c r="H495">
        <f t="shared" si="1211"/>
        <v>506.1</v>
      </c>
      <c r="I495">
        <f t="shared" si="1211"/>
        <v>510.3</v>
      </c>
      <c r="J495">
        <f t="shared" si="1211"/>
        <v>513.70000000000005</v>
      </c>
      <c r="K495">
        <f t="shared" si="1211"/>
        <v>513.70000000000005</v>
      </c>
      <c r="L495">
        <f t="shared" si="1211"/>
        <v>510</v>
      </c>
      <c r="M495">
        <f t="shared" si="1211"/>
        <v>504.90000000000003</v>
      </c>
      <c r="N495">
        <f t="shared" si="1211"/>
        <v>500.6</v>
      </c>
      <c r="O495">
        <f t="shared" si="1211"/>
        <v>498.20000000000005</v>
      </c>
      <c r="P495">
        <f t="shared" ref="P495:P496" si="1212">VLOOKUP(VLOOKUP($B495,Terminal_X_Ref,2,FALSE)&amp;$C495,Weather_Data,$Y495*P$3+$Z495,FALSE)</f>
        <v>44.9</v>
      </c>
      <c r="R495">
        <f>R481+2</f>
        <v>71</v>
      </c>
      <c r="S495">
        <f>S481+1</f>
        <v>36</v>
      </c>
      <c r="T495">
        <v>3</v>
      </c>
      <c r="U495">
        <v>2</v>
      </c>
      <c r="V495">
        <v>3</v>
      </c>
      <c r="W495">
        <v>1</v>
      </c>
      <c r="X495">
        <v>2</v>
      </c>
      <c r="Y495">
        <f>(V495-U495)/(X495-W495)</f>
        <v>1</v>
      </c>
      <c r="Z495">
        <f>U495-Y495*W495</f>
        <v>1</v>
      </c>
      <c r="AA495">
        <f>AA481+1</f>
        <v>36</v>
      </c>
      <c r="AB495">
        <v>6</v>
      </c>
      <c r="AC495">
        <v>3</v>
      </c>
      <c r="AD495">
        <v>13</v>
      </c>
      <c r="AE495">
        <v>12</v>
      </c>
      <c r="AF495">
        <v>14</v>
      </c>
      <c r="AG495">
        <v>77</v>
      </c>
      <c r="AH495">
        <v>78</v>
      </c>
      <c r="AI495">
        <v>1</v>
      </c>
      <c r="AJ495">
        <v>2</v>
      </c>
      <c r="AK495">
        <f>(AH495-AG495)/(AJ495-AI495)</f>
        <v>1</v>
      </c>
      <c r="AL495">
        <f>AG495-AK495*AI495</f>
        <v>76</v>
      </c>
    </row>
    <row r="496" spans="1:38" ht="17.149999999999999" x14ac:dyDescent="0.55000000000000004">
      <c r="B496" t="str">
        <f t="shared" ref="B496" si="1213">B495</f>
        <v>Portland</v>
      </c>
      <c r="C496" t="s">
        <v>511</v>
      </c>
      <c r="D496">
        <f t="shared" si="1211"/>
        <v>508.70000000000005</v>
      </c>
      <c r="E496">
        <f t="shared" si="1211"/>
        <v>510.90000000000003</v>
      </c>
      <c r="F496">
        <f t="shared" si="1211"/>
        <v>512.30000000000007</v>
      </c>
      <c r="G496">
        <f t="shared" si="1211"/>
        <v>514.9</v>
      </c>
      <c r="H496">
        <f t="shared" si="1211"/>
        <v>519.4</v>
      </c>
      <c r="I496">
        <f t="shared" si="1211"/>
        <v>522.80000000000007</v>
      </c>
      <c r="J496">
        <f t="shared" si="1211"/>
        <v>526.4</v>
      </c>
      <c r="K496">
        <f t="shared" si="1211"/>
        <v>527.30000000000007</v>
      </c>
      <c r="L496">
        <f t="shared" si="1211"/>
        <v>526.4</v>
      </c>
      <c r="M496">
        <f t="shared" si="1211"/>
        <v>519.6</v>
      </c>
      <c r="N496">
        <f t="shared" si="1211"/>
        <v>512.80000000000007</v>
      </c>
      <c r="O496">
        <f t="shared" si="1211"/>
        <v>508.20000000000005</v>
      </c>
      <c r="P496">
        <f t="shared" si="1212"/>
        <v>57.9</v>
      </c>
      <c r="U496">
        <f>U495</f>
        <v>2</v>
      </c>
      <c r="V496">
        <f t="shared" ref="V496:Z496" si="1214">V495</f>
        <v>3</v>
      </c>
      <c r="W496">
        <f t="shared" si="1214"/>
        <v>1</v>
      </c>
      <c r="X496">
        <f t="shared" si="1214"/>
        <v>2</v>
      </c>
      <c r="Y496">
        <f t="shared" si="1214"/>
        <v>1</v>
      </c>
      <c r="Z496">
        <f t="shared" si="1214"/>
        <v>1</v>
      </c>
      <c r="AA496">
        <f>AA495</f>
        <v>36</v>
      </c>
      <c r="AB496">
        <f t="shared" ref="AB496:AB499" si="1215">AB495</f>
        <v>6</v>
      </c>
      <c r="AC496">
        <f t="shared" ref="AC496:AF499" si="1216">AC495</f>
        <v>3</v>
      </c>
      <c r="AD496">
        <f t="shared" si="1216"/>
        <v>13</v>
      </c>
      <c r="AE496">
        <f t="shared" si="1216"/>
        <v>12</v>
      </c>
      <c r="AF496">
        <f t="shared" si="1216"/>
        <v>14</v>
      </c>
      <c r="AG496">
        <f t="shared" ref="AG496:AG499" si="1217">AG495</f>
        <v>77</v>
      </c>
      <c r="AH496">
        <f t="shared" ref="AH496:AH499" si="1218">AH495</f>
        <v>78</v>
      </c>
      <c r="AI496">
        <f t="shared" ref="AI496:AI499" si="1219">AI495</f>
        <v>1</v>
      </c>
      <c r="AJ496">
        <f t="shared" ref="AJ496:AJ499" si="1220">AJ495</f>
        <v>2</v>
      </c>
      <c r="AK496">
        <f t="shared" ref="AK496:AK499" si="1221">AK495</f>
        <v>1</v>
      </c>
      <c r="AL496">
        <f t="shared" ref="AL496:AL499" si="1222">AL495</f>
        <v>76</v>
      </c>
    </row>
    <row r="497" spans="1:38" ht="17.149999999999999" x14ac:dyDescent="0.4">
      <c r="B497" t="str">
        <f>B496</f>
        <v>Portland</v>
      </c>
      <c r="C497" s="66" t="s">
        <v>514</v>
      </c>
      <c r="D497" t="str" cm="1">
        <f t="array" ref="D497">INDEX(FX_Calcs,$AA497,$AE497)</f>
        <v>N/A</v>
      </c>
      <c r="E497" t="str" cm="1">
        <f t="array" ref="E497">INDEX(FX_Calcs,$AA497,$AE497)</f>
        <v>N/A</v>
      </c>
      <c r="F497" t="str" cm="1">
        <f t="array" ref="F497">INDEX(FX_Calcs,$AA497,$AE497)</f>
        <v>N/A</v>
      </c>
      <c r="G497" t="str" cm="1">
        <f t="array" ref="G497">INDEX(FX_Calcs,$AA497,$AE497)</f>
        <v>N/A</v>
      </c>
      <c r="H497" t="str" cm="1">
        <f t="array" ref="H497">INDEX(FX_Calcs,$AA497,$AE497)</f>
        <v>N/A</v>
      </c>
      <c r="I497" t="str" cm="1">
        <f t="array" ref="I497">INDEX(FX_Calcs,$AA497,$AE497)</f>
        <v>N/A</v>
      </c>
      <c r="J497" t="str" cm="1">
        <f t="array" ref="J497">INDEX(FX_Calcs,$AA497,$AE497)</f>
        <v>N/A</v>
      </c>
      <c r="K497" t="str" cm="1">
        <f t="array" ref="K497">INDEX(FX_Calcs,$AA497,$AE497)</f>
        <v>N/A</v>
      </c>
      <c r="L497" t="str" cm="1">
        <f t="array" ref="L497">INDEX(FX_Calcs,$AA497,$AE497)</f>
        <v>N/A</v>
      </c>
      <c r="M497" t="str" cm="1">
        <f t="array" ref="M497">INDEX(FX_Calcs,$AA497,$AE497)</f>
        <v>N/A</v>
      </c>
      <c r="N497" t="str" cm="1">
        <f t="array" ref="N497">INDEX(FX_Calcs,$AA497,$AE497)</f>
        <v>N/A</v>
      </c>
      <c r="O497" t="str" cm="1">
        <f t="array" ref="O497">INDEX(FX_Calcs,$AA497,$AE497)</f>
        <v>N/A</v>
      </c>
      <c r="P497" t="str" cm="1">
        <f t="array" ref="P497">INDEX(FX_Calcs,$AA497,$AE497)</f>
        <v>N/A</v>
      </c>
      <c r="AA497">
        <f>AA496</f>
        <v>36</v>
      </c>
      <c r="AB497">
        <f t="shared" si="1215"/>
        <v>6</v>
      </c>
      <c r="AC497">
        <f t="shared" si="1216"/>
        <v>3</v>
      </c>
      <c r="AD497">
        <f t="shared" si="1216"/>
        <v>13</v>
      </c>
      <c r="AE497">
        <f t="shared" si="1216"/>
        <v>12</v>
      </c>
      <c r="AF497">
        <f t="shared" si="1216"/>
        <v>14</v>
      </c>
      <c r="AG497">
        <f t="shared" si="1217"/>
        <v>77</v>
      </c>
      <c r="AH497">
        <f t="shared" si="1218"/>
        <v>78</v>
      </c>
      <c r="AI497">
        <f t="shared" si="1219"/>
        <v>1</v>
      </c>
      <c r="AJ497">
        <f t="shared" si="1220"/>
        <v>2</v>
      </c>
      <c r="AK497">
        <f t="shared" si="1221"/>
        <v>1</v>
      </c>
      <c r="AL497">
        <f t="shared" si="1222"/>
        <v>76</v>
      </c>
    </row>
    <row r="498" spans="1:38" ht="17.149999999999999" x14ac:dyDescent="0.4">
      <c r="B498" t="str">
        <f t="shared" ref="B498:B499" si="1223">B497</f>
        <v>Portland</v>
      </c>
      <c r="C498" s="66" t="s">
        <v>513</v>
      </c>
      <c r="D498" t="str" cm="1">
        <f t="array" ref="D498">INDEX(FX_Calcs,$AA498,$AD498)</f>
        <v>N/A</v>
      </c>
      <c r="E498" t="str" cm="1">
        <f t="array" ref="E498">INDEX(FX_Calcs,$AA498,$AD498)</f>
        <v>N/A</v>
      </c>
      <c r="F498" t="str" cm="1">
        <f t="array" ref="F498">INDEX(FX_Calcs,$AA498,$AD498)</f>
        <v>N/A</v>
      </c>
      <c r="G498" t="str" cm="1">
        <f t="array" ref="G498">INDEX(FX_Calcs,$AA498,$AD498)</f>
        <v>N/A</v>
      </c>
      <c r="H498" t="str" cm="1">
        <f t="array" ref="H498">INDEX(FX_Calcs,$AA498,$AD498)</f>
        <v>N/A</v>
      </c>
      <c r="I498" t="str" cm="1">
        <f t="array" ref="I498">INDEX(FX_Calcs,$AA498,$AD498)</f>
        <v>N/A</v>
      </c>
      <c r="J498" t="str" cm="1">
        <f t="array" ref="J498">INDEX(FX_Calcs,$AA498,$AD498)</f>
        <v>N/A</v>
      </c>
      <c r="K498" t="str" cm="1">
        <f t="array" ref="K498">INDEX(FX_Calcs,$AA498,$AD498)</f>
        <v>N/A</v>
      </c>
      <c r="L498" t="str" cm="1">
        <f t="array" ref="L498">INDEX(FX_Calcs,$AA498,$AD498)</f>
        <v>N/A</v>
      </c>
      <c r="M498" t="str" cm="1">
        <f t="array" ref="M498">INDEX(FX_Calcs,$AA498,$AD498)</f>
        <v>N/A</v>
      </c>
      <c r="N498" t="str" cm="1">
        <f t="array" ref="N498">INDEX(FX_Calcs,$AA498,$AD498)</f>
        <v>N/A</v>
      </c>
      <c r="O498" t="str" cm="1">
        <f t="array" ref="O498">INDEX(FX_Calcs,$AA498,$AD498)</f>
        <v>N/A</v>
      </c>
      <c r="P498" t="str" cm="1">
        <f t="array" ref="P498">INDEX(FX_Calcs,$AA498,$AD498)</f>
        <v>N/A</v>
      </c>
      <c r="AA498">
        <f>AA497</f>
        <v>36</v>
      </c>
      <c r="AB498">
        <f t="shared" si="1215"/>
        <v>6</v>
      </c>
      <c r="AC498">
        <f t="shared" si="1216"/>
        <v>3</v>
      </c>
      <c r="AD498">
        <f t="shared" si="1216"/>
        <v>13</v>
      </c>
      <c r="AE498">
        <f t="shared" si="1216"/>
        <v>12</v>
      </c>
      <c r="AF498">
        <f t="shared" si="1216"/>
        <v>14</v>
      </c>
      <c r="AG498">
        <f t="shared" si="1217"/>
        <v>77</v>
      </c>
      <c r="AH498">
        <f t="shared" si="1218"/>
        <v>78</v>
      </c>
      <c r="AI498">
        <f t="shared" si="1219"/>
        <v>1</v>
      </c>
      <c r="AJ498">
        <f t="shared" si="1220"/>
        <v>2</v>
      </c>
      <c r="AK498">
        <f t="shared" si="1221"/>
        <v>1</v>
      </c>
      <c r="AL498">
        <f t="shared" si="1222"/>
        <v>76</v>
      </c>
    </row>
    <row r="499" spans="1:38" x14ac:dyDescent="0.4">
      <c r="B499" t="str">
        <f t="shared" si="1223"/>
        <v>Portland</v>
      </c>
      <c r="C499" s="66" t="s">
        <v>558</v>
      </c>
      <c r="D499" t="str" cm="1">
        <f t="array" ref="D499">INDEX(FX_Calcs,$AA499,$AF499)</f>
        <v>Insulated</v>
      </c>
      <c r="E499" t="str" cm="1">
        <f t="array" ref="E499">INDEX(FX_Calcs,$AA499,$AF499)</f>
        <v>Insulated</v>
      </c>
      <c r="F499" t="str" cm="1">
        <f t="array" ref="F499">INDEX(FX_Calcs,$AA499,$AF499)</f>
        <v>Insulated</v>
      </c>
      <c r="G499" t="str" cm="1">
        <f t="array" ref="G499">INDEX(FX_Calcs,$AA499,$AF499)</f>
        <v>Insulated</v>
      </c>
      <c r="H499" t="str" cm="1">
        <f t="array" ref="H499">INDEX(FX_Calcs,$AA499,$AF499)</f>
        <v>Insulated</v>
      </c>
      <c r="I499" t="str" cm="1">
        <f t="array" ref="I499">INDEX(FX_Calcs,$AA499,$AF499)</f>
        <v>Insulated</v>
      </c>
      <c r="J499" t="str" cm="1">
        <f t="array" ref="J499">INDEX(FX_Calcs,$AA499,$AF499)</f>
        <v>Insulated</v>
      </c>
      <c r="K499" t="str" cm="1">
        <f t="array" ref="K499">INDEX(FX_Calcs,$AA499,$AF499)</f>
        <v>Insulated</v>
      </c>
      <c r="L499" t="str" cm="1">
        <f t="array" ref="L499">INDEX(FX_Calcs,$AA499,$AF499)</f>
        <v>Insulated</v>
      </c>
      <c r="M499" t="str" cm="1">
        <f t="array" ref="M499">INDEX(FX_Calcs,$AA499,$AF499)</f>
        <v>Insulated</v>
      </c>
      <c r="N499" t="str" cm="1">
        <f t="array" ref="N499">INDEX(FX_Calcs,$AA499,$AF499)</f>
        <v>Insulated</v>
      </c>
      <c r="O499" t="str" cm="1">
        <f t="array" ref="O499">INDEX(FX_Calcs,$AA499,$AF499)</f>
        <v>Insulated</v>
      </c>
      <c r="P499" t="str" cm="1">
        <f t="array" ref="P499">INDEX(FX_Calcs,$AA499,$AF499)</f>
        <v>Insulated</v>
      </c>
      <c r="AA499">
        <f>AA498</f>
        <v>36</v>
      </c>
      <c r="AB499">
        <f t="shared" si="1215"/>
        <v>6</v>
      </c>
      <c r="AC499">
        <f t="shared" si="1216"/>
        <v>3</v>
      </c>
      <c r="AD499">
        <f t="shared" si="1216"/>
        <v>13</v>
      </c>
      <c r="AE499">
        <f t="shared" si="1216"/>
        <v>12</v>
      </c>
      <c r="AF499">
        <f t="shared" si="1216"/>
        <v>14</v>
      </c>
      <c r="AG499">
        <f t="shared" si="1217"/>
        <v>77</v>
      </c>
      <c r="AH499">
        <f t="shared" si="1218"/>
        <v>78</v>
      </c>
      <c r="AI499">
        <f t="shared" si="1219"/>
        <v>1</v>
      </c>
      <c r="AJ499">
        <f t="shared" si="1220"/>
        <v>2</v>
      </c>
      <c r="AK499">
        <f t="shared" si="1221"/>
        <v>1</v>
      </c>
      <c r="AL499">
        <f t="shared" si="1222"/>
        <v>76</v>
      </c>
    </row>
    <row r="500" spans="1:38" ht="17.149999999999999" x14ac:dyDescent="0.55000000000000004">
      <c r="B500" t="str">
        <f>B496</f>
        <v>Portland</v>
      </c>
      <c r="C500" t="s">
        <v>512</v>
      </c>
      <c r="D500">
        <f t="shared" ref="D500:P500" si="1224">D496-D495</f>
        <v>10.400000000000034</v>
      </c>
      <c r="E500">
        <f t="shared" si="1224"/>
        <v>13.199999999999989</v>
      </c>
      <c r="F500">
        <f t="shared" si="1224"/>
        <v>13.200000000000045</v>
      </c>
      <c r="G500">
        <f t="shared" si="1224"/>
        <v>13.399999999999977</v>
      </c>
      <c r="H500">
        <f t="shared" si="1224"/>
        <v>13.299999999999955</v>
      </c>
      <c r="I500">
        <f t="shared" si="1224"/>
        <v>12.500000000000057</v>
      </c>
      <c r="J500">
        <f t="shared" si="1224"/>
        <v>12.699999999999932</v>
      </c>
      <c r="K500">
        <f t="shared" si="1224"/>
        <v>13.600000000000023</v>
      </c>
      <c r="L500">
        <f t="shared" si="1224"/>
        <v>16.399999999999977</v>
      </c>
      <c r="M500">
        <f t="shared" si="1224"/>
        <v>14.699999999999989</v>
      </c>
      <c r="N500">
        <f t="shared" si="1224"/>
        <v>12.200000000000045</v>
      </c>
      <c r="O500">
        <f t="shared" si="1224"/>
        <v>10</v>
      </c>
      <c r="P500">
        <f t="shared" si="1224"/>
        <v>13</v>
      </c>
    </row>
    <row r="501" spans="1:38" x14ac:dyDescent="0.4">
      <c r="B501" t="str">
        <f t="shared" ref="B501:B508" si="1225">B500</f>
        <v>Portland</v>
      </c>
      <c r="C501" t="s">
        <v>260</v>
      </c>
      <c r="D501">
        <f t="shared" ref="D501:P501" si="1226">VLOOKUP(VLOOKUP($B501,Terminal_X_Ref,2,FALSE)&amp;$C501,Weather_Data,$Y501*D$3+$Z501,FALSE)</f>
        <v>343</v>
      </c>
      <c r="E501">
        <f t="shared" si="1226"/>
        <v>600</v>
      </c>
      <c r="F501">
        <f t="shared" si="1226"/>
        <v>877</v>
      </c>
      <c r="G501">
        <f t="shared" si="1226"/>
        <v>1252</v>
      </c>
      <c r="H501">
        <f t="shared" si="1226"/>
        <v>1537</v>
      </c>
      <c r="I501">
        <f t="shared" si="1226"/>
        <v>1627</v>
      </c>
      <c r="J501">
        <f t="shared" si="1226"/>
        <v>1708</v>
      </c>
      <c r="K501">
        <f t="shared" si="1226"/>
        <v>1492</v>
      </c>
      <c r="L501">
        <f t="shared" si="1226"/>
        <v>1196</v>
      </c>
      <c r="M501">
        <f t="shared" si="1226"/>
        <v>728</v>
      </c>
      <c r="N501">
        <f t="shared" si="1226"/>
        <v>391</v>
      </c>
      <c r="O501">
        <f t="shared" si="1226"/>
        <v>302</v>
      </c>
      <c r="P501">
        <f t="shared" si="1226"/>
        <v>1005</v>
      </c>
      <c r="U501">
        <f>U496</f>
        <v>2</v>
      </c>
      <c r="V501">
        <f t="shared" ref="V501:Z501" si="1227">V496</f>
        <v>3</v>
      </c>
      <c r="W501">
        <f t="shared" si="1227"/>
        <v>1</v>
      </c>
      <c r="X501">
        <f t="shared" si="1227"/>
        <v>2</v>
      </c>
      <c r="Y501">
        <f t="shared" si="1227"/>
        <v>1</v>
      </c>
      <c r="Z501">
        <f t="shared" si="1227"/>
        <v>1</v>
      </c>
    </row>
    <row r="502" spans="1:38" ht="17.149999999999999" x14ac:dyDescent="0.55000000000000004">
      <c r="B502" t="str">
        <f t="shared" si="1225"/>
        <v>Portland</v>
      </c>
      <c r="C502" t="s">
        <v>523</v>
      </c>
      <c r="D502">
        <f>IF(ISNUMBER(D499),0.7*D500+0.02*D499*D501,IF(D499="Partially Insulated",0.6*D500+0.02*D498*D501,0))</f>
        <v>0</v>
      </c>
      <c r="E502">
        <f t="shared" ref="E502:P502" si="1228">IF(ISNUMBER(E499),0.7*E500+0.02*E499*E501,IF(E499="Partially Insulated",0.6*E500+0.02*E498*E501,0))</f>
        <v>0</v>
      </c>
      <c r="F502">
        <f t="shared" si="1228"/>
        <v>0</v>
      </c>
      <c r="G502">
        <f t="shared" si="1228"/>
        <v>0</v>
      </c>
      <c r="H502">
        <f t="shared" si="1228"/>
        <v>0</v>
      </c>
      <c r="I502">
        <f t="shared" si="1228"/>
        <v>0</v>
      </c>
      <c r="J502">
        <f t="shared" si="1228"/>
        <v>0</v>
      </c>
      <c r="K502">
        <f t="shared" si="1228"/>
        <v>0</v>
      </c>
      <c r="L502">
        <f t="shared" si="1228"/>
        <v>0</v>
      </c>
      <c r="M502">
        <f t="shared" si="1228"/>
        <v>0</v>
      </c>
      <c r="N502">
        <f t="shared" si="1228"/>
        <v>0</v>
      </c>
      <c r="O502">
        <f t="shared" si="1228"/>
        <v>0</v>
      </c>
      <c r="P502">
        <f t="shared" si="1228"/>
        <v>0</v>
      </c>
    </row>
    <row r="503" spans="1:38" ht="17.149999999999999" x14ac:dyDescent="0.55000000000000004">
      <c r="B503" t="str">
        <f t="shared" si="1225"/>
        <v>Portland</v>
      </c>
      <c r="C503" t="s">
        <v>524</v>
      </c>
      <c r="D503">
        <f t="shared" ref="D503:F503" si="1229">AVERAGE(D495:D496)</f>
        <v>503.5</v>
      </c>
      <c r="E503">
        <f t="shared" si="1229"/>
        <v>504.30000000000007</v>
      </c>
      <c r="F503">
        <f t="shared" si="1229"/>
        <v>505.70000000000005</v>
      </c>
      <c r="G503">
        <f>AVERAGE(G495:G496)</f>
        <v>508.2</v>
      </c>
      <c r="H503">
        <f t="shared" ref="H503:P503" si="1230">AVERAGE(H495:H496)</f>
        <v>512.75</v>
      </c>
      <c r="I503">
        <f t="shared" si="1230"/>
        <v>516.55000000000007</v>
      </c>
      <c r="J503">
        <f t="shared" si="1230"/>
        <v>520.04999999999995</v>
      </c>
      <c r="K503">
        <f t="shared" si="1230"/>
        <v>520.5</v>
      </c>
      <c r="L503">
        <f t="shared" si="1230"/>
        <v>518.20000000000005</v>
      </c>
      <c r="M503">
        <f t="shared" si="1230"/>
        <v>512.25</v>
      </c>
      <c r="N503">
        <f t="shared" si="1230"/>
        <v>506.70000000000005</v>
      </c>
      <c r="O503">
        <f t="shared" si="1230"/>
        <v>503.20000000000005</v>
      </c>
      <c r="P503">
        <f t="shared" si="1230"/>
        <v>51.4</v>
      </c>
    </row>
    <row r="504" spans="1:38" ht="17.149999999999999" x14ac:dyDescent="0.55000000000000004">
      <c r="B504" t="str">
        <f t="shared" si="1225"/>
        <v>Portland</v>
      </c>
      <c r="C504" t="s">
        <v>525</v>
      </c>
      <c r="D504" cm="1">
        <f t="array" ref="D504">IFERROR(IF(ISBLANK(INDEX(FX_Input,$R495,D$3*$AK495+$AL495)),D503+0.003*D497*D501,INDEX(FX_Input,$R495,D$3*$AK495+$AL495)+459.6),D503)</f>
        <v>503.5</v>
      </c>
      <c r="E504" cm="1">
        <f t="array" ref="E504">IFERROR(IF(ISBLANK(INDEX(FX_Input,$R495,E$3*$AK495+$AL495)),E503+0.003*E497*E501,INDEX(FX_Input,$R495,E$3*$AK495+$AL495)+459.6),E503)</f>
        <v>504.30000000000007</v>
      </c>
      <c r="F504" cm="1">
        <f t="array" ref="F504">IFERROR(IF(ISBLANK(INDEX(FX_Input,$R495,F$3*$AK495+$AL495)),F503+0.003*F497*F501,INDEX(FX_Input,$R495,F$3*$AK495+$AL495)+459.6),F503)</f>
        <v>505.70000000000005</v>
      </c>
      <c r="G504" cm="1">
        <f t="array" ref="G504">IFERROR(IF(ISBLANK(INDEX(FX_Input,$R495,G$3*$AK495+$AL495)),G503+0.003*G497*G501,INDEX(FX_Input,$R495,G$3*$AK495+$AL495)+459.6),G503)</f>
        <v>508.2</v>
      </c>
      <c r="H504" cm="1">
        <f t="array" ref="H504">IFERROR(IF(ISBLANK(INDEX(FX_Input,$R495,H$3*$AK495+$AL495)),H503+0.003*H497*H501,INDEX(FX_Input,$R495,H$3*$AK495+$AL495)+459.6),H503)</f>
        <v>512.75</v>
      </c>
      <c r="I504" cm="1">
        <f t="array" ref="I504">IFERROR(IF(ISBLANK(INDEX(FX_Input,$R495,I$3*$AK495+$AL495)),I503+0.003*I497*I501,INDEX(FX_Input,$R495,I$3*$AK495+$AL495)+459.6),I503)</f>
        <v>516.55000000000007</v>
      </c>
      <c r="J504" cm="1">
        <f t="array" ref="J504">IFERROR(IF(ISBLANK(INDEX(FX_Input,$R495,J$3*$AK495+$AL495)),J503+0.003*J497*J501,INDEX(FX_Input,$R495,J$3*$AK495+$AL495)+459.6),J503)</f>
        <v>520.04999999999995</v>
      </c>
      <c r="K504" cm="1">
        <f t="array" ref="K504">IFERROR(IF(ISBLANK(INDEX(FX_Input,$R495,K$3*$AK495+$AL495)),K503+0.003*K497*K501,INDEX(FX_Input,$R495,K$3*$AK495+$AL495)+459.6),K503)</f>
        <v>520.5</v>
      </c>
      <c r="L504" cm="1">
        <f t="array" ref="L504">IFERROR(IF(ISBLANK(INDEX(FX_Input,$R495,L$3*$AK495+$AL495)),L503+0.003*L497*L501,INDEX(FX_Input,$R495,L$3*$AK495+$AL495)+459.6),L503)</f>
        <v>518.20000000000005</v>
      </c>
      <c r="M504" cm="1">
        <f t="array" ref="M504">IFERROR(IF(ISBLANK(INDEX(FX_Input,$R495,M$3*$AK495+$AL495)),M503+0.003*M497*M501,INDEX(FX_Input,$R495,M$3*$AK495+$AL495)+459.6),M503)</f>
        <v>512.25</v>
      </c>
      <c r="N504" cm="1">
        <f t="array" ref="N504">IFERROR(IF(ISBLANK(INDEX(FX_Input,$R495,N$3*$AK495+$AL495)),N503+0.003*N497*N501,INDEX(FX_Input,$R495,N$3*$AK495+$AL495)+459.6),N503)</f>
        <v>506.70000000000005</v>
      </c>
      <c r="O504" cm="1">
        <f t="array" ref="O504">IFERROR(IF(ISBLANK(INDEX(FX_Input,$R495,O$3*$AK495+$AL495)),O503+0.003*O497*O501,INDEX(FX_Input,$R495,O$3*$AK495+$AL495)+459.6),O503)</f>
        <v>503.20000000000005</v>
      </c>
      <c r="P504" cm="1">
        <f t="array" ref="P504">IFERROR(IF(ISBLANK(INDEX(FX_Input,$R495,P$3*$AK495+$AL495)),P503+0.003*P497*P501,INDEX(FX_Input,$R495,P$3*$AK495+$AL495)+459.6),P503)</f>
        <v>459.6</v>
      </c>
    </row>
    <row r="505" spans="1:38" ht="17.149999999999999" x14ac:dyDescent="0.55000000000000004">
      <c r="B505" t="str">
        <f t="shared" si="1225"/>
        <v>Portland</v>
      </c>
      <c r="C505" t="s">
        <v>526</v>
      </c>
      <c r="D505">
        <f>IF(ISNUMBER(D499),0.4*D495+0.6*D504+0.005*D499*D501,IF(D499="Partially Insulated",0.3*D503+0.7*D504+0.005*D498*D501,D504))-459.6</f>
        <v>43.899999999999977</v>
      </c>
      <c r="E505">
        <f t="shared" ref="E505" si="1231">IF(ISNUMBER(E499),0.4*E495+0.6*E504+0.005*E499*E501,IF(E499="Partially Insulated",0.3*E503+0.7*E504+0.005*E498*E501,E504))-459.6</f>
        <v>44.700000000000045</v>
      </c>
      <c r="F505">
        <f t="shared" ref="F505" si="1232">IF(ISNUMBER(F499),0.4*F495+0.6*F504+0.005*F499*F501,IF(F499="Partially Insulated",0.3*F503+0.7*F504+0.005*F498*F501,F504))-459.6</f>
        <v>46.100000000000023</v>
      </c>
      <c r="G505">
        <f t="shared" ref="G505" si="1233">IF(ISNUMBER(G499),0.4*G495+0.6*G504+0.005*G499*G501,IF(G499="Partially Insulated",0.3*G503+0.7*G504+0.005*G498*G501,G504))-459.6</f>
        <v>48.599999999999966</v>
      </c>
      <c r="H505">
        <f t="shared" ref="H505" si="1234">IF(ISNUMBER(H499),0.4*H495+0.6*H504+0.005*H499*H501,IF(H499="Partially Insulated",0.3*H503+0.7*H504+0.005*H498*H501,H504))-459.6</f>
        <v>53.149999999999977</v>
      </c>
      <c r="I505">
        <f t="shared" ref="I505" si="1235">IF(ISNUMBER(I499),0.4*I495+0.6*I504+0.005*I499*I501,IF(I499="Partially Insulated",0.3*I503+0.7*I504+0.005*I498*I501,I504))-459.6</f>
        <v>56.950000000000045</v>
      </c>
      <c r="J505">
        <f t="shared" ref="J505" si="1236">IF(ISNUMBER(J499),0.4*J495+0.6*J504+0.005*J499*J501,IF(J499="Partially Insulated",0.3*J503+0.7*J504+0.005*J498*J501,J504))-459.6</f>
        <v>60.449999999999932</v>
      </c>
      <c r="K505">
        <f t="shared" ref="K505" si="1237">IF(ISNUMBER(K499),0.4*K495+0.6*K504+0.005*K499*K501,IF(K499="Partially Insulated",0.3*K503+0.7*K504+0.005*K498*K501,K504))-459.6</f>
        <v>60.899999999999977</v>
      </c>
      <c r="L505">
        <f t="shared" ref="L505" si="1238">IF(ISNUMBER(L499),0.4*L495+0.6*L504+0.005*L499*L501,IF(L499="Partially Insulated",0.3*L503+0.7*L504+0.005*L498*L501,L504))-459.6</f>
        <v>58.600000000000023</v>
      </c>
      <c r="M505">
        <f t="shared" ref="M505" si="1239">IF(ISNUMBER(M499),0.4*M495+0.6*M504+0.005*M499*M501,IF(M499="Partially Insulated",0.3*M503+0.7*M504+0.005*M498*M501,M504))-459.6</f>
        <v>52.649999999999977</v>
      </c>
      <c r="N505">
        <f t="shared" ref="N505" si="1240">IF(ISNUMBER(N499),0.4*N495+0.6*N504+0.005*N499*N501,IF(N499="Partially Insulated",0.3*N503+0.7*N504+0.005*N498*N501,N504))-459.6</f>
        <v>47.100000000000023</v>
      </c>
      <c r="O505">
        <f t="shared" ref="O505" si="1241">IF(ISNUMBER(O499),0.4*O495+0.6*O504+0.005*O499*O501,IF(O499="Partially Insulated",0.3*O503+0.7*O504+0.005*O498*O501,O504))-459.6</f>
        <v>43.600000000000023</v>
      </c>
      <c r="P505">
        <f>AVERAGE(D505:O505)</f>
        <v>51.391666666666673</v>
      </c>
    </row>
    <row r="506" spans="1:38" ht="17.149999999999999" x14ac:dyDescent="0.55000000000000004">
      <c r="B506" t="str">
        <f t="shared" si="1225"/>
        <v>Portland</v>
      </c>
      <c r="C506" t="s">
        <v>527</v>
      </c>
      <c r="D506">
        <f>IF(ISNUMBER(D499),0.4*D496+0.6*D504+0.005*D499*D501,IF(D499="Partially Insulated",0.3*D503+0.7*D504+0.005*D498*D501,D504))-459.6</f>
        <v>43.899999999999977</v>
      </c>
      <c r="E506">
        <f t="shared" ref="E506:O506" si="1242">IF(ISNUMBER(E499),0.4*E496+0.6*E504+0.005*E499*E501,IF(E499="Partially Insulated",0.3*E503+0.7*E504+0.005*E498*E501,E504))-459.6</f>
        <v>44.700000000000045</v>
      </c>
      <c r="F506">
        <f t="shared" si="1242"/>
        <v>46.100000000000023</v>
      </c>
      <c r="G506">
        <f t="shared" si="1242"/>
        <v>48.599999999999966</v>
      </c>
      <c r="H506">
        <f t="shared" si="1242"/>
        <v>53.149999999999977</v>
      </c>
      <c r="I506">
        <f t="shared" si="1242"/>
        <v>56.950000000000045</v>
      </c>
      <c r="J506">
        <f t="shared" si="1242"/>
        <v>60.449999999999932</v>
      </c>
      <c r="K506">
        <f t="shared" si="1242"/>
        <v>60.899999999999977</v>
      </c>
      <c r="L506">
        <f t="shared" si="1242"/>
        <v>58.600000000000023</v>
      </c>
      <c r="M506">
        <f t="shared" si="1242"/>
        <v>52.649999999999977</v>
      </c>
      <c r="N506">
        <f t="shared" si="1242"/>
        <v>47.100000000000023</v>
      </c>
      <c r="O506">
        <f t="shared" si="1242"/>
        <v>43.600000000000023</v>
      </c>
      <c r="P506">
        <f>AVERAGE(D506:O506)</f>
        <v>51.391666666666673</v>
      </c>
    </row>
    <row r="507" spans="1:38" ht="17.149999999999999" x14ac:dyDescent="0.55000000000000004">
      <c r="B507" t="str">
        <f t="shared" si="1225"/>
        <v>Portland</v>
      </c>
      <c r="C507" t="s">
        <v>552</v>
      </c>
      <c r="D507">
        <f>IF(ISNUMBER(D499),0.4*D503+0.6*D504+0.005*D499*D501,IF(D499="Partially Insulated",0.3*D503+0.7*D504+0.005*D498*D501,D504))-459.6</f>
        <v>43.899999999999977</v>
      </c>
      <c r="E507">
        <f t="shared" ref="E507:O507" si="1243">IF(ISNUMBER(E499),0.4*E503+0.6*E504+0.005*E499*E501,IF(E499="Partially Insulated",0.3*E503+0.7*E504+0.005*E498*E501,E504))-459.6</f>
        <v>44.700000000000045</v>
      </c>
      <c r="F507">
        <f t="shared" si="1243"/>
        <v>46.100000000000023</v>
      </c>
      <c r="G507">
        <f t="shared" si="1243"/>
        <v>48.599999999999966</v>
      </c>
      <c r="H507">
        <f t="shared" si="1243"/>
        <v>53.149999999999977</v>
      </c>
      <c r="I507">
        <f t="shared" si="1243"/>
        <v>56.950000000000045</v>
      </c>
      <c r="J507">
        <f t="shared" si="1243"/>
        <v>60.449999999999932</v>
      </c>
      <c r="K507">
        <f t="shared" si="1243"/>
        <v>60.899999999999977</v>
      </c>
      <c r="L507">
        <f t="shared" si="1243"/>
        <v>58.600000000000023</v>
      </c>
      <c r="M507">
        <f t="shared" si="1243"/>
        <v>52.649999999999977</v>
      </c>
      <c r="N507">
        <f t="shared" si="1243"/>
        <v>47.100000000000023</v>
      </c>
      <c r="O507">
        <f t="shared" si="1243"/>
        <v>43.600000000000023</v>
      </c>
      <c r="P507">
        <f>AVERAGE(D507:O507)</f>
        <v>51.391666666666673</v>
      </c>
    </row>
    <row r="508" spans="1:38" ht="17.149999999999999" x14ac:dyDescent="0.55000000000000004">
      <c r="A508" s="11"/>
      <c r="B508" s="11" t="str">
        <f t="shared" si="1225"/>
        <v>Portland</v>
      </c>
      <c r="C508" s="11" t="s">
        <v>553</v>
      </c>
      <c r="D508" s="11">
        <f>IF(ISNUMBER(D499),0.7*D503+0.3*D504+0.009*D499*D501,IF(D499="Partially Insulated",0.6*D503+0.4*D504+0.01*D498*D501,D504))-459.6</f>
        <v>43.899999999999977</v>
      </c>
      <c r="E508" s="11">
        <f t="shared" ref="E508:O508" si="1244">IF(ISNUMBER(E499),0.7*E503+0.3*E504+0.009*E499*E501,IF(E499="Partially Insulated",0.6*E503+0.4*E504+0.01*E498*E501,E504))-459.6</f>
        <v>44.700000000000045</v>
      </c>
      <c r="F508" s="11">
        <f t="shared" si="1244"/>
        <v>46.100000000000023</v>
      </c>
      <c r="G508" s="11">
        <f t="shared" si="1244"/>
        <v>48.599999999999966</v>
      </c>
      <c r="H508" s="11">
        <f t="shared" si="1244"/>
        <v>53.149999999999977</v>
      </c>
      <c r="I508" s="11">
        <f t="shared" si="1244"/>
        <v>56.950000000000045</v>
      </c>
      <c r="J508" s="11">
        <f t="shared" si="1244"/>
        <v>60.449999999999932</v>
      </c>
      <c r="K508" s="11">
        <f t="shared" si="1244"/>
        <v>60.899999999999977</v>
      </c>
      <c r="L508" s="11">
        <f t="shared" si="1244"/>
        <v>58.600000000000023</v>
      </c>
      <c r="M508" s="11">
        <f t="shared" si="1244"/>
        <v>52.649999999999977</v>
      </c>
      <c r="N508" s="11">
        <f t="shared" si="1244"/>
        <v>47.100000000000023</v>
      </c>
      <c r="O508" s="11">
        <f t="shared" si="1244"/>
        <v>43.600000000000023</v>
      </c>
      <c r="P508" s="11">
        <f>AVERAGE(D508:O508)</f>
        <v>51.391666666666673</v>
      </c>
      <c r="Q508" s="11"/>
      <c r="R508" s="11"/>
      <c r="S508" s="11"/>
      <c r="T508" s="11"/>
      <c r="U508" s="11"/>
      <c r="V508" s="11"/>
      <c r="W508" s="11"/>
      <c r="X508" s="11"/>
      <c r="Y508" s="11"/>
      <c r="Z508" s="11"/>
      <c r="AA508" s="11"/>
      <c r="AB508" s="11"/>
      <c r="AC508" s="11"/>
      <c r="AD508" s="11"/>
      <c r="AE508" s="11"/>
      <c r="AF508" s="11"/>
      <c r="AG508" s="11"/>
      <c r="AH508" s="11"/>
      <c r="AI508" s="11"/>
      <c r="AJ508" s="11"/>
      <c r="AK508" s="11"/>
      <c r="AL508" s="11"/>
    </row>
    <row r="509" spans="1:38" ht="17.149999999999999" x14ac:dyDescent="0.55000000000000004">
      <c r="A509" t="str" cm="1">
        <f t="array" ref="A509">INDEX(FX_Input,$R509,S$5)</f>
        <v>FX - 37</v>
      </c>
      <c r="B509" t="str" cm="1">
        <f t="array" ref="B509">INDEX(FX_Input,R509,T509)</f>
        <v>Portland</v>
      </c>
      <c r="C509" t="s">
        <v>510</v>
      </c>
      <c r="D509">
        <f t="shared" ref="D509:O510" si="1245">VLOOKUP(VLOOKUP($B509,Terminal_X_Ref,2,FALSE)&amp;$C509,Weather_Data,$Y509*D$3+$Z509,FALSE)+459.6</f>
        <v>498.3</v>
      </c>
      <c r="E509">
        <f t="shared" si="1245"/>
        <v>497.70000000000005</v>
      </c>
      <c r="F509">
        <f t="shared" si="1245"/>
        <v>499.1</v>
      </c>
      <c r="G509">
        <f t="shared" si="1245"/>
        <v>501.5</v>
      </c>
      <c r="H509">
        <f t="shared" si="1245"/>
        <v>506.1</v>
      </c>
      <c r="I509">
        <f t="shared" si="1245"/>
        <v>510.3</v>
      </c>
      <c r="J509">
        <f t="shared" si="1245"/>
        <v>513.70000000000005</v>
      </c>
      <c r="K509">
        <f t="shared" si="1245"/>
        <v>513.70000000000005</v>
      </c>
      <c r="L509">
        <f t="shared" si="1245"/>
        <v>510</v>
      </c>
      <c r="M509">
        <f t="shared" si="1245"/>
        <v>504.90000000000003</v>
      </c>
      <c r="N509">
        <f t="shared" si="1245"/>
        <v>500.6</v>
      </c>
      <c r="O509">
        <f t="shared" si="1245"/>
        <v>498.20000000000005</v>
      </c>
      <c r="P509">
        <f t="shared" ref="P509:P510" si="1246">VLOOKUP(VLOOKUP($B509,Terminal_X_Ref,2,FALSE)&amp;$C509,Weather_Data,$Y509*P$3+$Z509,FALSE)</f>
        <v>44.9</v>
      </c>
      <c r="R509">
        <f>R495+2</f>
        <v>73</v>
      </c>
      <c r="S509">
        <f>S495+1</f>
        <v>37</v>
      </c>
      <c r="T509">
        <v>3</v>
      </c>
      <c r="U509">
        <v>2</v>
      </c>
      <c r="V509">
        <v>3</v>
      </c>
      <c r="W509">
        <v>1</v>
      </c>
      <c r="X509">
        <v>2</v>
      </c>
      <c r="Y509">
        <f>(V509-U509)/(X509-W509)</f>
        <v>1</v>
      </c>
      <c r="Z509">
        <f>U509-Y509*W509</f>
        <v>1</v>
      </c>
      <c r="AA509">
        <f>AA495+1</f>
        <v>37</v>
      </c>
      <c r="AB509">
        <v>6</v>
      </c>
      <c r="AC509">
        <v>3</v>
      </c>
      <c r="AD509">
        <v>13</v>
      </c>
      <c r="AE509">
        <v>12</v>
      </c>
      <c r="AF509">
        <v>14</v>
      </c>
      <c r="AG509">
        <v>77</v>
      </c>
      <c r="AH509">
        <v>78</v>
      </c>
      <c r="AI509">
        <v>1</v>
      </c>
      <c r="AJ509">
        <v>2</v>
      </c>
      <c r="AK509">
        <f>(AH509-AG509)/(AJ509-AI509)</f>
        <v>1</v>
      </c>
      <c r="AL509">
        <f>AG509-AK509*AI509</f>
        <v>76</v>
      </c>
    </row>
    <row r="510" spans="1:38" ht="17.149999999999999" x14ac:dyDescent="0.55000000000000004">
      <c r="B510" t="str">
        <f t="shared" ref="B510" si="1247">B509</f>
        <v>Portland</v>
      </c>
      <c r="C510" t="s">
        <v>511</v>
      </c>
      <c r="D510">
        <f t="shared" si="1245"/>
        <v>508.70000000000005</v>
      </c>
      <c r="E510">
        <f t="shared" si="1245"/>
        <v>510.90000000000003</v>
      </c>
      <c r="F510">
        <f t="shared" si="1245"/>
        <v>512.30000000000007</v>
      </c>
      <c r="G510">
        <f t="shared" si="1245"/>
        <v>514.9</v>
      </c>
      <c r="H510">
        <f t="shared" si="1245"/>
        <v>519.4</v>
      </c>
      <c r="I510">
        <f t="shared" si="1245"/>
        <v>522.80000000000007</v>
      </c>
      <c r="J510">
        <f t="shared" si="1245"/>
        <v>526.4</v>
      </c>
      <c r="K510">
        <f t="shared" si="1245"/>
        <v>527.30000000000007</v>
      </c>
      <c r="L510">
        <f t="shared" si="1245"/>
        <v>526.4</v>
      </c>
      <c r="M510">
        <f t="shared" si="1245"/>
        <v>519.6</v>
      </c>
      <c r="N510">
        <f t="shared" si="1245"/>
        <v>512.80000000000007</v>
      </c>
      <c r="O510">
        <f t="shared" si="1245"/>
        <v>508.20000000000005</v>
      </c>
      <c r="P510">
        <f t="shared" si="1246"/>
        <v>57.9</v>
      </c>
      <c r="U510">
        <f>U509</f>
        <v>2</v>
      </c>
      <c r="V510">
        <f t="shared" ref="V510:Z510" si="1248">V509</f>
        <v>3</v>
      </c>
      <c r="W510">
        <f t="shared" si="1248"/>
        <v>1</v>
      </c>
      <c r="X510">
        <f t="shared" si="1248"/>
        <v>2</v>
      </c>
      <c r="Y510">
        <f t="shared" si="1248"/>
        <v>1</v>
      </c>
      <c r="Z510">
        <f t="shared" si="1248"/>
        <v>1</v>
      </c>
      <c r="AA510">
        <f>AA509</f>
        <v>37</v>
      </c>
      <c r="AB510">
        <f t="shared" ref="AB510:AB513" si="1249">AB509</f>
        <v>6</v>
      </c>
      <c r="AC510">
        <f t="shared" ref="AC510:AF513" si="1250">AC509</f>
        <v>3</v>
      </c>
      <c r="AD510">
        <f t="shared" si="1250"/>
        <v>13</v>
      </c>
      <c r="AE510">
        <f t="shared" si="1250"/>
        <v>12</v>
      </c>
      <c r="AF510">
        <f t="shared" si="1250"/>
        <v>14</v>
      </c>
      <c r="AG510">
        <f t="shared" ref="AG510:AG513" si="1251">AG509</f>
        <v>77</v>
      </c>
      <c r="AH510">
        <f t="shared" ref="AH510:AH513" si="1252">AH509</f>
        <v>78</v>
      </c>
      <c r="AI510">
        <f t="shared" ref="AI510:AI513" si="1253">AI509</f>
        <v>1</v>
      </c>
      <c r="AJ510">
        <f t="shared" ref="AJ510:AJ513" si="1254">AJ509</f>
        <v>2</v>
      </c>
      <c r="AK510">
        <f t="shared" ref="AK510:AK513" si="1255">AK509</f>
        <v>1</v>
      </c>
      <c r="AL510">
        <f t="shared" ref="AL510:AL513" si="1256">AL509</f>
        <v>76</v>
      </c>
    </row>
    <row r="511" spans="1:38" ht="17.149999999999999" x14ac:dyDescent="0.4">
      <c r="B511" t="str">
        <f>B510</f>
        <v>Portland</v>
      </c>
      <c r="C511" s="66" t="s">
        <v>514</v>
      </c>
      <c r="D511" t="str" cm="1">
        <f t="array" ref="D511">INDEX(FX_Calcs,$AA511,$AE511)</f>
        <v>N/A</v>
      </c>
      <c r="E511" t="str" cm="1">
        <f t="array" ref="E511">INDEX(FX_Calcs,$AA511,$AE511)</f>
        <v>N/A</v>
      </c>
      <c r="F511" t="str" cm="1">
        <f t="array" ref="F511">INDEX(FX_Calcs,$AA511,$AE511)</f>
        <v>N/A</v>
      </c>
      <c r="G511" t="str" cm="1">
        <f t="array" ref="G511">INDEX(FX_Calcs,$AA511,$AE511)</f>
        <v>N/A</v>
      </c>
      <c r="H511" t="str" cm="1">
        <f t="array" ref="H511">INDEX(FX_Calcs,$AA511,$AE511)</f>
        <v>N/A</v>
      </c>
      <c r="I511" t="str" cm="1">
        <f t="array" ref="I511">INDEX(FX_Calcs,$AA511,$AE511)</f>
        <v>N/A</v>
      </c>
      <c r="J511" t="str" cm="1">
        <f t="array" ref="J511">INDEX(FX_Calcs,$AA511,$AE511)</f>
        <v>N/A</v>
      </c>
      <c r="K511" t="str" cm="1">
        <f t="array" ref="K511">INDEX(FX_Calcs,$AA511,$AE511)</f>
        <v>N/A</v>
      </c>
      <c r="L511" t="str" cm="1">
        <f t="array" ref="L511">INDEX(FX_Calcs,$AA511,$AE511)</f>
        <v>N/A</v>
      </c>
      <c r="M511" t="str" cm="1">
        <f t="array" ref="M511">INDEX(FX_Calcs,$AA511,$AE511)</f>
        <v>N/A</v>
      </c>
      <c r="N511" t="str" cm="1">
        <f t="array" ref="N511">INDEX(FX_Calcs,$AA511,$AE511)</f>
        <v>N/A</v>
      </c>
      <c r="O511" t="str" cm="1">
        <f t="array" ref="O511">INDEX(FX_Calcs,$AA511,$AE511)</f>
        <v>N/A</v>
      </c>
      <c r="P511" t="str" cm="1">
        <f t="array" ref="P511">INDEX(FX_Calcs,$AA511,$AE511)</f>
        <v>N/A</v>
      </c>
      <c r="AA511">
        <f>AA510</f>
        <v>37</v>
      </c>
      <c r="AB511">
        <f t="shared" si="1249"/>
        <v>6</v>
      </c>
      <c r="AC511">
        <f t="shared" si="1250"/>
        <v>3</v>
      </c>
      <c r="AD511">
        <f t="shared" si="1250"/>
        <v>13</v>
      </c>
      <c r="AE511">
        <f t="shared" si="1250"/>
        <v>12</v>
      </c>
      <c r="AF511">
        <f t="shared" si="1250"/>
        <v>14</v>
      </c>
      <c r="AG511">
        <f t="shared" si="1251"/>
        <v>77</v>
      </c>
      <c r="AH511">
        <f t="shared" si="1252"/>
        <v>78</v>
      </c>
      <c r="AI511">
        <f t="shared" si="1253"/>
        <v>1</v>
      </c>
      <c r="AJ511">
        <f t="shared" si="1254"/>
        <v>2</v>
      </c>
      <c r="AK511">
        <f t="shared" si="1255"/>
        <v>1</v>
      </c>
      <c r="AL511">
        <f t="shared" si="1256"/>
        <v>76</v>
      </c>
    </row>
    <row r="512" spans="1:38" ht="17.149999999999999" x14ac:dyDescent="0.4">
      <c r="B512" t="str">
        <f t="shared" ref="B512:B513" si="1257">B511</f>
        <v>Portland</v>
      </c>
      <c r="C512" s="66" t="s">
        <v>513</v>
      </c>
      <c r="D512" t="str" cm="1">
        <f t="array" ref="D512">INDEX(FX_Calcs,$AA512,$AD512)</f>
        <v>N/A</v>
      </c>
      <c r="E512" t="str" cm="1">
        <f t="array" ref="E512">INDEX(FX_Calcs,$AA512,$AD512)</f>
        <v>N/A</v>
      </c>
      <c r="F512" t="str" cm="1">
        <f t="array" ref="F512">INDEX(FX_Calcs,$AA512,$AD512)</f>
        <v>N/A</v>
      </c>
      <c r="G512" t="str" cm="1">
        <f t="array" ref="G512">INDEX(FX_Calcs,$AA512,$AD512)</f>
        <v>N/A</v>
      </c>
      <c r="H512" t="str" cm="1">
        <f t="array" ref="H512">INDEX(FX_Calcs,$AA512,$AD512)</f>
        <v>N/A</v>
      </c>
      <c r="I512" t="str" cm="1">
        <f t="array" ref="I512">INDEX(FX_Calcs,$AA512,$AD512)</f>
        <v>N/A</v>
      </c>
      <c r="J512" t="str" cm="1">
        <f t="array" ref="J512">INDEX(FX_Calcs,$AA512,$AD512)</f>
        <v>N/A</v>
      </c>
      <c r="K512" t="str" cm="1">
        <f t="array" ref="K512">INDEX(FX_Calcs,$AA512,$AD512)</f>
        <v>N/A</v>
      </c>
      <c r="L512" t="str" cm="1">
        <f t="array" ref="L512">INDEX(FX_Calcs,$AA512,$AD512)</f>
        <v>N/A</v>
      </c>
      <c r="M512" t="str" cm="1">
        <f t="array" ref="M512">INDEX(FX_Calcs,$AA512,$AD512)</f>
        <v>N/A</v>
      </c>
      <c r="N512" t="str" cm="1">
        <f t="array" ref="N512">INDEX(FX_Calcs,$AA512,$AD512)</f>
        <v>N/A</v>
      </c>
      <c r="O512" t="str" cm="1">
        <f t="array" ref="O512">INDEX(FX_Calcs,$AA512,$AD512)</f>
        <v>N/A</v>
      </c>
      <c r="P512" t="str" cm="1">
        <f t="array" ref="P512">INDEX(FX_Calcs,$AA512,$AD512)</f>
        <v>N/A</v>
      </c>
      <c r="AA512">
        <f>AA511</f>
        <v>37</v>
      </c>
      <c r="AB512">
        <f t="shared" si="1249"/>
        <v>6</v>
      </c>
      <c r="AC512">
        <f t="shared" si="1250"/>
        <v>3</v>
      </c>
      <c r="AD512">
        <f t="shared" si="1250"/>
        <v>13</v>
      </c>
      <c r="AE512">
        <f t="shared" si="1250"/>
        <v>12</v>
      </c>
      <c r="AF512">
        <f t="shared" si="1250"/>
        <v>14</v>
      </c>
      <c r="AG512">
        <f t="shared" si="1251"/>
        <v>77</v>
      </c>
      <c r="AH512">
        <f t="shared" si="1252"/>
        <v>78</v>
      </c>
      <c r="AI512">
        <f t="shared" si="1253"/>
        <v>1</v>
      </c>
      <c r="AJ512">
        <f t="shared" si="1254"/>
        <v>2</v>
      </c>
      <c r="AK512">
        <f t="shared" si="1255"/>
        <v>1</v>
      </c>
      <c r="AL512">
        <f t="shared" si="1256"/>
        <v>76</v>
      </c>
    </row>
    <row r="513" spans="1:38" x14ac:dyDescent="0.4">
      <c r="B513" t="str">
        <f t="shared" si="1257"/>
        <v>Portland</v>
      </c>
      <c r="C513" s="66" t="s">
        <v>558</v>
      </c>
      <c r="D513" t="str" cm="1">
        <f t="array" ref="D513">INDEX(FX_Calcs,$AA513,$AF513)</f>
        <v>Insulated</v>
      </c>
      <c r="E513" t="str" cm="1">
        <f t="array" ref="E513">INDEX(FX_Calcs,$AA513,$AF513)</f>
        <v>Insulated</v>
      </c>
      <c r="F513" t="str" cm="1">
        <f t="array" ref="F513">INDEX(FX_Calcs,$AA513,$AF513)</f>
        <v>Insulated</v>
      </c>
      <c r="G513" t="str" cm="1">
        <f t="array" ref="G513">INDEX(FX_Calcs,$AA513,$AF513)</f>
        <v>Insulated</v>
      </c>
      <c r="H513" t="str" cm="1">
        <f t="array" ref="H513">INDEX(FX_Calcs,$AA513,$AF513)</f>
        <v>Insulated</v>
      </c>
      <c r="I513" t="str" cm="1">
        <f t="array" ref="I513">INDEX(FX_Calcs,$AA513,$AF513)</f>
        <v>Insulated</v>
      </c>
      <c r="J513" t="str" cm="1">
        <f t="array" ref="J513">INDEX(FX_Calcs,$AA513,$AF513)</f>
        <v>Insulated</v>
      </c>
      <c r="K513" t="str" cm="1">
        <f t="array" ref="K513">INDEX(FX_Calcs,$AA513,$AF513)</f>
        <v>Insulated</v>
      </c>
      <c r="L513" t="str" cm="1">
        <f t="array" ref="L513">INDEX(FX_Calcs,$AA513,$AF513)</f>
        <v>Insulated</v>
      </c>
      <c r="M513" t="str" cm="1">
        <f t="array" ref="M513">INDEX(FX_Calcs,$AA513,$AF513)</f>
        <v>Insulated</v>
      </c>
      <c r="N513" t="str" cm="1">
        <f t="array" ref="N513">INDEX(FX_Calcs,$AA513,$AF513)</f>
        <v>Insulated</v>
      </c>
      <c r="O513" t="str" cm="1">
        <f t="array" ref="O513">INDEX(FX_Calcs,$AA513,$AF513)</f>
        <v>Insulated</v>
      </c>
      <c r="P513" t="str" cm="1">
        <f t="array" ref="P513">INDEX(FX_Calcs,$AA513,$AF513)</f>
        <v>Insulated</v>
      </c>
      <c r="AA513">
        <f>AA512</f>
        <v>37</v>
      </c>
      <c r="AB513">
        <f t="shared" si="1249"/>
        <v>6</v>
      </c>
      <c r="AC513">
        <f t="shared" si="1250"/>
        <v>3</v>
      </c>
      <c r="AD513">
        <f t="shared" si="1250"/>
        <v>13</v>
      </c>
      <c r="AE513">
        <f t="shared" si="1250"/>
        <v>12</v>
      </c>
      <c r="AF513">
        <f t="shared" si="1250"/>
        <v>14</v>
      </c>
      <c r="AG513">
        <f t="shared" si="1251"/>
        <v>77</v>
      </c>
      <c r="AH513">
        <f t="shared" si="1252"/>
        <v>78</v>
      </c>
      <c r="AI513">
        <f t="shared" si="1253"/>
        <v>1</v>
      </c>
      <c r="AJ513">
        <f t="shared" si="1254"/>
        <v>2</v>
      </c>
      <c r="AK513">
        <f t="shared" si="1255"/>
        <v>1</v>
      </c>
      <c r="AL513">
        <f t="shared" si="1256"/>
        <v>76</v>
      </c>
    </row>
    <row r="514" spans="1:38" ht="17.149999999999999" x14ac:dyDescent="0.55000000000000004">
      <c r="B514" t="str">
        <f>B510</f>
        <v>Portland</v>
      </c>
      <c r="C514" t="s">
        <v>512</v>
      </c>
      <c r="D514">
        <f t="shared" ref="D514:P514" si="1258">D510-D509</f>
        <v>10.400000000000034</v>
      </c>
      <c r="E514">
        <f t="shared" si="1258"/>
        <v>13.199999999999989</v>
      </c>
      <c r="F514">
        <f t="shared" si="1258"/>
        <v>13.200000000000045</v>
      </c>
      <c r="G514">
        <f t="shared" si="1258"/>
        <v>13.399999999999977</v>
      </c>
      <c r="H514">
        <f t="shared" si="1258"/>
        <v>13.299999999999955</v>
      </c>
      <c r="I514">
        <f t="shared" si="1258"/>
        <v>12.500000000000057</v>
      </c>
      <c r="J514">
        <f t="shared" si="1258"/>
        <v>12.699999999999932</v>
      </c>
      <c r="K514">
        <f t="shared" si="1258"/>
        <v>13.600000000000023</v>
      </c>
      <c r="L514">
        <f t="shared" si="1258"/>
        <v>16.399999999999977</v>
      </c>
      <c r="M514">
        <f t="shared" si="1258"/>
        <v>14.699999999999989</v>
      </c>
      <c r="N514">
        <f t="shared" si="1258"/>
        <v>12.200000000000045</v>
      </c>
      <c r="O514">
        <f t="shared" si="1258"/>
        <v>10</v>
      </c>
      <c r="P514">
        <f t="shared" si="1258"/>
        <v>13</v>
      </c>
    </row>
    <row r="515" spans="1:38" x14ac:dyDescent="0.4">
      <c r="B515" t="str">
        <f t="shared" ref="B515:B522" si="1259">B514</f>
        <v>Portland</v>
      </c>
      <c r="C515" t="s">
        <v>260</v>
      </c>
      <c r="D515">
        <f t="shared" ref="D515:P515" si="1260">VLOOKUP(VLOOKUP($B515,Terminal_X_Ref,2,FALSE)&amp;$C515,Weather_Data,$Y515*D$3+$Z515,FALSE)</f>
        <v>343</v>
      </c>
      <c r="E515">
        <f t="shared" si="1260"/>
        <v>600</v>
      </c>
      <c r="F515">
        <f t="shared" si="1260"/>
        <v>877</v>
      </c>
      <c r="G515">
        <f t="shared" si="1260"/>
        <v>1252</v>
      </c>
      <c r="H515">
        <f t="shared" si="1260"/>
        <v>1537</v>
      </c>
      <c r="I515">
        <f t="shared" si="1260"/>
        <v>1627</v>
      </c>
      <c r="J515">
        <f t="shared" si="1260"/>
        <v>1708</v>
      </c>
      <c r="K515">
        <f t="shared" si="1260"/>
        <v>1492</v>
      </c>
      <c r="L515">
        <f t="shared" si="1260"/>
        <v>1196</v>
      </c>
      <c r="M515">
        <f t="shared" si="1260"/>
        <v>728</v>
      </c>
      <c r="N515">
        <f t="shared" si="1260"/>
        <v>391</v>
      </c>
      <c r="O515">
        <f t="shared" si="1260"/>
        <v>302</v>
      </c>
      <c r="P515">
        <f t="shared" si="1260"/>
        <v>1005</v>
      </c>
      <c r="U515">
        <f>U510</f>
        <v>2</v>
      </c>
      <c r="V515">
        <f t="shared" ref="V515:Z515" si="1261">V510</f>
        <v>3</v>
      </c>
      <c r="W515">
        <f t="shared" si="1261"/>
        <v>1</v>
      </c>
      <c r="X515">
        <f t="shared" si="1261"/>
        <v>2</v>
      </c>
      <c r="Y515">
        <f t="shared" si="1261"/>
        <v>1</v>
      </c>
      <c r="Z515">
        <f t="shared" si="1261"/>
        <v>1</v>
      </c>
    </row>
    <row r="516" spans="1:38" ht="17.149999999999999" x14ac:dyDescent="0.55000000000000004">
      <c r="B516" t="str">
        <f t="shared" si="1259"/>
        <v>Portland</v>
      </c>
      <c r="C516" t="s">
        <v>523</v>
      </c>
      <c r="D516">
        <f>IF(ISNUMBER(D513),0.7*D514+0.02*D513*D515,IF(D513="Partially Insulated",0.6*D514+0.02*D512*D515,0))</f>
        <v>0</v>
      </c>
      <c r="E516">
        <f t="shared" ref="E516:P516" si="1262">IF(ISNUMBER(E513),0.7*E514+0.02*E513*E515,IF(E513="Partially Insulated",0.6*E514+0.02*E512*E515,0))</f>
        <v>0</v>
      </c>
      <c r="F516">
        <f t="shared" si="1262"/>
        <v>0</v>
      </c>
      <c r="G516">
        <f t="shared" si="1262"/>
        <v>0</v>
      </c>
      <c r="H516">
        <f t="shared" si="1262"/>
        <v>0</v>
      </c>
      <c r="I516">
        <f t="shared" si="1262"/>
        <v>0</v>
      </c>
      <c r="J516">
        <f t="shared" si="1262"/>
        <v>0</v>
      </c>
      <c r="K516">
        <f t="shared" si="1262"/>
        <v>0</v>
      </c>
      <c r="L516">
        <f t="shared" si="1262"/>
        <v>0</v>
      </c>
      <c r="M516">
        <f t="shared" si="1262"/>
        <v>0</v>
      </c>
      <c r="N516">
        <f t="shared" si="1262"/>
        <v>0</v>
      </c>
      <c r="O516">
        <f t="shared" si="1262"/>
        <v>0</v>
      </c>
      <c r="P516">
        <f t="shared" si="1262"/>
        <v>0</v>
      </c>
    </row>
    <row r="517" spans="1:38" ht="17.149999999999999" x14ac:dyDescent="0.55000000000000004">
      <c r="B517" t="str">
        <f t="shared" si="1259"/>
        <v>Portland</v>
      </c>
      <c r="C517" t="s">
        <v>524</v>
      </c>
      <c r="D517">
        <f t="shared" ref="D517:F517" si="1263">AVERAGE(D509:D510)</f>
        <v>503.5</v>
      </c>
      <c r="E517">
        <f t="shared" si="1263"/>
        <v>504.30000000000007</v>
      </c>
      <c r="F517">
        <f t="shared" si="1263"/>
        <v>505.70000000000005</v>
      </c>
      <c r="G517">
        <f>AVERAGE(G509:G510)</f>
        <v>508.2</v>
      </c>
      <c r="H517">
        <f t="shared" ref="H517:P517" si="1264">AVERAGE(H509:H510)</f>
        <v>512.75</v>
      </c>
      <c r="I517">
        <f t="shared" si="1264"/>
        <v>516.55000000000007</v>
      </c>
      <c r="J517">
        <f t="shared" si="1264"/>
        <v>520.04999999999995</v>
      </c>
      <c r="K517">
        <f t="shared" si="1264"/>
        <v>520.5</v>
      </c>
      <c r="L517">
        <f t="shared" si="1264"/>
        <v>518.20000000000005</v>
      </c>
      <c r="M517">
        <f t="shared" si="1264"/>
        <v>512.25</v>
      </c>
      <c r="N517">
        <f t="shared" si="1264"/>
        <v>506.70000000000005</v>
      </c>
      <c r="O517">
        <f t="shared" si="1264"/>
        <v>503.20000000000005</v>
      </c>
      <c r="P517">
        <f t="shared" si="1264"/>
        <v>51.4</v>
      </c>
    </row>
    <row r="518" spans="1:38" ht="17.149999999999999" x14ac:dyDescent="0.55000000000000004">
      <c r="B518" t="str">
        <f t="shared" si="1259"/>
        <v>Portland</v>
      </c>
      <c r="C518" t="s">
        <v>525</v>
      </c>
      <c r="D518" cm="1">
        <f t="array" ref="D518">IFERROR(IF(ISBLANK(INDEX(FX_Input,$R509,D$3*$AK509+$AL509)),D517+0.003*D511*D515,INDEX(FX_Input,$R509,D$3*$AK509+$AL509)+459.6),D517)</f>
        <v>503.5</v>
      </c>
      <c r="E518" cm="1">
        <f t="array" ref="E518">IFERROR(IF(ISBLANK(INDEX(FX_Input,$R509,E$3*$AK509+$AL509)),E517+0.003*E511*E515,INDEX(FX_Input,$R509,E$3*$AK509+$AL509)+459.6),E517)</f>
        <v>504.30000000000007</v>
      </c>
      <c r="F518" cm="1">
        <f t="array" ref="F518">IFERROR(IF(ISBLANK(INDEX(FX_Input,$R509,F$3*$AK509+$AL509)),F517+0.003*F511*F515,INDEX(FX_Input,$R509,F$3*$AK509+$AL509)+459.6),F517)</f>
        <v>505.70000000000005</v>
      </c>
      <c r="G518" cm="1">
        <f t="array" ref="G518">IFERROR(IF(ISBLANK(INDEX(FX_Input,$R509,G$3*$AK509+$AL509)),G517+0.003*G511*G515,INDEX(FX_Input,$R509,G$3*$AK509+$AL509)+459.6),G517)</f>
        <v>508.2</v>
      </c>
      <c r="H518" cm="1">
        <f t="array" ref="H518">IFERROR(IF(ISBLANK(INDEX(FX_Input,$R509,H$3*$AK509+$AL509)),H517+0.003*H511*H515,INDEX(FX_Input,$R509,H$3*$AK509+$AL509)+459.6),H517)</f>
        <v>512.75</v>
      </c>
      <c r="I518" cm="1">
        <f t="array" ref="I518">IFERROR(IF(ISBLANK(INDEX(FX_Input,$R509,I$3*$AK509+$AL509)),I517+0.003*I511*I515,INDEX(FX_Input,$R509,I$3*$AK509+$AL509)+459.6),I517)</f>
        <v>516.55000000000007</v>
      </c>
      <c r="J518" cm="1">
        <f t="array" ref="J518">IFERROR(IF(ISBLANK(INDEX(FX_Input,$R509,J$3*$AK509+$AL509)),J517+0.003*J511*J515,INDEX(FX_Input,$R509,J$3*$AK509+$AL509)+459.6),J517)</f>
        <v>520.04999999999995</v>
      </c>
      <c r="K518" cm="1">
        <f t="array" ref="K518">IFERROR(IF(ISBLANK(INDEX(FX_Input,$R509,K$3*$AK509+$AL509)),K517+0.003*K511*K515,INDEX(FX_Input,$R509,K$3*$AK509+$AL509)+459.6),K517)</f>
        <v>520.5</v>
      </c>
      <c r="L518" cm="1">
        <f t="array" ref="L518">IFERROR(IF(ISBLANK(INDEX(FX_Input,$R509,L$3*$AK509+$AL509)),L517+0.003*L511*L515,INDEX(FX_Input,$R509,L$3*$AK509+$AL509)+459.6),L517)</f>
        <v>518.20000000000005</v>
      </c>
      <c r="M518" cm="1">
        <f t="array" ref="M518">IFERROR(IF(ISBLANK(INDEX(FX_Input,$R509,M$3*$AK509+$AL509)),M517+0.003*M511*M515,INDEX(FX_Input,$R509,M$3*$AK509+$AL509)+459.6),M517)</f>
        <v>512.25</v>
      </c>
      <c r="N518" cm="1">
        <f t="array" ref="N518">IFERROR(IF(ISBLANK(INDEX(FX_Input,$R509,N$3*$AK509+$AL509)),N517+0.003*N511*N515,INDEX(FX_Input,$R509,N$3*$AK509+$AL509)+459.6),N517)</f>
        <v>506.70000000000005</v>
      </c>
      <c r="O518" cm="1">
        <f t="array" ref="O518">IFERROR(IF(ISBLANK(INDEX(FX_Input,$R509,O$3*$AK509+$AL509)),O517+0.003*O511*O515,INDEX(FX_Input,$R509,O$3*$AK509+$AL509)+459.6),O517)</f>
        <v>503.20000000000005</v>
      </c>
      <c r="P518" cm="1">
        <f t="array" ref="P518">IFERROR(IF(ISBLANK(INDEX(FX_Input,$R509,P$3*$AK509+$AL509)),P517+0.003*P511*P515,INDEX(FX_Input,$R509,P$3*$AK509+$AL509)+459.6),P517)</f>
        <v>459.6</v>
      </c>
    </row>
    <row r="519" spans="1:38" ht="17.149999999999999" x14ac:dyDescent="0.55000000000000004">
      <c r="B519" t="str">
        <f t="shared" si="1259"/>
        <v>Portland</v>
      </c>
      <c r="C519" t="s">
        <v>526</v>
      </c>
      <c r="D519">
        <f>IF(ISNUMBER(D513),0.4*D509+0.6*D518+0.005*D513*D515,IF(D513="Partially Insulated",0.3*D517+0.7*D518+0.005*D512*D515,D518))-459.6</f>
        <v>43.899999999999977</v>
      </c>
      <c r="E519">
        <f t="shared" ref="E519" si="1265">IF(ISNUMBER(E513),0.4*E509+0.6*E518+0.005*E513*E515,IF(E513="Partially Insulated",0.3*E517+0.7*E518+0.005*E512*E515,E518))-459.6</f>
        <v>44.700000000000045</v>
      </c>
      <c r="F519">
        <f t="shared" ref="F519" si="1266">IF(ISNUMBER(F513),0.4*F509+0.6*F518+0.005*F513*F515,IF(F513="Partially Insulated",0.3*F517+0.7*F518+0.005*F512*F515,F518))-459.6</f>
        <v>46.100000000000023</v>
      </c>
      <c r="G519">
        <f t="shared" ref="G519" si="1267">IF(ISNUMBER(G513),0.4*G509+0.6*G518+0.005*G513*G515,IF(G513="Partially Insulated",0.3*G517+0.7*G518+0.005*G512*G515,G518))-459.6</f>
        <v>48.599999999999966</v>
      </c>
      <c r="H519">
        <f t="shared" ref="H519" si="1268">IF(ISNUMBER(H513),0.4*H509+0.6*H518+0.005*H513*H515,IF(H513="Partially Insulated",0.3*H517+0.7*H518+0.005*H512*H515,H518))-459.6</f>
        <v>53.149999999999977</v>
      </c>
      <c r="I519">
        <f t="shared" ref="I519" si="1269">IF(ISNUMBER(I513),0.4*I509+0.6*I518+0.005*I513*I515,IF(I513="Partially Insulated",0.3*I517+0.7*I518+0.005*I512*I515,I518))-459.6</f>
        <v>56.950000000000045</v>
      </c>
      <c r="J519">
        <f t="shared" ref="J519" si="1270">IF(ISNUMBER(J513),0.4*J509+0.6*J518+0.005*J513*J515,IF(J513="Partially Insulated",0.3*J517+0.7*J518+0.005*J512*J515,J518))-459.6</f>
        <v>60.449999999999932</v>
      </c>
      <c r="K519">
        <f t="shared" ref="K519" si="1271">IF(ISNUMBER(K513),0.4*K509+0.6*K518+0.005*K513*K515,IF(K513="Partially Insulated",0.3*K517+0.7*K518+0.005*K512*K515,K518))-459.6</f>
        <v>60.899999999999977</v>
      </c>
      <c r="L519">
        <f t="shared" ref="L519" si="1272">IF(ISNUMBER(L513),0.4*L509+0.6*L518+0.005*L513*L515,IF(L513="Partially Insulated",0.3*L517+0.7*L518+0.005*L512*L515,L518))-459.6</f>
        <v>58.600000000000023</v>
      </c>
      <c r="M519">
        <f t="shared" ref="M519" si="1273">IF(ISNUMBER(M513),0.4*M509+0.6*M518+0.005*M513*M515,IF(M513="Partially Insulated",0.3*M517+0.7*M518+0.005*M512*M515,M518))-459.6</f>
        <v>52.649999999999977</v>
      </c>
      <c r="N519">
        <f t="shared" ref="N519" si="1274">IF(ISNUMBER(N513),0.4*N509+0.6*N518+0.005*N513*N515,IF(N513="Partially Insulated",0.3*N517+0.7*N518+0.005*N512*N515,N518))-459.6</f>
        <v>47.100000000000023</v>
      </c>
      <c r="O519">
        <f t="shared" ref="O519" si="1275">IF(ISNUMBER(O513),0.4*O509+0.6*O518+0.005*O513*O515,IF(O513="Partially Insulated",0.3*O517+0.7*O518+0.005*O512*O515,O518))-459.6</f>
        <v>43.600000000000023</v>
      </c>
      <c r="P519">
        <f>AVERAGE(D519:O519)</f>
        <v>51.391666666666673</v>
      </c>
    </row>
    <row r="520" spans="1:38" ht="17.149999999999999" x14ac:dyDescent="0.55000000000000004">
      <c r="B520" t="str">
        <f t="shared" si="1259"/>
        <v>Portland</v>
      </c>
      <c r="C520" t="s">
        <v>527</v>
      </c>
      <c r="D520">
        <f>IF(ISNUMBER(D513),0.4*D510+0.6*D518+0.005*D513*D515,IF(D513="Partially Insulated",0.3*D517+0.7*D518+0.005*D512*D515,D518))-459.6</f>
        <v>43.899999999999977</v>
      </c>
      <c r="E520">
        <f t="shared" ref="E520:O520" si="1276">IF(ISNUMBER(E513),0.4*E510+0.6*E518+0.005*E513*E515,IF(E513="Partially Insulated",0.3*E517+0.7*E518+0.005*E512*E515,E518))-459.6</f>
        <v>44.700000000000045</v>
      </c>
      <c r="F520">
        <f t="shared" si="1276"/>
        <v>46.100000000000023</v>
      </c>
      <c r="G520">
        <f t="shared" si="1276"/>
        <v>48.599999999999966</v>
      </c>
      <c r="H520">
        <f t="shared" si="1276"/>
        <v>53.149999999999977</v>
      </c>
      <c r="I520">
        <f t="shared" si="1276"/>
        <v>56.950000000000045</v>
      </c>
      <c r="J520">
        <f t="shared" si="1276"/>
        <v>60.449999999999932</v>
      </c>
      <c r="K520">
        <f t="shared" si="1276"/>
        <v>60.899999999999977</v>
      </c>
      <c r="L520">
        <f t="shared" si="1276"/>
        <v>58.600000000000023</v>
      </c>
      <c r="M520">
        <f t="shared" si="1276"/>
        <v>52.649999999999977</v>
      </c>
      <c r="N520">
        <f t="shared" si="1276"/>
        <v>47.100000000000023</v>
      </c>
      <c r="O520">
        <f t="shared" si="1276"/>
        <v>43.600000000000023</v>
      </c>
      <c r="P520">
        <f>AVERAGE(D520:O520)</f>
        <v>51.391666666666673</v>
      </c>
    </row>
    <row r="521" spans="1:38" ht="17.149999999999999" x14ac:dyDescent="0.55000000000000004">
      <c r="B521" t="str">
        <f t="shared" si="1259"/>
        <v>Portland</v>
      </c>
      <c r="C521" t="s">
        <v>552</v>
      </c>
      <c r="D521">
        <f>IF(ISNUMBER(D513),0.4*D517+0.6*D518+0.005*D513*D515,IF(D513="Partially Insulated",0.3*D517+0.7*D518+0.005*D512*D515,D518))-459.6</f>
        <v>43.899999999999977</v>
      </c>
      <c r="E521">
        <f t="shared" ref="E521:O521" si="1277">IF(ISNUMBER(E513),0.4*E517+0.6*E518+0.005*E513*E515,IF(E513="Partially Insulated",0.3*E517+0.7*E518+0.005*E512*E515,E518))-459.6</f>
        <v>44.700000000000045</v>
      </c>
      <c r="F521">
        <f t="shared" si="1277"/>
        <v>46.100000000000023</v>
      </c>
      <c r="G521">
        <f t="shared" si="1277"/>
        <v>48.599999999999966</v>
      </c>
      <c r="H521">
        <f t="shared" si="1277"/>
        <v>53.149999999999977</v>
      </c>
      <c r="I521">
        <f t="shared" si="1277"/>
        <v>56.950000000000045</v>
      </c>
      <c r="J521">
        <f t="shared" si="1277"/>
        <v>60.449999999999932</v>
      </c>
      <c r="K521">
        <f t="shared" si="1277"/>
        <v>60.899999999999977</v>
      </c>
      <c r="L521">
        <f t="shared" si="1277"/>
        <v>58.600000000000023</v>
      </c>
      <c r="M521">
        <f t="shared" si="1277"/>
        <v>52.649999999999977</v>
      </c>
      <c r="N521">
        <f t="shared" si="1277"/>
        <v>47.100000000000023</v>
      </c>
      <c r="O521">
        <f t="shared" si="1277"/>
        <v>43.600000000000023</v>
      </c>
      <c r="P521">
        <f>AVERAGE(D521:O521)</f>
        <v>51.391666666666673</v>
      </c>
    </row>
    <row r="522" spans="1:38" ht="17.149999999999999" x14ac:dyDescent="0.55000000000000004">
      <c r="A522" s="11"/>
      <c r="B522" s="11" t="str">
        <f t="shared" si="1259"/>
        <v>Portland</v>
      </c>
      <c r="C522" s="11" t="s">
        <v>553</v>
      </c>
      <c r="D522" s="11">
        <f>IF(ISNUMBER(D513),0.7*D517+0.3*D518+0.009*D513*D515,IF(D513="Partially Insulated",0.6*D517+0.4*D518+0.01*D512*D515,D518))-459.6</f>
        <v>43.899999999999977</v>
      </c>
      <c r="E522" s="11">
        <f t="shared" ref="E522:O522" si="1278">IF(ISNUMBER(E513),0.7*E517+0.3*E518+0.009*E513*E515,IF(E513="Partially Insulated",0.6*E517+0.4*E518+0.01*E512*E515,E518))-459.6</f>
        <v>44.700000000000045</v>
      </c>
      <c r="F522" s="11">
        <f t="shared" si="1278"/>
        <v>46.100000000000023</v>
      </c>
      <c r="G522" s="11">
        <f t="shared" si="1278"/>
        <v>48.599999999999966</v>
      </c>
      <c r="H522" s="11">
        <f t="shared" si="1278"/>
        <v>53.149999999999977</v>
      </c>
      <c r="I522" s="11">
        <f t="shared" si="1278"/>
        <v>56.950000000000045</v>
      </c>
      <c r="J522" s="11">
        <f t="shared" si="1278"/>
        <v>60.449999999999932</v>
      </c>
      <c r="K522" s="11">
        <f t="shared" si="1278"/>
        <v>60.899999999999977</v>
      </c>
      <c r="L522" s="11">
        <f t="shared" si="1278"/>
        <v>58.600000000000023</v>
      </c>
      <c r="M522" s="11">
        <f t="shared" si="1278"/>
        <v>52.649999999999977</v>
      </c>
      <c r="N522" s="11">
        <f t="shared" si="1278"/>
        <v>47.100000000000023</v>
      </c>
      <c r="O522" s="11">
        <f t="shared" si="1278"/>
        <v>43.600000000000023</v>
      </c>
      <c r="P522" s="11">
        <f>AVERAGE(D522:O522)</f>
        <v>51.391666666666673</v>
      </c>
      <c r="Q522" s="11"/>
      <c r="R522" s="11"/>
      <c r="S522" s="11"/>
      <c r="T522" s="11"/>
      <c r="U522" s="11"/>
      <c r="V522" s="11"/>
      <c r="W522" s="11"/>
      <c r="X522" s="11"/>
      <c r="Y522" s="11"/>
      <c r="Z522" s="11"/>
      <c r="AA522" s="11"/>
      <c r="AB522" s="11"/>
      <c r="AC522" s="11"/>
      <c r="AD522" s="11"/>
      <c r="AE522" s="11"/>
      <c r="AF522" s="11"/>
      <c r="AG522" s="11"/>
      <c r="AH522" s="11"/>
      <c r="AI522" s="11"/>
      <c r="AJ522" s="11"/>
      <c r="AK522" s="11"/>
      <c r="AL522" s="11"/>
    </row>
    <row r="523" spans="1:38" ht="17.149999999999999" x14ac:dyDescent="0.55000000000000004">
      <c r="A523" t="str" cm="1">
        <f t="array" ref="A523">INDEX(FX_Input,$R523,S$5)</f>
        <v>FX - 38</v>
      </c>
      <c r="B523" t="str" cm="1">
        <f t="array" ref="B523">INDEX(FX_Input,R523,T523)</f>
        <v>Portland</v>
      </c>
      <c r="C523" t="s">
        <v>510</v>
      </c>
      <c r="D523">
        <f t="shared" ref="D523:O524" si="1279">VLOOKUP(VLOOKUP($B523,Terminal_X_Ref,2,FALSE)&amp;$C523,Weather_Data,$Y523*D$3+$Z523,FALSE)+459.6</f>
        <v>498.3</v>
      </c>
      <c r="E523">
        <f t="shared" si="1279"/>
        <v>497.70000000000005</v>
      </c>
      <c r="F523">
        <f t="shared" si="1279"/>
        <v>499.1</v>
      </c>
      <c r="G523">
        <f t="shared" si="1279"/>
        <v>501.5</v>
      </c>
      <c r="H523">
        <f t="shared" si="1279"/>
        <v>506.1</v>
      </c>
      <c r="I523">
        <f t="shared" si="1279"/>
        <v>510.3</v>
      </c>
      <c r="J523">
        <f t="shared" si="1279"/>
        <v>513.70000000000005</v>
      </c>
      <c r="K523">
        <f t="shared" si="1279"/>
        <v>513.70000000000005</v>
      </c>
      <c r="L523">
        <f t="shared" si="1279"/>
        <v>510</v>
      </c>
      <c r="M523">
        <f t="shared" si="1279"/>
        <v>504.90000000000003</v>
      </c>
      <c r="N523">
        <f t="shared" si="1279"/>
        <v>500.6</v>
      </c>
      <c r="O523">
        <f t="shared" si="1279"/>
        <v>498.20000000000005</v>
      </c>
      <c r="P523">
        <f t="shared" ref="P523:P524" si="1280">VLOOKUP(VLOOKUP($B523,Terminal_X_Ref,2,FALSE)&amp;$C523,Weather_Data,$Y523*P$3+$Z523,FALSE)</f>
        <v>44.9</v>
      </c>
      <c r="R523">
        <f>R509+2</f>
        <v>75</v>
      </c>
      <c r="S523">
        <f>S509+1</f>
        <v>38</v>
      </c>
      <c r="T523">
        <v>3</v>
      </c>
      <c r="U523">
        <v>2</v>
      </c>
      <c r="V523">
        <v>3</v>
      </c>
      <c r="W523">
        <v>1</v>
      </c>
      <c r="X523">
        <v>2</v>
      </c>
      <c r="Y523">
        <f>(V523-U523)/(X523-W523)</f>
        <v>1</v>
      </c>
      <c r="Z523">
        <f>U523-Y523*W523</f>
        <v>1</v>
      </c>
      <c r="AA523">
        <f>AA509+1</f>
        <v>38</v>
      </c>
      <c r="AB523">
        <v>6</v>
      </c>
      <c r="AC523">
        <v>3</v>
      </c>
      <c r="AD523">
        <v>13</v>
      </c>
      <c r="AE523">
        <v>12</v>
      </c>
      <c r="AF523">
        <v>14</v>
      </c>
      <c r="AG523">
        <v>77</v>
      </c>
      <c r="AH523">
        <v>78</v>
      </c>
      <c r="AI523">
        <v>1</v>
      </c>
      <c r="AJ523">
        <v>2</v>
      </c>
      <c r="AK523">
        <f>(AH523-AG523)/(AJ523-AI523)</f>
        <v>1</v>
      </c>
      <c r="AL523">
        <f>AG523-AK523*AI523</f>
        <v>76</v>
      </c>
    </row>
    <row r="524" spans="1:38" ht="17.149999999999999" x14ac:dyDescent="0.55000000000000004">
      <c r="B524" t="str">
        <f t="shared" ref="B524" si="1281">B523</f>
        <v>Portland</v>
      </c>
      <c r="C524" t="s">
        <v>511</v>
      </c>
      <c r="D524">
        <f t="shared" si="1279"/>
        <v>508.70000000000005</v>
      </c>
      <c r="E524">
        <f t="shared" si="1279"/>
        <v>510.90000000000003</v>
      </c>
      <c r="F524">
        <f t="shared" si="1279"/>
        <v>512.30000000000007</v>
      </c>
      <c r="G524">
        <f t="shared" si="1279"/>
        <v>514.9</v>
      </c>
      <c r="H524">
        <f t="shared" si="1279"/>
        <v>519.4</v>
      </c>
      <c r="I524">
        <f t="shared" si="1279"/>
        <v>522.80000000000007</v>
      </c>
      <c r="J524">
        <f t="shared" si="1279"/>
        <v>526.4</v>
      </c>
      <c r="K524">
        <f t="shared" si="1279"/>
        <v>527.30000000000007</v>
      </c>
      <c r="L524">
        <f t="shared" si="1279"/>
        <v>526.4</v>
      </c>
      <c r="M524">
        <f t="shared" si="1279"/>
        <v>519.6</v>
      </c>
      <c r="N524">
        <f t="shared" si="1279"/>
        <v>512.80000000000007</v>
      </c>
      <c r="O524">
        <f t="shared" si="1279"/>
        <v>508.20000000000005</v>
      </c>
      <c r="P524">
        <f t="shared" si="1280"/>
        <v>57.9</v>
      </c>
      <c r="U524">
        <f>U523</f>
        <v>2</v>
      </c>
      <c r="V524">
        <f t="shared" ref="V524:Z524" si="1282">V523</f>
        <v>3</v>
      </c>
      <c r="W524">
        <f t="shared" si="1282"/>
        <v>1</v>
      </c>
      <c r="X524">
        <f t="shared" si="1282"/>
        <v>2</v>
      </c>
      <c r="Y524">
        <f t="shared" si="1282"/>
        <v>1</v>
      </c>
      <c r="Z524">
        <f t="shared" si="1282"/>
        <v>1</v>
      </c>
      <c r="AA524">
        <f>AA523</f>
        <v>38</v>
      </c>
      <c r="AB524">
        <f t="shared" ref="AB524:AB527" si="1283">AB523</f>
        <v>6</v>
      </c>
      <c r="AC524">
        <f t="shared" ref="AC524:AF527" si="1284">AC523</f>
        <v>3</v>
      </c>
      <c r="AD524">
        <f t="shared" si="1284"/>
        <v>13</v>
      </c>
      <c r="AE524">
        <f t="shared" si="1284"/>
        <v>12</v>
      </c>
      <c r="AF524">
        <f t="shared" si="1284"/>
        <v>14</v>
      </c>
      <c r="AG524">
        <f t="shared" ref="AG524:AG527" si="1285">AG523</f>
        <v>77</v>
      </c>
      <c r="AH524">
        <f t="shared" ref="AH524:AH527" si="1286">AH523</f>
        <v>78</v>
      </c>
      <c r="AI524">
        <f t="shared" ref="AI524:AI527" si="1287">AI523</f>
        <v>1</v>
      </c>
      <c r="AJ524">
        <f t="shared" ref="AJ524:AJ527" si="1288">AJ523</f>
        <v>2</v>
      </c>
      <c r="AK524">
        <f t="shared" ref="AK524:AK527" si="1289">AK523</f>
        <v>1</v>
      </c>
      <c r="AL524">
        <f t="shared" ref="AL524:AL527" si="1290">AL523</f>
        <v>76</v>
      </c>
    </row>
    <row r="525" spans="1:38" ht="17.149999999999999" x14ac:dyDescent="0.4">
      <c r="B525" t="str">
        <f>B524</f>
        <v>Portland</v>
      </c>
      <c r="C525" s="66" t="s">
        <v>514</v>
      </c>
      <c r="D525" t="str" cm="1">
        <f t="array" ref="D525">INDEX(FX_Calcs,$AA525,$AE525)</f>
        <v>N/A</v>
      </c>
      <c r="E525" t="str" cm="1">
        <f t="array" ref="E525">INDEX(FX_Calcs,$AA525,$AE525)</f>
        <v>N/A</v>
      </c>
      <c r="F525" t="str" cm="1">
        <f t="array" ref="F525">INDEX(FX_Calcs,$AA525,$AE525)</f>
        <v>N/A</v>
      </c>
      <c r="G525" t="str" cm="1">
        <f t="array" ref="G525">INDEX(FX_Calcs,$AA525,$AE525)</f>
        <v>N/A</v>
      </c>
      <c r="H525" t="str" cm="1">
        <f t="array" ref="H525">INDEX(FX_Calcs,$AA525,$AE525)</f>
        <v>N/A</v>
      </c>
      <c r="I525" t="str" cm="1">
        <f t="array" ref="I525">INDEX(FX_Calcs,$AA525,$AE525)</f>
        <v>N/A</v>
      </c>
      <c r="J525" t="str" cm="1">
        <f t="array" ref="J525">INDEX(FX_Calcs,$AA525,$AE525)</f>
        <v>N/A</v>
      </c>
      <c r="K525" t="str" cm="1">
        <f t="array" ref="K525">INDEX(FX_Calcs,$AA525,$AE525)</f>
        <v>N/A</v>
      </c>
      <c r="L525" t="str" cm="1">
        <f t="array" ref="L525">INDEX(FX_Calcs,$AA525,$AE525)</f>
        <v>N/A</v>
      </c>
      <c r="M525" t="str" cm="1">
        <f t="array" ref="M525">INDEX(FX_Calcs,$AA525,$AE525)</f>
        <v>N/A</v>
      </c>
      <c r="N525" t="str" cm="1">
        <f t="array" ref="N525">INDEX(FX_Calcs,$AA525,$AE525)</f>
        <v>N/A</v>
      </c>
      <c r="O525" t="str" cm="1">
        <f t="array" ref="O525">INDEX(FX_Calcs,$AA525,$AE525)</f>
        <v>N/A</v>
      </c>
      <c r="P525" t="str" cm="1">
        <f t="array" ref="P525">INDEX(FX_Calcs,$AA525,$AE525)</f>
        <v>N/A</v>
      </c>
      <c r="AA525">
        <f>AA524</f>
        <v>38</v>
      </c>
      <c r="AB525">
        <f t="shared" si="1283"/>
        <v>6</v>
      </c>
      <c r="AC525">
        <f t="shared" si="1284"/>
        <v>3</v>
      </c>
      <c r="AD525">
        <f t="shared" si="1284"/>
        <v>13</v>
      </c>
      <c r="AE525">
        <f t="shared" si="1284"/>
        <v>12</v>
      </c>
      <c r="AF525">
        <f t="shared" si="1284"/>
        <v>14</v>
      </c>
      <c r="AG525">
        <f t="shared" si="1285"/>
        <v>77</v>
      </c>
      <c r="AH525">
        <f t="shared" si="1286"/>
        <v>78</v>
      </c>
      <c r="AI525">
        <f t="shared" si="1287"/>
        <v>1</v>
      </c>
      <c r="AJ525">
        <f t="shared" si="1288"/>
        <v>2</v>
      </c>
      <c r="AK525">
        <f t="shared" si="1289"/>
        <v>1</v>
      </c>
      <c r="AL525">
        <f t="shared" si="1290"/>
        <v>76</v>
      </c>
    </row>
    <row r="526" spans="1:38" ht="17.149999999999999" x14ac:dyDescent="0.4">
      <c r="B526" t="str">
        <f t="shared" ref="B526:B527" si="1291">B525</f>
        <v>Portland</v>
      </c>
      <c r="C526" s="66" t="s">
        <v>513</v>
      </c>
      <c r="D526" t="str" cm="1">
        <f t="array" ref="D526">INDEX(FX_Calcs,$AA526,$AD526)</f>
        <v>N/A</v>
      </c>
      <c r="E526" t="str" cm="1">
        <f t="array" ref="E526">INDEX(FX_Calcs,$AA526,$AD526)</f>
        <v>N/A</v>
      </c>
      <c r="F526" t="str" cm="1">
        <f t="array" ref="F526">INDEX(FX_Calcs,$AA526,$AD526)</f>
        <v>N/A</v>
      </c>
      <c r="G526" t="str" cm="1">
        <f t="array" ref="G526">INDEX(FX_Calcs,$AA526,$AD526)</f>
        <v>N/A</v>
      </c>
      <c r="H526" t="str" cm="1">
        <f t="array" ref="H526">INDEX(FX_Calcs,$AA526,$AD526)</f>
        <v>N/A</v>
      </c>
      <c r="I526" t="str" cm="1">
        <f t="array" ref="I526">INDEX(FX_Calcs,$AA526,$AD526)</f>
        <v>N/A</v>
      </c>
      <c r="J526" t="str" cm="1">
        <f t="array" ref="J526">INDEX(FX_Calcs,$AA526,$AD526)</f>
        <v>N/A</v>
      </c>
      <c r="K526" t="str" cm="1">
        <f t="array" ref="K526">INDEX(FX_Calcs,$AA526,$AD526)</f>
        <v>N/A</v>
      </c>
      <c r="L526" t="str" cm="1">
        <f t="array" ref="L526">INDEX(FX_Calcs,$AA526,$AD526)</f>
        <v>N/A</v>
      </c>
      <c r="M526" t="str" cm="1">
        <f t="array" ref="M526">INDEX(FX_Calcs,$AA526,$AD526)</f>
        <v>N/A</v>
      </c>
      <c r="N526" t="str" cm="1">
        <f t="array" ref="N526">INDEX(FX_Calcs,$AA526,$AD526)</f>
        <v>N/A</v>
      </c>
      <c r="O526" t="str" cm="1">
        <f t="array" ref="O526">INDEX(FX_Calcs,$AA526,$AD526)</f>
        <v>N/A</v>
      </c>
      <c r="P526" t="str" cm="1">
        <f t="array" ref="P526">INDEX(FX_Calcs,$AA526,$AD526)</f>
        <v>N/A</v>
      </c>
      <c r="AA526">
        <f>AA525</f>
        <v>38</v>
      </c>
      <c r="AB526">
        <f t="shared" si="1283"/>
        <v>6</v>
      </c>
      <c r="AC526">
        <f t="shared" si="1284"/>
        <v>3</v>
      </c>
      <c r="AD526">
        <f t="shared" si="1284"/>
        <v>13</v>
      </c>
      <c r="AE526">
        <f t="shared" si="1284"/>
        <v>12</v>
      </c>
      <c r="AF526">
        <f t="shared" si="1284"/>
        <v>14</v>
      </c>
      <c r="AG526">
        <f t="shared" si="1285"/>
        <v>77</v>
      </c>
      <c r="AH526">
        <f t="shared" si="1286"/>
        <v>78</v>
      </c>
      <c r="AI526">
        <f t="shared" si="1287"/>
        <v>1</v>
      </c>
      <c r="AJ526">
        <f t="shared" si="1288"/>
        <v>2</v>
      </c>
      <c r="AK526">
        <f t="shared" si="1289"/>
        <v>1</v>
      </c>
      <c r="AL526">
        <f t="shared" si="1290"/>
        <v>76</v>
      </c>
    </row>
    <row r="527" spans="1:38" x14ac:dyDescent="0.4">
      <c r="B527" t="str">
        <f t="shared" si="1291"/>
        <v>Portland</v>
      </c>
      <c r="C527" s="66" t="s">
        <v>558</v>
      </c>
      <c r="D527" t="str" cm="1">
        <f t="array" ref="D527">INDEX(FX_Calcs,$AA527,$AF527)</f>
        <v>Insulated</v>
      </c>
      <c r="E527" t="str" cm="1">
        <f t="array" ref="E527">INDEX(FX_Calcs,$AA527,$AF527)</f>
        <v>Insulated</v>
      </c>
      <c r="F527" t="str" cm="1">
        <f t="array" ref="F527">INDEX(FX_Calcs,$AA527,$AF527)</f>
        <v>Insulated</v>
      </c>
      <c r="G527" t="str" cm="1">
        <f t="array" ref="G527">INDEX(FX_Calcs,$AA527,$AF527)</f>
        <v>Insulated</v>
      </c>
      <c r="H527" t="str" cm="1">
        <f t="array" ref="H527">INDEX(FX_Calcs,$AA527,$AF527)</f>
        <v>Insulated</v>
      </c>
      <c r="I527" t="str" cm="1">
        <f t="array" ref="I527">INDEX(FX_Calcs,$AA527,$AF527)</f>
        <v>Insulated</v>
      </c>
      <c r="J527" t="str" cm="1">
        <f t="array" ref="J527">INDEX(FX_Calcs,$AA527,$AF527)</f>
        <v>Insulated</v>
      </c>
      <c r="K527" t="str" cm="1">
        <f t="array" ref="K527">INDEX(FX_Calcs,$AA527,$AF527)</f>
        <v>Insulated</v>
      </c>
      <c r="L527" t="str" cm="1">
        <f t="array" ref="L527">INDEX(FX_Calcs,$AA527,$AF527)</f>
        <v>Insulated</v>
      </c>
      <c r="M527" t="str" cm="1">
        <f t="array" ref="M527">INDEX(FX_Calcs,$AA527,$AF527)</f>
        <v>Insulated</v>
      </c>
      <c r="N527" t="str" cm="1">
        <f t="array" ref="N527">INDEX(FX_Calcs,$AA527,$AF527)</f>
        <v>Insulated</v>
      </c>
      <c r="O527" t="str" cm="1">
        <f t="array" ref="O527">INDEX(FX_Calcs,$AA527,$AF527)</f>
        <v>Insulated</v>
      </c>
      <c r="P527" t="str" cm="1">
        <f t="array" ref="P527">INDEX(FX_Calcs,$AA527,$AF527)</f>
        <v>Insulated</v>
      </c>
      <c r="AA527">
        <f>AA526</f>
        <v>38</v>
      </c>
      <c r="AB527">
        <f t="shared" si="1283"/>
        <v>6</v>
      </c>
      <c r="AC527">
        <f t="shared" si="1284"/>
        <v>3</v>
      </c>
      <c r="AD527">
        <f t="shared" si="1284"/>
        <v>13</v>
      </c>
      <c r="AE527">
        <f t="shared" si="1284"/>
        <v>12</v>
      </c>
      <c r="AF527">
        <f t="shared" si="1284"/>
        <v>14</v>
      </c>
      <c r="AG527">
        <f t="shared" si="1285"/>
        <v>77</v>
      </c>
      <c r="AH527">
        <f t="shared" si="1286"/>
        <v>78</v>
      </c>
      <c r="AI527">
        <f t="shared" si="1287"/>
        <v>1</v>
      </c>
      <c r="AJ527">
        <f t="shared" si="1288"/>
        <v>2</v>
      </c>
      <c r="AK527">
        <f t="shared" si="1289"/>
        <v>1</v>
      </c>
      <c r="AL527">
        <f t="shared" si="1290"/>
        <v>76</v>
      </c>
    </row>
    <row r="528" spans="1:38" ht="17.149999999999999" x14ac:dyDescent="0.55000000000000004">
      <c r="B528" t="str">
        <f>B524</f>
        <v>Portland</v>
      </c>
      <c r="C528" t="s">
        <v>512</v>
      </c>
      <c r="D528">
        <f t="shared" ref="D528:P528" si="1292">D524-D523</f>
        <v>10.400000000000034</v>
      </c>
      <c r="E528">
        <f t="shared" si="1292"/>
        <v>13.199999999999989</v>
      </c>
      <c r="F528">
        <f t="shared" si="1292"/>
        <v>13.200000000000045</v>
      </c>
      <c r="G528">
        <f t="shared" si="1292"/>
        <v>13.399999999999977</v>
      </c>
      <c r="H528">
        <f t="shared" si="1292"/>
        <v>13.299999999999955</v>
      </c>
      <c r="I528">
        <f t="shared" si="1292"/>
        <v>12.500000000000057</v>
      </c>
      <c r="J528">
        <f t="shared" si="1292"/>
        <v>12.699999999999932</v>
      </c>
      <c r="K528">
        <f t="shared" si="1292"/>
        <v>13.600000000000023</v>
      </c>
      <c r="L528">
        <f t="shared" si="1292"/>
        <v>16.399999999999977</v>
      </c>
      <c r="M528">
        <f t="shared" si="1292"/>
        <v>14.699999999999989</v>
      </c>
      <c r="N528">
        <f t="shared" si="1292"/>
        <v>12.200000000000045</v>
      </c>
      <c r="O528">
        <f t="shared" si="1292"/>
        <v>10</v>
      </c>
      <c r="P528">
        <f t="shared" si="1292"/>
        <v>13</v>
      </c>
    </row>
    <row r="529" spans="1:38" x14ac:dyDescent="0.4">
      <c r="B529" t="str">
        <f t="shared" ref="B529:B536" si="1293">B528</f>
        <v>Portland</v>
      </c>
      <c r="C529" t="s">
        <v>260</v>
      </c>
      <c r="D529">
        <f t="shared" ref="D529:P529" si="1294">VLOOKUP(VLOOKUP($B529,Terminal_X_Ref,2,FALSE)&amp;$C529,Weather_Data,$Y529*D$3+$Z529,FALSE)</f>
        <v>343</v>
      </c>
      <c r="E529">
        <f t="shared" si="1294"/>
        <v>600</v>
      </c>
      <c r="F529">
        <f t="shared" si="1294"/>
        <v>877</v>
      </c>
      <c r="G529">
        <f t="shared" si="1294"/>
        <v>1252</v>
      </c>
      <c r="H529">
        <f t="shared" si="1294"/>
        <v>1537</v>
      </c>
      <c r="I529">
        <f t="shared" si="1294"/>
        <v>1627</v>
      </c>
      <c r="J529">
        <f t="shared" si="1294"/>
        <v>1708</v>
      </c>
      <c r="K529">
        <f t="shared" si="1294"/>
        <v>1492</v>
      </c>
      <c r="L529">
        <f t="shared" si="1294"/>
        <v>1196</v>
      </c>
      <c r="M529">
        <f t="shared" si="1294"/>
        <v>728</v>
      </c>
      <c r="N529">
        <f t="shared" si="1294"/>
        <v>391</v>
      </c>
      <c r="O529">
        <f t="shared" si="1294"/>
        <v>302</v>
      </c>
      <c r="P529">
        <f t="shared" si="1294"/>
        <v>1005</v>
      </c>
      <c r="U529">
        <f>U524</f>
        <v>2</v>
      </c>
      <c r="V529">
        <f t="shared" ref="V529:Z529" si="1295">V524</f>
        <v>3</v>
      </c>
      <c r="W529">
        <f t="shared" si="1295"/>
        <v>1</v>
      </c>
      <c r="X529">
        <f t="shared" si="1295"/>
        <v>2</v>
      </c>
      <c r="Y529">
        <f t="shared" si="1295"/>
        <v>1</v>
      </c>
      <c r="Z529">
        <f t="shared" si="1295"/>
        <v>1</v>
      </c>
    </row>
    <row r="530" spans="1:38" ht="17.149999999999999" x14ac:dyDescent="0.55000000000000004">
      <c r="B530" t="str">
        <f t="shared" si="1293"/>
        <v>Portland</v>
      </c>
      <c r="C530" t="s">
        <v>523</v>
      </c>
      <c r="D530">
        <f>IF(ISNUMBER(D527),0.7*D528+0.02*D527*D529,IF(D527="Partially Insulated",0.6*D528+0.02*D526*D529,0))</f>
        <v>0</v>
      </c>
      <c r="E530">
        <f t="shared" ref="E530:P530" si="1296">IF(ISNUMBER(E527),0.7*E528+0.02*E527*E529,IF(E527="Partially Insulated",0.6*E528+0.02*E526*E529,0))</f>
        <v>0</v>
      </c>
      <c r="F530">
        <f t="shared" si="1296"/>
        <v>0</v>
      </c>
      <c r="G530">
        <f t="shared" si="1296"/>
        <v>0</v>
      </c>
      <c r="H530">
        <f t="shared" si="1296"/>
        <v>0</v>
      </c>
      <c r="I530">
        <f t="shared" si="1296"/>
        <v>0</v>
      </c>
      <c r="J530">
        <f t="shared" si="1296"/>
        <v>0</v>
      </c>
      <c r="K530">
        <f t="shared" si="1296"/>
        <v>0</v>
      </c>
      <c r="L530">
        <f t="shared" si="1296"/>
        <v>0</v>
      </c>
      <c r="M530">
        <f t="shared" si="1296"/>
        <v>0</v>
      </c>
      <c r="N530">
        <f t="shared" si="1296"/>
        <v>0</v>
      </c>
      <c r="O530">
        <f t="shared" si="1296"/>
        <v>0</v>
      </c>
      <c r="P530">
        <f t="shared" si="1296"/>
        <v>0</v>
      </c>
    </row>
    <row r="531" spans="1:38" ht="17.149999999999999" x14ac:dyDescent="0.55000000000000004">
      <c r="B531" t="str">
        <f t="shared" si="1293"/>
        <v>Portland</v>
      </c>
      <c r="C531" t="s">
        <v>524</v>
      </c>
      <c r="D531">
        <f t="shared" ref="D531:F531" si="1297">AVERAGE(D523:D524)</f>
        <v>503.5</v>
      </c>
      <c r="E531">
        <f t="shared" si="1297"/>
        <v>504.30000000000007</v>
      </c>
      <c r="F531">
        <f t="shared" si="1297"/>
        <v>505.70000000000005</v>
      </c>
      <c r="G531">
        <f>AVERAGE(G523:G524)</f>
        <v>508.2</v>
      </c>
      <c r="H531">
        <f t="shared" ref="H531:P531" si="1298">AVERAGE(H523:H524)</f>
        <v>512.75</v>
      </c>
      <c r="I531">
        <f t="shared" si="1298"/>
        <v>516.55000000000007</v>
      </c>
      <c r="J531">
        <f t="shared" si="1298"/>
        <v>520.04999999999995</v>
      </c>
      <c r="K531">
        <f t="shared" si="1298"/>
        <v>520.5</v>
      </c>
      <c r="L531">
        <f t="shared" si="1298"/>
        <v>518.20000000000005</v>
      </c>
      <c r="M531">
        <f t="shared" si="1298"/>
        <v>512.25</v>
      </c>
      <c r="N531">
        <f t="shared" si="1298"/>
        <v>506.70000000000005</v>
      </c>
      <c r="O531">
        <f t="shared" si="1298"/>
        <v>503.20000000000005</v>
      </c>
      <c r="P531">
        <f t="shared" si="1298"/>
        <v>51.4</v>
      </c>
    </row>
    <row r="532" spans="1:38" ht="17.149999999999999" x14ac:dyDescent="0.55000000000000004">
      <c r="B532" t="str">
        <f t="shared" si="1293"/>
        <v>Portland</v>
      </c>
      <c r="C532" t="s">
        <v>525</v>
      </c>
      <c r="D532" cm="1">
        <f t="array" ref="D532">IFERROR(IF(ISBLANK(INDEX(FX_Input,$R523,D$3*$AK523+$AL523)),D531+0.003*D525*D529,INDEX(FX_Input,$R523,D$3*$AK523+$AL523)+459.6),D531)</f>
        <v>503.5</v>
      </c>
      <c r="E532" cm="1">
        <f t="array" ref="E532">IFERROR(IF(ISBLANK(INDEX(FX_Input,$R523,E$3*$AK523+$AL523)),E531+0.003*E525*E529,INDEX(FX_Input,$R523,E$3*$AK523+$AL523)+459.6),E531)</f>
        <v>504.30000000000007</v>
      </c>
      <c r="F532" cm="1">
        <f t="array" ref="F532">IFERROR(IF(ISBLANK(INDEX(FX_Input,$R523,F$3*$AK523+$AL523)),F531+0.003*F525*F529,INDEX(FX_Input,$R523,F$3*$AK523+$AL523)+459.6),F531)</f>
        <v>505.70000000000005</v>
      </c>
      <c r="G532" cm="1">
        <f t="array" ref="G532">IFERROR(IF(ISBLANK(INDEX(FX_Input,$R523,G$3*$AK523+$AL523)),G531+0.003*G525*G529,INDEX(FX_Input,$R523,G$3*$AK523+$AL523)+459.6),G531)</f>
        <v>508.2</v>
      </c>
      <c r="H532" cm="1">
        <f t="array" ref="H532">IFERROR(IF(ISBLANK(INDEX(FX_Input,$R523,H$3*$AK523+$AL523)),H531+0.003*H525*H529,INDEX(FX_Input,$R523,H$3*$AK523+$AL523)+459.6),H531)</f>
        <v>512.75</v>
      </c>
      <c r="I532" cm="1">
        <f t="array" ref="I532">IFERROR(IF(ISBLANK(INDEX(FX_Input,$R523,I$3*$AK523+$AL523)),I531+0.003*I525*I529,INDEX(FX_Input,$R523,I$3*$AK523+$AL523)+459.6),I531)</f>
        <v>516.55000000000007</v>
      </c>
      <c r="J532" cm="1">
        <f t="array" ref="J532">IFERROR(IF(ISBLANK(INDEX(FX_Input,$R523,J$3*$AK523+$AL523)),J531+0.003*J525*J529,INDEX(FX_Input,$R523,J$3*$AK523+$AL523)+459.6),J531)</f>
        <v>520.04999999999995</v>
      </c>
      <c r="K532" cm="1">
        <f t="array" ref="K532">IFERROR(IF(ISBLANK(INDEX(FX_Input,$R523,K$3*$AK523+$AL523)),K531+0.003*K525*K529,INDEX(FX_Input,$R523,K$3*$AK523+$AL523)+459.6),K531)</f>
        <v>520.5</v>
      </c>
      <c r="L532" cm="1">
        <f t="array" ref="L532">IFERROR(IF(ISBLANK(INDEX(FX_Input,$R523,L$3*$AK523+$AL523)),L531+0.003*L525*L529,INDEX(FX_Input,$R523,L$3*$AK523+$AL523)+459.6),L531)</f>
        <v>518.20000000000005</v>
      </c>
      <c r="M532" cm="1">
        <f t="array" ref="M532">IFERROR(IF(ISBLANK(INDEX(FX_Input,$R523,M$3*$AK523+$AL523)),M531+0.003*M525*M529,INDEX(FX_Input,$R523,M$3*$AK523+$AL523)+459.6),M531)</f>
        <v>512.25</v>
      </c>
      <c r="N532" cm="1">
        <f t="array" ref="N532">IFERROR(IF(ISBLANK(INDEX(FX_Input,$R523,N$3*$AK523+$AL523)),N531+0.003*N525*N529,INDEX(FX_Input,$R523,N$3*$AK523+$AL523)+459.6),N531)</f>
        <v>506.70000000000005</v>
      </c>
      <c r="O532" cm="1">
        <f t="array" ref="O532">IFERROR(IF(ISBLANK(INDEX(FX_Input,$R523,O$3*$AK523+$AL523)),O531+0.003*O525*O529,INDEX(FX_Input,$R523,O$3*$AK523+$AL523)+459.6),O531)</f>
        <v>503.20000000000005</v>
      </c>
      <c r="P532" cm="1">
        <f t="array" ref="P532">IFERROR(IF(ISBLANK(INDEX(FX_Input,$R523,P$3*$AK523+$AL523)),P531+0.003*P525*P529,INDEX(FX_Input,$R523,P$3*$AK523+$AL523)+459.6),P531)</f>
        <v>1403.6</v>
      </c>
    </row>
    <row r="533" spans="1:38" ht="17.149999999999999" x14ac:dyDescent="0.55000000000000004">
      <c r="B533" t="str">
        <f t="shared" si="1293"/>
        <v>Portland</v>
      </c>
      <c r="C533" t="s">
        <v>526</v>
      </c>
      <c r="D533">
        <f>IF(ISNUMBER(D527),0.4*D523+0.6*D532+0.005*D527*D529,IF(D527="Partially Insulated",0.3*D531+0.7*D532+0.005*D526*D529,D532))-459.6</f>
        <v>43.899999999999977</v>
      </c>
      <c r="E533">
        <f t="shared" ref="E533" si="1299">IF(ISNUMBER(E527),0.4*E523+0.6*E532+0.005*E527*E529,IF(E527="Partially Insulated",0.3*E531+0.7*E532+0.005*E526*E529,E532))-459.6</f>
        <v>44.700000000000045</v>
      </c>
      <c r="F533">
        <f t="shared" ref="F533" si="1300">IF(ISNUMBER(F527),0.4*F523+0.6*F532+0.005*F527*F529,IF(F527="Partially Insulated",0.3*F531+0.7*F532+0.005*F526*F529,F532))-459.6</f>
        <v>46.100000000000023</v>
      </c>
      <c r="G533">
        <f t="shared" ref="G533" si="1301">IF(ISNUMBER(G527),0.4*G523+0.6*G532+0.005*G527*G529,IF(G527="Partially Insulated",0.3*G531+0.7*G532+0.005*G526*G529,G532))-459.6</f>
        <v>48.599999999999966</v>
      </c>
      <c r="H533">
        <f t="shared" ref="H533" si="1302">IF(ISNUMBER(H527),0.4*H523+0.6*H532+0.005*H527*H529,IF(H527="Partially Insulated",0.3*H531+0.7*H532+0.005*H526*H529,H532))-459.6</f>
        <v>53.149999999999977</v>
      </c>
      <c r="I533">
        <f t="shared" ref="I533" si="1303">IF(ISNUMBER(I527),0.4*I523+0.6*I532+0.005*I527*I529,IF(I527="Partially Insulated",0.3*I531+0.7*I532+0.005*I526*I529,I532))-459.6</f>
        <v>56.950000000000045</v>
      </c>
      <c r="J533">
        <f t="shared" ref="J533" si="1304">IF(ISNUMBER(J527),0.4*J523+0.6*J532+0.005*J527*J529,IF(J527="Partially Insulated",0.3*J531+0.7*J532+0.005*J526*J529,J532))-459.6</f>
        <v>60.449999999999932</v>
      </c>
      <c r="K533">
        <f t="shared" ref="K533" si="1305">IF(ISNUMBER(K527),0.4*K523+0.6*K532+0.005*K527*K529,IF(K527="Partially Insulated",0.3*K531+0.7*K532+0.005*K526*K529,K532))-459.6</f>
        <v>60.899999999999977</v>
      </c>
      <c r="L533">
        <f t="shared" ref="L533" si="1306">IF(ISNUMBER(L527),0.4*L523+0.6*L532+0.005*L527*L529,IF(L527="Partially Insulated",0.3*L531+0.7*L532+0.005*L526*L529,L532))-459.6</f>
        <v>58.600000000000023</v>
      </c>
      <c r="M533">
        <f t="shared" ref="M533" si="1307">IF(ISNUMBER(M527),0.4*M523+0.6*M532+0.005*M527*M529,IF(M527="Partially Insulated",0.3*M531+0.7*M532+0.005*M526*M529,M532))-459.6</f>
        <v>52.649999999999977</v>
      </c>
      <c r="N533">
        <f t="shared" ref="N533" si="1308">IF(ISNUMBER(N527),0.4*N523+0.6*N532+0.005*N527*N529,IF(N527="Partially Insulated",0.3*N531+0.7*N532+0.005*N526*N529,N532))-459.6</f>
        <v>47.100000000000023</v>
      </c>
      <c r="O533">
        <f t="shared" ref="O533" si="1309">IF(ISNUMBER(O527),0.4*O523+0.6*O532+0.005*O527*O529,IF(O527="Partially Insulated",0.3*O531+0.7*O532+0.005*O526*O529,O532))-459.6</f>
        <v>43.600000000000023</v>
      </c>
      <c r="P533">
        <f>AVERAGE(D533:O533)</f>
        <v>51.391666666666673</v>
      </c>
    </row>
    <row r="534" spans="1:38" ht="17.149999999999999" x14ac:dyDescent="0.55000000000000004">
      <c r="B534" t="str">
        <f t="shared" si="1293"/>
        <v>Portland</v>
      </c>
      <c r="C534" t="s">
        <v>527</v>
      </c>
      <c r="D534">
        <f>IF(ISNUMBER(D527),0.4*D524+0.6*D532+0.005*D527*D529,IF(D527="Partially Insulated",0.3*D531+0.7*D532+0.005*D526*D529,D532))-459.6</f>
        <v>43.899999999999977</v>
      </c>
      <c r="E534">
        <f t="shared" ref="E534:O534" si="1310">IF(ISNUMBER(E527),0.4*E524+0.6*E532+0.005*E527*E529,IF(E527="Partially Insulated",0.3*E531+0.7*E532+0.005*E526*E529,E532))-459.6</f>
        <v>44.700000000000045</v>
      </c>
      <c r="F534">
        <f t="shared" si="1310"/>
        <v>46.100000000000023</v>
      </c>
      <c r="G534">
        <f t="shared" si="1310"/>
        <v>48.599999999999966</v>
      </c>
      <c r="H534">
        <f t="shared" si="1310"/>
        <v>53.149999999999977</v>
      </c>
      <c r="I534">
        <f t="shared" si="1310"/>
        <v>56.950000000000045</v>
      </c>
      <c r="J534">
        <f t="shared" si="1310"/>
        <v>60.449999999999932</v>
      </c>
      <c r="K534">
        <f t="shared" si="1310"/>
        <v>60.899999999999977</v>
      </c>
      <c r="L534">
        <f t="shared" si="1310"/>
        <v>58.600000000000023</v>
      </c>
      <c r="M534">
        <f t="shared" si="1310"/>
        <v>52.649999999999977</v>
      </c>
      <c r="N534">
        <f t="shared" si="1310"/>
        <v>47.100000000000023</v>
      </c>
      <c r="O534">
        <f t="shared" si="1310"/>
        <v>43.600000000000023</v>
      </c>
      <c r="P534">
        <f>AVERAGE(D534:O534)</f>
        <v>51.391666666666673</v>
      </c>
    </row>
    <row r="535" spans="1:38" ht="17.149999999999999" x14ac:dyDescent="0.55000000000000004">
      <c r="B535" t="str">
        <f t="shared" si="1293"/>
        <v>Portland</v>
      </c>
      <c r="C535" t="s">
        <v>552</v>
      </c>
      <c r="D535">
        <f>IF(ISNUMBER(D527),0.4*D531+0.6*D532+0.005*D527*D529,IF(D527="Partially Insulated",0.3*D531+0.7*D532+0.005*D526*D529,D532))-459.6</f>
        <v>43.899999999999977</v>
      </c>
      <c r="E535">
        <f t="shared" ref="E535:O535" si="1311">IF(ISNUMBER(E527),0.4*E531+0.6*E532+0.005*E527*E529,IF(E527="Partially Insulated",0.3*E531+0.7*E532+0.005*E526*E529,E532))-459.6</f>
        <v>44.700000000000045</v>
      </c>
      <c r="F535">
        <f t="shared" si="1311"/>
        <v>46.100000000000023</v>
      </c>
      <c r="G535">
        <f t="shared" si="1311"/>
        <v>48.599999999999966</v>
      </c>
      <c r="H535">
        <f t="shared" si="1311"/>
        <v>53.149999999999977</v>
      </c>
      <c r="I535">
        <f t="shared" si="1311"/>
        <v>56.950000000000045</v>
      </c>
      <c r="J535">
        <f t="shared" si="1311"/>
        <v>60.449999999999932</v>
      </c>
      <c r="K535">
        <f t="shared" si="1311"/>
        <v>60.899999999999977</v>
      </c>
      <c r="L535">
        <f t="shared" si="1311"/>
        <v>58.600000000000023</v>
      </c>
      <c r="M535">
        <f t="shared" si="1311"/>
        <v>52.649999999999977</v>
      </c>
      <c r="N535">
        <f t="shared" si="1311"/>
        <v>47.100000000000023</v>
      </c>
      <c r="O535">
        <f t="shared" si="1311"/>
        <v>43.600000000000023</v>
      </c>
      <c r="P535">
        <f>AVERAGE(D535:O535)</f>
        <v>51.391666666666673</v>
      </c>
    </row>
    <row r="536" spans="1:38" ht="17.149999999999999" x14ac:dyDescent="0.55000000000000004">
      <c r="A536" s="11"/>
      <c r="B536" s="11" t="str">
        <f t="shared" si="1293"/>
        <v>Portland</v>
      </c>
      <c r="C536" s="11" t="s">
        <v>553</v>
      </c>
      <c r="D536" s="11">
        <f>IF(ISNUMBER(D527),0.7*D531+0.3*D532+0.009*D527*D529,IF(D527="Partially Insulated",0.6*D531+0.4*D532+0.01*D526*D529,D532))-459.6</f>
        <v>43.899999999999977</v>
      </c>
      <c r="E536" s="11">
        <f t="shared" ref="E536:O536" si="1312">IF(ISNUMBER(E527),0.7*E531+0.3*E532+0.009*E527*E529,IF(E527="Partially Insulated",0.6*E531+0.4*E532+0.01*E526*E529,E532))-459.6</f>
        <v>44.700000000000045</v>
      </c>
      <c r="F536" s="11">
        <f t="shared" si="1312"/>
        <v>46.100000000000023</v>
      </c>
      <c r="G536" s="11">
        <f t="shared" si="1312"/>
        <v>48.599999999999966</v>
      </c>
      <c r="H536" s="11">
        <f t="shared" si="1312"/>
        <v>53.149999999999977</v>
      </c>
      <c r="I536" s="11">
        <f t="shared" si="1312"/>
        <v>56.950000000000045</v>
      </c>
      <c r="J536" s="11">
        <f t="shared" si="1312"/>
        <v>60.449999999999932</v>
      </c>
      <c r="K536" s="11">
        <f t="shared" si="1312"/>
        <v>60.899999999999977</v>
      </c>
      <c r="L536" s="11">
        <f t="shared" si="1312"/>
        <v>58.600000000000023</v>
      </c>
      <c r="M536" s="11">
        <f t="shared" si="1312"/>
        <v>52.649999999999977</v>
      </c>
      <c r="N536" s="11">
        <f t="shared" si="1312"/>
        <v>47.100000000000023</v>
      </c>
      <c r="O536" s="11">
        <f t="shared" si="1312"/>
        <v>43.600000000000023</v>
      </c>
      <c r="P536" s="11">
        <f>AVERAGE(D536:O536)</f>
        <v>51.391666666666673</v>
      </c>
      <c r="Q536" s="11"/>
      <c r="R536" s="11"/>
      <c r="S536" s="11"/>
      <c r="T536" s="11"/>
      <c r="U536" s="11"/>
      <c r="V536" s="11"/>
      <c r="W536" s="11"/>
      <c r="X536" s="11"/>
      <c r="Y536" s="11"/>
      <c r="Z536" s="11"/>
      <c r="AA536" s="11"/>
      <c r="AB536" s="11"/>
      <c r="AC536" s="11"/>
      <c r="AD536" s="11"/>
      <c r="AE536" s="11"/>
      <c r="AF536" s="11"/>
      <c r="AG536" s="11"/>
      <c r="AH536" s="11"/>
      <c r="AI536" s="11"/>
      <c r="AJ536" s="11"/>
      <c r="AK536" s="11"/>
      <c r="AL536" s="11"/>
    </row>
    <row r="537" spans="1:38" ht="17.149999999999999" x14ac:dyDescent="0.55000000000000004">
      <c r="A537" t="str" cm="1">
        <f t="array" ref="A537">INDEX(FX_Input,$R537,S$5)</f>
        <v>FX - 39</v>
      </c>
      <c r="B537" t="str" cm="1">
        <f t="array" ref="B537">INDEX(FX_Input,R537,T537)</f>
        <v>Portland</v>
      </c>
      <c r="C537" t="s">
        <v>510</v>
      </c>
      <c r="D537">
        <f t="shared" ref="D537:O538" si="1313">VLOOKUP(VLOOKUP($B537,Terminal_X_Ref,2,FALSE)&amp;$C537,Weather_Data,$Y537*D$3+$Z537,FALSE)+459.6</f>
        <v>498.3</v>
      </c>
      <c r="E537">
        <f t="shared" si="1313"/>
        <v>497.70000000000005</v>
      </c>
      <c r="F537">
        <f t="shared" si="1313"/>
        <v>499.1</v>
      </c>
      <c r="G537">
        <f t="shared" si="1313"/>
        <v>501.5</v>
      </c>
      <c r="H537">
        <f t="shared" si="1313"/>
        <v>506.1</v>
      </c>
      <c r="I537">
        <f t="shared" si="1313"/>
        <v>510.3</v>
      </c>
      <c r="J537">
        <f t="shared" si="1313"/>
        <v>513.70000000000005</v>
      </c>
      <c r="K537">
        <f t="shared" si="1313"/>
        <v>513.70000000000005</v>
      </c>
      <c r="L537">
        <f t="shared" si="1313"/>
        <v>510</v>
      </c>
      <c r="M537">
        <f t="shared" si="1313"/>
        <v>504.90000000000003</v>
      </c>
      <c r="N537">
        <f t="shared" si="1313"/>
        <v>500.6</v>
      </c>
      <c r="O537">
        <f t="shared" si="1313"/>
        <v>498.20000000000005</v>
      </c>
      <c r="P537">
        <f t="shared" ref="P537:P538" si="1314">VLOOKUP(VLOOKUP($B537,Terminal_X_Ref,2,FALSE)&amp;$C537,Weather_Data,$Y537*P$3+$Z537,FALSE)</f>
        <v>44.9</v>
      </c>
      <c r="R537">
        <f>R523+2</f>
        <v>77</v>
      </c>
      <c r="S537">
        <f>S523+1</f>
        <v>39</v>
      </c>
      <c r="T537">
        <v>3</v>
      </c>
      <c r="U537">
        <v>2</v>
      </c>
      <c r="V537">
        <v>3</v>
      </c>
      <c r="W537">
        <v>1</v>
      </c>
      <c r="X537">
        <v>2</v>
      </c>
      <c r="Y537">
        <f>(V537-U537)/(X537-W537)</f>
        <v>1</v>
      </c>
      <c r="Z537">
        <f>U537-Y537*W537</f>
        <v>1</v>
      </c>
      <c r="AA537">
        <f>AA523+1</f>
        <v>39</v>
      </c>
      <c r="AB537">
        <v>6</v>
      </c>
      <c r="AC537">
        <v>3</v>
      </c>
      <c r="AD537">
        <v>13</v>
      </c>
      <c r="AE537">
        <v>12</v>
      </c>
      <c r="AF537">
        <v>14</v>
      </c>
      <c r="AG537">
        <v>77</v>
      </c>
      <c r="AH537">
        <v>78</v>
      </c>
      <c r="AI537">
        <v>1</v>
      </c>
      <c r="AJ537">
        <v>2</v>
      </c>
      <c r="AK537">
        <f>(AH537-AG537)/(AJ537-AI537)</f>
        <v>1</v>
      </c>
      <c r="AL537">
        <f>AG537-AK537*AI537</f>
        <v>76</v>
      </c>
    </row>
    <row r="538" spans="1:38" ht="17.149999999999999" x14ac:dyDescent="0.55000000000000004">
      <c r="B538" t="str">
        <f t="shared" ref="B538" si="1315">B537</f>
        <v>Portland</v>
      </c>
      <c r="C538" t="s">
        <v>511</v>
      </c>
      <c r="D538">
        <f t="shared" si="1313"/>
        <v>508.70000000000005</v>
      </c>
      <c r="E538">
        <f t="shared" si="1313"/>
        <v>510.90000000000003</v>
      </c>
      <c r="F538">
        <f t="shared" si="1313"/>
        <v>512.30000000000007</v>
      </c>
      <c r="G538">
        <f t="shared" si="1313"/>
        <v>514.9</v>
      </c>
      <c r="H538">
        <f t="shared" si="1313"/>
        <v>519.4</v>
      </c>
      <c r="I538">
        <f t="shared" si="1313"/>
        <v>522.80000000000007</v>
      </c>
      <c r="J538">
        <f t="shared" si="1313"/>
        <v>526.4</v>
      </c>
      <c r="K538">
        <f t="shared" si="1313"/>
        <v>527.30000000000007</v>
      </c>
      <c r="L538">
        <f t="shared" si="1313"/>
        <v>526.4</v>
      </c>
      <c r="M538">
        <f t="shared" si="1313"/>
        <v>519.6</v>
      </c>
      <c r="N538">
        <f t="shared" si="1313"/>
        <v>512.80000000000007</v>
      </c>
      <c r="O538">
        <f t="shared" si="1313"/>
        <v>508.20000000000005</v>
      </c>
      <c r="P538">
        <f t="shared" si="1314"/>
        <v>57.9</v>
      </c>
      <c r="U538">
        <f>U537</f>
        <v>2</v>
      </c>
      <c r="V538">
        <f t="shared" ref="V538:Z538" si="1316">V537</f>
        <v>3</v>
      </c>
      <c r="W538">
        <f t="shared" si="1316"/>
        <v>1</v>
      </c>
      <c r="X538">
        <f t="shared" si="1316"/>
        <v>2</v>
      </c>
      <c r="Y538">
        <f t="shared" si="1316"/>
        <v>1</v>
      </c>
      <c r="Z538">
        <f t="shared" si="1316"/>
        <v>1</v>
      </c>
      <c r="AA538">
        <f>AA537</f>
        <v>39</v>
      </c>
      <c r="AB538">
        <f t="shared" ref="AB538:AB541" si="1317">AB537</f>
        <v>6</v>
      </c>
      <c r="AC538">
        <f t="shared" ref="AC538:AF541" si="1318">AC537</f>
        <v>3</v>
      </c>
      <c r="AD538">
        <f t="shared" si="1318"/>
        <v>13</v>
      </c>
      <c r="AE538">
        <f t="shared" si="1318"/>
        <v>12</v>
      </c>
      <c r="AF538">
        <f t="shared" si="1318"/>
        <v>14</v>
      </c>
      <c r="AG538">
        <f t="shared" ref="AG538:AG541" si="1319">AG537</f>
        <v>77</v>
      </c>
      <c r="AH538">
        <f t="shared" ref="AH538:AH541" si="1320">AH537</f>
        <v>78</v>
      </c>
      <c r="AI538">
        <f t="shared" ref="AI538:AI541" si="1321">AI537</f>
        <v>1</v>
      </c>
      <c r="AJ538">
        <f t="shared" ref="AJ538:AJ541" si="1322">AJ537</f>
        <v>2</v>
      </c>
      <c r="AK538">
        <f t="shared" ref="AK538:AK541" si="1323">AK537</f>
        <v>1</v>
      </c>
      <c r="AL538">
        <f t="shared" ref="AL538:AL541" si="1324">AL537</f>
        <v>76</v>
      </c>
    </row>
    <row r="539" spans="1:38" ht="17.149999999999999" x14ac:dyDescent="0.4">
      <c r="B539" t="str">
        <f>B538</f>
        <v>Portland</v>
      </c>
      <c r="C539" s="66" t="s">
        <v>514</v>
      </c>
      <c r="D539" t="str" cm="1">
        <f t="array" ref="D539">INDEX(FX_Calcs,$AA539,$AE539)</f>
        <v>N/A</v>
      </c>
      <c r="E539" t="str" cm="1">
        <f t="array" ref="E539">INDEX(FX_Calcs,$AA539,$AE539)</f>
        <v>N/A</v>
      </c>
      <c r="F539" t="str" cm="1">
        <f t="array" ref="F539">INDEX(FX_Calcs,$AA539,$AE539)</f>
        <v>N/A</v>
      </c>
      <c r="G539" t="str" cm="1">
        <f t="array" ref="G539">INDEX(FX_Calcs,$AA539,$AE539)</f>
        <v>N/A</v>
      </c>
      <c r="H539" t="str" cm="1">
        <f t="array" ref="H539">INDEX(FX_Calcs,$AA539,$AE539)</f>
        <v>N/A</v>
      </c>
      <c r="I539" t="str" cm="1">
        <f t="array" ref="I539">INDEX(FX_Calcs,$AA539,$AE539)</f>
        <v>N/A</v>
      </c>
      <c r="J539" t="str" cm="1">
        <f t="array" ref="J539">INDEX(FX_Calcs,$AA539,$AE539)</f>
        <v>N/A</v>
      </c>
      <c r="K539" t="str" cm="1">
        <f t="array" ref="K539">INDEX(FX_Calcs,$AA539,$AE539)</f>
        <v>N/A</v>
      </c>
      <c r="L539" t="str" cm="1">
        <f t="array" ref="L539">INDEX(FX_Calcs,$AA539,$AE539)</f>
        <v>N/A</v>
      </c>
      <c r="M539" t="str" cm="1">
        <f t="array" ref="M539">INDEX(FX_Calcs,$AA539,$AE539)</f>
        <v>N/A</v>
      </c>
      <c r="N539" t="str" cm="1">
        <f t="array" ref="N539">INDEX(FX_Calcs,$AA539,$AE539)</f>
        <v>N/A</v>
      </c>
      <c r="O539" t="str" cm="1">
        <f t="array" ref="O539">INDEX(FX_Calcs,$AA539,$AE539)</f>
        <v>N/A</v>
      </c>
      <c r="P539" t="str" cm="1">
        <f t="array" ref="P539">INDEX(FX_Calcs,$AA539,$AE539)</f>
        <v>N/A</v>
      </c>
      <c r="AA539">
        <f>AA538</f>
        <v>39</v>
      </c>
      <c r="AB539">
        <f t="shared" si="1317"/>
        <v>6</v>
      </c>
      <c r="AC539">
        <f t="shared" si="1318"/>
        <v>3</v>
      </c>
      <c r="AD539">
        <f t="shared" si="1318"/>
        <v>13</v>
      </c>
      <c r="AE539">
        <f t="shared" si="1318"/>
        <v>12</v>
      </c>
      <c r="AF539">
        <f t="shared" si="1318"/>
        <v>14</v>
      </c>
      <c r="AG539">
        <f t="shared" si="1319"/>
        <v>77</v>
      </c>
      <c r="AH539">
        <f t="shared" si="1320"/>
        <v>78</v>
      </c>
      <c r="AI539">
        <f t="shared" si="1321"/>
        <v>1</v>
      </c>
      <c r="AJ539">
        <f t="shared" si="1322"/>
        <v>2</v>
      </c>
      <c r="AK539">
        <f t="shared" si="1323"/>
        <v>1</v>
      </c>
      <c r="AL539">
        <f t="shared" si="1324"/>
        <v>76</v>
      </c>
    </row>
    <row r="540" spans="1:38" ht="17.149999999999999" x14ac:dyDescent="0.4">
      <c r="B540" t="str">
        <f t="shared" ref="B540:B541" si="1325">B539</f>
        <v>Portland</v>
      </c>
      <c r="C540" s="66" t="s">
        <v>513</v>
      </c>
      <c r="D540" t="str" cm="1">
        <f t="array" ref="D540">INDEX(FX_Calcs,$AA540,$AD540)</f>
        <v>N/A</v>
      </c>
      <c r="E540" t="str" cm="1">
        <f t="array" ref="E540">INDEX(FX_Calcs,$AA540,$AD540)</f>
        <v>N/A</v>
      </c>
      <c r="F540" t="str" cm="1">
        <f t="array" ref="F540">INDEX(FX_Calcs,$AA540,$AD540)</f>
        <v>N/A</v>
      </c>
      <c r="G540" t="str" cm="1">
        <f t="array" ref="G540">INDEX(FX_Calcs,$AA540,$AD540)</f>
        <v>N/A</v>
      </c>
      <c r="H540" t="str" cm="1">
        <f t="array" ref="H540">INDEX(FX_Calcs,$AA540,$AD540)</f>
        <v>N/A</v>
      </c>
      <c r="I540" t="str" cm="1">
        <f t="array" ref="I540">INDEX(FX_Calcs,$AA540,$AD540)</f>
        <v>N/A</v>
      </c>
      <c r="J540" t="str" cm="1">
        <f t="array" ref="J540">INDEX(FX_Calcs,$AA540,$AD540)</f>
        <v>N/A</v>
      </c>
      <c r="K540" t="str" cm="1">
        <f t="array" ref="K540">INDEX(FX_Calcs,$AA540,$AD540)</f>
        <v>N/A</v>
      </c>
      <c r="L540" t="str" cm="1">
        <f t="array" ref="L540">INDEX(FX_Calcs,$AA540,$AD540)</f>
        <v>N/A</v>
      </c>
      <c r="M540" t="str" cm="1">
        <f t="array" ref="M540">INDEX(FX_Calcs,$AA540,$AD540)</f>
        <v>N/A</v>
      </c>
      <c r="N540" t="str" cm="1">
        <f t="array" ref="N540">INDEX(FX_Calcs,$AA540,$AD540)</f>
        <v>N/A</v>
      </c>
      <c r="O540" t="str" cm="1">
        <f t="array" ref="O540">INDEX(FX_Calcs,$AA540,$AD540)</f>
        <v>N/A</v>
      </c>
      <c r="P540" t="str" cm="1">
        <f t="array" ref="P540">INDEX(FX_Calcs,$AA540,$AD540)</f>
        <v>N/A</v>
      </c>
      <c r="AA540">
        <f>AA539</f>
        <v>39</v>
      </c>
      <c r="AB540">
        <f t="shared" si="1317"/>
        <v>6</v>
      </c>
      <c r="AC540">
        <f t="shared" si="1318"/>
        <v>3</v>
      </c>
      <c r="AD540">
        <f t="shared" si="1318"/>
        <v>13</v>
      </c>
      <c r="AE540">
        <f t="shared" si="1318"/>
        <v>12</v>
      </c>
      <c r="AF540">
        <f t="shared" si="1318"/>
        <v>14</v>
      </c>
      <c r="AG540">
        <f t="shared" si="1319"/>
        <v>77</v>
      </c>
      <c r="AH540">
        <f t="shared" si="1320"/>
        <v>78</v>
      </c>
      <c r="AI540">
        <f t="shared" si="1321"/>
        <v>1</v>
      </c>
      <c r="AJ540">
        <f t="shared" si="1322"/>
        <v>2</v>
      </c>
      <c r="AK540">
        <f t="shared" si="1323"/>
        <v>1</v>
      </c>
      <c r="AL540">
        <f t="shared" si="1324"/>
        <v>76</v>
      </c>
    </row>
    <row r="541" spans="1:38" x14ac:dyDescent="0.4">
      <c r="B541" t="str">
        <f t="shared" si="1325"/>
        <v>Portland</v>
      </c>
      <c r="C541" s="66" t="s">
        <v>558</v>
      </c>
      <c r="D541" t="str" cm="1">
        <f t="array" ref="D541">INDEX(FX_Calcs,$AA541,$AF541)</f>
        <v>Insulated</v>
      </c>
      <c r="E541" t="str" cm="1">
        <f t="array" ref="E541">INDEX(FX_Calcs,$AA541,$AF541)</f>
        <v>Insulated</v>
      </c>
      <c r="F541" t="str" cm="1">
        <f t="array" ref="F541">INDEX(FX_Calcs,$AA541,$AF541)</f>
        <v>Insulated</v>
      </c>
      <c r="G541" t="str" cm="1">
        <f t="array" ref="G541">INDEX(FX_Calcs,$AA541,$AF541)</f>
        <v>Insulated</v>
      </c>
      <c r="H541" t="str" cm="1">
        <f t="array" ref="H541">INDEX(FX_Calcs,$AA541,$AF541)</f>
        <v>Insulated</v>
      </c>
      <c r="I541" t="str" cm="1">
        <f t="array" ref="I541">INDEX(FX_Calcs,$AA541,$AF541)</f>
        <v>Insulated</v>
      </c>
      <c r="J541" t="str" cm="1">
        <f t="array" ref="J541">INDEX(FX_Calcs,$AA541,$AF541)</f>
        <v>Insulated</v>
      </c>
      <c r="K541" t="str" cm="1">
        <f t="array" ref="K541">INDEX(FX_Calcs,$AA541,$AF541)</f>
        <v>Insulated</v>
      </c>
      <c r="L541" t="str" cm="1">
        <f t="array" ref="L541">INDEX(FX_Calcs,$AA541,$AF541)</f>
        <v>Insulated</v>
      </c>
      <c r="M541" t="str" cm="1">
        <f t="array" ref="M541">INDEX(FX_Calcs,$AA541,$AF541)</f>
        <v>Insulated</v>
      </c>
      <c r="N541" t="str" cm="1">
        <f t="array" ref="N541">INDEX(FX_Calcs,$AA541,$AF541)</f>
        <v>Insulated</v>
      </c>
      <c r="O541" t="str" cm="1">
        <f t="array" ref="O541">INDEX(FX_Calcs,$AA541,$AF541)</f>
        <v>Insulated</v>
      </c>
      <c r="P541" t="str" cm="1">
        <f t="array" ref="P541">INDEX(FX_Calcs,$AA541,$AF541)</f>
        <v>Insulated</v>
      </c>
      <c r="AA541">
        <f>AA540</f>
        <v>39</v>
      </c>
      <c r="AB541">
        <f t="shared" si="1317"/>
        <v>6</v>
      </c>
      <c r="AC541">
        <f t="shared" si="1318"/>
        <v>3</v>
      </c>
      <c r="AD541">
        <f t="shared" si="1318"/>
        <v>13</v>
      </c>
      <c r="AE541">
        <f t="shared" si="1318"/>
        <v>12</v>
      </c>
      <c r="AF541">
        <f t="shared" si="1318"/>
        <v>14</v>
      </c>
      <c r="AG541">
        <f t="shared" si="1319"/>
        <v>77</v>
      </c>
      <c r="AH541">
        <f t="shared" si="1320"/>
        <v>78</v>
      </c>
      <c r="AI541">
        <f t="shared" si="1321"/>
        <v>1</v>
      </c>
      <c r="AJ541">
        <f t="shared" si="1322"/>
        <v>2</v>
      </c>
      <c r="AK541">
        <f t="shared" si="1323"/>
        <v>1</v>
      </c>
      <c r="AL541">
        <f t="shared" si="1324"/>
        <v>76</v>
      </c>
    </row>
    <row r="542" spans="1:38" ht="17.149999999999999" x14ac:dyDescent="0.55000000000000004">
      <c r="B542" t="str">
        <f>B538</f>
        <v>Portland</v>
      </c>
      <c r="C542" t="s">
        <v>512</v>
      </c>
      <c r="D542">
        <f t="shared" ref="D542:P542" si="1326">D538-D537</f>
        <v>10.400000000000034</v>
      </c>
      <c r="E542">
        <f t="shared" si="1326"/>
        <v>13.199999999999989</v>
      </c>
      <c r="F542">
        <f t="shared" si="1326"/>
        <v>13.200000000000045</v>
      </c>
      <c r="G542">
        <f t="shared" si="1326"/>
        <v>13.399999999999977</v>
      </c>
      <c r="H542">
        <f t="shared" si="1326"/>
        <v>13.299999999999955</v>
      </c>
      <c r="I542">
        <f t="shared" si="1326"/>
        <v>12.500000000000057</v>
      </c>
      <c r="J542">
        <f t="shared" si="1326"/>
        <v>12.699999999999932</v>
      </c>
      <c r="K542">
        <f t="shared" si="1326"/>
        <v>13.600000000000023</v>
      </c>
      <c r="L542">
        <f t="shared" si="1326"/>
        <v>16.399999999999977</v>
      </c>
      <c r="M542">
        <f t="shared" si="1326"/>
        <v>14.699999999999989</v>
      </c>
      <c r="N542">
        <f t="shared" si="1326"/>
        <v>12.200000000000045</v>
      </c>
      <c r="O542">
        <f t="shared" si="1326"/>
        <v>10</v>
      </c>
      <c r="P542">
        <f t="shared" si="1326"/>
        <v>13</v>
      </c>
    </row>
    <row r="543" spans="1:38" x14ac:dyDescent="0.4">
      <c r="B543" t="str">
        <f t="shared" ref="B543:B550" si="1327">B542</f>
        <v>Portland</v>
      </c>
      <c r="C543" t="s">
        <v>260</v>
      </c>
      <c r="D543">
        <f t="shared" ref="D543:P543" si="1328">VLOOKUP(VLOOKUP($B543,Terminal_X_Ref,2,FALSE)&amp;$C543,Weather_Data,$Y543*D$3+$Z543,FALSE)</f>
        <v>343</v>
      </c>
      <c r="E543">
        <f t="shared" si="1328"/>
        <v>600</v>
      </c>
      <c r="F543">
        <f t="shared" si="1328"/>
        <v>877</v>
      </c>
      <c r="G543">
        <f t="shared" si="1328"/>
        <v>1252</v>
      </c>
      <c r="H543">
        <f t="shared" si="1328"/>
        <v>1537</v>
      </c>
      <c r="I543">
        <f t="shared" si="1328"/>
        <v>1627</v>
      </c>
      <c r="J543">
        <f t="shared" si="1328"/>
        <v>1708</v>
      </c>
      <c r="K543">
        <f t="shared" si="1328"/>
        <v>1492</v>
      </c>
      <c r="L543">
        <f t="shared" si="1328"/>
        <v>1196</v>
      </c>
      <c r="M543">
        <f t="shared" si="1328"/>
        <v>728</v>
      </c>
      <c r="N543">
        <f t="shared" si="1328"/>
        <v>391</v>
      </c>
      <c r="O543">
        <f t="shared" si="1328"/>
        <v>302</v>
      </c>
      <c r="P543">
        <f t="shared" si="1328"/>
        <v>1005</v>
      </c>
      <c r="U543">
        <f>U538</f>
        <v>2</v>
      </c>
      <c r="V543">
        <f t="shared" ref="V543:Z543" si="1329">V538</f>
        <v>3</v>
      </c>
      <c r="W543">
        <f t="shared" si="1329"/>
        <v>1</v>
      </c>
      <c r="X543">
        <f t="shared" si="1329"/>
        <v>2</v>
      </c>
      <c r="Y543">
        <f t="shared" si="1329"/>
        <v>1</v>
      </c>
      <c r="Z543">
        <f t="shared" si="1329"/>
        <v>1</v>
      </c>
    </row>
    <row r="544" spans="1:38" ht="17.149999999999999" x14ac:dyDescent="0.55000000000000004">
      <c r="B544" t="str">
        <f t="shared" si="1327"/>
        <v>Portland</v>
      </c>
      <c r="C544" t="s">
        <v>523</v>
      </c>
      <c r="D544">
        <f>IF(ISNUMBER(D541),0.7*D542+0.02*D541*D543,IF(D541="Partially Insulated",0.6*D542+0.02*D540*D543,0))</f>
        <v>0</v>
      </c>
      <c r="E544">
        <f t="shared" ref="E544:P544" si="1330">IF(ISNUMBER(E541),0.7*E542+0.02*E541*E543,IF(E541="Partially Insulated",0.6*E542+0.02*E540*E543,0))</f>
        <v>0</v>
      </c>
      <c r="F544">
        <f t="shared" si="1330"/>
        <v>0</v>
      </c>
      <c r="G544">
        <f t="shared" si="1330"/>
        <v>0</v>
      </c>
      <c r="H544">
        <f t="shared" si="1330"/>
        <v>0</v>
      </c>
      <c r="I544">
        <f t="shared" si="1330"/>
        <v>0</v>
      </c>
      <c r="J544">
        <f t="shared" si="1330"/>
        <v>0</v>
      </c>
      <c r="K544">
        <f t="shared" si="1330"/>
        <v>0</v>
      </c>
      <c r="L544">
        <f t="shared" si="1330"/>
        <v>0</v>
      </c>
      <c r="M544">
        <f t="shared" si="1330"/>
        <v>0</v>
      </c>
      <c r="N544">
        <f t="shared" si="1330"/>
        <v>0</v>
      </c>
      <c r="O544">
        <f t="shared" si="1330"/>
        <v>0</v>
      </c>
      <c r="P544">
        <f t="shared" si="1330"/>
        <v>0</v>
      </c>
    </row>
    <row r="545" spans="1:38" ht="17.149999999999999" x14ac:dyDescent="0.55000000000000004">
      <c r="B545" t="str">
        <f t="shared" si="1327"/>
        <v>Portland</v>
      </c>
      <c r="C545" t="s">
        <v>524</v>
      </c>
      <c r="D545">
        <f t="shared" ref="D545:F545" si="1331">AVERAGE(D537:D538)</f>
        <v>503.5</v>
      </c>
      <c r="E545">
        <f t="shared" si="1331"/>
        <v>504.30000000000007</v>
      </c>
      <c r="F545">
        <f t="shared" si="1331"/>
        <v>505.70000000000005</v>
      </c>
      <c r="G545">
        <f>AVERAGE(G537:G538)</f>
        <v>508.2</v>
      </c>
      <c r="H545">
        <f t="shared" ref="H545:P545" si="1332">AVERAGE(H537:H538)</f>
        <v>512.75</v>
      </c>
      <c r="I545">
        <f t="shared" si="1332"/>
        <v>516.55000000000007</v>
      </c>
      <c r="J545">
        <f t="shared" si="1332"/>
        <v>520.04999999999995</v>
      </c>
      <c r="K545">
        <f t="shared" si="1332"/>
        <v>520.5</v>
      </c>
      <c r="L545">
        <f t="shared" si="1332"/>
        <v>518.20000000000005</v>
      </c>
      <c r="M545">
        <f t="shared" si="1332"/>
        <v>512.25</v>
      </c>
      <c r="N545">
        <f t="shared" si="1332"/>
        <v>506.70000000000005</v>
      </c>
      <c r="O545">
        <f t="shared" si="1332"/>
        <v>503.20000000000005</v>
      </c>
      <c r="P545">
        <f t="shared" si="1332"/>
        <v>51.4</v>
      </c>
    </row>
    <row r="546" spans="1:38" ht="17.149999999999999" x14ac:dyDescent="0.55000000000000004">
      <c r="B546" t="str">
        <f t="shared" si="1327"/>
        <v>Portland</v>
      </c>
      <c r="C546" t="s">
        <v>525</v>
      </c>
      <c r="D546" cm="1">
        <f t="array" ref="D546">IFERROR(IF(ISBLANK(INDEX(FX_Input,$R537,D$3*$AK537+$AL537)),D545+0.003*D539*D543,INDEX(FX_Input,$R537,D$3*$AK537+$AL537)+459.6),D545)</f>
        <v>503.5</v>
      </c>
      <c r="E546" cm="1">
        <f t="array" ref="E546">IFERROR(IF(ISBLANK(INDEX(FX_Input,$R537,E$3*$AK537+$AL537)),E545+0.003*E539*E543,INDEX(FX_Input,$R537,E$3*$AK537+$AL537)+459.6),E545)</f>
        <v>504.30000000000007</v>
      </c>
      <c r="F546" cm="1">
        <f t="array" ref="F546">IFERROR(IF(ISBLANK(INDEX(FX_Input,$R537,F$3*$AK537+$AL537)),F545+0.003*F539*F543,INDEX(FX_Input,$R537,F$3*$AK537+$AL537)+459.6),F545)</f>
        <v>505.70000000000005</v>
      </c>
      <c r="G546" cm="1">
        <f t="array" ref="G546">IFERROR(IF(ISBLANK(INDEX(FX_Input,$R537,G$3*$AK537+$AL537)),G545+0.003*G539*G543,INDEX(FX_Input,$R537,G$3*$AK537+$AL537)+459.6),G545)</f>
        <v>508.2</v>
      </c>
      <c r="H546" cm="1">
        <f t="array" ref="H546">IFERROR(IF(ISBLANK(INDEX(FX_Input,$R537,H$3*$AK537+$AL537)),H545+0.003*H539*H543,INDEX(FX_Input,$R537,H$3*$AK537+$AL537)+459.6),H545)</f>
        <v>512.75</v>
      </c>
      <c r="I546" cm="1">
        <f t="array" ref="I546">IFERROR(IF(ISBLANK(INDEX(FX_Input,$R537,I$3*$AK537+$AL537)),I545+0.003*I539*I543,INDEX(FX_Input,$R537,I$3*$AK537+$AL537)+459.6),I545)</f>
        <v>516.55000000000007</v>
      </c>
      <c r="J546" cm="1">
        <f t="array" ref="J546">IFERROR(IF(ISBLANK(INDEX(FX_Input,$R537,J$3*$AK537+$AL537)),J545+0.003*J539*J543,INDEX(FX_Input,$R537,J$3*$AK537+$AL537)+459.6),J545)</f>
        <v>520.04999999999995</v>
      </c>
      <c r="K546" cm="1">
        <f t="array" ref="K546">IFERROR(IF(ISBLANK(INDEX(FX_Input,$R537,K$3*$AK537+$AL537)),K545+0.003*K539*K543,INDEX(FX_Input,$R537,K$3*$AK537+$AL537)+459.6),K545)</f>
        <v>520.5</v>
      </c>
      <c r="L546" cm="1">
        <f t="array" ref="L546">IFERROR(IF(ISBLANK(INDEX(FX_Input,$R537,L$3*$AK537+$AL537)),L545+0.003*L539*L543,INDEX(FX_Input,$R537,L$3*$AK537+$AL537)+459.6),L545)</f>
        <v>518.20000000000005</v>
      </c>
      <c r="M546" cm="1">
        <f t="array" ref="M546">IFERROR(IF(ISBLANK(INDEX(FX_Input,$R537,M$3*$AK537+$AL537)),M545+0.003*M539*M543,INDEX(FX_Input,$R537,M$3*$AK537+$AL537)+459.6),M545)</f>
        <v>512.25</v>
      </c>
      <c r="N546" cm="1">
        <f t="array" ref="N546">IFERROR(IF(ISBLANK(INDEX(FX_Input,$R537,N$3*$AK537+$AL537)),N545+0.003*N539*N543,INDEX(FX_Input,$R537,N$3*$AK537+$AL537)+459.6),N545)</f>
        <v>506.70000000000005</v>
      </c>
      <c r="O546" cm="1">
        <f t="array" ref="O546">IFERROR(IF(ISBLANK(INDEX(FX_Input,$R537,O$3*$AK537+$AL537)),O545+0.003*O539*O543,INDEX(FX_Input,$R537,O$3*$AK537+$AL537)+459.6),O545)</f>
        <v>503.20000000000005</v>
      </c>
      <c r="P546" cm="1">
        <f t="array" ref="P546">IFERROR(IF(ISBLANK(INDEX(FX_Input,$R537,P$3*$AK537+$AL537)),P545+0.003*P539*P543,INDEX(FX_Input,$R537,P$3*$AK537+$AL537)+459.6),P545)</f>
        <v>1403.6</v>
      </c>
    </row>
    <row r="547" spans="1:38" ht="17.149999999999999" x14ac:dyDescent="0.55000000000000004">
      <c r="B547" t="str">
        <f t="shared" si="1327"/>
        <v>Portland</v>
      </c>
      <c r="C547" t="s">
        <v>526</v>
      </c>
      <c r="D547">
        <f>IF(ISNUMBER(D541),0.4*D537+0.6*D546+0.005*D541*D543,IF(D541="Partially Insulated",0.3*D545+0.7*D546+0.005*D540*D543,D546))-459.6</f>
        <v>43.899999999999977</v>
      </c>
      <c r="E547">
        <f t="shared" ref="E547" si="1333">IF(ISNUMBER(E541),0.4*E537+0.6*E546+0.005*E541*E543,IF(E541="Partially Insulated",0.3*E545+0.7*E546+0.005*E540*E543,E546))-459.6</f>
        <v>44.700000000000045</v>
      </c>
      <c r="F547">
        <f t="shared" ref="F547" si="1334">IF(ISNUMBER(F541),0.4*F537+0.6*F546+0.005*F541*F543,IF(F541="Partially Insulated",0.3*F545+0.7*F546+0.005*F540*F543,F546))-459.6</f>
        <v>46.100000000000023</v>
      </c>
      <c r="G547">
        <f t="shared" ref="G547" si="1335">IF(ISNUMBER(G541),0.4*G537+0.6*G546+0.005*G541*G543,IF(G541="Partially Insulated",0.3*G545+0.7*G546+0.005*G540*G543,G546))-459.6</f>
        <v>48.599999999999966</v>
      </c>
      <c r="H547">
        <f t="shared" ref="H547" si="1336">IF(ISNUMBER(H541),0.4*H537+0.6*H546+0.005*H541*H543,IF(H541="Partially Insulated",0.3*H545+0.7*H546+0.005*H540*H543,H546))-459.6</f>
        <v>53.149999999999977</v>
      </c>
      <c r="I547">
        <f t="shared" ref="I547" si="1337">IF(ISNUMBER(I541),0.4*I537+0.6*I546+0.005*I541*I543,IF(I541="Partially Insulated",0.3*I545+0.7*I546+0.005*I540*I543,I546))-459.6</f>
        <v>56.950000000000045</v>
      </c>
      <c r="J547">
        <f t="shared" ref="J547" si="1338">IF(ISNUMBER(J541),0.4*J537+0.6*J546+0.005*J541*J543,IF(J541="Partially Insulated",0.3*J545+0.7*J546+0.005*J540*J543,J546))-459.6</f>
        <v>60.449999999999932</v>
      </c>
      <c r="K547">
        <f t="shared" ref="K547" si="1339">IF(ISNUMBER(K541),0.4*K537+0.6*K546+0.005*K541*K543,IF(K541="Partially Insulated",0.3*K545+0.7*K546+0.005*K540*K543,K546))-459.6</f>
        <v>60.899999999999977</v>
      </c>
      <c r="L547">
        <f t="shared" ref="L547" si="1340">IF(ISNUMBER(L541),0.4*L537+0.6*L546+0.005*L541*L543,IF(L541="Partially Insulated",0.3*L545+0.7*L546+0.005*L540*L543,L546))-459.6</f>
        <v>58.600000000000023</v>
      </c>
      <c r="M547">
        <f t="shared" ref="M547" si="1341">IF(ISNUMBER(M541),0.4*M537+0.6*M546+0.005*M541*M543,IF(M541="Partially Insulated",0.3*M545+0.7*M546+0.005*M540*M543,M546))-459.6</f>
        <v>52.649999999999977</v>
      </c>
      <c r="N547">
        <f t="shared" ref="N547" si="1342">IF(ISNUMBER(N541),0.4*N537+0.6*N546+0.005*N541*N543,IF(N541="Partially Insulated",0.3*N545+0.7*N546+0.005*N540*N543,N546))-459.6</f>
        <v>47.100000000000023</v>
      </c>
      <c r="O547">
        <f t="shared" ref="O547" si="1343">IF(ISNUMBER(O541),0.4*O537+0.6*O546+0.005*O541*O543,IF(O541="Partially Insulated",0.3*O545+0.7*O546+0.005*O540*O543,O546))-459.6</f>
        <v>43.600000000000023</v>
      </c>
      <c r="P547">
        <f>AVERAGE(D547:O547)</f>
        <v>51.391666666666673</v>
      </c>
    </row>
    <row r="548" spans="1:38" ht="17.149999999999999" x14ac:dyDescent="0.55000000000000004">
      <c r="B548" t="str">
        <f t="shared" si="1327"/>
        <v>Portland</v>
      </c>
      <c r="C548" t="s">
        <v>527</v>
      </c>
      <c r="D548">
        <f>IF(ISNUMBER(D541),0.4*D538+0.6*D546+0.005*D541*D543,IF(D541="Partially Insulated",0.3*D545+0.7*D546+0.005*D540*D543,D546))-459.6</f>
        <v>43.899999999999977</v>
      </c>
      <c r="E548">
        <f t="shared" ref="E548:O548" si="1344">IF(ISNUMBER(E541),0.4*E538+0.6*E546+0.005*E541*E543,IF(E541="Partially Insulated",0.3*E545+0.7*E546+0.005*E540*E543,E546))-459.6</f>
        <v>44.700000000000045</v>
      </c>
      <c r="F548">
        <f t="shared" si="1344"/>
        <v>46.100000000000023</v>
      </c>
      <c r="G548">
        <f t="shared" si="1344"/>
        <v>48.599999999999966</v>
      </c>
      <c r="H548">
        <f t="shared" si="1344"/>
        <v>53.149999999999977</v>
      </c>
      <c r="I548">
        <f t="shared" si="1344"/>
        <v>56.950000000000045</v>
      </c>
      <c r="J548">
        <f t="shared" si="1344"/>
        <v>60.449999999999932</v>
      </c>
      <c r="K548">
        <f t="shared" si="1344"/>
        <v>60.899999999999977</v>
      </c>
      <c r="L548">
        <f t="shared" si="1344"/>
        <v>58.600000000000023</v>
      </c>
      <c r="M548">
        <f t="shared" si="1344"/>
        <v>52.649999999999977</v>
      </c>
      <c r="N548">
        <f t="shared" si="1344"/>
        <v>47.100000000000023</v>
      </c>
      <c r="O548">
        <f t="shared" si="1344"/>
        <v>43.600000000000023</v>
      </c>
      <c r="P548">
        <f>AVERAGE(D548:O548)</f>
        <v>51.391666666666673</v>
      </c>
    </row>
    <row r="549" spans="1:38" ht="17.149999999999999" x14ac:dyDescent="0.55000000000000004">
      <c r="B549" t="str">
        <f t="shared" si="1327"/>
        <v>Portland</v>
      </c>
      <c r="C549" t="s">
        <v>552</v>
      </c>
      <c r="D549">
        <f>IF(ISNUMBER(D541),0.4*D545+0.6*D546+0.005*D541*D543,IF(D541="Partially Insulated",0.3*D545+0.7*D546+0.005*D540*D543,D546))-459.6</f>
        <v>43.899999999999977</v>
      </c>
      <c r="E549">
        <f t="shared" ref="E549:O549" si="1345">IF(ISNUMBER(E541),0.4*E545+0.6*E546+0.005*E541*E543,IF(E541="Partially Insulated",0.3*E545+0.7*E546+0.005*E540*E543,E546))-459.6</f>
        <v>44.700000000000045</v>
      </c>
      <c r="F549">
        <f t="shared" si="1345"/>
        <v>46.100000000000023</v>
      </c>
      <c r="G549">
        <f t="shared" si="1345"/>
        <v>48.599999999999966</v>
      </c>
      <c r="H549">
        <f t="shared" si="1345"/>
        <v>53.149999999999977</v>
      </c>
      <c r="I549">
        <f t="shared" si="1345"/>
        <v>56.950000000000045</v>
      </c>
      <c r="J549">
        <f t="shared" si="1345"/>
        <v>60.449999999999932</v>
      </c>
      <c r="K549">
        <f t="shared" si="1345"/>
        <v>60.899999999999977</v>
      </c>
      <c r="L549">
        <f t="shared" si="1345"/>
        <v>58.600000000000023</v>
      </c>
      <c r="M549">
        <f t="shared" si="1345"/>
        <v>52.649999999999977</v>
      </c>
      <c r="N549">
        <f t="shared" si="1345"/>
        <v>47.100000000000023</v>
      </c>
      <c r="O549">
        <f t="shared" si="1345"/>
        <v>43.600000000000023</v>
      </c>
      <c r="P549">
        <f>AVERAGE(D549:O549)</f>
        <v>51.391666666666673</v>
      </c>
    </row>
    <row r="550" spans="1:38" ht="17.149999999999999" x14ac:dyDescent="0.55000000000000004">
      <c r="A550" s="11"/>
      <c r="B550" s="11" t="str">
        <f t="shared" si="1327"/>
        <v>Portland</v>
      </c>
      <c r="C550" s="11" t="s">
        <v>553</v>
      </c>
      <c r="D550" s="11">
        <f>IF(ISNUMBER(D541),0.7*D545+0.3*D546+0.009*D541*D543,IF(D541="Partially Insulated",0.6*D545+0.4*D546+0.01*D540*D543,D546))-459.6</f>
        <v>43.899999999999977</v>
      </c>
      <c r="E550" s="11">
        <f t="shared" ref="E550:O550" si="1346">IF(ISNUMBER(E541),0.7*E545+0.3*E546+0.009*E541*E543,IF(E541="Partially Insulated",0.6*E545+0.4*E546+0.01*E540*E543,E546))-459.6</f>
        <v>44.700000000000045</v>
      </c>
      <c r="F550" s="11">
        <f t="shared" si="1346"/>
        <v>46.100000000000023</v>
      </c>
      <c r="G550" s="11">
        <f t="shared" si="1346"/>
        <v>48.599999999999966</v>
      </c>
      <c r="H550" s="11">
        <f t="shared" si="1346"/>
        <v>53.149999999999977</v>
      </c>
      <c r="I550" s="11">
        <f t="shared" si="1346"/>
        <v>56.950000000000045</v>
      </c>
      <c r="J550" s="11">
        <f t="shared" si="1346"/>
        <v>60.449999999999932</v>
      </c>
      <c r="K550" s="11">
        <f t="shared" si="1346"/>
        <v>60.899999999999977</v>
      </c>
      <c r="L550" s="11">
        <f t="shared" si="1346"/>
        <v>58.600000000000023</v>
      </c>
      <c r="M550" s="11">
        <f t="shared" si="1346"/>
        <v>52.649999999999977</v>
      </c>
      <c r="N550" s="11">
        <f t="shared" si="1346"/>
        <v>47.100000000000023</v>
      </c>
      <c r="O550" s="11">
        <f t="shared" si="1346"/>
        <v>43.600000000000023</v>
      </c>
      <c r="P550" s="11">
        <f>AVERAGE(D550:O550)</f>
        <v>51.391666666666673</v>
      </c>
      <c r="Q550" s="11"/>
      <c r="R550" s="11"/>
      <c r="S550" s="11"/>
      <c r="T550" s="11"/>
      <c r="U550" s="11"/>
      <c r="V550" s="11"/>
      <c r="W550" s="11"/>
      <c r="X550" s="11"/>
      <c r="Y550" s="11"/>
      <c r="Z550" s="11"/>
      <c r="AA550" s="11"/>
      <c r="AB550" s="11"/>
      <c r="AC550" s="11"/>
      <c r="AD550" s="11"/>
      <c r="AE550" s="11"/>
      <c r="AF550" s="11"/>
      <c r="AG550" s="11"/>
      <c r="AH550" s="11"/>
      <c r="AI550" s="11"/>
      <c r="AJ550" s="11"/>
      <c r="AK550" s="11"/>
      <c r="AL550" s="11"/>
    </row>
    <row r="551" spans="1:38" ht="17.149999999999999" x14ac:dyDescent="0.55000000000000004">
      <c r="A551" t="str" cm="1">
        <f t="array" ref="A551">INDEX(FX_Input,$R551,S$5)</f>
        <v>FX - 40</v>
      </c>
      <c r="B551" t="str" cm="1">
        <f t="array" ref="B551">INDEX(FX_Input,R551,T551)</f>
        <v>Portland</v>
      </c>
      <c r="C551" t="s">
        <v>510</v>
      </c>
      <c r="D551">
        <f t="shared" ref="D551:O552" si="1347">VLOOKUP(VLOOKUP($B551,Terminal_X_Ref,2,FALSE)&amp;$C551,Weather_Data,$Y551*D$3+$Z551,FALSE)+459.6</f>
        <v>498.3</v>
      </c>
      <c r="E551">
        <f t="shared" si="1347"/>
        <v>497.70000000000005</v>
      </c>
      <c r="F551">
        <f t="shared" si="1347"/>
        <v>499.1</v>
      </c>
      <c r="G551">
        <f t="shared" si="1347"/>
        <v>501.5</v>
      </c>
      <c r="H551">
        <f t="shared" si="1347"/>
        <v>506.1</v>
      </c>
      <c r="I551">
        <f t="shared" si="1347"/>
        <v>510.3</v>
      </c>
      <c r="J551">
        <f t="shared" si="1347"/>
        <v>513.70000000000005</v>
      </c>
      <c r="K551">
        <f t="shared" si="1347"/>
        <v>513.70000000000005</v>
      </c>
      <c r="L551">
        <f t="shared" si="1347"/>
        <v>510</v>
      </c>
      <c r="M551">
        <f t="shared" si="1347"/>
        <v>504.90000000000003</v>
      </c>
      <c r="N551">
        <f t="shared" si="1347"/>
        <v>500.6</v>
      </c>
      <c r="O551">
        <f t="shared" si="1347"/>
        <v>498.20000000000005</v>
      </c>
      <c r="P551">
        <f t="shared" ref="P551:P552" si="1348">VLOOKUP(VLOOKUP($B551,Terminal_X_Ref,2,FALSE)&amp;$C551,Weather_Data,$Y551*P$3+$Z551,FALSE)</f>
        <v>44.9</v>
      </c>
      <c r="R551">
        <f>R537+2</f>
        <v>79</v>
      </c>
      <c r="S551">
        <f>S537+1</f>
        <v>40</v>
      </c>
      <c r="T551">
        <v>3</v>
      </c>
      <c r="U551">
        <v>2</v>
      </c>
      <c r="V551">
        <v>3</v>
      </c>
      <c r="W551">
        <v>1</v>
      </c>
      <c r="X551">
        <v>2</v>
      </c>
      <c r="Y551">
        <f>(V551-U551)/(X551-W551)</f>
        <v>1</v>
      </c>
      <c r="Z551">
        <f>U551-Y551*W551</f>
        <v>1</v>
      </c>
      <c r="AA551">
        <f>AA537+1</f>
        <v>40</v>
      </c>
      <c r="AB551">
        <v>6</v>
      </c>
      <c r="AC551">
        <v>3</v>
      </c>
      <c r="AD551">
        <v>13</v>
      </c>
      <c r="AE551">
        <v>12</v>
      </c>
      <c r="AF551">
        <v>14</v>
      </c>
      <c r="AG551">
        <v>77</v>
      </c>
      <c r="AH551">
        <v>78</v>
      </c>
      <c r="AI551">
        <v>1</v>
      </c>
      <c r="AJ551">
        <v>2</v>
      </c>
      <c r="AK551">
        <f>(AH551-AG551)/(AJ551-AI551)</f>
        <v>1</v>
      </c>
      <c r="AL551">
        <f>AG551-AK551*AI551</f>
        <v>76</v>
      </c>
    </row>
    <row r="552" spans="1:38" ht="17.149999999999999" x14ac:dyDescent="0.55000000000000004">
      <c r="B552" t="str">
        <f t="shared" ref="B552" si="1349">B551</f>
        <v>Portland</v>
      </c>
      <c r="C552" t="s">
        <v>511</v>
      </c>
      <c r="D552">
        <f t="shared" si="1347"/>
        <v>508.70000000000005</v>
      </c>
      <c r="E552">
        <f t="shared" si="1347"/>
        <v>510.90000000000003</v>
      </c>
      <c r="F552">
        <f t="shared" si="1347"/>
        <v>512.30000000000007</v>
      </c>
      <c r="G552">
        <f t="shared" si="1347"/>
        <v>514.9</v>
      </c>
      <c r="H552">
        <f t="shared" si="1347"/>
        <v>519.4</v>
      </c>
      <c r="I552">
        <f t="shared" si="1347"/>
        <v>522.80000000000007</v>
      </c>
      <c r="J552">
        <f t="shared" si="1347"/>
        <v>526.4</v>
      </c>
      <c r="K552">
        <f t="shared" si="1347"/>
        <v>527.30000000000007</v>
      </c>
      <c r="L552">
        <f t="shared" si="1347"/>
        <v>526.4</v>
      </c>
      <c r="M552">
        <f t="shared" si="1347"/>
        <v>519.6</v>
      </c>
      <c r="N552">
        <f t="shared" si="1347"/>
        <v>512.80000000000007</v>
      </c>
      <c r="O552">
        <f t="shared" si="1347"/>
        <v>508.20000000000005</v>
      </c>
      <c r="P552">
        <f t="shared" si="1348"/>
        <v>57.9</v>
      </c>
      <c r="U552">
        <f>U551</f>
        <v>2</v>
      </c>
      <c r="V552">
        <f t="shared" ref="V552:Z552" si="1350">V551</f>
        <v>3</v>
      </c>
      <c r="W552">
        <f t="shared" si="1350"/>
        <v>1</v>
      </c>
      <c r="X552">
        <f t="shared" si="1350"/>
        <v>2</v>
      </c>
      <c r="Y552">
        <f t="shared" si="1350"/>
        <v>1</v>
      </c>
      <c r="Z552">
        <f t="shared" si="1350"/>
        <v>1</v>
      </c>
      <c r="AA552">
        <f>AA551</f>
        <v>40</v>
      </c>
      <c r="AB552">
        <f t="shared" ref="AB552:AB555" si="1351">AB551</f>
        <v>6</v>
      </c>
      <c r="AC552">
        <f t="shared" ref="AC552:AF555" si="1352">AC551</f>
        <v>3</v>
      </c>
      <c r="AD552">
        <f t="shared" si="1352"/>
        <v>13</v>
      </c>
      <c r="AE552">
        <f t="shared" si="1352"/>
        <v>12</v>
      </c>
      <c r="AF552">
        <f t="shared" si="1352"/>
        <v>14</v>
      </c>
      <c r="AG552">
        <f t="shared" ref="AG552:AG555" si="1353">AG551</f>
        <v>77</v>
      </c>
      <c r="AH552">
        <f t="shared" ref="AH552:AH555" si="1354">AH551</f>
        <v>78</v>
      </c>
      <c r="AI552">
        <f t="shared" ref="AI552:AI555" si="1355">AI551</f>
        <v>1</v>
      </c>
      <c r="AJ552">
        <f t="shared" ref="AJ552:AJ555" si="1356">AJ551</f>
        <v>2</v>
      </c>
      <c r="AK552">
        <f t="shared" ref="AK552:AK555" si="1357">AK551</f>
        <v>1</v>
      </c>
      <c r="AL552">
        <f t="shared" ref="AL552:AL555" si="1358">AL551</f>
        <v>76</v>
      </c>
    </row>
    <row r="553" spans="1:38" ht="17.149999999999999" x14ac:dyDescent="0.4">
      <c r="B553" t="str">
        <f>B552</f>
        <v>Portland</v>
      </c>
      <c r="C553" s="66" t="s">
        <v>514</v>
      </c>
      <c r="D553" t="str" cm="1">
        <f t="array" ref="D553">INDEX(FX_Calcs,$AA553,$AE553)</f>
        <v>N/A</v>
      </c>
      <c r="E553" t="str" cm="1">
        <f t="array" ref="E553">INDEX(FX_Calcs,$AA553,$AE553)</f>
        <v>N/A</v>
      </c>
      <c r="F553" t="str" cm="1">
        <f t="array" ref="F553">INDEX(FX_Calcs,$AA553,$AE553)</f>
        <v>N/A</v>
      </c>
      <c r="G553" t="str" cm="1">
        <f t="array" ref="G553">INDEX(FX_Calcs,$AA553,$AE553)</f>
        <v>N/A</v>
      </c>
      <c r="H553" t="str" cm="1">
        <f t="array" ref="H553">INDEX(FX_Calcs,$AA553,$AE553)</f>
        <v>N/A</v>
      </c>
      <c r="I553" t="str" cm="1">
        <f t="array" ref="I553">INDEX(FX_Calcs,$AA553,$AE553)</f>
        <v>N/A</v>
      </c>
      <c r="J553" t="str" cm="1">
        <f t="array" ref="J553">INDEX(FX_Calcs,$AA553,$AE553)</f>
        <v>N/A</v>
      </c>
      <c r="K553" t="str" cm="1">
        <f t="array" ref="K553">INDEX(FX_Calcs,$AA553,$AE553)</f>
        <v>N/A</v>
      </c>
      <c r="L553" t="str" cm="1">
        <f t="array" ref="L553">INDEX(FX_Calcs,$AA553,$AE553)</f>
        <v>N/A</v>
      </c>
      <c r="M553" t="str" cm="1">
        <f t="array" ref="M553">INDEX(FX_Calcs,$AA553,$AE553)</f>
        <v>N/A</v>
      </c>
      <c r="N553" t="str" cm="1">
        <f t="array" ref="N553">INDEX(FX_Calcs,$AA553,$AE553)</f>
        <v>N/A</v>
      </c>
      <c r="O553" t="str" cm="1">
        <f t="array" ref="O553">INDEX(FX_Calcs,$AA553,$AE553)</f>
        <v>N/A</v>
      </c>
      <c r="P553" t="str" cm="1">
        <f t="array" ref="P553">INDEX(FX_Calcs,$AA553,$AE553)</f>
        <v>N/A</v>
      </c>
      <c r="AA553">
        <f>AA552</f>
        <v>40</v>
      </c>
      <c r="AB553">
        <f t="shared" si="1351"/>
        <v>6</v>
      </c>
      <c r="AC553">
        <f t="shared" si="1352"/>
        <v>3</v>
      </c>
      <c r="AD553">
        <f t="shared" si="1352"/>
        <v>13</v>
      </c>
      <c r="AE553">
        <f t="shared" si="1352"/>
        <v>12</v>
      </c>
      <c r="AF553">
        <f t="shared" si="1352"/>
        <v>14</v>
      </c>
      <c r="AG553">
        <f t="shared" si="1353"/>
        <v>77</v>
      </c>
      <c r="AH553">
        <f t="shared" si="1354"/>
        <v>78</v>
      </c>
      <c r="AI553">
        <f t="shared" si="1355"/>
        <v>1</v>
      </c>
      <c r="AJ553">
        <f t="shared" si="1356"/>
        <v>2</v>
      </c>
      <c r="AK553">
        <f t="shared" si="1357"/>
        <v>1</v>
      </c>
      <c r="AL553">
        <f t="shared" si="1358"/>
        <v>76</v>
      </c>
    </row>
    <row r="554" spans="1:38" ht="17.149999999999999" x14ac:dyDescent="0.4">
      <c r="B554" t="str">
        <f t="shared" ref="B554:B555" si="1359">B553</f>
        <v>Portland</v>
      </c>
      <c r="C554" s="66" t="s">
        <v>513</v>
      </c>
      <c r="D554" t="str" cm="1">
        <f t="array" ref="D554">INDEX(FX_Calcs,$AA554,$AD554)</f>
        <v>N/A</v>
      </c>
      <c r="E554" t="str" cm="1">
        <f t="array" ref="E554">INDEX(FX_Calcs,$AA554,$AD554)</f>
        <v>N/A</v>
      </c>
      <c r="F554" t="str" cm="1">
        <f t="array" ref="F554">INDEX(FX_Calcs,$AA554,$AD554)</f>
        <v>N/A</v>
      </c>
      <c r="G554" t="str" cm="1">
        <f t="array" ref="G554">INDEX(FX_Calcs,$AA554,$AD554)</f>
        <v>N/A</v>
      </c>
      <c r="H554" t="str" cm="1">
        <f t="array" ref="H554">INDEX(FX_Calcs,$AA554,$AD554)</f>
        <v>N/A</v>
      </c>
      <c r="I554" t="str" cm="1">
        <f t="array" ref="I554">INDEX(FX_Calcs,$AA554,$AD554)</f>
        <v>N/A</v>
      </c>
      <c r="J554" t="str" cm="1">
        <f t="array" ref="J554">INDEX(FX_Calcs,$AA554,$AD554)</f>
        <v>N/A</v>
      </c>
      <c r="K554" t="str" cm="1">
        <f t="array" ref="K554">INDEX(FX_Calcs,$AA554,$AD554)</f>
        <v>N/A</v>
      </c>
      <c r="L554" t="str" cm="1">
        <f t="array" ref="L554">INDEX(FX_Calcs,$AA554,$AD554)</f>
        <v>N/A</v>
      </c>
      <c r="M554" t="str" cm="1">
        <f t="array" ref="M554">INDEX(FX_Calcs,$AA554,$AD554)</f>
        <v>N/A</v>
      </c>
      <c r="N554" t="str" cm="1">
        <f t="array" ref="N554">INDEX(FX_Calcs,$AA554,$AD554)</f>
        <v>N/A</v>
      </c>
      <c r="O554" t="str" cm="1">
        <f t="array" ref="O554">INDEX(FX_Calcs,$AA554,$AD554)</f>
        <v>N/A</v>
      </c>
      <c r="P554" t="str" cm="1">
        <f t="array" ref="P554">INDEX(FX_Calcs,$AA554,$AD554)</f>
        <v>N/A</v>
      </c>
      <c r="AA554">
        <f>AA553</f>
        <v>40</v>
      </c>
      <c r="AB554">
        <f t="shared" si="1351"/>
        <v>6</v>
      </c>
      <c r="AC554">
        <f t="shared" si="1352"/>
        <v>3</v>
      </c>
      <c r="AD554">
        <f t="shared" si="1352"/>
        <v>13</v>
      </c>
      <c r="AE554">
        <f t="shared" si="1352"/>
        <v>12</v>
      </c>
      <c r="AF554">
        <f t="shared" si="1352"/>
        <v>14</v>
      </c>
      <c r="AG554">
        <f t="shared" si="1353"/>
        <v>77</v>
      </c>
      <c r="AH554">
        <f t="shared" si="1354"/>
        <v>78</v>
      </c>
      <c r="AI554">
        <f t="shared" si="1355"/>
        <v>1</v>
      </c>
      <c r="AJ554">
        <f t="shared" si="1356"/>
        <v>2</v>
      </c>
      <c r="AK554">
        <f t="shared" si="1357"/>
        <v>1</v>
      </c>
      <c r="AL554">
        <f t="shared" si="1358"/>
        <v>76</v>
      </c>
    </row>
    <row r="555" spans="1:38" x14ac:dyDescent="0.4">
      <c r="B555" t="str">
        <f t="shared" si="1359"/>
        <v>Portland</v>
      </c>
      <c r="C555" s="66" t="s">
        <v>558</v>
      </c>
      <c r="D555" t="str" cm="1">
        <f t="array" ref="D555">INDEX(FX_Calcs,$AA555,$AF555)</f>
        <v>Insulated</v>
      </c>
      <c r="E555" t="str" cm="1">
        <f t="array" ref="E555">INDEX(FX_Calcs,$AA555,$AF555)</f>
        <v>Insulated</v>
      </c>
      <c r="F555" t="str" cm="1">
        <f t="array" ref="F555">INDEX(FX_Calcs,$AA555,$AF555)</f>
        <v>Insulated</v>
      </c>
      <c r="G555" t="str" cm="1">
        <f t="array" ref="G555">INDEX(FX_Calcs,$AA555,$AF555)</f>
        <v>Insulated</v>
      </c>
      <c r="H555" t="str" cm="1">
        <f t="array" ref="H555">INDEX(FX_Calcs,$AA555,$AF555)</f>
        <v>Insulated</v>
      </c>
      <c r="I555" t="str" cm="1">
        <f t="array" ref="I555">INDEX(FX_Calcs,$AA555,$AF555)</f>
        <v>Insulated</v>
      </c>
      <c r="J555" t="str" cm="1">
        <f t="array" ref="J555">INDEX(FX_Calcs,$AA555,$AF555)</f>
        <v>Insulated</v>
      </c>
      <c r="K555" t="str" cm="1">
        <f t="array" ref="K555">INDEX(FX_Calcs,$AA555,$AF555)</f>
        <v>Insulated</v>
      </c>
      <c r="L555" t="str" cm="1">
        <f t="array" ref="L555">INDEX(FX_Calcs,$AA555,$AF555)</f>
        <v>Insulated</v>
      </c>
      <c r="M555" t="str" cm="1">
        <f t="array" ref="M555">INDEX(FX_Calcs,$AA555,$AF555)</f>
        <v>Insulated</v>
      </c>
      <c r="N555" t="str" cm="1">
        <f t="array" ref="N555">INDEX(FX_Calcs,$AA555,$AF555)</f>
        <v>Insulated</v>
      </c>
      <c r="O555" t="str" cm="1">
        <f t="array" ref="O555">INDEX(FX_Calcs,$AA555,$AF555)</f>
        <v>Insulated</v>
      </c>
      <c r="P555" t="str" cm="1">
        <f t="array" ref="P555">INDEX(FX_Calcs,$AA555,$AF555)</f>
        <v>Insulated</v>
      </c>
      <c r="AA555">
        <f>AA554</f>
        <v>40</v>
      </c>
      <c r="AB555">
        <f t="shared" si="1351"/>
        <v>6</v>
      </c>
      <c r="AC555">
        <f t="shared" si="1352"/>
        <v>3</v>
      </c>
      <c r="AD555">
        <f t="shared" si="1352"/>
        <v>13</v>
      </c>
      <c r="AE555">
        <f t="shared" si="1352"/>
        <v>12</v>
      </c>
      <c r="AF555">
        <f t="shared" si="1352"/>
        <v>14</v>
      </c>
      <c r="AG555">
        <f t="shared" si="1353"/>
        <v>77</v>
      </c>
      <c r="AH555">
        <f t="shared" si="1354"/>
        <v>78</v>
      </c>
      <c r="AI555">
        <f t="shared" si="1355"/>
        <v>1</v>
      </c>
      <c r="AJ555">
        <f t="shared" si="1356"/>
        <v>2</v>
      </c>
      <c r="AK555">
        <f t="shared" si="1357"/>
        <v>1</v>
      </c>
      <c r="AL555">
        <f t="shared" si="1358"/>
        <v>76</v>
      </c>
    </row>
    <row r="556" spans="1:38" ht="17.149999999999999" x14ac:dyDescent="0.55000000000000004">
      <c r="B556" t="str">
        <f>B552</f>
        <v>Portland</v>
      </c>
      <c r="C556" t="s">
        <v>512</v>
      </c>
      <c r="D556">
        <f t="shared" ref="D556:P556" si="1360">D552-D551</f>
        <v>10.400000000000034</v>
      </c>
      <c r="E556">
        <f t="shared" si="1360"/>
        <v>13.199999999999989</v>
      </c>
      <c r="F556">
        <f t="shared" si="1360"/>
        <v>13.200000000000045</v>
      </c>
      <c r="G556">
        <f t="shared" si="1360"/>
        <v>13.399999999999977</v>
      </c>
      <c r="H556">
        <f t="shared" si="1360"/>
        <v>13.299999999999955</v>
      </c>
      <c r="I556">
        <f t="shared" si="1360"/>
        <v>12.500000000000057</v>
      </c>
      <c r="J556">
        <f t="shared" si="1360"/>
        <v>12.699999999999932</v>
      </c>
      <c r="K556">
        <f t="shared" si="1360"/>
        <v>13.600000000000023</v>
      </c>
      <c r="L556">
        <f t="shared" si="1360"/>
        <v>16.399999999999977</v>
      </c>
      <c r="M556">
        <f t="shared" si="1360"/>
        <v>14.699999999999989</v>
      </c>
      <c r="N556">
        <f t="shared" si="1360"/>
        <v>12.200000000000045</v>
      </c>
      <c r="O556">
        <f t="shared" si="1360"/>
        <v>10</v>
      </c>
      <c r="P556">
        <f t="shared" si="1360"/>
        <v>13</v>
      </c>
    </row>
    <row r="557" spans="1:38" x14ac:dyDescent="0.4">
      <c r="B557" t="str">
        <f t="shared" ref="B557:B564" si="1361">B556</f>
        <v>Portland</v>
      </c>
      <c r="C557" t="s">
        <v>260</v>
      </c>
      <c r="D557">
        <f t="shared" ref="D557:P557" si="1362">VLOOKUP(VLOOKUP($B557,Terminal_X_Ref,2,FALSE)&amp;$C557,Weather_Data,$Y557*D$3+$Z557,FALSE)</f>
        <v>343</v>
      </c>
      <c r="E557">
        <f t="shared" si="1362"/>
        <v>600</v>
      </c>
      <c r="F557">
        <f t="shared" si="1362"/>
        <v>877</v>
      </c>
      <c r="G557">
        <f t="shared" si="1362"/>
        <v>1252</v>
      </c>
      <c r="H557">
        <f t="shared" si="1362"/>
        <v>1537</v>
      </c>
      <c r="I557">
        <f t="shared" si="1362"/>
        <v>1627</v>
      </c>
      <c r="J557">
        <f t="shared" si="1362"/>
        <v>1708</v>
      </c>
      <c r="K557">
        <f t="shared" si="1362"/>
        <v>1492</v>
      </c>
      <c r="L557">
        <f t="shared" si="1362"/>
        <v>1196</v>
      </c>
      <c r="M557">
        <f t="shared" si="1362"/>
        <v>728</v>
      </c>
      <c r="N557">
        <f t="shared" si="1362"/>
        <v>391</v>
      </c>
      <c r="O557">
        <f t="shared" si="1362"/>
        <v>302</v>
      </c>
      <c r="P557">
        <f t="shared" si="1362"/>
        <v>1005</v>
      </c>
      <c r="U557">
        <f>U552</f>
        <v>2</v>
      </c>
      <c r="V557">
        <f t="shared" ref="V557:Z557" si="1363">V552</f>
        <v>3</v>
      </c>
      <c r="W557">
        <f t="shared" si="1363"/>
        <v>1</v>
      </c>
      <c r="X557">
        <f t="shared" si="1363"/>
        <v>2</v>
      </c>
      <c r="Y557">
        <f t="shared" si="1363"/>
        <v>1</v>
      </c>
      <c r="Z557">
        <f t="shared" si="1363"/>
        <v>1</v>
      </c>
    </row>
    <row r="558" spans="1:38" ht="17.149999999999999" x14ac:dyDescent="0.55000000000000004">
      <c r="B558" t="str">
        <f t="shared" si="1361"/>
        <v>Portland</v>
      </c>
      <c r="C558" t="s">
        <v>523</v>
      </c>
      <c r="D558">
        <f>IF(ISNUMBER(D555),0.7*D556+0.02*D555*D557,IF(D555="Partially Insulated",0.6*D556+0.02*D554*D557,0))</f>
        <v>0</v>
      </c>
      <c r="E558">
        <f t="shared" ref="E558:P558" si="1364">IF(ISNUMBER(E555),0.7*E556+0.02*E555*E557,IF(E555="Partially Insulated",0.6*E556+0.02*E554*E557,0))</f>
        <v>0</v>
      </c>
      <c r="F558">
        <f t="shared" si="1364"/>
        <v>0</v>
      </c>
      <c r="G558">
        <f t="shared" si="1364"/>
        <v>0</v>
      </c>
      <c r="H558">
        <f t="shared" si="1364"/>
        <v>0</v>
      </c>
      <c r="I558">
        <f t="shared" si="1364"/>
        <v>0</v>
      </c>
      <c r="J558">
        <f t="shared" si="1364"/>
        <v>0</v>
      </c>
      <c r="K558">
        <f t="shared" si="1364"/>
        <v>0</v>
      </c>
      <c r="L558">
        <f t="shared" si="1364"/>
        <v>0</v>
      </c>
      <c r="M558">
        <f t="shared" si="1364"/>
        <v>0</v>
      </c>
      <c r="N558">
        <f t="shared" si="1364"/>
        <v>0</v>
      </c>
      <c r="O558">
        <f t="shared" si="1364"/>
        <v>0</v>
      </c>
      <c r="P558">
        <f t="shared" si="1364"/>
        <v>0</v>
      </c>
    </row>
    <row r="559" spans="1:38" ht="17.149999999999999" x14ac:dyDescent="0.55000000000000004">
      <c r="B559" t="str">
        <f t="shared" si="1361"/>
        <v>Portland</v>
      </c>
      <c r="C559" t="s">
        <v>524</v>
      </c>
      <c r="D559">
        <f t="shared" ref="D559:F559" si="1365">AVERAGE(D551:D552)</f>
        <v>503.5</v>
      </c>
      <c r="E559">
        <f t="shared" si="1365"/>
        <v>504.30000000000007</v>
      </c>
      <c r="F559">
        <f t="shared" si="1365"/>
        <v>505.70000000000005</v>
      </c>
      <c r="G559">
        <f>AVERAGE(G551:G552)</f>
        <v>508.2</v>
      </c>
      <c r="H559">
        <f t="shared" ref="H559:P559" si="1366">AVERAGE(H551:H552)</f>
        <v>512.75</v>
      </c>
      <c r="I559">
        <f t="shared" si="1366"/>
        <v>516.55000000000007</v>
      </c>
      <c r="J559">
        <f t="shared" si="1366"/>
        <v>520.04999999999995</v>
      </c>
      <c r="K559">
        <f t="shared" si="1366"/>
        <v>520.5</v>
      </c>
      <c r="L559">
        <f t="shared" si="1366"/>
        <v>518.20000000000005</v>
      </c>
      <c r="M559">
        <f t="shared" si="1366"/>
        <v>512.25</v>
      </c>
      <c r="N559">
        <f t="shared" si="1366"/>
        <v>506.70000000000005</v>
      </c>
      <c r="O559">
        <f t="shared" si="1366"/>
        <v>503.20000000000005</v>
      </c>
      <c r="P559">
        <f t="shared" si="1366"/>
        <v>51.4</v>
      </c>
    </row>
    <row r="560" spans="1:38" ht="17.149999999999999" x14ac:dyDescent="0.55000000000000004">
      <c r="B560" t="str">
        <f t="shared" si="1361"/>
        <v>Portland</v>
      </c>
      <c r="C560" t="s">
        <v>525</v>
      </c>
      <c r="D560" cm="1">
        <f t="array" ref="D560">IFERROR(IF(ISBLANK(INDEX(FX_Input,$R551,D$3*$AK551+$AL551)),D559+0.003*D553*D557,INDEX(FX_Input,$R551,D$3*$AK551+$AL551)+459.6),D559)</f>
        <v>503.5</v>
      </c>
      <c r="E560" cm="1">
        <f t="array" ref="E560">IFERROR(IF(ISBLANK(INDEX(FX_Input,$R551,E$3*$AK551+$AL551)),E559+0.003*E553*E557,INDEX(FX_Input,$R551,E$3*$AK551+$AL551)+459.6),E559)</f>
        <v>504.30000000000007</v>
      </c>
      <c r="F560" cm="1">
        <f t="array" ref="F560">IFERROR(IF(ISBLANK(INDEX(FX_Input,$R551,F$3*$AK551+$AL551)),F559+0.003*F553*F557,INDEX(FX_Input,$R551,F$3*$AK551+$AL551)+459.6),F559)</f>
        <v>505.70000000000005</v>
      </c>
      <c r="G560" cm="1">
        <f t="array" ref="G560">IFERROR(IF(ISBLANK(INDEX(FX_Input,$R551,G$3*$AK551+$AL551)),G559+0.003*G553*G557,INDEX(FX_Input,$R551,G$3*$AK551+$AL551)+459.6),G559)</f>
        <v>508.2</v>
      </c>
      <c r="H560" cm="1">
        <f t="array" ref="H560">IFERROR(IF(ISBLANK(INDEX(FX_Input,$R551,H$3*$AK551+$AL551)),H559+0.003*H553*H557,INDEX(FX_Input,$R551,H$3*$AK551+$AL551)+459.6),H559)</f>
        <v>512.75</v>
      </c>
      <c r="I560" cm="1">
        <f t="array" ref="I560">IFERROR(IF(ISBLANK(INDEX(FX_Input,$R551,I$3*$AK551+$AL551)),I559+0.003*I553*I557,INDEX(FX_Input,$R551,I$3*$AK551+$AL551)+459.6),I559)</f>
        <v>516.55000000000007</v>
      </c>
      <c r="J560" cm="1">
        <f t="array" ref="J560">IFERROR(IF(ISBLANK(INDEX(FX_Input,$R551,J$3*$AK551+$AL551)),J559+0.003*J553*J557,INDEX(FX_Input,$R551,J$3*$AK551+$AL551)+459.6),J559)</f>
        <v>520.04999999999995</v>
      </c>
      <c r="K560" cm="1">
        <f t="array" ref="K560">IFERROR(IF(ISBLANK(INDEX(FX_Input,$R551,K$3*$AK551+$AL551)),K559+0.003*K553*K557,INDEX(FX_Input,$R551,K$3*$AK551+$AL551)+459.6),K559)</f>
        <v>520.5</v>
      </c>
      <c r="L560" cm="1">
        <f t="array" ref="L560">IFERROR(IF(ISBLANK(INDEX(FX_Input,$R551,L$3*$AK551+$AL551)),L559+0.003*L553*L557,INDEX(FX_Input,$R551,L$3*$AK551+$AL551)+459.6),L559)</f>
        <v>518.20000000000005</v>
      </c>
      <c r="M560" cm="1">
        <f t="array" ref="M560">IFERROR(IF(ISBLANK(INDEX(FX_Input,$R551,M$3*$AK551+$AL551)),M559+0.003*M553*M557,INDEX(FX_Input,$R551,M$3*$AK551+$AL551)+459.6),M559)</f>
        <v>512.25</v>
      </c>
      <c r="N560" cm="1">
        <f t="array" ref="N560">IFERROR(IF(ISBLANK(INDEX(FX_Input,$R551,N$3*$AK551+$AL551)),N559+0.003*N553*N557,INDEX(FX_Input,$R551,N$3*$AK551+$AL551)+459.6),N559)</f>
        <v>506.70000000000005</v>
      </c>
      <c r="O560" cm="1">
        <f t="array" ref="O560">IFERROR(IF(ISBLANK(INDEX(FX_Input,$R551,O$3*$AK551+$AL551)),O559+0.003*O553*O557,INDEX(FX_Input,$R551,O$3*$AK551+$AL551)+459.6),O559)</f>
        <v>503.20000000000005</v>
      </c>
      <c r="P560" cm="1">
        <f t="array" ref="P560">IFERROR(IF(ISBLANK(INDEX(FX_Input,$R551,P$3*$AK551+$AL551)),P559+0.003*P553*P557,INDEX(FX_Input,$R551,P$3*$AK551+$AL551)+459.6),P559)</f>
        <v>1403.6</v>
      </c>
    </row>
    <row r="561" spans="1:38" ht="17.149999999999999" x14ac:dyDescent="0.55000000000000004">
      <c r="B561" t="str">
        <f t="shared" si="1361"/>
        <v>Portland</v>
      </c>
      <c r="C561" t="s">
        <v>526</v>
      </c>
      <c r="D561">
        <f>IF(ISNUMBER(D555),0.4*D551+0.6*D560+0.005*D555*D557,IF(D555="Partially Insulated",0.3*D559+0.7*D560+0.005*D554*D557,D560))-459.6</f>
        <v>43.899999999999977</v>
      </c>
      <c r="E561">
        <f t="shared" ref="E561" si="1367">IF(ISNUMBER(E555),0.4*E551+0.6*E560+0.005*E555*E557,IF(E555="Partially Insulated",0.3*E559+0.7*E560+0.005*E554*E557,E560))-459.6</f>
        <v>44.700000000000045</v>
      </c>
      <c r="F561">
        <f t="shared" ref="F561" si="1368">IF(ISNUMBER(F555),0.4*F551+0.6*F560+0.005*F555*F557,IF(F555="Partially Insulated",0.3*F559+0.7*F560+0.005*F554*F557,F560))-459.6</f>
        <v>46.100000000000023</v>
      </c>
      <c r="G561">
        <f t="shared" ref="G561" si="1369">IF(ISNUMBER(G555),0.4*G551+0.6*G560+0.005*G555*G557,IF(G555="Partially Insulated",0.3*G559+0.7*G560+0.005*G554*G557,G560))-459.6</f>
        <v>48.599999999999966</v>
      </c>
      <c r="H561">
        <f t="shared" ref="H561" si="1370">IF(ISNUMBER(H555),0.4*H551+0.6*H560+0.005*H555*H557,IF(H555="Partially Insulated",0.3*H559+0.7*H560+0.005*H554*H557,H560))-459.6</f>
        <v>53.149999999999977</v>
      </c>
      <c r="I561">
        <f t="shared" ref="I561" si="1371">IF(ISNUMBER(I555),0.4*I551+0.6*I560+0.005*I555*I557,IF(I555="Partially Insulated",0.3*I559+0.7*I560+0.005*I554*I557,I560))-459.6</f>
        <v>56.950000000000045</v>
      </c>
      <c r="J561">
        <f t="shared" ref="J561" si="1372">IF(ISNUMBER(J555),0.4*J551+0.6*J560+0.005*J555*J557,IF(J555="Partially Insulated",0.3*J559+0.7*J560+0.005*J554*J557,J560))-459.6</f>
        <v>60.449999999999932</v>
      </c>
      <c r="K561">
        <f t="shared" ref="K561" si="1373">IF(ISNUMBER(K555),0.4*K551+0.6*K560+0.005*K555*K557,IF(K555="Partially Insulated",0.3*K559+0.7*K560+0.005*K554*K557,K560))-459.6</f>
        <v>60.899999999999977</v>
      </c>
      <c r="L561">
        <f t="shared" ref="L561" si="1374">IF(ISNUMBER(L555),0.4*L551+0.6*L560+0.005*L555*L557,IF(L555="Partially Insulated",0.3*L559+0.7*L560+0.005*L554*L557,L560))-459.6</f>
        <v>58.600000000000023</v>
      </c>
      <c r="M561">
        <f t="shared" ref="M561" si="1375">IF(ISNUMBER(M555),0.4*M551+0.6*M560+0.005*M555*M557,IF(M555="Partially Insulated",0.3*M559+0.7*M560+0.005*M554*M557,M560))-459.6</f>
        <v>52.649999999999977</v>
      </c>
      <c r="N561">
        <f t="shared" ref="N561" si="1376">IF(ISNUMBER(N555),0.4*N551+0.6*N560+0.005*N555*N557,IF(N555="Partially Insulated",0.3*N559+0.7*N560+0.005*N554*N557,N560))-459.6</f>
        <v>47.100000000000023</v>
      </c>
      <c r="O561">
        <f t="shared" ref="O561" si="1377">IF(ISNUMBER(O555),0.4*O551+0.6*O560+0.005*O555*O557,IF(O555="Partially Insulated",0.3*O559+0.7*O560+0.005*O554*O557,O560))-459.6</f>
        <v>43.600000000000023</v>
      </c>
      <c r="P561">
        <f>AVERAGE(D561:O561)</f>
        <v>51.391666666666673</v>
      </c>
    </row>
    <row r="562" spans="1:38" ht="17.149999999999999" x14ac:dyDescent="0.55000000000000004">
      <c r="B562" t="str">
        <f t="shared" si="1361"/>
        <v>Portland</v>
      </c>
      <c r="C562" t="s">
        <v>527</v>
      </c>
      <c r="D562">
        <f>IF(ISNUMBER(D555),0.4*D552+0.6*D560+0.005*D555*D557,IF(D555="Partially Insulated",0.3*D559+0.7*D560+0.005*D554*D557,D560))-459.6</f>
        <v>43.899999999999977</v>
      </c>
      <c r="E562">
        <f t="shared" ref="E562:O562" si="1378">IF(ISNUMBER(E555),0.4*E552+0.6*E560+0.005*E555*E557,IF(E555="Partially Insulated",0.3*E559+0.7*E560+0.005*E554*E557,E560))-459.6</f>
        <v>44.700000000000045</v>
      </c>
      <c r="F562">
        <f t="shared" si="1378"/>
        <v>46.100000000000023</v>
      </c>
      <c r="G562">
        <f t="shared" si="1378"/>
        <v>48.599999999999966</v>
      </c>
      <c r="H562">
        <f t="shared" si="1378"/>
        <v>53.149999999999977</v>
      </c>
      <c r="I562">
        <f t="shared" si="1378"/>
        <v>56.950000000000045</v>
      </c>
      <c r="J562">
        <f t="shared" si="1378"/>
        <v>60.449999999999932</v>
      </c>
      <c r="K562">
        <f t="shared" si="1378"/>
        <v>60.899999999999977</v>
      </c>
      <c r="L562">
        <f t="shared" si="1378"/>
        <v>58.600000000000023</v>
      </c>
      <c r="M562">
        <f t="shared" si="1378"/>
        <v>52.649999999999977</v>
      </c>
      <c r="N562">
        <f t="shared" si="1378"/>
        <v>47.100000000000023</v>
      </c>
      <c r="O562">
        <f t="shared" si="1378"/>
        <v>43.600000000000023</v>
      </c>
      <c r="P562">
        <f>AVERAGE(D562:O562)</f>
        <v>51.391666666666673</v>
      </c>
    </row>
    <row r="563" spans="1:38" ht="17.149999999999999" x14ac:dyDescent="0.55000000000000004">
      <c r="B563" t="str">
        <f t="shared" si="1361"/>
        <v>Portland</v>
      </c>
      <c r="C563" t="s">
        <v>552</v>
      </c>
      <c r="D563">
        <f>IF(ISNUMBER(D555),0.4*D559+0.6*D560+0.005*D555*D557,IF(D555="Partially Insulated",0.3*D559+0.7*D560+0.005*D554*D557,D560))-459.6</f>
        <v>43.899999999999977</v>
      </c>
      <c r="E563">
        <f t="shared" ref="E563:O563" si="1379">IF(ISNUMBER(E555),0.4*E559+0.6*E560+0.005*E555*E557,IF(E555="Partially Insulated",0.3*E559+0.7*E560+0.005*E554*E557,E560))-459.6</f>
        <v>44.700000000000045</v>
      </c>
      <c r="F563">
        <f t="shared" si="1379"/>
        <v>46.100000000000023</v>
      </c>
      <c r="G563">
        <f t="shared" si="1379"/>
        <v>48.599999999999966</v>
      </c>
      <c r="H563">
        <f t="shared" si="1379"/>
        <v>53.149999999999977</v>
      </c>
      <c r="I563">
        <f t="shared" si="1379"/>
        <v>56.950000000000045</v>
      </c>
      <c r="J563">
        <f t="shared" si="1379"/>
        <v>60.449999999999932</v>
      </c>
      <c r="K563">
        <f t="shared" si="1379"/>
        <v>60.899999999999977</v>
      </c>
      <c r="L563">
        <f t="shared" si="1379"/>
        <v>58.600000000000023</v>
      </c>
      <c r="M563">
        <f t="shared" si="1379"/>
        <v>52.649999999999977</v>
      </c>
      <c r="N563">
        <f t="shared" si="1379"/>
        <v>47.100000000000023</v>
      </c>
      <c r="O563">
        <f t="shared" si="1379"/>
        <v>43.600000000000023</v>
      </c>
      <c r="P563">
        <f>AVERAGE(D563:O563)</f>
        <v>51.391666666666673</v>
      </c>
    </row>
    <row r="564" spans="1:38" ht="17.149999999999999" x14ac:dyDescent="0.55000000000000004">
      <c r="A564" s="11"/>
      <c r="B564" s="11" t="str">
        <f t="shared" si="1361"/>
        <v>Portland</v>
      </c>
      <c r="C564" s="11" t="s">
        <v>553</v>
      </c>
      <c r="D564" s="11">
        <f>IF(ISNUMBER(D555),0.7*D559+0.3*D560+0.009*D555*D557,IF(D555="Partially Insulated",0.6*D559+0.4*D560+0.01*D554*D557,D560))-459.6</f>
        <v>43.899999999999977</v>
      </c>
      <c r="E564" s="11">
        <f t="shared" ref="E564:O564" si="1380">IF(ISNUMBER(E555),0.7*E559+0.3*E560+0.009*E555*E557,IF(E555="Partially Insulated",0.6*E559+0.4*E560+0.01*E554*E557,E560))-459.6</f>
        <v>44.700000000000045</v>
      </c>
      <c r="F564" s="11">
        <f t="shared" si="1380"/>
        <v>46.100000000000023</v>
      </c>
      <c r="G564" s="11">
        <f t="shared" si="1380"/>
        <v>48.599999999999966</v>
      </c>
      <c r="H564" s="11">
        <f t="shared" si="1380"/>
        <v>53.149999999999977</v>
      </c>
      <c r="I564" s="11">
        <f t="shared" si="1380"/>
        <v>56.950000000000045</v>
      </c>
      <c r="J564" s="11">
        <f t="shared" si="1380"/>
        <v>60.449999999999932</v>
      </c>
      <c r="K564" s="11">
        <f t="shared" si="1380"/>
        <v>60.899999999999977</v>
      </c>
      <c r="L564" s="11">
        <f t="shared" si="1380"/>
        <v>58.600000000000023</v>
      </c>
      <c r="M564" s="11">
        <f t="shared" si="1380"/>
        <v>52.649999999999977</v>
      </c>
      <c r="N564" s="11">
        <f t="shared" si="1380"/>
        <v>47.100000000000023</v>
      </c>
      <c r="O564" s="11">
        <f t="shared" si="1380"/>
        <v>43.600000000000023</v>
      </c>
      <c r="P564" s="11">
        <f>AVERAGE(D564:O564)</f>
        <v>51.391666666666673</v>
      </c>
      <c r="Q564" s="11"/>
      <c r="R564" s="11"/>
      <c r="S564" s="11"/>
      <c r="T564" s="11"/>
      <c r="U564" s="11"/>
      <c r="V564" s="11"/>
      <c r="W564" s="11"/>
      <c r="X564" s="11"/>
      <c r="Y564" s="11"/>
      <c r="Z564" s="11"/>
      <c r="AA564" s="11"/>
      <c r="AB564" s="11"/>
      <c r="AC564" s="11"/>
      <c r="AD564" s="11"/>
      <c r="AE564" s="11"/>
      <c r="AF564" s="11"/>
      <c r="AG564" s="11"/>
      <c r="AH564" s="11"/>
      <c r="AI564" s="11"/>
      <c r="AJ564" s="11"/>
      <c r="AK564" s="11"/>
      <c r="AL564" s="11"/>
    </row>
    <row r="565" spans="1:38" ht="17.149999999999999" x14ac:dyDescent="0.55000000000000004">
      <c r="A565" t="str" cm="1">
        <f t="array" ref="A565">INDEX(FX_Input,$R565,S$5)</f>
        <v>FX - 41</v>
      </c>
      <c r="B565" t="str" cm="1">
        <f t="array" ref="B565">INDEX(FX_Input,R565,T565)</f>
        <v>Portland</v>
      </c>
      <c r="C565" t="s">
        <v>510</v>
      </c>
      <c r="D565">
        <f t="shared" ref="D565:O566" si="1381">VLOOKUP(VLOOKUP($B565,Terminal_X_Ref,2,FALSE)&amp;$C565,Weather_Data,$Y565*D$3+$Z565,FALSE)+459.6</f>
        <v>498.3</v>
      </c>
      <c r="E565">
        <f t="shared" si="1381"/>
        <v>497.70000000000005</v>
      </c>
      <c r="F565">
        <f t="shared" si="1381"/>
        <v>499.1</v>
      </c>
      <c r="G565">
        <f t="shared" si="1381"/>
        <v>501.5</v>
      </c>
      <c r="H565">
        <f t="shared" si="1381"/>
        <v>506.1</v>
      </c>
      <c r="I565">
        <f t="shared" si="1381"/>
        <v>510.3</v>
      </c>
      <c r="J565">
        <f t="shared" si="1381"/>
        <v>513.70000000000005</v>
      </c>
      <c r="K565">
        <f t="shared" si="1381"/>
        <v>513.70000000000005</v>
      </c>
      <c r="L565">
        <f t="shared" si="1381"/>
        <v>510</v>
      </c>
      <c r="M565">
        <f t="shared" si="1381"/>
        <v>504.90000000000003</v>
      </c>
      <c r="N565">
        <f t="shared" si="1381"/>
        <v>500.6</v>
      </c>
      <c r="O565">
        <f t="shared" si="1381"/>
        <v>498.20000000000005</v>
      </c>
      <c r="P565">
        <f t="shared" ref="P565:P566" si="1382">VLOOKUP(VLOOKUP($B565,Terminal_X_Ref,2,FALSE)&amp;$C565,Weather_Data,$Y565*P$3+$Z565,FALSE)</f>
        <v>44.9</v>
      </c>
      <c r="R565">
        <f>R551+2</f>
        <v>81</v>
      </c>
      <c r="S565">
        <f>S551+1</f>
        <v>41</v>
      </c>
      <c r="T565">
        <v>3</v>
      </c>
      <c r="U565">
        <v>2</v>
      </c>
      <c r="V565">
        <v>3</v>
      </c>
      <c r="W565">
        <v>1</v>
      </c>
      <c r="X565">
        <v>2</v>
      </c>
      <c r="Y565">
        <f>(V565-U565)/(X565-W565)</f>
        <v>1</v>
      </c>
      <c r="Z565">
        <f>U565-Y565*W565</f>
        <v>1</v>
      </c>
      <c r="AA565">
        <f>AA551+1</f>
        <v>41</v>
      </c>
      <c r="AB565">
        <v>6</v>
      </c>
      <c r="AC565">
        <v>3</v>
      </c>
      <c r="AD565">
        <v>13</v>
      </c>
      <c r="AE565">
        <v>12</v>
      </c>
      <c r="AF565">
        <v>14</v>
      </c>
      <c r="AG565">
        <v>77</v>
      </c>
      <c r="AH565">
        <v>78</v>
      </c>
      <c r="AI565">
        <v>1</v>
      </c>
      <c r="AJ565">
        <v>2</v>
      </c>
      <c r="AK565">
        <f>(AH565-AG565)/(AJ565-AI565)</f>
        <v>1</v>
      </c>
      <c r="AL565">
        <f>AG565-AK565*AI565</f>
        <v>76</v>
      </c>
    </row>
    <row r="566" spans="1:38" ht="17.149999999999999" x14ac:dyDescent="0.55000000000000004">
      <c r="B566" t="str">
        <f t="shared" ref="B566" si="1383">B565</f>
        <v>Portland</v>
      </c>
      <c r="C566" t="s">
        <v>511</v>
      </c>
      <c r="D566">
        <f t="shared" si="1381"/>
        <v>508.70000000000005</v>
      </c>
      <c r="E566">
        <f t="shared" si="1381"/>
        <v>510.90000000000003</v>
      </c>
      <c r="F566">
        <f t="shared" si="1381"/>
        <v>512.30000000000007</v>
      </c>
      <c r="G566">
        <f t="shared" si="1381"/>
        <v>514.9</v>
      </c>
      <c r="H566">
        <f t="shared" si="1381"/>
        <v>519.4</v>
      </c>
      <c r="I566">
        <f t="shared" si="1381"/>
        <v>522.80000000000007</v>
      </c>
      <c r="J566">
        <f t="shared" si="1381"/>
        <v>526.4</v>
      </c>
      <c r="K566">
        <f t="shared" si="1381"/>
        <v>527.30000000000007</v>
      </c>
      <c r="L566">
        <f t="shared" si="1381"/>
        <v>526.4</v>
      </c>
      <c r="M566">
        <f t="shared" si="1381"/>
        <v>519.6</v>
      </c>
      <c r="N566">
        <f t="shared" si="1381"/>
        <v>512.80000000000007</v>
      </c>
      <c r="O566">
        <f t="shared" si="1381"/>
        <v>508.20000000000005</v>
      </c>
      <c r="P566">
        <f t="shared" si="1382"/>
        <v>57.9</v>
      </c>
      <c r="U566">
        <f>U565</f>
        <v>2</v>
      </c>
      <c r="V566">
        <f t="shared" ref="V566:Z566" si="1384">V565</f>
        <v>3</v>
      </c>
      <c r="W566">
        <f t="shared" si="1384"/>
        <v>1</v>
      </c>
      <c r="X566">
        <f t="shared" si="1384"/>
        <v>2</v>
      </c>
      <c r="Y566">
        <f t="shared" si="1384"/>
        <v>1</v>
      </c>
      <c r="Z566">
        <f t="shared" si="1384"/>
        <v>1</v>
      </c>
      <c r="AA566">
        <f>AA565</f>
        <v>41</v>
      </c>
      <c r="AB566">
        <f t="shared" ref="AB566:AB569" si="1385">AB565</f>
        <v>6</v>
      </c>
      <c r="AC566">
        <f t="shared" ref="AC566:AF569" si="1386">AC565</f>
        <v>3</v>
      </c>
      <c r="AD566">
        <f t="shared" si="1386"/>
        <v>13</v>
      </c>
      <c r="AE566">
        <f t="shared" si="1386"/>
        <v>12</v>
      </c>
      <c r="AF566">
        <f t="shared" si="1386"/>
        <v>14</v>
      </c>
      <c r="AG566">
        <f t="shared" ref="AG566:AG569" si="1387">AG565</f>
        <v>77</v>
      </c>
      <c r="AH566">
        <f t="shared" ref="AH566:AH569" si="1388">AH565</f>
        <v>78</v>
      </c>
      <c r="AI566">
        <f t="shared" ref="AI566:AI569" si="1389">AI565</f>
        <v>1</v>
      </c>
      <c r="AJ566">
        <f t="shared" ref="AJ566:AJ569" si="1390">AJ565</f>
        <v>2</v>
      </c>
      <c r="AK566">
        <f t="shared" ref="AK566:AK569" si="1391">AK565</f>
        <v>1</v>
      </c>
      <c r="AL566">
        <f t="shared" ref="AL566:AL569" si="1392">AL565</f>
        <v>76</v>
      </c>
    </row>
    <row r="567" spans="1:38" ht="17.149999999999999" x14ac:dyDescent="0.4">
      <c r="B567" t="str">
        <f>B566</f>
        <v>Portland</v>
      </c>
      <c r="C567" s="66" t="s">
        <v>514</v>
      </c>
      <c r="D567" t="str" cm="1">
        <f t="array" ref="D567">INDEX(FX_Calcs,$AA567,$AE567)</f>
        <v>N/A</v>
      </c>
      <c r="E567" t="str" cm="1">
        <f t="array" ref="E567">INDEX(FX_Calcs,$AA567,$AE567)</f>
        <v>N/A</v>
      </c>
      <c r="F567" t="str" cm="1">
        <f t="array" ref="F567">INDEX(FX_Calcs,$AA567,$AE567)</f>
        <v>N/A</v>
      </c>
      <c r="G567" t="str" cm="1">
        <f t="array" ref="G567">INDEX(FX_Calcs,$AA567,$AE567)</f>
        <v>N/A</v>
      </c>
      <c r="H567" t="str" cm="1">
        <f t="array" ref="H567">INDEX(FX_Calcs,$AA567,$AE567)</f>
        <v>N/A</v>
      </c>
      <c r="I567" t="str" cm="1">
        <f t="array" ref="I567">INDEX(FX_Calcs,$AA567,$AE567)</f>
        <v>N/A</v>
      </c>
      <c r="J567" t="str" cm="1">
        <f t="array" ref="J567">INDEX(FX_Calcs,$AA567,$AE567)</f>
        <v>N/A</v>
      </c>
      <c r="K567" t="str" cm="1">
        <f t="array" ref="K567">INDEX(FX_Calcs,$AA567,$AE567)</f>
        <v>N/A</v>
      </c>
      <c r="L567" t="str" cm="1">
        <f t="array" ref="L567">INDEX(FX_Calcs,$AA567,$AE567)</f>
        <v>N/A</v>
      </c>
      <c r="M567" t="str" cm="1">
        <f t="array" ref="M567">INDEX(FX_Calcs,$AA567,$AE567)</f>
        <v>N/A</v>
      </c>
      <c r="N567" t="str" cm="1">
        <f t="array" ref="N567">INDEX(FX_Calcs,$AA567,$AE567)</f>
        <v>N/A</v>
      </c>
      <c r="O567" t="str" cm="1">
        <f t="array" ref="O567">INDEX(FX_Calcs,$AA567,$AE567)</f>
        <v>N/A</v>
      </c>
      <c r="P567" t="str" cm="1">
        <f t="array" ref="P567">INDEX(FX_Calcs,$AA567,$AE567)</f>
        <v>N/A</v>
      </c>
      <c r="AA567">
        <f>AA566</f>
        <v>41</v>
      </c>
      <c r="AB567">
        <f t="shared" si="1385"/>
        <v>6</v>
      </c>
      <c r="AC567">
        <f t="shared" si="1386"/>
        <v>3</v>
      </c>
      <c r="AD567">
        <f t="shared" si="1386"/>
        <v>13</v>
      </c>
      <c r="AE567">
        <f t="shared" si="1386"/>
        <v>12</v>
      </c>
      <c r="AF567">
        <f t="shared" si="1386"/>
        <v>14</v>
      </c>
      <c r="AG567">
        <f t="shared" si="1387"/>
        <v>77</v>
      </c>
      <c r="AH567">
        <f t="shared" si="1388"/>
        <v>78</v>
      </c>
      <c r="AI567">
        <f t="shared" si="1389"/>
        <v>1</v>
      </c>
      <c r="AJ567">
        <f t="shared" si="1390"/>
        <v>2</v>
      </c>
      <c r="AK567">
        <f t="shared" si="1391"/>
        <v>1</v>
      </c>
      <c r="AL567">
        <f t="shared" si="1392"/>
        <v>76</v>
      </c>
    </row>
    <row r="568" spans="1:38" ht="17.149999999999999" x14ac:dyDescent="0.4">
      <c r="B568" t="str">
        <f t="shared" ref="B568:B569" si="1393">B567</f>
        <v>Portland</v>
      </c>
      <c r="C568" s="66" t="s">
        <v>513</v>
      </c>
      <c r="D568" t="str" cm="1">
        <f t="array" ref="D568">INDEX(FX_Calcs,$AA568,$AD568)</f>
        <v>N/A</v>
      </c>
      <c r="E568" t="str" cm="1">
        <f t="array" ref="E568">INDEX(FX_Calcs,$AA568,$AD568)</f>
        <v>N/A</v>
      </c>
      <c r="F568" t="str" cm="1">
        <f t="array" ref="F568">INDEX(FX_Calcs,$AA568,$AD568)</f>
        <v>N/A</v>
      </c>
      <c r="G568" t="str" cm="1">
        <f t="array" ref="G568">INDEX(FX_Calcs,$AA568,$AD568)</f>
        <v>N/A</v>
      </c>
      <c r="H568" t="str" cm="1">
        <f t="array" ref="H568">INDEX(FX_Calcs,$AA568,$AD568)</f>
        <v>N/A</v>
      </c>
      <c r="I568" t="str" cm="1">
        <f t="array" ref="I568">INDEX(FX_Calcs,$AA568,$AD568)</f>
        <v>N/A</v>
      </c>
      <c r="J568" t="str" cm="1">
        <f t="array" ref="J568">INDEX(FX_Calcs,$AA568,$AD568)</f>
        <v>N/A</v>
      </c>
      <c r="K568" t="str" cm="1">
        <f t="array" ref="K568">INDEX(FX_Calcs,$AA568,$AD568)</f>
        <v>N/A</v>
      </c>
      <c r="L568" t="str" cm="1">
        <f t="array" ref="L568">INDEX(FX_Calcs,$AA568,$AD568)</f>
        <v>N/A</v>
      </c>
      <c r="M568" t="str" cm="1">
        <f t="array" ref="M568">INDEX(FX_Calcs,$AA568,$AD568)</f>
        <v>N/A</v>
      </c>
      <c r="N568" t="str" cm="1">
        <f t="array" ref="N568">INDEX(FX_Calcs,$AA568,$AD568)</f>
        <v>N/A</v>
      </c>
      <c r="O568" t="str" cm="1">
        <f t="array" ref="O568">INDEX(FX_Calcs,$AA568,$AD568)</f>
        <v>N/A</v>
      </c>
      <c r="P568" t="str" cm="1">
        <f t="array" ref="P568">INDEX(FX_Calcs,$AA568,$AD568)</f>
        <v>N/A</v>
      </c>
      <c r="AA568">
        <f>AA567</f>
        <v>41</v>
      </c>
      <c r="AB568">
        <f t="shared" si="1385"/>
        <v>6</v>
      </c>
      <c r="AC568">
        <f t="shared" si="1386"/>
        <v>3</v>
      </c>
      <c r="AD568">
        <f t="shared" si="1386"/>
        <v>13</v>
      </c>
      <c r="AE568">
        <f t="shared" si="1386"/>
        <v>12</v>
      </c>
      <c r="AF568">
        <f t="shared" si="1386"/>
        <v>14</v>
      </c>
      <c r="AG568">
        <f t="shared" si="1387"/>
        <v>77</v>
      </c>
      <c r="AH568">
        <f t="shared" si="1388"/>
        <v>78</v>
      </c>
      <c r="AI568">
        <f t="shared" si="1389"/>
        <v>1</v>
      </c>
      <c r="AJ568">
        <f t="shared" si="1390"/>
        <v>2</v>
      </c>
      <c r="AK568">
        <f t="shared" si="1391"/>
        <v>1</v>
      </c>
      <c r="AL568">
        <f t="shared" si="1392"/>
        <v>76</v>
      </c>
    </row>
    <row r="569" spans="1:38" x14ac:dyDescent="0.4">
      <c r="B569" t="str">
        <f t="shared" si="1393"/>
        <v>Portland</v>
      </c>
      <c r="C569" s="66" t="s">
        <v>558</v>
      </c>
      <c r="D569" t="str" cm="1">
        <f t="array" ref="D569">INDEX(FX_Calcs,$AA569,$AF569)</f>
        <v>Insulated</v>
      </c>
      <c r="E569" t="str" cm="1">
        <f t="array" ref="E569">INDEX(FX_Calcs,$AA569,$AF569)</f>
        <v>Insulated</v>
      </c>
      <c r="F569" t="str" cm="1">
        <f t="array" ref="F569">INDEX(FX_Calcs,$AA569,$AF569)</f>
        <v>Insulated</v>
      </c>
      <c r="G569" t="str" cm="1">
        <f t="array" ref="G569">INDEX(FX_Calcs,$AA569,$AF569)</f>
        <v>Insulated</v>
      </c>
      <c r="H569" t="str" cm="1">
        <f t="array" ref="H569">INDEX(FX_Calcs,$AA569,$AF569)</f>
        <v>Insulated</v>
      </c>
      <c r="I569" t="str" cm="1">
        <f t="array" ref="I569">INDEX(FX_Calcs,$AA569,$AF569)</f>
        <v>Insulated</v>
      </c>
      <c r="J569" t="str" cm="1">
        <f t="array" ref="J569">INDEX(FX_Calcs,$AA569,$AF569)</f>
        <v>Insulated</v>
      </c>
      <c r="K569" t="str" cm="1">
        <f t="array" ref="K569">INDEX(FX_Calcs,$AA569,$AF569)</f>
        <v>Insulated</v>
      </c>
      <c r="L569" t="str" cm="1">
        <f t="array" ref="L569">INDEX(FX_Calcs,$AA569,$AF569)</f>
        <v>Insulated</v>
      </c>
      <c r="M569" t="str" cm="1">
        <f t="array" ref="M569">INDEX(FX_Calcs,$AA569,$AF569)</f>
        <v>Insulated</v>
      </c>
      <c r="N569" t="str" cm="1">
        <f t="array" ref="N569">INDEX(FX_Calcs,$AA569,$AF569)</f>
        <v>Insulated</v>
      </c>
      <c r="O569" t="str" cm="1">
        <f t="array" ref="O569">INDEX(FX_Calcs,$AA569,$AF569)</f>
        <v>Insulated</v>
      </c>
      <c r="P569" t="str" cm="1">
        <f t="array" ref="P569">INDEX(FX_Calcs,$AA569,$AF569)</f>
        <v>Insulated</v>
      </c>
      <c r="AA569">
        <f>AA568</f>
        <v>41</v>
      </c>
      <c r="AB569">
        <f t="shared" si="1385"/>
        <v>6</v>
      </c>
      <c r="AC569">
        <f t="shared" si="1386"/>
        <v>3</v>
      </c>
      <c r="AD569">
        <f t="shared" si="1386"/>
        <v>13</v>
      </c>
      <c r="AE569">
        <f t="shared" si="1386"/>
        <v>12</v>
      </c>
      <c r="AF569">
        <f t="shared" si="1386"/>
        <v>14</v>
      </c>
      <c r="AG569">
        <f t="shared" si="1387"/>
        <v>77</v>
      </c>
      <c r="AH569">
        <f t="shared" si="1388"/>
        <v>78</v>
      </c>
      <c r="AI569">
        <f t="shared" si="1389"/>
        <v>1</v>
      </c>
      <c r="AJ569">
        <f t="shared" si="1390"/>
        <v>2</v>
      </c>
      <c r="AK569">
        <f t="shared" si="1391"/>
        <v>1</v>
      </c>
      <c r="AL569">
        <f t="shared" si="1392"/>
        <v>76</v>
      </c>
    </row>
    <row r="570" spans="1:38" ht="17.149999999999999" x14ac:dyDescent="0.55000000000000004">
      <c r="B570" t="str">
        <f>B566</f>
        <v>Portland</v>
      </c>
      <c r="C570" t="s">
        <v>512</v>
      </c>
      <c r="D570">
        <f t="shared" ref="D570:P570" si="1394">D566-D565</f>
        <v>10.400000000000034</v>
      </c>
      <c r="E570">
        <f t="shared" si="1394"/>
        <v>13.199999999999989</v>
      </c>
      <c r="F570">
        <f t="shared" si="1394"/>
        <v>13.200000000000045</v>
      </c>
      <c r="G570">
        <f t="shared" si="1394"/>
        <v>13.399999999999977</v>
      </c>
      <c r="H570">
        <f t="shared" si="1394"/>
        <v>13.299999999999955</v>
      </c>
      <c r="I570">
        <f t="shared" si="1394"/>
        <v>12.500000000000057</v>
      </c>
      <c r="J570">
        <f t="shared" si="1394"/>
        <v>12.699999999999932</v>
      </c>
      <c r="K570">
        <f t="shared" si="1394"/>
        <v>13.600000000000023</v>
      </c>
      <c r="L570">
        <f t="shared" si="1394"/>
        <v>16.399999999999977</v>
      </c>
      <c r="M570">
        <f t="shared" si="1394"/>
        <v>14.699999999999989</v>
      </c>
      <c r="N570">
        <f t="shared" si="1394"/>
        <v>12.200000000000045</v>
      </c>
      <c r="O570">
        <f t="shared" si="1394"/>
        <v>10</v>
      </c>
      <c r="P570">
        <f t="shared" si="1394"/>
        <v>13</v>
      </c>
    </row>
    <row r="571" spans="1:38" x14ac:dyDescent="0.4">
      <c r="B571" t="str">
        <f t="shared" ref="B571:B578" si="1395">B570</f>
        <v>Portland</v>
      </c>
      <c r="C571" t="s">
        <v>260</v>
      </c>
      <c r="D571">
        <f t="shared" ref="D571:P571" si="1396">VLOOKUP(VLOOKUP($B571,Terminal_X_Ref,2,FALSE)&amp;$C571,Weather_Data,$Y571*D$3+$Z571,FALSE)</f>
        <v>343</v>
      </c>
      <c r="E571">
        <f t="shared" si="1396"/>
        <v>600</v>
      </c>
      <c r="F571">
        <f t="shared" si="1396"/>
        <v>877</v>
      </c>
      <c r="G571">
        <f t="shared" si="1396"/>
        <v>1252</v>
      </c>
      <c r="H571">
        <f t="shared" si="1396"/>
        <v>1537</v>
      </c>
      <c r="I571">
        <f t="shared" si="1396"/>
        <v>1627</v>
      </c>
      <c r="J571">
        <f t="shared" si="1396"/>
        <v>1708</v>
      </c>
      <c r="K571">
        <f t="shared" si="1396"/>
        <v>1492</v>
      </c>
      <c r="L571">
        <f t="shared" si="1396"/>
        <v>1196</v>
      </c>
      <c r="M571">
        <f t="shared" si="1396"/>
        <v>728</v>
      </c>
      <c r="N571">
        <f t="shared" si="1396"/>
        <v>391</v>
      </c>
      <c r="O571">
        <f t="shared" si="1396"/>
        <v>302</v>
      </c>
      <c r="P571">
        <f t="shared" si="1396"/>
        <v>1005</v>
      </c>
      <c r="U571">
        <f>U566</f>
        <v>2</v>
      </c>
      <c r="V571">
        <f t="shared" ref="V571:Z571" si="1397">V566</f>
        <v>3</v>
      </c>
      <c r="W571">
        <f t="shared" si="1397"/>
        <v>1</v>
      </c>
      <c r="X571">
        <f t="shared" si="1397"/>
        <v>2</v>
      </c>
      <c r="Y571">
        <f t="shared" si="1397"/>
        <v>1</v>
      </c>
      <c r="Z571">
        <f t="shared" si="1397"/>
        <v>1</v>
      </c>
    </row>
    <row r="572" spans="1:38" ht="17.149999999999999" x14ac:dyDescent="0.55000000000000004">
      <c r="B572" t="str">
        <f t="shared" si="1395"/>
        <v>Portland</v>
      </c>
      <c r="C572" t="s">
        <v>523</v>
      </c>
      <c r="D572">
        <f>IF(ISNUMBER(D569),0.7*D570+0.02*D569*D571,IF(D569="Partially Insulated",0.6*D570+0.02*D568*D571,0))</f>
        <v>0</v>
      </c>
      <c r="E572">
        <f t="shared" ref="E572:P572" si="1398">IF(ISNUMBER(E569),0.7*E570+0.02*E569*E571,IF(E569="Partially Insulated",0.6*E570+0.02*E568*E571,0))</f>
        <v>0</v>
      </c>
      <c r="F572">
        <f t="shared" si="1398"/>
        <v>0</v>
      </c>
      <c r="G572">
        <f t="shared" si="1398"/>
        <v>0</v>
      </c>
      <c r="H572">
        <f t="shared" si="1398"/>
        <v>0</v>
      </c>
      <c r="I572">
        <f t="shared" si="1398"/>
        <v>0</v>
      </c>
      <c r="J572">
        <f t="shared" si="1398"/>
        <v>0</v>
      </c>
      <c r="K572">
        <f t="shared" si="1398"/>
        <v>0</v>
      </c>
      <c r="L572">
        <f t="shared" si="1398"/>
        <v>0</v>
      </c>
      <c r="M572">
        <f t="shared" si="1398"/>
        <v>0</v>
      </c>
      <c r="N572">
        <f t="shared" si="1398"/>
        <v>0</v>
      </c>
      <c r="O572">
        <f t="shared" si="1398"/>
        <v>0</v>
      </c>
      <c r="P572">
        <f t="shared" si="1398"/>
        <v>0</v>
      </c>
    </row>
    <row r="573" spans="1:38" ht="17.149999999999999" x14ac:dyDescent="0.55000000000000004">
      <c r="B573" t="str">
        <f t="shared" si="1395"/>
        <v>Portland</v>
      </c>
      <c r="C573" t="s">
        <v>524</v>
      </c>
      <c r="D573">
        <f t="shared" ref="D573:F573" si="1399">AVERAGE(D565:D566)</f>
        <v>503.5</v>
      </c>
      <c r="E573">
        <f t="shared" si="1399"/>
        <v>504.30000000000007</v>
      </c>
      <c r="F573">
        <f t="shared" si="1399"/>
        <v>505.70000000000005</v>
      </c>
      <c r="G573">
        <f>AVERAGE(G565:G566)</f>
        <v>508.2</v>
      </c>
      <c r="H573">
        <f t="shared" ref="H573:P573" si="1400">AVERAGE(H565:H566)</f>
        <v>512.75</v>
      </c>
      <c r="I573">
        <f t="shared" si="1400"/>
        <v>516.55000000000007</v>
      </c>
      <c r="J573">
        <f t="shared" si="1400"/>
        <v>520.04999999999995</v>
      </c>
      <c r="K573">
        <f t="shared" si="1400"/>
        <v>520.5</v>
      </c>
      <c r="L573">
        <f t="shared" si="1400"/>
        <v>518.20000000000005</v>
      </c>
      <c r="M573">
        <f t="shared" si="1400"/>
        <v>512.25</v>
      </c>
      <c r="N573">
        <f t="shared" si="1400"/>
        <v>506.70000000000005</v>
      </c>
      <c r="O573">
        <f t="shared" si="1400"/>
        <v>503.20000000000005</v>
      </c>
      <c r="P573">
        <f t="shared" si="1400"/>
        <v>51.4</v>
      </c>
    </row>
    <row r="574" spans="1:38" ht="17.149999999999999" x14ac:dyDescent="0.55000000000000004">
      <c r="B574" t="str">
        <f t="shared" si="1395"/>
        <v>Portland</v>
      </c>
      <c r="C574" t="s">
        <v>525</v>
      </c>
      <c r="D574" cm="1">
        <f t="array" ref="D574">IFERROR(IF(ISBLANK(INDEX(FX_Input,$R565,D$3*$AK565+$AL565)),D573+0.003*D567*D571,INDEX(FX_Input,$R565,D$3*$AK565+$AL565)+459.6),D573)</f>
        <v>503.5</v>
      </c>
      <c r="E574" cm="1">
        <f t="array" ref="E574">IFERROR(IF(ISBLANK(INDEX(FX_Input,$R565,E$3*$AK565+$AL565)),E573+0.003*E567*E571,INDEX(FX_Input,$R565,E$3*$AK565+$AL565)+459.6),E573)</f>
        <v>504.30000000000007</v>
      </c>
      <c r="F574" cm="1">
        <f t="array" ref="F574">IFERROR(IF(ISBLANK(INDEX(FX_Input,$R565,F$3*$AK565+$AL565)),F573+0.003*F567*F571,INDEX(FX_Input,$R565,F$3*$AK565+$AL565)+459.6),F573)</f>
        <v>505.70000000000005</v>
      </c>
      <c r="G574" cm="1">
        <f t="array" ref="G574">IFERROR(IF(ISBLANK(INDEX(FX_Input,$R565,G$3*$AK565+$AL565)),G573+0.003*G567*G571,INDEX(FX_Input,$R565,G$3*$AK565+$AL565)+459.6),G573)</f>
        <v>508.2</v>
      </c>
      <c r="H574" cm="1">
        <f t="array" ref="H574">IFERROR(IF(ISBLANK(INDEX(FX_Input,$R565,H$3*$AK565+$AL565)),H573+0.003*H567*H571,INDEX(FX_Input,$R565,H$3*$AK565+$AL565)+459.6),H573)</f>
        <v>512.75</v>
      </c>
      <c r="I574" cm="1">
        <f t="array" ref="I574">IFERROR(IF(ISBLANK(INDEX(FX_Input,$R565,I$3*$AK565+$AL565)),I573+0.003*I567*I571,INDEX(FX_Input,$R565,I$3*$AK565+$AL565)+459.6),I573)</f>
        <v>516.55000000000007</v>
      </c>
      <c r="J574" cm="1">
        <f t="array" ref="J574">IFERROR(IF(ISBLANK(INDEX(FX_Input,$R565,J$3*$AK565+$AL565)),J573+0.003*J567*J571,INDEX(FX_Input,$R565,J$3*$AK565+$AL565)+459.6),J573)</f>
        <v>520.04999999999995</v>
      </c>
      <c r="K574" cm="1">
        <f t="array" ref="K574">IFERROR(IF(ISBLANK(INDEX(FX_Input,$R565,K$3*$AK565+$AL565)),K573+0.003*K567*K571,INDEX(FX_Input,$R565,K$3*$AK565+$AL565)+459.6),K573)</f>
        <v>520.5</v>
      </c>
      <c r="L574" cm="1">
        <f t="array" ref="L574">IFERROR(IF(ISBLANK(INDEX(FX_Input,$R565,L$3*$AK565+$AL565)),L573+0.003*L567*L571,INDEX(FX_Input,$R565,L$3*$AK565+$AL565)+459.6),L573)</f>
        <v>518.20000000000005</v>
      </c>
      <c r="M574" cm="1">
        <f t="array" ref="M574">IFERROR(IF(ISBLANK(INDEX(FX_Input,$R565,M$3*$AK565+$AL565)),M573+0.003*M567*M571,INDEX(FX_Input,$R565,M$3*$AK565+$AL565)+459.6),M573)</f>
        <v>512.25</v>
      </c>
      <c r="N574" cm="1">
        <f t="array" ref="N574">IFERROR(IF(ISBLANK(INDEX(FX_Input,$R565,N$3*$AK565+$AL565)),N573+0.003*N567*N571,INDEX(FX_Input,$R565,N$3*$AK565+$AL565)+459.6),N573)</f>
        <v>506.70000000000005</v>
      </c>
      <c r="O574" cm="1">
        <f t="array" ref="O574">IFERROR(IF(ISBLANK(INDEX(FX_Input,$R565,O$3*$AK565+$AL565)),O573+0.003*O567*O571,INDEX(FX_Input,$R565,O$3*$AK565+$AL565)+459.6),O573)</f>
        <v>503.20000000000005</v>
      </c>
      <c r="P574" cm="1">
        <f t="array" ref="P574">IFERROR(IF(ISBLANK(INDEX(FX_Input,$R565,P$3*$AK565+$AL565)),P573+0.003*P567*P571,INDEX(FX_Input,$R565,P$3*$AK565+$AL565)+459.6),P573)</f>
        <v>1025.5999999999999</v>
      </c>
    </row>
    <row r="575" spans="1:38" ht="17.149999999999999" x14ac:dyDescent="0.55000000000000004">
      <c r="B575" t="str">
        <f t="shared" si="1395"/>
        <v>Portland</v>
      </c>
      <c r="C575" t="s">
        <v>526</v>
      </c>
      <c r="D575">
        <f>IF(ISNUMBER(D569),0.4*D565+0.6*D574+0.005*D569*D571,IF(D569="Partially Insulated",0.3*D573+0.7*D574+0.005*D568*D571,D574))-459.6</f>
        <v>43.899999999999977</v>
      </c>
      <c r="E575">
        <f t="shared" ref="E575" si="1401">IF(ISNUMBER(E569),0.4*E565+0.6*E574+0.005*E569*E571,IF(E569="Partially Insulated",0.3*E573+0.7*E574+0.005*E568*E571,E574))-459.6</f>
        <v>44.700000000000045</v>
      </c>
      <c r="F575">
        <f t="shared" ref="F575" si="1402">IF(ISNUMBER(F569),0.4*F565+0.6*F574+0.005*F569*F571,IF(F569="Partially Insulated",0.3*F573+0.7*F574+0.005*F568*F571,F574))-459.6</f>
        <v>46.100000000000023</v>
      </c>
      <c r="G575">
        <f t="shared" ref="G575" si="1403">IF(ISNUMBER(G569),0.4*G565+0.6*G574+0.005*G569*G571,IF(G569="Partially Insulated",0.3*G573+0.7*G574+0.005*G568*G571,G574))-459.6</f>
        <v>48.599999999999966</v>
      </c>
      <c r="H575">
        <f t="shared" ref="H575" si="1404">IF(ISNUMBER(H569),0.4*H565+0.6*H574+0.005*H569*H571,IF(H569="Partially Insulated",0.3*H573+0.7*H574+0.005*H568*H571,H574))-459.6</f>
        <v>53.149999999999977</v>
      </c>
      <c r="I575">
        <f t="shared" ref="I575" si="1405">IF(ISNUMBER(I569),0.4*I565+0.6*I574+0.005*I569*I571,IF(I569="Partially Insulated",0.3*I573+0.7*I574+0.005*I568*I571,I574))-459.6</f>
        <v>56.950000000000045</v>
      </c>
      <c r="J575">
        <f t="shared" ref="J575" si="1406">IF(ISNUMBER(J569),0.4*J565+0.6*J574+0.005*J569*J571,IF(J569="Partially Insulated",0.3*J573+0.7*J574+0.005*J568*J571,J574))-459.6</f>
        <v>60.449999999999932</v>
      </c>
      <c r="K575">
        <f t="shared" ref="K575" si="1407">IF(ISNUMBER(K569),0.4*K565+0.6*K574+0.005*K569*K571,IF(K569="Partially Insulated",0.3*K573+0.7*K574+0.005*K568*K571,K574))-459.6</f>
        <v>60.899999999999977</v>
      </c>
      <c r="L575">
        <f t="shared" ref="L575" si="1408">IF(ISNUMBER(L569),0.4*L565+0.6*L574+0.005*L569*L571,IF(L569="Partially Insulated",0.3*L573+0.7*L574+0.005*L568*L571,L574))-459.6</f>
        <v>58.600000000000023</v>
      </c>
      <c r="M575">
        <f t="shared" ref="M575" si="1409">IF(ISNUMBER(M569),0.4*M565+0.6*M574+0.005*M569*M571,IF(M569="Partially Insulated",0.3*M573+0.7*M574+0.005*M568*M571,M574))-459.6</f>
        <v>52.649999999999977</v>
      </c>
      <c r="N575">
        <f t="shared" ref="N575" si="1410">IF(ISNUMBER(N569),0.4*N565+0.6*N574+0.005*N569*N571,IF(N569="Partially Insulated",0.3*N573+0.7*N574+0.005*N568*N571,N574))-459.6</f>
        <v>47.100000000000023</v>
      </c>
      <c r="O575">
        <f t="shared" ref="O575" si="1411">IF(ISNUMBER(O569),0.4*O565+0.6*O574+0.005*O569*O571,IF(O569="Partially Insulated",0.3*O573+0.7*O574+0.005*O568*O571,O574))-459.6</f>
        <v>43.600000000000023</v>
      </c>
      <c r="P575">
        <f>AVERAGE(D575:O575)</f>
        <v>51.391666666666673</v>
      </c>
    </row>
    <row r="576" spans="1:38" ht="17.149999999999999" x14ac:dyDescent="0.55000000000000004">
      <c r="B576" t="str">
        <f t="shared" si="1395"/>
        <v>Portland</v>
      </c>
      <c r="C576" t="s">
        <v>527</v>
      </c>
      <c r="D576">
        <f>IF(ISNUMBER(D569),0.4*D566+0.6*D574+0.005*D569*D571,IF(D569="Partially Insulated",0.3*D573+0.7*D574+0.005*D568*D571,D574))-459.6</f>
        <v>43.899999999999977</v>
      </c>
      <c r="E576">
        <f t="shared" ref="E576:O576" si="1412">IF(ISNUMBER(E569),0.4*E566+0.6*E574+0.005*E569*E571,IF(E569="Partially Insulated",0.3*E573+0.7*E574+0.005*E568*E571,E574))-459.6</f>
        <v>44.700000000000045</v>
      </c>
      <c r="F576">
        <f t="shared" si="1412"/>
        <v>46.100000000000023</v>
      </c>
      <c r="G576">
        <f t="shared" si="1412"/>
        <v>48.599999999999966</v>
      </c>
      <c r="H576">
        <f t="shared" si="1412"/>
        <v>53.149999999999977</v>
      </c>
      <c r="I576">
        <f t="shared" si="1412"/>
        <v>56.950000000000045</v>
      </c>
      <c r="J576">
        <f t="shared" si="1412"/>
        <v>60.449999999999932</v>
      </c>
      <c r="K576">
        <f t="shared" si="1412"/>
        <v>60.899999999999977</v>
      </c>
      <c r="L576">
        <f t="shared" si="1412"/>
        <v>58.600000000000023</v>
      </c>
      <c r="M576">
        <f t="shared" si="1412"/>
        <v>52.649999999999977</v>
      </c>
      <c r="N576">
        <f t="shared" si="1412"/>
        <v>47.100000000000023</v>
      </c>
      <c r="O576">
        <f t="shared" si="1412"/>
        <v>43.600000000000023</v>
      </c>
      <c r="P576">
        <f>AVERAGE(D576:O576)</f>
        <v>51.391666666666673</v>
      </c>
    </row>
    <row r="577" spans="1:38" ht="17.149999999999999" x14ac:dyDescent="0.55000000000000004">
      <c r="B577" t="str">
        <f t="shared" si="1395"/>
        <v>Portland</v>
      </c>
      <c r="C577" t="s">
        <v>552</v>
      </c>
      <c r="D577">
        <f>IF(ISNUMBER(D569),0.4*D573+0.6*D574+0.005*D569*D571,IF(D569="Partially Insulated",0.3*D573+0.7*D574+0.005*D568*D571,D574))-459.6</f>
        <v>43.899999999999977</v>
      </c>
      <c r="E577">
        <f t="shared" ref="E577:O577" si="1413">IF(ISNUMBER(E569),0.4*E573+0.6*E574+0.005*E569*E571,IF(E569="Partially Insulated",0.3*E573+0.7*E574+0.005*E568*E571,E574))-459.6</f>
        <v>44.700000000000045</v>
      </c>
      <c r="F577">
        <f t="shared" si="1413"/>
        <v>46.100000000000023</v>
      </c>
      <c r="G577">
        <f t="shared" si="1413"/>
        <v>48.599999999999966</v>
      </c>
      <c r="H577">
        <f t="shared" si="1413"/>
        <v>53.149999999999977</v>
      </c>
      <c r="I577">
        <f t="shared" si="1413"/>
        <v>56.950000000000045</v>
      </c>
      <c r="J577">
        <f t="shared" si="1413"/>
        <v>60.449999999999932</v>
      </c>
      <c r="K577">
        <f t="shared" si="1413"/>
        <v>60.899999999999977</v>
      </c>
      <c r="L577">
        <f t="shared" si="1413"/>
        <v>58.600000000000023</v>
      </c>
      <c r="M577">
        <f t="shared" si="1413"/>
        <v>52.649999999999977</v>
      </c>
      <c r="N577">
        <f t="shared" si="1413"/>
        <v>47.100000000000023</v>
      </c>
      <c r="O577">
        <f t="shared" si="1413"/>
        <v>43.600000000000023</v>
      </c>
      <c r="P577">
        <f>AVERAGE(D577:O577)</f>
        <v>51.391666666666673</v>
      </c>
    </row>
    <row r="578" spans="1:38" ht="17.149999999999999" x14ac:dyDescent="0.55000000000000004">
      <c r="A578" s="11"/>
      <c r="B578" s="11" t="str">
        <f t="shared" si="1395"/>
        <v>Portland</v>
      </c>
      <c r="C578" s="11" t="s">
        <v>553</v>
      </c>
      <c r="D578" s="11">
        <f>IF(ISNUMBER(D569),0.7*D573+0.3*D574+0.009*D569*D571,IF(D569="Partially Insulated",0.6*D573+0.4*D574+0.01*D568*D571,D574))-459.6</f>
        <v>43.899999999999977</v>
      </c>
      <c r="E578" s="11">
        <f t="shared" ref="E578:O578" si="1414">IF(ISNUMBER(E569),0.7*E573+0.3*E574+0.009*E569*E571,IF(E569="Partially Insulated",0.6*E573+0.4*E574+0.01*E568*E571,E574))-459.6</f>
        <v>44.700000000000045</v>
      </c>
      <c r="F578" s="11">
        <f t="shared" si="1414"/>
        <v>46.100000000000023</v>
      </c>
      <c r="G578" s="11">
        <f t="shared" si="1414"/>
        <v>48.599999999999966</v>
      </c>
      <c r="H578" s="11">
        <f t="shared" si="1414"/>
        <v>53.149999999999977</v>
      </c>
      <c r="I578" s="11">
        <f t="shared" si="1414"/>
        <v>56.950000000000045</v>
      </c>
      <c r="J578" s="11">
        <f t="shared" si="1414"/>
        <v>60.449999999999932</v>
      </c>
      <c r="K578" s="11">
        <f t="shared" si="1414"/>
        <v>60.899999999999977</v>
      </c>
      <c r="L578" s="11">
        <f t="shared" si="1414"/>
        <v>58.600000000000023</v>
      </c>
      <c r="M578" s="11">
        <f t="shared" si="1414"/>
        <v>52.649999999999977</v>
      </c>
      <c r="N578" s="11">
        <f t="shared" si="1414"/>
        <v>47.100000000000023</v>
      </c>
      <c r="O578" s="11">
        <f t="shared" si="1414"/>
        <v>43.600000000000023</v>
      </c>
      <c r="P578" s="11">
        <f>AVERAGE(D578:O578)</f>
        <v>51.391666666666673</v>
      </c>
      <c r="Q578" s="11"/>
      <c r="R578" s="11"/>
      <c r="S578" s="11"/>
      <c r="T578" s="11"/>
      <c r="U578" s="11"/>
      <c r="V578" s="11"/>
      <c r="W578" s="11"/>
      <c r="X578" s="11"/>
      <c r="Y578" s="11"/>
      <c r="Z578" s="11"/>
      <c r="AA578" s="11"/>
      <c r="AB578" s="11"/>
      <c r="AC578" s="11"/>
      <c r="AD578" s="11"/>
      <c r="AE578" s="11"/>
      <c r="AF578" s="11"/>
      <c r="AG578" s="11"/>
      <c r="AH578" s="11"/>
      <c r="AI578" s="11"/>
      <c r="AJ578" s="11"/>
      <c r="AK578" s="11"/>
      <c r="AL578" s="11"/>
    </row>
    <row r="579" spans="1:38" ht="17.149999999999999" x14ac:dyDescent="0.55000000000000004">
      <c r="A579" t="str" cm="1">
        <f t="array" ref="A579">INDEX(FX_Input,$R579,S$5)</f>
        <v>FX - 42</v>
      </c>
      <c r="B579" t="str" cm="1">
        <f t="array" ref="B579">INDEX(FX_Input,R579,T579)</f>
        <v>Portland</v>
      </c>
      <c r="C579" t="s">
        <v>510</v>
      </c>
      <c r="D579">
        <f t="shared" ref="D579:O580" si="1415">VLOOKUP(VLOOKUP($B579,Terminal_X_Ref,2,FALSE)&amp;$C579,Weather_Data,$Y579*D$3+$Z579,FALSE)+459.6</f>
        <v>498.3</v>
      </c>
      <c r="E579">
        <f t="shared" si="1415"/>
        <v>497.70000000000005</v>
      </c>
      <c r="F579">
        <f t="shared" si="1415"/>
        <v>499.1</v>
      </c>
      <c r="G579">
        <f t="shared" si="1415"/>
        <v>501.5</v>
      </c>
      <c r="H579">
        <f t="shared" si="1415"/>
        <v>506.1</v>
      </c>
      <c r="I579">
        <f t="shared" si="1415"/>
        <v>510.3</v>
      </c>
      <c r="J579">
        <f t="shared" si="1415"/>
        <v>513.70000000000005</v>
      </c>
      <c r="K579">
        <f t="shared" si="1415"/>
        <v>513.70000000000005</v>
      </c>
      <c r="L579">
        <f t="shared" si="1415"/>
        <v>510</v>
      </c>
      <c r="M579">
        <f t="shared" si="1415"/>
        <v>504.90000000000003</v>
      </c>
      <c r="N579">
        <f t="shared" si="1415"/>
        <v>500.6</v>
      </c>
      <c r="O579">
        <f t="shared" si="1415"/>
        <v>498.20000000000005</v>
      </c>
      <c r="P579">
        <f t="shared" ref="P579:P580" si="1416">VLOOKUP(VLOOKUP($B579,Terminal_X_Ref,2,FALSE)&amp;$C579,Weather_Data,$Y579*P$3+$Z579,FALSE)</f>
        <v>44.9</v>
      </c>
      <c r="R579">
        <f>R565+2</f>
        <v>83</v>
      </c>
      <c r="S579">
        <f>S565+1</f>
        <v>42</v>
      </c>
      <c r="T579">
        <v>3</v>
      </c>
      <c r="U579">
        <v>2</v>
      </c>
      <c r="V579">
        <v>3</v>
      </c>
      <c r="W579">
        <v>1</v>
      </c>
      <c r="X579">
        <v>2</v>
      </c>
      <c r="Y579">
        <f>(V579-U579)/(X579-W579)</f>
        <v>1</v>
      </c>
      <c r="Z579">
        <f>U579-Y579*W579</f>
        <v>1</v>
      </c>
      <c r="AA579">
        <f>AA565+1</f>
        <v>42</v>
      </c>
      <c r="AB579">
        <v>6</v>
      </c>
      <c r="AC579">
        <v>3</v>
      </c>
      <c r="AD579">
        <v>13</v>
      </c>
      <c r="AE579">
        <v>12</v>
      </c>
      <c r="AF579">
        <v>14</v>
      </c>
      <c r="AG579">
        <v>77</v>
      </c>
      <c r="AH579">
        <v>78</v>
      </c>
      <c r="AI579">
        <v>1</v>
      </c>
      <c r="AJ579">
        <v>2</v>
      </c>
      <c r="AK579">
        <f>(AH579-AG579)/(AJ579-AI579)</f>
        <v>1</v>
      </c>
      <c r="AL579">
        <f>AG579-AK579*AI579</f>
        <v>76</v>
      </c>
    </row>
    <row r="580" spans="1:38" ht="17.149999999999999" x14ac:dyDescent="0.55000000000000004">
      <c r="B580" t="str">
        <f t="shared" ref="B580" si="1417">B579</f>
        <v>Portland</v>
      </c>
      <c r="C580" t="s">
        <v>511</v>
      </c>
      <c r="D580">
        <f t="shared" si="1415"/>
        <v>508.70000000000005</v>
      </c>
      <c r="E580">
        <f t="shared" si="1415"/>
        <v>510.90000000000003</v>
      </c>
      <c r="F580">
        <f t="shared" si="1415"/>
        <v>512.30000000000007</v>
      </c>
      <c r="G580">
        <f t="shared" si="1415"/>
        <v>514.9</v>
      </c>
      <c r="H580">
        <f t="shared" si="1415"/>
        <v>519.4</v>
      </c>
      <c r="I580">
        <f t="shared" si="1415"/>
        <v>522.80000000000007</v>
      </c>
      <c r="J580">
        <f t="shared" si="1415"/>
        <v>526.4</v>
      </c>
      <c r="K580">
        <f t="shared" si="1415"/>
        <v>527.30000000000007</v>
      </c>
      <c r="L580">
        <f t="shared" si="1415"/>
        <v>526.4</v>
      </c>
      <c r="M580">
        <f t="shared" si="1415"/>
        <v>519.6</v>
      </c>
      <c r="N580">
        <f t="shared" si="1415"/>
        <v>512.80000000000007</v>
      </c>
      <c r="O580">
        <f t="shared" si="1415"/>
        <v>508.20000000000005</v>
      </c>
      <c r="P580">
        <f t="shared" si="1416"/>
        <v>57.9</v>
      </c>
      <c r="U580">
        <f>U579</f>
        <v>2</v>
      </c>
      <c r="V580">
        <f t="shared" ref="V580:Z580" si="1418">V579</f>
        <v>3</v>
      </c>
      <c r="W580">
        <f t="shared" si="1418"/>
        <v>1</v>
      </c>
      <c r="X580">
        <f t="shared" si="1418"/>
        <v>2</v>
      </c>
      <c r="Y580">
        <f t="shared" si="1418"/>
        <v>1</v>
      </c>
      <c r="Z580">
        <f t="shared" si="1418"/>
        <v>1</v>
      </c>
      <c r="AA580">
        <f>AA579</f>
        <v>42</v>
      </c>
      <c r="AB580">
        <f t="shared" ref="AB580:AB583" si="1419">AB579</f>
        <v>6</v>
      </c>
      <c r="AC580">
        <f t="shared" ref="AC580:AF583" si="1420">AC579</f>
        <v>3</v>
      </c>
      <c r="AD580">
        <f t="shared" si="1420"/>
        <v>13</v>
      </c>
      <c r="AE580">
        <f t="shared" si="1420"/>
        <v>12</v>
      </c>
      <c r="AF580">
        <f t="shared" si="1420"/>
        <v>14</v>
      </c>
      <c r="AG580">
        <f t="shared" ref="AG580:AG583" si="1421">AG579</f>
        <v>77</v>
      </c>
      <c r="AH580">
        <f t="shared" ref="AH580:AH583" si="1422">AH579</f>
        <v>78</v>
      </c>
      <c r="AI580">
        <f t="shared" ref="AI580:AI583" si="1423">AI579</f>
        <v>1</v>
      </c>
      <c r="AJ580">
        <f t="shared" ref="AJ580:AJ583" si="1424">AJ579</f>
        <v>2</v>
      </c>
      <c r="AK580">
        <f t="shared" ref="AK580:AK583" si="1425">AK579</f>
        <v>1</v>
      </c>
      <c r="AL580">
        <f t="shared" ref="AL580:AL583" si="1426">AL579</f>
        <v>76</v>
      </c>
    </row>
    <row r="581" spans="1:38" ht="17.149999999999999" x14ac:dyDescent="0.4">
      <c r="B581" t="str">
        <f>B580</f>
        <v>Portland</v>
      </c>
      <c r="C581" s="66" t="s">
        <v>514</v>
      </c>
      <c r="D581" t="str" cm="1">
        <f t="array" ref="D581">INDEX(FX_Calcs,$AA581,$AE581)</f>
        <v>N/A</v>
      </c>
      <c r="E581" t="str" cm="1">
        <f t="array" ref="E581">INDEX(FX_Calcs,$AA581,$AE581)</f>
        <v>N/A</v>
      </c>
      <c r="F581" t="str" cm="1">
        <f t="array" ref="F581">INDEX(FX_Calcs,$AA581,$AE581)</f>
        <v>N/A</v>
      </c>
      <c r="G581" t="str" cm="1">
        <f t="array" ref="G581">INDEX(FX_Calcs,$AA581,$AE581)</f>
        <v>N/A</v>
      </c>
      <c r="H581" t="str" cm="1">
        <f t="array" ref="H581">INDEX(FX_Calcs,$AA581,$AE581)</f>
        <v>N/A</v>
      </c>
      <c r="I581" t="str" cm="1">
        <f t="array" ref="I581">INDEX(FX_Calcs,$AA581,$AE581)</f>
        <v>N/A</v>
      </c>
      <c r="J581" t="str" cm="1">
        <f t="array" ref="J581">INDEX(FX_Calcs,$AA581,$AE581)</f>
        <v>N/A</v>
      </c>
      <c r="K581" t="str" cm="1">
        <f t="array" ref="K581">INDEX(FX_Calcs,$AA581,$AE581)</f>
        <v>N/A</v>
      </c>
      <c r="L581" t="str" cm="1">
        <f t="array" ref="L581">INDEX(FX_Calcs,$AA581,$AE581)</f>
        <v>N/A</v>
      </c>
      <c r="M581" t="str" cm="1">
        <f t="array" ref="M581">INDEX(FX_Calcs,$AA581,$AE581)</f>
        <v>N/A</v>
      </c>
      <c r="N581" t="str" cm="1">
        <f t="array" ref="N581">INDEX(FX_Calcs,$AA581,$AE581)</f>
        <v>N/A</v>
      </c>
      <c r="O581" t="str" cm="1">
        <f t="array" ref="O581">INDEX(FX_Calcs,$AA581,$AE581)</f>
        <v>N/A</v>
      </c>
      <c r="P581" t="str" cm="1">
        <f t="array" ref="P581">INDEX(FX_Calcs,$AA581,$AE581)</f>
        <v>N/A</v>
      </c>
      <c r="AA581">
        <f>AA580</f>
        <v>42</v>
      </c>
      <c r="AB581">
        <f t="shared" si="1419"/>
        <v>6</v>
      </c>
      <c r="AC581">
        <f t="shared" si="1420"/>
        <v>3</v>
      </c>
      <c r="AD581">
        <f t="shared" si="1420"/>
        <v>13</v>
      </c>
      <c r="AE581">
        <f t="shared" si="1420"/>
        <v>12</v>
      </c>
      <c r="AF581">
        <f t="shared" si="1420"/>
        <v>14</v>
      </c>
      <c r="AG581">
        <f t="shared" si="1421"/>
        <v>77</v>
      </c>
      <c r="AH581">
        <f t="shared" si="1422"/>
        <v>78</v>
      </c>
      <c r="AI581">
        <f t="shared" si="1423"/>
        <v>1</v>
      </c>
      <c r="AJ581">
        <f t="shared" si="1424"/>
        <v>2</v>
      </c>
      <c r="AK581">
        <f t="shared" si="1425"/>
        <v>1</v>
      </c>
      <c r="AL581">
        <f t="shared" si="1426"/>
        <v>76</v>
      </c>
    </row>
    <row r="582" spans="1:38" ht="17.149999999999999" x14ac:dyDescent="0.4">
      <c r="B582" t="str">
        <f t="shared" ref="B582:B583" si="1427">B581</f>
        <v>Portland</v>
      </c>
      <c r="C582" s="66" t="s">
        <v>513</v>
      </c>
      <c r="D582" t="str" cm="1">
        <f t="array" ref="D582">INDEX(FX_Calcs,$AA582,$AD582)</f>
        <v>N/A</v>
      </c>
      <c r="E582" t="str" cm="1">
        <f t="array" ref="E582">INDEX(FX_Calcs,$AA582,$AD582)</f>
        <v>N/A</v>
      </c>
      <c r="F582" t="str" cm="1">
        <f t="array" ref="F582">INDEX(FX_Calcs,$AA582,$AD582)</f>
        <v>N/A</v>
      </c>
      <c r="G582" t="str" cm="1">
        <f t="array" ref="G582">INDEX(FX_Calcs,$AA582,$AD582)</f>
        <v>N/A</v>
      </c>
      <c r="H582" t="str" cm="1">
        <f t="array" ref="H582">INDEX(FX_Calcs,$AA582,$AD582)</f>
        <v>N/A</v>
      </c>
      <c r="I582" t="str" cm="1">
        <f t="array" ref="I582">INDEX(FX_Calcs,$AA582,$AD582)</f>
        <v>N/A</v>
      </c>
      <c r="J582" t="str" cm="1">
        <f t="array" ref="J582">INDEX(FX_Calcs,$AA582,$AD582)</f>
        <v>N/A</v>
      </c>
      <c r="K582" t="str" cm="1">
        <f t="array" ref="K582">INDEX(FX_Calcs,$AA582,$AD582)</f>
        <v>N/A</v>
      </c>
      <c r="L582" t="str" cm="1">
        <f t="array" ref="L582">INDEX(FX_Calcs,$AA582,$AD582)</f>
        <v>N/A</v>
      </c>
      <c r="M582" t="str" cm="1">
        <f t="array" ref="M582">INDEX(FX_Calcs,$AA582,$AD582)</f>
        <v>N/A</v>
      </c>
      <c r="N582" t="str" cm="1">
        <f t="array" ref="N582">INDEX(FX_Calcs,$AA582,$AD582)</f>
        <v>N/A</v>
      </c>
      <c r="O582" t="str" cm="1">
        <f t="array" ref="O582">INDEX(FX_Calcs,$AA582,$AD582)</f>
        <v>N/A</v>
      </c>
      <c r="P582" t="str" cm="1">
        <f t="array" ref="P582">INDEX(FX_Calcs,$AA582,$AD582)</f>
        <v>N/A</v>
      </c>
      <c r="AA582">
        <f>AA581</f>
        <v>42</v>
      </c>
      <c r="AB582">
        <f t="shared" si="1419"/>
        <v>6</v>
      </c>
      <c r="AC582">
        <f t="shared" si="1420"/>
        <v>3</v>
      </c>
      <c r="AD582">
        <f t="shared" si="1420"/>
        <v>13</v>
      </c>
      <c r="AE582">
        <f t="shared" si="1420"/>
        <v>12</v>
      </c>
      <c r="AF582">
        <f t="shared" si="1420"/>
        <v>14</v>
      </c>
      <c r="AG582">
        <f t="shared" si="1421"/>
        <v>77</v>
      </c>
      <c r="AH582">
        <f t="shared" si="1422"/>
        <v>78</v>
      </c>
      <c r="AI582">
        <f t="shared" si="1423"/>
        <v>1</v>
      </c>
      <c r="AJ582">
        <f t="shared" si="1424"/>
        <v>2</v>
      </c>
      <c r="AK582">
        <f t="shared" si="1425"/>
        <v>1</v>
      </c>
      <c r="AL582">
        <f t="shared" si="1426"/>
        <v>76</v>
      </c>
    </row>
    <row r="583" spans="1:38" x14ac:dyDescent="0.4">
      <c r="B583" t="str">
        <f t="shared" si="1427"/>
        <v>Portland</v>
      </c>
      <c r="C583" s="66" t="s">
        <v>558</v>
      </c>
      <c r="D583" t="str" cm="1">
        <f t="array" ref="D583">INDEX(FX_Calcs,$AA583,$AF583)</f>
        <v>Insulated</v>
      </c>
      <c r="E583" t="str" cm="1">
        <f t="array" ref="E583">INDEX(FX_Calcs,$AA583,$AF583)</f>
        <v>Insulated</v>
      </c>
      <c r="F583" t="str" cm="1">
        <f t="array" ref="F583">INDEX(FX_Calcs,$AA583,$AF583)</f>
        <v>Insulated</v>
      </c>
      <c r="G583" t="str" cm="1">
        <f t="array" ref="G583">INDEX(FX_Calcs,$AA583,$AF583)</f>
        <v>Insulated</v>
      </c>
      <c r="H583" t="str" cm="1">
        <f t="array" ref="H583">INDEX(FX_Calcs,$AA583,$AF583)</f>
        <v>Insulated</v>
      </c>
      <c r="I583" t="str" cm="1">
        <f t="array" ref="I583">INDEX(FX_Calcs,$AA583,$AF583)</f>
        <v>Insulated</v>
      </c>
      <c r="J583" t="str" cm="1">
        <f t="array" ref="J583">INDEX(FX_Calcs,$AA583,$AF583)</f>
        <v>Insulated</v>
      </c>
      <c r="K583" t="str" cm="1">
        <f t="array" ref="K583">INDEX(FX_Calcs,$AA583,$AF583)</f>
        <v>Insulated</v>
      </c>
      <c r="L583" t="str" cm="1">
        <f t="array" ref="L583">INDEX(FX_Calcs,$AA583,$AF583)</f>
        <v>Insulated</v>
      </c>
      <c r="M583" t="str" cm="1">
        <f t="array" ref="M583">INDEX(FX_Calcs,$AA583,$AF583)</f>
        <v>Insulated</v>
      </c>
      <c r="N583" t="str" cm="1">
        <f t="array" ref="N583">INDEX(FX_Calcs,$AA583,$AF583)</f>
        <v>Insulated</v>
      </c>
      <c r="O583" t="str" cm="1">
        <f t="array" ref="O583">INDEX(FX_Calcs,$AA583,$AF583)</f>
        <v>Insulated</v>
      </c>
      <c r="P583" t="str" cm="1">
        <f t="array" ref="P583">INDEX(FX_Calcs,$AA583,$AF583)</f>
        <v>Insulated</v>
      </c>
      <c r="AA583">
        <f>AA582</f>
        <v>42</v>
      </c>
      <c r="AB583">
        <f t="shared" si="1419"/>
        <v>6</v>
      </c>
      <c r="AC583">
        <f t="shared" si="1420"/>
        <v>3</v>
      </c>
      <c r="AD583">
        <f t="shared" si="1420"/>
        <v>13</v>
      </c>
      <c r="AE583">
        <f t="shared" si="1420"/>
        <v>12</v>
      </c>
      <c r="AF583">
        <f t="shared" si="1420"/>
        <v>14</v>
      </c>
      <c r="AG583">
        <f t="shared" si="1421"/>
        <v>77</v>
      </c>
      <c r="AH583">
        <f t="shared" si="1422"/>
        <v>78</v>
      </c>
      <c r="AI583">
        <f t="shared" si="1423"/>
        <v>1</v>
      </c>
      <c r="AJ583">
        <f t="shared" si="1424"/>
        <v>2</v>
      </c>
      <c r="AK583">
        <f t="shared" si="1425"/>
        <v>1</v>
      </c>
      <c r="AL583">
        <f t="shared" si="1426"/>
        <v>76</v>
      </c>
    </row>
    <row r="584" spans="1:38" ht="17.149999999999999" x14ac:dyDescent="0.55000000000000004">
      <c r="B584" t="str">
        <f>B580</f>
        <v>Portland</v>
      </c>
      <c r="C584" t="s">
        <v>512</v>
      </c>
      <c r="D584">
        <f t="shared" ref="D584:P584" si="1428">D580-D579</f>
        <v>10.400000000000034</v>
      </c>
      <c r="E584">
        <f t="shared" si="1428"/>
        <v>13.199999999999989</v>
      </c>
      <c r="F584">
        <f t="shared" si="1428"/>
        <v>13.200000000000045</v>
      </c>
      <c r="G584">
        <f t="shared" si="1428"/>
        <v>13.399999999999977</v>
      </c>
      <c r="H584">
        <f t="shared" si="1428"/>
        <v>13.299999999999955</v>
      </c>
      <c r="I584">
        <f t="shared" si="1428"/>
        <v>12.500000000000057</v>
      </c>
      <c r="J584">
        <f t="shared" si="1428"/>
        <v>12.699999999999932</v>
      </c>
      <c r="K584">
        <f t="shared" si="1428"/>
        <v>13.600000000000023</v>
      </c>
      <c r="L584">
        <f t="shared" si="1428"/>
        <v>16.399999999999977</v>
      </c>
      <c r="M584">
        <f t="shared" si="1428"/>
        <v>14.699999999999989</v>
      </c>
      <c r="N584">
        <f t="shared" si="1428"/>
        <v>12.200000000000045</v>
      </c>
      <c r="O584">
        <f t="shared" si="1428"/>
        <v>10</v>
      </c>
      <c r="P584">
        <f t="shared" si="1428"/>
        <v>13</v>
      </c>
    </row>
    <row r="585" spans="1:38" x14ac:dyDescent="0.4">
      <c r="B585" t="str">
        <f t="shared" ref="B585:B592" si="1429">B584</f>
        <v>Portland</v>
      </c>
      <c r="C585" t="s">
        <v>260</v>
      </c>
      <c r="D585">
        <f t="shared" ref="D585:P585" si="1430">VLOOKUP(VLOOKUP($B585,Terminal_X_Ref,2,FALSE)&amp;$C585,Weather_Data,$Y585*D$3+$Z585,FALSE)</f>
        <v>343</v>
      </c>
      <c r="E585">
        <f t="shared" si="1430"/>
        <v>600</v>
      </c>
      <c r="F585">
        <f t="shared" si="1430"/>
        <v>877</v>
      </c>
      <c r="G585">
        <f t="shared" si="1430"/>
        <v>1252</v>
      </c>
      <c r="H585">
        <f t="shared" si="1430"/>
        <v>1537</v>
      </c>
      <c r="I585">
        <f t="shared" si="1430"/>
        <v>1627</v>
      </c>
      <c r="J585">
        <f t="shared" si="1430"/>
        <v>1708</v>
      </c>
      <c r="K585">
        <f t="shared" si="1430"/>
        <v>1492</v>
      </c>
      <c r="L585">
        <f t="shared" si="1430"/>
        <v>1196</v>
      </c>
      <c r="M585">
        <f t="shared" si="1430"/>
        <v>728</v>
      </c>
      <c r="N585">
        <f t="shared" si="1430"/>
        <v>391</v>
      </c>
      <c r="O585">
        <f t="shared" si="1430"/>
        <v>302</v>
      </c>
      <c r="P585">
        <f t="shared" si="1430"/>
        <v>1005</v>
      </c>
      <c r="U585">
        <f>U580</f>
        <v>2</v>
      </c>
      <c r="V585">
        <f t="shared" ref="V585:Z585" si="1431">V580</f>
        <v>3</v>
      </c>
      <c r="W585">
        <f t="shared" si="1431"/>
        <v>1</v>
      </c>
      <c r="X585">
        <f t="shared" si="1431"/>
        <v>2</v>
      </c>
      <c r="Y585">
        <f t="shared" si="1431"/>
        <v>1</v>
      </c>
      <c r="Z585">
        <f t="shared" si="1431"/>
        <v>1</v>
      </c>
    </row>
    <row r="586" spans="1:38" ht="17.149999999999999" x14ac:dyDescent="0.55000000000000004">
      <c r="B586" t="str">
        <f t="shared" si="1429"/>
        <v>Portland</v>
      </c>
      <c r="C586" t="s">
        <v>523</v>
      </c>
      <c r="D586">
        <f>IF(ISNUMBER(D583),0.7*D584+0.02*D583*D585,IF(D583="Partially Insulated",0.6*D584+0.02*D582*D585,0))</f>
        <v>0</v>
      </c>
      <c r="E586">
        <f t="shared" ref="E586:P586" si="1432">IF(ISNUMBER(E583),0.7*E584+0.02*E583*E585,IF(E583="Partially Insulated",0.6*E584+0.02*E582*E585,0))</f>
        <v>0</v>
      </c>
      <c r="F586">
        <f t="shared" si="1432"/>
        <v>0</v>
      </c>
      <c r="G586">
        <f t="shared" si="1432"/>
        <v>0</v>
      </c>
      <c r="H586">
        <f t="shared" si="1432"/>
        <v>0</v>
      </c>
      <c r="I586">
        <f t="shared" si="1432"/>
        <v>0</v>
      </c>
      <c r="J586">
        <f t="shared" si="1432"/>
        <v>0</v>
      </c>
      <c r="K586">
        <f t="shared" si="1432"/>
        <v>0</v>
      </c>
      <c r="L586">
        <f t="shared" si="1432"/>
        <v>0</v>
      </c>
      <c r="M586">
        <f t="shared" si="1432"/>
        <v>0</v>
      </c>
      <c r="N586">
        <f t="shared" si="1432"/>
        <v>0</v>
      </c>
      <c r="O586">
        <f t="shared" si="1432"/>
        <v>0</v>
      </c>
      <c r="P586">
        <f t="shared" si="1432"/>
        <v>0</v>
      </c>
    </row>
    <row r="587" spans="1:38" ht="17.149999999999999" x14ac:dyDescent="0.55000000000000004">
      <c r="B587" t="str">
        <f t="shared" si="1429"/>
        <v>Portland</v>
      </c>
      <c r="C587" t="s">
        <v>524</v>
      </c>
      <c r="D587">
        <f t="shared" ref="D587:F587" si="1433">AVERAGE(D579:D580)</f>
        <v>503.5</v>
      </c>
      <c r="E587">
        <f t="shared" si="1433"/>
        <v>504.30000000000007</v>
      </c>
      <c r="F587">
        <f t="shared" si="1433"/>
        <v>505.70000000000005</v>
      </c>
      <c r="G587">
        <f>AVERAGE(G579:G580)</f>
        <v>508.2</v>
      </c>
      <c r="H587">
        <f t="shared" ref="H587:P587" si="1434">AVERAGE(H579:H580)</f>
        <v>512.75</v>
      </c>
      <c r="I587">
        <f t="shared" si="1434"/>
        <v>516.55000000000007</v>
      </c>
      <c r="J587">
        <f t="shared" si="1434"/>
        <v>520.04999999999995</v>
      </c>
      <c r="K587">
        <f t="shared" si="1434"/>
        <v>520.5</v>
      </c>
      <c r="L587">
        <f t="shared" si="1434"/>
        <v>518.20000000000005</v>
      </c>
      <c r="M587">
        <f t="shared" si="1434"/>
        <v>512.25</v>
      </c>
      <c r="N587">
        <f t="shared" si="1434"/>
        <v>506.70000000000005</v>
      </c>
      <c r="O587">
        <f t="shared" si="1434"/>
        <v>503.20000000000005</v>
      </c>
      <c r="P587">
        <f t="shared" si="1434"/>
        <v>51.4</v>
      </c>
    </row>
    <row r="588" spans="1:38" ht="17.149999999999999" x14ac:dyDescent="0.55000000000000004">
      <c r="B588" t="str">
        <f t="shared" si="1429"/>
        <v>Portland</v>
      </c>
      <c r="C588" t="s">
        <v>525</v>
      </c>
      <c r="D588" cm="1">
        <f t="array" ref="D588">IFERROR(IF(ISBLANK(INDEX(FX_Input,$R579,D$3*$AK579+$AL579)),D587+0.003*D581*D585,INDEX(FX_Input,$R579,D$3*$AK579+$AL579)+459.6),D587)</f>
        <v>503.5</v>
      </c>
      <c r="E588" cm="1">
        <f t="array" ref="E588">IFERROR(IF(ISBLANK(INDEX(FX_Input,$R579,E$3*$AK579+$AL579)),E587+0.003*E581*E585,INDEX(FX_Input,$R579,E$3*$AK579+$AL579)+459.6),E587)</f>
        <v>504.30000000000007</v>
      </c>
      <c r="F588" cm="1">
        <f t="array" ref="F588">IFERROR(IF(ISBLANK(INDEX(FX_Input,$R579,F$3*$AK579+$AL579)),F587+0.003*F581*F585,INDEX(FX_Input,$R579,F$3*$AK579+$AL579)+459.6),F587)</f>
        <v>505.70000000000005</v>
      </c>
      <c r="G588" cm="1">
        <f t="array" ref="G588">IFERROR(IF(ISBLANK(INDEX(FX_Input,$R579,G$3*$AK579+$AL579)),G587+0.003*G581*G585,INDEX(FX_Input,$R579,G$3*$AK579+$AL579)+459.6),G587)</f>
        <v>508.2</v>
      </c>
      <c r="H588" cm="1">
        <f t="array" ref="H588">IFERROR(IF(ISBLANK(INDEX(FX_Input,$R579,H$3*$AK579+$AL579)),H587+0.003*H581*H585,INDEX(FX_Input,$R579,H$3*$AK579+$AL579)+459.6),H587)</f>
        <v>512.75</v>
      </c>
      <c r="I588" cm="1">
        <f t="array" ref="I588">IFERROR(IF(ISBLANK(INDEX(FX_Input,$R579,I$3*$AK579+$AL579)),I587+0.003*I581*I585,INDEX(FX_Input,$R579,I$3*$AK579+$AL579)+459.6),I587)</f>
        <v>516.55000000000007</v>
      </c>
      <c r="J588" cm="1">
        <f t="array" ref="J588">IFERROR(IF(ISBLANK(INDEX(FX_Input,$R579,J$3*$AK579+$AL579)),J587+0.003*J581*J585,INDEX(FX_Input,$R579,J$3*$AK579+$AL579)+459.6),J587)</f>
        <v>520.04999999999995</v>
      </c>
      <c r="K588" cm="1">
        <f t="array" ref="K588">IFERROR(IF(ISBLANK(INDEX(FX_Input,$R579,K$3*$AK579+$AL579)),K587+0.003*K581*K585,INDEX(FX_Input,$R579,K$3*$AK579+$AL579)+459.6),K587)</f>
        <v>520.5</v>
      </c>
      <c r="L588" cm="1">
        <f t="array" ref="L588">IFERROR(IF(ISBLANK(INDEX(FX_Input,$R579,L$3*$AK579+$AL579)),L587+0.003*L581*L585,INDEX(FX_Input,$R579,L$3*$AK579+$AL579)+459.6),L587)</f>
        <v>518.20000000000005</v>
      </c>
      <c r="M588" cm="1">
        <f t="array" ref="M588">IFERROR(IF(ISBLANK(INDEX(FX_Input,$R579,M$3*$AK579+$AL579)),M587+0.003*M581*M585,INDEX(FX_Input,$R579,M$3*$AK579+$AL579)+459.6),M587)</f>
        <v>512.25</v>
      </c>
      <c r="N588" cm="1">
        <f t="array" ref="N588">IFERROR(IF(ISBLANK(INDEX(FX_Input,$R579,N$3*$AK579+$AL579)),N587+0.003*N581*N585,INDEX(FX_Input,$R579,N$3*$AK579+$AL579)+459.6),N587)</f>
        <v>506.70000000000005</v>
      </c>
      <c r="O588" cm="1">
        <f t="array" ref="O588">IFERROR(IF(ISBLANK(INDEX(FX_Input,$R579,O$3*$AK579+$AL579)),O587+0.003*O581*O585,INDEX(FX_Input,$R579,O$3*$AK579+$AL579)+459.6),O587)</f>
        <v>503.20000000000005</v>
      </c>
      <c r="P588" cm="1">
        <f t="array" ref="P588">IFERROR(IF(ISBLANK(INDEX(FX_Input,$R579,P$3*$AK579+$AL579)),P587+0.003*P581*P585,INDEX(FX_Input,$R579,P$3*$AK579+$AL579)+459.6),P587)</f>
        <v>3682.6</v>
      </c>
    </row>
    <row r="589" spans="1:38" ht="17.149999999999999" x14ac:dyDescent="0.55000000000000004">
      <c r="B589" t="str">
        <f t="shared" si="1429"/>
        <v>Portland</v>
      </c>
      <c r="C589" t="s">
        <v>526</v>
      </c>
      <c r="D589">
        <f>IF(ISNUMBER(D583),0.4*D579+0.6*D588+0.005*D583*D585,IF(D583="Partially Insulated",0.3*D587+0.7*D588+0.005*D582*D585,D588))-459.6</f>
        <v>43.899999999999977</v>
      </c>
      <c r="E589">
        <f t="shared" ref="E589" si="1435">IF(ISNUMBER(E583),0.4*E579+0.6*E588+0.005*E583*E585,IF(E583="Partially Insulated",0.3*E587+0.7*E588+0.005*E582*E585,E588))-459.6</f>
        <v>44.700000000000045</v>
      </c>
      <c r="F589">
        <f t="shared" ref="F589" si="1436">IF(ISNUMBER(F583),0.4*F579+0.6*F588+0.005*F583*F585,IF(F583="Partially Insulated",0.3*F587+0.7*F588+0.005*F582*F585,F588))-459.6</f>
        <v>46.100000000000023</v>
      </c>
      <c r="G589">
        <f t="shared" ref="G589" si="1437">IF(ISNUMBER(G583),0.4*G579+0.6*G588+0.005*G583*G585,IF(G583="Partially Insulated",0.3*G587+0.7*G588+0.005*G582*G585,G588))-459.6</f>
        <v>48.599999999999966</v>
      </c>
      <c r="H589">
        <f t="shared" ref="H589" si="1438">IF(ISNUMBER(H583),0.4*H579+0.6*H588+0.005*H583*H585,IF(H583="Partially Insulated",0.3*H587+0.7*H588+0.005*H582*H585,H588))-459.6</f>
        <v>53.149999999999977</v>
      </c>
      <c r="I589">
        <f t="shared" ref="I589" si="1439">IF(ISNUMBER(I583),0.4*I579+0.6*I588+0.005*I583*I585,IF(I583="Partially Insulated",0.3*I587+0.7*I588+0.005*I582*I585,I588))-459.6</f>
        <v>56.950000000000045</v>
      </c>
      <c r="J589">
        <f t="shared" ref="J589" si="1440">IF(ISNUMBER(J583),0.4*J579+0.6*J588+0.005*J583*J585,IF(J583="Partially Insulated",0.3*J587+0.7*J588+0.005*J582*J585,J588))-459.6</f>
        <v>60.449999999999932</v>
      </c>
      <c r="K589">
        <f t="shared" ref="K589" si="1441">IF(ISNUMBER(K583),0.4*K579+0.6*K588+0.005*K583*K585,IF(K583="Partially Insulated",0.3*K587+0.7*K588+0.005*K582*K585,K588))-459.6</f>
        <v>60.899999999999977</v>
      </c>
      <c r="L589">
        <f t="shared" ref="L589" si="1442">IF(ISNUMBER(L583),0.4*L579+0.6*L588+0.005*L583*L585,IF(L583="Partially Insulated",0.3*L587+0.7*L588+0.005*L582*L585,L588))-459.6</f>
        <v>58.600000000000023</v>
      </c>
      <c r="M589">
        <f t="shared" ref="M589" si="1443">IF(ISNUMBER(M583),0.4*M579+0.6*M588+0.005*M583*M585,IF(M583="Partially Insulated",0.3*M587+0.7*M588+0.005*M582*M585,M588))-459.6</f>
        <v>52.649999999999977</v>
      </c>
      <c r="N589">
        <f t="shared" ref="N589" si="1444">IF(ISNUMBER(N583),0.4*N579+0.6*N588+0.005*N583*N585,IF(N583="Partially Insulated",0.3*N587+0.7*N588+0.005*N582*N585,N588))-459.6</f>
        <v>47.100000000000023</v>
      </c>
      <c r="O589">
        <f t="shared" ref="O589" si="1445">IF(ISNUMBER(O583),0.4*O579+0.6*O588+0.005*O583*O585,IF(O583="Partially Insulated",0.3*O587+0.7*O588+0.005*O582*O585,O588))-459.6</f>
        <v>43.600000000000023</v>
      </c>
      <c r="P589">
        <f>AVERAGE(D589:O589)</f>
        <v>51.391666666666673</v>
      </c>
    </row>
    <row r="590" spans="1:38" ht="17.149999999999999" x14ac:dyDescent="0.55000000000000004">
      <c r="B590" t="str">
        <f t="shared" si="1429"/>
        <v>Portland</v>
      </c>
      <c r="C590" t="s">
        <v>527</v>
      </c>
      <c r="D590">
        <f>IF(ISNUMBER(D583),0.4*D580+0.6*D588+0.005*D583*D585,IF(D583="Partially Insulated",0.3*D587+0.7*D588+0.005*D582*D585,D588))-459.6</f>
        <v>43.899999999999977</v>
      </c>
      <c r="E590">
        <f t="shared" ref="E590:O590" si="1446">IF(ISNUMBER(E583),0.4*E580+0.6*E588+0.005*E583*E585,IF(E583="Partially Insulated",0.3*E587+0.7*E588+0.005*E582*E585,E588))-459.6</f>
        <v>44.700000000000045</v>
      </c>
      <c r="F590">
        <f t="shared" si="1446"/>
        <v>46.100000000000023</v>
      </c>
      <c r="G590">
        <f t="shared" si="1446"/>
        <v>48.599999999999966</v>
      </c>
      <c r="H590">
        <f t="shared" si="1446"/>
        <v>53.149999999999977</v>
      </c>
      <c r="I590">
        <f t="shared" si="1446"/>
        <v>56.950000000000045</v>
      </c>
      <c r="J590">
        <f t="shared" si="1446"/>
        <v>60.449999999999932</v>
      </c>
      <c r="K590">
        <f t="shared" si="1446"/>
        <v>60.899999999999977</v>
      </c>
      <c r="L590">
        <f t="shared" si="1446"/>
        <v>58.600000000000023</v>
      </c>
      <c r="M590">
        <f t="shared" si="1446"/>
        <v>52.649999999999977</v>
      </c>
      <c r="N590">
        <f t="shared" si="1446"/>
        <v>47.100000000000023</v>
      </c>
      <c r="O590">
        <f t="shared" si="1446"/>
        <v>43.600000000000023</v>
      </c>
      <c r="P590">
        <f>AVERAGE(D590:O590)</f>
        <v>51.391666666666673</v>
      </c>
    </row>
    <row r="591" spans="1:38" ht="17.149999999999999" x14ac:dyDescent="0.55000000000000004">
      <c r="B591" t="str">
        <f t="shared" si="1429"/>
        <v>Portland</v>
      </c>
      <c r="C591" t="s">
        <v>552</v>
      </c>
      <c r="D591">
        <f>IF(ISNUMBER(D583),0.4*D587+0.6*D588+0.005*D583*D585,IF(D583="Partially Insulated",0.3*D587+0.7*D588+0.005*D582*D585,D588))-459.6</f>
        <v>43.899999999999977</v>
      </c>
      <c r="E591">
        <f t="shared" ref="E591:O591" si="1447">IF(ISNUMBER(E583),0.4*E587+0.6*E588+0.005*E583*E585,IF(E583="Partially Insulated",0.3*E587+0.7*E588+0.005*E582*E585,E588))-459.6</f>
        <v>44.700000000000045</v>
      </c>
      <c r="F591">
        <f t="shared" si="1447"/>
        <v>46.100000000000023</v>
      </c>
      <c r="G591">
        <f t="shared" si="1447"/>
        <v>48.599999999999966</v>
      </c>
      <c r="H591">
        <f t="shared" si="1447"/>
        <v>53.149999999999977</v>
      </c>
      <c r="I591">
        <f t="shared" si="1447"/>
        <v>56.950000000000045</v>
      </c>
      <c r="J591">
        <f t="shared" si="1447"/>
        <v>60.449999999999932</v>
      </c>
      <c r="K591">
        <f t="shared" si="1447"/>
        <v>60.899999999999977</v>
      </c>
      <c r="L591">
        <f t="shared" si="1447"/>
        <v>58.600000000000023</v>
      </c>
      <c r="M591">
        <f t="shared" si="1447"/>
        <v>52.649999999999977</v>
      </c>
      <c r="N591">
        <f t="shared" si="1447"/>
        <v>47.100000000000023</v>
      </c>
      <c r="O591">
        <f t="shared" si="1447"/>
        <v>43.600000000000023</v>
      </c>
      <c r="P591">
        <f>AVERAGE(D591:O591)</f>
        <v>51.391666666666673</v>
      </c>
    </row>
    <row r="592" spans="1:38" ht="17.149999999999999" x14ac:dyDescent="0.55000000000000004">
      <c r="A592" s="11"/>
      <c r="B592" s="11" t="str">
        <f t="shared" si="1429"/>
        <v>Portland</v>
      </c>
      <c r="C592" s="11" t="s">
        <v>553</v>
      </c>
      <c r="D592" s="11">
        <f>IF(ISNUMBER(D583),0.7*D587+0.3*D588+0.009*D583*D585,IF(D583="Partially Insulated",0.6*D587+0.4*D588+0.01*D582*D585,D588))-459.6</f>
        <v>43.899999999999977</v>
      </c>
      <c r="E592" s="11">
        <f t="shared" ref="E592:O592" si="1448">IF(ISNUMBER(E583),0.7*E587+0.3*E588+0.009*E583*E585,IF(E583="Partially Insulated",0.6*E587+0.4*E588+0.01*E582*E585,E588))-459.6</f>
        <v>44.700000000000045</v>
      </c>
      <c r="F592" s="11">
        <f t="shared" si="1448"/>
        <v>46.100000000000023</v>
      </c>
      <c r="G592" s="11">
        <f t="shared" si="1448"/>
        <v>48.599999999999966</v>
      </c>
      <c r="H592" s="11">
        <f t="shared" si="1448"/>
        <v>53.149999999999977</v>
      </c>
      <c r="I592" s="11">
        <f t="shared" si="1448"/>
        <v>56.950000000000045</v>
      </c>
      <c r="J592" s="11">
        <f t="shared" si="1448"/>
        <v>60.449999999999932</v>
      </c>
      <c r="K592" s="11">
        <f t="shared" si="1448"/>
        <v>60.899999999999977</v>
      </c>
      <c r="L592" s="11">
        <f t="shared" si="1448"/>
        <v>58.600000000000023</v>
      </c>
      <c r="M592" s="11">
        <f t="shared" si="1448"/>
        <v>52.649999999999977</v>
      </c>
      <c r="N592" s="11">
        <f t="shared" si="1448"/>
        <v>47.100000000000023</v>
      </c>
      <c r="O592" s="11">
        <f t="shared" si="1448"/>
        <v>43.600000000000023</v>
      </c>
      <c r="P592" s="11">
        <f>AVERAGE(D592:O592)</f>
        <v>51.391666666666673</v>
      </c>
      <c r="Q592" s="11"/>
      <c r="R592" s="11"/>
      <c r="S592" s="11"/>
      <c r="T592" s="11"/>
      <c r="U592" s="11"/>
      <c r="V592" s="11"/>
      <c r="W592" s="11"/>
      <c r="X592" s="11"/>
      <c r="Y592" s="11"/>
      <c r="Z592" s="11"/>
      <c r="AA592" s="11"/>
      <c r="AB592" s="11"/>
      <c r="AC592" s="11"/>
      <c r="AD592" s="11"/>
      <c r="AE592" s="11"/>
      <c r="AF592" s="11"/>
      <c r="AG592" s="11"/>
      <c r="AH592" s="11"/>
      <c r="AI592" s="11"/>
      <c r="AJ592" s="11"/>
      <c r="AK592" s="11"/>
      <c r="AL592" s="11"/>
    </row>
    <row r="593" spans="1:38" ht="17.149999999999999" x14ac:dyDescent="0.55000000000000004">
      <c r="A593" t="str" cm="1">
        <f t="array" ref="A593">INDEX(FX_Input,$R593,S$5)</f>
        <v>FX - 43</v>
      </c>
      <c r="B593" t="str" cm="1">
        <f t="array" ref="B593">INDEX(FX_Input,R593,T593)</f>
        <v>Portland</v>
      </c>
      <c r="C593" t="s">
        <v>510</v>
      </c>
      <c r="D593">
        <f t="shared" ref="D593:O594" si="1449">VLOOKUP(VLOOKUP($B593,Terminal_X_Ref,2,FALSE)&amp;$C593,Weather_Data,$Y593*D$3+$Z593,FALSE)+459.6</f>
        <v>498.3</v>
      </c>
      <c r="E593">
        <f t="shared" si="1449"/>
        <v>497.70000000000005</v>
      </c>
      <c r="F593">
        <f t="shared" si="1449"/>
        <v>499.1</v>
      </c>
      <c r="G593">
        <f t="shared" si="1449"/>
        <v>501.5</v>
      </c>
      <c r="H593">
        <f t="shared" si="1449"/>
        <v>506.1</v>
      </c>
      <c r="I593">
        <f t="shared" si="1449"/>
        <v>510.3</v>
      </c>
      <c r="J593">
        <f t="shared" si="1449"/>
        <v>513.70000000000005</v>
      </c>
      <c r="K593">
        <f t="shared" si="1449"/>
        <v>513.70000000000005</v>
      </c>
      <c r="L593">
        <f t="shared" si="1449"/>
        <v>510</v>
      </c>
      <c r="M593">
        <f t="shared" si="1449"/>
        <v>504.90000000000003</v>
      </c>
      <c r="N593">
        <f t="shared" si="1449"/>
        <v>500.6</v>
      </c>
      <c r="O593">
        <f t="shared" si="1449"/>
        <v>498.20000000000005</v>
      </c>
      <c r="P593">
        <f t="shared" ref="P593:P594" si="1450">VLOOKUP(VLOOKUP($B593,Terminal_X_Ref,2,FALSE)&amp;$C593,Weather_Data,$Y593*P$3+$Z593,FALSE)</f>
        <v>44.9</v>
      </c>
      <c r="R593">
        <f>R579+2</f>
        <v>85</v>
      </c>
      <c r="S593">
        <f>S579+1</f>
        <v>43</v>
      </c>
      <c r="T593">
        <v>3</v>
      </c>
      <c r="U593">
        <v>2</v>
      </c>
      <c r="V593">
        <v>3</v>
      </c>
      <c r="W593">
        <v>1</v>
      </c>
      <c r="X593">
        <v>2</v>
      </c>
      <c r="Y593">
        <f>(V593-U593)/(X593-W593)</f>
        <v>1</v>
      </c>
      <c r="Z593">
        <f>U593-Y593*W593</f>
        <v>1</v>
      </c>
      <c r="AA593">
        <f>AA579+1</f>
        <v>43</v>
      </c>
      <c r="AB593">
        <v>6</v>
      </c>
      <c r="AC593">
        <v>3</v>
      </c>
      <c r="AD593">
        <v>13</v>
      </c>
      <c r="AE593">
        <v>12</v>
      </c>
      <c r="AF593">
        <v>14</v>
      </c>
      <c r="AG593">
        <v>77</v>
      </c>
      <c r="AH593">
        <v>78</v>
      </c>
      <c r="AI593">
        <v>1</v>
      </c>
      <c r="AJ593">
        <v>2</v>
      </c>
      <c r="AK593">
        <f>(AH593-AG593)/(AJ593-AI593)</f>
        <v>1</v>
      </c>
      <c r="AL593">
        <f>AG593-AK593*AI593</f>
        <v>76</v>
      </c>
    </row>
    <row r="594" spans="1:38" ht="17.149999999999999" x14ac:dyDescent="0.55000000000000004">
      <c r="B594" t="str">
        <f t="shared" ref="B594" si="1451">B593</f>
        <v>Portland</v>
      </c>
      <c r="C594" t="s">
        <v>511</v>
      </c>
      <c r="D594">
        <f t="shared" si="1449"/>
        <v>508.70000000000005</v>
      </c>
      <c r="E594">
        <f t="shared" si="1449"/>
        <v>510.90000000000003</v>
      </c>
      <c r="F594">
        <f t="shared" si="1449"/>
        <v>512.30000000000007</v>
      </c>
      <c r="G594">
        <f t="shared" si="1449"/>
        <v>514.9</v>
      </c>
      <c r="H594">
        <f t="shared" si="1449"/>
        <v>519.4</v>
      </c>
      <c r="I594">
        <f t="shared" si="1449"/>
        <v>522.80000000000007</v>
      </c>
      <c r="J594">
        <f t="shared" si="1449"/>
        <v>526.4</v>
      </c>
      <c r="K594">
        <f t="shared" si="1449"/>
        <v>527.30000000000007</v>
      </c>
      <c r="L594">
        <f t="shared" si="1449"/>
        <v>526.4</v>
      </c>
      <c r="M594">
        <f t="shared" si="1449"/>
        <v>519.6</v>
      </c>
      <c r="N594">
        <f t="shared" si="1449"/>
        <v>512.80000000000007</v>
      </c>
      <c r="O594">
        <f t="shared" si="1449"/>
        <v>508.20000000000005</v>
      </c>
      <c r="P594">
        <f t="shared" si="1450"/>
        <v>57.9</v>
      </c>
      <c r="U594">
        <f>U593</f>
        <v>2</v>
      </c>
      <c r="V594">
        <f t="shared" ref="V594:Z594" si="1452">V593</f>
        <v>3</v>
      </c>
      <c r="W594">
        <f t="shared" si="1452"/>
        <v>1</v>
      </c>
      <c r="X594">
        <f t="shared" si="1452"/>
        <v>2</v>
      </c>
      <c r="Y594">
        <f t="shared" si="1452"/>
        <v>1</v>
      </c>
      <c r="Z594">
        <f t="shared" si="1452"/>
        <v>1</v>
      </c>
      <c r="AA594">
        <f>AA593</f>
        <v>43</v>
      </c>
      <c r="AB594">
        <f t="shared" ref="AB594:AB597" si="1453">AB593</f>
        <v>6</v>
      </c>
      <c r="AC594">
        <f t="shared" ref="AC594:AF597" si="1454">AC593</f>
        <v>3</v>
      </c>
      <c r="AD594">
        <f t="shared" si="1454"/>
        <v>13</v>
      </c>
      <c r="AE594">
        <f t="shared" si="1454"/>
        <v>12</v>
      </c>
      <c r="AF594">
        <f t="shared" si="1454"/>
        <v>14</v>
      </c>
      <c r="AG594">
        <f t="shared" ref="AG594:AG597" si="1455">AG593</f>
        <v>77</v>
      </c>
      <c r="AH594">
        <f t="shared" ref="AH594:AH597" si="1456">AH593</f>
        <v>78</v>
      </c>
      <c r="AI594">
        <f t="shared" ref="AI594:AI597" si="1457">AI593</f>
        <v>1</v>
      </c>
      <c r="AJ594">
        <f t="shared" ref="AJ594:AJ597" si="1458">AJ593</f>
        <v>2</v>
      </c>
      <c r="AK594">
        <f t="shared" ref="AK594:AK597" si="1459">AK593</f>
        <v>1</v>
      </c>
      <c r="AL594">
        <f t="shared" ref="AL594:AL597" si="1460">AL593</f>
        <v>76</v>
      </c>
    </row>
    <row r="595" spans="1:38" ht="17.149999999999999" x14ac:dyDescent="0.4">
      <c r="B595" t="str">
        <f>B594</f>
        <v>Portland</v>
      </c>
      <c r="C595" s="66" t="s">
        <v>514</v>
      </c>
      <c r="D595" t="str" cm="1">
        <f t="array" ref="D595">INDEX(FX_Calcs,$AA595,$AE595)</f>
        <v>N/A</v>
      </c>
      <c r="E595" t="str" cm="1">
        <f t="array" ref="E595">INDEX(FX_Calcs,$AA595,$AE595)</f>
        <v>N/A</v>
      </c>
      <c r="F595" t="str" cm="1">
        <f t="array" ref="F595">INDEX(FX_Calcs,$AA595,$AE595)</f>
        <v>N/A</v>
      </c>
      <c r="G595" t="str" cm="1">
        <f t="array" ref="G595">INDEX(FX_Calcs,$AA595,$AE595)</f>
        <v>N/A</v>
      </c>
      <c r="H595" t="str" cm="1">
        <f t="array" ref="H595">INDEX(FX_Calcs,$AA595,$AE595)</f>
        <v>N/A</v>
      </c>
      <c r="I595" t="str" cm="1">
        <f t="array" ref="I595">INDEX(FX_Calcs,$AA595,$AE595)</f>
        <v>N/A</v>
      </c>
      <c r="J595" t="str" cm="1">
        <f t="array" ref="J595">INDEX(FX_Calcs,$AA595,$AE595)</f>
        <v>N/A</v>
      </c>
      <c r="K595" t="str" cm="1">
        <f t="array" ref="K595">INDEX(FX_Calcs,$AA595,$AE595)</f>
        <v>N/A</v>
      </c>
      <c r="L595" t="str" cm="1">
        <f t="array" ref="L595">INDEX(FX_Calcs,$AA595,$AE595)</f>
        <v>N/A</v>
      </c>
      <c r="M595" t="str" cm="1">
        <f t="array" ref="M595">INDEX(FX_Calcs,$AA595,$AE595)</f>
        <v>N/A</v>
      </c>
      <c r="N595" t="str" cm="1">
        <f t="array" ref="N595">INDEX(FX_Calcs,$AA595,$AE595)</f>
        <v>N/A</v>
      </c>
      <c r="O595" t="str" cm="1">
        <f t="array" ref="O595">INDEX(FX_Calcs,$AA595,$AE595)</f>
        <v>N/A</v>
      </c>
      <c r="P595" t="str" cm="1">
        <f t="array" ref="P595">INDEX(FX_Calcs,$AA595,$AE595)</f>
        <v>N/A</v>
      </c>
      <c r="AA595">
        <f>AA594</f>
        <v>43</v>
      </c>
      <c r="AB595">
        <f t="shared" si="1453"/>
        <v>6</v>
      </c>
      <c r="AC595">
        <f t="shared" si="1454"/>
        <v>3</v>
      </c>
      <c r="AD595">
        <f t="shared" si="1454"/>
        <v>13</v>
      </c>
      <c r="AE595">
        <f t="shared" si="1454"/>
        <v>12</v>
      </c>
      <c r="AF595">
        <f t="shared" si="1454"/>
        <v>14</v>
      </c>
      <c r="AG595">
        <f t="shared" si="1455"/>
        <v>77</v>
      </c>
      <c r="AH595">
        <f t="shared" si="1456"/>
        <v>78</v>
      </c>
      <c r="AI595">
        <f t="shared" si="1457"/>
        <v>1</v>
      </c>
      <c r="AJ595">
        <f t="shared" si="1458"/>
        <v>2</v>
      </c>
      <c r="AK595">
        <f t="shared" si="1459"/>
        <v>1</v>
      </c>
      <c r="AL595">
        <f t="shared" si="1460"/>
        <v>76</v>
      </c>
    </row>
    <row r="596" spans="1:38" ht="17.149999999999999" x14ac:dyDescent="0.4">
      <c r="B596" t="str">
        <f t="shared" ref="B596:B597" si="1461">B595</f>
        <v>Portland</v>
      </c>
      <c r="C596" s="66" t="s">
        <v>513</v>
      </c>
      <c r="D596" t="str" cm="1">
        <f t="array" ref="D596">INDEX(FX_Calcs,$AA596,$AD596)</f>
        <v>N/A</v>
      </c>
      <c r="E596" t="str" cm="1">
        <f t="array" ref="E596">INDEX(FX_Calcs,$AA596,$AD596)</f>
        <v>N/A</v>
      </c>
      <c r="F596" t="str" cm="1">
        <f t="array" ref="F596">INDEX(FX_Calcs,$AA596,$AD596)</f>
        <v>N/A</v>
      </c>
      <c r="G596" t="str" cm="1">
        <f t="array" ref="G596">INDEX(FX_Calcs,$AA596,$AD596)</f>
        <v>N/A</v>
      </c>
      <c r="H596" t="str" cm="1">
        <f t="array" ref="H596">INDEX(FX_Calcs,$AA596,$AD596)</f>
        <v>N/A</v>
      </c>
      <c r="I596" t="str" cm="1">
        <f t="array" ref="I596">INDEX(FX_Calcs,$AA596,$AD596)</f>
        <v>N/A</v>
      </c>
      <c r="J596" t="str" cm="1">
        <f t="array" ref="J596">INDEX(FX_Calcs,$AA596,$AD596)</f>
        <v>N/A</v>
      </c>
      <c r="K596" t="str" cm="1">
        <f t="array" ref="K596">INDEX(FX_Calcs,$AA596,$AD596)</f>
        <v>N/A</v>
      </c>
      <c r="L596" t="str" cm="1">
        <f t="array" ref="L596">INDEX(FX_Calcs,$AA596,$AD596)</f>
        <v>N/A</v>
      </c>
      <c r="M596" t="str" cm="1">
        <f t="array" ref="M596">INDEX(FX_Calcs,$AA596,$AD596)</f>
        <v>N/A</v>
      </c>
      <c r="N596" t="str" cm="1">
        <f t="array" ref="N596">INDEX(FX_Calcs,$AA596,$AD596)</f>
        <v>N/A</v>
      </c>
      <c r="O596" t="str" cm="1">
        <f t="array" ref="O596">INDEX(FX_Calcs,$AA596,$AD596)</f>
        <v>N/A</v>
      </c>
      <c r="P596" t="str" cm="1">
        <f t="array" ref="P596">INDEX(FX_Calcs,$AA596,$AD596)</f>
        <v>N/A</v>
      </c>
      <c r="AA596">
        <f>AA595</f>
        <v>43</v>
      </c>
      <c r="AB596">
        <f t="shared" si="1453"/>
        <v>6</v>
      </c>
      <c r="AC596">
        <f t="shared" si="1454"/>
        <v>3</v>
      </c>
      <c r="AD596">
        <f t="shared" si="1454"/>
        <v>13</v>
      </c>
      <c r="AE596">
        <f t="shared" si="1454"/>
        <v>12</v>
      </c>
      <c r="AF596">
        <f t="shared" si="1454"/>
        <v>14</v>
      </c>
      <c r="AG596">
        <f t="shared" si="1455"/>
        <v>77</v>
      </c>
      <c r="AH596">
        <f t="shared" si="1456"/>
        <v>78</v>
      </c>
      <c r="AI596">
        <f t="shared" si="1457"/>
        <v>1</v>
      </c>
      <c r="AJ596">
        <f t="shared" si="1458"/>
        <v>2</v>
      </c>
      <c r="AK596">
        <f t="shared" si="1459"/>
        <v>1</v>
      </c>
      <c r="AL596">
        <f t="shared" si="1460"/>
        <v>76</v>
      </c>
    </row>
    <row r="597" spans="1:38" x14ac:dyDescent="0.4">
      <c r="B597" t="str">
        <f t="shared" si="1461"/>
        <v>Portland</v>
      </c>
      <c r="C597" s="66" t="s">
        <v>558</v>
      </c>
      <c r="D597" t="str" cm="1">
        <f t="array" ref="D597">INDEX(FX_Calcs,$AA597,$AF597)</f>
        <v>Insulated</v>
      </c>
      <c r="E597" t="str" cm="1">
        <f t="array" ref="E597">INDEX(FX_Calcs,$AA597,$AF597)</f>
        <v>Insulated</v>
      </c>
      <c r="F597" t="str" cm="1">
        <f t="array" ref="F597">INDEX(FX_Calcs,$AA597,$AF597)</f>
        <v>Insulated</v>
      </c>
      <c r="G597" t="str" cm="1">
        <f t="array" ref="G597">INDEX(FX_Calcs,$AA597,$AF597)</f>
        <v>Insulated</v>
      </c>
      <c r="H597" t="str" cm="1">
        <f t="array" ref="H597">INDEX(FX_Calcs,$AA597,$AF597)</f>
        <v>Insulated</v>
      </c>
      <c r="I597" t="str" cm="1">
        <f t="array" ref="I597">INDEX(FX_Calcs,$AA597,$AF597)</f>
        <v>Insulated</v>
      </c>
      <c r="J597" t="str" cm="1">
        <f t="array" ref="J597">INDEX(FX_Calcs,$AA597,$AF597)</f>
        <v>Insulated</v>
      </c>
      <c r="K597" t="str" cm="1">
        <f t="array" ref="K597">INDEX(FX_Calcs,$AA597,$AF597)</f>
        <v>Insulated</v>
      </c>
      <c r="L597" t="str" cm="1">
        <f t="array" ref="L597">INDEX(FX_Calcs,$AA597,$AF597)</f>
        <v>Insulated</v>
      </c>
      <c r="M597" t="str" cm="1">
        <f t="array" ref="M597">INDEX(FX_Calcs,$AA597,$AF597)</f>
        <v>Insulated</v>
      </c>
      <c r="N597" t="str" cm="1">
        <f t="array" ref="N597">INDEX(FX_Calcs,$AA597,$AF597)</f>
        <v>Insulated</v>
      </c>
      <c r="O597" t="str" cm="1">
        <f t="array" ref="O597">INDEX(FX_Calcs,$AA597,$AF597)</f>
        <v>Insulated</v>
      </c>
      <c r="P597" t="str" cm="1">
        <f t="array" ref="P597">INDEX(FX_Calcs,$AA597,$AF597)</f>
        <v>Insulated</v>
      </c>
      <c r="AA597">
        <f>AA596</f>
        <v>43</v>
      </c>
      <c r="AB597">
        <f t="shared" si="1453"/>
        <v>6</v>
      </c>
      <c r="AC597">
        <f t="shared" si="1454"/>
        <v>3</v>
      </c>
      <c r="AD597">
        <f t="shared" si="1454"/>
        <v>13</v>
      </c>
      <c r="AE597">
        <f t="shared" si="1454"/>
        <v>12</v>
      </c>
      <c r="AF597">
        <f t="shared" si="1454"/>
        <v>14</v>
      </c>
      <c r="AG597">
        <f t="shared" si="1455"/>
        <v>77</v>
      </c>
      <c r="AH597">
        <f t="shared" si="1456"/>
        <v>78</v>
      </c>
      <c r="AI597">
        <f t="shared" si="1457"/>
        <v>1</v>
      </c>
      <c r="AJ597">
        <f t="shared" si="1458"/>
        <v>2</v>
      </c>
      <c r="AK597">
        <f t="shared" si="1459"/>
        <v>1</v>
      </c>
      <c r="AL597">
        <f t="shared" si="1460"/>
        <v>76</v>
      </c>
    </row>
    <row r="598" spans="1:38" ht="17.149999999999999" x14ac:dyDescent="0.55000000000000004">
      <c r="B598" t="str">
        <f>B594</f>
        <v>Portland</v>
      </c>
      <c r="C598" t="s">
        <v>512</v>
      </c>
      <c r="D598">
        <f t="shared" ref="D598:P598" si="1462">D594-D593</f>
        <v>10.400000000000034</v>
      </c>
      <c r="E598">
        <f t="shared" si="1462"/>
        <v>13.199999999999989</v>
      </c>
      <c r="F598">
        <f t="shared" si="1462"/>
        <v>13.200000000000045</v>
      </c>
      <c r="G598">
        <f t="shared" si="1462"/>
        <v>13.399999999999977</v>
      </c>
      <c r="H598">
        <f t="shared" si="1462"/>
        <v>13.299999999999955</v>
      </c>
      <c r="I598">
        <f t="shared" si="1462"/>
        <v>12.500000000000057</v>
      </c>
      <c r="J598">
        <f t="shared" si="1462"/>
        <v>12.699999999999932</v>
      </c>
      <c r="K598">
        <f t="shared" si="1462"/>
        <v>13.600000000000023</v>
      </c>
      <c r="L598">
        <f t="shared" si="1462"/>
        <v>16.399999999999977</v>
      </c>
      <c r="M598">
        <f t="shared" si="1462"/>
        <v>14.699999999999989</v>
      </c>
      <c r="N598">
        <f t="shared" si="1462"/>
        <v>12.200000000000045</v>
      </c>
      <c r="O598">
        <f t="shared" si="1462"/>
        <v>10</v>
      </c>
      <c r="P598">
        <f t="shared" si="1462"/>
        <v>13</v>
      </c>
    </row>
    <row r="599" spans="1:38" x14ac:dyDescent="0.4">
      <c r="B599" t="str">
        <f t="shared" ref="B599:B606" si="1463">B598</f>
        <v>Portland</v>
      </c>
      <c r="C599" t="s">
        <v>260</v>
      </c>
      <c r="D599">
        <f t="shared" ref="D599:P599" si="1464">VLOOKUP(VLOOKUP($B599,Terminal_X_Ref,2,FALSE)&amp;$C599,Weather_Data,$Y599*D$3+$Z599,FALSE)</f>
        <v>343</v>
      </c>
      <c r="E599">
        <f t="shared" si="1464"/>
        <v>600</v>
      </c>
      <c r="F599">
        <f t="shared" si="1464"/>
        <v>877</v>
      </c>
      <c r="G599">
        <f t="shared" si="1464"/>
        <v>1252</v>
      </c>
      <c r="H599">
        <f t="shared" si="1464"/>
        <v>1537</v>
      </c>
      <c r="I599">
        <f t="shared" si="1464"/>
        <v>1627</v>
      </c>
      <c r="J599">
        <f t="shared" si="1464"/>
        <v>1708</v>
      </c>
      <c r="K599">
        <f t="shared" si="1464"/>
        <v>1492</v>
      </c>
      <c r="L599">
        <f t="shared" si="1464"/>
        <v>1196</v>
      </c>
      <c r="M599">
        <f t="shared" si="1464"/>
        <v>728</v>
      </c>
      <c r="N599">
        <f t="shared" si="1464"/>
        <v>391</v>
      </c>
      <c r="O599">
        <f t="shared" si="1464"/>
        <v>302</v>
      </c>
      <c r="P599">
        <f t="shared" si="1464"/>
        <v>1005</v>
      </c>
      <c r="U599">
        <f>U594</f>
        <v>2</v>
      </c>
      <c r="V599">
        <f t="shared" ref="V599:Z599" si="1465">V594</f>
        <v>3</v>
      </c>
      <c r="W599">
        <f t="shared" si="1465"/>
        <v>1</v>
      </c>
      <c r="X599">
        <f t="shared" si="1465"/>
        <v>2</v>
      </c>
      <c r="Y599">
        <f t="shared" si="1465"/>
        <v>1</v>
      </c>
      <c r="Z599">
        <f t="shared" si="1465"/>
        <v>1</v>
      </c>
    </row>
    <row r="600" spans="1:38" ht="17.149999999999999" x14ac:dyDescent="0.55000000000000004">
      <c r="B600" t="str">
        <f t="shared" si="1463"/>
        <v>Portland</v>
      </c>
      <c r="C600" t="s">
        <v>523</v>
      </c>
      <c r="D600">
        <f>IF(ISNUMBER(D597),0.7*D598+0.02*D597*D599,IF(D597="Partially Insulated",0.6*D598+0.02*D596*D599,0))</f>
        <v>0</v>
      </c>
      <c r="E600">
        <f t="shared" ref="E600:P600" si="1466">IF(ISNUMBER(E597),0.7*E598+0.02*E597*E599,IF(E597="Partially Insulated",0.6*E598+0.02*E596*E599,0))</f>
        <v>0</v>
      </c>
      <c r="F600">
        <f t="shared" si="1466"/>
        <v>0</v>
      </c>
      <c r="G600">
        <f t="shared" si="1466"/>
        <v>0</v>
      </c>
      <c r="H600">
        <f t="shared" si="1466"/>
        <v>0</v>
      </c>
      <c r="I600">
        <f t="shared" si="1466"/>
        <v>0</v>
      </c>
      <c r="J600">
        <f t="shared" si="1466"/>
        <v>0</v>
      </c>
      <c r="K600">
        <f t="shared" si="1466"/>
        <v>0</v>
      </c>
      <c r="L600">
        <f t="shared" si="1466"/>
        <v>0</v>
      </c>
      <c r="M600">
        <f t="shared" si="1466"/>
        <v>0</v>
      </c>
      <c r="N600">
        <f t="shared" si="1466"/>
        <v>0</v>
      </c>
      <c r="O600">
        <f t="shared" si="1466"/>
        <v>0</v>
      </c>
      <c r="P600">
        <f t="shared" si="1466"/>
        <v>0</v>
      </c>
    </row>
    <row r="601" spans="1:38" ht="17.149999999999999" x14ac:dyDescent="0.55000000000000004">
      <c r="B601" t="str">
        <f t="shared" si="1463"/>
        <v>Portland</v>
      </c>
      <c r="C601" t="s">
        <v>524</v>
      </c>
      <c r="D601">
        <f t="shared" ref="D601:F601" si="1467">AVERAGE(D593:D594)</f>
        <v>503.5</v>
      </c>
      <c r="E601">
        <f t="shared" si="1467"/>
        <v>504.30000000000007</v>
      </c>
      <c r="F601">
        <f t="shared" si="1467"/>
        <v>505.70000000000005</v>
      </c>
      <c r="G601">
        <f>AVERAGE(G593:G594)</f>
        <v>508.2</v>
      </c>
      <c r="H601">
        <f t="shared" ref="H601:P601" si="1468">AVERAGE(H593:H594)</f>
        <v>512.75</v>
      </c>
      <c r="I601">
        <f t="shared" si="1468"/>
        <v>516.55000000000007</v>
      </c>
      <c r="J601">
        <f t="shared" si="1468"/>
        <v>520.04999999999995</v>
      </c>
      <c r="K601">
        <f t="shared" si="1468"/>
        <v>520.5</v>
      </c>
      <c r="L601">
        <f t="shared" si="1468"/>
        <v>518.20000000000005</v>
      </c>
      <c r="M601">
        <f t="shared" si="1468"/>
        <v>512.25</v>
      </c>
      <c r="N601">
        <f t="shared" si="1468"/>
        <v>506.70000000000005</v>
      </c>
      <c r="O601">
        <f t="shared" si="1468"/>
        <v>503.20000000000005</v>
      </c>
      <c r="P601">
        <f t="shared" si="1468"/>
        <v>51.4</v>
      </c>
    </row>
    <row r="602" spans="1:38" ht="17.149999999999999" x14ac:dyDescent="0.55000000000000004">
      <c r="B602" t="str">
        <f t="shared" si="1463"/>
        <v>Portland</v>
      </c>
      <c r="C602" t="s">
        <v>525</v>
      </c>
      <c r="D602" cm="1">
        <f t="array" ref="D602">IFERROR(IF(ISBLANK(INDEX(FX_Input,$R593,D$3*$AK593+$AL593)),D601+0.003*D595*D599,INDEX(FX_Input,$R593,D$3*$AK593+$AL593)+459.6),D601)</f>
        <v>503.5</v>
      </c>
      <c r="E602" cm="1">
        <f t="array" ref="E602">IFERROR(IF(ISBLANK(INDEX(FX_Input,$R593,E$3*$AK593+$AL593)),E601+0.003*E595*E599,INDEX(FX_Input,$R593,E$3*$AK593+$AL593)+459.6),E601)</f>
        <v>504.30000000000007</v>
      </c>
      <c r="F602" cm="1">
        <f t="array" ref="F602">IFERROR(IF(ISBLANK(INDEX(FX_Input,$R593,F$3*$AK593+$AL593)),F601+0.003*F595*F599,INDEX(FX_Input,$R593,F$3*$AK593+$AL593)+459.6),F601)</f>
        <v>505.70000000000005</v>
      </c>
      <c r="G602" cm="1">
        <f t="array" ref="G602">IFERROR(IF(ISBLANK(INDEX(FX_Input,$R593,G$3*$AK593+$AL593)),G601+0.003*G595*G599,INDEX(FX_Input,$R593,G$3*$AK593+$AL593)+459.6),G601)</f>
        <v>508.2</v>
      </c>
      <c r="H602" cm="1">
        <f t="array" ref="H602">IFERROR(IF(ISBLANK(INDEX(FX_Input,$R593,H$3*$AK593+$AL593)),H601+0.003*H595*H599,INDEX(FX_Input,$R593,H$3*$AK593+$AL593)+459.6),H601)</f>
        <v>512.75</v>
      </c>
      <c r="I602" cm="1">
        <f t="array" ref="I602">IFERROR(IF(ISBLANK(INDEX(FX_Input,$R593,I$3*$AK593+$AL593)),I601+0.003*I595*I599,INDEX(FX_Input,$R593,I$3*$AK593+$AL593)+459.6),I601)</f>
        <v>516.55000000000007</v>
      </c>
      <c r="J602" cm="1">
        <f t="array" ref="J602">IFERROR(IF(ISBLANK(INDEX(FX_Input,$R593,J$3*$AK593+$AL593)),J601+0.003*J595*J599,INDEX(FX_Input,$R593,J$3*$AK593+$AL593)+459.6),J601)</f>
        <v>520.04999999999995</v>
      </c>
      <c r="K602" cm="1">
        <f t="array" ref="K602">IFERROR(IF(ISBLANK(INDEX(FX_Input,$R593,K$3*$AK593+$AL593)),K601+0.003*K595*K599,INDEX(FX_Input,$R593,K$3*$AK593+$AL593)+459.6),K601)</f>
        <v>520.5</v>
      </c>
      <c r="L602" cm="1">
        <f t="array" ref="L602">IFERROR(IF(ISBLANK(INDEX(FX_Input,$R593,L$3*$AK593+$AL593)),L601+0.003*L595*L599,INDEX(FX_Input,$R593,L$3*$AK593+$AL593)+459.6),L601)</f>
        <v>518.20000000000005</v>
      </c>
      <c r="M602" cm="1">
        <f t="array" ref="M602">IFERROR(IF(ISBLANK(INDEX(FX_Input,$R593,M$3*$AK593+$AL593)),M601+0.003*M595*M599,INDEX(FX_Input,$R593,M$3*$AK593+$AL593)+459.6),M601)</f>
        <v>512.25</v>
      </c>
      <c r="N602" cm="1">
        <f t="array" ref="N602">IFERROR(IF(ISBLANK(INDEX(FX_Input,$R593,N$3*$AK593+$AL593)),N601+0.003*N595*N599,INDEX(FX_Input,$R593,N$3*$AK593+$AL593)+459.6),N601)</f>
        <v>506.70000000000005</v>
      </c>
      <c r="O602" cm="1">
        <f t="array" ref="O602">IFERROR(IF(ISBLANK(INDEX(FX_Input,$R593,O$3*$AK593+$AL593)),O601+0.003*O595*O599,INDEX(FX_Input,$R593,O$3*$AK593+$AL593)+459.6),O601)</f>
        <v>503.20000000000005</v>
      </c>
      <c r="P602" cm="1">
        <f t="array" ref="P602">IFERROR(IF(ISBLANK(INDEX(FX_Input,$R593,P$3*$AK593+$AL593)),P601+0.003*P595*P599,INDEX(FX_Input,$R593,P$3*$AK593+$AL593)+459.6),P601)</f>
        <v>3682.6</v>
      </c>
    </row>
    <row r="603" spans="1:38" ht="17.149999999999999" x14ac:dyDescent="0.55000000000000004">
      <c r="B603" t="str">
        <f t="shared" si="1463"/>
        <v>Portland</v>
      </c>
      <c r="C603" t="s">
        <v>526</v>
      </c>
      <c r="D603">
        <f>IF(ISNUMBER(D597),0.4*D593+0.6*D602+0.005*D597*D599,IF(D597="Partially Insulated",0.3*D601+0.7*D602+0.005*D596*D599,D602))-459.6</f>
        <v>43.899999999999977</v>
      </c>
      <c r="E603">
        <f t="shared" ref="E603" si="1469">IF(ISNUMBER(E597),0.4*E593+0.6*E602+0.005*E597*E599,IF(E597="Partially Insulated",0.3*E601+0.7*E602+0.005*E596*E599,E602))-459.6</f>
        <v>44.700000000000045</v>
      </c>
      <c r="F603">
        <f t="shared" ref="F603" si="1470">IF(ISNUMBER(F597),0.4*F593+0.6*F602+0.005*F597*F599,IF(F597="Partially Insulated",0.3*F601+0.7*F602+0.005*F596*F599,F602))-459.6</f>
        <v>46.100000000000023</v>
      </c>
      <c r="G603">
        <f t="shared" ref="G603" si="1471">IF(ISNUMBER(G597),0.4*G593+0.6*G602+0.005*G597*G599,IF(G597="Partially Insulated",0.3*G601+0.7*G602+0.005*G596*G599,G602))-459.6</f>
        <v>48.599999999999966</v>
      </c>
      <c r="H603">
        <f t="shared" ref="H603" si="1472">IF(ISNUMBER(H597),0.4*H593+0.6*H602+0.005*H597*H599,IF(H597="Partially Insulated",0.3*H601+0.7*H602+0.005*H596*H599,H602))-459.6</f>
        <v>53.149999999999977</v>
      </c>
      <c r="I603">
        <f t="shared" ref="I603" si="1473">IF(ISNUMBER(I597),0.4*I593+0.6*I602+0.005*I597*I599,IF(I597="Partially Insulated",0.3*I601+0.7*I602+0.005*I596*I599,I602))-459.6</f>
        <v>56.950000000000045</v>
      </c>
      <c r="J603">
        <f t="shared" ref="J603" si="1474">IF(ISNUMBER(J597),0.4*J593+0.6*J602+0.005*J597*J599,IF(J597="Partially Insulated",0.3*J601+0.7*J602+0.005*J596*J599,J602))-459.6</f>
        <v>60.449999999999932</v>
      </c>
      <c r="K603">
        <f t="shared" ref="K603" si="1475">IF(ISNUMBER(K597),0.4*K593+0.6*K602+0.005*K597*K599,IF(K597="Partially Insulated",0.3*K601+0.7*K602+0.005*K596*K599,K602))-459.6</f>
        <v>60.899999999999977</v>
      </c>
      <c r="L603">
        <f t="shared" ref="L603" si="1476">IF(ISNUMBER(L597),0.4*L593+0.6*L602+0.005*L597*L599,IF(L597="Partially Insulated",0.3*L601+0.7*L602+0.005*L596*L599,L602))-459.6</f>
        <v>58.600000000000023</v>
      </c>
      <c r="M603">
        <f t="shared" ref="M603" si="1477">IF(ISNUMBER(M597),0.4*M593+0.6*M602+0.005*M597*M599,IF(M597="Partially Insulated",0.3*M601+0.7*M602+0.005*M596*M599,M602))-459.6</f>
        <v>52.649999999999977</v>
      </c>
      <c r="N603">
        <f t="shared" ref="N603" si="1478">IF(ISNUMBER(N597),0.4*N593+0.6*N602+0.005*N597*N599,IF(N597="Partially Insulated",0.3*N601+0.7*N602+0.005*N596*N599,N602))-459.6</f>
        <v>47.100000000000023</v>
      </c>
      <c r="O603">
        <f t="shared" ref="O603" si="1479">IF(ISNUMBER(O597),0.4*O593+0.6*O602+0.005*O597*O599,IF(O597="Partially Insulated",0.3*O601+0.7*O602+0.005*O596*O599,O602))-459.6</f>
        <v>43.600000000000023</v>
      </c>
      <c r="P603">
        <f>AVERAGE(D603:O603)</f>
        <v>51.391666666666673</v>
      </c>
    </row>
    <row r="604" spans="1:38" ht="17.149999999999999" x14ac:dyDescent="0.55000000000000004">
      <c r="B604" t="str">
        <f t="shared" si="1463"/>
        <v>Portland</v>
      </c>
      <c r="C604" t="s">
        <v>527</v>
      </c>
      <c r="D604">
        <f>IF(ISNUMBER(D597),0.4*D594+0.6*D602+0.005*D597*D599,IF(D597="Partially Insulated",0.3*D601+0.7*D602+0.005*D596*D599,D602))-459.6</f>
        <v>43.899999999999977</v>
      </c>
      <c r="E604">
        <f t="shared" ref="E604:O604" si="1480">IF(ISNUMBER(E597),0.4*E594+0.6*E602+0.005*E597*E599,IF(E597="Partially Insulated",0.3*E601+0.7*E602+0.005*E596*E599,E602))-459.6</f>
        <v>44.700000000000045</v>
      </c>
      <c r="F604">
        <f t="shared" si="1480"/>
        <v>46.100000000000023</v>
      </c>
      <c r="G604">
        <f t="shared" si="1480"/>
        <v>48.599999999999966</v>
      </c>
      <c r="H604">
        <f t="shared" si="1480"/>
        <v>53.149999999999977</v>
      </c>
      <c r="I604">
        <f t="shared" si="1480"/>
        <v>56.950000000000045</v>
      </c>
      <c r="J604">
        <f t="shared" si="1480"/>
        <v>60.449999999999932</v>
      </c>
      <c r="K604">
        <f t="shared" si="1480"/>
        <v>60.899999999999977</v>
      </c>
      <c r="L604">
        <f t="shared" si="1480"/>
        <v>58.600000000000023</v>
      </c>
      <c r="M604">
        <f t="shared" si="1480"/>
        <v>52.649999999999977</v>
      </c>
      <c r="N604">
        <f t="shared" si="1480"/>
        <v>47.100000000000023</v>
      </c>
      <c r="O604">
        <f t="shared" si="1480"/>
        <v>43.600000000000023</v>
      </c>
      <c r="P604">
        <f>AVERAGE(D604:O604)</f>
        <v>51.391666666666673</v>
      </c>
    </row>
    <row r="605" spans="1:38" ht="17.149999999999999" x14ac:dyDescent="0.55000000000000004">
      <c r="B605" t="str">
        <f t="shared" si="1463"/>
        <v>Portland</v>
      </c>
      <c r="C605" t="s">
        <v>552</v>
      </c>
      <c r="D605">
        <f>IF(ISNUMBER(D597),0.4*D601+0.6*D602+0.005*D597*D599,IF(D597="Partially Insulated",0.3*D601+0.7*D602+0.005*D596*D599,D602))-459.6</f>
        <v>43.899999999999977</v>
      </c>
      <c r="E605">
        <f t="shared" ref="E605:O605" si="1481">IF(ISNUMBER(E597),0.4*E601+0.6*E602+0.005*E597*E599,IF(E597="Partially Insulated",0.3*E601+0.7*E602+0.005*E596*E599,E602))-459.6</f>
        <v>44.700000000000045</v>
      </c>
      <c r="F605">
        <f t="shared" si="1481"/>
        <v>46.100000000000023</v>
      </c>
      <c r="G605">
        <f t="shared" si="1481"/>
        <v>48.599999999999966</v>
      </c>
      <c r="H605">
        <f t="shared" si="1481"/>
        <v>53.149999999999977</v>
      </c>
      <c r="I605">
        <f t="shared" si="1481"/>
        <v>56.950000000000045</v>
      </c>
      <c r="J605">
        <f t="shared" si="1481"/>
        <v>60.449999999999932</v>
      </c>
      <c r="K605">
        <f t="shared" si="1481"/>
        <v>60.899999999999977</v>
      </c>
      <c r="L605">
        <f t="shared" si="1481"/>
        <v>58.600000000000023</v>
      </c>
      <c r="M605">
        <f t="shared" si="1481"/>
        <v>52.649999999999977</v>
      </c>
      <c r="N605">
        <f t="shared" si="1481"/>
        <v>47.100000000000023</v>
      </c>
      <c r="O605">
        <f t="shared" si="1481"/>
        <v>43.600000000000023</v>
      </c>
      <c r="P605">
        <f>AVERAGE(D605:O605)</f>
        <v>51.391666666666673</v>
      </c>
    </row>
    <row r="606" spans="1:38" ht="17.149999999999999" x14ac:dyDescent="0.55000000000000004">
      <c r="A606" s="11"/>
      <c r="B606" s="11" t="str">
        <f t="shared" si="1463"/>
        <v>Portland</v>
      </c>
      <c r="C606" s="11" t="s">
        <v>553</v>
      </c>
      <c r="D606" s="11">
        <f>IF(ISNUMBER(D597),0.7*D601+0.3*D602+0.009*D597*D599,IF(D597="Partially Insulated",0.6*D601+0.4*D602+0.01*D596*D599,D602))-459.6</f>
        <v>43.899999999999977</v>
      </c>
      <c r="E606" s="11">
        <f t="shared" ref="E606:O606" si="1482">IF(ISNUMBER(E597),0.7*E601+0.3*E602+0.009*E597*E599,IF(E597="Partially Insulated",0.6*E601+0.4*E602+0.01*E596*E599,E602))-459.6</f>
        <v>44.700000000000045</v>
      </c>
      <c r="F606" s="11">
        <f t="shared" si="1482"/>
        <v>46.100000000000023</v>
      </c>
      <c r="G606" s="11">
        <f t="shared" si="1482"/>
        <v>48.599999999999966</v>
      </c>
      <c r="H606" s="11">
        <f t="shared" si="1482"/>
        <v>53.149999999999977</v>
      </c>
      <c r="I606" s="11">
        <f t="shared" si="1482"/>
        <v>56.950000000000045</v>
      </c>
      <c r="J606" s="11">
        <f t="shared" si="1482"/>
        <v>60.449999999999932</v>
      </c>
      <c r="K606" s="11">
        <f t="shared" si="1482"/>
        <v>60.899999999999977</v>
      </c>
      <c r="L606" s="11">
        <f t="shared" si="1482"/>
        <v>58.600000000000023</v>
      </c>
      <c r="M606" s="11">
        <f t="shared" si="1482"/>
        <v>52.649999999999977</v>
      </c>
      <c r="N606" s="11">
        <f t="shared" si="1482"/>
        <v>47.100000000000023</v>
      </c>
      <c r="O606" s="11">
        <f t="shared" si="1482"/>
        <v>43.600000000000023</v>
      </c>
      <c r="P606" s="11">
        <f>AVERAGE(D606:O606)</f>
        <v>51.391666666666673</v>
      </c>
      <c r="Q606" s="11"/>
      <c r="R606" s="11"/>
      <c r="S606" s="11"/>
      <c r="T606" s="11"/>
      <c r="U606" s="11"/>
      <c r="V606" s="11"/>
      <c r="W606" s="11"/>
      <c r="X606" s="11"/>
      <c r="Y606" s="11"/>
      <c r="Z606" s="11"/>
      <c r="AA606" s="11"/>
      <c r="AB606" s="11"/>
      <c r="AC606" s="11"/>
      <c r="AD606" s="11"/>
      <c r="AE606" s="11"/>
      <c r="AF606" s="11"/>
      <c r="AG606" s="11"/>
      <c r="AH606" s="11"/>
      <c r="AI606" s="11"/>
      <c r="AJ606" s="11"/>
      <c r="AK606" s="11"/>
      <c r="AL606" s="11"/>
    </row>
    <row r="607" spans="1:38" ht="17.149999999999999" x14ac:dyDescent="0.55000000000000004">
      <c r="A607" t="str" cm="1">
        <f t="array" ref="A607">INDEX(FX_Input,$R607,S$5)</f>
        <v>FX - 44</v>
      </c>
      <c r="B607" t="str" cm="1">
        <f t="array" ref="B607">INDEX(FX_Input,R607,T607)</f>
        <v>Portland</v>
      </c>
      <c r="C607" t="s">
        <v>510</v>
      </c>
      <c r="D607">
        <f t="shared" ref="D607:O608" si="1483">VLOOKUP(VLOOKUP($B607,Terminal_X_Ref,2,FALSE)&amp;$C607,Weather_Data,$Y607*D$3+$Z607,FALSE)+459.6</f>
        <v>498.3</v>
      </c>
      <c r="E607">
        <f t="shared" si="1483"/>
        <v>497.70000000000005</v>
      </c>
      <c r="F607">
        <f t="shared" si="1483"/>
        <v>499.1</v>
      </c>
      <c r="G607">
        <f t="shared" si="1483"/>
        <v>501.5</v>
      </c>
      <c r="H607">
        <f t="shared" si="1483"/>
        <v>506.1</v>
      </c>
      <c r="I607">
        <f t="shared" si="1483"/>
        <v>510.3</v>
      </c>
      <c r="J607">
        <f t="shared" si="1483"/>
        <v>513.70000000000005</v>
      </c>
      <c r="K607">
        <f t="shared" si="1483"/>
        <v>513.70000000000005</v>
      </c>
      <c r="L607">
        <f t="shared" si="1483"/>
        <v>510</v>
      </c>
      <c r="M607">
        <f t="shared" si="1483"/>
        <v>504.90000000000003</v>
      </c>
      <c r="N607">
        <f t="shared" si="1483"/>
        <v>500.6</v>
      </c>
      <c r="O607">
        <f t="shared" si="1483"/>
        <v>498.20000000000005</v>
      </c>
      <c r="P607">
        <f t="shared" ref="P607:P608" si="1484">VLOOKUP(VLOOKUP($B607,Terminal_X_Ref,2,FALSE)&amp;$C607,Weather_Data,$Y607*P$3+$Z607,FALSE)</f>
        <v>44.9</v>
      </c>
      <c r="R607">
        <f>R593+2</f>
        <v>87</v>
      </c>
      <c r="S607">
        <f>S593+1</f>
        <v>44</v>
      </c>
      <c r="T607">
        <v>3</v>
      </c>
      <c r="U607">
        <v>2</v>
      </c>
      <c r="V607">
        <v>3</v>
      </c>
      <c r="W607">
        <v>1</v>
      </c>
      <c r="X607">
        <v>2</v>
      </c>
      <c r="Y607">
        <f>(V607-U607)/(X607-W607)</f>
        <v>1</v>
      </c>
      <c r="Z607">
        <f>U607-Y607*W607</f>
        <v>1</v>
      </c>
      <c r="AA607">
        <f>AA593+1</f>
        <v>44</v>
      </c>
      <c r="AB607">
        <v>6</v>
      </c>
      <c r="AC607">
        <v>3</v>
      </c>
      <c r="AD607">
        <v>13</v>
      </c>
      <c r="AE607">
        <v>12</v>
      </c>
      <c r="AF607">
        <v>14</v>
      </c>
      <c r="AG607">
        <v>77</v>
      </c>
      <c r="AH607">
        <v>78</v>
      </c>
      <c r="AI607">
        <v>1</v>
      </c>
      <c r="AJ607">
        <v>2</v>
      </c>
      <c r="AK607">
        <f>(AH607-AG607)/(AJ607-AI607)</f>
        <v>1</v>
      </c>
      <c r="AL607">
        <f>AG607-AK607*AI607</f>
        <v>76</v>
      </c>
    </row>
    <row r="608" spans="1:38" ht="17.149999999999999" x14ac:dyDescent="0.55000000000000004">
      <c r="B608" t="str">
        <f t="shared" ref="B608" si="1485">B607</f>
        <v>Portland</v>
      </c>
      <c r="C608" t="s">
        <v>511</v>
      </c>
      <c r="D608">
        <f t="shared" si="1483"/>
        <v>508.70000000000005</v>
      </c>
      <c r="E608">
        <f t="shared" si="1483"/>
        <v>510.90000000000003</v>
      </c>
      <c r="F608">
        <f t="shared" si="1483"/>
        <v>512.30000000000007</v>
      </c>
      <c r="G608">
        <f t="shared" si="1483"/>
        <v>514.9</v>
      </c>
      <c r="H608">
        <f t="shared" si="1483"/>
        <v>519.4</v>
      </c>
      <c r="I608">
        <f t="shared" si="1483"/>
        <v>522.80000000000007</v>
      </c>
      <c r="J608">
        <f t="shared" si="1483"/>
        <v>526.4</v>
      </c>
      <c r="K608">
        <f t="shared" si="1483"/>
        <v>527.30000000000007</v>
      </c>
      <c r="L608">
        <f t="shared" si="1483"/>
        <v>526.4</v>
      </c>
      <c r="M608">
        <f t="shared" si="1483"/>
        <v>519.6</v>
      </c>
      <c r="N608">
        <f t="shared" si="1483"/>
        <v>512.80000000000007</v>
      </c>
      <c r="O608">
        <f t="shared" si="1483"/>
        <v>508.20000000000005</v>
      </c>
      <c r="P608">
        <f t="shared" si="1484"/>
        <v>57.9</v>
      </c>
      <c r="U608">
        <f>U607</f>
        <v>2</v>
      </c>
      <c r="V608">
        <f t="shared" ref="V608:Z608" si="1486">V607</f>
        <v>3</v>
      </c>
      <c r="W608">
        <f t="shared" si="1486"/>
        <v>1</v>
      </c>
      <c r="X608">
        <f t="shared" si="1486"/>
        <v>2</v>
      </c>
      <c r="Y608">
        <f t="shared" si="1486"/>
        <v>1</v>
      </c>
      <c r="Z608">
        <f t="shared" si="1486"/>
        <v>1</v>
      </c>
      <c r="AA608">
        <f>AA607</f>
        <v>44</v>
      </c>
      <c r="AB608">
        <f t="shared" ref="AB608:AB611" si="1487">AB607</f>
        <v>6</v>
      </c>
      <c r="AC608">
        <f t="shared" ref="AC608:AF611" si="1488">AC607</f>
        <v>3</v>
      </c>
      <c r="AD608">
        <f t="shared" si="1488"/>
        <v>13</v>
      </c>
      <c r="AE608">
        <f t="shared" si="1488"/>
        <v>12</v>
      </c>
      <c r="AF608">
        <f t="shared" si="1488"/>
        <v>14</v>
      </c>
      <c r="AG608">
        <f t="shared" ref="AG608:AG611" si="1489">AG607</f>
        <v>77</v>
      </c>
      <c r="AH608">
        <f t="shared" ref="AH608:AH611" si="1490">AH607</f>
        <v>78</v>
      </c>
      <c r="AI608">
        <f t="shared" ref="AI608:AI611" si="1491">AI607</f>
        <v>1</v>
      </c>
      <c r="AJ608">
        <f t="shared" ref="AJ608:AJ611" si="1492">AJ607</f>
        <v>2</v>
      </c>
      <c r="AK608">
        <f t="shared" ref="AK608:AK611" si="1493">AK607</f>
        <v>1</v>
      </c>
      <c r="AL608">
        <f t="shared" ref="AL608:AL611" si="1494">AL607</f>
        <v>76</v>
      </c>
    </row>
    <row r="609" spans="1:38" ht="17.149999999999999" x14ac:dyDescent="0.4">
      <c r="B609" t="str">
        <f>B608</f>
        <v>Portland</v>
      </c>
      <c r="C609" s="66" t="s">
        <v>514</v>
      </c>
      <c r="D609" t="str" cm="1">
        <f t="array" ref="D609">INDEX(FX_Calcs,$AA609,$AE609)</f>
        <v>N/A</v>
      </c>
      <c r="E609" t="str" cm="1">
        <f t="array" ref="E609">INDEX(FX_Calcs,$AA609,$AE609)</f>
        <v>N/A</v>
      </c>
      <c r="F609" t="str" cm="1">
        <f t="array" ref="F609">INDEX(FX_Calcs,$AA609,$AE609)</f>
        <v>N/A</v>
      </c>
      <c r="G609" t="str" cm="1">
        <f t="array" ref="G609">INDEX(FX_Calcs,$AA609,$AE609)</f>
        <v>N/A</v>
      </c>
      <c r="H609" t="str" cm="1">
        <f t="array" ref="H609">INDEX(FX_Calcs,$AA609,$AE609)</f>
        <v>N/A</v>
      </c>
      <c r="I609" t="str" cm="1">
        <f t="array" ref="I609">INDEX(FX_Calcs,$AA609,$AE609)</f>
        <v>N/A</v>
      </c>
      <c r="J609" t="str" cm="1">
        <f t="array" ref="J609">INDEX(FX_Calcs,$AA609,$AE609)</f>
        <v>N/A</v>
      </c>
      <c r="K609" t="str" cm="1">
        <f t="array" ref="K609">INDEX(FX_Calcs,$AA609,$AE609)</f>
        <v>N/A</v>
      </c>
      <c r="L609" t="str" cm="1">
        <f t="array" ref="L609">INDEX(FX_Calcs,$AA609,$AE609)</f>
        <v>N/A</v>
      </c>
      <c r="M609" t="str" cm="1">
        <f t="array" ref="M609">INDEX(FX_Calcs,$AA609,$AE609)</f>
        <v>N/A</v>
      </c>
      <c r="N609" t="str" cm="1">
        <f t="array" ref="N609">INDEX(FX_Calcs,$AA609,$AE609)</f>
        <v>N/A</v>
      </c>
      <c r="O609" t="str" cm="1">
        <f t="array" ref="O609">INDEX(FX_Calcs,$AA609,$AE609)</f>
        <v>N/A</v>
      </c>
      <c r="P609" t="str" cm="1">
        <f t="array" ref="P609">INDEX(FX_Calcs,$AA609,$AE609)</f>
        <v>N/A</v>
      </c>
      <c r="AA609">
        <f>AA608</f>
        <v>44</v>
      </c>
      <c r="AB609">
        <f t="shared" si="1487"/>
        <v>6</v>
      </c>
      <c r="AC609">
        <f t="shared" si="1488"/>
        <v>3</v>
      </c>
      <c r="AD609">
        <f t="shared" si="1488"/>
        <v>13</v>
      </c>
      <c r="AE609">
        <f t="shared" si="1488"/>
        <v>12</v>
      </c>
      <c r="AF609">
        <f t="shared" si="1488"/>
        <v>14</v>
      </c>
      <c r="AG609">
        <f t="shared" si="1489"/>
        <v>77</v>
      </c>
      <c r="AH609">
        <f t="shared" si="1490"/>
        <v>78</v>
      </c>
      <c r="AI609">
        <f t="shared" si="1491"/>
        <v>1</v>
      </c>
      <c r="AJ609">
        <f t="shared" si="1492"/>
        <v>2</v>
      </c>
      <c r="AK609">
        <f t="shared" si="1493"/>
        <v>1</v>
      </c>
      <c r="AL609">
        <f t="shared" si="1494"/>
        <v>76</v>
      </c>
    </row>
    <row r="610" spans="1:38" ht="17.149999999999999" x14ac:dyDescent="0.4">
      <c r="B610" t="str">
        <f t="shared" ref="B610:B611" si="1495">B609</f>
        <v>Portland</v>
      </c>
      <c r="C610" s="66" t="s">
        <v>513</v>
      </c>
      <c r="D610" t="str" cm="1">
        <f t="array" ref="D610">INDEX(FX_Calcs,$AA610,$AD610)</f>
        <v>N/A</v>
      </c>
      <c r="E610" t="str" cm="1">
        <f t="array" ref="E610">INDEX(FX_Calcs,$AA610,$AD610)</f>
        <v>N/A</v>
      </c>
      <c r="F610" t="str" cm="1">
        <f t="array" ref="F610">INDEX(FX_Calcs,$AA610,$AD610)</f>
        <v>N/A</v>
      </c>
      <c r="G610" t="str" cm="1">
        <f t="array" ref="G610">INDEX(FX_Calcs,$AA610,$AD610)</f>
        <v>N/A</v>
      </c>
      <c r="H610" t="str" cm="1">
        <f t="array" ref="H610">INDEX(FX_Calcs,$AA610,$AD610)</f>
        <v>N/A</v>
      </c>
      <c r="I610" t="str" cm="1">
        <f t="array" ref="I610">INDEX(FX_Calcs,$AA610,$AD610)</f>
        <v>N/A</v>
      </c>
      <c r="J610" t="str" cm="1">
        <f t="array" ref="J610">INDEX(FX_Calcs,$AA610,$AD610)</f>
        <v>N/A</v>
      </c>
      <c r="K610" t="str" cm="1">
        <f t="array" ref="K610">INDEX(FX_Calcs,$AA610,$AD610)</f>
        <v>N/A</v>
      </c>
      <c r="L610" t="str" cm="1">
        <f t="array" ref="L610">INDEX(FX_Calcs,$AA610,$AD610)</f>
        <v>N/A</v>
      </c>
      <c r="M610" t="str" cm="1">
        <f t="array" ref="M610">INDEX(FX_Calcs,$AA610,$AD610)</f>
        <v>N/A</v>
      </c>
      <c r="N610" t="str" cm="1">
        <f t="array" ref="N610">INDEX(FX_Calcs,$AA610,$AD610)</f>
        <v>N/A</v>
      </c>
      <c r="O610" t="str" cm="1">
        <f t="array" ref="O610">INDEX(FX_Calcs,$AA610,$AD610)</f>
        <v>N/A</v>
      </c>
      <c r="P610" t="str" cm="1">
        <f t="array" ref="P610">INDEX(FX_Calcs,$AA610,$AD610)</f>
        <v>N/A</v>
      </c>
      <c r="AA610">
        <f>AA609</f>
        <v>44</v>
      </c>
      <c r="AB610">
        <f t="shared" si="1487"/>
        <v>6</v>
      </c>
      <c r="AC610">
        <f t="shared" si="1488"/>
        <v>3</v>
      </c>
      <c r="AD610">
        <f t="shared" si="1488"/>
        <v>13</v>
      </c>
      <c r="AE610">
        <f t="shared" si="1488"/>
        <v>12</v>
      </c>
      <c r="AF610">
        <f t="shared" si="1488"/>
        <v>14</v>
      </c>
      <c r="AG610">
        <f t="shared" si="1489"/>
        <v>77</v>
      </c>
      <c r="AH610">
        <f t="shared" si="1490"/>
        <v>78</v>
      </c>
      <c r="AI610">
        <f t="shared" si="1491"/>
        <v>1</v>
      </c>
      <c r="AJ610">
        <f t="shared" si="1492"/>
        <v>2</v>
      </c>
      <c r="AK610">
        <f t="shared" si="1493"/>
        <v>1</v>
      </c>
      <c r="AL610">
        <f t="shared" si="1494"/>
        <v>76</v>
      </c>
    </row>
    <row r="611" spans="1:38" x14ac:dyDescent="0.4">
      <c r="B611" t="str">
        <f t="shared" si="1495"/>
        <v>Portland</v>
      </c>
      <c r="C611" s="66" t="s">
        <v>558</v>
      </c>
      <c r="D611" t="str" cm="1">
        <f t="array" ref="D611">INDEX(FX_Calcs,$AA611,$AF611)</f>
        <v>Insulated</v>
      </c>
      <c r="E611" t="str" cm="1">
        <f t="array" ref="E611">INDEX(FX_Calcs,$AA611,$AF611)</f>
        <v>Insulated</v>
      </c>
      <c r="F611" t="str" cm="1">
        <f t="array" ref="F611">INDEX(FX_Calcs,$AA611,$AF611)</f>
        <v>Insulated</v>
      </c>
      <c r="G611" t="str" cm="1">
        <f t="array" ref="G611">INDEX(FX_Calcs,$AA611,$AF611)</f>
        <v>Insulated</v>
      </c>
      <c r="H611" t="str" cm="1">
        <f t="array" ref="H611">INDEX(FX_Calcs,$AA611,$AF611)</f>
        <v>Insulated</v>
      </c>
      <c r="I611" t="str" cm="1">
        <f t="array" ref="I611">INDEX(FX_Calcs,$AA611,$AF611)</f>
        <v>Insulated</v>
      </c>
      <c r="J611" t="str" cm="1">
        <f t="array" ref="J611">INDEX(FX_Calcs,$AA611,$AF611)</f>
        <v>Insulated</v>
      </c>
      <c r="K611" t="str" cm="1">
        <f t="array" ref="K611">INDEX(FX_Calcs,$AA611,$AF611)</f>
        <v>Insulated</v>
      </c>
      <c r="L611" t="str" cm="1">
        <f t="array" ref="L611">INDEX(FX_Calcs,$AA611,$AF611)</f>
        <v>Insulated</v>
      </c>
      <c r="M611" t="str" cm="1">
        <f t="array" ref="M611">INDEX(FX_Calcs,$AA611,$AF611)</f>
        <v>Insulated</v>
      </c>
      <c r="N611" t="str" cm="1">
        <f t="array" ref="N611">INDEX(FX_Calcs,$AA611,$AF611)</f>
        <v>Insulated</v>
      </c>
      <c r="O611" t="str" cm="1">
        <f t="array" ref="O611">INDEX(FX_Calcs,$AA611,$AF611)</f>
        <v>Insulated</v>
      </c>
      <c r="P611" t="str" cm="1">
        <f t="array" ref="P611">INDEX(FX_Calcs,$AA611,$AF611)</f>
        <v>Insulated</v>
      </c>
      <c r="AA611">
        <f>AA610</f>
        <v>44</v>
      </c>
      <c r="AB611">
        <f t="shared" si="1487"/>
        <v>6</v>
      </c>
      <c r="AC611">
        <f t="shared" si="1488"/>
        <v>3</v>
      </c>
      <c r="AD611">
        <f t="shared" si="1488"/>
        <v>13</v>
      </c>
      <c r="AE611">
        <f t="shared" si="1488"/>
        <v>12</v>
      </c>
      <c r="AF611">
        <f t="shared" si="1488"/>
        <v>14</v>
      </c>
      <c r="AG611">
        <f t="shared" si="1489"/>
        <v>77</v>
      </c>
      <c r="AH611">
        <f t="shared" si="1490"/>
        <v>78</v>
      </c>
      <c r="AI611">
        <f t="shared" si="1491"/>
        <v>1</v>
      </c>
      <c r="AJ611">
        <f t="shared" si="1492"/>
        <v>2</v>
      </c>
      <c r="AK611">
        <f t="shared" si="1493"/>
        <v>1</v>
      </c>
      <c r="AL611">
        <f t="shared" si="1494"/>
        <v>76</v>
      </c>
    </row>
    <row r="612" spans="1:38" ht="17.149999999999999" x14ac:dyDescent="0.55000000000000004">
      <c r="B612" t="str">
        <f>B608</f>
        <v>Portland</v>
      </c>
      <c r="C612" t="s">
        <v>512</v>
      </c>
      <c r="D612">
        <f t="shared" ref="D612:P612" si="1496">D608-D607</f>
        <v>10.400000000000034</v>
      </c>
      <c r="E612">
        <f t="shared" si="1496"/>
        <v>13.199999999999989</v>
      </c>
      <c r="F612">
        <f t="shared" si="1496"/>
        <v>13.200000000000045</v>
      </c>
      <c r="G612">
        <f t="shared" si="1496"/>
        <v>13.399999999999977</v>
      </c>
      <c r="H612">
        <f t="shared" si="1496"/>
        <v>13.299999999999955</v>
      </c>
      <c r="I612">
        <f t="shared" si="1496"/>
        <v>12.500000000000057</v>
      </c>
      <c r="J612">
        <f t="shared" si="1496"/>
        <v>12.699999999999932</v>
      </c>
      <c r="K612">
        <f t="shared" si="1496"/>
        <v>13.600000000000023</v>
      </c>
      <c r="L612">
        <f t="shared" si="1496"/>
        <v>16.399999999999977</v>
      </c>
      <c r="M612">
        <f t="shared" si="1496"/>
        <v>14.699999999999989</v>
      </c>
      <c r="N612">
        <f t="shared" si="1496"/>
        <v>12.200000000000045</v>
      </c>
      <c r="O612">
        <f t="shared" si="1496"/>
        <v>10</v>
      </c>
      <c r="P612">
        <f t="shared" si="1496"/>
        <v>13</v>
      </c>
    </row>
    <row r="613" spans="1:38" x14ac:dyDescent="0.4">
      <c r="B613" t="str">
        <f t="shared" ref="B613:B620" si="1497">B612</f>
        <v>Portland</v>
      </c>
      <c r="C613" t="s">
        <v>260</v>
      </c>
      <c r="D613">
        <f t="shared" ref="D613:P613" si="1498">VLOOKUP(VLOOKUP($B613,Terminal_X_Ref,2,FALSE)&amp;$C613,Weather_Data,$Y613*D$3+$Z613,FALSE)</f>
        <v>343</v>
      </c>
      <c r="E613">
        <f t="shared" si="1498"/>
        <v>600</v>
      </c>
      <c r="F613">
        <f t="shared" si="1498"/>
        <v>877</v>
      </c>
      <c r="G613">
        <f t="shared" si="1498"/>
        <v>1252</v>
      </c>
      <c r="H613">
        <f t="shared" si="1498"/>
        <v>1537</v>
      </c>
      <c r="I613">
        <f t="shared" si="1498"/>
        <v>1627</v>
      </c>
      <c r="J613">
        <f t="shared" si="1498"/>
        <v>1708</v>
      </c>
      <c r="K613">
        <f t="shared" si="1498"/>
        <v>1492</v>
      </c>
      <c r="L613">
        <f t="shared" si="1498"/>
        <v>1196</v>
      </c>
      <c r="M613">
        <f t="shared" si="1498"/>
        <v>728</v>
      </c>
      <c r="N613">
        <f t="shared" si="1498"/>
        <v>391</v>
      </c>
      <c r="O613">
        <f t="shared" si="1498"/>
        <v>302</v>
      </c>
      <c r="P613">
        <f t="shared" si="1498"/>
        <v>1005</v>
      </c>
      <c r="U613">
        <f>U608</f>
        <v>2</v>
      </c>
      <c r="V613">
        <f t="shared" ref="V613:Z613" si="1499">V608</f>
        <v>3</v>
      </c>
      <c r="W613">
        <f t="shared" si="1499"/>
        <v>1</v>
      </c>
      <c r="X613">
        <f t="shared" si="1499"/>
        <v>2</v>
      </c>
      <c r="Y613">
        <f t="shared" si="1499"/>
        <v>1</v>
      </c>
      <c r="Z613">
        <f t="shared" si="1499"/>
        <v>1</v>
      </c>
    </row>
    <row r="614" spans="1:38" ht="17.149999999999999" x14ac:dyDescent="0.55000000000000004">
      <c r="B614" t="str">
        <f t="shared" si="1497"/>
        <v>Portland</v>
      </c>
      <c r="C614" t="s">
        <v>523</v>
      </c>
      <c r="D614">
        <f>IF(ISNUMBER(D611),0.7*D612+0.02*D611*D613,IF(D611="Partially Insulated",0.6*D612+0.02*D610*D613,0))</f>
        <v>0</v>
      </c>
      <c r="E614">
        <f t="shared" ref="E614:P614" si="1500">IF(ISNUMBER(E611),0.7*E612+0.02*E611*E613,IF(E611="Partially Insulated",0.6*E612+0.02*E610*E613,0))</f>
        <v>0</v>
      </c>
      <c r="F614">
        <f t="shared" si="1500"/>
        <v>0</v>
      </c>
      <c r="G614">
        <f t="shared" si="1500"/>
        <v>0</v>
      </c>
      <c r="H614">
        <f t="shared" si="1500"/>
        <v>0</v>
      </c>
      <c r="I614">
        <f t="shared" si="1500"/>
        <v>0</v>
      </c>
      <c r="J614">
        <f t="shared" si="1500"/>
        <v>0</v>
      </c>
      <c r="K614">
        <f t="shared" si="1500"/>
        <v>0</v>
      </c>
      <c r="L614">
        <f t="shared" si="1500"/>
        <v>0</v>
      </c>
      <c r="M614">
        <f t="shared" si="1500"/>
        <v>0</v>
      </c>
      <c r="N614">
        <f t="shared" si="1500"/>
        <v>0</v>
      </c>
      <c r="O614">
        <f t="shared" si="1500"/>
        <v>0</v>
      </c>
      <c r="P614">
        <f t="shared" si="1500"/>
        <v>0</v>
      </c>
    </row>
    <row r="615" spans="1:38" ht="17.149999999999999" x14ac:dyDescent="0.55000000000000004">
      <c r="B615" t="str">
        <f t="shared" si="1497"/>
        <v>Portland</v>
      </c>
      <c r="C615" t="s">
        <v>524</v>
      </c>
      <c r="D615">
        <f t="shared" ref="D615:F615" si="1501">AVERAGE(D607:D608)</f>
        <v>503.5</v>
      </c>
      <c r="E615">
        <f t="shared" si="1501"/>
        <v>504.30000000000007</v>
      </c>
      <c r="F615">
        <f t="shared" si="1501"/>
        <v>505.70000000000005</v>
      </c>
      <c r="G615">
        <f>AVERAGE(G607:G608)</f>
        <v>508.2</v>
      </c>
      <c r="H615">
        <f t="shared" ref="H615:P615" si="1502">AVERAGE(H607:H608)</f>
        <v>512.75</v>
      </c>
      <c r="I615">
        <f t="shared" si="1502"/>
        <v>516.55000000000007</v>
      </c>
      <c r="J615">
        <f t="shared" si="1502"/>
        <v>520.04999999999995</v>
      </c>
      <c r="K615">
        <f t="shared" si="1502"/>
        <v>520.5</v>
      </c>
      <c r="L615">
        <f t="shared" si="1502"/>
        <v>518.20000000000005</v>
      </c>
      <c r="M615">
        <f t="shared" si="1502"/>
        <v>512.25</v>
      </c>
      <c r="N615">
        <f t="shared" si="1502"/>
        <v>506.70000000000005</v>
      </c>
      <c r="O615">
        <f t="shared" si="1502"/>
        <v>503.20000000000005</v>
      </c>
      <c r="P615">
        <f t="shared" si="1502"/>
        <v>51.4</v>
      </c>
    </row>
    <row r="616" spans="1:38" ht="17.149999999999999" x14ac:dyDescent="0.55000000000000004">
      <c r="B616" t="str">
        <f t="shared" si="1497"/>
        <v>Portland</v>
      </c>
      <c r="C616" t="s">
        <v>525</v>
      </c>
      <c r="D616" cm="1">
        <f t="array" ref="D616">IFERROR(IF(ISBLANK(INDEX(FX_Input,$R607,D$3*$AK607+$AL607)),D615+0.003*D609*D613,INDEX(FX_Input,$R607,D$3*$AK607+$AL607)+459.6),D615)</f>
        <v>503.5</v>
      </c>
      <c r="E616" cm="1">
        <f t="array" ref="E616">IFERROR(IF(ISBLANK(INDEX(FX_Input,$R607,E$3*$AK607+$AL607)),E615+0.003*E609*E613,INDEX(FX_Input,$R607,E$3*$AK607+$AL607)+459.6),E615)</f>
        <v>504.30000000000007</v>
      </c>
      <c r="F616" cm="1">
        <f t="array" ref="F616">IFERROR(IF(ISBLANK(INDEX(FX_Input,$R607,F$3*$AK607+$AL607)),F615+0.003*F609*F613,INDEX(FX_Input,$R607,F$3*$AK607+$AL607)+459.6),F615)</f>
        <v>505.70000000000005</v>
      </c>
      <c r="G616" cm="1">
        <f t="array" ref="G616">IFERROR(IF(ISBLANK(INDEX(FX_Input,$R607,G$3*$AK607+$AL607)),G615+0.003*G609*G613,INDEX(FX_Input,$R607,G$3*$AK607+$AL607)+459.6),G615)</f>
        <v>508.2</v>
      </c>
      <c r="H616" cm="1">
        <f t="array" ref="H616">IFERROR(IF(ISBLANK(INDEX(FX_Input,$R607,H$3*$AK607+$AL607)),H615+0.003*H609*H613,INDEX(FX_Input,$R607,H$3*$AK607+$AL607)+459.6),H615)</f>
        <v>512.75</v>
      </c>
      <c r="I616" cm="1">
        <f t="array" ref="I616">IFERROR(IF(ISBLANK(INDEX(FX_Input,$R607,I$3*$AK607+$AL607)),I615+0.003*I609*I613,INDEX(FX_Input,$R607,I$3*$AK607+$AL607)+459.6),I615)</f>
        <v>516.55000000000007</v>
      </c>
      <c r="J616" cm="1">
        <f t="array" ref="J616">IFERROR(IF(ISBLANK(INDEX(FX_Input,$R607,J$3*$AK607+$AL607)),J615+0.003*J609*J613,INDEX(FX_Input,$R607,J$3*$AK607+$AL607)+459.6),J615)</f>
        <v>520.04999999999995</v>
      </c>
      <c r="K616" cm="1">
        <f t="array" ref="K616">IFERROR(IF(ISBLANK(INDEX(FX_Input,$R607,K$3*$AK607+$AL607)),K615+0.003*K609*K613,INDEX(FX_Input,$R607,K$3*$AK607+$AL607)+459.6),K615)</f>
        <v>520.5</v>
      </c>
      <c r="L616" cm="1">
        <f t="array" ref="L616">IFERROR(IF(ISBLANK(INDEX(FX_Input,$R607,L$3*$AK607+$AL607)),L615+0.003*L609*L613,INDEX(FX_Input,$R607,L$3*$AK607+$AL607)+459.6),L615)</f>
        <v>518.20000000000005</v>
      </c>
      <c r="M616" cm="1">
        <f t="array" ref="M616">IFERROR(IF(ISBLANK(INDEX(FX_Input,$R607,M$3*$AK607+$AL607)),M615+0.003*M609*M613,INDEX(FX_Input,$R607,M$3*$AK607+$AL607)+459.6),M615)</f>
        <v>512.25</v>
      </c>
      <c r="N616" cm="1">
        <f t="array" ref="N616">IFERROR(IF(ISBLANK(INDEX(FX_Input,$R607,N$3*$AK607+$AL607)),N615+0.003*N609*N613,INDEX(FX_Input,$R607,N$3*$AK607+$AL607)+459.6),N615)</f>
        <v>506.70000000000005</v>
      </c>
      <c r="O616" cm="1">
        <f t="array" ref="O616">IFERROR(IF(ISBLANK(INDEX(FX_Input,$R607,O$3*$AK607+$AL607)),O615+0.003*O609*O613,INDEX(FX_Input,$R607,O$3*$AK607+$AL607)+459.6),O615)</f>
        <v>503.20000000000005</v>
      </c>
      <c r="P616" cm="1">
        <f t="array" ref="P616">IFERROR(IF(ISBLANK(INDEX(FX_Input,$R607,P$3*$AK607+$AL607)),P615+0.003*P609*P613,INDEX(FX_Input,$R607,P$3*$AK607+$AL607)+459.6),P615)</f>
        <v>3682.6</v>
      </c>
    </row>
    <row r="617" spans="1:38" ht="17.149999999999999" x14ac:dyDescent="0.55000000000000004">
      <c r="B617" t="str">
        <f t="shared" si="1497"/>
        <v>Portland</v>
      </c>
      <c r="C617" t="s">
        <v>526</v>
      </c>
      <c r="D617">
        <f>IF(ISNUMBER(D611),0.4*D607+0.6*D616+0.005*D611*D613,IF(D611="Partially Insulated",0.3*D615+0.7*D616+0.005*D610*D613,D616))-459.6</f>
        <v>43.899999999999977</v>
      </c>
      <c r="E617">
        <f t="shared" ref="E617" si="1503">IF(ISNUMBER(E611),0.4*E607+0.6*E616+0.005*E611*E613,IF(E611="Partially Insulated",0.3*E615+0.7*E616+0.005*E610*E613,E616))-459.6</f>
        <v>44.700000000000045</v>
      </c>
      <c r="F617">
        <f t="shared" ref="F617" si="1504">IF(ISNUMBER(F611),0.4*F607+0.6*F616+0.005*F611*F613,IF(F611="Partially Insulated",0.3*F615+0.7*F616+0.005*F610*F613,F616))-459.6</f>
        <v>46.100000000000023</v>
      </c>
      <c r="G617">
        <f t="shared" ref="G617" si="1505">IF(ISNUMBER(G611),0.4*G607+0.6*G616+0.005*G611*G613,IF(G611="Partially Insulated",0.3*G615+0.7*G616+0.005*G610*G613,G616))-459.6</f>
        <v>48.599999999999966</v>
      </c>
      <c r="H617">
        <f t="shared" ref="H617" si="1506">IF(ISNUMBER(H611),0.4*H607+0.6*H616+0.005*H611*H613,IF(H611="Partially Insulated",0.3*H615+0.7*H616+0.005*H610*H613,H616))-459.6</f>
        <v>53.149999999999977</v>
      </c>
      <c r="I617">
        <f t="shared" ref="I617" si="1507">IF(ISNUMBER(I611),0.4*I607+0.6*I616+0.005*I611*I613,IF(I611="Partially Insulated",0.3*I615+0.7*I616+0.005*I610*I613,I616))-459.6</f>
        <v>56.950000000000045</v>
      </c>
      <c r="J617">
        <f t="shared" ref="J617" si="1508">IF(ISNUMBER(J611),0.4*J607+0.6*J616+0.005*J611*J613,IF(J611="Partially Insulated",0.3*J615+0.7*J616+0.005*J610*J613,J616))-459.6</f>
        <v>60.449999999999932</v>
      </c>
      <c r="K617">
        <f t="shared" ref="K617" si="1509">IF(ISNUMBER(K611),0.4*K607+0.6*K616+0.005*K611*K613,IF(K611="Partially Insulated",0.3*K615+0.7*K616+0.005*K610*K613,K616))-459.6</f>
        <v>60.899999999999977</v>
      </c>
      <c r="L617">
        <f t="shared" ref="L617" si="1510">IF(ISNUMBER(L611),0.4*L607+0.6*L616+0.005*L611*L613,IF(L611="Partially Insulated",0.3*L615+0.7*L616+0.005*L610*L613,L616))-459.6</f>
        <v>58.600000000000023</v>
      </c>
      <c r="M617">
        <f t="shared" ref="M617" si="1511">IF(ISNUMBER(M611),0.4*M607+0.6*M616+0.005*M611*M613,IF(M611="Partially Insulated",0.3*M615+0.7*M616+0.005*M610*M613,M616))-459.6</f>
        <v>52.649999999999977</v>
      </c>
      <c r="N617">
        <f t="shared" ref="N617" si="1512">IF(ISNUMBER(N611),0.4*N607+0.6*N616+0.005*N611*N613,IF(N611="Partially Insulated",0.3*N615+0.7*N616+0.005*N610*N613,N616))-459.6</f>
        <v>47.100000000000023</v>
      </c>
      <c r="O617">
        <f t="shared" ref="O617" si="1513">IF(ISNUMBER(O611),0.4*O607+0.6*O616+0.005*O611*O613,IF(O611="Partially Insulated",0.3*O615+0.7*O616+0.005*O610*O613,O616))-459.6</f>
        <v>43.600000000000023</v>
      </c>
      <c r="P617">
        <f>AVERAGE(D617:O617)</f>
        <v>51.391666666666673</v>
      </c>
    </row>
    <row r="618" spans="1:38" ht="17.149999999999999" x14ac:dyDescent="0.55000000000000004">
      <c r="B618" t="str">
        <f t="shared" si="1497"/>
        <v>Portland</v>
      </c>
      <c r="C618" t="s">
        <v>527</v>
      </c>
      <c r="D618">
        <f>IF(ISNUMBER(D611),0.4*D608+0.6*D616+0.005*D611*D613,IF(D611="Partially Insulated",0.3*D615+0.7*D616+0.005*D610*D613,D616))-459.6</f>
        <v>43.899999999999977</v>
      </c>
      <c r="E618">
        <f t="shared" ref="E618:O618" si="1514">IF(ISNUMBER(E611),0.4*E608+0.6*E616+0.005*E611*E613,IF(E611="Partially Insulated",0.3*E615+0.7*E616+0.005*E610*E613,E616))-459.6</f>
        <v>44.700000000000045</v>
      </c>
      <c r="F618">
        <f t="shared" si="1514"/>
        <v>46.100000000000023</v>
      </c>
      <c r="G618">
        <f t="shared" si="1514"/>
        <v>48.599999999999966</v>
      </c>
      <c r="H618">
        <f t="shared" si="1514"/>
        <v>53.149999999999977</v>
      </c>
      <c r="I618">
        <f t="shared" si="1514"/>
        <v>56.950000000000045</v>
      </c>
      <c r="J618">
        <f t="shared" si="1514"/>
        <v>60.449999999999932</v>
      </c>
      <c r="K618">
        <f t="shared" si="1514"/>
        <v>60.899999999999977</v>
      </c>
      <c r="L618">
        <f t="shared" si="1514"/>
        <v>58.600000000000023</v>
      </c>
      <c r="M618">
        <f t="shared" si="1514"/>
        <v>52.649999999999977</v>
      </c>
      <c r="N618">
        <f t="shared" si="1514"/>
        <v>47.100000000000023</v>
      </c>
      <c r="O618">
        <f t="shared" si="1514"/>
        <v>43.600000000000023</v>
      </c>
      <c r="P618">
        <f>AVERAGE(D618:O618)</f>
        <v>51.391666666666673</v>
      </c>
    </row>
    <row r="619" spans="1:38" ht="17.149999999999999" x14ac:dyDescent="0.55000000000000004">
      <c r="B619" t="str">
        <f t="shared" si="1497"/>
        <v>Portland</v>
      </c>
      <c r="C619" t="s">
        <v>552</v>
      </c>
      <c r="D619">
        <f>IF(ISNUMBER(D611),0.4*D615+0.6*D616+0.005*D611*D613,IF(D611="Partially Insulated",0.3*D615+0.7*D616+0.005*D610*D613,D616))-459.6</f>
        <v>43.899999999999977</v>
      </c>
      <c r="E619">
        <f t="shared" ref="E619:O619" si="1515">IF(ISNUMBER(E611),0.4*E615+0.6*E616+0.005*E611*E613,IF(E611="Partially Insulated",0.3*E615+0.7*E616+0.005*E610*E613,E616))-459.6</f>
        <v>44.700000000000045</v>
      </c>
      <c r="F619">
        <f t="shared" si="1515"/>
        <v>46.100000000000023</v>
      </c>
      <c r="G619">
        <f t="shared" si="1515"/>
        <v>48.599999999999966</v>
      </c>
      <c r="H619">
        <f t="shared" si="1515"/>
        <v>53.149999999999977</v>
      </c>
      <c r="I619">
        <f t="shared" si="1515"/>
        <v>56.950000000000045</v>
      </c>
      <c r="J619">
        <f t="shared" si="1515"/>
        <v>60.449999999999932</v>
      </c>
      <c r="K619">
        <f t="shared" si="1515"/>
        <v>60.899999999999977</v>
      </c>
      <c r="L619">
        <f t="shared" si="1515"/>
        <v>58.600000000000023</v>
      </c>
      <c r="M619">
        <f t="shared" si="1515"/>
        <v>52.649999999999977</v>
      </c>
      <c r="N619">
        <f t="shared" si="1515"/>
        <v>47.100000000000023</v>
      </c>
      <c r="O619">
        <f t="shared" si="1515"/>
        <v>43.600000000000023</v>
      </c>
      <c r="P619">
        <f>AVERAGE(D619:O619)</f>
        <v>51.391666666666673</v>
      </c>
    </row>
    <row r="620" spans="1:38" ht="17.149999999999999" x14ac:dyDescent="0.55000000000000004">
      <c r="A620" s="11"/>
      <c r="B620" s="11" t="str">
        <f t="shared" si="1497"/>
        <v>Portland</v>
      </c>
      <c r="C620" s="11" t="s">
        <v>553</v>
      </c>
      <c r="D620" s="11">
        <f>IF(ISNUMBER(D611),0.7*D615+0.3*D616+0.009*D611*D613,IF(D611="Partially Insulated",0.6*D615+0.4*D616+0.01*D610*D613,D616))-459.6</f>
        <v>43.899999999999977</v>
      </c>
      <c r="E620" s="11">
        <f t="shared" ref="E620:O620" si="1516">IF(ISNUMBER(E611),0.7*E615+0.3*E616+0.009*E611*E613,IF(E611="Partially Insulated",0.6*E615+0.4*E616+0.01*E610*E613,E616))-459.6</f>
        <v>44.700000000000045</v>
      </c>
      <c r="F620" s="11">
        <f t="shared" si="1516"/>
        <v>46.100000000000023</v>
      </c>
      <c r="G620" s="11">
        <f t="shared" si="1516"/>
        <v>48.599999999999966</v>
      </c>
      <c r="H620" s="11">
        <f t="shared" si="1516"/>
        <v>53.149999999999977</v>
      </c>
      <c r="I620" s="11">
        <f t="shared" si="1516"/>
        <v>56.950000000000045</v>
      </c>
      <c r="J620" s="11">
        <f t="shared" si="1516"/>
        <v>60.449999999999932</v>
      </c>
      <c r="K620" s="11">
        <f t="shared" si="1516"/>
        <v>60.899999999999977</v>
      </c>
      <c r="L620" s="11">
        <f t="shared" si="1516"/>
        <v>58.600000000000023</v>
      </c>
      <c r="M620" s="11">
        <f t="shared" si="1516"/>
        <v>52.649999999999977</v>
      </c>
      <c r="N620" s="11">
        <f t="shared" si="1516"/>
        <v>47.100000000000023</v>
      </c>
      <c r="O620" s="11">
        <f t="shared" si="1516"/>
        <v>43.600000000000023</v>
      </c>
      <c r="P620" s="11">
        <f>AVERAGE(D620:O620)</f>
        <v>51.391666666666673</v>
      </c>
      <c r="Q620" s="11"/>
      <c r="R620" s="11"/>
      <c r="S620" s="11"/>
      <c r="T620" s="11"/>
      <c r="U620" s="11"/>
      <c r="V620" s="11"/>
      <c r="W620" s="11"/>
      <c r="X620" s="11"/>
      <c r="Y620" s="11"/>
      <c r="Z620" s="11"/>
      <c r="AA620" s="11"/>
      <c r="AB620" s="11"/>
      <c r="AC620" s="11"/>
      <c r="AD620" s="11"/>
      <c r="AE620" s="11"/>
      <c r="AF620" s="11"/>
      <c r="AG620" s="11"/>
      <c r="AH620" s="11"/>
      <c r="AI620" s="11"/>
      <c r="AJ620" s="11"/>
      <c r="AK620" s="11"/>
      <c r="AL620" s="11"/>
    </row>
    <row r="621" spans="1:38" ht="17.149999999999999" x14ac:dyDescent="0.55000000000000004">
      <c r="A621" t="str" cm="1">
        <f t="array" ref="A621">INDEX(FX_Input,$R621,S$5)</f>
        <v>FX - 45</v>
      </c>
      <c r="B621" t="str" cm="1">
        <f t="array" ref="B621">INDEX(FX_Input,R621,T621)</f>
        <v>Portland</v>
      </c>
      <c r="C621" t="s">
        <v>510</v>
      </c>
      <c r="D621">
        <f t="shared" ref="D621:O622" si="1517">VLOOKUP(VLOOKUP($B621,Terminal_X_Ref,2,FALSE)&amp;$C621,Weather_Data,$Y621*D$3+$Z621,FALSE)+459.6</f>
        <v>498.3</v>
      </c>
      <c r="E621">
        <f t="shared" si="1517"/>
        <v>497.70000000000005</v>
      </c>
      <c r="F621">
        <f t="shared" si="1517"/>
        <v>499.1</v>
      </c>
      <c r="G621">
        <f t="shared" si="1517"/>
        <v>501.5</v>
      </c>
      <c r="H621">
        <f t="shared" si="1517"/>
        <v>506.1</v>
      </c>
      <c r="I621">
        <f t="shared" si="1517"/>
        <v>510.3</v>
      </c>
      <c r="J621">
        <f t="shared" si="1517"/>
        <v>513.70000000000005</v>
      </c>
      <c r="K621">
        <f t="shared" si="1517"/>
        <v>513.70000000000005</v>
      </c>
      <c r="L621">
        <f t="shared" si="1517"/>
        <v>510</v>
      </c>
      <c r="M621">
        <f t="shared" si="1517"/>
        <v>504.90000000000003</v>
      </c>
      <c r="N621">
        <f t="shared" si="1517"/>
        <v>500.6</v>
      </c>
      <c r="O621">
        <f t="shared" si="1517"/>
        <v>498.20000000000005</v>
      </c>
      <c r="P621">
        <f t="shared" ref="P621:P622" si="1518">VLOOKUP(VLOOKUP($B621,Terminal_X_Ref,2,FALSE)&amp;$C621,Weather_Data,$Y621*P$3+$Z621,FALSE)</f>
        <v>44.9</v>
      </c>
      <c r="R621">
        <f>R607+2</f>
        <v>89</v>
      </c>
      <c r="S621">
        <f>S607+1</f>
        <v>45</v>
      </c>
      <c r="T621">
        <v>3</v>
      </c>
      <c r="U621">
        <v>2</v>
      </c>
      <c r="V621">
        <v>3</v>
      </c>
      <c r="W621">
        <v>1</v>
      </c>
      <c r="X621">
        <v>2</v>
      </c>
      <c r="Y621">
        <f>(V621-U621)/(X621-W621)</f>
        <v>1</v>
      </c>
      <c r="Z621">
        <f>U621-Y621*W621</f>
        <v>1</v>
      </c>
      <c r="AA621">
        <f>AA607+1</f>
        <v>45</v>
      </c>
      <c r="AB621">
        <v>6</v>
      </c>
      <c r="AC621">
        <v>3</v>
      </c>
      <c r="AD621">
        <v>13</v>
      </c>
      <c r="AE621">
        <v>12</v>
      </c>
      <c r="AF621">
        <v>14</v>
      </c>
      <c r="AG621">
        <v>77</v>
      </c>
      <c r="AH621">
        <v>78</v>
      </c>
      <c r="AI621">
        <v>1</v>
      </c>
      <c r="AJ621">
        <v>2</v>
      </c>
      <c r="AK621">
        <f>(AH621-AG621)/(AJ621-AI621)</f>
        <v>1</v>
      </c>
      <c r="AL621">
        <f>AG621-AK621*AI621</f>
        <v>76</v>
      </c>
    </row>
    <row r="622" spans="1:38" ht="17.149999999999999" x14ac:dyDescent="0.55000000000000004">
      <c r="B622" t="str">
        <f t="shared" ref="B622" si="1519">B621</f>
        <v>Portland</v>
      </c>
      <c r="C622" t="s">
        <v>511</v>
      </c>
      <c r="D622">
        <f t="shared" si="1517"/>
        <v>508.70000000000005</v>
      </c>
      <c r="E622">
        <f t="shared" si="1517"/>
        <v>510.90000000000003</v>
      </c>
      <c r="F622">
        <f t="shared" si="1517"/>
        <v>512.30000000000007</v>
      </c>
      <c r="G622">
        <f t="shared" si="1517"/>
        <v>514.9</v>
      </c>
      <c r="H622">
        <f t="shared" si="1517"/>
        <v>519.4</v>
      </c>
      <c r="I622">
        <f t="shared" si="1517"/>
        <v>522.80000000000007</v>
      </c>
      <c r="J622">
        <f t="shared" si="1517"/>
        <v>526.4</v>
      </c>
      <c r="K622">
        <f t="shared" si="1517"/>
        <v>527.30000000000007</v>
      </c>
      <c r="L622">
        <f t="shared" si="1517"/>
        <v>526.4</v>
      </c>
      <c r="M622">
        <f t="shared" si="1517"/>
        <v>519.6</v>
      </c>
      <c r="N622">
        <f t="shared" si="1517"/>
        <v>512.80000000000007</v>
      </c>
      <c r="O622">
        <f t="shared" si="1517"/>
        <v>508.20000000000005</v>
      </c>
      <c r="P622">
        <f t="shared" si="1518"/>
        <v>57.9</v>
      </c>
      <c r="U622">
        <f>U621</f>
        <v>2</v>
      </c>
      <c r="V622">
        <f t="shared" ref="V622:Z622" si="1520">V621</f>
        <v>3</v>
      </c>
      <c r="W622">
        <f t="shared" si="1520"/>
        <v>1</v>
      </c>
      <c r="X622">
        <f t="shared" si="1520"/>
        <v>2</v>
      </c>
      <c r="Y622">
        <f t="shared" si="1520"/>
        <v>1</v>
      </c>
      <c r="Z622">
        <f t="shared" si="1520"/>
        <v>1</v>
      </c>
      <c r="AA622">
        <f>AA621</f>
        <v>45</v>
      </c>
      <c r="AB622">
        <f t="shared" ref="AB622:AB625" si="1521">AB621</f>
        <v>6</v>
      </c>
      <c r="AC622">
        <f t="shared" ref="AC622:AF625" si="1522">AC621</f>
        <v>3</v>
      </c>
      <c r="AD622">
        <f t="shared" si="1522"/>
        <v>13</v>
      </c>
      <c r="AE622">
        <f t="shared" si="1522"/>
        <v>12</v>
      </c>
      <c r="AF622">
        <f t="shared" si="1522"/>
        <v>14</v>
      </c>
      <c r="AG622">
        <f t="shared" ref="AG622:AG625" si="1523">AG621</f>
        <v>77</v>
      </c>
      <c r="AH622">
        <f t="shared" ref="AH622:AH625" si="1524">AH621</f>
        <v>78</v>
      </c>
      <c r="AI622">
        <f t="shared" ref="AI622:AI625" si="1525">AI621</f>
        <v>1</v>
      </c>
      <c r="AJ622">
        <f t="shared" ref="AJ622:AJ625" si="1526">AJ621</f>
        <v>2</v>
      </c>
      <c r="AK622">
        <f t="shared" ref="AK622:AK625" si="1527">AK621</f>
        <v>1</v>
      </c>
      <c r="AL622">
        <f t="shared" ref="AL622:AL625" si="1528">AL621</f>
        <v>76</v>
      </c>
    </row>
    <row r="623" spans="1:38" ht="17.149999999999999" x14ac:dyDescent="0.4">
      <c r="B623" t="str">
        <f>B622</f>
        <v>Portland</v>
      </c>
      <c r="C623" s="66" t="s">
        <v>514</v>
      </c>
      <c r="D623" t="str" cm="1">
        <f t="array" ref="D623">INDEX(FX_Calcs,$AA623,$AE623)</f>
        <v>N/A</v>
      </c>
      <c r="E623" t="str" cm="1">
        <f t="array" ref="E623">INDEX(FX_Calcs,$AA623,$AE623)</f>
        <v>N/A</v>
      </c>
      <c r="F623" t="str" cm="1">
        <f t="array" ref="F623">INDEX(FX_Calcs,$AA623,$AE623)</f>
        <v>N/A</v>
      </c>
      <c r="G623" t="str" cm="1">
        <f t="array" ref="G623">INDEX(FX_Calcs,$AA623,$AE623)</f>
        <v>N/A</v>
      </c>
      <c r="H623" t="str" cm="1">
        <f t="array" ref="H623">INDEX(FX_Calcs,$AA623,$AE623)</f>
        <v>N/A</v>
      </c>
      <c r="I623" t="str" cm="1">
        <f t="array" ref="I623">INDEX(FX_Calcs,$AA623,$AE623)</f>
        <v>N/A</v>
      </c>
      <c r="J623" t="str" cm="1">
        <f t="array" ref="J623">INDEX(FX_Calcs,$AA623,$AE623)</f>
        <v>N/A</v>
      </c>
      <c r="K623" t="str" cm="1">
        <f t="array" ref="K623">INDEX(FX_Calcs,$AA623,$AE623)</f>
        <v>N/A</v>
      </c>
      <c r="L623" t="str" cm="1">
        <f t="array" ref="L623">INDEX(FX_Calcs,$AA623,$AE623)</f>
        <v>N/A</v>
      </c>
      <c r="M623" t="str" cm="1">
        <f t="array" ref="M623">INDEX(FX_Calcs,$AA623,$AE623)</f>
        <v>N/A</v>
      </c>
      <c r="N623" t="str" cm="1">
        <f t="array" ref="N623">INDEX(FX_Calcs,$AA623,$AE623)</f>
        <v>N/A</v>
      </c>
      <c r="O623" t="str" cm="1">
        <f t="array" ref="O623">INDEX(FX_Calcs,$AA623,$AE623)</f>
        <v>N/A</v>
      </c>
      <c r="P623" t="str" cm="1">
        <f t="array" ref="P623">INDEX(FX_Calcs,$AA623,$AE623)</f>
        <v>N/A</v>
      </c>
      <c r="AA623">
        <f>AA622</f>
        <v>45</v>
      </c>
      <c r="AB623">
        <f t="shared" si="1521"/>
        <v>6</v>
      </c>
      <c r="AC623">
        <f t="shared" si="1522"/>
        <v>3</v>
      </c>
      <c r="AD623">
        <f t="shared" si="1522"/>
        <v>13</v>
      </c>
      <c r="AE623">
        <f t="shared" si="1522"/>
        <v>12</v>
      </c>
      <c r="AF623">
        <f t="shared" si="1522"/>
        <v>14</v>
      </c>
      <c r="AG623">
        <f t="shared" si="1523"/>
        <v>77</v>
      </c>
      <c r="AH623">
        <f t="shared" si="1524"/>
        <v>78</v>
      </c>
      <c r="AI623">
        <f t="shared" si="1525"/>
        <v>1</v>
      </c>
      <c r="AJ623">
        <f t="shared" si="1526"/>
        <v>2</v>
      </c>
      <c r="AK623">
        <f t="shared" si="1527"/>
        <v>1</v>
      </c>
      <c r="AL623">
        <f t="shared" si="1528"/>
        <v>76</v>
      </c>
    </row>
    <row r="624" spans="1:38" ht="17.149999999999999" x14ac:dyDescent="0.4">
      <c r="B624" t="str">
        <f t="shared" ref="B624:B625" si="1529">B623</f>
        <v>Portland</v>
      </c>
      <c r="C624" s="66" t="s">
        <v>513</v>
      </c>
      <c r="D624" t="str" cm="1">
        <f t="array" ref="D624">INDEX(FX_Calcs,$AA624,$AD624)</f>
        <v>N/A</v>
      </c>
      <c r="E624" t="str" cm="1">
        <f t="array" ref="E624">INDEX(FX_Calcs,$AA624,$AD624)</f>
        <v>N/A</v>
      </c>
      <c r="F624" t="str" cm="1">
        <f t="array" ref="F624">INDEX(FX_Calcs,$AA624,$AD624)</f>
        <v>N/A</v>
      </c>
      <c r="G624" t="str" cm="1">
        <f t="array" ref="G624">INDEX(FX_Calcs,$AA624,$AD624)</f>
        <v>N/A</v>
      </c>
      <c r="H624" t="str" cm="1">
        <f t="array" ref="H624">INDEX(FX_Calcs,$AA624,$AD624)</f>
        <v>N/A</v>
      </c>
      <c r="I624" t="str" cm="1">
        <f t="array" ref="I624">INDEX(FX_Calcs,$AA624,$AD624)</f>
        <v>N/A</v>
      </c>
      <c r="J624" t="str" cm="1">
        <f t="array" ref="J624">INDEX(FX_Calcs,$AA624,$AD624)</f>
        <v>N/A</v>
      </c>
      <c r="K624" t="str" cm="1">
        <f t="array" ref="K624">INDEX(FX_Calcs,$AA624,$AD624)</f>
        <v>N/A</v>
      </c>
      <c r="L624" t="str" cm="1">
        <f t="array" ref="L624">INDEX(FX_Calcs,$AA624,$AD624)</f>
        <v>N/A</v>
      </c>
      <c r="M624" t="str" cm="1">
        <f t="array" ref="M624">INDEX(FX_Calcs,$AA624,$AD624)</f>
        <v>N/A</v>
      </c>
      <c r="N624" t="str" cm="1">
        <f t="array" ref="N624">INDEX(FX_Calcs,$AA624,$AD624)</f>
        <v>N/A</v>
      </c>
      <c r="O624" t="str" cm="1">
        <f t="array" ref="O624">INDEX(FX_Calcs,$AA624,$AD624)</f>
        <v>N/A</v>
      </c>
      <c r="P624" t="str" cm="1">
        <f t="array" ref="P624">INDEX(FX_Calcs,$AA624,$AD624)</f>
        <v>N/A</v>
      </c>
      <c r="AA624">
        <f>AA623</f>
        <v>45</v>
      </c>
      <c r="AB624">
        <f t="shared" si="1521"/>
        <v>6</v>
      </c>
      <c r="AC624">
        <f t="shared" si="1522"/>
        <v>3</v>
      </c>
      <c r="AD624">
        <f t="shared" si="1522"/>
        <v>13</v>
      </c>
      <c r="AE624">
        <f t="shared" si="1522"/>
        <v>12</v>
      </c>
      <c r="AF624">
        <f t="shared" si="1522"/>
        <v>14</v>
      </c>
      <c r="AG624">
        <f t="shared" si="1523"/>
        <v>77</v>
      </c>
      <c r="AH624">
        <f t="shared" si="1524"/>
        <v>78</v>
      </c>
      <c r="AI624">
        <f t="shared" si="1525"/>
        <v>1</v>
      </c>
      <c r="AJ624">
        <f t="shared" si="1526"/>
        <v>2</v>
      </c>
      <c r="AK624">
        <f t="shared" si="1527"/>
        <v>1</v>
      </c>
      <c r="AL624">
        <f t="shared" si="1528"/>
        <v>76</v>
      </c>
    </row>
    <row r="625" spans="1:38" x14ac:dyDescent="0.4">
      <c r="B625" t="str">
        <f t="shared" si="1529"/>
        <v>Portland</v>
      </c>
      <c r="C625" s="66" t="s">
        <v>558</v>
      </c>
      <c r="D625" t="str" cm="1">
        <f t="array" ref="D625">INDEX(FX_Calcs,$AA625,$AF625)</f>
        <v>Insulated</v>
      </c>
      <c r="E625" t="str" cm="1">
        <f t="array" ref="E625">INDEX(FX_Calcs,$AA625,$AF625)</f>
        <v>Insulated</v>
      </c>
      <c r="F625" t="str" cm="1">
        <f t="array" ref="F625">INDEX(FX_Calcs,$AA625,$AF625)</f>
        <v>Insulated</v>
      </c>
      <c r="G625" t="str" cm="1">
        <f t="array" ref="G625">INDEX(FX_Calcs,$AA625,$AF625)</f>
        <v>Insulated</v>
      </c>
      <c r="H625" t="str" cm="1">
        <f t="array" ref="H625">INDEX(FX_Calcs,$AA625,$AF625)</f>
        <v>Insulated</v>
      </c>
      <c r="I625" t="str" cm="1">
        <f t="array" ref="I625">INDEX(FX_Calcs,$AA625,$AF625)</f>
        <v>Insulated</v>
      </c>
      <c r="J625" t="str" cm="1">
        <f t="array" ref="J625">INDEX(FX_Calcs,$AA625,$AF625)</f>
        <v>Insulated</v>
      </c>
      <c r="K625" t="str" cm="1">
        <f t="array" ref="K625">INDEX(FX_Calcs,$AA625,$AF625)</f>
        <v>Insulated</v>
      </c>
      <c r="L625" t="str" cm="1">
        <f t="array" ref="L625">INDEX(FX_Calcs,$AA625,$AF625)</f>
        <v>Insulated</v>
      </c>
      <c r="M625" t="str" cm="1">
        <f t="array" ref="M625">INDEX(FX_Calcs,$AA625,$AF625)</f>
        <v>Insulated</v>
      </c>
      <c r="N625" t="str" cm="1">
        <f t="array" ref="N625">INDEX(FX_Calcs,$AA625,$AF625)</f>
        <v>Insulated</v>
      </c>
      <c r="O625" t="str" cm="1">
        <f t="array" ref="O625">INDEX(FX_Calcs,$AA625,$AF625)</f>
        <v>Insulated</v>
      </c>
      <c r="P625" t="str" cm="1">
        <f t="array" ref="P625">INDEX(FX_Calcs,$AA625,$AF625)</f>
        <v>Insulated</v>
      </c>
      <c r="AA625">
        <f>AA624</f>
        <v>45</v>
      </c>
      <c r="AB625">
        <f t="shared" si="1521"/>
        <v>6</v>
      </c>
      <c r="AC625">
        <f t="shared" si="1522"/>
        <v>3</v>
      </c>
      <c r="AD625">
        <f t="shared" si="1522"/>
        <v>13</v>
      </c>
      <c r="AE625">
        <f t="shared" si="1522"/>
        <v>12</v>
      </c>
      <c r="AF625">
        <f t="shared" si="1522"/>
        <v>14</v>
      </c>
      <c r="AG625">
        <f t="shared" si="1523"/>
        <v>77</v>
      </c>
      <c r="AH625">
        <f t="shared" si="1524"/>
        <v>78</v>
      </c>
      <c r="AI625">
        <f t="shared" si="1525"/>
        <v>1</v>
      </c>
      <c r="AJ625">
        <f t="shared" si="1526"/>
        <v>2</v>
      </c>
      <c r="AK625">
        <f t="shared" si="1527"/>
        <v>1</v>
      </c>
      <c r="AL625">
        <f t="shared" si="1528"/>
        <v>76</v>
      </c>
    </row>
    <row r="626" spans="1:38" ht="17.149999999999999" x14ac:dyDescent="0.55000000000000004">
      <c r="B626" t="str">
        <f>B622</f>
        <v>Portland</v>
      </c>
      <c r="C626" t="s">
        <v>512</v>
      </c>
      <c r="D626">
        <f t="shared" ref="D626:P626" si="1530">D622-D621</f>
        <v>10.400000000000034</v>
      </c>
      <c r="E626">
        <f t="shared" si="1530"/>
        <v>13.199999999999989</v>
      </c>
      <c r="F626">
        <f t="shared" si="1530"/>
        <v>13.200000000000045</v>
      </c>
      <c r="G626">
        <f t="shared" si="1530"/>
        <v>13.399999999999977</v>
      </c>
      <c r="H626">
        <f t="shared" si="1530"/>
        <v>13.299999999999955</v>
      </c>
      <c r="I626">
        <f t="shared" si="1530"/>
        <v>12.500000000000057</v>
      </c>
      <c r="J626">
        <f t="shared" si="1530"/>
        <v>12.699999999999932</v>
      </c>
      <c r="K626">
        <f t="shared" si="1530"/>
        <v>13.600000000000023</v>
      </c>
      <c r="L626">
        <f t="shared" si="1530"/>
        <v>16.399999999999977</v>
      </c>
      <c r="M626">
        <f t="shared" si="1530"/>
        <v>14.699999999999989</v>
      </c>
      <c r="N626">
        <f t="shared" si="1530"/>
        <v>12.200000000000045</v>
      </c>
      <c r="O626">
        <f t="shared" si="1530"/>
        <v>10</v>
      </c>
      <c r="P626">
        <f t="shared" si="1530"/>
        <v>13</v>
      </c>
    </row>
    <row r="627" spans="1:38" x14ac:dyDescent="0.4">
      <c r="B627" t="str">
        <f t="shared" ref="B627:B634" si="1531">B626</f>
        <v>Portland</v>
      </c>
      <c r="C627" t="s">
        <v>260</v>
      </c>
      <c r="D627">
        <f t="shared" ref="D627:P627" si="1532">VLOOKUP(VLOOKUP($B627,Terminal_X_Ref,2,FALSE)&amp;$C627,Weather_Data,$Y627*D$3+$Z627,FALSE)</f>
        <v>343</v>
      </c>
      <c r="E627">
        <f t="shared" si="1532"/>
        <v>600</v>
      </c>
      <c r="F627">
        <f t="shared" si="1532"/>
        <v>877</v>
      </c>
      <c r="G627">
        <f t="shared" si="1532"/>
        <v>1252</v>
      </c>
      <c r="H627">
        <f t="shared" si="1532"/>
        <v>1537</v>
      </c>
      <c r="I627">
        <f t="shared" si="1532"/>
        <v>1627</v>
      </c>
      <c r="J627">
        <f t="shared" si="1532"/>
        <v>1708</v>
      </c>
      <c r="K627">
        <f t="shared" si="1532"/>
        <v>1492</v>
      </c>
      <c r="L627">
        <f t="shared" si="1532"/>
        <v>1196</v>
      </c>
      <c r="M627">
        <f t="shared" si="1532"/>
        <v>728</v>
      </c>
      <c r="N627">
        <f t="shared" si="1532"/>
        <v>391</v>
      </c>
      <c r="O627">
        <f t="shared" si="1532"/>
        <v>302</v>
      </c>
      <c r="P627">
        <f t="shared" si="1532"/>
        <v>1005</v>
      </c>
      <c r="U627">
        <f>U622</f>
        <v>2</v>
      </c>
      <c r="V627">
        <f t="shared" ref="V627:Z627" si="1533">V622</f>
        <v>3</v>
      </c>
      <c r="W627">
        <f t="shared" si="1533"/>
        <v>1</v>
      </c>
      <c r="X627">
        <f t="shared" si="1533"/>
        <v>2</v>
      </c>
      <c r="Y627">
        <f t="shared" si="1533"/>
        <v>1</v>
      </c>
      <c r="Z627">
        <f t="shared" si="1533"/>
        <v>1</v>
      </c>
    </row>
    <row r="628" spans="1:38" ht="17.149999999999999" x14ac:dyDescent="0.55000000000000004">
      <c r="B628" t="str">
        <f t="shared" si="1531"/>
        <v>Portland</v>
      </c>
      <c r="C628" t="s">
        <v>523</v>
      </c>
      <c r="D628">
        <f>IF(ISNUMBER(D625),0.7*D626+0.02*D625*D627,IF(D625="Partially Insulated",0.6*D626+0.02*D624*D627,0))</f>
        <v>0</v>
      </c>
      <c r="E628">
        <f t="shared" ref="E628:P628" si="1534">IF(ISNUMBER(E625),0.7*E626+0.02*E625*E627,IF(E625="Partially Insulated",0.6*E626+0.02*E624*E627,0))</f>
        <v>0</v>
      </c>
      <c r="F628">
        <f t="shared" si="1534"/>
        <v>0</v>
      </c>
      <c r="G628">
        <f t="shared" si="1534"/>
        <v>0</v>
      </c>
      <c r="H628">
        <f t="shared" si="1534"/>
        <v>0</v>
      </c>
      <c r="I628">
        <f t="shared" si="1534"/>
        <v>0</v>
      </c>
      <c r="J628">
        <f t="shared" si="1534"/>
        <v>0</v>
      </c>
      <c r="K628">
        <f t="shared" si="1534"/>
        <v>0</v>
      </c>
      <c r="L628">
        <f t="shared" si="1534"/>
        <v>0</v>
      </c>
      <c r="M628">
        <f t="shared" si="1534"/>
        <v>0</v>
      </c>
      <c r="N628">
        <f t="shared" si="1534"/>
        <v>0</v>
      </c>
      <c r="O628">
        <f t="shared" si="1534"/>
        <v>0</v>
      </c>
      <c r="P628">
        <f t="shared" si="1534"/>
        <v>0</v>
      </c>
    </row>
    <row r="629" spans="1:38" ht="17.149999999999999" x14ac:dyDescent="0.55000000000000004">
      <c r="B629" t="str">
        <f t="shared" si="1531"/>
        <v>Portland</v>
      </c>
      <c r="C629" t="s">
        <v>524</v>
      </c>
      <c r="D629">
        <f t="shared" ref="D629:F629" si="1535">AVERAGE(D621:D622)</f>
        <v>503.5</v>
      </c>
      <c r="E629">
        <f t="shared" si="1535"/>
        <v>504.30000000000007</v>
      </c>
      <c r="F629">
        <f t="shared" si="1535"/>
        <v>505.70000000000005</v>
      </c>
      <c r="G629">
        <f>AVERAGE(G621:G622)</f>
        <v>508.2</v>
      </c>
      <c r="H629">
        <f t="shared" ref="H629:P629" si="1536">AVERAGE(H621:H622)</f>
        <v>512.75</v>
      </c>
      <c r="I629">
        <f t="shared" si="1536"/>
        <v>516.55000000000007</v>
      </c>
      <c r="J629">
        <f t="shared" si="1536"/>
        <v>520.04999999999995</v>
      </c>
      <c r="K629">
        <f t="shared" si="1536"/>
        <v>520.5</v>
      </c>
      <c r="L629">
        <f t="shared" si="1536"/>
        <v>518.20000000000005</v>
      </c>
      <c r="M629">
        <f t="shared" si="1536"/>
        <v>512.25</v>
      </c>
      <c r="N629">
        <f t="shared" si="1536"/>
        <v>506.70000000000005</v>
      </c>
      <c r="O629">
        <f t="shared" si="1536"/>
        <v>503.20000000000005</v>
      </c>
      <c r="P629">
        <f t="shared" si="1536"/>
        <v>51.4</v>
      </c>
    </row>
    <row r="630" spans="1:38" ht="17.149999999999999" x14ac:dyDescent="0.55000000000000004">
      <c r="B630" t="str">
        <f t="shared" si="1531"/>
        <v>Portland</v>
      </c>
      <c r="C630" t="s">
        <v>525</v>
      </c>
      <c r="D630" cm="1">
        <f t="array" ref="D630">IFERROR(IF(ISBLANK(INDEX(FX_Input,$R621,D$3*$AK621+$AL621)),D629+0.003*D623*D627,INDEX(FX_Input,$R621,D$3*$AK621+$AL621)+459.6),D629)</f>
        <v>503.5</v>
      </c>
      <c r="E630" cm="1">
        <f t="array" ref="E630">IFERROR(IF(ISBLANK(INDEX(FX_Input,$R621,E$3*$AK621+$AL621)),E629+0.003*E623*E627,INDEX(FX_Input,$R621,E$3*$AK621+$AL621)+459.6),E629)</f>
        <v>504.30000000000007</v>
      </c>
      <c r="F630" cm="1">
        <f t="array" ref="F630">IFERROR(IF(ISBLANK(INDEX(FX_Input,$R621,F$3*$AK621+$AL621)),F629+0.003*F623*F627,INDEX(FX_Input,$R621,F$3*$AK621+$AL621)+459.6),F629)</f>
        <v>505.70000000000005</v>
      </c>
      <c r="G630" cm="1">
        <f t="array" ref="G630">IFERROR(IF(ISBLANK(INDEX(FX_Input,$R621,G$3*$AK621+$AL621)),G629+0.003*G623*G627,INDEX(FX_Input,$R621,G$3*$AK621+$AL621)+459.6),G629)</f>
        <v>508.2</v>
      </c>
      <c r="H630" cm="1">
        <f t="array" ref="H630">IFERROR(IF(ISBLANK(INDEX(FX_Input,$R621,H$3*$AK621+$AL621)),H629+0.003*H623*H627,INDEX(FX_Input,$R621,H$3*$AK621+$AL621)+459.6),H629)</f>
        <v>512.75</v>
      </c>
      <c r="I630" cm="1">
        <f t="array" ref="I630">IFERROR(IF(ISBLANK(INDEX(FX_Input,$R621,I$3*$AK621+$AL621)),I629+0.003*I623*I627,INDEX(FX_Input,$R621,I$3*$AK621+$AL621)+459.6),I629)</f>
        <v>516.55000000000007</v>
      </c>
      <c r="J630" cm="1">
        <f t="array" ref="J630">IFERROR(IF(ISBLANK(INDEX(FX_Input,$R621,J$3*$AK621+$AL621)),J629+0.003*J623*J627,INDEX(FX_Input,$R621,J$3*$AK621+$AL621)+459.6),J629)</f>
        <v>520.04999999999995</v>
      </c>
      <c r="K630" cm="1">
        <f t="array" ref="K630">IFERROR(IF(ISBLANK(INDEX(FX_Input,$R621,K$3*$AK621+$AL621)),K629+0.003*K623*K627,INDEX(FX_Input,$R621,K$3*$AK621+$AL621)+459.6),K629)</f>
        <v>520.5</v>
      </c>
      <c r="L630" cm="1">
        <f t="array" ref="L630">IFERROR(IF(ISBLANK(INDEX(FX_Input,$R621,L$3*$AK621+$AL621)),L629+0.003*L623*L627,INDEX(FX_Input,$R621,L$3*$AK621+$AL621)+459.6),L629)</f>
        <v>518.20000000000005</v>
      </c>
      <c r="M630" cm="1">
        <f t="array" ref="M630">IFERROR(IF(ISBLANK(INDEX(FX_Input,$R621,M$3*$AK621+$AL621)),M629+0.003*M623*M627,INDEX(FX_Input,$R621,M$3*$AK621+$AL621)+459.6),M629)</f>
        <v>512.25</v>
      </c>
      <c r="N630" cm="1">
        <f t="array" ref="N630">IFERROR(IF(ISBLANK(INDEX(FX_Input,$R621,N$3*$AK621+$AL621)),N629+0.003*N623*N627,INDEX(FX_Input,$R621,N$3*$AK621+$AL621)+459.6),N629)</f>
        <v>506.70000000000005</v>
      </c>
      <c r="O630" cm="1">
        <f t="array" ref="O630">IFERROR(IF(ISBLANK(INDEX(FX_Input,$R621,O$3*$AK621+$AL621)),O629+0.003*O623*O627,INDEX(FX_Input,$R621,O$3*$AK621+$AL621)+459.6),O629)</f>
        <v>503.20000000000005</v>
      </c>
      <c r="P630" cm="1">
        <f t="array" ref="P630">IFERROR(IF(ISBLANK(INDEX(FX_Input,$R621,P$3*$AK621+$AL621)),P629+0.003*P623*P627,INDEX(FX_Input,$R621,P$3*$AK621+$AL621)+459.6),P629)</f>
        <v>3682.6</v>
      </c>
    </row>
    <row r="631" spans="1:38" ht="17.149999999999999" x14ac:dyDescent="0.55000000000000004">
      <c r="B631" t="str">
        <f t="shared" si="1531"/>
        <v>Portland</v>
      </c>
      <c r="C631" t="s">
        <v>526</v>
      </c>
      <c r="D631">
        <f>IF(ISNUMBER(D625),0.4*D621+0.6*D630+0.005*D625*D627,IF(D625="Partially Insulated",0.3*D629+0.7*D630+0.005*D624*D627,D630))-459.6</f>
        <v>43.899999999999977</v>
      </c>
      <c r="E631">
        <f t="shared" ref="E631" si="1537">IF(ISNUMBER(E625),0.4*E621+0.6*E630+0.005*E625*E627,IF(E625="Partially Insulated",0.3*E629+0.7*E630+0.005*E624*E627,E630))-459.6</f>
        <v>44.700000000000045</v>
      </c>
      <c r="F631">
        <f t="shared" ref="F631" si="1538">IF(ISNUMBER(F625),0.4*F621+0.6*F630+0.005*F625*F627,IF(F625="Partially Insulated",0.3*F629+0.7*F630+0.005*F624*F627,F630))-459.6</f>
        <v>46.100000000000023</v>
      </c>
      <c r="G631">
        <f t="shared" ref="G631" si="1539">IF(ISNUMBER(G625),0.4*G621+0.6*G630+0.005*G625*G627,IF(G625="Partially Insulated",0.3*G629+0.7*G630+0.005*G624*G627,G630))-459.6</f>
        <v>48.599999999999966</v>
      </c>
      <c r="H631">
        <f t="shared" ref="H631" si="1540">IF(ISNUMBER(H625),0.4*H621+0.6*H630+0.005*H625*H627,IF(H625="Partially Insulated",0.3*H629+0.7*H630+0.005*H624*H627,H630))-459.6</f>
        <v>53.149999999999977</v>
      </c>
      <c r="I631">
        <f t="shared" ref="I631" si="1541">IF(ISNUMBER(I625),0.4*I621+0.6*I630+0.005*I625*I627,IF(I625="Partially Insulated",0.3*I629+0.7*I630+0.005*I624*I627,I630))-459.6</f>
        <v>56.950000000000045</v>
      </c>
      <c r="J631">
        <f t="shared" ref="J631" si="1542">IF(ISNUMBER(J625),0.4*J621+0.6*J630+0.005*J625*J627,IF(J625="Partially Insulated",0.3*J629+0.7*J630+0.005*J624*J627,J630))-459.6</f>
        <v>60.449999999999932</v>
      </c>
      <c r="K631">
        <f t="shared" ref="K631" si="1543">IF(ISNUMBER(K625),0.4*K621+0.6*K630+0.005*K625*K627,IF(K625="Partially Insulated",0.3*K629+0.7*K630+0.005*K624*K627,K630))-459.6</f>
        <v>60.899999999999977</v>
      </c>
      <c r="L631">
        <f t="shared" ref="L631" si="1544">IF(ISNUMBER(L625),0.4*L621+0.6*L630+0.005*L625*L627,IF(L625="Partially Insulated",0.3*L629+0.7*L630+0.005*L624*L627,L630))-459.6</f>
        <v>58.600000000000023</v>
      </c>
      <c r="M631">
        <f t="shared" ref="M631" si="1545">IF(ISNUMBER(M625),0.4*M621+0.6*M630+0.005*M625*M627,IF(M625="Partially Insulated",0.3*M629+0.7*M630+0.005*M624*M627,M630))-459.6</f>
        <v>52.649999999999977</v>
      </c>
      <c r="N631">
        <f t="shared" ref="N631" si="1546">IF(ISNUMBER(N625),0.4*N621+0.6*N630+0.005*N625*N627,IF(N625="Partially Insulated",0.3*N629+0.7*N630+0.005*N624*N627,N630))-459.6</f>
        <v>47.100000000000023</v>
      </c>
      <c r="O631">
        <f t="shared" ref="O631" si="1547">IF(ISNUMBER(O625),0.4*O621+0.6*O630+0.005*O625*O627,IF(O625="Partially Insulated",0.3*O629+0.7*O630+0.005*O624*O627,O630))-459.6</f>
        <v>43.600000000000023</v>
      </c>
      <c r="P631">
        <f>AVERAGE(D631:O631)</f>
        <v>51.391666666666673</v>
      </c>
    </row>
    <row r="632" spans="1:38" ht="17.149999999999999" x14ac:dyDescent="0.55000000000000004">
      <c r="B632" t="str">
        <f t="shared" si="1531"/>
        <v>Portland</v>
      </c>
      <c r="C632" t="s">
        <v>527</v>
      </c>
      <c r="D632">
        <f>IF(ISNUMBER(D625),0.4*D622+0.6*D630+0.005*D625*D627,IF(D625="Partially Insulated",0.3*D629+0.7*D630+0.005*D624*D627,D630))-459.6</f>
        <v>43.899999999999977</v>
      </c>
      <c r="E632">
        <f t="shared" ref="E632:O632" si="1548">IF(ISNUMBER(E625),0.4*E622+0.6*E630+0.005*E625*E627,IF(E625="Partially Insulated",0.3*E629+0.7*E630+0.005*E624*E627,E630))-459.6</f>
        <v>44.700000000000045</v>
      </c>
      <c r="F632">
        <f t="shared" si="1548"/>
        <v>46.100000000000023</v>
      </c>
      <c r="G632">
        <f t="shared" si="1548"/>
        <v>48.599999999999966</v>
      </c>
      <c r="H632">
        <f t="shared" si="1548"/>
        <v>53.149999999999977</v>
      </c>
      <c r="I632">
        <f t="shared" si="1548"/>
        <v>56.950000000000045</v>
      </c>
      <c r="J632">
        <f t="shared" si="1548"/>
        <v>60.449999999999932</v>
      </c>
      <c r="K632">
        <f t="shared" si="1548"/>
        <v>60.899999999999977</v>
      </c>
      <c r="L632">
        <f t="shared" si="1548"/>
        <v>58.600000000000023</v>
      </c>
      <c r="M632">
        <f t="shared" si="1548"/>
        <v>52.649999999999977</v>
      </c>
      <c r="N632">
        <f t="shared" si="1548"/>
        <v>47.100000000000023</v>
      </c>
      <c r="O632">
        <f t="shared" si="1548"/>
        <v>43.600000000000023</v>
      </c>
      <c r="P632">
        <f>AVERAGE(D632:O632)</f>
        <v>51.391666666666673</v>
      </c>
    </row>
    <row r="633" spans="1:38" ht="17.149999999999999" x14ac:dyDescent="0.55000000000000004">
      <c r="B633" t="str">
        <f t="shared" si="1531"/>
        <v>Portland</v>
      </c>
      <c r="C633" t="s">
        <v>552</v>
      </c>
      <c r="D633">
        <f>IF(ISNUMBER(D625),0.4*D629+0.6*D630+0.005*D625*D627,IF(D625="Partially Insulated",0.3*D629+0.7*D630+0.005*D624*D627,D630))-459.6</f>
        <v>43.899999999999977</v>
      </c>
      <c r="E633">
        <f t="shared" ref="E633:O633" si="1549">IF(ISNUMBER(E625),0.4*E629+0.6*E630+0.005*E625*E627,IF(E625="Partially Insulated",0.3*E629+0.7*E630+0.005*E624*E627,E630))-459.6</f>
        <v>44.700000000000045</v>
      </c>
      <c r="F633">
        <f t="shared" si="1549"/>
        <v>46.100000000000023</v>
      </c>
      <c r="G633">
        <f t="shared" si="1549"/>
        <v>48.599999999999966</v>
      </c>
      <c r="H633">
        <f t="shared" si="1549"/>
        <v>53.149999999999977</v>
      </c>
      <c r="I633">
        <f t="shared" si="1549"/>
        <v>56.950000000000045</v>
      </c>
      <c r="J633">
        <f t="shared" si="1549"/>
        <v>60.449999999999932</v>
      </c>
      <c r="K633">
        <f t="shared" si="1549"/>
        <v>60.899999999999977</v>
      </c>
      <c r="L633">
        <f t="shared" si="1549"/>
        <v>58.600000000000023</v>
      </c>
      <c r="M633">
        <f t="shared" si="1549"/>
        <v>52.649999999999977</v>
      </c>
      <c r="N633">
        <f t="shared" si="1549"/>
        <v>47.100000000000023</v>
      </c>
      <c r="O633">
        <f t="shared" si="1549"/>
        <v>43.600000000000023</v>
      </c>
      <c r="P633">
        <f>AVERAGE(D633:O633)</f>
        <v>51.391666666666673</v>
      </c>
    </row>
    <row r="634" spans="1:38" ht="17.149999999999999" x14ac:dyDescent="0.55000000000000004">
      <c r="A634" s="11"/>
      <c r="B634" s="11" t="str">
        <f t="shared" si="1531"/>
        <v>Portland</v>
      </c>
      <c r="C634" s="11" t="s">
        <v>553</v>
      </c>
      <c r="D634" s="11">
        <f>IF(ISNUMBER(D625),0.7*D629+0.3*D630+0.009*D625*D627,IF(D625="Partially Insulated",0.6*D629+0.4*D630+0.01*D624*D627,D630))-459.6</f>
        <v>43.899999999999977</v>
      </c>
      <c r="E634" s="11">
        <f t="shared" ref="E634:O634" si="1550">IF(ISNUMBER(E625),0.7*E629+0.3*E630+0.009*E625*E627,IF(E625="Partially Insulated",0.6*E629+0.4*E630+0.01*E624*E627,E630))-459.6</f>
        <v>44.700000000000045</v>
      </c>
      <c r="F634" s="11">
        <f t="shared" si="1550"/>
        <v>46.100000000000023</v>
      </c>
      <c r="G634" s="11">
        <f t="shared" si="1550"/>
        <v>48.599999999999966</v>
      </c>
      <c r="H634" s="11">
        <f t="shared" si="1550"/>
        <v>53.149999999999977</v>
      </c>
      <c r="I634" s="11">
        <f t="shared" si="1550"/>
        <v>56.950000000000045</v>
      </c>
      <c r="J634" s="11">
        <f t="shared" si="1550"/>
        <v>60.449999999999932</v>
      </c>
      <c r="K634" s="11">
        <f t="shared" si="1550"/>
        <v>60.899999999999977</v>
      </c>
      <c r="L634" s="11">
        <f t="shared" si="1550"/>
        <v>58.600000000000023</v>
      </c>
      <c r="M634" s="11">
        <f t="shared" si="1550"/>
        <v>52.649999999999977</v>
      </c>
      <c r="N634" s="11">
        <f t="shared" si="1550"/>
        <v>47.100000000000023</v>
      </c>
      <c r="O634" s="11">
        <f t="shared" si="1550"/>
        <v>43.600000000000023</v>
      </c>
      <c r="P634" s="11">
        <f>AVERAGE(D634:O634)</f>
        <v>51.391666666666673</v>
      </c>
      <c r="Q634" s="11"/>
      <c r="R634" s="11"/>
      <c r="S634" s="11"/>
      <c r="T634" s="11"/>
      <c r="U634" s="11"/>
      <c r="V634" s="11"/>
      <c r="W634" s="11"/>
      <c r="X634" s="11"/>
      <c r="Y634" s="11"/>
      <c r="Z634" s="11"/>
      <c r="AA634" s="11"/>
      <c r="AB634" s="11"/>
      <c r="AC634" s="11"/>
      <c r="AD634" s="11"/>
      <c r="AE634" s="11"/>
      <c r="AF634" s="11"/>
      <c r="AG634" s="11"/>
      <c r="AH634" s="11"/>
      <c r="AI634" s="11"/>
      <c r="AJ634" s="11"/>
      <c r="AK634" s="11"/>
      <c r="AL634" s="11"/>
    </row>
    <row r="635" spans="1:38" ht="17.149999999999999" x14ac:dyDescent="0.55000000000000004">
      <c r="A635" t="str" cm="1">
        <f t="array" ref="A635">INDEX(FX_Input,$R635,S$5)</f>
        <v>FX - 46</v>
      </c>
      <c r="B635" t="str" cm="1">
        <f t="array" ref="B635">INDEX(FX_Input,R635,T635)</f>
        <v>Portland</v>
      </c>
      <c r="C635" t="s">
        <v>510</v>
      </c>
      <c r="D635">
        <f t="shared" ref="D635:O636" si="1551">VLOOKUP(VLOOKUP($B635,Terminal_X_Ref,2,FALSE)&amp;$C635,Weather_Data,$Y635*D$3+$Z635,FALSE)+459.6</f>
        <v>498.3</v>
      </c>
      <c r="E635">
        <f t="shared" si="1551"/>
        <v>497.70000000000005</v>
      </c>
      <c r="F635">
        <f t="shared" si="1551"/>
        <v>499.1</v>
      </c>
      <c r="G635">
        <f t="shared" si="1551"/>
        <v>501.5</v>
      </c>
      <c r="H635">
        <f t="shared" si="1551"/>
        <v>506.1</v>
      </c>
      <c r="I635">
        <f t="shared" si="1551"/>
        <v>510.3</v>
      </c>
      <c r="J635">
        <f t="shared" si="1551"/>
        <v>513.70000000000005</v>
      </c>
      <c r="K635">
        <f t="shared" si="1551"/>
        <v>513.70000000000005</v>
      </c>
      <c r="L635">
        <f t="shared" si="1551"/>
        <v>510</v>
      </c>
      <c r="M635">
        <f t="shared" si="1551"/>
        <v>504.90000000000003</v>
      </c>
      <c r="N635">
        <f t="shared" si="1551"/>
        <v>500.6</v>
      </c>
      <c r="O635">
        <f t="shared" si="1551"/>
        <v>498.20000000000005</v>
      </c>
      <c r="P635">
        <f t="shared" ref="P635:P636" si="1552">VLOOKUP(VLOOKUP($B635,Terminal_X_Ref,2,FALSE)&amp;$C635,Weather_Data,$Y635*P$3+$Z635,FALSE)</f>
        <v>44.9</v>
      </c>
      <c r="R635">
        <f>R621+2</f>
        <v>91</v>
      </c>
      <c r="S635">
        <f>S621+1</f>
        <v>46</v>
      </c>
      <c r="T635">
        <v>3</v>
      </c>
      <c r="U635">
        <v>2</v>
      </c>
      <c r="V635">
        <v>3</v>
      </c>
      <c r="W635">
        <v>1</v>
      </c>
      <c r="X635">
        <v>2</v>
      </c>
      <c r="Y635">
        <f>(V635-U635)/(X635-W635)</f>
        <v>1</v>
      </c>
      <c r="Z635">
        <f>U635-Y635*W635</f>
        <v>1</v>
      </c>
      <c r="AA635">
        <f>AA621+1</f>
        <v>46</v>
      </c>
      <c r="AB635">
        <v>6</v>
      </c>
      <c r="AC635">
        <v>3</v>
      </c>
      <c r="AD635">
        <v>13</v>
      </c>
      <c r="AE635">
        <v>12</v>
      </c>
      <c r="AF635">
        <v>14</v>
      </c>
      <c r="AG635">
        <v>77</v>
      </c>
      <c r="AH635">
        <v>78</v>
      </c>
      <c r="AI635">
        <v>1</v>
      </c>
      <c r="AJ635">
        <v>2</v>
      </c>
      <c r="AK635">
        <f>(AH635-AG635)/(AJ635-AI635)</f>
        <v>1</v>
      </c>
      <c r="AL635">
        <f>AG635-AK635*AI635</f>
        <v>76</v>
      </c>
    </row>
    <row r="636" spans="1:38" ht="17.149999999999999" x14ac:dyDescent="0.55000000000000004">
      <c r="B636" t="str">
        <f t="shared" ref="B636" si="1553">B635</f>
        <v>Portland</v>
      </c>
      <c r="C636" t="s">
        <v>511</v>
      </c>
      <c r="D636">
        <f t="shared" si="1551"/>
        <v>508.70000000000005</v>
      </c>
      <c r="E636">
        <f t="shared" si="1551"/>
        <v>510.90000000000003</v>
      </c>
      <c r="F636">
        <f t="shared" si="1551"/>
        <v>512.30000000000007</v>
      </c>
      <c r="G636">
        <f t="shared" si="1551"/>
        <v>514.9</v>
      </c>
      <c r="H636">
        <f t="shared" si="1551"/>
        <v>519.4</v>
      </c>
      <c r="I636">
        <f t="shared" si="1551"/>
        <v>522.80000000000007</v>
      </c>
      <c r="J636">
        <f t="shared" si="1551"/>
        <v>526.4</v>
      </c>
      <c r="K636">
        <f t="shared" si="1551"/>
        <v>527.30000000000007</v>
      </c>
      <c r="L636">
        <f t="shared" si="1551"/>
        <v>526.4</v>
      </c>
      <c r="M636">
        <f t="shared" si="1551"/>
        <v>519.6</v>
      </c>
      <c r="N636">
        <f t="shared" si="1551"/>
        <v>512.80000000000007</v>
      </c>
      <c r="O636">
        <f t="shared" si="1551"/>
        <v>508.20000000000005</v>
      </c>
      <c r="P636">
        <f t="shared" si="1552"/>
        <v>57.9</v>
      </c>
      <c r="U636">
        <f>U635</f>
        <v>2</v>
      </c>
      <c r="V636">
        <f t="shared" ref="V636:Z636" si="1554">V635</f>
        <v>3</v>
      </c>
      <c r="W636">
        <f t="shared" si="1554"/>
        <v>1</v>
      </c>
      <c r="X636">
        <f t="shared" si="1554"/>
        <v>2</v>
      </c>
      <c r="Y636">
        <f t="shared" si="1554"/>
        <v>1</v>
      </c>
      <c r="Z636">
        <f t="shared" si="1554"/>
        <v>1</v>
      </c>
      <c r="AA636">
        <f>AA635</f>
        <v>46</v>
      </c>
      <c r="AB636">
        <f t="shared" ref="AB636:AB639" si="1555">AB635</f>
        <v>6</v>
      </c>
      <c r="AC636">
        <f t="shared" ref="AC636:AF639" si="1556">AC635</f>
        <v>3</v>
      </c>
      <c r="AD636">
        <f t="shared" si="1556"/>
        <v>13</v>
      </c>
      <c r="AE636">
        <f t="shared" si="1556"/>
        <v>12</v>
      </c>
      <c r="AF636">
        <f t="shared" si="1556"/>
        <v>14</v>
      </c>
      <c r="AG636">
        <f t="shared" ref="AG636:AG639" si="1557">AG635</f>
        <v>77</v>
      </c>
      <c r="AH636">
        <f t="shared" ref="AH636:AH639" si="1558">AH635</f>
        <v>78</v>
      </c>
      <c r="AI636">
        <f t="shared" ref="AI636:AI639" si="1559">AI635</f>
        <v>1</v>
      </c>
      <c r="AJ636">
        <f t="shared" ref="AJ636:AJ639" si="1560">AJ635</f>
        <v>2</v>
      </c>
      <c r="AK636">
        <f t="shared" ref="AK636:AK639" si="1561">AK635</f>
        <v>1</v>
      </c>
      <c r="AL636">
        <f t="shared" ref="AL636:AL639" si="1562">AL635</f>
        <v>76</v>
      </c>
    </row>
    <row r="637" spans="1:38" ht="17.149999999999999" x14ac:dyDescent="0.4">
      <c r="B637" t="str">
        <f>B636</f>
        <v>Portland</v>
      </c>
      <c r="C637" s="66" t="s">
        <v>514</v>
      </c>
      <c r="D637" t="str" cm="1">
        <f t="array" ref="D637">INDEX(FX_Calcs,$AA637,$AE637)</f>
        <v>N/A</v>
      </c>
      <c r="E637" t="str" cm="1">
        <f t="array" ref="E637">INDEX(FX_Calcs,$AA637,$AE637)</f>
        <v>N/A</v>
      </c>
      <c r="F637" t="str" cm="1">
        <f t="array" ref="F637">INDEX(FX_Calcs,$AA637,$AE637)</f>
        <v>N/A</v>
      </c>
      <c r="G637" t="str" cm="1">
        <f t="array" ref="G637">INDEX(FX_Calcs,$AA637,$AE637)</f>
        <v>N/A</v>
      </c>
      <c r="H637" t="str" cm="1">
        <f t="array" ref="H637">INDEX(FX_Calcs,$AA637,$AE637)</f>
        <v>N/A</v>
      </c>
      <c r="I637" t="str" cm="1">
        <f t="array" ref="I637">INDEX(FX_Calcs,$AA637,$AE637)</f>
        <v>N/A</v>
      </c>
      <c r="J637" t="str" cm="1">
        <f t="array" ref="J637">INDEX(FX_Calcs,$AA637,$AE637)</f>
        <v>N/A</v>
      </c>
      <c r="K637" t="str" cm="1">
        <f t="array" ref="K637">INDEX(FX_Calcs,$AA637,$AE637)</f>
        <v>N/A</v>
      </c>
      <c r="L637" t="str" cm="1">
        <f t="array" ref="L637">INDEX(FX_Calcs,$AA637,$AE637)</f>
        <v>N/A</v>
      </c>
      <c r="M637" t="str" cm="1">
        <f t="array" ref="M637">INDEX(FX_Calcs,$AA637,$AE637)</f>
        <v>N/A</v>
      </c>
      <c r="N637" t="str" cm="1">
        <f t="array" ref="N637">INDEX(FX_Calcs,$AA637,$AE637)</f>
        <v>N/A</v>
      </c>
      <c r="O637" t="str" cm="1">
        <f t="array" ref="O637">INDEX(FX_Calcs,$AA637,$AE637)</f>
        <v>N/A</v>
      </c>
      <c r="P637" t="str" cm="1">
        <f t="array" ref="P637">INDEX(FX_Calcs,$AA637,$AE637)</f>
        <v>N/A</v>
      </c>
      <c r="AA637">
        <f>AA636</f>
        <v>46</v>
      </c>
      <c r="AB637">
        <f t="shared" si="1555"/>
        <v>6</v>
      </c>
      <c r="AC637">
        <f t="shared" si="1556"/>
        <v>3</v>
      </c>
      <c r="AD637">
        <f t="shared" si="1556"/>
        <v>13</v>
      </c>
      <c r="AE637">
        <f t="shared" si="1556"/>
        <v>12</v>
      </c>
      <c r="AF637">
        <f t="shared" si="1556"/>
        <v>14</v>
      </c>
      <c r="AG637">
        <f t="shared" si="1557"/>
        <v>77</v>
      </c>
      <c r="AH637">
        <f t="shared" si="1558"/>
        <v>78</v>
      </c>
      <c r="AI637">
        <f t="shared" si="1559"/>
        <v>1</v>
      </c>
      <c r="AJ637">
        <f t="shared" si="1560"/>
        <v>2</v>
      </c>
      <c r="AK637">
        <f t="shared" si="1561"/>
        <v>1</v>
      </c>
      <c r="AL637">
        <f t="shared" si="1562"/>
        <v>76</v>
      </c>
    </row>
    <row r="638" spans="1:38" ht="17.149999999999999" x14ac:dyDescent="0.4">
      <c r="B638" t="str">
        <f t="shared" ref="B638:B639" si="1563">B637</f>
        <v>Portland</v>
      </c>
      <c r="C638" s="66" t="s">
        <v>513</v>
      </c>
      <c r="D638" t="str" cm="1">
        <f t="array" ref="D638">INDEX(FX_Calcs,$AA638,$AD638)</f>
        <v>N/A</v>
      </c>
      <c r="E638" t="str" cm="1">
        <f t="array" ref="E638">INDEX(FX_Calcs,$AA638,$AD638)</f>
        <v>N/A</v>
      </c>
      <c r="F638" t="str" cm="1">
        <f t="array" ref="F638">INDEX(FX_Calcs,$AA638,$AD638)</f>
        <v>N/A</v>
      </c>
      <c r="G638" t="str" cm="1">
        <f t="array" ref="G638">INDEX(FX_Calcs,$AA638,$AD638)</f>
        <v>N/A</v>
      </c>
      <c r="H638" t="str" cm="1">
        <f t="array" ref="H638">INDEX(FX_Calcs,$AA638,$AD638)</f>
        <v>N/A</v>
      </c>
      <c r="I638" t="str" cm="1">
        <f t="array" ref="I638">INDEX(FX_Calcs,$AA638,$AD638)</f>
        <v>N/A</v>
      </c>
      <c r="J638" t="str" cm="1">
        <f t="array" ref="J638">INDEX(FX_Calcs,$AA638,$AD638)</f>
        <v>N/A</v>
      </c>
      <c r="K638" t="str" cm="1">
        <f t="array" ref="K638">INDEX(FX_Calcs,$AA638,$AD638)</f>
        <v>N/A</v>
      </c>
      <c r="L638" t="str" cm="1">
        <f t="array" ref="L638">INDEX(FX_Calcs,$AA638,$AD638)</f>
        <v>N/A</v>
      </c>
      <c r="M638" t="str" cm="1">
        <f t="array" ref="M638">INDEX(FX_Calcs,$AA638,$AD638)</f>
        <v>N/A</v>
      </c>
      <c r="N638" t="str" cm="1">
        <f t="array" ref="N638">INDEX(FX_Calcs,$AA638,$AD638)</f>
        <v>N/A</v>
      </c>
      <c r="O638" t="str" cm="1">
        <f t="array" ref="O638">INDEX(FX_Calcs,$AA638,$AD638)</f>
        <v>N/A</v>
      </c>
      <c r="P638" t="str" cm="1">
        <f t="array" ref="P638">INDEX(FX_Calcs,$AA638,$AD638)</f>
        <v>N/A</v>
      </c>
      <c r="AA638">
        <f>AA637</f>
        <v>46</v>
      </c>
      <c r="AB638">
        <f t="shared" si="1555"/>
        <v>6</v>
      </c>
      <c r="AC638">
        <f t="shared" si="1556"/>
        <v>3</v>
      </c>
      <c r="AD638">
        <f t="shared" si="1556"/>
        <v>13</v>
      </c>
      <c r="AE638">
        <f t="shared" si="1556"/>
        <v>12</v>
      </c>
      <c r="AF638">
        <f t="shared" si="1556"/>
        <v>14</v>
      </c>
      <c r="AG638">
        <f t="shared" si="1557"/>
        <v>77</v>
      </c>
      <c r="AH638">
        <f t="shared" si="1558"/>
        <v>78</v>
      </c>
      <c r="AI638">
        <f t="shared" si="1559"/>
        <v>1</v>
      </c>
      <c r="AJ638">
        <f t="shared" si="1560"/>
        <v>2</v>
      </c>
      <c r="AK638">
        <f t="shared" si="1561"/>
        <v>1</v>
      </c>
      <c r="AL638">
        <f t="shared" si="1562"/>
        <v>76</v>
      </c>
    </row>
    <row r="639" spans="1:38" x14ac:dyDescent="0.4">
      <c r="B639" t="str">
        <f t="shared" si="1563"/>
        <v>Portland</v>
      </c>
      <c r="C639" s="66" t="s">
        <v>558</v>
      </c>
      <c r="D639" t="str" cm="1">
        <f t="array" ref="D639">INDEX(FX_Calcs,$AA639,$AF639)</f>
        <v>Insulated</v>
      </c>
      <c r="E639" t="str" cm="1">
        <f t="array" ref="E639">INDEX(FX_Calcs,$AA639,$AF639)</f>
        <v>Insulated</v>
      </c>
      <c r="F639" t="str" cm="1">
        <f t="array" ref="F639">INDEX(FX_Calcs,$AA639,$AF639)</f>
        <v>Insulated</v>
      </c>
      <c r="G639" t="str" cm="1">
        <f t="array" ref="G639">INDEX(FX_Calcs,$AA639,$AF639)</f>
        <v>Insulated</v>
      </c>
      <c r="H639" t="str" cm="1">
        <f t="array" ref="H639">INDEX(FX_Calcs,$AA639,$AF639)</f>
        <v>Insulated</v>
      </c>
      <c r="I639" t="str" cm="1">
        <f t="array" ref="I639">INDEX(FX_Calcs,$AA639,$AF639)</f>
        <v>Insulated</v>
      </c>
      <c r="J639" t="str" cm="1">
        <f t="array" ref="J639">INDEX(FX_Calcs,$AA639,$AF639)</f>
        <v>Insulated</v>
      </c>
      <c r="K639" t="str" cm="1">
        <f t="array" ref="K639">INDEX(FX_Calcs,$AA639,$AF639)</f>
        <v>Insulated</v>
      </c>
      <c r="L639" t="str" cm="1">
        <f t="array" ref="L639">INDEX(FX_Calcs,$AA639,$AF639)</f>
        <v>Insulated</v>
      </c>
      <c r="M639" t="str" cm="1">
        <f t="array" ref="M639">INDEX(FX_Calcs,$AA639,$AF639)</f>
        <v>Insulated</v>
      </c>
      <c r="N639" t="str" cm="1">
        <f t="array" ref="N639">INDEX(FX_Calcs,$AA639,$AF639)</f>
        <v>Insulated</v>
      </c>
      <c r="O639" t="str" cm="1">
        <f t="array" ref="O639">INDEX(FX_Calcs,$AA639,$AF639)</f>
        <v>Insulated</v>
      </c>
      <c r="P639" t="str" cm="1">
        <f t="array" ref="P639">INDEX(FX_Calcs,$AA639,$AF639)</f>
        <v>Insulated</v>
      </c>
      <c r="AA639">
        <f>AA638</f>
        <v>46</v>
      </c>
      <c r="AB639">
        <f t="shared" si="1555"/>
        <v>6</v>
      </c>
      <c r="AC639">
        <f t="shared" si="1556"/>
        <v>3</v>
      </c>
      <c r="AD639">
        <f t="shared" si="1556"/>
        <v>13</v>
      </c>
      <c r="AE639">
        <f t="shared" si="1556"/>
        <v>12</v>
      </c>
      <c r="AF639">
        <f t="shared" si="1556"/>
        <v>14</v>
      </c>
      <c r="AG639">
        <f t="shared" si="1557"/>
        <v>77</v>
      </c>
      <c r="AH639">
        <f t="shared" si="1558"/>
        <v>78</v>
      </c>
      <c r="AI639">
        <f t="shared" si="1559"/>
        <v>1</v>
      </c>
      <c r="AJ639">
        <f t="shared" si="1560"/>
        <v>2</v>
      </c>
      <c r="AK639">
        <f t="shared" si="1561"/>
        <v>1</v>
      </c>
      <c r="AL639">
        <f t="shared" si="1562"/>
        <v>76</v>
      </c>
    </row>
    <row r="640" spans="1:38" ht="17.149999999999999" x14ac:dyDescent="0.55000000000000004">
      <c r="B640" t="str">
        <f>B636</f>
        <v>Portland</v>
      </c>
      <c r="C640" t="s">
        <v>512</v>
      </c>
      <c r="D640">
        <f t="shared" ref="D640:P640" si="1564">D636-D635</f>
        <v>10.400000000000034</v>
      </c>
      <c r="E640">
        <f t="shared" si="1564"/>
        <v>13.199999999999989</v>
      </c>
      <c r="F640">
        <f t="shared" si="1564"/>
        <v>13.200000000000045</v>
      </c>
      <c r="G640">
        <f t="shared" si="1564"/>
        <v>13.399999999999977</v>
      </c>
      <c r="H640">
        <f t="shared" si="1564"/>
        <v>13.299999999999955</v>
      </c>
      <c r="I640">
        <f t="shared" si="1564"/>
        <v>12.500000000000057</v>
      </c>
      <c r="J640">
        <f t="shared" si="1564"/>
        <v>12.699999999999932</v>
      </c>
      <c r="K640">
        <f t="shared" si="1564"/>
        <v>13.600000000000023</v>
      </c>
      <c r="L640">
        <f t="shared" si="1564"/>
        <v>16.399999999999977</v>
      </c>
      <c r="M640">
        <f t="shared" si="1564"/>
        <v>14.699999999999989</v>
      </c>
      <c r="N640">
        <f t="shared" si="1564"/>
        <v>12.200000000000045</v>
      </c>
      <c r="O640">
        <f t="shared" si="1564"/>
        <v>10</v>
      </c>
      <c r="P640">
        <f t="shared" si="1564"/>
        <v>13</v>
      </c>
    </row>
    <row r="641" spans="1:38" x14ac:dyDescent="0.4">
      <c r="B641" t="str">
        <f t="shared" ref="B641:B648" si="1565">B640</f>
        <v>Portland</v>
      </c>
      <c r="C641" t="s">
        <v>260</v>
      </c>
      <c r="D641">
        <f t="shared" ref="D641:P641" si="1566">VLOOKUP(VLOOKUP($B641,Terminal_X_Ref,2,FALSE)&amp;$C641,Weather_Data,$Y641*D$3+$Z641,FALSE)</f>
        <v>343</v>
      </c>
      <c r="E641">
        <f t="shared" si="1566"/>
        <v>600</v>
      </c>
      <c r="F641">
        <f t="shared" si="1566"/>
        <v>877</v>
      </c>
      <c r="G641">
        <f t="shared" si="1566"/>
        <v>1252</v>
      </c>
      <c r="H641">
        <f t="shared" si="1566"/>
        <v>1537</v>
      </c>
      <c r="I641">
        <f t="shared" si="1566"/>
        <v>1627</v>
      </c>
      <c r="J641">
        <f t="shared" si="1566"/>
        <v>1708</v>
      </c>
      <c r="K641">
        <f t="shared" si="1566"/>
        <v>1492</v>
      </c>
      <c r="L641">
        <f t="shared" si="1566"/>
        <v>1196</v>
      </c>
      <c r="M641">
        <f t="shared" si="1566"/>
        <v>728</v>
      </c>
      <c r="N641">
        <f t="shared" si="1566"/>
        <v>391</v>
      </c>
      <c r="O641">
        <f t="shared" si="1566"/>
        <v>302</v>
      </c>
      <c r="P641">
        <f t="shared" si="1566"/>
        <v>1005</v>
      </c>
      <c r="U641">
        <f>U636</f>
        <v>2</v>
      </c>
      <c r="V641">
        <f t="shared" ref="V641:Z641" si="1567">V636</f>
        <v>3</v>
      </c>
      <c r="W641">
        <f t="shared" si="1567"/>
        <v>1</v>
      </c>
      <c r="X641">
        <f t="shared" si="1567"/>
        <v>2</v>
      </c>
      <c r="Y641">
        <f t="shared" si="1567"/>
        <v>1</v>
      </c>
      <c r="Z641">
        <f t="shared" si="1567"/>
        <v>1</v>
      </c>
    </row>
    <row r="642" spans="1:38" ht="17.149999999999999" x14ac:dyDescent="0.55000000000000004">
      <c r="B642" t="str">
        <f t="shared" si="1565"/>
        <v>Portland</v>
      </c>
      <c r="C642" t="s">
        <v>523</v>
      </c>
      <c r="D642">
        <f>IF(ISNUMBER(D639),0.7*D640+0.02*D639*D641,IF(D639="Partially Insulated",0.6*D640+0.02*D638*D641,0))</f>
        <v>0</v>
      </c>
      <c r="E642">
        <f t="shared" ref="E642:P642" si="1568">IF(ISNUMBER(E639),0.7*E640+0.02*E639*E641,IF(E639="Partially Insulated",0.6*E640+0.02*E638*E641,0))</f>
        <v>0</v>
      </c>
      <c r="F642">
        <f t="shared" si="1568"/>
        <v>0</v>
      </c>
      <c r="G642">
        <f t="shared" si="1568"/>
        <v>0</v>
      </c>
      <c r="H642">
        <f t="shared" si="1568"/>
        <v>0</v>
      </c>
      <c r="I642">
        <f t="shared" si="1568"/>
        <v>0</v>
      </c>
      <c r="J642">
        <f t="shared" si="1568"/>
        <v>0</v>
      </c>
      <c r="K642">
        <f t="shared" si="1568"/>
        <v>0</v>
      </c>
      <c r="L642">
        <f t="shared" si="1568"/>
        <v>0</v>
      </c>
      <c r="M642">
        <f t="shared" si="1568"/>
        <v>0</v>
      </c>
      <c r="N642">
        <f t="shared" si="1568"/>
        <v>0</v>
      </c>
      <c r="O642">
        <f t="shared" si="1568"/>
        <v>0</v>
      </c>
      <c r="P642">
        <f t="shared" si="1568"/>
        <v>0</v>
      </c>
    </row>
    <row r="643" spans="1:38" ht="17.149999999999999" x14ac:dyDescent="0.55000000000000004">
      <c r="B643" t="str">
        <f t="shared" si="1565"/>
        <v>Portland</v>
      </c>
      <c r="C643" t="s">
        <v>524</v>
      </c>
      <c r="D643">
        <f t="shared" ref="D643:F643" si="1569">AVERAGE(D635:D636)</f>
        <v>503.5</v>
      </c>
      <c r="E643">
        <f t="shared" si="1569"/>
        <v>504.30000000000007</v>
      </c>
      <c r="F643">
        <f t="shared" si="1569"/>
        <v>505.70000000000005</v>
      </c>
      <c r="G643">
        <f>AVERAGE(G635:G636)</f>
        <v>508.2</v>
      </c>
      <c r="H643">
        <f t="shared" ref="H643:P643" si="1570">AVERAGE(H635:H636)</f>
        <v>512.75</v>
      </c>
      <c r="I643">
        <f t="shared" si="1570"/>
        <v>516.55000000000007</v>
      </c>
      <c r="J643">
        <f t="shared" si="1570"/>
        <v>520.04999999999995</v>
      </c>
      <c r="K643">
        <f t="shared" si="1570"/>
        <v>520.5</v>
      </c>
      <c r="L643">
        <f t="shared" si="1570"/>
        <v>518.20000000000005</v>
      </c>
      <c r="M643">
        <f t="shared" si="1570"/>
        <v>512.25</v>
      </c>
      <c r="N643">
        <f t="shared" si="1570"/>
        <v>506.70000000000005</v>
      </c>
      <c r="O643">
        <f t="shared" si="1570"/>
        <v>503.20000000000005</v>
      </c>
      <c r="P643">
        <f t="shared" si="1570"/>
        <v>51.4</v>
      </c>
    </row>
    <row r="644" spans="1:38" ht="17.149999999999999" x14ac:dyDescent="0.55000000000000004">
      <c r="B644" t="str">
        <f t="shared" si="1565"/>
        <v>Portland</v>
      </c>
      <c r="C644" t="s">
        <v>525</v>
      </c>
      <c r="D644" cm="1">
        <f t="array" ref="D644">IFERROR(IF(ISBLANK(INDEX(FX_Input,$R635,D$3*$AK635+$AL635)),D643+0.003*D637*D641,INDEX(FX_Input,$R635,D$3*$AK635+$AL635)+459.6),D643)</f>
        <v>503.5</v>
      </c>
      <c r="E644" cm="1">
        <f t="array" ref="E644">IFERROR(IF(ISBLANK(INDEX(FX_Input,$R635,E$3*$AK635+$AL635)),E643+0.003*E637*E641,INDEX(FX_Input,$R635,E$3*$AK635+$AL635)+459.6),E643)</f>
        <v>504.30000000000007</v>
      </c>
      <c r="F644" cm="1">
        <f t="array" ref="F644">IFERROR(IF(ISBLANK(INDEX(FX_Input,$R635,F$3*$AK635+$AL635)),F643+0.003*F637*F641,INDEX(FX_Input,$R635,F$3*$AK635+$AL635)+459.6),F643)</f>
        <v>505.70000000000005</v>
      </c>
      <c r="G644" cm="1">
        <f t="array" ref="G644">IFERROR(IF(ISBLANK(INDEX(FX_Input,$R635,G$3*$AK635+$AL635)),G643+0.003*G637*G641,INDEX(FX_Input,$R635,G$3*$AK635+$AL635)+459.6),G643)</f>
        <v>508.2</v>
      </c>
      <c r="H644" cm="1">
        <f t="array" ref="H644">IFERROR(IF(ISBLANK(INDEX(FX_Input,$R635,H$3*$AK635+$AL635)),H643+0.003*H637*H641,INDEX(FX_Input,$R635,H$3*$AK635+$AL635)+459.6),H643)</f>
        <v>512.75</v>
      </c>
      <c r="I644" cm="1">
        <f t="array" ref="I644">IFERROR(IF(ISBLANK(INDEX(FX_Input,$R635,I$3*$AK635+$AL635)),I643+0.003*I637*I641,INDEX(FX_Input,$R635,I$3*$AK635+$AL635)+459.6),I643)</f>
        <v>516.55000000000007</v>
      </c>
      <c r="J644" cm="1">
        <f t="array" ref="J644">IFERROR(IF(ISBLANK(INDEX(FX_Input,$R635,J$3*$AK635+$AL635)),J643+0.003*J637*J641,INDEX(FX_Input,$R635,J$3*$AK635+$AL635)+459.6),J643)</f>
        <v>520.04999999999995</v>
      </c>
      <c r="K644" cm="1">
        <f t="array" ref="K644">IFERROR(IF(ISBLANK(INDEX(FX_Input,$R635,K$3*$AK635+$AL635)),K643+0.003*K637*K641,INDEX(FX_Input,$R635,K$3*$AK635+$AL635)+459.6),K643)</f>
        <v>520.5</v>
      </c>
      <c r="L644" cm="1">
        <f t="array" ref="L644">IFERROR(IF(ISBLANK(INDEX(FX_Input,$R635,L$3*$AK635+$AL635)),L643+0.003*L637*L641,INDEX(FX_Input,$R635,L$3*$AK635+$AL635)+459.6),L643)</f>
        <v>518.20000000000005</v>
      </c>
      <c r="M644" cm="1">
        <f t="array" ref="M644">IFERROR(IF(ISBLANK(INDEX(FX_Input,$R635,M$3*$AK635+$AL635)),M643+0.003*M637*M641,INDEX(FX_Input,$R635,M$3*$AK635+$AL635)+459.6),M643)</f>
        <v>512.25</v>
      </c>
      <c r="N644" cm="1">
        <f t="array" ref="N644">IFERROR(IF(ISBLANK(INDEX(FX_Input,$R635,N$3*$AK635+$AL635)),N643+0.003*N637*N641,INDEX(FX_Input,$R635,N$3*$AK635+$AL635)+459.6),N643)</f>
        <v>506.70000000000005</v>
      </c>
      <c r="O644" cm="1">
        <f t="array" ref="O644">IFERROR(IF(ISBLANK(INDEX(FX_Input,$R635,O$3*$AK635+$AL635)),O643+0.003*O637*O641,INDEX(FX_Input,$R635,O$3*$AK635+$AL635)+459.6),O643)</f>
        <v>503.20000000000005</v>
      </c>
      <c r="P644" cm="1">
        <f t="array" ref="P644">IFERROR(IF(ISBLANK(INDEX(FX_Input,$R635,P$3*$AK635+$AL635)),P643+0.003*P637*P641,INDEX(FX_Input,$R635,P$3*$AK635+$AL635)+459.6),P643)</f>
        <v>3682.6</v>
      </c>
    </row>
    <row r="645" spans="1:38" ht="17.149999999999999" x14ac:dyDescent="0.55000000000000004">
      <c r="B645" t="str">
        <f t="shared" si="1565"/>
        <v>Portland</v>
      </c>
      <c r="C645" t="s">
        <v>526</v>
      </c>
      <c r="D645">
        <f>IF(ISNUMBER(D639),0.4*D635+0.6*D644+0.005*D639*D641,IF(D639="Partially Insulated",0.3*D643+0.7*D644+0.005*D638*D641,D644))-459.6</f>
        <v>43.899999999999977</v>
      </c>
      <c r="E645">
        <f t="shared" ref="E645" si="1571">IF(ISNUMBER(E639),0.4*E635+0.6*E644+0.005*E639*E641,IF(E639="Partially Insulated",0.3*E643+0.7*E644+0.005*E638*E641,E644))-459.6</f>
        <v>44.700000000000045</v>
      </c>
      <c r="F645">
        <f t="shared" ref="F645" si="1572">IF(ISNUMBER(F639),0.4*F635+0.6*F644+0.005*F639*F641,IF(F639="Partially Insulated",0.3*F643+0.7*F644+0.005*F638*F641,F644))-459.6</f>
        <v>46.100000000000023</v>
      </c>
      <c r="G645">
        <f t="shared" ref="G645" si="1573">IF(ISNUMBER(G639),0.4*G635+0.6*G644+0.005*G639*G641,IF(G639="Partially Insulated",0.3*G643+0.7*G644+0.005*G638*G641,G644))-459.6</f>
        <v>48.599999999999966</v>
      </c>
      <c r="H645">
        <f t="shared" ref="H645" si="1574">IF(ISNUMBER(H639),0.4*H635+0.6*H644+0.005*H639*H641,IF(H639="Partially Insulated",0.3*H643+0.7*H644+0.005*H638*H641,H644))-459.6</f>
        <v>53.149999999999977</v>
      </c>
      <c r="I645">
        <f t="shared" ref="I645" si="1575">IF(ISNUMBER(I639),0.4*I635+0.6*I644+0.005*I639*I641,IF(I639="Partially Insulated",0.3*I643+0.7*I644+0.005*I638*I641,I644))-459.6</f>
        <v>56.950000000000045</v>
      </c>
      <c r="J645">
        <f t="shared" ref="J645" si="1576">IF(ISNUMBER(J639),0.4*J635+0.6*J644+0.005*J639*J641,IF(J639="Partially Insulated",0.3*J643+0.7*J644+0.005*J638*J641,J644))-459.6</f>
        <v>60.449999999999932</v>
      </c>
      <c r="K645">
        <f t="shared" ref="K645" si="1577">IF(ISNUMBER(K639),0.4*K635+0.6*K644+0.005*K639*K641,IF(K639="Partially Insulated",0.3*K643+0.7*K644+0.005*K638*K641,K644))-459.6</f>
        <v>60.899999999999977</v>
      </c>
      <c r="L645">
        <f t="shared" ref="L645" si="1578">IF(ISNUMBER(L639),0.4*L635+0.6*L644+0.005*L639*L641,IF(L639="Partially Insulated",0.3*L643+0.7*L644+0.005*L638*L641,L644))-459.6</f>
        <v>58.600000000000023</v>
      </c>
      <c r="M645">
        <f t="shared" ref="M645" si="1579">IF(ISNUMBER(M639),0.4*M635+0.6*M644+0.005*M639*M641,IF(M639="Partially Insulated",0.3*M643+0.7*M644+0.005*M638*M641,M644))-459.6</f>
        <v>52.649999999999977</v>
      </c>
      <c r="N645">
        <f t="shared" ref="N645" si="1580">IF(ISNUMBER(N639),0.4*N635+0.6*N644+0.005*N639*N641,IF(N639="Partially Insulated",0.3*N643+0.7*N644+0.005*N638*N641,N644))-459.6</f>
        <v>47.100000000000023</v>
      </c>
      <c r="O645">
        <f t="shared" ref="O645" si="1581">IF(ISNUMBER(O639),0.4*O635+0.6*O644+0.005*O639*O641,IF(O639="Partially Insulated",0.3*O643+0.7*O644+0.005*O638*O641,O644))-459.6</f>
        <v>43.600000000000023</v>
      </c>
      <c r="P645">
        <f>AVERAGE(D645:O645)</f>
        <v>51.391666666666673</v>
      </c>
    </row>
    <row r="646" spans="1:38" ht="17.149999999999999" x14ac:dyDescent="0.55000000000000004">
      <c r="B646" t="str">
        <f t="shared" si="1565"/>
        <v>Portland</v>
      </c>
      <c r="C646" t="s">
        <v>527</v>
      </c>
      <c r="D646">
        <f>IF(ISNUMBER(D639),0.4*D636+0.6*D644+0.005*D639*D641,IF(D639="Partially Insulated",0.3*D643+0.7*D644+0.005*D638*D641,D644))-459.6</f>
        <v>43.899999999999977</v>
      </c>
      <c r="E646">
        <f t="shared" ref="E646:O646" si="1582">IF(ISNUMBER(E639),0.4*E636+0.6*E644+0.005*E639*E641,IF(E639="Partially Insulated",0.3*E643+0.7*E644+0.005*E638*E641,E644))-459.6</f>
        <v>44.700000000000045</v>
      </c>
      <c r="F646">
        <f t="shared" si="1582"/>
        <v>46.100000000000023</v>
      </c>
      <c r="G646">
        <f t="shared" si="1582"/>
        <v>48.599999999999966</v>
      </c>
      <c r="H646">
        <f t="shared" si="1582"/>
        <v>53.149999999999977</v>
      </c>
      <c r="I646">
        <f t="shared" si="1582"/>
        <v>56.950000000000045</v>
      </c>
      <c r="J646">
        <f t="shared" si="1582"/>
        <v>60.449999999999932</v>
      </c>
      <c r="K646">
        <f t="shared" si="1582"/>
        <v>60.899999999999977</v>
      </c>
      <c r="L646">
        <f t="shared" si="1582"/>
        <v>58.600000000000023</v>
      </c>
      <c r="M646">
        <f t="shared" si="1582"/>
        <v>52.649999999999977</v>
      </c>
      <c r="N646">
        <f t="shared" si="1582"/>
        <v>47.100000000000023</v>
      </c>
      <c r="O646">
        <f t="shared" si="1582"/>
        <v>43.600000000000023</v>
      </c>
      <c r="P646">
        <f>AVERAGE(D646:O646)</f>
        <v>51.391666666666673</v>
      </c>
    </row>
    <row r="647" spans="1:38" ht="17.149999999999999" x14ac:dyDescent="0.55000000000000004">
      <c r="B647" t="str">
        <f t="shared" si="1565"/>
        <v>Portland</v>
      </c>
      <c r="C647" t="s">
        <v>552</v>
      </c>
      <c r="D647">
        <f>IF(ISNUMBER(D639),0.4*D643+0.6*D644+0.005*D639*D641,IF(D639="Partially Insulated",0.3*D643+0.7*D644+0.005*D638*D641,D644))-459.6</f>
        <v>43.899999999999977</v>
      </c>
      <c r="E647">
        <f t="shared" ref="E647:O647" si="1583">IF(ISNUMBER(E639),0.4*E643+0.6*E644+0.005*E639*E641,IF(E639="Partially Insulated",0.3*E643+0.7*E644+0.005*E638*E641,E644))-459.6</f>
        <v>44.700000000000045</v>
      </c>
      <c r="F647">
        <f t="shared" si="1583"/>
        <v>46.100000000000023</v>
      </c>
      <c r="G647">
        <f t="shared" si="1583"/>
        <v>48.599999999999966</v>
      </c>
      <c r="H647">
        <f t="shared" si="1583"/>
        <v>53.149999999999977</v>
      </c>
      <c r="I647">
        <f t="shared" si="1583"/>
        <v>56.950000000000045</v>
      </c>
      <c r="J647">
        <f t="shared" si="1583"/>
        <v>60.449999999999932</v>
      </c>
      <c r="K647">
        <f t="shared" si="1583"/>
        <v>60.899999999999977</v>
      </c>
      <c r="L647">
        <f t="shared" si="1583"/>
        <v>58.600000000000023</v>
      </c>
      <c r="M647">
        <f t="shared" si="1583"/>
        <v>52.649999999999977</v>
      </c>
      <c r="N647">
        <f t="shared" si="1583"/>
        <v>47.100000000000023</v>
      </c>
      <c r="O647">
        <f t="shared" si="1583"/>
        <v>43.600000000000023</v>
      </c>
      <c r="P647">
        <f>AVERAGE(D647:O647)</f>
        <v>51.391666666666673</v>
      </c>
    </row>
    <row r="648" spans="1:38" ht="17.149999999999999" x14ac:dyDescent="0.55000000000000004">
      <c r="A648" s="11"/>
      <c r="B648" s="11" t="str">
        <f t="shared" si="1565"/>
        <v>Portland</v>
      </c>
      <c r="C648" s="11" t="s">
        <v>553</v>
      </c>
      <c r="D648" s="11">
        <f>IF(ISNUMBER(D639),0.7*D643+0.3*D644+0.009*D639*D641,IF(D639="Partially Insulated",0.6*D643+0.4*D644+0.01*D638*D641,D644))-459.6</f>
        <v>43.899999999999977</v>
      </c>
      <c r="E648" s="11">
        <f t="shared" ref="E648:O648" si="1584">IF(ISNUMBER(E639),0.7*E643+0.3*E644+0.009*E639*E641,IF(E639="Partially Insulated",0.6*E643+0.4*E644+0.01*E638*E641,E644))-459.6</f>
        <v>44.700000000000045</v>
      </c>
      <c r="F648" s="11">
        <f t="shared" si="1584"/>
        <v>46.100000000000023</v>
      </c>
      <c r="G648" s="11">
        <f t="shared" si="1584"/>
        <v>48.599999999999966</v>
      </c>
      <c r="H648" s="11">
        <f t="shared" si="1584"/>
        <v>53.149999999999977</v>
      </c>
      <c r="I648" s="11">
        <f t="shared" si="1584"/>
        <v>56.950000000000045</v>
      </c>
      <c r="J648" s="11">
        <f t="shared" si="1584"/>
        <v>60.449999999999932</v>
      </c>
      <c r="K648" s="11">
        <f t="shared" si="1584"/>
        <v>60.899999999999977</v>
      </c>
      <c r="L648" s="11">
        <f t="shared" si="1584"/>
        <v>58.600000000000023</v>
      </c>
      <c r="M648" s="11">
        <f t="shared" si="1584"/>
        <v>52.649999999999977</v>
      </c>
      <c r="N648" s="11">
        <f t="shared" si="1584"/>
        <v>47.100000000000023</v>
      </c>
      <c r="O648" s="11">
        <f t="shared" si="1584"/>
        <v>43.600000000000023</v>
      </c>
      <c r="P648" s="11">
        <f>AVERAGE(D648:O648)</f>
        <v>51.391666666666673</v>
      </c>
      <c r="Q648" s="11"/>
      <c r="R648" s="11"/>
      <c r="S648" s="11"/>
      <c r="T648" s="11"/>
      <c r="U648" s="11"/>
      <c r="V648" s="11"/>
      <c r="W648" s="11"/>
      <c r="X648" s="11"/>
      <c r="Y648" s="11"/>
      <c r="Z648" s="11"/>
      <c r="AA648" s="11"/>
      <c r="AB648" s="11"/>
      <c r="AC648" s="11"/>
      <c r="AD648" s="11"/>
      <c r="AE648" s="11"/>
      <c r="AF648" s="11"/>
      <c r="AG648" s="11"/>
      <c r="AH648" s="11"/>
      <c r="AI648" s="11"/>
      <c r="AJ648" s="11"/>
      <c r="AK648" s="11"/>
      <c r="AL648" s="11"/>
    </row>
    <row r="649" spans="1:38" ht="17.149999999999999" x14ac:dyDescent="0.55000000000000004">
      <c r="A649" t="str" cm="1">
        <f t="array" ref="A649">INDEX(FX_Input,$R649,S$5)</f>
        <v>FX - 47</v>
      </c>
      <c r="B649" t="str" cm="1">
        <f t="array" ref="B649">INDEX(FX_Input,R649,T649)</f>
        <v>Portland</v>
      </c>
      <c r="C649" t="s">
        <v>510</v>
      </c>
      <c r="D649">
        <f t="shared" ref="D649:O650" si="1585">VLOOKUP(VLOOKUP($B649,Terminal_X_Ref,2,FALSE)&amp;$C649,Weather_Data,$Y649*D$3+$Z649,FALSE)+459.6</f>
        <v>498.3</v>
      </c>
      <c r="E649">
        <f t="shared" si="1585"/>
        <v>497.70000000000005</v>
      </c>
      <c r="F649">
        <f t="shared" si="1585"/>
        <v>499.1</v>
      </c>
      <c r="G649">
        <f t="shared" si="1585"/>
        <v>501.5</v>
      </c>
      <c r="H649">
        <f t="shared" si="1585"/>
        <v>506.1</v>
      </c>
      <c r="I649">
        <f t="shared" si="1585"/>
        <v>510.3</v>
      </c>
      <c r="J649">
        <f t="shared" si="1585"/>
        <v>513.70000000000005</v>
      </c>
      <c r="K649">
        <f t="shared" si="1585"/>
        <v>513.70000000000005</v>
      </c>
      <c r="L649">
        <f t="shared" si="1585"/>
        <v>510</v>
      </c>
      <c r="M649">
        <f t="shared" si="1585"/>
        <v>504.90000000000003</v>
      </c>
      <c r="N649">
        <f t="shared" si="1585"/>
        <v>500.6</v>
      </c>
      <c r="O649">
        <f t="shared" si="1585"/>
        <v>498.20000000000005</v>
      </c>
      <c r="P649">
        <f t="shared" ref="P649:P650" si="1586">VLOOKUP(VLOOKUP($B649,Terminal_X_Ref,2,FALSE)&amp;$C649,Weather_Data,$Y649*P$3+$Z649,FALSE)</f>
        <v>44.9</v>
      </c>
      <c r="R649">
        <f>R635+2</f>
        <v>93</v>
      </c>
      <c r="S649">
        <f>S635+1</f>
        <v>47</v>
      </c>
      <c r="T649">
        <v>3</v>
      </c>
      <c r="U649">
        <v>2</v>
      </c>
      <c r="V649">
        <v>3</v>
      </c>
      <c r="W649">
        <v>1</v>
      </c>
      <c r="X649">
        <v>2</v>
      </c>
      <c r="Y649">
        <f>(V649-U649)/(X649-W649)</f>
        <v>1</v>
      </c>
      <c r="Z649">
        <f>U649-Y649*W649</f>
        <v>1</v>
      </c>
      <c r="AA649">
        <f>AA635+1</f>
        <v>47</v>
      </c>
      <c r="AB649">
        <v>6</v>
      </c>
      <c r="AC649">
        <v>3</v>
      </c>
      <c r="AD649">
        <v>13</v>
      </c>
      <c r="AE649">
        <v>12</v>
      </c>
      <c r="AF649">
        <v>14</v>
      </c>
      <c r="AG649">
        <v>77</v>
      </c>
      <c r="AH649">
        <v>78</v>
      </c>
      <c r="AI649">
        <v>1</v>
      </c>
      <c r="AJ649">
        <v>2</v>
      </c>
      <c r="AK649">
        <f>(AH649-AG649)/(AJ649-AI649)</f>
        <v>1</v>
      </c>
      <c r="AL649">
        <f>AG649-AK649*AI649</f>
        <v>76</v>
      </c>
    </row>
    <row r="650" spans="1:38" ht="17.149999999999999" x14ac:dyDescent="0.55000000000000004">
      <c r="B650" t="str">
        <f t="shared" ref="B650" si="1587">B649</f>
        <v>Portland</v>
      </c>
      <c r="C650" t="s">
        <v>511</v>
      </c>
      <c r="D650">
        <f t="shared" si="1585"/>
        <v>508.70000000000005</v>
      </c>
      <c r="E650">
        <f t="shared" si="1585"/>
        <v>510.90000000000003</v>
      </c>
      <c r="F650">
        <f t="shared" si="1585"/>
        <v>512.30000000000007</v>
      </c>
      <c r="G650">
        <f t="shared" si="1585"/>
        <v>514.9</v>
      </c>
      <c r="H650">
        <f t="shared" si="1585"/>
        <v>519.4</v>
      </c>
      <c r="I650">
        <f t="shared" si="1585"/>
        <v>522.80000000000007</v>
      </c>
      <c r="J650">
        <f t="shared" si="1585"/>
        <v>526.4</v>
      </c>
      <c r="K650">
        <f t="shared" si="1585"/>
        <v>527.30000000000007</v>
      </c>
      <c r="L650">
        <f t="shared" si="1585"/>
        <v>526.4</v>
      </c>
      <c r="M650">
        <f t="shared" si="1585"/>
        <v>519.6</v>
      </c>
      <c r="N650">
        <f t="shared" si="1585"/>
        <v>512.80000000000007</v>
      </c>
      <c r="O650">
        <f t="shared" si="1585"/>
        <v>508.20000000000005</v>
      </c>
      <c r="P650">
        <f t="shared" si="1586"/>
        <v>57.9</v>
      </c>
      <c r="U650">
        <f>U649</f>
        <v>2</v>
      </c>
      <c r="V650">
        <f t="shared" ref="V650:Z650" si="1588">V649</f>
        <v>3</v>
      </c>
      <c r="W650">
        <f t="shared" si="1588"/>
        <v>1</v>
      </c>
      <c r="X650">
        <f t="shared" si="1588"/>
        <v>2</v>
      </c>
      <c r="Y650">
        <f t="shared" si="1588"/>
        <v>1</v>
      </c>
      <c r="Z650">
        <f t="shared" si="1588"/>
        <v>1</v>
      </c>
      <c r="AA650">
        <f>AA649</f>
        <v>47</v>
      </c>
      <c r="AB650">
        <f t="shared" ref="AB650:AB653" si="1589">AB649</f>
        <v>6</v>
      </c>
      <c r="AC650">
        <f t="shared" ref="AC650:AF653" si="1590">AC649</f>
        <v>3</v>
      </c>
      <c r="AD650">
        <f t="shared" si="1590"/>
        <v>13</v>
      </c>
      <c r="AE650">
        <f t="shared" si="1590"/>
        <v>12</v>
      </c>
      <c r="AF650">
        <f t="shared" si="1590"/>
        <v>14</v>
      </c>
      <c r="AG650">
        <f t="shared" ref="AG650:AG653" si="1591">AG649</f>
        <v>77</v>
      </c>
      <c r="AH650">
        <f t="shared" ref="AH650:AH653" si="1592">AH649</f>
        <v>78</v>
      </c>
      <c r="AI650">
        <f t="shared" ref="AI650:AI653" si="1593">AI649</f>
        <v>1</v>
      </c>
      <c r="AJ650">
        <f t="shared" ref="AJ650:AJ653" si="1594">AJ649</f>
        <v>2</v>
      </c>
      <c r="AK650">
        <f t="shared" ref="AK650:AK653" si="1595">AK649</f>
        <v>1</v>
      </c>
      <c r="AL650">
        <f t="shared" ref="AL650:AL653" si="1596">AL649</f>
        <v>76</v>
      </c>
    </row>
    <row r="651" spans="1:38" ht="17.149999999999999" x14ac:dyDescent="0.4">
      <c r="B651" t="str">
        <f>B650</f>
        <v>Portland</v>
      </c>
      <c r="C651" s="66" t="s">
        <v>514</v>
      </c>
      <c r="D651" t="str" cm="1">
        <f t="array" ref="D651">INDEX(FX_Calcs,$AA651,$AE651)</f>
        <v>N/A</v>
      </c>
      <c r="E651" t="str" cm="1">
        <f t="array" ref="E651">INDEX(FX_Calcs,$AA651,$AE651)</f>
        <v>N/A</v>
      </c>
      <c r="F651" t="str" cm="1">
        <f t="array" ref="F651">INDEX(FX_Calcs,$AA651,$AE651)</f>
        <v>N/A</v>
      </c>
      <c r="G651" t="str" cm="1">
        <f t="array" ref="G651">INDEX(FX_Calcs,$AA651,$AE651)</f>
        <v>N/A</v>
      </c>
      <c r="H651" t="str" cm="1">
        <f t="array" ref="H651">INDEX(FX_Calcs,$AA651,$AE651)</f>
        <v>N/A</v>
      </c>
      <c r="I651" t="str" cm="1">
        <f t="array" ref="I651">INDEX(FX_Calcs,$AA651,$AE651)</f>
        <v>N/A</v>
      </c>
      <c r="J651" t="str" cm="1">
        <f t="array" ref="J651">INDEX(FX_Calcs,$AA651,$AE651)</f>
        <v>N/A</v>
      </c>
      <c r="K651" t="str" cm="1">
        <f t="array" ref="K651">INDEX(FX_Calcs,$AA651,$AE651)</f>
        <v>N/A</v>
      </c>
      <c r="L651" t="str" cm="1">
        <f t="array" ref="L651">INDEX(FX_Calcs,$AA651,$AE651)</f>
        <v>N/A</v>
      </c>
      <c r="M651" t="str" cm="1">
        <f t="array" ref="M651">INDEX(FX_Calcs,$AA651,$AE651)</f>
        <v>N/A</v>
      </c>
      <c r="N651" t="str" cm="1">
        <f t="array" ref="N651">INDEX(FX_Calcs,$AA651,$AE651)</f>
        <v>N/A</v>
      </c>
      <c r="O651" t="str" cm="1">
        <f t="array" ref="O651">INDEX(FX_Calcs,$AA651,$AE651)</f>
        <v>N/A</v>
      </c>
      <c r="P651" t="str" cm="1">
        <f t="array" ref="P651">INDEX(FX_Calcs,$AA651,$AE651)</f>
        <v>N/A</v>
      </c>
      <c r="AA651">
        <f>AA650</f>
        <v>47</v>
      </c>
      <c r="AB651">
        <f t="shared" si="1589"/>
        <v>6</v>
      </c>
      <c r="AC651">
        <f t="shared" si="1590"/>
        <v>3</v>
      </c>
      <c r="AD651">
        <f t="shared" si="1590"/>
        <v>13</v>
      </c>
      <c r="AE651">
        <f t="shared" si="1590"/>
        <v>12</v>
      </c>
      <c r="AF651">
        <f t="shared" si="1590"/>
        <v>14</v>
      </c>
      <c r="AG651">
        <f t="shared" si="1591"/>
        <v>77</v>
      </c>
      <c r="AH651">
        <f t="shared" si="1592"/>
        <v>78</v>
      </c>
      <c r="AI651">
        <f t="shared" si="1593"/>
        <v>1</v>
      </c>
      <c r="AJ651">
        <f t="shared" si="1594"/>
        <v>2</v>
      </c>
      <c r="AK651">
        <f t="shared" si="1595"/>
        <v>1</v>
      </c>
      <c r="AL651">
        <f t="shared" si="1596"/>
        <v>76</v>
      </c>
    </row>
    <row r="652" spans="1:38" ht="17.149999999999999" x14ac:dyDescent="0.4">
      <c r="B652" t="str">
        <f t="shared" ref="B652:B653" si="1597">B651</f>
        <v>Portland</v>
      </c>
      <c r="C652" s="66" t="s">
        <v>513</v>
      </c>
      <c r="D652" t="str" cm="1">
        <f t="array" ref="D652">INDEX(FX_Calcs,$AA652,$AD652)</f>
        <v>N/A</v>
      </c>
      <c r="E652" t="str" cm="1">
        <f t="array" ref="E652">INDEX(FX_Calcs,$AA652,$AD652)</f>
        <v>N/A</v>
      </c>
      <c r="F652" t="str" cm="1">
        <f t="array" ref="F652">INDEX(FX_Calcs,$AA652,$AD652)</f>
        <v>N/A</v>
      </c>
      <c r="G652" t="str" cm="1">
        <f t="array" ref="G652">INDEX(FX_Calcs,$AA652,$AD652)</f>
        <v>N/A</v>
      </c>
      <c r="H652" t="str" cm="1">
        <f t="array" ref="H652">INDEX(FX_Calcs,$AA652,$AD652)</f>
        <v>N/A</v>
      </c>
      <c r="I652" t="str" cm="1">
        <f t="array" ref="I652">INDEX(FX_Calcs,$AA652,$AD652)</f>
        <v>N/A</v>
      </c>
      <c r="J652" t="str" cm="1">
        <f t="array" ref="J652">INDEX(FX_Calcs,$AA652,$AD652)</f>
        <v>N/A</v>
      </c>
      <c r="K652" t="str" cm="1">
        <f t="array" ref="K652">INDEX(FX_Calcs,$AA652,$AD652)</f>
        <v>N/A</v>
      </c>
      <c r="L652" t="str" cm="1">
        <f t="array" ref="L652">INDEX(FX_Calcs,$AA652,$AD652)</f>
        <v>N/A</v>
      </c>
      <c r="M652" t="str" cm="1">
        <f t="array" ref="M652">INDEX(FX_Calcs,$AA652,$AD652)</f>
        <v>N/A</v>
      </c>
      <c r="N652" t="str" cm="1">
        <f t="array" ref="N652">INDEX(FX_Calcs,$AA652,$AD652)</f>
        <v>N/A</v>
      </c>
      <c r="O652" t="str" cm="1">
        <f t="array" ref="O652">INDEX(FX_Calcs,$AA652,$AD652)</f>
        <v>N/A</v>
      </c>
      <c r="P652" t="str" cm="1">
        <f t="array" ref="P652">INDEX(FX_Calcs,$AA652,$AD652)</f>
        <v>N/A</v>
      </c>
      <c r="AA652">
        <f>AA651</f>
        <v>47</v>
      </c>
      <c r="AB652">
        <f t="shared" si="1589"/>
        <v>6</v>
      </c>
      <c r="AC652">
        <f t="shared" si="1590"/>
        <v>3</v>
      </c>
      <c r="AD652">
        <f t="shared" si="1590"/>
        <v>13</v>
      </c>
      <c r="AE652">
        <f t="shared" si="1590"/>
        <v>12</v>
      </c>
      <c r="AF652">
        <f t="shared" si="1590"/>
        <v>14</v>
      </c>
      <c r="AG652">
        <f t="shared" si="1591"/>
        <v>77</v>
      </c>
      <c r="AH652">
        <f t="shared" si="1592"/>
        <v>78</v>
      </c>
      <c r="AI652">
        <f t="shared" si="1593"/>
        <v>1</v>
      </c>
      <c r="AJ652">
        <f t="shared" si="1594"/>
        <v>2</v>
      </c>
      <c r="AK652">
        <f t="shared" si="1595"/>
        <v>1</v>
      </c>
      <c r="AL652">
        <f t="shared" si="1596"/>
        <v>76</v>
      </c>
    </row>
    <row r="653" spans="1:38" x14ac:dyDescent="0.4">
      <c r="B653" t="str">
        <f t="shared" si="1597"/>
        <v>Portland</v>
      </c>
      <c r="C653" s="66" t="s">
        <v>558</v>
      </c>
      <c r="D653" t="str" cm="1">
        <f t="array" ref="D653">INDEX(FX_Calcs,$AA653,$AF653)</f>
        <v>Insulated</v>
      </c>
      <c r="E653" t="str" cm="1">
        <f t="array" ref="E653">INDEX(FX_Calcs,$AA653,$AF653)</f>
        <v>Insulated</v>
      </c>
      <c r="F653" t="str" cm="1">
        <f t="array" ref="F653">INDEX(FX_Calcs,$AA653,$AF653)</f>
        <v>Insulated</v>
      </c>
      <c r="G653" t="str" cm="1">
        <f t="array" ref="G653">INDEX(FX_Calcs,$AA653,$AF653)</f>
        <v>Insulated</v>
      </c>
      <c r="H653" t="str" cm="1">
        <f t="array" ref="H653">INDEX(FX_Calcs,$AA653,$AF653)</f>
        <v>Insulated</v>
      </c>
      <c r="I653" t="str" cm="1">
        <f t="array" ref="I653">INDEX(FX_Calcs,$AA653,$AF653)</f>
        <v>Insulated</v>
      </c>
      <c r="J653" t="str" cm="1">
        <f t="array" ref="J653">INDEX(FX_Calcs,$AA653,$AF653)</f>
        <v>Insulated</v>
      </c>
      <c r="K653" t="str" cm="1">
        <f t="array" ref="K653">INDEX(FX_Calcs,$AA653,$AF653)</f>
        <v>Insulated</v>
      </c>
      <c r="L653" t="str" cm="1">
        <f t="array" ref="L653">INDEX(FX_Calcs,$AA653,$AF653)</f>
        <v>Insulated</v>
      </c>
      <c r="M653" t="str" cm="1">
        <f t="array" ref="M653">INDEX(FX_Calcs,$AA653,$AF653)</f>
        <v>Insulated</v>
      </c>
      <c r="N653" t="str" cm="1">
        <f t="array" ref="N653">INDEX(FX_Calcs,$AA653,$AF653)</f>
        <v>Insulated</v>
      </c>
      <c r="O653" t="str" cm="1">
        <f t="array" ref="O653">INDEX(FX_Calcs,$AA653,$AF653)</f>
        <v>Insulated</v>
      </c>
      <c r="P653" t="str" cm="1">
        <f t="array" ref="P653">INDEX(FX_Calcs,$AA653,$AF653)</f>
        <v>Insulated</v>
      </c>
      <c r="AA653">
        <f>AA652</f>
        <v>47</v>
      </c>
      <c r="AB653">
        <f t="shared" si="1589"/>
        <v>6</v>
      </c>
      <c r="AC653">
        <f t="shared" si="1590"/>
        <v>3</v>
      </c>
      <c r="AD653">
        <f t="shared" si="1590"/>
        <v>13</v>
      </c>
      <c r="AE653">
        <f t="shared" si="1590"/>
        <v>12</v>
      </c>
      <c r="AF653">
        <f t="shared" si="1590"/>
        <v>14</v>
      </c>
      <c r="AG653">
        <f t="shared" si="1591"/>
        <v>77</v>
      </c>
      <c r="AH653">
        <f t="shared" si="1592"/>
        <v>78</v>
      </c>
      <c r="AI653">
        <f t="shared" si="1593"/>
        <v>1</v>
      </c>
      <c r="AJ653">
        <f t="shared" si="1594"/>
        <v>2</v>
      </c>
      <c r="AK653">
        <f t="shared" si="1595"/>
        <v>1</v>
      </c>
      <c r="AL653">
        <f t="shared" si="1596"/>
        <v>76</v>
      </c>
    </row>
    <row r="654" spans="1:38" ht="17.149999999999999" x14ac:dyDescent="0.55000000000000004">
      <c r="B654" t="str">
        <f>B650</f>
        <v>Portland</v>
      </c>
      <c r="C654" t="s">
        <v>512</v>
      </c>
      <c r="D654">
        <f t="shared" ref="D654:P654" si="1598">D650-D649</f>
        <v>10.400000000000034</v>
      </c>
      <c r="E654">
        <f t="shared" si="1598"/>
        <v>13.199999999999989</v>
      </c>
      <c r="F654">
        <f t="shared" si="1598"/>
        <v>13.200000000000045</v>
      </c>
      <c r="G654">
        <f t="shared" si="1598"/>
        <v>13.399999999999977</v>
      </c>
      <c r="H654">
        <f t="shared" si="1598"/>
        <v>13.299999999999955</v>
      </c>
      <c r="I654">
        <f t="shared" si="1598"/>
        <v>12.500000000000057</v>
      </c>
      <c r="J654">
        <f t="shared" si="1598"/>
        <v>12.699999999999932</v>
      </c>
      <c r="K654">
        <f t="shared" si="1598"/>
        <v>13.600000000000023</v>
      </c>
      <c r="L654">
        <f t="shared" si="1598"/>
        <v>16.399999999999977</v>
      </c>
      <c r="M654">
        <f t="shared" si="1598"/>
        <v>14.699999999999989</v>
      </c>
      <c r="N654">
        <f t="shared" si="1598"/>
        <v>12.200000000000045</v>
      </c>
      <c r="O654">
        <f t="shared" si="1598"/>
        <v>10</v>
      </c>
      <c r="P654">
        <f t="shared" si="1598"/>
        <v>13</v>
      </c>
    </row>
    <row r="655" spans="1:38" x14ac:dyDescent="0.4">
      <c r="B655" t="str">
        <f t="shared" ref="B655:B662" si="1599">B654</f>
        <v>Portland</v>
      </c>
      <c r="C655" t="s">
        <v>260</v>
      </c>
      <c r="D655">
        <f t="shared" ref="D655:P655" si="1600">VLOOKUP(VLOOKUP($B655,Terminal_X_Ref,2,FALSE)&amp;$C655,Weather_Data,$Y655*D$3+$Z655,FALSE)</f>
        <v>343</v>
      </c>
      <c r="E655">
        <f t="shared" si="1600"/>
        <v>600</v>
      </c>
      <c r="F655">
        <f t="shared" si="1600"/>
        <v>877</v>
      </c>
      <c r="G655">
        <f t="shared" si="1600"/>
        <v>1252</v>
      </c>
      <c r="H655">
        <f t="shared" si="1600"/>
        <v>1537</v>
      </c>
      <c r="I655">
        <f t="shared" si="1600"/>
        <v>1627</v>
      </c>
      <c r="J655">
        <f t="shared" si="1600"/>
        <v>1708</v>
      </c>
      <c r="K655">
        <f t="shared" si="1600"/>
        <v>1492</v>
      </c>
      <c r="L655">
        <f t="shared" si="1600"/>
        <v>1196</v>
      </c>
      <c r="M655">
        <f t="shared" si="1600"/>
        <v>728</v>
      </c>
      <c r="N655">
        <f t="shared" si="1600"/>
        <v>391</v>
      </c>
      <c r="O655">
        <f t="shared" si="1600"/>
        <v>302</v>
      </c>
      <c r="P655">
        <f t="shared" si="1600"/>
        <v>1005</v>
      </c>
      <c r="U655">
        <f>U650</f>
        <v>2</v>
      </c>
      <c r="V655">
        <f t="shared" ref="V655:Z655" si="1601">V650</f>
        <v>3</v>
      </c>
      <c r="W655">
        <f t="shared" si="1601"/>
        <v>1</v>
      </c>
      <c r="X655">
        <f t="shared" si="1601"/>
        <v>2</v>
      </c>
      <c r="Y655">
        <f t="shared" si="1601"/>
        <v>1</v>
      </c>
      <c r="Z655">
        <f t="shared" si="1601"/>
        <v>1</v>
      </c>
    </row>
    <row r="656" spans="1:38" ht="17.149999999999999" x14ac:dyDescent="0.55000000000000004">
      <c r="B656" t="str">
        <f t="shared" si="1599"/>
        <v>Portland</v>
      </c>
      <c r="C656" t="s">
        <v>523</v>
      </c>
      <c r="D656">
        <f>IF(ISNUMBER(D653),0.7*D654+0.02*D653*D655,IF(D653="Partially Insulated",0.6*D654+0.02*D652*D655,0))</f>
        <v>0</v>
      </c>
      <c r="E656">
        <f t="shared" ref="E656:P656" si="1602">IF(ISNUMBER(E653),0.7*E654+0.02*E653*E655,IF(E653="Partially Insulated",0.6*E654+0.02*E652*E655,0))</f>
        <v>0</v>
      </c>
      <c r="F656">
        <f t="shared" si="1602"/>
        <v>0</v>
      </c>
      <c r="G656">
        <f t="shared" si="1602"/>
        <v>0</v>
      </c>
      <c r="H656">
        <f t="shared" si="1602"/>
        <v>0</v>
      </c>
      <c r="I656">
        <f t="shared" si="1602"/>
        <v>0</v>
      </c>
      <c r="J656">
        <f t="shared" si="1602"/>
        <v>0</v>
      </c>
      <c r="K656">
        <f t="shared" si="1602"/>
        <v>0</v>
      </c>
      <c r="L656">
        <f t="shared" si="1602"/>
        <v>0</v>
      </c>
      <c r="M656">
        <f t="shared" si="1602"/>
        <v>0</v>
      </c>
      <c r="N656">
        <f t="shared" si="1602"/>
        <v>0</v>
      </c>
      <c r="O656">
        <f t="shared" si="1602"/>
        <v>0</v>
      </c>
      <c r="P656">
        <f t="shared" si="1602"/>
        <v>0</v>
      </c>
    </row>
    <row r="657" spans="1:38" ht="17.149999999999999" x14ac:dyDescent="0.55000000000000004">
      <c r="B657" t="str">
        <f t="shared" si="1599"/>
        <v>Portland</v>
      </c>
      <c r="C657" t="s">
        <v>524</v>
      </c>
      <c r="D657">
        <f t="shared" ref="D657:F657" si="1603">AVERAGE(D649:D650)</f>
        <v>503.5</v>
      </c>
      <c r="E657">
        <f t="shared" si="1603"/>
        <v>504.30000000000007</v>
      </c>
      <c r="F657">
        <f t="shared" si="1603"/>
        <v>505.70000000000005</v>
      </c>
      <c r="G657">
        <f>AVERAGE(G649:G650)</f>
        <v>508.2</v>
      </c>
      <c r="H657">
        <f t="shared" ref="H657:P657" si="1604">AVERAGE(H649:H650)</f>
        <v>512.75</v>
      </c>
      <c r="I657">
        <f t="shared" si="1604"/>
        <v>516.55000000000007</v>
      </c>
      <c r="J657">
        <f t="shared" si="1604"/>
        <v>520.04999999999995</v>
      </c>
      <c r="K657">
        <f t="shared" si="1604"/>
        <v>520.5</v>
      </c>
      <c r="L657">
        <f t="shared" si="1604"/>
        <v>518.20000000000005</v>
      </c>
      <c r="M657">
        <f t="shared" si="1604"/>
        <v>512.25</v>
      </c>
      <c r="N657">
        <f t="shared" si="1604"/>
        <v>506.70000000000005</v>
      </c>
      <c r="O657">
        <f t="shared" si="1604"/>
        <v>503.20000000000005</v>
      </c>
      <c r="P657">
        <f t="shared" si="1604"/>
        <v>51.4</v>
      </c>
    </row>
    <row r="658" spans="1:38" ht="17.149999999999999" x14ac:dyDescent="0.55000000000000004">
      <c r="B658" t="str">
        <f t="shared" si="1599"/>
        <v>Portland</v>
      </c>
      <c r="C658" t="s">
        <v>525</v>
      </c>
      <c r="D658" cm="1">
        <f t="array" ref="D658">IFERROR(IF(ISBLANK(INDEX(FX_Input,$R649,D$3*$AK649+$AL649)),D657+0.003*D651*D655,INDEX(FX_Input,$R649,D$3*$AK649+$AL649)+459.6),D657)</f>
        <v>503.5</v>
      </c>
      <c r="E658" cm="1">
        <f t="array" ref="E658">IFERROR(IF(ISBLANK(INDEX(FX_Input,$R649,E$3*$AK649+$AL649)),E657+0.003*E651*E655,INDEX(FX_Input,$R649,E$3*$AK649+$AL649)+459.6),E657)</f>
        <v>504.30000000000007</v>
      </c>
      <c r="F658" cm="1">
        <f t="array" ref="F658">IFERROR(IF(ISBLANK(INDEX(FX_Input,$R649,F$3*$AK649+$AL649)),F657+0.003*F651*F655,INDEX(FX_Input,$R649,F$3*$AK649+$AL649)+459.6),F657)</f>
        <v>505.70000000000005</v>
      </c>
      <c r="G658" cm="1">
        <f t="array" ref="G658">IFERROR(IF(ISBLANK(INDEX(FX_Input,$R649,G$3*$AK649+$AL649)),G657+0.003*G651*G655,INDEX(FX_Input,$R649,G$3*$AK649+$AL649)+459.6),G657)</f>
        <v>508.2</v>
      </c>
      <c r="H658" cm="1">
        <f t="array" ref="H658">IFERROR(IF(ISBLANK(INDEX(FX_Input,$R649,H$3*$AK649+$AL649)),H657+0.003*H651*H655,INDEX(FX_Input,$R649,H$3*$AK649+$AL649)+459.6),H657)</f>
        <v>512.75</v>
      </c>
      <c r="I658" cm="1">
        <f t="array" ref="I658">IFERROR(IF(ISBLANK(INDEX(FX_Input,$R649,I$3*$AK649+$AL649)),I657+0.003*I651*I655,INDEX(FX_Input,$R649,I$3*$AK649+$AL649)+459.6),I657)</f>
        <v>516.55000000000007</v>
      </c>
      <c r="J658" cm="1">
        <f t="array" ref="J658">IFERROR(IF(ISBLANK(INDEX(FX_Input,$R649,J$3*$AK649+$AL649)),J657+0.003*J651*J655,INDEX(FX_Input,$R649,J$3*$AK649+$AL649)+459.6),J657)</f>
        <v>520.04999999999995</v>
      </c>
      <c r="K658" cm="1">
        <f t="array" ref="K658">IFERROR(IF(ISBLANK(INDEX(FX_Input,$R649,K$3*$AK649+$AL649)),K657+0.003*K651*K655,INDEX(FX_Input,$R649,K$3*$AK649+$AL649)+459.6),K657)</f>
        <v>520.5</v>
      </c>
      <c r="L658" cm="1">
        <f t="array" ref="L658">IFERROR(IF(ISBLANK(INDEX(FX_Input,$R649,L$3*$AK649+$AL649)),L657+0.003*L651*L655,INDEX(FX_Input,$R649,L$3*$AK649+$AL649)+459.6),L657)</f>
        <v>518.20000000000005</v>
      </c>
      <c r="M658" cm="1">
        <f t="array" ref="M658">IFERROR(IF(ISBLANK(INDEX(FX_Input,$R649,M$3*$AK649+$AL649)),M657+0.003*M651*M655,INDEX(FX_Input,$R649,M$3*$AK649+$AL649)+459.6),M657)</f>
        <v>512.25</v>
      </c>
      <c r="N658" cm="1">
        <f t="array" ref="N658">IFERROR(IF(ISBLANK(INDEX(FX_Input,$R649,N$3*$AK649+$AL649)),N657+0.003*N651*N655,INDEX(FX_Input,$R649,N$3*$AK649+$AL649)+459.6),N657)</f>
        <v>506.70000000000005</v>
      </c>
      <c r="O658" cm="1">
        <f t="array" ref="O658">IFERROR(IF(ISBLANK(INDEX(FX_Input,$R649,O$3*$AK649+$AL649)),O657+0.003*O651*O655,INDEX(FX_Input,$R649,O$3*$AK649+$AL649)+459.6),O657)</f>
        <v>503.20000000000005</v>
      </c>
      <c r="P658" cm="1">
        <f t="array" ref="P658">IFERROR(IF(ISBLANK(INDEX(FX_Input,$R649,P$3*$AK649+$AL649)),P657+0.003*P651*P655,INDEX(FX_Input,$R649,P$3*$AK649+$AL649)+459.6),P657)</f>
        <v>459.6</v>
      </c>
    </row>
    <row r="659" spans="1:38" ht="17.149999999999999" x14ac:dyDescent="0.55000000000000004">
      <c r="B659" t="str">
        <f t="shared" si="1599"/>
        <v>Portland</v>
      </c>
      <c r="C659" t="s">
        <v>526</v>
      </c>
      <c r="D659">
        <f>IF(ISNUMBER(D653),0.4*D649+0.6*D658+0.005*D653*D655,IF(D653="Partially Insulated",0.3*D657+0.7*D658+0.005*D652*D655,D658))-459.6</f>
        <v>43.899999999999977</v>
      </c>
      <c r="E659">
        <f t="shared" ref="E659" si="1605">IF(ISNUMBER(E653),0.4*E649+0.6*E658+0.005*E653*E655,IF(E653="Partially Insulated",0.3*E657+0.7*E658+0.005*E652*E655,E658))-459.6</f>
        <v>44.700000000000045</v>
      </c>
      <c r="F659">
        <f t="shared" ref="F659" si="1606">IF(ISNUMBER(F653),0.4*F649+0.6*F658+0.005*F653*F655,IF(F653="Partially Insulated",0.3*F657+0.7*F658+0.005*F652*F655,F658))-459.6</f>
        <v>46.100000000000023</v>
      </c>
      <c r="G659">
        <f t="shared" ref="G659" si="1607">IF(ISNUMBER(G653),0.4*G649+0.6*G658+0.005*G653*G655,IF(G653="Partially Insulated",0.3*G657+0.7*G658+0.005*G652*G655,G658))-459.6</f>
        <v>48.599999999999966</v>
      </c>
      <c r="H659">
        <f t="shared" ref="H659" si="1608">IF(ISNUMBER(H653),0.4*H649+0.6*H658+0.005*H653*H655,IF(H653="Partially Insulated",0.3*H657+0.7*H658+0.005*H652*H655,H658))-459.6</f>
        <v>53.149999999999977</v>
      </c>
      <c r="I659">
        <f t="shared" ref="I659" si="1609">IF(ISNUMBER(I653),0.4*I649+0.6*I658+0.005*I653*I655,IF(I653="Partially Insulated",0.3*I657+0.7*I658+0.005*I652*I655,I658))-459.6</f>
        <v>56.950000000000045</v>
      </c>
      <c r="J659">
        <f t="shared" ref="J659" si="1610">IF(ISNUMBER(J653),0.4*J649+0.6*J658+0.005*J653*J655,IF(J653="Partially Insulated",0.3*J657+0.7*J658+0.005*J652*J655,J658))-459.6</f>
        <v>60.449999999999932</v>
      </c>
      <c r="K659">
        <f t="shared" ref="K659" si="1611">IF(ISNUMBER(K653),0.4*K649+0.6*K658+0.005*K653*K655,IF(K653="Partially Insulated",0.3*K657+0.7*K658+0.005*K652*K655,K658))-459.6</f>
        <v>60.899999999999977</v>
      </c>
      <c r="L659">
        <f t="shared" ref="L659" si="1612">IF(ISNUMBER(L653),0.4*L649+0.6*L658+0.005*L653*L655,IF(L653="Partially Insulated",0.3*L657+0.7*L658+0.005*L652*L655,L658))-459.6</f>
        <v>58.600000000000023</v>
      </c>
      <c r="M659">
        <f t="shared" ref="M659" si="1613">IF(ISNUMBER(M653),0.4*M649+0.6*M658+0.005*M653*M655,IF(M653="Partially Insulated",0.3*M657+0.7*M658+0.005*M652*M655,M658))-459.6</f>
        <v>52.649999999999977</v>
      </c>
      <c r="N659">
        <f t="shared" ref="N659" si="1614">IF(ISNUMBER(N653),0.4*N649+0.6*N658+0.005*N653*N655,IF(N653="Partially Insulated",0.3*N657+0.7*N658+0.005*N652*N655,N658))-459.6</f>
        <v>47.100000000000023</v>
      </c>
      <c r="O659">
        <f t="shared" ref="O659" si="1615">IF(ISNUMBER(O653),0.4*O649+0.6*O658+0.005*O653*O655,IF(O653="Partially Insulated",0.3*O657+0.7*O658+0.005*O652*O655,O658))-459.6</f>
        <v>43.600000000000023</v>
      </c>
      <c r="P659">
        <f>AVERAGE(D659:O659)</f>
        <v>51.391666666666673</v>
      </c>
    </row>
    <row r="660" spans="1:38" ht="17.149999999999999" x14ac:dyDescent="0.55000000000000004">
      <c r="B660" t="str">
        <f t="shared" si="1599"/>
        <v>Portland</v>
      </c>
      <c r="C660" t="s">
        <v>527</v>
      </c>
      <c r="D660">
        <f>IF(ISNUMBER(D653),0.4*D650+0.6*D658+0.005*D653*D655,IF(D653="Partially Insulated",0.3*D657+0.7*D658+0.005*D652*D655,D658))-459.6</f>
        <v>43.899999999999977</v>
      </c>
      <c r="E660">
        <f t="shared" ref="E660:O660" si="1616">IF(ISNUMBER(E653),0.4*E650+0.6*E658+0.005*E653*E655,IF(E653="Partially Insulated",0.3*E657+0.7*E658+0.005*E652*E655,E658))-459.6</f>
        <v>44.700000000000045</v>
      </c>
      <c r="F660">
        <f t="shared" si="1616"/>
        <v>46.100000000000023</v>
      </c>
      <c r="G660">
        <f t="shared" si="1616"/>
        <v>48.599999999999966</v>
      </c>
      <c r="H660">
        <f t="shared" si="1616"/>
        <v>53.149999999999977</v>
      </c>
      <c r="I660">
        <f t="shared" si="1616"/>
        <v>56.950000000000045</v>
      </c>
      <c r="J660">
        <f t="shared" si="1616"/>
        <v>60.449999999999932</v>
      </c>
      <c r="K660">
        <f t="shared" si="1616"/>
        <v>60.899999999999977</v>
      </c>
      <c r="L660">
        <f t="shared" si="1616"/>
        <v>58.600000000000023</v>
      </c>
      <c r="M660">
        <f t="shared" si="1616"/>
        <v>52.649999999999977</v>
      </c>
      <c r="N660">
        <f t="shared" si="1616"/>
        <v>47.100000000000023</v>
      </c>
      <c r="O660">
        <f t="shared" si="1616"/>
        <v>43.600000000000023</v>
      </c>
      <c r="P660">
        <f>AVERAGE(D660:O660)</f>
        <v>51.391666666666673</v>
      </c>
    </row>
    <row r="661" spans="1:38" ht="17.149999999999999" x14ac:dyDescent="0.55000000000000004">
      <c r="B661" t="str">
        <f t="shared" si="1599"/>
        <v>Portland</v>
      </c>
      <c r="C661" t="s">
        <v>552</v>
      </c>
      <c r="D661">
        <f>IF(ISNUMBER(D653),0.4*D657+0.6*D658+0.005*D653*D655,IF(D653="Partially Insulated",0.3*D657+0.7*D658+0.005*D652*D655,D658))-459.6</f>
        <v>43.899999999999977</v>
      </c>
      <c r="E661">
        <f t="shared" ref="E661:O661" si="1617">IF(ISNUMBER(E653),0.4*E657+0.6*E658+0.005*E653*E655,IF(E653="Partially Insulated",0.3*E657+0.7*E658+0.005*E652*E655,E658))-459.6</f>
        <v>44.700000000000045</v>
      </c>
      <c r="F661">
        <f t="shared" si="1617"/>
        <v>46.100000000000023</v>
      </c>
      <c r="G661">
        <f t="shared" si="1617"/>
        <v>48.599999999999966</v>
      </c>
      <c r="H661">
        <f t="shared" si="1617"/>
        <v>53.149999999999977</v>
      </c>
      <c r="I661">
        <f t="shared" si="1617"/>
        <v>56.950000000000045</v>
      </c>
      <c r="J661">
        <f t="shared" si="1617"/>
        <v>60.449999999999932</v>
      </c>
      <c r="K661">
        <f t="shared" si="1617"/>
        <v>60.899999999999977</v>
      </c>
      <c r="L661">
        <f t="shared" si="1617"/>
        <v>58.600000000000023</v>
      </c>
      <c r="M661">
        <f t="shared" si="1617"/>
        <v>52.649999999999977</v>
      </c>
      <c r="N661">
        <f t="shared" si="1617"/>
        <v>47.100000000000023</v>
      </c>
      <c r="O661">
        <f t="shared" si="1617"/>
        <v>43.600000000000023</v>
      </c>
      <c r="P661">
        <f>AVERAGE(D661:O661)</f>
        <v>51.391666666666673</v>
      </c>
    </row>
    <row r="662" spans="1:38" ht="17.149999999999999" x14ac:dyDescent="0.55000000000000004">
      <c r="A662" s="11"/>
      <c r="B662" s="11" t="str">
        <f t="shared" si="1599"/>
        <v>Portland</v>
      </c>
      <c r="C662" s="11" t="s">
        <v>553</v>
      </c>
      <c r="D662" s="11">
        <f>IF(ISNUMBER(D653),0.7*D657+0.3*D658+0.009*D653*D655,IF(D653="Partially Insulated",0.6*D657+0.4*D658+0.01*D652*D655,D658))-459.6</f>
        <v>43.899999999999977</v>
      </c>
      <c r="E662" s="11">
        <f t="shared" ref="E662:O662" si="1618">IF(ISNUMBER(E653),0.7*E657+0.3*E658+0.009*E653*E655,IF(E653="Partially Insulated",0.6*E657+0.4*E658+0.01*E652*E655,E658))-459.6</f>
        <v>44.700000000000045</v>
      </c>
      <c r="F662" s="11">
        <f t="shared" si="1618"/>
        <v>46.100000000000023</v>
      </c>
      <c r="G662" s="11">
        <f t="shared" si="1618"/>
        <v>48.599999999999966</v>
      </c>
      <c r="H662" s="11">
        <f t="shared" si="1618"/>
        <v>53.149999999999977</v>
      </c>
      <c r="I662" s="11">
        <f t="shared" si="1618"/>
        <v>56.950000000000045</v>
      </c>
      <c r="J662" s="11">
        <f t="shared" si="1618"/>
        <v>60.449999999999932</v>
      </c>
      <c r="K662" s="11">
        <f t="shared" si="1618"/>
        <v>60.899999999999977</v>
      </c>
      <c r="L662" s="11">
        <f t="shared" si="1618"/>
        <v>58.600000000000023</v>
      </c>
      <c r="M662" s="11">
        <f t="shared" si="1618"/>
        <v>52.649999999999977</v>
      </c>
      <c r="N662" s="11">
        <f t="shared" si="1618"/>
        <v>47.100000000000023</v>
      </c>
      <c r="O662" s="11">
        <f t="shared" si="1618"/>
        <v>43.600000000000023</v>
      </c>
      <c r="P662" s="11">
        <f>AVERAGE(D662:O662)</f>
        <v>51.391666666666673</v>
      </c>
      <c r="Q662" s="11"/>
      <c r="R662" s="11"/>
      <c r="S662" s="11"/>
      <c r="T662" s="11"/>
      <c r="U662" s="11"/>
      <c r="V662" s="11"/>
      <c r="W662" s="11"/>
      <c r="X662" s="11"/>
      <c r="Y662" s="11"/>
      <c r="Z662" s="11"/>
      <c r="AA662" s="11"/>
      <c r="AB662" s="11"/>
      <c r="AC662" s="11"/>
      <c r="AD662" s="11"/>
      <c r="AE662" s="11"/>
      <c r="AF662" s="11"/>
      <c r="AG662" s="11"/>
      <c r="AH662" s="11"/>
      <c r="AI662" s="11"/>
      <c r="AJ662" s="11"/>
      <c r="AK662" s="11"/>
      <c r="AL662" s="11"/>
    </row>
    <row r="663" spans="1:38" ht="17.149999999999999" x14ac:dyDescent="0.55000000000000004">
      <c r="A663" t="str" cm="1">
        <f t="array" ref="A663">INDEX(FX_Input,$R663,S$5)</f>
        <v>FX - 48</v>
      </c>
      <c r="B663" t="str" cm="1">
        <f t="array" ref="B663">INDEX(FX_Input,R663,T663)</f>
        <v>Portland</v>
      </c>
      <c r="C663" t="s">
        <v>510</v>
      </c>
      <c r="D663">
        <f t="shared" ref="D663:O664" si="1619">VLOOKUP(VLOOKUP($B663,Terminal_X_Ref,2,FALSE)&amp;$C663,Weather_Data,$Y663*D$3+$Z663,FALSE)+459.6</f>
        <v>498.3</v>
      </c>
      <c r="E663">
        <f t="shared" si="1619"/>
        <v>497.70000000000005</v>
      </c>
      <c r="F663">
        <f t="shared" si="1619"/>
        <v>499.1</v>
      </c>
      <c r="G663">
        <f t="shared" si="1619"/>
        <v>501.5</v>
      </c>
      <c r="H663">
        <f t="shared" si="1619"/>
        <v>506.1</v>
      </c>
      <c r="I663">
        <f t="shared" si="1619"/>
        <v>510.3</v>
      </c>
      <c r="J663">
        <f t="shared" si="1619"/>
        <v>513.70000000000005</v>
      </c>
      <c r="K663">
        <f t="shared" si="1619"/>
        <v>513.70000000000005</v>
      </c>
      <c r="L663">
        <f t="shared" si="1619"/>
        <v>510</v>
      </c>
      <c r="M663">
        <f t="shared" si="1619"/>
        <v>504.90000000000003</v>
      </c>
      <c r="N663">
        <f t="shared" si="1619"/>
        <v>500.6</v>
      </c>
      <c r="O663">
        <f t="shared" si="1619"/>
        <v>498.20000000000005</v>
      </c>
      <c r="P663">
        <f t="shared" ref="P663:P664" si="1620">VLOOKUP(VLOOKUP($B663,Terminal_X_Ref,2,FALSE)&amp;$C663,Weather_Data,$Y663*P$3+$Z663,FALSE)</f>
        <v>44.9</v>
      </c>
      <c r="R663">
        <f>R649+2</f>
        <v>95</v>
      </c>
      <c r="S663">
        <f>S649+1</f>
        <v>48</v>
      </c>
      <c r="T663">
        <v>3</v>
      </c>
      <c r="U663">
        <v>2</v>
      </c>
      <c r="V663">
        <v>3</v>
      </c>
      <c r="W663">
        <v>1</v>
      </c>
      <c r="X663">
        <v>2</v>
      </c>
      <c r="Y663">
        <f>(V663-U663)/(X663-W663)</f>
        <v>1</v>
      </c>
      <c r="Z663">
        <f>U663-Y663*W663</f>
        <v>1</v>
      </c>
      <c r="AA663">
        <f>AA649+1</f>
        <v>48</v>
      </c>
      <c r="AB663">
        <v>6</v>
      </c>
      <c r="AC663">
        <v>3</v>
      </c>
      <c r="AD663">
        <v>13</v>
      </c>
      <c r="AE663">
        <v>12</v>
      </c>
      <c r="AF663">
        <v>14</v>
      </c>
      <c r="AG663">
        <v>77</v>
      </c>
      <c r="AH663">
        <v>78</v>
      </c>
      <c r="AI663">
        <v>1</v>
      </c>
      <c r="AJ663">
        <v>2</v>
      </c>
      <c r="AK663">
        <f>(AH663-AG663)/(AJ663-AI663)</f>
        <v>1</v>
      </c>
      <c r="AL663">
        <f>AG663-AK663*AI663</f>
        <v>76</v>
      </c>
    </row>
    <row r="664" spans="1:38" ht="17.149999999999999" x14ac:dyDescent="0.55000000000000004">
      <c r="B664" t="str">
        <f t="shared" ref="B664" si="1621">B663</f>
        <v>Portland</v>
      </c>
      <c r="C664" t="s">
        <v>511</v>
      </c>
      <c r="D664">
        <f t="shared" si="1619"/>
        <v>508.70000000000005</v>
      </c>
      <c r="E664">
        <f t="shared" si="1619"/>
        <v>510.90000000000003</v>
      </c>
      <c r="F664">
        <f t="shared" si="1619"/>
        <v>512.30000000000007</v>
      </c>
      <c r="G664">
        <f t="shared" si="1619"/>
        <v>514.9</v>
      </c>
      <c r="H664">
        <f t="shared" si="1619"/>
        <v>519.4</v>
      </c>
      <c r="I664">
        <f t="shared" si="1619"/>
        <v>522.80000000000007</v>
      </c>
      <c r="J664">
        <f t="shared" si="1619"/>
        <v>526.4</v>
      </c>
      <c r="K664">
        <f t="shared" si="1619"/>
        <v>527.30000000000007</v>
      </c>
      <c r="L664">
        <f t="shared" si="1619"/>
        <v>526.4</v>
      </c>
      <c r="M664">
        <f t="shared" si="1619"/>
        <v>519.6</v>
      </c>
      <c r="N664">
        <f t="shared" si="1619"/>
        <v>512.80000000000007</v>
      </c>
      <c r="O664">
        <f t="shared" si="1619"/>
        <v>508.20000000000005</v>
      </c>
      <c r="P664">
        <f t="shared" si="1620"/>
        <v>57.9</v>
      </c>
      <c r="U664">
        <f>U663</f>
        <v>2</v>
      </c>
      <c r="V664">
        <f t="shared" ref="V664:Z664" si="1622">V663</f>
        <v>3</v>
      </c>
      <c r="W664">
        <f t="shared" si="1622"/>
        <v>1</v>
      </c>
      <c r="X664">
        <f t="shared" si="1622"/>
        <v>2</v>
      </c>
      <c r="Y664">
        <f t="shared" si="1622"/>
        <v>1</v>
      </c>
      <c r="Z664">
        <f t="shared" si="1622"/>
        <v>1</v>
      </c>
      <c r="AA664">
        <f>AA663</f>
        <v>48</v>
      </c>
      <c r="AB664">
        <f t="shared" ref="AB664:AB667" si="1623">AB663</f>
        <v>6</v>
      </c>
      <c r="AC664">
        <f t="shared" ref="AC664:AF667" si="1624">AC663</f>
        <v>3</v>
      </c>
      <c r="AD664">
        <f t="shared" si="1624"/>
        <v>13</v>
      </c>
      <c r="AE664">
        <f t="shared" si="1624"/>
        <v>12</v>
      </c>
      <c r="AF664">
        <f t="shared" si="1624"/>
        <v>14</v>
      </c>
      <c r="AG664">
        <f t="shared" ref="AG664:AG667" si="1625">AG663</f>
        <v>77</v>
      </c>
      <c r="AH664">
        <f t="shared" ref="AH664:AH667" si="1626">AH663</f>
        <v>78</v>
      </c>
      <c r="AI664">
        <f t="shared" ref="AI664:AI667" si="1627">AI663</f>
        <v>1</v>
      </c>
      <c r="AJ664">
        <f t="shared" ref="AJ664:AJ667" si="1628">AJ663</f>
        <v>2</v>
      </c>
      <c r="AK664">
        <f t="shared" ref="AK664:AK667" si="1629">AK663</f>
        <v>1</v>
      </c>
      <c r="AL664">
        <f t="shared" ref="AL664:AL667" si="1630">AL663</f>
        <v>76</v>
      </c>
    </row>
    <row r="665" spans="1:38" ht="17.149999999999999" x14ac:dyDescent="0.4">
      <c r="B665" t="str">
        <f>B664</f>
        <v>Portland</v>
      </c>
      <c r="C665" s="66" t="s">
        <v>514</v>
      </c>
      <c r="D665" t="str" cm="1">
        <f t="array" ref="D665">INDEX(FX_Calcs,$AA665,$AE665)</f>
        <v>N/A</v>
      </c>
      <c r="E665" t="str" cm="1">
        <f t="array" ref="E665">INDEX(FX_Calcs,$AA665,$AE665)</f>
        <v>N/A</v>
      </c>
      <c r="F665" t="str" cm="1">
        <f t="array" ref="F665">INDEX(FX_Calcs,$AA665,$AE665)</f>
        <v>N/A</v>
      </c>
      <c r="G665" t="str" cm="1">
        <f t="array" ref="G665">INDEX(FX_Calcs,$AA665,$AE665)</f>
        <v>N/A</v>
      </c>
      <c r="H665" t="str" cm="1">
        <f t="array" ref="H665">INDEX(FX_Calcs,$AA665,$AE665)</f>
        <v>N/A</v>
      </c>
      <c r="I665" t="str" cm="1">
        <f t="array" ref="I665">INDEX(FX_Calcs,$AA665,$AE665)</f>
        <v>N/A</v>
      </c>
      <c r="J665" t="str" cm="1">
        <f t="array" ref="J665">INDEX(FX_Calcs,$AA665,$AE665)</f>
        <v>N/A</v>
      </c>
      <c r="K665" t="str" cm="1">
        <f t="array" ref="K665">INDEX(FX_Calcs,$AA665,$AE665)</f>
        <v>N/A</v>
      </c>
      <c r="L665" t="str" cm="1">
        <f t="array" ref="L665">INDEX(FX_Calcs,$AA665,$AE665)</f>
        <v>N/A</v>
      </c>
      <c r="M665" t="str" cm="1">
        <f t="array" ref="M665">INDEX(FX_Calcs,$AA665,$AE665)</f>
        <v>N/A</v>
      </c>
      <c r="N665" t="str" cm="1">
        <f t="array" ref="N665">INDEX(FX_Calcs,$AA665,$AE665)</f>
        <v>N/A</v>
      </c>
      <c r="O665" t="str" cm="1">
        <f t="array" ref="O665">INDEX(FX_Calcs,$AA665,$AE665)</f>
        <v>N/A</v>
      </c>
      <c r="P665" t="str" cm="1">
        <f t="array" ref="P665">INDEX(FX_Calcs,$AA665,$AE665)</f>
        <v>N/A</v>
      </c>
      <c r="AA665">
        <f>AA664</f>
        <v>48</v>
      </c>
      <c r="AB665">
        <f t="shared" si="1623"/>
        <v>6</v>
      </c>
      <c r="AC665">
        <f t="shared" si="1624"/>
        <v>3</v>
      </c>
      <c r="AD665">
        <f t="shared" si="1624"/>
        <v>13</v>
      </c>
      <c r="AE665">
        <f t="shared" si="1624"/>
        <v>12</v>
      </c>
      <c r="AF665">
        <f t="shared" si="1624"/>
        <v>14</v>
      </c>
      <c r="AG665">
        <f t="shared" si="1625"/>
        <v>77</v>
      </c>
      <c r="AH665">
        <f t="shared" si="1626"/>
        <v>78</v>
      </c>
      <c r="AI665">
        <f t="shared" si="1627"/>
        <v>1</v>
      </c>
      <c r="AJ665">
        <f t="shared" si="1628"/>
        <v>2</v>
      </c>
      <c r="AK665">
        <f t="shared" si="1629"/>
        <v>1</v>
      </c>
      <c r="AL665">
        <f t="shared" si="1630"/>
        <v>76</v>
      </c>
    </row>
    <row r="666" spans="1:38" ht="17.149999999999999" x14ac:dyDescent="0.4">
      <c r="B666" t="str">
        <f t="shared" ref="B666:B667" si="1631">B665</f>
        <v>Portland</v>
      </c>
      <c r="C666" s="66" t="s">
        <v>513</v>
      </c>
      <c r="D666" cm="1">
        <f t="array" ref="D666">INDEX(FX_Calcs,$AA666,$AD666)</f>
        <v>0.25</v>
      </c>
      <c r="E666" cm="1">
        <f t="array" ref="E666">INDEX(FX_Calcs,$AA666,$AD666)</f>
        <v>0.25</v>
      </c>
      <c r="F666" cm="1">
        <f t="array" ref="F666">INDEX(FX_Calcs,$AA666,$AD666)</f>
        <v>0.25</v>
      </c>
      <c r="G666" cm="1">
        <f t="array" ref="G666">INDEX(FX_Calcs,$AA666,$AD666)</f>
        <v>0.25</v>
      </c>
      <c r="H666" cm="1">
        <f t="array" ref="H666">INDEX(FX_Calcs,$AA666,$AD666)</f>
        <v>0.25</v>
      </c>
      <c r="I666" cm="1">
        <f t="array" ref="I666">INDEX(FX_Calcs,$AA666,$AD666)</f>
        <v>0.25</v>
      </c>
      <c r="J666" cm="1">
        <f t="array" ref="J666">INDEX(FX_Calcs,$AA666,$AD666)</f>
        <v>0.25</v>
      </c>
      <c r="K666" cm="1">
        <f t="array" ref="K666">INDEX(FX_Calcs,$AA666,$AD666)</f>
        <v>0.25</v>
      </c>
      <c r="L666" cm="1">
        <f t="array" ref="L666">INDEX(FX_Calcs,$AA666,$AD666)</f>
        <v>0.25</v>
      </c>
      <c r="M666" cm="1">
        <f t="array" ref="M666">INDEX(FX_Calcs,$AA666,$AD666)</f>
        <v>0.25</v>
      </c>
      <c r="N666" cm="1">
        <f t="array" ref="N666">INDEX(FX_Calcs,$AA666,$AD666)</f>
        <v>0.25</v>
      </c>
      <c r="O666" cm="1">
        <f t="array" ref="O666">INDEX(FX_Calcs,$AA666,$AD666)</f>
        <v>0.25</v>
      </c>
      <c r="P666" cm="1">
        <f t="array" ref="P666">INDEX(FX_Calcs,$AA666,$AD666)</f>
        <v>0.25</v>
      </c>
      <c r="AA666">
        <f>AA665</f>
        <v>48</v>
      </c>
      <c r="AB666">
        <f t="shared" si="1623"/>
        <v>6</v>
      </c>
      <c r="AC666">
        <f t="shared" si="1624"/>
        <v>3</v>
      </c>
      <c r="AD666">
        <f t="shared" si="1624"/>
        <v>13</v>
      </c>
      <c r="AE666">
        <f t="shared" si="1624"/>
        <v>12</v>
      </c>
      <c r="AF666">
        <f t="shared" si="1624"/>
        <v>14</v>
      </c>
      <c r="AG666">
        <f t="shared" si="1625"/>
        <v>77</v>
      </c>
      <c r="AH666">
        <f t="shared" si="1626"/>
        <v>78</v>
      </c>
      <c r="AI666">
        <f t="shared" si="1627"/>
        <v>1</v>
      </c>
      <c r="AJ666">
        <f t="shared" si="1628"/>
        <v>2</v>
      </c>
      <c r="AK666">
        <f t="shared" si="1629"/>
        <v>1</v>
      </c>
      <c r="AL666">
        <f t="shared" si="1630"/>
        <v>76</v>
      </c>
    </row>
    <row r="667" spans="1:38" x14ac:dyDescent="0.4">
      <c r="B667" t="str">
        <f t="shared" si="1631"/>
        <v>Portland</v>
      </c>
      <c r="C667" s="66" t="s">
        <v>558</v>
      </c>
      <c r="D667" t="str" cm="1">
        <f t="array" ref="D667">INDEX(FX_Calcs,$AA667,$AF667)</f>
        <v>Partially Insulated</v>
      </c>
      <c r="E667" t="str" cm="1">
        <f t="array" ref="E667">INDEX(FX_Calcs,$AA667,$AF667)</f>
        <v>Partially Insulated</v>
      </c>
      <c r="F667" t="str" cm="1">
        <f t="array" ref="F667">INDEX(FX_Calcs,$AA667,$AF667)</f>
        <v>Partially Insulated</v>
      </c>
      <c r="G667" t="str" cm="1">
        <f t="array" ref="G667">INDEX(FX_Calcs,$AA667,$AF667)</f>
        <v>Partially Insulated</v>
      </c>
      <c r="H667" t="str" cm="1">
        <f t="array" ref="H667">INDEX(FX_Calcs,$AA667,$AF667)</f>
        <v>Partially Insulated</v>
      </c>
      <c r="I667" t="str" cm="1">
        <f t="array" ref="I667">INDEX(FX_Calcs,$AA667,$AF667)</f>
        <v>Partially Insulated</v>
      </c>
      <c r="J667" t="str" cm="1">
        <f t="array" ref="J667">INDEX(FX_Calcs,$AA667,$AF667)</f>
        <v>Partially Insulated</v>
      </c>
      <c r="K667" t="str" cm="1">
        <f t="array" ref="K667">INDEX(FX_Calcs,$AA667,$AF667)</f>
        <v>Partially Insulated</v>
      </c>
      <c r="L667" t="str" cm="1">
        <f t="array" ref="L667">INDEX(FX_Calcs,$AA667,$AF667)</f>
        <v>Partially Insulated</v>
      </c>
      <c r="M667" t="str" cm="1">
        <f t="array" ref="M667">INDEX(FX_Calcs,$AA667,$AF667)</f>
        <v>Partially Insulated</v>
      </c>
      <c r="N667" t="str" cm="1">
        <f t="array" ref="N667">INDEX(FX_Calcs,$AA667,$AF667)</f>
        <v>Partially Insulated</v>
      </c>
      <c r="O667" t="str" cm="1">
        <f t="array" ref="O667">INDEX(FX_Calcs,$AA667,$AF667)</f>
        <v>Partially Insulated</v>
      </c>
      <c r="P667" t="str" cm="1">
        <f t="array" ref="P667">INDEX(FX_Calcs,$AA667,$AF667)</f>
        <v>Partially Insulated</v>
      </c>
      <c r="AA667">
        <f>AA666</f>
        <v>48</v>
      </c>
      <c r="AB667">
        <f t="shared" si="1623"/>
        <v>6</v>
      </c>
      <c r="AC667">
        <f t="shared" si="1624"/>
        <v>3</v>
      </c>
      <c r="AD667">
        <f t="shared" si="1624"/>
        <v>13</v>
      </c>
      <c r="AE667">
        <f t="shared" si="1624"/>
        <v>12</v>
      </c>
      <c r="AF667">
        <f t="shared" si="1624"/>
        <v>14</v>
      </c>
      <c r="AG667">
        <f t="shared" si="1625"/>
        <v>77</v>
      </c>
      <c r="AH667">
        <f t="shared" si="1626"/>
        <v>78</v>
      </c>
      <c r="AI667">
        <f t="shared" si="1627"/>
        <v>1</v>
      </c>
      <c r="AJ667">
        <f t="shared" si="1628"/>
        <v>2</v>
      </c>
      <c r="AK667">
        <f t="shared" si="1629"/>
        <v>1</v>
      </c>
      <c r="AL667">
        <f t="shared" si="1630"/>
        <v>76</v>
      </c>
    </row>
    <row r="668" spans="1:38" ht="17.149999999999999" x14ac:dyDescent="0.55000000000000004">
      <c r="B668" t="str">
        <f>B664</f>
        <v>Portland</v>
      </c>
      <c r="C668" t="s">
        <v>512</v>
      </c>
      <c r="D668">
        <f t="shared" ref="D668:P668" si="1632">D664-D663</f>
        <v>10.400000000000034</v>
      </c>
      <c r="E668">
        <f t="shared" si="1632"/>
        <v>13.199999999999989</v>
      </c>
      <c r="F668">
        <f t="shared" si="1632"/>
        <v>13.200000000000045</v>
      </c>
      <c r="G668">
        <f t="shared" si="1632"/>
        <v>13.399999999999977</v>
      </c>
      <c r="H668">
        <f t="shared" si="1632"/>
        <v>13.299999999999955</v>
      </c>
      <c r="I668">
        <f t="shared" si="1632"/>
        <v>12.500000000000057</v>
      </c>
      <c r="J668">
        <f t="shared" si="1632"/>
        <v>12.699999999999932</v>
      </c>
      <c r="K668">
        <f t="shared" si="1632"/>
        <v>13.600000000000023</v>
      </c>
      <c r="L668">
        <f t="shared" si="1632"/>
        <v>16.399999999999977</v>
      </c>
      <c r="M668">
        <f t="shared" si="1632"/>
        <v>14.699999999999989</v>
      </c>
      <c r="N668">
        <f t="shared" si="1632"/>
        <v>12.200000000000045</v>
      </c>
      <c r="O668">
        <f t="shared" si="1632"/>
        <v>10</v>
      </c>
      <c r="P668">
        <f t="shared" si="1632"/>
        <v>13</v>
      </c>
    </row>
    <row r="669" spans="1:38" x14ac:dyDescent="0.4">
      <c r="B669" t="str">
        <f t="shared" ref="B669:B676" si="1633">B668</f>
        <v>Portland</v>
      </c>
      <c r="C669" t="s">
        <v>260</v>
      </c>
      <c r="D669">
        <f t="shared" ref="D669:P669" si="1634">VLOOKUP(VLOOKUP($B669,Terminal_X_Ref,2,FALSE)&amp;$C669,Weather_Data,$Y669*D$3+$Z669,FALSE)</f>
        <v>343</v>
      </c>
      <c r="E669">
        <f t="shared" si="1634"/>
        <v>600</v>
      </c>
      <c r="F669">
        <f t="shared" si="1634"/>
        <v>877</v>
      </c>
      <c r="G669">
        <f t="shared" si="1634"/>
        <v>1252</v>
      </c>
      <c r="H669">
        <f t="shared" si="1634"/>
        <v>1537</v>
      </c>
      <c r="I669">
        <f t="shared" si="1634"/>
        <v>1627</v>
      </c>
      <c r="J669">
        <f t="shared" si="1634"/>
        <v>1708</v>
      </c>
      <c r="K669">
        <f t="shared" si="1634"/>
        <v>1492</v>
      </c>
      <c r="L669">
        <f t="shared" si="1634"/>
        <v>1196</v>
      </c>
      <c r="M669">
        <f t="shared" si="1634"/>
        <v>728</v>
      </c>
      <c r="N669">
        <f t="shared" si="1634"/>
        <v>391</v>
      </c>
      <c r="O669">
        <f t="shared" si="1634"/>
        <v>302</v>
      </c>
      <c r="P669">
        <f t="shared" si="1634"/>
        <v>1005</v>
      </c>
      <c r="U669">
        <f>U664</f>
        <v>2</v>
      </c>
      <c r="V669">
        <f t="shared" ref="V669:Z669" si="1635">V664</f>
        <v>3</v>
      </c>
      <c r="W669">
        <f t="shared" si="1635"/>
        <v>1</v>
      </c>
      <c r="X669">
        <f t="shared" si="1635"/>
        <v>2</v>
      </c>
      <c r="Y669">
        <f t="shared" si="1635"/>
        <v>1</v>
      </c>
      <c r="Z669">
        <f t="shared" si="1635"/>
        <v>1</v>
      </c>
    </row>
    <row r="670" spans="1:38" ht="17.149999999999999" x14ac:dyDescent="0.55000000000000004">
      <c r="B670" t="str">
        <f t="shared" si="1633"/>
        <v>Portland</v>
      </c>
      <c r="C670" t="s">
        <v>523</v>
      </c>
      <c r="D670">
        <f>IF(ISNUMBER(D667),0.7*D668+0.02*D667*D669,IF(D667="Partially Insulated",0.6*D668+0.02*D666*D669,0))</f>
        <v>7.9550000000000205</v>
      </c>
      <c r="E670">
        <f t="shared" ref="E670:P670" si="1636">IF(ISNUMBER(E667),0.7*E668+0.02*E667*E669,IF(E667="Partially Insulated",0.6*E668+0.02*E666*E669,0))</f>
        <v>10.919999999999993</v>
      </c>
      <c r="F670">
        <f t="shared" si="1636"/>
        <v>12.305000000000026</v>
      </c>
      <c r="G670">
        <f t="shared" si="1636"/>
        <v>14.299999999999986</v>
      </c>
      <c r="H670">
        <f t="shared" si="1636"/>
        <v>15.664999999999973</v>
      </c>
      <c r="I670">
        <f t="shared" si="1636"/>
        <v>15.635000000000034</v>
      </c>
      <c r="J670">
        <f t="shared" si="1636"/>
        <v>16.159999999999961</v>
      </c>
      <c r="K670">
        <f t="shared" si="1636"/>
        <v>15.620000000000012</v>
      </c>
      <c r="L670">
        <f t="shared" si="1636"/>
        <v>15.819999999999986</v>
      </c>
      <c r="M670">
        <f t="shared" si="1636"/>
        <v>12.459999999999994</v>
      </c>
      <c r="N670">
        <f t="shared" si="1636"/>
        <v>9.275000000000027</v>
      </c>
      <c r="O670">
        <f t="shared" si="1636"/>
        <v>7.51</v>
      </c>
      <c r="P670">
        <f t="shared" si="1636"/>
        <v>12.824999999999999</v>
      </c>
    </row>
    <row r="671" spans="1:38" ht="17.149999999999999" x14ac:dyDescent="0.55000000000000004">
      <c r="B671" t="str">
        <f t="shared" si="1633"/>
        <v>Portland</v>
      </c>
      <c r="C671" t="s">
        <v>524</v>
      </c>
      <c r="D671">
        <f t="shared" ref="D671:F671" si="1637">AVERAGE(D663:D664)</f>
        <v>503.5</v>
      </c>
      <c r="E671">
        <f t="shared" si="1637"/>
        <v>504.30000000000007</v>
      </c>
      <c r="F671">
        <f t="shared" si="1637"/>
        <v>505.70000000000005</v>
      </c>
      <c r="G671">
        <f>AVERAGE(G663:G664)</f>
        <v>508.2</v>
      </c>
      <c r="H671">
        <f t="shared" ref="H671:P671" si="1638">AVERAGE(H663:H664)</f>
        <v>512.75</v>
      </c>
      <c r="I671">
        <f t="shared" si="1638"/>
        <v>516.55000000000007</v>
      </c>
      <c r="J671">
        <f t="shared" si="1638"/>
        <v>520.04999999999995</v>
      </c>
      <c r="K671">
        <f t="shared" si="1638"/>
        <v>520.5</v>
      </c>
      <c r="L671">
        <f t="shared" si="1638"/>
        <v>518.20000000000005</v>
      </c>
      <c r="M671">
        <f t="shared" si="1638"/>
        <v>512.25</v>
      </c>
      <c r="N671">
        <f t="shared" si="1638"/>
        <v>506.70000000000005</v>
      </c>
      <c r="O671">
        <f t="shared" si="1638"/>
        <v>503.20000000000005</v>
      </c>
      <c r="P671">
        <f t="shared" si="1638"/>
        <v>51.4</v>
      </c>
    </row>
    <row r="672" spans="1:38" ht="17.149999999999999" x14ac:dyDescent="0.55000000000000004">
      <c r="B672" t="str">
        <f t="shared" si="1633"/>
        <v>Portland</v>
      </c>
      <c r="C672" t="s">
        <v>525</v>
      </c>
      <c r="D672" cm="1">
        <f t="array" ref="D672">IFERROR(IF(ISBLANK(INDEX(FX_Input,$R663,D$3*$AK663+$AL663)),D671+0.003*D665*D669,INDEX(FX_Input,$R663,D$3*$AK663+$AL663)+459.6),D671)</f>
        <v>503.5</v>
      </c>
      <c r="E672" cm="1">
        <f t="array" ref="E672">IFERROR(IF(ISBLANK(INDEX(FX_Input,$R663,E$3*$AK663+$AL663)),E671+0.003*E665*E669,INDEX(FX_Input,$R663,E$3*$AK663+$AL663)+459.6),E671)</f>
        <v>504.30000000000007</v>
      </c>
      <c r="F672" cm="1">
        <f t="array" ref="F672">IFERROR(IF(ISBLANK(INDEX(FX_Input,$R663,F$3*$AK663+$AL663)),F671+0.003*F665*F669,INDEX(FX_Input,$R663,F$3*$AK663+$AL663)+459.6),F671)</f>
        <v>505.70000000000005</v>
      </c>
      <c r="G672" cm="1">
        <f t="array" ref="G672">IFERROR(IF(ISBLANK(INDEX(FX_Input,$R663,G$3*$AK663+$AL663)),G671+0.003*G665*G669,INDEX(FX_Input,$R663,G$3*$AK663+$AL663)+459.6),G671)</f>
        <v>508.2</v>
      </c>
      <c r="H672" cm="1">
        <f t="array" ref="H672">IFERROR(IF(ISBLANK(INDEX(FX_Input,$R663,H$3*$AK663+$AL663)),H671+0.003*H665*H669,INDEX(FX_Input,$R663,H$3*$AK663+$AL663)+459.6),H671)</f>
        <v>512.75</v>
      </c>
      <c r="I672" cm="1">
        <f t="array" ref="I672">IFERROR(IF(ISBLANK(INDEX(FX_Input,$R663,I$3*$AK663+$AL663)),I671+0.003*I665*I669,INDEX(FX_Input,$R663,I$3*$AK663+$AL663)+459.6),I671)</f>
        <v>516.55000000000007</v>
      </c>
      <c r="J672" cm="1">
        <f t="array" ref="J672">IFERROR(IF(ISBLANK(INDEX(FX_Input,$R663,J$3*$AK663+$AL663)),J671+0.003*J665*J669,INDEX(FX_Input,$R663,J$3*$AK663+$AL663)+459.6),J671)</f>
        <v>520.04999999999995</v>
      </c>
      <c r="K672" cm="1">
        <f t="array" ref="K672">IFERROR(IF(ISBLANK(INDEX(FX_Input,$R663,K$3*$AK663+$AL663)),K671+0.003*K665*K669,INDEX(FX_Input,$R663,K$3*$AK663+$AL663)+459.6),K671)</f>
        <v>520.5</v>
      </c>
      <c r="L672" cm="1">
        <f t="array" ref="L672">IFERROR(IF(ISBLANK(INDEX(FX_Input,$R663,L$3*$AK663+$AL663)),L671+0.003*L665*L669,INDEX(FX_Input,$R663,L$3*$AK663+$AL663)+459.6),L671)</f>
        <v>518.20000000000005</v>
      </c>
      <c r="M672" cm="1">
        <f t="array" ref="M672">IFERROR(IF(ISBLANK(INDEX(FX_Input,$R663,M$3*$AK663+$AL663)),M671+0.003*M665*M669,INDEX(FX_Input,$R663,M$3*$AK663+$AL663)+459.6),M671)</f>
        <v>512.25</v>
      </c>
      <c r="N672" cm="1">
        <f t="array" ref="N672">IFERROR(IF(ISBLANK(INDEX(FX_Input,$R663,N$3*$AK663+$AL663)),N671+0.003*N665*N669,INDEX(FX_Input,$R663,N$3*$AK663+$AL663)+459.6),N671)</f>
        <v>506.70000000000005</v>
      </c>
      <c r="O672" cm="1">
        <f t="array" ref="O672">IFERROR(IF(ISBLANK(INDEX(FX_Input,$R663,O$3*$AK663+$AL663)),O671+0.003*O665*O669,INDEX(FX_Input,$R663,O$3*$AK663+$AL663)+459.6),O671)</f>
        <v>503.20000000000005</v>
      </c>
      <c r="P672" cm="1">
        <f t="array" ref="P672">IFERROR(IF(ISBLANK(INDEX(FX_Input,$R663,P$3*$AK663+$AL663)),P671+0.003*P665*P669,INDEX(FX_Input,$R663,P$3*$AK663+$AL663)+459.6),P671)</f>
        <v>459.6</v>
      </c>
    </row>
    <row r="673" spans="1:38" ht="17.149999999999999" x14ac:dyDescent="0.55000000000000004">
      <c r="B673" t="str">
        <f t="shared" si="1633"/>
        <v>Portland</v>
      </c>
      <c r="C673" t="s">
        <v>526</v>
      </c>
      <c r="D673">
        <f>IF(ISNUMBER(D667),0.4*D663+0.6*D672+0.005*D667*D669,IF(D667="Partially Insulated",0.3*D671+0.7*D672+0.005*D666*D669,D672))-459.6</f>
        <v>44.328749999999957</v>
      </c>
      <c r="E673">
        <f t="shared" ref="E673" si="1639">IF(ISNUMBER(E667),0.4*E663+0.6*E672+0.005*E667*E669,IF(E667="Partially Insulated",0.3*E671+0.7*E672+0.005*E666*E669,E672))-459.6</f>
        <v>45.450000000000045</v>
      </c>
      <c r="F673">
        <f t="shared" ref="F673" si="1640">IF(ISNUMBER(F667),0.4*F663+0.6*F672+0.005*F667*F669,IF(F667="Partially Insulated",0.3*F671+0.7*F672+0.005*F666*F669,F672))-459.6</f>
        <v>47.19625000000002</v>
      </c>
      <c r="G673">
        <f t="shared" ref="G673" si="1641">IF(ISNUMBER(G667),0.4*G663+0.6*G672+0.005*G667*G669,IF(G667="Partially Insulated",0.3*G671+0.7*G672+0.005*G666*G669,G672))-459.6</f>
        <v>50.164999999999907</v>
      </c>
      <c r="H673">
        <f t="shared" ref="H673" si="1642">IF(ISNUMBER(H667),0.4*H663+0.6*H672+0.005*H667*H669,IF(H667="Partially Insulated",0.3*H671+0.7*H672+0.005*H666*H669,H672))-459.6</f>
        <v>55.071249999999964</v>
      </c>
      <c r="I673">
        <f t="shared" ref="I673" si="1643">IF(ISNUMBER(I667),0.4*I663+0.6*I672+0.005*I667*I669,IF(I667="Partially Insulated",0.3*I671+0.7*I672+0.005*I666*I669,I672))-459.6</f>
        <v>58.9837500000001</v>
      </c>
      <c r="J673">
        <f t="shared" ref="J673" si="1644">IF(ISNUMBER(J667),0.4*J663+0.6*J672+0.005*J667*J669,IF(J667="Partially Insulated",0.3*J671+0.7*J672+0.005*J666*J669,J672))-459.6</f>
        <v>62.584999999999923</v>
      </c>
      <c r="K673">
        <f t="shared" ref="K673" si="1645">IF(ISNUMBER(K667),0.4*K663+0.6*K672+0.005*K667*K669,IF(K667="Partially Insulated",0.3*K671+0.7*K672+0.005*K666*K669,K672))-459.6</f>
        <v>62.764999999999986</v>
      </c>
      <c r="L673">
        <f t="shared" ref="L673" si="1646">IF(ISNUMBER(L667),0.4*L663+0.6*L672+0.005*L667*L669,IF(L667="Partially Insulated",0.3*L671+0.7*L672+0.005*L666*L669,L672))-459.6</f>
        <v>60.095000000000027</v>
      </c>
      <c r="M673">
        <f t="shared" ref="M673" si="1647">IF(ISNUMBER(M667),0.4*M663+0.6*M672+0.005*M667*M669,IF(M667="Partially Insulated",0.3*M671+0.7*M672+0.005*M666*M669,M672))-459.6</f>
        <v>53.559999999999945</v>
      </c>
      <c r="N673">
        <f t="shared" ref="N673" si="1648">IF(ISNUMBER(N667),0.4*N663+0.6*N672+0.005*N667*N669,IF(N667="Partially Insulated",0.3*N671+0.7*N672+0.005*N666*N669,N672))-459.6</f>
        <v>47.588750000000005</v>
      </c>
      <c r="O673">
        <f t="shared" ref="O673" si="1649">IF(ISNUMBER(O667),0.4*O663+0.6*O672+0.005*O667*O669,IF(O667="Partially Insulated",0.3*O671+0.7*O672+0.005*O666*O669,O672))-459.6</f>
        <v>43.97750000000002</v>
      </c>
      <c r="P673">
        <f>AVERAGE(D673:O673)</f>
        <v>52.647187499999994</v>
      </c>
    </row>
    <row r="674" spans="1:38" ht="17.149999999999999" x14ac:dyDescent="0.55000000000000004">
      <c r="B674" t="str">
        <f t="shared" si="1633"/>
        <v>Portland</v>
      </c>
      <c r="C674" t="s">
        <v>527</v>
      </c>
      <c r="D674">
        <f>IF(ISNUMBER(D667),0.4*D664+0.6*D672+0.005*D667*D669,IF(D667="Partially Insulated",0.3*D671+0.7*D672+0.005*D666*D669,D672))-459.6</f>
        <v>44.328749999999957</v>
      </c>
      <c r="E674">
        <f t="shared" ref="E674:O674" si="1650">IF(ISNUMBER(E667),0.4*E664+0.6*E672+0.005*E667*E669,IF(E667="Partially Insulated",0.3*E671+0.7*E672+0.005*E666*E669,E672))-459.6</f>
        <v>45.450000000000045</v>
      </c>
      <c r="F674">
        <f t="shared" si="1650"/>
        <v>47.19625000000002</v>
      </c>
      <c r="G674">
        <f t="shared" si="1650"/>
        <v>50.164999999999907</v>
      </c>
      <c r="H674">
        <f t="shared" si="1650"/>
        <v>55.071249999999964</v>
      </c>
      <c r="I674">
        <f t="shared" si="1650"/>
        <v>58.9837500000001</v>
      </c>
      <c r="J674">
        <f t="shared" si="1650"/>
        <v>62.584999999999923</v>
      </c>
      <c r="K674">
        <f t="shared" si="1650"/>
        <v>62.764999999999986</v>
      </c>
      <c r="L674">
        <f t="shared" si="1650"/>
        <v>60.095000000000027</v>
      </c>
      <c r="M674">
        <f t="shared" si="1650"/>
        <v>53.559999999999945</v>
      </c>
      <c r="N674">
        <f t="shared" si="1650"/>
        <v>47.588750000000005</v>
      </c>
      <c r="O674">
        <f t="shared" si="1650"/>
        <v>43.97750000000002</v>
      </c>
      <c r="P674">
        <f>AVERAGE(D674:O674)</f>
        <v>52.647187499999994</v>
      </c>
    </row>
    <row r="675" spans="1:38" ht="17.149999999999999" x14ac:dyDescent="0.55000000000000004">
      <c r="B675" t="str">
        <f t="shared" si="1633"/>
        <v>Portland</v>
      </c>
      <c r="C675" t="s">
        <v>552</v>
      </c>
      <c r="D675">
        <f>IF(ISNUMBER(D667),0.4*D671+0.6*D672+0.005*D667*D669,IF(D667="Partially Insulated",0.3*D671+0.7*D672+0.005*D666*D669,D672))-459.6</f>
        <v>44.328749999999957</v>
      </c>
      <c r="E675">
        <f t="shared" ref="E675:O675" si="1651">IF(ISNUMBER(E667),0.4*E671+0.6*E672+0.005*E667*E669,IF(E667="Partially Insulated",0.3*E671+0.7*E672+0.005*E666*E669,E672))-459.6</f>
        <v>45.450000000000045</v>
      </c>
      <c r="F675">
        <f t="shared" si="1651"/>
        <v>47.19625000000002</v>
      </c>
      <c r="G675">
        <f t="shared" si="1651"/>
        <v>50.164999999999907</v>
      </c>
      <c r="H675">
        <f t="shared" si="1651"/>
        <v>55.071249999999964</v>
      </c>
      <c r="I675">
        <f t="shared" si="1651"/>
        <v>58.9837500000001</v>
      </c>
      <c r="J675">
        <f t="shared" si="1651"/>
        <v>62.584999999999923</v>
      </c>
      <c r="K675">
        <f t="shared" si="1651"/>
        <v>62.764999999999986</v>
      </c>
      <c r="L675">
        <f t="shared" si="1651"/>
        <v>60.095000000000027</v>
      </c>
      <c r="M675">
        <f t="shared" si="1651"/>
        <v>53.559999999999945</v>
      </c>
      <c r="N675">
        <f t="shared" si="1651"/>
        <v>47.588750000000005</v>
      </c>
      <c r="O675">
        <f t="shared" si="1651"/>
        <v>43.97750000000002</v>
      </c>
      <c r="P675">
        <f>AVERAGE(D675:O675)</f>
        <v>52.647187499999994</v>
      </c>
    </row>
    <row r="676" spans="1:38" ht="17.149999999999999" x14ac:dyDescent="0.55000000000000004">
      <c r="A676" s="11"/>
      <c r="B676" s="11" t="str">
        <f t="shared" si="1633"/>
        <v>Portland</v>
      </c>
      <c r="C676" s="11" t="s">
        <v>553</v>
      </c>
      <c r="D676" s="11">
        <f>IF(ISNUMBER(D667),0.7*D671+0.3*D672+0.009*D667*D669,IF(D667="Partially Insulated",0.6*D671+0.4*D672+0.01*D666*D669,D672))-459.6</f>
        <v>44.757499999999993</v>
      </c>
      <c r="E676" s="11">
        <f t="shared" ref="E676:O676" si="1652">IF(ISNUMBER(E667),0.7*E671+0.3*E672+0.009*E667*E669,IF(E667="Partially Insulated",0.6*E671+0.4*E672+0.01*E666*E669,E672))-459.6</f>
        <v>46.200000000000045</v>
      </c>
      <c r="F676" s="11">
        <f t="shared" si="1652"/>
        <v>48.292500000000018</v>
      </c>
      <c r="G676" s="11">
        <f t="shared" si="1652"/>
        <v>51.729999999999905</v>
      </c>
      <c r="H676" s="11">
        <f t="shared" si="1652"/>
        <v>56.99249999999995</v>
      </c>
      <c r="I676" s="11">
        <f t="shared" si="1652"/>
        <v>61.017500000000041</v>
      </c>
      <c r="J676" s="11">
        <f t="shared" si="1652"/>
        <v>64.719999999999914</v>
      </c>
      <c r="K676" s="11">
        <f t="shared" si="1652"/>
        <v>64.63</v>
      </c>
      <c r="L676" s="11">
        <f t="shared" si="1652"/>
        <v>61.590000000000032</v>
      </c>
      <c r="M676" s="11">
        <f t="shared" si="1652"/>
        <v>54.470000000000027</v>
      </c>
      <c r="N676" s="11">
        <f t="shared" si="1652"/>
        <v>48.077500000000043</v>
      </c>
      <c r="O676" s="11">
        <f t="shared" si="1652"/>
        <v>44.355000000000018</v>
      </c>
      <c r="P676" s="11">
        <f>AVERAGE(D676:O676)</f>
        <v>53.902708333333329</v>
      </c>
      <c r="Q676" s="11"/>
      <c r="R676" s="11"/>
      <c r="S676" s="11"/>
      <c r="T676" s="11"/>
      <c r="U676" s="11"/>
      <c r="V676" s="11"/>
      <c r="W676" s="11"/>
      <c r="X676" s="11"/>
      <c r="Y676" s="11"/>
      <c r="Z676" s="11"/>
      <c r="AA676" s="11"/>
      <c r="AB676" s="11"/>
      <c r="AC676" s="11"/>
      <c r="AD676" s="11"/>
      <c r="AE676" s="11"/>
      <c r="AF676" s="11"/>
      <c r="AG676" s="11"/>
      <c r="AH676" s="11"/>
      <c r="AI676" s="11"/>
      <c r="AJ676" s="11"/>
      <c r="AK676" s="11"/>
      <c r="AL676" s="11"/>
    </row>
    <row r="677" spans="1:38" ht="17.149999999999999" x14ac:dyDescent="0.55000000000000004">
      <c r="A677" t="str" cm="1">
        <f t="array" ref="A677">INDEX(FX_Input,$R677,S$5)</f>
        <v>FX - 49</v>
      </c>
      <c r="B677" t="str" cm="1">
        <f t="array" ref="B677">INDEX(FX_Input,R677,T677)</f>
        <v>Portland</v>
      </c>
      <c r="C677" t="s">
        <v>510</v>
      </c>
      <c r="D677">
        <f t="shared" ref="D677:O678" si="1653">VLOOKUP(VLOOKUP($B677,Terminal_X_Ref,2,FALSE)&amp;$C677,Weather_Data,$Y677*D$3+$Z677,FALSE)+459.6</f>
        <v>498.3</v>
      </c>
      <c r="E677">
        <f t="shared" si="1653"/>
        <v>497.70000000000005</v>
      </c>
      <c r="F677">
        <f t="shared" si="1653"/>
        <v>499.1</v>
      </c>
      <c r="G677">
        <f t="shared" si="1653"/>
        <v>501.5</v>
      </c>
      <c r="H677">
        <f t="shared" si="1653"/>
        <v>506.1</v>
      </c>
      <c r="I677">
        <f t="shared" si="1653"/>
        <v>510.3</v>
      </c>
      <c r="J677">
        <f t="shared" si="1653"/>
        <v>513.70000000000005</v>
      </c>
      <c r="K677">
        <f t="shared" si="1653"/>
        <v>513.70000000000005</v>
      </c>
      <c r="L677">
        <f t="shared" si="1653"/>
        <v>510</v>
      </c>
      <c r="M677">
        <f t="shared" si="1653"/>
        <v>504.90000000000003</v>
      </c>
      <c r="N677">
        <f t="shared" si="1653"/>
        <v>500.6</v>
      </c>
      <c r="O677">
        <f t="shared" si="1653"/>
        <v>498.20000000000005</v>
      </c>
      <c r="P677">
        <f t="shared" ref="P677:P678" si="1654">VLOOKUP(VLOOKUP($B677,Terminal_X_Ref,2,FALSE)&amp;$C677,Weather_Data,$Y677*P$3+$Z677,FALSE)</f>
        <v>44.9</v>
      </c>
      <c r="R677">
        <f>R663+2</f>
        <v>97</v>
      </c>
      <c r="S677">
        <f>S663+1</f>
        <v>49</v>
      </c>
      <c r="T677">
        <v>3</v>
      </c>
      <c r="U677">
        <v>2</v>
      </c>
      <c r="V677">
        <v>3</v>
      </c>
      <c r="W677">
        <v>1</v>
      </c>
      <c r="X677">
        <v>2</v>
      </c>
      <c r="Y677">
        <f>(V677-U677)/(X677-W677)</f>
        <v>1</v>
      </c>
      <c r="Z677">
        <f>U677-Y677*W677</f>
        <v>1</v>
      </c>
      <c r="AA677">
        <f>AA663+1</f>
        <v>49</v>
      </c>
      <c r="AB677">
        <v>6</v>
      </c>
      <c r="AC677">
        <v>3</v>
      </c>
      <c r="AD677">
        <v>13</v>
      </c>
      <c r="AE677">
        <v>12</v>
      </c>
      <c r="AF677">
        <v>14</v>
      </c>
      <c r="AG677">
        <v>77</v>
      </c>
      <c r="AH677">
        <v>78</v>
      </c>
      <c r="AI677">
        <v>1</v>
      </c>
      <c r="AJ677">
        <v>2</v>
      </c>
      <c r="AK677">
        <f>(AH677-AG677)/(AJ677-AI677)</f>
        <v>1</v>
      </c>
      <c r="AL677">
        <f>AG677-AK677*AI677</f>
        <v>76</v>
      </c>
    </row>
    <row r="678" spans="1:38" ht="17.149999999999999" x14ac:dyDescent="0.55000000000000004">
      <c r="B678" t="str">
        <f t="shared" ref="B678" si="1655">B677</f>
        <v>Portland</v>
      </c>
      <c r="C678" t="s">
        <v>511</v>
      </c>
      <c r="D678">
        <f t="shared" si="1653"/>
        <v>508.70000000000005</v>
      </c>
      <c r="E678">
        <f t="shared" si="1653"/>
        <v>510.90000000000003</v>
      </c>
      <c r="F678">
        <f t="shared" si="1653"/>
        <v>512.30000000000007</v>
      </c>
      <c r="G678">
        <f t="shared" si="1653"/>
        <v>514.9</v>
      </c>
      <c r="H678">
        <f t="shared" si="1653"/>
        <v>519.4</v>
      </c>
      <c r="I678">
        <f t="shared" si="1653"/>
        <v>522.80000000000007</v>
      </c>
      <c r="J678">
        <f t="shared" si="1653"/>
        <v>526.4</v>
      </c>
      <c r="K678">
        <f t="shared" si="1653"/>
        <v>527.30000000000007</v>
      </c>
      <c r="L678">
        <f t="shared" si="1653"/>
        <v>526.4</v>
      </c>
      <c r="M678">
        <f t="shared" si="1653"/>
        <v>519.6</v>
      </c>
      <c r="N678">
        <f t="shared" si="1653"/>
        <v>512.80000000000007</v>
      </c>
      <c r="O678">
        <f t="shared" si="1653"/>
        <v>508.20000000000005</v>
      </c>
      <c r="P678">
        <f t="shared" si="1654"/>
        <v>57.9</v>
      </c>
      <c r="U678">
        <f>U677</f>
        <v>2</v>
      </c>
      <c r="V678">
        <f t="shared" ref="V678:Z678" si="1656">V677</f>
        <v>3</v>
      </c>
      <c r="W678">
        <f t="shared" si="1656"/>
        <v>1</v>
      </c>
      <c r="X678">
        <f t="shared" si="1656"/>
        <v>2</v>
      </c>
      <c r="Y678">
        <f t="shared" si="1656"/>
        <v>1</v>
      </c>
      <c r="Z678">
        <f t="shared" si="1656"/>
        <v>1</v>
      </c>
      <c r="AA678">
        <f>AA677</f>
        <v>49</v>
      </c>
      <c r="AB678">
        <f t="shared" ref="AB678:AB681" si="1657">AB677</f>
        <v>6</v>
      </c>
      <c r="AC678">
        <f t="shared" ref="AC678:AF681" si="1658">AC677</f>
        <v>3</v>
      </c>
      <c r="AD678">
        <f t="shared" si="1658"/>
        <v>13</v>
      </c>
      <c r="AE678">
        <f t="shared" si="1658"/>
        <v>12</v>
      </c>
      <c r="AF678">
        <f t="shared" si="1658"/>
        <v>14</v>
      </c>
      <c r="AG678">
        <f t="shared" ref="AG678:AG681" si="1659">AG677</f>
        <v>77</v>
      </c>
      <c r="AH678">
        <f t="shared" ref="AH678:AH681" si="1660">AH677</f>
        <v>78</v>
      </c>
      <c r="AI678">
        <f t="shared" ref="AI678:AI681" si="1661">AI677</f>
        <v>1</v>
      </c>
      <c r="AJ678">
        <f t="shared" ref="AJ678:AJ681" si="1662">AJ677</f>
        <v>2</v>
      </c>
      <c r="AK678">
        <f t="shared" ref="AK678:AK681" si="1663">AK677</f>
        <v>1</v>
      </c>
      <c r="AL678">
        <f t="shared" ref="AL678:AL681" si="1664">AL677</f>
        <v>76</v>
      </c>
    </row>
    <row r="679" spans="1:38" ht="17.149999999999999" x14ac:dyDescent="0.4">
      <c r="B679" t="str">
        <f>B678</f>
        <v>Portland</v>
      </c>
      <c r="C679" s="66" t="s">
        <v>514</v>
      </c>
      <c r="D679" cm="1">
        <f t="array" ref="D679">INDEX(FX_Calcs,$AA679,$AE679)</f>
        <v>0.25</v>
      </c>
      <c r="E679" cm="1">
        <f t="array" ref="E679">INDEX(FX_Calcs,$AA679,$AE679)</f>
        <v>0.25</v>
      </c>
      <c r="F679" cm="1">
        <f t="array" ref="F679">INDEX(FX_Calcs,$AA679,$AE679)</f>
        <v>0.25</v>
      </c>
      <c r="G679" cm="1">
        <f t="array" ref="G679">INDEX(FX_Calcs,$AA679,$AE679)</f>
        <v>0.25</v>
      </c>
      <c r="H679" cm="1">
        <f t="array" ref="H679">INDEX(FX_Calcs,$AA679,$AE679)</f>
        <v>0.25</v>
      </c>
      <c r="I679" cm="1">
        <f t="array" ref="I679">INDEX(FX_Calcs,$AA679,$AE679)</f>
        <v>0.25</v>
      </c>
      <c r="J679" cm="1">
        <f t="array" ref="J679">INDEX(FX_Calcs,$AA679,$AE679)</f>
        <v>0.25</v>
      </c>
      <c r="K679" cm="1">
        <f t="array" ref="K679">INDEX(FX_Calcs,$AA679,$AE679)</f>
        <v>0.25</v>
      </c>
      <c r="L679" cm="1">
        <f t="array" ref="L679">INDEX(FX_Calcs,$AA679,$AE679)</f>
        <v>0.25</v>
      </c>
      <c r="M679" cm="1">
        <f t="array" ref="M679">INDEX(FX_Calcs,$AA679,$AE679)</f>
        <v>0.25</v>
      </c>
      <c r="N679" cm="1">
        <f t="array" ref="N679">INDEX(FX_Calcs,$AA679,$AE679)</f>
        <v>0.25</v>
      </c>
      <c r="O679" cm="1">
        <f t="array" ref="O679">INDEX(FX_Calcs,$AA679,$AE679)</f>
        <v>0.25</v>
      </c>
      <c r="P679" cm="1">
        <f t="array" ref="P679">INDEX(FX_Calcs,$AA679,$AE679)</f>
        <v>0.25</v>
      </c>
      <c r="AA679">
        <f>AA678</f>
        <v>49</v>
      </c>
      <c r="AB679">
        <f t="shared" si="1657"/>
        <v>6</v>
      </c>
      <c r="AC679">
        <f t="shared" si="1658"/>
        <v>3</v>
      </c>
      <c r="AD679">
        <f t="shared" si="1658"/>
        <v>13</v>
      </c>
      <c r="AE679">
        <f t="shared" si="1658"/>
        <v>12</v>
      </c>
      <c r="AF679">
        <f t="shared" si="1658"/>
        <v>14</v>
      </c>
      <c r="AG679">
        <f t="shared" si="1659"/>
        <v>77</v>
      </c>
      <c r="AH679">
        <f t="shared" si="1660"/>
        <v>78</v>
      </c>
      <c r="AI679">
        <f t="shared" si="1661"/>
        <v>1</v>
      </c>
      <c r="AJ679">
        <f t="shared" si="1662"/>
        <v>2</v>
      </c>
      <c r="AK679">
        <f t="shared" si="1663"/>
        <v>1</v>
      </c>
      <c r="AL679">
        <f t="shared" si="1664"/>
        <v>76</v>
      </c>
    </row>
    <row r="680" spans="1:38" ht="17.149999999999999" x14ac:dyDescent="0.4">
      <c r="B680" t="str">
        <f t="shared" ref="B680:B681" si="1665">B679</f>
        <v>Portland</v>
      </c>
      <c r="C680" s="66" t="s">
        <v>513</v>
      </c>
      <c r="D680" cm="1">
        <f t="array" ref="D680">INDEX(FX_Calcs,$AA680,$AD680)</f>
        <v>0.25</v>
      </c>
      <c r="E680" cm="1">
        <f t="array" ref="E680">INDEX(FX_Calcs,$AA680,$AD680)</f>
        <v>0.25</v>
      </c>
      <c r="F680" cm="1">
        <f t="array" ref="F680">INDEX(FX_Calcs,$AA680,$AD680)</f>
        <v>0.25</v>
      </c>
      <c r="G680" cm="1">
        <f t="array" ref="G680">INDEX(FX_Calcs,$AA680,$AD680)</f>
        <v>0.25</v>
      </c>
      <c r="H680" cm="1">
        <f t="array" ref="H680">INDEX(FX_Calcs,$AA680,$AD680)</f>
        <v>0.25</v>
      </c>
      <c r="I680" cm="1">
        <f t="array" ref="I680">INDEX(FX_Calcs,$AA680,$AD680)</f>
        <v>0.25</v>
      </c>
      <c r="J680" cm="1">
        <f t="array" ref="J680">INDEX(FX_Calcs,$AA680,$AD680)</f>
        <v>0.25</v>
      </c>
      <c r="K680" cm="1">
        <f t="array" ref="K680">INDEX(FX_Calcs,$AA680,$AD680)</f>
        <v>0.25</v>
      </c>
      <c r="L680" cm="1">
        <f t="array" ref="L680">INDEX(FX_Calcs,$AA680,$AD680)</f>
        <v>0.25</v>
      </c>
      <c r="M680" cm="1">
        <f t="array" ref="M680">INDEX(FX_Calcs,$AA680,$AD680)</f>
        <v>0.25</v>
      </c>
      <c r="N680" cm="1">
        <f t="array" ref="N680">INDEX(FX_Calcs,$AA680,$AD680)</f>
        <v>0.25</v>
      </c>
      <c r="O680" cm="1">
        <f t="array" ref="O680">INDEX(FX_Calcs,$AA680,$AD680)</f>
        <v>0.25</v>
      </c>
      <c r="P680" cm="1">
        <f t="array" ref="P680">INDEX(FX_Calcs,$AA680,$AD680)</f>
        <v>0.25</v>
      </c>
      <c r="AA680">
        <f>AA679</f>
        <v>49</v>
      </c>
      <c r="AB680">
        <f t="shared" si="1657"/>
        <v>6</v>
      </c>
      <c r="AC680">
        <f t="shared" si="1658"/>
        <v>3</v>
      </c>
      <c r="AD680">
        <f t="shared" si="1658"/>
        <v>13</v>
      </c>
      <c r="AE680">
        <f t="shared" si="1658"/>
        <v>12</v>
      </c>
      <c r="AF680">
        <f t="shared" si="1658"/>
        <v>14</v>
      </c>
      <c r="AG680">
        <f t="shared" si="1659"/>
        <v>77</v>
      </c>
      <c r="AH680">
        <f t="shared" si="1660"/>
        <v>78</v>
      </c>
      <c r="AI680">
        <f t="shared" si="1661"/>
        <v>1</v>
      </c>
      <c r="AJ680">
        <f t="shared" si="1662"/>
        <v>2</v>
      </c>
      <c r="AK680">
        <f t="shared" si="1663"/>
        <v>1</v>
      </c>
      <c r="AL680">
        <f t="shared" si="1664"/>
        <v>76</v>
      </c>
    </row>
    <row r="681" spans="1:38" x14ac:dyDescent="0.4">
      <c r="B681" t="str">
        <f t="shared" si="1665"/>
        <v>Portland</v>
      </c>
      <c r="C681" s="66" t="s">
        <v>558</v>
      </c>
      <c r="D681" cm="1">
        <f t="array" ref="D681">INDEX(FX_Calcs,$AA681,$AF681)</f>
        <v>0.25</v>
      </c>
      <c r="E681" cm="1">
        <f t="array" ref="E681">INDEX(FX_Calcs,$AA681,$AF681)</f>
        <v>0.25</v>
      </c>
      <c r="F681" cm="1">
        <f t="array" ref="F681">INDEX(FX_Calcs,$AA681,$AF681)</f>
        <v>0.25</v>
      </c>
      <c r="G681" cm="1">
        <f t="array" ref="G681">INDEX(FX_Calcs,$AA681,$AF681)</f>
        <v>0.25</v>
      </c>
      <c r="H681" cm="1">
        <f t="array" ref="H681">INDEX(FX_Calcs,$AA681,$AF681)</f>
        <v>0.25</v>
      </c>
      <c r="I681" cm="1">
        <f t="array" ref="I681">INDEX(FX_Calcs,$AA681,$AF681)</f>
        <v>0.25</v>
      </c>
      <c r="J681" cm="1">
        <f t="array" ref="J681">INDEX(FX_Calcs,$AA681,$AF681)</f>
        <v>0.25</v>
      </c>
      <c r="K681" cm="1">
        <f t="array" ref="K681">INDEX(FX_Calcs,$AA681,$AF681)</f>
        <v>0.25</v>
      </c>
      <c r="L681" cm="1">
        <f t="array" ref="L681">INDEX(FX_Calcs,$AA681,$AF681)</f>
        <v>0.25</v>
      </c>
      <c r="M681" cm="1">
        <f t="array" ref="M681">INDEX(FX_Calcs,$AA681,$AF681)</f>
        <v>0.25</v>
      </c>
      <c r="N681" cm="1">
        <f t="array" ref="N681">INDEX(FX_Calcs,$AA681,$AF681)</f>
        <v>0.25</v>
      </c>
      <c r="O681" cm="1">
        <f t="array" ref="O681">INDEX(FX_Calcs,$AA681,$AF681)</f>
        <v>0.25</v>
      </c>
      <c r="P681" cm="1">
        <f t="array" ref="P681">INDEX(FX_Calcs,$AA681,$AF681)</f>
        <v>0.25</v>
      </c>
      <c r="AA681">
        <f>AA680</f>
        <v>49</v>
      </c>
      <c r="AB681">
        <f t="shared" si="1657"/>
        <v>6</v>
      </c>
      <c r="AC681">
        <f t="shared" si="1658"/>
        <v>3</v>
      </c>
      <c r="AD681">
        <f t="shared" si="1658"/>
        <v>13</v>
      </c>
      <c r="AE681">
        <f t="shared" si="1658"/>
        <v>12</v>
      </c>
      <c r="AF681">
        <f t="shared" si="1658"/>
        <v>14</v>
      </c>
      <c r="AG681">
        <f t="shared" si="1659"/>
        <v>77</v>
      </c>
      <c r="AH681">
        <f t="shared" si="1660"/>
        <v>78</v>
      </c>
      <c r="AI681">
        <f t="shared" si="1661"/>
        <v>1</v>
      </c>
      <c r="AJ681">
        <f t="shared" si="1662"/>
        <v>2</v>
      </c>
      <c r="AK681">
        <f t="shared" si="1663"/>
        <v>1</v>
      </c>
      <c r="AL681">
        <f t="shared" si="1664"/>
        <v>76</v>
      </c>
    </row>
    <row r="682" spans="1:38" ht="17.149999999999999" x14ac:dyDescent="0.55000000000000004">
      <c r="B682" t="str">
        <f>B678</f>
        <v>Portland</v>
      </c>
      <c r="C682" t="s">
        <v>512</v>
      </c>
      <c r="D682">
        <f t="shared" ref="D682:P682" si="1666">D678-D677</f>
        <v>10.400000000000034</v>
      </c>
      <c r="E682">
        <f t="shared" si="1666"/>
        <v>13.199999999999989</v>
      </c>
      <c r="F682">
        <f t="shared" si="1666"/>
        <v>13.200000000000045</v>
      </c>
      <c r="G682">
        <f t="shared" si="1666"/>
        <v>13.399999999999977</v>
      </c>
      <c r="H682">
        <f t="shared" si="1666"/>
        <v>13.299999999999955</v>
      </c>
      <c r="I682">
        <f t="shared" si="1666"/>
        <v>12.500000000000057</v>
      </c>
      <c r="J682">
        <f t="shared" si="1666"/>
        <v>12.699999999999932</v>
      </c>
      <c r="K682">
        <f t="shared" si="1666"/>
        <v>13.600000000000023</v>
      </c>
      <c r="L682">
        <f t="shared" si="1666"/>
        <v>16.399999999999977</v>
      </c>
      <c r="M682">
        <f t="shared" si="1666"/>
        <v>14.699999999999989</v>
      </c>
      <c r="N682">
        <f t="shared" si="1666"/>
        <v>12.200000000000045</v>
      </c>
      <c r="O682">
        <f t="shared" si="1666"/>
        <v>10</v>
      </c>
      <c r="P682">
        <f t="shared" si="1666"/>
        <v>13</v>
      </c>
    </row>
    <row r="683" spans="1:38" x14ac:dyDescent="0.4">
      <c r="B683" t="str">
        <f t="shared" ref="B683:B690" si="1667">B682</f>
        <v>Portland</v>
      </c>
      <c r="C683" t="s">
        <v>260</v>
      </c>
      <c r="D683">
        <f t="shared" ref="D683:P683" si="1668">VLOOKUP(VLOOKUP($B683,Terminal_X_Ref,2,FALSE)&amp;$C683,Weather_Data,$Y683*D$3+$Z683,FALSE)</f>
        <v>343</v>
      </c>
      <c r="E683">
        <f t="shared" si="1668"/>
        <v>600</v>
      </c>
      <c r="F683">
        <f t="shared" si="1668"/>
        <v>877</v>
      </c>
      <c r="G683">
        <f t="shared" si="1668"/>
        <v>1252</v>
      </c>
      <c r="H683">
        <f t="shared" si="1668"/>
        <v>1537</v>
      </c>
      <c r="I683">
        <f t="shared" si="1668"/>
        <v>1627</v>
      </c>
      <c r="J683">
        <f t="shared" si="1668"/>
        <v>1708</v>
      </c>
      <c r="K683">
        <f t="shared" si="1668"/>
        <v>1492</v>
      </c>
      <c r="L683">
        <f t="shared" si="1668"/>
        <v>1196</v>
      </c>
      <c r="M683">
        <f t="shared" si="1668"/>
        <v>728</v>
      </c>
      <c r="N683">
        <f t="shared" si="1668"/>
        <v>391</v>
      </c>
      <c r="O683">
        <f t="shared" si="1668"/>
        <v>302</v>
      </c>
      <c r="P683">
        <f t="shared" si="1668"/>
        <v>1005</v>
      </c>
      <c r="U683">
        <f>U678</f>
        <v>2</v>
      </c>
      <c r="V683">
        <f t="shared" ref="V683:Z683" si="1669">V678</f>
        <v>3</v>
      </c>
      <c r="W683">
        <f t="shared" si="1669"/>
        <v>1</v>
      </c>
      <c r="X683">
        <f t="shared" si="1669"/>
        <v>2</v>
      </c>
      <c r="Y683">
        <f t="shared" si="1669"/>
        <v>1</v>
      </c>
      <c r="Z683">
        <f t="shared" si="1669"/>
        <v>1</v>
      </c>
    </row>
    <row r="684" spans="1:38" ht="17.149999999999999" x14ac:dyDescent="0.55000000000000004">
      <c r="B684" t="str">
        <f t="shared" si="1667"/>
        <v>Portland</v>
      </c>
      <c r="C684" t="s">
        <v>523</v>
      </c>
      <c r="D684">
        <f>IF(ISNUMBER(D681),0.7*D682+0.02*D681*D683,IF(D681="Partially Insulated",0.6*D682+0.02*D680*D683,0))</f>
        <v>8.9950000000000241</v>
      </c>
      <c r="E684">
        <f t="shared" ref="E684:P684" si="1670">IF(ISNUMBER(E681),0.7*E682+0.02*E681*E683,IF(E681="Partially Insulated",0.6*E682+0.02*E680*E683,0))</f>
        <v>12.239999999999991</v>
      </c>
      <c r="F684">
        <f t="shared" si="1670"/>
        <v>13.62500000000003</v>
      </c>
      <c r="G684">
        <f t="shared" si="1670"/>
        <v>15.639999999999983</v>
      </c>
      <c r="H684">
        <f t="shared" si="1670"/>
        <v>16.994999999999969</v>
      </c>
      <c r="I684">
        <f t="shared" si="1670"/>
        <v>16.885000000000041</v>
      </c>
      <c r="J684">
        <f t="shared" si="1670"/>
        <v>17.42999999999995</v>
      </c>
      <c r="K684">
        <f t="shared" si="1670"/>
        <v>16.980000000000015</v>
      </c>
      <c r="L684">
        <f t="shared" si="1670"/>
        <v>17.459999999999983</v>
      </c>
      <c r="M684">
        <f t="shared" si="1670"/>
        <v>13.929999999999993</v>
      </c>
      <c r="N684">
        <f t="shared" si="1670"/>
        <v>10.495000000000031</v>
      </c>
      <c r="O684">
        <f t="shared" si="1670"/>
        <v>8.51</v>
      </c>
      <c r="P684">
        <f t="shared" si="1670"/>
        <v>14.125</v>
      </c>
    </row>
    <row r="685" spans="1:38" ht="17.149999999999999" x14ac:dyDescent="0.55000000000000004">
      <c r="B685" t="str">
        <f t="shared" si="1667"/>
        <v>Portland</v>
      </c>
      <c r="C685" t="s">
        <v>524</v>
      </c>
      <c r="D685">
        <f t="shared" ref="D685:F685" si="1671">AVERAGE(D677:D678)</f>
        <v>503.5</v>
      </c>
      <c r="E685">
        <f t="shared" si="1671"/>
        <v>504.30000000000007</v>
      </c>
      <c r="F685">
        <f t="shared" si="1671"/>
        <v>505.70000000000005</v>
      </c>
      <c r="G685">
        <f>AVERAGE(G677:G678)</f>
        <v>508.2</v>
      </c>
      <c r="H685">
        <f t="shared" ref="H685:P685" si="1672">AVERAGE(H677:H678)</f>
        <v>512.75</v>
      </c>
      <c r="I685">
        <f t="shared" si="1672"/>
        <v>516.55000000000007</v>
      </c>
      <c r="J685">
        <f t="shared" si="1672"/>
        <v>520.04999999999995</v>
      </c>
      <c r="K685">
        <f t="shared" si="1672"/>
        <v>520.5</v>
      </c>
      <c r="L685">
        <f t="shared" si="1672"/>
        <v>518.20000000000005</v>
      </c>
      <c r="M685">
        <f t="shared" si="1672"/>
        <v>512.25</v>
      </c>
      <c r="N685">
        <f t="shared" si="1672"/>
        <v>506.70000000000005</v>
      </c>
      <c r="O685">
        <f t="shared" si="1672"/>
        <v>503.20000000000005</v>
      </c>
      <c r="P685">
        <f t="shared" si="1672"/>
        <v>51.4</v>
      </c>
    </row>
    <row r="686" spans="1:38" ht="17.149999999999999" x14ac:dyDescent="0.55000000000000004">
      <c r="B686" t="str">
        <f t="shared" si="1667"/>
        <v>Portland</v>
      </c>
      <c r="C686" t="s">
        <v>525</v>
      </c>
      <c r="D686" cm="1">
        <f t="array" ref="D686">IFERROR(IF(ISBLANK(INDEX(FX_Input,$R677,D$3*$AK677+$AL677)),D685+0.003*D679*D683,INDEX(FX_Input,$R677,D$3*$AK677+$AL677)+459.6),D685)</f>
        <v>503.75725</v>
      </c>
      <c r="E686" cm="1">
        <f t="array" ref="E686">IFERROR(IF(ISBLANK(INDEX(FX_Input,$R677,E$3*$AK677+$AL677)),E685+0.003*E679*E683,INDEX(FX_Input,$R677,E$3*$AK677+$AL677)+459.6),E685)</f>
        <v>504.75000000000006</v>
      </c>
      <c r="F686" cm="1">
        <f t="array" ref="F686">IFERROR(IF(ISBLANK(INDEX(FX_Input,$R677,F$3*$AK677+$AL677)),F685+0.003*F679*F683,INDEX(FX_Input,$R677,F$3*$AK677+$AL677)+459.6),F685)</f>
        <v>506.35775000000007</v>
      </c>
      <c r="G686" cm="1">
        <f t="array" ref="G686">IFERROR(IF(ISBLANK(INDEX(FX_Input,$R677,G$3*$AK677+$AL677)),G685+0.003*G679*G683,INDEX(FX_Input,$R677,G$3*$AK677+$AL677)+459.6),G685)</f>
        <v>509.13900000000001</v>
      </c>
      <c r="H686" cm="1">
        <f t="array" ref="H686">IFERROR(IF(ISBLANK(INDEX(FX_Input,$R677,H$3*$AK677+$AL677)),H685+0.003*H679*H683,INDEX(FX_Input,$R677,H$3*$AK677+$AL677)+459.6),H685)</f>
        <v>513.90274999999997</v>
      </c>
      <c r="I686" cm="1">
        <f t="array" ref="I686">IFERROR(IF(ISBLANK(INDEX(FX_Input,$R677,I$3*$AK677+$AL677)),I685+0.003*I679*I683,INDEX(FX_Input,$R677,I$3*$AK677+$AL677)+459.6),I685)</f>
        <v>517.77025000000003</v>
      </c>
      <c r="J686" cm="1">
        <f t="array" ref="J686">IFERROR(IF(ISBLANK(INDEX(FX_Input,$R677,J$3*$AK677+$AL677)),J685+0.003*J679*J683,INDEX(FX_Input,$R677,J$3*$AK677+$AL677)+459.6),J685)</f>
        <v>521.3309999999999</v>
      </c>
      <c r="K686" cm="1">
        <f t="array" ref="K686">IFERROR(IF(ISBLANK(INDEX(FX_Input,$R677,K$3*$AK677+$AL677)),K685+0.003*K679*K683,INDEX(FX_Input,$R677,K$3*$AK677+$AL677)+459.6),K685)</f>
        <v>521.61900000000003</v>
      </c>
      <c r="L686" cm="1">
        <f t="array" ref="L686">IFERROR(IF(ISBLANK(INDEX(FX_Input,$R677,L$3*$AK677+$AL677)),L685+0.003*L679*L683,INDEX(FX_Input,$R677,L$3*$AK677+$AL677)+459.6),L685)</f>
        <v>519.09700000000009</v>
      </c>
      <c r="M686" cm="1">
        <f t="array" ref="M686">IFERROR(IF(ISBLANK(INDEX(FX_Input,$R677,M$3*$AK677+$AL677)),M685+0.003*M679*M683,INDEX(FX_Input,$R677,M$3*$AK677+$AL677)+459.6),M685)</f>
        <v>512.79600000000005</v>
      </c>
      <c r="N686" cm="1">
        <f t="array" ref="N686">IFERROR(IF(ISBLANK(INDEX(FX_Input,$R677,N$3*$AK677+$AL677)),N685+0.003*N679*N683,INDEX(FX_Input,$R677,N$3*$AK677+$AL677)+459.6),N685)</f>
        <v>506.99325000000005</v>
      </c>
      <c r="O686" cm="1">
        <f t="array" ref="O686">IFERROR(IF(ISBLANK(INDEX(FX_Input,$R677,O$3*$AK677+$AL677)),O685+0.003*O679*O683,INDEX(FX_Input,$R677,O$3*$AK677+$AL677)+459.6),O685)</f>
        <v>503.42650000000003</v>
      </c>
      <c r="P686" cm="1">
        <f t="array" ref="P686">IFERROR(IF(ISBLANK(INDEX(FX_Input,$R677,P$3*$AK677+$AL677)),P685+0.003*P679*P683,INDEX(FX_Input,$R677,P$3*$AK677+$AL677)+459.6),P685)</f>
        <v>922.6</v>
      </c>
    </row>
    <row r="687" spans="1:38" ht="17.149999999999999" x14ac:dyDescent="0.55000000000000004">
      <c r="B687" t="str">
        <f t="shared" si="1667"/>
        <v>Portland</v>
      </c>
      <c r="C687" t="s">
        <v>526</v>
      </c>
      <c r="D687">
        <f>IF(ISNUMBER(D681),0.4*D677+0.6*D686+0.005*D681*D683,IF(D681="Partially Insulated",0.3*D685+0.7*D686+0.005*D680*D683,D686))-459.6</f>
        <v>42.403099999999938</v>
      </c>
      <c r="E687">
        <f t="shared" ref="E687" si="1673">IF(ISNUMBER(E681),0.4*E677+0.6*E686+0.005*E681*E683,IF(E681="Partially Insulated",0.3*E685+0.7*E686+0.005*E680*E683,E686))-459.6</f>
        <v>43.080000000000041</v>
      </c>
      <c r="F687">
        <f t="shared" ref="F687" si="1674">IF(ISNUMBER(F681),0.4*F677+0.6*F686+0.005*F681*F683,IF(F681="Partially Insulated",0.3*F685+0.7*F686+0.005*F680*F683,F686))-459.6</f>
        <v>44.95089999999999</v>
      </c>
      <c r="G687">
        <f t="shared" ref="G687" si="1675">IF(ISNUMBER(G681),0.4*G677+0.6*G686+0.005*G681*G683,IF(G681="Partially Insulated",0.3*G685+0.7*G686+0.005*G680*G683,G686))-459.6</f>
        <v>48.048400000000015</v>
      </c>
      <c r="H687">
        <f t="shared" ref="H687" si="1676">IF(ISNUMBER(H681),0.4*H677+0.6*H686+0.005*H681*H683,IF(H681="Partially Insulated",0.3*H685+0.7*H686+0.005*H680*H683,H686))-459.6</f>
        <v>53.102899999999977</v>
      </c>
      <c r="I687">
        <f t="shared" ref="I687" si="1677">IF(ISNUMBER(I681),0.4*I677+0.6*I686+0.005*I681*I683,IF(I681="Partially Insulated",0.3*I685+0.7*I686+0.005*I680*I683,I686))-459.6</f>
        <v>57.215900000000033</v>
      </c>
      <c r="J687">
        <f t="shared" ref="J687" si="1678">IF(ISNUMBER(J681),0.4*J677+0.6*J686+0.005*J681*J683,IF(J681="Partially Insulated",0.3*J685+0.7*J686+0.005*J680*J683,J686))-459.6</f>
        <v>60.813599999999838</v>
      </c>
      <c r="K687">
        <f t="shared" ref="K687" si="1679">IF(ISNUMBER(K681),0.4*K677+0.6*K686+0.005*K681*K683,IF(K681="Partially Insulated",0.3*K685+0.7*K686+0.005*K680*K683,K686))-459.6</f>
        <v>60.716400000000021</v>
      </c>
      <c r="L687">
        <f t="shared" ref="L687" si="1680">IF(ISNUMBER(L681),0.4*L677+0.6*L686+0.005*L681*L683,IF(L681="Partially Insulated",0.3*L685+0.7*L686+0.005*L680*L683,L686))-459.6</f>
        <v>57.353200000000015</v>
      </c>
      <c r="M687">
        <f t="shared" ref="M687" si="1681">IF(ISNUMBER(M681),0.4*M677+0.6*M686+0.005*M681*M683,IF(M681="Partially Insulated",0.3*M685+0.7*M686+0.005*M680*M683,M686))-459.6</f>
        <v>50.947600000000079</v>
      </c>
      <c r="N687">
        <f t="shared" ref="N687" si="1682">IF(ISNUMBER(N681),0.4*N677+0.6*N686+0.005*N681*N683,IF(N681="Partially Insulated",0.3*N685+0.7*N686+0.005*N680*N683,N686))-459.6</f>
        <v>45.324700000000007</v>
      </c>
      <c r="O687">
        <f t="shared" ref="O687" si="1683">IF(ISNUMBER(O681),0.4*O677+0.6*O686+0.005*O681*O683,IF(O681="Partially Insulated",0.3*O685+0.7*O686+0.005*O680*O683,O686))-459.6</f>
        <v>42.113400000000013</v>
      </c>
      <c r="P687">
        <f>AVERAGE(D687:O687)</f>
        <v>50.505841666666662</v>
      </c>
    </row>
    <row r="688" spans="1:38" ht="17.149999999999999" x14ac:dyDescent="0.55000000000000004">
      <c r="B688" t="str">
        <f t="shared" si="1667"/>
        <v>Portland</v>
      </c>
      <c r="C688" t="s">
        <v>527</v>
      </c>
      <c r="D688">
        <f>IF(ISNUMBER(D681),0.4*D678+0.6*D686+0.005*D681*D683,IF(D681="Partially Insulated",0.3*D685+0.7*D686+0.005*D680*D683,D686))-459.6</f>
        <v>46.563099999999963</v>
      </c>
      <c r="E688">
        <f t="shared" ref="E688:O688" si="1684">IF(ISNUMBER(E681),0.4*E678+0.6*E686+0.005*E681*E683,IF(E681="Partially Insulated",0.3*E685+0.7*E686+0.005*E680*E683,E686))-459.6</f>
        <v>48.360000000000014</v>
      </c>
      <c r="F688">
        <f t="shared" si="1684"/>
        <v>50.230900000000076</v>
      </c>
      <c r="G688">
        <f t="shared" si="1684"/>
        <v>53.408400000000029</v>
      </c>
      <c r="H688">
        <f t="shared" si="1684"/>
        <v>58.422899999999913</v>
      </c>
      <c r="I688">
        <f t="shared" si="1684"/>
        <v>62.215900000000033</v>
      </c>
      <c r="J688">
        <f t="shared" si="1684"/>
        <v>65.893599999999878</v>
      </c>
      <c r="K688">
        <f t="shared" si="1684"/>
        <v>66.156400000000076</v>
      </c>
      <c r="L688">
        <f t="shared" si="1684"/>
        <v>63.913199999999961</v>
      </c>
      <c r="M688">
        <f t="shared" si="1684"/>
        <v>56.827600000000075</v>
      </c>
      <c r="N688">
        <f t="shared" si="1684"/>
        <v>50.204700000000003</v>
      </c>
      <c r="O688">
        <f t="shared" si="1684"/>
        <v>46.113400000000013</v>
      </c>
      <c r="P688">
        <f>AVERAGE(D688:O688)</f>
        <v>55.692508333333329</v>
      </c>
    </row>
    <row r="689" spans="1:38" ht="17.149999999999999" x14ac:dyDescent="0.55000000000000004">
      <c r="B689" t="str">
        <f t="shared" si="1667"/>
        <v>Portland</v>
      </c>
      <c r="C689" t="s">
        <v>552</v>
      </c>
      <c r="D689">
        <f>IF(ISNUMBER(D681),0.4*D685+0.6*D686+0.005*D681*D683,IF(D681="Partially Insulated",0.3*D685+0.7*D686+0.005*D680*D683,D686))-459.6</f>
        <v>44.483099999999979</v>
      </c>
      <c r="E689">
        <f t="shared" ref="E689:O689" si="1685">IF(ISNUMBER(E681),0.4*E685+0.6*E686+0.005*E681*E683,IF(E681="Partially Insulated",0.3*E685+0.7*E686+0.005*E680*E683,E686))-459.6</f>
        <v>45.720000000000027</v>
      </c>
      <c r="F689">
        <f t="shared" si="1685"/>
        <v>47.590900000000033</v>
      </c>
      <c r="G689">
        <f t="shared" si="1685"/>
        <v>50.728400000000022</v>
      </c>
      <c r="H689">
        <f t="shared" si="1685"/>
        <v>55.762899999999945</v>
      </c>
      <c r="I689">
        <f t="shared" si="1685"/>
        <v>59.715900000000033</v>
      </c>
      <c r="J689">
        <f t="shared" si="1685"/>
        <v>63.353599999999801</v>
      </c>
      <c r="K689">
        <f t="shared" si="1685"/>
        <v>63.436400000000049</v>
      </c>
      <c r="L689">
        <f t="shared" si="1685"/>
        <v>60.633199999999988</v>
      </c>
      <c r="M689">
        <f t="shared" si="1685"/>
        <v>53.88760000000002</v>
      </c>
      <c r="N689">
        <f t="shared" si="1685"/>
        <v>47.764700000000062</v>
      </c>
      <c r="O689">
        <f t="shared" si="1685"/>
        <v>44.113400000000013</v>
      </c>
      <c r="P689">
        <f>AVERAGE(D689:O689)</f>
        <v>53.099175000000002</v>
      </c>
    </row>
    <row r="690" spans="1:38" ht="17.149999999999999" x14ac:dyDescent="0.55000000000000004">
      <c r="A690" s="11"/>
      <c r="B690" s="11" t="str">
        <f t="shared" si="1667"/>
        <v>Portland</v>
      </c>
      <c r="C690" s="11" t="s">
        <v>553</v>
      </c>
      <c r="D690" s="11">
        <f>IF(ISNUMBER(D681),0.7*D685+0.3*D686+0.009*D681*D683,IF(D681="Partially Insulated",0.6*D685+0.4*D686+0.01*D680*D683,D686))-459.6</f>
        <v>44.748924999999986</v>
      </c>
      <c r="E690" s="11">
        <f t="shared" ref="E690:O690" si="1686">IF(ISNUMBER(E681),0.7*E685+0.3*E686+0.009*E681*E683,IF(E681="Partially Insulated",0.6*E685+0.4*E686+0.01*E680*E683,E686))-459.6</f>
        <v>46.185000000000059</v>
      </c>
      <c r="F690" s="11">
        <f t="shared" si="1686"/>
        <v>48.270575000000008</v>
      </c>
      <c r="G690" s="11">
        <f t="shared" si="1686"/>
        <v>51.698699999999917</v>
      </c>
      <c r="H690" s="11">
        <f t="shared" si="1686"/>
        <v>56.954074999999875</v>
      </c>
      <c r="I690" s="11">
        <f t="shared" si="1686"/>
        <v>60.976825000000076</v>
      </c>
      <c r="J690" s="11">
        <f t="shared" si="1686"/>
        <v>64.677299999999832</v>
      </c>
      <c r="K690" s="11">
        <f t="shared" si="1686"/>
        <v>64.592699999999923</v>
      </c>
      <c r="L690" s="11">
        <f t="shared" si="1686"/>
        <v>61.560100000000034</v>
      </c>
      <c r="M690" s="11">
        <f t="shared" si="1686"/>
        <v>54.451800000000048</v>
      </c>
      <c r="N690" s="11">
        <f t="shared" si="1686"/>
        <v>48.067724999999996</v>
      </c>
      <c r="O690" s="11">
        <f t="shared" si="1686"/>
        <v>44.347450000000038</v>
      </c>
      <c r="P690" s="11">
        <f>AVERAGE(D690:O690)</f>
        <v>53.877597916666652</v>
      </c>
      <c r="Q690" s="11"/>
      <c r="R690" s="11"/>
      <c r="S690" s="11"/>
      <c r="T690" s="11"/>
      <c r="U690" s="11"/>
      <c r="V690" s="11"/>
      <c r="W690" s="11"/>
      <c r="X690" s="11"/>
      <c r="Y690" s="11"/>
      <c r="Z690" s="11"/>
      <c r="AA690" s="11"/>
      <c r="AB690" s="11"/>
      <c r="AC690" s="11"/>
      <c r="AD690" s="11"/>
      <c r="AE690" s="11"/>
      <c r="AF690" s="11"/>
      <c r="AG690" s="11"/>
      <c r="AH690" s="11"/>
      <c r="AI690" s="11"/>
      <c r="AJ690" s="11"/>
      <c r="AK690" s="11"/>
      <c r="AL690" s="11"/>
    </row>
    <row r="691" spans="1:38" ht="17.149999999999999" x14ac:dyDescent="0.55000000000000004">
      <c r="A691" t="str" cm="1">
        <f t="array" ref="A691">INDEX(FX_Input,$R691,S$5)</f>
        <v>FX - 50</v>
      </c>
      <c r="B691" t="str" cm="1">
        <f t="array" ref="B691">INDEX(FX_Input,R691,T691)</f>
        <v>Portland</v>
      </c>
      <c r="C691" t="s">
        <v>510</v>
      </c>
      <c r="D691">
        <f t="shared" ref="D691:O692" si="1687">VLOOKUP(VLOOKUP($B691,Terminal_X_Ref,2,FALSE)&amp;$C691,Weather_Data,$Y691*D$3+$Z691,FALSE)+459.6</f>
        <v>498.3</v>
      </c>
      <c r="E691">
        <f t="shared" si="1687"/>
        <v>497.70000000000005</v>
      </c>
      <c r="F691">
        <f t="shared" si="1687"/>
        <v>499.1</v>
      </c>
      <c r="G691">
        <f t="shared" si="1687"/>
        <v>501.5</v>
      </c>
      <c r="H691">
        <f t="shared" si="1687"/>
        <v>506.1</v>
      </c>
      <c r="I691">
        <f t="shared" si="1687"/>
        <v>510.3</v>
      </c>
      <c r="J691">
        <f t="shared" si="1687"/>
        <v>513.70000000000005</v>
      </c>
      <c r="K691">
        <f t="shared" si="1687"/>
        <v>513.70000000000005</v>
      </c>
      <c r="L691">
        <f t="shared" si="1687"/>
        <v>510</v>
      </c>
      <c r="M691">
        <f t="shared" si="1687"/>
        <v>504.90000000000003</v>
      </c>
      <c r="N691">
        <f t="shared" si="1687"/>
        <v>500.6</v>
      </c>
      <c r="O691">
        <f t="shared" si="1687"/>
        <v>498.20000000000005</v>
      </c>
      <c r="P691">
        <f t="shared" ref="P691:P692" si="1688">VLOOKUP(VLOOKUP($B691,Terminal_X_Ref,2,FALSE)&amp;$C691,Weather_Data,$Y691*P$3+$Z691,FALSE)</f>
        <v>44.9</v>
      </c>
      <c r="R691">
        <f>R677+2</f>
        <v>99</v>
      </c>
      <c r="S691">
        <f>S677+1</f>
        <v>50</v>
      </c>
      <c r="T691">
        <v>3</v>
      </c>
      <c r="U691">
        <v>2</v>
      </c>
      <c r="V691">
        <v>3</v>
      </c>
      <c r="W691">
        <v>1</v>
      </c>
      <c r="X691">
        <v>2</v>
      </c>
      <c r="Y691">
        <f>(V691-U691)/(X691-W691)</f>
        <v>1</v>
      </c>
      <c r="Z691">
        <f>U691-Y691*W691</f>
        <v>1</v>
      </c>
      <c r="AA691">
        <f>AA677+1</f>
        <v>50</v>
      </c>
      <c r="AB691">
        <v>6</v>
      </c>
      <c r="AC691">
        <v>3</v>
      </c>
      <c r="AD691">
        <v>13</v>
      </c>
      <c r="AE691">
        <v>12</v>
      </c>
      <c r="AF691">
        <v>14</v>
      </c>
      <c r="AG691">
        <v>77</v>
      </c>
      <c r="AH691">
        <v>78</v>
      </c>
      <c r="AI691">
        <v>1</v>
      </c>
      <c r="AJ691">
        <v>2</v>
      </c>
      <c r="AK691">
        <f>(AH691-AG691)/(AJ691-AI691)</f>
        <v>1</v>
      </c>
      <c r="AL691">
        <f>AG691-AK691*AI691</f>
        <v>76</v>
      </c>
    </row>
    <row r="692" spans="1:38" ht="17.149999999999999" x14ac:dyDescent="0.55000000000000004">
      <c r="B692" t="str">
        <f t="shared" ref="B692" si="1689">B691</f>
        <v>Portland</v>
      </c>
      <c r="C692" t="s">
        <v>511</v>
      </c>
      <c r="D692">
        <f t="shared" si="1687"/>
        <v>508.70000000000005</v>
      </c>
      <c r="E692">
        <f t="shared" si="1687"/>
        <v>510.90000000000003</v>
      </c>
      <c r="F692">
        <f t="shared" si="1687"/>
        <v>512.30000000000007</v>
      </c>
      <c r="G692">
        <f t="shared" si="1687"/>
        <v>514.9</v>
      </c>
      <c r="H692">
        <f t="shared" si="1687"/>
        <v>519.4</v>
      </c>
      <c r="I692">
        <f t="shared" si="1687"/>
        <v>522.80000000000007</v>
      </c>
      <c r="J692">
        <f t="shared" si="1687"/>
        <v>526.4</v>
      </c>
      <c r="K692">
        <f t="shared" si="1687"/>
        <v>527.30000000000007</v>
      </c>
      <c r="L692">
        <f t="shared" si="1687"/>
        <v>526.4</v>
      </c>
      <c r="M692">
        <f t="shared" si="1687"/>
        <v>519.6</v>
      </c>
      <c r="N692">
        <f t="shared" si="1687"/>
        <v>512.80000000000007</v>
      </c>
      <c r="O692">
        <f t="shared" si="1687"/>
        <v>508.20000000000005</v>
      </c>
      <c r="P692">
        <f t="shared" si="1688"/>
        <v>57.9</v>
      </c>
      <c r="U692">
        <f>U691</f>
        <v>2</v>
      </c>
      <c r="V692">
        <f t="shared" ref="V692:Z692" si="1690">V691</f>
        <v>3</v>
      </c>
      <c r="W692">
        <f t="shared" si="1690"/>
        <v>1</v>
      </c>
      <c r="X692">
        <f t="shared" si="1690"/>
        <v>2</v>
      </c>
      <c r="Y692">
        <f t="shared" si="1690"/>
        <v>1</v>
      </c>
      <c r="Z692">
        <f t="shared" si="1690"/>
        <v>1</v>
      </c>
      <c r="AA692">
        <f>AA691</f>
        <v>50</v>
      </c>
      <c r="AB692">
        <f t="shared" ref="AB692:AB695" si="1691">AB691</f>
        <v>6</v>
      </c>
      <c r="AC692">
        <f t="shared" ref="AC692:AF695" si="1692">AC691</f>
        <v>3</v>
      </c>
      <c r="AD692">
        <f t="shared" si="1692"/>
        <v>13</v>
      </c>
      <c r="AE692">
        <f t="shared" si="1692"/>
        <v>12</v>
      </c>
      <c r="AF692">
        <f t="shared" si="1692"/>
        <v>14</v>
      </c>
      <c r="AG692">
        <f t="shared" ref="AG692:AG695" si="1693">AG691</f>
        <v>77</v>
      </c>
      <c r="AH692">
        <f t="shared" ref="AH692:AH695" si="1694">AH691</f>
        <v>78</v>
      </c>
      <c r="AI692">
        <f t="shared" ref="AI692:AI695" si="1695">AI691</f>
        <v>1</v>
      </c>
      <c r="AJ692">
        <f t="shared" ref="AJ692:AJ695" si="1696">AJ691</f>
        <v>2</v>
      </c>
      <c r="AK692">
        <f t="shared" ref="AK692:AK695" si="1697">AK691</f>
        <v>1</v>
      </c>
      <c r="AL692">
        <f t="shared" ref="AL692:AL695" si="1698">AL691</f>
        <v>76</v>
      </c>
    </row>
    <row r="693" spans="1:38" ht="17.149999999999999" x14ac:dyDescent="0.4">
      <c r="B693" t="str">
        <f>B692</f>
        <v>Portland</v>
      </c>
      <c r="C693" s="66" t="s">
        <v>514</v>
      </c>
      <c r="D693" cm="1">
        <f t="array" ref="D693">INDEX(FX_Calcs,$AA693,$AE693)</f>
        <v>0.25</v>
      </c>
      <c r="E693" cm="1">
        <f t="array" ref="E693">INDEX(FX_Calcs,$AA693,$AE693)</f>
        <v>0.25</v>
      </c>
      <c r="F693" cm="1">
        <f t="array" ref="F693">INDEX(FX_Calcs,$AA693,$AE693)</f>
        <v>0.25</v>
      </c>
      <c r="G693" cm="1">
        <f t="array" ref="G693">INDEX(FX_Calcs,$AA693,$AE693)</f>
        <v>0.25</v>
      </c>
      <c r="H693" cm="1">
        <f t="array" ref="H693">INDEX(FX_Calcs,$AA693,$AE693)</f>
        <v>0.25</v>
      </c>
      <c r="I693" cm="1">
        <f t="array" ref="I693">INDEX(FX_Calcs,$AA693,$AE693)</f>
        <v>0.25</v>
      </c>
      <c r="J693" cm="1">
        <f t="array" ref="J693">INDEX(FX_Calcs,$AA693,$AE693)</f>
        <v>0.25</v>
      </c>
      <c r="K693" cm="1">
        <f t="array" ref="K693">INDEX(FX_Calcs,$AA693,$AE693)</f>
        <v>0.25</v>
      </c>
      <c r="L693" cm="1">
        <f t="array" ref="L693">INDEX(FX_Calcs,$AA693,$AE693)</f>
        <v>0.25</v>
      </c>
      <c r="M693" cm="1">
        <f t="array" ref="M693">INDEX(FX_Calcs,$AA693,$AE693)</f>
        <v>0.25</v>
      </c>
      <c r="N693" cm="1">
        <f t="array" ref="N693">INDEX(FX_Calcs,$AA693,$AE693)</f>
        <v>0.25</v>
      </c>
      <c r="O693" cm="1">
        <f t="array" ref="O693">INDEX(FX_Calcs,$AA693,$AE693)</f>
        <v>0.25</v>
      </c>
      <c r="P693" cm="1">
        <f t="array" ref="P693">INDEX(FX_Calcs,$AA693,$AE693)</f>
        <v>0.25</v>
      </c>
      <c r="AA693">
        <f>AA692</f>
        <v>50</v>
      </c>
      <c r="AB693">
        <f t="shared" si="1691"/>
        <v>6</v>
      </c>
      <c r="AC693">
        <f t="shared" si="1692"/>
        <v>3</v>
      </c>
      <c r="AD693">
        <f t="shared" si="1692"/>
        <v>13</v>
      </c>
      <c r="AE693">
        <f t="shared" si="1692"/>
        <v>12</v>
      </c>
      <c r="AF693">
        <f t="shared" si="1692"/>
        <v>14</v>
      </c>
      <c r="AG693">
        <f t="shared" si="1693"/>
        <v>77</v>
      </c>
      <c r="AH693">
        <f t="shared" si="1694"/>
        <v>78</v>
      </c>
      <c r="AI693">
        <f t="shared" si="1695"/>
        <v>1</v>
      </c>
      <c r="AJ693">
        <f t="shared" si="1696"/>
        <v>2</v>
      </c>
      <c r="AK693">
        <f t="shared" si="1697"/>
        <v>1</v>
      </c>
      <c r="AL693">
        <f t="shared" si="1698"/>
        <v>76</v>
      </c>
    </row>
    <row r="694" spans="1:38" ht="17.149999999999999" x14ac:dyDescent="0.4">
      <c r="B694" t="str">
        <f t="shared" ref="B694:B695" si="1699">B693</f>
        <v>Portland</v>
      </c>
      <c r="C694" s="66" t="s">
        <v>513</v>
      </c>
      <c r="D694" cm="1">
        <f t="array" ref="D694">INDEX(FX_Calcs,$AA694,$AD694)</f>
        <v>0.25</v>
      </c>
      <c r="E694" cm="1">
        <f t="array" ref="E694">INDEX(FX_Calcs,$AA694,$AD694)</f>
        <v>0.25</v>
      </c>
      <c r="F694" cm="1">
        <f t="array" ref="F694">INDEX(FX_Calcs,$AA694,$AD694)</f>
        <v>0.25</v>
      </c>
      <c r="G694" cm="1">
        <f t="array" ref="G694">INDEX(FX_Calcs,$AA694,$AD694)</f>
        <v>0.25</v>
      </c>
      <c r="H694" cm="1">
        <f t="array" ref="H694">INDEX(FX_Calcs,$AA694,$AD694)</f>
        <v>0.25</v>
      </c>
      <c r="I694" cm="1">
        <f t="array" ref="I694">INDEX(FX_Calcs,$AA694,$AD694)</f>
        <v>0.25</v>
      </c>
      <c r="J694" cm="1">
        <f t="array" ref="J694">INDEX(FX_Calcs,$AA694,$AD694)</f>
        <v>0.25</v>
      </c>
      <c r="K694" cm="1">
        <f t="array" ref="K694">INDEX(FX_Calcs,$AA694,$AD694)</f>
        <v>0.25</v>
      </c>
      <c r="L694" cm="1">
        <f t="array" ref="L694">INDEX(FX_Calcs,$AA694,$AD694)</f>
        <v>0.25</v>
      </c>
      <c r="M694" cm="1">
        <f t="array" ref="M694">INDEX(FX_Calcs,$AA694,$AD694)</f>
        <v>0.25</v>
      </c>
      <c r="N694" cm="1">
        <f t="array" ref="N694">INDEX(FX_Calcs,$AA694,$AD694)</f>
        <v>0.25</v>
      </c>
      <c r="O694" cm="1">
        <f t="array" ref="O694">INDEX(FX_Calcs,$AA694,$AD694)</f>
        <v>0.25</v>
      </c>
      <c r="P694" cm="1">
        <f t="array" ref="P694">INDEX(FX_Calcs,$AA694,$AD694)</f>
        <v>0.25</v>
      </c>
      <c r="AA694">
        <f>AA693</f>
        <v>50</v>
      </c>
      <c r="AB694">
        <f t="shared" si="1691"/>
        <v>6</v>
      </c>
      <c r="AC694">
        <f t="shared" si="1692"/>
        <v>3</v>
      </c>
      <c r="AD694">
        <f t="shared" si="1692"/>
        <v>13</v>
      </c>
      <c r="AE694">
        <f t="shared" si="1692"/>
        <v>12</v>
      </c>
      <c r="AF694">
        <f t="shared" si="1692"/>
        <v>14</v>
      </c>
      <c r="AG694">
        <f t="shared" si="1693"/>
        <v>77</v>
      </c>
      <c r="AH694">
        <f t="shared" si="1694"/>
        <v>78</v>
      </c>
      <c r="AI694">
        <f t="shared" si="1695"/>
        <v>1</v>
      </c>
      <c r="AJ694">
        <f t="shared" si="1696"/>
        <v>2</v>
      </c>
      <c r="AK694">
        <f t="shared" si="1697"/>
        <v>1</v>
      </c>
      <c r="AL694">
        <f t="shared" si="1698"/>
        <v>76</v>
      </c>
    </row>
    <row r="695" spans="1:38" x14ac:dyDescent="0.4">
      <c r="B695" t="str">
        <f t="shared" si="1699"/>
        <v>Portland</v>
      </c>
      <c r="C695" s="66" t="s">
        <v>558</v>
      </c>
      <c r="D695" cm="1">
        <f t="array" ref="D695">INDEX(FX_Calcs,$AA695,$AF695)</f>
        <v>0.25</v>
      </c>
      <c r="E695" cm="1">
        <f t="array" ref="E695">INDEX(FX_Calcs,$AA695,$AF695)</f>
        <v>0.25</v>
      </c>
      <c r="F695" cm="1">
        <f t="array" ref="F695">INDEX(FX_Calcs,$AA695,$AF695)</f>
        <v>0.25</v>
      </c>
      <c r="G695" cm="1">
        <f t="array" ref="G695">INDEX(FX_Calcs,$AA695,$AF695)</f>
        <v>0.25</v>
      </c>
      <c r="H695" cm="1">
        <f t="array" ref="H695">INDEX(FX_Calcs,$AA695,$AF695)</f>
        <v>0.25</v>
      </c>
      <c r="I695" cm="1">
        <f t="array" ref="I695">INDEX(FX_Calcs,$AA695,$AF695)</f>
        <v>0.25</v>
      </c>
      <c r="J695" cm="1">
        <f t="array" ref="J695">INDEX(FX_Calcs,$AA695,$AF695)</f>
        <v>0.25</v>
      </c>
      <c r="K695" cm="1">
        <f t="array" ref="K695">INDEX(FX_Calcs,$AA695,$AF695)</f>
        <v>0.25</v>
      </c>
      <c r="L695" cm="1">
        <f t="array" ref="L695">INDEX(FX_Calcs,$AA695,$AF695)</f>
        <v>0.25</v>
      </c>
      <c r="M695" cm="1">
        <f t="array" ref="M695">INDEX(FX_Calcs,$AA695,$AF695)</f>
        <v>0.25</v>
      </c>
      <c r="N695" cm="1">
        <f t="array" ref="N695">INDEX(FX_Calcs,$AA695,$AF695)</f>
        <v>0.25</v>
      </c>
      <c r="O695" cm="1">
        <f t="array" ref="O695">INDEX(FX_Calcs,$AA695,$AF695)</f>
        <v>0.25</v>
      </c>
      <c r="P695" cm="1">
        <f t="array" ref="P695">INDEX(FX_Calcs,$AA695,$AF695)</f>
        <v>0.25</v>
      </c>
      <c r="AA695">
        <f>AA694</f>
        <v>50</v>
      </c>
      <c r="AB695">
        <f t="shared" si="1691"/>
        <v>6</v>
      </c>
      <c r="AC695">
        <f t="shared" si="1692"/>
        <v>3</v>
      </c>
      <c r="AD695">
        <f t="shared" si="1692"/>
        <v>13</v>
      </c>
      <c r="AE695">
        <f t="shared" si="1692"/>
        <v>12</v>
      </c>
      <c r="AF695">
        <f t="shared" si="1692"/>
        <v>14</v>
      </c>
      <c r="AG695">
        <f t="shared" si="1693"/>
        <v>77</v>
      </c>
      <c r="AH695">
        <f t="shared" si="1694"/>
        <v>78</v>
      </c>
      <c r="AI695">
        <f t="shared" si="1695"/>
        <v>1</v>
      </c>
      <c r="AJ695">
        <f t="shared" si="1696"/>
        <v>2</v>
      </c>
      <c r="AK695">
        <f t="shared" si="1697"/>
        <v>1</v>
      </c>
      <c r="AL695">
        <f t="shared" si="1698"/>
        <v>76</v>
      </c>
    </row>
    <row r="696" spans="1:38" ht="17.149999999999999" x14ac:dyDescent="0.55000000000000004">
      <c r="B696" t="str">
        <f>B692</f>
        <v>Portland</v>
      </c>
      <c r="C696" t="s">
        <v>512</v>
      </c>
      <c r="D696">
        <f t="shared" ref="D696:P696" si="1700">D692-D691</f>
        <v>10.400000000000034</v>
      </c>
      <c r="E696">
        <f t="shared" si="1700"/>
        <v>13.199999999999989</v>
      </c>
      <c r="F696">
        <f t="shared" si="1700"/>
        <v>13.200000000000045</v>
      </c>
      <c r="G696">
        <f t="shared" si="1700"/>
        <v>13.399999999999977</v>
      </c>
      <c r="H696">
        <f t="shared" si="1700"/>
        <v>13.299999999999955</v>
      </c>
      <c r="I696">
        <f t="shared" si="1700"/>
        <v>12.500000000000057</v>
      </c>
      <c r="J696">
        <f t="shared" si="1700"/>
        <v>12.699999999999932</v>
      </c>
      <c r="K696">
        <f t="shared" si="1700"/>
        <v>13.600000000000023</v>
      </c>
      <c r="L696">
        <f t="shared" si="1700"/>
        <v>16.399999999999977</v>
      </c>
      <c r="M696">
        <f t="shared" si="1700"/>
        <v>14.699999999999989</v>
      </c>
      <c r="N696">
        <f t="shared" si="1700"/>
        <v>12.200000000000045</v>
      </c>
      <c r="O696">
        <f t="shared" si="1700"/>
        <v>10</v>
      </c>
      <c r="P696">
        <f t="shared" si="1700"/>
        <v>13</v>
      </c>
    </row>
    <row r="697" spans="1:38" x14ac:dyDescent="0.4">
      <c r="B697" t="str">
        <f t="shared" ref="B697:B704" si="1701">B696</f>
        <v>Portland</v>
      </c>
      <c r="C697" t="s">
        <v>260</v>
      </c>
      <c r="D697">
        <f t="shared" ref="D697:P697" si="1702">VLOOKUP(VLOOKUP($B697,Terminal_X_Ref,2,FALSE)&amp;$C697,Weather_Data,$Y697*D$3+$Z697,FALSE)</f>
        <v>343</v>
      </c>
      <c r="E697">
        <f t="shared" si="1702"/>
        <v>600</v>
      </c>
      <c r="F697">
        <f t="shared" si="1702"/>
        <v>877</v>
      </c>
      <c r="G697">
        <f t="shared" si="1702"/>
        <v>1252</v>
      </c>
      <c r="H697">
        <f t="shared" si="1702"/>
        <v>1537</v>
      </c>
      <c r="I697">
        <f t="shared" si="1702"/>
        <v>1627</v>
      </c>
      <c r="J697">
        <f t="shared" si="1702"/>
        <v>1708</v>
      </c>
      <c r="K697">
        <f t="shared" si="1702"/>
        <v>1492</v>
      </c>
      <c r="L697">
        <f t="shared" si="1702"/>
        <v>1196</v>
      </c>
      <c r="M697">
        <f t="shared" si="1702"/>
        <v>728</v>
      </c>
      <c r="N697">
        <f t="shared" si="1702"/>
        <v>391</v>
      </c>
      <c r="O697">
        <f t="shared" si="1702"/>
        <v>302</v>
      </c>
      <c r="P697">
        <f t="shared" si="1702"/>
        <v>1005</v>
      </c>
      <c r="U697">
        <f>U692</f>
        <v>2</v>
      </c>
      <c r="V697">
        <f t="shared" ref="V697:Z697" si="1703">V692</f>
        <v>3</v>
      </c>
      <c r="W697">
        <f t="shared" si="1703"/>
        <v>1</v>
      </c>
      <c r="X697">
        <f t="shared" si="1703"/>
        <v>2</v>
      </c>
      <c r="Y697">
        <f t="shared" si="1703"/>
        <v>1</v>
      </c>
      <c r="Z697">
        <f t="shared" si="1703"/>
        <v>1</v>
      </c>
    </row>
    <row r="698" spans="1:38" ht="17.149999999999999" x14ac:dyDescent="0.55000000000000004">
      <c r="B698" t="str">
        <f t="shared" si="1701"/>
        <v>Portland</v>
      </c>
      <c r="C698" t="s">
        <v>523</v>
      </c>
      <c r="D698">
        <f>IF(ISNUMBER(D695),0.7*D696+0.02*D695*D697,IF(D695="Partially Insulated",0.6*D696+0.02*D694*D697,0))</f>
        <v>8.9950000000000241</v>
      </c>
      <c r="E698">
        <f t="shared" ref="E698:P698" si="1704">IF(ISNUMBER(E695),0.7*E696+0.02*E695*E697,IF(E695="Partially Insulated",0.6*E696+0.02*E694*E697,0))</f>
        <v>12.239999999999991</v>
      </c>
      <c r="F698">
        <f t="shared" si="1704"/>
        <v>13.62500000000003</v>
      </c>
      <c r="G698">
        <f t="shared" si="1704"/>
        <v>15.639999999999983</v>
      </c>
      <c r="H698">
        <f t="shared" si="1704"/>
        <v>16.994999999999969</v>
      </c>
      <c r="I698">
        <f t="shared" si="1704"/>
        <v>16.885000000000041</v>
      </c>
      <c r="J698">
        <f t="shared" si="1704"/>
        <v>17.42999999999995</v>
      </c>
      <c r="K698">
        <f t="shared" si="1704"/>
        <v>16.980000000000015</v>
      </c>
      <c r="L698">
        <f t="shared" si="1704"/>
        <v>17.459999999999983</v>
      </c>
      <c r="M698">
        <f t="shared" si="1704"/>
        <v>13.929999999999993</v>
      </c>
      <c r="N698">
        <f t="shared" si="1704"/>
        <v>10.495000000000031</v>
      </c>
      <c r="O698">
        <f t="shared" si="1704"/>
        <v>8.51</v>
      </c>
      <c r="P698">
        <f t="shared" si="1704"/>
        <v>14.125</v>
      </c>
    </row>
    <row r="699" spans="1:38" ht="17.149999999999999" x14ac:dyDescent="0.55000000000000004">
      <c r="B699" t="str">
        <f t="shared" si="1701"/>
        <v>Portland</v>
      </c>
      <c r="C699" t="s">
        <v>524</v>
      </c>
      <c r="D699">
        <f t="shared" ref="D699:F699" si="1705">AVERAGE(D691:D692)</f>
        <v>503.5</v>
      </c>
      <c r="E699">
        <f t="shared" si="1705"/>
        <v>504.30000000000007</v>
      </c>
      <c r="F699">
        <f t="shared" si="1705"/>
        <v>505.70000000000005</v>
      </c>
      <c r="G699">
        <f>AVERAGE(G691:G692)</f>
        <v>508.2</v>
      </c>
      <c r="H699">
        <f t="shared" ref="H699:P699" si="1706">AVERAGE(H691:H692)</f>
        <v>512.75</v>
      </c>
      <c r="I699">
        <f t="shared" si="1706"/>
        <v>516.55000000000007</v>
      </c>
      <c r="J699">
        <f t="shared" si="1706"/>
        <v>520.04999999999995</v>
      </c>
      <c r="K699">
        <f t="shared" si="1706"/>
        <v>520.5</v>
      </c>
      <c r="L699">
        <f t="shared" si="1706"/>
        <v>518.20000000000005</v>
      </c>
      <c r="M699">
        <f t="shared" si="1706"/>
        <v>512.25</v>
      </c>
      <c r="N699">
        <f t="shared" si="1706"/>
        <v>506.70000000000005</v>
      </c>
      <c r="O699">
        <f t="shared" si="1706"/>
        <v>503.20000000000005</v>
      </c>
      <c r="P699">
        <f t="shared" si="1706"/>
        <v>51.4</v>
      </c>
    </row>
    <row r="700" spans="1:38" ht="17.149999999999999" x14ac:dyDescent="0.55000000000000004">
      <c r="B700" t="str">
        <f t="shared" si="1701"/>
        <v>Portland</v>
      </c>
      <c r="C700" t="s">
        <v>525</v>
      </c>
      <c r="D700" cm="1">
        <f t="array" ref="D700">IFERROR(IF(ISBLANK(INDEX(FX_Input,$R691,D$3*$AK691+$AL691)),D699+0.003*D693*D697,INDEX(FX_Input,$R691,D$3*$AK691+$AL691)+459.6),D699)</f>
        <v>503.75725</v>
      </c>
      <c r="E700" cm="1">
        <f t="array" ref="E700">IFERROR(IF(ISBLANK(INDEX(FX_Input,$R691,E$3*$AK691+$AL691)),E699+0.003*E693*E697,INDEX(FX_Input,$R691,E$3*$AK691+$AL691)+459.6),E699)</f>
        <v>504.75000000000006</v>
      </c>
      <c r="F700" cm="1">
        <f t="array" ref="F700">IFERROR(IF(ISBLANK(INDEX(FX_Input,$R691,F$3*$AK691+$AL691)),F699+0.003*F693*F697,INDEX(FX_Input,$R691,F$3*$AK691+$AL691)+459.6),F699)</f>
        <v>506.35775000000007</v>
      </c>
      <c r="G700" cm="1">
        <f t="array" ref="G700">IFERROR(IF(ISBLANK(INDEX(FX_Input,$R691,G$3*$AK691+$AL691)),G699+0.003*G693*G697,INDEX(FX_Input,$R691,G$3*$AK691+$AL691)+459.6),G699)</f>
        <v>509.13900000000001</v>
      </c>
      <c r="H700" cm="1">
        <f t="array" ref="H700">IFERROR(IF(ISBLANK(INDEX(FX_Input,$R691,H$3*$AK691+$AL691)),H699+0.003*H693*H697,INDEX(FX_Input,$R691,H$3*$AK691+$AL691)+459.6),H699)</f>
        <v>513.90274999999997</v>
      </c>
      <c r="I700" cm="1">
        <f t="array" ref="I700">IFERROR(IF(ISBLANK(INDEX(FX_Input,$R691,I$3*$AK691+$AL691)),I699+0.003*I693*I697,INDEX(FX_Input,$R691,I$3*$AK691+$AL691)+459.6),I699)</f>
        <v>517.77025000000003</v>
      </c>
      <c r="J700" cm="1">
        <f t="array" ref="J700">IFERROR(IF(ISBLANK(INDEX(FX_Input,$R691,J$3*$AK691+$AL691)),J699+0.003*J693*J697,INDEX(FX_Input,$R691,J$3*$AK691+$AL691)+459.6),J699)</f>
        <v>521.3309999999999</v>
      </c>
      <c r="K700" cm="1">
        <f t="array" ref="K700">IFERROR(IF(ISBLANK(INDEX(FX_Input,$R691,K$3*$AK691+$AL691)),K699+0.003*K693*K697,INDEX(FX_Input,$R691,K$3*$AK691+$AL691)+459.6),K699)</f>
        <v>521.61900000000003</v>
      </c>
      <c r="L700" cm="1">
        <f t="array" ref="L700">IFERROR(IF(ISBLANK(INDEX(FX_Input,$R691,L$3*$AK691+$AL691)),L699+0.003*L693*L697,INDEX(FX_Input,$R691,L$3*$AK691+$AL691)+459.6),L699)</f>
        <v>519.09700000000009</v>
      </c>
      <c r="M700" cm="1">
        <f t="array" ref="M700">IFERROR(IF(ISBLANK(INDEX(FX_Input,$R691,M$3*$AK691+$AL691)),M699+0.003*M693*M697,INDEX(FX_Input,$R691,M$3*$AK691+$AL691)+459.6),M699)</f>
        <v>512.79600000000005</v>
      </c>
      <c r="N700" cm="1">
        <f t="array" ref="N700">IFERROR(IF(ISBLANK(INDEX(FX_Input,$R691,N$3*$AK691+$AL691)),N699+0.003*N693*N697,INDEX(FX_Input,$R691,N$3*$AK691+$AL691)+459.6),N699)</f>
        <v>506.99325000000005</v>
      </c>
      <c r="O700" cm="1">
        <f t="array" ref="O700">IFERROR(IF(ISBLANK(INDEX(FX_Input,$R691,O$3*$AK691+$AL691)),O699+0.003*O693*O697,INDEX(FX_Input,$R691,O$3*$AK691+$AL691)+459.6),O699)</f>
        <v>503.42650000000003</v>
      </c>
      <c r="P700" cm="1">
        <f t="array" ref="P700">IFERROR(IF(ISBLANK(INDEX(FX_Input,$R691,P$3*$AK691+$AL691)),P699+0.003*P693*P697,INDEX(FX_Input,$R691,P$3*$AK691+$AL691)+459.6),P699)</f>
        <v>922.6</v>
      </c>
    </row>
    <row r="701" spans="1:38" ht="17.149999999999999" x14ac:dyDescent="0.55000000000000004">
      <c r="B701" t="str">
        <f t="shared" si="1701"/>
        <v>Portland</v>
      </c>
      <c r="C701" t="s">
        <v>526</v>
      </c>
      <c r="D701">
        <f>IF(ISNUMBER(D695),0.4*D691+0.6*D700+0.005*D695*D697,IF(D695="Partially Insulated",0.3*D699+0.7*D700+0.005*D694*D697,D700))-459.6</f>
        <v>42.403099999999938</v>
      </c>
      <c r="E701">
        <f t="shared" ref="E701" si="1707">IF(ISNUMBER(E695),0.4*E691+0.6*E700+0.005*E695*E697,IF(E695="Partially Insulated",0.3*E699+0.7*E700+0.005*E694*E697,E700))-459.6</f>
        <v>43.080000000000041</v>
      </c>
      <c r="F701">
        <f t="shared" ref="F701" si="1708">IF(ISNUMBER(F695),0.4*F691+0.6*F700+0.005*F695*F697,IF(F695="Partially Insulated",0.3*F699+0.7*F700+0.005*F694*F697,F700))-459.6</f>
        <v>44.95089999999999</v>
      </c>
      <c r="G701">
        <f t="shared" ref="G701" si="1709">IF(ISNUMBER(G695),0.4*G691+0.6*G700+0.005*G695*G697,IF(G695="Partially Insulated",0.3*G699+0.7*G700+0.005*G694*G697,G700))-459.6</f>
        <v>48.048400000000015</v>
      </c>
      <c r="H701">
        <f t="shared" ref="H701" si="1710">IF(ISNUMBER(H695),0.4*H691+0.6*H700+0.005*H695*H697,IF(H695="Partially Insulated",0.3*H699+0.7*H700+0.005*H694*H697,H700))-459.6</f>
        <v>53.102899999999977</v>
      </c>
      <c r="I701">
        <f t="shared" ref="I701" si="1711">IF(ISNUMBER(I695),0.4*I691+0.6*I700+0.005*I695*I697,IF(I695="Partially Insulated",0.3*I699+0.7*I700+0.005*I694*I697,I700))-459.6</f>
        <v>57.215900000000033</v>
      </c>
      <c r="J701">
        <f t="shared" ref="J701" si="1712">IF(ISNUMBER(J695),0.4*J691+0.6*J700+0.005*J695*J697,IF(J695="Partially Insulated",0.3*J699+0.7*J700+0.005*J694*J697,J700))-459.6</f>
        <v>60.813599999999838</v>
      </c>
      <c r="K701">
        <f t="shared" ref="K701" si="1713">IF(ISNUMBER(K695),0.4*K691+0.6*K700+0.005*K695*K697,IF(K695="Partially Insulated",0.3*K699+0.7*K700+0.005*K694*K697,K700))-459.6</f>
        <v>60.716400000000021</v>
      </c>
      <c r="L701">
        <f t="shared" ref="L701" si="1714">IF(ISNUMBER(L695),0.4*L691+0.6*L700+0.005*L695*L697,IF(L695="Partially Insulated",0.3*L699+0.7*L700+0.005*L694*L697,L700))-459.6</f>
        <v>57.353200000000015</v>
      </c>
      <c r="M701">
        <f t="shared" ref="M701" si="1715">IF(ISNUMBER(M695),0.4*M691+0.6*M700+0.005*M695*M697,IF(M695="Partially Insulated",0.3*M699+0.7*M700+0.005*M694*M697,M700))-459.6</f>
        <v>50.947600000000079</v>
      </c>
      <c r="N701">
        <f t="shared" ref="N701" si="1716">IF(ISNUMBER(N695),0.4*N691+0.6*N700+0.005*N695*N697,IF(N695="Partially Insulated",0.3*N699+0.7*N700+0.005*N694*N697,N700))-459.6</f>
        <v>45.324700000000007</v>
      </c>
      <c r="O701">
        <f t="shared" ref="O701" si="1717">IF(ISNUMBER(O695),0.4*O691+0.6*O700+0.005*O695*O697,IF(O695="Partially Insulated",0.3*O699+0.7*O700+0.005*O694*O697,O700))-459.6</f>
        <v>42.113400000000013</v>
      </c>
      <c r="P701">
        <f>AVERAGE(D701:O701)</f>
        <v>50.505841666666662</v>
      </c>
    </row>
    <row r="702" spans="1:38" ht="17.149999999999999" x14ac:dyDescent="0.55000000000000004">
      <c r="B702" t="str">
        <f t="shared" si="1701"/>
        <v>Portland</v>
      </c>
      <c r="C702" t="s">
        <v>527</v>
      </c>
      <c r="D702">
        <f>IF(ISNUMBER(D695),0.4*D692+0.6*D700+0.005*D695*D697,IF(D695="Partially Insulated",0.3*D699+0.7*D700+0.005*D694*D697,D700))-459.6</f>
        <v>46.563099999999963</v>
      </c>
      <c r="E702">
        <f t="shared" ref="E702:O702" si="1718">IF(ISNUMBER(E695),0.4*E692+0.6*E700+0.005*E695*E697,IF(E695="Partially Insulated",0.3*E699+0.7*E700+0.005*E694*E697,E700))-459.6</f>
        <v>48.360000000000014</v>
      </c>
      <c r="F702">
        <f t="shared" si="1718"/>
        <v>50.230900000000076</v>
      </c>
      <c r="G702">
        <f t="shared" si="1718"/>
        <v>53.408400000000029</v>
      </c>
      <c r="H702">
        <f t="shared" si="1718"/>
        <v>58.422899999999913</v>
      </c>
      <c r="I702">
        <f t="shared" si="1718"/>
        <v>62.215900000000033</v>
      </c>
      <c r="J702">
        <f t="shared" si="1718"/>
        <v>65.893599999999878</v>
      </c>
      <c r="K702">
        <f t="shared" si="1718"/>
        <v>66.156400000000076</v>
      </c>
      <c r="L702">
        <f t="shared" si="1718"/>
        <v>63.913199999999961</v>
      </c>
      <c r="M702">
        <f t="shared" si="1718"/>
        <v>56.827600000000075</v>
      </c>
      <c r="N702">
        <f t="shared" si="1718"/>
        <v>50.204700000000003</v>
      </c>
      <c r="O702">
        <f t="shared" si="1718"/>
        <v>46.113400000000013</v>
      </c>
      <c r="P702">
        <f>AVERAGE(D702:O702)</f>
        <v>55.692508333333329</v>
      </c>
    </row>
    <row r="703" spans="1:38" ht="17.149999999999999" x14ac:dyDescent="0.55000000000000004">
      <c r="B703" t="str">
        <f t="shared" si="1701"/>
        <v>Portland</v>
      </c>
      <c r="C703" t="s">
        <v>552</v>
      </c>
      <c r="D703">
        <f>IF(ISNUMBER(D695),0.4*D699+0.6*D700+0.005*D695*D697,IF(D695="Partially Insulated",0.3*D699+0.7*D700+0.005*D694*D697,D700))-459.6</f>
        <v>44.483099999999979</v>
      </c>
      <c r="E703">
        <f t="shared" ref="E703:O703" si="1719">IF(ISNUMBER(E695),0.4*E699+0.6*E700+0.005*E695*E697,IF(E695="Partially Insulated",0.3*E699+0.7*E700+0.005*E694*E697,E700))-459.6</f>
        <v>45.720000000000027</v>
      </c>
      <c r="F703">
        <f t="shared" si="1719"/>
        <v>47.590900000000033</v>
      </c>
      <c r="G703">
        <f t="shared" si="1719"/>
        <v>50.728400000000022</v>
      </c>
      <c r="H703">
        <f t="shared" si="1719"/>
        <v>55.762899999999945</v>
      </c>
      <c r="I703">
        <f t="shared" si="1719"/>
        <v>59.715900000000033</v>
      </c>
      <c r="J703">
        <f t="shared" si="1719"/>
        <v>63.353599999999801</v>
      </c>
      <c r="K703">
        <f t="shared" si="1719"/>
        <v>63.436400000000049</v>
      </c>
      <c r="L703">
        <f t="shared" si="1719"/>
        <v>60.633199999999988</v>
      </c>
      <c r="M703">
        <f t="shared" si="1719"/>
        <v>53.88760000000002</v>
      </c>
      <c r="N703">
        <f t="shared" si="1719"/>
        <v>47.764700000000062</v>
      </c>
      <c r="O703">
        <f t="shared" si="1719"/>
        <v>44.113400000000013</v>
      </c>
      <c r="P703">
        <f>AVERAGE(D703:O703)</f>
        <v>53.099175000000002</v>
      </c>
    </row>
    <row r="704" spans="1:38" ht="17.149999999999999" x14ac:dyDescent="0.55000000000000004">
      <c r="A704" s="11"/>
      <c r="B704" s="11" t="str">
        <f t="shared" si="1701"/>
        <v>Portland</v>
      </c>
      <c r="C704" s="11" t="s">
        <v>553</v>
      </c>
      <c r="D704" s="11">
        <f>IF(ISNUMBER(D695),0.7*D699+0.3*D700+0.009*D695*D697,IF(D695="Partially Insulated",0.6*D699+0.4*D700+0.01*D694*D697,D700))-459.6</f>
        <v>44.748924999999986</v>
      </c>
      <c r="E704" s="11">
        <f t="shared" ref="E704:O704" si="1720">IF(ISNUMBER(E695),0.7*E699+0.3*E700+0.009*E695*E697,IF(E695="Partially Insulated",0.6*E699+0.4*E700+0.01*E694*E697,E700))-459.6</f>
        <v>46.185000000000059</v>
      </c>
      <c r="F704" s="11">
        <f t="shared" si="1720"/>
        <v>48.270575000000008</v>
      </c>
      <c r="G704" s="11">
        <f t="shared" si="1720"/>
        <v>51.698699999999917</v>
      </c>
      <c r="H704" s="11">
        <f t="shared" si="1720"/>
        <v>56.954074999999875</v>
      </c>
      <c r="I704" s="11">
        <f t="shared" si="1720"/>
        <v>60.976825000000076</v>
      </c>
      <c r="J704" s="11">
        <f t="shared" si="1720"/>
        <v>64.677299999999832</v>
      </c>
      <c r="K704" s="11">
        <f t="shared" si="1720"/>
        <v>64.592699999999923</v>
      </c>
      <c r="L704" s="11">
        <f t="shared" si="1720"/>
        <v>61.560100000000034</v>
      </c>
      <c r="M704" s="11">
        <f t="shared" si="1720"/>
        <v>54.451800000000048</v>
      </c>
      <c r="N704" s="11">
        <f t="shared" si="1720"/>
        <v>48.067724999999996</v>
      </c>
      <c r="O704" s="11">
        <f t="shared" si="1720"/>
        <v>44.347450000000038</v>
      </c>
      <c r="P704" s="11">
        <f>AVERAGE(D704:O704)</f>
        <v>53.877597916666652</v>
      </c>
      <c r="Q704" s="11"/>
      <c r="R704" s="11"/>
      <c r="S704" s="11"/>
      <c r="T704" s="11"/>
      <c r="U704" s="11"/>
      <c r="V704" s="11"/>
      <c r="W704" s="11"/>
      <c r="X704" s="11"/>
      <c r="Y704" s="11"/>
      <c r="Z704" s="11"/>
      <c r="AA704" s="11"/>
      <c r="AB704" s="11"/>
      <c r="AC704" s="11"/>
      <c r="AD704" s="11"/>
      <c r="AE704" s="11"/>
      <c r="AF704" s="11"/>
      <c r="AG704" s="11"/>
      <c r="AH704" s="11"/>
      <c r="AI704" s="11"/>
      <c r="AJ704" s="11"/>
      <c r="AK704" s="11"/>
      <c r="AL704" s="11"/>
    </row>
    <row r="705" spans="1:38" ht="17.149999999999999" x14ac:dyDescent="0.55000000000000004">
      <c r="A705" t="str" cm="1">
        <f t="array" ref="A705">INDEX(FX_Input,$R705,S$5)</f>
        <v>FX - 51</v>
      </c>
      <c r="B705" t="str" cm="1">
        <f t="array" ref="B705">INDEX(FX_Input,R705,T705)</f>
        <v>Portland</v>
      </c>
      <c r="C705" t="s">
        <v>510</v>
      </c>
      <c r="D705">
        <f t="shared" ref="D705:O706" si="1721">VLOOKUP(VLOOKUP($B705,Terminal_X_Ref,2,FALSE)&amp;$C705,Weather_Data,$Y705*D$3+$Z705,FALSE)+459.6</f>
        <v>498.3</v>
      </c>
      <c r="E705">
        <f t="shared" si="1721"/>
        <v>497.70000000000005</v>
      </c>
      <c r="F705">
        <f t="shared" si="1721"/>
        <v>499.1</v>
      </c>
      <c r="G705">
        <f t="shared" si="1721"/>
        <v>501.5</v>
      </c>
      <c r="H705">
        <f t="shared" si="1721"/>
        <v>506.1</v>
      </c>
      <c r="I705">
        <f t="shared" si="1721"/>
        <v>510.3</v>
      </c>
      <c r="J705">
        <f t="shared" si="1721"/>
        <v>513.70000000000005</v>
      </c>
      <c r="K705">
        <f t="shared" si="1721"/>
        <v>513.70000000000005</v>
      </c>
      <c r="L705">
        <f t="shared" si="1721"/>
        <v>510</v>
      </c>
      <c r="M705">
        <f t="shared" si="1721"/>
        <v>504.90000000000003</v>
      </c>
      <c r="N705">
        <f t="shared" si="1721"/>
        <v>500.6</v>
      </c>
      <c r="O705">
        <f t="shared" si="1721"/>
        <v>498.20000000000005</v>
      </c>
      <c r="P705">
        <f t="shared" ref="P705:P706" si="1722">VLOOKUP(VLOOKUP($B705,Terminal_X_Ref,2,FALSE)&amp;$C705,Weather_Data,$Y705*P$3+$Z705,FALSE)</f>
        <v>44.9</v>
      </c>
      <c r="R705">
        <f>R691+2</f>
        <v>101</v>
      </c>
      <c r="S705">
        <f>S691+1</f>
        <v>51</v>
      </c>
      <c r="T705">
        <v>3</v>
      </c>
      <c r="U705">
        <v>2</v>
      </c>
      <c r="V705">
        <v>3</v>
      </c>
      <c r="W705">
        <v>1</v>
      </c>
      <c r="X705">
        <v>2</v>
      </c>
      <c r="Y705">
        <f>(V705-U705)/(X705-W705)</f>
        <v>1</v>
      </c>
      <c r="Z705">
        <f>U705-Y705*W705</f>
        <v>1</v>
      </c>
      <c r="AA705">
        <f>AA691+1</f>
        <v>51</v>
      </c>
      <c r="AB705">
        <v>6</v>
      </c>
      <c r="AC705">
        <v>3</v>
      </c>
      <c r="AD705">
        <v>13</v>
      </c>
      <c r="AE705">
        <v>12</v>
      </c>
      <c r="AF705">
        <v>14</v>
      </c>
      <c r="AG705">
        <v>77</v>
      </c>
      <c r="AH705">
        <v>78</v>
      </c>
      <c r="AI705">
        <v>1</v>
      </c>
      <c r="AJ705">
        <v>2</v>
      </c>
      <c r="AK705">
        <f>(AH705-AG705)/(AJ705-AI705)</f>
        <v>1</v>
      </c>
      <c r="AL705">
        <f>AG705-AK705*AI705</f>
        <v>76</v>
      </c>
    </row>
    <row r="706" spans="1:38" ht="17.149999999999999" x14ac:dyDescent="0.55000000000000004">
      <c r="B706" t="str">
        <f t="shared" ref="B706" si="1723">B705</f>
        <v>Portland</v>
      </c>
      <c r="C706" t="s">
        <v>511</v>
      </c>
      <c r="D706">
        <f t="shared" si="1721"/>
        <v>508.70000000000005</v>
      </c>
      <c r="E706">
        <f t="shared" si="1721"/>
        <v>510.90000000000003</v>
      </c>
      <c r="F706">
        <f t="shared" si="1721"/>
        <v>512.30000000000007</v>
      </c>
      <c r="G706">
        <f t="shared" si="1721"/>
        <v>514.9</v>
      </c>
      <c r="H706">
        <f t="shared" si="1721"/>
        <v>519.4</v>
      </c>
      <c r="I706">
        <f t="shared" si="1721"/>
        <v>522.80000000000007</v>
      </c>
      <c r="J706">
        <f t="shared" si="1721"/>
        <v>526.4</v>
      </c>
      <c r="K706">
        <f t="shared" si="1721"/>
        <v>527.30000000000007</v>
      </c>
      <c r="L706">
        <f t="shared" si="1721"/>
        <v>526.4</v>
      </c>
      <c r="M706">
        <f t="shared" si="1721"/>
        <v>519.6</v>
      </c>
      <c r="N706">
        <f t="shared" si="1721"/>
        <v>512.80000000000007</v>
      </c>
      <c r="O706">
        <f t="shared" si="1721"/>
        <v>508.20000000000005</v>
      </c>
      <c r="P706">
        <f t="shared" si="1722"/>
        <v>57.9</v>
      </c>
      <c r="U706">
        <f>U705</f>
        <v>2</v>
      </c>
      <c r="V706">
        <f t="shared" ref="V706:Z706" si="1724">V705</f>
        <v>3</v>
      </c>
      <c r="W706">
        <f t="shared" si="1724"/>
        <v>1</v>
      </c>
      <c r="X706">
        <f t="shared" si="1724"/>
        <v>2</v>
      </c>
      <c r="Y706">
        <f t="shared" si="1724"/>
        <v>1</v>
      </c>
      <c r="Z706">
        <f t="shared" si="1724"/>
        <v>1</v>
      </c>
      <c r="AA706">
        <f>AA705</f>
        <v>51</v>
      </c>
      <c r="AB706">
        <f t="shared" ref="AB706:AB709" si="1725">AB705</f>
        <v>6</v>
      </c>
      <c r="AC706">
        <f t="shared" ref="AC706:AF709" si="1726">AC705</f>
        <v>3</v>
      </c>
      <c r="AD706">
        <f t="shared" si="1726"/>
        <v>13</v>
      </c>
      <c r="AE706">
        <f t="shared" si="1726"/>
        <v>12</v>
      </c>
      <c r="AF706">
        <f t="shared" si="1726"/>
        <v>14</v>
      </c>
      <c r="AG706">
        <f t="shared" ref="AG706:AG709" si="1727">AG705</f>
        <v>77</v>
      </c>
      <c r="AH706">
        <f t="shared" ref="AH706:AH709" si="1728">AH705</f>
        <v>78</v>
      </c>
      <c r="AI706">
        <f t="shared" ref="AI706:AI709" si="1729">AI705</f>
        <v>1</v>
      </c>
      <c r="AJ706">
        <f t="shared" ref="AJ706:AJ709" si="1730">AJ705</f>
        <v>2</v>
      </c>
      <c r="AK706">
        <f t="shared" ref="AK706:AK709" si="1731">AK705</f>
        <v>1</v>
      </c>
      <c r="AL706">
        <f t="shared" ref="AL706:AL709" si="1732">AL705</f>
        <v>76</v>
      </c>
    </row>
    <row r="707" spans="1:38" ht="17.149999999999999" x14ac:dyDescent="0.4">
      <c r="B707" t="str">
        <f>B706</f>
        <v>Portland</v>
      </c>
      <c r="C707" s="66" t="s">
        <v>514</v>
      </c>
      <c r="D707" t="str" cm="1">
        <f t="array" ref="D707">INDEX(FX_Calcs,$AA707,$AE707)</f>
        <v>N/A</v>
      </c>
      <c r="E707" t="str" cm="1">
        <f t="array" ref="E707">INDEX(FX_Calcs,$AA707,$AE707)</f>
        <v>N/A</v>
      </c>
      <c r="F707" t="str" cm="1">
        <f t="array" ref="F707">INDEX(FX_Calcs,$AA707,$AE707)</f>
        <v>N/A</v>
      </c>
      <c r="G707" t="str" cm="1">
        <f t="array" ref="G707">INDEX(FX_Calcs,$AA707,$AE707)</f>
        <v>N/A</v>
      </c>
      <c r="H707" t="str" cm="1">
        <f t="array" ref="H707">INDEX(FX_Calcs,$AA707,$AE707)</f>
        <v>N/A</v>
      </c>
      <c r="I707" t="str" cm="1">
        <f t="array" ref="I707">INDEX(FX_Calcs,$AA707,$AE707)</f>
        <v>N/A</v>
      </c>
      <c r="J707" t="str" cm="1">
        <f t="array" ref="J707">INDEX(FX_Calcs,$AA707,$AE707)</f>
        <v>N/A</v>
      </c>
      <c r="K707" t="str" cm="1">
        <f t="array" ref="K707">INDEX(FX_Calcs,$AA707,$AE707)</f>
        <v>N/A</v>
      </c>
      <c r="L707" t="str" cm="1">
        <f t="array" ref="L707">INDEX(FX_Calcs,$AA707,$AE707)</f>
        <v>N/A</v>
      </c>
      <c r="M707" t="str" cm="1">
        <f t="array" ref="M707">INDEX(FX_Calcs,$AA707,$AE707)</f>
        <v>N/A</v>
      </c>
      <c r="N707" t="str" cm="1">
        <f t="array" ref="N707">INDEX(FX_Calcs,$AA707,$AE707)</f>
        <v>N/A</v>
      </c>
      <c r="O707" t="str" cm="1">
        <f t="array" ref="O707">INDEX(FX_Calcs,$AA707,$AE707)</f>
        <v>N/A</v>
      </c>
      <c r="P707" t="str" cm="1">
        <f t="array" ref="P707">INDEX(FX_Calcs,$AA707,$AE707)</f>
        <v>N/A</v>
      </c>
      <c r="AA707">
        <f>AA706</f>
        <v>51</v>
      </c>
      <c r="AB707">
        <f t="shared" si="1725"/>
        <v>6</v>
      </c>
      <c r="AC707">
        <f t="shared" si="1726"/>
        <v>3</v>
      </c>
      <c r="AD707">
        <f t="shared" si="1726"/>
        <v>13</v>
      </c>
      <c r="AE707">
        <f t="shared" si="1726"/>
        <v>12</v>
      </c>
      <c r="AF707">
        <f t="shared" si="1726"/>
        <v>14</v>
      </c>
      <c r="AG707">
        <f t="shared" si="1727"/>
        <v>77</v>
      </c>
      <c r="AH707">
        <f t="shared" si="1728"/>
        <v>78</v>
      </c>
      <c r="AI707">
        <f t="shared" si="1729"/>
        <v>1</v>
      </c>
      <c r="AJ707">
        <f t="shared" si="1730"/>
        <v>2</v>
      </c>
      <c r="AK707">
        <f t="shared" si="1731"/>
        <v>1</v>
      </c>
      <c r="AL707">
        <f t="shared" si="1732"/>
        <v>76</v>
      </c>
    </row>
    <row r="708" spans="1:38" ht="17.149999999999999" x14ac:dyDescent="0.4">
      <c r="B708" t="str">
        <f t="shared" ref="B708:B709" si="1733">B707</f>
        <v>Portland</v>
      </c>
      <c r="C708" s="66" t="s">
        <v>513</v>
      </c>
      <c r="D708" t="str" cm="1">
        <f t="array" ref="D708">INDEX(FX_Calcs,$AA708,$AD708)</f>
        <v>N/A</v>
      </c>
      <c r="E708" t="str" cm="1">
        <f t="array" ref="E708">INDEX(FX_Calcs,$AA708,$AD708)</f>
        <v>N/A</v>
      </c>
      <c r="F708" t="str" cm="1">
        <f t="array" ref="F708">INDEX(FX_Calcs,$AA708,$AD708)</f>
        <v>N/A</v>
      </c>
      <c r="G708" t="str" cm="1">
        <f t="array" ref="G708">INDEX(FX_Calcs,$AA708,$AD708)</f>
        <v>N/A</v>
      </c>
      <c r="H708" t="str" cm="1">
        <f t="array" ref="H708">INDEX(FX_Calcs,$AA708,$AD708)</f>
        <v>N/A</v>
      </c>
      <c r="I708" t="str" cm="1">
        <f t="array" ref="I708">INDEX(FX_Calcs,$AA708,$AD708)</f>
        <v>N/A</v>
      </c>
      <c r="J708" t="str" cm="1">
        <f t="array" ref="J708">INDEX(FX_Calcs,$AA708,$AD708)</f>
        <v>N/A</v>
      </c>
      <c r="K708" t="str" cm="1">
        <f t="array" ref="K708">INDEX(FX_Calcs,$AA708,$AD708)</f>
        <v>N/A</v>
      </c>
      <c r="L708" t="str" cm="1">
        <f t="array" ref="L708">INDEX(FX_Calcs,$AA708,$AD708)</f>
        <v>N/A</v>
      </c>
      <c r="M708" t="str" cm="1">
        <f t="array" ref="M708">INDEX(FX_Calcs,$AA708,$AD708)</f>
        <v>N/A</v>
      </c>
      <c r="N708" t="str" cm="1">
        <f t="array" ref="N708">INDEX(FX_Calcs,$AA708,$AD708)</f>
        <v>N/A</v>
      </c>
      <c r="O708" t="str" cm="1">
        <f t="array" ref="O708">INDEX(FX_Calcs,$AA708,$AD708)</f>
        <v>N/A</v>
      </c>
      <c r="P708" t="str" cm="1">
        <f t="array" ref="P708">INDEX(FX_Calcs,$AA708,$AD708)</f>
        <v>N/A</v>
      </c>
      <c r="AA708">
        <f>AA707</f>
        <v>51</v>
      </c>
      <c r="AB708">
        <f t="shared" si="1725"/>
        <v>6</v>
      </c>
      <c r="AC708">
        <f t="shared" si="1726"/>
        <v>3</v>
      </c>
      <c r="AD708">
        <f t="shared" si="1726"/>
        <v>13</v>
      </c>
      <c r="AE708">
        <f t="shared" si="1726"/>
        <v>12</v>
      </c>
      <c r="AF708">
        <f t="shared" si="1726"/>
        <v>14</v>
      </c>
      <c r="AG708">
        <f t="shared" si="1727"/>
        <v>77</v>
      </c>
      <c r="AH708">
        <f t="shared" si="1728"/>
        <v>78</v>
      </c>
      <c r="AI708">
        <f t="shared" si="1729"/>
        <v>1</v>
      </c>
      <c r="AJ708">
        <f t="shared" si="1730"/>
        <v>2</v>
      </c>
      <c r="AK708">
        <f t="shared" si="1731"/>
        <v>1</v>
      </c>
      <c r="AL708">
        <f t="shared" si="1732"/>
        <v>76</v>
      </c>
    </row>
    <row r="709" spans="1:38" x14ac:dyDescent="0.4">
      <c r="B709" t="str">
        <f t="shared" si="1733"/>
        <v>Portland</v>
      </c>
      <c r="C709" s="66" t="s">
        <v>558</v>
      </c>
      <c r="D709" t="str" cm="1">
        <f t="array" ref="D709">INDEX(FX_Calcs,$AA709,$AF709)</f>
        <v>Insulated</v>
      </c>
      <c r="E709" t="str" cm="1">
        <f t="array" ref="E709">INDEX(FX_Calcs,$AA709,$AF709)</f>
        <v>Insulated</v>
      </c>
      <c r="F709" t="str" cm="1">
        <f t="array" ref="F709">INDEX(FX_Calcs,$AA709,$AF709)</f>
        <v>Insulated</v>
      </c>
      <c r="G709" t="str" cm="1">
        <f t="array" ref="G709">INDEX(FX_Calcs,$AA709,$AF709)</f>
        <v>Insulated</v>
      </c>
      <c r="H709" t="str" cm="1">
        <f t="array" ref="H709">INDEX(FX_Calcs,$AA709,$AF709)</f>
        <v>Insulated</v>
      </c>
      <c r="I709" t="str" cm="1">
        <f t="array" ref="I709">INDEX(FX_Calcs,$AA709,$AF709)</f>
        <v>Insulated</v>
      </c>
      <c r="J709" t="str" cm="1">
        <f t="array" ref="J709">INDEX(FX_Calcs,$AA709,$AF709)</f>
        <v>Insulated</v>
      </c>
      <c r="K709" t="str" cm="1">
        <f t="array" ref="K709">INDEX(FX_Calcs,$AA709,$AF709)</f>
        <v>Insulated</v>
      </c>
      <c r="L709" t="str" cm="1">
        <f t="array" ref="L709">INDEX(FX_Calcs,$AA709,$AF709)</f>
        <v>Insulated</v>
      </c>
      <c r="M709" t="str" cm="1">
        <f t="array" ref="M709">INDEX(FX_Calcs,$AA709,$AF709)</f>
        <v>Insulated</v>
      </c>
      <c r="N709" t="str" cm="1">
        <f t="array" ref="N709">INDEX(FX_Calcs,$AA709,$AF709)</f>
        <v>Insulated</v>
      </c>
      <c r="O709" t="str" cm="1">
        <f t="array" ref="O709">INDEX(FX_Calcs,$AA709,$AF709)</f>
        <v>Insulated</v>
      </c>
      <c r="P709" t="str" cm="1">
        <f t="array" ref="P709">INDEX(FX_Calcs,$AA709,$AF709)</f>
        <v>Insulated</v>
      </c>
      <c r="AA709">
        <f>AA708</f>
        <v>51</v>
      </c>
      <c r="AB709">
        <f t="shared" si="1725"/>
        <v>6</v>
      </c>
      <c r="AC709">
        <f t="shared" si="1726"/>
        <v>3</v>
      </c>
      <c r="AD709">
        <f t="shared" si="1726"/>
        <v>13</v>
      </c>
      <c r="AE709">
        <f t="shared" si="1726"/>
        <v>12</v>
      </c>
      <c r="AF709">
        <f t="shared" si="1726"/>
        <v>14</v>
      </c>
      <c r="AG709">
        <f t="shared" si="1727"/>
        <v>77</v>
      </c>
      <c r="AH709">
        <f t="shared" si="1728"/>
        <v>78</v>
      </c>
      <c r="AI709">
        <f t="shared" si="1729"/>
        <v>1</v>
      </c>
      <c r="AJ709">
        <f t="shared" si="1730"/>
        <v>2</v>
      </c>
      <c r="AK709">
        <f t="shared" si="1731"/>
        <v>1</v>
      </c>
      <c r="AL709">
        <f t="shared" si="1732"/>
        <v>76</v>
      </c>
    </row>
    <row r="710" spans="1:38" ht="17.149999999999999" x14ac:dyDescent="0.55000000000000004">
      <c r="B710" t="str">
        <f>B706</f>
        <v>Portland</v>
      </c>
      <c r="C710" t="s">
        <v>512</v>
      </c>
      <c r="D710">
        <f t="shared" ref="D710:P710" si="1734">D706-D705</f>
        <v>10.400000000000034</v>
      </c>
      <c r="E710">
        <f t="shared" si="1734"/>
        <v>13.199999999999989</v>
      </c>
      <c r="F710">
        <f t="shared" si="1734"/>
        <v>13.200000000000045</v>
      </c>
      <c r="G710">
        <f t="shared" si="1734"/>
        <v>13.399999999999977</v>
      </c>
      <c r="H710">
        <f t="shared" si="1734"/>
        <v>13.299999999999955</v>
      </c>
      <c r="I710">
        <f t="shared" si="1734"/>
        <v>12.500000000000057</v>
      </c>
      <c r="J710">
        <f t="shared" si="1734"/>
        <v>12.699999999999932</v>
      </c>
      <c r="K710">
        <f t="shared" si="1734"/>
        <v>13.600000000000023</v>
      </c>
      <c r="L710">
        <f t="shared" si="1734"/>
        <v>16.399999999999977</v>
      </c>
      <c r="M710">
        <f t="shared" si="1734"/>
        <v>14.699999999999989</v>
      </c>
      <c r="N710">
        <f t="shared" si="1734"/>
        <v>12.200000000000045</v>
      </c>
      <c r="O710">
        <f t="shared" si="1734"/>
        <v>10</v>
      </c>
      <c r="P710">
        <f t="shared" si="1734"/>
        <v>13</v>
      </c>
    </row>
    <row r="711" spans="1:38" x14ac:dyDescent="0.4">
      <c r="B711" t="str">
        <f t="shared" ref="B711:B718" si="1735">B710</f>
        <v>Portland</v>
      </c>
      <c r="C711" t="s">
        <v>260</v>
      </c>
      <c r="D711">
        <f t="shared" ref="D711:P711" si="1736">VLOOKUP(VLOOKUP($B711,Terminal_X_Ref,2,FALSE)&amp;$C711,Weather_Data,$Y711*D$3+$Z711,FALSE)</f>
        <v>343</v>
      </c>
      <c r="E711">
        <f t="shared" si="1736"/>
        <v>600</v>
      </c>
      <c r="F711">
        <f t="shared" si="1736"/>
        <v>877</v>
      </c>
      <c r="G711">
        <f t="shared" si="1736"/>
        <v>1252</v>
      </c>
      <c r="H711">
        <f t="shared" si="1736"/>
        <v>1537</v>
      </c>
      <c r="I711">
        <f t="shared" si="1736"/>
        <v>1627</v>
      </c>
      <c r="J711">
        <f t="shared" si="1736"/>
        <v>1708</v>
      </c>
      <c r="K711">
        <f t="shared" si="1736"/>
        <v>1492</v>
      </c>
      <c r="L711">
        <f t="shared" si="1736"/>
        <v>1196</v>
      </c>
      <c r="M711">
        <f t="shared" si="1736"/>
        <v>728</v>
      </c>
      <c r="N711">
        <f t="shared" si="1736"/>
        <v>391</v>
      </c>
      <c r="O711">
        <f t="shared" si="1736"/>
        <v>302</v>
      </c>
      <c r="P711">
        <f t="shared" si="1736"/>
        <v>1005</v>
      </c>
      <c r="U711">
        <f>U706</f>
        <v>2</v>
      </c>
      <c r="V711">
        <f t="shared" ref="V711:Z711" si="1737">V706</f>
        <v>3</v>
      </c>
      <c r="W711">
        <f t="shared" si="1737"/>
        <v>1</v>
      </c>
      <c r="X711">
        <f t="shared" si="1737"/>
        <v>2</v>
      </c>
      <c r="Y711">
        <f t="shared" si="1737"/>
        <v>1</v>
      </c>
      <c r="Z711">
        <f t="shared" si="1737"/>
        <v>1</v>
      </c>
    </row>
    <row r="712" spans="1:38" ht="17.149999999999999" x14ac:dyDescent="0.55000000000000004">
      <c r="B712" t="str">
        <f t="shared" si="1735"/>
        <v>Portland</v>
      </c>
      <c r="C712" t="s">
        <v>523</v>
      </c>
      <c r="D712">
        <f>IF(ISNUMBER(D709),0.7*D710+0.02*D709*D711,IF(D709="Partially Insulated",0.6*D710+0.02*D708*D711,0))</f>
        <v>0</v>
      </c>
      <c r="E712">
        <f t="shared" ref="E712:P712" si="1738">IF(ISNUMBER(E709),0.7*E710+0.02*E709*E711,IF(E709="Partially Insulated",0.6*E710+0.02*E708*E711,0))</f>
        <v>0</v>
      </c>
      <c r="F712">
        <f t="shared" si="1738"/>
        <v>0</v>
      </c>
      <c r="G712">
        <f t="shared" si="1738"/>
        <v>0</v>
      </c>
      <c r="H712">
        <f t="shared" si="1738"/>
        <v>0</v>
      </c>
      <c r="I712">
        <f t="shared" si="1738"/>
        <v>0</v>
      </c>
      <c r="J712">
        <f t="shared" si="1738"/>
        <v>0</v>
      </c>
      <c r="K712">
        <f t="shared" si="1738"/>
        <v>0</v>
      </c>
      <c r="L712">
        <f t="shared" si="1738"/>
        <v>0</v>
      </c>
      <c r="M712">
        <f t="shared" si="1738"/>
        <v>0</v>
      </c>
      <c r="N712">
        <f t="shared" si="1738"/>
        <v>0</v>
      </c>
      <c r="O712">
        <f t="shared" si="1738"/>
        <v>0</v>
      </c>
      <c r="P712">
        <f t="shared" si="1738"/>
        <v>0</v>
      </c>
    </row>
    <row r="713" spans="1:38" ht="17.149999999999999" x14ac:dyDescent="0.55000000000000004">
      <c r="B713" t="str">
        <f t="shared" si="1735"/>
        <v>Portland</v>
      </c>
      <c r="C713" t="s">
        <v>524</v>
      </c>
      <c r="D713">
        <f t="shared" ref="D713:F713" si="1739">AVERAGE(D705:D706)</f>
        <v>503.5</v>
      </c>
      <c r="E713">
        <f t="shared" si="1739"/>
        <v>504.30000000000007</v>
      </c>
      <c r="F713">
        <f t="shared" si="1739"/>
        <v>505.70000000000005</v>
      </c>
      <c r="G713">
        <f>AVERAGE(G705:G706)</f>
        <v>508.2</v>
      </c>
      <c r="H713">
        <f t="shared" ref="H713:P713" si="1740">AVERAGE(H705:H706)</f>
        <v>512.75</v>
      </c>
      <c r="I713">
        <f t="shared" si="1740"/>
        <v>516.55000000000007</v>
      </c>
      <c r="J713">
        <f t="shared" si="1740"/>
        <v>520.04999999999995</v>
      </c>
      <c r="K713">
        <f t="shared" si="1740"/>
        <v>520.5</v>
      </c>
      <c r="L713">
        <f t="shared" si="1740"/>
        <v>518.20000000000005</v>
      </c>
      <c r="M713">
        <f t="shared" si="1740"/>
        <v>512.25</v>
      </c>
      <c r="N713">
        <f t="shared" si="1740"/>
        <v>506.70000000000005</v>
      </c>
      <c r="O713">
        <f t="shared" si="1740"/>
        <v>503.20000000000005</v>
      </c>
      <c r="P713">
        <f t="shared" si="1740"/>
        <v>51.4</v>
      </c>
    </row>
    <row r="714" spans="1:38" ht="17.149999999999999" x14ac:dyDescent="0.55000000000000004">
      <c r="B714" t="str">
        <f t="shared" si="1735"/>
        <v>Portland</v>
      </c>
      <c r="C714" t="s">
        <v>525</v>
      </c>
      <c r="D714" cm="1">
        <f t="array" ref="D714">IFERROR(IF(ISBLANK(INDEX(FX_Input,$R705,D$3*$AK705+$AL705)),D713+0.003*D707*D711,INDEX(FX_Input,$R705,D$3*$AK705+$AL705)+459.6),D713)</f>
        <v>503.5</v>
      </c>
      <c r="E714" cm="1">
        <f t="array" ref="E714">IFERROR(IF(ISBLANK(INDEX(FX_Input,$R705,E$3*$AK705+$AL705)),E713+0.003*E707*E711,INDEX(FX_Input,$R705,E$3*$AK705+$AL705)+459.6),E713)</f>
        <v>504.30000000000007</v>
      </c>
      <c r="F714" cm="1">
        <f t="array" ref="F714">IFERROR(IF(ISBLANK(INDEX(FX_Input,$R705,F$3*$AK705+$AL705)),F713+0.003*F707*F711,INDEX(FX_Input,$R705,F$3*$AK705+$AL705)+459.6),F713)</f>
        <v>505.70000000000005</v>
      </c>
      <c r="G714" cm="1">
        <f t="array" ref="G714">IFERROR(IF(ISBLANK(INDEX(FX_Input,$R705,G$3*$AK705+$AL705)),G713+0.003*G707*G711,INDEX(FX_Input,$R705,G$3*$AK705+$AL705)+459.6),G713)</f>
        <v>508.2</v>
      </c>
      <c r="H714" cm="1">
        <f t="array" ref="H714">IFERROR(IF(ISBLANK(INDEX(FX_Input,$R705,H$3*$AK705+$AL705)),H713+0.003*H707*H711,INDEX(FX_Input,$R705,H$3*$AK705+$AL705)+459.6),H713)</f>
        <v>512.75</v>
      </c>
      <c r="I714" cm="1">
        <f t="array" ref="I714">IFERROR(IF(ISBLANK(INDEX(FX_Input,$R705,I$3*$AK705+$AL705)),I713+0.003*I707*I711,INDEX(FX_Input,$R705,I$3*$AK705+$AL705)+459.6),I713)</f>
        <v>516.55000000000007</v>
      </c>
      <c r="J714" cm="1">
        <f t="array" ref="J714">IFERROR(IF(ISBLANK(INDEX(FX_Input,$R705,J$3*$AK705+$AL705)),J713+0.003*J707*J711,INDEX(FX_Input,$R705,J$3*$AK705+$AL705)+459.6),J713)</f>
        <v>520.04999999999995</v>
      </c>
      <c r="K714" cm="1">
        <f t="array" ref="K714">IFERROR(IF(ISBLANK(INDEX(FX_Input,$R705,K$3*$AK705+$AL705)),K713+0.003*K707*K711,INDEX(FX_Input,$R705,K$3*$AK705+$AL705)+459.6),K713)</f>
        <v>520.5</v>
      </c>
      <c r="L714" cm="1">
        <f t="array" ref="L714">IFERROR(IF(ISBLANK(INDEX(FX_Input,$R705,L$3*$AK705+$AL705)),L713+0.003*L707*L711,INDEX(FX_Input,$R705,L$3*$AK705+$AL705)+459.6),L713)</f>
        <v>518.20000000000005</v>
      </c>
      <c r="M714" cm="1">
        <f t="array" ref="M714">IFERROR(IF(ISBLANK(INDEX(FX_Input,$R705,M$3*$AK705+$AL705)),M713+0.003*M707*M711,INDEX(FX_Input,$R705,M$3*$AK705+$AL705)+459.6),M713)</f>
        <v>512.25</v>
      </c>
      <c r="N714" cm="1">
        <f t="array" ref="N714">IFERROR(IF(ISBLANK(INDEX(FX_Input,$R705,N$3*$AK705+$AL705)),N713+0.003*N707*N711,INDEX(FX_Input,$R705,N$3*$AK705+$AL705)+459.6),N713)</f>
        <v>506.70000000000005</v>
      </c>
      <c r="O714" cm="1">
        <f t="array" ref="O714">IFERROR(IF(ISBLANK(INDEX(FX_Input,$R705,O$3*$AK705+$AL705)),O713+0.003*O707*O711,INDEX(FX_Input,$R705,O$3*$AK705+$AL705)+459.6),O713)</f>
        <v>503.20000000000005</v>
      </c>
      <c r="P714" cm="1">
        <f t="array" ref="P714">IFERROR(IF(ISBLANK(INDEX(FX_Input,$R705,P$3*$AK705+$AL705)),P713+0.003*P707*P711,INDEX(FX_Input,$R705,P$3*$AK705+$AL705)+459.6),P713)</f>
        <v>459.6</v>
      </c>
    </row>
    <row r="715" spans="1:38" ht="17.149999999999999" x14ac:dyDescent="0.55000000000000004">
      <c r="B715" t="str">
        <f t="shared" si="1735"/>
        <v>Portland</v>
      </c>
      <c r="C715" t="s">
        <v>526</v>
      </c>
      <c r="D715">
        <f>IF(ISNUMBER(D709),0.4*D705+0.6*D714+0.005*D709*D711,IF(D709="Partially Insulated",0.3*D713+0.7*D714+0.005*D708*D711,D714))-459.6</f>
        <v>43.899999999999977</v>
      </c>
      <c r="E715">
        <f t="shared" ref="E715" si="1741">IF(ISNUMBER(E709),0.4*E705+0.6*E714+0.005*E709*E711,IF(E709="Partially Insulated",0.3*E713+0.7*E714+0.005*E708*E711,E714))-459.6</f>
        <v>44.700000000000045</v>
      </c>
      <c r="F715">
        <f t="shared" ref="F715" si="1742">IF(ISNUMBER(F709),0.4*F705+0.6*F714+0.005*F709*F711,IF(F709="Partially Insulated",0.3*F713+0.7*F714+0.005*F708*F711,F714))-459.6</f>
        <v>46.100000000000023</v>
      </c>
      <c r="G715">
        <f t="shared" ref="G715" si="1743">IF(ISNUMBER(G709),0.4*G705+0.6*G714+0.005*G709*G711,IF(G709="Partially Insulated",0.3*G713+0.7*G714+0.005*G708*G711,G714))-459.6</f>
        <v>48.599999999999966</v>
      </c>
      <c r="H715">
        <f t="shared" ref="H715" si="1744">IF(ISNUMBER(H709),0.4*H705+0.6*H714+0.005*H709*H711,IF(H709="Partially Insulated",0.3*H713+0.7*H714+0.005*H708*H711,H714))-459.6</f>
        <v>53.149999999999977</v>
      </c>
      <c r="I715">
        <f t="shared" ref="I715" si="1745">IF(ISNUMBER(I709),0.4*I705+0.6*I714+0.005*I709*I711,IF(I709="Partially Insulated",0.3*I713+0.7*I714+0.005*I708*I711,I714))-459.6</f>
        <v>56.950000000000045</v>
      </c>
      <c r="J715">
        <f t="shared" ref="J715" si="1746">IF(ISNUMBER(J709),0.4*J705+0.6*J714+0.005*J709*J711,IF(J709="Partially Insulated",0.3*J713+0.7*J714+0.005*J708*J711,J714))-459.6</f>
        <v>60.449999999999932</v>
      </c>
      <c r="K715">
        <f t="shared" ref="K715" si="1747">IF(ISNUMBER(K709),0.4*K705+0.6*K714+0.005*K709*K711,IF(K709="Partially Insulated",0.3*K713+0.7*K714+0.005*K708*K711,K714))-459.6</f>
        <v>60.899999999999977</v>
      </c>
      <c r="L715">
        <f t="shared" ref="L715" si="1748">IF(ISNUMBER(L709),0.4*L705+0.6*L714+0.005*L709*L711,IF(L709="Partially Insulated",0.3*L713+0.7*L714+0.005*L708*L711,L714))-459.6</f>
        <v>58.600000000000023</v>
      </c>
      <c r="M715">
        <f t="shared" ref="M715" si="1749">IF(ISNUMBER(M709),0.4*M705+0.6*M714+0.005*M709*M711,IF(M709="Partially Insulated",0.3*M713+0.7*M714+0.005*M708*M711,M714))-459.6</f>
        <v>52.649999999999977</v>
      </c>
      <c r="N715">
        <f t="shared" ref="N715" si="1750">IF(ISNUMBER(N709),0.4*N705+0.6*N714+0.005*N709*N711,IF(N709="Partially Insulated",0.3*N713+0.7*N714+0.005*N708*N711,N714))-459.6</f>
        <v>47.100000000000023</v>
      </c>
      <c r="O715">
        <f t="shared" ref="O715" si="1751">IF(ISNUMBER(O709),0.4*O705+0.6*O714+0.005*O709*O711,IF(O709="Partially Insulated",0.3*O713+0.7*O714+0.005*O708*O711,O714))-459.6</f>
        <v>43.600000000000023</v>
      </c>
      <c r="P715">
        <f>AVERAGE(D715:O715)</f>
        <v>51.391666666666673</v>
      </c>
    </row>
    <row r="716" spans="1:38" ht="17.149999999999999" x14ac:dyDescent="0.55000000000000004">
      <c r="B716" t="str">
        <f t="shared" si="1735"/>
        <v>Portland</v>
      </c>
      <c r="C716" t="s">
        <v>527</v>
      </c>
      <c r="D716">
        <f>IF(ISNUMBER(D709),0.4*D706+0.6*D714+0.005*D709*D711,IF(D709="Partially Insulated",0.3*D713+0.7*D714+0.005*D708*D711,D714))-459.6</f>
        <v>43.899999999999977</v>
      </c>
      <c r="E716">
        <f t="shared" ref="E716:O716" si="1752">IF(ISNUMBER(E709),0.4*E706+0.6*E714+0.005*E709*E711,IF(E709="Partially Insulated",0.3*E713+0.7*E714+0.005*E708*E711,E714))-459.6</f>
        <v>44.700000000000045</v>
      </c>
      <c r="F716">
        <f t="shared" si="1752"/>
        <v>46.100000000000023</v>
      </c>
      <c r="G716">
        <f t="shared" si="1752"/>
        <v>48.599999999999966</v>
      </c>
      <c r="H716">
        <f t="shared" si="1752"/>
        <v>53.149999999999977</v>
      </c>
      <c r="I716">
        <f t="shared" si="1752"/>
        <v>56.950000000000045</v>
      </c>
      <c r="J716">
        <f t="shared" si="1752"/>
        <v>60.449999999999932</v>
      </c>
      <c r="K716">
        <f t="shared" si="1752"/>
        <v>60.899999999999977</v>
      </c>
      <c r="L716">
        <f t="shared" si="1752"/>
        <v>58.600000000000023</v>
      </c>
      <c r="M716">
        <f t="shared" si="1752"/>
        <v>52.649999999999977</v>
      </c>
      <c r="N716">
        <f t="shared" si="1752"/>
        <v>47.100000000000023</v>
      </c>
      <c r="O716">
        <f t="shared" si="1752"/>
        <v>43.600000000000023</v>
      </c>
      <c r="P716">
        <f>AVERAGE(D716:O716)</f>
        <v>51.391666666666673</v>
      </c>
    </row>
    <row r="717" spans="1:38" ht="17.149999999999999" x14ac:dyDescent="0.55000000000000004">
      <c r="B717" t="str">
        <f t="shared" si="1735"/>
        <v>Portland</v>
      </c>
      <c r="C717" t="s">
        <v>552</v>
      </c>
      <c r="D717">
        <f>IF(ISNUMBER(D709),0.4*D713+0.6*D714+0.005*D709*D711,IF(D709="Partially Insulated",0.3*D713+0.7*D714+0.005*D708*D711,D714))-459.6</f>
        <v>43.899999999999977</v>
      </c>
      <c r="E717">
        <f t="shared" ref="E717:O717" si="1753">IF(ISNUMBER(E709),0.4*E713+0.6*E714+0.005*E709*E711,IF(E709="Partially Insulated",0.3*E713+0.7*E714+0.005*E708*E711,E714))-459.6</f>
        <v>44.700000000000045</v>
      </c>
      <c r="F717">
        <f t="shared" si="1753"/>
        <v>46.100000000000023</v>
      </c>
      <c r="G717">
        <f t="shared" si="1753"/>
        <v>48.599999999999966</v>
      </c>
      <c r="H717">
        <f t="shared" si="1753"/>
        <v>53.149999999999977</v>
      </c>
      <c r="I717">
        <f t="shared" si="1753"/>
        <v>56.950000000000045</v>
      </c>
      <c r="J717">
        <f t="shared" si="1753"/>
        <v>60.449999999999932</v>
      </c>
      <c r="K717">
        <f t="shared" si="1753"/>
        <v>60.899999999999977</v>
      </c>
      <c r="L717">
        <f t="shared" si="1753"/>
        <v>58.600000000000023</v>
      </c>
      <c r="M717">
        <f t="shared" si="1753"/>
        <v>52.649999999999977</v>
      </c>
      <c r="N717">
        <f t="shared" si="1753"/>
        <v>47.100000000000023</v>
      </c>
      <c r="O717">
        <f t="shared" si="1753"/>
        <v>43.600000000000023</v>
      </c>
      <c r="P717">
        <f>AVERAGE(D717:O717)</f>
        <v>51.391666666666673</v>
      </c>
    </row>
    <row r="718" spans="1:38" ht="17.149999999999999" x14ac:dyDescent="0.55000000000000004">
      <c r="A718" s="11"/>
      <c r="B718" s="11" t="str">
        <f t="shared" si="1735"/>
        <v>Portland</v>
      </c>
      <c r="C718" s="11" t="s">
        <v>553</v>
      </c>
      <c r="D718" s="11">
        <f>IF(ISNUMBER(D709),0.7*D713+0.3*D714+0.009*D709*D711,IF(D709="Partially Insulated",0.6*D713+0.4*D714+0.01*D708*D711,D714))-459.6</f>
        <v>43.899999999999977</v>
      </c>
      <c r="E718" s="11">
        <f t="shared" ref="E718:O718" si="1754">IF(ISNUMBER(E709),0.7*E713+0.3*E714+0.009*E709*E711,IF(E709="Partially Insulated",0.6*E713+0.4*E714+0.01*E708*E711,E714))-459.6</f>
        <v>44.700000000000045</v>
      </c>
      <c r="F718" s="11">
        <f t="shared" si="1754"/>
        <v>46.100000000000023</v>
      </c>
      <c r="G718" s="11">
        <f t="shared" si="1754"/>
        <v>48.599999999999966</v>
      </c>
      <c r="H718" s="11">
        <f t="shared" si="1754"/>
        <v>53.149999999999977</v>
      </c>
      <c r="I718" s="11">
        <f t="shared" si="1754"/>
        <v>56.950000000000045</v>
      </c>
      <c r="J718" s="11">
        <f t="shared" si="1754"/>
        <v>60.449999999999932</v>
      </c>
      <c r="K718" s="11">
        <f t="shared" si="1754"/>
        <v>60.899999999999977</v>
      </c>
      <c r="L718" s="11">
        <f t="shared" si="1754"/>
        <v>58.600000000000023</v>
      </c>
      <c r="M718" s="11">
        <f t="shared" si="1754"/>
        <v>52.649999999999977</v>
      </c>
      <c r="N718" s="11">
        <f t="shared" si="1754"/>
        <v>47.100000000000023</v>
      </c>
      <c r="O718" s="11">
        <f t="shared" si="1754"/>
        <v>43.600000000000023</v>
      </c>
      <c r="P718" s="11">
        <f>AVERAGE(D718:O718)</f>
        <v>51.391666666666673</v>
      </c>
      <c r="Q718" s="11"/>
      <c r="R718" s="11"/>
      <c r="S718" s="11"/>
      <c r="T718" s="11"/>
      <c r="U718" s="11"/>
      <c r="V718" s="11"/>
      <c r="W718" s="11"/>
      <c r="X718" s="11"/>
      <c r="Y718" s="11"/>
      <c r="Z718" s="11"/>
      <c r="AA718" s="11"/>
      <c r="AB718" s="11"/>
      <c r="AC718" s="11"/>
      <c r="AD718" s="11"/>
      <c r="AE718" s="11"/>
      <c r="AF718" s="11"/>
      <c r="AG718" s="11"/>
      <c r="AH718" s="11"/>
      <c r="AI718" s="11"/>
      <c r="AJ718" s="11"/>
      <c r="AK718" s="11"/>
      <c r="AL718" s="11"/>
    </row>
    <row r="719" spans="1:38" ht="17.149999999999999" x14ac:dyDescent="0.55000000000000004">
      <c r="A719" t="str" cm="1">
        <f t="array" ref="A719">INDEX(FX_Input,$R719,S$5)</f>
        <v>FX - 52</v>
      </c>
      <c r="B719" t="str" cm="1">
        <f t="array" ref="B719">INDEX(FX_Input,R719,T719)</f>
        <v>Portland</v>
      </c>
      <c r="C719" t="s">
        <v>510</v>
      </c>
      <c r="D719">
        <f t="shared" ref="D719:O720" si="1755">VLOOKUP(VLOOKUP($B719,Terminal_X_Ref,2,FALSE)&amp;$C719,Weather_Data,$Y719*D$3+$Z719,FALSE)+459.6</f>
        <v>498.3</v>
      </c>
      <c r="E719">
        <f t="shared" si="1755"/>
        <v>497.70000000000005</v>
      </c>
      <c r="F719">
        <f t="shared" si="1755"/>
        <v>499.1</v>
      </c>
      <c r="G719">
        <f t="shared" si="1755"/>
        <v>501.5</v>
      </c>
      <c r="H719">
        <f t="shared" si="1755"/>
        <v>506.1</v>
      </c>
      <c r="I719">
        <f t="shared" si="1755"/>
        <v>510.3</v>
      </c>
      <c r="J719">
        <f t="shared" si="1755"/>
        <v>513.70000000000005</v>
      </c>
      <c r="K719">
        <f t="shared" si="1755"/>
        <v>513.70000000000005</v>
      </c>
      <c r="L719">
        <f t="shared" si="1755"/>
        <v>510</v>
      </c>
      <c r="M719">
        <f t="shared" si="1755"/>
        <v>504.90000000000003</v>
      </c>
      <c r="N719">
        <f t="shared" si="1755"/>
        <v>500.6</v>
      </c>
      <c r="O719">
        <f t="shared" si="1755"/>
        <v>498.20000000000005</v>
      </c>
      <c r="P719">
        <f t="shared" ref="P719:P720" si="1756">VLOOKUP(VLOOKUP($B719,Terminal_X_Ref,2,FALSE)&amp;$C719,Weather_Data,$Y719*P$3+$Z719,FALSE)</f>
        <v>44.9</v>
      </c>
      <c r="R719">
        <f>R705+2</f>
        <v>103</v>
      </c>
      <c r="S719">
        <f>S705+1</f>
        <v>52</v>
      </c>
      <c r="T719">
        <v>3</v>
      </c>
      <c r="U719">
        <v>2</v>
      </c>
      <c r="V719">
        <v>3</v>
      </c>
      <c r="W719">
        <v>1</v>
      </c>
      <c r="X719">
        <v>2</v>
      </c>
      <c r="Y719">
        <f>(V719-U719)/(X719-W719)</f>
        <v>1</v>
      </c>
      <c r="Z719">
        <f>U719-Y719*W719</f>
        <v>1</v>
      </c>
      <c r="AA719">
        <f>AA705+1</f>
        <v>52</v>
      </c>
      <c r="AB719">
        <v>6</v>
      </c>
      <c r="AC719">
        <v>3</v>
      </c>
      <c r="AD719">
        <v>13</v>
      </c>
      <c r="AE719">
        <v>12</v>
      </c>
      <c r="AF719">
        <v>14</v>
      </c>
      <c r="AG719">
        <v>77</v>
      </c>
      <c r="AH719">
        <v>78</v>
      </c>
      <c r="AI719">
        <v>1</v>
      </c>
      <c r="AJ719">
        <v>2</v>
      </c>
      <c r="AK719">
        <f>(AH719-AG719)/(AJ719-AI719)</f>
        <v>1</v>
      </c>
      <c r="AL719">
        <f>AG719-AK719*AI719</f>
        <v>76</v>
      </c>
    </row>
    <row r="720" spans="1:38" ht="17.149999999999999" x14ac:dyDescent="0.55000000000000004">
      <c r="B720" t="str">
        <f t="shared" ref="B720" si="1757">B719</f>
        <v>Portland</v>
      </c>
      <c r="C720" t="s">
        <v>511</v>
      </c>
      <c r="D720">
        <f t="shared" si="1755"/>
        <v>508.70000000000005</v>
      </c>
      <c r="E720">
        <f t="shared" si="1755"/>
        <v>510.90000000000003</v>
      </c>
      <c r="F720">
        <f t="shared" si="1755"/>
        <v>512.30000000000007</v>
      </c>
      <c r="G720">
        <f t="shared" si="1755"/>
        <v>514.9</v>
      </c>
      <c r="H720">
        <f t="shared" si="1755"/>
        <v>519.4</v>
      </c>
      <c r="I720">
        <f t="shared" si="1755"/>
        <v>522.80000000000007</v>
      </c>
      <c r="J720">
        <f t="shared" si="1755"/>
        <v>526.4</v>
      </c>
      <c r="K720">
        <f t="shared" si="1755"/>
        <v>527.30000000000007</v>
      </c>
      <c r="L720">
        <f t="shared" si="1755"/>
        <v>526.4</v>
      </c>
      <c r="M720">
        <f t="shared" si="1755"/>
        <v>519.6</v>
      </c>
      <c r="N720">
        <f t="shared" si="1755"/>
        <v>512.80000000000007</v>
      </c>
      <c r="O720">
        <f t="shared" si="1755"/>
        <v>508.20000000000005</v>
      </c>
      <c r="P720">
        <f t="shared" si="1756"/>
        <v>57.9</v>
      </c>
      <c r="U720">
        <f>U719</f>
        <v>2</v>
      </c>
      <c r="V720">
        <f t="shared" ref="V720:Z720" si="1758">V719</f>
        <v>3</v>
      </c>
      <c r="W720">
        <f t="shared" si="1758"/>
        <v>1</v>
      </c>
      <c r="X720">
        <f t="shared" si="1758"/>
        <v>2</v>
      </c>
      <c r="Y720">
        <f t="shared" si="1758"/>
        <v>1</v>
      </c>
      <c r="Z720">
        <f t="shared" si="1758"/>
        <v>1</v>
      </c>
      <c r="AA720">
        <f>AA719</f>
        <v>52</v>
      </c>
      <c r="AB720">
        <f t="shared" ref="AB720:AB723" si="1759">AB719</f>
        <v>6</v>
      </c>
      <c r="AC720">
        <f t="shared" ref="AC720:AF723" si="1760">AC719</f>
        <v>3</v>
      </c>
      <c r="AD720">
        <f t="shared" si="1760"/>
        <v>13</v>
      </c>
      <c r="AE720">
        <f t="shared" si="1760"/>
        <v>12</v>
      </c>
      <c r="AF720">
        <f t="shared" si="1760"/>
        <v>14</v>
      </c>
      <c r="AG720">
        <f t="shared" ref="AG720:AG723" si="1761">AG719</f>
        <v>77</v>
      </c>
      <c r="AH720">
        <f t="shared" ref="AH720:AH723" si="1762">AH719</f>
        <v>78</v>
      </c>
      <c r="AI720">
        <f t="shared" ref="AI720:AI723" si="1763">AI719</f>
        <v>1</v>
      </c>
      <c r="AJ720">
        <f t="shared" ref="AJ720:AJ723" si="1764">AJ719</f>
        <v>2</v>
      </c>
      <c r="AK720">
        <f t="shared" ref="AK720:AK723" si="1765">AK719</f>
        <v>1</v>
      </c>
      <c r="AL720">
        <f t="shared" ref="AL720:AL723" si="1766">AL719</f>
        <v>76</v>
      </c>
    </row>
    <row r="721" spans="1:38" ht="17.149999999999999" x14ac:dyDescent="0.4">
      <c r="B721" t="str">
        <f>B720</f>
        <v>Portland</v>
      </c>
      <c r="C721" s="66" t="s">
        <v>514</v>
      </c>
      <c r="D721" cm="1">
        <f t="array" ref="D721">INDEX(FX_Calcs,$AA721,$AE721)</f>
        <v>0.57999999999999996</v>
      </c>
      <c r="E721" cm="1">
        <f t="array" ref="E721">INDEX(FX_Calcs,$AA721,$AE721)</f>
        <v>0.57999999999999996</v>
      </c>
      <c r="F721" cm="1">
        <f t="array" ref="F721">INDEX(FX_Calcs,$AA721,$AE721)</f>
        <v>0.57999999999999996</v>
      </c>
      <c r="G721" cm="1">
        <f t="array" ref="G721">INDEX(FX_Calcs,$AA721,$AE721)</f>
        <v>0.57999999999999996</v>
      </c>
      <c r="H721" cm="1">
        <f t="array" ref="H721">INDEX(FX_Calcs,$AA721,$AE721)</f>
        <v>0.57999999999999996</v>
      </c>
      <c r="I721" cm="1">
        <f t="array" ref="I721">INDEX(FX_Calcs,$AA721,$AE721)</f>
        <v>0.57999999999999996</v>
      </c>
      <c r="J721" cm="1">
        <f t="array" ref="J721">INDEX(FX_Calcs,$AA721,$AE721)</f>
        <v>0.57999999999999996</v>
      </c>
      <c r="K721" cm="1">
        <f t="array" ref="K721">INDEX(FX_Calcs,$AA721,$AE721)</f>
        <v>0.57999999999999996</v>
      </c>
      <c r="L721" cm="1">
        <f t="array" ref="L721">INDEX(FX_Calcs,$AA721,$AE721)</f>
        <v>0.57999999999999996</v>
      </c>
      <c r="M721" cm="1">
        <f t="array" ref="M721">INDEX(FX_Calcs,$AA721,$AE721)</f>
        <v>0.57999999999999996</v>
      </c>
      <c r="N721" cm="1">
        <f t="array" ref="N721">INDEX(FX_Calcs,$AA721,$AE721)</f>
        <v>0.57999999999999996</v>
      </c>
      <c r="O721" cm="1">
        <f t="array" ref="O721">INDEX(FX_Calcs,$AA721,$AE721)</f>
        <v>0.57999999999999996</v>
      </c>
      <c r="P721" cm="1">
        <f t="array" ref="P721">INDEX(FX_Calcs,$AA721,$AE721)</f>
        <v>0.57999999999999996</v>
      </c>
      <c r="AA721">
        <f>AA720</f>
        <v>52</v>
      </c>
      <c r="AB721">
        <f t="shared" si="1759"/>
        <v>6</v>
      </c>
      <c r="AC721">
        <f t="shared" si="1760"/>
        <v>3</v>
      </c>
      <c r="AD721">
        <f t="shared" si="1760"/>
        <v>13</v>
      </c>
      <c r="AE721">
        <f t="shared" si="1760"/>
        <v>12</v>
      </c>
      <c r="AF721">
        <f t="shared" si="1760"/>
        <v>14</v>
      </c>
      <c r="AG721">
        <f t="shared" si="1761"/>
        <v>77</v>
      </c>
      <c r="AH721">
        <f t="shared" si="1762"/>
        <v>78</v>
      </c>
      <c r="AI721">
        <f t="shared" si="1763"/>
        <v>1</v>
      </c>
      <c r="AJ721">
        <f t="shared" si="1764"/>
        <v>2</v>
      </c>
      <c r="AK721">
        <f t="shared" si="1765"/>
        <v>1</v>
      </c>
      <c r="AL721">
        <f t="shared" si="1766"/>
        <v>76</v>
      </c>
    </row>
    <row r="722" spans="1:38" ht="17.149999999999999" x14ac:dyDescent="0.4">
      <c r="B722" t="str">
        <f t="shared" ref="B722:B723" si="1767">B721</f>
        <v>Portland</v>
      </c>
      <c r="C722" s="66" t="s">
        <v>513</v>
      </c>
      <c r="D722" cm="1">
        <f t="array" ref="D722">INDEX(FX_Calcs,$AA722,$AD722)</f>
        <v>0.57999999999999996</v>
      </c>
      <c r="E722" cm="1">
        <f t="array" ref="E722">INDEX(FX_Calcs,$AA722,$AD722)</f>
        <v>0.57999999999999996</v>
      </c>
      <c r="F722" cm="1">
        <f t="array" ref="F722">INDEX(FX_Calcs,$AA722,$AD722)</f>
        <v>0.57999999999999996</v>
      </c>
      <c r="G722" cm="1">
        <f t="array" ref="G722">INDEX(FX_Calcs,$AA722,$AD722)</f>
        <v>0.57999999999999996</v>
      </c>
      <c r="H722" cm="1">
        <f t="array" ref="H722">INDEX(FX_Calcs,$AA722,$AD722)</f>
        <v>0.57999999999999996</v>
      </c>
      <c r="I722" cm="1">
        <f t="array" ref="I722">INDEX(FX_Calcs,$AA722,$AD722)</f>
        <v>0.57999999999999996</v>
      </c>
      <c r="J722" cm="1">
        <f t="array" ref="J722">INDEX(FX_Calcs,$AA722,$AD722)</f>
        <v>0.57999999999999996</v>
      </c>
      <c r="K722" cm="1">
        <f t="array" ref="K722">INDEX(FX_Calcs,$AA722,$AD722)</f>
        <v>0.57999999999999996</v>
      </c>
      <c r="L722" cm="1">
        <f t="array" ref="L722">INDEX(FX_Calcs,$AA722,$AD722)</f>
        <v>0.57999999999999996</v>
      </c>
      <c r="M722" cm="1">
        <f t="array" ref="M722">INDEX(FX_Calcs,$AA722,$AD722)</f>
        <v>0.57999999999999996</v>
      </c>
      <c r="N722" cm="1">
        <f t="array" ref="N722">INDEX(FX_Calcs,$AA722,$AD722)</f>
        <v>0.57999999999999996</v>
      </c>
      <c r="O722" cm="1">
        <f t="array" ref="O722">INDEX(FX_Calcs,$AA722,$AD722)</f>
        <v>0.57999999999999996</v>
      </c>
      <c r="P722" cm="1">
        <f t="array" ref="P722">INDEX(FX_Calcs,$AA722,$AD722)</f>
        <v>0.57999999999999996</v>
      </c>
      <c r="AA722">
        <f>AA721</f>
        <v>52</v>
      </c>
      <c r="AB722">
        <f t="shared" si="1759"/>
        <v>6</v>
      </c>
      <c r="AC722">
        <f t="shared" si="1760"/>
        <v>3</v>
      </c>
      <c r="AD722">
        <f t="shared" si="1760"/>
        <v>13</v>
      </c>
      <c r="AE722">
        <f t="shared" si="1760"/>
        <v>12</v>
      </c>
      <c r="AF722">
        <f t="shared" si="1760"/>
        <v>14</v>
      </c>
      <c r="AG722">
        <f t="shared" si="1761"/>
        <v>77</v>
      </c>
      <c r="AH722">
        <f t="shared" si="1762"/>
        <v>78</v>
      </c>
      <c r="AI722">
        <f t="shared" si="1763"/>
        <v>1</v>
      </c>
      <c r="AJ722">
        <f t="shared" si="1764"/>
        <v>2</v>
      </c>
      <c r="AK722">
        <f t="shared" si="1765"/>
        <v>1</v>
      </c>
      <c r="AL722">
        <f t="shared" si="1766"/>
        <v>76</v>
      </c>
    </row>
    <row r="723" spans="1:38" x14ac:dyDescent="0.4">
      <c r="B723" t="str">
        <f t="shared" si="1767"/>
        <v>Portland</v>
      </c>
      <c r="C723" s="66" t="s">
        <v>558</v>
      </c>
      <c r="D723" cm="1">
        <f t="array" ref="D723">INDEX(FX_Calcs,$AA723,$AF723)</f>
        <v>0.57999999999999996</v>
      </c>
      <c r="E723" cm="1">
        <f t="array" ref="E723">INDEX(FX_Calcs,$AA723,$AF723)</f>
        <v>0.57999999999999996</v>
      </c>
      <c r="F723" cm="1">
        <f t="array" ref="F723">INDEX(FX_Calcs,$AA723,$AF723)</f>
        <v>0.57999999999999996</v>
      </c>
      <c r="G723" cm="1">
        <f t="array" ref="G723">INDEX(FX_Calcs,$AA723,$AF723)</f>
        <v>0.57999999999999996</v>
      </c>
      <c r="H723" cm="1">
        <f t="array" ref="H723">INDEX(FX_Calcs,$AA723,$AF723)</f>
        <v>0.57999999999999996</v>
      </c>
      <c r="I723" cm="1">
        <f t="array" ref="I723">INDEX(FX_Calcs,$AA723,$AF723)</f>
        <v>0.57999999999999996</v>
      </c>
      <c r="J723" cm="1">
        <f t="array" ref="J723">INDEX(FX_Calcs,$AA723,$AF723)</f>
        <v>0.57999999999999996</v>
      </c>
      <c r="K723" cm="1">
        <f t="array" ref="K723">INDEX(FX_Calcs,$AA723,$AF723)</f>
        <v>0.57999999999999996</v>
      </c>
      <c r="L723" cm="1">
        <f t="array" ref="L723">INDEX(FX_Calcs,$AA723,$AF723)</f>
        <v>0.57999999999999996</v>
      </c>
      <c r="M723" cm="1">
        <f t="array" ref="M723">INDEX(FX_Calcs,$AA723,$AF723)</f>
        <v>0.57999999999999996</v>
      </c>
      <c r="N723" cm="1">
        <f t="array" ref="N723">INDEX(FX_Calcs,$AA723,$AF723)</f>
        <v>0.57999999999999996</v>
      </c>
      <c r="O723" cm="1">
        <f t="array" ref="O723">INDEX(FX_Calcs,$AA723,$AF723)</f>
        <v>0.57999999999999996</v>
      </c>
      <c r="P723" cm="1">
        <f t="array" ref="P723">INDEX(FX_Calcs,$AA723,$AF723)</f>
        <v>0.57999999999999996</v>
      </c>
      <c r="AA723">
        <f>AA722</f>
        <v>52</v>
      </c>
      <c r="AB723">
        <f t="shared" si="1759"/>
        <v>6</v>
      </c>
      <c r="AC723">
        <f t="shared" si="1760"/>
        <v>3</v>
      </c>
      <c r="AD723">
        <f t="shared" si="1760"/>
        <v>13</v>
      </c>
      <c r="AE723">
        <f t="shared" si="1760"/>
        <v>12</v>
      </c>
      <c r="AF723">
        <f t="shared" si="1760"/>
        <v>14</v>
      </c>
      <c r="AG723">
        <f t="shared" si="1761"/>
        <v>77</v>
      </c>
      <c r="AH723">
        <f t="shared" si="1762"/>
        <v>78</v>
      </c>
      <c r="AI723">
        <f t="shared" si="1763"/>
        <v>1</v>
      </c>
      <c r="AJ723">
        <f t="shared" si="1764"/>
        <v>2</v>
      </c>
      <c r="AK723">
        <f t="shared" si="1765"/>
        <v>1</v>
      </c>
      <c r="AL723">
        <f t="shared" si="1766"/>
        <v>76</v>
      </c>
    </row>
    <row r="724" spans="1:38" ht="17.149999999999999" x14ac:dyDescent="0.55000000000000004">
      <c r="B724" t="str">
        <f>B720</f>
        <v>Portland</v>
      </c>
      <c r="C724" t="s">
        <v>512</v>
      </c>
      <c r="D724">
        <f t="shared" ref="D724:P724" si="1768">D720-D719</f>
        <v>10.400000000000034</v>
      </c>
      <c r="E724">
        <f t="shared" si="1768"/>
        <v>13.199999999999989</v>
      </c>
      <c r="F724">
        <f t="shared" si="1768"/>
        <v>13.200000000000045</v>
      </c>
      <c r="G724">
        <f t="shared" si="1768"/>
        <v>13.399999999999977</v>
      </c>
      <c r="H724">
        <f t="shared" si="1768"/>
        <v>13.299999999999955</v>
      </c>
      <c r="I724">
        <f t="shared" si="1768"/>
        <v>12.500000000000057</v>
      </c>
      <c r="J724">
        <f t="shared" si="1768"/>
        <v>12.699999999999932</v>
      </c>
      <c r="K724">
        <f t="shared" si="1768"/>
        <v>13.600000000000023</v>
      </c>
      <c r="L724">
        <f t="shared" si="1768"/>
        <v>16.399999999999977</v>
      </c>
      <c r="M724">
        <f t="shared" si="1768"/>
        <v>14.699999999999989</v>
      </c>
      <c r="N724">
        <f t="shared" si="1768"/>
        <v>12.200000000000045</v>
      </c>
      <c r="O724">
        <f t="shared" si="1768"/>
        <v>10</v>
      </c>
      <c r="P724">
        <f t="shared" si="1768"/>
        <v>13</v>
      </c>
    </row>
    <row r="725" spans="1:38" x14ac:dyDescent="0.4">
      <c r="B725" t="str">
        <f t="shared" ref="B725:B732" si="1769">B724</f>
        <v>Portland</v>
      </c>
      <c r="C725" t="s">
        <v>260</v>
      </c>
      <c r="D725">
        <f t="shared" ref="D725:P725" si="1770">VLOOKUP(VLOOKUP($B725,Terminal_X_Ref,2,FALSE)&amp;$C725,Weather_Data,$Y725*D$3+$Z725,FALSE)</f>
        <v>343</v>
      </c>
      <c r="E725">
        <f t="shared" si="1770"/>
        <v>600</v>
      </c>
      <c r="F725">
        <f t="shared" si="1770"/>
        <v>877</v>
      </c>
      <c r="G725">
        <f t="shared" si="1770"/>
        <v>1252</v>
      </c>
      <c r="H725">
        <f t="shared" si="1770"/>
        <v>1537</v>
      </c>
      <c r="I725">
        <f t="shared" si="1770"/>
        <v>1627</v>
      </c>
      <c r="J725">
        <f t="shared" si="1770"/>
        <v>1708</v>
      </c>
      <c r="K725">
        <f t="shared" si="1770"/>
        <v>1492</v>
      </c>
      <c r="L725">
        <f t="shared" si="1770"/>
        <v>1196</v>
      </c>
      <c r="M725">
        <f t="shared" si="1770"/>
        <v>728</v>
      </c>
      <c r="N725">
        <f t="shared" si="1770"/>
        <v>391</v>
      </c>
      <c r="O725">
        <f t="shared" si="1770"/>
        <v>302</v>
      </c>
      <c r="P725">
        <f t="shared" si="1770"/>
        <v>1005</v>
      </c>
      <c r="U725">
        <f>U720</f>
        <v>2</v>
      </c>
      <c r="V725">
        <f t="shared" ref="V725:Z725" si="1771">V720</f>
        <v>3</v>
      </c>
      <c r="W725">
        <f t="shared" si="1771"/>
        <v>1</v>
      </c>
      <c r="X725">
        <f t="shared" si="1771"/>
        <v>2</v>
      </c>
      <c r="Y725">
        <f t="shared" si="1771"/>
        <v>1</v>
      </c>
      <c r="Z725">
        <f t="shared" si="1771"/>
        <v>1</v>
      </c>
    </row>
    <row r="726" spans="1:38" ht="17.149999999999999" x14ac:dyDescent="0.55000000000000004">
      <c r="B726" t="str">
        <f t="shared" si="1769"/>
        <v>Portland</v>
      </c>
      <c r="C726" t="s">
        <v>523</v>
      </c>
      <c r="D726">
        <f>IF(ISNUMBER(D723),0.7*D724+0.02*D723*D725,IF(D723="Partially Insulated",0.6*D724+0.02*D722*D725,0))</f>
        <v>11.258800000000022</v>
      </c>
      <c r="E726">
        <f t="shared" ref="E726:P726" si="1772">IF(ISNUMBER(E723),0.7*E724+0.02*E723*E725,IF(E723="Partially Insulated",0.6*E724+0.02*E722*E725,0))</f>
        <v>16.199999999999989</v>
      </c>
      <c r="F726">
        <f t="shared" si="1772"/>
        <v>19.413200000000032</v>
      </c>
      <c r="G726">
        <f t="shared" si="1772"/>
        <v>23.903199999999984</v>
      </c>
      <c r="H726">
        <f t="shared" si="1772"/>
        <v>27.139199999999967</v>
      </c>
      <c r="I726">
        <f t="shared" si="1772"/>
        <v>27.623200000000036</v>
      </c>
      <c r="J726">
        <f t="shared" si="1772"/>
        <v>28.70279999999995</v>
      </c>
      <c r="K726">
        <f t="shared" si="1772"/>
        <v>26.827200000000012</v>
      </c>
      <c r="L726">
        <f t="shared" si="1772"/>
        <v>25.353599999999982</v>
      </c>
      <c r="M726">
        <f t="shared" si="1772"/>
        <v>18.734799999999993</v>
      </c>
      <c r="N726">
        <f t="shared" si="1772"/>
        <v>13.07560000000003</v>
      </c>
      <c r="O726">
        <f t="shared" si="1772"/>
        <v>10.5032</v>
      </c>
      <c r="P726">
        <f t="shared" si="1772"/>
        <v>20.757999999999999</v>
      </c>
    </row>
    <row r="727" spans="1:38" ht="17.149999999999999" x14ac:dyDescent="0.55000000000000004">
      <c r="B727" t="str">
        <f t="shared" si="1769"/>
        <v>Portland</v>
      </c>
      <c r="C727" t="s">
        <v>524</v>
      </c>
      <c r="D727">
        <f t="shared" ref="D727:F727" si="1773">AVERAGE(D719:D720)</f>
        <v>503.5</v>
      </c>
      <c r="E727">
        <f t="shared" si="1773"/>
        <v>504.30000000000007</v>
      </c>
      <c r="F727">
        <f t="shared" si="1773"/>
        <v>505.70000000000005</v>
      </c>
      <c r="G727">
        <f>AVERAGE(G719:G720)</f>
        <v>508.2</v>
      </c>
      <c r="H727">
        <f t="shared" ref="H727:P727" si="1774">AVERAGE(H719:H720)</f>
        <v>512.75</v>
      </c>
      <c r="I727">
        <f t="shared" si="1774"/>
        <v>516.55000000000007</v>
      </c>
      <c r="J727">
        <f t="shared" si="1774"/>
        <v>520.04999999999995</v>
      </c>
      <c r="K727">
        <f t="shared" si="1774"/>
        <v>520.5</v>
      </c>
      <c r="L727">
        <f t="shared" si="1774"/>
        <v>518.20000000000005</v>
      </c>
      <c r="M727">
        <f t="shared" si="1774"/>
        <v>512.25</v>
      </c>
      <c r="N727">
        <f t="shared" si="1774"/>
        <v>506.70000000000005</v>
      </c>
      <c r="O727">
        <f t="shared" si="1774"/>
        <v>503.20000000000005</v>
      </c>
      <c r="P727">
        <f t="shared" si="1774"/>
        <v>51.4</v>
      </c>
    </row>
    <row r="728" spans="1:38" ht="17.149999999999999" x14ac:dyDescent="0.55000000000000004">
      <c r="B728" t="str">
        <f t="shared" si="1769"/>
        <v>Portland</v>
      </c>
      <c r="C728" t="s">
        <v>525</v>
      </c>
      <c r="D728" cm="1">
        <f t="array" ref="D728">IFERROR(IF(ISBLANK(INDEX(FX_Input,$R719,D$3*$AK719+$AL719)),D727+0.003*D721*D725,INDEX(FX_Input,$R719,D$3*$AK719+$AL719)+459.6),D727)</f>
        <v>504.09681999999998</v>
      </c>
      <c r="E728" cm="1">
        <f t="array" ref="E728">IFERROR(IF(ISBLANK(INDEX(FX_Input,$R719,E$3*$AK719+$AL719)),E727+0.003*E721*E725,INDEX(FX_Input,$R719,E$3*$AK719+$AL719)+459.6),E727)</f>
        <v>505.34400000000005</v>
      </c>
      <c r="F728" cm="1">
        <f t="array" ref="F728">IFERROR(IF(ISBLANK(INDEX(FX_Input,$R719,F$3*$AK719+$AL719)),F727+0.003*F721*F725,INDEX(FX_Input,$R719,F$3*$AK719+$AL719)+459.6),F727)</f>
        <v>507.22598000000005</v>
      </c>
      <c r="G728" cm="1">
        <f t="array" ref="G728">IFERROR(IF(ISBLANK(INDEX(FX_Input,$R719,G$3*$AK719+$AL719)),G727+0.003*G721*G725,INDEX(FX_Input,$R719,G$3*$AK719+$AL719)+459.6),G727)</f>
        <v>510.37847999999997</v>
      </c>
      <c r="H728" cm="1">
        <f t="array" ref="H728">IFERROR(IF(ISBLANK(INDEX(FX_Input,$R719,H$3*$AK719+$AL719)),H727+0.003*H721*H725,INDEX(FX_Input,$R719,H$3*$AK719+$AL719)+459.6),H727)</f>
        <v>515.42438000000004</v>
      </c>
      <c r="I728" cm="1">
        <f t="array" ref="I728">IFERROR(IF(ISBLANK(INDEX(FX_Input,$R719,I$3*$AK719+$AL719)),I727+0.003*I721*I725,INDEX(FX_Input,$R719,I$3*$AK719+$AL719)+459.6),I727)</f>
        <v>519.38098000000002</v>
      </c>
      <c r="J728" cm="1">
        <f t="array" ref="J728">IFERROR(IF(ISBLANK(INDEX(FX_Input,$R719,J$3*$AK719+$AL719)),J727+0.003*J721*J725,INDEX(FX_Input,$R719,J$3*$AK719+$AL719)+459.6),J727)</f>
        <v>523.02191999999991</v>
      </c>
      <c r="K728" cm="1">
        <f t="array" ref="K728">IFERROR(IF(ISBLANK(INDEX(FX_Input,$R719,K$3*$AK719+$AL719)),K727+0.003*K721*K725,INDEX(FX_Input,$R719,K$3*$AK719+$AL719)+459.6),K727)</f>
        <v>523.09608000000003</v>
      </c>
      <c r="L728" cm="1">
        <f t="array" ref="L728">IFERROR(IF(ISBLANK(INDEX(FX_Input,$R719,L$3*$AK719+$AL719)),L727+0.003*L721*L725,INDEX(FX_Input,$R719,L$3*$AK719+$AL719)+459.6),L727)</f>
        <v>520.28104000000008</v>
      </c>
      <c r="M728" cm="1">
        <f t="array" ref="M728">IFERROR(IF(ISBLANK(INDEX(FX_Input,$R719,M$3*$AK719+$AL719)),M727+0.003*M721*M725,INDEX(FX_Input,$R719,M$3*$AK719+$AL719)+459.6),M727)</f>
        <v>513.51671999999996</v>
      </c>
      <c r="N728" cm="1">
        <f t="array" ref="N728">IFERROR(IF(ISBLANK(INDEX(FX_Input,$R719,N$3*$AK719+$AL719)),N727+0.003*N721*N725,INDEX(FX_Input,$R719,N$3*$AK719+$AL719)+459.6),N727)</f>
        <v>507.38034000000005</v>
      </c>
      <c r="O728" cm="1">
        <f t="array" ref="O728">IFERROR(IF(ISBLANK(INDEX(FX_Input,$R719,O$3*$AK719+$AL719)),O727+0.003*O721*O725,INDEX(FX_Input,$R719,O$3*$AK719+$AL719)+459.6),O727)</f>
        <v>503.72548000000006</v>
      </c>
      <c r="P728" cm="1">
        <f t="array" ref="P728">IFERROR(IF(ISBLANK(INDEX(FX_Input,$R719,P$3*$AK719+$AL719)),P727+0.003*P721*P725,INDEX(FX_Input,$R719,P$3*$AK719+$AL719)+459.6),P727)</f>
        <v>5749.6</v>
      </c>
    </row>
    <row r="729" spans="1:38" ht="17.149999999999999" x14ac:dyDescent="0.55000000000000004">
      <c r="B729" t="str">
        <f t="shared" si="1769"/>
        <v>Portland</v>
      </c>
      <c r="C729" t="s">
        <v>526</v>
      </c>
      <c r="D729">
        <f>IF(ISNUMBER(D723),0.4*D719+0.6*D728+0.005*D723*D725,IF(D723="Partially Insulated",0.3*D727+0.7*D728+0.005*D722*D725,D728))-459.6</f>
        <v>43.172792000000015</v>
      </c>
      <c r="E729">
        <f t="shared" ref="E729" si="1775">IF(ISNUMBER(E723),0.4*E719+0.6*E728+0.005*E723*E725,IF(E723="Partially Insulated",0.3*E727+0.7*E728+0.005*E722*E725,E728))-459.6</f>
        <v>44.426400000000058</v>
      </c>
      <c r="F729">
        <f t="shared" ref="F729" si="1776">IF(ISNUMBER(F723),0.4*F719+0.6*F728+0.005*F723*F725,IF(F723="Partially Insulated",0.3*F727+0.7*F728+0.005*F722*F725,F728))-459.6</f>
        <v>46.918887999999981</v>
      </c>
      <c r="G729">
        <f t="shared" ref="G729" si="1777">IF(ISNUMBER(G723),0.4*G719+0.6*G728+0.005*G723*G725,IF(G723="Partially Insulated",0.3*G727+0.7*G728+0.005*G722*G725,G728))-459.6</f>
        <v>50.857888000000003</v>
      </c>
      <c r="H729">
        <f t="shared" ref="H729" si="1778">IF(ISNUMBER(H723),0.4*H719+0.6*H728+0.005*H723*H725,IF(H723="Partially Insulated",0.3*H727+0.7*H728+0.005*H722*H725,H728))-459.6</f>
        <v>56.551928000000089</v>
      </c>
      <c r="I729">
        <f t="shared" ref="I729" si="1779">IF(ISNUMBER(I723),0.4*I719+0.6*I728+0.005*I723*I725,IF(I723="Partially Insulated",0.3*I727+0.7*I728+0.005*I722*I725,I728))-459.6</f>
        <v>60.866887999999904</v>
      </c>
      <c r="J729">
        <f t="shared" ref="J729" si="1780">IF(ISNUMBER(J723),0.4*J719+0.6*J728+0.005*J723*J725,IF(J723="Partially Insulated",0.3*J727+0.7*J728+0.005*J722*J725,J728))-459.6</f>
        <v>64.646351999999979</v>
      </c>
      <c r="K729">
        <f t="shared" ref="K729" si="1781">IF(ISNUMBER(K723),0.4*K719+0.6*K728+0.005*K723*K725,IF(K723="Partially Insulated",0.3*K727+0.7*K728+0.005*K722*K725,K728))-459.6</f>
        <v>64.06444799999997</v>
      </c>
      <c r="L729">
        <f t="shared" ref="L729" si="1782">IF(ISNUMBER(L723),0.4*L719+0.6*L728+0.005*L723*L725,IF(L723="Partially Insulated",0.3*L727+0.7*L728+0.005*L722*L725,L728))-459.6</f>
        <v>60.037023999999974</v>
      </c>
      <c r="M729">
        <f t="shared" ref="M729" si="1783">IF(ISNUMBER(M723),0.4*M719+0.6*M728+0.005*M723*M725,IF(M723="Partially Insulated",0.3*M727+0.7*M728+0.005*M722*M725,M728))-459.6</f>
        <v>52.581232</v>
      </c>
      <c r="N729">
        <f t="shared" ref="N729" si="1784">IF(ISNUMBER(N723),0.4*N719+0.6*N728+0.005*N723*N725,IF(N723="Partially Insulated",0.3*N727+0.7*N728+0.005*N722*N725,N728))-459.6</f>
        <v>46.202103999999963</v>
      </c>
      <c r="O729">
        <f t="shared" ref="O729" si="1785">IF(ISNUMBER(O723),0.4*O719+0.6*O728+0.005*O723*O725,IF(O723="Partially Insulated",0.3*O727+0.7*O728+0.005*O722*O725,O728))-459.6</f>
        <v>42.791088000000059</v>
      </c>
      <c r="P729">
        <f>AVERAGE(D729:O729)</f>
        <v>52.759752666666664</v>
      </c>
    </row>
    <row r="730" spans="1:38" ht="17.149999999999999" x14ac:dyDescent="0.55000000000000004">
      <c r="B730" t="str">
        <f t="shared" si="1769"/>
        <v>Portland</v>
      </c>
      <c r="C730" t="s">
        <v>527</v>
      </c>
      <c r="D730">
        <f>IF(ISNUMBER(D723),0.4*D720+0.6*D728+0.005*D723*D725,IF(D723="Partially Insulated",0.3*D727+0.7*D728+0.005*D722*D725,D728))-459.6</f>
        <v>47.332791999999984</v>
      </c>
      <c r="E730">
        <f t="shared" ref="E730:O730" si="1786">IF(ISNUMBER(E723),0.4*E720+0.6*E728+0.005*E723*E725,IF(E723="Partially Insulated",0.3*E727+0.7*E728+0.005*E722*E725,E728))-459.6</f>
        <v>49.706400000000031</v>
      </c>
      <c r="F730">
        <f t="shared" si="1786"/>
        <v>52.198888000000068</v>
      </c>
      <c r="G730">
        <f t="shared" si="1786"/>
        <v>56.217888000000016</v>
      </c>
      <c r="H730">
        <f t="shared" si="1786"/>
        <v>61.871928000000025</v>
      </c>
      <c r="I730">
        <f t="shared" si="1786"/>
        <v>65.866888000000017</v>
      </c>
      <c r="J730">
        <f t="shared" si="1786"/>
        <v>69.726351999999906</v>
      </c>
      <c r="K730">
        <f t="shared" si="1786"/>
        <v>69.504448000000025</v>
      </c>
      <c r="L730">
        <f t="shared" si="1786"/>
        <v>66.597024000000033</v>
      </c>
      <c r="M730">
        <f t="shared" si="1786"/>
        <v>58.461231999999995</v>
      </c>
      <c r="N730">
        <f t="shared" si="1786"/>
        <v>51.082104000000015</v>
      </c>
      <c r="O730">
        <f t="shared" si="1786"/>
        <v>46.791088000000059</v>
      </c>
      <c r="P730">
        <f>AVERAGE(D730:O730)</f>
        <v>57.946419333333353</v>
      </c>
    </row>
    <row r="731" spans="1:38" ht="17.149999999999999" x14ac:dyDescent="0.55000000000000004">
      <c r="B731" t="str">
        <f t="shared" si="1769"/>
        <v>Portland</v>
      </c>
      <c r="C731" t="s">
        <v>552</v>
      </c>
      <c r="D731">
        <f>IF(ISNUMBER(D723),0.4*D727+0.6*D728+0.005*D723*D725,IF(D723="Partially Insulated",0.3*D727+0.7*D728+0.005*D722*D725,D728))-459.6</f>
        <v>45.252791999999943</v>
      </c>
      <c r="E731">
        <f t="shared" ref="E731:O731" si="1787">IF(ISNUMBER(E723),0.4*E727+0.6*E728+0.005*E723*E725,IF(E723="Partially Insulated",0.3*E727+0.7*E728+0.005*E722*E725,E728))-459.6</f>
        <v>47.066400000000044</v>
      </c>
      <c r="F731">
        <f t="shared" si="1787"/>
        <v>49.558888000000024</v>
      </c>
      <c r="G731">
        <f t="shared" si="1787"/>
        <v>53.537887999999953</v>
      </c>
      <c r="H731">
        <f t="shared" si="1787"/>
        <v>59.211928000000057</v>
      </c>
      <c r="I731">
        <f t="shared" si="1787"/>
        <v>63.366888000000017</v>
      </c>
      <c r="J731">
        <f t="shared" si="1787"/>
        <v>67.186351999999943</v>
      </c>
      <c r="K731">
        <f t="shared" si="1787"/>
        <v>66.784447999999998</v>
      </c>
      <c r="L731">
        <f t="shared" si="1787"/>
        <v>63.31702400000006</v>
      </c>
      <c r="M731">
        <f t="shared" si="1787"/>
        <v>55.521232000000055</v>
      </c>
      <c r="N731">
        <f t="shared" si="1787"/>
        <v>48.642103999999961</v>
      </c>
      <c r="O731">
        <f t="shared" si="1787"/>
        <v>44.791088000000059</v>
      </c>
      <c r="P731">
        <f>AVERAGE(D731:O731)</f>
        <v>55.353086000000012</v>
      </c>
    </row>
    <row r="732" spans="1:38" ht="17.149999999999999" x14ac:dyDescent="0.55000000000000004">
      <c r="A732" s="11"/>
      <c r="B732" s="11" t="str">
        <f t="shared" si="1769"/>
        <v>Portland</v>
      </c>
      <c r="C732" s="11" t="s">
        <v>553</v>
      </c>
      <c r="D732" s="11">
        <f>IF(ISNUMBER(D723),0.7*D727+0.3*D728+0.009*D723*D725,IF(D723="Partially Insulated",0.6*D727+0.4*D728+0.01*D722*D725,D728))-459.6</f>
        <v>45.869505999999944</v>
      </c>
      <c r="E732" s="11">
        <f t="shared" ref="E732:O732" si="1788">IF(ISNUMBER(E723),0.7*E727+0.3*E728+0.009*E723*E725,IF(E723="Partially Insulated",0.6*E727+0.4*E728+0.01*E722*E725,E728))-459.6</f>
        <v>48.145200000000045</v>
      </c>
      <c r="F732" s="11">
        <f t="shared" si="1788"/>
        <v>51.135734000000014</v>
      </c>
      <c r="G732" s="11">
        <f t="shared" si="1788"/>
        <v>55.788983999999914</v>
      </c>
      <c r="H732" s="11">
        <f t="shared" si="1788"/>
        <v>61.975454000000013</v>
      </c>
      <c r="I732" s="11">
        <f t="shared" si="1788"/>
        <v>66.292234000000008</v>
      </c>
      <c r="J732" s="11">
        <f t="shared" si="1788"/>
        <v>70.257335999999896</v>
      </c>
      <c r="K732" s="11">
        <f t="shared" si="1788"/>
        <v>69.467063999999937</v>
      </c>
      <c r="L732" s="11">
        <f t="shared" si="1788"/>
        <v>65.467431999999917</v>
      </c>
      <c r="M732" s="11">
        <f t="shared" si="1788"/>
        <v>56.830175999999938</v>
      </c>
      <c r="N732" s="11">
        <f t="shared" si="1788"/>
        <v>49.345121999999947</v>
      </c>
      <c r="O732" s="11">
        <f t="shared" si="1788"/>
        <v>45.334084000000018</v>
      </c>
      <c r="P732" s="11">
        <f>AVERAGE(D732:O732)</f>
        <v>57.159027166666625</v>
      </c>
      <c r="Q732" s="11"/>
      <c r="R732" s="11"/>
      <c r="S732" s="11"/>
      <c r="T732" s="11"/>
      <c r="U732" s="11"/>
      <c r="V732" s="11"/>
      <c r="W732" s="11"/>
      <c r="X732" s="11"/>
      <c r="Y732" s="11"/>
      <c r="Z732" s="11"/>
      <c r="AA732" s="11"/>
      <c r="AB732" s="11"/>
      <c r="AC732" s="11"/>
      <c r="AD732" s="11"/>
      <c r="AE732" s="11"/>
      <c r="AF732" s="11"/>
      <c r="AG732" s="11"/>
      <c r="AH732" s="11"/>
      <c r="AI732" s="11"/>
      <c r="AJ732" s="11"/>
      <c r="AK732" s="11"/>
      <c r="AL732" s="11"/>
    </row>
    <row r="733" spans="1:38" ht="17.149999999999999" x14ac:dyDescent="0.55000000000000004">
      <c r="A733" t="str" cm="1">
        <f t="array" ref="A733">INDEX(FX_Input,$R733,S$5)</f>
        <v>FX - 53</v>
      </c>
      <c r="B733" t="str" cm="1">
        <f t="array" ref="B733">INDEX(FX_Input,R733,T733)</f>
        <v>Portland</v>
      </c>
      <c r="C733" t="s">
        <v>510</v>
      </c>
      <c r="D733">
        <f t="shared" ref="D733:O734" si="1789">VLOOKUP(VLOOKUP($B733,Terminal_X_Ref,2,FALSE)&amp;$C733,Weather_Data,$Y733*D$3+$Z733,FALSE)+459.6</f>
        <v>498.3</v>
      </c>
      <c r="E733">
        <f t="shared" si="1789"/>
        <v>497.70000000000005</v>
      </c>
      <c r="F733">
        <f t="shared" si="1789"/>
        <v>499.1</v>
      </c>
      <c r="G733">
        <f t="shared" si="1789"/>
        <v>501.5</v>
      </c>
      <c r="H733">
        <f t="shared" si="1789"/>
        <v>506.1</v>
      </c>
      <c r="I733">
        <f t="shared" si="1789"/>
        <v>510.3</v>
      </c>
      <c r="J733">
        <f t="shared" si="1789"/>
        <v>513.70000000000005</v>
      </c>
      <c r="K733">
        <f t="shared" si="1789"/>
        <v>513.70000000000005</v>
      </c>
      <c r="L733">
        <f t="shared" si="1789"/>
        <v>510</v>
      </c>
      <c r="M733">
        <f t="shared" si="1789"/>
        <v>504.90000000000003</v>
      </c>
      <c r="N733">
        <f t="shared" si="1789"/>
        <v>500.6</v>
      </c>
      <c r="O733">
        <f t="shared" si="1789"/>
        <v>498.20000000000005</v>
      </c>
      <c r="P733">
        <f t="shared" ref="P733:P734" si="1790">VLOOKUP(VLOOKUP($B733,Terminal_X_Ref,2,FALSE)&amp;$C733,Weather_Data,$Y733*P$3+$Z733,FALSE)</f>
        <v>44.9</v>
      </c>
      <c r="R733">
        <f>R719+2</f>
        <v>105</v>
      </c>
      <c r="S733">
        <f>S719+1</f>
        <v>53</v>
      </c>
      <c r="T733">
        <v>3</v>
      </c>
      <c r="U733">
        <v>2</v>
      </c>
      <c r="V733">
        <v>3</v>
      </c>
      <c r="W733">
        <v>1</v>
      </c>
      <c r="X733">
        <v>2</v>
      </c>
      <c r="Y733">
        <f>(V733-U733)/(X733-W733)</f>
        <v>1</v>
      </c>
      <c r="Z733">
        <f>U733-Y733*W733</f>
        <v>1</v>
      </c>
      <c r="AA733">
        <f>AA719+1</f>
        <v>53</v>
      </c>
      <c r="AB733">
        <v>6</v>
      </c>
      <c r="AC733">
        <v>3</v>
      </c>
      <c r="AD733">
        <v>13</v>
      </c>
      <c r="AE733">
        <v>12</v>
      </c>
      <c r="AF733">
        <v>14</v>
      </c>
      <c r="AG733">
        <v>77</v>
      </c>
      <c r="AH733">
        <v>78</v>
      </c>
      <c r="AI733">
        <v>1</v>
      </c>
      <c r="AJ733">
        <v>2</v>
      </c>
      <c r="AK733">
        <f>(AH733-AG733)/(AJ733-AI733)</f>
        <v>1</v>
      </c>
      <c r="AL733">
        <f>AG733-AK733*AI733</f>
        <v>76</v>
      </c>
    </row>
    <row r="734" spans="1:38" ht="17.149999999999999" x14ac:dyDescent="0.55000000000000004">
      <c r="B734" t="str">
        <f t="shared" ref="B734" si="1791">B733</f>
        <v>Portland</v>
      </c>
      <c r="C734" t="s">
        <v>511</v>
      </c>
      <c r="D734">
        <f t="shared" si="1789"/>
        <v>508.70000000000005</v>
      </c>
      <c r="E734">
        <f t="shared" si="1789"/>
        <v>510.90000000000003</v>
      </c>
      <c r="F734">
        <f t="shared" si="1789"/>
        <v>512.30000000000007</v>
      </c>
      <c r="G734">
        <f t="shared" si="1789"/>
        <v>514.9</v>
      </c>
      <c r="H734">
        <f t="shared" si="1789"/>
        <v>519.4</v>
      </c>
      <c r="I734">
        <f t="shared" si="1789"/>
        <v>522.80000000000007</v>
      </c>
      <c r="J734">
        <f t="shared" si="1789"/>
        <v>526.4</v>
      </c>
      <c r="K734">
        <f t="shared" si="1789"/>
        <v>527.30000000000007</v>
      </c>
      <c r="L734">
        <f t="shared" si="1789"/>
        <v>526.4</v>
      </c>
      <c r="M734">
        <f t="shared" si="1789"/>
        <v>519.6</v>
      </c>
      <c r="N734">
        <f t="shared" si="1789"/>
        <v>512.80000000000007</v>
      </c>
      <c r="O734">
        <f t="shared" si="1789"/>
        <v>508.20000000000005</v>
      </c>
      <c r="P734">
        <f t="shared" si="1790"/>
        <v>57.9</v>
      </c>
      <c r="U734">
        <f>U733</f>
        <v>2</v>
      </c>
      <c r="V734">
        <f t="shared" ref="V734:Z734" si="1792">V733</f>
        <v>3</v>
      </c>
      <c r="W734">
        <f t="shared" si="1792"/>
        <v>1</v>
      </c>
      <c r="X734">
        <f t="shared" si="1792"/>
        <v>2</v>
      </c>
      <c r="Y734">
        <f t="shared" si="1792"/>
        <v>1</v>
      </c>
      <c r="Z734">
        <f t="shared" si="1792"/>
        <v>1</v>
      </c>
      <c r="AA734">
        <f>AA733</f>
        <v>53</v>
      </c>
      <c r="AB734">
        <f t="shared" ref="AB734:AB737" si="1793">AB733</f>
        <v>6</v>
      </c>
      <c r="AC734">
        <f t="shared" ref="AC734:AF737" si="1794">AC733</f>
        <v>3</v>
      </c>
      <c r="AD734">
        <f t="shared" si="1794"/>
        <v>13</v>
      </c>
      <c r="AE734">
        <f t="shared" si="1794"/>
        <v>12</v>
      </c>
      <c r="AF734">
        <f t="shared" si="1794"/>
        <v>14</v>
      </c>
      <c r="AG734">
        <f t="shared" ref="AG734:AG737" si="1795">AG733</f>
        <v>77</v>
      </c>
      <c r="AH734">
        <f t="shared" ref="AH734:AH737" si="1796">AH733</f>
        <v>78</v>
      </c>
      <c r="AI734">
        <f t="shared" ref="AI734:AI737" si="1797">AI733</f>
        <v>1</v>
      </c>
      <c r="AJ734">
        <f t="shared" ref="AJ734:AJ737" si="1798">AJ733</f>
        <v>2</v>
      </c>
      <c r="AK734">
        <f t="shared" ref="AK734:AK737" si="1799">AK733</f>
        <v>1</v>
      </c>
      <c r="AL734">
        <f t="shared" ref="AL734:AL737" si="1800">AL733</f>
        <v>76</v>
      </c>
    </row>
    <row r="735" spans="1:38" ht="17.149999999999999" x14ac:dyDescent="0.4">
      <c r="B735" t="str">
        <f>B734</f>
        <v>Portland</v>
      </c>
      <c r="C735" s="66" t="s">
        <v>514</v>
      </c>
      <c r="D735" cm="1">
        <f t="array" ref="D735">INDEX(FX_Calcs,$AA735,$AE735)</f>
        <v>0.57999999999999996</v>
      </c>
      <c r="E735" cm="1">
        <f t="array" ref="E735">INDEX(FX_Calcs,$AA735,$AE735)</f>
        <v>0.57999999999999996</v>
      </c>
      <c r="F735" cm="1">
        <f t="array" ref="F735">INDEX(FX_Calcs,$AA735,$AE735)</f>
        <v>0.57999999999999996</v>
      </c>
      <c r="G735" cm="1">
        <f t="array" ref="G735">INDEX(FX_Calcs,$AA735,$AE735)</f>
        <v>0.57999999999999996</v>
      </c>
      <c r="H735" cm="1">
        <f t="array" ref="H735">INDEX(FX_Calcs,$AA735,$AE735)</f>
        <v>0.57999999999999996</v>
      </c>
      <c r="I735" cm="1">
        <f t="array" ref="I735">INDEX(FX_Calcs,$AA735,$AE735)</f>
        <v>0.57999999999999996</v>
      </c>
      <c r="J735" cm="1">
        <f t="array" ref="J735">INDEX(FX_Calcs,$AA735,$AE735)</f>
        <v>0.57999999999999996</v>
      </c>
      <c r="K735" cm="1">
        <f t="array" ref="K735">INDEX(FX_Calcs,$AA735,$AE735)</f>
        <v>0.57999999999999996</v>
      </c>
      <c r="L735" cm="1">
        <f t="array" ref="L735">INDEX(FX_Calcs,$AA735,$AE735)</f>
        <v>0.57999999999999996</v>
      </c>
      <c r="M735" cm="1">
        <f t="array" ref="M735">INDEX(FX_Calcs,$AA735,$AE735)</f>
        <v>0.57999999999999996</v>
      </c>
      <c r="N735" cm="1">
        <f t="array" ref="N735">INDEX(FX_Calcs,$AA735,$AE735)</f>
        <v>0.57999999999999996</v>
      </c>
      <c r="O735" cm="1">
        <f t="array" ref="O735">INDEX(FX_Calcs,$AA735,$AE735)</f>
        <v>0.57999999999999996</v>
      </c>
      <c r="P735" cm="1">
        <f t="array" ref="P735">INDEX(FX_Calcs,$AA735,$AE735)</f>
        <v>0.57999999999999996</v>
      </c>
      <c r="AA735">
        <f>AA734</f>
        <v>53</v>
      </c>
      <c r="AB735">
        <f t="shared" si="1793"/>
        <v>6</v>
      </c>
      <c r="AC735">
        <f t="shared" si="1794"/>
        <v>3</v>
      </c>
      <c r="AD735">
        <f t="shared" si="1794"/>
        <v>13</v>
      </c>
      <c r="AE735">
        <f t="shared" si="1794"/>
        <v>12</v>
      </c>
      <c r="AF735">
        <f t="shared" si="1794"/>
        <v>14</v>
      </c>
      <c r="AG735">
        <f t="shared" si="1795"/>
        <v>77</v>
      </c>
      <c r="AH735">
        <f t="shared" si="1796"/>
        <v>78</v>
      </c>
      <c r="AI735">
        <f t="shared" si="1797"/>
        <v>1</v>
      </c>
      <c r="AJ735">
        <f t="shared" si="1798"/>
        <v>2</v>
      </c>
      <c r="AK735">
        <f t="shared" si="1799"/>
        <v>1</v>
      </c>
      <c r="AL735">
        <f t="shared" si="1800"/>
        <v>76</v>
      </c>
    </row>
    <row r="736" spans="1:38" ht="17.149999999999999" x14ac:dyDescent="0.4">
      <c r="B736" t="str">
        <f t="shared" ref="B736:B737" si="1801">B735</f>
        <v>Portland</v>
      </c>
      <c r="C736" s="66" t="s">
        <v>513</v>
      </c>
      <c r="D736" cm="1">
        <f t="array" ref="D736">INDEX(FX_Calcs,$AA736,$AD736)</f>
        <v>0.57999999999999996</v>
      </c>
      <c r="E736" cm="1">
        <f t="array" ref="E736">INDEX(FX_Calcs,$AA736,$AD736)</f>
        <v>0.57999999999999996</v>
      </c>
      <c r="F736" cm="1">
        <f t="array" ref="F736">INDEX(FX_Calcs,$AA736,$AD736)</f>
        <v>0.57999999999999996</v>
      </c>
      <c r="G736" cm="1">
        <f t="array" ref="G736">INDEX(FX_Calcs,$AA736,$AD736)</f>
        <v>0.57999999999999996</v>
      </c>
      <c r="H736" cm="1">
        <f t="array" ref="H736">INDEX(FX_Calcs,$AA736,$AD736)</f>
        <v>0.57999999999999996</v>
      </c>
      <c r="I736" cm="1">
        <f t="array" ref="I736">INDEX(FX_Calcs,$AA736,$AD736)</f>
        <v>0.57999999999999996</v>
      </c>
      <c r="J736" cm="1">
        <f t="array" ref="J736">INDEX(FX_Calcs,$AA736,$AD736)</f>
        <v>0.57999999999999996</v>
      </c>
      <c r="K736" cm="1">
        <f t="array" ref="K736">INDEX(FX_Calcs,$AA736,$AD736)</f>
        <v>0.57999999999999996</v>
      </c>
      <c r="L736" cm="1">
        <f t="array" ref="L736">INDEX(FX_Calcs,$AA736,$AD736)</f>
        <v>0.57999999999999996</v>
      </c>
      <c r="M736" cm="1">
        <f t="array" ref="M736">INDEX(FX_Calcs,$AA736,$AD736)</f>
        <v>0.57999999999999996</v>
      </c>
      <c r="N736" cm="1">
        <f t="array" ref="N736">INDEX(FX_Calcs,$AA736,$AD736)</f>
        <v>0.57999999999999996</v>
      </c>
      <c r="O736" cm="1">
        <f t="array" ref="O736">INDEX(FX_Calcs,$AA736,$AD736)</f>
        <v>0.57999999999999996</v>
      </c>
      <c r="P736" cm="1">
        <f t="array" ref="P736">INDEX(FX_Calcs,$AA736,$AD736)</f>
        <v>0.57999999999999996</v>
      </c>
      <c r="AA736">
        <f>AA735</f>
        <v>53</v>
      </c>
      <c r="AB736">
        <f t="shared" si="1793"/>
        <v>6</v>
      </c>
      <c r="AC736">
        <f t="shared" si="1794"/>
        <v>3</v>
      </c>
      <c r="AD736">
        <f t="shared" si="1794"/>
        <v>13</v>
      </c>
      <c r="AE736">
        <f t="shared" si="1794"/>
        <v>12</v>
      </c>
      <c r="AF736">
        <f t="shared" si="1794"/>
        <v>14</v>
      </c>
      <c r="AG736">
        <f t="shared" si="1795"/>
        <v>77</v>
      </c>
      <c r="AH736">
        <f t="shared" si="1796"/>
        <v>78</v>
      </c>
      <c r="AI736">
        <f t="shared" si="1797"/>
        <v>1</v>
      </c>
      <c r="AJ736">
        <f t="shared" si="1798"/>
        <v>2</v>
      </c>
      <c r="AK736">
        <f t="shared" si="1799"/>
        <v>1</v>
      </c>
      <c r="AL736">
        <f t="shared" si="1800"/>
        <v>76</v>
      </c>
    </row>
    <row r="737" spans="1:38" x14ac:dyDescent="0.4">
      <c r="B737" t="str">
        <f t="shared" si="1801"/>
        <v>Portland</v>
      </c>
      <c r="C737" s="66" t="s">
        <v>558</v>
      </c>
      <c r="D737" cm="1">
        <f t="array" ref="D737">INDEX(FX_Calcs,$AA737,$AF737)</f>
        <v>0.57999999999999996</v>
      </c>
      <c r="E737" cm="1">
        <f t="array" ref="E737">INDEX(FX_Calcs,$AA737,$AF737)</f>
        <v>0.57999999999999996</v>
      </c>
      <c r="F737" cm="1">
        <f t="array" ref="F737">INDEX(FX_Calcs,$AA737,$AF737)</f>
        <v>0.57999999999999996</v>
      </c>
      <c r="G737" cm="1">
        <f t="array" ref="G737">INDEX(FX_Calcs,$AA737,$AF737)</f>
        <v>0.57999999999999996</v>
      </c>
      <c r="H737" cm="1">
        <f t="array" ref="H737">INDEX(FX_Calcs,$AA737,$AF737)</f>
        <v>0.57999999999999996</v>
      </c>
      <c r="I737" cm="1">
        <f t="array" ref="I737">INDEX(FX_Calcs,$AA737,$AF737)</f>
        <v>0.57999999999999996</v>
      </c>
      <c r="J737" cm="1">
        <f t="array" ref="J737">INDEX(FX_Calcs,$AA737,$AF737)</f>
        <v>0.57999999999999996</v>
      </c>
      <c r="K737" cm="1">
        <f t="array" ref="K737">INDEX(FX_Calcs,$AA737,$AF737)</f>
        <v>0.57999999999999996</v>
      </c>
      <c r="L737" cm="1">
        <f t="array" ref="L737">INDEX(FX_Calcs,$AA737,$AF737)</f>
        <v>0.57999999999999996</v>
      </c>
      <c r="M737" cm="1">
        <f t="array" ref="M737">INDEX(FX_Calcs,$AA737,$AF737)</f>
        <v>0.57999999999999996</v>
      </c>
      <c r="N737" cm="1">
        <f t="array" ref="N737">INDEX(FX_Calcs,$AA737,$AF737)</f>
        <v>0.57999999999999996</v>
      </c>
      <c r="O737" cm="1">
        <f t="array" ref="O737">INDEX(FX_Calcs,$AA737,$AF737)</f>
        <v>0.57999999999999996</v>
      </c>
      <c r="P737" cm="1">
        <f t="array" ref="P737">INDEX(FX_Calcs,$AA737,$AF737)</f>
        <v>0.57999999999999996</v>
      </c>
      <c r="AA737">
        <f>AA736</f>
        <v>53</v>
      </c>
      <c r="AB737">
        <f t="shared" si="1793"/>
        <v>6</v>
      </c>
      <c r="AC737">
        <f t="shared" si="1794"/>
        <v>3</v>
      </c>
      <c r="AD737">
        <f t="shared" si="1794"/>
        <v>13</v>
      </c>
      <c r="AE737">
        <f t="shared" si="1794"/>
        <v>12</v>
      </c>
      <c r="AF737">
        <f t="shared" si="1794"/>
        <v>14</v>
      </c>
      <c r="AG737">
        <f t="shared" si="1795"/>
        <v>77</v>
      </c>
      <c r="AH737">
        <f t="shared" si="1796"/>
        <v>78</v>
      </c>
      <c r="AI737">
        <f t="shared" si="1797"/>
        <v>1</v>
      </c>
      <c r="AJ737">
        <f t="shared" si="1798"/>
        <v>2</v>
      </c>
      <c r="AK737">
        <f t="shared" si="1799"/>
        <v>1</v>
      </c>
      <c r="AL737">
        <f t="shared" si="1800"/>
        <v>76</v>
      </c>
    </row>
    <row r="738" spans="1:38" ht="17.149999999999999" x14ac:dyDescent="0.55000000000000004">
      <c r="B738" t="str">
        <f>B734</f>
        <v>Portland</v>
      </c>
      <c r="C738" t="s">
        <v>512</v>
      </c>
      <c r="D738">
        <f t="shared" ref="D738:P738" si="1802">D734-D733</f>
        <v>10.400000000000034</v>
      </c>
      <c r="E738">
        <f t="shared" si="1802"/>
        <v>13.199999999999989</v>
      </c>
      <c r="F738">
        <f t="shared" si="1802"/>
        <v>13.200000000000045</v>
      </c>
      <c r="G738">
        <f t="shared" si="1802"/>
        <v>13.399999999999977</v>
      </c>
      <c r="H738">
        <f t="shared" si="1802"/>
        <v>13.299999999999955</v>
      </c>
      <c r="I738">
        <f t="shared" si="1802"/>
        <v>12.500000000000057</v>
      </c>
      <c r="J738">
        <f t="shared" si="1802"/>
        <v>12.699999999999932</v>
      </c>
      <c r="K738">
        <f t="shared" si="1802"/>
        <v>13.600000000000023</v>
      </c>
      <c r="L738">
        <f t="shared" si="1802"/>
        <v>16.399999999999977</v>
      </c>
      <c r="M738">
        <f t="shared" si="1802"/>
        <v>14.699999999999989</v>
      </c>
      <c r="N738">
        <f t="shared" si="1802"/>
        <v>12.200000000000045</v>
      </c>
      <c r="O738">
        <f t="shared" si="1802"/>
        <v>10</v>
      </c>
      <c r="P738">
        <f t="shared" si="1802"/>
        <v>13</v>
      </c>
    </row>
    <row r="739" spans="1:38" x14ac:dyDescent="0.4">
      <c r="B739" t="str">
        <f t="shared" ref="B739:B746" si="1803">B738</f>
        <v>Portland</v>
      </c>
      <c r="C739" t="s">
        <v>260</v>
      </c>
      <c r="D739">
        <f t="shared" ref="D739:P739" si="1804">VLOOKUP(VLOOKUP($B739,Terminal_X_Ref,2,FALSE)&amp;$C739,Weather_Data,$Y739*D$3+$Z739,FALSE)</f>
        <v>343</v>
      </c>
      <c r="E739">
        <f t="shared" si="1804"/>
        <v>600</v>
      </c>
      <c r="F739">
        <f t="shared" si="1804"/>
        <v>877</v>
      </c>
      <c r="G739">
        <f t="shared" si="1804"/>
        <v>1252</v>
      </c>
      <c r="H739">
        <f t="shared" si="1804"/>
        <v>1537</v>
      </c>
      <c r="I739">
        <f t="shared" si="1804"/>
        <v>1627</v>
      </c>
      <c r="J739">
        <f t="shared" si="1804"/>
        <v>1708</v>
      </c>
      <c r="K739">
        <f t="shared" si="1804"/>
        <v>1492</v>
      </c>
      <c r="L739">
        <f t="shared" si="1804"/>
        <v>1196</v>
      </c>
      <c r="M739">
        <f t="shared" si="1804"/>
        <v>728</v>
      </c>
      <c r="N739">
        <f t="shared" si="1804"/>
        <v>391</v>
      </c>
      <c r="O739">
        <f t="shared" si="1804"/>
        <v>302</v>
      </c>
      <c r="P739">
        <f t="shared" si="1804"/>
        <v>1005</v>
      </c>
      <c r="U739">
        <f>U734</f>
        <v>2</v>
      </c>
      <c r="V739">
        <f t="shared" ref="V739:Z739" si="1805">V734</f>
        <v>3</v>
      </c>
      <c r="W739">
        <f t="shared" si="1805"/>
        <v>1</v>
      </c>
      <c r="X739">
        <f t="shared" si="1805"/>
        <v>2</v>
      </c>
      <c r="Y739">
        <f t="shared" si="1805"/>
        <v>1</v>
      </c>
      <c r="Z739">
        <f t="shared" si="1805"/>
        <v>1</v>
      </c>
    </row>
    <row r="740" spans="1:38" ht="17.149999999999999" x14ac:dyDescent="0.55000000000000004">
      <c r="B740" t="str">
        <f t="shared" si="1803"/>
        <v>Portland</v>
      </c>
      <c r="C740" t="s">
        <v>523</v>
      </c>
      <c r="D740">
        <f>IF(ISNUMBER(D737),0.7*D738+0.02*D737*D739,IF(D737="Partially Insulated",0.6*D738+0.02*D736*D739,0))</f>
        <v>11.258800000000022</v>
      </c>
      <c r="E740">
        <f t="shared" ref="E740:P740" si="1806">IF(ISNUMBER(E737),0.7*E738+0.02*E737*E739,IF(E737="Partially Insulated",0.6*E738+0.02*E736*E739,0))</f>
        <v>16.199999999999989</v>
      </c>
      <c r="F740">
        <f t="shared" si="1806"/>
        <v>19.413200000000032</v>
      </c>
      <c r="G740">
        <f t="shared" si="1806"/>
        <v>23.903199999999984</v>
      </c>
      <c r="H740">
        <f t="shared" si="1806"/>
        <v>27.139199999999967</v>
      </c>
      <c r="I740">
        <f t="shared" si="1806"/>
        <v>27.623200000000036</v>
      </c>
      <c r="J740">
        <f t="shared" si="1806"/>
        <v>28.70279999999995</v>
      </c>
      <c r="K740">
        <f t="shared" si="1806"/>
        <v>26.827200000000012</v>
      </c>
      <c r="L740">
        <f t="shared" si="1806"/>
        <v>25.353599999999982</v>
      </c>
      <c r="M740">
        <f t="shared" si="1806"/>
        <v>18.734799999999993</v>
      </c>
      <c r="N740">
        <f t="shared" si="1806"/>
        <v>13.07560000000003</v>
      </c>
      <c r="O740">
        <f t="shared" si="1806"/>
        <v>10.5032</v>
      </c>
      <c r="P740">
        <f t="shared" si="1806"/>
        <v>20.757999999999999</v>
      </c>
    </row>
    <row r="741" spans="1:38" ht="17.149999999999999" x14ac:dyDescent="0.55000000000000004">
      <c r="B741" t="str">
        <f t="shared" si="1803"/>
        <v>Portland</v>
      </c>
      <c r="C741" t="s">
        <v>524</v>
      </c>
      <c r="D741">
        <f t="shared" ref="D741:F741" si="1807">AVERAGE(D733:D734)</f>
        <v>503.5</v>
      </c>
      <c r="E741">
        <f t="shared" si="1807"/>
        <v>504.30000000000007</v>
      </c>
      <c r="F741">
        <f t="shared" si="1807"/>
        <v>505.70000000000005</v>
      </c>
      <c r="G741">
        <f>AVERAGE(G733:G734)</f>
        <v>508.2</v>
      </c>
      <c r="H741">
        <f t="shared" ref="H741:P741" si="1808">AVERAGE(H733:H734)</f>
        <v>512.75</v>
      </c>
      <c r="I741">
        <f t="shared" si="1808"/>
        <v>516.55000000000007</v>
      </c>
      <c r="J741">
        <f t="shared" si="1808"/>
        <v>520.04999999999995</v>
      </c>
      <c r="K741">
        <f t="shared" si="1808"/>
        <v>520.5</v>
      </c>
      <c r="L741">
        <f t="shared" si="1808"/>
        <v>518.20000000000005</v>
      </c>
      <c r="M741">
        <f t="shared" si="1808"/>
        <v>512.25</v>
      </c>
      <c r="N741">
        <f t="shared" si="1808"/>
        <v>506.70000000000005</v>
      </c>
      <c r="O741">
        <f t="shared" si="1808"/>
        <v>503.20000000000005</v>
      </c>
      <c r="P741">
        <f t="shared" si="1808"/>
        <v>51.4</v>
      </c>
    </row>
    <row r="742" spans="1:38" ht="17.149999999999999" x14ac:dyDescent="0.55000000000000004">
      <c r="B742" t="str">
        <f t="shared" si="1803"/>
        <v>Portland</v>
      </c>
      <c r="C742" t="s">
        <v>525</v>
      </c>
      <c r="D742" cm="1">
        <f t="array" ref="D742">IFERROR(IF(ISBLANK(INDEX(FX_Input,$R733,D$3*$AK733+$AL733)),D741+0.003*D735*D739,INDEX(FX_Input,$R733,D$3*$AK733+$AL733)+459.6),D741)</f>
        <v>504.09681999999998</v>
      </c>
      <c r="E742" cm="1">
        <f t="array" ref="E742">IFERROR(IF(ISBLANK(INDEX(FX_Input,$R733,E$3*$AK733+$AL733)),E741+0.003*E735*E739,INDEX(FX_Input,$R733,E$3*$AK733+$AL733)+459.6),E741)</f>
        <v>505.34400000000005</v>
      </c>
      <c r="F742" cm="1">
        <f t="array" ref="F742">IFERROR(IF(ISBLANK(INDEX(FX_Input,$R733,F$3*$AK733+$AL733)),F741+0.003*F735*F739,INDEX(FX_Input,$R733,F$3*$AK733+$AL733)+459.6),F741)</f>
        <v>507.22598000000005</v>
      </c>
      <c r="G742" cm="1">
        <f t="array" ref="G742">IFERROR(IF(ISBLANK(INDEX(FX_Input,$R733,G$3*$AK733+$AL733)),G741+0.003*G735*G739,INDEX(FX_Input,$R733,G$3*$AK733+$AL733)+459.6),G741)</f>
        <v>510.37847999999997</v>
      </c>
      <c r="H742" cm="1">
        <f t="array" ref="H742">IFERROR(IF(ISBLANK(INDEX(FX_Input,$R733,H$3*$AK733+$AL733)),H741+0.003*H735*H739,INDEX(FX_Input,$R733,H$3*$AK733+$AL733)+459.6),H741)</f>
        <v>515.42438000000004</v>
      </c>
      <c r="I742" cm="1">
        <f t="array" ref="I742">IFERROR(IF(ISBLANK(INDEX(FX_Input,$R733,I$3*$AK733+$AL733)),I741+0.003*I735*I739,INDEX(FX_Input,$R733,I$3*$AK733+$AL733)+459.6),I741)</f>
        <v>519.38098000000002</v>
      </c>
      <c r="J742" cm="1">
        <f t="array" ref="J742">IFERROR(IF(ISBLANK(INDEX(FX_Input,$R733,J$3*$AK733+$AL733)),J741+0.003*J735*J739,INDEX(FX_Input,$R733,J$3*$AK733+$AL733)+459.6),J741)</f>
        <v>523.02191999999991</v>
      </c>
      <c r="K742" cm="1">
        <f t="array" ref="K742">IFERROR(IF(ISBLANK(INDEX(FX_Input,$R733,K$3*$AK733+$AL733)),K741+0.003*K735*K739,INDEX(FX_Input,$R733,K$3*$AK733+$AL733)+459.6),K741)</f>
        <v>523.09608000000003</v>
      </c>
      <c r="L742" cm="1">
        <f t="array" ref="L742">IFERROR(IF(ISBLANK(INDEX(FX_Input,$R733,L$3*$AK733+$AL733)),L741+0.003*L735*L739,INDEX(FX_Input,$R733,L$3*$AK733+$AL733)+459.6),L741)</f>
        <v>520.28104000000008</v>
      </c>
      <c r="M742" cm="1">
        <f t="array" ref="M742">IFERROR(IF(ISBLANK(INDEX(FX_Input,$R733,M$3*$AK733+$AL733)),M741+0.003*M735*M739,INDEX(FX_Input,$R733,M$3*$AK733+$AL733)+459.6),M741)</f>
        <v>513.51671999999996</v>
      </c>
      <c r="N742" cm="1">
        <f t="array" ref="N742">IFERROR(IF(ISBLANK(INDEX(FX_Input,$R733,N$3*$AK733+$AL733)),N741+0.003*N735*N739,INDEX(FX_Input,$R733,N$3*$AK733+$AL733)+459.6),N741)</f>
        <v>507.38034000000005</v>
      </c>
      <c r="O742" cm="1">
        <f t="array" ref="O742">IFERROR(IF(ISBLANK(INDEX(FX_Input,$R733,O$3*$AK733+$AL733)),O741+0.003*O735*O739,INDEX(FX_Input,$R733,O$3*$AK733+$AL733)+459.6),O741)</f>
        <v>503.72548000000006</v>
      </c>
      <c r="P742" cm="1">
        <f t="array" ref="P742">IFERROR(IF(ISBLANK(INDEX(FX_Input,$R733,P$3*$AK733+$AL733)),P741+0.003*P735*P739,INDEX(FX_Input,$R733,P$3*$AK733+$AL733)+459.6),P741)</f>
        <v>5749.6</v>
      </c>
    </row>
    <row r="743" spans="1:38" ht="17.149999999999999" x14ac:dyDescent="0.55000000000000004">
      <c r="B743" t="str">
        <f t="shared" si="1803"/>
        <v>Portland</v>
      </c>
      <c r="C743" t="s">
        <v>526</v>
      </c>
      <c r="D743">
        <f>IF(ISNUMBER(D737),0.4*D733+0.6*D742+0.005*D737*D739,IF(D737="Partially Insulated",0.3*D741+0.7*D742+0.005*D736*D739,D742))-459.6</f>
        <v>43.172792000000015</v>
      </c>
      <c r="E743">
        <f t="shared" ref="E743" si="1809">IF(ISNUMBER(E737),0.4*E733+0.6*E742+0.005*E737*E739,IF(E737="Partially Insulated",0.3*E741+0.7*E742+0.005*E736*E739,E742))-459.6</f>
        <v>44.426400000000058</v>
      </c>
      <c r="F743">
        <f t="shared" ref="F743" si="1810">IF(ISNUMBER(F737),0.4*F733+0.6*F742+0.005*F737*F739,IF(F737="Partially Insulated",0.3*F741+0.7*F742+0.005*F736*F739,F742))-459.6</f>
        <v>46.918887999999981</v>
      </c>
      <c r="G743">
        <f t="shared" ref="G743" si="1811">IF(ISNUMBER(G737),0.4*G733+0.6*G742+0.005*G737*G739,IF(G737="Partially Insulated",0.3*G741+0.7*G742+0.005*G736*G739,G742))-459.6</f>
        <v>50.857888000000003</v>
      </c>
      <c r="H743">
        <f t="shared" ref="H743" si="1812">IF(ISNUMBER(H737),0.4*H733+0.6*H742+0.005*H737*H739,IF(H737="Partially Insulated",0.3*H741+0.7*H742+0.005*H736*H739,H742))-459.6</f>
        <v>56.551928000000089</v>
      </c>
      <c r="I743">
        <f t="shared" ref="I743" si="1813">IF(ISNUMBER(I737),0.4*I733+0.6*I742+0.005*I737*I739,IF(I737="Partially Insulated",0.3*I741+0.7*I742+0.005*I736*I739,I742))-459.6</f>
        <v>60.866887999999904</v>
      </c>
      <c r="J743">
        <f t="shared" ref="J743" si="1814">IF(ISNUMBER(J737),0.4*J733+0.6*J742+0.005*J737*J739,IF(J737="Partially Insulated",0.3*J741+0.7*J742+0.005*J736*J739,J742))-459.6</f>
        <v>64.646351999999979</v>
      </c>
      <c r="K743">
        <f t="shared" ref="K743" si="1815">IF(ISNUMBER(K737),0.4*K733+0.6*K742+0.005*K737*K739,IF(K737="Partially Insulated",0.3*K741+0.7*K742+0.005*K736*K739,K742))-459.6</f>
        <v>64.06444799999997</v>
      </c>
      <c r="L743">
        <f t="shared" ref="L743" si="1816">IF(ISNUMBER(L737),0.4*L733+0.6*L742+0.005*L737*L739,IF(L737="Partially Insulated",0.3*L741+0.7*L742+0.005*L736*L739,L742))-459.6</f>
        <v>60.037023999999974</v>
      </c>
      <c r="M743">
        <f t="shared" ref="M743" si="1817">IF(ISNUMBER(M737),0.4*M733+0.6*M742+0.005*M737*M739,IF(M737="Partially Insulated",0.3*M741+0.7*M742+0.005*M736*M739,M742))-459.6</f>
        <v>52.581232</v>
      </c>
      <c r="N743">
        <f t="shared" ref="N743" si="1818">IF(ISNUMBER(N737),0.4*N733+0.6*N742+0.005*N737*N739,IF(N737="Partially Insulated",0.3*N741+0.7*N742+0.005*N736*N739,N742))-459.6</f>
        <v>46.202103999999963</v>
      </c>
      <c r="O743">
        <f t="shared" ref="O743" si="1819">IF(ISNUMBER(O737),0.4*O733+0.6*O742+0.005*O737*O739,IF(O737="Partially Insulated",0.3*O741+0.7*O742+0.005*O736*O739,O742))-459.6</f>
        <v>42.791088000000059</v>
      </c>
      <c r="P743">
        <f>AVERAGE(D743:O743)</f>
        <v>52.759752666666664</v>
      </c>
    </row>
    <row r="744" spans="1:38" ht="17.149999999999999" x14ac:dyDescent="0.55000000000000004">
      <c r="B744" t="str">
        <f t="shared" si="1803"/>
        <v>Portland</v>
      </c>
      <c r="C744" t="s">
        <v>527</v>
      </c>
      <c r="D744">
        <f>IF(ISNUMBER(D737),0.4*D734+0.6*D742+0.005*D737*D739,IF(D737="Partially Insulated",0.3*D741+0.7*D742+0.005*D736*D739,D742))-459.6</f>
        <v>47.332791999999984</v>
      </c>
      <c r="E744">
        <f t="shared" ref="E744:O744" si="1820">IF(ISNUMBER(E737),0.4*E734+0.6*E742+0.005*E737*E739,IF(E737="Partially Insulated",0.3*E741+0.7*E742+0.005*E736*E739,E742))-459.6</f>
        <v>49.706400000000031</v>
      </c>
      <c r="F744">
        <f t="shared" si="1820"/>
        <v>52.198888000000068</v>
      </c>
      <c r="G744">
        <f t="shared" si="1820"/>
        <v>56.217888000000016</v>
      </c>
      <c r="H744">
        <f t="shared" si="1820"/>
        <v>61.871928000000025</v>
      </c>
      <c r="I744">
        <f t="shared" si="1820"/>
        <v>65.866888000000017</v>
      </c>
      <c r="J744">
        <f t="shared" si="1820"/>
        <v>69.726351999999906</v>
      </c>
      <c r="K744">
        <f t="shared" si="1820"/>
        <v>69.504448000000025</v>
      </c>
      <c r="L744">
        <f t="shared" si="1820"/>
        <v>66.597024000000033</v>
      </c>
      <c r="M744">
        <f t="shared" si="1820"/>
        <v>58.461231999999995</v>
      </c>
      <c r="N744">
        <f t="shared" si="1820"/>
        <v>51.082104000000015</v>
      </c>
      <c r="O744">
        <f t="shared" si="1820"/>
        <v>46.791088000000059</v>
      </c>
      <c r="P744">
        <f>AVERAGE(D744:O744)</f>
        <v>57.946419333333353</v>
      </c>
    </row>
    <row r="745" spans="1:38" ht="17.149999999999999" x14ac:dyDescent="0.55000000000000004">
      <c r="B745" t="str">
        <f t="shared" si="1803"/>
        <v>Portland</v>
      </c>
      <c r="C745" t="s">
        <v>552</v>
      </c>
      <c r="D745">
        <f>IF(ISNUMBER(D737),0.4*D741+0.6*D742+0.005*D737*D739,IF(D737="Partially Insulated",0.3*D741+0.7*D742+0.005*D736*D739,D742))-459.6</f>
        <v>45.252791999999943</v>
      </c>
      <c r="E745">
        <f t="shared" ref="E745:O745" si="1821">IF(ISNUMBER(E737),0.4*E741+0.6*E742+0.005*E737*E739,IF(E737="Partially Insulated",0.3*E741+0.7*E742+0.005*E736*E739,E742))-459.6</f>
        <v>47.066400000000044</v>
      </c>
      <c r="F745">
        <f t="shared" si="1821"/>
        <v>49.558888000000024</v>
      </c>
      <c r="G745">
        <f t="shared" si="1821"/>
        <v>53.537887999999953</v>
      </c>
      <c r="H745">
        <f t="shared" si="1821"/>
        <v>59.211928000000057</v>
      </c>
      <c r="I745">
        <f t="shared" si="1821"/>
        <v>63.366888000000017</v>
      </c>
      <c r="J745">
        <f t="shared" si="1821"/>
        <v>67.186351999999943</v>
      </c>
      <c r="K745">
        <f t="shared" si="1821"/>
        <v>66.784447999999998</v>
      </c>
      <c r="L745">
        <f t="shared" si="1821"/>
        <v>63.31702400000006</v>
      </c>
      <c r="M745">
        <f t="shared" si="1821"/>
        <v>55.521232000000055</v>
      </c>
      <c r="N745">
        <f t="shared" si="1821"/>
        <v>48.642103999999961</v>
      </c>
      <c r="O745">
        <f t="shared" si="1821"/>
        <v>44.791088000000059</v>
      </c>
      <c r="P745">
        <f>AVERAGE(D745:O745)</f>
        <v>55.353086000000012</v>
      </c>
    </row>
    <row r="746" spans="1:38" ht="17.149999999999999" x14ac:dyDescent="0.55000000000000004">
      <c r="A746" s="11"/>
      <c r="B746" s="11" t="str">
        <f t="shared" si="1803"/>
        <v>Portland</v>
      </c>
      <c r="C746" s="11" t="s">
        <v>553</v>
      </c>
      <c r="D746" s="11">
        <f>IF(ISNUMBER(D737),0.7*D741+0.3*D742+0.009*D737*D739,IF(D737="Partially Insulated",0.6*D741+0.4*D742+0.01*D736*D739,D742))-459.6</f>
        <v>45.869505999999944</v>
      </c>
      <c r="E746" s="11">
        <f t="shared" ref="E746:O746" si="1822">IF(ISNUMBER(E737),0.7*E741+0.3*E742+0.009*E737*E739,IF(E737="Partially Insulated",0.6*E741+0.4*E742+0.01*E736*E739,E742))-459.6</f>
        <v>48.145200000000045</v>
      </c>
      <c r="F746" s="11">
        <f t="shared" si="1822"/>
        <v>51.135734000000014</v>
      </c>
      <c r="G746" s="11">
        <f t="shared" si="1822"/>
        <v>55.788983999999914</v>
      </c>
      <c r="H746" s="11">
        <f t="shared" si="1822"/>
        <v>61.975454000000013</v>
      </c>
      <c r="I746" s="11">
        <f t="shared" si="1822"/>
        <v>66.292234000000008</v>
      </c>
      <c r="J746" s="11">
        <f t="shared" si="1822"/>
        <v>70.257335999999896</v>
      </c>
      <c r="K746" s="11">
        <f t="shared" si="1822"/>
        <v>69.467063999999937</v>
      </c>
      <c r="L746" s="11">
        <f t="shared" si="1822"/>
        <v>65.467431999999917</v>
      </c>
      <c r="M746" s="11">
        <f t="shared" si="1822"/>
        <v>56.830175999999938</v>
      </c>
      <c r="N746" s="11">
        <f t="shared" si="1822"/>
        <v>49.345121999999947</v>
      </c>
      <c r="O746" s="11">
        <f t="shared" si="1822"/>
        <v>45.334084000000018</v>
      </c>
      <c r="P746" s="11">
        <f>AVERAGE(D746:O746)</f>
        <v>57.159027166666625</v>
      </c>
      <c r="Q746" s="11"/>
      <c r="R746" s="11"/>
      <c r="S746" s="11"/>
      <c r="T746" s="11"/>
      <c r="U746" s="11"/>
      <c r="V746" s="11"/>
      <c r="W746" s="11"/>
      <c r="X746" s="11"/>
      <c r="Y746" s="11"/>
      <c r="Z746" s="11"/>
      <c r="AA746" s="11"/>
      <c r="AB746" s="11"/>
      <c r="AC746" s="11"/>
      <c r="AD746" s="11"/>
      <c r="AE746" s="11"/>
      <c r="AF746" s="11"/>
      <c r="AG746" s="11"/>
      <c r="AH746" s="11"/>
      <c r="AI746" s="11"/>
      <c r="AJ746" s="11"/>
      <c r="AK746" s="11"/>
      <c r="AL746" s="11"/>
    </row>
    <row r="747" spans="1:38" ht="17.149999999999999" x14ac:dyDescent="0.55000000000000004">
      <c r="A747" t="str" cm="1">
        <f t="array" ref="A747">INDEX(FX_Input,$R747,S$5)</f>
        <v>FX - 54</v>
      </c>
      <c r="B747" t="str" cm="1">
        <f t="array" ref="B747">INDEX(FX_Input,R747,T747)</f>
        <v>Portland</v>
      </c>
      <c r="C747" t="s">
        <v>510</v>
      </c>
      <c r="D747">
        <f t="shared" ref="D747:O748" si="1823">VLOOKUP(VLOOKUP($B747,Terminal_X_Ref,2,FALSE)&amp;$C747,Weather_Data,$Y747*D$3+$Z747,FALSE)+459.6</f>
        <v>498.3</v>
      </c>
      <c r="E747">
        <f t="shared" si="1823"/>
        <v>497.70000000000005</v>
      </c>
      <c r="F747">
        <f t="shared" si="1823"/>
        <v>499.1</v>
      </c>
      <c r="G747">
        <f t="shared" si="1823"/>
        <v>501.5</v>
      </c>
      <c r="H747">
        <f t="shared" si="1823"/>
        <v>506.1</v>
      </c>
      <c r="I747">
        <f t="shared" si="1823"/>
        <v>510.3</v>
      </c>
      <c r="J747">
        <f t="shared" si="1823"/>
        <v>513.70000000000005</v>
      </c>
      <c r="K747">
        <f t="shared" si="1823"/>
        <v>513.70000000000005</v>
      </c>
      <c r="L747">
        <f t="shared" si="1823"/>
        <v>510</v>
      </c>
      <c r="M747">
        <f t="shared" si="1823"/>
        <v>504.90000000000003</v>
      </c>
      <c r="N747">
        <f t="shared" si="1823"/>
        <v>500.6</v>
      </c>
      <c r="O747">
        <f t="shared" si="1823"/>
        <v>498.20000000000005</v>
      </c>
      <c r="P747">
        <f t="shared" ref="P747:P748" si="1824">VLOOKUP(VLOOKUP($B747,Terminal_X_Ref,2,FALSE)&amp;$C747,Weather_Data,$Y747*P$3+$Z747,FALSE)</f>
        <v>44.9</v>
      </c>
      <c r="R747">
        <f>R733+2</f>
        <v>107</v>
      </c>
      <c r="S747">
        <f>S733+1</f>
        <v>54</v>
      </c>
      <c r="T747">
        <v>3</v>
      </c>
      <c r="U747">
        <v>2</v>
      </c>
      <c r="V747">
        <v>3</v>
      </c>
      <c r="W747">
        <v>1</v>
      </c>
      <c r="X747">
        <v>2</v>
      </c>
      <c r="Y747">
        <f>(V747-U747)/(X747-W747)</f>
        <v>1</v>
      </c>
      <c r="Z747">
        <f>U747-Y747*W747</f>
        <v>1</v>
      </c>
      <c r="AA747">
        <f>AA733+1</f>
        <v>54</v>
      </c>
      <c r="AB747">
        <v>6</v>
      </c>
      <c r="AC747">
        <v>3</v>
      </c>
      <c r="AD747">
        <v>13</v>
      </c>
      <c r="AE747">
        <v>12</v>
      </c>
      <c r="AF747">
        <v>14</v>
      </c>
      <c r="AG747">
        <v>77</v>
      </c>
      <c r="AH747">
        <v>78</v>
      </c>
      <c r="AI747">
        <v>1</v>
      </c>
      <c r="AJ747">
        <v>2</v>
      </c>
      <c r="AK747">
        <f>(AH747-AG747)/(AJ747-AI747)</f>
        <v>1</v>
      </c>
      <c r="AL747">
        <f>AG747-AK747*AI747</f>
        <v>76</v>
      </c>
    </row>
    <row r="748" spans="1:38" ht="17.149999999999999" x14ac:dyDescent="0.55000000000000004">
      <c r="B748" t="str">
        <f t="shared" ref="B748" si="1825">B747</f>
        <v>Portland</v>
      </c>
      <c r="C748" t="s">
        <v>511</v>
      </c>
      <c r="D748">
        <f t="shared" si="1823"/>
        <v>508.70000000000005</v>
      </c>
      <c r="E748">
        <f t="shared" si="1823"/>
        <v>510.90000000000003</v>
      </c>
      <c r="F748">
        <f t="shared" si="1823"/>
        <v>512.30000000000007</v>
      </c>
      <c r="G748">
        <f t="shared" si="1823"/>
        <v>514.9</v>
      </c>
      <c r="H748">
        <f t="shared" si="1823"/>
        <v>519.4</v>
      </c>
      <c r="I748">
        <f t="shared" si="1823"/>
        <v>522.80000000000007</v>
      </c>
      <c r="J748">
        <f t="shared" si="1823"/>
        <v>526.4</v>
      </c>
      <c r="K748">
        <f t="shared" si="1823"/>
        <v>527.30000000000007</v>
      </c>
      <c r="L748">
        <f t="shared" si="1823"/>
        <v>526.4</v>
      </c>
      <c r="M748">
        <f t="shared" si="1823"/>
        <v>519.6</v>
      </c>
      <c r="N748">
        <f t="shared" si="1823"/>
        <v>512.80000000000007</v>
      </c>
      <c r="O748">
        <f t="shared" si="1823"/>
        <v>508.20000000000005</v>
      </c>
      <c r="P748">
        <f t="shared" si="1824"/>
        <v>57.9</v>
      </c>
      <c r="U748">
        <f>U747</f>
        <v>2</v>
      </c>
      <c r="V748">
        <f t="shared" ref="V748:Z748" si="1826">V747</f>
        <v>3</v>
      </c>
      <c r="W748">
        <f t="shared" si="1826"/>
        <v>1</v>
      </c>
      <c r="X748">
        <f t="shared" si="1826"/>
        <v>2</v>
      </c>
      <c r="Y748">
        <f t="shared" si="1826"/>
        <v>1</v>
      </c>
      <c r="Z748">
        <f t="shared" si="1826"/>
        <v>1</v>
      </c>
      <c r="AA748">
        <f>AA747</f>
        <v>54</v>
      </c>
      <c r="AB748">
        <f t="shared" ref="AB748:AB751" si="1827">AB747</f>
        <v>6</v>
      </c>
      <c r="AC748">
        <f t="shared" ref="AC748:AF751" si="1828">AC747</f>
        <v>3</v>
      </c>
      <c r="AD748">
        <f t="shared" si="1828"/>
        <v>13</v>
      </c>
      <c r="AE748">
        <f t="shared" si="1828"/>
        <v>12</v>
      </c>
      <c r="AF748">
        <f t="shared" si="1828"/>
        <v>14</v>
      </c>
      <c r="AG748">
        <f t="shared" ref="AG748:AG751" si="1829">AG747</f>
        <v>77</v>
      </c>
      <c r="AH748">
        <f t="shared" ref="AH748:AH751" si="1830">AH747</f>
        <v>78</v>
      </c>
      <c r="AI748">
        <f t="shared" ref="AI748:AI751" si="1831">AI747</f>
        <v>1</v>
      </c>
      <c r="AJ748">
        <f t="shared" ref="AJ748:AJ751" si="1832">AJ747</f>
        <v>2</v>
      </c>
      <c r="AK748">
        <f t="shared" ref="AK748:AK751" si="1833">AK747</f>
        <v>1</v>
      </c>
      <c r="AL748">
        <f t="shared" ref="AL748:AL751" si="1834">AL747</f>
        <v>76</v>
      </c>
    </row>
    <row r="749" spans="1:38" ht="17.149999999999999" x14ac:dyDescent="0.4">
      <c r="B749" t="str">
        <f>B748</f>
        <v>Portland</v>
      </c>
      <c r="C749" s="66" t="s">
        <v>514</v>
      </c>
      <c r="D749" cm="1">
        <f t="array" ref="D749">INDEX(FX_Calcs,$AA749,$AE749)</f>
        <v>0.57999999999999996</v>
      </c>
      <c r="E749" cm="1">
        <f t="array" ref="E749">INDEX(FX_Calcs,$AA749,$AE749)</f>
        <v>0.57999999999999996</v>
      </c>
      <c r="F749" cm="1">
        <f t="array" ref="F749">INDEX(FX_Calcs,$AA749,$AE749)</f>
        <v>0.57999999999999996</v>
      </c>
      <c r="G749" cm="1">
        <f t="array" ref="G749">INDEX(FX_Calcs,$AA749,$AE749)</f>
        <v>0.57999999999999996</v>
      </c>
      <c r="H749" cm="1">
        <f t="array" ref="H749">INDEX(FX_Calcs,$AA749,$AE749)</f>
        <v>0.57999999999999996</v>
      </c>
      <c r="I749" cm="1">
        <f t="array" ref="I749">INDEX(FX_Calcs,$AA749,$AE749)</f>
        <v>0.57999999999999996</v>
      </c>
      <c r="J749" cm="1">
        <f t="array" ref="J749">INDEX(FX_Calcs,$AA749,$AE749)</f>
        <v>0.57999999999999996</v>
      </c>
      <c r="K749" cm="1">
        <f t="array" ref="K749">INDEX(FX_Calcs,$AA749,$AE749)</f>
        <v>0.57999999999999996</v>
      </c>
      <c r="L749" cm="1">
        <f t="array" ref="L749">INDEX(FX_Calcs,$AA749,$AE749)</f>
        <v>0.57999999999999996</v>
      </c>
      <c r="M749" cm="1">
        <f t="array" ref="M749">INDEX(FX_Calcs,$AA749,$AE749)</f>
        <v>0.57999999999999996</v>
      </c>
      <c r="N749" cm="1">
        <f t="array" ref="N749">INDEX(FX_Calcs,$AA749,$AE749)</f>
        <v>0.57999999999999996</v>
      </c>
      <c r="O749" cm="1">
        <f t="array" ref="O749">INDEX(FX_Calcs,$AA749,$AE749)</f>
        <v>0.57999999999999996</v>
      </c>
      <c r="P749" cm="1">
        <f t="array" ref="P749">INDEX(FX_Calcs,$AA749,$AE749)</f>
        <v>0.57999999999999996</v>
      </c>
      <c r="AA749">
        <f>AA748</f>
        <v>54</v>
      </c>
      <c r="AB749">
        <f t="shared" si="1827"/>
        <v>6</v>
      </c>
      <c r="AC749">
        <f t="shared" si="1828"/>
        <v>3</v>
      </c>
      <c r="AD749">
        <f t="shared" si="1828"/>
        <v>13</v>
      </c>
      <c r="AE749">
        <f t="shared" si="1828"/>
        <v>12</v>
      </c>
      <c r="AF749">
        <f t="shared" si="1828"/>
        <v>14</v>
      </c>
      <c r="AG749">
        <f t="shared" si="1829"/>
        <v>77</v>
      </c>
      <c r="AH749">
        <f t="shared" si="1830"/>
        <v>78</v>
      </c>
      <c r="AI749">
        <f t="shared" si="1831"/>
        <v>1</v>
      </c>
      <c r="AJ749">
        <f t="shared" si="1832"/>
        <v>2</v>
      </c>
      <c r="AK749">
        <f t="shared" si="1833"/>
        <v>1</v>
      </c>
      <c r="AL749">
        <f t="shared" si="1834"/>
        <v>76</v>
      </c>
    </row>
    <row r="750" spans="1:38" ht="17.149999999999999" x14ac:dyDescent="0.4">
      <c r="B750" t="str">
        <f t="shared" ref="B750:B751" si="1835">B749</f>
        <v>Portland</v>
      </c>
      <c r="C750" s="66" t="s">
        <v>513</v>
      </c>
      <c r="D750" cm="1">
        <f t="array" ref="D750">INDEX(FX_Calcs,$AA750,$AD750)</f>
        <v>0.57999999999999996</v>
      </c>
      <c r="E750" cm="1">
        <f t="array" ref="E750">INDEX(FX_Calcs,$AA750,$AD750)</f>
        <v>0.57999999999999996</v>
      </c>
      <c r="F750" cm="1">
        <f t="array" ref="F750">INDEX(FX_Calcs,$AA750,$AD750)</f>
        <v>0.57999999999999996</v>
      </c>
      <c r="G750" cm="1">
        <f t="array" ref="G750">INDEX(FX_Calcs,$AA750,$AD750)</f>
        <v>0.57999999999999996</v>
      </c>
      <c r="H750" cm="1">
        <f t="array" ref="H750">INDEX(FX_Calcs,$AA750,$AD750)</f>
        <v>0.57999999999999996</v>
      </c>
      <c r="I750" cm="1">
        <f t="array" ref="I750">INDEX(FX_Calcs,$AA750,$AD750)</f>
        <v>0.57999999999999996</v>
      </c>
      <c r="J750" cm="1">
        <f t="array" ref="J750">INDEX(FX_Calcs,$AA750,$AD750)</f>
        <v>0.57999999999999996</v>
      </c>
      <c r="K750" cm="1">
        <f t="array" ref="K750">INDEX(FX_Calcs,$AA750,$AD750)</f>
        <v>0.57999999999999996</v>
      </c>
      <c r="L750" cm="1">
        <f t="array" ref="L750">INDEX(FX_Calcs,$AA750,$AD750)</f>
        <v>0.57999999999999996</v>
      </c>
      <c r="M750" cm="1">
        <f t="array" ref="M750">INDEX(FX_Calcs,$AA750,$AD750)</f>
        <v>0.57999999999999996</v>
      </c>
      <c r="N750" cm="1">
        <f t="array" ref="N750">INDEX(FX_Calcs,$AA750,$AD750)</f>
        <v>0.57999999999999996</v>
      </c>
      <c r="O750" cm="1">
        <f t="array" ref="O750">INDEX(FX_Calcs,$AA750,$AD750)</f>
        <v>0.57999999999999996</v>
      </c>
      <c r="P750" cm="1">
        <f t="array" ref="P750">INDEX(FX_Calcs,$AA750,$AD750)</f>
        <v>0.57999999999999996</v>
      </c>
      <c r="AA750">
        <f>AA749</f>
        <v>54</v>
      </c>
      <c r="AB750">
        <f t="shared" si="1827"/>
        <v>6</v>
      </c>
      <c r="AC750">
        <f t="shared" si="1828"/>
        <v>3</v>
      </c>
      <c r="AD750">
        <f t="shared" si="1828"/>
        <v>13</v>
      </c>
      <c r="AE750">
        <f t="shared" si="1828"/>
        <v>12</v>
      </c>
      <c r="AF750">
        <f t="shared" si="1828"/>
        <v>14</v>
      </c>
      <c r="AG750">
        <f t="shared" si="1829"/>
        <v>77</v>
      </c>
      <c r="AH750">
        <f t="shared" si="1830"/>
        <v>78</v>
      </c>
      <c r="AI750">
        <f t="shared" si="1831"/>
        <v>1</v>
      </c>
      <c r="AJ750">
        <f t="shared" si="1832"/>
        <v>2</v>
      </c>
      <c r="AK750">
        <f t="shared" si="1833"/>
        <v>1</v>
      </c>
      <c r="AL750">
        <f t="shared" si="1834"/>
        <v>76</v>
      </c>
    </row>
    <row r="751" spans="1:38" x14ac:dyDescent="0.4">
      <c r="B751" t="str">
        <f t="shared" si="1835"/>
        <v>Portland</v>
      </c>
      <c r="C751" s="66" t="s">
        <v>558</v>
      </c>
      <c r="D751" cm="1">
        <f t="array" ref="D751">INDEX(FX_Calcs,$AA751,$AF751)</f>
        <v>0.57999999999999996</v>
      </c>
      <c r="E751" cm="1">
        <f t="array" ref="E751">INDEX(FX_Calcs,$AA751,$AF751)</f>
        <v>0.57999999999999996</v>
      </c>
      <c r="F751" cm="1">
        <f t="array" ref="F751">INDEX(FX_Calcs,$AA751,$AF751)</f>
        <v>0.57999999999999996</v>
      </c>
      <c r="G751" cm="1">
        <f t="array" ref="G751">INDEX(FX_Calcs,$AA751,$AF751)</f>
        <v>0.57999999999999996</v>
      </c>
      <c r="H751" cm="1">
        <f t="array" ref="H751">INDEX(FX_Calcs,$AA751,$AF751)</f>
        <v>0.57999999999999996</v>
      </c>
      <c r="I751" cm="1">
        <f t="array" ref="I751">INDEX(FX_Calcs,$AA751,$AF751)</f>
        <v>0.57999999999999996</v>
      </c>
      <c r="J751" cm="1">
        <f t="array" ref="J751">INDEX(FX_Calcs,$AA751,$AF751)</f>
        <v>0.57999999999999996</v>
      </c>
      <c r="K751" cm="1">
        <f t="array" ref="K751">INDEX(FX_Calcs,$AA751,$AF751)</f>
        <v>0.57999999999999996</v>
      </c>
      <c r="L751" cm="1">
        <f t="array" ref="L751">INDEX(FX_Calcs,$AA751,$AF751)</f>
        <v>0.57999999999999996</v>
      </c>
      <c r="M751" cm="1">
        <f t="array" ref="M751">INDEX(FX_Calcs,$AA751,$AF751)</f>
        <v>0.57999999999999996</v>
      </c>
      <c r="N751" cm="1">
        <f t="array" ref="N751">INDEX(FX_Calcs,$AA751,$AF751)</f>
        <v>0.57999999999999996</v>
      </c>
      <c r="O751" cm="1">
        <f t="array" ref="O751">INDEX(FX_Calcs,$AA751,$AF751)</f>
        <v>0.57999999999999996</v>
      </c>
      <c r="P751" cm="1">
        <f t="array" ref="P751">INDEX(FX_Calcs,$AA751,$AF751)</f>
        <v>0.57999999999999996</v>
      </c>
      <c r="AA751">
        <f>AA750</f>
        <v>54</v>
      </c>
      <c r="AB751">
        <f t="shared" si="1827"/>
        <v>6</v>
      </c>
      <c r="AC751">
        <f t="shared" si="1828"/>
        <v>3</v>
      </c>
      <c r="AD751">
        <f t="shared" si="1828"/>
        <v>13</v>
      </c>
      <c r="AE751">
        <f t="shared" si="1828"/>
        <v>12</v>
      </c>
      <c r="AF751">
        <f t="shared" si="1828"/>
        <v>14</v>
      </c>
      <c r="AG751">
        <f t="shared" si="1829"/>
        <v>77</v>
      </c>
      <c r="AH751">
        <f t="shared" si="1830"/>
        <v>78</v>
      </c>
      <c r="AI751">
        <f t="shared" si="1831"/>
        <v>1</v>
      </c>
      <c r="AJ751">
        <f t="shared" si="1832"/>
        <v>2</v>
      </c>
      <c r="AK751">
        <f t="shared" si="1833"/>
        <v>1</v>
      </c>
      <c r="AL751">
        <f t="shared" si="1834"/>
        <v>76</v>
      </c>
    </row>
    <row r="752" spans="1:38" ht="17.149999999999999" x14ac:dyDescent="0.55000000000000004">
      <c r="B752" t="str">
        <f>B748</f>
        <v>Portland</v>
      </c>
      <c r="C752" t="s">
        <v>512</v>
      </c>
      <c r="D752">
        <f t="shared" ref="D752:P752" si="1836">D748-D747</f>
        <v>10.400000000000034</v>
      </c>
      <c r="E752">
        <f t="shared" si="1836"/>
        <v>13.199999999999989</v>
      </c>
      <c r="F752">
        <f t="shared" si="1836"/>
        <v>13.200000000000045</v>
      </c>
      <c r="G752">
        <f t="shared" si="1836"/>
        <v>13.399999999999977</v>
      </c>
      <c r="H752">
        <f t="shared" si="1836"/>
        <v>13.299999999999955</v>
      </c>
      <c r="I752">
        <f t="shared" si="1836"/>
        <v>12.500000000000057</v>
      </c>
      <c r="J752">
        <f t="shared" si="1836"/>
        <v>12.699999999999932</v>
      </c>
      <c r="K752">
        <f t="shared" si="1836"/>
        <v>13.600000000000023</v>
      </c>
      <c r="L752">
        <f t="shared" si="1836"/>
        <v>16.399999999999977</v>
      </c>
      <c r="M752">
        <f t="shared" si="1836"/>
        <v>14.699999999999989</v>
      </c>
      <c r="N752">
        <f t="shared" si="1836"/>
        <v>12.200000000000045</v>
      </c>
      <c r="O752">
        <f t="shared" si="1836"/>
        <v>10</v>
      </c>
      <c r="P752">
        <f t="shared" si="1836"/>
        <v>13</v>
      </c>
    </row>
    <row r="753" spans="1:38" x14ac:dyDescent="0.4">
      <c r="B753" t="str">
        <f t="shared" ref="B753:B760" si="1837">B752</f>
        <v>Portland</v>
      </c>
      <c r="C753" t="s">
        <v>260</v>
      </c>
      <c r="D753">
        <f t="shared" ref="D753:P753" si="1838">VLOOKUP(VLOOKUP($B753,Terminal_X_Ref,2,FALSE)&amp;$C753,Weather_Data,$Y753*D$3+$Z753,FALSE)</f>
        <v>343</v>
      </c>
      <c r="E753">
        <f t="shared" si="1838"/>
        <v>600</v>
      </c>
      <c r="F753">
        <f t="shared" si="1838"/>
        <v>877</v>
      </c>
      <c r="G753">
        <f t="shared" si="1838"/>
        <v>1252</v>
      </c>
      <c r="H753">
        <f t="shared" si="1838"/>
        <v>1537</v>
      </c>
      <c r="I753">
        <f t="shared" si="1838"/>
        <v>1627</v>
      </c>
      <c r="J753">
        <f t="shared" si="1838"/>
        <v>1708</v>
      </c>
      <c r="K753">
        <f t="shared" si="1838"/>
        <v>1492</v>
      </c>
      <c r="L753">
        <f t="shared" si="1838"/>
        <v>1196</v>
      </c>
      <c r="M753">
        <f t="shared" si="1838"/>
        <v>728</v>
      </c>
      <c r="N753">
        <f t="shared" si="1838"/>
        <v>391</v>
      </c>
      <c r="O753">
        <f t="shared" si="1838"/>
        <v>302</v>
      </c>
      <c r="P753">
        <f t="shared" si="1838"/>
        <v>1005</v>
      </c>
      <c r="U753">
        <f>U748</f>
        <v>2</v>
      </c>
      <c r="V753">
        <f t="shared" ref="V753:Z753" si="1839">V748</f>
        <v>3</v>
      </c>
      <c r="W753">
        <f t="shared" si="1839"/>
        <v>1</v>
      </c>
      <c r="X753">
        <f t="shared" si="1839"/>
        <v>2</v>
      </c>
      <c r="Y753">
        <f t="shared" si="1839"/>
        <v>1</v>
      </c>
      <c r="Z753">
        <f t="shared" si="1839"/>
        <v>1</v>
      </c>
    </row>
    <row r="754" spans="1:38" ht="17.149999999999999" x14ac:dyDescent="0.55000000000000004">
      <c r="B754" t="str">
        <f t="shared" si="1837"/>
        <v>Portland</v>
      </c>
      <c r="C754" t="s">
        <v>523</v>
      </c>
      <c r="D754">
        <f>IF(ISNUMBER(D751),0.7*D752+0.02*D751*D753,IF(D751="Partially Insulated",0.6*D752+0.02*D750*D753,0))</f>
        <v>11.258800000000022</v>
      </c>
      <c r="E754">
        <f t="shared" ref="E754:P754" si="1840">IF(ISNUMBER(E751),0.7*E752+0.02*E751*E753,IF(E751="Partially Insulated",0.6*E752+0.02*E750*E753,0))</f>
        <v>16.199999999999989</v>
      </c>
      <c r="F754">
        <f t="shared" si="1840"/>
        <v>19.413200000000032</v>
      </c>
      <c r="G754">
        <f t="shared" si="1840"/>
        <v>23.903199999999984</v>
      </c>
      <c r="H754">
        <f t="shared" si="1840"/>
        <v>27.139199999999967</v>
      </c>
      <c r="I754">
        <f t="shared" si="1840"/>
        <v>27.623200000000036</v>
      </c>
      <c r="J754">
        <f t="shared" si="1840"/>
        <v>28.70279999999995</v>
      </c>
      <c r="K754">
        <f t="shared" si="1840"/>
        <v>26.827200000000012</v>
      </c>
      <c r="L754">
        <f t="shared" si="1840"/>
        <v>25.353599999999982</v>
      </c>
      <c r="M754">
        <f t="shared" si="1840"/>
        <v>18.734799999999993</v>
      </c>
      <c r="N754">
        <f t="shared" si="1840"/>
        <v>13.07560000000003</v>
      </c>
      <c r="O754">
        <f t="shared" si="1840"/>
        <v>10.5032</v>
      </c>
      <c r="P754">
        <f t="shared" si="1840"/>
        <v>20.757999999999999</v>
      </c>
    </row>
    <row r="755" spans="1:38" ht="17.149999999999999" x14ac:dyDescent="0.55000000000000004">
      <c r="B755" t="str">
        <f t="shared" si="1837"/>
        <v>Portland</v>
      </c>
      <c r="C755" t="s">
        <v>524</v>
      </c>
      <c r="D755">
        <f t="shared" ref="D755:F755" si="1841">AVERAGE(D747:D748)</f>
        <v>503.5</v>
      </c>
      <c r="E755">
        <f t="shared" si="1841"/>
        <v>504.30000000000007</v>
      </c>
      <c r="F755">
        <f t="shared" si="1841"/>
        <v>505.70000000000005</v>
      </c>
      <c r="G755">
        <f>AVERAGE(G747:G748)</f>
        <v>508.2</v>
      </c>
      <c r="H755">
        <f t="shared" ref="H755:P755" si="1842">AVERAGE(H747:H748)</f>
        <v>512.75</v>
      </c>
      <c r="I755">
        <f t="shared" si="1842"/>
        <v>516.55000000000007</v>
      </c>
      <c r="J755">
        <f t="shared" si="1842"/>
        <v>520.04999999999995</v>
      </c>
      <c r="K755">
        <f t="shared" si="1842"/>
        <v>520.5</v>
      </c>
      <c r="L755">
        <f t="shared" si="1842"/>
        <v>518.20000000000005</v>
      </c>
      <c r="M755">
        <f t="shared" si="1842"/>
        <v>512.25</v>
      </c>
      <c r="N755">
        <f t="shared" si="1842"/>
        <v>506.70000000000005</v>
      </c>
      <c r="O755">
        <f t="shared" si="1842"/>
        <v>503.20000000000005</v>
      </c>
      <c r="P755">
        <f t="shared" si="1842"/>
        <v>51.4</v>
      </c>
    </row>
    <row r="756" spans="1:38" ht="17.149999999999999" x14ac:dyDescent="0.55000000000000004">
      <c r="B756" t="str">
        <f t="shared" si="1837"/>
        <v>Portland</v>
      </c>
      <c r="C756" t="s">
        <v>525</v>
      </c>
      <c r="D756" cm="1">
        <f t="array" ref="D756">IFERROR(IF(ISBLANK(INDEX(FX_Input,$R747,D$3*$AK747+$AL747)),D755+0.003*D749*D753,INDEX(FX_Input,$R747,D$3*$AK747+$AL747)+459.6),D755)</f>
        <v>504.09681999999998</v>
      </c>
      <c r="E756" cm="1">
        <f t="array" ref="E756">IFERROR(IF(ISBLANK(INDEX(FX_Input,$R747,E$3*$AK747+$AL747)),E755+0.003*E749*E753,INDEX(FX_Input,$R747,E$3*$AK747+$AL747)+459.6),E755)</f>
        <v>505.34400000000005</v>
      </c>
      <c r="F756" cm="1">
        <f t="array" ref="F756">IFERROR(IF(ISBLANK(INDEX(FX_Input,$R747,F$3*$AK747+$AL747)),F755+0.003*F749*F753,INDEX(FX_Input,$R747,F$3*$AK747+$AL747)+459.6),F755)</f>
        <v>507.22598000000005</v>
      </c>
      <c r="G756" cm="1">
        <f t="array" ref="G756">IFERROR(IF(ISBLANK(INDEX(FX_Input,$R747,G$3*$AK747+$AL747)),G755+0.003*G749*G753,INDEX(FX_Input,$R747,G$3*$AK747+$AL747)+459.6),G755)</f>
        <v>510.37847999999997</v>
      </c>
      <c r="H756" cm="1">
        <f t="array" ref="H756">IFERROR(IF(ISBLANK(INDEX(FX_Input,$R747,H$3*$AK747+$AL747)),H755+0.003*H749*H753,INDEX(FX_Input,$R747,H$3*$AK747+$AL747)+459.6),H755)</f>
        <v>515.42438000000004</v>
      </c>
      <c r="I756" cm="1">
        <f t="array" ref="I756">IFERROR(IF(ISBLANK(INDEX(FX_Input,$R747,I$3*$AK747+$AL747)),I755+0.003*I749*I753,INDEX(FX_Input,$R747,I$3*$AK747+$AL747)+459.6),I755)</f>
        <v>519.38098000000002</v>
      </c>
      <c r="J756" cm="1">
        <f t="array" ref="J756">IFERROR(IF(ISBLANK(INDEX(FX_Input,$R747,J$3*$AK747+$AL747)),J755+0.003*J749*J753,INDEX(FX_Input,$R747,J$3*$AK747+$AL747)+459.6),J755)</f>
        <v>523.02191999999991</v>
      </c>
      <c r="K756" cm="1">
        <f t="array" ref="K756">IFERROR(IF(ISBLANK(INDEX(FX_Input,$R747,K$3*$AK747+$AL747)),K755+0.003*K749*K753,INDEX(FX_Input,$R747,K$3*$AK747+$AL747)+459.6),K755)</f>
        <v>523.09608000000003</v>
      </c>
      <c r="L756" cm="1">
        <f t="array" ref="L756">IFERROR(IF(ISBLANK(INDEX(FX_Input,$R747,L$3*$AK747+$AL747)),L755+0.003*L749*L753,INDEX(FX_Input,$R747,L$3*$AK747+$AL747)+459.6),L755)</f>
        <v>520.28104000000008</v>
      </c>
      <c r="M756" cm="1">
        <f t="array" ref="M756">IFERROR(IF(ISBLANK(INDEX(FX_Input,$R747,M$3*$AK747+$AL747)),M755+0.003*M749*M753,INDEX(FX_Input,$R747,M$3*$AK747+$AL747)+459.6),M755)</f>
        <v>513.51671999999996</v>
      </c>
      <c r="N756" cm="1">
        <f t="array" ref="N756">IFERROR(IF(ISBLANK(INDEX(FX_Input,$R747,N$3*$AK747+$AL747)),N755+0.003*N749*N753,INDEX(FX_Input,$R747,N$3*$AK747+$AL747)+459.6),N755)</f>
        <v>507.38034000000005</v>
      </c>
      <c r="O756" cm="1">
        <f t="array" ref="O756">IFERROR(IF(ISBLANK(INDEX(FX_Input,$R747,O$3*$AK747+$AL747)),O755+0.003*O749*O753,INDEX(FX_Input,$R747,O$3*$AK747+$AL747)+459.6),O755)</f>
        <v>503.72548000000006</v>
      </c>
      <c r="P756" cm="1">
        <f t="array" ref="P756">IFERROR(IF(ISBLANK(INDEX(FX_Input,$R747,P$3*$AK747+$AL747)),P755+0.003*P749*P753,INDEX(FX_Input,$R747,P$3*$AK747+$AL747)+459.6),P755)</f>
        <v>5746.6</v>
      </c>
    </row>
    <row r="757" spans="1:38" ht="17.149999999999999" x14ac:dyDescent="0.55000000000000004">
      <c r="B757" t="str">
        <f t="shared" si="1837"/>
        <v>Portland</v>
      </c>
      <c r="C757" t="s">
        <v>526</v>
      </c>
      <c r="D757">
        <f>IF(ISNUMBER(D751),0.4*D747+0.6*D756+0.005*D751*D753,IF(D751="Partially Insulated",0.3*D755+0.7*D756+0.005*D750*D753,D756))-459.6</f>
        <v>43.172792000000015</v>
      </c>
      <c r="E757">
        <f t="shared" ref="E757" si="1843">IF(ISNUMBER(E751),0.4*E747+0.6*E756+0.005*E751*E753,IF(E751="Partially Insulated",0.3*E755+0.7*E756+0.005*E750*E753,E756))-459.6</f>
        <v>44.426400000000058</v>
      </c>
      <c r="F757">
        <f t="shared" ref="F757" si="1844">IF(ISNUMBER(F751),0.4*F747+0.6*F756+0.005*F751*F753,IF(F751="Partially Insulated",0.3*F755+0.7*F756+0.005*F750*F753,F756))-459.6</f>
        <v>46.918887999999981</v>
      </c>
      <c r="G757">
        <f t="shared" ref="G757" si="1845">IF(ISNUMBER(G751),0.4*G747+0.6*G756+0.005*G751*G753,IF(G751="Partially Insulated",0.3*G755+0.7*G756+0.005*G750*G753,G756))-459.6</f>
        <v>50.857888000000003</v>
      </c>
      <c r="H757">
        <f t="shared" ref="H757" si="1846">IF(ISNUMBER(H751),0.4*H747+0.6*H756+0.005*H751*H753,IF(H751="Partially Insulated",0.3*H755+0.7*H756+0.005*H750*H753,H756))-459.6</f>
        <v>56.551928000000089</v>
      </c>
      <c r="I757">
        <f t="shared" ref="I757" si="1847">IF(ISNUMBER(I751),0.4*I747+0.6*I756+0.005*I751*I753,IF(I751="Partially Insulated",0.3*I755+0.7*I756+0.005*I750*I753,I756))-459.6</f>
        <v>60.866887999999904</v>
      </c>
      <c r="J757">
        <f t="shared" ref="J757" si="1848">IF(ISNUMBER(J751),0.4*J747+0.6*J756+0.005*J751*J753,IF(J751="Partially Insulated",0.3*J755+0.7*J756+0.005*J750*J753,J756))-459.6</f>
        <v>64.646351999999979</v>
      </c>
      <c r="K757">
        <f t="shared" ref="K757" si="1849">IF(ISNUMBER(K751),0.4*K747+0.6*K756+0.005*K751*K753,IF(K751="Partially Insulated",0.3*K755+0.7*K756+0.005*K750*K753,K756))-459.6</f>
        <v>64.06444799999997</v>
      </c>
      <c r="L757">
        <f t="shared" ref="L757" si="1850">IF(ISNUMBER(L751),0.4*L747+0.6*L756+0.005*L751*L753,IF(L751="Partially Insulated",0.3*L755+0.7*L756+0.005*L750*L753,L756))-459.6</f>
        <v>60.037023999999974</v>
      </c>
      <c r="M757">
        <f t="shared" ref="M757" si="1851">IF(ISNUMBER(M751),0.4*M747+0.6*M756+0.005*M751*M753,IF(M751="Partially Insulated",0.3*M755+0.7*M756+0.005*M750*M753,M756))-459.6</f>
        <v>52.581232</v>
      </c>
      <c r="N757">
        <f t="shared" ref="N757" si="1852">IF(ISNUMBER(N751),0.4*N747+0.6*N756+0.005*N751*N753,IF(N751="Partially Insulated",0.3*N755+0.7*N756+0.005*N750*N753,N756))-459.6</f>
        <v>46.202103999999963</v>
      </c>
      <c r="O757">
        <f t="shared" ref="O757" si="1853">IF(ISNUMBER(O751),0.4*O747+0.6*O756+0.005*O751*O753,IF(O751="Partially Insulated",0.3*O755+0.7*O756+0.005*O750*O753,O756))-459.6</f>
        <v>42.791088000000059</v>
      </c>
      <c r="P757">
        <f>AVERAGE(D757:O757)</f>
        <v>52.759752666666664</v>
      </c>
    </row>
    <row r="758" spans="1:38" ht="17.149999999999999" x14ac:dyDescent="0.55000000000000004">
      <c r="B758" t="str">
        <f t="shared" si="1837"/>
        <v>Portland</v>
      </c>
      <c r="C758" t="s">
        <v>527</v>
      </c>
      <c r="D758">
        <f>IF(ISNUMBER(D751),0.4*D748+0.6*D756+0.005*D751*D753,IF(D751="Partially Insulated",0.3*D755+0.7*D756+0.005*D750*D753,D756))-459.6</f>
        <v>47.332791999999984</v>
      </c>
      <c r="E758">
        <f t="shared" ref="E758:O758" si="1854">IF(ISNUMBER(E751),0.4*E748+0.6*E756+0.005*E751*E753,IF(E751="Partially Insulated",0.3*E755+0.7*E756+0.005*E750*E753,E756))-459.6</f>
        <v>49.706400000000031</v>
      </c>
      <c r="F758">
        <f t="shared" si="1854"/>
        <v>52.198888000000068</v>
      </c>
      <c r="G758">
        <f t="shared" si="1854"/>
        <v>56.217888000000016</v>
      </c>
      <c r="H758">
        <f t="shared" si="1854"/>
        <v>61.871928000000025</v>
      </c>
      <c r="I758">
        <f t="shared" si="1854"/>
        <v>65.866888000000017</v>
      </c>
      <c r="J758">
        <f t="shared" si="1854"/>
        <v>69.726351999999906</v>
      </c>
      <c r="K758">
        <f t="shared" si="1854"/>
        <v>69.504448000000025</v>
      </c>
      <c r="L758">
        <f t="shared" si="1854"/>
        <v>66.597024000000033</v>
      </c>
      <c r="M758">
        <f t="shared" si="1854"/>
        <v>58.461231999999995</v>
      </c>
      <c r="N758">
        <f t="shared" si="1854"/>
        <v>51.082104000000015</v>
      </c>
      <c r="O758">
        <f t="shared" si="1854"/>
        <v>46.791088000000059</v>
      </c>
      <c r="P758">
        <f>AVERAGE(D758:O758)</f>
        <v>57.946419333333353</v>
      </c>
    </row>
    <row r="759" spans="1:38" ht="17.149999999999999" x14ac:dyDescent="0.55000000000000004">
      <c r="B759" t="str">
        <f t="shared" si="1837"/>
        <v>Portland</v>
      </c>
      <c r="C759" t="s">
        <v>552</v>
      </c>
      <c r="D759">
        <f>IF(ISNUMBER(D751),0.4*D755+0.6*D756+0.005*D751*D753,IF(D751="Partially Insulated",0.3*D755+0.7*D756+0.005*D750*D753,D756))-459.6</f>
        <v>45.252791999999943</v>
      </c>
      <c r="E759">
        <f t="shared" ref="E759:O759" si="1855">IF(ISNUMBER(E751),0.4*E755+0.6*E756+0.005*E751*E753,IF(E751="Partially Insulated",0.3*E755+0.7*E756+0.005*E750*E753,E756))-459.6</f>
        <v>47.066400000000044</v>
      </c>
      <c r="F759">
        <f t="shared" si="1855"/>
        <v>49.558888000000024</v>
      </c>
      <c r="G759">
        <f t="shared" si="1855"/>
        <v>53.537887999999953</v>
      </c>
      <c r="H759">
        <f t="shared" si="1855"/>
        <v>59.211928000000057</v>
      </c>
      <c r="I759">
        <f t="shared" si="1855"/>
        <v>63.366888000000017</v>
      </c>
      <c r="J759">
        <f t="shared" si="1855"/>
        <v>67.186351999999943</v>
      </c>
      <c r="K759">
        <f t="shared" si="1855"/>
        <v>66.784447999999998</v>
      </c>
      <c r="L759">
        <f t="shared" si="1855"/>
        <v>63.31702400000006</v>
      </c>
      <c r="M759">
        <f t="shared" si="1855"/>
        <v>55.521232000000055</v>
      </c>
      <c r="N759">
        <f t="shared" si="1855"/>
        <v>48.642103999999961</v>
      </c>
      <c r="O759">
        <f t="shared" si="1855"/>
        <v>44.791088000000059</v>
      </c>
      <c r="P759">
        <f>AVERAGE(D759:O759)</f>
        <v>55.353086000000012</v>
      </c>
    </row>
    <row r="760" spans="1:38" ht="17.149999999999999" x14ac:dyDescent="0.55000000000000004">
      <c r="A760" s="11"/>
      <c r="B760" s="11" t="str">
        <f t="shared" si="1837"/>
        <v>Portland</v>
      </c>
      <c r="C760" s="11" t="s">
        <v>553</v>
      </c>
      <c r="D760" s="11">
        <f>IF(ISNUMBER(D751),0.7*D755+0.3*D756+0.009*D751*D753,IF(D751="Partially Insulated",0.6*D755+0.4*D756+0.01*D750*D753,D756))-459.6</f>
        <v>45.869505999999944</v>
      </c>
      <c r="E760" s="11">
        <f t="shared" ref="E760:O760" si="1856">IF(ISNUMBER(E751),0.7*E755+0.3*E756+0.009*E751*E753,IF(E751="Partially Insulated",0.6*E755+0.4*E756+0.01*E750*E753,E756))-459.6</f>
        <v>48.145200000000045</v>
      </c>
      <c r="F760" s="11">
        <f t="shared" si="1856"/>
        <v>51.135734000000014</v>
      </c>
      <c r="G760" s="11">
        <f t="shared" si="1856"/>
        <v>55.788983999999914</v>
      </c>
      <c r="H760" s="11">
        <f t="shared" si="1856"/>
        <v>61.975454000000013</v>
      </c>
      <c r="I760" s="11">
        <f t="shared" si="1856"/>
        <v>66.292234000000008</v>
      </c>
      <c r="J760" s="11">
        <f t="shared" si="1856"/>
        <v>70.257335999999896</v>
      </c>
      <c r="K760" s="11">
        <f t="shared" si="1856"/>
        <v>69.467063999999937</v>
      </c>
      <c r="L760" s="11">
        <f t="shared" si="1856"/>
        <v>65.467431999999917</v>
      </c>
      <c r="M760" s="11">
        <f t="shared" si="1856"/>
        <v>56.830175999999938</v>
      </c>
      <c r="N760" s="11">
        <f t="shared" si="1856"/>
        <v>49.345121999999947</v>
      </c>
      <c r="O760" s="11">
        <f t="shared" si="1856"/>
        <v>45.334084000000018</v>
      </c>
      <c r="P760" s="11">
        <f>AVERAGE(D760:O760)</f>
        <v>57.159027166666625</v>
      </c>
      <c r="Q760" s="11"/>
      <c r="R760" s="11"/>
      <c r="S760" s="11"/>
      <c r="T760" s="11"/>
      <c r="U760" s="11"/>
      <c r="V760" s="11"/>
      <c r="W760" s="11"/>
      <c r="X760" s="11"/>
      <c r="Y760" s="11"/>
      <c r="Z760" s="11"/>
      <c r="AA760" s="11"/>
      <c r="AB760" s="11"/>
      <c r="AC760" s="11"/>
      <c r="AD760" s="11"/>
      <c r="AE760" s="11"/>
      <c r="AF760" s="11"/>
      <c r="AG760" s="11"/>
      <c r="AH760" s="11"/>
      <c r="AI760" s="11"/>
      <c r="AJ760" s="11"/>
      <c r="AK760" s="11"/>
      <c r="AL760" s="11"/>
    </row>
    <row r="761" spans="1:38" ht="17.149999999999999" x14ac:dyDescent="0.55000000000000004">
      <c r="A761" t="str" cm="1">
        <f t="array" ref="A761">INDEX(FX_Input,$R761,S$5)</f>
        <v>FX - 55</v>
      </c>
      <c r="B761" t="str" cm="1">
        <f t="array" ref="B761">INDEX(FX_Input,R761,T761)</f>
        <v>Portland</v>
      </c>
      <c r="C761" t="s">
        <v>510</v>
      </c>
      <c r="D761">
        <f t="shared" ref="D761:O762" si="1857">VLOOKUP(VLOOKUP($B761,Terminal_X_Ref,2,FALSE)&amp;$C761,Weather_Data,$Y761*D$3+$Z761,FALSE)+459.6</f>
        <v>498.3</v>
      </c>
      <c r="E761">
        <f t="shared" si="1857"/>
        <v>497.70000000000005</v>
      </c>
      <c r="F761">
        <f t="shared" si="1857"/>
        <v>499.1</v>
      </c>
      <c r="G761">
        <f t="shared" si="1857"/>
        <v>501.5</v>
      </c>
      <c r="H761">
        <f t="shared" si="1857"/>
        <v>506.1</v>
      </c>
      <c r="I761">
        <f t="shared" si="1857"/>
        <v>510.3</v>
      </c>
      <c r="J761">
        <f t="shared" si="1857"/>
        <v>513.70000000000005</v>
      </c>
      <c r="K761">
        <f t="shared" si="1857"/>
        <v>513.70000000000005</v>
      </c>
      <c r="L761">
        <f t="shared" si="1857"/>
        <v>510</v>
      </c>
      <c r="M761">
        <f t="shared" si="1857"/>
        <v>504.90000000000003</v>
      </c>
      <c r="N761">
        <f t="shared" si="1857"/>
        <v>500.6</v>
      </c>
      <c r="O761">
        <f t="shared" si="1857"/>
        <v>498.20000000000005</v>
      </c>
      <c r="P761">
        <f t="shared" ref="P761:P762" si="1858">VLOOKUP(VLOOKUP($B761,Terminal_X_Ref,2,FALSE)&amp;$C761,Weather_Data,$Y761*P$3+$Z761,FALSE)</f>
        <v>44.9</v>
      </c>
      <c r="R761">
        <f>R747+2</f>
        <v>109</v>
      </c>
      <c r="S761">
        <f>S747+1</f>
        <v>55</v>
      </c>
      <c r="T761">
        <v>3</v>
      </c>
      <c r="U761">
        <v>2</v>
      </c>
      <c r="V761">
        <v>3</v>
      </c>
      <c r="W761">
        <v>1</v>
      </c>
      <c r="X761">
        <v>2</v>
      </c>
      <c r="Y761">
        <f>(V761-U761)/(X761-W761)</f>
        <v>1</v>
      </c>
      <c r="Z761">
        <f>U761-Y761*W761</f>
        <v>1</v>
      </c>
      <c r="AA761">
        <f>AA747+1</f>
        <v>55</v>
      </c>
      <c r="AB761">
        <v>6</v>
      </c>
      <c r="AC761">
        <v>3</v>
      </c>
      <c r="AD761">
        <v>13</v>
      </c>
      <c r="AE761">
        <v>12</v>
      </c>
      <c r="AF761">
        <v>14</v>
      </c>
      <c r="AG761">
        <v>77</v>
      </c>
      <c r="AH761">
        <v>78</v>
      </c>
      <c r="AI761">
        <v>1</v>
      </c>
      <c r="AJ761">
        <v>2</v>
      </c>
      <c r="AK761">
        <f>(AH761-AG761)/(AJ761-AI761)</f>
        <v>1</v>
      </c>
      <c r="AL761">
        <f>AG761-AK761*AI761</f>
        <v>76</v>
      </c>
    </row>
    <row r="762" spans="1:38" ht="17.149999999999999" x14ac:dyDescent="0.55000000000000004">
      <c r="B762" t="str">
        <f t="shared" ref="B762" si="1859">B761</f>
        <v>Portland</v>
      </c>
      <c r="C762" t="s">
        <v>511</v>
      </c>
      <c r="D762">
        <f t="shared" si="1857"/>
        <v>508.70000000000005</v>
      </c>
      <c r="E762">
        <f t="shared" si="1857"/>
        <v>510.90000000000003</v>
      </c>
      <c r="F762">
        <f t="shared" si="1857"/>
        <v>512.30000000000007</v>
      </c>
      <c r="G762">
        <f t="shared" si="1857"/>
        <v>514.9</v>
      </c>
      <c r="H762">
        <f t="shared" si="1857"/>
        <v>519.4</v>
      </c>
      <c r="I762">
        <f t="shared" si="1857"/>
        <v>522.80000000000007</v>
      </c>
      <c r="J762">
        <f t="shared" si="1857"/>
        <v>526.4</v>
      </c>
      <c r="K762">
        <f t="shared" si="1857"/>
        <v>527.30000000000007</v>
      </c>
      <c r="L762">
        <f t="shared" si="1857"/>
        <v>526.4</v>
      </c>
      <c r="M762">
        <f t="shared" si="1857"/>
        <v>519.6</v>
      </c>
      <c r="N762">
        <f t="shared" si="1857"/>
        <v>512.80000000000007</v>
      </c>
      <c r="O762">
        <f t="shared" si="1857"/>
        <v>508.20000000000005</v>
      </c>
      <c r="P762">
        <f t="shared" si="1858"/>
        <v>57.9</v>
      </c>
      <c r="U762">
        <f>U761</f>
        <v>2</v>
      </c>
      <c r="V762">
        <f t="shared" ref="V762:Z762" si="1860">V761</f>
        <v>3</v>
      </c>
      <c r="W762">
        <f t="shared" si="1860"/>
        <v>1</v>
      </c>
      <c r="X762">
        <f t="shared" si="1860"/>
        <v>2</v>
      </c>
      <c r="Y762">
        <f t="shared" si="1860"/>
        <v>1</v>
      </c>
      <c r="Z762">
        <f t="shared" si="1860"/>
        <v>1</v>
      </c>
      <c r="AA762">
        <f>AA761</f>
        <v>55</v>
      </c>
      <c r="AB762">
        <f t="shared" ref="AB762:AB765" si="1861">AB761</f>
        <v>6</v>
      </c>
      <c r="AC762">
        <f t="shared" ref="AC762:AF765" si="1862">AC761</f>
        <v>3</v>
      </c>
      <c r="AD762">
        <f t="shared" si="1862"/>
        <v>13</v>
      </c>
      <c r="AE762">
        <f t="shared" si="1862"/>
        <v>12</v>
      </c>
      <c r="AF762">
        <f t="shared" si="1862"/>
        <v>14</v>
      </c>
      <c r="AG762">
        <f t="shared" ref="AG762:AG765" si="1863">AG761</f>
        <v>77</v>
      </c>
      <c r="AH762">
        <f t="shared" ref="AH762:AH765" si="1864">AH761</f>
        <v>78</v>
      </c>
      <c r="AI762">
        <f t="shared" ref="AI762:AI765" si="1865">AI761</f>
        <v>1</v>
      </c>
      <c r="AJ762">
        <f t="shared" ref="AJ762:AJ765" si="1866">AJ761</f>
        <v>2</v>
      </c>
      <c r="AK762">
        <f t="shared" ref="AK762:AK765" si="1867">AK761</f>
        <v>1</v>
      </c>
      <c r="AL762">
        <f t="shared" ref="AL762:AL765" si="1868">AL761</f>
        <v>76</v>
      </c>
    </row>
    <row r="763" spans="1:38" ht="17.149999999999999" x14ac:dyDescent="0.4">
      <c r="B763" t="str">
        <f>B762</f>
        <v>Portland</v>
      </c>
      <c r="C763" s="66" t="s">
        <v>514</v>
      </c>
      <c r="D763" cm="1">
        <f t="array" ref="D763">INDEX(FX_Calcs,$AA763,$AE763)</f>
        <v>0.57999999999999996</v>
      </c>
      <c r="E763" cm="1">
        <f t="array" ref="E763">INDEX(FX_Calcs,$AA763,$AE763)</f>
        <v>0.57999999999999996</v>
      </c>
      <c r="F763" cm="1">
        <f t="array" ref="F763">INDEX(FX_Calcs,$AA763,$AE763)</f>
        <v>0.57999999999999996</v>
      </c>
      <c r="G763" cm="1">
        <f t="array" ref="G763">INDEX(FX_Calcs,$AA763,$AE763)</f>
        <v>0.57999999999999996</v>
      </c>
      <c r="H763" cm="1">
        <f t="array" ref="H763">INDEX(FX_Calcs,$AA763,$AE763)</f>
        <v>0.57999999999999996</v>
      </c>
      <c r="I763" cm="1">
        <f t="array" ref="I763">INDEX(FX_Calcs,$AA763,$AE763)</f>
        <v>0.57999999999999996</v>
      </c>
      <c r="J763" cm="1">
        <f t="array" ref="J763">INDEX(FX_Calcs,$AA763,$AE763)</f>
        <v>0.57999999999999996</v>
      </c>
      <c r="K763" cm="1">
        <f t="array" ref="K763">INDEX(FX_Calcs,$AA763,$AE763)</f>
        <v>0.57999999999999996</v>
      </c>
      <c r="L763" cm="1">
        <f t="array" ref="L763">INDEX(FX_Calcs,$AA763,$AE763)</f>
        <v>0.57999999999999996</v>
      </c>
      <c r="M763" cm="1">
        <f t="array" ref="M763">INDEX(FX_Calcs,$AA763,$AE763)</f>
        <v>0.57999999999999996</v>
      </c>
      <c r="N763" cm="1">
        <f t="array" ref="N763">INDEX(FX_Calcs,$AA763,$AE763)</f>
        <v>0.57999999999999996</v>
      </c>
      <c r="O763" cm="1">
        <f t="array" ref="O763">INDEX(FX_Calcs,$AA763,$AE763)</f>
        <v>0.57999999999999996</v>
      </c>
      <c r="P763" cm="1">
        <f t="array" ref="P763">INDEX(FX_Calcs,$AA763,$AE763)</f>
        <v>0.57999999999999996</v>
      </c>
      <c r="AA763">
        <f>AA762</f>
        <v>55</v>
      </c>
      <c r="AB763">
        <f t="shared" si="1861"/>
        <v>6</v>
      </c>
      <c r="AC763">
        <f t="shared" si="1862"/>
        <v>3</v>
      </c>
      <c r="AD763">
        <f t="shared" si="1862"/>
        <v>13</v>
      </c>
      <c r="AE763">
        <f t="shared" si="1862"/>
        <v>12</v>
      </c>
      <c r="AF763">
        <f t="shared" si="1862"/>
        <v>14</v>
      </c>
      <c r="AG763">
        <f t="shared" si="1863"/>
        <v>77</v>
      </c>
      <c r="AH763">
        <f t="shared" si="1864"/>
        <v>78</v>
      </c>
      <c r="AI763">
        <f t="shared" si="1865"/>
        <v>1</v>
      </c>
      <c r="AJ763">
        <f t="shared" si="1866"/>
        <v>2</v>
      </c>
      <c r="AK763">
        <f t="shared" si="1867"/>
        <v>1</v>
      </c>
      <c r="AL763">
        <f t="shared" si="1868"/>
        <v>76</v>
      </c>
    </row>
    <row r="764" spans="1:38" ht="17.149999999999999" x14ac:dyDescent="0.4">
      <c r="B764" t="str">
        <f t="shared" ref="B764:B765" si="1869">B763</f>
        <v>Portland</v>
      </c>
      <c r="C764" s="66" t="s">
        <v>513</v>
      </c>
      <c r="D764" cm="1">
        <f t="array" ref="D764">INDEX(FX_Calcs,$AA764,$AD764)</f>
        <v>0.57999999999999996</v>
      </c>
      <c r="E764" cm="1">
        <f t="array" ref="E764">INDEX(FX_Calcs,$AA764,$AD764)</f>
        <v>0.57999999999999996</v>
      </c>
      <c r="F764" cm="1">
        <f t="array" ref="F764">INDEX(FX_Calcs,$AA764,$AD764)</f>
        <v>0.57999999999999996</v>
      </c>
      <c r="G764" cm="1">
        <f t="array" ref="G764">INDEX(FX_Calcs,$AA764,$AD764)</f>
        <v>0.57999999999999996</v>
      </c>
      <c r="H764" cm="1">
        <f t="array" ref="H764">INDEX(FX_Calcs,$AA764,$AD764)</f>
        <v>0.57999999999999996</v>
      </c>
      <c r="I764" cm="1">
        <f t="array" ref="I764">INDEX(FX_Calcs,$AA764,$AD764)</f>
        <v>0.57999999999999996</v>
      </c>
      <c r="J764" cm="1">
        <f t="array" ref="J764">INDEX(FX_Calcs,$AA764,$AD764)</f>
        <v>0.57999999999999996</v>
      </c>
      <c r="K764" cm="1">
        <f t="array" ref="K764">INDEX(FX_Calcs,$AA764,$AD764)</f>
        <v>0.57999999999999996</v>
      </c>
      <c r="L764" cm="1">
        <f t="array" ref="L764">INDEX(FX_Calcs,$AA764,$AD764)</f>
        <v>0.57999999999999996</v>
      </c>
      <c r="M764" cm="1">
        <f t="array" ref="M764">INDEX(FX_Calcs,$AA764,$AD764)</f>
        <v>0.57999999999999996</v>
      </c>
      <c r="N764" cm="1">
        <f t="array" ref="N764">INDEX(FX_Calcs,$AA764,$AD764)</f>
        <v>0.57999999999999996</v>
      </c>
      <c r="O764" cm="1">
        <f t="array" ref="O764">INDEX(FX_Calcs,$AA764,$AD764)</f>
        <v>0.57999999999999996</v>
      </c>
      <c r="P764" cm="1">
        <f t="array" ref="P764">INDEX(FX_Calcs,$AA764,$AD764)</f>
        <v>0.57999999999999996</v>
      </c>
      <c r="AA764">
        <f>AA763</f>
        <v>55</v>
      </c>
      <c r="AB764">
        <f t="shared" si="1861"/>
        <v>6</v>
      </c>
      <c r="AC764">
        <f t="shared" si="1862"/>
        <v>3</v>
      </c>
      <c r="AD764">
        <f t="shared" si="1862"/>
        <v>13</v>
      </c>
      <c r="AE764">
        <f t="shared" si="1862"/>
        <v>12</v>
      </c>
      <c r="AF764">
        <f t="shared" si="1862"/>
        <v>14</v>
      </c>
      <c r="AG764">
        <f t="shared" si="1863"/>
        <v>77</v>
      </c>
      <c r="AH764">
        <f t="shared" si="1864"/>
        <v>78</v>
      </c>
      <c r="AI764">
        <f t="shared" si="1865"/>
        <v>1</v>
      </c>
      <c r="AJ764">
        <f t="shared" si="1866"/>
        <v>2</v>
      </c>
      <c r="AK764">
        <f t="shared" si="1867"/>
        <v>1</v>
      </c>
      <c r="AL764">
        <f t="shared" si="1868"/>
        <v>76</v>
      </c>
    </row>
    <row r="765" spans="1:38" x14ac:dyDescent="0.4">
      <c r="B765" t="str">
        <f t="shared" si="1869"/>
        <v>Portland</v>
      </c>
      <c r="C765" s="66" t="s">
        <v>558</v>
      </c>
      <c r="D765" cm="1">
        <f t="array" ref="D765">INDEX(FX_Calcs,$AA765,$AF765)</f>
        <v>0.57999999999999996</v>
      </c>
      <c r="E765" cm="1">
        <f t="array" ref="E765">INDEX(FX_Calcs,$AA765,$AF765)</f>
        <v>0.57999999999999996</v>
      </c>
      <c r="F765" cm="1">
        <f t="array" ref="F765">INDEX(FX_Calcs,$AA765,$AF765)</f>
        <v>0.57999999999999996</v>
      </c>
      <c r="G765" cm="1">
        <f t="array" ref="G765">INDEX(FX_Calcs,$AA765,$AF765)</f>
        <v>0.57999999999999996</v>
      </c>
      <c r="H765" cm="1">
        <f t="array" ref="H765">INDEX(FX_Calcs,$AA765,$AF765)</f>
        <v>0.57999999999999996</v>
      </c>
      <c r="I765" cm="1">
        <f t="array" ref="I765">INDEX(FX_Calcs,$AA765,$AF765)</f>
        <v>0.57999999999999996</v>
      </c>
      <c r="J765" cm="1">
        <f t="array" ref="J765">INDEX(FX_Calcs,$AA765,$AF765)</f>
        <v>0.57999999999999996</v>
      </c>
      <c r="K765" cm="1">
        <f t="array" ref="K765">INDEX(FX_Calcs,$AA765,$AF765)</f>
        <v>0.57999999999999996</v>
      </c>
      <c r="L765" cm="1">
        <f t="array" ref="L765">INDEX(FX_Calcs,$AA765,$AF765)</f>
        <v>0.57999999999999996</v>
      </c>
      <c r="M765" cm="1">
        <f t="array" ref="M765">INDEX(FX_Calcs,$AA765,$AF765)</f>
        <v>0.57999999999999996</v>
      </c>
      <c r="N765" cm="1">
        <f t="array" ref="N765">INDEX(FX_Calcs,$AA765,$AF765)</f>
        <v>0.57999999999999996</v>
      </c>
      <c r="O765" cm="1">
        <f t="array" ref="O765">INDEX(FX_Calcs,$AA765,$AF765)</f>
        <v>0.57999999999999996</v>
      </c>
      <c r="P765" cm="1">
        <f t="array" ref="P765">INDEX(FX_Calcs,$AA765,$AF765)</f>
        <v>0.57999999999999996</v>
      </c>
      <c r="AA765">
        <f>AA764</f>
        <v>55</v>
      </c>
      <c r="AB765">
        <f t="shared" si="1861"/>
        <v>6</v>
      </c>
      <c r="AC765">
        <f t="shared" si="1862"/>
        <v>3</v>
      </c>
      <c r="AD765">
        <f t="shared" si="1862"/>
        <v>13</v>
      </c>
      <c r="AE765">
        <f t="shared" si="1862"/>
        <v>12</v>
      </c>
      <c r="AF765">
        <f t="shared" si="1862"/>
        <v>14</v>
      </c>
      <c r="AG765">
        <f t="shared" si="1863"/>
        <v>77</v>
      </c>
      <c r="AH765">
        <f t="shared" si="1864"/>
        <v>78</v>
      </c>
      <c r="AI765">
        <f t="shared" si="1865"/>
        <v>1</v>
      </c>
      <c r="AJ765">
        <f t="shared" si="1866"/>
        <v>2</v>
      </c>
      <c r="AK765">
        <f t="shared" si="1867"/>
        <v>1</v>
      </c>
      <c r="AL765">
        <f t="shared" si="1868"/>
        <v>76</v>
      </c>
    </row>
    <row r="766" spans="1:38" ht="17.149999999999999" x14ac:dyDescent="0.55000000000000004">
      <c r="B766" t="str">
        <f>B762</f>
        <v>Portland</v>
      </c>
      <c r="C766" t="s">
        <v>512</v>
      </c>
      <c r="D766">
        <f t="shared" ref="D766:P766" si="1870">D762-D761</f>
        <v>10.400000000000034</v>
      </c>
      <c r="E766">
        <f t="shared" si="1870"/>
        <v>13.199999999999989</v>
      </c>
      <c r="F766">
        <f t="shared" si="1870"/>
        <v>13.200000000000045</v>
      </c>
      <c r="G766">
        <f t="shared" si="1870"/>
        <v>13.399999999999977</v>
      </c>
      <c r="H766">
        <f t="shared" si="1870"/>
        <v>13.299999999999955</v>
      </c>
      <c r="I766">
        <f t="shared" si="1870"/>
        <v>12.500000000000057</v>
      </c>
      <c r="J766">
        <f t="shared" si="1870"/>
        <v>12.699999999999932</v>
      </c>
      <c r="K766">
        <f t="shared" si="1870"/>
        <v>13.600000000000023</v>
      </c>
      <c r="L766">
        <f t="shared" si="1870"/>
        <v>16.399999999999977</v>
      </c>
      <c r="M766">
        <f t="shared" si="1870"/>
        <v>14.699999999999989</v>
      </c>
      <c r="N766">
        <f t="shared" si="1870"/>
        <v>12.200000000000045</v>
      </c>
      <c r="O766">
        <f t="shared" si="1870"/>
        <v>10</v>
      </c>
      <c r="P766">
        <f t="shared" si="1870"/>
        <v>13</v>
      </c>
    </row>
    <row r="767" spans="1:38" x14ac:dyDescent="0.4">
      <c r="B767" t="str">
        <f t="shared" ref="B767:B774" si="1871">B766</f>
        <v>Portland</v>
      </c>
      <c r="C767" t="s">
        <v>260</v>
      </c>
      <c r="D767">
        <f t="shared" ref="D767:P767" si="1872">VLOOKUP(VLOOKUP($B767,Terminal_X_Ref,2,FALSE)&amp;$C767,Weather_Data,$Y767*D$3+$Z767,FALSE)</f>
        <v>343</v>
      </c>
      <c r="E767">
        <f t="shared" si="1872"/>
        <v>600</v>
      </c>
      <c r="F767">
        <f t="shared" si="1872"/>
        <v>877</v>
      </c>
      <c r="G767">
        <f t="shared" si="1872"/>
        <v>1252</v>
      </c>
      <c r="H767">
        <f t="shared" si="1872"/>
        <v>1537</v>
      </c>
      <c r="I767">
        <f t="shared" si="1872"/>
        <v>1627</v>
      </c>
      <c r="J767">
        <f t="shared" si="1872"/>
        <v>1708</v>
      </c>
      <c r="K767">
        <f t="shared" si="1872"/>
        <v>1492</v>
      </c>
      <c r="L767">
        <f t="shared" si="1872"/>
        <v>1196</v>
      </c>
      <c r="M767">
        <f t="shared" si="1872"/>
        <v>728</v>
      </c>
      <c r="N767">
        <f t="shared" si="1872"/>
        <v>391</v>
      </c>
      <c r="O767">
        <f t="shared" si="1872"/>
        <v>302</v>
      </c>
      <c r="P767">
        <f t="shared" si="1872"/>
        <v>1005</v>
      </c>
      <c r="U767">
        <f>U762</f>
        <v>2</v>
      </c>
      <c r="V767">
        <f t="shared" ref="V767:Z767" si="1873">V762</f>
        <v>3</v>
      </c>
      <c r="W767">
        <f t="shared" si="1873"/>
        <v>1</v>
      </c>
      <c r="X767">
        <f t="shared" si="1873"/>
        <v>2</v>
      </c>
      <c r="Y767">
        <f t="shared" si="1873"/>
        <v>1</v>
      </c>
      <c r="Z767">
        <f t="shared" si="1873"/>
        <v>1</v>
      </c>
    </row>
    <row r="768" spans="1:38" ht="17.149999999999999" x14ac:dyDescent="0.55000000000000004">
      <c r="B768" t="str">
        <f t="shared" si="1871"/>
        <v>Portland</v>
      </c>
      <c r="C768" t="s">
        <v>523</v>
      </c>
      <c r="D768">
        <f>IF(ISNUMBER(D765),0.7*D766+0.02*D765*D767,IF(D765="Partially Insulated",0.6*D766+0.02*D764*D767,0))</f>
        <v>11.258800000000022</v>
      </c>
      <c r="E768">
        <f t="shared" ref="E768:P768" si="1874">IF(ISNUMBER(E765),0.7*E766+0.02*E765*E767,IF(E765="Partially Insulated",0.6*E766+0.02*E764*E767,0))</f>
        <v>16.199999999999989</v>
      </c>
      <c r="F768">
        <f t="shared" si="1874"/>
        <v>19.413200000000032</v>
      </c>
      <c r="G768">
        <f t="shared" si="1874"/>
        <v>23.903199999999984</v>
      </c>
      <c r="H768">
        <f t="shared" si="1874"/>
        <v>27.139199999999967</v>
      </c>
      <c r="I768">
        <f t="shared" si="1874"/>
        <v>27.623200000000036</v>
      </c>
      <c r="J768">
        <f t="shared" si="1874"/>
        <v>28.70279999999995</v>
      </c>
      <c r="K768">
        <f t="shared" si="1874"/>
        <v>26.827200000000012</v>
      </c>
      <c r="L768">
        <f t="shared" si="1874"/>
        <v>25.353599999999982</v>
      </c>
      <c r="M768">
        <f t="shared" si="1874"/>
        <v>18.734799999999993</v>
      </c>
      <c r="N768">
        <f t="shared" si="1874"/>
        <v>13.07560000000003</v>
      </c>
      <c r="O768">
        <f t="shared" si="1874"/>
        <v>10.5032</v>
      </c>
      <c r="P768">
        <f t="shared" si="1874"/>
        <v>20.757999999999999</v>
      </c>
    </row>
    <row r="769" spans="1:38" ht="17.149999999999999" x14ac:dyDescent="0.55000000000000004">
      <c r="B769" t="str">
        <f t="shared" si="1871"/>
        <v>Portland</v>
      </c>
      <c r="C769" t="s">
        <v>524</v>
      </c>
      <c r="D769">
        <f t="shared" ref="D769:F769" si="1875">AVERAGE(D761:D762)</f>
        <v>503.5</v>
      </c>
      <c r="E769">
        <f t="shared" si="1875"/>
        <v>504.30000000000007</v>
      </c>
      <c r="F769">
        <f t="shared" si="1875"/>
        <v>505.70000000000005</v>
      </c>
      <c r="G769">
        <f>AVERAGE(G761:G762)</f>
        <v>508.2</v>
      </c>
      <c r="H769">
        <f t="shared" ref="H769:P769" si="1876">AVERAGE(H761:H762)</f>
        <v>512.75</v>
      </c>
      <c r="I769">
        <f t="shared" si="1876"/>
        <v>516.55000000000007</v>
      </c>
      <c r="J769">
        <f t="shared" si="1876"/>
        <v>520.04999999999995</v>
      </c>
      <c r="K769">
        <f t="shared" si="1876"/>
        <v>520.5</v>
      </c>
      <c r="L769">
        <f t="shared" si="1876"/>
        <v>518.20000000000005</v>
      </c>
      <c r="M769">
        <f t="shared" si="1876"/>
        <v>512.25</v>
      </c>
      <c r="N769">
        <f t="shared" si="1876"/>
        <v>506.70000000000005</v>
      </c>
      <c r="O769">
        <f t="shared" si="1876"/>
        <v>503.20000000000005</v>
      </c>
      <c r="P769">
        <f t="shared" si="1876"/>
        <v>51.4</v>
      </c>
    </row>
    <row r="770" spans="1:38" ht="17.149999999999999" x14ac:dyDescent="0.55000000000000004">
      <c r="B770" t="str">
        <f t="shared" si="1871"/>
        <v>Portland</v>
      </c>
      <c r="C770" t="s">
        <v>525</v>
      </c>
      <c r="D770" cm="1">
        <f t="array" ref="D770">IFERROR(IF(ISBLANK(INDEX(FX_Input,$R761,D$3*$AK761+$AL761)),D769+0.003*D763*D767,INDEX(FX_Input,$R761,D$3*$AK761+$AL761)+459.6),D769)</f>
        <v>504.09681999999998</v>
      </c>
      <c r="E770" cm="1">
        <f t="array" ref="E770">IFERROR(IF(ISBLANK(INDEX(FX_Input,$R761,E$3*$AK761+$AL761)),E769+0.003*E763*E767,INDEX(FX_Input,$R761,E$3*$AK761+$AL761)+459.6),E769)</f>
        <v>505.34400000000005</v>
      </c>
      <c r="F770" cm="1">
        <f t="array" ref="F770">IFERROR(IF(ISBLANK(INDEX(FX_Input,$R761,F$3*$AK761+$AL761)),F769+0.003*F763*F767,INDEX(FX_Input,$R761,F$3*$AK761+$AL761)+459.6),F769)</f>
        <v>507.22598000000005</v>
      </c>
      <c r="G770" cm="1">
        <f t="array" ref="G770">IFERROR(IF(ISBLANK(INDEX(FX_Input,$R761,G$3*$AK761+$AL761)),G769+0.003*G763*G767,INDEX(FX_Input,$R761,G$3*$AK761+$AL761)+459.6),G769)</f>
        <v>510.37847999999997</v>
      </c>
      <c r="H770" cm="1">
        <f t="array" ref="H770">IFERROR(IF(ISBLANK(INDEX(FX_Input,$R761,H$3*$AK761+$AL761)),H769+0.003*H763*H767,INDEX(FX_Input,$R761,H$3*$AK761+$AL761)+459.6),H769)</f>
        <v>515.42438000000004</v>
      </c>
      <c r="I770" cm="1">
        <f t="array" ref="I770">IFERROR(IF(ISBLANK(INDEX(FX_Input,$R761,I$3*$AK761+$AL761)),I769+0.003*I763*I767,INDEX(FX_Input,$R761,I$3*$AK761+$AL761)+459.6),I769)</f>
        <v>519.38098000000002</v>
      </c>
      <c r="J770" cm="1">
        <f t="array" ref="J770">IFERROR(IF(ISBLANK(INDEX(FX_Input,$R761,J$3*$AK761+$AL761)),J769+0.003*J763*J767,INDEX(FX_Input,$R761,J$3*$AK761+$AL761)+459.6),J769)</f>
        <v>523.02191999999991</v>
      </c>
      <c r="K770" cm="1">
        <f t="array" ref="K770">IFERROR(IF(ISBLANK(INDEX(FX_Input,$R761,K$3*$AK761+$AL761)),K769+0.003*K763*K767,INDEX(FX_Input,$R761,K$3*$AK761+$AL761)+459.6),K769)</f>
        <v>523.09608000000003</v>
      </c>
      <c r="L770" cm="1">
        <f t="array" ref="L770">IFERROR(IF(ISBLANK(INDEX(FX_Input,$R761,L$3*$AK761+$AL761)),L769+0.003*L763*L767,INDEX(FX_Input,$R761,L$3*$AK761+$AL761)+459.6),L769)</f>
        <v>520.28104000000008</v>
      </c>
      <c r="M770" cm="1">
        <f t="array" ref="M770">IFERROR(IF(ISBLANK(INDEX(FX_Input,$R761,M$3*$AK761+$AL761)),M769+0.003*M763*M767,INDEX(FX_Input,$R761,M$3*$AK761+$AL761)+459.6),M769)</f>
        <v>513.51671999999996</v>
      </c>
      <c r="N770" cm="1">
        <f t="array" ref="N770">IFERROR(IF(ISBLANK(INDEX(FX_Input,$R761,N$3*$AK761+$AL761)),N769+0.003*N763*N767,INDEX(FX_Input,$R761,N$3*$AK761+$AL761)+459.6),N769)</f>
        <v>507.38034000000005</v>
      </c>
      <c r="O770" cm="1">
        <f t="array" ref="O770">IFERROR(IF(ISBLANK(INDEX(FX_Input,$R761,O$3*$AK761+$AL761)),O769+0.003*O763*O767,INDEX(FX_Input,$R761,O$3*$AK761+$AL761)+459.6),O769)</f>
        <v>503.72548000000006</v>
      </c>
      <c r="P770" cm="1">
        <f t="array" ref="P770">IFERROR(IF(ISBLANK(INDEX(FX_Input,$R761,P$3*$AK761+$AL761)),P769+0.003*P763*P767,INDEX(FX_Input,$R761,P$3*$AK761+$AL761)+459.6),P769)</f>
        <v>5746.6</v>
      </c>
    </row>
    <row r="771" spans="1:38" ht="17.149999999999999" x14ac:dyDescent="0.55000000000000004">
      <c r="B771" t="str">
        <f t="shared" si="1871"/>
        <v>Portland</v>
      </c>
      <c r="C771" t="s">
        <v>526</v>
      </c>
      <c r="D771">
        <f>IF(ISNUMBER(D765),0.4*D761+0.6*D770+0.005*D765*D767,IF(D765="Partially Insulated",0.3*D769+0.7*D770+0.005*D764*D767,D770))-459.6</f>
        <v>43.172792000000015</v>
      </c>
      <c r="E771">
        <f t="shared" ref="E771" si="1877">IF(ISNUMBER(E765),0.4*E761+0.6*E770+0.005*E765*E767,IF(E765="Partially Insulated",0.3*E769+0.7*E770+0.005*E764*E767,E770))-459.6</f>
        <v>44.426400000000058</v>
      </c>
      <c r="F771">
        <f t="shared" ref="F771" si="1878">IF(ISNUMBER(F765),0.4*F761+0.6*F770+0.005*F765*F767,IF(F765="Partially Insulated",0.3*F769+0.7*F770+0.005*F764*F767,F770))-459.6</f>
        <v>46.918887999999981</v>
      </c>
      <c r="G771">
        <f t="shared" ref="G771" si="1879">IF(ISNUMBER(G765),0.4*G761+0.6*G770+0.005*G765*G767,IF(G765="Partially Insulated",0.3*G769+0.7*G770+0.005*G764*G767,G770))-459.6</f>
        <v>50.857888000000003</v>
      </c>
      <c r="H771">
        <f t="shared" ref="H771" si="1880">IF(ISNUMBER(H765),0.4*H761+0.6*H770+0.005*H765*H767,IF(H765="Partially Insulated",0.3*H769+0.7*H770+0.005*H764*H767,H770))-459.6</f>
        <v>56.551928000000089</v>
      </c>
      <c r="I771">
        <f t="shared" ref="I771" si="1881">IF(ISNUMBER(I765),0.4*I761+0.6*I770+0.005*I765*I767,IF(I765="Partially Insulated",0.3*I769+0.7*I770+0.005*I764*I767,I770))-459.6</f>
        <v>60.866887999999904</v>
      </c>
      <c r="J771">
        <f t="shared" ref="J771" si="1882">IF(ISNUMBER(J765),0.4*J761+0.6*J770+0.005*J765*J767,IF(J765="Partially Insulated",0.3*J769+0.7*J770+0.005*J764*J767,J770))-459.6</f>
        <v>64.646351999999979</v>
      </c>
      <c r="K771">
        <f t="shared" ref="K771" si="1883">IF(ISNUMBER(K765),0.4*K761+0.6*K770+0.005*K765*K767,IF(K765="Partially Insulated",0.3*K769+0.7*K770+0.005*K764*K767,K770))-459.6</f>
        <v>64.06444799999997</v>
      </c>
      <c r="L771">
        <f t="shared" ref="L771" si="1884">IF(ISNUMBER(L765),0.4*L761+0.6*L770+0.005*L765*L767,IF(L765="Partially Insulated",0.3*L769+0.7*L770+0.005*L764*L767,L770))-459.6</f>
        <v>60.037023999999974</v>
      </c>
      <c r="M771">
        <f t="shared" ref="M771" si="1885">IF(ISNUMBER(M765),0.4*M761+0.6*M770+0.005*M765*M767,IF(M765="Partially Insulated",0.3*M769+0.7*M770+0.005*M764*M767,M770))-459.6</f>
        <v>52.581232</v>
      </c>
      <c r="N771">
        <f t="shared" ref="N771" si="1886">IF(ISNUMBER(N765),0.4*N761+0.6*N770+0.005*N765*N767,IF(N765="Partially Insulated",0.3*N769+0.7*N770+0.005*N764*N767,N770))-459.6</f>
        <v>46.202103999999963</v>
      </c>
      <c r="O771">
        <f t="shared" ref="O771" si="1887">IF(ISNUMBER(O765),0.4*O761+0.6*O770+0.005*O765*O767,IF(O765="Partially Insulated",0.3*O769+0.7*O770+0.005*O764*O767,O770))-459.6</f>
        <v>42.791088000000059</v>
      </c>
      <c r="P771">
        <f>AVERAGE(D771:O771)</f>
        <v>52.759752666666664</v>
      </c>
    </row>
    <row r="772" spans="1:38" ht="17.149999999999999" x14ac:dyDescent="0.55000000000000004">
      <c r="B772" t="str">
        <f t="shared" si="1871"/>
        <v>Portland</v>
      </c>
      <c r="C772" t="s">
        <v>527</v>
      </c>
      <c r="D772">
        <f>IF(ISNUMBER(D765),0.4*D762+0.6*D770+0.005*D765*D767,IF(D765="Partially Insulated",0.3*D769+0.7*D770+0.005*D764*D767,D770))-459.6</f>
        <v>47.332791999999984</v>
      </c>
      <c r="E772">
        <f t="shared" ref="E772:O772" si="1888">IF(ISNUMBER(E765),0.4*E762+0.6*E770+0.005*E765*E767,IF(E765="Partially Insulated",0.3*E769+0.7*E770+0.005*E764*E767,E770))-459.6</f>
        <v>49.706400000000031</v>
      </c>
      <c r="F772">
        <f t="shared" si="1888"/>
        <v>52.198888000000068</v>
      </c>
      <c r="G772">
        <f t="shared" si="1888"/>
        <v>56.217888000000016</v>
      </c>
      <c r="H772">
        <f t="shared" si="1888"/>
        <v>61.871928000000025</v>
      </c>
      <c r="I772">
        <f t="shared" si="1888"/>
        <v>65.866888000000017</v>
      </c>
      <c r="J772">
        <f t="shared" si="1888"/>
        <v>69.726351999999906</v>
      </c>
      <c r="K772">
        <f t="shared" si="1888"/>
        <v>69.504448000000025</v>
      </c>
      <c r="L772">
        <f t="shared" si="1888"/>
        <v>66.597024000000033</v>
      </c>
      <c r="M772">
        <f t="shared" si="1888"/>
        <v>58.461231999999995</v>
      </c>
      <c r="N772">
        <f t="shared" si="1888"/>
        <v>51.082104000000015</v>
      </c>
      <c r="O772">
        <f t="shared" si="1888"/>
        <v>46.791088000000059</v>
      </c>
      <c r="P772">
        <f>AVERAGE(D772:O772)</f>
        <v>57.946419333333353</v>
      </c>
    </row>
    <row r="773" spans="1:38" ht="17.149999999999999" x14ac:dyDescent="0.55000000000000004">
      <c r="B773" t="str">
        <f t="shared" si="1871"/>
        <v>Portland</v>
      </c>
      <c r="C773" t="s">
        <v>552</v>
      </c>
      <c r="D773">
        <f>IF(ISNUMBER(D765),0.4*D769+0.6*D770+0.005*D765*D767,IF(D765="Partially Insulated",0.3*D769+0.7*D770+0.005*D764*D767,D770))-459.6</f>
        <v>45.252791999999943</v>
      </c>
      <c r="E773">
        <f t="shared" ref="E773:O773" si="1889">IF(ISNUMBER(E765),0.4*E769+0.6*E770+0.005*E765*E767,IF(E765="Partially Insulated",0.3*E769+0.7*E770+0.005*E764*E767,E770))-459.6</f>
        <v>47.066400000000044</v>
      </c>
      <c r="F773">
        <f t="shared" si="1889"/>
        <v>49.558888000000024</v>
      </c>
      <c r="G773">
        <f t="shared" si="1889"/>
        <v>53.537887999999953</v>
      </c>
      <c r="H773">
        <f t="shared" si="1889"/>
        <v>59.211928000000057</v>
      </c>
      <c r="I773">
        <f t="shared" si="1889"/>
        <v>63.366888000000017</v>
      </c>
      <c r="J773">
        <f t="shared" si="1889"/>
        <v>67.186351999999943</v>
      </c>
      <c r="K773">
        <f t="shared" si="1889"/>
        <v>66.784447999999998</v>
      </c>
      <c r="L773">
        <f t="shared" si="1889"/>
        <v>63.31702400000006</v>
      </c>
      <c r="M773">
        <f t="shared" si="1889"/>
        <v>55.521232000000055</v>
      </c>
      <c r="N773">
        <f t="shared" si="1889"/>
        <v>48.642103999999961</v>
      </c>
      <c r="O773">
        <f t="shared" si="1889"/>
        <v>44.791088000000059</v>
      </c>
      <c r="P773">
        <f>AVERAGE(D773:O773)</f>
        <v>55.353086000000012</v>
      </c>
    </row>
    <row r="774" spans="1:38" ht="17.149999999999999" x14ac:dyDescent="0.55000000000000004">
      <c r="A774" s="11"/>
      <c r="B774" s="11" t="str">
        <f t="shared" si="1871"/>
        <v>Portland</v>
      </c>
      <c r="C774" s="11" t="s">
        <v>553</v>
      </c>
      <c r="D774" s="11">
        <f>IF(ISNUMBER(D765),0.7*D769+0.3*D770+0.009*D765*D767,IF(D765="Partially Insulated",0.6*D769+0.4*D770+0.01*D764*D767,D770))-459.6</f>
        <v>45.869505999999944</v>
      </c>
      <c r="E774" s="11">
        <f t="shared" ref="E774:O774" si="1890">IF(ISNUMBER(E765),0.7*E769+0.3*E770+0.009*E765*E767,IF(E765="Partially Insulated",0.6*E769+0.4*E770+0.01*E764*E767,E770))-459.6</f>
        <v>48.145200000000045</v>
      </c>
      <c r="F774" s="11">
        <f t="shared" si="1890"/>
        <v>51.135734000000014</v>
      </c>
      <c r="G774" s="11">
        <f t="shared" si="1890"/>
        <v>55.788983999999914</v>
      </c>
      <c r="H774" s="11">
        <f t="shared" si="1890"/>
        <v>61.975454000000013</v>
      </c>
      <c r="I774" s="11">
        <f t="shared" si="1890"/>
        <v>66.292234000000008</v>
      </c>
      <c r="J774" s="11">
        <f t="shared" si="1890"/>
        <v>70.257335999999896</v>
      </c>
      <c r="K774" s="11">
        <f t="shared" si="1890"/>
        <v>69.467063999999937</v>
      </c>
      <c r="L774" s="11">
        <f t="shared" si="1890"/>
        <v>65.467431999999917</v>
      </c>
      <c r="M774" s="11">
        <f t="shared" si="1890"/>
        <v>56.830175999999938</v>
      </c>
      <c r="N774" s="11">
        <f t="shared" si="1890"/>
        <v>49.345121999999947</v>
      </c>
      <c r="O774" s="11">
        <f t="shared" si="1890"/>
        <v>45.334084000000018</v>
      </c>
      <c r="P774" s="11">
        <f>AVERAGE(D774:O774)</f>
        <v>57.159027166666625</v>
      </c>
      <c r="Q774" s="11"/>
      <c r="R774" s="11"/>
      <c r="S774" s="11"/>
      <c r="T774" s="11"/>
      <c r="U774" s="11"/>
      <c r="V774" s="11"/>
      <c r="W774" s="11"/>
      <c r="X774" s="11"/>
      <c r="Y774" s="11"/>
      <c r="Z774" s="11"/>
      <c r="AA774" s="11"/>
      <c r="AB774" s="11"/>
      <c r="AC774" s="11"/>
      <c r="AD774" s="11"/>
      <c r="AE774" s="11"/>
      <c r="AF774" s="11"/>
      <c r="AG774" s="11"/>
      <c r="AH774" s="11"/>
      <c r="AI774" s="11"/>
      <c r="AJ774" s="11"/>
      <c r="AK774" s="11"/>
      <c r="AL774" s="11"/>
    </row>
    <row r="775" spans="1:38" ht="17.149999999999999" x14ac:dyDescent="0.55000000000000004">
      <c r="A775" t="str" cm="1">
        <f t="array" ref="A775">INDEX(FX_Input,$R775,S$5)</f>
        <v>FX - 56</v>
      </c>
      <c r="B775" t="str" cm="1">
        <f t="array" ref="B775">INDEX(FX_Input,R775,T775)</f>
        <v>Portland</v>
      </c>
      <c r="C775" t="s">
        <v>510</v>
      </c>
      <c r="D775">
        <f t="shared" ref="D775:O776" si="1891">VLOOKUP(VLOOKUP($B775,Terminal_X_Ref,2,FALSE)&amp;$C775,Weather_Data,$Y775*D$3+$Z775,FALSE)+459.6</f>
        <v>498.3</v>
      </c>
      <c r="E775">
        <f t="shared" si="1891"/>
        <v>497.70000000000005</v>
      </c>
      <c r="F775">
        <f t="shared" si="1891"/>
        <v>499.1</v>
      </c>
      <c r="G775">
        <f t="shared" si="1891"/>
        <v>501.5</v>
      </c>
      <c r="H775">
        <f t="shared" si="1891"/>
        <v>506.1</v>
      </c>
      <c r="I775">
        <f t="shared" si="1891"/>
        <v>510.3</v>
      </c>
      <c r="J775">
        <f t="shared" si="1891"/>
        <v>513.70000000000005</v>
      </c>
      <c r="K775">
        <f t="shared" si="1891"/>
        <v>513.70000000000005</v>
      </c>
      <c r="L775">
        <f t="shared" si="1891"/>
        <v>510</v>
      </c>
      <c r="M775">
        <f t="shared" si="1891"/>
        <v>504.90000000000003</v>
      </c>
      <c r="N775">
        <f t="shared" si="1891"/>
        <v>500.6</v>
      </c>
      <c r="O775">
        <f t="shared" si="1891"/>
        <v>498.20000000000005</v>
      </c>
      <c r="P775">
        <f t="shared" ref="P775:P776" si="1892">VLOOKUP(VLOOKUP($B775,Terminal_X_Ref,2,FALSE)&amp;$C775,Weather_Data,$Y775*P$3+$Z775,FALSE)</f>
        <v>44.9</v>
      </c>
      <c r="R775">
        <f>R761+2</f>
        <v>111</v>
      </c>
      <c r="S775">
        <f>S761+1</f>
        <v>56</v>
      </c>
      <c r="T775">
        <v>3</v>
      </c>
      <c r="U775">
        <v>2</v>
      </c>
      <c r="V775">
        <v>3</v>
      </c>
      <c r="W775">
        <v>1</v>
      </c>
      <c r="X775">
        <v>2</v>
      </c>
      <c r="Y775">
        <f>(V775-U775)/(X775-W775)</f>
        <v>1</v>
      </c>
      <c r="Z775">
        <f>U775-Y775*W775</f>
        <v>1</v>
      </c>
      <c r="AA775">
        <f>AA761+1</f>
        <v>56</v>
      </c>
      <c r="AB775">
        <v>6</v>
      </c>
      <c r="AC775">
        <v>3</v>
      </c>
      <c r="AD775">
        <v>13</v>
      </c>
      <c r="AE775">
        <v>12</v>
      </c>
      <c r="AF775">
        <v>14</v>
      </c>
      <c r="AG775">
        <v>77</v>
      </c>
      <c r="AH775">
        <v>78</v>
      </c>
      <c r="AI775">
        <v>1</v>
      </c>
      <c r="AJ775">
        <v>2</v>
      </c>
      <c r="AK775">
        <f>(AH775-AG775)/(AJ775-AI775)</f>
        <v>1</v>
      </c>
      <c r="AL775">
        <f>AG775-AK775*AI775</f>
        <v>76</v>
      </c>
    </row>
    <row r="776" spans="1:38" ht="17.149999999999999" x14ac:dyDescent="0.55000000000000004">
      <c r="B776" t="str">
        <f t="shared" ref="B776" si="1893">B775</f>
        <v>Portland</v>
      </c>
      <c r="C776" t="s">
        <v>511</v>
      </c>
      <c r="D776">
        <f t="shared" si="1891"/>
        <v>508.70000000000005</v>
      </c>
      <c r="E776">
        <f t="shared" si="1891"/>
        <v>510.90000000000003</v>
      </c>
      <c r="F776">
        <f t="shared" si="1891"/>
        <v>512.30000000000007</v>
      </c>
      <c r="G776">
        <f t="shared" si="1891"/>
        <v>514.9</v>
      </c>
      <c r="H776">
        <f t="shared" si="1891"/>
        <v>519.4</v>
      </c>
      <c r="I776">
        <f t="shared" si="1891"/>
        <v>522.80000000000007</v>
      </c>
      <c r="J776">
        <f t="shared" si="1891"/>
        <v>526.4</v>
      </c>
      <c r="K776">
        <f t="shared" si="1891"/>
        <v>527.30000000000007</v>
      </c>
      <c r="L776">
        <f t="shared" si="1891"/>
        <v>526.4</v>
      </c>
      <c r="M776">
        <f t="shared" si="1891"/>
        <v>519.6</v>
      </c>
      <c r="N776">
        <f t="shared" si="1891"/>
        <v>512.80000000000007</v>
      </c>
      <c r="O776">
        <f t="shared" si="1891"/>
        <v>508.20000000000005</v>
      </c>
      <c r="P776">
        <f t="shared" si="1892"/>
        <v>57.9</v>
      </c>
      <c r="U776">
        <f>U775</f>
        <v>2</v>
      </c>
      <c r="V776">
        <f t="shared" ref="V776:Z776" si="1894">V775</f>
        <v>3</v>
      </c>
      <c r="W776">
        <f t="shared" si="1894"/>
        <v>1</v>
      </c>
      <c r="X776">
        <f t="shared" si="1894"/>
        <v>2</v>
      </c>
      <c r="Y776">
        <f t="shared" si="1894"/>
        <v>1</v>
      </c>
      <c r="Z776">
        <f t="shared" si="1894"/>
        <v>1</v>
      </c>
      <c r="AA776">
        <f>AA775</f>
        <v>56</v>
      </c>
      <c r="AB776">
        <f t="shared" ref="AB776:AB779" si="1895">AB775</f>
        <v>6</v>
      </c>
      <c r="AC776">
        <f t="shared" ref="AC776:AF779" si="1896">AC775</f>
        <v>3</v>
      </c>
      <c r="AD776">
        <f t="shared" si="1896"/>
        <v>13</v>
      </c>
      <c r="AE776">
        <f t="shared" si="1896"/>
        <v>12</v>
      </c>
      <c r="AF776">
        <f t="shared" si="1896"/>
        <v>14</v>
      </c>
      <c r="AG776">
        <f t="shared" ref="AG776:AG779" si="1897">AG775</f>
        <v>77</v>
      </c>
      <c r="AH776">
        <f t="shared" ref="AH776:AH779" si="1898">AH775</f>
        <v>78</v>
      </c>
      <c r="AI776">
        <f t="shared" ref="AI776:AI779" si="1899">AI775</f>
        <v>1</v>
      </c>
      <c r="AJ776">
        <f t="shared" ref="AJ776:AJ779" si="1900">AJ775</f>
        <v>2</v>
      </c>
      <c r="AK776">
        <f t="shared" ref="AK776:AK779" si="1901">AK775</f>
        <v>1</v>
      </c>
      <c r="AL776">
        <f t="shared" ref="AL776:AL779" si="1902">AL775</f>
        <v>76</v>
      </c>
    </row>
    <row r="777" spans="1:38" ht="17.149999999999999" x14ac:dyDescent="0.4">
      <c r="B777" t="str">
        <f>B776</f>
        <v>Portland</v>
      </c>
      <c r="C777" s="66" t="s">
        <v>514</v>
      </c>
      <c r="D777" t="str" cm="1">
        <f t="array" ref="D777">INDEX(FX_Calcs,$AA777,$AE777)</f>
        <v>N/A</v>
      </c>
      <c r="E777" t="str" cm="1">
        <f t="array" ref="E777">INDEX(FX_Calcs,$AA777,$AE777)</f>
        <v>N/A</v>
      </c>
      <c r="F777" t="str" cm="1">
        <f t="array" ref="F777">INDEX(FX_Calcs,$AA777,$AE777)</f>
        <v>N/A</v>
      </c>
      <c r="G777" t="str" cm="1">
        <f t="array" ref="G777">INDEX(FX_Calcs,$AA777,$AE777)</f>
        <v>N/A</v>
      </c>
      <c r="H777" t="str" cm="1">
        <f t="array" ref="H777">INDEX(FX_Calcs,$AA777,$AE777)</f>
        <v>N/A</v>
      </c>
      <c r="I777" t="str" cm="1">
        <f t="array" ref="I777">INDEX(FX_Calcs,$AA777,$AE777)</f>
        <v>N/A</v>
      </c>
      <c r="J777" t="str" cm="1">
        <f t="array" ref="J777">INDEX(FX_Calcs,$AA777,$AE777)</f>
        <v>N/A</v>
      </c>
      <c r="K777" t="str" cm="1">
        <f t="array" ref="K777">INDEX(FX_Calcs,$AA777,$AE777)</f>
        <v>N/A</v>
      </c>
      <c r="L777" t="str" cm="1">
        <f t="array" ref="L777">INDEX(FX_Calcs,$AA777,$AE777)</f>
        <v>N/A</v>
      </c>
      <c r="M777" t="str" cm="1">
        <f t="array" ref="M777">INDEX(FX_Calcs,$AA777,$AE777)</f>
        <v>N/A</v>
      </c>
      <c r="N777" t="str" cm="1">
        <f t="array" ref="N777">INDEX(FX_Calcs,$AA777,$AE777)</f>
        <v>N/A</v>
      </c>
      <c r="O777" t="str" cm="1">
        <f t="array" ref="O777">INDEX(FX_Calcs,$AA777,$AE777)</f>
        <v>N/A</v>
      </c>
      <c r="P777" t="str" cm="1">
        <f t="array" ref="P777">INDEX(FX_Calcs,$AA777,$AE777)</f>
        <v>N/A</v>
      </c>
      <c r="AA777">
        <f>AA776</f>
        <v>56</v>
      </c>
      <c r="AB777">
        <f t="shared" si="1895"/>
        <v>6</v>
      </c>
      <c r="AC777">
        <f t="shared" si="1896"/>
        <v>3</v>
      </c>
      <c r="AD777">
        <f t="shared" si="1896"/>
        <v>13</v>
      </c>
      <c r="AE777">
        <f t="shared" si="1896"/>
        <v>12</v>
      </c>
      <c r="AF777">
        <f t="shared" si="1896"/>
        <v>14</v>
      </c>
      <c r="AG777">
        <f t="shared" si="1897"/>
        <v>77</v>
      </c>
      <c r="AH777">
        <f t="shared" si="1898"/>
        <v>78</v>
      </c>
      <c r="AI777">
        <f t="shared" si="1899"/>
        <v>1</v>
      </c>
      <c r="AJ777">
        <f t="shared" si="1900"/>
        <v>2</v>
      </c>
      <c r="AK777">
        <f t="shared" si="1901"/>
        <v>1</v>
      </c>
      <c r="AL777">
        <f t="shared" si="1902"/>
        <v>76</v>
      </c>
    </row>
    <row r="778" spans="1:38" ht="17.149999999999999" x14ac:dyDescent="0.4">
      <c r="B778" t="str">
        <f t="shared" ref="B778:B779" si="1903">B777</f>
        <v>Portland</v>
      </c>
      <c r="C778" s="66" t="s">
        <v>513</v>
      </c>
      <c r="D778" cm="1">
        <f t="array" ref="D778">INDEX(FX_Calcs,$AA778,$AD778)</f>
        <v>0.25</v>
      </c>
      <c r="E778" cm="1">
        <f t="array" ref="E778">INDEX(FX_Calcs,$AA778,$AD778)</f>
        <v>0.25</v>
      </c>
      <c r="F778" cm="1">
        <f t="array" ref="F778">INDEX(FX_Calcs,$AA778,$AD778)</f>
        <v>0.25</v>
      </c>
      <c r="G778" cm="1">
        <f t="array" ref="G778">INDEX(FX_Calcs,$AA778,$AD778)</f>
        <v>0.25</v>
      </c>
      <c r="H778" cm="1">
        <f t="array" ref="H778">INDEX(FX_Calcs,$AA778,$AD778)</f>
        <v>0.25</v>
      </c>
      <c r="I778" cm="1">
        <f t="array" ref="I778">INDEX(FX_Calcs,$AA778,$AD778)</f>
        <v>0.25</v>
      </c>
      <c r="J778" cm="1">
        <f t="array" ref="J778">INDEX(FX_Calcs,$AA778,$AD778)</f>
        <v>0.25</v>
      </c>
      <c r="K778" cm="1">
        <f t="array" ref="K778">INDEX(FX_Calcs,$AA778,$AD778)</f>
        <v>0.25</v>
      </c>
      <c r="L778" cm="1">
        <f t="array" ref="L778">INDEX(FX_Calcs,$AA778,$AD778)</f>
        <v>0.25</v>
      </c>
      <c r="M778" cm="1">
        <f t="array" ref="M778">INDEX(FX_Calcs,$AA778,$AD778)</f>
        <v>0.25</v>
      </c>
      <c r="N778" cm="1">
        <f t="array" ref="N778">INDEX(FX_Calcs,$AA778,$AD778)</f>
        <v>0.25</v>
      </c>
      <c r="O778" cm="1">
        <f t="array" ref="O778">INDEX(FX_Calcs,$AA778,$AD778)</f>
        <v>0.25</v>
      </c>
      <c r="P778" cm="1">
        <f t="array" ref="P778">INDEX(FX_Calcs,$AA778,$AD778)</f>
        <v>0.25</v>
      </c>
      <c r="AA778">
        <f>AA777</f>
        <v>56</v>
      </c>
      <c r="AB778">
        <f t="shared" si="1895"/>
        <v>6</v>
      </c>
      <c r="AC778">
        <f t="shared" si="1896"/>
        <v>3</v>
      </c>
      <c r="AD778">
        <f t="shared" si="1896"/>
        <v>13</v>
      </c>
      <c r="AE778">
        <f t="shared" si="1896"/>
        <v>12</v>
      </c>
      <c r="AF778">
        <f t="shared" si="1896"/>
        <v>14</v>
      </c>
      <c r="AG778">
        <f t="shared" si="1897"/>
        <v>77</v>
      </c>
      <c r="AH778">
        <f t="shared" si="1898"/>
        <v>78</v>
      </c>
      <c r="AI778">
        <f t="shared" si="1899"/>
        <v>1</v>
      </c>
      <c r="AJ778">
        <f t="shared" si="1900"/>
        <v>2</v>
      </c>
      <c r="AK778">
        <f t="shared" si="1901"/>
        <v>1</v>
      </c>
      <c r="AL778">
        <f t="shared" si="1902"/>
        <v>76</v>
      </c>
    </row>
    <row r="779" spans="1:38" x14ac:dyDescent="0.4">
      <c r="B779" t="str">
        <f t="shared" si="1903"/>
        <v>Portland</v>
      </c>
      <c r="C779" s="66" t="s">
        <v>558</v>
      </c>
      <c r="D779" t="str" cm="1">
        <f t="array" ref="D779">INDEX(FX_Calcs,$AA779,$AF779)</f>
        <v>Partially Insulated</v>
      </c>
      <c r="E779" t="str" cm="1">
        <f t="array" ref="E779">INDEX(FX_Calcs,$AA779,$AF779)</f>
        <v>Partially Insulated</v>
      </c>
      <c r="F779" t="str" cm="1">
        <f t="array" ref="F779">INDEX(FX_Calcs,$AA779,$AF779)</f>
        <v>Partially Insulated</v>
      </c>
      <c r="G779" t="str" cm="1">
        <f t="array" ref="G779">INDEX(FX_Calcs,$AA779,$AF779)</f>
        <v>Partially Insulated</v>
      </c>
      <c r="H779" t="str" cm="1">
        <f t="array" ref="H779">INDEX(FX_Calcs,$AA779,$AF779)</f>
        <v>Partially Insulated</v>
      </c>
      <c r="I779" t="str" cm="1">
        <f t="array" ref="I779">INDEX(FX_Calcs,$AA779,$AF779)</f>
        <v>Partially Insulated</v>
      </c>
      <c r="J779" t="str" cm="1">
        <f t="array" ref="J779">INDEX(FX_Calcs,$AA779,$AF779)</f>
        <v>Partially Insulated</v>
      </c>
      <c r="K779" t="str" cm="1">
        <f t="array" ref="K779">INDEX(FX_Calcs,$AA779,$AF779)</f>
        <v>Partially Insulated</v>
      </c>
      <c r="L779" t="str" cm="1">
        <f t="array" ref="L779">INDEX(FX_Calcs,$AA779,$AF779)</f>
        <v>Partially Insulated</v>
      </c>
      <c r="M779" t="str" cm="1">
        <f t="array" ref="M779">INDEX(FX_Calcs,$AA779,$AF779)</f>
        <v>Partially Insulated</v>
      </c>
      <c r="N779" t="str" cm="1">
        <f t="array" ref="N779">INDEX(FX_Calcs,$AA779,$AF779)</f>
        <v>Partially Insulated</v>
      </c>
      <c r="O779" t="str" cm="1">
        <f t="array" ref="O779">INDEX(FX_Calcs,$AA779,$AF779)</f>
        <v>Partially Insulated</v>
      </c>
      <c r="P779" t="str" cm="1">
        <f t="array" ref="P779">INDEX(FX_Calcs,$AA779,$AF779)</f>
        <v>Partially Insulated</v>
      </c>
      <c r="AA779">
        <f>AA778</f>
        <v>56</v>
      </c>
      <c r="AB779">
        <f t="shared" si="1895"/>
        <v>6</v>
      </c>
      <c r="AC779">
        <f t="shared" si="1896"/>
        <v>3</v>
      </c>
      <c r="AD779">
        <f t="shared" si="1896"/>
        <v>13</v>
      </c>
      <c r="AE779">
        <f t="shared" si="1896"/>
        <v>12</v>
      </c>
      <c r="AF779">
        <f t="shared" si="1896"/>
        <v>14</v>
      </c>
      <c r="AG779">
        <f t="shared" si="1897"/>
        <v>77</v>
      </c>
      <c r="AH779">
        <f t="shared" si="1898"/>
        <v>78</v>
      </c>
      <c r="AI779">
        <f t="shared" si="1899"/>
        <v>1</v>
      </c>
      <c r="AJ779">
        <f t="shared" si="1900"/>
        <v>2</v>
      </c>
      <c r="AK779">
        <f t="shared" si="1901"/>
        <v>1</v>
      </c>
      <c r="AL779">
        <f t="shared" si="1902"/>
        <v>76</v>
      </c>
    </row>
    <row r="780" spans="1:38" ht="17.149999999999999" x14ac:dyDescent="0.55000000000000004">
      <c r="B780" t="str">
        <f>B776</f>
        <v>Portland</v>
      </c>
      <c r="C780" t="s">
        <v>512</v>
      </c>
      <c r="D780">
        <f t="shared" ref="D780:P780" si="1904">D776-D775</f>
        <v>10.400000000000034</v>
      </c>
      <c r="E780">
        <f t="shared" si="1904"/>
        <v>13.199999999999989</v>
      </c>
      <c r="F780">
        <f t="shared" si="1904"/>
        <v>13.200000000000045</v>
      </c>
      <c r="G780">
        <f t="shared" si="1904"/>
        <v>13.399999999999977</v>
      </c>
      <c r="H780">
        <f t="shared" si="1904"/>
        <v>13.299999999999955</v>
      </c>
      <c r="I780">
        <f t="shared" si="1904"/>
        <v>12.500000000000057</v>
      </c>
      <c r="J780">
        <f t="shared" si="1904"/>
        <v>12.699999999999932</v>
      </c>
      <c r="K780">
        <f t="shared" si="1904"/>
        <v>13.600000000000023</v>
      </c>
      <c r="L780">
        <f t="shared" si="1904"/>
        <v>16.399999999999977</v>
      </c>
      <c r="M780">
        <f t="shared" si="1904"/>
        <v>14.699999999999989</v>
      </c>
      <c r="N780">
        <f t="shared" si="1904"/>
        <v>12.200000000000045</v>
      </c>
      <c r="O780">
        <f t="shared" si="1904"/>
        <v>10</v>
      </c>
      <c r="P780">
        <f t="shared" si="1904"/>
        <v>13</v>
      </c>
    </row>
    <row r="781" spans="1:38" x14ac:dyDescent="0.4">
      <c r="B781" t="str">
        <f t="shared" ref="B781:B788" si="1905">B780</f>
        <v>Portland</v>
      </c>
      <c r="C781" t="s">
        <v>260</v>
      </c>
      <c r="D781">
        <f t="shared" ref="D781:P781" si="1906">VLOOKUP(VLOOKUP($B781,Terminal_X_Ref,2,FALSE)&amp;$C781,Weather_Data,$Y781*D$3+$Z781,FALSE)</f>
        <v>343</v>
      </c>
      <c r="E781">
        <f t="shared" si="1906"/>
        <v>600</v>
      </c>
      <c r="F781">
        <f t="shared" si="1906"/>
        <v>877</v>
      </c>
      <c r="G781">
        <f t="shared" si="1906"/>
        <v>1252</v>
      </c>
      <c r="H781">
        <f t="shared" si="1906"/>
        <v>1537</v>
      </c>
      <c r="I781">
        <f t="shared" si="1906"/>
        <v>1627</v>
      </c>
      <c r="J781">
        <f t="shared" si="1906"/>
        <v>1708</v>
      </c>
      <c r="K781">
        <f t="shared" si="1906"/>
        <v>1492</v>
      </c>
      <c r="L781">
        <f t="shared" si="1906"/>
        <v>1196</v>
      </c>
      <c r="M781">
        <f t="shared" si="1906"/>
        <v>728</v>
      </c>
      <c r="N781">
        <f t="shared" si="1906"/>
        <v>391</v>
      </c>
      <c r="O781">
        <f t="shared" si="1906"/>
        <v>302</v>
      </c>
      <c r="P781">
        <f t="shared" si="1906"/>
        <v>1005</v>
      </c>
      <c r="U781">
        <f>U776</f>
        <v>2</v>
      </c>
      <c r="V781">
        <f t="shared" ref="V781:Z781" si="1907">V776</f>
        <v>3</v>
      </c>
      <c r="W781">
        <f t="shared" si="1907"/>
        <v>1</v>
      </c>
      <c r="X781">
        <f t="shared" si="1907"/>
        <v>2</v>
      </c>
      <c r="Y781">
        <f t="shared" si="1907"/>
        <v>1</v>
      </c>
      <c r="Z781">
        <f t="shared" si="1907"/>
        <v>1</v>
      </c>
    </row>
    <row r="782" spans="1:38" ht="17.149999999999999" x14ac:dyDescent="0.55000000000000004">
      <c r="B782" t="str">
        <f t="shared" si="1905"/>
        <v>Portland</v>
      </c>
      <c r="C782" t="s">
        <v>523</v>
      </c>
      <c r="D782">
        <f>IF(ISNUMBER(D779),0.7*D780+0.02*D779*D781,IF(D779="Partially Insulated",0.6*D780+0.02*D778*D781,0))</f>
        <v>7.9550000000000205</v>
      </c>
      <c r="E782">
        <f t="shared" ref="E782:P782" si="1908">IF(ISNUMBER(E779),0.7*E780+0.02*E779*E781,IF(E779="Partially Insulated",0.6*E780+0.02*E778*E781,0))</f>
        <v>10.919999999999993</v>
      </c>
      <c r="F782">
        <f t="shared" si="1908"/>
        <v>12.305000000000026</v>
      </c>
      <c r="G782">
        <f t="shared" si="1908"/>
        <v>14.299999999999986</v>
      </c>
      <c r="H782">
        <f t="shared" si="1908"/>
        <v>15.664999999999973</v>
      </c>
      <c r="I782">
        <f t="shared" si="1908"/>
        <v>15.635000000000034</v>
      </c>
      <c r="J782">
        <f t="shared" si="1908"/>
        <v>16.159999999999961</v>
      </c>
      <c r="K782">
        <f t="shared" si="1908"/>
        <v>15.620000000000012</v>
      </c>
      <c r="L782">
        <f t="shared" si="1908"/>
        <v>15.819999999999986</v>
      </c>
      <c r="M782">
        <f t="shared" si="1908"/>
        <v>12.459999999999994</v>
      </c>
      <c r="N782">
        <f t="shared" si="1908"/>
        <v>9.275000000000027</v>
      </c>
      <c r="O782">
        <f t="shared" si="1908"/>
        <v>7.51</v>
      </c>
      <c r="P782">
        <f t="shared" si="1908"/>
        <v>12.824999999999999</v>
      </c>
    </row>
    <row r="783" spans="1:38" ht="17.149999999999999" x14ac:dyDescent="0.55000000000000004">
      <c r="B783" t="str">
        <f t="shared" si="1905"/>
        <v>Portland</v>
      </c>
      <c r="C783" t="s">
        <v>524</v>
      </c>
      <c r="D783">
        <f t="shared" ref="D783:F783" si="1909">AVERAGE(D775:D776)</f>
        <v>503.5</v>
      </c>
      <c r="E783">
        <f t="shared" si="1909"/>
        <v>504.30000000000007</v>
      </c>
      <c r="F783">
        <f t="shared" si="1909"/>
        <v>505.70000000000005</v>
      </c>
      <c r="G783">
        <f>AVERAGE(G775:G776)</f>
        <v>508.2</v>
      </c>
      <c r="H783">
        <f t="shared" ref="H783:P783" si="1910">AVERAGE(H775:H776)</f>
        <v>512.75</v>
      </c>
      <c r="I783">
        <f t="shared" si="1910"/>
        <v>516.55000000000007</v>
      </c>
      <c r="J783">
        <f t="shared" si="1910"/>
        <v>520.04999999999995</v>
      </c>
      <c r="K783">
        <f t="shared" si="1910"/>
        <v>520.5</v>
      </c>
      <c r="L783">
        <f t="shared" si="1910"/>
        <v>518.20000000000005</v>
      </c>
      <c r="M783">
        <f t="shared" si="1910"/>
        <v>512.25</v>
      </c>
      <c r="N783">
        <f t="shared" si="1910"/>
        <v>506.70000000000005</v>
      </c>
      <c r="O783">
        <f t="shared" si="1910"/>
        <v>503.20000000000005</v>
      </c>
      <c r="P783">
        <f t="shared" si="1910"/>
        <v>51.4</v>
      </c>
    </row>
    <row r="784" spans="1:38" ht="17.149999999999999" x14ac:dyDescent="0.55000000000000004">
      <c r="B784" t="str">
        <f t="shared" si="1905"/>
        <v>Portland</v>
      </c>
      <c r="C784" t="s">
        <v>525</v>
      </c>
      <c r="D784" cm="1">
        <f t="array" ref="D784">IFERROR(IF(ISBLANK(INDEX(FX_Input,$R775,D$3*$AK775+$AL775)),D783+0.003*D777*D781,INDEX(FX_Input,$R775,D$3*$AK775+$AL775)+459.6),D783)</f>
        <v>503.5</v>
      </c>
      <c r="E784" cm="1">
        <f t="array" ref="E784">IFERROR(IF(ISBLANK(INDEX(FX_Input,$R775,E$3*$AK775+$AL775)),E783+0.003*E777*E781,INDEX(FX_Input,$R775,E$3*$AK775+$AL775)+459.6),E783)</f>
        <v>504.30000000000007</v>
      </c>
      <c r="F784" cm="1">
        <f t="array" ref="F784">IFERROR(IF(ISBLANK(INDEX(FX_Input,$R775,F$3*$AK775+$AL775)),F783+0.003*F777*F781,INDEX(FX_Input,$R775,F$3*$AK775+$AL775)+459.6),F783)</f>
        <v>505.70000000000005</v>
      </c>
      <c r="G784" cm="1">
        <f t="array" ref="G784">IFERROR(IF(ISBLANK(INDEX(FX_Input,$R775,G$3*$AK775+$AL775)),G783+0.003*G777*G781,INDEX(FX_Input,$R775,G$3*$AK775+$AL775)+459.6),G783)</f>
        <v>508.2</v>
      </c>
      <c r="H784" cm="1">
        <f t="array" ref="H784">IFERROR(IF(ISBLANK(INDEX(FX_Input,$R775,H$3*$AK775+$AL775)),H783+0.003*H777*H781,INDEX(FX_Input,$R775,H$3*$AK775+$AL775)+459.6),H783)</f>
        <v>512.75</v>
      </c>
      <c r="I784" cm="1">
        <f t="array" ref="I784">IFERROR(IF(ISBLANK(INDEX(FX_Input,$R775,I$3*$AK775+$AL775)),I783+0.003*I777*I781,INDEX(FX_Input,$R775,I$3*$AK775+$AL775)+459.6),I783)</f>
        <v>516.55000000000007</v>
      </c>
      <c r="J784" cm="1">
        <f t="array" ref="J784">IFERROR(IF(ISBLANK(INDEX(FX_Input,$R775,J$3*$AK775+$AL775)),J783+0.003*J777*J781,INDEX(FX_Input,$R775,J$3*$AK775+$AL775)+459.6),J783)</f>
        <v>520.04999999999995</v>
      </c>
      <c r="K784" cm="1">
        <f t="array" ref="K784">IFERROR(IF(ISBLANK(INDEX(FX_Input,$R775,K$3*$AK775+$AL775)),K783+0.003*K777*K781,INDEX(FX_Input,$R775,K$3*$AK775+$AL775)+459.6),K783)</f>
        <v>520.5</v>
      </c>
      <c r="L784" cm="1">
        <f t="array" ref="L784">IFERROR(IF(ISBLANK(INDEX(FX_Input,$R775,L$3*$AK775+$AL775)),L783+0.003*L777*L781,INDEX(FX_Input,$R775,L$3*$AK775+$AL775)+459.6),L783)</f>
        <v>518.20000000000005</v>
      </c>
      <c r="M784" cm="1">
        <f t="array" ref="M784">IFERROR(IF(ISBLANK(INDEX(FX_Input,$R775,M$3*$AK775+$AL775)),M783+0.003*M777*M781,INDEX(FX_Input,$R775,M$3*$AK775+$AL775)+459.6),M783)</f>
        <v>512.25</v>
      </c>
      <c r="N784" cm="1">
        <f t="array" ref="N784">IFERROR(IF(ISBLANK(INDEX(FX_Input,$R775,N$3*$AK775+$AL775)),N783+0.003*N777*N781,INDEX(FX_Input,$R775,N$3*$AK775+$AL775)+459.6),N783)</f>
        <v>506.70000000000005</v>
      </c>
      <c r="O784" cm="1">
        <f t="array" ref="O784">IFERROR(IF(ISBLANK(INDEX(FX_Input,$R775,O$3*$AK775+$AL775)),O783+0.003*O777*O781,INDEX(FX_Input,$R775,O$3*$AK775+$AL775)+459.6),O783)</f>
        <v>503.20000000000005</v>
      </c>
      <c r="P784" cm="1">
        <f t="array" ref="P784">IFERROR(IF(ISBLANK(INDEX(FX_Input,$R775,P$3*$AK775+$AL775)),P783+0.003*P777*P781,INDEX(FX_Input,$R775,P$3*$AK775+$AL775)+459.6),P783)</f>
        <v>739.6</v>
      </c>
    </row>
    <row r="785" spans="1:38" ht="17.149999999999999" x14ac:dyDescent="0.55000000000000004">
      <c r="B785" t="str">
        <f t="shared" si="1905"/>
        <v>Portland</v>
      </c>
      <c r="C785" t="s">
        <v>526</v>
      </c>
      <c r="D785">
        <f>IF(ISNUMBER(D779),0.4*D775+0.6*D784+0.005*D779*D781,IF(D779="Partially Insulated",0.3*D783+0.7*D784+0.005*D778*D781,D784))-459.6</f>
        <v>44.328749999999957</v>
      </c>
      <c r="E785">
        <f t="shared" ref="E785" si="1911">IF(ISNUMBER(E779),0.4*E775+0.6*E784+0.005*E779*E781,IF(E779="Partially Insulated",0.3*E783+0.7*E784+0.005*E778*E781,E784))-459.6</f>
        <v>45.450000000000045</v>
      </c>
      <c r="F785">
        <f t="shared" ref="F785" si="1912">IF(ISNUMBER(F779),0.4*F775+0.6*F784+0.005*F779*F781,IF(F779="Partially Insulated",0.3*F783+0.7*F784+0.005*F778*F781,F784))-459.6</f>
        <v>47.19625000000002</v>
      </c>
      <c r="G785">
        <f t="shared" ref="G785" si="1913">IF(ISNUMBER(G779),0.4*G775+0.6*G784+0.005*G779*G781,IF(G779="Partially Insulated",0.3*G783+0.7*G784+0.005*G778*G781,G784))-459.6</f>
        <v>50.164999999999907</v>
      </c>
      <c r="H785">
        <f t="shared" ref="H785" si="1914">IF(ISNUMBER(H779),0.4*H775+0.6*H784+0.005*H779*H781,IF(H779="Partially Insulated",0.3*H783+0.7*H784+0.005*H778*H781,H784))-459.6</f>
        <v>55.071249999999964</v>
      </c>
      <c r="I785">
        <f t="shared" ref="I785" si="1915">IF(ISNUMBER(I779),0.4*I775+0.6*I784+0.005*I779*I781,IF(I779="Partially Insulated",0.3*I783+0.7*I784+0.005*I778*I781,I784))-459.6</f>
        <v>58.9837500000001</v>
      </c>
      <c r="J785">
        <f t="shared" ref="J785" si="1916">IF(ISNUMBER(J779),0.4*J775+0.6*J784+0.005*J779*J781,IF(J779="Partially Insulated",0.3*J783+0.7*J784+0.005*J778*J781,J784))-459.6</f>
        <v>62.584999999999923</v>
      </c>
      <c r="K785">
        <f t="shared" ref="K785" si="1917">IF(ISNUMBER(K779),0.4*K775+0.6*K784+0.005*K779*K781,IF(K779="Partially Insulated",0.3*K783+0.7*K784+0.005*K778*K781,K784))-459.6</f>
        <v>62.764999999999986</v>
      </c>
      <c r="L785">
        <f t="shared" ref="L785" si="1918">IF(ISNUMBER(L779),0.4*L775+0.6*L784+0.005*L779*L781,IF(L779="Partially Insulated",0.3*L783+0.7*L784+0.005*L778*L781,L784))-459.6</f>
        <v>60.095000000000027</v>
      </c>
      <c r="M785">
        <f t="shared" ref="M785" si="1919">IF(ISNUMBER(M779),0.4*M775+0.6*M784+0.005*M779*M781,IF(M779="Partially Insulated",0.3*M783+0.7*M784+0.005*M778*M781,M784))-459.6</f>
        <v>53.559999999999945</v>
      </c>
      <c r="N785">
        <f t="shared" ref="N785" si="1920">IF(ISNUMBER(N779),0.4*N775+0.6*N784+0.005*N779*N781,IF(N779="Partially Insulated",0.3*N783+0.7*N784+0.005*N778*N781,N784))-459.6</f>
        <v>47.588750000000005</v>
      </c>
      <c r="O785">
        <f t="shared" ref="O785" si="1921">IF(ISNUMBER(O779),0.4*O775+0.6*O784+0.005*O779*O781,IF(O779="Partially Insulated",0.3*O783+0.7*O784+0.005*O778*O781,O784))-459.6</f>
        <v>43.97750000000002</v>
      </c>
      <c r="P785">
        <f>AVERAGE(D785:O785)</f>
        <v>52.647187499999994</v>
      </c>
    </row>
    <row r="786" spans="1:38" ht="17.149999999999999" x14ac:dyDescent="0.55000000000000004">
      <c r="B786" t="str">
        <f t="shared" si="1905"/>
        <v>Portland</v>
      </c>
      <c r="C786" t="s">
        <v>527</v>
      </c>
      <c r="D786">
        <f>IF(ISNUMBER(D779),0.4*D776+0.6*D784+0.005*D779*D781,IF(D779="Partially Insulated",0.3*D783+0.7*D784+0.005*D778*D781,D784))-459.6</f>
        <v>44.328749999999957</v>
      </c>
      <c r="E786">
        <f t="shared" ref="E786:O786" si="1922">IF(ISNUMBER(E779),0.4*E776+0.6*E784+0.005*E779*E781,IF(E779="Partially Insulated",0.3*E783+0.7*E784+0.005*E778*E781,E784))-459.6</f>
        <v>45.450000000000045</v>
      </c>
      <c r="F786">
        <f t="shared" si="1922"/>
        <v>47.19625000000002</v>
      </c>
      <c r="G786">
        <f t="shared" si="1922"/>
        <v>50.164999999999907</v>
      </c>
      <c r="H786">
        <f t="shared" si="1922"/>
        <v>55.071249999999964</v>
      </c>
      <c r="I786">
        <f t="shared" si="1922"/>
        <v>58.9837500000001</v>
      </c>
      <c r="J786">
        <f t="shared" si="1922"/>
        <v>62.584999999999923</v>
      </c>
      <c r="K786">
        <f t="shared" si="1922"/>
        <v>62.764999999999986</v>
      </c>
      <c r="L786">
        <f t="shared" si="1922"/>
        <v>60.095000000000027</v>
      </c>
      <c r="M786">
        <f t="shared" si="1922"/>
        <v>53.559999999999945</v>
      </c>
      <c r="N786">
        <f t="shared" si="1922"/>
        <v>47.588750000000005</v>
      </c>
      <c r="O786">
        <f t="shared" si="1922"/>
        <v>43.97750000000002</v>
      </c>
      <c r="P786">
        <f>AVERAGE(D786:O786)</f>
        <v>52.647187499999994</v>
      </c>
    </row>
    <row r="787" spans="1:38" ht="17.149999999999999" x14ac:dyDescent="0.55000000000000004">
      <c r="B787" t="str">
        <f t="shared" si="1905"/>
        <v>Portland</v>
      </c>
      <c r="C787" t="s">
        <v>552</v>
      </c>
      <c r="D787">
        <f>IF(ISNUMBER(D779),0.4*D783+0.6*D784+0.005*D779*D781,IF(D779="Partially Insulated",0.3*D783+0.7*D784+0.005*D778*D781,D784))-459.6</f>
        <v>44.328749999999957</v>
      </c>
      <c r="E787">
        <f t="shared" ref="E787:O787" si="1923">IF(ISNUMBER(E779),0.4*E783+0.6*E784+0.005*E779*E781,IF(E779="Partially Insulated",0.3*E783+0.7*E784+0.005*E778*E781,E784))-459.6</f>
        <v>45.450000000000045</v>
      </c>
      <c r="F787">
        <f t="shared" si="1923"/>
        <v>47.19625000000002</v>
      </c>
      <c r="G787">
        <f t="shared" si="1923"/>
        <v>50.164999999999907</v>
      </c>
      <c r="H787">
        <f t="shared" si="1923"/>
        <v>55.071249999999964</v>
      </c>
      <c r="I787">
        <f t="shared" si="1923"/>
        <v>58.9837500000001</v>
      </c>
      <c r="J787">
        <f t="shared" si="1923"/>
        <v>62.584999999999923</v>
      </c>
      <c r="K787">
        <f t="shared" si="1923"/>
        <v>62.764999999999986</v>
      </c>
      <c r="L787">
        <f t="shared" si="1923"/>
        <v>60.095000000000027</v>
      </c>
      <c r="M787">
        <f t="shared" si="1923"/>
        <v>53.559999999999945</v>
      </c>
      <c r="N787">
        <f t="shared" si="1923"/>
        <v>47.588750000000005</v>
      </c>
      <c r="O787">
        <f t="shared" si="1923"/>
        <v>43.97750000000002</v>
      </c>
      <c r="P787">
        <f>AVERAGE(D787:O787)</f>
        <v>52.647187499999994</v>
      </c>
    </row>
    <row r="788" spans="1:38" ht="17.149999999999999" x14ac:dyDescent="0.55000000000000004">
      <c r="A788" s="11"/>
      <c r="B788" s="11" t="str">
        <f t="shared" si="1905"/>
        <v>Portland</v>
      </c>
      <c r="C788" s="11" t="s">
        <v>553</v>
      </c>
      <c r="D788" s="11">
        <f>IF(ISNUMBER(D779),0.7*D783+0.3*D784+0.009*D779*D781,IF(D779="Partially Insulated",0.6*D783+0.4*D784+0.01*D778*D781,D784))-459.6</f>
        <v>44.757499999999993</v>
      </c>
      <c r="E788" s="11">
        <f t="shared" ref="E788:O788" si="1924">IF(ISNUMBER(E779),0.7*E783+0.3*E784+0.009*E779*E781,IF(E779="Partially Insulated",0.6*E783+0.4*E784+0.01*E778*E781,E784))-459.6</f>
        <v>46.200000000000045</v>
      </c>
      <c r="F788" s="11">
        <f t="shared" si="1924"/>
        <v>48.292500000000018</v>
      </c>
      <c r="G788" s="11">
        <f t="shared" si="1924"/>
        <v>51.729999999999905</v>
      </c>
      <c r="H788" s="11">
        <f t="shared" si="1924"/>
        <v>56.99249999999995</v>
      </c>
      <c r="I788" s="11">
        <f t="shared" si="1924"/>
        <v>61.017500000000041</v>
      </c>
      <c r="J788" s="11">
        <f t="shared" si="1924"/>
        <v>64.719999999999914</v>
      </c>
      <c r="K788" s="11">
        <f t="shared" si="1924"/>
        <v>64.63</v>
      </c>
      <c r="L788" s="11">
        <f t="shared" si="1924"/>
        <v>61.590000000000032</v>
      </c>
      <c r="M788" s="11">
        <f t="shared" si="1924"/>
        <v>54.470000000000027</v>
      </c>
      <c r="N788" s="11">
        <f t="shared" si="1924"/>
        <v>48.077500000000043</v>
      </c>
      <c r="O788" s="11">
        <f t="shared" si="1924"/>
        <v>44.355000000000018</v>
      </c>
      <c r="P788" s="11">
        <f>AVERAGE(D788:O788)</f>
        <v>53.902708333333329</v>
      </c>
      <c r="Q788" s="11"/>
      <c r="R788" s="11"/>
      <c r="S788" s="11"/>
      <c r="T788" s="11"/>
      <c r="U788" s="11"/>
      <c r="V788" s="11"/>
      <c r="W788" s="11"/>
      <c r="X788" s="11"/>
      <c r="Y788" s="11"/>
      <c r="Z788" s="11"/>
      <c r="AA788" s="11"/>
      <c r="AB788" s="11"/>
      <c r="AC788" s="11"/>
      <c r="AD788" s="11"/>
      <c r="AE788" s="11"/>
      <c r="AF788" s="11"/>
      <c r="AG788" s="11"/>
      <c r="AH788" s="11"/>
      <c r="AI788" s="11"/>
      <c r="AJ788" s="11"/>
      <c r="AK788" s="11"/>
      <c r="AL788" s="11"/>
    </row>
    <row r="789" spans="1:38" ht="17.149999999999999" x14ac:dyDescent="0.55000000000000004">
      <c r="A789" t="str" cm="1">
        <f t="array" ref="A789">INDEX(FX_Input,$R789,S$5)</f>
        <v>FX - 57</v>
      </c>
      <c r="B789" t="str" cm="1">
        <f t="array" ref="B789">INDEX(FX_Input,R789,T789)</f>
        <v>Portland</v>
      </c>
      <c r="C789" t="s">
        <v>510</v>
      </c>
      <c r="D789">
        <f t="shared" ref="D789:O790" si="1925">VLOOKUP(VLOOKUP($B789,Terminal_X_Ref,2,FALSE)&amp;$C789,Weather_Data,$Y789*D$3+$Z789,FALSE)+459.6</f>
        <v>498.3</v>
      </c>
      <c r="E789">
        <f t="shared" si="1925"/>
        <v>497.70000000000005</v>
      </c>
      <c r="F789">
        <f t="shared" si="1925"/>
        <v>499.1</v>
      </c>
      <c r="G789">
        <f t="shared" si="1925"/>
        <v>501.5</v>
      </c>
      <c r="H789">
        <f t="shared" si="1925"/>
        <v>506.1</v>
      </c>
      <c r="I789">
        <f t="shared" si="1925"/>
        <v>510.3</v>
      </c>
      <c r="J789">
        <f t="shared" si="1925"/>
        <v>513.70000000000005</v>
      </c>
      <c r="K789">
        <f t="shared" si="1925"/>
        <v>513.70000000000005</v>
      </c>
      <c r="L789">
        <f t="shared" si="1925"/>
        <v>510</v>
      </c>
      <c r="M789">
        <f t="shared" si="1925"/>
        <v>504.90000000000003</v>
      </c>
      <c r="N789">
        <f t="shared" si="1925"/>
        <v>500.6</v>
      </c>
      <c r="O789">
        <f t="shared" si="1925"/>
        <v>498.20000000000005</v>
      </c>
      <c r="P789">
        <f t="shared" ref="P789:P790" si="1926">VLOOKUP(VLOOKUP($B789,Terminal_X_Ref,2,FALSE)&amp;$C789,Weather_Data,$Y789*P$3+$Z789,FALSE)</f>
        <v>44.9</v>
      </c>
      <c r="R789">
        <f>R775+2</f>
        <v>113</v>
      </c>
      <c r="S789">
        <f>S775+1</f>
        <v>57</v>
      </c>
      <c r="T789">
        <v>3</v>
      </c>
      <c r="U789">
        <v>2</v>
      </c>
      <c r="V789">
        <v>3</v>
      </c>
      <c r="W789">
        <v>1</v>
      </c>
      <c r="X789">
        <v>2</v>
      </c>
      <c r="Y789">
        <f>(V789-U789)/(X789-W789)</f>
        <v>1</v>
      </c>
      <c r="Z789">
        <f>U789-Y789*W789</f>
        <v>1</v>
      </c>
      <c r="AA789">
        <f>AA775+1</f>
        <v>57</v>
      </c>
      <c r="AB789">
        <v>6</v>
      </c>
      <c r="AC789">
        <v>3</v>
      </c>
      <c r="AD789">
        <v>13</v>
      </c>
      <c r="AE789">
        <v>12</v>
      </c>
      <c r="AF789">
        <v>14</v>
      </c>
      <c r="AG789">
        <v>77</v>
      </c>
      <c r="AH789">
        <v>78</v>
      </c>
      <c r="AI789">
        <v>1</v>
      </c>
      <c r="AJ789">
        <v>2</v>
      </c>
      <c r="AK789">
        <f>(AH789-AG789)/(AJ789-AI789)</f>
        <v>1</v>
      </c>
      <c r="AL789">
        <f>AG789-AK789*AI789</f>
        <v>76</v>
      </c>
    </row>
    <row r="790" spans="1:38" ht="17.149999999999999" x14ac:dyDescent="0.55000000000000004">
      <c r="B790" t="str">
        <f t="shared" ref="B790" si="1927">B789</f>
        <v>Portland</v>
      </c>
      <c r="C790" t="s">
        <v>511</v>
      </c>
      <c r="D790">
        <f t="shared" si="1925"/>
        <v>508.70000000000005</v>
      </c>
      <c r="E790">
        <f t="shared" si="1925"/>
        <v>510.90000000000003</v>
      </c>
      <c r="F790">
        <f t="shared" si="1925"/>
        <v>512.30000000000007</v>
      </c>
      <c r="G790">
        <f t="shared" si="1925"/>
        <v>514.9</v>
      </c>
      <c r="H790">
        <f t="shared" si="1925"/>
        <v>519.4</v>
      </c>
      <c r="I790">
        <f t="shared" si="1925"/>
        <v>522.80000000000007</v>
      </c>
      <c r="J790">
        <f t="shared" si="1925"/>
        <v>526.4</v>
      </c>
      <c r="K790">
        <f t="shared" si="1925"/>
        <v>527.30000000000007</v>
      </c>
      <c r="L790">
        <f t="shared" si="1925"/>
        <v>526.4</v>
      </c>
      <c r="M790">
        <f t="shared" si="1925"/>
        <v>519.6</v>
      </c>
      <c r="N790">
        <f t="shared" si="1925"/>
        <v>512.80000000000007</v>
      </c>
      <c r="O790">
        <f t="shared" si="1925"/>
        <v>508.20000000000005</v>
      </c>
      <c r="P790">
        <f t="shared" si="1926"/>
        <v>57.9</v>
      </c>
      <c r="U790">
        <f>U789</f>
        <v>2</v>
      </c>
      <c r="V790">
        <f t="shared" ref="V790:Z790" si="1928">V789</f>
        <v>3</v>
      </c>
      <c r="W790">
        <f t="shared" si="1928"/>
        <v>1</v>
      </c>
      <c r="X790">
        <f t="shared" si="1928"/>
        <v>2</v>
      </c>
      <c r="Y790">
        <f t="shared" si="1928"/>
        <v>1</v>
      </c>
      <c r="Z790">
        <f t="shared" si="1928"/>
        <v>1</v>
      </c>
      <c r="AA790">
        <f>AA789</f>
        <v>57</v>
      </c>
      <c r="AB790">
        <f t="shared" ref="AB790:AL793" si="1929">AB789</f>
        <v>6</v>
      </c>
      <c r="AC790">
        <f t="shared" si="1929"/>
        <v>3</v>
      </c>
      <c r="AD790">
        <f t="shared" si="1929"/>
        <v>13</v>
      </c>
      <c r="AE790">
        <f t="shared" si="1929"/>
        <v>12</v>
      </c>
      <c r="AF790">
        <f t="shared" si="1929"/>
        <v>14</v>
      </c>
      <c r="AG790">
        <f t="shared" si="1929"/>
        <v>77</v>
      </c>
      <c r="AH790">
        <f t="shared" si="1929"/>
        <v>78</v>
      </c>
      <c r="AI790">
        <f t="shared" si="1929"/>
        <v>1</v>
      </c>
      <c r="AJ790">
        <f t="shared" si="1929"/>
        <v>2</v>
      </c>
      <c r="AK790">
        <f t="shared" si="1929"/>
        <v>1</v>
      </c>
      <c r="AL790">
        <f t="shared" si="1929"/>
        <v>76</v>
      </c>
    </row>
    <row r="791" spans="1:38" ht="17.149999999999999" x14ac:dyDescent="0.4">
      <c r="B791" t="str">
        <f>B790</f>
        <v>Portland</v>
      </c>
      <c r="C791" s="66" t="s">
        <v>514</v>
      </c>
      <c r="D791" t="str" cm="1">
        <f t="array" ref="D791">INDEX(FX_Calcs,$AA791,$AE791)</f>
        <v>N/A</v>
      </c>
      <c r="E791" t="str" cm="1">
        <f t="array" ref="E791">INDEX(FX_Calcs,$AA791,$AE791)</f>
        <v>N/A</v>
      </c>
      <c r="F791" t="str" cm="1">
        <f t="array" ref="F791">INDEX(FX_Calcs,$AA791,$AE791)</f>
        <v>N/A</v>
      </c>
      <c r="G791" t="str" cm="1">
        <f t="array" ref="G791">INDEX(FX_Calcs,$AA791,$AE791)</f>
        <v>N/A</v>
      </c>
      <c r="H791" t="str" cm="1">
        <f t="array" ref="H791">INDEX(FX_Calcs,$AA791,$AE791)</f>
        <v>N/A</v>
      </c>
      <c r="I791" t="str" cm="1">
        <f t="array" ref="I791">INDEX(FX_Calcs,$AA791,$AE791)</f>
        <v>N/A</v>
      </c>
      <c r="J791" t="str" cm="1">
        <f t="array" ref="J791">INDEX(FX_Calcs,$AA791,$AE791)</f>
        <v>N/A</v>
      </c>
      <c r="K791" t="str" cm="1">
        <f t="array" ref="K791">INDEX(FX_Calcs,$AA791,$AE791)</f>
        <v>N/A</v>
      </c>
      <c r="L791" t="str" cm="1">
        <f t="array" ref="L791">INDEX(FX_Calcs,$AA791,$AE791)</f>
        <v>N/A</v>
      </c>
      <c r="M791" t="str" cm="1">
        <f t="array" ref="M791">INDEX(FX_Calcs,$AA791,$AE791)</f>
        <v>N/A</v>
      </c>
      <c r="N791" t="str" cm="1">
        <f t="array" ref="N791">INDEX(FX_Calcs,$AA791,$AE791)</f>
        <v>N/A</v>
      </c>
      <c r="O791" t="str" cm="1">
        <f t="array" ref="O791">INDEX(FX_Calcs,$AA791,$AE791)</f>
        <v>N/A</v>
      </c>
      <c r="P791" t="str" cm="1">
        <f t="array" ref="P791">INDEX(FX_Calcs,$AA791,$AE791)</f>
        <v>N/A</v>
      </c>
      <c r="AA791">
        <f>AA790</f>
        <v>57</v>
      </c>
      <c r="AB791">
        <f t="shared" si="1929"/>
        <v>6</v>
      </c>
      <c r="AC791">
        <f t="shared" si="1929"/>
        <v>3</v>
      </c>
      <c r="AD791">
        <f t="shared" si="1929"/>
        <v>13</v>
      </c>
      <c r="AE791">
        <f t="shared" si="1929"/>
        <v>12</v>
      </c>
      <c r="AF791">
        <f t="shared" si="1929"/>
        <v>14</v>
      </c>
      <c r="AG791">
        <f t="shared" si="1929"/>
        <v>77</v>
      </c>
      <c r="AH791">
        <f t="shared" si="1929"/>
        <v>78</v>
      </c>
      <c r="AI791">
        <f t="shared" si="1929"/>
        <v>1</v>
      </c>
      <c r="AJ791">
        <f t="shared" si="1929"/>
        <v>2</v>
      </c>
      <c r="AK791">
        <f t="shared" si="1929"/>
        <v>1</v>
      </c>
      <c r="AL791">
        <f t="shared" si="1929"/>
        <v>76</v>
      </c>
    </row>
    <row r="792" spans="1:38" ht="17.149999999999999" x14ac:dyDescent="0.4">
      <c r="B792" t="str">
        <f t="shared" ref="B792:B793" si="1930">B791</f>
        <v>Portland</v>
      </c>
      <c r="C792" s="66" t="s">
        <v>513</v>
      </c>
      <c r="D792" cm="1">
        <f t="array" ref="D792">INDEX(FX_Calcs,$AA792,$AD792)</f>
        <v>0.25</v>
      </c>
      <c r="E792" cm="1">
        <f t="array" ref="E792">INDEX(FX_Calcs,$AA792,$AD792)</f>
        <v>0.25</v>
      </c>
      <c r="F792" cm="1">
        <f t="array" ref="F792">INDEX(FX_Calcs,$AA792,$AD792)</f>
        <v>0.25</v>
      </c>
      <c r="G792" cm="1">
        <f t="array" ref="G792">INDEX(FX_Calcs,$AA792,$AD792)</f>
        <v>0.25</v>
      </c>
      <c r="H792" cm="1">
        <f t="array" ref="H792">INDEX(FX_Calcs,$AA792,$AD792)</f>
        <v>0.25</v>
      </c>
      <c r="I792" cm="1">
        <f t="array" ref="I792">INDEX(FX_Calcs,$AA792,$AD792)</f>
        <v>0.25</v>
      </c>
      <c r="J792" cm="1">
        <f t="array" ref="J792">INDEX(FX_Calcs,$AA792,$AD792)</f>
        <v>0.25</v>
      </c>
      <c r="K792" cm="1">
        <f t="array" ref="K792">INDEX(FX_Calcs,$AA792,$AD792)</f>
        <v>0.25</v>
      </c>
      <c r="L792" cm="1">
        <f t="array" ref="L792">INDEX(FX_Calcs,$AA792,$AD792)</f>
        <v>0.25</v>
      </c>
      <c r="M792" cm="1">
        <f t="array" ref="M792">INDEX(FX_Calcs,$AA792,$AD792)</f>
        <v>0.25</v>
      </c>
      <c r="N792" cm="1">
        <f t="array" ref="N792">INDEX(FX_Calcs,$AA792,$AD792)</f>
        <v>0.25</v>
      </c>
      <c r="O792" cm="1">
        <f t="array" ref="O792">INDEX(FX_Calcs,$AA792,$AD792)</f>
        <v>0.25</v>
      </c>
      <c r="P792" cm="1">
        <f t="array" ref="P792">INDEX(FX_Calcs,$AA792,$AD792)</f>
        <v>0.25</v>
      </c>
      <c r="AA792">
        <f>AA791</f>
        <v>57</v>
      </c>
      <c r="AB792">
        <f t="shared" si="1929"/>
        <v>6</v>
      </c>
      <c r="AC792">
        <f t="shared" si="1929"/>
        <v>3</v>
      </c>
      <c r="AD792">
        <f t="shared" si="1929"/>
        <v>13</v>
      </c>
      <c r="AE792">
        <f t="shared" si="1929"/>
        <v>12</v>
      </c>
      <c r="AF792">
        <f t="shared" si="1929"/>
        <v>14</v>
      </c>
      <c r="AG792">
        <f t="shared" si="1929"/>
        <v>77</v>
      </c>
      <c r="AH792">
        <f t="shared" si="1929"/>
        <v>78</v>
      </c>
      <c r="AI792">
        <f t="shared" si="1929"/>
        <v>1</v>
      </c>
      <c r="AJ792">
        <f t="shared" si="1929"/>
        <v>2</v>
      </c>
      <c r="AK792">
        <f t="shared" si="1929"/>
        <v>1</v>
      </c>
      <c r="AL792">
        <f t="shared" si="1929"/>
        <v>76</v>
      </c>
    </row>
    <row r="793" spans="1:38" x14ac:dyDescent="0.4">
      <c r="B793" t="str">
        <f t="shared" si="1930"/>
        <v>Portland</v>
      </c>
      <c r="C793" s="66" t="s">
        <v>558</v>
      </c>
      <c r="D793" t="str" cm="1">
        <f t="array" ref="D793">INDEX(FX_Calcs,$AA793,$AF793)</f>
        <v>Partially Insulated</v>
      </c>
      <c r="E793" t="str" cm="1">
        <f t="array" ref="E793">INDEX(FX_Calcs,$AA793,$AF793)</f>
        <v>Partially Insulated</v>
      </c>
      <c r="F793" t="str" cm="1">
        <f t="array" ref="F793">INDEX(FX_Calcs,$AA793,$AF793)</f>
        <v>Partially Insulated</v>
      </c>
      <c r="G793" t="str" cm="1">
        <f t="array" ref="G793">INDEX(FX_Calcs,$AA793,$AF793)</f>
        <v>Partially Insulated</v>
      </c>
      <c r="H793" t="str" cm="1">
        <f t="array" ref="H793">INDEX(FX_Calcs,$AA793,$AF793)</f>
        <v>Partially Insulated</v>
      </c>
      <c r="I793" t="str" cm="1">
        <f t="array" ref="I793">INDEX(FX_Calcs,$AA793,$AF793)</f>
        <v>Partially Insulated</v>
      </c>
      <c r="J793" t="str" cm="1">
        <f t="array" ref="J793">INDEX(FX_Calcs,$AA793,$AF793)</f>
        <v>Partially Insulated</v>
      </c>
      <c r="K793" t="str" cm="1">
        <f t="array" ref="K793">INDEX(FX_Calcs,$AA793,$AF793)</f>
        <v>Partially Insulated</v>
      </c>
      <c r="L793" t="str" cm="1">
        <f t="array" ref="L793">INDEX(FX_Calcs,$AA793,$AF793)</f>
        <v>Partially Insulated</v>
      </c>
      <c r="M793" t="str" cm="1">
        <f t="array" ref="M793">INDEX(FX_Calcs,$AA793,$AF793)</f>
        <v>Partially Insulated</v>
      </c>
      <c r="N793" t="str" cm="1">
        <f t="array" ref="N793">INDEX(FX_Calcs,$AA793,$AF793)</f>
        <v>Partially Insulated</v>
      </c>
      <c r="O793" t="str" cm="1">
        <f t="array" ref="O793">INDEX(FX_Calcs,$AA793,$AF793)</f>
        <v>Partially Insulated</v>
      </c>
      <c r="P793" t="str" cm="1">
        <f t="array" ref="P793">INDEX(FX_Calcs,$AA793,$AF793)</f>
        <v>Partially Insulated</v>
      </c>
      <c r="AA793">
        <f>AA792</f>
        <v>57</v>
      </c>
      <c r="AB793">
        <f t="shared" si="1929"/>
        <v>6</v>
      </c>
      <c r="AC793">
        <f t="shared" si="1929"/>
        <v>3</v>
      </c>
      <c r="AD793">
        <f t="shared" si="1929"/>
        <v>13</v>
      </c>
      <c r="AE793">
        <f t="shared" si="1929"/>
        <v>12</v>
      </c>
      <c r="AF793">
        <f t="shared" si="1929"/>
        <v>14</v>
      </c>
      <c r="AG793">
        <f t="shared" si="1929"/>
        <v>77</v>
      </c>
      <c r="AH793">
        <f t="shared" si="1929"/>
        <v>78</v>
      </c>
      <c r="AI793">
        <f t="shared" si="1929"/>
        <v>1</v>
      </c>
      <c r="AJ793">
        <f t="shared" si="1929"/>
        <v>2</v>
      </c>
      <c r="AK793">
        <f t="shared" si="1929"/>
        <v>1</v>
      </c>
      <c r="AL793">
        <f t="shared" si="1929"/>
        <v>76</v>
      </c>
    </row>
    <row r="794" spans="1:38" ht="17.149999999999999" x14ac:dyDescent="0.55000000000000004">
      <c r="B794" t="str">
        <f>B790</f>
        <v>Portland</v>
      </c>
      <c r="C794" t="s">
        <v>512</v>
      </c>
      <c r="D794">
        <f t="shared" ref="D794:P794" si="1931">D790-D789</f>
        <v>10.400000000000034</v>
      </c>
      <c r="E794">
        <f t="shared" si="1931"/>
        <v>13.199999999999989</v>
      </c>
      <c r="F794">
        <f t="shared" si="1931"/>
        <v>13.200000000000045</v>
      </c>
      <c r="G794">
        <f t="shared" si="1931"/>
        <v>13.399999999999977</v>
      </c>
      <c r="H794">
        <f t="shared" si="1931"/>
        <v>13.299999999999955</v>
      </c>
      <c r="I794">
        <f t="shared" si="1931"/>
        <v>12.500000000000057</v>
      </c>
      <c r="J794">
        <f t="shared" si="1931"/>
        <v>12.699999999999932</v>
      </c>
      <c r="K794">
        <f t="shared" si="1931"/>
        <v>13.600000000000023</v>
      </c>
      <c r="L794">
        <f t="shared" si="1931"/>
        <v>16.399999999999977</v>
      </c>
      <c r="M794">
        <f t="shared" si="1931"/>
        <v>14.699999999999989</v>
      </c>
      <c r="N794">
        <f t="shared" si="1931"/>
        <v>12.200000000000045</v>
      </c>
      <c r="O794">
        <f t="shared" si="1931"/>
        <v>10</v>
      </c>
      <c r="P794">
        <f t="shared" si="1931"/>
        <v>13</v>
      </c>
    </row>
    <row r="795" spans="1:38" x14ac:dyDescent="0.4">
      <c r="B795" t="str">
        <f t="shared" ref="B795:B802" si="1932">B794</f>
        <v>Portland</v>
      </c>
      <c r="C795" t="s">
        <v>260</v>
      </c>
      <c r="D795">
        <f t="shared" ref="D795:P795" si="1933">VLOOKUP(VLOOKUP($B795,Terminal_X_Ref,2,FALSE)&amp;$C795,Weather_Data,$Y795*D$3+$Z795,FALSE)</f>
        <v>343</v>
      </c>
      <c r="E795">
        <f t="shared" si="1933"/>
        <v>600</v>
      </c>
      <c r="F795">
        <f t="shared" si="1933"/>
        <v>877</v>
      </c>
      <c r="G795">
        <f t="shared" si="1933"/>
        <v>1252</v>
      </c>
      <c r="H795">
        <f t="shared" si="1933"/>
        <v>1537</v>
      </c>
      <c r="I795">
        <f t="shared" si="1933"/>
        <v>1627</v>
      </c>
      <c r="J795">
        <f t="shared" si="1933"/>
        <v>1708</v>
      </c>
      <c r="K795">
        <f t="shared" si="1933"/>
        <v>1492</v>
      </c>
      <c r="L795">
        <f t="shared" si="1933"/>
        <v>1196</v>
      </c>
      <c r="M795">
        <f t="shared" si="1933"/>
        <v>728</v>
      </c>
      <c r="N795">
        <f t="shared" si="1933"/>
        <v>391</v>
      </c>
      <c r="O795">
        <f t="shared" si="1933"/>
        <v>302</v>
      </c>
      <c r="P795">
        <f t="shared" si="1933"/>
        <v>1005</v>
      </c>
      <c r="U795">
        <f>U790</f>
        <v>2</v>
      </c>
      <c r="V795">
        <f t="shared" ref="V795:Z795" si="1934">V790</f>
        <v>3</v>
      </c>
      <c r="W795">
        <f t="shared" si="1934"/>
        <v>1</v>
      </c>
      <c r="X795">
        <f t="shared" si="1934"/>
        <v>2</v>
      </c>
      <c r="Y795">
        <f t="shared" si="1934"/>
        <v>1</v>
      </c>
      <c r="Z795">
        <f t="shared" si="1934"/>
        <v>1</v>
      </c>
    </row>
    <row r="796" spans="1:38" ht="17.149999999999999" x14ac:dyDescent="0.55000000000000004">
      <c r="B796" t="str">
        <f t="shared" si="1932"/>
        <v>Portland</v>
      </c>
      <c r="C796" t="s">
        <v>523</v>
      </c>
      <c r="D796">
        <f>IF(ISNUMBER(D793),0.7*D794+0.02*D793*D795,IF(D793="Partially Insulated",0.6*D794+0.02*D792*D795,0))</f>
        <v>7.9550000000000205</v>
      </c>
      <c r="E796">
        <f t="shared" ref="E796:P796" si="1935">IF(ISNUMBER(E793),0.7*E794+0.02*E793*E795,IF(E793="Partially Insulated",0.6*E794+0.02*E792*E795,0))</f>
        <v>10.919999999999993</v>
      </c>
      <c r="F796">
        <f t="shared" si="1935"/>
        <v>12.305000000000026</v>
      </c>
      <c r="G796">
        <f t="shared" si="1935"/>
        <v>14.299999999999986</v>
      </c>
      <c r="H796">
        <f t="shared" si="1935"/>
        <v>15.664999999999973</v>
      </c>
      <c r="I796">
        <f t="shared" si="1935"/>
        <v>15.635000000000034</v>
      </c>
      <c r="J796">
        <f t="shared" si="1935"/>
        <v>16.159999999999961</v>
      </c>
      <c r="K796">
        <f t="shared" si="1935"/>
        <v>15.620000000000012</v>
      </c>
      <c r="L796">
        <f t="shared" si="1935"/>
        <v>15.819999999999986</v>
      </c>
      <c r="M796">
        <f t="shared" si="1935"/>
        <v>12.459999999999994</v>
      </c>
      <c r="N796">
        <f t="shared" si="1935"/>
        <v>9.275000000000027</v>
      </c>
      <c r="O796">
        <f t="shared" si="1935"/>
        <v>7.51</v>
      </c>
      <c r="P796">
        <f t="shared" si="1935"/>
        <v>12.824999999999999</v>
      </c>
    </row>
    <row r="797" spans="1:38" ht="17.149999999999999" x14ac:dyDescent="0.55000000000000004">
      <c r="B797" t="str">
        <f t="shared" si="1932"/>
        <v>Portland</v>
      </c>
      <c r="C797" t="s">
        <v>524</v>
      </c>
      <c r="D797">
        <f t="shared" ref="D797:F797" si="1936">AVERAGE(D789:D790)</f>
        <v>503.5</v>
      </c>
      <c r="E797">
        <f t="shared" si="1936"/>
        <v>504.30000000000007</v>
      </c>
      <c r="F797">
        <f t="shared" si="1936"/>
        <v>505.70000000000005</v>
      </c>
      <c r="G797">
        <f>AVERAGE(G789:G790)</f>
        <v>508.2</v>
      </c>
      <c r="H797">
        <f t="shared" ref="H797:P797" si="1937">AVERAGE(H789:H790)</f>
        <v>512.75</v>
      </c>
      <c r="I797">
        <f t="shared" si="1937"/>
        <v>516.55000000000007</v>
      </c>
      <c r="J797">
        <f t="shared" si="1937"/>
        <v>520.04999999999995</v>
      </c>
      <c r="K797">
        <f t="shared" si="1937"/>
        <v>520.5</v>
      </c>
      <c r="L797">
        <f t="shared" si="1937"/>
        <v>518.20000000000005</v>
      </c>
      <c r="M797">
        <f t="shared" si="1937"/>
        <v>512.25</v>
      </c>
      <c r="N797">
        <f t="shared" si="1937"/>
        <v>506.70000000000005</v>
      </c>
      <c r="O797">
        <f t="shared" si="1937"/>
        <v>503.20000000000005</v>
      </c>
      <c r="P797">
        <f t="shared" si="1937"/>
        <v>51.4</v>
      </c>
    </row>
    <row r="798" spans="1:38" ht="17.149999999999999" x14ac:dyDescent="0.55000000000000004">
      <c r="B798" t="str">
        <f t="shared" si="1932"/>
        <v>Portland</v>
      </c>
      <c r="C798" t="s">
        <v>525</v>
      </c>
      <c r="D798" cm="1">
        <f t="array" ref="D798">IFERROR(IF(ISBLANK(INDEX(FX_Input,$R789,D$3*$AK789+$AL789)),D797+0.003*D791*D795,INDEX(FX_Input,$R789,D$3*$AK789+$AL789)+459.6),D797)</f>
        <v>503.5</v>
      </c>
      <c r="E798" cm="1">
        <f t="array" ref="E798">IFERROR(IF(ISBLANK(INDEX(FX_Input,$R789,E$3*$AK789+$AL789)),E797+0.003*E791*E795,INDEX(FX_Input,$R789,E$3*$AK789+$AL789)+459.6),E797)</f>
        <v>504.30000000000007</v>
      </c>
      <c r="F798" cm="1">
        <f t="array" ref="F798">IFERROR(IF(ISBLANK(INDEX(FX_Input,$R789,F$3*$AK789+$AL789)),F797+0.003*F791*F795,INDEX(FX_Input,$R789,F$3*$AK789+$AL789)+459.6),F797)</f>
        <v>505.70000000000005</v>
      </c>
      <c r="G798" cm="1">
        <f t="array" ref="G798">IFERROR(IF(ISBLANK(INDEX(FX_Input,$R789,G$3*$AK789+$AL789)),G797+0.003*G791*G795,INDEX(FX_Input,$R789,G$3*$AK789+$AL789)+459.6),G797)</f>
        <v>508.2</v>
      </c>
      <c r="H798" cm="1">
        <f t="array" ref="H798">IFERROR(IF(ISBLANK(INDEX(FX_Input,$R789,H$3*$AK789+$AL789)),H797+0.003*H791*H795,INDEX(FX_Input,$R789,H$3*$AK789+$AL789)+459.6),H797)</f>
        <v>512.75</v>
      </c>
      <c r="I798" cm="1">
        <f t="array" ref="I798">IFERROR(IF(ISBLANK(INDEX(FX_Input,$R789,I$3*$AK789+$AL789)),I797+0.003*I791*I795,INDEX(FX_Input,$R789,I$3*$AK789+$AL789)+459.6),I797)</f>
        <v>516.55000000000007</v>
      </c>
      <c r="J798" cm="1">
        <f t="array" ref="J798">IFERROR(IF(ISBLANK(INDEX(FX_Input,$R789,J$3*$AK789+$AL789)),J797+0.003*J791*J795,INDEX(FX_Input,$R789,J$3*$AK789+$AL789)+459.6),J797)</f>
        <v>520.04999999999995</v>
      </c>
      <c r="K798" cm="1">
        <f t="array" ref="K798">IFERROR(IF(ISBLANK(INDEX(FX_Input,$R789,K$3*$AK789+$AL789)),K797+0.003*K791*K795,INDEX(FX_Input,$R789,K$3*$AK789+$AL789)+459.6),K797)</f>
        <v>520.5</v>
      </c>
      <c r="L798" cm="1">
        <f t="array" ref="L798">IFERROR(IF(ISBLANK(INDEX(FX_Input,$R789,L$3*$AK789+$AL789)),L797+0.003*L791*L795,INDEX(FX_Input,$R789,L$3*$AK789+$AL789)+459.6),L797)</f>
        <v>518.20000000000005</v>
      </c>
      <c r="M798" cm="1">
        <f t="array" ref="M798">IFERROR(IF(ISBLANK(INDEX(FX_Input,$R789,M$3*$AK789+$AL789)),M797+0.003*M791*M795,INDEX(FX_Input,$R789,M$3*$AK789+$AL789)+459.6),M797)</f>
        <v>512.25</v>
      </c>
      <c r="N798" cm="1">
        <f t="array" ref="N798">IFERROR(IF(ISBLANK(INDEX(FX_Input,$R789,N$3*$AK789+$AL789)),N797+0.003*N791*N795,INDEX(FX_Input,$R789,N$3*$AK789+$AL789)+459.6),N797)</f>
        <v>506.70000000000005</v>
      </c>
      <c r="O798" cm="1">
        <f t="array" ref="O798">IFERROR(IF(ISBLANK(INDEX(FX_Input,$R789,O$3*$AK789+$AL789)),O797+0.003*O791*O795,INDEX(FX_Input,$R789,O$3*$AK789+$AL789)+459.6),O797)</f>
        <v>503.20000000000005</v>
      </c>
      <c r="P798" cm="1">
        <f t="array" ref="P798">IFERROR(IF(ISBLANK(INDEX(FX_Input,$R789,P$3*$AK789+$AL789)),P797+0.003*P791*P795,INDEX(FX_Input,$R789,P$3*$AK789+$AL789)+459.6),P797)</f>
        <v>944.6</v>
      </c>
    </row>
    <row r="799" spans="1:38" ht="17.149999999999999" x14ac:dyDescent="0.55000000000000004">
      <c r="B799" t="str">
        <f t="shared" si="1932"/>
        <v>Portland</v>
      </c>
      <c r="C799" t="s">
        <v>526</v>
      </c>
      <c r="D799">
        <f>IF(ISNUMBER(D793),0.4*D789+0.6*D798+0.005*D793*D795,IF(D793="Partially Insulated",0.3*D797+0.7*D798+0.005*D792*D795,D798))-459.6</f>
        <v>44.328749999999957</v>
      </c>
      <c r="E799">
        <f t="shared" ref="E799:O799" si="1938">IF(ISNUMBER(E793),0.4*E789+0.6*E798+0.005*E793*E795,IF(E793="Partially Insulated",0.3*E797+0.7*E798+0.005*E792*E795,E798))-459.6</f>
        <v>45.450000000000045</v>
      </c>
      <c r="F799">
        <f t="shared" si="1938"/>
        <v>47.19625000000002</v>
      </c>
      <c r="G799">
        <f t="shared" si="1938"/>
        <v>50.164999999999907</v>
      </c>
      <c r="H799">
        <f t="shared" si="1938"/>
        <v>55.071249999999964</v>
      </c>
      <c r="I799">
        <f t="shared" si="1938"/>
        <v>58.9837500000001</v>
      </c>
      <c r="J799">
        <f t="shared" si="1938"/>
        <v>62.584999999999923</v>
      </c>
      <c r="K799">
        <f t="shared" si="1938"/>
        <v>62.764999999999986</v>
      </c>
      <c r="L799">
        <f t="shared" si="1938"/>
        <v>60.095000000000027</v>
      </c>
      <c r="M799">
        <f t="shared" si="1938"/>
        <v>53.559999999999945</v>
      </c>
      <c r="N799">
        <f t="shared" si="1938"/>
        <v>47.588750000000005</v>
      </c>
      <c r="O799">
        <f t="shared" si="1938"/>
        <v>43.97750000000002</v>
      </c>
      <c r="P799">
        <f>AVERAGE(D799:O799)</f>
        <v>52.647187499999994</v>
      </c>
    </row>
    <row r="800" spans="1:38" ht="17.149999999999999" x14ac:dyDescent="0.55000000000000004">
      <c r="B800" t="str">
        <f t="shared" si="1932"/>
        <v>Portland</v>
      </c>
      <c r="C800" t="s">
        <v>527</v>
      </c>
      <c r="D800">
        <f>IF(ISNUMBER(D793),0.4*D790+0.6*D798+0.005*D793*D795,IF(D793="Partially Insulated",0.3*D797+0.7*D798+0.005*D792*D795,D798))-459.6</f>
        <v>44.328749999999957</v>
      </c>
      <c r="E800">
        <f t="shared" ref="E800:O800" si="1939">IF(ISNUMBER(E793),0.4*E790+0.6*E798+0.005*E793*E795,IF(E793="Partially Insulated",0.3*E797+0.7*E798+0.005*E792*E795,E798))-459.6</f>
        <v>45.450000000000045</v>
      </c>
      <c r="F800">
        <f t="shared" si="1939"/>
        <v>47.19625000000002</v>
      </c>
      <c r="G800">
        <f t="shared" si="1939"/>
        <v>50.164999999999907</v>
      </c>
      <c r="H800">
        <f t="shared" si="1939"/>
        <v>55.071249999999964</v>
      </c>
      <c r="I800">
        <f t="shared" si="1939"/>
        <v>58.9837500000001</v>
      </c>
      <c r="J800">
        <f t="shared" si="1939"/>
        <v>62.584999999999923</v>
      </c>
      <c r="K800">
        <f t="shared" si="1939"/>
        <v>62.764999999999986</v>
      </c>
      <c r="L800">
        <f t="shared" si="1939"/>
        <v>60.095000000000027</v>
      </c>
      <c r="M800">
        <f t="shared" si="1939"/>
        <v>53.559999999999945</v>
      </c>
      <c r="N800">
        <f t="shared" si="1939"/>
        <v>47.588750000000005</v>
      </c>
      <c r="O800">
        <f t="shared" si="1939"/>
        <v>43.97750000000002</v>
      </c>
      <c r="P800">
        <f>AVERAGE(D800:O800)</f>
        <v>52.647187499999994</v>
      </c>
    </row>
    <row r="801" spans="1:38" ht="17.149999999999999" x14ac:dyDescent="0.55000000000000004">
      <c r="B801" t="str">
        <f t="shared" si="1932"/>
        <v>Portland</v>
      </c>
      <c r="C801" t="s">
        <v>552</v>
      </c>
      <c r="D801">
        <f>IF(ISNUMBER(D793),0.4*D797+0.6*D798+0.005*D793*D795,IF(D793="Partially Insulated",0.3*D797+0.7*D798+0.005*D792*D795,D798))-459.6</f>
        <v>44.328749999999957</v>
      </c>
      <c r="E801">
        <f t="shared" ref="E801:O801" si="1940">IF(ISNUMBER(E793),0.4*E797+0.6*E798+0.005*E793*E795,IF(E793="Partially Insulated",0.3*E797+0.7*E798+0.005*E792*E795,E798))-459.6</f>
        <v>45.450000000000045</v>
      </c>
      <c r="F801">
        <f t="shared" si="1940"/>
        <v>47.19625000000002</v>
      </c>
      <c r="G801">
        <f t="shared" si="1940"/>
        <v>50.164999999999907</v>
      </c>
      <c r="H801">
        <f t="shared" si="1940"/>
        <v>55.071249999999964</v>
      </c>
      <c r="I801">
        <f t="shared" si="1940"/>
        <v>58.9837500000001</v>
      </c>
      <c r="J801">
        <f t="shared" si="1940"/>
        <v>62.584999999999923</v>
      </c>
      <c r="K801">
        <f t="shared" si="1940"/>
        <v>62.764999999999986</v>
      </c>
      <c r="L801">
        <f t="shared" si="1940"/>
        <v>60.095000000000027</v>
      </c>
      <c r="M801">
        <f t="shared" si="1940"/>
        <v>53.559999999999945</v>
      </c>
      <c r="N801">
        <f t="shared" si="1940"/>
        <v>47.588750000000005</v>
      </c>
      <c r="O801">
        <f t="shared" si="1940"/>
        <v>43.97750000000002</v>
      </c>
      <c r="P801">
        <f>AVERAGE(D801:O801)</f>
        <v>52.647187499999994</v>
      </c>
    </row>
    <row r="802" spans="1:38" ht="17.149999999999999" x14ac:dyDescent="0.55000000000000004">
      <c r="A802" s="11"/>
      <c r="B802" s="11" t="str">
        <f t="shared" si="1932"/>
        <v>Portland</v>
      </c>
      <c r="C802" s="11" t="s">
        <v>553</v>
      </c>
      <c r="D802" s="11">
        <f>IF(ISNUMBER(D793),0.7*D797+0.3*D798+0.009*D793*D795,IF(D793="Partially Insulated",0.6*D797+0.4*D798+0.01*D792*D795,D798))-459.6</f>
        <v>44.757499999999993</v>
      </c>
      <c r="E802" s="11">
        <f t="shared" ref="E802:O802" si="1941">IF(ISNUMBER(E793),0.7*E797+0.3*E798+0.009*E793*E795,IF(E793="Partially Insulated",0.6*E797+0.4*E798+0.01*E792*E795,E798))-459.6</f>
        <v>46.200000000000045</v>
      </c>
      <c r="F802" s="11">
        <f t="shared" si="1941"/>
        <v>48.292500000000018</v>
      </c>
      <c r="G802" s="11">
        <f t="shared" si="1941"/>
        <v>51.729999999999905</v>
      </c>
      <c r="H802" s="11">
        <f t="shared" si="1941"/>
        <v>56.99249999999995</v>
      </c>
      <c r="I802" s="11">
        <f t="shared" si="1941"/>
        <v>61.017500000000041</v>
      </c>
      <c r="J802" s="11">
        <f t="shared" si="1941"/>
        <v>64.719999999999914</v>
      </c>
      <c r="K802" s="11">
        <f t="shared" si="1941"/>
        <v>64.63</v>
      </c>
      <c r="L802" s="11">
        <f t="shared" si="1941"/>
        <v>61.590000000000032</v>
      </c>
      <c r="M802" s="11">
        <f t="shared" si="1941"/>
        <v>54.470000000000027</v>
      </c>
      <c r="N802" s="11">
        <f t="shared" si="1941"/>
        <v>48.077500000000043</v>
      </c>
      <c r="O802" s="11">
        <f t="shared" si="1941"/>
        <v>44.355000000000018</v>
      </c>
      <c r="P802" s="11">
        <f>AVERAGE(D802:O802)</f>
        <v>53.902708333333329</v>
      </c>
      <c r="Q802" s="11"/>
      <c r="R802" s="11"/>
      <c r="S802" s="11"/>
      <c r="T802" s="11"/>
      <c r="U802" s="11"/>
      <c r="V802" s="11"/>
      <c r="W802" s="11"/>
      <c r="X802" s="11"/>
      <c r="Y802" s="11"/>
      <c r="Z802" s="11"/>
      <c r="AA802" s="11"/>
      <c r="AB802" s="11"/>
      <c r="AC802" s="11"/>
      <c r="AD802" s="11"/>
      <c r="AE802" s="11"/>
      <c r="AF802" s="11"/>
      <c r="AG802" s="11"/>
      <c r="AH802" s="11"/>
      <c r="AI802" s="11"/>
      <c r="AJ802" s="11"/>
      <c r="AK802" s="11"/>
      <c r="AL802" s="11"/>
    </row>
    <row r="803" spans="1:38" ht="17.149999999999999" x14ac:dyDescent="0.55000000000000004">
      <c r="A803" t="str" cm="1">
        <f t="array" ref="A803">INDEX(FX_Input,$R803,S$5)</f>
        <v>FX - 58</v>
      </c>
      <c r="B803" t="str" cm="1">
        <f t="array" ref="B803">INDEX(FX_Input,R803,T803)</f>
        <v>Portland</v>
      </c>
      <c r="C803" t="s">
        <v>510</v>
      </c>
      <c r="D803">
        <f t="shared" ref="D803:O804" si="1942">VLOOKUP(VLOOKUP($B803,Terminal_X_Ref,2,FALSE)&amp;$C803,Weather_Data,$Y803*D$3+$Z803,FALSE)+459.6</f>
        <v>498.3</v>
      </c>
      <c r="E803">
        <f t="shared" si="1942"/>
        <v>497.70000000000005</v>
      </c>
      <c r="F803">
        <f t="shared" si="1942"/>
        <v>499.1</v>
      </c>
      <c r="G803">
        <f t="shared" si="1942"/>
        <v>501.5</v>
      </c>
      <c r="H803">
        <f t="shared" si="1942"/>
        <v>506.1</v>
      </c>
      <c r="I803">
        <f t="shared" si="1942"/>
        <v>510.3</v>
      </c>
      <c r="J803">
        <f t="shared" si="1942"/>
        <v>513.70000000000005</v>
      </c>
      <c r="K803">
        <f t="shared" si="1942"/>
        <v>513.70000000000005</v>
      </c>
      <c r="L803">
        <f t="shared" si="1942"/>
        <v>510</v>
      </c>
      <c r="M803">
        <f t="shared" si="1942"/>
        <v>504.90000000000003</v>
      </c>
      <c r="N803">
        <f t="shared" si="1942"/>
        <v>500.6</v>
      </c>
      <c r="O803">
        <f t="shared" si="1942"/>
        <v>498.20000000000005</v>
      </c>
      <c r="P803">
        <f t="shared" ref="P803:P804" si="1943">VLOOKUP(VLOOKUP($B803,Terminal_X_Ref,2,FALSE)&amp;$C803,Weather_Data,$Y803*P$3+$Z803,FALSE)</f>
        <v>44.9</v>
      </c>
      <c r="R803">
        <f>R789+2</f>
        <v>115</v>
      </c>
      <c r="S803">
        <f>S789+1</f>
        <v>58</v>
      </c>
      <c r="T803">
        <v>3</v>
      </c>
      <c r="U803">
        <v>2</v>
      </c>
      <c r="V803">
        <v>3</v>
      </c>
      <c r="W803">
        <v>1</v>
      </c>
      <c r="X803">
        <v>2</v>
      </c>
      <c r="Y803">
        <f>(V803-U803)/(X803-W803)</f>
        <v>1</v>
      </c>
      <c r="Z803">
        <f>U803-Y803*W803</f>
        <v>1</v>
      </c>
      <c r="AA803">
        <f>AA789+1</f>
        <v>58</v>
      </c>
      <c r="AB803">
        <v>6</v>
      </c>
      <c r="AC803">
        <v>3</v>
      </c>
      <c r="AD803">
        <v>13</v>
      </c>
      <c r="AE803">
        <v>12</v>
      </c>
      <c r="AF803">
        <v>14</v>
      </c>
      <c r="AG803">
        <v>77</v>
      </c>
      <c r="AH803">
        <v>78</v>
      </c>
      <c r="AI803">
        <v>1</v>
      </c>
      <c r="AJ803">
        <v>2</v>
      </c>
      <c r="AK803">
        <f>(AH803-AG803)/(AJ803-AI803)</f>
        <v>1</v>
      </c>
      <c r="AL803">
        <f>AG803-AK803*AI803</f>
        <v>76</v>
      </c>
    </row>
    <row r="804" spans="1:38" ht="17.149999999999999" x14ac:dyDescent="0.55000000000000004">
      <c r="B804" t="str">
        <f t="shared" ref="B804" si="1944">B803</f>
        <v>Portland</v>
      </c>
      <c r="C804" t="s">
        <v>511</v>
      </c>
      <c r="D804">
        <f t="shared" si="1942"/>
        <v>508.70000000000005</v>
      </c>
      <c r="E804">
        <f t="shared" si="1942"/>
        <v>510.90000000000003</v>
      </c>
      <c r="F804">
        <f t="shared" si="1942"/>
        <v>512.30000000000007</v>
      </c>
      <c r="G804">
        <f t="shared" si="1942"/>
        <v>514.9</v>
      </c>
      <c r="H804">
        <f t="shared" si="1942"/>
        <v>519.4</v>
      </c>
      <c r="I804">
        <f t="shared" si="1942"/>
        <v>522.80000000000007</v>
      </c>
      <c r="J804">
        <f t="shared" si="1942"/>
        <v>526.4</v>
      </c>
      <c r="K804">
        <f t="shared" si="1942"/>
        <v>527.30000000000007</v>
      </c>
      <c r="L804">
        <f t="shared" si="1942"/>
        <v>526.4</v>
      </c>
      <c r="M804">
        <f t="shared" si="1942"/>
        <v>519.6</v>
      </c>
      <c r="N804">
        <f t="shared" si="1942"/>
        <v>512.80000000000007</v>
      </c>
      <c r="O804">
        <f t="shared" si="1942"/>
        <v>508.20000000000005</v>
      </c>
      <c r="P804">
        <f t="shared" si="1943"/>
        <v>57.9</v>
      </c>
      <c r="U804">
        <f>U803</f>
        <v>2</v>
      </c>
      <c r="V804">
        <f t="shared" ref="V804:Z804" si="1945">V803</f>
        <v>3</v>
      </c>
      <c r="W804">
        <f t="shared" si="1945"/>
        <v>1</v>
      </c>
      <c r="X804">
        <f t="shared" si="1945"/>
        <v>2</v>
      </c>
      <c r="Y804">
        <f t="shared" si="1945"/>
        <v>1</v>
      </c>
      <c r="Z804">
        <f t="shared" si="1945"/>
        <v>1</v>
      </c>
      <c r="AA804">
        <f>AA803</f>
        <v>58</v>
      </c>
      <c r="AB804">
        <f t="shared" ref="AB804:AL807" si="1946">AB803</f>
        <v>6</v>
      </c>
      <c r="AC804">
        <f t="shared" si="1946"/>
        <v>3</v>
      </c>
      <c r="AD804">
        <f t="shared" si="1946"/>
        <v>13</v>
      </c>
      <c r="AE804">
        <f t="shared" si="1946"/>
        <v>12</v>
      </c>
      <c r="AF804">
        <f t="shared" si="1946"/>
        <v>14</v>
      </c>
      <c r="AG804">
        <f t="shared" si="1946"/>
        <v>77</v>
      </c>
      <c r="AH804">
        <f t="shared" si="1946"/>
        <v>78</v>
      </c>
      <c r="AI804">
        <f t="shared" si="1946"/>
        <v>1</v>
      </c>
      <c r="AJ804">
        <f t="shared" si="1946"/>
        <v>2</v>
      </c>
      <c r="AK804">
        <f t="shared" si="1946"/>
        <v>1</v>
      </c>
      <c r="AL804">
        <f t="shared" si="1946"/>
        <v>76</v>
      </c>
    </row>
    <row r="805" spans="1:38" ht="17.149999999999999" x14ac:dyDescent="0.4">
      <c r="B805" t="str">
        <f>B804</f>
        <v>Portland</v>
      </c>
      <c r="C805" s="66" t="s">
        <v>514</v>
      </c>
      <c r="D805" t="str" cm="1">
        <f t="array" ref="D805">INDEX(FX_Calcs,$AA805,$AE805)</f>
        <v>N/A</v>
      </c>
      <c r="E805" t="str" cm="1">
        <f t="array" ref="E805">INDEX(FX_Calcs,$AA805,$AE805)</f>
        <v>N/A</v>
      </c>
      <c r="F805" t="str" cm="1">
        <f t="array" ref="F805">INDEX(FX_Calcs,$AA805,$AE805)</f>
        <v>N/A</v>
      </c>
      <c r="G805" t="str" cm="1">
        <f t="array" ref="G805">INDEX(FX_Calcs,$AA805,$AE805)</f>
        <v>N/A</v>
      </c>
      <c r="H805" t="str" cm="1">
        <f t="array" ref="H805">INDEX(FX_Calcs,$AA805,$AE805)</f>
        <v>N/A</v>
      </c>
      <c r="I805" t="str" cm="1">
        <f t="array" ref="I805">INDEX(FX_Calcs,$AA805,$AE805)</f>
        <v>N/A</v>
      </c>
      <c r="J805" t="str" cm="1">
        <f t="array" ref="J805">INDEX(FX_Calcs,$AA805,$AE805)</f>
        <v>N/A</v>
      </c>
      <c r="K805" t="str" cm="1">
        <f t="array" ref="K805">INDEX(FX_Calcs,$AA805,$AE805)</f>
        <v>N/A</v>
      </c>
      <c r="L805" t="str" cm="1">
        <f t="array" ref="L805">INDEX(FX_Calcs,$AA805,$AE805)</f>
        <v>N/A</v>
      </c>
      <c r="M805" t="str" cm="1">
        <f t="array" ref="M805">INDEX(FX_Calcs,$AA805,$AE805)</f>
        <v>N/A</v>
      </c>
      <c r="N805" t="str" cm="1">
        <f t="array" ref="N805">INDEX(FX_Calcs,$AA805,$AE805)</f>
        <v>N/A</v>
      </c>
      <c r="O805" t="str" cm="1">
        <f t="array" ref="O805">INDEX(FX_Calcs,$AA805,$AE805)</f>
        <v>N/A</v>
      </c>
      <c r="P805" t="str" cm="1">
        <f t="array" ref="P805">INDEX(FX_Calcs,$AA805,$AE805)</f>
        <v>N/A</v>
      </c>
      <c r="AA805">
        <f>AA804</f>
        <v>58</v>
      </c>
      <c r="AB805">
        <f t="shared" si="1946"/>
        <v>6</v>
      </c>
      <c r="AC805">
        <f t="shared" si="1946"/>
        <v>3</v>
      </c>
      <c r="AD805">
        <f t="shared" si="1946"/>
        <v>13</v>
      </c>
      <c r="AE805">
        <f t="shared" si="1946"/>
        <v>12</v>
      </c>
      <c r="AF805">
        <f t="shared" si="1946"/>
        <v>14</v>
      </c>
      <c r="AG805">
        <f t="shared" si="1946"/>
        <v>77</v>
      </c>
      <c r="AH805">
        <f t="shared" si="1946"/>
        <v>78</v>
      </c>
      <c r="AI805">
        <f t="shared" si="1946"/>
        <v>1</v>
      </c>
      <c r="AJ805">
        <f t="shared" si="1946"/>
        <v>2</v>
      </c>
      <c r="AK805">
        <f t="shared" si="1946"/>
        <v>1</v>
      </c>
      <c r="AL805">
        <f t="shared" si="1946"/>
        <v>76</v>
      </c>
    </row>
    <row r="806" spans="1:38" ht="17.149999999999999" x14ac:dyDescent="0.4">
      <c r="B806" t="str">
        <f t="shared" ref="B806:B807" si="1947">B805</f>
        <v>Portland</v>
      </c>
      <c r="C806" s="66" t="s">
        <v>513</v>
      </c>
      <c r="D806" cm="1">
        <f t="array" ref="D806">INDEX(FX_Calcs,$AA806,$AD806)</f>
        <v>0.25</v>
      </c>
      <c r="E806" cm="1">
        <f t="array" ref="E806">INDEX(FX_Calcs,$AA806,$AD806)</f>
        <v>0.25</v>
      </c>
      <c r="F806" cm="1">
        <f t="array" ref="F806">INDEX(FX_Calcs,$AA806,$AD806)</f>
        <v>0.25</v>
      </c>
      <c r="G806" cm="1">
        <f t="array" ref="G806">INDEX(FX_Calcs,$AA806,$AD806)</f>
        <v>0.25</v>
      </c>
      <c r="H806" cm="1">
        <f t="array" ref="H806">INDEX(FX_Calcs,$AA806,$AD806)</f>
        <v>0.25</v>
      </c>
      <c r="I806" cm="1">
        <f t="array" ref="I806">INDEX(FX_Calcs,$AA806,$AD806)</f>
        <v>0.25</v>
      </c>
      <c r="J806" cm="1">
        <f t="array" ref="J806">INDEX(FX_Calcs,$AA806,$AD806)</f>
        <v>0.25</v>
      </c>
      <c r="K806" cm="1">
        <f t="array" ref="K806">INDEX(FX_Calcs,$AA806,$AD806)</f>
        <v>0.25</v>
      </c>
      <c r="L806" cm="1">
        <f t="array" ref="L806">INDEX(FX_Calcs,$AA806,$AD806)</f>
        <v>0.25</v>
      </c>
      <c r="M806" cm="1">
        <f t="array" ref="M806">INDEX(FX_Calcs,$AA806,$AD806)</f>
        <v>0.25</v>
      </c>
      <c r="N806" cm="1">
        <f t="array" ref="N806">INDEX(FX_Calcs,$AA806,$AD806)</f>
        <v>0.25</v>
      </c>
      <c r="O806" cm="1">
        <f t="array" ref="O806">INDEX(FX_Calcs,$AA806,$AD806)</f>
        <v>0.25</v>
      </c>
      <c r="P806" cm="1">
        <f t="array" ref="P806">INDEX(FX_Calcs,$AA806,$AD806)</f>
        <v>0.25</v>
      </c>
      <c r="AA806">
        <f>AA805</f>
        <v>58</v>
      </c>
      <c r="AB806">
        <f t="shared" si="1946"/>
        <v>6</v>
      </c>
      <c r="AC806">
        <f t="shared" si="1946"/>
        <v>3</v>
      </c>
      <c r="AD806">
        <f t="shared" si="1946"/>
        <v>13</v>
      </c>
      <c r="AE806">
        <f t="shared" si="1946"/>
        <v>12</v>
      </c>
      <c r="AF806">
        <f t="shared" si="1946"/>
        <v>14</v>
      </c>
      <c r="AG806">
        <f t="shared" si="1946"/>
        <v>77</v>
      </c>
      <c r="AH806">
        <f t="shared" si="1946"/>
        <v>78</v>
      </c>
      <c r="AI806">
        <f t="shared" si="1946"/>
        <v>1</v>
      </c>
      <c r="AJ806">
        <f t="shared" si="1946"/>
        <v>2</v>
      </c>
      <c r="AK806">
        <f t="shared" si="1946"/>
        <v>1</v>
      </c>
      <c r="AL806">
        <f t="shared" si="1946"/>
        <v>76</v>
      </c>
    </row>
    <row r="807" spans="1:38" x14ac:dyDescent="0.4">
      <c r="B807" t="str">
        <f t="shared" si="1947"/>
        <v>Portland</v>
      </c>
      <c r="C807" s="66" t="s">
        <v>558</v>
      </c>
      <c r="D807" t="str" cm="1">
        <f t="array" ref="D807">INDEX(FX_Calcs,$AA807,$AF807)</f>
        <v>Partially Insulated</v>
      </c>
      <c r="E807" t="str" cm="1">
        <f t="array" ref="E807">INDEX(FX_Calcs,$AA807,$AF807)</f>
        <v>Partially Insulated</v>
      </c>
      <c r="F807" t="str" cm="1">
        <f t="array" ref="F807">INDEX(FX_Calcs,$AA807,$AF807)</f>
        <v>Partially Insulated</v>
      </c>
      <c r="G807" t="str" cm="1">
        <f t="array" ref="G807">INDEX(FX_Calcs,$AA807,$AF807)</f>
        <v>Partially Insulated</v>
      </c>
      <c r="H807" t="str" cm="1">
        <f t="array" ref="H807">INDEX(FX_Calcs,$AA807,$AF807)</f>
        <v>Partially Insulated</v>
      </c>
      <c r="I807" t="str" cm="1">
        <f t="array" ref="I807">INDEX(FX_Calcs,$AA807,$AF807)</f>
        <v>Partially Insulated</v>
      </c>
      <c r="J807" t="str" cm="1">
        <f t="array" ref="J807">INDEX(FX_Calcs,$AA807,$AF807)</f>
        <v>Partially Insulated</v>
      </c>
      <c r="K807" t="str" cm="1">
        <f t="array" ref="K807">INDEX(FX_Calcs,$AA807,$AF807)</f>
        <v>Partially Insulated</v>
      </c>
      <c r="L807" t="str" cm="1">
        <f t="array" ref="L807">INDEX(FX_Calcs,$AA807,$AF807)</f>
        <v>Partially Insulated</v>
      </c>
      <c r="M807" t="str" cm="1">
        <f t="array" ref="M807">INDEX(FX_Calcs,$AA807,$AF807)</f>
        <v>Partially Insulated</v>
      </c>
      <c r="N807" t="str" cm="1">
        <f t="array" ref="N807">INDEX(FX_Calcs,$AA807,$AF807)</f>
        <v>Partially Insulated</v>
      </c>
      <c r="O807" t="str" cm="1">
        <f t="array" ref="O807">INDEX(FX_Calcs,$AA807,$AF807)</f>
        <v>Partially Insulated</v>
      </c>
      <c r="P807" t="str" cm="1">
        <f t="array" ref="P807">INDEX(FX_Calcs,$AA807,$AF807)</f>
        <v>Partially Insulated</v>
      </c>
      <c r="AA807">
        <f>AA806</f>
        <v>58</v>
      </c>
      <c r="AB807">
        <f t="shared" si="1946"/>
        <v>6</v>
      </c>
      <c r="AC807">
        <f t="shared" si="1946"/>
        <v>3</v>
      </c>
      <c r="AD807">
        <f t="shared" si="1946"/>
        <v>13</v>
      </c>
      <c r="AE807">
        <f t="shared" si="1946"/>
        <v>12</v>
      </c>
      <c r="AF807">
        <f t="shared" si="1946"/>
        <v>14</v>
      </c>
      <c r="AG807">
        <f t="shared" si="1946"/>
        <v>77</v>
      </c>
      <c r="AH807">
        <f t="shared" si="1946"/>
        <v>78</v>
      </c>
      <c r="AI807">
        <f t="shared" si="1946"/>
        <v>1</v>
      </c>
      <c r="AJ807">
        <f t="shared" si="1946"/>
        <v>2</v>
      </c>
      <c r="AK807">
        <f t="shared" si="1946"/>
        <v>1</v>
      </c>
      <c r="AL807">
        <f t="shared" si="1946"/>
        <v>76</v>
      </c>
    </row>
    <row r="808" spans="1:38" ht="17.149999999999999" x14ac:dyDescent="0.55000000000000004">
      <c r="B808" t="str">
        <f>B804</f>
        <v>Portland</v>
      </c>
      <c r="C808" t="s">
        <v>512</v>
      </c>
      <c r="D808">
        <f t="shared" ref="D808:P808" si="1948">D804-D803</f>
        <v>10.400000000000034</v>
      </c>
      <c r="E808">
        <f t="shared" si="1948"/>
        <v>13.199999999999989</v>
      </c>
      <c r="F808">
        <f t="shared" si="1948"/>
        <v>13.200000000000045</v>
      </c>
      <c r="G808">
        <f t="shared" si="1948"/>
        <v>13.399999999999977</v>
      </c>
      <c r="H808">
        <f t="shared" si="1948"/>
        <v>13.299999999999955</v>
      </c>
      <c r="I808">
        <f t="shared" si="1948"/>
        <v>12.500000000000057</v>
      </c>
      <c r="J808">
        <f t="shared" si="1948"/>
        <v>12.699999999999932</v>
      </c>
      <c r="K808">
        <f t="shared" si="1948"/>
        <v>13.600000000000023</v>
      </c>
      <c r="L808">
        <f t="shared" si="1948"/>
        <v>16.399999999999977</v>
      </c>
      <c r="M808">
        <f t="shared" si="1948"/>
        <v>14.699999999999989</v>
      </c>
      <c r="N808">
        <f t="shared" si="1948"/>
        <v>12.200000000000045</v>
      </c>
      <c r="O808">
        <f t="shared" si="1948"/>
        <v>10</v>
      </c>
      <c r="P808">
        <f t="shared" si="1948"/>
        <v>13</v>
      </c>
    </row>
    <row r="809" spans="1:38" x14ac:dyDescent="0.4">
      <c r="B809" t="str">
        <f t="shared" ref="B809:B816" si="1949">B808</f>
        <v>Portland</v>
      </c>
      <c r="C809" t="s">
        <v>260</v>
      </c>
      <c r="D809">
        <f t="shared" ref="D809:P809" si="1950">VLOOKUP(VLOOKUP($B809,Terminal_X_Ref,2,FALSE)&amp;$C809,Weather_Data,$Y809*D$3+$Z809,FALSE)</f>
        <v>343</v>
      </c>
      <c r="E809">
        <f t="shared" si="1950"/>
        <v>600</v>
      </c>
      <c r="F809">
        <f t="shared" si="1950"/>
        <v>877</v>
      </c>
      <c r="G809">
        <f t="shared" si="1950"/>
        <v>1252</v>
      </c>
      <c r="H809">
        <f t="shared" si="1950"/>
        <v>1537</v>
      </c>
      <c r="I809">
        <f t="shared" si="1950"/>
        <v>1627</v>
      </c>
      <c r="J809">
        <f t="shared" si="1950"/>
        <v>1708</v>
      </c>
      <c r="K809">
        <f t="shared" si="1950"/>
        <v>1492</v>
      </c>
      <c r="L809">
        <f t="shared" si="1950"/>
        <v>1196</v>
      </c>
      <c r="M809">
        <f t="shared" si="1950"/>
        <v>728</v>
      </c>
      <c r="N809">
        <f t="shared" si="1950"/>
        <v>391</v>
      </c>
      <c r="O809">
        <f t="shared" si="1950"/>
        <v>302</v>
      </c>
      <c r="P809">
        <f t="shared" si="1950"/>
        <v>1005</v>
      </c>
      <c r="U809">
        <f>U804</f>
        <v>2</v>
      </c>
      <c r="V809">
        <f t="shared" ref="V809:Z809" si="1951">V804</f>
        <v>3</v>
      </c>
      <c r="W809">
        <f t="shared" si="1951"/>
        <v>1</v>
      </c>
      <c r="X809">
        <f t="shared" si="1951"/>
        <v>2</v>
      </c>
      <c r="Y809">
        <f t="shared" si="1951"/>
        <v>1</v>
      </c>
      <c r="Z809">
        <f t="shared" si="1951"/>
        <v>1</v>
      </c>
    </row>
    <row r="810" spans="1:38" ht="17.149999999999999" x14ac:dyDescent="0.55000000000000004">
      <c r="B810" t="str">
        <f t="shared" si="1949"/>
        <v>Portland</v>
      </c>
      <c r="C810" t="s">
        <v>523</v>
      </c>
      <c r="D810">
        <f>IF(ISNUMBER(D807),0.7*D808+0.02*D807*D809,IF(D807="Partially Insulated",0.6*D808+0.02*D806*D809,0))</f>
        <v>7.9550000000000205</v>
      </c>
      <c r="E810">
        <f t="shared" ref="E810:P810" si="1952">IF(ISNUMBER(E807),0.7*E808+0.02*E807*E809,IF(E807="Partially Insulated",0.6*E808+0.02*E806*E809,0))</f>
        <v>10.919999999999993</v>
      </c>
      <c r="F810">
        <f t="shared" si="1952"/>
        <v>12.305000000000026</v>
      </c>
      <c r="G810">
        <f t="shared" si="1952"/>
        <v>14.299999999999986</v>
      </c>
      <c r="H810">
        <f t="shared" si="1952"/>
        <v>15.664999999999973</v>
      </c>
      <c r="I810">
        <f t="shared" si="1952"/>
        <v>15.635000000000034</v>
      </c>
      <c r="J810">
        <f t="shared" si="1952"/>
        <v>16.159999999999961</v>
      </c>
      <c r="K810">
        <f t="shared" si="1952"/>
        <v>15.620000000000012</v>
      </c>
      <c r="L810">
        <f t="shared" si="1952"/>
        <v>15.819999999999986</v>
      </c>
      <c r="M810">
        <f t="shared" si="1952"/>
        <v>12.459999999999994</v>
      </c>
      <c r="N810">
        <f t="shared" si="1952"/>
        <v>9.275000000000027</v>
      </c>
      <c r="O810">
        <f t="shared" si="1952"/>
        <v>7.51</v>
      </c>
      <c r="P810">
        <f t="shared" si="1952"/>
        <v>12.824999999999999</v>
      </c>
    </row>
    <row r="811" spans="1:38" ht="17.149999999999999" x14ac:dyDescent="0.55000000000000004">
      <c r="B811" t="str">
        <f t="shared" si="1949"/>
        <v>Portland</v>
      </c>
      <c r="C811" t="s">
        <v>524</v>
      </c>
      <c r="D811">
        <f t="shared" ref="D811:F811" si="1953">AVERAGE(D803:D804)</f>
        <v>503.5</v>
      </c>
      <c r="E811">
        <f t="shared" si="1953"/>
        <v>504.30000000000007</v>
      </c>
      <c r="F811">
        <f t="shared" si="1953"/>
        <v>505.70000000000005</v>
      </c>
      <c r="G811">
        <f>AVERAGE(G803:G804)</f>
        <v>508.2</v>
      </c>
      <c r="H811">
        <f t="shared" ref="H811:P811" si="1954">AVERAGE(H803:H804)</f>
        <v>512.75</v>
      </c>
      <c r="I811">
        <f t="shared" si="1954"/>
        <v>516.55000000000007</v>
      </c>
      <c r="J811">
        <f t="shared" si="1954"/>
        <v>520.04999999999995</v>
      </c>
      <c r="K811">
        <f t="shared" si="1954"/>
        <v>520.5</v>
      </c>
      <c r="L811">
        <f t="shared" si="1954"/>
        <v>518.20000000000005</v>
      </c>
      <c r="M811">
        <f t="shared" si="1954"/>
        <v>512.25</v>
      </c>
      <c r="N811">
        <f t="shared" si="1954"/>
        <v>506.70000000000005</v>
      </c>
      <c r="O811">
        <f t="shared" si="1954"/>
        <v>503.20000000000005</v>
      </c>
      <c r="P811">
        <f t="shared" si="1954"/>
        <v>51.4</v>
      </c>
    </row>
    <row r="812" spans="1:38" ht="17.149999999999999" x14ac:dyDescent="0.55000000000000004">
      <c r="B812" t="str">
        <f t="shared" si="1949"/>
        <v>Portland</v>
      </c>
      <c r="C812" t="s">
        <v>525</v>
      </c>
      <c r="D812" cm="1">
        <f t="array" ref="D812">IFERROR(IF(ISBLANK(INDEX(FX_Input,$R803,D$3*$AK803+$AL803)),D811+0.003*D805*D809,INDEX(FX_Input,$R803,D$3*$AK803+$AL803)+459.6),D811)</f>
        <v>503.5</v>
      </c>
      <c r="E812" cm="1">
        <f t="array" ref="E812">IFERROR(IF(ISBLANK(INDEX(FX_Input,$R803,E$3*$AK803+$AL803)),E811+0.003*E805*E809,INDEX(FX_Input,$R803,E$3*$AK803+$AL803)+459.6),E811)</f>
        <v>504.30000000000007</v>
      </c>
      <c r="F812" cm="1">
        <f t="array" ref="F812">IFERROR(IF(ISBLANK(INDEX(FX_Input,$R803,F$3*$AK803+$AL803)),F811+0.003*F805*F809,INDEX(FX_Input,$R803,F$3*$AK803+$AL803)+459.6),F811)</f>
        <v>505.70000000000005</v>
      </c>
      <c r="G812" cm="1">
        <f t="array" ref="G812">IFERROR(IF(ISBLANK(INDEX(FX_Input,$R803,G$3*$AK803+$AL803)),G811+0.003*G805*G809,INDEX(FX_Input,$R803,G$3*$AK803+$AL803)+459.6),G811)</f>
        <v>508.2</v>
      </c>
      <c r="H812" cm="1">
        <f t="array" ref="H812">IFERROR(IF(ISBLANK(INDEX(FX_Input,$R803,H$3*$AK803+$AL803)),H811+0.003*H805*H809,INDEX(FX_Input,$R803,H$3*$AK803+$AL803)+459.6),H811)</f>
        <v>512.75</v>
      </c>
      <c r="I812" cm="1">
        <f t="array" ref="I812">IFERROR(IF(ISBLANK(INDEX(FX_Input,$R803,I$3*$AK803+$AL803)),I811+0.003*I805*I809,INDEX(FX_Input,$R803,I$3*$AK803+$AL803)+459.6),I811)</f>
        <v>516.55000000000007</v>
      </c>
      <c r="J812" cm="1">
        <f t="array" ref="J812">IFERROR(IF(ISBLANK(INDEX(FX_Input,$R803,J$3*$AK803+$AL803)),J811+0.003*J805*J809,INDEX(FX_Input,$R803,J$3*$AK803+$AL803)+459.6),J811)</f>
        <v>520.04999999999995</v>
      </c>
      <c r="K812" cm="1">
        <f t="array" ref="K812">IFERROR(IF(ISBLANK(INDEX(FX_Input,$R803,K$3*$AK803+$AL803)),K811+0.003*K805*K809,INDEX(FX_Input,$R803,K$3*$AK803+$AL803)+459.6),K811)</f>
        <v>520.5</v>
      </c>
      <c r="L812" cm="1">
        <f t="array" ref="L812">IFERROR(IF(ISBLANK(INDEX(FX_Input,$R803,L$3*$AK803+$AL803)),L811+0.003*L805*L809,INDEX(FX_Input,$R803,L$3*$AK803+$AL803)+459.6),L811)</f>
        <v>518.20000000000005</v>
      </c>
      <c r="M812" cm="1">
        <f t="array" ref="M812">IFERROR(IF(ISBLANK(INDEX(FX_Input,$R803,M$3*$AK803+$AL803)),M811+0.003*M805*M809,INDEX(FX_Input,$R803,M$3*$AK803+$AL803)+459.6),M811)</f>
        <v>512.25</v>
      </c>
      <c r="N812" cm="1">
        <f t="array" ref="N812">IFERROR(IF(ISBLANK(INDEX(FX_Input,$R803,N$3*$AK803+$AL803)),N811+0.003*N805*N809,INDEX(FX_Input,$R803,N$3*$AK803+$AL803)+459.6),N811)</f>
        <v>506.70000000000005</v>
      </c>
      <c r="O812" cm="1">
        <f t="array" ref="O812">IFERROR(IF(ISBLANK(INDEX(FX_Input,$R803,O$3*$AK803+$AL803)),O811+0.003*O805*O809,INDEX(FX_Input,$R803,O$3*$AK803+$AL803)+459.6),O811)</f>
        <v>503.20000000000005</v>
      </c>
      <c r="P812" cm="1">
        <f t="array" ref="P812">IFERROR(IF(ISBLANK(INDEX(FX_Input,$R803,P$3*$AK803+$AL803)),P811+0.003*P805*P809,INDEX(FX_Input,$R803,P$3*$AK803+$AL803)+459.6),P811)</f>
        <v>942.6</v>
      </c>
    </row>
    <row r="813" spans="1:38" ht="17.149999999999999" x14ac:dyDescent="0.55000000000000004">
      <c r="B813" t="str">
        <f t="shared" si="1949"/>
        <v>Portland</v>
      </c>
      <c r="C813" t="s">
        <v>526</v>
      </c>
      <c r="D813">
        <f>IF(ISNUMBER(D807),0.4*D803+0.6*D812+0.005*D807*D809,IF(D807="Partially Insulated",0.3*D811+0.7*D812+0.005*D806*D809,D812))-459.6</f>
        <v>44.328749999999957</v>
      </c>
      <c r="E813">
        <f t="shared" ref="E813:O813" si="1955">IF(ISNUMBER(E807),0.4*E803+0.6*E812+0.005*E807*E809,IF(E807="Partially Insulated",0.3*E811+0.7*E812+0.005*E806*E809,E812))-459.6</f>
        <v>45.450000000000045</v>
      </c>
      <c r="F813">
        <f t="shared" si="1955"/>
        <v>47.19625000000002</v>
      </c>
      <c r="G813">
        <f t="shared" si="1955"/>
        <v>50.164999999999907</v>
      </c>
      <c r="H813">
        <f t="shared" si="1955"/>
        <v>55.071249999999964</v>
      </c>
      <c r="I813">
        <f t="shared" si="1955"/>
        <v>58.9837500000001</v>
      </c>
      <c r="J813">
        <f t="shared" si="1955"/>
        <v>62.584999999999923</v>
      </c>
      <c r="K813">
        <f t="shared" si="1955"/>
        <v>62.764999999999986</v>
      </c>
      <c r="L813">
        <f t="shared" si="1955"/>
        <v>60.095000000000027</v>
      </c>
      <c r="M813">
        <f t="shared" si="1955"/>
        <v>53.559999999999945</v>
      </c>
      <c r="N813">
        <f t="shared" si="1955"/>
        <v>47.588750000000005</v>
      </c>
      <c r="O813">
        <f t="shared" si="1955"/>
        <v>43.97750000000002</v>
      </c>
      <c r="P813">
        <f>AVERAGE(D813:O813)</f>
        <v>52.647187499999994</v>
      </c>
    </row>
    <row r="814" spans="1:38" ht="17.149999999999999" x14ac:dyDescent="0.55000000000000004">
      <c r="B814" t="str">
        <f t="shared" si="1949"/>
        <v>Portland</v>
      </c>
      <c r="C814" t="s">
        <v>527</v>
      </c>
      <c r="D814">
        <f>IF(ISNUMBER(D807),0.4*D804+0.6*D812+0.005*D807*D809,IF(D807="Partially Insulated",0.3*D811+0.7*D812+0.005*D806*D809,D812))-459.6</f>
        <v>44.328749999999957</v>
      </c>
      <c r="E814">
        <f t="shared" ref="E814:O814" si="1956">IF(ISNUMBER(E807),0.4*E804+0.6*E812+0.005*E807*E809,IF(E807="Partially Insulated",0.3*E811+0.7*E812+0.005*E806*E809,E812))-459.6</f>
        <v>45.450000000000045</v>
      </c>
      <c r="F814">
        <f t="shared" si="1956"/>
        <v>47.19625000000002</v>
      </c>
      <c r="G814">
        <f t="shared" si="1956"/>
        <v>50.164999999999907</v>
      </c>
      <c r="H814">
        <f t="shared" si="1956"/>
        <v>55.071249999999964</v>
      </c>
      <c r="I814">
        <f t="shared" si="1956"/>
        <v>58.9837500000001</v>
      </c>
      <c r="J814">
        <f t="shared" si="1956"/>
        <v>62.584999999999923</v>
      </c>
      <c r="K814">
        <f t="shared" si="1956"/>
        <v>62.764999999999986</v>
      </c>
      <c r="L814">
        <f t="shared" si="1956"/>
        <v>60.095000000000027</v>
      </c>
      <c r="M814">
        <f t="shared" si="1956"/>
        <v>53.559999999999945</v>
      </c>
      <c r="N814">
        <f t="shared" si="1956"/>
        <v>47.588750000000005</v>
      </c>
      <c r="O814">
        <f t="shared" si="1956"/>
        <v>43.97750000000002</v>
      </c>
      <c r="P814">
        <f>AVERAGE(D814:O814)</f>
        <v>52.647187499999994</v>
      </c>
    </row>
    <row r="815" spans="1:38" ht="17.149999999999999" x14ac:dyDescent="0.55000000000000004">
      <c r="B815" t="str">
        <f t="shared" si="1949"/>
        <v>Portland</v>
      </c>
      <c r="C815" t="s">
        <v>552</v>
      </c>
      <c r="D815">
        <f>IF(ISNUMBER(D807),0.4*D811+0.6*D812+0.005*D807*D809,IF(D807="Partially Insulated",0.3*D811+0.7*D812+0.005*D806*D809,D812))-459.6</f>
        <v>44.328749999999957</v>
      </c>
      <c r="E815">
        <f t="shared" ref="E815:O815" si="1957">IF(ISNUMBER(E807),0.4*E811+0.6*E812+0.005*E807*E809,IF(E807="Partially Insulated",0.3*E811+0.7*E812+0.005*E806*E809,E812))-459.6</f>
        <v>45.450000000000045</v>
      </c>
      <c r="F815">
        <f t="shared" si="1957"/>
        <v>47.19625000000002</v>
      </c>
      <c r="G815">
        <f t="shared" si="1957"/>
        <v>50.164999999999907</v>
      </c>
      <c r="H815">
        <f t="shared" si="1957"/>
        <v>55.071249999999964</v>
      </c>
      <c r="I815">
        <f t="shared" si="1957"/>
        <v>58.9837500000001</v>
      </c>
      <c r="J815">
        <f t="shared" si="1957"/>
        <v>62.584999999999923</v>
      </c>
      <c r="K815">
        <f t="shared" si="1957"/>
        <v>62.764999999999986</v>
      </c>
      <c r="L815">
        <f t="shared" si="1957"/>
        <v>60.095000000000027</v>
      </c>
      <c r="M815">
        <f t="shared" si="1957"/>
        <v>53.559999999999945</v>
      </c>
      <c r="N815">
        <f t="shared" si="1957"/>
        <v>47.588750000000005</v>
      </c>
      <c r="O815">
        <f t="shared" si="1957"/>
        <v>43.97750000000002</v>
      </c>
      <c r="P815">
        <f>AVERAGE(D815:O815)</f>
        <v>52.647187499999994</v>
      </c>
    </row>
    <row r="816" spans="1:38" ht="17.149999999999999" x14ac:dyDescent="0.55000000000000004">
      <c r="A816" s="11"/>
      <c r="B816" s="11" t="str">
        <f t="shared" si="1949"/>
        <v>Portland</v>
      </c>
      <c r="C816" s="11" t="s">
        <v>553</v>
      </c>
      <c r="D816" s="11">
        <f>IF(ISNUMBER(D807),0.7*D811+0.3*D812+0.009*D807*D809,IF(D807="Partially Insulated",0.6*D811+0.4*D812+0.01*D806*D809,D812))-459.6</f>
        <v>44.757499999999993</v>
      </c>
      <c r="E816" s="11">
        <f t="shared" ref="E816:O816" si="1958">IF(ISNUMBER(E807),0.7*E811+0.3*E812+0.009*E807*E809,IF(E807="Partially Insulated",0.6*E811+0.4*E812+0.01*E806*E809,E812))-459.6</f>
        <v>46.200000000000045</v>
      </c>
      <c r="F816" s="11">
        <f t="shared" si="1958"/>
        <v>48.292500000000018</v>
      </c>
      <c r="G816" s="11">
        <f t="shared" si="1958"/>
        <v>51.729999999999905</v>
      </c>
      <c r="H816" s="11">
        <f t="shared" si="1958"/>
        <v>56.99249999999995</v>
      </c>
      <c r="I816" s="11">
        <f t="shared" si="1958"/>
        <v>61.017500000000041</v>
      </c>
      <c r="J816" s="11">
        <f t="shared" si="1958"/>
        <v>64.719999999999914</v>
      </c>
      <c r="K816" s="11">
        <f t="shared" si="1958"/>
        <v>64.63</v>
      </c>
      <c r="L816" s="11">
        <f t="shared" si="1958"/>
        <v>61.590000000000032</v>
      </c>
      <c r="M816" s="11">
        <f t="shared" si="1958"/>
        <v>54.470000000000027</v>
      </c>
      <c r="N816" s="11">
        <f t="shared" si="1958"/>
        <v>48.077500000000043</v>
      </c>
      <c r="O816" s="11">
        <f t="shared" si="1958"/>
        <v>44.355000000000018</v>
      </c>
      <c r="P816" s="11">
        <f>AVERAGE(D816:O816)</f>
        <v>53.902708333333329</v>
      </c>
      <c r="Q816" s="11"/>
      <c r="R816" s="11"/>
      <c r="S816" s="11"/>
      <c r="T816" s="11"/>
      <c r="U816" s="11"/>
      <c r="V816" s="11"/>
      <c r="W816" s="11"/>
      <c r="X816" s="11"/>
      <c r="Y816" s="11"/>
      <c r="Z816" s="11"/>
      <c r="AA816" s="11"/>
      <c r="AB816" s="11"/>
      <c r="AC816" s="11"/>
      <c r="AD816" s="11"/>
      <c r="AE816" s="11"/>
      <c r="AF816" s="11"/>
      <c r="AG816" s="11"/>
      <c r="AH816" s="11"/>
      <c r="AI816" s="11"/>
      <c r="AJ816" s="11"/>
      <c r="AK816" s="11"/>
      <c r="AL816" s="11"/>
    </row>
    <row r="817" spans="1:38" ht="17.149999999999999" x14ac:dyDescent="0.55000000000000004">
      <c r="A817" t="str" cm="1">
        <f t="array" ref="A817">INDEX(FX_Input,$R817,S$5)</f>
        <v>FX - 59</v>
      </c>
      <c r="B817" t="str" cm="1">
        <f t="array" ref="B817">INDEX(FX_Input,R817,T817)</f>
        <v>Portland</v>
      </c>
      <c r="C817" t="s">
        <v>510</v>
      </c>
      <c r="D817">
        <f t="shared" ref="D817:O818" si="1959">VLOOKUP(VLOOKUP($B817,Terminal_X_Ref,2,FALSE)&amp;$C817,Weather_Data,$Y817*D$3+$Z817,FALSE)+459.6</f>
        <v>498.3</v>
      </c>
      <c r="E817">
        <f t="shared" si="1959"/>
        <v>497.70000000000005</v>
      </c>
      <c r="F817">
        <f t="shared" si="1959"/>
        <v>499.1</v>
      </c>
      <c r="G817">
        <f t="shared" si="1959"/>
        <v>501.5</v>
      </c>
      <c r="H817">
        <f t="shared" si="1959"/>
        <v>506.1</v>
      </c>
      <c r="I817">
        <f t="shared" si="1959"/>
        <v>510.3</v>
      </c>
      <c r="J817">
        <f t="shared" si="1959"/>
        <v>513.70000000000005</v>
      </c>
      <c r="K817">
        <f t="shared" si="1959"/>
        <v>513.70000000000005</v>
      </c>
      <c r="L817">
        <f t="shared" si="1959"/>
        <v>510</v>
      </c>
      <c r="M817">
        <f t="shared" si="1959"/>
        <v>504.90000000000003</v>
      </c>
      <c r="N817">
        <f t="shared" si="1959"/>
        <v>500.6</v>
      </c>
      <c r="O817">
        <f t="shared" si="1959"/>
        <v>498.20000000000005</v>
      </c>
      <c r="P817">
        <f t="shared" ref="P817:P818" si="1960">VLOOKUP(VLOOKUP($B817,Terminal_X_Ref,2,FALSE)&amp;$C817,Weather_Data,$Y817*P$3+$Z817,FALSE)</f>
        <v>44.9</v>
      </c>
      <c r="R817">
        <f>R803+2</f>
        <v>117</v>
      </c>
      <c r="S817">
        <f>S803+1</f>
        <v>59</v>
      </c>
      <c r="T817">
        <v>3</v>
      </c>
      <c r="U817">
        <v>2</v>
      </c>
      <c r="V817">
        <v>3</v>
      </c>
      <c r="W817">
        <v>1</v>
      </c>
      <c r="X817">
        <v>2</v>
      </c>
      <c r="Y817">
        <f>(V817-U817)/(X817-W817)</f>
        <v>1</v>
      </c>
      <c r="Z817">
        <f>U817-Y817*W817</f>
        <v>1</v>
      </c>
      <c r="AA817">
        <f>AA803+1</f>
        <v>59</v>
      </c>
      <c r="AB817">
        <v>6</v>
      </c>
      <c r="AC817">
        <v>3</v>
      </c>
      <c r="AD817">
        <v>13</v>
      </c>
      <c r="AE817">
        <v>12</v>
      </c>
      <c r="AF817">
        <v>14</v>
      </c>
      <c r="AG817">
        <v>77</v>
      </c>
      <c r="AH817">
        <v>78</v>
      </c>
      <c r="AI817">
        <v>1</v>
      </c>
      <c r="AJ817">
        <v>2</v>
      </c>
      <c r="AK817">
        <f>(AH817-AG817)/(AJ817-AI817)</f>
        <v>1</v>
      </c>
      <c r="AL817">
        <f>AG817-AK817*AI817</f>
        <v>76</v>
      </c>
    </row>
    <row r="818" spans="1:38" ht="17.149999999999999" x14ac:dyDescent="0.55000000000000004">
      <c r="B818" t="str">
        <f t="shared" ref="B818" si="1961">B817</f>
        <v>Portland</v>
      </c>
      <c r="C818" t="s">
        <v>511</v>
      </c>
      <c r="D818">
        <f t="shared" si="1959"/>
        <v>508.70000000000005</v>
      </c>
      <c r="E818">
        <f t="shared" si="1959"/>
        <v>510.90000000000003</v>
      </c>
      <c r="F818">
        <f t="shared" si="1959"/>
        <v>512.30000000000007</v>
      </c>
      <c r="G818">
        <f t="shared" si="1959"/>
        <v>514.9</v>
      </c>
      <c r="H818">
        <f t="shared" si="1959"/>
        <v>519.4</v>
      </c>
      <c r="I818">
        <f t="shared" si="1959"/>
        <v>522.80000000000007</v>
      </c>
      <c r="J818">
        <f t="shared" si="1959"/>
        <v>526.4</v>
      </c>
      <c r="K818">
        <f t="shared" si="1959"/>
        <v>527.30000000000007</v>
      </c>
      <c r="L818">
        <f t="shared" si="1959"/>
        <v>526.4</v>
      </c>
      <c r="M818">
        <f t="shared" si="1959"/>
        <v>519.6</v>
      </c>
      <c r="N818">
        <f t="shared" si="1959"/>
        <v>512.80000000000007</v>
      </c>
      <c r="O818">
        <f t="shared" si="1959"/>
        <v>508.20000000000005</v>
      </c>
      <c r="P818">
        <f t="shared" si="1960"/>
        <v>57.9</v>
      </c>
      <c r="U818">
        <f>U817</f>
        <v>2</v>
      </c>
      <c r="V818">
        <f t="shared" ref="V818:Z818" si="1962">V817</f>
        <v>3</v>
      </c>
      <c r="W818">
        <f t="shared" si="1962"/>
        <v>1</v>
      </c>
      <c r="X818">
        <f t="shared" si="1962"/>
        <v>2</v>
      </c>
      <c r="Y818">
        <f t="shared" si="1962"/>
        <v>1</v>
      </c>
      <c r="Z818">
        <f t="shared" si="1962"/>
        <v>1</v>
      </c>
      <c r="AA818">
        <f>AA817</f>
        <v>59</v>
      </c>
      <c r="AB818">
        <f t="shared" ref="AB818:AL821" si="1963">AB817</f>
        <v>6</v>
      </c>
      <c r="AC818">
        <f t="shared" si="1963"/>
        <v>3</v>
      </c>
      <c r="AD818">
        <f t="shared" si="1963"/>
        <v>13</v>
      </c>
      <c r="AE818">
        <f t="shared" si="1963"/>
        <v>12</v>
      </c>
      <c r="AF818">
        <f t="shared" si="1963"/>
        <v>14</v>
      </c>
      <c r="AG818">
        <f t="shared" si="1963"/>
        <v>77</v>
      </c>
      <c r="AH818">
        <f t="shared" si="1963"/>
        <v>78</v>
      </c>
      <c r="AI818">
        <f t="shared" si="1963"/>
        <v>1</v>
      </c>
      <c r="AJ818">
        <f t="shared" si="1963"/>
        <v>2</v>
      </c>
      <c r="AK818">
        <f t="shared" si="1963"/>
        <v>1</v>
      </c>
      <c r="AL818">
        <f t="shared" si="1963"/>
        <v>76</v>
      </c>
    </row>
    <row r="819" spans="1:38" ht="17.149999999999999" x14ac:dyDescent="0.4">
      <c r="B819" t="str">
        <f>B818</f>
        <v>Portland</v>
      </c>
      <c r="C819" s="66" t="s">
        <v>514</v>
      </c>
      <c r="D819" t="str" cm="1">
        <f t="array" ref="D819">INDEX(FX_Calcs,$AA819,$AE819)</f>
        <v>N/A</v>
      </c>
      <c r="E819" t="str" cm="1">
        <f t="array" ref="E819">INDEX(FX_Calcs,$AA819,$AE819)</f>
        <v>N/A</v>
      </c>
      <c r="F819" t="str" cm="1">
        <f t="array" ref="F819">INDEX(FX_Calcs,$AA819,$AE819)</f>
        <v>N/A</v>
      </c>
      <c r="G819" t="str" cm="1">
        <f t="array" ref="G819">INDEX(FX_Calcs,$AA819,$AE819)</f>
        <v>N/A</v>
      </c>
      <c r="H819" t="str" cm="1">
        <f t="array" ref="H819">INDEX(FX_Calcs,$AA819,$AE819)</f>
        <v>N/A</v>
      </c>
      <c r="I819" t="str" cm="1">
        <f t="array" ref="I819">INDEX(FX_Calcs,$AA819,$AE819)</f>
        <v>N/A</v>
      </c>
      <c r="J819" t="str" cm="1">
        <f t="array" ref="J819">INDEX(FX_Calcs,$AA819,$AE819)</f>
        <v>N/A</v>
      </c>
      <c r="K819" t="str" cm="1">
        <f t="array" ref="K819">INDEX(FX_Calcs,$AA819,$AE819)</f>
        <v>N/A</v>
      </c>
      <c r="L819" t="str" cm="1">
        <f t="array" ref="L819">INDEX(FX_Calcs,$AA819,$AE819)</f>
        <v>N/A</v>
      </c>
      <c r="M819" t="str" cm="1">
        <f t="array" ref="M819">INDEX(FX_Calcs,$AA819,$AE819)</f>
        <v>N/A</v>
      </c>
      <c r="N819" t="str" cm="1">
        <f t="array" ref="N819">INDEX(FX_Calcs,$AA819,$AE819)</f>
        <v>N/A</v>
      </c>
      <c r="O819" t="str" cm="1">
        <f t="array" ref="O819">INDEX(FX_Calcs,$AA819,$AE819)</f>
        <v>N/A</v>
      </c>
      <c r="P819" t="str" cm="1">
        <f t="array" ref="P819">INDEX(FX_Calcs,$AA819,$AE819)</f>
        <v>N/A</v>
      </c>
      <c r="AA819">
        <f>AA818</f>
        <v>59</v>
      </c>
      <c r="AB819">
        <f t="shared" si="1963"/>
        <v>6</v>
      </c>
      <c r="AC819">
        <f t="shared" si="1963"/>
        <v>3</v>
      </c>
      <c r="AD819">
        <f t="shared" si="1963"/>
        <v>13</v>
      </c>
      <c r="AE819">
        <f t="shared" si="1963"/>
        <v>12</v>
      </c>
      <c r="AF819">
        <f t="shared" si="1963"/>
        <v>14</v>
      </c>
      <c r="AG819">
        <f t="shared" si="1963"/>
        <v>77</v>
      </c>
      <c r="AH819">
        <f t="shared" si="1963"/>
        <v>78</v>
      </c>
      <c r="AI819">
        <f t="shared" si="1963"/>
        <v>1</v>
      </c>
      <c r="AJ819">
        <f t="shared" si="1963"/>
        <v>2</v>
      </c>
      <c r="AK819">
        <f t="shared" si="1963"/>
        <v>1</v>
      </c>
      <c r="AL819">
        <f t="shared" si="1963"/>
        <v>76</v>
      </c>
    </row>
    <row r="820" spans="1:38" ht="17.149999999999999" x14ac:dyDescent="0.4">
      <c r="B820" t="str">
        <f t="shared" ref="B820:B821" si="1964">B819</f>
        <v>Portland</v>
      </c>
      <c r="C820" s="66" t="s">
        <v>513</v>
      </c>
      <c r="D820" cm="1">
        <f t="array" ref="D820">INDEX(FX_Calcs,$AA820,$AD820)</f>
        <v>0.25</v>
      </c>
      <c r="E820" cm="1">
        <f t="array" ref="E820">INDEX(FX_Calcs,$AA820,$AD820)</f>
        <v>0.25</v>
      </c>
      <c r="F820" cm="1">
        <f t="array" ref="F820">INDEX(FX_Calcs,$AA820,$AD820)</f>
        <v>0.25</v>
      </c>
      <c r="G820" cm="1">
        <f t="array" ref="G820">INDEX(FX_Calcs,$AA820,$AD820)</f>
        <v>0.25</v>
      </c>
      <c r="H820" cm="1">
        <f t="array" ref="H820">INDEX(FX_Calcs,$AA820,$AD820)</f>
        <v>0.25</v>
      </c>
      <c r="I820" cm="1">
        <f t="array" ref="I820">INDEX(FX_Calcs,$AA820,$AD820)</f>
        <v>0.25</v>
      </c>
      <c r="J820" cm="1">
        <f t="array" ref="J820">INDEX(FX_Calcs,$AA820,$AD820)</f>
        <v>0.25</v>
      </c>
      <c r="K820" cm="1">
        <f t="array" ref="K820">INDEX(FX_Calcs,$AA820,$AD820)</f>
        <v>0.25</v>
      </c>
      <c r="L820" cm="1">
        <f t="array" ref="L820">INDEX(FX_Calcs,$AA820,$AD820)</f>
        <v>0.25</v>
      </c>
      <c r="M820" cm="1">
        <f t="array" ref="M820">INDEX(FX_Calcs,$AA820,$AD820)</f>
        <v>0.25</v>
      </c>
      <c r="N820" cm="1">
        <f t="array" ref="N820">INDEX(FX_Calcs,$AA820,$AD820)</f>
        <v>0.25</v>
      </c>
      <c r="O820" cm="1">
        <f t="array" ref="O820">INDEX(FX_Calcs,$AA820,$AD820)</f>
        <v>0.25</v>
      </c>
      <c r="P820" cm="1">
        <f t="array" ref="P820">INDEX(FX_Calcs,$AA820,$AD820)</f>
        <v>0.25</v>
      </c>
      <c r="AA820">
        <f>AA819</f>
        <v>59</v>
      </c>
      <c r="AB820">
        <f t="shared" si="1963"/>
        <v>6</v>
      </c>
      <c r="AC820">
        <f t="shared" si="1963"/>
        <v>3</v>
      </c>
      <c r="AD820">
        <f t="shared" si="1963"/>
        <v>13</v>
      </c>
      <c r="AE820">
        <f t="shared" si="1963"/>
        <v>12</v>
      </c>
      <c r="AF820">
        <f t="shared" si="1963"/>
        <v>14</v>
      </c>
      <c r="AG820">
        <f t="shared" si="1963"/>
        <v>77</v>
      </c>
      <c r="AH820">
        <f t="shared" si="1963"/>
        <v>78</v>
      </c>
      <c r="AI820">
        <f t="shared" si="1963"/>
        <v>1</v>
      </c>
      <c r="AJ820">
        <f t="shared" si="1963"/>
        <v>2</v>
      </c>
      <c r="AK820">
        <f t="shared" si="1963"/>
        <v>1</v>
      </c>
      <c r="AL820">
        <f t="shared" si="1963"/>
        <v>76</v>
      </c>
    </row>
    <row r="821" spans="1:38" x14ac:dyDescent="0.4">
      <c r="B821" t="str">
        <f t="shared" si="1964"/>
        <v>Portland</v>
      </c>
      <c r="C821" s="66" t="s">
        <v>558</v>
      </c>
      <c r="D821" t="str" cm="1">
        <f t="array" ref="D821">INDEX(FX_Calcs,$AA821,$AF821)</f>
        <v>Partially Insulated</v>
      </c>
      <c r="E821" t="str" cm="1">
        <f t="array" ref="E821">INDEX(FX_Calcs,$AA821,$AF821)</f>
        <v>Partially Insulated</v>
      </c>
      <c r="F821" t="str" cm="1">
        <f t="array" ref="F821">INDEX(FX_Calcs,$AA821,$AF821)</f>
        <v>Partially Insulated</v>
      </c>
      <c r="G821" t="str" cm="1">
        <f t="array" ref="G821">INDEX(FX_Calcs,$AA821,$AF821)</f>
        <v>Partially Insulated</v>
      </c>
      <c r="H821" t="str" cm="1">
        <f t="array" ref="H821">INDEX(FX_Calcs,$AA821,$AF821)</f>
        <v>Partially Insulated</v>
      </c>
      <c r="I821" t="str" cm="1">
        <f t="array" ref="I821">INDEX(FX_Calcs,$AA821,$AF821)</f>
        <v>Partially Insulated</v>
      </c>
      <c r="J821" t="str" cm="1">
        <f t="array" ref="J821">INDEX(FX_Calcs,$AA821,$AF821)</f>
        <v>Partially Insulated</v>
      </c>
      <c r="K821" t="str" cm="1">
        <f t="array" ref="K821">INDEX(FX_Calcs,$AA821,$AF821)</f>
        <v>Partially Insulated</v>
      </c>
      <c r="L821" t="str" cm="1">
        <f t="array" ref="L821">INDEX(FX_Calcs,$AA821,$AF821)</f>
        <v>Partially Insulated</v>
      </c>
      <c r="M821" t="str" cm="1">
        <f t="array" ref="M821">INDEX(FX_Calcs,$AA821,$AF821)</f>
        <v>Partially Insulated</v>
      </c>
      <c r="N821" t="str" cm="1">
        <f t="array" ref="N821">INDEX(FX_Calcs,$AA821,$AF821)</f>
        <v>Partially Insulated</v>
      </c>
      <c r="O821" t="str" cm="1">
        <f t="array" ref="O821">INDEX(FX_Calcs,$AA821,$AF821)</f>
        <v>Partially Insulated</v>
      </c>
      <c r="P821" t="str" cm="1">
        <f t="array" ref="P821">INDEX(FX_Calcs,$AA821,$AF821)</f>
        <v>Partially Insulated</v>
      </c>
      <c r="AA821">
        <f>AA820</f>
        <v>59</v>
      </c>
      <c r="AB821">
        <f t="shared" si="1963"/>
        <v>6</v>
      </c>
      <c r="AC821">
        <f t="shared" si="1963"/>
        <v>3</v>
      </c>
      <c r="AD821">
        <f t="shared" si="1963"/>
        <v>13</v>
      </c>
      <c r="AE821">
        <f t="shared" si="1963"/>
        <v>12</v>
      </c>
      <c r="AF821">
        <f t="shared" si="1963"/>
        <v>14</v>
      </c>
      <c r="AG821">
        <f t="shared" si="1963"/>
        <v>77</v>
      </c>
      <c r="AH821">
        <f t="shared" si="1963"/>
        <v>78</v>
      </c>
      <c r="AI821">
        <f t="shared" si="1963"/>
        <v>1</v>
      </c>
      <c r="AJ821">
        <f t="shared" si="1963"/>
        <v>2</v>
      </c>
      <c r="AK821">
        <f t="shared" si="1963"/>
        <v>1</v>
      </c>
      <c r="AL821">
        <f t="shared" si="1963"/>
        <v>76</v>
      </c>
    </row>
    <row r="822" spans="1:38" ht="17.149999999999999" x14ac:dyDescent="0.55000000000000004">
      <c r="B822" t="str">
        <f>B818</f>
        <v>Portland</v>
      </c>
      <c r="C822" t="s">
        <v>512</v>
      </c>
      <c r="D822">
        <f t="shared" ref="D822:P822" si="1965">D818-D817</f>
        <v>10.400000000000034</v>
      </c>
      <c r="E822">
        <f t="shared" si="1965"/>
        <v>13.199999999999989</v>
      </c>
      <c r="F822">
        <f t="shared" si="1965"/>
        <v>13.200000000000045</v>
      </c>
      <c r="G822">
        <f t="shared" si="1965"/>
        <v>13.399999999999977</v>
      </c>
      <c r="H822">
        <f t="shared" si="1965"/>
        <v>13.299999999999955</v>
      </c>
      <c r="I822">
        <f t="shared" si="1965"/>
        <v>12.500000000000057</v>
      </c>
      <c r="J822">
        <f t="shared" si="1965"/>
        <v>12.699999999999932</v>
      </c>
      <c r="K822">
        <f t="shared" si="1965"/>
        <v>13.600000000000023</v>
      </c>
      <c r="L822">
        <f t="shared" si="1965"/>
        <v>16.399999999999977</v>
      </c>
      <c r="M822">
        <f t="shared" si="1965"/>
        <v>14.699999999999989</v>
      </c>
      <c r="N822">
        <f t="shared" si="1965"/>
        <v>12.200000000000045</v>
      </c>
      <c r="O822">
        <f t="shared" si="1965"/>
        <v>10</v>
      </c>
      <c r="P822">
        <f t="shared" si="1965"/>
        <v>13</v>
      </c>
    </row>
    <row r="823" spans="1:38" x14ac:dyDescent="0.4">
      <c r="B823" t="str">
        <f t="shared" ref="B823:B830" si="1966">B822</f>
        <v>Portland</v>
      </c>
      <c r="C823" t="s">
        <v>260</v>
      </c>
      <c r="D823">
        <f t="shared" ref="D823:P823" si="1967">VLOOKUP(VLOOKUP($B823,Terminal_X_Ref,2,FALSE)&amp;$C823,Weather_Data,$Y823*D$3+$Z823,FALSE)</f>
        <v>343</v>
      </c>
      <c r="E823">
        <f t="shared" si="1967"/>
        <v>600</v>
      </c>
      <c r="F823">
        <f t="shared" si="1967"/>
        <v>877</v>
      </c>
      <c r="G823">
        <f t="shared" si="1967"/>
        <v>1252</v>
      </c>
      <c r="H823">
        <f t="shared" si="1967"/>
        <v>1537</v>
      </c>
      <c r="I823">
        <f t="shared" si="1967"/>
        <v>1627</v>
      </c>
      <c r="J823">
        <f t="shared" si="1967"/>
        <v>1708</v>
      </c>
      <c r="K823">
        <f t="shared" si="1967"/>
        <v>1492</v>
      </c>
      <c r="L823">
        <f t="shared" si="1967"/>
        <v>1196</v>
      </c>
      <c r="M823">
        <f t="shared" si="1967"/>
        <v>728</v>
      </c>
      <c r="N823">
        <f t="shared" si="1967"/>
        <v>391</v>
      </c>
      <c r="O823">
        <f t="shared" si="1967"/>
        <v>302</v>
      </c>
      <c r="P823">
        <f t="shared" si="1967"/>
        <v>1005</v>
      </c>
      <c r="U823">
        <f>U818</f>
        <v>2</v>
      </c>
      <c r="V823">
        <f t="shared" ref="V823:Z823" si="1968">V818</f>
        <v>3</v>
      </c>
      <c r="W823">
        <f t="shared" si="1968"/>
        <v>1</v>
      </c>
      <c r="X823">
        <f t="shared" si="1968"/>
        <v>2</v>
      </c>
      <c r="Y823">
        <f t="shared" si="1968"/>
        <v>1</v>
      </c>
      <c r="Z823">
        <f t="shared" si="1968"/>
        <v>1</v>
      </c>
    </row>
    <row r="824" spans="1:38" ht="17.149999999999999" x14ac:dyDescent="0.55000000000000004">
      <c r="B824" t="str">
        <f t="shared" si="1966"/>
        <v>Portland</v>
      </c>
      <c r="C824" t="s">
        <v>523</v>
      </c>
      <c r="D824">
        <f>IF(ISNUMBER(D821),0.7*D822+0.02*D821*D823,IF(D821="Partially Insulated",0.6*D822+0.02*D820*D823,0))</f>
        <v>7.9550000000000205</v>
      </c>
      <c r="E824">
        <f t="shared" ref="E824:P824" si="1969">IF(ISNUMBER(E821),0.7*E822+0.02*E821*E823,IF(E821="Partially Insulated",0.6*E822+0.02*E820*E823,0))</f>
        <v>10.919999999999993</v>
      </c>
      <c r="F824">
        <f t="shared" si="1969"/>
        <v>12.305000000000026</v>
      </c>
      <c r="G824">
        <f t="shared" si="1969"/>
        <v>14.299999999999986</v>
      </c>
      <c r="H824">
        <f t="shared" si="1969"/>
        <v>15.664999999999973</v>
      </c>
      <c r="I824">
        <f t="shared" si="1969"/>
        <v>15.635000000000034</v>
      </c>
      <c r="J824">
        <f t="shared" si="1969"/>
        <v>16.159999999999961</v>
      </c>
      <c r="K824">
        <f t="shared" si="1969"/>
        <v>15.620000000000012</v>
      </c>
      <c r="L824">
        <f t="shared" si="1969"/>
        <v>15.819999999999986</v>
      </c>
      <c r="M824">
        <f t="shared" si="1969"/>
        <v>12.459999999999994</v>
      </c>
      <c r="N824">
        <f t="shared" si="1969"/>
        <v>9.275000000000027</v>
      </c>
      <c r="O824">
        <f t="shared" si="1969"/>
        <v>7.51</v>
      </c>
      <c r="P824">
        <f t="shared" si="1969"/>
        <v>12.824999999999999</v>
      </c>
    </row>
    <row r="825" spans="1:38" ht="17.149999999999999" x14ac:dyDescent="0.55000000000000004">
      <c r="B825" t="str">
        <f t="shared" si="1966"/>
        <v>Portland</v>
      </c>
      <c r="C825" t="s">
        <v>524</v>
      </c>
      <c r="D825">
        <f t="shared" ref="D825:F825" si="1970">AVERAGE(D817:D818)</f>
        <v>503.5</v>
      </c>
      <c r="E825">
        <f t="shared" si="1970"/>
        <v>504.30000000000007</v>
      </c>
      <c r="F825">
        <f t="shared" si="1970"/>
        <v>505.70000000000005</v>
      </c>
      <c r="G825">
        <f>AVERAGE(G817:G818)</f>
        <v>508.2</v>
      </c>
      <c r="H825">
        <f t="shared" ref="H825:P825" si="1971">AVERAGE(H817:H818)</f>
        <v>512.75</v>
      </c>
      <c r="I825">
        <f t="shared" si="1971"/>
        <v>516.55000000000007</v>
      </c>
      <c r="J825">
        <f t="shared" si="1971"/>
        <v>520.04999999999995</v>
      </c>
      <c r="K825">
        <f t="shared" si="1971"/>
        <v>520.5</v>
      </c>
      <c r="L825">
        <f t="shared" si="1971"/>
        <v>518.20000000000005</v>
      </c>
      <c r="M825">
        <f t="shared" si="1971"/>
        <v>512.25</v>
      </c>
      <c r="N825">
        <f t="shared" si="1971"/>
        <v>506.70000000000005</v>
      </c>
      <c r="O825">
        <f t="shared" si="1971"/>
        <v>503.20000000000005</v>
      </c>
      <c r="P825">
        <f t="shared" si="1971"/>
        <v>51.4</v>
      </c>
    </row>
    <row r="826" spans="1:38" ht="17.149999999999999" x14ac:dyDescent="0.55000000000000004">
      <c r="B826" t="str">
        <f t="shared" si="1966"/>
        <v>Portland</v>
      </c>
      <c r="C826" t="s">
        <v>525</v>
      </c>
      <c r="D826" cm="1">
        <f t="array" ref="D826">IFERROR(IF(ISBLANK(INDEX(FX_Input,$R817,D$3*$AK817+$AL817)),D825+0.003*D819*D823,INDEX(FX_Input,$R817,D$3*$AK817+$AL817)+459.6),D825)</f>
        <v>503.5</v>
      </c>
      <c r="E826" cm="1">
        <f t="array" ref="E826">IFERROR(IF(ISBLANK(INDEX(FX_Input,$R817,E$3*$AK817+$AL817)),E825+0.003*E819*E823,INDEX(FX_Input,$R817,E$3*$AK817+$AL817)+459.6),E825)</f>
        <v>504.30000000000007</v>
      </c>
      <c r="F826" cm="1">
        <f t="array" ref="F826">IFERROR(IF(ISBLANK(INDEX(FX_Input,$R817,F$3*$AK817+$AL817)),F825+0.003*F819*F823,INDEX(FX_Input,$R817,F$3*$AK817+$AL817)+459.6),F825)</f>
        <v>505.70000000000005</v>
      </c>
      <c r="G826" cm="1">
        <f t="array" ref="G826">IFERROR(IF(ISBLANK(INDEX(FX_Input,$R817,G$3*$AK817+$AL817)),G825+0.003*G819*G823,INDEX(FX_Input,$R817,G$3*$AK817+$AL817)+459.6),G825)</f>
        <v>508.2</v>
      </c>
      <c r="H826" cm="1">
        <f t="array" ref="H826">IFERROR(IF(ISBLANK(INDEX(FX_Input,$R817,H$3*$AK817+$AL817)),H825+0.003*H819*H823,INDEX(FX_Input,$R817,H$3*$AK817+$AL817)+459.6),H825)</f>
        <v>512.75</v>
      </c>
      <c r="I826" cm="1">
        <f t="array" ref="I826">IFERROR(IF(ISBLANK(INDEX(FX_Input,$R817,I$3*$AK817+$AL817)),I825+0.003*I819*I823,INDEX(FX_Input,$R817,I$3*$AK817+$AL817)+459.6),I825)</f>
        <v>516.55000000000007</v>
      </c>
      <c r="J826" cm="1">
        <f t="array" ref="J826">IFERROR(IF(ISBLANK(INDEX(FX_Input,$R817,J$3*$AK817+$AL817)),J825+0.003*J819*J823,INDEX(FX_Input,$R817,J$3*$AK817+$AL817)+459.6),J825)</f>
        <v>520.04999999999995</v>
      </c>
      <c r="K826" cm="1">
        <f t="array" ref="K826">IFERROR(IF(ISBLANK(INDEX(FX_Input,$R817,K$3*$AK817+$AL817)),K825+0.003*K819*K823,INDEX(FX_Input,$R817,K$3*$AK817+$AL817)+459.6),K825)</f>
        <v>520.5</v>
      </c>
      <c r="L826" cm="1">
        <f t="array" ref="L826">IFERROR(IF(ISBLANK(INDEX(FX_Input,$R817,L$3*$AK817+$AL817)),L825+0.003*L819*L823,INDEX(FX_Input,$R817,L$3*$AK817+$AL817)+459.6),L825)</f>
        <v>518.20000000000005</v>
      </c>
      <c r="M826" cm="1">
        <f t="array" ref="M826">IFERROR(IF(ISBLANK(INDEX(FX_Input,$R817,M$3*$AK817+$AL817)),M825+0.003*M819*M823,INDEX(FX_Input,$R817,M$3*$AK817+$AL817)+459.6),M825)</f>
        <v>512.25</v>
      </c>
      <c r="N826" cm="1">
        <f t="array" ref="N826">IFERROR(IF(ISBLANK(INDEX(FX_Input,$R817,N$3*$AK817+$AL817)),N825+0.003*N819*N823,INDEX(FX_Input,$R817,N$3*$AK817+$AL817)+459.6),N825)</f>
        <v>506.70000000000005</v>
      </c>
      <c r="O826" cm="1">
        <f t="array" ref="O826">IFERROR(IF(ISBLANK(INDEX(FX_Input,$R817,O$3*$AK817+$AL817)),O825+0.003*O819*O823,INDEX(FX_Input,$R817,O$3*$AK817+$AL817)+459.6),O825)</f>
        <v>503.20000000000005</v>
      </c>
      <c r="P826" cm="1">
        <f t="array" ref="P826">IFERROR(IF(ISBLANK(INDEX(FX_Input,$R817,P$3*$AK817+$AL817)),P825+0.003*P819*P823,INDEX(FX_Input,$R817,P$3*$AK817+$AL817)+459.6),P825)</f>
        <v>942.6</v>
      </c>
    </row>
    <row r="827" spans="1:38" ht="17.149999999999999" x14ac:dyDescent="0.55000000000000004">
      <c r="B827" t="str">
        <f t="shared" si="1966"/>
        <v>Portland</v>
      </c>
      <c r="C827" t="s">
        <v>526</v>
      </c>
      <c r="D827">
        <f>IF(ISNUMBER(D821),0.4*D817+0.6*D826+0.005*D821*D823,IF(D821="Partially Insulated",0.3*D825+0.7*D826+0.005*D820*D823,D826))-459.6</f>
        <v>44.328749999999957</v>
      </c>
      <c r="E827">
        <f t="shared" ref="E827:O827" si="1972">IF(ISNUMBER(E821),0.4*E817+0.6*E826+0.005*E821*E823,IF(E821="Partially Insulated",0.3*E825+0.7*E826+0.005*E820*E823,E826))-459.6</f>
        <v>45.450000000000045</v>
      </c>
      <c r="F827">
        <f t="shared" si="1972"/>
        <v>47.19625000000002</v>
      </c>
      <c r="G827">
        <f t="shared" si="1972"/>
        <v>50.164999999999907</v>
      </c>
      <c r="H827">
        <f t="shared" si="1972"/>
        <v>55.071249999999964</v>
      </c>
      <c r="I827">
        <f t="shared" si="1972"/>
        <v>58.9837500000001</v>
      </c>
      <c r="J827">
        <f t="shared" si="1972"/>
        <v>62.584999999999923</v>
      </c>
      <c r="K827">
        <f t="shared" si="1972"/>
        <v>62.764999999999986</v>
      </c>
      <c r="L827">
        <f t="shared" si="1972"/>
        <v>60.095000000000027</v>
      </c>
      <c r="M827">
        <f t="shared" si="1972"/>
        <v>53.559999999999945</v>
      </c>
      <c r="N827">
        <f t="shared" si="1972"/>
        <v>47.588750000000005</v>
      </c>
      <c r="O827">
        <f t="shared" si="1972"/>
        <v>43.97750000000002</v>
      </c>
      <c r="P827">
        <f>AVERAGE(D827:O827)</f>
        <v>52.647187499999994</v>
      </c>
    </row>
    <row r="828" spans="1:38" ht="17.149999999999999" x14ac:dyDescent="0.55000000000000004">
      <c r="B828" t="str">
        <f t="shared" si="1966"/>
        <v>Portland</v>
      </c>
      <c r="C828" t="s">
        <v>527</v>
      </c>
      <c r="D828">
        <f>IF(ISNUMBER(D821),0.4*D818+0.6*D826+0.005*D821*D823,IF(D821="Partially Insulated",0.3*D825+0.7*D826+0.005*D820*D823,D826))-459.6</f>
        <v>44.328749999999957</v>
      </c>
      <c r="E828">
        <f t="shared" ref="E828:O828" si="1973">IF(ISNUMBER(E821),0.4*E818+0.6*E826+0.005*E821*E823,IF(E821="Partially Insulated",0.3*E825+0.7*E826+0.005*E820*E823,E826))-459.6</f>
        <v>45.450000000000045</v>
      </c>
      <c r="F828">
        <f t="shared" si="1973"/>
        <v>47.19625000000002</v>
      </c>
      <c r="G828">
        <f t="shared" si="1973"/>
        <v>50.164999999999907</v>
      </c>
      <c r="H828">
        <f t="shared" si="1973"/>
        <v>55.071249999999964</v>
      </c>
      <c r="I828">
        <f t="shared" si="1973"/>
        <v>58.9837500000001</v>
      </c>
      <c r="J828">
        <f t="shared" si="1973"/>
        <v>62.584999999999923</v>
      </c>
      <c r="K828">
        <f t="shared" si="1973"/>
        <v>62.764999999999986</v>
      </c>
      <c r="L828">
        <f t="shared" si="1973"/>
        <v>60.095000000000027</v>
      </c>
      <c r="M828">
        <f t="shared" si="1973"/>
        <v>53.559999999999945</v>
      </c>
      <c r="N828">
        <f t="shared" si="1973"/>
        <v>47.588750000000005</v>
      </c>
      <c r="O828">
        <f t="shared" si="1973"/>
        <v>43.97750000000002</v>
      </c>
      <c r="P828">
        <f>AVERAGE(D828:O828)</f>
        <v>52.647187499999994</v>
      </c>
    </row>
    <row r="829" spans="1:38" ht="17.149999999999999" x14ac:dyDescent="0.55000000000000004">
      <c r="B829" t="str">
        <f t="shared" si="1966"/>
        <v>Portland</v>
      </c>
      <c r="C829" t="s">
        <v>552</v>
      </c>
      <c r="D829">
        <f>IF(ISNUMBER(D821),0.4*D825+0.6*D826+0.005*D821*D823,IF(D821="Partially Insulated",0.3*D825+0.7*D826+0.005*D820*D823,D826))-459.6</f>
        <v>44.328749999999957</v>
      </c>
      <c r="E829">
        <f t="shared" ref="E829:O829" si="1974">IF(ISNUMBER(E821),0.4*E825+0.6*E826+0.005*E821*E823,IF(E821="Partially Insulated",0.3*E825+0.7*E826+0.005*E820*E823,E826))-459.6</f>
        <v>45.450000000000045</v>
      </c>
      <c r="F829">
        <f t="shared" si="1974"/>
        <v>47.19625000000002</v>
      </c>
      <c r="G829">
        <f t="shared" si="1974"/>
        <v>50.164999999999907</v>
      </c>
      <c r="H829">
        <f t="shared" si="1974"/>
        <v>55.071249999999964</v>
      </c>
      <c r="I829">
        <f t="shared" si="1974"/>
        <v>58.9837500000001</v>
      </c>
      <c r="J829">
        <f t="shared" si="1974"/>
        <v>62.584999999999923</v>
      </c>
      <c r="K829">
        <f t="shared" si="1974"/>
        <v>62.764999999999986</v>
      </c>
      <c r="L829">
        <f t="shared" si="1974"/>
        <v>60.095000000000027</v>
      </c>
      <c r="M829">
        <f t="shared" si="1974"/>
        <v>53.559999999999945</v>
      </c>
      <c r="N829">
        <f t="shared" si="1974"/>
        <v>47.588750000000005</v>
      </c>
      <c r="O829">
        <f t="shared" si="1974"/>
        <v>43.97750000000002</v>
      </c>
      <c r="P829">
        <f>AVERAGE(D829:O829)</f>
        <v>52.647187499999994</v>
      </c>
    </row>
    <row r="830" spans="1:38" ht="17.149999999999999" x14ac:dyDescent="0.55000000000000004">
      <c r="A830" s="11"/>
      <c r="B830" s="11" t="str">
        <f t="shared" si="1966"/>
        <v>Portland</v>
      </c>
      <c r="C830" s="11" t="s">
        <v>553</v>
      </c>
      <c r="D830" s="11">
        <f>IF(ISNUMBER(D821),0.7*D825+0.3*D826+0.009*D821*D823,IF(D821="Partially Insulated",0.6*D825+0.4*D826+0.01*D820*D823,D826))-459.6</f>
        <v>44.757499999999993</v>
      </c>
      <c r="E830" s="11">
        <f t="shared" ref="E830:O830" si="1975">IF(ISNUMBER(E821),0.7*E825+0.3*E826+0.009*E821*E823,IF(E821="Partially Insulated",0.6*E825+0.4*E826+0.01*E820*E823,E826))-459.6</f>
        <v>46.200000000000045</v>
      </c>
      <c r="F830" s="11">
        <f t="shared" si="1975"/>
        <v>48.292500000000018</v>
      </c>
      <c r="G830" s="11">
        <f t="shared" si="1975"/>
        <v>51.729999999999905</v>
      </c>
      <c r="H830" s="11">
        <f t="shared" si="1975"/>
        <v>56.99249999999995</v>
      </c>
      <c r="I830" s="11">
        <f t="shared" si="1975"/>
        <v>61.017500000000041</v>
      </c>
      <c r="J830" s="11">
        <f t="shared" si="1975"/>
        <v>64.719999999999914</v>
      </c>
      <c r="K830" s="11">
        <f t="shared" si="1975"/>
        <v>64.63</v>
      </c>
      <c r="L830" s="11">
        <f t="shared" si="1975"/>
        <v>61.590000000000032</v>
      </c>
      <c r="M830" s="11">
        <f t="shared" si="1975"/>
        <v>54.470000000000027</v>
      </c>
      <c r="N830" s="11">
        <f t="shared" si="1975"/>
        <v>48.077500000000043</v>
      </c>
      <c r="O830" s="11">
        <f t="shared" si="1975"/>
        <v>44.355000000000018</v>
      </c>
      <c r="P830" s="11">
        <f>AVERAGE(D830:O830)</f>
        <v>53.902708333333329</v>
      </c>
      <c r="Q830" s="11"/>
      <c r="R830" s="11"/>
      <c r="S830" s="11"/>
      <c r="T830" s="11"/>
      <c r="U830" s="11"/>
      <c r="V830" s="11"/>
      <c r="W830" s="11"/>
      <c r="X830" s="11"/>
      <c r="Y830" s="11"/>
      <c r="Z830" s="11"/>
      <c r="AA830" s="11"/>
      <c r="AB830" s="11"/>
      <c r="AC830" s="11"/>
      <c r="AD830" s="11"/>
      <c r="AE830" s="11"/>
      <c r="AF830" s="11"/>
      <c r="AG830" s="11"/>
      <c r="AH830" s="11"/>
      <c r="AI830" s="11"/>
      <c r="AJ830" s="11"/>
      <c r="AK830" s="11"/>
      <c r="AL830" s="11"/>
    </row>
    <row r="831" spans="1:38" ht="17.149999999999999" x14ac:dyDescent="0.55000000000000004">
      <c r="A831" t="str" cm="1">
        <f t="array" ref="A831">INDEX(FX_Input,$R831,S$5)</f>
        <v>FX - 60</v>
      </c>
      <c r="B831" t="str" cm="1">
        <f t="array" ref="B831">INDEX(FX_Input,R831,T831)</f>
        <v>Portland</v>
      </c>
      <c r="C831" t="s">
        <v>510</v>
      </c>
      <c r="D831">
        <f t="shared" ref="D831:O832" si="1976">VLOOKUP(VLOOKUP($B831,Terminal_X_Ref,2,FALSE)&amp;$C831,Weather_Data,$Y831*D$3+$Z831,FALSE)+459.6</f>
        <v>498.3</v>
      </c>
      <c r="E831">
        <f t="shared" si="1976"/>
        <v>497.70000000000005</v>
      </c>
      <c r="F831">
        <f t="shared" si="1976"/>
        <v>499.1</v>
      </c>
      <c r="G831">
        <f t="shared" si="1976"/>
        <v>501.5</v>
      </c>
      <c r="H831">
        <f t="shared" si="1976"/>
        <v>506.1</v>
      </c>
      <c r="I831">
        <f t="shared" si="1976"/>
        <v>510.3</v>
      </c>
      <c r="J831">
        <f t="shared" si="1976"/>
        <v>513.70000000000005</v>
      </c>
      <c r="K831">
        <f t="shared" si="1976"/>
        <v>513.70000000000005</v>
      </c>
      <c r="L831">
        <f t="shared" si="1976"/>
        <v>510</v>
      </c>
      <c r="M831">
        <f t="shared" si="1976"/>
        <v>504.90000000000003</v>
      </c>
      <c r="N831">
        <f t="shared" si="1976"/>
        <v>500.6</v>
      </c>
      <c r="O831">
        <f t="shared" si="1976"/>
        <v>498.20000000000005</v>
      </c>
      <c r="P831">
        <f t="shared" ref="P831:P832" si="1977">VLOOKUP(VLOOKUP($B831,Terminal_X_Ref,2,FALSE)&amp;$C831,Weather_Data,$Y831*P$3+$Z831,FALSE)</f>
        <v>44.9</v>
      </c>
      <c r="R831">
        <f>R817+2</f>
        <v>119</v>
      </c>
      <c r="S831">
        <f>S817+1</f>
        <v>60</v>
      </c>
      <c r="T831">
        <v>3</v>
      </c>
      <c r="U831">
        <v>2</v>
      </c>
      <c r="V831">
        <v>3</v>
      </c>
      <c r="W831">
        <v>1</v>
      </c>
      <c r="X831">
        <v>2</v>
      </c>
      <c r="Y831">
        <f>(V831-U831)/(X831-W831)</f>
        <v>1</v>
      </c>
      <c r="Z831">
        <f>U831-Y831*W831</f>
        <v>1</v>
      </c>
      <c r="AA831">
        <f>AA817+1</f>
        <v>60</v>
      </c>
      <c r="AB831">
        <v>6</v>
      </c>
      <c r="AC831">
        <v>3</v>
      </c>
      <c r="AD831">
        <v>13</v>
      </c>
      <c r="AE831">
        <v>12</v>
      </c>
      <c r="AF831">
        <v>14</v>
      </c>
      <c r="AG831">
        <v>77</v>
      </c>
      <c r="AH831">
        <v>78</v>
      </c>
      <c r="AI831">
        <v>1</v>
      </c>
      <c r="AJ831">
        <v>2</v>
      </c>
      <c r="AK831">
        <f>(AH831-AG831)/(AJ831-AI831)</f>
        <v>1</v>
      </c>
      <c r="AL831">
        <f>AG831-AK831*AI831</f>
        <v>76</v>
      </c>
    </row>
    <row r="832" spans="1:38" ht="17.149999999999999" x14ac:dyDescent="0.55000000000000004">
      <c r="B832" t="str">
        <f t="shared" ref="B832" si="1978">B831</f>
        <v>Portland</v>
      </c>
      <c r="C832" t="s">
        <v>511</v>
      </c>
      <c r="D832">
        <f t="shared" si="1976"/>
        <v>508.70000000000005</v>
      </c>
      <c r="E832">
        <f t="shared" si="1976"/>
        <v>510.90000000000003</v>
      </c>
      <c r="F832">
        <f t="shared" si="1976"/>
        <v>512.30000000000007</v>
      </c>
      <c r="G832">
        <f t="shared" si="1976"/>
        <v>514.9</v>
      </c>
      <c r="H832">
        <f t="shared" si="1976"/>
        <v>519.4</v>
      </c>
      <c r="I832">
        <f t="shared" si="1976"/>
        <v>522.80000000000007</v>
      </c>
      <c r="J832">
        <f t="shared" si="1976"/>
        <v>526.4</v>
      </c>
      <c r="K832">
        <f t="shared" si="1976"/>
        <v>527.30000000000007</v>
      </c>
      <c r="L832">
        <f t="shared" si="1976"/>
        <v>526.4</v>
      </c>
      <c r="M832">
        <f t="shared" si="1976"/>
        <v>519.6</v>
      </c>
      <c r="N832">
        <f t="shared" si="1976"/>
        <v>512.80000000000007</v>
      </c>
      <c r="O832">
        <f t="shared" si="1976"/>
        <v>508.20000000000005</v>
      </c>
      <c r="P832">
        <f t="shared" si="1977"/>
        <v>57.9</v>
      </c>
      <c r="U832">
        <f>U831</f>
        <v>2</v>
      </c>
      <c r="V832">
        <f t="shared" ref="V832:Z832" si="1979">V831</f>
        <v>3</v>
      </c>
      <c r="W832">
        <f t="shared" si="1979"/>
        <v>1</v>
      </c>
      <c r="X832">
        <f t="shared" si="1979"/>
        <v>2</v>
      </c>
      <c r="Y832">
        <f t="shared" si="1979"/>
        <v>1</v>
      </c>
      <c r="Z832">
        <f t="shared" si="1979"/>
        <v>1</v>
      </c>
      <c r="AA832">
        <f>AA831</f>
        <v>60</v>
      </c>
      <c r="AB832">
        <f t="shared" ref="AB832:AL835" si="1980">AB831</f>
        <v>6</v>
      </c>
      <c r="AC832">
        <f t="shared" si="1980"/>
        <v>3</v>
      </c>
      <c r="AD832">
        <f t="shared" si="1980"/>
        <v>13</v>
      </c>
      <c r="AE832">
        <f t="shared" si="1980"/>
        <v>12</v>
      </c>
      <c r="AF832">
        <f t="shared" si="1980"/>
        <v>14</v>
      </c>
      <c r="AG832">
        <f t="shared" si="1980"/>
        <v>77</v>
      </c>
      <c r="AH832">
        <f t="shared" si="1980"/>
        <v>78</v>
      </c>
      <c r="AI832">
        <f t="shared" si="1980"/>
        <v>1</v>
      </c>
      <c r="AJ832">
        <f t="shared" si="1980"/>
        <v>2</v>
      </c>
      <c r="AK832">
        <f t="shared" si="1980"/>
        <v>1</v>
      </c>
      <c r="AL832">
        <f t="shared" si="1980"/>
        <v>76</v>
      </c>
    </row>
    <row r="833" spans="1:38" ht="17.149999999999999" x14ac:dyDescent="0.4">
      <c r="B833" t="str">
        <f>B832</f>
        <v>Portland</v>
      </c>
      <c r="C833" s="66" t="s">
        <v>514</v>
      </c>
      <c r="D833" t="str" cm="1">
        <f t="array" ref="D833">INDEX(FX_Calcs,$AA833,$AE833)</f>
        <v>N/A</v>
      </c>
      <c r="E833" t="str" cm="1">
        <f t="array" ref="E833">INDEX(FX_Calcs,$AA833,$AE833)</f>
        <v>N/A</v>
      </c>
      <c r="F833" t="str" cm="1">
        <f t="array" ref="F833">INDEX(FX_Calcs,$AA833,$AE833)</f>
        <v>N/A</v>
      </c>
      <c r="G833" t="str" cm="1">
        <f t="array" ref="G833">INDEX(FX_Calcs,$AA833,$AE833)</f>
        <v>N/A</v>
      </c>
      <c r="H833" t="str" cm="1">
        <f t="array" ref="H833">INDEX(FX_Calcs,$AA833,$AE833)</f>
        <v>N/A</v>
      </c>
      <c r="I833" t="str" cm="1">
        <f t="array" ref="I833">INDEX(FX_Calcs,$AA833,$AE833)</f>
        <v>N/A</v>
      </c>
      <c r="J833" t="str" cm="1">
        <f t="array" ref="J833">INDEX(FX_Calcs,$AA833,$AE833)</f>
        <v>N/A</v>
      </c>
      <c r="K833" t="str" cm="1">
        <f t="array" ref="K833">INDEX(FX_Calcs,$AA833,$AE833)</f>
        <v>N/A</v>
      </c>
      <c r="L833" t="str" cm="1">
        <f t="array" ref="L833">INDEX(FX_Calcs,$AA833,$AE833)</f>
        <v>N/A</v>
      </c>
      <c r="M833" t="str" cm="1">
        <f t="array" ref="M833">INDEX(FX_Calcs,$AA833,$AE833)</f>
        <v>N/A</v>
      </c>
      <c r="N833" t="str" cm="1">
        <f t="array" ref="N833">INDEX(FX_Calcs,$AA833,$AE833)</f>
        <v>N/A</v>
      </c>
      <c r="O833" t="str" cm="1">
        <f t="array" ref="O833">INDEX(FX_Calcs,$AA833,$AE833)</f>
        <v>N/A</v>
      </c>
      <c r="P833" t="str" cm="1">
        <f t="array" ref="P833">INDEX(FX_Calcs,$AA833,$AE833)</f>
        <v>N/A</v>
      </c>
      <c r="AA833">
        <f>AA832</f>
        <v>60</v>
      </c>
      <c r="AB833">
        <f t="shared" si="1980"/>
        <v>6</v>
      </c>
      <c r="AC833">
        <f t="shared" si="1980"/>
        <v>3</v>
      </c>
      <c r="AD833">
        <f t="shared" si="1980"/>
        <v>13</v>
      </c>
      <c r="AE833">
        <f t="shared" si="1980"/>
        <v>12</v>
      </c>
      <c r="AF833">
        <f t="shared" si="1980"/>
        <v>14</v>
      </c>
      <c r="AG833">
        <f t="shared" si="1980"/>
        <v>77</v>
      </c>
      <c r="AH833">
        <f t="shared" si="1980"/>
        <v>78</v>
      </c>
      <c r="AI833">
        <f t="shared" si="1980"/>
        <v>1</v>
      </c>
      <c r="AJ833">
        <f t="shared" si="1980"/>
        <v>2</v>
      </c>
      <c r="AK833">
        <f t="shared" si="1980"/>
        <v>1</v>
      </c>
      <c r="AL833">
        <f t="shared" si="1980"/>
        <v>76</v>
      </c>
    </row>
    <row r="834" spans="1:38" ht="17.149999999999999" x14ac:dyDescent="0.4">
      <c r="B834" t="str">
        <f t="shared" ref="B834:B835" si="1981">B833</f>
        <v>Portland</v>
      </c>
      <c r="C834" s="66" t="s">
        <v>513</v>
      </c>
      <c r="D834" cm="1">
        <f t="array" ref="D834">INDEX(FX_Calcs,$AA834,$AD834)</f>
        <v>0.25</v>
      </c>
      <c r="E834" cm="1">
        <f t="array" ref="E834">INDEX(FX_Calcs,$AA834,$AD834)</f>
        <v>0.25</v>
      </c>
      <c r="F834" cm="1">
        <f t="array" ref="F834">INDEX(FX_Calcs,$AA834,$AD834)</f>
        <v>0.25</v>
      </c>
      <c r="G834" cm="1">
        <f t="array" ref="G834">INDEX(FX_Calcs,$AA834,$AD834)</f>
        <v>0.25</v>
      </c>
      <c r="H834" cm="1">
        <f t="array" ref="H834">INDEX(FX_Calcs,$AA834,$AD834)</f>
        <v>0.25</v>
      </c>
      <c r="I834" cm="1">
        <f t="array" ref="I834">INDEX(FX_Calcs,$AA834,$AD834)</f>
        <v>0.25</v>
      </c>
      <c r="J834" cm="1">
        <f t="array" ref="J834">INDEX(FX_Calcs,$AA834,$AD834)</f>
        <v>0.25</v>
      </c>
      <c r="K834" cm="1">
        <f t="array" ref="K834">INDEX(FX_Calcs,$AA834,$AD834)</f>
        <v>0.25</v>
      </c>
      <c r="L834" cm="1">
        <f t="array" ref="L834">INDEX(FX_Calcs,$AA834,$AD834)</f>
        <v>0.25</v>
      </c>
      <c r="M834" cm="1">
        <f t="array" ref="M834">INDEX(FX_Calcs,$AA834,$AD834)</f>
        <v>0.25</v>
      </c>
      <c r="N834" cm="1">
        <f t="array" ref="N834">INDEX(FX_Calcs,$AA834,$AD834)</f>
        <v>0.25</v>
      </c>
      <c r="O834" cm="1">
        <f t="array" ref="O834">INDEX(FX_Calcs,$AA834,$AD834)</f>
        <v>0.25</v>
      </c>
      <c r="P834" cm="1">
        <f t="array" ref="P834">INDEX(FX_Calcs,$AA834,$AD834)</f>
        <v>0.25</v>
      </c>
      <c r="AA834">
        <f>AA833</f>
        <v>60</v>
      </c>
      <c r="AB834">
        <f t="shared" si="1980"/>
        <v>6</v>
      </c>
      <c r="AC834">
        <f t="shared" si="1980"/>
        <v>3</v>
      </c>
      <c r="AD834">
        <f t="shared" si="1980"/>
        <v>13</v>
      </c>
      <c r="AE834">
        <f t="shared" si="1980"/>
        <v>12</v>
      </c>
      <c r="AF834">
        <f t="shared" si="1980"/>
        <v>14</v>
      </c>
      <c r="AG834">
        <f t="shared" si="1980"/>
        <v>77</v>
      </c>
      <c r="AH834">
        <f t="shared" si="1980"/>
        <v>78</v>
      </c>
      <c r="AI834">
        <f t="shared" si="1980"/>
        <v>1</v>
      </c>
      <c r="AJ834">
        <f t="shared" si="1980"/>
        <v>2</v>
      </c>
      <c r="AK834">
        <f t="shared" si="1980"/>
        <v>1</v>
      </c>
      <c r="AL834">
        <f t="shared" si="1980"/>
        <v>76</v>
      </c>
    </row>
    <row r="835" spans="1:38" x14ac:dyDescent="0.4">
      <c r="B835" t="str">
        <f t="shared" si="1981"/>
        <v>Portland</v>
      </c>
      <c r="C835" s="66" t="s">
        <v>558</v>
      </c>
      <c r="D835" t="str" cm="1">
        <f t="array" ref="D835">INDEX(FX_Calcs,$AA835,$AF835)</f>
        <v>Partially Insulated</v>
      </c>
      <c r="E835" t="str" cm="1">
        <f t="array" ref="E835">INDEX(FX_Calcs,$AA835,$AF835)</f>
        <v>Partially Insulated</v>
      </c>
      <c r="F835" t="str" cm="1">
        <f t="array" ref="F835">INDEX(FX_Calcs,$AA835,$AF835)</f>
        <v>Partially Insulated</v>
      </c>
      <c r="G835" t="str" cm="1">
        <f t="array" ref="G835">INDEX(FX_Calcs,$AA835,$AF835)</f>
        <v>Partially Insulated</v>
      </c>
      <c r="H835" t="str" cm="1">
        <f t="array" ref="H835">INDEX(FX_Calcs,$AA835,$AF835)</f>
        <v>Partially Insulated</v>
      </c>
      <c r="I835" t="str" cm="1">
        <f t="array" ref="I835">INDEX(FX_Calcs,$AA835,$AF835)</f>
        <v>Partially Insulated</v>
      </c>
      <c r="J835" t="str" cm="1">
        <f t="array" ref="J835">INDEX(FX_Calcs,$AA835,$AF835)</f>
        <v>Partially Insulated</v>
      </c>
      <c r="K835" t="str" cm="1">
        <f t="array" ref="K835">INDEX(FX_Calcs,$AA835,$AF835)</f>
        <v>Partially Insulated</v>
      </c>
      <c r="L835" t="str" cm="1">
        <f t="array" ref="L835">INDEX(FX_Calcs,$AA835,$AF835)</f>
        <v>Partially Insulated</v>
      </c>
      <c r="M835" t="str" cm="1">
        <f t="array" ref="M835">INDEX(FX_Calcs,$AA835,$AF835)</f>
        <v>Partially Insulated</v>
      </c>
      <c r="N835" t="str" cm="1">
        <f t="array" ref="N835">INDEX(FX_Calcs,$AA835,$AF835)</f>
        <v>Partially Insulated</v>
      </c>
      <c r="O835" t="str" cm="1">
        <f t="array" ref="O835">INDEX(FX_Calcs,$AA835,$AF835)</f>
        <v>Partially Insulated</v>
      </c>
      <c r="P835" t="str" cm="1">
        <f t="array" ref="P835">INDEX(FX_Calcs,$AA835,$AF835)</f>
        <v>Partially Insulated</v>
      </c>
      <c r="AA835">
        <f>AA834</f>
        <v>60</v>
      </c>
      <c r="AB835">
        <f t="shared" si="1980"/>
        <v>6</v>
      </c>
      <c r="AC835">
        <f t="shared" si="1980"/>
        <v>3</v>
      </c>
      <c r="AD835">
        <f t="shared" si="1980"/>
        <v>13</v>
      </c>
      <c r="AE835">
        <f t="shared" si="1980"/>
        <v>12</v>
      </c>
      <c r="AF835">
        <f t="shared" si="1980"/>
        <v>14</v>
      </c>
      <c r="AG835">
        <f t="shared" si="1980"/>
        <v>77</v>
      </c>
      <c r="AH835">
        <f t="shared" si="1980"/>
        <v>78</v>
      </c>
      <c r="AI835">
        <f t="shared" si="1980"/>
        <v>1</v>
      </c>
      <c r="AJ835">
        <f t="shared" si="1980"/>
        <v>2</v>
      </c>
      <c r="AK835">
        <f t="shared" si="1980"/>
        <v>1</v>
      </c>
      <c r="AL835">
        <f t="shared" si="1980"/>
        <v>76</v>
      </c>
    </row>
    <row r="836" spans="1:38" ht="17.149999999999999" x14ac:dyDescent="0.55000000000000004">
      <c r="B836" t="str">
        <f>B832</f>
        <v>Portland</v>
      </c>
      <c r="C836" t="s">
        <v>512</v>
      </c>
      <c r="D836">
        <f t="shared" ref="D836:P836" si="1982">D832-D831</f>
        <v>10.400000000000034</v>
      </c>
      <c r="E836">
        <f t="shared" si="1982"/>
        <v>13.199999999999989</v>
      </c>
      <c r="F836">
        <f t="shared" si="1982"/>
        <v>13.200000000000045</v>
      </c>
      <c r="G836">
        <f t="shared" si="1982"/>
        <v>13.399999999999977</v>
      </c>
      <c r="H836">
        <f t="shared" si="1982"/>
        <v>13.299999999999955</v>
      </c>
      <c r="I836">
        <f t="shared" si="1982"/>
        <v>12.500000000000057</v>
      </c>
      <c r="J836">
        <f t="shared" si="1982"/>
        <v>12.699999999999932</v>
      </c>
      <c r="K836">
        <f t="shared" si="1982"/>
        <v>13.600000000000023</v>
      </c>
      <c r="L836">
        <f t="shared" si="1982"/>
        <v>16.399999999999977</v>
      </c>
      <c r="M836">
        <f t="shared" si="1982"/>
        <v>14.699999999999989</v>
      </c>
      <c r="N836">
        <f t="shared" si="1982"/>
        <v>12.200000000000045</v>
      </c>
      <c r="O836">
        <f t="shared" si="1982"/>
        <v>10</v>
      </c>
      <c r="P836">
        <f t="shared" si="1982"/>
        <v>13</v>
      </c>
    </row>
    <row r="837" spans="1:38" x14ac:dyDescent="0.4">
      <c r="B837" t="str">
        <f t="shared" ref="B837:B844" si="1983">B836</f>
        <v>Portland</v>
      </c>
      <c r="C837" t="s">
        <v>260</v>
      </c>
      <c r="D837">
        <f t="shared" ref="D837:P837" si="1984">VLOOKUP(VLOOKUP($B837,Terminal_X_Ref,2,FALSE)&amp;$C837,Weather_Data,$Y837*D$3+$Z837,FALSE)</f>
        <v>343</v>
      </c>
      <c r="E837">
        <f t="shared" si="1984"/>
        <v>600</v>
      </c>
      <c r="F837">
        <f t="shared" si="1984"/>
        <v>877</v>
      </c>
      <c r="G837">
        <f t="shared" si="1984"/>
        <v>1252</v>
      </c>
      <c r="H837">
        <f t="shared" si="1984"/>
        <v>1537</v>
      </c>
      <c r="I837">
        <f t="shared" si="1984"/>
        <v>1627</v>
      </c>
      <c r="J837">
        <f t="shared" si="1984"/>
        <v>1708</v>
      </c>
      <c r="K837">
        <f t="shared" si="1984"/>
        <v>1492</v>
      </c>
      <c r="L837">
        <f t="shared" si="1984"/>
        <v>1196</v>
      </c>
      <c r="M837">
        <f t="shared" si="1984"/>
        <v>728</v>
      </c>
      <c r="N837">
        <f t="shared" si="1984"/>
        <v>391</v>
      </c>
      <c r="O837">
        <f t="shared" si="1984"/>
        <v>302</v>
      </c>
      <c r="P837">
        <f t="shared" si="1984"/>
        <v>1005</v>
      </c>
      <c r="U837">
        <f>U832</f>
        <v>2</v>
      </c>
      <c r="V837">
        <f t="shared" ref="V837:Z837" si="1985">V832</f>
        <v>3</v>
      </c>
      <c r="W837">
        <f t="shared" si="1985"/>
        <v>1</v>
      </c>
      <c r="X837">
        <f t="shared" si="1985"/>
        <v>2</v>
      </c>
      <c r="Y837">
        <f t="shared" si="1985"/>
        <v>1</v>
      </c>
      <c r="Z837">
        <f t="shared" si="1985"/>
        <v>1</v>
      </c>
    </row>
    <row r="838" spans="1:38" ht="17.149999999999999" x14ac:dyDescent="0.55000000000000004">
      <c r="B838" t="str">
        <f t="shared" si="1983"/>
        <v>Portland</v>
      </c>
      <c r="C838" t="s">
        <v>523</v>
      </c>
      <c r="D838">
        <f>IF(ISNUMBER(D835),0.7*D836+0.02*D835*D837,IF(D835="Partially Insulated",0.6*D836+0.02*D834*D837,0))</f>
        <v>7.9550000000000205</v>
      </c>
      <c r="E838">
        <f t="shared" ref="E838:P838" si="1986">IF(ISNUMBER(E835),0.7*E836+0.02*E835*E837,IF(E835="Partially Insulated",0.6*E836+0.02*E834*E837,0))</f>
        <v>10.919999999999993</v>
      </c>
      <c r="F838">
        <f t="shared" si="1986"/>
        <v>12.305000000000026</v>
      </c>
      <c r="G838">
        <f t="shared" si="1986"/>
        <v>14.299999999999986</v>
      </c>
      <c r="H838">
        <f t="shared" si="1986"/>
        <v>15.664999999999973</v>
      </c>
      <c r="I838">
        <f t="shared" si="1986"/>
        <v>15.635000000000034</v>
      </c>
      <c r="J838">
        <f t="shared" si="1986"/>
        <v>16.159999999999961</v>
      </c>
      <c r="K838">
        <f t="shared" si="1986"/>
        <v>15.620000000000012</v>
      </c>
      <c r="L838">
        <f t="shared" si="1986"/>
        <v>15.819999999999986</v>
      </c>
      <c r="M838">
        <f t="shared" si="1986"/>
        <v>12.459999999999994</v>
      </c>
      <c r="N838">
        <f t="shared" si="1986"/>
        <v>9.275000000000027</v>
      </c>
      <c r="O838">
        <f t="shared" si="1986"/>
        <v>7.51</v>
      </c>
      <c r="P838">
        <f t="shared" si="1986"/>
        <v>12.824999999999999</v>
      </c>
    </row>
    <row r="839" spans="1:38" ht="17.149999999999999" x14ac:dyDescent="0.55000000000000004">
      <c r="B839" t="str">
        <f t="shared" si="1983"/>
        <v>Portland</v>
      </c>
      <c r="C839" t="s">
        <v>524</v>
      </c>
      <c r="D839">
        <f t="shared" ref="D839:F839" si="1987">AVERAGE(D831:D832)</f>
        <v>503.5</v>
      </c>
      <c r="E839">
        <f t="shared" si="1987"/>
        <v>504.30000000000007</v>
      </c>
      <c r="F839">
        <f t="shared" si="1987"/>
        <v>505.70000000000005</v>
      </c>
      <c r="G839">
        <f>AVERAGE(G831:G832)</f>
        <v>508.2</v>
      </c>
      <c r="H839">
        <f t="shared" ref="H839:P839" si="1988">AVERAGE(H831:H832)</f>
        <v>512.75</v>
      </c>
      <c r="I839">
        <f t="shared" si="1988"/>
        <v>516.55000000000007</v>
      </c>
      <c r="J839">
        <f t="shared" si="1988"/>
        <v>520.04999999999995</v>
      </c>
      <c r="K839">
        <f t="shared" si="1988"/>
        <v>520.5</v>
      </c>
      <c r="L839">
        <f t="shared" si="1988"/>
        <v>518.20000000000005</v>
      </c>
      <c r="M839">
        <f t="shared" si="1988"/>
        <v>512.25</v>
      </c>
      <c r="N839">
        <f t="shared" si="1988"/>
        <v>506.70000000000005</v>
      </c>
      <c r="O839">
        <f t="shared" si="1988"/>
        <v>503.20000000000005</v>
      </c>
      <c r="P839">
        <f t="shared" si="1988"/>
        <v>51.4</v>
      </c>
    </row>
    <row r="840" spans="1:38" ht="17.149999999999999" x14ac:dyDescent="0.55000000000000004">
      <c r="B840" t="str">
        <f t="shared" si="1983"/>
        <v>Portland</v>
      </c>
      <c r="C840" t="s">
        <v>525</v>
      </c>
      <c r="D840" cm="1">
        <f t="array" ref="D840">IFERROR(IF(ISBLANK(INDEX(FX_Input,$R831,D$3*$AK831+$AL831)),D839+0.003*D833*D837,INDEX(FX_Input,$R831,D$3*$AK831+$AL831)+459.6),D839)</f>
        <v>503.5</v>
      </c>
      <c r="E840" cm="1">
        <f t="array" ref="E840">IFERROR(IF(ISBLANK(INDEX(FX_Input,$R831,E$3*$AK831+$AL831)),E839+0.003*E833*E837,INDEX(FX_Input,$R831,E$3*$AK831+$AL831)+459.6),E839)</f>
        <v>504.30000000000007</v>
      </c>
      <c r="F840" cm="1">
        <f t="array" ref="F840">IFERROR(IF(ISBLANK(INDEX(FX_Input,$R831,F$3*$AK831+$AL831)),F839+0.003*F833*F837,INDEX(FX_Input,$R831,F$3*$AK831+$AL831)+459.6),F839)</f>
        <v>505.70000000000005</v>
      </c>
      <c r="G840" cm="1">
        <f t="array" ref="G840">IFERROR(IF(ISBLANK(INDEX(FX_Input,$R831,G$3*$AK831+$AL831)),G839+0.003*G833*G837,INDEX(FX_Input,$R831,G$3*$AK831+$AL831)+459.6),G839)</f>
        <v>508.2</v>
      </c>
      <c r="H840" cm="1">
        <f t="array" ref="H840">IFERROR(IF(ISBLANK(INDEX(FX_Input,$R831,H$3*$AK831+$AL831)),H839+0.003*H833*H837,INDEX(FX_Input,$R831,H$3*$AK831+$AL831)+459.6),H839)</f>
        <v>512.75</v>
      </c>
      <c r="I840" cm="1">
        <f t="array" ref="I840">IFERROR(IF(ISBLANK(INDEX(FX_Input,$R831,I$3*$AK831+$AL831)),I839+0.003*I833*I837,INDEX(FX_Input,$R831,I$3*$AK831+$AL831)+459.6),I839)</f>
        <v>516.55000000000007</v>
      </c>
      <c r="J840" cm="1">
        <f t="array" ref="J840">IFERROR(IF(ISBLANK(INDEX(FX_Input,$R831,J$3*$AK831+$AL831)),J839+0.003*J833*J837,INDEX(FX_Input,$R831,J$3*$AK831+$AL831)+459.6),J839)</f>
        <v>520.04999999999995</v>
      </c>
      <c r="K840" cm="1">
        <f t="array" ref="K840">IFERROR(IF(ISBLANK(INDEX(FX_Input,$R831,K$3*$AK831+$AL831)),K839+0.003*K833*K837,INDEX(FX_Input,$R831,K$3*$AK831+$AL831)+459.6),K839)</f>
        <v>520.5</v>
      </c>
      <c r="L840" cm="1">
        <f t="array" ref="L840">IFERROR(IF(ISBLANK(INDEX(FX_Input,$R831,L$3*$AK831+$AL831)),L839+0.003*L833*L837,INDEX(FX_Input,$R831,L$3*$AK831+$AL831)+459.6),L839)</f>
        <v>518.20000000000005</v>
      </c>
      <c r="M840" cm="1">
        <f t="array" ref="M840">IFERROR(IF(ISBLANK(INDEX(FX_Input,$R831,M$3*$AK831+$AL831)),M839+0.003*M833*M837,INDEX(FX_Input,$R831,M$3*$AK831+$AL831)+459.6),M839)</f>
        <v>512.25</v>
      </c>
      <c r="N840" cm="1">
        <f t="array" ref="N840">IFERROR(IF(ISBLANK(INDEX(FX_Input,$R831,N$3*$AK831+$AL831)),N839+0.003*N833*N837,INDEX(FX_Input,$R831,N$3*$AK831+$AL831)+459.6),N839)</f>
        <v>506.70000000000005</v>
      </c>
      <c r="O840" cm="1">
        <f t="array" ref="O840">IFERROR(IF(ISBLANK(INDEX(FX_Input,$R831,O$3*$AK831+$AL831)),O839+0.003*O833*O837,INDEX(FX_Input,$R831,O$3*$AK831+$AL831)+459.6),O839)</f>
        <v>503.20000000000005</v>
      </c>
      <c r="P840" cm="1">
        <f t="array" ref="P840">IFERROR(IF(ISBLANK(INDEX(FX_Input,$R831,P$3*$AK831+$AL831)),P839+0.003*P833*P837,INDEX(FX_Input,$R831,P$3*$AK831+$AL831)+459.6),P839)</f>
        <v>739.6</v>
      </c>
    </row>
    <row r="841" spans="1:38" ht="17.149999999999999" x14ac:dyDescent="0.55000000000000004">
      <c r="B841" t="str">
        <f t="shared" si="1983"/>
        <v>Portland</v>
      </c>
      <c r="C841" t="s">
        <v>526</v>
      </c>
      <c r="D841">
        <f>IF(ISNUMBER(D835),0.4*D831+0.6*D840+0.005*D835*D837,IF(D835="Partially Insulated",0.3*D839+0.7*D840+0.005*D834*D837,D840))-459.6</f>
        <v>44.328749999999957</v>
      </c>
      <c r="E841">
        <f t="shared" ref="E841:O841" si="1989">IF(ISNUMBER(E835),0.4*E831+0.6*E840+0.005*E835*E837,IF(E835="Partially Insulated",0.3*E839+0.7*E840+0.005*E834*E837,E840))-459.6</f>
        <v>45.450000000000045</v>
      </c>
      <c r="F841">
        <f t="shared" si="1989"/>
        <v>47.19625000000002</v>
      </c>
      <c r="G841">
        <f t="shared" si="1989"/>
        <v>50.164999999999907</v>
      </c>
      <c r="H841">
        <f t="shared" si="1989"/>
        <v>55.071249999999964</v>
      </c>
      <c r="I841">
        <f t="shared" si="1989"/>
        <v>58.9837500000001</v>
      </c>
      <c r="J841">
        <f t="shared" si="1989"/>
        <v>62.584999999999923</v>
      </c>
      <c r="K841">
        <f t="shared" si="1989"/>
        <v>62.764999999999986</v>
      </c>
      <c r="L841">
        <f t="shared" si="1989"/>
        <v>60.095000000000027</v>
      </c>
      <c r="M841">
        <f t="shared" si="1989"/>
        <v>53.559999999999945</v>
      </c>
      <c r="N841">
        <f t="shared" si="1989"/>
        <v>47.588750000000005</v>
      </c>
      <c r="O841">
        <f t="shared" si="1989"/>
        <v>43.97750000000002</v>
      </c>
      <c r="P841">
        <f>AVERAGE(D841:O841)</f>
        <v>52.647187499999994</v>
      </c>
    </row>
    <row r="842" spans="1:38" ht="17.149999999999999" x14ac:dyDescent="0.55000000000000004">
      <c r="B842" t="str">
        <f t="shared" si="1983"/>
        <v>Portland</v>
      </c>
      <c r="C842" t="s">
        <v>527</v>
      </c>
      <c r="D842">
        <f>IF(ISNUMBER(D835),0.4*D832+0.6*D840+0.005*D835*D837,IF(D835="Partially Insulated",0.3*D839+0.7*D840+0.005*D834*D837,D840))-459.6</f>
        <v>44.328749999999957</v>
      </c>
      <c r="E842">
        <f t="shared" ref="E842:O842" si="1990">IF(ISNUMBER(E835),0.4*E832+0.6*E840+0.005*E835*E837,IF(E835="Partially Insulated",0.3*E839+0.7*E840+0.005*E834*E837,E840))-459.6</f>
        <v>45.450000000000045</v>
      </c>
      <c r="F842">
        <f t="shared" si="1990"/>
        <v>47.19625000000002</v>
      </c>
      <c r="G842">
        <f t="shared" si="1990"/>
        <v>50.164999999999907</v>
      </c>
      <c r="H842">
        <f t="shared" si="1990"/>
        <v>55.071249999999964</v>
      </c>
      <c r="I842">
        <f t="shared" si="1990"/>
        <v>58.9837500000001</v>
      </c>
      <c r="J842">
        <f t="shared" si="1990"/>
        <v>62.584999999999923</v>
      </c>
      <c r="K842">
        <f t="shared" si="1990"/>
        <v>62.764999999999986</v>
      </c>
      <c r="L842">
        <f t="shared" si="1990"/>
        <v>60.095000000000027</v>
      </c>
      <c r="M842">
        <f t="shared" si="1990"/>
        <v>53.559999999999945</v>
      </c>
      <c r="N842">
        <f t="shared" si="1990"/>
        <v>47.588750000000005</v>
      </c>
      <c r="O842">
        <f t="shared" si="1990"/>
        <v>43.97750000000002</v>
      </c>
      <c r="P842">
        <f>AVERAGE(D842:O842)</f>
        <v>52.647187499999994</v>
      </c>
    </row>
    <row r="843" spans="1:38" ht="17.149999999999999" x14ac:dyDescent="0.55000000000000004">
      <c r="B843" t="str">
        <f t="shared" si="1983"/>
        <v>Portland</v>
      </c>
      <c r="C843" t="s">
        <v>552</v>
      </c>
      <c r="D843">
        <f>IF(ISNUMBER(D835),0.4*D839+0.6*D840+0.005*D835*D837,IF(D835="Partially Insulated",0.3*D839+0.7*D840+0.005*D834*D837,D840))-459.6</f>
        <v>44.328749999999957</v>
      </c>
      <c r="E843">
        <f t="shared" ref="E843:O843" si="1991">IF(ISNUMBER(E835),0.4*E839+0.6*E840+0.005*E835*E837,IF(E835="Partially Insulated",0.3*E839+0.7*E840+0.005*E834*E837,E840))-459.6</f>
        <v>45.450000000000045</v>
      </c>
      <c r="F843">
        <f t="shared" si="1991"/>
        <v>47.19625000000002</v>
      </c>
      <c r="G843">
        <f t="shared" si="1991"/>
        <v>50.164999999999907</v>
      </c>
      <c r="H843">
        <f t="shared" si="1991"/>
        <v>55.071249999999964</v>
      </c>
      <c r="I843">
        <f t="shared" si="1991"/>
        <v>58.9837500000001</v>
      </c>
      <c r="J843">
        <f t="shared" si="1991"/>
        <v>62.584999999999923</v>
      </c>
      <c r="K843">
        <f t="shared" si="1991"/>
        <v>62.764999999999986</v>
      </c>
      <c r="L843">
        <f t="shared" si="1991"/>
        <v>60.095000000000027</v>
      </c>
      <c r="M843">
        <f t="shared" si="1991"/>
        <v>53.559999999999945</v>
      </c>
      <c r="N843">
        <f t="shared" si="1991"/>
        <v>47.588750000000005</v>
      </c>
      <c r="O843">
        <f t="shared" si="1991"/>
        <v>43.97750000000002</v>
      </c>
      <c r="P843">
        <f>AVERAGE(D843:O843)</f>
        <v>52.647187499999994</v>
      </c>
    </row>
    <row r="844" spans="1:38" ht="17.149999999999999" x14ac:dyDescent="0.55000000000000004">
      <c r="A844" s="11"/>
      <c r="B844" s="11" t="str">
        <f t="shared" si="1983"/>
        <v>Portland</v>
      </c>
      <c r="C844" s="11" t="s">
        <v>553</v>
      </c>
      <c r="D844" s="11">
        <f>IF(ISNUMBER(D835),0.7*D839+0.3*D840+0.009*D835*D837,IF(D835="Partially Insulated",0.6*D839+0.4*D840+0.01*D834*D837,D840))-459.6</f>
        <v>44.757499999999993</v>
      </c>
      <c r="E844" s="11">
        <f t="shared" ref="E844:O844" si="1992">IF(ISNUMBER(E835),0.7*E839+0.3*E840+0.009*E835*E837,IF(E835="Partially Insulated",0.6*E839+0.4*E840+0.01*E834*E837,E840))-459.6</f>
        <v>46.200000000000045</v>
      </c>
      <c r="F844" s="11">
        <f t="shared" si="1992"/>
        <v>48.292500000000018</v>
      </c>
      <c r="G844" s="11">
        <f t="shared" si="1992"/>
        <v>51.729999999999905</v>
      </c>
      <c r="H844" s="11">
        <f t="shared" si="1992"/>
        <v>56.99249999999995</v>
      </c>
      <c r="I844" s="11">
        <f t="shared" si="1992"/>
        <v>61.017500000000041</v>
      </c>
      <c r="J844" s="11">
        <f t="shared" si="1992"/>
        <v>64.719999999999914</v>
      </c>
      <c r="K844" s="11">
        <f t="shared" si="1992"/>
        <v>64.63</v>
      </c>
      <c r="L844" s="11">
        <f t="shared" si="1992"/>
        <v>61.590000000000032</v>
      </c>
      <c r="M844" s="11">
        <f t="shared" si="1992"/>
        <v>54.470000000000027</v>
      </c>
      <c r="N844" s="11">
        <f t="shared" si="1992"/>
        <v>48.077500000000043</v>
      </c>
      <c r="O844" s="11">
        <f t="shared" si="1992"/>
        <v>44.355000000000018</v>
      </c>
      <c r="P844" s="11">
        <f>AVERAGE(D844:O844)</f>
        <v>53.902708333333329</v>
      </c>
      <c r="Q844" s="11"/>
      <c r="R844" s="11"/>
      <c r="S844" s="11"/>
      <c r="T844" s="11"/>
      <c r="U844" s="11"/>
      <c r="V844" s="11"/>
      <c r="W844" s="11"/>
      <c r="X844" s="11"/>
      <c r="Y844" s="11"/>
      <c r="Z844" s="11"/>
      <c r="AA844" s="11"/>
      <c r="AB844" s="11"/>
      <c r="AC844" s="11"/>
      <c r="AD844" s="11"/>
      <c r="AE844" s="11"/>
      <c r="AF844" s="11"/>
      <c r="AG844" s="11"/>
      <c r="AH844" s="11"/>
      <c r="AI844" s="11"/>
      <c r="AJ844" s="11"/>
      <c r="AK844" s="11"/>
      <c r="AL844" s="11"/>
    </row>
    <row r="845" spans="1:38" ht="17.149999999999999" x14ac:dyDescent="0.55000000000000004">
      <c r="A845" t="str" cm="1">
        <f t="array" ref="A845">INDEX(FX_Input,$R845,S$5)</f>
        <v>FX - 61</v>
      </c>
      <c r="B845" t="str" cm="1">
        <f t="array" ref="B845">INDEX(FX_Input,R845,T845)</f>
        <v>Portland</v>
      </c>
      <c r="C845" t="s">
        <v>510</v>
      </c>
      <c r="D845">
        <f t="shared" ref="D845:O846" si="1993">VLOOKUP(VLOOKUP($B845,Terminal_X_Ref,2,FALSE)&amp;$C845,Weather_Data,$Y845*D$3+$Z845,FALSE)+459.6</f>
        <v>498.3</v>
      </c>
      <c r="E845">
        <f t="shared" si="1993"/>
        <v>497.70000000000005</v>
      </c>
      <c r="F845">
        <f t="shared" si="1993"/>
        <v>499.1</v>
      </c>
      <c r="G845">
        <f t="shared" si="1993"/>
        <v>501.5</v>
      </c>
      <c r="H845">
        <f t="shared" si="1993"/>
        <v>506.1</v>
      </c>
      <c r="I845">
        <f t="shared" si="1993"/>
        <v>510.3</v>
      </c>
      <c r="J845">
        <f t="shared" si="1993"/>
        <v>513.70000000000005</v>
      </c>
      <c r="K845">
        <f t="shared" si="1993"/>
        <v>513.70000000000005</v>
      </c>
      <c r="L845">
        <f t="shared" si="1993"/>
        <v>510</v>
      </c>
      <c r="M845">
        <f t="shared" si="1993"/>
        <v>504.90000000000003</v>
      </c>
      <c r="N845">
        <f t="shared" si="1993"/>
        <v>500.6</v>
      </c>
      <c r="O845">
        <f t="shared" si="1993"/>
        <v>498.20000000000005</v>
      </c>
      <c r="P845">
        <f t="shared" ref="P845:P846" si="1994">VLOOKUP(VLOOKUP($B845,Terminal_X_Ref,2,FALSE)&amp;$C845,Weather_Data,$Y845*P$3+$Z845,FALSE)</f>
        <v>44.9</v>
      </c>
      <c r="R845">
        <f>R831+2</f>
        <v>121</v>
      </c>
      <c r="S845">
        <f>S831+1</f>
        <v>61</v>
      </c>
      <c r="T845">
        <v>3</v>
      </c>
      <c r="U845">
        <v>2</v>
      </c>
      <c r="V845">
        <v>3</v>
      </c>
      <c r="W845">
        <v>1</v>
      </c>
      <c r="X845">
        <v>2</v>
      </c>
      <c r="Y845">
        <f>(V845-U845)/(X845-W845)</f>
        <v>1</v>
      </c>
      <c r="Z845">
        <f>U845-Y845*W845</f>
        <v>1</v>
      </c>
      <c r="AA845">
        <f>AA831+1</f>
        <v>61</v>
      </c>
      <c r="AB845">
        <v>6</v>
      </c>
      <c r="AC845">
        <v>3</v>
      </c>
      <c r="AD845">
        <v>13</v>
      </c>
      <c r="AE845">
        <v>12</v>
      </c>
      <c r="AF845">
        <v>14</v>
      </c>
      <c r="AG845">
        <v>77</v>
      </c>
      <c r="AH845">
        <v>78</v>
      </c>
      <c r="AI845">
        <v>1</v>
      </c>
      <c r="AJ845">
        <v>2</v>
      </c>
      <c r="AK845">
        <f>(AH845-AG845)/(AJ845-AI845)</f>
        <v>1</v>
      </c>
      <c r="AL845">
        <f>AG845-AK845*AI845</f>
        <v>76</v>
      </c>
    </row>
    <row r="846" spans="1:38" ht="17.149999999999999" x14ac:dyDescent="0.55000000000000004">
      <c r="B846" t="str">
        <f t="shared" ref="B846" si="1995">B845</f>
        <v>Portland</v>
      </c>
      <c r="C846" t="s">
        <v>511</v>
      </c>
      <c r="D846">
        <f t="shared" si="1993"/>
        <v>508.70000000000005</v>
      </c>
      <c r="E846">
        <f t="shared" si="1993"/>
        <v>510.90000000000003</v>
      </c>
      <c r="F846">
        <f t="shared" si="1993"/>
        <v>512.30000000000007</v>
      </c>
      <c r="G846">
        <f t="shared" si="1993"/>
        <v>514.9</v>
      </c>
      <c r="H846">
        <f t="shared" si="1993"/>
        <v>519.4</v>
      </c>
      <c r="I846">
        <f t="shared" si="1993"/>
        <v>522.80000000000007</v>
      </c>
      <c r="J846">
        <f t="shared" si="1993"/>
        <v>526.4</v>
      </c>
      <c r="K846">
        <f t="shared" si="1993"/>
        <v>527.30000000000007</v>
      </c>
      <c r="L846">
        <f t="shared" si="1993"/>
        <v>526.4</v>
      </c>
      <c r="M846">
        <f t="shared" si="1993"/>
        <v>519.6</v>
      </c>
      <c r="N846">
        <f t="shared" si="1993"/>
        <v>512.80000000000007</v>
      </c>
      <c r="O846">
        <f t="shared" si="1993"/>
        <v>508.20000000000005</v>
      </c>
      <c r="P846">
        <f t="shared" si="1994"/>
        <v>57.9</v>
      </c>
      <c r="U846">
        <f>U845</f>
        <v>2</v>
      </c>
      <c r="V846">
        <f t="shared" ref="V846:Z846" si="1996">V845</f>
        <v>3</v>
      </c>
      <c r="W846">
        <f t="shared" si="1996"/>
        <v>1</v>
      </c>
      <c r="X846">
        <f t="shared" si="1996"/>
        <v>2</v>
      </c>
      <c r="Y846">
        <f t="shared" si="1996"/>
        <v>1</v>
      </c>
      <c r="Z846">
        <f t="shared" si="1996"/>
        <v>1</v>
      </c>
      <c r="AA846">
        <f>AA845</f>
        <v>61</v>
      </c>
      <c r="AB846">
        <f t="shared" ref="AB846:AL849" si="1997">AB845</f>
        <v>6</v>
      </c>
      <c r="AC846">
        <f t="shared" si="1997"/>
        <v>3</v>
      </c>
      <c r="AD846">
        <f t="shared" si="1997"/>
        <v>13</v>
      </c>
      <c r="AE846">
        <f t="shared" si="1997"/>
        <v>12</v>
      </c>
      <c r="AF846">
        <f t="shared" si="1997"/>
        <v>14</v>
      </c>
      <c r="AG846">
        <f t="shared" si="1997"/>
        <v>77</v>
      </c>
      <c r="AH846">
        <f t="shared" si="1997"/>
        <v>78</v>
      </c>
      <c r="AI846">
        <f t="shared" si="1997"/>
        <v>1</v>
      </c>
      <c r="AJ846">
        <f t="shared" si="1997"/>
        <v>2</v>
      </c>
      <c r="AK846">
        <f t="shared" si="1997"/>
        <v>1</v>
      </c>
      <c r="AL846">
        <f t="shared" si="1997"/>
        <v>76</v>
      </c>
    </row>
    <row r="847" spans="1:38" ht="17.149999999999999" x14ac:dyDescent="0.4">
      <c r="B847" t="str">
        <f>B846</f>
        <v>Portland</v>
      </c>
      <c r="C847" s="66" t="s">
        <v>514</v>
      </c>
      <c r="D847" t="str" cm="1">
        <f t="array" ref="D847">INDEX(FX_Calcs,$AA847,$AE847)</f>
        <v>N/A</v>
      </c>
      <c r="E847" t="str" cm="1">
        <f t="array" ref="E847">INDEX(FX_Calcs,$AA847,$AE847)</f>
        <v>N/A</v>
      </c>
      <c r="F847" t="str" cm="1">
        <f t="array" ref="F847">INDEX(FX_Calcs,$AA847,$AE847)</f>
        <v>N/A</v>
      </c>
      <c r="G847" t="str" cm="1">
        <f t="array" ref="G847">INDEX(FX_Calcs,$AA847,$AE847)</f>
        <v>N/A</v>
      </c>
      <c r="H847" t="str" cm="1">
        <f t="array" ref="H847">INDEX(FX_Calcs,$AA847,$AE847)</f>
        <v>N/A</v>
      </c>
      <c r="I847" t="str" cm="1">
        <f t="array" ref="I847">INDEX(FX_Calcs,$AA847,$AE847)</f>
        <v>N/A</v>
      </c>
      <c r="J847" t="str" cm="1">
        <f t="array" ref="J847">INDEX(FX_Calcs,$AA847,$AE847)</f>
        <v>N/A</v>
      </c>
      <c r="K847" t="str" cm="1">
        <f t="array" ref="K847">INDEX(FX_Calcs,$AA847,$AE847)</f>
        <v>N/A</v>
      </c>
      <c r="L847" t="str" cm="1">
        <f t="array" ref="L847">INDEX(FX_Calcs,$AA847,$AE847)</f>
        <v>N/A</v>
      </c>
      <c r="M847" t="str" cm="1">
        <f t="array" ref="M847">INDEX(FX_Calcs,$AA847,$AE847)</f>
        <v>N/A</v>
      </c>
      <c r="N847" t="str" cm="1">
        <f t="array" ref="N847">INDEX(FX_Calcs,$AA847,$AE847)</f>
        <v>N/A</v>
      </c>
      <c r="O847" t="str" cm="1">
        <f t="array" ref="O847">INDEX(FX_Calcs,$AA847,$AE847)</f>
        <v>N/A</v>
      </c>
      <c r="P847" t="str" cm="1">
        <f t="array" ref="P847">INDEX(FX_Calcs,$AA847,$AE847)</f>
        <v>N/A</v>
      </c>
      <c r="AA847">
        <f>AA846</f>
        <v>61</v>
      </c>
      <c r="AB847">
        <f t="shared" si="1997"/>
        <v>6</v>
      </c>
      <c r="AC847">
        <f t="shared" si="1997"/>
        <v>3</v>
      </c>
      <c r="AD847">
        <f t="shared" si="1997"/>
        <v>13</v>
      </c>
      <c r="AE847">
        <f t="shared" si="1997"/>
        <v>12</v>
      </c>
      <c r="AF847">
        <f t="shared" si="1997"/>
        <v>14</v>
      </c>
      <c r="AG847">
        <f t="shared" si="1997"/>
        <v>77</v>
      </c>
      <c r="AH847">
        <f t="shared" si="1997"/>
        <v>78</v>
      </c>
      <c r="AI847">
        <f t="shared" si="1997"/>
        <v>1</v>
      </c>
      <c r="AJ847">
        <f t="shared" si="1997"/>
        <v>2</v>
      </c>
      <c r="AK847">
        <f t="shared" si="1997"/>
        <v>1</v>
      </c>
      <c r="AL847">
        <f t="shared" si="1997"/>
        <v>76</v>
      </c>
    </row>
    <row r="848" spans="1:38" ht="17.149999999999999" x14ac:dyDescent="0.4">
      <c r="B848" t="str">
        <f t="shared" ref="B848:B849" si="1998">B847</f>
        <v>Portland</v>
      </c>
      <c r="C848" s="66" t="s">
        <v>513</v>
      </c>
      <c r="D848" cm="1">
        <f t="array" ref="D848">INDEX(FX_Calcs,$AA848,$AD848)</f>
        <v>0.25</v>
      </c>
      <c r="E848" cm="1">
        <f t="array" ref="E848">INDEX(FX_Calcs,$AA848,$AD848)</f>
        <v>0.25</v>
      </c>
      <c r="F848" cm="1">
        <f t="array" ref="F848">INDEX(FX_Calcs,$AA848,$AD848)</f>
        <v>0.25</v>
      </c>
      <c r="G848" cm="1">
        <f t="array" ref="G848">INDEX(FX_Calcs,$AA848,$AD848)</f>
        <v>0.25</v>
      </c>
      <c r="H848" cm="1">
        <f t="array" ref="H848">INDEX(FX_Calcs,$AA848,$AD848)</f>
        <v>0.25</v>
      </c>
      <c r="I848" cm="1">
        <f t="array" ref="I848">INDEX(FX_Calcs,$AA848,$AD848)</f>
        <v>0.25</v>
      </c>
      <c r="J848" cm="1">
        <f t="array" ref="J848">INDEX(FX_Calcs,$AA848,$AD848)</f>
        <v>0.25</v>
      </c>
      <c r="K848" cm="1">
        <f t="array" ref="K848">INDEX(FX_Calcs,$AA848,$AD848)</f>
        <v>0.25</v>
      </c>
      <c r="L848" cm="1">
        <f t="array" ref="L848">INDEX(FX_Calcs,$AA848,$AD848)</f>
        <v>0.25</v>
      </c>
      <c r="M848" cm="1">
        <f t="array" ref="M848">INDEX(FX_Calcs,$AA848,$AD848)</f>
        <v>0.25</v>
      </c>
      <c r="N848" cm="1">
        <f t="array" ref="N848">INDEX(FX_Calcs,$AA848,$AD848)</f>
        <v>0.25</v>
      </c>
      <c r="O848" cm="1">
        <f t="array" ref="O848">INDEX(FX_Calcs,$AA848,$AD848)</f>
        <v>0.25</v>
      </c>
      <c r="P848" cm="1">
        <f t="array" ref="P848">INDEX(FX_Calcs,$AA848,$AD848)</f>
        <v>0.25</v>
      </c>
      <c r="AA848">
        <f>AA847</f>
        <v>61</v>
      </c>
      <c r="AB848">
        <f t="shared" si="1997"/>
        <v>6</v>
      </c>
      <c r="AC848">
        <f t="shared" si="1997"/>
        <v>3</v>
      </c>
      <c r="AD848">
        <f t="shared" si="1997"/>
        <v>13</v>
      </c>
      <c r="AE848">
        <f t="shared" si="1997"/>
        <v>12</v>
      </c>
      <c r="AF848">
        <f t="shared" si="1997"/>
        <v>14</v>
      </c>
      <c r="AG848">
        <f t="shared" si="1997"/>
        <v>77</v>
      </c>
      <c r="AH848">
        <f t="shared" si="1997"/>
        <v>78</v>
      </c>
      <c r="AI848">
        <f t="shared" si="1997"/>
        <v>1</v>
      </c>
      <c r="AJ848">
        <f t="shared" si="1997"/>
        <v>2</v>
      </c>
      <c r="AK848">
        <f t="shared" si="1997"/>
        <v>1</v>
      </c>
      <c r="AL848">
        <f t="shared" si="1997"/>
        <v>76</v>
      </c>
    </row>
    <row r="849" spans="1:38" x14ac:dyDescent="0.4">
      <c r="B849" t="str">
        <f t="shared" si="1998"/>
        <v>Portland</v>
      </c>
      <c r="C849" s="66" t="s">
        <v>558</v>
      </c>
      <c r="D849" t="str" cm="1">
        <f t="array" ref="D849">INDEX(FX_Calcs,$AA849,$AF849)</f>
        <v>Partially Insulated</v>
      </c>
      <c r="E849" t="str" cm="1">
        <f t="array" ref="E849">INDEX(FX_Calcs,$AA849,$AF849)</f>
        <v>Partially Insulated</v>
      </c>
      <c r="F849" t="str" cm="1">
        <f t="array" ref="F849">INDEX(FX_Calcs,$AA849,$AF849)</f>
        <v>Partially Insulated</v>
      </c>
      <c r="G849" t="str" cm="1">
        <f t="array" ref="G849">INDEX(FX_Calcs,$AA849,$AF849)</f>
        <v>Partially Insulated</v>
      </c>
      <c r="H849" t="str" cm="1">
        <f t="array" ref="H849">INDEX(FX_Calcs,$AA849,$AF849)</f>
        <v>Partially Insulated</v>
      </c>
      <c r="I849" t="str" cm="1">
        <f t="array" ref="I849">INDEX(FX_Calcs,$AA849,$AF849)</f>
        <v>Partially Insulated</v>
      </c>
      <c r="J849" t="str" cm="1">
        <f t="array" ref="J849">INDEX(FX_Calcs,$AA849,$AF849)</f>
        <v>Partially Insulated</v>
      </c>
      <c r="K849" t="str" cm="1">
        <f t="array" ref="K849">INDEX(FX_Calcs,$AA849,$AF849)</f>
        <v>Partially Insulated</v>
      </c>
      <c r="L849" t="str" cm="1">
        <f t="array" ref="L849">INDEX(FX_Calcs,$AA849,$AF849)</f>
        <v>Partially Insulated</v>
      </c>
      <c r="M849" t="str" cm="1">
        <f t="array" ref="M849">INDEX(FX_Calcs,$AA849,$AF849)</f>
        <v>Partially Insulated</v>
      </c>
      <c r="N849" t="str" cm="1">
        <f t="array" ref="N849">INDEX(FX_Calcs,$AA849,$AF849)</f>
        <v>Partially Insulated</v>
      </c>
      <c r="O849" t="str" cm="1">
        <f t="array" ref="O849">INDEX(FX_Calcs,$AA849,$AF849)</f>
        <v>Partially Insulated</v>
      </c>
      <c r="P849" t="str" cm="1">
        <f t="array" ref="P849">INDEX(FX_Calcs,$AA849,$AF849)</f>
        <v>Partially Insulated</v>
      </c>
      <c r="AA849">
        <f>AA848</f>
        <v>61</v>
      </c>
      <c r="AB849">
        <f t="shared" si="1997"/>
        <v>6</v>
      </c>
      <c r="AC849">
        <f t="shared" si="1997"/>
        <v>3</v>
      </c>
      <c r="AD849">
        <f t="shared" si="1997"/>
        <v>13</v>
      </c>
      <c r="AE849">
        <f t="shared" si="1997"/>
        <v>12</v>
      </c>
      <c r="AF849">
        <f t="shared" si="1997"/>
        <v>14</v>
      </c>
      <c r="AG849">
        <f t="shared" si="1997"/>
        <v>77</v>
      </c>
      <c r="AH849">
        <f t="shared" si="1997"/>
        <v>78</v>
      </c>
      <c r="AI849">
        <f t="shared" si="1997"/>
        <v>1</v>
      </c>
      <c r="AJ849">
        <f t="shared" si="1997"/>
        <v>2</v>
      </c>
      <c r="AK849">
        <f t="shared" si="1997"/>
        <v>1</v>
      </c>
      <c r="AL849">
        <f t="shared" si="1997"/>
        <v>76</v>
      </c>
    </row>
    <row r="850" spans="1:38" ht="17.149999999999999" x14ac:dyDescent="0.55000000000000004">
      <c r="B850" t="str">
        <f>B846</f>
        <v>Portland</v>
      </c>
      <c r="C850" t="s">
        <v>512</v>
      </c>
      <c r="D850">
        <f t="shared" ref="D850:P850" si="1999">D846-D845</f>
        <v>10.400000000000034</v>
      </c>
      <c r="E850">
        <f t="shared" si="1999"/>
        <v>13.199999999999989</v>
      </c>
      <c r="F850">
        <f t="shared" si="1999"/>
        <v>13.200000000000045</v>
      </c>
      <c r="G850">
        <f t="shared" si="1999"/>
        <v>13.399999999999977</v>
      </c>
      <c r="H850">
        <f t="shared" si="1999"/>
        <v>13.299999999999955</v>
      </c>
      <c r="I850">
        <f t="shared" si="1999"/>
        <v>12.500000000000057</v>
      </c>
      <c r="J850">
        <f t="shared" si="1999"/>
        <v>12.699999999999932</v>
      </c>
      <c r="K850">
        <f t="shared" si="1999"/>
        <v>13.600000000000023</v>
      </c>
      <c r="L850">
        <f t="shared" si="1999"/>
        <v>16.399999999999977</v>
      </c>
      <c r="M850">
        <f t="shared" si="1999"/>
        <v>14.699999999999989</v>
      </c>
      <c r="N850">
        <f t="shared" si="1999"/>
        <v>12.200000000000045</v>
      </c>
      <c r="O850">
        <f t="shared" si="1999"/>
        <v>10</v>
      </c>
      <c r="P850">
        <f t="shared" si="1999"/>
        <v>13</v>
      </c>
    </row>
    <row r="851" spans="1:38" x14ac:dyDescent="0.4">
      <c r="B851" t="str">
        <f t="shared" ref="B851:B858" si="2000">B850</f>
        <v>Portland</v>
      </c>
      <c r="C851" t="s">
        <v>260</v>
      </c>
      <c r="D851">
        <f t="shared" ref="D851:P851" si="2001">VLOOKUP(VLOOKUP($B851,Terminal_X_Ref,2,FALSE)&amp;$C851,Weather_Data,$Y851*D$3+$Z851,FALSE)</f>
        <v>343</v>
      </c>
      <c r="E851">
        <f t="shared" si="2001"/>
        <v>600</v>
      </c>
      <c r="F851">
        <f t="shared" si="2001"/>
        <v>877</v>
      </c>
      <c r="G851">
        <f t="shared" si="2001"/>
        <v>1252</v>
      </c>
      <c r="H851">
        <f t="shared" si="2001"/>
        <v>1537</v>
      </c>
      <c r="I851">
        <f t="shared" si="2001"/>
        <v>1627</v>
      </c>
      <c r="J851">
        <f t="shared" si="2001"/>
        <v>1708</v>
      </c>
      <c r="K851">
        <f t="shared" si="2001"/>
        <v>1492</v>
      </c>
      <c r="L851">
        <f t="shared" si="2001"/>
        <v>1196</v>
      </c>
      <c r="M851">
        <f t="shared" si="2001"/>
        <v>728</v>
      </c>
      <c r="N851">
        <f t="shared" si="2001"/>
        <v>391</v>
      </c>
      <c r="O851">
        <f t="shared" si="2001"/>
        <v>302</v>
      </c>
      <c r="P851">
        <f t="shared" si="2001"/>
        <v>1005</v>
      </c>
      <c r="U851">
        <f>U846</f>
        <v>2</v>
      </c>
      <c r="V851">
        <f t="shared" ref="V851:Z851" si="2002">V846</f>
        <v>3</v>
      </c>
      <c r="W851">
        <f t="shared" si="2002"/>
        <v>1</v>
      </c>
      <c r="X851">
        <f t="shared" si="2002"/>
        <v>2</v>
      </c>
      <c r="Y851">
        <f t="shared" si="2002"/>
        <v>1</v>
      </c>
      <c r="Z851">
        <f t="shared" si="2002"/>
        <v>1</v>
      </c>
    </row>
    <row r="852" spans="1:38" ht="17.149999999999999" x14ac:dyDescent="0.55000000000000004">
      <c r="B852" t="str">
        <f t="shared" si="2000"/>
        <v>Portland</v>
      </c>
      <c r="C852" t="s">
        <v>523</v>
      </c>
      <c r="D852">
        <f>IF(ISNUMBER(D849),0.7*D850+0.02*D849*D851,IF(D849="Partially Insulated",0.6*D850+0.02*D848*D851,0))</f>
        <v>7.9550000000000205</v>
      </c>
      <c r="E852">
        <f t="shared" ref="E852:P852" si="2003">IF(ISNUMBER(E849),0.7*E850+0.02*E849*E851,IF(E849="Partially Insulated",0.6*E850+0.02*E848*E851,0))</f>
        <v>10.919999999999993</v>
      </c>
      <c r="F852">
        <f t="shared" si="2003"/>
        <v>12.305000000000026</v>
      </c>
      <c r="G852">
        <f t="shared" si="2003"/>
        <v>14.299999999999986</v>
      </c>
      <c r="H852">
        <f t="shared" si="2003"/>
        <v>15.664999999999973</v>
      </c>
      <c r="I852">
        <f t="shared" si="2003"/>
        <v>15.635000000000034</v>
      </c>
      <c r="J852">
        <f t="shared" si="2003"/>
        <v>16.159999999999961</v>
      </c>
      <c r="K852">
        <f t="shared" si="2003"/>
        <v>15.620000000000012</v>
      </c>
      <c r="L852">
        <f t="shared" si="2003"/>
        <v>15.819999999999986</v>
      </c>
      <c r="M852">
        <f t="shared" si="2003"/>
        <v>12.459999999999994</v>
      </c>
      <c r="N852">
        <f t="shared" si="2003"/>
        <v>9.275000000000027</v>
      </c>
      <c r="O852">
        <f t="shared" si="2003"/>
        <v>7.51</v>
      </c>
      <c r="P852">
        <f t="shared" si="2003"/>
        <v>12.824999999999999</v>
      </c>
    </row>
    <row r="853" spans="1:38" ht="17.149999999999999" x14ac:dyDescent="0.55000000000000004">
      <c r="B853" t="str">
        <f t="shared" si="2000"/>
        <v>Portland</v>
      </c>
      <c r="C853" t="s">
        <v>524</v>
      </c>
      <c r="D853">
        <f t="shared" ref="D853:F853" si="2004">AVERAGE(D845:D846)</f>
        <v>503.5</v>
      </c>
      <c r="E853">
        <f t="shared" si="2004"/>
        <v>504.30000000000007</v>
      </c>
      <c r="F853">
        <f t="shared" si="2004"/>
        <v>505.70000000000005</v>
      </c>
      <c r="G853">
        <f>AVERAGE(G845:G846)</f>
        <v>508.2</v>
      </c>
      <c r="H853">
        <f t="shared" ref="H853:P853" si="2005">AVERAGE(H845:H846)</f>
        <v>512.75</v>
      </c>
      <c r="I853">
        <f t="shared" si="2005"/>
        <v>516.55000000000007</v>
      </c>
      <c r="J853">
        <f t="shared" si="2005"/>
        <v>520.04999999999995</v>
      </c>
      <c r="K853">
        <f t="shared" si="2005"/>
        <v>520.5</v>
      </c>
      <c r="L853">
        <f t="shared" si="2005"/>
        <v>518.20000000000005</v>
      </c>
      <c r="M853">
        <f t="shared" si="2005"/>
        <v>512.25</v>
      </c>
      <c r="N853">
        <f t="shared" si="2005"/>
        <v>506.70000000000005</v>
      </c>
      <c r="O853">
        <f t="shared" si="2005"/>
        <v>503.20000000000005</v>
      </c>
      <c r="P853">
        <f t="shared" si="2005"/>
        <v>51.4</v>
      </c>
    </row>
    <row r="854" spans="1:38" ht="17.149999999999999" x14ac:dyDescent="0.55000000000000004">
      <c r="B854" t="str">
        <f t="shared" si="2000"/>
        <v>Portland</v>
      </c>
      <c r="C854" t="s">
        <v>525</v>
      </c>
      <c r="D854" cm="1">
        <f t="array" ref="D854">IFERROR(IF(ISBLANK(INDEX(FX_Input,$R845,D$3*$AK845+$AL845)),D853+0.003*D847*D851,INDEX(FX_Input,$R845,D$3*$AK845+$AL845)+459.6),D853)</f>
        <v>503.5</v>
      </c>
      <c r="E854" cm="1">
        <f t="array" ref="E854">IFERROR(IF(ISBLANK(INDEX(FX_Input,$R845,E$3*$AK845+$AL845)),E853+0.003*E847*E851,INDEX(FX_Input,$R845,E$3*$AK845+$AL845)+459.6),E853)</f>
        <v>504.30000000000007</v>
      </c>
      <c r="F854" cm="1">
        <f t="array" ref="F854">IFERROR(IF(ISBLANK(INDEX(FX_Input,$R845,F$3*$AK845+$AL845)),F853+0.003*F847*F851,INDEX(FX_Input,$R845,F$3*$AK845+$AL845)+459.6),F853)</f>
        <v>505.70000000000005</v>
      </c>
      <c r="G854" cm="1">
        <f t="array" ref="G854">IFERROR(IF(ISBLANK(INDEX(FX_Input,$R845,G$3*$AK845+$AL845)),G853+0.003*G847*G851,INDEX(FX_Input,$R845,G$3*$AK845+$AL845)+459.6),G853)</f>
        <v>508.2</v>
      </c>
      <c r="H854" cm="1">
        <f t="array" ref="H854">IFERROR(IF(ISBLANK(INDEX(FX_Input,$R845,H$3*$AK845+$AL845)),H853+0.003*H847*H851,INDEX(FX_Input,$R845,H$3*$AK845+$AL845)+459.6),H853)</f>
        <v>512.75</v>
      </c>
      <c r="I854" cm="1">
        <f t="array" ref="I854">IFERROR(IF(ISBLANK(INDEX(FX_Input,$R845,I$3*$AK845+$AL845)),I853+0.003*I847*I851,INDEX(FX_Input,$R845,I$3*$AK845+$AL845)+459.6),I853)</f>
        <v>516.55000000000007</v>
      </c>
      <c r="J854" cm="1">
        <f t="array" ref="J854">IFERROR(IF(ISBLANK(INDEX(FX_Input,$R845,J$3*$AK845+$AL845)),J853+0.003*J847*J851,INDEX(FX_Input,$R845,J$3*$AK845+$AL845)+459.6),J853)</f>
        <v>520.04999999999995</v>
      </c>
      <c r="K854" cm="1">
        <f t="array" ref="K854">IFERROR(IF(ISBLANK(INDEX(FX_Input,$R845,K$3*$AK845+$AL845)),K853+0.003*K847*K851,INDEX(FX_Input,$R845,K$3*$AK845+$AL845)+459.6),K853)</f>
        <v>520.5</v>
      </c>
      <c r="L854" cm="1">
        <f t="array" ref="L854">IFERROR(IF(ISBLANK(INDEX(FX_Input,$R845,L$3*$AK845+$AL845)),L853+0.003*L847*L851,INDEX(FX_Input,$R845,L$3*$AK845+$AL845)+459.6),L853)</f>
        <v>518.20000000000005</v>
      </c>
      <c r="M854" cm="1">
        <f t="array" ref="M854">IFERROR(IF(ISBLANK(INDEX(FX_Input,$R845,M$3*$AK845+$AL845)),M853+0.003*M847*M851,INDEX(FX_Input,$R845,M$3*$AK845+$AL845)+459.6),M853)</f>
        <v>512.25</v>
      </c>
      <c r="N854" cm="1">
        <f t="array" ref="N854">IFERROR(IF(ISBLANK(INDEX(FX_Input,$R845,N$3*$AK845+$AL845)),N853+0.003*N847*N851,INDEX(FX_Input,$R845,N$3*$AK845+$AL845)+459.6),N853)</f>
        <v>506.70000000000005</v>
      </c>
      <c r="O854" cm="1">
        <f t="array" ref="O854">IFERROR(IF(ISBLANK(INDEX(FX_Input,$R845,O$3*$AK845+$AL845)),O853+0.003*O847*O851,INDEX(FX_Input,$R845,O$3*$AK845+$AL845)+459.6),O853)</f>
        <v>503.20000000000005</v>
      </c>
      <c r="P854" cm="1">
        <f t="array" ref="P854">IFERROR(IF(ISBLANK(INDEX(FX_Input,$R845,P$3*$AK845+$AL845)),P853+0.003*P847*P851,INDEX(FX_Input,$R845,P$3*$AK845+$AL845)+459.6),P853)</f>
        <v>739.6</v>
      </c>
    </row>
    <row r="855" spans="1:38" ht="17.149999999999999" x14ac:dyDescent="0.55000000000000004">
      <c r="B855" t="str">
        <f t="shared" si="2000"/>
        <v>Portland</v>
      </c>
      <c r="C855" t="s">
        <v>526</v>
      </c>
      <c r="D855">
        <f>IF(ISNUMBER(D849),0.4*D845+0.6*D854+0.005*D849*D851,IF(D849="Partially Insulated",0.3*D853+0.7*D854+0.005*D848*D851,D854))-459.6</f>
        <v>44.328749999999957</v>
      </c>
      <c r="E855">
        <f t="shared" ref="E855:O855" si="2006">IF(ISNUMBER(E849),0.4*E845+0.6*E854+0.005*E849*E851,IF(E849="Partially Insulated",0.3*E853+0.7*E854+0.005*E848*E851,E854))-459.6</f>
        <v>45.450000000000045</v>
      </c>
      <c r="F855">
        <f t="shared" si="2006"/>
        <v>47.19625000000002</v>
      </c>
      <c r="G855">
        <f t="shared" si="2006"/>
        <v>50.164999999999907</v>
      </c>
      <c r="H855">
        <f t="shared" si="2006"/>
        <v>55.071249999999964</v>
      </c>
      <c r="I855">
        <f t="shared" si="2006"/>
        <v>58.9837500000001</v>
      </c>
      <c r="J855">
        <f t="shared" si="2006"/>
        <v>62.584999999999923</v>
      </c>
      <c r="K855">
        <f t="shared" si="2006"/>
        <v>62.764999999999986</v>
      </c>
      <c r="L855">
        <f t="shared" si="2006"/>
        <v>60.095000000000027</v>
      </c>
      <c r="M855">
        <f t="shared" si="2006"/>
        <v>53.559999999999945</v>
      </c>
      <c r="N855">
        <f t="shared" si="2006"/>
        <v>47.588750000000005</v>
      </c>
      <c r="O855">
        <f t="shared" si="2006"/>
        <v>43.97750000000002</v>
      </c>
      <c r="P855">
        <f>AVERAGE(D855:O855)</f>
        <v>52.647187499999994</v>
      </c>
    </row>
    <row r="856" spans="1:38" ht="17.149999999999999" x14ac:dyDescent="0.55000000000000004">
      <c r="B856" t="str">
        <f t="shared" si="2000"/>
        <v>Portland</v>
      </c>
      <c r="C856" t="s">
        <v>527</v>
      </c>
      <c r="D856">
        <f>IF(ISNUMBER(D849),0.4*D846+0.6*D854+0.005*D849*D851,IF(D849="Partially Insulated",0.3*D853+0.7*D854+0.005*D848*D851,D854))-459.6</f>
        <v>44.328749999999957</v>
      </c>
      <c r="E856">
        <f t="shared" ref="E856:O856" si="2007">IF(ISNUMBER(E849),0.4*E846+0.6*E854+0.005*E849*E851,IF(E849="Partially Insulated",0.3*E853+0.7*E854+0.005*E848*E851,E854))-459.6</f>
        <v>45.450000000000045</v>
      </c>
      <c r="F856">
        <f t="shared" si="2007"/>
        <v>47.19625000000002</v>
      </c>
      <c r="G856">
        <f t="shared" si="2007"/>
        <v>50.164999999999907</v>
      </c>
      <c r="H856">
        <f t="shared" si="2007"/>
        <v>55.071249999999964</v>
      </c>
      <c r="I856">
        <f t="shared" si="2007"/>
        <v>58.9837500000001</v>
      </c>
      <c r="J856">
        <f t="shared" si="2007"/>
        <v>62.584999999999923</v>
      </c>
      <c r="K856">
        <f t="shared" si="2007"/>
        <v>62.764999999999986</v>
      </c>
      <c r="L856">
        <f t="shared" si="2007"/>
        <v>60.095000000000027</v>
      </c>
      <c r="M856">
        <f t="shared" si="2007"/>
        <v>53.559999999999945</v>
      </c>
      <c r="N856">
        <f t="shared" si="2007"/>
        <v>47.588750000000005</v>
      </c>
      <c r="O856">
        <f t="shared" si="2007"/>
        <v>43.97750000000002</v>
      </c>
      <c r="P856">
        <f>AVERAGE(D856:O856)</f>
        <v>52.647187499999994</v>
      </c>
    </row>
    <row r="857" spans="1:38" ht="17.149999999999999" x14ac:dyDescent="0.55000000000000004">
      <c r="B857" t="str">
        <f t="shared" si="2000"/>
        <v>Portland</v>
      </c>
      <c r="C857" t="s">
        <v>552</v>
      </c>
      <c r="D857">
        <f>IF(ISNUMBER(D849),0.4*D853+0.6*D854+0.005*D849*D851,IF(D849="Partially Insulated",0.3*D853+0.7*D854+0.005*D848*D851,D854))-459.6</f>
        <v>44.328749999999957</v>
      </c>
      <c r="E857">
        <f t="shared" ref="E857:O857" si="2008">IF(ISNUMBER(E849),0.4*E853+0.6*E854+0.005*E849*E851,IF(E849="Partially Insulated",0.3*E853+0.7*E854+0.005*E848*E851,E854))-459.6</f>
        <v>45.450000000000045</v>
      </c>
      <c r="F857">
        <f t="shared" si="2008"/>
        <v>47.19625000000002</v>
      </c>
      <c r="G857">
        <f t="shared" si="2008"/>
        <v>50.164999999999907</v>
      </c>
      <c r="H857">
        <f t="shared" si="2008"/>
        <v>55.071249999999964</v>
      </c>
      <c r="I857">
        <f t="shared" si="2008"/>
        <v>58.9837500000001</v>
      </c>
      <c r="J857">
        <f t="shared" si="2008"/>
        <v>62.584999999999923</v>
      </c>
      <c r="K857">
        <f t="shared" si="2008"/>
        <v>62.764999999999986</v>
      </c>
      <c r="L857">
        <f t="shared" si="2008"/>
        <v>60.095000000000027</v>
      </c>
      <c r="M857">
        <f t="shared" si="2008"/>
        <v>53.559999999999945</v>
      </c>
      <c r="N857">
        <f t="shared" si="2008"/>
        <v>47.588750000000005</v>
      </c>
      <c r="O857">
        <f t="shared" si="2008"/>
        <v>43.97750000000002</v>
      </c>
      <c r="P857">
        <f>AVERAGE(D857:O857)</f>
        <v>52.647187499999994</v>
      </c>
    </row>
    <row r="858" spans="1:38" ht="17.149999999999999" x14ac:dyDescent="0.55000000000000004">
      <c r="A858" s="11"/>
      <c r="B858" s="11" t="str">
        <f t="shared" si="2000"/>
        <v>Portland</v>
      </c>
      <c r="C858" s="11" t="s">
        <v>553</v>
      </c>
      <c r="D858" s="11">
        <f>IF(ISNUMBER(D849),0.7*D853+0.3*D854+0.009*D849*D851,IF(D849="Partially Insulated",0.6*D853+0.4*D854+0.01*D848*D851,D854))-459.6</f>
        <v>44.757499999999993</v>
      </c>
      <c r="E858" s="11">
        <f t="shared" ref="E858:O858" si="2009">IF(ISNUMBER(E849),0.7*E853+0.3*E854+0.009*E849*E851,IF(E849="Partially Insulated",0.6*E853+0.4*E854+0.01*E848*E851,E854))-459.6</f>
        <v>46.200000000000045</v>
      </c>
      <c r="F858" s="11">
        <f t="shared" si="2009"/>
        <v>48.292500000000018</v>
      </c>
      <c r="G858" s="11">
        <f t="shared" si="2009"/>
        <v>51.729999999999905</v>
      </c>
      <c r="H858" s="11">
        <f t="shared" si="2009"/>
        <v>56.99249999999995</v>
      </c>
      <c r="I858" s="11">
        <f t="shared" si="2009"/>
        <v>61.017500000000041</v>
      </c>
      <c r="J858" s="11">
        <f t="shared" si="2009"/>
        <v>64.719999999999914</v>
      </c>
      <c r="K858" s="11">
        <f t="shared" si="2009"/>
        <v>64.63</v>
      </c>
      <c r="L858" s="11">
        <f t="shared" si="2009"/>
        <v>61.590000000000032</v>
      </c>
      <c r="M858" s="11">
        <f t="shared" si="2009"/>
        <v>54.470000000000027</v>
      </c>
      <c r="N858" s="11">
        <f t="shared" si="2009"/>
        <v>48.077500000000043</v>
      </c>
      <c r="O858" s="11">
        <f t="shared" si="2009"/>
        <v>44.355000000000018</v>
      </c>
      <c r="P858" s="11">
        <f>AVERAGE(D858:O858)</f>
        <v>53.902708333333329</v>
      </c>
      <c r="Q858" s="11"/>
      <c r="R858" s="11"/>
      <c r="S858" s="11"/>
      <c r="T858" s="11"/>
      <c r="U858" s="11"/>
      <c r="V858" s="11"/>
      <c r="W858" s="11"/>
      <c r="X858" s="11"/>
      <c r="Y858" s="11"/>
      <c r="Z858" s="11"/>
      <c r="AA858" s="11"/>
      <c r="AB858" s="11"/>
      <c r="AC858" s="11"/>
      <c r="AD858" s="11"/>
      <c r="AE858" s="11"/>
      <c r="AF858" s="11"/>
      <c r="AG858" s="11"/>
      <c r="AH858" s="11"/>
      <c r="AI858" s="11"/>
      <c r="AJ858" s="11"/>
      <c r="AK858" s="11"/>
      <c r="AL858" s="11"/>
    </row>
    <row r="859" spans="1:38" ht="17.149999999999999" x14ac:dyDescent="0.55000000000000004">
      <c r="A859" t="str" cm="1">
        <f t="array" ref="A859">INDEX(FX_Input,$R859,S$5)</f>
        <v>FX - 62</v>
      </c>
      <c r="B859" t="str" cm="1">
        <f t="array" ref="B859">INDEX(FX_Input,R859,T859)</f>
        <v>Portland</v>
      </c>
      <c r="C859" t="s">
        <v>510</v>
      </c>
      <c r="D859">
        <f t="shared" ref="D859:O860" si="2010">VLOOKUP(VLOOKUP($B859,Terminal_X_Ref,2,FALSE)&amp;$C859,Weather_Data,$Y859*D$3+$Z859,FALSE)+459.6</f>
        <v>498.3</v>
      </c>
      <c r="E859">
        <f t="shared" si="2010"/>
        <v>497.70000000000005</v>
      </c>
      <c r="F859">
        <f t="shared" si="2010"/>
        <v>499.1</v>
      </c>
      <c r="G859">
        <f t="shared" si="2010"/>
        <v>501.5</v>
      </c>
      <c r="H859">
        <f t="shared" si="2010"/>
        <v>506.1</v>
      </c>
      <c r="I859">
        <f t="shared" si="2010"/>
        <v>510.3</v>
      </c>
      <c r="J859">
        <f t="shared" si="2010"/>
        <v>513.70000000000005</v>
      </c>
      <c r="K859">
        <f t="shared" si="2010"/>
        <v>513.70000000000005</v>
      </c>
      <c r="L859">
        <f t="shared" si="2010"/>
        <v>510</v>
      </c>
      <c r="M859">
        <f t="shared" si="2010"/>
        <v>504.90000000000003</v>
      </c>
      <c r="N859">
        <f t="shared" si="2010"/>
        <v>500.6</v>
      </c>
      <c r="O859">
        <f t="shared" si="2010"/>
        <v>498.20000000000005</v>
      </c>
      <c r="P859">
        <f t="shared" ref="P859:P860" si="2011">VLOOKUP(VLOOKUP($B859,Terminal_X_Ref,2,FALSE)&amp;$C859,Weather_Data,$Y859*P$3+$Z859,FALSE)</f>
        <v>44.9</v>
      </c>
      <c r="R859">
        <f>R845+2</f>
        <v>123</v>
      </c>
      <c r="S859">
        <f>S845+1</f>
        <v>62</v>
      </c>
      <c r="T859">
        <v>3</v>
      </c>
      <c r="U859">
        <v>2</v>
      </c>
      <c r="V859">
        <v>3</v>
      </c>
      <c r="W859">
        <v>1</v>
      </c>
      <c r="X859">
        <v>2</v>
      </c>
      <c r="Y859">
        <f>(V859-U859)/(X859-W859)</f>
        <v>1</v>
      </c>
      <c r="Z859">
        <f>U859-Y859*W859</f>
        <v>1</v>
      </c>
      <c r="AA859">
        <f>AA845+1</f>
        <v>62</v>
      </c>
      <c r="AB859">
        <v>6</v>
      </c>
      <c r="AC859">
        <v>3</v>
      </c>
      <c r="AD859">
        <v>13</v>
      </c>
      <c r="AE859">
        <v>12</v>
      </c>
      <c r="AF859">
        <v>14</v>
      </c>
      <c r="AG859">
        <v>77</v>
      </c>
      <c r="AH859">
        <v>78</v>
      </c>
      <c r="AI859">
        <v>1</v>
      </c>
      <c r="AJ859">
        <v>2</v>
      </c>
      <c r="AK859">
        <f>(AH859-AG859)/(AJ859-AI859)</f>
        <v>1</v>
      </c>
      <c r="AL859">
        <f>AG859-AK859*AI859</f>
        <v>76</v>
      </c>
    </row>
    <row r="860" spans="1:38" ht="17.149999999999999" x14ac:dyDescent="0.55000000000000004">
      <c r="B860" t="str">
        <f t="shared" ref="B860" si="2012">B859</f>
        <v>Portland</v>
      </c>
      <c r="C860" t="s">
        <v>511</v>
      </c>
      <c r="D860">
        <f t="shared" si="2010"/>
        <v>508.70000000000005</v>
      </c>
      <c r="E860">
        <f t="shared" si="2010"/>
        <v>510.90000000000003</v>
      </c>
      <c r="F860">
        <f t="shared" si="2010"/>
        <v>512.30000000000007</v>
      </c>
      <c r="G860">
        <f t="shared" si="2010"/>
        <v>514.9</v>
      </c>
      <c r="H860">
        <f t="shared" si="2010"/>
        <v>519.4</v>
      </c>
      <c r="I860">
        <f t="shared" si="2010"/>
        <v>522.80000000000007</v>
      </c>
      <c r="J860">
        <f t="shared" si="2010"/>
        <v>526.4</v>
      </c>
      <c r="K860">
        <f t="shared" si="2010"/>
        <v>527.30000000000007</v>
      </c>
      <c r="L860">
        <f t="shared" si="2010"/>
        <v>526.4</v>
      </c>
      <c r="M860">
        <f t="shared" si="2010"/>
        <v>519.6</v>
      </c>
      <c r="N860">
        <f t="shared" si="2010"/>
        <v>512.80000000000007</v>
      </c>
      <c r="O860">
        <f t="shared" si="2010"/>
        <v>508.20000000000005</v>
      </c>
      <c r="P860">
        <f t="shared" si="2011"/>
        <v>57.9</v>
      </c>
      <c r="U860">
        <f>U859</f>
        <v>2</v>
      </c>
      <c r="V860">
        <f t="shared" ref="V860:Z860" si="2013">V859</f>
        <v>3</v>
      </c>
      <c r="W860">
        <f t="shared" si="2013"/>
        <v>1</v>
      </c>
      <c r="X860">
        <f t="shared" si="2013"/>
        <v>2</v>
      </c>
      <c r="Y860">
        <f t="shared" si="2013"/>
        <v>1</v>
      </c>
      <c r="Z860">
        <f t="shared" si="2013"/>
        <v>1</v>
      </c>
      <c r="AA860">
        <f>AA859</f>
        <v>62</v>
      </c>
      <c r="AB860">
        <f t="shared" ref="AB860:AL863" si="2014">AB859</f>
        <v>6</v>
      </c>
      <c r="AC860">
        <f t="shared" si="2014"/>
        <v>3</v>
      </c>
      <c r="AD860">
        <f t="shared" si="2014"/>
        <v>13</v>
      </c>
      <c r="AE860">
        <f t="shared" si="2014"/>
        <v>12</v>
      </c>
      <c r="AF860">
        <f t="shared" si="2014"/>
        <v>14</v>
      </c>
      <c r="AG860">
        <f t="shared" si="2014"/>
        <v>77</v>
      </c>
      <c r="AH860">
        <f t="shared" si="2014"/>
        <v>78</v>
      </c>
      <c r="AI860">
        <f t="shared" si="2014"/>
        <v>1</v>
      </c>
      <c r="AJ860">
        <f t="shared" si="2014"/>
        <v>2</v>
      </c>
      <c r="AK860">
        <f t="shared" si="2014"/>
        <v>1</v>
      </c>
      <c r="AL860">
        <f t="shared" si="2014"/>
        <v>76</v>
      </c>
    </row>
    <row r="861" spans="1:38" ht="17.149999999999999" x14ac:dyDescent="0.4">
      <c r="B861" t="str">
        <f>B860</f>
        <v>Portland</v>
      </c>
      <c r="C861" s="66" t="s">
        <v>514</v>
      </c>
      <c r="D861" t="str" cm="1">
        <f t="array" ref="D861">INDEX(FX_Calcs,$AA861,$AE861)</f>
        <v>N/A</v>
      </c>
      <c r="E861" t="str" cm="1">
        <f t="array" ref="E861">INDEX(FX_Calcs,$AA861,$AE861)</f>
        <v>N/A</v>
      </c>
      <c r="F861" t="str" cm="1">
        <f t="array" ref="F861">INDEX(FX_Calcs,$AA861,$AE861)</f>
        <v>N/A</v>
      </c>
      <c r="G861" t="str" cm="1">
        <f t="array" ref="G861">INDEX(FX_Calcs,$AA861,$AE861)</f>
        <v>N/A</v>
      </c>
      <c r="H861" t="str" cm="1">
        <f t="array" ref="H861">INDEX(FX_Calcs,$AA861,$AE861)</f>
        <v>N/A</v>
      </c>
      <c r="I861" t="str" cm="1">
        <f t="array" ref="I861">INDEX(FX_Calcs,$AA861,$AE861)</f>
        <v>N/A</v>
      </c>
      <c r="J861" t="str" cm="1">
        <f t="array" ref="J861">INDEX(FX_Calcs,$AA861,$AE861)</f>
        <v>N/A</v>
      </c>
      <c r="K861" t="str" cm="1">
        <f t="array" ref="K861">INDEX(FX_Calcs,$AA861,$AE861)</f>
        <v>N/A</v>
      </c>
      <c r="L861" t="str" cm="1">
        <f t="array" ref="L861">INDEX(FX_Calcs,$AA861,$AE861)</f>
        <v>N/A</v>
      </c>
      <c r="M861" t="str" cm="1">
        <f t="array" ref="M861">INDEX(FX_Calcs,$AA861,$AE861)</f>
        <v>N/A</v>
      </c>
      <c r="N861" t="str" cm="1">
        <f t="array" ref="N861">INDEX(FX_Calcs,$AA861,$AE861)</f>
        <v>N/A</v>
      </c>
      <c r="O861" t="str" cm="1">
        <f t="array" ref="O861">INDEX(FX_Calcs,$AA861,$AE861)</f>
        <v>N/A</v>
      </c>
      <c r="P861" t="str" cm="1">
        <f t="array" ref="P861">INDEX(FX_Calcs,$AA861,$AE861)</f>
        <v>N/A</v>
      </c>
      <c r="AA861">
        <f>AA860</f>
        <v>62</v>
      </c>
      <c r="AB861">
        <f t="shared" si="2014"/>
        <v>6</v>
      </c>
      <c r="AC861">
        <f t="shared" si="2014"/>
        <v>3</v>
      </c>
      <c r="AD861">
        <f t="shared" si="2014"/>
        <v>13</v>
      </c>
      <c r="AE861">
        <f t="shared" si="2014"/>
        <v>12</v>
      </c>
      <c r="AF861">
        <f t="shared" si="2014"/>
        <v>14</v>
      </c>
      <c r="AG861">
        <f t="shared" si="2014"/>
        <v>77</v>
      </c>
      <c r="AH861">
        <f t="shared" si="2014"/>
        <v>78</v>
      </c>
      <c r="AI861">
        <f t="shared" si="2014"/>
        <v>1</v>
      </c>
      <c r="AJ861">
        <f t="shared" si="2014"/>
        <v>2</v>
      </c>
      <c r="AK861">
        <f t="shared" si="2014"/>
        <v>1</v>
      </c>
      <c r="AL861">
        <f t="shared" si="2014"/>
        <v>76</v>
      </c>
    </row>
    <row r="862" spans="1:38" ht="17.149999999999999" x14ac:dyDescent="0.4">
      <c r="B862" t="str">
        <f t="shared" ref="B862:B863" si="2015">B861</f>
        <v>Portland</v>
      </c>
      <c r="C862" s="66" t="s">
        <v>513</v>
      </c>
      <c r="D862" t="str" cm="1">
        <f t="array" ref="D862">INDEX(FX_Calcs,$AA862,$AD862)</f>
        <v>N/A</v>
      </c>
      <c r="E862" t="str" cm="1">
        <f t="array" ref="E862">INDEX(FX_Calcs,$AA862,$AD862)</f>
        <v>N/A</v>
      </c>
      <c r="F862" t="str" cm="1">
        <f t="array" ref="F862">INDEX(FX_Calcs,$AA862,$AD862)</f>
        <v>N/A</v>
      </c>
      <c r="G862" t="str" cm="1">
        <f t="array" ref="G862">INDEX(FX_Calcs,$AA862,$AD862)</f>
        <v>N/A</v>
      </c>
      <c r="H862" t="str" cm="1">
        <f t="array" ref="H862">INDEX(FX_Calcs,$AA862,$AD862)</f>
        <v>N/A</v>
      </c>
      <c r="I862" t="str" cm="1">
        <f t="array" ref="I862">INDEX(FX_Calcs,$AA862,$AD862)</f>
        <v>N/A</v>
      </c>
      <c r="J862" t="str" cm="1">
        <f t="array" ref="J862">INDEX(FX_Calcs,$AA862,$AD862)</f>
        <v>N/A</v>
      </c>
      <c r="K862" t="str" cm="1">
        <f t="array" ref="K862">INDEX(FX_Calcs,$AA862,$AD862)</f>
        <v>N/A</v>
      </c>
      <c r="L862" t="str" cm="1">
        <f t="array" ref="L862">INDEX(FX_Calcs,$AA862,$AD862)</f>
        <v>N/A</v>
      </c>
      <c r="M862" t="str" cm="1">
        <f t="array" ref="M862">INDEX(FX_Calcs,$AA862,$AD862)</f>
        <v>N/A</v>
      </c>
      <c r="N862" t="str" cm="1">
        <f t="array" ref="N862">INDEX(FX_Calcs,$AA862,$AD862)</f>
        <v>N/A</v>
      </c>
      <c r="O862" t="str" cm="1">
        <f t="array" ref="O862">INDEX(FX_Calcs,$AA862,$AD862)</f>
        <v>N/A</v>
      </c>
      <c r="P862" t="str" cm="1">
        <f t="array" ref="P862">INDEX(FX_Calcs,$AA862,$AD862)</f>
        <v>N/A</v>
      </c>
      <c r="AA862">
        <f>AA861</f>
        <v>62</v>
      </c>
      <c r="AB862">
        <f t="shared" si="2014"/>
        <v>6</v>
      </c>
      <c r="AC862">
        <f t="shared" si="2014"/>
        <v>3</v>
      </c>
      <c r="AD862">
        <f t="shared" si="2014"/>
        <v>13</v>
      </c>
      <c r="AE862">
        <f t="shared" si="2014"/>
        <v>12</v>
      </c>
      <c r="AF862">
        <f t="shared" si="2014"/>
        <v>14</v>
      </c>
      <c r="AG862">
        <f t="shared" si="2014"/>
        <v>77</v>
      </c>
      <c r="AH862">
        <f t="shared" si="2014"/>
        <v>78</v>
      </c>
      <c r="AI862">
        <f t="shared" si="2014"/>
        <v>1</v>
      </c>
      <c r="AJ862">
        <f t="shared" si="2014"/>
        <v>2</v>
      </c>
      <c r="AK862">
        <f t="shared" si="2014"/>
        <v>1</v>
      </c>
      <c r="AL862">
        <f t="shared" si="2014"/>
        <v>76</v>
      </c>
    </row>
    <row r="863" spans="1:38" x14ac:dyDescent="0.4">
      <c r="B863" t="str">
        <f t="shared" si="2015"/>
        <v>Portland</v>
      </c>
      <c r="C863" s="66" t="s">
        <v>558</v>
      </c>
      <c r="D863" t="str" cm="1">
        <f t="array" ref="D863">INDEX(FX_Calcs,$AA863,$AF863)</f>
        <v>Insulated</v>
      </c>
      <c r="E863" t="str" cm="1">
        <f t="array" ref="E863">INDEX(FX_Calcs,$AA863,$AF863)</f>
        <v>Insulated</v>
      </c>
      <c r="F863" t="str" cm="1">
        <f t="array" ref="F863">INDEX(FX_Calcs,$AA863,$AF863)</f>
        <v>Insulated</v>
      </c>
      <c r="G863" t="str" cm="1">
        <f t="array" ref="G863">INDEX(FX_Calcs,$AA863,$AF863)</f>
        <v>Insulated</v>
      </c>
      <c r="H863" t="str" cm="1">
        <f t="array" ref="H863">INDEX(FX_Calcs,$AA863,$AF863)</f>
        <v>Insulated</v>
      </c>
      <c r="I863" t="str" cm="1">
        <f t="array" ref="I863">INDEX(FX_Calcs,$AA863,$AF863)</f>
        <v>Insulated</v>
      </c>
      <c r="J863" t="str" cm="1">
        <f t="array" ref="J863">INDEX(FX_Calcs,$AA863,$AF863)</f>
        <v>Insulated</v>
      </c>
      <c r="K863" t="str" cm="1">
        <f t="array" ref="K863">INDEX(FX_Calcs,$AA863,$AF863)</f>
        <v>Insulated</v>
      </c>
      <c r="L863" t="str" cm="1">
        <f t="array" ref="L863">INDEX(FX_Calcs,$AA863,$AF863)</f>
        <v>Insulated</v>
      </c>
      <c r="M863" t="str" cm="1">
        <f t="array" ref="M863">INDEX(FX_Calcs,$AA863,$AF863)</f>
        <v>Insulated</v>
      </c>
      <c r="N863" t="str" cm="1">
        <f t="array" ref="N863">INDEX(FX_Calcs,$AA863,$AF863)</f>
        <v>Insulated</v>
      </c>
      <c r="O863" t="str" cm="1">
        <f t="array" ref="O863">INDEX(FX_Calcs,$AA863,$AF863)</f>
        <v>Insulated</v>
      </c>
      <c r="P863" t="str" cm="1">
        <f t="array" ref="P863">INDEX(FX_Calcs,$AA863,$AF863)</f>
        <v>Insulated</v>
      </c>
      <c r="AA863">
        <f>AA862</f>
        <v>62</v>
      </c>
      <c r="AB863">
        <f t="shared" si="2014"/>
        <v>6</v>
      </c>
      <c r="AC863">
        <f t="shared" si="2014"/>
        <v>3</v>
      </c>
      <c r="AD863">
        <f t="shared" si="2014"/>
        <v>13</v>
      </c>
      <c r="AE863">
        <f t="shared" si="2014"/>
        <v>12</v>
      </c>
      <c r="AF863">
        <f t="shared" si="2014"/>
        <v>14</v>
      </c>
      <c r="AG863">
        <f t="shared" si="2014"/>
        <v>77</v>
      </c>
      <c r="AH863">
        <f t="shared" si="2014"/>
        <v>78</v>
      </c>
      <c r="AI863">
        <f t="shared" si="2014"/>
        <v>1</v>
      </c>
      <c r="AJ863">
        <f t="shared" si="2014"/>
        <v>2</v>
      </c>
      <c r="AK863">
        <f t="shared" si="2014"/>
        <v>1</v>
      </c>
      <c r="AL863">
        <f t="shared" si="2014"/>
        <v>76</v>
      </c>
    </row>
    <row r="864" spans="1:38" ht="17.149999999999999" x14ac:dyDescent="0.55000000000000004">
      <c r="B864" t="str">
        <f>B860</f>
        <v>Portland</v>
      </c>
      <c r="C864" t="s">
        <v>512</v>
      </c>
      <c r="D864">
        <f t="shared" ref="D864:P864" si="2016">D860-D859</f>
        <v>10.400000000000034</v>
      </c>
      <c r="E864">
        <f t="shared" si="2016"/>
        <v>13.199999999999989</v>
      </c>
      <c r="F864">
        <f t="shared" si="2016"/>
        <v>13.200000000000045</v>
      </c>
      <c r="G864">
        <f t="shared" si="2016"/>
        <v>13.399999999999977</v>
      </c>
      <c r="H864">
        <f t="shared" si="2016"/>
        <v>13.299999999999955</v>
      </c>
      <c r="I864">
        <f t="shared" si="2016"/>
        <v>12.500000000000057</v>
      </c>
      <c r="J864">
        <f t="shared" si="2016"/>
        <v>12.699999999999932</v>
      </c>
      <c r="K864">
        <f t="shared" si="2016"/>
        <v>13.600000000000023</v>
      </c>
      <c r="L864">
        <f t="shared" si="2016"/>
        <v>16.399999999999977</v>
      </c>
      <c r="M864">
        <f t="shared" si="2016"/>
        <v>14.699999999999989</v>
      </c>
      <c r="N864">
        <f t="shared" si="2016"/>
        <v>12.200000000000045</v>
      </c>
      <c r="O864">
        <f t="shared" si="2016"/>
        <v>10</v>
      </c>
      <c r="P864">
        <f t="shared" si="2016"/>
        <v>13</v>
      </c>
    </row>
    <row r="865" spans="1:38" x14ac:dyDescent="0.4">
      <c r="B865" t="str">
        <f t="shared" ref="B865:B872" si="2017">B864</f>
        <v>Portland</v>
      </c>
      <c r="C865" t="s">
        <v>260</v>
      </c>
      <c r="D865">
        <f t="shared" ref="D865:P865" si="2018">VLOOKUP(VLOOKUP($B865,Terminal_X_Ref,2,FALSE)&amp;$C865,Weather_Data,$Y865*D$3+$Z865,FALSE)</f>
        <v>343</v>
      </c>
      <c r="E865">
        <f t="shared" si="2018"/>
        <v>600</v>
      </c>
      <c r="F865">
        <f t="shared" si="2018"/>
        <v>877</v>
      </c>
      <c r="G865">
        <f t="shared" si="2018"/>
        <v>1252</v>
      </c>
      <c r="H865">
        <f t="shared" si="2018"/>
        <v>1537</v>
      </c>
      <c r="I865">
        <f t="shared" si="2018"/>
        <v>1627</v>
      </c>
      <c r="J865">
        <f t="shared" si="2018"/>
        <v>1708</v>
      </c>
      <c r="K865">
        <f t="shared" si="2018"/>
        <v>1492</v>
      </c>
      <c r="L865">
        <f t="shared" si="2018"/>
        <v>1196</v>
      </c>
      <c r="M865">
        <f t="shared" si="2018"/>
        <v>728</v>
      </c>
      <c r="N865">
        <f t="shared" si="2018"/>
        <v>391</v>
      </c>
      <c r="O865">
        <f t="shared" si="2018"/>
        <v>302</v>
      </c>
      <c r="P865">
        <f t="shared" si="2018"/>
        <v>1005</v>
      </c>
      <c r="U865">
        <f>U860</f>
        <v>2</v>
      </c>
      <c r="V865">
        <f t="shared" ref="V865:Z865" si="2019">V860</f>
        <v>3</v>
      </c>
      <c r="W865">
        <f t="shared" si="2019"/>
        <v>1</v>
      </c>
      <c r="X865">
        <f t="shared" si="2019"/>
        <v>2</v>
      </c>
      <c r="Y865">
        <f t="shared" si="2019"/>
        <v>1</v>
      </c>
      <c r="Z865">
        <f t="shared" si="2019"/>
        <v>1</v>
      </c>
    </row>
    <row r="866" spans="1:38" ht="17.149999999999999" x14ac:dyDescent="0.55000000000000004">
      <c r="B866" t="str">
        <f t="shared" si="2017"/>
        <v>Portland</v>
      </c>
      <c r="C866" t="s">
        <v>523</v>
      </c>
      <c r="D866">
        <f>IF(ISNUMBER(D863),0.7*D864+0.02*D863*D865,IF(D863="Partially Insulated",0.6*D864+0.02*D862*D865,0))</f>
        <v>0</v>
      </c>
      <c r="E866">
        <f t="shared" ref="E866:P866" si="2020">IF(ISNUMBER(E863),0.7*E864+0.02*E863*E865,IF(E863="Partially Insulated",0.6*E864+0.02*E862*E865,0))</f>
        <v>0</v>
      </c>
      <c r="F866">
        <f t="shared" si="2020"/>
        <v>0</v>
      </c>
      <c r="G866">
        <f t="shared" si="2020"/>
        <v>0</v>
      </c>
      <c r="H866">
        <f t="shared" si="2020"/>
        <v>0</v>
      </c>
      <c r="I866">
        <f t="shared" si="2020"/>
        <v>0</v>
      </c>
      <c r="J866">
        <f t="shared" si="2020"/>
        <v>0</v>
      </c>
      <c r="K866">
        <f t="shared" si="2020"/>
        <v>0</v>
      </c>
      <c r="L866">
        <f t="shared" si="2020"/>
        <v>0</v>
      </c>
      <c r="M866">
        <f t="shared" si="2020"/>
        <v>0</v>
      </c>
      <c r="N866">
        <f t="shared" si="2020"/>
        <v>0</v>
      </c>
      <c r="O866">
        <f t="shared" si="2020"/>
        <v>0</v>
      </c>
      <c r="P866">
        <f t="shared" si="2020"/>
        <v>0</v>
      </c>
    </row>
    <row r="867" spans="1:38" ht="17.149999999999999" x14ac:dyDescent="0.55000000000000004">
      <c r="B867" t="str">
        <f t="shared" si="2017"/>
        <v>Portland</v>
      </c>
      <c r="C867" t="s">
        <v>524</v>
      </c>
      <c r="D867">
        <f t="shared" ref="D867:F867" si="2021">AVERAGE(D859:D860)</f>
        <v>503.5</v>
      </c>
      <c r="E867">
        <f t="shared" si="2021"/>
        <v>504.30000000000007</v>
      </c>
      <c r="F867">
        <f t="shared" si="2021"/>
        <v>505.70000000000005</v>
      </c>
      <c r="G867">
        <f>AVERAGE(G859:G860)</f>
        <v>508.2</v>
      </c>
      <c r="H867">
        <f t="shared" ref="H867:P867" si="2022">AVERAGE(H859:H860)</f>
        <v>512.75</v>
      </c>
      <c r="I867">
        <f t="shared" si="2022"/>
        <v>516.55000000000007</v>
      </c>
      <c r="J867">
        <f t="shared" si="2022"/>
        <v>520.04999999999995</v>
      </c>
      <c r="K867">
        <f t="shared" si="2022"/>
        <v>520.5</v>
      </c>
      <c r="L867">
        <f t="shared" si="2022"/>
        <v>518.20000000000005</v>
      </c>
      <c r="M867">
        <f t="shared" si="2022"/>
        <v>512.25</v>
      </c>
      <c r="N867">
        <f t="shared" si="2022"/>
        <v>506.70000000000005</v>
      </c>
      <c r="O867">
        <f t="shared" si="2022"/>
        <v>503.20000000000005</v>
      </c>
      <c r="P867">
        <f t="shared" si="2022"/>
        <v>51.4</v>
      </c>
    </row>
    <row r="868" spans="1:38" ht="17.149999999999999" x14ac:dyDescent="0.55000000000000004">
      <c r="B868" t="str">
        <f t="shared" si="2017"/>
        <v>Portland</v>
      </c>
      <c r="C868" t="s">
        <v>525</v>
      </c>
      <c r="D868" cm="1">
        <f t="array" ref="D868">IFERROR(IF(ISBLANK(INDEX(FX_Input,$R859,D$3*$AK859+$AL859)),D867+0.003*D861*D865,INDEX(FX_Input,$R859,D$3*$AK859+$AL859)+459.6),D867)</f>
        <v>503.5</v>
      </c>
      <c r="E868" cm="1">
        <f t="array" ref="E868">IFERROR(IF(ISBLANK(INDEX(FX_Input,$R859,E$3*$AK859+$AL859)),E867+0.003*E861*E865,INDEX(FX_Input,$R859,E$3*$AK859+$AL859)+459.6),E867)</f>
        <v>504.30000000000007</v>
      </c>
      <c r="F868" cm="1">
        <f t="array" ref="F868">IFERROR(IF(ISBLANK(INDEX(FX_Input,$R859,F$3*$AK859+$AL859)),F867+0.003*F861*F865,INDEX(FX_Input,$R859,F$3*$AK859+$AL859)+459.6),F867)</f>
        <v>505.70000000000005</v>
      </c>
      <c r="G868" cm="1">
        <f t="array" ref="G868">IFERROR(IF(ISBLANK(INDEX(FX_Input,$R859,G$3*$AK859+$AL859)),G867+0.003*G861*G865,INDEX(FX_Input,$R859,G$3*$AK859+$AL859)+459.6),G867)</f>
        <v>508.2</v>
      </c>
      <c r="H868" cm="1">
        <f t="array" ref="H868">IFERROR(IF(ISBLANK(INDEX(FX_Input,$R859,H$3*$AK859+$AL859)),H867+0.003*H861*H865,INDEX(FX_Input,$R859,H$3*$AK859+$AL859)+459.6),H867)</f>
        <v>512.75</v>
      </c>
      <c r="I868" cm="1">
        <f t="array" ref="I868">IFERROR(IF(ISBLANK(INDEX(FX_Input,$R859,I$3*$AK859+$AL859)),I867+0.003*I861*I865,INDEX(FX_Input,$R859,I$3*$AK859+$AL859)+459.6),I867)</f>
        <v>516.55000000000007</v>
      </c>
      <c r="J868" cm="1">
        <f t="array" ref="J868">IFERROR(IF(ISBLANK(INDEX(FX_Input,$R859,J$3*$AK859+$AL859)),J867+0.003*J861*J865,INDEX(FX_Input,$R859,J$3*$AK859+$AL859)+459.6),J867)</f>
        <v>520.04999999999995</v>
      </c>
      <c r="K868" cm="1">
        <f t="array" ref="K868">IFERROR(IF(ISBLANK(INDEX(FX_Input,$R859,K$3*$AK859+$AL859)),K867+0.003*K861*K865,INDEX(FX_Input,$R859,K$3*$AK859+$AL859)+459.6),K867)</f>
        <v>520.5</v>
      </c>
      <c r="L868" cm="1">
        <f t="array" ref="L868">IFERROR(IF(ISBLANK(INDEX(FX_Input,$R859,L$3*$AK859+$AL859)),L867+0.003*L861*L865,INDEX(FX_Input,$R859,L$3*$AK859+$AL859)+459.6),L867)</f>
        <v>518.20000000000005</v>
      </c>
      <c r="M868" cm="1">
        <f t="array" ref="M868">IFERROR(IF(ISBLANK(INDEX(FX_Input,$R859,M$3*$AK859+$AL859)),M867+0.003*M861*M865,INDEX(FX_Input,$R859,M$3*$AK859+$AL859)+459.6),M867)</f>
        <v>512.25</v>
      </c>
      <c r="N868" cm="1">
        <f t="array" ref="N868">IFERROR(IF(ISBLANK(INDEX(FX_Input,$R859,N$3*$AK859+$AL859)),N867+0.003*N861*N865,INDEX(FX_Input,$R859,N$3*$AK859+$AL859)+459.6),N867)</f>
        <v>506.70000000000005</v>
      </c>
      <c r="O868" cm="1">
        <f t="array" ref="O868">IFERROR(IF(ISBLANK(INDEX(FX_Input,$R859,O$3*$AK859+$AL859)),O867+0.003*O861*O865,INDEX(FX_Input,$R859,O$3*$AK859+$AL859)+459.6),O867)</f>
        <v>503.20000000000005</v>
      </c>
      <c r="P868" cm="1">
        <f t="array" ref="P868">IFERROR(IF(ISBLANK(INDEX(FX_Input,$R859,P$3*$AK859+$AL859)),P867+0.003*P861*P865,INDEX(FX_Input,$R859,P$3*$AK859+$AL859)+459.6),P867)</f>
        <v>865.6</v>
      </c>
    </row>
    <row r="869" spans="1:38" ht="17.149999999999999" x14ac:dyDescent="0.55000000000000004">
      <c r="B869" t="str">
        <f t="shared" si="2017"/>
        <v>Portland</v>
      </c>
      <c r="C869" t="s">
        <v>526</v>
      </c>
      <c r="D869">
        <f>IF(ISNUMBER(D863),0.4*D859+0.6*D868+0.005*D863*D865,IF(D863="Partially Insulated",0.3*D867+0.7*D868+0.005*D862*D865,D868))-459.6</f>
        <v>43.899999999999977</v>
      </c>
      <c r="E869">
        <f t="shared" ref="E869:O869" si="2023">IF(ISNUMBER(E863),0.4*E859+0.6*E868+0.005*E863*E865,IF(E863="Partially Insulated",0.3*E867+0.7*E868+0.005*E862*E865,E868))-459.6</f>
        <v>44.700000000000045</v>
      </c>
      <c r="F869">
        <f t="shared" si="2023"/>
        <v>46.100000000000023</v>
      </c>
      <c r="G869">
        <f t="shared" si="2023"/>
        <v>48.599999999999966</v>
      </c>
      <c r="H869">
        <f t="shared" si="2023"/>
        <v>53.149999999999977</v>
      </c>
      <c r="I869">
        <f t="shared" si="2023"/>
        <v>56.950000000000045</v>
      </c>
      <c r="J869">
        <f t="shared" si="2023"/>
        <v>60.449999999999932</v>
      </c>
      <c r="K869">
        <f t="shared" si="2023"/>
        <v>60.899999999999977</v>
      </c>
      <c r="L869">
        <f t="shared" si="2023"/>
        <v>58.600000000000023</v>
      </c>
      <c r="M869">
        <f t="shared" si="2023"/>
        <v>52.649999999999977</v>
      </c>
      <c r="N869">
        <f t="shared" si="2023"/>
        <v>47.100000000000023</v>
      </c>
      <c r="O869">
        <f t="shared" si="2023"/>
        <v>43.600000000000023</v>
      </c>
      <c r="P869">
        <f>AVERAGE(D869:O869)</f>
        <v>51.391666666666673</v>
      </c>
    </row>
    <row r="870" spans="1:38" ht="17.149999999999999" x14ac:dyDescent="0.55000000000000004">
      <c r="B870" t="str">
        <f t="shared" si="2017"/>
        <v>Portland</v>
      </c>
      <c r="C870" t="s">
        <v>527</v>
      </c>
      <c r="D870">
        <f>IF(ISNUMBER(D863),0.4*D860+0.6*D868+0.005*D863*D865,IF(D863="Partially Insulated",0.3*D867+0.7*D868+0.005*D862*D865,D868))-459.6</f>
        <v>43.899999999999977</v>
      </c>
      <c r="E870">
        <f t="shared" ref="E870:O870" si="2024">IF(ISNUMBER(E863),0.4*E860+0.6*E868+0.005*E863*E865,IF(E863="Partially Insulated",0.3*E867+0.7*E868+0.005*E862*E865,E868))-459.6</f>
        <v>44.700000000000045</v>
      </c>
      <c r="F870">
        <f t="shared" si="2024"/>
        <v>46.100000000000023</v>
      </c>
      <c r="G870">
        <f t="shared" si="2024"/>
        <v>48.599999999999966</v>
      </c>
      <c r="H870">
        <f t="shared" si="2024"/>
        <v>53.149999999999977</v>
      </c>
      <c r="I870">
        <f t="shared" si="2024"/>
        <v>56.950000000000045</v>
      </c>
      <c r="J870">
        <f t="shared" si="2024"/>
        <v>60.449999999999932</v>
      </c>
      <c r="K870">
        <f t="shared" si="2024"/>
        <v>60.899999999999977</v>
      </c>
      <c r="L870">
        <f t="shared" si="2024"/>
        <v>58.600000000000023</v>
      </c>
      <c r="M870">
        <f t="shared" si="2024"/>
        <v>52.649999999999977</v>
      </c>
      <c r="N870">
        <f t="shared" si="2024"/>
        <v>47.100000000000023</v>
      </c>
      <c r="O870">
        <f t="shared" si="2024"/>
        <v>43.600000000000023</v>
      </c>
      <c r="P870">
        <f>AVERAGE(D870:O870)</f>
        <v>51.391666666666673</v>
      </c>
    </row>
    <row r="871" spans="1:38" ht="17.149999999999999" x14ac:dyDescent="0.55000000000000004">
      <c r="B871" t="str">
        <f t="shared" si="2017"/>
        <v>Portland</v>
      </c>
      <c r="C871" t="s">
        <v>552</v>
      </c>
      <c r="D871">
        <f>IF(ISNUMBER(D863),0.4*D867+0.6*D868+0.005*D863*D865,IF(D863="Partially Insulated",0.3*D867+0.7*D868+0.005*D862*D865,D868))-459.6</f>
        <v>43.899999999999977</v>
      </c>
      <c r="E871">
        <f t="shared" ref="E871:O871" si="2025">IF(ISNUMBER(E863),0.4*E867+0.6*E868+0.005*E863*E865,IF(E863="Partially Insulated",0.3*E867+0.7*E868+0.005*E862*E865,E868))-459.6</f>
        <v>44.700000000000045</v>
      </c>
      <c r="F871">
        <f t="shared" si="2025"/>
        <v>46.100000000000023</v>
      </c>
      <c r="G871">
        <f t="shared" si="2025"/>
        <v>48.599999999999966</v>
      </c>
      <c r="H871">
        <f t="shared" si="2025"/>
        <v>53.149999999999977</v>
      </c>
      <c r="I871">
        <f t="shared" si="2025"/>
        <v>56.950000000000045</v>
      </c>
      <c r="J871">
        <f t="shared" si="2025"/>
        <v>60.449999999999932</v>
      </c>
      <c r="K871">
        <f t="shared" si="2025"/>
        <v>60.899999999999977</v>
      </c>
      <c r="L871">
        <f t="shared" si="2025"/>
        <v>58.600000000000023</v>
      </c>
      <c r="M871">
        <f t="shared" si="2025"/>
        <v>52.649999999999977</v>
      </c>
      <c r="N871">
        <f t="shared" si="2025"/>
        <v>47.100000000000023</v>
      </c>
      <c r="O871">
        <f t="shared" si="2025"/>
        <v>43.600000000000023</v>
      </c>
      <c r="P871">
        <f>AVERAGE(D871:O871)</f>
        <v>51.391666666666673</v>
      </c>
    </row>
    <row r="872" spans="1:38" ht="17.149999999999999" x14ac:dyDescent="0.55000000000000004">
      <c r="A872" s="11"/>
      <c r="B872" s="11" t="str">
        <f t="shared" si="2017"/>
        <v>Portland</v>
      </c>
      <c r="C872" s="11" t="s">
        <v>553</v>
      </c>
      <c r="D872" s="11">
        <f>IF(ISNUMBER(D863),0.7*D867+0.3*D868+0.009*D863*D865,IF(D863="Partially Insulated",0.6*D867+0.4*D868+0.01*D862*D865,D868))-459.6</f>
        <v>43.899999999999977</v>
      </c>
      <c r="E872" s="11">
        <f t="shared" ref="E872:O872" si="2026">IF(ISNUMBER(E863),0.7*E867+0.3*E868+0.009*E863*E865,IF(E863="Partially Insulated",0.6*E867+0.4*E868+0.01*E862*E865,E868))-459.6</f>
        <v>44.700000000000045</v>
      </c>
      <c r="F872" s="11">
        <f t="shared" si="2026"/>
        <v>46.100000000000023</v>
      </c>
      <c r="G872" s="11">
        <f t="shared" si="2026"/>
        <v>48.599999999999966</v>
      </c>
      <c r="H872" s="11">
        <f t="shared" si="2026"/>
        <v>53.149999999999977</v>
      </c>
      <c r="I872" s="11">
        <f t="shared" si="2026"/>
        <v>56.950000000000045</v>
      </c>
      <c r="J872" s="11">
        <f t="shared" si="2026"/>
        <v>60.449999999999932</v>
      </c>
      <c r="K872" s="11">
        <f t="shared" si="2026"/>
        <v>60.899999999999977</v>
      </c>
      <c r="L872" s="11">
        <f t="shared" si="2026"/>
        <v>58.600000000000023</v>
      </c>
      <c r="M872" s="11">
        <f t="shared" si="2026"/>
        <v>52.649999999999977</v>
      </c>
      <c r="N872" s="11">
        <f t="shared" si="2026"/>
        <v>47.100000000000023</v>
      </c>
      <c r="O872" s="11">
        <f t="shared" si="2026"/>
        <v>43.600000000000023</v>
      </c>
      <c r="P872" s="11">
        <f>AVERAGE(D872:O872)</f>
        <v>51.391666666666673</v>
      </c>
      <c r="Q872" s="11"/>
      <c r="R872" s="11"/>
      <c r="S872" s="11"/>
      <c r="T872" s="11"/>
      <c r="U872" s="11"/>
      <c r="V872" s="11"/>
      <c r="W872" s="11"/>
      <c r="X872" s="11"/>
      <c r="Y872" s="11"/>
      <c r="Z872" s="11"/>
      <c r="AA872" s="11"/>
      <c r="AB872" s="11"/>
      <c r="AC872" s="11"/>
      <c r="AD872" s="11"/>
      <c r="AE872" s="11"/>
      <c r="AF872" s="11"/>
      <c r="AG872" s="11"/>
      <c r="AH872" s="11"/>
      <c r="AI872" s="11"/>
      <c r="AJ872" s="11"/>
      <c r="AK872" s="11"/>
      <c r="AL872" s="11"/>
    </row>
    <row r="873" spans="1:38" ht="17.149999999999999" x14ac:dyDescent="0.55000000000000004">
      <c r="A873" t="str" cm="1">
        <f t="array" ref="A873">INDEX(FX_Input,$R873,S$5)</f>
        <v>FX - 63</v>
      </c>
      <c r="B873" t="str" cm="1">
        <f t="array" ref="B873">INDEX(FX_Input,R873,T873)</f>
        <v>Portland</v>
      </c>
      <c r="C873" t="s">
        <v>510</v>
      </c>
      <c r="D873">
        <f t="shared" ref="D873:O874" si="2027">VLOOKUP(VLOOKUP($B873,Terminal_X_Ref,2,FALSE)&amp;$C873,Weather_Data,$Y873*D$3+$Z873,FALSE)+459.6</f>
        <v>498.3</v>
      </c>
      <c r="E873">
        <f t="shared" si="2027"/>
        <v>497.70000000000005</v>
      </c>
      <c r="F873">
        <f t="shared" si="2027"/>
        <v>499.1</v>
      </c>
      <c r="G873">
        <f t="shared" si="2027"/>
        <v>501.5</v>
      </c>
      <c r="H873">
        <f t="shared" si="2027"/>
        <v>506.1</v>
      </c>
      <c r="I873">
        <f t="shared" si="2027"/>
        <v>510.3</v>
      </c>
      <c r="J873">
        <f t="shared" si="2027"/>
        <v>513.70000000000005</v>
      </c>
      <c r="K873">
        <f t="shared" si="2027"/>
        <v>513.70000000000005</v>
      </c>
      <c r="L873">
        <f t="shared" si="2027"/>
        <v>510</v>
      </c>
      <c r="M873">
        <f t="shared" si="2027"/>
        <v>504.90000000000003</v>
      </c>
      <c r="N873">
        <f t="shared" si="2027"/>
        <v>500.6</v>
      </c>
      <c r="O873">
        <f t="shared" si="2027"/>
        <v>498.20000000000005</v>
      </c>
      <c r="P873">
        <f t="shared" ref="P873:P874" si="2028">VLOOKUP(VLOOKUP($B873,Terminal_X_Ref,2,FALSE)&amp;$C873,Weather_Data,$Y873*P$3+$Z873,FALSE)</f>
        <v>44.9</v>
      </c>
      <c r="R873">
        <f>R859+2</f>
        <v>125</v>
      </c>
      <c r="S873">
        <f>S859+1</f>
        <v>63</v>
      </c>
      <c r="T873">
        <v>3</v>
      </c>
      <c r="U873">
        <v>2</v>
      </c>
      <c r="V873">
        <v>3</v>
      </c>
      <c r="W873">
        <v>1</v>
      </c>
      <c r="X873">
        <v>2</v>
      </c>
      <c r="Y873">
        <f>(V873-U873)/(X873-W873)</f>
        <v>1</v>
      </c>
      <c r="Z873">
        <f>U873-Y873*W873</f>
        <v>1</v>
      </c>
      <c r="AA873">
        <f>AA859+1</f>
        <v>63</v>
      </c>
      <c r="AB873">
        <v>6</v>
      </c>
      <c r="AC873">
        <v>3</v>
      </c>
      <c r="AD873">
        <v>13</v>
      </c>
      <c r="AE873">
        <v>12</v>
      </c>
      <c r="AF873">
        <v>14</v>
      </c>
      <c r="AG873">
        <v>77</v>
      </c>
      <c r="AH873">
        <v>78</v>
      </c>
      <c r="AI873">
        <v>1</v>
      </c>
      <c r="AJ873">
        <v>2</v>
      </c>
      <c r="AK873">
        <f>(AH873-AG873)/(AJ873-AI873)</f>
        <v>1</v>
      </c>
      <c r="AL873">
        <f>AG873-AK873*AI873</f>
        <v>76</v>
      </c>
    </row>
    <row r="874" spans="1:38" ht="17.149999999999999" x14ac:dyDescent="0.55000000000000004">
      <c r="B874" t="str">
        <f t="shared" ref="B874" si="2029">B873</f>
        <v>Portland</v>
      </c>
      <c r="C874" t="s">
        <v>511</v>
      </c>
      <c r="D874">
        <f t="shared" si="2027"/>
        <v>508.70000000000005</v>
      </c>
      <c r="E874">
        <f t="shared" si="2027"/>
        <v>510.90000000000003</v>
      </c>
      <c r="F874">
        <f t="shared" si="2027"/>
        <v>512.30000000000007</v>
      </c>
      <c r="G874">
        <f t="shared" si="2027"/>
        <v>514.9</v>
      </c>
      <c r="H874">
        <f t="shared" si="2027"/>
        <v>519.4</v>
      </c>
      <c r="I874">
        <f t="shared" si="2027"/>
        <v>522.80000000000007</v>
      </c>
      <c r="J874">
        <f t="shared" si="2027"/>
        <v>526.4</v>
      </c>
      <c r="K874">
        <f t="shared" si="2027"/>
        <v>527.30000000000007</v>
      </c>
      <c r="L874">
        <f t="shared" si="2027"/>
        <v>526.4</v>
      </c>
      <c r="M874">
        <f t="shared" si="2027"/>
        <v>519.6</v>
      </c>
      <c r="N874">
        <f t="shared" si="2027"/>
        <v>512.80000000000007</v>
      </c>
      <c r="O874">
        <f t="shared" si="2027"/>
        <v>508.20000000000005</v>
      </c>
      <c r="P874">
        <f t="shared" si="2028"/>
        <v>57.9</v>
      </c>
      <c r="U874">
        <f>U873</f>
        <v>2</v>
      </c>
      <c r="V874">
        <f t="shared" ref="V874:Z874" si="2030">V873</f>
        <v>3</v>
      </c>
      <c r="W874">
        <f t="shared" si="2030"/>
        <v>1</v>
      </c>
      <c r="X874">
        <f t="shared" si="2030"/>
        <v>2</v>
      </c>
      <c r="Y874">
        <f t="shared" si="2030"/>
        <v>1</v>
      </c>
      <c r="Z874">
        <f t="shared" si="2030"/>
        <v>1</v>
      </c>
      <c r="AA874">
        <f>AA873</f>
        <v>63</v>
      </c>
      <c r="AB874">
        <f t="shared" ref="AB874:AL877" si="2031">AB873</f>
        <v>6</v>
      </c>
      <c r="AC874">
        <f t="shared" si="2031"/>
        <v>3</v>
      </c>
      <c r="AD874">
        <f t="shared" si="2031"/>
        <v>13</v>
      </c>
      <c r="AE874">
        <f t="shared" si="2031"/>
        <v>12</v>
      </c>
      <c r="AF874">
        <f t="shared" si="2031"/>
        <v>14</v>
      </c>
      <c r="AG874">
        <f t="shared" si="2031"/>
        <v>77</v>
      </c>
      <c r="AH874">
        <f t="shared" si="2031"/>
        <v>78</v>
      </c>
      <c r="AI874">
        <f t="shared" si="2031"/>
        <v>1</v>
      </c>
      <c r="AJ874">
        <f t="shared" si="2031"/>
        <v>2</v>
      </c>
      <c r="AK874">
        <f t="shared" si="2031"/>
        <v>1</v>
      </c>
      <c r="AL874">
        <f t="shared" si="2031"/>
        <v>76</v>
      </c>
    </row>
    <row r="875" spans="1:38" ht="17.149999999999999" x14ac:dyDescent="0.4">
      <c r="B875" t="str">
        <f>B874</f>
        <v>Portland</v>
      </c>
      <c r="C875" s="66" t="s">
        <v>514</v>
      </c>
      <c r="D875" t="str" cm="1">
        <f t="array" ref="D875">INDEX(FX_Calcs,$AA875,$AE875)</f>
        <v>N/A</v>
      </c>
      <c r="E875" t="str" cm="1">
        <f t="array" ref="E875">INDEX(FX_Calcs,$AA875,$AE875)</f>
        <v>N/A</v>
      </c>
      <c r="F875" t="str" cm="1">
        <f t="array" ref="F875">INDEX(FX_Calcs,$AA875,$AE875)</f>
        <v>N/A</v>
      </c>
      <c r="G875" t="str" cm="1">
        <f t="array" ref="G875">INDEX(FX_Calcs,$AA875,$AE875)</f>
        <v>N/A</v>
      </c>
      <c r="H875" t="str" cm="1">
        <f t="array" ref="H875">INDEX(FX_Calcs,$AA875,$AE875)</f>
        <v>N/A</v>
      </c>
      <c r="I875" t="str" cm="1">
        <f t="array" ref="I875">INDEX(FX_Calcs,$AA875,$AE875)</f>
        <v>N/A</v>
      </c>
      <c r="J875" t="str" cm="1">
        <f t="array" ref="J875">INDEX(FX_Calcs,$AA875,$AE875)</f>
        <v>N/A</v>
      </c>
      <c r="K875" t="str" cm="1">
        <f t="array" ref="K875">INDEX(FX_Calcs,$AA875,$AE875)</f>
        <v>N/A</v>
      </c>
      <c r="L875" t="str" cm="1">
        <f t="array" ref="L875">INDEX(FX_Calcs,$AA875,$AE875)</f>
        <v>N/A</v>
      </c>
      <c r="M875" t="str" cm="1">
        <f t="array" ref="M875">INDEX(FX_Calcs,$AA875,$AE875)</f>
        <v>N/A</v>
      </c>
      <c r="N875" t="str" cm="1">
        <f t="array" ref="N875">INDEX(FX_Calcs,$AA875,$AE875)</f>
        <v>N/A</v>
      </c>
      <c r="O875" t="str" cm="1">
        <f t="array" ref="O875">INDEX(FX_Calcs,$AA875,$AE875)</f>
        <v>N/A</v>
      </c>
      <c r="P875" t="str" cm="1">
        <f t="array" ref="P875">INDEX(FX_Calcs,$AA875,$AE875)</f>
        <v>N/A</v>
      </c>
      <c r="AA875">
        <f>AA874</f>
        <v>63</v>
      </c>
      <c r="AB875">
        <f t="shared" si="2031"/>
        <v>6</v>
      </c>
      <c r="AC875">
        <f t="shared" si="2031"/>
        <v>3</v>
      </c>
      <c r="AD875">
        <f t="shared" si="2031"/>
        <v>13</v>
      </c>
      <c r="AE875">
        <f t="shared" si="2031"/>
        <v>12</v>
      </c>
      <c r="AF875">
        <f t="shared" si="2031"/>
        <v>14</v>
      </c>
      <c r="AG875">
        <f t="shared" si="2031"/>
        <v>77</v>
      </c>
      <c r="AH875">
        <f t="shared" si="2031"/>
        <v>78</v>
      </c>
      <c r="AI875">
        <f t="shared" si="2031"/>
        <v>1</v>
      </c>
      <c r="AJ875">
        <f t="shared" si="2031"/>
        <v>2</v>
      </c>
      <c r="AK875">
        <f t="shared" si="2031"/>
        <v>1</v>
      </c>
      <c r="AL875">
        <f t="shared" si="2031"/>
        <v>76</v>
      </c>
    </row>
    <row r="876" spans="1:38" ht="17.149999999999999" x14ac:dyDescent="0.4">
      <c r="B876" t="str">
        <f t="shared" ref="B876:B877" si="2032">B875</f>
        <v>Portland</v>
      </c>
      <c r="C876" s="66" t="s">
        <v>513</v>
      </c>
      <c r="D876" t="str" cm="1">
        <f t="array" ref="D876">INDEX(FX_Calcs,$AA876,$AD876)</f>
        <v>N/A</v>
      </c>
      <c r="E876" t="str" cm="1">
        <f t="array" ref="E876">INDEX(FX_Calcs,$AA876,$AD876)</f>
        <v>N/A</v>
      </c>
      <c r="F876" t="str" cm="1">
        <f t="array" ref="F876">INDEX(FX_Calcs,$AA876,$AD876)</f>
        <v>N/A</v>
      </c>
      <c r="G876" t="str" cm="1">
        <f t="array" ref="G876">INDEX(FX_Calcs,$AA876,$AD876)</f>
        <v>N/A</v>
      </c>
      <c r="H876" t="str" cm="1">
        <f t="array" ref="H876">INDEX(FX_Calcs,$AA876,$AD876)</f>
        <v>N/A</v>
      </c>
      <c r="I876" t="str" cm="1">
        <f t="array" ref="I876">INDEX(FX_Calcs,$AA876,$AD876)</f>
        <v>N/A</v>
      </c>
      <c r="J876" t="str" cm="1">
        <f t="array" ref="J876">INDEX(FX_Calcs,$AA876,$AD876)</f>
        <v>N/A</v>
      </c>
      <c r="K876" t="str" cm="1">
        <f t="array" ref="K876">INDEX(FX_Calcs,$AA876,$AD876)</f>
        <v>N/A</v>
      </c>
      <c r="L876" t="str" cm="1">
        <f t="array" ref="L876">INDEX(FX_Calcs,$AA876,$AD876)</f>
        <v>N/A</v>
      </c>
      <c r="M876" t="str" cm="1">
        <f t="array" ref="M876">INDEX(FX_Calcs,$AA876,$AD876)</f>
        <v>N/A</v>
      </c>
      <c r="N876" t="str" cm="1">
        <f t="array" ref="N876">INDEX(FX_Calcs,$AA876,$AD876)</f>
        <v>N/A</v>
      </c>
      <c r="O876" t="str" cm="1">
        <f t="array" ref="O876">INDEX(FX_Calcs,$AA876,$AD876)</f>
        <v>N/A</v>
      </c>
      <c r="P876" t="str" cm="1">
        <f t="array" ref="P876">INDEX(FX_Calcs,$AA876,$AD876)</f>
        <v>N/A</v>
      </c>
      <c r="AA876">
        <f>AA875</f>
        <v>63</v>
      </c>
      <c r="AB876">
        <f t="shared" si="2031"/>
        <v>6</v>
      </c>
      <c r="AC876">
        <f t="shared" si="2031"/>
        <v>3</v>
      </c>
      <c r="AD876">
        <f t="shared" si="2031"/>
        <v>13</v>
      </c>
      <c r="AE876">
        <f t="shared" si="2031"/>
        <v>12</v>
      </c>
      <c r="AF876">
        <f t="shared" si="2031"/>
        <v>14</v>
      </c>
      <c r="AG876">
        <f t="shared" si="2031"/>
        <v>77</v>
      </c>
      <c r="AH876">
        <f t="shared" si="2031"/>
        <v>78</v>
      </c>
      <c r="AI876">
        <f t="shared" si="2031"/>
        <v>1</v>
      </c>
      <c r="AJ876">
        <f t="shared" si="2031"/>
        <v>2</v>
      </c>
      <c r="AK876">
        <f t="shared" si="2031"/>
        <v>1</v>
      </c>
      <c r="AL876">
        <f t="shared" si="2031"/>
        <v>76</v>
      </c>
    </row>
    <row r="877" spans="1:38" x14ac:dyDescent="0.4">
      <c r="B877" t="str">
        <f t="shared" si="2032"/>
        <v>Portland</v>
      </c>
      <c r="C877" s="66" t="s">
        <v>558</v>
      </c>
      <c r="D877" t="str" cm="1">
        <f t="array" ref="D877">INDEX(FX_Calcs,$AA877,$AF877)</f>
        <v>Insulated</v>
      </c>
      <c r="E877" t="str" cm="1">
        <f t="array" ref="E877">INDEX(FX_Calcs,$AA877,$AF877)</f>
        <v>Insulated</v>
      </c>
      <c r="F877" t="str" cm="1">
        <f t="array" ref="F877">INDEX(FX_Calcs,$AA877,$AF877)</f>
        <v>Insulated</v>
      </c>
      <c r="G877" t="str" cm="1">
        <f t="array" ref="G877">INDEX(FX_Calcs,$AA877,$AF877)</f>
        <v>Insulated</v>
      </c>
      <c r="H877" t="str" cm="1">
        <f t="array" ref="H877">INDEX(FX_Calcs,$AA877,$AF877)</f>
        <v>Insulated</v>
      </c>
      <c r="I877" t="str" cm="1">
        <f t="array" ref="I877">INDEX(FX_Calcs,$AA877,$AF877)</f>
        <v>Insulated</v>
      </c>
      <c r="J877" t="str" cm="1">
        <f t="array" ref="J877">INDEX(FX_Calcs,$AA877,$AF877)</f>
        <v>Insulated</v>
      </c>
      <c r="K877" t="str" cm="1">
        <f t="array" ref="K877">INDEX(FX_Calcs,$AA877,$AF877)</f>
        <v>Insulated</v>
      </c>
      <c r="L877" t="str" cm="1">
        <f t="array" ref="L877">INDEX(FX_Calcs,$AA877,$AF877)</f>
        <v>Insulated</v>
      </c>
      <c r="M877" t="str" cm="1">
        <f t="array" ref="M877">INDEX(FX_Calcs,$AA877,$AF877)</f>
        <v>Insulated</v>
      </c>
      <c r="N877" t="str" cm="1">
        <f t="array" ref="N877">INDEX(FX_Calcs,$AA877,$AF877)</f>
        <v>Insulated</v>
      </c>
      <c r="O877" t="str" cm="1">
        <f t="array" ref="O877">INDEX(FX_Calcs,$AA877,$AF877)</f>
        <v>Insulated</v>
      </c>
      <c r="P877" t="str" cm="1">
        <f t="array" ref="P877">INDEX(FX_Calcs,$AA877,$AF877)</f>
        <v>Insulated</v>
      </c>
      <c r="AA877">
        <f>AA876</f>
        <v>63</v>
      </c>
      <c r="AB877">
        <f t="shared" si="2031"/>
        <v>6</v>
      </c>
      <c r="AC877">
        <f t="shared" si="2031"/>
        <v>3</v>
      </c>
      <c r="AD877">
        <f t="shared" si="2031"/>
        <v>13</v>
      </c>
      <c r="AE877">
        <f t="shared" si="2031"/>
        <v>12</v>
      </c>
      <c r="AF877">
        <f t="shared" si="2031"/>
        <v>14</v>
      </c>
      <c r="AG877">
        <f t="shared" si="2031"/>
        <v>77</v>
      </c>
      <c r="AH877">
        <f t="shared" si="2031"/>
        <v>78</v>
      </c>
      <c r="AI877">
        <f t="shared" si="2031"/>
        <v>1</v>
      </c>
      <c r="AJ877">
        <f t="shared" si="2031"/>
        <v>2</v>
      </c>
      <c r="AK877">
        <f t="shared" si="2031"/>
        <v>1</v>
      </c>
      <c r="AL877">
        <f t="shared" si="2031"/>
        <v>76</v>
      </c>
    </row>
    <row r="878" spans="1:38" ht="17.149999999999999" x14ac:dyDescent="0.55000000000000004">
      <c r="B878" t="str">
        <f>B874</f>
        <v>Portland</v>
      </c>
      <c r="C878" t="s">
        <v>512</v>
      </c>
      <c r="D878">
        <f t="shared" ref="D878:P878" si="2033">D874-D873</f>
        <v>10.400000000000034</v>
      </c>
      <c r="E878">
        <f t="shared" si="2033"/>
        <v>13.199999999999989</v>
      </c>
      <c r="F878">
        <f t="shared" si="2033"/>
        <v>13.200000000000045</v>
      </c>
      <c r="G878">
        <f t="shared" si="2033"/>
        <v>13.399999999999977</v>
      </c>
      <c r="H878">
        <f t="shared" si="2033"/>
        <v>13.299999999999955</v>
      </c>
      <c r="I878">
        <f t="shared" si="2033"/>
        <v>12.500000000000057</v>
      </c>
      <c r="J878">
        <f t="shared" si="2033"/>
        <v>12.699999999999932</v>
      </c>
      <c r="K878">
        <f t="shared" si="2033"/>
        <v>13.600000000000023</v>
      </c>
      <c r="L878">
        <f t="shared" si="2033"/>
        <v>16.399999999999977</v>
      </c>
      <c r="M878">
        <f t="shared" si="2033"/>
        <v>14.699999999999989</v>
      </c>
      <c r="N878">
        <f t="shared" si="2033"/>
        <v>12.200000000000045</v>
      </c>
      <c r="O878">
        <f t="shared" si="2033"/>
        <v>10</v>
      </c>
      <c r="P878">
        <f t="shared" si="2033"/>
        <v>13</v>
      </c>
    </row>
    <row r="879" spans="1:38" x14ac:dyDescent="0.4">
      <c r="B879" t="str">
        <f t="shared" ref="B879:B886" si="2034">B878</f>
        <v>Portland</v>
      </c>
      <c r="C879" t="s">
        <v>260</v>
      </c>
      <c r="D879">
        <f t="shared" ref="D879:P879" si="2035">VLOOKUP(VLOOKUP($B879,Terminal_X_Ref,2,FALSE)&amp;$C879,Weather_Data,$Y879*D$3+$Z879,FALSE)</f>
        <v>343</v>
      </c>
      <c r="E879">
        <f t="shared" si="2035"/>
        <v>600</v>
      </c>
      <c r="F879">
        <f t="shared" si="2035"/>
        <v>877</v>
      </c>
      <c r="G879">
        <f t="shared" si="2035"/>
        <v>1252</v>
      </c>
      <c r="H879">
        <f t="shared" si="2035"/>
        <v>1537</v>
      </c>
      <c r="I879">
        <f t="shared" si="2035"/>
        <v>1627</v>
      </c>
      <c r="J879">
        <f t="shared" si="2035"/>
        <v>1708</v>
      </c>
      <c r="K879">
        <f t="shared" si="2035"/>
        <v>1492</v>
      </c>
      <c r="L879">
        <f t="shared" si="2035"/>
        <v>1196</v>
      </c>
      <c r="M879">
        <f t="shared" si="2035"/>
        <v>728</v>
      </c>
      <c r="N879">
        <f t="shared" si="2035"/>
        <v>391</v>
      </c>
      <c r="O879">
        <f t="shared" si="2035"/>
        <v>302</v>
      </c>
      <c r="P879">
        <f t="shared" si="2035"/>
        <v>1005</v>
      </c>
      <c r="U879">
        <f>U874</f>
        <v>2</v>
      </c>
      <c r="V879">
        <f t="shared" ref="V879:Z879" si="2036">V874</f>
        <v>3</v>
      </c>
      <c r="W879">
        <f t="shared" si="2036"/>
        <v>1</v>
      </c>
      <c r="X879">
        <f t="shared" si="2036"/>
        <v>2</v>
      </c>
      <c r="Y879">
        <f t="shared" si="2036"/>
        <v>1</v>
      </c>
      <c r="Z879">
        <f t="shared" si="2036"/>
        <v>1</v>
      </c>
    </row>
    <row r="880" spans="1:38" ht="17.149999999999999" x14ac:dyDescent="0.55000000000000004">
      <c r="B880" t="str">
        <f t="shared" si="2034"/>
        <v>Portland</v>
      </c>
      <c r="C880" t="s">
        <v>523</v>
      </c>
      <c r="D880">
        <f>IF(ISNUMBER(D877),0.7*D878+0.02*D877*D879,IF(D877="Partially Insulated",0.6*D878+0.02*D876*D879,0))</f>
        <v>0</v>
      </c>
      <c r="E880">
        <f t="shared" ref="E880:P880" si="2037">IF(ISNUMBER(E877),0.7*E878+0.02*E877*E879,IF(E877="Partially Insulated",0.6*E878+0.02*E876*E879,0))</f>
        <v>0</v>
      </c>
      <c r="F880">
        <f t="shared" si="2037"/>
        <v>0</v>
      </c>
      <c r="G880">
        <f t="shared" si="2037"/>
        <v>0</v>
      </c>
      <c r="H880">
        <f t="shared" si="2037"/>
        <v>0</v>
      </c>
      <c r="I880">
        <f t="shared" si="2037"/>
        <v>0</v>
      </c>
      <c r="J880">
        <f t="shared" si="2037"/>
        <v>0</v>
      </c>
      <c r="K880">
        <f t="shared" si="2037"/>
        <v>0</v>
      </c>
      <c r="L880">
        <f t="shared" si="2037"/>
        <v>0</v>
      </c>
      <c r="M880">
        <f t="shared" si="2037"/>
        <v>0</v>
      </c>
      <c r="N880">
        <f t="shared" si="2037"/>
        <v>0</v>
      </c>
      <c r="O880">
        <f t="shared" si="2037"/>
        <v>0</v>
      </c>
      <c r="P880">
        <f t="shared" si="2037"/>
        <v>0</v>
      </c>
    </row>
    <row r="881" spans="1:38" ht="17.149999999999999" x14ac:dyDescent="0.55000000000000004">
      <c r="B881" t="str">
        <f t="shared" si="2034"/>
        <v>Portland</v>
      </c>
      <c r="C881" t="s">
        <v>524</v>
      </c>
      <c r="D881">
        <f t="shared" ref="D881:F881" si="2038">AVERAGE(D873:D874)</f>
        <v>503.5</v>
      </c>
      <c r="E881">
        <f t="shared" si="2038"/>
        <v>504.30000000000007</v>
      </c>
      <c r="F881">
        <f t="shared" si="2038"/>
        <v>505.70000000000005</v>
      </c>
      <c r="G881">
        <f>AVERAGE(G873:G874)</f>
        <v>508.2</v>
      </c>
      <c r="H881">
        <f t="shared" ref="H881:P881" si="2039">AVERAGE(H873:H874)</f>
        <v>512.75</v>
      </c>
      <c r="I881">
        <f t="shared" si="2039"/>
        <v>516.55000000000007</v>
      </c>
      <c r="J881">
        <f t="shared" si="2039"/>
        <v>520.04999999999995</v>
      </c>
      <c r="K881">
        <f t="shared" si="2039"/>
        <v>520.5</v>
      </c>
      <c r="L881">
        <f t="shared" si="2039"/>
        <v>518.20000000000005</v>
      </c>
      <c r="M881">
        <f t="shared" si="2039"/>
        <v>512.25</v>
      </c>
      <c r="N881">
        <f t="shared" si="2039"/>
        <v>506.70000000000005</v>
      </c>
      <c r="O881">
        <f t="shared" si="2039"/>
        <v>503.20000000000005</v>
      </c>
      <c r="P881">
        <f t="shared" si="2039"/>
        <v>51.4</v>
      </c>
    </row>
    <row r="882" spans="1:38" ht="17.149999999999999" x14ac:dyDescent="0.55000000000000004">
      <c r="B882" t="str">
        <f t="shared" si="2034"/>
        <v>Portland</v>
      </c>
      <c r="C882" t="s">
        <v>525</v>
      </c>
      <c r="D882" cm="1">
        <f t="array" ref="D882">IFERROR(IF(ISBLANK(INDEX(FX_Input,$R873,D$3*$AK873+$AL873)),D881+0.003*D875*D879,INDEX(FX_Input,$R873,D$3*$AK873+$AL873)+459.6),D881)</f>
        <v>503.5</v>
      </c>
      <c r="E882" cm="1">
        <f t="array" ref="E882">IFERROR(IF(ISBLANK(INDEX(FX_Input,$R873,E$3*$AK873+$AL873)),E881+0.003*E875*E879,INDEX(FX_Input,$R873,E$3*$AK873+$AL873)+459.6),E881)</f>
        <v>504.30000000000007</v>
      </c>
      <c r="F882" cm="1">
        <f t="array" ref="F882">IFERROR(IF(ISBLANK(INDEX(FX_Input,$R873,F$3*$AK873+$AL873)),F881+0.003*F875*F879,INDEX(FX_Input,$R873,F$3*$AK873+$AL873)+459.6),F881)</f>
        <v>505.70000000000005</v>
      </c>
      <c r="G882" cm="1">
        <f t="array" ref="G882">IFERROR(IF(ISBLANK(INDEX(FX_Input,$R873,G$3*$AK873+$AL873)),G881+0.003*G875*G879,INDEX(FX_Input,$R873,G$3*$AK873+$AL873)+459.6),G881)</f>
        <v>508.2</v>
      </c>
      <c r="H882" cm="1">
        <f t="array" ref="H882">IFERROR(IF(ISBLANK(INDEX(FX_Input,$R873,H$3*$AK873+$AL873)),H881+0.003*H875*H879,INDEX(FX_Input,$R873,H$3*$AK873+$AL873)+459.6),H881)</f>
        <v>512.75</v>
      </c>
      <c r="I882" cm="1">
        <f t="array" ref="I882">IFERROR(IF(ISBLANK(INDEX(FX_Input,$R873,I$3*$AK873+$AL873)),I881+0.003*I875*I879,INDEX(FX_Input,$R873,I$3*$AK873+$AL873)+459.6),I881)</f>
        <v>516.55000000000007</v>
      </c>
      <c r="J882" cm="1">
        <f t="array" ref="J882">IFERROR(IF(ISBLANK(INDEX(FX_Input,$R873,J$3*$AK873+$AL873)),J881+0.003*J875*J879,INDEX(FX_Input,$R873,J$3*$AK873+$AL873)+459.6),J881)</f>
        <v>520.04999999999995</v>
      </c>
      <c r="K882" cm="1">
        <f t="array" ref="K882">IFERROR(IF(ISBLANK(INDEX(FX_Input,$R873,K$3*$AK873+$AL873)),K881+0.003*K875*K879,INDEX(FX_Input,$R873,K$3*$AK873+$AL873)+459.6),K881)</f>
        <v>520.5</v>
      </c>
      <c r="L882" cm="1">
        <f t="array" ref="L882">IFERROR(IF(ISBLANK(INDEX(FX_Input,$R873,L$3*$AK873+$AL873)),L881+0.003*L875*L879,INDEX(FX_Input,$R873,L$3*$AK873+$AL873)+459.6),L881)</f>
        <v>518.20000000000005</v>
      </c>
      <c r="M882" cm="1">
        <f t="array" ref="M882">IFERROR(IF(ISBLANK(INDEX(FX_Input,$R873,M$3*$AK873+$AL873)),M881+0.003*M875*M879,INDEX(FX_Input,$R873,M$3*$AK873+$AL873)+459.6),M881)</f>
        <v>512.25</v>
      </c>
      <c r="N882" cm="1">
        <f t="array" ref="N882">IFERROR(IF(ISBLANK(INDEX(FX_Input,$R873,N$3*$AK873+$AL873)),N881+0.003*N875*N879,INDEX(FX_Input,$R873,N$3*$AK873+$AL873)+459.6),N881)</f>
        <v>506.70000000000005</v>
      </c>
      <c r="O882" cm="1">
        <f t="array" ref="O882">IFERROR(IF(ISBLANK(INDEX(FX_Input,$R873,O$3*$AK873+$AL873)),O881+0.003*O875*O879,INDEX(FX_Input,$R873,O$3*$AK873+$AL873)+459.6),O881)</f>
        <v>503.20000000000005</v>
      </c>
      <c r="P882" cm="1">
        <f t="array" ref="P882">IFERROR(IF(ISBLANK(INDEX(FX_Input,$R873,P$3*$AK873+$AL873)),P881+0.003*P875*P879,INDEX(FX_Input,$R873,P$3*$AK873+$AL873)+459.6),P881)</f>
        <v>959.6</v>
      </c>
    </row>
    <row r="883" spans="1:38" ht="17.149999999999999" x14ac:dyDescent="0.55000000000000004">
      <c r="B883" t="str">
        <f t="shared" si="2034"/>
        <v>Portland</v>
      </c>
      <c r="C883" t="s">
        <v>526</v>
      </c>
      <c r="D883">
        <f>IF(ISNUMBER(D877),0.4*D873+0.6*D882+0.005*D877*D879,IF(D877="Partially Insulated",0.3*D881+0.7*D882+0.005*D876*D879,D882))-459.6</f>
        <v>43.899999999999977</v>
      </c>
      <c r="E883">
        <f t="shared" ref="E883:O883" si="2040">IF(ISNUMBER(E877),0.4*E873+0.6*E882+0.005*E877*E879,IF(E877="Partially Insulated",0.3*E881+0.7*E882+0.005*E876*E879,E882))-459.6</f>
        <v>44.700000000000045</v>
      </c>
      <c r="F883">
        <f t="shared" si="2040"/>
        <v>46.100000000000023</v>
      </c>
      <c r="G883">
        <f t="shared" si="2040"/>
        <v>48.599999999999966</v>
      </c>
      <c r="H883">
        <f t="shared" si="2040"/>
        <v>53.149999999999977</v>
      </c>
      <c r="I883">
        <f t="shared" si="2040"/>
        <v>56.950000000000045</v>
      </c>
      <c r="J883">
        <f t="shared" si="2040"/>
        <v>60.449999999999932</v>
      </c>
      <c r="K883">
        <f t="shared" si="2040"/>
        <v>60.899999999999977</v>
      </c>
      <c r="L883">
        <f t="shared" si="2040"/>
        <v>58.600000000000023</v>
      </c>
      <c r="M883">
        <f t="shared" si="2040"/>
        <v>52.649999999999977</v>
      </c>
      <c r="N883">
        <f t="shared" si="2040"/>
        <v>47.100000000000023</v>
      </c>
      <c r="O883">
        <f t="shared" si="2040"/>
        <v>43.600000000000023</v>
      </c>
      <c r="P883">
        <f>AVERAGE(D883:O883)</f>
        <v>51.391666666666673</v>
      </c>
    </row>
    <row r="884" spans="1:38" ht="17.149999999999999" x14ac:dyDescent="0.55000000000000004">
      <c r="B884" t="str">
        <f t="shared" si="2034"/>
        <v>Portland</v>
      </c>
      <c r="C884" t="s">
        <v>527</v>
      </c>
      <c r="D884">
        <f>IF(ISNUMBER(D877),0.4*D874+0.6*D882+0.005*D877*D879,IF(D877="Partially Insulated",0.3*D881+0.7*D882+0.005*D876*D879,D882))-459.6</f>
        <v>43.899999999999977</v>
      </c>
      <c r="E884">
        <f t="shared" ref="E884:O884" si="2041">IF(ISNUMBER(E877),0.4*E874+0.6*E882+0.005*E877*E879,IF(E877="Partially Insulated",0.3*E881+0.7*E882+0.005*E876*E879,E882))-459.6</f>
        <v>44.700000000000045</v>
      </c>
      <c r="F884">
        <f t="shared" si="2041"/>
        <v>46.100000000000023</v>
      </c>
      <c r="G884">
        <f t="shared" si="2041"/>
        <v>48.599999999999966</v>
      </c>
      <c r="H884">
        <f t="shared" si="2041"/>
        <v>53.149999999999977</v>
      </c>
      <c r="I884">
        <f t="shared" si="2041"/>
        <v>56.950000000000045</v>
      </c>
      <c r="J884">
        <f t="shared" si="2041"/>
        <v>60.449999999999932</v>
      </c>
      <c r="K884">
        <f t="shared" si="2041"/>
        <v>60.899999999999977</v>
      </c>
      <c r="L884">
        <f t="shared" si="2041"/>
        <v>58.600000000000023</v>
      </c>
      <c r="M884">
        <f t="shared" si="2041"/>
        <v>52.649999999999977</v>
      </c>
      <c r="N884">
        <f t="shared" si="2041"/>
        <v>47.100000000000023</v>
      </c>
      <c r="O884">
        <f t="shared" si="2041"/>
        <v>43.600000000000023</v>
      </c>
      <c r="P884">
        <f>AVERAGE(D884:O884)</f>
        <v>51.391666666666673</v>
      </c>
    </row>
    <row r="885" spans="1:38" ht="17.149999999999999" x14ac:dyDescent="0.55000000000000004">
      <c r="B885" t="str">
        <f t="shared" si="2034"/>
        <v>Portland</v>
      </c>
      <c r="C885" t="s">
        <v>552</v>
      </c>
      <c r="D885">
        <f>IF(ISNUMBER(D877),0.4*D881+0.6*D882+0.005*D877*D879,IF(D877="Partially Insulated",0.3*D881+0.7*D882+0.005*D876*D879,D882))-459.6</f>
        <v>43.899999999999977</v>
      </c>
      <c r="E885">
        <f t="shared" ref="E885:O885" si="2042">IF(ISNUMBER(E877),0.4*E881+0.6*E882+0.005*E877*E879,IF(E877="Partially Insulated",0.3*E881+0.7*E882+0.005*E876*E879,E882))-459.6</f>
        <v>44.700000000000045</v>
      </c>
      <c r="F885">
        <f t="shared" si="2042"/>
        <v>46.100000000000023</v>
      </c>
      <c r="G885">
        <f t="shared" si="2042"/>
        <v>48.599999999999966</v>
      </c>
      <c r="H885">
        <f t="shared" si="2042"/>
        <v>53.149999999999977</v>
      </c>
      <c r="I885">
        <f t="shared" si="2042"/>
        <v>56.950000000000045</v>
      </c>
      <c r="J885">
        <f t="shared" si="2042"/>
        <v>60.449999999999932</v>
      </c>
      <c r="K885">
        <f t="shared" si="2042"/>
        <v>60.899999999999977</v>
      </c>
      <c r="L885">
        <f t="shared" si="2042"/>
        <v>58.600000000000023</v>
      </c>
      <c r="M885">
        <f t="shared" si="2042"/>
        <v>52.649999999999977</v>
      </c>
      <c r="N885">
        <f t="shared" si="2042"/>
        <v>47.100000000000023</v>
      </c>
      <c r="O885">
        <f t="shared" si="2042"/>
        <v>43.600000000000023</v>
      </c>
      <c r="P885">
        <f>AVERAGE(D885:O885)</f>
        <v>51.391666666666673</v>
      </c>
    </row>
    <row r="886" spans="1:38" ht="17.149999999999999" x14ac:dyDescent="0.55000000000000004">
      <c r="A886" s="11"/>
      <c r="B886" s="11" t="str">
        <f t="shared" si="2034"/>
        <v>Portland</v>
      </c>
      <c r="C886" s="11" t="s">
        <v>553</v>
      </c>
      <c r="D886" s="11">
        <f>IF(ISNUMBER(D877),0.7*D881+0.3*D882+0.009*D877*D879,IF(D877="Partially Insulated",0.6*D881+0.4*D882+0.01*D876*D879,D882))-459.6</f>
        <v>43.899999999999977</v>
      </c>
      <c r="E886" s="11">
        <f t="shared" ref="E886:O886" si="2043">IF(ISNUMBER(E877),0.7*E881+0.3*E882+0.009*E877*E879,IF(E877="Partially Insulated",0.6*E881+0.4*E882+0.01*E876*E879,E882))-459.6</f>
        <v>44.700000000000045</v>
      </c>
      <c r="F886" s="11">
        <f t="shared" si="2043"/>
        <v>46.100000000000023</v>
      </c>
      <c r="G886" s="11">
        <f t="shared" si="2043"/>
        <v>48.599999999999966</v>
      </c>
      <c r="H886" s="11">
        <f t="shared" si="2043"/>
        <v>53.149999999999977</v>
      </c>
      <c r="I886" s="11">
        <f t="shared" si="2043"/>
        <v>56.950000000000045</v>
      </c>
      <c r="J886" s="11">
        <f t="shared" si="2043"/>
        <v>60.449999999999932</v>
      </c>
      <c r="K886" s="11">
        <f t="shared" si="2043"/>
        <v>60.899999999999977</v>
      </c>
      <c r="L886" s="11">
        <f t="shared" si="2043"/>
        <v>58.600000000000023</v>
      </c>
      <c r="M886" s="11">
        <f t="shared" si="2043"/>
        <v>52.649999999999977</v>
      </c>
      <c r="N886" s="11">
        <f t="shared" si="2043"/>
        <v>47.100000000000023</v>
      </c>
      <c r="O886" s="11">
        <f t="shared" si="2043"/>
        <v>43.600000000000023</v>
      </c>
      <c r="P886" s="11">
        <f>AVERAGE(D886:O886)</f>
        <v>51.391666666666673</v>
      </c>
      <c r="Q886" s="11"/>
      <c r="R886" s="11"/>
      <c r="S886" s="11"/>
      <c r="T886" s="11"/>
      <c r="U886" s="11"/>
      <c r="V886" s="11"/>
      <c r="W886" s="11"/>
      <c r="X886" s="11"/>
      <c r="Y886" s="11"/>
      <c r="Z886" s="11"/>
      <c r="AA886" s="11"/>
      <c r="AB886" s="11"/>
      <c r="AC886" s="11"/>
      <c r="AD886" s="11"/>
      <c r="AE886" s="11"/>
      <c r="AF886" s="11"/>
      <c r="AG886" s="11"/>
      <c r="AH886" s="11"/>
      <c r="AI886" s="11"/>
      <c r="AJ886" s="11"/>
      <c r="AK886" s="11"/>
      <c r="AL886" s="11"/>
    </row>
    <row r="887" spans="1:38" ht="17.149999999999999" x14ac:dyDescent="0.55000000000000004">
      <c r="A887" t="str" cm="1">
        <f t="array" ref="A887">INDEX(FX_Input,$R887,S$5)</f>
        <v>FX - 64</v>
      </c>
      <c r="B887" t="str" cm="1">
        <f t="array" ref="B887">INDEX(FX_Input,R887,T887)</f>
        <v>Portland</v>
      </c>
      <c r="C887" t="s">
        <v>510</v>
      </c>
      <c r="D887">
        <f t="shared" ref="D887:O888" si="2044">VLOOKUP(VLOOKUP($B887,Terminal_X_Ref,2,FALSE)&amp;$C887,Weather_Data,$Y887*D$3+$Z887,FALSE)+459.6</f>
        <v>498.3</v>
      </c>
      <c r="E887">
        <f t="shared" si="2044"/>
        <v>497.70000000000005</v>
      </c>
      <c r="F887">
        <f t="shared" si="2044"/>
        <v>499.1</v>
      </c>
      <c r="G887">
        <f t="shared" si="2044"/>
        <v>501.5</v>
      </c>
      <c r="H887">
        <f t="shared" si="2044"/>
        <v>506.1</v>
      </c>
      <c r="I887">
        <f t="shared" si="2044"/>
        <v>510.3</v>
      </c>
      <c r="J887">
        <f t="shared" si="2044"/>
        <v>513.70000000000005</v>
      </c>
      <c r="K887">
        <f t="shared" si="2044"/>
        <v>513.70000000000005</v>
      </c>
      <c r="L887">
        <f t="shared" si="2044"/>
        <v>510</v>
      </c>
      <c r="M887">
        <f t="shared" si="2044"/>
        <v>504.90000000000003</v>
      </c>
      <c r="N887">
        <f t="shared" si="2044"/>
        <v>500.6</v>
      </c>
      <c r="O887">
        <f t="shared" si="2044"/>
        <v>498.20000000000005</v>
      </c>
      <c r="P887">
        <f t="shared" ref="P887:P888" si="2045">VLOOKUP(VLOOKUP($B887,Terminal_X_Ref,2,FALSE)&amp;$C887,Weather_Data,$Y887*P$3+$Z887,FALSE)</f>
        <v>44.9</v>
      </c>
      <c r="R887">
        <f>R873+2</f>
        <v>127</v>
      </c>
      <c r="S887">
        <f>S873+1</f>
        <v>64</v>
      </c>
      <c r="T887">
        <v>3</v>
      </c>
      <c r="U887">
        <v>2</v>
      </c>
      <c r="V887">
        <v>3</v>
      </c>
      <c r="W887">
        <v>1</v>
      </c>
      <c r="X887">
        <v>2</v>
      </c>
      <c r="Y887">
        <f>(V887-U887)/(X887-W887)</f>
        <v>1</v>
      </c>
      <c r="Z887">
        <f>U887-Y887*W887</f>
        <v>1</v>
      </c>
      <c r="AA887">
        <f>AA873+1</f>
        <v>64</v>
      </c>
      <c r="AB887">
        <v>6</v>
      </c>
      <c r="AC887">
        <v>3</v>
      </c>
      <c r="AD887">
        <v>13</v>
      </c>
      <c r="AE887">
        <v>12</v>
      </c>
      <c r="AF887">
        <v>14</v>
      </c>
      <c r="AG887">
        <v>77</v>
      </c>
      <c r="AH887">
        <v>78</v>
      </c>
      <c r="AI887">
        <v>1</v>
      </c>
      <c r="AJ887">
        <v>2</v>
      </c>
      <c r="AK887">
        <f>(AH887-AG887)/(AJ887-AI887)</f>
        <v>1</v>
      </c>
      <c r="AL887">
        <f>AG887-AK887*AI887</f>
        <v>76</v>
      </c>
    </row>
    <row r="888" spans="1:38" ht="17.149999999999999" x14ac:dyDescent="0.55000000000000004">
      <c r="B888" t="str">
        <f t="shared" ref="B888" si="2046">B887</f>
        <v>Portland</v>
      </c>
      <c r="C888" t="s">
        <v>511</v>
      </c>
      <c r="D888">
        <f t="shared" si="2044"/>
        <v>508.70000000000005</v>
      </c>
      <c r="E888">
        <f t="shared" si="2044"/>
        <v>510.90000000000003</v>
      </c>
      <c r="F888">
        <f t="shared" si="2044"/>
        <v>512.30000000000007</v>
      </c>
      <c r="G888">
        <f t="shared" si="2044"/>
        <v>514.9</v>
      </c>
      <c r="H888">
        <f t="shared" si="2044"/>
        <v>519.4</v>
      </c>
      <c r="I888">
        <f t="shared" si="2044"/>
        <v>522.80000000000007</v>
      </c>
      <c r="J888">
        <f t="shared" si="2044"/>
        <v>526.4</v>
      </c>
      <c r="K888">
        <f t="shared" si="2044"/>
        <v>527.30000000000007</v>
      </c>
      <c r="L888">
        <f t="shared" si="2044"/>
        <v>526.4</v>
      </c>
      <c r="M888">
        <f t="shared" si="2044"/>
        <v>519.6</v>
      </c>
      <c r="N888">
        <f t="shared" si="2044"/>
        <v>512.80000000000007</v>
      </c>
      <c r="O888">
        <f t="shared" si="2044"/>
        <v>508.20000000000005</v>
      </c>
      <c r="P888">
        <f t="shared" si="2045"/>
        <v>57.9</v>
      </c>
      <c r="U888">
        <f>U887</f>
        <v>2</v>
      </c>
      <c r="V888">
        <f t="shared" ref="V888:Z888" si="2047">V887</f>
        <v>3</v>
      </c>
      <c r="W888">
        <f t="shared" si="2047"/>
        <v>1</v>
      </c>
      <c r="X888">
        <f t="shared" si="2047"/>
        <v>2</v>
      </c>
      <c r="Y888">
        <f t="shared" si="2047"/>
        <v>1</v>
      </c>
      <c r="Z888">
        <f t="shared" si="2047"/>
        <v>1</v>
      </c>
      <c r="AA888">
        <f>AA887</f>
        <v>64</v>
      </c>
      <c r="AB888">
        <f t="shared" ref="AB888:AL891" si="2048">AB887</f>
        <v>6</v>
      </c>
      <c r="AC888">
        <f t="shared" si="2048"/>
        <v>3</v>
      </c>
      <c r="AD888">
        <f t="shared" si="2048"/>
        <v>13</v>
      </c>
      <c r="AE888">
        <f t="shared" si="2048"/>
        <v>12</v>
      </c>
      <c r="AF888">
        <f t="shared" si="2048"/>
        <v>14</v>
      </c>
      <c r="AG888">
        <f t="shared" si="2048"/>
        <v>77</v>
      </c>
      <c r="AH888">
        <f t="shared" si="2048"/>
        <v>78</v>
      </c>
      <c r="AI888">
        <f t="shared" si="2048"/>
        <v>1</v>
      </c>
      <c r="AJ888">
        <f t="shared" si="2048"/>
        <v>2</v>
      </c>
      <c r="AK888">
        <f t="shared" si="2048"/>
        <v>1</v>
      </c>
      <c r="AL888">
        <f t="shared" si="2048"/>
        <v>76</v>
      </c>
    </row>
    <row r="889" spans="1:38" ht="17.149999999999999" x14ac:dyDescent="0.4">
      <c r="B889" t="str">
        <f>B888</f>
        <v>Portland</v>
      </c>
      <c r="C889" s="66" t="s">
        <v>514</v>
      </c>
      <c r="D889" t="str" cm="1">
        <f t="array" ref="D889">INDEX(FX_Calcs,$AA889,$AE889)</f>
        <v>N/A</v>
      </c>
      <c r="E889" t="str" cm="1">
        <f t="array" ref="E889">INDEX(FX_Calcs,$AA889,$AE889)</f>
        <v>N/A</v>
      </c>
      <c r="F889" t="str" cm="1">
        <f t="array" ref="F889">INDEX(FX_Calcs,$AA889,$AE889)</f>
        <v>N/A</v>
      </c>
      <c r="G889" t="str" cm="1">
        <f t="array" ref="G889">INDEX(FX_Calcs,$AA889,$AE889)</f>
        <v>N/A</v>
      </c>
      <c r="H889" t="str" cm="1">
        <f t="array" ref="H889">INDEX(FX_Calcs,$AA889,$AE889)</f>
        <v>N/A</v>
      </c>
      <c r="I889" t="str" cm="1">
        <f t="array" ref="I889">INDEX(FX_Calcs,$AA889,$AE889)</f>
        <v>N/A</v>
      </c>
      <c r="J889" t="str" cm="1">
        <f t="array" ref="J889">INDEX(FX_Calcs,$AA889,$AE889)</f>
        <v>N/A</v>
      </c>
      <c r="K889" t="str" cm="1">
        <f t="array" ref="K889">INDEX(FX_Calcs,$AA889,$AE889)</f>
        <v>N/A</v>
      </c>
      <c r="L889" t="str" cm="1">
        <f t="array" ref="L889">INDEX(FX_Calcs,$AA889,$AE889)</f>
        <v>N/A</v>
      </c>
      <c r="M889" t="str" cm="1">
        <f t="array" ref="M889">INDEX(FX_Calcs,$AA889,$AE889)</f>
        <v>N/A</v>
      </c>
      <c r="N889" t="str" cm="1">
        <f t="array" ref="N889">INDEX(FX_Calcs,$AA889,$AE889)</f>
        <v>N/A</v>
      </c>
      <c r="O889" t="str" cm="1">
        <f t="array" ref="O889">INDEX(FX_Calcs,$AA889,$AE889)</f>
        <v>N/A</v>
      </c>
      <c r="P889" t="str" cm="1">
        <f t="array" ref="P889">INDEX(FX_Calcs,$AA889,$AE889)</f>
        <v>N/A</v>
      </c>
      <c r="AA889">
        <f>AA888</f>
        <v>64</v>
      </c>
      <c r="AB889">
        <f t="shared" si="2048"/>
        <v>6</v>
      </c>
      <c r="AC889">
        <f t="shared" si="2048"/>
        <v>3</v>
      </c>
      <c r="AD889">
        <f t="shared" si="2048"/>
        <v>13</v>
      </c>
      <c r="AE889">
        <f t="shared" si="2048"/>
        <v>12</v>
      </c>
      <c r="AF889">
        <f t="shared" si="2048"/>
        <v>14</v>
      </c>
      <c r="AG889">
        <f t="shared" si="2048"/>
        <v>77</v>
      </c>
      <c r="AH889">
        <f t="shared" si="2048"/>
        <v>78</v>
      </c>
      <c r="AI889">
        <f t="shared" si="2048"/>
        <v>1</v>
      </c>
      <c r="AJ889">
        <f t="shared" si="2048"/>
        <v>2</v>
      </c>
      <c r="AK889">
        <f t="shared" si="2048"/>
        <v>1</v>
      </c>
      <c r="AL889">
        <f t="shared" si="2048"/>
        <v>76</v>
      </c>
    </row>
    <row r="890" spans="1:38" ht="17.149999999999999" x14ac:dyDescent="0.4">
      <c r="B890" t="str">
        <f t="shared" ref="B890:B891" si="2049">B889</f>
        <v>Portland</v>
      </c>
      <c r="C890" s="66" t="s">
        <v>513</v>
      </c>
      <c r="D890" t="str" cm="1">
        <f t="array" ref="D890">INDEX(FX_Calcs,$AA890,$AD890)</f>
        <v>N/A</v>
      </c>
      <c r="E890" t="str" cm="1">
        <f t="array" ref="E890">INDEX(FX_Calcs,$AA890,$AD890)</f>
        <v>N/A</v>
      </c>
      <c r="F890" t="str" cm="1">
        <f t="array" ref="F890">INDEX(FX_Calcs,$AA890,$AD890)</f>
        <v>N/A</v>
      </c>
      <c r="G890" t="str" cm="1">
        <f t="array" ref="G890">INDEX(FX_Calcs,$AA890,$AD890)</f>
        <v>N/A</v>
      </c>
      <c r="H890" t="str" cm="1">
        <f t="array" ref="H890">INDEX(FX_Calcs,$AA890,$AD890)</f>
        <v>N/A</v>
      </c>
      <c r="I890" t="str" cm="1">
        <f t="array" ref="I890">INDEX(FX_Calcs,$AA890,$AD890)</f>
        <v>N/A</v>
      </c>
      <c r="J890" t="str" cm="1">
        <f t="array" ref="J890">INDEX(FX_Calcs,$AA890,$AD890)</f>
        <v>N/A</v>
      </c>
      <c r="K890" t="str" cm="1">
        <f t="array" ref="K890">INDEX(FX_Calcs,$AA890,$AD890)</f>
        <v>N/A</v>
      </c>
      <c r="L890" t="str" cm="1">
        <f t="array" ref="L890">INDEX(FX_Calcs,$AA890,$AD890)</f>
        <v>N/A</v>
      </c>
      <c r="M890" t="str" cm="1">
        <f t="array" ref="M890">INDEX(FX_Calcs,$AA890,$AD890)</f>
        <v>N/A</v>
      </c>
      <c r="N890" t="str" cm="1">
        <f t="array" ref="N890">INDEX(FX_Calcs,$AA890,$AD890)</f>
        <v>N/A</v>
      </c>
      <c r="O890" t="str" cm="1">
        <f t="array" ref="O890">INDEX(FX_Calcs,$AA890,$AD890)</f>
        <v>N/A</v>
      </c>
      <c r="P890" t="str" cm="1">
        <f t="array" ref="P890">INDEX(FX_Calcs,$AA890,$AD890)</f>
        <v>N/A</v>
      </c>
      <c r="AA890">
        <f>AA889</f>
        <v>64</v>
      </c>
      <c r="AB890">
        <f t="shared" si="2048"/>
        <v>6</v>
      </c>
      <c r="AC890">
        <f t="shared" si="2048"/>
        <v>3</v>
      </c>
      <c r="AD890">
        <f t="shared" si="2048"/>
        <v>13</v>
      </c>
      <c r="AE890">
        <f t="shared" si="2048"/>
        <v>12</v>
      </c>
      <c r="AF890">
        <f t="shared" si="2048"/>
        <v>14</v>
      </c>
      <c r="AG890">
        <f t="shared" si="2048"/>
        <v>77</v>
      </c>
      <c r="AH890">
        <f t="shared" si="2048"/>
        <v>78</v>
      </c>
      <c r="AI890">
        <f t="shared" si="2048"/>
        <v>1</v>
      </c>
      <c r="AJ890">
        <f t="shared" si="2048"/>
        <v>2</v>
      </c>
      <c r="AK890">
        <f t="shared" si="2048"/>
        <v>1</v>
      </c>
      <c r="AL890">
        <f t="shared" si="2048"/>
        <v>76</v>
      </c>
    </row>
    <row r="891" spans="1:38" x14ac:dyDescent="0.4">
      <c r="B891" t="str">
        <f t="shared" si="2049"/>
        <v>Portland</v>
      </c>
      <c r="C891" s="66" t="s">
        <v>558</v>
      </c>
      <c r="D891" t="str" cm="1">
        <f t="array" ref="D891">INDEX(FX_Calcs,$AA891,$AF891)</f>
        <v>Insulated</v>
      </c>
      <c r="E891" t="str" cm="1">
        <f t="array" ref="E891">INDEX(FX_Calcs,$AA891,$AF891)</f>
        <v>Insulated</v>
      </c>
      <c r="F891" t="str" cm="1">
        <f t="array" ref="F891">INDEX(FX_Calcs,$AA891,$AF891)</f>
        <v>Insulated</v>
      </c>
      <c r="G891" t="str" cm="1">
        <f t="array" ref="G891">INDEX(FX_Calcs,$AA891,$AF891)</f>
        <v>Insulated</v>
      </c>
      <c r="H891" t="str" cm="1">
        <f t="array" ref="H891">INDEX(FX_Calcs,$AA891,$AF891)</f>
        <v>Insulated</v>
      </c>
      <c r="I891" t="str" cm="1">
        <f t="array" ref="I891">INDEX(FX_Calcs,$AA891,$AF891)</f>
        <v>Insulated</v>
      </c>
      <c r="J891" t="str" cm="1">
        <f t="array" ref="J891">INDEX(FX_Calcs,$AA891,$AF891)</f>
        <v>Insulated</v>
      </c>
      <c r="K891" t="str" cm="1">
        <f t="array" ref="K891">INDEX(FX_Calcs,$AA891,$AF891)</f>
        <v>Insulated</v>
      </c>
      <c r="L891" t="str" cm="1">
        <f t="array" ref="L891">INDEX(FX_Calcs,$AA891,$AF891)</f>
        <v>Insulated</v>
      </c>
      <c r="M891" t="str" cm="1">
        <f t="array" ref="M891">INDEX(FX_Calcs,$AA891,$AF891)</f>
        <v>Insulated</v>
      </c>
      <c r="N891" t="str" cm="1">
        <f t="array" ref="N891">INDEX(FX_Calcs,$AA891,$AF891)</f>
        <v>Insulated</v>
      </c>
      <c r="O891" t="str" cm="1">
        <f t="array" ref="O891">INDEX(FX_Calcs,$AA891,$AF891)</f>
        <v>Insulated</v>
      </c>
      <c r="P891" t="str" cm="1">
        <f t="array" ref="P891">INDEX(FX_Calcs,$AA891,$AF891)</f>
        <v>Insulated</v>
      </c>
      <c r="AA891">
        <f>AA890</f>
        <v>64</v>
      </c>
      <c r="AB891">
        <f t="shared" si="2048"/>
        <v>6</v>
      </c>
      <c r="AC891">
        <f t="shared" si="2048"/>
        <v>3</v>
      </c>
      <c r="AD891">
        <f t="shared" si="2048"/>
        <v>13</v>
      </c>
      <c r="AE891">
        <f t="shared" si="2048"/>
        <v>12</v>
      </c>
      <c r="AF891">
        <f t="shared" si="2048"/>
        <v>14</v>
      </c>
      <c r="AG891">
        <f t="shared" si="2048"/>
        <v>77</v>
      </c>
      <c r="AH891">
        <f t="shared" si="2048"/>
        <v>78</v>
      </c>
      <c r="AI891">
        <f t="shared" si="2048"/>
        <v>1</v>
      </c>
      <c r="AJ891">
        <f t="shared" si="2048"/>
        <v>2</v>
      </c>
      <c r="AK891">
        <f t="shared" si="2048"/>
        <v>1</v>
      </c>
      <c r="AL891">
        <f t="shared" si="2048"/>
        <v>76</v>
      </c>
    </row>
    <row r="892" spans="1:38" ht="17.149999999999999" x14ac:dyDescent="0.55000000000000004">
      <c r="B892" t="str">
        <f>B888</f>
        <v>Portland</v>
      </c>
      <c r="C892" t="s">
        <v>512</v>
      </c>
      <c r="D892">
        <f t="shared" ref="D892:P892" si="2050">D888-D887</f>
        <v>10.400000000000034</v>
      </c>
      <c r="E892">
        <f t="shared" si="2050"/>
        <v>13.199999999999989</v>
      </c>
      <c r="F892">
        <f t="shared" si="2050"/>
        <v>13.200000000000045</v>
      </c>
      <c r="G892">
        <f t="shared" si="2050"/>
        <v>13.399999999999977</v>
      </c>
      <c r="H892">
        <f t="shared" si="2050"/>
        <v>13.299999999999955</v>
      </c>
      <c r="I892">
        <f t="shared" si="2050"/>
        <v>12.500000000000057</v>
      </c>
      <c r="J892">
        <f t="shared" si="2050"/>
        <v>12.699999999999932</v>
      </c>
      <c r="K892">
        <f t="shared" si="2050"/>
        <v>13.600000000000023</v>
      </c>
      <c r="L892">
        <f t="shared" si="2050"/>
        <v>16.399999999999977</v>
      </c>
      <c r="M892">
        <f t="shared" si="2050"/>
        <v>14.699999999999989</v>
      </c>
      <c r="N892">
        <f t="shared" si="2050"/>
        <v>12.200000000000045</v>
      </c>
      <c r="O892">
        <f t="shared" si="2050"/>
        <v>10</v>
      </c>
      <c r="P892">
        <f t="shared" si="2050"/>
        <v>13</v>
      </c>
    </row>
    <row r="893" spans="1:38" x14ac:dyDescent="0.4">
      <c r="B893" t="str">
        <f t="shared" ref="B893:B900" si="2051">B892</f>
        <v>Portland</v>
      </c>
      <c r="C893" t="s">
        <v>260</v>
      </c>
      <c r="D893">
        <f t="shared" ref="D893:P893" si="2052">VLOOKUP(VLOOKUP($B893,Terminal_X_Ref,2,FALSE)&amp;$C893,Weather_Data,$Y893*D$3+$Z893,FALSE)</f>
        <v>343</v>
      </c>
      <c r="E893">
        <f t="shared" si="2052"/>
        <v>600</v>
      </c>
      <c r="F893">
        <f t="shared" si="2052"/>
        <v>877</v>
      </c>
      <c r="G893">
        <f t="shared" si="2052"/>
        <v>1252</v>
      </c>
      <c r="H893">
        <f t="shared" si="2052"/>
        <v>1537</v>
      </c>
      <c r="I893">
        <f t="shared" si="2052"/>
        <v>1627</v>
      </c>
      <c r="J893">
        <f t="shared" si="2052"/>
        <v>1708</v>
      </c>
      <c r="K893">
        <f t="shared" si="2052"/>
        <v>1492</v>
      </c>
      <c r="L893">
        <f t="shared" si="2052"/>
        <v>1196</v>
      </c>
      <c r="M893">
        <f t="shared" si="2052"/>
        <v>728</v>
      </c>
      <c r="N893">
        <f t="shared" si="2052"/>
        <v>391</v>
      </c>
      <c r="O893">
        <f t="shared" si="2052"/>
        <v>302</v>
      </c>
      <c r="P893">
        <f t="shared" si="2052"/>
        <v>1005</v>
      </c>
      <c r="U893">
        <f>U888</f>
        <v>2</v>
      </c>
      <c r="V893">
        <f t="shared" ref="V893:Z893" si="2053">V888</f>
        <v>3</v>
      </c>
      <c r="W893">
        <f t="shared" si="2053"/>
        <v>1</v>
      </c>
      <c r="X893">
        <f t="shared" si="2053"/>
        <v>2</v>
      </c>
      <c r="Y893">
        <f t="shared" si="2053"/>
        <v>1</v>
      </c>
      <c r="Z893">
        <f t="shared" si="2053"/>
        <v>1</v>
      </c>
    </row>
    <row r="894" spans="1:38" ht="17.149999999999999" x14ac:dyDescent="0.55000000000000004">
      <c r="B894" t="str">
        <f t="shared" si="2051"/>
        <v>Portland</v>
      </c>
      <c r="C894" t="s">
        <v>523</v>
      </c>
      <c r="D894">
        <f>IF(ISNUMBER(D891),0.7*D892+0.02*D891*D893,IF(D891="Partially Insulated",0.6*D892+0.02*D890*D893,0))</f>
        <v>0</v>
      </c>
      <c r="E894">
        <f t="shared" ref="E894:P894" si="2054">IF(ISNUMBER(E891),0.7*E892+0.02*E891*E893,IF(E891="Partially Insulated",0.6*E892+0.02*E890*E893,0))</f>
        <v>0</v>
      </c>
      <c r="F894">
        <f t="shared" si="2054"/>
        <v>0</v>
      </c>
      <c r="G894">
        <f t="shared" si="2054"/>
        <v>0</v>
      </c>
      <c r="H894">
        <f t="shared" si="2054"/>
        <v>0</v>
      </c>
      <c r="I894">
        <f t="shared" si="2054"/>
        <v>0</v>
      </c>
      <c r="J894">
        <f t="shared" si="2054"/>
        <v>0</v>
      </c>
      <c r="K894">
        <f t="shared" si="2054"/>
        <v>0</v>
      </c>
      <c r="L894">
        <f t="shared" si="2054"/>
        <v>0</v>
      </c>
      <c r="M894">
        <f t="shared" si="2054"/>
        <v>0</v>
      </c>
      <c r="N894">
        <f t="shared" si="2054"/>
        <v>0</v>
      </c>
      <c r="O894">
        <f t="shared" si="2054"/>
        <v>0</v>
      </c>
      <c r="P894">
        <f t="shared" si="2054"/>
        <v>0</v>
      </c>
    </row>
    <row r="895" spans="1:38" ht="17.149999999999999" x14ac:dyDescent="0.55000000000000004">
      <c r="B895" t="str">
        <f t="shared" si="2051"/>
        <v>Portland</v>
      </c>
      <c r="C895" t="s">
        <v>524</v>
      </c>
      <c r="D895">
        <f t="shared" ref="D895:F895" si="2055">AVERAGE(D887:D888)</f>
        <v>503.5</v>
      </c>
      <c r="E895">
        <f t="shared" si="2055"/>
        <v>504.30000000000007</v>
      </c>
      <c r="F895">
        <f t="shared" si="2055"/>
        <v>505.70000000000005</v>
      </c>
      <c r="G895">
        <f>AVERAGE(G887:G888)</f>
        <v>508.2</v>
      </c>
      <c r="H895">
        <f t="shared" ref="H895:P895" si="2056">AVERAGE(H887:H888)</f>
        <v>512.75</v>
      </c>
      <c r="I895">
        <f t="shared" si="2056"/>
        <v>516.55000000000007</v>
      </c>
      <c r="J895">
        <f t="shared" si="2056"/>
        <v>520.04999999999995</v>
      </c>
      <c r="K895">
        <f t="shared" si="2056"/>
        <v>520.5</v>
      </c>
      <c r="L895">
        <f t="shared" si="2056"/>
        <v>518.20000000000005</v>
      </c>
      <c r="M895">
        <f t="shared" si="2056"/>
        <v>512.25</v>
      </c>
      <c r="N895">
        <f t="shared" si="2056"/>
        <v>506.70000000000005</v>
      </c>
      <c r="O895">
        <f t="shared" si="2056"/>
        <v>503.20000000000005</v>
      </c>
      <c r="P895">
        <f t="shared" si="2056"/>
        <v>51.4</v>
      </c>
    </row>
    <row r="896" spans="1:38" ht="17.149999999999999" x14ac:dyDescent="0.55000000000000004">
      <c r="B896" t="str">
        <f t="shared" si="2051"/>
        <v>Portland</v>
      </c>
      <c r="C896" t="s">
        <v>525</v>
      </c>
      <c r="D896" cm="1">
        <f t="array" ref="D896">IFERROR(IF(ISBLANK(INDEX(FX_Input,$R887,D$3*$AK887+$AL887)),D895+0.003*D889*D893,INDEX(FX_Input,$R887,D$3*$AK887+$AL887)+459.6),D895)</f>
        <v>503.5</v>
      </c>
      <c r="E896" cm="1">
        <f t="array" ref="E896">IFERROR(IF(ISBLANK(INDEX(FX_Input,$R887,E$3*$AK887+$AL887)),E895+0.003*E889*E893,INDEX(FX_Input,$R887,E$3*$AK887+$AL887)+459.6),E895)</f>
        <v>504.30000000000007</v>
      </c>
      <c r="F896" cm="1">
        <f t="array" ref="F896">IFERROR(IF(ISBLANK(INDEX(FX_Input,$R887,F$3*$AK887+$AL887)),F895+0.003*F889*F893,INDEX(FX_Input,$R887,F$3*$AK887+$AL887)+459.6),F895)</f>
        <v>505.70000000000005</v>
      </c>
      <c r="G896" cm="1">
        <f t="array" ref="G896">IFERROR(IF(ISBLANK(INDEX(FX_Input,$R887,G$3*$AK887+$AL887)),G895+0.003*G889*G893,INDEX(FX_Input,$R887,G$3*$AK887+$AL887)+459.6),G895)</f>
        <v>508.2</v>
      </c>
      <c r="H896" cm="1">
        <f t="array" ref="H896">IFERROR(IF(ISBLANK(INDEX(FX_Input,$R887,H$3*$AK887+$AL887)),H895+0.003*H889*H893,INDEX(FX_Input,$R887,H$3*$AK887+$AL887)+459.6),H895)</f>
        <v>512.75</v>
      </c>
      <c r="I896" cm="1">
        <f t="array" ref="I896">IFERROR(IF(ISBLANK(INDEX(FX_Input,$R887,I$3*$AK887+$AL887)),I895+0.003*I889*I893,INDEX(FX_Input,$R887,I$3*$AK887+$AL887)+459.6),I895)</f>
        <v>516.55000000000007</v>
      </c>
      <c r="J896" cm="1">
        <f t="array" ref="J896">IFERROR(IF(ISBLANK(INDEX(FX_Input,$R887,J$3*$AK887+$AL887)),J895+0.003*J889*J893,INDEX(FX_Input,$R887,J$3*$AK887+$AL887)+459.6),J895)</f>
        <v>520.04999999999995</v>
      </c>
      <c r="K896" cm="1">
        <f t="array" ref="K896">IFERROR(IF(ISBLANK(INDEX(FX_Input,$R887,K$3*$AK887+$AL887)),K895+0.003*K889*K893,INDEX(FX_Input,$R887,K$3*$AK887+$AL887)+459.6),K895)</f>
        <v>520.5</v>
      </c>
      <c r="L896" cm="1">
        <f t="array" ref="L896">IFERROR(IF(ISBLANK(INDEX(FX_Input,$R887,L$3*$AK887+$AL887)),L895+0.003*L889*L893,INDEX(FX_Input,$R887,L$3*$AK887+$AL887)+459.6),L895)</f>
        <v>518.20000000000005</v>
      </c>
      <c r="M896" cm="1">
        <f t="array" ref="M896">IFERROR(IF(ISBLANK(INDEX(FX_Input,$R887,M$3*$AK887+$AL887)),M895+0.003*M889*M893,INDEX(FX_Input,$R887,M$3*$AK887+$AL887)+459.6),M895)</f>
        <v>512.25</v>
      </c>
      <c r="N896" cm="1">
        <f t="array" ref="N896">IFERROR(IF(ISBLANK(INDEX(FX_Input,$R887,N$3*$AK887+$AL887)),N895+0.003*N889*N893,INDEX(FX_Input,$R887,N$3*$AK887+$AL887)+459.6),N895)</f>
        <v>506.70000000000005</v>
      </c>
      <c r="O896" cm="1">
        <f t="array" ref="O896">IFERROR(IF(ISBLANK(INDEX(FX_Input,$R887,O$3*$AK887+$AL887)),O895+0.003*O889*O893,INDEX(FX_Input,$R887,O$3*$AK887+$AL887)+459.6),O895)</f>
        <v>503.20000000000005</v>
      </c>
      <c r="P896" cm="1">
        <f t="array" ref="P896">IFERROR(IF(ISBLANK(INDEX(FX_Input,$R887,P$3*$AK887+$AL887)),P895+0.003*P889*P893,INDEX(FX_Input,$R887,P$3*$AK887+$AL887)+459.6),P895)</f>
        <v>767.6</v>
      </c>
    </row>
    <row r="897" spans="1:38" ht="17.149999999999999" x14ac:dyDescent="0.55000000000000004">
      <c r="B897" t="str">
        <f t="shared" si="2051"/>
        <v>Portland</v>
      </c>
      <c r="C897" t="s">
        <v>526</v>
      </c>
      <c r="D897">
        <f>IF(ISNUMBER(D891),0.4*D887+0.6*D896+0.005*D891*D893,IF(D891="Partially Insulated",0.3*D895+0.7*D896+0.005*D890*D893,D896))-459.6</f>
        <v>43.899999999999977</v>
      </c>
      <c r="E897">
        <f t="shared" ref="E897:O897" si="2057">IF(ISNUMBER(E891),0.4*E887+0.6*E896+0.005*E891*E893,IF(E891="Partially Insulated",0.3*E895+0.7*E896+0.005*E890*E893,E896))-459.6</f>
        <v>44.700000000000045</v>
      </c>
      <c r="F897">
        <f t="shared" si="2057"/>
        <v>46.100000000000023</v>
      </c>
      <c r="G897">
        <f t="shared" si="2057"/>
        <v>48.599999999999966</v>
      </c>
      <c r="H897">
        <f t="shared" si="2057"/>
        <v>53.149999999999977</v>
      </c>
      <c r="I897">
        <f t="shared" si="2057"/>
        <v>56.950000000000045</v>
      </c>
      <c r="J897">
        <f t="shared" si="2057"/>
        <v>60.449999999999932</v>
      </c>
      <c r="K897">
        <f t="shared" si="2057"/>
        <v>60.899999999999977</v>
      </c>
      <c r="L897">
        <f t="shared" si="2057"/>
        <v>58.600000000000023</v>
      </c>
      <c r="M897">
        <f t="shared" si="2057"/>
        <v>52.649999999999977</v>
      </c>
      <c r="N897">
        <f t="shared" si="2057"/>
        <v>47.100000000000023</v>
      </c>
      <c r="O897">
        <f t="shared" si="2057"/>
        <v>43.600000000000023</v>
      </c>
      <c r="P897">
        <f>AVERAGE(D897:O897)</f>
        <v>51.391666666666673</v>
      </c>
    </row>
    <row r="898" spans="1:38" ht="17.149999999999999" x14ac:dyDescent="0.55000000000000004">
      <c r="B898" t="str">
        <f t="shared" si="2051"/>
        <v>Portland</v>
      </c>
      <c r="C898" t="s">
        <v>527</v>
      </c>
      <c r="D898">
        <f>IF(ISNUMBER(D891),0.4*D888+0.6*D896+0.005*D891*D893,IF(D891="Partially Insulated",0.3*D895+0.7*D896+0.005*D890*D893,D896))-459.6</f>
        <v>43.899999999999977</v>
      </c>
      <c r="E898">
        <f t="shared" ref="E898:O898" si="2058">IF(ISNUMBER(E891),0.4*E888+0.6*E896+0.005*E891*E893,IF(E891="Partially Insulated",0.3*E895+0.7*E896+0.005*E890*E893,E896))-459.6</f>
        <v>44.700000000000045</v>
      </c>
      <c r="F898">
        <f t="shared" si="2058"/>
        <v>46.100000000000023</v>
      </c>
      <c r="G898">
        <f t="shared" si="2058"/>
        <v>48.599999999999966</v>
      </c>
      <c r="H898">
        <f t="shared" si="2058"/>
        <v>53.149999999999977</v>
      </c>
      <c r="I898">
        <f t="shared" si="2058"/>
        <v>56.950000000000045</v>
      </c>
      <c r="J898">
        <f t="shared" si="2058"/>
        <v>60.449999999999932</v>
      </c>
      <c r="K898">
        <f t="shared" si="2058"/>
        <v>60.899999999999977</v>
      </c>
      <c r="L898">
        <f t="shared" si="2058"/>
        <v>58.600000000000023</v>
      </c>
      <c r="M898">
        <f t="shared" si="2058"/>
        <v>52.649999999999977</v>
      </c>
      <c r="N898">
        <f t="shared" si="2058"/>
        <v>47.100000000000023</v>
      </c>
      <c r="O898">
        <f t="shared" si="2058"/>
        <v>43.600000000000023</v>
      </c>
      <c r="P898">
        <f>AVERAGE(D898:O898)</f>
        <v>51.391666666666673</v>
      </c>
    </row>
    <row r="899" spans="1:38" ht="17.149999999999999" x14ac:dyDescent="0.55000000000000004">
      <c r="B899" t="str">
        <f t="shared" si="2051"/>
        <v>Portland</v>
      </c>
      <c r="C899" t="s">
        <v>552</v>
      </c>
      <c r="D899">
        <f>IF(ISNUMBER(D891),0.4*D895+0.6*D896+0.005*D891*D893,IF(D891="Partially Insulated",0.3*D895+0.7*D896+0.005*D890*D893,D896))-459.6</f>
        <v>43.899999999999977</v>
      </c>
      <c r="E899">
        <f t="shared" ref="E899:O899" si="2059">IF(ISNUMBER(E891),0.4*E895+0.6*E896+0.005*E891*E893,IF(E891="Partially Insulated",0.3*E895+0.7*E896+0.005*E890*E893,E896))-459.6</f>
        <v>44.700000000000045</v>
      </c>
      <c r="F899">
        <f t="shared" si="2059"/>
        <v>46.100000000000023</v>
      </c>
      <c r="G899">
        <f t="shared" si="2059"/>
        <v>48.599999999999966</v>
      </c>
      <c r="H899">
        <f t="shared" si="2059"/>
        <v>53.149999999999977</v>
      </c>
      <c r="I899">
        <f t="shared" si="2059"/>
        <v>56.950000000000045</v>
      </c>
      <c r="J899">
        <f t="shared" si="2059"/>
        <v>60.449999999999932</v>
      </c>
      <c r="K899">
        <f t="shared" si="2059"/>
        <v>60.899999999999977</v>
      </c>
      <c r="L899">
        <f t="shared" si="2059"/>
        <v>58.600000000000023</v>
      </c>
      <c r="M899">
        <f t="shared" si="2059"/>
        <v>52.649999999999977</v>
      </c>
      <c r="N899">
        <f t="shared" si="2059"/>
        <v>47.100000000000023</v>
      </c>
      <c r="O899">
        <f t="shared" si="2059"/>
        <v>43.600000000000023</v>
      </c>
      <c r="P899">
        <f>AVERAGE(D899:O899)</f>
        <v>51.391666666666673</v>
      </c>
    </row>
    <row r="900" spans="1:38" ht="17.149999999999999" x14ac:dyDescent="0.55000000000000004">
      <c r="A900" s="11"/>
      <c r="B900" s="11" t="str">
        <f t="shared" si="2051"/>
        <v>Portland</v>
      </c>
      <c r="C900" s="11" t="s">
        <v>553</v>
      </c>
      <c r="D900" s="11">
        <f>IF(ISNUMBER(D891),0.7*D895+0.3*D896+0.009*D891*D893,IF(D891="Partially Insulated",0.6*D895+0.4*D896+0.01*D890*D893,D896))-459.6</f>
        <v>43.899999999999977</v>
      </c>
      <c r="E900" s="11">
        <f t="shared" ref="E900:O900" si="2060">IF(ISNUMBER(E891),0.7*E895+0.3*E896+0.009*E891*E893,IF(E891="Partially Insulated",0.6*E895+0.4*E896+0.01*E890*E893,E896))-459.6</f>
        <v>44.700000000000045</v>
      </c>
      <c r="F900" s="11">
        <f t="shared" si="2060"/>
        <v>46.100000000000023</v>
      </c>
      <c r="G900" s="11">
        <f t="shared" si="2060"/>
        <v>48.599999999999966</v>
      </c>
      <c r="H900" s="11">
        <f t="shared" si="2060"/>
        <v>53.149999999999977</v>
      </c>
      <c r="I900" s="11">
        <f t="shared" si="2060"/>
        <v>56.950000000000045</v>
      </c>
      <c r="J900" s="11">
        <f t="shared" si="2060"/>
        <v>60.449999999999932</v>
      </c>
      <c r="K900" s="11">
        <f t="shared" si="2060"/>
        <v>60.899999999999977</v>
      </c>
      <c r="L900" s="11">
        <f t="shared" si="2060"/>
        <v>58.600000000000023</v>
      </c>
      <c r="M900" s="11">
        <f t="shared" si="2060"/>
        <v>52.649999999999977</v>
      </c>
      <c r="N900" s="11">
        <f t="shared" si="2060"/>
        <v>47.100000000000023</v>
      </c>
      <c r="O900" s="11">
        <f t="shared" si="2060"/>
        <v>43.600000000000023</v>
      </c>
      <c r="P900" s="11">
        <f>AVERAGE(D900:O900)</f>
        <v>51.391666666666673</v>
      </c>
      <c r="Q900" s="11"/>
      <c r="R900" s="11"/>
      <c r="S900" s="11"/>
      <c r="T900" s="11"/>
      <c r="U900" s="11"/>
      <c r="V900" s="11"/>
      <c r="W900" s="11"/>
      <c r="X900" s="11"/>
      <c r="Y900" s="11"/>
      <c r="Z900" s="11"/>
      <c r="AA900" s="11"/>
      <c r="AB900" s="11"/>
      <c r="AC900" s="11"/>
      <c r="AD900" s="11"/>
      <c r="AE900" s="11"/>
      <c r="AF900" s="11"/>
      <c r="AG900" s="11"/>
      <c r="AH900" s="11"/>
      <c r="AI900" s="11"/>
      <c r="AJ900" s="11"/>
      <c r="AK900" s="11"/>
      <c r="AL900" s="11"/>
    </row>
    <row r="901" spans="1:38" ht="17.149999999999999" x14ac:dyDescent="0.55000000000000004">
      <c r="A901" t="str" cm="1">
        <f t="array" ref="A901">INDEX(FX_Input,$R901,S$5)</f>
        <v>FX - 65</v>
      </c>
      <c r="B901" t="str" cm="1">
        <f t="array" ref="B901">INDEX(FX_Input,R901,T901)</f>
        <v>Portland</v>
      </c>
      <c r="C901" t="s">
        <v>510</v>
      </c>
      <c r="D901">
        <f t="shared" ref="D901:O902" si="2061">VLOOKUP(VLOOKUP($B901,Terminal_X_Ref,2,FALSE)&amp;$C901,Weather_Data,$Y901*D$3+$Z901,FALSE)+459.6</f>
        <v>498.3</v>
      </c>
      <c r="E901">
        <f t="shared" si="2061"/>
        <v>497.70000000000005</v>
      </c>
      <c r="F901">
        <f t="shared" si="2061"/>
        <v>499.1</v>
      </c>
      <c r="G901">
        <f t="shared" si="2061"/>
        <v>501.5</v>
      </c>
      <c r="H901">
        <f t="shared" si="2061"/>
        <v>506.1</v>
      </c>
      <c r="I901">
        <f t="shared" si="2061"/>
        <v>510.3</v>
      </c>
      <c r="J901">
        <f t="shared" si="2061"/>
        <v>513.70000000000005</v>
      </c>
      <c r="K901">
        <f t="shared" si="2061"/>
        <v>513.70000000000005</v>
      </c>
      <c r="L901">
        <f t="shared" si="2061"/>
        <v>510</v>
      </c>
      <c r="M901">
        <f t="shared" si="2061"/>
        <v>504.90000000000003</v>
      </c>
      <c r="N901">
        <f t="shared" si="2061"/>
        <v>500.6</v>
      </c>
      <c r="O901">
        <f t="shared" si="2061"/>
        <v>498.20000000000005</v>
      </c>
      <c r="P901">
        <f t="shared" ref="P901:P902" si="2062">VLOOKUP(VLOOKUP($B901,Terminal_X_Ref,2,FALSE)&amp;$C901,Weather_Data,$Y901*P$3+$Z901,FALSE)</f>
        <v>44.9</v>
      </c>
      <c r="R901">
        <f>R887+2</f>
        <v>129</v>
      </c>
      <c r="S901">
        <f>S887+1</f>
        <v>65</v>
      </c>
      <c r="T901">
        <v>3</v>
      </c>
      <c r="U901">
        <v>2</v>
      </c>
      <c r="V901">
        <v>3</v>
      </c>
      <c r="W901">
        <v>1</v>
      </c>
      <c r="X901">
        <v>2</v>
      </c>
      <c r="Y901">
        <f>(V901-U901)/(X901-W901)</f>
        <v>1</v>
      </c>
      <c r="Z901">
        <f>U901-Y901*W901</f>
        <v>1</v>
      </c>
      <c r="AA901">
        <f>AA887+1</f>
        <v>65</v>
      </c>
      <c r="AB901">
        <v>6</v>
      </c>
      <c r="AC901">
        <v>3</v>
      </c>
      <c r="AD901">
        <v>13</v>
      </c>
      <c r="AE901">
        <v>12</v>
      </c>
      <c r="AF901">
        <v>14</v>
      </c>
      <c r="AG901">
        <v>77</v>
      </c>
      <c r="AH901">
        <v>78</v>
      </c>
      <c r="AI901">
        <v>1</v>
      </c>
      <c r="AJ901">
        <v>2</v>
      </c>
      <c r="AK901">
        <f>(AH901-AG901)/(AJ901-AI901)</f>
        <v>1</v>
      </c>
      <c r="AL901">
        <f>AG901-AK901*AI901</f>
        <v>76</v>
      </c>
    </row>
    <row r="902" spans="1:38" ht="17.149999999999999" x14ac:dyDescent="0.55000000000000004">
      <c r="B902" t="str">
        <f t="shared" ref="B902" si="2063">B901</f>
        <v>Portland</v>
      </c>
      <c r="C902" t="s">
        <v>511</v>
      </c>
      <c r="D902">
        <f t="shared" si="2061"/>
        <v>508.70000000000005</v>
      </c>
      <c r="E902">
        <f t="shared" si="2061"/>
        <v>510.90000000000003</v>
      </c>
      <c r="F902">
        <f t="shared" si="2061"/>
        <v>512.30000000000007</v>
      </c>
      <c r="G902">
        <f t="shared" si="2061"/>
        <v>514.9</v>
      </c>
      <c r="H902">
        <f t="shared" si="2061"/>
        <v>519.4</v>
      </c>
      <c r="I902">
        <f t="shared" si="2061"/>
        <v>522.80000000000007</v>
      </c>
      <c r="J902">
        <f t="shared" si="2061"/>
        <v>526.4</v>
      </c>
      <c r="K902">
        <f t="shared" si="2061"/>
        <v>527.30000000000007</v>
      </c>
      <c r="L902">
        <f t="shared" si="2061"/>
        <v>526.4</v>
      </c>
      <c r="M902">
        <f t="shared" si="2061"/>
        <v>519.6</v>
      </c>
      <c r="N902">
        <f t="shared" si="2061"/>
        <v>512.80000000000007</v>
      </c>
      <c r="O902">
        <f t="shared" si="2061"/>
        <v>508.20000000000005</v>
      </c>
      <c r="P902">
        <f t="shared" si="2062"/>
        <v>57.9</v>
      </c>
      <c r="U902">
        <f>U901</f>
        <v>2</v>
      </c>
      <c r="V902">
        <f t="shared" ref="V902:Z902" si="2064">V901</f>
        <v>3</v>
      </c>
      <c r="W902">
        <f t="shared" si="2064"/>
        <v>1</v>
      </c>
      <c r="X902">
        <f t="shared" si="2064"/>
        <v>2</v>
      </c>
      <c r="Y902">
        <f t="shared" si="2064"/>
        <v>1</v>
      </c>
      <c r="Z902">
        <f t="shared" si="2064"/>
        <v>1</v>
      </c>
      <c r="AA902">
        <f>AA901</f>
        <v>65</v>
      </c>
      <c r="AB902">
        <f t="shared" ref="AB902:AL905" si="2065">AB901</f>
        <v>6</v>
      </c>
      <c r="AC902">
        <f t="shared" si="2065"/>
        <v>3</v>
      </c>
      <c r="AD902">
        <f t="shared" si="2065"/>
        <v>13</v>
      </c>
      <c r="AE902">
        <f t="shared" si="2065"/>
        <v>12</v>
      </c>
      <c r="AF902">
        <f t="shared" si="2065"/>
        <v>14</v>
      </c>
      <c r="AG902">
        <f t="shared" si="2065"/>
        <v>77</v>
      </c>
      <c r="AH902">
        <f t="shared" si="2065"/>
        <v>78</v>
      </c>
      <c r="AI902">
        <f t="shared" si="2065"/>
        <v>1</v>
      </c>
      <c r="AJ902">
        <f t="shared" si="2065"/>
        <v>2</v>
      </c>
      <c r="AK902">
        <f t="shared" si="2065"/>
        <v>1</v>
      </c>
      <c r="AL902">
        <f t="shared" si="2065"/>
        <v>76</v>
      </c>
    </row>
    <row r="903" spans="1:38" ht="17.149999999999999" x14ac:dyDescent="0.4">
      <c r="B903" t="str">
        <f>B902</f>
        <v>Portland</v>
      </c>
      <c r="C903" s="66" t="s">
        <v>514</v>
      </c>
      <c r="D903" t="str" cm="1">
        <f t="array" ref="D903">INDEX(FX_Calcs,$AA903,$AE903)</f>
        <v>N/A</v>
      </c>
      <c r="E903" t="str" cm="1">
        <f t="array" ref="E903">INDEX(FX_Calcs,$AA903,$AE903)</f>
        <v>N/A</v>
      </c>
      <c r="F903" t="str" cm="1">
        <f t="array" ref="F903">INDEX(FX_Calcs,$AA903,$AE903)</f>
        <v>N/A</v>
      </c>
      <c r="G903" t="str" cm="1">
        <f t="array" ref="G903">INDEX(FX_Calcs,$AA903,$AE903)</f>
        <v>N/A</v>
      </c>
      <c r="H903" t="str" cm="1">
        <f t="array" ref="H903">INDEX(FX_Calcs,$AA903,$AE903)</f>
        <v>N/A</v>
      </c>
      <c r="I903" t="str" cm="1">
        <f t="array" ref="I903">INDEX(FX_Calcs,$AA903,$AE903)</f>
        <v>N/A</v>
      </c>
      <c r="J903" t="str" cm="1">
        <f t="array" ref="J903">INDEX(FX_Calcs,$AA903,$AE903)</f>
        <v>N/A</v>
      </c>
      <c r="K903" t="str" cm="1">
        <f t="array" ref="K903">INDEX(FX_Calcs,$AA903,$AE903)</f>
        <v>N/A</v>
      </c>
      <c r="L903" t="str" cm="1">
        <f t="array" ref="L903">INDEX(FX_Calcs,$AA903,$AE903)</f>
        <v>N/A</v>
      </c>
      <c r="M903" t="str" cm="1">
        <f t="array" ref="M903">INDEX(FX_Calcs,$AA903,$AE903)</f>
        <v>N/A</v>
      </c>
      <c r="N903" t="str" cm="1">
        <f t="array" ref="N903">INDEX(FX_Calcs,$AA903,$AE903)</f>
        <v>N/A</v>
      </c>
      <c r="O903" t="str" cm="1">
        <f t="array" ref="O903">INDEX(FX_Calcs,$AA903,$AE903)</f>
        <v>N/A</v>
      </c>
      <c r="P903" t="str" cm="1">
        <f t="array" ref="P903">INDEX(FX_Calcs,$AA903,$AE903)</f>
        <v>N/A</v>
      </c>
      <c r="AA903">
        <f>AA902</f>
        <v>65</v>
      </c>
      <c r="AB903">
        <f t="shared" si="2065"/>
        <v>6</v>
      </c>
      <c r="AC903">
        <f t="shared" si="2065"/>
        <v>3</v>
      </c>
      <c r="AD903">
        <f t="shared" si="2065"/>
        <v>13</v>
      </c>
      <c r="AE903">
        <f t="shared" si="2065"/>
        <v>12</v>
      </c>
      <c r="AF903">
        <f t="shared" si="2065"/>
        <v>14</v>
      </c>
      <c r="AG903">
        <f t="shared" si="2065"/>
        <v>77</v>
      </c>
      <c r="AH903">
        <f t="shared" si="2065"/>
        <v>78</v>
      </c>
      <c r="AI903">
        <f t="shared" si="2065"/>
        <v>1</v>
      </c>
      <c r="AJ903">
        <f t="shared" si="2065"/>
        <v>2</v>
      </c>
      <c r="AK903">
        <f t="shared" si="2065"/>
        <v>1</v>
      </c>
      <c r="AL903">
        <f t="shared" si="2065"/>
        <v>76</v>
      </c>
    </row>
    <row r="904" spans="1:38" ht="17.149999999999999" x14ac:dyDescent="0.4">
      <c r="B904" t="str">
        <f t="shared" ref="B904:B905" si="2066">B903</f>
        <v>Portland</v>
      </c>
      <c r="C904" s="66" t="s">
        <v>513</v>
      </c>
      <c r="D904" t="str" cm="1">
        <f t="array" ref="D904">INDEX(FX_Calcs,$AA904,$AD904)</f>
        <v>N/A</v>
      </c>
      <c r="E904" t="str" cm="1">
        <f t="array" ref="E904">INDEX(FX_Calcs,$AA904,$AD904)</f>
        <v>N/A</v>
      </c>
      <c r="F904" t="str" cm="1">
        <f t="array" ref="F904">INDEX(FX_Calcs,$AA904,$AD904)</f>
        <v>N/A</v>
      </c>
      <c r="G904" t="str" cm="1">
        <f t="array" ref="G904">INDEX(FX_Calcs,$AA904,$AD904)</f>
        <v>N/A</v>
      </c>
      <c r="H904" t="str" cm="1">
        <f t="array" ref="H904">INDEX(FX_Calcs,$AA904,$AD904)</f>
        <v>N/A</v>
      </c>
      <c r="I904" t="str" cm="1">
        <f t="array" ref="I904">INDEX(FX_Calcs,$AA904,$AD904)</f>
        <v>N/A</v>
      </c>
      <c r="J904" t="str" cm="1">
        <f t="array" ref="J904">INDEX(FX_Calcs,$AA904,$AD904)</f>
        <v>N/A</v>
      </c>
      <c r="K904" t="str" cm="1">
        <f t="array" ref="K904">INDEX(FX_Calcs,$AA904,$AD904)</f>
        <v>N/A</v>
      </c>
      <c r="L904" t="str" cm="1">
        <f t="array" ref="L904">INDEX(FX_Calcs,$AA904,$AD904)</f>
        <v>N/A</v>
      </c>
      <c r="M904" t="str" cm="1">
        <f t="array" ref="M904">INDEX(FX_Calcs,$AA904,$AD904)</f>
        <v>N/A</v>
      </c>
      <c r="N904" t="str" cm="1">
        <f t="array" ref="N904">INDEX(FX_Calcs,$AA904,$AD904)</f>
        <v>N/A</v>
      </c>
      <c r="O904" t="str" cm="1">
        <f t="array" ref="O904">INDEX(FX_Calcs,$AA904,$AD904)</f>
        <v>N/A</v>
      </c>
      <c r="P904" t="str" cm="1">
        <f t="array" ref="P904">INDEX(FX_Calcs,$AA904,$AD904)</f>
        <v>N/A</v>
      </c>
      <c r="AA904">
        <f>AA903</f>
        <v>65</v>
      </c>
      <c r="AB904">
        <f t="shared" si="2065"/>
        <v>6</v>
      </c>
      <c r="AC904">
        <f t="shared" si="2065"/>
        <v>3</v>
      </c>
      <c r="AD904">
        <f t="shared" si="2065"/>
        <v>13</v>
      </c>
      <c r="AE904">
        <f t="shared" si="2065"/>
        <v>12</v>
      </c>
      <c r="AF904">
        <f t="shared" si="2065"/>
        <v>14</v>
      </c>
      <c r="AG904">
        <f t="shared" si="2065"/>
        <v>77</v>
      </c>
      <c r="AH904">
        <f t="shared" si="2065"/>
        <v>78</v>
      </c>
      <c r="AI904">
        <f t="shared" si="2065"/>
        <v>1</v>
      </c>
      <c r="AJ904">
        <f t="shared" si="2065"/>
        <v>2</v>
      </c>
      <c r="AK904">
        <f t="shared" si="2065"/>
        <v>1</v>
      </c>
      <c r="AL904">
        <f t="shared" si="2065"/>
        <v>76</v>
      </c>
    </row>
    <row r="905" spans="1:38" x14ac:dyDescent="0.4">
      <c r="B905" t="str">
        <f t="shared" si="2066"/>
        <v>Portland</v>
      </c>
      <c r="C905" s="66" t="s">
        <v>558</v>
      </c>
      <c r="D905" t="str" cm="1">
        <f t="array" ref="D905">INDEX(FX_Calcs,$AA905,$AF905)</f>
        <v>Insulated</v>
      </c>
      <c r="E905" t="str" cm="1">
        <f t="array" ref="E905">INDEX(FX_Calcs,$AA905,$AF905)</f>
        <v>Insulated</v>
      </c>
      <c r="F905" t="str" cm="1">
        <f t="array" ref="F905">INDEX(FX_Calcs,$AA905,$AF905)</f>
        <v>Insulated</v>
      </c>
      <c r="G905" t="str" cm="1">
        <f t="array" ref="G905">INDEX(FX_Calcs,$AA905,$AF905)</f>
        <v>Insulated</v>
      </c>
      <c r="H905" t="str" cm="1">
        <f t="array" ref="H905">INDEX(FX_Calcs,$AA905,$AF905)</f>
        <v>Insulated</v>
      </c>
      <c r="I905" t="str" cm="1">
        <f t="array" ref="I905">INDEX(FX_Calcs,$AA905,$AF905)</f>
        <v>Insulated</v>
      </c>
      <c r="J905" t="str" cm="1">
        <f t="array" ref="J905">INDEX(FX_Calcs,$AA905,$AF905)</f>
        <v>Insulated</v>
      </c>
      <c r="K905" t="str" cm="1">
        <f t="array" ref="K905">INDEX(FX_Calcs,$AA905,$AF905)</f>
        <v>Insulated</v>
      </c>
      <c r="L905" t="str" cm="1">
        <f t="array" ref="L905">INDEX(FX_Calcs,$AA905,$AF905)</f>
        <v>Insulated</v>
      </c>
      <c r="M905" t="str" cm="1">
        <f t="array" ref="M905">INDEX(FX_Calcs,$AA905,$AF905)</f>
        <v>Insulated</v>
      </c>
      <c r="N905" t="str" cm="1">
        <f t="array" ref="N905">INDEX(FX_Calcs,$AA905,$AF905)</f>
        <v>Insulated</v>
      </c>
      <c r="O905" t="str" cm="1">
        <f t="array" ref="O905">INDEX(FX_Calcs,$AA905,$AF905)</f>
        <v>Insulated</v>
      </c>
      <c r="P905" t="str" cm="1">
        <f t="array" ref="P905">INDEX(FX_Calcs,$AA905,$AF905)</f>
        <v>Insulated</v>
      </c>
      <c r="AA905">
        <f>AA904</f>
        <v>65</v>
      </c>
      <c r="AB905">
        <f t="shared" si="2065"/>
        <v>6</v>
      </c>
      <c r="AC905">
        <f t="shared" si="2065"/>
        <v>3</v>
      </c>
      <c r="AD905">
        <f t="shared" si="2065"/>
        <v>13</v>
      </c>
      <c r="AE905">
        <f t="shared" si="2065"/>
        <v>12</v>
      </c>
      <c r="AF905">
        <f t="shared" si="2065"/>
        <v>14</v>
      </c>
      <c r="AG905">
        <f t="shared" si="2065"/>
        <v>77</v>
      </c>
      <c r="AH905">
        <f t="shared" si="2065"/>
        <v>78</v>
      </c>
      <c r="AI905">
        <f t="shared" si="2065"/>
        <v>1</v>
      </c>
      <c r="AJ905">
        <f t="shared" si="2065"/>
        <v>2</v>
      </c>
      <c r="AK905">
        <f t="shared" si="2065"/>
        <v>1</v>
      </c>
      <c r="AL905">
        <f t="shared" si="2065"/>
        <v>76</v>
      </c>
    </row>
    <row r="906" spans="1:38" ht="17.149999999999999" x14ac:dyDescent="0.55000000000000004">
      <c r="B906" t="str">
        <f>B902</f>
        <v>Portland</v>
      </c>
      <c r="C906" t="s">
        <v>512</v>
      </c>
      <c r="D906">
        <f t="shared" ref="D906:P906" si="2067">D902-D901</f>
        <v>10.400000000000034</v>
      </c>
      <c r="E906">
        <f t="shared" si="2067"/>
        <v>13.199999999999989</v>
      </c>
      <c r="F906">
        <f t="shared" si="2067"/>
        <v>13.200000000000045</v>
      </c>
      <c r="G906">
        <f t="shared" si="2067"/>
        <v>13.399999999999977</v>
      </c>
      <c r="H906">
        <f t="shared" si="2067"/>
        <v>13.299999999999955</v>
      </c>
      <c r="I906">
        <f t="shared" si="2067"/>
        <v>12.500000000000057</v>
      </c>
      <c r="J906">
        <f t="shared" si="2067"/>
        <v>12.699999999999932</v>
      </c>
      <c r="K906">
        <f t="shared" si="2067"/>
        <v>13.600000000000023</v>
      </c>
      <c r="L906">
        <f t="shared" si="2067"/>
        <v>16.399999999999977</v>
      </c>
      <c r="M906">
        <f t="shared" si="2067"/>
        <v>14.699999999999989</v>
      </c>
      <c r="N906">
        <f t="shared" si="2067"/>
        <v>12.200000000000045</v>
      </c>
      <c r="O906">
        <f t="shared" si="2067"/>
        <v>10</v>
      </c>
      <c r="P906">
        <f t="shared" si="2067"/>
        <v>13</v>
      </c>
    </row>
    <row r="907" spans="1:38" x14ac:dyDescent="0.4">
      <c r="B907" t="str">
        <f t="shared" ref="B907:B914" si="2068">B906</f>
        <v>Portland</v>
      </c>
      <c r="C907" t="s">
        <v>260</v>
      </c>
      <c r="D907">
        <f t="shared" ref="D907:P907" si="2069">VLOOKUP(VLOOKUP($B907,Terminal_X_Ref,2,FALSE)&amp;$C907,Weather_Data,$Y907*D$3+$Z907,FALSE)</f>
        <v>343</v>
      </c>
      <c r="E907">
        <f t="shared" si="2069"/>
        <v>600</v>
      </c>
      <c r="F907">
        <f t="shared" si="2069"/>
        <v>877</v>
      </c>
      <c r="G907">
        <f t="shared" si="2069"/>
        <v>1252</v>
      </c>
      <c r="H907">
        <f t="shared" si="2069"/>
        <v>1537</v>
      </c>
      <c r="I907">
        <f t="shared" si="2069"/>
        <v>1627</v>
      </c>
      <c r="J907">
        <f t="shared" si="2069"/>
        <v>1708</v>
      </c>
      <c r="K907">
        <f t="shared" si="2069"/>
        <v>1492</v>
      </c>
      <c r="L907">
        <f t="shared" si="2069"/>
        <v>1196</v>
      </c>
      <c r="M907">
        <f t="shared" si="2069"/>
        <v>728</v>
      </c>
      <c r="N907">
        <f t="shared" si="2069"/>
        <v>391</v>
      </c>
      <c r="O907">
        <f t="shared" si="2069"/>
        <v>302</v>
      </c>
      <c r="P907">
        <f t="shared" si="2069"/>
        <v>1005</v>
      </c>
      <c r="U907">
        <f>U902</f>
        <v>2</v>
      </c>
      <c r="V907">
        <f t="shared" ref="V907:Z907" si="2070">V902</f>
        <v>3</v>
      </c>
      <c r="W907">
        <f t="shared" si="2070"/>
        <v>1</v>
      </c>
      <c r="X907">
        <f t="shared" si="2070"/>
        <v>2</v>
      </c>
      <c r="Y907">
        <f t="shared" si="2070"/>
        <v>1</v>
      </c>
      <c r="Z907">
        <f t="shared" si="2070"/>
        <v>1</v>
      </c>
    </row>
    <row r="908" spans="1:38" ht="17.149999999999999" x14ac:dyDescent="0.55000000000000004">
      <c r="B908" t="str">
        <f t="shared" si="2068"/>
        <v>Portland</v>
      </c>
      <c r="C908" t="s">
        <v>523</v>
      </c>
      <c r="D908">
        <f>IF(ISNUMBER(D905),0.7*D906+0.02*D905*D907,IF(D905="Partially Insulated",0.6*D906+0.02*D904*D907,0))</f>
        <v>0</v>
      </c>
      <c r="E908">
        <f t="shared" ref="E908:P908" si="2071">IF(ISNUMBER(E905),0.7*E906+0.02*E905*E907,IF(E905="Partially Insulated",0.6*E906+0.02*E904*E907,0))</f>
        <v>0</v>
      </c>
      <c r="F908">
        <f t="shared" si="2071"/>
        <v>0</v>
      </c>
      <c r="G908">
        <f t="shared" si="2071"/>
        <v>0</v>
      </c>
      <c r="H908">
        <f t="shared" si="2071"/>
        <v>0</v>
      </c>
      <c r="I908">
        <f t="shared" si="2071"/>
        <v>0</v>
      </c>
      <c r="J908">
        <f t="shared" si="2071"/>
        <v>0</v>
      </c>
      <c r="K908">
        <f t="shared" si="2071"/>
        <v>0</v>
      </c>
      <c r="L908">
        <f t="shared" si="2071"/>
        <v>0</v>
      </c>
      <c r="M908">
        <f t="shared" si="2071"/>
        <v>0</v>
      </c>
      <c r="N908">
        <f t="shared" si="2071"/>
        <v>0</v>
      </c>
      <c r="O908">
        <f t="shared" si="2071"/>
        <v>0</v>
      </c>
      <c r="P908">
        <f t="shared" si="2071"/>
        <v>0</v>
      </c>
    </row>
    <row r="909" spans="1:38" ht="17.149999999999999" x14ac:dyDescent="0.55000000000000004">
      <c r="B909" t="str">
        <f t="shared" si="2068"/>
        <v>Portland</v>
      </c>
      <c r="C909" t="s">
        <v>524</v>
      </c>
      <c r="D909">
        <f t="shared" ref="D909:F909" si="2072">AVERAGE(D901:D902)</f>
        <v>503.5</v>
      </c>
      <c r="E909">
        <f t="shared" si="2072"/>
        <v>504.30000000000007</v>
      </c>
      <c r="F909">
        <f t="shared" si="2072"/>
        <v>505.70000000000005</v>
      </c>
      <c r="G909">
        <f>AVERAGE(G901:G902)</f>
        <v>508.2</v>
      </c>
      <c r="H909">
        <f t="shared" ref="H909:P909" si="2073">AVERAGE(H901:H902)</f>
        <v>512.75</v>
      </c>
      <c r="I909">
        <f t="shared" si="2073"/>
        <v>516.55000000000007</v>
      </c>
      <c r="J909">
        <f t="shared" si="2073"/>
        <v>520.04999999999995</v>
      </c>
      <c r="K909">
        <f t="shared" si="2073"/>
        <v>520.5</v>
      </c>
      <c r="L909">
        <f t="shared" si="2073"/>
        <v>518.20000000000005</v>
      </c>
      <c r="M909">
        <f t="shared" si="2073"/>
        <v>512.25</v>
      </c>
      <c r="N909">
        <f t="shared" si="2073"/>
        <v>506.70000000000005</v>
      </c>
      <c r="O909">
        <f t="shared" si="2073"/>
        <v>503.20000000000005</v>
      </c>
      <c r="P909">
        <f t="shared" si="2073"/>
        <v>51.4</v>
      </c>
    </row>
    <row r="910" spans="1:38" ht="17.149999999999999" x14ac:dyDescent="0.55000000000000004">
      <c r="B910" t="str">
        <f t="shared" si="2068"/>
        <v>Portland</v>
      </c>
      <c r="C910" t="s">
        <v>525</v>
      </c>
      <c r="D910" cm="1">
        <f t="array" ref="D910">IFERROR(IF(ISBLANK(INDEX(FX_Input,$R901,D$3*$AK901+$AL901)),D909+0.003*D903*D907,INDEX(FX_Input,$R901,D$3*$AK901+$AL901)+459.6),D909)</f>
        <v>503.5</v>
      </c>
      <c r="E910" cm="1">
        <f t="array" ref="E910">IFERROR(IF(ISBLANK(INDEX(FX_Input,$R901,E$3*$AK901+$AL901)),E909+0.003*E903*E907,INDEX(FX_Input,$R901,E$3*$AK901+$AL901)+459.6),E909)</f>
        <v>504.30000000000007</v>
      </c>
      <c r="F910" cm="1">
        <f t="array" ref="F910">IFERROR(IF(ISBLANK(INDEX(FX_Input,$R901,F$3*$AK901+$AL901)),F909+0.003*F903*F907,INDEX(FX_Input,$R901,F$3*$AK901+$AL901)+459.6),F909)</f>
        <v>505.70000000000005</v>
      </c>
      <c r="G910" cm="1">
        <f t="array" ref="G910">IFERROR(IF(ISBLANK(INDEX(FX_Input,$R901,G$3*$AK901+$AL901)),G909+0.003*G903*G907,INDEX(FX_Input,$R901,G$3*$AK901+$AL901)+459.6),G909)</f>
        <v>508.2</v>
      </c>
      <c r="H910" cm="1">
        <f t="array" ref="H910">IFERROR(IF(ISBLANK(INDEX(FX_Input,$R901,H$3*$AK901+$AL901)),H909+0.003*H903*H907,INDEX(FX_Input,$R901,H$3*$AK901+$AL901)+459.6),H909)</f>
        <v>512.75</v>
      </c>
      <c r="I910" cm="1">
        <f t="array" ref="I910">IFERROR(IF(ISBLANK(INDEX(FX_Input,$R901,I$3*$AK901+$AL901)),I909+0.003*I903*I907,INDEX(FX_Input,$R901,I$3*$AK901+$AL901)+459.6),I909)</f>
        <v>516.55000000000007</v>
      </c>
      <c r="J910" cm="1">
        <f t="array" ref="J910">IFERROR(IF(ISBLANK(INDEX(FX_Input,$R901,J$3*$AK901+$AL901)),J909+0.003*J903*J907,INDEX(FX_Input,$R901,J$3*$AK901+$AL901)+459.6),J909)</f>
        <v>520.04999999999995</v>
      </c>
      <c r="K910" cm="1">
        <f t="array" ref="K910">IFERROR(IF(ISBLANK(INDEX(FX_Input,$R901,K$3*$AK901+$AL901)),K909+0.003*K903*K907,INDEX(FX_Input,$R901,K$3*$AK901+$AL901)+459.6),K909)</f>
        <v>520.5</v>
      </c>
      <c r="L910" cm="1">
        <f t="array" ref="L910">IFERROR(IF(ISBLANK(INDEX(FX_Input,$R901,L$3*$AK901+$AL901)),L909+0.003*L903*L907,INDEX(FX_Input,$R901,L$3*$AK901+$AL901)+459.6),L909)</f>
        <v>518.20000000000005</v>
      </c>
      <c r="M910" cm="1">
        <f t="array" ref="M910">IFERROR(IF(ISBLANK(INDEX(FX_Input,$R901,M$3*$AK901+$AL901)),M909+0.003*M903*M907,INDEX(FX_Input,$R901,M$3*$AK901+$AL901)+459.6),M909)</f>
        <v>512.25</v>
      </c>
      <c r="N910" cm="1">
        <f t="array" ref="N910">IFERROR(IF(ISBLANK(INDEX(FX_Input,$R901,N$3*$AK901+$AL901)),N909+0.003*N903*N907,INDEX(FX_Input,$R901,N$3*$AK901+$AL901)+459.6),N909)</f>
        <v>506.70000000000005</v>
      </c>
      <c r="O910" cm="1">
        <f t="array" ref="O910">IFERROR(IF(ISBLANK(INDEX(FX_Input,$R901,O$3*$AK901+$AL901)),O909+0.003*O903*O907,INDEX(FX_Input,$R901,O$3*$AK901+$AL901)+459.6),O909)</f>
        <v>503.20000000000005</v>
      </c>
      <c r="P910" cm="1">
        <f t="array" ref="P910">IFERROR(IF(ISBLANK(INDEX(FX_Input,$R901,P$3*$AK901+$AL901)),P909+0.003*P903*P907,INDEX(FX_Input,$R901,P$3*$AK901+$AL901)+459.6),P909)</f>
        <v>529.6</v>
      </c>
    </row>
    <row r="911" spans="1:38" ht="17.149999999999999" x14ac:dyDescent="0.55000000000000004">
      <c r="B911" t="str">
        <f t="shared" si="2068"/>
        <v>Portland</v>
      </c>
      <c r="C911" t="s">
        <v>526</v>
      </c>
      <c r="D911">
        <f>IF(ISNUMBER(D905),0.4*D901+0.6*D910+0.005*D905*D907,IF(D905="Partially Insulated",0.3*D909+0.7*D910+0.005*D904*D907,D910))-459.6</f>
        <v>43.899999999999977</v>
      </c>
      <c r="E911">
        <f t="shared" ref="E911:O911" si="2074">IF(ISNUMBER(E905),0.4*E901+0.6*E910+0.005*E905*E907,IF(E905="Partially Insulated",0.3*E909+0.7*E910+0.005*E904*E907,E910))-459.6</f>
        <v>44.700000000000045</v>
      </c>
      <c r="F911">
        <f t="shared" si="2074"/>
        <v>46.100000000000023</v>
      </c>
      <c r="G911">
        <f t="shared" si="2074"/>
        <v>48.599999999999966</v>
      </c>
      <c r="H911">
        <f t="shared" si="2074"/>
        <v>53.149999999999977</v>
      </c>
      <c r="I911">
        <f t="shared" si="2074"/>
        <v>56.950000000000045</v>
      </c>
      <c r="J911">
        <f t="shared" si="2074"/>
        <v>60.449999999999932</v>
      </c>
      <c r="K911">
        <f t="shared" si="2074"/>
        <v>60.899999999999977</v>
      </c>
      <c r="L911">
        <f t="shared" si="2074"/>
        <v>58.600000000000023</v>
      </c>
      <c r="M911">
        <f t="shared" si="2074"/>
        <v>52.649999999999977</v>
      </c>
      <c r="N911">
        <f t="shared" si="2074"/>
        <v>47.100000000000023</v>
      </c>
      <c r="O911">
        <f t="shared" si="2074"/>
        <v>43.600000000000023</v>
      </c>
      <c r="P911">
        <f>AVERAGE(D911:O911)</f>
        <v>51.391666666666673</v>
      </c>
    </row>
    <row r="912" spans="1:38" ht="17.149999999999999" x14ac:dyDescent="0.55000000000000004">
      <c r="B912" t="str">
        <f t="shared" si="2068"/>
        <v>Portland</v>
      </c>
      <c r="C912" t="s">
        <v>527</v>
      </c>
      <c r="D912">
        <f>IF(ISNUMBER(D905),0.4*D902+0.6*D910+0.005*D905*D907,IF(D905="Partially Insulated",0.3*D909+0.7*D910+0.005*D904*D907,D910))-459.6</f>
        <v>43.899999999999977</v>
      </c>
      <c r="E912">
        <f t="shared" ref="E912:O912" si="2075">IF(ISNUMBER(E905),0.4*E902+0.6*E910+0.005*E905*E907,IF(E905="Partially Insulated",0.3*E909+0.7*E910+0.005*E904*E907,E910))-459.6</f>
        <v>44.700000000000045</v>
      </c>
      <c r="F912">
        <f t="shared" si="2075"/>
        <v>46.100000000000023</v>
      </c>
      <c r="G912">
        <f t="shared" si="2075"/>
        <v>48.599999999999966</v>
      </c>
      <c r="H912">
        <f t="shared" si="2075"/>
        <v>53.149999999999977</v>
      </c>
      <c r="I912">
        <f t="shared" si="2075"/>
        <v>56.950000000000045</v>
      </c>
      <c r="J912">
        <f t="shared" si="2075"/>
        <v>60.449999999999932</v>
      </c>
      <c r="K912">
        <f t="shared" si="2075"/>
        <v>60.899999999999977</v>
      </c>
      <c r="L912">
        <f t="shared" si="2075"/>
        <v>58.600000000000023</v>
      </c>
      <c r="M912">
        <f t="shared" si="2075"/>
        <v>52.649999999999977</v>
      </c>
      <c r="N912">
        <f t="shared" si="2075"/>
        <v>47.100000000000023</v>
      </c>
      <c r="O912">
        <f t="shared" si="2075"/>
        <v>43.600000000000023</v>
      </c>
      <c r="P912">
        <f>AVERAGE(D912:O912)</f>
        <v>51.391666666666673</v>
      </c>
    </row>
    <row r="913" spans="1:38" ht="17.149999999999999" x14ac:dyDescent="0.55000000000000004">
      <c r="B913" t="str">
        <f t="shared" si="2068"/>
        <v>Portland</v>
      </c>
      <c r="C913" t="s">
        <v>552</v>
      </c>
      <c r="D913">
        <f>IF(ISNUMBER(D905),0.4*D909+0.6*D910+0.005*D905*D907,IF(D905="Partially Insulated",0.3*D909+0.7*D910+0.005*D904*D907,D910))-459.6</f>
        <v>43.899999999999977</v>
      </c>
      <c r="E913">
        <f t="shared" ref="E913:O913" si="2076">IF(ISNUMBER(E905),0.4*E909+0.6*E910+0.005*E905*E907,IF(E905="Partially Insulated",0.3*E909+0.7*E910+0.005*E904*E907,E910))-459.6</f>
        <v>44.700000000000045</v>
      </c>
      <c r="F913">
        <f t="shared" si="2076"/>
        <v>46.100000000000023</v>
      </c>
      <c r="G913">
        <f t="shared" si="2076"/>
        <v>48.599999999999966</v>
      </c>
      <c r="H913">
        <f t="shared" si="2076"/>
        <v>53.149999999999977</v>
      </c>
      <c r="I913">
        <f t="shared" si="2076"/>
        <v>56.950000000000045</v>
      </c>
      <c r="J913">
        <f t="shared" si="2076"/>
        <v>60.449999999999932</v>
      </c>
      <c r="K913">
        <f t="shared" si="2076"/>
        <v>60.899999999999977</v>
      </c>
      <c r="L913">
        <f t="shared" si="2076"/>
        <v>58.600000000000023</v>
      </c>
      <c r="M913">
        <f t="shared" si="2076"/>
        <v>52.649999999999977</v>
      </c>
      <c r="N913">
        <f t="shared" si="2076"/>
        <v>47.100000000000023</v>
      </c>
      <c r="O913">
        <f t="shared" si="2076"/>
        <v>43.600000000000023</v>
      </c>
      <c r="P913">
        <f>AVERAGE(D913:O913)</f>
        <v>51.391666666666673</v>
      </c>
    </row>
    <row r="914" spans="1:38" ht="17.149999999999999" x14ac:dyDescent="0.55000000000000004">
      <c r="A914" s="11"/>
      <c r="B914" s="11" t="str">
        <f t="shared" si="2068"/>
        <v>Portland</v>
      </c>
      <c r="C914" s="11" t="s">
        <v>553</v>
      </c>
      <c r="D914" s="11">
        <f>IF(ISNUMBER(D905),0.7*D909+0.3*D910+0.009*D905*D907,IF(D905="Partially Insulated",0.6*D909+0.4*D910+0.01*D904*D907,D910))-459.6</f>
        <v>43.899999999999977</v>
      </c>
      <c r="E914" s="11">
        <f t="shared" ref="E914:O914" si="2077">IF(ISNUMBER(E905),0.7*E909+0.3*E910+0.009*E905*E907,IF(E905="Partially Insulated",0.6*E909+0.4*E910+0.01*E904*E907,E910))-459.6</f>
        <v>44.700000000000045</v>
      </c>
      <c r="F914" s="11">
        <f t="shared" si="2077"/>
        <v>46.100000000000023</v>
      </c>
      <c r="G914" s="11">
        <f t="shared" si="2077"/>
        <v>48.599999999999966</v>
      </c>
      <c r="H914" s="11">
        <f t="shared" si="2077"/>
        <v>53.149999999999977</v>
      </c>
      <c r="I914" s="11">
        <f t="shared" si="2077"/>
        <v>56.950000000000045</v>
      </c>
      <c r="J914" s="11">
        <f t="shared" si="2077"/>
        <v>60.449999999999932</v>
      </c>
      <c r="K914" s="11">
        <f t="shared" si="2077"/>
        <v>60.899999999999977</v>
      </c>
      <c r="L914" s="11">
        <f t="shared" si="2077"/>
        <v>58.600000000000023</v>
      </c>
      <c r="M914" s="11">
        <f t="shared" si="2077"/>
        <v>52.649999999999977</v>
      </c>
      <c r="N914" s="11">
        <f t="shared" si="2077"/>
        <v>47.100000000000023</v>
      </c>
      <c r="O914" s="11">
        <f t="shared" si="2077"/>
        <v>43.600000000000023</v>
      </c>
      <c r="P914" s="11">
        <f>AVERAGE(D914:O914)</f>
        <v>51.391666666666673</v>
      </c>
      <c r="Q914" s="11"/>
      <c r="R914" s="11"/>
      <c r="S914" s="11"/>
      <c r="T914" s="11"/>
      <c r="U914" s="11"/>
      <c r="V914" s="11"/>
      <c r="W914" s="11"/>
      <c r="X914" s="11"/>
      <c r="Y914" s="11"/>
      <c r="Z914" s="11"/>
      <c r="AA914" s="11"/>
      <c r="AB914" s="11"/>
      <c r="AC914" s="11"/>
      <c r="AD914" s="11"/>
      <c r="AE914" s="11"/>
      <c r="AF914" s="11"/>
      <c r="AG914" s="11"/>
      <c r="AH914" s="11"/>
      <c r="AI914" s="11"/>
      <c r="AJ914" s="11"/>
      <c r="AK914" s="11"/>
      <c r="AL914" s="11"/>
    </row>
    <row r="915" spans="1:38" ht="17.149999999999999" x14ac:dyDescent="0.55000000000000004">
      <c r="A915" t="str" cm="1">
        <f t="array" ref="A915">INDEX(FX_Input,$R915,S$5)</f>
        <v>FX - 66</v>
      </c>
      <c r="B915" t="str" cm="1">
        <f t="array" ref="B915">INDEX(FX_Input,R915,T915)</f>
        <v>Portland</v>
      </c>
      <c r="C915" t="s">
        <v>510</v>
      </c>
      <c r="D915">
        <f t="shared" ref="D915:O916" si="2078">VLOOKUP(VLOOKUP($B915,Terminal_X_Ref,2,FALSE)&amp;$C915,Weather_Data,$Y915*D$3+$Z915,FALSE)+459.6</f>
        <v>498.3</v>
      </c>
      <c r="E915">
        <f t="shared" si="2078"/>
        <v>497.70000000000005</v>
      </c>
      <c r="F915">
        <f t="shared" si="2078"/>
        <v>499.1</v>
      </c>
      <c r="G915">
        <f t="shared" si="2078"/>
        <v>501.5</v>
      </c>
      <c r="H915">
        <f t="shared" si="2078"/>
        <v>506.1</v>
      </c>
      <c r="I915">
        <f t="shared" si="2078"/>
        <v>510.3</v>
      </c>
      <c r="J915">
        <f t="shared" si="2078"/>
        <v>513.70000000000005</v>
      </c>
      <c r="K915">
        <f t="shared" si="2078"/>
        <v>513.70000000000005</v>
      </c>
      <c r="L915">
        <f t="shared" si="2078"/>
        <v>510</v>
      </c>
      <c r="M915">
        <f t="shared" si="2078"/>
        <v>504.90000000000003</v>
      </c>
      <c r="N915">
        <f t="shared" si="2078"/>
        <v>500.6</v>
      </c>
      <c r="O915">
        <f t="shared" si="2078"/>
        <v>498.20000000000005</v>
      </c>
      <c r="P915">
        <f t="shared" ref="P915:P916" si="2079">VLOOKUP(VLOOKUP($B915,Terminal_X_Ref,2,FALSE)&amp;$C915,Weather_Data,$Y915*P$3+$Z915,FALSE)</f>
        <v>44.9</v>
      </c>
      <c r="R915">
        <f>R901+2</f>
        <v>131</v>
      </c>
      <c r="S915">
        <f>S901+1</f>
        <v>66</v>
      </c>
      <c r="T915">
        <v>3</v>
      </c>
      <c r="U915">
        <v>2</v>
      </c>
      <c r="V915">
        <v>3</v>
      </c>
      <c r="W915">
        <v>1</v>
      </c>
      <c r="X915">
        <v>2</v>
      </c>
      <c r="Y915">
        <f>(V915-U915)/(X915-W915)</f>
        <v>1</v>
      </c>
      <c r="Z915">
        <f>U915-Y915*W915</f>
        <v>1</v>
      </c>
      <c r="AA915">
        <f>AA901+1</f>
        <v>66</v>
      </c>
      <c r="AB915">
        <v>6</v>
      </c>
      <c r="AC915">
        <v>3</v>
      </c>
      <c r="AD915">
        <v>13</v>
      </c>
      <c r="AE915">
        <v>12</v>
      </c>
      <c r="AF915">
        <v>14</v>
      </c>
      <c r="AG915">
        <v>77</v>
      </c>
      <c r="AH915">
        <v>78</v>
      </c>
      <c r="AI915">
        <v>1</v>
      </c>
      <c r="AJ915">
        <v>2</v>
      </c>
      <c r="AK915">
        <f>(AH915-AG915)/(AJ915-AI915)</f>
        <v>1</v>
      </c>
      <c r="AL915">
        <f>AG915-AK915*AI915</f>
        <v>76</v>
      </c>
    </row>
    <row r="916" spans="1:38" ht="17.149999999999999" x14ac:dyDescent="0.55000000000000004">
      <c r="B916" t="str">
        <f t="shared" ref="B916" si="2080">B915</f>
        <v>Portland</v>
      </c>
      <c r="C916" t="s">
        <v>511</v>
      </c>
      <c r="D916">
        <f t="shared" si="2078"/>
        <v>508.70000000000005</v>
      </c>
      <c r="E916">
        <f t="shared" si="2078"/>
        <v>510.90000000000003</v>
      </c>
      <c r="F916">
        <f t="shared" si="2078"/>
        <v>512.30000000000007</v>
      </c>
      <c r="G916">
        <f t="shared" si="2078"/>
        <v>514.9</v>
      </c>
      <c r="H916">
        <f t="shared" si="2078"/>
        <v>519.4</v>
      </c>
      <c r="I916">
        <f t="shared" si="2078"/>
        <v>522.80000000000007</v>
      </c>
      <c r="J916">
        <f t="shared" si="2078"/>
        <v>526.4</v>
      </c>
      <c r="K916">
        <f t="shared" si="2078"/>
        <v>527.30000000000007</v>
      </c>
      <c r="L916">
        <f t="shared" si="2078"/>
        <v>526.4</v>
      </c>
      <c r="M916">
        <f t="shared" si="2078"/>
        <v>519.6</v>
      </c>
      <c r="N916">
        <f t="shared" si="2078"/>
        <v>512.80000000000007</v>
      </c>
      <c r="O916">
        <f t="shared" si="2078"/>
        <v>508.20000000000005</v>
      </c>
      <c r="P916">
        <f t="shared" si="2079"/>
        <v>57.9</v>
      </c>
      <c r="U916">
        <f>U915</f>
        <v>2</v>
      </c>
      <c r="V916">
        <f t="shared" ref="V916:Z916" si="2081">V915</f>
        <v>3</v>
      </c>
      <c r="W916">
        <f t="shared" si="2081"/>
        <v>1</v>
      </c>
      <c r="X916">
        <f t="shared" si="2081"/>
        <v>2</v>
      </c>
      <c r="Y916">
        <f t="shared" si="2081"/>
        <v>1</v>
      </c>
      <c r="Z916">
        <f t="shared" si="2081"/>
        <v>1</v>
      </c>
      <c r="AA916">
        <f>AA915</f>
        <v>66</v>
      </c>
      <c r="AB916">
        <f t="shared" ref="AB916:AL916" si="2082">AB915</f>
        <v>6</v>
      </c>
      <c r="AC916">
        <f t="shared" si="2082"/>
        <v>3</v>
      </c>
      <c r="AD916">
        <f t="shared" si="2082"/>
        <v>13</v>
      </c>
      <c r="AE916">
        <f t="shared" si="2082"/>
        <v>12</v>
      </c>
      <c r="AF916">
        <f t="shared" si="2082"/>
        <v>14</v>
      </c>
      <c r="AG916">
        <f t="shared" si="2082"/>
        <v>77</v>
      </c>
      <c r="AH916">
        <f t="shared" si="2082"/>
        <v>78</v>
      </c>
      <c r="AI916">
        <f t="shared" si="2082"/>
        <v>1</v>
      </c>
      <c r="AJ916">
        <f t="shared" si="2082"/>
        <v>2</v>
      </c>
      <c r="AK916">
        <f t="shared" si="2082"/>
        <v>1</v>
      </c>
      <c r="AL916">
        <f t="shared" si="2082"/>
        <v>76</v>
      </c>
    </row>
    <row r="917" spans="1:38" ht="17.149999999999999" x14ac:dyDescent="0.4">
      <c r="B917" t="str">
        <f>B916</f>
        <v>Portland</v>
      </c>
      <c r="C917" s="66" t="s">
        <v>514</v>
      </c>
      <c r="D917" t="str" cm="1">
        <f t="array" ref="D917">INDEX(FX_Calcs,$AA917,$AE917)</f>
        <v>N/A</v>
      </c>
      <c r="E917" t="str" cm="1">
        <f t="array" ref="E917">INDEX(FX_Calcs,$AA917,$AE917)</f>
        <v>N/A</v>
      </c>
      <c r="F917" t="str" cm="1">
        <f t="array" ref="F917">INDEX(FX_Calcs,$AA917,$AE917)</f>
        <v>N/A</v>
      </c>
      <c r="G917" t="str" cm="1">
        <f t="array" ref="G917">INDEX(FX_Calcs,$AA917,$AE917)</f>
        <v>N/A</v>
      </c>
      <c r="H917" t="str" cm="1">
        <f t="array" ref="H917">INDEX(FX_Calcs,$AA917,$AE917)</f>
        <v>N/A</v>
      </c>
      <c r="I917" t="str" cm="1">
        <f t="array" ref="I917">INDEX(FX_Calcs,$AA917,$AE917)</f>
        <v>N/A</v>
      </c>
      <c r="J917" t="str" cm="1">
        <f t="array" ref="J917">INDEX(FX_Calcs,$AA917,$AE917)</f>
        <v>N/A</v>
      </c>
      <c r="K917" t="str" cm="1">
        <f t="array" ref="K917">INDEX(FX_Calcs,$AA917,$AE917)</f>
        <v>N/A</v>
      </c>
      <c r="L917" t="str" cm="1">
        <f t="array" ref="L917">INDEX(FX_Calcs,$AA917,$AE917)</f>
        <v>N/A</v>
      </c>
      <c r="M917" t="str" cm="1">
        <f t="array" ref="M917">INDEX(FX_Calcs,$AA917,$AE917)</f>
        <v>N/A</v>
      </c>
      <c r="N917" t="str" cm="1">
        <f t="array" ref="N917">INDEX(FX_Calcs,$AA917,$AE917)</f>
        <v>N/A</v>
      </c>
      <c r="O917" t="str" cm="1">
        <f t="array" ref="O917">INDEX(FX_Calcs,$AA917,$AE917)</f>
        <v>N/A</v>
      </c>
      <c r="P917" t="str" cm="1">
        <f t="array" ref="P917">INDEX(FX_Calcs,$AA917,$AE917)</f>
        <v>N/A</v>
      </c>
      <c r="AA917">
        <f>AA916</f>
        <v>66</v>
      </c>
      <c r="AB917">
        <f t="shared" ref="AB917:AL917" si="2083">AB916</f>
        <v>6</v>
      </c>
      <c r="AC917">
        <f t="shared" si="2083"/>
        <v>3</v>
      </c>
      <c r="AD917">
        <f t="shared" si="2083"/>
        <v>13</v>
      </c>
      <c r="AE917">
        <f t="shared" si="2083"/>
        <v>12</v>
      </c>
      <c r="AF917">
        <f t="shared" si="2083"/>
        <v>14</v>
      </c>
      <c r="AG917">
        <f t="shared" si="2083"/>
        <v>77</v>
      </c>
      <c r="AH917">
        <f t="shared" si="2083"/>
        <v>78</v>
      </c>
      <c r="AI917">
        <f t="shared" si="2083"/>
        <v>1</v>
      </c>
      <c r="AJ917">
        <f t="shared" si="2083"/>
        <v>2</v>
      </c>
      <c r="AK917">
        <f t="shared" si="2083"/>
        <v>1</v>
      </c>
      <c r="AL917">
        <f t="shared" si="2083"/>
        <v>76</v>
      </c>
    </row>
    <row r="918" spans="1:38" ht="17.149999999999999" x14ac:dyDescent="0.4">
      <c r="B918" t="str">
        <f t="shared" ref="B918:B919" si="2084">B917</f>
        <v>Portland</v>
      </c>
      <c r="C918" s="66" t="s">
        <v>513</v>
      </c>
      <c r="D918" t="str" cm="1">
        <f t="array" ref="D918">INDEX(FX_Calcs,$AA918,$AD918)</f>
        <v>N/A</v>
      </c>
      <c r="E918" t="str" cm="1">
        <f t="array" ref="E918">INDEX(FX_Calcs,$AA918,$AD918)</f>
        <v>N/A</v>
      </c>
      <c r="F918" t="str" cm="1">
        <f t="array" ref="F918">INDEX(FX_Calcs,$AA918,$AD918)</f>
        <v>N/A</v>
      </c>
      <c r="G918" t="str" cm="1">
        <f t="array" ref="G918">INDEX(FX_Calcs,$AA918,$AD918)</f>
        <v>N/A</v>
      </c>
      <c r="H918" t="str" cm="1">
        <f t="array" ref="H918">INDEX(FX_Calcs,$AA918,$AD918)</f>
        <v>N/A</v>
      </c>
      <c r="I918" t="str" cm="1">
        <f t="array" ref="I918">INDEX(FX_Calcs,$AA918,$AD918)</f>
        <v>N/A</v>
      </c>
      <c r="J918" t="str" cm="1">
        <f t="array" ref="J918">INDEX(FX_Calcs,$AA918,$AD918)</f>
        <v>N/A</v>
      </c>
      <c r="K918" t="str" cm="1">
        <f t="array" ref="K918">INDEX(FX_Calcs,$AA918,$AD918)</f>
        <v>N/A</v>
      </c>
      <c r="L918" t="str" cm="1">
        <f t="array" ref="L918">INDEX(FX_Calcs,$AA918,$AD918)</f>
        <v>N/A</v>
      </c>
      <c r="M918" t="str" cm="1">
        <f t="array" ref="M918">INDEX(FX_Calcs,$AA918,$AD918)</f>
        <v>N/A</v>
      </c>
      <c r="N918" t="str" cm="1">
        <f t="array" ref="N918">INDEX(FX_Calcs,$AA918,$AD918)</f>
        <v>N/A</v>
      </c>
      <c r="O918" t="str" cm="1">
        <f t="array" ref="O918">INDEX(FX_Calcs,$AA918,$AD918)</f>
        <v>N/A</v>
      </c>
      <c r="P918" t="str" cm="1">
        <f t="array" ref="P918">INDEX(FX_Calcs,$AA918,$AD918)</f>
        <v>N/A</v>
      </c>
      <c r="AA918">
        <f>AA917</f>
        <v>66</v>
      </c>
      <c r="AB918">
        <f t="shared" ref="AB918:AL918" si="2085">AB917</f>
        <v>6</v>
      </c>
      <c r="AC918">
        <f t="shared" si="2085"/>
        <v>3</v>
      </c>
      <c r="AD918">
        <f t="shared" si="2085"/>
        <v>13</v>
      </c>
      <c r="AE918">
        <f t="shared" si="2085"/>
        <v>12</v>
      </c>
      <c r="AF918">
        <f t="shared" si="2085"/>
        <v>14</v>
      </c>
      <c r="AG918">
        <f t="shared" si="2085"/>
        <v>77</v>
      </c>
      <c r="AH918">
        <f t="shared" si="2085"/>
        <v>78</v>
      </c>
      <c r="AI918">
        <f t="shared" si="2085"/>
        <v>1</v>
      </c>
      <c r="AJ918">
        <f t="shared" si="2085"/>
        <v>2</v>
      </c>
      <c r="AK918">
        <f t="shared" si="2085"/>
        <v>1</v>
      </c>
      <c r="AL918">
        <f t="shared" si="2085"/>
        <v>76</v>
      </c>
    </row>
    <row r="919" spans="1:38" x14ac:dyDescent="0.4">
      <c r="B919" t="str">
        <f t="shared" si="2084"/>
        <v>Portland</v>
      </c>
      <c r="C919" s="66" t="s">
        <v>558</v>
      </c>
      <c r="D919" t="str" cm="1">
        <f t="array" ref="D919">INDEX(FX_Calcs,$AA919,$AF919)</f>
        <v>Insulated</v>
      </c>
      <c r="E919" t="str" cm="1">
        <f t="array" ref="E919">INDEX(FX_Calcs,$AA919,$AF919)</f>
        <v>Insulated</v>
      </c>
      <c r="F919" t="str" cm="1">
        <f t="array" ref="F919">INDEX(FX_Calcs,$AA919,$AF919)</f>
        <v>Insulated</v>
      </c>
      <c r="G919" t="str" cm="1">
        <f t="array" ref="G919">INDEX(FX_Calcs,$AA919,$AF919)</f>
        <v>Insulated</v>
      </c>
      <c r="H919" t="str" cm="1">
        <f t="array" ref="H919">INDEX(FX_Calcs,$AA919,$AF919)</f>
        <v>Insulated</v>
      </c>
      <c r="I919" t="str" cm="1">
        <f t="array" ref="I919">INDEX(FX_Calcs,$AA919,$AF919)</f>
        <v>Insulated</v>
      </c>
      <c r="J919" t="str" cm="1">
        <f t="array" ref="J919">INDEX(FX_Calcs,$AA919,$AF919)</f>
        <v>Insulated</v>
      </c>
      <c r="K919" t="str" cm="1">
        <f t="array" ref="K919">INDEX(FX_Calcs,$AA919,$AF919)</f>
        <v>Insulated</v>
      </c>
      <c r="L919" t="str" cm="1">
        <f t="array" ref="L919">INDEX(FX_Calcs,$AA919,$AF919)</f>
        <v>Insulated</v>
      </c>
      <c r="M919" t="str" cm="1">
        <f t="array" ref="M919">INDEX(FX_Calcs,$AA919,$AF919)</f>
        <v>Insulated</v>
      </c>
      <c r="N919" t="str" cm="1">
        <f t="array" ref="N919">INDEX(FX_Calcs,$AA919,$AF919)</f>
        <v>Insulated</v>
      </c>
      <c r="O919" t="str" cm="1">
        <f t="array" ref="O919">INDEX(FX_Calcs,$AA919,$AF919)</f>
        <v>Insulated</v>
      </c>
      <c r="P919" t="str" cm="1">
        <f t="array" ref="P919">INDEX(FX_Calcs,$AA919,$AF919)</f>
        <v>Insulated</v>
      </c>
      <c r="AA919">
        <f>AA918</f>
        <v>66</v>
      </c>
      <c r="AB919">
        <f t="shared" ref="AB919:AL919" si="2086">AB918</f>
        <v>6</v>
      </c>
      <c r="AC919">
        <f t="shared" si="2086"/>
        <v>3</v>
      </c>
      <c r="AD919">
        <f t="shared" si="2086"/>
        <v>13</v>
      </c>
      <c r="AE919">
        <f t="shared" si="2086"/>
        <v>12</v>
      </c>
      <c r="AF919">
        <f t="shared" si="2086"/>
        <v>14</v>
      </c>
      <c r="AG919">
        <f t="shared" si="2086"/>
        <v>77</v>
      </c>
      <c r="AH919">
        <f t="shared" si="2086"/>
        <v>78</v>
      </c>
      <c r="AI919">
        <f t="shared" si="2086"/>
        <v>1</v>
      </c>
      <c r="AJ919">
        <f t="shared" si="2086"/>
        <v>2</v>
      </c>
      <c r="AK919">
        <f t="shared" si="2086"/>
        <v>1</v>
      </c>
      <c r="AL919">
        <f t="shared" si="2086"/>
        <v>76</v>
      </c>
    </row>
    <row r="920" spans="1:38" ht="17.149999999999999" x14ac:dyDescent="0.55000000000000004">
      <c r="B920" t="str">
        <f>B916</f>
        <v>Portland</v>
      </c>
      <c r="C920" t="s">
        <v>512</v>
      </c>
      <c r="D920">
        <f t="shared" ref="D920:P920" si="2087">D916-D915</f>
        <v>10.400000000000034</v>
      </c>
      <c r="E920">
        <f t="shared" si="2087"/>
        <v>13.199999999999989</v>
      </c>
      <c r="F920">
        <f t="shared" si="2087"/>
        <v>13.200000000000045</v>
      </c>
      <c r="G920">
        <f t="shared" si="2087"/>
        <v>13.399999999999977</v>
      </c>
      <c r="H920">
        <f t="shared" si="2087"/>
        <v>13.299999999999955</v>
      </c>
      <c r="I920">
        <f t="shared" si="2087"/>
        <v>12.500000000000057</v>
      </c>
      <c r="J920">
        <f t="shared" si="2087"/>
        <v>12.699999999999932</v>
      </c>
      <c r="K920">
        <f t="shared" si="2087"/>
        <v>13.600000000000023</v>
      </c>
      <c r="L920">
        <f t="shared" si="2087"/>
        <v>16.399999999999977</v>
      </c>
      <c r="M920">
        <f t="shared" si="2087"/>
        <v>14.699999999999989</v>
      </c>
      <c r="N920">
        <f t="shared" si="2087"/>
        <v>12.200000000000045</v>
      </c>
      <c r="O920">
        <f t="shared" si="2087"/>
        <v>10</v>
      </c>
      <c r="P920">
        <f t="shared" si="2087"/>
        <v>13</v>
      </c>
    </row>
    <row r="921" spans="1:38" x14ac:dyDescent="0.4">
      <c r="B921" t="str">
        <f t="shared" ref="B921:B928" si="2088">B920</f>
        <v>Portland</v>
      </c>
      <c r="C921" t="s">
        <v>260</v>
      </c>
      <c r="D921">
        <f t="shared" ref="D921:P921" si="2089">VLOOKUP(VLOOKUP($B921,Terminal_X_Ref,2,FALSE)&amp;$C921,Weather_Data,$Y921*D$3+$Z921,FALSE)</f>
        <v>343</v>
      </c>
      <c r="E921">
        <f t="shared" si="2089"/>
        <v>600</v>
      </c>
      <c r="F921">
        <f t="shared" si="2089"/>
        <v>877</v>
      </c>
      <c r="G921">
        <f t="shared" si="2089"/>
        <v>1252</v>
      </c>
      <c r="H921">
        <f t="shared" si="2089"/>
        <v>1537</v>
      </c>
      <c r="I921">
        <f t="shared" si="2089"/>
        <v>1627</v>
      </c>
      <c r="J921">
        <f t="shared" si="2089"/>
        <v>1708</v>
      </c>
      <c r="K921">
        <f t="shared" si="2089"/>
        <v>1492</v>
      </c>
      <c r="L921">
        <f t="shared" si="2089"/>
        <v>1196</v>
      </c>
      <c r="M921">
        <f t="shared" si="2089"/>
        <v>728</v>
      </c>
      <c r="N921">
        <f t="shared" si="2089"/>
        <v>391</v>
      </c>
      <c r="O921">
        <f t="shared" si="2089"/>
        <v>302</v>
      </c>
      <c r="P921">
        <f t="shared" si="2089"/>
        <v>1005</v>
      </c>
      <c r="U921">
        <f>U916</f>
        <v>2</v>
      </c>
      <c r="V921">
        <f t="shared" ref="V921:Z921" si="2090">V916</f>
        <v>3</v>
      </c>
      <c r="W921">
        <f t="shared" si="2090"/>
        <v>1</v>
      </c>
      <c r="X921">
        <f t="shared" si="2090"/>
        <v>2</v>
      </c>
      <c r="Y921">
        <f t="shared" si="2090"/>
        <v>1</v>
      </c>
      <c r="Z921">
        <f t="shared" si="2090"/>
        <v>1</v>
      </c>
    </row>
    <row r="922" spans="1:38" ht="17.149999999999999" x14ac:dyDescent="0.55000000000000004">
      <c r="B922" t="str">
        <f t="shared" si="2088"/>
        <v>Portland</v>
      </c>
      <c r="C922" t="s">
        <v>523</v>
      </c>
      <c r="D922">
        <f>IF(ISNUMBER(D919),0.7*D920+0.02*D919*D921,IF(D919="Partially Insulated",0.6*D920+0.02*D918*D921,0))</f>
        <v>0</v>
      </c>
      <c r="E922">
        <f t="shared" ref="E922:P922" si="2091">IF(ISNUMBER(E919),0.7*E920+0.02*E919*E921,IF(E919="Partially Insulated",0.6*E920+0.02*E918*E921,0))</f>
        <v>0</v>
      </c>
      <c r="F922">
        <f t="shared" si="2091"/>
        <v>0</v>
      </c>
      <c r="G922">
        <f t="shared" si="2091"/>
        <v>0</v>
      </c>
      <c r="H922">
        <f t="shared" si="2091"/>
        <v>0</v>
      </c>
      <c r="I922">
        <f t="shared" si="2091"/>
        <v>0</v>
      </c>
      <c r="J922">
        <f t="shared" si="2091"/>
        <v>0</v>
      </c>
      <c r="K922">
        <f t="shared" si="2091"/>
        <v>0</v>
      </c>
      <c r="L922">
        <f t="shared" si="2091"/>
        <v>0</v>
      </c>
      <c r="M922">
        <f t="shared" si="2091"/>
        <v>0</v>
      </c>
      <c r="N922">
        <f t="shared" si="2091"/>
        <v>0</v>
      </c>
      <c r="O922">
        <f t="shared" si="2091"/>
        <v>0</v>
      </c>
      <c r="P922">
        <f t="shared" si="2091"/>
        <v>0</v>
      </c>
    </row>
    <row r="923" spans="1:38" ht="17.149999999999999" x14ac:dyDescent="0.55000000000000004">
      <c r="B923" t="str">
        <f t="shared" si="2088"/>
        <v>Portland</v>
      </c>
      <c r="C923" t="s">
        <v>524</v>
      </c>
      <c r="D923">
        <f t="shared" ref="D923:F923" si="2092">AVERAGE(D915:D916)</f>
        <v>503.5</v>
      </c>
      <c r="E923">
        <f t="shared" si="2092"/>
        <v>504.30000000000007</v>
      </c>
      <c r="F923">
        <f t="shared" si="2092"/>
        <v>505.70000000000005</v>
      </c>
      <c r="G923">
        <f>AVERAGE(G915:G916)</f>
        <v>508.2</v>
      </c>
      <c r="H923">
        <f t="shared" ref="H923:P923" si="2093">AVERAGE(H915:H916)</f>
        <v>512.75</v>
      </c>
      <c r="I923">
        <f t="shared" si="2093"/>
        <v>516.55000000000007</v>
      </c>
      <c r="J923">
        <f t="shared" si="2093"/>
        <v>520.04999999999995</v>
      </c>
      <c r="K923">
        <f t="shared" si="2093"/>
        <v>520.5</v>
      </c>
      <c r="L923">
        <f t="shared" si="2093"/>
        <v>518.20000000000005</v>
      </c>
      <c r="M923">
        <f t="shared" si="2093"/>
        <v>512.25</v>
      </c>
      <c r="N923">
        <f t="shared" si="2093"/>
        <v>506.70000000000005</v>
      </c>
      <c r="O923">
        <f t="shared" si="2093"/>
        <v>503.20000000000005</v>
      </c>
      <c r="P923">
        <f t="shared" si="2093"/>
        <v>51.4</v>
      </c>
    </row>
    <row r="924" spans="1:38" ht="17.149999999999999" x14ac:dyDescent="0.55000000000000004">
      <c r="B924" t="str">
        <f t="shared" si="2088"/>
        <v>Portland</v>
      </c>
      <c r="C924" t="s">
        <v>525</v>
      </c>
      <c r="D924" cm="1">
        <f t="array" ref="D924">IFERROR(IF(ISBLANK(INDEX(FX_Input,$R915,D$3*$AK915+$AL915)),D923+0.003*D917*D921,INDEX(FX_Input,$R915,D$3*$AK915+$AL915)+459.6),D923)</f>
        <v>503.5</v>
      </c>
      <c r="E924" cm="1">
        <f t="array" ref="E924">IFERROR(IF(ISBLANK(INDEX(FX_Input,$R915,E$3*$AK915+$AL915)),E923+0.003*E917*E921,INDEX(FX_Input,$R915,E$3*$AK915+$AL915)+459.6),E923)</f>
        <v>504.30000000000007</v>
      </c>
      <c r="F924" cm="1">
        <f t="array" ref="F924">IFERROR(IF(ISBLANK(INDEX(FX_Input,$R915,F$3*$AK915+$AL915)),F923+0.003*F917*F921,INDEX(FX_Input,$R915,F$3*$AK915+$AL915)+459.6),F923)</f>
        <v>505.70000000000005</v>
      </c>
      <c r="G924" cm="1">
        <f t="array" ref="G924">IFERROR(IF(ISBLANK(INDEX(FX_Input,$R915,G$3*$AK915+$AL915)),G923+0.003*G917*G921,INDEX(FX_Input,$R915,G$3*$AK915+$AL915)+459.6),G923)</f>
        <v>508.2</v>
      </c>
      <c r="H924" cm="1">
        <f t="array" ref="H924">IFERROR(IF(ISBLANK(INDEX(FX_Input,$R915,H$3*$AK915+$AL915)),H923+0.003*H917*H921,INDEX(FX_Input,$R915,H$3*$AK915+$AL915)+459.6),H923)</f>
        <v>512.75</v>
      </c>
      <c r="I924" cm="1">
        <f t="array" ref="I924">IFERROR(IF(ISBLANK(INDEX(FX_Input,$R915,I$3*$AK915+$AL915)),I923+0.003*I917*I921,INDEX(FX_Input,$R915,I$3*$AK915+$AL915)+459.6),I923)</f>
        <v>516.55000000000007</v>
      </c>
      <c r="J924" cm="1">
        <f t="array" ref="J924">IFERROR(IF(ISBLANK(INDEX(FX_Input,$R915,J$3*$AK915+$AL915)),J923+0.003*J917*J921,INDEX(FX_Input,$R915,J$3*$AK915+$AL915)+459.6),J923)</f>
        <v>520.04999999999995</v>
      </c>
      <c r="K924" cm="1">
        <f t="array" ref="K924">IFERROR(IF(ISBLANK(INDEX(FX_Input,$R915,K$3*$AK915+$AL915)),K923+0.003*K917*K921,INDEX(FX_Input,$R915,K$3*$AK915+$AL915)+459.6),K923)</f>
        <v>520.5</v>
      </c>
      <c r="L924" cm="1">
        <f t="array" ref="L924">IFERROR(IF(ISBLANK(INDEX(FX_Input,$R915,L$3*$AK915+$AL915)),L923+0.003*L917*L921,INDEX(FX_Input,$R915,L$3*$AK915+$AL915)+459.6),L923)</f>
        <v>518.20000000000005</v>
      </c>
      <c r="M924" cm="1">
        <f t="array" ref="M924">IFERROR(IF(ISBLANK(INDEX(FX_Input,$R915,M$3*$AK915+$AL915)),M923+0.003*M917*M921,INDEX(FX_Input,$R915,M$3*$AK915+$AL915)+459.6),M923)</f>
        <v>512.25</v>
      </c>
      <c r="N924" cm="1">
        <f t="array" ref="N924">IFERROR(IF(ISBLANK(INDEX(FX_Input,$R915,N$3*$AK915+$AL915)),N923+0.003*N917*N921,INDEX(FX_Input,$R915,N$3*$AK915+$AL915)+459.6),N923)</f>
        <v>506.70000000000005</v>
      </c>
      <c r="O924" cm="1">
        <f t="array" ref="O924">IFERROR(IF(ISBLANK(INDEX(FX_Input,$R915,O$3*$AK915+$AL915)),O923+0.003*O917*O921,INDEX(FX_Input,$R915,O$3*$AK915+$AL915)+459.6),O923)</f>
        <v>503.20000000000005</v>
      </c>
      <c r="P924" cm="1">
        <f t="array" ref="P924">IFERROR(IF(ISBLANK(INDEX(FX_Input,$R915,P$3*$AK915+$AL915)),P923+0.003*P917*P921,INDEX(FX_Input,$R915,P$3*$AK915+$AL915)+459.6),P923)</f>
        <v>544.6</v>
      </c>
    </row>
    <row r="925" spans="1:38" ht="17.149999999999999" x14ac:dyDescent="0.55000000000000004">
      <c r="B925" t="str">
        <f t="shared" si="2088"/>
        <v>Portland</v>
      </c>
      <c r="C925" t="s">
        <v>526</v>
      </c>
      <c r="D925">
        <f>IF(ISNUMBER(D919),0.4*D915+0.6*D924+0.005*D919*D921,IF(D919="Partially Insulated",0.3*D923+0.7*D924+0.005*D918*D921,D924))-459.6</f>
        <v>43.899999999999977</v>
      </c>
      <c r="E925">
        <f t="shared" ref="E925:O925" si="2094">IF(ISNUMBER(E919),0.4*E915+0.6*E924+0.005*E919*E921,IF(E919="Partially Insulated",0.3*E923+0.7*E924+0.005*E918*E921,E924))-459.6</f>
        <v>44.700000000000045</v>
      </c>
      <c r="F925">
        <f t="shared" si="2094"/>
        <v>46.100000000000023</v>
      </c>
      <c r="G925">
        <f t="shared" si="2094"/>
        <v>48.599999999999966</v>
      </c>
      <c r="H925">
        <f t="shared" si="2094"/>
        <v>53.149999999999977</v>
      </c>
      <c r="I925">
        <f t="shared" si="2094"/>
        <v>56.950000000000045</v>
      </c>
      <c r="J925">
        <f t="shared" si="2094"/>
        <v>60.449999999999932</v>
      </c>
      <c r="K925">
        <f t="shared" si="2094"/>
        <v>60.899999999999977</v>
      </c>
      <c r="L925">
        <f t="shared" si="2094"/>
        <v>58.600000000000023</v>
      </c>
      <c r="M925">
        <f t="shared" si="2094"/>
        <v>52.649999999999977</v>
      </c>
      <c r="N925">
        <f t="shared" si="2094"/>
        <v>47.100000000000023</v>
      </c>
      <c r="O925">
        <f t="shared" si="2094"/>
        <v>43.600000000000023</v>
      </c>
      <c r="P925">
        <f>AVERAGE(D925:O925)</f>
        <v>51.391666666666673</v>
      </c>
    </row>
    <row r="926" spans="1:38" ht="17.149999999999999" x14ac:dyDescent="0.55000000000000004">
      <c r="B926" t="str">
        <f t="shared" si="2088"/>
        <v>Portland</v>
      </c>
      <c r="C926" t="s">
        <v>527</v>
      </c>
      <c r="D926">
        <f>IF(ISNUMBER(D919),0.4*D916+0.6*D924+0.005*D919*D921,IF(D919="Partially Insulated",0.3*D923+0.7*D924+0.005*D918*D921,D924))-459.6</f>
        <v>43.899999999999977</v>
      </c>
      <c r="E926">
        <f t="shared" ref="E926:O926" si="2095">IF(ISNUMBER(E919),0.4*E916+0.6*E924+0.005*E919*E921,IF(E919="Partially Insulated",0.3*E923+0.7*E924+0.005*E918*E921,E924))-459.6</f>
        <v>44.700000000000045</v>
      </c>
      <c r="F926">
        <f t="shared" si="2095"/>
        <v>46.100000000000023</v>
      </c>
      <c r="G926">
        <f t="shared" si="2095"/>
        <v>48.599999999999966</v>
      </c>
      <c r="H926">
        <f t="shared" si="2095"/>
        <v>53.149999999999977</v>
      </c>
      <c r="I926">
        <f t="shared" si="2095"/>
        <v>56.950000000000045</v>
      </c>
      <c r="J926">
        <f t="shared" si="2095"/>
        <v>60.449999999999932</v>
      </c>
      <c r="K926">
        <f t="shared" si="2095"/>
        <v>60.899999999999977</v>
      </c>
      <c r="L926">
        <f t="shared" si="2095"/>
        <v>58.600000000000023</v>
      </c>
      <c r="M926">
        <f t="shared" si="2095"/>
        <v>52.649999999999977</v>
      </c>
      <c r="N926">
        <f t="shared" si="2095"/>
        <v>47.100000000000023</v>
      </c>
      <c r="O926">
        <f t="shared" si="2095"/>
        <v>43.600000000000023</v>
      </c>
      <c r="P926">
        <f>AVERAGE(D926:O926)</f>
        <v>51.391666666666673</v>
      </c>
    </row>
    <row r="927" spans="1:38" ht="17.149999999999999" x14ac:dyDescent="0.55000000000000004">
      <c r="B927" t="str">
        <f t="shared" si="2088"/>
        <v>Portland</v>
      </c>
      <c r="C927" t="s">
        <v>552</v>
      </c>
      <c r="D927">
        <f>IF(ISNUMBER(D919),0.4*D923+0.6*D924+0.005*D919*D921,IF(D919="Partially Insulated",0.3*D923+0.7*D924+0.005*D918*D921,D924))-459.6</f>
        <v>43.899999999999977</v>
      </c>
      <c r="E927">
        <f t="shared" ref="E927:O927" si="2096">IF(ISNUMBER(E919),0.4*E923+0.6*E924+0.005*E919*E921,IF(E919="Partially Insulated",0.3*E923+0.7*E924+0.005*E918*E921,E924))-459.6</f>
        <v>44.700000000000045</v>
      </c>
      <c r="F927">
        <f t="shared" si="2096"/>
        <v>46.100000000000023</v>
      </c>
      <c r="G927">
        <f t="shared" si="2096"/>
        <v>48.599999999999966</v>
      </c>
      <c r="H927">
        <f t="shared" si="2096"/>
        <v>53.149999999999977</v>
      </c>
      <c r="I927">
        <f t="shared" si="2096"/>
        <v>56.950000000000045</v>
      </c>
      <c r="J927">
        <f t="shared" si="2096"/>
        <v>60.449999999999932</v>
      </c>
      <c r="K927">
        <f t="shared" si="2096"/>
        <v>60.899999999999977</v>
      </c>
      <c r="L927">
        <f t="shared" si="2096"/>
        <v>58.600000000000023</v>
      </c>
      <c r="M927">
        <f t="shared" si="2096"/>
        <v>52.649999999999977</v>
      </c>
      <c r="N927">
        <f t="shared" si="2096"/>
        <v>47.100000000000023</v>
      </c>
      <c r="O927">
        <f t="shared" si="2096"/>
        <v>43.600000000000023</v>
      </c>
      <c r="P927">
        <f>AVERAGE(D927:O927)</f>
        <v>51.391666666666673</v>
      </c>
    </row>
    <row r="928" spans="1:38" ht="17.149999999999999" x14ac:dyDescent="0.55000000000000004">
      <c r="A928" s="11"/>
      <c r="B928" s="11" t="str">
        <f t="shared" si="2088"/>
        <v>Portland</v>
      </c>
      <c r="C928" s="11" t="s">
        <v>553</v>
      </c>
      <c r="D928" s="11">
        <f>IF(ISNUMBER(D919),0.7*D923+0.3*D924+0.009*D919*D921,IF(D919="Partially Insulated",0.6*D923+0.4*D924+0.01*D918*D921,D924))-459.6</f>
        <v>43.899999999999977</v>
      </c>
      <c r="E928" s="11">
        <f t="shared" ref="E928:O928" si="2097">IF(ISNUMBER(E919),0.7*E923+0.3*E924+0.009*E919*E921,IF(E919="Partially Insulated",0.6*E923+0.4*E924+0.01*E918*E921,E924))-459.6</f>
        <v>44.700000000000045</v>
      </c>
      <c r="F928" s="11">
        <f t="shared" si="2097"/>
        <v>46.100000000000023</v>
      </c>
      <c r="G928" s="11">
        <f t="shared" si="2097"/>
        <v>48.599999999999966</v>
      </c>
      <c r="H928" s="11">
        <f t="shared" si="2097"/>
        <v>53.149999999999977</v>
      </c>
      <c r="I928" s="11">
        <f t="shared" si="2097"/>
        <v>56.950000000000045</v>
      </c>
      <c r="J928" s="11">
        <f t="shared" si="2097"/>
        <v>60.449999999999932</v>
      </c>
      <c r="K928" s="11">
        <f t="shared" si="2097"/>
        <v>60.899999999999977</v>
      </c>
      <c r="L928" s="11">
        <f t="shared" si="2097"/>
        <v>58.600000000000023</v>
      </c>
      <c r="M928" s="11">
        <f t="shared" si="2097"/>
        <v>52.649999999999977</v>
      </c>
      <c r="N928" s="11">
        <f t="shared" si="2097"/>
        <v>47.100000000000023</v>
      </c>
      <c r="O928" s="11">
        <f t="shared" si="2097"/>
        <v>43.600000000000023</v>
      </c>
      <c r="P928" s="11">
        <f>AVERAGE(D928:O928)</f>
        <v>51.391666666666673</v>
      </c>
      <c r="Q928" s="11"/>
      <c r="R928" s="11"/>
      <c r="S928" s="11"/>
      <c r="T928" s="11"/>
      <c r="U928" s="11"/>
      <c r="V928" s="11"/>
      <c r="W928" s="11"/>
      <c r="X928" s="11"/>
      <c r="Y928" s="11"/>
      <c r="Z928" s="11"/>
      <c r="AA928" s="11"/>
      <c r="AB928" s="11"/>
      <c r="AC928" s="11"/>
      <c r="AD928" s="11"/>
      <c r="AE928" s="11"/>
      <c r="AF928" s="11"/>
      <c r="AG928" s="11"/>
      <c r="AH928" s="11"/>
      <c r="AI928" s="11"/>
      <c r="AJ928" s="11"/>
      <c r="AK928" s="11"/>
      <c r="AL928" s="11"/>
    </row>
    <row r="929" spans="1:38" ht="17.149999999999999" x14ac:dyDescent="0.55000000000000004">
      <c r="A929" t="str" cm="1">
        <f t="array" ref="A929">INDEX(FX_Input,$R929,S$5)</f>
        <v>FX - 67</v>
      </c>
      <c r="B929" t="str" cm="1">
        <f t="array" ref="B929">INDEX(FX_Input,R929,T929)</f>
        <v>Portland</v>
      </c>
      <c r="C929" t="s">
        <v>510</v>
      </c>
      <c r="D929">
        <f t="shared" ref="D929:O930" si="2098">VLOOKUP(VLOOKUP($B929,Terminal_X_Ref,2,FALSE)&amp;$C929,Weather_Data,$Y929*D$3+$Z929,FALSE)+459.6</f>
        <v>498.3</v>
      </c>
      <c r="E929">
        <f t="shared" si="2098"/>
        <v>497.70000000000005</v>
      </c>
      <c r="F929">
        <f t="shared" si="2098"/>
        <v>499.1</v>
      </c>
      <c r="G929">
        <f t="shared" si="2098"/>
        <v>501.5</v>
      </c>
      <c r="H929">
        <f t="shared" si="2098"/>
        <v>506.1</v>
      </c>
      <c r="I929">
        <f t="shared" si="2098"/>
        <v>510.3</v>
      </c>
      <c r="J929">
        <f t="shared" si="2098"/>
        <v>513.70000000000005</v>
      </c>
      <c r="K929">
        <f t="shared" si="2098"/>
        <v>513.70000000000005</v>
      </c>
      <c r="L929">
        <f t="shared" si="2098"/>
        <v>510</v>
      </c>
      <c r="M929">
        <f t="shared" si="2098"/>
        <v>504.90000000000003</v>
      </c>
      <c r="N929">
        <f t="shared" si="2098"/>
        <v>500.6</v>
      </c>
      <c r="O929">
        <f t="shared" si="2098"/>
        <v>498.20000000000005</v>
      </c>
      <c r="P929">
        <f t="shared" ref="P929:P930" si="2099">VLOOKUP(VLOOKUP($B929,Terminal_X_Ref,2,FALSE)&amp;$C929,Weather_Data,$Y929*P$3+$Z929,FALSE)</f>
        <v>44.9</v>
      </c>
      <c r="R929">
        <f>R915+2</f>
        <v>133</v>
      </c>
      <c r="S929">
        <f>S915+1</f>
        <v>67</v>
      </c>
      <c r="T929">
        <v>3</v>
      </c>
      <c r="U929">
        <v>2</v>
      </c>
      <c r="V929">
        <v>3</v>
      </c>
      <c r="W929">
        <v>1</v>
      </c>
      <c r="X929">
        <v>2</v>
      </c>
      <c r="Y929">
        <f>(V929-U929)/(X929-W929)</f>
        <v>1</v>
      </c>
      <c r="Z929">
        <f>U929-Y929*W929</f>
        <v>1</v>
      </c>
      <c r="AA929">
        <f>AA915+1</f>
        <v>67</v>
      </c>
      <c r="AB929">
        <v>6</v>
      </c>
      <c r="AC929">
        <v>3</v>
      </c>
      <c r="AD929">
        <v>13</v>
      </c>
      <c r="AE929">
        <v>12</v>
      </c>
      <c r="AF929">
        <v>14</v>
      </c>
      <c r="AG929">
        <v>77</v>
      </c>
      <c r="AH929">
        <v>78</v>
      </c>
      <c r="AI929">
        <v>1</v>
      </c>
      <c r="AJ929">
        <v>2</v>
      </c>
      <c r="AK929">
        <f>(AH929-AG929)/(AJ929-AI929)</f>
        <v>1</v>
      </c>
      <c r="AL929">
        <f>AG929-AK929*AI929</f>
        <v>76</v>
      </c>
    </row>
    <row r="930" spans="1:38" ht="17.149999999999999" x14ac:dyDescent="0.55000000000000004">
      <c r="B930" t="str">
        <f t="shared" ref="B930" si="2100">B929</f>
        <v>Portland</v>
      </c>
      <c r="C930" t="s">
        <v>511</v>
      </c>
      <c r="D930">
        <f t="shared" si="2098"/>
        <v>508.70000000000005</v>
      </c>
      <c r="E930">
        <f t="shared" si="2098"/>
        <v>510.90000000000003</v>
      </c>
      <c r="F930">
        <f t="shared" si="2098"/>
        <v>512.30000000000007</v>
      </c>
      <c r="G930">
        <f t="shared" si="2098"/>
        <v>514.9</v>
      </c>
      <c r="H930">
        <f t="shared" si="2098"/>
        <v>519.4</v>
      </c>
      <c r="I930">
        <f t="shared" si="2098"/>
        <v>522.80000000000007</v>
      </c>
      <c r="J930">
        <f t="shared" si="2098"/>
        <v>526.4</v>
      </c>
      <c r="K930">
        <f t="shared" si="2098"/>
        <v>527.30000000000007</v>
      </c>
      <c r="L930">
        <f t="shared" si="2098"/>
        <v>526.4</v>
      </c>
      <c r="M930">
        <f t="shared" si="2098"/>
        <v>519.6</v>
      </c>
      <c r="N930">
        <f t="shared" si="2098"/>
        <v>512.80000000000007</v>
      </c>
      <c r="O930">
        <f t="shared" si="2098"/>
        <v>508.20000000000005</v>
      </c>
      <c r="P930">
        <f t="shared" si="2099"/>
        <v>57.9</v>
      </c>
      <c r="U930">
        <f>U929</f>
        <v>2</v>
      </c>
      <c r="V930">
        <f t="shared" ref="V930:Z930" si="2101">V929</f>
        <v>3</v>
      </c>
      <c r="W930">
        <f t="shared" si="2101"/>
        <v>1</v>
      </c>
      <c r="X930">
        <f t="shared" si="2101"/>
        <v>2</v>
      </c>
      <c r="Y930">
        <f t="shared" si="2101"/>
        <v>1</v>
      </c>
      <c r="Z930">
        <f t="shared" si="2101"/>
        <v>1</v>
      </c>
      <c r="AA930">
        <f>AA929</f>
        <v>67</v>
      </c>
      <c r="AB930">
        <f t="shared" ref="AB930:AL930" si="2102">AB929</f>
        <v>6</v>
      </c>
      <c r="AC930">
        <f t="shared" si="2102"/>
        <v>3</v>
      </c>
      <c r="AD930">
        <f t="shared" si="2102"/>
        <v>13</v>
      </c>
      <c r="AE930">
        <f t="shared" si="2102"/>
        <v>12</v>
      </c>
      <c r="AF930">
        <f t="shared" si="2102"/>
        <v>14</v>
      </c>
      <c r="AG930">
        <f t="shared" si="2102"/>
        <v>77</v>
      </c>
      <c r="AH930">
        <f t="shared" si="2102"/>
        <v>78</v>
      </c>
      <c r="AI930">
        <f t="shared" si="2102"/>
        <v>1</v>
      </c>
      <c r="AJ930">
        <f t="shared" si="2102"/>
        <v>2</v>
      </c>
      <c r="AK930">
        <f t="shared" si="2102"/>
        <v>1</v>
      </c>
      <c r="AL930">
        <f t="shared" si="2102"/>
        <v>76</v>
      </c>
    </row>
    <row r="931" spans="1:38" ht="17.149999999999999" x14ac:dyDescent="0.4">
      <c r="B931" t="str">
        <f>B930</f>
        <v>Portland</v>
      </c>
      <c r="C931" s="66" t="s">
        <v>514</v>
      </c>
      <c r="D931" t="str" cm="1">
        <f t="array" ref="D931">INDEX(FX_Calcs,$AA931,$AE931)</f>
        <v>N/A</v>
      </c>
      <c r="E931" t="str" cm="1">
        <f t="array" ref="E931">INDEX(FX_Calcs,$AA931,$AE931)</f>
        <v>N/A</v>
      </c>
      <c r="F931" t="str" cm="1">
        <f t="array" ref="F931">INDEX(FX_Calcs,$AA931,$AE931)</f>
        <v>N/A</v>
      </c>
      <c r="G931" t="str" cm="1">
        <f t="array" ref="G931">INDEX(FX_Calcs,$AA931,$AE931)</f>
        <v>N/A</v>
      </c>
      <c r="H931" t="str" cm="1">
        <f t="array" ref="H931">INDEX(FX_Calcs,$AA931,$AE931)</f>
        <v>N/A</v>
      </c>
      <c r="I931" t="str" cm="1">
        <f t="array" ref="I931">INDEX(FX_Calcs,$AA931,$AE931)</f>
        <v>N/A</v>
      </c>
      <c r="J931" t="str" cm="1">
        <f t="array" ref="J931">INDEX(FX_Calcs,$AA931,$AE931)</f>
        <v>N/A</v>
      </c>
      <c r="K931" t="str" cm="1">
        <f t="array" ref="K931">INDEX(FX_Calcs,$AA931,$AE931)</f>
        <v>N/A</v>
      </c>
      <c r="L931" t="str" cm="1">
        <f t="array" ref="L931">INDEX(FX_Calcs,$AA931,$AE931)</f>
        <v>N/A</v>
      </c>
      <c r="M931" t="str" cm="1">
        <f t="array" ref="M931">INDEX(FX_Calcs,$AA931,$AE931)</f>
        <v>N/A</v>
      </c>
      <c r="N931" t="str" cm="1">
        <f t="array" ref="N931">INDEX(FX_Calcs,$AA931,$AE931)</f>
        <v>N/A</v>
      </c>
      <c r="O931" t="str" cm="1">
        <f t="array" ref="O931">INDEX(FX_Calcs,$AA931,$AE931)</f>
        <v>N/A</v>
      </c>
      <c r="P931" t="str" cm="1">
        <f t="array" ref="P931">INDEX(FX_Calcs,$AA931,$AE931)</f>
        <v>N/A</v>
      </c>
      <c r="AA931">
        <f>AA930</f>
        <v>67</v>
      </c>
      <c r="AB931">
        <f t="shared" ref="AB931:AL931" si="2103">AB930</f>
        <v>6</v>
      </c>
      <c r="AC931">
        <f t="shared" si="2103"/>
        <v>3</v>
      </c>
      <c r="AD931">
        <f t="shared" si="2103"/>
        <v>13</v>
      </c>
      <c r="AE931">
        <f t="shared" si="2103"/>
        <v>12</v>
      </c>
      <c r="AF931">
        <f t="shared" si="2103"/>
        <v>14</v>
      </c>
      <c r="AG931">
        <f t="shared" si="2103"/>
        <v>77</v>
      </c>
      <c r="AH931">
        <f t="shared" si="2103"/>
        <v>78</v>
      </c>
      <c r="AI931">
        <f t="shared" si="2103"/>
        <v>1</v>
      </c>
      <c r="AJ931">
        <f t="shared" si="2103"/>
        <v>2</v>
      </c>
      <c r="AK931">
        <f t="shared" si="2103"/>
        <v>1</v>
      </c>
      <c r="AL931">
        <f t="shared" si="2103"/>
        <v>76</v>
      </c>
    </row>
    <row r="932" spans="1:38" ht="17.149999999999999" x14ac:dyDescent="0.4">
      <c r="B932" t="str">
        <f t="shared" ref="B932:B933" si="2104">B931</f>
        <v>Portland</v>
      </c>
      <c r="C932" s="66" t="s">
        <v>513</v>
      </c>
      <c r="D932" t="str" cm="1">
        <f t="array" ref="D932">INDEX(FX_Calcs,$AA932,$AD932)</f>
        <v>N/A</v>
      </c>
      <c r="E932" t="str" cm="1">
        <f t="array" ref="E932">INDEX(FX_Calcs,$AA932,$AD932)</f>
        <v>N/A</v>
      </c>
      <c r="F932" t="str" cm="1">
        <f t="array" ref="F932">INDEX(FX_Calcs,$AA932,$AD932)</f>
        <v>N/A</v>
      </c>
      <c r="G932" t="str" cm="1">
        <f t="array" ref="G932">INDEX(FX_Calcs,$AA932,$AD932)</f>
        <v>N/A</v>
      </c>
      <c r="H932" t="str" cm="1">
        <f t="array" ref="H932">INDEX(FX_Calcs,$AA932,$AD932)</f>
        <v>N/A</v>
      </c>
      <c r="I932" t="str" cm="1">
        <f t="array" ref="I932">INDEX(FX_Calcs,$AA932,$AD932)</f>
        <v>N/A</v>
      </c>
      <c r="J932" t="str" cm="1">
        <f t="array" ref="J932">INDEX(FX_Calcs,$AA932,$AD932)</f>
        <v>N/A</v>
      </c>
      <c r="K932" t="str" cm="1">
        <f t="array" ref="K932">INDEX(FX_Calcs,$AA932,$AD932)</f>
        <v>N/A</v>
      </c>
      <c r="L932" t="str" cm="1">
        <f t="array" ref="L932">INDEX(FX_Calcs,$AA932,$AD932)</f>
        <v>N/A</v>
      </c>
      <c r="M932" t="str" cm="1">
        <f t="array" ref="M932">INDEX(FX_Calcs,$AA932,$AD932)</f>
        <v>N/A</v>
      </c>
      <c r="N932" t="str" cm="1">
        <f t="array" ref="N932">INDEX(FX_Calcs,$AA932,$AD932)</f>
        <v>N/A</v>
      </c>
      <c r="O932" t="str" cm="1">
        <f t="array" ref="O932">INDEX(FX_Calcs,$AA932,$AD932)</f>
        <v>N/A</v>
      </c>
      <c r="P932" t="str" cm="1">
        <f t="array" ref="P932">INDEX(FX_Calcs,$AA932,$AD932)</f>
        <v>N/A</v>
      </c>
      <c r="AA932">
        <f>AA931</f>
        <v>67</v>
      </c>
      <c r="AB932">
        <f t="shared" ref="AB932:AL932" si="2105">AB931</f>
        <v>6</v>
      </c>
      <c r="AC932">
        <f t="shared" si="2105"/>
        <v>3</v>
      </c>
      <c r="AD932">
        <f t="shared" si="2105"/>
        <v>13</v>
      </c>
      <c r="AE932">
        <f t="shared" si="2105"/>
        <v>12</v>
      </c>
      <c r="AF932">
        <f t="shared" si="2105"/>
        <v>14</v>
      </c>
      <c r="AG932">
        <f t="shared" si="2105"/>
        <v>77</v>
      </c>
      <c r="AH932">
        <f t="shared" si="2105"/>
        <v>78</v>
      </c>
      <c r="AI932">
        <f t="shared" si="2105"/>
        <v>1</v>
      </c>
      <c r="AJ932">
        <f t="shared" si="2105"/>
        <v>2</v>
      </c>
      <c r="AK932">
        <f t="shared" si="2105"/>
        <v>1</v>
      </c>
      <c r="AL932">
        <f t="shared" si="2105"/>
        <v>76</v>
      </c>
    </row>
    <row r="933" spans="1:38" x14ac:dyDescent="0.4">
      <c r="B933" t="str">
        <f t="shared" si="2104"/>
        <v>Portland</v>
      </c>
      <c r="C933" s="66" t="s">
        <v>558</v>
      </c>
      <c r="D933" t="str" cm="1">
        <f t="array" ref="D933">INDEX(FX_Calcs,$AA933,$AF933)</f>
        <v>Insulated</v>
      </c>
      <c r="E933" t="str" cm="1">
        <f t="array" ref="E933">INDEX(FX_Calcs,$AA933,$AF933)</f>
        <v>Insulated</v>
      </c>
      <c r="F933" t="str" cm="1">
        <f t="array" ref="F933">INDEX(FX_Calcs,$AA933,$AF933)</f>
        <v>Insulated</v>
      </c>
      <c r="G933" t="str" cm="1">
        <f t="array" ref="G933">INDEX(FX_Calcs,$AA933,$AF933)</f>
        <v>Insulated</v>
      </c>
      <c r="H933" t="str" cm="1">
        <f t="array" ref="H933">INDEX(FX_Calcs,$AA933,$AF933)</f>
        <v>Insulated</v>
      </c>
      <c r="I933" t="str" cm="1">
        <f t="array" ref="I933">INDEX(FX_Calcs,$AA933,$AF933)</f>
        <v>Insulated</v>
      </c>
      <c r="J933" t="str" cm="1">
        <f t="array" ref="J933">INDEX(FX_Calcs,$AA933,$AF933)</f>
        <v>Insulated</v>
      </c>
      <c r="K933" t="str" cm="1">
        <f t="array" ref="K933">INDEX(FX_Calcs,$AA933,$AF933)</f>
        <v>Insulated</v>
      </c>
      <c r="L933" t="str" cm="1">
        <f t="array" ref="L933">INDEX(FX_Calcs,$AA933,$AF933)</f>
        <v>Insulated</v>
      </c>
      <c r="M933" t="str" cm="1">
        <f t="array" ref="M933">INDEX(FX_Calcs,$AA933,$AF933)</f>
        <v>Insulated</v>
      </c>
      <c r="N933" t="str" cm="1">
        <f t="array" ref="N933">INDEX(FX_Calcs,$AA933,$AF933)</f>
        <v>Insulated</v>
      </c>
      <c r="O933" t="str" cm="1">
        <f t="array" ref="O933">INDEX(FX_Calcs,$AA933,$AF933)</f>
        <v>Insulated</v>
      </c>
      <c r="P933" t="str" cm="1">
        <f t="array" ref="P933">INDEX(FX_Calcs,$AA933,$AF933)</f>
        <v>Insulated</v>
      </c>
      <c r="AA933">
        <f>AA932</f>
        <v>67</v>
      </c>
      <c r="AB933">
        <f t="shared" ref="AB933:AL933" si="2106">AB932</f>
        <v>6</v>
      </c>
      <c r="AC933">
        <f t="shared" si="2106"/>
        <v>3</v>
      </c>
      <c r="AD933">
        <f t="shared" si="2106"/>
        <v>13</v>
      </c>
      <c r="AE933">
        <f t="shared" si="2106"/>
        <v>12</v>
      </c>
      <c r="AF933">
        <f t="shared" si="2106"/>
        <v>14</v>
      </c>
      <c r="AG933">
        <f t="shared" si="2106"/>
        <v>77</v>
      </c>
      <c r="AH933">
        <f t="shared" si="2106"/>
        <v>78</v>
      </c>
      <c r="AI933">
        <f t="shared" si="2106"/>
        <v>1</v>
      </c>
      <c r="AJ933">
        <f t="shared" si="2106"/>
        <v>2</v>
      </c>
      <c r="AK933">
        <f t="shared" si="2106"/>
        <v>1</v>
      </c>
      <c r="AL933">
        <f t="shared" si="2106"/>
        <v>76</v>
      </c>
    </row>
    <row r="934" spans="1:38" ht="17.149999999999999" x14ac:dyDescent="0.55000000000000004">
      <c r="B934" t="str">
        <f>B930</f>
        <v>Portland</v>
      </c>
      <c r="C934" t="s">
        <v>512</v>
      </c>
      <c r="D934">
        <f t="shared" ref="D934:P934" si="2107">D930-D929</f>
        <v>10.400000000000034</v>
      </c>
      <c r="E934">
        <f t="shared" si="2107"/>
        <v>13.199999999999989</v>
      </c>
      <c r="F934">
        <f t="shared" si="2107"/>
        <v>13.200000000000045</v>
      </c>
      <c r="G934">
        <f t="shared" si="2107"/>
        <v>13.399999999999977</v>
      </c>
      <c r="H934">
        <f t="shared" si="2107"/>
        <v>13.299999999999955</v>
      </c>
      <c r="I934">
        <f t="shared" si="2107"/>
        <v>12.500000000000057</v>
      </c>
      <c r="J934">
        <f t="shared" si="2107"/>
        <v>12.699999999999932</v>
      </c>
      <c r="K934">
        <f t="shared" si="2107"/>
        <v>13.600000000000023</v>
      </c>
      <c r="L934">
        <f t="shared" si="2107"/>
        <v>16.399999999999977</v>
      </c>
      <c r="M934">
        <f t="shared" si="2107"/>
        <v>14.699999999999989</v>
      </c>
      <c r="N934">
        <f t="shared" si="2107"/>
        <v>12.200000000000045</v>
      </c>
      <c r="O934">
        <f t="shared" si="2107"/>
        <v>10</v>
      </c>
      <c r="P934">
        <f t="shared" si="2107"/>
        <v>13</v>
      </c>
    </row>
    <row r="935" spans="1:38" x14ac:dyDescent="0.4">
      <c r="B935" t="str">
        <f t="shared" ref="B935:B942" si="2108">B934</f>
        <v>Portland</v>
      </c>
      <c r="C935" t="s">
        <v>260</v>
      </c>
      <c r="D935">
        <f t="shared" ref="D935:P935" si="2109">VLOOKUP(VLOOKUP($B935,Terminal_X_Ref,2,FALSE)&amp;$C935,Weather_Data,$Y935*D$3+$Z935,FALSE)</f>
        <v>343</v>
      </c>
      <c r="E935">
        <f t="shared" si="2109"/>
        <v>600</v>
      </c>
      <c r="F935">
        <f t="shared" si="2109"/>
        <v>877</v>
      </c>
      <c r="G935">
        <f t="shared" si="2109"/>
        <v>1252</v>
      </c>
      <c r="H935">
        <f t="shared" si="2109"/>
        <v>1537</v>
      </c>
      <c r="I935">
        <f t="shared" si="2109"/>
        <v>1627</v>
      </c>
      <c r="J935">
        <f t="shared" si="2109"/>
        <v>1708</v>
      </c>
      <c r="K935">
        <f t="shared" si="2109"/>
        <v>1492</v>
      </c>
      <c r="L935">
        <f t="shared" si="2109"/>
        <v>1196</v>
      </c>
      <c r="M935">
        <f t="shared" si="2109"/>
        <v>728</v>
      </c>
      <c r="N935">
        <f t="shared" si="2109"/>
        <v>391</v>
      </c>
      <c r="O935">
        <f t="shared" si="2109"/>
        <v>302</v>
      </c>
      <c r="P935">
        <f t="shared" si="2109"/>
        <v>1005</v>
      </c>
      <c r="U935">
        <f>U930</f>
        <v>2</v>
      </c>
      <c r="V935">
        <f t="shared" ref="V935:Z935" si="2110">V930</f>
        <v>3</v>
      </c>
      <c r="W935">
        <f t="shared" si="2110"/>
        <v>1</v>
      </c>
      <c r="X935">
        <f t="shared" si="2110"/>
        <v>2</v>
      </c>
      <c r="Y935">
        <f t="shared" si="2110"/>
        <v>1</v>
      </c>
      <c r="Z935">
        <f t="shared" si="2110"/>
        <v>1</v>
      </c>
    </row>
    <row r="936" spans="1:38" ht="17.149999999999999" x14ac:dyDescent="0.55000000000000004">
      <c r="B936" t="str">
        <f t="shared" si="2108"/>
        <v>Portland</v>
      </c>
      <c r="C936" t="s">
        <v>523</v>
      </c>
      <c r="D936">
        <f>IF(ISNUMBER(D933),0.7*D934+0.02*D933*D935,IF(D933="Partially Insulated",0.6*D934+0.02*D932*D935,0))</f>
        <v>0</v>
      </c>
      <c r="E936">
        <f t="shared" ref="E936:P936" si="2111">IF(ISNUMBER(E933),0.7*E934+0.02*E933*E935,IF(E933="Partially Insulated",0.6*E934+0.02*E932*E935,0))</f>
        <v>0</v>
      </c>
      <c r="F936">
        <f t="shared" si="2111"/>
        <v>0</v>
      </c>
      <c r="G936">
        <f t="shared" si="2111"/>
        <v>0</v>
      </c>
      <c r="H936">
        <f t="shared" si="2111"/>
        <v>0</v>
      </c>
      <c r="I936">
        <f t="shared" si="2111"/>
        <v>0</v>
      </c>
      <c r="J936">
        <f t="shared" si="2111"/>
        <v>0</v>
      </c>
      <c r="K936">
        <f t="shared" si="2111"/>
        <v>0</v>
      </c>
      <c r="L936">
        <f t="shared" si="2111"/>
        <v>0</v>
      </c>
      <c r="M936">
        <f t="shared" si="2111"/>
        <v>0</v>
      </c>
      <c r="N936">
        <f t="shared" si="2111"/>
        <v>0</v>
      </c>
      <c r="O936">
        <f t="shared" si="2111"/>
        <v>0</v>
      </c>
      <c r="P936">
        <f t="shared" si="2111"/>
        <v>0</v>
      </c>
    </row>
    <row r="937" spans="1:38" ht="17.149999999999999" x14ac:dyDescent="0.55000000000000004">
      <c r="B937" t="str">
        <f t="shared" si="2108"/>
        <v>Portland</v>
      </c>
      <c r="C937" t="s">
        <v>524</v>
      </c>
      <c r="D937">
        <f t="shared" ref="D937:F937" si="2112">AVERAGE(D929:D930)</f>
        <v>503.5</v>
      </c>
      <c r="E937">
        <f t="shared" si="2112"/>
        <v>504.30000000000007</v>
      </c>
      <c r="F937">
        <f t="shared" si="2112"/>
        <v>505.70000000000005</v>
      </c>
      <c r="G937">
        <f>AVERAGE(G929:G930)</f>
        <v>508.2</v>
      </c>
      <c r="H937">
        <f t="shared" ref="H937:P937" si="2113">AVERAGE(H929:H930)</f>
        <v>512.75</v>
      </c>
      <c r="I937">
        <f t="shared" si="2113"/>
        <v>516.55000000000007</v>
      </c>
      <c r="J937">
        <f t="shared" si="2113"/>
        <v>520.04999999999995</v>
      </c>
      <c r="K937">
        <f t="shared" si="2113"/>
        <v>520.5</v>
      </c>
      <c r="L937">
        <f t="shared" si="2113"/>
        <v>518.20000000000005</v>
      </c>
      <c r="M937">
        <f t="shared" si="2113"/>
        <v>512.25</v>
      </c>
      <c r="N937">
        <f t="shared" si="2113"/>
        <v>506.70000000000005</v>
      </c>
      <c r="O937">
        <f t="shared" si="2113"/>
        <v>503.20000000000005</v>
      </c>
      <c r="P937">
        <f t="shared" si="2113"/>
        <v>51.4</v>
      </c>
    </row>
    <row r="938" spans="1:38" ht="17.149999999999999" x14ac:dyDescent="0.55000000000000004">
      <c r="B938" t="str">
        <f t="shared" si="2108"/>
        <v>Portland</v>
      </c>
      <c r="C938" t="s">
        <v>525</v>
      </c>
      <c r="D938" cm="1">
        <f t="array" ref="D938">IFERROR(IF(ISBLANK(INDEX(FX_Input,$R929,D$3*$AK929+$AL929)),D937+0.003*D931*D935,INDEX(FX_Input,$R929,D$3*$AK929+$AL929)+459.6),D937)</f>
        <v>503.5</v>
      </c>
      <c r="E938" cm="1">
        <f t="array" ref="E938">IFERROR(IF(ISBLANK(INDEX(FX_Input,$R929,E$3*$AK929+$AL929)),E937+0.003*E931*E935,INDEX(FX_Input,$R929,E$3*$AK929+$AL929)+459.6),E937)</f>
        <v>504.30000000000007</v>
      </c>
      <c r="F938" cm="1">
        <f t="array" ref="F938">IFERROR(IF(ISBLANK(INDEX(FX_Input,$R929,F$3*$AK929+$AL929)),F937+0.003*F931*F935,INDEX(FX_Input,$R929,F$3*$AK929+$AL929)+459.6),F937)</f>
        <v>505.70000000000005</v>
      </c>
      <c r="G938" cm="1">
        <f t="array" ref="G938">IFERROR(IF(ISBLANK(INDEX(FX_Input,$R929,G$3*$AK929+$AL929)),G937+0.003*G931*G935,INDEX(FX_Input,$R929,G$3*$AK929+$AL929)+459.6),G937)</f>
        <v>508.2</v>
      </c>
      <c r="H938" cm="1">
        <f t="array" ref="H938">IFERROR(IF(ISBLANK(INDEX(FX_Input,$R929,H$3*$AK929+$AL929)),H937+0.003*H931*H935,INDEX(FX_Input,$R929,H$3*$AK929+$AL929)+459.6),H937)</f>
        <v>512.75</v>
      </c>
      <c r="I938" cm="1">
        <f t="array" ref="I938">IFERROR(IF(ISBLANK(INDEX(FX_Input,$R929,I$3*$AK929+$AL929)),I937+0.003*I931*I935,INDEX(FX_Input,$R929,I$3*$AK929+$AL929)+459.6),I937)</f>
        <v>516.55000000000007</v>
      </c>
      <c r="J938" cm="1">
        <f t="array" ref="J938">IFERROR(IF(ISBLANK(INDEX(FX_Input,$R929,J$3*$AK929+$AL929)),J937+0.003*J931*J935,INDEX(FX_Input,$R929,J$3*$AK929+$AL929)+459.6),J937)</f>
        <v>520.04999999999995</v>
      </c>
      <c r="K938" cm="1">
        <f t="array" ref="K938">IFERROR(IF(ISBLANK(INDEX(FX_Input,$R929,K$3*$AK929+$AL929)),K937+0.003*K931*K935,INDEX(FX_Input,$R929,K$3*$AK929+$AL929)+459.6),K937)</f>
        <v>520.5</v>
      </c>
      <c r="L938" cm="1">
        <f t="array" ref="L938">IFERROR(IF(ISBLANK(INDEX(FX_Input,$R929,L$3*$AK929+$AL929)),L937+0.003*L931*L935,INDEX(FX_Input,$R929,L$3*$AK929+$AL929)+459.6),L937)</f>
        <v>518.20000000000005</v>
      </c>
      <c r="M938" cm="1">
        <f t="array" ref="M938">IFERROR(IF(ISBLANK(INDEX(FX_Input,$R929,M$3*$AK929+$AL929)),M937+0.003*M931*M935,INDEX(FX_Input,$R929,M$3*$AK929+$AL929)+459.6),M937)</f>
        <v>512.25</v>
      </c>
      <c r="N938" cm="1">
        <f t="array" ref="N938">IFERROR(IF(ISBLANK(INDEX(FX_Input,$R929,N$3*$AK929+$AL929)),N937+0.003*N931*N935,INDEX(FX_Input,$R929,N$3*$AK929+$AL929)+459.6),N937)</f>
        <v>506.70000000000005</v>
      </c>
      <c r="O938" cm="1">
        <f t="array" ref="O938">IFERROR(IF(ISBLANK(INDEX(FX_Input,$R929,O$3*$AK929+$AL929)),O937+0.003*O931*O935,INDEX(FX_Input,$R929,O$3*$AK929+$AL929)+459.6),O937)</f>
        <v>503.20000000000005</v>
      </c>
      <c r="P938" cm="1">
        <f t="array" ref="P938">IFERROR(IF(ISBLANK(INDEX(FX_Input,$R929,P$3*$AK929+$AL929)),P937+0.003*P931*P935,INDEX(FX_Input,$R929,P$3*$AK929+$AL929)+459.6),P937)</f>
        <v>709.6</v>
      </c>
    </row>
    <row r="939" spans="1:38" ht="17.149999999999999" x14ac:dyDescent="0.55000000000000004">
      <c r="B939" t="str">
        <f t="shared" si="2108"/>
        <v>Portland</v>
      </c>
      <c r="C939" t="s">
        <v>526</v>
      </c>
      <c r="D939">
        <f>IF(ISNUMBER(D933),0.4*D929+0.6*D938+0.005*D933*D935,IF(D933="Partially Insulated",0.3*D937+0.7*D938+0.005*D932*D935,D938))-459.6</f>
        <v>43.899999999999977</v>
      </c>
      <c r="E939">
        <f t="shared" ref="E939:O939" si="2114">IF(ISNUMBER(E933),0.4*E929+0.6*E938+0.005*E933*E935,IF(E933="Partially Insulated",0.3*E937+0.7*E938+0.005*E932*E935,E938))-459.6</f>
        <v>44.700000000000045</v>
      </c>
      <c r="F939">
        <f t="shared" si="2114"/>
        <v>46.100000000000023</v>
      </c>
      <c r="G939">
        <f t="shared" si="2114"/>
        <v>48.599999999999966</v>
      </c>
      <c r="H939">
        <f t="shared" si="2114"/>
        <v>53.149999999999977</v>
      </c>
      <c r="I939">
        <f t="shared" si="2114"/>
        <v>56.950000000000045</v>
      </c>
      <c r="J939">
        <f t="shared" si="2114"/>
        <v>60.449999999999932</v>
      </c>
      <c r="K939">
        <f t="shared" si="2114"/>
        <v>60.899999999999977</v>
      </c>
      <c r="L939">
        <f t="shared" si="2114"/>
        <v>58.600000000000023</v>
      </c>
      <c r="M939">
        <f t="shared" si="2114"/>
        <v>52.649999999999977</v>
      </c>
      <c r="N939">
        <f t="shared" si="2114"/>
        <v>47.100000000000023</v>
      </c>
      <c r="O939">
        <f t="shared" si="2114"/>
        <v>43.600000000000023</v>
      </c>
      <c r="P939">
        <f>AVERAGE(D939:O939)</f>
        <v>51.391666666666673</v>
      </c>
    </row>
    <row r="940" spans="1:38" ht="17.149999999999999" x14ac:dyDescent="0.55000000000000004">
      <c r="B940" t="str">
        <f t="shared" si="2108"/>
        <v>Portland</v>
      </c>
      <c r="C940" t="s">
        <v>527</v>
      </c>
      <c r="D940">
        <f>IF(ISNUMBER(D933),0.4*D930+0.6*D938+0.005*D933*D935,IF(D933="Partially Insulated",0.3*D937+0.7*D938+0.005*D932*D935,D938))-459.6</f>
        <v>43.899999999999977</v>
      </c>
      <c r="E940">
        <f t="shared" ref="E940:O940" si="2115">IF(ISNUMBER(E933),0.4*E930+0.6*E938+0.005*E933*E935,IF(E933="Partially Insulated",0.3*E937+0.7*E938+0.005*E932*E935,E938))-459.6</f>
        <v>44.700000000000045</v>
      </c>
      <c r="F940">
        <f t="shared" si="2115"/>
        <v>46.100000000000023</v>
      </c>
      <c r="G940">
        <f t="shared" si="2115"/>
        <v>48.599999999999966</v>
      </c>
      <c r="H940">
        <f t="shared" si="2115"/>
        <v>53.149999999999977</v>
      </c>
      <c r="I940">
        <f t="shared" si="2115"/>
        <v>56.950000000000045</v>
      </c>
      <c r="J940">
        <f t="shared" si="2115"/>
        <v>60.449999999999932</v>
      </c>
      <c r="K940">
        <f t="shared" si="2115"/>
        <v>60.899999999999977</v>
      </c>
      <c r="L940">
        <f t="shared" si="2115"/>
        <v>58.600000000000023</v>
      </c>
      <c r="M940">
        <f t="shared" si="2115"/>
        <v>52.649999999999977</v>
      </c>
      <c r="N940">
        <f t="shared" si="2115"/>
        <v>47.100000000000023</v>
      </c>
      <c r="O940">
        <f t="shared" si="2115"/>
        <v>43.600000000000023</v>
      </c>
      <c r="P940">
        <f>AVERAGE(D940:O940)</f>
        <v>51.391666666666673</v>
      </c>
    </row>
    <row r="941" spans="1:38" ht="17.149999999999999" x14ac:dyDescent="0.55000000000000004">
      <c r="B941" t="str">
        <f t="shared" si="2108"/>
        <v>Portland</v>
      </c>
      <c r="C941" t="s">
        <v>552</v>
      </c>
      <c r="D941">
        <f>IF(ISNUMBER(D933),0.4*D937+0.6*D938+0.005*D933*D935,IF(D933="Partially Insulated",0.3*D937+0.7*D938+0.005*D932*D935,D938))-459.6</f>
        <v>43.899999999999977</v>
      </c>
      <c r="E941">
        <f t="shared" ref="E941:O941" si="2116">IF(ISNUMBER(E933),0.4*E937+0.6*E938+0.005*E933*E935,IF(E933="Partially Insulated",0.3*E937+0.7*E938+0.005*E932*E935,E938))-459.6</f>
        <v>44.700000000000045</v>
      </c>
      <c r="F941">
        <f t="shared" si="2116"/>
        <v>46.100000000000023</v>
      </c>
      <c r="G941">
        <f t="shared" si="2116"/>
        <v>48.599999999999966</v>
      </c>
      <c r="H941">
        <f t="shared" si="2116"/>
        <v>53.149999999999977</v>
      </c>
      <c r="I941">
        <f t="shared" si="2116"/>
        <v>56.950000000000045</v>
      </c>
      <c r="J941">
        <f t="shared" si="2116"/>
        <v>60.449999999999932</v>
      </c>
      <c r="K941">
        <f t="shared" si="2116"/>
        <v>60.899999999999977</v>
      </c>
      <c r="L941">
        <f t="shared" si="2116"/>
        <v>58.600000000000023</v>
      </c>
      <c r="M941">
        <f t="shared" si="2116"/>
        <v>52.649999999999977</v>
      </c>
      <c r="N941">
        <f t="shared" si="2116"/>
        <v>47.100000000000023</v>
      </c>
      <c r="O941">
        <f t="shared" si="2116"/>
        <v>43.600000000000023</v>
      </c>
      <c r="P941">
        <f>AVERAGE(D941:O941)</f>
        <v>51.391666666666673</v>
      </c>
    </row>
    <row r="942" spans="1:38" ht="17.149999999999999" x14ac:dyDescent="0.55000000000000004">
      <c r="A942" s="11"/>
      <c r="B942" s="11" t="str">
        <f t="shared" si="2108"/>
        <v>Portland</v>
      </c>
      <c r="C942" s="11" t="s">
        <v>553</v>
      </c>
      <c r="D942" s="11">
        <f>IF(ISNUMBER(D933),0.7*D937+0.3*D938+0.009*D933*D935,IF(D933="Partially Insulated",0.6*D937+0.4*D938+0.01*D932*D935,D938))-459.6</f>
        <v>43.899999999999977</v>
      </c>
      <c r="E942" s="11">
        <f t="shared" ref="E942:O942" si="2117">IF(ISNUMBER(E933),0.7*E937+0.3*E938+0.009*E933*E935,IF(E933="Partially Insulated",0.6*E937+0.4*E938+0.01*E932*E935,E938))-459.6</f>
        <v>44.700000000000045</v>
      </c>
      <c r="F942" s="11">
        <f t="shared" si="2117"/>
        <v>46.100000000000023</v>
      </c>
      <c r="G942" s="11">
        <f t="shared" si="2117"/>
        <v>48.599999999999966</v>
      </c>
      <c r="H942" s="11">
        <f t="shared" si="2117"/>
        <v>53.149999999999977</v>
      </c>
      <c r="I942" s="11">
        <f t="shared" si="2117"/>
        <v>56.950000000000045</v>
      </c>
      <c r="J942" s="11">
        <f t="shared" si="2117"/>
        <v>60.449999999999932</v>
      </c>
      <c r="K942" s="11">
        <f t="shared" si="2117"/>
        <v>60.899999999999977</v>
      </c>
      <c r="L942" s="11">
        <f t="shared" si="2117"/>
        <v>58.600000000000023</v>
      </c>
      <c r="M942" s="11">
        <f t="shared" si="2117"/>
        <v>52.649999999999977</v>
      </c>
      <c r="N942" s="11">
        <f t="shared" si="2117"/>
        <v>47.100000000000023</v>
      </c>
      <c r="O942" s="11">
        <f t="shared" si="2117"/>
        <v>43.600000000000023</v>
      </c>
      <c r="P942" s="11">
        <f>AVERAGE(D942:O942)</f>
        <v>51.391666666666673</v>
      </c>
      <c r="Q942" s="11"/>
      <c r="R942" s="11"/>
      <c r="S942" s="11"/>
      <c r="T942" s="11"/>
      <c r="U942" s="11"/>
      <c r="V942" s="11"/>
      <c r="W942" s="11"/>
      <c r="X942" s="11"/>
      <c r="Y942" s="11"/>
      <c r="Z942" s="11"/>
      <c r="AA942" s="11"/>
      <c r="AB942" s="11"/>
      <c r="AC942" s="11"/>
      <c r="AD942" s="11"/>
      <c r="AE942" s="11"/>
      <c r="AF942" s="11"/>
      <c r="AG942" s="11"/>
      <c r="AH942" s="11"/>
      <c r="AI942" s="11"/>
      <c r="AJ942" s="11"/>
      <c r="AK942" s="11"/>
      <c r="AL942" s="11"/>
    </row>
  </sheetData>
  <sheetProtection algorithmName="SHA-512" hashValue="DjXKum+BFQIKHyU/RQ1jqQXzfMet1egM5Ujfm22ytqYbjMSn0etWUSqNZ0HeBMi1xzLnJazAW8ElFOFdI7mikQ==" saltValue="gJBNtFG6khCkLiFZJTUeKA==" spinCount="100000" sheet="1" objects="1" scenarios="1"/>
  <phoneticPr fontId="1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AEC90-7FCB-483A-9E1D-EE49E2F83216}">
  <sheetPr codeName="Sheet17">
    <tabColor theme="9" tint="0.39997558519241921"/>
  </sheetPr>
  <dimension ref="A2:Z943"/>
  <sheetViews>
    <sheetView topLeftCell="A909" workbookViewId="0">
      <selection activeCell="J5" sqref="J5"/>
    </sheetView>
  </sheetViews>
  <sheetFormatPr defaultColWidth="8.84375" defaultRowHeight="14.6" x14ac:dyDescent="0.4"/>
  <cols>
    <col min="1" max="1" width="19" bestFit="1" customWidth="1"/>
    <col min="2" max="2" width="14.4609375" bestFit="1" customWidth="1"/>
    <col min="3" max="3" width="19.4609375" bestFit="1" customWidth="1"/>
    <col min="7" max="11" width="8.69140625" bestFit="1" customWidth="1"/>
    <col min="12" max="12" width="10.84375" bestFit="1" customWidth="1"/>
    <col min="13" max="13" width="8.15234375" bestFit="1" customWidth="1"/>
    <col min="14" max="14" width="10.4609375" bestFit="1" customWidth="1"/>
    <col min="15" max="15" width="10.15234375" bestFit="1" customWidth="1"/>
    <col min="18" max="18" width="13.3046875" bestFit="1" customWidth="1"/>
    <col min="19" max="20" width="13.3046875" customWidth="1"/>
  </cols>
  <sheetData>
    <row r="2" spans="1:26" x14ac:dyDescent="0.4">
      <c r="A2" t="s">
        <v>545</v>
      </c>
    </row>
    <row r="3" spans="1:26" x14ac:dyDescent="0.4">
      <c r="R3" t="s">
        <v>238</v>
      </c>
      <c r="S3" t="s">
        <v>239</v>
      </c>
      <c r="U3" t="s">
        <v>537</v>
      </c>
      <c r="V3" t="s">
        <v>538</v>
      </c>
      <c r="W3" t="s">
        <v>539</v>
      </c>
      <c r="X3" t="s">
        <v>540</v>
      </c>
      <c r="Y3" t="s">
        <v>541</v>
      </c>
      <c r="Z3" t="s">
        <v>542</v>
      </c>
    </row>
    <row r="4" spans="1:26" x14ac:dyDescent="0.4">
      <c r="A4" s="11" t="s">
        <v>240</v>
      </c>
      <c r="B4" s="11" t="s">
        <v>4</v>
      </c>
      <c r="C4" s="11" t="s">
        <v>509</v>
      </c>
      <c r="D4" s="11" t="s">
        <v>30</v>
      </c>
      <c r="E4" s="11" t="s">
        <v>31</v>
      </c>
      <c r="F4" s="11" t="s">
        <v>32</v>
      </c>
      <c r="G4" s="11" t="s">
        <v>33</v>
      </c>
      <c r="H4" s="11" t="s">
        <v>34</v>
      </c>
      <c r="I4" s="11" t="s">
        <v>35</v>
      </c>
      <c r="J4" s="11" t="s">
        <v>36</v>
      </c>
      <c r="K4" s="11" t="s">
        <v>37</v>
      </c>
      <c r="L4" s="11" t="s">
        <v>38</v>
      </c>
      <c r="M4" s="11" t="s">
        <v>39</v>
      </c>
      <c r="N4" s="11" t="s">
        <v>40</v>
      </c>
      <c r="O4" s="11" t="s">
        <v>41</v>
      </c>
      <c r="P4" s="11"/>
      <c r="Q4" s="11"/>
      <c r="R4" s="11"/>
      <c r="S4" s="11" t="s">
        <v>237</v>
      </c>
      <c r="T4" s="11" t="s">
        <v>4</v>
      </c>
      <c r="U4" s="11" t="s">
        <v>243</v>
      </c>
      <c r="V4" s="11" t="s">
        <v>244</v>
      </c>
      <c r="W4" s="11"/>
      <c r="X4" s="11"/>
      <c r="Y4" s="11"/>
      <c r="Z4" s="11"/>
    </row>
    <row r="5" spans="1:26" x14ac:dyDescent="0.4">
      <c r="C5" t="s">
        <v>543</v>
      </c>
      <c r="D5">
        <v>1</v>
      </c>
      <c r="E5">
        <v>2</v>
      </c>
      <c r="F5">
        <v>3</v>
      </c>
      <c r="G5">
        <v>4</v>
      </c>
      <c r="H5">
        <v>5</v>
      </c>
      <c r="I5">
        <v>6</v>
      </c>
      <c r="J5">
        <v>7</v>
      </c>
      <c r="K5">
        <v>8</v>
      </c>
      <c r="L5">
        <v>9</v>
      </c>
      <c r="M5">
        <v>10</v>
      </c>
      <c r="N5">
        <v>11</v>
      </c>
      <c r="O5">
        <v>12</v>
      </c>
    </row>
    <row r="6" spans="1:26" x14ac:dyDescent="0.4">
      <c r="A6" t="str" cm="1">
        <f t="array" ref="A6">INDEX(FX_Input,R6,S6)</f>
        <v>FX - 1</v>
      </c>
      <c r="B6" t="str" cm="1">
        <f t="array" ref="B6">INDEX(FX_Input,R6,T6)</f>
        <v>Portland</v>
      </c>
      <c r="C6" t="s">
        <v>528</v>
      </c>
      <c r="D6" t="str" cm="1">
        <f t="array" ref="D6">INDEX(FX_Input,$R6,$Y6*D$5+$Z6)</f>
        <v>Jet kerosene</v>
      </c>
      <c r="E6" t="str" cm="1">
        <f t="array" ref="E6">INDEX(FX_Input,$R6,$Y6*E$5+$Z6)</f>
        <v>Jet kerosene</v>
      </c>
      <c r="F6" t="str" cm="1">
        <f t="array" ref="F6">INDEX(FX_Input,$R6,$Y6*F$5+$Z6)</f>
        <v>Jet kerosene</v>
      </c>
      <c r="G6" t="str" cm="1">
        <f t="array" ref="G6">INDEX(FX_Input,$R6,$Y6*G$5+$Z6)</f>
        <v>Jet kerosene</v>
      </c>
      <c r="H6" t="str" cm="1">
        <f t="array" ref="H6">INDEX(FX_Input,$R6,$Y6*H$5+$Z6)</f>
        <v>Jet kerosene</v>
      </c>
      <c r="I6" t="str" cm="1">
        <f t="array" ref="I6">INDEX(FX_Input,$R6,$Y6*I$5+$Z6)</f>
        <v>Jet kerosene</v>
      </c>
      <c r="J6" t="str" cm="1">
        <f t="array" ref="J6">INDEX(FX_Input,$R6,$Y6*J$5+$Z6)</f>
        <v>Jet kerosene</v>
      </c>
      <c r="K6" t="str" cm="1">
        <f t="array" ref="K6">INDEX(FX_Input,$R6,$Y6*K$5+$Z6)</f>
        <v>Jet kerosene</v>
      </c>
      <c r="L6" t="str" cm="1">
        <f t="array" ref="L6">INDEX(FX_Input,$R6,$Y6*L$5+$Z6)</f>
        <v>Jet kerosene</v>
      </c>
      <c r="M6" t="str" cm="1">
        <f t="array" ref="M6">INDEX(FX_Input,$R6,$Y6*M$5+$Z6)</f>
        <v>Jet kerosene</v>
      </c>
      <c r="N6" t="str" cm="1">
        <f t="array" ref="N6">INDEX(FX_Input,$R6,$Y6*N$5+$Z6)</f>
        <v>Jet kerosene</v>
      </c>
      <c r="O6" t="str" cm="1">
        <f t="array" ref="O6">INDEX(FX_Input,$R6,$Y6*O$5+$Z6)</f>
        <v>Jet kerosene</v>
      </c>
      <c r="Q6">
        <v>1</v>
      </c>
      <c r="R6">
        <v>1</v>
      </c>
      <c r="S6">
        <v>1</v>
      </c>
      <c r="T6">
        <v>3</v>
      </c>
      <c r="U6">
        <v>17</v>
      </c>
      <c r="V6">
        <f>U6+5</f>
        <v>22</v>
      </c>
      <c r="W6">
        <v>1</v>
      </c>
      <c r="X6">
        <v>2</v>
      </c>
      <c r="Y6">
        <f t="shared" ref="Y6:Y11" si="0">(V6-U6)/(X6-W6)</f>
        <v>5</v>
      </c>
      <c r="Z6">
        <f t="shared" ref="Z6:Z11" si="1">U6-Y6*W6</f>
        <v>12</v>
      </c>
    </row>
    <row r="7" spans="1:26" x14ac:dyDescent="0.4">
      <c r="C7" t="s">
        <v>529</v>
      </c>
      <c r="D7" cm="1">
        <f t="array" ref="D7">INDEX(FX_Input,$R7,$Y7*D$5+$Z7)</f>
        <v>0</v>
      </c>
      <c r="E7" cm="1">
        <f t="array" ref="E7">INDEX(FX_Input,$R7,$Y7*E$5+$Z7)</f>
        <v>0</v>
      </c>
      <c r="F7" cm="1">
        <f t="array" ref="F7">INDEX(FX_Input,$R7,$Y7*F$5+$Z7)</f>
        <v>0</v>
      </c>
      <c r="G7" cm="1">
        <f t="array" ref="G7">INDEX(FX_Input,$R7,$Y7*G$5+$Z7)</f>
        <v>0</v>
      </c>
      <c r="H7" cm="1">
        <f t="array" ref="H7">INDEX(FX_Input,$R7,$Y7*H$5+$Z7)</f>
        <v>0</v>
      </c>
      <c r="I7" cm="1">
        <f t="array" ref="I7">INDEX(FX_Input,$R7,$Y7*I$5+$Z7)</f>
        <v>0</v>
      </c>
      <c r="J7" cm="1">
        <f t="array" ref="J7">INDEX(FX_Input,$R7,$Y7*J$5+$Z7)</f>
        <v>0</v>
      </c>
      <c r="K7" cm="1">
        <f t="array" ref="K7">INDEX(FX_Input,$R7,$Y7*K$5+$Z7)</f>
        <v>0</v>
      </c>
      <c r="L7" cm="1">
        <f t="array" ref="L7">INDEX(FX_Input,$R7,$Y7*L$5+$Z7)</f>
        <v>0</v>
      </c>
      <c r="M7" cm="1">
        <f t="array" ref="M7">INDEX(FX_Input,$R7,$Y7*M$5+$Z7)</f>
        <v>0</v>
      </c>
      <c r="N7" cm="1">
        <f t="array" ref="N7">INDEX(FX_Input,$R7,$Y7*N$5+$Z7)</f>
        <v>0</v>
      </c>
      <c r="O7" cm="1">
        <f t="array" ref="O7">INDEX(FX_Input,$R7,$Y7*O$5+$Z7)</f>
        <v>0</v>
      </c>
      <c r="Q7">
        <v>2</v>
      </c>
      <c r="R7">
        <f>R6+1</f>
        <v>2</v>
      </c>
      <c r="U7">
        <f>U6</f>
        <v>17</v>
      </c>
      <c r="V7">
        <f t="shared" ref="V7:V11" si="2">U7+5</f>
        <v>22</v>
      </c>
      <c r="W7">
        <v>1</v>
      </c>
      <c r="X7">
        <v>2</v>
      </c>
      <c r="Y7">
        <f t="shared" si="0"/>
        <v>5</v>
      </c>
      <c r="Z7">
        <f t="shared" si="1"/>
        <v>12</v>
      </c>
    </row>
    <row r="8" spans="1:26" x14ac:dyDescent="0.4">
      <c r="C8" t="s">
        <v>530</v>
      </c>
      <c r="D8" t="str" cm="1">
        <f t="array" ref="D8">INDEX(FX_Input,$R8,$Y8*D$5+$Z8)</f>
        <v>Select Pet Stock</v>
      </c>
      <c r="E8" t="str" cm="1">
        <f t="array" ref="E8">INDEX(FX_Input,$R8,$Y8*E$5+$Z8)</f>
        <v>Select Pet Stock</v>
      </c>
      <c r="F8" t="str" cm="1">
        <f t="array" ref="F8">INDEX(FX_Input,$R8,$Y8*F$5+$Z8)</f>
        <v>Select Pet Stock</v>
      </c>
      <c r="G8" t="str" cm="1">
        <f t="array" ref="G8">INDEX(FX_Input,$R8,$Y8*G$5+$Z8)</f>
        <v>Select Pet Stock</v>
      </c>
      <c r="H8" t="str" cm="1">
        <f t="array" ref="H8">INDEX(FX_Input,$R8,$Y8*H$5+$Z8)</f>
        <v>Select Pet Stock</v>
      </c>
      <c r="I8" t="str" cm="1">
        <f t="array" ref="I8">INDEX(FX_Input,$R8,$Y8*I$5+$Z8)</f>
        <v>Select Pet Stock</v>
      </c>
      <c r="J8" t="str" cm="1">
        <f t="array" ref="J8">INDEX(FX_Input,$R8,$Y8*J$5+$Z8)</f>
        <v>Select Pet Stock</v>
      </c>
      <c r="K8" t="str" cm="1">
        <f t="array" ref="K8">INDEX(FX_Input,$R8,$Y8*K$5+$Z8)</f>
        <v>Select Pet Stock</v>
      </c>
      <c r="L8" t="str" cm="1">
        <f t="array" ref="L8">INDEX(FX_Input,$R8,$Y8*L$5+$Z8)</f>
        <v>Select Pet Stock</v>
      </c>
      <c r="M8" t="str" cm="1">
        <f t="array" ref="M8">INDEX(FX_Input,$R8,$Y8*M$5+$Z8)</f>
        <v>Select Pet Stock</v>
      </c>
      <c r="N8" t="str" cm="1">
        <f t="array" ref="N8">INDEX(FX_Input,$R8,$Y8*N$5+$Z8)</f>
        <v>Select Pet Stock</v>
      </c>
      <c r="O8" t="str" cm="1">
        <f t="array" ref="O8">INDEX(FX_Input,$R8,$Y8*O$5+$Z8)</f>
        <v>Select Pet Stock</v>
      </c>
      <c r="Q8">
        <v>3</v>
      </c>
      <c r="R8">
        <f>R6</f>
        <v>1</v>
      </c>
      <c r="U8">
        <v>18</v>
      </c>
      <c r="V8">
        <f t="shared" si="2"/>
        <v>23</v>
      </c>
      <c r="W8">
        <v>1</v>
      </c>
      <c r="X8">
        <v>2</v>
      </c>
      <c r="Y8">
        <f t="shared" si="0"/>
        <v>5</v>
      </c>
      <c r="Z8">
        <f t="shared" si="1"/>
        <v>13</v>
      </c>
    </row>
    <row r="9" spans="1:26" x14ac:dyDescent="0.4">
      <c r="C9" t="s">
        <v>531</v>
      </c>
      <c r="D9" cm="1">
        <f t="array" ref="D9">INDEX(FX_Input,$R9,$Y9*D$5+$Z9)</f>
        <v>0</v>
      </c>
      <c r="E9" cm="1">
        <f t="array" ref="E9">INDEX(FX_Input,$R9,$Y9*E$5+$Z9)</f>
        <v>0</v>
      </c>
      <c r="F9" cm="1">
        <f t="array" ref="F9">INDEX(FX_Input,$R9,$Y9*F$5+$Z9)</f>
        <v>0</v>
      </c>
      <c r="G9" cm="1">
        <f t="array" ref="G9">INDEX(FX_Input,$R9,$Y9*G$5+$Z9)</f>
        <v>0</v>
      </c>
      <c r="H9" cm="1">
        <f t="array" ref="H9">INDEX(FX_Input,$R9,$Y9*H$5+$Z9)</f>
        <v>0</v>
      </c>
      <c r="I9" cm="1">
        <f t="array" ref="I9">INDEX(FX_Input,$R9,$Y9*I$5+$Z9)</f>
        <v>0</v>
      </c>
      <c r="J9" cm="1">
        <f t="array" ref="J9">INDEX(FX_Input,$R9,$Y9*J$5+$Z9)</f>
        <v>0</v>
      </c>
      <c r="K9" cm="1">
        <f t="array" ref="K9">INDEX(FX_Input,$R9,$Y9*K$5+$Z9)</f>
        <v>0</v>
      </c>
      <c r="L9" cm="1">
        <f t="array" ref="L9">INDEX(FX_Input,$R9,$Y9*L$5+$Z9)</f>
        <v>0</v>
      </c>
      <c r="M9" cm="1">
        <f t="array" ref="M9">INDEX(FX_Input,$R9,$Y9*M$5+$Z9)</f>
        <v>0</v>
      </c>
      <c r="N9" cm="1">
        <f t="array" ref="N9">INDEX(FX_Input,$R9,$Y9*N$5+$Z9)</f>
        <v>0</v>
      </c>
      <c r="O9" cm="1">
        <f t="array" ref="O9">INDEX(FX_Input,$R9,$Y9*O$5+$Z9)</f>
        <v>0</v>
      </c>
      <c r="Q9">
        <v>4</v>
      </c>
      <c r="R9">
        <f>R7</f>
        <v>2</v>
      </c>
      <c r="U9">
        <f>U8</f>
        <v>18</v>
      </c>
      <c r="V9">
        <f t="shared" si="2"/>
        <v>23</v>
      </c>
      <c r="W9">
        <v>1</v>
      </c>
      <c r="X9">
        <v>2</v>
      </c>
      <c r="Y9">
        <f t="shared" si="0"/>
        <v>5</v>
      </c>
      <c r="Z9">
        <f t="shared" si="1"/>
        <v>13</v>
      </c>
    </row>
    <row r="10" spans="1:26" x14ac:dyDescent="0.4">
      <c r="C10" t="s">
        <v>546</v>
      </c>
      <c r="D10" cm="1">
        <f t="array" ref="D10">INDEX(FX_Input,$R10,$Y10*D$5+$Z10)</f>
        <v>1</v>
      </c>
      <c r="E10" cm="1">
        <f t="array" ref="E10">INDEX(FX_Input,$R10,$Y10*E$5+$Z10)</f>
        <v>1</v>
      </c>
      <c r="F10" cm="1">
        <f t="array" ref="F10">INDEX(FX_Input,$R10,$Y10*F$5+$Z10)</f>
        <v>1</v>
      </c>
      <c r="G10" cm="1">
        <f t="array" ref="G10">INDEX(FX_Input,$R10,$Y10*G$5+$Z10)</f>
        <v>1</v>
      </c>
      <c r="H10" cm="1">
        <f t="array" ref="H10">INDEX(FX_Input,$R10,$Y10*H$5+$Z10)</f>
        <v>1</v>
      </c>
      <c r="I10" cm="1">
        <f t="array" ref="I10">INDEX(FX_Input,$R10,$Y10*I$5+$Z10)</f>
        <v>1</v>
      </c>
      <c r="J10" cm="1">
        <f t="array" ref="J10">INDEX(FX_Input,$R10,$Y10*J$5+$Z10)</f>
        <v>1</v>
      </c>
      <c r="K10" cm="1">
        <f t="array" ref="K10">INDEX(FX_Input,$R10,$Y10*K$5+$Z10)</f>
        <v>1</v>
      </c>
      <c r="L10" cm="1">
        <f t="array" ref="L10">INDEX(FX_Input,$R10,$Y10*L$5+$Z10)</f>
        <v>1</v>
      </c>
      <c r="M10" cm="1">
        <f t="array" ref="M10">INDEX(FX_Input,$R10,$Y10*M$5+$Z10)</f>
        <v>1</v>
      </c>
      <c r="N10" cm="1">
        <f t="array" ref="N10">INDEX(FX_Input,$R10,$Y10*N$5+$Z10)</f>
        <v>1</v>
      </c>
      <c r="O10" cm="1">
        <f t="array" ref="O10">INDEX(FX_Input,$R10,$Y10*O$5+$Z10)</f>
        <v>1</v>
      </c>
      <c r="Q10">
        <v>5</v>
      </c>
      <c r="R10">
        <f>R8</f>
        <v>1</v>
      </c>
      <c r="U10">
        <v>21</v>
      </c>
      <c r="V10">
        <f t="shared" si="2"/>
        <v>26</v>
      </c>
      <c r="W10">
        <v>1</v>
      </c>
      <c r="X10">
        <v>2</v>
      </c>
      <c r="Y10">
        <f t="shared" si="0"/>
        <v>5</v>
      </c>
      <c r="Z10">
        <f t="shared" si="1"/>
        <v>16</v>
      </c>
    </row>
    <row r="11" spans="1:26" x14ac:dyDescent="0.4">
      <c r="C11" t="s">
        <v>547</v>
      </c>
      <c r="D11" cm="1">
        <f t="array" ref="D11">INDEX(FX_Input,$R11,$Y11*D$5+$Z11)</f>
        <v>0</v>
      </c>
      <c r="E11" cm="1">
        <f t="array" ref="E11">INDEX(FX_Input,$R11,$Y11*E$5+$Z11)</f>
        <v>0</v>
      </c>
      <c r="F11" cm="1">
        <f t="array" ref="F11">INDEX(FX_Input,$R11,$Y11*F$5+$Z11)</f>
        <v>0</v>
      </c>
      <c r="G11" cm="1">
        <f t="array" ref="G11">INDEX(FX_Input,$R11,$Y11*G$5+$Z11)</f>
        <v>0</v>
      </c>
      <c r="H11" cm="1">
        <f t="array" ref="H11">INDEX(FX_Input,$R11,$Y11*H$5+$Z11)</f>
        <v>0</v>
      </c>
      <c r="I11" cm="1">
        <f t="array" ref="I11">INDEX(FX_Input,$R11,$Y11*I$5+$Z11)</f>
        <v>0</v>
      </c>
      <c r="J11" cm="1">
        <f t="array" ref="J11">INDEX(FX_Input,$R11,$Y11*J$5+$Z11)</f>
        <v>0</v>
      </c>
      <c r="K11" cm="1">
        <f t="array" ref="K11">INDEX(FX_Input,$R11,$Y11*K$5+$Z11)</f>
        <v>0</v>
      </c>
      <c r="L11" cm="1">
        <f t="array" ref="L11">INDEX(FX_Input,$R11,$Y11*L$5+$Z11)</f>
        <v>0</v>
      </c>
      <c r="M11" cm="1">
        <f t="array" ref="M11">INDEX(FX_Input,$R11,$Y11*M$5+$Z11)</f>
        <v>0</v>
      </c>
      <c r="N11" cm="1">
        <f t="array" ref="N11">INDEX(FX_Input,$R11,$Y11*N$5+$Z11)</f>
        <v>0</v>
      </c>
      <c r="O11" cm="1">
        <f t="array" ref="O11">INDEX(FX_Input,$R11,$Y11*O$5+$Z11)</f>
        <v>0</v>
      </c>
      <c r="Q11">
        <v>6</v>
      </c>
      <c r="R11">
        <f>R9</f>
        <v>2</v>
      </c>
      <c r="U11">
        <f>U10</f>
        <v>21</v>
      </c>
      <c r="V11">
        <f t="shared" si="2"/>
        <v>26</v>
      </c>
      <c r="W11">
        <v>1</v>
      </c>
      <c r="X11">
        <v>2</v>
      </c>
      <c r="Y11">
        <f t="shared" si="0"/>
        <v>5</v>
      </c>
      <c r="Z11">
        <f t="shared" si="1"/>
        <v>16</v>
      </c>
    </row>
    <row r="12" spans="1:26" x14ac:dyDescent="0.4">
      <c r="C12" t="s">
        <v>532</v>
      </c>
      <c r="D12">
        <f t="shared" ref="D12:O12" si="3">IFERROR(VLOOKUP(D6,Phys_Prop,2,FALSE),0)</f>
        <v>162</v>
      </c>
      <c r="E12">
        <f t="shared" si="3"/>
        <v>162</v>
      </c>
      <c r="F12">
        <f t="shared" si="3"/>
        <v>162</v>
      </c>
      <c r="G12">
        <f t="shared" si="3"/>
        <v>162</v>
      </c>
      <c r="H12">
        <f t="shared" si="3"/>
        <v>162</v>
      </c>
      <c r="I12">
        <f t="shared" si="3"/>
        <v>162</v>
      </c>
      <c r="J12">
        <f t="shared" si="3"/>
        <v>162</v>
      </c>
      <c r="K12">
        <f t="shared" si="3"/>
        <v>162</v>
      </c>
      <c r="L12">
        <f t="shared" si="3"/>
        <v>162</v>
      </c>
      <c r="M12">
        <f t="shared" si="3"/>
        <v>162</v>
      </c>
      <c r="N12">
        <f t="shared" si="3"/>
        <v>162</v>
      </c>
      <c r="O12">
        <f t="shared" si="3"/>
        <v>162</v>
      </c>
      <c r="Q12">
        <v>7</v>
      </c>
    </row>
    <row r="13" spans="1:26" x14ac:dyDescent="0.4">
      <c r="C13" t="s">
        <v>533</v>
      </c>
      <c r="D13">
        <f t="shared" ref="D13:O13" si="4">IFERROR(VLOOKUP(D7,Phys_Prop,2,FALSE),0)</f>
        <v>0</v>
      </c>
      <c r="E13">
        <f t="shared" si="4"/>
        <v>0</v>
      </c>
      <c r="F13">
        <f t="shared" si="4"/>
        <v>0</v>
      </c>
      <c r="G13">
        <f t="shared" si="4"/>
        <v>0</v>
      </c>
      <c r="H13">
        <f t="shared" si="4"/>
        <v>0</v>
      </c>
      <c r="I13">
        <f t="shared" si="4"/>
        <v>0</v>
      </c>
      <c r="J13">
        <f t="shared" si="4"/>
        <v>0</v>
      </c>
      <c r="K13">
        <f t="shared" si="4"/>
        <v>0</v>
      </c>
      <c r="L13">
        <f t="shared" si="4"/>
        <v>0</v>
      </c>
      <c r="M13">
        <f t="shared" si="4"/>
        <v>0</v>
      </c>
      <c r="N13">
        <f t="shared" si="4"/>
        <v>0</v>
      </c>
      <c r="O13">
        <f t="shared" si="4"/>
        <v>0</v>
      </c>
      <c r="Q13">
        <v>8</v>
      </c>
    </row>
    <row r="14" spans="1:26" x14ac:dyDescent="0.4">
      <c r="C14" t="s">
        <v>544</v>
      </c>
      <c r="D14">
        <f>IFERROR(IFERROR(D12/D10+D13/D11,D12/D10),0)</f>
        <v>162</v>
      </c>
      <c r="E14">
        <f t="shared" ref="E14" si="5">IFERROR(IFERROR(E12/E10+E13/E11,E12/E10),0)</f>
        <v>162</v>
      </c>
      <c r="F14">
        <f t="shared" ref="F14" si="6">IFERROR(IFERROR(F12/F10+F13/F11,F12/F10),0)</f>
        <v>162</v>
      </c>
      <c r="G14">
        <f t="shared" ref="G14" si="7">IFERROR(IFERROR(G12/G10+G13/G11,G12/G10),0)</f>
        <v>162</v>
      </c>
      <c r="H14">
        <f t="shared" ref="H14" si="8">IFERROR(IFERROR(H12/H10+H13/H11,H12/H10),0)</f>
        <v>162</v>
      </c>
      <c r="I14">
        <f t="shared" ref="I14" si="9">IFERROR(IFERROR(I12/I10+I13/I11,I12/I10),0)</f>
        <v>162</v>
      </c>
      <c r="J14">
        <f t="shared" ref="J14" si="10">IFERROR(IFERROR(J12/J10+J13/J11,J12/J10),0)</f>
        <v>162</v>
      </c>
      <c r="K14">
        <f t="shared" ref="K14" si="11">IFERROR(IFERROR(K12/K10+K13/K11,K12/K10),0)</f>
        <v>162</v>
      </c>
      <c r="L14">
        <f t="shared" ref="L14" si="12">IFERROR(IFERROR(L12/L10+L13/L11,L12/L10),0)</f>
        <v>162</v>
      </c>
      <c r="M14">
        <f t="shared" ref="M14" si="13">IFERROR(IFERROR(M12/M10+M13/M11,M12/M10),0)</f>
        <v>162</v>
      </c>
      <c r="N14">
        <f t="shared" ref="N14" si="14">IFERROR(IFERROR(N12/N10+N13/N11,N12/N10),0)</f>
        <v>162</v>
      </c>
      <c r="O14">
        <f t="shared" ref="O14" si="15">IFERROR(IFERROR(O12/O10+O13/O11,O12/O10),0)</f>
        <v>162</v>
      </c>
      <c r="Q14">
        <v>9</v>
      </c>
    </row>
    <row r="15" spans="1:26" x14ac:dyDescent="0.4">
      <c r="C15" t="s">
        <v>539</v>
      </c>
      <c r="D15">
        <f>IFERROR((D10/D12)*D14,1)</f>
        <v>1</v>
      </c>
      <c r="E15">
        <f t="shared" ref="E15" si="16">IFERROR((E10/E12)*E14,1)</f>
        <v>1</v>
      </c>
      <c r="F15">
        <f t="shared" ref="F15" si="17">IFERROR((F10/F12)*F14,1)</f>
        <v>1</v>
      </c>
      <c r="G15">
        <f t="shared" ref="G15" si="18">IFERROR((G10/G12)*G14,1)</f>
        <v>1</v>
      </c>
      <c r="H15">
        <f t="shared" ref="H15" si="19">IFERROR((H10/H12)*H14,1)</f>
        <v>1</v>
      </c>
      <c r="I15">
        <f t="shared" ref="I15" si="20">IFERROR((I10/I12)*I14,1)</f>
        <v>1</v>
      </c>
      <c r="J15">
        <f t="shared" ref="J15" si="21">IFERROR((J10/J12)*J14,1)</f>
        <v>1</v>
      </c>
      <c r="K15">
        <f t="shared" ref="K15" si="22">IFERROR((K10/K12)*K14,1)</f>
        <v>1</v>
      </c>
      <c r="L15">
        <f t="shared" ref="L15" si="23">IFERROR((L10/L12)*L14,1)</f>
        <v>1</v>
      </c>
      <c r="M15">
        <f t="shared" ref="M15" si="24">IFERROR((M10/M12)*M14,1)</f>
        <v>1</v>
      </c>
      <c r="N15">
        <f t="shared" ref="N15" si="25">IFERROR((N10/N12)*N14,1)</f>
        <v>1</v>
      </c>
      <c r="O15">
        <f t="shared" ref="O15" si="26">IFERROR((O10/O12)*O14,1)</f>
        <v>1</v>
      </c>
      <c r="Q15">
        <v>10</v>
      </c>
    </row>
    <row r="16" spans="1:26" x14ac:dyDescent="0.4">
      <c r="C16" t="s">
        <v>540</v>
      </c>
      <c r="D16">
        <f>IFERROR((D11/D13)*D14,0)</f>
        <v>0</v>
      </c>
      <c r="E16">
        <f t="shared" ref="E16:O16" si="27">IFERROR((E11/E13)*E14,0)</f>
        <v>0</v>
      </c>
      <c r="F16">
        <f t="shared" si="27"/>
        <v>0</v>
      </c>
      <c r="G16">
        <f t="shared" si="27"/>
        <v>0</v>
      </c>
      <c r="H16">
        <f t="shared" si="27"/>
        <v>0</v>
      </c>
      <c r="I16">
        <f t="shared" si="27"/>
        <v>0</v>
      </c>
      <c r="J16">
        <f t="shared" si="27"/>
        <v>0</v>
      </c>
      <c r="K16">
        <f t="shared" si="27"/>
        <v>0</v>
      </c>
      <c r="L16">
        <f t="shared" si="27"/>
        <v>0</v>
      </c>
      <c r="M16">
        <f t="shared" si="27"/>
        <v>0</v>
      </c>
      <c r="N16">
        <f t="shared" si="27"/>
        <v>0</v>
      </c>
      <c r="O16">
        <f t="shared" si="27"/>
        <v>0</v>
      </c>
      <c r="Q16">
        <v>11</v>
      </c>
    </row>
    <row r="17" spans="1:26" x14ac:dyDescent="0.4">
      <c r="C17" s="21" t="s">
        <v>534</v>
      </c>
      <c r="D17">
        <f t="shared" ref="D17:O17" si="28">IFERROR(VLOOKUP(D6,Phys_Prop,4,FALSE),0)</f>
        <v>7</v>
      </c>
      <c r="E17">
        <f t="shared" si="28"/>
        <v>7</v>
      </c>
      <c r="F17">
        <f t="shared" si="28"/>
        <v>7</v>
      </c>
      <c r="G17">
        <f t="shared" si="28"/>
        <v>7</v>
      </c>
      <c r="H17">
        <f t="shared" si="28"/>
        <v>7</v>
      </c>
      <c r="I17">
        <f t="shared" si="28"/>
        <v>7</v>
      </c>
      <c r="J17">
        <f t="shared" si="28"/>
        <v>7</v>
      </c>
      <c r="K17">
        <f t="shared" si="28"/>
        <v>7</v>
      </c>
      <c r="L17">
        <f t="shared" si="28"/>
        <v>7</v>
      </c>
      <c r="M17">
        <f t="shared" si="28"/>
        <v>7</v>
      </c>
      <c r="N17">
        <f t="shared" si="28"/>
        <v>7</v>
      </c>
      <c r="O17">
        <f t="shared" si="28"/>
        <v>7</v>
      </c>
      <c r="Q17">
        <v>12</v>
      </c>
    </row>
    <row r="18" spans="1:26" x14ac:dyDescent="0.4">
      <c r="C18" s="21" t="s">
        <v>535</v>
      </c>
      <c r="D18">
        <f t="shared" ref="D18:O18" si="29">IFERROR(VLOOKUP(D7,Phys_Prop,4,FALSE),0)</f>
        <v>0</v>
      </c>
      <c r="E18">
        <f t="shared" si="29"/>
        <v>0</v>
      </c>
      <c r="F18">
        <f t="shared" si="29"/>
        <v>0</v>
      </c>
      <c r="G18">
        <f t="shared" si="29"/>
        <v>0</v>
      </c>
      <c r="H18">
        <f t="shared" si="29"/>
        <v>0</v>
      </c>
      <c r="I18">
        <f t="shared" si="29"/>
        <v>0</v>
      </c>
      <c r="J18">
        <f t="shared" si="29"/>
        <v>0</v>
      </c>
      <c r="K18">
        <f t="shared" si="29"/>
        <v>0</v>
      </c>
      <c r="L18">
        <f t="shared" si="29"/>
        <v>0</v>
      </c>
      <c r="M18">
        <f t="shared" si="29"/>
        <v>0</v>
      </c>
      <c r="N18">
        <f t="shared" si="29"/>
        <v>0</v>
      </c>
      <c r="O18">
        <f t="shared" si="29"/>
        <v>0</v>
      </c>
      <c r="Q18">
        <v>13</v>
      </c>
    </row>
    <row r="19" spans="1:26" x14ac:dyDescent="0.4">
      <c r="A19" s="11"/>
      <c r="B19" s="11"/>
      <c r="C19" s="62" t="s">
        <v>536</v>
      </c>
      <c r="D19" s="11">
        <f>IFERROR(1/(D15/D17+D16/D18),D17)</f>
        <v>7</v>
      </c>
      <c r="E19" s="11">
        <f t="shared" ref="E19:O19" si="30">IFERROR(1/(E15/E17+E16/E18),E17)</f>
        <v>7</v>
      </c>
      <c r="F19" s="11">
        <f t="shared" si="30"/>
        <v>7</v>
      </c>
      <c r="G19" s="11">
        <f t="shared" si="30"/>
        <v>7</v>
      </c>
      <c r="H19" s="11">
        <f t="shared" si="30"/>
        <v>7</v>
      </c>
      <c r="I19" s="11">
        <f t="shared" si="30"/>
        <v>7</v>
      </c>
      <c r="J19" s="11">
        <f t="shared" si="30"/>
        <v>7</v>
      </c>
      <c r="K19" s="11">
        <f t="shared" si="30"/>
        <v>7</v>
      </c>
      <c r="L19" s="11">
        <f t="shared" si="30"/>
        <v>7</v>
      </c>
      <c r="M19" s="11">
        <f t="shared" si="30"/>
        <v>7</v>
      </c>
      <c r="N19" s="11">
        <f t="shared" si="30"/>
        <v>7</v>
      </c>
      <c r="O19" s="11">
        <f t="shared" si="30"/>
        <v>7</v>
      </c>
      <c r="P19" s="11"/>
      <c r="Q19" s="11">
        <v>14</v>
      </c>
      <c r="R19" s="11"/>
      <c r="S19" s="11"/>
      <c r="T19" s="11"/>
      <c r="U19" s="11"/>
      <c r="V19" s="11"/>
      <c r="W19" s="11"/>
      <c r="X19" s="11"/>
      <c r="Y19" s="11"/>
      <c r="Z19" s="11"/>
    </row>
    <row r="20" spans="1:26" x14ac:dyDescent="0.4">
      <c r="A20" t="str" cm="1">
        <f t="array" ref="A20">INDEX(FX_Input,R20,S20)</f>
        <v>FX - 2</v>
      </c>
      <c r="B20" t="str" cm="1">
        <f t="array" ref="B20">INDEX(FX_Input,R20,T20)</f>
        <v>Portland</v>
      </c>
      <c r="C20" t="s">
        <v>528</v>
      </c>
      <c r="D20" t="str" cm="1">
        <f t="array" ref="D20">INDEX(FX_Input,$R20,$Y20*D$5+$Z20)</f>
        <v>Jet kerosene</v>
      </c>
      <c r="E20" t="str" cm="1">
        <f t="array" ref="E20">INDEX(FX_Input,$R20,$Y20*E$5+$Z20)</f>
        <v>Jet kerosene</v>
      </c>
      <c r="F20" t="str" cm="1">
        <f t="array" ref="F20">INDEX(FX_Input,$R20,$Y20*F$5+$Z20)</f>
        <v>Jet kerosene</v>
      </c>
      <c r="G20" t="str" cm="1">
        <f t="array" ref="G20">INDEX(FX_Input,$R20,$Y20*G$5+$Z20)</f>
        <v>Jet kerosene</v>
      </c>
      <c r="H20" t="str" cm="1">
        <f t="array" ref="H20">INDEX(FX_Input,$R20,$Y20*H$5+$Z20)</f>
        <v>Jet kerosene</v>
      </c>
      <c r="I20" t="str" cm="1">
        <f t="array" ref="I20">INDEX(FX_Input,$R20,$Y20*I$5+$Z20)</f>
        <v>Jet kerosene</v>
      </c>
      <c r="J20" t="str" cm="1">
        <f t="array" ref="J20">INDEX(FX_Input,$R20,$Y20*J$5+$Z20)</f>
        <v>Jet kerosene</v>
      </c>
      <c r="K20" t="str" cm="1">
        <f t="array" ref="K20">INDEX(FX_Input,$R20,$Y20*K$5+$Z20)</f>
        <v>Jet kerosene</v>
      </c>
      <c r="L20" t="str" cm="1">
        <f t="array" ref="L20">INDEX(FX_Input,$R20,$Y20*L$5+$Z20)</f>
        <v>Jet kerosene</v>
      </c>
      <c r="M20" t="str" cm="1">
        <f t="array" ref="M20">INDEX(FX_Input,$R20,$Y20*M$5+$Z20)</f>
        <v>Jet kerosene</v>
      </c>
      <c r="N20" t="str" cm="1">
        <f t="array" ref="N20">INDEX(FX_Input,$R20,$Y20*N$5+$Z20)</f>
        <v>Jet kerosene</v>
      </c>
      <c r="O20" t="str" cm="1">
        <f t="array" ref="O20">INDEX(FX_Input,$R20,$Y20*O$5+$Z20)</f>
        <v>Jet kerosene</v>
      </c>
      <c r="R20">
        <f>R6+2</f>
        <v>3</v>
      </c>
      <c r="S20">
        <v>1</v>
      </c>
      <c r="T20">
        <v>3</v>
      </c>
      <c r="U20">
        <v>17</v>
      </c>
      <c r="V20">
        <f>U20+5</f>
        <v>22</v>
      </c>
      <c r="W20">
        <v>1</v>
      </c>
      <c r="X20">
        <v>2</v>
      </c>
      <c r="Y20">
        <f t="shared" ref="Y20:Y25" si="31">(V20-U20)/(X20-W20)</f>
        <v>5</v>
      </c>
      <c r="Z20">
        <f t="shared" ref="Z20:Z25" si="32">U20-Y20*W20</f>
        <v>12</v>
      </c>
    </row>
    <row r="21" spans="1:26" x14ac:dyDescent="0.4">
      <c r="C21" t="s">
        <v>529</v>
      </c>
      <c r="D21" cm="1">
        <f t="array" ref="D21">INDEX(FX_Input,$R21,$Y21*D$5+$Z21)</f>
        <v>0</v>
      </c>
      <c r="E21" cm="1">
        <f t="array" ref="E21">INDEX(FX_Input,$R21,$Y21*E$5+$Z21)</f>
        <v>0</v>
      </c>
      <c r="F21" cm="1">
        <f t="array" ref="F21">INDEX(FX_Input,$R21,$Y21*F$5+$Z21)</f>
        <v>0</v>
      </c>
      <c r="G21" cm="1">
        <f t="array" ref="G21">INDEX(FX_Input,$R21,$Y21*G$5+$Z21)</f>
        <v>0</v>
      </c>
      <c r="H21" cm="1">
        <f t="array" ref="H21">INDEX(FX_Input,$R21,$Y21*H$5+$Z21)</f>
        <v>0</v>
      </c>
      <c r="I21" cm="1">
        <f t="array" ref="I21">INDEX(FX_Input,$R21,$Y21*I$5+$Z21)</f>
        <v>0</v>
      </c>
      <c r="J21" cm="1">
        <f t="array" ref="J21">INDEX(FX_Input,$R21,$Y21*J$5+$Z21)</f>
        <v>0</v>
      </c>
      <c r="K21" cm="1">
        <f t="array" ref="K21">INDEX(FX_Input,$R21,$Y21*K$5+$Z21)</f>
        <v>0</v>
      </c>
      <c r="L21" cm="1">
        <f t="array" ref="L21">INDEX(FX_Input,$R21,$Y21*L$5+$Z21)</f>
        <v>0</v>
      </c>
      <c r="M21" cm="1">
        <f t="array" ref="M21">INDEX(FX_Input,$R21,$Y21*M$5+$Z21)</f>
        <v>0</v>
      </c>
      <c r="N21" cm="1">
        <f t="array" ref="N21">INDEX(FX_Input,$R21,$Y21*N$5+$Z21)</f>
        <v>0</v>
      </c>
      <c r="O21" cm="1">
        <f t="array" ref="O21">INDEX(FX_Input,$R21,$Y21*O$5+$Z21)</f>
        <v>0</v>
      </c>
      <c r="R21">
        <f>R20+1</f>
        <v>4</v>
      </c>
      <c r="U21">
        <f>U20</f>
        <v>17</v>
      </c>
      <c r="V21">
        <f t="shared" ref="V21:V25" si="33">U21+5</f>
        <v>22</v>
      </c>
      <c r="W21">
        <v>1</v>
      </c>
      <c r="X21">
        <v>2</v>
      </c>
      <c r="Y21">
        <f t="shared" si="31"/>
        <v>5</v>
      </c>
      <c r="Z21">
        <f t="shared" si="32"/>
        <v>12</v>
      </c>
    </row>
    <row r="22" spans="1:26" x14ac:dyDescent="0.4">
      <c r="C22" t="s">
        <v>530</v>
      </c>
      <c r="D22" t="str" cm="1">
        <f t="array" ref="D22">INDEX(FX_Input,$R22,$Y22*D$5+$Z22)</f>
        <v>Select Pet Stock</v>
      </c>
      <c r="E22" t="str" cm="1">
        <f t="array" ref="E22">INDEX(FX_Input,$R22,$Y22*E$5+$Z22)</f>
        <v>Select Pet Stock</v>
      </c>
      <c r="F22" t="str" cm="1">
        <f t="array" ref="F22">INDEX(FX_Input,$R22,$Y22*F$5+$Z22)</f>
        <v>Select Pet Stock</v>
      </c>
      <c r="G22" t="str" cm="1">
        <f t="array" ref="G22">INDEX(FX_Input,$R22,$Y22*G$5+$Z22)</f>
        <v>Select Pet Stock</v>
      </c>
      <c r="H22" t="str" cm="1">
        <f t="array" ref="H22">INDEX(FX_Input,$R22,$Y22*H$5+$Z22)</f>
        <v>Select Pet Stock</v>
      </c>
      <c r="I22" t="str" cm="1">
        <f t="array" ref="I22">INDEX(FX_Input,$R22,$Y22*I$5+$Z22)</f>
        <v>Select Pet Stock</v>
      </c>
      <c r="J22" t="str" cm="1">
        <f t="array" ref="J22">INDEX(FX_Input,$R22,$Y22*J$5+$Z22)</f>
        <v>Select Pet Stock</v>
      </c>
      <c r="K22" t="str" cm="1">
        <f t="array" ref="K22">INDEX(FX_Input,$R22,$Y22*K$5+$Z22)</f>
        <v>Select Pet Stock</v>
      </c>
      <c r="L22" t="str" cm="1">
        <f t="array" ref="L22">INDEX(FX_Input,$R22,$Y22*L$5+$Z22)</f>
        <v>Select Pet Stock</v>
      </c>
      <c r="M22" t="str" cm="1">
        <f t="array" ref="M22">INDEX(FX_Input,$R22,$Y22*M$5+$Z22)</f>
        <v>Select Pet Stock</v>
      </c>
      <c r="N22" t="str" cm="1">
        <f t="array" ref="N22">INDEX(FX_Input,$R22,$Y22*N$5+$Z22)</f>
        <v>Select Pet Stock</v>
      </c>
      <c r="O22" t="str" cm="1">
        <f t="array" ref="O22">INDEX(FX_Input,$R22,$Y22*O$5+$Z22)</f>
        <v>Select Pet Stock</v>
      </c>
      <c r="R22">
        <f>R20</f>
        <v>3</v>
      </c>
      <c r="U22">
        <v>18</v>
      </c>
      <c r="V22">
        <f t="shared" si="33"/>
        <v>23</v>
      </c>
      <c r="W22">
        <v>1</v>
      </c>
      <c r="X22">
        <v>2</v>
      </c>
      <c r="Y22">
        <f t="shared" si="31"/>
        <v>5</v>
      </c>
      <c r="Z22">
        <f t="shared" si="32"/>
        <v>13</v>
      </c>
    </row>
    <row r="23" spans="1:26" x14ac:dyDescent="0.4">
      <c r="C23" t="s">
        <v>531</v>
      </c>
      <c r="D23" cm="1">
        <f t="array" ref="D23">INDEX(FX_Input,$R23,$Y23*D$5+$Z23)</f>
        <v>0</v>
      </c>
      <c r="E23" cm="1">
        <f t="array" ref="E23">INDEX(FX_Input,$R23,$Y23*E$5+$Z23)</f>
        <v>0</v>
      </c>
      <c r="F23" cm="1">
        <f t="array" ref="F23">INDEX(FX_Input,$R23,$Y23*F$5+$Z23)</f>
        <v>0</v>
      </c>
      <c r="G23" cm="1">
        <f t="array" ref="G23">INDEX(FX_Input,$R23,$Y23*G$5+$Z23)</f>
        <v>0</v>
      </c>
      <c r="H23" cm="1">
        <f t="array" ref="H23">INDEX(FX_Input,$R23,$Y23*H$5+$Z23)</f>
        <v>0</v>
      </c>
      <c r="I23" cm="1">
        <f t="array" ref="I23">INDEX(FX_Input,$R23,$Y23*I$5+$Z23)</f>
        <v>0</v>
      </c>
      <c r="J23" cm="1">
        <f t="array" ref="J23">INDEX(FX_Input,$R23,$Y23*J$5+$Z23)</f>
        <v>0</v>
      </c>
      <c r="K23" cm="1">
        <f t="array" ref="K23">INDEX(FX_Input,$R23,$Y23*K$5+$Z23)</f>
        <v>0</v>
      </c>
      <c r="L23" cm="1">
        <f t="array" ref="L23">INDEX(FX_Input,$R23,$Y23*L$5+$Z23)</f>
        <v>0</v>
      </c>
      <c r="M23" cm="1">
        <f t="array" ref="M23">INDEX(FX_Input,$R23,$Y23*M$5+$Z23)</f>
        <v>0</v>
      </c>
      <c r="N23" cm="1">
        <f t="array" ref="N23">INDEX(FX_Input,$R23,$Y23*N$5+$Z23)</f>
        <v>0</v>
      </c>
      <c r="O23" cm="1">
        <f t="array" ref="O23">INDEX(FX_Input,$R23,$Y23*O$5+$Z23)</f>
        <v>0</v>
      </c>
      <c r="R23">
        <f>R21</f>
        <v>4</v>
      </c>
      <c r="U23">
        <f>U22</f>
        <v>18</v>
      </c>
      <c r="V23">
        <f t="shared" si="33"/>
        <v>23</v>
      </c>
      <c r="W23">
        <v>1</v>
      </c>
      <c r="X23">
        <v>2</v>
      </c>
      <c r="Y23">
        <f t="shared" si="31"/>
        <v>5</v>
      </c>
      <c r="Z23">
        <f t="shared" si="32"/>
        <v>13</v>
      </c>
    </row>
    <row r="24" spans="1:26" x14ac:dyDescent="0.4">
      <c r="C24" t="s">
        <v>546</v>
      </c>
      <c r="D24" cm="1">
        <f t="array" ref="D24">INDEX(FX_Input,$R24,$Y24*D$5+$Z24)</f>
        <v>1</v>
      </c>
      <c r="E24" cm="1">
        <f t="array" ref="E24">INDEX(FX_Input,$R24,$Y24*E$5+$Z24)</f>
        <v>1</v>
      </c>
      <c r="F24" cm="1">
        <f t="array" ref="F24">INDEX(FX_Input,$R24,$Y24*F$5+$Z24)</f>
        <v>1</v>
      </c>
      <c r="G24" cm="1">
        <f t="array" ref="G24">INDEX(FX_Input,$R24,$Y24*G$5+$Z24)</f>
        <v>1</v>
      </c>
      <c r="H24" cm="1">
        <f t="array" ref="H24">INDEX(FX_Input,$R24,$Y24*H$5+$Z24)</f>
        <v>1</v>
      </c>
      <c r="I24" cm="1">
        <f t="array" ref="I24">INDEX(FX_Input,$R24,$Y24*I$5+$Z24)</f>
        <v>1</v>
      </c>
      <c r="J24" cm="1">
        <f t="array" ref="J24">INDEX(FX_Input,$R24,$Y24*J$5+$Z24)</f>
        <v>1</v>
      </c>
      <c r="K24" cm="1">
        <f t="array" ref="K24">INDEX(FX_Input,$R24,$Y24*K$5+$Z24)</f>
        <v>1</v>
      </c>
      <c r="L24" cm="1">
        <f t="array" ref="L24">INDEX(FX_Input,$R24,$Y24*L$5+$Z24)</f>
        <v>1</v>
      </c>
      <c r="M24" cm="1">
        <f t="array" ref="M24">INDEX(FX_Input,$R24,$Y24*M$5+$Z24)</f>
        <v>1</v>
      </c>
      <c r="N24" cm="1">
        <f t="array" ref="N24">INDEX(FX_Input,$R24,$Y24*N$5+$Z24)</f>
        <v>1</v>
      </c>
      <c r="O24" cm="1">
        <f t="array" ref="O24">INDEX(FX_Input,$R24,$Y24*O$5+$Z24)</f>
        <v>1</v>
      </c>
      <c r="R24">
        <f>R22</f>
        <v>3</v>
      </c>
      <c r="U24">
        <v>21</v>
      </c>
      <c r="V24">
        <f t="shared" si="33"/>
        <v>26</v>
      </c>
      <c r="W24">
        <v>1</v>
      </c>
      <c r="X24">
        <v>2</v>
      </c>
      <c r="Y24">
        <f t="shared" si="31"/>
        <v>5</v>
      </c>
      <c r="Z24">
        <f t="shared" si="32"/>
        <v>16</v>
      </c>
    </row>
    <row r="25" spans="1:26" x14ac:dyDescent="0.4">
      <c r="C25" t="s">
        <v>547</v>
      </c>
      <c r="D25" cm="1">
        <f t="array" ref="D25">INDEX(FX_Input,$R25,$Y25*D$5+$Z25)</f>
        <v>0</v>
      </c>
      <c r="E25" cm="1">
        <f t="array" ref="E25">INDEX(FX_Input,$R25,$Y25*E$5+$Z25)</f>
        <v>0</v>
      </c>
      <c r="F25" cm="1">
        <f t="array" ref="F25">INDEX(FX_Input,$R25,$Y25*F$5+$Z25)</f>
        <v>0</v>
      </c>
      <c r="G25" cm="1">
        <f t="array" ref="G25">INDEX(FX_Input,$R25,$Y25*G$5+$Z25)</f>
        <v>0</v>
      </c>
      <c r="H25" cm="1">
        <f t="array" ref="H25">INDEX(FX_Input,$R25,$Y25*H$5+$Z25)</f>
        <v>0</v>
      </c>
      <c r="I25" cm="1">
        <f t="array" ref="I25">INDEX(FX_Input,$R25,$Y25*I$5+$Z25)</f>
        <v>0</v>
      </c>
      <c r="J25" cm="1">
        <f t="array" ref="J25">INDEX(FX_Input,$R25,$Y25*J$5+$Z25)</f>
        <v>0</v>
      </c>
      <c r="K25" cm="1">
        <f t="array" ref="K25">INDEX(FX_Input,$R25,$Y25*K$5+$Z25)</f>
        <v>0</v>
      </c>
      <c r="L25" cm="1">
        <f t="array" ref="L25">INDEX(FX_Input,$R25,$Y25*L$5+$Z25)</f>
        <v>0</v>
      </c>
      <c r="M25" cm="1">
        <f t="array" ref="M25">INDEX(FX_Input,$R25,$Y25*M$5+$Z25)</f>
        <v>0</v>
      </c>
      <c r="N25" cm="1">
        <f t="array" ref="N25">INDEX(FX_Input,$R25,$Y25*N$5+$Z25)</f>
        <v>0</v>
      </c>
      <c r="O25" cm="1">
        <f t="array" ref="O25">INDEX(FX_Input,$R25,$Y25*O$5+$Z25)</f>
        <v>0</v>
      </c>
      <c r="R25">
        <f>R23</f>
        <v>4</v>
      </c>
      <c r="U25">
        <f>U24</f>
        <v>21</v>
      </c>
      <c r="V25">
        <f t="shared" si="33"/>
        <v>26</v>
      </c>
      <c r="W25">
        <v>1</v>
      </c>
      <c r="X25">
        <v>2</v>
      </c>
      <c r="Y25">
        <f t="shared" si="31"/>
        <v>5</v>
      </c>
      <c r="Z25">
        <f t="shared" si="32"/>
        <v>16</v>
      </c>
    </row>
    <row r="26" spans="1:26" x14ac:dyDescent="0.4">
      <c r="C26" t="s">
        <v>532</v>
      </c>
      <c r="D26">
        <f t="shared" ref="D26:O26" si="34">IFERROR(VLOOKUP(D20,Phys_Prop,2,FALSE),0)</f>
        <v>162</v>
      </c>
      <c r="E26">
        <f t="shared" si="34"/>
        <v>162</v>
      </c>
      <c r="F26">
        <f t="shared" si="34"/>
        <v>162</v>
      </c>
      <c r="G26">
        <f t="shared" si="34"/>
        <v>162</v>
      </c>
      <c r="H26">
        <f t="shared" si="34"/>
        <v>162</v>
      </c>
      <c r="I26">
        <f t="shared" si="34"/>
        <v>162</v>
      </c>
      <c r="J26">
        <f t="shared" si="34"/>
        <v>162</v>
      </c>
      <c r="K26">
        <f t="shared" si="34"/>
        <v>162</v>
      </c>
      <c r="L26">
        <f t="shared" si="34"/>
        <v>162</v>
      </c>
      <c r="M26">
        <f t="shared" si="34"/>
        <v>162</v>
      </c>
      <c r="N26">
        <f t="shared" si="34"/>
        <v>162</v>
      </c>
      <c r="O26">
        <f t="shared" si="34"/>
        <v>162</v>
      </c>
    </row>
    <row r="27" spans="1:26" x14ac:dyDescent="0.4">
      <c r="C27" t="s">
        <v>533</v>
      </c>
      <c r="D27">
        <f t="shared" ref="D27:O27" si="35">IFERROR(VLOOKUP(D21,Phys_Prop,2,FALSE),0)</f>
        <v>0</v>
      </c>
      <c r="E27">
        <f t="shared" si="35"/>
        <v>0</v>
      </c>
      <c r="F27">
        <f t="shared" si="35"/>
        <v>0</v>
      </c>
      <c r="G27">
        <f t="shared" si="35"/>
        <v>0</v>
      </c>
      <c r="H27">
        <f t="shared" si="35"/>
        <v>0</v>
      </c>
      <c r="I27">
        <f t="shared" si="35"/>
        <v>0</v>
      </c>
      <c r="J27">
        <f t="shared" si="35"/>
        <v>0</v>
      </c>
      <c r="K27">
        <f t="shared" si="35"/>
        <v>0</v>
      </c>
      <c r="L27">
        <f t="shared" si="35"/>
        <v>0</v>
      </c>
      <c r="M27">
        <f t="shared" si="35"/>
        <v>0</v>
      </c>
      <c r="N27">
        <f t="shared" si="35"/>
        <v>0</v>
      </c>
      <c r="O27">
        <f t="shared" si="35"/>
        <v>0</v>
      </c>
    </row>
    <row r="28" spans="1:26" x14ac:dyDescent="0.4">
      <c r="C28" t="s">
        <v>544</v>
      </c>
      <c r="D28">
        <f>IFERROR(IFERROR(D26/D24+D27/D25,D26/D24),0)</f>
        <v>162</v>
      </c>
      <c r="E28">
        <f t="shared" ref="E28" si="36">IFERROR(IFERROR(E26/E24+E27/E25,E26/E24),0)</f>
        <v>162</v>
      </c>
      <c r="F28">
        <f t="shared" ref="F28" si="37">IFERROR(IFERROR(F26/F24+F27/F25,F26/F24),0)</f>
        <v>162</v>
      </c>
      <c r="G28">
        <f t="shared" ref="G28" si="38">IFERROR(IFERROR(G26/G24+G27/G25,G26/G24),0)</f>
        <v>162</v>
      </c>
      <c r="H28">
        <f t="shared" ref="H28" si="39">IFERROR(IFERROR(H26/H24+H27/H25,H26/H24),0)</f>
        <v>162</v>
      </c>
      <c r="I28">
        <f t="shared" ref="I28" si="40">IFERROR(IFERROR(I26/I24+I27/I25,I26/I24),0)</f>
        <v>162</v>
      </c>
      <c r="J28">
        <f t="shared" ref="J28" si="41">IFERROR(IFERROR(J26/J24+J27/J25,J26/J24),0)</f>
        <v>162</v>
      </c>
      <c r="K28">
        <f t="shared" ref="K28" si="42">IFERROR(IFERROR(K26/K24+K27/K25,K26/K24),0)</f>
        <v>162</v>
      </c>
      <c r="L28">
        <f t="shared" ref="L28" si="43">IFERROR(IFERROR(L26/L24+L27/L25,L26/L24),0)</f>
        <v>162</v>
      </c>
      <c r="M28">
        <f t="shared" ref="M28" si="44">IFERROR(IFERROR(M26/M24+M27/M25,M26/M24),0)</f>
        <v>162</v>
      </c>
      <c r="N28">
        <f t="shared" ref="N28" si="45">IFERROR(IFERROR(N26/N24+N27/N25,N26/N24),0)</f>
        <v>162</v>
      </c>
      <c r="O28">
        <f t="shared" ref="O28" si="46">IFERROR(IFERROR(O26/O24+O27/O25,O26/O24),0)</f>
        <v>162</v>
      </c>
    </row>
    <row r="29" spans="1:26" x14ac:dyDescent="0.4">
      <c r="C29" t="s">
        <v>539</v>
      </c>
      <c r="D29">
        <f>IFERROR((D24/D26)*D28,1)</f>
        <v>1</v>
      </c>
      <c r="E29">
        <f t="shared" ref="E29" si="47">IFERROR((E24/E26)*E28,1)</f>
        <v>1</v>
      </c>
      <c r="F29">
        <f t="shared" ref="F29" si="48">IFERROR((F24/F26)*F28,1)</f>
        <v>1</v>
      </c>
      <c r="G29">
        <f t="shared" ref="G29" si="49">IFERROR((G24/G26)*G28,1)</f>
        <v>1</v>
      </c>
      <c r="H29">
        <f t="shared" ref="H29" si="50">IFERROR((H24/H26)*H28,1)</f>
        <v>1</v>
      </c>
      <c r="I29">
        <f t="shared" ref="I29" si="51">IFERROR((I24/I26)*I28,1)</f>
        <v>1</v>
      </c>
      <c r="J29">
        <f t="shared" ref="J29" si="52">IFERROR((J24/J26)*J28,1)</f>
        <v>1</v>
      </c>
      <c r="K29">
        <f t="shared" ref="K29" si="53">IFERROR((K24/K26)*K28,1)</f>
        <v>1</v>
      </c>
      <c r="L29">
        <f t="shared" ref="L29" si="54">IFERROR((L24/L26)*L28,1)</f>
        <v>1</v>
      </c>
      <c r="M29">
        <f t="shared" ref="M29" si="55">IFERROR((M24/M26)*M28,1)</f>
        <v>1</v>
      </c>
      <c r="N29">
        <f t="shared" ref="N29" si="56">IFERROR((N24/N26)*N28,1)</f>
        <v>1</v>
      </c>
      <c r="O29">
        <f t="shared" ref="O29" si="57">IFERROR((O24/O26)*O28,1)</f>
        <v>1</v>
      </c>
    </row>
    <row r="30" spans="1:26" x14ac:dyDescent="0.4">
      <c r="C30" t="s">
        <v>540</v>
      </c>
      <c r="D30">
        <f>IFERROR((D25/D27)*D28,0)</f>
        <v>0</v>
      </c>
      <c r="E30">
        <f t="shared" ref="E30:O30" si="58">IFERROR((E25/E27)*E28,0)</f>
        <v>0</v>
      </c>
      <c r="F30">
        <f t="shared" si="58"/>
        <v>0</v>
      </c>
      <c r="G30">
        <f t="shared" si="58"/>
        <v>0</v>
      </c>
      <c r="H30">
        <f t="shared" si="58"/>
        <v>0</v>
      </c>
      <c r="I30">
        <f t="shared" si="58"/>
        <v>0</v>
      </c>
      <c r="J30">
        <f t="shared" si="58"/>
        <v>0</v>
      </c>
      <c r="K30">
        <f t="shared" si="58"/>
        <v>0</v>
      </c>
      <c r="L30">
        <f t="shared" si="58"/>
        <v>0</v>
      </c>
      <c r="M30">
        <f t="shared" si="58"/>
        <v>0</v>
      </c>
      <c r="N30">
        <f t="shared" si="58"/>
        <v>0</v>
      </c>
      <c r="O30">
        <f t="shared" si="58"/>
        <v>0</v>
      </c>
    </row>
    <row r="31" spans="1:26" x14ac:dyDescent="0.4">
      <c r="C31" s="21" t="s">
        <v>534</v>
      </c>
      <c r="D31">
        <f t="shared" ref="D31:O31" si="59">IFERROR(VLOOKUP(D20,Phys_Prop,4,FALSE),0)</f>
        <v>7</v>
      </c>
      <c r="E31">
        <f t="shared" si="59"/>
        <v>7</v>
      </c>
      <c r="F31">
        <f t="shared" si="59"/>
        <v>7</v>
      </c>
      <c r="G31">
        <f t="shared" si="59"/>
        <v>7</v>
      </c>
      <c r="H31">
        <f t="shared" si="59"/>
        <v>7</v>
      </c>
      <c r="I31">
        <f t="shared" si="59"/>
        <v>7</v>
      </c>
      <c r="J31">
        <f t="shared" si="59"/>
        <v>7</v>
      </c>
      <c r="K31">
        <f t="shared" si="59"/>
        <v>7</v>
      </c>
      <c r="L31">
        <f t="shared" si="59"/>
        <v>7</v>
      </c>
      <c r="M31">
        <f t="shared" si="59"/>
        <v>7</v>
      </c>
      <c r="N31">
        <f t="shared" si="59"/>
        <v>7</v>
      </c>
      <c r="O31">
        <f t="shared" si="59"/>
        <v>7</v>
      </c>
    </row>
    <row r="32" spans="1:26" x14ac:dyDescent="0.4">
      <c r="C32" s="21" t="s">
        <v>535</v>
      </c>
      <c r="D32">
        <f t="shared" ref="D32:O32" si="60">IFERROR(VLOOKUP(D21,Phys_Prop,4,FALSE),0)</f>
        <v>0</v>
      </c>
      <c r="E32">
        <f t="shared" si="60"/>
        <v>0</v>
      </c>
      <c r="F32">
        <f t="shared" si="60"/>
        <v>0</v>
      </c>
      <c r="G32">
        <f t="shared" si="60"/>
        <v>0</v>
      </c>
      <c r="H32">
        <f t="shared" si="60"/>
        <v>0</v>
      </c>
      <c r="I32">
        <f t="shared" si="60"/>
        <v>0</v>
      </c>
      <c r="J32">
        <f t="shared" si="60"/>
        <v>0</v>
      </c>
      <c r="K32">
        <f t="shared" si="60"/>
        <v>0</v>
      </c>
      <c r="L32">
        <f t="shared" si="60"/>
        <v>0</v>
      </c>
      <c r="M32">
        <f t="shared" si="60"/>
        <v>0</v>
      </c>
      <c r="N32">
        <f t="shared" si="60"/>
        <v>0</v>
      </c>
      <c r="O32">
        <f t="shared" si="60"/>
        <v>0</v>
      </c>
    </row>
    <row r="33" spans="1:26" x14ac:dyDescent="0.4">
      <c r="A33" s="11"/>
      <c r="B33" s="11"/>
      <c r="C33" s="62" t="s">
        <v>536</v>
      </c>
      <c r="D33" s="11">
        <f>IFERROR(1/(D29/D31+D30/D32),D31)</f>
        <v>7</v>
      </c>
      <c r="E33" s="11">
        <f t="shared" ref="E33:O33" si="61">IFERROR(1/(E29/E31+E30/E32),E31)</f>
        <v>7</v>
      </c>
      <c r="F33" s="11">
        <f t="shared" si="61"/>
        <v>7</v>
      </c>
      <c r="G33" s="11">
        <f t="shared" si="61"/>
        <v>7</v>
      </c>
      <c r="H33" s="11">
        <f t="shared" si="61"/>
        <v>7</v>
      </c>
      <c r="I33" s="11">
        <f t="shared" si="61"/>
        <v>7</v>
      </c>
      <c r="J33" s="11">
        <f t="shared" si="61"/>
        <v>7</v>
      </c>
      <c r="K33" s="11">
        <f t="shared" si="61"/>
        <v>7</v>
      </c>
      <c r="L33" s="11">
        <f t="shared" si="61"/>
        <v>7</v>
      </c>
      <c r="M33" s="11">
        <f t="shared" si="61"/>
        <v>7</v>
      </c>
      <c r="N33" s="11">
        <f t="shared" si="61"/>
        <v>7</v>
      </c>
      <c r="O33" s="11">
        <f t="shared" si="61"/>
        <v>7</v>
      </c>
      <c r="P33" s="11"/>
      <c r="Q33" s="11"/>
      <c r="R33" s="11"/>
      <c r="S33" s="11"/>
      <c r="T33" s="11"/>
      <c r="U33" s="11"/>
      <c r="V33" s="11"/>
      <c r="W33" s="11"/>
      <c r="X33" s="11"/>
      <c r="Y33" s="11"/>
      <c r="Z33" s="11"/>
    </row>
    <row r="34" spans="1:26" x14ac:dyDescent="0.4">
      <c r="A34" t="str" cm="1">
        <f t="array" ref="A34">INDEX(FX_Input,R34,S34)</f>
        <v>FX - 3</v>
      </c>
      <c r="B34" t="str" cm="1">
        <f t="array" ref="B34">INDEX(FX_Input,R34,T34)</f>
        <v>Portland</v>
      </c>
      <c r="C34" t="s">
        <v>528</v>
      </c>
      <c r="D34" t="str" cm="1">
        <f t="array" ref="D34">INDEX(FX_Input,$R34,$Y34*D$5+$Z34)</f>
        <v>Jet kerosene</v>
      </c>
      <c r="E34" t="str" cm="1">
        <f t="array" ref="E34">INDEX(FX_Input,$R34,$Y34*E$5+$Z34)</f>
        <v>Jet kerosene</v>
      </c>
      <c r="F34" t="str" cm="1">
        <f t="array" ref="F34">INDEX(FX_Input,$R34,$Y34*F$5+$Z34)</f>
        <v>Jet kerosene</v>
      </c>
      <c r="G34" t="str" cm="1">
        <f t="array" ref="G34">INDEX(FX_Input,$R34,$Y34*G$5+$Z34)</f>
        <v>Jet kerosene</v>
      </c>
      <c r="H34" t="str" cm="1">
        <f t="array" ref="H34">INDEX(FX_Input,$R34,$Y34*H$5+$Z34)</f>
        <v>Jet kerosene</v>
      </c>
      <c r="I34" t="str" cm="1">
        <f t="array" ref="I34">INDEX(FX_Input,$R34,$Y34*I$5+$Z34)</f>
        <v>Jet kerosene</v>
      </c>
      <c r="J34" t="str" cm="1">
        <f t="array" ref="J34">INDEX(FX_Input,$R34,$Y34*J$5+$Z34)</f>
        <v>Jet kerosene</v>
      </c>
      <c r="K34" t="str" cm="1">
        <f t="array" ref="K34">INDEX(FX_Input,$R34,$Y34*K$5+$Z34)</f>
        <v>Jet kerosene</v>
      </c>
      <c r="L34" t="str" cm="1">
        <f t="array" ref="L34">INDEX(FX_Input,$R34,$Y34*L$5+$Z34)</f>
        <v>Jet kerosene</v>
      </c>
      <c r="M34" t="str" cm="1">
        <f t="array" ref="M34">INDEX(FX_Input,$R34,$Y34*M$5+$Z34)</f>
        <v>Jet kerosene</v>
      </c>
      <c r="N34" t="str" cm="1">
        <f t="array" ref="N34">INDEX(FX_Input,$R34,$Y34*N$5+$Z34)</f>
        <v>Jet kerosene</v>
      </c>
      <c r="O34" t="str" cm="1">
        <f t="array" ref="O34">INDEX(FX_Input,$R34,$Y34*O$5+$Z34)</f>
        <v>Jet kerosene</v>
      </c>
      <c r="R34">
        <f>R20+2</f>
        <v>5</v>
      </c>
      <c r="S34">
        <v>1</v>
      </c>
      <c r="T34">
        <v>3</v>
      </c>
      <c r="U34">
        <v>17</v>
      </c>
      <c r="V34">
        <f>U34+5</f>
        <v>22</v>
      </c>
      <c r="W34">
        <v>1</v>
      </c>
      <c r="X34">
        <v>2</v>
      </c>
      <c r="Y34">
        <f t="shared" ref="Y34:Y39" si="62">(V34-U34)/(X34-W34)</f>
        <v>5</v>
      </c>
      <c r="Z34">
        <f t="shared" ref="Z34:Z39" si="63">U34-Y34*W34</f>
        <v>12</v>
      </c>
    </row>
    <row r="35" spans="1:26" x14ac:dyDescent="0.4">
      <c r="C35" t="s">
        <v>529</v>
      </c>
      <c r="D35" cm="1">
        <f t="array" ref="D35">INDEX(FX_Input,$R35,$Y35*D$5+$Z35)</f>
        <v>0</v>
      </c>
      <c r="E35" cm="1">
        <f t="array" ref="E35">INDEX(FX_Input,$R35,$Y35*E$5+$Z35)</f>
        <v>0</v>
      </c>
      <c r="F35" cm="1">
        <f t="array" ref="F35">INDEX(FX_Input,$R35,$Y35*F$5+$Z35)</f>
        <v>0</v>
      </c>
      <c r="G35" cm="1">
        <f t="array" ref="G35">INDEX(FX_Input,$R35,$Y35*G$5+$Z35)</f>
        <v>0</v>
      </c>
      <c r="H35" cm="1">
        <f t="array" ref="H35">INDEX(FX_Input,$R35,$Y35*H$5+$Z35)</f>
        <v>0</v>
      </c>
      <c r="I35" cm="1">
        <f t="array" ref="I35">INDEX(FX_Input,$R35,$Y35*I$5+$Z35)</f>
        <v>0</v>
      </c>
      <c r="J35" cm="1">
        <f t="array" ref="J35">INDEX(FX_Input,$R35,$Y35*J$5+$Z35)</f>
        <v>0</v>
      </c>
      <c r="K35" cm="1">
        <f t="array" ref="K35">INDEX(FX_Input,$R35,$Y35*K$5+$Z35)</f>
        <v>0</v>
      </c>
      <c r="L35" cm="1">
        <f t="array" ref="L35">INDEX(FX_Input,$R35,$Y35*L$5+$Z35)</f>
        <v>0</v>
      </c>
      <c r="M35" cm="1">
        <f t="array" ref="M35">INDEX(FX_Input,$R35,$Y35*M$5+$Z35)</f>
        <v>0</v>
      </c>
      <c r="N35" cm="1">
        <f t="array" ref="N35">INDEX(FX_Input,$R35,$Y35*N$5+$Z35)</f>
        <v>0</v>
      </c>
      <c r="O35" cm="1">
        <f t="array" ref="O35">INDEX(FX_Input,$R35,$Y35*O$5+$Z35)</f>
        <v>0</v>
      </c>
      <c r="R35">
        <f>R34+1</f>
        <v>6</v>
      </c>
      <c r="U35">
        <f>U34</f>
        <v>17</v>
      </c>
      <c r="V35">
        <f t="shared" ref="V35:V39" si="64">U35+5</f>
        <v>22</v>
      </c>
      <c r="W35">
        <v>1</v>
      </c>
      <c r="X35">
        <v>2</v>
      </c>
      <c r="Y35">
        <f t="shared" si="62"/>
        <v>5</v>
      </c>
      <c r="Z35">
        <f t="shared" si="63"/>
        <v>12</v>
      </c>
    </row>
    <row r="36" spans="1:26" x14ac:dyDescent="0.4">
      <c r="C36" t="s">
        <v>530</v>
      </c>
      <c r="D36" t="str" cm="1">
        <f t="array" ref="D36">INDEX(FX_Input,$R36,$Y36*D$5+$Z36)</f>
        <v>Select Pet Stock</v>
      </c>
      <c r="E36" t="str" cm="1">
        <f t="array" ref="E36">INDEX(FX_Input,$R36,$Y36*E$5+$Z36)</f>
        <v>Select Pet Stock</v>
      </c>
      <c r="F36" t="str" cm="1">
        <f t="array" ref="F36">INDEX(FX_Input,$R36,$Y36*F$5+$Z36)</f>
        <v>Select Pet Stock</v>
      </c>
      <c r="G36" t="str" cm="1">
        <f t="array" ref="G36">INDEX(FX_Input,$R36,$Y36*G$5+$Z36)</f>
        <v>Select Pet Stock</v>
      </c>
      <c r="H36" t="str" cm="1">
        <f t="array" ref="H36">INDEX(FX_Input,$R36,$Y36*H$5+$Z36)</f>
        <v>Select Pet Stock</v>
      </c>
      <c r="I36" t="str" cm="1">
        <f t="array" ref="I36">INDEX(FX_Input,$R36,$Y36*I$5+$Z36)</f>
        <v>Select Pet Stock</v>
      </c>
      <c r="J36" t="str" cm="1">
        <f t="array" ref="J36">INDEX(FX_Input,$R36,$Y36*J$5+$Z36)</f>
        <v>Select Pet Stock</v>
      </c>
      <c r="K36" t="str" cm="1">
        <f t="array" ref="K36">INDEX(FX_Input,$R36,$Y36*K$5+$Z36)</f>
        <v>Select Pet Stock</v>
      </c>
      <c r="L36" t="str" cm="1">
        <f t="array" ref="L36">INDEX(FX_Input,$R36,$Y36*L$5+$Z36)</f>
        <v>Select Pet Stock</v>
      </c>
      <c r="M36" t="str" cm="1">
        <f t="array" ref="M36">INDEX(FX_Input,$R36,$Y36*M$5+$Z36)</f>
        <v>Select Pet Stock</v>
      </c>
      <c r="N36" t="str" cm="1">
        <f t="array" ref="N36">INDEX(FX_Input,$R36,$Y36*N$5+$Z36)</f>
        <v>Select Pet Stock</v>
      </c>
      <c r="O36" t="str" cm="1">
        <f t="array" ref="O36">INDEX(FX_Input,$R36,$Y36*O$5+$Z36)</f>
        <v>Select Pet Stock</v>
      </c>
      <c r="R36">
        <f>R34</f>
        <v>5</v>
      </c>
      <c r="U36">
        <v>18</v>
      </c>
      <c r="V36">
        <f t="shared" si="64"/>
        <v>23</v>
      </c>
      <c r="W36">
        <v>1</v>
      </c>
      <c r="X36">
        <v>2</v>
      </c>
      <c r="Y36">
        <f t="shared" si="62"/>
        <v>5</v>
      </c>
      <c r="Z36">
        <f t="shared" si="63"/>
        <v>13</v>
      </c>
    </row>
    <row r="37" spans="1:26" x14ac:dyDescent="0.4">
      <c r="C37" t="s">
        <v>531</v>
      </c>
      <c r="D37" cm="1">
        <f t="array" ref="D37">INDEX(FX_Input,$R37,$Y37*D$5+$Z37)</f>
        <v>0</v>
      </c>
      <c r="E37" cm="1">
        <f t="array" ref="E37">INDEX(FX_Input,$R37,$Y37*E$5+$Z37)</f>
        <v>0</v>
      </c>
      <c r="F37" cm="1">
        <f t="array" ref="F37">INDEX(FX_Input,$R37,$Y37*F$5+$Z37)</f>
        <v>0</v>
      </c>
      <c r="G37" cm="1">
        <f t="array" ref="G37">INDEX(FX_Input,$R37,$Y37*G$5+$Z37)</f>
        <v>0</v>
      </c>
      <c r="H37" cm="1">
        <f t="array" ref="H37">INDEX(FX_Input,$R37,$Y37*H$5+$Z37)</f>
        <v>0</v>
      </c>
      <c r="I37" cm="1">
        <f t="array" ref="I37">INDEX(FX_Input,$R37,$Y37*I$5+$Z37)</f>
        <v>0</v>
      </c>
      <c r="J37" cm="1">
        <f t="array" ref="J37">INDEX(FX_Input,$R37,$Y37*J$5+$Z37)</f>
        <v>0</v>
      </c>
      <c r="K37" cm="1">
        <f t="array" ref="K37">INDEX(FX_Input,$R37,$Y37*K$5+$Z37)</f>
        <v>0</v>
      </c>
      <c r="L37" cm="1">
        <f t="array" ref="L37">INDEX(FX_Input,$R37,$Y37*L$5+$Z37)</f>
        <v>0</v>
      </c>
      <c r="M37" cm="1">
        <f t="array" ref="M37">INDEX(FX_Input,$R37,$Y37*M$5+$Z37)</f>
        <v>0</v>
      </c>
      <c r="N37" cm="1">
        <f t="array" ref="N37">INDEX(FX_Input,$R37,$Y37*N$5+$Z37)</f>
        <v>0</v>
      </c>
      <c r="O37" cm="1">
        <f t="array" ref="O37">INDEX(FX_Input,$R37,$Y37*O$5+$Z37)</f>
        <v>0</v>
      </c>
      <c r="R37">
        <f>R35</f>
        <v>6</v>
      </c>
      <c r="U37">
        <f>U36</f>
        <v>18</v>
      </c>
      <c r="V37">
        <f t="shared" si="64"/>
        <v>23</v>
      </c>
      <c r="W37">
        <v>1</v>
      </c>
      <c r="X37">
        <v>2</v>
      </c>
      <c r="Y37">
        <f t="shared" si="62"/>
        <v>5</v>
      </c>
      <c r="Z37">
        <f t="shared" si="63"/>
        <v>13</v>
      </c>
    </row>
    <row r="38" spans="1:26" x14ac:dyDescent="0.4">
      <c r="C38" t="s">
        <v>546</v>
      </c>
      <c r="D38" cm="1">
        <f t="array" ref="D38">INDEX(FX_Input,$R38,$Y38*D$5+$Z38)</f>
        <v>1</v>
      </c>
      <c r="E38" cm="1">
        <f t="array" ref="E38">INDEX(FX_Input,$R38,$Y38*E$5+$Z38)</f>
        <v>1</v>
      </c>
      <c r="F38" cm="1">
        <f t="array" ref="F38">INDEX(FX_Input,$R38,$Y38*F$5+$Z38)</f>
        <v>1</v>
      </c>
      <c r="G38" cm="1">
        <f t="array" ref="G38">INDEX(FX_Input,$R38,$Y38*G$5+$Z38)</f>
        <v>1</v>
      </c>
      <c r="H38" cm="1">
        <f t="array" ref="H38">INDEX(FX_Input,$R38,$Y38*H$5+$Z38)</f>
        <v>1</v>
      </c>
      <c r="I38" cm="1">
        <f t="array" ref="I38">INDEX(FX_Input,$R38,$Y38*I$5+$Z38)</f>
        <v>1</v>
      </c>
      <c r="J38" cm="1">
        <f t="array" ref="J38">INDEX(FX_Input,$R38,$Y38*J$5+$Z38)</f>
        <v>1</v>
      </c>
      <c r="K38" cm="1">
        <f t="array" ref="K38">INDEX(FX_Input,$R38,$Y38*K$5+$Z38)</f>
        <v>1</v>
      </c>
      <c r="L38" cm="1">
        <f t="array" ref="L38">INDEX(FX_Input,$R38,$Y38*L$5+$Z38)</f>
        <v>1</v>
      </c>
      <c r="M38" cm="1">
        <f t="array" ref="M38">INDEX(FX_Input,$R38,$Y38*M$5+$Z38)</f>
        <v>1</v>
      </c>
      <c r="N38" cm="1">
        <f t="array" ref="N38">INDEX(FX_Input,$R38,$Y38*N$5+$Z38)</f>
        <v>1</v>
      </c>
      <c r="O38" cm="1">
        <f t="array" ref="O38">INDEX(FX_Input,$R38,$Y38*O$5+$Z38)</f>
        <v>1</v>
      </c>
      <c r="R38">
        <f>R36</f>
        <v>5</v>
      </c>
      <c r="U38">
        <v>21</v>
      </c>
      <c r="V38">
        <f t="shared" si="64"/>
        <v>26</v>
      </c>
      <c r="W38">
        <v>1</v>
      </c>
      <c r="X38">
        <v>2</v>
      </c>
      <c r="Y38">
        <f t="shared" si="62"/>
        <v>5</v>
      </c>
      <c r="Z38">
        <f t="shared" si="63"/>
        <v>16</v>
      </c>
    </row>
    <row r="39" spans="1:26" x14ac:dyDescent="0.4">
      <c r="C39" t="s">
        <v>547</v>
      </c>
      <c r="D39" cm="1">
        <f t="array" ref="D39">INDEX(FX_Input,$R39,$Y39*D$5+$Z39)</f>
        <v>0</v>
      </c>
      <c r="E39" cm="1">
        <f t="array" ref="E39">INDEX(FX_Input,$R39,$Y39*E$5+$Z39)</f>
        <v>0</v>
      </c>
      <c r="F39" cm="1">
        <f t="array" ref="F39">INDEX(FX_Input,$R39,$Y39*F$5+$Z39)</f>
        <v>0</v>
      </c>
      <c r="G39" cm="1">
        <f t="array" ref="G39">INDEX(FX_Input,$R39,$Y39*G$5+$Z39)</f>
        <v>0</v>
      </c>
      <c r="H39" cm="1">
        <f t="array" ref="H39">INDEX(FX_Input,$R39,$Y39*H$5+$Z39)</f>
        <v>0</v>
      </c>
      <c r="I39" cm="1">
        <f t="array" ref="I39">INDEX(FX_Input,$R39,$Y39*I$5+$Z39)</f>
        <v>0</v>
      </c>
      <c r="J39" cm="1">
        <f t="array" ref="J39">INDEX(FX_Input,$R39,$Y39*J$5+$Z39)</f>
        <v>0</v>
      </c>
      <c r="K39" cm="1">
        <f t="array" ref="K39">INDEX(FX_Input,$R39,$Y39*K$5+$Z39)</f>
        <v>0</v>
      </c>
      <c r="L39" cm="1">
        <f t="array" ref="L39">INDEX(FX_Input,$R39,$Y39*L$5+$Z39)</f>
        <v>0</v>
      </c>
      <c r="M39" cm="1">
        <f t="array" ref="M39">INDEX(FX_Input,$R39,$Y39*M$5+$Z39)</f>
        <v>0</v>
      </c>
      <c r="N39" cm="1">
        <f t="array" ref="N39">INDEX(FX_Input,$R39,$Y39*N$5+$Z39)</f>
        <v>0</v>
      </c>
      <c r="O39" cm="1">
        <f t="array" ref="O39">INDEX(FX_Input,$R39,$Y39*O$5+$Z39)</f>
        <v>0</v>
      </c>
      <c r="R39">
        <f>R37</f>
        <v>6</v>
      </c>
      <c r="U39">
        <f>U38</f>
        <v>21</v>
      </c>
      <c r="V39">
        <f t="shared" si="64"/>
        <v>26</v>
      </c>
      <c r="W39">
        <v>1</v>
      </c>
      <c r="X39">
        <v>2</v>
      </c>
      <c r="Y39">
        <f t="shared" si="62"/>
        <v>5</v>
      </c>
      <c r="Z39">
        <f t="shared" si="63"/>
        <v>16</v>
      </c>
    </row>
    <row r="40" spans="1:26" x14ac:dyDescent="0.4">
      <c r="C40" t="s">
        <v>532</v>
      </c>
      <c r="D40">
        <f t="shared" ref="D40:O40" si="65">IFERROR(VLOOKUP(D34,Phys_Prop,2,FALSE),0)</f>
        <v>162</v>
      </c>
      <c r="E40">
        <f t="shared" si="65"/>
        <v>162</v>
      </c>
      <c r="F40">
        <f t="shared" si="65"/>
        <v>162</v>
      </c>
      <c r="G40">
        <f t="shared" si="65"/>
        <v>162</v>
      </c>
      <c r="H40">
        <f t="shared" si="65"/>
        <v>162</v>
      </c>
      <c r="I40">
        <f t="shared" si="65"/>
        <v>162</v>
      </c>
      <c r="J40">
        <f t="shared" si="65"/>
        <v>162</v>
      </c>
      <c r="K40">
        <f t="shared" si="65"/>
        <v>162</v>
      </c>
      <c r="L40">
        <f t="shared" si="65"/>
        <v>162</v>
      </c>
      <c r="M40">
        <f t="shared" si="65"/>
        <v>162</v>
      </c>
      <c r="N40">
        <f t="shared" si="65"/>
        <v>162</v>
      </c>
      <c r="O40">
        <f t="shared" si="65"/>
        <v>162</v>
      </c>
    </row>
    <row r="41" spans="1:26" x14ac:dyDescent="0.4">
      <c r="C41" t="s">
        <v>533</v>
      </c>
      <c r="D41">
        <f t="shared" ref="D41:O41" si="66">IFERROR(VLOOKUP(D35,Phys_Prop,2,FALSE),0)</f>
        <v>0</v>
      </c>
      <c r="E41">
        <f t="shared" si="66"/>
        <v>0</v>
      </c>
      <c r="F41">
        <f t="shared" si="66"/>
        <v>0</v>
      </c>
      <c r="G41">
        <f t="shared" si="66"/>
        <v>0</v>
      </c>
      <c r="H41">
        <f t="shared" si="66"/>
        <v>0</v>
      </c>
      <c r="I41">
        <f t="shared" si="66"/>
        <v>0</v>
      </c>
      <c r="J41">
        <f t="shared" si="66"/>
        <v>0</v>
      </c>
      <c r="K41">
        <f t="shared" si="66"/>
        <v>0</v>
      </c>
      <c r="L41">
        <f t="shared" si="66"/>
        <v>0</v>
      </c>
      <c r="M41">
        <f t="shared" si="66"/>
        <v>0</v>
      </c>
      <c r="N41">
        <f t="shared" si="66"/>
        <v>0</v>
      </c>
      <c r="O41">
        <f t="shared" si="66"/>
        <v>0</v>
      </c>
    </row>
    <row r="42" spans="1:26" x14ac:dyDescent="0.4">
      <c r="C42" t="s">
        <v>544</v>
      </c>
      <c r="D42">
        <f>IFERROR(IFERROR(D40/D38+D41/D39,D40/D38),0)</f>
        <v>162</v>
      </c>
      <c r="E42">
        <f t="shared" ref="E42" si="67">IFERROR(IFERROR(E40/E38+E41/E39,E40/E38),0)</f>
        <v>162</v>
      </c>
      <c r="F42">
        <f t="shared" ref="F42" si="68">IFERROR(IFERROR(F40/F38+F41/F39,F40/F38),0)</f>
        <v>162</v>
      </c>
      <c r="G42">
        <f t="shared" ref="G42" si="69">IFERROR(IFERROR(G40/G38+G41/G39,G40/G38),0)</f>
        <v>162</v>
      </c>
      <c r="H42">
        <f t="shared" ref="H42" si="70">IFERROR(IFERROR(H40/H38+H41/H39,H40/H38),0)</f>
        <v>162</v>
      </c>
      <c r="I42">
        <f t="shared" ref="I42" si="71">IFERROR(IFERROR(I40/I38+I41/I39,I40/I38),0)</f>
        <v>162</v>
      </c>
      <c r="J42">
        <f t="shared" ref="J42" si="72">IFERROR(IFERROR(J40/J38+J41/J39,J40/J38),0)</f>
        <v>162</v>
      </c>
      <c r="K42">
        <f t="shared" ref="K42" si="73">IFERROR(IFERROR(K40/K38+K41/K39,K40/K38),0)</f>
        <v>162</v>
      </c>
      <c r="L42">
        <f t="shared" ref="L42" si="74">IFERROR(IFERROR(L40/L38+L41/L39,L40/L38),0)</f>
        <v>162</v>
      </c>
      <c r="M42">
        <f t="shared" ref="M42" si="75">IFERROR(IFERROR(M40/M38+M41/M39,M40/M38),0)</f>
        <v>162</v>
      </c>
      <c r="N42">
        <f t="shared" ref="N42" si="76">IFERROR(IFERROR(N40/N38+N41/N39,N40/N38),0)</f>
        <v>162</v>
      </c>
      <c r="O42">
        <f t="shared" ref="O42" si="77">IFERROR(IFERROR(O40/O38+O41/O39,O40/O38),0)</f>
        <v>162</v>
      </c>
    </row>
    <row r="43" spans="1:26" x14ac:dyDescent="0.4">
      <c r="C43" t="s">
        <v>539</v>
      </c>
      <c r="D43">
        <f>IFERROR((D38/D40)*D42,1)</f>
        <v>1</v>
      </c>
      <c r="E43">
        <f t="shared" ref="E43" si="78">IFERROR((E38/E40)*E42,1)</f>
        <v>1</v>
      </c>
      <c r="F43">
        <f t="shared" ref="F43" si="79">IFERROR((F38/F40)*F42,1)</f>
        <v>1</v>
      </c>
      <c r="G43">
        <f t="shared" ref="G43" si="80">IFERROR((G38/G40)*G42,1)</f>
        <v>1</v>
      </c>
      <c r="H43">
        <f t="shared" ref="H43" si="81">IFERROR((H38/H40)*H42,1)</f>
        <v>1</v>
      </c>
      <c r="I43">
        <f t="shared" ref="I43" si="82">IFERROR((I38/I40)*I42,1)</f>
        <v>1</v>
      </c>
      <c r="J43">
        <f t="shared" ref="J43" si="83">IFERROR((J38/J40)*J42,1)</f>
        <v>1</v>
      </c>
      <c r="K43">
        <f t="shared" ref="K43" si="84">IFERROR((K38/K40)*K42,1)</f>
        <v>1</v>
      </c>
      <c r="L43">
        <f t="shared" ref="L43" si="85">IFERROR((L38/L40)*L42,1)</f>
        <v>1</v>
      </c>
      <c r="M43">
        <f t="shared" ref="M43" si="86">IFERROR((M38/M40)*M42,1)</f>
        <v>1</v>
      </c>
      <c r="N43">
        <f t="shared" ref="N43" si="87">IFERROR((N38/N40)*N42,1)</f>
        <v>1</v>
      </c>
      <c r="O43">
        <f t="shared" ref="O43" si="88">IFERROR((O38/O40)*O42,1)</f>
        <v>1</v>
      </c>
    </row>
    <row r="44" spans="1:26" x14ac:dyDescent="0.4">
      <c r="C44" t="s">
        <v>540</v>
      </c>
      <c r="D44">
        <f>IFERROR((D39/D41)*D42,0)</f>
        <v>0</v>
      </c>
      <c r="E44">
        <f t="shared" ref="E44:O44" si="89">IFERROR((E39/E41)*E42,0)</f>
        <v>0</v>
      </c>
      <c r="F44">
        <f t="shared" si="89"/>
        <v>0</v>
      </c>
      <c r="G44">
        <f t="shared" si="89"/>
        <v>0</v>
      </c>
      <c r="H44">
        <f t="shared" si="89"/>
        <v>0</v>
      </c>
      <c r="I44">
        <f t="shared" si="89"/>
        <v>0</v>
      </c>
      <c r="J44">
        <f t="shared" si="89"/>
        <v>0</v>
      </c>
      <c r="K44">
        <f t="shared" si="89"/>
        <v>0</v>
      </c>
      <c r="L44">
        <f t="shared" si="89"/>
        <v>0</v>
      </c>
      <c r="M44">
        <f t="shared" si="89"/>
        <v>0</v>
      </c>
      <c r="N44">
        <f t="shared" si="89"/>
        <v>0</v>
      </c>
      <c r="O44">
        <f t="shared" si="89"/>
        <v>0</v>
      </c>
    </row>
    <row r="45" spans="1:26" x14ac:dyDescent="0.4">
      <c r="C45" s="21" t="s">
        <v>534</v>
      </c>
      <c r="D45">
        <f t="shared" ref="D45:O45" si="90">IFERROR(VLOOKUP(D34,Phys_Prop,4,FALSE),0)</f>
        <v>7</v>
      </c>
      <c r="E45">
        <f t="shared" si="90"/>
        <v>7</v>
      </c>
      <c r="F45">
        <f t="shared" si="90"/>
        <v>7</v>
      </c>
      <c r="G45">
        <f t="shared" si="90"/>
        <v>7</v>
      </c>
      <c r="H45">
        <f t="shared" si="90"/>
        <v>7</v>
      </c>
      <c r="I45">
        <f t="shared" si="90"/>
        <v>7</v>
      </c>
      <c r="J45">
        <f t="shared" si="90"/>
        <v>7</v>
      </c>
      <c r="K45">
        <f t="shared" si="90"/>
        <v>7</v>
      </c>
      <c r="L45">
        <f t="shared" si="90"/>
        <v>7</v>
      </c>
      <c r="M45">
        <f t="shared" si="90"/>
        <v>7</v>
      </c>
      <c r="N45">
        <f t="shared" si="90"/>
        <v>7</v>
      </c>
      <c r="O45">
        <f t="shared" si="90"/>
        <v>7</v>
      </c>
    </row>
    <row r="46" spans="1:26" x14ac:dyDescent="0.4">
      <c r="C46" s="21" t="s">
        <v>535</v>
      </c>
      <c r="D46">
        <f t="shared" ref="D46:O46" si="91">IFERROR(VLOOKUP(D35,Phys_Prop,4,FALSE),0)</f>
        <v>0</v>
      </c>
      <c r="E46">
        <f t="shared" si="91"/>
        <v>0</v>
      </c>
      <c r="F46">
        <f t="shared" si="91"/>
        <v>0</v>
      </c>
      <c r="G46">
        <f t="shared" si="91"/>
        <v>0</v>
      </c>
      <c r="H46">
        <f t="shared" si="91"/>
        <v>0</v>
      </c>
      <c r="I46">
        <f t="shared" si="91"/>
        <v>0</v>
      </c>
      <c r="J46">
        <f t="shared" si="91"/>
        <v>0</v>
      </c>
      <c r="K46">
        <f t="shared" si="91"/>
        <v>0</v>
      </c>
      <c r="L46">
        <f t="shared" si="91"/>
        <v>0</v>
      </c>
      <c r="M46">
        <f t="shared" si="91"/>
        <v>0</v>
      </c>
      <c r="N46">
        <f t="shared" si="91"/>
        <v>0</v>
      </c>
      <c r="O46">
        <f t="shared" si="91"/>
        <v>0</v>
      </c>
    </row>
    <row r="47" spans="1:26" x14ac:dyDescent="0.4">
      <c r="A47" s="11"/>
      <c r="B47" s="11"/>
      <c r="C47" s="62" t="s">
        <v>536</v>
      </c>
      <c r="D47" s="11">
        <f>IFERROR(1/(D43/D45+D44/D46),D45)</f>
        <v>7</v>
      </c>
      <c r="E47" s="11">
        <f t="shared" ref="E47:O47" si="92">IFERROR(1/(E43/E45+E44/E46),E45)</f>
        <v>7</v>
      </c>
      <c r="F47" s="11">
        <f t="shared" si="92"/>
        <v>7</v>
      </c>
      <c r="G47" s="11">
        <f t="shared" si="92"/>
        <v>7</v>
      </c>
      <c r="H47" s="11">
        <f t="shared" si="92"/>
        <v>7</v>
      </c>
      <c r="I47" s="11">
        <f t="shared" si="92"/>
        <v>7</v>
      </c>
      <c r="J47" s="11">
        <f t="shared" si="92"/>
        <v>7</v>
      </c>
      <c r="K47" s="11">
        <f t="shared" si="92"/>
        <v>7</v>
      </c>
      <c r="L47" s="11">
        <f t="shared" si="92"/>
        <v>7</v>
      </c>
      <c r="M47" s="11">
        <f t="shared" si="92"/>
        <v>7</v>
      </c>
      <c r="N47" s="11">
        <f t="shared" si="92"/>
        <v>7</v>
      </c>
      <c r="O47" s="11">
        <f t="shared" si="92"/>
        <v>7</v>
      </c>
      <c r="P47" s="11"/>
      <c r="Q47" s="11"/>
      <c r="R47" s="11"/>
      <c r="S47" s="11"/>
      <c r="T47" s="11"/>
      <c r="U47" s="11"/>
      <c r="V47" s="11"/>
      <c r="W47" s="11"/>
      <c r="X47" s="11"/>
      <c r="Y47" s="11"/>
      <c r="Z47" s="11"/>
    </row>
    <row r="48" spans="1:26" x14ac:dyDescent="0.4">
      <c r="A48" t="str" cm="1">
        <f t="array" ref="A48">INDEX(FX_Input,R48,S48)</f>
        <v>FX - 4</v>
      </c>
      <c r="B48" t="str" cm="1">
        <f t="array" ref="B48">INDEX(FX_Input,R48,T48)</f>
        <v>Portland</v>
      </c>
      <c r="C48" t="s">
        <v>528</v>
      </c>
      <c r="D48" t="str" cm="1">
        <f t="array" ref="D48">INDEX(FX_Input,$R48,$Y48*D$5+$Z48)</f>
        <v>Jet kerosene</v>
      </c>
      <c r="E48" t="str" cm="1">
        <f t="array" ref="E48">INDEX(FX_Input,$R48,$Y48*E$5+$Z48)</f>
        <v>Jet kerosene</v>
      </c>
      <c r="F48" t="str" cm="1">
        <f t="array" ref="F48">INDEX(FX_Input,$R48,$Y48*F$5+$Z48)</f>
        <v>Jet kerosene</v>
      </c>
      <c r="G48" t="str" cm="1">
        <f t="array" ref="G48">INDEX(FX_Input,$R48,$Y48*G$5+$Z48)</f>
        <v>Jet kerosene</v>
      </c>
      <c r="H48" t="str" cm="1">
        <f t="array" ref="H48">INDEX(FX_Input,$R48,$Y48*H$5+$Z48)</f>
        <v>Jet kerosene</v>
      </c>
      <c r="I48" t="str" cm="1">
        <f t="array" ref="I48">INDEX(FX_Input,$R48,$Y48*I$5+$Z48)</f>
        <v>Jet kerosene</v>
      </c>
      <c r="J48" t="str" cm="1">
        <f t="array" ref="J48">INDEX(FX_Input,$R48,$Y48*J$5+$Z48)</f>
        <v>Jet kerosene</v>
      </c>
      <c r="K48" t="str" cm="1">
        <f t="array" ref="K48">INDEX(FX_Input,$R48,$Y48*K$5+$Z48)</f>
        <v>Jet kerosene</v>
      </c>
      <c r="L48" t="str" cm="1">
        <f t="array" ref="L48">INDEX(FX_Input,$R48,$Y48*L$5+$Z48)</f>
        <v>Jet kerosene</v>
      </c>
      <c r="M48" t="str" cm="1">
        <f t="array" ref="M48">INDEX(FX_Input,$R48,$Y48*M$5+$Z48)</f>
        <v>Jet kerosene</v>
      </c>
      <c r="N48" t="str" cm="1">
        <f t="array" ref="N48">INDEX(FX_Input,$R48,$Y48*N$5+$Z48)</f>
        <v>Jet kerosene</v>
      </c>
      <c r="O48" t="str" cm="1">
        <f t="array" ref="O48">INDEX(FX_Input,$R48,$Y48*O$5+$Z48)</f>
        <v>Jet kerosene</v>
      </c>
      <c r="R48">
        <f>R34+2</f>
        <v>7</v>
      </c>
      <c r="S48">
        <v>1</v>
      </c>
      <c r="T48">
        <v>3</v>
      </c>
      <c r="U48">
        <v>17</v>
      </c>
      <c r="V48">
        <f>U48+5</f>
        <v>22</v>
      </c>
      <c r="W48">
        <v>1</v>
      </c>
      <c r="X48">
        <v>2</v>
      </c>
      <c r="Y48">
        <f t="shared" ref="Y48:Y53" si="93">(V48-U48)/(X48-W48)</f>
        <v>5</v>
      </c>
      <c r="Z48">
        <f t="shared" ref="Z48:Z53" si="94">U48-Y48*W48</f>
        <v>12</v>
      </c>
    </row>
    <row r="49" spans="1:26" x14ac:dyDescent="0.4">
      <c r="C49" t="s">
        <v>529</v>
      </c>
      <c r="D49" cm="1">
        <f t="array" ref="D49">INDEX(FX_Input,$R49,$Y49*D$5+$Z49)</f>
        <v>0</v>
      </c>
      <c r="E49" cm="1">
        <f t="array" ref="E49">INDEX(FX_Input,$R49,$Y49*E$5+$Z49)</f>
        <v>0</v>
      </c>
      <c r="F49" cm="1">
        <f t="array" ref="F49">INDEX(FX_Input,$R49,$Y49*F$5+$Z49)</f>
        <v>0</v>
      </c>
      <c r="G49" cm="1">
        <f t="array" ref="G49">INDEX(FX_Input,$R49,$Y49*G$5+$Z49)</f>
        <v>0</v>
      </c>
      <c r="H49" cm="1">
        <f t="array" ref="H49">INDEX(FX_Input,$R49,$Y49*H$5+$Z49)</f>
        <v>0</v>
      </c>
      <c r="I49" cm="1">
        <f t="array" ref="I49">INDEX(FX_Input,$R49,$Y49*I$5+$Z49)</f>
        <v>0</v>
      </c>
      <c r="J49" cm="1">
        <f t="array" ref="J49">INDEX(FX_Input,$R49,$Y49*J$5+$Z49)</f>
        <v>0</v>
      </c>
      <c r="K49" cm="1">
        <f t="array" ref="K49">INDEX(FX_Input,$R49,$Y49*K$5+$Z49)</f>
        <v>0</v>
      </c>
      <c r="L49" cm="1">
        <f t="array" ref="L49">INDEX(FX_Input,$R49,$Y49*L$5+$Z49)</f>
        <v>0</v>
      </c>
      <c r="M49" cm="1">
        <f t="array" ref="M49">INDEX(FX_Input,$R49,$Y49*M$5+$Z49)</f>
        <v>0</v>
      </c>
      <c r="N49" cm="1">
        <f t="array" ref="N49">INDEX(FX_Input,$R49,$Y49*N$5+$Z49)</f>
        <v>0</v>
      </c>
      <c r="O49" cm="1">
        <f t="array" ref="O49">INDEX(FX_Input,$R49,$Y49*O$5+$Z49)</f>
        <v>0</v>
      </c>
      <c r="R49">
        <f>R48+1</f>
        <v>8</v>
      </c>
      <c r="U49">
        <f>U48</f>
        <v>17</v>
      </c>
      <c r="V49">
        <f t="shared" ref="V49:V53" si="95">U49+5</f>
        <v>22</v>
      </c>
      <c r="W49">
        <v>1</v>
      </c>
      <c r="X49">
        <v>2</v>
      </c>
      <c r="Y49">
        <f t="shared" si="93"/>
        <v>5</v>
      </c>
      <c r="Z49">
        <f t="shared" si="94"/>
        <v>12</v>
      </c>
    </row>
    <row r="50" spans="1:26" x14ac:dyDescent="0.4">
      <c r="C50" t="s">
        <v>530</v>
      </c>
      <c r="D50" t="str" cm="1">
        <f t="array" ref="D50">INDEX(FX_Input,$R50,$Y50*D$5+$Z50)</f>
        <v>Select Pet Stock</v>
      </c>
      <c r="E50" t="str" cm="1">
        <f t="array" ref="E50">INDEX(FX_Input,$R50,$Y50*E$5+$Z50)</f>
        <v>Select Pet Stock</v>
      </c>
      <c r="F50" t="str" cm="1">
        <f t="array" ref="F50">INDEX(FX_Input,$R50,$Y50*F$5+$Z50)</f>
        <v>Select Pet Stock</v>
      </c>
      <c r="G50" t="str" cm="1">
        <f t="array" ref="G50">INDEX(FX_Input,$R50,$Y50*G$5+$Z50)</f>
        <v>Select Pet Stock</v>
      </c>
      <c r="H50" t="str" cm="1">
        <f t="array" ref="H50">INDEX(FX_Input,$R50,$Y50*H$5+$Z50)</f>
        <v>Select Pet Stock</v>
      </c>
      <c r="I50" t="str" cm="1">
        <f t="array" ref="I50">INDEX(FX_Input,$R50,$Y50*I$5+$Z50)</f>
        <v>Select Pet Stock</v>
      </c>
      <c r="J50" t="str" cm="1">
        <f t="array" ref="J50">INDEX(FX_Input,$R50,$Y50*J$5+$Z50)</f>
        <v>Select Pet Stock</v>
      </c>
      <c r="K50" t="str" cm="1">
        <f t="array" ref="K50">INDEX(FX_Input,$R50,$Y50*K$5+$Z50)</f>
        <v>Select Pet Stock</v>
      </c>
      <c r="L50" t="str" cm="1">
        <f t="array" ref="L50">INDEX(FX_Input,$R50,$Y50*L$5+$Z50)</f>
        <v>Select Pet Stock</v>
      </c>
      <c r="M50" t="str" cm="1">
        <f t="array" ref="M50">INDEX(FX_Input,$R50,$Y50*M$5+$Z50)</f>
        <v>Select Pet Stock</v>
      </c>
      <c r="N50" t="str" cm="1">
        <f t="array" ref="N50">INDEX(FX_Input,$R50,$Y50*N$5+$Z50)</f>
        <v>Select Pet Stock</v>
      </c>
      <c r="O50" t="str" cm="1">
        <f t="array" ref="O50">INDEX(FX_Input,$R50,$Y50*O$5+$Z50)</f>
        <v>Select Pet Stock</v>
      </c>
      <c r="R50">
        <f>R48</f>
        <v>7</v>
      </c>
      <c r="U50">
        <v>18</v>
      </c>
      <c r="V50">
        <f t="shared" si="95"/>
        <v>23</v>
      </c>
      <c r="W50">
        <v>1</v>
      </c>
      <c r="X50">
        <v>2</v>
      </c>
      <c r="Y50">
        <f t="shared" si="93"/>
        <v>5</v>
      </c>
      <c r="Z50">
        <f t="shared" si="94"/>
        <v>13</v>
      </c>
    </row>
    <row r="51" spans="1:26" x14ac:dyDescent="0.4">
      <c r="C51" t="s">
        <v>531</v>
      </c>
      <c r="D51" cm="1">
        <f t="array" ref="D51">INDEX(FX_Input,$R51,$Y51*D$5+$Z51)</f>
        <v>0</v>
      </c>
      <c r="E51" cm="1">
        <f t="array" ref="E51">INDEX(FX_Input,$R51,$Y51*E$5+$Z51)</f>
        <v>0</v>
      </c>
      <c r="F51" cm="1">
        <f t="array" ref="F51">INDEX(FX_Input,$R51,$Y51*F$5+$Z51)</f>
        <v>0</v>
      </c>
      <c r="G51" cm="1">
        <f t="array" ref="G51">INDEX(FX_Input,$R51,$Y51*G$5+$Z51)</f>
        <v>0</v>
      </c>
      <c r="H51" cm="1">
        <f t="array" ref="H51">INDEX(FX_Input,$R51,$Y51*H$5+$Z51)</f>
        <v>0</v>
      </c>
      <c r="I51" cm="1">
        <f t="array" ref="I51">INDEX(FX_Input,$R51,$Y51*I$5+$Z51)</f>
        <v>0</v>
      </c>
      <c r="J51" cm="1">
        <f t="array" ref="J51">INDEX(FX_Input,$R51,$Y51*J$5+$Z51)</f>
        <v>0</v>
      </c>
      <c r="K51" cm="1">
        <f t="array" ref="K51">INDEX(FX_Input,$R51,$Y51*K$5+$Z51)</f>
        <v>0</v>
      </c>
      <c r="L51" cm="1">
        <f t="array" ref="L51">INDEX(FX_Input,$R51,$Y51*L$5+$Z51)</f>
        <v>0</v>
      </c>
      <c r="M51" cm="1">
        <f t="array" ref="M51">INDEX(FX_Input,$R51,$Y51*M$5+$Z51)</f>
        <v>0</v>
      </c>
      <c r="N51" cm="1">
        <f t="array" ref="N51">INDEX(FX_Input,$R51,$Y51*N$5+$Z51)</f>
        <v>0</v>
      </c>
      <c r="O51" cm="1">
        <f t="array" ref="O51">INDEX(FX_Input,$R51,$Y51*O$5+$Z51)</f>
        <v>0</v>
      </c>
      <c r="R51">
        <f>R49</f>
        <v>8</v>
      </c>
      <c r="U51">
        <f>U50</f>
        <v>18</v>
      </c>
      <c r="V51">
        <f t="shared" si="95"/>
        <v>23</v>
      </c>
      <c r="W51">
        <v>1</v>
      </c>
      <c r="X51">
        <v>2</v>
      </c>
      <c r="Y51">
        <f t="shared" si="93"/>
        <v>5</v>
      </c>
      <c r="Z51">
        <f t="shared" si="94"/>
        <v>13</v>
      </c>
    </row>
    <row r="52" spans="1:26" x14ac:dyDescent="0.4">
      <c r="C52" t="s">
        <v>546</v>
      </c>
      <c r="D52" cm="1">
        <f t="array" ref="D52">INDEX(FX_Input,$R52,$Y52*D$5+$Z52)</f>
        <v>1</v>
      </c>
      <c r="E52" cm="1">
        <f t="array" ref="E52">INDEX(FX_Input,$R52,$Y52*E$5+$Z52)</f>
        <v>1</v>
      </c>
      <c r="F52" cm="1">
        <f t="array" ref="F52">INDEX(FX_Input,$R52,$Y52*F$5+$Z52)</f>
        <v>1</v>
      </c>
      <c r="G52" cm="1">
        <f t="array" ref="G52">INDEX(FX_Input,$R52,$Y52*G$5+$Z52)</f>
        <v>1</v>
      </c>
      <c r="H52" cm="1">
        <f t="array" ref="H52">INDEX(FX_Input,$R52,$Y52*H$5+$Z52)</f>
        <v>1</v>
      </c>
      <c r="I52" cm="1">
        <f t="array" ref="I52">INDEX(FX_Input,$R52,$Y52*I$5+$Z52)</f>
        <v>1</v>
      </c>
      <c r="J52" cm="1">
        <f t="array" ref="J52">INDEX(FX_Input,$R52,$Y52*J$5+$Z52)</f>
        <v>1</v>
      </c>
      <c r="K52" cm="1">
        <f t="array" ref="K52">INDEX(FX_Input,$R52,$Y52*K$5+$Z52)</f>
        <v>1</v>
      </c>
      <c r="L52" cm="1">
        <f t="array" ref="L52">INDEX(FX_Input,$R52,$Y52*L$5+$Z52)</f>
        <v>1</v>
      </c>
      <c r="M52" cm="1">
        <f t="array" ref="M52">INDEX(FX_Input,$R52,$Y52*M$5+$Z52)</f>
        <v>1</v>
      </c>
      <c r="N52" cm="1">
        <f t="array" ref="N52">INDEX(FX_Input,$R52,$Y52*N$5+$Z52)</f>
        <v>1</v>
      </c>
      <c r="O52" cm="1">
        <f t="array" ref="O52">INDEX(FX_Input,$R52,$Y52*O$5+$Z52)</f>
        <v>1</v>
      </c>
      <c r="R52">
        <f>R50</f>
        <v>7</v>
      </c>
      <c r="U52">
        <v>21</v>
      </c>
      <c r="V52">
        <f t="shared" si="95"/>
        <v>26</v>
      </c>
      <c r="W52">
        <v>1</v>
      </c>
      <c r="X52">
        <v>2</v>
      </c>
      <c r="Y52">
        <f t="shared" si="93"/>
        <v>5</v>
      </c>
      <c r="Z52">
        <f t="shared" si="94"/>
        <v>16</v>
      </c>
    </row>
    <row r="53" spans="1:26" x14ac:dyDescent="0.4">
      <c r="C53" t="s">
        <v>547</v>
      </c>
      <c r="D53" cm="1">
        <f t="array" ref="D53">INDEX(FX_Input,$R53,$Y53*D$5+$Z53)</f>
        <v>0</v>
      </c>
      <c r="E53" cm="1">
        <f t="array" ref="E53">INDEX(FX_Input,$R53,$Y53*E$5+$Z53)</f>
        <v>0</v>
      </c>
      <c r="F53" cm="1">
        <f t="array" ref="F53">INDEX(FX_Input,$R53,$Y53*F$5+$Z53)</f>
        <v>0</v>
      </c>
      <c r="G53" cm="1">
        <f t="array" ref="G53">INDEX(FX_Input,$R53,$Y53*G$5+$Z53)</f>
        <v>0</v>
      </c>
      <c r="H53" cm="1">
        <f t="array" ref="H53">INDEX(FX_Input,$R53,$Y53*H$5+$Z53)</f>
        <v>0</v>
      </c>
      <c r="I53" cm="1">
        <f t="array" ref="I53">INDEX(FX_Input,$R53,$Y53*I$5+$Z53)</f>
        <v>0</v>
      </c>
      <c r="J53" cm="1">
        <f t="array" ref="J53">INDEX(FX_Input,$R53,$Y53*J$5+$Z53)</f>
        <v>0</v>
      </c>
      <c r="K53" cm="1">
        <f t="array" ref="K53">INDEX(FX_Input,$R53,$Y53*K$5+$Z53)</f>
        <v>0</v>
      </c>
      <c r="L53" cm="1">
        <f t="array" ref="L53">INDEX(FX_Input,$R53,$Y53*L$5+$Z53)</f>
        <v>0</v>
      </c>
      <c r="M53" cm="1">
        <f t="array" ref="M53">INDEX(FX_Input,$R53,$Y53*M$5+$Z53)</f>
        <v>0</v>
      </c>
      <c r="N53" cm="1">
        <f t="array" ref="N53">INDEX(FX_Input,$R53,$Y53*N$5+$Z53)</f>
        <v>0</v>
      </c>
      <c r="O53" cm="1">
        <f t="array" ref="O53">INDEX(FX_Input,$R53,$Y53*O$5+$Z53)</f>
        <v>0</v>
      </c>
      <c r="R53">
        <f>R51</f>
        <v>8</v>
      </c>
      <c r="U53">
        <f>U52</f>
        <v>21</v>
      </c>
      <c r="V53">
        <f t="shared" si="95"/>
        <v>26</v>
      </c>
      <c r="W53">
        <v>1</v>
      </c>
      <c r="X53">
        <v>2</v>
      </c>
      <c r="Y53">
        <f t="shared" si="93"/>
        <v>5</v>
      </c>
      <c r="Z53">
        <f t="shared" si="94"/>
        <v>16</v>
      </c>
    </row>
    <row r="54" spans="1:26" x14ac:dyDescent="0.4">
      <c r="C54" t="s">
        <v>532</v>
      </c>
      <c r="D54">
        <f t="shared" ref="D54:O54" si="96">IFERROR(VLOOKUP(D48,Phys_Prop,2,FALSE),0)</f>
        <v>162</v>
      </c>
      <c r="E54">
        <f t="shared" si="96"/>
        <v>162</v>
      </c>
      <c r="F54">
        <f t="shared" si="96"/>
        <v>162</v>
      </c>
      <c r="G54">
        <f t="shared" si="96"/>
        <v>162</v>
      </c>
      <c r="H54">
        <f t="shared" si="96"/>
        <v>162</v>
      </c>
      <c r="I54">
        <f t="shared" si="96"/>
        <v>162</v>
      </c>
      <c r="J54">
        <f t="shared" si="96"/>
        <v>162</v>
      </c>
      <c r="K54">
        <f t="shared" si="96"/>
        <v>162</v>
      </c>
      <c r="L54">
        <f t="shared" si="96"/>
        <v>162</v>
      </c>
      <c r="M54">
        <f t="shared" si="96"/>
        <v>162</v>
      </c>
      <c r="N54">
        <f t="shared" si="96"/>
        <v>162</v>
      </c>
      <c r="O54">
        <f t="shared" si="96"/>
        <v>162</v>
      </c>
    </row>
    <row r="55" spans="1:26" x14ac:dyDescent="0.4">
      <c r="C55" t="s">
        <v>533</v>
      </c>
      <c r="D55">
        <f t="shared" ref="D55:O55" si="97">IFERROR(VLOOKUP(D49,Phys_Prop,2,FALSE),0)</f>
        <v>0</v>
      </c>
      <c r="E55">
        <f t="shared" si="97"/>
        <v>0</v>
      </c>
      <c r="F55">
        <f t="shared" si="97"/>
        <v>0</v>
      </c>
      <c r="G55">
        <f t="shared" si="97"/>
        <v>0</v>
      </c>
      <c r="H55">
        <f t="shared" si="97"/>
        <v>0</v>
      </c>
      <c r="I55">
        <f t="shared" si="97"/>
        <v>0</v>
      </c>
      <c r="J55">
        <f t="shared" si="97"/>
        <v>0</v>
      </c>
      <c r="K55">
        <f t="shared" si="97"/>
        <v>0</v>
      </c>
      <c r="L55">
        <f t="shared" si="97"/>
        <v>0</v>
      </c>
      <c r="M55">
        <f t="shared" si="97"/>
        <v>0</v>
      </c>
      <c r="N55">
        <f t="shared" si="97"/>
        <v>0</v>
      </c>
      <c r="O55">
        <f t="shared" si="97"/>
        <v>0</v>
      </c>
    </row>
    <row r="56" spans="1:26" x14ac:dyDescent="0.4">
      <c r="C56" t="s">
        <v>544</v>
      </c>
      <c r="D56">
        <f>IFERROR(IFERROR(D54/D52+D55/D53,D54/D52),0)</f>
        <v>162</v>
      </c>
      <c r="E56">
        <f t="shared" ref="E56" si="98">IFERROR(IFERROR(E54/E52+E55/E53,E54/E52),0)</f>
        <v>162</v>
      </c>
      <c r="F56">
        <f t="shared" ref="F56" si="99">IFERROR(IFERROR(F54/F52+F55/F53,F54/F52),0)</f>
        <v>162</v>
      </c>
      <c r="G56">
        <f t="shared" ref="G56" si="100">IFERROR(IFERROR(G54/G52+G55/G53,G54/G52),0)</f>
        <v>162</v>
      </c>
      <c r="H56">
        <f t="shared" ref="H56" si="101">IFERROR(IFERROR(H54/H52+H55/H53,H54/H52),0)</f>
        <v>162</v>
      </c>
      <c r="I56">
        <f t="shared" ref="I56" si="102">IFERROR(IFERROR(I54/I52+I55/I53,I54/I52),0)</f>
        <v>162</v>
      </c>
      <c r="J56">
        <f t="shared" ref="J56" si="103">IFERROR(IFERROR(J54/J52+J55/J53,J54/J52),0)</f>
        <v>162</v>
      </c>
      <c r="K56">
        <f t="shared" ref="K56" si="104">IFERROR(IFERROR(K54/K52+K55/K53,K54/K52),0)</f>
        <v>162</v>
      </c>
      <c r="L56">
        <f t="shared" ref="L56" si="105">IFERROR(IFERROR(L54/L52+L55/L53,L54/L52),0)</f>
        <v>162</v>
      </c>
      <c r="M56">
        <f t="shared" ref="M56" si="106">IFERROR(IFERROR(M54/M52+M55/M53,M54/M52),0)</f>
        <v>162</v>
      </c>
      <c r="N56">
        <f t="shared" ref="N56" si="107">IFERROR(IFERROR(N54/N52+N55/N53,N54/N52),0)</f>
        <v>162</v>
      </c>
      <c r="O56">
        <f t="shared" ref="O56" si="108">IFERROR(IFERROR(O54/O52+O55/O53,O54/O52),0)</f>
        <v>162</v>
      </c>
    </row>
    <row r="57" spans="1:26" x14ac:dyDescent="0.4">
      <c r="C57" t="s">
        <v>539</v>
      </c>
      <c r="D57">
        <f>IFERROR((D52/D54)*D56,1)</f>
        <v>1</v>
      </c>
      <c r="E57">
        <f t="shared" ref="E57" si="109">IFERROR((E52/E54)*E56,1)</f>
        <v>1</v>
      </c>
      <c r="F57">
        <f t="shared" ref="F57" si="110">IFERROR((F52/F54)*F56,1)</f>
        <v>1</v>
      </c>
      <c r="G57">
        <f t="shared" ref="G57" si="111">IFERROR((G52/G54)*G56,1)</f>
        <v>1</v>
      </c>
      <c r="H57">
        <f t="shared" ref="H57" si="112">IFERROR((H52/H54)*H56,1)</f>
        <v>1</v>
      </c>
      <c r="I57">
        <f t="shared" ref="I57" si="113">IFERROR((I52/I54)*I56,1)</f>
        <v>1</v>
      </c>
      <c r="J57">
        <f t="shared" ref="J57" si="114">IFERROR((J52/J54)*J56,1)</f>
        <v>1</v>
      </c>
      <c r="K57">
        <f t="shared" ref="K57" si="115">IFERROR((K52/K54)*K56,1)</f>
        <v>1</v>
      </c>
      <c r="L57">
        <f t="shared" ref="L57" si="116">IFERROR((L52/L54)*L56,1)</f>
        <v>1</v>
      </c>
      <c r="M57">
        <f t="shared" ref="M57" si="117">IFERROR((M52/M54)*M56,1)</f>
        <v>1</v>
      </c>
      <c r="N57">
        <f t="shared" ref="N57" si="118">IFERROR((N52/N54)*N56,1)</f>
        <v>1</v>
      </c>
      <c r="O57">
        <f t="shared" ref="O57" si="119">IFERROR((O52/O54)*O56,1)</f>
        <v>1</v>
      </c>
    </row>
    <row r="58" spans="1:26" x14ac:dyDescent="0.4">
      <c r="C58" t="s">
        <v>540</v>
      </c>
      <c r="D58">
        <f>IFERROR((D53/D55)*D56,0)</f>
        <v>0</v>
      </c>
      <c r="E58">
        <f t="shared" ref="E58:O58" si="120">IFERROR((E53/E55)*E56,0)</f>
        <v>0</v>
      </c>
      <c r="F58">
        <f t="shared" si="120"/>
        <v>0</v>
      </c>
      <c r="G58">
        <f t="shared" si="120"/>
        <v>0</v>
      </c>
      <c r="H58">
        <f t="shared" si="120"/>
        <v>0</v>
      </c>
      <c r="I58">
        <f t="shared" si="120"/>
        <v>0</v>
      </c>
      <c r="J58">
        <f t="shared" si="120"/>
        <v>0</v>
      </c>
      <c r="K58">
        <f t="shared" si="120"/>
        <v>0</v>
      </c>
      <c r="L58">
        <f t="shared" si="120"/>
        <v>0</v>
      </c>
      <c r="M58">
        <f t="shared" si="120"/>
        <v>0</v>
      </c>
      <c r="N58">
        <f t="shared" si="120"/>
        <v>0</v>
      </c>
      <c r="O58">
        <f t="shared" si="120"/>
        <v>0</v>
      </c>
    </row>
    <row r="59" spans="1:26" x14ac:dyDescent="0.4">
      <c r="C59" s="21" t="s">
        <v>534</v>
      </c>
      <c r="D59">
        <f t="shared" ref="D59:O59" si="121">IFERROR(VLOOKUP(D48,Phys_Prop,4,FALSE),0)</f>
        <v>7</v>
      </c>
      <c r="E59">
        <f t="shared" si="121"/>
        <v>7</v>
      </c>
      <c r="F59">
        <f t="shared" si="121"/>
        <v>7</v>
      </c>
      <c r="G59">
        <f t="shared" si="121"/>
        <v>7</v>
      </c>
      <c r="H59">
        <f t="shared" si="121"/>
        <v>7</v>
      </c>
      <c r="I59">
        <f t="shared" si="121"/>
        <v>7</v>
      </c>
      <c r="J59">
        <f t="shared" si="121"/>
        <v>7</v>
      </c>
      <c r="K59">
        <f t="shared" si="121"/>
        <v>7</v>
      </c>
      <c r="L59">
        <f t="shared" si="121"/>
        <v>7</v>
      </c>
      <c r="M59">
        <f t="shared" si="121"/>
        <v>7</v>
      </c>
      <c r="N59">
        <f t="shared" si="121"/>
        <v>7</v>
      </c>
      <c r="O59">
        <f t="shared" si="121"/>
        <v>7</v>
      </c>
    </row>
    <row r="60" spans="1:26" x14ac:dyDescent="0.4">
      <c r="C60" s="21" t="s">
        <v>535</v>
      </c>
      <c r="D60">
        <f t="shared" ref="D60:O60" si="122">IFERROR(VLOOKUP(D49,Phys_Prop,4,FALSE),0)</f>
        <v>0</v>
      </c>
      <c r="E60">
        <f t="shared" si="122"/>
        <v>0</v>
      </c>
      <c r="F60">
        <f t="shared" si="122"/>
        <v>0</v>
      </c>
      <c r="G60">
        <f t="shared" si="122"/>
        <v>0</v>
      </c>
      <c r="H60">
        <f t="shared" si="122"/>
        <v>0</v>
      </c>
      <c r="I60">
        <f t="shared" si="122"/>
        <v>0</v>
      </c>
      <c r="J60">
        <f t="shared" si="122"/>
        <v>0</v>
      </c>
      <c r="K60">
        <f t="shared" si="122"/>
        <v>0</v>
      </c>
      <c r="L60">
        <f t="shared" si="122"/>
        <v>0</v>
      </c>
      <c r="M60">
        <f t="shared" si="122"/>
        <v>0</v>
      </c>
      <c r="N60">
        <f t="shared" si="122"/>
        <v>0</v>
      </c>
      <c r="O60">
        <f t="shared" si="122"/>
        <v>0</v>
      </c>
    </row>
    <row r="61" spans="1:26" x14ac:dyDescent="0.4">
      <c r="A61" s="11"/>
      <c r="B61" s="11"/>
      <c r="C61" s="62" t="s">
        <v>536</v>
      </c>
      <c r="D61" s="11">
        <f>IFERROR(1/(D57/D59+D58/D60),D59)</f>
        <v>7</v>
      </c>
      <c r="E61" s="11">
        <f t="shared" ref="E61:O61" si="123">IFERROR(1/(E57/E59+E58/E60),E59)</f>
        <v>7</v>
      </c>
      <c r="F61" s="11">
        <f t="shared" si="123"/>
        <v>7</v>
      </c>
      <c r="G61" s="11">
        <f t="shared" si="123"/>
        <v>7</v>
      </c>
      <c r="H61" s="11">
        <f t="shared" si="123"/>
        <v>7</v>
      </c>
      <c r="I61" s="11">
        <f t="shared" si="123"/>
        <v>7</v>
      </c>
      <c r="J61" s="11">
        <f t="shared" si="123"/>
        <v>7</v>
      </c>
      <c r="K61" s="11">
        <f t="shared" si="123"/>
        <v>7</v>
      </c>
      <c r="L61" s="11">
        <f t="shared" si="123"/>
        <v>7</v>
      </c>
      <c r="M61" s="11">
        <f t="shared" si="123"/>
        <v>7</v>
      </c>
      <c r="N61" s="11">
        <f t="shared" si="123"/>
        <v>7</v>
      </c>
      <c r="O61" s="11">
        <f t="shared" si="123"/>
        <v>7</v>
      </c>
      <c r="P61" s="11"/>
      <c r="Q61" s="11"/>
      <c r="R61" s="11"/>
      <c r="S61" s="11"/>
      <c r="T61" s="11"/>
      <c r="U61" s="11"/>
      <c r="V61" s="11"/>
      <c r="W61" s="11"/>
      <c r="X61" s="11"/>
      <c r="Y61" s="11"/>
      <c r="Z61" s="11"/>
    </row>
    <row r="62" spans="1:26" x14ac:dyDescent="0.4">
      <c r="A62" t="str" cm="1">
        <f t="array" ref="A62">INDEX(FX_Input,R62,S62)</f>
        <v>FX - 5</v>
      </c>
      <c r="B62" t="str" cm="1">
        <f t="array" ref="B62">INDEX(FX_Input,R62,T62)</f>
        <v>Portland</v>
      </c>
      <c r="C62" t="s">
        <v>528</v>
      </c>
      <c r="D62" t="str" cm="1">
        <f t="array" ref="D62">INDEX(FX_Input,$R62,$Y62*D$5+$Z62)</f>
        <v>Jet kerosene</v>
      </c>
      <c r="E62" t="str" cm="1">
        <f t="array" ref="E62">INDEX(FX_Input,$R62,$Y62*E$5+$Z62)</f>
        <v>Jet kerosene</v>
      </c>
      <c r="F62" t="str" cm="1">
        <f t="array" ref="F62">INDEX(FX_Input,$R62,$Y62*F$5+$Z62)</f>
        <v>Jet kerosene</v>
      </c>
      <c r="G62" t="str" cm="1">
        <f t="array" ref="G62">INDEX(FX_Input,$R62,$Y62*G$5+$Z62)</f>
        <v>Jet kerosene</v>
      </c>
      <c r="H62" t="str" cm="1">
        <f t="array" ref="H62">INDEX(FX_Input,$R62,$Y62*H$5+$Z62)</f>
        <v>Jet kerosene</v>
      </c>
      <c r="I62" t="str" cm="1">
        <f t="array" ref="I62">INDEX(FX_Input,$R62,$Y62*I$5+$Z62)</f>
        <v>Jet kerosene</v>
      </c>
      <c r="J62" t="str" cm="1">
        <f t="array" ref="J62">INDEX(FX_Input,$R62,$Y62*J$5+$Z62)</f>
        <v>Jet kerosene</v>
      </c>
      <c r="K62" t="str" cm="1">
        <f t="array" ref="K62">INDEX(FX_Input,$R62,$Y62*K$5+$Z62)</f>
        <v>Jet kerosene</v>
      </c>
      <c r="L62" t="str" cm="1">
        <f t="array" ref="L62">INDEX(FX_Input,$R62,$Y62*L$5+$Z62)</f>
        <v>Jet kerosene</v>
      </c>
      <c r="M62" t="str" cm="1">
        <f t="array" ref="M62">INDEX(FX_Input,$R62,$Y62*M$5+$Z62)</f>
        <v>Jet kerosene</v>
      </c>
      <c r="N62" t="str" cm="1">
        <f t="array" ref="N62">INDEX(FX_Input,$R62,$Y62*N$5+$Z62)</f>
        <v>Jet kerosene</v>
      </c>
      <c r="O62" t="str" cm="1">
        <f t="array" ref="O62">INDEX(FX_Input,$R62,$Y62*O$5+$Z62)</f>
        <v>Jet kerosene</v>
      </c>
      <c r="R62">
        <f>R48+2</f>
        <v>9</v>
      </c>
      <c r="S62">
        <v>1</v>
      </c>
      <c r="T62">
        <v>3</v>
      </c>
      <c r="U62">
        <v>17</v>
      </c>
      <c r="V62">
        <f>U62+5</f>
        <v>22</v>
      </c>
      <c r="W62">
        <v>1</v>
      </c>
      <c r="X62">
        <v>2</v>
      </c>
      <c r="Y62">
        <f t="shared" ref="Y62:Y67" si="124">(V62-U62)/(X62-W62)</f>
        <v>5</v>
      </c>
      <c r="Z62">
        <f t="shared" ref="Z62:Z67" si="125">U62-Y62*W62</f>
        <v>12</v>
      </c>
    </row>
    <row r="63" spans="1:26" x14ac:dyDescent="0.4">
      <c r="C63" t="s">
        <v>529</v>
      </c>
      <c r="D63" cm="1">
        <f t="array" ref="D63">INDEX(FX_Input,$R63,$Y63*D$5+$Z63)</f>
        <v>0</v>
      </c>
      <c r="E63" cm="1">
        <f t="array" ref="E63">INDEX(FX_Input,$R63,$Y63*E$5+$Z63)</f>
        <v>0</v>
      </c>
      <c r="F63" cm="1">
        <f t="array" ref="F63">INDEX(FX_Input,$R63,$Y63*F$5+$Z63)</f>
        <v>0</v>
      </c>
      <c r="G63" cm="1">
        <f t="array" ref="G63">INDEX(FX_Input,$R63,$Y63*G$5+$Z63)</f>
        <v>0</v>
      </c>
      <c r="H63" cm="1">
        <f t="array" ref="H63">INDEX(FX_Input,$R63,$Y63*H$5+$Z63)</f>
        <v>0</v>
      </c>
      <c r="I63" cm="1">
        <f t="array" ref="I63">INDEX(FX_Input,$R63,$Y63*I$5+$Z63)</f>
        <v>0</v>
      </c>
      <c r="J63" cm="1">
        <f t="array" ref="J63">INDEX(FX_Input,$R63,$Y63*J$5+$Z63)</f>
        <v>0</v>
      </c>
      <c r="K63" cm="1">
        <f t="array" ref="K63">INDEX(FX_Input,$R63,$Y63*K$5+$Z63)</f>
        <v>0</v>
      </c>
      <c r="L63" cm="1">
        <f t="array" ref="L63">INDEX(FX_Input,$R63,$Y63*L$5+$Z63)</f>
        <v>0</v>
      </c>
      <c r="M63" cm="1">
        <f t="array" ref="M63">INDEX(FX_Input,$R63,$Y63*M$5+$Z63)</f>
        <v>0</v>
      </c>
      <c r="N63" cm="1">
        <f t="array" ref="N63">INDEX(FX_Input,$R63,$Y63*N$5+$Z63)</f>
        <v>0</v>
      </c>
      <c r="O63" cm="1">
        <f t="array" ref="O63">INDEX(FX_Input,$R63,$Y63*O$5+$Z63)</f>
        <v>0</v>
      </c>
      <c r="R63">
        <f>R62+1</f>
        <v>10</v>
      </c>
      <c r="U63">
        <f>U62</f>
        <v>17</v>
      </c>
      <c r="V63">
        <f t="shared" ref="V63:V67" si="126">U63+5</f>
        <v>22</v>
      </c>
      <c r="W63">
        <v>1</v>
      </c>
      <c r="X63">
        <v>2</v>
      </c>
      <c r="Y63">
        <f t="shared" si="124"/>
        <v>5</v>
      </c>
      <c r="Z63">
        <f t="shared" si="125"/>
        <v>12</v>
      </c>
    </row>
    <row r="64" spans="1:26" x14ac:dyDescent="0.4">
      <c r="C64" t="s">
        <v>530</v>
      </c>
      <c r="D64" t="str" cm="1">
        <f t="array" ref="D64">INDEX(FX_Input,$R64,$Y64*D$5+$Z64)</f>
        <v>Select Pet Stock</v>
      </c>
      <c r="E64" t="str" cm="1">
        <f t="array" ref="E64">INDEX(FX_Input,$R64,$Y64*E$5+$Z64)</f>
        <v>Select Pet Stock</v>
      </c>
      <c r="F64" t="str" cm="1">
        <f t="array" ref="F64">INDEX(FX_Input,$R64,$Y64*F$5+$Z64)</f>
        <v>Select Pet Stock</v>
      </c>
      <c r="G64" t="str" cm="1">
        <f t="array" ref="G64">INDEX(FX_Input,$R64,$Y64*G$5+$Z64)</f>
        <v>Select Pet Stock</v>
      </c>
      <c r="H64" t="str" cm="1">
        <f t="array" ref="H64">INDEX(FX_Input,$R64,$Y64*H$5+$Z64)</f>
        <v>Select Pet Stock</v>
      </c>
      <c r="I64" t="str" cm="1">
        <f t="array" ref="I64">INDEX(FX_Input,$R64,$Y64*I$5+$Z64)</f>
        <v>Select Pet Stock</v>
      </c>
      <c r="J64" t="str" cm="1">
        <f t="array" ref="J64">INDEX(FX_Input,$R64,$Y64*J$5+$Z64)</f>
        <v>Select Pet Stock</v>
      </c>
      <c r="K64" t="str" cm="1">
        <f t="array" ref="K64">INDEX(FX_Input,$R64,$Y64*K$5+$Z64)</f>
        <v>Select Pet Stock</v>
      </c>
      <c r="L64" t="str" cm="1">
        <f t="array" ref="L64">INDEX(FX_Input,$R64,$Y64*L$5+$Z64)</f>
        <v>Select Pet Stock</v>
      </c>
      <c r="M64" t="str" cm="1">
        <f t="array" ref="M64">INDEX(FX_Input,$R64,$Y64*M$5+$Z64)</f>
        <v>Select Pet Stock</v>
      </c>
      <c r="N64" t="str" cm="1">
        <f t="array" ref="N64">INDEX(FX_Input,$R64,$Y64*N$5+$Z64)</f>
        <v>Select Pet Stock</v>
      </c>
      <c r="O64" t="str" cm="1">
        <f t="array" ref="O64">INDEX(FX_Input,$R64,$Y64*O$5+$Z64)</f>
        <v>Select Pet Stock</v>
      </c>
      <c r="R64">
        <f>R62</f>
        <v>9</v>
      </c>
      <c r="U64">
        <v>18</v>
      </c>
      <c r="V64">
        <f t="shared" si="126"/>
        <v>23</v>
      </c>
      <c r="W64">
        <v>1</v>
      </c>
      <c r="X64">
        <v>2</v>
      </c>
      <c r="Y64">
        <f t="shared" si="124"/>
        <v>5</v>
      </c>
      <c r="Z64">
        <f t="shared" si="125"/>
        <v>13</v>
      </c>
    </row>
    <row r="65" spans="1:26" x14ac:dyDescent="0.4">
      <c r="C65" t="s">
        <v>531</v>
      </c>
      <c r="D65" cm="1">
        <f t="array" ref="D65">INDEX(FX_Input,$R65,$Y65*D$5+$Z65)</f>
        <v>0</v>
      </c>
      <c r="E65" cm="1">
        <f t="array" ref="E65">INDEX(FX_Input,$R65,$Y65*E$5+$Z65)</f>
        <v>0</v>
      </c>
      <c r="F65" cm="1">
        <f t="array" ref="F65">INDEX(FX_Input,$R65,$Y65*F$5+$Z65)</f>
        <v>0</v>
      </c>
      <c r="G65" cm="1">
        <f t="array" ref="G65">INDEX(FX_Input,$R65,$Y65*G$5+$Z65)</f>
        <v>0</v>
      </c>
      <c r="H65" cm="1">
        <f t="array" ref="H65">INDEX(FX_Input,$R65,$Y65*H$5+$Z65)</f>
        <v>0</v>
      </c>
      <c r="I65" cm="1">
        <f t="array" ref="I65">INDEX(FX_Input,$R65,$Y65*I$5+$Z65)</f>
        <v>0</v>
      </c>
      <c r="J65" cm="1">
        <f t="array" ref="J65">INDEX(FX_Input,$R65,$Y65*J$5+$Z65)</f>
        <v>0</v>
      </c>
      <c r="K65" cm="1">
        <f t="array" ref="K65">INDEX(FX_Input,$R65,$Y65*K$5+$Z65)</f>
        <v>0</v>
      </c>
      <c r="L65" cm="1">
        <f t="array" ref="L65">INDEX(FX_Input,$R65,$Y65*L$5+$Z65)</f>
        <v>0</v>
      </c>
      <c r="M65" cm="1">
        <f t="array" ref="M65">INDEX(FX_Input,$R65,$Y65*M$5+$Z65)</f>
        <v>0</v>
      </c>
      <c r="N65" cm="1">
        <f t="array" ref="N65">INDEX(FX_Input,$R65,$Y65*N$5+$Z65)</f>
        <v>0</v>
      </c>
      <c r="O65" cm="1">
        <f t="array" ref="O65">INDEX(FX_Input,$R65,$Y65*O$5+$Z65)</f>
        <v>0</v>
      </c>
      <c r="R65">
        <f>R63</f>
        <v>10</v>
      </c>
      <c r="U65">
        <f>U64</f>
        <v>18</v>
      </c>
      <c r="V65">
        <f t="shared" si="126"/>
        <v>23</v>
      </c>
      <c r="W65">
        <v>1</v>
      </c>
      <c r="X65">
        <v>2</v>
      </c>
      <c r="Y65">
        <f t="shared" si="124"/>
        <v>5</v>
      </c>
      <c r="Z65">
        <f t="shared" si="125"/>
        <v>13</v>
      </c>
    </row>
    <row r="66" spans="1:26" x14ac:dyDescent="0.4">
      <c r="C66" t="s">
        <v>546</v>
      </c>
      <c r="D66" cm="1">
        <f t="array" ref="D66">INDEX(FX_Input,$R66,$Y66*D$5+$Z66)</f>
        <v>1</v>
      </c>
      <c r="E66" cm="1">
        <f t="array" ref="E66">INDEX(FX_Input,$R66,$Y66*E$5+$Z66)</f>
        <v>1</v>
      </c>
      <c r="F66" cm="1">
        <f t="array" ref="F66">INDEX(FX_Input,$R66,$Y66*F$5+$Z66)</f>
        <v>1</v>
      </c>
      <c r="G66" cm="1">
        <f t="array" ref="G66">INDEX(FX_Input,$R66,$Y66*G$5+$Z66)</f>
        <v>1</v>
      </c>
      <c r="H66" cm="1">
        <f t="array" ref="H66">INDEX(FX_Input,$R66,$Y66*H$5+$Z66)</f>
        <v>1</v>
      </c>
      <c r="I66" cm="1">
        <f t="array" ref="I66">INDEX(FX_Input,$R66,$Y66*I$5+$Z66)</f>
        <v>1</v>
      </c>
      <c r="J66" cm="1">
        <f t="array" ref="J66">INDEX(FX_Input,$R66,$Y66*J$5+$Z66)</f>
        <v>1</v>
      </c>
      <c r="K66" cm="1">
        <f t="array" ref="K66">INDEX(FX_Input,$R66,$Y66*K$5+$Z66)</f>
        <v>1</v>
      </c>
      <c r="L66" cm="1">
        <f t="array" ref="L66">INDEX(FX_Input,$R66,$Y66*L$5+$Z66)</f>
        <v>1</v>
      </c>
      <c r="M66" cm="1">
        <f t="array" ref="M66">INDEX(FX_Input,$R66,$Y66*M$5+$Z66)</f>
        <v>1</v>
      </c>
      <c r="N66" cm="1">
        <f t="array" ref="N66">INDEX(FX_Input,$R66,$Y66*N$5+$Z66)</f>
        <v>1</v>
      </c>
      <c r="O66" cm="1">
        <f t="array" ref="O66">INDEX(FX_Input,$R66,$Y66*O$5+$Z66)</f>
        <v>1</v>
      </c>
      <c r="R66">
        <f>R64</f>
        <v>9</v>
      </c>
      <c r="U66">
        <v>21</v>
      </c>
      <c r="V66">
        <f t="shared" si="126"/>
        <v>26</v>
      </c>
      <c r="W66">
        <v>1</v>
      </c>
      <c r="X66">
        <v>2</v>
      </c>
      <c r="Y66">
        <f t="shared" si="124"/>
        <v>5</v>
      </c>
      <c r="Z66">
        <f t="shared" si="125"/>
        <v>16</v>
      </c>
    </row>
    <row r="67" spans="1:26" x14ac:dyDescent="0.4">
      <c r="C67" t="s">
        <v>547</v>
      </c>
      <c r="D67" cm="1">
        <f t="array" ref="D67">INDEX(FX_Input,$R67,$Y67*D$5+$Z67)</f>
        <v>0</v>
      </c>
      <c r="E67" cm="1">
        <f t="array" ref="E67">INDEX(FX_Input,$R67,$Y67*E$5+$Z67)</f>
        <v>0</v>
      </c>
      <c r="F67" cm="1">
        <f t="array" ref="F67">INDEX(FX_Input,$R67,$Y67*F$5+$Z67)</f>
        <v>0</v>
      </c>
      <c r="G67" cm="1">
        <f t="array" ref="G67">INDEX(FX_Input,$R67,$Y67*G$5+$Z67)</f>
        <v>0</v>
      </c>
      <c r="H67" cm="1">
        <f t="array" ref="H67">INDEX(FX_Input,$R67,$Y67*H$5+$Z67)</f>
        <v>0</v>
      </c>
      <c r="I67" cm="1">
        <f t="array" ref="I67">INDEX(FX_Input,$R67,$Y67*I$5+$Z67)</f>
        <v>0</v>
      </c>
      <c r="J67" cm="1">
        <f t="array" ref="J67">INDEX(FX_Input,$R67,$Y67*J$5+$Z67)</f>
        <v>0</v>
      </c>
      <c r="K67" cm="1">
        <f t="array" ref="K67">INDEX(FX_Input,$R67,$Y67*K$5+$Z67)</f>
        <v>0</v>
      </c>
      <c r="L67" cm="1">
        <f t="array" ref="L67">INDEX(FX_Input,$R67,$Y67*L$5+$Z67)</f>
        <v>0</v>
      </c>
      <c r="M67" cm="1">
        <f t="array" ref="M67">INDEX(FX_Input,$R67,$Y67*M$5+$Z67)</f>
        <v>0</v>
      </c>
      <c r="N67" cm="1">
        <f t="array" ref="N67">INDEX(FX_Input,$R67,$Y67*N$5+$Z67)</f>
        <v>0</v>
      </c>
      <c r="O67" cm="1">
        <f t="array" ref="O67">INDEX(FX_Input,$R67,$Y67*O$5+$Z67)</f>
        <v>0</v>
      </c>
      <c r="R67">
        <f>R65</f>
        <v>10</v>
      </c>
      <c r="U67">
        <f>U66</f>
        <v>21</v>
      </c>
      <c r="V67">
        <f t="shared" si="126"/>
        <v>26</v>
      </c>
      <c r="W67">
        <v>1</v>
      </c>
      <c r="X67">
        <v>2</v>
      </c>
      <c r="Y67">
        <f t="shared" si="124"/>
        <v>5</v>
      </c>
      <c r="Z67">
        <f t="shared" si="125"/>
        <v>16</v>
      </c>
    </row>
    <row r="68" spans="1:26" x14ac:dyDescent="0.4">
      <c r="C68" t="s">
        <v>532</v>
      </c>
      <c r="D68">
        <f t="shared" ref="D68:O68" si="127">IFERROR(VLOOKUP(D62,Phys_Prop,2,FALSE),0)</f>
        <v>162</v>
      </c>
      <c r="E68">
        <f t="shared" si="127"/>
        <v>162</v>
      </c>
      <c r="F68">
        <f t="shared" si="127"/>
        <v>162</v>
      </c>
      <c r="G68">
        <f t="shared" si="127"/>
        <v>162</v>
      </c>
      <c r="H68">
        <f t="shared" si="127"/>
        <v>162</v>
      </c>
      <c r="I68">
        <f t="shared" si="127"/>
        <v>162</v>
      </c>
      <c r="J68">
        <f t="shared" si="127"/>
        <v>162</v>
      </c>
      <c r="K68">
        <f t="shared" si="127"/>
        <v>162</v>
      </c>
      <c r="L68">
        <f t="shared" si="127"/>
        <v>162</v>
      </c>
      <c r="M68">
        <f t="shared" si="127"/>
        <v>162</v>
      </c>
      <c r="N68">
        <f t="shared" si="127"/>
        <v>162</v>
      </c>
      <c r="O68">
        <f t="shared" si="127"/>
        <v>162</v>
      </c>
    </row>
    <row r="69" spans="1:26" x14ac:dyDescent="0.4">
      <c r="C69" t="s">
        <v>533</v>
      </c>
      <c r="D69">
        <f t="shared" ref="D69:O69" si="128">IFERROR(VLOOKUP(D63,Phys_Prop,2,FALSE),0)</f>
        <v>0</v>
      </c>
      <c r="E69">
        <f t="shared" si="128"/>
        <v>0</v>
      </c>
      <c r="F69">
        <f t="shared" si="128"/>
        <v>0</v>
      </c>
      <c r="G69">
        <f t="shared" si="128"/>
        <v>0</v>
      </c>
      <c r="H69">
        <f t="shared" si="128"/>
        <v>0</v>
      </c>
      <c r="I69">
        <f t="shared" si="128"/>
        <v>0</v>
      </c>
      <c r="J69">
        <f t="shared" si="128"/>
        <v>0</v>
      </c>
      <c r="K69">
        <f t="shared" si="128"/>
        <v>0</v>
      </c>
      <c r="L69">
        <f t="shared" si="128"/>
        <v>0</v>
      </c>
      <c r="M69">
        <f t="shared" si="128"/>
        <v>0</v>
      </c>
      <c r="N69">
        <f t="shared" si="128"/>
        <v>0</v>
      </c>
      <c r="O69">
        <f t="shared" si="128"/>
        <v>0</v>
      </c>
    </row>
    <row r="70" spans="1:26" x14ac:dyDescent="0.4">
      <c r="C70" t="s">
        <v>544</v>
      </c>
      <c r="D70">
        <f>IFERROR(IFERROR(D68/D66+D69/D67,D68/D66),0)</f>
        <v>162</v>
      </c>
      <c r="E70">
        <f t="shared" ref="E70" si="129">IFERROR(IFERROR(E68/E66+E69/E67,E68/E66),0)</f>
        <v>162</v>
      </c>
      <c r="F70">
        <f t="shared" ref="F70" si="130">IFERROR(IFERROR(F68/F66+F69/F67,F68/F66),0)</f>
        <v>162</v>
      </c>
      <c r="G70">
        <f t="shared" ref="G70" si="131">IFERROR(IFERROR(G68/G66+G69/G67,G68/G66),0)</f>
        <v>162</v>
      </c>
      <c r="H70">
        <f t="shared" ref="H70" si="132">IFERROR(IFERROR(H68/H66+H69/H67,H68/H66),0)</f>
        <v>162</v>
      </c>
      <c r="I70">
        <f t="shared" ref="I70" si="133">IFERROR(IFERROR(I68/I66+I69/I67,I68/I66),0)</f>
        <v>162</v>
      </c>
      <c r="J70">
        <f t="shared" ref="J70" si="134">IFERROR(IFERROR(J68/J66+J69/J67,J68/J66),0)</f>
        <v>162</v>
      </c>
      <c r="K70">
        <f t="shared" ref="K70" si="135">IFERROR(IFERROR(K68/K66+K69/K67,K68/K66),0)</f>
        <v>162</v>
      </c>
      <c r="L70">
        <f t="shared" ref="L70" si="136">IFERROR(IFERROR(L68/L66+L69/L67,L68/L66),0)</f>
        <v>162</v>
      </c>
      <c r="M70">
        <f t="shared" ref="M70" si="137">IFERROR(IFERROR(M68/M66+M69/M67,M68/M66),0)</f>
        <v>162</v>
      </c>
      <c r="N70">
        <f t="shared" ref="N70" si="138">IFERROR(IFERROR(N68/N66+N69/N67,N68/N66),0)</f>
        <v>162</v>
      </c>
      <c r="O70">
        <f t="shared" ref="O70" si="139">IFERROR(IFERROR(O68/O66+O69/O67,O68/O66),0)</f>
        <v>162</v>
      </c>
    </row>
    <row r="71" spans="1:26" x14ac:dyDescent="0.4">
      <c r="C71" t="s">
        <v>539</v>
      </c>
      <c r="D71">
        <f>IFERROR((D66/D68)*D70,1)</f>
        <v>1</v>
      </c>
      <c r="E71">
        <f t="shared" ref="E71" si="140">IFERROR((E66/E68)*E70,1)</f>
        <v>1</v>
      </c>
      <c r="F71">
        <f t="shared" ref="F71" si="141">IFERROR((F66/F68)*F70,1)</f>
        <v>1</v>
      </c>
      <c r="G71">
        <f t="shared" ref="G71" si="142">IFERROR((G66/G68)*G70,1)</f>
        <v>1</v>
      </c>
      <c r="H71">
        <f t="shared" ref="H71" si="143">IFERROR((H66/H68)*H70,1)</f>
        <v>1</v>
      </c>
      <c r="I71">
        <f t="shared" ref="I71" si="144">IFERROR((I66/I68)*I70,1)</f>
        <v>1</v>
      </c>
      <c r="J71">
        <f t="shared" ref="J71" si="145">IFERROR((J66/J68)*J70,1)</f>
        <v>1</v>
      </c>
      <c r="K71">
        <f t="shared" ref="K71" si="146">IFERROR((K66/K68)*K70,1)</f>
        <v>1</v>
      </c>
      <c r="L71">
        <f t="shared" ref="L71" si="147">IFERROR((L66/L68)*L70,1)</f>
        <v>1</v>
      </c>
      <c r="M71">
        <f t="shared" ref="M71" si="148">IFERROR((M66/M68)*M70,1)</f>
        <v>1</v>
      </c>
      <c r="N71">
        <f t="shared" ref="N71" si="149">IFERROR((N66/N68)*N70,1)</f>
        <v>1</v>
      </c>
      <c r="O71">
        <f t="shared" ref="O71" si="150">IFERROR((O66/O68)*O70,1)</f>
        <v>1</v>
      </c>
    </row>
    <row r="72" spans="1:26" x14ac:dyDescent="0.4">
      <c r="C72" t="s">
        <v>540</v>
      </c>
      <c r="D72">
        <f>IFERROR((D67/D69)*D70,0)</f>
        <v>0</v>
      </c>
      <c r="E72">
        <f t="shared" ref="E72:O72" si="151">IFERROR((E67/E69)*E70,0)</f>
        <v>0</v>
      </c>
      <c r="F72">
        <f t="shared" si="151"/>
        <v>0</v>
      </c>
      <c r="G72">
        <f t="shared" si="151"/>
        <v>0</v>
      </c>
      <c r="H72">
        <f t="shared" si="151"/>
        <v>0</v>
      </c>
      <c r="I72">
        <f t="shared" si="151"/>
        <v>0</v>
      </c>
      <c r="J72">
        <f t="shared" si="151"/>
        <v>0</v>
      </c>
      <c r="K72">
        <f t="shared" si="151"/>
        <v>0</v>
      </c>
      <c r="L72">
        <f t="shared" si="151"/>
        <v>0</v>
      </c>
      <c r="M72">
        <f t="shared" si="151"/>
        <v>0</v>
      </c>
      <c r="N72">
        <f t="shared" si="151"/>
        <v>0</v>
      </c>
      <c r="O72">
        <f t="shared" si="151"/>
        <v>0</v>
      </c>
    </row>
    <row r="73" spans="1:26" x14ac:dyDescent="0.4">
      <c r="C73" s="21" t="s">
        <v>534</v>
      </c>
      <c r="D73">
        <f t="shared" ref="D73:O73" si="152">IFERROR(VLOOKUP(D62,Phys_Prop,4,FALSE),0)</f>
        <v>7</v>
      </c>
      <c r="E73">
        <f t="shared" si="152"/>
        <v>7</v>
      </c>
      <c r="F73">
        <f t="shared" si="152"/>
        <v>7</v>
      </c>
      <c r="G73">
        <f t="shared" si="152"/>
        <v>7</v>
      </c>
      <c r="H73">
        <f t="shared" si="152"/>
        <v>7</v>
      </c>
      <c r="I73">
        <f t="shared" si="152"/>
        <v>7</v>
      </c>
      <c r="J73">
        <f t="shared" si="152"/>
        <v>7</v>
      </c>
      <c r="K73">
        <f t="shared" si="152"/>
        <v>7</v>
      </c>
      <c r="L73">
        <f t="shared" si="152"/>
        <v>7</v>
      </c>
      <c r="M73">
        <f t="shared" si="152"/>
        <v>7</v>
      </c>
      <c r="N73">
        <f t="shared" si="152"/>
        <v>7</v>
      </c>
      <c r="O73">
        <f t="shared" si="152"/>
        <v>7</v>
      </c>
    </row>
    <row r="74" spans="1:26" x14ac:dyDescent="0.4">
      <c r="C74" s="21" t="s">
        <v>535</v>
      </c>
      <c r="D74">
        <f t="shared" ref="D74:O74" si="153">IFERROR(VLOOKUP(D63,Phys_Prop,4,FALSE),0)</f>
        <v>0</v>
      </c>
      <c r="E74">
        <f t="shared" si="153"/>
        <v>0</v>
      </c>
      <c r="F74">
        <f t="shared" si="153"/>
        <v>0</v>
      </c>
      <c r="G74">
        <f t="shared" si="153"/>
        <v>0</v>
      </c>
      <c r="H74">
        <f t="shared" si="153"/>
        <v>0</v>
      </c>
      <c r="I74">
        <f t="shared" si="153"/>
        <v>0</v>
      </c>
      <c r="J74">
        <f t="shared" si="153"/>
        <v>0</v>
      </c>
      <c r="K74">
        <f t="shared" si="153"/>
        <v>0</v>
      </c>
      <c r="L74">
        <f t="shared" si="153"/>
        <v>0</v>
      </c>
      <c r="M74">
        <f t="shared" si="153"/>
        <v>0</v>
      </c>
      <c r="N74">
        <f t="shared" si="153"/>
        <v>0</v>
      </c>
      <c r="O74">
        <f t="shared" si="153"/>
        <v>0</v>
      </c>
    </row>
    <row r="75" spans="1:26" x14ac:dyDescent="0.4">
      <c r="A75" s="11"/>
      <c r="B75" s="11"/>
      <c r="C75" s="62" t="s">
        <v>536</v>
      </c>
      <c r="D75" s="11">
        <f>IFERROR(1/(D71/D73+D72/D74),D73)</f>
        <v>7</v>
      </c>
      <c r="E75" s="11">
        <f t="shared" ref="E75:O75" si="154">IFERROR(1/(E71/E73+E72/E74),E73)</f>
        <v>7</v>
      </c>
      <c r="F75" s="11">
        <f t="shared" si="154"/>
        <v>7</v>
      </c>
      <c r="G75" s="11">
        <f t="shared" si="154"/>
        <v>7</v>
      </c>
      <c r="H75" s="11">
        <f t="shared" si="154"/>
        <v>7</v>
      </c>
      <c r="I75" s="11">
        <f t="shared" si="154"/>
        <v>7</v>
      </c>
      <c r="J75" s="11">
        <f t="shared" si="154"/>
        <v>7</v>
      </c>
      <c r="K75" s="11">
        <f t="shared" si="154"/>
        <v>7</v>
      </c>
      <c r="L75" s="11">
        <f t="shared" si="154"/>
        <v>7</v>
      </c>
      <c r="M75" s="11">
        <f t="shared" si="154"/>
        <v>7</v>
      </c>
      <c r="N75" s="11">
        <f t="shared" si="154"/>
        <v>7</v>
      </c>
      <c r="O75" s="11">
        <f t="shared" si="154"/>
        <v>7</v>
      </c>
      <c r="P75" s="11"/>
      <c r="Q75" s="11"/>
      <c r="R75" s="11"/>
      <c r="S75" s="11"/>
      <c r="T75" s="11"/>
      <c r="U75" s="11"/>
      <c r="V75" s="11"/>
      <c r="W75" s="11"/>
      <c r="X75" s="11"/>
      <c r="Y75" s="11"/>
      <c r="Z75" s="11"/>
    </row>
    <row r="76" spans="1:26" x14ac:dyDescent="0.4">
      <c r="A76" t="str" cm="1">
        <f t="array" ref="A76">INDEX(FX_Input,R76,S76)</f>
        <v>FX - 6</v>
      </c>
      <c r="B76" t="str" cm="1">
        <f t="array" ref="B76">INDEX(FX_Input,R76,T76)</f>
        <v>Portland</v>
      </c>
      <c r="C76" t="s">
        <v>528</v>
      </c>
      <c r="D76" t="str" cm="1">
        <f t="array" ref="D76">INDEX(FX_Input,$R76,$Y76*D$5+$Z76)</f>
        <v>Jet kerosene</v>
      </c>
      <c r="E76" t="str" cm="1">
        <f t="array" ref="E76">INDEX(FX_Input,$R76,$Y76*E$5+$Z76)</f>
        <v>Jet kerosene</v>
      </c>
      <c r="F76" t="str" cm="1">
        <f t="array" ref="F76">INDEX(FX_Input,$R76,$Y76*F$5+$Z76)</f>
        <v>Jet kerosene</v>
      </c>
      <c r="G76" t="str" cm="1">
        <f t="array" ref="G76">INDEX(FX_Input,$R76,$Y76*G$5+$Z76)</f>
        <v>Jet kerosene</v>
      </c>
      <c r="H76" t="str" cm="1">
        <f t="array" ref="H76">INDEX(FX_Input,$R76,$Y76*H$5+$Z76)</f>
        <v>Jet kerosene</v>
      </c>
      <c r="I76" t="str" cm="1">
        <f t="array" ref="I76">INDEX(FX_Input,$R76,$Y76*I$5+$Z76)</f>
        <v>Jet kerosene</v>
      </c>
      <c r="J76" t="str" cm="1">
        <f t="array" ref="J76">INDEX(FX_Input,$R76,$Y76*J$5+$Z76)</f>
        <v>Jet kerosene</v>
      </c>
      <c r="K76" t="str" cm="1">
        <f t="array" ref="K76">INDEX(FX_Input,$R76,$Y76*K$5+$Z76)</f>
        <v>Jet kerosene</v>
      </c>
      <c r="L76" t="str" cm="1">
        <f t="array" ref="L76">INDEX(FX_Input,$R76,$Y76*L$5+$Z76)</f>
        <v>Jet kerosene</v>
      </c>
      <c r="M76" t="str" cm="1">
        <f t="array" ref="M76">INDEX(FX_Input,$R76,$Y76*M$5+$Z76)</f>
        <v>Jet kerosene</v>
      </c>
      <c r="N76" t="str" cm="1">
        <f t="array" ref="N76">INDEX(FX_Input,$R76,$Y76*N$5+$Z76)</f>
        <v>Jet kerosene</v>
      </c>
      <c r="O76" t="str" cm="1">
        <f t="array" ref="O76">INDEX(FX_Input,$R76,$Y76*O$5+$Z76)</f>
        <v>Jet kerosene</v>
      </c>
      <c r="R76">
        <f>R62+2</f>
        <v>11</v>
      </c>
      <c r="S76">
        <v>1</v>
      </c>
      <c r="T76">
        <v>3</v>
      </c>
      <c r="U76">
        <v>17</v>
      </c>
      <c r="V76">
        <f>U76+5</f>
        <v>22</v>
      </c>
      <c r="W76">
        <v>1</v>
      </c>
      <c r="X76">
        <v>2</v>
      </c>
      <c r="Y76">
        <f t="shared" ref="Y76:Y81" si="155">(V76-U76)/(X76-W76)</f>
        <v>5</v>
      </c>
      <c r="Z76">
        <f t="shared" ref="Z76:Z81" si="156">U76-Y76*W76</f>
        <v>12</v>
      </c>
    </row>
    <row r="77" spans="1:26" x14ac:dyDescent="0.4">
      <c r="C77" t="s">
        <v>529</v>
      </c>
      <c r="D77" cm="1">
        <f t="array" ref="D77">INDEX(FX_Input,$R77,$Y77*D$5+$Z77)</f>
        <v>0</v>
      </c>
      <c r="E77" cm="1">
        <f t="array" ref="E77">INDEX(FX_Input,$R77,$Y77*E$5+$Z77)</f>
        <v>0</v>
      </c>
      <c r="F77" cm="1">
        <f t="array" ref="F77">INDEX(FX_Input,$R77,$Y77*F$5+$Z77)</f>
        <v>0</v>
      </c>
      <c r="G77" cm="1">
        <f t="array" ref="G77">INDEX(FX_Input,$R77,$Y77*G$5+$Z77)</f>
        <v>0</v>
      </c>
      <c r="H77" cm="1">
        <f t="array" ref="H77">INDEX(FX_Input,$R77,$Y77*H$5+$Z77)</f>
        <v>0</v>
      </c>
      <c r="I77" cm="1">
        <f t="array" ref="I77">INDEX(FX_Input,$R77,$Y77*I$5+$Z77)</f>
        <v>0</v>
      </c>
      <c r="J77" cm="1">
        <f t="array" ref="J77">INDEX(FX_Input,$R77,$Y77*J$5+$Z77)</f>
        <v>0</v>
      </c>
      <c r="K77" cm="1">
        <f t="array" ref="K77">INDEX(FX_Input,$R77,$Y77*K$5+$Z77)</f>
        <v>0</v>
      </c>
      <c r="L77" cm="1">
        <f t="array" ref="L77">INDEX(FX_Input,$R77,$Y77*L$5+$Z77)</f>
        <v>0</v>
      </c>
      <c r="M77" cm="1">
        <f t="array" ref="M77">INDEX(FX_Input,$R77,$Y77*M$5+$Z77)</f>
        <v>0</v>
      </c>
      <c r="N77" cm="1">
        <f t="array" ref="N77">INDEX(FX_Input,$R77,$Y77*N$5+$Z77)</f>
        <v>0</v>
      </c>
      <c r="O77" cm="1">
        <f t="array" ref="O77">INDEX(FX_Input,$R77,$Y77*O$5+$Z77)</f>
        <v>0</v>
      </c>
      <c r="R77">
        <f>R76+1</f>
        <v>12</v>
      </c>
      <c r="U77">
        <f>U76</f>
        <v>17</v>
      </c>
      <c r="V77">
        <f t="shared" ref="V77:V81" si="157">U77+5</f>
        <v>22</v>
      </c>
      <c r="W77">
        <v>1</v>
      </c>
      <c r="X77">
        <v>2</v>
      </c>
      <c r="Y77">
        <f t="shared" si="155"/>
        <v>5</v>
      </c>
      <c r="Z77">
        <f t="shared" si="156"/>
        <v>12</v>
      </c>
    </row>
    <row r="78" spans="1:26" x14ac:dyDescent="0.4">
      <c r="C78" t="s">
        <v>530</v>
      </c>
      <c r="D78" t="str" cm="1">
        <f t="array" ref="D78">INDEX(FX_Input,$R78,$Y78*D$5+$Z78)</f>
        <v>Select Pet Stock</v>
      </c>
      <c r="E78" t="str" cm="1">
        <f t="array" ref="E78">INDEX(FX_Input,$R78,$Y78*E$5+$Z78)</f>
        <v>Select Pet Stock</v>
      </c>
      <c r="F78" t="str" cm="1">
        <f t="array" ref="F78">INDEX(FX_Input,$R78,$Y78*F$5+$Z78)</f>
        <v>Select Pet Stock</v>
      </c>
      <c r="G78" t="str" cm="1">
        <f t="array" ref="G78">INDEX(FX_Input,$R78,$Y78*G$5+$Z78)</f>
        <v>Select Pet Stock</v>
      </c>
      <c r="H78" t="str" cm="1">
        <f t="array" ref="H78">INDEX(FX_Input,$R78,$Y78*H$5+$Z78)</f>
        <v>Select Pet Stock</v>
      </c>
      <c r="I78" t="str" cm="1">
        <f t="array" ref="I78">INDEX(FX_Input,$R78,$Y78*I$5+$Z78)</f>
        <v>Select Pet Stock</v>
      </c>
      <c r="J78" t="str" cm="1">
        <f t="array" ref="J78">INDEX(FX_Input,$R78,$Y78*J$5+$Z78)</f>
        <v>Select Pet Stock</v>
      </c>
      <c r="K78" t="str" cm="1">
        <f t="array" ref="K78">INDEX(FX_Input,$R78,$Y78*K$5+$Z78)</f>
        <v>Select Pet Stock</v>
      </c>
      <c r="L78" t="str" cm="1">
        <f t="array" ref="L78">INDEX(FX_Input,$R78,$Y78*L$5+$Z78)</f>
        <v>Select Pet Stock</v>
      </c>
      <c r="M78" t="str" cm="1">
        <f t="array" ref="M78">INDEX(FX_Input,$R78,$Y78*M$5+$Z78)</f>
        <v>Select Pet Stock</v>
      </c>
      <c r="N78" t="str" cm="1">
        <f t="array" ref="N78">INDEX(FX_Input,$R78,$Y78*N$5+$Z78)</f>
        <v>Select Pet Stock</v>
      </c>
      <c r="O78" t="str" cm="1">
        <f t="array" ref="O78">INDEX(FX_Input,$R78,$Y78*O$5+$Z78)</f>
        <v>Select Pet Stock</v>
      </c>
      <c r="R78">
        <f>R76</f>
        <v>11</v>
      </c>
      <c r="U78">
        <v>18</v>
      </c>
      <c r="V78">
        <f t="shared" si="157"/>
        <v>23</v>
      </c>
      <c r="W78">
        <v>1</v>
      </c>
      <c r="X78">
        <v>2</v>
      </c>
      <c r="Y78">
        <f t="shared" si="155"/>
        <v>5</v>
      </c>
      <c r="Z78">
        <f t="shared" si="156"/>
        <v>13</v>
      </c>
    </row>
    <row r="79" spans="1:26" x14ac:dyDescent="0.4">
      <c r="C79" t="s">
        <v>531</v>
      </c>
      <c r="D79" cm="1">
        <f t="array" ref="D79">INDEX(FX_Input,$R79,$Y79*D$5+$Z79)</f>
        <v>0</v>
      </c>
      <c r="E79" cm="1">
        <f t="array" ref="E79">INDEX(FX_Input,$R79,$Y79*E$5+$Z79)</f>
        <v>0</v>
      </c>
      <c r="F79" cm="1">
        <f t="array" ref="F79">INDEX(FX_Input,$R79,$Y79*F$5+$Z79)</f>
        <v>0</v>
      </c>
      <c r="G79" cm="1">
        <f t="array" ref="G79">INDEX(FX_Input,$R79,$Y79*G$5+$Z79)</f>
        <v>0</v>
      </c>
      <c r="H79" cm="1">
        <f t="array" ref="H79">INDEX(FX_Input,$R79,$Y79*H$5+$Z79)</f>
        <v>0</v>
      </c>
      <c r="I79" cm="1">
        <f t="array" ref="I79">INDEX(FX_Input,$R79,$Y79*I$5+$Z79)</f>
        <v>0</v>
      </c>
      <c r="J79" cm="1">
        <f t="array" ref="J79">INDEX(FX_Input,$R79,$Y79*J$5+$Z79)</f>
        <v>0</v>
      </c>
      <c r="K79" cm="1">
        <f t="array" ref="K79">INDEX(FX_Input,$R79,$Y79*K$5+$Z79)</f>
        <v>0</v>
      </c>
      <c r="L79" cm="1">
        <f t="array" ref="L79">INDEX(FX_Input,$R79,$Y79*L$5+$Z79)</f>
        <v>0</v>
      </c>
      <c r="M79" cm="1">
        <f t="array" ref="M79">INDEX(FX_Input,$R79,$Y79*M$5+$Z79)</f>
        <v>0</v>
      </c>
      <c r="N79" cm="1">
        <f t="array" ref="N79">INDEX(FX_Input,$R79,$Y79*N$5+$Z79)</f>
        <v>0</v>
      </c>
      <c r="O79" cm="1">
        <f t="array" ref="O79">INDEX(FX_Input,$R79,$Y79*O$5+$Z79)</f>
        <v>0</v>
      </c>
      <c r="R79">
        <f>R77</f>
        <v>12</v>
      </c>
      <c r="U79">
        <f>U78</f>
        <v>18</v>
      </c>
      <c r="V79">
        <f t="shared" si="157"/>
        <v>23</v>
      </c>
      <c r="W79">
        <v>1</v>
      </c>
      <c r="X79">
        <v>2</v>
      </c>
      <c r="Y79">
        <f t="shared" si="155"/>
        <v>5</v>
      </c>
      <c r="Z79">
        <f t="shared" si="156"/>
        <v>13</v>
      </c>
    </row>
    <row r="80" spans="1:26" x14ac:dyDescent="0.4">
      <c r="C80" t="s">
        <v>546</v>
      </c>
      <c r="D80" cm="1">
        <f t="array" ref="D80">INDEX(FX_Input,$R80,$Y80*D$5+$Z80)</f>
        <v>1</v>
      </c>
      <c r="E80" cm="1">
        <f t="array" ref="E80">INDEX(FX_Input,$R80,$Y80*E$5+$Z80)</f>
        <v>1</v>
      </c>
      <c r="F80" cm="1">
        <f t="array" ref="F80">INDEX(FX_Input,$R80,$Y80*F$5+$Z80)</f>
        <v>1</v>
      </c>
      <c r="G80" cm="1">
        <f t="array" ref="G80">INDEX(FX_Input,$R80,$Y80*G$5+$Z80)</f>
        <v>1</v>
      </c>
      <c r="H80" cm="1">
        <f t="array" ref="H80">INDEX(FX_Input,$R80,$Y80*H$5+$Z80)</f>
        <v>1</v>
      </c>
      <c r="I80" cm="1">
        <f t="array" ref="I80">INDEX(FX_Input,$R80,$Y80*I$5+$Z80)</f>
        <v>1</v>
      </c>
      <c r="J80" cm="1">
        <f t="array" ref="J80">INDEX(FX_Input,$R80,$Y80*J$5+$Z80)</f>
        <v>1</v>
      </c>
      <c r="K80" cm="1">
        <f t="array" ref="K80">INDEX(FX_Input,$R80,$Y80*K$5+$Z80)</f>
        <v>1</v>
      </c>
      <c r="L80" cm="1">
        <f t="array" ref="L80">INDEX(FX_Input,$R80,$Y80*L$5+$Z80)</f>
        <v>1</v>
      </c>
      <c r="M80" cm="1">
        <f t="array" ref="M80">INDEX(FX_Input,$R80,$Y80*M$5+$Z80)</f>
        <v>1</v>
      </c>
      <c r="N80" cm="1">
        <f t="array" ref="N80">INDEX(FX_Input,$R80,$Y80*N$5+$Z80)</f>
        <v>1</v>
      </c>
      <c r="O80" cm="1">
        <f t="array" ref="O80">INDEX(FX_Input,$R80,$Y80*O$5+$Z80)</f>
        <v>1</v>
      </c>
      <c r="R80">
        <f>R78</f>
        <v>11</v>
      </c>
      <c r="U80">
        <v>21</v>
      </c>
      <c r="V80">
        <f t="shared" si="157"/>
        <v>26</v>
      </c>
      <c r="W80">
        <v>1</v>
      </c>
      <c r="X80">
        <v>2</v>
      </c>
      <c r="Y80">
        <f t="shared" si="155"/>
        <v>5</v>
      </c>
      <c r="Z80">
        <f t="shared" si="156"/>
        <v>16</v>
      </c>
    </row>
    <row r="81" spans="1:26" x14ac:dyDescent="0.4">
      <c r="C81" t="s">
        <v>547</v>
      </c>
      <c r="D81" cm="1">
        <f t="array" ref="D81">INDEX(FX_Input,$R81,$Y81*D$5+$Z81)</f>
        <v>0</v>
      </c>
      <c r="E81" cm="1">
        <f t="array" ref="E81">INDEX(FX_Input,$R81,$Y81*E$5+$Z81)</f>
        <v>0</v>
      </c>
      <c r="F81" cm="1">
        <f t="array" ref="F81">INDEX(FX_Input,$R81,$Y81*F$5+$Z81)</f>
        <v>0</v>
      </c>
      <c r="G81" cm="1">
        <f t="array" ref="G81">INDEX(FX_Input,$R81,$Y81*G$5+$Z81)</f>
        <v>0</v>
      </c>
      <c r="H81" cm="1">
        <f t="array" ref="H81">INDEX(FX_Input,$R81,$Y81*H$5+$Z81)</f>
        <v>0</v>
      </c>
      <c r="I81" cm="1">
        <f t="array" ref="I81">INDEX(FX_Input,$R81,$Y81*I$5+$Z81)</f>
        <v>0</v>
      </c>
      <c r="J81" cm="1">
        <f t="array" ref="J81">INDEX(FX_Input,$R81,$Y81*J$5+$Z81)</f>
        <v>0</v>
      </c>
      <c r="K81" cm="1">
        <f t="array" ref="K81">INDEX(FX_Input,$R81,$Y81*K$5+$Z81)</f>
        <v>0</v>
      </c>
      <c r="L81" cm="1">
        <f t="array" ref="L81">INDEX(FX_Input,$R81,$Y81*L$5+$Z81)</f>
        <v>0</v>
      </c>
      <c r="M81" cm="1">
        <f t="array" ref="M81">INDEX(FX_Input,$R81,$Y81*M$5+$Z81)</f>
        <v>0</v>
      </c>
      <c r="N81" cm="1">
        <f t="array" ref="N81">INDEX(FX_Input,$R81,$Y81*N$5+$Z81)</f>
        <v>0</v>
      </c>
      <c r="O81" cm="1">
        <f t="array" ref="O81">INDEX(FX_Input,$R81,$Y81*O$5+$Z81)</f>
        <v>0</v>
      </c>
      <c r="R81">
        <f>R79</f>
        <v>12</v>
      </c>
      <c r="U81">
        <f>U80</f>
        <v>21</v>
      </c>
      <c r="V81">
        <f t="shared" si="157"/>
        <v>26</v>
      </c>
      <c r="W81">
        <v>1</v>
      </c>
      <c r="X81">
        <v>2</v>
      </c>
      <c r="Y81">
        <f t="shared" si="155"/>
        <v>5</v>
      </c>
      <c r="Z81">
        <f t="shared" si="156"/>
        <v>16</v>
      </c>
    </row>
    <row r="82" spans="1:26" x14ac:dyDescent="0.4">
      <c r="C82" t="s">
        <v>532</v>
      </c>
      <c r="D82">
        <f t="shared" ref="D82:O82" si="158">IFERROR(VLOOKUP(D76,Phys_Prop,2,FALSE),0)</f>
        <v>162</v>
      </c>
      <c r="E82">
        <f t="shared" si="158"/>
        <v>162</v>
      </c>
      <c r="F82">
        <f t="shared" si="158"/>
        <v>162</v>
      </c>
      <c r="G82">
        <f t="shared" si="158"/>
        <v>162</v>
      </c>
      <c r="H82">
        <f t="shared" si="158"/>
        <v>162</v>
      </c>
      <c r="I82">
        <f t="shared" si="158"/>
        <v>162</v>
      </c>
      <c r="J82">
        <f t="shared" si="158"/>
        <v>162</v>
      </c>
      <c r="K82">
        <f t="shared" si="158"/>
        <v>162</v>
      </c>
      <c r="L82">
        <f t="shared" si="158"/>
        <v>162</v>
      </c>
      <c r="M82">
        <f t="shared" si="158"/>
        <v>162</v>
      </c>
      <c r="N82">
        <f t="shared" si="158"/>
        <v>162</v>
      </c>
      <c r="O82">
        <f t="shared" si="158"/>
        <v>162</v>
      </c>
    </row>
    <row r="83" spans="1:26" x14ac:dyDescent="0.4">
      <c r="C83" t="s">
        <v>533</v>
      </c>
      <c r="D83">
        <f t="shared" ref="D83:O83" si="159">IFERROR(VLOOKUP(D77,Phys_Prop,2,FALSE),0)</f>
        <v>0</v>
      </c>
      <c r="E83">
        <f t="shared" si="159"/>
        <v>0</v>
      </c>
      <c r="F83">
        <f t="shared" si="159"/>
        <v>0</v>
      </c>
      <c r="G83">
        <f t="shared" si="159"/>
        <v>0</v>
      </c>
      <c r="H83">
        <f t="shared" si="159"/>
        <v>0</v>
      </c>
      <c r="I83">
        <f t="shared" si="159"/>
        <v>0</v>
      </c>
      <c r="J83">
        <f t="shared" si="159"/>
        <v>0</v>
      </c>
      <c r="K83">
        <f t="shared" si="159"/>
        <v>0</v>
      </c>
      <c r="L83">
        <f t="shared" si="159"/>
        <v>0</v>
      </c>
      <c r="M83">
        <f t="shared" si="159"/>
        <v>0</v>
      </c>
      <c r="N83">
        <f t="shared" si="159"/>
        <v>0</v>
      </c>
      <c r="O83">
        <f t="shared" si="159"/>
        <v>0</v>
      </c>
    </row>
    <row r="84" spans="1:26" x14ac:dyDescent="0.4">
      <c r="C84" t="s">
        <v>544</v>
      </c>
      <c r="D84">
        <f>IFERROR(IFERROR(D82/D80+D83/D81,D82/D80),0)</f>
        <v>162</v>
      </c>
      <c r="E84">
        <f t="shared" ref="E84" si="160">IFERROR(IFERROR(E82/E80+E83/E81,E82/E80),0)</f>
        <v>162</v>
      </c>
      <c r="F84">
        <f t="shared" ref="F84" si="161">IFERROR(IFERROR(F82/F80+F83/F81,F82/F80),0)</f>
        <v>162</v>
      </c>
      <c r="G84">
        <f t="shared" ref="G84" si="162">IFERROR(IFERROR(G82/G80+G83/G81,G82/G80),0)</f>
        <v>162</v>
      </c>
      <c r="H84">
        <f t="shared" ref="H84" si="163">IFERROR(IFERROR(H82/H80+H83/H81,H82/H80),0)</f>
        <v>162</v>
      </c>
      <c r="I84">
        <f t="shared" ref="I84" si="164">IFERROR(IFERROR(I82/I80+I83/I81,I82/I80),0)</f>
        <v>162</v>
      </c>
      <c r="J84">
        <f t="shared" ref="J84" si="165">IFERROR(IFERROR(J82/J80+J83/J81,J82/J80),0)</f>
        <v>162</v>
      </c>
      <c r="K84">
        <f t="shared" ref="K84" si="166">IFERROR(IFERROR(K82/K80+K83/K81,K82/K80),0)</f>
        <v>162</v>
      </c>
      <c r="L84">
        <f t="shared" ref="L84" si="167">IFERROR(IFERROR(L82/L80+L83/L81,L82/L80),0)</f>
        <v>162</v>
      </c>
      <c r="M84">
        <f t="shared" ref="M84" si="168">IFERROR(IFERROR(M82/M80+M83/M81,M82/M80),0)</f>
        <v>162</v>
      </c>
      <c r="N84">
        <f t="shared" ref="N84" si="169">IFERROR(IFERROR(N82/N80+N83/N81,N82/N80),0)</f>
        <v>162</v>
      </c>
      <c r="O84">
        <f t="shared" ref="O84" si="170">IFERROR(IFERROR(O82/O80+O83/O81,O82/O80),0)</f>
        <v>162</v>
      </c>
    </row>
    <row r="85" spans="1:26" x14ac:dyDescent="0.4">
      <c r="C85" t="s">
        <v>539</v>
      </c>
      <c r="D85">
        <f>IFERROR((D80/D82)*D84,1)</f>
        <v>1</v>
      </c>
      <c r="E85">
        <f t="shared" ref="E85" si="171">IFERROR((E80/E82)*E84,1)</f>
        <v>1</v>
      </c>
      <c r="F85">
        <f t="shared" ref="F85" si="172">IFERROR((F80/F82)*F84,1)</f>
        <v>1</v>
      </c>
      <c r="G85">
        <f t="shared" ref="G85" si="173">IFERROR((G80/G82)*G84,1)</f>
        <v>1</v>
      </c>
      <c r="H85">
        <f t="shared" ref="H85" si="174">IFERROR((H80/H82)*H84,1)</f>
        <v>1</v>
      </c>
      <c r="I85">
        <f t="shared" ref="I85" si="175">IFERROR((I80/I82)*I84,1)</f>
        <v>1</v>
      </c>
      <c r="J85">
        <f t="shared" ref="J85" si="176">IFERROR((J80/J82)*J84,1)</f>
        <v>1</v>
      </c>
      <c r="K85">
        <f t="shared" ref="K85" si="177">IFERROR((K80/K82)*K84,1)</f>
        <v>1</v>
      </c>
      <c r="L85">
        <f t="shared" ref="L85" si="178">IFERROR((L80/L82)*L84,1)</f>
        <v>1</v>
      </c>
      <c r="M85">
        <f t="shared" ref="M85" si="179">IFERROR((M80/M82)*M84,1)</f>
        <v>1</v>
      </c>
      <c r="N85">
        <f t="shared" ref="N85" si="180">IFERROR((N80/N82)*N84,1)</f>
        <v>1</v>
      </c>
      <c r="O85">
        <f t="shared" ref="O85" si="181">IFERROR((O80/O82)*O84,1)</f>
        <v>1</v>
      </c>
    </row>
    <row r="86" spans="1:26" x14ac:dyDescent="0.4">
      <c r="C86" t="s">
        <v>540</v>
      </c>
      <c r="D86">
        <f>IFERROR((D81/D83)*D84,0)</f>
        <v>0</v>
      </c>
      <c r="E86">
        <f t="shared" ref="E86:O86" si="182">IFERROR((E81/E83)*E84,0)</f>
        <v>0</v>
      </c>
      <c r="F86">
        <f t="shared" si="182"/>
        <v>0</v>
      </c>
      <c r="G86">
        <f t="shared" si="182"/>
        <v>0</v>
      </c>
      <c r="H86">
        <f t="shared" si="182"/>
        <v>0</v>
      </c>
      <c r="I86">
        <f t="shared" si="182"/>
        <v>0</v>
      </c>
      <c r="J86">
        <f t="shared" si="182"/>
        <v>0</v>
      </c>
      <c r="K86">
        <f t="shared" si="182"/>
        <v>0</v>
      </c>
      <c r="L86">
        <f t="shared" si="182"/>
        <v>0</v>
      </c>
      <c r="M86">
        <f t="shared" si="182"/>
        <v>0</v>
      </c>
      <c r="N86">
        <f t="shared" si="182"/>
        <v>0</v>
      </c>
      <c r="O86">
        <f t="shared" si="182"/>
        <v>0</v>
      </c>
    </row>
    <row r="87" spans="1:26" x14ac:dyDescent="0.4">
      <c r="C87" s="21" t="s">
        <v>534</v>
      </c>
      <c r="D87">
        <f t="shared" ref="D87:O87" si="183">IFERROR(VLOOKUP(D76,Phys_Prop,4,FALSE),0)</f>
        <v>7</v>
      </c>
      <c r="E87">
        <f t="shared" si="183"/>
        <v>7</v>
      </c>
      <c r="F87">
        <f t="shared" si="183"/>
        <v>7</v>
      </c>
      <c r="G87">
        <f t="shared" si="183"/>
        <v>7</v>
      </c>
      <c r="H87">
        <f t="shared" si="183"/>
        <v>7</v>
      </c>
      <c r="I87">
        <f t="shared" si="183"/>
        <v>7</v>
      </c>
      <c r="J87">
        <f t="shared" si="183"/>
        <v>7</v>
      </c>
      <c r="K87">
        <f t="shared" si="183"/>
        <v>7</v>
      </c>
      <c r="L87">
        <f t="shared" si="183"/>
        <v>7</v>
      </c>
      <c r="M87">
        <f t="shared" si="183"/>
        <v>7</v>
      </c>
      <c r="N87">
        <f t="shared" si="183"/>
        <v>7</v>
      </c>
      <c r="O87">
        <f t="shared" si="183"/>
        <v>7</v>
      </c>
    </row>
    <row r="88" spans="1:26" x14ac:dyDescent="0.4">
      <c r="C88" s="21" t="s">
        <v>535</v>
      </c>
      <c r="D88">
        <f t="shared" ref="D88:O88" si="184">IFERROR(VLOOKUP(D77,Phys_Prop,4,FALSE),0)</f>
        <v>0</v>
      </c>
      <c r="E88">
        <f t="shared" si="184"/>
        <v>0</v>
      </c>
      <c r="F88">
        <f t="shared" si="184"/>
        <v>0</v>
      </c>
      <c r="G88">
        <f t="shared" si="184"/>
        <v>0</v>
      </c>
      <c r="H88">
        <f t="shared" si="184"/>
        <v>0</v>
      </c>
      <c r="I88">
        <f t="shared" si="184"/>
        <v>0</v>
      </c>
      <c r="J88">
        <f t="shared" si="184"/>
        <v>0</v>
      </c>
      <c r="K88">
        <f t="shared" si="184"/>
        <v>0</v>
      </c>
      <c r="L88">
        <f t="shared" si="184"/>
        <v>0</v>
      </c>
      <c r="M88">
        <f t="shared" si="184"/>
        <v>0</v>
      </c>
      <c r="N88">
        <f t="shared" si="184"/>
        <v>0</v>
      </c>
      <c r="O88">
        <f t="shared" si="184"/>
        <v>0</v>
      </c>
    </row>
    <row r="89" spans="1:26" x14ac:dyDescent="0.4">
      <c r="A89" s="11"/>
      <c r="B89" s="11"/>
      <c r="C89" s="62" t="s">
        <v>536</v>
      </c>
      <c r="D89" s="11">
        <f>IFERROR(1/(D85/D87+D86/D88),D87)</f>
        <v>7</v>
      </c>
      <c r="E89" s="11">
        <f t="shared" ref="E89:O89" si="185">IFERROR(1/(E85/E87+E86/E88),E87)</f>
        <v>7</v>
      </c>
      <c r="F89" s="11">
        <f t="shared" si="185"/>
        <v>7</v>
      </c>
      <c r="G89" s="11">
        <f t="shared" si="185"/>
        <v>7</v>
      </c>
      <c r="H89" s="11">
        <f t="shared" si="185"/>
        <v>7</v>
      </c>
      <c r="I89" s="11">
        <f t="shared" si="185"/>
        <v>7</v>
      </c>
      <c r="J89" s="11">
        <f t="shared" si="185"/>
        <v>7</v>
      </c>
      <c r="K89" s="11">
        <f t="shared" si="185"/>
        <v>7</v>
      </c>
      <c r="L89" s="11">
        <f t="shared" si="185"/>
        <v>7</v>
      </c>
      <c r="M89" s="11">
        <f t="shared" si="185"/>
        <v>7</v>
      </c>
      <c r="N89" s="11">
        <f t="shared" si="185"/>
        <v>7</v>
      </c>
      <c r="O89" s="11">
        <f t="shared" si="185"/>
        <v>7</v>
      </c>
      <c r="P89" s="11"/>
      <c r="Q89" s="11"/>
      <c r="R89" s="11"/>
      <c r="S89" s="11"/>
      <c r="T89" s="11"/>
      <c r="U89" s="11"/>
      <c r="V89" s="11"/>
      <c r="W89" s="11"/>
      <c r="X89" s="11"/>
      <c r="Y89" s="11"/>
      <c r="Z89" s="11"/>
    </row>
    <row r="90" spans="1:26" x14ac:dyDescent="0.4">
      <c r="A90" t="str" cm="1">
        <f t="array" ref="A90">INDEX(FX_Input,R90,S90)</f>
        <v>FX - 7</v>
      </c>
      <c r="B90" t="str" cm="1">
        <f t="array" ref="B90">INDEX(FX_Input,R90,T90)</f>
        <v>Portland</v>
      </c>
      <c r="C90" t="s">
        <v>528</v>
      </c>
      <c r="D90" t="str" cm="1">
        <f t="array" ref="D90">INDEX(FX_Input,$R90,$Y90*D$5+$Z90)</f>
        <v>Jet kerosene</v>
      </c>
      <c r="E90" t="str" cm="1">
        <f t="array" ref="E90">INDEX(FX_Input,$R90,$Y90*E$5+$Z90)</f>
        <v>Jet kerosene</v>
      </c>
      <c r="F90" t="str" cm="1">
        <f t="array" ref="F90">INDEX(FX_Input,$R90,$Y90*F$5+$Z90)</f>
        <v>Jet kerosene</v>
      </c>
      <c r="G90" t="str" cm="1">
        <f t="array" ref="G90">INDEX(FX_Input,$R90,$Y90*G$5+$Z90)</f>
        <v>Jet kerosene</v>
      </c>
      <c r="H90" t="str" cm="1">
        <f t="array" ref="H90">INDEX(FX_Input,$R90,$Y90*H$5+$Z90)</f>
        <v>Jet kerosene</v>
      </c>
      <c r="I90" t="str" cm="1">
        <f t="array" ref="I90">INDEX(FX_Input,$R90,$Y90*I$5+$Z90)</f>
        <v>Jet kerosene</v>
      </c>
      <c r="J90" t="str" cm="1">
        <f t="array" ref="J90">INDEX(FX_Input,$R90,$Y90*J$5+$Z90)</f>
        <v>Jet kerosene</v>
      </c>
      <c r="K90" t="str" cm="1">
        <f t="array" ref="K90">INDEX(FX_Input,$R90,$Y90*K$5+$Z90)</f>
        <v>Jet kerosene</v>
      </c>
      <c r="L90" t="str" cm="1">
        <f t="array" ref="L90">INDEX(FX_Input,$R90,$Y90*L$5+$Z90)</f>
        <v>Jet kerosene</v>
      </c>
      <c r="M90" t="str" cm="1">
        <f t="array" ref="M90">INDEX(FX_Input,$R90,$Y90*M$5+$Z90)</f>
        <v>Jet kerosene</v>
      </c>
      <c r="N90" t="str" cm="1">
        <f t="array" ref="N90">INDEX(FX_Input,$R90,$Y90*N$5+$Z90)</f>
        <v>Jet kerosene</v>
      </c>
      <c r="O90" t="str" cm="1">
        <f t="array" ref="O90">INDEX(FX_Input,$R90,$Y90*O$5+$Z90)</f>
        <v>Jet kerosene</v>
      </c>
      <c r="R90">
        <f>R76+2</f>
        <v>13</v>
      </c>
      <c r="S90">
        <v>1</v>
      </c>
      <c r="T90">
        <v>3</v>
      </c>
      <c r="U90">
        <v>17</v>
      </c>
      <c r="V90">
        <f>U90+5</f>
        <v>22</v>
      </c>
      <c r="W90">
        <v>1</v>
      </c>
      <c r="X90">
        <v>2</v>
      </c>
      <c r="Y90">
        <f t="shared" ref="Y90:Y95" si="186">(V90-U90)/(X90-W90)</f>
        <v>5</v>
      </c>
      <c r="Z90">
        <f t="shared" ref="Z90:Z95" si="187">U90-Y90*W90</f>
        <v>12</v>
      </c>
    </row>
    <row r="91" spans="1:26" x14ac:dyDescent="0.4">
      <c r="C91" t="s">
        <v>529</v>
      </c>
      <c r="D91" cm="1">
        <f t="array" ref="D91">INDEX(FX_Input,$R91,$Y91*D$5+$Z91)</f>
        <v>0</v>
      </c>
      <c r="E91" cm="1">
        <f t="array" ref="E91">INDEX(FX_Input,$R91,$Y91*E$5+$Z91)</f>
        <v>0</v>
      </c>
      <c r="F91" cm="1">
        <f t="array" ref="F91">INDEX(FX_Input,$R91,$Y91*F$5+$Z91)</f>
        <v>0</v>
      </c>
      <c r="G91" cm="1">
        <f t="array" ref="G91">INDEX(FX_Input,$R91,$Y91*G$5+$Z91)</f>
        <v>0</v>
      </c>
      <c r="H91" cm="1">
        <f t="array" ref="H91">INDEX(FX_Input,$R91,$Y91*H$5+$Z91)</f>
        <v>0</v>
      </c>
      <c r="I91" cm="1">
        <f t="array" ref="I91">INDEX(FX_Input,$R91,$Y91*I$5+$Z91)</f>
        <v>0</v>
      </c>
      <c r="J91" cm="1">
        <f t="array" ref="J91">INDEX(FX_Input,$R91,$Y91*J$5+$Z91)</f>
        <v>0</v>
      </c>
      <c r="K91" cm="1">
        <f t="array" ref="K91">INDEX(FX_Input,$R91,$Y91*K$5+$Z91)</f>
        <v>0</v>
      </c>
      <c r="L91" cm="1">
        <f t="array" ref="L91">INDEX(FX_Input,$R91,$Y91*L$5+$Z91)</f>
        <v>0</v>
      </c>
      <c r="M91" cm="1">
        <f t="array" ref="M91">INDEX(FX_Input,$R91,$Y91*M$5+$Z91)</f>
        <v>0</v>
      </c>
      <c r="N91" cm="1">
        <f t="array" ref="N91">INDEX(FX_Input,$R91,$Y91*N$5+$Z91)</f>
        <v>0</v>
      </c>
      <c r="O91" cm="1">
        <f t="array" ref="O91">INDEX(FX_Input,$R91,$Y91*O$5+$Z91)</f>
        <v>0</v>
      </c>
      <c r="R91">
        <f>R90+1</f>
        <v>14</v>
      </c>
      <c r="U91">
        <f>U90</f>
        <v>17</v>
      </c>
      <c r="V91">
        <f t="shared" ref="V91:V95" si="188">U91+5</f>
        <v>22</v>
      </c>
      <c r="W91">
        <v>1</v>
      </c>
      <c r="X91">
        <v>2</v>
      </c>
      <c r="Y91">
        <f t="shared" si="186"/>
        <v>5</v>
      </c>
      <c r="Z91">
        <f t="shared" si="187"/>
        <v>12</v>
      </c>
    </row>
    <row r="92" spans="1:26" x14ac:dyDescent="0.4">
      <c r="C92" t="s">
        <v>530</v>
      </c>
      <c r="D92" t="str" cm="1">
        <f t="array" ref="D92">INDEX(FX_Input,$R92,$Y92*D$5+$Z92)</f>
        <v>Select Pet Stock</v>
      </c>
      <c r="E92" t="str" cm="1">
        <f t="array" ref="E92">INDEX(FX_Input,$R92,$Y92*E$5+$Z92)</f>
        <v>Select Pet Stock</v>
      </c>
      <c r="F92" t="str" cm="1">
        <f t="array" ref="F92">INDEX(FX_Input,$R92,$Y92*F$5+$Z92)</f>
        <v>Select Pet Stock</v>
      </c>
      <c r="G92" t="str" cm="1">
        <f t="array" ref="G92">INDEX(FX_Input,$R92,$Y92*G$5+$Z92)</f>
        <v>Select Pet Stock</v>
      </c>
      <c r="H92" t="str" cm="1">
        <f t="array" ref="H92">INDEX(FX_Input,$R92,$Y92*H$5+$Z92)</f>
        <v>Select Pet Stock</v>
      </c>
      <c r="I92" t="str" cm="1">
        <f t="array" ref="I92">INDEX(FX_Input,$R92,$Y92*I$5+$Z92)</f>
        <v>Select Pet Stock</v>
      </c>
      <c r="J92" t="str" cm="1">
        <f t="array" ref="J92">INDEX(FX_Input,$R92,$Y92*J$5+$Z92)</f>
        <v>Select Pet Stock</v>
      </c>
      <c r="K92" t="str" cm="1">
        <f t="array" ref="K92">INDEX(FX_Input,$R92,$Y92*K$5+$Z92)</f>
        <v>Select Pet Stock</v>
      </c>
      <c r="L92" t="str" cm="1">
        <f t="array" ref="L92">INDEX(FX_Input,$R92,$Y92*L$5+$Z92)</f>
        <v>Select Pet Stock</v>
      </c>
      <c r="M92" t="str" cm="1">
        <f t="array" ref="M92">INDEX(FX_Input,$R92,$Y92*M$5+$Z92)</f>
        <v>Select Pet Stock</v>
      </c>
      <c r="N92" t="str" cm="1">
        <f t="array" ref="N92">INDEX(FX_Input,$R92,$Y92*N$5+$Z92)</f>
        <v>Select Pet Stock</v>
      </c>
      <c r="O92" t="str" cm="1">
        <f t="array" ref="O92">INDEX(FX_Input,$R92,$Y92*O$5+$Z92)</f>
        <v>Select Pet Stock</v>
      </c>
      <c r="R92">
        <f>R90</f>
        <v>13</v>
      </c>
      <c r="U92">
        <v>18</v>
      </c>
      <c r="V92">
        <f t="shared" si="188"/>
        <v>23</v>
      </c>
      <c r="W92">
        <v>1</v>
      </c>
      <c r="X92">
        <v>2</v>
      </c>
      <c r="Y92">
        <f t="shared" si="186"/>
        <v>5</v>
      </c>
      <c r="Z92">
        <f t="shared" si="187"/>
        <v>13</v>
      </c>
    </row>
    <row r="93" spans="1:26" x14ac:dyDescent="0.4">
      <c r="C93" t="s">
        <v>531</v>
      </c>
      <c r="D93" cm="1">
        <f t="array" ref="D93">INDEX(FX_Input,$R93,$Y93*D$5+$Z93)</f>
        <v>0</v>
      </c>
      <c r="E93" cm="1">
        <f t="array" ref="E93">INDEX(FX_Input,$R93,$Y93*E$5+$Z93)</f>
        <v>0</v>
      </c>
      <c r="F93" cm="1">
        <f t="array" ref="F93">INDEX(FX_Input,$R93,$Y93*F$5+$Z93)</f>
        <v>0</v>
      </c>
      <c r="G93" cm="1">
        <f t="array" ref="G93">INDEX(FX_Input,$R93,$Y93*G$5+$Z93)</f>
        <v>0</v>
      </c>
      <c r="H93" cm="1">
        <f t="array" ref="H93">INDEX(FX_Input,$R93,$Y93*H$5+$Z93)</f>
        <v>0</v>
      </c>
      <c r="I93" cm="1">
        <f t="array" ref="I93">INDEX(FX_Input,$R93,$Y93*I$5+$Z93)</f>
        <v>0</v>
      </c>
      <c r="J93" cm="1">
        <f t="array" ref="J93">INDEX(FX_Input,$R93,$Y93*J$5+$Z93)</f>
        <v>0</v>
      </c>
      <c r="K93" cm="1">
        <f t="array" ref="K93">INDEX(FX_Input,$R93,$Y93*K$5+$Z93)</f>
        <v>0</v>
      </c>
      <c r="L93" cm="1">
        <f t="array" ref="L93">INDEX(FX_Input,$R93,$Y93*L$5+$Z93)</f>
        <v>0</v>
      </c>
      <c r="M93" cm="1">
        <f t="array" ref="M93">INDEX(FX_Input,$R93,$Y93*M$5+$Z93)</f>
        <v>0</v>
      </c>
      <c r="N93" cm="1">
        <f t="array" ref="N93">INDEX(FX_Input,$R93,$Y93*N$5+$Z93)</f>
        <v>0</v>
      </c>
      <c r="O93" cm="1">
        <f t="array" ref="O93">INDEX(FX_Input,$R93,$Y93*O$5+$Z93)</f>
        <v>0</v>
      </c>
      <c r="R93">
        <f>R91</f>
        <v>14</v>
      </c>
      <c r="U93">
        <f>U92</f>
        <v>18</v>
      </c>
      <c r="V93">
        <f t="shared" si="188"/>
        <v>23</v>
      </c>
      <c r="W93">
        <v>1</v>
      </c>
      <c r="X93">
        <v>2</v>
      </c>
      <c r="Y93">
        <f t="shared" si="186"/>
        <v>5</v>
      </c>
      <c r="Z93">
        <f t="shared" si="187"/>
        <v>13</v>
      </c>
    </row>
    <row r="94" spans="1:26" x14ac:dyDescent="0.4">
      <c r="C94" t="s">
        <v>546</v>
      </c>
      <c r="D94" cm="1">
        <f t="array" ref="D94">INDEX(FX_Input,$R94,$Y94*D$5+$Z94)</f>
        <v>1</v>
      </c>
      <c r="E94" cm="1">
        <f t="array" ref="E94">INDEX(FX_Input,$R94,$Y94*E$5+$Z94)</f>
        <v>1</v>
      </c>
      <c r="F94" cm="1">
        <f t="array" ref="F94">INDEX(FX_Input,$R94,$Y94*F$5+$Z94)</f>
        <v>1</v>
      </c>
      <c r="G94" cm="1">
        <f t="array" ref="G94">INDEX(FX_Input,$R94,$Y94*G$5+$Z94)</f>
        <v>1</v>
      </c>
      <c r="H94" cm="1">
        <f t="array" ref="H94">INDEX(FX_Input,$R94,$Y94*H$5+$Z94)</f>
        <v>1</v>
      </c>
      <c r="I94" cm="1">
        <f t="array" ref="I94">INDEX(FX_Input,$R94,$Y94*I$5+$Z94)</f>
        <v>1</v>
      </c>
      <c r="J94" cm="1">
        <f t="array" ref="J94">INDEX(FX_Input,$R94,$Y94*J$5+$Z94)</f>
        <v>1</v>
      </c>
      <c r="K94" cm="1">
        <f t="array" ref="K94">INDEX(FX_Input,$R94,$Y94*K$5+$Z94)</f>
        <v>1</v>
      </c>
      <c r="L94" cm="1">
        <f t="array" ref="L94">INDEX(FX_Input,$R94,$Y94*L$5+$Z94)</f>
        <v>1</v>
      </c>
      <c r="M94" cm="1">
        <f t="array" ref="M94">INDEX(FX_Input,$R94,$Y94*M$5+$Z94)</f>
        <v>1</v>
      </c>
      <c r="N94" cm="1">
        <f t="array" ref="N94">INDEX(FX_Input,$R94,$Y94*N$5+$Z94)</f>
        <v>1</v>
      </c>
      <c r="O94" cm="1">
        <f t="array" ref="O94">INDEX(FX_Input,$R94,$Y94*O$5+$Z94)</f>
        <v>1</v>
      </c>
      <c r="R94">
        <f>R92</f>
        <v>13</v>
      </c>
      <c r="U94">
        <v>21</v>
      </c>
      <c r="V94">
        <f t="shared" si="188"/>
        <v>26</v>
      </c>
      <c r="W94">
        <v>1</v>
      </c>
      <c r="X94">
        <v>2</v>
      </c>
      <c r="Y94">
        <f t="shared" si="186"/>
        <v>5</v>
      </c>
      <c r="Z94">
        <f t="shared" si="187"/>
        <v>16</v>
      </c>
    </row>
    <row r="95" spans="1:26" x14ac:dyDescent="0.4">
      <c r="C95" t="s">
        <v>547</v>
      </c>
      <c r="D95" cm="1">
        <f t="array" ref="D95">INDEX(FX_Input,$R95,$Y95*D$5+$Z95)</f>
        <v>0</v>
      </c>
      <c r="E95" cm="1">
        <f t="array" ref="E95">INDEX(FX_Input,$R95,$Y95*E$5+$Z95)</f>
        <v>0</v>
      </c>
      <c r="F95" cm="1">
        <f t="array" ref="F95">INDEX(FX_Input,$R95,$Y95*F$5+$Z95)</f>
        <v>0</v>
      </c>
      <c r="G95" cm="1">
        <f t="array" ref="G95">INDEX(FX_Input,$R95,$Y95*G$5+$Z95)</f>
        <v>0</v>
      </c>
      <c r="H95" cm="1">
        <f t="array" ref="H95">INDEX(FX_Input,$R95,$Y95*H$5+$Z95)</f>
        <v>0</v>
      </c>
      <c r="I95" cm="1">
        <f t="array" ref="I95">INDEX(FX_Input,$R95,$Y95*I$5+$Z95)</f>
        <v>0</v>
      </c>
      <c r="J95" cm="1">
        <f t="array" ref="J95">INDEX(FX_Input,$R95,$Y95*J$5+$Z95)</f>
        <v>0</v>
      </c>
      <c r="K95" cm="1">
        <f t="array" ref="K95">INDEX(FX_Input,$R95,$Y95*K$5+$Z95)</f>
        <v>0</v>
      </c>
      <c r="L95" cm="1">
        <f t="array" ref="L95">INDEX(FX_Input,$R95,$Y95*L$5+$Z95)</f>
        <v>0</v>
      </c>
      <c r="M95" cm="1">
        <f t="array" ref="M95">INDEX(FX_Input,$R95,$Y95*M$5+$Z95)</f>
        <v>0</v>
      </c>
      <c r="N95" cm="1">
        <f t="array" ref="N95">INDEX(FX_Input,$R95,$Y95*N$5+$Z95)</f>
        <v>0</v>
      </c>
      <c r="O95" cm="1">
        <f t="array" ref="O95">INDEX(FX_Input,$R95,$Y95*O$5+$Z95)</f>
        <v>0</v>
      </c>
      <c r="R95">
        <f>R93</f>
        <v>14</v>
      </c>
      <c r="U95">
        <f>U94</f>
        <v>21</v>
      </c>
      <c r="V95">
        <f t="shared" si="188"/>
        <v>26</v>
      </c>
      <c r="W95">
        <v>1</v>
      </c>
      <c r="X95">
        <v>2</v>
      </c>
      <c r="Y95">
        <f t="shared" si="186"/>
        <v>5</v>
      </c>
      <c r="Z95">
        <f t="shared" si="187"/>
        <v>16</v>
      </c>
    </row>
    <row r="96" spans="1:26" x14ac:dyDescent="0.4">
      <c r="C96" t="s">
        <v>532</v>
      </c>
      <c r="D96">
        <f t="shared" ref="D96:O96" si="189">IFERROR(VLOOKUP(D90,Phys_Prop,2,FALSE),0)</f>
        <v>162</v>
      </c>
      <c r="E96">
        <f t="shared" si="189"/>
        <v>162</v>
      </c>
      <c r="F96">
        <f t="shared" si="189"/>
        <v>162</v>
      </c>
      <c r="G96">
        <f t="shared" si="189"/>
        <v>162</v>
      </c>
      <c r="H96">
        <f t="shared" si="189"/>
        <v>162</v>
      </c>
      <c r="I96">
        <f t="shared" si="189"/>
        <v>162</v>
      </c>
      <c r="J96">
        <f t="shared" si="189"/>
        <v>162</v>
      </c>
      <c r="K96">
        <f t="shared" si="189"/>
        <v>162</v>
      </c>
      <c r="L96">
        <f t="shared" si="189"/>
        <v>162</v>
      </c>
      <c r="M96">
        <f t="shared" si="189"/>
        <v>162</v>
      </c>
      <c r="N96">
        <f t="shared" si="189"/>
        <v>162</v>
      </c>
      <c r="O96">
        <f t="shared" si="189"/>
        <v>162</v>
      </c>
    </row>
    <row r="97" spans="1:26" x14ac:dyDescent="0.4">
      <c r="C97" t="s">
        <v>533</v>
      </c>
      <c r="D97">
        <f t="shared" ref="D97:O97" si="190">IFERROR(VLOOKUP(D91,Phys_Prop,2,FALSE),0)</f>
        <v>0</v>
      </c>
      <c r="E97">
        <f t="shared" si="190"/>
        <v>0</v>
      </c>
      <c r="F97">
        <f t="shared" si="190"/>
        <v>0</v>
      </c>
      <c r="G97">
        <f t="shared" si="190"/>
        <v>0</v>
      </c>
      <c r="H97">
        <f t="shared" si="190"/>
        <v>0</v>
      </c>
      <c r="I97">
        <f t="shared" si="190"/>
        <v>0</v>
      </c>
      <c r="J97">
        <f t="shared" si="190"/>
        <v>0</v>
      </c>
      <c r="K97">
        <f t="shared" si="190"/>
        <v>0</v>
      </c>
      <c r="L97">
        <f t="shared" si="190"/>
        <v>0</v>
      </c>
      <c r="M97">
        <f t="shared" si="190"/>
        <v>0</v>
      </c>
      <c r="N97">
        <f t="shared" si="190"/>
        <v>0</v>
      </c>
      <c r="O97">
        <f t="shared" si="190"/>
        <v>0</v>
      </c>
    </row>
    <row r="98" spans="1:26" x14ac:dyDescent="0.4">
      <c r="C98" t="s">
        <v>544</v>
      </c>
      <c r="D98">
        <f>IFERROR(IFERROR(D96/D94+D97/D95,D96/D94),0)</f>
        <v>162</v>
      </c>
      <c r="E98">
        <f t="shared" ref="E98" si="191">IFERROR(IFERROR(E96/E94+E97/E95,E96/E94),0)</f>
        <v>162</v>
      </c>
      <c r="F98">
        <f t="shared" ref="F98" si="192">IFERROR(IFERROR(F96/F94+F97/F95,F96/F94),0)</f>
        <v>162</v>
      </c>
      <c r="G98">
        <f t="shared" ref="G98" si="193">IFERROR(IFERROR(G96/G94+G97/G95,G96/G94),0)</f>
        <v>162</v>
      </c>
      <c r="H98">
        <f t="shared" ref="H98" si="194">IFERROR(IFERROR(H96/H94+H97/H95,H96/H94),0)</f>
        <v>162</v>
      </c>
      <c r="I98">
        <f t="shared" ref="I98" si="195">IFERROR(IFERROR(I96/I94+I97/I95,I96/I94),0)</f>
        <v>162</v>
      </c>
      <c r="J98">
        <f t="shared" ref="J98" si="196">IFERROR(IFERROR(J96/J94+J97/J95,J96/J94),0)</f>
        <v>162</v>
      </c>
      <c r="K98">
        <f t="shared" ref="K98" si="197">IFERROR(IFERROR(K96/K94+K97/K95,K96/K94),0)</f>
        <v>162</v>
      </c>
      <c r="L98">
        <f t="shared" ref="L98" si="198">IFERROR(IFERROR(L96/L94+L97/L95,L96/L94),0)</f>
        <v>162</v>
      </c>
      <c r="M98">
        <f t="shared" ref="M98" si="199">IFERROR(IFERROR(M96/M94+M97/M95,M96/M94),0)</f>
        <v>162</v>
      </c>
      <c r="N98">
        <f t="shared" ref="N98" si="200">IFERROR(IFERROR(N96/N94+N97/N95,N96/N94),0)</f>
        <v>162</v>
      </c>
      <c r="O98">
        <f t="shared" ref="O98" si="201">IFERROR(IFERROR(O96/O94+O97/O95,O96/O94),0)</f>
        <v>162</v>
      </c>
    </row>
    <row r="99" spans="1:26" x14ac:dyDescent="0.4">
      <c r="C99" t="s">
        <v>539</v>
      </c>
      <c r="D99">
        <f>IFERROR((D94/D96)*D98,1)</f>
        <v>1</v>
      </c>
      <c r="E99">
        <f t="shared" ref="E99" si="202">IFERROR((E94/E96)*E98,1)</f>
        <v>1</v>
      </c>
      <c r="F99">
        <f t="shared" ref="F99" si="203">IFERROR((F94/F96)*F98,1)</f>
        <v>1</v>
      </c>
      <c r="G99">
        <f t="shared" ref="G99" si="204">IFERROR((G94/G96)*G98,1)</f>
        <v>1</v>
      </c>
      <c r="H99">
        <f t="shared" ref="H99" si="205">IFERROR((H94/H96)*H98,1)</f>
        <v>1</v>
      </c>
      <c r="I99">
        <f t="shared" ref="I99" si="206">IFERROR((I94/I96)*I98,1)</f>
        <v>1</v>
      </c>
      <c r="J99">
        <f t="shared" ref="J99" si="207">IFERROR((J94/J96)*J98,1)</f>
        <v>1</v>
      </c>
      <c r="K99">
        <f t="shared" ref="K99" si="208">IFERROR((K94/K96)*K98,1)</f>
        <v>1</v>
      </c>
      <c r="L99">
        <f t="shared" ref="L99" si="209">IFERROR((L94/L96)*L98,1)</f>
        <v>1</v>
      </c>
      <c r="M99">
        <f t="shared" ref="M99" si="210">IFERROR((M94/M96)*M98,1)</f>
        <v>1</v>
      </c>
      <c r="N99">
        <f t="shared" ref="N99" si="211">IFERROR((N94/N96)*N98,1)</f>
        <v>1</v>
      </c>
      <c r="O99">
        <f t="shared" ref="O99" si="212">IFERROR((O94/O96)*O98,1)</f>
        <v>1</v>
      </c>
    </row>
    <row r="100" spans="1:26" x14ac:dyDescent="0.4">
      <c r="C100" t="s">
        <v>540</v>
      </c>
      <c r="D100">
        <f>IFERROR((D95/D97)*D98,0)</f>
        <v>0</v>
      </c>
      <c r="E100">
        <f t="shared" ref="E100:O100" si="213">IFERROR((E95/E97)*E98,0)</f>
        <v>0</v>
      </c>
      <c r="F100">
        <f t="shared" si="213"/>
        <v>0</v>
      </c>
      <c r="G100">
        <f t="shared" si="213"/>
        <v>0</v>
      </c>
      <c r="H100">
        <f t="shared" si="213"/>
        <v>0</v>
      </c>
      <c r="I100">
        <f t="shared" si="213"/>
        <v>0</v>
      </c>
      <c r="J100">
        <f t="shared" si="213"/>
        <v>0</v>
      </c>
      <c r="K100">
        <f t="shared" si="213"/>
        <v>0</v>
      </c>
      <c r="L100">
        <f t="shared" si="213"/>
        <v>0</v>
      </c>
      <c r="M100">
        <f t="shared" si="213"/>
        <v>0</v>
      </c>
      <c r="N100">
        <f t="shared" si="213"/>
        <v>0</v>
      </c>
      <c r="O100">
        <f t="shared" si="213"/>
        <v>0</v>
      </c>
    </row>
    <row r="101" spans="1:26" x14ac:dyDescent="0.4">
      <c r="C101" s="21" t="s">
        <v>534</v>
      </c>
      <c r="D101">
        <f t="shared" ref="D101:O101" si="214">IFERROR(VLOOKUP(D90,Phys_Prop,4,FALSE),0)</f>
        <v>7</v>
      </c>
      <c r="E101">
        <f t="shared" si="214"/>
        <v>7</v>
      </c>
      <c r="F101">
        <f t="shared" si="214"/>
        <v>7</v>
      </c>
      <c r="G101">
        <f t="shared" si="214"/>
        <v>7</v>
      </c>
      <c r="H101">
        <f t="shared" si="214"/>
        <v>7</v>
      </c>
      <c r="I101">
        <f t="shared" si="214"/>
        <v>7</v>
      </c>
      <c r="J101">
        <f t="shared" si="214"/>
        <v>7</v>
      </c>
      <c r="K101">
        <f t="shared" si="214"/>
        <v>7</v>
      </c>
      <c r="L101">
        <f t="shared" si="214"/>
        <v>7</v>
      </c>
      <c r="M101">
        <f t="shared" si="214"/>
        <v>7</v>
      </c>
      <c r="N101">
        <f t="shared" si="214"/>
        <v>7</v>
      </c>
      <c r="O101">
        <f t="shared" si="214"/>
        <v>7</v>
      </c>
    </row>
    <row r="102" spans="1:26" x14ac:dyDescent="0.4">
      <c r="C102" s="21" t="s">
        <v>535</v>
      </c>
      <c r="D102">
        <f t="shared" ref="D102:O102" si="215">IFERROR(VLOOKUP(D91,Phys_Prop,4,FALSE),0)</f>
        <v>0</v>
      </c>
      <c r="E102">
        <f t="shared" si="215"/>
        <v>0</v>
      </c>
      <c r="F102">
        <f t="shared" si="215"/>
        <v>0</v>
      </c>
      <c r="G102">
        <f t="shared" si="215"/>
        <v>0</v>
      </c>
      <c r="H102">
        <f t="shared" si="215"/>
        <v>0</v>
      </c>
      <c r="I102">
        <f t="shared" si="215"/>
        <v>0</v>
      </c>
      <c r="J102">
        <f t="shared" si="215"/>
        <v>0</v>
      </c>
      <c r="K102">
        <f t="shared" si="215"/>
        <v>0</v>
      </c>
      <c r="L102">
        <f t="shared" si="215"/>
        <v>0</v>
      </c>
      <c r="M102">
        <f t="shared" si="215"/>
        <v>0</v>
      </c>
      <c r="N102">
        <f t="shared" si="215"/>
        <v>0</v>
      </c>
      <c r="O102">
        <f t="shared" si="215"/>
        <v>0</v>
      </c>
    </row>
    <row r="103" spans="1:26" x14ac:dyDescent="0.4">
      <c r="A103" s="11"/>
      <c r="B103" s="11"/>
      <c r="C103" s="62" t="s">
        <v>536</v>
      </c>
      <c r="D103" s="11">
        <f>IFERROR(1/(D99/D101+D100/D102),D101)</f>
        <v>7</v>
      </c>
      <c r="E103" s="11">
        <f t="shared" ref="E103:O103" si="216">IFERROR(1/(E99/E101+E100/E102),E101)</f>
        <v>7</v>
      </c>
      <c r="F103" s="11">
        <f t="shared" si="216"/>
        <v>7</v>
      </c>
      <c r="G103" s="11">
        <f t="shared" si="216"/>
        <v>7</v>
      </c>
      <c r="H103" s="11">
        <f t="shared" si="216"/>
        <v>7</v>
      </c>
      <c r="I103" s="11">
        <f t="shared" si="216"/>
        <v>7</v>
      </c>
      <c r="J103" s="11">
        <f t="shared" si="216"/>
        <v>7</v>
      </c>
      <c r="K103" s="11">
        <f t="shared" si="216"/>
        <v>7</v>
      </c>
      <c r="L103" s="11">
        <f t="shared" si="216"/>
        <v>7</v>
      </c>
      <c r="M103" s="11">
        <f t="shared" si="216"/>
        <v>7</v>
      </c>
      <c r="N103" s="11">
        <f t="shared" si="216"/>
        <v>7</v>
      </c>
      <c r="O103" s="11">
        <f t="shared" si="216"/>
        <v>7</v>
      </c>
      <c r="P103" s="11"/>
      <c r="Q103" s="11"/>
      <c r="R103" s="11"/>
      <c r="S103" s="11"/>
      <c r="T103" s="11"/>
      <c r="U103" s="11"/>
      <c r="V103" s="11"/>
      <c r="W103" s="11"/>
      <c r="X103" s="11"/>
      <c r="Y103" s="11"/>
      <c r="Z103" s="11"/>
    </row>
    <row r="104" spans="1:26" x14ac:dyDescent="0.4">
      <c r="A104" t="str" cm="1">
        <f t="array" ref="A104">INDEX(FX_Input,R104,S104)</f>
        <v>FX - 8</v>
      </c>
      <c r="B104" t="str" cm="1">
        <f t="array" ref="B104">INDEX(FX_Input,R104,T104)</f>
        <v>Portland</v>
      </c>
      <c r="C104" t="s">
        <v>528</v>
      </c>
      <c r="D104" t="str" cm="1">
        <f t="array" ref="D104">INDEX(FX_Input,$R104,$Y104*D$5+$Z104)</f>
        <v>Jet kerosene</v>
      </c>
      <c r="E104" t="str" cm="1">
        <f t="array" ref="E104">INDEX(FX_Input,$R104,$Y104*E$5+$Z104)</f>
        <v>Jet kerosene</v>
      </c>
      <c r="F104" t="str" cm="1">
        <f t="array" ref="F104">INDEX(FX_Input,$R104,$Y104*F$5+$Z104)</f>
        <v>Jet kerosene</v>
      </c>
      <c r="G104" t="str" cm="1">
        <f t="array" ref="G104">INDEX(FX_Input,$R104,$Y104*G$5+$Z104)</f>
        <v>Jet kerosene</v>
      </c>
      <c r="H104" t="str" cm="1">
        <f t="array" ref="H104">INDEX(FX_Input,$R104,$Y104*H$5+$Z104)</f>
        <v>Jet kerosene</v>
      </c>
      <c r="I104" t="str" cm="1">
        <f t="array" ref="I104">INDEX(FX_Input,$R104,$Y104*I$5+$Z104)</f>
        <v>Jet kerosene</v>
      </c>
      <c r="J104" t="str" cm="1">
        <f t="array" ref="J104">INDEX(FX_Input,$R104,$Y104*J$5+$Z104)</f>
        <v>Jet kerosene</v>
      </c>
      <c r="K104" t="str" cm="1">
        <f t="array" ref="K104">INDEX(FX_Input,$R104,$Y104*K$5+$Z104)</f>
        <v>Jet kerosene</v>
      </c>
      <c r="L104" t="str" cm="1">
        <f t="array" ref="L104">INDEX(FX_Input,$R104,$Y104*L$5+$Z104)</f>
        <v>Jet kerosene</v>
      </c>
      <c r="M104" t="str" cm="1">
        <f t="array" ref="M104">INDEX(FX_Input,$R104,$Y104*M$5+$Z104)</f>
        <v>Jet kerosene</v>
      </c>
      <c r="N104" t="str" cm="1">
        <f t="array" ref="N104">INDEX(FX_Input,$R104,$Y104*N$5+$Z104)</f>
        <v>Jet kerosene</v>
      </c>
      <c r="O104" t="str" cm="1">
        <f t="array" ref="O104">INDEX(FX_Input,$R104,$Y104*O$5+$Z104)</f>
        <v>Jet kerosene</v>
      </c>
      <c r="R104">
        <f>R90+2</f>
        <v>15</v>
      </c>
      <c r="S104">
        <v>1</v>
      </c>
      <c r="T104">
        <v>3</v>
      </c>
      <c r="U104">
        <v>17</v>
      </c>
      <c r="V104">
        <f>U104+5</f>
        <v>22</v>
      </c>
      <c r="W104">
        <v>1</v>
      </c>
      <c r="X104">
        <v>2</v>
      </c>
      <c r="Y104">
        <f t="shared" ref="Y104:Y109" si="217">(V104-U104)/(X104-W104)</f>
        <v>5</v>
      </c>
      <c r="Z104">
        <f t="shared" ref="Z104:Z109" si="218">U104-Y104*W104</f>
        <v>12</v>
      </c>
    </row>
    <row r="105" spans="1:26" x14ac:dyDescent="0.4">
      <c r="C105" t="s">
        <v>529</v>
      </c>
      <c r="D105" cm="1">
        <f t="array" ref="D105">INDEX(FX_Input,$R105,$Y105*D$5+$Z105)</f>
        <v>0</v>
      </c>
      <c r="E105" cm="1">
        <f t="array" ref="E105">INDEX(FX_Input,$R105,$Y105*E$5+$Z105)</f>
        <v>0</v>
      </c>
      <c r="F105" cm="1">
        <f t="array" ref="F105">INDEX(FX_Input,$R105,$Y105*F$5+$Z105)</f>
        <v>0</v>
      </c>
      <c r="G105" cm="1">
        <f t="array" ref="G105">INDEX(FX_Input,$R105,$Y105*G$5+$Z105)</f>
        <v>0</v>
      </c>
      <c r="H105" cm="1">
        <f t="array" ref="H105">INDEX(FX_Input,$R105,$Y105*H$5+$Z105)</f>
        <v>0</v>
      </c>
      <c r="I105" cm="1">
        <f t="array" ref="I105">INDEX(FX_Input,$R105,$Y105*I$5+$Z105)</f>
        <v>0</v>
      </c>
      <c r="J105" cm="1">
        <f t="array" ref="J105">INDEX(FX_Input,$R105,$Y105*J$5+$Z105)</f>
        <v>0</v>
      </c>
      <c r="K105" cm="1">
        <f t="array" ref="K105">INDEX(FX_Input,$R105,$Y105*K$5+$Z105)</f>
        <v>0</v>
      </c>
      <c r="L105" cm="1">
        <f t="array" ref="L105">INDEX(FX_Input,$R105,$Y105*L$5+$Z105)</f>
        <v>0</v>
      </c>
      <c r="M105" cm="1">
        <f t="array" ref="M105">INDEX(FX_Input,$R105,$Y105*M$5+$Z105)</f>
        <v>0</v>
      </c>
      <c r="N105" cm="1">
        <f t="array" ref="N105">INDEX(FX_Input,$R105,$Y105*N$5+$Z105)</f>
        <v>0</v>
      </c>
      <c r="O105" cm="1">
        <f t="array" ref="O105">INDEX(FX_Input,$R105,$Y105*O$5+$Z105)</f>
        <v>0</v>
      </c>
      <c r="R105">
        <f>R104+1</f>
        <v>16</v>
      </c>
      <c r="U105">
        <f>U104</f>
        <v>17</v>
      </c>
      <c r="V105">
        <f t="shared" ref="V105:V109" si="219">U105+5</f>
        <v>22</v>
      </c>
      <c r="W105">
        <v>1</v>
      </c>
      <c r="X105">
        <v>2</v>
      </c>
      <c r="Y105">
        <f t="shared" si="217"/>
        <v>5</v>
      </c>
      <c r="Z105">
        <f t="shared" si="218"/>
        <v>12</v>
      </c>
    </row>
    <row r="106" spans="1:26" x14ac:dyDescent="0.4">
      <c r="C106" t="s">
        <v>530</v>
      </c>
      <c r="D106" t="str" cm="1">
        <f t="array" ref="D106">INDEX(FX_Input,$R106,$Y106*D$5+$Z106)</f>
        <v>Select Pet Stock</v>
      </c>
      <c r="E106" t="str" cm="1">
        <f t="array" ref="E106">INDEX(FX_Input,$R106,$Y106*E$5+$Z106)</f>
        <v>Select Pet Stock</v>
      </c>
      <c r="F106" t="str" cm="1">
        <f t="array" ref="F106">INDEX(FX_Input,$R106,$Y106*F$5+$Z106)</f>
        <v>Select Pet Stock</v>
      </c>
      <c r="G106" t="str" cm="1">
        <f t="array" ref="G106">INDEX(FX_Input,$R106,$Y106*G$5+$Z106)</f>
        <v>Select Pet Stock</v>
      </c>
      <c r="H106" t="str" cm="1">
        <f t="array" ref="H106">INDEX(FX_Input,$R106,$Y106*H$5+$Z106)</f>
        <v>Select Pet Stock</v>
      </c>
      <c r="I106" t="str" cm="1">
        <f t="array" ref="I106">INDEX(FX_Input,$R106,$Y106*I$5+$Z106)</f>
        <v>Select Pet Stock</v>
      </c>
      <c r="J106" t="str" cm="1">
        <f t="array" ref="J106">INDEX(FX_Input,$R106,$Y106*J$5+$Z106)</f>
        <v>Select Pet Stock</v>
      </c>
      <c r="K106" t="str" cm="1">
        <f t="array" ref="K106">INDEX(FX_Input,$R106,$Y106*K$5+$Z106)</f>
        <v>Select Pet Stock</v>
      </c>
      <c r="L106" t="str" cm="1">
        <f t="array" ref="L106">INDEX(FX_Input,$R106,$Y106*L$5+$Z106)</f>
        <v>Select Pet Stock</v>
      </c>
      <c r="M106" t="str" cm="1">
        <f t="array" ref="M106">INDEX(FX_Input,$R106,$Y106*M$5+$Z106)</f>
        <v>Select Pet Stock</v>
      </c>
      <c r="N106" t="str" cm="1">
        <f t="array" ref="N106">INDEX(FX_Input,$R106,$Y106*N$5+$Z106)</f>
        <v>Select Pet Stock</v>
      </c>
      <c r="O106" t="str" cm="1">
        <f t="array" ref="O106">INDEX(FX_Input,$R106,$Y106*O$5+$Z106)</f>
        <v>Select Pet Stock</v>
      </c>
      <c r="R106">
        <f>R104</f>
        <v>15</v>
      </c>
      <c r="U106">
        <v>18</v>
      </c>
      <c r="V106">
        <f t="shared" si="219"/>
        <v>23</v>
      </c>
      <c r="W106">
        <v>1</v>
      </c>
      <c r="X106">
        <v>2</v>
      </c>
      <c r="Y106">
        <f t="shared" si="217"/>
        <v>5</v>
      </c>
      <c r="Z106">
        <f t="shared" si="218"/>
        <v>13</v>
      </c>
    </row>
    <row r="107" spans="1:26" x14ac:dyDescent="0.4">
      <c r="C107" t="s">
        <v>531</v>
      </c>
      <c r="D107" cm="1">
        <f t="array" ref="D107">INDEX(FX_Input,$R107,$Y107*D$5+$Z107)</f>
        <v>0</v>
      </c>
      <c r="E107" cm="1">
        <f t="array" ref="E107">INDEX(FX_Input,$R107,$Y107*E$5+$Z107)</f>
        <v>0</v>
      </c>
      <c r="F107" cm="1">
        <f t="array" ref="F107">INDEX(FX_Input,$R107,$Y107*F$5+$Z107)</f>
        <v>0</v>
      </c>
      <c r="G107" cm="1">
        <f t="array" ref="G107">INDEX(FX_Input,$R107,$Y107*G$5+$Z107)</f>
        <v>0</v>
      </c>
      <c r="H107" cm="1">
        <f t="array" ref="H107">INDEX(FX_Input,$R107,$Y107*H$5+$Z107)</f>
        <v>0</v>
      </c>
      <c r="I107" cm="1">
        <f t="array" ref="I107">INDEX(FX_Input,$R107,$Y107*I$5+$Z107)</f>
        <v>0</v>
      </c>
      <c r="J107" cm="1">
        <f t="array" ref="J107">INDEX(FX_Input,$R107,$Y107*J$5+$Z107)</f>
        <v>0</v>
      </c>
      <c r="K107" cm="1">
        <f t="array" ref="K107">INDEX(FX_Input,$R107,$Y107*K$5+$Z107)</f>
        <v>0</v>
      </c>
      <c r="L107" cm="1">
        <f t="array" ref="L107">INDEX(FX_Input,$R107,$Y107*L$5+$Z107)</f>
        <v>0</v>
      </c>
      <c r="M107" cm="1">
        <f t="array" ref="M107">INDEX(FX_Input,$R107,$Y107*M$5+$Z107)</f>
        <v>0</v>
      </c>
      <c r="N107" cm="1">
        <f t="array" ref="N107">INDEX(FX_Input,$R107,$Y107*N$5+$Z107)</f>
        <v>0</v>
      </c>
      <c r="O107" cm="1">
        <f t="array" ref="O107">INDEX(FX_Input,$R107,$Y107*O$5+$Z107)</f>
        <v>0</v>
      </c>
      <c r="R107">
        <f>R105</f>
        <v>16</v>
      </c>
      <c r="U107">
        <f>U106</f>
        <v>18</v>
      </c>
      <c r="V107">
        <f t="shared" si="219"/>
        <v>23</v>
      </c>
      <c r="W107">
        <v>1</v>
      </c>
      <c r="X107">
        <v>2</v>
      </c>
      <c r="Y107">
        <f t="shared" si="217"/>
        <v>5</v>
      </c>
      <c r="Z107">
        <f t="shared" si="218"/>
        <v>13</v>
      </c>
    </row>
    <row r="108" spans="1:26" x14ac:dyDescent="0.4">
      <c r="C108" t="s">
        <v>546</v>
      </c>
      <c r="D108" cm="1">
        <f t="array" ref="D108">INDEX(FX_Input,$R108,$Y108*D$5+$Z108)</f>
        <v>1</v>
      </c>
      <c r="E108" cm="1">
        <f t="array" ref="E108">INDEX(FX_Input,$R108,$Y108*E$5+$Z108)</f>
        <v>1</v>
      </c>
      <c r="F108" cm="1">
        <f t="array" ref="F108">INDEX(FX_Input,$R108,$Y108*F$5+$Z108)</f>
        <v>1</v>
      </c>
      <c r="G108" cm="1">
        <f t="array" ref="G108">INDEX(FX_Input,$R108,$Y108*G$5+$Z108)</f>
        <v>1</v>
      </c>
      <c r="H108" cm="1">
        <f t="array" ref="H108">INDEX(FX_Input,$R108,$Y108*H$5+$Z108)</f>
        <v>1</v>
      </c>
      <c r="I108" cm="1">
        <f t="array" ref="I108">INDEX(FX_Input,$R108,$Y108*I$5+$Z108)</f>
        <v>1</v>
      </c>
      <c r="J108" cm="1">
        <f t="array" ref="J108">INDEX(FX_Input,$R108,$Y108*J$5+$Z108)</f>
        <v>1</v>
      </c>
      <c r="K108" cm="1">
        <f t="array" ref="K108">INDEX(FX_Input,$R108,$Y108*K$5+$Z108)</f>
        <v>1</v>
      </c>
      <c r="L108" cm="1">
        <f t="array" ref="L108">INDEX(FX_Input,$R108,$Y108*L$5+$Z108)</f>
        <v>1</v>
      </c>
      <c r="M108" cm="1">
        <f t="array" ref="M108">INDEX(FX_Input,$R108,$Y108*M$5+$Z108)</f>
        <v>1</v>
      </c>
      <c r="N108" cm="1">
        <f t="array" ref="N108">INDEX(FX_Input,$R108,$Y108*N$5+$Z108)</f>
        <v>1</v>
      </c>
      <c r="O108" cm="1">
        <f t="array" ref="O108">INDEX(FX_Input,$R108,$Y108*O$5+$Z108)</f>
        <v>1</v>
      </c>
      <c r="R108">
        <f>R106</f>
        <v>15</v>
      </c>
      <c r="U108">
        <v>21</v>
      </c>
      <c r="V108">
        <f t="shared" si="219"/>
        <v>26</v>
      </c>
      <c r="W108">
        <v>1</v>
      </c>
      <c r="X108">
        <v>2</v>
      </c>
      <c r="Y108">
        <f t="shared" si="217"/>
        <v>5</v>
      </c>
      <c r="Z108">
        <f t="shared" si="218"/>
        <v>16</v>
      </c>
    </row>
    <row r="109" spans="1:26" x14ac:dyDescent="0.4">
      <c r="C109" t="s">
        <v>547</v>
      </c>
      <c r="D109" cm="1">
        <f t="array" ref="D109">INDEX(FX_Input,$R109,$Y109*D$5+$Z109)</f>
        <v>0</v>
      </c>
      <c r="E109" cm="1">
        <f t="array" ref="E109">INDEX(FX_Input,$R109,$Y109*E$5+$Z109)</f>
        <v>0</v>
      </c>
      <c r="F109" cm="1">
        <f t="array" ref="F109">INDEX(FX_Input,$R109,$Y109*F$5+$Z109)</f>
        <v>0</v>
      </c>
      <c r="G109" cm="1">
        <f t="array" ref="G109">INDEX(FX_Input,$R109,$Y109*G$5+$Z109)</f>
        <v>0</v>
      </c>
      <c r="H109" cm="1">
        <f t="array" ref="H109">INDEX(FX_Input,$R109,$Y109*H$5+$Z109)</f>
        <v>0</v>
      </c>
      <c r="I109" cm="1">
        <f t="array" ref="I109">INDEX(FX_Input,$R109,$Y109*I$5+$Z109)</f>
        <v>0</v>
      </c>
      <c r="J109" cm="1">
        <f t="array" ref="J109">INDEX(FX_Input,$R109,$Y109*J$5+$Z109)</f>
        <v>0</v>
      </c>
      <c r="K109" cm="1">
        <f t="array" ref="K109">INDEX(FX_Input,$R109,$Y109*K$5+$Z109)</f>
        <v>0</v>
      </c>
      <c r="L109" cm="1">
        <f t="array" ref="L109">INDEX(FX_Input,$R109,$Y109*L$5+$Z109)</f>
        <v>0</v>
      </c>
      <c r="M109" cm="1">
        <f t="array" ref="M109">INDEX(FX_Input,$R109,$Y109*M$5+$Z109)</f>
        <v>0</v>
      </c>
      <c r="N109" cm="1">
        <f t="array" ref="N109">INDEX(FX_Input,$R109,$Y109*N$5+$Z109)</f>
        <v>0</v>
      </c>
      <c r="O109" cm="1">
        <f t="array" ref="O109">INDEX(FX_Input,$R109,$Y109*O$5+$Z109)</f>
        <v>0</v>
      </c>
      <c r="R109">
        <f>R107</f>
        <v>16</v>
      </c>
      <c r="U109">
        <f>U108</f>
        <v>21</v>
      </c>
      <c r="V109">
        <f t="shared" si="219"/>
        <v>26</v>
      </c>
      <c r="W109">
        <v>1</v>
      </c>
      <c r="X109">
        <v>2</v>
      </c>
      <c r="Y109">
        <f t="shared" si="217"/>
        <v>5</v>
      </c>
      <c r="Z109">
        <f t="shared" si="218"/>
        <v>16</v>
      </c>
    </row>
    <row r="110" spans="1:26" x14ac:dyDescent="0.4">
      <c r="C110" t="s">
        <v>532</v>
      </c>
      <c r="D110">
        <f t="shared" ref="D110:O110" si="220">IFERROR(VLOOKUP(D104,Phys_Prop,2,FALSE),0)</f>
        <v>162</v>
      </c>
      <c r="E110">
        <f t="shared" si="220"/>
        <v>162</v>
      </c>
      <c r="F110">
        <f t="shared" si="220"/>
        <v>162</v>
      </c>
      <c r="G110">
        <f t="shared" si="220"/>
        <v>162</v>
      </c>
      <c r="H110">
        <f t="shared" si="220"/>
        <v>162</v>
      </c>
      <c r="I110">
        <f t="shared" si="220"/>
        <v>162</v>
      </c>
      <c r="J110">
        <f t="shared" si="220"/>
        <v>162</v>
      </c>
      <c r="K110">
        <f t="shared" si="220"/>
        <v>162</v>
      </c>
      <c r="L110">
        <f t="shared" si="220"/>
        <v>162</v>
      </c>
      <c r="M110">
        <f t="shared" si="220"/>
        <v>162</v>
      </c>
      <c r="N110">
        <f t="shared" si="220"/>
        <v>162</v>
      </c>
      <c r="O110">
        <f t="shared" si="220"/>
        <v>162</v>
      </c>
    </row>
    <row r="111" spans="1:26" x14ac:dyDescent="0.4">
      <c r="C111" t="s">
        <v>533</v>
      </c>
      <c r="D111">
        <f t="shared" ref="D111:O111" si="221">IFERROR(VLOOKUP(D105,Phys_Prop,2,FALSE),0)</f>
        <v>0</v>
      </c>
      <c r="E111">
        <f t="shared" si="221"/>
        <v>0</v>
      </c>
      <c r="F111">
        <f t="shared" si="221"/>
        <v>0</v>
      </c>
      <c r="G111">
        <f t="shared" si="221"/>
        <v>0</v>
      </c>
      <c r="H111">
        <f t="shared" si="221"/>
        <v>0</v>
      </c>
      <c r="I111">
        <f t="shared" si="221"/>
        <v>0</v>
      </c>
      <c r="J111">
        <f t="shared" si="221"/>
        <v>0</v>
      </c>
      <c r="K111">
        <f t="shared" si="221"/>
        <v>0</v>
      </c>
      <c r="L111">
        <f t="shared" si="221"/>
        <v>0</v>
      </c>
      <c r="M111">
        <f t="shared" si="221"/>
        <v>0</v>
      </c>
      <c r="N111">
        <f t="shared" si="221"/>
        <v>0</v>
      </c>
      <c r="O111">
        <f t="shared" si="221"/>
        <v>0</v>
      </c>
    </row>
    <row r="112" spans="1:26" x14ac:dyDescent="0.4">
      <c r="C112" t="s">
        <v>544</v>
      </c>
      <c r="D112">
        <f>IFERROR(IFERROR(D110/D108+D111/D109,D110/D108),0)</f>
        <v>162</v>
      </c>
      <c r="E112">
        <f t="shared" ref="E112" si="222">IFERROR(IFERROR(E110/E108+E111/E109,E110/E108),0)</f>
        <v>162</v>
      </c>
      <c r="F112">
        <f t="shared" ref="F112" si="223">IFERROR(IFERROR(F110/F108+F111/F109,F110/F108),0)</f>
        <v>162</v>
      </c>
      <c r="G112">
        <f t="shared" ref="G112" si="224">IFERROR(IFERROR(G110/G108+G111/G109,G110/G108),0)</f>
        <v>162</v>
      </c>
      <c r="H112">
        <f t="shared" ref="H112" si="225">IFERROR(IFERROR(H110/H108+H111/H109,H110/H108),0)</f>
        <v>162</v>
      </c>
      <c r="I112">
        <f t="shared" ref="I112" si="226">IFERROR(IFERROR(I110/I108+I111/I109,I110/I108),0)</f>
        <v>162</v>
      </c>
      <c r="J112">
        <f t="shared" ref="J112" si="227">IFERROR(IFERROR(J110/J108+J111/J109,J110/J108),0)</f>
        <v>162</v>
      </c>
      <c r="K112">
        <f t="shared" ref="K112" si="228">IFERROR(IFERROR(K110/K108+K111/K109,K110/K108),0)</f>
        <v>162</v>
      </c>
      <c r="L112">
        <f t="shared" ref="L112" si="229">IFERROR(IFERROR(L110/L108+L111/L109,L110/L108),0)</f>
        <v>162</v>
      </c>
      <c r="M112">
        <f t="shared" ref="M112" si="230">IFERROR(IFERROR(M110/M108+M111/M109,M110/M108),0)</f>
        <v>162</v>
      </c>
      <c r="N112">
        <f t="shared" ref="N112" si="231">IFERROR(IFERROR(N110/N108+N111/N109,N110/N108),0)</f>
        <v>162</v>
      </c>
      <c r="O112">
        <f t="shared" ref="O112" si="232">IFERROR(IFERROR(O110/O108+O111/O109,O110/O108),0)</f>
        <v>162</v>
      </c>
    </row>
    <row r="113" spans="1:26" x14ac:dyDescent="0.4">
      <c r="C113" t="s">
        <v>539</v>
      </c>
      <c r="D113">
        <f>IFERROR((D108/D110)*D112,1)</f>
        <v>1</v>
      </c>
      <c r="E113">
        <f t="shared" ref="E113" si="233">IFERROR((E108/E110)*E112,1)</f>
        <v>1</v>
      </c>
      <c r="F113">
        <f t="shared" ref="F113" si="234">IFERROR((F108/F110)*F112,1)</f>
        <v>1</v>
      </c>
      <c r="G113">
        <f t="shared" ref="G113" si="235">IFERROR((G108/G110)*G112,1)</f>
        <v>1</v>
      </c>
      <c r="H113">
        <f t="shared" ref="H113" si="236">IFERROR((H108/H110)*H112,1)</f>
        <v>1</v>
      </c>
      <c r="I113">
        <f t="shared" ref="I113" si="237">IFERROR((I108/I110)*I112,1)</f>
        <v>1</v>
      </c>
      <c r="J113">
        <f t="shared" ref="J113" si="238">IFERROR((J108/J110)*J112,1)</f>
        <v>1</v>
      </c>
      <c r="K113">
        <f t="shared" ref="K113" si="239">IFERROR((K108/K110)*K112,1)</f>
        <v>1</v>
      </c>
      <c r="L113">
        <f t="shared" ref="L113" si="240">IFERROR((L108/L110)*L112,1)</f>
        <v>1</v>
      </c>
      <c r="M113">
        <f t="shared" ref="M113" si="241">IFERROR((M108/M110)*M112,1)</f>
        <v>1</v>
      </c>
      <c r="N113">
        <f t="shared" ref="N113" si="242">IFERROR((N108/N110)*N112,1)</f>
        <v>1</v>
      </c>
      <c r="O113">
        <f t="shared" ref="O113" si="243">IFERROR((O108/O110)*O112,1)</f>
        <v>1</v>
      </c>
    </row>
    <row r="114" spans="1:26" x14ac:dyDescent="0.4">
      <c r="C114" t="s">
        <v>540</v>
      </c>
      <c r="D114">
        <f>IFERROR((D109/D111)*D112,0)</f>
        <v>0</v>
      </c>
      <c r="E114">
        <f t="shared" ref="E114:O114" si="244">IFERROR((E109/E111)*E112,0)</f>
        <v>0</v>
      </c>
      <c r="F114">
        <f t="shared" si="244"/>
        <v>0</v>
      </c>
      <c r="G114">
        <f t="shared" si="244"/>
        <v>0</v>
      </c>
      <c r="H114">
        <f t="shared" si="244"/>
        <v>0</v>
      </c>
      <c r="I114">
        <f t="shared" si="244"/>
        <v>0</v>
      </c>
      <c r="J114">
        <f t="shared" si="244"/>
        <v>0</v>
      </c>
      <c r="K114">
        <f t="shared" si="244"/>
        <v>0</v>
      </c>
      <c r="L114">
        <f t="shared" si="244"/>
        <v>0</v>
      </c>
      <c r="M114">
        <f t="shared" si="244"/>
        <v>0</v>
      </c>
      <c r="N114">
        <f t="shared" si="244"/>
        <v>0</v>
      </c>
      <c r="O114">
        <f t="shared" si="244"/>
        <v>0</v>
      </c>
    </row>
    <row r="115" spans="1:26" x14ac:dyDescent="0.4">
      <c r="C115" s="21" t="s">
        <v>534</v>
      </c>
      <c r="D115">
        <f t="shared" ref="D115:O115" si="245">IFERROR(VLOOKUP(D104,Phys_Prop,4,FALSE),0)</f>
        <v>7</v>
      </c>
      <c r="E115">
        <f t="shared" si="245"/>
        <v>7</v>
      </c>
      <c r="F115">
        <f t="shared" si="245"/>
        <v>7</v>
      </c>
      <c r="G115">
        <f t="shared" si="245"/>
        <v>7</v>
      </c>
      <c r="H115">
        <f t="shared" si="245"/>
        <v>7</v>
      </c>
      <c r="I115">
        <f t="shared" si="245"/>
        <v>7</v>
      </c>
      <c r="J115">
        <f t="shared" si="245"/>
        <v>7</v>
      </c>
      <c r="K115">
        <f t="shared" si="245"/>
        <v>7</v>
      </c>
      <c r="L115">
        <f t="shared" si="245"/>
        <v>7</v>
      </c>
      <c r="M115">
        <f t="shared" si="245"/>
        <v>7</v>
      </c>
      <c r="N115">
        <f t="shared" si="245"/>
        <v>7</v>
      </c>
      <c r="O115">
        <f t="shared" si="245"/>
        <v>7</v>
      </c>
    </row>
    <row r="116" spans="1:26" x14ac:dyDescent="0.4">
      <c r="C116" s="21" t="s">
        <v>535</v>
      </c>
      <c r="D116">
        <f t="shared" ref="D116:O116" si="246">IFERROR(VLOOKUP(D105,Phys_Prop,4,FALSE),0)</f>
        <v>0</v>
      </c>
      <c r="E116">
        <f t="shared" si="246"/>
        <v>0</v>
      </c>
      <c r="F116">
        <f t="shared" si="246"/>
        <v>0</v>
      </c>
      <c r="G116">
        <f t="shared" si="246"/>
        <v>0</v>
      </c>
      <c r="H116">
        <f t="shared" si="246"/>
        <v>0</v>
      </c>
      <c r="I116">
        <f t="shared" si="246"/>
        <v>0</v>
      </c>
      <c r="J116">
        <f t="shared" si="246"/>
        <v>0</v>
      </c>
      <c r="K116">
        <f t="shared" si="246"/>
        <v>0</v>
      </c>
      <c r="L116">
        <f t="shared" si="246"/>
        <v>0</v>
      </c>
      <c r="M116">
        <f t="shared" si="246"/>
        <v>0</v>
      </c>
      <c r="N116">
        <f t="shared" si="246"/>
        <v>0</v>
      </c>
      <c r="O116">
        <f t="shared" si="246"/>
        <v>0</v>
      </c>
    </row>
    <row r="117" spans="1:26" x14ac:dyDescent="0.4">
      <c r="A117" s="11"/>
      <c r="B117" s="11"/>
      <c r="C117" s="62" t="s">
        <v>536</v>
      </c>
      <c r="D117" s="11">
        <f>IFERROR(1/(D113/D115+D114/D116),D115)</f>
        <v>7</v>
      </c>
      <c r="E117" s="11">
        <f t="shared" ref="E117:O117" si="247">IFERROR(1/(E113/E115+E114/E116),E115)</f>
        <v>7</v>
      </c>
      <c r="F117" s="11">
        <f t="shared" si="247"/>
        <v>7</v>
      </c>
      <c r="G117" s="11">
        <f t="shared" si="247"/>
        <v>7</v>
      </c>
      <c r="H117" s="11">
        <f t="shared" si="247"/>
        <v>7</v>
      </c>
      <c r="I117" s="11">
        <f t="shared" si="247"/>
        <v>7</v>
      </c>
      <c r="J117" s="11">
        <f t="shared" si="247"/>
        <v>7</v>
      </c>
      <c r="K117" s="11">
        <f t="shared" si="247"/>
        <v>7</v>
      </c>
      <c r="L117" s="11">
        <f t="shared" si="247"/>
        <v>7</v>
      </c>
      <c r="M117" s="11">
        <f t="shared" si="247"/>
        <v>7</v>
      </c>
      <c r="N117" s="11">
        <f t="shared" si="247"/>
        <v>7</v>
      </c>
      <c r="O117" s="11">
        <f t="shared" si="247"/>
        <v>7</v>
      </c>
      <c r="P117" s="11"/>
      <c r="Q117" s="11"/>
      <c r="R117" s="11"/>
      <c r="S117" s="11"/>
      <c r="T117" s="11"/>
      <c r="U117" s="11"/>
      <c r="V117" s="11"/>
      <c r="W117" s="11"/>
      <c r="X117" s="11"/>
      <c r="Y117" s="11"/>
      <c r="Z117" s="11"/>
    </row>
    <row r="118" spans="1:26" x14ac:dyDescent="0.4">
      <c r="A118" t="str" cm="1">
        <f t="array" ref="A118">INDEX(FX_Input,R118,S118)</f>
        <v>FX - 9</v>
      </c>
      <c r="B118" t="str" cm="1">
        <f t="array" ref="B118">INDEX(FX_Input,R118,T118)</f>
        <v>Portland</v>
      </c>
      <c r="C118" t="s">
        <v>528</v>
      </c>
      <c r="D118" t="str" cm="1">
        <f t="array" ref="D118">INDEX(FX_Input,$R118,$Y118*D$5+$Z118)</f>
        <v>Jet kerosene</v>
      </c>
      <c r="E118" t="str" cm="1">
        <f t="array" ref="E118">INDEX(FX_Input,$R118,$Y118*E$5+$Z118)</f>
        <v>Jet kerosene</v>
      </c>
      <c r="F118" t="str" cm="1">
        <f t="array" ref="F118">INDEX(FX_Input,$R118,$Y118*F$5+$Z118)</f>
        <v>Jet kerosene</v>
      </c>
      <c r="G118" t="str" cm="1">
        <f t="array" ref="G118">INDEX(FX_Input,$R118,$Y118*G$5+$Z118)</f>
        <v>Jet kerosene</v>
      </c>
      <c r="H118" t="str" cm="1">
        <f t="array" ref="H118">INDEX(FX_Input,$R118,$Y118*H$5+$Z118)</f>
        <v>Jet kerosene</v>
      </c>
      <c r="I118" t="str" cm="1">
        <f t="array" ref="I118">INDEX(FX_Input,$R118,$Y118*I$5+$Z118)</f>
        <v>Jet kerosene</v>
      </c>
      <c r="J118" t="str" cm="1">
        <f t="array" ref="J118">INDEX(FX_Input,$R118,$Y118*J$5+$Z118)</f>
        <v>Jet kerosene</v>
      </c>
      <c r="K118" t="str" cm="1">
        <f t="array" ref="K118">INDEX(FX_Input,$R118,$Y118*K$5+$Z118)</f>
        <v>Jet kerosene</v>
      </c>
      <c r="L118" t="str" cm="1">
        <f t="array" ref="L118">INDEX(FX_Input,$R118,$Y118*L$5+$Z118)</f>
        <v>Jet kerosene</v>
      </c>
      <c r="M118" t="str" cm="1">
        <f t="array" ref="M118">INDEX(FX_Input,$R118,$Y118*M$5+$Z118)</f>
        <v>Jet kerosene</v>
      </c>
      <c r="N118" t="str" cm="1">
        <f t="array" ref="N118">INDEX(FX_Input,$R118,$Y118*N$5+$Z118)</f>
        <v>Jet kerosene</v>
      </c>
      <c r="O118" t="str" cm="1">
        <f t="array" ref="O118">INDEX(FX_Input,$R118,$Y118*O$5+$Z118)</f>
        <v>Jet kerosene</v>
      </c>
      <c r="R118">
        <f>R104+2</f>
        <v>17</v>
      </c>
      <c r="S118">
        <v>1</v>
      </c>
      <c r="T118">
        <v>3</v>
      </c>
      <c r="U118">
        <v>17</v>
      </c>
      <c r="V118">
        <f>U118+5</f>
        <v>22</v>
      </c>
      <c r="W118">
        <v>1</v>
      </c>
      <c r="X118">
        <v>2</v>
      </c>
      <c r="Y118">
        <f t="shared" ref="Y118:Y123" si="248">(V118-U118)/(X118-W118)</f>
        <v>5</v>
      </c>
      <c r="Z118">
        <f t="shared" ref="Z118:Z123" si="249">U118-Y118*W118</f>
        <v>12</v>
      </c>
    </row>
    <row r="119" spans="1:26" x14ac:dyDescent="0.4">
      <c r="C119" t="s">
        <v>529</v>
      </c>
      <c r="D119" cm="1">
        <f t="array" ref="D119">INDEX(FX_Input,$R119,$Y119*D$5+$Z119)</f>
        <v>0</v>
      </c>
      <c r="E119" cm="1">
        <f t="array" ref="E119">INDEX(FX_Input,$R119,$Y119*E$5+$Z119)</f>
        <v>0</v>
      </c>
      <c r="F119" cm="1">
        <f t="array" ref="F119">INDEX(FX_Input,$R119,$Y119*F$5+$Z119)</f>
        <v>0</v>
      </c>
      <c r="G119" cm="1">
        <f t="array" ref="G119">INDEX(FX_Input,$R119,$Y119*G$5+$Z119)</f>
        <v>0</v>
      </c>
      <c r="H119" cm="1">
        <f t="array" ref="H119">INDEX(FX_Input,$R119,$Y119*H$5+$Z119)</f>
        <v>0</v>
      </c>
      <c r="I119" cm="1">
        <f t="array" ref="I119">INDEX(FX_Input,$R119,$Y119*I$5+$Z119)</f>
        <v>0</v>
      </c>
      <c r="J119" cm="1">
        <f t="array" ref="J119">INDEX(FX_Input,$R119,$Y119*J$5+$Z119)</f>
        <v>0</v>
      </c>
      <c r="K119" cm="1">
        <f t="array" ref="K119">INDEX(FX_Input,$R119,$Y119*K$5+$Z119)</f>
        <v>0</v>
      </c>
      <c r="L119" cm="1">
        <f t="array" ref="L119">INDEX(FX_Input,$R119,$Y119*L$5+$Z119)</f>
        <v>0</v>
      </c>
      <c r="M119" cm="1">
        <f t="array" ref="M119">INDEX(FX_Input,$R119,$Y119*M$5+$Z119)</f>
        <v>0</v>
      </c>
      <c r="N119" cm="1">
        <f t="array" ref="N119">INDEX(FX_Input,$R119,$Y119*N$5+$Z119)</f>
        <v>0</v>
      </c>
      <c r="O119" cm="1">
        <f t="array" ref="O119">INDEX(FX_Input,$R119,$Y119*O$5+$Z119)</f>
        <v>0</v>
      </c>
      <c r="R119">
        <f>R118+1</f>
        <v>18</v>
      </c>
      <c r="U119">
        <f>U118</f>
        <v>17</v>
      </c>
      <c r="V119">
        <f t="shared" ref="V119:V123" si="250">U119+5</f>
        <v>22</v>
      </c>
      <c r="W119">
        <v>1</v>
      </c>
      <c r="X119">
        <v>2</v>
      </c>
      <c r="Y119">
        <f t="shared" si="248"/>
        <v>5</v>
      </c>
      <c r="Z119">
        <f t="shared" si="249"/>
        <v>12</v>
      </c>
    </row>
    <row r="120" spans="1:26" x14ac:dyDescent="0.4">
      <c r="C120" t="s">
        <v>530</v>
      </c>
      <c r="D120" t="str" cm="1">
        <f t="array" ref="D120">INDEX(FX_Input,$R120,$Y120*D$5+$Z120)</f>
        <v>Select Pet Stock</v>
      </c>
      <c r="E120" t="str" cm="1">
        <f t="array" ref="E120">INDEX(FX_Input,$R120,$Y120*E$5+$Z120)</f>
        <v>Select Pet Stock</v>
      </c>
      <c r="F120" t="str" cm="1">
        <f t="array" ref="F120">INDEX(FX_Input,$R120,$Y120*F$5+$Z120)</f>
        <v>Select Pet Stock</v>
      </c>
      <c r="G120" t="str" cm="1">
        <f t="array" ref="G120">INDEX(FX_Input,$R120,$Y120*G$5+$Z120)</f>
        <v>Select Pet Stock</v>
      </c>
      <c r="H120" t="str" cm="1">
        <f t="array" ref="H120">INDEX(FX_Input,$R120,$Y120*H$5+$Z120)</f>
        <v>Select Pet Stock</v>
      </c>
      <c r="I120" t="str" cm="1">
        <f t="array" ref="I120">INDEX(FX_Input,$R120,$Y120*I$5+$Z120)</f>
        <v>Select Pet Stock</v>
      </c>
      <c r="J120" t="str" cm="1">
        <f t="array" ref="J120">INDEX(FX_Input,$R120,$Y120*J$5+$Z120)</f>
        <v>Select Pet Stock</v>
      </c>
      <c r="K120" t="str" cm="1">
        <f t="array" ref="K120">INDEX(FX_Input,$R120,$Y120*K$5+$Z120)</f>
        <v>Select Pet Stock</v>
      </c>
      <c r="L120" t="str" cm="1">
        <f t="array" ref="L120">INDEX(FX_Input,$R120,$Y120*L$5+$Z120)</f>
        <v>Select Pet Stock</v>
      </c>
      <c r="M120" t="str" cm="1">
        <f t="array" ref="M120">INDEX(FX_Input,$R120,$Y120*M$5+$Z120)</f>
        <v>Select Pet Stock</v>
      </c>
      <c r="N120" t="str" cm="1">
        <f t="array" ref="N120">INDEX(FX_Input,$R120,$Y120*N$5+$Z120)</f>
        <v>Select Pet Stock</v>
      </c>
      <c r="O120" t="str" cm="1">
        <f t="array" ref="O120">INDEX(FX_Input,$R120,$Y120*O$5+$Z120)</f>
        <v>Select Pet Stock</v>
      </c>
      <c r="R120">
        <f>R118</f>
        <v>17</v>
      </c>
      <c r="U120">
        <v>18</v>
      </c>
      <c r="V120">
        <f t="shared" si="250"/>
        <v>23</v>
      </c>
      <c r="W120">
        <v>1</v>
      </c>
      <c r="X120">
        <v>2</v>
      </c>
      <c r="Y120">
        <f t="shared" si="248"/>
        <v>5</v>
      </c>
      <c r="Z120">
        <f t="shared" si="249"/>
        <v>13</v>
      </c>
    </row>
    <row r="121" spans="1:26" x14ac:dyDescent="0.4">
      <c r="C121" t="s">
        <v>531</v>
      </c>
      <c r="D121" cm="1">
        <f t="array" ref="D121">INDEX(FX_Input,$R121,$Y121*D$5+$Z121)</f>
        <v>0</v>
      </c>
      <c r="E121" cm="1">
        <f t="array" ref="E121">INDEX(FX_Input,$R121,$Y121*E$5+$Z121)</f>
        <v>0</v>
      </c>
      <c r="F121" cm="1">
        <f t="array" ref="F121">INDEX(FX_Input,$R121,$Y121*F$5+$Z121)</f>
        <v>0</v>
      </c>
      <c r="G121" cm="1">
        <f t="array" ref="G121">INDEX(FX_Input,$R121,$Y121*G$5+$Z121)</f>
        <v>0</v>
      </c>
      <c r="H121" cm="1">
        <f t="array" ref="H121">INDEX(FX_Input,$R121,$Y121*H$5+$Z121)</f>
        <v>0</v>
      </c>
      <c r="I121" cm="1">
        <f t="array" ref="I121">INDEX(FX_Input,$R121,$Y121*I$5+$Z121)</f>
        <v>0</v>
      </c>
      <c r="J121" cm="1">
        <f t="array" ref="J121">INDEX(FX_Input,$R121,$Y121*J$5+$Z121)</f>
        <v>0</v>
      </c>
      <c r="K121" cm="1">
        <f t="array" ref="K121">INDEX(FX_Input,$R121,$Y121*K$5+$Z121)</f>
        <v>0</v>
      </c>
      <c r="L121" cm="1">
        <f t="array" ref="L121">INDEX(FX_Input,$R121,$Y121*L$5+$Z121)</f>
        <v>0</v>
      </c>
      <c r="M121" cm="1">
        <f t="array" ref="M121">INDEX(FX_Input,$R121,$Y121*M$5+$Z121)</f>
        <v>0</v>
      </c>
      <c r="N121" cm="1">
        <f t="array" ref="N121">INDEX(FX_Input,$R121,$Y121*N$5+$Z121)</f>
        <v>0</v>
      </c>
      <c r="O121" cm="1">
        <f t="array" ref="O121">INDEX(FX_Input,$R121,$Y121*O$5+$Z121)</f>
        <v>0</v>
      </c>
      <c r="R121">
        <f>R119</f>
        <v>18</v>
      </c>
      <c r="U121">
        <f>U120</f>
        <v>18</v>
      </c>
      <c r="V121">
        <f t="shared" si="250"/>
        <v>23</v>
      </c>
      <c r="W121">
        <v>1</v>
      </c>
      <c r="X121">
        <v>2</v>
      </c>
      <c r="Y121">
        <f t="shared" si="248"/>
        <v>5</v>
      </c>
      <c r="Z121">
        <f t="shared" si="249"/>
        <v>13</v>
      </c>
    </row>
    <row r="122" spans="1:26" x14ac:dyDescent="0.4">
      <c r="C122" t="s">
        <v>546</v>
      </c>
      <c r="D122" cm="1">
        <f t="array" ref="D122">INDEX(FX_Input,$R122,$Y122*D$5+$Z122)</f>
        <v>1</v>
      </c>
      <c r="E122" cm="1">
        <f t="array" ref="E122">INDEX(FX_Input,$R122,$Y122*E$5+$Z122)</f>
        <v>1</v>
      </c>
      <c r="F122" cm="1">
        <f t="array" ref="F122">INDEX(FX_Input,$R122,$Y122*F$5+$Z122)</f>
        <v>1</v>
      </c>
      <c r="G122" cm="1">
        <f t="array" ref="G122">INDEX(FX_Input,$R122,$Y122*G$5+$Z122)</f>
        <v>1</v>
      </c>
      <c r="H122" cm="1">
        <f t="array" ref="H122">INDEX(FX_Input,$R122,$Y122*H$5+$Z122)</f>
        <v>1</v>
      </c>
      <c r="I122" cm="1">
        <f t="array" ref="I122">INDEX(FX_Input,$R122,$Y122*I$5+$Z122)</f>
        <v>1</v>
      </c>
      <c r="J122" cm="1">
        <f t="array" ref="J122">INDEX(FX_Input,$R122,$Y122*J$5+$Z122)</f>
        <v>1</v>
      </c>
      <c r="K122" cm="1">
        <f t="array" ref="K122">INDEX(FX_Input,$R122,$Y122*K$5+$Z122)</f>
        <v>1</v>
      </c>
      <c r="L122" cm="1">
        <f t="array" ref="L122">INDEX(FX_Input,$R122,$Y122*L$5+$Z122)</f>
        <v>1</v>
      </c>
      <c r="M122" cm="1">
        <f t="array" ref="M122">INDEX(FX_Input,$R122,$Y122*M$5+$Z122)</f>
        <v>1</v>
      </c>
      <c r="N122" cm="1">
        <f t="array" ref="N122">INDEX(FX_Input,$R122,$Y122*N$5+$Z122)</f>
        <v>1</v>
      </c>
      <c r="O122" cm="1">
        <f t="array" ref="O122">INDEX(FX_Input,$R122,$Y122*O$5+$Z122)</f>
        <v>1</v>
      </c>
      <c r="R122">
        <f>R120</f>
        <v>17</v>
      </c>
      <c r="U122">
        <v>21</v>
      </c>
      <c r="V122">
        <f t="shared" si="250"/>
        <v>26</v>
      </c>
      <c r="W122">
        <v>1</v>
      </c>
      <c r="X122">
        <v>2</v>
      </c>
      <c r="Y122">
        <f t="shared" si="248"/>
        <v>5</v>
      </c>
      <c r="Z122">
        <f t="shared" si="249"/>
        <v>16</v>
      </c>
    </row>
    <row r="123" spans="1:26" x14ac:dyDescent="0.4">
      <c r="C123" t="s">
        <v>547</v>
      </c>
      <c r="D123" cm="1">
        <f t="array" ref="D123">INDEX(FX_Input,$R123,$Y123*D$5+$Z123)</f>
        <v>0</v>
      </c>
      <c r="E123" cm="1">
        <f t="array" ref="E123">INDEX(FX_Input,$R123,$Y123*E$5+$Z123)</f>
        <v>0</v>
      </c>
      <c r="F123" cm="1">
        <f t="array" ref="F123">INDEX(FX_Input,$R123,$Y123*F$5+$Z123)</f>
        <v>0</v>
      </c>
      <c r="G123" cm="1">
        <f t="array" ref="G123">INDEX(FX_Input,$R123,$Y123*G$5+$Z123)</f>
        <v>0</v>
      </c>
      <c r="H123" cm="1">
        <f t="array" ref="H123">INDEX(FX_Input,$R123,$Y123*H$5+$Z123)</f>
        <v>0</v>
      </c>
      <c r="I123" cm="1">
        <f t="array" ref="I123">INDEX(FX_Input,$R123,$Y123*I$5+$Z123)</f>
        <v>0</v>
      </c>
      <c r="J123" cm="1">
        <f t="array" ref="J123">INDEX(FX_Input,$R123,$Y123*J$5+$Z123)</f>
        <v>0</v>
      </c>
      <c r="K123" cm="1">
        <f t="array" ref="K123">INDEX(FX_Input,$R123,$Y123*K$5+$Z123)</f>
        <v>0</v>
      </c>
      <c r="L123" cm="1">
        <f t="array" ref="L123">INDEX(FX_Input,$R123,$Y123*L$5+$Z123)</f>
        <v>0</v>
      </c>
      <c r="M123" cm="1">
        <f t="array" ref="M123">INDEX(FX_Input,$R123,$Y123*M$5+$Z123)</f>
        <v>0</v>
      </c>
      <c r="N123" cm="1">
        <f t="array" ref="N123">INDEX(FX_Input,$R123,$Y123*N$5+$Z123)</f>
        <v>0</v>
      </c>
      <c r="O123" cm="1">
        <f t="array" ref="O123">INDEX(FX_Input,$R123,$Y123*O$5+$Z123)</f>
        <v>0</v>
      </c>
      <c r="R123">
        <f>R121</f>
        <v>18</v>
      </c>
      <c r="U123">
        <f>U122</f>
        <v>21</v>
      </c>
      <c r="V123">
        <f t="shared" si="250"/>
        <v>26</v>
      </c>
      <c r="W123">
        <v>1</v>
      </c>
      <c r="X123">
        <v>2</v>
      </c>
      <c r="Y123">
        <f t="shared" si="248"/>
        <v>5</v>
      </c>
      <c r="Z123">
        <f t="shared" si="249"/>
        <v>16</v>
      </c>
    </row>
    <row r="124" spans="1:26" x14ac:dyDescent="0.4">
      <c r="C124" t="s">
        <v>532</v>
      </c>
      <c r="D124">
        <f t="shared" ref="D124:O124" si="251">IFERROR(VLOOKUP(D118,Phys_Prop,2,FALSE),0)</f>
        <v>162</v>
      </c>
      <c r="E124">
        <f t="shared" si="251"/>
        <v>162</v>
      </c>
      <c r="F124">
        <f t="shared" si="251"/>
        <v>162</v>
      </c>
      <c r="G124">
        <f t="shared" si="251"/>
        <v>162</v>
      </c>
      <c r="H124">
        <f t="shared" si="251"/>
        <v>162</v>
      </c>
      <c r="I124">
        <f t="shared" si="251"/>
        <v>162</v>
      </c>
      <c r="J124">
        <f t="shared" si="251"/>
        <v>162</v>
      </c>
      <c r="K124">
        <f t="shared" si="251"/>
        <v>162</v>
      </c>
      <c r="L124">
        <f t="shared" si="251"/>
        <v>162</v>
      </c>
      <c r="M124">
        <f t="shared" si="251"/>
        <v>162</v>
      </c>
      <c r="N124">
        <f t="shared" si="251"/>
        <v>162</v>
      </c>
      <c r="O124">
        <f t="shared" si="251"/>
        <v>162</v>
      </c>
    </row>
    <row r="125" spans="1:26" x14ac:dyDescent="0.4">
      <c r="C125" t="s">
        <v>533</v>
      </c>
      <c r="D125">
        <f t="shared" ref="D125:O125" si="252">IFERROR(VLOOKUP(D119,Phys_Prop,2,FALSE),0)</f>
        <v>0</v>
      </c>
      <c r="E125">
        <f t="shared" si="252"/>
        <v>0</v>
      </c>
      <c r="F125">
        <f t="shared" si="252"/>
        <v>0</v>
      </c>
      <c r="G125">
        <f t="shared" si="252"/>
        <v>0</v>
      </c>
      <c r="H125">
        <f t="shared" si="252"/>
        <v>0</v>
      </c>
      <c r="I125">
        <f t="shared" si="252"/>
        <v>0</v>
      </c>
      <c r="J125">
        <f t="shared" si="252"/>
        <v>0</v>
      </c>
      <c r="K125">
        <f t="shared" si="252"/>
        <v>0</v>
      </c>
      <c r="L125">
        <f t="shared" si="252"/>
        <v>0</v>
      </c>
      <c r="M125">
        <f t="shared" si="252"/>
        <v>0</v>
      </c>
      <c r="N125">
        <f t="shared" si="252"/>
        <v>0</v>
      </c>
      <c r="O125">
        <f t="shared" si="252"/>
        <v>0</v>
      </c>
    </row>
    <row r="126" spans="1:26" x14ac:dyDescent="0.4">
      <c r="C126" t="s">
        <v>544</v>
      </c>
      <c r="D126">
        <f>IFERROR(IFERROR(D124/D122+D125/D123,D124/D122),0)</f>
        <v>162</v>
      </c>
      <c r="E126">
        <f t="shared" ref="E126" si="253">IFERROR(IFERROR(E124/E122+E125/E123,E124/E122),0)</f>
        <v>162</v>
      </c>
      <c r="F126">
        <f t="shared" ref="F126" si="254">IFERROR(IFERROR(F124/F122+F125/F123,F124/F122),0)</f>
        <v>162</v>
      </c>
      <c r="G126">
        <f t="shared" ref="G126" si="255">IFERROR(IFERROR(G124/G122+G125/G123,G124/G122),0)</f>
        <v>162</v>
      </c>
      <c r="H126">
        <f t="shared" ref="H126" si="256">IFERROR(IFERROR(H124/H122+H125/H123,H124/H122),0)</f>
        <v>162</v>
      </c>
      <c r="I126">
        <f t="shared" ref="I126" si="257">IFERROR(IFERROR(I124/I122+I125/I123,I124/I122),0)</f>
        <v>162</v>
      </c>
      <c r="J126">
        <f t="shared" ref="J126" si="258">IFERROR(IFERROR(J124/J122+J125/J123,J124/J122),0)</f>
        <v>162</v>
      </c>
      <c r="K126">
        <f t="shared" ref="K126" si="259">IFERROR(IFERROR(K124/K122+K125/K123,K124/K122),0)</f>
        <v>162</v>
      </c>
      <c r="L126">
        <f t="shared" ref="L126" si="260">IFERROR(IFERROR(L124/L122+L125/L123,L124/L122),0)</f>
        <v>162</v>
      </c>
      <c r="M126">
        <f t="shared" ref="M126" si="261">IFERROR(IFERROR(M124/M122+M125/M123,M124/M122),0)</f>
        <v>162</v>
      </c>
      <c r="N126">
        <f t="shared" ref="N126" si="262">IFERROR(IFERROR(N124/N122+N125/N123,N124/N122),0)</f>
        <v>162</v>
      </c>
      <c r="O126">
        <f t="shared" ref="O126" si="263">IFERROR(IFERROR(O124/O122+O125/O123,O124/O122),0)</f>
        <v>162</v>
      </c>
    </row>
    <row r="127" spans="1:26" x14ac:dyDescent="0.4">
      <c r="C127" t="s">
        <v>539</v>
      </c>
      <c r="D127">
        <f>IFERROR((D122/D124)*D126,1)</f>
        <v>1</v>
      </c>
      <c r="E127">
        <f t="shared" ref="E127" si="264">IFERROR((E122/E124)*E126,1)</f>
        <v>1</v>
      </c>
      <c r="F127">
        <f t="shared" ref="F127" si="265">IFERROR((F122/F124)*F126,1)</f>
        <v>1</v>
      </c>
      <c r="G127">
        <f t="shared" ref="G127" si="266">IFERROR((G122/G124)*G126,1)</f>
        <v>1</v>
      </c>
      <c r="H127">
        <f t="shared" ref="H127" si="267">IFERROR((H122/H124)*H126,1)</f>
        <v>1</v>
      </c>
      <c r="I127">
        <f t="shared" ref="I127" si="268">IFERROR((I122/I124)*I126,1)</f>
        <v>1</v>
      </c>
      <c r="J127">
        <f t="shared" ref="J127" si="269">IFERROR((J122/J124)*J126,1)</f>
        <v>1</v>
      </c>
      <c r="K127">
        <f t="shared" ref="K127" si="270">IFERROR((K122/K124)*K126,1)</f>
        <v>1</v>
      </c>
      <c r="L127">
        <f t="shared" ref="L127" si="271">IFERROR((L122/L124)*L126,1)</f>
        <v>1</v>
      </c>
      <c r="M127">
        <f t="shared" ref="M127" si="272">IFERROR((M122/M124)*M126,1)</f>
        <v>1</v>
      </c>
      <c r="N127">
        <f t="shared" ref="N127" si="273">IFERROR((N122/N124)*N126,1)</f>
        <v>1</v>
      </c>
      <c r="O127">
        <f t="shared" ref="O127" si="274">IFERROR((O122/O124)*O126,1)</f>
        <v>1</v>
      </c>
    </row>
    <row r="128" spans="1:26" x14ac:dyDescent="0.4">
      <c r="C128" t="s">
        <v>540</v>
      </c>
      <c r="D128">
        <f>IFERROR((D123/D125)*D126,0)</f>
        <v>0</v>
      </c>
      <c r="E128">
        <f t="shared" ref="E128:O128" si="275">IFERROR((E123/E125)*E126,0)</f>
        <v>0</v>
      </c>
      <c r="F128">
        <f t="shared" si="275"/>
        <v>0</v>
      </c>
      <c r="G128">
        <f t="shared" si="275"/>
        <v>0</v>
      </c>
      <c r="H128">
        <f t="shared" si="275"/>
        <v>0</v>
      </c>
      <c r="I128">
        <f t="shared" si="275"/>
        <v>0</v>
      </c>
      <c r="J128">
        <f t="shared" si="275"/>
        <v>0</v>
      </c>
      <c r="K128">
        <f t="shared" si="275"/>
        <v>0</v>
      </c>
      <c r="L128">
        <f t="shared" si="275"/>
        <v>0</v>
      </c>
      <c r="M128">
        <f t="shared" si="275"/>
        <v>0</v>
      </c>
      <c r="N128">
        <f t="shared" si="275"/>
        <v>0</v>
      </c>
      <c r="O128">
        <f t="shared" si="275"/>
        <v>0</v>
      </c>
    </row>
    <row r="129" spans="1:26" x14ac:dyDescent="0.4">
      <c r="C129" s="21" t="s">
        <v>534</v>
      </c>
      <c r="D129">
        <f t="shared" ref="D129:O129" si="276">IFERROR(VLOOKUP(D118,Phys_Prop,4,FALSE),0)</f>
        <v>7</v>
      </c>
      <c r="E129">
        <f t="shared" si="276"/>
        <v>7</v>
      </c>
      <c r="F129">
        <f t="shared" si="276"/>
        <v>7</v>
      </c>
      <c r="G129">
        <f t="shared" si="276"/>
        <v>7</v>
      </c>
      <c r="H129">
        <f t="shared" si="276"/>
        <v>7</v>
      </c>
      <c r="I129">
        <f t="shared" si="276"/>
        <v>7</v>
      </c>
      <c r="J129">
        <f t="shared" si="276"/>
        <v>7</v>
      </c>
      <c r="K129">
        <f t="shared" si="276"/>
        <v>7</v>
      </c>
      <c r="L129">
        <f t="shared" si="276"/>
        <v>7</v>
      </c>
      <c r="M129">
        <f t="shared" si="276"/>
        <v>7</v>
      </c>
      <c r="N129">
        <f t="shared" si="276"/>
        <v>7</v>
      </c>
      <c r="O129">
        <f t="shared" si="276"/>
        <v>7</v>
      </c>
    </row>
    <row r="130" spans="1:26" x14ac:dyDescent="0.4">
      <c r="C130" s="21" t="s">
        <v>535</v>
      </c>
      <c r="D130">
        <f t="shared" ref="D130:O130" si="277">IFERROR(VLOOKUP(D119,Phys_Prop,4,FALSE),0)</f>
        <v>0</v>
      </c>
      <c r="E130">
        <f t="shared" si="277"/>
        <v>0</v>
      </c>
      <c r="F130">
        <f t="shared" si="277"/>
        <v>0</v>
      </c>
      <c r="G130">
        <f t="shared" si="277"/>
        <v>0</v>
      </c>
      <c r="H130">
        <f t="shared" si="277"/>
        <v>0</v>
      </c>
      <c r="I130">
        <f t="shared" si="277"/>
        <v>0</v>
      </c>
      <c r="J130">
        <f t="shared" si="277"/>
        <v>0</v>
      </c>
      <c r="K130">
        <f t="shared" si="277"/>
        <v>0</v>
      </c>
      <c r="L130">
        <f t="shared" si="277"/>
        <v>0</v>
      </c>
      <c r="M130">
        <f t="shared" si="277"/>
        <v>0</v>
      </c>
      <c r="N130">
        <f t="shared" si="277"/>
        <v>0</v>
      </c>
      <c r="O130">
        <f t="shared" si="277"/>
        <v>0</v>
      </c>
    </row>
    <row r="131" spans="1:26" x14ac:dyDescent="0.4">
      <c r="A131" s="11"/>
      <c r="B131" s="11"/>
      <c r="C131" s="62" t="s">
        <v>536</v>
      </c>
      <c r="D131" s="11">
        <f>IFERROR(1/(D127/D129+D128/D130),D129)</f>
        <v>7</v>
      </c>
      <c r="E131" s="11">
        <f t="shared" ref="E131:O131" si="278">IFERROR(1/(E127/E129+E128/E130),E129)</f>
        <v>7</v>
      </c>
      <c r="F131" s="11">
        <f t="shared" si="278"/>
        <v>7</v>
      </c>
      <c r="G131" s="11">
        <f t="shared" si="278"/>
        <v>7</v>
      </c>
      <c r="H131" s="11">
        <f t="shared" si="278"/>
        <v>7</v>
      </c>
      <c r="I131" s="11">
        <f t="shared" si="278"/>
        <v>7</v>
      </c>
      <c r="J131" s="11">
        <f t="shared" si="278"/>
        <v>7</v>
      </c>
      <c r="K131" s="11">
        <f t="shared" si="278"/>
        <v>7</v>
      </c>
      <c r="L131" s="11">
        <f t="shared" si="278"/>
        <v>7</v>
      </c>
      <c r="M131" s="11">
        <f t="shared" si="278"/>
        <v>7</v>
      </c>
      <c r="N131" s="11">
        <f t="shared" si="278"/>
        <v>7</v>
      </c>
      <c r="O131" s="11">
        <f t="shared" si="278"/>
        <v>7</v>
      </c>
      <c r="P131" s="11"/>
      <c r="Q131" s="11"/>
      <c r="R131" s="11"/>
      <c r="S131" s="11"/>
      <c r="T131" s="11"/>
      <c r="U131" s="11"/>
      <c r="V131" s="11"/>
      <c r="W131" s="11"/>
      <c r="X131" s="11"/>
      <c r="Y131" s="11"/>
      <c r="Z131" s="11"/>
    </row>
    <row r="132" spans="1:26" x14ac:dyDescent="0.4">
      <c r="A132" t="str" cm="1">
        <f t="array" ref="A132">INDEX(FX_Input,R132,S132)</f>
        <v>FX - 10</v>
      </c>
      <c r="B132" t="str" cm="1">
        <f t="array" ref="B132">INDEX(FX_Input,R132,T132)</f>
        <v>Portland</v>
      </c>
      <c r="C132" t="s">
        <v>528</v>
      </c>
      <c r="D132" t="str" cm="1">
        <f t="array" ref="D132">INDEX(FX_Input,$R132,$Y132*D$5+$Z132)</f>
        <v>Jet kerosene</v>
      </c>
      <c r="E132" t="str" cm="1">
        <f t="array" ref="E132">INDEX(FX_Input,$R132,$Y132*E$5+$Z132)</f>
        <v>Jet kerosene</v>
      </c>
      <c r="F132" t="str" cm="1">
        <f t="array" ref="F132">INDEX(FX_Input,$R132,$Y132*F$5+$Z132)</f>
        <v>Jet kerosene</v>
      </c>
      <c r="G132" t="str" cm="1">
        <f t="array" ref="G132">INDEX(FX_Input,$R132,$Y132*G$5+$Z132)</f>
        <v>Jet kerosene</v>
      </c>
      <c r="H132" t="str" cm="1">
        <f t="array" ref="H132">INDEX(FX_Input,$R132,$Y132*H$5+$Z132)</f>
        <v>Jet kerosene</v>
      </c>
      <c r="I132" t="str" cm="1">
        <f t="array" ref="I132">INDEX(FX_Input,$R132,$Y132*I$5+$Z132)</f>
        <v>Jet kerosene</v>
      </c>
      <c r="J132" t="str" cm="1">
        <f t="array" ref="J132">INDEX(FX_Input,$R132,$Y132*J$5+$Z132)</f>
        <v>Jet kerosene</v>
      </c>
      <c r="K132" t="str" cm="1">
        <f t="array" ref="K132">INDEX(FX_Input,$R132,$Y132*K$5+$Z132)</f>
        <v>Jet kerosene</v>
      </c>
      <c r="L132" t="str" cm="1">
        <f t="array" ref="L132">INDEX(FX_Input,$R132,$Y132*L$5+$Z132)</f>
        <v>Jet kerosene</v>
      </c>
      <c r="M132" t="str" cm="1">
        <f t="array" ref="M132">INDEX(FX_Input,$R132,$Y132*M$5+$Z132)</f>
        <v>Jet kerosene</v>
      </c>
      <c r="N132" t="str" cm="1">
        <f t="array" ref="N132">INDEX(FX_Input,$R132,$Y132*N$5+$Z132)</f>
        <v>Jet kerosene</v>
      </c>
      <c r="O132" t="str" cm="1">
        <f t="array" ref="O132">INDEX(FX_Input,$R132,$Y132*O$5+$Z132)</f>
        <v>Jet kerosene</v>
      </c>
      <c r="R132">
        <f>R118+2</f>
        <v>19</v>
      </c>
      <c r="S132">
        <v>1</v>
      </c>
      <c r="T132">
        <v>3</v>
      </c>
      <c r="U132">
        <v>17</v>
      </c>
      <c r="V132">
        <f>U132+5</f>
        <v>22</v>
      </c>
      <c r="W132">
        <v>1</v>
      </c>
      <c r="X132">
        <v>2</v>
      </c>
      <c r="Y132">
        <f t="shared" ref="Y132:Y137" si="279">(V132-U132)/(X132-W132)</f>
        <v>5</v>
      </c>
      <c r="Z132">
        <f t="shared" ref="Z132:Z137" si="280">U132-Y132*W132</f>
        <v>12</v>
      </c>
    </row>
    <row r="133" spans="1:26" x14ac:dyDescent="0.4">
      <c r="C133" t="s">
        <v>529</v>
      </c>
      <c r="D133" cm="1">
        <f t="array" ref="D133">INDEX(FX_Input,$R133,$Y133*D$5+$Z133)</f>
        <v>0</v>
      </c>
      <c r="E133" cm="1">
        <f t="array" ref="E133">INDEX(FX_Input,$R133,$Y133*E$5+$Z133)</f>
        <v>0</v>
      </c>
      <c r="F133" cm="1">
        <f t="array" ref="F133">INDEX(FX_Input,$R133,$Y133*F$5+$Z133)</f>
        <v>0</v>
      </c>
      <c r="G133" cm="1">
        <f t="array" ref="G133">INDEX(FX_Input,$R133,$Y133*G$5+$Z133)</f>
        <v>0</v>
      </c>
      <c r="H133" cm="1">
        <f t="array" ref="H133">INDEX(FX_Input,$R133,$Y133*H$5+$Z133)</f>
        <v>0</v>
      </c>
      <c r="I133" cm="1">
        <f t="array" ref="I133">INDEX(FX_Input,$R133,$Y133*I$5+$Z133)</f>
        <v>0</v>
      </c>
      <c r="J133" cm="1">
        <f t="array" ref="J133">INDEX(FX_Input,$R133,$Y133*J$5+$Z133)</f>
        <v>0</v>
      </c>
      <c r="K133" cm="1">
        <f t="array" ref="K133">INDEX(FX_Input,$R133,$Y133*K$5+$Z133)</f>
        <v>0</v>
      </c>
      <c r="L133" cm="1">
        <f t="array" ref="L133">INDEX(FX_Input,$R133,$Y133*L$5+$Z133)</f>
        <v>0</v>
      </c>
      <c r="M133" cm="1">
        <f t="array" ref="M133">INDEX(FX_Input,$R133,$Y133*M$5+$Z133)</f>
        <v>0</v>
      </c>
      <c r="N133" cm="1">
        <f t="array" ref="N133">INDEX(FX_Input,$R133,$Y133*N$5+$Z133)</f>
        <v>0</v>
      </c>
      <c r="O133" cm="1">
        <f t="array" ref="O133">INDEX(FX_Input,$R133,$Y133*O$5+$Z133)</f>
        <v>0</v>
      </c>
      <c r="R133">
        <f>R132+1</f>
        <v>20</v>
      </c>
      <c r="U133">
        <f>U132</f>
        <v>17</v>
      </c>
      <c r="V133">
        <f t="shared" ref="V133:V137" si="281">U133+5</f>
        <v>22</v>
      </c>
      <c r="W133">
        <v>1</v>
      </c>
      <c r="X133">
        <v>2</v>
      </c>
      <c r="Y133">
        <f t="shared" si="279"/>
        <v>5</v>
      </c>
      <c r="Z133">
        <f t="shared" si="280"/>
        <v>12</v>
      </c>
    </row>
    <row r="134" spans="1:26" x14ac:dyDescent="0.4">
      <c r="C134" t="s">
        <v>530</v>
      </c>
      <c r="D134" t="str" cm="1">
        <f t="array" ref="D134">INDEX(FX_Input,$R134,$Y134*D$5+$Z134)</f>
        <v>Select Pet Stock</v>
      </c>
      <c r="E134" t="str" cm="1">
        <f t="array" ref="E134">INDEX(FX_Input,$R134,$Y134*E$5+$Z134)</f>
        <v>Select Pet Stock</v>
      </c>
      <c r="F134" t="str" cm="1">
        <f t="array" ref="F134">INDEX(FX_Input,$R134,$Y134*F$5+$Z134)</f>
        <v>Select Pet Stock</v>
      </c>
      <c r="G134" t="str" cm="1">
        <f t="array" ref="G134">INDEX(FX_Input,$R134,$Y134*G$5+$Z134)</f>
        <v>Select Pet Stock</v>
      </c>
      <c r="H134" t="str" cm="1">
        <f t="array" ref="H134">INDEX(FX_Input,$R134,$Y134*H$5+$Z134)</f>
        <v>Select Pet Stock</v>
      </c>
      <c r="I134" t="str" cm="1">
        <f t="array" ref="I134">INDEX(FX_Input,$R134,$Y134*I$5+$Z134)</f>
        <v>Select Pet Stock</v>
      </c>
      <c r="J134" t="str" cm="1">
        <f t="array" ref="J134">INDEX(FX_Input,$R134,$Y134*J$5+$Z134)</f>
        <v>Select Pet Stock</v>
      </c>
      <c r="K134" t="str" cm="1">
        <f t="array" ref="K134">INDEX(FX_Input,$R134,$Y134*K$5+$Z134)</f>
        <v>Select Pet Stock</v>
      </c>
      <c r="L134" t="str" cm="1">
        <f t="array" ref="L134">INDEX(FX_Input,$R134,$Y134*L$5+$Z134)</f>
        <v>Select Pet Stock</v>
      </c>
      <c r="M134" t="str" cm="1">
        <f t="array" ref="M134">INDEX(FX_Input,$R134,$Y134*M$5+$Z134)</f>
        <v>Select Pet Stock</v>
      </c>
      <c r="N134" t="str" cm="1">
        <f t="array" ref="N134">INDEX(FX_Input,$R134,$Y134*N$5+$Z134)</f>
        <v>Select Pet Stock</v>
      </c>
      <c r="O134" t="str" cm="1">
        <f t="array" ref="O134">INDEX(FX_Input,$R134,$Y134*O$5+$Z134)</f>
        <v>Select Pet Stock</v>
      </c>
      <c r="R134">
        <f>R132</f>
        <v>19</v>
      </c>
      <c r="U134">
        <v>18</v>
      </c>
      <c r="V134">
        <f t="shared" si="281"/>
        <v>23</v>
      </c>
      <c r="W134">
        <v>1</v>
      </c>
      <c r="X134">
        <v>2</v>
      </c>
      <c r="Y134">
        <f t="shared" si="279"/>
        <v>5</v>
      </c>
      <c r="Z134">
        <f t="shared" si="280"/>
        <v>13</v>
      </c>
    </row>
    <row r="135" spans="1:26" x14ac:dyDescent="0.4">
      <c r="C135" t="s">
        <v>531</v>
      </c>
      <c r="D135" cm="1">
        <f t="array" ref="D135">INDEX(FX_Input,$R135,$Y135*D$5+$Z135)</f>
        <v>0</v>
      </c>
      <c r="E135" cm="1">
        <f t="array" ref="E135">INDEX(FX_Input,$R135,$Y135*E$5+$Z135)</f>
        <v>0</v>
      </c>
      <c r="F135" cm="1">
        <f t="array" ref="F135">INDEX(FX_Input,$R135,$Y135*F$5+$Z135)</f>
        <v>0</v>
      </c>
      <c r="G135" cm="1">
        <f t="array" ref="G135">INDEX(FX_Input,$R135,$Y135*G$5+$Z135)</f>
        <v>0</v>
      </c>
      <c r="H135" cm="1">
        <f t="array" ref="H135">INDEX(FX_Input,$R135,$Y135*H$5+$Z135)</f>
        <v>0</v>
      </c>
      <c r="I135" cm="1">
        <f t="array" ref="I135">INDEX(FX_Input,$R135,$Y135*I$5+$Z135)</f>
        <v>0</v>
      </c>
      <c r="J135" cm="1">
        <f t="array" ref="J135">INDEX(FX_Input,$R135,$Y135*J$5+$Z135)</f>
        <v>0</v>
      </c>
      <c r="K135" cm="1">
        <f t="array" ref="K135">INDEX(FX_Input,$R135,$Y135*K$5+$Z135)</f>
        <v>0</v>
      </c>
      <c r="L135" cm="1">
        <f t="array" ref="L135">INDEX(FX_Input,$R135,$Y135*L$5+$Z135)</f>
        <v>0</v>
      </c>
      <c r="M135" cm="1">
        <f t="array" ref="M135">INDEX(FX_Input,$R135,$Y135*M$5+$Z135)</f>
        <v>0</v>
      </c>
      <c r="N135" cm="1">
        <f t="array" ref="N135">INDEX(FX_Input,$R135,$Y135*N$5+$Z135)</f>
        <v>0</v>
      </c>
      <c r="O135" cm="1">
        <f t="array" ref="O135">INDEX(FX_Input,$R135,$Y135*O$5+$Z135)</f>
        <v>0</v>
      </c>
      <c r="R135">
        <f>R133</f>
        <v>20</v>
      </c>
      <c r="U135">
        <f>U134</f>
        <v>18</v>
      </c>
      <c r="V135">
        <f t="shared" si="281"/>
        <v>23</v>
      </c>
      <c r="W135">
        <v>1</v>
      </c>
      <c r="X135">
        <v>2</v>
      </c>
      <c r="Y135">
        <f t="shared" si="279"/>
        <v>5</v>
      </c>
      <c r="Z135">
        <f t="shared" si="280"/>
        <v>13</v>
      </c>
    </row>
    <row r="136" spans="1:26" x14ac:dyDescent="0.4">
      <c r="C136" t="s">
        <v>546</v>
      </c>
      <c r="D136" cm="1">
        <f t="array" ref="D136">INDEX(FX_Input,$R136,$Y136*D$5+$Z136)</f>
        <v>1</v>
      </c>
      <c r="E136" cm="1">
        <f t="array" ref="E136">INDEX(FX_Input,$R136,$Y136*E$5+$Z136)</f>
        <v>1</v>
      </c>
      <c r="F136" cm="1">
        <f t="array" ref="F136">INDEX(FX_Input,$R136,$Y136*F$5+$Z136)</f>
        <v>1</v>
      </c>
      <c r="G136" cm="1">
        <f t="array" ref="G136">INDEX(FX_Input,$R136,$Y136*G$5+$Z136)</f>
        <v>1</v>
      </c>
      <c r="H136" cm="1">
        <f t="array" ref="H136">INDEX(FX_Input,$R136,$Y136*H$5+$Z136)</f>
        <v>1</v>
      </c>
      <c r="I136" cm="1">
        <f t="array" ref="I136">INDEX(FX_Input,$R136,$Y136*I$5+$Z136)</f>
        <v>1</v>
      </c>
      <c r="J136" cm="1">
        <f t="array" ref="J136">INDEX(FX_Input,$R136,$Y136*J$5+$Z136)</f>
        <v>1</v>
      </c>
      <c r="K136" cm="1">
        <f t="array" ref="K136">INDEX(FX_Input,$R136,$Y136*K$5+$Z136)</f>
        <v>1</v>
      </c>
      <c r="L136" cm="1">
        <f t="array" ref="L136">INDEX(FX_Input,$R136,$Y136*L$5+$Z136)</f>
        <v>1</v>
      </c>
      <c r="M136" cm="1">
        <f t="array" ref="M136">INDEX(FX_Input,$R136,$Y136*M$5+$Z136)</f>
        <v>1</v>
      </c>
      <c r="N136" cm="1">
        <f t="array" ref="N136">INDEX(FX_Input,$R136,$Y136*N$5+$Z136)</f>
        <v>1</v>
      </c>
      <c r="O136" cm="1">
        <f t="array" ref="O136">INDEX(FX_Input,$R136,$Y136*O$5+$Z136)</f>
        <v>1</v>
      </c>
      <c r="R136">
        <f>R134</f>
        <v>19</v>
      </c>
      <c r="U136">
        <v>21</v>
      </c>
      <c r="V136">
        <f t="shared" si="281"/>
        <v>26</v>
      </c>
      <c r="W136">
        <v>1</v>
      </c>
      <c r="X136">
        <v>2</v>
      </c>
      <c r="Y136">
        <f t="shared" si="279"/>
        <v>5</v>
      </c>
      <c r="Z136">
        <f t="shared" si="280"/>
        <v>16</v>
      </c>
    </row>
    <row r="137" spans="1:26" x14ac:dyDescent="0.4">
      <c r="C137" t="s">
        <v>547</v>
      </c>
      <c r="D137" cm="1">
        <f t="array" ref="D137">INDEX(FX_Input,$R137,$Y137*D$5+$Z137)</f>
        <v>0</v>
      </c>
      <c r="E137" cm="1">
        <f t="array" ref="E137">INDEX(FX_Input,$R137,$Y137*E$5+$Z137)</f>
        <v>0</v>
      </c>
      <c r="F137" cm="1">
        <f t="array" ref="F137">INDEX(FX_Input,$R137,$Y137*F$5+$Z137)</f>
        <v>0</v>
      </c>
      <c r="G137" cm="1">
        <f t="array" ref="G137">INDEX(FX_Input,$R137,$Y137*G$5+$Z137)</f>
        <v>0</v>
      </c>
      <c r="H137" cm="1">
        <f t="array" ref="H137">INDEX(FX_Input,$R137,$Y137*H$5+$Z137)</f>
        <v>0</v>
      </c>
      <c r="I137" cm="1">
        <f t="array" ref="I137">INDEX(FX_Input,$R137,$Y137*I$5+$Z137)</f>
        <v>0</v>
      </c>
      <c r="J137" cm="1">
        <f t="array" ref="J137">INDEX(FX_Input,$R137,$Y137*J$5+$Z137)</f>
        <v>0</v>
      </c>
      <c r="K137" cm="1">
        <f t="array" ref="K137">INDEX(FX_Input,$R137,$Y137*K$5+$Z137)</f>
        <v>0</v>
      </c>
      <c r="L137" cm="1">
        <f t="array" ref="L137">INDEX(FX_Input,$R137,$Y137*L$5+$Z137)</f>
        <v>0</v>
      </c>
      <c r="M137" cm="1">
        <f t="array" ref="M137">INDEX(FX_Input,$R137,$Y137*M$5+$Z137)</f>
        <v>0</v>
      </c>
      <c r="N137" cm="1">
        <f t="array" ref="N137">INDEX(FX_Input,$R137,$Y137*N$5+$Z137)</f>
        <v>0</v>
      </c>
      <c r="O137" cm="1">
        <f t="array" ref="O137">INDEX(FX_Input,$R137,$Y137*O$5+$Z137)</f>
        <v>0</v>
      </c>
      <c r="R137">
        <f>R135</f>
        <v>20</v>
      </c>
      <c r="U137">
        <f>U136</f>
        <v>21</v>
      </c>
      <c r="V137">
        <f t="shared" si="281"/>
        <v>26</v>
      </c>
      <c r="W137">
        <v>1</v>
      </c>
      <c r="X137">
        <v>2</v>
      </c>
      <c r="Y137">
        <f t="shared" si="279"/>
        <v>5</v>
      </c>
      <c r="Z137">
        <f t="shared" si="280"/>
        <v>16</v>
      </c>
    </row>
    <row r="138" spans="1:26" x14ac:dyDescent="0.4">
      <c r="C138" t="s">
        <v>532</v>
      </c>
      <c r="D138">
        <f t="shared" ref="D138:O138" si="282">IFERROR(VLOOKUP(D132,Phys_Prop,2,FALSE),0)</f>
        <v>162</v>
      </c>
      <c r="E138">
        <f t="shared" si="282"/>
        <v>162</v>
      </c>
      <c r="F138">
        <f t="shared" si="282"/>
        <v>162</v>
      </c>
      <c r="G138">
        <f t="shared" si="282"/>
        <v>162</v>
      </c>
      <c r="H138">
        <f t="shared" si="282"/>
        <v>162</v>
      </c>
      <c r="I138">
        <f t="shared" si="282"/>
        <v>162</v>
      </c>
      <c r="J138">
        <f t="shared" si="282"/>
        <v>162</v>
      </c>
      <c r="K138">
        <f t="shared" si="282"/>
        <v>162</v>
      </c>
      <c r="L138">
        <f t="shared" si="282"/>
        <v>162</v>
      </c>
      <c r="M138">
        <f t="shared" si="282"/>
        <v>162</v>
      </c>
      <c r="N138">
        <f t="shared" si="282"/>
        <v>162</v>
      </c>
      <c r="O138">
        <f t="shared" si="282"/>
        <v>162</v>
      </c>
    </row>
    <row r="139" spans="1:26" x14ac:dyDescent="0.4">
      <c r="C139" t="s">
        <v>533</v>
      </c>
      <c r="D139">
        <f t="shared" ref="D139:O139" si="283">IFERROR(VLOOKUP(D133,Phys_Prop,2,FALSE),0)</f>
        <v>0</v>
      </c>
      <c r="E139">
        <f t="shared" si="283"/>
        <v>0</v>
      </c>
      <c r="F139">
        <f t="shared" si="283"/>
        <v>0</v>
      </c>
      <c r="G139">
        <f t="shared" si="283"/>
        <v>0</v>
      </c>
      <c r="H139">
        <f t="shared" si="283"/>
        <v>0</v>
      </c>
      <c r="I139">
        <f t="shared" si="283"/>
        <v>0</v>
      </c>
      <c r="J139">
        <f t="shared" si="283"/>
        <v>0</v>
      </c>
      <c r="K139">
        <f t="shared" si="283"/>
        <v>0</v>
      </c>
      <c r="L139">
        <f t="shared" si="283"/>
        <v>0</v>
      </c>
      <c r="M139">
        <f t="shared" si="283"/>
        <v>0</v>
      </c>
      <c r="N139">
        <f t="shared" si="283"/>
        <v>0</v>
      </c>
      <c r="O139">
        <f t="shared" si="283"/>
        <v>0</v>
      </c>
    </row>
    <row r="140" spans="1:26" x14ac:dyDescent="0.4">
      <c r="C140" t="s">
        <v>544</v>
      </c>
      <c r="D140">
        <f>IFERROR(IFERROR(D138/D136+D139/D137,D138/D136),0)</f>
        <v>162</v>
      </c>
      <c r="E140">
        <f t="shared" ref="E140" si="284">IFERROR(IFERROR(E138/E136+E139/E137,E138/E136),0)</f>
        <v>162</v>
      </c>
      <c r="F140">
        <f t="shared" ref="F140" si="285">IFERROR(IFERROR(F138/F136+F139/F137,F138/F136),0)</f>
        <v>162</v>
      </c>
      <c r="G140">
        <f t="shared" ref="G140" si="286">IFERROR(IFERROR(G138/G136+G139/G137,G138/G136),0)</f>
        <v>162</v>
      </c>
      <c r="H140">
        <f t="shared" ref="H140" si="287">IFERROR(IFERROR(H138/H136+H139/H137,H138/H136),0)</f>
        <v>162</v>
      </c>
      <c r="I140">
        <f t="shared" ref="I140" si="288">IFERROR(IFERROR(I138/I136+I139/I137,I138/I136),0)</f>
        <v>162</v>
      </c>
      <c r="J140">
        <f t="shared" ref="J140" si="289">IFERROR(IFERROR(J138/J136+J139/J137,J138/J136),0)</f>
        <v>162</v>
      </c>
      <c r="K140">
        <f t="shared" ref="K140" si="290">IFERROR(IFERROR(K138/K136+K139/K137,K138/K136),0)</f>
        <v>162</v>
      </c>
      <c r="L140">
        <f t="shared" ref="L140" si="291">IFERROR(IFERROR(L138/L136+L139/L137,L138/L136),0)</f>
        <v>162</v>
      </c>
      <c r="M140">
        <f t="shared" ref="M140" si="292">IFERROR(IFERROR(M138/M136+M139/M137,M138/M136),0)</f>
        <v>162</v>
      </c>
      <c r="N140">
        <f t="shared" ref="N140" si="293">IFERROR(IFERROR(N138/N136+N139/N137,N138/N136),0)</f>
        <v>162</v>
      </c>
      <c r="O140">
        <f t="shared" ref="O140" si="294">IFERROR(IFERROR(O138/O136+O139/O137,O138/O136),0)</f>
        <v>162</v>
      </c>
    </row>
    <row r="141" spans="1:26" x14ac:dyDescent="0.4">
      <c r="C141" t="s">
        <v>539</v>
      </c>
      <c r="D141">
        <f>IFERROR((D136/D138)*D140,1)</f>
        <v>1</v>
      </c>
      <c r="E141">
        <f t="shared" ref="E141" si="295">IFERROR((E136/E138)*E140,1)</f>
        <v>1</v>
      </c>
      <c r="F141">
        <f t="shared" ref="F141" si="296">IFERROR((F136/F138)*F140,1)</f>
        <v>1</v>
      </c>
      <c r="G141">
        <f t="shared" ref="G141" si="297">IFERROR((G136/G138)*G140,1)</f>
        <v>1</v>
      </c>
      <c r="H141">
        <f t="shared" ref="H141" si="298">IFERROR((H136/H138)*H140,1)</f>
        <v>1</v>
      </c>
      <c r="I141">
        <f t="shared" ref="I141" si="299">IFERROR((I136/I138)*I140,1)</f>
        <v>1</v>
      </c>
      <c r="J141">
        <f t="shared" ref="J141" si="300">IFERROR((J136/J138)*J140,1)</f>
        <v>1</v>
      </c>
      <c r="K141">
        <f t="shared" ref="K141" si="301">IFERROR((K136/K138)*K140,1)</f>
        <v>1</v>
      </c>
      <c r="L141">
        <f t="shared" ref="L141" si="302">IFERROR((L136/L138)*L140,1)</f>
        <v>1</v>
      </c>
      <c r="M141">
        <f t="shared" ref="M141" si="303">IFERROR((M136/M138)*M140,1)</f>
        <v>1</v>
      </c>
      <c r="N141">
        <f t="shared" ref="N141" si="304">IFERROR((N136/N138)*N140,1)</f>
        <v>1</v>
      </c>
      <c r="O141">
        <f t="shared" ref="O141" si="305">IFERROR((O136/O138)*O140,1)</f>
        <v>1</v>
      </c>
    </row>
    <row r="142" spans="1:26" x14ac:dyDescent="0.4">
      <c r="C142" t="s">
        <v>540</v>
      </c>
      <c r="D142">
        <f>IFERROR((D137/D139)*D140,0)</f>
        <v>0</v>
      </c>
      <c r="E142">
        <f t="shared" ref="E142:O142" si="306">IFERROR((E137/E139)*E140,0)</f>
        <v>0</v>
      </c>
      <c r="F142">
        <f t="shared" si="306"/>
        <v>0</v>
      </c>
      <c r="G142">
        <f t="shared" si="306"/>
        <v>0</v>
      </c>
      <c r="H142">
        <f t="shared" si="306"/>
        <v>0</v>
      </c>
      <c r="I142">
        <f t="shared" si="306"/>
        <v>0</v>
      </c>
      <c r="J142">
        <f t="shared" si="306"/>
        <v>0</v>
      </c>
      <c r="K142">
        <f t="shared" si="306"/>
        <v>0</v>
      </c>
      <c r="L142">
        <f t="shared" si="306"/>
        <v>0</v>
      </c>
      <c r="M142">
        <f t="shared" si="306"/>
        <v>0</v>
      </c>
      <c r="N142">
        <f t="shared" si="306"/>
        <v>0</v>
      </c>
      <c r="O142">
        <f t="shared" si="306"/>
        <v>0</v>
      </c>
    </row>
    <row r="143" spans="1:26" x14ac:dyDescent="0.4">
      <c r="C143" s="21" t="s">
        <v>534</v>
      </c>
      <c r="D143">
        <f t="shared" ref="D143:O143" si="307">IFERROR(VLOOKUP(D132,Phys_Prop,4,FALSE),0)</f>
        <v>7</v>
      </c>
      <c r="E143">
        <f t="shared" si="307"/>
        <v>7</v>
      </c>
      <c r="F143">
        <f t="shared" si="307"/>
        <v>7</v>
      </c>
      <c r="G143">
        <f t="shared" si="307"/>
        <v>7</v>
      </c>
      <c r="H143">
        <f t="shared" si="307"/>
        <v>7</v>
      </c>
      <c r="I143">
        <f t="shared" si="307"/>
        <v>7</v>
      </c>
      <c r="J143">
        <f t="shared" si="307"/>
        <v>7</v>
      </c>
      <c r="K143">
        <f t="shared" si="307"/>
        <v>7</v>
      </c>
      <c r="L143">
        <f t="shared" si="307"/>
        <v>7</v>
      </c>
      <c r="M143">
        <f t="shared" si="307"/>
        <v>7</v>
      </c>
      <c r="N143">
        <f t="shared" si="307"/>
        <v>7</v>
      </c>
      <c r="O143">
        <f t="shared" si="307"/>
        <v>7</v>
      </c>
    </row>
    <row r="144" spans="1:26" x14ac:dyDescent="0.4">
      <c r="C144" s="21" t="s">
        <v>535</v>
      </c>
      <c r="D144">
        <f t="shared" ref="D144:O144" si="308">IFERROR(VLOOKUP(D133,Phys_Prop,4,FALSE),0)</f>
        <v>0</v>
      </c>
      <c r="E144">
        <f t="shared" si="308"/>
        <v>0</v>
      </c>
      <c r="F144">
        <f t="shared" si="308"/>
        <v>0</v>
      </c>
      <c r="G144">
        <f t="shared" si="308"/>
        <v>0</v>
      </c>
      <c r="H144">
        <f t="shared" si="308"/>
        <v>0</v>
      </c>
      <c r="I144">
        <f t="shared" si="308"/>
        <v>0</v>
      </c>
      <c r="J144">
        <f t="shared" si="308"/>
        <v>0</v>
      </c>
      <c r="K144">
        <f t="shared" si="308"/>
        <v>0</v>
      </c>
      <c r="L144">
        <f t="shared" si="308"/>
        <v>0</v>
      </c>
      <c r="M144">
        <f t="shared" si="308"/>
        <v>0</v>
      </c>
      <c r="N144">
        <f t="shared" si="308"/>
        <v>0</v>
      </c>
      <c r="O144">
        <f t="shared" si="308"/>
        <v>0</v>
      </c>
    </row>
    <row r="145" spans="1:26" x14ac:dyDescent="0.4">
      <c r="A145" s="11"/>
      <c r="B145" s="11"/>
      <c r="C145" s="62" t="s">
        <v>536</v>
      </c>
      <c r="D145" s="11">
        <f>IFERROR(1/(D141/D143+D142/D144),D143)</f>
        <v>7</v>
      </c>
      <c r="E145" s="11">
        <f t="shared" ref="E145:O145" si="309">IFERROR(1/(E141/E143+E142/E144),E143)</f>
        <v>7</v>
      </c>
      <c r="F145" s="11">
        <f t="shared" si="309"/>
        <v>7</v>
      </c>
      <c r="G145" s="11">
        <f t="shared" si="309"/>
        <v>7</v>
      </c>
      <c r="H145" s="11">
        <f t="shared" si="309"/>
        <v>7</v>
      </c>
      <c r="I145" s="11">
        <f t="shared" si="309"/>
        <v>7</v>
      </c>
      <c r="J145" s="11">
        <f t="shared" si="309"/>
        <v>7</v>
      </c>
      <c r="K145" s="11">
        <f t="shared" si="309"/>
        <v>7</v>
      </c>
      <c r="L145" s="11">
        <f t="shared" si="309"/>
        <v>7</v>
      </c>
      <c r="M145" s="11">
        <f t="shared" si="309"/>
        <v>7</v>
      </c>
      <c r="N145" s="11">
        <f t="shared" si="309"/>
        <v>7</v>
      </c>
      <c r="O145" s="11">
        <f t="shared" si="309"/>
        <v>7</v>
      </c>
      <c r="P145" s="11"/>
      <c r="Q145" s="11"/>
      <c r="R145" s="11"/>
      <c r="S145" s="11"/>
      <c r="T145" s="11"/>
      <c r="U145" s="11"/>
      <c r="V145" s="11"/>
      <c r="W145" s="11"/>
      <c r="X145" s="11"/>
      <c r="Y145" s="11"/>
      <c r="Z145" s="11"/>
    </row>
    <row r="146" spans="1:26" x14ac:dyDescent="0.4">
      <c r="A146" t="str" cm="1">
        <f t="array" ref="A146">INDEX(FX_Input,R146,S146)</f>
        <v>FX - 11</v>
      </c>
      <c r="B146" t="str" cm="1">
        <f t="array" ref="B146">INDEX(FX_Input,R146,T146)</f>
        <v>Portland</v>
      </c>
      <c r="C146" t="s">
        <v>528</v>
      </c>
      <c r="D146" t="str" cm="1">
        <f t="array" ref="D146">INDEX(FX_Input,$R146,$Y146*D$5+$Z146)</f>
        <v>Out of Service</v>
      </c>
      <c r="E146" t="str" cm="1">
        <f t="array" ref="E146">INDEX(FX_Input,$R146,$Y146*E$5+$Z146)</f>
        <v>Out of Service</v>
      </c>
      <c r="F146" t="str" cm="1">
        <f t="array" ref="F146">INDEX(FX_Input,$R146,$Y146*F$5+$Z146)</f>
        <v>Out of Service</v>
      </c>
      <c r="G146" t="str" cm="1">
        <f t="array" ref="G146">INDEX(FX_Input,$R146,$Y146*G$5+$Z146)</f>
        <v>Out of Service</v>
      </c>
      <c r="H146" t="str" cm="1">
        <f t="array" ref="H146">INDEX(FX_Input,$R146,$Y146*H$5+$Z146)</f>
        <v>Out of Service</v>
      </c>
      <c r="I146" t="str" cm="1">
        <f t="array" ref="I146">INDEX(FX_Input,$R146,$Y146*I$5+$Z146)</f>
        <v>Out of Service</v>
      </c>
      <c r="J146" t="str" cm="1">
        <f t="array" ref="J146">INDEX(FX_Input,$R146,$Y146*J$5+$Z146)</f>
        <v>Out of Service</v>
      </c>
      <c r="K146" t="str" cm="1">
        <f t="array" ref="K146">INDEX(FX_Input,$R146,$Y146*K$5+$Z146)</f>
        <v>Out of Service</v>
      </c>
      <c r="L146" t="str" cm="1">
        <f t="array" ref="L146">INDEX(FX_Input,$R146,$Y146*L$5+$Z146)</f>
        <v>Out of Service</v>
      </c>
      <c r="M146" t="str" cm="1">
        <f t="array" ref="M146">INDEX(FX_Input,$R146,$Y146*M$5+$Z146)</f>
        <v>Out of Service</v>
      </c>
      <c r="N146" t="str" cm="1">
        <f t="array" ref="N146">INDEX(FX_Input,$R146,$Y146*N$5+$Z146)</f>
        <v>Out of Service</v>
      </c>
      <c r="O146" t="str" cm="1">
        <f t="array" ref="O146">INDEX(FX_Input,$R146,$Y146*O$5+$Z146)</f>
        <v>Out of Service</v>
      </c>
      <c r="R146">
        <f>R132+2</f>
        <v>21</v>
      </c>
      <c r="S146">
        <v>1</v>
      </c>
      <c r="T146">
        <v>3</v>
      </c>
      <c r="U146">
        <v>17</v>
      </c>
      <c r="V146">
        <f>U146+5</f>
        <v>22</v>
      </c>
      <c r="W146">
        <v>1</v>
      </c>
      <c r="X146">
        <v>2</v>
      </c>
      <c r="Y146">
        <f t="shared" ref="Y146:Y151" si="310">(V146-U146)/(X146-W146)</f>
        <v>5</v>
      </c>
      <c r="Z146">
        <f t="shared" ref="Z146:Z151" si="311">U146-Y146*W146</f>
        <v>12</v>
      </c>
    </row>
    <row r="147" spans="1:26" x14ac:dyDescent="0.4">
      <c r="C147" t="s">
        <v>529</v>
      </c>
      <c r="D147" cm="1">
        <f t="array" ref="D147">INDEX(FX_Input,$R147,$Y147*D$5+$Z147)</f>
        <v>0</v>
      </c>
      <c r="E147" cm="1">
        <f t="array" ref="E147">INDEX(FX_Input,$R147,$Y147*E$5+$Z147)</f>
        <v>0</v>
      </c>
      <c r="F147" cm="1">
        <f t="array" ref="F147">INDEX(FX_Input,$R147,$Y147*F$5+$Z147)</f>
        <v>0</v>
      </c>
      <c r="G147" cm="1">
        <f t="array" ref="G147">INDEX(FX_Input,$R147,$Y147*G$5+$Z147)</f>
        <v>0</v>
      </c>
      <c r="H147" cm="1">
        <f t="array" ref="H147">INDEX(FX_Input,$R147,$Y147*H$5+$Z147)</f>
        <v>0</v>
      </c>
      <c r="I147" cm="1">
        <f t="array" ref="I147">INDEX(FX_Input,$R147,$Y147*I$5+$Z147)</f>
        <v>0</v>
      </c>
      <c r="J147" cm="1">
        <f t="array" ref="J147">INDEX(FX_Input,$R147,$Y147*J$5+$Z147)</f>
        <v>0</v>
      </c>
      <c r="K147" cm="1">
        <f t="array" ref="K147">INDEX(FX_Input,$R147,$Y147*K$5+$Z147)</f>
        <v>0</v>
      </c>
      <c r="L147" cm="1">
        <f t="array" ref="L147">INDEX(FX_Input,$R147,$Y147*L$5+$Z147)</f>
        <v>0</v>
      </c>
      <c r="M147" cm="1">
        <f t="array" ref="M147">INDEX(FX_Input,$R147,$Y147*M$5+$Z147)</f>
        <v>0</v>
      </c>
      <c r="N147" cm="1">
        <f t="array" ref="N147">INDEX(FX_Input,$R147,$Y147*N$5+$Z147)</f>
        <v>0</v>
      </c>
      <c r="O147" cm="1">
        <f t="array" ref="O147">INDEX(FX_Input,$R147,$Y147*O$5+$Z147)</f>
        <v>0</v>
      </c>
      <c r="R147">
        <f>R146+1</f>
        <v>22</v>
      </c>
      <c r="U147">
        <f>U146</f>
        <v>17</v>
      </c>
      <c r="V147">
        <f t="shared" ref="V147:V151" si="312">U147+5</f>
        <v>22</v>
      </c>
      <c r="W147">
        <v>1</v>
      </c>
      <c r="X147">
        <v>2</v>
      </c>
      <c r="Y147">
        <f t="shared" si="310"/>
        <v>5</v>
      </c>
      <c r="Z147">
        <f t="shared" si="311"/>
        <v>12</v>
      </c>
    </row>
    <row r="148" spans="1:26" x14ac:dyDescent="0.4">
      <c r="C148" t="s">
        <v>530</v>
      </c>
      <c r="D148" t="str" cm="1">
        <f t="array" ref="D148">INDEX(FX_Input,$R148,$Y148*D$5+$Z148)</f>
        <v>N/A</v>
      </c>
      <c r="E148" t="str" cm="1">
        <f t="array" ref="E148">INDEX(FX_Input,$R148,$Y148*E$5+$Z148)</f>
        <v>N/A</v>
      </c>
      <c r="F148" t="str" cm="1">
        <f t="array" ref="F148">INDEX(FX_Input,$R148,$Y148*F$5+$Z148)</f>
        <v>N/A</v>
      </c>
      <c r="G148" t="str" cm="1">
        <f t="array" ref="G148">INDEX(FX_Input,$R148,$Y148*G$5+$Z148)</f>
        <v>N/A</v>
      </c>
      <c r="H148" t="str" cm="1">
        <f t="array" ref="H148">INDEX(FX_Input,$R148,$Y148*H$5+$Z148)</f>
        <v>N/A</v>
      </c>
      <c r="I148" t="str" cm="1">
        <f t="array" ref="I148">INDEX(FX_Input,$R148,$Y148*I$5+$Z148)</f>
        <v>N/A</v>
      </c>
      <c r="J148" t="str" cm="1">
        <f t="array" ref="J148">INDEX(FX_Input,$R148,$Y148*J$5+$Z148)</f>
        <v>N/A</v>
      </c>
      <c r="K148" t="str" cm="1">
        <f t="array" ref="K148">INDEX(FX_Input,$R148,$Y148*K$5+$Z148)</f>
        <v>N/A</v>
      </c>
      <c r="L148" t="str" cm="1">
        <f t="array" ref="L148">INDEX(FX_Input,$R148,$Y148*L$5+$Z148)</f>
        <v>N/A</v>
      </c>
      <c r="M148" t="str" cm="1">
        <f t="array" ref="M148">INDEX(FX_Input,$R148,$Y148*M$5+$Z148)</f>
        <v>N/A</v>
      </c>
      <c r="N148" t="str" cm="1">
        <f t="array" ref="N148">INDEX(FX_Input,$R148,$Y148*N$5+$Z148)</f>
        <v>N/A</v>
      </c>
      <c r="O148" t="str" cm="1">
        <f t="array" ref="O148">INDEX(FX_Input,$R148,$Y148*O$5+$Z148)</f>
        <v>N/A</v>
      </c>
      <c r="R148">
        <f>R146</f>
        <v>21</v>
      </c>
      <c r="U148">
        <v>18</v>
      </c>
      <c r="V148">
        <f t="shared" si="312"/>
        <v>23</v>
      </c>
      <c r="W148">
        <v>1</v>
      </c>
      <c r="X148">
        <v>2</v>
      </c>
      <c r="Y148">
        <f t="shared" si="310"/>
        <v>5</v>
      </c>
      <c r="Z148">
        <f t="shared" si="311"/>
        <v>13</v>
      </c>
    </row>
    <row r="149" spans="1:26" x14ac:dyDescent="0.4">
      <c r="C149" t="s">
        <v>531</v>
      </c>
      <c r="D149" cm="1">
        <f t="array" ref="D149">INDEX(FX_Input,$R149,$Y149*D$5+$Z149)</f>
        <v>0</v>
      </c>
      <c r="E149" cm="1">
        <f t="array" ref="E149">INDEX(FX_Input,$R149,$Y149*E$5+$Z149)</f>
        <v>0</v>
      </c>
      <c r="F149" cm="1">
        <f t="array" ref="F149">INDEX(FX_Input,$R149,$Y149*F$5+$Z149)</f>
        <v>0</v>
      </c>
      <c r="G149" cm="1">
        <f t="array" ref="G149">INDEX(FX_Input,$R149,$Y149*G$5+$Z149)</f>
        <v>0</v>
      </c>
      <c r="H149" cm="1">
        <f t="array" ref="H149">INDEX(FX_Input,$R149,$Y149*H$5+$Z149)</f>
        <v>0</v>
      </c>
      <c r="I149" cm="1">
        <f t="array" ref="I149">INDEX(FX_Input,$R149,$Y149*I$5+$Z149)</f>
        <v>0</v>
      </c>
      <c r="J149" cm="1">
        <f t="array" ref="J149">INDEX(FX_Input,$R149,$Y149*J$5+$Z149)</f>
        <v>0</v>
      </c>
      <c r="K149" cm="1">
        <f t="array" ref="K149">INDEX(FX_Input,$R149,$Y149*K$5+$Z149)</f>
        <v>0</v>
      </c>
      <c r="L149" cm="1">
        <f t="array" ref="L149">INDEX(FX_Input,$R149,$Y149*L$5+$Z149)</f>
        <v>0</v>
      </c>
      <c r="M149" cm="1">
        <f t="array" ref="M149">INDEX(FX_Input,$R149,$Y149*M$5+$Z149)</f>
        <v>0</v>
      </c>
      <c r="N149" cm="1">
        <f t="array" ref="N149">INDEX(FX_Input,$R149,$Y149*N$5+$Z149)</f>
        <v>0</v>
      </c>
      <c r="O149" cm="1">
        <f t="array" ref="O149">INDEX(FX_Input,$R149,$Y149*O$5+$Z149)</f>
        <v>0</v>
      </c>
      <c r="R149">
        <f>R147</f>
        <v>22</v>
      </c>
      <c r="U149">
        <f>U148</f>
        <v>18</v>
      </c>
      <c r="V149">
        <f t="shared" si="312"/>
        <v>23</v>
      </c>
      <c r="W149">
        <v>1</v>
      </c>
      <c r="X149">
        <v>2</v>
      </c>
      <c r="Y149">
        <f t="shared" si="310"/>
        <v>5</v>
      </c>
      <c r="Z149">
        <f t="shared" si="311"/>
        <v>13</v>
      </c>
    </row>
    <row r="150" spans="1:26" x14ac:dyDescent="0.4">
      <c r="C150" t="s">
        <v>546</v>
      </c>
      <c r="D150" cm="1">
        <f t="array" ref="D150">INDEX(FX_Input,$R150,$Y150*D$5+$Z150)</f>
        <v>1</v>
      </c>
      <c r="E150" cm="1">
        <f t="array" ref="E150">INDEX(FX_Input,$R150,$Y150*E$5+$Z150)</f>
        <v>1</v>
      </c>
      <c r="F150" cm="1">
        <f t="array" ref="F150">INDEX(FX_Input,$R150,$Y150*F$5+$Z150)</f>
        <v>1</v>
      </c>
      <c r="G150" cm="1">
        <f t="array" ref="G150">INDEX(FX_Input,$R150,$Y150*G$5+$Z150)</f>
        <v>1</v>
      </c>
      <c r="H150" cm="1">
        <f t="array" ref="H150">INDEX(FX_Input,$R150,$Y150*H$5+$Z150)</f>
        <v>1</v>
      </c>
      <c r="I150" cm="1">
        <f t="array" ref="I150">INDEX(FX_Input,$R150,$Y150*I$5+$Z150)</f>
        <v>1</v>
      </c>
      <c r="J150" cm="1">
        <f t="array" ref="J150">INDEX(FX_Input,$R150,$Y150*J$5+$Z150)</f>
        <v>1</v>
      </c>
      <c r="K150" cm="1">
        <f t="array" ref="K150">INDEX(FX_Input,$R150,$Y150*K$5+$Z150)</f>
        <v>1</v>
      </c>
      <c r="L150" cm="1">
        <f t="array" ref="L150">INDEX(FX_Input,$R150,$Y150*L$5+$Z150)</f>
        <v>1</v>
      </c>
      <c r="M150" cm="1">
        <f t="array" ref="M150">INDEX(FX_Input,$R150,$Y150*M$5+$Z150)</f>
        <v>1</v>
      </c>
      <c r="N150" cm="1">
        <f t="array" ref="N150">INDEX(FX_Input,$R150,$Y150*N$5+$Z150)</f>
        <v>1</v>
      </c>
      <c r="O150" cm="1">
        <f t="array" ref="O150">INDEX(FX_Input,$R150,$Y150*O$5+$Z150)</f>
        <v>1</v>
      </c>
      <c r="R150">
        <f>R148</f>
        <v>21</v>
      </c>
      <c r="U150">
        <v>21</v>
      </c>
      <c r="V150">
        <f t="shared" si="312"/>
        <v>26</v>
      </c>
      <c r="W150">
        <v>1</v>
      </c>
      <c r="X150">
        <v>2</v>
      </c>
      <c r="Y150">
        <f t="shared" si="310"/>
        <v>5</v>
      </c>
      <c r="Z150">
        <f t="shared" si="311"/>
        <v>16</v>
      </c>
    </row>
    <row r="151" spans="1:26" x14ac:dyDescent="0.4">
      <c r="C151" t="s">
        <v>547</v>
      </c>
      <c r="D151" cm="1">
        <f t="array" ref="D151">INDEX(FX_Input,$R151,$Y151*D$5+$Z151)</f>
        <v>0</v>
      </c>
      <c r="E151" cm="1">
        <f t="array" ref="E151">INDEX(FX_Input,$R151,$Y151*E$5+$Z151)</f>
        <v>0</v>
      </c>
      <c r="F151" cm="1">
        <f t="array" ref="F151">INDEX(FX_Input,$R151,$Y151*F$5+$Z151)</f>
        <v>0</v>
      </c>
      <c r="G151" cm="1">
        <f t="array" ref="G151">INDEX(FX_Input,$R151,$Y151*G$5+$Z151)</f>
        <v>0</v>
      </c>
      <c r="H151" cm="1">
        <f t="array" ref="H151">INDEX(FX_Input,$R151,$Y151*H$5+$Z151)</f>
        <v>0</v>
      </c>
      <c r="I151" cm="1">
        <f t="array" ref="I151">INDEX(FX_Input,$R151,$Y151*I$5+$Z151)</f>
        <v>0</v>
      </c>
      <c r="J151" cm="1">
        <f t="array" ref="J151">INDEX(FX_Input,$R151,$Y151*J$5+$Z151)</f>
        <v>0</v>
      </c>
      <c r="K151" cm="1">
        <f t="array" ref="K151">INDEX(FX_Input,$R151,$Y151*K$5+$Z151)</f>
        <v>0</v>
      </c>
      <c r="L151" cm="1">
        <f t="array" ref="L151">INDEX(FX_Input,$R151,$Y151*L$5+$Z151)</f>
        <v>0</v>
      </c>
      <c r="M151" cm="1">
        <f t="array" ref="M151">INDEX(FX_Input,$R151,$Y151*M$5+$Z151)</f>
        <v>0</v>
      </c>
      <c r="N151" cm="1">
        <f t="array" ref="N151">INDEX(FX_Input,$R151,$Y151*N$5+$Z151)</f>
        <v>0</v>
      </c>
      <c r="O151" cm="1">
        <f t="array" ref="O151">INDEX(FX_Input,$R151,$Y151*O$5+$Z151)</f>
        <v>0</v>
      </c>
      <c r="R151">
        <f>R149</f>
        <v>22</v>
      </c>
      <c r="U151">
        <f>U150</f>
        <v>21</v>
      </c>
      <c r="V151">
        <f t="shared" si="312"/>
        <v>26</v>
      </c>
      <c r="W151">
        <v>1</v>
      </c>
      <c r="X151">
        <v>2</v>
      </c>
      <c r="Y151">
        <f t="shared" si="310"/>
        <v>5</v>
      </c>
      <c r="Z151">
        <f t="shared" si="311"/>
        <v>16</v>
      </c>
    </row>
    <row r="152" spans="1:26" x14ac:dyDescent="0.4">
      <c r="C152" t="s">
        <v>532</v>
      </c>
      <c r="D152" t="str">
        <f t="shared" ref="D152:O152" si="313">IFERROR(VLOOKUP(D146,Phys_Prop,2,FALSE),0)</f>
        <v>N/A</v>
      </c>
      <c r="E152" t="str">
        <f t="shared" si="313"/>
        <v>N/A</v>
      </c>
      <c r="F152" t="str">
        <f t="shared" si="313"/>
        <v>N/A</v>
      </c>
      <c r="G152" t="str">
        <f t="shared" si="313"/>
        <v>N/A</v>
      </c>
      <c r="H152" t="str">
        <f t="shared" si="313"/>
        <v>N/A</v>
      </c>
      <c r="I152" t="str">
        <f t="shared" si="313"/>
        <v>N/A</v>
      </c>
      <c r="J152" t="str">
        <f t="shared" si="313"/>
        <v>N/A</v>
      </c>
      <c r="K152" t="str">
        <f t="shared" si="313"/>
        <v>N/A</v>
      </c>
      <c r="L152" t="str">
        <f t="shared" si="313"/>
        <v>N/A</v>
      </c>
      <c r="M152" t="str">
        <f t="shared" si="313"/>
        <v>N/A</v>
      </c>
      <c r="N152" t="str">
        <f t="shared" si="313"/>
        <v>N/A</v>
      </c>
      <c r="O152" t="str">
        <f t="shared" si="313"/>
        <v>N/A</v>
      </c>
    </row>
    <row r="153" spans="1:26" x14ac:dyDescent="0.4">
      <c r="C153" t="s">
        <v>533</v>
      </c>
      <c r="D153">
        <f t="shared" ref="D153:O153" si="314">IFERROR(VLOOKUP(D147,Phys_Prop,2,FALSE),0)</f>
        <v>0</v>
      </c>
      <c r="E153">
        <f t="shared" si="314"/>
        <v>0</v>
      </c>
      <c r="F153">
        <f t="shared" si="314"/>
        <v>0</v>
      </c>
      <c r="G153">
        <f t="shared" si="314"/>
        <v>0</v>
      </c>
      <c r="H153">
        <f t="shared" si="314"/>
        <v>0</v>
      </c>
      <c r="I153">
        <f t="shared" si="314"/>
        <v>0</v>
      </c>
      <c r="J153">
        <f t="shared" si="314"/>
        <v>0</v>
      </c>
      <c r="K153">
        <f t="shared" si="314"/>
        <v>0</v>
      </c>
      <c r="L153">
        <f t="shared" si="314"/>
        <v>0</v>
      </c>
      <c r="M153">
        <f t="shared" si="314"/>
        <v>0</v>
      </c>
      <c r="N153">
        <f t="shared" si="314"/>
        <v>0</v>
      </c>
      <c r="O153">
        <f t="shared" si="314"/>
        <v>0</v>
      </c>
    </row>
    <row r="154" spans="1:26" x14ac:dyDescent="0.4">
      <c r="C154" t="s">
        <v>544</v>
      </c>
      <c r="D154">
        <f>IFERROR(IFERROR(D152/D150+D153/D151,D152/D150),0)</f>
        <v>0</v>
      </c>
      <c r="E154">
        <f t="shared" ref="E154" si="315">IFERROR(IFERROR(E152/E150+E153/E151,E152/E150),0)</f>
        <v>0</v>
      </c>
      <c r="F154">
        <f t="shared" ref="F154" si="316">IFERROR(IFERROR(F152/F150+F153/F151,F152/F150),0)</f>
        <v>0</v>
      </c>
      <c r="G154">
        <f t="shared" ref="G154" si="317">IFERROR(IFERROR(G152/G150+G153/G151,G152/G150),0)</f>
        <v>0</v>
      </c>
      <c r="H154">
        <f t="shared" ref="H154" si="318">IFERROR(IFERROR(H152/H150+H153/H151,H152/H150),0)</f>
        <v>0</v>
      </c>
      <c r="I154">
        <f t="shared" ref="I154" si="319">IFERROR(IFERROR(I152/I150+I153/I151,I152/I150),0)</f>
        <v>0</v>
      </c>
      <c r="J154">
        <f t="shared" ref="J154" si="320">IFERROR(IFERROR(J152/J150+J153/J151,J152/J150),0)</f>
        <v>0</v>
      </c>
      <c r="K154">
        <f t="shared" ref="K154" si="321">IFERROR(IFERROR(K152/K150+K153/K151,K152/K150),0)</f>
        <v>0</v>
      </c>
      <c r="L154">
        <f t="shared" ref="L154" si="322">IFERROR(IFERROR(L152/L150+L153/L151,L152/L150),0)</f>
        <v>0</v>
      </c>
      <c r="M154">
        <f t="shared" ref="M154" si="323">IFERROR(IFERROR(M152/M150+M153/M151,M152/M150),0)</f>
        <v>0</v>
      </c>
      <c r="N154">
        <f t="shared" ref="N154" si="324">IFERROR(IFERROR(N152/N150+N153/N151,N152/N150),0)</f>
        <v>0</v>
      </c>
      <c r="O154">
        <f t="shared" ref="O154" si="325">IFERROR(IFERROR(O152/O150+O153/O151,O152/O150),0)</f>
        <v>0</v>
      </c>
    </row>
    <row r="155" spans="1:26" x14ac:dyDescent="0.4">
      <c r="C155" t="s">
        <v>539</v>
      </c>
      <c r="D155">
        <f>IFERROR((D150/D152)*D154,1)</f>
        <v>1</v>
      </c>
      <c r="E155">
        <f t="shared" ref="E155" si="326">IFERROR((E150/E152)*E154,1)</f>
        <v>1</v>
      </c>
      <c r="F155">
        <f t="shared" ref="F155" si="327">IFERROR((F150/F152)*F154,1)</f>
        <v>1</v>
      </c>
      <c r="G155">
        <f t="shared" ref="G155" si="328">IFERROR((G150/G152)*G154,1)</f>
        <v>1</v>
      </c>
      <c r="H155">
        <f t="shared" ref="H155" si="329">IFERROR((H150/H152)*H154,1)</f>
        <v>1</v>
      </c>
      <c r="I155">
        <f t="shared" ref="I155" si="330">IFERROR((I150/I152)*I154,1)</f>
        <v>1</v>
      </c>
      <c r="J155">
        <f t="shared" ref="J155" si="331">IFERROR((J150/J152)*J154,1)</f>
        <v>1</v>
      </c>
      <c r="K155">
        <f t="shared" ref="K155" si="332">IFERROR((K150/K152)*K154,1)</f>
        <v>1</v>
      </c>
      <c r="L155">
        <f t="shared" ref="L155" si="333">IFERROR((L150/L152)*L154,1)</f>
        <v>1</v>
      </c>
      <c r="M155">
        <f t="shared" ref="M155" si="334">IFERROR((M150/M152)*M154,1)</f>
        <v>1</v>
      </c>
      <c r="N155">
        <f t="shared" ref="N155" si="335">IFERROR((N150/N152)*N154,1)</f>
        <v>1</v>
      </c>
      <c r="O155">
        <f t="shared" ref="O155" si="336">IFERROR((O150/O152)*O154,1)</f>
        <v>1</v>
      </c>
    </row>
    <row r="156" spans="1:26" x14ac:dyDescent="0.4">
      <c r="C156" t="s">
        <v>540</v>
      </c>
      <c r="D156">
        <f>IFERROR((D151/D153)*D154,0)</f>
        <v>0</v>
      </c>
      <c r="E156">
        <f t="shared" ref="E156:O156" si="337">IFERROR((E151/E153)*E154,0)</f>
        <v>0</v>
      </c>
      <c r="F156">
        <f t="shared" si="337"/>
        <v>0</v>
      </c>
      <c r="G156">
        <f t="shared" si="337"/>
        <v>0</v>
      </c>
      <c r="H156">
        <f t="shared" si="337"/>
        <v>0</v>
      </c>
      <c r="I156">
        <f t="shared" si="337"/>
        <v>0</v>
      </c>
      <c r="J156">
        <f t="shared" si="337"/>
        <v>0</v>
      </c>
      <c r="K156">
        <f t="shared" si="337"/>
        <v>0</v>
      </c>
      <c r="L156">
        <f t="shared" si="337"/>
        <v>0</v>
      </c>
      <c r="M156">
        <f t="shared" si="337"/>
        <v>0</v>
      </c>
      <c r="N156">
        <f t="shared" si="337"/>
        <v>0</v>
      </c>
      <c r="O156">
        <f t="shared" si="337"/>
        <v>0</v>
      </c>
    </row>
    <row r="157" spans="1:26" x14ac:dyDescent="0.4">
      <c r="C157" s="21" t="s">
        <v>534</v>
      </c>
      <c r="D157" t="str">
        <f t="shared" ref="D157:O157" si="338">IFERROR(VLOOKUP(D146,Phys_Prop,4,FALSE),0)</f>
        <v>N/A</v>
      </c>
      <c r="E157" t="str">
        <f t="shared" si="338"/>
        <v>N/A</v>
      </c>
      <c r="F157" t="str">
        <f t="shared" si="338"/>
        <v>N/A</v>
      </c>
      <c r="G157" t="str">
        <f t="shared" si="338"/>
        <v>N/A</v>
      </c>
      <c r="H157" t="str">
        <f t="shared" si="338"/>
        <v>N/A</v>
      </c>
      <c r="I157" t="str">
        <f t="shared" si="338"/>
        <v>N/A</v>
      </c>
      <c r="J157" t="str">
        <f t="shared" si="338"/>
        <v>N/A</v>
      </c>
      <c r="K157" t="str">
        <f t="shared" si="338"/>
        <v>N/A</v>
      </c>
      <c r="L157" t="str">
        <f t="shared" si="338"/>
        <v>N/A</v>
      </c>
      <c r="M157" t="str">
        <f t="shared" si="338"/>
        <v>N/A</v>
      </c>
      <c r="N157" t="str">
        <f t="shared" si="338"/>
        <v>N/A</v>
      </c>
      <c r="O157" t="str">
        <f t="shared" si="338"/>
        <v>N/A</v>
      </c>
    </row>
    <row r="158" spans="1:26" x14ac:dyDescent="0.4">
      <c r="C158" s="21" t="s">
        <v>535</v>
      </c>
      <c r="D158">
        <f t="shared" ref="D158:O158" si="339">IFERROR(VLOOKUP(D147,Phys_Prop,4,FALSE),0)</f>
        <v>0</v>
      </c>
      <c r="E158">
        <f t="shared" si="339"/>
        <v>0</v>
      </c>
      <c r="F158">
        <f t="shared" si="339"/>
        <v>0</v>
      </c>
      <c r="G158">
        <f t="shared" si="339"/>
        <v>0</v>
      </c>
      <c r="H158">
        <f t="shared" si="339"/>
        <v>0</v>
      </c>
      <c r="I158">
        <f t="shared" si="339"/>
        <v>0</v>
      </c>
      <c r="J158">
        <f t="shared" si="339"/>
        <v>0</v>
      </c>
      <c r="K158">
        <f t="shared" si="339"/>
        <v>0</v>
      </c>
      <c r="L158">
        <f t="shared" si="339"/>
        <v>0</v>
      </c>
      <c r="M158">
        <f t="shared" si="339"/>
        <v>0</v>
      </c>
      <c r="N158">
        <f t="shared" si="339"/>
        <v>0</v>
      </c>
      <c r="O158">
        <f t="shared" si="339"/>
        <v>0</v>
      </c>
    </row>
    <row r="159" spans="1:26" x14ac:dyDescent="0.4">
      <c r="A159" s="11"/>
      <c r="B159" s="11"/>
      <c r="C159" s="62" t="s">
        <v>536</v>
      </c>
      <c r="D159" s="11" t="str">
        <f>IFERROR(1/(D155/D157+D156/D158),D157)</f>
        <v>N/A</v>
      </c>
      <c r="E159" s="11" t="str">
        <f t="shared" ref="E159:O159" si="340">IFERROR(1/(E155/E157+E156/E158),E157)</f>
        <v>N/A</v>
      </c>
      <c r="F159" s="11" t="str">
        <f t="shared" si="340"/>
        <v>N/A</v>
      </c>
      <c r="G159" s="11" t="str">
        <f t="shared" si="340"/>
        <v>N/A</v>
      </c>
      <c r="H159" s="11" t="str">
        <f t="shared" si="340"/>
        <v>N/A</v>
      </c>
      <c r="I159" s="11" t="str">
        <f t="shared" si="340"/>
        <v>N/A</v>
      </c>
      <c r="J159" s="11" t="str">
        <f t="shared" si="340"/>
        <v>N/A</v>
      </c>
      <c r="K159" s="11" t="str">
        <f t="shared" si="340"/>
        <v>N/A</v>
      </c>
      <c r="L159" s="11" t="str">
        <f t="shared" si="340"/>
        <v>N/A</v>
      </c>
      <c r="M159" s="11" t="str">
        <f t="shared" si="340"/>
        <v>N/A</v>
      </c>
      <c r="N159" s="11" t="str">
        <f t="shared" si="340"/>
        <v>N/A</v>
      </c>
      <c r="O159" s="11" t="str">
        <f t="shared" si="340"/>
        <v>N/A</v>
      </c>
      <c r="P159" s="11"/>
      <c r="Q159" s="11"/>
      <c r="R159" s="11"/>
      <c r="S159" s="11"/>
      <c r="T159" s="11"/>
      <c r="U159" s="11"/>
      <c r="V159" s="11"/>
      <c r="W159" s="11"/>
      <c r="X159" s="11"/>
      <c r="Y159" s="11"/>
      <c r="Z159" s="11"/>
    </row>
    <row r="160" spans="1:26" x14ac:dyDescent="0.4">
      <c r="A160" t="str" cm="1">
        <f t="array" ref="A160">INDEX(FX_Input,R160,S160)</f>
        <v>FX - 12</v>
      </c>
      <c r="B160" t="str" cm="1">
        <f t="array" ref="B160">INDEX(FX_Input,R160,T160)</f>
        <v>Portland</v>
      </c>
      <c r="C160" t="s">
        <v>528</v>
      </c>
      <c r="D160" t="str" cm="1">
        <f t="array" ref="D160">INDEX(FX_Input,$R160,$Y160*D$5+$Z160)</f>
        <v>Jet kerosene</v>
      </c>
      <c r="E160" t="str" cm="1">
        <f t="array" ref="E160">INDEX(FX_Input,$R160,$Y160*E$5+$Z160)</f>
        <v>Jet kerosene</v>
      </c>
      <c r="F160" t="str" cm="1">
        <f t="array" ref="F160">INDEX(FX_Input,$R160,$Y160*F$5+$Z160)</f>
        <v>Jet kerosene</v>
      </c>
      <c r="G160" t="str" cm="1">
        <f t="array" ref="G160">INDEX(FX_Input,$R160,$Y160*G$5+$Z160)</f>
        <v>Jet kerosene</v>
      </c>
      <c r="H160" t="str" cm="1">
        <f t="array" ref="H160">INDEX(FX_Input,$R160,$Y160*H$5+$Z160)</f>
        <v>Jet kerosene</v>
      </c>
      <c r="I160" t="str" cm="1">
        <f t="array" ref="I160">INDEX(FX_Input,$R160,$Y160*I$5+$Z160)</f>
        <v>Jet kerosene</v>
      </c>
      <c r="J160" t="str" cm="1">
        <f t="array" ref="J160">INDEX(FX_Input,$R160,$Y160*J$5+$Z160)</f>
        <v>Jet kerosene</v>
      </c>
      <c r="K160" t="str" cm="1">
        <f t="array" ref="K160">INDEX(FX_Input,$R160,$Y160*K$5+$Z160)</f>
        <v>Jet kerosene</v>
      </c>
      <c r="L160" t="str" cm="1">
        <f t="array" ref="L160">INDEX(FX_Input,$R160,$Y160*L$5+$Z160)</f>
        <v>Jet kerosene</v>
      </c>
      <c r="M160" t="str" cm="1">
        <f t="array" ref="M160">INDEX(FX_Input,$R160,$Y160*M$5+$Z160)</f>
        <v>Jet kerosene</v>
      </c>
      <c r="N160" t="str" cm="1">
        <f t="array" ref="N160">INDEX(FX_Input,$R160,$Y160*N$5+$Z160)</f>
        <v>Jet kerosene</v>
      </c>
      <c r="O160" t="str" cm="1">
        <f t="array" ref="O160">INDEX(FX_Input,$R160,$Y160*O$5+$Z160)</f>
        <v>Jet kerosene</v>
      </c>
      <c r="R160">
        <f>R146+2</f>
        <v>23</v>
      </c>
      <c r="S160">
        <v>1</v>
      </c>
      <c r="T160">
        <v>3</v>
      </c>
      <c r="U160">
        <v>17</v>
      </c>
      <c r="V160">
        <f>U160+5</f>
        <v>22</v>
      </c>
      <c r="W160">
        <v>1</v>
      </c>
      <c r="X160">
        <v>2</v>
      </c>
      <c r="Y160">
        <f t="shared" ref="Y160:Y165" si="341">(V160-U160)/(X160-W160)</f>
        <v>5</v>
      </c>
      <c r="Z160">
        <f t="shared" ref="Z160:Z165" si="342">U160-Y160*W160</f>
        <v>12</v>
      </c>
    </row>
    <row r="161" spans="1:26" x14ac:dyDescent="0.4">
      <c r="C161" t="s">
        <v>529</v>
      </c>
      <c r="D161" cm="1">
        <f t="array" ref="D161">INDEX(FX_Input,$R161,$Y161*D$5+$Z161)</f>
        <v>0</v>
      </c>
      <c r="E161" cm="1">
        <f t="array" ref="E161">INDEX(FX_Input,$R161,$Y161*E$5+$Z161)</f>
        <v>0</v>
      </c>
      <c r="F161" cm="1">
        <f t="array" ref="F161">INDEX(FX_Input,$R161,$Y161*F$5+$Z161)</f>
        <v>0</v>
      </c>
      <c r="G161" cm="1">
        <f t="array" ref="G161">INDEX(FX_Input,$R161,$Y161*G$5+$Z161)</f>
        <v>0</v>
      </c>
      <c r="H161" cm="1">
        <f t="array" ref="H161">INDEX(FX_Input,$R161,$Y161*H$5+$Z161)</f>
        <v>0</v>
      </c>
      <c r="I161" cm="1">
        <f t="array" ref="I161">INDEX(FX_Input,$R161,$Y161*I$5+$Z161)</f>
        <v>0</v>
      </c>
      <c r="J161" cm="1">
        <f t="array" ref="J161">INDEX(FX_Input,$R161,$Y161*J$5+$Z161)</f>
        <v>0</v>
      </c>
      <c r="K161" cm="1">
        <f t="array" ref="K161">INDEX(FX_Input,$R161,$Y161*K$5+$Z161)</f>
        <v>0</v>
      </c>
      <c r="L161" cm="1">
        <f t="array" ref="L161">INDEX(FX_Input,$R161,$Y161*L$5+$Z161)</f>
        <v>0</v>
      </c>
      <c r="M161" cm="1">
        <f t="array" ref="M161">INDEX(FX_Input,$R161,$Y161*M$5+$Z161)</f>
        <v>0</v>
      </c>
      <c r="N161" cm="1">
        <f t="array" ref="N161">INDEX(FX_Input,$R161,$Y161*N$5+$Z161)</f>
        <v>0</v>
      </c>
      <c r="O161" cm="1">
        <f t="array" ref="O161">INDEX(FX_Input,$R161,$Y161*O$5+$Z161)</f>
        <v>0</v>
      </c>
      <c r="R161">
        <f>R160+1</f>
        <v>24</v>
      </c>
      <c r="U161">
        <f>U160</f>
        <v>17</v>
      </c>
      <c r="V161">
        <f t="shared" ref="V161:V165" si="343">U161+5</f>
        <v>22</v>
      </c>
      <c r="W161">
        <v>1</v>
      </c>
      <c r="X161">
        <v>2</v>
      </c>
      <c r="Y161">
        <f t="shared" si="341"/>
        <v>5</v>
      </c>
      <c r="Z161">
        <f t="shared" si="342"/>
        <v>12</v>
      </c>
    </row>
    <row r="162" spans="1:26" x14ac:dyDescent="0.4">
      <c r="C162" t="s">
        <v>530</v>
      </c>
      <c r="D162" t="str" cm="1">
        <f t="array" ref="D162">INDEX(FX_Input,$R162,$Y162*D$5+$Z162)</f>
        <v>Select Pet Stock</v>
      </c>
      <c r="E162" t="str" cm="1">
        <f t="array" ref="E162">INDEX(FX_Input,$R162,$Y162*E$5+$Z162)</f>
        <v>Select Pet Stock</v>
      </c>
      <c r="F162" t="str" cm="1">
        <f t="array" ref="F162">INDEX(FX_Input,$R162,$Y162*F$5+$Z162)</f>
        <v>Select Pet Stock</v>
      </c>
      <c r="G162" t="str" cm="1">
        <f t="array" ref="G162">INDEX(FX_Input,$R162,$Y162*G$5+$Z162)</f>
        <v>Select Pet Stock</v>
      </c>
      <c r="H162" t="str" cm="1">
        <f t="array" ref="H162">INDEX(FX_Input,$R162,$Y162*H$5+$Z162)</f>
        <v>Select Pet Stock</v>
      </c>
      <c r="I162" t="str" cm="1">
        <f t="array" ref="I162">INDEX(FX_Input,$R162,$Y162*I$5+$Z162)</f>
        <v>Select Pet Stock</v>
      </c>
      <c r="J162" t="str" cm="1">
        <f t="array" ref="J162">INDEX(FX_Input,$R162,$Y162*J$5+$Z162)</f>
        <v>Select Pet Stock</v>
      </c>
      <c r="K162" t="str" cm="1">
        <f t="array" ref="K162">INDEX(FX_Input,$R162,$Y162*K$5+$Z162)</f>
        <v>Select Pet Stock</v>
      </c>
      <c r="L162" t="str" cm="1">
        <f t="array" ref="L162">INDEX(FX_Input,$R162,$Y162*L$5+$Z162)</f>
        <v>Select Pet Stock</v>
      </c>
      <c r="M162" t="str" cm="1">
        <f t="array" ref="M162">INDEX(FX_Input,$R162,$Y162*M$5+$Z162)</f>
        <v>Select Pet Stock</v>
      </c>
      <c r="N162" t="str" cm="1">
        <f t="array" ref="N162">INDEX(FX_Input,$R162,$Y162*N$5+$Z162)</f>
        <v>Select Pet Stock</v>
      </c>
      <c r="O162" t="str" cm="1">
        <f t="array" ref="O162">INDEX(FX_Input,$R162,$Y162*O$5+$Z162)</f>
        <v>Select Pet Stock</v>
      </c>
      <c r="R162">
        <f>R160</f>
        <v>23</v>
      </c>
      <c r="U162">
        <v>18</v>
      </c>
      <c r="V162">
        <f t="shared" si="343"/>
        <v>23</v>
      </c>
      <c r="W162">
        <v>1</v>
      </c>
      <c r="X162">
        <v>2</v>
      </c>
      <c r="Y162">
        <f t="shared" si="341"/>
        <v>5</v>
      </c>
      <c r="Z162">
        <f t="shared" si="342"/>
        <v>13</v>
      </c>
    </row>
    <row r="163" spans="1:26" x14ac:dyDescent="0.4">
      <c r="C163" t="s">
        <v>531</v>
      </c>
      <c r="D163" cm="1">
        <f t="array" ref="D163">INDEX(FX_Input,$R163,$Y163*D$5+$Z163)</f>
        <v>0</v>
      </c>
      <c r="E163" cm="1">
        <f t="array" ref="E163">INDEX(FX_Input,$R163,$Y163*E$5+$Z163)</f>
        <v>0</v>
      </c>
      <c r="F163" cm="1">
        <f t="array" ref="F163">INDEX(FX_Input,$R163,$Y163*F$5+$Z163)</f>
        <v>0</v>
      </c>
      <c r="G163" cm="1">
        <f t="array" ref="G163">INDEX(FX_Input,$R163,$Y163*G$5+$Z163)</f>
        <v>0</v>
      </c>
      <c r="H163" cm="1">
        <f t="array" ref="H163">INDEX(FX_Input,$R163,$Y163*H$5+$Z163)</f>
        <v>0</v>
      </c>
      <c r="I163" cm="1">
        <f t="array" ref="I163">INDEX(FX_Input,$R163,$Y163*I$5+$Z163)</f>
        <v>0</v>
      </c>
      <c r="J163" cm="1">
        <f t="array" ref="J163">INDEX(FX_Input,$R163,$Y163*J$5+$Z163)</f>
        <v>0</v>
      </c>
      <c r="K163" cm="1">
        <f t="array" ref="K163">INDEX(FX_Input,$R163,$Y163*K$5+$Z163)</f>
        <v>0</v>
      </c>
      <c r="L163" cm="1">
        <f t="array" ref="L163">INDEX(FX_Input,$R163,$Y163*L$5+$Z163)</f>
        <v>0</v>
      </c>
      <c r="M163" cm="1">
        <f t="array" ref="M163">INDEX(FX_Input,$R163,$Y163*M$5+$Z163)</f>
        <v>0</v>
      </c>
      <c r="N163" cm="1">
        <f t="array" ref="N163">INDEX(FX_Input,$R163,$Y163*N$5+$Z163)</f>
        <v>0</v>
      </c>
      <c r="O163" cm="1">
        <f t="array" ref="O163">INDEX(FX_Input,$R163,$Y163*O$5+$Z163)</f>
        <v>0</v>
      </c>
      <c r="R163">
        <f>R161</f>
        <v>24</v>
      </c>
      <c r="U163">
        <f>U162</f>
        <v>18</v>
      </c>
      <c r="V163">
        <f t="shared" si="343"/>
        <v>23</v>
      </c>
      <c r="W163">
        <v>1</v>
      </c>
      <c r="X163">
        <v>2</v>
      </c>
      <c r="Y163">
        <f t="shared" si="341"/>
        <v>5</v>
      </c>
      <c r="Z163">
        <f t="shared" si="342"/>
        <v>13</v>
      </c>
    </row>
    <row r="164" spans="1:26" x14ac:dyDescent="0.4">
      <c r="C164" t="s">
        <v>546</v>
      </c>
      <c r="D164" cm="1">
        <f t="array" ref="D164">INDEX(FX_Input,$R164,$Y164*D$5+$Z164)</f>
        <v>1</v>
      </c>
      <c r="E164" cm="1">
        <f t="array" ref="E164">INDEX(FX_Input,$R164,$Y164*E$5+$Z164)</f>
        <v>1</v>
      </c>
      <c r="F164" cm="1">
        <f t="array" ref="F164">INDEX(FX_Input,$R164,$Y164*F$5+$Z164)</f>
        <v>1</v>
      </c>
      <c r="G164" cm="1">
        <f t="array" ref="G164">INDEX(FX_Input,$R164,$Y164*G$5+$Z164)</f>
        <v>1</v>
      </c>
      <c r="H164" cm="1">
        <f t="array" ref="H164">INDEX(FX_Input,$R164,$Y164*H$5+$Z164)</f>
        <v>1</v>
      </c>
      <c r="I164" cm="1">
        <f t="array" ref="I164">INDEX(FX_Input,$R164,$Y164*I$5+$Z164)</f>
        <v>1</v>
      </c>
      <c r="J164" cm="1">
        <f t="array" ref="J164">INDEX(FX_Input,$R164,$Y164*J$5+$Z164)</f>
        <v>1</v>
      </c>
      <c r="K164" cm="1">
        <f t="array" ref="K164">INDEX(FX_Input,$R164,$Y164*K$5+$Z164)</f>
        <v>1</v>
      </c>
      <c r="L164" cm="1">
        <f t="array" ref="L164">INDEX(FX_Input,$R164,$Y164*L$5+$Z164)</f>
        <v>1</v>
      </c>
      <c r="M164" cm="1">
        <f t="array" ref="M164">INDEX(FX_Input,$R164,$Y164*M$5+$Z164)</f>
        <v>1</v>
      </c>
      <c r="N164" cm="1">
        <f t="array" ref="N164">INDEX(FX_Input,$R164,$Y164*N$5+$Z164)</f>
        <v>1</v>
      </c>
      <c r="O164" cm="1">
        <f t="array" ref="O164">INDEX(FX_Input,$R164,$Y164*O$5+$Z164)</f>
        <v>1</v>
      </c>
      <c r="R164">
        <f>R162</f>
        <v>23</v>
      </c>
      <c r="U164">
        <v>21</v>
      </c>
      <c r="V164">
        <f t="shared" si="343"/>
        <v>26</v>
      </c>
      <c r="W164">
        <v>1</v>
      </c>
      <c r="X164">
        <v>2</v>
      </c>
      <c r="Y164">
        <f t="shared" si="341"/>
        <v>5</v>
      </c>
      <c r="Z164">
        <f t="shared" si="342"/>
        <v>16</v>
      </c>
    </row>
    <row r="165" spans="1:26" x14ac:dyDescent="0.4">
      <c r="C165" t="s">
        <v>547</v>
      </c>
      <c r="D165" cm="1">
        <f t="array" ref="D165">INDEX(FX_Input,$R165,$Y165*D$5+$Z165)</f>
        <v>0</v>
      </c>
      <c r="E165" cm="1">
        <f t="array" ref="E165">INDEX(FX_Input,$R165,$Y165*E$5+$Z165)</f>
        <v>0</v>
      </c>
      <c r="F165" cm="1">
        <f t="array" ref="F165">INDEX(FX_Input,$R165,$Y165*F$5+$Z165)</f>
        <v>0</v>
      </c>
      <c r="G165" cm="1">
        <f t="array" ref="G165">INDEX(FX_Input,$R165,$Y165*G$5+$Z165)</f>
        <v>0</v>
      </c>
      <c r="H165" cm="1">
        <f t="array" ref="H165">INDEX(FX_Input,$R165,$Y165*H$5+$Z165)</f>
        <v>0</v>
      </c>
      <c r="I165" cm="1">
        <f t="array" ref="I165">INDEX(FX_Input,$R165,$Y165*I$5+$Z165)</f>
        <v>0</v>
      </c>
      <c r="J165" cm="1">
        <f t="array" ref="J165">INDEX(FX_Input,$R165,$Y165*J$5+$Z165)</f>
        <v>0</v>
      </c>
      <c r="K165" cm="1">
        <f t="array" ref="K165">INDEX(FX_Input,$R165,$Y165*K$5+$Z165)</f>
        <v>0</v>
      </c>
      <c r="L165" cm="1">
        <f t="array" ref="L165">INDEX(FX_Input,$R165,$Y165*L$5+$Z165)</f>
        <v>0</v>
      </c>
      <c r="M165" cm="1">
        <f t="array" ref="M165">INDEX(FX_Input,$R165,$Y165*M$5+$Z165)</f>
        <v>0</v>
      </c>
      <c r="N165" cm="1">
        <f t="array" ref="N165">INDEX(FX_Input,$R165,$Y165*N$5+$Z165)</f>
        <v>0</v>
      </c>
      <c r="O165" cm="1">
        <f t="array" ref="O165">INDEX(FX_Input,$R165,$Y165*O$5+$Z165)</f>
        <v>0</v>
      </c>
      <c r="R165">
        <f>R163</f>
        <v>24</v>
      </c>
      <c r="U165">
        <f>U164</f>
        <v>21</v>
      </c>
      <c r="V165">
        <f t="shared" si="343"/>
        <v>26</v>
      </c>
      <c r="W165">
        <v>1</v>
      </c>
      <c r="X165">
        <v>2</v>
      </c>
      <c r="Y165">
        <f t="shared" si="341"/>
        <v>5</v>
      </c>
      <c r="Z165">
        <f t="shared" si="342"/>
        <v>16</v>
      </c>
    </row>
    <row r="166" spans="1:26" x14ac:dyDescent="0.4">
      <c r="C166" t="s">
        <v>532</v>
      </c>
      <c r="D166">
        <f t="shared" ref="D166:O166" si="344">IFERROR(VLOOKUP(D160,Phys_Prop,2,FALSE),0)</f>
        <v>162</v>
      </c>
      <c r="E166">
        <f t="shared" si="344"/>
        <v>162</v>
      </c>
      <c r="F166">
        <f t="shared" si="344"/>
        <v>162</v>
      </c>
      <c r="G166">
        <f t="shared" si="344"/>
        <v>162</v>
      </c>
      <c r="H166">
        <f t="shared" si="344"/>
        <v>162</v>
      </c>
      <c r="I166">
        <f t="shared" si="344"/>
        <v>162</v>
      </c>
      <c r="J166">
        <f t="shared" si="344"/>
        <v>162</v>
      </c>
      <c r="K166">
        <f t="shared" si="344"/>
        <v>162</v>
      </c>
      <c r="L166">
        <f t="shared" si="344"/>
        <v>162</v>
      </c>
      <c r="M166">
        <f t="shared" si="344"/>
        <v>162</v>
      </c>
      <c r="N166">
        <f t="shared" si="344"/>
        <v>162</v>
      </c>
      <c r="O166">
        <f t="shared" si="344"/>
        <v>162</v>
      </c>
    </row>
    <row r="167" spans="1:26" x14ac:dyDescent="0.4">
      <c r="C167" t="s">
        <v>533</v>
      </c>
      <c r="D167">
        <f t="shared" ref="D167:O167" si="345">IFERROR(VLOOKUP(D161,Phys_Prop,2,FALSE),0)</f>
        <v>0</v>
      </c>
      <c r="E167">
        <f t="shared" si="345"/>
        <v>0</v>
      </c>
      <c r="F167">
        <f t="shared" si="345"/>
        <v>0</v>
      </c>
      <c r="G167">
        <f t="shared" si="345"/>
        <v>0</v>
      </c>
      <c r="H167">
        <f t="shared" si="345"/>
        <v>0</v>
      </c>
      <c r="I167">
        <f t="shared" si="345"/>
        <v>0</v>
      </c>
      <c r="J167">
        <f t="shared" si="345"/>
        <v>0</v>
      </c>
      <c r="K167">
        <f t="shared" si="345"/>
        <v>0</v>
      </c>
      <c r="L167">
        <f t="shared" si="345"/>
        <v>0</v>
      </c>
      <c r="M167">
        <f t="shared" si="345"/>
        <v>0</v>
      </c>
      <c r="N167">
        <f t="shared" si="345"/>
        <v>0</v>
      </c>
      <c r="O167">
        <f t="shared" si="345"/>
        <v>0</v>
      </c>
    </row>
    <row r="168" spans="1:26" x14ac:dyDescent="0.4">
      <c r="C168" t="s">
        <v>544</v>
      </c>
      <c r="D168">
        <f>IFERROR(IFERROR(D166/D164+D167/D165,D166/D164),0)</f>
        <v>162</v>
      </c>
      <c r="E168">
        <f t="shared" ref="E168" si="346">IFERROR(IFERROR(E166/E164+E167/E165,E166/E164),0)</f>
        <v>162</v>
      </c>
      <c r="F168">
        <f t="shared" ref="F168" si="347">IFERROR(IFERROR(F166/F164+F167/F165,F166/F164),0)</f>
        <v>162</v>
      </c>
      <c r="G168">
        <f t="shared" ref="G168" si="348">IFERROR(IFERROR(G166/G164+G167/G165,G166/G164),0)</f>
        <v>162</v>
      </c>
      <c r="H168">
        <f t="shared" ref="H168" si="349">IFERROR(IFERROR(H166/H164+H167/H165,H166/H164),0)</f>
        <v>162</v>
      </c>
      <c r="I168">
        <f t="shared" ref="I168" si="350">IFERROR(IFERROR(I166/I164+I167/I165,I166/I164),0)</f>
        <v>162</v>
      </c>
      <c r="J168">
        <f t="shared" ref="J168" si="351">IFERROR(IFERROR(J166/J164+J167/J165,J166/J164),0)</f>
        <v>162</v>
      </c>
      <c r="K168">
        <f t="shared" ref="K168" si="352">IFERROR(IFERROR(K166/K164+K167/K165,K166/K164),0)</f>
        <v>162</v>
      </c>
      <c r="L168">
        <f t="shared" ref="L168" si="353">IFERROR(IFERROR(L166/L164+L167/L165,L166/L164),0)</f>
        <v>162</v>
      </c>
      <c r="M168">
        <f t="shared" ref="M168" si="354">IFERROR(IFERROR(M166/M164+M167/M165,M166/M164),0)</f>
        <v>162</v>
      </c>
      <c r="N168">
        <f t="shared" ref="N168" si="355">IFERROR(IFERROR(N166/N164+N167/N165,N166/N164),0)</f>
        <v>162</v>
      </c>
      <c r="O168">
        <f t="shared" ref="O168" si="356">IFERROR(IFERROR(O166/O164+O167/O165,O166/O164),0)</f>
        <v>162</v>
      </c>
    </row>
    <row r="169" spans="1:26" x14ac:dyDescent="0.4">
      <c r="C169" t="s">
        <v>539</v>
      </c>
      <c r="D169">
        <f>IFERROR((D164/D166)*D168,1)</f>
        <v>1</v>
      </c>
      <c r="E169">
        <f t="shared" ref="E169" si="357">IFERROR((E164/E166)*E168,1)</f>
        <v>1</v>
      </c>
      <c r="F169">
        <f t="shared" ref="F169" si="358">IFERROR((F164/F166)*F168,1)</f>
        <v>1</v>
      </c>
      <c r="G169">
        <f t="shared" ref="G169" si="359">IFERROR((G164/G166)*G168,1)</f>
        <v>1</v>
      </c>
      <c r="H169">
        <f t="shared" ref="H169" si="360">IFERROR((H164/H166)*H168,1)</f>
        <v>1</v>
      </c>
      <c r="I169">
        <f t="shared" ref="I169" si="361">IFERROR((I164/I166)*I168,1)</f>
        <v>1</v>
      </c>
      <c r="J169">
        <f t="shared" ref="J169" si="362">IFERROR((J164/J166)*J168,1)</f>
        <v>1</v>
      </c>
      <c r="K169">
        <f t="shared" ref="K169" si="363">IFERROR((K164/K166)*K168,1)</f>
        <v>1</v>
      </c>
      <c r="L169">
        <f t="shared" ref="L169" si="364">IFERROR((L164/L166)*L168,1)</f>
        <v>1</v>
      </c>
      <c r="M169">
        <f t="shared" ref="M169" si="365">IFERROR((M164/M166)*M168,1)</f>
        <v>1</v>
      </c>
      <c r="N169">
        <f t="shared" ref="N169" si="366">IFERROR((N164/N166)*N168,1)</f>
        <v>1</v>
      </c>
      <c r="O169">
        <f t="shared" ref="O169" si="367">IFERROR((O164/O166)*O168,1)</f>
        <v>1</v>
      </c>
    </row>
    <row r="170" spans="1:26" x14ac:dyDescent="0.4">
      <c r="C170" t="s">
        <v>540</v>
      </c>
      <c r="D170">
        <f>IFERROR((D165/D167)*D168,0)</f>
        <v>0</v>
      </c>
      <c r="E170">
        <f t="shared" ref="E170:O170" si="368">IFERROR((E165/E167)*E168,0)</f>
        <v>0</v>
      </c>
      <c r="F170">
        <f t="shared" si="368"/>
        <v>0</v>
      </c>
      <c r="G170">
        <f t="shared" si="368"/>
        <v>0</v>
      </c>
      <c r="H170">
        <f t="shared" si="368"/>
        <v>0</v>
      </c>
      <c r="I170">
        <f t="shared" si="368"/>
        <v>0</v>
      </c>
      <c r="J170">
        <f t="shared" si="368"/>
        <v>0</v>
      </c>
      <c r="K170">
        <f t="shared" si="368"/>
        <v>0</v>
      </c>
      <c r="L170">
        <f t="shared" si="368"/>
        <v>0</v>
      </c>
      <c r="M170">
        <f t="shared" si="368"/>
        <v>0</v>
      </c>
      <c r="N170">
        <f t="shared" si="368"/>
        <v>0</v>
      </c>
      <c r="O170">
        <f t="shared" si="368"/>
        <v>0</v>
      </c>
    </row>
    <row r="171" spans="1:26" x14ac:dyDescent="0.4">
      <c r="C171" s="21" t="s">
        <v>534</v>
      </c>
      <c r="D171">
        <f t="shared" ref="D171:O171" si="369">IFERROR(VLOOKUP(D160,Phys_Prop,4,FALSE),0)</f>
        <v>7</v>
      </c>
      <c r="E171">
        <f t="shared" si="369"/>
        <v>7</v>
      </c>
      <c r="F171">
        <f t="shared" si="369"/>
        <v>7</v>
      </c>
      <c r="G171">
        <f t="shared" si="369"/>
        <v>7</v>
      </c>
      <c r="H171">
        <f t="shared" si="369"/>
        <v>7</v>
      </c>
      <c r="I171">
        <f t="shared" si="369"/>
        <v>7</v>
      </c>
      <c r="J171">
        <f t="shared" si="369"/>
        <v>7</v>
      </c>
      <c r="K171">
        <f t="shared" si="369"/>
        <v>7</v>
      </c>
      <c r="L171">
        <f t="shared" si="369"/>
        <v>7</v>
      </c>
      <c r="M171">
        <f t="shared" si="369"/>
        <v>7</v>
      </c>
      <c r="N171">
        <f t="shared" si="369"/>
        <v>7</v>
      </c>
      <c r="O171">
        <f t="shared" si="369"/>
        <v>7</v>
      </c>
    </row>
    <row r="172" spans="1:26" x14ac:dyDescent="0.4">
      <c r="C172" s="21" t="s">
        <v>535</v>
      </c>
      <c r="D172">
        <f t="shared" ref="D172:O172" si="370">IFERROR(VLOOKUP(D161,Phys_Prop,4,FALSE),0)</f>
        <v>0</v>
      </c>
      <c r="E172">
        <f t="shared" si="370"/>
        <v>0</v>
      </c>
      <c r="F172">
        <f t="shared" si="370"/>
        <v>0</v>
      </c>
      <c r="G172">
        <f t="shared" si="370"/>
        <v>0</v>
      </c>
      <c r="H172">
        <f t="shared" si="370"/>
        <v>0</v>
      </c>
      <c r="I172">
        <f t="shared" si="370"/>
        <v>0</v>
      </c>
      <c r="J172">
        <f t="shared" si="370"/>
        <v>0</v>
      </c>
      <c r="K172">
        <f t="shared" si="370"/>
        <v>0</v>
      </c>
      <c r="L172">
        <f t="shared" si="370"/>
        <v>0</v>
      </c>
      <c r="M172">
        <f t="shared" si="370"/>
        <v>0</v>
      </c>
      <c r="N172">
        <f t="shared" si="370"/>
        <v>0</v>
      </c>
      <c r="O172">
        <f t="shared" si="370"/>
        <v>0</v>
      </c>
    </row>
    <row r="173" spans="1:26" x14ac:dyDescent="0.4">
      <c r="A173" s="11"/>
      <c r="B173" s="11"/>
      <c r="C173" s="62" t="s">
        <v>536</v>
      </c>
      <c r="D173" s="11">
        <f>IFERROR(1/(D169/D171+D170/D172),D171)</f>
        <v>7</v>
      </c>
      <c r="E173" s="11">
        <f t="shared" ref="E173:O173" si="371">IFERROR(1/(E169/E171+E170/E172),E171)</f>
        <v>7</v>
      </c>
      <c r="F173" s="11">
        <f t="shared" si="371"/>
        <v>7</v>
      </c>
      <c r="G173" s="11">
        <f t="shared" si="371"/>
        <v>7</v>
      </c>
      <c r="H173" s="11">
        <f t="shared" si="371"/>
        <v>7</v>
      </c>
      <c r="I173" s="11">
        <f t="shared" si="371"/>
        <v>7</v>
      </c>
      <c r="J173" s="11">
        <f t="shared" si="371"/>
        <v>7</v>
      </c>
      <c r="K173" s="11">
        <f t="shared" si="371"/>
        <v>7</v>
      </c>
      <c r="L173" s="11">
        <f t="shared" si="371"/>
        <v>7</v>
      </c>
      <c r="M173" s="11">
        <f t="shared" si="371"/>
        <v>7</v>
      </c>
      <c r="N173" s="11">
        <f t="shared" si="371"/>
        <v>7</v>
      </c>
      <c r="O173" s="11">
        <f t="shared" si="371"/>
        <v>7</v>
      </c>
      <c r="P173" s="11"/>
      <c r="Q173" s="11"/>
      <c r="R173" s="11"/>
      <c r="S173" s="11"/>
      <c r="T173" s="11"/>
      <c r="U173" s="11"/>
      <c r="V173" s="11"/>
      <c r="W173" s="11"/>
      <c r="X173" s="11"/>
      <c r="Y173" s="11"/>
      <c r="Z173" s="11"/>
    </row>
    <row r="174" spans="1:26" x14ac:dyDescent="0.4">
      <c r="A174" t="str" cm="1">
        <f t="array" ref="A174">INDEX(FX_Input,R174,S174)</f>
        <v>FX - 13</v>
      </c>
      <c r="B174" t="str" cm="1">
        <f t="array" ref="B174">INDEX(FX_Input,R174,T174)</f>
        <v>Portland</v>
      </c>
      <c r="C174" t="s">
        <v>528</v>
      </c>
      <c r="D174" t="str" cm="1">
        <f t="array" ref="D174">INDEX(FX_Input,$R174,$Y174*D$5+$Z174)</f>
        <v>Out of Service</v>
      </c>
      <c r="E174" t="str" cm="1">
        <f t="array" ref="E174">INDEX(FX_Input,$R174,$Y174*E$5+$Z174)</f>
        <v>Out of Service</v>
      </c>
      <c r="F174" t="str" cm="1">
        <f t="array" ref="F174">INDEX(FX_Input,$R174,$Y174*F$5+$Z174)</f>
        <v>Out of Service</v>
      </c>
      <c r="G174" t="str" cm="1">
        <f t="array" ref="G174">INDEX(FX_Input,$R174,$Y174*G$5+$Z174)</f>
        <v>Out of Service</v>
      </c>
      <c r="H174" t="str" cm="1">
        <f t="array" ref="H174">INDEX(FX_Input,$R174,$Y174*H$5+$Z174)</f>
        <v>Out of Service</v>
      </c>
      <c r="I174" t="str" cm="1">
        <f t="array" ref="I174">INDEX(FX_Input,$R174,$Y174*I$5+$Z174)</f>
        <v>Out of Service</v>
      </c>
      <c r="J174" t="str" cm="1">
        <f t="array" ref="J174">INDEX(FX_Input,$R174,$Y174*J$5+$Z174)</f>
        <v>Out of Service</v>
      </c>
      <c r="K174" t="str" cm="1">
        <f t="array" ref="K174">INDEX(FX_Input,$R174,$Y174*K$5+$Z174)</f>
        <v>Out of Service</v>
      </c>
      <c r="L174" t="str" cm="1">
        <f t="array" ref="L174">INDEX(FX_Input,$R174,$Y174*L$5+$Z174)</f>
        <v>Out of Service</v>
      </c>
      <c r="M174" t="str" cm="1">
        <f t="array" ref="M174">INDEX(FX_Input,$R174,$Y174*M$5+$Z174)</f>
        <v>Out of Service</v>
      </c>
      <c r="N174" t="str" cm="1">
        <f t="array" ref="N174">INDEX(FX_Input,$R174,$Y174*N$5+$Z174)</f>
        <v>Out of Service</v>
      </c>
      <c r="O174" t="str" cm="1">
        <f t="array" ref="O174">INDEX(FX_Input,$R174,$Y174*O$5+$Z174)</f>
        <v>Out of Service</v>
      </c>
      <c r="R174">
        <f>R160+2</f>
        <v>25</v>
      </c>
      <c r="S174">
        <v>1</v>
      </c>
      <c r="T174">
        <v>3</v>
      </c>
      <c r="U174">
        <v>17</v>
      </c>
      <c r="V174">
        <f>U174+5</f>
        <v>22</v>
      </c>
      <c r="W174">
        <v>1</v>
      </c>
      <c r="X174">
        <v>2</v>
      </c>
      <c r="Y174">
        <f t="shared" ref="Y174:Y179" si="372">(V174-U174)/(X174-W174)</f>
        <v>5</v>
      </c>
      <c r="Z174">
        <f t="shared" ref="Z174:Z179" si="373">U174-Y174*W174</f>
        <v>12</v>
      </c>
    </row>
    <row r="175" spans="1:26" x14ac:dyDescent="0.4">
      <c r="C175" t="s">
        <v>529</v>
      </c>
      <c r="D175" cm="1">
        <f t="array" ref="D175">INDEX(FX_Input,$R175,$Y175*D$5+$Z175)</f>
        <v>0</v>
      </c>
      <c r="E175" cm="1">
        <f t="array" ref="E175">INDEX(FX_Input,$R175,$Y175*E$5+$Z175)</f>
        <v>0</v>
      </c>
      <c r="F175" cm="1">
        <f t="array" ref="F175">INDEX(FX_Input,$R175,$Y175*F$5+$Z175)</f>
        <v>0</v>
      </c>
      <c r="G175" cm="1">
        <f t="array" ref="G175">INDEX(FX_Input,$R175,$Y175*G$5+$Z175)</f>
        <v>0</v>
      </c>
      <c r="H175" cm="1">
        <f t="array" ref="H175">INDEX(FX_Input,$R175,$Y175*H$5+$Z175)</f>
        <v>0</v>
      </c>
      <c r="I175" cm="1">
        <f t="array" ref="I175">INDEX(FX_Input,$R175,$Y175*I$5+$Z175)</f>
        <v>0</v>
      </c>
      <c r="J175" cm="1">
        <f t="array" ref="J175">INDEX(FX_Input,$R175,$Y175*J$5+$Z175)</f>
        <v>0</v>
      </c>
      <c r="K175" cm="1">
        <f t="array" ref="K175">INDEX(FX_Input,$R175,$Y175*K$5+$Z175)</f>
        <v>0</v>
      </c>
      <c r="L175" cm="1">
        <f t="array" ref="L175">INDEX(FX_Input,$R175,$Y175*L$5+$Z175)</f>
        <v>0</v>
      </c>
      <c r="M175" cm="1">
        <f t="array" ref="M175">INDEX(FX_Input,$R175,$Y175*M$5+$Z175)</f>
        <v>0</v>
      </c>
      <c r="N175" cm="1">
        <f t="array" ref="N175">INDEX(FX_Input,$R175,$Y175*N$5+$Z175)</f>
        <v>0</v>
      </c>
      <c r="O175" cm="1">
        <f t="array" ref="O175">INDEX(FX_Input,$R175,$Y175*O$5+$Z175)</f>
        <v>0</v>
      </c>
      <c r="R175">
        <f>R174+1</f>
        <v>26</v>
      </c>
      <c r="U175">
        <f>U174</f>
        <v>17</v>
      </c>
      <c r="V175">
        <f t="shared" ref="V175:V179" si="374">U175+5</f>
        <v>22</v>
      </c>
      <c r="W175">
        <v>1</v>
      </c>
      <c r="X175">
        <v>2</v>
      </c>
      <c r="Y175">
        <f t="shared" si="372"/>
        <v>5</v>
      </c>
      <c r="Z175">
        <f t="shared" si="373"/>
        <v>12</v>
      </c>
    </row>
    <row r="176" spans="1:26" x14ac:dyDescent="0.4">
      <c r="C176" t="s">
        <v>530</v>
      </c>
      <c r="D176" t="str" cm="1">
        <f t="array" ref="D176">INDEX(FX_Input,$R176,$Y176*D$5+$Z176)</f>
        <v>N/A</v>
      </c>
      <c r="E176" t="str" cm="1">
        <f t="array" ref="E176">INDEX(FX_Input,$R176,$Y176*E$5+$Z176)</f>
        <v>N/A</v>
      </c>
      <c r="F176" t="str" cm="1">
        <f t="array" ref="F176">INDEX(FX_Input,$R176,$Y176*F$5+$Z176)</f>
        <v>N/A</v>
      </c>
      <c r="G176" t="str" cm="1">
        <f t="array" ref="G176">INDEX(FX_Input,$R176,$Y176*G$5+$Z176)</f>
        <v>N/A</v>
      </c>
      <c r="H176" t="str" cm="1">
        <f t="array" ref="H176">INDEX(FX_Input,$R176,$Y176*H$5+$Z176)</f>
        <v>N/A</v>
      </c>
      <c r="I176" t="str" cm="1">
        <f t="array" ref="I176">INDEX(FX_Input,$R176,$Y176*I$5+$Z176)</f>
        <v>N/A</v>
      </c>
      <c r="J176" t="str" cm="1">
        <f t="array" ref="J176">INDEX(FX_Input,$R176,$Y176*J$5+$Z176)</f>
        <v>N/A</v>
      </c>
      <c r="K176" t="str" cm="1">
        <f t="array" ref="K176">INDEX(FX_Input,$R176,$Y176*K$5+$Z176)</f>
        <v>N/A</v>
      </c>
      <c r="L176" t="str" cm="1">
        <f t="array" ref="L176">INDEX(FX_Input,$R176,$Y176*L$5+$Z176)</f>
        <v>N/A</v>
      </c>
      <c r="M176" t="str" cm="1">
        <f t="array" ref="M176">INDEX(FX_Input,$R176,$Y176*M$5+$Z176)</f>
        <v>N/A</v>
      </c>
      <c r="N176" t="str" cm="1">
        <f t="array" ref="N176">INDEX(FX_Input,$R176,$Y176*N$5+$Z176)</f>
        <v>N/A</v>
      </c>
      <c r="O176" t="str" cm="1">
        <f t="array" ref="O176">INDEX(FX_Input,$R176,$Y176*O$5+$Z176)</f>
        <v>N/A</v>
      </c>
      <c r="R176">
        <f>R174</f>
        <v>25</v>
      </c>
      <c r="U176">
        <v>18</v>
      </c>
      <c r="V176">
        <f t="shared" si="374"/>
        <v>23</v>
      </c>
      <c r="W176">
        <v>1</v>
      </c>
      <c r="X176">
        <v>2</v>
      </c>
      <c r="Y176">
        <f t="shared" si="372"/>
        <v>5</v>
      </c>
      <c r="Z176">
        <f t="shared" si="373"/>
        <v>13</v>
      </c>
    </row>
    <row r="177" spans="1:26" x14ac:dyDescent="0.4">
      <c r="C177" t="s">
        <v>531</v>
      </c>
      <c r="D177" cm="1">
        <f t="array" ref="D177">INDEX(FX_Input,$R177,$Y177*D$5+$Z177)</f>
        <v>0</v>
      </c>
      <c r="E177" cm="1">
        <f t="array" ref="E177">INDEX(FX_Input,$R177,$Y177*E$5+$Z177)</f>
        <v>0</v>
      </c>
      <c r="F177" cm="1">
        <f t="array" ref="F177">INDEX(FX_Input,$R177,$Y177*F$5+$Z177)</f>
        <v>0</v>
      </c>
      <c r="G177" cm="1">
        <f t="array" ref="G177">INDEX(FX_Input,$R177,$Y177*G$5+$Z177)</f>
        <v>0</v>
      </c>
      <c r="H177" cm="1">
        <f t="array" ref="H177">INDEX(FX_Input,$R177,$Y177*H$5+$Z177)</f>
        <v>0</v>
      </c>
      <c r="I177" cm="1">
        <f t="array" ref="I177">INDEX(FX_Input,$R177,$Y177*I$5+$Z177)</f>
        <v>0</v>
      </c>
      <c r="J177" cm="1">
        <f t="array" ref="J177">INDEX(FX_Input,$R177,$Y177*J$5+$Z177)</f>
        <v>0</v>
      </c>
      <c r="K177" cm="1">
        <f t="array" ref="K177">INDEX(FX_Input,$R177,$Y177*K$5+$Z177)</f>
        <v>0</v>
      </c>
      <c r="L177" cm="1">
        <f t="array" ref="L177">INDEX(FX_Input,$R177,$Y177*L$5+$Z177)</f>
        <v>0</v>
      </c>
      <c r="M177" cm="1">
        <f t="array" ref="M177">INDEX(FX_Input,$R177,$Y177*M$5+$Z177)</f>
        <v>0</v>
      </c>
      <c r="N177" cm="1">
        <f t="array" ref="N177">INDEX(FX_Input,$R177,$Y177*N$5+$Z177)</f>
        <v>0</v>
      </c>
      <c r="O177" cm="1">
        <f t="array" ref="O177">INDEX(FX_Input,$R177,$Y177*O$5+$Z177)</f>
        <v>0</v>
      </c>
      <c r="R177">
        <f>R175</f>
        <v>26</v>
      </c>
      <c r="U177">
        <f>U176</f>
        <v>18</v>
      </c>
      <c r="V177">
        <f t="shared" si="374"/>
        <v>23</v>
      </c>
      <c r="W177">
        <v>1</v>
      </c>
      <c r="X177">
        <v>2</v>
      </c>
      <c r="Y177">
        <f t="shared" si="372"/>
        <v>5</v>
      </c>
      <c r="Z177">
        <f t="shared" si="373"/>
        <v>13</v>
      </c>
    </row>
    <row r="178" spans="1:26" x14ac:dyDescent="0.4">
      <c r="C178" t="s">
        <v>546</v>
      </c>
      <c r="D178" cm="1">
        <f t="array" ref="D178">INDEX(FX_Input,$R178,$Y178*D$5+$Z178)</f>
        <v>1</v>
      </c>
      <c r="E178" cm="1">
        <f t="array" ref="E178">INDEX(FX_Input,$R178,$Y178*E$5+$Z178)</f>
        <v>1</v>
      </c>
      <c r="F178" cm="1">
        <f t="array" ref="F178">INDEX(FX_Input,$R178,$Y178*F$5+$Z178)</f>
        <v>1</v>
      </c>
      <c r="G178" cm="1">
        <f t="array" ref="G178">INDEX(FX_Input,$R178,$Y178*G$5+$Z178)</f>
        <v>1</v>
      </c>
      <c r="H178" cm="1">
        <f t="array" ref="H178">INDEX(FX_Input,$R178,$Y178*H$5+$Z178)</f>
        <v>1</v>
      </c>
      <c r="I178" cm="1">
        <f t="array" ref="I178">INDEX(FX_Input,$R178,$Y178*I$5+$Z178)</f>
        <v>1</v>
      </c>
      <c r="J178" cm="1">
        <f t="array" ref="J178">INDEX(FX_Input,$R178,$Y178*J$5+$Z178)</f>
        <v>1</v>
      </c>
      <c r="K178" cm="1">
        <f t="array" ref="K178">INDEX(FX_Input,$R178,$Y178*K$5+$Z178)</f>
        <v>1</v>
      </c>
      <c r="L178" cm="1">
        <f t="array" ref="L178">INDEX(FX_Input,$R178,$Y178*L$5+$Z178)</f>
        <v>1</v>
      </c>
      <c r="M178" cm="1">
        <f t="array" ref="M178">INDEX(FX_Input,$R178,$Y178*M$5+$Z178)</f>
        <v>1</v>
      </c>
      <c r="N178" cm="1">
        <f t="array" ref="N178">INDEX(FX_Input,$R178,$Y178*N$5+$Z178)</f>
        <v>1</v>
      </c>
      <c r="O178" cm="1">
        <f t="array" ref="O178">INDEX(FX_Input,$R178,$Y178*O$5+$Z178)</f>
        <v>1</v>
      </c>
      <c r="R178">
        <f>R176</f>
        <v>25</v>
      </c>
      <c r="U178">
        <v>21</v>
      </c>
      <c r="V178">
        <f t="shared" si="374"/>
        <v>26</v>
      </c>
      <c r="W178">
        <v>1</v>
      </c>
      <c r="X178">
        <v>2</v>
      </c>
      <c r="Y178">
        <f t="shared" si="372"/>
        <v>5</v>
      </c>
      <c r="Z178">
        <f t="shared" si="373"/>
        <v>16</v>
      </c>
    </row>
    <row r="179" spans="1:26" x14ac:dyDescent="0.4">
      <c r="C179" t="s">
        <v>547</v>
      </c>
      <c r="D179" cm="1">
        <f t="array" ref="D179">INDEX(FX_Input,$R179,$Y179*D$5+$Z179)</f>
        <v>0</v>
      </c>
      <c r="E179" cm="1">
        <f t="array" ref="E179">INDEX(FX_Input,$R179,$Y179*E$5+$Z179)</f>
        <v>0</v>
      </c>
      <c r="F179" cm="1">
        <f t="array" ref="F179">INDEX(FX_Input,$R179,$Y179*F$5+$Z179)</f>
        <v>0</v>
      </c>
      <c r="G179" cm="1">
        <f t="array" ref="G179">INDEX(FX_Input,$R179,$Y179*G$5+$Z179)</f>
        <v>0</v>
      </c>
      <c r="H179" cm="1">
        <f t="array" ref="H179">INDEX(FX_Input,$R179,$Y179*H$5+$Z179)</f>
        <v>0</v>
      </c>
      <c r="I179" cm="1">
        <f t="array" ref="I179">INDEX(FX_Input,$R179,$Y179*I$5+$Z179)</f>
        <v>0</v>
      </c>
      <c r="J179" cm="1">
        <f t="array" ref="J179">INDEX(FX_Input,$R179,$Y179*J$5+$Z179)</f>
        <v>0</v>
      </c>
      <c r="K179" cm="1">
        <f t="array" ref="K179">INDEX(FX_Input,$R179,$Y179*K$5+$Z179)</f>
        <v>0</v>
      </c>
      <c r="L179" cm="1">
        <f t="array" ref="L179">INDEX(FX_Input,$R179,$Y179*L$5+$Z179)</f>
        <v>0</v>
      </c>
      <c r="M179" cm="1">
        <f t="array" ref="M179">INDEX(FX_Input,$R179,$Y179*M$5+$Z179)</f>
        <v>0</v>
      </c>
      <c r="N179" cm="1">
        <f t="array" ref="N179">INDEX(FX_Input,$R179,$Y179*N$5+$Z179)</f>
        <v>0</v>
      </c>
      <c r="O179" cm="1">
        <f t="array" ref="O179">INDEX(FX_Input,$R179,$Y179*O$5+$Z179)</f>
        <v>0</v>
      </c>
      <c r="R179">
        <f>R177</f>
        <v>26</v>
      </c>
      <c r="U179">
        <f>U178</f>
        <v>21</v>
      </c>
      <c r="V179">
        <f t="shared" si="374"/>
        <v>26</v>
      </c>
      <c r="W179">
        <v>1</v>
      </c>
      <c r="X179">
        <v>2</v>
      </c>
      <c r="Y179">
        <f t="shared" si="372"/>
        <v>5</v>
      </c>
      <c r="Z179">
        <f t="shared" si="373"/>
        <v>16</v>
      </c>
    </row>
    <row r="180" spans="1:26" x14ac:dyDescent="0.4">
      <c r="C180" t="s">
        <v>532</v>
      </c>
      <c r="D180" t="str">
        <f t="shared" ref="D180:O180" si="375">IFERROR(VLOOKUP(D174,Phys_Prop,2,FALSE),0)</f>
        <v>N/A</v>
      </c>
      <c r="E180" t="str">
        <f t="shared" si="375"/>
        <v>N/A</v>
      </c>
      <c r="F180" t="str">
        <f t="shared" si="375"/>
        <v>N/A</v>
      </c>
      <c r="G180" t="str">
        <f t="shared" si="375"/>
        <v>N/A</v>
      </c>
      <c r="H180" t="str">
        <f t="shared" si="375"/>
        <v>N/A</v>
      </c>
      <c r="I180" t="str">
        <f t="shared" si="375"/>
        <v>N/A</v>
      </c>
      <c r="J180" t="str">
        <f t="shared" si="375"/>
        <v>N/A</v>
      </c>
      <c r="K180" t="str">
        <f t="shared" si="375"/>
        <v>N/A</v>
      </c>
      <c r="L180" t="str">
        <f t="shared" si="375"/>
        <v>N/A</v>
      </c>
      <c r="M180" t="str">
        <f t="shared" si="375"/>
        <v>N/A</v>
      </c>
      <c r="N180" t="str">
        <f t="shared" si="375"/>
        <v>N/A</v>
      </c>
      <c r="O180" t="str">
        <f t="shared" si="375"/>
        <v>N/A</v>
      </c>
    </row>
    <row r="181" spans="1:26" x14ac:dyDescent="0.4">
      <c r="C181" t="s">
        <v>533</v>
      </c>
      <c r="D181">
        <f t="shared" ref="D181:O181" si="376">IFERROR(VLOOKUP(D175,Phys_Prop,2,FALSE),0)</f>
        <v>0</v>
      </c>
      <c r="E181">
        <f t="shared" si="376"/>
        <v>0</v>
      </c>
      <c r="F181">
        <f t="shared" si="376"/>
        <v>0</v>
      </c>
      <c r="G181">
        <f t="shared" si="376"/>
        <v>0</v>
      </c>
      <c r="H181">
        <f t="shared" si="376"/>
        <v>0</v>
      </c>
      <c r="I181">
        <f t="shared" si="376"/>
        <v>0</v>
      </c>
      <c r="J181">
        <f t="shared" si="376"/>
        <v>0</v>
      </c>
      <c r="K181">
        <f t="shared" si="376"/>
        <v>0</v>
      </c>
      <c r="L181">
        <f t="shared" si="376"/>
        <v>0</v>
      </c>
      <c r="M181">
        <f t="shared" si="376"/>
        <v>0</v>
      </c>
      <c r="N181">
        <f t="shared" si="376"/>
        <v>0</v>
      </c>
      <c r="O181">
        <f t="shared" si="376"/>
        <v>0</v>
      </c>
    </row>
    <row r="182" spans="1:26" x14ac:dyDescent="0.4">
      <c r="C182" t="s">
        <v>544</v>
      </c>
      <c r="D182">
        <f>IFERROR(IFERROR(D180/D178+D181/D179,D180/D178),0)</f>
        <v>0</v>
      </c>
      <c r="E182">
        <f t="shared" ref="E182" si="377">IFERROR(IFERROR(E180/E178+E181/E179,E180/E178),0)</f>
        <v>0</v>
      </c>
      <c r="F182">
        <f t="shared" ref="F182" si="378">IFERROR(IFERROR(F180/F178+F181/F179,F180/F178),0)</f>
        <v>0</v>
      </c>
      <c r="G182">
        <f t="shared" ref="G182" si="379">IFERROR(IFERROR(G180/G178+G181/G179,G180/G178),0)</f>
        <v>0</v>
      </c>
      <c r="H182">
        <f t="shared" ref="H182" si="380">IFERROR(IFERROR(H180/H178+H181/H179,H180/H178),0)</f>
        <v>0</v>
      </c>
      <c r="I182">
        <f t="shared" ref="I182" si="381">IFERROR(IFERROR(I180/I178+I181/I179,I180/I178),0)</f>
        <v>0</v>
      </c>
      <c r="J182">
        <f t="shared" ref="J182" si="382">IFERROR(IFERROR(J180/J178+J181/J179,J180/J178),0)</f>
        <v>0</v>
      </c>
      <c r="K182">
        <f t="shared" ref="K182" si="383">IFERROR(IFERROR(K180/K178+K181/K179,K180/K178),0)</f>
        <v>0</v>
      </c>
      <c r="L182">
        <f t="shared" ref="L182" si="384">IFERROR(IFERROR(L180/L178+L181/L179,L180/L178),0)</f>
        <v>0</v>
      </c>
      <c r="M182">
        <f t="shared" ref="M182" si="385">IFERROR(IFERROR(M180/M178+M181/M179,M180/M178),0)</f>
        <v>0</v>
      </c>
      <c r="N182">
        <f t="shared" ref="N182" si="386">IFERROR(IFERROR(N180/N178+N181/N179,N180/N178),0)</f>
        <v>0</v>
      </c>
      <c r="O182">
        <f t="shared" ref="O182" si="387">IFERROR(IFERROR(O180/O178+O181/O179,O180/O178),0)</f>
        <v>0</v>
      </c>
    </row>
    <row r="183" spans="1:26" x14ac:dyDescent="0.4">
      <c r="C183" t="s">
        <v>539</v>
      </c>
      <c r="D183">
        <f>IFERROR((D178/D180)*D182,1)</f>
        <v>1</v>
      </c>
      <c r="E183">
        <f t="shared" ref="E183" si="388">IFERROR((E178/E180)*E182,1)</f>
        <v>1</v>
      </c>
      <c r="F183">
        <f t="shared" ref="F183" si="389">IFERROR((F178/F180)*F182,1)</f>
        <v>1</v>
      </c>
      <c r="G183">
        <f t="shared" ref="G183" si="390">IFERROR((G178/G180)*G182,1)</f>
        <v>1</v>
      </c>
      <c r="H183">
        <f t="shared" ref="H183" si="391">IFERROR((H178/H180)*H182,1)</f>
        <v>1</v>
      </c>
      <c r="I183">
        <f t="shared" ref="I183" si="392">IFERROR((I178/I180)*I182,1)</f>
        <v>1</v>
      </c>
      <c r="J183">
        <f t="shared" ref="J183" si="393">IFERROR((J178/J180)*J182,1)</f>
        <v>1</v>
      </c>
      <c r="K183">
        <f t="shared" ref="K183" si="394">IFERROR((K178/K180)*K182,1)</f>
        <v>1</v>
      </c>
      <c r="L183">
        <f t="shared" ref="L183" si="395">IFERROR((L178/L180)*L182,1)</f>
        <v>1</v>
      </c>
      <c r="M183">
        <f t="shared" ref="M183" si="396">IFERROR((M178/M180)*M182,1)</f>
        <v>1</v>
      </c>
      <c r="N183">
        <f t="shared" ref="N183" si="397">IFERROR((N178/N180)*N182,1)</f>
        <v>1</v>
      </c>
      <c r="O183">
        <f t="shared" ref="O183" si="398">IFERROR((O178/O180)*O182,1)</f>
        <v>1</v>
      </c>
    </row>
    <row r="184" spans="1:26" x14ac:dyDescent="0.4">
      <c r="C184" t="s">
        <v>540</v>
      </c>
      <c r="D184">
        <f>IFERROR((D179/D181)*D182,0)</f>
        <v>0</v>
      </c>
      <c r="E184">
        <f t="shared" ref="E184:O184" si="399">IFERROR((E179/E181)*E182,0)</f>
        <v>0</v>
      </c>
      <c r="F184">
        <f t="shared" si="399"/>
        <v>0</v>
      </c>
      <c r="G184">
        <f t="shared" si="399"/>
        <v>0</v>
      </c>
      <c r="H184">
        <f t="shared" si="399"/>
        <v>0</v>
      </c>
      <c r="I184">
        <f t="shared" si="399"/>
        <v>0</v>
      </c>
      <c r="J184">
        <f t="shared" si="399"/>
        <v>0</v>
      </c>
      <c r="K184">
        <f t="shared" si="399"/>
        <v>0</v>
      </c>
      <c r="L184">
        <f t="shared" si="399"/>
        <v>0</v>
      </c>
      <c r="M184">
        <f t="shared" si="399"/>
        <v>0</v>
      </c>
      <c r="N184">
        <f t="shared" si="399"/>
        <v>0</v>
      </c>
      <c r="O184">
        <f t="shared" si="399"/>
        <v>0</v>
      </c>
    </row>
    <row r="185" spans="1:26" x14ac:dyDescent="0.4">
      <c r="C185" s="21" t="s">
        <v>534</v>
      </c>
      <c r="D185" t="str">
        <f t="shared" ref="D185:O185" si="400">IFERROR(VLOOKUP(D174,Phys_Prop,4,FALSE),0)</f>
        <v>N/A</v>
      </c>
      <c r="E185" t="str">
        <f t="shared" si="400"/>
        <v>N/A</v>
      </c>
      <c r="F185" t="str">
        <f t="shared" si="400"/>
        <v>N/A</v>
      </c>
      <c r="G185" t="str">
        <f t="shared" si="400"/>
        <v>N/A</v>
      </c>
      <c r="H185" t="str">
        <f t="shared" si="400"/>
        <v>N/A</v>
      </c>
      <c r="I185" t="str">
        <f t="shared" si="400"/>
        <v>N/A</v>
      </c>
      <c r="J185" t="str">
        <f t="shared" si="400"/>
        <v>N/A</v>
      </c>
      <c r="K185" t="str">
        <f t="shared" si="400"/>
        <v>N/A</v>
      </c>
      <c r="L185" t="str">
        <f t="shared" si="400"/>
        <v>N/A</v>
      </c>
      <c r="M185" t="str">
        <f t="shared" si="400"/>
        <v>N/A</v>
      </c>
      <c r="N185" t="str">
        <f t="shared" si="400"/>
        <v>N/A</v>
      </c>
      <c r="O185" t="str">
        <f t="shared" si="400"/>
        <v>N/A</v>
      </c>
    </row>
    <row r="186" spans="1:26" x14ac:dyDescent="0.4">
      <c r="C186" s="21" t="s">
        <v>535</v>
      </c>
      <c r="D186">
        <f t="shared" ref="D186:O186" si="401">IFERROR(VLOOKUP(D175,Phys_Prop,4,FALSE),0)</f>
        <v>0</v>
      </c>
      <c r="E186">
        <f t="shared" si="401"/>
        <v>0</v>
      </c>
      <c r="F186">
        <f t="shared" si="401"/>
        <v>0</v>
      </c>
      <c r="G186">
        <f t="shared" si="401"/>
        <v>0</v>
      </c>
      <c r="H186">
        <f t="shared" si="401"/>
        <v>0</v>
      </c>
      <c r="I186">
        <f t="shared" si="401"/>
        <v>0</v>
      </c>
      <c r="J186">
        <f t="shared" si="401"/>
        <v>0</v>
      </c>
      <c r="K186">
        <f t="shared" si="401"/>
        <v>0</v>
      </c>
      <c r="L186">
        <f t="shared" si="401"/>
        <v>0</v>
      </c>
      <c r="M186">
        <f t="shared" si="401"/>
        <v>0</v>
      </c>
      <c r="N186">
        <f t="shared" si="401"/>
        <v>0</v>
      </c>
      <c r="O186">
        <f t="shared" si="401"/>
        <v>0</v>
      </c>
    </row>
    <row r="187" spans="1:26" x14ac:dyDescent="0.4">
      <c r="A187" s="11"/>
      <c r="B187" s="11"/>
      <c r="C187" s="62" t="s">
        <v>536</v>
      </c>
      <c r="D187" s="11" t="str">
        <f>IFERROR(1/(D183/D185+D184/D186),D185)</f>
        <v>N/A</v>
      </c>
      <c r="E187" s="11" t="str">
        <f t="shared" ref="E187:O187" si="402">IFERROR(1/(E183/E185+E184/E186),E185)</f>
        <v>N/A</v>
      </c>
      <c r="F187" s="11" t="str">
        <f t="shared" si="402"/>
        <v>N/A</v>
      </c>
      <c r="G187" s="11" t="str">
        <f t="shared" si="402"/>
        <v>N/A</v>
      </c>
      <c r="H187" s="11" t="str">
        <f t="shared" si="402"/>
        <v>N/A</v>
      </c>
      <c r="I187" s="11" t="str">
        <f t="shared" si="402"/>
        <v>N/A</v>
      </c>
      <c r="J187" s="11" t="str">
        <f t="shared" si="402"/>
        <v>N/A</v>
      </c>
      <c r="K187" s="11" t="str">
        <f t="shared" si="402"/>
        <v>N/A</v>
      </c>
      <c r="L187" s="11" t="str">
        <f t="shared" si="402"/>
        <v>N/A</v>
      </c>
      <c r="M187" s="11" t="str">
        <f t="shared" si="402"/>
        <v>N/A</v>
      </c>
      <c r="N187" s="11" t="str">
        <f t="shared" si="402"/>
        <v>N/A</v>
      </c>
      <c r="O187" s="11" t="str">
        <f t="shared" si="402"/>
        <v>N/A</v>
      </c>
      <c r="P187" s="11"/>
      <c r="Q187" s="11"/>
      <c r="R187" s="11"/>
      <c r="S187" s="11"/>
      <c r="T187" s="11"/>
      <c r="U187" s="11"/>
      <c r="V187" s="11"/>
      <c r="W187" s="11"/>
      <c r="X187" s="11"/>
      <c r="Y187" s="11"/>
      <c r="Z187" s="11"/>
    </row>
    <row r="188" spans="1:26" x14ac:dyDescent="0.4">
      <c r="A188" t="str" cm="1">
        <f t="array" ref="A188">INDEX(FX_Input,R188,S188)</f>
        <v>FX - 14</v>
      </c>
      <c r="B188" t="str" cm="1">
        <f t="array" ref="B188">INDEX(FX_Input,R188,T188)</f>
        <v>Portland</v>
      </c>
      <c r="C188" t="s">
        <v>528</v>
      </c>
      <c r="D188" t="str" cm="1">
        <f t="array" ref="D188">INDEX(FX_Input,$R188,$Y188*D$5+$Z188)</f>
        <v>Jet kerosene</v>
      </c>
      <c r="E188" t="str" cm="1">
        <f t="array" ref="E188">INDEX(FX_Input,$R188,$Y188*E$5+$Z188)</f>
        <v>Jet kerosene</v>
      </c>
      <c r="F188" t="str" cm="1">
        <f t="array" ref="F188">INDEX(FX_Input,$R188,$Y188*F$5+$Z188)</f>
        <v>Jet kerosene</v>
      </c>
      <c r="G188" t="str" cm="1">
        <f t="array" ref="G188">INDEX(FX_Input,$R188,$Y188*G$5+$Z188)</f>
        <v>Jet kerosene</v>
      </c>
      <c r="H188" t="str" cm="1">
        <f t="array" ref="H188">INDEX(FX_Input,$R188,$Y188*H$5+$Z188)</f>
        <v>Jet kerosene</v>
      </c>
      <c r="I188" t="str" cm="1">
        <f t="array" ref="I188">INDEX(FX_Input,$R188,$Y188*I$5+$Z188)</f>
        <v>Jet kerosene</v>
      </c>
      <c r="J188" t="str" cm="1">
        <f t="array" ref="J188">INDEX(FX_Input,$R188,$Y188*J$5+$Z188)</f>
        <v>Jet kerosene</v>
      </c>
      <c r="K188" t="str" cm="1">
        <f t="array" ref="K188">INDEX(FX_Input,$R188,$Y188*K$5+$Z188)</f>
        <v>Jet kerosene</v>
      </c>
      <c r="L188" t="str" cm="1">
        <f t="array" ref="L188">INDEX(FX_Input,$R188,$Y188*L$5+$Z188)</f>
        <v>Jet kerosene</v>
      </c>
      <c r="M188" t="str" cm="1">
        <f t="array" ref="M188">INDEX(FX_Input,$R188,$Y188*M$5+$Z188)</f>
        <v>Jet kerosene</v>
      </c>
      <c r="N188" t="str" cm="1">
        <f t="array" ref="N188">INDEX(FX_Input,$R188,$Y188*N$5+$Z188)</f>
        <v>Jet kerosene</v>
      </c>
      <c r="O188" t="str" cm="1">
        <f t="array" ref="O188">INDEX(FX_Input,$R188,$Y188*O$5+$Z188)</f>
        <v>Jet kerosene</v>
      </c>
      <c r="R188">
        <f>R174+2</f>
        <v>27</v>
      </c>
      <c r="S188">
        <v>1</v>
      </c>
      <c r="T188">
        <v>3</v>
      </c>
      <c r="U188">
        <v>17</v>
      </c>
      <c r="V188">
        <f>U188+5</f>
        <v>22</v>
      </c>
      <c r="W188">
        <v>1</v>
      </c>
      <c r="X188">
        <v>2</v>
      </c>
      <c r="Y188">
        <f t="shared" ref="Y188:Y193" si="403">(V188-U188)/(X188-W188)</f>
        <v>5</v>
      </c>
      <c r="Z188">
        <f t="shared" ref="Z188:Z193" si="404">U188-Y188*W188</f>
        <v>12</v>
      </c>
    </row>
    <row r="189" spans="1:26" x14ac:dyDescent="0.4">
      <c r="C189" t="s">
        <v>529</v>
      </c>
      <c r="D189" cm="1">
        <f t="array" ref="D189">INDEX(FX_Input,$R189,$Y189*D$5+$Z189)</f>
        <v>0</v>
      </c>
      <c r="E189" cm="1">
        <f t="array" ref="E189">INDEX(FX_Input,$R189,$Y189*E$5+$Z189)</f>
        <v>0</v>
      </c>
      <c r="F189" cm="1">
        <f t="array" ref="F189">INDEX(FX_Input,$R189,$Y189*F$5+$Z189)</f>
        <v>0</v>
      </c>
      <c r="G189" cm="1">
        <f t="array" ref="G189">INDEX(FX_Input,$R189,$Y189*G$5+$Z189)</f>
        <v>0</v>
      </c>
      <c r="H189" cm="1">
        <f t="array" ref="H189">INDEX(FX_Input,$R189,$Y189*H$5+$Z189)</f>
        <v>0</v>
      </c>
      <c r="I189" cm="1">
        <f t="array" ref="I189">INDEX(FX_Input,$R189,$Y189*I$5+$Z189)</f>
        <v>0</v>
      </c>
      <c r="J189" cm="1">
        <f t="array" ref="J189">INDEX(FX_Input,$R189,$Y189*J$5+$Z189)</f>
        <v>0</v>
      </c>
      <c r="K189" cm="1">
        <f t="array" ref="K189">INDEX(FX_Input,$R189,$Y189*K$5+$Z189)</f>
        <v>0</v>
      </c>
      <c r="L189" cm="1">
        <f t="array" ref="L189">INDEX(FX_Input,$R189,$Y189*L$5+$Z189)</f>
        <v>0</v>
      </c>
      <c r="M189" cm="1">
        <f t="array" ref="M189">INDEX(FX_Input,$R189,$Y189*M$5+$Z189)</f>
        <v>0</v>
      </c>
      <c r="N189" cm="1">
        <f t="array" ref="N189">INDEX(FX_Input,$R189,$Y189*N$5+$Z189)</f>
        <v>0</v>
      </c>
      <c r="O189" cm="1">
        <f t="array" ref="O189">INDEX(FX_Input,$R189,$Y189*O$5+$Z189)</f>
        <v>0</v>
      </c>
      <c r="R189">
        <f>R188+1</f>
        <v>28</v>
      </c>
      <c r="U189">
        <f>U188</f>
        <v>17</v>
      </c>
      <c r="V189">
        <f t="shared" ref="V189:V193" si="405">U189+5</f>
        <v>22</v>
      </c>
      <c r="W189">
        <v>1</v>
      </c>
      <c r="X189">
        <v>2</v>
      </c>
      <c r="Y189">
        <f t="shared" si="403"/>
        <v>5</v>
      </c>
      <c r="Z189">
        <f t="shared" si="404"/>
        <v>12</v>
      </c>
    </row>
    <row r="190" spans="1:26" x14ac:dyDescent="0.4">
      <c r="C190" t="s">
        <v>530</v>
      </c>
      <c r="D190" t="str" cm="1">
        <f t="array" ref="D190">INDEX(FX_Input,$R190,$Y190*D$5+$Z190)</f>
        <v>Select Pet Stock</v>
      </c>
      <c r="E190" t="str" cm="1">
        <f t="array" ref="E190">INDEX(FX_Input,$R190,$Y190*E$5+$Z190)</f>
        <v>Select Pet Stock</v>
      </c>
      <c r="F190" t="str" cm="1">
        <f t="array" ref="F190">INDEX(FX_Input,$R190,$Y190*F$5+$Z190)</f>
        <v>Select Pet Stock</v>
      </c>
      <c r="G190" t="str" cm="1">
        <f t="array" ref="G190">INDEX(FX_Input,$R190,$Y190*G$5+$Z190)</f>
        <v>Select Pet Stock</v>
      </c>
      <c r="H190" t="str" cm="1">
        <f t="array" ref="H190">INDEX(FX_Input,$R190,$Y190*H$5+$Z190)</f>
        <v>Select Pet Stock</v>
      </c>
      <c r="I190" t="str" cm="1">
        <f t="array" ref="I190">INDEX(FX_Input,$R190,$Y190*I$5+$Z190)</f>
        <v>Select Pet Stock</v>
      </c>
      <c r="J190" t="str" cm="1">
        <f t="array" ref="J190">INDEX(FX_Input,$R190,$Y190*J$5+$Z190)</f>
        <v>Select Pet Stock</v>
      </c>
      <c r="K190" t="str" cm="1">
        <f t="array" ref="K190">INDEX(FX_Input,$R190,$Y190*K$5+$Z190)</f>
        <v>Select Pet Stock</v>
      </c>
      <c r="L190" t="str" cm="1">
        <f t="array" ref="L190">INDEX(FX_Input,$R190,$Y190*L$5+$Z190)</f>
        <v>Select Pet Stock</v>
      </c>
      <c r="M190" t="str" cm="1">
        <f t="array" ref="M190">INDEX(FX_Input,$R190,$Y190*M$5+$Z190)</f>
        <v>Select Pet Stock</v>
      </c>
      <c r="N190" t="str" cm="1">
        <f t="array" ref="N190">INDEX(FX_Input,$R190,$Y190*N$5+$Z190)</f>
        <v>Select Pet Stock</v>
      </c>
      <c r="O190" t="str" cm="1">
        <f t="array" ref="O190">INDEX(FX_Input,$R190,$Y190*O$5+$Z190)</f>
        <v>Select Pet Stock</v>
      </c>
      <c r="R190">
        <f>R188</f>
        <v>27</v>
      </c>
      <c r="U190">
        <v>18</v>
      </c>
      <c r="V190">
        <f t="shared" si="405"/>
        <v>23</v>
      </c>
      <c r="W190">
        <v>1</v>
      </c>
      <c r="X190">
        <v>2</v>
      </c>
      <c r="Y190">
        <f t="shared" si="403"/>
        <v>5</v>
      </c>
      <c r="Z190">
        <f t="shared" si="404"/>
        <v>13</v>
      </c>
    </row>
    <row r="191" spans="1:26" x14ac:dyDescent="0.4">
      <c r="C191" t="s">
        <v>531</v>
      </c>
      <c r="D191" cm="1">
        <f t="array" ref="D191">INDEX(FX_Input,$R191,$Y191*D$5+$Z191)</f>
        <v>0</v>
      </c>
      <c r="E191" cm="1">
        <f t="array" ref="E191">INDEX(FX_Input,$R191,$Y191*E$5+$Z191)</f>
        <v>0</v>
      </c>
      <c r="F191" cm="1">
        <f t="array" ref="F191">INDEX(FX_Input,$R191,$Y191*F$5+$Z191)</f>
        <v>0</v>
      </c>
      <c r="G191" cm="1">
        <f t="array" ref="G191">INDEX(FX_Input,$R191,$Y191*G$5+$Z191)</f>
        <v>0</v>
      </c>
      <c r="H191" cm="1">
        <f t="array" ref="H191">INDEX(FX_Input,$R191,$Y191*H$5+$Z191)</f>
        <v>0</v>
      </c>
      <c r="I191" cm="1">
        <f t="array" ref="I191">INDEX(FX_Input,$R191,$Y191*I$5+$Z191)</f>
        <v>0</v>
      </c>
      <c r="J191" cm="1">
        <f t="array" ref="J191">INDEX(FX_Input,$R191,$Y191*J$5+$Z191)</f>
        <v>0</v>
      </c>
      <c r="K191" cm="1">
        <f t="array" ref="K191">INDEX(FX_Input,$R191,$Y191*K$5+$Z191)</f>
        <v>0</v>
      </c>
      <c r="L191" cm="1">
        <f t="array" ref="L191">INDEX(FX_Input,$R191,$Y191*L$5+$Z191)</f>
        <v>0</v>
      </c>
      <c r="M191" cm="1">
        <f t="array" ref="M191">INDEX(FX_Input,$R191,$Y191*M$5+$Z191)</f>
        <v>0</v>
      </c>
      <c r="N191" cm="1">
        <f t="array" ref="N191">INDEX(FX_Input,$R191,$Y191*N$5+$Z191)</f>
        <v>0</v>
      </c>
      <c r="O191" cm="1">
        <f t="array" ref="O191">INDEX(FX_Input,$R191,$Y191*O$5+$Z191)</f>
        <v>0</v>
      </c>
      <c r="R191">
        <f>R189</f>
        <v>28</v>
      </c>
      <c r="U191">
        <f>U190</f>
        <v>18</v>
      </c>
      <c r="V191">
        <f t="shared" si="405"/>
        <v>23</v>
      </c>
      <c r="W191">
        <v>1</v>
      </c>
      <c r="X191">
        <v>2</v>
      </c>
      <c r="Y191">
        <f t="shared" si="403"/>
        <v>5</v>
      </c>
      <c r="Z191">
        <f t="shared" si="404"/>
        <v>13</v>
      </c>
    </row>
    <row r="192" spans="1:26" x14ac:dyDescent="0.4">
      <c r="C192" t="s">
        <v>546</v>
      </c>
      <c r="D192" cm="1">
        <f t="array" ref="D192">INDEX(FX_Input,$R192,$Y192*D$5+$Z192)</f>
        <v>1</v>
      </c>
      <c r="E192" cm="1">
        <f t="array" ref="E192">INDEX(FX_Input,$R192,$Y192*E$5+$Z192)</f>
        <v>1</v>
      </c>
      <c r="F192" cm="1">
        <f t="array" ref="F192">INDEX(FX_Input,$R192,$Y192*F$5+$Z192)</f>
        <v>1</v>
      </c>
      <c r="G192" cm="1">
        <f t="array" ref="G192">INDEX(FX_Input,$R192,$Y192*G$5+$Z192)</f>
        <v>1</v>
      </c>
      <c r="H192" cm="1">
        <f t="array" ref="H192">INDEX(FX_Input,$R192,$Y192*H$5+$Z192)</f>
        <v>1</v>
      </c>
      <c r="I192" cm="1">
        <f t="array" ref="I192">INDEX(FX_Input,$R192,$Y192*I$5+$Z192)</f>
        <v>1</v>
      </c>
      <c r="J192" cm="1">
        <f t="array" ref="J192">INDEX(FX_Input,$R192,$Y192*J$5+$Z192)</f>
        <v>1</v>
      </c>
      <c r="K192" cm="1">
        <f t="array" ref="K192">INDEX(FX_Input,$R192,$Y192*K$5+$Z192)</f>
        <v>1</v>
      </c>
      <c r="L192" cm="1">
        <f t="array" ref="L192">INDEX(FX_Input,$R192,$Y192*L$5+$Z192)</f>
        <v>1</v>
      </c>
      <c r="M192" cm="1">
        <f t="array" ref="M192">INDEX(FX_Input,$R192,$Y192*M$5+$Z192)</f>
        <v>1</v>
      </c>
      <c r="N192" cm="1">
        <f t="array" ref="N192">INDEX(FX_Input,$R192,$Y192*N$5+$Z192)</f>
        <v>1</v>
      </c>
      <c r="O192" cm="1">
        <f t="array" ref="O192">INDEX(FX_Input,$R192,$Y192*O$5+$Z192)</f>
        <v>1</v>
      </c>
      <c r="R192">
        <f>R190</f>
        <v>27</v>
      </c>
      <c r="U192">
        <v>21</v>
      </c>
      <c r="V192">
        <f t="shared" si="405"/>
        <v>26</v>
      </c>
      <c r="W192">
        <v>1</v>
      </c>
      <c r="X192">
        <v>2</v>
      </c>
      <c r="Y192">
        <f t="shared" si="403"/>
        <v>5</v>
      </c>
      <c r="Z192">
        <f t="shared" si="404"/>
        <v>16</v>
      </c>
    </row>
    <row r="193" spans="1:26" x14ac:dyDescent="0.4">
      <c r="C193" t="s">
        <v>547</v>
      </c>
      <c r="D193" cm="1">
        <f t="array" ref="D193">INDEX(FX_Input,$R193,$Y193*D$5+$Z193)</f>
        <v>0</v>
      </c>
      <c r="E193" cm="1">
        <f t="array" ref="E193">INDEX(FX_Input,$R193,$Y193*E$5+$Z193)</f>
        <v>0</v>
      </c>
      <c r="F193" cm="1">
        <f t="array" ref="F193">INDEX(FX_Input,$R193,$Y193*F$5+$Z193)</f>
        <v>0</v>
      </c>
      <c r="G193" cm="1">
        <f t="array" ref="G193">INDEX(FX_Input,$R193,$Y193*G$5+$Z193)</f>
        <v>0</v>
      </c>
      <c r="H193" cm="1">
        <f t="array" ref="H193">INDEX(FX_Input,$R193,$Y193*H$5+$Z193)</f>
        <v>0</v>
      </c>
      <c r="I193" cm="1">
        <f t="array" ref="I193">INDEX(FX_Input,$R193,$Y193*I$5+$Z193)</f>
        <v>0</v>
      </c>
      <c r="J193" cm="1">
        <f t="array" ref="J193">INDEX(FX_Input,$R193,$Y193*J$5+$Z193)</f>
        <v>0</v>
      </c>
      <c r="K193" cm="1">
        <f t="array" ref="K193">INDEX(FX_Input,$R193,$Y193*K$5+$Z193)</f>
        <v>0</v>
      </c>
      <c r="L193" cm="1">
        <f t="array" ref="L193">INDEX(FX_Input,$R193,$Y193*L$5+$Z193)</f>
        <v>0</v>
      </c>
      <c r="M193" cm="1">
        <f t="array" ref="M193">INDEX(FX_Input,$R193,$Y193*M$5+$Z193)</f>
        <v>0</v>
      </c>
      <c r="N193" cm="1">
        <f t="array" ref="N193">INDEX(FX_Input,$R193,$Y193*N$5+$Z193)</f>
        <v>0</v>
      </c>
      <c r="O193" cm="1">
        <f t="array" ref="O193">INDEX(FX_Input,$R193,$Y193*O$5+$Z193)</f>
        <v>0</v>
      </c>
      <c r="R193">
        <f>R191</f>
        <v>28</v>
      </c>
      <c r="U193">
        <f>U192</f>
        <v>21</v>
      </c>
      <c r="V193">
        <f t="shared" si="405"/>
        <v>26</v>
      </c>
      <c r="W193">
        <v>1</v>
      </c>
      <c r="X193">
        <v>2</v>
      </c>
      <c r="Y193">
        <f t="shared" si="403"/>
        <v>5</v>
      </c>
      <c r="Z193">
        <f t="shared" si="404"/>
        <v>16</v>
      </c>
    </row>
    <row r="194" spans="1:26" x14ac:dyDescent="0.4">
      <c r="C194" t="s">
        <v>532</v>
      </c>
      <c r="D194">
        <f t="shared" ref="D194:O194" si="406">IFERROR(VLOOKUP(D188,Phys_Prop,2,FALSE),0)</f>
        <v>162</v>
      </c>
      <c r="E194">
        <f t="shared" si="406"/>
        <v>162</v>
      </c>
      <c r="F194">
        <f t="shared" si="406"/>
        <v>162</v>
      </c>
      <c r="G194">
        <f t="shared" si="406"/>
        <v>162</v>
      </c>
      <c r="H194">
        <f t="shared" si="406"/>
        <v>162</v>
      </c>
      <c r="I194">
        <f t="shared" si="406"/>
        <v>162</v>
      </c>
      <c r="J194">
        <f t="shared" si="406"/>
        <v>162</v>
      </c>
      <c r="K194">
        <f t="shared" si="406"/>
        <v>162</v>
      </c>
      <c r="L194">
        <f t="shared" si="406"/>
        <v>162</v>
      </c>
      <c r="M194">
        <f t="shared" si="406"/>
        <v>162</v>
      </c>
      <c r="N194">
        <f t="shared" si="406"/>
        <v>162</v>
      </c>
      <c r="O194">
        <f t="shared" si="406"/>
        <v>162</v>
      </c>
    </row>
    <row r="195" spans="1:26" x14ac:dyDescent="0.4">
      <c r="C195" t="s">
        <v>533</v>
      </c>
      <c r="D195">
        <f t="shared" ref="D195:O195" si="407">IFERROR(VLOOKUP(D189,Phys_Prop,2,FALSE),0)</f>
        <v>0</v>
      </c>
      <c r="E195">
        <f t="shared" si="407"/>
        <v>0</v>
      </c>
      <c r="F195">
        <f t="shared" si="407"/>
        <v>0</v>
      </c>
      <c r="G195">
        <f t="shared" si="407"/>
        <v>0</v>
      </c>
      <c r="H195">
        <f t="shared" si="407"/>
        <v>0</v>
      </c>
      <c r="I195">
        <f t="shared" si="407"/>
        <v>0</v>
      </c>
      <c r="J195">
        <f t="shared" si="407"/>
        <v>0</v>
      </c>
      <c r="K195">
        <f t="shared" si="407"/>
        <v>0</v>
      </c>
      <c r="L195">
        <f t="shared" si="407"/>
        <v>0</v>
      </c>
      <c r="M195">
        <f t="shared" si="407"/>
        <v>0</v>
      </c>
      <c r="N195">
        <f t="shared" si="407"/>
        <v>0</v>
      </c>
      <c r="O195">
        <f t="shared" si="407"/>
        <v>0</v>
      </c>
    </row>
    <row r="196" spans="1:26" x14ac:dyDescent="0.4">
      <c r="C196" t="s">
        <v>544</v>
      </c>
      <c r="D196">
        <f>IFERROR(IFERROR(D194/D192+D195/D193,D194/D192),0)</f>
        <v>162</v>
      </c>
      <c r="E196">
        <f t="shared" ref="E196" si="408">IFERROR(IFERROR(E194/E192+E195/E193,E194/E192),0)</f>
        <v>162</v>
      </c>
      <c r="F196">
        <f t="shared" ref="F196" si="409">IFERROR(IFERROR(F194/F192+F195/F193,F194/F192),0)</f>
        <v>162</v>
      </c>
      <c r="G196">
        <f t="shared" ref="G196" si="410">IFERROR(IFERROR(G194/G192+G195/G193,G194/G192),0)</f>
        <v>162</v>
      </c>
      <c r="H196">
        <f t="shared" ref="H196" si="411">IFERROR(IFERROR(H194/H192+H195/H193,H194/H192),0)</f>
        <v>162</v>
      </c>
      <c r="I196">
        <f t="shared" ref="I196" si="412">IFERROR(IFERROR(I194/I192+I195/I193,I194/I192),0)</f>
        <v>162</v>
      </c>
      <c r="J196">
        <f t="shared" ref="J196" si="413">IFERROR(IFERROR(J194/J192+J195/J193,J194/J192),0)</f>
        <v>162</v>
      </c>
      <c r="K196">
        <f t="shared" ref="K196" si="414">IFERROR(IFERROR(K194/K192+K195/K193,K194/K192),0)</f>
        <v>162</v>
      </c>
      <c r="L196">
        <f t="shared" ref="L196" si="415">IFERROR(IFERROR(L194/L192+L195/L193,L194/L192),0)</f>
        <v>162</v>
      </c>
      <c r="M196">
        <f t="shared" ref="M196" si="416">IFERROR(IFERROR(M194/M192+M195/M193,M194/M192),0)</f>
        <v>162</v>
      </c>
      <c r="N196">
        <f t="shared" ref="N196" si="417">IFERROR(IFERROR(N194/N192+N195/N193,N194/N192),0)</f>
        <v>162</v>
      </c>
      <c r="O196">
        <f t="shared" ref="O196" si="418">IFERROR(IFERROR(O194/O192+O195/O193,O194/O192),0)</f>
        <v>162</v>
      </c>
    </row>
    <row r="197" spans="1:26" x14ac:dyDescent="0.4">
      <c r="C197" t="s">
        <v>539</v>
      </c>
      <c r="D197">
        <f>IFERROR((D192/D194)*D196,1)</f>
        <v>1</v>
      </c>
      <c r="E197">
        <f t="shared" ref="E197" si="419">IFERROR((E192/E194)*E196,1)</f>
        <v>1</v>
      </c>
      <c r="F197">
        <f t="shared" ref="F197" si="420">IFERROR((F192/F194)*F196,1)</f>
        <v>1</v>
      </c>
      <c r="G197">
        <f t="shared" ref="G197" si="421">IFERROR((G192/G194)*G196,1)</f>
        <v>1</v>
      </c>
      <c r="H197">
        <f t="shared" ref="H197" si="422">IFERROR((H192/H194)*H196,1)</f>
        <v>1</v>
      </c>
      <c r="I197">
        <f t="shared" ref="I197" si="423">IFERROR((I192/I194)*I196,1)</f>
        <v>1</v>
      </c>
      <c r="J197">
        <f t="shared" ref="J197" si="424">IFERROR((J192/J194)*J196,1)</f>
        <v>1</v>
      </c>
      <c r="K197">
        <f t="shared" ref="K197" si="425">IFERROR((K192/K194)*K196,1)</f>
        <v>1</v>
      </c>
      <c r="L197">
        <f t="shared" ref="L197" si="426">IFERROR((L192/L194)*L196,1)</f>
        <v>1</v>
      </c>
      <c r="M197">
        <f t="shared" ref="M197" si="427">IFERROR((M192/M194)*M196,1)</f>
        <v>1</v>
      </c>
      <c r="N197">
        <f t="shared" ref="N197" si="428">IFERROR((N192/N194)*N196,1)</f>
        <v>1</v>
      </c>
      <c r="O197">
        <f t="shared" ref="O197" si="429">IFERROR((O192/O194)*O196,1)</f>
        <v>1</v>
      </c>
    </row>
    <row r="198" spans="1:26" x14ac:dyDescent="0.4">
      <c r="C198" t="s">
        <v>540</v>
      </c>
      <c r="D198">
        <f>IFERROR((D193/D195)*D196,0)</f>
        <v>0</v>
      </c>
      <c r="E198">
        <f t="shared" ref="E198:O198" si="430">IFERROR((E193/E195)*E196,0)</f>
        <v>0</v>
      </c>
      <c r="F198">
        <f t="shared" si="430"/>
        <v>0</v>
      </c>
      <c r="G198">
        <f t="shared" si="430"/>
        <v>0</v>
      </c>
      <c r="H198">
        <f t="shared" si="430"/>
        <v>0</v>
      </c>
      <c r="I198">
        <f t="shared" si="430"/>
        <v>0</v>
      </c>
      <c r="J198">
        <f t="shared" si="430"/>
        <v>0</v>
      </c>
      <c r="K198">
        <f t="shared" si="430"/>
        <v>0</v>
      </c>
      <c r="L198">
        <f t="shared" si="430"/>
        <v>0</v>
      </c>
      <c r="M198">
        <f t="shared" si="430"/>
        <v>0</v>
      </c>
      <c r="N198">
        <f t="shared" si="430"/>
        <v>0</v>
      </c>
      <c r="O198">
        <f t="shared" si="430"/>
        <v>0</v>
      </c>
    </row>
    <row r="199" spans="1:26" x14ac:dyDescent="0.4">
      <c r="C199" s="21" t="s">
        <v>534</v>
      </c>
      <c r="D199">
        <f t="shared" ref="D199:O199" si="431">IFERROR(VLOOKUP(D188,Phys_Prop,4,FALSE),0)</f>
        <v>7</v>
      </c>
      <c r="E199">
        <f t="shared" si="431"/>
        <v>7</v>
      </c>
      <c r="F199">
        <f t="shared" si="431"/>
        <v>7</v>
      </c>
      <c r="G199">
        <f t="shared" si="431"/>
        <v>7</v>
      </c>
      <c r="H199">
        <f t="shared" si="431"/>
        <v>7</v>
      </c>
      <c r="I199">
        <f t="shared" si="431"/>
        <v>7</v>
      </c>
      <c r="J199">
        <f t="shared" si="431"/>
        <v>7</v>
      </c>
      <c r="K199">
        <f t="shared" si="431"/>
        <v>7</v>
      </c>
      <c r="L199">
        <f t="shared" si="431"/>
        <v>7</v>
      </c>
      <c r="M199">
        <f t="shared" si="431"/>
        <v>7</v>
      </c>
      <c r="N199">
        <f t="shared" si="431"/>
        <v>7</v>
      </c>
      <c r="O199">
        <f t="shared" si="431"/>
        <v>7</v>
      </c>
    </row>
    <row r="200" spans="1:26" x14ac:dyDescent="0.4">
      <c r="C200" s="21" t="s">
        <v>535</v>
      </c>
      <c r="D200">
        <f t="shared" ref="D200:O200" si="432">IFERROR(VLOOKUP(D189,Phys_Prop,4,FALSE),0)</f>
        <v>0</v>
      </c>
      <c r="E200">
        <f t="shared" si="432"/>
        <v>0</v>
      </c>
      <c r="F200">
        <f t="shared" si="432"/>
        <v>0</v>
      </c>
      <c r="G200">
        <f t="shared" si="432"/>
        <v>0</v>
      </c>
      <c r="H200">
        <f t="shared" si="432"/>
        <v>0</v>
      </c>
      <c r="I200">
        <f t="shared" si="432"/>
        <v>0</v>
      </c>
      <c r="J200">
        <f t="shared" si="432"/>
        <v>0</v>
      </c>
      <c r="K200">
        <f t="shared" si="432"/>
        <v>0</v>
      </c>
      <c r="L200">
        <f t="shared" si="432"/>
        <v>0</v>
      </c>
      <c r="M200">
        <f t="shared" si="432"/>
        <v>0</v>
      </c>
      <c r="N200">
        <f t="shared" si="432"/>
        <v>0</v>
      </c>
      <c r="O200">
        <f t="shared" si="432"/>
        <v>0</v>
      </c>
    </row>
    <row r="201" spans="1:26" x14ac:dyDescent="0.4">
      <c r="A201" s="11"/>
      <c r="B201" s="11"/>
      <c r="C201" s="62" t="s">
        <v>536</v>
      </c>
      <c r="D201" s="11">
        <f>IFERROR(1/(D197/D199+D198/D200),D199)</f>
        <v>7</v>
      </c>
      <c r="E201" s="11">
        <f t="shared" ref="E201:O201" si="433">IFERROR(1/(E197/E199+E198/E200),E199)</f>
        <v>7</v>
      </c>
      <c r="F201" s="11">
        <f t="shared" si="433"/>
        <v>7</v>
      </c>
      <c r="G201" s="11">
        <f t="shared" si="433"/>
        <v>7</v>
      </c>
      <c r="H201" s="11">
        <f t="shared" si="433"/>
        <v>7</v>
      </c>
      <c r="I201" s="11">
        <f t="shared" si="433"/>
        <v>7</v>
      </c>
      <c r="J201" s="11">
        <f t="shared" si="433"/>
        <v>7</v>
      </c>
      <c r="K201" s="11">
        <f t="shared" si="433"/>
        <v>7</v>
      </c>
      <c r="L201" s="11">
        <f t="shared" si="433"/>
        <v>7</v>
      </c>
      <c r="M201" s="11">
        <f t="shared" si="433"/>
        <v>7</v>
      </c>
      <c r="N201" s="11">
        <f t="shared" si="433"/>
        <v>7</v>
      </c>
      <c r="O201" s="11">
        <f t="shared" si="433"/>
        <v>7</v>
      </c>
      <c r="P201" s="11"/>
      <c r="Q201" s="11"/>
      <c r="R201" s="11"/>
      <c r="S201" s="11"/>
      <c r="T201" s="11"/>
      <c r="U201" s="11"/>
      <c r="V201" s="11"/>
      <c r="W201" s="11"/>
      <c r="X201" s="11"/>
      <c r="Y201" s="11"/>
      <c r="Z201" s="11"/>
    </row>
    <row r="202" spans="1:26" x14ac:dyDescent="0.4">
      <c r="A202" t="str" cm="1">
        <f t="array" ref="A202">INDEX(FX_Input,R202,S202)</f>
        <v>FX - 15</v>
      </c>
      <c r="B202" t="str" cm="1">
        <f t="array" ref="B202">INDEX(FX_Input,R202,T202)</f>
        <v>Portland</v>
      </c>
      <c r="C202" t="s">
        <v>528</v>
      </c>
      <c r="D202" t="str" cm="1">
        <f t="array" ref="D202">INDEX(FX_Input,$R202,$Y202*D$5+$Z202)</f>
        <v>Jet kerosene</v>
      </c>
      <c r="E202" t="str" cm="1">
        <f t="array" ref="E202">INDEX(FX_Input,$R202,$Y202*E$5+$Z202)</f>
        <v>Jet kerosene</v>
      </c>
      <c r="F202" t="str" cm="1">
        <f t="array" ref="F202">INDEX(FX_Input,$R202,$Y202*F$5+$Z202)</f>
        <v>Jet kerosene</v>
      </c>
      <c r="G202" t="str" cm="1">
        <f t="array" ref="G202">INDEX(FX_Input,$R202,$Y202*G$5+$Z202)</f>
        <v>Jet kerosene</v>
      </c>
      <c r="H202" t="str" cm="1">
        <f t="array" ref="H202">INDEX(FX_Input,$R202,$Y202*H$5+$Z202)</f>
        <v>Jet kerosene</v>
      </c>
      <c r="I202" t="str" cm="1">
        <f t="array" ref="I202">INDEX(FX_Input,$R202,$Y202*I$5+$Z202)</f>
        <v>Jet kerosene</v>
      </c>
      <c r="J202" t="str" cm="1">
        <f t="array" ref="J202">INDEX(FX_Input,$R202,$Y202*J$5+$Z202)</f>
        <v>Jet kerosene</v>
      </c>
      <c r="K202" t="str" cm="1">
        <f t="array" ref="K202">INDEX(FX_Input,$R202,$Y202*K$5+$Z202)</f>
        <v>Jet kerosene</v>
      </c>
      <c r="L202" t="str" cm="1">
        <f t="array" ref="L202">INDEX(FX_Input,$R202,$Y202*L$5+$Z202)</f>
        <v>Jet kerosene</v>
      </c>
      <c r="M202" t="str" cm="1">
        <f t="array" ref="M202">INDEX(FX_Input,$R202,$Y202*M$5+$Z202)</f>
        <v>Jet kerosene</v>
      </c>
      <c r="N202" t="str" cm="1">
        <f t="array" ref="N202">INDEX(FX_Input,$R202,$Y202*N$5+$Z202)</f>
        <v>Jet kerosene</v>
      </c>
      <c r="O202" t="str" cm="1">
        <f t="array" ref="O202">INDEX(FX_Input,$R202,$Y202*O$5+$Z202)</f>
        <v>Jet kerosene</v>
      </c>
      <c r="R202">
        <f>R188+2</f>
        <v>29</v>
      </c>
      <c r="S202">
        <v>1</v>
      </c>
      <c r="T202">
        <v>3</v>
      </c>
      <c r="U202">
        <v>17</v>
      </c>
      <c r="V202">
        <f>U202+5</f>
        <v>22</v>
      </c>
      <c r="W202">
        <v>1</v>
      </c>
      <c r="X202">
        <v>2</v>
      </c>
      <c r="Y202">
        <f t="shared" ref="Y202:Y207" si="434">(V202-U202)/(X202-W202)</f>
        <v>5</v>
      </c>
      <c r="Z202">
        <f t="shared" ref="Z202:Z207" si="435">U202-Y202*W202</f>
        <v>12</v>
      </c>
    </row>
    <row r="203" spans="1:26" x14ac:dyDescent="0.4">
      <c r="C203" t="s">
        <v>529</v>
      </c>
      <c r="D203" cm="1">
        <f t="array" ref="D203">INDEX(FX_Input,$R203,$Y203*D$5+$Z203)</f>
        <v>0</v>
      </c>
      <c r="E203" cm="1">
        <f t="array" ref="E203">INDEX(FX_Input,$R203,$Y203*E$5+$Z203)</f>
        <v>0</v>
      </c>
      <c r="F203" cm="1">
        <f t="array" ref="F203">INDEX(FX_Input,$R203,$Y203*F$5+$Z203)</f>
        <v>0</v>
      </c>
      <c r="G203" cm="1">
        <f t="array" ref="G203">INDEX(FX_Input,$R203,$Y203*G$5+$Z203)</f>
        <v>0</v>
      </c>
      <c r="H203" cm="1">
        <f t="array" ref="H203">INDEX(FX_Input,$R203,$Y203*H$5+$Z203)</f>
        <v>0</v>
      </c>
      <c r="I203" cm="1">
        <f t="array" ref="I203">INDEX(FX_Input,$R203,$Y203*I$5+$Z203)</f>
        <v>0</v>
      </c>
      <c r="J203" cm="1">
        <f t="array" ref="J203">INDEX(FX_Input,$R203,$Y203*J$5+$Z203)</f>
        <v>0</v>
      </c>
      <c r="K203" cm="1">
        <f t="array" ref="K203">INDEX(FX_Input,$R203,$Y203*K$5+$Z203)</f>
        <v>0</v>
      </c>
      <c r="L203" cm="1">
        <f t="array" ref="L203">INDEX(FX_Input,$R203,$Y203*L$5+$Z203)</f>
        <v>0</v>
      </c>
      <c r="M203" cm="1">
        <f t="array" ref="M203">INDEX(FX_Input,$R203,$Y203*M$5+$Z203)</f>
        <v>0</v>
      </c>
      <c r="N203" cm="1">
        <f t="array" ref="N203">INDEX(FX_Input,$R203,$Y203*N$5+$Z203)</f>
        <v>0</v>
      </c>
      <c r="O203" cm="1">
        <f t="array" ref="O203">INDEX(FX_Input,$R203,$Y203*O$5+$Z203)</f>
        <v>0</v>
      </c>
      <c r="R203">
        <f>R202+1</f>
        <v>30</v>
      </c>
      <c r="U203">
        <f>U202</f>
        <v>17</v>
      </c>
      <c r="V203">
        <f t="shared" ref="V203:V207" si="436">U203+5</f>
        <v>22</v>
      </c>
      <c r="W203">
        <v>1</v>
      </c>
      <c r="X203">
        <v>2</v>
      </c>
      <c r="Y203">
        <f t="shared" si="434"/>
        <v>5</v>
      </c>
      <c r="Z203">
        <f t="shared" si="435"/>
        <v>12</v>
      </c>
    </row>
    <row r="204" spans="1:26" x14ac:dyDescent="0.4">
      <c r="C204" t="s">
        <v>530</v>
      </c>
      <c r="D204" t="str" cm="1">
        <f t="array" ref="D204">INDEX(FX_Input,$R204,$Y204*D$5+$Z204)</f>
        <v>Select Pet Stock</v>
      </c>
      <c r="E204" t="str" cm="1">
        <f t="array" ref="E204">INDEX(FX_Input,$R204,$Y204*E$5+$Z204)</f>
        <v>Select Pet Stock</v>
      </c>
      <c r="F204" t="str" cm="1">
        <f t="array" ref="F204">INDEX(FX_Input,$R204,$Y204*F$5+$Z204)</f>
        <v>Select Pet Stock</v>
      </c>
      <c r="G204" t="str" cm="1">
        <f t="array" ref="G204">INDEX(FX_Input,$R204,$Y204*G$5+$Z204)</f>
        <v>Select Pet Stock</v>
      </c>
      <c r="H204" t="str" cm="1">
        <f t="array" ref="H204">INDEX(FX_Input,$R204,$Y204*H$5+$Z204)</f>
        <v>Select Pet Stock</v>
      </c>
      <c r="I204" t="str" cm="1">
        <f t="array" ref="I204">INDEX(FX_Input,$R204,$Y204*I$5+$Z204)</f>
        <v>Select Pet Stock</v>
      </c>
      <c r="J204" t="str" cm="1">
        <f t="array" ref="J204">INDEX(FX_Input,$R204,$Y204*J$5+$Z204)</f>
        <v>Select Pet Stock</v>
      </c>
      <c r="K204" t="str" cm="1">
        <f t="array" ref="K204">INDEX(FX_Input,$R204,$Y204*K$5+$Z204)</f>
        <v>Select Pet Stock</v>
      </c>
      <c r="L204" t="str" cm="1">
        <f t="array" ref="L204">INDEX(FX_Input,$R204,$Y204*L$5+$Z204)</f>
        <v>Select Pet Stock</v>
      </c>
      <c r="M204" t="str" cm="1">
        <f t="array" ref="M204">INDEX(FX_Input,$R204,$Y204*M$5+$Z204)</f>
        <v>Select Pet Stock</v>
      </c>
      <c r="N204" t="str" cm="1">
        <f t="array" ref="N204">INDEX(FX_Input,$R204,$Y204*N$5+$Z204)</f>
        <v>Select Pet Stock</v>
      </c>
      <c r="O204" t="str" cm="1">
        <f t="array" ref="O204">INDEX(FX_Input,$R204,$Y204*O$5+$Z204)</f>
        <v>Select Pet Stock</v>
      </c>
      <c r="R204">
        <f>R202</f>
        <v>29</v>
      </c>
      <c r="U204">
        <v>18</v>
      </c>
      <c r="V204">
        <f t="shared" si="436"/>
        <v>23</v>
      </c>
      <c r="W204">
        <v>1</v>
      </c>
      <c r="X204">
        <v>2</v>
      </c>
      <c r="Y204">
        <f t="shared" si="434"/>
        <v>5</v>
      </c>
      <c r="Z204">
        <f t="shared" si="435"/>
        <v>13</v>
      </c>
    </row>
    <row r="205" spans="1:26" x14ac:dyDescent="0.4">
      <c r="C205" t="s">
        <v>531</v>
      </c>
      <c r="D205" cm="1">
        <f t="array" ref="D205">INDEX(FX_Input,$R205,$Y205*D$5+$Z205)</f>
        <v>0</v>
      </c>
      <c r="E205" cm="1">
        <f t="array" ref="E205">INDEX(FX_Input,$R205,$Y205*E$5+$Z205)</f>
        <v>0</v>
      </c>
      <c r="F205" cm="1">
        <f t="array" ref="F205">INDEX(FX_Input,$R205,$Y205*F$5+$Z205)</f>
        <v>0</v>
      </c>
      <c r="G205" cm="1">
        <f t="array" ref="G205">INDEX(FX_Input,$R205,$Y205*G$5+$Z205)</f>
        <v>0</v>
      </c>
      <c r="H205" cm="1">
        <f t="array" ref="H205">INDEX(FX_Input,$R205,$Y205*H$5+$Z205)</f>
        <v>0</v>
      </c>
      <c r="I205" cm="1">
        <f t="array" ref="I205">INDEX(FX_Input,$R205,$Y205*I$5+$Z205)</f>
        <v>0</v>
      </c>
      <c r="J205" cm="1">
        <f t="array" ref="J205">INDEX(FX_Input,$R205,$Y205*J$5+$Z205)</f>
        <v>0</v>
      </c>
      <c r="K205" cm="1">
        <f t="array" ref="K205">INDEX(FX_Input,$R205,$Y205*K$5+$Z205)</f>
        <v>0</v>
      </c>
      <c r="L205" cm="1">
        <f t="array" ref="L205">INDEX(FX_Input,$R205,$Y205*L$5+$Z205)</f>
        <v>0</v>
      </c>
      <c r="M205" cm="1">
        <f t="array" ref="M205">INDEX(FX_Input,$R205,$Y205*M$5+$Z205)</f>
        <v>0</v>
      </c>
      <c r="N205" cm="1">
        <f t="array" ref="N205">INDEX(FX_Input,$R205,$Y205*N$5+$Z205)</f>
        <v>0</v>
      </c>
      <c r="O205" cm="1">
        <f t="array" ref="O205">INDEX(FX_Input,$R205,$Y205*O$5+$Z205)</f>
        <v>0</v>
      </c>
      <c r="R205">
        <f>R203</f>
        <v>30</v>
      </c>
      <c r="U205">
        <f>U204</f>
        <v>18</v>
      </c>
      <c r="V205">
        <f t="shared" si="436"/>
        <v>23</v>
      </c>
      <c r="W205">
        <v>1</v>
      </c>
      <c r="X205">
        <v>2</v>
      </c>
      <c r="Y205">
        <f t="shared" si="434"/>
        <v>5</v>
      </c>
      <c r="Z205">
        <f t="shared" si="435"/>
        <v>13</v>
      </c>
    </row>
    <row r="206" spans="1:26" x14ac:dyDescent="0.4">
      <c r="C206" t="s">
        <v>546</v>
      </c>
      <c r="D206" cm="1">
        <f t="array" ref="D206">INDEX(FX_Input,$R206,$Y206*D$5+$Z206)</f>
        <v>1</v>
      </c>
      <c r="E206" cm="1">
        <f t="array" ref="E206">INDEX(FX_Input,$R206,$Y206*E$5+$Z206)</f>
        <v>1</v>
      </c>
      <c r="F206" cm="1">
        <f t="array" ref="F206">INDEX(FX_Input,$R206,$Y206*F$5+$Z206)</f>
        <v>1</v>
      </c>
      <c r="G206" cm="1">
        <f t="array" ref="G206">INDEX(FX_Input,$R206,$Y206*G$5+$Z206)</f>
        <v>1</v>
      </c>
      <c r="H206" cm="1">
        <f t="array" ref="H206">INDEX(FX_Input,$R206,$Y206*H$5+$Z206)</f>
        <v>1</v>
      </c>
      <c r="I206" cm="1">
        <f t="array" ref="I206">INDEX(FX_Input,$R206,$Y206*I$5+$Z206)</f>
        <v>1</v>
      </c>
      <c r="J206" cm="1">
        <f t="array" ref="J206">INDEX(FX_Input,$R206,$Y206*J$5+$Z206)</f>
        <v>1</v>
      </c>
      <c r="K206" cm="1">
        <f t="array" ref="K206">INDEX(FX_Input,$R206,$Y206*K$5+$Z206)</f>
        <v>1</v>
      </c>
      <c r="L206" cm="1">
        <f t="array" ref="L206">INDEX(FX_Input,$R206,$Y206*L$5+$Z206)</f>
        <v>1</v>
      </c>
      <c r="M206" cm="1">
        <f t="array" ref="M206">INDEX(FX_Input,$R206,$Y206*M$5+$Z206)</f>
        <v>1</v>
      </c>
      <c r="N206" cm="1">
        <f t="array" ref="N206">INDEX(FX_Input,$R206,$Y206*N$5+$Z206)</f>
        <v>1</v>
      </c>
      <c r="O206" cm="1">
        <f t="array" ref="O206">INDEX(FX_Input,$R206,$Y206*O$5+$Z206)</f>
        <v>1</v>
      </c>
      <c r="R206">
        <f>R204</f>
        <v>29</v>
      </c>
      <c r="U206">
        <v>21</v>
      </c>
      <c r="V206">
        <f t="shared" si="436"/>
        <v>26</v>
      </c>
      <c r="W206">
        <v>1</v>
      </c>
      <c r="X206">
        <v>2</v>
      </c>
      <c r="Y206">
        <f t="shared" si="434"/>
        <v>5</v>
      </c>
      <c r="Z206">
        <f t="shared" si="435"/>
        <v>16</v>
      </c>
    </row>
    <row r="207" spans="1:26" x14ac:dyDescent="0.4">
      <c r="C207" t="s">
        <v>547</v>
      </c>
      <c r="D207" cm="1">
        <f t="array" ref="D207">INDEX(FX_Input,$R207,$Y207*D$5+$Z207)</f>
        <v>0</v>
      </c>
      <c r="E207" cm="1">
        <f t="array" ref="E207">INDEX(FX_Input,$R207,$Y207*E$5+$Z207)</f>
        <v>0</v>
      </c>
      <c r="F207" cm="1">
        <f t="array" ref="F207">INDEX(FX_Input,$R207,$Y207*F$5+$Z207)</f>
        <v>0</v>
      </c>
      <c r="G207" cm="1">
        <f t="array" ref="G207">INDEX(FX_Input,$R207,$Y207*G$5+$Z207)</f>
        <v>0</v>
      </c>
      <c r="H207" cm="1">
        <f t="array" ref="H207">INDEX(FX_Input,$R207,$Y207*H$5+$Z207)</f>
        <v>0</v>
      </c>
      <c r="I207" cm="1">
        <f t="array" ref="I207">INDEX(FX_Input,$R207,$Y207*I$5+$Z207)</f>
        <v>0</v>
      </c>
      <c r="J207" cm="1">
        <f t="array" ref="J207">INDEX(FX_Input,$R207,$Y207*J$5+$Z207)</f>
        <v>0</v>
      </c>
      <c r="K207" cm="1">
        <f t="array" ref="K207">INDEX(FX_Input,$R207,$Y207*K$5+$Z207)</f>
        <v>0</v>
      </c>
      <c r="L207" cm="1">
        <f t="array" ref="L207">INDEX(FX_Input,$R207,$Y207*L$5+$Z207)</f>
        <v>0</v>
      </c>
      <c r="M207" cm="1">
        <f t="array" ref="M207">INDEX(FX_Input,$R207,$Y207*M$5+$Z207)</f>
        <v>0</v>
      </c>
      <c r="N207" cm="1">
        <f t="array" ref="N207">INDEX(FX_Input,$R207,$Y207*N$5+$Z207)</f>
        <v>0</v>
      </c>
      <c r="O207" cm="1">
        <f t="array" ref="O207">INDEX(FX_Input,$R207,$Y207*O$5+$Z207)</f>
        <v>0</v>
      </c>
      <c r="R207">
        <f>R205</f>
        <v>30</v>
      </c>
      <c r="U207">
        <f>U206</f>
        <v>21</v>
      </c>
      <c r="V207">
        <f t="shared" si="436"/>
        <v>26</v>
      </c>
      <c r="W207">
        <v>1</v>
      </c>
      <c r="X207">
        <v>2</v>
      </c>
      <c r="Y207">
        <f t="shared" si="434"/>
        <v>5</v>
      </c>
      <c r="Z207">
        <f t="shared" si="435"/>
        <v>16</v>
      </c>
    </row>
    <row r="208" spans="1:26" x14ac:dyDescent="0.4">
      <c r="C208" t="s">
        <v>532</v>
      </c>
      <c r="D208">
        <f t="shared" ref="D208:O208" si="437">IFERROR(VLOOKUP(D202,Phys_Prop,2,FALSE),0)</f>
        <v>162</v>
      </c>
      <c r="E208">
        <f t="shared" si="437"/>
        <v>162</v>
      </c>
      <c r="F208">
        <f t="shared" si="437"/>
        <v>162</v>
      </c>
      <c r="G208">
        <f t="shared" si="437"/>
        <v>162</v>
      </c>
      <c r="H208">
        <f t="shared" si="437"/>
        <v>162</v>
      </c>
      <c r="I208">
        <f t="shared" si="437"/>
        <v>162</v>
      </c>
      <c r="J208">
        <f t="shared" si="437"/>
        <v>162</v>
      </c>
      <c r="K208">
        <f t="shared" si="437"/>
        <v>162</v>
      </c>
      <c r="L208">
        <f t="shared" si="437"/>
        <v>162</v>
      </c>
      <c r="M208">
        <f t="shared" si="437"/>
        <v>162</v>
      </c>
      <c r="N208">
        <f t="shared" si="437"/>
        <v>162</v>
      </c>
      <c r="O208">
        <f t="shared" si="437"/>
        <v>162</v>
      </c>
    </row>
    <row r="209" spans="1:26" x14ac:dyDescent="0.4">
      <c r="C209" t="s">
        <v>533</v>
      </c>
      <c r="D209">
        <f t="shared" ref="D209:O209" si="438">IFERROR(VLOOKUP(D203,Phys_Prop,2,FALSE),0)</f>
        <v>0</v>
      </c>
      <c r="E209">
        <f t="shared" si="438"/>
        <v>0</v>
      </c>
      <c r="F209">
        <f t="shared" si="438"/>
        <v>0</v>
      </c>
      <c r="G209">
        <f t="shared" si="438"/>
        <v>0</v>
      </c>
      <c r="H209">
        <f t="shared" si="438"/>
        <v>0</v>
      </c>
      <c r="I209">
        <f t="shared" si="438"/>
        <v>0</v>
      </c>
      <c r="J209">
        <f t="shared" si="438"/>
        <v>0</v>
      </c>
      <c r="K209">
        <f t="shared" si="438"/>
        <v>0</v>
      </c>
      <c r="L209">
        <f t="shared" si="438"/>
        <v>0</v>
      </c>
      <c r="M209">
        <f t="shared" si="438"/>
        <v>0</v>
      </c>
      <c r="N209">
        <f t="shared" si="438"/>
        <v>0</v>
      </c>
      <c r="O209">
        <f t="shared" si="438"/>
        <v>0</v>
      </c>
    </row>
    <row r="210" spans="1:26" x14ac:dyDescent="0.4">
      <c r="C210" t="s">
        <v>544</v>
      </c>
      <c r="D210">
        <f>IFERROR(IFERROR(D208/D206+D209/D207,D208/D206),0)</f>
        <v>162</v>
      </c>
      <c r="E210">
        <f t="shared" ref="E210" si="439">IFERROR(IFERROR(E208/E206+E209/E207,E208/E206),0)</f>
        <v>162</v>
      </c>
      <c r="F210">
        <f t="shared" ref="F210" si="440">IFERROR(IFERROR(F208/F206+F209/F207,F208/F206),0)</f>
        <v>162</v>
      </c>
      <c r="G210">
        <f t="shared" ref="G210" si="441">IFERROR(IFERROR(G208/G206+G209/G207,G208/G206),0)</f>
        <v>162</v>
      </c>
      <c r="H210">
        <f t="shared" ref="H210" si="442">IFERROR(IFERROR(H208/H206+H209/H207,H208/H206),0)</f>
        <v>162</v>
      </c>
      <c r="I210">
        <f t="shared" ref="I210" si="443">IFERROR(IFERROR(I208/I206+I209/I207,I208/I206),0)</f>
        <v>162</v>
      </c>
      <c r="J210">
        <f t="shared" ref="J210" si="444">IFERROR(IFERROR(J208/J206+J209/J207,J208/J206),0)</f>
        <v>162</v>
      </c>
      <c r="K210">
        <f t="shared" ref="K210" si="445">IFERROR(IFERROR(K208/K206+K209/K207,K208/K206),0)</f>
        <v>162</v>
      </c>
      <c r="L210">
        <f t="shared" ref="L210" si="446">IFERROR(IFERROR(L208/L206+L209/L207,L208/L206),0)</f>
        <v>162</v>
      </c>
      <c r="M210">
        <f t="shared" ref="M210" si="447">IFERROR(IFERROR(M208/M206+M209/M207,M208/M206),0)</f>
        <v>162</v>
      </c>
      <c r="N210">
        <f t="shared" ref="N210" si="448">IFERROR(IFERROR(N208/N206+N209/N207,N208/N206),0)</f>
        <v>162</v>
      </c>
      <c r="O210">
        <f t="shared" ref="O210" si="449">IFERROR(IFERROR(O208/O206+O209/O207,O208/O206),0)</f>
        <v>162</v>
      </c>
    </row>
    <row r="211" spans="1:26" x14ac:dyDescent="0.4">
      <c r="C211" t="s">
        <v>539</v>
      </c>
      <c r="D211">
        <f>IFERROR((D206/D208)*D210,1)</f>
        <v>1</v>
      </c>
      <c r="E211">
        <f t="shared" ref="E211" si="450">IFERROR((E206/E208)*E210,1)</f>
        <v>1</v>
      </c>
      <c r="F211">
        <f t="shared" ref="F211" si="451">IFERROR((F206/F208)*F210,1)</f>
        <v>1</v>
      </c>
      <c r="G211">
        <f t="shared" ref="G211" si="452">IFERROR((G206/G208)*G210,1)</f>
        <v>1</v>
      </c>
      <c r="H211">
        <f t="shared" ref="H211" si="453">IFERROR((H206/H208)*H210,1)</f>
        <v>1</v>
      </c>
      <c r="I211">
        <f t="shared" ref="I211" si="454">IFERROR((I206/I208)*I210,1)</f>
        <v>1</v>
      </c>
      <c r="J211">
        <f t="shared" ref="J211" si="455">IFERROR((J206/J208)*J210,1)</f>
        <v>1</v>
      </c>
      <c r="K211">
        <f t="shared" ref="K211" si="456">IFERROR((K206/K208)*K210,1)</f>
        <v>1</v>
      </c>
      <c r="L211">
        <f t="shared" ref="L211" si="457">IFERROR((L206/L208)*L210,1)</f>
        <v>1</v>
      </c>
      <c r="M211">
        <f t="shared" ref="M211" si="458">IFERROR((M206/M208)*M210,1)</f>
        <v>1</v>
      </c>
      <c r="N211">
        <f t="shared" ref="N211" si="459">IFERROR((N206/N208)*N210,1)</f>
        <v>1</v>
      </c>
      <c r="O211">
        <f t="shared" ref="O211" si="460">IFERROR((O206/O208)*O210,1)</f>
        <v>1</v>
      </c>
    </row>
    <row r="212" spans="1:26" x14ac:dyDescent="0.4">
      <c r="C212" t="s">
        <v>540</v>
      </c>
      <c r="D212">
        <f>IFERROR((D207/D209)*D210,0)</f>
        <v>0</v>
      </c>
      <c r="E212">
        <f t="shared" ref="E212:O212" si="461">IFERROR((E207/E209)*E210,0)</f>
        <v>0</v>
      </c>
      <c r="F212">
        <f t="shared" si="461"/>
        <v>0</v>
      </c>
      <c r="G212">
        <f t="shared" si="461"/>
        <v>0</v>
      </c>
      <c r="H212">
        <f t="shared" si="461"/>
        <v>0</v>
      </c>
      <c r="I212">
        <f t="shared" si="461"/>
        <v>0</v>
      </c>
      <c r="J212">
        <f t="shared" si="461"/>
        <v>0</v>
      </c>
      <c r="K212">
        <f t="shared" si="461"/>
        <v>0</v>
      </c>
      <c r="L212">
        <f t="shared" si="461"/>
        <v>0</v>
      </c>
      <c r="M212">
        <f t="shared" si="461"/>
        <v>0</v>
      </c>
      <c r="N212">
        <f t="shared" si="461"/>
        <v>0</v>
      </c>
      <c r="O212">
        <f t="shared" si="461"/>
        <v>0</v>
      </c>
    </row>
    <row r="213" spans="1:26" x14ac:dyDescent="0.4">
      <c r="C213" s="21" t="s">
        <v>534</v>
      </c>
      <c r="D213">
        <f t="shared" ref="D213:O213" si="462">IFERROR(VLOOKUP(D202,Phys_Prop,4,FALSE),0)</f>
        <v>7</v>
      </c>
      <c r="E213">
        <f t="shared" si="462"/>
        <v>7</v>
      </c>
      <c r="F213">
        <f t="shared" si="462"/>
        <v>7</v>
      </c>
      <c r="G213">
        <f t="shared" si="462"/>
        <v>7</v>
      </c>
      <c r="H213">
        <f t="shared" si="462"/>
        <v>7</v>
      </c>
      <c r="I213">
        <f t="shared" si="462"/>
        <v>7</v>
      </c>
      <c r="J213">
        <f t="shared" si="462"/>
        <v>7</v>
      </c>
      <c r="K213">
        <f t="shared" si="462"/>
        <v>7</v>
      </c>
      <c r="L213">
        <f t="shared" si="462"/>
        <v>7</v>
      </c>
      <c r="M213">
        <f t="shared" si="462"/>
        <v>7</v>
      </c>
      <c r="N213">
        <f t="shared" si="462"/>
        <v>7</v>
      </c>
      <c r="O213">
        <f t="shared" si="462"/>
        <v>7</v>
      </c>
    </row>
    <row r="214" spans="1:26" x14ac:dyDescent="0.4">
      <c r="C214" s="21" t="s">
        <v>535</v>
      </c>
      <c r="D214">
        <f t="shared" ref="D214:O214" si="463">IFERROR(VLOOKUP(D203,Phys_Prop,4,FALSE),0)</f>
        <v>0</v>
      </c>
      <c r="E214">
        <f t="shared" si="463"/>
        <v>0</v>
      </c>
      <c r="F214">
        <f t="shared" si="463"/>
        <v>0</v>
      </c>
      <c r="G214">
        <f t="shared" si="463"/>
        <v>0</v>
      </c>
      <c r="H214">
        <f t="shared" si="463"/>
        <v>0</v>
      </c>
      <c r="I214">
        <f t="shared" si="463"/>
        <v>0</v>
      </c>
      <c r="J214">
        <f t="shared" si="463"/>
        <v>0</v>
      </c>
      <c r="K214">
        <f t="shared" si="463"/>
        <v>0</v>
      </c>
      <c r="L214">
        <f t="shared" si="463"/>
        <v>0</v>
      </c>
      <c r="M214">
        <f t="shared" si="463"/>
        <v>0</v>
      </c>
      <c r="N214">
        <f t="shared" si="463"/>
        <v>0</v>
      </c>
      <c r="O214">
        <f t="shared" si="463"/>
        <v>0</v>
      </c>
    </row>
    <row r="215" spans="1:26" x14ac:dyDescent="0.4">
      <c r="A215" s="11"/>
      <c r="B215" s="11"/>
      <c r="C215" s="62" t="s">
        <v>536</v>
      </c>
      <c r="D215" s="11">
        <f>IFERROR(1/(D211/D213+D212/D214),D213)</f>
        <v>7</v>
      </c>
      <c r="E215" s="11">
        <f t="shared" ref="E215:O215" si="464">IFERROR(1/(E211/E213+E212/E214),E213)</f>
        <v>7</v>
      </c>
      <c r="F215" s="11">
        <f t="shared" si="464"/>
        <v>7</v>
      </c>
      <c r="G215" s="11">
        <f t="shared" si="464"/>
        <v>7</v>
      </c>
      <c r="H215" s="11">
        <f t="shared" si="464"/>
        <v>7</v>
      </c>
      <c r="I215" s="11">
        <f t="shared" si="464"/>
        <v>7</v>
      </c>
      <c r="J215" s="11">
        <f t="shared" si="464"/>
        <v>7</v>
      </c>
      <c r="K215" s="11">
        <f t="shared" si="464"/>
        <v>7</v>
      </c>
      <c r="L215" s="11">
        <f t="shared" si="464"/>
        <v>7</v>
      </c>
      <c r="M215" s="11">
        <f t="shared" si="464"/>
        <v>7</v>
      </c>
      <c r="N215" s="11">
        <f t="shared" si="464"/>
        <v>7</v>
      </c>
      <c r="O215" s="11">
        <f t="shared" si="464"/>
        <v>7</v>
      </c>
      <c r="P215" s="11"/>
      <c r="Q215" s="11"/>
      <c r="R215" s="11"/>
      <c r="S215" s="11"/>
      <c r="T215" s="11"/>
      <c r="U215" s="11"/>
      <c r="V215" s="11"/>
      <c r="W215" s="11"/>
      <c r="X215" s="11"/>
      <c r="Y215" s="11"/>
      <c r="Z215" s="11"/>
    </row>
    <row r="216" spans="1:26" x14ac:dyDescent="0.4">
      <c r="A216" t="str" cm="1">
        <f t="array" ref="A216">INDEX(FX_Input,R216,S216)</f>
        <v>FX - 16</v>
      </c>
      <c r="B216" t="str" cm="1">
        <f t="array" ref="B216">INDEX(FX_Input,R216,T216)</f>
        <v>Portland</v>
      </c>
      <c r="C216" t="s">
        <v>528</v>
      </c>
      <c r="D216" t="str" cm="1">
        <f t="array" ref="D216">INDEX(FX_Input,$R216,$Y216*D$5+$Z216)</f>
        <v>Jet kerosene</v>
      </c>
      <c r="E216" t="str" cm="1">
        <f t="array" ref="E216">INDEX(FX_Input,$R216,$Y216*E$5+$Z216)</f>
        <v>Jet kerosene</v>
      </c>
      <c r="F216" t="str" cm="1">
        <f t="array" ref="F216">INDEX(FX_Input,$R216,$Y216*F$5+$Z216)</f>
        <v>Jet kerosene</v>
      </c>
      <c r="G216" t="str" cm="1">
        <f t="array" ref="G216">INDEX(FX_Input,$R216,$Y216*G$5+$Z216)</f>
        <v>Jet kerosene</v>
      </c>
      <c r="H216" t="str" cm="1">
        <f t="array" ref="H216">INDEX(FX_Input,$R216,$Y216*H$5+$Z216)</f>
        <v>Jet kerosene</v>
      </c>
      <c r="I216" t="str" cm="1">
        <f t="array" ref="I216">INDEX(FX_Input,$R216,$Y216*I$5+$Z216)</f>
        <v>Jet kerosene</v>
      </c>
      <c r="J216" t="str" cm="1">
        <f t="array" ref="J216">INDEX(FX_Input,$R216,$Y216*J$5+$Z216)</f>
        <v>Jet kerosene</v>
      </c>
      <c r="K216" t="str" cm="1">
        <f t="array" ref="K216">INDEX(FX_Input,$R216,$Y216*K$5+$Z216)</f>
        <v>Jet kerosene</v>
      </c>
      <c r="L216" t="str" cm="1">
        <f t="array" ref="L216">INDEX(FX_Input,$R216,$Y216*L$5+$Z216)</f>
        <v>Jet kerosene</v>
      </c>
      <c r="M216" t="str" cm="1">
        <f t="array" ref="M216">INDEX(FX_Input,$R216,$Y216*M$5+$Z216)</f>
        <v>Jet kerosene</v>
      </c>
      <c r="N216" t="str" cm="1">
        <f t="array" ref="N216">INDEX(FX_Input,$R216,$Y216*N$5+$Z216)</f>
        <v>Jet kerosene</v>
      </c>
      <c r="O216" t="str" cm="1">
        <f t="array" ref="O216">INDEX(FX_Input,$R216,$Y216*O$5+$Z216)</f>
        <v>Jet kerosene</v>
      </c>
      <c r="R216">
        <f>R202+2</f>
        <v>31</v>
      </c>
      <c r="S216">
        <v>1</v>
      </c>
      <c r="T216">
        <v>3</v>
      </c>
      <c r="U216">
        <v>17</v>
      </c>
      <c r="V216">
        <f>U216+5</f>
        <v>22</v>
      </c>
      <c r="W216">
        <v>1</v>
      </c>
      <c r="X216">
        <v>2</v>
      </c>
      <c r="Y216">
        <f t="shared" ref="Y216:Y221" si="465">(V216-U216)/(X216-W216)</f>
        <v>5</v>
      </c>
      <c r="Z216">
        <f t="shared" ref="Z216:Z221" si="466">U216-Y216*W216</f>
        <v>12</v>
      </c>
    </row>
    <row r="217" spans="1:26" x14ac:dyDescent="0.4">
      <c r="C217" t="s">
        <v>529</v>
      </c>
      <c r="D217" cm="1">
        <f t="array" ref="D217">INDEX(FX_Input,$R217,$Y217*D$5+$Z217)</f>
        <v>0</v>
      </c>
      <c r="E217" cm="1">
        <f t="array" ref="E217">INDEX(FX_Input,$R217,$Y217*E$5+$Z217)</f>
        <v>0</v>
      </c>
      <c r="F217" cm="1">
        <f t="array" ref="F217">INDEX(FX_Input,$R217,$Y217*F$5+$Z217)</f>
        <v>0</v>
      </c>
      <c r="G217" cm="1">
        <f t="array" ref="G217">INDEX(FX_Input,$R217,$Y217*G$5+$Z217)</f>
        <v>0</v>
      </c>
      <c r="H217" cm="1">
        <f t="array" ref="H217">INDEX(FX_Input,$R217,$Y217*H$5+$Z217)</f>
        <v>0</v>
      </c>
      <c r="I217" cm="1">
        <f t="array" ref="I217">INDEX(FX_Input,$R217,$Y217*I$5+$Z217)</f>
        <v>0</v>
      </c>
      <c r="J217" cm="1">
        <f t="array" ref="J217">INDEX(FX_Input,$R217,$Y217*J$5+$Z217)</f>
        <v>0</v>
      </c>
      <c r="K217" cm="1">
        <f t="array" ref="K217">INDEX(FX_Input,$R217,$Y217*K$5+$Z217)</f>
        <v>0</v>
      </c>
      <c r="L217" cm="1">
        <f t="array" ref="L217">INDEX(FX_Input,$R217,$Y217*L$5+$Z217)</f>
        <v>0</v>
      </c>
      <c r="M217" cm="1">
        <f t="array" ref="M217">INDEX(FX_Input,$R217,$Y217*M$5+$Z217)</f>
        <v>0</v>
      </c>
      <c r="N217" cm="1">
        <f t="array" ref="N217">INDEX(FX_Input,$R217,$Y217*N$5+$Z217)</f>
        <v>0</v>
      </c>
      <c r="O217" cm="1">
        <f t="array" ref="O217">INDEX(FX_Input,$R217,$Y217*O$5+$Z217)</f>
        <v>0</v>
      </c>
      <c r="R217">
        <f>R216+1</f>
        <v>32</v>
      </c>
      <c r="U217">
        <f>U216</f>
        <v>17</v>
      </c>
      <c r="V217">
        <f t="shared" ref="V217:V221" si="467">U217+5</f>
        <v>22</v>
      </c>
      <c r="W217">
        <v>1</v>
      </c>
      <c r="X217">
        <v>2</v>
      </c>
      <c r="Y217">
        <f t="shared" si="465"/>
        <v>5</v>
      </c>
      <c r="Z217">
        <f t="shared" si="466"/>
        <v>12</v>
      </c>
    </row>
    <row r="218" spans="1:26" x14ac:dyDescent="0.4">
      <c r="C218" t="s">
        <v>530</v>
      </c>
      <c r="D218" t="str" cm="1">
        <f t="array" ref="D218">INDEX(FX_Input,$R218,$Y218*D$5+$Z218)</f>
        <v>Select Pet Stock</v>
      </c>
      <c r="E218" t="str" cm="1">
        <f t="array" ref="E218">INDEX(FX_Input,$R218,$Y218*E$5+$Z218)</f>
        <v>Select Pet Stock</v>
      </c>
      <c r="F218" t="str" cm="1">
        <f t="array" ref="F218">INDEX(FX_Input,$R218,$Y218*F$5+$Z218)</f>
        <v>Select Pet Stock</v>
      </c>
      <c r="G218" t="str" cm="1">
        <f t="array" ref="G218">INDEX(FX_Input,$R218,$Y218*G$5+$Z218)</f>
        <v>Select Pet Stock</v>
      </c>
      <c r="H218" t="str" cm="1">
        <f t="array" ref="H218">INDEX(FX_Input,$R218,$Y218*H$5+$Z218)</f>
        <v>Select Pet Stock</v>
      </c>
      <c r="I218" t="str" cm="1">
        <f t="array" ref="I218">INDEX(FX_Input,$R218,$Y218*I$5+$Z218)</f>
        <v>Select Pet Stock</v>
      </c>
      <c r="J218" t="str" cm="1">
        <f t="array" ref="J218">INDEX(FX_Input,$R218,$Y218*J$5+$Z218)</f>
        <v>Select Pet Stock</v>
      </c>
      <c r="K218" t="str" cm="1">
        <f t="array" ref="K218">INDEX(FX_Input,$R218,$Y218*K$5+$Z218)</f>
        <v>Select Pet Stock</v>
      </c>
      <c r="L218" t="str" cm="1">
        <f t="array" ref="L218">INDEX(FX_Input,$R218,$Y218*L$5+$Z218)</f>
        <v>Select Pet Stock</v>
      </c>
      <c r="M218" t="str" cm="1">
        <f t="array" ref="M218">INDEX(FX_Input,$R218,$Y218*M$5+$Z218)</f>
        <v>Select Pet Stock</v>
      </c>
      <c r="N218" t="str" cm="1">
        <f t="array" ref="N218">INDEX(FX_Input,$R218,$Y218*N$5+$Z218)</f>
        <v>Select Pet Stock</v>
      </c>
      <c r="O218" t="str" cm="1">
        <f t="array" ref="O218">INDEX(FX_Input,$R218,$Y218*O$5+$Z218)</f>
        <v>Select Pet Stock</v>
      </c>
      <c r="R218">
        <f>R216</f>
        <v>31</v>
      </c>
      <c r="U218">
        <v>18</v>
      </c>
      <c r="V218">
        <f t="shared" si="467"/>
        <v>23</v>
      </c>
      <c r="W218">
        <v>1</v>
      </c>
      <c r="X218">
        <v>2</v>
      </c>
      <c r="Y218">
        <f t="shared" si="465"/>
        <v>5</v>
      </c>
      <c r="Z218">
        <f t="shared" si="466"/>
        <v>13</v>
      </c>
    </row>
    <row r="219" spans="1:26" x14ac:dyDescent="0.4">
      <c r="C219" t="s">
        <v>531</v>
      </c>
      <c r="D219" cm="1">
        <f t="array" ref="D219">INDEX(FX_Input,$R219,$Y219*D$5+$Z219)</f>
        <v>0</v>
      </c>
      <c r="E219" cm="1">
        <f t="array" ref="E219">INDEX(FX_Input,$R219,$Y219*E$5+$Z219)</f>
        <v>0</v>
      </c>
      <c r="F219" cm="1">
        <f t="array" ref="F219">INDEX(FX_Input,$R219,$Y219*F$5+$Z219)</f>
        <v>0</v>
      </c>
      <c r="G219" cm="1">
        <f t="array" ref="G219">INDEX(FX_Input,$R219,$Y219*G$5+$Z219)</f>
        <v>0</v>
      </c>
      <c r="H219" cm="1">
        <f t="array" ref="H219">INDEX(FX_Input,$R219,$Y219*H$5+$Z219)</f>
        <v>0</v>
      </c>
      <c r="I219" cm="1">
        <f t="array" ref="I219">INDEX(FX_Input,$R219,$Y219*I$5+$Z219)</f>
        <v>0</v>
      </c>
      <c r="J219" cm="1">
        <f t="array" ref="J219">INDEX(FX_Input,$R219,$Y219*J$5+$Z219)</f>
        <v>0</v>
      </c>
      <c r="K219" cm="1">
        <f t="array" ref="K219">INDEX(FX_Input,$R219,$Y219*K$5+$Z219)</f>
        <v>0</v>
      </c>
      <c r="L219" cm="1">
        <f t="array" ref="L219">INDEX(FX_Input,$R219,$Y219*L$5+$Z219)</f>
        <v>0</v>
      </c>
      <c r="M219" cm="1">
        <f t="array" ref="M219">INDEX(FX_Input,$R219,$Y219*M$5+$Z219)</f>
        <v>0</v>
      </c>
      <c r="N219" cm="1">
        <f t="array" ref="N219">INDEX(FX_Input,$R219,$Y219*N$5+$Z219)</f>
        <v>0</v>
      </c>
      <c r="O219" cm="1">
        <f t="array" ref="O219">INDEX(FX_Input,$R219,$Y219*O$5+$Z219)</f>
        <v>0</v>
      </c>
      <c r="R219">
        <f>R217</f>
        <v>32</v>
      </c>
      <c r="U219">
        <f>U218</f>
        <v>18</v>
      </c>
      <c r="V219">
        <f t="shared" si="467"/>
        <v>23</v>
      </c>
      <c r="W219">
        <v>1</v>
      </c>
      <c r="X219">
        <v>2</v>
      </c>
      <c r="Y219">
        <f t="shared" si="465"/>
        <v>5</v>
      </c>
      <c r="Z219">
        <f t="shared" si="466"/>
        <v>13</v>
      </c>
    </row>
    <row r="220" spans="1:26" x14ac:dyDescent="0.4">
      <c r="C220" t="s">
        <v>546</v>
      </c>
      <c r="D220" cm="1">
        <f t="array" ref="D220">INDEX(FX_Input,$R220,$Y220*D$5+$Z220)</f>
        <v>1</v>
      </c>
      <c r="E220" cm="1">
        <f t="array" ref="E220">INDEX(FX_Input,$R220,$Y220*E$5+$Z220)</f>
        <v>1</v>
      </c>
      <c r="F220" cm="1">
        <f t="array" ref="F220">INDEX(FX_Input,$R220,$Y220*F$5+$Z220)</f>
        <v>1</v>
      </c>
      <c r="G220" cm="1">
        <f t="array" ref="G220">INDEX(FX_Input,$R220,$Y220*G$5+$Z220)</f>
        <v>1</v>
      </c>
      <c r="H220" cm="1">
        <f t="array" ref="H220">INDEX(FX_Input,$R220,$Y220*H$5+$Z220)</f>
        <v>1</v>
      </c>
      <c r="I220" cm="1">
        <f t="array" ref="I220">INDEX(FX_Input,$R220,$Y220*I$5+$Z220)</f>
        <v>1</v>
      </c>
      <c r="J220" cm="1">
        <f t="array" ref="J220">INDEX(FX_Input,$R220,$Y220*J$5+$Z220)</f>
        <v>1</v>
      </c>
      <c r="K220" cm="1">
        <f t="array" ref="K220">INDEX(FX_Input,$R220,$Y220*K$5+$Z220)</f>
        <v>1</v>
      </c>
      <c r="L220" cm="1">
        <f t="array" ref="L220">INDEX(FX_Input,$R220,$Y220*L$5+$Z220)</f>
        <v>1</v>
      </c>
      <c r="M220" cm="1">
        <f t="array" ref="M220">INDEX(FX_Input,$R220,$Y220*M$5+$Z220)</f>
        <v>1</v>
      </c>
      <c r="N220" cm="1">
        <f t="array" ref="N220">INDEX(FX_Input,$R220,$Y220*N$5+$Z220)</f>
        <v>1</v>
      </c>
      <c r="O220" cm="1">
        <f t="array" ref="O220">INDEX(FX_Input,$R220,$Y220*O$5+$Z220)</f>
        <v>1</v>
      </c>
      <c r="R220">
        <f>R218</f>
        <v>31</v>
      </c>
      <c r="U220">
        <v>21</v>
      </c>
      <c r="V220">
        <f t="shared" si="467"/>
        <v>26</v>
      </c>
      <c r="W220">
        <v>1</v>
      </c>
      <c r="X220">
        <v>2</v>
      </c>
      <c r="Y220">
        <f t="shared" si="465"/>
        <v>5</v>
      </c>
      <c r="Z220">
        <f t="shared" si="466"/>
        <v>16</v>
      </c>
    </row>
    <row r="221" spans="1:26" x14ac:dyDescent="0.4">
      <c r="C221" t="s">
        <v>547</v>
      </c>
      <c r="D221" cm="1">
        <f t="array" ref="D221">INDEX(FX_Input,$R221,$Y221*D$5+$Z221)</f>
        <v>0</v>
      </c>
      <c r="E221" cm="1">
        <f t="array" ref="E221">INDEX(FX_Input,$R221,$Y221*E$5+$Z221)</f>
        <v>0</v>
      </c>
      <c r="F221" cm="1">
        <f t="array" ref="F221">INDEX(FX_Input,$R221,$Y221*F$5+$Z221)</f>
        <v>0</v>
      </c>
      <c r="G221" cm="1">
        <f t="array" ref="G221">INDEX(FX_Input,$R221,$Y221*G$5+$Z221)</f>
        <v>0</v>
      </c>
      <c r="H221" cm="1">
        <f t="array" ref="H221">INDEX(FX_Input,$R221,$Y221*H$5+$Z221)</f>
        <v>0</v>
      </c>
      <c r="I221" cm="1">
        <f t="array" ref="I221">INDEX(FX_Input,$R221,$Y221*I$5+$Z221)</f>
        <v>0</v>
      </c>
      <c r="J221" cm="1">
        <f t="array" ref="J221">INDEX(FX_Input,$R221,$Y221*J$5+$Z221)</f>
        <v>0</v>
      </c>
      <c r="K221" cm="1">
        <f t="array" ref="K221">INDEX(FX_Input,$R221,$Y221*K$5+$Z221)</f>
        <v>0</v>
      </c>
      <c r="L221" cm="1">
        <f t="array" ref="L221">INDEX(FX_Input,$R221,$Y221*L$5+$Z221)</f>
        <v>0</v>
      </c>
      <c r="M221" cm="1">
        <f t="array" ref="M221">INDEX(FX_Input,$R221,$Y221*M$5+$Z221)</f>
        <v>0</v>
      </c>
      <c r="N221" cm="1">
        <f t="array" ref="N221">INDEX(FX_Input,$R221,$Y221*N$5+$Z221)</f>
        <v>0</v>
      </c>
      <c r="O221" cm="1">
        <f t="array" ref="O221">INDEX(FX_Input,$R221,$Y221*O$5+$Z221)</f>
        <v>0</v>
      </c>
      <c r="R221">
        <f>R219</f>
        <v>32</v>
      </c>
      <c r="U221">
        <f>U220</f>
        <v>21</v>
      </c>
      <c r="V221">
        <f t="shared" si="467"/>
        <v>26</v>
      </c>
      <c r="W221">
        <v>1</v>
      </c>
      <c r="X221">
        <v>2</v>
      </c>
      <c r="Y221">
        <f t="shared" si="465"/>
        <v>5</v>
      </c>
      <c r="Z221">
        <f t="shared" si="466"/>
        <v>16</v>
      </c>
    </row>
    <row r="222" spans="1:26" x14ac:dyDescent="0.4">
      <c r="C222" t="s">
        <v>532</v>
      </c>
      <c r="D222">
        <f t="shared" ref="D222:O222" si="468">IFERROR(VLOOKUP(D216,Phys_Prop,2,FALSE),0)</f>
        <v>162</v>
      </c>
      <c r="E222">
        <f t="shared" si="468"/>
        <v>162</v>
      </c>
      <c r="F222">
        <f t="shared" si="468"/>
        <v>162</v>
      </c>
      <c r="G222">
        <f t="shared" si="468"/>
        <v>162</v>
      </c>
      <c r="H222">
        <f t="shared" si="468"/>
        <v>162</v>
      </c>
      <c r="I222">
        <f t="shared" si="468"/>
        <v>162</v>
      </c>
      <c r="J222">
        <f t="shared" si="468"/>
        <v>162</v>
      </c>
      <c r="K222">
        <f t="shared" si="468"/>
        <v>162</v>
      </c>
      <c r="L222">
        <f t="shared" si="468"/>
        <v>162</v>
      </c>
      <c r="M222">
        <f t="shared" si="468"/>
        <v>162</v>
      </c>
      <c r="N222">
        <f t="shared" si="468"/>
        <v>162</v>
      </c>
      <c r="O222">
        <f t="shared" si="468"/>
        <v>162</v>
      </c>
    </row>
    <row r="223" spans="1:26" x14ac:dyDescent="0.4">
      <c r="C223" t="s">
        <v>533</v>
      </c>
      <c r="D223">
        <f t="shared" ref="D223:O223" si="469">IFERROR(VLOOKUP(D217,Phys_Prop,2,FALSE),0)</f>
        <v>0</v>
      </c>
      <c r="E223">
        <f t="shared" si="469"/>
        <v>0</v>
      </c>
      <c r="F223">
        <f t="shared" si="469"/>
        <v>0</v>
      </c>
      <c r="G223">
        <f t="shared" si="469"/>
        <v>0</v>
      </c>
      <c r="H223">
        <f t="shared" si="469"/>
        <v>0</v>
      </c>
      <c r="I223">
        <f t="shared" si="469"/>
        <v>0</v>
      </c>
      <c r="J223">
        <f t="shared" si="469"/>
        <v>0</v>
      </c>
      <c r="K223">
        <f t="shared" si="469"/>
        <v>0</v>
      </c>
      <c r="L223">
        <f t="shared" si="469"/>
        <v>0</v>
      </c>
      <c r="M223">
        <f t="shared" si="469"/>
        <v>0</v>
      </c>
      <c r="N223">
        <f t="shared" si="469"/>
        <v>0</v>
      </c>
      <c r="O223">
        <f t="shared" si="469"/>
        <v>0</v>
      </c>
    </row>
    <row r="224" spans="1:26" x14ac:dyDescent="0.4">
      <c r="C224" t="s">
        <v>544</v>
      </c>
      <c r="D224">
        <f>IFERROR(IFERROR(D222/D220+D223/D221,D222/D220),0)</f>
        <v>162</v>
      </c>
      <c r="E224">
        <f t="shared" ref="E224" si="470">IFERROR(IFERROR(E222/E220+E223/E221,E222/E220),0)</f>
        <v>162</v>
      </c>
      <c r="F224">
        <f t="shared" ref="F224" si="471">IFERROR(IFERROR(F222/F220+F223/F221,F222/F220),0)</f>
        <v>162</v>
      </c>
      <c r="G224">
        <f t="shared" ref="G224" si="472">IFERROR(IFERROR(G222/G220+G223/G221,G222/G220),0)</f>
        <v>162</v>
      </c>
      <c r="H224">
        <f t="shared" ref="H224" si="473">IFERROR(IFERROR(H222/H220+H223/H221,H222/H220),0)</f>
        <v>162</v>
      </c>
      <c r="I224">
        <f t="shared" ref="I224" si="474">IFERROR(IFERROR(I222/I220+I223/I221,I222/I220),0)</f>
        <v>162</v>
      </c>
      <c r="J224">
        <f t="shared" ref="J224" si="475">IFERROR(IFERROR(J222/J220+J223/J221,J222/J220),0)</f>
        <v>162</v>
      </c>
      <c r="K224">
        <f t="shared" ref="K224" si="476">IFERROR(IFERROR(K222/K220+K223/K221,K222/K220),0)</f>
        <v>162</v>
      </c>
      <c r="L224">
        <f t="shared" ref="L224" si="477">IFERROR(IFERROR(L222/L220+L223/L221,L222/L220),0)</f>
        <v>162</v>
      </c>
      <c r="M224">
        <f t="shared" ref="M224" si="478">IFERROR(IFERROR(M222/M220+M223/M221,M222/M220),0)</f>
        <v>162</v>
      </c>
      <c r="N224">
        <f t="shared" ref="N224" si="479">IFERROR(IFERROR(N222/N220+N223/N221,N222/N220),0)</f>
        <v>162</v>
      </c>
      <c r="O224">
        <f t="shared" ref="O224" si="480">IFERROR(IFERROR(O222/O220+O223/O221,O222/O220),0)</f>
        <v>162</v>
      </c>
    </row>
    <row r="225" spans="1:26" x14ac:dyDescent="0.4">
      <c r="C225" t="s">
        <v>539</v>
      </c>
      <c r="D225">
        <f>IFERROR((D220/D222)*D224,1)</f>
        <v>1</v>
      </c>
      <c r="E225">
        <f t="shared" ref="E225" si="481">IFERROR((E220/E222)*E224,1)</f>
        <v>1</v>
      </c>
      <c r="F225">
        <f t="shared" ref="F225" si="482">IFERROR((F220/F222)*F224,1)</f>
        <v>1</v>
      </c>
      <c r="G225">
        <f t="shared" ref="G225" si="483">IFERROR((G220/G222)*G224,1)</f>
        <v>1</v>
      </c>
      <c r="H225">
        <f t="shared" ref="H225" si="484">IFERROR((H220/H222)*H224,1)</f>
        <v>1</v>
      </c>
      <c r="I225">
        <f t="shared" ref="I225" si="485">IFERROR((I220/I222)*I224,1)</f>
        <v>1</v>
      </c>
      <c r="J225">
        <f t="shared" ref="J225" si="486">IFERROR((J220/J222)*J224,1)</f>
        <v>1</v>
      </c>
      <c r="K225">
        <f t="shared" ref="K225" si="487">IFERROR((K220/K222)*K224,1)</f>
        <v>1</v>
      </c>
      <c r="L225">
        <f t="shared" ref="L225" si="488">IFERROR((L220/L222)*L224,1)</f>
        <v>1</v>
      </c>
      <c r="M225">
        <f t="shared" ref="M225" si="489">IFERROR((M220/M222)*M224,1)</f>
        <v>1</v>
      </c>
      <c r="N225">
        <f t="shared" ref="N225" si="490">IFERROR((N220/N222)*N224,1)</f>
        <v>1</v>
      </c>
      <c r="O225">
        <f t="shared" ref="O225" si="491">IFERROR((O220/O222)*O224,1)</f>
        <v>1</v>
      </c>
    </row>
    <row r="226" spans="1:26" x14ac:dyDescent="0.4">
      <c r="C226" t="s">
        <v>540</v>
      </c>
      <c r="D226">
        <f>IFERROR((D221/D223)*D224,0)</f>
        <v>0</v>
      </c>
      <c r="E226">
        <f t="shared" ref="E226:O226" si="492">IFERROR((E221/E223)*E224,0)</f>
        <v>0</v>
      </c>
      <c r="F226">
        <f t="shared" si="492"/>
        <v>0</v>
      </c>
      <c r="G226">
        <f t="shared" si="492"/>
        <v>0</v>
      </c>
      <c r="H226">
        <f t="shared" si="492"/>
        <v>0</v>
      </c>
      <c r="I226">
        <f t="shared" si="492"/>
        <v>0</v>
      </c>
      <c r="J226">
        <f t="shared" si="492"/>
        <v>0</v>
      </c>
      <c r="K226">
        <f t="shared" si="492"/>
        <v>0</v>
      </c>
      <c r="L226">
        <f t="shared" si="492"/>
        <v>0</v>
      </c>
      <c r="M226">
        <f t="shared" si="492"/>
        <v>0</v>
      </c>
      <c r="N226">
        <f t="shared" si="492"/>
        <v>0</v>
      </c>
      <c r="O226">
        <f t="shared" si="492"/>
        <v>0</v>
      </c>
    </row>
    <row r="227" spans="1:26" x14ac:dyDescent="0.4">
      <c r="C227" s="21" t="s">
        <v>534</v>
      </c>
      <c r="D227">
        <f t="shared" ref="D227:O227" si="493">IFERROR(VLOOKUP(D216,Phys_Prop,4,FALSE),0)</f>
        <v>7</v>
      </c>
      <c r="E227">
        <f t="shared" si="493"/>
        <v>7</v>
      </c>
      <c r="F227">
        <f t="shared" si="493"/>
        <v>7</v>
      </c>
      <c r="G227">
        <f t="shared" si="493"/>
        <v>7</v>
      </c>
      <c r="H227">
        <f t="shared" si="493"/>
        <v>7</v>
      </c>
      <c r="I227">
        <f t="shared" si="493"/>
        <v>7</v>
      </c>
      <c r="J227">
        <f t="shared" si="493"/>
        <v>7</v>
      </c>
      <c r="K227">
        <f t="shared" si="493"/>
        <v>7</v>
      </c>
      <c r="L227">
        <f t="shared" si="493"/>
        <v>7</v>
      </c>
      <c r="M227">
        <f t="shared" si="493"/>
        <v>7</v>
      </c>
      <c r="N227">
        <f t="shared" si="493"/>
        <v>7</v>
      </c>
      <c r="O227">
        <f t="shared" si="493"/>
        <v>7</v>
      </c>
    </row>
    <row r="228" spans="1:26" x14ac:dyDescent="0.4">
      <c r="C228" s="21" t="s">
        <v>535</v>
      </c>
      <c r="D228">
        <f t="shared" ref="D228:O228" si="494">IFERROR(VLOOKUP(D217,Phys_Prop,4,FALSE),0)</f>
        <v>0</v>
      </c>
      <c r="E228">
        <f t="shared" si="494"/>
        <v>0</v>
      </c>
      <c r="F228">
        <f t="shared" si="494"/>
        <v>0</v>
      </c>
      <c r="G228">
        <f t="shared" si="494"/>
        <v>0</v>
      </c>
      <c r="H228">
        <f t="shared" si="494"/>
        <v>0</v>
      </c>
      <c r="I228">
        <f t="shared" si="494"/>
        <v>0</v>
      </c>
      <c r="J228">
        <f t="shared" si="494"/>
        <v>0</v>
      </c>
      <c r="K228">
        <f t="shared" si="494"/>
        <v>0</v>
      </c>
      <c r="L228">
        <f t="shared" si="494"/>
        <v>0</v>
      </c>
      <c r="M228">
        <f t="shared" si="494"/>
        <v>0</v>
      </c>
      <c r="N228">
        <f t="shared" si="494"/>
        <v>0</v>
      </c>
      <c r="O228">
        <f t="shared" si="494"/>
        <v>0</v>
      </c>
    </row>
    <row r="229" spans="1:26" x14ac:dyDescent="0.4">
      <c r="A229" s="11"/>
      <c r="B229" s="11"/>
      <c r="C229" s="62" t="s">
        <v>536</v>
      </c>
      <c r="D229" s="11">
        <f>IFERROR(1/(D225/D227+D226/D228),D227)</f>
        <v>7</v>
      </c>
      <c r="E229" s="11">
        <f t="shared" ref="E229:O229" si="495">IFERROR(1/(E225/E227+E226/E228),E227)</f>
        <v>7</v>
      </c>
      <c r="F229" s="11">
        <f t="shared" si="495"/>
        <v>7</v>
      </c>
      <c r="G229" s="11">
        <f t="shared" si="495"/>
        <v>7</v>
      </c>
      <c r="H229" s="11">
        <f t="shared" si="495"/>
        <v>7</v>
      </c>
      <c r="I229" s="11">
        <f t="shared" si="495"/>
        <v>7</v>
      </c>
      <c r="J229" s="11">
        <f t="shared" si="495"/>
        <v>7</v>
      </c>
      <c r="K229" s="11">
        <f t="shared" si="495"/>
        <v>7</v>
      </c>
      <c r="L229" s="11">
        <f t="shared" si="495"/>
        <v>7</v>
      </c>
      <c r="M229" s="11">
        <f t="shared" si="495"/>
        <v>7</v>
      </c>
      <c r="N229" s="11">
        <f t="shared" si="495"/>
        <v>7</v>
      </c>
      <c r="O229" s="11">
        <f t="shared" si="495"/>
        <v>7</v>
      </c>
      <c r="P229" s="11"/>
      <c r="Q229" s="11"/>
      <c r="R229" s="11"/>
      <c r="S229" s="11"/>
      <c r="T229" s="11"/>
      <c r="U229" s="11"/>
      <c r="V229" s="11"/>
      <c r="W229" s="11"/>
      <c r="X229" s="11"/>
      <c r="Y229" s="11"/>
      <c r="Z229" s="11"/>
    </row>
    <row r="230" spans="1:26" x14ac:dyDescent="0.4">
      <c r="A230" t="str" cm="1">
        <f t="array" ref="A230">INDEX(FX_Input,R230,S230)</f>
        <v>FX - 17</v>
      </c>
      <c r="B230" t="str" cm="1">
        <f t="array" ref="B230">INDEX(FX_Input,R230,T230)</f>
        <v>Portland</v>
      </c>
      <c r="C230" t="s">
        <v>528</v>
      </c>
      <c r="D230" t="str" cm="1">
        <f t="array" ref="D230">INDEX(FX_Input,$R230,$Y230*D$5+$Z230)</f>
        <v>Jet kerosene</v>
      </c>
      <c r="E230" t="str" cm="1">
        <f t="array" ref="E230">INDEX(FX_Input,$R230,$Y230*E$5+$Z230)</f>
        <v>Jet kerosene</v>
      </c>
      <c r="F230" t="str" cm="1">
        <f t="array" ref="F230">INDEX(FX_Input,$R230,$Y230*F$5+$Z230)</f>
        <v>Jet kerosene</v>
      </c>
      <c r="G230" t="str" cm="1">
        <f t="array" ref="G230">INDEX(FX_Input,$R230,$Y230*G$5+$Z230)</f>
        <v>Jet kerosene</v>
      </c>
      <c r="H230" t="str" cm="1">
        <f t="array" ref="H230">INDEX(FX_Input,$R230,$Y230*H$5+$Z230)</f>
        <v>Jet kerosene</v>
      </c>
      <c r="I230" t="str" cm="1">
        <f t="array" ref="I230">INDEX(FX_Input,$R230,$Y230*I$5+$Z230)</f>
        <v>Jet kerosene</v>
      </c>
      <c r="J230" t="str" cm="1">
        <f t="array" ref="J230">INDEX(FX_Input,$R230,$Y230*J$5+$Z230)</f>
        <v>Jet kerosene</v>
      </c>
      <c r="K230" t="str" cm="1">
        <f t="array" ref="K230">INDEX(FX_Input,$R230,$Y230*K$5+$Z230)</f>
        <v>Jet kerosene</v>
      </c>
      <c r="L230" t="str" cm="1">
        <f t="array" ref="L230">INDEX(FX_Input,$R230,$Y230*L$5+$Z230)</f>
        <v>Jet kerosene</v>
      </c>
      <c r="M230" t="str" cm="1">
        <f t="array" ref="M230">INDEX(FX_Input,$R230,$Y230*M$5+$Z230)</f>
        <v>Jet kerosene</v>
      </c>
      <c r="N230" t="str" cm="1">
        <f t="array" ref="N230">INDEX(FX_Input,$R230,$Y230*N$5+$Z230)</f>
        <v>Jet kerosene</v>
      </c>
      <c r="O230" t="str" cm="1">
        <f t="array" ref="O230">INDEX(FX_Input,$R230,$Y230*O$5+$Z230)</f>
        <v>Jet kerosene</v>
      </c>
      <c r="R230">
        <f>R216+2</f>
        <v>33</v>
      </c>
      <c r="S230">
        <v>1</v>
      </c>
      <c r="T230">
        <v>3</v>
      </c>
      <c r="U230">
        <v>17</v>
      </c>
      <c r="V230">
        <f>U230+5</f>
        <v>22</v>
      </c>
      <c r="W230">
        <v>1</v>
      </c>
      <c r="X230">
        <v>2</v>
      </c>
      <c r="Y230">
        <f t="shared" ref="Y230:Y235" si="496">(V230-U230)/(X230-W230)</f>
        <v>5</v>
      </c>
      <c r="Z230">
        <f t="shared" ref="Z230:Z235" si="497">U230-Y230*W230</f>
        <v>12</v>
      </c>
    </row>
    <row r="231" spans="1:26" x14ac:dyDescent="0.4">
      <c r="C231" t="s">
        <v>529</v>
      </c>
      <c r="D231" cm="1">
        <f t="array" ref="D231">INDEX(FX_Input,$R231,$Y231*D$5+$Z231)</f>
        <v>0</v>
      </c>
      <c r="E231" cm="1">
        <f t="array" ref="E231">INDEX(FX_Input,$R231,$Y231*E$5+$Z231)</f>
        <v>0</v>
      </c>
      <c r="F231" cm="1">
        <f t="array" ref="F231">INDEX(FX_Input,$R231,$Y231*F$5+$Z231)</f>
        <v>0</v>
      </c>
      <c r="G231" cm="1">
        <f t="array" ref="G231">INDEX(FX_Input,$R231,$Y231*G$5+$Z231)</f>
        <v>0</v>
      </c>
      <c r="H231" cm="1">
        <f t="array" ref="H231">INDEX(FX_Input,$R231,$Y231*H$5+$Z231)</f>
        <v>0</v>
      </c>
      <c r="I231" cm="1">
        <f t="array" ref="I231">INDEX(FX_Input,$R231,$Y231*I$5+$Z231)</f>
        <v>0</v>
      </c>
      <c r="J231" cm="1">
        <f t="array" ref="J231">INDEX(FX_Input,$R231,$Y231*J$5+$Z231)</f>
        <v>0</v>
      </c>
      <c r="K231" cm="1">
        <f t="array" ref="K231">INDEX(FX_Input,$R231,$Y231*K$5+$Z231)</f>
        <v>0</v>
      </c>
      <c r="L231" cm="1">
        <f t="array" ref="L231">INDEX(FX_Input,$R231,$Y231*L$5+$Z231)</f>
        <v>0</v>
      </c>
      <c r="M231" cm="1">
        <f t="array" ref="M231">INDEX(FX_Input,$R231,$Y231*M$5+$Z231)</f>
        <v>0</v>
      </c>
      <c r="N231" cm="1">
        <f t="array" ref="N231">INDEX(FX_Input,$R231,$Y231*N$5+$Z231)</f>
        <v>0</v>
      </c>
      <c r="O231" cm="1">
        <f t="array" ref="O231">INDEX(FX_Input,$R231,$Y231*O$5+$Z231)</f>
        <v>0</v>
      </c>
      <c r="R231">
        <f>R230+1</f>
        <v>34</v>
      </c>
      <c r="U231">
        <f>U230</f>
        <v>17</v>
      </c>
      <c r="V231">
        <f t="shared" ref="V231:V235" si="498">U231+5</f>
        <v>22</v>
      </c>
      <c r="W231">
        <v>1</v>
      </c>
      <c r="X231">
        <v>2</v>
      </c>
      <c r="Y231">
        <f t="shared" si="496"/>
        <v>5</v>
      </c>
      <c r="Z231">
        <f t="shared" si="497"/>
        <v>12</v>
      </c>
    </row>
    <row r="232" spans="1:26" x14ac:dyDescent="0.4">
      <c r="C232" t="s">
        <v>530</v>
      </c>
      <c r="D232" t="str" cm="1">
        <f t="array" ref="D232">INDEX(FX_Input,$R232,$Y232*D$5+$Z232)</f>
        <v>Select Pet Stock</v>
      </c>
      <c r="E232" t="str" cm="1">
        <f t="array" ref="E232">INDEX(FX_Input,$R232,$Y232*E$5+$Z232)</f>
        <v>Select Pet Stock</v>
      </c>
      <c r="F232" t="str" cm="1">
        <f t="array" ref="F232">INDEX(FX_Input,$R232,$Y232*F$5+$Z232)</f>
        <v>Select Pet Stock</v>
      </c>
      <c r="G232" t="str" cm="1">
        <f t="array" ref="G232">INDEX(FX_Input,$R232,$Y232*G$5+$Z232)</f>
        <v>Select Pet Stock</v>
      </c>
      <c r="H232" t="str" cm="1">
        <f t="array" ref="H232">INDEX(FX_Input,$R232,$Y232*H$5+$Z232)</f>
        <v>Select Pet Stock</v>
      </c>
      <c r="I232" t="str" cm="1">
        <f t="array" ref="I232">INDEX(FX_Input,$R232,$Y232*I$5+$Z232)</f>
        <v>Select Pet Stock</v>
      </c>
      <c r="J232" t="str" cm="1">
        <f t="array" ref="J232">INDEX(FX_Input,$R232,$Y232*J$5+$Z232)</f>
        <v>Select Pet Stock</v>
      </c>
      <c r="K232" t="str" cm="1">
        <f t="array" ref="K232">INDEX(FX_Input,$R232,$Y232*K$5+$Z232)</f>
        <v>Select Pet Stock</v>
      </c>
      <c r="L232" t="str" cm="1">
        <f t="array" ref="L232">INDEX(FX_Input,$R232,$Y232*L$5+$Z232)</f>
        <v>Select Pet Stock</v>
      </c>
      <c r="M232" t="str" cm="1">
        <f t="array" ref="M232">INDEX(FX_Input,$R232,$Y232*M$5+$Z232)</f>
        <v>Select Pet Stock</v>
      </c>
      <c r="N232" t="str" cm="1">
        <f t="array" ref="N232">INDEX(FX_Input,$R232,$Y232*N$5+$Z232)</f>
        <v>Select Pet Stock</v>
      </c>
      <c r="O232" t="str" cm="1">
        <f t="array" ref="O232">INDEX(FX_Input,$R232,$Y232*O$5+$Z232)</f>
        <v>Select Pet Stock</v>
      </c>
      <c r="R232">
        <f>R230</f>
        <v>33</v>
      </c>
      <c r="U232">
        <v>18</v>
      </c>
      <c r="V232">
        <f t="shared" si="498"/>
        <v>23</v>
      </c>
      <c r="W232">
        <v>1</v>
      </c>
      <c r="X232">
        <v>2</v>
      </c>
      <c r="Y232">
        <f t="shared" si="496"/>
        <v>5</v>
      </c>
      <c r="Z232">
        <f t="shared" si="497"/>
        <v>13</v>
      </c>
    </row>
    <row r="233" spans="1:26" x14ac:dyDescent="0.4">
      <c r="C233" t="s">
        <v>531</v>
      </c>
      <c r="D233" cm="1">
        <f t="array" ref="D233">INDEX(FX_Input,$R233,$Y233*D$5+$Z233)</f>
        <v>0</v>
      </c>
      <c r="E233" cm="1">
        <f t="array" ref="E233">INDEX(FX_Input,$R233,$Y233*E$5+$Z233)</f>
        <v>0</v>
      </c>
      <c r="F233" cm="1">
        <f t="array" ref="F233">INDEX(FX_Input,$R233,$Y233*F$5+$Z233)</f>
        <v>0</v>
      </c>
      <c r="G233" cm="1">
        <f t="array" ref="G233">INDEX(FX_Input,$R233,$Y233*G$5+$Z233)</f>
        <v>0</v>
      </c>
      <c r="H233" cm="1">
        <f t="array" ref="H233">INDEX(FX_Input,$R233,$Y233*H$5+$Z233)</f>
        <v>0</v>
      </c>
      <c r="I233" cm="1">
        <f t="array" ref="I233">INDEX(FX_Input,$R233,$Y233*I$5+$Z233)</f>
        <v>0</v>
      </c>
      <c r="J233" cm="1">
        <f t="array" ref="J233">INDEX(FX_Input,$R233,$Y233*J$5+$Z233)</f>
        <v>0</v>
      </c>
      <c r="K233" cm="1">
        <f t="array" ref="K233">INDEX(FX_Input,$R233,$Y233*K$5+$Z233)</f>
        <v>0</v>
      </c>
      <c r="L233" cm="1">
        <f t="array" ref="L233">INDEX(FX_Input,$R233,$Y233*L$5+$Z233)</f>
        <v>0</v>
      </c>
      <c r="M233" cm="1">
        <f t="array" ref="M233">INDEX(FX_Input,$R233,$Y233*M$5+$Z233)</f>
        <v>0</v>
      </c>
      <c r="N233" cm="1">
        <f t="array" ref="N233">INDEX(FX_Input,$R233,$Y233*N$5+$Z233)</f>
        <v>0</v>
      </c>
      <c r="O233" cm="1">
        <f t="array" ref="O233">INDEX(FX_Input,$R233,$Y233*O$5+$Z233)</f>
        <v>0</v>
      </c>
      <c r="R233">
        <f>R231</f>
        <v>34</v>
      </c>
      <c r="U233">
        <f>U232</f>
        <v>18</v>
      </c>
      <c r="V233">
        <f t="shared" si="498"/>
        <v>23</v>
      </c>
      <c r="W233">
        <v>1</v>
      </c>
      <c r="X233">
        <v>2</v>
      </c>
      <c r="Y233">
        <f t="shared" si="496"/>
        <v>5</v>
      </c>
      <c r="Z233">
        <f t="shared" si="497"/>
        <v>13</v>
      </c>
    </row>
    <row r="234" spans="1:26" x14ac:dyDescent="0.4">
      <c r="C234" t="s">
        <v>546</v>
      </c>
      <c r="D234" cm="1">
        <f t="array" ref="D234">INDEX(FX_Input,$R234,$Y234*D$5+$Z234)</f>
        <v>1</v>
      </c>
      <c r="E234" cm="1">
        <f t="array" ref="E234">INDEX(FX_Input,$R234,$Y234*E$5+$Z234)</f>
        <v>1</v>
      </c>
      <c r="F234" cm="1">
        <f t="array" ref="F234">INDEX(FX_Input,$R234,$Y234*F$5+$Z234)</f>
        <v>1</v>
      </c>
      <c r="G234" cm="1">
        <f t="array" ref="G234">INDEX(FX_Input,$R234,$Y234*G$5+$Z234)</f>
        <v>1</v>
      </c>
      <c r="H234" cm="1">
        <f t="array" ref="H234">INDEX(FX_Input,$R234,$Y234*H$5+$Z234)</f>
        <v>1</v>
      </c>
      <c r="I234" cm="1">
        <f t="array" ref="I234">INDEX(FX_Input,$R234,$Y234*I$5+$Z234)</f>
        <v>1</v>
      </c>
      <c r="J234" cm="1">
        <f t="array" ref="J234">INDEX(FX_Input,$R234,$Y234*J$5+$Z234)</f>
        <v>1</v>
      </c>
      <c r="K234" cm="1">
        <f t="array" ref="K234">INDEX(FX_Input,$R234,$Y234*K$5+$Z234)</f>
        <v>1</v>
      </c>
      <c r="L234" cm="1">
        <f t="array" ref="L234">INDEX(FX_Input,$R234,$Y234*L$5+$Z234)</f>
        <v>1</v>
      </c>
      <c r="M234" cm="1">
        <f t="array" ref="M234">INDEX(FX_Input,$R234,$Y234*M$5+$Z234)</f>
        <v>1</v>
      </c>
      <c r="N234" cm="1">
        <f t="array" ref="N234">INDEX(FX_Input,$R234,$Y234*N$5+$Z234)</f>
        <v>1</v>
      </c>
      <c r="O234" cm="1">
        <f t="array" ref="O234">INDEX(FX_Input,$R234,$Y234*O$5+$Z234)</f>
        <v>1</v>
      </c>
      <c r="R234">
        <f>R232</f>
        <v>33</v>
      </c>
      <c r="U234">
        <v>21</v>
      </c>
      <c r="V234">
        <f t="shared" si="498"/>
        <v>26</v>
      </c>
      <c r="W234">
        <v>1</v>
      </c>
      <c r="X234">
        <v>2</v>
      </c>
      <c r="Y234">
        <f t="shared" si="496"/>
        <v>5</v>
      </c>
      <c r="Z234">
        <f t="shared" si="497"/>
        <v>16</v>
      </c>
    </row>
    <row r="235" spans="1:26" x14ac:dyDescent="0.4">
      <c r="C235" t="s">
        <v>547</v>
      </c>
      <c r="D235" cm="1">
        <f t="array" ref="D235">INDEX(FX_Input,$R235,$Y235*D$5+$Z235)</f>
        <v>0</v>
      </c>
      <c r="E235" cm="1">
        <f t="array" ref="E235">INDEX(FX_Input,$R235,$Y235*E$5+$Z235)</f>
        <v>0</v>
      </c>
      <c r="F235" cm="1">
        <f t="array" ref="F235">INDEX(FX_Input,$R235,$Y235*F$5+$Z235)</f>
        <v>0</v>
      </c>
      <c r="G235" cm="1">
        <f t="array" ref="G235">INDEX(FX_Input,$R235,$Y235*G$5+$Z235)</f>
        <v>0</v>
      </c>
      <c r="H235" cm="1">
        <f t="array" ref="H235">INDEX(FX_Input,$R235,$Y235*H$5+$Z235)</f>
        <v>0</v>
      </c>
      <c r="I235" cm="1">
        <f t="array" ref="I235">INDEX(FX_Input,$R235,$Y235*I$5+$Z235)</f>
        <v>0</v>
      </c>
      <c r="J235" cm="1">
        <f t="array" ref="J235">INDEX(FX_Input,$R235,$Y235*J$5+$Z235)</f>
        <v>0</v>
      </c>
      <c r="K235" cm="1">
        <f t="array" ref="K235">INDEX(FX_Input,$R235,$Y235*K$5+$Z235)</f>
        <v>0</v>
      </c>
      <c r="L235" cm="1">
        <f t="array" ref="L235">INDEX(FX_Input,$R235,$Y235*L$5+$Z235)</f>
        <v>0</v>
      </c>
      <c r="M235" cm="1">
        <f t="array" ref="M235">INDEX(FX_Input,$R235,$Y235*M$5+$Z235)</f>
        <v>0</v>
      </c>
      <c r="N235" cm="1">
        <f t="array" ref="N235">INDEX(FX_Input,$R235,$Y235*N$5+$Z235)</f>
        <v>0</v>
      </c>
      <c r="O235" cm="1">
        <f t="array" ref="O235">INDEX(FX_Input,$R235,$Y235*O$5+$Z235)</f>
        <v>0</v>
      </c>
      <c r="R235">
        <f>R233</f>
        <v>34</v>
      </c>
      <c r="U235">
        <f>U234</f>
        <v>21</v>
      </c>
      <c r="V235">
        <f t="shared" si="498"/>
        <v>26</v>
      </c>
      <c r="W235">
        <v>1</v>
      </c>
      <c r="X235">
        <v>2</v>
      </c>
      <c r="Y235">
        <f t="shared" si="496"/>
        <v>5</v>
      </c>
      <c r="Z235">
        <f t="shared" si="497"/>
        <v>16</v>
      </c>
    </row>
    <row r="236" spans="1:26" x14ac:dyDescent="0.4">
      <c r="C236" t="s">
        <v>532</v>
      </c>
      <c r="D236">
        <f t="shared" ref="D236:O236" si="499">IFERROR(VLOOKUP(D230,Phys_Prop,2,FALSE),0)</f>
        <v>162</v>
      </c>
      <c r="E236">
        <f t="shared" si="499"/>
        <v>162</v>
      </c>
      <c r="F236">
        <f t="shared" si="499"/>
        <v>162</v>
      </c>
      <c r="G236">
        <f t="shared" si="499"/>
        <v>162</v>
      </c>
      <c r="H236">
        <f t="shared" si="499"/>
        <v>162</v>
      </c>
      <c r="I236">
        <f t="shared" si="499"/>
        <v>162</v>
      </c>
      <c r="J236">
        <f t="shared" si="499"/>
        <v>162</v>
      </c>
      <c r="K236">
        <f t="shared" si="499"/>
        <v>162</v>
      </c>
      <c r="L236">
        <f t="shared" si="499"/>
        <v>162</v>
      </c>
      <c r="M236">
        <f t="shared" si="499"/>
        <v>162</v>
      </c>
      <c r="N236">
        <f t="shared" si="499"/>
        <v>162</v>
      </c>
      <c r="O236">
        <f t="shared" si="499"/>
        <v>162</v>
      </c>
    </row>
    <row r="237" spans="1:26" x14ac:dyDescent="0.4">
      <c r="C237" t="s">
        <v>533</v>
      </c>
      <c r="D237">
        <f t="shared" ref="D237:O237" si="500">IFERROR(VLOOKUP(D231,Phys_Prop,2,FALSE),0)</f>
        <v>0</v>
      </c>
      <c r="E237">
        <f t="shared" si="500"/>
        <v>0</v>
      </c>
      <c r="F237">
        <f t="shared" si="500"/>
        <v>0</v>
      </c>
      <c r="G237">
        <f t="shared" si="500"/>
        <v>0</v>
      </c>
      <c r="H237">
        <f t="shared" si="500"/>
        <v>0</v>
      </c>
      <c r="I237">
        <f t="shared" si="500"/>
        <v>0</v>
      </c>
      <c r="J237">
        <f t="shared" si="500"/>
        <v>0</v>
      </c>
      <c r="K237">
        <f t="shared" si="500"/>
        <v>0</v>
      </c>
      <c r="L237">
        <f t="shared" si="500"/>
        <v>0</v>
      </c>
      <c r="M237">
        <f t="shared" si="500"/>
        <v>0</v>
      </c>
      <c r="N237">
        <f t="shared" si="500"/>
        <v>0</v>
      </c>
      <c r="O237">
        <f t="shared" si="500"/>
        <v>0</v>
      </c>
    </row>
    <row r="238" spans="1:26" x14ac:dyDescent="0.4">
      <c r="C238" t="s">
        <v>544</v>
      </c>
      <c r="D238">
        <f>IFERROR(IFERROR(D236/D234+D237/D235,D236/D234),0)</f>
        <v>162</v>
      </c>
      <c r="E238">
        <f t="shared" ref="E238" si="501">IFERROR(IFERROR(E236/E234+E237/E235,E236/E234),0)</f>
        <v>162</v>
      </c>
      <c r="F238">
        <f t="shared" ref="F238" si="502">IFERROR(IFERROR(F236/F234+F237/F235,F236/F234),0)</f>
        <v>162</v>
      </c>
      <c r="G238">
        <f t="shared" ref="G238" si="503">IFERROR(IFERROR(G236/G234+G237/G235,G236/G234),0)</f>
        <v>162</v>
      </c>
      <c r="H238">
        <f t="shared" ref="H238" si="504">IFERROR(IFERROR(H236/H234+H237/H235,H236/H234),0)</f>
        <v>162</v>
      </c>
      <c r="I238">
        <f t="shared" ref="I238" si="505">IFERROR(IFERROR(I236/I234+I237/I235,I236/I234),0)</f>
        <v>162</v>
      </c>
      <c r="J238">
        <f t="shared" ref="J238" si="506">IFERROR(IFERROR(J236/J234+J237/J235,J236/J234),0)</f>
        <v>162</v>
      </c>
      <c r="K238">
        <f t="shared" ref="K238" si="507">IFERROR(IFERROR(K236/K234+K237/K235,K236/K234),0)</f>
        <v>162</v>
      </c>
      <c r="L238">
        <f t="shared" ref="L238" si="508">IFERROR(IFERROR(L236/L234+L237/L235,L236/L234),0)</f>
        <v>162</v>
      </c>
      <c r="M238">
        <f t="shared" ref="M238" si="509">IFERROR(IFERROR(M236/M234+M237/M235,M236/M234),0)</f>
        <v>162</v>
      </c>
      <c r="N238">
        <f t="shared" ref="N238" si="510">IFERROR(IFERROR(N236/N234+N237/N235,N236/N234),0)</f>
        <v>162</v>
      </c>
      <c r="O238">
        <f t="shared" ref="O238" si="511">IFERROR(IFERROR(O236/O234+O237/O235,O236/O234),0)</f>
        <v>162</v>
      </c>
    </row>
    <row r="239" spans="1:26" x14ac:dyDescent="0.4">
      <c r="C239" t="s">
        <v>539</v>
      </c>
      <c r="D239">
        <f>IFERROR((D234/D236)*D238,1)</f>
        <v>1</v>
      </c>
      <c r="E239">
        <f t="shared" ref="E239" si="512">IFERROR((E234/E236)*E238,1)</f>
        <v>1</v>
      </c>
      <c r="F239">
        <f t="shared" ref="F239" si="513">IFERROR((F234/F236)*F238,1)</f>
        <v>1</v>
      </c>
      <c r="G239">
        <f t="shared" ref="G239" si="514">IFERROR((G234/G236)*G238,1)</f>
        <v>1</v>
      </c>
      <c r="H239">
        <f t="shared" ref="H239" si="515">IFERROR((H234/H236)*H238,1)</f>
        <v>1</v>
      </c>
      <c r="I239">
        <f t="shared" ref="I239" si="516">IFERROR((I234/I236)*I238,1)</f>
        <v>1</v>
      </c>
      <c r="J239">
        <f t="shared" ref="J239" si="517">IFERROR((J234/J236)*J238,1)</f>
        <v>1</v>
      </c>
      <c r="K239">
        <f t="shared" ref="K239" si="518">IFERROR((K234/K236)*K238,1)</f>
        <v>1</v>
      </c>
      <c r="L239">
        <f t="shared" ref="L239" si="519">IFERROR((L234/L236)*L238,1)</f>
        <v>1</v>
      </c>
      <c r="M239">
        <f t="shared" ref="M239" si="520">IFERROR((M234/M236)*M238,1)</f>
        <v>1</v>
      </c>
      <c r="N239">
        <f t="shared" ref="N239" si="521">IFERROR((N234/N236)*N238,1)</f>
        <v>1</v>
      </c>
      <c r="O239">
        <f t="shared" ref="O239" si="522">IFERROR((O234/O236)*O238,1)</f>
        <v>1</v>
      </c>
    </row>
    <row r="240" spans="1:26" x14ac:dyDescent="0.4">
      <c r="C240" t="s">
        <v>540</v>
      </c>
      <c r="D240">
        <f>IFERROR((D235/D237)*D238,0)</f>
        <v>0</v>
      </c>
      <c r="E240">
        <f t="shared" ref="E240:O240" si="523">IFERROR((E235/E237)*E238,0)</f>
        <v>0</v>
      </c>
      <c r="F240">
        <f t="shared" si="523"/>
        <v>0</v>
      </c>
      <c r="G240">
        <f t="shared" si="523"/>
        <v>0</v>
      </c>
      <c r="H240">
        <f t="shared" si="523"/>
        <v>0</v>
      </c>
      <c r="I240">
        <f t="shared" si="523"/>
        <v>0</v>
      </c>
      <c r="J240">
        <f t="shared" si="523"/>
        <v>0</v>
      </c>
      <c r="K240">
        <f t="shared" si="523"/>
        <v>0</v>
      </c>
      <c r="L240">
        <f t="shared" si="523"/>
        <v>0</v>
      </c>
      <c r="M240">
        <f t="shared" si="523"/>
        <v>0</v>
      </c>
      <c r="N240">
        <f t="shared" si="523"/>
        <v>0</v>
      </c>
      <c r="O240">
        <f t="shared" si="523"/>
        <v>0</v>
      </c>
    </row>
    <row r="241" spans="1:26" x14ac:dyDescent="0.4">
      <c r="C241" s="21" t="s">
        <v>534</v>
      </c>
      <c r="D241">
        <f t="shared" ref="D241:O241" si="524">IFERROR(VLOOKUP(D230,Phys_Prop,4,FALSE),0)</f>
        <v>7</v>
      </c>
      <c r="E241">
        <f t="shared" si="524"/>
        <v>7</v>
      </c>
      <c r="F241">
        <f t="shared" si="524"/>
        <v>7</v>
      </c>
      <c r="G241">
        <f t="shared" si="524"/>
        <v>7</v>
      </c>
      <c r="H241">
        <f t="shared" si="524"/>
        <v>7</v>
      </c>
      <c r="I241">
        <f t="shared" si="524"/>
        <v>7</v>
      </c>
      <c r="J241">
        <f t="shared" si="524"/>
        <v>7</v>
      </c>
      <c r="K241">
        <f t="shared" si="524"/>
        <v>7</v>
      </c>
      <c r="L241">
        <f t="shared" si="524"/>
        <v>7</v>
      </c>
      <c r="M241">
        <f t="shared" si="524"/>
        <v>7</v>
      </c>
      <c r="N241">
        <f t="shared" si="524"/>
        <v>7</v>
      </c>
      <c r="O241">
        <f t="shared" si="524"/>
        <v>7</v>
      </c>
    </row>
    <row r="242" spans="1:26" x14ac:dyDescent="0.4">
      <c r="C242" s="21" t="s">
        <v>535</v>
      </c>
      <c r="D242">
        <f t="shared" ref="D242:O242" si="525">IFERROR(VLOOKUP(D231,Phys_Prop,4,FALSE),0)</f>
        <v>0</v>
      </c>
      <c r="E242">
        <f t="shared" si="525"/>
        <v>0</v>
      </c>
      <c r="F242">
        <f t="shared" si="525"/>
        <v>0</v>
      </c>
      <c r="G242">
        <f t="shared" si="525"/>
        <v>0</v>
      </c>
      <c r="H242">
        <f t="shared" si="525"/>
        <v>0</v>
      </c>
      <c r="I242">
        <f t="shared" si="525"/>
        <v>0</v>
      </c>
      <c r="J242">
        <f t="shared" si="525"/>
        <v>0</v>
      </c>
      <c r="K242">
        <f t="shared" si="525"/>
        <v>0</v>
      </c>
      <c r="L242">
        <f t="shared" si="525"/>
        <v>0</v>
      </c>
      <c r="M242">
        <f t="shared" si="525"/>
        <v>0</v>
      </c>
      <c r="N242">
        <f t="shared" si="525"/>
        <v>0</v>
      </c>
      <c r="O242">
        <f t="shared" si="525"/>
        <v>0</v>
      </c>
    </row>
    <row r="243" spans="1:26" x14ac:dyDescent="0.4">
      <c r="A243" s="11"/>
      <c r="B243" s="11"/>
      <c r="C243" s="62" t="s">
        <v>536</v>
      </c>
      <c r="D243" s="11">
        <f>IFERROR(1/(D239/D241+D240/D242),D241)</f>
        <v>7</v>
      </c>
      <c r="E243" s="11">
        <f t="shared" ref="E243:O243" si="526">IFERROR(1/(E239/E241+E240/E242),E241)</f>
        <v>7</v>
      </c>
      <c r="F243" s="11">
        <f t="shared" si="526"/>
        <v>7</v>
      </c>
      <c r="G243" s="11">
        <f t="shared" si="526"/>
        <v>7</v>
      </c>
      <c r="H243" s="11">
        <f t="shared" si="526"/>
        <v>7</v>
      </c>
      <c r="I243" s="11">
        <f t="shared" si="526"/>
        <v>7</v>
      </c>
      <c r="J243" s="11">
        <f t="shared" si="526"/>
        <v>7</v>
      </c>
      <c r="K243" s="11">
        <f t="shared" si="526"/>
        <v>7</v>
      </c>
      <c r="L243" s="11">
        <f t="shared" si="526"/>
        <v>7</v>
      </c>
      <c r="M243" s="11">
        <f t="shared" si="526"/>
        <v>7</v>
      </c>
      <c r="N243" s="11">
        <f t="shared" si="526"/>
        <v>7</v>
      </c>
      <c r="O243" s="11">
        <f t="shared" si="526"/>
        <v>7</v>
      </c>
      <c r="P243" s="11"/>
      <c r="Q243" s="11"/>
      <c r="R243" s="11"/>
      <c r="S243" s="11"/>
      <c r="T243" s="11"/>
      <c r="U243" s="11"/>
      <c r="V243" s="11"/>
      <c r="W243" s="11"/>
      <c r="X243" s="11"/>
      <c r="Y243" s="11"/>
      <c r="Z243" s="11"/>
    </row>
    <row r="244" spans="1:26" x14ac:dyDescent="0.4">
      <c r="A244" t="str" cm="1">
        <f t="array" ref="A244">INDEX(FX_Input,R244,S244)</f>
        <v>FX - 18</v>
      </c>
      <c r="B244" t="str" cm="1">
        <f t="array" ref="B244">INDEX(FX_Input,R244,T244)</f>
        <v>Portland</v>
      </c>
      <c r="C244" t="s">
        <v>528</v>
      </c>
      <c r="D244" t="str" cm="1">
        <f t="array" ref="D244">INDEX(FX_Input,$R244,$Y244*D$5+$Z244)</f>
        <v>Jet kerosene</v>
      </c>
      <c r="E244" t="str" cm="1">
        <f t="array" ref="E244">INDEX(FX_Input,$R244,$Y244*E$5+$Z244)</f>
        <v>Jet kerosene</v>
      </c>
      <c r="F244" t="str" cm="1">
        <f t="array" ref="F244">INDEX(FX_Input,$R244,$Y244*F$5+$Z244)</f>
        <v>Jet kerosene</v>
      </c>
      <c r="G244" t="str" cm="1">
        <f t="array" ref="G244">INDEX(FX_Input,$R244,$Y244*G$5+$Z244)</f>
        <v>Jet kerosene</v>
      </c>
      <c r="H244" t="str" cm="1">
        <f t="array" ref="H244">INDEX(FX_Input,$R244,$Y244*H$5+$Z244)</f>
        <v>Jet kerosene</v>
      </c>
      <c r="I244" t="str" cm="1">
        <f t="array" ref="I244">INDEX(FX_Input,$R244,$Y244*I$5+$Z244)</f>
        <v>Jet kerosene</v>
      </c>
      <c r="J244" t="str" cm="1">
        <f t="array" ref="J244">INDEX(FX_Input,$R244,$Y244*J$5+$Z244)</f>
        <v>Jet kerosene</v>
      </c>
      <c r="K244" t="str" cm="1">
        <f t="array" ref="K244">INDEX(FX_Input,$R244,$Y244*K$5+$Z244)</f>
        <v>Jet kerosene</v>
      </c>
      <c r="L244" t="str" cm="1">
        <f t="array" ref="L244">INDEX(FX_Input,$R244,$Y244*L$5+$Z244)</f>
        <v>Jet kerosene</v>
      </c>
      <c r="M244" t="str" cm="1">
        <f t="array" ref="M244">INDEX(FX_Input,$R244,$Y244*M$5+$Z244)</f>
        <v>Jet kerosene</v>
      </c>
      <c r="N244" t="str" cm="1">
        <f t="array" ref="N244">INDEX(FX_Input,$R244,$Y244*N$5+$Z244)</f>
        <v>Jet kerosene</v>
      </c>
      <c r="O244" t="str" cm="1">
        <f t="array" ref="O244">INDEX(FX_Input,$R244,$Y244*O$5+$Z244)</f>
        <v>Jet kerosene</v>
      </c>
      <c r="R244">
        <f>R230+2</f>
        <v>35</v>
      </c>
      <c r="S244">
        <v>1</v>
      </c>
      <c r="T244">
        <v>3</v>
      </c>
      <c r="U244">
        <v>17</v>
      </c>
      <c r="V244">
        <f>U244+5</f>
        <v>22</v>
      </c>
      <c r="W244">
        <v>1</v>
      </c>
      <c r="X244">
        <v>2</v>
      </c>
      <c r="Y244">
        <f t="shared" ref="Y244:Y249" si="527">(V244-U244)/(X244-W244)</f>
        <v>5</v>
      </c>
      <c r="Z244">
        <f t="shared" ref="Z244:Z249" si="528">U244-Y244*W244</f>
        <v>12</v>
      </c>
    </row>
    <row r="245" spans="1:26" x14ac:dyDescent="0.4">
      <c r="C245" t="s">
        <v>529</v>
      </c>
      <c r="D245" cm="1">
        <f t="array" ref="D245">INDEX(FX_Input,$R245,$Y245*D$5+$Z245)</f>
        <v>0</v>
      </c>
      <c r="E245" cm="1">
        <f t="array" ref="E245">INDEX(FX_Input,$R245,$Y245*E$5+$Z245)</f>
        <v>0</v>
      </c>
      <c r="F245" cm="1">
        <f t="array" ref="F245">INDEX(FX_Input,$R245,$Y245*F$5+$Z245)</f>
        <v>0</v>
      </c>
      <c r="G245" cm="1">
        <f t="array" ref="G245">INDEX(FX_Input,$R245,$Y245*G$5+$Z245)</f>
        <v>0</v>
      </c>
      <c r="H245" cm="1">
        <f t="array" ref="H245">INDEX(FX_Input,$R245,$Y245*H$5+$Z245)</f>
        <v>0</v>
      </c>
      <c r="I245" cm="1">
        <f t="array" ref="I245">INDEX(FX_Input,$R245,$Y245*I$5+$Z245)</f>
        <v>0</v>
      </c>
      <c r="J245" cm="1">
        <f t="array" ref="J245">INDEX(FX_Input,$R245,$Y245*J$5+$Z245)</f>
        <v>0</v>
      </c>
      <c r="K245" cm="1">
        <f t="array" ref="K245">INDEX(FX_Input,$R245,$Y245*K$5+$Z245)</f>
        <v>0</v>
      </c>
      <c r="L245" cm="1">
        <f t="array" ref="L245">INDEX(FX_Input,$R245,$Y245*L$5+$Z245)</f>
        <v>0</v>
      </c>
      <c r="M245" cm="1">
        <f t="array" ref="M245">INDEX(FX_Input,$R245,$Y245*M$5+$Z245)</f>
        <v>0</v>
      </c>
      <c r="N245" cm="1">
        <f t="array" ref="N245">INDEX(FX_Input,$R245,$Y245*N$5+$Z245)</f>
        <v>0</v>
      </c>
      <c r="O245" cm="1">
        <f t="array" ref="O245">INDEX(FX_Input,$R245,$Y245*O$5+$Z245)</f>
        <v>0</v>
      </c>
      <c r="R245">
        <f>R244+1</f>
        <v>36</v>
      </c>
      <c r="U245">
        <f>U244</f>
        <v>17</v>
      </c>
      <c r="V245">
        <f t="shared" ref="V245:V249" si="529">U245+5</f>
        <v>22</v>
      </c>
      <c r="W245">
        <v>1</v>
      </c>
      <c r="X245">
        <v>2</v>
      </c>
      <c r="Y245">
        <f t="shared" si="527"/>
        <v>5</v>
      </c>
      <c r="Z245">
        <f t="shared" si="528"/>
        <v>12</v>
      </c>
    </row>
    <row r="246" spans="1:26" x14ac:dyDescent="0.4">
      <c r="C246" t="s">
        <v>530</v>
      </c>
      <c r="D246" t="str" cm="1">
        <f t="array" ref="D246">INDEX(FX_Input,$R246,$Y246*D$5+$Z246)</f>
        <v>Select Pet Stock</v>
      </c>
      <c r="E246" t="str" cm="1">
        <f t="array" ref="E246">INDEX(FX_Input,$R246,$Y246*E$5+$Z246)</f>
        <v>Select Pet Stock</v>
      </c>
      <c r="F246" t="str" cm="1">
        <f t="array" ref="F246">INDEX(FX_Input,$R246,$Y246*F$5+$Z246)</f>
        <v>Select Pet Stock</v>
      </c>
      <c r="G246" t="str" cm="1">
        <f t="array" ref="G246">INDEX(FX_Input,$R246,$Y246*G$5+$Z246)</f>
        <v>Select Pet Stock</v>
      </c>
      <c r="H246" t="str" cm="1">
        <f t="array" ref="H246">INDEX(FX_Input,$R246,$Y246*H$5+$Z246)</f>
        <v>Select Pet Stock</v>
      </c>
      <c r="I246" t="str" cm="1">
        <f t="array" ref="I246">INDEX(FX_Input,$R246,$Y246*I$5+$Z246)</f>
        <v>Select Pet Stock</v>
      </c>
      <c r="J246" t="str" cm="1">
        <f t="array" ref="J246">INDEX(FX_Input,$R246,$Y246*J$5+$Z246)</f>
        <v>Select Pet Stock</v>
      </c>
      <c r="K246" t="str" cm="1">
        <f t="array" ref="K246">INDEX(FX_Input,$R246,$Y246*K$5+$Z246)</f>
        <v>Select Pet Stock</v>
      </c>
      <c r="L246" t="str" cm="1">
        <f t="array" ref="L246">INDEX(FX_Input,$R246,$Y246*L$5+$Z246)</f>
        <v>Select Pet Stock</v>
      </c>
      <c r="M246" t="str" cm="1">
        <f t="array" ref="M246">INDEX(FX_Input,$R246,$Y246*M$5+$Z246)</f>
        <v>Select Pet Stock</v>
      </c>
      <c r="N246" t="str" cm="1">
        <f t="array" ref="N246">INDEX(FX_Input,$R246,$Y246*N$5+$Z246)</f>
        <v>Select Pet Stock</v>
      </c>
      <c r="O246" t="str" cm="1">
        <f t="array" ref="O246">INDEX(FX_Input,$R246,$Y246*O$5+$Z246)</f>
        <v>Select Pet Stock</v>
      </c>
      <c r="R246">
        <f>R244</f>
        <v>35</v>
      </c>
      <c r="U246">
        <v>18</v>
      </c>
      <c r="V246">
        <f t="shared" si="529"/>
        <v>23</v>
      </c>
      <c r="W246">
        <v>1</v>
      </c>
      <c r="X246">
        <v>2</v>
      </c>
      <c r="Y246">
        <f t="shared" si="527"/>
        <v>5</v>
      </c>
      <c r="Z246">
        <f t="shared" si="528"/>
        <v>13</v>
      </c>
    </row>
    <row r="247" spans="1:26" x14ac:dyDescent="0.4">
      <c r="C247" t="s">
        <v>531</v>
      </c>
      <c r="D247" cm="1">
        <f t="array" ref="D247">INDEX(FX_Input,$R247,$Y247*D$5+$Z247)</f>
        <v>0</v>
      </c>
      <c r="E247" cm="1">
        <f t="array" ref="E247">INDEX(FX_Input,$R247,$Y247*E$5+$Z247)</f>
        <v>0</v>
      </c>
      <c r="F247" cm="1">
        <f t="array" ref="F247">INDEX(FX_Input,$R247,$Y247*F$5+$Z247)</f>
        <v>0</v>
      </c>
      <c r="G247" cm="1">
        <f t="array" ref="G247">INDEX(FX_Input,$R247,$Y247*G$5+$Z247)</f>
        <v>0</v>
      </c>
      <c r="H247" cm="1">
        <f t="array" ref="H247">INDEX(FX_Input,$R247,$Y247*H$5+$Z247)</f>
        <v>0</v>
      </c>
      <c r="I247" cm="1">
        <f t="array" ref="I247">INDEX(FX_Input,$R247,$Y247*I$5+$Z247)</f>
        <v>0</v>
      </c>
      <c r="J247" cm="1">
        <f t="array" ref="J247">INDEX(FX_Input,$R247,$Y247*J$5+$Z247)</f>
        <v>0</v>
      </c>
      <c r="K247" cm="1">
        <f t="array" ref="K247">INDEX(FX_Input,$R247,$Y247*K$5+$Z247)</f>
        <v>0</v>
      </c>
      <c r="L247" cm="1">
        <f t="array" ref="L247">INDEX(FX_Input,$R247,$Y247*L$5+$Z247)</f>
        <v>0</v>
      </c>
      <c r="M247" cm="1">
        <f t="array" ref="M247">INDEX(FX_Input,$R247,$Y247*M$5+$Z247)</f>
        <v>0</v>
      </c>
      <c r="N247" cm="1">
        <f t="array" ref="N247">INDEX(FX_Input,$R247,$Y247*N$5+$Z247)</f>
        <v>0</v>
      </c>
      <c r="O247" cm="1">
        <f t="array" ref="O247">INDEX(FX_Input,$R247,$Y247*O$5+$Z247)</f>
        <v>0</v>
      </c>
      <c r="R247">
        <f>R245</f>
        <v>36</v>
      </c>
      <c r="U247">
        <f>U246</f>
        <v>18</v>
      </c>
      <c r="V247">
        <f t="shared" si="529"/>
        <v>23</v>
      </c>
      <c r="W247">
        <v>1</v>
      </c>
      <c r="X247">
        <v>2</v>
      </c>
      <c r="Y247">
        <f t="shared" si="527"/>
        <v>5</v>
      </c>
      <c r="Z247">
        <f t="shared" si="528"/>
        <v>13</v>
      </c>
    </row>
    <row r="248" spans="1:26" x14ac:dyDescent="0.4">
      <c r="C248" t="s">
        <v>546</v>
      </c>
      <c r="D248" cm="1">
        <f t="array" ref="D248">INDEX(FX_Input,$R248,$Y248*D$5+$Z248)</f>
        <v>1</v>
      </c>
      <c r="E248" cm="1">
        <f t="array" ref="E248">INDEX(FX_Input,$R248,$Y248*E$5+$Z248)</f>
        <v>1</v>
      </c>
      <c r="F248" cm="1">
        <f t="array" ref="F248">INDEX(FX_Input,$R248,$Y248*F$5+$Z248)</f>
        <v>1</v>
      </c>
      <c r="G248" cm="1">
        <f t="array" ref="G248">INDEX(FX_Input,$R248,$Y248*G$5+$Z248)</f>
        <v>1</v>
      </c>
      <c r="H248" cm="1">
        <f t="array" ref="H248">INDEX(FX_Input,$R248,$Y248*H$5+$Z248)</f>
        <v>1</v>
      </c>
      <c r="I248" cm="1">
        <f t="array" ref="I248">INDEX(FX_Input,$R248,$Y248*I$5+$Z248)</f>
        <v>1</v>
      </c>
      <c r="J248" cm="1">
        <f t="array" ref="J248">INDEX(FX_Input,$R248,$Y248*J$5+$Z248)</f>
        <v>1</v>
      </c>
      <c r="K248" cm="1">
        <f t="array" ref="K248">INDEX(FX_Input,$R248,$Y248*K$5+$Z248)</f>
        <v>1</v>
      </c>
      <c r="L248" cm="1">
        <f t="array" ref="L248">INDEX(FX_Input,$R248,$Y248*L$5+$Z248)</f>
        <v>1</v>
      </c>
      <c r="M248" cm="1">
        <f t="array" ref="M248">INDEX(FX_Input,$R248,$Y248*M$5+$Z248)</f>
        <v>1</v>
      </c>
      <c r="N248" cm="1">
        <f t="array" ref="N248">INDEX(FX_Input,$R248,$Y248*N$5+$Z248)</f>
        <v>1</v>
      </c>
      <c r="O248" cm="1">
        <f t="array" ref="O248">INDEX(FX_Input,$R248,$Y248*O$5+$Z248)</f>
        <v>1</v>
      </c>
      <c r="R248">
        <f>R246</f>
        <v>35</v>
      </c>
      <c r="U248">
        <v>21</v>
      </c>
      <c r="V248">
        <f t="shared" si="529"/>
        <v>26</v>
      </c>
      <c r="W248">
        <v>1</v>
      </c>
      <c r="X248">
        <v>2</v>
      </c>
      <c r="Y248">
        <f t="shared" si="527"/>
        <v>5</v>
      </c>
      <c r="Z248">
        <f t="shared" si="528"/>
        <v>16</v>
      </c>
    </row>
    <row r="249" spans="1:26" x14ac:dyDescent="0.4">
      <c r="C249" t="s">
        <v>547</v>
      </c>
      <c r="D249" cm="1">
        <f t="array" ref="D249">INDEX(FX_Input,$R249,$Y249*D$5+$Z249)</f>
        <v>0</v>
      </c>
      <c r="E249" cm="1">
        <f t="array" ref="E249">INDEX(FX_Input,$R249,$Y249*E$5+$Z249)</f>
        <v>0</v>
      </c>
      <c r="F249" cm="1">
        <f t="array" ref="F249">INDEX(FX_Input,$R249,$Y249*F$5+$Z249)</f>
        <v>0</v>
      </c>
      <c r="G249" cm="1">
        <f t="array" ref="G249">INDEX(FX_Input,$R249,$Y249*G$5+$Z249)</f>
        <v>0</v>
      </c>
      <c r="H249" cm="1">
        <f t="array" ref="H249">INDEX(FX_Input,$R249,$Y249*H$5+$Z249)</f>
        <v>0</v>
      </c>
      <c r="I249" cm="1">
        <f t="array" ref="I249">INDEX(FX_Input,$R249,$Y249*I$5+$Z249)</f>
        <v>0</v>
      </c>
      <c r="J249" cm="1">
        <f t="array" ref="J249">INDEX(FX_Input,$R249,$Y249*J$5+$Z249)</f>
        <v>0</v>
      </c>
      <c r="K249" cm="1">
        <f t="array" ref="K249">INDEX(FX_Input,$R249,$Y249*K$5+$Z249)</f>
        <v>0</v>
      </c>
      <c r="L249" cm="1">
        <f t="array" ref="L249">INDEX(FX_Input,$R249,$Y249*L$5+$Z249)</f>
        <v>0</v>
      </c>
      <c r="M249" cm="1">
        <f t="array" ref="M249">INDEX(FX_Input,$R249,$Y249*M$5+$Z249)</f>
        <v>0</v>
      </c>
      <c r="N249" cm="1">
        <f t="array" ref="N249">INDEX(FX_Input,$R249,$Y249*N$5+$Z249)</f>
        <v>0</v>
      </c>
      <c r="O249" cm="1">
        <f t="array" ref="O249">INDEX(FX_Input,$R249,$Y249*O$5+$Z249)</f>
        <v>0</v>
      </c>
      <c r="R249">
        <f>R247</f>
        <v>36</v>
      </c>
      <c r="U249">
        <f>U248</f>
        <v>21</v>
      </c>
      <c r="V249">
        <f t="shared" si="529"/>
        <v>26</v>
      </c>
      <c r="W249">
        <v>1</v>
      </c>
      <c r="X249">
        <v>2</v>
      </c>
      <c r="Y249">
        <f t="shared" si="527"/>
        <v>5</v>
      </c>
      <c r="Z249">
        <f t="shared" si="528"/>
        <v>16</v>
      </c>
    </row>
    <row r="250" spans="1:26" x14ac:dyDescent="0.4">
      <c r="C250" t="s">
        <v>532</v>
      </c>
      <c r="D250">
        <f t="shared" ref="D250:O250" si="530">IFERROR(VLOOKUP(D244,Phys_Prop,2,FALSE),0)</f>
        <v>162</v>
      </c>
      <c r="E250">
        <f t="shared" si="530"/>
        <v>162</v>
      </c>
      <c r="F250">
        <f t="shared" si="530"/>
        <v>162</v>
      </c>
      <c r="G250">
        <f t="shared" si="530"/>
        <v>162</v>
      </c>
      <c r="H250">
        <f t="shared" si="530"/>
        <v>162</v>
      </c>
      <c r="I250">
        <f t="shared" si="530"/>
        <v>162</v>
      </c>
      <c r="J250">
        <f t="shared" si="530"/>
        <v>162</v>
      </c>
      <c r="K250">
        <f t="shared" si="530"/>
        <v>162</v>
      </c>
      <c r="L250">
        <f t="shared" si="530"/>
        <v>162</v>
      </c>
      <c r="M250">
        <f t="shared" si="530"/>
        <v>162</v>
      </c>
      <c r="N250">
        <f t="shared" si="530"/>
        <v>162</v>
      </c>
      <c r="O250">
        <f t="shared" si="530"/>
        <v>162</v>
      </c>
    </row>
    <row r="251" spans="1:26" x14ac:dyDescent="0.4">
      <c r="C251" t="s">
        <v>533</v>
      </c>
      <c r="D251">
        <f t="shared" ref="D251:O251" si="531">IFERROR(VLOOKUP(D245,Phys_Prop,2,FALSE),0)</f>
        <v>0</v>
      </c>
      <c r="E251">
        <f t="shared" si="531"/>
        <v>0</v>
      </c>
      <c r="F251">
        <f t="shared" si="531"/>
        <v>0</v>
      </c>
      <c r="G251">
        <f t="shared" si="531"/>
        <v>0</v>
      </c>
      <c r="H251">
        <f t="shared" si="531"/>
        <v>0</v>
      </c>
      <c r="I251">
        <f t="shared" si="531"/>
        <v>0</v>
      </c>
      <c r="J251">
        <f t="shared" si="531"/>
        <v>0</v>
      </c>
      <c r="K251">
        <f t="shared" si="531"/>
        <v>0</v>
      </c>
      <c r="L251">
        <f t="shared" si="531"/>
        <v>0</v>
      </c>
      <c r="M251">
        <f t="shared" si="531"/>
        <v>0</v>
      </c>
      <c r="N251">
        <f t="shared" si="531"/>
        <v>0</v>
      </c>
      <c r="O251">
        <f t="shared" si="531"/>
        <v>0</v>
      </c>
    </row>
    <row r="252" spans="1:26" x14ac:dyDescent="0.4">
      <c r="C252" t="s">
        <v>544</v>
      </c>
      <c r="D252">
        <f>IFERROR(IFERROR(D250/D248+D251/D249,D250/D248),0)</f>
        <v>162</v>
      </c>
      <c r="E252">
        <f t="shared" ref="E252" si="532">IFERROR(IFERROR(E250/E248+E251/E249,E250/E248),0)</f>
        <v>162</v>
      </c>
      <c r="F252">
        <f t="shared" ref="F252" si="533">IFERROR(IFERROR(F250/F248+F251/F249,F250/F248),0)</f>
        <v>162</v>
      </c>
      <c r="G252">
        <f t="shared" ref="G252" si="534">IFERROR(IFERROR(G250/G248+G251/G249,G250/G248),0)</f>
        <v>162</v>
      </c>
      <c r="H252">
        <f t="shared" ref="H252" si="535">IFERROR(IFERROR(H250/H248+H251/H249,H250/H248),0)</f>
        <v>162</v>
      </c>
      <c r="I252">
        <f t="shared" ref="I252" si="536">IFERROR(IFERROR(I250/I248+I251/I249,I250/I248),0)</f>
        <v>162</v>
      </c>
      <c r="J252">
        <f t="shared" ref="J252" si="537">IFERROR(IFERROR(J250/J248+J251/J249,J250/J248),0)</f>
        <v>162</v>
      </c>
      <c r="K252">
        <f t="shared" ref="K252" si="538">IFERROR(IFERROR(K250/K248+K251/K249,K250/K248),0)</f>
        <v>162</v>
      </c>
      <c r="L252">
        <f t="shared" ref="L252" si="539">IFERROR(IFERROR(L250/L248+L251/L249,L250/L248),0)</f>
        <v>162</v>
      </c>
      <c r="M252">
        <f t="shared" ref="M252" si="540">IFERROR(IFERROR(M250/M248+M251/M249,M250/M248),0)</f>
        <v>162</v>
      </c>
      <c r="N252">
        <f t="shared" ref="N252" si="541">IFERROR(IFERROR(N250/N248+N251/N249,N250/N248),0)</f>
        <v>162</v>
      </c>
      <c r="O252">
        <f t="shared" ref="O252" si="542">IFERROR(IFERROR(O250/O248+O251/O249,O250/O248),0)</f>
        <v>162</v>
      </c>
    </row>
    <row r="253" spans="1:26" x14ac:dyDescent="0.4">
      <c r="C253" t="s">
        <v>539</v>
      </c>
      <c r="D253">
        <f>IFERROR((D248/D250)*D252,1)</f>
        <v>1</v>
      </c>
      <c r="E253">
        <f t="shared" ref="E253" si="543">IFERROR((E248/E250)*E252,1)</f>
        <v>1</v>
      </c>
      <c r="F253">
        <f t="shared" ref="F253" si="544">IFERROR((F248/F250)*F252,1)</f>
        <v>1</v>
      </c>
      <c r="G253">
        <f t="shared" ref="G253" si="545">IFERROR((G248/G250)*G252,1)</f>
        <v>1</v>
      </c>
      <c r="H253">
        <f t="shared" ref="H253" si="546">IFERROR((H248/H250)*H252,1)</f>
        <v>1</v>
      </c>
      <c r="I253">
        <f t="shared" ref="I253" si="547">IFERROR((I248/I250)*I252,1)</f>
        <v>1</v>
      </c>
      <c r="J253">
        <f t="shared" ref="J253" si="548">IFERROR((J248/J250)*J252,1)</f>
        <v>1</v>
      </c>
      <c r="K253">
        <f t="shared" ref="K253" si="549">IFERROR((K248/K250)*K252,1)</f>
        <v>1</v>
      </c>
      <c r="L253">
        <f t="shared" ref="L253" si="550">IFERROR((L248/L250)*L252,1)</f>
        <v>1</v>
      </c>
      <c r="M253">
        <f t="shared" ref="M253" si="551">IFERROR((M248/M250)*M252,1)</f>
        <v>1</v>
      </c>
      <c r="N253">
        <f t="shared" ref="N253" si="552">IFERROR((N248/N250)*N252,1)</f>
        <v>1</v>
      </c>
      <c r="O253">
        <f t="shared" ref="O253" si="553">IFERROR((O248/O250)*O252,1)</f>
        <v>1</v>
      </c>
    </row>
    <row r="254" spans="1:26" x14ac:dyDescent="0.4">
      <c r="C254" t="s">
        <v>540</v>
      </c>
      <c r="D254">
        <f>IFERROR((D249/D251)*D252,0)</f>
        <v>0</v>
      </c>
      <c r="E254">
        <f t="shared" ref="E254:O254" si="554">IFERROR((E249/E251)*E252,0)</f>
        <v>0</v>
      </c>
      <c r="F254">
        <f t="shared" si="554"/>
        <v>0</v>
      </c>
      <c r="G254">
        <f t="shared" si="554"/>
        <v>0</v>
      </c>
      <c r="H254">
        <f t="shared" si="554"/>
        <v>0</v>
      </c>
      <c r="I254">
        <f t="shared" si="554"/>
        <v>0</v>
      </c>
      <c r="J254">
        <f t="shared" si="554"/>
        <v>0</v>
      </c>
      <c r="K254">
        <f t="shared" si="554"/>
        <v>0</v>
      </c>
      <c r="L254">
        <f t="shared" si="554"/>
        <v>0</v>
      </c>
      <c r="M254">
        <f t="shared" si="554"/>
        <v>0</v>
      </c>
      <c r="N254">
        <f t="shared" si="554"/>
        <v>0</v>
      </c>
      <c r="O254">
        <f t="shared" si="554"/>
        <v>0</v>
      </c>
    </row>
    <row r="255" spans="1:26" x14ac:dyDescent="0.4">
      <c r="C255" s="21" t="s">
        <v>534</v>
      </c>
      <c r="D255">
        <f t="shared" ref="D255:O255" si="555">IFERROR(VLOOKUP(D244,Phys_Prop,4,FALSE),0)</f>
        <v>7</v>
      </c>
      <c r="E255">
        <f t="shared" si="555"/>
        <v>7</v>
      </c>
      <c r="F255">
        <f t="shared" si="555"/>
        <v>7</v>
      </c>
      <c r="G255">
        <f t="shared" si="555"/>
        <v>7</v>
      </c>
      <c r="H255">
        <f t="shared" si="555"/>
        <v>7</v>
      </c>
      <c r="I255">
        <f t="shared" si="555"/>
        <v>7</v>
      </c>
      <c r="J255">
        <f t="shared" si="555"/>
        <v>7</v>
      </c>
      <c r="K255">
        <f t="shared" si="555"/>
        <v>7</v>
      </c>
      <c r="L255">
        <f t="shared" si="555"/>
        <v>7</v>
      </c>
      <c r="M255">
        <f t="shared" si="555"/>
        <v>7</v>
      </c>
      <c r="N255">
        <f t="shared" si="555"/>
        <v>7</v>
      </c>
      <c r="O255">
        <f t="shared" si="555"/>
        <v>7</v>
      </c>
    </row>
    <row r="256" spans="1:26" x14ac:dyDescent="0.4">
      <c r="C256" s="21" t="s">
        <v>535</v>
      </c>
      <c r="D256">
        <f t="shared" ref="D256:O256" si="556">IFERROR(VLOOKUP(D245,Phys_Prop,4,FALSE),0)</f>
        <v>0</v>
      </c>
      <c r="E256">
        <f t="shared" si="556"/>
        <v>0</v>
      </c>
      <c r="F256">
        <f t="shared" si="556"/>
        <v>0</v>
      </c>
      <c r="G256">
        <f t="shared" si="556"/>
        <v>0</v>
      </c>
      <c r="H256">
        <f t="shared" si="556"/>
        <v>0</v>
      </c>
      <c r="I256">
        <f t="shared" si="556"/>
        <v>0</v>
      </c>
      <c r="J256">
        <f t="shared" si="556"/>
        <v>0</v>
      </c>
      <c r="K256">
        <f t="shared" si="556"/>
        <v>0</v>
      </c>
      <c r="L256">
        <f t="shared" si="556"/>
        <v>0</v>
      </c>
      <c r="M256">
        <f t="shared" si="556"/>
        <v>0</v>
      </c>
      <c r="N256">
        <f t="shared" si="556"/>
        <v>0</v>
      </c>
      <c r="O256">
        <f t="shared" si="556"/>
        <v>0</v>
      </c>
    </row>
    <row r="257" spans="1:26" x14ac:dyDescent="0.4">
      <c r="A257" s="11"/>
      <c r="B257" s="11"/>
      <c r="C257" s="62" t="s">
        <v>536</v>
      </c>
      <c r="D257" s="11">
        <f>IFERROR(1/(D253/D255+D254/D256),D255)</f>
        <v>7</v>
      </c>
      <c r="E257" s="11">
        <f t="shared" ref="E257:O257" si="557">IFERROR(1/(E253/E255+E254/E256),E255)</f>
        <v>7</v>
      </c>
      <c r="F257" s="11">
        <f t="shared" si="557"/>
        <v>7</v>
      </c>
      <c r="G257" s="11">
        <f t="shared" si="557"/>
        <v>7</v>
      </c>
      <c r="H257" s="11">
        <f t="shared" si="557"/>
        <v>7</v>
      </c>
      <c r="I257" s="11">
        <f t="shared" si="557"/>
        <v>7</v>
      </c>
      <c r="J257" s="11">
        <f t="shared" si="557"/>
        <v>7</v>
      </c>
      <c r="K257" s="11">
        <f t="shared" si="557"/>
        <v>7</v>
      </c>
      <c r="L257" s="11">
        <f t="shared" si="557"/>
        <v>7</v>
      </c>
      <c r="M257" s="11">
        <f t="shared" si="557"/>
        <v>7</v>
      </c>
      <c r="N257" s="11">
        <f t="shared" si="557"/>
        <v>7</v>
      </c>
      <c r="O257" s="11">
        <f t="shared" si="557"/>
        <v>7</v>
      </c>
      <c r="P257" s="11"/>
      <c r="Q257" s="11"/>
      <c r="R257" s="11"/>
      <c r="S257" s="11"/>
      <c r="T257" s="11"/>
      <c r="U257" s="11"/>
      <c r="V257" s="11"/>
      <c r="W257" s="11"/>
      <c r="X257" s="11"/>
      <c r="Y257" s="11"/>
      <c r="Z257" s="11"/>
    </row>
    <row r="258" spans="1:26" x14ac:dyDescent="0.4">
      <c r="A258" t="str" cm="1">
        <f t="array" ref="A258">INDEX(FX_Input,R258,S258)</f>
        <v>FX - 19</v>
      </c>
      <c r="B258" t="str" cm="1">
        <f t="array" ref="B258">INDEX(FX_Input,R258,T258)</f>
        <v>Portland</v>
      </c>
      <c r="C258" t="s">
        <v>528</v>
      </c>
      <c r="D258" t="str" cm="1">
        <f t="array" ref="D258">INDEX(FX_Input,$R258,$Y258*D$5+$Z258)</f>
        <v>Jet kerosene</v>
      </c>
      <c r="E258" t="str" cm="1">
        <f t="array" ref="E258">INDEX(FX_Input,$R258,$Y258*E$5+$Z258)</f>
        <v>Jet kerosene</v>
      </c>
      <c r="F258" t="str" cm="1">
        <f t="array" ref="F258">INDEX(FX_Input,$R258,$Y258*F$5+$Z258)</f>
        <v>Jet kerosene</v>
      </c>
      <c r="G258" t="str" cm="1">
        <f t="array" ref="G258">INDEX(FX_Input,$R258,$Y258*G$5+$Z258)</f>
        <v>Jet kerosene</v>
      </c>
      <c r="H258" t="str" cm="1">
        <f t="array" ref="H258">INDEX(FX_Input,$R258,$Y258*H$5+$Z258)</f>
        <v>Jet kerosene</v>
      </c>
      <c r="I258" t="str" cm="1">
        <f t="array" ref="I258">INDEX(FX_Input,$R258,$Y258*I$5+$Z258)</f>
        <v>Jet kerosene</v>
      </c>
      <c r="J258" t="str" cm="1">
        <f t="array" ref="J258">INDEX(FX_Input,$R258,$Y258*J$5+$Z258)</f>
        <v>Jet kerosene</v>
      </c>
      <c r="K258" t="str" cm="1">
        <f t="array" ref="K258">INDEX(FX_Input,$R258,$Y258*K$5+$Z258)</f>
        <v>Jet kerosene</v>
      </c>
      <c r="L258" t="str" cm="1">
        <f t="array" ref="L258">INDEX(FX_Input,$R258,$Y258*L$5+$Z258)</f>
        <v>Jet kerosene</v>
      </c>
      <c r="M258" t="str" cm="1">
        <f t="array" ref="M258">INDEX(FX_Input,$R258,$Y258*M$5+$Z258)</f>
        <v>Jet kerosene</v>
      </c>
      <c r="N258" t="str" cm="1">
        <f t="array" ref="N258">INDEX(FX_Input,$R258,$Y258*N$5+$Z258)</f>
        <v>Jet kerosene</v>
      </c>
      <c r="O258" t="str" cm="1">
        <f t="array" ref="O258">INDEX(FX_Input,$R258,$Y258*O$5+$Z258)</f>
        <v>Jet kerosene</v>
      </c>
      <c r="R258">
        <f>R244+2</f>
        <v>37</v>
      </c>
      <c r="S258">
        <v>1</v>
      </c>
      <c r="T258">
        <v>3</v>
      </c>
      <c r="U258">
        <v>17</v>
      </c>
      <c r="V258">
        <f>U258+5</f>
        <v>22</v>
      </c>
      <c r="W258">
        <v>1</v>
      </c>
      <c r="X258">
        <v>2</v>
      </c>
      <c r="Y258">
        <f t="shared" ref="Y258:Y263" si="558">(V258-U258)/(X258-W258)</f>
        <v>5</v>
      </c>
      <c r="Z258">
        <f t="shared" ref="Z258:Z263" si="559">U258-Y258*W258</f>
        <v>12</v>
      </c>
    </row>
    <row r="259" spans="1:26" x14ac:dyDescent="0.4">
      <c r="C259" t="s">
        <v>529</v>
      </c>
      <c r="D259" cm="1">
        <f t="array" ref="D259">INDEX(FX_Input,$R259,$Y259*D$5+$Z259)</f>
        <v>0</v>
      </c>
      <c r="E259" cm="1">
        <f t="array" ref="E259">INDEX(FX_Input,$R259,$Y259*E$5+$Z259)</f>
        <v>0</v>
      </c>
      <c r="F259" cm="1">
        <f t="array" ref="F259">INDEX(FX_Input,$R259,$Y259*F$5+$Z259)</f>
        <v>0</v>
      </c>
      <c r="G259" cm="1">
        <f t="array" ref="G259">INDEX(FX_Input,$R259,$Y259*G$5+$Z259)</f>
        <v>0</v>
      </c>
      <c r="H259" cm="1">
        <f t="array" ref="H259">INDEX(FX_Input,$R259,$Y259*H$5+$Z259)</f>
        <v>0</v>
      </c>
      <c r="I259" cm="1">
        <f t="array" ref="I259">INDEX(FX_Input,$R259,$Y259*I$5+$Z259)</f>
        <v>0</v>
      </c>
      <c r="J259" cm="1">
        <f t="array" ref="J259">INDEX(FX_Input,$R259,$Y259*J$5+$Z259)</f>
        <v>0</v>
      </c>
      <c r="K259" cm="1">
        <f t="array" ref="K259">INDEX(FX_Input,$R259,$Y259*K$5+$Z259)</f>
        <v>0</v>
      </c>
      <c r="L259" cm="1">
        <f t="array" ref="L259">INDEX(FX_Input,$R259,$Y259*L$5+$Z259)</f>
        <v>0</v>
      </c>
      <c r="M259" cm="1">
        <f t="array" ref="M259">INDEX(FX_Input,$R259,$Y259*M$5+$Z259)</f>
        <v>0</v>
      </c>
      <c r="N259" cm="1">
        <f t="array" ref="N259">INDEX(FX_Input,$R259,$Y259*N$5+$Z259)</f>
        <v>0</v>
      </c>
      <c r="O259" cm="1">
        <f t="array" ref="O259">INDEX(FX_Input,$R259,$Y259*O$5+$Z259)</f>
        <v>0</v>
      </c>
      <c r="R259">
        <f>R258+1</f>
        <v>38</v>
      </c>
      <c r="U259">
        <f>U258</f>
        <v>17</v>
      </c>
      <c r="V259">
        <f t="shared" ref="V259:V263" si="560">U259+5</f>
        <v>22</v>
      </c>
      <c r="W259">
        <v>1</v>
      </c>
      <c r="X259">
        <v>2</v>
      </c>
      <c r="Y259">
        <f t="shared" si="558"/>
        <v>5</v>
      </c>
      <c r="Z259">
        <f t="shared" si="559"/>
        <v>12</v>
      </c>
    </row>
    <row r="260" spans="1:26" x14ac:dyDescent="0.4">
      <c r="C260" t="s">
        <v>530</v>
      </c>
      <c r="D260" t="str" cm="1">
        <f t="array" ref="D260">INDEX(FX_Input,$R260,$Y260*D$5+$Z260)</f>
        <v>Select Pet Stock</v>
      </c>
      <c r="E260" t="str" cm="1">
        <f t="array" ref="E260">INDEX(FX_Input,$R260,$Y260*E$5+$Z260)</f>
        <v>Select Pet Stock</v>
      </c>
      <c r="F260" t="str" cm="1">
        <f t="array" ref="F260">INDEX(FX_Input,$R260,$Y260*F$5+$Z260)</f>
        <v>Select Pet Stock</v>
      </c>
      <c r="G260" t="str" cm="1">
        <f t="array" ref="G260">INDEX(FX_Input,$R260,$Y260*G$5+$Z260)</f>
        <v>Select Pet Stock</v>
      </c>
      <c r="H260" t="str" cm="1">
        <f t="array" ref="H260">INDEX(FX_Input,$R260,$Y260*H$5+$Z260)</f>
        <v>Select Pet Stock</v>
      </c>
      <c r="I260" t="str" cm="1">
        <f t="array" ref="I260">INDEX(FX_Input,$R260,$Y260*I$5+$Z260)</f>
        <v>Select Pet Stock</v>
      </c>
      <c r="J260" t="str" cm="1">
        <f t="array" ref="J260">INDEX(FX_Input,$R260,$Y260*J$5+$Z260)</f>
        <v>Select Pet Stock</v>
      </c>
      <c r="K260" t="str" cm="1">
        <f t="array" ref="K260">INDEX(FX_Input,$R260,$Y260*K$5+$Z260)</f>
        <v>Select Pet Stock</v>
      </c>
      <c r="L260" t="str" cm="1">
        <f t="array" ref="L260">INDEX(FX_Input,$R260,$Y260*L$5+$Z260)</f>
        <v>Select Pet Stock</v>
      </c>
      <c r="M260" t="str" cm="1">
        <f t="array" ref="M260">INDEX(FX_Input,$R260,$Y260*M$5+$Z260)</f>
        <v>Select Pet Stock</v>
      </c>
      <c r="N260" t="str" cm="1">
        <f t="array" ref="N260">INDEX(FX_Input,$R260,$Y260*N$5+$Z260)</f>
        <v>Select Pet Stock</v>
      </c>
      <c r="O260" t="str" cm="1">
        <f t="array" ref="O260">INDEX(FX_Input,$R260,$Y260*O$5+$Z260)</f>
        <v>Select Pet Stock</v>
      </c>
      <c r="R260">
        <f>R258</f>
        <v>37</v>
      </c>
      <c r="U260">
        <v>18</v>
      </c>
      <c r="V260">
        <f t="shared" si="560"/>
        <v>23</v>
      </c>
      <c r="W260">
        <v>1</v>
      </c>
      <c r="X260">
        <v>2</v>
      </c>
      <c r="Y260">
        <f t="shared" si="558"/>
        <v>5</v>
      </c>
      <c r="Z260">
        <f t="shared" si="559"/>
        <v>13</v>
      </c>
    </row>
    <row r="261" spans="1:26" x14ac:dyDescent="0.4">
      <c r="C261" t="s">
        <v>531</v>
      </c>
      <c r="D261" cm="1">
        <f t="array" ref="D261">INDEX(FX_Input,$R261,$Y261*D$5+$Z261)</f>
        <v>0</v>
      </c>
      <c r="E261" cm="1">
        <f t="array" ref="E261">INDEX(FX_Input,$R261,$Y261*E$5+$Z261)</f>
        <v>0</v>
      </c>
      <c r="F261" cm="1">
        <f t="array" ref="F261">INDEX(FX_Input,$R261,$Y261*F$5+$Z261)</f>
        <v>0</v>
      </c>
      <c r="G261" cm="1">
        <f t="array" ref="G261">INDEX(FX_Input,$R261,$Y261*G$5+$Z261)</f>
        <v>0</v>
      </c>
      <c r="H261" cm="1">
        <f t="array" ref="H261">INDEX(FX_Input,$R261,$Y261*H$5+$Z261)</f>
        <v>0</v>
      </c>
      <c r="I261" cm="1">
        <f t="array" ref="I261">INDEX(FX_Input,$R261,$Y261*I$5+$Z261)</f>
        <v>0</v>
      </c>
      <c r="J261" cm="1">
        <f t="array" ref="J261">INDEX(FX_Input,$R261,$Y261*J$5+$Z261)</f>
        <v>0</v>
      </c>
      <c r="K261" cm="1">
        <f t="array" ref="K261">INDEX(FX_Input,$R261,$Y261*K$5+$Z261)</f>
        <v>0</v>
      </c>
      <c r="L261" cm="1">
        <f t="array" ref="L261">INDEX(FX_Input,$R261,$Y261*L$5+$Z261)</f>
        <v>0</v>
      </c>
      <c r="M261" cm="1">
        <f t="array" ref="M261">INDEX(FX_Input,$R261,$Y261*M$5+$Z261)</f>
        <v>0</v>
      </c>
      <c r="N261" cm="1">
        <f t="array" ref="N261">INDEX(FX_Input,$R261,$Y261*N$5+$Z261)</f>
        <v>0</v>
      </c>
      <c r="O261" cm="1">
        <f t="array" ref="O261">INDEX(FX_Input,$R261,$Y261*O$5+$Z261)</f>
        <v>0</v>
      </c>
      <c r="R261">
        <f>R259</f>
        <v>38</v>
      </c>
      <c r="U261">
        <f>U260</f>
        <v>18</v>
      </c>
      <c r="V261">
        <f t="shared" si="560"/>
        <v>23</v>
      </c>
      <c r="W261">
        <v>1</v>
      </c>
      <c r="X261">
        <v>2</v>
      </c>
      <c r="Y261">
        <f t="shared" si="558"/>
        <v>5</v>
      </c>
      <c r="Z261">
        <f t="shared" si="559"/>
        <v>13</v>
      </c>
    </row>
    <row r="262" spans="1:26" x14ac:dyDescent="0.4">
      <c r="C262" t="s">
        <v>546</v>
      </c>
      <c r="D262" cm="1">
        <f t="array" ref="D262">INDEX(FX_Input,$R262,$Y262*D$5+$Z262)</f>
        <v>1</v>
      </c>
      <c r="E262" cm="1">
        <f t="array" ref="E262">INDEX(FX_Input,$R262,$Y262*E$5+$Z262)</f>
        <v>1</v>
      </c>
      <c r="F262" cm="1">
        <f t="array" ref="F262">INDEX(FX_Input,$R262,$Y262*F$5+$Z262)</f>
        <v>1</v>
      </c>
      <c r="G262" cm="1">
        <f t="array" ref="G262">INDEX(FX_Input,$R262,$Y262*G$5+$Z262)</f>
        <v>1</v>
      </c>
      <c r="H262" cm="1">
        <f t="array" ref="H262">INDEX(FX_Input,$R262,$Y262*H$5+$Z262)</f>
        <v>1</v>
      </c>
      <c r="I262" cm="1">
        <f t="array" ref="I262">INDEX(FX_Input,$R262,$Y262*I$5+$Z262)</f>
        <v>1</v>
      </c>
      <c r="J262" cm="1">
        <f t="array" ref="J262">INDEX(FX_Input,$R262,$Y262*J$5+$Z262)</f>
        <v>1</v>
      </c>
      <c r="K262" cm="1">
        <f t="array" ref="K262">INDEX(FX_Input,$R262,$Y262*K$5+$Z262)</f>
        <v>1</v>
      </c>
      <c r="L262" cm="1">
        <f t="array" ref="L262">INDEX(FX_Input,$R262,$Y262*L$5+$Z262)</f>
        <v>1</v>
      </c>
      <c r="M262" cm="1">
        <f t="array" ref="M262">INDEX(FX_Input,$R262,$Y262*M$5+$Z262)</f>
        <v>1</v>
      </c>
      <c r="N262" cm="1">
        <f t="array" ref="N262">INDEX(FX_Input,$R262,$Y262*N$5+$Z262)</f>
        <v>1</v>
      </c>
      <c r="O262" cm="1">
        <f t="array" ref="O262">INDEX(FX_Input,$R262,$Y262*O$5+$Z262)</f>
        <v>1</v>
      </c>
      <c r="R262">
        <f>R260</f>
        <v>37</v>
      </c>
      <c r="U262">
        <v>21</v>
      </c>
      <c r="V262">
        <f t="shared" si="560"/>
        <v>26</v>
      </c>
      <c r="W262">
        <v>1</v>
      </c>
      <c r="X262">
        <v>2</v>
      </c>
      <c r="Y262">
        <f t="shared" si="558"/>
        <v>5</v>
      </c>
      <c r="Z262">
        <f t="shared" si="559"/>
        <v>16</v>
      </c>
    </row>
    <row r="263" spans="1:26" x14ac:dyDescent="0.4">
      <c r="C263" t="s">
        <v>547</v>
      </c>
      <c r="D263" cm="1">
        <f t="array" ref="D263">INDEX(FX_Input,$R263,$Y263*D$5+$Z263)</f>
        <v>0</v>
      </c>
      <c r="E263" cm="1">
        <f t="array" ref="E263">INDEX(FX_Input,$R263,$Y263*E$5+$Z263)</f>
        <v>0</v>
      </c>
      <c r="F263" cm="1">
        <f t="array" ref="F263">INDEX(FX_Input,$R263,$Y263*F$5+$Z263)</f>
        <v>0</v>
      </c>
      <c r="G263" cm="1">
        <f t="array" ref="G263">INDEX(FX_Input,$R263,$Y263*G$5+$Z263)</f>
        <v>0</v>
      </c>
      <c r="H263" cm="1">
        <f t="array" ref="H263">INDEX(FX_Input,$R263,$Y263*H$5+$Z263)</f>
        <v>0</v>
      </c>
      <c r="I263" cm="1">
        <f t="array" ref="I263">INDEX(FX_Input,$R263,$Y263*I$5+$Z263)</f>
        <v>0</v>
      </c>
      <c r="J263" cm="1">
        <f t="array" ref="J263">INDEX(FX_Input,$R263,$Y263*J$5+$Z263)</f>
        <v>0</v>
      </c>
      <c r="K263" cm="1">
        <f t="array" ref="K263">INDEX(FX_Input,$R263,$Y263*K$5+$Z263)</f>
        <v>0</v>
      </c>
      <c r="L263" cm="1">
        <f t="array" ref="L263">INDEX(FX_Input,$R263,$Y263*L$5+$Z263)</f>
        <v>0</v>
      </c>
      <c r="M263" cm="1">
        <f t="array" ref="M263">INDEX(FX_Input,$R263,$Y263*M$5+$Z263)</f>
        <v>0</v>
      </c>
      <c r="N263" cm="1">
        <f t="array" ref="N263">INDEX(FX_Input,$R263,$Y263*N$5+$Z263)</f>
        <v>0</v>
      </c>
      <c r="O263" cm="1">
        <f t="array" ref="O263">INDEX(FX_Input,$R263,$Y263*O$5+$Z263)</f>
        <v>0</v>
      </c>
      <c r="R263">
        <f>R261</f>
        <v>38</v>
      </c>
      <c r="U263">
        <f>U262</f>
        <v>21</v>
      </c>
      <c r="V263">
        <f t="shared" si="560"/>
        <v>26</v>
      </c>
      <c r="W263">
        <v>1</v>
      </c>
      <c r="X263">
        <v>2</v>
      </c>
      <c r="Y263">
        <f t="shared" si="558"/>
        <v>5</v>
      </c>
      <c r="Z263">
        <f t="shared" si="559"/>
        <v>16</v>
      </c>
    </row>
    <row r="264" spans="1:26" x14ac:dyDescent="0.4">
      <c r="C264" t="s">
        <v>532</v>
      </c>
      <c r="D264">
        <f t="shared" ref="D264:O264" si="561">IFERROR(VLOOKUP(D258,Phys_Prop,2,FALSE),0)</f>
        <v>162</v>
      </c>
      <c r="E264">
        <f t="shared" si="561"/>
        <v>162</v>
      </c>
      <c r="F264">
        <f t="shared" si="561"/>
        <v>162</v>
      </c>
      <c r="G264">
        <f t="shared" si="561"/>
        <v>162</v>
      </c>
      <c r="H264">
        <f t="shared" si="561"/>
        <v>162</v>
      </c>
      <c r="I264">
        <f t="shared" si="561"/>
        <v>162</v>
      </c>
      <c r="J264">
        <f t="shared" si="561"/>
        <v>162</v>
      </c>
      <c r="K264">
        <f t="shared" si="561"/>
        <v>162</v>
      </c>
      <c r="L264">
        <f t="shared" si="561"/>
        <v>162</v>
      </c>
      <c r="M264">
        <f t="shared" si="561"/>
        <v>162</v>
      </c>
      <c r="N264">
        <f t="shared" si="561"/>
        <v>162</v>
      </c>
      <c r="O264">
        <f t="shared" si="561"/>
        <v>162</v>
      </c>
    </row>
    <row r="265" spans="1:26" x14ac:dyDescent="0.4">
      <c r="C265" t="s">
        <v>533</v>
      </c>
      <c r="D265">
        <f t="shared" ref="D265:O265" si="562">IFERROR(VLOOKUP(D259,Phys_Prop,2,FALSE),0)</f>
        <v>0</v>
      </c>
      <c r="E265">
        <f t="shared" si="562"/>
        <v>0</v>
      </c>
      <c r="F265">
        <f t="shared" si="562"/>
        <v>0</v>
      </c>
      <c r="G265">
        <f t="shared" si="562"/>
        <v>0</v>
      </c>
      <c r="H265">
        <f t="shared" si="562"/>
        <v>0</v>
      </c>
      <c r="I265">
        <f t="shared" si="562"/>
        <v>0</v>
      </c>
      <c r="J265">
        <f t="shared" si="562"/>
        <v>0</v>
      </c>
      <c r="K265">
        <f t="shared" si="562"/>
        <v>0</v>
      </c>
      <c r="L265">
        <f t="shared" si="562"/>
        <v>0</v>
      </c>
      <c r="M265">
        <f t="shared" si="562"/>
        <v>0</v>
      </c>
      <c r="N265">
        <f t="shared" si="562"/>
        <v>0</v>
      </c>
      <c r="O265">
        <f t="shared" si="562"/>
        <v>0</v>
      </c>
    </row>
    <row r="266" spans="1:26" x14ac:dyDescent="0.4">
      <c r="C266" t="s">
        <v>544</v>
      </c>
      <c r="D266">
        <f>IFERROR(IFERROR(D264/D262+D265/D263,D264/D262),0)</f>
        <v>162</v>
      </c>
      <c r="E266">
        <f t="shared" ref="E266" si="563">IFERROR(IFERROR(E264/E262+E265/E263,E264/E262),0)</f>
        <v>162</v>
      </c>
      <c r="F266">
        <f t="shared" ref="F266" si="564">IFERROR(IFERROR(F264/F262+F265/F263,F264/F262),0)</f>
        <v>162</v>
      </c>
      <c r="G266">
        <f t="shared" ref="G266" si="565">IFERROR(IFERROR(G264/G262+G265/G263,G264/G262),0)</f>
        <v>162</v>
      </c>
      <c r="H266">
        <f t="shared" ref="H266" si="566">IFERROR(IFERROR(H264/H262+H265/H263,H264/H262),0)</f>
        <v>162</v>
      </c>
      <c r="I266">
        <f t="shared" ref="I266" si="567">IFERROR(IFERROR(I264/I262+I265/I263,I264/I262),0)</f>
        <v>162</v>
      </c>
      <c r="J266">
        <f t="shared" ref="J266" si="568">IFERROR(IFERROR(J264/J262+J265/J263,J264/J262),0)</f>
        <v>162</v>
      </c>
      <c r="K266">
        <f t="shared" ref="K266" si="569">IFERROR(IFERROR(K264/K262+K265/K263,K264/K262),0)</f>
        <v>162</v>
      </c>
      <c r="L266">
        <f t="shared" ref="L266" si="570">IFERROR(IFERROR(L264/L262+L265/L263,L264/L262),0)</f>
        <v>162</v>
      </c>
      <c r="M266">
        <f t="shared" ref="M266" si="571">IFERROR(IFERROR(M264/M262+M265/M263,M264/M262),0)</f>
        <v>162</v>
      </c>
      <c r="N266">
        <f t="shared" ref="N266" si="572">IFERROR(IFERROR(N264/N262+N265/N263,N264/N262),0)</f>
        <v>162</v>
      </c>
      <c r="O266">
        <f t="shared" ref="O266" si="573">IFERROR(IFERROR(O264/O262+O265/O263,O264/O262),0)</f>
        <v>162</v>
      </c>
    </row>
    <row r="267" spans="1:26" x14ac:dyDescent="0.4">
      <c r="C267" t="s">
        <v>539</v>
      </c>
      <c r="D267">
        <f>IFERROR((D262/D264)*D266,1)</f>
        <v>1</v>
      </c>
      <c r="E267">
        <f t="shared" ref="E267" si="574">IFERROR((E262/E264)*E266,1)</f>
        <v>1</v>
      </c>
      <c r="F267">
        <f t="shared" ref="F267" si="575">IFERROR((F262/F264)*F266,1)</f>
        <v>1</v>
      </c>
      <c r="G267">
        <f t="shared" ref="G267" si="576">IFERROR((G262/G264)*G266,1)</f>
        <v>1</v>
      </c>
      <c r="H267">
        <f t="shared" ref="H267" si="577">IFERROR((H262/H264)*H266,1)</f>
        <v>1</v>
      </c>
      <c r="I267">
        <f t="shared" ref="I267" si="578">IFERROR((I262/I264)*I266,1)</f>
        <v>1</v>
      </c>
      <c r="J267">
        <f t="shared" ref="J267" si="579">IFERROR((J262/J264)*J266,1)</f>
        <v>1</v>
      </c>
      <c r="K267">
        <f t="shared" ref="K267" si="580">IFERROR((K262/K264)*K266,1)</f>
        <v>1</v>
      </c>
      <c r="L267">
        <f t="shared" ref="L267" si="581">IFERROR((L262/L264)*L266,1)</f>
        <v>1</v>
      </c>
      <c r="M267">
        <f t="shared" ref="M267" si="582">IFERROR((M262/M264)*M266,1)</f>
        <v>1</v>
      </c>
      <c r="N267">
        <f t="shared" ref="N267" si="583">IFERROR((N262/N264)*N266,1)</f>
        <v>1</v>
      </c>
      <c r="O267">
        <f t="shared" ref="O267" si="584">IFERROR((O262/O264)*O266,1)</f>
        <v>1</v>
      </c>
    </row>
    <row r="268" spans="1:26" x14ac:dyDescent="0.4">
      <c r="C268" t="s">
        <v>540</v>
      </c>
      <c r="D268">
        <f>IFERROR((D263/D265)*D266,0)</f>
        <v>0</v>
      </c>
      <c r="E268">
        <f t="shared" ref="E268:O268" si="585">IFERROR((E263/E265)*E266,0)</f>
        <v>0</v>
      </c>
      <c r="F268">
        <f t="shared" si="585"/>
        <v>0</v>
      </c>
      <c r="G268">
        <f t="shared" si="585"/>
        <v>0</v>
      </c>
      <c r="H268">
        <f t="shared" si="585"/>
        <v>0</v>
      </c>
      <c r="I268">
        <f t="shared" si="585"/>
        <v>0</v>
      </c>
      <c r="J268">
        <f t="shared" si="585"/>
        <v>0</v>
      </c>
      <c r="K268">
        <f t="shared" si="585"/>
        <v>0</v>
      </c>
      <c r="L268">
        <f t="shared" si="585"/>
        <v>0</v>
      </c>
      <c r="M268">
        <f t="shared" si="585"/>
        <v>0</v>
      </c>
      <c r="N268">
        <f t="shared" si="585"/>
        <v>0</v>
      </c>
      <c r="O268">
        <f t="shared" si="585"/>
        <v>0</v>
      </c>
    </row>
    <row r="269" spans="1:26" x14ac:dyDescent="0.4">
      <c r="C269" s="21" t="s">
        <v>534</v>
      </c>
      <c r="D269">
        <f t="shared" ref="D269:O269" si="586">IFERROR(VLOOKUP(D258,Phys_Prop,4,FALSE),0)</f>
        <v>7</v>
      </c>
      <c r="E269">
        <f t="shared" si="586"/>
        <v>7</v>
      </c>
      <c r="F269">
        <f t="shared" si="586"/>
        <v>7</v>
      </c>
      <c r="G269">
        <f t="shared" si="586"/>
        <v>7</v>
      </c>
      <c r="H269">
        <f t="shared" si="586"/>
        <v>7</v>
      </c>
      <c r="I269">
        <f t="shared" si="586"/>
        <v>7</v>
      </c>
      <c r="J269">
        <f t="shared" si="586"/>
        <v>7</v>
      </c>
      <c r="K269">
        <f t="shared" si="586"/>
        <v>7</v>
      </c>
      <c r="L269">
        <f t="shared" si="586"/>
        <v>7</v>
      </c>
      <c r="M269">
        <f t="shared" si="586"/>
        <v>7</v>
      </c>
      <c r="N269">
        <f t="shared" si="586"/>
        <v>7</v>
      </c>
      <c r="O269">
        <f t="shared" si="586"/>
        <v>7</v>
      </c>
    </row>
    <row r="270" spans="1:26" x14ac:dyDescent="0.4">
      <c r="C270" s="21" t="s">
        <v>535</v>
      </c>
      <c r="D270">
        <f t="shared" ref="D270:O270" si="587">IFERROR(VLOOKUP(D259,Phys_Prop,4,FALSE),0)</f>
        <v>0</v>
      </c>
      <c r="E270">
        <f t="shared" si="587"/>
        <v>0</v>
      </c>
      <c r="F270">
        <f t="shared" si="587"/>
        <v>0</v>
      </c>
      <c r="G270">
        <f t="shared" si="587"/>
        <v>0</v>
      </c>
      <c r="H270">
        <f t="shared" si="587"/>
        <v>0</v>
      </c>
      <c r="I270">
        <f t="shared" si="587"/>
        <v>0</v>
      </c>
      <c r="J270">
        <f t="shared" si="587"/>
        <v>0</v>
      </c>
      <c r="K270">
        <f t="shared" si="587"/>
        <v>0</v>
      </c>
      <c r="L270">
        <f t="shared" si="587"/>
        <v>0</v>
      </c>
      <c r="M270">
        <f t="shared" si="587"/>
        <v>0</v>
      </c>
      <c r="N270">
        <f t="shared" si="587"/>
        <v>0</v>
      </c>
      <c r="O270">
        <f t="shared" si="587"/>
        <v>0</v>
      </c>
    </row>
    <row r="271" spans="1:26" x14ac:dyDescent="0.4">
      <c r="A271" s="11"/>
      <c r="B271" s="11"/>
      <c r="C271" s="62" t="s">
        <v>536</v>
      </c>
      <c r="D271" s="11">
        <f>IFERROR(1/(D267/D269+D268/D270),D269)</f>
        <v>7</v>
      </c>
      <c r="E271" s="11">
        <f t="shared" ref="E271:O271" si="588">IFERROR(1/(E267/E269+E268/E270),E269)</f>
        <v>7</v>
      </c>
      <c r="F271" s="11">
        <f t="shared" si="588"/>
        <v>7</v>
      </c>
      <c r="G271" s="11">
        <f t="shared" si="588"/>
        <v>7</v>
      </c>
      <c r="H271" s="11">
        <f t="shared" si="588"/>
        <v>7</v>
      </c>
      <c r="I271" s="11">
        <f t="shared" si="588"/>
        <v>7</v>
      </c>
      <c r="J271" s="11">
        <f t="shared" si="588"/>
        <v>7</v>
      </c>
      <c r="K271" s="11">
        <f t="shared" si="588"/>
        <v>7</v>
      </c>
      <c r="L271" s="11">
        <f t="shared" si="588"/>
        <v>7</v>
      </c>
      <c r="M271" s="11">
        <f t="shared" si="588"/>
        <v>7</v>
      </c>
      <c r="N271" s="11">
        <f t="shared" si="588"/>
        <v>7</v>
      </c>
      <c r="O271" s="11">
        <f t="shared" si="588"/>
        <v>7</v>
      </c>
      <c r="P271" s="11"/>
      <c r="Q271" s="11"/>
      <c r="R271" s="11"/>
      <c r="S271" s="11"/>
      <c r="T271" s="11"/>
      <c r="U271" s="11"/>
      <c r="V271" s="11"/>
      <c r="W271" s="11"/>
      <c r="X271" s="11"/>
      <c r="Y271" s="11"/>
      <c r="Z271" s="11"/>
    </row>
    <row r="272" spans="1:26" x14ac:dyDescent="0.4">
      <c r="A272" t="str" cm="1">
        <f t="array" ref="A272">INDEX(FX_Input,R272,S272)</f>
        <v>FX - 20</v>
      </c>
      <c r="B272" t="str" cm="1">
        <f t="array" ref="B272">INDEX(FX_Input,R272,T272)</f>
        <v>Portland</v>
      </c>
      <c r="C272" t="s">
        <v>528</v>
      </c>
      <c r="D272" t="str" cm="1">
        <f t="array" ref="D272">INDEX(FX_Input,$R272,$Y272*D$5+$Z272)</f>
        <v>Jet kerosene</v>
      </c>
      <c r="E272" t="str" cm="1">
        <f t="array" ref="E272">INDEX(FX_Input,$R272,$Y272*E$5+$Z272)</f>
        <v>Jet kerosene</v>
      </c>
      <c r="F272" t="str" cm="1">
        <f t="array" ref="F272">INDEX(FX_Input,$R272,$Y272*F$5+$Z272)</f>
        <v>Jet kerosene</v>
      </c>
      <c r="G272" t="str" cm="1">
        <f t="array" ref="G272">INDEX(FX_Input,$R272,$Y272*G$5+$Z272)</f>
        <v>Jet kerosene</v>
      </c>
      <c r="H272" t="str" cm="1">
        <f t="array" ref="H272">INDEX(FX_Input,$R272,$Y272*H$5+$Z272)</f>
        <v>Jet kerosene</v>
      </c>
      <c r="I272" t="str" cm="1">
        <f t="array" ref="I272">INDEX(FX_Input,$R272,$Y272*I$5+$Z272)</f>
        <v>Jet kerosene</v>
      </c>
      <c r="J272" t="str" cm="1">
        <f t="array" ref="J272">INDEX(FX_Input,$R272,$Y272*J$5+$Z272)</f>
        <v>Jet kerosene</v>
      </c>
      <c r="K272" t="str" cm="1">
        <f t="array" ref="K272">INDEX(FX_Input,$R272,$Y272*K$5+$Z272)</f>
        <v>Jet kerosene</v>
      </c>
      <c r="L272" t="str" cm="1">
        <f t="array" ref="L272">INDEX(FX_Input,$R272,$Y272*L$5+$Z272)</f>
        <v>Jet kerosene</v>
      </c>
      <c r="M272" t="str" cm="1">
        <f t="array" ref="M272">INDEX(FX_Input,$R272,$Y272*M$5+$Z272)</f>
        <v>Jet kerosene</v>
      </c>
      <c r="N272" t="str" cm="1">
        <f t="array" ref="N272">INDEX(FX_Input,$R272,$Y272*N$5+$Z272)</f>
        <v>Jet kerosene</v>
      </c>
      <c r="O272" t="str" cm="1">
        <f t="array" ref="O272">INDEX(FX_Input,$R272,$Y272*O$5+$Z272)</f>
        <v>Jet kerosene</v>
      </c>
      <c r="R272">
        <f>R258+2</f>
        <v>39</v>
      </c>
      <c r="S272">
        <v>1</v>
      </c>
      <c r="T272">
        <v>3</v>
      </c>
      <c r="U272">
        <v>17</v>
      </c>
      <c r="V272">
        <f>U272+5</f>
        <v>22</v>
      </c>
      <c r="W272">
        <v>1</v>
      </c>
      <c r="X272">
        <v>2</v>
      </c>
      <c r="Y272">
        <f t="shared" ref="Y272:Y277" si="589">(V272-U272)/(X272-W272)</f>
        <v>5</v>
      </c>
      <c r="Z272">
        <f t="shared" ref="Z272:Z277" si="590">U272-Y272*W272</f>
        <v>12</v>
      </c>
    </row>
    <row r="273" spans="1:26" x14ac:dyDescent="0.4">
      <c r="C273" t="s">
        <v>529</v>
      </c>
      <c r="D273" cm="1">
        <f t="array" ref="D273">INDEX(FX_Input,$R273,$Y273*D$5+$Z273)</f>
        <v>0</v>
      </c>
      <c r="E273" cm="1">
        <f t="array" ref="E273">INDEX(FX_Input,$R273,$Y273*E$5+$Z273)</f>
        <v>0</v>
      </c>
      <c r="F273" cm="1">
        <f t="array" ref="F273">INDEX(FX_Input,$R273,$Y273*F$5+$Z273)</f>
        <v>0</v>
      </c>
      <c r="G273" cm="1">
        <f t="array" ref="G273">INDEX(FX_Input,$R273,$Y273*G$5+$Z273)</f>
        <v>0</v>
      </c>
      <c r="H273" cm="1">
        <f t="array" ref="H273">INDEX(FX_Input,$R273,$Y273*H$5+$Z273)</f>
        <v>0</v>
      </c>
      <c r="I273" cm="1">
        <f t="array" ref="I273">INDEX(FX_Input,$R273,$Y273*I$5+$Z273)</f>
        <v>0</v>
      </c>
      <c r="J273" cm="1">
        <f t="array" ref="J273">INDEX(FX_Input,$R273,$Y273*J$5+$Z273)</f>
        <v>0</v>
      </c>
      <c r="K273" cm="1">
        <f t="array" ref="K273">INDEX(FX_Input,$R273,$Y273*K$5+$Z273)</f>
        <v>0</v>
      </c>
      <c r="L273" cm="1">
        <f t="array" ref="L273">INDEX(FX_Input,$R273,$Y273*L$5+$Z273)</f>
        <v>0</v>
      </c>
      <c r="M273" cm="1">
        <f t="array" ref="M273">INDEX(FX_Input,$R273,$Y273*M$5+$Z273)</f>
        <v>0</v>
      </c>
      <c r="N273" cm="1">
        <f t="array" ref="N273">INDEX(FX_Input,$R273,$Y273*N$5+$Z273)</f>
        <v>0</v>
      </c>
      <c r="O273" cm="1">
        <f t="array" ref="O273">INDEX(FX_Input,$R273,$Y273*O$5+$Z273)</f>
        <v>0</v>
      </c>
      <c r="R273">
        <f>R272+1</f>
        <v>40</v>
      </c>
      <c r="U273">
        <f>U272</f>
        <v>17</v>
      </c>
      <c r="V273">
        <f t="shared" ref="V273:V277" si="591">U273+5</f>
        <v>22</v>
      </c>
      <c r="W273">
        <v>1</v>
      </c>
      <c r="X273">
        <v>2</v>
      </c>
      <c r="Y273">
        <f t="shared" si="589"/>
        <v>5</v>
      </c>
      <c r="Z273">
        <f t="shared" si="590"/>
        <v>12</v>
      </c>
    </row>
    <row r="274" spans="1:26" x14ac:dyDescent="0.4">
      <c r="C274" t="s">
        <v>530</v>
      </c>
      <c r="D274" t="str" cm="1">
        <f t="array" ref="D274">INDEX(FX_Input,$R274,$Y274*D$5+$Z274)</f>
        <v>Select Pet Stock</v>
      </c>
      <c r="E274" t="str" cm="1">
        <f t="array" ref="E274">INDEX(FX_Input,$R274,$Y274*E$5+$Z274)</f>
        <v>Select Pet Stock</v>
      </c>
      <c r="F274" t="str" cm="1">
        <f t="array" ref="F274">INDEX(FX_Input,$R274,$Y274*F$5+$Z274)</f>
        <v>Select Pet Stock</v>
      </c>
      <c r="G274" t="str" cm="1">
        <f t="array" ref="G274">INDEX(FX_Input,$R274,$Y274*G$5+$Z274)</f>
        <v>Select Pet Stock</v>
      </c>
      <c r="H274" t="str" cm="1">
        <f t="array" ref="H274">INDEX(FX_Input,$R274,$Y274*H$5+$Z274)</f>
        <v>Select Pet Stock</v>
      </c>
      <c r="I274" t="str" cm="1">
        <f t="array" ref="I274">INDEX(FX_Input,$R274,$Y274*I$5+$Z274)</f>
        <v>Select Pet Stock</v>
      </c>
      <c r="J274" t="str" cm="1">
        <f t="array" ref="J274">INDEX(FX_Input,$R274,$Y274*J$5+$Z274)</f>
        <v>Select Pet Stock</v>
      </c>
      <c r="K274" t="str" cm="1">
        <f t="array" ref="K274">INDEX(FX_Input,$R274,$Y274*K$5+$Z274)</f>
        <v>Select Pet Stock</v>
      </c>
      <c r="L274" t="str" cm="1">
        <f t="array" ref="L274">INDEX(FX_Input,$R274,$Y274*L$5+$Z274)</f>
        <v>Select Pet Stock</v>
      </c>
      <c r="M274" t="str" cm="1">
        <f t="array" ref="M274">INDEX(FX_Input,$R274,$Y274*M$5+$Z274)</f>
        <v>Select Pet Stock</v>
      </c>
      <c r="N274" t="str" cm="1">
        <f t="array" ref="N274">INDEX(FX_Input,$R274,$Y274*N$5+$Z274)</f>
        <v>Select Pet Stock</v>
      </c>
      <c r="O274" t="str" cm="1">
        <f t="array" ref="O274">INDEX(FX_Input,$R274,$Y274*O$5+$Z274)</f>
        <v>Select Pet Stock</v>
      </c>
      <c r="R274">
        <f>R272</f>
        <v>39</v>
      </c>
      <c r="U274">
        <v>18</v>
      </c>
      <c r="V274">
        <f t="shared" si="591"/>
        <v>23</v>
      </c>
      <c r="W274">
        <v>1</v>
      </c>
      <c r="X274">
        <v>2</v>
      </c>
      <c r="Y274">
        <f t="shared" si="589"/>
        <v>5</v>
      </c>
      <c r="Z274">
        <f t="shared" si="590"/>
        <v>13</v>
      </c>
    </row>
    <row r="275" spans="1:26" x14ac:dyDescent="0.4">
      <c r="C275" t="s">
        <v>531</v>
      </c>
      <c r="D275" cm="1">
        <f t="array" ref="D275">INDEX(FX_Input,$R275,$Y275*D$5+$Z275)</f>
        <v>0</v>
      </c>
      <c r="E275" cm="1">
        <f t="array" ref="E275">INDEX(FX_Input,$R275,$Y275*E$5+$Z275)</f>
        <v>0</v>
      </c>
      <c r="F275" cm="1">
        <f t="array" ref="F275">INDEX(FX_Input,$R275,$Y275*F$5+$Z275)</f>
        <v>0</v>
      </c>
      <c r="G275" cm="1">
        <f t="array" ref="G275">INDEX(FX_Input,$R275,$Y275*G$5+$Z275)</f>
        <v>0</v>
      </c>
      <c r="H275" cm="1">
        <f t="array" ref="H275">INDEX(FX_Input,$R275,$Y275*H$5+$Z275)</f>
        <v>0</v>
      </c>
      <c r="I275" cm="1">
        <f t="array" ref="I275">INDEX(FX_Input,$R275,$Y275*I$5+$Z275)</f>
        <v>0</v>
      </c>
      <c r="J275" cm="1">
        <f t="array" ref="J275">INDEX(FX_Input,$R275,$Y275*J$5+$Z275)</f>
        <v>0</v>
      </c>
      <c r="K275" cm="1">
        <f t="array" ref="K275">INDEX(FX_Input,$R275,$Y275*K$5+$Z275)</f>
        <v>0</v>
      </c>
      <c r="L275" cm="1">
        <f t="array" ref="L275">INDEX(FX_Input,$R275,$Y275*L$5+$Z275)</f>
        <v>0</v>
      </c>
      <c r="M275" cm="1">
        <f t="array" ref="M275">INDEX(FX_Input,$R275,$Y275*M$5+$Z275)</f>
        <v>0</v>
      </c>
      <c r="N275" cm="1">
        <f t="array" ref="N275">INDEX(FX_Input,$R275,$Y275*N$5+$Z275)</f>
        <v>0</v>
      </c>
      <c r="O275" cm="1">
        <f t="array" ref="O275">INDEX(FX_Input,$R275,$Y275*O$5+$Z275)</f>
        <v>0</v>
      </c>
      <c r="R275">
        <f>R273</f>
        <v>40</v>
      </c>
      <c r="U275">
        <f>U274</f>
        <v>18</v>
      </c>
      <c r="V275">
        <f t="shared" si="591"/>
        <v>23</v>
      </c>
      <c r="W275">
        <v>1</v>
      </c>
      <c r="X275">
        <v>2</v>
      </c>
      <c r="Y275">
        <f t="shared" si="589"/>
        <v>5</v>
      </c>
      <c r="Z275">
        <f t="shared" si="590"/>
        <v>13</v>
      </c>
    </row>
    <row r="276" spans="1:26" x14ac:dyDescent="0.4">
      <c r="C276" t="s">
        <v>546</v>
      </c>
      <c r="D276" cm="1">
        <f t="array" ref="D276">INDEX(FX_Input,$R276,$Y276*D$5+$Z276)</f>
        <v>1</v>
      </c>
      <c r="E276" cm="1">
        <f t="array" ref="E276">INDEX(FX_Input,$R276,$Y276*E$5+$Z276)</f>
        <v>1</v>
      </c>
      <c r="F276" cm="1">
        <f t="array" ref="F276">INDEX(FX_Input,$R276,$Y276*F$5+$Z276)</f>
        <v>1</v>
      </c>
      <c r="G276" cm="1">
        <f t="array" ref="G276">INDEX(FX_Input,$R276,$Y276*G$5+$Z276)</f>
        <v>1</v>
      </c>
      <c r="H276" cm="1">
        <f t="array" ref="H276">INDEX(FX_Input,$R276,$Y276*H$5+$Z276)</f>
        <v>1</v>
      </c>
      <c r="I276" cm="1">
        <f t="array" ref="I276">INDEX(FX_Input,$R276,$Y276*I$5+$Z276)</f>
        <v>1</v>
      </c>
      <c r="J276" cm="1">
        <f t="array" ref="J276">INDEX(FX_Input,$R276,$Y276*J$5+$Z276)</f>
        <v>1</v>
      </c>
      <c r="K276" cm="1">
        <f t="array" ref="K276">INDEX(FX_Input,$R276,$Y276*K$5+$Z276)</f>
        <v>1</v>
      </c>
      <c r="L276" cm="1">
        <f t="array" ref="L276">INDEX(FX_Input,$R276,$Y276*L$5+$Z276)</f>
        <v>1</v>
      </c>
      <c r="M276" cm="1">
        <f t="array" ref="M276">INDEX(FX_Input,$R276,$Y276*M$5+$Z276)</f>
        <v>1</v>
      </c>
      <c r="N276" cm="1">
        <f t="array" ref="N276">INDEX(FX_Input,$R276,$Y276*N$5+$Z276)</f>
        <v>1</v>
      </c>
      <c r="O276" cm="1">
        <f t="array" ref="O276">INDEX(FX_Input,$R276,$Y276*O$5+$Z276)</f>
        <v>1</v>
      </c>
      <c r="R276">
        <f>R274</f>
        <v>39</v>
      </c>
      <c r="U276">
        <v>21</v>
      </c>
      <c r="V276">
        <f t="shared" si="591"/>
        <v>26</v>
      </c>
      <c r="W276">
        <v>1</v>
      </c>
      <c r="X276">
        <v>2</v>
      </c>
      <c r="Y276">
        <f t="shared" si="589"/>
        <v>5</v>
      </c>
      <c r="Z276">
        <f t="shared" si="590"/>
        <v>16</v>
      </c>
    </row>
    <row r="277" spans="1:26" x14ac:dyDescent="0.4">
      <c r="C277" t="s">
        <v>547</v>
      </c>
      <c r="D277" cm="1">
        <f t="array" ref="D277">INDEX(FX_Input,$R277,$Y277*D$5+$Z277)</f>
        <v>0</v>
      </c>
      <c r="E277" cm="1">
        <f t="array" ref="E277">INDEX(FX_Input,$R277,$Y277*E$5+$Z277)</f>
        <v>0</v>
      </c>
      <c r="F277" cm="1">
        <f t="array" ref="F277">INDEX(FX_Input,$R277,$Y277*F$5+$Z277)</f>
        <v>0</v>
      </c>
      <c r="G277" cm="1">
        <f t="array" ref="G277">INDEX(FX_Input,$R277,$Y277*G$5+$Z277)</f>
        <v>0</v>
      </c>
      <c r="H277" cm="1">
        <f t="array" ref="H277">INDEX(FX_Input,$R277,$Y277*H$5+$Z277)</f>
        <v>0</v>
      </c>
      <c r="I277" cm="1">
        <f t="array" ref="I277">INDEX(FX_Input,$R277,$Y277*I$5+$Z277)</f>
        <v>0</v>
      </c>
      <c r="J277" cm="1">
        <f t="array" ref="J277">INDEX(FX_Input,$R277,$Y277*J$5+$Z277)</f>
        <v>0</v>
      </c>
      <c r="K277" cm="1">
        <f t="array" ref="K277">INDEX(FX_Input,$R277,$Y277*K$5+$Z277)</f>
        <v>0</v>
      </c>
      <c r="L277" cm="1">
        <f t="array" ref="L277">INDEX(FX_Input,$R277,$Y277*L$5+$Z277)</f>
        <v>0</v>
      </c>
      <c r="M277" cm="1">
        <f t="array" ref="M277">INDEX(FX_Input,$R277,$Y277*M$5+$Z277)</f>
        <v>0</v>
      </c>
      <c r="N277" cm="1">
        <f t="array" ref="N277">INDEX(FX_Input,$R277,$Y277*N$5+$Z277)</f>
        <v>0</v>
      </c>
      <c r="O277" cm="1">
        <f t="array" ref="O277">INDEX(FX_Input,$R277,$Y277*O$5+$Z277)</f>
        <v>0</v>
      </c>
      <c r="R277">
        <f>R275</f>
        <v>40</v>
      </c>
      <c r="U277">
        <f>U276</f>
        <v>21</v>
      </c>
      <c r="V277">
        <f t="shared" si="591"/>
        <v>26</v>
      </c>
      <c r="W277">
        <v>1</v>
      </c>
      <c r="X277">
        <v>2</v>
      </c>
      <c r="Y277">
        <f t="shared" si="589"/>
        <v>5</v>
      </c>
      <c r="Z277">
        <f t="shared" si="590"/>
        <v>16</v>
      </c>
    </row>
    <row r="278" spans="1:26" x14ac:dyDescent="0.4">
      <c r="C278" t="s">
        <v>532</v>
      </c>
      <c r="D278">
        <f t="shared" ref="D278:O278" si="592">IFERROR(VLOOKUP(D272,Phys_Prop,2,FALSE),0)</f>
        <v>162</v>
      </c>
      <c r="E278">
        <f t="shared" si="592"/>
        <v>162</v>
      </c>
      <c r="F278">
        <f t="shared" si="592"/>
        <v>162</v>
      </c>
      <c r="G278">
        <f t="shared" si="592"/>
        <v>162</v>
      </c>
      <c r="H278">
        <f t="shared" si="592"/>
        <v>162</v>
      </c>
      <c r="I278">
        <f t="shared" si="592"/>
        <v>162</v>
      </c>
      <c r="J278">
        <f t="shared" si="592"/>
        <v>162</v>
      </c>
      <c r="K278">
        <f t="shared" si="592"/>
        <v>162</v>
      </c>
      <c r="L278">
        <f t="shared" si="592"/>
        <v>162</v>
      </c>
      <c r="M278">
        <f t="shared" si="592"/>
        <v>162</v>
      </c>
      <c r="N278">
        <f t="shared" si="592"/>
        <v>162</v>
      </c>
      <c r="O278">
        <f t="shared" si="592"/>
        <v>162</v>
      </c>
    </row>
    <row r="279" spans="1:26" x14ac:dyDescent="0.4">
      <c r="C279" t="s">
        <v>533</v>
      </c>
      <c r="D279">
        <f t="shared" ref="D279:O279" si="593">IFERROR(VLOOKUP(D273,Phys_Prop,2,FALSE),0)</f>
        <v>0</v>
      </c>
      <c r="E279">
        <f t="shared" si="593"/>
        <v>0</v>
      </c>
      <c r="F279">
        <f t="shared" si="593"/>
        <v>0</v>
      </c>
      <c r="G279">
        <f t="shared" si="593"/>
        <v>0</v>
      </c>
      <c r="H279">
        <f t="shared" si="593"/>
        <v>0</v>
      </c>
      <c r="I279">
        <f t="shared" si="593"/>
        <v>0</v>
      </c>
      <c r="J279">
        <f t="shared" si="593"/>
        <v>0</v>
      </c>
      <c r="K279">
        <f t="shared" si="593"/>
        <v>0</v>
      </c>
      <c r="L279">
        <f t="shared" si="593"/>
        <v>0</v>
      </c>
      <c r="M279">
        <f t="shared" si="593"/>
        <v>0</v>
      </c>
      <c r="N279">
        <f t="shared" si="593"/>
        <v>0</v>
      </c>
      <c r="O279">
        <f t="shared" si="593"/>
        <v>0</v>
      </c>
    </row>
    <row r="280" spans="1:26" x14ac:dyDescent="0.4">
      <c r="C280" t="s">
        <v>544</v>
      </c>
      <c r="D280">
        <f>IFERROR(IFERROR(D278/D276+D279/D277,D278/D276),0)</f>
        <v>162</v>
      </c>
      <c r="E280">
        <f t="shared" ref="E280" si="594">IFERROR(IFERROR(E278/E276+E279/E277,E278/E276),0)</f>
        <v>162</v>
      </c>
      <c r="F280">
        <f t="shared" ref="F280" si="595">IFERROR(IFERROR(F278/F276+F279/F277,F278/F276),0)</f>
        <v>162</v>
      </c>
      <c r="G280">
        <f t="shared" ref="G280" si="596">IFERROR(IFERROR(G278/G276+G279/G277,G278/G276),0)</f>
        <v>162</v>
      </c>
      <c r="H280">
        <f t="shared" ref="H280" si="597">IFERROR(IFERROR(H278/H276+H279/H277,H278/H276),0)</f>
        <v>162</v>
      </c>
      <c r="I280">
        <f t="shared" ref="I280" si="598">IFERROR(IFERROR(I278/I276+I279/I277,I278/I276),0)</f>
        <v>162</v>
      </c>
      <c r="J280">
        <f t="shared" ref="J280" si="599">IFERROR(IFERROR(J278/J276+J279/J277,J278/J276),0)</f>
        <v>162</v>
      </c>
      <c r="K280">
        <f t="shared" ref="K280" si="600">IFERROR(IFERROR(K278/K276+K279/K277,K278/K276),0)</f>
        <v>162</v>
      </c>
      <c r="L280">
        <f t="shared" ref="L280" si="601">IFERROR(IFERROR(L278/L276+L279/L277,L278/L276),0)</f>
        <v>162</v>
      </c>
      <c r="M280">
        <f t="shared" ref="M280" si="602">IFERROR(IFERROR(M278/M276+M279/M277,M278/M276),0)</f>
        <v>162</v>
      </c>
      <c r="N280">
        <f t="shared" ref="N280" si="603">IFERROR(IFERROR(N278/N276+N279/N277,N278/N276),0)</f>
        <v>162</v>
      </c>
      <c r="O280">
        <f t="shared" ref="O280" si="604">IFERROR(IFERROR(O278/O276+O279/O277,O278/O276),0)</f>
        <v>162</v>
      </c>
    </row>
    <row r="281" spans="1:26" x14ac:dyDescent="0.4">
      <c r="C281" t="s">
        <v>539</v>
      </c>
      <c r="D281">
        <f>IFERROR((D276/D278)*D280,1)</f>
        <v>1</v>
      </c>
      <c r="E281">
        <f t="shared" ref="E281" si="605">IFERROR((E276/E278)*E280,1)</f>
        <v>1</v>
      </c>
      <c r="F281">
        <f t="shared" ref="F281" si="606">IFERROR((F276/F278)*F280,1)</f>
        <v>1</v>
      </c>
      <c r="G281">
        <f t="shared" ref="G281" si="607">IFERROR((G276/G278)*G280,1)</f>
        <v>1</v>
      </c>
      <c r="H281">
        <f t="shared" ref="H281" si="608">IFERROR((H276/H278)*H280,1)</f>
        <v>1</v>
      </c>
      <c r="I281">
        <f t="shared" ref="I281" si="609">IFERROR((I276/I278)*I280,1)</f>
        <v>1</v>
      </c>
      <c r="J281">
        <f t="shared" ref="J281" si="610">IFERROR((J276/J278)*J280,1)</f>
        <v>1</v>
      </c>
      <c r="K281">
        <f t="shared" ref="K281" si="611">IFERROR((K276/K278)*K280,1)</f>
        <v>1</v>
      </c>
      <c r="L281">
        <f t="shared" ref="L281" si="612">IFERROR((L276/L278)*L280,1)</f>
        <v>1</v>
      </c>
      <c r="M281">
        <f t="shared" ref="M281" si="613">IFERROR((M276/M278)*M280,1)</f>
        <v>1</v>
      </c>
      <c r="N281">
        <f t="shared" ref="N281" si="614">IFERROR((N276/N278)*N280,1)</f>
        <v>1</v>
      </c>
      <c r="O281">
        <f t="shared" ref="O281" si="615">IFERROR((O276/O278)*O280,1)</f>
        <v>1</v>
      </c>
    </row>
    <row r="282" spans="1:26" x14ac:dyDescent="0.4">
      <c r="C282" t="s">
        <v>540</v>
      </c>
      <c r="D282">
        <f>IFERROR((D277/D279)*D280,0)</f>
        <v>0</v>
      </c>
      <c r="E282">
        <f t="shared" ref="E282:O282" si="616">IFERROR((E277/E279)*E280,0)</f>
        <v>0</v>
      </c>
      <c r="F282">
        <f t="shared" si="616"/>
        <v>0</v>
      </c>
      <c r="G282">
        <f t="shared" si="616"/>
        <v>0</v>
      </c>
      <c r="H282">
        <f t="shared" si="616"/>
        <v>0</v>
      </c>
      <c r="I282">
        <f t="shared" si="616"/>
        <v>0</v>
      </c>
      <c r="J282">
        <f t="shared" si="616"/>
        <v>0</v>
      </c>
      <c r="K282">
        <f t="shared" si="616"/>
        <v>0</v>
      </c>
      <c r="L282">
        <f t="shared" si="616"/>
        <v>0</v>
      </c>
      <c r="M282">
        <f t="shared" si="616"/>
        <v>0</v>
      </c>
      <c r="N282">
        <f t="shared" si="616"/>
        <v>0</v>
      </c>
      <c r="O282">
        <f t="shared" si="616"/>
        <v>0</v>
      </c>
    </row>
    <row r="283" spans="1:26" x14ac:dyDescent="0.4">
      <c r="C283" s="21" t="s">
        <v>534</v>
      </c>
      <c r="D283">
        <f t="shared" ref="D283:O283" si="617">IFERROR(VLOOKUP(D272,Phys_Prop,4,FALSE),0)</f>
        <v>7</v>
      </c>
      <c r="E283">
        <f t="shared" si="617"/>
        <v>7</v>
      </c>
      <c r="F283">
        <f t="shared" si="617"/>
        <v>7</v>
      </c>
      <c r="G283">
        <f t="shared" si="617"/>
        <v>7</v>
      </c>
      <c r="H283">
        <f t="shared" si="617"/>
        <v>7</v>
      </c>
      <c r="I283">
        <f t="shared" si="617"/>
        <v>7</v>
      </c>
      <c r="J283">
        <f t="shared" si="617"/>
        <v>7</v>
      </c>
      <c r="K283">
        <f t="shared" si="617"/>
        <v>7</v>
      </c>
      <c r="L283">
        <f t="shared" si="617"/>
        <v>7</v>
      </c>
      <c r="M283">
        <f t="shared" si="617"/>
        <v>7</v>
      </c>
      <c r="N283">
        <f t="shared" si="617"/>
        <v>7</v>
      </c>
      <c r="O283">
        <f t="shared" si="617"/>
        <v>7</v>
      </c>
    </row>
    <row r="284" spans="1:26" x14ac:dyDescent="0.4">
      <c r="C284" s="21" t="s">
        <v>535</v>
      </c>
      <c r="D284">
        <f t="shared" ref="D284:O284" si="618">IFERROR(VLOOKUP(D273,Phys_Prop,4,FALSE),0)</f>
        <v>0</v>
      </c>
      <c r="E284">
        <f t="shared" si="618"/>
        <v>0</v>
      </c>
      <c r="F284">
        <f t="shared" si="618"/>
        <v>0</v>
      </c>
      <c r="G284">
        <f t="shared" si="618"/>
        <v>0</v>
      </c>
      <c r="H284">
        <f t="shared" si="618"/>
        <v>0</v>
      </c>
      <c r="I284">
        <f t="shared" si="618"/>
        <v>0</v>
      </c>
      <c r="J284">
        <f t="shared" si="618"/>
        <v>0</v>
      </c>
      <c r="K284">
        <f t="shared" si="618"/>
        <v>0</v>
      </c>
      <c r="L284">
        <f t="shared" si="618"/>
        <v>0</v>
      </c>
      <c r="M284">
        <f t="shared" si="618"/>
        <v>0</v>
      </c>
      <c r="N284">
        <f t="shared" si="618"/>
        <v>0</v>
      </c>
      <c r="O284">
        <f t="shared" si="618"/>
        <v>0</v>
      </c>
    </row>
    <row r="285" spans="1:26" x14ac:dyDescent="0.4">
      <c r="A285" s="11"/>
      <c r="B285" s="11"/>
      <c r="C285" s="62" t="s">
        <v>536</v>
      </c>
      <c r="D285" s="11">
        <f>IFERROR(1/(D281/D283+D282/D284),D283)</f>
        <v>7</v>
      </c>
      <c r="E285" s="11">
        <f t="shared" ref="E285:O285" si="619">IFERROR(1/(E281/E283+E282/E284),E283)</f>
        <v>7</v>
      </c>
      <c r="F285" s="11">
        <f t="shared" si="619"/>
        <v>7</v>
      </c>
      <c r="G285" s="11">
        <f t="shared" si="619"/>
        <v>7</v>
      </c>
      <c r="H285" s="11">
        <f t="shared" si="619"/>
        <v>7</v>
      </c>
      <c r="I285" s="11">
        <f t="shared" si="619"/>
        <v>7</v>
      </c>
      <c r="J285" s="11">
        <f t="shared" si="619"/>
        <v>7</v>
      </c>
      <c r="K285" s="11">
        <f t="shared" si="619"/>
        <v>7</v>
      </c>
      <c r="L285" s="11">
        <f t="shared" si="619"/>
        <v>7</v>
      </c>
      <c r="M285" s="11">
        <f t="shared" si="619"/>
        <v>7</v>
      </c>
      <c r="N285" s="11">
        <f t="shared" si="619"/>
        <v>7</v>
      </c>
      <c r="O285" s="11">
        <f t="shared" si="619"/>
        <v>7</v>
      </c>
      <c r="P285" s="11"/>
      <c r="Q285" s="11"/>
      <c r="R285" s="11"/>
      <c r="S285" s="11"/>
      <c r="T285" s="11"/>
      <c r="U285" s="11"/>
      <c r="V285" s="11"/>
      <c r="W285" s="11"/>
      <c r="X285" s="11"/>
      <c r="Y285" s="11"/>
      <c r="Z285" s="11"/>
    </row>
    <row r="286" spans="1:26" x14ac:dyDescent="0.4">
      <c r="A286" t="str" cm="1">
        <f t="array" ref="A286">INDEX(FX_Input,R286,S286)</f>
        <v>FX - 21</v>
      </c>
      <c r="B286" t="str" cm="1">
        <f t="array" ref="B286">INDEX(FX_Input,R286,T286)</f>
        <v>Portland</v>
      </c>
      <c r="C286" t="s">
        <v>528</v>
      </c>
      <c r="D286" t="str" cm="1">
        <f t="array" ref="D286">INDEX(FX_Input,$R286,$Y286*D$5+$Z286)</f>
        <v>Jet kerosene</v>
      </c>
      <c r="E286" t="str" cm="1">
        <f t="array" ref="E286">INDEX(FX_Input,$R286,$Y286*E$5+$Z286)</f>
        <v>Jet kerosene</v>
      </c>
      <c r="F286" t="str" cm="1">
        <f t="array" ref="F286">INDEX(FX_Input,$R286,$Y286*F$5+$Z286)</f>
        <v>Jet kerosene</v>
      </c>
      <c r="G286" t="str" cm="1">
        <f t="array" ref="G286">INDEX(FX_Input,$R286,$Y286*G$5+$Z286)</f>
        <v>Jet kerosene</v>
      </c>
      <c r="H286" t="str" cm="1">
        <f t="array" ref="H286">INDEX(FX_Input,$R286,$Y286*H$5+$Z286)</f>
        <v>Jet kerosene</v>
      </c>
      <c r="I286" t="str" cm="1">
        <f t="array" ref="I286">INDEX(FX_Input,$R286,$Y286*I$5+$Z286)</f>
        <v>Jet kerosene</v>
      </c>
      <c r="J286" t="str" cm="1">
        <f t="array" ref="J286">INDEX(FX_Input,$R286,$Y286*J$5+$Z286)</f>
        <v>Jet kerosene</v>
      </c>
      <c r="K286" t="str" cm="1">
        <f t="array" ref="K286">INDEX(FX_Input,$R286,$Y286*K$5+$Z286)</f>
        <v>Jet kerosene</v>
      </c>
      <c r="L286" t="str" cm="1">
        <f t="array" ref="L286">INDEX(FX_Input,$R286,$Y286*L$5+$Z286)</f>
        <v>Jet kerosene</v>
      </c>
      <c r="M286" t="str" cm="1">
        <f t="array" ref="M286">INDEX(FX_Input,$R286,$Y286*M$5+$Z286)</f>
        <v>Jet kerosene</v>
      </c>
      <c r="N286" t="str" cm="1">
        <f t="array" ref="N286">INDEX(FX_Input,$R286,$Y286*N$5+$Z286)</f>
        <v>Jet kerosene</v>
      </c>
      <c r="O286" t="str" cm="1">
        <f t="array" ref="O286">INDEX(FX_Input,$R286,$Y286*O$5+$Z286)</f>
        <v>Jet kerosene</v>
      </c>
      <c r="R286">
        <f>R272+2</f>
        <v>41</v>
      </c>
      <c r="S286">
        <v>1</v>
      </c>
      <c r="T286">
        <v>3</v>
      </c>
      <c r="U286">
        <v>17</v>
      </c>
      <c r="V286">
        <f>U286+5</f>
        <v>22</v>
      </c>
      <c r="W286">
        <v>1</v>
      </c>
      <c r="X286">
        <v>2</v>
      </c>
      <c r="Y286">
        <f t="shared" ref="Y286:Y291" si="620">(V286-U286)/(X286-W286)</f>
        <v>5</v>
      </c>
      <c r="Z286">
        <f t="shared" ref="Z286:Z291" si="621">U286-Y286*W286</f>
        <v>12</v>
      </c>
    </row>
    <row r="287" spans="1:26" x14ac:dyDescent="0.4">
      <c r="C287" t="s">
        <v>529</v>
      </c>
      <c r="D287" cm="1">
        <f t="array" ref="D287">INDEX(FX_Input,$R287,$Y287*D$5+$Z287)</f>
        <v>0</v>
      </c>
      <c r="E287" cm="1">
        <f t="array" ref="E287">INDEX(FX_Input,$R287,$Y287*E$5+$Z287)</f>
        <v>0</v>
      </c>
      <c r="F287" cm="1">
        <f t="array" ref="F287">INDEX(FX_Input,$R287,$Y287*F$5+$Z287)</f>
        <v>0</v>
      </c>
      <c r="G287" cm="1">
        <f t="array" ref="G287">INDEX(FX_Input,$R287,$Y287*G$5+$Z287)</f>
        <v>0</v>
      </c>
      <c r="H287" cm="1">
        <f t="array" ref="H287">INDEX(FX_Input,$R287,$Y287*H$5+$Z287)</f>
        <v>0</v>
      </c>
      <c r="I287" cm="1">
        <f t="array" ref="I287">INDEX(FX_Input,$R287,$Y287*I$5+$Z287)</f>
        <v>0</v>
      </c>
      <c r="J287" cm="1">
        <f t="array" ref="J287">INDEX(FX_Input,$R287,$Y287*J$5+$Z287)</f>
        <v>0</v>
      </c>
      <c r="K287" cm="1">
        <f t="array" ref="K287">INDEX(FX_Input,$R287,$Y287*K$5+$Z287)</f>
        <v>0</v>
      </c>
      <c r="L287" cm="1">
        <f t="array" ref="L287">INDEX(FX_Input,$R287,$Y287*L$5+$Z287)</f>
        <v>0</v>
      </c>
      <c r="M287" cm="1">
        <f t="array" ref="M287">INDEX(FX_Input,$R287,$Y287*M$5+$Z287)</f>
        <v>0</v>
      </c>
      <c r="N287" cm="1">
        <f t="array" ref="N287">INDEX(FX_Input,$R287,$Y287*N$5+$Z287)</f>
        <v>0</v>
      </c>
      <c r="O287" cm="1">
        <f t="array" ref="O287">INDEX(FX_Input,$R287,$Y287*O$5+$Z287)</f>
        <v>0</v>
      </c>
      <c r="R287">
        <f>R286+1</f>
        <v>42</v>
      </c>
      <c r="U287">
        <f>U286</f>
        <v>17</v>
      </c>
      <c r="V287">
        <f t="shared" ref="V287:V291" si="622">U287+5</f>
        <v>22</v>
      </c>
      <c r="W287">
        <v>1</v>
      </c>
      <c r="X287">
        <v>2</v>
      </c>
      <c r="Y287">
        <f t="shared" si="620"/>
        <v>5</v>
      </c>
      <c r="Z287">
        <f t="shared" si="621"/>
        <v>12</v>
      </c>
    </row>
    <row r="288" spans="1:26" x14ac:dyDescent="0.4">
      <c r="C288" t="s">
        <v>530</v>
      </c>
      <c r="D288" t="str" cm="1">
        <f t="array" ref="D288">INDEX(FX_Input,$R288,$Y288*D$5+$Z288)</f>
        <v>Select Pet Stock</v>
      </c>
      <c r="E288" t="str" cm="1">
        <f t="array" ref="E288">INDEX(FX_Input,$R288,$Y288*E$5+$Z288)</f>
        <v>Select Pet Stock</v>
      </c>
      <c r="F288" t="str" cm="1">
        <f t="array" ref="F288">INDEX(FX_Input,$R288,$Y288*F$5+$Z288)</f>
        <v>Select Pet Stock</v>
      </c>
      <c r="G288" t="str" cm="1">
        <f t="array" ref="G288">INDEX(FX_Input,$R288,$Y288*G$5+$Z288)</f>
        <v>Select Pet Stock</v>
      </c>
      <c r="H288" t="str" cm="1">
        <f t="array" ref="H288">INDEX(FX_Input,$R288,$Y288*H$5+$Z288)</f>
        <v>Select Pet Stock</v>
      </c>
      <c r="I288" t="str" cm="1">
        <f t="array" ref="I288">INDEX(FX_Input,$R288,$Y288*I$5+$Z288)</f>
        <v>Select Pet Stock</v>
      </c>
      <c r="J288" t="str" cm="1">
        <f t="array" ref="J288">INDEX(FX_Input,$R288,$Y288*J$5+$Z288)</f>
        <v>Select Pet Stock</v>
      </c>
      <c r="K288" t="str" cm="1">
        <f t="array" ref="K288">INDEX(FX_Input,$R288,$Y288*K$5+$Z288)</f>
        <v>Select Pet Stock</v>
      </c>
      <c r="L288" t="str" cm="1">
        <f t="array" ref="L288">INDEX(FX_Input,$R288,$Y288*L$5+$Z288)</f>
        <v>Select Pet Stock</v>
      </c>
      <c r="M288" t="str" cm="1">
        <f t="array" ref="M288">INDEX(FX_Input,$R288,$Y288*M$5+$Z288)</f>
        <v>Select Pet Stock</v>
      </c>
      <c r="N288" t="str" cm="1">
        <f t="array" ref="N288">INDEX(FX_Input,$R288,$Y288*N$5+$Z288)</f>
        <v>Select Pet Stock</v>
      </c>
      <c r="O288" t="str" cm="1">
        <f t="array" ref="O288">INDEX(FX_Input,$R288,$Y288*O$5+$Z288)</f>
        <v>Select Pet Stock</v>
      </c>
      <c r="R288">
        <f>R286</f>
        <v>41</v>
      </c>
      <c r="U288">
        <v>18</v>
      </c>
      <c r="V288">
        <f t="shared" si="622"/>
        <v>23</v>
      </c>
      <c r="W288">
        <v>1</v>
      </c>
      <c r="X288">
        <v>2</v>
      </c>
      <c r="Y288">
        <f t="shared" si="620"/>
        <v>5</v>
      </c>
      <c r="Z288">
        <f t="shared" si="621"/>
        <v>13</v>
      </c>
    </row>
    <row r="289" spans="1:26" x14ac:dyDescent="0.4">
      <c r="C289" t="s">
        <v>531</v>
      </c>
      <c r="D289" cm="1">
        <f t="array" ref="D289">INDEX(FX_Input,$R289,$Y289*D$5+$Z289)</f>
        <v>0</v>
      </c>
      <c r="E289" cm="1">
        <f t="array" ref="E289">INDEX(FX_Input,$R289,$Y289*E$5+$Z289)</f>
        <v>0</v>
      </c>
      <c r="F289" cm="1">
        <f t="array" ref="F289">INDEX(FX_Input,$R289,$Y289*F$5+$Z289)</f>
        <v>0</v>
      </c>
      <c r="G289" cm="1">
        <f t="array" ref="G289">INDEX(FX_Input,$R289,$Y289*G$5+$Z289)</f>
        <v>0</v>
      </c>
      <c r="H289" cm="1">
        <f t="array" ref="H289">INDEX(FX_Input,$R289,$Y289*H$5+$Z289)</f>
        <v>0</v>
      </c>
      <c r="I289" cm="1">
        <f t="array" ref="I289">INDEX(FX_Input,$R289,$Y289*I$5+$Z289)</f>
        <v>0</v>
      </c>
      <c r="J289" cm="1">
        <f t="array" ref="J289">INDEX(FX_Input,$R289,$Y289*J$5+$Z289)</f>
        <v>0</v>
      </c>
      <c r="K289" cm="1">
        <f t="array" ref="K289">INDEX(FX_Input,$R289,$Y289*K$5+$Z289)</f>
        <v>0</v>
      </c>
      <c r="L289" cm="1">
        <f t="array" ref="L289">INDEX(FX_Input,$R289,$Y289*L$5+$Z289)</f>
        <v>0</v>
      </c>
      <c r="M289" cm="1">
        <f t="array" ref="M289">INDEX(FX_Input,$R289,$Y289*M$5+$Z289)</f>
        <v>0</v>
      </c>
      <c r="N289" cm="1">
        <f t="array" ref="N289">INDEX(FX_Input,$R289,$Y289*N$5+$Z289)</f>
        <v>0</v>
      </c>
      <c r="O289" cm="1">
        <f t="array" ref="O289">INDEX(FX_Input,$R289,$Y289*O$5+$Z289)</f>
        <v>0</v>
      </c>
      <c r="R289">
        <f>R287</f>
        <v>42</v>
      </c>
      <c r="U289">
        <f>U288</f>
        <v>18</v>
      </c>
      <c r="V289">
        <f t="shared" si="622"/>
        <v>23</v>
      </c>
      <c r="W289">
        <v>1</v>
      </c>
      <c r="X289">
        <v>2</v>
      </c>
      <c r="Y289">
        <f t="shared" si="620"/>
        <v>5</v>
      </c>
      <c r="Z289">
        <f t="shared" si="621"/>
        <v>13</v>
      </c>
    </row>
    <row r="290" spans="1:26" x14ac:dyDescent="0.4">
      <c r="C290" t="s">
        <v>546</v>
      </c>
      <c r="D290" cm="1">
        <f t="array" ref="D290">INDEX(FX_Input,$R290,$Y290*D$5+$Z290)</f>
        <v>1</v>
      </c>
      <c r="E290" cm="1">
        <f t="array" ref="E290">INDEX(FX_Input,$R290,$Y290*E$5+$Z290)</f>
        <v>1</v>
      </c>
      <c r="F290" cm="1">
        <f t="array" ref="F290">INDEX(FX_Input,$R290,$Y290*F$5+$Z290)</f>
        <v>1</v>
      </c>
      <c r="G290" cm="1">
        <f t="array" ref="G290">INDEX(FX_Input,$R290,$Y290*G$5+$Z290)</f>
        <v>1</v>
      </c>
      <c r="H290" cm="1">
        <f t="array" ref="H290">INDEX(FX_Input,$R290,$Y290*H$5+$Z290)</f>
        <v>1</v>
      </c>
      <c r="I290" cm="1">
        <f t="array" ref="I290">INDEX(FX_Input,$R290,$Y290*I$5+$Z290)</f>
        <v>1</v>
      </c>
      <c r="J290" cm="1">
        <f t="array" ref="J290">INDEX(FX_Input,$R290,$Y290*J$5+$Z290)</f>
        <v>1</v>
      </c>
      <c r="K290" cm="1">
        <f t="array" ref="K290">INDEX(FX_Input,$R290,$Y290*K$5+$Z290)</f>
        <v>1</v>
      </c>
      <c r="L290" cm="1">
        <f t="array" ref="L290">INDEX(FX_Input,$R290,$Y290*L$5+$Z290)</f>
        <v>1</v>
      </c>
      <c r="M290" cm="1">
        <f t="array" ref="M290">INDEX(FX_Input,$R290,$Y290*M$5+$Z290)</f>
        <v>1</v>
      </c>
      <c r="N290" cm="1">
        <f t="array" ref="N290">INDEX(FX_Input,$R290,$Y290*N$5+$Z290)</f>
        <v>1</v>
      </c>
      <c r="O290" cm="1">
        <f t="array" ref="O290">INDEX(FX_Input,$R290,$Y290*O$5+$Z290)</f>
        <v>1</v>
      </c>
      <c r="R290">
        <f>R288</f>
        <v>41</v>
      </c>
      <c r="U290">
        <v>21</v>
      </c>
      <c r="V290">
        <f t="shared" si="622"/>
        <v>26</v>
      </c>
      <c r="W290">
        <v>1</v>
      </c>
      <c r="X290">
        <v>2</v>
      </c>
      <c r="Y290">
        <f t="shared" si="620"/>
        <v>5</v>
      </c>
      <c r="Z290">
        <f t="shared" si="621"/>
        <v>16</v>
      </c>
    </row>
    <row r="291" spans="1:26" x14ac:dyDescent="0.4">
      <c r="C291" t="s">
        <v>547</v>
      </c>
      <c r="D291" cm="1">
        <f t="array" ref="D291">INDEX(FX_Input,$R291,$Y291*D$5+$Z291)</f>
        <v>0</v>
      </c>
      <c r="E291" cm="1">
        <f t="array" ref="E291">INDEX(FX_Input,$R291,$Y291*E$5+$Z291)</f>
        <v>0</v>
      </c>
      <c r="F291" cm="1">
        <f t="array" ref="F291">INDEX(FX_Input,$R291,$Y291*F$5+$Z291)</f>
        <v>0</v>
      </c>
      <c r="G291" cm="1">
        <f t="array" ref="G291">INDEX(FX_Input,$R291,$Y291*G$5+$Z291)</f>
        <v>0</v>
      </c>
      <c r="H291" cm="1">
        <f t="array" ref="H291">INDEX(FX_Input,$R291,$Y291*H$5+$Z291)</f>
        <v>0</v>
      </c>
      <c r="I291" cm="1">
        <f t="array" ref="I291">INDEX(FX_Input,$R291,$Y291*I$5+$Z291)</f>
        <v>0</v>
      </c>
      <c r="J291" cm="1">
        <f t="array" ref="J291">INDEX(FX_Input,$R291,$Y291*J$5+$Z291)</f>
        <v>0</v>
      </c>
      <c r="K291" cm="1">
        <f t="array" ref="K291">INDEX(FX_Input,$R291,$Y291*K$5+$Z291)</f>
        <v>0</v>
      </c>
      <c r="L291" cm="1">
        <f t="array" ref="L291">INDEX(FX_Input,$R291,$Y291*L$5+$Z291)</f>
        <v>0</v>
      </c>
      <c r="M291" cm="1">
        <f t="array" ref="M291">INDEX(FX_Input,$R291,$Y291*M$5+$Z291)</f>
        <v>0</v>
      </c>
      <c r="N291" cm="1">
        <f t="array" ref="N291">INDEX(FX_Input,$R291,$Y291*N$5+$Z291)</f>
        <v>0</v>
      </c>
      <c r="O291" cm="1">
        <f t="array" ref="O291">INDEX(FX_Input,$R291,$Y291*O$5+$Z291)</f>
        <v>0</v>
      </c>
      <c r="R291">
        <f>R289</f>
        <v>42</v>
      </c>
      <c r="U291">
        <f>U290</f>
        <v>21</v>
      </c>
      <c r="V291">
        <f t="shared" si="622"/>
        <v>26</v>
      </c>
      <c r="W291">
        <v>1</v>
      </c>
      <c r="X291">
        <v>2</v>
      </c>
      <c r="Y291">
        <f t="shared" si="620"/>
        <v>5</v>
      </c>
      <c r="Z291">
        <f t="shared" si="621"/>
        <v>16</v>
      </c>
    </row>
    <row r="292" spans="1:26" x14ac:dyDescent="0.4">
      <c r="C292" t="s">
        <v>532</v>
      </c>
      <c r="D292">
        <f t="shared" ref="D292:O292" si="623">IFERROR(VLOOKUP(D286,Phys_Prop,2,FALSE),0)</f>
        <v>162</v>
      </c>
      <c r="E292">
        <f t="shared" si="623"/>
        <v>162</v>
      </c>
      <c r="F292">
        <f t="shared" si="623"/>
        <v>162</v>
      </c>
      <c r="G292">
        <f t="shared" si="623"/>
        <v>162</v>
      </c>
      <c r="H292">
        <f t="shared" si="623"/>
        <v>162</v>
      </c>
      <c r="I292">
        <f t="shared" si="623"/>
        <v>162</v>
      </c>
      <c r="J292">
        <f t="shared" si="623"/>
        <v>162</v>
      </c>
      <c r="K292">
        <f t="shared" si="623"/>
        <v>162</v>
      </c>
      <c r="L292">
        <f t="shared" si="623"/>
        <v>162</v>
      </c>
      <c r="M292">
        <f t="shared" si="623"/>
        <v>162</v>
      </c>
      <c r="N292">
        <f t="shared" si="623"/>
        <v>162</v>
      </c>
      <c r="O292">
        <f t="shared" si="623"/>
        <v>162</v>
      </c>
    </row>
    <row r="293" spans="1:26" x14ac:dyDescent="0.4">
      <c r="C293" t="s">
        <v>533</v>
      </c>
      <c r="D293">
        <f t="shared" ref="D293:O293" si="624">IFERROR(VLOOKUP(D287,Phys_Prop,2,FALSE),0)</f>
        <v>0</v>
      </c>
      <c r="E293">
        <f t="shared" si="624"/>
        <v>0</v>
      </c>
      <c r="F293">
        <f t="shared" si="624"/>
        <v>0</v>
      </c>
      <c r="G293">
        <f t="shared" si="624"/>
        <v>0</v>
      </c>
      <c r="H293">
        <f t="shared" si="624"/>
        <v>0</v>
      </c>
      <c r="I293">
        <f t="shared" si="624"/>
        <v>0</v>
      </c>
      <c r="J293">
        <f t="shared" si="624"/>
        <v>0</v>
      </c>
      <c r="K293">
        <f t="shared" si="624"/>
        <v>0</v>
      </c>
      <c r="L293">
        <f t="shared" si="624"/>
        <v>0</v>
      </c>
      <c r="M293">
        <f t="shared" si="624"/>
        <v>0</v>
      </c>
      <c r="N293">
        <f t="shared" si="624"/>
        <v>0</v>
      </c>
      <c r="O293">
        <f t="shared" si="624"/>
        <v>0</v>
      </c>
    </row>
    <row r="294" spans="1:26" x14ac:dyDescent="0.4">
      <c r="C294" t="s">
        <v>544</v>
      </c>
      <c r="D294">
        <f>IFERROR(IFERROR(D292/D290+D293/D291,D292/D290),0)</f>
        <v>162</v>
      </c>
      <c r="E294">
        <f t="shared" ref="E294" si="625">IFERROR(IFERROR(E292/E290+E293/E291,E292/E290),0)</f>
        <v>162</v>
      </c>
      <c r="F294">
        <f t="shared" ref="F294" si="626">IFERROR(IFERROR(F292/F290+F293/F291,F292/F290),0)</f>
        <v>162</v>
      </c>
      <c r="G294">
        <f t="shared" ref="G294" si="627">IFERROR(IFERROR(G292/G290+G293/G291,G292/G290),0)</f>
        <v>162</v>
      </c>
      <c r="H294">
        <f t="shared" ref="H294" si="628">IFERROR(IFERROR(H292/H290+H293/H291,H292/H290),0)</f>
        <v>162</v>
      </c>
      <c r="I294">
        <f t="shared" ref="I294" si="629">IFERROR(IFERROR(I292/I290+I293/I291,I292/I290),0)</f>
        <v>162</v>
      </c>
      <c r="J294">
        <f t="shared" ref="J294" si="630">IFERROR(IFERROR(J292/J290+J293/J291,J292/J290),0)</f>
        <v>162</v>
      </c>
      <c r="K294">
        <f t="shared" ref="K294" si="631">IFERROR(IFERROR(K292/K290+K293/K291,K292/K290),0)</f>
        <v>162</v>
      </c>
      <c r="L294">
        <f t="shared" ref="L294" si="632">IFERROR(IFERROR(L292/L290+L293/L291,L292/L290),0)</f>
        <v>162</v>
      </c>
      <c r="M294">
        <f t="shared" ref="M294" si="633">IFERROR(IFERROR(M292/M290+M293/M291,M292/M290),0)</f>
        <v>162</v>
      </c>
      <c r="N294">
        <f t="shared" ref="N294" si="634">IFERROR(IFERROR(N292/N290+N293/N291,N292/N290),0)</f>
        <v>162</v>
      </c>
      <c r="O294">
        <f t="shared" ref="O294" si="635">IFERROR(IFERROR(O292/O290+O293/O291,O292/O290),0)</f>
        <v>162</v>
      </c>
    </row>
    <row r="295" spans="1:26" x14ac:dyDescent="0.4">
      <c r="C295" t="s">
        <v>539</v>
      </c>
      <c r="D295">
        <f>IFERROR((D290/D292)*D294,1)</f>
        <v>1</v>
      </c>
      <c r="E295">
        <f t="shared" ref="E295" si="636">IFERROR((E290/E292)*E294,1)</f>
        <v>1</v>
      </c>
      <c r="F295">
        <f t="shared" ref="F295" si="637">IFERROR((F290/F292)*F294,1)</f>
        <v>1</v>
      </c>
      <c r="G295">
        <f t="shared" ref="G295" si="638">IFERROR((G290/G292)*G294,1)</f>
        <v>1</v>
      </c>
      <c r="H295">
        <f t="shared" ref="H295" si="639">IFERROR((H290/H292)*H294,1)</f>
        <v>1</v>
      </c>
      <c r="I295">
        <f t="shared" ref="I295" si="640">IFERROR((I290/I292)*I294,1)</f>
        <v>1</v>
      </c>
      <c r="J295">
        <f t="shared" ref="J295" si="641">IFERROR((J290/J292)*J294,1)</f>
        <v>1</v>
      </c>
      <c r="K295">
        <f t="shared" ref="K295" si="642">IFERROR((K290/K292)*K294,1)</f>
        <v>1</v>
      </c>
      <c r="L295">
        <f t="shared" ref="L295" si="643">IFERROR((L290/L292)*L294,1)</f>
        <v>1</v>
      </c>
      <c r="M295">
        <f t="shared" ref="M295" si="644">IFERROR((M290/M292)*M294,1)</f>
        <v>1</v>
      </c>
      <c r="N295">
        <f t="shared" ref="N295" si="645">IFERROR((N290/N292)*N294,1)</f>
        <v>1</v>
      </c>
      <c r="O295">
        <f t="shared" ref="O295" si="646">IFERROR((O290/O292)*O294,1)</f>
        <v>1</v>
      </c>
    </row>
    <row r="296" spans="1:26" x14ac:dyDescent="0.4">
      <c r="C296" t="s">
        <v>540</v>
      </c>
      <c r="D296">
        <f>IFERROR((D291/D293)*D294,0)</f>
        <v>0</v>
      </c>
      <c r="E296">
        <f t="shared" ref="E296:O296" si="647">IFERROR((E291/E293)*E294,0)</f>
        <v>0</v>
      </c>
      <c r="F296">
        <f t="shared" si="647"/>
        <v>0</v>
      </c>
      <c r="G296">
        <f t="shared" si="647"/>
        <v>0</v>
      </c>
      <c r="H296">
        <f t="shared" si="647"/>
        <v>0</v>
      </c>
      <c r="I296">
        <f t="shared" si="647"/>
        <v>0</v>
      </c>
      <c r="J296">
        <f t="shared" si="647"/>
        <v>0</v>
      </c>
      <c r="K296">
        <f t="shared" si="647"/>
        <v>0</v>
      </c>
      <c r="L296">
        <f t="shared" si="647"/>
        <v>0</v>
      </c>
      <c r="M296">
        <f t="shared" si="647"/>
        <v>0</v>
      </c>
      <c r="N296">
        <f t="shared" si="647"/>
        <v>0</v>
      </c>
      <c r="O296">
        <f t="shared" si="647"/>
        <v>0</v>
      </c>
    </row>
    <row r="297" spans="1:26" x14ac:dyDescent="0.4">
      <c r="C297" s="21" t="s">
        <v>534</v>
      </c>
      <c r="D297">
        <f t="shared" ref="D297:O297" si="648">IFERROR(VLOOKUP(D286,Phys_Prop,4,FALSE),0)</f>
        <v>7</v>
      </c>
      <c r="E297">
        <f t="shared" si="648"/>
        <v>7</v>
      </c>
      <c r="F297">
        <f t="shared" si="648"/>
        <v>7</v>
      </c>
      <c r="G297">
        <f t="shared" si="648"/>
        <v>7</v>
      </c>
      <c r="H297">
        <f t="shared" si="648"/>
        <v>7</v>
      </c>
      <c r="I297">
        <f t="shared" si="648"/>
        <v>7</v>
      </c>
      <c r="J297">
        <f t="shared" si="648"/>
        <v>7</v>
      </c>
      <c r="K297">
        <f t="shared" si="648"/>
        <v>7</v>
      </c>
      <c r="L297">
        <f t="shared" si="648"/>
        <v>7</v>
      </c>
      <c r="M297">
        <f t="shared" si="648"/>
        <v>7</v>
      </c>
      <c r="N297">
        <f t="shared" si="648"/>
        <v>7</v>
      </c>
      <c r="O297">
        <f t="shared" si="648"/>
        <v>7</v>
      </c>
    </row>
    <row r="298" spans="1:26" x14ac:dyDescent="0.4">
      <c r="C298" s="21" t="s">
        <v>535</v>
      </c>
      <c r="D298">
        <f t="shared" ref="D298:O298" si="649">IFERROR(VLOOKUP(D287,Phys_Prop,4,FALSE),0)</f>
        <v>0</v>
      </c>
      <c r="E298">
        <f t="shared" si="649"/>
        <v>0</v>
      </c>
      <c r="F298">
        <f t="shared" si="649"/>
        <v>0</v>
      </c>
      <c r="G298">
        <f t="shared" si="649"/>
        <v>0</v>
      </c>
      <c r="H298">
        <f t="shared" si="649"/>
        <v>0</v>
      </c>
      <c r="I298">
        <f t="shared" si="649"/>
        <v>0</v>
      </c>
      <c r="J298">
        <f t="shared" si="649"/>
        <v>0</v>
      </c>
      <c r="K298">
        <f t="shared" si="649"/>
        <v>0</v>
      </c>
      <c r="L298">
        <f t="shared" si="649"/>
        <v>0</v>
      </c>
      <c r="M298">
        <f t="shared" si="649"/>
        <v>0</v>
      </c>
      <c r="N298">
        <f t="shared" si="649"/>
        <v>0</v>
      </c>
      <c r="O298">
        <f t="shared" si="649"/>
        <v>0</v>
      </c>
    </row>
    <row r="299" spans="1:26" x14ac:dyDescent="0.4">
      <c r="A299" s="11"/>
      <c r="B299" s="11"/>
      <c r="C299" s="62" t="s">
        <v>536</v>
      </c>
      <c r="D299" s="11">
        <f>IFERROR(1/(D295/D297+D296/D298),D297)</f>
        <v>7</v>
      </c>
      <c r="E299" s="11">
        <f t="shared" ref="E299:O299" si="650">IFERROR(1/(E295/E297+E296/E298),E297)</f>
        <v>7</v>
      </c>
      <c r="F299" s="11">
        <f t="shared" si="650"/>
        <v>7</v>
      </c>
      <c r="G299" s="11">
        <f t="shared" si="650"/>
        <v>7</v>
      </c>
      <c r="H299" s="11">
        <f t="shared" si="650"/>
        <v>7</v>
      </c>
      <c r="I299" s="11">
        <f t="shared" si="650"/>
        <v>7</v>
      </c>
      <c r="J299" s="11">
        <f t="shared" si="650"/>
        <v>7</v>
      </c>
      <c r="K299" s="11">
        <f t="shared" si="650"/>
        <v>7</v>
      </c>
      <c r="L299" s="11">
        <f t="shared" si="650"/>
        <v>7</v>
      </c>
      <c r="M299" s="11">
        <f t="shared" si="650"/>
        <v>7</v>
      </c>
      <c r="N299" s="11">
        <f t="shared" si="650"/>
        <v>7</v>
      </c>
      <c r="O299" s="11">
        <f t="shared" si="650"/>
        <v>7</v>
      </c>
      <c r="P299" s="11"/>
      <c r="Q299" s="11"/>
      <c r="R299" s="11"/>
      <c r="S299" s="11"/>
      <c r="T299" s="11"/>
      <c r="U299" s="11"/>
      <c r="V299" s="11"/>
      <c r="W299" s="11"/>
      <c r="X299" s="11"/>
      <c r="Y299" s="11"/>
      <c r="Z299" s="11"/>
    </row>
    <row r="300" spans="1:26" x14ac:dyDescent="0.4">
      <c r="A300" t="str" cm="1">
        <f t="array" ref="A300">INDEX(FX_Input,R300,S300)</f>
        <v>FX - 22</v>
      </c>
      <c r="B300" t="str" cm="1">
        <f t="array" ref="B300">INDEX(FX_Input,R300,T300)</f>
        <v>Portland</v>
      </c>
      <c r="C300" t="s">
        <v>528</v>
      </c>
      <c r="D300" t="str" cm="1">
        <f t="array" ref="D300">INDEX(FX_Input,$R300,$Y300*D$5+$Z300)</f>
        <v>Jet kerosene</v>
      </c>
      <c r="E300" t="str" cm="1">
        <f t="array" ref="E300">INDEX(FX_Input,$R300,$Y300*E$5+$Z300)</f>
        <v>Jet kerosene</v>
      </c>
      <c r="F300" t="str" cm="1">
        <f t="array" ref="F300">INDEX(FX_Input,$R300,$Y300*F$5+$Z300)</f>
        <v>Jet kerosene</v>
      </c>
      <c r="G300" t="str" cm="1">
        <f t="array" ref="G300">INDEX(FX_Input,$R300,$Y300*G$5+$Z300)</f>
        <v>Jet kerosene</v>
      </c>
      <c r="H300" t="str" cm="1">
        <f t="array" ref="H300">INDEX(FX_Input,$R300,$Y300*H$5+$Z300)</f>
        <v>Jet kerosene</v>
      </c>
      <c r="I300" t="str" cm="1">
        <f t="array" ref="I300">INDEX(FX_Input,$R300,$Y300*I$5+$Z300)</f>
        <v>Jet kerosene</v>
      </c>
      <c r="J300" t="str" cm="1">
        <f t="array" ref="J300">INDEX(FX_Input,$R300,$Y300*J$5+$Z300)</f>
        <v>Jet kerosene</v>
      </c>
      <c r="K300" t="str" cm="1">
        <f t="array" ref="K300">INDEX(FX_Input,$R300,$Y300*K$5+$Z300)</f>
        <v>Jet kerosene</v>
      </c>
      <c r="L300" t="str" cm="1">
        <f t="array" ref="L300">INDEX(FX_Input,$R300,$Y300*L$5+$Z300)</f>
        <v>Jet kerosene</v>
      </c>
      <c r="M300" t="str" cm="1">
        <f t="array" ref="M300">INDEX(FX_Input,$R300,$Y300*M$5+$Z300)</f>
        <v>Jet kerosene</v>
      </c>
      <c r="N300" t="str" cm="1">
        <f t="array" ref="N300">INDEX(FX_Input,$R300,$Y300*N$5+$Z300)</f>
        <v>Jet kerosene</v>
      </c>
      <c r="O300" t="str" cm="1">
        <f t="array" ref="O300">INDEX(FX_Input,$R300,$Y300*O$5+$Z300)</f>
        <v>Jet kerosene</v>
      </c>
      <c r="R300">
        <f>R286+2</f>
        <v>43</v>
      </c>
      <c r="S300">
        <v>1</v>
      </c>
      <c r="T300">
        <v>3</v>
      </c>
      <c r="U300">
        <v>17</v>
      </c>
      <c r="V300">
        <f>U300+5</f>
        <v>22</v>
      </c>
      <c r="W300">
        <v>1</v>
      </c>
      <c r="X300">
        <v>2</v>
      </c>
      <c r="Y300">
        <f t="shared" ref="Y300:Y305" si="651">(V300-U300)/(X300-W300)</f>
        <v>5</v>
      </c>
      <c r="Z300">
        <f t="shared" ref="Z300:Z305" si="652">U300-Y300*W300</f>
        <v>12</v>
      </c>
    </row>
    <row r="301" spans="1:26" x14ac:dyDescent="0.4">
      <c r="C301" t="s">
        <v>529</v>
      </c>
      <c r="D301" cm="1">
        <f t="array" ref="D301">INDEX(FX_Input,$R301,$Y301*D$5+$Z301)</f>
        <v>0</v>
      </c>
      <c r="E301" cm="1">
        <f t="array" ref="E301">INDEX(FX_Input,$R301,$Y301*E$5+$Z301)</f>
        <v>0</v>
      </c>
      <c r="F301" cm="1">
        <f t="array" ref="F301">INDEX(FX_Input,$R301,$Y301*F$5+$Z301)</f>
        <v>0</v>
      </c>
      <c r="G301" cm="1">
        <f t="array" ref="G301">INDEX(FX_Input,$R301,$Y301*G$5+$Z301)</f>
        <v>0</v>
      </c>
      <c r="H301" cm="1">
        <f t="array" ref="H301">INDEX(FX_Input,$R301,$Y301*H$5+$Z301)</f>
        <v>0</v>
      </c>
      <c r="I301" cm="1">
        <f t="array" ref="I301">INDEX(FX_Input,$R301,$Y301*I$5+$Z301)</f>
        <v>0</v>
      </c>
      <c r="J301" cm="1">
        <f t="array" ref="J301">INDEX(FX_Input,$R301,$Y301*J$5+$Z301)</f>
        <v>0</v>
      </c>
      <c r="K301" cm="1">
        <f t="array" ref="K301">INDEX(FX_Input,$R301,$Y301*K$5+$Z301)</f>
        <v>0</v>
      </c>
      <c r="L301" cm="1">
        <f t="array" ref="L301">INDEX(FX_Input,$R301,$Y301*L$5+$Z301)</f>
        <v>0</v>
      </c>
      <c r="M301" cm="1">
        <f t="array" ref="M301">INDEX(FX_Input,$R301,$Y301*M$5+$Z301)</f>
        <v>0</v>
      </c>
      <c r="N301" cm="1">
        <f t="array" ref="N301">INDEX(FX_Input,$R301,$Y301*N$5+$Z301)</f>
        <v>0</v>
      </c>
      <c r="O301" cm="1">
        <f t="array" ref="O301">INDEX(FX_Input,$R301,$Y301*O$5+$Z301)</f>
        <v>0</v>
      </c>
      <c r="R301">
        <f>R300+1</f>
        <v>44</v>
      </c>
      <c r="U301">
        <f>U300</f>
        <v>17</v>
      </c>
      <c r="V301">
        <f t="shared" ref="V301:V305" si="653">U301+5</f>
        <v>22</v>
      </c>
      <c r="W301">
        <v>1</v>
      </c>
      <c r="X301">
        <v>2</v>
      </c>
      <c r="Y301">
        <f t="shared" si="651"/>
        <v>5</v>
      </c>
      <c r="Z301">
        <f t="shared" si="652"/>
        <v>12</v>
      </c>
    </row>
    <row r="302" spans="1:26" x14ac:dyDescent="0.4">
      <c r="C302" t="s">
        <v>530</v>
      </c>
      <c r="D302" t="str" cm="1">
        <f t="array" ref="D302">INDEX(FX_Input,$R302,$Y302*D$5+$Z302)</f>
        <v>Select Pet Stock</v>
      </c>
      <c r="E302" t="str" cm="1">
        <f t="array" ref="E302">INDEX(FX_Input,$R302,$Y302*E$5+$Z302)</f>
        <v>Select Pet Stock</v>
      </c>
      <c r="F302" t="str" cm="1">
        <f t="array" ref="F302">INDEX(FX_Input,$R302,$Y302*F$5+$Z302)</f>
        <v>Select Pet Stock</v>
      </c>
      <c r="G302" t="str" cm="1">
        <f t="array" ref="G302">INDEX(FX_Input,$R302,$Y302*G$5+$Z302)</f>
        <v>Select Pet Stock</v>
      </c>
      <c r="H302" t="str" cm="1">
        <f t="array" ref="H302">INDEX(FX_Input,$R302,$Y302*H$5+$Z302)</f>
        <v>Select Pet Stock</v>
      </c>
      <c r="I302" t="str" cm="1">
        <f t="array" ref="I302">INDEX(FX_Input,$R302,$Y302*I$5+$Z302)</f>
        <v>Select Pet Stock</v>
      </c>
      <c r="J302" t="str" cm="1">
        <f t="array" ref="J302">INDEX(FX_Input,$R302,$Y302*J$5+$Z302)</f>
        <v>Select Pet Stock</v>
      </c>
      <c r="K302" t="str" cm="1">
        <f t="array" ref="K302">INDEX(FX_Input,$R302,$Y302*K$5+$Z302)</f>
        <v>Select Pet Stock</v>
      </c>
      <c r="L302" t="str" cm="1">
        <f t="array" ref="L302">INDEX(FX_Input,$R302,$Y302*L$5+$Z302)</f>
        <v>Select Pet Stock</v>
      </c>
      <c r="M302" t="str" cm="1">
        <f t="array" ref="M302">INDEX(FX_Input,$R302,$Y302*M$5+$Z302)</f>
        <v>Select Pet Stock</v>
      </c>
      <c r="N302" t="str" cm="1">
        <f t="array" ref="N302">INDEX(FX_Input,$R302,$Y302*N$5+$Z302)</f>
        <v>Select Pet Stock</v>
      </c>
      <c r="O302" t="str" cm="1">
        <f t="array" ref="O302">INDEX(FX_Input,$R302,$Y302*O$5+$Z302)</f>
        <v>Select Pet Stock</v>
      </c>
      <c r="R302">
        <f>R300</f>
        <v>43</v>
      </c>
      <c r="U302">
        <v>18</v>
      </c>
      <c r="V302">
        <f t="shared" si="653"/>
        <v>23</v>
      </c>
      <c r="W302">
        <v>1</v>
      </c>
      <c r="X302">
        <v>2</v>
      </c>
      <c r="Y302">
        <f t="shared" si="651"/>
        <v>5</v>
      </c>
      <c r="Z302">
        <f t="shared" si="652"/>
        <v>13</v>
      </c>
    </row>
    <row r="303" spans="1:26" x14ac:dyDescent="0.4">
      <c r="C303" t="s">
        <v>531</v>
      </c>
      <c r="D303" cm="1">
        <f t="array" ref="D303">INDEX(FX_Input,$R303,$Y303*D$5+$Z303)</f>
        <v>0</v>
      </c>
      <c r="E303" cm="1">
        <f t="array" ref="E303">INDEX(FX_Input,$R303,$Y303*E$5+$Z303)</f>
        <v>0</v>
      </c>
      <c r="F303" cm="1">
        <f t="array" ref="F303">INDEX(FX_Input,$R303,$Y303*F$5+$Z303)</f>
        <v>0</v>
      </c>
      <c r="G303" cm="1">
        <f t="array" ref="G303">INDEX(FX_Input,$R303,$Y303*G$5+$Z303)</f>
        <v>0</v>
      </c>
      <c r="H303" cm="1">
        <f t="array" ref="H303">INDEX(FX_Input,$R303,$Y303*H$5+$Z303)</f>
        <v>0</v>
      </c>
      <c r="I303" cm="1">
        <f t="array" ref="I303">INDEX(FX_Input,$R303,$Y303*I$5+$Z303)</f>
        <v>0</v>
      </c>
      <c r="J303" cm="1">
        <f t="array" ref="J303">INDEX(FX_Input,$R303,$Y303*J$5+$Z303)</f>
        <v>0</v>
      </c>
      <c r="K303" cm="1">
        <f t="array" ref="K303">INDEX(FX_Input,$R303,$Y303*K$5+$Z303)</f>
        <v>0</v>
      </c>
      <c r="L303" cm="1">
        <f t="array" ref="L303">INDEX(FX_Input,$R303,$Y303*L$5+$Z303)</f>
        <v>0</v>
      </c>
      <c r="M303" cm="1">
        <f t="array" ref="M303">INDEX(FX_Input,$R303,$Y303*M$5+$Z303)</f>
        <v>0</v>
      </c>
      <c r="N303" cm="1">
        <f t="array" ref="N303">INDEX(FX_Input,$R303,$Y303*N$5+$Z303)</f>
        <v>0</v>
      </c>
      <c r="O303" cm="1">
        <f t="array" ref="O303">INDEX(FX_Input,$R303,$Y303*O$5+$Z303)</f>
        <v>0</v>
      </c>
      <c r="R303">
        <f>R301</f>
        <v>44</v>
      </c>
      <c r="U303">
        <f>U302</f>
        <v>18</v>
      </c>
      <c r="V303">
        <f t="shared" si="653"/>
        <v>23</v>
      </c>
      <c r="W303">
        <v>1</v>
      </c>
      <c r="X303">
        <v>2</v>
      </c>
      <c r="Y303">
        <f t="shared" si="651"/>
        <v>5</v>
      </c>
      <c r="Z303">
        <f t="shared" si="652"/>
        <v>13</v>
      </c>
    </row>
    <row r="304" spans="1:26" x14ac:dyDescent="0.4">
      <c r="C304" t="s">
        <v>546</v>
      </c>
      <c r="D304" cm="1">
        <f t="array" ref="D304">INDEX(FX_Input,$R304,$Y304*D$5+$Z304)</f>
        <v>1</v>
      </c>
      <c r="E304" cm="1">
        <f t="array" ref="E304">INDEX(FX_Input,$R304,$Y304*E$5+$Z304)</f>
        <v>1</v>
      </c>
      <c r="F304" cm="1">
        <f t="array" ref="F304">INDEX(FX_Input,$R304,$Y304*F$5+$Z304)</f>
        <v>1</v>
      </c>
      <c r="G304" cm="1">
        <f t="array" ref="G304">INDEX(FX_Input,$R304,$Y304*G$5+$Z304)</f>
        <v>1</v>
      </c>
      <c r="H304" cm="1">
        <f t="array" ref="H304">INDEX(FX_Input,$R304,$Y304*H$5+$Z304)</f>
        <v>1</v>
      </c>
      <c r="I304" cm="1">
        <f t="array" ref="I304">INDEX(FX_Input,$R304,$Y304*I$5+$Z304)</f>
        <v>1</v>
      </c>
      <c r="J304" cm="1">
        <f t="array" ref="J304">INDEX(FX_Input,$R304,$Y304*J$5+$Z304)</f>
        <v>1</v>
      </c>
      <c r="K304" cm="1">
        <f t="array" ref="K304">INDEX(FX_Input,$R304,$Y304*K$5+$Z304)</f>
        <v>1</v>
      </c>
      <c r="L304" cm="1">
        <f t="array" ref="L304">INDEX(FX_Input,$R304,$Y304*L$5+$Z304)</f>
        <v>1</v>
      </c>
      <c r="M304" cm="1">
        <f t="array" ref="M304">INDEX(FX_Input,$R304,$Y304*M$5+$Z304)</f>
        <v>1</v>
      </c>
      <c r="N304" cm="1">
        <f t="array" ref="N304">INDEX(FX_Input,$R304,$Y304*N$5+$Z304)</f>
        <v>1</v>
      </c>
      <c r="O304" cm="1">
        <f t="array" ref="O304">INDEX(FX_Input,$R304,$Y304*O$5+$Z304)</f>
        <v>1</v>
      </c>
      <c r="R304">
        <f>R302</f>
        <v>43</v>
      </c>
      <c r="U304">
        <v>21</v>
      </c>
      <c r="V304">
        <f t="shared" si="653"/>
        <v>26</v>
      </c>
      <c r="W304">
        <v>1</v>
      </c>
      <c r="X304">
        <v>2</v>
      </c>
      <c r="Y304">
        <f t="shared" si="651"/>
        <v>5</v>
      </c>
      <c r="Z304">
        <f t="shared" si="652"/>
        <v>16</v>
      </c>
    </row>
    <row r="305" spans="1:26" x14ac:dyDescent="0.4">
      <c r="C305" t="s">
        <v>547</v>
      </c>
      <c r="D305" cm="1">
        <f t="array" ref="D305">INDEX(FX_Input,$R305,$Y305*D$5+$Z305)</f>
        <v>0</v>
      </c>
      <c r="E305" cm="1">
        <f t="array" ref="E305">INDEX(FX_Input,$R305,$Y305*E$5+$Z305)</f>
        <v>0</v>
      </c>
      <c r="F305" cm="1">
        <f t="array" ref="F305">INDEX(FX_Input,$R305,$Y305*F$5+$Z305)</f>
        <v>0</v>
      </c>
      <c r="G305" cm="1">
        <f t="array" ref="G305">INDEX(FX_Input,$R305,$Y305*G$5+$Z305)</f>
        <v>0</v>
      </c>
      <c r="H305" cm="1">
        <f t="array" ref="H305">INDEX(FX_Input,$R305,$Y305*H$5+$Z305)</f>
        <v>0</v>
      </c>
      <c r="I305" cm="1">
        <f t="array" ref="I305">INDEX(FX_Input,$R305,$Y305*I$5+$Z305)</f>
        <v>0</v>
      </c>
      <c r="J305" cm="1">
        <f t="array" ref="J305">INDEX(FX_Input,$R305,$Y305*J$5+$Z305)</f>
        <v>0</v>
      </c>
      <c r="K305" cm="1">
        <f t="array" ref="K305">INDEX(FX_Input,$R305,$Y305*K$5+$Z305)</f>
        <v>0</v>
      </c>
      <c r="L305" cm="1">
        <f t="array" ref="L305">INDEX(FX_Input,$R305,$Y305*L$5+$Z305)</f>
        <v>0</v>
      </c>
      <c r="M305" cm="1">
        <f t="array" ref="M305">INDEX(FX_Input,$R305,$Y305*M$5+$Z305)</f>
        <v>0</v>
      </c>
      <c r="N305" cm="1">
        <f t="array" ref="N305">INDEX(FX_Input,$R305,$Y305*N$5+$Z305)</f>
        <v>0</v>
      </c>
      <c r="O305" cm="1">
        <f t="array" ref="O305">INDEX(FX_Input,$R305,$Y305*O$5+$Z305)</f>
        <v>0</v>
      </c>
      <c r="R305">
        <f>R303</f>
        <v>44</v>
      </c>
      <c r="U305">
        <f>U304</f>
        <v>21</v>
      </c>
      <c r="V305">
        <f t="shared" si="653"/>
        <v>26</v>
      </c>
      <c r="W305">
        <v>1</v>
      </c>
      <c r="X305">
        <v>2</v>
      </c>
      <c r="Y305">
        <f t="shared" si="651"/>
        <v>5</v>
      </c>
      <c r="Z305">
        <f t="shared" si="652"/>
        <v>16</v>
      </c>
    </row>
    <row r="306" spans="1:26" x14ac:dyDescent="0.4">
      <c r="C306" t="s">
        <v>532</v>
      </c>
      <c r="D306">
        <f t="shared" ref="D306:O306" si="654">IFERROR(VLOOKUP(D300,Phys_Prop,2,FALSE),0)</f>
        <v>162</v>
      </c>
      <c r="E306">
        <f t="shared" si="654"/>
        <v>162</v>
      </c>
      <c r="F306">
        <f t="shared" si="654"/>
        <v>162</v>
      </c>
      <c r="G306">
        <f t="shared" si="654"/>
        <v>162</v>
      </c>
      <c r="H306">
        <f t="shared" si="654"/>
        <v>162</v>
      </c>
      <c r="I306">
        <f t="shared" si="654"/>
        <v>162</v>
      </c>
      <c r="J306">
        <f t="shared" si="654"/>
        <v>162</v>
      </c>
      <c r="K306">
        <f t="shared" si="654"/>
        <v>162</v>
      </c>
      <c r="L306">
        <f t="shared" si="654"/>
        <v>162</v>
      </c>
      <c r="M306">
        <f t="shared" si="654"/>
        <v>162</v>
      </c>
      <c r="N306">
        <f t="shared" si="654"/>
        <v>162</v>
      </c>
      <c r="O306">
        <f t="shared" si="654"/>
        <v>162</v>
      </c>
    </row>
    <row r="307" spans="1:26" x14ac:dyDescent="0.4">
      <c r="C307" t="s">
        <v>533</v>
      </c>
      <c r="D307">
        <f t="shared" ref="D307:O307" si="655">IFERROR(VLOOKUP(D301,Phys_Prop,2,FALSE),0)</f>
        <v>0</v>
      </c>
      <c r="E307">
        <f t="shared" si="655"/>
        <v>0</v>
      </c>
      <c r="F307">
        <f t="shared" si="655"/>
        <v>0</v>
      </c>
      <c r="G307">
        <f t="shared" si="655"/>
        <v>0</v>
      </c>
      <c r="H307">
        <f t="shared" si="655"/>
        <v>0</v>
      </c>
      <c r="I307">
        <f t="shared" si="655"/>
        <v>0</v>
      </c>
      <c r="J307">
        <f t="shared" si="655"/>
        <v>0</v>
      </c>
      <c r="K307">
        <f t="shared" si="655"/>
        <v>0</v>
      </c>
      <c r="L307">
        <f t="shared" si="655"/>
        <v>0</v>
      </c>
      <c r="M307">
        <f t="shared" si="655"/>
        <v>0</v>
      </c>
      <c r="N307">
        <f t="shared" si="655"/>
        <v>0</v>
      </c>
      <c r="O307">
        <f t="shared" si="655"/>
        <v>0</v>
      </c>
    </row>
    <row r="308" spans="1:26" x14ac:dyDescent="0.4">
      <c r="C308" t="s">
        <v>544</v>
      </c>
      <c r="D308">
        <f>IFERROR(IFERROR(D306/D304+D307/D305,D306/D304),0)</f>
        <v>162</v>
      </c>
      <c r="E308">
        <f t="shared" ref="E308" si="656">IFERROR(IFERROR(E306/E304+E307/E305,E306/E304),0)</f>
        <v>162</v>
      </c>
      <c r="F308">
        <f t="shared" ref="F308" si="657">IFERROR(IFERROR(F306/F304+F307/F305,F306/F304),0)</f>
        <v>162</v>
      </c>
      <c r="G308">
        <f t="shared" ref="G308" si="658">IFERROR(IFERROR(G306/G304+G307/G305,G306/G304),0)</f>
        <v>162</v>
      </c>
      <c r="H308">
        <f t="shared" ref="H308" si="659">IFERROR(IFERROR(H306/H304+H307/H305,H306/H304),0)</f>
        <v>162</v>
      </c>
      <c r="I308">
        <f t="shared" ref="I308" si="660">IFERROR(IFERROR(I306/I304+I307/I305,I306/I304),0)</f>
        <v>162</v>
      </c>
      <c r="J308">
        <f t="shared" ref="J308" si="661">IFERROR(IFERROR(J306/J304+J307/J305,J306/J304),0)</f>
        <v>162</v>
      </c>
      <c r="K308">
        <f t="shared" ref="K308" si="662">IFERROR(IFERROR(K306/K304+K307/K305,K306/K304),0)</f>
        <v>162</v>
      </c>
      <c r="L308">
        <f t="shared" ref="L308" si="663">IFERROR(IFERROR(L306/L304+L307/L305,L306/L304),0)</f>
        <v>162</v>
      </c>
      <c r="M308">
        <f t="shared" ref="M308" si="664">IFERROR(IFERROR(M306/M304+M307/M305,M306/M304),0)</f>
        <v>162</v>
      </c>
      <c r="N308">
        <f t="shared" ref="N308" si="665">IFERROR(IFERROR(N306/N304+N307/N305,N306/N304),0)</f>
        <v>162</v>
      </c>
      <c r="O308">
        <f t="shared" ref="O308" si="666">IFERROR(IFERROR(O306/O304+O307/O305,O306/O304),0)</f>
        <v>162</v>
      </c>
    </row>
    <row r="309" spans="1:26" x14ac:dyDescent="0.4">
      <c r="C309" t="s">
        <v>539</v>
      </c>
      <c r="D309">
        <f>IFERROR((D304/D306)*D308,1)</f>
        <v>1</v>
      </c>
      <c r="E309">
        <f t="shared" ref="E309" si="667">IFERROR((E304/E306)*E308,1)</f>
        <v>1</v>
      </c>
      <c r="F309">
        <f t="shared" ref="F309" si="668">IFERROR((F304/F306)*F308,1)</f>
        <v>1</v>
      </c>
      <c r="G309">
        <f t="shared" ref="G309" si="669">IFERROR((G304/G306)*G308,1)</f>
        <v>1</v>
      </c>
      <c r="H309">
        <f t="shared" ref="H309" si="670">IFERROR((H304/H306)*H308,1)</f>
        <v>1</v>
      </c>
      <c r="I309">
        <f t="shared" ref="I309" si="671">IFERROR((I304/I306)*I308,1)</f>
        <v>1</v>
      </c>
      <c r="J309">
        <f t="shared" ref="J309" si="672">IFERROR((J304/J306)*J308,1)</f>
        <v>1</v>
      </c>
      <c r="K309">
        <f t="shared" ref="K309" si="673">IFERROR((K304/K306)*K308,1)</f>
        <v>1</v>
      </c>
      <c r="L309">
        <f t="shared" ref="L309" si="674">IFERROR((L304/L306)*L308,1)</f>
        <v>1</v>
      </c>
      <c r="M309">
        <f t="shared" ref="M309" si="675">IFERROR((M304/M306)*M308,1)</f>
        <v>1</v>
      </c>
      <c r="N309">
        <f t="shared" ref="N309" si="676">IFERROR((N304/N306)*N308,1)</f>
        <v>1</v>
      </c>
      <c r="O309">
        <f t="shared" ref="O309" si="677">IFERROR((O304/O306)*O308,1)</f>
        <v>1</v>
      </c>
    </row>
    <row r="310" spans="1:26" x14ac:dyDescent="0.4">
      <c r="C310" t="s">
        <v>540</v>
      </c>
      <c r="D310">
        <f>IFERROR((D305/D307)*D308,0)</f>
        <v>0</v>
      </c>
      <c r="E310">
        <f t="shared" ref="E310:O310" si="678">IFERROR((E305/E307)*E308,0)</f>
        <v>0</v>
      </c>
      <c r="F310">
        <f t="shared" si="678"/>
        <v>0</v>
      </c>
      <c r="G310">
        <f t="shared" si="678"/>
        <v>0</v>
      </c>
      <c r="H310">
        <f t="shared" si="678"/>
        <v>0</v>
      </c>
      <c r="I310">
        <f t="shared" si="678"/>
        <v>0</v>
      </c>
      <c r="J310">
        <f t="shared" si="678"/>
        <v>0</v>
      </c>
      <c r="K310">
        <f t="shared" si="678"/>
        <v>0</v>
      </c>
      <c r="L310">
        <f t="shared" si="678"/>
        <v>0</v>
      </c>
      <c r="M310">
        <f t="shared" si="678"/>
        <v>0</v>
      </c>
      <c r="N310">
        <f t="shared" si="678"/>
        <v>0</v>
      </c>
      <c r="O310">
        <f t="shared" si="678"/>
        <v>0</v>
      </c>
    </row>
    <row r="311" spans="1:26" x14ac:dyDescent="0.4">
      <c r="C311" s="21" t="s">
        <v>534</v>
      </c>
      <c r="D311">
        <f t="shared" ref="D311:O311" si="679">IFERROR(VLOOKUP(D300,Phys_Prop,4,FALSE),0)</f>
        <v>7</v>
      </c>
      <c r="E311">
        <f t="shared" si="679"/>
        <v>7</v>
      </c>
      <c r="F311">
        <f t="shared" si="679"/>
        <v>7</v>
      </c>
      <c r="G311">
        <f t="shared" si="679"/>
        <v>7</v>
      </c>
      <c r="H311">
        <f t="shared" si="679"/>
        <v>7</v>
      </c>
      <c r="I311">
        <f t="shared" si="679"/>
        <v>7</v>
      </c>
      <c r="J311">
        <f t="shared" si="679"/>
        <v>7</v>
      </c>
      <c r="K311">
        <f t="shared" si="679"/>
        <v>7</v>
      </c>
      <c r="L311">
        <f t="shared" si="679"/>
        <v>7</v>
      </c>
      <c r="M311">
        <f t="shared" si="679"/>
        <v>7</v>
      </c>
      <c r="N311">
        <f t="shared" si="679"/>
        <v>7</v>
      </c>
      <c r="O311">
        <f t="shared" si="679"/>
        <v>7</v>
      </c>
    </row>
    <row r="312" spans="1:26" x14ac:dyDescent="0.4">
      <c r="C312" s="21" t="s">
        <v>535</v>
      </c>
      <c r="D312">
        <f t="shared" ref="D312:O312" si="680">IFERROR(VLOOKUP(D301,Phys_Prop,4,FALSE),0)</f>
        <v>0</v>
      </c>
      <c r="E312">
        <f t="shared" si="680"/>
        <v>0</v>
      </c>
      <c r="F312">
        <f t="shared" si="680"/>
        <v>0</v>
      </c>
      <c r="G312">
        <f t="shared" si="680"/>
        <v>0</v>
      </c>
      <c r="H312">
        <f t="shared" si="680"/>
        <v>0</v>
      </c>
      <c r="I312">
        <f t="shared" si="680"/>
        <v>0</v>
      </c>
      <c r="J312">
        <f t="shared" si="680"/>
        <v>0</v>
      </c>
      <c r="K312">
        <f t="shared" si="680"/>
        <v>0</v>
      </c>
      <c r="L312">
        <f t="shared" si="680"/>
        <v>0</v>
      </c>
      <c r="M312">
        <f t="shared" si="680"/>
        <v>0</v>
      </c>
      <c r="N312">
        <f t="shared" si="680"/>
        <v>0</v>
      </c>
      <c r="O312">
        <f t="shared" si="680"/>
        <v>0</v>
      </c>
    </row>
    <row r="313" spans="1:26" x14ac:dyDescent="0.4">
      <c r="A313" s="11"/>
      <c r="B313" s="11"/>
      <c r="C313" s="62" t="s">
        <v>536</v>
      </c>
      <c r="D313" s="11">
        <f>IFERROR(1/(D309/D311+D310/D312),D311)</f>
        <v>7</v>
      </c>
      <c r="E313" s="11">
        <f t="shared" ref="E313:O313" si="681">IFERROR(1/(E309/E311+E310/E312),E311)</f>
        <v>7</v>
      </c>
      <c r="F313" s="11">
        <f t="shared" si="681"/>
        <v>7</v>
      </c>
      <c r="G313" s="11">
        <f t="shared" si="681"/>
        <v>7</v>
      </c>
      <c r="H313" s="11">
        <f t="shared" si="681"/>
        <v>7</v>
      </c>
      <c r="I313" s="11">
        <f t="shared" si="681"/>
        <v>7</v>
      </c>
      <c r="J313" s="11">
        <f t="shared" si="681"/>
        <v>7</v>
      </c>
      <c r="K313" s="11">
        <f t="shared" si="681"/>
        <v>7</v>
      </c>
      <c r="L313" s="11">
        <f t="shared" si="681"/>
        <v>7</v>
      </c>
      <c r="M313" s="11">
        <f t="shared" si="681"/>
        <v>7</v>
      </c>
      <c r="N313" s="11">
        <f t="shared" si="681"/>
        <v>7</v>
      </c>
      <c r="O313" s="11">
        <f t="shared" si="681"/>
        <v>7</v>
      </c>
      <c r="P313" s="11"/>
      <c r="Q313" s="11"/>
      <c r="R313" s="11"/>
      <c r="S313" s="11"/>
      <c r="T313" s="11"/>
      <c r="U313" s="11"/>
      <c r="V313" s="11"/>
      <c r="W313" s="11"/>
      <c r="X313" s="11"/>
      <c r="Y313" s="11"/>
      <c r="Z313" s="11"/>
    </row>
    <row r="314" spans="1:26" x14ac:dyDescent="0.4">
      <c r="A314" t="str" cm="1">
        <f t="array" ref="A314">INDEX(FX_Input,R314,S314)</f>
        <v>FX - 23</v>
      </c>
      <c r="B314" t="str" cm="1">
        <f t="array" ref="B314">INDEX(FX_Input,R314,T314)</f>
        <v>Portland</v>
      </c>
      <c r="C314" t="s">
        <v>528</v>
      </c>
      <c r="D314" t="str" cm="1">
        <f t="array" ref="D314">INDEX(FX_Input,$R314,$Y314*D$5+$Z314)</f>
        <v>Out of Service</v>
      </c>
      <c r="E314" t="str" cm="1">
        <f t="array" ref="E314">INDEX(FX_Input,$R314,$Y314*E$5+$Z314)</f>
        <v>Out of Service</v>
      </c>
      <c r="F314" t="str" cm="1">
        <f t="array" ref="F314">INDEX(FX_Input,$R314,$Y314*F$5+$Z314)</f>
        <v>Out of Service</v>
      </c>
      <c r="G314" t="str" cm="1">
        <f t="array" ref="G314">INDEX(FX_Input,$R314,$Y314*G$5+$Z314)</f>
        <v>Out of Service</v>
      </c>
      <c r="H314" t="str" cm="1">
        <f t="array" ref="H314">INDEX(FX_Input,$R314,$Y314*H$5+$Z314)</f>
        <v>Out of Service</v>
      </c>
      <c r="I314" t="str" cm="1">
        <f t="array" ref="I314">INDEX(FX_Input,$R314,$Y314*I$5+$Z314)</f>
        <v>Out of Service</v>
      </c>
      <c r="J314" t="str" cm="1">
        <f t="array" ref="J314">INDEX(FX_Input,$R314,$Y314*J$5+$Z314)</f>
        <v>Out of Service</v>
      </c>
      <c r="K314" t="str" cm="1">
        <f t="array" ref="K314">INDEX(FX_Input,$R314,$Y314*K$5+$Z314)</f>
        <v>Out of Service</v>
      </c>
      <c r="L314" t="str" cm="1">
        <f t="array" ref="L314">INDEX(FX_Input,$R314,$Y314*L$5+$Z314)</f>
        <v>Out of Service</v>
      </c>
      <c r="M314" t="str" cm="1">
        <f t="array" ref="M314">INDEX(FX_Input,$R314,$Y314*M$5+$Z314)</f>
        <v>Out of Service</v>
      </c>
      <c r="N314" t="str" cm="1">
        <f t="array" ref="N314">INDEX(FX_Input,$R314,$Y314*N$5+$Z314)</f>
        <v>Out of Service</v>
      </c>
      <c r="O314" t="str" cm="1">
        <f t="array" ref="O314">INDEX(FX_Input,$R314,$Y314*O$5+$Z314)</f>
        <v>Out of Service</v>
      </c>
      <c r="R314">
        <f>R300+2</f>
        <v>45</v>
      </c>
      <c r="S314">
        <v>1</v>
      </c>
      <c r="T314">
        <v>3</v>
      </c>
      <c r="U314">
        <v>17</v>
      </c>
      <c r="V314">
        <f>U314+5</f>
        <v>22</v>
      </c>
      <c r="W314">
        <v>1</v>
      </c>
      <c r="X314">
        <v>2</v>
      </c>
      <c r="Y314">
        <f t="shared" ref="Y314:Y319" si="682">(V314-U314)/(X314-W314)</f>
        <v>5</v>
      </c>
      <c r="Z314">
        <f t="shared" ref="Z314:Z319" si="683">U314-Y314*W314</f>
        <v>12</v>
      </c>
    </row>
    <row r="315" spans="1:26" x14ac:dyDescent="0.4">
      <c r="C315" t="s">
        <v>529</v>
      </c>
      <c r="D315" cm="1">
        <f t="array" ref="D315">INDEX(FX_Input,$R315,$Y315*D$5+$Z315)</f>
        <v>0</v>
      </c>
      <c r="E315" cm="1">
        <f t="array" ref="E315">INDEX(FX_Input,$R315,$Y315*E$5+$Z315)</f>
        <v>0</v>
      </c>
      <c r="F315" cm="1">
        <f t="array" ref="F315">INDEX(FX_Input,$R315,$Y315*F$5+$Z315)</f>
        <v>0</v>
      </c>
      <c r="G315" cm="1">
        <f t="array" ref="G315">INDEX(FX_Input,$R315,$Y315*G$5+$Z315)</f>
        <v>0</v>
      </c>
      <c r="H315" cm="1">
        <f t="array" ref="H315">INDEX(FX_Input,$R315,$Y315*H$5+$Z315)</f>
        <v>0</v>
      </c>
      <c r="I315" cm="1">
        <f t="array" ref="I315">INDEX(FX_Input,$R315,$Y315*I$5+$Z315)</f>
        <v>0</v>
      </c>
      <c r="J315" cm="1">
        <f t="array" ref="J315">INDEX(FX_Input,$R315,$Y315*J$5+$Z315)</f>
        <v>0</v>
      </c>
      <c r="K315" cm="1">
        <f t="array" ref="K315">INDEX(FX_Input,$R315,$Y315*K$5+$Z315)</f>
        <v>0</v>
      </c>
      <c r="L315" cm="1">
        <f t="array" ref="L315">INDEX(FX_Input,$R315,$Y315*L$5+$Z315)</f>
        <v>0</v>
      </c>
      <c r="M315" cm="1">
        <f t="array" ref="M315">INDEX(FX_Input,$R315,$Y315*M$5+$Z315)</f>
        <v>0</v>
      </c>
      <c r="N315" cm="1">
        <f t="array" ref="N315">INDEX(FX_Input,$R315,$Y315*N$5+$Z315)</f>
        <v>0</v>
      </c>
      <c r="O315" cm="1">
        <f t="array" ref="O315">INDEX(FX_Input,$R315,$Y315*O$5+$Z315)</f>
        <v>0</v>
      </c>
      <c r="R315">
        <f>R314+1</f>
        <v>46</v>
      </c>
      <c r="U315">
        <f>U314</f>
        <v>17</v>
      </c>
      <c r="V315">
        <f t="shared" ref="V315:V319" si="684">U315+5</f>
        <v>22</v>
      </c>
      <c r="W315">
        <v>1</v>
      </c>
      <c r="X315">
        <v>2</v>
      </c>
      <c r="Y315">
        <f t="shared" si="682"/>
        <v>5</v>
      </c>
      <c r="Z315">
        <f t="shared" si="683"/>
        <v>12</v>
      </c>
    </row>
    <row r="316" spans="1:26" x14ac:dyDescent="0.4">
      <c r="C316" t="s">
        <v>530</v>
      </c>
      <c r="D316" t="str" cm="1">
        <f t="array" ref="D316">INDEX(FX_Input,$R316,$Y316*D$5+$Z316)</f>
        <v>N/A</v>
      </c>
      <c r="E316" t="str" cm="1">
        <f t="array" ref="E316">INDEX(FX_Input,$R316,$Y316*E$5+$Z316)</f>
        <v>N/A</v>
      </c>
      <c r="F316" t="str" cm="1">
        <f t="array" ref="F316">INDEX(FX_Input,$R316,$Y316*F$5+$Z316)</f>
        <v>N/A</v>
      </c>
      <c r="G316" t="str" cm="1">
        <f t="array" ref="G316">INDEX(FX_Input,$R316,$Y316*G$5+$Z316)</f>
        <v>N/A</v>
      </c>
      <c r="H316" t="str" cm="1">
        <f t="array" ref="H316">INDEX(FX_Input,$R316,$Y316*H$5+$Z316)</f>
        <v>N/A</v>
      </c>
      <c r="I316" t="str" cm="1">
        <f t="array" ref="I316">INDEX(FX_Input,$R316,$Y316*I$5+$Z316)</f>
        <v>N/A</v>
      </c>
      <c r="J316" t="str" cm="1">
        <f t="array" ref="J316">INDEX(FX_Input,$R316,$Y316*J$5+$Z316)</f>
        <v>N/A</v>
      </c>
      <c r="K316" t="str" cm="1">
        <f t="array" ref="K316">INDEX(FX_Input,$R316,$Y316*K$5+$Z316)</f>
        <v>N/A</v>
      </c>
      <c r="L316" t="str" cm="1">
        <f t="array" ref="L316">INDEX(FX_Input,$R316,$Y316*L$5+$Z316)</f>
        <v>N/A</v>
      </c>
      <c r="M316" t="str" cm="1">
        <f t="array" ref="M316">INDEX(FX_Input,$R316,$Y316*M$5+$Z316)</f>
        <v>N/A</v>
      </c>
      <c r="N316" t="str" cm="1">
        <f t="array" ref="N316">INDEX(FX_Input,$R316,$Y316*N$5+$Z316)</f>
        <v>N/A</v>
      </c>
      <c r="O316" t="str" cm="1">
        <f t="array" ref="O316">INDEX(FX_Input,$R316,$Y316*O$5+$Z316)</f>
        <v>N/A</v>
      </c>
      <c r="R316">
        <f>R314</f>
        <v>45</v>
      </c>
      <c r="U316">
        <v>18</v>
      </c>
      <c r="V316">
        <f t="shared" si="684"/>
        <v>23</v>
      </c>
      <c r="W316">
        <v>1</v>
      </c>
      <c r="X316">
        <v>2</v>
      </c>
      <c r="Y316">
        <f t="shared" si="682"/>
        <v>5</v>
      </c>
      <c r="Z316">
        <f t="shared" si="683"/>
        <v>13</v>
      </c>
    </row>
    <row r="317" spans="1:26" x14ac:dyDescent="0.4">
      <c r="C317" t="s">
        <v>531</v>
      </c>
      <c r="D317" cm="1">
        <f t="array" ref="D317">INDEX(FX_Input,$R317,$Y317*D$5+$Z317)</f>
        <v>0</v>
      </c>
      <c r="E317" cm="1">
        <f t="array" ref="E317">INDEX(FX_Input,$R317,$Y317*E$5+$Z317)</f>
        <v>0</v>
      </c>
      <c r="F317" cm="1">
        <f t="array" ref="F317">INDEX(FX_Input,$R317,$Y317*F$5+$Z317)</f>
        <v>0</v>
      </c>
      <c r="G317" cm="1">
        <f t="array" ref="G317">INDEX(FX_Input,$R317,$Y317*G$5+$Z317)</f>
        <v>0</v>
      </c>
      <c r="H317" cm="1">
        <f t="array" ref="H317">INDEX(FX_Input,$R317,$Y317*H$5+$Z317)</f>
        <v>0</v>
      </c>
      <c r="I317" cm="1">
        <f t="array" ref="I317">INDEX(FX_Input,$R317,$Y317*I$5+$Z317)</f>
        <v>0</v>
      </c>
      <c r="J317" cm="1">
        <f t="array" ref="J317">INDEX(FX_Input,$R317,$Y317*J$5+$Z317)</f>
        <v>0</v>
      </c>
      <c r="K317" cm="1">
        <f t="array" ref="K317">INDEX(FX_Input,$R317,$Y317*K$5+$Z317)</f>
        <v>0</v>
      </c>
      <c r="L317" cm="1">
        <f t="array" ref="L317">INDEX(FX_Input,$R317,$Y317*L$5+$Z317)</f>
        <v>0</v>
      </c>
      <c r="M317" cm="1">
        <f t="array" ref="M317">INDEX(FX_Input,$R317,$Y317*M$5+$Z317)</f>
        <v>0</v>
      </c>
      <c r="N317" cm="1">
        <f t="array" ref="N317">INDEX(FX_Input,$R317,$Y317*N$5+$Z317)</f>
        <v>0</v>
      </c>
      <c r="O317" cm="1">
        <f t="array" ref="O317">INDEX(FX_Input,$R317,$Y317*O$5+$Z317)</f>
        <v>0</v>
      </c>
      <c r="R317">
        <f>R315</f>
        <v>46</v>
      </c>
      <c r="U317">
        <f>U316</f>
        <v>18</v>
      </c>
      <c r="V317">
        <f t="shared" si="684"/>
        <v>23</v>
      </c>
      <c r="W317">
        <v>1</v>
      </c>
      <c r="X317">
        <v>2</v>
      </c>
      <c r="Y317">
        <f t="shared" si="682"/>
        <v>5</v>
      </c>
      <c r="Z317">
        <f t="shared" si="683"/>
        <v>13</v>
      </c>
    </row>
    <row r="318" spans="1:26" x14ac:dyDescent="0.4">
      <c r="C318" t="s">
        <v>546</v>
      </c>
      <c r="D318" cm="1">
        <f t="array" ref="D318">INDEX(FX_Input,$R318,$Y318*D$5+$Z318)</f>
        <v>1</v>
      </c>
      <c r="E318" cm="1">
        <f t="array" ref="E318">INDEX(FX_Input,$R318,$Y318*E$5+$Z318)</f>
        <v>1</v>
      </c>
      <c r="F318" cm="1">
        <f t="array" ref="F318">INDEX(FX_Input,$R318,$Y318*F$5+$Z318)</f>
        <v>1</v>
      </c>
      <c r="G318" cm="1">
        <f t="array" ref="G318">INDEX(FX_Input,$R318,$Y318*G$5+$Z318)</f>
        <v>1</v>
      </c>
      <c r="H318" cm="1">
        <f t="array" ref="H318">INDEX(FX_Input,$R318,$Y318*H$5+$Z318)</f>
        <v>1</v>
      </c>
      <c r="I318" cm="1">
        <f t="array" ref="I318">INDEX(FX_Input,$R318,$Y318*I$5+$Z318)</f>
        <v>1</v>
      </c>
      <c r="J318" cm="1">
        <f t="array" ref="J318">INDEX(FX_Input,$R318,$Y318*J$5+$Z318)</f>
        <v>1</v>
      </c>
      <c r="K318" cm="1">
        <f t="array" ref="K318">INDEX(FX_Input,$R318,$Y318*K$5+$Z318)</f>
        <v>1</v>
      </c>
      <c r="L318" cm="1">
        <f t="array" ref="L318">INDEX(FX_Input,$R318,$Y318*L$5+$Z318)</f>
        <v>1</v>
      </c>
      <c r="M318" cm="1">
        <f t="array" ref="M318">INDEX(FX_Input,$R318,$Y318*M$5+$Z318)</f>
        <v>1</v>
      </c>
      <c r="N318" cm="1">
        <f t="array" ref="N318">INDEX(FX_Input,$R318,$Y318*N$5+$Z318)</f>
        <v>1</v>
      </c>
      <c r="O318" cm="1">
        <f t="array" ref="O318">INDEX(FX_Input,$R318,$Y318*O$5+$Z318)</f>
        <v>1</v>
      </c>
      <c r="R318">
        <f>R316</f>
        <v>45</v>
      </c>
      <c r="U318">
        <v>21</v>
      </c>
      <c r="V318">
        <f t="shared" si="684"/>
        <v>26</v>
      </c>
      <c r="W318">
        <v>1</v>
      </c>
      <c r="X318">
        <v>2</v>
      </c>
      <c r="Y318">
        <f t="shared" si="682"/>
        <v>5</v>
      </c>
      <c r="Z318">
        <f t="shared" si="683"/>
        <v>16</v>
      </c>
    </row>
    <row r="319" spans="1:26" x14ac:dyDescent="0.4">
      <c r="C319" t="s">
        <v>547</v>
      </c>
      <c r="D319" cm="1">
        <f t="array" ref="D319">INDEX(FX_Input,$R319,$Y319*D$5+$Z319)</f>
        <v>0</v>
      </c>
      <c r="E319" cm="1">
        <f t="array" ref="E319">INDEX(FX_Input,$R319,$Y319*E$5+$Z319)</f>
        <v>0</v>
      </c>
      <c r="F319" cm="1">
        <f t="array" ref="F319">INDEX(FX_Input,$R319,$Y319*F$5+$Z319)</f>
        <v>0</v>
      </c>
      <c r="G319" cm="1">
        <f t="array" ref="G319">INDEX(FX_Input,$R319,$Y319*G$5+$Z319)</f>
        <v>0</v>
      </c>
      <c r="H319" cm="1">
        <f t="array" ref="H319">INDEX(FX_Input,$R319,$Y319*H$5+$Z319)</f>
        <v>0</v>
      </c>
      <c r="I319" cm="1">
        <f t="array" ref="I319">INDEX(FX_Input,$R319,$Y319*I$5+$Z319)</f>
        <v>0</v>
      </c>
      <c r="J319" cm="1">
        <f t="array" ref="J319">INDEX(FX_Input,$R319,$Y319*J$5+$Z319)</f>
        <v>0</v>
      </c>
      <c r="K319" cm="1">
        <f t="array" ref="K319">INDEX(FX_Input,$R319,$Y319*K$5+$Z319)</f>
        <v>0</v>
      </c>
      <c r="L319" cm="1">
        <f t="array" ref="L319">INDEX(FX_Input,$R319,$Y319*L$5+$Z319)</f>
        <v>0</v>
      </c>
      <c r="M319" cm="1">
        <f t="array" ref="M319">INDEX(FX_Input,$R319,$Y319*M$5+$Z319)</f>
        <v>0</v>
      </c>
      <c r="N319" cm="1">
        <f t="array" ref="N319">INDEX(FX_Input,$R319,$Y319*N$5+$Z319)</f>
        <v>0</v>
      </c>
      <c r="O319" cm="1">
        <f t="array" ref="O319">INDEX(FX_Input,$R319,$Y319*O$5+$Z319)</f>
        <v>0</v>
      </c>
      <c r="R319">
        <f>R317</f>
        <v>46</v>
      </c>
      <c r="U319">
        <f>U318</f>
        <v>21</v>
      </c>
      <c r="V319">
        <f t="shared" si="684"/>
        <v>26</v>
      </c>
      <c r="W319">
        <v>1</v>
      </c>
      <c r="X319">
        <v>2</v>
      </c>
      <c r="Y319">
        <f t="shared" si="682"/>
        <v>5</v>
      </c>
      <c r="Z319">
        <f t="shared" si="683"/>
        <v>16</v>
      </c>
    </row>
    <row r="320" spans="1:26" x14ac:dyDescent="0.4">
      <c r="C320" t="s">
        <v>532</v>
      </c>
      <c r="D320" t="str">
        <f t="shared" ref="D320:O320" si="685">IFERROR(VLOOKUP(D314,Phys_Prop,2,FALSE),0)</f>
        <v>N/A</v>
      </c>
      <c r="E320" t="str">
        <f t="shared" si="685"/>
        <v>N/A</v>
      </c>
      <c r="F320" t="str">
        <f t="shared" si="685"/>
        <v>N/A</v>
      </c>
      <c r="G320" t="str">
        <f t="shared" si="685"/>
        <v>N/A</v>
      </c>
      <c r="H320" t="str">
        <f t="shared" si="685"/>
        <v>N/A</v>
      </c>
      <c r="I320" t="str">
        <f t="shared" si="685"/>
        <v>N/A</v>
      </c>
      <c r="J320" t="str">
        <f t="shared" si="685"/>
        <v>N/A</v>
      </c>
      <c r="K320" t="str">
        <f t="shared" si="685"/>
        <v>N/A</v>
      </c>
      <c r="L320" t="str">
        <f t="shared" si="685"/>
        <v>N/A</v>
      </c>
      <c r="M320" t="str">
        <f t="shared" si="685"/>
        <v>N/A</v>
      </c>
      <c r="N320" t="str">
        <f t="shared" si="685"/>
        <v>N/A</v>
      </c>
      <c r="O320" t="str">
        <f t="shared" si="685"/>
        <v>N/A</v>
      </c>
    </row>
    <row r="321" spans="1:26" x14ac:dyDescent="0.4">
      <c r="C321" t="s">
        <v>533</v>
      </c>
      <c r="D321">
        <f t="shared" ref="D321:O321" si="686">IFERROR(VLOOKUP(D315,Phys_Prop,2,FALSE),0)</f>
        <v>0</v>
      </c>
      <c r="E321">
        <f t="shared" si="686"/>
        <v>0</v>
      </c>
      <c r="F321">
        <f t="shared" si="686"/>
        <v>0</v>
      </c>
      <c r="G321">
        <f t="shared" si="686"/>
        <v>0</v>
      </c>
      <c r="H321">
        <f t="shared" si="686"/>
        <v>0</v>
      </c>
      <c r="I321">
        <f t="shared" si="686"/>
        <v>0</v>
      </c>
      <c r="J321">
        <f t="shared" si="686"/>
        <v>0</v>
      </c>
      <c r="K321">
        <f t="shared" si="686"/>
        <v>0</v>
      </c>
      <c r="L321">
        <f t="shared" si="686"/>
        <v>0</v>
      </c>
      <c r="M321">
        <f t="shared" si="686"/>
        <v>0</v>
      </c>
      <c r="N321">
        <f t="shared" si="686"/>
        <v>0</v>
      </c>
      <c r="O321">
        <f t="shared" si="686"/>
        <v>0</v>
      </c>
    </row>
    <row r="322" spans="1:26" x14ac:dyDescent="0.4">
      <c r="C322" t="s">
        <v>544</v>
      </c>
      <c r="D322">
        <f>IFERROR(IFERROR(D320/D318+D321/D319,D320/D318),0)</f>
        <v>0</v>
      </c>
      <c r="E322">
        <f t="shared" ref="E322" si="687">IFERROR(IFERROR(E320/E318+E321/E319,E320/E318),0)</f>
        <v>0</v>
      </c>
      <c r="F322">
        <f t="shared" ref="F322" si="688">IFERROR(IFERROR(F320/F318+F321/F319,F320/F318),0)</f>
        <v>0</v>
      </c>
      <c r="G322">
        <f t="shared" ref="G322" si="689">IFERROR(IFERROR(G320/G318+G321/G319,G320/G318),0)</f>
        <v>0</v>
      </c>
      <c r="H322">
        <f t="shared" ref="H322" si="690">IFERROR(IFERROR(H320/H318+H321/H319,H320/H318),0)</f>
        <v>0</v>
      </c>
      <c r="I322">
        <f t="shared" ref="I322" si="691">IFERROR(IFERROR(I320/I318+I321/I319,I320/I318),0)</f>
        <v>0</v>
      </c>
      <c r="J322">
        <f t="shared" ref="J322" si="692">IFERROR(IFERROR(J320/J318+J321/J319,J320/J318),0)</f>
        <v>0</v>
      </c>
      <c r="K322">
        <f t="shared" ref="K322" si="693">IFERROR(IFERROR(K320/K318+K321/K319,K320/K318),0)</f>
        <v>0</v>
      </c>
      <c r="L322">
        <f t="shared" ref="L322" si="694">IFERROR(IFERROR(L320/L318+L321/L319,L320/L318),0)</f>
        <v>0</v>
      </c>
      <c r="M322">
        <f t="shared" ref="M322" si="695">IFERROR(IFERROR(M320/M318+M321/M319,M320/M318),0)</f>
        <v>0</v>
      </c>
      <c r="N322">
        <f t="shared" ref="N322" si="696">IFERROR(IFERROR(N320/N318+N321/N319,N320/N318),0)</f>
        <v>0</v>
      </c>
      <c r="O322">
        <f t="shared" ref="O322" si="697">IFERROR(IFERROR(O320/O318+O321/O319,O320/O318),0)</f>
        <v>0</v>
      </c>
    </row>
    <row r="323" spans="1:26" x14ac:dyDescent="0.4">
      <c r="C323" t="s">
        <v>539</v>
      </c>
      <c r="D323">
        <f>IFERROR((D318/D320)*D322,1)</f>
        <v>1</v>
      </c>
      <c r="E323">
        <f t="shared" ref="E323" si="698">IFERROR((E318/E320)*E322,1)</f>
        <v>1</v>
      </c>
      <c r="F323">
        <f t="shared" ref="F323" si="699">IFERROR((F318/F320)*F322,1)</f>
        <v>1</v>
      </c>
      <c r="G323">
        <f t="shared" ref="G323" si="700">IFERROR((G318/G320)*G322,1)</f>
        <v>1</v>
      </c>
      <c r="H323">
        <f t="shared" ref="H323" si="701">IFERROR((H318/H320)*H322,1)</f>
        <v>1</v>
      </c>
      <c r="I323">
        <f t="shared" ref="I323" si="702">IFERROR((I318/I320)*I322,1)</f>
        <v>1</v>
      </c>
      <c r="J323">
        <f t="shared" ref="J323" si="703">IFERROR((J318/J320)*J322,1)</f>
        <v>1</v>
      </c>
      <c r="K323">
        <f t="shared" ref="K323" si="704">IFERROR((K318/K320)*K322,1)</f>
        <v>1</v>
      </c>
      <c r="L323">
        <f t="shared" ref="L323" si="705">IFERROR((L318/L320)*L322,1)</f>
        <v>1</v>
      </c>
      <c r="M323">
        <f t="shared" ref="M323" si="706">IFERROR((M318/M320)*M322,1)</f>
        <v>1</v>
      </c>
      <c r="N323">
        <f t="shared" ref="N323" si="707">IFERROR((N318/N320)*N322,1)</f>
        <v>1</v>
      </c>
      <c r="O323">
        <f t="shared" ref="O323" si="708">IFERROR((O318/O320)*O322,1)</f>
        <v>1</v>
      </c>
    </row>
    <row r="324" spans="1:26" x14ac:dyDescent="0.4">
      <c r="C324" t="s">
        <v>540</v>
      </c>
      <c r="D324">
        <f>IFERROR((D319/D321)*D322,0)</f>
        <v>0</v>
      </c>
      <c r="E324">
        <f t="shared" ref="E324:O324" si="709">IFERROR((E319/E321)*E322,0)</f>
        <v>0</v>
      </c>
      <c r="F324">
        <f t="shared" si="709"/>
        <v>0</v>
      </c>
      <c r="G324">
        <f t="shared" si="709"/>
        <v>0</v>
      </c>
      <c r="H324">
        <f t="shared" si="709"/>
        <v>0</v>
      </c>
      <c r="I324">
        <f t="shared" si="709"/>
        <v>0</v>
      </c>
      <c r="J324">
        <f t="shared" si="709"/>
        <v>0</v>
      </c>
      <c r="K324">
        <f t="shared" si="709"/>
        <v>0</v>
      </c>
      <c r="L324">
        <f t="shared" si="709"/>
        <v>0</v>
      </c>
      <c r="M324">
        <f t="shared" si="709"/>
        <v>0</v>
      </c>
      <c r="N324">
        <f t="shared" si="709"/>
        <v>0</v>
      </c>
      <c r="O324">
        <f t="shared" si="709"/>
        <v>0</v>
      </c>
    </row>
    <row r="325" spans="1:26" x14ac:dyDescent="0.4">
      <c r="C325" s="21" t="s">
        <v>534</v>
      </c>
      <c r="D325" t="str">
        <f t="shared" ref="D325:O325" si="710">IFERROR(VLOOKUP(D314,Phys_Prop,4,FALSE),0)</f>
        <v>N/A</v>
      </c>
      <c r="E325" t="str">
        <f t="shared" si="710"/>
        <v>N/A</v>
      </c>
      <c r="F325" t="str">
        <f t="shared" si="710"/>
        <v>N/A</v>
      </c>
      <c r="G325" t="str">
        <f t="shared" si="710"/>
        <v>N/A</v>
      </c>
      <c r="H325" t="str">
        <f t="shared" si="710"/>
        <v>N/A</v>
      </c>
      <c r="I325" t="str">
        <f t="shared" si="710"/>
        <v>N/A</v>
      </c>
      <c r="J325" t="str">
        <f t="shared" si="710"/>
        <v>N/A</v>
      </c>
      <c r="K325" t="str">
        <f t="shared" si="710"/>
        <v>N/A</v>
      </c>
      <c r="L325" t="str">
        <f t="shared" si="710"/>
        <v>N/A</v>
      </c>
      <c r="M325" t="str">
        <f t="shared" si="710"/>
        <v>N/A</v>
      </c>
      <c r="N325" t="str">
        <f t="shared" si="710"/>
        <v>N/A</v>
      </c>
      <c r="O325" t="str">
        <f t="shared" si="710"/>
        <v>N/A</v>
      </c>
    </row>
    <row r="326" spans="1:26" x14ac:dyDescent="0.4">
      <c r="C326" s="21" t="s">
        <v>535</v>
      </c>
      <c r="D326">
        <f t="shared" ref="D326:O326" si="711">IFERROR(VLOOKUP(D315,Phys_Prop,4,FALSE),0)</f>
        <v>0</v>
      </c>
      <c r="E326">
        <f t="shared" si="711"/>
        <v>0</v>
      </c>
      <c r="F326">
        <f t="shared" si="711"/>
        <v>0</v>
      </c>
      <c r="G326">
        <f t="shared" si="711"/>
        <v>0</v>
      </c>
      <c r="H326">
        <f t="shared" si="711"/>
        <v>0</v>
      </c>
      <c r="I326">
        <f t="shared" si="711"/>
        <v>0</v>
      </c>
      <c r="J326">
        <f t="shared" si="711"/>
        <v>0</v>
      </c>
      <c r="K326">
        <f t="shared" si="711"/>
        <v>0</v>
      </c>
      <c r="L326">
        <f t="shared" si="711"/>
        <v>0</v>
      </c>
      <c r="M326">
        <f t="shared" si="711"/>
        <v>0</v>
      </c>
      <c r="N326">
        <f t="shared" si="711"/>
        <v>0</v>
      </c>
      <c r="O326">
        <f t="shared" si="711"/>
        <v>0</v>
      </c>
    </row>
    <row r="327" spans="1:26" x14ac:dyDescent="0.4">
      <c r="A327" s="11"/>
      <c r="B327" s="11"/>
      <c r="C327" s="62" t="s">
        <v>536</v>
      </c>
      <c r="D327" s="11" t="str">
        <f>IFERROR(1/(D323/D325+D324/D326),D325)</f>
        <v>N/A</v>
      </c>
      <c r="E327" s="11" t="str">
        <f t="shared" ref="E327:O327" si="712">IFERROR(1/(E323/E325+E324/E326),E325)</f>
        <v>N/A</v>
      </c>
      <c r="F327" s="11" t="str">
        <f t="shared" si="712"/>
        <v>N/A</v>
      </c>
      <c r="G327" s="11" t="str">
        <f t="shared" si="712"/>
        <v>N/A</v>
      </c>
      <c r="H327" s="11" t="str">
        <f t="shared" si="712"/>
        <v>N/A</v>
      </c>
      <c r="I327" s="11" t="str">
        <f t="shared" si="712"/>
        <v>N/A</v>
      </c>
      <c r="J327" s="11" t="str">
        <f t="shared" si="712"/>
        <v>N/A</v>
      </c>
      <c r="K327" s="11" t="str">
        <f t="shared" si="712"/>
        <v>N/A</v>
      </c>
      <c r="L327" s="11" t="str">
        <f t="shared" si="712"/>
        <v>N/A</v>
      </c>
      <c r="M327" s="11" t="str">
        <f t="shared" si="712"/>
        <v>N/A</v>
      </c>
      <c r="N327" s="11" t="str">
        <f t="shared" si="712"/>
        <v>N/A</v>
      </c>
      <c r="O327" s="11" t="str">
        <f t="shared" si="712"/>
        <v>N/A</v>
      </c>
      <c r="P327" s="11"/>
      <c r="Q327" s="11"/>
      <c r="R327" s="11"/>
      <c r="S327" s="11"/>
      <c r="T327" s="11"/>
      <c r="U327" s="11"/>
      <c r="V327" s="11"/>
      <c r="W327" s="11"/>
      <c r="X327" s="11"/>
      <c r="Y327" s="11"/>
      <c r="Z327" s="11"/>
    </row>
    <row r="328" spans="1:26" x14ac:dyDescent="0.4">
      <c r="A328" t="str" cm="1">
        <f t="array" ref="A328">INDEX(FX_Input,R328,S328)</f>
        <v>FX - 24</v>
      </c>
      <c r="B328" t="str" cm="1">
        <f t="array" ref="B328">INDEX(FX_Input,R328,T328)</f>
        <v>Portland</v>
      </c>
      <c r="C328" t="s">
        <v>528</v>
      </c>
      <c r="D328" t="str" cm="1">
        <f t="array" ref="D328">INDEX(FX_Input,$R328,$Y328*D$5+$Z328)</f>
        <v>Out of Service</v>
      </c>
      <c r="E328" t="str" cm="1">
        <f t="array" ref="E328">INDEX(FX_Input,$R328,$Y328*E$5+$Z328)</f>
        <v>Out of Service</v>
      </c>
      <c r="F328" t="str" cm="1">
        <f t="array" ref="F328">INDEX(FX_Input,$R328,$Y328*F$5+$Z328)</f>
        <v>Out of Service</v>
      </c>
      <c r="G328" t="str" cm="1">
        <f t="array" ref="G328">INDEX(FX_Input,$R328,$Y328*G$5+$Z328)</f>
        <v>Out of Service</v>
      </c>
      <c r="H328" t="str" cm="1">
        <f t="array" ref="H328">INDEX(FX_Input,$R328,$Y328*H$5+$Z328)</f>
        <v>Out of Service</v>
      </c>
      <c r="I328" t="str" cm="1">
        <f t="array" ref="I328">INDEX(FX_Input,$R328,$Y328*I$5+$Z328)</f>
        <v>Out of Service</v>
      </c>
      <c r="J328" t="str" cm="1">
        <f t="array" ref="J328">INDEX(FX_Input,$R328,$Y328*J$5+$Z328)</f>
        <v>Out of Service</v>
      </c>
      <c r="K328" t="str" cm="1">
        <f t="array" ref="K328">INDEX(FX_Input,$R328,$Y328*K$5+$Z328)</f>
        <v>Out of Service</v>
      </c>
      <c r="L328" t="str" cm="1">
        <f t="array" ref="L328">INDEX(FX_Input,$R328,$Y328*L$5+$Z328)</f>
        <v>Out of Service</v>
      </c>
      <c r="M328" t="str" cm="1">
        <f t="array" ref="M328">INDEX(FX_Input,$R328,$Y328*M$5+$Z328)</f>
        <v>Out of Service</v>
      </c>
      <c r="N328" t="str" cm="1">
        <f t="array" ref="N328">INDEX(FX_Input,$R328,$Y328*N$5+$Z328)</f>
        <v>Out of Service</v>
      </c>
      <c r="O328" t="str" cm="1">
        <f t="array" ref="O328">INDEX(FX_Input,$R328,$Y328*O$5+$Z328)</f>
        <v>Out of Service</v>
      </c>
      <c r="R328">
        <f>R314+2</f>
        <v>47</v>
      </c>
      <c r="S328">
        <v>1</v>
      </c>
      <c r="T328">
        <v>3</v>
      </c>
      <c r="U328">
        <v>17</v>
      </c>
      <c r="V328">
        <f>U328+5</f>
        <v>22</v>
      </c>
      <c r="W328">
        <v>1</v>
      </c>
      <c r="X328">
        <v>2</v>
      </c>
      <c r="Y328">
        <f t="shared" ref="Y328:Y333" si="713">(V328-U328)/(X328-W328)</f>
        <v>5</v>
      </c>
      <c r="Z328">
        <f t="shared" ref="Z328:Z333" si="714">U328-Y328*W328</f>
        <v>12</v>
      </c>
    </row>
    <row r="329" spans="1:26" x14ac:dyDescent="0.4">
      <c r="C329" t="s">
        <v>529</v>
      </c>
      <c r="D329" cm="1">
        <f t="array" ref="D329">INDEX(FX_Input,$R329,$Y329*D$5+$Z329)</f>
        <v>0</v>
      </c>
      <c r="E329" cm="1">
        <f t="array" ref="E329">INDEX(FX_Input,$R329,$Y329*E$5+$Z329)</f>
        <v>0</v>
      </c>
      <c r="F329" cm="1">
        <f t="array" ref="F329">INDEX(FX_Input,$R329,$Y329*F$5+$Z329)</f>
        <v>0</v>
      </c>
      <c r="G329" cm="1">
        <f t="array" ref="G329">INDEX(FX_Input,$R329,$Y329*G$5+$Z329)</f>
        <v>0</v>
      </c>
      <c r="H329" cm="1">
        <f t="array" ref="H329">INDEX(FX_Input,$R329,$Y329*H$5+$Z329)</f>
        <v>0</v>
      </c>
      <c r="I329" cm="1">
        <f t="array" ref="I329">INDEX(FX_Input,$R329,$Y329*I$5+$Z329)</f>
        <v>0</v>
      </c>
      <c r="J329" cm="1">
        <f t="array" ref="J329">INDEX(FX_Input,$R329,$Y329*J$5+$Z329)</f>
        <v>0</v>
      </c>
      <c r="K329" cm="1">
        <f t="array" ref="K329">INDEX(FX_Input,$R329,$Y329*K$5+$Z329)</f>
        <v>0</v>
      </c>
      <c r="L329" cm="1">
        <f t="array" ref="L329">INDEX(FX_Input,$R329,$Y329*L$5+$Z329)</f>
        <v>0</v>
      </c>
      <c r="M329" cm="1">
        <f t="array" ref="M329">INDEX(FX_Input,$R329,$Y329*M$5+$Z329)</f>
        <v>0</v>
      </c>
      <c r="N329" cm="1">
        <f t="array" ref="N329">INDEX(FX_Input,$R329,$Y329*N$5+$Z329)</f>
        <v>0</v>
      </c>
      <c r="O329" cm="1">
        <f t="array" ref="O329">INDEX(FX_Input,$R329,$Y329*O$5+$Z329)</f>
        <v>0</v>
      </c>
      <c r="R329">
        <f>R328+1</f>
        <v>48</v>
      </c>
      <c r="U329">
        <f>U328</f>
        <v>17</v>
      </c>
      <c r="V329">
        <f t="shared" ref="V329:V333" si="715">U329+5</f>
        <v>22</v>
      </c>
      <c r="W329">
        <v>1</v>
      </c>
      <c r="X329">
        <v>2</v>
      </c>
      <c r="Y329">
        <f t="shared" si="713"/>
        <v>5</v>
      </c>
      <c r="Z329">
        <f t="shared" si="714"/>
        <v>12</v>
      </c>
    </row>
    <row r="330" spans="1:26" x14ac:dyDescent="0.4">
      <c r="C330" t="s">
        <v>530</v>
      </c>
      <c r="D330" t="str" cm="1">
        <f t="array" ref="D330">INDEX(FX_Input,$R330,$Y330*D$5+$Z330)</f>
        <v>N/A</v>
      </c>
      <c r="E330" t="str" cm="1">
        <f t="array" ref="E330">INDEX(FX_Input,$R330,$Y330*E$5+$Z330)</f>
        <v>N/A</v>
      </c>
      <c r="F330" t="str" cm="1">
        <f t="array" ref="F330">INDEX(FX_Input,$R330,$Y330*F$5+$Z330)</f>
        <v>N/A</v>
      </c>
      <c r="G330" t="str" cm="1">
        <f t="array" ref="G330">INDEX(FX_Input,$R330,$Y330*G$5+$Z330)</f>
        <v>N/A</v>
      </c>
      <c r="H330" t="str" cm="1">
        <f t="array" ref="H330">INDEX(FX_Input,$R330,$Y330*H$5+$Z330)</f>
        <v>N/A</v>
      </c>
      <c r="I330" t="str" cm="1">
        <f t="array" ref="I330">INDEX(FX_Input,$R330,$Y330*I$5+$Z330)</f>
        <v>N/A</v>
      </c>
      <c r="J330" t="str" cm="1">
        <f t="array" ref="J330">INDEX(FX_Input,$R330,$Y330*J$5+$Z330)</f>
        <v>N/A</v>
      </c>
      <c r="K330" t="str" cm="1">
        <f t="array" ref="K330">INDEX(FX_Input,$R330,$Y330*K$5+$Z330)</f>
        <v>N/A</v>
      </c>
      <c r="L330" t="str" cm="1">
        <f t="array" ref="L330">INDEX(FX_Input,$R330,$Y330*L$5+$Z330)</f>
        <v>N/A</v>
      </c>
      <c r="M330" t="str" cm="1">
        <f t="array" ref="M330">INDEX(FX_Input,$R330,$Y330*M$5+$Z330)</f>
        <v>N/A</v>
      </c>
      <c r="N330" t="str" cm="1">
        <f t="array" ref="N330">INDEX(FX_Input,$R330,$Y330*N$5+$Z330)</f>
        <v>N/A</v>
      </c>
      <c r="O330" t="str" cm="1">
        <f t="array" ref="O330">INDEX(FX_Input,$R330,$Y330*O$5+$Z330)</f>
        <v>N/A</v>
      </c>
      <c r="R330">
        <f>R328</f>
        <v>47</v>
      </c>
      <c r="U330">
        <v>18</v>
      </c>
      <c r="V330">
        <f t="shared" si="715"/>
        <v>23</v>
      </c>
      <c r="W330">
        <v>1</v>
      </c>
      <c r="X330">
        <v>2</v>
      </c>
      <c r="Y330">
        <f t="shared" si="713"/>
        <v>5</v>
      </c>
      <c r="Z330">
        <f t="shared" si="714"/>
        <v>13</v>
      </c>
    </row>
    <row r="331" spans="1:26" x14ac:dyDescent="0.4">
      <c r="C331" t="s">
        <v>531</v>
      </c>
      <c r="D331" cm="1">
        <f t="array" ref="D331">INDEX(FX_Input,$R331,$Y331*D$5+$Z331)</f>
        <v>0</v>
      </c>
      <c r="E331" cm="1">
        <f t="array" ref="E331">INDEX(FX_Input,$R331,$Y331*E$5+$Z331)</f>
        <v>0</v>
      </c>
      <c r="F331" cm="1">
        <f t="array" ref="F331">INDEX(FX_Input,$R331,$Y331*F$5+$Z331)</f>
        <v>0</v>
      </c>
      <c r="G331" cm="1">
        <f t="array" ref="G331">INDEX(FX_Input,$R331,$Y331*G$5+$Z331)</f>
        <v>0</v>
      </c>
      <c r="H331" cm="1">
        <f t="array" ref="H331">INDEX(FX_Input,$R331,$Y331*H$5+$Z331)</f>
        <v>0</v>
      </c>
      <c r="I331" cm="1">
        <f t="array" ref="I331">INDEX(FX_Input,$R331,$Y331*I$5+$Z331)</f>
        <v>0</v>
      </c>
      <c r="J331" cm="1">
        <f t="array" ref="J331">INDEX(FX_Input,$R331,$Y331*J$5+$Z331)</f>
        <v>0</v>
      </c>
      <c r="K331" cm="1">
        <f t="array" ref="K331">INDEX(FX_Input,$R331,$Y331*K$5+$Z331)</f>
        <v>0</v>
      </c>
      <c r="L331" cm="1">
        <f t="array" ref="L331">INDEX(FX_Input,$R331,$Y331*L$5+$Z331)</f>
        <v>0</v>
      </c>
      <c r="M331" cm="1">
        <f t="array" ref="M331">INDEX(FX_Input,$R331,$Y331*M$5+$Z331)</f>
        <v>0</v>
      </c>
      <c r="N331" cm="1">
        <f t="array" ref="N331">INDEX(FX_Input,$R331,$Y331*N$5+$Z331)</f>
        <v>0</v>
      </c>
      <c r="O331" cm="1">
        <f t="array" ref="O331">INDEX(FX_Input,$R331,$Y331*O$5+$Z331)</f>
        <v>0</v>
      </c>
      <c r="R331">
        <f>R329</f>
        <v>48</v>
      </c>
      <c r="U331">
        <f>U330</f>
        <v>18</v>
      </c>
      <c r="V331">
        <f t="shared" si="715"/>
        <v>23</v>
      </c>
      <c r="W331">
        <v>1</v>
      </c>
      <c r="X331">
        <v>2</v>
      </c>
      <c r="Y331">
        <f t="shared" si="713"/>
        <v>5</v>
      </c>
      <c r="Z331">
        <f t="shared" si="714"/>
        <v>13</v>
      </c>
    </row>
    <row r="332" spans="1:26" x14ac:dyDescent="0.4">
      <c r="C332" t="s">
        <v>546</v>
      </c>
      <c r="D332" cm="1">
        <f t="array" ref="D332">INDEX(FX_Input,$R332,$Y332*D$5+$Z332)</f>
        <v>1</v>
      </c>
      <c r="E332" cm="1">
        <f t="array" ref="E332">INDEX(FX_Input,$R332,$Y332*E$5+$Z332)</f>
        <v>1</v>
      </c>
      <c r="F332" cm="1">
        <f t="array" ref="F332">INDEX(FX_Input,$R332,$Y332*F$5+$Z332)</f>
        <v>1</v>
      </c>
      <c r="G332" cm="1">
        <f t="array" ref="G332">INDEX(FX_Input,$R332,$Y332*G$5+$Z332)</f>
        <v>1</v>
      </c>
      <c r="H332" cm="1">
        <f t="array" ref="H332">INDEX(FX_Input,$R332,$Y332*H$5+$Z332)</f>
        <v>1</v>
      </c>
      <c r="I332" cm="1">
        <f t="array" ref="I332">INDEX(FX_Input,$R332,$Y332*I$5+$Z332)</f>
        <v>1</v>
      </c>
      <c r="J332" cm="1">
        <f t="array" ref="J332">INDEX(FX_Input,$R332,$Y332*J$5+$Z332)</f>
        <v>1</v>
      </c>
      <c r="K332" cm="1">
        <f t="array" ref="K332">INDEX(FX_Input,$R332,$Y332*K$5+$Z332)</f>
        <v>1</v>
      </c>
      <c r="L332" cm="1">
        <f t="array" ref="L332">INDEX(FX_Input,$R332,$Y332*L$5+$Z332)</f>
        <v>1</v>
      </c>
      <c r="M332" cm="1">
        <f t="array" ref="M332">INDEX(FX_Input,$R332,$Y332*M$5+$Z332)</f>
        <v>1</v>
      </c>
      <c r="N332" cm="1">
        <f t="array" ref="N332">INDEX(FX_Input,$R332,$Y332*N$5+$Z332)</f>
        <v>1</v>
      </c>
      <c r="O332" cm="1">
        <f t="array" ref="O332">INDEX(FX_Input,$R332,$Y332*O$5+$Z332)</f>
        <v>1</v>
      </c>
      <c r="R332">
        <f>R330</f>
        <v>47</v>
      </c>
      <c r="U332">
        <v>21</v>
      </c>
      <c r="V332">
        <f t="shared" si="715"/>
        <v>26</v>
      </c>
      <c r="W332">
        <v>1</v>
      </c>
      <c r="X332">
        <v>2</v>
      </c>
      <c r="Y332">
        <f t="shared" si="713"/>
        <v>5</v>
      </c>
      <c r="Z332">
        <f t="shared" si="714"/>
        <v>16</v>
      </c>
    </row>
    <row r="333" spans="1:26" x14ac:dyDescent="0.4">
      <c r="C333" t="s">
        <v>547</v>
      </c>
      <c r="D333" cm="1">
        <f t="array" ref="D333">INDEX(FX_Input,$R333,$Y333*D$5+$Z333)</f>
        <v>0</v>
      </c>
      <c r="E333" cm="1">
        <f t="array" ref="E333">INDEX(FX_Input,$R333,$Y333*E$5+$Z333)</f>
        <v>0</v>
      </c>
      <c r="F333" cm="1">
        <f t="array" ref="F333">INDEX(FX_Input,$R333,$Y333*F$5+$Z333)</f>
        <v>0</v>
      </c>
      <c r="G333" cm="1">
        <f t="array" ref="G333">INDEX(FX_Input,$R333,$Y333*G$5+$Z333)</f>
        <v>0</v>
      </c>
      <c r="H333" cm="1">
        <f t="array" ref="H333">INDEX(FX_Input,$R333,$Y333*H$5+$Z333)</f>
        <v>0</v>
      </c>
      <c r="I333" cm="1">
        <f t="array" ref="I333">INDEX(FX_Input,$R333,$Y333*I$5+$Z333)</f>
        <v>0</v>
      </c>
      <c r="J333" cm="1">
        <f t="array" ref="J333">INDEX(FX_Input,$R333,$Y333*J$5+$Z333)</f>
        <v>0</v>
      </c>
      <c r="K333" cm="1">
        <f t="array" ref="K333">INDEX(FX_Input,$R333,$Y333*K$5+$Z333)</f>
        <v>0</v>
      </c>
      <c r="L333" cm="1">
        <f t="array" ref="L333">INDEX(FX_Input,$R333,$Y333*L$5+$Z333)</f>
        <v>0</v>
      </c>
      <c r="M333" cm="1">
        <f t="array" ref="M333">INDEX(FX_Input,$R333,$Y333*M$5+$Z333)</f>
        <v>0</v>
      </c>
      <c r="N333" cm="1">
        <f t="array" ref="N333">INDEX(FX_Input,$R333,$Y333*N$5+$Z333)</f>
        <v>0</v>
      </c>
      <c r="O333" cm="1">
        <f t="array" ref="O333">INDEX(FX_Input,$R333,$Y333*O$5+$Z333)</f>
        <v>0</v>
      </c>
      <c r="R333">
        <f>R331</f>
        <v>48</v>
      </c>
      <c r="U333">
        <f>U332</f>
        <v>21</v>
      </c>
      <c r="V333">
        <f t="shared" si="715"/>
        <v>26</v>
      </c>
      <c r="W333">
        <v>1</v>
      </c>
      <c r="X333">
        <v>2</v>
      </c>
      <c r="Y333">
        <f t="shared" si="713"/>
        <v>5</v>
      </c>
      <c r="Z333">
        <f t="shared" si="714"/>
        <v>16</v>
      </c>
    </row>
    <row r="334" spans="1:26" x14ac:dyDescent="0.4">
      <c r="C334" t="s">
        <v>532</v>
      </c>
      <c r="D334" t="str">
        <f t="shared" ref="D334:O334" si="716">IFERROR(VLOOKUP(D328,Phys_Prop,2,FALSE),0)</f>
        <v>N/A</v>
      </c>
      <c r="E334" t="str">
        <f t="shared" si="716"/>
        <v>N/A</v>
      </c>
      <c r="F334" t="str">
        <f t="shared" si="716"/>
        <v>N/A</v>
      </c>
      <c r="G334" t="str">
        <f t="shared" si="716"/>
        <v>N/A</v>
      </c>
      <c r="H334" t="str">
        <f t="shared" si="716"/>
        <v>N/A</v>
      </c>
      <c r="I334" t="str">
        <f t="shared" si="716"/>
        <v>N/A</v>
      </c>
      <c r="J334" t="str">
        <f t="shared" si="716"/>
        <v>N/A</v>
      </c>
      <c r="K334" t="str">
        <f t="shared" si="716"/>
        <v>N/A</v>
      </c>
      <c r="L334" t="str">
        <f t="shared" si="716"/>
        <v>N/A</v>
      </c>
      <c r="M334" t="str">
        <f t="shared" si="716"/>
        <v>N/A</v>
      </c>
      <c r="N334" t="str">
        <f t="shared" si="716"/>
        <v>N/A</v>
      </c>
      <c r="O334" t="str">
        <f t="shared" si="716"/>
        <v>N/A</v>
      </c>
    </row>
    <row r="335" spans="1:26" x14ac:dyDescent="0.4">
      <c r="C335" t="s">
        <v>533</v>
      </c>
      <c r="D335">
        <f t="shared" ref="D335:O335" si="717">IFERROR(VLOOKUP(D329,Phys_Prop,2,FALSE),0)</f>
        <v>0</v>
      </c>
      <c r="E335">
        <f t="shared" si="717"/>
        <v>0</v>
      </c>
      <c r="F335">
        <f t="shared" si="717"/>
        <v>0</v>
      </c>
      <c r="G335">
        <f t="shared" si="717"/>
        <v>0</v>
      </c>
      <c r="H335">
        <f t="shared" si="717"/>
        <v>0</v>
      </c>
      <c r="I335">
        <f t="shared" si="717"/>
        <v>0</v>
      </c>
      <c r="J335">
        <f t="shared" si="717"/>
        <v>0</v>
      </c>
      <c r="K335">
        <f t="shared" si="717"/>
        <v>0</v>
      </c>
      <c r="L335">
        <f t="shared" si="717"/>
        <v>0</v>
      </c>
      <c r="M335">
        <f t="shared" si="717"/>
        <v>0</v>
      </c>
      <c r="N335">
        <f t="shared" si="717"/>
        <v>0</v>
      </c>
      <c r="O335">
        <f t="shared" si="717"/>
        <v>0</v>
      </c>
    </row>
    <row r="336" spans="1:26" x14ac:dyDescent="0.4">
      <c r="C336" t="s">
        <v>544</v>
      </c>
      <c r="D336">
        <f>IFERROR(IFERROR(D334/D332+D335/D333,D334/D332),0)</f>
        <v>0</v>
      </c>
      <c r="E336">
        <f t="shared" ref="E336" si="718">IFERROR(IFERROR(E334/E332+E335/E333,E334/E332),0)</f>
        <v>0</v>
      </c>
      <c r="F336">
        <f t="shared" ref="F336" si="719">IFERROR(IFERROR(F334/F332+F335/F333,F334/F332),0)</f>
        <v>0</v>
      </c>
      <c r="G336">
        <f t="shared" ref="G336" si="720">IFERROR(IFERROR(G334/G332+G335/G333,G334/G332),0)</f>
        <v>0</v>
      </c>
      <c r="H336">
        <f t="shared" ref="H336" si="721">IFERROR(IFERROR(H334/H332+H335/H333,H334/H332),0)</f>
        <v>0</v>
      </c>
      <c r="I336">
        <f t="shared" ref="I336" si="722">IFERROR(IFERROR(I334/I332+I335/I333,I334/I332),0)</f>
        <v>0</v>
      </c>
      <c r="J336">
        <f t="shared" ref="J336" si="723">IFERROR(IFERROR(J334/J332+J335/J333,J334/J332),0)</f>
        <v>0</v>
      </c>
      <c r="K336">
        <f t="shared" ref="K336" si="724">IFERROR(IFERROR(K334/K332+K335/K333,K334/K332),0)</f>
        <v>0</v>
      </c>
      <c r="L336">
        <f t="shared" ref="L336" si="725">IFERROR(IFERROR(L334/L332+L335/L333,L334/L332),0)</f>
        <v>0</v>
      </c>
      <c r="M336">
        <f t="shared" ref="M336" si="726">IFERROR(IFERROR(M334/M332+M335/M333,M334/M332),0)</f>
        <v>0</v>
      </c>
      <c r="N336">
        <f t="shared" ref="N336" si="727">IFERROR(IFERROR(N334/N332+N335/N333,N334/N332),0)</f>
        <v>0</v>
      </c>
      <c r="O336">
        <f t="shared" ref="O336" si="728">IFERROR(IFERROR(O334/O332+O335/O333,O334/O332),0)</f>
        <v>0</v>
      </c>
    </row>
    <row r="337" spans="1:26" x14ac:dyDescent="0.4">
      <c r="C337" t="s">
        <v>539</v>
      </c>
      <c r="D337">
        <f>IFERROR((D332/D334)*D336,1)</f>
        <v>1</v>
      </c>
      <c r="E337">
        <f t="shared" ref="E337" si="729">IFERROR((E332/E334)*E336,1)</f>
        <v>1</v>
      </c>
      <c r="F337">
        <f t="shared" ref="F337" si="730">IFERROR((F332/F334)*F336,1)</f>
        <v>1</v>
      </c>
      <c r="G337">
        <f t="shared" ref="G337" si="731">IFERROR((G332/G334)*G336,1)</f>
        <v>1</v>
      </c>
      <c r="H337">
        <f t="shared" ref="H337" si="732">IFERROR((H332/H334)*H336,1)</f>
        <v>1</v>
      </c>
      <c r="I337">
        <f t="shared" ref="I337" si="733">IFERROR((I332/I334)*I336,1)</f>
        <v>1</v>
      </c>
      <c r="J337">
        <f t="shared" ref="J337" si="734">IFERROR((J332/J334)*J336,1)</f>
        <v>1</v>
      </c>
      <c r="K337">
        <f t="shared" ref="K337" si="735">IFERROR((K332/K334)*K336,1)</f>
        <v>1</v>
      </c>
      <c r="L337">
        <f t="shared" ref="L337" si="736">IFERROR((L332/L334)*L336,1)</f>
        <v>1</v>
      </c>
      <c r="M337">
        <f t="shared" ref="M337" si="737">IFERROR((M332/M334)*M336,1)</f>
        <v>1</v>
      </c>
      <c r="N337">
        <f t="shared" ref="N337" si="738">IFERROR((N332/N334)*N336,1)</f>
        <v>1</v>
      </c>
      <c r="O337">
        <f t="shared" ref="O337" si="739">IFERROR((O332/O334)*O336,1)</f>
        <v>1</v>
      </c>
    </row>
    <row r="338" spans="1:26" x14ac:dyDescent="0.4">
      <c r="C338" t="s">
        <v>540</v>
      </c>
      <c r="D338">
        <f>IFERROR((D333/D335)*D336,0)</f>
        <v>0</v>
      </c>
      <c r="E338">
        <f t="shared" ref="E338:O338" si="740">IFERROR((E333/E335)*E336,0)</f>
        <v>0</v>
      </c>
      <c r="F338">
        <f t="shared" si="740"/>
        <v>0</v>
      </c>
      <c r="G338">
        <f t="shared" si="740"/>
        <v>0</v>
      </c>
      <c r="H338">
        <f t="shared" si="740"/>
        <v>0</v>
      </c>
      <c r="I338">
        <f t="shared" si="740"/>
        <v>0</v>
      </c>
      <c r="J338">
        <f t="shared" si="740"/>
        <v>0</v>
      </c>
      <c r="K338">
        <f t="shared" si="740"/>
        <v>0</v>
      </c>
      <c r="L338">
        <f t="shared" si="740"/>
        <v>0</v>
      </c>
      <c r="M338">
        <f t="shared" si="740"/>
        <v>0</v>
      </c>
      <c r="N338">
        <f t="shared" si="740"/>
        <v>0</v>
      </c>
      <c r="O338">
        <f t="shared" si="740"/>
        <v>0</v>
      </c>
    </row>
    <row r="339" spans="1:26" x14ac:dyDescent="0.4">
      <c r="C339" s="21" t="s">
        <v>534</v>
      </c>
      <c r="D339" t="str">
        <f t="shared" ref="D339:O339" si="741">IFERROR(VLOOKUP(D328,Phys_Prop,4,FALSE),0)</f>
        <v>N/A</v>
      </c>
      <c r="E339" t="str">
        <f t="shared" si="741"/>
        <v>N/A</v>
      </c>
      <c r="F339" t="str">
        <f t="shared" si="741"/>
        <v>N/A</v>
      </c>
      <c r="G339" t="str">
        <f t="shared" si="741"/>
        <v>N/A</v>
      </c>
      <c r="H339" t="str">
        <f t="shared" si="741"/>
        <v>N/A</v>
      </c>
      <c r="I339" t="str">
        <f t="shared" si="741"/>
        <v>N/A</v>
      </c>
      <c r="J339" t="str">
        <f t="shared" si="741"/>
        <v>N/A</v>
      </c>
      <c r="K339" t="str">
        <f t="shared" si="741"/>
        <v>N/A</v>
      </c>
      <c r="L339" t="str">
        <f t="shared" si="741"/>
        <v>N/A</v>
      </c>
      <c r="M339" t="str">
        <f t="shared" si="741"/>
        <v>N/A</v>
      </c>
      <c r="N339" t="str">
        <f t="shared" si="741"/>
        <v>N/A</v>
      </c>
      <c r="O339" t="str">
        <f t="shared" si="741"/>
        <v>N/A</v>
      </c>
    </row>
    <row r="340" spans="1:26" x14ac:dyDescent="0.4">
      <c r="C340" s="21" t="s">
        <v>535</v>
      </c>
      <c r="D340">
        <f t="shared" ref="D340:O340" si="742">IFERROR(VLOOKUP(D329,Phys_Prop,4,FALSE),0)</f>
        <v>0</v>
      </c>
      <c r="E340">
        <f t="shared" si="742"/>
        <v>0</v>
      </c>
      <c r="F340">
        <f t="shared" si="742"/>
        <v>0</v>
      </c>
      <c r="G340">
        <f t="shared" si="742"/>
        <v>0</v>
      </c>
      <c r="H340">
        <f t="shared" si="742"/>
        <v>0</v>
      </c>
      <c r="I340">
        <f t="shared" si="742"/>
        <v>0</v>
      </c>
      <c r="J340">
        <f t="shared" si="742"/>
        <v>0</v>
      </c>
      <c r="K340">
        <f t="shared" si="742"/>
        <v>0</v>
      </c>
      <c r="L340">
        <f t="shared" si="742"/>
        <v>0</v>
      </c>
      <c r="M340">
        <f t="shared" si="742"/>
        <v>0</v>
      </c>
      <c r="N340">
        <f t="shared" si="742"/>
        <v>0</v>
      </c>
      <c r="O340">
        <f t="shared" si="742"/>
        <v>0</v>
      </c>
    </row>
    <row r="341" spans="1:26" x14ac:dyDescent="0.4">
      <c r="A341" s="11"/>
      <c r="B341" s="11"/>
      <c r="C341" s="62" t="s">
        <v>536</v>
      </c>
      <c r="D341" s="11" t="str">
        <f>IFERROR(1/(D337/D339+D338/D340),D339)</f>
        <v>N/A</v>
      </c>
      <c r="E341" s="11" t="str">
        <f t="shared" ref="E341:O341" si="743">IFERROR(1/(E337/E339+E338/E340),E339)</f>
        <v>N/A</v>
      </c>
      <c r="F341" s="11" t="str">
        <f t="shared" si="743"/>
        <v>N/A</v>
      </c>
      <c r="G341" s="11" t="str">
        <f t="shared" si="743"/>
        <v>N/A</v>
      </c>
      <c r="H341" s="11" t="str">
        <f t="shared" si="743"/>
        <v>N/A</v>
      </c>
      <c r="I341" s="11" t="str">
        <f t="shared" si="743"/>
        <v>N/A</v>
      </c>
      <c r="J341" s="11" t="str">
        <f t="shared" si="743"/>
        <v>N/A</v>
      </c>
      <c r="K341" s="11" t="str">
        <f t="shared" si="743"/>
        <v>N/A</v>
      </c>
      <c r="L341" s="11" t="str">
        <f t="shared" si="743"/>
        <v>N/A</v>
      </c>
      <c r="M341" s="11" t="str">
        <f t="shared" si="743"/>
        <v>N/A</v>
      </c>
      <c r="N341" s="11" t="str">
        <f t="shared" si="743"/>
        <v>N/A</v>
      </c>
      <c r="O341" s="11" t="str">
        <f t="shared" si="743"/>
        <v>N/A</v>
      </c>
      <c r="P341" s="11"/>
      <c r="Q341" s="11"/>
      <c r="R341" s="11"/>
      <c r="S341" s="11"/>
      <c r="T341" s="11"/>
      <c r="U341" s="11"/>
      <c r="V341" s="11"/>
      <c r="W341" s="11"/>
      <c r="X341" s="11"/>
      <c r="Y341" s="11"/>
      <c r="Z341" s="11"/>
    </row>
    <row r="342" spans="1:26" x14ac:dyDescent="0.4">
      <c r="A342" t="str" cm="1">
        <f t="array" ref="A342">INDEX(FX_Input,R342,S342)</f>
        <v>FX - 25</v>
      </c>
      <c r="B342" t="str" cm="1">
        <f t="array" ref="B342">INDEX(FX_Input,R342,T342)</f>
        <v>Portland</v>
      </c>
      <c r="C342" t="s">
        <v>528</v>
      </c>
      <c r="D342" t="str" cm="1">
        <f t="array" ref="D342">INDEX(FX_Input,$R342,$Y342*D$5+$Z342)</f>
        <v>Out of Service</v>
      </c>
      <c r="E342" t="str" cm="1">
        <f t="array" ref="E342">INDEX(FX_Input,$R342,$Y342*E$5+$Z342)</f>
        <v>Out of Service</v>
      </c>
      <c r="F342" t="str" cm="1">
        <f t="array" ref="F342">INDEX(FX_Input,$R342,$Y342*F$5+$Z342)</f>
        <v>Out of Service</v>
      </c>
      <c r="G342" t="str" cm="1">
        <f t="array" ref="G342">INDEX(FX_Input,$R342,$Y342*G$5+$Z342)</f>
        <v>Out of Service</v>
      </c>
      <c r="H342" t="str" cm="1">
        <f t="array" ref="H342">INDEX(FX_Input,$R342,$Y342*H$5+$Z342)</f>
        <v>Out of Service</v>
      </c>
      <c r="I342" t="str" cm="1">
        <f t="array" ref="I342">INDEX(FX_Input,$R342,$Y342*I$5+$Z342)</f>
        <v>Out of Service</v>
      </c>
      <c r="J342" t="str" cm="1">
        <f t="array" ref="J342">INDEX(FX_Input,$R342,$Y342*J$5+$Z342)</f>
        <v>Out of Service</v>
      </c>
      <c r="K342" t="str" cm="1">
        <f t="array" ref="K342">INDEX(FX_Input,$R342,$Y342*K$5+$Z342)</f>
        <v>Out of Service</v>
      </c>
      <c r="L342" t="str" cm="1">
        <f t="array" ref="L342">INDEX(FX_Input,$R342,$Y342*L$5+$Z342)</f>
        <v>Out of Service</v>
      </c>
      <c r="M342" t="str" cm="1">
        <f t="array" ref="M342">INDEX(FX_Input,$R342,$Y342*M$5+$Z342)</f>
        <v>Out of Service</v>
      </c>
      <c r="N342" t="str" cm="1">
        <f t="array" ref="N342">INDEX(FX_Input,$R342,$Y342*N$5+$Z342)</f>
        <v>Out of Service</v>
      </c>
      <c r="O342" t="str" cm="1">
        <f t="array" ref="O342">INDEX(FX_Input,$R342,$Y342*O$5+$Z342)</f>
        <v>Out of Service</v>
      </c>
      <c r="R342">
        <f>R328+2</f>
        <v>49</v>
      </c>
      <c r="S342">
        <v>1</v>
      </c>
      <c r="T342">
        <v>3</v>
      </c>
      <c r="U342">
        <v>17</v>
      </c>
      <c r="V342">
        <f>U342+5</f>
        <v>22</v>
      </c>
      <c r="W342">
        <v>1</v>
      </c>
      <c r="X342">
        <v>2</v>
      </c>
      <c r="Y342">
        <f t="shared" ref="Y342:Y347" si="744">(V342-U342)/(X342-W342)</f>
        <v>5</v>
      </c>
      <c r="Z342">
        <f t="shared" ref="Z342:Z347" si="745">U342-Y342*W342</f>
        <v>12</v>
      </c>
    </row>
    <row r="343" spans="1:26" x14ac:dyDescent="0.4">
      <c r="C343" t="s">
        <v>529</v>
      </c>
      <c r="D343" cm="1">
        <f t="array" ref="D343">INDEX(FX_Input,$R343,$Y343*D$5+$Z343)</f>
        <v>0</v>
      </c>
      <c r="E343" cm="1">
        <f t="array" ref="E343">INDEX(FX_Input,$R343,$Y343*E$5+$Z343)</f>
        <v>0</v>
      </c>
      <c r="F343" cm="1">
        <f t="array" ref="F343">INDEX(FX_Input,$R343,$Y343*F$5+$Z343)</f>
        <v>0</v>
      </c>
      <c r="G343" cm="1">
        <f t="array" ref="G343">INDEX(FX_Input,$R343,$Y343*G$5+$Z343)</f>
        <v>0</v>
      </c>
      <c r="H343" cm="1">
        <f t="array" ref="H343">INDEX(FX_Input,$R343,$Y343*H$5+$Z343)</f>
        <v>0</v>
      </c>
      <c r="I343" cm="1">
        <f t="array" ref="I343">INDEX(FX_Input,$R343,$Y343*I$5+$Z343)</f>
        <v>0</v>
      </c>
      <c r="J343" cm="1">
        <f t="array" ref="J343">INDEX(FX_Input,$R343,$Y343*J$5+$Z343)</f>
        <v>0</v>
      </c>
      <c r="K343" cm="1">
        <f t="array" ref="K343">INDEX(FX_Input,$R343,$Y343*K$5+$Z343)</f>
        <v>0</v>
      </c>
      <c r="L343" cm="1">
        <f t="array" ref="L343">INDEX(FX_Input,$R343,$Y343*L$5+$Z343)</f>
        <v>0</v>
      </c>
      <c r="M343" cm="1">
        <f t="array" ref="M343">INDEX(FX_Input,$R343,$Y343*M$5+$Z343)</f>
        <v>0</v>
      </c>
      <c r="N343" cm="1">
        <f t="array" ref="N343">INDEX(FX_Input,$R343,$Y343*N$5+$Z343)</f>
        <v>0</v>
      </c>
      <c r="O343" cm="1">
        <f t="array" ref="O343">INDEX(FX_Input,$R343,$Y343*O$5+$Z343)</f>
        <v>0</v>
      </c>
      <c r="R343">
        <f>R342+1</f>
        <v>50</v>
      </c>
      <c r="U343">
        <f>U342</f>
        <v>17</v>
      </c>
      <c r="V343">
        <f t="shared" ref="V343:V347" si="746">U343+5</f>
        <v>22</v>
      </c>
      <c r="W343">
        <v>1</v>
      </c>
      <c r="X343">
        <v>2</v>
      </c>
      <c r="Y343">
        <f t="shared" si="744"/>
        <v>5</v>
      </c>
      <c r="Z343">
        <f t="shared" si="745"/>
        <v>12</v>
      </c>
    </row>
    <row r="344" spans="1:26" x14ac:dyDescent="0.4">
      <c r="C344" t="s">
        <v>530</v>
      </c>
      <c r="D344" t="str" cm="1">
        <f t="array" ref="D344">INDEX(FX_Input,$R344,$Y344*D$5+$Z344)</f>
        <v>N/A</v>
      </c>
      <c r="E344" t="str" cm="1">
        <f t="array" ref="E344">INDEX(FX_Input,$R344,$Y344*E$5+$Z344)</f>
        <v>N/A</v>
      </c>
      <c r="F344" t="str" cm="1">
        <f t="array" ref="F344">INDEX(FX_Input,$R344,$Y344*F$5+$Z344)</f>
        <v>N/A</v>
      </c>
      <c r="G344" t="str" cm="1">
        <f t="array" ref="G344">INDEX(FX_Input,$R344,$Y344*G$5+$Z344)</f>
        <v>N/A</v>
      </c>
      <c r="H344" t="str" cm="1">
        <f t="array" ref="H344">INDEX(FX_Input,$R344,$Y344*H$5+$Z344)</f>
        <v>N/A</v>
      </c>
      <c r="I344" t="str" cm="1">
        <f t="array" ref="I344">INDEX(FX_Input,$R344,$Y344*I$5+$Z344)</f>
        <v>N/A</v>
      </c>
      <c r="J344" t="str" cm="1">
        <f t="array" ref="J344">INDEX(FX_Input,$R344,$Y344*J$5+$Z344)</f>
        <v>N/A</v>
      </c>
      <c r="K344" t="str" cm="1">
        <f t="array" ref="K344">INDEX(FX_Input,$R344,$Y344*K$5+$Z344)</f>
        <v>N/A</v>
      </c>
      <c r="L344" t="str" cm="1">
        <f t="array" ref="L344">INDEX(FX_Input,$R344,$Y344*L$5+$Z344)</f>
        <v>N/A</v>
      </c>
      <c r="M344" t="str" cm="1">
        <f t="array" ref="M344">INDEX(FX_Input,$R344,$Y344*M$5+$Z344)</f>
        <v>N/A</v>
      </c>
      <c r="N344" t="str" cm="1">
        <f t="array" ref="N344">INDEX(FX_Input,$R344,$Y344*N$5+$Z344)</f>
        <v>N/A</v>
      </c>
      <c r="O344" t="str" cm="1">
        <f t="array" ref="O344">INDEX(FX_Input,$R344,$Y344*O$5+$Z344)</f>
        <v>N/A</v>
      </c>
      <c r="R344">
        <f>R342</f>
        <v>49</v>
      </c>
      <c r="U344">
        <v>18</v>
      </c>
      <c r="V344">
        <f t="shared" si="746"/>
        <v>23</v>
      </c>
      <c r="W344">
        <v>1</v>
      </c>
      <c r="X344">
        <v>2</v>
      </c>
      <c r="Y344">
        <f t="shared" si="744"/>
        <v>5</v>
      </c>
      <c r="Z344">
        <f t="shared" si="745"/>
        <v>13</v>
      </c>
    </row>
    <row r="345" spans="1:26" x14ac:dyDescent="0.4">
      <c r="C345" t="s">
        <v>531</v>
      </c>
      <c r="D345" cm="1">
        <f t="array" ref="D345">INDEX(FX_Input,$R345,$Y345*D$5+$Z345)</f>
        <v>0</v>
      </c>
      <c r="E345" cm="1">
        <f t="array" ref="E345">INDEX(FX_Input,$R345,$Y345*E$5+$Z345)</f>
        <v>0</v>
      </c>
      <c r="F345" cm="1">
        <f t="array" ref="F345">INDEX(FX_Input,$R345,$Y345*F$5+$Z345)</f>
        <v>0</v>
      </c>
      <c r="G345" cm="1">
        <f t="array" ref="G345">INDEX(FX_Input,$R345,$Y345*G$5+$Z345)</f>
        <v>0</v>
      </c>
      <c r="H345" cm="1">
        <f t="array" ref="H345">INDEX(FX_Input,$R345,$Y345*H$5+$Z345)</f>
        <v>0</v>
      </c>
      <c r="I345" cm="1">
        <f t="array" ref="I345">INDEX(FX_Input,$R345,$Y345*I$5+$Z345)</f>
        <v>0</v>
      </c>
      <c r="J345" cm="1">
        <f t="array" ref="J345">INDEX(FX_Input,$R345,$Y345*J$5+$Z345)</f>
        <v>0</v>
      </c>
      <c r="K345" cm="1">
        <f t="array" ref="K345">INDEX(FX_Input,$R345,$Y345*K$5+$Z345)</f>
        <v>0</v>
      </c>
      <c r="L345" cm="1">
        <f t="array" ref="L345">INDEX(FX_Input,$R345,$Y345*L$5+$Z345)</f>
        <v>0</v>
      </c>
      <c r="M345" cm="1">
        <f t="array" ref="M345">INDEX(FX_Input,$R345,$Y345*M$5+$Z345)</f>
        <v>0</v>
      </c>
      <c r="N345" cm="1">
        <f t="array" ref="N345">INDEX(FX_Input,$R345,$Y345*N$5+$Z345)</f>
        <v>0</v>
      </c>
      <c r="O345" cm="1">
        <f t="array" ref="O345">INDEX(FX_Input,$R345,$Y345*O$5+$Z345)</f>
        <v>0</v>
      </c>
      <c r="R345">
        <f>R343</f>
        <v>50</v>
      </c>
      <c r="U345">
        <f>U344</f>
        <v>18</v>
      </c>
      <c r="V345">
        <f t="shared" si="746"/>
        <v>23</v>
      </c>
      <c r="W345">
        <v>1</v>
      </c>
      <c r="X345">
        <v>2</v>
      </c>
      <c r="Y345">
        <f t="shared" si="744"/>
        <v>5</v>
      </c>
      <c r="Z345">
        <f t="shared" si="745"/>
        <v>13</v>
      </c>
    </row>
    <row r="346" spans="1:26" x14ac:dyDescent="0.4">
      <c r="C346" t="s">
        <v>546</v>
      </c>
      <c r="D346" cm="1">
        <f t="array" ref="D346">INDEX(FX_Input,$R346,$Y346*D$5+$Z346)</f>
        <v>1</v>
      </c>
      <c r="E346" cm="1">
        <f t="array" ref="E346">INDEX(FX_Input,$R346,$Y346*E$5+$Z346)</f>
        <v>1</v>
      </c>
      <c r="F346" cm="1">
        <f t="array" ref="F346">INDEX(FX_Input,$R346,$Y346*F$5+$Z346)</f>
        <v>1</v>
      </c>
      <c r="G346" cm="1">
        <f t="array" ref="G346">INDEX(FX_Input,$R346,$Y346*G$5+$Z346)</f>
        <v>1</v>
      </c>
      <c r="H346" cm="1">
        <f t="array" ref="H346">INDEX(FX_Input,$R346,$Y346*H$5+$Z346)</f>
        <v>1</v>
      </c>
      <c r="I346" cm="1">
        <f t="array" ref="I346">INDEX(FX_Input,$R346,$Y346*I$5+$Z346)</f>
        <v>1</v>
      </c>
      <c r="J346" cm="1">
        <f t="array" ref="J346">INDEX(FX_Input,$R346,$Y346*J$5+$Z346)</f>
        <v>1</v>
      </c>
      <c r="K346" cm="1">
        <f t="array" ref="K346">INDEX(FX_Input,$R346,$Y346*K$5+$Z346)</f>
        <v>1</v>
      </c>
      <c r="L346" cm="1">
        <f t="array" ref="L346">INDEX(FX_Input,$R346,$Y346*L$5+$Z346)</f>
        <v>1</v>
      </c>
      <c r="M346" cm="1">
        <f t="array" ref="M346">INDEX(FX_Input,$R346,$Y346*M$5+$Z346)</f>
        <v>1</v>
      </c>
      <c r="N346" cm="1">
        <f t="array" ref="N346">INDEX(FX_Input,$R346,$Y346*N$5+$Z346)</f>
        <v>1</v>
      </c>
      <c r="O346" cm="1">
        <f t="array" ref="O346">INDEX(FX_Input,$R346,$Y346*O$5+$Z346)</f>
        <v>1</v>
      </c>
      <c r="R346">
        <f>R344</f>
        <v>49</v>
      </c>
      <c r="U346">
        <v>21</v>
      </c>
      <c r="V346">
        <f t="shared" si="746"/>
        <v>26</v>
      </c>
      <c r="W346">
        <v>1</v>
      </c>
      <c r="X346">
        <v>2</v>
      </c>
      <c r="Y346">
        <f t="shared" si="744"/>
        <v>5</v>
      </c>
      <c r="Z346">
        <f t="shared" si="745"/>
        <v>16</v>
      </c>
    </row>
    <row r="347" spans="1:26" x14ac:dyDescent="0.4">
      <c r="C347" t="s">
        <v>547</v>
      </c>
      <c r="D347" cm="1">
        <f t="array" ref="D347">INDEX(FX_Input,$R347,$Y347*D$5+$Z347)</f>
        <v>0</v>
      </c>
      <c r="E347" cm="1">
        <f t="array" ref="E347">INDEX(FX_Input,$R347,$Y347*E$5+$Z347)</f>
        <v>0</v>
      </c>
      <c r="F347" cm="1">
        <f t="array" ref="F347">INDEX(FX_Input,$R347,$Y347*F$5+$Z347)</f>
        <v>0</v>
      </c>
      <c r="G347" cm="1">
        <f t="array" ref="G347">INDEX(FX_Input,$R347,$Y347*G$5+$Z347)</f>
        <v>0</v>
      </c>
      <c r="H347" cm="1">
        <f t="array" ref="H347">INDEX(FX_Input,$R347,$Y347*H$5+$Z347)</f>
        <v>0</v>
      </c>
      <c r="I347" cm="1">
        <f t="array" ref="I347">INDEX(FX_Input,$R347,$Y347*I$5+$Z347)</f>
        <v>0</v>
      </c>
      <c r="J347" cm="1">
        <f t="array" ref="J347">INDEX(FX_Input,$R347,$Y347*J$5+$Z347)</f>
        <v>0</v>
      </c>
      <c r="K347" cm="1">
        <f t="array" ref="K347">INDEX(FX_Input,$R347,$Y347*K$5+$Z347)</f>
        <v>0</v>
      </c>
      <c r="L347" cm="1">
        <f t="array" ref="L347">INDEX(FX_Input,$R347,$Y347*L$5+$Z347)</f>
        <v>0</v>
      </c>
      <c r="M347" cm="1">
        <f t="array" ref="M347">INDEX(FX_Input,$R347,$Y347*M$5+$Z347)</f>
        <v>0</v>
      </c>
      <c r="N347" cm="1">
        <f t="array" ref="N347">INDEX(FX_Input,$R347,$Y347*N$5+$Z347)</f>
        <v>0</v>
      </c>
      <c r="O347" cm="1">
        <f t="array" ref="O347">INDEX(FX_Input,$R347,$Y347*O$5+$Z347)</f>
        <v>0</v>
      </c>
      <c r="R347">
        <f>R345</f>
        <v>50</v>
      </c>
      <c r="U347">
        <f>U346</f>
        <v>21</v>
      </c>
      <c r="V347">
        <f t="shared" si="746"/>
        <v>26</v>
      </c>
      <c r="W347">
        <v>1</v>
      </c>
      <c r="X347">
        <v>2</v>
      </c>
      <c r="Y347">
        <f t="shared" si="744"/>
        <v>5</v>
      </c>
      <c r="Z347">
        <f t="shared" si="745"/>
        <v>16</v>
      </c>
    </row>
    <row r="348" spans="1:26" x14ac:dyDescent="0.4">
      <c r="C348" t="s">
        <v>532</v>
      </c>
      <c r="D348" t="str">
        <f t="shared" ref="D348:O348" si="747">IFERROR(VLOOKUP(D342,Phys_Prop,2,FALSE),0)</f>
        <v>N/A</v>
      </c>
      <c r="E348" t="str">
        <f t="shared" si="747"/>
        <v>N/A</v>
      </c>
      <c r="F348" t="str">
        <f t="shared" si="747"/>
        <v>N/A</v>
      </c>
      <c r="G348" t="str">
        <f t="shared" si="747"/>
        <v>N/A</v>
      </c>
      <c r="H348" t="str">
        <f t="shared" si="747"/>
        <v>N/A</v>
      </c>
      <c r="I348" t="str">
        <f t="shared" si="747"/>
        <v>N/A</v>
      </c>
      <c r="J348" t="str">
        <f t="shared" si="747"/>
        <v>N/A</v>
      </c>
      <c r="K348" t="str">
        <f t="shared" si="747"/>
        <v>N/A</v>
      </c>
      <c r="L348" t="str">
        <f t="shared" si="747"/>
        <v>N/A</v>
      </c>
      <c r="M348" t="str">
        <f t="shared" si="747"/>
        <v>N/A</v>
      </c>
      <c r="N348" t="str">
        <f t="shared" si="747"/>
        <v>N/A</v>
      </c>
      <c r="O348" t="str">
        <f t="shared" si="747"/>
        <v>N/A</v>
      </c>
    </row>
    <row r="349" spans="1:26" x14ac:dyDescent="0.4">
      <c r="C349" t="s">
        <v>533</v>
      </c>
      <c r="D349">
        <f t="shared" ref="D349:O349" si="748">IFERROR(VLOOKUP(D343,Phys_Prop,2,FALSE),0)</f>
        <v>0</v>
      </c>
      <c r="E349">
        <f t="shared" si="748"/>
        <v>0</v>
      </c>
      <c r="F349">
        <f t="shared" si="748"/>
        <v>0</v>
      </c>
      <c r="G349">
        <f t="shared" si="748"/>
        <v>0</v>
      </c>
      <c r="H349">
        <f t="shared" si="748"/>
        <v>0</v>
      </c>
      <c r="I349">
        <f t="shared" si="748"/>
        <v>0</v>
      </c>
      <c r="J349">
        <f t="shared" si="748"/>
        <v>0</v>
      </c>
      <c r="K349">
        <f t="shared" si="748"/>
        <v>0</v>
      </c>
      <c r="L349">
        <f t="shared" si="748"/>
        <v>0</v>
      </c>
      <c r="M349">
        <f t="shared" si="748"/>
        <v>0</v>
      </c>
      <c r="N349">
        <f t="shared" si="748"/>
        <v>0</v>
      </c>
      <c r="O349">
        <f t="shared" si="748"/>
        <v>0</v>
      </c>
    </row>
    <row r="350" spans="1:26" x14ac:dyDescent="0.4">
      <c r="C350" t="s">
        <v>544</v>
      </c>
      <c r="D350">
        <f>IFERROR(IFERROR(D348/D346+D349/D347,D348/D346),0)</f>
        <v>0</v>
      </c>
      <c r="E350">
        <f t="shared" ref="E350" si="749">IFERROR(IFERROR(E348/E346+E349/E347,E348/E346),0)</f>
        <v>0</v>
      </c>
      <c r="F350">
        <f t="shared" ref="F350" si="750">IFERROR(IFERROR(F348/F346+F349/F347,F348/F346),0)</f>
        <v>0</v>
      </c>
      <c r="G350">
        <f t="shared" ref="G350" si="751">IFERROR(IFERROR(G348/G346+G349/G347,G348/G346),0)</f>
        <v>0</v>
      </c>
      <c r="H350">
        <f t="shared" ref="H350" si="752">IFERROR(IFERROR(H348/H346+H349/H347,H348/H346),0)</f>
        <v>0</v>
      </c>
      <c r="I350">
        <f t="shared" ref="I350" si="753">IFERROR(IFERROR(I348/I346+I349/I347,I348/I346),0)</f>
        <v>0</v>
      </c>
      <c r="J350">
        <f t="shared" ref="J350" si="754">IFERROR(IFERROR(J348/J346+J349/J347,J348/J346),0)</f>
        <v>0</v>
      </c>
      <c r="K350">
        <f t="shared" ref="K350" si="755">IFERROR(IFERROR(K348/K346+K349/K347,K348/K346),0)</f>
        <v>0</v>
      </c>
      <c r="L350">
        <f t="shared" ref="L350" si="756">IFERROR(IFERROR(L348/L346+L349/L347,L348/L346),0)</f>
        <v>0</v>
      </c>
      <c r="M350">
        <f t="shared" ref="M350" si="757">IFERROR(IFERROR(M348/M346+M349/M347,M348/M346),0)</f>
        <v>0</v>
      </c>
      <c r="N350">
        <f t="shared" ref="N350" si="758">IFERROR(IFERROR(N348/N346+N349/N347,N348/N346),0)</f>
        <v>0</v>
      </c>
      <c r="O350">
        <f t="shared" ref="O350" si="759">IFERROR(IFERROR(O348/O346+O349/O347,O348/O346),0)</f>
        <v>0</v>
      </c>
    </row>
    <row r="351" spans="1:26" x14ac:dyDescent="0.4">
      <c r="C351" t="s">
        <v>539</v>
      </c>
      <c r="D351">
        <f>IFERROR((D346/D348)*D350,1)</f>
        <v>1</v>
      </c>
      <c r="E351">
        <f t="shared" ref="E351" si="760">IFERROR((E346/E348)*E350,1)</f>
        <v>1</v>
      </c>
      <c r="F351">
        <f t="shared" ref="F351" si="761">IFERROR((F346/F348)*F350,1)</f>
        <v>1</v>
      </c>
      <c r="G351">
        <f t="shared" ref="G351" si="762">IFERROR((G346/G348)*G350,1)</f>
        <v>1</v>
      </c>
      <c r="H351">
        <f t="shared" ref="H351" si="763">IFERROR((H346/H348)*H350,1)</f>
        <v>1</v>
      </c>
      <c r="I351">
        <f t="shared" ref="I351" si="764">IFERROR((I346/I348)*I350,1)</f>
        <v>1</v>
      </c>
      <c r="J351">
        <f t="shared" ref="J351" si="765">IFERROR((J346/J348)*J350,1)</f>
        <v>1</v>
      </c>
      <c r="K351">
        <f t="shared" ref="K351" si="766">IFERROR((K346/K348)*K350,1)</f>
        <v>1</v>
      </c>
      <c r="L351">
        <f t="shared" ref="L351" si="767">IFERROR((L346/L348)*L350,1)</f>
        <v>1</v>
      </c>
      <c r="M351">
        <f t="shared" ref="M351" si="768">IFERROR((M346/M348)*M350,1)</f>
        <v>1</v>
      </c>
      <c r="N351">
        <f t="shared" ref="N351" si="769">IFERROR((N346/N348)*N350,1)</f>
        <v>1</v>
      </c>
      <c r="O351">
        <f t="shared" ref="O351" si="770">IFERROR((O346/O348)*O350,1)</f>
        <v>1</v>
      </c>
    </row>
    <row r="352" spans="1:26" x14ac:dyDescent="0.4">
      <c r="C352" t="s">
        <v>540</v>
      </c>
      <c r="D352">
        <f>IFERROR((D347/D349)*D350,0)</f>
        <v>0</v>
      </c>
      <c r="E352">
        <f t="shared" ref="E352:O352" si="771">IFERROR((E347/E349)*E350,0)</f>
        <v>0</v>
      </c>
      <c r="F352">
        <f t="shared" si="771"/>
        <v>0</v>
      </c>
      <c r="G352">
        <f t="shared" si="771"/>
        <v>0</v>
      </c>
      <c r="H352">
        <f t="shared" si="771"/>
        <v>0</v>
      </c>
      <c r="I352">
        <f t="shared" si="771"/>
        <v>0</v>
      </c>
      <c r="J352">
        <f t="shared" si="771"/>
        <v>0</v>
      </c>
      <c r="K352">
        <f t="shared" si="771"/>
        <v>0</v>
      </c>
      <c r="L352">
        <f t="shared" si="771"/>
        <v>0</v>
      </c>
      <c r="M352">
        <f t="shared" si="771"/>
        <v>0</v>
      </c>
      <c r="N352">
        <f t="shared" si="771"/>
        <v>0</v>
      </c>
      <c r="O352">
        <f t="shared" si="771"/>
        <v>0</v>
      </c>
    </row>
    <row r="353" spans="1:26" x14ac:dyDescent="0.4">
      <c r="C353" s="21" t="s">
        <v>534</v>
      </c>
      <c r="D353" t="str">
        <f t="shared" ref="D353:O353" si="772">IFERROR(VLOOKUP(D342,Phys_Prop,4,FALSE),0)</f>
        <v>N/A</v>
      </c>
      <c r="E353" t="str">
        <f t="shared" si="772"/>
        <v>N/A</v>
      </c>
      <c r="F353" t="str">
        <f t="shared" si="772"/>
        <v>N/A</v>
      </c>
      <c r="G353" t="str">
        <f t="shared" si="772"/>
        <v>N/A</v>
      </c>
      <c r="H353" t="str">
        <f t="shared" si="772"/>
        <v>N/A</v>
      </c>
      <c r="I353" t="str">
        <f t="shared" si="772"/>
        <v>N/A</v>
      </c>
      <c r="J353" t="str">
        <f t="shared" si="772"/>
        <v>N/A</v>
      </c>
      <c r="K353" t="str">
        <f t="shared" si="772"/>
        <v>N/A</v>
      </c>
      <c r="L353" t="str">
        <f t="shared" si="772"/>
        <v>N/A</v>
      </c>
      <c r="M353" t="str">
        <f t="shared" si="772"/>
        <v>N/A</v>
      </c>
      <c r="N353" t="str">
        <f t="shared" si="772"/>
        <v>N/A</v>
      </c>
      <c r="O353" t="str">
        <f t="shared" si="772"/>
        <v>N/A</v>
      </c>
    </row>
    <row r="354" spans="1:26" x14ac:dyDescent="0.4">
      <c r="C354" s="21" t="s">
        <v>535</v>
      </c>
      <c r="D354">
        <f t="shared" ref="D354:O354" si="773">IFERROR(VLOOKUP(D343,Phys_Prop,4,FALSE),0)</f>
        <v>0</v>
      </c>
      <c r="E354">
        <f t="shared" si="773"/>
        <v>0</v>
      </c>
      <c r="F354">
        <f t="shared" si="773"/>
        <v>0</v>
      </c>
      <c r="G354">
        <f t="shared" si="773"/>
        <v>0</v>
      </c>
      <c r="H354">
        <f t="shared" si="773"/>
        <v>0</v>
      </c>
      <c r="I354">
        <f t="shared" si="773"/>
        <v>0</v>
      </c>
      <c r="J354">
        <f t="shared" si="773"/>
        <v>0</v>
      </c>
      <c r="K354">
        <f t="shared" si="773"/>
        <v>0</v>
      </c>
      <c r="L354">
        <f t="shared" si="773"/>
        <v>0</v>
      </c>
      <c r="M354">
        <f t="shared" si="773"/>
        <v>0</v>
      </c>
      <c r="N354">
        <f t="shared" si="773"/>
        <v>0</v>
      </c>
      <c r="O354">
        <f t="shared" si="773"/>
        <v>0</v>
      </c>
    </row>
    <row r="355" spans="1:26" x14ac:dyDescent="0.4">
      <c r="A355" s="11"/>
      <c r="B355" s="11"/>
      <c r="C355" s="62" t="s">
        <v>536</v>
      </c>
      <c r="D355" s="11" t="str">
        <f>IFERROR(1/(D351/D353+D352/D354),D353)</f>
        <v>N/A</v>
      </c>
      <c r="E355" s="11" t="str">
        <f t="shared" ref="E355:O355" si="774">IFERROR(1/(E351/E353+E352/E354),E353)</f>
        <v>N/A</v>
      </c>
      <c r="F355" s="11" t="str">
        <f t="shared" si="774"/>
        <v>N/A</v>
      </c>
      <c r="G355" s="11" t="str">
        <f t="shared" si="774"/>
        <v>N/A</v>
      </c>
      <c r="H355" s="11" t="str">
        <f t="shared" si="774"/>
        <v>N/A</v>
      </c>
      <c r="I355" s="11" t="str">
        <f t="shared" si="774"/>
        <v>N/A</v>
      </c>
      <c r="J355" s="11" t="str">
        <f t="shared" si="774"/>
        <v>N/A</v>
      </c>
      <c r="K355" s="11" t="str">
        <f t="shared" si="774"/>
        <v>N/A</v>
      </c>
      <c r="L355" s="11" t="str">
        <f t="shared" si="774"/>
        <v>N/A</v>
      </c>
      <c r="M355" s="11" t="str">
        <f t="shared" si="774"/>
        <v>N/A</v>
      </c>
      <c r="N355" s="11" t="str">
        <f t="shared" si="774"/>
        <v>N/A</v>
      </c>
      <c r="O355" s="11" t="str">
        <f t="shared" si="774"/>
        <v>N/A</v>
      </c>
      <c r="P355" s="11"/>
      <c r="Q355" s="11"/>
      <c r="R355" s="11"/>
      <c r="S355" s="11"/>
      <c r="T355" s="11"/>
      <c r="U355" s="11"/>
      <c r="V355" s="11"/>
      <c r="W355" s="11"/>
      <c r="X355" s="11"/>
      <c r="Y355" s="11"/>
      <c r="Z355" s="11"/>
    </row>
    <row r="356" spans="1:26" x14ac:dyDescent="0.4">
      <c r="A356" t="str" cm="1">
        <f t="array" ref="A356">INDEX(FX_Input,R356,S356)</f>
        <v>FX - 26</v>
      </c>
      <c r="B356" t="str" cm="1">
        <f t="array" ref="B356">INDEX(FX_Input,R356,T356)</f>
        <v>Portland</v>
      </c>
      <c r="C356" t="s">
        <v>528</v>
      </c>
      <c r="D356" t="str" cm="1">
        <f t="array" ref="D356">INDEX(FX_Input,$R356,$Y356*D$5+$Z356)</f>
        <v>Out of Service</v>
      </c>
      <c r="E356" t="str" cm="1">
        <f t="array" ref="E356">INDEX(FX_Input,$R356,$Y356*E$5+$Z356)</f>
        <v>Out of Service</v>
      </c>
      <c r="F356" t="str" cm="1">
        <f t="array" ref="F356">INDEX(FX_Input,$R356,$Y356*F$5+$Z356)</f>
        <v>Out of Service</v>
      </c>
      <c r="G356" t="str" cm="1">
        <f t="array" ref="G356">INDEX(FX_Input,$R356,$Y356*G$5+$Z356)</f>
        <v>Out of Service</v>
      </c>
      <c r="H356" t="str" cm="1">
        <f t="array" ref="H356">INDEX(FX_Input,$R356,$Y356*H$5+$Z356)</f>
        <v>Out of Service</v>
      </c>
      <c r="I356" t="str" cm="1">
        <f t="array" ref="I356">INDEX(FX_Input,$R356,$Y356*I$5+$Z356)</f>
        <v>Out of Service</v>
      </c>
      <c r="J356" t="str" cm="1">
        <f t="array" ref="J356">INDEX(FX_Input,$R356,$Y356*J$5+$Z356)</f>
        <v>Out of Service</v>
      </c>
      <c r="K356" t="str" cm="1">
        <f t="array" ref="K356">INDEX(FX_Input,$R356,$Y356*K$5+$Z356)</f>
        <v>Out of Service</v>
      </c>
      <c r="L356" t="str" cm="1">
        <f t="array" ref="L356">INDEX(FX_Input,$R356,$Y356*L$5+$Z356)</f>
        <v>Out of Service</v>
      </c>
      <c r="M356" t="str" cm="1">
        <f t="array" ref="M356">INDEX(FX_Input,$R356,$Y356*M$5+$Z356)</f>
        <v>Out of Service</v>
      </c>
      <c r="N356" t="str" cm="1">
        <f t="array" ref="N356">INDEX(FX_Input,$R356,$Y356*N$5+$Z356)</f>
        <v>Out of Service</v>
      </c>
      <c r="O356" t="str" cm="1">
        <f t="array" ref="O356">INDEX(FX_Input,$R356,$Y356*O$5+$Z356)</f>
        <v>Out of Service</v>
      </c>
      <c r="R356">
        <f>R342+2</f>
        <v>51</v>
      </c>
      <c r="S356">
        <v>1</v>
      </c>
      <c r="T356">
        <v>3</v>
      </c>
      <c r="U356">
        <v>17</v>
      </c>
      <c r="V356">
        <f>U356+5</f>
        <v>22</v>
      </c>
      <c r="W356">
        <v>1</v>
      </c>
      <c r="X356">
        <v>2</v>
      </c>
      <c r="Y356">
        <f t="shared" ref="Y356:Y361" si="775">(V356-U356)/(X356-W356)</f>
        <v>5</v>
      </c>
      <c r="Z356">
        <f t="shared" ref="Z356:Z361" si="776">U356-Y356*W356</f>
        <v>12</v>
      </c>
    </row>
    <row r="357" spans="1:26" x14ac:dyDescent="0.4">
      <c r="C357" t="s">
        <v>529</v>
      </c>
      <c r="D357" cm="1">
        <f t="array" ref="D357">INDEX(FX_Input,$R357,$Y357*D$5+$Z357)</f>
        <v>0</v>
      </c>
      <c r="E357" cm="1">
        <f t="array" ref="E357">INDEX(FX_Input,$R357,$Y357*E$5+$Z357)</f>
        <v>0</v>
      </c>
      <c r="F357" cm="1">
        <f t="array" ref="F357">INDEX(FX_Input,$R357,$Y357*F$5+$Z357)</f>
        <v>0</v>
      </c>
      <c r="G357" cm="1">
        <f t="array" ref="G357">INDEX(FX_Input,$R357,$Y357*G$5+$Z357)</f>
        <v>0</v>
      </c>
      <c r="H357" cm="1">
        <f t="array" ref="H357">INDEX(FX_Input,$R357,$Y357*H$5+$Z357)</f>
        <v>0</v>
      </c>
      <c r="I357" cm="1">
        <f t="array" ref="I357">INDEX(FX_Input,$R357,$Y357*I$5+$Z357)</f>
        <v>0</v>
      </c>
      <c r="J357" cm="1">
        <f t="array" ref="J357">INDEX(FX_Input,$R357,$Y357*J$5+$Z357)</f>
        <v>0</v>
      </c>
      <c r="K357" cm="1">
        <f t="array" ref="K357">INDEX(FX_Input,$R357,$Y357*K$5+$Z357)</f>
        <v>0</v>
      </c>
      <c r="L357" cm="1">
        <f t="array" ref="L357">INDEX(FX_Input,$R357,$Y357*L$5+$Z357)</f>
        <v>0</v>
      </c>
      <c r="M357" cm="1">
        <f t="array" ref="M357">INDEX(FX_Input,$R357,$Y357*M$5+$Z357)</f>
        <v>0</v>
      </c>
      <c r="N357" cm="1">
        <f t="array" ref="N357">INDEX(FX_Input,$R357,$Y357*N$5+$Z357)</f>
        <v>0</v>
      </c>
      <c r="O357" cm="1">
        <f t="array" ref="O357">INDEX(FX_Input,$R357,$Y357*O$5+$Z357)</f>
        <v>0</v>
      </c>
      <c r="R357">
        <f>R356+1</f>
        <v>52</v>
      </c>
      <c r="U357">
        <f>U356</f>
        <v>17</v>
      </c>
      <c r="V357">
        <f t="shared" ref="V357:V361" si="777">U357+5</f>
        <v>22</v>
      </c>
      <c r="W357">
        <v>1</v>
      </c>
      <c r="X357">
        <v>2</v>
      </c>
      <c r="Y357">
        <f t="shared" si="775"/>
        <v>5</v>
      </c>
      <c r="Z357">
        <f t="shared" si="776"/>
        <v>12</v>
      </c>
    </row>
    <row r="358" spans="1:26" x14ac:dyDescent="0.4">
      <c r="C358" t="s">
        <v>530</v>
      </c>
      <c r="D358" t="str" cm="1">
        <f t="array" ref="D358">INDEX(FX_Input,$R358,$Y358*D$5+$Z358)</f>
        <v>N/A</v>
      </c>
      <c r="E358" t="str" cm="1">
        <f t="array" ref="E358">INDEX(FX_Input,$R358,$Y358*E$5+$Z358)</f>
        <v>N/A</v>
      </c>
      <c r="F358" t="str" cm="1">
        <f t="array" ref="F358">INDEX(FX_Input,$R358,$Y358*F$5+$Z358)</f>
        <v>N/A</v>
      </c>
      <c r="G358" t="str" cm="1">
        <f t="array" ref="G358">INDEX(FX_Input,$R358,$Y358*G$5+$Z358)</f>
        <v>N/A</v>
      </c>
      <c r="H358" t="str" cm="1">
        <f t="array" ref="H358">INDEX(FX_Input,$R358,$Y358*H$5+$Z358)</f>
        <v>N/A</v>
      </c>
      <c r="I358" t="str" cm="1">
        <f t="array" ref="I358">INDEX(FX_Input,$R358,$Y358*I$5+$Z358)</f>
        <v>N/A</v>
      </c>
      <c r="J358" t="str" cm="1">
        <f t="array" ref="J358">INDEX(FX_Input,$R358,$Y358*J$5+$Z358)</f>
        <v>N/A</v>
      </c>
      <c r="K358" t="str" cm="1">
        <f t="array" ref="K358">INDEX(FX_Input,$R358,$Y358*K$5+$Z358)</f>
        <v>N/A</v>
      </c>
      <c r="L358" t="str" cm="1">
        <f t="array" ref="L358">INDEX(FX_Input,$R358,$Y358*L$5+$Z358)</f>
        <v>N/A</v>
      </c>
      <c r="M358" t="str" cm="1">
        <f t="array" ref="M358">INDEX(FX_Input,$R358,$Y358*M$5+$Z358)</f>
        <v>N/A</v>
      </c>
      <c r="N358" t="str" cm="1">
        <f t="array" ref="N358">INDEX(FX_Input,$R358,$Y358*N$5+$Z358)</f>
        <v>N/A</v>
      </c>
      <c r="O358" t="str" cm="1">
        <f t="array" ref="O358">INDEX(FX_Input,$R358,$Y358*O$5+$Z358)</f>
        <v>N/A</v>
      </c>
      <c r="R358">
        <f>R356</f>
        <v>51</v>
      </c>
      <c r="U358">
        <v>18</v>
      </c>
      <c r="V358">
        <f t="shared" si="777"/>
        <v>23</v>
      </c>
      <c r="W358">
        <v>1</v>
      </c>
      <c r="X358">
        <v>2</v>
      </c>
      <c r="Y358">
        <f t="shared" si="775"/>
        <v>5</v>
      </c>
      <c r="Z358">
        <f t="shared" si="776"/>
        <v>13</v>
      </c>
    </row>
    <row r="359" spans="1:26" x14ac:dyDescent="0.4">
      <c r="C359" t="s">
        <v>531</v>
      </c>
      <c r="D359" cm="1">
        <f t="array" ref="D359">INDEX(FX_Input,$R359,$Y359*D$5+$Z359)</f>
        <v>0</v>
      </c>
      <c r="E359" cm="1">
        <f t="array" ref="E359">INDEX(FX_Input,$R359,$Y359*E$5+$Z359)</f>
        <v>0</v>
      </c>
      <c r="F359" cm="1">
        <f t="array" ref="F359">INDEX(FX_Input,$R359,$Y359*F$5+$Z359)</f>
        <v>0</v>
      </c>
      <c r="G359" cm="1">
        <f t="array" ref="G359">INDEX(FX_Input,$R359,$Y359*G$5+$Z359)</f>
        <v>0</v>
      </c>
      <c r="H359" cm="1">
        <f t="array" ref="H359">INDEX(FX_Input,$R359,$Y359*H$5+$Z359)</f>
        <v>0</v>
      </c>
      <c r="I359" cm="1">
        <f t="array" ref="I359">INDEX(FX_Input,$R359,$Y359*I$5+$Z359)</f>
        <v>0</v>
      </c>
      <c r="J359" cm="1">
        <f t="array" ref="J359">INDEX(FX_Input,$R359,$Y359*J$5+$Z359)</f>
        <v>0</v>
      </c>
      <c r="K359" cm="1">
        <f t="array" ref="K359">INDEX(FX_Input,$R359,$Y359*K$5+$Z359)</f>
        <v>0</v>
      </c>
      <c r="L359" cm="1">
        <f t="array" ref="L359">INDEX(FX_Input,$R359,$Y359*L$5+$Z359)</f>
        <v>0</v>
      </c>
      <c r="M359" cm="1">
        <f t="array" ref="M359">INDEX(FX_Input,$R359,$Y359*M$5+$Z359)</f>
        <v>0</v>
      </c>
      <c r="N359" cm="1">
        <f t="array" ref="N359">INDEX(FX_Input,$R359,$Y359*N$5+$Z359)</f>
        <v>0</v>
      </c>
      <c r="O359" cm="1">
        <f t="array" ref="O359">INDEX(FX_Input,$R359,$Y359*O$5+$Z359)</f>
        <v>0</v>
      </c>
      <c r="R359">
        <f>R357</f>
        <v>52</v>
      </c>
      <c r="U359">
        <f>U358</f>
        <v>18</v>
      </c>
      <c r="V359">
        <f t="shared" si="777"/>
        <v>23</v>
      </c>
      <c r="W359">
        <v>1</v>
      </c>
      <c r="X359">
        <v>2</v>
      </c>
      <c r="Y359">
        <f t="shared" si="775"/>
        <v>5</v>
      </c>
      <c r="Z359">
        <f t="shared" si="776"/>
        <v>13</v>
      </c>
    </row>
    <row r="360" spans="1:26" x14ac:dyDescent="0.4">
      <c r="C360" t="s">
        <v>546</v>
      </c>
      <c r="D360" cm="1">
        <f t="array" ref="D360">INDEX(FX_Input,$R360,$Y360*D$5+$Z360)</f>
        <v>1</v>
      </c>
      <c r="E360" cm="1">
        <f t="array" ref="E360">INDEX(FX_Input,$R360,$Y360*E$5+$Z360)</f>
        <v>1</v>
      </c>
      <c r="F360" cm="1">
        <f t="array" ref="F360">INDEX(FX_Input,$R360,$Y360*F$5+$Z360)</f>
        <v>1</v>
      </c>
      <c r="G360" cm="1">
        <f t="array" ref="G360">INDEX(FX_Input,$R360,$Y360*G$5+$Z360)</f>
        <v>1</v>
      </c>
      <c r="H360" cm="1">
        <f t="array" ref="H360">INDEX(FX_Input,$R360,$Y360*H$5+$Z360)</f>
        <v>1</v>
      </c>
      <c r="I360" cm="1">
        <f t="array" ref="I360">INDEX(FX_Input,$R360,$Y360*I$5+$Z360)</f>
        <v>1</v>
      </c>
      <c r="J360" cm="1">
        <f t="array" ref="J360">INDEX(FX_Input,$R360,$Y360*J$5+$Z360)</f>
        <v>1</v>
      </c>
      <c r="K360" cm="1">
        <f t="array" ref="K360">INDEX(FX_Input,$R360,$Y360*K$5+$Z360)</f>
        <v>1</v>
      </c>
      <c r="L360" cm="1">
        <f t="array" ref="L360">INDEX(FX_Input,$R360,$Y360*L$5+$Z360)</f>
        <v>1</v>
      </c>
      <c r="M360" cm="1">
        <f t="array" ref="M360">INDEX(FX_Input,$R360,$Y360*M$5+$Z360)</f>
        <v>1</v>
      </c>
      <c r="N360" cm="1">
        <f t="array" ref="N360">INDEX(FX_Input,$R360,$Y360*N$5+$Z360)</f>
        <v>1</v>
      </c>
      <c r="O360" cm="1">
        <f t="array" ref="O360">INDEX(FX_Input,$R360,$Y360*O$5+$Z360)</f>
        <v>1</v>
      </c>
      <c r="R360">
        <f>R358</f>
        <v>51</v>
      </c>
      <c r="U360">
        <v>21</v>
      </c>
      <c r="V360">
        <f t="shared" si="777"/>
        <v>26</v>
      </c>
      <c r="W360">
        <v>1</v>
      </c>
      <c r="X360">
        <v>2</v>
      </c>
      <c r="Y360">
        <f t="shared" si="775"/>
        <v>5</v>
      </c>
      <c r="Z360">
        <f t="shared" si="776"/>
        <v>16</v>
      </c>
    </row>
    <row r="361" spans="1:26" x14ac:dyDescent="0.4">
      <c r="C361" t="s">
        <v>547</v>
      </c>
      <c r="D361" cm="1">
        <f t="array" ref="D361">INDEX(FX_Input,$R361,$Y361*D$5+$Z361)</f>
        <v>0</v>
      </c>
      <c r="E361" cm="1">
        <f t="array" ref="E361">INDEX(FX_Input,$R361,$Y361*E$5+$Z361)</f>
        <v>0</v>
      </c>
      <c r="F361" cm="1">
        <f t="array" ref="F361">INDEX(FX_Input,$R361,$Y361*F$5+$Z361)</f>
        <v>0</v>
      </c>
      <c r="G361" cm="1">
        <f t="array" ref="G361">INDEX(FX_Input,$R361,$Y361*G$5+$Z361)</f>
        <v>0</v>
      </c>
      <c r="H361" cm="1">
        <f t="array" ref="H361">INDEX(FX_Input,$R361,$Y361*H$5+$Z361)</f>
        <v>0</v>
      </c>
      <c r="I361" cm="1">
        <f t="array" ref="I361">INDEX(FX_Input,$R361,$Y361*I$5+$Z361)</f>
        <v>0</v>
      </c>
      <c r="J361" cm="1">
        <f t="array" ref="J361">INDEX(FX_Input,$R361,$Y361*J$5+$Z361)</f>
        <v>0</v>
      </c>
      <c r="K361" cm="1">
        <f t="array" ref="K361">INDEX(FX_Input,$R361,$Y361*K$5+$Z361)</f>
        <v>0</v>
      </c>
      <c r="L361" cm="1">
        <f t="array" ref="L361">INDEX(FX_Input,$R361,$Y361*L$5+$Z361)</f>
        <v>0</v>
      </c>
      <c r="M361" cm="1">
        <f t="array" ref="M361">INDEX(FX_Input,$R361,$Y361*M$5+$Z361)</f>
        <v>0</v>
      </c>
      <c r="N361" cm="1">
        <f t="array" ref="N361">INDEX(FX_Input,$R361,$Y361*N$5+$Z361)</f>
        <v>0</v>
      </c>
      <c r="O361" cm="1">
        <f t="array" ref="O361">INDEX(FX_Input,$R361,$Y361*O$5+$Z361)</f>
        <v>0</v>
      </c>
      <c r="R361">
        <f>R359</f>
        <v>52</v>
      </c>
      <c r="U361">
        <f>U360</f>
        <v>21</v>
      </c>
      <c r="V361">
        <f t="shared" si="777"/>
        <v>26</v>
      </c>
      <c r="W361">
        <v>1</v>
      </c>
      <c r="X361">
        <v>2</v>
      </c>
      <c r="Y361">
        <f t="shared" si="775"/>
        <v>5</v>
      </c>
      <c r="Z361">
        <f t="shared" si="776"/>
        <v>16</v>
      </c>
    </row>
    <row r="362" spans="1:26" x14ac:dyDescent="0.4">
      <c r="C362" t="s">
        <v>532</v>
      </c>
      <c r="D362" t="str">
        <f t="shared" ref="D362:O362" si="778">IFERROR(VLOOKUP(D356,Phys_Prop,2,FALSE),0)</f>
        <v>N/A</v>
      </c>
      <c r="E362" t="str">
        <f t="shared" si="778"/>
        <v>N/A</v>
      </c>
      <c r="F362" t="str">
        <f t="shared" si="778"/>
        <v>N/A</v>
      </c>
      <c r="G362" t="str">
        <f t="shared" si="778"/>
        <v>N/A</v>
      </c>
      <c r="H362" t="str">
        <f t="shared" si="778"/>
        <v>N/A</v>
      </c>
      <c r="I362" t="str">
        <f t="shared" si="778"/>
        <v>N/A</v>
      </c>
      <c r="J362" t="str">
        <f t="shared" si="778"/>
        <v>N/A</v>
      </c>
      <c r="K362" t="str">
        <f t="shared" si="778"/>
        <v>N/A</v>
      </c>
      <c r="L362" t="str">
        <f t="shared" si="778"/>
        <v>N/A</v>
      </c>
      <c r="M362" t="str">
        <f t="shared" si="778"/>
        <v>N/A</v>
      </c>
      <c r="N362" t="str">
        <f t="shared" si="778"/>
        <v>N/A</v>
      </c>
      <c r="O362" t="str">
        <f t="shared" si="778"/>
        <v>N/A</v>
      </c>
    </row>
    <row r="363" spans="1:26" x14ac:dyDescent="0.4">
      <c r="C363" t="s">
        <v>533</v>
      </c>
      <c r="D363">
        <f t="shared" ref="D363:O363" si="779">IFERROR(VLOOKUP(D357,Phys_Prop,2,FALSE),0)</f>
        <v>0</v>
      </c>
      <c r="E363">
        <f t="shared" si="779"/>
        <v>0</v>
      </c>
      <c r="F363">
        <f t="shared" si="779"/>
        <v>0</v>
      </c>
      <c r="G363">
        <f t="shared" si="779"/>
        <v>0</v>
      </c>
      <c r="H363">
        <f t="shared" si="779"/>
        <v>0</v>
      </c>
      <c r="I363">
        <f t="shared" si="779"/>
        <v>0</v>
      </c>
      <c r="J363">
        <f t="shared" si="779"/>
        <v>0</v>
      </c>
      <c r="K363">
        <f t="shared" si="779"/>
        <v>0</v>
      </c>
      <c r="L363">
        <f t="shared" si="779"/>
        <v>0</v>
      </c>
      <c r="M363">
        <f t="shared" si="779"/>
        <v>0</v>
      </c>
      <c r="N363">
        <f t="shared" si="779"/>
        <v>0</v>
      </c>
      <c r="O363">
        <f t="shared" si="779"/>
        <v>0</v>
      </c>
    </row>
    <row r="364" spans="1:26" x14ac:dyDescent="0.4">
      <c r="C364" t="s">
        <v>544</v>
      </c>
      <c r="D364">
        <f>IFERROR(IFERROR(D362/D360+D363/D361,D362/D360),0)</f>
        <v>0</v>
      </c>
      <c r="E364">
        <f t="shared" ref="E364" si="780">IFERROR(IFERROR(E362/E360+E363/E361,E362/E360),0)</f>
        <v>0</v>
      </c>
      <c r="F364">
        <f t="shared" ref="F364" si="781">IFERROR(IFERROR(F362/F360+F363/F361,F362/F360),0)</f>
        <v>0</v>
      </c>
      <c r="G364">
        <f t="shared" ref="G364" si="782">IFERROR(IFERROR(G362/G360+G363/G361,G362/G360),0)</f>
        <v>0</v>
      </c>
      <c r="H364">
        <f t="shared" ref="H364" si="783">IFERROR(IFERROR(H362/H360+H363/H361,H362/H360),0)</f>
        <v>0</v>
      </c>
      <c r="I364">
        <f t="shared" ref="I364" si="784">IFERROR(IFERROR(I362/I360+I363/I361,I362/I360),0)</f>
        <v>0</v>
      </c>
      <c r="J364">
        <f t="shared" ref="J364" si="785">IFERROR(IFERROR(J362/J360+J363/J361,J362/J360),0)</f>
        <v>0</v>
      </c>
      <c r="K364">
        <f t="shared" ref="K364" si="786">IFERROR(IFERROR(K362/K360+K363/K361,K362/K360),0)</f>
        <v>0</v>
      </c>
      <c r="L364">
        <f t="shared" ref="L364" si="787">IFERROR(IFERROR(L362/L360+L363/L361,L362/L360),0)</f>
        <v>0</v>
      </c>
      <c r="M364">
        <f t="shared" ref="M364" si="788">IFERROR(IFERROR(M362/M360+M363/M361,M362/M360),0)</f>
        <v>0</v>
      </c>
      <c r="N364">
        <f t="shared" ref="N364" si="789">IFERROR(IFERROR(N362/N360+N363/N361,N362/N360),0)</f>
        <v>0</v>
      </c>
      <c r="O364">
        <f t="shared" ref="O364" si="790">IFERROR(IFERROR(O362/O360+O363/O361,O362/O360),0)</f>
        <v>0</v>
      </c>
    </row>
    <row r="365" spans="1:26" x14ac:dyDescent="0.4">
      <c r="C365" t="s">
        <v>539</v>
      </c>
      <c r="D365">
        <f>IFERROR((D360/D362)*D364,1)</f>
        <v>1</v>
      </c>
      <c r="E365">
        <f t="shared" ref="E365" si="791">IFERROR((E360/E362)*E364,1)</f>
        <v>1</v>
      </c>
      <c r="F365">
        <f t="shared" ref="F365" si="792">IFERROR((F360/F362)*F364,1)</f>
        <v>1</v>
      </c>
      <c r="G365">
        <f t="shared" ref="G365" si="793">IFERROR((G360/G362)*G364,1)</f>
        <v>1</v>
      </c>
      <c r="H365">
        <f t="shared" ref="H365" si="794">IFERROR((H360/H362)*H364,1)</f>
        <v>1</v>
      </c>
      <c r="I365">
        <f t="shared" ref="I365" si="795">IFERROR((I360/I362)*I364,1)</f>
        <v>1</v>
      </c>
      <c r="J365">
        <f t="shared" ref="J365" si="796">IFERROR((J360/J362)*J364,1)</f>
        <v>1</v>
      </c>
      <c r="K365">
        <f t="shared" ref="K365" si="797">IFERROR((K360/K362)*K364,1)</f>
        <v>1</v>
      </c>
      <c r="L365">
        <f t="shared" ref="L365" si="798">IFERROR((L360/L362)*L364,1)</f>
        <v>1</v>
      </c>
      <c r="M365">
        <f t="shared" ref="M365" si="799">IFERROR((M360/M362)*M364,1)</f>
        <v>1</v>
      </c>
      <c r="N365">
        <f t="shared" ref="N365" si="800">IFERROR((N360/N362)*N364,1)</f>
        <v>1</v>
      </c>
      <c r="O365">
        <f t="shared" ref="O365" si="801">IFERROR((O360/O362)*O364,1)</f>
        <v>1</v>
      </c>
    </row>
    <row r="366" spans="1:26" x14ac:dyDescent="0.4">
      <c r="C366" t="s">
        <v>540</v>
      </c>
      <c r="D366">
        <f>IFERROR((D361/D363)*D364,0)</f>
        <v>0</v>
      </c>
      <c r="E366">
        <f t="shared" ref="E366:O366" si="802">IFERROR((E361/E363)*E364,0)</f>
        <v>0</v>
      </c>
      <c r="F366">
        <f t="shared" si="802"/>
        <v>0</v>
      </c>
      <c r="G366">
        <f t="shared" si="802"/>
        <v>0</v>
      </c>
      <c r="H366">
        <f t="shared" si="802"/>
        <v>0</v>
      </c>
      <c r="I366">
        <f t="shared" si="802"/>
        <v>0</v>
      </c>
      <c r="J366">
        <f t="shared" si="802"/>
        <v>0</v>
      </c>
      <c r="K366">
        <f t="shared" si="802"/>
        <v>0</v>
      </c>
      <c r="L366">
        <f t="shared" si="802"/>
        <v>0</v>
      </c>
      <c r="M366">
        <f t="shared" si="802"/>
        <v>0</v>
      </c>
      <c r="N366">
        <f t="shared" si="802"/>
        <v>0</v>
      </c>
      <c r="O366">
        <f t="shared" si="802"/>
        <v>0</v>
      </c>
    </row>
    <row r="367" spans="1:26" x14ac:dyDescent="0.4">
      <c r="C367" s="21" t="s">
        <v>534</v>
      </c>
      <c r="D367" t="str">
        <f t="shared" ref="D367:O367" si="803">IFERROR(VLOOKUP(D356,Phys_Prop,4,FALSE),0)</f>
        <v>N/A</v>
      </c>
      <c r="E367" t="str">
        <f t="shared" si="803"/>
        <v>N/A</v>
      </c>
      <c r="F367" t="str">
        <f t="shared" si="803"/>
        <v>N/A</v>
      </c>
      <c r="G367" t="str">
        <f t="shared" si="803"/>
        <v>N/A</v>
      </c>
      <c r="H367" t="str">
        <f t="shared" si="803"/>
        <v>N/A</v>
      </c>
      <c r="I367" t="str">
        <f t="shared" si="803"/>
        <v>N/A</v>
      </c>
      <c r="J367" t="str">
        <f t="shared" si="803"/>
        <v>N/A</v>
      </c>
      <c r="K367" t="str">
        <f t="shared" si="803"/>
        <v>N/A</v>
      </c>
      <c r="L367" t="str">
        <f t="shared" si="803"/>
        <v>N/A</v>
      </c>
      <c r="M367" t="str">
        <f t="shared" si="803"/>
        <v>N/A</v>
      </c>
      <c r="N367" t="str">
        <f t="shared" si="803"/>
        <v>N/A</v>
      </c>
      <c r="O367" t="str">
        <f t="shared" si="803"/>
        <v>N/A</v>
      </c>
    </row>
    <row r="368" spans="1:26" x14ac:dyDescent="0.4">
      <c r="C368" s="21" t="s">
        <v>535</v>
      </c>
      <c r="D368">
        <f t="shared" ref="D368:O368" si="804">IFERROR(VLOOKUP(D357,Phys_Prop,4,FALSE),0)</f>
        <v>0</v>
      </c>
      <c r="E368">
        <f t="shared" si="804"/>
        <v>0</v>
      </c>
      <c r="F368">
        <f t="shared" si="804"/>
        <v>0</v>
      </c>
      <c r="G368">
        <f t="shared" si="804"/>
        <v>0</v>
      </c>
      <c r="H368">
        <f t="shared" si="804"/>
        <v>0</v>
      </c>
      <c r="I368">
        <f t="shared" si="804"/>
        <v>0</v>
      </c>
      <c r="J368">
        <f t="shared" si="804"/>
        <v>0</v>
      </c>
      <c r="K368">
        <f t="shared" si="804"/>
        <v>0</v>
      </c>
      <c r="L368">
        <f t="shared" si="804"/>
        <v>0</v>
      </c>
      <c r="M368">
        <f t="shared" si="804"/>
        <v>0</v>
      </c>
      <c r="N368">
        <f t="shared" si="804"/>
        <v>0</v>
      </c>
      <c r="O368">
        <f t="shared" si="804"/>
        <v>0</v>
      </c>
    </row>
    <row r="369" spans="1:26" x14ac:dyDescent="0.4">
      <c r="A369" s="11"/>
      <c r="B369" s="11"/>
      <c r="C369" s="62" t="s">
        <v>536</v>
      </c>
      <c r="D369" s="11" t="str">
        <f>IFERROR(1/(D365/D367+D366/D368),D367)</f>
        <v>N/A</v>
      </c>
      <c r="E369" s="11" t="str">
        <f t="shared" ref="E369:O369" si="805">IFERROR(1/(E365/E367+E366/E368),E367)</f>
        <v>N/A</v>
      </c>
      <c r="F369" s="11" t="str">
        <f t="shared" si="805"/>
        <v>N/A</v>
      </c>
      <c r="G369" s="11" t="str">
        <f t="shared" si="805"/>
        <v>N/A</v>
      </c>
      <c r="H369" s="11" t="str">
        <f t="shared" si="805"/>
        <v>N/A</v>
      </c>
      <c r="I369" s="11" t="str">
        <f t="shared" si="805"/>
        <v>N/A</v>
      </c>
      <c r="J369" s="11" t="str">
        <f t="shared" si="805"/>
        <v>N/A</v>
      </c>
      <c r="K369" s="11" t="str">
        <f t="shared" si="805"/>
        <v>N/A</v>
      </c>
      <c r="L369" s="11" t="str">
        <f t="shared" si="805"/>
        <v>N/A</v>
      </c>
      <c r="M369" s="11" t="str">
        <f t="shared" si="805"/>
        <v>N/A</v>
      </c>
      <c r="N369" s="11" t="str">
        <f t="shared" si="805"/>
        <v>N/A</v>
      </c>
      <c r="O369" s="11" t="str">
        <f t="shared" si="805"/>
        <v>N/A</v>
      </c>
      <c r="P369" s="11"/>
      <c r="Q369" s="11"/>
      <c r="R369" s="11"/>
      <c r="S369" s="11"/>
      <c r="T369" s="11"/>
      <c r="U369" s="11"/>
      <c r="V369" s="11"/>
      <c r="W369" s="11"/>
      <c r="X369" s="11"/>
      <c r="Y369" s="11"/>
      <c r="Z369" s="11"/>
    </row>
    <row r="370" spans="1:26" x14ac:dyDescent="0.4">
      <c r="A370" t="str" cm="1">
        <f t="array" ref="A370">INDEX(FX_Input,R370,S370)</f>
        <v>FX - 27</v>
      </c>
      <c r="B370" t="str" cm="1">
        <f t="array" ref="B370">INDEX(FX_Input,R370,T370)</f>
        <v>Portland</v>
      </c>
      <c r="C370" t="s">
        <v>528</v>
      </c>
      <c r="D370" t="str" cm="1">
        <f t="array" ref="D370">INDEX(FX_Input,$R370,$Y370*D$5+$Z370)</f>
        <v>Out of Service</v>
      </c>
      <c r="E370" t="str" cm="1">
        <f t="array" ref="E370">INDEX(FX_Input,$R370,$Y370*E$5+$Z370)</f>
        <v>Out of Service</v>
      </c>
      <c r="F370" t="str" cm="1">
        <f t="array" ref="F370">INDEX(FX_Input,$R370,$Y370*F$5+$Z370)</f>
        <v>Out of Service</v>
      </c>
      <c r="G370" t="str" cm="1">
        <f t="array" ref="G370">INDEX(FX_Input,$R370,$Y370*G$5+$Z370)</f>
        <v>Out of Service</v>
      </c>
      <c r="H370" t="str" cm="1">
        <f t="array" ref="H370">INDEX(FX_Input,$R370,$Y370*H$5+$Z370)</f>
        <v>Out of Service</v>
      </c>
      <c r="I370" t="str" cm="1">
        <f t="array" ref="I370">INDEX(FX_Input,$R370,$Y370*I$5+$Z370)</f>
        <v>Out of Service</v>
      </c>
      <c r="J370" t="str" cm="1">
        <f t="array" ref="J370">INDEX(FX_Input,$R370,$Y370*J$5+$Z370)</f>
        <v>Out of Service</v>
      </c>
      <c r="K370" t="str" cm="1">
        <f t="array" ref="K370">INDEX(FX_Input,$R370,$Y370*K$5+$Z370)</f>
        <v>Out of Service</v>
      </c>
      <c r="L370" t="str" cm="1">
        <f t="array" ref="L370">INDEX(FX_Input,$R370,$Y370*L$5+$Z370)</f>
        <v>Out of Service</v>
      </c>
      <c r="M370" t="str" cm="1">
        <f t="array" ref="M370">INDEX(FX_Input,$R370,$Y370*M$5+$Z370)</f>
        <v>Out of Service</v>
      </c>
      <c r="N370" t="str" cm="1">
        <f t="array" ref="N370">INDEX(FX_Input,$R370,$Y370*N$5+$Z370)</f>
        <v>Out of Service</v>
      </c>
      <c r="O370" t="str" cm="1">
        <f t="array" ref="O370">INDEX(FX_Input,$R370,$Y370*O$5+$Z370)</f>
        <v>Out of Service</v>
      </c>
      <c r="R370">
        <f>R356+2</f>
        <v>53</v>
      </c>
      <c r="S370">
        <v>1</v>
      </c>
      <c r="T370">
        <v>3</v>
      </c>
      <c r="U370">
        <v>17</v>
      </c>
      <c r="V370">
        <f>U370+5</f>
        <v>22</v>
      </c>
      <c r="W370">
        <v>1</v>
      </c>
      <c r="X370">
        <v>2</v>
      </c>
      <c r="Y370">
        <f t="shared" ref="Y370:Y375" si="806">(V370-U370)/(X370-W370)</f>
        <v>5</v>
      </c>
      <c r="Z370">
        <f t="shared" ref="Z370:Z375" si="807">U370-Y370*W370</f>
        <v>12</v>
      </c>
    </row>
    <row r="371" spans="1:26" x14ac:dyDescent="0.4">
      <c r="C371" t="s">
        <v>529</v>
      </c>
      <c r="D371" cm="1">
        <f t="array" ref="D371">INDEX(FX_Input,$R371,$Y371*D$5+$Z371)</f>
        <v>0</v>
      </c>
      <c r="E371" cm="1">
        <f t="array" ref="E371">INDEX(FX_Input,$R371,$Y371*E$5+$Z371)</f>
        <v>0</v>
      </c>
      <c r="F371" cm="1">
        <f t="array" ref="F371">INDEX(FX_Input,$R371,$Y371*F$5+$Z371)</f>
        <v>0</v>
      </c>
      <c r="G371" cm="1">
        <f t="array" ref="G371">INDEX(FX_Input,$R371,$Y371*G$5+$Z371)</f>
        <v>0</v>
      </c>
      <c r="H371" cm="1">
        <f t="array" ref="H371">INDEX(FX_Input,$R371,$Y371*H$5+$Z371)</f>
        <v>0</v>
      </c>
      <c r="I371" cm="1">
        <f t="array" ref="I371">INDEX(FX_Input,$R371,$Y371*I$5+$Z371)</f>
        <v>0</v>
      </c>
      <c r="J371" cm="1">
        <f t="array" ref="J371">INDEX(FX_Input,$R371,$Y371*J$5+$Z371)</f>
        <v>0</v>
      </c>
      <c r="K371" cm="1">
        <f t="array" ref="K371">INDEX(FX_Input,$R371,$Y371*K$5+$Z371)</f>
        <v>0</v>
      </c>
      <c r="L371" cm="1">
        <f t="array" ref="L371">INDEX(FX_Input,$R371,$Y371*L$5+$Z371)</f>
        <v>0</v>
      </c>
      <c r="M371" cm="1">
        <f t="array" ref="M371">INDEX(FX_Input,$R371,$Y371*M$5+$Z371)</f>
        <v>0</v>
      </c>
      <c r="N371" cm="1">
        <f t="array" ref="N371">INDEX(FX_Input,$R371,$Y371*N$5+$Z371)</f>
        <v>0</v>
      </c>
      <c r="O371" cm="1">
        <f t="array" ref="O371">INDEX(FX_Input,$R371,$Y371*O$5+$Z371)</f>
        <v>0</v>
      </c>
      <c r="R371">
        <f>R370+1</f>
        <v>54</v>
      </c>
      <c r="U371">
        <f>U370</f>
        <v>17</v>
      </c>
      <c r="V371">
        <f t="shared" ref="V371:V375" si="808">U371+5</f>
        <v>22</v>
      </c>
      <c r="W371">
        <v>1</v>
      </c>
      <c r="X371">
        <v>2</v>
      </c>
      <c r="Y371">
        <f t="shared" si="806"/>
        <v>5</v>
      </c>
      <c r="Z371">
        <f t="shared" si="807"/>
        <v>12</v>
      </c>
    </row>
    <row r="372" spans="1:26" x14ac:dyDescent="0.4">
      <c r="C372" t="s">
        <v>530</v>
      </c>
      <c r="D372" t="str" cm="1">
        <f t="array" ref="D372">INDEX(FX_Input,$R372,$Y372*D$5+$Z372)</f>
        <v>N/A</v>
      </c>
      <c r="E372" t="str" cm="1">
        <f t="array" ref="E372">INDEX(FX_Input,$R372,$Y372*E$5+$Z372)</f>
        <v>N/A</v>
      </c>
      <c r="F372" t="str" cm="1">
        <f t="array" ref="F372">INDEX(FX_Input,$R372,$Y372*F$5+$Z372)</f>
        <v>N/A</v>
      </c>
      <c r="G372" t="str" cm="1">
        <f t="array" ref="G372">INDEX(FX_Input,$R372,$Y372*G$5+$Z372)</f>
        <v>N/A</v>
      </c>
      <c r="H372" t="str" cm="1">
        <f t="array" ref="H372">INDEX(FX_Input,$R372,$Y372*H$5+$Z372)</f>
        <v>N/A</v>
      </c>
      <c r="I372" t="str" cm="1">
        <f t="array" ref="I372">INDEX(FX_Input,$R372,$Y372*I$5+$Z372)</f>
        <v>N/A</v>
      </c>
      <c r="J372" t="str" cm="1">
        <f t="array" ref="J372">INDEX(FX_Input,$R372,$Y372*J$5+$Z372)</f>
        <v>N/A</v>
      </c>
      <c r="K372" t="str" cm="1">
        <f t="array" ref="K372">INDEX(FX_Input,$R372,$Y372*K$5+$Z372)</f>
        <v>N/A</v>
      </c>
      <c r="L372" t="str" cm="1">
        <f t="array" ref="L372">INDEX(FX_Input,$R372,$Y372*L$5+$Z372)</f>
        <v>N/A</v>
      </c>
      <c r="M372" t="str" cm="1">
        <f t="array" ref="M372">INDEX(FX_Input,$R372,$Y372*M$5+$Z372)</f>
        <v>N/A</v>
      </c>
      <c r="N372" t="str" cm="1">
        <f t="array" ref="N372">INDEX(FX_Input,$R372,$Y372*N$5+$Z372)</f>
        <v>N/A</v>
      </c>
      <c r="O372" t="str" cm="1">
        <f t="array" ref="O372">INDEX(FX_Input,$R372,$Y372*O$5+$Z372)</f>
        <v>N/A</v>
      </c>
      <c r="R372">
        <f>R370</f>
        <v>53</v>
      </c>
      <c r="U372">
        <v>18</v>
      </c>
      <c r="V372">
        <f t="shared" si="808"/>
        <v>23</v>
      </c>
      <c r="W372">
        <v>1</v>
      </c>
      <c r="X372">
        <v>2</v>
      </c>
      <c r="Y372">
        <f t="shared" si="806"/>
        <v>5</v>
      </c>
      <c r="Z372">
        <f t="shared" si="807"/>
        <v>13</v>
      </c>
    </row>
    <row r="373" spans="1:26" x14ac:dyDescent="0.4">
      <c r="C373" t="s">
        <v>531</v>
      </c>
      <c r="D373" cm="1">
        <f t="array" ref="D373">INDEX(FX_Input,$R373,$Y373*D$5+$Z373)</f>
        <v>0</v>
      </c>
      <c r="E373" cm="1">
        <f t="array" ref="E373">INDEX(FX_Input,$R373,$Y373*E$5+$Z373)</f>
        <v>0</v>
      </c>
      <c r="F373" cm="1">
        <f t="array" ref="F373">INDEX(FX_Input,$R373,$Y373*F$5+$Z373)</f>
        <v>0</v>
      </c>
      <c r="G373" cm="1">
        <f t="array" ref="G373">INDEX(FX_Input,$R373,$Y373*G$5+$Z373)</f>
        <v>0</v>
      </c>
      <c r="H373" cm="1">
        <f t="array" ref="H373">INDEX(FX_Input,$R373,$Y373*H$5+$Z373)</f>
        <v>0</v>
      </c>
      <c r="I373" cm="1">
        <f t="array" ref="I373">INDEX(FX_Input,$R373,$Y373*I$5+$Z373)</f>
        <v>0</v>
      </c>
      <c r="J373" cm="1">
        <f t="array" ref="J373">INDEX(FX_Input,$R373,$Y373*J$5+$Z373)</f>
        <v>0</v>
      </c>
      <c r="K373" cm="1">
        <f t="array" ref="K373">INDEX(FX_Input,$R373,$Y373*K$5+$Z373)</f>
        <v>0</v>
      </c>
      <c r="L373" cm="1">
        <f t="array" ref="L373">INDEX(FX_Input,$R373,$Y373*L$5+$Z373)</f>
        <v>0</v>
      </c>
      <c r="M373" cm="1">
        <f t="array" ref="M373">INDEX(FX_Input,$R373,$Y373*M$5+$Z373)</f>
        <v>0</v>
      </c>
      <c r="N373" cm="1">
        <f t="array" ref="N373">INDEX(FX_Input,$R373,$Y373*N$5+$Z373)</f>
        <v>0</v>
      </c>
      <c r="O373" cm="1">
        <f t="array" ref="O373">INDEX(FX_Input,$R373,$Y373*O$5+$Z373)</f>
        <v>0</v>
      </c>
      <c r="R373">
        <f>R371</f>
        <v>54</v>
      </c>
      <c r="U373">
        <f>U372</f>
        <v>18</v>
      </c>
      <c r="V373">
        <f t="shared" si="808"/>
        <v>23</v>
      </c>
      <c r="W373">
        <v>1</v>
      </c>
      <c r="X373">
        <v>2</v>
      </c>
      <c r="Y373">
        <f t="shared" si="806"/>
        <v>5</v>
      </c>
      <c r="Z373">
        <f t="shared" si="807"/>
        <v>13</v>
      </c>
    </row>
    <row r="374" spans="1:26" x14ac:dyDescent="0.4">
      <c r="C374" t="s">
        <v>546</v>
      </c>
      <c r="D374" cm="1">
        <f t="array" ref="D374">INDEX(FX_Input,$R374,$Y374*D$5+$Z374)</f>
        <v>1</v>
      </c>
      <c r="E374" cm="1">
        <f t="array" ref="E374">INDEX(FX_Input,$R374,$Y374*E$5+$Z374)</f>
        <v>1</v>
      </c>
      <c r="F374" cm="1">
        <f t="array" ref="F374">INDEX(FX_Input,$R374,$Y374*F$5+$Z374)</f>
        <v>1</v>
      </c>
      <c r="G374" cm="1">
        <f t="array" ref="G374">INDEX(FX_Input,$R374,$Y374*G$5+$Z374)</f>
        <v>1</v>
      </c>
      <c r="H374" cm="1">
        <f t="array" ref="H374">INDEX(FX_Input,$R374,$Y374*H$5+$Z374)</f>
        <v>1</v>
      </c>
      <c r="I374" cm="1">
        <f t="array" ref="I374">INDEX(FX_Input,$R374,$Y374*I$5+$Z374)</f>
        <v>1</v>
      </c>
      <c r="J374" cm="1">
        <f t="array" ref="J374">INDEX(FX_Input,$R374,$Y374*J$5+$Z374)</f>
        <v>1</v>
      </c>
      <c r="K374" cm="1">
        <f t="array" ref="K374">INDEX(FX_Input,$R374,$Y374*K$5+$Z374)</f>
        <v>1</v>
      </c>
      <c r="L374" cm="1">
        <f t="array" ref="L374">INDEX(FX_Input,$R374,$Y374*L$5+$Z374)</f>
        <v>1</v>
      </c>
      <c r="M374" cm="1">
        <f t="array" ref="M374">INDEX(FX_Input,$R374,$Y374*M$5+$Z374)</f>
        <v>1</v>
      </c>
      <c r="N374" cm="1">
        <f t="array" ref="N374">INDEX(FX_Input,$R374,$Y374*N$5+$Z374)</f>
        <v>1</v>
      </c>
      <c r="O374" cm="1">
        <f t="array" ref="O374">INDEX(FX_Input,$R374,$Y374*O$5+$Z374)</f>
        <v>1</v>
      </c>
      <c r="R374">
        <f>R372</f>
        <v>53</v>
      </c>
      <c r="U374">
        <v>21</v>
      </c>
      <c r="V374">
        <f t="shared" si="808"/>
        <v>26</v>
      </c>
      <c r="W374">
        <v>1</v>
      </c>
      <c r="X374">
        <v>2</v>
      </c>
      <c r="Y374">
        <f t="shared" si="806"/>
        <v>5</v>
      </c>
      <c r="Z374">
        <f t="shared" si="807"/>
        <v>16</v>
      </c>
    </row>
    <row r="375" spans="1:26" x14ac:dyDescent="0.4">
      <c r="C375" t="s">
        <v>547</v>
      </c>
      <c r="D375" cm="1">
        <f t="array" ref="D375">INDEX(FX_Input,$R375,$Y375*D$5+$Z375)</f>
        <v>0</v>
      </c>
      <c r="E375" cm="1">
        <f t="array" ref="E375">INDEX(FX_Input,$R375,$Y375*E$5+$Z375)</f>
        <v>0</v>
      </c>
      <c r="F375" cm="1">
        <f t="array" ref="F375">INDEX(FX_Input,$R375,$Y375*F$5+$Z375)</f>
        <v>0</v>
      </c>
      <c r="G375" cm="1">
        <f t="array" ref="G375">INDEX(FX_Input,$R375,$Y375*G$5+$Z375)</f>
        <v>0</v>
      </c>
      <c r="H375" cm="1">
        <f t="array" ref="H375">INDEX(FX_Input,$R375,$Y375*H$5+$Z375)</f>
        <v>0</v>
      </c>
      <c r="I375" cm="1">
        <f t="array" ref="I375">INDEX(FX_Input,$R375,$Y375*I$5+$Z375)</f>
        <v>0</v>
      </c>
      <c r="J375" cm="1">
        <f t="array" ref="J375">INDEX(FX_Input,$R375,$Y375*J$5+$Z375)</f>
        <v>0</v>
      </c>
      <c r="K375" cm="1">
        <f t="array" ref="K375">INDEX(FX_Input,$R375,$Y375*K$5+$Z375)</f>
        <v>0</v>
      </c>
      <c r="L375" cm="1">
        <f t="array" ref="L375">INDEX(FX_Input,$R375,$Y375*L$5+$Z375)</f>
        <v>0</v>
      </c>
      <c r="M375" cm="1">
        <f t="array" ref="M375">INDEX(FX_Input,$R375,$Y375*M$5+$Z375)</f>
        <v>0</v>
      </c>
      <c r="N375" cm="1">
        <f t="array" ref="N375">INDEX(FX_Input,$R375,$Y375*N$5+$Z375)</f>
        <v>0</v>
      </c>
      <c r="O375" cm="1">
        <f t="array" ref="O375">INDEX(FX_Input,$R375,$Y375*O$5+$Z375)</f>
        <v>0</v>
      </c>
      <c r="R375">
        <f>R373</f>
        <v>54</v>
      </c>
      <c r="U375">
        <f>U374</f>
        <v>21</v>
      </c>
      <c r="V375">
        <f t="shared" si="808"/>
        <v>26</v>
      </c>
      <c r="W375">
        <v>1</v>
      </c>
      <c r="X375">
        <v>2</v>
      </c>
      <c r="Y375">
        <f t="shared" si="806"/>
        <v>5</v>
      </c>
      <c r="Z375">
        <f t="shared" si="807"/>
        <v>16</v>
      </c>
    </row>
    <row r="376" spans="1:26" x14ac:dyDescent="0.4">
      <c r="C376" t="s">
        <v>532</v>
      </c>
      <c r="D376" t="str">
        <f t="shared" ref="D376:O376" si="809">IFERROR(VLOOKUP(D370,Phys_Prop,2,FALSE),0)</f>
        <v>N/A</v>
      </c>
      <c r="E376" t="str">
        <f t="shared" si="809"/>
        <v>N/A</v>
      </c>
      <c r="F376" t="str">
        <f t="shared" si="809"/>
        <v>N/A</v>
      </c>
      <c r="G376" t="str">
        <f t="shared" si="809"/>
        <v>N/A</v>
      </c>
      <c r="H376" t="str">
        <f t="shared" si="809"/>
        <v>N/A</v>
      </c>
      <c r="I376" t="str">
        <f t="shared" si="809"/>
        <v>N/A</v>
      </c>
      <c r="J376" t="str">
        <f t="shared" si="809"/>
        <v>N/A</v>
      </c>
      <c r="K376" t="str">
        <f t="shared" si="809"/>
        <v>N/A</v>
      </c>
      <c r="L376" t="str">
        <f t="shared" si="809"/>
        <v>N/A</v>
      </c>
      <c r="M376" t="str">
        <f t="shared" si="809"/>
        <v>N/A</v>
      </c>
      <c r="N376" t="str">
        <f t="shared" si="809"/>
        <v>N/A</v>
      </c>
      <c r="O376" t="str">
        <f t="shared" si="809"/>
        <v>N/A</v>
      </c>
    </row>
    <row r="377" spans="1:26" x14ac:dyDescent="0.4">
      <c r="C377" t="s">
        <v>533</v>
      </c>
      <c r="D377">
        <f t="shared" ref="D377:O377" si="810">IFERROR(VLOOKUP(D371,Phys_Prop,2,FALSE),0)</f>
        <v>0</v>
      </c>
      <c r="E377">
        <f t="shared" si="810"/>
        <v>0</v>
      </c>
      <c r="F377">
        <f t="shared" si="810"/>
        <v>0</v>
      </c>
      <c r="G377">
        <f t="shared" si="810"/>
        <v>0</v>
      </c>
      <c r="H377">
        <f t="shared" si="810"/>
        <v>0</v>
      </c>
      <c r="I377">
        <f t="shared" si="810"/>
        <v>0</v>
      </c>
      <c r="J377">
        <f t="shared" si="810"/>
        <v>0</v>
      </c>
      <c r="K377">
        <f t="shared" si="810"/>
        <v>0</v>
      </c>
      <c r="L377">
        <f t="shared" si="810"/>
        <v>0</v>
      </c>
      <c r="M377">
        <f t="shared" si="810"/>
        <v>0</v>
      </c>
      <c r="N377">
        <f t="shared" si="810"/>
        <v>0</v>
      </c>
      <c r="O377">
        <f t="shared" si="810"/>
        <v>0</v>
      </c>
    </row>
    <row r="378" spans="1:26" x14ac:dyDescent="0.4">
      <c r="C378" t="s">
        <v>544</v>
      </c>
      <c r="D378">
        <f>IFERROR(IFERROR(D376/D374+D377/D375,D376/D374),0)</f>
        <v>0</v>
      </c>
      <c r="E378">
        <f t="shared" ref="E378" si="811">IFERROR(IFERROR(E376/E374+E377/E375,E376/E374),0)</f>
        <v>0</v>
      </c>
      <c r="F378">
        <f t="shared" ref="F378" si="812">IFERROR(IFERROR(F376/F374+F377/F375,F376/F374),0)</f>
        <v>0</v>
      </c>
      <c r="G378">
        <f t="shared" ref="G378" si="813">IFERROR(IFERROR(G376/G374+G377/G375,G376/G374),0)</f>
        <v>0</v>
      </c>
      <c r="H378">
        <f t="shared" ref="H378" si="814">IFERROR(IFERROR(H376/H374+H377/H375,H376/H374),0)</f>
        <v>0</v>
      </c>
      <c r="I378">
        <f t="shared" ref="I378" si="815">IFERROR(IFERROR(I376/I374+I377/I375,I376/I374),0)</f>
        <v>0</v>
      </c>
      <c r="J378">
        <f t="shared" ref="J378" si="816">IFERROR(IFERROR(J376/J374+J377/J375,J376/J374),0)</f>
        <v>0</v>
      </c>
      <c r="K378">
        <f t="shared" ref="K378" si="817">IFERROR(IFERROR(K376/K374+K377/K375,K376/K374),0)</f>
        <v>0</v>
      </c>
      <c r="L378">
        <f t="shared" ref="L378" si="818">IFERROR(IFERROR(L376/L374+L377/L375,L376/L374),0)</f>
        <v>0</v>
      </c>
      <c r="M378">
        <f t="shared" ref="M378" si="819">IFERROR(IFERROR(M376/M374+M377/M375,M376/M374),0)</f>
        <v>0</v>
      </c>
      <c r="N378">
        <f t="shared" ref="N378" si="820">IFERROR(IFERROR(N376/N374+N377/N375,N376/N374),0)</f>
        <v>0</v>
      </c>
      <c r="O378">
        <f t="shared" ref="O378" si="821">IFERROR(IFERROR(O376/O374+O377/O375,O376/O374),0)</f>
        <v>0</v>
      </c>
    </row>
    <row r="379" spans="1:26" x14ac:dyDescent="0.4">
      <c r="C379" t="s">
        <v>539</v>
      </c>
      <c r="D379">
        <f>IFERROR((D374/D376)*D378,1)</f>
        <v>1</v>
      </c>
      <c r="E379">
        <f t="shared" ref="E379" si="822">IFERROR((E374/E376)*E378,1)</f>
        <v>1</v>
      </c>
      <c r="F379">
        <f t="shared" ref="F379" si="823">IFERROR((F374/F376)*F378,1)</f>
        <v>1</v>
      </c>
      <c r="G379">
        <f t="shared" ref="G379" si="824">IFERROR((G374/G376)*G378,1)</f>
        <v>1</v>
      </c>
      <c r="H379">
        <f t="shared" ref="H379" si="825">IFERROR((H374/H376)*H378,1)</f>
        <v>1</v>
      </c>
      <c r="I379">
        <f t="shared" ref="I379" si="826">IFERROR((I374/I376)*I378,1)</f>
        <v>1</v>
      </c>
      <c r="J379">
        <f t="shared" ref="J379" si="827">IFERROR((J374/J376)*J378,1)</f>
        <v>1</v>
      </c>
      <c r="K379">
        <f t="shared" ref="K379" si="828">IFERROR((K374/K376)*K378,1)</f>
        <v>1</v>
      </c>
      <c r="L379">
        <f t="shared" ref="L379" si="829">IFERROR((L374/L376)*L378,1)</f>
        <v>1</v>
      </c>
      <c r="M379">
        <f t="shared" ref="M379" si="830">IFERROR((M374/M376)*M378,1)</f>
        <v>1</v>
      </c>
      <c r="N379">
        <f t="shared" ref="N379" si="831">IFERROR((N374/N376)*N378,1)</f>
        <v>1</v>
      </c>
      <c r="O379">
        <f t="shared" ref="O379" si="832">IFERROR((O374/O376)*O378,1)</f>
        <v>1</v>
      </c>
    </row>
    <row r="380" spans="1:26" x14ac:dyDescent="0.4">
      <c r="C380" t="s">
        <v>540</v>
      </c>
      <c r="D380">
        <f>IFERROR((D375/D377)*D378,0)</f>
        <v>0</v>
      </c>
      <c r="E380">
        <f t="shared" ref="E380:O380" si="833">IFERROR((E375/E377)*E378,0)</f>
        <v>0</v>
      </c>
      <c r="F380">
        <f t="shared" si="833"/>
        <v>0</v>
      </c>
      <c r="G380">
        <f t="shared" si="833"/>
        <v>0</v>
      </c>
      <c r="H380">
        <f t="shared" si="833"/>
        <v>0</v>
      </c>
      <c r="I380">
        <f t="shared" si="833"/>
        <v>0</v>
      </c>
      <c r="J380">
        <f t="shared" si="833"/>
        <v>0</v>
      </c>
      <c r="K380">
        <f t="shared" si="833"/>
        <v>0</v>
      </c>
      <c r="L380">
        <f t="shared" si="833"/>
        <v>0</v>
      </c>
      <c r="M380">
        <f t="shared" si="833"/>
        <v>0</v>
      </c>
      <c r="N380">
        <f t="shared" si="833"/>
        <v>0</v>
      </c>
      <c r="O380">
        <f t="shared" si="833"/>
        <v>0</v>
      </c>
    </row>
    <row r="381" spans="1:26" x14ac:dyDescent="0.4">
      <c r="C381" s="21" t="s">
        <v>534</v>
      </c>
      <c r="D381" t="str">
        <f t="shared" ref="D381:O381" si="834">IFERROR(VLOOKUP(D370,Phys_Prop,4,FALSE),0)</f>
        <v>N/A</v>
      </c>
      <c r="E381" t="str">
        <f t="shared" si="834"/>
        <v>N/A</v>
      </c>
      <c r="F381" t="str">
        <f t="shared" si="834"/>
        <v>N/A</v>
      </c>
      <c r="G381" t="str">
        <f t="shared" si="834"/>
        <v>N/A</v>
      </c>
      <c r="H381" t="str">
        <f t="shared" si="834"/>
        <v>N/A</v>
      </c>
      <c r="I381" t="str">
        <f t="shared" si="834"/>
        <v>N/A</v>
      </c>
      <c r="J381" t="str">
        <f t="shared" si="834"/>
        <v>N/A</v>
      </c>
      <c r="K381" t="str">
        <f t="shared" si="834"/>
        <v>N/A</v>
      </c>
      <c r="L381" t="str">
        <f t="shared" si="834"/>
        <v>N/A</v>
      </c>
      <c r="M381" t="str">
        <f t="shared" si="834"/>
        <v>N/A</v>
      </c>
      <c r="N381" t="str">
        <f t="shared" si="834"/>
        <v>N/A</v>
      </c>
      <c r="O381" t="str">
        <f t="shared" si="834"/>
        <v>N/A</v>
      </c>
    </row>
    <row r="382" spans="1:26" x14ac:dyDescent="0.4">
      <c r="C382" s="21" t="s">
        <v>535</v>
      </c>
      <c r="D382">
        <f t="shared" ref="D382:O382" si="835">IFERROR(VLOOKUP(D371,Phys_Prop,4,FALSE),0)</f>
        <v>0</v>
      </c>
      <c r="E382">
        <f t="shared" si="835"/>
        <v>0</v>
      </c>
      <c r="F382">
        <f t="shared" si="835"/>
        <v>0</v>
      </c>
      <c r="G382">
        <f t="shared" si="835"/>
        <v>0</v>
      </c>
      <c r="H382">
        <f t="shared" si="835"/>
        <v>0</v>
      </c>
      <c r="I382">
        <f t="shared" si="835"/>
        <v>0</v>
      </c>
      <c r="J382">
        <f t="shared" si="835"/>
        <v>0</v>
      </c>
      <c r="K382">
        <f t="shared" si="835"/>
        <v>0</v>
      </c>
      <c r="L382">
        <f t="shared" si="835"/>
        <v>0</v>
      </c>
      <c r="M382">
        <f t="shared" si="835"/>
        <v>0</v>
      </c>
      <c r="N382">
        <f t="shared" si="835"/>
        <v>0</v>
      </c>
      <c r="O382">
        <f t="shared" si="835"/>
        <v>0</v>
      </c>
    </row>
    <row r="383" spans="1:26" x14ac:dyDescent="0.4">
      <c r="A383" s="11"/>
      <c r="B383" s="11"/>
      <c r="C383" s="62" t="s">
        <v>536</v>
      </c>
      <c r="D383" s="11" t="str">
        <f>IFERROR(1/(D379/D381+D380/D382),D381)</f>
        <v>N/A</v>
      </c>
      <c r="E383" s="11" t="str">
        <f t="shared" ref="E383:O383" si="836">IFERROR(1/(E379/E381+E380/E382),E381)</f>
        <v>N/A</v>
      </c>
      <c r="F383" s="11" t="str">
        <f t="shared" si="836"/>
        <v>N/A</v>
      </c>
      <c r="G383" s="11" t="str">
        <f t="shared" si="836"/>
        <v>N/A</v>
      </c>
      <c r="H383" s="11" t="str">
        <f t="shared" si="836"/>
        <v>N/A</v>
      </c>
      <c r="I383" s="11" t="str">
        <f t="shared" si="836"/>
        <v>N/A</v>
      </c>
      <c r="J383" s="11" t="str">
        <f t="shared" si="836"/>
        <v>N/A</v>
      </c>
      <c r="K383" s="11" t="str">
        <f t="shared" si="836"/>
        <v>N/A</v>
      </c>
      <c r="L383" s="11" t="str">
        <f t="shared" si="836"/>
        <v>N/A</v>
      </c>
      <c r="M383" s="11" t="str">
        <f t="shared" si="836"/>
        <v>N/A</v>
      </c>
      <c r="N383" s="11" t="str">
        <f t="shared" si="836"/>
        <v>N/A</v>
      </c>
      <c r="O383" s="11" t="str">
        <f t="shared" si="836"/>
        <v>N/A</v>
      </c>
      <c r="P383" s="11"/>
      <c r="Q383" s="11"/>
      <c r="R383" s="11"/>
      <c r="S383" s="11"/>
      <c r="T383" s="11"/>
      <c r="U383" s="11"/>
      <c r="V383" s="11"/>
      <c r="W383" s="11"/>
      <c r="X383" s="11"/>
      <c r="Y383" s="11"/>
      <c r="Z383" s="11"/>
    </row>
    <row r="384" spans="1:26" x14ac:dyDescent="0.4">
      <c r="A384" t="str" cm="1">
        <f t="array" ref="A384">INDEX(FX_Input,R384,S384)</f>
        <v>FX - 28</v>
      </c>
      <c r="B384" t="str" cm="1">
        <f t="array" ref="B384">INDEX(FX_Input,R384,T384)</f>
        <v>Portland</v>
      </c>
      <c r="C384" t="s">
        <v>528</v>
      </c>
      <c r="D384" t="str" cm="1">
        <f t="array" ref="D384">INDEX(FX_Input,$R384,$Y384*D$5+$Z384)</f>
        <v>Out of Service</v>
      </c>
      <c r="E384" t="str" cm="1">
        <f t="array" ref="E384">INDEX(FX_Input,$R384,$Y384*E$5+$Z384)</f>
        <v>Out of Service</v>
      </c>
      <c r="F384" t="str" cm="1">
        <f t="array" ref="F384">INDEX(FX_Input,$R384,$Y384*F$5+$Z384)</f>
        <v>Out of Service</v>
      </c>
      <c r="G384" t="str" cm="1">
        <f t="array" ref="G384">INDEX(FX_Input,$R384,$Y384*G$5+$Z384)</f>
        <v>Out of Service</v>
      </c>
      <c r="H384" t="str" cm="1">
        <f t="array" ref="H384">INDEX(FX_Input,$R384,$Y384*H$5+$Z384)</f>
        <v>Out of Service</v>
      </c>
      <c r="I384" t="str" cm="1">
        <f t="array" ref="I384">INDEX(FX_Input,$R384,$Y384*I$5+$Z384)</f>
        <v>Out of Service</v>
      </c>
      <c r="J384" t="str" cm="1">
        <f t="array" ref="J384">INDEX(FX_Input,$R384,$Y384*J$5+$Z384)</f>
        <v>Out of Service</v>
      </c>
      <c r="K384" t="str" cm="1">
        <f t="array" ref="K384">INDEX(FX_Input,$R384,$Y384*K$5+$Z384)</f>
        <v>Out of Service</v>
      </c>
      <c r="L384" t="str" cm="1">
        <f t="array" ref="L384">INDEX(FX_Input,$R384,$Y384*L$5+$Z384)</f>
        <v>Out of Service</v>
      </c>
      <c r="M384" t="str" cm="1">
        <f t="array" ref="M384">INDEX(FX_Input,$R384,$Y384*M$5+$Z384)</f>
        <v>Out of Service</v>
      </c>
      <c r="N384" t="str" cm="1">
        <f t="array" ref="N384">INDEX(FX_Input,$R384,$Y384*N$5+$Z384)</f>
        <v>Out of Service</v>
      </c>
      <c r="O384" t="str" cm="1">
        <f t="array" ref="O384">INDEX(FX_Input,$R384,$Y384*O$5+$Z384)</f>
        <v>Out of Service</v>
      </c>
      <c r="R384">
        <f>R370+2</f>
        <v>55</v>
      </c>
      <c r="S384">
        <v>1</v>
      </c>
      <c r="T384">
        <v>3</v>
      </c>
      <c r="U384">
        <v>17</v>
      </c>
      <c r="V384">
        <f>U384+5</f>
        <v>22</v>
      </c>
      <c r="W384">
        <v>1</v>
      </c>
      <c r="X384">
        <v>2</v>
      </c>
      <c r="Y384">
        <f t="shared" ref="Y384:Y389" si="837">(V384-U384)/(X384-W384)</f>
        <v>5</v>
      </c>
      <c r="Z384">
        <f t="shared" ref="Z384:Z389" si="838">U384-Y384*W384</f>
        <v>12</v>
      </c>
    </row>
    <row r="385" spans="1:26" x14ac:dyDescent="0.4">
      <c r="C385" t="s">
        <v>529</v>
      </c>
      <c r="D385" cm="1">
        <f t="array" ref="D385">INDEX(FX_Input,$R385,$Y385*D$5+$Z385)</f>
        <v>0</v>
      </c>
      <c r="E385" cm="1">
        <f t="array" ref="E385">INDEX(FX_Input,$R385,$Y385*E$5+$Z385)</f>
        <v>0</v>
      </c>
      <c r="F385" cm="1">
        <f t="array" ref="F385">INDEX(FX_Input,$R385,$Y385*F$5+$Z385)</f>
        <v>0</v>
      </c>
      <c r="G385" cm="1">
        <f t="array" ref="G385">INDEX(FX_Input,$R385,$Y385*G$5+$Z385)</f>
        <v>0</v>
      </c>
      <c r="H385" cm="1">
        <f t="array" ref="H385">INDEX(FX_Input,$R385,$Y385*H$5+$Z385)</f>
        <v>0</v>
      </c>
      <c r="I385" cm="1">
        <f t="array" ref="I385">INDEX(FX_Input,$R385,$Y385*I$5+$Z385)</f>
        <v>0</v>
      </c>
      <c r="J385" cm="1">
        <f t="array" ref="J385">INDEX(FX_Input,$R385,$Y385*J$5+$Z385)</f>
        <v>0</v>
      </c>
      <c r="K385" cm="1">
        <f t="array" ref="K385">INDEX(FX_Input,$R385,$Y385*K$5+$Z385)</f>
        <v>0</v>
      </c>
      <c r="L385" cm="1">
        <f t="array" ref="L385">INDEX(FX_Input,$R385,$Y385*L$5+$Z385)</f>
        <v>0</v>
      </c>
      <c r="M385" cm="1">
        <f t="array" ref="M385">INDEX(FX_Input,$R385,$Y385*M$5+$Z385)</f>
        <v>0</v>
      </c>
      <c r="N385" cm="1">
        <f t="array" ref="N385">INDEX(FX_Input,$R385,$Y385*N$5+$Z385)</f>
        <v>0</v>
      </c>
      <c r="O385" cm="1">
        <f t="array" ref="O385">INDEX(FX_Input,$R385,$Y385*O$5+$Z385)</f>
        <v>0</v>
      </c>
      <c r="R385">
        <f>R384+1</f>
        <v>56</v>
      </c>
      <c r="U385">
        <f>U384</f>
        <v>17</v>
      </c>
      <c r="V385">
        <f t="shared" ref="V385:V389" si="839">U385+5</f>
        <v>22</v>
      </c>
      <c r="W385">
        <v>1</v>
      </c>
      <c r="X385">
        <v>2</v>
      </c>
      <c r="Y385">
        <f t="shared" si="837"/>
        <v>5</v>
      </c>
      <c r="Z385">
        <f t="shared" si="838"/>
        <v>12</v>
      </c>
    </row>
    <row r="386" spans="1:26" x14ac:dyDescent="0.4">
      <c r="C386" t="s">
        <v>530</v>
      </c>
      <c r="D386" t="str" cm="1">
        <f t="array" ref="D386">INDEX(FX_Input,$R386,$Y386*D$5+$Z386)</f>
        <v>N/A</v>
      </c>
      <c r="E386" t="str" cm="1">
        <f t="array" ref="E386">INDEX(FX_Input,$R386,$Y386*E$5+$Z386)</f>
        <v>N/A</v>
      </c>
      <c r="F386" t="str" cm="1">
        <f t="array" ref="F386">INDEX(FX_Input,$R386,$Y386*F$5+$Z386)</f>
        <v>N/A</v>
      </c>
      <c r="G386" t="str" cm="1">
        <f t="array" ref="G386">INDEX(FX_Input,$R386,$Y386*G$5+$Z386)</f>
        <v>N/A</v>
      </c>
      <c r="H386" t="str" cm="1">
        <f t="array" ref="H386">INDEX(FX_Input,$R386,$Y386*H$5+$Z386)</f>
        <v>N/A</v>
      </c>
      <c r="I386" t="str" cm="1">
        <f t="array" ref="I386">INDEX(FX_Input,$R386,$Y386*I$5+$Z386)</f>
        <v>N/A</v>
      </c>
      <c r="J386" t="str" cm="1">
        <f t="array" ref="J386">INDEX(FX_Input,$R386,$Y386*J$5+$Z386)</f>
        <v>N/A</v>
      </c>
      <c r="K386" t="str" cm="1">
        <f t="array" ref="K386">INDEX(FX_Input,$R386,$Y386*K$5+$Z386)</f>
        <v>N/A</v>
      </c>
      <c r="L386" t="str" cm="1">
        <f t="array" ref="L386">INDEX(FX_Input,$R386,$Y386*L$5+$Z386)</f>
        <v>N/A</v>
      </c>
      <c r="M386" t="str" cm="1">
        <f t="array" ref="M386">INDEX(FX_Input,$R386,$Y386*M$5+$Z386)</f>
        <v>N/A</v>
      </c>
      <c r="N386" t="str" cm="1">
        <f t="array" ref="N386">INDEX(FX_Input,$R386,$Y386*N$5+$Z386)</f>
        <v>N/A</v>
      </c>
      <c r="O386" t="str" cm="1">
        <f t="array" ref="O386">INDEX(FX_Input,$R386,$Y386*O$5+$Z386)</f>
        <v>N/A</v>
      </c>
      <c r="R386">
        <f>R384</f>
        <v>55</v>
      </c>
      <c r="U386">
        <v>18</v>
      </c>
      <c r="V386">
        <f t="shared" si="839"/>
        <v>23</v>
      </c>
      <c r="W386">
        <v>1</v>
      </c>
      <c r="X386">
        <v>2</v>
      </c>
      <c r="Y386">
        <f t="shared" si="837"/>
        <v>5</v>
      </c>
      <c r="Z386">
        <f t="shared" si="838"/>
        <v>13</v>
      </c>
    </row>
    <row r="387" spans="1:26" x14ac:dyDescent="0.4">
      <c r="C387" t="s">
        <v>531</v>
      </c>
      <c r="D387" cm="1">
        <f t="array" ref="D387">INDEX(FX_Input,$R387,$Y387*D$5+$Z387)</f>
        <v>0</v>
      </c>
      <c r="E387" cm="1">
        <f t="array" ref="E387">INDEX(FX_Input,$R387,$Y387*E$5+$Z387)</f>
        <v>0</v>
      </c>
      <c r="F387" cm="1">
        <f t="array" ref="F387">INDEX(FX_Input,$R387,$Y387*F$5+$Z387)</f>
        <v>0</v>
      </c>
      <c r="G387" cm="1">
        <f t="array" ref="G387">INDEX(FX_Input,$R387,$Y387*G$5+$Z387)</f>
        <v>0</v>
      </c>
      <c r="H387" cm="1">
        <f t="array" ref="H387">INDEX(FX_Input,$R387,$Y387*H$5+$Z387)</f>
        <v>0</v>
      </c>
      <c r="I387" cm="1">
        <f t="array" ref="I387">INDEX(FX_Input,$R387,$Y387*I$5+$Z387)</f>
        <v>0</v>
      </c>
      <c r="J387" cm="1">
        <f t="array" ref="J387">INDEX(FX_Input,$R387,$Y387*J$5+$Z387)</f>
        <v>0</v>
      </c>
      <c r="K387" cm="1">
        <f t="array" ref="K387">INDEX(FX_Input,$R387,$Y387*K$5+$Z387)</f>
        <v>0</v>
      </c>
      <c r="L387" cm="1">
        <f t="array" ref="L387">INDEX(FX_Input,$R387,$Y387*L$5+$Z387)</f>
        <v>0</v>
      </c>
      <c r="M387" cm="1">
        <f t="array" ref="M387">INDEX(FX_Input,$R387,$Y387*M$5+$Z387)</f>
        <v>0</v>
      </c>
      <c r="N387" cm="1">
        <f t="array" ref="N387">INDEX(FX_Input,$R387,$Y387*N$5+$Z387)</f>
        <v>0</v>
      </c>
      <c r="O387" cm="1">
        <f t="array" ref="O387">INDEX(FX_Input,$R387,$Y387*O$5+$Z387)</f>
        <v>0</v>
      </c>
      <c r="R387">
        <f>R385</f>
        <v>56</v>
      </c>
      <c r="U387">
        <f>U386</f>
        <v>18</v>
      </c>
      <c r="V387">
        <f t="shared" si="839"/>
        <v>23</v>
      </c>
      <c r="W387">
        <v>1</v>
      </c>
      <c r="X387">
        <v>2</v>
      </c>
      <c r="Y387">
        <f t="shared" si="837"/>
        <v>5</v>
      </c>
      <c r="Z387">
        <f t="shared" si="838"/>
        <v>13</v>
      </c>
    </row>
    <row r="388" spans="1:26" x14ac:dyDescent="0.4">
      <c r="C388" t="s">
        <v>546</v>
      </c>
      <c r="D388" cm="1">
        <f t="array" ref="D388">INDEX(FX_Input,$R388,$Y388*D$5+$Z388)</f>
        <v>1</v>
      </c>
      <c r="E388" cm="1">
        <f t="array" ref="E388">INDEX(FX_Input,$R388,$Y388*E$5+$Z388)</f>
        <v>1</v>
      </c>
      <c r="F388" cm="1">
        <f t="array" ref="F388">INDEX(FX_Input,$R388,$Y388*F$5+$Z388)</f>
        <v>1</v>
      </c>
      <c r="G388" cm="1">
        <f t="array" ref="G388">INDEX(FX_Input,$R388,$Y388*G$5+$Z388)</f>
        <v>1</v>
      </c>
      <c r="H388" cm="1">
        <f t="array" ref="H388">INDEX(FX_Input,$R388,$Y388*H$5+$Z388)</f>
        <v>1</v>
      </c>
      <c r="I388" cm="1">
        <f t="array" ref="I388">INDEX(FX_Input,$R388,$Y388*I$5+$Z388)</f>
        <v>1</v>
      </c>
      <c r="J388" cm="1">
        <f t="array" ref="J388">INDEX(FX_Input,$R388,$Y388*J$5+$Z388)</f>
        <v>1</v>
      </c>
      <c r="K388" cm="1">
        <f t="array" ref="K388">INDEX(FX_Input,$R388,$Y388*K$5+$Z388)</f>
        <v>1</v>
      </c>
      <c r="L388" cm="1">
        <f t="array" ref="L388">INDEX(FX_Input,$R388,$Y388*L$5+$Z388)</f>
        <v>1</v>
      </c>
      <c r="M388" cm="1">
        <f t="array" ref="M388">INDEX(FX_Input,$R388,$Y388*M$5+$Z388)</f>
        <v>1</v>
      </c>
      <c r="N388" cm="1">
        <f t="array" ref="N388">INDEX(FX_Input,$R388,$Y388*N$5+$Z388)</f>
        <v>1</v>
      </c>
      <c r="O388" cm="1">
        <f t="array" ref="O388">INDEX(FX_Input,$R388,$Y388*O$5+$Z388)</f>
        <v>1</v>
      </c>
      <c r="R388">
        <f>R386</f>
        <v>55</v>
      </c>
      <c r="U388">
        <v>21</v>
      </c>
      <c r="V388">
        <f t="shared" si="839"/>
        <v>26</v>
      </c>
      <c r="W388">
        <v>1</v>
      </c>
      <c r="X388">
        <v>2</v>
      </c>
      <c r="Y388">
        <f t="shared" si="837"/>
        <v>5</v>
      </c>
      <c r="Z388">
        <f t="shared" si="838"/>
        <v>16</v>
      </c>
    </row>
    <row r="389" spans="1:26" x14ac:dyDescent="0.4">
      <c r="C389" t="s">
        <v>547</v>
      </c>
      <c r="D389" cm="1">
        <f t="array" ref="D389">INDEX(FX_Input,$R389,$Y389*D$5+$Z389)</f>
        <v>0</v>
      </c>
      <c r="E389" cm="1">
        <f t="array" ref="E389">INDEX(FX_Input,$R389,$Y389*E$5+$Z389)</f>
        <v>0</v>
      </c>
      <c r="F389" cm="1">
        <f t="array" ref="F389">INDEX(FX_Input,$R389,$Y389*F$5+$Z389)</f>
        <v>0</v>
      </c>
      <c r="G389" cm="1">
        <f t="array" ref="G389">INDEX(FX_Input,$R389,$Y389*G$5+$Z389)</f>
        <v>0</v>
      </c>
      <c r="H389" cm="1">
        <f t="array" ref="H389">INDEX(FX_Input,$R389,$Y389*H$5+$Z389)</f>
        <v>0</v>
      </c>
      <c r="I389" cm="1">
        <f t="array" ref="I389">INDEX(FX_Input,$R389,$Y389*I$5+$Z389)</f>
        <v>0</v>
      </c>
      <c r="J389" cm="1">
        <f t="array" ref="J389">INDEX(FX_Input,$R389,$Y389*J$5+$Z389)</f>
        <v>0</v>
      </c>
      <c r="K389" cm="1">
        <f t="array" ref="K389">INDEX(FX_Input,$R389,$Y389*K$5+$Z389)</f>
        <v>0</v>
      </c>
      <c r="L389" cm="1">
        <f t="array" ref="L389">INDEX(FX_Input,$R389,$Y389*L$5+$Z389)</f>
        <v>0</v>
      </c>
      <c r="M389" cm="1">
        <f t="array" ref="M389">INDEX(FX_Input,$R389,$Y389*M$5+$Z389)</f>
        <v>0</v>
      </c>
      <c r="N389" cm="1">
        <f t="array" ref="N389">INDEX(FX_Input,$R389,$Y389*N$5+$Z389)</f>
        <v>0</v>
      </c>
      <c r="O389" cm="1">
        <f t="array" ref="O389">INDEX(FX_Input,$R389,$Y389*O$5+$Z389)</f>
        <v>0</v>
      </c>
      <c r="R389">
        <f>R387</f>
        <v>56</v>
      </c>
      <c r="U389">
        <f>U388</f>
        <v>21</v>
      </c>
      <c r="V389">
        <f t="shared" si="839"/>
        <v>26</v>
      </c>
      <c r="W389">
        <v>1</v>
      </c>
      <c r="X389">
        <v>2</v>
      </c>
      <c r="Y389">
        <f t="shared" si="837"/>
        <v>5</v>
      </c>
      <c r="Z389">
        <f t="shared" si="838"/>
        <v>16</v>
      </c>
    </row>
    <row r="390" spans="1:26" x14ac:dyDescent="0.4">
      <c r="C390" t="s">
        <v>532</v>
      </c>
      <c r="D390" t="str">
        <f t="shared" ref="D390:O390" si="840">IFERROR(VLOOKUP(D384,Phys_Prop,2,FALSE),0)</f>
        <v>N/A</v>
      </c>
      <c r="E390" t="str">
        <f t="shared" si="840"/>
        <v>N/A</v>
      </c>
      <c r="F390" t="str">
        <f t="shared" si="840"/>
        <v>N/A</v>
      </c>
      <c r="G390" t="str">
        <f t="shared" si="840"/>
        <v>N/A</v>
      </c>
      <c r="H390" t="str">
        <f t="shared" si="840"/>
        <v>N/A</v>
      </c>
      <c r="I390" t="str">
        <f t="shared" si="840"/>
        <v>N/A</v>
      </c>
      <c r="J390" t="str">
        <f t="shared" si="840"/>
        <v>N/A</v>
      </c>
      <c r="K390" t="str">
        <f t="shared" si="840"/>
        <v>N/A</v>
      </c>
      <c r="L390" t="str">
        <f t="shared" si="840"/>
        <v>N/A</v>
      </c>
      <c r="M390" t="str">
        <f t="shared" si="840"/>
        <v>N/A</v>
      </c>
      <c r="N390" t="str">
        <f t="shared" si="840"/>
        <v>N/A</v>
      </c>
      <c r="O390" t="str">
        <f t="shared" si="840"/>
        <v>N/A</v>
      </c>
    </row>
    <row r="391" spans="1:26" x14ac:dyDescent="0.4">
      <c r="C391" t="s">
        <v>533</v>
      </c>
      <c r="D391">
        <f t="shared" ref="D391:O391" si="841">IFERROR(VLOOKUP(D385,Phys_Prop,2,FALSE),0)</f>
        <v>0</v>
      </c>
      <c r="E391">
        <f t="shared" si="841"/>
        <v>0</v>
      </c>
      <c r="F391">
        <f t="shared" si="841"/>
        <v>0</v>
      </c>
      <c r="G391">
        <f t="shared" si="841"/>
        <v>0</v>
      </c>
      <c r="H391">
        <f t="shared" si="841"/>
        <v>0</v>
      </c>
      <c r="I391">
        <f t="shared" si="841"/>
        <v>0</v>
      </c>
      <c r="J391">
        <f t="shared" si="841"/>
        <v>0</v>
      </c>
      <c r="K391">
        <f t="shared" si="841"/>
        <v>0</v>
      </c>
      <c r="L391">
        <f t="shared" si="841"/>
        <v>0</v>
      </c>
      <c r="M391">
        <f t="shared" si="841"/>
        <v>0</v>
      </c>
      <c r="N391">
        <f t="shared" si="841"/>
        <v>0</v>
      </c>
      <c r="O391">
        <f t="shared" si="841"/>
        <v>0</v>
      </c>
    </row>
    <row r="392" spans="1:26" x14ac:dyDescent="0.4">
      <c r="C392" t="s">
        <v>544</v>
      </c>
      <c r="D392">
        <f>IFERROR(IFERROR(D390/D388+D391/D389,D390/D388),0)</f>
        <v>0</v>
      </c>
      <c r="E392">
        <f t="shared" ref="E392" si="842">IFERROR(IFERROR(E390/E388+E391/E389,E390/E388),0)</f>
        <v>0</v>
      </c>
      <c r="F392">
        <f t="shared" ref="F392" si="843">IFERROR(IFERROR(F390/F388+F391/F389,F390/F388),0)</f>
        <v>0</v>
      </c>
      <c r="G392">
        <f t="shared" ref="G392" si="844">IFERROR(IFERROR(G390/G388+G391/G389,G390/G388),0)</f>
        <v>0</v>
      </c>
      <c r="H392">
        <f t="shared" ref="H392" si="845">IFERROR(IFERROR(H390/H388+H391/H389,H390/H388),0)</f>
        <v>0</v>
      </c>
      <c r="I392">
        <f t="shared" ref="I392" si="846">IFERROR(IFERROR(I390/I388+I391/I389,I390/I388),0)</f>
        <v>0</v>
      </c>
      <c r="J392">
        <f t="shared" ref="J392" si="847">IFERROR(IFERROR(J390/J388+J391/J389,J390/J388),0)</f>
        <v>0</v>
      </c>
      <c r="K392">
        <f t="shared" ref="K392" si="848">IFERROR(IFERROR(K390/K388+K391/K389,K390/K388),0)</f>
        <v>0</v>
      </c>
      <c r="L392">
        <f t="shared" ref="L392" si="849">IFERROR(IFERROR(L390/L388+L391/L389,L390/L388),0)</f>
        <v>0</v>
      </c>
      <c r="M392">
        <f t="shared" ref="M392" si="850">IFERROR(IFERROR(M390/M388+M391/M389,M390/M388),0)</f>
        <v>0</v>
      </c>
      <c r="N392">
        <f t="shared" ref="N392" si="851">IFERROR(IFERROR(N390/N388+N391/N389,N390/N388),0)</f>
        <v>0</v>
      </c>
      <c r="O392">
        <f t="shared" ref="O392" si="852">IFERROR(IFERROR(O390/O388+O391/O389,O390/O388),0)</f>
        <v>0</v>
      </c>
    </row>
    <row r="393" spans="1:26" x14ac:dyDescent="0.4">
      <c r="C393" t="s">
        <v>539</v>
      </c>
      <c r="D393">
        <f>IFERROR((D388/D390)*D392,1)</f>
        <v>1</v>
      </c>
      <c r="E393">
        <f t="shared" ref="E393" si="853">IFERROR((E388/E390)*E392,1)</f>
        <v>1</v>
      </c>
      <c r="F393">
        <f t="shared" ref="F393" si="854">IFERROR((F388/F390)*F392,1)</f>
        <v>1</v>
      </c>
      <c r="G393">
        <f t="shared" ref="G393" si="855">IFERROR((G388/G390)*G392,1)</f>
        <v>1</v>
      </c>
      <c r="H393">
        <f t="shared" ref="H393" si="856">IFERROR((H388/H390)*H392,1)</f>
        <v>1</v>
      </c>
      <c r="I393">
        <f t="shared" ref="I393" si="857">IFERROR((I388/I390)*I392,1)</f>
        <v>1</v>
      </c>
      <c r="J393">
        <f t="shared" ref="J393" si="858">IFERROR((J388/J390)*J392,1)</f>
        <v>1</v>
      </c>
      <c r="K393">
        <f t="shared" ref="K393" si="859">IFERROR((K388/K390)*K392,1)</f>
        <v>1</v>
      </c>
      <c r="L393">
        <f t="shared" ref="L393" si="860">IFERROR((L388/L390)*L392,1)</f>
        <v>1</v>
      </c>
      <c r="M393">
        <f t="shared" ref="M393" si="861">IFERROR((M388/M390)*M392,1)</f>
        <v>1</v>
      </c>
      <c r="N393">
        <f t="shared" ref="N393" si="862">IFERROR((N388/N390)*N392,1)</f>
        <v>1</v>
      </c>
      <c r="O393">
        <f t="shared" ref="O393" si="863">IFERROR((O388/O390)*O392,1)</f>
        <v>1</v>
      </c>
    </row>
    <row r="394" spans="1:26" x14ac:dyDescent="0.4">
      <c r="C394" t="s">
        <v>540</v>
      </c>
      <c r="D394">
        <f>IFERROR((D389/D391)*D392,0)</f>
        <v>0</v>
      </c>
      <c r="E394">
        <f t="shared" ref="E394:O394" si="864">IFERROR((E389/E391)*E392,0)</f>
        <v>0</v>
      </c>
      <c r="F394">
        <f t="shared" si="864"/>
        <v>0</v>
      </c>
      <c r="G394">
        <f t="shared" si="864"/>
        <v>0</v>
      </c>
      <c r="H394">
        <f t="shared" si="864"/>
        <v>0</v>
      </c>
      <c r="I394">
        <f t="shared" si="864"/>
        <v>0</v>
      </c>
      <c r="J394">
        <f t="shared" si="864"/>
        <v>0</v>
      </c>
      <c r="K394">
        <f t="shared" si="864"/>
        <v>0</v>
      </c>
      <c r="L394">
        <f t="shared" si="864"/>
        <v>0</v>
      </c>
      <c r="M394">
        <f t="shared" si="864"/>
        <v>0</v>
      </c>
      <c r="N394">
        <f t="shared" si="864"/>
        <v>0</v>
      </c>
      <c r="O394">
        <f t="shared" si="864"/>
        <v>0</v>
      </c>
    </row>
    <row r="395" spans="1:26" x14ac:dyDescent="0.4">
      <c r="C395" s="21" t="s">
        <v>534</v>
      </c>
      <c r="D395" t="str">
        <f t="shared" ref="D395:O395" si="865">IFERROR(VLOOKUP(D384,Phys_Prop,4,FALSE),0)</f>
        <v>N/A</v>
      </c>
      <c r="E395" t="str">
        <f t="shared" si="865"/>
        <v>N/A</v>
      </c>
      <c r="F395" t="str">
        <f t="shared" si="865"/>
        <v>N/A</v>
      </c>
      <c r="G395" t="str">
        <f t="shared" si="865"/>
        <v>N/A</v>
      </c>
      <c r="H395" t="str">
        <f t="shared" si="865"/>
        <v>N/A</v>
      </c>
      <c r="I395" t="str">
        <f t="shared" si="865"/>
        <v>N/A</v>
      </c>
      <c r="J395" t="str">
        <f t="shared" si="865"/>
        <v>N/A</v>
      </c>
      <c r="K395" t="str">
        <f t="shared" si="865"/>
        <v>N/A</v>
      </c>
      <c r="L395" t="str">
        <f t="shared" si="865"/>
        <v>N/A</v>
      </c>
      <c r="M395" t="str">
        <f t="shared" si="865"/>
        <v>N/A</v>
      </c>
      <c r="N395" t="str">
        <f t="shared" si="865"/>
        <v>N/A</v>
      </c>
      <c r="O395" t="str">
        <f t="shared" si="865"/>
        <v>N/A</v>
      </c>
    </row>
    <row r="396" spans="1:26" x14ac:dyDescent="0.4">
      <c r="C396" s="21" t="s">
        <v>535</v>
      </c>
      <c r="D396">
        <f t="shared" ref="D396:O396" si="866">IFERROR(VLOOKUP(D385,Phys_Prop,4,FALSE),0)</f>
        <v>0</v>
      </c>
      <c r="E396">
        <f t="shared" si="866"/>
        <v>0</v>
      </c>
      <c r="F396">
        <f t="shared" si="866"/>
        <v>0</v>
      </c>
      <c r="G396">
        <f t="shared" si="866"/>
        <v>0</v>
      </c>
      <c r="H396">
        <f t="shared" si="866"/>
        <v>0</v>
      </c>
      <c r="I396">
        <f t="shared" si="866"/>
        <v>0</v>
      </c>
      <c r="J396">
        <f t="shared" si="866"/>
        <v>0</v>
      </c>
      <c r="K396">
        <f t="shared" si="866"/>
        <v>0</v>
      </c>
      <c r="L396">
        <f t="shared" si="866"/>
        <v>0</v>
      </c>
      <c r="M396">
        <f t="shared" si="866"/>
        <v>0</v>
      </c>
      <c r="N396">
        <f t="shared" si="866"/>
        <v>0</v>
      </c>
      <c r="O396">
        <f t="shared" si="866"/>
        <v>0</v>
      </c>
    </row>
    <row r="397" spans="1:26" x14ac:dyDescent="0.4">
      <c r="A397" s="11"/>
      <c r="B397" s="11"/>
      <c r="C397" s="62" t="s">
        <v>536</v>
      </c>
      <c r="D397" s="11" t="str">
        <f>IFERROR(1/(D393/D395+D394/D396),D395)</f>
        <v>N/A</v>
      </c>
      <c r="E397" s="11" t="str">
        <f t="shared" ref="E397:O397" si="867">IFERROR(1/(E393/E395+E394/E396),E395)</f>
        <v>N/A</v>
      </c>
      <c r="F397" s="11" t="str">
        <f t="shared" si="867"/>
        <v>N/A</v>
      </c>
      <c r="G397" s="11" t="str">
        <f t="shared" si="867"/>
        <v>N/A</v>
      </c>
      <c r="H397" s="11" t="str">
        <f t="shared" si="867"/>
        <v>N/A</v>
      </c>
      <c r="I397" s="11" t="str">
        <f t="shared" si="867"/>
        <v>N/A</v>
      </c>
      <c r="J397" s="11" t="str">
        <f t="shared" si="867"/>
        <v>N/A</v>
      </c>
      <c r="K397" s="11" t="str">
        <f t="shared" si="867"/>
        <v>N/A</v>
      </c>
      <c r="L397" s="11" t="str">
        <f t="shared" si="867"/>
        <v>N/A</v>
      </c>
      <c r="M397" s="11" t="str">
        <f t="shared" si="867"/>
        <v>N/A</v>
      </c>
      <c r="N397" s="11" t="str">
        <f t="shared" si="867"/>
        <v>N/A</v>
      </c>
      <c r="O397" s="11" t="str">
        <f t="shared" si="867"/>
        <v>N/A</v>
      </c>
      <c r="P397" s="11"/>
      <c r="Q397" s="11"/>
      <c r="R397" s="11"/>
      <c r="S397" s="11"/>
      <c r="T397" s="11"/>
      <c r="U397" s="11"/>
      <c r="V397" s="11"/>
      <c r="W397" s="11"/>
      <c r="X397" s="11"/>
      <c r="Y397" s="11"/>
      <c r="Z397" s="11"/>
    </row>
    <row r="398" spans="1:26" x14ac:dyDescent="0.4">
      <c r="A398" t="str" cm="1">
        <f t="array" ref="A398">INDEX(FX_Input,R398,S398)</f>
        <v>FX - 29</v>
      </c>
      <c r="B398" t="str" cm="1">
        <f t="array" ref="B398">INDEX(FX_Input,R398,T398)</f>
        <v>Portland</v>
      </c>
      <c r="C398" t="s">
        <v>528</v>
      </c>
      <c r="D398" t="str" cm="1">
        <f t="array" ref="D398">INDEX(FX_Input,$R398,$Y398*D$5+$Z398)</f>
        <v>Out of Service</v>
      </c>
      <c r="E398" t="str" cm="1">
        <f t="array" ref="E398">INDEX(FX_Input,$R398,$Y398*E$5+$Z398)</f>
        <v>Out of Service</v>
      </c>
      <c r="F398" t="str" cm="1">
        <f t="array" ref="F398">INDEX(FX_Input,$R398,$Y398*F$5+$Z398)</f>
        <v>Out of Service</v>
      </c>
      <c r="G398" t="str" cm="1">
        <f t="array" ref="G398">INDEX(FX_Input,$R398,$Y398*G$5+$Z398)</f>
        <v>Out of Service</v>
      </c>
      <c r="H398" t="str" cm="1">
        <f t="array" ref="H398">INDEX(FX_Input,$R398,$Y398*H$5+$Z398)</f>
        <v>Out of Service</v>
      </c>
      <c r="I398" t="str" cm="1">
        <f t="array" ref="I398">INDEX(FX_Input,$R398,$Y398*I$5+$Z398)</f>
        <v>Out of Service</v>
      </c>
      <c r="J398" t="str" cm="1">
        <f t="array" ref="J398">INDEX(FX_Input,$R398,$Y398*J$5+$Z398)</f>
        <v>Out of Service</v>
      </c>
      <c r="K398" t="str" cm="1">
        <f t="array" ref="K398">INDEX(FX_Input,$R398,$Y398*K$5+$Z398)</f>
        <v>Out of Service</v>
      </c>
      <c r="L398" t="str" cm="1">
        <f t="array" ref="L398">INDEX(FX_Input,$R398,$Y398*L$5+$Z398)</f>
        <v>Out of Service</v>
      </c>
      <c r="M398" t="str" cm="1">
        <f t="array" ref="M398">INDEX(FX_Input,$R398,$Y398*M$5+$Z398)</f>
        <v>Out of Service</v>
      </c>
      <c r="N398" t="str" cm="1">
        <f t="array" ref="N398">INDEX(FX_Input,$R398,$Y398*N$5+$Z398)</f>
        <v>Out of Service</v>
      </c>
      <c r="O398" t="str" cm="1">
        <f t="array" ref="O398">INDEX(FX_Input,$R398,$Y398*O$5+$Z398)</f>
        <v>Out of Service</v>
      </c>
      <c r="R398">
        <f>R384+2</f>
        <v>57</v>
      </c>
      <c r="S398">
        <v>1</v>
      </c>
      <c r="T398">
        <v>3</v>
      </c>
      <c r="U398">
        <v>17</v>
      </c>
      <c r="V398">
        <f>U398+5</f>
        <v>22</v>
      </c>
      <c r="W398">
        <v>1</v>
      </c>
      <c r="X398">
        <v>2</v>
      </c>
      <c r="Y398">
        <f t="shared" ref="Y398:Y403" si="868">(V398-U398)/(X398-W398)</f>
        <v>5</v>
      </c>
      <c r="Z398">
        <f t="shared" ref="Z398:Z403" si="869">U398-Y398*W398</f>
        <v>12</v>
      </c>
    </row>
    <row r="399" spans="1:26" x14ac:dyDescent="0.4">
      <c r="C399" t="s">
        <v>529</v>
      </c>
      <c r="D399" cm="1">
        <f t="array" ref="D399">INDEX(FX_Input,$R399,$Y399*D$5+$Z399)</f>
        <v>0</v>
      </c>
      <c r="E399" cm="1">
        <f t="array" ref="E399">INDEX(FX_Input,$R399,$Y399*E$5+$Z399)</f>
        <v>0</v>
      </c>
      <c r="F399" cm="1">
        <f t="array" ref="F399">INDEX(FX_Input,$R399,$Y399*F$5+$Z399)</f>
        <v>0</v>
      </c>
      <c r="G399" cm="1">
        <f t="array" ref="G399">INDEX(FX_Input,$R399,$Y399*G$5+$Z399)</f>
        <v>0</v>
      </c>
      <c r="H399" cm="1">
        <f t="array" ref="H399">INDEX(FX_Input,$R399,$Y399*H$5+$Z399)</f>
        <v>0</v>
      </c>
      <c r="I399" cm="1">
        <f t="array" ref="I399">INDEX(FX_Input,$R399,$Y399*I$5+$Z399)</f>
        <v>0</v>
      </c>
      <c r="J399" cm="1">
        <f t="array" ref="J399">INDEX(FX_Input,$R399,$Y399*J$5+$Z399)</f>
        <v>0</v>
      </c>
      <c r="K399" cm="1">
        <f t="array" ref="K399">INDEX(FX_Input,$R399,$Y399*K$5+$Z399)</f>
        <v>0</v>
      </c>
      <c r="L399" cm="1">
        <f t="array" ref="L399">INDEX(FX_Input,$R399,$Y399*L$5+$Z399)</f>
        <v>0</v>
      </c>
      <c r="M399" cm="1">
        <f t="array" ref="M399">INDEX(FX_Input,$R399,$Y399*M$5+$Z399)</f>
        <v>0</v>
      </c>
      <c r="N399" cm="1">
        <f t="array" ref="N399">INDEX(FX_Input,$R399,$Y399*N$5+$Z399)</f>
        <v>0</v>
      </c>
      <c r="O399" cm="1">
        <f t="array" ref="O399">INDEX(FX_Input,$R399,$Y399*O$5+$Z399)</f>
        <v>0</v>
      </c>
      <c r="R399">
        <f>R398+1</f>
        <v>58</v>
      </c>
      <c r="U399">
        <f>U398</f>
        <v>17</v>
      </c>
      <c r="V399">
        <f t="shared" ref="V399:V403" si="870">U399+5</f>
        <v>22</v>
      </c>
      <c r="W399">
        <v>1</v>
      </c>
      <c r="X399">
        <v>2</v>
      </c>
      <c r="Y399">
        <f t="shared" si="868"/>
        <v>5</v>
      </c>
      <c r="Z399">
        <f t="shared" si="869"/>
        <v>12</v>
      </c>
    </row>
    <row r="400" spans="1:26" x14ac:dyDescent="0.4">
      <c r="C400" t="s">
        <v>530</v>
      </c>
      <c r="D400" t="str" cm="1">
        <f t="array" ref="D400">INDEX(FX_Input,$R400,$Y400*D$5+$Z400)</f>
        <v>N/A</v>
      </c>
      <c r="E400" t="str" cm="1">
        <f t="array" ref="E400">INDEX(FX_Input,$R400,$Y400*E$5+$Z400)</f>
        <v>N/A</v>
      </c>
      <c r="F400" t="str" cm="1">
        <f t="array" ref="F400">INDEX(FX_Input,$R400,$Y400*F$5+$Z400)</f>
        <v>N/A</v>
      </c>
      <c r="G400" t="str" cm="1">
        <f t="array" ref="G400">INDEX(FX_Input,$R400,$Y400*G$5+$Z400)</f>
        <v>N/A</v>
      </c>
      <c r="H400" t="str" cm="1">
        <f t="array" ref="H400">INDEX(FX_Input,$R400,$Y400*H$5+$Z400)</f>
        <v>N/A</v>
      </c>
      <c r="I400" t="str" cm="1">
        <f t="array" ref="I400">INDEX(FX_Input,$R400,$Y400*I$5+$Z400)</f>
        <v>N/A</v>
      </c>
      <c r="J400" t="str" cm="1">
        <f t="array" ref="J400">INDEX(FX_Input,$R400,$Y400*J$5+$Z400)</f>
        <v>N/A</v>
      </c>
      <c r="K400" t="str" cm="1">
        <f t="array" ref="K400">INDEX(FX_Input,$R400,$Y400*K$5+$Z400)</f>
        <v>N/A</v>
      </c>
      <c r="L400" t="str" cm="1">
        <f t="array" ref="L400">INDEX(FX_Input,$R400,$Y400*L$5+$Z400)</f>
        <v>N/A</v>
      </c>
      <c r="M400" t="str" cm="1">
        <f t="array" ref="M400">INDEX(FX_Input,$R400,$Y400*M$5+$Z400)</f>
        <v>N/A</v>
      </c>
      <c r="N400" t="str" cm="1">
        <f t="array" ref="N400">INDEX(FX_Input,$R400,$Y400*N$5+$Z400)</f>
        <v>N/A</v>
      </c>
      <c r="O400" t="str" cm="1">
        <f t="array" ref="O400">INDEX(FX_Input,$R400,$Y400*O$5+$Z400)</f>
        <v>N/A</v>
      </c>
      <c r="R400">
        <f>R398</f>
        <v>57</v>
      </c>
      <c r="U400">
        <v>18</v>
      </c>
      <c r="V400">
        <f t="shared" si="870"/>
        <v>23</v>
      </c>
      <c r="W400">
        <v>1</v>
      </c>
      <c r="X400">
        <v>2</v>
      </c>
      <c r="Y400">
        <f t="shared" si="868"/>
        <v>5</v>
      </c>
      <c r="Z400">
        <f t="shared" si="869"/>
        <v>13</v>
      </c>
    </row>
    <row r="401" spans="1:26" x14ac:dyDescent="0.4">
      <c r="C401" t="s">
        <v>531</v>
      </c>
      <c r="D401" cm="1">
        <f t="array" ref="D401">INDEX(FX_Input,$R401,$Y401*D$5+$Z401)</f>
        <v>0</v>
      </c>
      <c r="E401" cm="1">
        <f t="array" ref="E401">INDEX(FX_Input,$R401,$Y401*E$5+$Z401)</f>
        <v>0</v>
      </c>
      <c r="F401" cm="1">
        <f t="array" ref="F401">INDEX(FX_Input,$R401,$Y401*F$5+$Z401)</f>
        <v>0</v>
      </c>
      <c r="G401" cm="1">
        <f t="array" ref="G401">INDEX(FX_Input,$R401,$Y401*G$5+$Z401)</f>
        <v>0</v>
      </c>
      <c r="H401" cm="1">
        <f t="array" ref="H401">INDEX(FX_Input,$R401,$Y401*H$5+$Z401)</f>
        <v>0</v>
      </c>
      <c r="I401" cm="1">
        <f t="array" ref="I401">INDEX(FX_Input,$R401,$Y401*I$5+$Z401)</f>
        <v>0</v>
      </c>
      <c r="J401" cm="1">
        <f t="array" ref="J401">INDEX(FX_Input,$R401,$Y401*J$5+$Z401)</f>
        <v>0</v>
      </c>
      <c r="K401" cm="1">
        <f t="array" ref="K401">INDEX(FX_Input,$R401,$Y401*K$5+$Z401)</f>
        <v>0</v>
      </c>
      <c r="L401" cm="1">
        <f t="array" ref="L401">INDEX(FX_Input,$R401,$Y401*L$5+$Z401)</f>
        <v>0</v>
      </c>
      <c r="M401" cm="1">
        <f t="array" ref="M401">INDEX(FX_Input,$R401,$Y401*M$5+$Z401)</f>
        <v>0</v>
      </c>
      <c r="N401" cm="1">
        <f t="array" ref="N401">INDEX(FX_Input,$R401,$Y401*N$5+$Z401)</f>
        <v>0</v>
      </c>
      <c r="O401" cm="1">
        <f t="array" ref="O401">INDEX(FX_Input,$R401,$Y401*O$5+$Z401)</f>
        <v>0</v>
      </c>
      <c r="R401">
        <f>R399</f>
        <v>58</v>
      </c>
      <c r="U401">
        <f>U400</f>
        <v>18</v>
      </c>
      <c r="V401">
        <f t="shared" si="870"/>
        <v>23</v>
      </c>
      <c r="W401">
        <v>1</v>
      </c>
      <c r="X401">
        <v>2</v>
      </c>
      <c r="Y401">
        <f t="shared" si="868"/>
        <v>5</v>
      </c>
      <c r="Z401">
        <f t="shared" si="869"/>
        <v>13</v>
      </c>
    </row>
    <row r="402" spans="1:26" x14ac:dyDescent="0.4">
      <c r="C402" t="s">
        <v>546</v>
      </c>
      <c r="D402" cm="1">
        <f t="array" ref="D402">INDEX(FX_Input,$R402,$Y402*D$5+$Z402)</f>
        <v>1</v>
      </c>
      <c r="E402" cm="1">
        <f t="array" ref="E402">INDEX(FX_Input,$R402,$Y402*E$5+$Z402)</f>
        <v>1</v>
      </c>
      <c r="F402" cm="1">
        <f t="array" ref="F402">INDEX(FX_Input,$R402,$Y402*F$5+$Z402)</f>
        <v>1</v>
      </c>
      <c r="G402" cm="1">
        <f t="array" ref="G402">INDEX(FX_Input,$R402,$Y402*G$5+$Z402)</f>
        <v>1</v>
      </c>
      <c r="H402" cm="1">
        <f t="array" ref="H402">INDEX(FX_Input,$R402,$Y402*H$5+$Z402)</f>
        <v>1</v>
      </c>
      <c r="I402" cm="1">
        <f t="array" ref="I402">INDEX(FX_Input,$R402,$Y402*I$5+$Z402)</f>
        <v>1</v>
      </c>
      <c r="J402" cm="1">
        <f t="array" ref="J402">INDEX(FX_Input,$R402,$Y402*J$5+$Z402)</f>
        <v>1</v>
      </c>
      <c r="K402" cm="1">
        <f t="array" ref="K402">INDEX(FX_Input,$R402,$Y402*K$5+$Z402)</f>
        <v>1</v>
      </c>
      <c r="L402" cm="1">
        <f t="array" ref="L402">INDEX(FX_Input,$R402,$Y402*L$5+$Z402)</f>
        <v>1</v>
      </c>
      <c r="M402" cm="1">
        <f t="array" ref="M402">INDEX(FX_Input,$R402,$Y402*M$5+$Z402)</f>
        <v>1</v>
      </c>
      <c r="N402" cm="1">
        <f t="array" ref="N402">INDEX(FX_Input,$R402,$Y402*N$5+$Z402)</f>
        <v>1</v>
      </c>
      <c r="O402" cm="1">
        <f t="array" ref="O402">INDEX(FX_Input,$R402,$Y402*O$5+$Z402)</f>
        <v>1</v>
      </c>
      <c r="R402">
        <f>R400</f>
        <v>57</v>
      </c>
      <c r="U402">
        <v>21</v>
      </c>
      <c r="V402">
        <f t="shared" si="870"/>
        <v>26</v>
      </c>
      <c r="W402">
        <v>1</v>
      </c>
      <c r="X402">
        <v>2</v>
      </c>
      <c r="Y402">
        <f t="shared" si="868"/>
        <v>5</v>
      </c>
      <c r="Z402">
        <f t="shared" si="869"/>
        <v>16</v>
      </c>
    </row>
    <row r="403" spans="1:26" x14ac:dyDescent="0.4">
      <c r="C403" t="s">
        <v>547</v>
      </c>
      <c r="D403" cm="1">
        <f t="array" ref="D403">INDEX(FX_Input,$R403,$Y403*D$5+$Z403)</f>
        <v>0</v>
      </c>
      <c r="E403" cm="1">
        <f t="array" ref="E403">INDEX(FX_Input,$R403,$Y403*E$5+$Z403)</f>
        <v>0</v>
      </c>
      <c r="F403" cm="1">
        <f t="array" ref="F403">INDEX(FX_Input,$R403,$Y403*F$5+$Z403)</f>
        <v>0</v>
      </c>
      <c r="G403" cm="1">
        <f t="array" ref="G403">INDEX(FX_Input,$R403,$Y403*G$5+$Z403)</f>
        <v>0</v>
      </c>
      <c r="H403" cm="1">
        <f t="array" ref="H403">INDEX(FX_Input,$R403,$Y403*H$5+$Z403)</f>
        <v>0</v>
      </c>
      <c r="I403" cm="1">
        <f t="array" ref="I403">INDEX(FX_Input,$R403,$Y403*I$5+$Z403)</f>
        <v>0</v>
      </c>
      <c r="J403" cm="1">
        <f t="array" ref="J403">INDEX(FX_Input,$R403,$Y403*J$5+$Z403)</f>
        <v>0</v>
      </c>
      <c r="K403" cm="1">
        <f t="array" ref="K403">INDEX(FX_Input,$R403,$Y403*K$5+$Z403)</f>
        <v>0</v>
      </c>
      <c r="L403" cm="1">
        <f t="array" ref="L403">INDEX(FX_Input,$R403,$Y403*L$5+$Z403)</f>
        <v>0</v>
      </c>
      <c r="M403" cm="1">
        <f t="array" ref="M403">INDEX(FX_Input,$R403,$Y403*M$5+$Z403)</f>
        <v>0</v>
      </c>
      <c r="N403" cm="1">
        <f t="array" ref="N403">INDEX(FX_Input,$R403,$Y403*N$5+$Z403)</f>
        <v>0</v>
      </c>
      <c r="O403" cm="1">
        <f t="array" ref="O403">INDEX(FX_Input,$R403,$Y403*O$5+$Z403)</f>
        <v>0</v>
      </c>
      <c r="R403">
        <f>R401</f>
        <v>58</v>
      </c>
      <c r="U403">
        <f>U402</f>
        <v>21</v>
      </c>
      <c r="V403">
        <f t="shared" si="870"/>
        <v>26</v>
      </c>
      <c r="W403">
        <v>1</v>
      </c>
      <c r="X403">
        <v>2</v>
      </c>
      <c r="Y403">
        <f t="shared" si="868"/>
        <v>5</v>
      </c>
      <c r="Z403">
        <f t="shared" si="869"/>
        <v>16</v>
      </c>
    </row>
    <row r="404" spans="1:26" x14ac:dyDescent="0.4">
      <c r="C404" t="s">
        <v>532</v>
      </c>
      <c r="D404" t="str">
        <f t="shared" ref="D404:O404" si="871">IFERROR(VLOOKUP(D398,Phys_Prop,2,FALSE),0)</f>
        <v>N/A</v>
      </c>
      <c r="E404" t="str">
        <f t="shared" si="871"/>
        <v>N/A</v>
      </c>
      <c r="F404" t="str">
        <f t="shared" si="871"/>
        <v>N/A</v>
      </c>
      <c r="G404" t="str">
        <f t="shared" si="871"/>
        <v>N/A</v>
      </c>
      <c r="H404" t="str">
        <f t="shared" si="871"/>
        <v>N/A</v>
      </c>
      <c r="I404" t="str">
        <f t="shared" si="871"/>
        <v>N/A</v>
      </c>
      <c r="J404" t="str">
        <f t="shared" si="871"/>
        <v>N/A</v>
      </c>
      <c r="K404" t="str">
        <f t="shared" si="871"/>
        <v>N/A</v>
      </c>
      <c r="L404" t="str">
        <f t="shared" si="871"/>
        <v>N/A</v>
      </c>
      <c r="M404" t="str">
        <f t="shared" si="871"/>
        <v>N/A</v>
      </c>
      <c r="N404" t="str">
        <f t="shared" si="871"/>
        <v>N/A</v>
      </c>
      <c r="O404" t="str">
        <f t="shared" si="871"/>
        <v>N/A</v>
      </c>
    </row>
    <row r="405" spans="1:26" x14ac:dyDescent="0.4">
      <c r="C405" t="s">
        <v>533</v>
      </c>
      <c r="D405">
        <f t="shared" ref="D405:O405" si="872">IFERROR(VLOOKUP(D399,Phys_Prop,2,FALSE),0)</f>
        <v>0</v>
      </c>
      <c r="E405">
        <f t="shared" si="872"/>
        <v>0</v>
      </c>
      <c r="F405">
        <f t="shared" si="872"/>
        <v>0</v>
      </c>
      <c r="G405">
        <f t="shared" si="872"/>
        <v>0</v>
      </c>
      <c r="H405">
        <f t="shared" si="872"/>
        <v>0</v>
      </c>
      <c r="I405">
        <f t="shared" si="872"/>
        <v>0</v>
      </c>
      <c r="J405">
        <f t="shared" si="872"/>
        <v>0</v>
      </c>
      <c r="K405">
        <f t="shared" si="872"/>
        <v>0</v>
      </c>
      <c r="L405">
        <f t="shared" si="872"/>
        <v>0</v>
      </c>
      <c r="M405">
        <f t="shared" si="872"/>
        <v>0</v>
      </c>
      <c r="N405">
        <f t="shared" si="872"/>
        <v>0</v>
      </c>
      <c r="O405">
        <f t="shared" si="872"/>
        <v>0</v>
      </c>
    </row>
    <row r="406" spans="1:26" x14ac:dyDescent="0.4">
      <c r="C406" t="s">
        <v>544</v>
      </c>
      <c r="D406">
        <f>IFERROR(IFERROR(D404/D402+D405/D403,D404/D402),0)</f>
        <v>0</v>
      </c>
      <c r="E406">
        <f t="shared" ref="E406" si="873">IFERROR(IFERROR(E404/E402+E405/E403,E404/E402),0)</f>
        <v>0</v>
      </c>
      <c r="F406">
        <f t="shared" ref="F406" si="874">IFERROR(IFERROR(F404/F402+F405/F403,F404/F402),0)</f>
        <v>0</v>
      </c>
      <c r="G406">
        <f t="shared" ref="G406" si="875">IFERROR(IFERROR(G404/G402+G405/G403,G404/G402),0)</f>
        <v>0</v>
      </c>
      <c r="H406">
        <f t="shared" ref="H406" si="876">IFERROR(IFERROR(H404/H402+H405/H403,H404/H402),0)</f>
        <v>0</v>
      </c>
      <c r="I406">
        <f t="shared" ref="I406" si="877">IFERROR(IFERROR(I404/I402+I405/I403,I404/I402),0)</f>
        <v>0</v>
      </c>
      <c r="J406">
        <f t="shared" ref="J406" si="878">IFERROR(IFERROR(J404/J402+J405/J403,J404/J402),0)</f>
        <v>0</v>
      </c>
      <c r="K406">
        <f t="shared" ref="K406" si="879">IFERROR(IFERROR(K404/K402+K405/K403,K404/K402),0)</f>
        <v>0</v>
      </c>
      <c r="L406">
        <f t="shared" ref="L406" si="880">IFERROR(IFERROR(L404/L402+L405/L403,L404/L402),0)</f>
        <v>0</v>
      </c>
      <c r="M406">
        <f t="shared" ref="M406" si="881">IFERROR(IFERROR(M404/M402+M405/M403,M404/M402),0)</f>
        <v>0</v>
      </c>
      <c r="N406">
        <f t="shared" ref="N406" si="882">IFERROR(IFERROR(N404/N402+N405/N403,N404/N402),0)</f>
        <v>0</v>
      </c>
      <c r="O406">
        <f t="shared" ref="O406" si="883">IFERROR(IFERROR(O404/O402+O405/O403,O404/O402),0)</f>
        <v>0</v>
      </c>
    </row>
    <row r="407" spans="1:26" x14ac:dyDescent="0.4">
      <c r="C407" t="s">
        <v>539</v>
      </c>
      <c r="D407">
        <f>IFERROR((D402/D404)*D406,1)</f>
        <v>1</v>
      </c>
      <c r="E407">
        <f t="shared" ref="E407" si="884">IFERROR((E402/E404)*E406,1)</f>
        <v>1</v>
      </c>
      <c r="F407">
        <f t="shared" ref="F407" si="885">IFERROR((F402/F404)*F406,1)</f>
        <v>1</v>
      </c>
      <c r="G407">
        <f t="shared" ref="G407" si="886">IFERROR((G402/G404)*G406,1)</f>
        <v>1</v>
      </c>
      <c r="H407">
        <f t="shared" ref="H407" si="887">IFERROR((H402/H404)*H406,1)</f>
        <v>1</v>
      </c>
      <c r="I407">
        <f t="shared" ref="I407" si="888">IFERROR((I402/I404)*I406,1)</f>
        <v>1</v>
      </c>
      <c r="J407">
        <f t="shared" ref="J407" si="889">IFERROR((J402/J404)*J406,1)</f>
        <v>1</v>
      </c>
      <c r="K407">
        <f t="shared" ref="K407" si="890">IFERROR((K402/K404)*K406,1)</f>
        <v>1</v>
      </c>
      <c r="L407">
        <f t="shared" ref="L407" si="891">IFERROR((L402/L404)*L406,1)</f>
        <v>1</v>
      </c>
      <c r="M407">
        <f t="shared" ref="M407" si="892">IFERROR((M402/M404)*M406,1)</f>
        <v>1</v>
      </c>
      <c r="N407">
        <f t="shared" ref="N407" si="893">IFERROR((N402/N404)*N406,1)</f>
        <v>1</v>
      </c>
      <c r="O407">
        <f t="shared" ref="O407" si="894">IFERROR((O402/O404)*O406,1)</f>
        <v>1</v>
      </c>
    </row>
    <row r="408" spans="1:26" x14ac:dyDescent="0.4">
      <c r="C408" t="s">
        <v>540</v>
      </c>
      <c r="D408">
        <f>IFERROR((D403/D405)*D406,0)</f>
        <v>0</v>
      </c>
      <c r="E408">
        <f t="shared" ref="E408:O408" si="895">IFERROR((E403/E405)*E406,0)</f>
        <v>0</v>
      </c>
      <c r="F408">
        <f t="shared" si="895"/>
        <v>0</v>
      </c>
      <c r="G408">
        <f t="shared" si="895"/>
        <v>0</v>
      </c>
      <c r="H408">
        <f t="shared" si="895"/>
        <v>0</v>
      </c>
      <c r="I408">
        <f t="shared" si="895"/>
        <v>0</v>
      </c>
      <c r="J408">
        <f t="shared" si="895"/>
        <v>0</v>
      </c>
      <c r="K408">
        <f t="shared" si="895"/>
        <v>0</v>
      </c>
      <c r="L408">
        <f t="shared" si="895"/>
        <v>0</v>
      </c>
      <c r="M408">
        <f t="shared" si="895"/>
        <v>0</v>
      </c>
      <c r="N408">
        <f t="shared" si="895"/>
        <v>0</v>
      </c>
      <c r="O408">
        <f t="shared" si="895"/>
        <v>0</v>
      </c>
    </row>
    <row r="409" spans="1:26" x14ac:dyDescent="0.4">
      <c r="C409" s="21" t="s">
        <v>534</v>
      </c>
      <c r="D409" t="str">
        <f t="shared" ref="D409:O409" si="896">IFERROR(VLOOKUP(D398,Phys_Prop,4,FALSE),0)</f>
        <v>N/A</v>
      </c>
      <c r="E409" t="str">
        <f t="shared" si="896"/>
        <v>N/A</v>
      </c>
      <c r="F409" t="str">
        <f t="shared" si="896"/>
        <v>N/A</v>
      </c>
      <c r="G409" t="str">
        <f t="shared" si="896"/>
        <v>N/A</v>
      </c>
      <c r="H409" t="str">
        <f t="shared" si="896"/>
        <v>N/A</v>
      </c>
      <c r="I409" t="str">
        <f t="shared" si="896"/>
        <v>N/A</v>
      </c>
      <c r="J409" t="str">
        <f t="shared" si="896"/>
        <v>N/A</v>
      </c>
      <c r="K409" t="str">
        <f t="shared" si="896"/>
        <v>N/A</v>
      </c>
      <c r="L409" t="str">
        <f t="shared" si="896"/>
        <v>N/A</v>
      </c>
      <c r="M409" t="str">
        <f t="shared" si="896"/>
        <v>N/A</v>
      </c>
      <c r="N409" t="str">
        <f t="shared" si="896"/>
        <v>N/A</v>
      </c>
      <c r="O409" t="str">
        <f t="shared" si="896"/>
        <v>N/A</v>
      </c>
    </row>
    <row r="410" spans="1:26" x14ac:dyDescent="0.4">
      <c r="C410" s="21" t="s">
        <v>535</v>
      </c>
      <c r="D410">
        <f t="shared" ref="D410:O410" si="897">IFERROR(VLOOKUP(D399,Phys_Prop,4,FALSE),0)</f>
        <v>0</v>
      </c>
      <c r="E410">
        <f t="shared" si="897"/>
        <v>0</v>
      </c>
      <c r="F410">
        <f t="shared" si="897"/>
        <v>0</v>
      </c>
      <c r="G410">
        <f t="shared" si="897"/>
        <v>0</v>
      </c>
      <c r="H410">
        <f t="shared" si="897"/>
        <v>0</v>
      </c>
      <c r="I410">
        <f t="shared" si="897"/>
        <v>0</v>
      </c>
      <c r="J410">
        <f t="shared" si="897"/>
        <v>0</v>
      </c>
      <c r="K410">
        <f t="shared" si="897"/>
        <v>0</v>
      </c>
      <c r="L410">
        <f t="shared" si="897"/>
        <v>0</v>
      </c>
      <c r="M410">
        <f t="shared" si="897"/>
        <v>0</v>
      </c>
      <c r="N410">
        <f t="shared" si="897"/>
        <v>0</v>
      </c>
      <c r="O410">
        <f t="shared" si="897"/>
        <v>0</v>
      </c>
    </row>
    <row r="411" spans="1:26" x14ac:dyDescent="0.4">
      <c r="A411" s="11"/>
      <c r="B411" s="11"/>
      <c r="C411" s="62" t="s">
        <v>536</v>
      </c>
      <c r="D411" s="11" t="str">
        <f>IFERROR(1/(D407/D409+D408/D410),D409)</f>
        <v>N/A</v>
      </c>
      <c r="E411" s="11" t="str">
        <f t="shared" ref="E411:O411" si="898">IFERROR(1/(E407/E409+E408/E410),E409)</f>
        <v>N/A</v>
      </c>
      <c r="F411" s="11" t="str">
        <f t="shared" si="898"/>
        <v>N/A</v>
      </c>
      <c r="G411" s="11" t="str">
        <f t="shared" si="898"/>
        <v>N/A</v>
      </c>
      <c r="H411" s="11" t="str">
        <f t="shared" si="898"/>
        <v>N/A</v>
      </c>
      <c r="I411" s="11" t="str">
        <f t="shared" si="898"/>
        <v>N/A</v>
      </c>
      <c r="J411" s="11" t="str">
        <f t="shared" si="898"/>
        <v>N/A</v>
      </c>
      <c r="K411" s="11" t="str">
        <f t="shared" si="898"/>
        <v>N/A</v>
      </c>
      <c r="L411" s="11" t="str">
        <f t="shared" si="898"/>
        <v>N/A</v>
      </c>
      <c r="M411" s="11" t="str">
        <f t="shared" si="898"/>
        <v>N/A</v>
      </c>
      <c r="N411" s="11" t="str">
        <f t="shared" si="898"/>
        <v>N/A</v>
      </c>
      <c r="O411" s="11" t="str">
        <f t="shared" si="898"/>
        <v>N/A</v>
      </c>
      <c r="P411" s="11"/>
      <c r="Q411" s="11"/>
      <c r="R411" s="11"/>
      <c r="S411" s="11"/>
      <c r="T411" s="11"/>
      <c r="U411" s="11"/>
      <c r="V411" s="11"/>
      <c r="W411" s="11"/>
      <c r="X411" s="11"/>
      <c r="Y411" s="11"/>
      <c r="Z411" s="11"/>
    </row>
    <row r="412" spans="1:26" x14ac:dyDescent="0.4">
      <c r="A412" t="str" cm="1">
        <f t="array" ref="A412">INDEX(FX_Input,R412,S412)</f>
        <v>FX - 30</v>
      </c>
      <c r="B412" t="str" cm="1">
        <f t="array" ref="B412">INDEX(FX_Input,R412,T412)</f>
        <v>Portland</v>
      </c>
      <c r="C412" t="s">
        <v>528</v>
      </c>
      <c r="D412" t="str" cm="1">
        <f t="array" ref="D412">INDEX(FX_Input,$R412,$Y412*D$5+$Z412)</f>
        <v>Out of Service</v>
      </c>
      <c r="E412" t="str" cm="1">
        <f t="array" ref="E412">INDEX(FX_Input,$R412,$Y412*E$5+$Z412)</f>
        <v>Out of Service</v>
      </c>
      <c r="F412" t="str" cm="1">
        <f t="array" ref="F412">INDEX(FX_Input,$R412,$Y412*F$5+$Z412)</f>
        <v>Out of Service</v>
      </c>
      <c r="G412" t="str" cm="1">
        <f t="array" ref="G412">INDEX(FX_Input,$R412,$Y412*G$5+$Z412)</f>
        <v>Out of Service</v>
      </c>
      <c r="H412" t="str" cm="1">
        <f t="array" ref="H412">INDEX(FX_Input,$R412,$Y412*H$5+$Z412)</f>
        <v>Out of Service</v>
      </c>
      <c r="I412" t="str" cm="1">
        <f t="array" ref="I412">INDEX(FX_Input,$R412,$Y412*I$5+$Z412)</f>
        <v>Out of Service</v>
      </c>
      <c r="J412" t="str" cm="1">
        <f t="array" ref="J412">INDEX(FX_Input,$R412,$Y412*J$5+$Z412)</f>
        <v>Out of Service</v>
      </c>
      <c r="K412" t="str" cm="1">
        <f t="array" ref="K412">INDEX(FX_Input,$R412,$Y412*K$5+$Z412)</f>
        <v>Out of Service</v>
      </c>
      <c r="L412" t="str" cm="1">
        <f t="array" ref="L412">INDEX(FX_Input,$R412,$Y412*L$5+$Z412)</f>
        <v>Out of Service</v>
      </c>
      <c r="M412" t="str" cm="1">
        <f t="array" ref="M412">INDEX(FX_Input,$R412,$Y412*M$5+$Z412)</f>
        <v>Out of Service</v>
      </c>
      <c r="N412" t="str" cm="1">
        <f t="array" ref="N412">INDEX(FX_Input,$R412,$Y412*N$5+$Z412)</f>
        <v>Out of Service</v>
      </c>
      <c r="O412" t="str" cm="1">
        <f t="array" ref="O412">INDEX(FX_Input,$R412,$Y412*O$5+$Z412)</f>
        <v>Out of Service</v>
      </c>
      <c r="R412">
        <f>R398+2</f>
        <v>59</v>
      </c>
      <c r="S412">
        <v>1</v>
      </c>
      <c r="T412">
        <v>3</v>
      </c>
      <c r="U412">
        <v>17</v>
      </c>
      <c r="V412">
        <f>U412+5</f>
        <v>22</v>
      </c>
      <c r="W412">
        <v>1</v>
      </c>
      <c r="X412">
        <v>2</v>
      </c>
      <c r="Y412">
        <f t="shared" ref="Y412:Y417" si="899">(V412-U412)/(X412-W412)</f>
        <v>5</v>
      </c>
      <c r="Z412">
        <f t="shared" ref="Z412:Z417" si="900">U412-Y412*W412</f>
        <v>12</v>
      </c>
    </row>
    <row r="413" spans="1:26" x14ac:dyDescent="0.4">
      <c r="C413" t="s">
        <v>529</v>
      </c>
      <c r="D413" cm="1">
        <f t="array" ref="D413">INDEX(FX_Input,$R413,$Y413*D$5+$Z413)</f>
        <v>0</v>
      </c>
      <c r="E413" cm="1">
        <f t="array" ref="E413">INDEX(FX_Input,$R413,$Y413*E$5+$Z413)</f>
        <v>0</v>
      </c>
      <c r="F413" cm="1">
        <f t="array" ref="F413">INDEX(FX_Input,$R413,$Y413*F$5+$Z413)</f>
        <v>0</v>
      </c>
      <c r="G413" cm="1">
        <f t="array" ref="G413">INDEX(FX_Input,$R413,$Y413*G$5+$Z413)</f>
        <v>0</v>
      </c>
      <c r="H413" cm="1">
        <f t="array" ref="H413">INDEX(FX_Input,$R413,$Y413*H$5+$Z413)</f>
        <v>0</v>
      </c>
      <c r="I413" cm="1">
        <f t="array" ref="I413">INDEX(FX_Input,$R413,$Y413*I$5+$Z413)</f>
        <v>0</v>
      </c>
      <c r="J413" cm="1">
        <f t="array" ref="J413">INDEX(FX_Input,$R413,$Y413*J$5+$Z413)</f>
        <v>0</v>
      </c>
      <c r="K413" cm="1">
        <f t="array" ref="K413">INDEX(FX_Input,$R413,$Y413*K$5+$Z413)</f>
        <v>0</v>
      </c>
      <c r="L413" cm="1">
        <f t="array" ref="L413">INDEX(FX_Input,$R413,$Y413*L$5+$Z413)</f>
        <v>0</v>
      </c>
      <c r="M413" cm="1">
        <f t="array" ref="M413">INDEX(FX_Input,$R413,$Y413*M$5+$Z413)</f>
        <v>0</v>
      </c>
      <c r="N413" cm="1">
        <f t="array" ref="N413">INDEX(FX_Input,$R413,$Y413*N$5+$Z413)</f>
        <v>0</v>
      </c>
      <c r="O413" cm="1">
        <f t="array" ref="O413">INDEX(FX_Input,$R413,$Y413*O$5+$Z413)</f>
        <v>0</v>
      </c>
      <c r="R413">
        <f>R412+1</f>
        <v>60</v>
      </c>
      <c r="U413">
        <f>U412</f>
        <v>17</v>
      </c>
      <c r="V413">
        <f t="shared" ref="V413:V417" si="901">U413+5</f>
        <v>22</v>
      </c>
      <c r="W413">
        <v>1</v>
      </c>
      <c r="X413">
        <v>2</v>
      </c>
      <c r="Y413">
        <f t="shared" si="899"/>
        <v>5</v>
      </c>
      <c r="Z413">
        <f t="shared" si="900"/>
        <v>12</v>
      </c>
    </row>
    <row r="414" spans="1:26" x14ac:dyDescent="0.4">
      <c r="C414" t="s">
        <v>530</v>
      </c>
      <c r="D414" t="str" cm="1">
        <f t="array" ref="D414">INDEX(FX_Input,$R414,$Y414*D$5+$Z414)</f>
        <v>N/A</v>
      </c>
      <c r="E414" t="str" cm="1">
        <f t="array" ref="E414">INDEX(FX_Input,$R414,$Y414*E$5+$Z414)</f>
        <v>N/A</v>
      </c>
      <c r="F414" t="str" cm="1">
        <f t="array" ref="F414">INDEX(FX_Input,$R414,$Y414*F$5+$Z414)</f>
        <v>N/A</v>
      </c>
      <c r="G414" t="str" cm="1">
        <f t="array" ref="G414">INDEX(FX_Input,$R414,$Y414*G$5+$Z414)</f>
        <v>N/A</v>
      </c>
      <c r="H414" t="str" cm="1">
        <f t="array" ref="H414">INDEX(FX_Input,$R414,$Y414*H$5+$Z414)</f>
        <v>N/A</v>
      </c>
      <c r="I414" t="str" cm="1">
        <f t="array" ref="I414">INDEX(FX_Input,$R414,$Y414*I$5+$Z414)</f>
        <v>N/A</v>
      </c>
      <c r="J414" t="str" cm="1">
        <f t="array" ref="J414">INDEX(FX_Input,$R414,$Y414*J$5+$Z414)</f>
        <v>N/A</v>
      </c>
      <c r="K414" t="str" cm="1">
        <f t="array" ref="K414">INDEX(FX_Input,$R414,$Y414*K$5+$Z414)</f>
        <v>N/A</v>
      </c>
      <c r="L414" t="str" cm="1">
        <f t="array" ref="L414">INDEX(FX_Input,$R414,$Y414*L$5+$Z414)</f>
        <v>N/A</v>
      </c>
      <c r="M414" t="str" cm="1">
        <f t="array" ref="M414">INDEX(FX_Input,$R414,$Y414*M$5+$Z414)</f>
        <v>N/A</v>
      </c>
      <c r="N414" t="str" cm="1">
        <f t="array" ref="N414">INDEX(FX_Input,$R414,$Y414*N$5+$Z414)</f>
        <v>N/A</v>
      </c>
      <c r="O414" t="str" cm="1">
        <f t="array" ref="O414">INDEX(FX_Input,$R414,$Y414*O$5+$Z414)</f>
        <v>N/A</v>
      </c>
      <c r="R414">
        <f>R412</f>
        <v>59</v>
      </c>
      <c r="U414">
        <v>18</v>
      </c>
      <c r="V414">
        <f t="shared" si="901"/>
        <v>23</v>
      </c>
      <c r="W414">
        <v>1</v>
      </c>
      <c r="X414">
        <v>2</v>
      </c>
      <c r="Y414">
        <f t="shared" si="899"/>
        <v>5</v>
      </c>
      <c r="Z414">
        <f t="shared" si="900"/>
        <v>13</v>
      </c>
    </row>
    <row r="415" spans="1:26" x14ac:dyDescent="0.4">
      <c r="C415" t="s">
        <v>531</v>
      </c>
      <c r="D415" cm="1">
        <f t="array" ref="D415">INDEX(FX_Input,$R415,$Y415*D$5+$Z415)</f>
        <v>0</v>
      </c>
      <c r="E415" cm="1">
        <f t="array" ref="E415">INDEX(FX_Input,$R415,$Y415*E$5+$Z415)</f>
        <v>0</v>
      </c>
      <c r="F415" cm="1">
        <f t="array" ref="F415">INDEX(FX_Input,$R415,$Y415*F$5+$Z415)</f>
        <v>0</v>
      </c>
      <c r="G415" cm="1">
        <f t="array" ref="G415">INDEX(FX_Input,$R415,$Y415*G$5+$Z415)</f>
        <v>0</v>
      </c>
      <c r="H415" cm="1">
        <f t="array" ref="H415">INDEX(FX_Input,$R415,$Y415*H$5+$Z415)</f>
        <v>0</v>
      </c>
      <c r="I415" cm="1">
        <f t="array" ref="I415">INDEX(FX_Input,$R415,$Y415*I$5+$Z415)</f>
        <v>0</v>
      </c>
      <c r="J415" cm="1">
        <f t="array" ref="J415">INDEX(FX_Input,$R415,$Y415*J$5+$Z415)</f>
        <v>0</v>
      </c>
      <c r="K415" cm="1">
        <f t="array" ref="K415">INDEX(FX_Input,$R415,$Y415*K$5+$Z415)</f>
        <v>0</v>
      </c>
      <c r="L415" cm="1">
        <f t="array" ref="L415">INDEX(FX_Input,$R415,$Y415*L$5+$Z415)</f>
        <v>0</v>
      </c>
      <c r="M415" cm="1">
        <f t="array" ref="M415">INDEX(FX_Input,$R415,$Y415*M$5+$Z415)</f>
        <v>0</v>
      </c>
      <c r="N415" cm="1">
        <f t="array" ref="N415">INDEX(FX_Input,$R415,$Y415*N$5+$Z415)</f>
        <v>0</v>
      </c>
      <c r="O415" cm="1">
        <f t="array" ref="O415">INDEX(FX_Input,$R415,$Y415*O$5+$Z415)</f>
        <v>0</v>
      </c>
      <c r="R415">
        <f>R413</f>
        <v>60</v>
      </c>
      <c r="U415">
        <f>U414</f>
        <v>18</v>
      </c>
      <c r="V415">
        <f t="shared" si="901"/>
        <v>23</v>
      </c>
      <c r="W415">
        <v>1</v>
      </c>
      <c r="X415">
        <v>2</v>
      </c>
      <c r="Y415">
        <f t="shared" si="899"/>
        <v>5</v>
      </c>
      <c r="Z415">
        <f t="shared" si="900"/>
        <v>13</v>
      </c>
    </row>
    <row r="416" spans="1:26" x14ac:dyDescent="0.4">
      <c r="C416" t="s">
        <v>546</v>
      </c>
      <c r="D416" cm="1">
        <f t="array" ref="D416">INDEX(FX_Input,$R416,$Y416*D$5+$Z416)</f>
        <v>1</v>
      </c>
      <c r="E416" cm="1">
        <f t="array" ref="E416">INDEX(FX_Input,$R416,$Y416*E$5+$Z416)</f>
        <v>1</v>
      </c>
      <c r="F416" cm="1">
        <f t="array" ref="F416">INDEX(FX_Input,$R416,$Y416*F$5+$Z416)</f>
        <v>1</v>
      </c>
      <c r="G416" cm="1">
        <f t="array" ref="G416">INDEX(FX_Input,$R416,$Y416*G$5+$Z416)</f>
        <v>1</v>
      </c>
      <c r="H416" cm="1">
        <f t="array" ref="H416">INDEX(FX_Input,$R416,$Y416*H$5+$Z416)</f>
        <v>1</v>
      </c>
      <c r="I416" cm="1">
        <f t="array" ref="I416">INDEX(FX_Input,$R416,$Y416*I$5+$Z416)</f>
        <v>1</v>
      </c>
      <c r="J416" cm="1">
        <f t="array" ref="J416">INDEX(FX_Input,$R416,$Y416*J$5+$Z416)</f>
        <v>1</v>
      </c>
      <c r="K416" cm="1">
        <f t="array" ref="K416">INDEX(FX_Input,$R416,$Y416*K$5+$Z416)</f>
        <v>1</v>
      </c>
      <c r="L416" cm="1">
        <f t="array" ref="L416">INDEX(FX_Input,$R416,$Y416*L$5+$Z416)</f>
        <v>1</v>
      </c>
      <c r="M416" cm="1">
        <f t="array" ref="M416">INDEX(FX_Input,$R416,$Y416*M$5+$Z416)</f>
        <v>1</v>
      </c>
      <c r="N416" cm="1">
        <f t="array" ref="N416">INDEX(FX_Input,$R416,$Y416*N$5+$Z416)</f>
        <v>1</v>
      </c>
      <c r="O416" cm="1">
        <f t="array" ref="O416">INDEX(FX_Input,$R416,$Y416*O$5+$Z416)</f>
        <v>1</v>
      </c>
      <c r="R416">
        <f>R414</f>
        <v>59</v>
      </c>
      <c r="U416">
        <v>21</v>
      </c>
      <c r="V416">
        <f t="shared" si="901"/>
        <v>26</v>
      </c>
      <c r="W416">
        <v>1</v>
      </c>
      <c r="X416">
        <v>2</v>
      </c>
      <c r="Y416">
        <f t="shared" si="899"/>
        <v>5</v>
      </c>
      <c r="Z416">
        <f t="shared" si="900"/>
        <v>16</v>
      </c>
    </row>
    <row r="417" spans="1:26" x14ac:dyDescent="0.4">
      <c r="C417" t="s">
        <v>547</v>
      </c>
      <c r="D417" cm="1">
        <f t="array" ref="D417">INDEX(FX_Input,$R417,$Y417*D$5+$Z417)</f>
        <v>0</v>
      </c>
      <c r="E417" cm="1">
        <f t="array" ref="E417">INDEX(FX_Input,$R417,$Y417*E$5+$Z417)</f>
        <v>0</v>
      </c>
      <c r="F417" cm="1">
        <f t="array" ref="F417">INDEX(FX_Input,$R417,$Y417*F$5+$Z417)</f>
        <v>0</v>
      </c>
      <c r="G417" cm="1">
        <f t="array" ref="G417">INDEX(FX_Input,$R417,$Y417*G$5+$Z417)</f>
        <v>0</v>
      </c>
      <c r="H417" cm="1">
        <f t="array" ref="H417">INDEX(FX_Input,$R417,$Y417*H$5+$Z417)</f>
        <v>0</v>
      </c>
      <c r="I417" cm="1">
        <f t="array" ref="I417">INDEX(FX_Input,$R417,$Y417*I$5+$Z417)</f>
        <v>0</v>
      </c>
      <c r="J417" cm="1">
        <f t="array" ref="J417">INDEX(FX_Input,$R417,$Y417*J$5+$Z417)</f>
        <v>0</v>
      </c>
      <c r="K417" cm="1">
        <f t="array" ref="K417">INDEX(FX_Input,$R417,$Y417*K$5+$Z417)</f>
        <v>0</v>
      </c>
      <c r="L417" cm="1">
        <f t="array" ref="L417">INDEX(FX_Input,$R417,$Y417*L$5+$Z417)</f>
        <v>0</v>
      </c>
      <c r="M417" cm="1">
        <f t="array" ref="M417">INDEX(FX_Input,$R417,$Y417*M$5+$Z417)</f>
        <v>0</v>
      </c>
      <c r="N417" cm="1">
        <f t="array" ref="N417">INDEX(FX_Input,$R417,$Y417*N$5+$Z417)</f>
        <v>0</v>
      </c>
      <c r="O417" cm="1">
        <f t="array" ref="O417">INDEX(FX_Input,$R417,$Y417*O$5+$Z417)</f>
        <v>0</v>
      </c>
      <c r="R417">
        <f>R415</f>
        <v>60</v>
      </c>
      <c r="U417">
        <f>U416</f>
        <v>21</v>
      </c>
      <c r="V417">
        <f t="shared" si="901"/>
        <v>26</v>
      </c>
      <c r="W417">
        <v>1</v>
      </c>
      <c r="X417">
        <v>2</v>
      </c>
      <c r="Y417">
        <f t="shared" si="899"/>
        <v>5</v>
      </c>
      <c r="Z417">
        <f t="shared" si="900"/>
        <v>16</v>
      </c>
    </row>
    <row r="418" spans="1:26" x14ac:dyDescent="0.4">
      <c r="C418" t="s">
        <v>532</v>
      </c>
      <c r="D418" t="str">
        <f t="shared" ref="D418:O418" si="902">IFERROR(VLOOKUP(D412,Phys_Prop,2,FALSE),0)</f>
        <v>N/A</v>
      </c>
      <c r="E418" t="str">
        <f t="shared" si="902"/>
        <v>N/A</v>
      </c>
      <c r="F418" t="str">
        <f t="shared" si="902"/>
        <v>N/A</v>
      </c>
      <c r="G418" t="str">
        <f t="shared" si="902"/>
        <v>N/A</v>
      </c>
      <c r="H418" t="str">
        <f t="shared" si="902"/>
        <v>N/A</v>
      </c>
      <c r="I418" t="str">
        <f t="shared" si="902"/>
        <v>N/A</v>
      </c>
      <c r="J418" t="str">
        <f t="shared" si="902"/>
        <v>N/A</v>
      </c>
      <c r="K418" t="str">
        <f t="shared" si="902"/>
        <v>N/A</v>
      </c>
      <c r="L418" t="str">
        <f t="shared" si="902"/>
        <v>N/A</v>
      </c>
      <c r="M418" t="str">
        <f t="shared" si="902"/>
        <v>N/A</v>
      </c>
      <c r="N418" t="str">
        <f t="shared" si="902"/>
        <v>N/A</v>
      </c>
      <c r="O418" t="str">
        <f t="shared" si="902"/>
        <v>N/A</v>
      </c>
    </row>
    <row r="419" spans="1:26" x14ac:dyDescent="0.4">
      <c r="C419" t="s">
        <v>533</v>
      </c>
      <c r="D419">
        <f t="shared" ref="D419:O419" si="903">IFERROR(VLOOKUP(D413,Phys_Prop,2,FALSE),0)</f>
        <v>0</v>
      </c>
      <c r="E419">
        <f t="shared" si="903"/>
        <v>0</v>
      </c>
      <c r="F419">
        <f t="shared" si="903"/>
        <v>0</v>
      </c>
      <c r="G419">
        <f t="shared" si="903"/>
        <v>0</v>
      </c>
      <c r="H419">
        <f t="shared" si="903"/>
        <v>0</v>
      </c>
      <c r="I419">
        <f t="shared" si="903"/>
        <v>0</v>
      </c>
      <c r="J419">
        <f t="shared" si="903"/>
        <v>0</v>
      </c>
      <c r="K419">
        <f t="shared" si="903"/>
        <v>0</v>
      </c>
      <c r="L419">
        <f t="shared" si="903"/>
        <v>0</v>
      </c>
      <c r="M419">
        <f t="shared" si="903"/>
        <v>0</v>
      </c>
      <c r="N419">
        <f t="shared" si="903"/>
        <v>0</v>
      </c>
      <c r="O419">
        <f t="shared" si="903"/>
        <v>0</v>
      </c>
    </row>
    <row r="420" spans="1:26" x14ac:dyDescent="0.4">
      <c r="C420" t="s">
        <v>544</v>
      </c>
      <c r="D420">
        <f>IFERROR(IFERROR(D418/D416+D419/D417,D418/D416),0)</f>
        <v>0</v>
      </c>
      <c r="E420">
        <f t="shared" ref="E420" si="904">IFERROR(IFERROR(E418/E416+E419/E417,E418/E416),0)</f>
        <v>0</v>
      </c>
      <c r="F420">
        <f t="shared" ref="F420" si="905">IFERROR(IFERROR(F418/F416+F419/F417,F418/F416),0)</f>
        <v>0</v>
      </c>
      <c r="G420">
        <f t="shared" ref="G420" si="906">IFERROR(IFERROR(G418/G416+G419/G417,G418/G416),0)</f>
        <v>0</v>
      </c>
      <c r="H420">
        <f t="shared" ref="H420" si="907">IFERROR(IFERROR(H418/H416+H419/H417,H418/H416),0)</f>
        <v>0</v>
      </c>
      <c r="I420">
        <f t="shared" ref="I420" si="908">IFERROR(IFERROR(I418/I416+I419/I417,I418/I416),0)</f>
        <v>0</v>
      </c>
      <c r="J420">
        <f t="shared" ref="J420" si="909">IFERROR(IFERROR(J418/J416+J419/J417,J418/J416),0)</f>
        <v>0</v>
      </c>
      <c r="K420">
        <f t="shared" ref="K420" si="910">IFERROR(IFERROR(K418/K416+K419/K417,K418/K416),0)</f>
        <v>0</v>
      </c>
      <c r="L420">
        <f t="shared" ref="L420" si="911">IFERROR(IFERROR(L418/L416+L419/L417,L418/L416),0)</f>
        <v>0</v>
      </c>
      <c r="M420">
        <f t="shared" ref="M420" si="912">IFERROR(IFERROR(M418/M416+M419/M417,M418/M416),0)</f>
        <v>0</v>
      </c>
      <c r="N420">
        <f t="shared" ref="N420" si="913">IFERROR(IFERROR(N418/N416+N419/N417,N418/N416),0)</f>
        <v>0</v>
      </c>
      <c r="O420">
        <f t="shared" ref="O420" si="914">IFERROR(IFERROR(O418/O416+O419/O417,O418/O416),0)</f>
        <v>0</v>
      </c>
    </row>
    <row r="421" spans="1:26" x14ac:dyDescent="0.4">
      <c r="C421" t="s">
        <v>539</v>
      </c>
      <c r="D421">
        <f>IFERROR((D416/D418)*D420,1)</f>
        <v>1</v>
      </c>
      <c r="E421">
        <f t="shared" ref="E421" si="915">IFERROR((E416/E418)*E420,1)</f>
        <v>1</v>
      </c>
      <c r="F421">
        <f t="shared" ref="F421" si="916">IFERROR((F416/F418)*F420,1)</f>
        <v>1</v>
      </c>
      <c r="G421">
        <f t="shared" ref="G421" si="917">IFERROR((G416/G418)*G420,1)</f>
        <v>1</v>
      </c>
      <c r="H421">
        <f t="shared" ref="H421" si="918">IFERROR((H416/H418)*H420,1)</f>
        <v>1</v>
      </c>
      <c r="I421">
        <f t="shared" ref="I421" si="919">IFERROR((I416/I418)*I420,1)</f>
        <v>1</v>
      </c>
      <c r="J421">
        <f t="shared" ref="J421" si="920">IFERROR((J416/J418)*J420,1)</f>
        <v>1</v>
      </c>
      <c r="K421">
        <f t="shared" ref="K421" si="921">IFERROR((K416/K418)*K420,1)</f>
        <v>1</v>
      </c>
      <c r="L421">
        <f t="shared" ref="L421" si="922">IFERROR((L416/L418)*L420,1)</f>
        <v>1</v>
      </c>
      <c r="M421">
        <f t="shared" ref="M421" si="923">IFERROR((M416/M418)*M420,1)</f>
        <v>1</v>
      </c>
      <c r="N421">
        <f t="shared" ref="N421" si="924">IFERROR((N416/N418)*N420,1)</f>
        <v>1</v>
      </c>
      <c r="O421">
        <f t="shared" ref="O421" si="925">IFERROR((O416/O418)*O420,1)</f>
        <v>1</v>
      </c>
    </row>
    <row r="422" spans="1:26" x14ac:dyDescent="0.4">
      <c r="C422" t="s">
        <v>540</v>
      </c>
      <c r="D422">
        <f>IFERROR((D417/D419)*D420,0)</f>
        <v>0</v>
      </c>
      <c r="E422">
        <f t="shared" ref="E422:O422" si="926">IFERROR((E417/E419)*E420,0)</f>
        <v>0</v>
      </c>
      <c r="F422">
        <f t="shared" si="926"/>
        <v>0</v>
      </c>
      <c r="G422">
        <f t="shared" si="926"/>
        <v>0</v>
      </c>
      <c r="H422">
        <f t="shared" si="926"/>
        <v>0</v>
      </c>
      <c r="I422">
        <f t="shared" si="926"/>
        <v>0</v>
      </c>
      <c r="J422">
        <f t="shared" si="926"/>
        <v>0</v>
      </c>
      <c r="K422">
        <f t="shared" si="926"/>
        <v>0</v>
      </c>
      <c r="L422">
        <f t="shared" si="926"/>
        <v>0</v>
      </c>
      <c r="M422">
        <f t="shared" si="926"/>
        <v>0</v>
      </c>
      <c r="N422">
        <f t="shared" si="926"/>
        <v>0</v>
      </c>
      <c r="O422">
        <f t="shared" si="926"/>
        <v>0</v>
      </c>
    </row>
    <row r="423" spans="1:26" x14ac:dyDescent="0.4">
      <c r="C423" s="21" t="s">
        <v>534</v>
      </c>
      <c r="D423" t="str">
        <f t="shared" ref="D423:O423" si="927">IFERROR(VLOOKUP(D412,Phys_Prop,4,FALSE),0)</f>
        <v>N/A</v>
      </c>
      <c r="E423" t="str">
        <f t="shared" si="927"/>
        <v>N/A</v>
      </c>
      <c r="F423" t="str">
        <f t="shared" si="927"/>
        <v>N/A</v>
      </c>
      <c r="G423" t="str">
        <f t="shared" si="927"/>
        <v>N/A</v>
      </c>
      <c r="H423" t="str">
        <f t="shared" si="927"/>
        <v>N/A</v>
      </c>
      <c r="I423" t="str">
        <f t="shared" si="927"/>
        <v>N/A</v>
      </c>
      <c r="J423" t="str">
        <f t="shared" si="927"/>
        <v>N/A</v>
      </c>
      <c r="K423" t="str">
        <f t="shared" si="927"/>
        <v>N/A</v>
      </c>
      <c r="L423" t="str">
        <f t="shared" si="927"/>
        <v>N/A</v>
      </c>
      <c r="M423" t="str">
        <f t="shared" si="927"/>
        <v>N/A</v>
      </c>
      <c r="N423" t="str">
        <f t="shared" si="927"/>
        <v>N/A</v>
      </c>
      <c r="O423" t="str">
        <f t="shared" si="927"/>
        <v>N/A</v>
      </c>
    </row>
    <row r="424" spans="1:26" x14ac:dyDescent="0.4">
      <c r="C424" s="21" t="s">
        <v>535</v>
      </c>
      <c r="D424">
        <f t="shared" ref="D424:O424" si="928">IFERROR(VLOOKUP(D413,Phys_Prop,4,FALSE),0)</f>
        <v>0</v>
      </c>
      <c r="E424">
        <f t="shared" si="928"/>
        <v>0</v>
      </c>
      <c r="F424">
        <f t="shared" si="928"/>
        <v>0</v>
      </c>
      <c r="G424">
        <f t="shared" si="928"/>
        <v>0</v>
      </c>
      <c r="H424">
        <f t="shared" si="928"/>
        <v>0</v>
      </c>
      <c r="I424">
        <f t="shared" si="928"/>
        <v>0</v>
      </c>
      <c r="J424">
        <f t="shared" si="928"/>
        <v>0</v>
      </c>
      <c r="K424">
        <f t="shared" si="928"/>
        <v>0</v>
      </c>
      <c r="L424">
        <f t="shared" si="928"/>
        <v>0</v>
      </c>
      <c r="M424">
        <f t="shared" si="928"/>
        <v>0</v>
      </c>
      <c r="N424">
        <f t="shared" si="928"/>
        <v>0</v>
      </c>
      <c r="O424">
        <f t="shared" si="928"/>
        <v>0</v>
      </c>
    </row>
    <row r="425" spans="1:26" x14ac:dyDescent="0.4">
      <c r="A425" s="11"/>
      <c r="B425" s="11"/>
      <c r="C425" s="62" t="s">
        <v>536</v>
      </c>
      <c r="D425" s="11" t="str">
        <f>IFERROR(1/(D421/D423+D422/D424),D423)</f>
        <v>N/A</v>
      </c>
      <c r="E425" s="11" t="str">
        <f t="shared" ref="E425:O425" si="929">IFERROR(1/(E421/E423+E422/E424),E423)</f>
        <v>N/A</v>
      </c>
      <c r="F425" s="11" t="str">
        <f t="shared" si="929"/>
        <v>N/A</v>
      </c>
      <c r="G425" s="11" t="str">
        <f t="shared" si="929"/>
        <v>N/A</v>
      </c>
      <c r="H425" s="11" t="str">
        <f t="shared" si="929"/>
        <v>N/A</v>
      </c>
      <c r="I425" s="11" t="str">
        <f t="shared" si="929"/>
        <v>N/A</v>
      </c>
      <c r="J425" s="11" t="str">
        <f t="shared" si="929"/>
        <v>N/A</v>
      </c>
      <c r="K425" s="11" t="str">
        <f t="shared" si="929"/>
        <v>N/A</v>
      </c>
      <c r="L425" s="11" t="str">
        <f t="shared" si="929"/>
        <v>N/A</v>
      </c>
      <c r="M425" s="11" t="str">
        <f t="shared" si="929"/>
        <v>N/A</v>
      </c>
      <c r="N425" s="11" t="str">
        <f t="shared" si="929"/>
        <v>N/A</v>
      </c>
      <c r="O425" s="11" t="str">
        <f t="shared" si="929"/>
        <v>N/A</v>
      </c>
      <c r="P425" s="11"/>
      <c r="Q425" s="11"/>
      <c r="R425" s="11"/>
      <c r="S425" s="11"/>
      <c r="T425" s="11"/>
      <c r="U425" s="11"/>
      <c r="V425" s="11"/>
      <c r="W425" s="11"/>
      <c r="X425" s="11"/>
      <c r="Y425" s="11"/>
      <c r="Z425" s="11"/>
    </row>
    <row r="426" spans="1:26" x14ac:dyDescent="0.4">
      <c r="A426" t="str" cm="1">
        <f t="array" ref="A426">INDEX(FX_Input,R426,S426)</f>
        <v>FX - 31</v>
      </c>
      <c r="B426" t="str" cm="1">
        <f t="array" ref="B426">INDEX(FX_Input,R426,T426)</f>
        <v>Portland</v>
      </c>
      <c r="C426" t="s">
        <v>528</v>
      </c>
      <c r="D426" t="str" cm="1">
        <f t="array" ref="D426">INDEX(FX_Input,$R426,$Y426*D$5+$Z426)</f>
        <v>Out of Service</v>
      </c>
      <c r="E426" t="str" cm="1">
        <f t="array" ref="E426">INDEX(FX_Input,$R426,$Y426*E$5+$Z426)</f>
        <v>Out of Service</v>
      </c>
      <c r="F426" t="str" cm="1">
        <f t="array" ref="F426">INDEX(FX_Input,$R426,$Y426*F$5+$Z426)</f>
        <v>Out of Service</v>
      </c>
      <c r="G426" t="str" cm="1">
        <f t="array" ref="G426">INDEX(FX_Input,$R426,$Y426*G$5+$Z426)</f>
        <v>Out of Service</v>
      </c>
      <c r="H426" t="str" cm="1">
        <f t="array" ref="H426">INDEX(FX_Input,$R426,$Y426*H$5+$Z426)</f>
        <v>Out of Service</v>
      </c>
      <c r="I426" t="str" cm="1">
        <f t="array" ref="I426">INDEX(FX_Input,$R426,$Y426*I$5+$Z426)</f>
        <v>Out of Service</v>
      </c>
      <c r="J426" t="str" cm="1">
        <f t="array" ref="J426">INDEX(FX_Input,$R426,$Y426*J$5+$Z426)</f>
        <v>Out of Service</v>
      </c>
      <c r="K426" t="str" cm="1">
        <f t="array" ref="K426">INDEX(FX_Input,$R426,$Y426*K$5+$Z426)</f>
        <v>Out of Service</v>
      </c>
      <c r="L426" t="str" cm="1">
        <f t="array" ref="L426">INDEX(FX_Input,$R426,$Y426*L$5+$Z426)</f>
        <v>Out of Service</v>
      </c>
      <c r="M426" t="str" cm="1">
        <f t="array" ref="M426">INDEX(FX_Input,$R426,$Y426*M$5+$Z426)</f>
        <v>Out of Service</v>
      </c>
      <c r="N426" t="str" cm="1">
        <f t="array" ref="N426">INDEX(FX_Input,$R426,$Y426*N$5+$Z426)</f>
        <v>Out of Service</v>
      </c>
      <c r="O426" t="str" cm="1">
        <f t="array" ref="O426">INDEX(FX_Input,$R426,$Y426*O$5+$Z426)</f>
        <v>Out of Service</v>
      </c>
      <c r="R426">
        <f>R412+2</f>
        <v>61</v>
      </c>
      <c r="S426">
        <v>1</v>
      </c>
      <c r="T426">
        <v>3</v>
      </c>
      <c r="U426">
        <v>17</v>
      </c>
      <c r="V426">
        <f>U426+5</f>
        <v>22</v>
      </c>
      <c r="W426">
        <v>1</v>
      </c>
      <c r="X426">
        <v>2</v>
      </c>
      <c r="Y426">
        <f t="shared" ref="Y426:Y431" si="930">(V426-U426)/(X426-W426)</f>
        <v>5</v>
      </c>
      <c r="Z426">
        <f t="shared" ref="Z426:Z431" si="931">U426-Y426*W426</f>
        <v>12</v>
      </c>
    </row>
    <row r="427" spans="1:26" x14ac:dyDescent="0.4">
      <c r="C427" t="s">
        <v>529</v>
      </c>
      <c r="D427" cm="1">
        <f t="array" ref="D427">INDEX(FX_Input,$R427,$Y427*D$5+$Z427)</f>
        <v>0</v>
      </c>
      <c r="E427" cm="1">
        <f t="array" ref="E427">INDEX(FX_Input,$R427,$Y427*E$5+$Z427)</f>
        <v>0</v>
      </c>
      <c r="F427" cm="1">
        <f t="array" ref="F427">INDEX(FX_Input,$R427,$Y427*F$5+$Z427)</f>
        <v>0</v>
      </c>
      <c r="G427" cm="1">
        <f t="array" ref="G427">INDEX(FX_Input,$R427,$Y427*G$5+$Z427)</f>
        <v>0</v>
      </c>
      <c r="H427" cm="1">
        <f t="array" ref="H427">INDEX(FX_Input,$R427,$Y427*H$5+$Z427)</f>
        <v>0</v>
      </c>
      <c r="I427" cm="1">
        <f t="array" ref="I427">INDEX(FX_Input,$R427,$Y427*I$5+$Z427)</f>
        <v>0</v>
      </c>
      <c r="J427" cm="1">
        <f t="array" ref="J427">INDEX(FX_Input,$R427,$Y427*J$5+$Z427)</f>
        <v>0</v>
      </c>
      <c r="K427" cm="1">
        <f t="array" ref="K427">INDEX(FX_Input,$R427,$Y427*K$5+$Z427)</f>
        <v>0</v>
      </c>
      <c r="L427" cm="1">
        <f t="array" ref="L427">INDEX(FX_Input,$R427,$Y427*L$5+$Z427)</f>
        <v>0</v>
      </c>
      <c r="M427" cm="1">
        <f t="array" ref="M427">INDEX(FX_Input,$R427,$Y427*M$5+$Z427)</f>
        <v>0</v>
      </c>
      <c r="N427" cm="1">
        <f t="array" ref="N427">INDEX(FX_Input,$R427,$Y427*N$5+$Z427)</f>
        <v>0</v>
      </c>
      <c r="O427" cm="1">
        <f t="array" ref="O427">INDEX(FX_Input,$R427,$Y427*O$5+$Z427)</f>
        <v>0</v>
      </c>
      <c r="R427">
        <f>R426+1</f>
        <v>62</v>
      </c>
      <c r="U427">
        <f>U426</f>
        <v>17</v>
      </c>
      <c r="V427">
        <f t="shared" ref="V427:V431" si="932">U427+5</f>
        <v>22</v>
      </c>
      <c r="W427">
        <v>1</v>
      </c>
      <c r="X427">
        <v>2</v>
      </c>
      <c r="Y427">
        <f t="shared" si="930"/>
        <v>5</v>
      </c>
      <c r="Z427">
        <f t="shared" si="931"/>
        <v>12</v>
      </c>
    </row>
    <row r="428" spans="1:26" x14ac:dyDescent="0.4">
      <c r="C428" t="s">
        <v>530</v>
      </c>
      <c r="D428" t="str" cm="1">
        <f t="array" ref="D428">INDEX(FX_Input,$R428,$Y428*D$5+$Z428)</f>
        <v>N/A</v>
      </c>
      <c r="E428" t="str" cm="1">
        <f t="array" ref="E428">INDEX(FX_Input,$R428,$Y428*E$5+$Z428)</f>
        <v>N/A</v>
      </c>
      <c r="F428" t="str" cm="1">
        <f t="array" ref="F428">INDEX(FX_Input,$R428,$Y428*F$5+$Z428)</f>
        <v>N/A</v>
      </c>
      <c r="G428" t="str" cm="1">
        <f t="array" ref="G428">INDEX(FX_Input,$R428,$Y428*G$5+$Z428)</f>
        <v>N/A</v>
      </c>
      <c r="H428" t="str" cm="1">
        <f t="array" ref="H428">INDEX(FX_Input,$R428,$Y428*H$5+$Z428)</f>
        <v>N/A</v>
      </c>
      <c r="I428" t="str" cm="1">
        <f t="array" ref="I428">INDEX(FX_Input,$R428,$Y428*I$5+$Z428)</f>
        <v>N/A</v>
      </c>
      <c r="J428" t="str" cm="1">
        <f t="array" ref="J428">INDEX(FX_Input,$R428,$Y428*J$5+$Z428)</f>
        <v>N/A</v>
      </c>
      <c r="K428" t="str" cm="1">
        <f t="array" ref="K428">INDEX(FX_Input,$R428,$Y428*K$5+$Z428)</f>
        <v>N/A</v>
      </c>
      <c r="L428" t="str" cm="1">
        <f t="array" ref="L428">INDEX(FX_Input,$R428,$Y428*L$5+$Z428)</f>
        <v>N/A</v>
      </c>
      <c r="M428" t="str" cm="1">
        <f t="array" ref="M428">INDEX(FX_Input,$R428,$Y428*M$5+$Z428)</f>
        <v>N/A</v>
      </c>
      <c r="N428" t="str" cm="1">
        <f t="array" ref="N428">INDEX(FX_Input,$R428,$Y428*N$5+$Z428)</f>
        <v>N/A</v>
      </c>
      <c r="O428" t="str" cm="1">
        <f t="array" ref="O428">INDEX(FX_Input,$R428,$Y428*O$5+$Z428)</f>
        <v>N/A</v>
      </c>
      <c r="R428">
        <f>R426</f>
        <v>61</v>
      </c>
      <c r="U428">
        <v>18</v>
      </c>
      <c r="V428">
        <f t="shared" si="932"/>
        <v>23</v>
      </c>
      <c r="W428">
        <v>1</v>
      </c>
      <c r="X428">
        <v>2</v>
      </c>
      <c r="Y428">
        <f t="shared" si="930"/>
        <v>5</v>
      </c>
      <c r="Z428">
        <f t="shared" si="931"/>
        <v>13</v>
      </c>
    </row>
    <row r="429" spans="1:26" x14ac:dyDescent="0.4">
      <c r="C429" t="s">
        <v>531</v>
      </c>
      <c r="D429" cm="1">
        <f t="array" ref="D429">INDEX(FX_Input,$R429,$Y429*D$5+$Z429)</f>
        <v>0</v>
      </c>
      <c r="E429" cm="1">
        <f t="array" ref="E429">INDEX(FX_Input,$R429,$Y429*E$5+$Z429)</f>
        <v>0</v>
      </c>
      <c r="F429" cm="1">
        <f t="array" ref="F429">INDEX(FX_Input,$R429,$Y429*F$5+$Z429)</f>
        <v>0</v>
      </c>
      <c r="G429" cm="1">
        <f t="array" ref="G429">INDEX(FX_Input,$R429,$Y429*G$5+$Z429)</f>
        <v>0</v>
      </c>
      <c r="H429" cm="1">
        <f t="array" ref="H429">INDEX(FX_Input,$R429,$Y429*H$5+$Z429)</f>
        <v>0</v>
      </c>
      <c r="I429" cm="1">
        <f t="array" ref="I429">INDEX(FX_Input,$R429,$Y429*I$5+$Z429)</f>
        <v>0</v>
      </c>
      <c r="J429" cm="1">
        <f t="array" ref="J429">INDEX(FX_Input,$R429,$Y429*J$5+$Z429)</f>
        <v>0</v>
      </c>
      <c r="K429" cm="1">
        <f t="array" ref="K429">INDEX(FX_Input,$R429,$Y429*K$5+$Z429)</f>
        <v>0</v>
      </c>
      <c r="L429" cm="1">
        <f t="array" ref="L429">INDEX(FX_Input,$R429,$Y429*L$5+$Z429)</f>
        <v>0</v>
      </c>
      <c r="M429" cm="1">
        <f t="array" ref="M429">INDEX(FX_Input,$R429,$Y429*M$5+$Z429)</f>
        <v>0</v>
      </c>
      <c r="N429" cm="1">
        <f t="array" ref="N429">INDEX(FX_Input,$R429,$Y429*N$5+$Z429)</f>
        <v>0</v>
      </c>
      <c r="O429" cm="1">
        <f t="array" ref="O429">INDEX(FX_Input,$R429,$Y429*O$5+$Z429)</f>
        <v>0</v>
      </c>
      <c r="R429">
        <f>R427</f>
        <v>62</v>
      </c>
      <c r="U429">
        <f>U428</f>
        <v>18</v>
      </c>
      <c r="V429">
        <f t="shared" si="932"/>
        <v>23</v>
      </c>
      <c r="W429">
        <v>1</v>
      </c>
      <c r="X429">
        <v>2</v>
      </c>
      <c r="Y429">
        <f t="shared" si="930"/>
        <v>5</v>
      </c>
      <c r="Z429">
        <f t="shared" si="931"/>
        <v>13</v>
      </c>
    </row>
    <row r="430" spans="1:26" x14ac:dyDescent="0.4">
      <c r="C430" t="s">
        <v>546</v>
      </c>
      <c r="D430" cm="1">
        <f t="array" ref="D430">INDEX(FX_Input,$R430,$Y430*D$5+$Z430)</f>
        <v>1</v>
      </c>
      <c r="E430" cm="1">
        <f t="array" ref="E430">INDEX(FX_Input,$R430,$Y430*E$5+$Z430)</f>
        <v>1</v>
      </c>
      <c r="F430" cm="1">
        <f t="array" ref="F430">INDEX(FX_Input,$R430,$Y430*F$5+$Z430)</f>
        <v>1</v>
      </c>
      <c r="G430" cm="1">
        <f t="array" ref="G430">INDEX(FX_Input,$R430,$Y430*G$5+$Z430)</f>
        <v>1</v>
      </c>
      <c r="H430" cm="1">
        <f t="array" ref="H430">INDEX(FX_Input,$R430,$Y430*H$5+$Z430)</f>
        <v>1</v>
      </c>
      <c r="I430" cm="1">
        <f t="array" ref="I430">INDEX(FX_Input,$R430,$Y430*I$5+$Z430)</f>
        <v>1</v>
      </c>
      <c r="J430" cm="1">
        <f t="array" ref="J430">INDEX(FX_Input,$R430,$Y430*J$5+$Z430)</f>
        <v>1</v>
      </c>
      <c r="K430" cm="1">
        <f t="array" ref="K430">INDEX(FX_Input,$R430,$Y430*K$5+$Z430)</f>
        <v>1</v>
      </c>
      <c r="L430" cm="1">
        <f t="array" ref="L430">INDEX(FX_Input,$R430,$Y430*L$5+$Z430)</f>
        <v>1</v>
      </c>
      <c r="M430" cm="1">
        <f t="array" ref="M430">INDEX(FX_Input,$R430,$Y430*M$5+$Z430)</f>
        <v>1</v>
      </c>
      <c r="N430" cm="1">
        <f t="array" ref="N430">INDEX(FX_Input,$R430,$Y430*N$5+$Z430)</f>
        <v>1</v>
      </c>
      <c r="O430" cm="1">
        <f t="array" ref="O430">INDEX(FX_Input,$R430,$Y430*O$5+$Z430)</f>
        <v>1</v>
      </c>
      <c r="R430">
        <f>R428</f>
        <v>61</v>
      </c>
      <c r="U430">
        <v>21</v>
      </c>
      <c r="V430">
        <f t="shared" si="932"/>
        <v>26</v>
      </c>
      <c r="W430">
        <v>1</v>
      </c>
      <c r="X430">
        <v>2</v>
      </c>
      <c r="Y430">
        <f t="shared" si="930"/>
        <v>5</v>
      </c>
      <c r="Z430">
        <f t="shared" si="931"/>
        <v>16</v>
      </c>
    </row>
    <row r="431" spans="1:26" x14ac:dyDescent="0.4">
      <c r="C431" t="s">
        <v>547</v>
      </c>
      <c r="D431" cm="1">
        <f t="array" ref="D431">INDEX(FX_Input,$R431,$Y431*D$5+$Z431)</f>
        <v>0</v>
      </c>
      <c r="E431" cm="1">
        <f t="array" ref="E431">INDEX(FX_Input,$R431,$Y431*E$5+$Z431)</f>
        <v>0</v>
      </c>
      <c r="F431" cm="1">
        <f t="array" ref="F431">INDEX(FX_Input,$R431,$Y431*F$5+$Z431)</f>
        <v>0</v>
      </c>
      <c r="G431" cm="1">
        <f t="array" ref="G431">INDEX(FX_Input,$R431,$Y431*G$5+$Z431)</f>
        <v>0</v>
      </c>
      <c r="H431" cm="1">
        <f t="array" ref="H431">INDEX(FX_Input,$R431,$Y431*H$5+$Z431)</f>
        <v>0</v>
      </c>
      <c r="I431" cm="1">
        <f t="array" ref="I431">INDEX(FX_Input,$R431,$Y431*I$5+$Z431)</f>
        <v>0</v>
      </c>
      <c r="J431" cm="1">
        <f t="array" ref="J431">INDEX(FX_Input,$R431,$Y431*J$5+$Z431)</f>
        <v>0</v>
      </c>
      <c r="K431" cm="1">
        <f t="array" ref="K431">INDEX(FX_Input,$R431,$Y431*K$5+$Z431)</f>
        <v>0</v>
      </c>
      <c r="L431" cm="1">
        <f t="array" ref="L431">INDEX(FX_Input,$R431,$Y431*L$5+$Z431)</f>
        <v>0</v>
      </c>
      <c r="M431" cm="1">
        <f t="array" ref="M431">INDEX(FX_Input,$R431,$Y431*M$5+$Z431)</f>
        <v>0</v>
      </c>
      <c r="N431" cm="1">
        <f t="array" ref="N431">INDEX(FX_Input,$R431,$Y431*N$5+$Z431)</f>
        <v>0</v>
      </c>
      <c r="O431" cm="1">
        <f t="array" ref="O431">INDEX(FX_Input,$R431,$Y431*O$5+$Z431)</f>
        <v>0</v>
      </c>
      <c r="R431">
        <f>R429</f>
        <v>62</v>
      </c>
      <c r="U431">
        <f>U430</f>
        <v>21</v>
      </c>
      <c r="V431">
        <f t="shared" si="932"/>
        <v>26</v>
      </c>
      <c r="W431">
        <v>1</v>
      </c>
      <c r="X431">
        <v>2</v>
      </c>
      <c r="Y431">
        <f t="shared" si="930"/>
        <v>5</v>
      </c>
      <c r="Z431">
        <f t="shared" si="931"/>
        <v>16</v>
      </c>
    </row>
    <row r="432" spans="1:26" x14ac:dyDescent="0.4">
      <c r="C432" t="s">
        <v>532</v>
      </c>
      <c r="D432" t="str">
        <f t="shared" ref="D432:O432" si="933">IFERROR(VLOOKUP(D426,Phys_Prop,2,FALSE),0)</f>
        <v>N/A</v>
      </c>
      <c r="E432" t="str">
        <f t="shared" si="933"/>
        <v>N/A</v>
      </c>
      <c r="F432" t="str">
        <f t="shared" si="933"/>
        <v>N/A</v>
      </c>
      <c r="G432" t="str">
        <f t="shared" si="933"/>
        <v>N/A</v>
      </c>
      <c r="H432" t="str">
        <f t="shared" si="933"/>
        <v>N/A</v>
      </c>
      <c r="I432" t="str">
        <f t="shared" si="933"/>
        <v>N/A</v>
      </c>
      <c r="J432" t="str">
        <f t="shared" si="933"/>
        <v>N/A</v>
      </c>
      <c r="K432" t="str">
        <f t="shared" si="933"/>
        <v>N/A</v>
      </c>
      <c r="L432" t="str">
        <f t="shared" si="933"/>
        <v>N/A</v>
      </c>
      <c r="M432" t="str">
        <f t="shared" si="933"/>
        <v>N/A</v>
      </c>
      <c r="N432" t="str">
        <f t="shared" si="933"/>
        <v>N/A</v>
      </c>
      <c r="O432" t="str">
        <f t="shared" si="933"/>
        <v>N/A</v>
      </c>
    </row>
    <row r="433" spans="1:26" x14ac:dyDescent="0.4">
      <c r="C433" t="s">
        <v>533</v>
      </c>
      <c r="D433">
        <f t="shared" ref="D433:O433" si="934">IFERROR(VLOOKUP(D427,Phys_Prop,2,FALSE),0)</f>
        <v>0</v>
      </c>
      <c r="E433">
        <f t="shared" si="934"/>
        <v>0</v>
      </c>
      <c r="F433">
        <f t="shared" si="934"/>
        <v>0</v>
      </c>
      <c r="G433">
        <f t="shared" si="934"/>
        <v>0</v>
      </c>
      <c r="H433">
        <f t="shared" si="934"/>
        <v>0</v>
      </c>
      <c r="I433">
        <f t="shared" si="934"/>
        <v>0</v>
      </c>
      <c r="J433">
        <f t="shared" si="934"/>
        <v>0</v>
      </c>
      <c r="K433">
        <f t="shared" si="934"/>
        <v>0</v>
      </c>
      <c r="L433">
        <f t="shared" si="934"/>
        <v>0</v>
      </c>
      <c r="M433">
        <f t="shared" si="934"/>
        <v>0</v>
      </c>
      <c r="N433">
        <f t="shared" si="934"/>
        <v>0</v>
      </c>
      <c r="O433">
        <f t="shared" si="934"/>
        <v>0</v>
      </c>
    </row>
    <row r="434" spans="1:26" x14ac:dyDescent="0.4">
      <c r="C434" t="s">
        <v>544</v>
      </c>
      <c r="D434">
        <f>IFERROR(IFERROR(D432/D430+D433/D431,D432/D430),0)</f>
        <v>0</v>
      </c>
      <c r="E434">
        <f t="shared" ref="E434" si="935">IFERROR(IFERROR(E432/E430+E433/E431,E432/E430),0)</f>
        <v>0</v>
      </c>
      <c r="F434">
        <f t="shared" ref="F434" si="936">IFERROR(IFERROR(F432/F430+F433/F431,F432/F430),0)</f>
        <v>0</v>
      </c>
      <c r="G434">
        <f t="shared" ref="G434" si="937">IFERROR(IFERROR(G432/G430+G433/G431,G432/G430),0)</f>
        <v>0</v>
      </c>
      <c r="H434">
        <f t="shared" ref="H434" si="938">IFERROR(IFERROR(H432/H430+H433/H431,H432/H430),0)</f>
        <v>0</v>
      </c>
      <c r="I434">
        <f t="shared" ref="I434" si="939">IFERROR(IFERROR(I432/I430+I433/I431,I432/I430),0)</f>
        <v>0</v>
      </c>
      <c r="J434">
        <f t="shared" ref="J434" si="940">IFERROR(IFERROR(J432/J430+J433/J431,J432/J430),0)</f>
        <v>0</v>
      </c>
      <c r="K434">
        <f t="shared" ref="K434" si="941">IFERROR(IFERROR(K432/K430+K433/K431,K432/K430),0)</f>
        <v>0</v>
      </c>
      <c r="L434">
        <f t="shared" ref="L434" si="942">IFERROR(IFERROR(L432/L430+L433/L431,L432/L430),0)</f>
        <v>0</v>
      </c>
      <c r="M434">
        <f t="shared" ref="M434" si="943">IFERROR(IFERROR(M432/M430+M433/M431,M432/M430),0)</f>
        <v>0</v>
      </c>
      <c r="N434">
        <f t="shared" ref="N434" si="944">IFERROR(IFERROR(N432/N430+N433/N431,N432/N430),0)</f>
        <v>0</v>
      </c>
      <c r="O434">
        <f t="shared" ref="O434" si="945">IFERROR(IFERROR(O432/O430+O433/O431,O432/O430),0)</f>
        <v>0</v>
      </c>
    </row>
    <row r="435" spans="1:26" x14ac:dyDescent="0.4">
      <c r="C435" t="s">
        <v>539</v>
      </c>
      <c r="D435">
        <f>IFERROR((D430/D432)*D434,1)</f>
        <v>1</v>
      </c>
      <c r="E435">
        <f t="shared" ref="E435" si="946">IFERROR((E430/E432)*E434,1)</f>
        <v>1</v>
      </c>
      <c r="F435">
        <f t="shared" ref="F435" si="947">IFERROR((F430/F432)*F434,1)</f>
        <v>1</v>
      </c>
      <c r="G435">
        <f t="shared" ref="G435" si="948">IFERROR((G430/G432)*G434,1)</f>
        <v>1</v>
      </c>
      <c r="H435">
        <f t="shared" ref="H435" si="949">IFERROR((H430/H432)*H434,1)</f>
        <v>1</v>
      </c>
      <c r="I435">
        <f t="shared" ref="I435" si="950">IFERROR((I430/I432)*I434,1)</f>
        <v>1</v>
      </c>
      <c r="J435">
        <f t="shared" ref="J435" si="951">IFERROR((J430/J432)*J434,1)</f>
        <v>1</v>
      </c>
      <c r="K435">
        <f t="shared" ref="K435" si="952">IFERROR((K430/K432)*K434,1)</f>
        <v>1</v>
      </c>
      <c r="L435">
        <f t="shared" ref="L435" si="953">IFERROR((L430/L432)*L434,1)</f>
        <v>1</v>
      </c>
      <c r="M435">
        <f t="shared" ref="M435" si="954">IFERROR((M430/M432)*M434,1)</f>
        <v>1</v>
      </c>
      <c r="N435">
        <f t="shared" ref="N435" si="955">IFERROR((N430/N432)*N434,1)</f>
        <v>1</v>
      </c>
      <c r="O435">
        <f t="shared" ref="O435" si="956">IFERROR((O430/O432)*O434,1)</f>
        <v>1</v>
      </c>
    </row>
    <row r="436" spans="1:26" x14ac:dyDescent="0.4">
      <c r="C436" t="s">
        <v>540</v>
      </c>
      <c r="D436">
        <f>IFERROR((D431/D433)*D434,0)</f>
        <v>0</v>
      </c>
      <c r="E436">
        <f t="shared" ref="E436:O436" si="957">IFERROR((E431/E433)*E434,0)</f>
        <v>0</v>
      </c>
      <c r="F436">
        <f t="shared" si="957"/>
        <v>0</v>
      </c>
      <c r="G436">
        <f t="shared" si="957"/>
        <v>0</v>
      </c>
      <c r="H436">
        <f t="shared" si="957"/>
        <v>0</v>
      </c>
      <c r="I436">
        <f t="shared" si="957"/>
        <v>0</v>
      </c>
      <c r="J436">
        <f t="shared" si="957"/>
        <v>0</v>
      </c>
      <c r="K436">
        <f t="shared" si="957"/>
        <v>0</v>
      </c>
      <c r="L436">
        <f t="shared" si="957"/>
        <v>0</v>
      </c>
      <c r="M436">
        <f t="shared" si="957"/>
        <v>0</v>
      </c>
      <c r="N436">
        <f t="shared" si="957"/>
        <v>0</v>
      </c>
      <c r="O436">
        <f t="shared" si="957"/>
        <v>0</v>
      </c>
    </row>
    <row r="437" spans="1:26" x14ac:dyDescent="0.4">
      <c r="C437" s="21" t="s">
        <v>534</v>
      </c>
      <c r="D437" t="str">
        <f t="shared" ref="D437:O437" si="958">IFERROR(VLOOKUP(D426,Phys_Prop,4,FALSE),0)</f>
        <v>N/A</v>
      </c>
      <c r="E437" t="str">
        <f t="shared" si="958"/>
        <v>N/A</v>
      </c>
      <c r="F437" t="str">
        <f t="shared" si="958"/>
        <v>N/A</v>
      </c>
      <c r="G437" t="str">
        <f t="shared" si="958"/>
        <v>N/A</v>
      </c>
      <c r="H437" t="str">
        <f t="shared" si="958"/>
        <v>N/A</v>
      </c>
      <c r="I437" t="str">
        <f t="shared" si="958"/>
        <v>N/A</v>
      </c>
      <c r="J437" t="str">
        <f t="shared" si="958"/>
        <v>N/A</v>
      </c>
      <c r="K437" t="str">
        <f t="shared" si="958"/>
        <v>N/A</v>
      </c>
      <c r="L437" t="str">
        <f t="shared" si="958"/>
        <v>N/A</v>
      </c>
      <c r="M437" t="str">
        <f t="shared" si="958"/>
        <v>N/A</v>
      </c>
      <c r="N437" t="str">
        <f t="shared" si="958"/>
        <v>N/A</v>
      </c>
      <c r="O437" t="str">
        <f t="shared" si="958"/>
        <v>N/A</v>
      </c>
    </row>
    <row r="438" spans="1:26" x14ac:dyDescent="0.4">
      <c r="C438" s="21" t="s">
        <v>535</v>
      </c>
      <c r="D438">
        <f t="shared" ref="D438:O438" si="959">IFERROR(VLOOKUP(D427,Phys_Prop,4,FALSE),0)</f>
        <v>0</v>
      </c>
      <c r="E438">
        <f t="shared" si="959"/>
        <v>0</v>
      </c>
      <c r="F438">
        <f t="shared" si="959"/>
        <v>0</v>
      </c>
      <c r="G438">
        <f t="shared" si="959"/>
        <v>0</v>
      </c>
      <c r="H438">
        <f t="shared" si="959"/>
        <v>0</v>
      </c>
      <c r="I438">
        <f t="shared" si="959"/>
        <v>0</v>
      </c>
      <c r="J438">
        <f t="shared" si="959"/>
        <v>0</v>
      </c>
      <c r="K438">
        <f t="shared" si="959"/>
        <v>0</v>
      </c>
      <c r="L438">
        <f t="shared" si="959"/>
        <v>0</v>
      </c>
      <c r="M438">
        <f t="shared" si="959"/>
        <v>0</v>
      </c>
      <c r="N438">
        <f t="shared" si="959"/>
        <v>0</v>
      </c>
      <c r="O438">
        <f t="shared" si="959"/>
        <v>0</v>
      </c>
    </row>
    <row r="439" spans="1:26" x14ac:dyDescent="0.4">
      <c r="A439" s="11"/>
      <c r="B439" s="11"/>
      <c r="C439" s="62" t="s">
        <v>536</v>
      </c>
      <c r="D439" s="11" t="str">
        <f>IFERROR(1/(D435/D437+D436/D438),D437)</f>
        <v>N/A</v>
      </c>
      <c r="E439" s="11" t="str">
        <f t="shared" ref="E439:O439" si="960">IFERROR(1/(E435/E437+E436/E438),E437)</f>
        <v>N/A</v>
      </c>
      <c r="F439" s="11" t="str">
        <f t="shared" si="960"/>
        <v>N/A</v>
      </c>
      <c r="G439" s="11" t="str">
        <f t="shared" si="960"/>
        <v>N/A</v>
      </c>
      <c r="H439" s="11" t="str">
        <f t="shared" si="960"/>
        <v>N/A</v>
      </c>
      <c r="I439" s="11" t="str">
        <f t="shared" si="960"/>
        <v>N/A</v>
      </c>
      <c r="J439" s="11" t="str">
        <f t="shared" si="960"/>
        <v>N/A</v>
      </c>
      <c r="K439" s="11" t="str">
        <f t="shared" si="960"/>
        <v>N/A</v>
      </c>
      <c r="L439" s="11" t="str">
        <f t="shared" si="960"/>
        <v>N/A</v>
      </c>
      <c r="M439" s="11" t="str">
        <f t="shared" si="960"/>
        <v>N/A</v>
      </c>
      <c r="N439" s="11" t="str">
        <f t="shared" si="960"/>
        <v>N/A</v>
      </c>
      <c r="O439" s="11" t="str">
        <f t="shared" si="960"/>
        <v>N/A</v>
      </c>
      <c r="P439" s="11"/>
      <c r="Q439" s="11"/>
      <c r="R439" s="11"/>
      <c r="S439" s="11"/>
      <c r="T439" s="11"/>
      <c r="U439" s="11"/>
      <c r="V439" s="11"/>
      <c r="W439" s="11"/>
      <c r="X439" s="11"/>
      <c r="Y439" s="11"/>
      <c r="Z439" s="11"/>
    </row>
    <row r="440" spans="1:26" x14ac:dyDescent="0.4">
      <c r="A440" t="str" cm="1">
        <f t="array" ref="A440">INDEX(FX_Input,R440,S440)</f>
        <v>FX - 32</v>
      </c>
      <c r="B440" t="str" cm="1">
        <f t="array" ref="B440">INDEX(FX_Input,R440,T440)</f>
        <v>Portland</v>
      </c>
      <c r="C440" t="s">
        <v>528</v>
      </c>
      <c r="D440" t="str" cm="1">
        <f t="array" ref="D440">INDEX(FX_Input,$R440,$Y440*D$5+$Z440)</f>
        <v>Out of Service</v>
      </c>
      <c r="E440" t="str" cm="1">
        <f t="array" ref="E440">INDEX(FX_Input,$R440,$Y440*E$5+$Z440)</f>
        <v>Out of Service</v>
      </c>
      <c r="F440" t="str" cm="1">
        <f t="array" ref="F440">INDEX(FX_Input,$R440,$Y440*F$5+$Z440)</f>
        <v>Out of Service</v>
      </c>
      <c r="G440" t="str" cm="1">
        <f t="array" ref="G440">INDEX(FX_Input,$R440,$Y440*G$5+$Z440)</f>
        <v>Out of Service</v>
      </c>
      <c r="H440" t="str" cm="1">
        <f t="array" ref="H440">INDEX(FX_Input,$R440,$Y440*H$5+$Z440)</f>
        <v>Out of Service</v>
      </c>
      <c r="I440" t="str" cm="1">
        <f t="array" ref="I440">INDEX(FX_Input,$R440,$Y440*I$5+$Z440)</f>
        <v>Out of Service</v>
      </c>
      <c r="J440" t="str" cm="1">
        <f t="array" ref="J440">INDEX(FX_Input,$R440,$Y440*J$5+$Z440)</f>
        <v>Out of Service</v>
      </c>
      <c r="K440" t="str" cm="1">
        <f t="array" ref="K440">INDEX(FX_Input,$R440,$Y440*K$5+$Z440)</f>
        <v>Out of Service</v>
      </c>
      <c r="L440" t="str" cm="1">
        <f t="array" ref="L440">INDEX(FX_Input,$R440,$Y440*L$5+$Z440)</f>
        <v>Out of Service</v>
      </c>
      <c r="M440" t="str" cm="1">
        <f t="array" ref="M440">INDEX(FX_Input,$R440,$Y440*M$5+$Z440)</f>
        <v>Out of Service</v>
      </c>
      <c r="N440" t="str" cm="1">
        <f t="array" ref="N440">INDEX(FX_Input,$R440,$Y440*N$5+$Z440)</f>
        <v>Out of Service</v>
      </c>
      <c r="O440" t="str" cm="1">
        <f t="array" ref="O440">INDEX(FX_Input,$R440,$Y440*O$5+$Z440)</f>
        <v>Out of Service</v>
      </c>
      <c r="R440">
        <f>R426+2</f>
        <v>63</v>
      </c>
      <c r="S440">
        <v>1</v>
      </c>
      <c r="T440">
        <v>3</v>
      </c>
      <c r="U440">
        <v>17</v>
      </c>
      <c r="V440">
        <f>U440+5</f>
        <v>22</v>
      </c>
      <c r="W440">
        <v>1</v>
      </c>
      <c r="X440">
        <v>2</v>
      </c>
      <c r="Y440">
        <f t="shared" ref="Y440:Y445" si="961">(V440-U440)/(X440-W440)</f>
        <v>5</v>
      </c>
      <c r="Z440">
        <f t="shared" ref="Z440:Z445" si="962">U440-Y440*W440</f>
        <v>12</v>
      </c>
    </row>
    <row r="441" spans="1:26" x14ac:dyDescent="0.4">
      <c r="C441" t="s">
        <v>529</v>
      </c>
      <c r="D441" cm="1">
        <f t="array" ref="D441">INDEX(FX_Input,$R441,$Y441*D$5+$Z441)</f>
        <v>0</v>
      </c>
      <c r="E441" cm="1">
        <f t="array" ref="E441">INDEX(FX_Input,$R441,$Y441*E$5+$Z441)</f>
        <v>0</v>
      </c>
      <c r="F441" cm="1">
        <f t="array" ref="F441">INDEX(FX_Input,$R441,$Y441*F$5+$Z441)</f>
        <v>0</v>
      </c>
      <c r="G441" cm="1">
        <f t="array" ref="G441">INDEX(FX_Input,$R441,$Y441*G$5+$Z441)</f>
        <v>0</v>
      </c>
      <c r="H441" cm="1">
        <f t="array" ref="H441">INDEX(FX_Input,$R441,$Y441*H$5+$Z441)</f>
        <v>0</v>
      </c>
      <c r="I441" cm="1">
        <f t="array" ref="I441">INDEX(FX_Input,$R441,$Y441*I$5+$Z441)</f>
        <v>0</v>
      </c>
      <c r="J441" cm="1">
        <f t="array" ref="J441">INDEX(FX_Input,$R441,$Y441*J$5+$Z441)</f>
        <v>0</v>
      </c>
      <c r="K441" cm="1">
        <f t="array" ref="K441">INDEX(FX_Input,$R441,$Y441*K$5+$Z441)</f>
        <v>0</v>
      </c>
      <c r="L441" cm="1">
        <f t="array" ref="L441">INDEX(FX_Input,$R441,$Y441*L$5+$Z441)</f>
        <v>0</v>
      </c>
      <c r="M441" cm="1">
        <f t="array" ref="M441">INDEX(FX_Input,$R441,$Y441*M$5+$Z441)</f>
        <v>0</v>
      </c>
      <c r="N441" cm="1">
        <f t="array" ref="N441">INDEX(FX_Input,$R441,$Y441*N$5+$Z441)</f>
        <v>0</v>
      </c>
      <c r="O441" cm="1">
        <f t="array" ref="O441">INDEX(FX_Input,$R441,$Y441*O$5+$Z441)</f>
        <v>0</v>
      </c>
      <c r="R441">
        <f>R440+1</f>
        <v>64</v>
      </c>
      <c r="U441">
        <f>U440</f>
        <v>17</v>
      </c>
      <c r="V441">
        <f t="shared" ref="V441:V445" si="963">U441+5</f>
        <v>22</v>
      </c>
      <c r="W441">
        <v>1</v>
      </c>
      <c r="X441">
        <v>2</v>
      </c>
      <c r="Y441">
        <f t="shared" si="961"/>
        <v>5</v>
      </c>
      <c r="Z441">
        <f t="shared" si="962"/>
        <v>12</v>
      </c>
    </row>
    <row r="442" spans="1:26" x14ac:dyDescent="0.4">
      <c r="C442" t="s">
        <v>530</v>
      </c>
      <c r="D442" t="str" cm="1">
        <f t="array" ref="D442">INDEX(FX_Input,$R442,$Y442*D$5+$Z442)</f>
        <v>N/A</v>
      </c>
      <c r="E442" t="str" cm="1">
        <f t="array" ref="E442">INDEX(FX_Input,$R442,$Y442*E$5+$Z442)</f>
        <v>N/A</v>
      </c>
      <c r="F442" t="str" cm="1">
        <f t="array" ref="F442">INDEX(FX_Input,$R442,$Y442*F$5+$Z442)</f>
        <v>N/A</v>
      </c>
      <c r="G442" t="str" cm="1">
        <f t="array" ref="G442">INDEX(FX_Input,$R442,$Y442*G$5+$Z442)</f>
        <v>N/A</v>
      </c>
      <c r="H442" t="str" cm="1">
        <f t="array" ref="H442">INDEX(FX_Input,$R442,$Y442*H$5+$Z442)</f>
        <v>N/A</v>
      </c>
      <c r="I442" t="str" cm="1">
        <f t="array" ref="I442">INDEX(FX_Input,$R442,$Y442*I$5+$Z442)</f>
        <v>N/A</v>
      </c>
      <c r="J442" t="str" cm="1">
        <f t="array" ref="J442">INDEX(FX_Input,$R442,$Y442*J$5+$Z442)</f>
        <v>N/A</v>
      </c>
      <c r="K442" t="str" cm="1">
        <f t="array" ref="K442">INDEX(FX_Input,$R442,$Y442*K$5+$Z442)</f>
        <v>N/A</v>
      </c>
      <c r="L442" t="str" cm="1">
        <f t="array" ref="L442">INDEX(FX_Input,$R442,$Y442*L$5+$Z442)</f>
        <v>N/A</v>
      </c>
      <c r="M442" t="str" cm="1">
        <f t="array" ref="M442">INDEX(FX_Input,$R442,$Y442*M$5+$Z442)</f>
        <v>N/A</v>
      </c>
      <c r="N442" t="str" cm="1">
        <f t="array" ref="N442">INDEX(FX_Input,$R442,$Y442*N$5+$Z442)</f>
        <v>N/A</v>
      </c>
      <c r="O442" t="str" cm="1">
        <f t="array" ref="O442">INDEX(FX_Input,$R442,$Y442*O$5+$Z442)</f>
        <v>N/A</v>
      </c>
      <c r="R442">
        <f>R440</f>
        <v>63</v>
      </c>
      <c r="U442">
        <v>18</v>
      </c>
      <c r="V442">
        <f t="shared" si="963"/>
        <v>23</v>
      </c>
      <c r="W442">
        <v>1</v>
      </c>
      <c r="X442">
        <v>2</v>
      </c>
      <c r="Y442">
        <f t="shared" si="961"/>
        <v>5</v>
      </c>
      <c r="Z442">
        <f t="shared" si="962"/>
        <v>13</v>
      </c>
    </row>
    <row r="443" spans="1:26" x14ac:dyDescent="0.4">
      <c r="C443" t="s">
        <v>531</v>
      </c>
      <c r="D443" cm="1">
        <f t="array" ref="D443">INDEX(FX_Input,$R443,$Y443*D$5+$Z443)</f>
        <v>0</v>
      </c>
      <c r="E443" cm="1">
        <f t="array" ref="E443">INDEX(FX_Input,$R443,$Y443*E$5+$Z443)</f>
        <v>0</v>
      </c>
      <c r="F443" cm="1">
        <f t="array" ref="F443">INDEX(FX_Input,$R443,$Y443*F$5+$Z443)</f>
        <v>0</v>
      </c>
      <c r="G443" cm="1">
        <f t="array" ref="G443">INDEX(FX_Input,$R443,$Y443*G$5+$Z443)</f>
        <v>0</v>
      </c>
      <c r="H443" cm="1">
        <f t="array" ref="H443">INDEX(FX_Input,$R443,$Y443*H$5+$Z443)</f>
        <v>0</v>
      </c>
      <c r="I443" cm="1">
        <f t="array" ref="I443">INDEX(FX_Input,$R443,$Y443*I$5+$Z443)</f>
        <v>0</v>
      </c>
      <c r="J443" cm="1">
        <f t="array" ref="J443">INDEX(FX_Input,$R443,$Y443*J$5+$Z443)</f>
        <v>0</v>
      </c>
      <c r="K443" cm="1">
        <f t="array" ref="K443">INDEX(FX_Input,$R443,$Y443*K$5+$Z443)</f>
        <v>0</v>
      </c>
      <c r="L443" cm="1">
        <f t="array" ref="L443">INDEX(FX_Input,$R443,$Y443*L$5+$Z443)</f>
        <v>0</v>
      </c>
      <c r="M443" cm="1">
        <f t="array" ref="M443">INDEX(FX_Input,$R443,$Y443*M$5+$Z443)</f>
        <v>0</v>
      </c>
      <c r="N443" cm="1">
        <f t="array" ref="N443">INDEX(FX_Input,$R443,$Y443*N$5+$Z443)</f>
        <v>0</v>
      </c>
      <c r="O443" cm="1">
        <f t="array" ref="O443">INDEX(FX_Input,$R443,$Y443*O$5+$Z443)</f>
        <v>0</v>
      </c>
      <c r="R443">
        <f>R441</f>
        <v>64</v>
      </c>
      <c r="U443">
        <f>U442</f>
        <v>18</v>
      </c>
      <c r="V443">
        <f t="shared" si="963"/>
        <v>23</v>
      </c>
      <c r="W443">
        <v>1</v>
      </c>
      <c r="X443">
        <v>2</v>
      </c>
      <c r="Y443">
        <f t="shared" si="961"/>
        <v>5</v>
      </c>
      <c r="Z443">
        <f t="shared" si="962"/>
        <v>13</v>
      </c>
    </row>
    <row r="444" spans="1:26" x14ac:dyDescent="0.4">
      <c r="C444" t="s">
        <v>546</v>
      </c>
      <c r="D444" cm="1">
        <f t="array" ref="D444">INDEX(FX_Input,$R444,$Y444*D$5+$Z444)</f>
        <v>1</v>
      </c>
      <c r="E444" cm="1">
        <f t="array" ref="E444">INDEX(FX_Input,$R444,$Y444*E$5+$Z444)</f>
        <v>1</v>
      </c>
      <c r="F444" cm="1">
        <f t="array" ref="F444">INDEX(FX_Input,$R444,$Y444*F$5+$Z444)</f>
        <v>1</v>
      </c>
      <c r="G444" cm="1">
        <f t="array" ref="G444">INDEX(FX_Input,$R444,$Y444*G$5+$Z444)</f>
        <v>1</v>
      </c>
      <c r="H444" cm="1">
        <f t="array" ref="H444">INDEX(FX_Input,$R444,$Y444*H$5+$Z444)</f>
        <v>1</v>
      </c>
      <c r="I444" cm="1">
        <f t="array" ref="I444">INDEX(FX_Input,$R444,$Y444*I$5+$Z444)</f>
        <v>1</v>
      </c>
      <c r="J444" cm="1">
        <f t="array" ref="J444">INDEX(FX_Input,$R444,$Y444*J$5+$Z444)</f>
        <v>1</v>
      </c>
      <c r="K444" cm="1">
        <f t="array" ref="K444">INDEX(FX_Input,$R444,$Y444*K$5+$Z444)</f>
        <v>1</v>
      </c>
      <c r="L444" cm="1">
        <f t="array" ref="L444">INDEX(FX_Input,$R444,$Y444*L$5+$Z444)</f>
        <v>1</v>
      </c>
      <c r="M444" cm="1">
        <f t="array" ref="M444">INDEX(FX_Input,$R444,$Y444*M$5+$Z444)</f>
        <v>1</v>
      </c>
      <c r="N444" cm="1">
        <f t="array" ref="N444">INDEX(FX_Input,$R444,$Y444*N$5+$Z444)</f>
        <v>1</v>
      </c>
      <c r="O444" cm="1">
        <f t="array" ref="O444">INDEX(FX_Input,$R444,$Y444*O$5+$Z444)</f>
        <v>1</v>
      </c>
      <c r="R444">
        <f>R442</f>
        <v>63</v>
      </c>
      <c r="U444">
        <v>21</v>
      </c>
      <c r="V444">
        <f t="shared" si="963"/>
        <v>26</v>
      </c>
      <c r="W444">
        <v>1</v>
      </c>
      <c r="X444">
        <v>2</v>
      </c>
      <c r="Y444">
        <f t="shared" si="961"/>
        <v>5</v>
      </c>
      <c r="Z444">
        <f t="shared" si="962"/>
        <v>16</v>
      </c>
    </row>
    <row r="445" spans="1:26" x14ac:dyDescent="0.4">
      <c r="C445" t="s">
        <v>547</v>
      </c>
      <c r="D445" cm="1">
        <f t="array" ref="D445">INDEX(FX_Input,$R445,$Y445*D$5+$Z445)</f>
        <v>0</v>
      </c>
      <c r="E445" cm="1">
        <f t="array" ref="E445">INDEX(FX_Input,$R445,$Y445*E$5+$Z445)</f>
        <v>0</v>
      </c>
      <c r="F445" cm="1">
        <f t="array" ref="F445">INDEX(FX_Input,$R445,$Y445*F$5+$Z445)</f>
        <v>0</v>
      </c>
      <c r="G445" cm="1">
        <f t="array" ref="G445">INDEX(FX_Input,$R445,$Y445*G$5+$Z445)</f>
        <v>0</v>
      </c>
      <c r="H445" cm="1">
        <f t="array" ref="H445">INDEX(FX_Input,$R445,$Y445*H$5+$Z445)</f>
        <v>0</v>
      </c>
      <c r="I445" cm="1">
        <f t="array" ref="I445">INDEX(FX_Input,$R445,$Y445*I$5+$Z445)</f>
        <v>0</v>
      </c>
      <c r="J445" cm="1">
        <f t="array" ref="J445">INDEX(FX_Input,$R445,$Y445*J$5+$Z445)</f>
        <v>0</v>
      </c>
      <c r="K445" cm="1">
        <f t="array" ref="K445">INDEX(FX_Input,$R445,$Y445*K$5+$Z445)</f>
        <v>0</v>
      </c>
      <c r="L445" cm="1">
        <f t="array" ref="L445">INDEX(FX_Input,$R445,$Y445*L$5+$Z445)</f>
        <v>0</v>
      </c>
      <c r="M445" cm="1">
        <f t="array" ref="M445">INDEX(FX_Input,$R445,$Y445*M$5+$Z445)</f>
        <v>0</v>
      </c>
      <c r="N445" cm="1">
        <f t="array" ref="N445">INDEX(FX_Input,$R445,$Y445*N$5+$Z445)</f>
        <v>0</v>
      </c>
      <c r="O445" cm="1">
        <f t="array" ref="O445">INDEX(FX_Input,$R445,$Y445*O$5+$Z445)</f>
        <v>0</v>
      </c>
      <c r="R445">
        <f>R443</f>
        <v>64</v>
      </c>
      <c r="U445">
        <f>U444</f>
        <v>21</v>
      </c>
      <c r="V445">
        <f t="shared" si="963"/>
        <v>26</v>
      </c>
      <c r="W445">
        <v>1</v>
      </c>
      <c r="X445">
        <v>2</v>
      </c>
      <c r="Y445">
        <f t="shared" si="961"/>
        <v>5</v>
      </c>
      <c r="Z445">
        <f t="shared" si="962"/>
        <v>16</v>
      </c>
    </row>
    <row r="446" spans="1:26" x14ac:dyDescent="0.4">
      <c r="C446" t="s">
        <v>532</v>
      </c>
      <c r="D446" t="str">
        <f t="shared" ref="D446:O446" si="964">IFERROR(VLOOKUP(D440,Phys_Prop,2,FALSE),0)</f>
        <v>N/A</v>
      </c>
      <c r="E446" t="str">
        <f t="shared" si="964"/>
        <v>N/A</v>
      </c>
      <c r="F446" t="str">
        <f t="shared" si="964"/>
        <v>N/A</v>
      </c>
      <c r="G446" t="str">
        <f t="shared" si="964"/>
        <v>N/A</v>
      </c>
      <c r="H446" t="str">
        <f t="shared" si="964"/>
        <v>N/A</v>
      </c>
      <c r="I446" t="str">
        <f t="shared" si="964"/>
        <v>N/A</v>
      </c>
      <c r="J446" t="str">
        <f t="shared" si="964"/>
        <v>N/A</v>
      </c>
      <c r="K446" t="str">
        <f t="shared" si="964"/>
        <v>N/A</v>
      </c>
      <c r="L446" t="str">
        <f t="shared" si="964"/>
        <v>N/A</v>
      </c>
      <c r="M446" t="str">
        <f t="shared" si="964"/>
        <v>N/A</v>
      </c>
      <c r="N446" t="str">
        <f t="shared" si="964"/>
        <v>N/A</v>
      </c>
      <c r="O446" t="str">
        <f t="shared" si="964"/>
        <v>N/A</v>
      </c>
    </row>
    <row r="447" spans="1:26" x14ac:dyDescent="0.4">
      <c r="C447" t="s">
        <v>533</v>
      </c>
      <c r="D447">
        <f t="shared" ref="D447:O447" si="965">IFERROR(VLOOKUP(D441,Phys_Prop,2,FALSE),0)</f>
        <v>0</v>
      </c>
      <c r="E447">
        <f t="shared" si="965"/>
        <v>0</v>
      </c>
      <c r="F447">
        <f t="shared" si="965"/>
        <v>0</v>
      </c>
      <c r="G447">
        <f t="shared" si="965"/>
        <v>0</v>
      </c>
      <c r="H447">
        <f t="shared" si="965"/>
        <v>0</v>
      </c>
      <c r="I447">
        <f t="shared" si="965"/>
        <v>0</v>
      </c>
      <c r="J447">
        <f t="shared" si="965"/>
        <v>0</v>
      </c>
      <c r="K447">
        <f t="shared" si="965"/>
        <v>0</v>
      </c>
      <c r="L447">
        <f t="shared" si="965"/>
        <v>0</v>
      </c>
      <c r="M447">
        <f t="shared" si="965"/>
        <v>0</v>
      </c>
      <c r="N447">
        <f t="shared" si="965"/>
        <v>0</v>
      </c>
      <c r="O447">
        <f t="shared" si="965"/>
        <v>0</v>
      </c>
    </row>
    <row r="448" spans="1:26" x14ac:dyDescent="0.4">
      <c r="C448" t="s">
        <v>544</v>
      </c>
      <c r="D448">
        <f>IFERROR(IFERROR(D446/D444+D447/D445,D446/D444),0)</f>
        <v>0</v>
      </c>
      <c r="E448">
        <f t="shared" ref="E448" si="966">IFERROR(IFERROR(E446/E444+E447/E445,E446/E444),0)</f>
        <v>0</v>
      </c>
      <c r="F448">
        <f t="shared" ref="F448" si="967">IFERROR(IFERROR(F446/F444+F447/F445,F446/F444),0)</f>
        <v>0</v>
      </c>
      <c r="G448">
        <f t="shared" ref="G448" si="968">IFERROR(IFERROR(G446/G444+G447/G445,G446/G444),0)</f>
        <v>0</v>
      </c>
      <c r="H448">
        <f t="shared" ref="H448" si="969">IFERROR(IFERROR(H446/H444+H447/H445,H446/H444),0)</f>
        <v>0</v>
      </c>
      <c r="I448">
        <f t="shared" ref="I448" si="970">IFERROR(IFERROR(I446/I444+I447/I445,I446/I444),0)</f>
        <v>0</v>
      </c>
      <c r="J448">
        <f t="shared" ref="J448" si="971">IFERROR(IFERROR(J446/J444+J447/J445,J446/J444),0)</f>
        <v>0</v>
      </c>
      <c r="K448">
        <f t="shared" ref="K448" si="972">IFERROR(IFERROR(K446/K444+K447/K445,K446/K444),0)</f>
        <v>0</v>
      </c>
      <c r="L448">
        <f t="shared" ref="L448" si="973">IFERROR(IFERROR(L446/L444+L447/L445,L446/L444),0)</f>
        <v>0</v>
      </c>
      <c r="M448">
        <f t="shared" ref="M448" si="974">IFERROR(IFERROR(M446/M444+M447/M445,M446/M444),0)</f>
        <v>0</v>
      </c>
      <c r="N448">
        <f t="shared" ref="N448" si="975">IFERROR(IFERROR(N446/N444+N447/N445,N446/N444),0)</f>
        <v>0</v>
      </c>
      <c r="O448">
        <f t="shared" ref="O448" si="976">IFERROR(IFERROR(O446/O444+O447/O445,O446/O444),0)</f>
        <v>0</v>
      </c>
    </row>
    <row r="449" spans="1:26" x14ac:dyDescent="0.4">
      <c r="C449" t="s">
        <v>539</v>
      </c>
      <c r="D449">
        <f>IFERROR((D444/D446)*D448,1)</f>
        <v>1</v>
      </c>
      <c r="E449">
        <f t="shared" ref="E449" si="977">IFERROR((E444/E446)*E448,1)</f>
        <v>1</v>
      </c>
      <c r="F449">
        <f t="shared" ref="F449" si="978">IFERROR((F444/F446)*F448,1)</f>
        <v>1</v>
      </c>
      <c r="G449">
        <f t="shared" ref="G449" si="979">IFERROR((G444/G446)*G448,1)</f>
        <v>1</v>
      </c>
      <c r="H449">
        <f t="shared" ref="H449" si="980">IFERROR((H444/H446)*H448,1)</f>
        <v>1</v>
      </c>
      <c r="I449">
        <f t="shared" ref="I449" si="981">IFERROR((I444/I446)*I448,1)</f>
        <v>1</v>
      </c>
      <c r="J449">
        <f t="shared" ref="J449" si="982">IFERROR((J444/J446)*J448,1)</f>
        <v>1</v>
      </c>
      <c r="K449">
        <f t="shared" ref="K449" si="983">IFERROR((K444/K446)*K448,1)</f>
        <v>1</v>
      </c>
      <c r="L449">
        <f t="shared" ref="L449" si="984">IFERROR((L444/L446)*L448,1)</f>
        <v>1</v>
      </c>
      <c r="M449">
        <f t="shared" ref="M449" si="985">IFERROR((M444/M446)*M448,1)</f>
        <v>1</v>
      </c>
      <c r="N449">
        <f t="shared" ref="N449" si="986">IFERROR((N444/N446)*N448,1)</f>
        <v>1</v>
      </c>
      <c r="O449">
        <f t="shared" ref="O449" si="987">IFERROR((O444/O446)*O448,1)</f>
        <v>1</v>
      </c>
    </row>
    <row r="450" spans="1:26" x14ac:dyDescent="0.4">
      <c r="C450" t="s">
        <v>540</v>
      </c>
      <c r="D450">
        <f>IFERROR((D445/D447)*D448,0)</f>
        <v>0</v>
      </c>
      <c r="E450">
        <f t="shared" ref="E450:O450" si="988">IFERROR((E445/E447)*E448,0)</f>
        <v>0</v>
      </c>
      <c r="F450">
        <f t="shared" si="988"/>
        <v>0</v>
      </c>
      <c r="G450">
        <f t="shared" si="988"/>
        <v>0</v>
      </c>
      <c r="H450">
        <f t="shared" si="988"/>
        <v>0</v>
      </c>
      <c r="I450">
        <f t="shared" si="988"/>
        <v>0</v>
      </c>
      <c r="J450">
        <f t="shared" si="988"/>
        <v>0</v>
      </c>
      <c r="K450">
        <f t="shared" si="988"/>
        <v>0</v>
      </c>
      <c r="L450">
        <f t="shared" si="988"/>
        <v>0</v>
      </c>
      <c r="M450">
        <f t="shared" si="988"/>
        <v>0</v>
      </c>
      <c r="N450">
        <f t="shared" si="988"/>
        <v>0</v>
      </c>
      <c r="O450">
        <f t="shared" si="988"/>
        <v>0</v>
      </c>
    </row>
    <row r="451" spans="1:26" x14ac:dyDescent="0.4">
      <c r="C451" s="21" t="s">
        <v>534</v>
      </c>
      <c r="D451" t="str">
        <f t="shared" ref="D451:O451" si="989">IFERROR(VLOOKUP(D440,Phys_Prop,4,FALSE),0)</f>
        <v>N/A</v>
      </c>
      <c r="E451" t="str">
        <f t="shared" si="989"/>
        <v>N/A</v>
      </c>
      <c r="F451" t="str">
        <f t="shared" si="989"/>
        <v>N/A</v>
      </c>
      <c r="G451" t="str">
        <f t="shared" si="989"/>
        <v>N/A</v>
      </c>
      <c r="H451" t="str">
        <f t="shared" si="989"/>
        <v>N/A</v>
      </c>
      <c r="I451" t="str">
        <f t="shared" si="989"/>
        <v>N/A</v>
      </c>
      <c r="J451" t="str">
        <f t="shared" si="989"/>
        <v>N/A</v>
      </c>
      <c r="K451" t="str">
        <f t="shared" si="989"/>
        <v>N/A</v>
      </c>
      <c r="L451" t="str">
        <f t="shared" si="989"/>
        <v>N/A</v>
      </c>
      <c r="M451" t="str">
        <f t="shared" si="989"/>
        <v>N/A</v>
      </c>
      <c r="N451" t="str">
        <f t="shared" si="989"/>
        <v>N/A</v>
      </c>
      <c r="O451" t="str">
        <f t="shared" si="989"/>
        <v>N/A</v>
      </c>
    </row>
    <row r="452" spans="1:26" x14ac:dyDescent="0.4">
      <c r="C452" s="21" t="s">
        <v>535</v>
      </c>
      <c r="D452">
        <f t="shared" ref="D452:O452" si="990">IFERROR(VLOOKUP(D441,Phys_Prop,4,FALSE),0)</f>
        <v>0</v>
      </c>
      <c r="E452">
        <f t="shared" si="990"/>
        <v>0</v>
      </c>
      <c r="F452">
        <f t="shared" si="990"/>
        <v>0</v>
      </c>
      <c r="G452">
        <f t="shared" si="990"/>
        <v>0</v>
      </c>
      <c r="H452">
        <f t="shared" si="990"/>
        <v>0</v>
      </c>
      <c r="I452">
        <f t="shared" si="990"/>
        <v>0</v>
      </c>
      <c r="J452">
        <f t="shared" si="990"/>
        <v>0</v>
      </c>
      <c r="K452">
        <f t="shared" si="990"/>
        <v>0</v>
      </c>
      <c r="L452">
        <f t="shared" si="990"/>
        <v>0</v>
      </c>
      <c r="M452">
        <f t="shared" si="990"/>
        <v>0</v>
      </c>
      <c r="N452">
        <f t="shared" si="990"/>
        <v>0</v>
      </c>
      <c r="O452">
        <f t="shared" si="990"/>
        <v>0</v>
      </c>
    </row>
    <row r="453" spans="1:26" x14ac:dyDescent="0.4">
      <c r="A453" s="11"/>
      <c r="B453" s="11"/>
      <c r="C453" s="62" t="s">
        <v>536</v>
      </c>
      <c r="D453" s="11" t="str">
        <f>IFERROR(1/(D449/D451+D450/D452),D451)</f>
        <v>N/A</v>
      </c>
      <c r="E453" s="11" t="str">
        <f t="shared" ref="E453:O453" si="991">IFERROR(1/(E449/E451+E450/E452),E451)</f>
        <v>N/A</v>
      </c>
      <c r="F453" s="11" t="str">
        <f t="shared" si="991"/>
        <v>N/A</v>
      </c>
      <c r="G453" s="11" t="str">
        <f t="shared" si="991"/>
        <v>N/A</v>
      </c>
      <c r="H453" s="11" t="str">
        <f t="shared" si="991"/>
        <v>N/A</v>
      </c>
      <c r="I453" s="11" t="str">
        <f t="shared" si="991"/>
        <v>N/A</v>
      </c>
      <c r="J453" s="11" t="str">
        <f t="shared" si="991"/>
        <v>N/A</v>
      </c>
      <c r="K453" s="11" t="str">
        <f t="shared" si="991"/>
        <v>N/A</v>
      </c>
      <c r="L453" s="11" t="str">
        <f t="shared" si="991"/>
        <v>N/A</v>
      </c>
      <c r="M453" s="11" t="str">
        <f t="shared" si="991"/>
        <v>N/A</v>
      </c>
      <c r="N453" s="11" t="str">
        <f t="shared" si="991"/>
        <v>N/A</v>
      </c>
      <c r="O453" s="11" t="str">
        <f t="shared" si="991"/>
        <v>N/A</v>
      </c>
      <c r="P453" s="11"/>
      <c r="Q453" s="11"/>
      <c r="R453" s="11"/>
      <c r="S453" s="11"/>
      <c r="T453" s="11"/>
      <c r="U453" s="11"/>
      <c r="V453" s="11"/>
      <c r="W453" s="11"/>
      <c r="X453" s="11"/>
      <c r="Y453" s="11"/>
      <c r="Z453" s="11"/>
    </row>
    <row r="454" spans="1:26" x14ac:dyDescent="0.4">
      <c r="A454" t="str" cm="1">
        <f t="array" ref="A454">INDEX(FX_Input,R454,S454)</f>
        <v>FX - 33</v>
      </c>
      <c r="B454" t="str" cm="1">
        <f t="array" ref="B454">INDEX(FX_Input,R454,T454)</f>
        <v>Portland</v>
      </c>
      <c r="C454" t="s">
        <v>528</v>
      </c>
      <c r="D454" t="str" cm="1">
        <f t="array" ref="D454">INDEX(FX_Input,$R454,$Y454*D$5+$Z454)</f>
        <v>Out of Service</v>
      </c>
      <c r="E454" t="str" cm="1">
        <f t="array" ref="E454">INDEX(FX_Input,$R454,$Y454*E$5+$Z454)</f>
        <v>Out of Service</v>
      </c>
      <c r="F454" t="str" cm="1">
        <f t="array" ref="F454">INDEX(FX_Input,$R454,$Y454*F$5+$Z454)</f>
        <v>Out of Service</v>
      </c>
      <c r="G454" t="str" cm="1">
        <f t="array" ref="G454">INDEX(FX_Input,$R454,$Y454*G$5+$Z454)</f>
        <v>Out of Service</v>
      </c>
      <c r="H454" t="str" cm="1">
        <f t="array" ref="H454">INDEX(FX_Input,$R454,$Y454*H$5+$Z454)</f>
        <v>Out of Service</v>
      </c>
      <c r="I454" t="str" cm="1">
        <f t="array" ref="I454">INDEX(FX_Input,$R454,$Y454*I$5+$Z454)</f>
        <v>Out of Service</v>
      </c>
      <c r="J454" t="str" cm="1">
        <f t="array" ref="J454">INDEX(FX_Input,$R454,$Y454*J$5+$Z454)</f>
        <v>Out of Service</v>
      </c>
      <c r="K454" t="str" cm="1">
        <f t="array" ref="K454">INDEX(FX_Input,$R454,$Y454*K$5+$Z454)</f>
        <v>Out of Service</v>
      </c>
      <c r="L454" t="str" cm="1">
        <f t="array" ref="L454">INDEX(FX_Input,$R454,$Y454*L$5+$Z454)</f>
        <v>Out of Service</v>
      </c>
      <c r="M454" t="str" cm="1">
        <f t="array" ref="M454">INDEX(FX_Input,$R454,$Y454*M$5+$Z454)</f>
        <v>Out of Service</v>
      </c>
      <c r="N454" t="str" cm="1">
        <f t="array" ref="N454">INDEX(FX_Input,$R454,$Y454*N$5+$Z454)</f>
        <v>Out of Service</v>
      </c>
      <c r="O454" t="str" cm="1">
        <f t="array" ref="O454">INDEX(FX_Input,$R454,$Y454*O$5+$Z454)</f>
        <v>Out of Service</v>
      </c>
      <c r="R454">
        <f>R440+2</f>
        <v>65</v>
      </c>
      <c r="S454">
        <v>1</v>
      </c>
      <c r="T454">
        <v>3</v>
      </c>
      <c r="U454">
        <v>17</v>
      </c>
      <c r="V454">
        <f>U454+5</f>
        <v>22</v>
      </c>
      <c r="W454">
        <v>1</v>
      </c>
      <c r="X454">
        <v>2</v>
      </c>
      <c r="Y454">
        <f t="shared" ref="Y454:Y459" si="992">(V454-U454)/(X454-W454)</f>
        <v>5</v>
      </c>
      <c r="Z454">
        <f t="shared" ref="Z454:Z459" si="993">U454-Y454*W454</f>
        <v>12</v>
      </c>
    </row>
    <row r="455" spans="1:26" x14ac:dyDescent="0.4">
      <c r="C455" t="s">
        <v>529</v>
      </c>
      <c r="D455" cm="1">
        <f t="array" ref="D455">INDEX(FX_Input,$R455,$Y455*D$5+$Z455)</f>
        <v>0</v>
      </c>
      <c r="E455" cm="1">
        <f t="array" ref="E455">INDEX(FX_Input,$R455,$Y455*E$5+$Z455)</f>
        <v>0</v>
      </c>
      <c r="F455" cm="1">
        <f t="array" ref="F455">INDEX(FX_Input,$R455,$Y455*F$5+$Z455)</f>
        <v>0</v>
      </c>
      <c r="G455" cm="1">
        <f t="array" ref="G455">INDEX(FX_Input,$R455,$Y455*G$5+$Z455)</f>
        <v>0</v>
      </c>
      <c r="H455" cm="1">
        <f t="array" ref="H455">INDEX(FX_Input,$R455,$Y455*H$5+$Z455)</f>
        <v>0</v>
      </c>
      <c r="I455" cm="1">
        <f t="array" ref="I455">INDEX(FX_Input,$R455,$Y455*I$5+$Z455)</f>
        <v>0</v>
      </c>
      <c r="J455" cm="1">
        <f t="array" ref="J455">INDEX(FX_Input,$R455,$Y455*J$5+$Z455)</f>
        <v>0</v>
      </c>
      <c r="K455" cm="1">
        <f t="array" ref="K455">INDEX(FX_Input,$R455,$Y455*K$5+$Z455)</f>
        <v>0</v>
      </c>
      <c r="L455" cm="1">
        <f t="array" ref="L455">INDEX(FX_Input,$R455,$Y455*L$5+$Z455)</f>
        <v>0</v>
      </c>
      <c r="M455" cm="1">
        <f t="array" ref="M455">INDEX(FX_Input,$R455,$Y455*M$5+$Z455)</f>
        <v>0</v>
      </c>
      <c r="N455" cm="1">
        <f t="array" ref="N455">INDEX(FX_Input,$R455,$Y455*N$5+$Z455)</f>
        <v>0</v>
      </c>
      <c r="O455" cm="1">
        <f t="array" ref="O455">INDEX(FX_Input,$R455,$Y455*O$5+$Z455)</f>
        <v>0</v>
      </c>
      <c r="R455">
        <f>R454+1</f>
        <v>66</v>
      </c>
      <c r="U455">
        <f>U454</f>
        <v>17</v>
      </c>
      <c r="V455">
        <f t="shared" ref="V455:V459" si="994">U455+5</f>
        <v>22</v>
      </c>
      <c r="W455">
        <v>1</v>
      </c>
      <c r="X455">
        <v>2</v>
      </c>
      <c r="Y455">
        <f t="shared" si="992"/>
        <v>5</v>
      </c>
      <c r="Z455">
        <f t="shared" si="993"/>
        <v>12</v>
      </c>
    </row>
    <row r="456" spans="1:26" x14ac:dyDescent="0.4">
      <c r="C456" t="s">
        <v>530</v>
      </c>
      <c r="D456" t="str" cm="1">
        <f t="array" ref="D456">INDEX(FX_Input,$R456,$Y456*D$5+$Z456)</f>
        <v>N/A</v>
      </c>
      <c r="E456" t="str" cm="1">
        <f t="array" ref="E456">INDEX(FX_Input,$R456,$Y456*E$5+$Z456)</f>
        <v>N/A</v>
      </c>
      <c r="F456" t="str" cm="1">
        <f t="array" ref="F456">INDEX(FX_Input,$R456,$Y456*F$5+$Z456)</f>
        <v>N/A</v>
      </c>
      <c r="G456" t="str" cm="1">
        <f t="array" ref="G456">INDEX(FX_Input,$R456,$Y456*G$5+$Z456)</f>
        <v>N/A</v>
      </c>
      <c r="H456" t="str" cm="1">
        <f t="array" ref="H456">INDEX(FX_Input,$R456,$Y456*H$5+$Z456)</f>
        <v>N/A</v>
      </c>
      <c r="I456" t="str" cm="1">
        <f t="array" ref="I456">INDEX(FX_Input,$R456,$Y456*I$5+$Z456)</f>
        <v>N/A</v>
      </c>
      <c r="J456" t="str" cm="1">
        <f t="array" ref="J456">INDEX(FX_Input,$R456,$Y456*J$5+$Z456)</f>
        <v>N/A</v>
      </c>
      <c r="K456" t="str" cm="1">
        <f t="array" ref="K456">INDEX(FX_Input,$R456,$Y456*K$5+$Z456)</f>
        <v>N/A</v>
      </c>
      <c r="L456" t="str" cm="1">
        <f t="array" ref="L456">INDEX(FX_Input,$R456,$Y456*L$5+$Z456)</f>
        <v>N/A</v>
      </c>
      <c r="M456" t="str" cm="1">
        <f t="array" ref="M456">INDEX(FX_Input,$R456,$Y456*M$5+$Z456)</f>
        <v>N/A</v>
      </c>
      <c r="N456" t="str" cm="1">
        <f t="array" ref="N456">INDEX(FX_Input,$R456,$Y456*N$5+$Z456)</f>
        <v>N/A</v>
      </c>
      <c r="O456" t="str" cm="1">
        <f t="array" ref="O456">INDEX(FX_Input,$R456,$Y456*O$5+$Z456)</f>
        <v>N/A</v>
      </c>
      <c r="R456">
        <f>R454</f>
        <v>65</v>
      </c>
      <c r="U456">
        <v>18</v>
      </c>
      <c r="V456">
        <f t="shared" si="994"/>
        <v>23</v>
      </c>
      <c r="W456">
        <v>1</v>
      </c>
      <c r="X456">
        <v>2</v>
      </c>
      <c r="Y456">
        <f t="shared" si="992"/>
        <v>5</v>
      </c>
      <c r="Z456">
        <f t="shared" si="993"/>
        <v>13</v>
      </c>
    </row>
    <row r="457" spans="1:26" x14ac:dyDescent="0.4">
      <c r="C457" t="s">
        <v>531</v>
      </c>
      <c r="D457" cm="1">
        <f t="array" ref="D457">INDEX(FX_Input,$R457,$Y457*D$5+$Z457)</f>
        <v>0</v>
      </c>
      <c r="E457" cm="1">
        <f t="array" ref="E457">INDEX(FX_Input,$R457,$Y457*E$5+$Z457)</f>
        <v>0</v>
      </c>
      <c r="F457" cm="1">
        <f t="array" ref="F457">INDEX(FX_Input,$R457,$Y457*F$5+$Z457)</f>
        <v>0</v>
      </c>
      <c r="G457" cm="1">
        <f t="array" ref="G457">INDEX(FX_Input,$R457,$Y457*G$5+$Z457)</f>
        <v>0</v>
      </c>
      <c r="H457" cm="1">
        <f t="array" ref="H457">INDEX(FX_Input,$R457,$Y457*H$5+$Z457)</f>
        <v>0</v>
      </c>
      <c r="I457" cm="1">
        <f t="array" ref="I457">INDEX(FX_Input,$R457,$Y457*I$5+$Z457)</f>
        <v>0</v>
      </c>
      <c r="J457" cm="1">
        <f t="array" ref="J457">INDEX(FX_Input,$R457,$Y457*J$5+$Z457)</f>
        <v>0</v>
      </c>
      <c r="K457" cm="1">
        <f t="array" ref="K457">INDEX(FX_Input,$R457,$Y457*K$5+$Z457)</f>
        <v>0</v>
      </c>
      <c r="L457" cm="1">
        <f t="array" ref="L457">INDEX(FX_Input,$R457,$Y457*L$5+$Z457)</f>
        <v>0</v>
      </c>
      <c r="M457" cm="1">
        <f t="array" ref="M457">INDEX(FX_Input,$R457,$Y457*M$5+$Z457)</f>
        <v>0</v>
      </c>
      <c r="N457" cm="1">
        <f t="array" ref="N457">INDEX(FX_Input,$R457,$Y457*N$5+$Z457)</f>
        <v>0</v>
      </c>
      <c r="O457" cm="1">
        <f t="array" ref="O457">INDEX(FX_Input,$R457,$Y457*O$5+$Z457)</f>
        <v>0</v>
      </c>
      <c r="R457">
        <f>R455</f>
        <v>66</v>
      </c>
      <c r="U457">
        <f>U456</f>
        <v>18</v>
      </c>
      <c r="V457">
        <f t="shared" si="994"/>
        <v>23</v>
      </c>
      <c r="W457">
        <v>1</v>
      </c>
      <c r="X457">
        <v>2</v>
      </c>
      <c r="Y457">
        <f t="shared" si="992"/>
        <v>5</v>
      </c>
      <c r="Z457">
        <f t="shared" si="993"/>
        <v>13</v>
      </c>
    </row>
    <row r="458" spans="1:26" x14ac:dyDescent="0.4">
      <c r="C458" t="s">
        <v>546</v>
      </c>
      <c r="D458" cm="1">
        <f t="array" ref="D458">INDEX(FX_Input,$R458,$Y458*D$5+$Z458)</f>
        <v>1</v>
      </c>
      <c r="E458" cm="1">
        <f t="array" ref="E458">INDEX(FX_Input,$R458,$Y458*E$5+$Z458)</f>
        <v>1</v>
      </c>
      <c r="F458" cm="1">
        <f t="array" ref="F458">INDEX(FX_Input,$R458,$Y458*F$5+$Z458)</f>
        <v>1</v>
      </c>
      <c r="G458" cm="1">
        <f t="array" ref="G458">INDEX(FX_Input,$R458,$Y458*G$5+$Z458)</f>
        <v>1</v>
      </c>
      <c r="H458" cm="1">
        <f t="array" ref="H458">INDEX(FX_Input,$R458,$Y458*H$5+$Z458)</f>
        <v>1</v>
      </c>
      <c r="I458" cm="1">
        <f t="array" ref="I458">INDEX(FX_Input,$R458,$Y458*I$5+$Z458)</f>
        <v>1</v>
      </c>
      <c r="J458" cm="1">
        <f t="array" ref="J458">INDEX(FX_Input,$R458,$Y458*J$5+$Z458)</f>
        <v>1</v>
      </c>
      <c r="K458" cm="1">
        <f t="array" ref="K458">INDEX(FX_Input,$R458,$Y458*K$5+$Z458)</f>
        <v>1</v>
      </c>
      <c r="L458" cm="1">
        <f t="array" ref="L458">INDEX(FX_Input,$R458,$Y458*L$5+$Z458)</f>
        <v>1</v>
      </c>
      <c r="M458" cm="1">
        <f t="array" ref="M458">INDEX(FX_Input,$R458,$Y458*M$5+$Z458)</f>
        <v>1</v>
      </c>
      <c r="N458" cm="1">
        <f t="array" ref="N458">INDEX(FX_Input,$R458,$Y458*N$5+$Z458)</f>
        <v>1</v>
      </c>
      <c r="O458" cm="1">
        <f t="array" ref="O458">INDEX(FX_Input,$R458,$Y458*O$5+$Z458)</f>
        <v>1</v>
      </c>
      <c r="R458">
        <f>R456</f>
        <v>65</v>
      </c>
      <c r="U458">
        <v>21</v>
      </c>
      <c r="V458">
        <f t="shared" si="994"/>
        <v>26</v>
      </c>
      <c r="W458">
        <v>1</v>
      </c>
      <c r="X458">
        <v>2</v>
      </c>
      <c r="Y458">
        <f t="shared" si="992"/>
        <v>5</v>
      </c>
      <c r="Z458">
        <f t="shared" si="993"/>
        <v>16</v>
      </c>
    </row>
    <row r="459" spans="1:26" x14ac:dyDescent="0.4">
      <c r="C459" t="s">
        <v>547</v>
      </c>
      <c r="D459" cm="1">
        <f t="array" ref="D459">INDEX(FX_Input,$R459,$Y459*D$5+$Z459)</f>
        <v>0</v>
      </c>
      <c r="E459" cm="1">
        <f t="array" ref="E459">INDEX(FX_Input,$R459,$Y459*E$5+$Z459)</f>
        <v>0</v>
      </c>
      <c r="F459" cm="1">
        <f t="array" ref="F459">INDEX(FX_Input,$R459,$Y459*F$5+$Z459)</f>
        <v>0</v>
      </c>
      <c r="G459" cm="1">
        <f t="array" ref="G459">INDEX(FX_Input,$R459,$Y459*G$5+$Z459)</f>
        <v>0</v>
      </c>
      <c r="H459" cm="1">
        <f t="array" ref="H459">INDEX(FX_Input,$R459,$Y459*H$5+$Z459)</f>
        <v>0</v>
      </c>
      <c r="I459" cm="1">
        <f t="array" ref="I459">INDEX(FX_Input,$R459,$Y459*I$5+$Z459)</f>
        <v>0</v>
      </c>
      <c r="J459" cm="1">
        <f t="array" ref="J459">INDEX(FX_Input,$R459,$Y459*J$5+$Z459)</f>
        <v>0</v>
      </c>
      <c r="K459" cm="1">
        <f t="array" ref="K459">INDEX(FX_Input,$R459,$Y459*K$5+$Z459)</f>
        <v>0</v>
      </c>
      <c r="L459" cm="1">
        <f t="array" ref="L459">INDEX(FX_Input,$R459,$Y459*L$5+$Z459)</f>
        <v>0</v>
      </c>
      <c r="M459" cm="1">
        <f t="array" ref="M459">INDEX(FX_Input,$R459,$Y459*M$5+$Z459)</f>
        <v>0</v>
      </c>
      <c r="N459" cm="1">
        <f t="array" ref="N459">INDEX(FX_Input,$R459,$Y459*N$5+$Z459)</f>
        <v>0</v>
      </c>
      <c r="O459" cm="1">
        <f t="array" ref="O459">INDEX(FX_Input,$R459,$Y459*O$5+$Z459)</f>
        <v>0</v>
      </c>
      <c r="R459">
        <f>R457</f>
        <v>66</v>
      </c>
      <c r="U459">
        <f>U458</f>
        <v>21</v>
      </c>
      <c r="V459">
        <f t="shared" si="994"/>
        <v>26</v>
      </c>
      <c r="W459">
        <v>1</v>
      </c>
      <c r="X459">
        <v>2</v>
      </c>
      <c r="Y459">
        <f t="shared" si="992"/>
        <v>5</v>
      </c>
      <c r="Z459">
        <f t="shared" si="993"/>
        <v>16</v>
      </c>
    </row>
    <row r="460" spans="1:26" x14ac:dyDescent="0.4">
      <c r="C460" t="s">
        <v>532</v>
      </c>
      <c r="D460" t="str">
        <f t="shared" ref="D460:O460" si="995">IFERROR(VLOOKUP(D454,Phys_Prop,2,FALSE),0)</f>
        <v>N/A</v>
      </c>
      <c r="E460" t="str">
        <f t="shared" si="995"/>
        <v>N/A</v>
      </c>
      <c r="F460" t="str">
        <f t="shared" si="995"/>
        <v>N/A</v>
      </c>
      <c r="G460" t="str">
        <f t="shared" si="995"/>
        <v>N/A</v>
      </c>
      <c r="H460" t="str">
        <f t="shared" si="995"/>
        <v>N/A</v>
      </c>
      <c r="I460" t="str">
        <f t="shared" si="995"/>
        <v>N/A</v>
      </c>
      <c r="J460" t="str">
        <f t="shared" si="995"/>
        <v>N/A</v>
      </c>
      <c r="K460" t="str">
        <f t="shared" si="995"/>
        <v>N/A</v>
      </c>
      <c r="L460" t="str">
        <f t="shared" si="995"/>
        <v>N/A</v>
      </c>
      <c r="M460" t="str">
        <f t="shared" si="995"/>
        <v>N/A</v>
      </c>
      <c r="N460" t="str">
        <f t="shared" si="995"/>
        <v>N/A</v>
      </c>
      <c r="O460" t="str">
        <f t="shared" si="995"/>
        <v>N/A</v>
      </c>
    </row>
    <row r="461" spans="1:26" x14ac:dyDescent="0.4">
      <c r="C461" t="s">
        <v>533</v>
      </c>
      <c r="D461">
        <f t="shared" ref="D461:O461" si="996">IFERROR(VLOOKUP(D455,Phys_Prop,2,FALSE),0)</f>
        <v>0</v>
      </c>
      <c r="E461">
        <f t="shared" si="996"/>
        <v>0</v>
      </c>
      <c r="F461">
        <f t="shared" si="996"/>
        <v>0</v>
      </c>
      <c r="G461">
        <f t="shared" si="996"/>
        <v>0</v>
      </c>
      <c r="H461">
        <f t="shared" si="996"/>
        <v>0</v>
      </c>
      <c r="I461">
        <f t="shared" si="996"/>
        <v>0</v>
      </c>
      <c r="J461">
        <f t="shared" si="996"/>
        <v>0</v>
      </c>
      <c r="K461">
        <f t="shared" si="996"/>
        <v>0</v>
      </c>
      <c r="L461">
        <f t="shared" si="996"/>
        <v>0</v>
      </c>
      <c r="M461">
        <f t="shared" si="996"/>
        <v>0</v>
      </c>
      <c r="N461">
        <f t="shared" si="996"/>
        <v>0</v>
      </c>
      <c r="O461">
        <f t="shared" si="996"/>
        <v>0</v>
      </c>
    </row>
    <row r="462" spans="1:26" x14ac:dyDescent="0.4">
      <c r="C462" t="s">
        <v>544</v>
      </c>
      <c r="D462">
        <f>IFERROR(IFERROR(D460/D458+D461/D459,D460/D458),0)</f>
        <v>0</v>
      </c>
      <c r="E462">
        <f t="shared" ref="E462" si="997">IFERROR(IFERROR(E460/E458+E461/E459,E460/E458),0)</f>
        <v>0</v>
      </c>
      <c r="F462">
        <f t="shared" ref="F462" si="998">IFERROR(IFERROR(F460/F458+F461/F459,F460/F458),0)</f>
        <v>0</v>
      </c>
      <c r="G462">
        <f t="shared" ref="G462" si="999">IFERROR(IFERROR(G460/G458+G461/G459,G460/G458),0)</f>
        <v>0</v>
      </c>
      <c r="H462">
        <f t="shared" ref="H462" si="1000">IFERROR(IFERROR(H460/H458+H461/H459,H460/H458),0)</f>
        <v>0</v>
      </c>
      <c r="I462">
        <f t="shared" ref="I462" si="1001">IFERROR(IFERROR(I460/I458+I461/I459,I460/I458),0)</f>
        <v>0</v>
      </c>
      <c r="J462">
        <f t="shared" ref="J462" si="1002">IFERROR(IFERROR(J460/J458+J461/J459,J460/J458),0)</f>
        <v>0</v>
      </c>
      <c r="K462">
        <f t="shared" ref="K462" si="1003">IFERROR(IFERROR(K460/K458+K461/K459,K460/K458),0)</f>
        <v>0</v>
      </c>
      <c r="L462">
        <f t="shared" ref="L462" si="1004">IFERROR(IFERROR(L460/L458+L461/L459,L460/L458),0)</f>
        <v>0</v>
      </c>
      <c r="M462">
        <f t="shared" ref="M462" si="1005">IFERROR(IFERROR(M460/M458+M461/M459,M460/M458),0)</f>
        <v>0</v>
      </c>
      <c r="N462">
        <f t="shared" ref="N462" si="1006">IFERROR(IFERROR(N460/N458+N461/N459,N460/N458),0)</f>
        <v>0</v>
      </c>
      <c r="O462">
        <f t="shared" ref="O462" si="1007">IFERROR(IFERROR(O460/O458+O461/O459,O460/O458),0)</f>
        <v>0</v>
      </c>
    </row>
    <row r="463" spans="1:26" x14ac:dyDescent="0.4">
      <c r="C463" t="s">
        <v>539</v>
      </c>
      <c r="D463">
        <f>IFERROR((D458/D460)*D462,1)</f>
        <v>1</v>
      </c>
      <c r="E463">
        <f t="shared" ref="E463" si="1008">IFERROR((E458/E460)*E462,1)</f>
        <v>1</v>
      </c>
      <c r="F463">
        <f t="shared" ref="F463" si="1009">IFERROR((F458/F460)*F462,1)</f>
        <v>1</v>
      </c>
      <c r="G463">
        <f t="shared" ref="G463" si="1010">IFERROR((G458/G460)*G462,1)</f>
        <v>1</v>
      </c>
      <c r="H463">
        <f t="shared" ref="H463" si="1011">IFERROR((H458/H460)*H462,1)</f>
        <v>1</v>
      </c>
      <c r="I463">
        <f t="shared" ref="I463" si="1012">IFERROR((I458/I460)*I462,1)</f>
        <v>1</v>
      </c>
      <c r="J463">
        <f t="shared" ref="J463" si="1013">IFERROR((J458/J460)*J462,1)</f>
        <v>1</v>
      </c>
      <c r="K463">
        <f t="shared" ref="K463" si="1014">IFERROR((K458/K460)*K462,1)</f>
        <v>1</v>
      </c>
      <c r="L463">
        <f t="shared" ref="L463" si="1015">IFERROR((L458/L460)*L462,1)</f>
        <v>1</v>
      </c>
      <c r="M463">
        <f t="shared" ref="M463" si="1016">IFERROR((M458/M460)*M462,1)</f>
        <v>1</v>
      </c>
      <c r="N463">
        <f t="shared" ref="N463" si="1017">IFERROR((N458/N460)*N462,1)</f>
        <v>1</v>
      </c>
      <c r="O463">
        <f t="shared" ref="O463" si="1018">IFERROR((O458/O460)*O462,1)</f>
        <v>1</v>
      </c>
    </row>
    <row r="464" spans="1:26" x14ac:dyDescent="0.4">
      <c r="C464" t="s">
        <v>540</v>
      </c>
      <c r="D464">
        <f>IFERROR((D459/D461)*D462,0)</f>
        <v>0</v>
      </c>
      <c r="E464">
        <f t="shared" ref="E464:O464" si="1019">IFERROR((E459/E461)*E462,0)</f>
        <v>0</v>
      </c>
      <c r="F464">
        <f t="shared" si="1019"/>
        <v>0</v>
      </c>
      <c r="G464">
        <f t="shared" si="1019"/>
        <v>0</v>
      </c>
      <c r="H464">
        <f t="shared" si="1019"/>
        <v>0</v>
      </c>
      <c r="I464">
        <f t="shared" si="1019"/>
        <v>0</v>
      </c>
      <c r="J464">
        <f t="shared" si="1019"/>
        <v>0</v>
      </c>
      <c r="K464">
        <f t="shared" si="1019"/>
        <v>0</v>
      </c>
      <c r="L464">
        <f t="shared" si="1019"/>
        <v>0</v>
      </c>
      <c r="M464">
        <f t="shared" si="1019"/>
        <v>0</v>
      </c>
      <c r="N464">
        <f t="shared" si="1019"/>
        <v>0</v>
      </c>
      <c r="O464">
        <f t="shared" si="1019"/>
        <v>0</v>
      </c>
    </row>
    <row r="465" spans="1:26" x14ac:dyDescent="0.4">
      <c r="C465" s="21" t="s">
        <v>534</v>
      </c>
      <c r="D465" t="str">
        <f t="shared" ref="D465:O465" si="1020">IFERROR(VLOOKUP(D454,Phys_Prop,4,FALSE),0)</f>
        <v>N/A</v>
      </c>
      <c r="E465" t="str">
        <f t="shared" si="1020"/>
        <v>N/A</v>
      </c>
      <c r="F465" t="str">
        <f t="shared" si="1020"/>
        <v>N/A</v>
      </c>
      <c r="G465" t="str">
        <f t="shared" si="1020"/>
        <v>N/A</v>
      </c>
      <c r="H465" t="str">
        <f t="shared" si="1020"/>
        <v>N/A</v>
      </c>
      <c r="I465" t="str">
        <f t="shared" si="1020"/>
        <v>N/A</v>
      </c>
      <c r="J465" t="str">
        <f t="shared" si="1020"/>
        <v>N/A</v>
      </c>
      <c r="K465" t="str">
        <f t="shared" si="1020"/>
        <v>N/A</v>
      </c>
      <c r="L465" t="str">
        <f t="shared" si="1020"/>
        <v>N/A</v>
      </c>
      <c r="M465" t="str">
        <f t="shared" si="1020"/>
        <v>N/A</v>
      </c>
      <c r="N465" t="str">
        <f t="shared" si="1020"/>
        <v>N/A</v>
      </c>
      <c r="O465" t="str">
        <f t="shared" si="1020"/>
        <v>N/A</v>
      </c>
    </row>
    <row r="466" spans="1:26" x14ac:dyDescent="0.4">
      <c r="C466" s="21" t="s">
        <v>535</v>
      </c>
      <c r="D466">
        <f t="shared" ref="D466:O466" si="1021">IFERROR(VLOOKUP(D455,Phys_Prop,4,FALSE),0)</f>
        <v>0</v>
      </c>
      <c r="E466">
        <f t="shared" si="1021"/>
        <v>0</v>
      </c>
      <c r="F466">
        <f t="shared" si="1021"/>
        <v>0</v>
      </c>
      <c r="G466">
        <f t="shared" si="1021"/>
        <v>0</v>
      </c>
      <c r="H466">
        <f t="shared" si="1021"/>
        <v>0</v>
      </c>
      <c r="I466">
        <f t="shared" si="1021"/>
        <v>0</v>
      </c>
      <c r="J466">
        <f t="shared" si="1021"/>
        <v>0</v>
      </c>
      <c r="K466">
        <f t="shared" si="1021"/>
        <v>0</v>
      </c>
      <c r="L466">
        <f t="shared" si="1021"/>
        <v>0</v>
      </c>
      <c r="M466">
        <f t="shared" si="1021"/>
        <v>0</v>
      </c>
      <c r="N466">
        <f t="shared" si="1021"/>
        <v>0</v>
      </c>
      <c r="O466">
        <f t="shared" si="1021"/>
        <v>0</v>
      </c>
    </row>
    <row r="467" spans="1:26" x14ac:dyDescent="0.4">
      <c r="A467" s="11"/>
      <c r="B467" s="11"/>
      <c r="C467" s="62" t="s">
        <v>536</v>
      </c>
      <c r="D467" s="11" t="str">
        <f>IFERROR(1/(D463/D465+D464/D466),D465)</f>
        <v>N/A</v>
      </c>
      <c r="E467" s="11" t="str">
        <f t="shared" ref="E467:O467" si="1022">IFERROR(1/(E463/E465+E464/E466),E465)</f>
        <v>N/A</v>
      </c>
      <c r="F467" s="11" t="str">
        <f t="shared" si="1022"/>
        <v>N/A</v>
      </c>
      <c r="G467" s="11" t="str">
        <f t="shared" si="1022"/>
        <v>N/A</v>
      </c>
      <c r="H467" s="11" t="str">
        <f t="shared" si="1022"/>
        <v>N/A</v>
      </c>
      <c r="I467" s="11" t="str">
        <f t="shared" si="1022"/>
        <v>N/A</v>
      </c>
      <c r="J467" s="11" t="str">
        <f t="shared" si="1022"/>
        <v>N/A</v>
      </c>
      <c r="K467" s="11" t="str">
        <f t="shared" si="1022"/>
        <v>N/A</v>
      </c>
      <c r="L467" s="11" t="str">
        <f t="shared" si="1022"/>
        <v>N/A</v>
      </c>
      <c r="M467" s="11" t="str">
        <f t="shared" si="1022"/>
        <v>N/A</v>
      </c>
      <c r="N467" s="11" t="str">
        <f t="shared" si="1022"/>
        <v>N/A</v>
      </c>
      <c r="O467" s="11" t="str">
        <f t="shared" si="1022"/>
        <v>N/A</v>
      </c>
      <c r="P467" s="11"/>
      <c r="Q467" s="11"/>
      <c r="R467" s="11"/>
      <c r="S467" s="11"/>
      <c r="T467" s="11"/>
      <c r="U467" s="11"/>
      <c r="V467" s="11"/>
      <c r="W467" s="11"/>
      <c r="X467" s="11"/>
      <c r="Y467" s="11"/>
      <c r="Z467" s="11"/>
    </row>
    <row r="468" spans="1:26" x14ac:dyDescent="0.4">
      <c r="A468" t="str" cm="1">
        <f t="array" ref="A468">INDEX(FX_Input,R468,S468)</f>
        <v>FX - 34</v>
      </c>
      <c r="B468" t="str" cm="1">
        <f t="array" ref="B468">INDEX(FX_Input,R468,T468)</f>
        <v>Portland</v>
      </c>
      <c r="C468" t="s">
        <v>528</v>
      </c>
      <c r="D468" t="str" cm="1">
        <f t="array" ref="D468">INDEX(FX_Input,$R468,$Y468*D$5+$Z468)</f>
        <v>Out of Service</v>
      </c>
      <c r="E468" t="str" cm="1">
        <f t="array" ref="E468">INDEX(FX_Input,$R468,$Y468*E$5+$Z468)</f>
        <v>Out of Service</v>
      </c>
      <c r="F468" t="str" cm="1">
        <f t="array" ref="F468">INDEX(FX_Input,$R468,$Y468*F$5+$Z468)</f>
        <v>Out of Service</v>
      </c>
      <c r="G468" t="str" cm="1">
        <f t="array" ref="G468">INDEX(FX_Input,$R468,$Y468*G$5+$Z468)</f>
        <v>Out of Service</v>
      </c>
      <c r="H468" t="str" cm="1">
        <f t="array" ref="H468">INDEX(FX_Input,$R468,$Y468*H$5+$Z468)</f>
        <v>Out of Service</v>
      </c>
      <c r="I468" t="str" cm="1">
        <f t="array" ref="I468">INDEX(FX_Input,$R468,$Y468*I$5+$Z468)</f>
        <v>Out of Service</v>
      </c>
      <c r="J468" t="str" cm="1">
        <f t="array" ref="J468">INDEX(FX_Input,$R468,$Y468*J$5+$Z468)</f>
        <v>Out of Service</v>
      </c>
      <c r="K468" t="str" cm="1">
        <f t="array" ref="K468">INDEX(FX_Input,$R468,$Y468*K$5+$Z468)</f>
        <v>Out of Service</v>
      </c>
      <c r="L468" t="str" cm="1">
        <f t="array" ref="L468">INDEX(FX_Input,$R468,$Y468*L$5+$Z468)</f>
        <v>Out of Service</v>
      </c>
      <c r="M468" t="str" cm="1">
        <f t="array" ref="M468">INDEX(FX_Input,$R468,$Y468*M$5+$Z468)</f>
        <v>Out of Service</v>
      </c>
      <c r="N468" t="str" cm="1">
        <f t="array" ref="N468">INDEX(FX_Input,$R468,$Y468*N$5+$Z468)</f>
        <v>Out of Service</v>
      </c>
      <c r="O468" t="str" cm="1">
        <f t="array" ref="O468">INDEX(FX_Input,$R468,$Y468*O$5+$Z468)</f>
        <v>Out of Service</v>
      </c>
      <c r="R468">
        <f>R454+2</f>
        <v>67</v>
      </c>
      <c r="S468">
        <v>1</v>
      </c>
      <c r="T468">
        <v>3</v>
      </c>
      <c r="U468">
        <v>17</v>
      </c>
      <c r="V468">
        <f>U468+5</f>
        <v>22</v>
      </c>
      <c r="W468">
        <v>1</v>
      </c>
      <c r="X468">
        <v>2</v>
      </c>
      <c r="Y468">
        <f t="shared" ref="Y468:Y473" si="1023">(V468-U468)/(X468-W468)</f>
        <v>5</v>
      </c>
      <c r="Z468">
        <f t="shared" ref="Z468:Z473" si="1024">U468-Y468*W468</f>
        <v>12</v>
      </c>
    </row>
    <row r="469" spans="1:26" x14ac:dyDescent="0.4">
      <c r="C469" t="s">
        <v>529</v>
      </c>
      <c r="D469" cm="1">
        <f t="array" ref="D469">INDEX(FX_Input,$R469,$Y469*D$5+$Z469)</f>
        <v>0</v>
      </c>
      <c r="E469" cm="1">
        <f t="array" ref="E469">INDEX(FX_Input,$R469,$Y469*E$5+$Z469)</f>
        <v>0</v>
      </c>
      <c r="F469" cm="1">
        <f t="array" ref="F469">INDEX(FX_Input,$R469,$Y469*F$5+$Z469)</f>
        <v>0</v>
      </c>
      <c r="G469" cm="1">
        <f t="array" ref="G469">INDEX(FX_Input,$R469,$Y469*G$5+$Z469)</f>
        <v>0</v>
      </c>
      <c r="H469" cm="1">
        <f t="array" ref="H469">INDEX(FX_Input,$R469,$Y469*H$5+$Z469)</f>
        <v>0</v>
      </c>
      <c r="I469" cm="1">
        <f t="array" ref="I469">INDEX(FX_Input,$R469,$Y469*I$5+$Z469)</f>
        <v>0</v>
      </c>
      <c r="J469" cm="1">
        <f t="array" ref="J469">INDEX(FX_Input,$R469,$Y469*J$5+$Z469)</f>
        <v>0</v>
      </c>
      <c r="K469" cm="1">
        <f t="array" ref="K469">INDEX(FX_Input,$R469,$Y469*K$5+$Z469)</f>
        <v>0</v>
      </c>
      <c r="L469" cm="1">
        <f t="array" ref="L469">INDEX(FX_Input,$R469,$Y469*L$5+$Z469)</f>
        <v>0</v>
      </c>
      <c r="M469" cm="1">
        <f t="array" ref="M469">INDEX(FX_Input,$R469,$Y469*M$5+$Z469)</f>
        <v>0</v>
      </c>
      <c r="N469" cm="1">
        <f t="array" ref="N469">INDEX(FX_Input,$R469,$Y469*N$5+$Z469)</f>
        <v>0</v>
      </c>
      <c r="O469" cm="1">
        <f t="array" ref="O469">INDEX(FX_Input,$R469,$Y469*O$5+$Z469)</f>
        <v>0</v>
      </c>
      <c r="R469">
        <f>R468+1</f>
        <v>68</v>
      </c>
      <c r="U469">
        <f>U468</f>
        <v>17</v>
      </c>
      <c r="V469">
        <f t="shared" ref="V469:V473" si="1025">U469+5</f>
        <v>22</v>
      </c>
      <c r="W469">
        <v>1</v>
      </c>
      <c r="X469">
        <v>2</v>
      </c>
      <c r="Y469">
        <f t="shared" si="1023"/>
        <v>5</v>
      </c>
      <c r="Z469">
        <f t="shared" si="1024"/>
        <v>12</v>
      </c>
    </row>
    <row r="470" spans="1:26" x14ac:dyDescent="0.4">
      <c r="C470" t="s">
        <v>530</v>
      </c>
      <c r="D470" t="str" cm="1">
        <f t="array" ref="D470">INDEX(FX_Input,$R470,$Y470*D$5+$Z470)</f>
        <v>N/A</v>
      </c>
      <c r="E470" t="str" cm="1">
        <f t="array" ref="E470">INDEX(FX_Input,$R470,$Y470*E$5+$Z470)</f>
        <v>N/A</v>
      </c>
      <c r="F470" t="str" cm="1">
        <f t="array" ref="F470">INDEX(FX_Input,$R470,$Y470*F$5+$Z470)</f>
        <v>N/A</v>
      </c>
      <c r="G470" t="str" cm="1">
        <f t="array" ref="G470">INDEX(FX_Input,$R470,$Y470*G$5+$Z470)</f>
        <v>N/A</v>
      </c>
      <c r="H470" t="str" cm="1">
        <f t="array" ref="H470">INDEX(FX_Input,$R470,$Y470*H$5+$Z470)</f>
        <v>N/A</v>
      </c>
      <c r="I470" t="str" cm="1">
        <f t="array" ref="I470">INDEX(FX_Input,$R470,$Y470*I$5+$Z470)</f>
        <v>N/A</v>
      </c>
      <c r="J470" t="str" cm="1">
        <f t="array" ref="J470">INDEX(FX_Input,$R470,$Y470*J$5+$Z470)</f>
        <v>N/A</v>
      </c>
      <c r="K470" t="str" cm="1">
        <f t="array" ref="K470">INDEX(FX_Input,$R470,$Y470*K$5+$Z470)</f>
        <v>N/A</v>
      </c>
      <c r="L470" t="str" cm="1">
        <f t="array" ref="L470">INDEX(FX_Input,$R470,$Y470*L$5+$Z470)</f>
        <v>N/A</v>
      </c>
      <c r="M470" t="str" cm="1">
        <f t="array" ref="M470">INDEX(FX_Input,$R470,$Y470*M$5+$Z470)</f>
        <v>N/A</v>
      </c>
      <c r="N470" t="str" cm="1">
        <f t="array" ref="N470">INDEX(FX_Input,$R470,$Y470*N$5+$Z470)</f>
        <v>N/A</v>
      </c>
      <c r="O470" t="str" cm="1">
        <f t="array" ref="O470">INDEX(FX_Input,$R470,$Y470*O$5+$Z470)</f>
        <v>N/A</v>
      </c>
      <c r="R470">
        <f>R468</f>
        <v>67</v>
      </c>
      <c r="U470">
        <v>18</v>
      </c>
      <c r="V470">
        <f t="shared" si="1025"/>
        <v>23</v>
      </c>
      <c r="W470">
        <v>1</v>
      </c>
      <c r="X470">
        <v>2</v>
      </c>
      <c r="Y470">
        <f t="shared" si="1023"/>
        <v>5</v>
      </c>
      <c r="Z470">
        <f t="shared" si="1024"/>
        <v>13</v>
      </c>
    </row>
    <row r="471" spans="1:26" x14ac:dyDescent="0.4">
      <c r="C471" t="s">
        <v>531</v>
      </c>
      <c r="D471" cm="1">
        <f t="array" ref="D471">INDEX(FX_Input,$R471,$Y471*D$5+$Z471)</f>
        <v>0</v>
      </c>
      <c r="E471" cm="1">
        <f t="array" ref="E471">INDEX(FX_Input,$R471,$Y471*E$5+$Z471)</f>
        <v>0</v>
      </c>
      <c r="F471" cm="1">
        <f t="array" ref="F471">INDEX(FX_Input,$R471,$Y471*F$5+$Z471)</f>
        <v>0</v>
      </c>
      <c r="G471" cm="1">
        <f t="array" ref="G471">INDEX(FX_Input,$R471,$Y471*G$5+$Z471)</f>
        <v>0</v>
      </c>
      <c r="H471" cm="1">
        <f t="array" ref="H471">INDEX(FX_Input,$R471,$Y471*H$5+$Z471)</f>
        <v>0</v>
      </c>
      <c r="I471" cm="1">
        <f t="array" ref="I471">INDEX(FX_Input,$R471,$Y471*I$5+$Z471)</f>
        <v>0</v>
      </c>
      <c r="J471" cm="1">
        <f t="array" ref="J471">INDEX(FX_Input,$R471,$Y471*J$5+$Z471)</f>
        <v>0</v>
      </c>
      <c r="K471" cm="1">
        <f t="array" ref="K471">INDEX(FX_Input,$R471,$Y471*K$5+$Z471)</f>
        <v>0</v>
      </c>
      <c r="L471" cm="1">
        <f t="array" ref="L471">INDEX(FX_Input,$R471,$Y471*L$5+$Z471)</f>
        <v>0</v>
      </c>
      <c r="M471" cm="1">
        <f t="array" ref="M471">INDEX(FX_Input,$R471,$Y471*M$5+$Z471)</f>
        <v>0</v>
      </c>
      <c r="N471" cm="1">
        <f t="array" ref="N471">INDEX(FX_Input,$R471,$Y471*N$5+$Z471)</f>
        <v>0</v>
      </c>
      <c r="O471" cm="1">
        <f t="array" ref="O471">INDEX(FX_Input,$R471,$Y471*O$5+$Z471)</f>
        <v>0</v>
      </c>
      <c r="R471">
        <f>R469</f>
        <v>68</v>
      </c>
      <c r="U471">
        <f>U470</f>
        <v>18</v>
      </c>
      <c r="V471">
        <f t="shared" si="1025"/>
        <v>23</v>
      </c>
      <c r="W471">
        <v>1</v>
      </c>
      <c r="X471">
        <v>2</v>
      </c>
      <c r="Y471">
        <f t="shared" si="1023"/>
        <v>5</v>
      </c>
      <c r="Z471">
        <f t="shared" si="1024"/>
        <v>13</v>
      </c>
    </row>
    <row r="472" spans="1:26" x14ac:dyDescent="0.4">
      <c r="C472" t="s">
        <v>546</v>
      </c>
      <c r="D472" cm="1">
        <f t="array" ref="D472">INDEX(FX_Input,$R472,$Y472*D$5+$Z472)</f>
        <v>1</v>
      </c>
      <c r="E472" cm="1">
        <f t="array" ref="E472">INDEX(FX_Input,$R472,$Y472*E$5+$Z472)</f>
        <v>1</v>
      </c>
      <c r="F472" cm="1">
        <f t="array" ref="F472">INDEX(FX_Input,$R472,$Y472*F$5+$Z472)</f>
        <v>1</v>
      </c>
      <c r="G472" cm="1">
        <f t="array" ref="G472">INDEX(FX_Input,$R472,$Y472*G$5+$Z472)</f>
        <v>1</v>
      </c>
      <c r="H472" cm="1">
        <f t="array" ref="H472">INDEX(FX_Input,$R472,$Y472*H$5+$Z472)</f>
        <v>1</v>
      </c>
      <c r="I472" cm="1">
        <f t="array" ref="I472">INDEX(FX_Input,$R472,$Y472*I$5+$Z472)</f>
        <v>1</v>
      </c>
      <c r="J472" cm="1">
        <f t="array" ref="J472">INDEX(FX_Input,$R472,$Y472*J$5+$Z472)</f>
        <v>1</v>
      </c>
      <c r="K472" cm="1">
        <f t="array" ref="K472">INDEX(FX_Input,$R472,$Y472*K$5+$Z472)</f>
        <v>1</v>
      </c>
      <c r="L472" cm="1">
        <f t="array" ref="L472">INDEX(FX_Input,$R472,$Y472*L$5+$Z472)</f>
        <v>1</v>
      </c>
      <c r="M472" cm="1">
        <f t="array" ref="M472">INDEX(FX_Input,$R472,$Y472*M$5+$Z472)</f>
        <v>1</v>
      </c>
      <c r="N472" cm="1">
        <f t="array" ref="N472">INDEX(FX_Input,$R472,$Y472*N$5+$Z472)</f>
        <v>1</v>
      </c>
      <c r="O472" cm="1">
        <f t="array" ref="O472">INDEX(FX_Input,$R472,$Y472*O$5+$Z472)</f>
        <v>1</v>
      </c>
      <c r="R472">
        <f>R470</f>
        <v>67</v>
      </c>
      <c r="U472">
        <v>21</v>
      </c>
      <c r="V472">
        <f t="shared" si="1025"/>
        <v>26</v>
      </c>
      <c r="W472">
        <v>1</v>
      </c>
      <c r="X472">
        <v>2</v>
      </c>
      <c r="Y472">
        <f t="shared" si="1023"/>
        <v>5</v>
      </c>
      <c r="Z472">
        <f t="shared" si="1024"/>
        <v>16</v>
      </c>
    </row>
    <row r="473" spans="1:26" x14ac:dyDescent="0.4">
      <c r="C473" t="s">
        <v>547</v>
      </c>
      <c r="D473" cm="1">
        <f t="array" ref="D473">INDEX(FX_Input,$R473,$Y473*D$5+$Z473)</f>
        <v>0</v>
      </c>
      <c r="E473" cm="1">
        <f t="array" ref="E473">INDEX(FX_Input,$R473,$Y473*E$5+$Z473)</f>
        <v>0</v>
      </c>
      <c r="F473" cm="1">
        <f t="array" ref="F473">INDEX(FX_Input,$R473,$Y473*F$5+$Z473)</f>
        <v>0</v>
      </c>
      <c r="G473" cm="1">
        <f t="array" ref="G473">INDEX(FX_Input,$R473,$Y473*G$5+$Z473)</f>
        <v>0</v>
      </c>
      <c r="H473" cm="1">
        <f t="array" ref="H473">INDEX(FX_Input,$R473,$Y473*H$5+$Z473)</f>
        <v>0</v>
      </c>
      <c r="I473" cm="1">
        <f t="array" ref="I473">INDEX(FX_Input,$R473,$Y473*I$5+$Z473)</f>
        <v>0</v>
      </c>
      <c r="J473" cm="1">
        <f t="array" ref="J473">INDEX(FX_Input,$R473,$Y473*J$5+$Z473)</f>
        <v>0</v>
      </c>
      <c r="K473" cm="1">
        <f t="array" ref="K473">INDEX(FX_Input,$R473,$Y473*K$5+$Z473)</f>
        <v>0</v>
      </c>
      <c r="L473" cm="1">
        <f t="array" ref="L473">INDEX(FX_Input,$R473,$Y473*L$5+$Z473)</f>
        <v>0</v>
      </c>
      <c r="M473" cm="1">
        <f t="array" ref="M473">INDEX(FX_Input,$R473,$Y473*M$5+$Z473)</f>
        <v>0</v>
      </c>
      <c r="N473" cm="1">
        <f t="array" ref="N473">INDEX(FX_Input,$R473,$Y473*N$5+$Z473)</f>
        <v>0</v>
      </c>
      <c r="O473" cm="1">
        <f t="array" ref="O473">INDEX(FX_Input,$R473,$Y473*O$5+$Z473)</f>
        <v>0</v>
      </c>
      <c r="R473">
        <f>R471</f>
        <v>68</v>
      </c>
      <c r="U473">
        <f>U472</f>
        <v>21</v>
      </c>
      <c r="V473">
        <f t="shared" si="1025"/>
        <v>26</v>
      </c>
      <c r="W473">
        <v>1</v>
      </c>
      <c r="X473">
        <v>2</v>
      </c>
      <c r="Y473">
        <f t="shared" si="1023"/>
        <v>5</v>
      </c>
      <c r="Z473">
        <f t="shared" si="1024"/>
        <v>16</v>
      </c>
    </row>
    <row r="474" spans="1:26" x14ac:dyDescent="0.4">
      <c r="C474" t="s">
        <v>532</v>
      </c>
      <c r="D474" t="str">
        <f t="shared" ref="D474:O474" si="1026">IFERROR(VLOOKUP(D468,Phys_Prop,2,FALSE),0)</f>
        <v>N/A</v>
      </c>
      <c r="E474" t="str">
        <f t="shared" si="1026"/>
        <v>N/A</v>
      </c>
      <c r="F474" t="str">
        <f t="shared" si="1026"/>
        <v>N/A</v>
      </c>
      <c r="G474" t="str">
        <f t="shared" si="1026"/>
        <v>N/A</v>
      </c>
      <c r="H474" t="str">
        <f t="shared" si="1026"/>
        <v>N/A</v>
      </c>
      <c r="I474" t="str">
        <f t="shared" si="1026"/>
        <v>N/A</v>
      </c>
      <c r="J474" t="str">
        <f t="shared" si="1026"/>
        <v>N/A</v>
      </c>
      <c r="K474" t="str">
        <f t="shared" si="1026"/>
        <v>N/A</v>
      </c>
      <c r="L474" t="str">
        <f t="shared" si="1026"/>
        <v>N/A</v>
      </c>
      <c r="M474" t="str">
        <f t="shared" si="1026"/>
        <v>N/A</v>
      </c>
      <c r="N474" t="str">
        <f t="shared" si="1026"/>
        <v>N/A</v>
      </c>
      <c r="O474" t="str">
        <f t="shared" si="1026"/>
        <v>N/A</v>
      </c>
    </row>
    <row r="475" spans="1:26" x14ac:dyDescent="0.4">
      <c r="C475" t="s">
        <v>533</v>
      </c>
      <c r="D475">
        <f t="shared" ref="D475:O475" si="1027">IFERROR(VLOOKUP(D469,Phys_Prop,2,FALSE),0)</f>
        <v>0</v>
      </c>
      <c r="E475">
        <f t="shared" si="1027"/>
        <v>0</v>
      </c>
      <c r="F475">
        <f t="shared" si="1027"/>
        <v>0</v>
      </c>
      <c r="G475">
        <f t="shared" si="1027"/>
        <v>0</v>
      </c>
      <c r="H475">
        <f t="shared" si="1027"/>
        <v>0</v>
      </c>
      <c r="I475">
        <f t="shared" si="1027"/>
        <v>0</v>
      </c>
      <c r="J475">
        <f t="shared" si="1027"/>
        <v>0</v>
      </c>
      <c r="K475">
        <f t="shared" si="1027"/>
        <v>0</v>
      </c>
      <c r="L475">
        <f t="shared" si="1027"/>
        <v>0</v>
      </c>
      <c r="M475">
        <f t="shared" si="1027"/>
        <v>0</v>
      </c>
      <c r="N475">
        <f t="shared" si="1027"/>
        <v>0</v>
      </c>
      <c r="O475">
        <f t="shared" si="1027"/>
        <v>0</v>
      </c>
    </row>
    <row r="476" spans="1:26" x14ac:dyDescent="0.4">
      <c r="C476" t="s">
        <v>544</v>
      </c>
      <c r="D476">
        <f>IFERROR(IFERROR(D474/D472+D475/D473,D474/D472),0)</f>
        <v>0</v>
      </c>
      <c r="E476">
        <f t="shared" ref="E476" si="1028">IFERROR(IFERROR(E474/E472+E475/E473,E474/E472),0)</f>
        <v>0</v>
      </c>
      <c r="F476">
        <f t="shared" ref="F476" si="1029">IFERROR(IFERROR(F474/F472+F475/F473,F474/F472),0)</f>
        <v>0</v>
      </c>
      <c r="G476">
        <f t="shared" ref="G476" si="1030">IFERROR(IFERROR(G474/G472+G475/G473,G474/G472),0)</f>
        <v>0</v>
      </c>
      <c r="H476">
        <f t="shared" ref="H476" si="1031">IFERROR(IFERROR(H474/H472+H475/H473,H474/H472),0)</f>
        <v>0</v>
      </c>
      <c r="I476">
        <f t="shared" ref="I476" si="1032">IFERROR(IFERROR(I474/I472+I475/I473,I474/I472),0)</f>
        <v>0</v>
      </c>
      <c r="J476">
        <f t="shared" ref="J476" si="1033">IFERROR(IFERROR(J474/J472+J475/J473,J474/J472),0)</f>
        <v>0</v>
      </c>
      <c r="K476">
        <f t="shared" ref="K476" si="1034">IFERROR(IFERROR(K474/K472+K475/K473,K474/K472),0)</f>
        <v>0</v>
      </c>
      <c r="L476">
        <f t="shared" ref="L476" si="1035">IFERROR(IFERROR(L474/L472+L475/L473,L474/L472),0)</f>
        <v>0</v>
      </c>
      <c r="M476">
        <f t="shared" ref="M476" si="1036">IFERROR(IFERROR(M474/M472+M475/M473,M474/M472),0)</f>
        <v>0</v>
      </c>
      <c r="N476">
        <f t="shared" ref="N476" si="1037">IFERROR(IFERROR(N474/N472+N475/N473,N474/N472),0)</f>
        <v>0</v>
      </c>
      <c r="O476">
        <f t="shared" ref="O476" si="1038">IFERROR(IFERROR(O474/O472+O475/O473,O474/O472),0)</f>
        <v>0</v>
      </c>
    </row>
    <row r="477" spans="1:26" x14ac:dyDescent="0.4">
      <c r="C477" t="s">
        <v>539</v>
      </c>
      <c r="D477">
        <f>IFERROR((D472/D474)*D476,1)</f>
        <v>1</v>
      </c>
      <c r="E477">
        <f t="shared" ref="E477" si="1039">IFERROR((E472/E474)*E476,1)</f>
        <v>1</v>
      </c>
      <c r="F477">
        <f t="shared" ref="F477" si="1040">IFERROR((F472/F474)*F476,1)</f>
        <v>1</v>
      </c>
      <c r="G477">
        <f t="shared" ref="G477" si="1041">IFERROR((G472/G474)*G476,1)</f>
        <v>1</v>
      </c>
      <c r="H477">
        <f t="shared" ref="H477" si="1042">IFERROR((H472/H474)*H476,1)</f>
        <v>1</v>
      </c>
      <c r="I477">
        <f t="shared" ref="I477" si="1043">IFERROR((I472/I474)*I476,1)</f>
        <v>1</v>
      </c>
      <c r="J477">
        <f t="shared" ref="J477" si="1044">IFERROR((J472/J474)*J476,1)</f>
        <v>1</v>
      </c>
      <c r="K477">
        <f t="shared" ref="K477" si="1045">IFERROR((K472/K474)*K476,1)</f>
        <v>1</v>
      </c>
      <c r="L477">
        <f t="shared" ref="L477" si="1046">IFERROR((L472/L474)*L476,1)</f>
        <v>1</v>
      </c>
      <c r="M477">
        <f t="shared" ref="M477" si="1047">IFERROR((M472/M474)*M476,1)</f>
        <v>1</v>
      </c>
      <c r="N477">
        <f t="shared" ref="N477" si="1048">IFERROR((N472/N474)*N476,1)</f>
        <v>1</v>
      </c>
      <c r="O477">
        <f t="shared" ref="O477" si="1049">IFERROR((O472/O474)*O476,1)</f>
        <v>1</v>
      </c>
    </row>
    <row r="478" spans="1:26" x14ac:dyDescent="0.4">
      <c r="C478" t="s">
        <v>540</v>
      </c>
      <c r="D478">
        <f>IFERROR((D473/D475)*D476,0)</f>
        <v>0</v>
      </c>
      <c r="E478">
        <f t="shared" ref="E478:O478" si="1050">IFERROR((E473/E475)*E476,0)</f>
        <v>0</v>
      </c>
      <c r="F478">
        <f t="shared" si="1050"/>
        <v>0</v>
      </c>
      <c r="G478">
        <f t="shared" si="1050"/>
        <v>0</v>
      </c>
      <c r="H478">
        <f t="shared" si="1050"/>
        <v>0</v>
      </c>
      <c r="I478">
        <f t="shared" si="1050"/>
        <v>0</v>
      </c>
      <c r="J478">
        <f t="shared" si="1050"/>
        <v>0</v>
      </c>
      <c r="K478">
        <f t="shared" si="1050"/>
        <v>0</v>
      </c>
      <c r="L478">
        <f t="shared" si="1050"/>
        <v>0</v>
      </c>
      <c r="M478">
        <f t="shared" si="1050"/>
        <v>0</v>
      </c>
      <c r="N478">
        <f t="shared" si="1050"/>
        <v>0</v>
      </c>
      <c r="O478">
        <f t="shared" si="1050"/>
        <v>0</v>
      </c>
    </row>
    <row r="479" spans="1:26" x14ac:dyDescent="0.4">
      <c r="C479" s="21" t="s">
        <v>534</v>
      </c>
      <c r="D479" t="str">
        <f t="shared" ref="D479:O479" si="1051">IFERROR(VLOOKUP(D468,Phys_Prop,4,FALSE),0)</f>
        <v>N/A</v>
      </c>
      <c r="E479" t="str">
        <f t="shared" si="1051"/>
        <v>N/A</v>
      </c>
      <c r="F479" t="str">
        <f t="shared" si="1051"/>
        <v>N/A</v>
      </c>
      <c r="G479" t="str">
        <f t="shared" si="1051"/>
        <v>N/A</v>
      </c>
      <c r="H479" t="str">
        <f t="shared" si="1051"/>
        <v>N/A</v>
      </c>
      <c r="I479" t="str">
        <f t="shared" si="1051"/>
        <v>N/A</v>
      </c>
      <c r="J479" t="str">
        <f t="shared" si="1051"/>
        <v>N/A</v>
      </c>
      <c r="K479" t="str">
        <f t="shared" si="1051"/>
        <v>N/A</v>
      </c>
      <c r="L479" t="str">
        <f t="shared" si="1051"/>
        <v>N/A</v>
      </c>
      <c r="M479" t="str">
        <f t="shared" si="1051"/>
        <v>N/A</v>
      </c>
      <c r="N479" t="str">
        <f t="shared" si="1051"/>
        <v>N/A</v>
      </c>
      <c r="O479" t="str">
        <f t="shared" si="1051"/>
        <v>N/A</v>
      </c>
    </row>
    <row r="480" spans="1:26" x14ac:dyDescent="0.4">
      <c r="C480" s="21" t="s">
        <v>535</v>
      </c>
      <c r="D480">
        <f t="shared" ref="D480:O480" si="1052">IFERROR(VLOOKUP(D469,Phys_Prop,4,FALSE),0)</f>
        <v>0</v>
      </c>
      <c r="E480">
        <f t="shared" si="1052"/>
        <v>0</v>
      </c>
      <c r="F480">
        <f t="shared" si="1052"/>
        <v>0</v>
      </c>
      <c r="G480">
        <f t="shared" si="1052"/>
        <v>0</v>
      </c>
      <c r="H480">
        <f t="shared" si="1052"/>
        <v>0</v>
      </c>
      <c r="I480">
        <f t="shared" si="1052"/>
        <v>0</v>
      </c>
      <c r="J480">
        <f t="shared" si="1052"/>
        <v>0</v>
      </c>
      <c r="K480">
        <f t="shared" si="1052"/>
        <v>0</v>
      </c>
      <c r="L480">
        <f t="shared" si="1052"/>
        <v>0</v>
      </c>
      <c r="M480">
        <f t="shared" si="1052"/>
        <v>0</v>
      </c>
      <c r="N480">
        <f t="shared" si="1052"/>
        <v>0</v>
      </c>
      <c r="O480">
        <f t="shared" si="1052"/>
        <v>0</v>
      </c>
    </row>
    <row r="481" spans="1:26" x14ac:dyDescent="0.4">
      <c r="A481" s="11"/>
      <c r="B481" s="11"/>
      <c r="C481" s="62" t="s">
        <v>536</v>
      </c>
      <c r="D481" s="11" t="str">
        <f>IFERROR(1/(D477/D479+D478/D480),D479)</f>
        <v>N/A</v>
      </c>
      <c r="E481" s="11" t="str">
        <f t="shared" ref="E481:O481" si="1053">IFERROR(1/(E477/E479+E478/E480),E479)</f>
        <v>N/A</v>
      </c>
      <c r="F481" s="11" t="str">
        <f t="shared" si="1053"/>
        <v>N/A</v>
      </c>
      <c r="G481" s="11" t="str">
        <f t="shared" si="1053"/>
        <v>N/A</v>
      </c>
      <c r="H481" s="11" t="str">
        <f t="shared" si="1053"/>
        <v>N/A</v>
      </c>
      <c r="I481" s="11" t="str">
        <f t="shared" si="1053"/>
        <v>N/A</v>
      </c>
      <c r="J481" s="11" t="str">
        <f t="shared" si="1053"/>
        <v>N/A</v>
      </c>
      <c r="K481" s="11" t="str">
        <f t="shared" si="1053"/>
        <v>N/A</v>
      </c>
      <c r="L481" s="11" t="str">
        <f t="shared" si="1053"/>
        <v>N/A</v>
      </c>
      <c r="M481" s="11" t="str">
        <f t="shared" si="1053"/>
        <v>N/A</v>
      </c>
      <c r="N481" s="11" t="str">
        <f t="shared" si="1053"/>
        <v>N/A</v>
      </c>
      <c r="O481" s="11" t="str">
        <f t="shared" si="1053"/>
        <v>N/A</v>
      </c>
      <c r="P481" s="11"/>
      <c r="Q481" s="11"/>
      <c r="R481" s="11"/>
      <c r="S481" s="11"/>
      <c r="T481" s="11"/>
      <c r="U481" s="11"/>
      <c r="V481" s="11"/>
      <c r="W481" s="11"/>
      <c r="X481" s="11"/>
      <c r="Y481" s="11"/>
      <c r="Z481" s="11"/>
    </row>
    <row r="482" spans="1:26" x14ac:dyDescent="0.4">
      <c r="A482" t="str" cm="1">
        <f t="array" ref="A482">INDEX(FX_Input,R482,S482)</f>
        <v>FX - 35</v>
      </c>
      <c r="B482" t="str" cm="1">
        <f t="array" ref="B482">INDEX(FX_Input,R482,T482)</f>
        <v>Portland</v>
      </c>
      <c r="C482" t="s">
        <v>528</v>
      </c>
      <c r="D482" t="str" cm="1">
        <f t="array" ref="D482">INDEX(FX_Input,$R482,$Y482*D$5+$Z482)</f>
        <v>Out of Service</v>
      </c>
      <c r="E482" t="str" cm="1">
        <f t="array" ref="E482">INDEX(FX_Input,$R482,$Y482*E$5+$Z482)</f>
        <v>Out of Service</v>
      </c>
      <c r="F482" t="str" cm="1">
        <f t="array" ref="F482">INDEX(FX_Input,$R482,$Y482*F$5+$Z482)</f>
        <v>Out of Service</v>
      </c>
      <c r="G482" t="str" cm="1">
        <f t="array" ref="G482">INDEX(FX_Input,$R482,$Y482*G$5+$Z482)</f>
        <v>Out of Service</v>
      </c>
      <c r="H482" t="str" cm="1">
        <f t="array" ref="H482">INDEX(FX_Input,$R482,$Y482*H$5+$Z482)</f>
        <v>Out of Service</v>
      </c>
      <c r="I482" t="str" cm="1">
        <f t="array" ref="I482">INDEX(FX_Input,$R482,$Y482*I$5+$Z482)</f>
        <v>Out of Service</v>
      </c>
      <c r="J482" t="str" cm="1">
        <f t="array" ref="J482">INDEX(FX_Input,$R482,$Y482*J$5+$Z482)</f>
        <v>Out of Service</v>
      </c>
      <c r="K482" t="str" cm="1">
        <f t="array" ref="K482">INDEX(FX_Input,$R482,$Y482*K$5+$Z482)</f>
        <v>Out of Service</v>
      </c>
      <c r="L482" t="str" cm="1">
        <f t="array" ref="L482">INDEX(FX_Input,$R482,$Y482*L$5+$Z482)</f>
        <v>Out of Service</v>
      </c>
      <c r="M482" t="str" cm="1">
        <f t="array" ref="M482">INDEX(FX_Input,$R482,$Y482*M$5+$Z482)</f>
        <v>Out of Service</v>
      </c>
      <c r="N482" t="str" cm="1">
        <f t="array" ref="N482">INDEX(FX_Input,$R482,$Y482*N$5+$Z482)</f>
        <v>Out of Service</v>
      </c>
      <c r="O482" t="str" cm="1">
        <f t="array" ref="O482">INDEX(FX_Input,$R482,$Y482*O$5+$Z482)</f>
        <v>Out of Service</v>
      </c>
      <c r="R482">
        <f>R468+2</f>
        <v>69</v>
      </c>
      <c r="S482">
        <v>1</v>
      </c>
      <c r="T482">
        <v>3</v>
      </c>
      <c r="U482">
        <v>17</v>
      </c>
      <c r="V482">
        <f>U482+5</f>
        <v>22</v>
      </c>
      <c r="W482">
        <v>1</v>
      </c>
      <c r="X482">
        <v>2</v>
      </c>
      <c r="Y482">
        <f t="shared" ref="Y482:Y487" si="1054">(V482-U482)/(X482-W482)</f>
        <v>5</v>
      </c>
      <c r="Z482">
        <f t="shared" ref="Z482:Z487" si="1055">U482-Y482*W482</f>
        <v>12</v>
      </c>
    </row>
    <row r="483" spans="1:26" x14ac:dyDescent="0.4">
      <c r="C483" t="s">
        <v>529</v>
      </c>
      <c r="D483" cm="1">
        <f t="array" ref="D483">INDEX(FX_Input,$R483,$Y483*D$5+$Z483)</f>
        <v>0</v>
      </c>
      <c r="E483" cm="1">
        <f t="array" ref="E483">INDEX(FX_Input,$R483,$Y483*E$5+$Z483)</f>
        <v>0</v>
      </c>
      <c r="F483" cm="1">
        <f t="array" ref="F483">INDEX(FX_Input,$R483,$Y483*F$5+$Z483)</f>
        <v>0</v>
      </c>
      <c r="G483" cm="1">
        <f t="array" ref="G483">INDEX(FX_Input,$R483,$Y483*G$5+$Z483)</f>
        <v>0</v>
      </c>
      <c r="H483" cm="1">
        <f t="array" ref="H483">INDEX(FX_Input,$R483,$Y483*H$5+$Z483)</f>
        <v>0</v>
      </c>
      <c r="I483" cm="1">
        <f t="array" ref="I483">INDEX(FX_Input,$R483,$Y483*I$5+$Z483)</f>
        <v>0</v>
      </c>
      <c r="J483" cm="1">
        <f t="array" ref="J483">INDEX(FX_Input,$R483,$Y483*J$5+$Z483)</f>
        <v>0</v>
      </c>
      <c r="K483" cm="1">
        <f t="array" ref="K483">INDEX(FX_Input,$R483,$Y483*K$5+$Z483)</f>
        <v>0</v>
      </c>
      <c r="L483" cm="1">
        <f t="array" ref="L483">INDEX(FX_Input,$R483,$Y483*L$5+$Z483)</f>
        <v>0</v>
      </c>
      <c r="M483" cm="1">
        <f t="array" ref="M483">INDEX(FX_Input,$R483,$Y483*M$5+$Z483)</f>
        <v>0</v>
      </c>
      <c r="N483" cm="1">
        <f t="array" ref="N483">INDEX(FX_Input,$R483,$Y483*N$5+$Z483)</f>
        <v>0</v>
      </c>
      <c r="O483" cm="1">
        <f t="array" ref="O483">INDEX(FX_Input,$R483,$Y483*O$5+$Z483)</f>
        <v>0</v>
      </c>
      <c r="R483">
        <f>R482+1</f>
        <v>70</v>
      </c>
      <c r="U483">
        <f>U482</f>
        <v>17</v>
      </c>
      <c r="V483">
        <f t="shared" ref="V483:V487" si="1056">U483+5</f>
        <v>22</v>
      </c>
      <c r="W483">
        <v>1</v>
      </c>
      <c r="X483">
        <v>2</v>
      </c>
      <c r="Y483">
        <f t="shared" si="1054"/>
        <v>5</v>
      </c>
      <c r="Z483">
        <f t="shared" si="1055"/>
        <v>12</v>
      </c>
    </row>
    <row r="484" spans="1:26" x14ac:dyDescent="0.4">
      <c r="C484" t="s">
        <v>530</v>
      </c>
      <c r="D484" t="str" cm="1">
        <f t="array" ref="D484">INDEX(FX_Input,$R484,$Y484*D$5+$Z484)</f>
        <v>N/A</v>
      </c>
      <c r="E484" t="str" cm="1">
        <f t="array" ref="E484">INDEX(FX_Input,$R484,$Y484*E$5+$Z484)</f>
        <v>N/A</v>
      </c>
      <c r="F484" t="str" cm="1">
        <f t="array" ref="F484">INDEX(FX_Input,$R484,$Y484*F$5+$Z484)</f>
        <v>N/A</v>
      </c>
      <c r="G484" t="str" cm="1">
        <f t="array" ref="G484">INDEX(FX_Input,$R484,$Y484*G$5+$Z484)</f>
        <v>N/A</v>
      </c>
      <c r="H484" t="str" cm="1">
        <f t="array" ref="H484">INDEX(FX_Input,$R484,$Y484*H$5+$Z484)</f>
        <v>N/A</v>
      </c>
      <c r="I484" t="str" cm="1">
        <f t="array" ref="I484">INDEX(FX_Input,$R484,$Y484*I$5+$Z484)</f>
        <v>N/A</v>
      </c>
      <c r="J484" t="str" cm="1">
        <f t="array" ref="J484">INDEX(FX_Input,$R484,$Y484*J$5+$Z484)</f>
        <v>N/A</v>
      </c>
      <c r="K484" t="str" cm="1">
        <f t="array" ref="K484">INDEX(FX_Input,$R484,$Y484*K$5+$Z484)</f>
        <v>N/A</v>
      </c>
      <c r="L484" t="str" cm="1">
        <f t="array" ref="L484">INDEX(FX_Input,$R484,$Y484*L$5+$Z484)</f>
        <v>N/A</v>
      </c>
      <c r="M484" t="str" cm="1">
        <f t="array" ref="M484">INDEX(FX_Input,$R484,$Y484*M$5+$Z484)</f>
        <v>N/A</v>
      </c>
      <c r="N484" t="str" cm="1">
        <f t="array" ref="N484">INDEX(FX_Input,$R484,$Y484*N$5+$Z484)</f>
        <v>N/A</v>
      </c>
      <c r="O484" t="str" cm="1">
        <f t="array" ref="O484">INDEX(FX_Input,$R484,$Y484*O$5+$Z484)</f>
        <v>N/A</v>
      </c>
      <c r="R484">
        <f>R482</f>
        <v>69</v>
      </c>
      <c r="U484">
        <v>18</v>
      </c>
      <c r="V484">
        <f t="shared" si="1056"/>
        <v>23</v>
      </c>
      <c r="W484">
        <v>1</v>
      </c>
      <c r="X484">
        <v>2</v>
      </c>
      <c r="Y484">
        <f t="shared" si="1054"/>
        <v>5</v>
      </c>
      <c r="Z484">
        <f t="shared" si="1055"/>
        <v>13</v>
      </c>
    </row>
    <row r="485" spans="1:26" x14ac:dyDescent="0.4">
      <c r="C485" t="s">
        <v>531</v>
      </c>
      <c r="D485" cm="1">
        <f t="array" ref="D485">INDEX(FX_Input,$R485,$Y485*D$5+$Z485)</f>
        <v>0</v>
      </c>
      <c r="E485" cm="1">
        <f t="array" ref="E485">INDEX(FX_Input,$R485,$Y485*E$5+$Z485)</f>
        <v>0</v>
      </c>
      <c r="F485" cm="1">
        <f t="array" ref="F485">INDEX(FX_Input,$R485,$Y485*F$5+$Z485)</f>
        <v>0</v>
      </c>
      <c r="G485" cm="1">
        <f t="array" ref="G485">INDEX(FX_Input,$R485,$Y485*G$5+$Z485)</f>
        <v>0</v>
      </c>
      <c r="H485" cm="1">
        <f t="array" ref="H485">INDEX(FX_Input,$R485,$Y485*H$5+$Z485)</f>
        <v>0</v>
      </c>
      <c r="I485" cm="1">
        <f t="array" ref="I485">INDEX(FX_Input,$R485,$Y485*I$5+$Z485)</f>
        <v>0</v>
      </c>
      <c r="J485" cm="1">
        <f t="array" ref="J485">INDEX(FX_Input,$R485,$Y485*J$5+$Z485)</f>
        <v>0</v>
      </c>
      <c r="K485" cm="1">
        <f t="array" ref="K485">INDEX(FX_Input,$R485,$Y485*K$5+$Z485)</f>
        <v>0</v>
      </c>
      <c r="L485" cm="1">
        <f t="array" ref="L485">INDEX(FX_Input,$R485,$Y485*L$5+$Z485)</f>
        <v>0</v>
      </c>
      <c r="M485" cm="1">
        <f t="array" ref="M485">INDEX(FX_Input,$R485,$Y485*M$5+$Z485)</f>
        <v>0</v>
      </c>
      <c r="N485" cm="1">
        <f t="array" ref="N485">INDEX(FX_Input,$R485,$Y485*N$5+$Z485)</f>
        <v>0</v>
      </c>
      <c r="O485" cm="1">
        <f t="array" ref="O485">INDEX(FX_Input,$R485,$Y485*O$5+$Z485)</f>
        <v>0</v>
      </c>
      <c r="R485">
        <f>R483</f>
        <v>70</v>
      </c>
      <c r="U485">
        <f>U484</f>
        <v>18</v>
      </c>
      <c r="V485">
        <f t="shared" si="1056"/>
        <v>23</v>
      </c>
      <c r="W485">
        <v>1</v>
      </c>
      <c r="X485">
        <v>2</v>
      </c>
      <c r="Y485">
        <f t="shared" si="1054"/>
        <v>5</v>
      </c>
      <c r="Z485">
        <f t="shared" si="1055"/>
        <v>13</v>
      </c>
    </row>
    <row r="486" spans="1:26" x14ac:dyDescent="0.4">
      <c r="C486" t="s">
        <v>546</v>
      </c>
      <c r="D486" cm="1">
        <f t="array" ref="D486">INDEX(FX_Input,$R486,$Y486*D$5+$Z486)</f>
        <v>1</v>
      </c>
      <c r="E486" cm="1">
        <f t="array" ref="E486">INDEX(FX_Input,$R486,$Y486*E$5+$Z486)</f>
        <v>1</v>
      </c>
      <c r="F486" cm="1">
        <f t="array" ref="F486">INDEX(FX_Input,$R486,$Y486*F$5+$Z486)</f>
        <v>1</v>
      </c>
      <c r="G486" cm="1">
        <f t="array" ref="G486">INDEX(FX_Input,$R486,$Y486*G$5+$Z486)</f>
        <v>1</v>
      </c>
      <c r="H486" cm="1">
        <f t="array" ref="H486">INDEX(FX_Input,$R486,$Y486*H$5+$Z486)</f>
        <v>1</v>
      </c>
      <c r="I486" cm="1">
        <f t="array" ref="I486">INDEX(FX_Input,$R486,$Y486*I$5+$Z486)</f>
        <v>1</v>
      </c>
      <c r="J486" cm="1">
        <f t="array" ref="J486">INDEX(FX_Input,$R486,$Y486*J$5+$Z486)</f>
        <v>1</v>
      </c>
      <c r="K486" cm="1">
        <f t="array" ref="K486">INDEX(FX_Input,$R486,$Y486*K$5+$Z486)</f>
        <v>1</v>
      </c>
      <c r="L486" cm="1">
        <f t="array" ref="L486">INDEX(FX_Input,$R486,$Y486*L$5+$Z486)</f>
        <v>1</v>
      </c>
      <c r="M486" cm="1">
        <f t="array" ref="M486">INDEX(FX_Input,$R486,$Y486*M$5+$Z486)</f>
        <v>1</v>
      </c>
      <c r="N486" cm="1">
        <f t="array" ref="N486">INDEX(FX_Input,$R486,$Y486*N$5+$Z486)</f>
        <v>1</v>
      </c>
      <c r="O486" cm="1">
        <f t="array" ref="O486">INDEX(FX_Input,$R486,$Y486*O$5+$Z486)</f>
        <v>1</v>
      </c>
      <c r="R486">
        <f>R484</f>
        <v>69</v>
      </c>
      <c r="U486">
        <v>21</v>
      </c>
      <c r="V486">
        <f t="shared" si="1056"/>
        <v>26</v>
      </c>
      <c r="W486">
        <v>1</v>
      </c>
      <c r="X486">
        <v>2</v>
      </c>
      <c r="Y486">
        <f t="shared" si="1054"/>
        <v>5</v>
      </c>
      <c r="Z486">
        <f t="shared" si="1055"/>
        <v>16</v>
      </c>
    </row>
    <row r="487" spans="1:26" x14ac:dyDescent="0.4">
      <c r="C487" t="s">
        <v>547</v>
      </c>
      <c r="D487" cm="1">
        <f t="array" ref="D487">INDEX(FX_Input,$R487,$Y487*D$5+$Z487)</f>
        <v>0</v>
      </c>
      <c r="E487" cm="1">
        <f t="array" ref="E487">INDEX(FX_Input,$R487,$Y487*E$5+$Z487)</f>
        <v>0</v>
      </c>
      <c r="F487" cm="1">
        <f t="array" ref="F487">INDEX(FX_Input,$R487,$Y487*F$5+$Z487)</f>
        <v>0</v>
      </c>
      <c r="G487" cm="1">
        <f t="array" ref="G487">INDEX(FX_Input,$R487,$Y487*G$5+$Z487)</f>
        <v>0</v>
      </c>
      <c r="H487" cm="1">
        <f t="array" ref="H487">INDEX(FX_Input,$R487,$Y487*H$5+$Z487)</f>
        <v>0</v>
      </c>
      <c r="I487" cm="1">
        <f t="array" ref="I487">INDEX(FX_Input,$R487,$Y487*I$5+$Z487)</f>
        <v>0</v>
      </c>
      <c r="J487" cm="1">
        <f t="array" ref="J487">INDEX(FX_Input,$R487,$Y487*J$5+$Z487)</f>
        <v>0</v>
      </c>
      <c r="K487" cm="1">
        <f t="array" ref="K487">INDEX(FX_Input,$R487,$Y487*K$5+$Z487)</f>
        <v>0</v>
      </c>
      <c r="L487" cm="1">
        <f t="array" ref="L487">INDEX(FX_Input,$R487,$Y487*L$5+$Z487)</f>
        <v>0</v>
      </c>
      <c r="M487" cm="1">
        <f t="array" ref="M487">INDEX(FX_Input,$R487,$Y487*M$5+$Z487)</f>
        <v>0</v>
      </c>
      <c r="N487" cm="1">
        <f t="array" ref="N487">INDEX(FX_Input,$R487,$Y487*N$5+$Z487)</f>
        <v>0</v>
      </c>
      <c r="O487" cm="1">
        <f t="array" ref="O487">INDEX(FX_Input,$R487,$Y487*O$5+$Z487)</f>
        <v>0</v>
      </c>
      <c r="R487">
        <f>R485</f>
        <v>70</v>
      </c>
      <c r="U487">
        <f>U486</f>
        <v>21</v>
      </c>
      <c r="V487">
        <f t="shared" si="1056"/>
        <v>26</v>
      </c>
      <c r="W487">
        <v>1</v>
      </c>
      <c r="X487">
        <v>2</v>
      </c>
      <c r="Y487">
        <f t="shared" si="1054"/>
        <v>5</v>
      </c>
      <c r="Z487">
        <f t="shared" si="1055"/>
        <v>16</v>
      </c>
    </row>
    <row r="488" spans="1:26" x14ac:dyDescent="0.4">
      <c r="C488" t="s">
        <v>532</v>
      </c>
      <c r="D488" t="str">
        <f t="shared" ref="D488:O488" si="1057">IFERROR(VLOOKUP(D482,Phys_Prop,2,FALSE),0)</f>
        <v>N/A</v>
      </c>
      <c r="E488" t="str">
        <f t="shared" si="1057"/>
        <v>N/A</v>
      </c>
      <c r="F488" t="str">
        <f t="shared" si="1057"/>
        <v>N/A</v>
      </c>
      <c r="G488" t="str">
        <f t="shared" si="1057"/>
        <v>N/A</v>
      </c>
      <c r="H488" t="str">
        <f t="shared" si="1057"/>
        <v>N/A</v>
      </c>
      <c r="I488" t="str">
        <f t="shared" si="1057"/>
        <v>N/A</v>
      </c>
      <c r="J488" t="str">
        <f t="shared" si="1057"/>
        <v>N/A</v>
      </c>
      <c r="K488" t="str">
        <f t="shared" si="1057"/>
        <v>N/A</v>
      </c>
      <c r="L488" t="str">
        <f t="shared" si="1057"/>
        <v>N/A</v>
      </c>
      <c r="M488" t="str">
        <f t="shared" si="1057"/>
        <v>N/A</v>
      </c>
      <c r="N488" t="str">
        <f t="shared" si="1057"/>
        <v>N/A</v>
      </c>
      <c r="O488" t="str">
        <f t="shared" si="1057"/>
        <v>N/A</v>
      </c>
    </row>
    <row r="489" spans="1:26" x14ac:dyDescent="0.4">
      <c r="C489" t="s">
        <v>533</v>
      </c>
      <c r="D489">
        <f t="shared" ref="D489:O489" si="1058">IFERROR(VLOOKUP(D483,Phys_Prop,2,FALSE),0)</f>
        <v>0</v>
      </c>
      <c r="E489">
        <f t="shared" si="1058"/>
        <v>0</v>
      </c>
      <c r="F489">
        <f t="shared" si="1058"/>
        <v>0</v>
      </c>
      <c r="G489">
        <f t="shared" si="1058"/>
        <v>0</v>
      </c>
      <c r="H489">
        <f t="shared" si="1058"/>
        <v>0</v>
      </c>
      <c r="I489">
        <f t="shared" si="1058"/>
        <v>0</v>
      </c>
      <c r="J489">
        <f t="shared" si="1058"/>
        <v>0</v>
      </c>
      <c r="K489">
        <f t="shared" si="1058"/>
        <v>0</v>
      </c>
      <c r="L489">
        <f t="shared" si="1058"/>
        <v>0</v>
      </c>
      <c r="M489">
        <f t="shared" si="1058"/>
        <v>0</v>
      </c>
      <c r="N489">
        <f t="shared" si="1058"/>
        <v>0</v>
      </c>
      <c r="O489">
        <f t="shared" si="1058"/>
        <v>0</v>
      </c>
    </row>
    <row r="490" spans="1:26" x14ac:dyDescent="0.4">
      <c r="C490" t="s">
        <v>544</v>
      </c>
      <c r="D490">
        <f>IFERROR(IFERROR(D488/D486+D489/D487,D488/D486),0)</f>
        <v>0</v>
      </c>
      <c r="E490">
        <f t="shared" ref="E490" si="1059">IFERROR(IFERROR(E488/E486+E489/E487,E488/E486),0)</f>
        <v>0</v>
      </c>
      <c r="F490">
        <f t="shared" ref="F490" si="1060">IFERROR(IFERROR(F488/F486+F489/F487,F488/F486),0)</f>
        <v>0</v>
      </c>
      <c r="G490">
        <f t="shared" ref="G490" si="1061">IFERROR(IFERROR(G488/G486+G489/G487,G488/G486),0)</f>
        <v>0</v>
      </c>
      <c r="H490">
        <f t="shared" ref="H490" si="1062">IFERROR(IFERROR(H488/H486+H489/H487,H488/H486),0)</f>
        <v>0</v>
      </c>
      <c r="I490">
        <f t="shared" ref="I490" si="1063">IFERROR(IFERROR(I488/I486+I489/I487,I488/I486),0)</f>
        <v>0</v>
      </c>
      <c r="J490">
        <f t="shared" ref="J490" si="1064">IFERROR(IFERROR(J488/J486+J489/J487,J488/J486),0)</f>
        <v>0</v>
      </c>
      <c r="K490">
        <f t="shared" ref="K490" si="1065">IFERROR(IFERROR(K488/K486+K489/K487,K488/K486),0)</f>
        <v>0</v>
      </c>
      <c r="L490">
        <f t="shared" ref="L490" si="1066">IFERROR(IFERROR(L488/L486+L489/L487,L488/L486),0)</f>
        <v>0</v>
      </c>
      <c r="M490">
        <f t="shared" ref="M490" si="1067">IFERROR(IFERROR(M488/M486+M489/M487,M488/M486),0)</f>
        <v>0</v>
      </c>
      <c r="N490">
        <f t="shared" ref="N490" si="1068">IFERROR(IFERROR(N488/N486+N489/N487,N488/N486),0)</f>
        <v>0</v>
      </c>
      <c r="O490">
        <f t="shared" ref="O490" si="1069">IFERROR(IFERROR(O488/O486+O489/O487,O488/O486),0)</f>
        <v>0</v>
      </c>
    </row>
    <row r="491" spans="1:26" x14ac:dyDescent="0.4">
      <c r="C491" t="s">
        <v>539</v>
      </c>
      <c r="D491">
        <f>IFERROR((D486/D488)*D490,1)</f>
        <v>1</v>
      </c>
      <c r="E491">
        <f t="shared" ref="E491" si="1070">IFERROR((E486/E488)*E490,1)</f>
        <v>1</v>
      </c>
      <c r="F491">
        <f t="shared" ref="F491" si="1071">IFERROR((F486/F488)*F490,1)</f>
        <v>1</v>
      </c>
      <c r="G491">
        <f t="shared" ref="G491" si="1072">IFERROR((G486/G488)*G490,1)</f>
        <v>1</v>
      </c>
      <c r="H491">
        <f t="shared" ref="H491" si="1073">IFERROR((H486/H488)*H490,1)</f>
        <v>1</v>
      </c>
      <c r="I491">
        <f t="shared" ref="I491" si="1074">IFERROR((I486/I488)*I490,1)</f>
        <v>1</v>
      </c>
      <c r="J491">
        <f t="shared" ref="J491" si="1075">IFERROR((J486/J488)*J490,1)</f>
        <v>1</v>
      </c>
      <c r="K491">
        <f t="shared" ref="K491" si="1076">IFERROR((K486/K488)*K490,1)</f>
        <v>1</v>
      </c>
      <c r="L491">
        <f t="shared" ref="L491" si="1077">IFERROR((L486/L488)*L490,1)</f>
        <v>1</v>
      </c>
      <c r="M491">
        <f t="shared" ref="M491" si="1078">IFERROR((M486/M488)*M490,1)</f>
        <v>1</v>
      </c>
      <c r="N491">
        <f t="shared" ref="N491" si="1079">IFERROR((N486/N488)*N490,1)</f>
        <v>1</v>
      </c>
      <c r="O491">
        <f t="shared" ref="O491" si="1080">IFERROR((O486/O488)*O490,1)</f>
        <v>1</v>
      </c>
    </row>
    <row r="492" spans="1:26" x14ac:dyDescent="0.4">
      <c r="C492" t="s">
        <v>540</v>
      </c>
      <c r="D492">
        <f>IFERROR((D487/D489)*D490,0)</f>
        <v>0</v>
      </c>
      <c r="E492">
        <f t="shared" ref="E492:O492" si="1081">IFERROR((E487/E489)*E490,0)</f>
        <v>0</v>
      </c>
      <c r="F492">
        <f t="shared" si="1081"/>
        <v>0</v>
      </c>
      <c r="G492">
        <f t="shared" si="1081"/>
        <v>0</v>
      </c>
      <c r="H492">
        <f t="shared" si="1081"/>
        <v>0</v>
      </c>
      <c r="I492">
        <f t="shared" si="1081"/>
        <v>0</v>
      </c>
      <c r="J492">
        <f t="shared" si="1081"/>
        <v>0</v>
      </c>
      <c r="K492">
        <f t="shared" si="1081"/>
        <v>0</v>
      </c>
      <c r="L492">
        <f t="shared" si="1081"/>
        <v>0</v>
      </c>
      <c r="M492">
        <f t="shared" si="1081"/>
        <v>0</v>
      </c>
      <c r="N492">
        <f t="shared" si="1081"/>
        <v>0</v>
      </c>
      <c r="O492">
        <f t="shared" si="1081"/>
        <v>0</v>
      </c>
    </row>
    <row r="493" spans="1:26" x14ac:dyDescent="0.4">
      <c r="C493" s="21" t="s">
        <v>534</v>
      </c>
      <c r="D493" t="str">
        <f t="shared" ref="D493:O493" si="1082">IFERROR(VLOOKUP(D482,Phys_Prop,4,FALSE),0)</f>
        <v>N/A</v>
      </c>
      <c r="E493" t="str">
        <f t="shared" si="1082"/>
        <v>N/A</v>
      </c>
      <c r="F493" t="str">
        <f t="shared" si="1082"/>
        <v>N/A</v>
      </c>
      <c r="G493" t="str">
        <f t="shared" si="1082"/>
        <v>N/A</v>
      </c>
      <c r="H493" t="str">
        <f t="shared" si="1082"/>
        <v>N/A</v>
      </c>
      <c r="I493" t="str">
        <f t="shared" si="1082"/>
        <v>N/A</v>
      </c>
      <c r="J493" t="str">
        <f t="shared" si="1082"/>
        <v>N/A</v>
      </c>
      <c r="K493" t="str">
        <f t="shared" si="1082"/>
        <v>N/A</v>
      </c>
      <c r="L493" t="str">
        <f t="shared" si="1082"/>
        <v>N/A</v>
      </c>
      <c r="M493" t="str">
        <f t="shared" si="1082"/>
        <v>N/A</v>
      </c>
      <c r="N493" t="str">
        <f t="shared" si="1082"/>
        <v>N/A</v>
      </c>
      <c r="O493" t="str">
        <f t="shared" si="1082"/>
        <v>N/A</v>
      </c>
    </row>
    <row r="494" spans="1:26" x14ac:dyDescent="0.4">
      <c r="C494" s="21" t="s">
        <v>535</v>
      </c>
      <c r="D494">
        <f t="shared" ref="D494:O494" si="1083">IFERROR(VLOOKUP(D483,Phys_Prop,4,FALSE),0)</f>
        <v>0</v>
      </c>
      <c r="E494">
        <f t="shared" si="1083"/>
        <v>0</v>
      </c>
      <c r="F494">
        <f t="shared" si="1083"/>
        <v>0</v>
      </c>
      <c r="G494">
        <f t="shared" si="1083"/>
        <v>0</v>
      </c>
      <c r="H494">
        <f t="shared" si="1083"/>
        <v>0</v>
      </c>
      <c r="I494">
        <f t="shared" si="1083"/>
        <v>0</v>
      </c>
      <c r="J494">
        <f t="shared" si="1083"/>
        <v>0</v>
      </c>
      <c r="K494">
        <f t="shared" si="1083"/>
        <v>0</v>
      </c>
      <c r="L494">
        <f t="shared" si="1083"/>
        <v>0</v>
      </c>
      <c r="M494">
        <f t="shared" si="1083"/>
        <v>0</v>
      </c>
      <c r="N494">
        <f t="shared" si="1083"/>
        <v>0</v>
      </c>
      <c r="O494">
        <f t="shared" si="1083"/>
        <v>0</v>
      </c>
    </row>
    <row r="495" spans="1:26" x14ac:dyDescent="0.4">
      <c r="A495" s="11"/>
      <c r="B495" s="11"/>
      <c r="C495" s="62" t="s">
        <v>536</v>
      </c>
      <c r="D495" s="11" t="str">
        <f>IFERROR(1/(D491/D493+D492/D494),D493)</f>
        <v>N/A</v>
      </c>
      <c r="E495" s="11" t="str">
        <f t="shared" ref="E495:O495" si="1084">IFERROR(1/(E491/E493+E492/E494),E493)</f>
        <v>N/A</v>
      </c>
      <c r="F495" s="11" t="str">
        <f t="shared" si="1084"/>
        <v>N/A</v>
      </c>
      <c r="G495" s="11" t="str">
        <f t="shared" si="1084"/>
        <v>N/A</v>
      </c>
      <c r="H495" s="11" t="str">
        <f t="shared" si="1084"/>
        <v>N/A</v>
      </c>
      <c r="I495" s="11" t="str">
        <f t="shared" si="1084"/>
        <v>N/A</v>
      </c>
      <c r="J495" s="11" t="str">
        <f t="shared" si="1084"/>
        <v>N/A</v>
      </c>
      <c r="K495" s="11" t="str">
        <f t="shared" si="1084"/>
        <v>N/A</v>
      </c>
      <c r="L495" s="11" t="str">
        <f t="shared" si="1084"/>
        <v>N/A</v>
      </c>
      <c r="M495" s="11" t="str">
        <f t="shared" si="1084"/>
        <v>N/A</v>
      </c>
      <c r="N495" s="11" t="str">
        <f t="shared" si="1084"/>
        <v>N/A</v>
      </c>
      <c r="O495" s="11" t="str">
        <f t="shared" si="1084"/>
        <v>N/A</v>
      </c>
      <c r="P495" s="11"/>
      <c r="Q495" s="11"/>
      <c r="R495" s="11"/>
      <c r="S495" s="11"/>
      <c r="T495" s="11"/>
      <c r="U495" s="11"/>
      <c r="V495" s="11"/>
      <c r="W495" s="11"/>
      <c r="X495" s="11"/>
      <c r="Y495" s="11"/>
      <c r="Z495" s="11"/>
    </row>
    <row r="496" spans="1:26" x14ac:dyDescent="0.4">
      <c r="A496" t="str" cm="1">
        <f t="array" ref="A496">INDEX(FX_Input,R496,S496)</f>
        <v>FX - 36</v>
      </c>
      <c r="B496" t="str" cm="1">
        <f t="array" ref="B496">INDEX(FX_Input,R496,T496)</f>
        <v>Portland</v>
      </c>
      <c r="C496" t="s">
        <v>528</v>
      </c>
      <c r="D496" t="str" cm="1">
        <f t="array" ref="D496">INDEX(FX_Input,$R496,$Y496*D$5+$Z496)</f>
        <v>Out of Service</v>
      </c>
      <c r="E496" t="str" cm="1">
        <f t="array" ref="E496">INDEX(FX_Input,$R496,$Y496*E$5+$Z496)</f>
        <v>Out of Service</v>
      </c>
      <c r="F496" t="str" cm="1">
        <f t="array" ref="F496">INDEX(FX_Input,$R496,$Y496*F$5+$Z496)</f>
        <v>Out of Service</v>
      </c>
      <c r="G496" t="str" cm="1">
        <f t="array" ref="G496">INDEX(FX_Input,$R496,$Y496*G$5+$Z496)</f>
        <v>Out of Service</v>
      </c>
      <c r="H496" t="str" cm="1">
        <f t="array" ref="H496">INDEX(FX_Input,$R496,$Y496*H$5+$Z496)</f>
        <v>Out of Service</v>
      </c>
      <c r="I496" t="str" cm="1">
        <f t="array" ref="I496">INDEX(FX_Input,$R496,$Y496*I$5+$Z496)</f>
        <v>Out of Service</v>
      </c>
      <c r="J496" t="str" cm="1">
        <f t="array" ref="J496">INDEX(FX_Input,$R496,$Y496*J$5+$Z496)</f>
        <v>Out of Service</v>
      </c>
      <c r="K496" t="str" cm="1">
        <f t="array" ref="K496">INDEX(FX_Input,$R496,$Y496*K$5+$Z496)</f>
        <v>Out of Service</v>
      </c>
      <c r="L496" t="str" cm="1">
        <f t="array" ref="L496">INDEX(FX_Input,$R496,$Y496*L$5+$Z496)</f>
        <v>Out of Service</v>
      </c>
      <c r="M496" t="str" cm="1">
        <f t="array" ref="M496">INDEX(FX_Input,$R496,$Y496*M$5+$Z496)</f>
        <v>Out of Service</v>
      </c>
      <c r="N496" t="str" cm="1">
        <f t="array" ref="N496">INDEX(FX_Input,$R496,$Y496*N$5+$Z496)</f>
        <v>Out of Service</v>
      </c>
      <c r="O496" t="str" cm="1">
        <f t="array" ref="O496">INDEX(FX_Input,$R496,$Y496*O$5+$Z496)</f>
        <v>Out of Service</v>
      </c>
      <c r="R496">
        <f>R482+2</f>
        <v>71</v>
      </c>
      <c r="S496">
        <v>1</v>
      </c>
      <c r="T496">
        <v>3</v>
      </c>
      <c r="U496">
        <v>17</v>
      </c>
      <c r="V496">
        <f>U496+5</f>
        <v>22</v>
      </c>
      <c r="W496">
        <v>1</v>
      </c>
      <c r="X496">
        <v>2</v>
      </c>
      <c r="Y496">
        <f t="shared" ref="Y496:Y501" si="1085">(V496-U496)/(X496-W496)</f>
        <v>5</v>
      </c>
      <c r="Z496">
        <f t="shared" ref="Z496:Z501" si="1086">U496-Y496*W496</f>
        <v>12</v>
      </c>
    </row>
    <row r="497" spans="1:26" x14ac:dyDescent="0.4">
      <c r="C497" t="s">
        <v>529</v>
      </c>
      <c r="D497" cm="1">
        <f t="array" ref="D497">INDEX(FX_Input,$R497,$Y497*D$5+$Z497)</f>
        <v>0</v>
      </c>
      <c r="E497" cm="1">
        <f t="array" ref="E497">INDEX(FX_Input,$R497,$Y497*E$5+$Z497)</f>
        <v>0</v>
      </c>
      <c r="F497" cm="1">
        <f t="array" ref="F497">INDEX(FX_Input,$R497,$Y497*F$5+$Z497)</f>
        <v>0</v>
      </c>
      <c r="G497" cm="1">
        <f t="array" ref="G497">INDEX(FX_Input,$R497,$Y497*G$5+$Z497)</f>
        <v>0</v>
      </c>
      <c r="H497" cm="1">
        <f t="array" ref="H497">INDEX(FX_Input,$R497,$Y497*H$5+$Z497)</f>
        <v>0</v>
      </c>
      <c r="I497" cm="1">
        <f t="array" ref="I497">INDEX(FX_Input,$R497,$Y497*I$5+$Z497)</f>
        <v>0</v>
      </c>
      <c r="J497" cm="1">
        <f t="array" ref="J497">INDEX(FX_Input,$R497,$Y497*J$5+$Z497)</f>
        <v>0</v>
      </c>
      <c r="K497" cm="1">
        <f t="array" ref="K497">INDEX(FX_Input,$R497,$Y497*K$5+$Z497)</f>
        <v>0</v>
      </c>
      <c r="L497" cm="1">
        <f t="array" ref="L497">INDEX(FX_Input,$R497,$Y497*L$5+$Z497)</f>
        <v>0</v>
      </c>
      <c r="M497" cm="1">
        <f t="array" ref="M497">INDEX(FX_Input,$R497,$Y497*M$5+$Z497)</f>
        <v>0</v>
      </c>
      <c r="N497" cm="1">
        <f t="array" ref="N497">INDEX(FX_Input,$R497,$Y497*N$5+$Z497)</f>
        <v>0</v>
      </c>
      <c r="O497" cm="1">
        <f t="array" ref="O497">INDEX(FX_Input,$R497,$Y497*O$5+$Z497)</f>
        <v>0</v>
      </c>
      <c r="R497">
        <f>R496+1</f>
        <v>72</v>
      </c>
      <c r="U497">
        <f>U496</f>
        <v>17</v>
      </c>
      <c r="V497">
        <f t="shared" ref="V497:V501" si="1087">U497+5</f>
        <v>22</v>
      </c>
      <c r="W497">
        <v>1</v>
      </c>
      <c r="X497">
        <v>2</v>
      </c>
      <c r="Y497">
        <f t="shared" si="1085"/>
        <v>5</v>
      </c>
      <c r="Z497">
        <f t="shared" si="1086"/>
        <v>12</v>
      </c>
    </row>
    <row r="498" spans="1:26" x14ac:dyDescent="0.4">
      <c r="C498" t="s">
        <v>530</v>
      </c>
      <c r="D498" t="str" cm="1">
        <f t="array" ref="D498">INDEX(FX_Input,$R498,$Y498*D$5+$Z498)</f>
        <v>N/A</v>
      </c>
      <c r="E498" t="str" cm="1">
        <f t="array" ref="E498">INDEX(FX_Input,$R498,$Y498*E$5+$Z498)</f>
        <v>N/A</v>
      </c>
      <c r="F498" t="str" cm="1">
        <f t="array" ref="F498">INDEX(FX_Input,$R498,$Y498*F$5+$Z498)</f>
        <v>N/A</v>
      </c>
      <c r="G498" t="str" cm="1">
        <f t="array" ref="G498">INDEX(FX_Input,$R498,$Y498*G$5+$Z498)</f>
        <v>N/A</v>
      </c>
      <c r="H498" t="str" cm="1">
        <f t="array" ref="H498">INDEX(FX_Input,$R498,$Y498*H$5+$Z498)</f>
        <v>N/A</v>
      </c>
      <c r="I498" t="str" cm="1">
        <f t="array" ref="I498">INDEX(FX_Input,$R498,$Y498*I$5+$Z498)</f>
        <v>N/A</v>
      </c>
      <c r="J498" t="str" cm="1">
        <f t="array" ref="J498">INDEX(FX_Input,$R498,$Y498*J$5+$Z498)</f>
        <v>N/A</v>
      </c>
      <c r="K498" t="str" cm="1">
        <f t="array" ref="K498">INDEX(FX_Input,$R498,$Y498*K$5+$Z498)</f>
        <v>N/A</v>
      </c>
      <c r="L498" t="str" cm="1">
        <f t="array" ref="L498">INDEX(FX_Input,$R498,$Y498*L$5+$Z498)</f>
        <v>N/A</v>
      </c>
      <c r="M498" t="str" cm="1">
        <f t="array" ref="M498">INDEX(FX_Input,$R498,$Y498*M$5+$Z498)</f>
        <v>N/A</v>
      </c>
      <c r="N498" t="str" cm="1">
        <f t="array" ref="N498">INDEX(FX_Input,$R498,$Y498*N$5+$Z498)</f>
        <v>N/A</v>
      </c>
      <c r="O498" t="str" cm="1">
        <f t="array" ref="O498">INDEX(FX_Input,$R498,$Y498*O$5+$Z498)</f>
        <v>N/A</v>
      </c>
      <c r="R498">
        <f>R496</f>
        <v>71</v>
      </c>
      <c r="U498">
        <v>18</v>
      </c>
      <c r="V498">
        <f t="shared" si="1087"/>
        <v>23</v>
      </c>
      <c r="W498">
        <v>1</v>
      </c>
      <c r="X498">
        <v>2</v>
      </c>
      <c r="Y498">
        <f t="shared" si="1085"/>
        <v>5</v>
      </c>
      <c r="Z498">
        <f t="shared" si="1086"/>
        <v>13</v>
      </c>
    </row>
    <row r="499" spans="1:26" x14ac:dyDescent="0.4">
      <c r="C499" t="s">
        <v>531</v>
      </c>
      <c r="D499" cm="1">
        <f t="array" ref="D499">INDEX(FX_Input,$R499,$Y499*D$5+$Z499)</f>
        <v>0</v>
      </c>
      <c r="E499" cm="1">
        <f t="array" ref="E499">INDEX(FX_Input,$R499,$Y499*E$5+$Z499)</f>
        <v>0</v>
      </c>
      <c r="F499" cm="1">
        <f t="array" ref="F499">INDEX(FX_Input,$R499,$Y499*F$5+$Z499)</f>
        <v>0</v>
      </c>
      <c r="G499" cm="1">
        <f t="array" ref="G499">INDEX(FX_Input,$R499,$Y499*G$5+$Z499)</f>
        <v>0</v>
      </c>
      <c r="H499" cm="1">
        <f t="array" ref="H499">INDEX(FX_Input,$R499,$Y499*H$5+$Z499)</f>
        <v>0</v>
      </c>
      <c r="I499" cm="1">
        <f t="array" ref="I499">INDEX(FX_Input,$R499,$Y499*I$5+$Z499)</f>
        <v>0</v>
      </c>
      <c r="J499" cm="1">
        <f t="array" ref="J499">INDEX(FX_Input,$R499,$Y499*J$5+$Z499)</f>
        <v>0</v>
      </c>
      <c r="K499" cm="1">
        <f t="array" ref="K499">INDEX(FX_Input,$R499,$Y499*K$5+$Z499)</f>
        <v>0</v>
      </c>
      <c r="L499" cm="1">
        <f t="array" ref="L499">INDEX(FX_Input,$R499,$Y499*L$5+$Z499)</f>
        <v>0</v>
      </c>
      <c r="M499" cm="1">
        <f t="array" ref="M499">INDEX(FX_Input,$R499,$Y499*M$5+$Z499)</f>
        <v>0</v>
      </c>
      <c r="N499" cm="1">
        <f t="array" ref="N499">INDEX(FX_Input,$R499,$Y499*N$5+$Z499)</f>
        <v>0</v>
      </c>
      <c r="O499" cm="1">
        <f t="array" ref="O499">INDEX(FX_Input,$R499,$Y499*O$5+$Z499)</f>
        <v>0</v>
      </c>
      <c r="R499">
        <f>R497</f>
        <v>72</v>
      </c>
      <c r="U499">
        <f>U498</f>
        <v>18</v>
      </c>
      <c r="V499">
        <f t="shared" si="1087"/>
        <v>23</v>
      </c>
      <c r="W499">
        <v>1</v>
      </c>
      <c r="X499">
        <v>2</v>
      </c>
      <c r="Y499">
        <f t="shared" si="1085"/>
        <v>5</v>
      </c>
      <c r="Z499">
        <f t="shared" si="1086"/>
        <v>13</v>
      </c>
    </row>
    <row r="500" spans="1:26" x14ac:dyDescent="0.4">
      <c r="C500" t="s">
        <v>546</v>
      </c>
      <c r="D500" cm="1">
        <f t="array" ref="D500">INDEX(FX_Input,$R500,$Y500*D$5+$Z500)</f>
        <v>1</v>
      </c>
      <c r="E500" cm="1">
        <f t="array" ref="E500">INDEX(FX_Input,$R500,$Y500*E$5+$Z500)</f>
        <v>1</v>
      </c>
      <c r="F500" cm="1">
        <f t="array" ref="F500">INDEX(FX_Input,$R500,$Y500*F$5+$Z500)</f>
        <v>1</v>
      </c>
      <c r="G500" cm="1">
        <f t="array" ref="G500">INDEX(FX_Input,$R500,$Y500*G$5+$Z500)</f>
        <v>1</v>
      </c>
      <c r="H500" cm="1">
        <f t="array" ref="H500">INDEX(FX_Input,$R500,$Y500*H$5+$Z500)</f>
        <v>1</v>
      </c>
      <c r="I500" cm="1">
        <f t="array" ref="I500">INDEX(FX_Input,$R500,$Y500*I$5+$Z500)</f>
        <v>1</v>
      </c>
      <c r="J500" cm="1">
        <f t="array" ref="J500">INDEX(FX_Input,$R500,$Y500*J$5+$Z500)</f>
        <v>1</v>
      </c>
      <c r="K500" cm="1">
        <f t="array" ref="K500">INDEX(FX_Input,$R500,$Y500*K$5+$Z500)</f>
        <v>1</v>
      </c>
      <c r="L500" cm="1">
        <f t="array" ref="L500">INDEX(FX_Input,$R500,$Y500*L$5+$Z500)</f>
        <v>1</v>
      </c>
      <c r="M500" cm="1">
        <f t="array" ref="M500">INDEX(FX_Input,$R500,$Y500*M$5+$Z500)</f>
        <v>1</v>
      </c>
      <c r="N500" cm="1">
        <f t="array" ref="N500">INDEX(FX_Input,$R500,$Y500*N$5+$Z500)</f>
        <v>1</v>
      </c>
      <c r="O500" cm="1">
        <f t="array" ref="O500">INDEX(FX_Input,$R500,$Y500*O$5+$Z500)</f>
        <v>1</v>
      </c>
      <c r="R500">
        <f>R498</f>
        <v>71</v>
      </c>
      <c r="U500">
        <v>21</v>
      </c>
      <c r="V500">
        <f t="shared" si="1087"/>
        <v>26</v>
      </c>
      <c r="W500">
        <v>1</v>
      </c>
      <c r="X500">
        <v>2</v>
      </c>
      <c r="Y500">
        <f t="shared" si="1085"/>
        <v>5</v>
      </c>
      <c r="Z500">
        <f t="shared" si="1086"/>
        <v>16</v>
      </c>
    </row>
    <row r="501" spans="1:26" x14ac:dyDescent="0.4">
      <c r="C501" t="s">
        <v>547</v>
      </c>
      <c r="D501" cm="1">
        <f t="array" ref="D501">INDEX(FX_Input,$R501,$Y501*D$5+$Z501)</f>
        <v>0</v>
      </c>
      <c r="E501" cm="1">
        <f t="array" ref="E501">INDEX(FX_Input,$R501,$Y501*E$5+$Z501)</f>
        <v>0</v>
      </c>
      <c r="F501" cm="1">
        <f t="array" ref="F501">INDEX(FX_Input,$R501,$Y501*F$5+$Z501)</f>
        <v>0</v>
      </c>
      <c r="G501" cm="1">
        <f t="array" ref="G501">INDEX(FX_Input,$R501,$Y501*G$5+$Z501)</f>
        <v>0</v>
      </c>
      <c r="H501" cm="1">
        <f t="array" ref="H501">INDEX(FX_Input,$R501,$Y501*H$5+$Z501)</f>
        <v>0</v>
      </c>
      <c r="I501" cm="1">
        <f t="array" ref="I501">INDEX(FX_Input,$R501,$Y501*I$5+$Z501)</f>
        <v>0</v>
      </c>
      <c r="J501" cm="1">
        <f t="array" ref="J501">INDEX(FX_Input,$R501,$Y501*J$5+$Z501)</f>
        <v>0</v>
      </c>
      <c r="K501" cm="1">
        <f t="array" ref="K501">INDEX(FX_Input,$R501,$Y501*K$5+$Z501)</f>
        <v>0</v>
      </c>
      <c r="L501" cm="1">
        <f t="array" ref="L501">INDEX(FX_Input,$R501,$Y501*L$5+$Z501)</f>
        <v>0</v>
      </c>
      <c r="M501" cm="1">
        <f t="array" ref="M501">INDEX(FX_Input,$R501,$Y501*M$5+$Z501)</f>
        <v>0</v>
      </c>
      <c r="N501" cm="1">
        <f t="array" ref="N501">INDEX(FX_Input,$R501,$Y501*N$5+$Z501)</f>
        <v>0</v>
      </c>
      <c r="O501" cm="1">
        <f t="array" ref="O501">INDEX(FX_Input,$R501,$Y501*O$5+$Z501)</f>
        <v>0</v>
      </c>
      <c r="R501">
        <f>R499</f>
        <v>72</v>
      </c>
      <c r="U501">
        <f>U500</f>
        <v>21</v>
      </c>
      <c r="V501">
        <f t="shared" si="1087"/>
        <v>26</v>
      </c>
      <c r="W501">
        <v>1</v>
      </c>
      <c r="X501">
        <v>2</v>
      </c>
      <c r="Y501">
        <f t="shared" si="1085"/>
        <v>5</v>
      </c>
      <c r="Z501">
        <f t="shared" si="1086"/>
        <v>16</v>
      </c>
    </row>
    <row r="502" spans="1:26" x14ac:dyDescent="0.4">
      <c r="C502" t="s">
        <v>532</v>
      </c>
      <c r="D502" t="str">
        <f t="shared" ref="D502:O502" si="1088">IFERROR(VLOOKUP(D496,Phys_Prop,2,FALSE),0)</f>
        <v>N/A</v>
      </c>
      <c r="E502" t="str">
        <f t="shared" si="1088"/>
        <v>N/A</v>
      </c>
      <c r="F502" t="str">
        <f t="shared" si="1088"/>
        <v>N/A</v>
      </c>
      <c r="G502" t="str">
        <f t="shared" si="1088"/>
        <v>N/A</v>
      </c>
      <c r="H502" t="str">
        <f t="shared" si="1088"/>
        <v>N/A</v>
      </c>
      <c r="I502" t="str">
        <f t="shared" si="1088"/>
        <v>N/A</v>
      </c>
      <c r="J502" t="str">
        <f t="shared" si="1088"/>
        <v>N/A</v>
      </c>
      <c r="K502" t="str">
        <f t="shared" si="1088"/>
        <v>N/A</v>
      </c>
      <c r="L502" t="str">
        <f t="shared" si="1088"/>
        <v>N/A</v>
      </c>
      <c r="M502" t="str">
        <f t="shared" si="1088"/>
        <v>N/A</v>
      </c>
      <c r="N502" t="str">
        <f t="shared" si="1088"/>
        <v>N/A</v>
      </c>
      <c r="O502" t="str">
        <f t="shared" si="1088"/>
        <v>N/A</v>
      </c>
    </row>
    <row r="503" spans="1:26" x14ac:dyDescent="0.4">
      <c r="C503" t="s">
        <v>533</v>
      </c>
      <c r="D503">
        <f t="shared" ref="D503:O503" si="1089">IFERROR(VLOOKUP(D497,Phys_Prop,2,FALSE),0)</f>
        <v>0</v>
      </c>
      <c r="E503">
        <f t="shared" si="1089"/>
        <v>0</v>
      </c>
      <c r="F503">
        <f t="shared" si="1089"/>
        <v>0</v>
      </c>
      <c r="G503">
        <f t="shared" si="1089"/>
        <v>0</v>
      </c>
      <c r="H503">
        <f t="shared" si="1089"/>
        <v>0</v>
      </c>
      <c r="I503">
        <f t="shared" si="1089"/>
        <v>0</v>
      </c>
      <c r="J503">
        <f t="shared" si="1089"/>
        <v>0</v>
      </c>
      <c r="K503">
        <f t="shared" si="1089"/>
        <v>0</v>
      </c>
      <c r="L503">
        <f t="shared" si="1089"/>
        <v>0</v>
      </c>
      <c r="M503">
        <f t="shared" si="1089"/>
        <v>0</v>
      </c>
      <c r="N503">
        <f t="shared" si="1089"/>
        <v>0</v>
      </c>
      <c r="O503">
        <f t="shared" si="1089"/>
        <v>0</v>
      </c>
    </row>
    <row r="504" spans="1:26" x14ac:dyDescent="0.4">
      <c r="C504" t="s">
        <v>544</v>
      </c>
      <c r="D504">
        <f>IFERROR(IFERROR(D502/D500+D503/D501,D502/D500),0)</f>
        <v>0</v>
      </c>
      <c r="E504">
        <f t="shared" ref="E504" si="1090">IFERROR(IFERROR(E502/E500+E503/E501,E502/E500),0)</f>
        <v>0</v>
      </c>
      <c r="F504">
        <f t="shared" ref="F504" si="1091">IFERROR(IFERROR(F502/F500+F503/F501,F502/F500),0)</f>
        <v>0</v>
      </c>
      <c r="G504">
        <f t="shared" ref="G504" si="1092">IFERROR(IFERROR(G502/G500+G503/G501,G502/G500),0)</f>
        <v>0</v>
      </c>
      <c r="H504">
        <f t="shared" ref="H504" si="1093">IFERROR(IFERROR(H502/H500+H503/H501,H502/H500),0)</f>
        <v>0</v>
      </c>
      <c r="I504">
        <f t="shared" ref="I504" si="1094">IFERROR(IFERROR(I502/I500+I503/I501,I502/I500),0)</f>
        <v>0</v>
      </c>
      <c r="J504">
        <f t="shared" ref="J504" si="1095">IFERROR(IFERROR(J502/J500+J503/J501,J502/J500),0)</f>
        <v>0</v>
      </c>
      <c r="K504">
        <f t="shared" ref="K504" si="1096">IFERROR(IFERROR(K502/K500+K503/K501,K502/K500),0)</f>
        <v>0</v>
      </c>
      <c r="L504">
        <f t="shared" ref="L504" si="1097">IFERROR(IFERROR(L502/L500+L503/L501,L502/L500),0)</f>
        <v>0</v>
      </c>
      <c r="M504">
        <f t="shared" ref="M504" si="1098">IFERROR(IFERROR(M502/M500+M503/M501,M502/M500),0)</f>
        <v>0</v>
      </c>
      <c r="N504">
        <f t="shared" ref="N504" si="1099">IFERROR(IFERROR(N502/N500+N503/N501,N502/N500),0)</f>
        <v>0</v>
      </c>
      <c r="O504">
        <f t="shared" ref="O504" si="1100">IFERROR(IFERROR(O502/O500+O503/O501,O502/O500),0)</f>
        <v>0</v>
      </c>
    </row>
    <row r="505" spans="1:26" x14ac:dyDescent="0.4">
      <c r="C505" t="s">
        <v>539</v>
      </c>
      <c r="D505">
        <f>IFERROR((D500/D502)*D504,1)</f>
        <v>1</v>
      </c>
      <c r="E505">
        <f t="shared" ref="E505" si="1101">IFERROR((E500/E502)*E504,1)</f>
        <v>1</v>
      </c>
      <c r="F505">
        <f t="shared" ref="F505" si="1102">IFERROR((F500/F502)*F504,1)</f>
        <v>1</v>
      </c>
      <c r="G505">
        <f t="shared" ref="G505" si="1103">IFERROR((G500/G502)*G504,1)</f>
        <v>1</v>
      </c>
      <c r="H505">
        <f t="shared" ref="H505" si="1104">IFERROR((H500/H502)*H504,1)</f>
        <v>1</v>
      </c>
      <c r="I505">
        <f t="shared" ref="I505" si="1105">IFERROR((I500/I502)*I504,1)</f>
        <v>1</v>
      </c>
      <c r="J505">
        <f t="shared" ref="J505" si="1106">IFERROR((J500/J502)*J504,1)</f>
        <v>1</v>
      </c>
      <c r="K505">
        <f t="shared" ref="K505" si="1107">IFERROR((K500/K502)*K504,1)</f>
        <v>1</v>
      </c>
      <c r="L505">
        <f t="shared" ref="L505" si="1108">IFERROR((L500/L502)*L504,1)</f>
        <v>1</v>
      </c>
      <c r="M505">
        <f t="shared" ref="M505" si="1109">IFERROR((M500/M502)*M504,1)</f>
        <v>1</v>
      </c>
      <c r="N505">
        <f t="shared" ref="N505" si="1110">IFERROR((N500/N502)*N504,1)</f>
        <v>1</v>
      </c>
      <c r="O505">
        <f t="shared" ref="O505" si="1111">IFERROR((O500/O502)*O504,1)</f>
        <v>1</v>
      </c>
    </row>
    <row r="506" spans="1:26" x14ac:dyDescent="0.4">
      <c r="C506" t="s">
        <v>540</v>
      </c>
      <c r="D506">
        <f>IFERROR((D501/D503)*D504,0)</f>
        <v>0</v>
      </c>
      <c r="E506">
        <f t="shared" ref="E506:O506" si="1112">IFERROR((E501/E503)*E504,0)</f>
        <v>0</v>
      </c>
      <c r="F506">
        <f t="shared" si="1112"/>
        <v>0</v>
      </c>
      <c r="G506">
        <f t="shared" si="1112"/>
        <v>0</v>
      </c>
      <c r="H506">
        <f t="shared" si="1112"/>
        <v>0</v>
      </c>
      <c r="I506">
        <f t="shared" si="1112"/>
        <v>0</v>
      </c>
      <c r="J506">
        <f t="shared" si="1112"/>
        <v>0</v>
      </c>
      <c r="K506">
        <f t="shared" si="1112"/>
        <v>0</v>
      </c>
      <c r="L506">
        <f t="shared" si="1112"/>
        <v>0</v>
      </c>
      <c r="M506">
        <f t="shared" si="1112"/>
        <v>0</v>
      </c>
      <c r="N506">
        <f t="shared" si="1112"/>
        <v>0</v>
      </c>
      <c r="O506">
        <f t="shared" si="1112"/>
        <v>0</v>
      </c>
    </row>
    <row r="507" spans="1:26" x14ac:dyDescent="0.4">
      <c r="C507" s="21" t="s">
        <v>534</v>
      </c>
      <c r="D507" t="str">
        <f t="shared" ref="D507:O507" si="1113">IFERROR(VLOOKUP(D496,Phys_Prop,4,FALSE),0)</f>
        <v>N/A</v>
      </c>
      <c r="E507" t="str">
        <f t="shared" si="1113"/>
        <v>N/A</v>
      </c>
      <c r="F507" t="str">
        <f t="shared" si="1113"/>
        <v>N/A</v>
      </c>
      <c r="G507" t="str">
        <f t="shared" si="1113"/>
        <v>N/A</v>
      </c>
      <c r="H507" t="str">
        <f t="shared" si="1113"/>
        <v>N/A</v>
      </c>
      <c r="I507" t="str">
        <f t="shared" si="1113"/>
        <v>N/A</v>
      </c>
      <c r="J507" t="str">
        <f t="shared" si="1113"/>
        <v>N/A</v>
      </c>
      <c r="K507" t="str">
        <f t="shared" si="1113"/>
        <v>N/A</v>
      </c>
      <c r="L507" t="str">
        <f t="shared" si="1113"/>
        <v>N/A</v>
      </c>
      <c r="M507" t="str">
        <f t="shared" si="1113"/>
        <v>N/A</v>
      </c>
      <c r="N507" t="str">
        <f t="shared" si="1113"/>
        <v>N/A</v>
      </c>
      <c r="O507" t="str">
        <f t="shared" si="1113"/>
        <v>N/A</v>
      </c>
    </row>
    <row r="508" spans="1:26" x14ac:dyDescent="0.4">
      <c r="C508" s="21" t="s">
        <v>535</v>
      </c>
      <c r="D508">
        <f t="shared" ref="D508:O508" si="1114">IFERROR(VLOOKUP(D497,Phys_Prop,4,FALSE),0)</f>
        <v>0</v>
      </c>
      <c r="E508">
        <f t="shared" si="1114"/>
        <v>0</v>
      </c>
      <c r="F508">
        <f t="shared" si="1114"/>
        <v>0</v>
      </c>
      <c r="G508">
        <f t="shared" si="1114"/>
        <v>0</v>
      </c>
      <c r="H508">
        <f t="shared" si="1114"/>
        <v>0</v>
      </c>
      <c r="I508">
        <f t="shared" si="1114"/>
        <v>0</v>
      </c>
      <c r="J508">
        <f t="shared" si="1114"/>
        <v>0</v>
      </c>
      <c r="K508">
        <f t="shared" si="1114"/>
        <v>0</v>
      </c>
      <c r="L508">
        <f t="shared" si="1114"/>
        <v>0</v>
      </c>
      <c r="M508">
        <f t="shared" si="1114"/>
        <v>0</v>
      </c>
      <c r="N508">
        <f t="shared" si="1114"/>
        <v>0</v>
      </c>
      <c r="O508">
        <f t="shared" si="1114"/>
        <v>0</v>
      </c>
    </row>
    <row r="509" spans="1:26" x14ac:dyDescent="0.4">
      <c r="A509" s="11"/>
      <c r="B509" s="11"/>
      <c r="C509" s="62" t="s">
        <v>536</v>
      </c>
      <c r="D509" s="11" t="str">
        <f>IFERROR(1/(D505/D507+D506/D508),D507)</f>
        <v>N/A</v>
      </c>
      <c r="E509" s="11" t="str">
        <f t="shared" ref="E509:O509" si="1115">IFERROR(1/(E505/E507+E506/E508),E507)</f>
        <v>N/A</v>
      </c>
      <c r="F509" s="11" t="str">
        <f t="shared" si="1115"/>
        <v>N/A</v>
      </c>
      <c r="G509" s="11" t="str">
        <f t="shared" si="1115"/>
        <v>N/A</v>
      </c>
      <c r="H509" s="11" t="str">
        <f t="shared" si="1115"/>
        <v>N/A</v>
      </c>
      <c r="I509" s="11" t="str">
        <f t="shared" si="1115"/>
        <v>N/A</v>
      </c>
      <c r="J509" s="11" t="str">
        <f t="shared" si="1115"/>
        <v>N/A</v>
      </c>
      <c r="K509" s="11" t="str">
        <f t="shared" si="1115"/>
        <v>N/A</v>
      </c>
      <c r="L509" s="11" t="str">
        <f t="shared" si="1115"/>
        <v>N/A</v>
      </c>
      <c r="M509" s="11" t="str">
        <f t="shared" si="1115"/>
        <v>N/A</v>
      </c>
      <c r="N509" s="11" t="str">
        <f t="shared" si="1115"/>
        <v>N/A</v>
      </c>
      <c r="O509" s="11" t="str">
        <f t="shared" si="1115"/>
        <v>N/A</v>
      </c>
      <c r="P509" s="11"/>
      <c r="Q509" s="11"/>
      <c r="R509" s="11"/>
      <c r="S509" s="11"/>
      <c r="T509" s="11"/>
      <c r="U509" s="11"/>
      <c r="V509" s="11"/>
      <c r="W509" s="11"/>
      <c r="X509" s="11"/>
      <c r="Y509" s="11"/>
      <c r="Z509" s="11"/>
    </row>
    <row r="510" spans="1:26" x14ac:dyDescent="0.4">
      <c r="A510" t="str" cm="1">
        <f t="array" ref="A510">INDEX(FX_Input,R510,S510)</f>
        <v>FX - 37</v>
      </c>
      <c r="B510" t="str" cm="1">
        <f t="array" ref="B510">INDEX(FX_Input,R510,T510)</f>
        <v>Portland</v>
      </c>
      <c r="C510" t="s">
        <v>528</v>
      </c>
      <c r="D510" t="str" cm="1">
        <f t="array" ref="D510">INDEX(FX_Input,$R510,$Y510*D$5+$Z510)</f>
        <v>Out of Service</v>
      </c>
      <c r="E510" t="str" cm="1">
        <f t="array" ref="E510">INDEX(FX_Input,$R510,$Y510*E$5+$Z510)</f>
        <v>Out of Service</v>
      </c>
      <c r="F510" t="str" cm="1">
        <f t="array" ref="F510">INDEX(FX_Input,$R510,$Y510*F$5+$Z510)</f>
        <v>Out of Service</v>
      </c>
      <c r="G510" t="str" cm="1">
        <f t="array" ref="G510">INDEX(FX_Input,$R510,$Y510*G$5+$Z510)</f>
        <v>Out of Service</v>
      </c>
      <c r="H510" t="str" cm="1">
        <f t="array" ref="H510">INDEX(FX_Input,$R510,$Y510*H$5+$Z510)</f>
        <v>Out of Service</v>
      </c>
      <c r="I510" t="str" cm="1">
        <f t="array" ref="I510">INDEX(FX_Input,$R510,$Y510*I$5+$Z510)</f>
        <v>Out of Service</v>
      </c>
      <c r="J510" t="str" cm="1">
        <f t="array" ref="J510">INDEX(FX_Input,$R510,$Y510*J$5+$Z510)</f>
        <v>Out of Service</v>
      </c>
      <c r="K510" t="str" cm="1">
        <f t="array" ref="K510">INDEX(FX_Input,$R510,$Y510*K$5+$Z510)</f>
        <v>Out of Service</v>
      </c>
      <c r="L510" t="str" cm="1">
        <f t="array" ref="L510">INDEX(FX_Input,$R510,$Y510*L$5+$Z510)</f>
        <v>Out of Service</v>
      </c>
      <c r="M510" t="str" cm="1">
        <f t="array" ref="M510">INDEX(FX_Input,$R510,$Y510*M$5+$Z510)</f>
        <v>Out of Service</v>
      </c>
      <c r="N510" t="str" cm="1">
        <f t="array" ref="N510">INDEX(FX_Input,$R510,$Y510*N$5+$Z510)</f>
        <v>Out of Service</v>
      </c>
      <c r="O510" t="str" cm="1">
        <f t="array" ref="O510">INDEX(FX_Input,$R510,$Y510*O$5+$Z510)</f>
        <v>Out of Service</v>
      </c>
      <c r="R510">
        <f>R496+2</f>
        <v>73</v>
      </c>
      <c r="S510">
        <v>1</v>
      </c>
      <c r="T510">
        <v>3</v>
      </c>
      <c r="U510">
        <v>17</v>
      </c>
      <c r="V510">
        <f>U510+5</f>
        <v>22</v>
      </c>
      <c r="W510">
        <v>1</v>
      </c>
      <c r="X510">
        <v>2</v>
      </c>
      <c r="Y510">
        <f t="shared" ref="Y510:Y515" si="1116">(V510-U510)/(X510-W510)</f>
        <v>5</v>
      </c>
      <c r="Z510">
        <f t="shared" ref="Z510:Z515" si="1117">U510-Y510*W510</f>
        <v>12</v>
      </c>
    </row>
    <row r="511" spans="1:26" x14ac:dyDescent="0.4">
      <c r="C511" t="s">
        <v>529</v>
      </c>
      <c r="D511" cm="1">
        <f t="array" ref="D511">INDEX(FX_Input,$R511,$Y511*D$5+$Z511)</f>
        <v>0</v>
      </c>
      <c r="E511" cm="1">
        <f t="array" ref="E511">INDEX(FX_Input,$R511,$Y511*E$5+$Z511)</f>
        <v>0</v>
      </c>
      <c r="F511" cm="1">
        <f t="array" ref="F511">INDEX(FX_Input,$R511,$Y511*F$5+$Z511)</f>
        <v>0</v>
      </c>
      <c r="G511" cm="1">
        <f t="array" ref="G511">INDEX(FX_Input,$R511,$Y511*G$5+$Z511)</f>
        <v>0</v>
      </c>
      <c r="H511" cm="1">
        <f t="array" ref="H511">INDEX(FX_Input,$R511,$Y511*H$5+$Z511)</f>
        <v>0</v>
      </c>
      <c r="I511" cm="1">
        <f t="array" ref="I511">INDEX(FX_Input,$R511,$Y511*I$5+$Z511)</f>
        <v>0</v>
      </c>
      <c r="J511" cm="1">
        <f t="array" ref="J511">INDEX(FX_Input,$R511,$Y511*J$5+$Z511)</f>
        <v>0</v>
      </c>
      <c r="K511" cm="1">
        <f t="array" ref="K511">INDEX(FX_Input,$R511,$Y511*K$5+$Z511)</f>
        <v>0</v>
      </c>
      <c r="L511" cm="1">
        <f t="array" ref="L511">INDEX(FX_Input,$R511,$Y511*L$5+$Z511)</f>
        <v>0</v>
      </c>
      <c r="M511" cm="1">
        <f t="array" ref="M511">INDEX(FX_Input,$R511,$Y511*M$5+$Z511)</f>
        <v>0</v>
      </c>
      <c r="N511" cm="1">
        <f t="array" ref="N511">INDEX(FX_Input,$R511,$Y511*N$5+$Z511)</f>
        <v>0</v>
      </c>
      <c r="O511" cm="1">
        <f t="array" ref="O511">INDEX(FX_Input,$R511,$Y511*O$5+$Z511)</f>
        <v>0</v>
      </c>
      <c r="R511">
        <f>R510+1</f>
        <v>74</v>
      </c>
      <c r="U511">
        <f>U510</f>
        <v>17</v>
      </c>
      <c r="V511">
        <f t="shared" ref="V511:V515" si="1118">U511+5</f>
        <v>22</v>
      </c>
      <c r="W511">
        <v>1</v>
      </c>
      <c r="X511">
        <v>2</v>
      </c>
      <c r="Y511">
        <f t="shared" si="1116"/>
        <v>5</v>
      </c>
      <c r="Z511">
        <f t="shared" si="1117"/>
        <v>12</v>
      </c>
    </row>
    <row r="512" spans="1:26" x14ac:dyDescent="0.4">
      <c r="C512" t="s">
        <v>530</v>
      </c>
      <c r="D512" t="str" cm="1">
        <f t="array" ref="D512">INDEX(FX_Input,$R512,$Y512*D$5+$Z512)</f>
        <v>N/A</v>
      </c>
      <c r="E512" t="str" cm="1">
        <f t="array" ref="E512">INDEX(FX_Input,$R512,$Y512*E$5+$Z512)</f>
        <v>N/A</v>
      </c>
      <c r="F512" t="str" cm="1">
        <f t="array" ref="F512">INDEX(FX_Input,$R512,$Y512*F$5+$Z512)</f>
        <v>N/A</v>
      </c>
      <c r="G512" t="str" cm="1">
        <f t="array" ref="G512">INDEX(FX_Input,$R512,$Y512*G$5+$Z512)</f>
        <v>N/A</v>
      </c>
      <c r="H512" t="str" cm="1">
        <f t="array" ref="H512">INDEX(FX_Input,$R512,$Y512*H$5+$Z512)</f>
        <v>N/A</v>
      </c>
      <c r="I512" t="str" cm="1">
        <f t="array" ref="I512">INDEX(FX_Input,$R512,$Y512*I$5+$Z512)</f>
        <v>N/A</v>
      </c>
      <c r="J512" t="str" cm="1">
        <f t="array" ref="J512">INDEX(FX_Input,$R512,$Y512*J$5+$Z512)</f>
        <v>N/A</v>
      </c>
      <c r="K512" t="str" cm="1">
        <f t="array" ref="K512">INDEX(FX_Input,$R512,$Y512*K$5+$Z512)</f>
        <v>N/A</v>
      </c>
      <c r="L512" t="str" cm="1">
        <f t="array" ref="L512">INDEX(FX_Input,$R512,$Y512*L$5+$Z512)</f>
        <v>N/A</v>
      </c>
      <c r="M512" t="str" cm="1">
        <f t="array" ref="M512">INDEX(FX_Input,$R512,$Y512*M$5+$Z512)</f>
        <v>N/A</v>
      </c>
      <c r="N512" t="str" cm="1">
        <f t="array" ref="N512">INDEX(FX_Input,$R512,$Y512*N$5+$Z512)</f>
        <v>N/A</v>
      </c>
      <c r="O512" t="str" cm="1">
        <f t="array" ref="O512">INDEX(FX_Input,$R512,$Y512*O$5+$Z512)</f>
        <v>N/A</v>
      </c>
      <c r="R512">
        <f>R510</f>
        <v>73</v>
      </c>
      <c r="U512">
        <v>18</v>
      </c>
      <c r="V512">
        <f t="shared" si="1118"/>
        <v>23</v>
      </c>
      <c r="W512">
        <v>1</v>
      </c>
      <c r="X512">
        <v>2</v>
      </c>
      <c r="Y512">
        <f t="shared" si="1116"/>
        <v>5</v>
      </c>
      <c r="Z512">
        <f t="shared" si="1117"/>
        <v>13</v>
      </c>
    </row>
    <row r="513" spans="1:26" x14ac:dyDescent="0.4">
      <c r="C513" t="s">
        <v>531</v>
      </c>
      <c r="D513" cm="1">
        <f t="array" ref="D513">INDEX(FX_Input,$R513,$Y513*D$5+$Z513)</f>
        <v>0</v>
      </c>
      <c r="E513" cm="1">
        <f t="array" ref="E513">INDEX(FX_Input,$R513,$Y513*E$5+$Z513)</f>
        <v>0</v>
      </c>
      <c r="F513" cm="1">
        <f t="array" ref="F513">INDEX(FX_Input,$R513,$Y513*F$5+$Z513)</f>
        <v>0</v>
      </c>
      <c r="G513" cm="1">
        <f t="array" ref="G513">INDEX(FX_Input,$R513,$Y513*G$5+$Z513)</f>
        <v>0</v>
      </c>
      <c r="H513" cm="1">
        <f t="array" ref="H513">INDEX(FX_Input,$R513,$Y513*H$5+$Z513)</f>
        <v>0</v>
      </c>
      <c r="I513" cm="1">
        <f t="array" ref="I513">INDEX(FX_Input,$R513,$Y513*I$5+$Z513)</f>
        <v>0</v>
      </c>
      <c r="J513" cm="1">
        <f t="array" ref="J513">INDEX(FX_Input,$R513,$Y513*J$5+$Z513)</f>
        <v>0</v>
      </c>
      <c r="K513" cm="1">
        <f t="array" ref="K513">INDEX(FX_Input,$R513,$Y513*K$5+$Z513)</f>
        <v>0</v>
      </c>
      <c r="L513" cm="1">
        <f t="array" ref="L513">INDEX(FX_Input,$R513,$Y513*L$5+$Z513)</f>
        <v>0</v>
      </c>
      <c r="M513" cm="1">
        <f t="array" ref="M513">INDEX(FX_Input,$R513,$Y513*M$5+$Z513)</f>
        <v>0</v>
      </c>
      <c r="N513" cm="1">
        <f t="array" ref="N513">INDEX(FX_Input,$R513,$Y513*N$5+$Z513)</f>
        <v>0</v>
      </c>
      <c r="O513" cm="1">
        <f t="array" ref="O513">INDEX(FX_Input,$R513,$Y513*O$5+$Z513)</f>
        <v>0</v>
      </c>
      <c r="R513">
        <f>R511</f>
        <v>74</v>
      </c>
      <c r="U513">
        <f>U512</f>
        <v>18</v>
      </c>
      <c r="V513">
        <f t="shared" si="1118"/>
        <v>23</v>
      </c>
      <c r="W513">
        <v>1</v>
      </c>
      <c r="X513">
        <v>2</v>
      </c>
      <c r="Y513">
        <f t="shared" si="1116"/>
        <v>5</v>
      </c>
      <c r="Z513">
        <f t="shared" si="1117"/>
        <v>13</v>
      </c>
    </row>
    <row r="514" spans="1:26" x14ac:dyDescent="0.4">
      <c r="C514" t="s">
        <v>546</v>
      </c>
      <c r="D514" cm="1">
        <f t="array" ref="D514">INDEX(FX_Input,$R514,$Y514*D$5+$Z514)</f>
        <v>1</v>
      </c>
      <c r="E514" cm="1">
        <f t="array" ref="E514">INDEX(FX_Input,$R514,$Y514*E$5+$Z514)</f>
        <v>1</v>
      </c>
      <c r="F514" cm="1">
        <f t="array" ref="F514">INDEX(FX_Input,$R514,$Y514*F$5+$Z514)</f>
        <v>1</v>
      </c>
      <c r="G514" cm="1">
        <f t="array" ref="G514">INDEX(FX_Input,$R514,$Y514*G$5+$Z514)</f>
        <v>1</v>
      </c>
      <c r="H514" cm="1">
        <f t="array" ref="H514">INDEX(FX_Input,$R514,$Y514*H$5+$Z514)</f>
        <v>1</v>
      </c>
      <c r="I514" cm="1">
        <f t="array" ref="I514">INDEX(FX_Input,$R514,$Y514*I$5+$Z514)</f>
        <v>1</v>
      </c>
      <c r="J514" cm="1">
        <f t="array" ref="J514">INDEX(FX_Input,$R514,$Y514*J$5+$Z514)</f>
        <v>1</v>
      </c>
      <c r="K514" cm="1">
        <f t="array" ref="K514">INDEX(FX_Input,$R514,$Y514*K$5+$Z514)</f>
        <v>1</v>
      </c>
      <c r="L514" cm="1">
        <f t="array" ref="L514">INDEX(FX_Input,$R514,$Y514*L$5+$Z514)</f>
        <v>1</v>
      </c>
      <c r="M514" cm="1">
        <f t="array" ref="M514">INDEX(FX_Input,$R514,$Y514*M$5+$Z514)</f>
        <v>1</v>
      </c>
      <c r="N514" cm="1">
        <f t="array" ref="N514">INDEX(FX_Input,$R514,$Y514*N$5+$Z514)</f>
        <v>1</v>
      </c>
      <c r="O514" cm="1">
        <f t="array" ref="O514">INDEX(FX_Input,$R514,$Y514*O$5+$Z514)</f>
        <v>1</v>
      </c>
      <c r="R514">
        <f>R512</f>
        <v>73</v>
      </c>
      <c r="U514">
        <v>21</v>
      </c>
      <c r="V514">
        <f t="shared" si="1118"/>
        <v>26</v>
      </c>
      <c r="W514">
        <v>1</v>
      </c>
      <c r="X514">
        <v>2</v>
      </c>
      <c r="Y514">
        <f t="shared" si="1116"/>
        <v>5</v>
      </c>
      <c r="Z514">
        <f t="shared" si="1117"/>
        <v>16</v>
      </c>
    </row>
    <row r="515" spans="1:26" x14ac:dyDescent="0.4">
      <c r="C515" t="s">
        <v>547</v>
      </c>
      <c r="D515" cm="1">
        <f t="array" ref="D515">INDEX(FX_Input,$R515,$Y515*D$5+$Z515)</f>
        <v>0</v>
      </c>
      <c r="E515" cm="1">
        <f t="array" ref="E515">INDEX(FX_Input,$R515,$Y515*E$5+$Z515)</f>
        <v>0</v>
      </c>
      <c r="F515" cm="1">
        <f t="array" ref="F515">INDEX(FX_Input,$R515,$Y515*F$5+$Z515)</f>
        <v>0</v>
      </c>
      <c r="G515" cm="1">
        <f t="array" ref="G515">INDEX(FX_Input,$R515,$Y515*G$5+$Z515)</f>
        <v>0</v>
      </c>
      <c r="H515" cm="1">
        <f t="array" ref="H515">INDEX(FX_Input,$R515,$Y515*H$5+$Z515)</f>
        <v>0</v>
      </c>
      <c r="I515" cm="1">
        <f t="array" ref="I515">INDEX(FX_Input,$R515,$Y515*I$5+$Z515)</f>
        <v>0</v>
      </c>
      <c r="J515" cm="1">
        <f t="array" ref="J515">INDEX(FX_Input,$R515,$Y515*J$5+$Z515)</f>
        <v>0</v>
      </c>
      <c r="K515" cm="1">
        <f t="array" ref="K515">INDEX(FX_Input,$R515,$Y515*K$5+$Z515)</f>
        <v>0</v>
      </c>
      <c r="L515" cm="1">
        <f t="array" ref="L515">INDEX(FX_Input,$R515,$Y515*L$5+$Z515)</f>
        <v>0</v>
      </c>
      <c r="M515" cm="1">
        <f t="array" ref="M515">INDEX(FX_Input,$R515,$Y515*M$5+$Z515)</f>
        <v>0</v>
      </c>
      <c r="N515" cm="1">
        <f t="array" ref="N515">INDEX(FX_Input,$R515,$Y515*N$5+$Z515)</f>
        <v>0</v>
      </c>
      <c r="O515" cm="1">
        <f t="array" ref="O515">INDEX(FX_Input,$R515,$Y515*O$5+$Z515)</f>
        <v>0</v>
      </c>
      <c r="R515">
        <f>R513</f>
        <v>74</v>
      </c>
      <c r="U515">
        <f>U514</f>
        <v>21</v>
      </c>
      <c r="V515">
        <f t="shared" si="1118"/>
        <v>26</v>
      </c>
      <c r="W515">
        <v>1</v>
      </c>
      <c r="X515">
        <v>2</v>
      </c>
      <c r="Y515">
        <f t="shared" si="1116"/>
        <v>5</v>
      </c>
      <c r="Z515">
        <f t="shared" si="1117"/>
        <v>16</v>
      </c>
    </row>
    <row r="516" spans="1:26" x14ac:dyDescent="0.4">
      <c r="C516" t="s">
        <v>532</v>
      </c>
      <c r="D516" t="str">
        <f t="shared" ref="D516:O516" si="1119">IFERROR(VLOOKUP(D510,Phys_Prop,2,FALSE),0)</f>
        <v>N/A</v>
      </c>
      <c r="E516" t="str">
        <f t="shared" si="1119"/>
        <v>N/A</v>
      </c>
      <c r="F516" t="str">
        <f t="shared" si="1119"/>
        <v>N/A</v>
      </c>
      <c r="G516" t="str">
        <f t="shared" si="1119"/>
        <v>N/A</v>
      </c>
      <c r="H516" t="str">
        <f t="shared" si="1119"/>
        <v>N/A</v>
      </c>
      <c r="I516" t="str">
        <f t="shared" si="1119"/>
        <v>N/A</v>
      </c>
      <c r="J516" t="str">
        <f t="shared" si="1119"/>
        <v>N/A</v>
      </c>
      <c r="K516" t="str">
        <f t="shared" si="1119"/>
        <v>N/A</v>
      </c>
      <c r="L516" t="str">
        <f t="shared" si="1119"/>
        <v>N/A</v>
      </c>
      <c r="M516" t="str">
        <f t="shared" si="1119"/>
        <v>N/A</v>
      </c>
      <c r="N516" t="str">
        <f t="shared" si="1119"/>
        <v>N/A</v>
      </c>
      <c r="O516" t="str">
        <f t="shared" si="1119"/>
        <v>N/A</v>
      </c>
    </row>
    <row r="517" spans="1:26" x14ac:dyDescent="0.4">
      <c r="C517" t="s">
        <v>533</v>
      </c>
      <c r="D517">
        <f t="shared" ref="D517:O517" si="1120">IFERROR(VLOOKUP(D511,Phys_Prop,2,FALSE),0)</f>
        <v>0</v>
      </c>
      <c r="E517">
        <f t="shared" si="1120"/>
        <v>0</v>
      </c>
      <c r="F517">
        <f t="shared" si="1120"/>
        <v>0</v>
      </c>
      <c r="G517">
        <f t="shared" si="1120"/>
        <v>0</v>
      </c>
      <c r="H517">
        <f t="shared" si="1120"/>
        <v>0</v>
      </c>
      <c r="I517">
        <f t="shared" si="1120"/>
        <v>0</v>
      </c>
      <c r="J517">
        <f t="shared" si="1120"/>
        <v>0</v>
      </c>
      <c r="K517">
        <f t="shared" si="1120"/>
        <v>0</v>
      </c>
      <c r="L517">
        <f t="shared" si="1120"/>
        <v>0</v>
      </c>
      <c r="M517">
        <f t="shared" si="1120"/>
        <v>0</v>
      </c>
      <c r="N517">
        <f t="shared" si="1120"/>
        <v>0</v>
      </c>
      <c r="O517">
        <f t="shared" si="1120"/>
        <v>0</v>
      </c>
    </row>
    <row r="518" spans="1:26" x14ac:dyDescent="0.4">
      <c r="C518" t="s">
        <v>544</v>
      </c>
      <c r="D518">
        <f>IFERROR(IFERROR(D516/D514+D517/D515,D516/D514),0)</f>
        <v>0</v>
      </c>
      <c r="E518">
        <f t="shared" ref="E518" si="1121">IFERROR(IFERROR(E516/E514+E517/E515,E516/E514),0)</f>
        <v>0</v>
      </c>
      <c r="F518">
        <f t="shared" ref="F518" si="1122">IFERROR(IFERROR(F516/F514+F517/F515,F516/F514),0)</f>
        <v>0</v>
      </c>
      <c r="G518">
        <f t="shared" ref="G518" si="1123">IFERROR(IFERROR(G516/G514+G517/G515,G516/G514),0)</f>
        <v>0</v>
      </c>
      <c r="H518">
        <f t="shared" ref="H518" si="1124">IFERROR(IFERROR(H516/H514+H517/H515,H516/H514),0)</f>
        <v>0</v>
      </c>
      <c r="I518">
        <f t="shared" ref="I518" si="1125">IFERROR(IFERROR(I516/I514+I517/I515,I516/I514),0)</f>
        <v>0</v>
      </c>
      <c r="J518">
        <f t="shared" ref="J518" si="1126">IFERROR(IFERROR(J516/J514+J517/J515,J516/J514),0)</f>
        <v>0</v>
      </c>
      <c r="K518">
        <f t="shared" ref="K518" si="1127">IFERROR(IFERROR(K516/K514+K517/K515,K516/K514),0)</f>
        <v>0</v>
      </c>
      <c r="L518">
        <f t="shared" ref="L518" si="1128">IFERROR(IFERROR(L516/L514+L517/L515,L516/L514),0)</f>
        <v>0</v>
      </c>
      <c r="M518">
        <f t="shared" ref="M518" si="1129">IFERROR(IFERROR(M516/M514+M517/M515,M516/M514),0)</f>
        <v>0</v>
      </c>
      <c r="N518">
        <f t="shared" ref="N518" si="1130">IFERROR(IFERROR(N516/N514+N517/N515,N516/N514),0)</f>
        <v>0</v>
      </c>
      <c r="O518">
        <f t="shared" ref="O518" si="1131">IFERROR(IFERROR(O516/O514+O517/O515,O516/O514),0)</f>
        <v>0</v>
      </c>
    </row>
    <row r="519" spans="1:26" x14ac:dyDescent="0.4">
      <c r="C519" t="s">
        <v>539</v>
      </c>
      <c r="D519">
        <f>IFERROR((D514/D516)*D518,1)</f>
        <v>1</v>
      </c>
      <c r="E519">
        <f t="shared" ref="E519" si="1132">IFERROR((E514/E516)*E518,1)</f>
        <v>1</v>
      </c>
      <c r="F519">
        <f t="shared" ref="F519" si="1133">IFERROR((F514/F516)*F518,1)</f>
        <v>1</v>
      </c>
      <c r="G519">
        <f t="shared" ref="G519" si="1134">IFERROR((G514/G516)*G518,1)</f>
        <v>1</v>
      </c>
      <c r="H519">
        <f t="shared" ref="H519" si="1135">IFERROR((H514/H516)*H518,1)</f>
        <v>1</v>
      </c>
      <c r="I519">
        <f t="shared" ref="I519" si="1136">IFERROR((I514/I516)*I518,1)</f>
        <v>1</v>
      </c>
      <c r="J519">
        <f t="shared" ref="J519" si="1137">IFERROR((J514/J516)*J518,1)</f>
        <v>1</v>
      </c>
      <c r="K519">
        <f t="shared" ref="K519" si="1138">IFERROR((K514/K516)*K518,1)</f>
        <v>1</v>
      </c>
      <c r="L519">
        <f t="shared" ref="L519" si="1139">IFERROR((L514/L516)*L518,1)</f>
        <v>1</v>
      </c>
      <c r="M519">
        <f t="shared" ref="M519" si="1140">IFERROR((M514/M516)*M518,1)</f>
        <v>1</v>
      </c>
      <c r="N519">
        <f t="shared" ref="N519" si="1141">IFERROR((N514/N516)*N518,1)</f>
        <v>1</v>
      </c>
      <c r="O519">
        <f t="shared" ref="O519" si="1142">IFERROR((O514/O516)*O518,1)</f>
        <v>1</v>
      </c>
    </row>
    <row r="520" spans="1:26" x14ac:dyDescent="0.4">
      <c r="C520" t="s">
        <v>540</v>
      </c>
      <c r="D520">
        <f>IFERROR((D515/D517)*D518,0)</f>
        <v>0</v>
      </c>
      <c r="E520">
        <f t="shared" ref="E520:O520" si="1143">IFERROR((E515/E517)*E518,0)</f>
        <v>0</v>
      </c>
      <c r="F520">
        <f t="shared" si="1143"/>
        <v>0</v>
      </c>
      <c r="G520">
        <f t="shared" si="1143"/>
        <v>0</v>
      </c>
      <c r="H520">
        <f t="shared" si="1143"/>
        <v>0</v>
      </c>
      <c r="I520">
        <f t="shared" si="1143"/>
        <v>0</v>
      </c>
      <c r="J520">
        <f t="shared" si="1143"/>
        <v>0</v>
      </c>
      <c r="K520">
        <f t="shared" si="1143"/>
        <v>0</v>
      </c>
      <c r="L520">
        <f t="shared" si="1143"/>
        <v>0</v>
      </c>
      <c r="M520">
        <f t="shared" si="1143"/>
        <v>0</v>
      </c>
      <c r="N520">
        <f t="shared" si="1143"/>
        <v>0</v>
      </c>
      <c r="O520">
        <f t="shared" si="1143"/>
        <v>0</v>
      </c>
    </row>
    <row r="521" spans="1:26" x14ac:dyDescent="0.4">
      <c r="C521" s="21" t="s">
        <v>534</v>
      </c>
      <c r="D521" t="str">
        <f t="shared" ref="D521:O521" si="1144">IFERROR(VLOOKUP(D510,Phys_Prop,4,FALSE),0)</f>
        <v>N/A</v>
      </c>
      <c r="E521" t="str">
        <f t="shared" si="1144"/>
        <v>N/A</v>
      </c>
      <c r="F521" t="str">
        <f t="shared" si="1144"/>
        <v>N/A</v>
      </c>
      <c r="G521" t="str">
        <f t="shared" si="1144"/>
        <v>N/A</v>
      </c>
      <c r="H521" t="str">
        <f t="shared" si="1144"/>
        <v>N/A</v>
      </c>
      <c r="I521" t="str">
        <f t="shared" si="1144"/>
        <v>N/A</v>
      </c>
      <c r="J521" t="str">
        <f t="shared" si="1144"/>
        <v>N/A</v>
      </c>
      <c r="K521" t="str">
        <f t="shared" si="1144"/>
        <v>N/A</v>
      </c>
      <c r="L521" t="str">
        <f t="shared" si="1144"/>
        <v>N/A</v>
      </c>
      <c r="M521" t="str">
        <f t="shared" si="1144"/>
        <v>N/A</v>
      </c>
      <c r="N521" t="str">
        <f t="shared" si="1144"/>
        <v>N/A</v>
      </c>
      <c r="O521" t="str">
        <f t="shared" si="1144"/>
        <v>N/A</v>
      </c>
    </row>
    <row r="522" spans="1:26" x14ac:dyDescent="0.4">
      <c r="C522" s="21" t="s">
        <v>535</v>
      </c>
      <c r="D522">
        <f t="shared" ref="D522:O522" si="1145">IFERROR(VLOOKUP(D511,Phys_Prop,4,FALSE),0)</f>
        <v>0</v>
      </c>
      <c r="E522">
        <f t="shared" si="1145"/>
        <v>0</v>
      </c>
      <c r="F522">
        <f t="shared" si="1145"/>
        <v>0</v>
      </c>
      <c r="G522">
        <f t="shared" si="1145"/>
        <v>0</v>
      </c>
      <c r="H522">
        <f t="shared" si="1145"/>
        <v>0</v>
      </c>
      <c r="I522">
        <f t="shared" si="1145"/>
        <v>0</v>
      </c>
      <c r="J522">
        <f t="shared" si="1145"/>
        <v>0</v>
      </c>
      <c r="K522">
        <f t="shared" si="1145"/>
        <v>0</v>
      </c>
      <c r="L522">
        <f t="shared" si="1145"/>
        <v>0</v>
      </c>
      <c r="M522">
        <f t="shared" si="1145"/>
        <v>0</v>
      </c>
      <c r="N522">
        <f t="shared" si="1145"/>
        <v>0</v>
      </c>
      <c r="O522">
        <f t="shared" si="1145"/>
        <v>0</v>
      </c>
    </row>
    <row r="523" spans="1:26" x14ac:dyDescent="0.4">
      <c r="A523" s="11"/>
      <c r="B523" s="11"/>
      <c r="C523" s="62" t="s">
        <v>536</v>
      </c>
      <c r="D523" s="11" t="str">
        <f>IFERROR(1/(D519/D521+D520/D522),D521)</f>
        <v>N/A</v>
      </c>
      <c r="E523" s="11" t="str">
        <f t="shared" ref="E523:O523" si="1146">IFERROR(1/(E519/E521+E520/E522),E521)</f>
        <v>N/A</v>
      </c>
      <c r="F523" s="11" t="str">
        <f t="shared" si="1146"/>
        <v>N/A</v>
      </c>
      <c r="G523" s="11" t="str">
        <f t="shared" si="1146"/>
        <v>N/A</v>
      </c>
      <c r="H523" s="11" t="str">
        <f t="shared" si="1146"/>
        <v>N/A</v>
      </c>
      <c r="I523" s="11" t="str">
        <f t="shared" si="1146"/>
        <v>N/A</v>
      </c>
      <c r="J523" s="11" t="str">
        <f t="shared" si="1146"/>
        <v>N/A</v>
      </c>
      <c r="K523" s="11" t="str">
        <f t="shared" si="1146"/>
        <v>N/A</v>
      </c>
      <c r="L523" s="11" t="str">
        <f t="shared" si="1146"/>
        <v>N/A</v>
      </c>
      <c r="M523" s="11" t="str">
        <f t="shared" si="1146"/>
        <v>N/A</v>
      </c>
      <c r="N523" s="11" t="str">
        <f t="shared" si="1146"/>
        <v>N/A</v>
      </c>
      <c r="O523" s="11" t="str">
        <f t="shared" si="1146"/>
        <v>N/A</v>
      </c>
      <c r="P523" s="11"/>
      <c r="Q523" s="11"/>
      <c r="R523" s="11"/>
      <c r="S523" s="11"/>
      <c r="T523" s="11"/>
      <c r="U523" s="11"/>
      <c r="V523" s="11"/>
      <c r="W523" s="11"/>
      <c r="X523" s="11"/>
      <c r="Y523" s="11"/>
      <c r="Z523" s="11"/>
    </row>
    <row r="524" spans="1:26" x14ac:dyDescent="0.4">
      <c r="A524" t="str" cm="1">
        <f t="array" ref="A524">INDEX(FX_Input,R524,S524)</f>
        <v>FX - 38</v>
      </c>
      <c r="B524" t="str" cm="1">
        <f t="array" ref="B524">INDEX(FX_Input,R524,T524)</f>
        <v>Portland</v>
      </c>
      <c r="C524" t="s">
        <v>528</v>
      </c>
      <c r="D524" t="str" cm="1">
        <f t="array" ref="D524">INDEX(FX_Input,$R524,$Y524*D$5+$Z524)</f>
        <v>Jet kerosene</v>
      </c>
      <c r="E524" t="str" cm="1">
        <f t="array" ref="E524">INDEX(FX_Input,$R524,$Y524*E$5+$Z524)</f>
        <v>Jet kerosene</v>
      </c>
      <c r="F524" t="str" cm="1">
        <f t="array" ref="F524">INDEX(FX_Input,$R524,$Y524*F$5+$Z524)</f>
        <v>Jet kerosene</v>
      </c>
      <c r="G524" t="str" cm="1">
        <f t="array" ref="G524">INDEX(FX_Input,$R524,$Y524*G$5+$Z524)</f>
        <v>Jet kerosene</v>
      </c>
      <c r="H524" t="str" cm="1">
        <f t="array" ref="H524">INDEX(FX_Input,$R524,$Y524*H$5+$Z524)</f>
        <v>Jet kerosene</v>
      </c>
      <c r="I524" t="str" cm="1">
        <f t="array" ref="I524">INDEX(FX_Input,$R524,$Y524*I$5+$Z524)</f>
        <v>Jet kerosene</v>
      </c>
      <c r="J524" t="str" cm="1">
        <f t="array" ref="J524">INDEX(FX_Input,$R524,$Y524*J$5+$Z524)</f>
        <v>Jet kerosene</v>
      </c>
      <c r="K524" t="str" cm="1">
        <f t="array" ref="K524">INDEX(FX_Input,$R524,$Y524*K$5+$Z524)</f>
        <v>Jet kerosene</v>
      </c>
      <c r="L524" t="str" cm="1">
        <f t="array" ref="L524">INDEX(FX_Input,$R524,$Y524*L$5+$Z524)</f>
        <v>Jet kerosene</v>
      </c>
      <c r="M524" t="str" cm="1">
        <f t="array" ref="M524">INDEX(FX_Input,$R524,$Y524*M$5+$Z524)</f>
        <v>Jet kerosene</v>
      </c>
      <c r="N524" t="str" cm="1">
        <f t="array" ref="N524">INDEX(FX_Input,$R524,$Y524*N$5+$Z524)</f>
        <v>Jet kerosene</v>
      </c>
      <c r="O524" t="str" cm="1">
        <f t="array" ref="O524">INDEX(FX_Input,$R524,$Y524*O$5+$Z524)</f>
        <v>Jet kerosene</v>
      </c>
      <c r="R524">
        <f>R510+2</f>
        <v>75</v>
      </c>
      <c r="S524">
        <v>1</v>
      </c>
      <c r="T524">
        <v>3</v>
      </c>
      <c r="U524">
        <v>17</v>
      </c>
      <c r="V524">
        <f>U524+5</f>
        <v>22</v>
      </c>
      <c r="W524">
        <v>1</v>
      </c>
      <c r="X524">
        <v>2</v>
      </c>
      <c r="Y524">
        <f t="shared" ref="Y524:Y529" si="1147">(V524-U524)/(X524-W524)</f>
        <v>5</v>
      </c>
      <c r="Z524">
        <f t="shared" ref="Z524:Z529" si="1148">U524-Y524*W524</f>
        <v>12</v>
      </c>
    </row>
    <row r="525" spans="1:26" x14ac:dyDescent="0.4">
      <c r="C525" t="s">
        <v>529</v>
      </c>
      <c r="D525" cm="1">
        <f t="array" ref="D525">INDEX(FX_Input,$R525,$Y525*D$5+$Z525)</f>
        <v>0</v>
      </c>
      <c r="E525" cm="1">
        <f t="array" ref="E525">INDEX(FX_Input,$R525,$Y525*E$5+$Z525)</f>
        <v>0</v>
      </c>
      <c r="F525" cm="1">
        <f t="array" ref="F525">INDEX(FX_Input,$R525,$Y525*F$5+$Z525)</f>
        <v>0</v>
      </c>
      <c r="G525" cm="1">
        <f t="array" ref="G525">INDEX(FX_Input,$R525,$Y525*G$5+$Z525)</f>
        <v>0</v>
      </c>
      <c r="H525" cm="1">
        <f t="array" ref="H525">INDEX(FX_Input,$R525,$Y525*H$5+$Z525)</f>
        <v>0</v>
      </c>
      <c r="I525" cm="1">
        <f t="array" ref="I525">INDEX(FX_Input,$R525,$Y525*I$5+$Z525)</f>
        <v>0</v>
      </c>
      <c r="J525" cm="1">
        <f t="array" ref="J525">INDEX(FX_Input,$R525,$Y525*J$5+$Z525)</f>
        <v>0</v>
      </c>
      <c r="K525" cm="1">
        <f t="array" ref="K525">INDEX(FX_Input,$R525,$Y525*K$5+$Z525)</f>
        <v>0</v>
      </c>
      <c r="L525" cm="1">
        <f t="array" ref="L525">INDEX(FX_Input,$R525,$Y525*L$5+$Z525)</f>
        <v>0</v>
      </c>
      <c r="M525" cm="1">
        <f t="array" ref="M525">INDEX(FX_Input,$R525,$Y525*M$5+$Z525)</f>
        <v>0</v>
      </c>
      <c r="N525" cm="1">
        <f t="array" ref="N525">INDEX(FX_Input,$R525,$Y525*N$5+$Z525)</f>
        <v>0</v>
      </c>
      <c r="O525" cm="1">
        <f t="array" ref="O525">INDEX(FX_Input,$R525,$Y525*O$5+$Z525)</f>
        <v>0</v>
      </c>
      <c r="R525">
        <f>R524+1</f>
        <v>76</v>
      </c>
      <c r="U525">
        <f>U524</f>
        <v>17</v>
      </c>
      <c r="V525">
        <f t="shared" ref="V525:V529" si="1149">U525+5</f>
        <v>22</v>
      </c>
      <c r="W525">
        <v>1</v>
      </c>
      <c r="X525">
        <v>2</v>
      </c>
      <c r="Y525">
        <f t="shared" si="1147"/>
        <v>5</v>
      </c>
      <c r="Z525">
        <f t="shared" si="1148"/>
        <v>12</v>
      </c>
    </row>
    <row r="526" spans="1:26" x14ac:dyDescent="0.4">
      <c r="C526" t="s">
        <v>530</v>
      </c>
      <c r="D526" t="str" cm="1">
        <f t="array" ref="D526">INDEX(FX_Input,$R526,$Y526*D$5+$Z526)</f>
        <v>Select Pet Stock</v>
      </c>
      <c r="E526" t="str" cm="1">
        <f t="array" ref="E526">INDEX(FX_Input,$R526,$Y526*E$5+$Z526)</f>
        <v>Select Pet Stock</v>
      </c>
      <c r="F526" t="str" cm="1">
        <f t="array" ref="F526">INDEX(FX_Input,$R526,$Y526*F$5+$Z526)</f>
        <v>Select Pet Stock</v>
      </c>
      <c r="G526" t="str" cm="1">
        <f t="array" ref="G526">INDEX(FX_Input,$R526,$Y526*G$5+$Z526)</f>
        <v>Select Pet Stock</v>
      </c>
      <c r="H526" t="str" cm="1">
        <f t="array" ref="H526">INDEX(FX_Input,$R526,$Y526*H$5+$Z526)</f>
        <v>Select Pet Stock</v>
      </c>
      <c r="I526" t="str" cm="1">
        <f t="array" ref="I526">INDEX(FX_Input,$R526,$Y526*I$5+$Z526)</f>
        <v>Select Pet Stock</v>
      </c>
      <c r="J526" t="str" cm="1">
        <f t="array" ref="J526">INDEX(FX_Input,$R526,$Y526*J$5+$Z526)</f>
        <v>Select Pet Stock</v>
      </c>
      <c r="K526" t="str" cm="1">
        <f t="array" ref="K526">INDEX(FX_Input,$R526,$Y526*K$5+$Z526)</f>
        <v>Select Pet Stock</v>
      </c>
      <c r="L526" t="str" cm="1">
        <f t="array" ref="L526">INDEX(FX_Input,$R526,$Y526*L$5+$Z526)</f>
        <v>Select Pet Stock</v>
      </c>
      <c r="M526" t="str" cm="1">
        <f t="array" ref="M526">INDEX(FX_Input,$R526,$Y526*M$5+$Z526)</f>
        <v>Select Pet Stock</v>
      </c>
      <c r="N526" t="str" cm="1">
        <f t="array" ref="N526">INDEX(FX_Input,$R526,$Y526*N$5+$Z526)</f>
        <v>Select Pet Stock</v>
      </c>
      <c r="O526" t="str" cm="1">
        <f t="array" ref="O526">INDEX(FX_Input,$R526,$Y526*O$5+$Z526)</f>
        <v>Select Pet Stock</v>
      </c>
      <c r="R526">
        <f>R524</f>
        <v>75</v>
      </c>
      <c r="U526">
        <v>18</v>
      </c>
      <c r="V526">
        <f t="shared" si="1149"/>
        <v>23</v>
      </c>
      <c r="W526">
        <v>1</v>
      </c>
      <c r="X526">
        <v>2</v>
      </c>
      <c r="Y526">
        <f t="shared" si="1147"/>
        <v>5</v>
      </c>
      <c r="Z526">
        <f t="shared" si="1148"/>
        <v>13</v>
      </c>
    </row>
    <row r="527" spans="1:26" x14ac:dyDescent="0.4">
      <c r="C527" t="s">
        <v>531</v>
      </c>
      <c r="D527" cm="1">
        <f t="array" ref="D527">INDEX(FX_Input,$R527,$Y527*D$5+$Z527)</f>
        <v>0</v>
      </c>
      <c r="E527" cm="1">
        <f t="array" ref="E527">INDEX(FX_Input,$R527,$Y527*E$5+$Z527)</f>
        <v>0</v>
      </c>
      <c r="F527" cm="1">
        <f t="array" ref="F527">INDEX(FX_Input,$R527,$Y527*F$5+$Z527)</f>
        <v>0</v>
      </c>
      <c r="G527" cm="1">
        <f t="array" ref="G527">INDEX(FX_Input,$R527,$Y527*G$5+$Z527)</f>
        <v>0</v>
      </c>
      <c r="H527" cm="1">
        <f t="array" ref="H527">INDEX(FX_Input,$R527,$Y527*H$5+$Z527)</f>
        <v>0</v>
      </c>
      <c r="I527" cm="1">
        <f t="array" ref="I527">INDEX(FX_Input,$R527,$Y527*I$5+$Z527)</f>
        <v>0</v>
      </c>
      <c r="J527" cm="1">
        <f t="array" ref="J527">INDEX(FX_Input,$R527,$Y527*J$5+$Z527)</f>
        <v>0</v>
      </c>
      <c r="K527" cm="1">
        <f t="array" ref="K527">INDEX(FX_Input,$R527,$Y527*K$5+$Z527)</f>
        <v>0</v>
      </c>
      <c r="L527" cm="1">
        <f t="array" ref="L527">INDEX(FX_Input,$R527,$Y527*L$5+$Z527)</f>
        <v>0</v>
      </c>
      <c r="M527" cm="1">
        <f t="array" ref="M527">INDEX(FX_Input,$R527,$Y527*M$5+$Z527)</f>
        <v>0</v>
      </c>
      <c r="N527" cm="1">
        <f t="array" ref="N527">INDEX(FX_Input,$R527,$Y527*N$5+$Z527)</f>
        <v>0</v>
      </c>
      <c r="O527" cm="1">
        <f t="array" ref="O527">INDEX(FX_Input,$R527,$Y527*O$5+$Z527)</f>
        <v>0</v>
      </c>
      <c r="R527">
        <f>R525</f>
        <v>76</v>
      </c>
      <c r="U527">
        <f>U526</f>
        <v>18</v>
      </c>
      <c r="V527">
        <f t="shared" si="1149"/>
        <v>23</v>
      </c>
      <c r="W527">
        <v>1</v>
      </c>
      <c r="X527">
        <v>2</v>
      </c>
      <c r="Y527">
        <f t="shared" si="1147"/>
        <v>5</v>
      </c>
      <c r="Z527">
        <f t="shared" si="1148"/>
        <v>13</v>
      </c>
    </row>
    <row r="528" spans="1:26" x14ac:dyDescent="0.4">
      <c r="C528" t="s">
        <v>546</v>
      </c>
      <c r="D528" cm="1">
        <f t="array" ref="D528">INDEX(FX_Input,$R528,$Y528*D$5+$Z528)</f>
        <v>1</v>
      </c>
      <c r="E528" cm="1">
        <f t="array" ref="E528">INDEX(FX_Input,$R528,$Y528*E$5+$Z528)</f>
        <v>1</v>
      </c>
      <c r="F528" cm="1">
        <f t="array" ref="F528">INDEX(FX_Input,$R528,$Y528*F$5+$Z528)</f>
        <v>1</v>
      </c>
      <c r="G528" cm="1">
        <f t="array" ref="G528">INDEX(FX_Input,$R528,$Y528*G$5+$Z528)</f>
        <v>1</v>
      </c>
      <c r="H528" cm="1">
        <f t="array" ref="H528">INDEX(FX_Input,$R528,$Y528*H$5+$Z528)</f>
        <v>1</v>
      </c>
      <c r="I528" cm="1">
        <f t="array" ref="I528">INDEX(FX_Input,$R528,$Y528*I$5+$Z528)</f>
        <v>1</v>
      </c>
      <c r="J528" cm="1">
        <f t="array" ref="J528">INDEX(FX_Input,$R528,$Y528*J$5+$Z528)</f>
        <v>1</v>
      </c>
      <c r="K528" cm="1">
        <f t="array" ref="K528">INDEX(FX_Input,$R528,$Y528*K$5+$Z528)</f>
        <v>1</v>
      </c>
      <c r="L528" cm="1">
        <f t="array" ref="L528">INDEX(FX_Input,$R528,$Y528*L$5+$Z528)</f>
        <v>1</v>
      </c>
      <c r="M528" cm="1">
        <f t="array" ref="M528">INDEX(FX_Input,$R528,$Y528*M$5+$Z528)</f>
        <v>1</v>
      </c>
      <c r="N528" cm="1">
        <f t="array" ref="N528">INDEX(FX_Input,$R528,$Y528*N$5+$Z528)</f>
        <v>1</v>
      </c>
      <c r="O528" cm="1">
        <f t="array" ref="O528">INDEX(FX_Input,$R528,$Y528*O$5+$Z528)</f>
        <v>1</v>
      </c>
      <c r="R528">
        <f>R526</f>
        <v>75</v>
      </c>
      <c r="U528">
        <v>21</v>
      </c>
      <c r="V528">
        <f t="shared" si="1149"/>
        <v>26</v>
      </c>
      <c r="W528">
        <v>1</v>
      </c>
      <c r="X528">
        <v>2</v>
      </c>
      <c r="Y528">
        <f t="shared" si="1147"/>
        <v>5</v>
      </c>
      <c r="Z528">
        <f t="shared" si="1148"/>
        <v>16</v>
      </c>
    </row>
    <row r="529" spans="1:26" x14ac:dyDescent="0.4">
      <c r="C529" t="s">
        <v>547</v>
      </c>
      <c r="D529" cm="1">
        <f t="array" ref="D529">INDEX(FX_Input,$R529,$Y529*D$5+$Z529)</f>
        <v>0</v>
      </c>
      <c r="E529" cm="1">
        <f t="array" ref="E529">INDEX(FX_Input,$R529,$Y529*E$5+$Z529)</f>
        <v>0</v>
      </c>
      <c r="F529" cm="1">
        <f t="array" ref="F529">INDEX(FX_Input,$R529,$Y529*F$5+$Z529)</f>
        <v>0</v>
      </c>
      <c r="G529" cm="1">
        <f t="array" ref="G529">INDEX(FX_Input,$R529,$Y529*G$5+$Z529)</f>
        <v>0</v>
      </c>
      <c r="H529" cm="1">
        <f t="array" ref="H529">INDEX(FX_Input,$R529,$Y529*H$5+$Z529)</f>
        <v>0</v>
      </c>
      <c r="I529" cm="1">
        <f t="array" ref="I529">INDEX(FX_Input,$R529,$Y529*I$5+$Z529)</f>
        <v>0</v>
      </c>
      <c r="J529" cm="1">
        <f t="array" ref="J529">INDEX(FX_Input,$R529,$Y529*J$5+$Z529)</f>
        <v>0</v>
      </c>
      <c r="K529" cm="1">
        <f t="array" ref="K529">INDEX(FX_Input,$R529,$Y529*K$5+$Z529)</f>
        <v>0</v>
      </c>
      <c r="L529" cm="1">
        <f t="array" ref="L529">INDEX(FX_Input,$R529,$Y529*L$5+$Z529)</f>
        <v>0</v>
      </c>
      <c r="M529" cm="1">
        <f t="array" ref="M529">INDEX(FX_Input,$R529,$Y529*M$5+$Z529)</f>
        <v>0</v>
      </c>
      <c r="N529" cm="1">
        <f t="array" ref="N529">INDEX(FX_Input,$R529,$Y529*N$5+$Z529)</f>
        <v>0</v>
      </c>
      <c r="O529" cm="1">
        <f t="array" ref="O529">INDEX(FX_Input,$R529,$Y529*O$5+$Z529)</f>
        <v>0</v>
      </c>
      <c r="R529">
        <f>R527</f>
        <v>76</v>
      </c>
      <c r="U529">
        <f>U528</f>
        <v>21</v>
      </c>
      <c r="V529">
        <f t="shared" si="1149"/>
        <v>26</v>
      </c>
      <c r="W529">
        <v>1</v>
      </c>
      <c r="X529">
        <v>2</v>
      </c>
      <c r="Y529">
        <f t="shared" si="1147"/>
        <v>5</v>
      </c>
      <c r="Z529">
        <f t="shared" si="1148"/>
        <v>16</v>
      </c>
    </row>
    <row r="530" spans="1:26" x14ac:dyDescent="0.4">
      <c r="C530" t="s">
        <v>532</v>
      </c>
      <c r="D530">
        <f t="shared" ref="D530:O530" si="1150">IFERROR(VLOOKUP(D524,Phys_Prop,2,FALSE),0)</f>
        <v>162</v>
      </c>
      <c r="E530">
        <f t="shared" si="1150"/>
        <v>162</v>
      </c>
      <c r="F530">
        <f t="shared" si="1150"/>
        <v>162</v>
      </c>
      <c r="G530">
        <f t="shared" si="1150"/>
        <v>162</v>
      </c>
      <c r="H530">
        <f t="shared" si="1150"/>
        <v>162</v>
      </c>
      <c r="I530">
        <f t="shared" si="1150"/>
        <v>162</v>
      </c>
      <c r="J530">
        <f t="shared" si="1150"/>
        <v>162</v>
      </c>
      <c r="K530">
        <f t="shared" si="1150"/>
        <v>162</v>
      </c>
      <c r="L530">
        <f t="shared" si="1150"/>
        <v>162</v>
      </c>
      <c r="M530">
        <f t="shared" si="1150"/>
        <v>162</v>
      </c>
      <c r="N530">
        <f t="shared" si="1150"/>
        <v>162</v>
      </c>
      <c r="O530">
        <f t="shared" si="1150"/>
        <v>162</v>
      </c>
    </row>
    <row r="531" spans="1:26" x14ac:dyDescent="0.4">
      <c r="C531" t="s">
        <v>533</v>
      </c>
      <c r="D531">
        <f t="shared" ref="D531:O531" si="1151">IFERROR(VLOOKUP(D525,Phys_Prop,2,FALSE),0)</f>
        <v>0</v>
      </c>
      <c r="E531">
        <f t="shared" si="1151"/>
        <v>0</v>
      </c>
      <c r="F531">
        <f t="shared" si="1151"/>
        <v>0</v>
      </c>
      <c r="G531">
        <f t="shared" si="1151"/>
        <v>0</v>
      </c>
      <c r="H531">
        <f t="shared" si="1151"/>
        <v>0</v>
      </c>
      <c r="I531">
        <f t="shared" si="1151"/>
        <v>0</v>
      </c>
      <c r="J531">
        <f t="shared" si="1151"/>
        <v>0</v>
      </c>
      <c r="K531">
        <f t="shared" si="1151"/>
        <v>0</v>
      </c>
      <c r="L531">
        <f t="shared" si="1151"/>
        <v>0</v>
      </c>
      <c r="M531">
        <f t="shared" si="1151"/>
        <v>0</v>
      </c>
      <c r="N531">
        <f t="shared" si="1151"/>
        <v>0</v>
      </c>
      <c r="O531">
        <f t="shared" si="1151"/>
        <v>0</v>
      </c>
    </row>
    <row r="532" spans="1:26" x14ac:dyDescent="0.4">
      <c r="C532" t="s">
        <v>544</v>
      </c>
      <c r="D532">
        <f>IFERROR(IFERROR(D530/D528+D531/D529,D530/D528),0)</f>
        <v>162</v>
      </c>
      <c r="E532">
        <f t="shared" ref="E532" si="1152">IFERROR(IFERROR(E530/E528+E531/E529,E530/E528),0)</f>
        <v>162</v>
      </c>
      <c r="F532">
        <f t="shared" ref="F532" si="1153">IFERROR(IFERROR(F530/F528+F531/F529,F530/F528),0)</f>
        <v>162</v>
      </c>
      <c r="G532">
        <f t="shared" ref="G532" si="1154">IFERROR(IFERROR(G530/G528+G531/G529,G530/G528),0)</f>
        <v>162</v>
      </c>
      <c r="H532">
        <f t="shared" ref="H532" si="1155">IFERROR(IFERROR(H530/H528+H531/H529,H530/H528),0)</f>
        <v>162</v>
      </c>
      <c r="I532">
        <f t="shared" ref="I532" si="1156">IFERROR(IFERROR(I530/I528+I531/I529,I530/I528),0)</f>
        <v>162</v>
      </c>
      <c r="J532">
        <f t="shared" ref="J532" si="1157">IFERROR(IFERROR(J530/J528+J531/J529,J530/J528),0)</f>
        <v>162</v>
      </c>
      <c r="K532">
        <f t="shared" ref="K532" si="1158">IFERROR(IFERROR(K530/K528+K531/K529,K530/K528),0)</f>
        <v>162</v>
      </c>
      <c r="L532">
        <f t="shared" ref="L532" si="1159">IFERROR(IFERROR(L530/L528+L531/L529,L530/L528),0)</f>
        <v>162</v>
      </c>
      <c r="M532">
        <f t="shared" ref="M532" si="1160">IFERROR(IFERROR(M530/M528+M531/M529,M530/M528),0)</f>
        <v>162</v>
      </c>
      <c r="N532">
        <f t="shared" ref="N532" si="1161">IFERROR(IFERROR(N530/N528+N531/N529,N530/N528),0)</f>
        <v>162</v>
      </c>
      <c r="O532">
        <f t="shared" ref="O532" si="1162">IFERROR(IFERROR(O530/O528+O531/O529,O530/O528),0)</f>
        <v>162</v>
      </c>
    </row>
    <row r="533" spans="1:26" x14ac:dyDescent="0.4">
      <c r="C533" t="s">
        <v>539</v>
      </c>
      <c r="D533">
        <f>IFERROR((D528/D530)*D532,1)</f>
        <v>1</v>
      </c>
      <c r="E533">
        <f t="shared" ref="E533" si="1163">IFERROR((E528/E530)*E532,1)</f>
        <v>1</v>
      </c>
      <c r="F533">
        <f t="shared" ref="F533" si="1164">IFERROR((F528/F530)*F532,1)</f>
        <v>1</v>
      </c>
      <c r="G533">
        <f t="shared" ref="G533" si="1165">IFERROR((G528/G530)*G532,1)</f>
        <v>1</v>
      </c>
      <c r="H533">
        <f t="shared" ref="H533" si="1166">IFERROR((H528/H530)*H532,1)</f>
        <v>1</v>
      </c>
      <c r="I533">
        <f t="shared" ref="I533" si="1167">IFERROR((I528/I530)*I532,1)</f>
        <v>1</v>
      </c>
      <c r="J533">
        <f t="shared" ref="J533" si="1168">IFERROR((J528/J530)*J532,1)</f>
        <v>1</v>
      </c>
      <c r="K533">
        <f t="shared" ref="K533" si="1169">IFERROR((K528/K530)*K532,1)</f>
        <v>1</v>
      </c>
      <c r="L533">
        <f t="shared" ref="L533" si="1170">IFERROR((L528/L530)*L532,1)</f>
        <v>1</v>
      </c>
      <c r="M533">
        <f t="shared" ref="M533" si="1171">IFERROR((M528/M530)*M532,1)</f>
        <v>1</v>
      </c>
      <c r="N533">
        <f t="shared" ref="N533" si="1172">IFERROR((N528/N530)*N532,1)</f>
        <v>1</v>
      </c>
      <c r="O533">
        <f t="shared" ref="O533" si="1173">IFERROR((O528/O530)*O532,1)</f>
        <v>1</v>
      </c>
    </row>
    <row r="534" spans="1:26" x14ac:dyDescent="0.4">
      <c r="C534" t="s">
        <v>540</v>
      </c>
      <c r="D534">
        <f>IFERROR((D529/D531)*D532,0)</f>
        <v>0</v>
      </c>
      <c r="E534">
        <f t="shared" ref="E534:O534" si="1174">IFERROR((E529/E531)*E532,0)</f>
        <v>0</v>
      </c>
      <c r="F534">
        <f t="shared" si="1174"/>
        <v>0</v>
      </c>
      <c r="G534">
        <f t="shared" si="1174"/>
        <v>0</v>
      </c>
      <c r="H534">
        <f t="shared" si="1174"/>
        <v>0</v>
      </c>
      <c r="I534">
        <f t="shared" si="1174"/>
        <v>0</v>
      </c>
      <c r="J534">
        <f t="shared" si="1174"/>
        <v>0</v>
      </c>
      <c r="K534">
        <f t="shared" si="1174"/>
        <v>0</v>
      </c>
      <c r="L534">
        <f t="shared" si="1174"/>
        <v>0</v>
      </c>
      <c r="M534">
        <f t="shared" si="1174"/>
        <v>0</v>
      </c>
      <c r="N534">
        <f t="shared" si="1174"/>
        <v>0</v>
      </c>
      <c r="O534">
        <f t="shared" si="1174"/>
        <v>0</v>
      </c>
    </row>
    <row r="535" spans="1:26" x14ac:dyDescent="0.4">
      <c r="C535" s="21" t="s">
        <v>534</v>
      </c>
      <c r="D535">
        <f t="shared" ref="D535:O535" si="1175">IFERROR(VLOOKUP(D524,Phys_Prop,4,FALSE),0)</f>
        <v>7</v>
      </c>
      <c r="E535">
        <f t="shared" si="1175"/>
        <v>7</v>
      </c>
      <c r="F535">
        <f t="shared" si="1175"/>
        <v>7</v>
      </c>
      <c r="G535">
        <f t="shared" si="1175"/>
        <v>7</v>
      </c>
      <c r="H535">
        <f t="shared" si="1175"/>
        <v>7</v>
      </c>
      <c r="I535">
        <f t="shared" si="1175"/>
        <v>7</v>
      </c>
      <c r="J535">
        <f t="shared" si="1175"/>
        <v>7</v>
      </c>
      <c r="K535">
        <f t="shared" si="1175"/>
        <v>7</v>
      </c>
      <c r="L535">
        <f t="shared" si="1175"/>
        <v>7</v>
      </c>
      <c r="M535">
        <f t="shared" si="1175"/>
        <v>7</v>
      </c>
      <c r="N535">
        <f t="shared" si="1175"/>
        <v>7</v>
      </c>
      <c r="O535">
        <f t="shared" si="1175"/>
        <v>7</v>
      </c>
    </row>
    <row r="536" spans="1:26" x14ac:dyDescent="0.4">
      <c r="C536" s="21" t="s">
        <v>535</v>
      </c>
      <c r="D536">
        <f t="shared" ref="D536:O536" si="1176">IFERROR(VLOOKUP(D525,Phys_Prop,4,FALSE),0)</f>
        <v>0</v>
      </c>
      <c r="E536">
        <f t="shared" si="1176"/>
        <v>0</v>
      </c>
      <c r="F536">
        <f t="shared" si="1176"/>
        <v>0</v>
      </c>
      <c r="G536">
        <f t="shared" si="1176"/>
        <v>0</v>
      </c>
      <c r="H536">
        <f t="shared" si="1176"/>
        <v>0</v>
      </c>
      <c r="I536">
        <f t="shared" si="1176"/>
        <v>0</v>
      </c>
      <c r="J536">
        <f t="shared" si="1176"/>
        <v>0</v>
      </c>
      <c r="K536">
        <f t="shared" si="1176"/>
        <v>0</v>
      </c>
      <c r="L536">
        <f t="shared" si="1176"/>
        <v>0</v>
      </c>
      <c r="M536">
        <f t="shared" si="1176"/>
        <v>0</v>
      </c>
      <c r="N536">
        <f t="shared" si="1176"/>
        <v>0</v>
      </c>
      <c r="O536">
        <f t="shared" si="1176"/>
        <v>0</v>
      </c>
    </row>
    <row r="537" spans="1:26" x14ac:dyDescent="0.4">
      <c r="A537" s="11"/>
      <c r="B537" s="11"/>
      <c r="C537" s="62" t="s">
        <v>536</v>
      </c>
      <c r="D537" s="11">
        <f>IFERROR(1/(D533/D535+D534/D536),D535)</f>
        <v>7</v>
      </c>
      <c r="E537" s="11">
        <f t="shared" ref="E537:O537" si="1177">IFERROR(1/(E533/E535+E534/E536),E535)</f>
        <v>7</v>
      </c>
      <c r="F537" s="11">
        <f t="shared" si="1177"/>
        <v>7</v>
      </c>
      <c r="G537" s="11">
        <f t="shared" si="1177"/>
        <v>7</v>
      </c>
      <c r="H537" s="11">
        <f t="shared" si="1177"/>
        <v>7</v>
      </c>
      <c r="I537" s="11">
        <f t="shared" si="1177"/>
        <v>7</v>
      </c>
      <c r="J537" s="11">
        <f t="shared" si="1177"/>
        <v>7</v>
      </c>
      <c r="K537" s="11">
        <f t="shared" si="1177"/>
        <v>7</v>
      </c>
      <c r="L537" s="11">
        <f t="shared" si="1177"/>
        <v>7</v>
      </c>
      <c r="M537" s="11">
        <f t="shared" si="1177"/>
        <v>7</v>
      </c>
      <c r="N537" s="11">
        <f t="shared" si="1177"/>
        <v>7</v>
      </c>
      <c r="O537" s="11">
        <f t="shared" si="1177"/>
        <v>7</v>
      </c>
      <c r="P537" s="11"/>
      <c r="Q537" s="11"/>
      <c r="R537" s="11"/>
      <c r="S537" s="11"/>
      <c r="T537" s="11"/>
      <c r="U537" s="11"/>
      <c r="V537" s="11"/>
      <c r="W537" s="11"/>
      <c r="X537" s="11"/>
      <c r="Y537" s="11"/>
      <c r="Z537" s="11"/>
    </row>
    <row r="538" spans="1:26" x14ac:dyDescent="0.4">
      <c r="A538" t="str" cm="1">
        <f t="array" ref="A538">INDEX(FX_Input,R538,S538)</f>
        <v>FX - 39</v>
      </c>
      <c r="B538" t="str" cm="1">
        <f t="array" ref="B538">INDEX(FX_Input,R538,T538)</f>
        <v>Portland</v>
      </c>
      <c r="C538" t="s">
        <v>528</v>
      </c>
      <c r="D538" t="str" cm="1">
        <f t="array" ref="D538">INDEX(FX_Input,$R538,$Y538*D$5+$Z538)</f>
        <v>Jet kerosene</v>
      </c>
      <c r="E538" t="str" cm="1">
        <f t="array" ref="E538">INDEX(FX_Input,$R538,$Y538*E$5+$Z538)</f>
        <v>Jet kerosene</v>
      </c>
      <c r="F538" t="str" cm="1">
        <f t="array" ref="F538">INDEX(FX_Input,$R538,$Y538*F$5+$Z538)</f>
        <v>Jet kerosene</v>
      </c>
      <c r="G538" t="str" cm="1">
        <f t="array" ref="G538">INDEX(FX_Input,$R538,$Y538*G$5+$Z538)</f>
        <v>Jet kerosene</v>
      </c>
      <c r="H538" t="str" cm="1">
        <f t="array" ref="H538">INDEX(FX_Input,$R538,$Y538*H$5+$Z538)</f>
        <v>Jet kerosene</v>
      </c>
      <c r="I538" t="str" cm="1">
        <f t="array" ref="I538">INDEX(FX_Input,$R538,$Y538*I$5+$Z538)</f>
        <v>Jet kerosene</v>
      </c>
      <c r="J538" t="str" cm="1">
        <f t="array" ref="J538">INDEX(FX_Input,$R538,$Y538*J$5+$Z538)</f>
        <v>Jet kerosene</v>
      </c>
      <c r="K538" t="str" cm="1">
        <f t="array" ref="K538">INDEX(FX_Input,$R538,$Y538*K$5+$Z538)</f>
        <v>Jet kerosene</v>
      </c>
      <c r="L538" t="str" cm="1">
        <f t="array" ref="L538">INDEX(FX_Input,$R538,$Y538*L$5+$Z538)</f>
        <v>Jet kerosene</v>
      </c>
      <c r="M538" t="str" cm="1">
        <f t="array" ref="M538">INDEX(FX_Input,$R538,$Y538*M$5+$Z538)</f>
        <v>Jet kerosene</v>
      </c>
      <c r="N538" t="str" cm="1">
        <f t="array" ref="N538">INDEX(FX_Input,$R538,$Y538*N$5+$Z538)</f>
        <v>Jet kerosene</v>
      </c>
      <c r="O538" t="str" cm="1">
        <f t="array" ref="O538">INDEX(FX_Input,$R538,$Y538*O$5+$Z538)</f>
        <v>Jet kerosene</v>
      </c>
      <c r="R538">
        <f>R524+2</f>
        <v>77</v>
      </c>
      <c r="S538">
        <v>1</v>
      </c>
      <c r="T538">
        <v>3</v>
      </c>
      <c r="U538">
        <v>17</v>
      </c>
      <c r="V538">
        <f>U538+5</f>
        <v>22</v>
      </c>
      <c r="W538">
        <v>1</v>
      </c>
      <c r="X538">
        <v>2</v>
      </c>
      <c r="Y538">
        <f t="shared" ref="Y538:Y543" si="1178">(V538-U538)/(X538-W538)</f>
        <v>5</v>
      </c>
      <c r="Z538">
        <f t="shared" ref="Z538:Z543" si="1179">U538-Y538*W538</f>
        <v>12</v>
      </c>
    </row>
    <row r="539" spans="1:26" x14ac:dyDescent="0.4">
      <c r="C539" t="s">
        <v>529</v>
      </c>
      <c r="D539" cm="1">
        <f t="array" ref="D539">INDEX(FX_Input,$R539,$Y539*D$5+$Z539)</f>
        <v>0</v>
      </c>
      <c r="E539" cm="1">
        <f t="array" ref="E539">INDEX(FX_Input,$R539,$Y539*E$5+$Z539)</f>
        <v>0</v>
      </c>
      <c r="F539" cm="1">
        <f t="array" ref="F539">INDEX(FX_Input,$R539,$Y539*F$5+$Z539)</f>
        <v>0</v>
      </c>
      <c r="G539" cm="1">
        <f t="array" ref="G539">INDEX(FX_Input,$R539,$Y539*G$5+$Z539)</f>
        <v>0</v>
      </c>
      <c r="H539" cm="1">
        <f t="array" ref="H539">INDEX(FX_Input,$R539,$Y539*H$5+$Z539)</f>
        <v>0</v>
      </c>
      <c r="I539" cm="1">
        <f t="array" ref="I539">INDEX(FX_Input,$R539,$Y539*I$5+$Z539)</f>
        <v>0</v>
      </c>
      <c r="J539" cm="1">
        <f t="array" ref="J539">INDEX(FX_Input,$R539,$Y539*J$5+$Z539)</f>
        <v>0</v>
      </c>
      <c r="K539" cm="1">
        <f t="array" ref="K539">INDEX(FX_Input,$R539,$Y539*K$5+$Z539)</f>
        <v>0</v>
      </c>
      <c r="L539" cm="1">
        <f t="array" ref="L539">INDEX(FX_Input,$R539,$Y539*L$5+$Z539)</f>
        <v>0</v>
      </c>
      <c r="M539" cm="1">
        <f t="array" ref="M539">INDEX(FX_Input,$R539,$Y539*M$5+$Z539)</f>
        <v>0</v>
      </c>
      <c r="N539" cm="1">
        <f t="array" ref="N539">INDEX(FX_Input,$R539,$Y539*N$5+$Z539)</f>
        <v>0</v>
      </c>
      <c r="O539" cm="1">
        <f t="array" ref="O539">INDEX(FX_Input,$R539,$Y539*O$5+$Z539)</f>
        <v>0</v>
      </c>
      <c r="R539">
        <f>R538+1</f>
        <v>78</v>
      </c>
      <c r="U539">
        <f>U538</f>
        <v>17</v>
      </c>
      <c r="V539">
        <f t="shared" ref="V539:V543" si="1180">U539+5</f>
        <v>22</v>
      </c>
      <c r="W539">
        <v>1</v>
      </c>
      <c r="X539">
        <v>2</v>
      </c>
      <c r="Y539">
        <f t="shared" si="1178"/>
        <v>5</v>
      </c>
      <c r="Z539">
        <f t="shared" si="1179"/>
        <v>12</v>
      </c>
    </row>
    <row r="540" spans="1:26" x14ac:dyDescent="0.4">
      <c r="C540" t="s">
        <v>530</v>
      </c>
      <c r="D540" t="str" cm="1">
        <f t="array" ref="D540">INDEX(FX_Input,$R540,$Y540*D$5+$Z540)</f>
        <v>Select Pet Stock</v>
      </c>
      <c r="E540" t="str" cm="1">
        <f t="array" ref="E540">INDEX(FX_Input,$R540,$Y540*E$5+$Z540)</f>
        <v>Select Pet Stock</v>
      </c>
      <c r="F540" t="str" cm="1">
        <f t="array" ref="F540">INDEX(FX_Input,$R540,$Y540*F$5+$Z540)</f>
        <v>Select Pet Stock</v>
      </c>
      <c r="G540" t="str" cm="1">
        <f t="array" ref="G540">INDEX(FX_Input,$R540,$Y540*G$5+$Z540)</f>
        <v>Select Pet Stock</v>
      </c>
      <c r="H540" t="str" cm="1">
        <f t="array" ref="H540">INDEX(FX_Input,$R540,$Y540*H$5+$Z540)</f>
        <v>Select Pet Stock</v>
      </c>
      <c r="I540" t="str" cm="1">
        <f t="array" ref="I540">INDEX(FX_Input,$R540,$Y540*I$5+$Z540)</f>
        <v>Select Pet Stock</v>
      </c>
      <c r="J540" t="str" cm="1">
        <f t="array" ref="J540">INDEX(FX_Input,$R540,$Y540*J$5+$Z540)</f>
        <v>Select Pet Stock</v>
      </c>
      <c r="K540" t="str" cm="1">
        <f t="array" ref="K540">INDEX(FX_Input,$R540,$Y540*K$5+$Z540)</f>
        <v>Select Pet Stock</v>
      </c>
      <c r="L540" t="str" cm="1">
        <f t="array" ref="L540">INDEX(FX_Input,$R540,$Y540*L$5+$Z540)</f>
        <v>Select Pet Stock</v>
      </c>
      <c r="M540" t="str" cm="1">
        <f t="array" ref="M540">INDEX(FX_Input,$R540,$Y540*M$5+$Z540)</f>
        <v>Select Pet Stock</v>
      </c>
      <c r="N540" t="str" cm="1">
        <f t="array" ref="N540">INDEX(FX_Input,$R540,$Y540*N$5+$Z540)</f>
        <v>Select Pet Stock</v>
      </c>
      <c r="O540" t="str" cm="1">
        <f t="array" ref="O540">INDEX(FX_Input,$R540,$Y540*O$5+$Z540)</f>
        <v>Select Pet Stock</v>
      </c>
      <c r="R540">
        <f>R538</f>
        <v>77</v>
      </c>
      <c r="U540">
        <v>18</v>
      </c>
      <c r="V540">
        <f t="shared" si="1180"/>
        <v>23</v>
      </c>
      <c r="W540">
        <v>1</v>
      </c>
      <c r="X540">
        <v>2</v>
      </c>
      <c r="Y540">
        <f t="shared" si="1178"/>
        <v>5</v>
      </c>
      <c r="Z540">
        <f t="shared" si="1179"/>
        <v>13</v>
      </c>
    </row>
    <row r="541" spans="1:26" x14ac:dyDescent="0.4">
      <c r="C541" t="s">
        <v>531</v>
      </c>
      <c r="D541" cm="1">
        <f t="array" ref="D541">INDEX(FX_Input,$R541,$Y541*D$5+$Z541)</f>
        <v>0</v>
      </c>
      <c r="E541" cm="1">
        <f t="array" ref="E541">INDEX(FX_Input,$R541,$Y541*E$5+$Z541)</f>
        <v>0</v>
      </c>
      <c r="F541" cm="1">
        <f t="array" ref="F541">INDEX(FX_Input,$R541,$Y541*F$5+$Z541)</f>
        <v>0</v>
      </c>
      <c r="G541" cm="1">
        <f t="array" ref="G541">INDEX(FX_Input,$R541,$Y541*G$5+$Z541)</f>
        <v>0</v>
      </c>
      <c r="H541" cm="1">
        <f t="array" ref="H541">INDEX(FX_Input,$R541,$Y541*H$5+$Z541)</f>
        <v>0</v>
      </c>
      <c r="I541" cm="1">
        <f t="array" ref="I541">INDEX(FX_Input,$R541,$Y541*I$5+$Z541)</f>
        <v>0</v>
      </c>
      <c r="J541" cm="1">
        <f t="array" ref="J541">INDEX(FX_Input,$R541,$Y541*J$5+$Z541)</f>
        <v>0</v>
      </c>
      <c r="K541" cm="1">
        <f t="array" ref="K541">INDEX(FX_Input,$R541,$Y541*K$5+$Z541)</f>
        <v>0</v>
      </c>
      <c r="L541" cm="1">
        <f t="array" ref="L541">INDEX(FX_Input,$R541,$Y541*L$5+$Z541)</f>
        <v>0</v>
      </c>
      <c r="M541" cm="1">
        <f t="array" ref="M541">INDEX(FX_Input,$R541,$Y541*M$5+$Z541)</f>
        <v>0</v>
      </c>
      <c r="N541" cm="1">
        <f t="array" ref="N541">INDEX(FX_Input,$R541,$Y541*N$5+$Z541)</f>
        <v>0</v>
      </c>
      <c r="O541" cm="1">
        <f t="array" ref="O541">INDEX(FX_Input,$R541,$Y541*O$5+$Z541)</f>
        <v>0</v>
      </c>
      <c r="R541">
        <f>R539</f>
        <v>78</v>
      </c>
      <c r="U541">
        <f>U540</f>
        <v>18</v>
      </c>
      <c r="V541">
        <f t="shared" si="1180"/>
        <v>23</v>
      </c>
      <c r="W541">
        <v>1</v>
      </c>
      <c r="X541">
        <v>2</v>
      </c>
      <c r="Y541">
        <f t="shared" si="1178"/>
        <v>5</v>
      </c>
      <c r="Z541">
        <f t="shared" si="1179"/>
        <v>13</v>
      </c>
    </row>
    <row r="542" spans="1:26" x14ac:dyDescent="0.4">
      <c r="C542" t="s">
        <v>546</v>
      </c>
      <c r="D542" cm="1">
        <f t="array" ref="D542">INDEX(FX_Input,$R542,$Y542*D$5+$Z542)</f>
        <v>1</v>
      </c>
      <c r="E542" cm="1">
        <f t="array" ref="E542">INDEX(FX_Input,$R542,$Y542*E$5+$Z542)</f>
        <v>1</v>
      </c>
      <c r="F542" cm="1">
        <f t="array" ref="F542">INDEX(FX_Input,$R542,$Y542*F$5+$Z542)</f>
        <v>1</v>
      </c>
      <c r="G542" cm="1">
        <f t="array" ref="G542">INDEX(FX_Input,$R542,$Y542*G$5+$Z542)</f>
        <v>1</v>
      </c>
      <c r="H542" cm="1">
        <f t="array" ref="H542">INDEX(FX_Input,$R542,$Y542*H$5+$Z542)</f>
        <v>1</v>
      </c>
      <c r="I542" cm="1">
        <f t="array" ref="I542">INDEX(FX_Input,$R542,$Y542*I$5+$Z542)</f>
        <v>1</v>
      </c>
      <c r="J542" cm="1">
        <f t="array" ref="J542">INDEX(FX_Input,$R542,$Y542*J$5+$Z542)</f>
        <v>1</v>
      </c>
      <c r="K542" cm="1">
        <f t="array" ref="K542">INDEX(FX_Input,$R542,$Y542*K$5+$Z542)</f>
        <v>1</v>
      </c>
      <c r="L542" cm="1">
        <f t="array" ref="L542">INDEX(FX_Input,$R542,$Y542*L$5+$Z542)</f>
        <v>1</v>
      </c>
      <c r="M542" cm="1">
        <f t="array" ref="M542">INDEX(FX_Input,$R542,$Y542*M$5+$Z542)</f>
        <v>1</v>
      </c>
      <c r="N542" cm="1">
        <f t="array" ref="N542">INDEX(FX_Input,$R542,$Y542*N$5+$Z542)</f>
        <v>1</v>
      </c>
      <c r="O542" cm="1">
        <f t="array" ref="O542">INDEX(FX_Input,$R542,$Y542*O$5+$Z542)</f>
        <v>1</v>
      </c>
      <c r="R542">
        <f>R540</f>
        <v>77</v>
      </c>
      <c r="U542">
        <v>21</v>
      </c>
      <c r="V542">
        <f t="shared" si="1180"/>
        <v>26</v>
      </c>
      <c r="W542">
        <v>1</v>
      </c>
      <c r="X542">
        <v>2</v>
      </c>
      <c r="Y542">
        <f t="shared" si="1178"/>
        <v>5</v>
      </c>
      <c r="Z542">
        <f t="shared" si="1179"/>
        <v>16</v>
      </c>
    </row>
    <row r="543" spans="1:26" x14ac:dyDescent="0.4">
      <c r="C543" t="s">
        <v>547</v>
      </c>
      <c r="D543" cm="1">
        <f t="array" ref="D543">INDEX(FX_Input,$R543,$Y543*D$5+$Z543)</f>
        <v>0</v>
      </c>
      <c r="E543" cm="1">
        <f t="array" ref="E543">INDEX(FX_Input,$R543,$Y543*E$5+$Z543)</f>
        <v>0</v>
      </c>
      <c r="F543" cm="1">
        <f t="array" ref="F543">INDEX(FX_Input,$R543,$Y543*F$5+$Z543)</f>
        <v>0</v>
      </c>
      <c r="G543" cm="1">
        <f t="array" ref="G543">INDEX(FX_Input,$R543,$Y543*G$5+$Z543)</f>
        <v>0</v>
      </c>
      <c r="H543" cm="1">
        <f t="array" ref="H543">INDEX(FX_Input,$R543,$Y543*H$5+$Z543)</f>
        <v>0</v>
      </c>
      <c r="I543" cm="1">
        <f t="array" ref="I543">INDEX(FX_Input,$R543,$Y543*I$5+$Z543)</f>
        <v>0</v>
      </c>
      <c r="J543" cm="1">
        <f t="array" ref="J543">INDEX(FX_Input,$R543,$Y543*J$5+$Z543)</f>
        <v>0</v>
      </c>
      <c r="K543" cm="1">
        <f t="array" ref="K543">INDEX(FX_Input,$R543,$Y543*K$5+$Z543)</f>
        <v>0</v>
      </c>
      <c r="L543" cm="1">
        <f t="array" ref="L543">INDEX(FX_Input,$R543,$Y543*L$5+$Z543)</f>
        <v>0</v>
      </c>
      <c r="M543" cm="1">
        <f t="array" ref="M543">INDEX(FX_Input,$R543,$Y543*M$5+$Z543)</f>
        <v>0</v>
      </c>
      <c r="N543" cm="1">
        <f t="array" ref="N543">INDEX(FX_Input,$R543,$Y543*N$5+$Z543)</f>
        <v>0</v>
      </c>
      <c r="O543" cm="1">
        <f t="array" ref="O543">INDEX(FX_Input,$R543,$Y543*O$5+$Z543)</f>
        <v>0</v>
      </c>
      <c r="R543">
        <f>R541</f>
        <v>78</v>
      </c>
      <c r="U543">
        <f>U542</f>
        <v>21</v>
      </c>
      <c r="V543">
        <f t="shared" si="1180"/>
        <v>26</v>
      </c>
      <c r="W543">
        <v>1</v>
      </c>
      <c r="X543">
        <v>2</v>
      </c>
      <c r="Y543">
        <f t="shared" si="1178"/>
        <v>5</v>
      </c>
      <c r="Z543">
        <f t="shared" si="1179"/>
        <v>16</v>
      </c>
    </row>
    <row r="544" spans="1:26" x14ac:dyDescent="0.4">
      <c r="C544" t="s">
        <v>532</v>
      </c>
      <c r="D544">
        <f t="shared" ref="D544:O544" si="1181">IFERROR(VLOOKUP(D538,Phys_Prop,2,FALSE),0)</f>
        <v>162</v>
      </c>
      <c r="E544">
        <f t="shared" si="1181"/>
        <v>162</v>
      </c>
      <c r="F544">
        <f t="shared" si="1181"/>
        <v>162</v>
      </c>
      <c r="G544">
        <f t="shared" si="1181"/>
        <v>162</v>
      </c>
      <c r="H544">
        <f t="shared" si="1181"/>
        <v>162</v>
      </c>
      <c r="I544">
        <f t="shared" si="1181"/>
        <v>162</v>
      </c>
      <c r="J544">
        <f t="shared" si="1181"/>
        <v>162</v>
      </c>
      <c r="K544">
        <f t="shared" si="1181"/>
        <v>162</v>
      </c>
      <c r="L544">
        <f t="shared" si="1181"/>
        <v>162</v>
      </c>
      <c r="M544">
        <f t="shared" si="1181"/>
        <v>162</v>
      </c>
      <c r="N544">
        <f t="shared" si="1181"/>
        <v>162</v>
      </c>
      <c r="O544">
        <f t="shared" si="1181"/>
        <v>162</v>
      </c>
    </row>
    <row r="545" spans="1:26" x14ac:dyDescent="0.4">
      <c r="C545" t="s">
        <v>533</v>
      </c>
      <c r="D545">
        <f t="shared" ref="D545:O545" si="1182">IFERROR(VLOOKUP(D539,Phys_Prop,2,FALSE),0)</f>
        <v>0</v>
      </c>
      <c r="E545">
        <f t="shared" si="1182"/>
        <v>0</v>
      </c>
      <c r="F545">
        <f t="shared" si="1182"/>
        <v>0</v>
      </c>
      <c r="G545">
        <f t="shared" si="1182"/>
        <v>0</v>
      </c>
      <c r="H545">
        <f t="shared" si="1182"/>
        <v>0</v>
      </c>
      <c r="I545">
        <f t="shared" si="1182"/>
        <v>0</v>
      </c>
      <c r="J545">
        <f t="shared" si="1182"/>
        <v>0</v>
      </c>
      <c r="K545">
        <f t="shared" si="1182"/>
        <v>0</v>
      </c>
      <c r="L545">
        <f t="shared" si="1182"/>
        <v>0</v>
      </c>
      <c r="M545">
        <f t="shared" si="1182"/>
        <v>0</v>
      </c>
      <c r="N545">
        <f t="shared" si="1182"/>
        <v>0</v>
      </c>
      <c r="O545">
        <f t="shared" si="1182"/>
        <v>0</v>
      </c>
    </row>
    <row r="546" spans="1:26" x14ac:dyDescent="0.4">
      <c r="C546" t="s">
        <v>544</v>
      </c>
      <c r="D546">
        <f>IFERROR(IFERROR(D544/D542+D545/D543,D544/D542),0)</f>
        <v>162</v>
      </c>
      <c r="E546">
        <f t="shared" ref="E546" si="1183">IFERROR(IFERROR(E544/E542+E545/E543,E544/E542),0)</f>
        <v>162</v>
      </c>
      <c r="F546">
        <f t="shared" ref="F546" si="1184">IFERROR(IFERROR(F544/F542+F545/F543,F544/F542),0)</f>
        <v>162</v>
      </c>
      <c r="G546">
        <f t="shared" ref="G546" si="1185">IFERROR(IFERROR(G544/G542+G545/G543,G544/G542),0)</f>
        <v>162</v>
      </c>
      <c r="H546">
        <f t="shared" ref="H546" si="1186">IFERROR(IFERROR(H544/H542+H545/H543,H544/H542),0)</f>
        <v>162</v>
      </c>
      <c r="I546">
        <f t="shared" ref="I546" si="1187">IFERROR(IFERROR(I544/I542+I545/I543,I544/I542),0)</f>
        <v>162</v>
      </c>
      <c r="J546">
        <f t="shared" ref="J546" si="1188">IFERROR(IFERROR(J544/J542+J545/J543,J544/J542),0)</f>
        <v>162</v>
      </c>
      <c r="K546">
        <f t="shared" ref="K546" si="1189">IFERROR(IFERROR(K544/K542+K545/K543,K544/K542),0)</f>
        <v>162</v>
      </c>
      <c r="L546">
        <f t="shared" ref="L546" si="1190">IFERROR(IFERROR(L544/L542+L545/L543,L544/L542),0)</f>
        <v>162</v>
      </c>
      <c r="M546">
        <f t="shared" ref="M546" si="1191">IFERROR(IFERROR(M544/M542+M545/M543,M544/M542),0)</f>
        <v>162</v>
      </c>
      <c r="N546">
        <f t="shared" ref="N546" si="1192">IFERROR(IFERROR(N544/N542+N545/N543,N544/N542),0)</f>
        <v>162</v>
      </c>
      <c r="O546">
        <f t="shared" ref="O546" si="1193">IFERROR(IFERROR(O544/O542+O545/O543,O544/O542),0)</f>
        <v>162</v>
      </c>
    </row>
    <row r="547" spans="1:26" x14ac:dyDescent="0.4">
      <c r="C547" t="s">
        <v>539</v>
      </c>
      <c r="D547">
        <f>IFERROR((D542/D544)*D546,1)</f>
        <v>1</v>
      </c>
      <c r="E547">
        <f t="shared" ref="E547" si="1194">IFERROR((E542/E544)*E546,1)</f>
        <v>1</v>
      </c>
      <c r="F547">
        <f t="shared" ref="F547" si="1195">IFERROR((F542/F544)*F546,1)</f>
        <v>1</v>
      </c>
      <c r="G547">
        <f t="shared" ref="G547" si="1196">IFERROR((G542/G544)*G546,1)</f>
        <v>1</v>
      </c>
      <c r="H547">
        <f t="shared" ref="H547" si="1197">IFERROR((H542/H544)*H546,1)</f>
        <v>1</v>
      </c>
      <c r="I547">
        <f t="shared" ref="I547" si="1198">IFERROR((I542/I544)*I546,1)</f>
        <v>1</v>
      </c>
      <c r="J547">
        <f t="shared" ref="J547" si="1199">IFERROR((J542/J544)*J546,1)</f>
        <v>1</v>
      </c>
      <c r="K547">
        <f t="shared" ref="K547" si="1200">IFERROR((K542/K544)*K546,1)</f>
        <v>1</v>
      </c>
      <c r="L547">
        <f t="shared" ref="L547" si="1201">IFERROR((L542/L544)*L546,1)</f>
        <v>1</v>
      </c>
      <c r="M547">
        <f t="shared" ref="M547" si="1202">IFERROR((M542/M544)*M546,1)</f>
        <v>1</v>
      </c>
      <c r="N547">
        <f t="shared" ref="N547" si="1203">IFERROR((N542/N544)*N546,1)</f>
        <v>1</v>
      </c>
      <c r="O547">
        <f t="shared" ref="O547" si="1204">IFERROR((O542/O544)*O546,1)</f>
        <v>1</v>
      </c>
    </row>
    <row r="548" spans="1:26" x14ac:dyDescent="0.4">
      <c r="C548" t="s">
        <v>540</v>
      </c>
      <c r="D548">
        <f>IFERROR((D543/D545)*D546,0)</f>
        <v>0</v>
      </c>
      <c r="E548">
        <f t="shared" ref="E548:O548" si="1205">IFERROR((E543/E545)*E546,0)</f>
        <v>0</v>
      </c>
      <c r="F548">
        <f t="shared" si="1205"/>
        <v>0</v>
      </c>
      <c r="G548">
        <f t="shared" si="1205"/>
        <v>0</v>
      </c>
      <c r="H548">
        <f t="shared" si="1205"/>
        <v>0</v>
      </c>
      <c r="I548">
        <f t="shared" si="1205"/>
        <v>0</v>
      </c>
      <c r="J548">
        <f t="shared" si="1205"/>
        <v>0</v>
      </c>
      <c r="K548">
        <f t="shared" si="1205"/>
        <v>0</v>
      </c>
      <c r="L548">
        <f t="shared" si="1205"/>
        <v>0</v>
      </c>
      <c r="M548">
        <f t="shared" si="1205"/>
        <v>0</v>
      </c>
      <c r="N548">
        <f t="shared" si="1205"/>
        <v>0</v>
      </c>
      <c r="O548">
        <f t="shared" si="1205"/>
        <v>0</v>
      </c>
    </row>
    <row r="549" spans="1:26" x14ac:dyDescent="0.4">
      <c r="C549" s="21" t="s">
        <v>534</v>
      </c>
      <c r="D549">
        <f t="shared" ref="D549:O549" si="1206">IFERROR(VLOOKUP(D538,Phys_Prop,4,FALSE),0)</f>
        <v>7</v>
      </c>
      <c r="E549">
        <f t="shared" si="1206"/>
        <v>7</v>
      </c>
      <c r="F549">
        <f t="shared" si="1206"/>
        <v>7</v>
      </c>
      <c r="G549">
        <f t="shared" si="1206"/>
        <v>7</v>
      </c>
      <c r="H549">
        <f t="shared" si="1206"/>
        <v>7</v>
      </c>
      <c r="I549">
        <f t="shared" si="1206"/>
        <v>7</v>
      </c>
      <c r="J549">
        <f t="shared" si="1206"/>
        <v>7</v>
      </c>
      <c r="K549">
        <f t="shared" si="1206"/>
        <v>7</v>
      </c>
      <c r="L549">
        <f t="shared" si="1206"/>
        <v>7</v>
      </c>
      <c r="M549">
        <f t="shared" si="1206"/>
        <v>7</v>
      </c>
      <c r="N549">
        <f t="shared" si="1206"/>
        <v>7</v>
      </c>
      <c r="O549">
        <f t="shared" si="1206"/>
        <v>7</v>
      </c>
    </row>
    <row r="550" spans="1:26" x14ac:dyDescent="0.4">
      <c r="C550" s="21" t="s">
        <v>535</v>
      </c>
      <c r="D550">
        <f t="shared" ref="D550:O550" si="1207">IFERROR(VLOOKUP(D539,Phys_Prop,4,FALSE),0)</f>
        <v>0</v>
      </c>
      <c r="E550">
        <f t="shared" si="1207"/>
        <v>0</v>
      </c>
      <c r="F550">
        <f t="shared" si="1207"/>
        <v>0</v>
      </c>
      <c r="G550">
        <f t="shared" si="1207"/>
        <v>0</v>
      </c>
      <c r="H550">
        <f t="shared" si="1207"/>
        <v>0</v>
      </c>
      <c r="I550">
        <f t="shared" si="1207"/>
        <v>0</v>
      </c>
      <c r="J550">
        <f t="shared" si="1207"/>
        <v>0</v>
      </c>
      <c r="K550">
        <f t="shared" si="1207"/>
        <v>0</v>
      </c>
      <c r="L550">
        <f t="shared" si="1207"/>
        <v>0</v>
      </c>
      <c r="M550">
        <f t="shared" si="1207"/>
        <v>0</v>
      </c>
      <c r="N550">
        <f t="shared" si="1207"/>
        <v>0</v>
      </c>
      <c r="O550">
        <f t="shared" si="1207"/>
        <v>0</v>
      </c>
    </row>
    <row r="551" spans="1:26" x14ac:dyDescent="0.4">
      <c r="A551" s="11"/>
      <c r="B551" s="11"/>
      <c r="C551" s="62" t="s">
        <v>536</v>
      </c>
      <c r="D551" s="11">
        <f>IFERROR(1/(D547/D549+D548/D550),D549)</f>
        <v>7</v>
      </c>
      <c r="E551" s="11">
        <f t="shared" ref="E551:O551" si="1208">IFERROR(1/(E547/E549+E548/E550),E549)</f>
        <v>7</v>
      </c>
      <c r="F551" s="11">
        <f t="shared" si="1208"/>
        <v>7</v>
      </c>
      <c r="G551" s="11">
        <f t="shared" si="1208"/>
        <v>7</v>
      </c>
      <c r="H551" s="11">
        <f t="shared" si="1208"/>
        <v>7</v>
      </c>
      <c r="I551" s="11">
        <f t="shared" si="1208"/>
        <v>7</v>
      </c>
      <c r="J551" s="11">
        <f t="shared" si="1208"/>
        <v>7</v>
      </c>
      <c r="K551" s="11">
        <f t="shared" si="1208"/>
        <v>7</v>
      </c>
      <c r="L551" s="11">
        <f t="shared" si="1208"/>
        <v>7</v>
      </c>
      <c r="M551" s="11">
        <f t="shared" si="1208"/>
        <v>7</v>
      </c>
      <c r="N551" s="11">
        <f t="shared" si="1208"/>
        <v>7</v>
      </c>
      <c r="O551" s="11">
        <f t="shared" si="1208"/>
        <v>7</v>
      </c>
      <c r="P551" s="11"/>
      <c r="Q551" s="11"/>
      <c r="R551" s="11"/>
      <c r="S551" s="11"/>
      <c r="T551" s="11"/>
      <c r="U551" s="11"/>
      <c r="V551" s="11"/>
      <c r="W551" s="11"/>
      <c r="X551" s="11"/>
      <c r="Y551" s="11"/>
      <c r="Z551" s="11"/>
    </row>
    <row r="552" spans="1:26" x14ac:dyDescent="0.4">
      <c r="A552" t="str" cm="1">
        <f t="array" ref="A552">INDEX(FX_Input,R552,S552)</f>
        <v>FX - 40</v>
      </c>
      <c r="B552" t="str" cm="1">
        <f t="array" ref="B552">INDEX(FX_Input,R552,T552)</f>
        <v>Portland</v>
      </c>
      <c r="C552" t="s">
        <v>528</v>
      </c>
      <c r="D552" t="str" cm="1">
        <f t="array" ref="D552">INDEX(FX_Input,$R552,$Y552*D$5+$Z552)</f>
        <v>Jet kerosene</v>
      </c>
      <c r="E552" t="str" cm="1">
        <f t="array" ref="E552">INDEX(FX_Input,$R552,$Y552*E$5+$Z552)</f>
        <v>Jet kerosene</v>
      </c>
      <c r="F552" t="str" cm="1">
        <f t="array" ref="F552">INDEX(FX_Input,$R552,$Y552*F$5+$Z552)</f>
        <v>Jet kerosene</v>
      </c>
      <c r="G552" t="str" cm="1">
        <f t="array" ref="G552">INDEX(FX_Input,$R552,$Y552*G$5+$Z552)</f>
        <v>Jet kerosene</v>
      </c>
      <c r="H552" t="str" cm="1">
        <f t="array" ref="H552">INDEX(FX_Input,$R552,$Y552*H$5+$Z552)</f>
        <v>Jet kerosene</v>
      </c>
      <c r="I552" t="str" cm="1">
        <f t="array" ref="I552">INDEX(FX_Input,$R552,$Y552*I$5+$Z552)</f>
        <v>Jet kerosene</v>
      </c>
      <c r="J552" t="str" cm="1">
        <f t="array" ref="J552">INDEX(FX_Input,$R552,$Y552*J$5+$Z552)</f>
        <v>Jet kerosene</v>
      </c>
      <c r="K552" t="str" cm="1">
        <f t="array" ref="K552">INDEX(FX_Input,$R552,$Y552*K$5+$Z552)</f>
        <v>Jet kerosene</v>
      </c>
      <c r="L552" t="str" cm="1">
        <f t="array" ref="L552">INDEX(FX_Input,$R552,$Y552*L$5+$Z552)</f>
        <v>Jet kerosene</v>
      </c>
      <c r="M552" t="str" cm="1">
        <f t="array" ref="M552">INDEX(FX_Input,$R552,$Y552*M$5+$Z552)</f>
        <v>Jet kerosene</v>
      </c>
      <c r="N552" t="str" cm="1">
        <f t="array" ref="N552">INDEX(FX_Input,$R552,$Y552*N$5+$Z552)</f>
        <v>Jet kerosene</v>
      </c>
      <c r="O552" t="str" cm="1">
        <f t="array" ref="O552">INDEX(FX_Input,$R552,$Y552*O$5+$Z552)</f>
        <v>Jet kerosene</v>
      </c>
      <c r="R552">
        <f>R538+2</f>
        <v>79</v>
      </c>
      <c r="S552">
        <v>1</v>
      </c>
      <c r="T552">
        <v>3</v>
      </c>
      <c r="U552">
        <v>17</v>
      </c>
      <c r="V552">
        <f>U552+5</f>
        <v>22</v>
      </c>
      <c r="W552">
        <v>1</v>
      </c>
      <c r="X552">
        <v>2</v>
      </c>
      <c r="Y552">
        <f t="shared" ref="Y552:Y557" si="1209">(V552-U552)/(X552-W552)</f>
        <v>5</v>
      </c>
      <c r="Z552">
        <f t="shared" ref="Z552:Z557" si="1210">U552-Y552*W552</f>
        <v>12</v>
      </c>
    </row>
    <row r="553" spans="1:26" x14ac:dyDescent="0.4">
      <c r="C553" t="s">
        <v>529</v>
      </c>
      <c r="D553" cm="1">
        <f t="array" ref="D553">INDEX(FX_Input,$R553,$Y553*D$5+$Z553)</f>
        <v>0</v>
      </c>
      <c r="E553" cm="1">
        <f t="array" ref="E553">INDEX(FX_Input,$R553,$Y553*E$5+$Z553)</f>
        <v>0</v>
      </c>
      <c r="F553" cm="1">
        <f t="array" ref="F553">INDEX(FX_Input,$R553,$Y553*F$5+$Z553)</f>
        <v>0</v>
      </c>
      <c r="G553" cm="1">
        <f t="array" ref="G553">INDEX(FX_Input,$R553,$Y553*G$5+$Z553)</f>
        <v>0</v>
      </c>
      <c r="H553" cm="1">
        <f t="array" ref="H553">INDEX(FX_Input,$R553,$Y553*H$5+$Z553)</f>
        <v>0</v>
      </c>
      <c r="I553" cm="1">
        <f t="array" ref="I553">INDEX(FX_Input,$R553,$Y553*I$5+$Z553)</f>
        <v>0</v>
      </c>
      <c r="J553" cm="1">
        <f t="array" ref="J553">INDEX(FX_Input,$R553,$Y553*J$5+$Z553)</f>
        <v>0</v>
      </c>
      <c r="K553" cm="1">
        <f t="array" ref="K553">INDEX(FX_Input,$R553,$Y553*K$5+$Z553)</f>
        <v>0</v>
      </c>
      <c r="L553" cm="1">
        <f t="array" ref="L553">INDEX(FX_Input,$R553,$Y553*L$5+$Z553)</f>
        <v>0</v>
      </c>
      <c r="M553" cm="1">
        <f t="array" ref="M553">INDEX(FX_Input,$R553,$Y553*M$5+$Z553)</f>
        <v>0</v>
      </c>
      <c r="N553" cm="1">
        <f t="array" ref="N553">INDEX(FX_Input,$R553,$Y553*N$5+$Z553)</f>
        <v>0</v>
      </c>
      <c r="O553" cm="1">
        <f t="array" ref="O553">INDEX(FX_Input,$R553,$Y553*O$5+$Z553)</f>
        <v>0</v>
      </c>
      <c r="R553">
        <f>R552+1</f>
        <v>80</v>
      </c>
      <c r="U553">
        <f>U552</f>
        <v>17</v>
      </c>
      <c r="V553">
        <f t="shared" ref="V553:V557" si="1211">U553+5</f>
        <v>22</v>
      </c>
      <c r="W553">
        <v>1</v>
      </c>
      <c r="X553">
        <v>2</v>
      </c>
      <c r="Y553">
        <f t="shared" si="1209"/>
        <v>5</v>
      </c>
      <c r="Z553">
        <f t="shared" si="1210"/>
        <v>12</v>
      </c>
    </row>
    <row r="554" spans="1:26" x14ac:dyDescent="0.4">
      <c r="C554" t="s">
        <v>530</v>
      </c>
      <c r="D554" t="str" cm="1">
        <f t="array" ref="D554">INDEX(FX_Input,$R554,$Y554*D$5+$Z554)</f>
        <v>Select Pet Stock</v>
      </c>
      <c r="E554" t="str" cm="1">
        <f t="array" ref="E554">INDEX(FX_Input,$R554,$Y554*E$5+$Z554)</f>
        <v>Select Pet Stock</v>
      </c>
      <c r="F554" t="str" cm="1">
        <f t="array" ref="F554">INDEX(FX_Input,$R554,$Y554*F$5+$Z554)</f>
        <v>Select Pet Stock</v>
      </c>
      <c r="G554" t="str" cm="1">
        <f t="array" ref="G554">INDEX(FX_Input,$R554,$Y554*G$5+$Z554)</f>
        <v>Select Pet Stock</v>
      </c>
      <c r="H554" t="str" cm="1">
        <f t="array" ref="H554">INDEX(FX_Input,$R554,$Y554*H$5+$Z554)</f>
        <v>Select Pet Stock</v>
      </c>
      <c r="I554" t="str" cm="1">
        <f t="array" ref="I554">INDEX(FX_Input,$R554,$Y554*I$5+$Z554)</f>
        <v>Select Pet Stock</v>
      </c>
      <c r="J554" t="str" cm="1">
        <f t="array" ref="J554">INDEX(FX_Input,$R554,$Y554*J$5+$Z554)</f>
        <v>Select Pet Stock</v>
      </c>
      <c r="K554" t="str" cm="1">
        <f t="array" ref="K554">INDEX(FX_Input,$R554,$Y554*K$5+$Z554)</f>
        <v>Select Pet Stock</v>
      </c>
      <c r="L554" t="str" cm="1">
        <f t="array" ref="L554">INDEX(FX_Input,$R554,$Y554*L$5+$Z554)</f>
        <v>Select Pet Stock</v>
      </c>
      <c r="M554" t="str" cm="1">
        <f t="array" ref="M554">INDEX(FX_Input,$R554,$Y554*M$5+$Z554)</f>
        <v>Select Pet Stock</v>
      </c>
      <c r="N554" t="str" cm="1">
        <f t="array" ref="N554">INDEX(FX_Input,$R554,$Y554*N$5+$Z554)</f>
        <v>Select Pet Stock</v>
      </c>
      <c r="O554" t="str" cm="1">
        <f t="array" ref="O554">INDEX(FX_Input,$R554,$Y554*O$5+$Z554)</f>
        <v>Select Pet Stock</v>
      </c>
      <c r="R554">
        <f>R552</f>
        <v>79</v>
      </c>
      <c r="U554">
        <v>18</v>
      </c>
      <c r="V554">
        <f t="shared" si="1211"/>
        <v>23</v>
      </c>
      <c r="W554">
        <v>1</v>
      </c>
      <c r="X554">
        <v>2</v>
      </c>
      <c r="Y554">
        <f t="shared" si="1209"/>
        <v>5</v>
      </c>
      <c r="Z554">
        <f t="shared" si="1210"/>
        <v>13</v>
      </c>
    </row>
    <row r="555" spans="1:26" x14ac:dyDescent="0.4">
      <c r="C555" t="s">
        <v>531</v>
      </c>
      <c r="D555" cm="1">
        <f t="array" ref="D555">INDEX(FX_Input,$R555,$Y555*D$5+$Z555)</f>
        <v>0</v>
      </c>
      <c r="E555" cm="1">
        <f t="array" ref="E555">INDEX(FX_Input,$R555,$Y555*E$5+$Z555)</f>
        <v>0</v>
      </c>
      <c r="F555" cm="1">
        <f t="array" ref="F555">INDEX(FX_Input,$R555,$Y555*F$5+$Z555)</f>
        <v>0</v>
      </c>
      <c r="G555" cm="1">
        <f t="array" ref="G555">INDEX(FX_Input,$R555,$Y555*G$5+$Z555)</f>
        <v>0</v>
      </c>
      <c r="H555" cm="1">
        <f t="array" ref="H555">INDEX(FX_Input,$R555,$Y555*H$5+$Z555)</f>
        <v>0</v>
      </c>
      <c r="I555" cm="1">
        <f t="array" ref="I555">INDEX(FX_Input,$R555,$Y555*I$5+$Z555)</f>
        <v>0</v>
      </c>
      <c r="J555" cm="1">
        <f t="array" ref="J555">INDEX(FX_Input,$R555,$Y555*J$5+$Z555)</f>
        <v>0</v>
      </c>
      <c r="K555" cm="1">
        <f t="array" ref="K555">INDEX(FX_Input,$R555,$Y555*K$5+$Z555)</f>
        <v>0</v>
      </c>
      <c r="L555" cm="1">
        <f t="array" ref="L555">INDEX(FX_Input,$R555,$Y555*L$5+$Z555)</f>
        <v>0</v>
      </c>
      <c r="M555" cm="1">
        <f t="array" ref="M555">INDEX(FX_Input,$R555,$Y555*M$5+$Z555)</f>
        <v>0</v>
      </c>
      <c r="N555" cm="1">
        <f t="array" ref="N555">INDEX(FX_Input,$R555,$Y555*N$5+$Z555)</f>
        <v>0</v>
      </c>
      <c r="O555" cm="1">
        <f t="array" ref="O555">INDEX(FX_Input,$R555,$Y555*O$5+$Z555)</f>
        <v>0</v>
      </c>
      <c r="R555">
        <f>R553</f>
        <v>80</v>
      </c>
      <c r="U555">
        <f>U554</f>
        <v>18</v>
      </c>
      <c r="V555">
        <f t="shared" si="1211"/>
        <v>23</v>
      </c>
      <c r="W555">
        <v>1</v>
      </c>
      <c r="X555">
        <v>2</v>
      </c>
      <c r="Y555">
        <f t="shared" si="1209"/>
        <v>5</v>
      </c>
      <c r="Z555">
        <f t="shared" si="1210"/>
        <v>13</v>
      </c>
    </row>
    <row r="556" spans="1:26" x14ac:dyDescent="0.4">
      <c r="C556" t="s">
        <v>546</v>
      </c>
      <c r="D556" cm="1">
        <f t="array" ref="D556">INDEX(FX_Input,$R556,$Y556*D$5+$Z556)</f>
        <v>1</v>
      </c>
      <c r="E556" cm="1">
        <f t="array" ref="E556">INDEX(FX_Input,$R556,$Y556*E$5+$Z556)</f>
        <v>1</v>
      </c>
      <c r="F556" cm="1">
        <f t="array" ref="F556">INDEX(FX_Input,$R556,$Y556*F$5+$Z556)</f>
        <v>1</v>
      </c>
      <c r="G556" cm="1">
        <f t="array" ref="G556">INDEX(FX_Input,$R556,$Y556*G$5+$Z556)</f>
        <v>1</v>
      </c>
      <c r="H556" cm="1">
        <f t="array" ref="H556">INDEX(FX_Input,$R556,$Y556*H$5+$Z556)</f>
        <v>1</v>
      </c>
      <c r="I556" cm="1">
        <f t="array" ref="I556">INDEX(FX_Input,$R556,$Y556*I$5+$Z556)</f>
        <v>1</v>
      </c>
      <c r="J556" cm="1">
        <f t="array" ref="J556">INDEX(FX_Input,$R556,$Y556*J$5+$Z556)</f>
        <v>1</v>
      </c>
      <c r="K556" cm="1">
        <f t="array" ref="K556">INDEX(FX_Input,$R556,$Y556*K$5+$Z556)</f>
        <v>1</v>
      </c>
      <c r="L556" cm="1">
        <f t="array" ref="L556">INDEX(FX_Input,$R556,$Y556*L$5+$Z556)</f>
        <v>1</v>
      </c>
      <c r="M556" cm="1">
        <f t="array" ref="M556">INDEX(FX_Input,$R556,$Y556*M$5+$Z556)</f>
        <v>1</v>
      </c>
      <c r="N556" cm="1">
        <f t="array" ref="N556">INDEX(FX_Input,$R556,$Y556*N$5+$Z556)</f>
        <v>1</v>
      </c>
      <c r="O556" cm="1">
        <f t="array" ref="O556">INDEX(FX_Input,$R556,$Y556*O$5+$Z556)</f>
        <v>1</v>
      </c>
      <c r="R556">
        <f>R554</f>
        <v>79</v>
      </c>
      <c r="U556">
        <v>21</v>
      </c>
      <c r="V556">
        <f t="shared" si="1211"/>
        <v>26</v>
      </c>
      <c r="W556">
        <v>1</v>
      </c>
      <c r="X556">
        <v>2</v>
      </c>
      <c r="Y556">
        <f t="shared" si="1209"/>
        <v>5</v>
      </c>
      <c r="Z556">
        <f t="shared" si="1210"/>
        <v>16</v>
      </c>
    </row>
    <row r="557" spans="1:26" x14ac:dyDescent="0.4">
      <c r="C557" t="s">
        <v>547</v>
      </c>
      <c r="D557" cm="1">
        <f t="array" ref="D557">INDEX(FX_Input,$R557,$Y557*D$5+$Z557)</f>
        <v>0</v>
      </c>
      <c r="E557" cm="1">
        <f t="array" ref="E557">INDEX(FX_Input,$R557,$Y557*E$5+$Z557)</f>
        <v>0</v>
      </c>
      <c r="F557" cm="1">
        <f t="array" ref="F557">INDEX(FX_Input,$R557,$Y557*F$5+$Z557)</f>
        <v>0</v>
      </c>
      <c r="G557" cm="1">
        <f t="array" ref="G557">INDEX(FX_Input,$R557,$Y557*G$5+$Z557)</f>
        <v>0</v>
      </c>
      <c r="H557" cm="1">
        <f t="array" ref="H557">INDEX(FX_Input,$R557,$Y557*H$5+$Z557)</f>
        <v>0</v>
      </c>
      <c r="I557" cm="1">
        <f t="array" ref="I557">INDEX(FX_Input,$R557,$Y557*I$5+$Z557)</f>
        <v>0</v>
      </c>
      <c r="J557" cm="1">
        <f t="array" ref="J557">INDEX(FX_Input,$R557,$Y557*J$5+$Z557)</f>
        <v>0</v>
      </c>
      <c r="K557" cm="1">
        <f t="array" ref="K557">INDEX(FX_Input,$R557,$Y557*K$5+$Z557)</f>
        <v>0</v>
      </c>
      <c r="L557" cm="1">
        <f t="array" ref="L557">INDEX(FX_Input,$R557,$Y557*L$5+$Z557)</f>
        <v>0</v>
      </c>
      <c r="M557" cm="1">
        <f t="array" ref="M557">INDEX(FX_Input,$R557,$Y557*M$5+$Z557)</f>
        <v>0</v>
      </c>
      <c r="N557" cm="1">
        <f t="array" ref="N557">INDEX(FX_Input,$R557,$Y557*N$5+$Z557)</f>
        <v>0</v>
      </c>
      <c r="O557" cm="1">
        <f t="array" ref="O557">INDEX(FX_Input,$R557,$Y557*O$5+$Z557)</f>
        <v>0</v>
      </c>
      <c r="R557">
        <f>R555</f>
        <v>80</v>
      </c>
      <c r="U557">
        <f>U556</f>
        <v>21</v>
      </c>
      <c r="V557">
        <f t="shared" si="1211"/>
        <v>26</v>
      </c>
      <c r="W557">
        <v>1</v>
      </c>
      <c r="X557">
        <v>2</v>
      </c>
      <c r="Y557">
        <f t="shared" si="1209"/>
        <v>5</v>
      </c>
      <c r="Z557">
        <f t="shared" si="1210"/>
        <v>16</v>
      </c>
    </row>
    <row r="558" spans="1:26" x14ac:dyDescent="0.4">
      <c r="C558" t="s">
        <v>532</v>
      </c>
      <c r="D558">
        <f t="shared" ref="D558:O558" si="1212">IFERROR(VLOOKUP(D552,Phys_Prop,2,FALSE),0)</f>
        <v>162</v>
      </c>
      <c r="E558">
        <f t="shared" si="1212"/>
        <v>162</v>
      </c>
      <c r="F558">
        <f t="shared" si="1212"/>
        <v>162</v>
      </c>
      <c r="G558">
        <f t="shared" si="1212"/>
        <v>162</v>
      </c>
      <c r="H558">
        <f t="shared" si="1212"/>
        <v>162</v>
      </c>
      <c r="I558">
        <f t="shared" si="1212"/>
        <v>162</v>
      </c>
      <c r="J558">
        <f t="shared" si="1212"/>
        <v>162</v>
      </c>
      <c r="K558">
        <f t="shared" si="1212"/>
        <v>162</v>
      </c>
      <c r="L558">
        <f t="shared" si="1212"/>
        <v>162</v>
      </c>
      <c r="M558">
        <f t="shared" si="1212"/>
        <v>162</v>
      </c>
      <c r="N558">
        <f t="shared" si="1212"/>
        <v>162</v>
      </c>
      <c r="O558">
        <f t="shared" si="1212"/>
        <v>162</v>
      </c>
    </row>
    <row r="559" spans="1:26" x14ac:dyDescent="0.4">
      <c r="C559" t="s">
        <v>533</v>
      </c>
      <c r="D559">
        <f t="shared" ref="D559:O559" si="1213">IFERROR(VLOOKUP(D553,Phys_Prop,2,FALSE),0)</f>
        <v>0</v>
      </c>
      <c r="E559">
        <f t="shared" si="1213"/>
        <v>0</v>
      </c>
      <c r="F559">
        <f t="shared" si="1213"/>
        <v>0</v>
      </c>
      <c r="G559">
        <f t="shared" si="1213"/>
        <v>0</v>
      </c>
      <c r="H559">
        <f t="shared" si="1213"/>
        <v>0</v>
      </c>
      <c r="I559">
        <f t="shared" si="1213"/>
        <v>0</v>
      </c>
      <c r="J559">
        <f t="shared" si="1213"/>
        <v>0</v>
      </c>
      <c r="K559">
        <f t="shared" si="1213"/>
        <v>0</v>
      </c>
      <c r="L559">
        <f t="shared" si="1213"/>
        <v>0</v>
      </c>
      <c r="M559">
        <f t="shared" si="1213"/>
        <v>0</v>
      </c>
      <c r="N559">
        <f t="shared" si="1213"/>
        <v>0</v>
      </c>
      <c r="O559">
        <f t="shared" si="1213"/>
        <v>0</v>
      </c>
    </row>
    <row r="560" spans="1:26" x14ac:dyDescent="0.4">
      <c r="C560" t="s">
        <v>544</v>
      </c>
      <c r="D560">
        <f>IFERROR(IFERROR(D558/D556+D559/D557,D558/D556),0)</f>
        <v>162</v>
      </c>
      <c r="E560">
        <f t="shared" ref="E560" si="1214">IFERROR(IFERROR(E558/E556+E559/E557,E558/E556),0)</f>
        <v>162</v>
      </c>
      <c r="F560">
        <f t="shared" ref="F560" si="1215">IFERROR(IFERROR(F558/F556+F559/F557,F558/F556),0)</f>
        <v>162</v>
      </c>
      <c r="G560">
        <f t="shared" ref="G560" si="1216">IFERROR(IFERROR(G558/G556+G559/G557,G558/G556),0)</f>
        <v>162</v>
      </c>
      <c r="H560">
        <f t="shared" ref="H560" si="1217">IFERROR(IFERROR(H558/H556+H559/H557,H558/H556),0)</f>
        <v>162</v>
      </c>
      <c r="I560">
        <f t="shared" ref="I560" si="1218">IFERROR(IFERROR(I558/I556+I559/I557,I558/I556),0)</f>
        <v>162</v>
      </c>
      <c r="J560">
        <f t="shared" ref="J560" si="1219">IFERROR(IFERROR(J558/J556+J559/J557,J558/J556),0)</f>
        <v>162</v>
      </c>
      <c r="K560">
        <f t="shared" ref="K560" si="1220">IFERROR(IFERROR(K558/K556+K559/K557,K558/K556),0)</f>
        <v>162</v>
      </c>
      <c r="L560">
        <f t="shared" ref="L560" si="1221">IFERROR(IFERROR(L558/L556+L559/L557,L558/L556),0)</f>
        <v>162</v>
      </c>
      <c r="M560">
        <f t="shared" ref="M560" si="1222">IFERROR(IFERROR(M558/M556+M559/M557,M558/M556),0)</f>
        <v>162</v>
      </c>
      <c r="N560">
        <f t="shared" ref="N560" si="1223">IFERROR(IFERROR(N558/N556+N559/N557,N558/N556),0)</f>
        <v>162</v>
      </c>
      <c r="O560">
        <f t="shared" ref="O560" si="1224">IFERROR(IFERROR(O558/O556+O559/O557,O558/O556),0)</f>
        <v>162</v>
      </c>
    </row>
    <row r="561" spans="1:26" x14ac:dyDescent="0.4">
      <c r="C561" t="s">
        <v>539</v>
      </c>
      <c r="D561">
        <f>IFERROR((D556/D558)*D560,1)</f>
        <v>1</v>
      </c>
      <c r="E561">
        <f t="shared" ref="E561" si="1225">IFERROR((E556/E558)*E560,1)</f>
        <v>1</v>
      </c>
      <c r="F561">
        <f t="shared" ref="F561" si="1226">IFERROR((F556/F558)*F560,1)</f>
        <v>1</v>
      </c>
      <c r="G561">
        <f t="shared" ref="G561" si="1227">IFERROR((G556/G558)*G560,1)</f>
        <v>1</v>
      </c>
      <c r="H561">
        <f t="shared" ref="H561" si="1228">IFERROR((H556/H558)*H560,1)</f>
        <v>1</v>
      </c>
      <c r="I561">
        <f t="shared" ref="I561" si="1229">IFERROR((I556/I558)*I560,1)</f>
        <v>1</v>
      </c>
      <c r="J561">
        <f t="shared" ref="J561" si="1230">IFERROR((J556/J558)*J560,1)</f>
        <v>1</v>
      </c>
      <c r="K561">
        <f t="shared" ref="K561" si="1231">IFERROR((K556/K558)*K560,1)</f>
        <v>1</v>
      </c>
      <c r="L561">
        <f t="shared" ref="L561" si="1232">IFERROR((L556/L558)*L560,1)</f>
        <v>1</v>
      </c>
      <c r="M561">
        <f t="shared" ref="M561" si="1233">IFERROR((M556/M558)*M560,1)</f>
        <v>1</v>
      </c>
      <c r="N561">
        <f t="shared" ref="N561" si="1234">IFERROR((N556/N558)*N560,1)</f>
        <v>1</v>
      </c>
      <c r="O561">
        <f t="shared" ref="O561" si="1235">IFERROR((O556/O558)*O560,1)</f>
        <v>1</v>
      </c>
    </row>
    <row r="562" spans="1:26" x14ac:dyDescent="0.4">
      <c r="C562" t="s">
        <v>540</v>
      </c>
      <c r="D562">
        <f>IFERROR((D557/D559)*D560,0)</f>
        <v>0</v>
      </c>
      <c r="E562">
        <f t="shared" ref="E562:O562" si="1236">IFERROR((E557/E559)*E560,0)</f>
        <v>0</v>
      </c>
      <c r="F562">
        <f t="shared" si="1236"/>
        <v>0</v>
      </c>
      <c r="G562">
        <f t="shared" si="1236"/>
        <v>0</v>
      </c>
      <c r="H562">
        <f t="shared" si="1236"/>
        <v>0</v>
      </c>
      <c r="I562">
        <f t="shared" si="1236"/>
        <v>0</v>
      </c>
      <c r="J562">
        <f t="shared" si="1236"/>
        <v>0</v>
      </c>
      <c r="K562">
        <f t="shared" si="1236"/>
        <v>0</v>
      </c>
      <c r="L562">
        <f t="shared" si="1236"/>
        <v>0</v>
      </c>
      <c r="M562">
        <f t="shared" si="1236"/>
        <v>0</v>
      </c>
      <c r="N562">
        <f t="shared" si="1236"/>
        <v>0</v>
      </c>
      <c r="O562">
        <f t="shared" si="1236"/>
        <v>0</v>
      </c>
    </row>
    <row r="563" spans="1:26" x14ac:dyDescent="0.4">
      <c r="C563" s="21" t="s">
        <v>534</v>
      </c>
      <c r="D563">
        <f t="shared" ref="D563:O563" si="1237">IFERROR(VLOOKUP(D552,Phys_Prop,4,FALSE),0)</f>
        <v>7</v>
      </c>
      <c r="E563">
        <f t="shared" si="1237"/>
        <v>7</v>
      </c>
      <c r="F563">
        <f t="shared" si="1237"/>
        <v>7</v>
      </c>
      <c r="G563">
        <f t="shared" si="1237"/>
        <v>7</v>
      </c>
      <c r="H563">
        <f t="shared" si="1237"/>
        <v>7</v>
      </c>
      <c r="I563">
        <f t="shared" si="1237"/>
        <v>7</v>
      </c>
      <c r="J563">
        <f t="shared" si="1237"/>
        <v>7</v>
      </c>
      <c r="K563">
        <f t="shared" si="1237"/>
        <v>7</v>
      </c>
      <c r="L563">
        <f t="shared" si="1237"/>
        <v>7</v>
      </c>
      <c r="M563">
        <f t="shared" si="1237"/>
        <v>7</v>
      </c>
      <c r="N563">
        <f t="shared" si="1237"/>
        <v>7</v>
      </c>
      <c r="O563">
        <f t="shared" si="1237"/>
        <v>7</v>
      </c>
    </row>
    <row r="564" spans="1:26" x14ac:dyDescent="0.4">
      <c r="C564" s="21" t="s">
        <v>535</v>
      </c>
      <c r="D564">
        <f t="shared" ref="D564:O564" si="1238">IFERROR(VLOOKUP(D553,Phys_Prop,4,FALSE),0)</f>
        <v>0</v>
      </c>
      <c r="E564">
        <f t="shared" si="1238"/>
        <v>0</v>
      </c>
      <c r="F564">
        <f t="shared" si="1238"/>
        <v>0</v>
      </c>
      <c r="G564">
        <f t="shared" si="1238"/>
        <v>0</v>
      </c>
      <c r="H564">
        <f t="shared" si="1238"/>
        <v>0</v>
      </c>
      <c r="I564">
        <f t="shared" si="1238"/>
        <v>0</v>
      </c>
      <c r="J564">
        <f t="shared" si="1238"/>
        <v>0</v>
      </c>
      <c r="K564">
        <f t="shared" si="1238"/>
        <v>0</v>
      </c>
      <c r="L564">
        <f t="shared" si="1238"/>
        <v>0</v>
      </c>
      <c r="M564">
        <f t="shared" si="1238"/>
        <v>0</v>
      </c>
      <c r="N564">
        <f t="shared" si="1238"/>
        <v>0</v>
      </c>
      <c r="O564">
        <f t="shared" si="1238"/>
        <v>0</v>
      </c>
    </row>
    <row r="565" spans="1:26" x14ac:dyDescent="0.4">
      <c r="A565" s="11"/>
      <c r="B565" s="11"/>
      <c r="C565" s="62" t="s">
        <v>536</v>
      </c>
      <c r="D565" s="11">
        <f>IFERROR(1/(D561/D563+D562/D564),D563)</f>
        <v>7</v>
      </c>
      <c r="E565" s="11">
        <f t="shared" ref="E565:O565" si="1239">IFERROR(1/(E561/E563+E562/E564),E563)</f>
        <v>7</v>
      </c>
      <c r="F565" s="11">
        <f t="shared" si="1239"/>
        <v>7</v>
      </c>
      <c r="G565" s="11">
        <f t="shared" si="1239"/>
        <v>7</v>
      </c>
      <c r="H565" s="11">
        <f t="shared" si="1239"/>
        <v>7</v>
      </c>
      <c r="I565" s="11">
        <f t="shared" si="1239"/>
        <v>7</v>
      </c>
      <c r="J565" s="11">
        <f t="shared" si="1239"/>
        <v>7</v>
      </c>
      <c r="K565" s="11">
        <f t="shared" si="1239"/>
        <v>7</v>
      </c>
      <c r="L565" s="11">
        <f t="shared" si="1239"/>
        <v>7</v>
      </c>
      <c r="M565" s="11">
        <f t="shared" si="1239"/>
        <v>7</v>
      </c>
      <c r="N565" s="11">
        <f t="shared" si="1239"/>
        <v>7</v>
      </c>
      <c r="O565" s="11">
        <f t="shared" si="1239"/>
        <v>7</v>
      </c>
      <c r="P565" s="11"/>
      <c r="Q565" s="11"/>
      <c r="R565" s="11"/>
      <c r="S565" s="11"/>
      <c r="T565" s="11"/>
      <c r="U565" s="11"/>
      <c r="V565" s="11"/>
      <c r="W565" s="11"/>
      <c r="X565" s="11"/>
      <c r="Y565" s="11"/>
      <c r="Z565" s="11"/>
    </row>
    <row r="566" spans="1:26" x14ac:dyDescent="0.4">
      <c r="A566" t="str" cm="1">
        <f t="array" ref="A566">INDEX(FX_Input,R566,S566)</f>
        <v>FX - 41</v>
      </c>
      <c r="B566" t="str" cm="1">
        <f t="array" ref="B566">INDEX(FX_Input,R566,T566)</f>
        <v>Portland</v>
      </c>
      <c r="C566" t="s">
        <v>528</v>
      </c>
      <c r="D566" t="str" cm="1">
        <f t="array" ref="D566">INDEX(FX_Input,$R566,$Y566*D$5+$Z566)</f>
        <v>Jet kerosene</v>
      </c>
      <c r="E566" t="str" cm="1">
        <f t="array" ref="E566">INDEX(FX_Input,$R566,$Y566*E$5+$Z566)</f>
        <v>Jet kerosene</v>
      </c>
      <c r="F566" t="str" cm="1">
        <f t="array" ref="F566">INDEX(FX_Input,$R566,$Y566*F$5+$Z566)</f>
        <v>Jet kerosene</v>
      </c>
      <c r="G566" t="str" cm="1">
        <f t="array" ref="G566">INDEX(FX_Input,$R566,$Y566*G$5+$Z566)</f>
        <v>Jet kerosene</v>
      </c>
      <c r="H566" t="str" cm="1">
        <f t="array" ref="H566">INDEX(FX_Input,$R566,$Y566*H$5+$Z566)</f>
        <v>Jet kerosene</v>
      </c>
      <c r="I566" t="str" cm="1">
        <f t="array" ref="I566">INDEX(FX_Input,$R566,$Y566*I$5+$Z566)</f>
        <v>Jet kerosene</v>
      </c>
      <c r="J566" t="str" cm="1">
        <f t="array" ref="J566">INDEX(FX_Input,$R566,$Y566*J$5+$Z566)</f>
        <v>Jet kerosene</v>
      </c>
      <c r="K566" t="str" cm="1">
        <f t="array" ref="K566">INDEX(FX_Input,$R566,$Y566*K$5+$Z566)</f>
        <v>Jet kerosene</v>
      </c>
      <c r="L566" t="str" cm="1">
        <f t="array" ref="L566">INDEX(FX_Input,$R566,$Y566*L$5+$Z566)</f>
        <v>Jet kerosene</v>
      </c>
      <c r="M566" t="str" cm="1">
        <f t="array" ref="M566">INDEX(FX_Input,$R566,$Y566*M$5+$Z566)</f>
        <v>Jet kerosene</v>
      </c>
      <c r="N566" t="str" cm="1">
        <f t="array" ref="N566">INDEX(FX_Input,$R566,$Y566*N$5+$Z566)</f>
        <v>Jet kerosene</v>
      </c>
      <c r="O566" t="str" cm="1">
        <f t="array" ref="O566">INDEX(FX_Input,$R566,$Y566*O$5+$Z566)</f>
        <v>Jet kerosene</v>
      </c>
      <c r="R566">
        <f>R552+2</f>
        <v>81</v>
      </c>
      <c r="S566">
        <v>1</v>
      </c>
      <c r="T566">
        <v>3</v>
      </c>
      <c r="U566">
        <v>17</v>
      </c>
      <c r="V566">
        <f>U566+5</f>
        <v>22</v>
      </c>
      <c r="W566">
        <v>1</v>
      </c>
      <c r="X566">
        <v>2</v>
      </c>
      <c r="Y566">
        <f t="shared" ref="Y566:Y571" si="1240">(V566-U566)/(X566-W566)</f>
        <v>5</v>
      </c>
      <c r="Z566">
        <f t="shared" ref="Z566:Z571" si="1241">U566-Y566*W566</f>
        <v>12</v>
      </c>
    </row>
    <row r="567" spans="1:26" x14ac:dyDescent="0.4">
      <c r="C567" t="s">
        <v>529</v>
      </c>
      <c r="D567" cm="1">
        <f t="array" ref="D567">INDEX(FX_Input,$R567,$Y567*D$5+$Z567)</f>
        <v>0</v>
      </c>
      <c r="E567" cm="1">
        <f t="array" ref="E567">INDEX(FX_Input,$R567,$Y567*E$5+$Z567)</f>
        <v>0</v>
      </c>
      <c r="F567" cm="1">
        <f t="array" ref="F567">INDEX(FX_Input,$R567,$Y567*F$5+$Z567)</f>
        <v>0</v>
      </c>
      <c r="G567" cm="1">
        <f t="array" ref="G567">INDEX(FX_Input,$R567,$Y567*G$5+$Z567)</f>
        <v>0</v>
      </c>
      <c r="H567" cm="1">
        <f t="array" ref="H567">INDEX(FX_Input,$R567,$Y567*H$5+$Z567)</f>
        <v>0</v>
      </c>
      <c r="I567" cm="1">
        <f t="array" ref="I567">INDEX(FX_Input,$R567,$Y567*I$5+$Z567)</f>
        <v>0</v>
      </c>
      <c r="J567" cm="1">
        <f t="array" ref="J567">INDEX(FX_Input,$R567,$Y567*J$5+$Z567)</f>
        <v>0</v>
      </c>
      <c r="K567" cm="1">
        <f t="array" ref="K567">INDEX(FX_Input,$R567,$Y567*K$5+$Z567)</f>
        <v>0</v>
      </c>
      <c r="L567" cm="1">
        <f t="array" ref="L567">INDEX(FX_Input,$R567,$Y567*L$5+$Z567)</f>
        <v>0</v>
      </c>
      <c r="M567" cm="1">
        <f t="array" ref="M567">INDEX(FX_Input,$R567,$Y567*M$5+$Z567)</f>
        <v>0</v>
      </c>
      <c r="N567" cm="1">
        <f t="array" ref="N567">INDEX(FX_Input,$R567,$Y567*N$5+$Z567)</f>
        <v>0</v>
      </c>
      <c r="O567" cm="1">
        <f t="array" ref="O567">INDEX(FX_Input,$R567,$Y567*O$5+$Z567)</f>
        <v>0</v>
      </c>
      <c r="R567">
        <f>R566+1</f>
        <v>82</v>
      </c>
      <c r="U567">
        <f>U566</f>
        <v>17</v>
      </c>
      <c r="V567">
        <f t="shared" ref="V567:V571" si="1242">U567+5</f>
        <v>22</v>
      </c>
      <c r="W567">
        <v>1</v>
      </c>
      <c r="X567">
        <v>2</v>
      </c>
      <c r="Y567">
        <f t="shared" si="1240"/>
        <v>5</v>
      </c>
      <c r="Z567">
        <f t="shared" si="1241"/>
        <v>12</v>
      </c>
    </row>
    <row r="568" spans="1:26" x14ac:dyDescent="0.4">
      <c r="C568" t="s">
        <v>530</v>
      </c>
      <c r="D568" t="str" cm="1">
        <f t="array" ref="D568">INDEX(FX_Input,$R568,$Y568*D$5+$Z568)</f>
        <v>Select Pet Stock</v>
      </c>
      <c r="E568" t="str" cm="1">
        <f t="array" ref="E568">INDEX(FX_Input,$R568,$Y568*E$5+$Z568)</f>
        <v>Select Pet Stock</v>
      </c>
      <c r="F568" t="str" cm="1">
        <f t="array" ref="F568">INDEX(FX_Input,$R568,$Y568*F$5+$Z568)</f>
        <v>Select Pet Stock</v>
      </c>
      <c r="G568" t="str" cm="1">
        <f t="array" ref="G568">INDEX(FX_Input,$R568,$Y568*G$5+$Z568)</f>
        <v>Select Pet Stock</v>
      </c>
      <c r="H568" t="str" cm="1">
        <f t="array" ref="H568">INDEX(FX_Input,$R568,$Y568*H$5+$Z568)</f>
        <v>Select Pet Stock</v>
      </c>
      <c r="I568" t="str" cm="1">
        <f t="array" ref="I568">INDEX(FX_Input,$R568,$Y568*I$5+$Z568)</f>
        <v>Select Pet Stock</v>
      </c>
      <c r="J568" t="str" cm="1">
        <f t="array" ref="J568">INDEX(FX_Input,$R568,$Y568*J$5+$Z568)</f>
        <v>Select Pet Stock</v>
      </c>
      <c r="K568" t="str" cm="1">
        <f t="array" ref="K568">INDEX(FX_Input,$R568,$Y568*K$5+$Z568)</f>
        <v>Select Pet Stock</v>
      </c>
      <c r="L568" t="str" cm="1">
        <f t="array" ref="L568">INDEX(FX_Input,$R568,$Y568*L$5+$Z568)</f>
        <v>Select Pet Stock</v>
      </c>
      <c r="M568" t="str" cm="1">
        <f t="array" ref="M568">INDEX(FX_Input,$R568,$Y568*M$5+$Z568)</f>
        <v>Select Pet Stock</v>
      </c>
      <c r="N568" t="str" cm="1">
        <f t="array" ref="N568">INDEX(FX_Input,$R568,$Y568*N$5+$Z568)</f>
        <v>Select Pet Stock</v>
      </c>
      <c r="O568" t="str" cm="1">
        <f t="array" ref="O568">INDEX(FX_Input,$R568,$Y568*O$5+$Z568)</f>
        <v>Select Pet Stock</v>
      </c>
      <c r="R568">
        <f>R566</f>
        <v>81</v>
      </c>
      <c r="U568">
        <v>18</v>
      </c>
      <c r="V568">
        <f t="shared" si="1242"/>
        <v>23</v>
      </c>
      <c r="W568">
        <v>1</v>
      </c>
      <c r="X568">
        <v>2</v>
      </c>
      <c r="Y568">
        <f t="shared" si="1240"/>
        <v>5</v>
      </c>
      <c r="Z568">
        <f t="shared" si="1241"/>
        <v>13</v>
      </c>
    </row>
    <row r="569" spans="1:26" x14ac:dyDescent="0.4">
      <c r="C569" t="s">
        <v>531</v>
      </c>
      <c r="D569" cm="1">
        <f t="array" ref="D569">INDEX(FX_Input,$R569,$Y569*D$5+$Z569)</f>
        <v>0</v>
      </c>
      <c r="E569" cm="1">
        <f t="array" ref="E569">INDEX(FX_Input,$R569,$Y569*E$5+$Z569)</f>
        <v>0</v>
      </c>
      <c r="F569" cm="1">
        <f t="array" ref="F569">INDEX(FX_Input,$R569,$Y569*F$5+$Z569)</f>
        <v>0</v>
      </c>
      <c r="G569" cm="1">
        <f t="array" ref="G569">INDEX(FX_Input,$R569,$Y569*G$5+$Z569)</f>
        <v>0</v>
      </c>
      <c r="H569" cm="1">
        <f t="array" ref="H569">INDEX(FX_Input,$R569,$Y569*H$5+$Z569)</f>
        <v>0</v>
      </c>
      <c r="I569" cm="1">
        <f t="array" ref="I569">INDEX(FX_Input,$R569,$Y569*I$5+$Z569)</f>
        <v>0</v>
      </c>
      <c r="J569" cm="1">
        <f t="array" ref="J569">INDEX(FX_Input,$R569,$Y569*J$5+$Z569)</f>
        <v>0</v>
      </c>
      <c r="K569" cm="1">
        <f t="array" ref="K569">INDEX(FX_Input,$R569,$Y569*K$5+$Z569)</f>
        <v>0</v>
      </c>
      <c r="L569" cm="1">
        <f t="array" ref="L569">INDEX(FX_Input,$R569,$Y569*L$5+$Z569)</f>
        <v>0</v>
      </c>
      <c r="M569" cm="1">
        <f t="array" ref="M569">INDEX(FX_Input,$R569,$Y569*M$5+$Z569)</f>
        <v>0</v>
      </c>
      <c r="N569" cm="1">
        <f t="array" ref="N569">INDEX(FX_Input,$R569,$Y569*N$5+$Z569)</f>
        <v>0</v>
      </c>
      <c r="O569" cm="1">
        <f t="array" ref="O569">INDEX(FX_Input,$R569,$Y569*O$5+$Z569)</f>
        <v>0</v>
      </c>
      <c r="R569">
        <f>R567</f>
        <v>82</v>
      </c>
      <c r="U569">
        <f>U568</f>
        <v>18</v>
      </c>
      <c r="V569">
        <f t="shared" si="1242"/>
        <v>23</v>
      </c>
      <c r="W569">
        <v>1</v>
      </c>
      <c r="X569">
        <v>2</v>
      </c>
      <c r="Y569">
        <f t="shared" si="1240"/>
        <v>5</v>
      </c>
      <c r="Z569">
        <f t="shared" si="1241"/>
        <v>13</v>
      </c>
    </row>
    <row r="570" spans="1:26" x14ac:dyDescent="0.4">
      <c r="C570" t="s">
        <v>546</v>
      </c>
      <c r="D570" cm="1">
        <f t="array" ref="D570">INDEX(FX_Input,$R570,$Y570*D$5+$Z570)</f>
        <v>1</v>
      </c>
      <c r="E570" cm="1">
        <f t="array" ref="E570">INDEX(FX_Input,$R570,$Y570*E$5+$Z570)</f>
        <v>1</v>
      </c>
      <c r="F570" cm="1">
        <f t="array" ref="F570">INDEX(FX_Input,$R570,$Y570*F$5+$Z570)</f>
        <v>1</v>
      </c>
      <c r="G570" cm="1">
        <f t="array" ref="G570">INDEX(FX_Input,$R570,$Y570*G$5+$Z570)</f>
        <v>1</v>
      </c>
      <c r="H570" cm="1">
        <f t="array" ref="H570">INDEX(FX_Input,$R570,$Y570*H$5+$Z570)</f>
        <v>1</v>
      </c>
      <c r="I570" cm="1">
        <f t="array" ref="I570">INDEX(FX_Input,$R570,$Y570*I$5+$Z570)</f>
        <v>1</v>
      </c>
      <c r="J570" cm="1">
        <f t="array" ref="J570">INDEX(FX_Input,$R570,$Y570*J$5+$Z570)</f>
        <v>1</v>
      </c>
      <c r="K570" cm="1">
        <f t="array" ref="K570">INDEX(FX_Input,$R570,$Y570*K$5+$Z570)</f>
        <v>1</v>
      </c>
      <c r="L570" cm="1">
        <f t="array" ref="L570">INDEX(FX_Input,$R570,$Y570*L$5+$Z570)</f>
        <v>1</v>
      </c>
      <c r="M570" cm="1">
        <f t="array" ref="M570">INDEX(FX_Input,$R570,$Y570*M$5+$Z570)</f>
        <v>1</v>
      </c>
      <c r="N570" cm="1">
        <f t="array" ref="N570">INDEX(FX_Input,$R570,$Y570*N$5+$Z570)</f>
        <v>1</v>
      </c>
      <c r="O570" cm="1">
        <f t="array" ref="O570">INDEX(FX_Input,$R570,$Y570*O$5+$Z570)</f>
        <v>1</v>
      </c>
      <c r="R570">
        <f>R568</f>
        <v>81</v>
      </c>
      <c r="U570">
        <v>21</v>
      </c>
      <c r="V570">
        <f t="shared" si="1242"/>
        <v>26</v>
      </c>
      <c r="W570">
        <v>1</v>
      </c>
      <c r="X570">
        <v>2</v>
      </c>
      <c r="Y570">
        <f t="shared" si="1240"/>
        <v>5</v>
      </c>
      <c r="Z570">
        <f t="shared" si="1241"/>
        <v>16</v>
      </c>
    </row>
    <row r="571" spans="1:26" x14ac:dyDescent="0.4">
      <c r="C571" t="s">
        <v>547</v>
      </c>
      <c r="D571" cm="1">
        <f t="array" ref="D571">INDEX(FX_Input,$R571,$Y571*D$5+$Z571)</f>
        <v>0</v>
      </c>
      <c r="E571" cm="1">
        <f t="array" ref="E571">INDEX(FX_Input,$R571,$Y571*E$5+$Z571)</f>
        <v>0</v>
      </c>
      <c r="F571" cm="1">
        <f t="array" ref="F571">INDEX(FX_Input,$R571,$Y571*F$5+$Z571)</f>
        <v>0</v>
      </c>
      <c r="G571" cm="1">
        <f t="array" ref="G571">INDEX(FX_Input,$R571,$Y571*G$5+$Z571)</f>
        <v>0</v>
      </c>
      <c r="H571" cm="1">
        <f t="array" ref="H571">INDEX(FX_Input,$R571,$Y571*H$5+$Z571)</f>
        <v>0</v>
      </c>
      <c r="I571" cm="1">
        <f t="array" ref="I571">INDEX(FX_Input,$R571,$Y571*I$5+$Z571)</f>
        <v>0</v>
      </c>
      <c r="J571" cm="1">
        <f t="array" ref="J571">INDEX(FX_Input,$R571,$Y571*J$5+$Z571)</f>
        <v>0</v>
      </c>
      <c r="K571" cm="1">
        <f t="array" ref="K571">INDEX(FX_Input,$R571,$Y571*K$5+$Z571)</f>
        <v>0</v>
      </c>
      <c r="L571" cm="1">
        <f t="array" ref="L571">INDEX(FX_Input,$R571,$Y571*L$5+$Z571)</f>
        <v>0</v>
      </c>
      <c r="M571" cm="1">
        <f t="array" ref="M571">INDEX(FX_Input,$R571,$Y571*M$5+$Z571)</f>
        <v>0</v>
      </c>
      <c r="N571" cm="1">
        <f t="array" ref="N571">INDEX(FX_Input,$R571,$Y571*N$5+$Z571)</f>
        <v>0</v>
      </c>
      <c r="O571" cm="1">
        <f t="array" ref="O571">INDEX(FX_Input,$R571,$Y571*O$5+$Z571)</f>
        <v>0</v>
      </c>
      <c r="R571">
        <f>R569</f>
        <v>82</v>
      </c>
      <c r="U571">
        <f>U570</f>
        <v>21</v>
      </c>
      <c r="V571">
        <f t="shared" si="1242"/>
        <v>26</v>
      </c>
      <c r="W571">
        <v>1</v>
      </c>
      <c r="X571">
        <v>2</v>
      </c>
      <c r="Y571">
        <f t="shared" si="1240"/>
        <v>5</v>
      </c>
      <c r="Z571">
        <f t="shared" si="1241"/>
        <v>16</v>
      </c>
    </row>
    <row r="572" spans="1:26" x14ac:dyDescent="0.4">
      <c r="C572" t="s">
        <v>532</v>
      </c>
      <c r="D572">
        <f t="shared" ref="D572:O572" si="1243">IFERROR(VLOOKUP(D566,Phys_Prop,2,FALSE),0)</f>
        <v>162</v>
      </c>
      <c r="E572">
        <f t="shared" si="1243"/>
        <v>162</v>
      </c>
      <c r="F572">
        <f t="shared" si="1243"/>
        <v>162</v>
      </c>
      <c r="G572">
        <f t="shared" si="1243"/>
        <v>162</v>
      </c>
      <c r="H572">
        <f t="shared" si="1243"/>
        <v>162</v>
      </c>
      <c r="I572">
        <f t="shared" si="1243"/>
        <v>162</v>
      </c>
      <c r="J572">
        <f t="shared" si="1243"/>
        <v>162</v>
      </c>
      <c r="K572">
        <f t="shared" si="1243"/>
        <v>162</v>
      </c>
      <c r="L572">
        <f t="shared" si="1243"/>
        <v>162</v>
      </c>
      <c r="M572">
        <f t="shared" si="1243"/>
        <v>162</v>
      </c>
      <c r="N572">
        <f t="shared" si="1243"/>
        <v>162</v>
      </c>
      <c r="O572">
        <f t="shared" si="1243"/>
        <v>162</v>
      </c>
    </row>
    <row r="573" spans="1:26" x14ac:dyDescent="0.4">
      <c r="C573" t="s">
        <v>533</v>
      </c>
      <c r="D573">
        <f t="shared" ref="D573:O573" si="1244">IFERROR(VLOOKUP(D567,Phys_Prop,2,FALSE),0)</f>
        <v>0</v>
      </c>
      <c r="E573">
        <f t="shared" si="1244"/>
        <v>0</v>
      </c>
      <c r="F573">
        <f t="shared" si="1244"/>
        <v>0</v>
      </c>
      <c r="G573">
        <f t="shared" si="1244"/>
        <v>0</v>
      </c>
      <c r="H573">
        <f t="shared" si="1244"/>
        <v>0</v>
      </c>
      <c r="I573">
        <f t="shared" si="1244"/>
        <v>0</v>
      </c>
      <c r="J573">
        <f t="shared" si="1244"/>
        <v>0</v>
      </c>
      <c r="K573">
        <f t="shared" si="1244"/>
        <v>0</v>
      </c>
      <c r="L573">
        <f t="shared" si="1244"/>
        <v>0</v>
      </c>
      <c r="M573">
        <f t="shared" si="1244"/>
        <v>0</v>
      </c>
      <c r="N573">
        <f t="shared" si="1244"/>
        <v>0</v>
      </c>
      <c r="O573">
        <f t="shared" si="1244"/>
        <v>0</v>
      </c>
    </row>
    <row r="574" spans="1:26" x14ac:dyDescent="0.4">
      <c r="C574" t="s">
        <v>544</v>
      </c>
      <c r="D574">
        <f>IFERROR(IFERROR(D572/D570+D573/D571,D572/D570),0)</f>
        <v>162</v>
      </c>
      <c r="E574">
        <f t="shared" ref="E574" si="1245">IFERROR(IFERROR(E572/E570+E573/E571,E572/E570),0)</f>
        <v>162</v>
      </c>
      <c r="F574">
        <f t="shared" ref="F574" si="1246">IFERROR(IFERROR(F572/F570+F573/F571,F572/F570),0)</f>
        <v>162</v>
      </c>
      <c r="G574">
        <f t="shared" ref="G574" si="1247">IFERROR(IFERROR(G572/G570+G573/G571,G572/G570),0)</f>
        <v>162</v>
      </c>
      <c r="H574">
        <f t="shared" ref="H574" si="1248">IFERROR(IFERROR(H572/H570+H573/H571,H572/H570),0)</f>
        <v>162</v>
      </c>
      <c r="I574">
        <f t="shared" ref="I574" si="1249">IFERROR(IFERROR(I572/I570+I573/I571,I572/I570),0)</f>
        <v>162</v>
      </c>
      <c r="J574">
        <f t="shared" ref="J574" si="1250">IFERROR(IFERROR(J572/J570+J573/J571,J572/J570),0)</f>
        <v>162</v>
      </c>
      <c r="K574">
        <f t="shared" ref="K574" si="1251">IFERROR(IFERROR(K572/K570+K573/K571,K572/K570),0)</f>
        <v>162</v>
      </c>
      <c r="L574">
        <f t="shared" ref="L574" si="1252">IFERROR(IFERROR(L572/L570+L573/L571,L572/L570),0)</f>
        <v>162</v>
      </c>
      <c r="M574">
        <f t="shared" ref="M574" si="1253">IFERROR(IFERROR(M572/M570+M573/M571,M572/M570),0)</f>
        <v>162</v>
      </c>
      <c r="N574">
        <f t="shared" ref="N574" si="1254">IFERROR(IFERROR(N572/N570+N573/N571,N572/N570),0)</f>
        <v>162</v>
      </c>
      <c r="O574">
        <f t="shared" ref="O574" si="1255">IFERROR(IFERROR(O572/O570+O573/O571,O572/O570),0)</f>
        <v>162</v>
      </c>
    </row>
    <row r="575" spans="1:26" x14ac:dyDescent="0.4">
      <c r="C575" t="s">
        <v>539</v>
      </c>
      <c r="D575">
        <f>IFERROR((D570/D572)*D574,1)</f>
        <v>1</v>
      </c>
      <c r="E575">
        <f t="shared" ref="E575" si="1256">IFERROR((E570/E572)*E574,1)</f>
        <v>1</v>
      </c>
      <c r="F575">
        <f t="shared" ref="F575" si="1257">IFERROR((F570/F572)*F574,1)</f>
        <v>1</v>
      </c>
      <c r="G575">
        <f t="shared" ref="G575" si="1258">IFERROR((G570/G572)*G574,1)</f>
        <v>1</v>
      </c>
      <c r="H575">
        <f t="shared" ref="H575" si="1259">IFERROR((H570/H572)*H574,1)</f>
        <v>1</v>
      </c>
      <c r="I575">
        <f t="shared" ref="I575" si="1260">IFERROR((I570/I572)*I574,1)</f>
        <v>1</v>
      </c>
      <c r="J575">
        <f t="shared" ref="J575" si="1261">IFERROR((J570/J572)*J574,1)</f>
        <v>1</v>
      </c>
      <c r="K575">
        <f t="shared" ref="K575" si="1262">IFERROR((K570/K572)*K574,1)</f>
        <v>1</v>
      </c>
      <c r="L575">
        <f t="shared" ref="L575" si="1263">IFERROR((L570/L572)*L574,1)</f>
        <v>1</v>
      </c>
      <c r="M575">
        <f t="shared" ref="M575" si="1264">IFERROR((M570/M572)*M574,1)</f>
        <v>1</v>
      </c>
      <c r="N575">
        <f t="shared" ref="N575" si="1265">IFERROR((N570/N572)*N574,1)</f>
        <v>1</v>
      </c>
      <c r="O575">
        <f t="shared" ref="O575" si="1266">IFERROR((O570/O572)*O574,1)</f>
        <v>1</v>
      </c>
    </row>
    <row r="576" spans="1:26" x14ac:dyDescent="0.4">
      <c r="C576" t="s">
        <v>540</v>
      </c>
      <c r="D576">
        <f>IFERROR((D571/D573)*D574,0)</f>
        <v>0</v>
      </c>
      <c r="E576">
        <f t="shared" ref="E576:O576" si="1267">IFERROR((E571/E573)*E574,0)</f>
        <v>0</v>
      </c>
      <c r="F576">
        <f t="shared" si="1267"/>
        <v>0</v>
      </c>
      <c r="G576">
        <f t="shared" si="1267"/>
        <v>0</v>
      </c>
      <c r="H576">
        <f t="shared" si="1267"/>
        <v>0</v>
      </c>
      <c r="I576">
        <f t="shared" si="1267"/>
        <v>0</v>
      </c>
      <c r="J576">
        <f t="shared" si="1267"/>
        <v>0</v>
      </c>
      <c r="K576">
        <f t="shared" si="1267"/>
        <v>0</v>
      </c>
      <c r="L576">
        <f t="shared" si="1267"/>
        <v>0</v>
      </c>
      <c r="M576">
        <f t="shared" si="1267"/>
        <v>0</v>
      </c>
      <c r="N576">
        <f t="shared" si="1267"/>
        <v>0</v>
      </c>
      <c r="O576">
        <f t="shared" si="1267"/>
        <v>0</v>
      </c>
    </row>
    <row r="577" spans="1:26" x14ac:dyDescent="0.4">
      <c r="C577" s="21" t="s">
        <v>534</v>
      </c>
      <c r="D577">
        <f t="shared" ref="D577:O577" si="1268">IFERROR(VLOOKUP(D566,Phys_Prop,4,FALSE),0)</f>
        <v>7</v>
      </c>
      <c r="E577">
        <f t="shared" si="1268"/>
        <v>7</v>
      </c>
      <c r="F577">
        <f t="shared" si="1268"/>
        <v>7</v>
      </c>
      <c r="G577">
        <f t="shared" si="1268"/>
        <v>7</v>
      </c>
      <c r="H577">
        <f t="shared" si="1268"/>
        <v>7</v>
      </c>
      <c r="I577">
        <f t="shared" si="1268"/>
        <v>7</v>
      </c>
      <c r="J577">
        <f t="shared" si="1268"/>
        <v>7</v>
      </c>
      <c r="K577">
        <f t="shared" si="1268"/>
        <v>7</v>
      </c>
      <c r="L577">
        <f t="shared" si="1268"/>
        <v>7</v>
      </c>
      <c r="M577">
        <f t="shared" si="1268"/>
        <v>7</v>
      </c>
      <c r="N577">
        <f t="shared" si="1268"/>
        <v>7</v>
      </c>
      <c r="O577">
        <f t="shared" si="1268"/>
        <v>7</v>
      </c>
    </row>
    <row r="578" spans="1:26" x14ac:dyDescent="0.4">
      <c r="C578" s="21" t="s">
        <v>535</v>
      </c>
      <c r="D578">
        <f t="shared" ref="D578:O578" si="1269">IFERROR(VLOOKUP(D567,Phys_Prop,4,FALSE),0)</f>
        <v>0</v>
      </c>
      <c r="E578">
        <f t="shared" si="1269"/>
        <v>0</v>
      </c>
      <c r="F578">
        <f t="shared" si="1269"/>
        <v>0</v>
      </c>
      <c r="G578">
        <f t="shared" si="1269"/>
        <v>0</v>
      </c>
      <c r="H578">
        <f t="shared" si="1269"/>
        <v>0</v>
      </c>
      <c r="I578">
        <f t="shared" si="1269"/>
        <v>0</v>
      </c>
      <c r="J578">
        <f t="shared" si="1269"/>
        <v>0</v>
      </c>
      <c r="K578">
        <f t="shared" si="1269"/>
        <v>0</v>
      </c>
      <c r="L578">
        <f t="shared" si="1269"/>
        <v>0</v>
      </c>
      <c r="M578">
        <f t="shared" si="1269"/>
        <v>0</v>
      </c>
      <c r="N578">
        <f t="shared" si="1269"/>
        <v>0</v>
      </c>
      <c r="O578">
        <f t="shared" si="1269"/>
        <v>0</v>
      </c>
    </row>
    <row r="579" spans="1:26" x14ac:dyDescent="0.4">
      <c r="A579" s="11"/>
      <c r="B579" s="11"/>
      <c r="C579" s="62" t="s">
        <v>536</v>
      </c>
      <c r="D579" s="11">
        <f>IFERROR(1/(D575/D577+D576/D578),D577)</f>
        <v>7</v>
      </c>
      <c r="E579" s="11">
        <f t="shared" ref="E579:O579" si="1270">IFERROR(1/(E575/E577+E576/E578),E577)</f>
        <v>7</v>
      </c>
      <c r="F579" s="11">
        <f t="shared" si="1270"/>
        <v>7</v>
      </c>
      <c r="G579" s="11">
        <f t="shared" si="1270"/>
        <v>7</v>
      </c>
      <c r="H579" s="11">
        <f t="shared" si="1270"/>
        <v>7</v>
      </c>
      <c r="I579" s="11">
        <f t="shared" si="1270"/>
        <v>7</v>
      </c>
      <c r="J579" s="11">
        <f t="shared" si="1270"/>
        <v>7</v>
      </c>
      <c r="K579" s="11">
        <f t="shared" si="1270"/>
        <v>7</v>
      </c>
      <c r="L579" s="11">
        <f t="shared" si="1270"/>
        <v>7</v>
      </c>
      <c r="M579" s="11">
        <f t="shared" si="1270"/>
        <v>7</v>
      </c>
      <c r="N579" s="11">
        <f t="shared" si="1270"/>
        <v>7</v>
      </c>
      <c r="O579" s="11">
        <f t="shared" si="1270"/>
        <v>7</v>
      </c>
      <c r="P579" s="11"/>
      <c r="Q579" s="11"/>
      <c r="R579" s="11"/>
      <c r="S579" s="11"/>
      <c r="T579" s="11"/>
      <c r="U579" s="11"/>
      <c r="V579" s="11"/>
      <c r="W579" s="11"/>
      <c r="X579" s="11"/>
      <c r="Y579" s="11"/>
      <c r="Z579" s="11"/>
    </row>
    <row r="580" spans="1:26" x14ac:dyDescent="0.4">
      <c r="A580" t="str" cm="1">
        <f t="array" ref="A580">INDEX(FX_Input,R580,S580)</f>
        <v>FX - 42</v>
      </c>
      <c r="B580" t="str" cm="1">
        <f t="array" ref="B580">INDEX(FX_Input,R580,T580)</f>
        <v>Portland</v>
      </c>
      <c r="C580" t="s">
        <v>528</v>
      </c>
      <c r="D580" t="str" cm="1">
        <f t="array" ref="D580">INDEX(FX_Input,$R580,$Y580*D$5+$Z580)</f>
        <v>Jet kerosene</v>
      </c>
      <c r="E580" t="str" cm="1">
        <f t="array" ref="E580">INDEX(FX_Input,$R580,$Y580*E$5+$Z580)</f>
        <v>Jet kerosene</v>
      </c>
      <c r="F580" t="str" cm="1">
        <f t="array" ref="F580">INDEX(FX_Input,$R580,$Y580*F$5+$Z580)</f>
        <v>Jet kerosene</v>
      </c>
      <c r="G580" t="str" cm="1">
        <f t="array" ref="G580">INDEX(FX_Input,$R580,$Y580*G$5+$Z580)</f>
        <v>Jet kerosene</v>
      </c>
      <c r="H580" t="str" cm="1">
        <f t="array" ref="H580">INDEX(FX_Input,$R580,$Y580*H$5+$Z580)</f>
        <v>Jet kerosene</v>
      </c>
      <c r="I580" t="str" cm="1">
        <f t="array" ref="I580">INDEX(FX_Input,$R580,$Y580*I$5+$Z580)</f>
        <v>Jet kerosene</v>
      </c>
      <c r="J580" t="str" cm="1">
        <f t="array" ref="J580">INDEX(FX_Input,$R580,$Y580*J$5+$Z580)</f>
        <v>Jet kerosene</v>
      </c>
      <c r="K580" t="str" cm="1">
        <f t="array" ref="K580">INDEX(FX_Input,$R580,$Y580*K$5+$Z580)</f>
        <v>Jet kerosene</v>
      </c>
      <c r="L580" t="str" cm="1">
        <f t="array" ref="L580">INDEX(FX_Input,$R580,$Y580*L$5+$Z580)</f>
        <v>Jet kerosene</v>
      </c>
      <c r="M580" t="str" cm="1">
        <f t="array" ref="M580">INDEX(FX_Input,$R580,$Y580*M$5+$Z580)</f>
        <v>Jet kerosene</v>
      </c>
      <c r="N580" t="str" cm="1">
        <f t="array" ref="N580">INDEX(FX_Input,$R580,$Y580*N$5+$Z580)</f>
        <v>Jet kerosene</v>
      </c>
      <c r="O580" t="str" cm="1">
        <f t="array" ref="O580">INDEX(FX_Input,$R580,$Y580*O$5+$Z580)</f>
        <v>Jet kerosene</v>
      </c>
      <c r="R580">
        <f>R566+2</f>
        <v>83</v>
      </c>
      <c r="S580">
        <v>1</v>
      </c>
      <c r="T580">
        <v>3</v>
      </c>
      <c r="U580">
        <v>17</v>
      </c>
      <c r="V580">
        <f>U580+5</f>
        <v>22</v>
      </c>
      <c r="W580">
        <v>1</v>
      </c>
      <c r="X580">
        <v>2</v>
      </c>
      <c r="Y580">
        <f t="shared" ref="Y580:Y585" si="1271">(V580-U580)/(X580-W580)</f>
        <v>5</v>
      </c>
      <c r="Z580">
        <f t="shared" ref="Z580:Z585" si="1272">U580-Y580*W580</f>
        <v>12</v>
      </c>
    </row>
    <row r="581" spans="1:26" x14ac:dyDescent="0.4">
      <c r="C581" t="s">
        <v>529</v>
      </c>
      <c r="D581" cm="1">
        <f t="array" ref="D581">INDEX(FX_Input,$R581,$Y581*D$5+$Z581)</f>
        <v>0</v>
      </c>
      <c r="E581" cm="1">
        <f t="array" ref="E581">INDEX(FX_Input,$R581,$Y581*E$5+$Z581)</f>
        <v>0</v>
      </c>
      <c r="F581" cm="1">
        <f t="array" ref="F581">INDEX(FX_Input,$R581,$Y581*F$5+$Z581)</f>
        <v>0</v>
      </c>
      <c r="G581" cm="1">
        <f t="array" ref="G581">INDEX(FX_Input,$R581,$Y581*G$5+$Z581)</f>
        <v>0</v>
      </c>
      <c r="H581" cm="1">
        <f t="array" ref="H581">INDEX(FX_Input,$R581,$Y581*H$5+$Z581)</f>
        <v>0</v>
      </c>
      <c r="I581" cm="1">
        <f t="array" ref="I581">INDEX(FX_Input,$R581,$Y581*I$5+$Z581)</f>
        <v>0</v>
      </c>
      <c r="J581" cm="1">
        <f t="array" ref="J581">INDEX(FX_Input,$R581,$Y581*J$5+$Z581)</f>
        <v>0</v>
      </c>
      <c r="K581" cm="1">
        <f t="array" ref="K581">INDEX(FX_Input,$R581,$Y581*K$5+$Z581)</f>
        <v>0</v>
      </c>
      <c r="L581" cm="1">
        <f t="array" ref="L581">INDEX(FX_Input,$R581,$Y581*L$5+$Z581)</f>
        <v>0</v>
      </c>
      <c r="M581" cm="1">
        <f t="array" ref="M581">INDEX(FX_Input,$R581,$Y581*M$5+$Z581)</f>
        <v>0</v>
      </c>
      <c r="N581" cm="1">
        <f t="array" ref="N581">INDEX(FX_Input,$R581,$Y581*N$5+$Z581)</f>
        <v>0</v>
      </c>
      <c r="O581" cm="1">
        <f t="array" ref="O581">INDEX(FX_Input,$R581,$Y581*O$5+$Z581)</f>
        <v>0</v>
      </c>
      <c r="R581">
        <f>R580+1</f>
        <v>84</v>
      </c>
      <c r="U581">
        <f>U580</f>
        <v>17</v>
      </c>
      <c r="V581">
        <f t="shared" ref="V581:V585" si="1273">U581+5</f>
        <v>22</v>
      </c>
      <c r="W581">
        <v>1</v>
      </c>
      <c r="X581">
        <v>2</v>
      </c>
      <c r="Y581">
        <f t="shared" si="1271"/>
        <v>5</v>
      </c>
      <c r="Z581">
        <f t="shared" si="1272"/>
        <v>12</v>
      </c>
    </row>
    <row r="582" spans="1:26" x14ac:dyDescent="0.4">
      <c r="C582" t="s">
        <v>530</v>
      </c>
      <c r="D582" t="str" cm="1">
        <f t="array" ref="D582">INDEX(FX_Input,$R582,$Y582*D$5+$Z582)</f>
        <v>Select Pet Stock</v>
      </c>
      <c r="E582" t="str" cm="1">
        <f t="array" ref="E582">INDEX(FX_Input,$R582,$Y582*E$5+$Z582)</f>
        <v>Select Pet Stock</v>
      </c>
      <c r="F582" t="str" cm="1">
        <f t="array" ref="F582">INDEX(FX_Input,$R582,$Y582*F$5+$Z582)</f>
        <v>Select Pet Stock</v>
      </c>
      <c r="G582" t="str" cm="1">
        <f t="array" ref="G582">INDEX(FX_Input,$R582,$Y582*G$5+$Z582)</f>
        <v>Select Pet Stock</v>
      </c>
      <c r="H582" t="str" cm="1">
        <f t="array" ref="H582">INDEX(FX_Input,$R582,$Y582*H$5+$Z582)</f>
        <v>Select Pet Stock</v>
      </c>
      <c r="I582" t="str" cm="1">
        <f t="array" ref="I582">INDEX(FX_Input,$R582,$Y582*I$5+$Z582)</f>
        <v>Select Pet Stock</v>
      </c>
      <c r="J582" t="str" cm="1">
        <f t="array" ref="J582">INDEX(FX_Input,$R582,$Y582*J$5+$Z582)</f>
        <v>Select Pet Stock</v>
      </c>
      <c r="K582" t="str" cm="1">
        <f t="array" ref="K582">INDEX(FX_Input,$R582,$Y582*K$5+$Z582)</f>
        <v>Select Pet Stock</v>
      </c>
      <c r="L582" t="str" cm="1">
        <f t="array" ref="L582">INDEX(FX_Input,$R582,$Y582*L$5+$Z582)</f>
        <v>Select Pet Stock</v>
      </c>
      <c r="M582" t="str" cm="1">
        <f t="array" ref="M582">INDEX(FX_Input,$R582,$Y582*M$5+$Z582)</f>
        <v>Select Pet Stock</v>
      </c>
      <c r="N582" t="str" cm="1">
        <f t="array" ref="N582">INDEX(FX_Input,$R582,$Y582*N$5+$Z582)</f>
        <v>Select Pet Stock</v>
      </c>
      <c r="O582" t="str" cm="1">
        <f t="array" ref="O582">INDEX(FX_Input,$R582,$Y582*O$5+$Z582)</f>
        <v>Select Pet Stock</v>
      </c>
      <c r="R582">
        <f>R580</f>
        <v>83</v>
      </c>
      <c r="U582">
        <v>18</v>
      </c>
      <c r="V582">
        <f t="shared" si="1273"/>
        <v>23</v>
      </c>
      <c r="W582">
        <v>1</v>
      </c>
      <c r="X582">
        <v>2</v>
      </c>
      <c r="Y582">
        <f t="shared" si="1271"/>
        <v>5</v>
      </c>
      <c r="Z582">
        <f t="shared" si="1272"/>
        <v>13</v>
      </c>
    </row>
    <row r="583" spans="1:26" x14ac:dyDescent="0.4">
      <c r="C583" t="s">
        <v>531</v>
      </c>
      <c r="D583" cm="1">
        <f t="array" ref="D583">INDEX(FX_Input,$R583,$Y583*D$5+$Z583)</f>
        <v>0</v>
      </c>
      <c r="E583" cm="1">
        <f t="array" ref="E583">INDEX(FX_Input,$R583,$Y583*E$5+$Z583)</f>
        <v>0</v>
      </c>
      <c r="F583" cm="1">
        <f t="array" ref="F583">INDEX(FX_Input,$R583,$Y583*F$5+$Z583)</f>
        <v>0</v>
      </c>
      <c r="G583" cm="1">
        <f t="array" ref="G583">INDEX(FX_Input,$R583,$Y583*G$5+$Z583)</f>
        <v>0</v>
      </c>
      <c r="H583" cm="1">
        <f t="array" ref="H583">INDEX(FX_Input,$R583,$Y583*H$5+$Z583)</f>
        <v>0</v>
      </c>
      <c r="I583" cm="1">
        <f t="array" ref="I583">INDEX(FX_Input,$R583,$Y583*I$5+$Z583)</f>
        <v>0</v>
      </c>
      <c r="J583" cm="1">
        <f t="array" ref="J583">INDEX(FX_Input,$R583,$Y583*J$5+$Z583)</f>
        <v>0</v>
      </c>
      <c r="K583" cm="1">
        <f t="array" ref="K583">INDEX(FX_Input,$R583,$Y583*K$5+$Z583)</f>
        <v>0</v>
      </c>
      <c r="L583" cm="1">
        <f t="array" ref="L583">INDEX(FX_Input,$R583,$Y583*L$5+$Z583)</f>
        <v>0</v>
      </c>
      <c r="M583" cm="1">
        <f t="array" ref="M583">INDEX(FX_Input,$R583,$Y583*M$5+$Z583)</f>
        <v>0</v>
      </c>
      <c r="N583" cm="1">
        <f t="array" ref="N583">INDEX(FX_Input,$R583,$Y583*N$5+$Z583)</f>
        <v>0</v>
      </c>
      <c r="O583" cm="1">
        <f t="array" ref="O583">INDEX(FX_Input,$R583,$Y583*O$5+$Z583)</f>
        <v>0</v>
      </c>
      <c r="R583">
        <f>R581</f>
        <v>84</v>
      </c>
      <c r="U583">
        <f>U582</f>
        <v>18</v>
      </c>
      <c r="V583">
        <f t="shared" si="1273"/>
        <v>23</v>
      </c>
      <c r="W583">
        <v>1</v>
      </c>
      <c r="X583">
        <v>2</v>
      </c>
      <c r="Y583">
        <f t="shared" si="1271"/>
        <v>5</v>
      </c>
      <c r="Z583">
        <f t="shared" si="1272"/>
        <v>13</v>
      </c>
    </row>
    <row r="584" spans="1:26" x14ac:dyDescent="0.4">
      <c r="C584" t="s">
        <v>546</v>
      </c>
      <c r="D584" cm="1">
        <f t="array" ref="D584">INDEX(FX_Input,$R584,$Y584*D$5+$Z584)</f>
        <v>1</v>
      </c>
      <c r="E584" cm="1">
        <f t="array" ref="E584">INDEX(FX_Input,$R584,$Y584*E$5+$Z584)</f>
        <v>1</v>
      </c>
      <c r="F584" cm="1">
        <f t="array" ref="F584">INDEX(FX_Input,$R584,$Y584*F$5+$Z584)</f>
        <v>1</v>
      </c>
      <c r="G584" cm="1">
        <f t="array" ref="G584">INDEX(FX_Input,$R584,$Y584*G$5+$Z584)</f>
        <v>1</v>
      </c>
      <c r="H584" cm="1">
        <f t="array" ref="H584">INDEX(FX_Input,$R584,$Y584*H$5+$Z584)</f>
        <v>1</v>
      </c>
      <c r="I584" cm="1">
        <f t="array" ref="I584">INDEX(FX_Input,$R584,$Y584*I$5+$Z584)</f>
        <v>1</v>
      </c>
      <c r="J584" cm="1">
        <f t="array" ref="J584">INDEX(FX_Input,$R584,$Y584*J$5+$Z584)</f>
        <v>1</v>
      </c>
      <c r="K584" cm="1">
        <f t="array" ref="K584">INDEX(FX_Input,$R584,$Y584*K$5+$Z584)</f>
        <v>1</v>
      </c>
      <c r="L584" cm="1">
        <f t="array" ref="L584">INDEX(FX_Input,$R584,$Y584*L$5+$Z584)</f>
        <v>1</v>
      </c>
      <c r="M584" cm="1">
        <f t="array" ref="M584">INDEX(FX_Input,$R584,$Y584*M$5+$Z584)</f>
        <v>1</v>
      </c>
      <c r="N584" cm="1">
        <f t="array" ref="N584">INDEX(FX_Input,$R584,$Y584*N$5+$Z584)</f>
        <v>1</v>
      </c>
      <c r="O584" cm="1">
        <f t="array" ref="O584">INDEX(FX_Input,$R584,$Y584*O$5+$Z584)</f>
        <v>1</v>
      </c>
      <c r="R584">
        <f>R582</f>
        <v>83</v>
      </c>
      <c r="U584">
        <v>21</v>
      </c>
      <c r="V584">
        <f t="shared" si="1273"/>
        <v>26</v>
      </c>
      <c r="W584">
        <v>1</v>
      </c>
      <c r="X584">
        <v>2</v>
      </c>
      <c r="Y584">
        <f t="shared" si="1271"/>
        <v>5</v>
      </c>
      <c r="Z584">
        <f t="shared" si="1272"/>
        <v>16</v>
      </c>
    </row>
    <row r="585" spans="1:26" x14ac:dyDescent="0.4">
      <c r="C585" t="s">
        <v>547</v>
      </c>
      <c r="D585" cm="1">
        <f t="array" ref="D585">INDEX(FX_Input,$R585,$Y585*D$5+$Z585)</f>
        <v>0</v>
      </c>
      <c r="E585" cm="1">
        <f t="array" ref="E585">INDEX(FX_Input,$R585,$Y585*E$5+$Z585)</f>
        <v>0</v>
      </c>
      <c r="F585" cm="1">
        <f t="array" ref="F585">INDEX(FX_Input,$R585,$Y585*F$5+$Z585)</f>
        <v>0</v>
      </c>
      <c r="G585" cm="1">
        <f t="array" ref="G585">INDEX(FX_Input,$R585,$Y585*G$5+$Z585)</f>
        <v>0</v>
      </c>
      <c r="H585" cm="1">
        <f t="array" ref="H585">INDEX(FX_Input,$R585,$Y585*H$5+$Z585)</f>
        <v>0</v>
      </c>
      <c r="I585" cm="1">
        <f t="array" ref="I585">INDEX(FX_Input,$R585,$Y585*I$5+$Z585)</f>
        <v>0</v>
      </c>
      <c r="J585" cm="1">
        <f t="array" ref="J585">INDEX(FX_Input,$R585,$Y585*J$5+$Z585)</f>
        <v>0</v>
      </c>
      <c r="K585" cm="1">
        <f t="array" ref="K585">INDEX(FX_Input,$R585,$Y585*K$5+$Z585)</f>
        <v>0</v>
      </c>
      <c r="L585" cm="1">
        <f t="array" ref="L585">INDEX(FX_Input,$R585,$Y585*L$5+$Z585)</f>
        <v>0</v>
      </c>
      <c r="M585" cm="1">
        <f t="array" ref="M585">INDEX(FX_Input,$R585,$Y585*M$5+$Z585)</f>
        <v>0</v>
      </c>
      <c r="N585" cm="1">
        <f t="array" ref="N585">INDEX(FX_Input,$R585,$Y585*N$5+$Z585)</f>
        <v>0</v>
      </c>
      <c r="O585" cm="1">
        <f t="array" ref="O585">INDEX(FX_Input,$R585,$Y585*O$5+$Z585)</f>
        <v>0</v>
      </c>
      <c r="R585">
        <f>R583</f>
        <v>84</v>
      </c>
      <c r="U585">
        <f>U584</f>
        <v>21</v>
      </c>
      <c r="V585">
        <f t="shared" si="1273"/>
        <v>26</v>
      </c>
      <c r="W585">
        <v>1</v>
      </c>
      <c r="X585">
        <v>2</v>
      </c>
      <c r="Y585">
        <f t="shared" si="1271"/>
        <v>5</v>
      </c>
      <c r="Z585">
        <f t="shared" si="1272"/>
        <v>16</v>
      </c>
    </row>
    <row r="586" spans="1:26" x14ac:dyDescent="0.4">
      <c r="C586" t="s">
        <v>532</v>
      </c>
      <c r="D586">
        <f t="shared" ref="D586:O586" si="1274">IFERROR(VLOOKUP(D580,Phys_Prop,2,FALSE),0)</f>
        <v>162</v>
      </c>
      <c r="E586">
        <f t="shared" si="1274"/>
        <v>162</v>
      </c>
      <c r="F586">
        <f t="shared" si="1274"/>
        <v>162</v>
      </c>
      <c r="G586">
        <f t="shared" si="1274"/>
        <v>162</v>
      </c>
      <c r="H586">
        <f t="shared" si="1274"/>
        <v>162</v>
      </c>
      <c r="I586">
        <f t="shared" si="1274"/>
        <v>162</v>
      </c>
      <c r="J586">
        <f t="shared" si="1274"/>
        <v>162</v>
      </c>
      <c r="K586">
        <f t="shared" si="1274"/>
        <v>162</v>
      </c>
      <c r="L586">
        <f t="shared" si="1274"/>
        <v>162</v>
      </c>
      <c r="M586">
        <f t="shared" si="1274"/>
        <v>162</v>
      </c>
      <c r="N586">
        <f t="shared" si="1274"/>
        <v>162</v>
      </c>
      <c r="O586">
        <f t="shared" si="1274"/>
        <v>162</v>
      </c>
    </row>
    <row r="587" spans="1:26" x14ac:dyDescent="0.4">
      <c r="C587" t="s">
        <v>533</v>
      </c>
      <c r="D587">
        <f t="shared" ref="D587:O587" si="1275">IFERROR(VLOOKUP(D581,Phys_Prop,2,FALSE),0)</f>
        <v>0</v>
      </c>
      <c r="E587">
        <f t="shared" si="1275"/>
        <v>0</v>
      </c>
      <c r="F587">
        <f t="shared" si="1275"/>
        <v>0</v>
      </c>
      <c r="G587">
        <f t="shared" si="1275"/>
        <v>0</v>
      </c>
      <c r="H587">
        <f t="shared" si="1275"/>
        <v>0</v>
      </c>
      <c r="I587">
        <f t="shared" si="1275"/>
        <v>0</v>
      </c>
      <c r="J587">
        <f t="shared" si="1275"/>
        <v>0</v>
      </c>
      <c r="K587">
        <f t="shared" si="1275"/>
        <v>0</v>
      </c>
      <c r="L587">
        <f t="shared" si="1275"/>
        <v>0</v>
      </c>
      <c r="M587">
        <f t="shared" si="1275"/>
        <v>0</v>
      </c>
      <c r="N587">
        <f t="shared" si="1275"/>
        <v>0</v>
      </c>
      <c r="O587">
        <f t="shared" si="1275"/>
        <v>0</v>
      </c>
    </row>
    <row r="588" spans="1:26" x14ac:dyDescent="0.4">
      <c r="C588" t="s">
        <v>544</v>
      </c>
      <c r="D588">
        <f>IFERROR(IFERROR(D586/D584+D587/D585,D586/D584),0)</f>
        <v>162</v>
      </c>
      <c r="E588">
        <f t="shared" ref="E588" si="1276">IFERROR(IFERROR(E586/E584+E587/E585,E586/E584),0)</f>
        <v>162</v>
      </c>
      <c r="F588">
        <f t="shared" ref="F588" si="1277">IFERROR(IFERROR(F586/F584+F587/F585,F586/F584),0)</f>
        <v>162</v>
      </c>
      <c r="G588">
        <f t="shared" ref="G588" si="1278">IFERROR(IFERROR(G586/G584+G587/G585,G586/G584),0)</f>
        <v>162</v>
      </c>
      <c r="H588">
        <f t="shared" ref="H588" si="1279">IFERROR(IFERROR(H586/H584+H587/H585,H586/H584),0)</f>
        <v>162</v>
      </c>
      <c r="I588">
        <f t="shared" ref="I588" si="1280">IFERROR(IFERROR(I586/I584+I587/I585,I586/I584),0)</f>
        <v>162</v>
      </c>
      <c r="J588">
        <f t="shared" ref="J588" si="1281">IFERROR(IFERROR(J586/J584+J587/J585,J586/J584),0)</f>
        <v>162</v>
      </c>
      <c r="K588">
        <f t="shared" ref="K588" si="1282">IFERROR(IFERROR(K586/K584+K587/K585,K586/K584),0)</f>
        <v>162</v>
      </c>
      <c r="L588">
        <f t="shared" ref="L588" si="1283">IFERROR(IFERROR(L586/L584+L587/L585,L586/L584),0)</f>
        <v>162</v>
      </c>
      <c r="M588">
        <f t="shared" ref="M588" si="1284">IFERROR(IFERROR(M586/M584+M587/M585,M586/M584),0)</f>
        <v>162</v>
      </c>
      <c r="N588">
        <f t="shared" ref="N588" si="1285">IFERROR(IFERROR(N586/N584+N587/N585,N586/N584),0)</f>
        <v>162</v>
      </c>
      <c r="O588">
        <f t="shared" ref="O588" si="1286">IFERROR(IFERROR(O586/O584+O587/O585,O586/O584),0)</f>
        <v>162</v>
      </c>
    </row>
    <row r="589" spans="1:26" x14ac:dyDescent="0.4">
      <c r="C589" t="s">
        <v>539</v>
      </c>
      <c r="D589">
        <f>IFERROR((D584/D586)*D588,1)</f>
        <v>1</v>
      </c>
      <c r="E589">
        <f t="shared" ref="E589" si="1287">IFERROR((E584/E586)*E588,1)</f>
        <v>1</v>
      </c>
      <c r="F589">
        <f t="shared" ref="F589" si="1288">IFERROR((F584/F586)*F588,1)</f>
        <v>1</v>
      </c>
      <c r="G589">
        <f t="shared" ref="G589" si="1289">IFERROR((G584/G586)*G588,1)</f>
        <v>1</v>
      </c>
      <c r="H589">
        <f t="shared" ref="H589" si="1290">IFERROR((H584/H586)*H588,1)</f>
        <v>1</v>
      </c>
      <c r="I589">
        <f t="shared" ref="I589" si="1291">IFERROR((I584/I586)*I588,1)</f>
        <v>1</v>
      </c>
      <c r="J589">
        <f t="shared" ref="J589" si="1292">IFERROR((J584/J586)*J588,1)</f>
        <v>1</v>
      </c>
      <c r="K589">
        <f t="shared" ref="K589" si="1293">IFERROR((K584/K586)*K588,1)</f>
        <v>1</v>
      </c>
      <c r="L589">
        <f t="shared" ref="L589" si="1294">IFERROR((L584/L586)*L588,1)</f>
        <v>1</v>
      </c>
      <c r="M589">
        <f t="shared" ref="M589" si="1295">IFERROR((M584/M586)*M588,1)</f>
        <v>1</v>
      </c>
      <c r="N589">
        <f t="shared" ref="N589" si="1296">IFERROR((N584/N586)*N588,1)</f>
        <v>1</v>
      </c>
      <c r="O589">
        <f t="shared" ref="O589" si="1297">IFERROR((O584/O586)*O588,1)</f>
        <v>1</v>
      </c>
    </row>
    <row r="590" spans="1:26" x14ac:dyDescent="0.4">
      <c r="C590" t="s">
        <v>540</v>
      </c>
      <c r="D590">
        <f>IFERROR((D585/D587)*D588,0)</f>
        <v>0</v>
      </c>
      <c r="E590">
        <f t="shared" ref="E590:O590" si="1298">IFERROR((E585/E587)*E588,0)</f>
        <v>0</v>
      </c>
      <c r="F590">
        <f t="shared" si="1298"/>
        <v>0</v>
      </c>
      <c r="G590">
        <f t="shared" si="1298"/>
        <v>0</v>
      </c>
      <c r="H590">
        <f t="shared" si="1298"/>
        <v>0</v>
      </c>
      <c r="I590">
        <f t="shared" si="1298"/>
        <v>0</v>
      </c>
      <c r="J590">
        <f t="shared" si="1298"/>
        <v>0</v>
      </c>
      <c r="K590">
        <f t="shared" si="1298"/>
        <v>0</v>
      </c>
      <c r="L590">
        <f t="shared" si="1298"/>
        <v>0</v>
      </c>
      <c r="M590">
        <f t="shared" si="1298"/>
        <v>0</v>
      </c>
      <c r="N590">
        <f t="shared" si="1298"/>
        <v>0</v>
      </c>
      <c r="O590">
        <f t="shared" si="1298"/>
        <v>0</v>
      </c>
    </row>
    <row r="591" spans="1:26" x14ac:dyDescent="0.4">
      <c r="C591" s="21" t="s">
        <v>534</v>
      </c>
      <c r="D591">
        <f t="shared" ref="D591:O591" si="1299">IFERROR(VLOOKUP(D580,Phys_Prop,4,FALSE),0)</f>
        <v>7</v>
      </c>
      <c r="E591">
        <f t="shared" si="1299"/>
        <v>7</v>
      </c>
      <c r="F591">
        <f t="shared" si="1299"/>
        <v>7</v>
      </c>
      <c r="G591">
        <f t="shared" si="1299"/>
        <v>7</v>
      </c>
      <c r="H591">
        <f t="shared" si="1299"/>
        <v>7</v>
      </c>
      <c r="I591">
        <f t="shared" si="1299"/>
        <v>7</v>
      </c>
      <c r="J591">
        <f t="shared" si="1299"/>
        <v>7</v>
      </c>
      <c r="K591">
        <f t="shared" si="1299"/>
        <v>7</v>
      </c>
      <c r="L591">
        <f t="shared" si="1299"/>
        <v>7</v>
      </c>
      <c r="M591">
        <f t="shared" si="1299"/>
        <v>7</v>
      </c>
      <c r="N591">
        <f t="shared" si="1299"/>
        <v>7</v>
      </c>
      <c r="O591">
        <f t="shared" si="1299"/>
        <v>7</v>
      </c>
    </row>
    <row r="592" spans="1:26" x14ac:dyDescent="0.4">
      <c r="C592" s="21" t="s">
        <v>535</v>
      </c>
      <c r="D592">
        <f t="shared" ref="D592:O592" si="1300">IFERROR(VLOOKUP(D581,Phys_Prop,4,FALSE),0)</f>
        <v>0</v>
      </c>
      <c r="E592">
        <f t="shared" si="1300"/>
        <v>0</v>
      </c>
      <c r="F592">
        <f t="shared" si="1300"/>
        <v>0</v>
      </c>
      <c r="G592">
        <f t="shared" si="1300"/>
        <v>0</v>
      </c>
      <c r="H592">
        <f t="shared" si="1300"/>
        <v>0</v>
      </c>
      <c r="I592">
        <f t="shared" si="1300"/>
        <v>0</v>
      </c>
      <c r="J592">
        <f t="shared" si="1300"/>
        <v>0</v>
      </c>
      <c r="K592">
        <f t="shared" si="1300"/>
        <v>0</v>
      </c>
      <c r="L592">
        <f t="shared" si="1300"/>
        <v>0</v>
      </c>
      <c r="M592">
        <f t="shared" si="1300"/>
        <v>0</v>
      </c>
      <c r="N592">
        <f t="shared" si="1300"/>
        <v>0</v>
      </c>
      <c r="O592">
        <f t="shared" si="1300"/>
        <v>0</v>
      </c>
    </row>
    <row r="593" spans="1:26" x14ac:dyDescent="0.4">
      <c r="A593" s="11"/>
      <c r="B593" s="11"/>
      <c r="C593" s="62" t="s">
        <v>536</v>
      </c>
      <c r="D593" s="11">
        <f>IFERROR(1/(D589/D591+D590/D592),D591)</f>
        <v>7</v>
      </c>
      <c r="E593" s="11">
        <f t="shared" ref="E593:O593" si="1301">IFERROR(1/(E589/E591+E590/E592),E591)</f>
        <v>7</v>
      </c>
      <c r="F593" s="11">
        <f t="shared" si="1301"/>
        <v>7</v>
      </c>
      <c r="G593" s="11">
        <f t="shared" si="1301"/>
        <v>7</v>
      </c>
      <c r="H593" s="11">
        <f t="shared" si="1301"/>
        <v>7</v>
      </c>
      <c r="I593" s="11">
        <f t="shared" si="1301"/>
        <v>7</v>
      </c>
      <c r="J593" s="11">
        <f t="shared" si="1301"/>
        <v>7</v>
      </c>
      <c r="K593" s="11">
        <f t="shared" si="1301"/>
        <v>7</v>
      </c>
      <c r="L593" s="11">
        <f t="shared" si="1301"/>
        <v>7</v>
      </c>
      <c r="M593" s="11">
        <f t="shared" si="1301"/>
        <v>7</v>
      </c>
      <c r="N593" s="11">
        <f t="shared" si="1301"/>
        <v>7</v>
      </c>
      <c r="O593" s="11">
        <f t="shared" si="1301"/>
        <v>7</v>
      </c>
      <c r="P593" s="11"/>
      <c r="Q593" s="11"/>
      <c r="R593" s="11"/>
      <c r="S593" s="11"/>
      <c r="T593" s="11"/>
      <c r="U593" s="11"/>
      <c r="V593" s="11"/>
      <c r="W593" s="11"/>
      <c r="X593" s="11"/>
      <c r="Y593" s="11"/>
      <c r="Z593" s="11"/>
    </row>
    <row r="594" spans="1:26" x14ac:dyDescent="0.4">
      <c r="A594" t="str" cm="1">
        <f t="array" ref="A594">INDEX(FX_Input,R594,S594)</f>
        <v>FX - 43</v>
      </c>
      <c r="B594" t="str" cm="1">
        <f t="array" ref="B594">INDEX(FX_Input,R594,T594)</f>
        <v>Portland</v>
      </c>
      <c r="C594" t="s">
        <v>528</v>
      </c>
      <c r="D594" t="str" cm="1">
        <f t="array" ref="D594">INDEX(FX_Input,$R594,$Y594*D$5+$Z594)</f>
        <v>Jet kerosene</v>
      </c>
      <c r="E594" t="str" cm="1">
        <f t="array" ref="E594">INDEX(FX_Input,$R594,$Y594*E$5+$Z594)</f>
        <v>Jet kerosene</v>
      </c>
      <c r="F594" t="str" cm="1">
        <f t="array" ref="F594">INDEX(FX_Input,$R594,$Y594*F$5+$Z594)</f>
        <v>Jet kerosene</v>
      </c>
      <c r="G594" t="str" cm="1">
        <f t="array" ref="G594">INDEX(FX_Input,$R594,$Y594*G$5+$Z594)</f>
        <v>Jet kerosene</v>
      </c>
      <c r="H594" t="str" cm="1">
        <f t="array" ref="H594">INDEX(FX_Input,$R594,$Y594*H$5+$Z594)</f>
        <v>Jet kerosene</v>
      </c>
      <c r="I594" t="str" cm="1">
        <f t="array" ref="I594">INDEX(FX_Input,$R594,$Y594*I$5+$Z594)</f>
        <v>Jet kerosene</v>
      </c>
      <c r="J594" t="str" cm="1">
        <f t="array" ref="J594">INDEX(FX_Input,$R594,$Y594*J$5+$Z594)</f>
        <v>Jet kerosene</v>
      </c>
      <c r="K594" t="str" cm="1">
        <f t="array" ref="K594">INDEX(FX_Input,$R594,$Y594*K$5+$Z594)</f>
        <v>Jet kerosene</v>
      </c>
      <c r="L594" t="str" cm="1">
        <f t="array" ref="L594">INDEX(FX_Input,$R594,$Y594*L$5+$Z594)</f>
        <v>Jet kerosene</v>
      </c>
      <c r="M594" t="str" cm="1">
        <f t="array" ref="M594">INDEX(FX_Input,$R594,$Y594*M$5+$Z594)</f>
        <v>Jet kerosene</v>
      </c>
      <c r="N594" t="str" cm="1">
        <f t="array" ref="N594">INDEX(FX_Input,$R594,$Y594*N$5+$Z594)</f>
        <v>Jet kerosene</v>
      </c>
      <c r="O594" t="str" cm="1">
        <f t="array" ref="O594">INDEX(FX_Input,$R594,$Y594*O$5+$Z594)</f>
        <v>Jet kerosene</v>
      </c>
      <c r="R594">
        <f>R580+2</f>
        <v>85</v>
      </c>
      <c r="S594">
        <v>1</v>
      </c>
      <c r="T594">
        <v>3</v>
      </c>
      <c r="U594">
        <v>17</v>
      </c>
      <c r="V594">
        <f>U594+5</f>
        <v>22</v>
      </c>
      <c r="W594">
        <v>1</v>
      </c>
      <c r="X594">
        <v>2</v>
      </c>
      <c r="Y594">
        <f t="shared" ref="Y594:Y599" si="1302">(V594-U594)/(X594-W594)</f>
        <v>5</v>
      </c>
      <c r="Z594">
        <f t="shared" ref="Z594:Z599" si="1303">U594-Y594*W594</f>
        <v>12</v>
      </c>
    </row>
    <row r="595" spans="1:26" x14ac:dyDescent="0.4">
      <c r="C595" t="s">
        <v>529</v>
      </c>
      <c r="D595" cm="1">
        <f t="array" ref="D595">INDEX(FX_Input,$R595,$Y595*D$5+$Z595)</f>
        <v>0</v>
      </c>
      <c r="E595" cm="1">
        <f t="array" ref="E595">INDEX(FX_Input,$R595,$Y595*E$5+$Z595)</f>
        <v>0</v>
      </c>
      <c r="F595" cm="1">
        <f t="array" ref="F595">INDEX(FX_Input,$R595,$Y595*F$5+$Z595)</f>
        <v>0</v>
      </c>
      <c r="G595" cm="1">
        <f t="array" ref="G595">INDEX(FX_Input,$R595,$Y595*G$5+$Z595)</f>
        <v>0</v>
      </c>
      <c r="H595" cm="1">
        <f t="array" ref="H595">INDEX(FX_Input,$R595,$Y595*H$5+$Z595)</f>
        <v>0</v>
      </c>
      <c r="I595" cm="1">
        <f t="array" ref="I595">INDEX(FX_Input,$R595,$Y595*I$5+$Z595)</f>
        <v>0</v>
      </c>
      <c r="J595" cm="1">
        <f t="array" ref="J595">INDEX(FX_Input,$R595,$Y595*J$5+$Z595)</f>
        <v>0</v>
      </c>
      <c r="K595" cm="1">
        <f t="array" ref="K595">INDEX(FX_Input,$R595,$Y595*K$5+$Z595)</f>
        <v>0</v>
      </c>
      <c r="L595" cm="1">
        <f t="array" ref="L595">INDEX(FX_Input,$R595,$Y595*L$5+$Z595)</f>
        <v>0</v>
      </c>
      <c r="M595" cm="1">
        <f t="array" ref="M595">INDEX(FX_Input,$R595,$Y595*M$5+$Z595)</f>
        <v>0</v>
      </c>
      <c r="N595" cm="1">
        <f t="array" ref="N595">INDEX(FX_Input,$R595,$Y595*N$5+$Z595)</f>
        <v>0</v>
      </c>
      <c r="O595" cm="1">
        <f t="array" ref="O595">INDEX(FX_Input,$R595,$Y595*O$5+$Z595)</f>
        <v>0</v>
      </c>
      <c r="R595">
        <f>R594+1</f>
        <v>86</v>
      </c>
      <c r="U595">
        <f>U594</f>
        <v>17</v>
      </c>
      <c r="V595">
        <f t="shared" ref="V595:V599" si="1304">U595+5</f>
        <v>22</v>
      </c>
      <c r="W595">
        <v>1</v>
      </c>
      <c r="X595">
        <v>2</v>
      </c>
      <c r="Y595">
        <f t="shared" si="1302"/>
        <v>5</v>
      </c>
      <c r="Z595">
        <f t="shared" si="1303"/>
        <v>12</v>
      </c>
    </row>
    <row r="596" spans="1:26" x14ac:dyDescent="0.4">
      <c r="C596" t="s">
        <v>530</v>
      </c>
      <c r="D596" t="str" cm="1">
        <f t="array" ref="D596">INDEX(FX_Input,$R596,$Y596*D$5+$Z596)</f>
        <v>Select Pet Stock</v>
      </c>
      <c r="E596" t="str" cm="1">
        <f t="array" ref="E596">INDEX(FX_Input,$R596,$Y596*E$5+$Z596)</f>
        <v>Select Pet Stock</v>
      </c>
      <c r="F596" t="str" cm="1">
        <f t="array" ref="F596">INDEX(FX_Input,$R596,$Y596*F$5+$Z596)</f>
        <v>Select Pet Stock</v>
      </c>
      <c r="G596" t="str" cm="1">
        <f t="array" ref="G596">INDEX(FX_Input,$R596,$Y596*G$5+$Z596)</f>
        <v>Select Pet Stock</v>
      </c>
      <c r="H596" t="str" cm="1">
        <f t="array" ref="H596">INDEX(FX_Input,$R596,$Y596*H$5+$Z596)</f>
        <v>Select Pet Stock</v>
      </c>
      <c r="I596" t="str" cm="1">
        <f t="array" ref="I596">INDEX(FX_Input,$R596,$Y596*I$5+$Z596)</f>
        <v>Select Pet Stock</v>
      </c>
      <c r="J596" t="str" cm="1">
        <f t="array" ref="J596">INDEX(FX_Input,$R596,$Y596*J$5+$Z596)</f>
        <v>Select Pet Stock</v>
      </c>
      <c r="K596" t="str" cm="1">
        <f t="array" ref="K596">INDEX(FX_Input,$R596,$Y596*K$5+$Z596)</f>
        <v>Select Pet Stock</v>
      </c>
      <c r="L596" t="str" cm="1">
        <f t="array" ref="L596">INDEX(FX_Input,$R596,$Y596*L$5+$Z596)</f>
        <v>Select Pet Stock</v>
      </c>
      <c r="M596" t="str" cm="1">
        <f t="array" ref="M596">INDEX(FX_Input,$R596,$Y596*M$5+$Z596)</f>
        <v>Select Pet Stock</v>
      </c>
      <c r="N596" t="str" cm="1">
        <f t="array" ref="N596">INDEX(FX_Input,$R596,$Y596*N$5+$Z596)</f>
        <v>Select Pet Stock</v>
      </c>
      <c r="O596" t="str" cm="1">
        <f t="array" ref="O596">INDEX(FX_Input,$R596,$Y596*O$5+$Z596)</f>
        <v>Select Pet Stock</v>
      </c>
      <c r="R596">
        <f>R594</f>
        <v>85</v>
      </c>
      <c r="U596">
        <v>18</v>
      </c>
      <c r="V596">
        <f t="shared" si="1304"/>
        <v>23</v>
      </c>
      <c r="W596">
        <v>1</v>
      </c>
      <c r="X596">
        <v>2</v>
      </c>
      <c r="Y596">
        <f t="shared" si="1302"/>
        <v>5</v>
      </c>
      <c r="Z596">
        <f t="shared" si="1303"/>
        <v>13</v>
      </c>
    </row>
    <row r="597" spans="1:26" x14ac:dyDescent="0.4">
      <c r="C597" t="s">
        <v>531</v>
      </c>
      <c r="D597" cm="1">
        <f t="array" ref="D597">INDEX(FX_Input,$R597,$Y597*D$5+$Z597)</f>
        <v>0</v>
      </c>
      <c r="E597" cm="1">
        <f t="array" ref="E597">INDEX(FX_Input,$R597,$Y597*E$5+$Z597)</f>
        <v>0</v>
      </c>
      <c r="F597" cm="1">
        <f t="array" ref="F597">INDEX(FX_Input,$R597,$Y597*F$5+$Z597)</f>
        <v>0</v>
      </c>
      <c r="G597" cm="1">
        <f t="array" ref="G597">INDEX(FX_Input,$R597,$Y597*G$5+$Z597)</f>
        <v>0</v>
      </c>
      <c r="H597" cm="1">
        <f t="array" ref="H597">INDEX(FX_Input,$R597,$Y597*H$5+$Z597)</f>
        <v>0</v>
      </c>
      <c r="I597" cm="1">
        <f t="array" ref="I597">INDEX(FX_Input,$R597,$Y597*I$5+$Z597)</f>
        <v>0</v>
      </c>
      <c r="J597" cm="1">
        <f t="array" ref="J597">INDEX(FX_Input,$R597,$Y597*J$5+$Z597)</f>
        <v>0</v>
      </c>
      <c r="K597" cm="1">
        <f t="array" ref="K597">INDEX(FX_Input,$R597,$Y597*K$5+$Z597)</f>
        <v>0</v>
      </c>
      <c r="L597" cm="1">
        <f t="array" ref="L597">INDEX(FX_Input,$R597,$Y597*L$5+$Z597)</f>
        <v>0</v>
      </c>
      <c r="M597" cm="1">
        <f t="array" ref="M597">INDEX(FX_Input,$R597,$Y597*M$5+$Z597)</f>
        <v>0</v>
      </c>
      <c r="N597" cm="1">
        <f t="array" ref="N597">INDEX(FX_Input,$R597,$Y597*N$5+$Z597)</f>
        <v>0</v>
      </c>
      <c r="O597" cm="1">
        <f t="array" ref="O597">INDEX(FX_Input,$R597,$Y597*O$5+$Z597)</f>
        <v>0</v>
      </c>
      <c r="R597">
        <f>R595</f>
        <v>86</v>
      </c>
      <c r="U597">
        <f>U596</f>
        <v>18</v>
      </c>
      <c r="V597">
        <f t="shared" si="1304"/>
        <v>23</v>
      </c>
      <c r="W597">
        <v>1</v>
      </c>
      <c r="X597">
        <v>2</v>
      </c>
      <c r="Y597">
        <f t="shared" si="1302"/>
        <v>5</v>
      </c>
      <c r="Z597">
        <f t="shared" si="1303"/>
        <v>13</v>
      </c>
    </row>
    <row r="598" spans="1:26" x14ac:dyDescent="0.4">
      <c r="C598" t="s">
        <v>546</v>
      </c>
      <c r="D598" cm="1">
        <f t="array" ref="D598">INDEX(FX_Input,$R598,$Y598*D$5+$Z598)</f>
        <v>1</v>
      </c>
      <c r="E598" cm="1">
        <f t="array" ref="E598">INDEX(FX_Input,$R598,$Y598*E$5+$Z598)</f>
        <v>1</v>
      </c>
      <c r="F598" cm="1">
        <f t="array" ref="F598">INDEX(FX_Input,$R598,$Y598*F$5+$Z598)</f>
        <v>1</v>
      </c>
      <c r="G598" cm="1">
        <f t="array" ref="G598">INDEX(FX_Input,$R598,$Y598*G$5+$Z598)</f>
        <v>1</v>
      </c>
      <c r="H598" cm="1">
        <f t="array" ref="H598">INDEX(FX_Input,$R598,$Y598*H$5+$Z598)</f>
        <v>1</v>
      </c>
      <c r="I598" cm="1">
        <f t="array" ref="I598">INDEX(FX_Input,$R598,$Y598*I$5+$Z598)</f>
        <v>1</v>
      </c>
      <c r="J598" cm="1">
        <f t="array" ref="J598">INDEX(FX_Input,$R598,$Y598*J$5+$Z598)</f>
        <v>1</v>
      </c>
      <c r="K598" cm="1">
        <f t="array" ref="K598">INDEX(FX_Input,$R598,$Y598*K$5+$Z598)</f>
        <v>1</v>
      </c>
      <c r="L598" cm="1">
        <f t="array" ref="L598">INDEX(FX_Input,$R598,$Y598*L$5+$Z598)</f>
        <v>1</v>
      </c>
      <c r="M598" cm="1">
        <f t="array" ref="M598">INDEX(FX_Input,$R598,$Y598*M$5+$Z598)</f>
        <v>1</v>
      </c>
      <c r="N598" cm="1">
        <f t="array" ref="N598">INDEX(FX_Input,$R598,$Y598*N$5+$Z598)</f>
        <v>1</v>
      </c>
      <c r="O598" cm="1">
        <f t="array" ref="O598">INDEX(FX_Input,$R598,$Y598*O$5+$Z598)</f>
        <v>1</v>
      </c>
      <c r="R598">
        <f>R596</f>
        <v>85</v>
      </c>
      <c r="U598">
        <v>21</v>
      </c>
      <c r="V598">
        <f t="shared" si="1304"/>
        <v>26</v>
      </c>
      <c r="W598">
        <v>1</v>
      </c>
      <c r="X598">
        <v>2</v>
      </c>
      <c r="Y598">
        <f t="shared" si="1302"/>
        <v>5</v>
      </c>
      <c r="Z598">
        <f t="shared" si="1303"/>
        <v>16</v>
      </c>
    </row>
    <row r="599" spans="1:26" x14ac:dyDescent="0.4">
      <c r="C599" t="s">
        <v>547</v>
      </c>
      <c r="D599" cm="1">
        <f t="array" ref="D599">INDEX(FX_Input,$R599,$Y599*D$5+$Z599)</f>
        <v>0</v>
      </c>
      <c r="E599" cm="1">
        <f t="array" ref="E599">INDEX(FX_Input,$R599,$Y599*E$5+$Z599)</f>
        <v>0</v>
      </c>
      <c r="F599" cm="1">
        <f t="array" ref="F599">INDEX(FX_Input,$R599,$Y599*F$5+$Z599)</f>
        <v>0</v>
      </c>
      <c r="G599" cm="1">
        <f t="array" ref="G599">INDEX(FX_Input,$R599,$Y599*G$5+$Z599)</f>
        <v>0</v>
      </c>
      <c r="H599" cm="1">
        <f t="array" ref="H599">INDEX(FX_Input,$R599,$Y599*H$5+$Z599)</f>
        <v>0</v>
      </c>
      <c r="I599" cm="1">
        <f t="array" ref="I599">INDEX(FX_Input,$R599,$Y599*I$5+$Z599)</f>
        <v>0</v>
      </c>
      <c r="J599" cm="1">
        <f t="array" ref="J599">INDEX(FX_Input,$R599,$Y599*J$5+$Z599)</f>
        <v>0</v>
      </c>
      <c r="K599" cm="1">
        <f t="array" ref="K599">INDEX(FX_Input,$R599,$Y599*K$5+$Z599)</f>
        <v>0</v>
      </c>
      <c r="L599" cm="1">
        <f t="array" ref="L599">INDEX(FX_Input,$R599,$Y599*L$5+$Z599)</f>
        <v>0</v>
      </c>
      <c r="M599" cm="1">
        <f t="array" ref="M599">INDEX(FX_Input,$R599,$Y599*M$5+$Z599)</f>
        <v>0</v>
      </c>
      <c r="N599" cm="1">
        <f t="array" ref="N599">INDEX(FX_Input,$R599,$Y599*N$5+$Z599)</f>
        <v>0</v>
      </c>
      <c r="O599" cm="1">
        <f t="array" ref="O599">INDEX(FX_Input,$R599,$Y599*O$5+$Z599)</f>
        <v>0</v>
      </c>
      <c r="R599">
        <f>R597</f>
        <v>86</v>
      </c>
      <c r="U599">
        <f>U598</f>
        <v>21</v>
      </c>
      <c r="V599">
        <f t="shared" si="1304"/>
        <v>26</v>
      </c>
      <c r="W599">
        <v>1</v>
      </c>
      <c r="X599">
        <v>2</v>
      </c>
      <c r="Y599">
        <f t="shared" si="1302"/>
        <v>5</v>
      </c>
      <c r="Z599">
        <f t="shared" si="1303"/>
        <v>16</v>
      </c>
    </row>
    <row r="600" spans="1:26" x14ac:dyDescent="0.4">
      <c r="C600" t="s">
        <v>532</v>
      </c>
      <c r="D600">
        <f t="shared" ref="D600:O600" si="1305">IFERROR(VLOOKUP(D594,Phys_Prop,2,FALSE),0)</f>
        <v>162</v>
      </c>
      <c r="E600">
        <f t="shared" si="1305"/>
        <v>162</v>
      </c>
      <c r="F600">
        <f t="shared" si="1305"/>
        <v>162</v>
      </c>
      <c r="G600">
        <f t="shared" si="1305"/>
        <v>162</v>
      </c>
      <c r="H600">
        <f t="shared" si="1305"/>
        <v>162</v>
      </c>
      <c r="I600">
        <f t="shared" si="1305"/>
        <v>162</v>
      </c>
      <c r="J600">
        <f t="shared" si="1305"/>
        <v>162</v>
      </c>
      <c r="K600">
        <f t="shared" si="1305"/>
        <v>162</v>
      </c>
      <c r="L600">
        <f t="shared" si="1305"/>
        <v>162</v>
      </c>
      <c r="M600">
        <f t="shared" si="1305"/>
        <v>162</v>
      </c>
      <c r="N600">
        <f t="shared" si="1305"/>
        <v>162</v>
      </c>
      <c r="O600">
        <f t="shared" si="1305"/>
        <v>162</v>
      </c>
    </row>
    <row r="601" spans="1:26" x14ac:dyDescent="0.4">
      <c r="C601" t="s">
        <v>533</v>
      </c>
      <c r="D601">
        <f t="shared" ref="D601:O601" si="1306">IFERROR(VLOOKUP(D595,Phys_Prop,2,FALSE),0)</f>
        <v>0</v>
      </c>
      <c r="E601">
        <f t="shared" si="1306"/>
        <v>0</v>
      </c>
      <c r="F601">
        <f t="shared" si="1306"/>
        <v>0</v>
      </c>
      <c r="G601">
        <f t="shared" si="1306"/>
        <v>0</v>
      </c>
      <c r="H601">
        <f t="shared" si="1306"/>
        <v>0</v>
      </c>
      <c r="I601">
        <f t="shared" si="1306"/>
        <v>0</v>
      </c>
      <c r="J601">
        <f t="shared" si="1306"/>
        <v>0</v>
      </c>
      <c r="K601">
        <f t="shared" si="1306"/>
        <v>0</v>
      </c>
      <c r="L601">
        <f t="shared" si="1306"/>
        <v>0</v>
      </c>
      <c r="M601">
        <f t="shared" si="1306"/>
        <v>0</v>
      </c>
      <c r="N601">
        <f t="shared" si="1306"/>
        <v>0</v>
      </c>
      <c r="O601">
        <f t="shared" si="1306"/>
        <v>0</v>
      </c>
    </row>
    <row r="602" spans="1:26" x14ac:dyDescent="0.4">
      <c r="C602" t="s">
        <v>544</v>
      </c>
      <c r="D602">
        <f>IFERROR(IFERROR(D600/D598+D601/D599,D600/D598),0)</f>
        <v>162</v>
      </c>
      <c r="E602">
        <f t="shared" ref="E602" si="1307">IFERROR(IFERROR(E600/E598+E601/E599,E600/E598),0)</f>
        <v>162</v>
      </c>
      <c r="F602">
        <f t="shared" ref="F602" si="1308">IFERROR(IFERROR(F600/F598+F601/F599,F600/F598),0)</f>
        <v>162</v>
      </c>
      <c r="G602">
        <f t="shared" ref="G602" si="1309">IFERROR(IFERROR(G600/G598+G601/G599,G600/G598),0)</f>
        <v>162</v>
      </c>
      <c r="H602">
        <f t="shared" ref="H602" si="1310">IFERROR(IFERROR(H600/H598+H601/H599,H600/H598),0)</f>
        <v>162</v>
      </c>
      <c r="I602">
        <f t="shared" ref="I602" si="1311">IFERROR(IFERROR(I600/I598+I601/I599,I600/I598),0)</f>
        <v>162</v>
      </c>
      <c r="J602">
        <f t="shared" ref="J602" si="1312">IFERROR(IFERROR(J600/J598+J601/J599,J600/J598),0)</f>
        <v>162</v>
      </c>
      <c r="K602">
        <f t="shared" ref="K602" si="1313">IFERROR(IFERROR(K600/K598+K601/K599,K600/K598),0)</f>
        <v>162</v>
      </c>
      <c r="L602">
        <f t="shared" ref="L602" si="1314">IFERROR(IFERROR(L600/L598+L601/L599,L600/L598),0)</f>
        <v>162</v>
      </c>
      <c r="M602">
        <f t="shared" ref="M602" si="1315">IFERROR(IFERROR(M600/M598+M601/M599,M600/M598),0)</f>
        <v>162</v>
      </c>
      <c r="N602">
        <f t="shared" ref="N602" si="1316">IFERROR(IFERROR(N600/N598+N601/N599,N600/N598),0)</f>
        <v>162</v>
      </c>
      <c r="O602">
        <f t="shared" ref="O602" si="1317">IFERROR(IFERROR(O600/O598+O601/O599,O600/O598),0)</f>
        <v>162</v>
      </c>
    </row>
    <row r="603" spans="1:26" x14ac:dyDescent="0.4">
      <c r="C603" t="s">
        <v>539</v>
      </c>
      <c r="D603">
        <f>IFERROR((D598/D600)*D602,1)</f>
        <v>1</v>
      </c>
      <c r="E603">
        <f t="shared" ref="E603" si="1318">IFERROR((E598/E600)*E602,1)</f>
        <v>1</v>
      </c>
      <c r="F603">
        <f t="shared" ref="F603" si="1319">IFERROR((F598/F600)*F602,1)</f>
        <v>1</v>
      </c>
      <c r="G603">
        <f t="shared" ref="G603" si="1320">IFERROR((G598/G600)*G602,1)</f>
        <v>1</v>
      </c>
      <c r="H603">
        <f t="shared" ref="H603" si="1321">IFERROR((H598/H600)*H602,1)</f>
        <v>1</v>
      </c>
      <c r="I603">
        <f t="shared" ref="I603" si="1322">IFERROR((I598/I600)*I602,1)</f>
        <v>1</v>
      </c>
      <c r="J603">
        <f t="shared" ref="J603" si="1323">IFERROR((J598/J600)*J602,1)</f>
        <v>1</v>
      </c>
      <c r="K603">
        <f t="shared" ref="K603" si="1324">IFERROR((K598/K600)*K602,1)</f>
        <v>1</v>
      </c>
      <c r="L603">
        <f t="shared" ref="L603" si="1325">IFERROR((L598/L600)*L602,1)</f>
        <v>1</v>
      </c>
      <c r="M603">
        <f t="shared" ref="M603" si="1326">IFERROR((M598/M600)*M602,1)</f>
        <v>1</v>
      </c>
      <c r="N603">
        <f t="shared" ref="N603" si="1327">IFERROR((N598/N600)*N602,1)</f>
        <v>1</v>
      </c>
      <c r="O603">
        <f t="shared" ref="O603" si="1328">IFERROR((O598/O600)*O602,1)</f>
        <v>1</v>
      </c>
    </row>
    <row r="604" spans="1:26" x14ac:dyDescent="0.4">
      <c r="C604" t="s">
        <v>540</v>
      </c>
      <c r="D604">
        <f>IFERROR((D599/D601)*D602,0)</f>
        <v>0</v>
      </c>
      <c r="E604">
        <f t="shared" ref="E604:O604" si="1329">IFERROR((E599/E601)*E602,0)</f>
        <v>0</v>
      </c>
      <c r="F604">
        <f t="shared" si="1329"/>
        <v>0</v>
      </c>
      <c r="G604">
        <f t="shared" si="1329"/>
        <v>0</v>
      </c>
      <c r="H604">
        <f t="shared" si="1329"/>
        <v>0</v>
      </c>
      <c r="I604">
        <f t="shared" si="1329"/>
        <v>0</v>
      </c>
      <c r="J604">
        <f t="shared" si="1329"/>
        <v>0</v>
      </c>
      <c r="K604">
        <f t="shared" si="1329"/>
        <v>0</v>
      </c>
      <c r="L604">
        <f t="shared" si="1329"/>
        <v>0</v>
      </c>
      <c r="M604">
        <f t="shared" si="1329"/>
        <v>0</v>
      </c>
      <c r="N604">
        <f t="shared" si="1329"/>
        <v>0</v>
      </c>
      <c r="O604">
        <f t="shared" si="1329"/>
        <v>0</v>
      </c>
    </row>
    <row r="605" spans="1:26" x14ac:dyDescent="0.4">
      <c r="C605" s="21" t="s">
        <v>534</v>
      </c>
      <c r="D605">
        <f t="shared" ref="D605:O605" si="1330">IFERROR(VLOOKUP(D594,Phys_Prop,4,FALSE),0)</f>
        <v>7</v>
      </c>
      <c r="E605">
        <f t="shared" si="1330"/>
        <v>7</v>
      </c>
      <c r="F605">
        <f t="shared" si="1330"/>
        <v>7</v>
      </c>
      <c r="G605">
        <f t="shared" si="1330"/>
        <v>7</v>
      </c>
      <c r="H605">
        <f t="shared" si="1330"/>
        <v>7</v>
      </c>
      <c r="I605">
        <f t="shared" si="1330"/>
        <v>7</v>
      </c>
      <c r="J605">
        <f t="shared" si="1330"/>
        <v>7</v>
      </c>
      <c r="K605">
        <f t="shared" si="1330"/>
        <v>7</v>
      </c>
      <c r="L605">
        <f t="shared" si="1330"/>
        <v>7</v>
      </c>
      <c r="M605">
        <f t="shared" si="1330"/>
        <v>7</v>
      </c>
      <c r="N605">
        <f t="shared" si="1330"/>
        <v>7</v>
      </c>
      <c r="O605">
        <f t="shared" si="1330"/>
        <v>7</v>
      </c>
    </row>
    <row r="606" spans="1:26" x14ac:dyDescent="0.4">
      <c r="C606" s="21" t="s">
        <v>535</v>
      </c>
      <c r="D606">
        <f t="shared" ref="D606:O606" si="1331">IFERROR(VLOOKUP(D595,Phys_Prop,4,FALSE),0)</f>
        <v>0</v>
      </c>
      <c r="E606">
        <f t="shared" si="1331"/>
        <v>0</v>
      </c>
      <c r="F606">
        <f t="shared" si="1331"/>
        <v>0</v>
      </c>
      <c r="G606">
        <f t="shared" si="1331"/>
        <v>0</v>
      </c>
      <c r="H606">
        <f t="shared" si="1331"/>
        <v>0</v>
      </c>
      <c r="I606">
        <f t="shared" si="1331"/>
        <v>0</v>
      </c>
      <c r="J606">
        <f t="shared" si="1331"/>
        <v>0</v>
      </c>
      <c r="K606">
        <f t="shared" si="1331"/>
        <v>0</v>
      </c>
      <c r="L606">
        <f t="shared" si="1331"/>
        <v>0</v>
      </c>
      <c r="M606">
        <f t="shared" si="1331"/>
        <v>0</v>
      </c>
      <c r="N606">
        <f t="shared" si="1331"/>
        <v>0</v>
      </c>
      <c r="O606">
        <f t="shared" si="1331"/>
        <v>0</v>
      </c>
    </row>
    <row r="607" spans="1:26" x14ac:dyDescent="0.4">
      <c r="A607" s="11"/>
      <c r="B607" s="11"/>
      <c r="C607" s="62" t="s">
        <v>536</v>
      </c>
      <c r="D607" s="11">
        <f>IFERROR(1/(D603/D605+D604/D606),D605)</f>
        <v>7</v>
      </c>
      <c r="E607" s="11">
        <f t="shared" ref="E607:O607" si="1332">IFERROR(1/(E603/E605+E604/E606),E605)</f>
        <v>7</v>
      </c>
      <c r="F607" s="11">
        <f t="shared" si="1332"/>
        <v>7</v>
      </c>
      <c r="G607" s="11">
        <f t="shared" si="1332"/>
        <v>7</v>
      </c>
      <c r="H607" s="11">
        <f t="shared" si="1332"/>
        <v>7</v>
      </c>
      <c r="I607" s="11">
        <f t="shared" si="1332"/>
        <v>7</v>
      </c>
      <c r="J607" s="11">
        <f t="shared" si="1332"/>
        <v>7</v>
      </c>
      <c r="K607" s="11">
        <f t="shared" si="1332"/>
        <v>7</v>
      </c>
      <c r="L607" s="11">
        <f t="shared" si="1332"/>
        <v>7</v>
      </c>
      <c r="M607" s="11">
        <f t="shared" si="1332"/>
        <v>7</v>
      </c>
      <c r="N607" s="11">
        <f t="shared" si="1332"/>
        <v>7</v>
      </c>
      <c r="O607" s="11">
        <f t="shared" si="1332"/>
        <v>7</v>
      </c>
      <c r="P607" s="11"/>
      <c r="Q607" s="11"/>
      <c r="R607" s="11"/>
      <c r="S607" s="11"/>
      <c r="T607" s="11"/>
      <c r="U607" s="11"/>
      <c r="V607" s="11"/>
      <c r="W607" s="11"/>
      <c r="X607" s="11"/>
      <c r="Y607" s="11"/>
      <c r="Z607" s="11"/>
    </row>
    <row r="608" spans="1:26" x14ac:dyDescent="0.4">
      <c r="A608" t="str" cm="1">
        <f t="array" ref="A608">INDEX(FX_Input,R608,S608)</f>
        <v>FX - 44</v>
      </c>
      <c r="B608" t="str" cm="1">
        <f t="array" ref="B608">INDEX(FX_Input,R608,T608)</f>
        <v>Portland</v>
      </c>
      <c r="C608" t="s">
        <v>528</v>
      </c>
      <c r="D608" t="str" cm="1">
        <f t="array" ref="D608">INDEX(FX_Input,$R608,$Y608*D$5+$Z608)</f>
        <v>Jet kerosene</v>
      </c>
      <c r="E608" t="str" cm="1">
        <f t="array" ref="E608">INDEX(FX_Input,$R608,$Y608*E$5+$Z608)</f>
        <v>Jet kerosene</v>
      </c>
      <c r="F608" t="str" cm="1">
        <f t="array" ref="F608">INDEX(FX_Input,$R608,$Y608*F$5+$Z608)</f>
        <v>Jet kerosene</v>
      </c>
      <c r="G608" t="str" cm="1">
        <f t="array" ref="G608">INDEX(FX_Input,$R608,$Y608*G$5+$Z608)</f>
        <v>Jet kerosene</v>
      </c>
      <c r="H608" t="str" cm="1">
        <f t="array" ref="H608">INDEX(FX_Input,$R608,$Y608*H$5+$Z608)</f>
        <v>Jet kerosene</v>
      </c>
      <c r="I608" t="str" cm="1">
        <f t="array" ref="I608">INDEX(FX_Input,$R608,$Y608*I$5+$Z608)</f>
        <v>Jet kerosene</v>
      </c>
      <c r="J608" t="str" cm="1">
        <f t="array" ref="J608">INDEX(FX_Input,$R608,$Y608*J$5+$Z608)</f>
        <v>Jet kerosene</v>
      </c>
      <c r="K608" t="str" cm="1">
        <f t="array" ref="K608">INDEX(FX_Input,$R608,$Y608*K$5+$Z608)</f>
        <v>Jet kerosene</v>
      </c>
      <c r="L608" t="str" cm="1">
        <f t="array" ref="L608">INDEX(FX_Input,$R608,$Y608*L$5+$Z608)</f>
        <v>Jet kerosene</v>
      </c>
      <c r="M608" t="str" cm="1">
        <f t="array" ref="M608">INDEX(FX_Input,$R608,$Y608*M$5+$Z608)</f>
        <v>Jet kerosene</v>
      </c>
      <c r="N608" t="str" cm="1">
        <f t="array" ref="N608">INDEX(FX_Input,$R608,$Y608*N$5+$Z608)</f>
        <v>Jet kerosene</v>
      </c>
      <c r="O608" t="str" cm="1">
        <f t="array" ref="O608">INDEX(FX_Input,$R608,$Y608*O$5+$Z608)</f>
        <v>Jet kerosene</v>
      </c>
      <c r="R608">
        <f>R594+2</f>
        <v>87</v>
      </c>
      <c r="S608">
        <v>1</v>
      </c>
      <c r="T608">
        <v>3</v>
      </c>
      <c r="U608">
        <v>17</v>
      </c>
      <c r="V608">
        <f>U608+5</f>
        <v>22</v>
      </c>
      <c r="W608">
        <v>1</v>
      </c>
      <c r="X608">
        <v>2</v>
      </c>
      <c r="Y608">
        <f t="shared" ref="Y608:Y613" si="1333">(V608-U608)/(X608-W608)</f>
        <v>5</v>
      </c>
      <c r="Z608">
        <f t="shared" ref="Z608:Z613" si="1334">U608-Y608*W608</f>
        <v>12</v>
      </c>
    </row>
    <row r="609" spans="1:26" x14ac:dyDescent="0.4">
      <c r="C609" t="s">
        <v>529</v>
      </c>
      <c r="D609" cm="1">
        <f t="array" ref="D609">INDEX(FX_Input,$R609,$Y609*D$5+$Z609)</f>
        <v>0</v>
      </c>
      <c r="E609" cm="1">
        <f t="array" ref="E609">INDEX(FX_Input,$R609,$Y609*E$5+$Z609)</f>
        <v>0</v>
      </c>
      <c r="F609" cm="1">
        <f t="array" ref="F609">INDEX(FX_Input,$R609,$Y609*F$5+$Z609)</f>
        <v>0</v>
      </c>
      <c r="G609" cm="1">
        <f t="array" ref="G609">INDEX(FX_Input,$R609,$Y609*G$5+$Z609)</f>
        <v>0</v>
      </c>
      <c r="H609" cm="1">
        <f t="array" ref="H609">INDEX(FX_Input,$R609,$Y609*H$5+$Z609)</f>
        <v>0</v>
      </c>
      <c r="I609" cm="1">
        <f t="array" ref="I609">INDEX(FX_Input,$R609,$Y609*I$5+$Z609)</f>
        <v>0</v>
      </c>
      <c r="J609" cm="1">
        <f t="array" ref="J609">INDEX(FX_Input,$R609,$Y609*J$5+$Z609)</f>
        <v>0</v>
      </c>
      <c r="K609" cm="1">
        <f t="array" ref="K609">INDEX(FX_Input,$R609,$Y609*K$5+$Z609)</f>
        <v>0</v>
      </c>
      <c r="L609" cm="1">
        <f t="array" ref="L609">INDEX(FX_Input,$R609,$Y609*L$5+$Z609)</f>
        <v>0</v>
      </c>
      <c r="M609" cm="1">
        <f t="array" ref="M609">INDEX(FX_Input,$R609,$Y609*M$5+$Z609)</f>
        <v>0</v>
      </c>
      <c r="N609" cm="1">
        <f t="array" ref="N609">INDEX(FX_Input,$R609,$Y609*N$5+$Z609)</f>
        <v>0</v>
      </c>
      <c r="O609" cm="1">
        <f t="array" ref="O609">INDEX(FX_Input,$R609,$Y609*O$5+$Z609)</f>
        <v>0</v>
      </c>
      <c r="R609">
        <f>R608+1</f>
        <v>88</v>
      </c>
      <c r="U609">
        <f>U608</f>
        <v>17</v>
      </c>
      <c r="V609">
        <f t="shared" ref="V609:V613" si="1335">U609+5</f>
        <v>22</v>
      </c>
      <c r="W609">
        <v>1</v>
      </c>
      <c r="X609">
        <v>2</v>
      </c>
      <c r="Y609">
        <f t="shared" si="1333"/>
        <v>5</v>
      </c>
      <c r="Z609">
        <f t="shared" si="1334"/>
        <v>12</v>
      </c>
    </row>
    <row r="610" spans="1:26" x14ac:dyDescent="0.4">
      <c r="C610" t="s">
        <v>530</v>
      </c>
      <c r="D610" t="str" cm="1">
        <f t="array" ref="D610">INDEX(FX_Input,$R610,$Y610*D$5+$Z610)</f>
        <v>Select Pet Stock</v>
      </c>
      <c r="E610" t="str" cm="1">
        <f t="array" ref="E610">INDEX(FX_Input,$R610,$Y610*E$5+$Z610)</f>
        <v>Select Pet Stock</v>
      </c>
      <c r="F610" t="str" cm="1">
        <f t="array" ref="F610">INDEX(FX_Input,$R610,$Y610*F$5+$Z610)</f>
        <v>Select Pet Stock</v>
      </c>
      <c r="G610" t="str" cm="1">
        <f t="array" ref="G610">INDEX(FX_Input,$R610,$Y610*G$5+$Z610)</f>
        <v>Select Pet Stock</v>
      </c>
      <c r="H610" t="str" cm="1">
        <f t="array" ref="H610">INDEX(FX_Input,$R610,$Y610*H$5+$Z610)</f>
        <v>Select Pet Stock</v>
      </c>
      <c r="I610" t="str" cm="1">
        <f t="array" ref="I610">INDEX(FX_Input,$R610,$Y610*I$5+$Z610)</f>
        <v>Select Pet Stock</v>
      </c>
      <c r="J610" t="str" cm="1">
        <f t="array" ref="J610">INDEX(FX_Input,$R610,$Y610*J$5+$Z610)</f>
        <v>Select Pet Stock</v>
      </c>
      <c r="K610" t="str" cm="1">
        <f t="array" ref="K610">INDEX(FX_Input,$R610,$Y610*K$5+$Z610)</f>
        <v>Select Pet Stock</v>
      </c>
      <c r="L610" t="str" cm="1">
        <f t="array" ref="L610">INDEX(FX_Input,$R610,$Y610*L$5+$Z610)</f>
        <v>Select Pet Stock</v>
      </c>
      <c r="M610" t="str" cm="1">
        <f t="array" ref="M610">INDEX(FX_Input,$R610,$Y610*M$5+$Z610)</f>
        <v>Select Pet Stock</v>
      </c>
      <c r="N610" t="str" cm="1">
        <f t="array" ref="N610">INDEX(FX_Input,$R610,$Y610*N$5+$Z610)</f>
        <v>Select Pet Stock</v>
      </c>
      <c r="O610" t="str" cm="1">
        <f t="array" ref="O610">INDEX(FX_Input,$R610,$Y610*O$5+$Z610)</f>
        <v>Select Pet Stock</v>
      </c>
      <c r="R610">
        <f>R608</f>
        <v>87</v>
      </c>
      <c r="U610">
        <v>18</v>
      </c>
      <c r="V610">
        <f t="shared" si="1335"/>
        <v>23</v>
      </c>
      <c r="W610">
        <v>1</v>
      </c>
      <c r="X610">
        <v>2</v>
      </c>
      <c r="Y610">
        <f t="shared" si="1333"/>
        <v>5</v>
      </c>
      <c r="Z610">
        <f t="shared" si="1334"/>
        <v>13</v>
      </c>
    </row>
    <row r="611" spans="1:26" x14ac:dyDescent="0.4">
      <c r="C611" t="s">
        <v>531</v>
      </c>
      <c r="D611" cm="1">
        <f t="array" ref="D611">INDEX(FX_Input,$R611,$Y611*D$5+$Z611)</f>
        <v>0</v>
      </c>
      <c r="E611" cm="1">
        <f t="array" ref="E611">INDEX(FX_Input,$R611,$Y611*E$5+$Z611)</f>
        <v>0</v>
      </c>
      <c r="F611" cm="1">
        <f t="array" ref="F611">INDEX(FX_Input,$R611,$Y611*F$5+$Z611)</f>
        <v>0</v>
      </c>
      <c r="G611" cm="1">
        <f t="array" ref="G611">INDEX(FX_Input,$R611,$Y611*G$5+$Z611)</f>
        <v>0</v>
      </c>
      <c r="H611" cm="1">
        <f t="array" ref="H611">INDEX(FX_Input,$R611,$Y611*H$5+$Z611)</f>
        <v>0</v>
      </c>
      <c r="I611" cm="1">
        <f t="array" ref="I611">INDEX(FX_Input,$R611,$Y611*I$5+$Z611)</f>
        <v>0</v>
      </c>
      <c r="J611" cm="1">
        <f t="array" ref="J611">INDEX(FX_Input,$R611,$Y611*J$5+$Z611)</f>
        <v>0</v>
      </c>
      <c r="K611" cm="1">
        <f t="array" ref="K611">INDEX(FX_Input,$R611,$Y611*K$5+$Z611)</f>
        <v>0</v>
      </c>
      <c r="L611" cm="1">
        <f t="array" ref="L611">INDEX(FX_Input,$R611,$Y611*L$5+$Z611)</f>
        <v>0</v>
      </c>
      <c r="M611" cm="1">
        <f t="array" ref="M611">INDEX(FX_Input,$R611,$Y611*M$5+$Z611)</f>
        <v>0</v>
      </c>
      <c r="N611" cm="1">
        <f t="array" ref="N611">INDEX(FX_Input,$R611,$Y611*N$5+$Z611)</f>
        <v>0</v>
      </c>
      <c r="O611" cm="1">
        <f t="array" ref="O611">INDEX(FX_Input,$R611,$Y611*O$5+$Z611)</f>
        <v>0</v>
      </c>
      <c r="R611">
        <f>R609</f>
        <v>88</v>
      </c>
      <c r="U611">
        <f>U610</f>
        <v>18</v>
      </c>
      <c r="V611">
        <f t="shared" si="1335"/>
        <v>23</v>
      </c>
      <c r="W611">
        <v>1</v>
      </c>
      <c r="X611">
        <v>2</v>
      </c>
      <c r="Y611">
        <f t="shared" si="1333"/>
        <v>5</v>
      </c>
      <c r="Z611">
        <f t="shared" si="1334"/>
        <v>13</v>
      </c>
    </row>
    <row r="612" spans="1:26" x14ac:dyDescent="0.4">
      <c r="C612" t="s">
        <v>546</v>
      </c>
      <c r="D612" cm="1">
        <f t="array" ref="D612">INDEX(FX_Input,$R612,$Y612*D$5+$Z612)</f>
        <v>1</v>
      </c>
      <c r="E612" cm="1">
        <f t="array" ref="E612">INDEX(FX_Input,$R612,$Y612*E$5+$Z612)</f>
        <v>1</v>
      </c>
      <c r="F612" cm="1">
        <f t="array" ref="F612">INDEX(FX_Input,$R612,$Y612*F$5+$Z612)</f>
        <v>1</v>
      </c>
      <c r="G612" cm="1">
        <f t="array" ref="G612">INDEX(FX_Input,$R612,$Y612*G$5+$Z612)</f>
        <v>1</v>
      </c>
      <c r="H612" cm="1">
        <f t="array" ref="H612">INDEX(FX_Input,$R612,$Y612*H$5+$Z612)</f>
        <v>1</v>
      </c>
      <c r="I612" cm="1">
        <f t="array" ref="I612">INDEX(FX_Input,$R612,$Y612*I$5+$Z612)</f>
        <v>1</v>
      </c>
      <c r="J612" cm="1">
        <f t="array" ref="J612">INDEX(FX_Input,$R612,$Y612*J$5+$Z612)</f>
        <v>1</v>
      </c>
      <c r="K612" cm="1">
        <f t="array" ref="K612">INDEX(FX_Input,$R612,$Y612*K$5+$Z612)</f>
        <v>1</v>
      </c>
      <c r="L612" cm="1">
        <f t="array" ref="L612">INDEX(FX_Input,$R612,$Y612*L$5+$Z612)</f>
        <v>1</v>
      </c>
      <c r="M612" cm="1">
        <f t="array" ref="M612">INDEX(FX_Input,$R612,$Y612*M$5+$Z612)</f>
        <v>1</v>
      </c>
      <c r="N612" cm="1">
        <f t="array" ref="N612">INDEX(FX_Input,$R612,$Y612*N$5+$Z612)</f>
        <v>1</v>
      </c>
      <c r="O612" cm="1">
        <f t="array" ref="O612">INDEX(FX_Input,$R612,$Y612*O$5+$Z612)</f>
        <v>1</v>
      </c>
      <c r="R612">
        <f>R610</f>
        <v>87</v>
      </c>
      <c r="U612">
        <v>21</v>
      </c>
      <c r="V612">
        <f t="shared" si="1335"/>
        <v>26</v>
      </c>
      <c r="W612">
        <v>1</v>
      </c>
      <c r="X612">
        <v>2</v>
      </c>
      <c r="Y612">
        <f t="shared" si="1333"/>
        <v>5</v>
      </c>
      <c r="Z612">
        <f t="shared" si="1334"/>
        <v>16</v>
      </c>
    </row>
    <row r="613" spans="1:26" x14ac:dyDescent="0.4">
      <c r="C613" t="s">
        <v>547</v>
      </c>
      <c r="D613" cm="1">
        <f t="array" ref="D613">INDEX(FX_Input,$R613,$Y613*D$5+$Z613)</f>
        <v>0</v>
      </c>
      <c r="E613" cm="1">
        <f t="array" ref="E613">INDEX(FX_Input,$R613,$Y613*E$5+$Z613)</f>
        <v>0</v>
      </c>
      <c r="F613" cm="1">
        <f t="array" ref="F613">INDEX(FX_Input,$R613,$Y613*F$5+$Z613)</f>
        <v>0</v>
      </c>
      <c r="G613" cm="1">
        <f t="array" ref="G613">INDEX(FX_Input,$R613,$Y613*G$5+$Z613)</f>
        <v>0</v>
      </c>
      <c r="H613" cm="1">
        <f t="array" ref="H613">INDEX(FX_Input,$R613,$Y613*H$5+$Z613)</f>
        <v>0</v>
      </c>
      <c r="I613" cm="1">
        <f t="array" ref="I613">INDEX(FX_Input,$R613,$Y613*I$5+$Z613)</f>
        <v>0</v>
      </c>
      <c r="J613" cm="1">
        <f t="array" ref="J613">INDEX(FX_Input,$R613,$Y613*J$5+$Z613)</f>
        <v>0</v>
      </c>
      <c r="K613" cm="1">
        <f t="array" ref="K613">INDEX(FX_Input,$R613,$Y613*K$5+$Z613)</f>
        <v>0</v>
      </c>
      <c r="L613" cm="1">
        <f t="array" ref="L613">INDEX(FX_Input,$R613,$Y613*L$5+$Z613)</f>
        <v>0</v>
      </c>
      <c r="M613" cm="1">
        <f t="array" ref="M613">INDEX(FX_Input,$R613,$Y613*M$5+$Z613)</f>
        <v>0</v>
      </c>
      <c r="N613" cm="1">
        <f t="array" ref="N613">INDEX(FX_Input,$R613,$Y613*N$5+$Z613)</f>
        <v>0</v>
      </c>
      <c r="O613" cm="1">
        <f t="array" ref="O613">INDEX(FX_Input,$R613,$Y613*O$5+$Z613)</f>
        <v>0</v>
      </c>
      <c r="R613">
        <f>R611</f>
        <v>88</v>
      </c>
      <c r="U613">
        <f>U612</f>
        <v>21</v>
      </c>
      <c r="V613">
        <f t="shared" si="1335"/>
        <v>26</v>
      </c>
      <c r="W613">
        <v>1</v>
      </c>
      <c r="X613">
        <v>2</v>
      </c>
      <c r="Y613">
        <f t="shared" si="1333"/>
        <v>5</v>
      </c>
      <c r="Z613">
        <f t="shared" si="1334"/>
        <v>16</v>
      </c>
    </row>
    <row r="614" spans="1:26" x14ac:dyDescent="0.4">
      <c r="C614" t="s">
        <v>532</v>
      </c>
      <c r="D614">
        <f t="shared" ref="D614:O614" si="1336">IFERROR(VLOOKUP(D608,Phys_Prop,2,FALSE),0)</f>
        <v>162</v>
      </c>
      <c r="E614">
        <f t="shared" si="1336"/>
        <v>162</v>
      </c>
      <c r="F614">
        <f t="shared" si="1336"/>
        <v>162</v>
      </c>
      <c r="G614">
        <f t="shared" si="1336"/>
        <v>162</v>
      </c>
      <c r="H614">
        <f t="shared" si="1336"/>
        <v>162</v>
      </c>
      <c r="I614">
        <f t="shared" si="1336"/>
        <v>162</v>
      </c>
      <c r="J614">
        <f t="shared" si="1336"/>
        <v>162</v>
      </c>
      <c r="K614">
        <f t="shared" si="1336"/>
        <v>162</v>
      </c>
      <c r="L614">
        <f t="shared" si="1336"/>
        <v>162</v>
      </c>
      <c r="M614">
        <f t="shared" si="1336"/>
        <v>162</v>
      </c>
      <c r="N614">
        <f t="shared" si="1336"/>
        <v>162</v>
      </c>
      <c r="O614">
        <f t="shared" si="1336"/>
        <v>162</v>
      </c>
    </row>
    <row r="615" spans="1:26" x14ac:dyDescent="0.4">
      <c r="C615" t="s">
        <v>533</v>
      </c>
      <c r="D615">
        <f t="shared" ref="D615:O615" si="1337">IFERROR(VLOOKUP(D609,Phys_Prop,2,FALSE),0)</f>
        <v>0</v>
      </c>
      <c r="E615">
        <f t="shared" si="1337"/>
        <v>0</v>
      </c>
      <c r="F615">
        <f t="shared" si="1337"/>
        <v>0</v>
      </c>
      <c r="G615">
        <f t="shared" si="1337"/>
        <v>0</v>
      </c>
      <c r="H615">
        <f t="shared" si="1337"/>
        <v>0</v>
      </c>
      <c r="I615">
        <f t="shared" si="1337"/>
        <v>0</v>
      </c>
      <c r="J615">
        <f t="shared" si="1337"/>
        <v>0</v>
      </c>
      <c r="K615">
        <f t="shared" si="1337"/>
        <v>0</v>
      </c>
      <c r="L615">
        <f t="shared" si="1337"/>
        <v>0</v>
      </c>
      <c r="M615">
        <f t="shared" si="1337"/>
        <v>0</v>
      </c>
      <c r="N615">
        <f t="shared" si="1337"/>
        <v>0</v>
      </c>
      <c r="O615">
        <f t="shared" si="1337"/>
        <v>0</v>
      </c>
    </row>
    <row r="616" spans="1:26" x14ac:dyDescent="0.4">
      <c r="C616" t="s">
        <v>544</v>
      </c>
      <c r="D616">
        <f>IFERROR(IFERROR(D614/D612+D615/D613,D614/D612),0)</f>
        <v>162</v>
      </c>
      <c r="E616">
        <f t="shared" ref="E616" si="1338">IFERROR(IFERROR(E614/E612+E615/E613,E614/E612),0)</f>
        <v>162</v>
      </c>
      <c r="F616">
        <f t="shared" ref="F616" si="1339">IFERROR(IFERROR(F614/F612+F615/F613,F614/F612),0)</f>
        <v>162</v>
      </c>
      <c r="G616">
        <f t="shared" ref="G616" si="1340">IFERROR(IFERROR(G614/G612+G615/G613,G614/G612),0)</f>
        <v>162</v>
      </c>
      <c r="H616">
        <f t="shared" ref="H616" si="1341">IFERROR(IFERROR(H614/H612+H615/H613,H614/H612),0)</f>
        <v>162</v>
      </c>
      <c r="I616">
        <f t="shared" ref="I616" si="1342">IFERROR(IFERROR(I614/I612+I615/I613,I614/I612),0)</f>
        <v>162</v>
      </c>
      <c r="J616">
        <f t="shared" ref="J616" si="1343">IFERROR(IFERROR(J614/J612+J615/J613,J614/J612),0)</f>
        <v>162</v>
      </c>
      <c r="K616">
        <f t="shared" ref="K616" si="1344">IFERROR(IFERROR(K614/K612+K615/K613,K614/K612),0)</f>
        <v>162</v>
      </c>
      <c r="L616">
        <f t="shared" ref="L616" si="1345">IFERROR(IFERROR(L614/L612+L615/L613,L614/L612),0)</f>
        <v>162</v>
      </c>
      <c r="M616">
        <f t="shared" ref="M616" si="1346">IFERROR(IFERROR(M614/M612+M615/M613,M614/M612),0)</f>
        <v>162</v>
      </c>
      <c r="N616">
        <f t="shared" ref="N616" si="1347">IFERROR(IFERROR(N614/N612+N615/N613,N614/N612),0)</f>
        <v>162</v>
      </c>
      <c r="O616">
        <f t="shared" ref="O616" si="1348">IFERROR(IFERROR(O614/O612+O615/O613,O614/O612),0)</f>
        <v>162</v>
      </c>
    </row>
    <row r="617" spans="1:26" x14ac:dyDescent="0.4">
      <c r="C617" t="s">
        <v>539</v>
      </c>
      <c r="D617">
        <f>IFERROR((D612/D614)*D616,1)</f>
        <v>1</v>
      </c>
      <c r="E617">
        <f t="shared" ref="E617" si="1349">IFERROR((E612/E614)*E616,1)</f>
        <v>1</v>
      </c>
      <c r="F617">
        <f t="shared" ref="F617" si="1350">IFERROR((F612/F614)*F616,1)</f>
        <v>1</v>
      </c>
      <c r="G617">
        <f t="shared" ref="G617" si="1351">IFERROR((G612/G614)*G616,1)</f>
        <v>1</v>
      </c>
      <c r="H617">
        <f t="shared" ref="H617" si="1352">IFERROR((H612/H614)*H616,1)</f>
        <v>1</v>
      </c>
      <c r="I617">
        <f t="shared" ref="I617" si="1353">IFERROR((I612/I614)*I616,1)</f>
        <v>1</v>
      </c>
      <c r="J617">
        <f t="shared" ref="J617" si="1354">IFERROR((J612/J614)*J616,1)</f>
        <v>1</v>
      </c>
      <c r="K617">
        <f t="shared" ref="K617" si="1355">IFERROR((K612/K614)*K616,1)</f>
        <v>1</v>
      </c>
      <c r="L617">
        <f t="shared" ref="L617" si="1356">IFERROR((L612/L614)*L616,1)</f>
        <v>1</v>
      </c>
      <c r="M617">
        <f t="shared" ref="M617" si="1357">IFERROR((M612/M614)*M616,1)</f>
        <v>1</v>
      </c>
      <c r="N617">
        <f t="shared" ref="N617" si="1358">IFERROR((N612/N614)*N616,1)</f>
        <v>1</v>
      </c>
      <c r="O617">
        <f t="shared" ref="O617" si="1359">IFERROR((O612/O614)*O616,1)</f>
        <v>1</v>
      </c>
    </row>
    <row r="618" spans="1:26" x14ac:dyDescent="0.4">
      <c r="C618" t="s">
        <v>540</v>
      </c>
      <c r="D618">
        <f>IFERROR((D613/D615)*D616,0)</f>
        <v>0</v>
      </c>
      <c r="E618">
        <f t="shared" ref="E618:O618" si="1360">IFERROR((E613/E615)*E616,0)</f>
        <v>0</v>
      </c>
      <c r="F618">
        <f t="shared" si="1360"/>
        <v>0</v>
      </c>
      <c r="G618">
        <f t="shared" si="1360"/>
        <v>0</v>
      </c>
      <c r="H618">
        <f t="shared" si="1360"/>
        <v>0</v>
      </c>
      <c r="I618">
        <f t="shared" si="1360"/>
        <v>0</v>
      </c>
      <c r="J618">
        <f t="shared" si="1360"/>
        <v>0</v>
      </c>
      <c r="K618">
        <f t="shared" si="1360"/>
        <v>0</v>
      </c>
      <c r="L618">
        <f t="shared" si="1360"/>
        <v>0</v>
      </c>
      <c r="M618">
        <f t="shared" si="1360"/>
        <v>0</v>
      </c>
      <c r="N618">
        <f t="shared" si="1360"/>
        <v>0</v>
      </c>
      <c r="O618">
        <f t="shared" si="1360"/>
        <v>0</v>
      </c>
    </row>
    <row r="619" spans="1:26" x14ac:dyDescent="0.4">
      <c r="C619" s="21" t="s">
        <v>534</v>
      </c>
      <c r="D619">
        <f t="shared" ref="D619:O619" si="1361">IFERROR(VLOOKUP(D608,Phys_Prop,4,FALSE),0)</f>
        <v>7</v>
      </c>
      <c r="E619">
        <f t="shared" si="1361"/>
        <v>7</v>
      </c>
      <c r="F619">
        <f t="shared" si="1361"/>
        <v>7</v>
      </c>
      <c r="G619">
        <f t="shared" si="1361"/>
        <v>7</v>
      </c>
      <c r="H619">
        <f t="shared" si="1361"/>
        <v>7</v>
      </c>
      <c r="I619">
        <f t="shared" si="1361"/>
        <v>7</v>
      </c>
      <c r="J619">
        <f t="shared" si="1361"/>
        <v>7</v>
      </c>
      <c r="K619">
        <f t="shared" si="1361"/>
        <v>7</v>
      </c>
      <c r="L619">
        <f t="shared" si="1361"/>
        <v>7</v>
      </c>
      <c r="M619">
        <f t="shared" si="1361"/>
        <v>7</v>
      </c>
      <c r="N619">
        <f t="shared" si="1361"/>
        <v>7</v>
      </c>
      <c r="O619">
        <f t="shared" si="1361"/>
        <v>7</v>
      </c>
    </row>
    <row r="620" spans="1:26" x14ac:dyDescent="0.4">
      <c r="C620" s="21" t="s">
        <v>535</v>
      </c>
      <c r="D620">
        <f t="shared" ref="D620:O620" si="1362">IFERROR(VLOOKUP(D609,Phys_Prop,4,FALSE),0)</f>
        <v>0</v>
      </c>
      <c r="E620">
        <f t="shared" si="1362"/>
        <v>0</v>
      </c>
      <c r="F620">
        <f t="shared" si="1362"/>
        <v>0</v>
      </c>
      <c r="G620">
        <f t="shared" si="1362"/>
        <v>0</v>
      </c>
      <c r="H620">
        <f t="shared" si="1362"/>
        <v>0</v>
      </c>
      <c r="I620">
        <f t="shared" si="1362"/>
        <v>0</v>
      </c>
      <c r="J620">
        <f t="shared" si="1362"/>
        <v>0</v>
      </c>
      <c r="K620">
        <f t="shared" si="1362"/>
        <v>0</v>
      </c>
      <c r="L620">
        <f t="shared" si="1362"/>
        <v>0</v>
      </c>
      <c r="M620">
        <f t="shared" si="1362"/>
        <v>0</v>
      </c>
      <c r="N620">
        <f t="shared" si="1362"/>
        <v>0</v>
      </c>
      <c r="O620">
        <f t="shared" si="1362"/>
        <v>0</v>
      </c>
    </row>
    <row r="621" spans="1:26" x14ac:dyDescent="0.4">
      <c r="A621" s="11"/>
      <c r="B621" s="11"/>
      <c r="C621" s="62" t="s">
        <v>536</v>
      </c>
      <c r="D621" s="11">
        <f>IFERROR(1/(D617/D619+D618/D620),D619)</f>
        <v>7</v>
      </c>
      <c r="E621" s="11">
        <f t="shared" ref="E621:O621" si="1363">IFERROR(1/(E617/E619+E618/E620),E619)</f>
        <v>7</v>
      </c>
      <c r="F621" s="11">
        <f t="shared" si="1363"/>
        <v>7</v>
      </c>
      <c r="G621" s="11">
        <f t="shared" si="1363"/>
        <v>7</v>
      </c>
      <c r="H621" s="11">
        <f t="shared" si="1363"/>
        <v>7</v>
      </c>
      <c r="I621" s="11">
        <f t="shared" si="1363"/>
        <v>7</v>
      </c>
      <c r="J621" s="11">
        <f t="shared" si="1363"/>
        <v>7</v>
      </c>
      <c r="K621" s="11">
        <f t="shared" si="1363"/>
        <v>7</v>
      </c>
      <c r="L621" s="11">
        <f t="shared" si="1363"/>
        <v>7</v>
      </c>
      <c r="M621" s="11">
        <f t="shared" si="1363"/>
        <v>7</v>
      </c>
      <c r="N621" s="11">
        <f t="shared" si="1363"/>
        <v>7</v>
      </c>
      <c r="O621" s="11">
        <f t="shared" si="1363"/>
        <v>7</v>
      </c>
      <c r="P621" s="11"/>
      <c r="Q621" s="11"/>
      <c r="R621" s="11"/>
      <c r="S621" s="11"/>
      <c r="T621" s="11"/>
      <c r="U621" s="11"/>
      <c r="V621" s="11"/>
      <c r="W621" s="11"/>
      <c r="X621" s="11"/>
      <c r="Y621" s="11"/>
      <c r="Z621" s="11"/>
    </row>
    <row r="622" spans="1:26" x14ac:dyDescent="0.4">
      <c r="A622" t="str" cm="1">
        <f t="array" ref="A622">INDEX(FX_Input,R622,S622)</f>
        <v>FX - 45</v>
      </c>
      <c r="B622" t="str" cm="1">
        <f t="array" ref="B622">INDEX(FX_Input,R622,T622)</f>
        <v>Portland</v>
      </c>
      <c r="C622" t="s">
        <v>528</v>
      </c>
      <c r="D622" t="str" cm="1">
        <f t="array" ref="D622">INDEX(FX_Input,$R622,$Y622*D$5+$Z622)</f>
        <v>Jet kerosene</v>
      </c>
      <c r="E622" t="str" cm="1">
        <f t="array" ref="E622">INDEX(FX_Input,$R622,$Y622*E$5+$Z622)</f>
        <v>Jet kerosene</v>
      </c>
      <c r="F622" t="str" cm="1">
        <f t="array" ref="F622">INDEX(FX_Input,$R622,$Y622*F$5+$Z622)</f>
        <v>Jet kerosene</v>
      </c>
      <c r="G622" t="str" cm="1">
        <f t="array" ref="G622">INDEX(FX_Input,$R622,$Y622*G$5+$Z622)</f>
        <v>Jet kerosene</v>
      </c>
      <c r="H622" t="str" cm="1">
        <f t="array" ref="H622">INDEX(FX_Input,$R622,$Y622*H$5+$Z622)</f>
        <v>Jet kerosene</v>
      </c>
      <c r="I622" t="str" cm="1">
        <f t="array" ref="I622">INDEX(FX_Input,$R622,$Y622*I$5+$Z622)</f>
        <v>Jet kerosene</v>
      </c>
      <c r="J622" t="str" cm="1">
        <f t="array" ref="J622">INDEX(FX_Input,$R622,$Y622*J$5+$Z622)</f>
        <v>Jet kerosene</v>
      </c>
      <c r="K622" t="str" cm="1">
        <f t="array" ref="K622">INDEX(FX_Input,$R622,$Y622*K$5+$Z622)</f>
        <v>Jet kerosene</v>
      </c>
      <c r="L622" t="str" cm="1">
        <f t="array" ref="L622">INDEX(FX_Input,$R622,$Y622*L$5+$Z622)</f>
        <v>Jet kerosene</v>
      </c>
      <c r="M622" t="str" cm="1">
        <f t="array" ref="M622">INDEX(FX_Input,$R622,$Y622*M$5+$Z622)</f>
        <v>Jet kerosene</v>
      </c>
      <c r="N622" t="str" cm="1">
        <f t="array" ref="N622">INDEX(FX_Input,$R622,$Y622*N$5+$Z622)</f>
        <v>Jet kerosene</v>
      </c>
      <c r="O622" t="str" cm="1">
        <f t="array" ref="O622">INDEX(FX_Input,$R622,$Y622*O$5+$Z622)</f>
        <v>Jet kerosene</v>
      </c>
      <c r="R622">
        <f>R608+2</f>
        <v>89</v>
      </c>
      <c r="S622">
        <v>1</v>
      </c>
      <c r="T622">
        <v>3</v>
      </c>
      <c r="U622">
        <v>17</v>
      </c>
      <c r="V622">
        <f>U622+5</f>
        <v>22</v>
      </c>
      <c r="W622">
        <v>1</v>
      </c>
      <c r="X622">
        <v>2</v>
      </c>
      <c r="Y622">
        <f t="shared" ref="Y622:Y627" si="1364">(V622-U622)/(X622-W622)</f>
        <v>5</v>
      </c>
      <c r="Z622">
        <f t="shared" ref="Z622:Z627" si="1365">U622-Y622*W622</f>
        <v>12</v>
      </c>
    </row>
    <row r="623" spans="1:26" x14ac:dyDescent="0.4">
      <c r="C623" t="s">
        <v>529</v>
      </c>
      <c r="D623" cm="1">
        <f t="array" ref="D623">INDEX(FX_Input,$R623,$Y623*D$5+$Z623)</f>
        <v>0</v>
      </c>
      <c r="E623" cm="1">
        <f t="array" ref="E623">INDEX(FX_Input,$R623,$Y623*E$5+$Z623)</f>
        <v>0</v>
      </c>
      <c r="F623" cm="1">
        <f t="array" ref="F623">INDEX(FX_Input,$R623,$Y623*F$5+$Z623)</f>
        <v>0</v>
      </c>
      <c r="G623" cm="1">
        <f t="array" ref="G623">INDEX(FX_Input,$R623,$Y623*G$5+$Z623)</f>
        <v>0</v>
      </c>
      <c r="H623" cm="1">
        <f t="array" ref="H623">INDEX(FX_Input,$R623,$Y623*H$5+$Z623)</f>
        <v>0</v>
      </c>
      <c r="I623" cm="1">
        <f t="array" ref="I623">INDEX(FX_Input,$R623,$Y623*I$5+$Z623)</f>
        <v>0</v>
      </c>
      <c r="J623" cm="1">
        <f t="array" ref="J623">INDEX(FX_Input,$R623,$Y623*J$5+$Z623)</f>
        <v>0</v>
      </c>
      <c r="K623" cm="1">
        <f t="array" ref="K623">INDEX(FX_Input,$R623,$Y623*K$5+$Z623)</f>
        <v>0</v>
      </c>
      <c r="L623" cm="1">
        <f t="array" ref="L623">INDEX(FX_Input,$R623,$Y623*L$5+$Z623)</f>
        <v>0</v>
      </c>
      <c r="M623" cm="1">
        <f t="array" ref="M623">INDEX(FX_Input,$R623,$Y623*M$5+$Z623)</f>
        <v>0</v>
      </c>
      <c r="N623" cm="1">
        <f t="array" ref="N623">INDEX(FX_Input,$R623,$Y623*N$5+$Z623)</f>
        <v>0</v>
      </c>
      <c r="O623" cm="1">
        <f t="array" ref="O623">INDEX(FX_Input,$R623,$Y623*O$5+$Z623)</f>
        <v>0</v>
      </c>
      <c r="R623">
        <f>R622+1</f>
        <v>90</v>
      </c>
      <c r="U623">
        <f>U622</f>
        <v>17</v>
      </c>
      <c r="V623">
        <f t="shared" ref="V623:V627" si="1366">U623+5</f>
        <v>22</v>
      </c>
      <c r="W623">
        <v>1</v>
      </c>
      <c r="X623">
        <v>2</v>
      </c>
      <c r="Y623">
        <f t="shared" si="1364"/>
        <v>5</v>
      </c>
      <c r="Z623">
        <f t="shared" si="1365"/>
        <v>12</v>
      </c>
    </row>
    <row r="624" spans="1:26" x14ac:dyDescent="0.4">
      <c r="C624" t="s">
        <v>530</v>
      </c>
      <c r="D624" t="str" cm="1">
        <f t="array" ref="D624">INDEX(FX_Input,$R624,$Y624*D$5+$Z624)</f>
        <v>Select Pet Stock</v>
      </c>
      <c r="E624" t="str" cm="1">
        <f t="array" ref="E624">INDEX(FX_Input,$R624,$Y624*E$5+$Z624)</f>
        <v>Select Pet Stock</v>
      </c>
      <c r="F624" t="str" cm="1">
        <f t="array" ref="F624">INDEX(FX_Input,$R624,$Y624*F$5+$Z624)</f>
        <v>Select Pet Stock</v>
      </c>
      <c r="G624" t="str" cm="1">
        <f t="array" ref="G624">INDEX(FX_Input,$R624,$Y624*G$5+$Z624)</f>
        <v>Select Pet Stock</v>
      </c>
      <c r="H624" t="str" cm="1">
        <f t="array" ref="H624">INDEX(FX_Input,$R624,$Y624*H$5+$Z624)</f>
        <v>Select Pet Stock</v>
      </c>
      <c r="I624" t="str" cm="1">
        <f t="array" ref="I624">INDEX(FX_Input,$R624,$Y624*I$5+$Z624)</f>
        <v>Select Pet Stock</v>
      </c>
      <c r="J624" t="str" cm="1">
        <f t="array" ref="J624">INDEX(FX_Input,$R624,$Y624*J$5+$Z624)</f>
        <v>Select Pet Stock</v>
      </c>
      <c r="K624" t="str" cm="1">
        <f t="array" ref="K624">INDEX(FX_Input,$R624,$Y624*K$5+$Z624)</f>
        <v>Select Pet Stock</v>
      </c>
      <c r="L624" t="str" cm="1">
        <f t="array" ref="L624">INDEX(FX_Input,$R624,$Y624*L$5+$Z624)</f>
        <v>Select Pet Stock</v>
      </c>
      <c r="M624" t="str" cm="1">
        <f t="array" ref="M624">INDEX(FX_Input,$R624,$Y624*M$5+$Z624)</f>
        <v>Select Pet Stock</v>
      </c>
      <c r="N624" t="str" cm="1">
        <f t="array" ref="N624">INDEX(FX_Input,$R624,$Y624*N$5+$Z624)</f>
        <v>Select Pet Stock</v>
      </c>
      <c r="O624" t="str" cm="1">
        <f t="array" ref="O624">INDEX(FX_Input,$R624,$Y624*O$5+$Z624)</f>
        <v>Select Pet Stock</v>
      </c>
      <c r="R624">
        <f>R622</f>
        <v>89</v>
      </c>
      <c r="U624">
        <v>18</v>
      </c>
      <c r="V624">
        <f t="shared" si="1366"/>
        <v>23</v>
      </c>
      <c r="W624">
        <v>1</v>
      </c>
      <c r="X624">
        <v>2</v>
      </c>
      <c r="Y624">
        <f t="shared" si="1364"/>
        <v>5</v>
      </c>
      <c r="Z624">
        <f t="shared" si="1365"/>
        <v>13</v>
      </c>
    </row>
    <row r="625" spans="1:26" x14ac:dyDescent="0.4">
      <c r="C625" t="s">
        <v>531</v>
      </c>
      <c r="D625" cm="1">
        <f t="array" ref="D625">INDEX(FX_Input,$R625,$Y625*D$5+$Z625)</f>
        <v>0</v>
      </c>
      <c r="E625" cm="1">
        <f t="array" ref="E625">INDEX(FX_Input,$R625,$Y625*E$5+$Z625)</f>
        <v>0</v>
      </c>
      <c r="F625" cm="1">
        <f t="array" ref="F625">INDEX(FX_Input,$R625,$Y625*F$5+$Z625)</f>
        <v>0</v>
      </c>
      <c r="G625" cm="1">
        <f t="array" ref="G625">INDEX(FX_Input,$R625,$Y625*G$5+$Z625)</f>
        <v>0</v>
      </c>
      <c r="H625" cm="1">
        <f t="array" ref="H625">INDEX(FX_Input,$R625,$Y625*H$5+$Z625)</f>
        <v>0</v>
      </c>
      <c r="I625" cm="1">
        <f t="array" ref="I625">INDEX(FX_Input,$R625,$Y625*I$5+$Z625)</f>
        <v>0</v>
      </c>
      <c r="J625" cm="1">
        <f t="array" ref="J625">INDEX(FX_Input,$R625,$Y625*J$5+$Z625)</f>
        <v>0</v>
      </c>
      <c r="K625" cm="1">
        <f t="array" ref="K625">INDEX(FX_Input,$R625,$Y625*K$5+$Z625)</f>
        <v>0</v>
      </c>
      <c r="L625" cm="1">
        <f t="array" ref="L625">INDEX(FX_Input,$R625,$Y625*L$5+$Z625)</f>
        <v>0</v>
      </c>
      <c r="M625" cm="1">
        <f t="array" ref="M625">INDEX(FX_Input,$R625,$Y625*M$5+$Z625)</f>
        <v>0</v>
      </c>
      <c r="N625" cm="1">
        <f t="array" ref="N625">INDEX(FX_Input,$R625,$Y625*N$5+$Z625)</f>
        <v>0</v>
      </c>
      <c r="O625" cm="1">
        <f t="array" ref="O625">INDEX(FX_Input,$R625,$Y625*O$5+$Z625)</f>
        <v>0</v>
      </c>
      <c r="R625">
        <f>R623</f>
        <v>90</v>
      </c>
      <c r="U625">
        <f>U624</f>
        <v>18</v>
      </c>
      <c r="V625">
        <f t="shared" si="1366"/>
        <v>23</v>
      </c>
      <c r="W625">
        <v>1</v>
      </c>
      <c r="X625">
        <v>2</v>
      </c>
      <c r="Y625">
        <f t="shared" si="1364"/>
        <v>5</v>
      </c>
      <c r="Z625">
        <f t="shared" si="1365"/>
        <v>13</v>
      </c>
    </row>
    <row r="626" spans="1:26" x14ac:dyDescent="0.4">
      <c r="C626" t="s">
        <v>546</v>
      </c>
      <c r="D626" cm="1">
        <f t="array" ref="D626">INDEX(FX_Input,$R626,$Y626*D$5+$Z626)</f>
        <v>1</v>
      </c>
      <c r="E626" cm="1">
        <f t="array" ref="E626">INDEX(FX_Input,$R626,$Y626*E$5+$Z626)</f>
        <v>1</v>
      </c>
      <c r="F626" cm="1">
        <f t="array" ref="F626">INDEX(FX_Input,$R626,$Y626*F$5+$Z626)</f>
        <v>1</v>
      </c>
      <c r="G626" cm="1">
        <f t="array" ref="G626">INDEX(FX_Input,$R626,$Y626*G$5+$Z626)</f>
        <v>1</v>
      </c>
      <c r="H626" cm="1">
        <f t="array" ref="H626">INDEX(FX_Input,$R626,$Y626*H$5+$Z626)</f>
        <v>1</v>
      </c>
      <c r="I626" cm="1">
        <f t="array" ref="I626">INDEX(FX_Input,$R626,$Y626*I$5+$Z626)</f>
        <v>1</v>
      </c>
      <c r="J626" cm="1">
        <f t="array" ref="J626">INDEX(FX_Input,$R626,$Y626*J$5+$Z626)</f>
        <v>1</v>
      </c>
      <c r="K626" cm="1">
        <f t="array" ref="K626">INDEX(FX_Input,$R626,$Y626*K$5+$Z626)</f>
        <v>1</v>
      </c>
      <c r="L626" cm="1">
        <f t="array" ref="L626">INDEX(FX_Input,$R626,$Y626*L$5+$Z626)</f>
        <v>1</v>
      </c>
      <c r="M626" cm="1">
        <f t="array" ref="M626">INDEX(FX_Input,$R626,$Y626*M$5+$Z626)</f>
        <v>1</v>
      </c>
      <c r="N626" cm="1">
        <f t="array" ref="N626">INDEX(FX_Input,$R626,$Y626*N$5+$Z626)</f>
        <v>1</v>
      </c>
      <c r="O626" cm="1">
        <f t="array" ref="O626">INDEX(FX_Input,$R626,$Y626*O$5+$Z626)</f>
        <v>1</v>
      </c>
      <c r="R626">
        <f>R624</f>
        <v>89</v>
      </c>
      <c r="U626">
        <v>21</v>
      </c>
      <c r="V626">
        <f t="shared" si="1366"/>
        <v>26</v>
      </c>
      <c r="W626">
        <v>1</v>
      </c>
      <c r="X626">
        <v>2</v>
      </c>
      <c r="Y626">
        <f t="shared" si="1364"/>
        <v>5</v>
      </c>
      <c r="Z626">
        <f t="shared" si="1365"/>
        <v>16</v>
      </c>
    </row>
    <row r="627" spans="1:26" x14ac:dyDescent="0.4">
      <c r="C627" t="s">
        <v>547</v>
      </c>
      <c r="D627" cm="1">
        <f t="array" ref="D627">INDEX(FX_Input,$R627,$Y627*D$5+$Z627)</f>
        <v>0</v>
      </c>
      <c r="E627" cm="1">
        <f t="array" ref="E627">INDEX(FX_Input,$R627,$Y627*E$5+$Z627)</f>
        <v>0</v>
      </c>
      <c r="F627" cm="1">
        <f t="array" ref="F627">INDEX(FX_Input,$R627,$Y627*F$5+$Z627)</f>
        <v>0</v>
      </c>
      <c r="G627" cm="1">
        <f t="array" ref="G627">INDEX(FX_Input,$R627,$Y627*G$5+$Z627)</f>
        <v>0</v>
      </c>
      <c r="H627" cm="1">
        <f t="array" ref="H627">INDEX(FX_Input,$R627,$Y627*H$5+$Z627)</f>
        <v>0</v>
      </c>
      <c r="I627" cm="1">
        <f t="array" ref="I627">INDEX(FX_Input,$R627,$Y627*I$5+$Z627)</f>
        <v>0</v>
      </c>
      <c r="J627" cm="1">
        <f t="array" ref="J627">INDEX(FX_Input,$R627,$Y627*J$5+$Z627)</f>
        <v>0</v>
      </c>
      <c r="K627" cm="1">
        <f t="array" ref="K627">INDEX(FX_Input,$R627,$Y627*K$5+$Z627)</f>
        <v>0</v>
      </c>
      <c r="L627" cm="1">
        <f t="array" ref="L627">INDEX(FX_Input,$R627,$Y627*L$5+$Z627)</f>
        <v>0</v>
      </c>
      <c r="M627" cm="1">
        <f t="array" ref="M627">INDEX(FX_Input,$R627,$Y627*M$5+$Z627)</f>
        <v>0</v>
      </c>
      <c r="N627" cm="1">
        <f t="array" ref="N627">INDEX(FX_Input,$R627,$Y627*N$5+$Z627)</f>
        <v>0</v>
      </c>
      <c r="O627" cm="1">
        <f t="array" ref="O627">INDEX(FX_Input,$R627,$Y627*O$5+$Z627)</f>
        <v>0</v>
      </c>
      <c r="R627">
        <f>R625</f>
        <v>90</v>
      </c>
      <c r="U627">
        <f>U626</f>
        <v>21</v>
      </c>
      <c r="V627">
        <f t="shared" si="1366"/>
        <v>26</v>
      </c>
      <c r="W627">
        <v>1</v>
      </c>
      <c r="X627">
        <v>2</v>
      </c>
      <c r="Y627">
        <f t="shared" si="1364"/>
        <v>5</v>
      </c>
      <c r="Z627">
        <f t="shared" si="1365"/>
        <v>16</v>
      </c>
    </row>
    <row r="628" spans="1:26" x14ac:dyDescent="0.4">
      <c r="C628" t="s">
        <v>532</v>
      </c>
      <c r="D628">
        <f t="shared" ref="D628:O628" si="1367">IFERROR(VLOOKUP(D622,Phys_Prop,2,FALSE),0)</f>
        <v>162</v>
      </c>
      <c r="E628">
        <f t="shared" si="1367"/>
        <v>162</v>
      </c>
      <c r="F628">
        <f t="shared" si="1367"/>
        <v>162</v>
      </c>
      <c r="G628">
        <f t="shared" si="1367"/>
        <v>162</v>
      </c>
      <c r="H628">
        <f t="shared" si="1367"/>
        <v>162</v>
      </c>
      <c r="I628">
        <f t="shared" si="1367"/>
        <v>162</v>
      </c>
      <c r="J628">
        <f t="shared" si="1367"/>
        <v>162</v>
      </c>
      <c r="K628">
        <f t="shared" si="1367"/>
        <v>162</v>
      </c>
      <c r="L628">
        <f t="shared" si="1367"/>
        <v>162</v>
      </c>
      <c r="M628">
        <f t="shared" si="1367"/>
        <v>162</v>
      </c>
      <c r="N628">
        <f t="shared" si="1367"/>
        <v>162</v>
      </c>
      <c r="O628">
        <f t="shared" si="1367"/>
        <v>162</v>
      </c>
    </row>
    <row r="629" spans="1:26" x14ac:dyDescent="0.4">
      <c r="C629" t="s">
        <v>533</v>
      </c>
      <c r="D629">
        <f t="shared" ref="D629:O629" si="1368">IFERROR(VLOOKUP(D623,Phys_Prop,2,FALSE),0)</f>
        <v>0</v>
      </c>
      <c r="E629">
        <f t="shared" si="1368"/>
        <v>0</v>
      </c>
      <c r="F629">
        <f t="shared" si="1368"/>
        <v>0</v>
      </c>
      <c r="G629">
        <f t="shared" si="1368"/>
        <v>0</v>
      </c>
      <c r="H629">
        <f t="shared" si="1368"/>
        <v>0</v>
      </c>
      <c r="I629">
        <f t="shared" si="1368"/>
        <v>0</v>
      </c>
      <c r="J629">
        <f t="shared" si="1368"/>
        <v>0</v>
      </c>
      <c r="K629">
        <f t="shared" si="1368"/>
        <v>0</v>
      </c>
      <c r="L629">
        <f t="shared" si="1368"/>
        <v>0</v>
      </c>
      <c r="M629">
        <f t="shared" si="1368"/>
        <v>0</v>
      </c>
      <c r="N629">
        <f t="shared" si="1368"/>
        <v>0</v>
      </c>
      <c r="O629">
        <f t="shared" si="1368"/>
        <v>0</v>
      </c>
    </row>
    <row r="630" spans="1:26" x14ac:dyDescent="0.4">
      <c r="C630" t="s">
        <v>544</v>
      </c>
      <c r="D630">
        <f>IFERROR(IFERROR(D628/D626+D629/D627,D628/D626),0)</f>
        <v>162</v>
      </c>
      <c r="E630">
        <f t="shared" ref="E630" si="1369">IFERROR(IFERROR(E628/E626+E629/E627,E628/E626),0)</f>
        <v>162</v>
      </c>
      <c r="F630">
        <f t="shared" ref="F630" si="1370">IFERROR(IFERROR(F628/F626+F629/F627,F628/F626),0)</f>
        <v>162</v>
      </c>
      <c r="G630">
        <f t="shared" ref="G630" si="1371">IFERROR(IFERROR(G628/G626+G629/G627,G628/G626),0)</f>
        <v>162</v>
      </c>
      <c r="H630">
        <f t="shared" ref="H630" si="1372">IFERROR(IFERROR(H628/H626+H629/H627,H628/H626),0)</f>
        <v>162</v>
      </c>
      <c r="I630">
        <f t="shared" ref="I630" si="1373">IFERROR(IFERROR(I628/I626+I629/I627,I628/I626),0)</f>
        <v>162</v>
      </c>
      <c r="J630">
        <f t="shared" ref="J630" si="1374">IFERROR(IFERROR(J628/J626+J629/J627,J628/J626),0)</f>
        <v>162</v>
      </c>
      <c r="K630">
        <f t="shared" ref="K630" si="1375">IFERROR(IFERROR(K628/K626+K629/K627,K628/K626),0)</f>
        <v>162</v>
      </c>
      <c r="L630">
        <f t="shared" ref="L630" si="1376">IFERROR(IFERROR(L628/L626+L629/L627,L628/L626),0)</f>
        <v>162</v>
      </c>
      <c r="M630">
        <f t="shared" ref="M630" si="1377">IFERROR(IFERROR(M628/M626+M629/M627,M628/M626),0)</f>
        <v>162</v>
      </c>
      <c r="N630">
        <f t="shared" ref="N630" si="1378">IFERROR(IFERROR(N628/N626+N629/N627,N628/N626),0)</f>
        <v>162</v>
      </c>
      <c r="O630">
        <f t="shared" ref="O630" si="1379">IFERROR(IFERROR(O628/O626+O629/O627,O628/O626),0)</f>
        <v>162</v>
      </c>
    </row>
    <row r="631" spans="1:26" x14ac:dyDescent="0.4">
      <c r="C631" t="s">
        <v>539</v>
      </c>
      <c r="D631">
        <f>IFERROR((D626/D628)*D630,1)</f>
        <v>1</v>
      </c>
      <c r="E631">
        <f t="shared" ref="E631" si="1380">IFERROR((E626/E628)*E630,1)</f>
        <v>1</v>
      </c>
      <c r="F631">
        <f t="shared" ref="F631" si="1381">IFERROR((F626/F628)*F630,1)</f>
        <v>1</v>
      </c>
      <c r="G631">
        <f t="shared" ref="G631" si="1382">IFERROR((G626/G628)*G630,1)</f>
        <v>1</v>
      </c>
      <c r="H631">
        <f t="shared" ref="H631" si="1383">IFERROR((H626/H628)*H630,1)</f>
        <v>1</v>
      </c>
      <c r="I631">
        <f t="shared" ref="I631" si="1384">IFERROR((I626/I628)*I630,1)</f>
        <v>1</v>
      </c>
      <c r="J631">
        <f t="shared" ref="J631" si="1385">IFERROR((J626/J628)*J630,1)</f>
        <v>1</v>
      </c>
      <c r="K631">
        <f t="shared" ref="K631" si="1386">IFERROR((K626/K628)*K630,1)</f>
        <v>1</v>
      </c>
      <c r="L631">
        <f t="shared" ref="L631" si="1387">IFERROR((L626/L628)*L630,1)</f>
        <v>1</v>
      </c>
      <c r="M631">
        <f t="shared" ref="M631" si="1388">IFERROR((M626/M628)*M630,1)</f>
        <v>1</v>
      </c>
      <c r="N631">
        <f t="shared" ref="N631" si="1389">IFERROR((N626/N628)*N630,1)</f>
        <v>1</v>
      </c>
      <c r="O631">
        <f t="shared" ref="O631" si="1390">IFERROR((O626/O628)*O630,1)</f>
        <v>1</v>
      </c>
    </row>
    <row r="632" spans="1:26" x14ac:dyDescent="0.4">
      <c r="C632" t="s">
        <v>540</v>
      </c>
      <c r="D632">
        <f>IFERROR((D627/D629)*D630,0)</f>
        <v>0</v>
      </c>
      <c r="E632">
        <f t="shared" ref="E632:O632" si="1391">IFERROR((E627/E629)*E630,0)</f>
        <v>0</v>
      </c>
      <c r="F632">
        <f t="shared" si="1391"/>
        <v>0</v>
      </c>
      <c r="G632">
        <f t="shared" si="1391"/>
        <v>0</v>
      </c>
      <c r="H632">
        <f t="shared" si="1391"/>
        <v>0</v>
      </c>
      <c r="I632">
        <f t="shared" si="1391"/>
        <v>0</v>
      </c>
      <c r="J632">
        <f t="shared" si="1391"/>
        <v>0</v>
      </c>
      <c r="K632">
        <f t="shared" si="1391"/>
        <v>0</v>
      </c>
      <c r="L632">
        <f t="shared" si="1391"/>
        <v>0</v>
      </c>
      <c r="M632">
        <f t="shared" si="1391"/>
        <v>0</v>
      </c>
      <c r="N632">
        <f t="shared" si="1391"/>
        <v>0</v>
      </c>
      <c r="O632">
        <f t="shared" si="1391"/>
        <v>0</v>
      </c>
    </row>
    <row r="633" spans="1:26" x14ac:dyDescent="0.4">
      <c r="C633" s="21" t="s">
        <v>534</v>
      </c>
      <c r="D633">
        <f t="shared" ref="D633:O633" si="1392">IFERROR(VLOOKUP(D622,Phys_Prop,4,FALSE),0)</f>
        <v>7</v>
      </c>
      <c r="E633">
        <f t="shared" si="1392"/>
        <v>7</v>
      </c>
      <c r="F633">
        <f t="shared" si="1392"/>
        <v>7</v>
      </c>
      <c r="G633">
        <f t="shared" si="1392"/>
        <v>7</v>
      </c>
      <c r="H633">
        <f t="shared" si="1392"/>
        <v>7</v>
      </c>
      <c r="I633">
        <f t="shared" si="1392"/>
        <v>7</v>
      </c>
      <c r="J633">
        <f t="shared" si="1392"/>
        <v>7</v>
      </c>
      <c r="K633">
        <f t="shared" si="1392"/>
        <v>7</v>
      </c>
      <c r="L633">
        <f t="shared" si="1392"/>
        <v>7</v>
      </c>
      <c r="M633">
        <f t="shared" si="1392"/>
        <v>7</v>
      </c>
      <c r="N633">
        <f t="shared" si="1392"/>
        <v>7</v>
      </c>
      <c r="O633">
        <f t="shared" si="1392"/>
        <v>7</v>
      </c>
    </row>
    <row r="634" spans="1:26" x14ac:dyDescent="0.4">
      <c r="C634" s="21" t="s">
        <v>535</v>
      </c>
      <c r="D634">
        <f t="shared" ref="D634:O634" si="1393">IFERROR(VLOOKUP(D623,Phys_Prop,4,FALSE),0)</f>
        <v>0</v>
      </c>
      <c r="E634">
        <f t="shared" si="1393"/>
        <v>0</v>
      </c>
      <c r="F634">
        <f t="shared" si="1393"/>
        <v>0</v>
      </c>
      <c r="G634">
        <f t="shared" si="1393"/>
        <v>0</v>
      </c>
      <c r="H634">
        <f t="shared" si="1393"/>
        <v>0</v>
      </c>
      <c r="I634">
        <f t="shared" si="1393"/>
        <v>0</v>
      </c>
      <c r="J634">
        <f t="shared" si="1393"/>
        <v>0</v>
      </c>
      <c r="K634">
        <f t="shared" si="1393"/>
        <v>0</v>
      </c>
      <c r="L634">
        <f t="shared" si="1393"/>
        <v>0</v>
      </c>
      <c r="M634">
        <f t="shared" si="1393"/>
        <v>0</v>
      </c>
      <c r="N634">
        <f t="shared" si="1393"/>
        <v>0</v>
      </c>
      <c r="O634">
        <f t="shared" si="1393"/>
        <v>0</v>
      </c>
    </row>
    <row r="635" spans="1:26" x14ac:dyDescent="0.4">
      <c r="A635" s="11"/>
      <c r="B635" s="11"/>
      <c r="C635" s="62" t="s">
        <v>536</v>
      </c>
      <c r="D635" s="11">
        <f>IFERROR(1/(D631/D633+D632/D634),D633)</f>
        <v>7</v>
      </c>
      <c r="E635" s="11">
        <f t="shared" ref="E635:O635" si="1394">IFERROR(1/(E631/E633+E632/E634),E633)</f>
        <v>7</v>
      </c>
      <c r="F635" s="11">
        <f t="shared" si="1394"/>
        <v>7</v>
      </c>
      <c r="G635" s="11">
        <f t="shared" si="1394"/>
        <v>7</v>
      </c>
      <c r="H635" s="11">
        <f t="shared" si="1394"/>
        <v>7</v>
      </c>
      <c r="I635" s="11">
        <f t="shared" si="1394"/>
        <v>7</v>
      </c>
      <c r="J635" s="11">
        <f t="shared" si="1394"/>
        <v>7</v>
      </c>
      <c r="K635" s="11">
        <f t="shared" si="1394"/>
        <v>7</v>
      </c>
      <c r="L635" s="11">
        <f t="shared" si="1394"/>
        <v>7</v>
      </c>
      <c r="M635" s="11">
        <f t="shared" si="1394"/>
        <v>7</v>
      </c>
      <c r="N635" s="11">
        <f t="shared" si="1394"/>
        <v>7</v>
      </c>
      <c r="O635" s="11">
        <f t="shared" si="1394"/>
        <v>7</v>
      </c>
      <c r="P635" s="11"/>
      <c r="Q635" s="11"/>
      <c r="R635" s="11"/>
      <c r="S635" s="11"/>
      <c r="T635" s="11"/>
      <c r="U635" s="11"/>
      <c r="V635" s="11"/>
      <c r="W635" s="11"/>
      <c r="X635" s="11"/>
      <c r="Y635" s="11"/>
      <c r="Z635" s="11"/>
    </row>
    <row r="636" spans="1:26" x14ac:dyDescent="0.4">
      <c r="A636" t="str" cm="1">
        <f t="array" ref="A636">INDEX(FX_Input,R636,S636)</f>
        <v>FX - 46</v>
      </c>
      <c r="B636" t="str" cm="1">
        <f t="array" ref="B636">INDEX(FX_Input,R636,T636)</f>
        <v>Portland</v>
      </c>
      <c r="C636" t="s">
        <v>528</v>
      </c>
      <c r="D636" t="str" cm="1">
        <f t="array" ref="D636">INDEX(FX_Input,$R636,$Y636*D$5+$Z636)</f>
        <v>Jet kerosene</v>
      </c>
      <c r="E636" t="str" cm="1">
        <f t="array" ref="E636">INDEX(FX_Input,$R636,$Y636*E$5+$Z636)</f>
        <v>Jet kerosene</v>
      </c>
      <c r="F636" t="str" cm="1">
        <f t="array" ref="F636">INDEX(FX_Input,$R636,$Y636*F$5+$Z636)</f>
        <v>Jet kerosene</v>
      </c>
      <c r="G636" t="str" cm="1">
        <f t="array" ref="G636">INDEX(FX_Input,$R636,$Y636*G$5+$Z636)</f>
        <v>Jet kerosene</v>
      </c>
      <c r="H636" t="str" cm="1">
        <f t="array" ref="H636">INDEX(FX_Input,$R636,$Y636*H$5+$Z636)</f>
        <v>Jet kerosene</v>
      </c>
      <c r="I636" t="str" cm="1">
        <f t="array" ref="I636">INDEX(FX_Input,$R636,$Y636*I$5+$Z636)</f>
        <v>Jet kerosene</v>
      </c>
      <c r="J636" t="str" cm="1">
        <f t="array" ref="J636">INDEX(FX_Input,$R636,$Y636*J$5+$Z636)</f>
        <v>Jet kerosene</v>
      </c>
      <c r="K636" t="str" cm="1">
        <f t="array" ref="K636">INDEX(FX_Input,$R636,$Y636*K$5+$Z636)</f>
        <v>Jet kerosene</v>
      </c>
      <c r="L636" t="str" cm="1">
        <f t="array" ref="L636">INDEX(FX_Input,$R636,$Y636*L$5+$Z636)</f>
        <v>Jet kerosene</v>
      </c>
      <c r="M636" t="str" cm="1">
        <f t="array" ref="M636">INDEX(FX_Input,$R636,$Y636*M$5+$Z636)</f>
        <v>Jet kerosene</v>
      </c>
      <c r="N636" t="str" cm="1">
        <f t="array" ref="N636">INDEX(FX_Input,$R636,$Y636*N$5+$Z636)</f>
        <v>Jet kerosene</v>
      </c>
      <c r="O636" t="str" cm="1">
        <f t="array" ref="O636">INDEX(FX_Input,$R636,$Y636*O$5+$Z636)</f>
        <v>Jet kerosene</v>
      </c>
      <c r="R636">
        <f>R622+2</f>
        <v>91</v>
      </c>
      <c r="S636">
        <v>1</v>
      </c>
      <c r="T636">
        <v>3</v>
      </c>
      <c r="U636">
        <v>17</v>
      </c>
      <c r="V636">
        <f>U636+5</f>
        <v>22</v>
      </c>
      <c r="W636">
        <v>1</v>
      </c>
      <c r="X636">
        <v>2</v>
      </c>
      <c r="Y636">
        <f t="shared" ref="Y636:Y641" si="1395">(V636-U636)/(X636-W636)</f>
        <v>5</v>
      </c>
      <c r="Z636">
        <f t="shared" ref="Z636:Z641" si="1396">U636-Y636*W636</f>
        <v>12</v>
      </c>
    </row>
    <row r="637" spans="1:26" x14ac:dyDescent="0.4">
      <c r="C637" t="s">
        <v>529</v>
      </c>
      <c r="D637" cm="1">
        <f t="array" ref="D637">INDEX(FX_Input,$R637,$Y637*D$5+$Z637)</f>
        <v>0</v>
      </c>
      <c r="E637" cm="1">
        <f t="array" ref="E637">INDEX(FX_Input,$R637,$Y637*E$5+$Z637)</f>
        <v>0</v>
      </c>
      <c r="F637" cm="1">
        <f t="array" ref="F637">INDEX(FX_Input,$R637,$Y637*F$5+$Z637)</f>
        <v>0</v>
      </c>
      <c r="G637" cm="1">
        <f t="array" ref="G637">INDEX(FX_Input,$R637,$Y637*G$5+$Z637)</f>
        <v>0</v>
      </c>
      <c r="H637" cm="1">
        <f t="array" ref="H637">INDEX(FX_Input,$R637,$Y637*H$5+$Z637)</f>
        <v>0</v>
      </c>
      <c r="I637" cm="1">
        <f t="array" ref="I637">INDEX(FX_Input,$R637,$Y637*I$5+$Z637)</f>
        <v>0</v>
      </c>
      <c r="J637" cm="1">
        <f t="array" ref="J637">INDEX(FX_Input,$R637,$Y637*J$5+$Z637)</f>
        <v>0</v>
      </c>
      <c r="K637" cm="1">
        <f t="array" ref="K637">INDEX(FX_Input,$R637,$Y637*K$5+$Z637)</f>
        <v>0</v>
      </c>
      <c r="L637" cm="1">
        <f t="array" ref="L637">INDEX(FX_Input,$R637,$Y637*L$5+$Z637)</f>
        <v>0</v>
      </c>
      <c r="M637" cm="1">
        <f t="array" ref="M637">INDEX(FX_Input,$R637,$Y637*M$5+$Z637)</f>
        <v>0</v>
      </c>
      <c r="N637" cm="1">
        <f t="array" ref="N637">INDEX(FX_Input,$R637,$Y637*N$5+$Z637)</f>
        <v>0</v>
      </c>
      <c r="O637" cm="1">
        <f t="array" ref="O637">INDEX(FX_Input,$R637,$Y637*O$5+$Z637)</f>
        <v>0</v>
      </c>
      <c r="R637">
        <f>R636+1</f>
        <v>92</v>
      </c>
      <c r="U637">
        <f>U636</f>
        <v>17</v>
      </c>
      <c r="V637">
        <f t="shared" ref="V637:V641" si="1397">U637+5</f>
        <v>22</v>
      </c>
      <c r="W637">
        <v>1</v>
      </c>
      <c r="X637">
        <v>2</v>
      </c>
      <c r="Y637">
        <f t="shared" si="1395"/>
        <v>5</v>
      </c>
      <c r="Z637">
        <f t="shared" si="1396"/>
        <v>12</v>
      </c>
    </row>
    <row r="638" spans="1:26" x14ac:dyDescent="0.4">
      <c r="C638" t="s">
        <v>530</v>
      </c>
      <c r="D638" t="str" cm="1">
        <f t="array" ref="D638">INDEX(FX_Input,$R638,$Y638*D$5+$Z638)</f>
        <v>Select Pet Stock</v>
      </c>
      <c r="E638" t="str" cm="1">
        <f t="array" ref="E638">INDEX(FX_Input,$R638,$Y638*E$5+$Z638)</f>
        <v>Select Pet Stock</v>
      </c>
      <c r="F638" t="str" cm="1">
        <f t="array" ref="F638">INDEX(FX_Input,$R638,$Y638*F$5+$Z638)</f>
        <v>Select Pet Stock</v>
      </c>
      <c r="G638" t="str" cm="1">
        <f t="array" ref="G638">INDEX(FX_Input,$R638,$Y638*G$5+$Z638)</f>
        <v>Select Pet Stock</v>
      </c>
      <c r="H638" t="str" cm="1">
        <f t="array" ref="H638">INDEX(FX_Input,$R638,$Y638*H$5+$Z638)</f>
        <v>Select Pet Stock</v>
      </c>
      <c r="I638" t="str" cm="1">
        <f t="array" ref="I638">INDEX(FX_Input,$R638,$Y638*I$5+$Z638)</f>
        <v>Select Pet Stock</v>
      </c>
      <c r="J638" t="str" cm="1">
        <f t="array" ref="J638">INDEX(FX_Input,$R638,$Y638*J$5+$Z638)</f>
        <v>Select Pet Stock</v>
      </c>
      <c r="K638" t="str" cm="1">
        <f t="array" ref="K638">INDEX(FX_Input,$R638,$Y638*K$5+$Z638)</f>
        <v>Select Pet Stock</v>
      </c>
      <c r="L638" t="str" cm="1">
        <f t="array" ref="L638">INDEX(FX_Input,$R638,$Y638*L$5+$Z638)</f>
        <v>Select Pet Stock</v>
      </c>
      <c r="M638" t="str" cm="1">
        <f t="array" ref="M638">INDEX(FX_Input,$R638,$Y638*M$5+$Z638)</f>
        <v>Select Pet Stock</v>
      </c>
      <c r="N638" t="str" cm="1">
        <f t="array" ref="N638">INDEX(FX_Input,$R638,$Y638*N$5+$Z638)</f>
        <v>Select Pet Stock</v>
      </c>
      <c r="O638" t="str" cm="1">
        <f t="array" ref="O638">INDEX(FX_Input,$R638,$Y638*O$5+$Z638)</f>
        <v>Select Pet Stock</v>
      </c>
      <c r="R638">
        <f>R636</f>
        <v>91</v>
      </c>
      <c r="U638">
        <v>18</v>
      </c>
      <c r="V638">
        <f t="shared" si="1397"/>
        <v>23</v>
      </c>
      <c r="W638">
        <v>1</v>
      </c>
      <c r="X638">
        <v>2</v>
      </c>
      <c r="Y638">
        <f t="shared" si="1395"/>
        <v>5</v>
      </c>
      <c r="Z638">
        <f t="shared" si="1396"/>
        <v>13</v>
      </c>
    </row>
    <row r="639" spans="1:26" x14ac:dyDescent="0.4">
      <c r="C639" t="s">
        <v>531</v>
      </c>
      <c r="D639" cm="1">
        <f t="array" ref="D639">INDEX(FX_Input,$R639,$Y639*D$5+$Z639)</f>
        <v>0</v>
      </c>
      <c r="E639" cm="1">
        <f t="array" ref="E639">INDEX(FX_Input,$R639,$Y639*E$5+$Z639)</f>
        <v>0</v>
      </c>
      <c r="F639" cm="1">
        <f t="array" ref="F639">INDEX(FX_Input,$R639,$Y639*F$5+$Z639)</f>
        <v>0</v>
      </c>
      <c r="G639" cm="1">
        <f t="array" ref="G639">INDEX(FX_Input,$R639,$Y639*G$5+$Z639)</f>
        <v>0</v>
      </c>
      <c r="H639" cm="1">
        <f t="array" ref="H639">INDEX(FX_Input,$R639,$Y639*H$5+$Z639)</f>
        <v>0</v>
      </c>
      <c r="I639" cm="1">
        <f t="array" ref="I639">INDEX(FX_Input,$R639,$Y639*I$5+$Z639)</f>
        <v>0</v>
      </c>
      <c r="J639" cm="1">
        <f t="array" ref="J639">INDEX(FX_Input,$R639,$Y639*J$5+$Z639)</f>
        <v>0</v>
      </c>
      <c r="K639" cm="1">
        <f t="array" ref="K639">INDEX(FX_Input,$R639,$Y639*K$5+$Z639)</f>
        <v>0</v>
      </c>
      <c r="L639" cm="1">
        <f t="array" ref="L639">INDEX(FX_Input,$R639,$Y639*L$5+$Z639)</f>
        <v>0</v>
      </c>
      <c r="M639" cm="1">
        <f t="array" ref="M639">INDEX(FX_Input,$R639,$Y639*M$5+$Z639)</f>
        <v>0</v>
      </c>
      <c r="N639" cm="1">
        <f t="array" ref="N639">INDEX(FX_Input,$R639,$Y639*N$5+$Z639)</f>
        <v>0</v>
      </c>
      <c r="O639" cm="1">
        <f t="array" ref="O639">INDEX(FX_Input,$R639,$Y639*O$5+$Z639)</f>
        <v>0</v>
      </c>
      <c r="R639">
        <f>R637</f>
        <v>92</v>
      </c>
      <c r="U639">
        <f>U638</f>
        <v>18</v>
      </c>
      <c r="V639">
        <f t="shared" si="1397"/>
        <v>23</v>
      </c>
      <c r="W639">
        <v>1</v>
      </c>
      <c r="X639">
        <v>2</v>
      </c>
      <c r="Y639">
        <f t="shared" si="1395"/>
        <v>5</v>
      </c>
      <c r="Z639">
        <f t="shared" si="1396"/>
        <v>13</v>
      </c>
    </row>
    <row r="640" spans="1:26" x14ac:dyDescent="0.4">
      <c r="C640" t="s">
        <v>546</v>
      </c>
      <c r="D640" cm="1">
        <f t="array" ref="D640">INDEX(FX_Input,$R640,$Y640*D$5+$Z640)</f>
        <v>1</v>
      </c>
      <c r="E640" cm="1">
        <f t="array" ref="E640">INDEX(FX_Input,$R640,$Y640*E$5+$Z640)</f>
        <v>1</v>
      </c>
      <c r="F640" cm="1">
        <f t="array" ref="F640">INDEX(FX_Input,$R640,$Y640*F$5+$Z640)</f>
        <v>1</v>
      </c>
      <c r="G640" cm="1">
        <f t="array" ref="G640">INDEX(FX_Input,$R640,$Y640*G$5+$Z640)</f>
        <v>1</v>
      </c>
      <c r="H640" cm="1">
        <f t="array" ref="H640">INDEX(FX_Input,$R640,$Y640*H$5+$Z640)</f>
        <v>1</v>
      </c>
      <c r="I640" cm="1">
        <f t="array" ref="I640">INDEX(FX_Input,$R640,$Y640*I$5+$Z640)</f>
        <v>1</v>
      </c>
      <c r="J640" cm="1">
        <f t="array" ref="J640">INDEX(FX_Input,$R640,$Y640*J$5+$Z640)</f>
        <v>1</v>
      </c>
      <c r="K640" cm="1">
        <f t="array" ref="K640">INDEX(FX_Input,$R640,$Y640*K$5+$Z640)</f>
        <v>1</v>
      </c>
      <c r="L640" cm="1">
        <f t="array" ref="L640">INDEX(FX_Input,$R640,$Y640*L$5+$Z640)</f>
        <v>1</v>
      </c>
      <c r="M640" cm="1">
        <f t="array" ref="M640">INDEX(FX_Input,$R640,$Y640*M$5+$Z640)</f>
        <v>1</v>
      </c>
      <c r="N640" cm="1">
        <f t="array" ref="N640">INDEX(FX_Input,$R640,$Y640*N$5+$Z640)</f>
        <v>1</v>
      </c>
      <c r="O640" cm="1">
        <f t="array" ref="O640">INDEX(FX_Input,$R640,$Y640*O$5+$Z640)</f>
        <v>1</v>
      </c>
      <c r="R640">
        <f>R638</f>
        <v>91</v>
      </c>
      <c r="U640">
        <v>21</v>
      </c>
      <c r="V640">
        <f t="shared" si="1397"/>
        <v>26</v>
      </c>
      <c r="W640">
        <v>1</v>
      </c>
      <c r="X640">
        <v>2</v>
      </c>
      <c r="Y640">
        <f t="shared" si="1395"/>
        <v>5</v>
      </c>
      <c r="Z640">
        <f t="shared" si="1396"/>
        <v>16</v>
      </c>
    </row>
    <row r="641" spans="1:26" x14ac:dyDescent="0.4">
      <c r="C641" t="s">
        <v>547</v>
      </c>
      <c r="D641" cm="1">
        <f t="array" ref="D641">INDEX(FX_Input,$R641,$Y641*D$5+$Z641)</f>
        <v>0</v>
      </c>
      <c r="E641" cm="1">
        <f t="array" ref="E641">INDEX(FX_Input,$R641,$Y641*E$5+$Z641)</f>
        <v>0</v>
      </c>
      <c r="F641" cm="1">
        <f t="array" ref="F641">INDEX(FX_Input,$R641,$Y641*F$5+$Z641)</f>
        <v>0</v>
      </c>
      <c r="G641" cm="1">
        <f t="array" ref="G641">INDEX(FX_Input,$R641,$Y641*G$5+$Z641)</f>
        <v>0</v>
      </c>
      <c r="H641" cm="1">
        <f t="array" ref="H641">INDEX(FX_Input,$R641,$Y641*H$5+$Z641)</f>
        <v>0</v>
      </c>
      <c r="I641" cm="1">
        <f t="array" ref="I641">INDEX(FX_Input,$R641,$Y641*I$5+$Z641)</f>
        <v>0</v>
      </c>
      <c r="J641" cm="1">
        <f t="array" ref="J641">INDEX(FX_Input,$R641,$Y641*J$5+$Z641)</f>
        <v>0</v>
      </c>
      <c r="K641" cm="1">
        <f t="array" ref="K641">INDEX(FX_Input,$R641,$Y641*K$5+$Z641)</f>
        <v>0</v>
      </c>
      <c r="L641" cm="1">
        <f t="array" ref="L641">INDEX(FX_Input,$R641,$Y641*L$5+$Z641)</f>
        <v>0</v>
      </c>
      <c r="M641" cm="1">
        <f t="array" ref="M641">INDEX(FX_Input,$R641,$Y641*M$5+$Z641)</f>
        <v>0</v>
      </c>
      <c r="N641" cm="1">
        <f t="array" ref="N641">INDEX(FX_Input,$R641,$Y641*N$5+$Z641)</f>
        <v>0</v>
      </c>
      <c r="O641" cm="1">
        <f t="array" ref="O641">INDEX(FX_Input,$R641,$Y641*O$5+$Z641)</f>
        <v>0</v>
      </c>
      <c r="R641">
        <f>R639</f>
        <v>92</v>
      </c>
      <c r="U641">
        <f>U640</f>
        <v>21</v>
      </c>
      <c r="V641">
        <f t="shared" si="1397"/>
        <v>26</v>
      </c>
      <c r="W641">
        <v>1</v>
      </c>
      <c r="X641">
        <v>2</v>
      </c>
      <c r="Y641">
        <f t="shared" si="1395"/>
        <v>5</v>
      </c>
      <c r="Z641">
        <f t="shared" si="1396"/>
        <v>16</v>
      </c>
    </row>
    <row r="642" spans="1:26" x14ac:dyDescent="0.4">
      <c r="C642" t="s">
        <v>532</v>
      </c>
      <c r="D642">
        <f t="shared" ref="D642:O642" si="1398">IFERROR(VLOOKUP(D636,Phys_Prop,2,FALSE),0)</f>
        <v>162</v>
      </c>
      <c r="E642">
        <f t="shared" si="1398"/>
        <v>162</v>
      </c>
      <c r="F642">
        <f t="shared" si="1398"/>
        <v>162</v>
      </c>
      <c r="G642">
        <f t="shared" si="1398"/>
        <v>162</v>
      </c>
      <c r="H642">
        <f t="shared" si="1398"/>
        <v>162</v>
      </c>
      <c r="I642">
        <f t="shared" si="1398"/>
        <v>162</v>
      </c>
      <c r="J642">
        <f t="shared" si="1398"/>
        <v>162</v>
      </c>
      <c r="K642">
        <f t="shared" si="1398"/>
        <v>162</v>
      </c>
      <c r="L642">
        <f t="shared" si="1398"/>
        <v>162</v>
      </c>
      <c r="M642">
        <f t="shared" si="1398"/>
        <v>162</v>
      </c>
      <c r="N642">
        <f t="shared" si="1398"/>
        <v>162</v>
      </c>
      <c r="O642">
        <f t="shared" si="1398"/>
        <v>162</v>
      </c>
    </row>
    <row r="643" spans="1:26" x14ac:dyDescent="0.4">
      <c r="C643" t="s">
        <v>533</v>
      </c>
      <c r="D643">
        <f t="shared" ref="D643:O643" si="1399">IFERROR(VLOOKUP(D637,Phys_Prop,2,FALSE),0)</f>
        <v>0</v>
      </c>
      <c r="E643">
        <f t="shared" si="1399"/>
        <v>0</v>
      </c>
      <c r="F643">
        <f t="shared" si="1399"/>
        <v>0</v>
      </c>
      <c r="G643">
        <f t="shared" si="1399"/>
        <v>0</v>
      </c>
      <c r="H643">
        <f t="shared" si="1399"/>
        <v>0</v>
      </c>
      <c r="I643">
        <f t="shared" si="1399"/>
        <v>0</v>
      </c>
      <c r="J643">
        <f t="shared" si="1399"/>
        <v>0</v>
      </c>
      <c r="K643">
        <f t="shared" si="1399"/>
        <v>0</v>
      </c>
      <c r="L643">
        <f t="shared" si="1399"/>
        <v>0</v>
      </c>
      <c r="M643">
        <f t="shared" si="1399"/>
        <v>0</v>
      </c>
      <c r="N643">
        <f t="shared" si="1399"/>
        <v>0</v>
      </c>
      <c r="O643">
        <f t="shared" si="1399"/>
        <v>0</v>
      </c>
    </row>
    <row r="644" spans="1:26" x14ac:dyDescent="0.4">
      <c r="C644" t="s">
        <v>544</v>
      </c>
      <c r="D644">
        <f>IFERROR(IFERROR(D642/D640+D643/D641,D642/D640),0)</f>
        <v>162</v>
      </c>
      <c r="E644">
        <f t="shared" ref="E644" si="1400">IFERROR(IFERROR(E642/E640+E643/E641,E642/E640),0)</f>
        <v>162</v>
      </c>
      <c r="F644">
        <f t="shared" ref="F644" si="1401">IFERROR(IFERROR(F642/F640+F643/F641,F642/F640),0)</f>
        <v>162</v>
      </c>
      <c r="G644">
        <f t="shared" ref="G644" si="1402">IFERROR(IFERROR(G642/G640+G643/G641,G642/G640),0)</f>
        <v>162</v>
      </c>
      <c r="H644">
        <f t="shared" ref="H644" si="1403">IFERROR(IFERROR(H642/H640+H643/H641,H642/H640),0)</f>
        <v>162</v>
      </c>
      <c r="I644">
        <f t="shared" ref="I644" si="1404">IFERROR(IFERROR(I642/I640+I643/I641,I642/I640),0)</f>
        <v>162</v>
      </c>
      <c r="J644">
        <f t="shared" ref="J644" si="1405">IFERROR(IFERROR(J642/J640+J643/J641,J642/J640),0)</f>
        <v>162</v>
      </c>
      <c r="K644">
        <f t="shared" ref="K644" si="1406">IFERROR(IFERROR(K642/K640+K643/K641,K642/K640),0)</f>
        <v>162</v>
      </c>
      <c r="L644">
        <f t="shared" ref="L644" si="1407">IFERROR(IFERROR(L642/L640+L643/L641,L642/L640),0)</f>
        <v>162</v>
      </c>
      <c r="M644">
        <f t="shared" ref="M644" si="1408">IFERROR(IFERROR(M642/M640+M643/M641,M642/M640),0)</f>
        <v>162</v>
      </c>
      <c r="N644">
        <f t="shared" ref="N644" si="1409">IFERROR(IFERROR(N642/N640+N643/N641,N642/N640),0)</f>
        <v>162</v>
      </c>
      <c r="O644">
        <f t="shared" ref="O644" si="1410">IFERROR(IFERROR(O642/O640+O643/O641,O642/O640),0)</f>
        <v>162</v>
      </c>
    </row>
    <row r="645" spans="1:26" x14ac:dyDescent="0.4">
      <c r="C645" t="s">
        <v>539</v>
      </c>
      <c r="D645">
        <f>IFERROR((D640/D642)*D644,1)</f>
        <v>1</v>
      </c>
      <c r="E645">
        <f t="shared" ref="E645" si="1411">IFERROR((E640/E642)*E644,1)</f>
        <v>1</v>
      </c>
      <c r="F645">
        <f t="shared" ref="F645" si="1412">IFERROR((F640/F642)*F644,1)</f>
        <v>1</v>
      </c>
      <c r="G645">
        <f t="shared" ref="G645" si="1413">IFERROR((G640/G642)*G644,1)</f>
        <v>1</v>
      </c>
      <c r="H645">
        <f t="shared" ref="H645" si="1414">IFERROR((H640/H642)*H644,1)</f>
        <v>1</v>
      </c>
      <c r="I645">
        <f t="shared" ref="I645" si="1415">IFERROR((I640/I642)*I644,1)</f>
        <v>1</v>
      </c>
      <c r="J645">
        <f t="shared" ref="J645" si="1416">IFERROR((J640/J642)*J644,1)</f>
        <v>1</v>
      </c>
      <c r="K645">
        <f t="shared" ref="K645" si="1417">IFERROR((K640/K642)*K644,1)</f>
        <v>1</v>
      </c>
      <c r="L645">
        <f t="shared" ref="L645" si="1418">IFERROR((L640/L642)*L644,1)</f>
        <v>1</v>
      </c>
      <c r="M645">
        <f t="shared" ref="M645" si="1419">IFERROR((M640/M642)*M644,1)</f>
        <v>1</v>
      </c>
      <c r="N645">
        <f t="shared" ref="N645" si="1420">IFERROR((N640/N642)*N644,1)</f>
        <v>1</v>
      </c>
      <c r="O645">
        <f t="shared" ref="O645" si="1421">IFERROR((O640/O642)*O644,1)</f>
        <v>1</v>
      </c>
    </row>
    <row r="646" spans="1:26" x14ac:dyDescent="0.4">
      <c r="C646" t="s">
        <v>540</v>
      </c>
      <c r="D646">
        <f>IFERROR((D641/D643)*D644,0)</f>
        <v>0</v>
      </c>
      <c r="E646">
        <f t="shared" ref="E646:O646" si="1422">IFERROR((E641/E643)*E644,0)</f>
        <v>0</v>
      </c>
      <c r="F646">
        <f t="shared" si="1422"/>
        <v>0</v>
      </c>
      <c r="G646">
        <f t="shared" si="1422"/>
        <v>0</v>
      </c>
      <c r="H646">
        <f t="shared" si="1422"/>
        <v>0</v>
      </c>
      <c r="I646">
        <f t="shared" si="1422"/>
        <v>0</v>
      </c>
      <c r="J646">
        <f t="shared" si="1422"/>
        <v>0</v>
      </c>
      <c r="K646">
        <f t="shared" si="1422"/>
        <v>0</v>
      </c>
      <c r="L646">
        <f t="shared" si="1422"/>
        <v>0</v>
      </c>
      <c r="M646">
        <f t="shared" si="1422"/>
        <v>0</v>
      </c>
      <c r="N646">
        <f t="shared" si="1422"/>
        <v>0</v>
      </c>
      <c r="O646">
        <f t="shared" si="1422"/>
        <v>0</v>
      </c>
    </row>
    <row r="647" spans="1:26" x14ac:dyDescent="0.4">
      <c r="C647" s="21" t="s">
        <v>534</v>
      </c>
      <c r="D647">
        <f t="shared" ref="D647:O647" si="1423">IFERROR(VLOOKUP(D636,Phys_Prop,4,FALSE),0)</f>
        <v>7</v>
      </c>
      <c r="E647">
        <f t="shared" si="1423"/>
        <v>7</v>
      </c>
      <c r="F647">
        <f t="shared" si="1423"/>
        <v>7</v>
      </c>
      <c r="G647">
        <f t="shared" si="1423"/>
        <v>7</v>
      </c>
      <c r="H647">
        <f t="shared" si="1423"/>
        <v>7</v>
      </c>
      <c r="I647">
        <f t="shared" si="1423"/>
        <v>7</v>
      </c>
      <c r="J647">
        <f t="shared" si="1423"/>
        <v>7</v>
      </c>
      <c r="K647">
        <f t="shared" si="1423"/>
        <v>7</v>
      </c>
      <c r="L647">
        <f t="shared" si="1423"/>
        <v>7</v>
      </c>
      <c r="M647">
        <f t="shared" si="1423"/>
        <v>7</v>
      </c>
      <c r="N647">
        <f t="shared" si="1423"/>
        <v>7</v>
      </c>
      <c r="O647">
        <f t="shared" si="1423"/>
        <v>7</v>
      </c>
    </row>
    <row r="648" spans="1:26" x14ac:dyDescent="0.4">
      <c r="C648" s="21" t="s">
        <v>535</v>
      </c>
      <c r="D648">
        <f t="shared" ref="D648:O648" si="1424">IFERROR(VLOOKUP(D637,Phys_Prop,4,FALSE),0)</f>
        <v>0</v>
      </c>
      <c r="E648">
        <f t="shared" si="1424"/>
        <v>0</v>
      </c>
      <c r="F648">
        <f t="shared" si="1424"/>
        <v>0</v>
      </c>
      <c r="G648">
        <f t="shared" si="1424"/>
        <v>0</v>
      </c>
      <c r="H648">
        <f t="shared" si="1424"/>
        <v>0</v>
      </c>
      <c r="I648">
        <f t="shared" si="1424"/>
        <v>0</v>
      </c>
      <c r="J648">
        <f t="shared" si="1424"/>
        <v>0</v>
      </c>
      <c r="K648">
        <f t="shared" si="1424"/>
        <v>0</v>
      </c>
      <c r="L648">
        <f t="shared" si="1424"/>
        <v>0</v>
      </c>
      <c r="M648">
        <f t="shared" si="1424"/>
        <v>0</v>
      </c>
      <c r="N648">
        <f t="shared" si="1424"/>
        <v>0</v>
      </c>
      <c r="O648">
        <f t="shared" si="1424"/>
        <v>0</v>
      </c>
    </row>
    <row r="649" spans="1:26" x14ac:dyDescent="0.4">
      <c r="A649" s="11"/>
      <c r="B649" s="11"/>
      <c r="C649" s="62" t="s">
        <v>536</v>
      </c>
      <c r="D649" s="11">
        <f>IFERROR(1/(D645/D647+D646/D648),D647)</f>
        <v>7</v>
      </c>
      <c r="E649" s="11">
        <f t="shared" ref="E649:O649" si="1425">IFERROR(1/(E645/E647+E646/E648),E647)</f>
        <v>7</v>
      </c>
      <c r="F649" s="11">
        <f t="shared" si="1425"/>
        <v>7</v>
      </c>
      <c r="G649" s="11">
        <f t="shared" si="1425"/>
        <v>7</v>
      </c>
      <c r="H649" s="11">
        <f t="shared" si="1425"/>
        <v>7</v>
      </c>
      <c r="I649" s="11">
        <f t="shared" si="1425"/>
        <v>7</v>
      </c>
      <c r="J649" s="11">
        <f t="shared" si="1425"/>
        <v>7</v>
      </c>
      <c r="K649" s="11">
        <f t="shared" si="1425"/>
        <v>7</v>
      </c>
      <c r="L649" s="11">
        <f t="shared" si="1425"/>
        <v>7</v>
      </c>
      <c r="M649" s="11">
        <f t="shared" si="1425"/>
        <v>7</v>
      </c>
      <c r="N649" s="11">
        <f t="shared" si="1425"/>
        <v>7</v>
      </c>
      <c r="O649" s="11">
        <f t="shared" si="1425"/>
        <v>7</v>
      </c>
      <c r="P649" s="11"/>
      <c r="Q649" s="11"/>
      <c r="R649" s="11"/>
      <c r="S649" s="11"/>
      <c r="T649" s="11"/>
      <c r="U649" s="11"/>
      <c r="V649" s="11"/>
      <c r="W649" s="11"/>
      <c r="X649" s="11"/>
      <c r="Y649" s="11"/>
      <c r="Z649" s="11"/>
    </row>
    <row r="650" spans="1:26" x14ac:dyDescent="0.4">
      <c r="A650" t="str" cm="1">
        <f t="array" ref="A650">INDEX(FX_Input,R650,S650)</f>
        <v>FX - 47</v>
      </c>
      <c r="B650" t="str" cm="1">
        <f t="array" ref="B650">INDEX(FX_Input,R650,T650)</f>
        <v>Portland</v>
      </c>
      <c r="C650" t="s">
        <v>528</v>
      </c>
      <c r="D650" t="str" cm="1">
        <f t="array" ref="D650">INDEX(FX_Input,$R650,$Y650*D$5+$Z650)</f>
        <v>Out of Service</v>
      </c>
      <c r="E650" t="str" cm="1">
        <f t="array" ref="E650">INDEX(FX_Input,$R650,$Y650*E$5+$Z650)</f>
        <v>Out of Service</v>
      </c>
      <c r="F650" t="str" cm="1">
        <f t="array" ref="F650">INDEX(FX_Input,$R650,$Y650*F$5+$Z650)</f>
        <v>Out of Service</v>
      </c>
      <c r="G650" t="str" cm="1">
        <f t="array" ref="G650">INDEX(FX_Input,$R650,$Y650*G$5+$Z650)</f>
        <v>Out of Service</v>
      </c>
      <c r="H650" t="str" cm="1">
        <f t="array" ref="H650">INDEX(FX_Input,$R650,$Y650*H$5+$Z650)</f>
        <v>Out of Service</v>
      </c>
      <c r="I650" t="str" cm="1">
        <f t="array" ref="I650">INDEX(FX_Input,$R650,$Y650*I$5+$Z650)</f>
        <v>Out of Service</v>
      </c>
      <c r="J650" t="str" cm="1">
        <f t="array" ref="J650">INDEX(FX_Input,$R650,$Y650*J$5+$Z650)</f>
        <v>Out of Service</v>
      </c>
      <c r="K650" t="str" cm="1">
        <f t="array" ref="K650">INDEX(FX_Input,$R650,$Y650*K$5+$Z650)</f>
        <v>Out of Service</v>
      </c>
      <c r="L650" t="str" cm="1">
        <f t="array" ref="L650">INDEX(FX_Input,$R650,$Y650*L$5+$Z650)</f>
        <v>Out of Service</v>
      </c>
      <c r="M650" t="str" cm="1">
        <f t="array" ref="M650">INDEX(FX_Input,$R650,$Y650*M$5+$Z650)</f>
        <v>Out of Service</v>
      </c>
      <c r="N650" t="str" cm="1">
        <f t="array" ref="N650">INDEX(FX_Input,$R650,$Y650*N$5+$Z650)</f>
        <v>Out of Service</v>
      </c>
      <c r="O650" t="str" cm="1">
        <f t="array" ref="O650">INDEX(FX_Input,$R650,$Y650*O$5+$Z650)</f>
        <v>Out of Service</v>
      </c>
      <c r="R650">
        <f>R636+2</f>
        <v>93</v>
      </c>
      <c r="S650">
        <v>1</v>
      </c>
      <c r="T650">
        <v>3</v>
      </c>
      <c r="U650">
        <v>17</v>
      </c>
      <c r="V650">
        <f>U650+5</f>
        <v>22</v>
      </c>
      <c r="W650">
        <v>1</v>
      </c>
      <c r="X650">
        <v>2</v>
      </c>
      <c r="Y650">
        <f t="shared" ref="Y650:Y655" si="1426">(V650-U650)/(X650-W650)</f>
        <v>5</v>
      </c>
      <c r="Z650">
        <f t="shared" ref="Z650:Z655" si="1427">U650-Y650*W650</f>
        <v>12</v>
      </c>
    </row>
    <row r="651" spans="1:26" x14ac:dyDescent="0.4">
      <c r="C651" t="s">
        <v>529</v>
      </c>
      <c r="D651" cm="1">
        <f t="array" ref="D651">INDEX(FX_Input,$R651,$Y651*D$5+$Z651)</f>
        <v>0</v>
      </c>
      <c r="E651" cm="1">
        <f t="array" ref="E651">INDEX(FX_Input,$R651,$Y651*E$5+$Z651)</f>
        <v>0</v>
      </c>
      <c r="F651" cm="1">
        <f t="array" ref="F651">INDEX(FX_Input,$R651,$Y651*F$5+$Z651)</f>
        <v>0</v>
      </c>
      <c r="G651" cm="1">
        <f t="array" ref="G651">INDEX(FX_Input,$R651,$Y651*G$5+$Z651)</f>
        <v>0</v>
      </c>
      <c r="H651" cm="1">
        <f t="array" ref="H651">INDEX(FX_Input,$R651,$Y651*H$5+$Z651)</f>
        <v>0</v>
      </c>
      <c r="I651" cm="1">
        <f t="array" ref="I651">INDEX(FX_Input,$R651,$Y651*I$5+$Z651)</f>
        <v>0</v>
      </c>
      <c r="J651" cm="1">
        <f t="array" ref="J651">INDEX(FX_Input,$R651,$Y651*J$5+$Z651)</f>
        <v>0</v>
      </c>
      <c r="K651" cm="1">
        <f t="array" ref="K651">INDEX(FX_Input,$R651,$Y651*K$5+$Z651)</f>
        <v>0</v>
      </c>
      <c r="L651" cm="1">
        <f t="array" ref="L651">INDEX(FX_Input,$R651,$Y651*L$5+$Z651)</f>
        <v>0</v>
      </c>
      <c r="M651" cm="1">
        <f t="array" ref="M651">INDEX(FX_Input,$R651,$Y651*M$5+$Z651)</f>
        <v>0</v>
      </c>
      <c r="N651" cm="1">
        <f t="array" ref="N651">INDEX(FX_Input,$R651,$Y651*N$5+$Z651)</f>
        <v>0</v>
      </c>
      <c r="O651" cm="1">
        <f t="array" ref="O651">INDEX(FX_Input,$R651,$Y651*O$5+$Z651)</f>
        <v>0</v>
      </c>
      <c r="R651">
        <f>R650+1</f>
        <v>94</v>
      </c>
      <c r="U651">
        <f>U650</f>
        <v>17</v>
      </c>
      <c r="V651">
        <f t="shared" ref="V651:V655" si="1428">U651+5</f>
        <v>22</v>
      </c>
      <c r="W651">
        <v>1</v>
      </c>
      <c r="X651">
        <v>2</v>
      </c>
      <c r="Y651">
        <f t="shared" si="1426"/>
        <v>5</v>
      </c>
      <c r="Z651">
        <f t="shared" si="1427"/>
        <v>12</v>
      </c>
    </row>
    <row r="652" spans="1:26" x14ac:dyDescent="0.4">
      <c r="C652" t="s">
        <v>530</v>
      </c>
      <c r="D652" t="str" cm="1">
        <f t="array" ref="D652">INDEX(FX_Input,$R652,$Y652*D$5+$Z652)</f>
        <v>N/A</v>
      </c>
      <c r="E652" t="str" cm="1">
        <f t="array" ref="E652">INDEX(FX_Input,$R652,$Y652*E$5+$Z652)</f>
        <v>N/A</v>
      </c>
      <c r="F652" t="str" cm="1">
        <f t="array" ref="F652">INDEX(FX_Input,$R652,$Y652*F$5+$Z652)</f>
        <v>N/A</v>
      </c>
      <c r="G652" t="str" cm="1">
        <f t="array" ref="G652">INDEX(FX_Input,$R652,$Y652*G$5+$Z652)</f>
        <v>N/A</v>
      </c>
      <c r="H652" t="str" cm="1">
        <f t="array" ref="H652">INDEX(FX_Input,$R652,$Y652*H$5+$Z652)</f>
        <v>N/A</v>
      </c>
      <c r="I652" t="str" cm="1">
        <f t="array" ref="I652">INDEX(FX_Input,$R652,$Y652*I$5+$Z652)</f>
        <v>N/A</v>
      </c>
      <c r="J652" t="str" cm="1">
        <f t="array" ref="J652">INDEX(FX_Input,$R652,$Y652*J$5+$Z652)</f>
        <v>N/A</v>
      </c>
      <c r="K652" t="str" cm="1">
        <f t="array" ref="K652">INDEX(FX_Input,$R652,$Y652*K$5+$Z652)</f>
        <v>N/A</v>
      </c>
      <c r="L652" t="str" cm="1">
        <f t="array" ref="L652">INDEX(FX_Input,$R652,$Y652*L$5+$Z652)</f>
        <v>N/A</v>
      </c>
      <c r="M652" t="str" cm="1">
        <f t="array" ref="M652">INDEX(FX_Input,$R652,$Y652*M$5+$Z652)</f>
        <v>N/A</v>
      </c>
      <c r="N652" t="str" cm="1">
        <f t="array" ref="N652">INDEX(FX_Input,$R652,$Y652*N$5+$Z652)</f>
        <v>N/A</v>
      </c>
      <c r="O652" t="str" cm="1">
        <f t="array" ref="O652">INDEX(FX_Input,$R652,$Y652*O$5+$Z652)</f>
        <v>N/A</v>
      </c>
      <c r="R652">
        <f>R650</f>
        <v>93</v>
      </c>
      <c r="U652">
        <v>18</v>
      </c>
      <c r="V652">
        <f t="shared" si="1428"/>
        <v>23</v>
      </c>
      <c r="W652">
        <v>1</v>
      </c>
      <c r="X652">
        <v>2</v>
      </c>
      <c r="Y652">
        <f t="shared" si="1426"/>
        <v>5</v>
      </c>
      <c r="Z652">
        <f t="shared" si="1427"/>
        <v>13</v>
      </c>
    </row>
    <row r="653" spans="1:26" x14ac:dyDescent="0.4">
      <c r="C653" t="s">
        <v>531</v>
      </c>
      <c r="D653" cm="1">
        <f t="array" ref="D653">INDEX(FX_Input,$R653,$Y653*D$5+$Z653)</f>
        <v>0</v>
      </c>
      <c r="E653" cm="1">
        <f t="array" ref="E653">INDEX(FX_Input,$R653,$Y653*E$5+$Z653)</f>
        <v>0</v>
      </c>
      <c r="F653" cm="1">
        <f t="array" ref="F653">INDEX(FX_Input,$R653,$Y653*F$5+$Z653)</f>
        <v>0</v>
      </c>
      <c r="G653" cm="1">
        <f t="array" ref="G653">INDEX(FX_Input,$R653,$Y653*G$5+$Z653)</f>
        <v>0</v>
      </c>
      <c r="H653" cm="1">
        <f t="array" ref="H653">INDEX(FX_Input,$R653,$Y653*H$5+$Z653)</f>
        <v>0</v>
      </c>
      <c r="I653" cm="1">
        <f t="array" ref="I653">INDEX(FX_Input,$R653,$Y653*I$5+$Z653)</f>
        <v>0</v>
      </c>
      <c r="J653" cm="1">
        <f t="array" ref="J653">INDEX(FX_Input,$R653,$Y653*J$5+$Z653)</f>
        <v>0</v>
      </c>
      <c r="K653" cm="1">
        <f t="array" ref="K653">INDEX(FX_Input,$R653,$Y653*K$5+$Z653)</f>
        <v>0</v>
      </c>
      <c r="L653" cm="1">
        <f t="array" ref="L653">INDEX(FX_Input,$R653,$Y653*L$5+$Z653)</f>
        <v>0</v>
      </c>
      <c r="M653" cm="1">
        <f t="array" ref="M653">INDEX(FX_Input,$R653,$Y653*M$5+$Z653)</f>
        <v>0</v>
      </c>
      <c r="N653" cm="1">
        <f t="array" ref="N653">INDEX(FX_Input,$R653,$Y653*N$5+$Z653)</f>
        <v>0</v>
      </c>
      <c r="O653" cm="1">
        <f t="array" ref="O653">INDEX(FX_Input,$R653,$Y653*O$5+$Z653)</f>
        <v>0</v>
      </c>
      <c r="R653">
        <f>R651</f>
        <v>94</v>
      </c>
      <c r="U653">
        <f>U652</f>
        <v>18</v>
      </c>
      <c r="V653">
        <f t="shared" si="1428"/>
        <v>23</v>
      </c>
      <c r="W653">
        <v>1</v>
      </c>
      <c r="X653">
        <v>2</v>
      </c>
      <c r="Y653">
        <f t="shared" si="1426"/>
        <v>5</v>
      </c>
      <c r="Z653">
        <f t="shared" si="1427"/>
        <v>13</v>
      </c>
    </row>
    <row r="654" spans="1:26" x14ac:dyDescent="0.4">
      <c r="C654" t="s">
        <v>546</v>
      </c>
      <c r="D654" cm="1">
        <f t="array" ref="D654">INDEX(FX_Input,$R654,$Y654*D$5+$Z654)</f>
        <v>1</v>
      </c>
      <c r="E654" cm="1">
        <f t="array" ref="E654">INDEX(FX_Input,$R654,$Y654*E$5+$Z654)</f>
        <v>1</v>
      </c>
      <c r="F654" cm="1">
        <f t="array" ref="F654">INDEX(FX_Input,$R654,$Y654*F$5+$Z654)</f>
        <v>1</v>
      </c>
      <c r="G654" cm="1">
        <f t="array" ref="G654">INDEX(FX_Input,$R654,$Y654*G$5+$Z654)</f>
        <v>1</v>
      </c>
      <c r="H654" cm="1">
        <f t="array" ref="H654">INDEX(FX_Input,$R654,$Y654*H$5+$Z654)</f>
        <v>1</v>
      </c>
      <c r="I654" cm="1">
        <f t="array" ref="I654">INDEX(FX_Input,$R654,$Y654*I$5+$Z654)</f>
        <v>1</v>
      </c>
      <c r="J654" cm="1">
        <f t="array" ref="J654">INDEX(FX_Input,$R654,$Y654*J$5+$Z654)</f>
        <v>1</v>
      </c>
      <c r="K654" cm="1">
        <f t="array" ref="K654">INDEX(FX_Input,$R654,$Y654*K$5+$Z654)</f>
        <v>1</v>
      </c>
      <c r="L654" cm="1">
        <f t="array" ref="L654">INDEX(FX_Input,$R654,$Y654*L$5+$Z654)</f>
        <v>1</v>
      </c>
      <c r="M654" cm="1">
        <f t="array" ref="M654">INDEX(FX_Input,$R654,$Y654*M$5+$Z654)</f>
        <v>1</v>
      </c>
      <c r="N654" cm="1">
        <f t="array" ref="N654">INDEX(FX_Input,$R654,$Y654*N$5+$Z654)</f>
        <v>1</v>
      </c>
      <c r="O654" cm="1">
        <f t="array" ref="O654">INDEX(FX_Input,$R654,$Y654*O$5+$Z654)</f>
        <v>1</v>
      </c>
      <c r="R654">
        <f>R652</f>
        <v>93</v>
      </c>
      <c r="U654">
        <v>21</v>
      </c>
      <c r="V654">
        <f t="shared" si="1428"/>
        <v>26</v>
      </c>
      <c r="W654">
        <v>1</v>
      </c>
      <c r="X654">
        <v>2</v>
      </c>
      <c r="Y654">
        <f t="shared" si="1426"/>
        <v>5</v>
      </c>
      <c r="Z654">
        <f t="shared" si="1427"/>
        <v>16</v>
      </c>
    </row>
    <row r="655" spans="1:26" x14ac:dyDescent="0.4">
      <c r="C655" t="s">
        <v>547</v>
      </c>
      <c r="D655" cm="1">
        <f t="array" ref="D655">INDEX(FX_Input,$R655,$Y655*D$5+$Z655)</f>
        <v>0</v>
      </c>
      <c r="E655" cm="1">
        <f t="array" ref="E655">INDEX(FX_Input,$R655,$Y655*E$5+$Z655)</f>
        <v>0</v>
      </c>
      <c r="F655" cm="1">
        <f t="array" ref="F655">INDEX(FX_Input,$R655,$Y655*F$5+$Z655)</f>
        <v>0</v>
      </c>
      <c r="G655" cm="1">
        <f t="array" ref="G655">INDEX(FX_Input,$R655,$Y655*G$5+$Z655)</f>
        <v>0</v>
      </c>
      <c r="H655" cm="1">
        <f t="array" ref="H655">INDEX(FX_Input,$R655,$Y655*H$5+$Z655)</f>
        <v>0</v>
      </c>
      <c r="I655" cm="1">
        <f t="array" ref="I655">INDEX(FX_Input,$R655,$Y655*I$5+$Z655)</f>
        <v>0</v>
      </c>
      <c r="J655" cm="1">
        <f t="array" ref="J655">INDEX(FX_Input,$R655,$Y655*J$5+$Z655)</f>
        <v>0</v>
      </c>
      <c r="K655" cm="1">
        <f t="array" ref="K655">INDEX(FX_Input,$R655,$Y655*K$5+$Z655)</f>
        <v>0</v>
      </c>
      <c r="L655" cm="1">
        <f t="array" ref="L655">INDEX(FX_Input,$R655,$Y655*L$5+$Z655)</f>
        <v>0</v>
      </c>
      <c r="M655" cm="1">
        <f t="array" ref="M655">INDEX(FX_Input,$R655,$Y655*M$5+$Z655)</f>
        <v>0</v>
      </c>
      <c r="N655" cm="1">
        <f t="array" ref="N655">INDEX(FX_Input,$R655,$Y655*N$5+$Z655)</f>
        <v>0</v>
      </c>
      <c r="O655" cm="1">
        <f t="array" ref="O655">INDEX(FX_Input,$R655,$Y655*O$5+$Z655)</f>
        <v>0</v>
      </c>
      <c r="R655">
        <f>R653</f>
        <v>94</v>
      </c>
      <c r="U655">
        <f>U654</f>
        <v>21</v>
      </c>
      <c r="V655">
        <f t="shared" si="1428"/>
        <v>26</v>
      </c>
      <c r="W655">
        <v>1</v>
      </c>
      <c r="X655">
        <v>2</v>
      </c>
      <c r="Y655">
        <f t="shared" si="1426"/>
        <v>5</v>
      </c>
      <c r="Z655">
        <f t="shared" si="1427"/>
        <v>16</v>
      </c>
    </row>
    <row r="656" spans="1:26" x14ac:dyDescent="0.4">
      <c r="C656" t="s">
        <v>532</v>
      </c>
      <c r="D656" t="str">
        <f t="shared" ref="D656:O656" si="1429">IFERROR(VLOOKUP(D650,Phys_Prop,2,FALSE),0)</f>
        <v>N/A</v>
      </c>
      <c r="E656" t="str">
        <f t="shared" si="1429"/>
        <v>N/A</v>
      </c>
      <c r="F656" t="str">
        <f t="shared" si="1429"/>
        <v>N/A</v>
      </c>
      <c r="G656" t="str">
        <f t="shared" si="1429"/>
        <v>N/A</v>
      </c>
      <c r="H656" t="str">
        <f t="shared" si="1429"/>
        <v>N/A</v>
      </c>
      <c r="I656" t="str">
        <f t="shared" si="1429"/>
        <v>N/A</v>
      </c>
      <c r="J656" t="str">
        <f t="shared" si="1429"/>
        <v>N/A</v>
      </c>
      <c r="K656" t="str">
        <f t="shared" si="1429"/>
        <v>N/A</v>
      </c>
      <c r="L656" t="str">
        <f t="shared" si="1429"/>
        <v>N/A</v>
      </c>
      <c r="M656" t="str">
        <f t="shared" si="1429"/>
        <v>N/A</v>
      </c>
      <c r="N656" t="str">
        <f t="shared" si="1429"/>
        <v>N/A</v>
      </c>
      <c r="O656" t="str">
        <f t="shared" si="1429"/>
        <v>N/A</v>
      </c>
    </row>
    <row r="657" spans="1:26" x14ac:dyDescent="0.4">
      <c r="C657" t="s">
        <v>533</v>
      </c>
      <c r="D657">
        <f t="shared" ref="D657:O657" si="1430">IFERROR(VLOOKUP(D651,Phys_Prop,2,FALSE),0)</f>
        <v>0</v>
      </c>
      <c r="E657">
        <f t="shared" si="1430"/>
        <v>0</v>
      </c>
      <c r="F657">
        <f t="shared" si="1430"/>
        <v>0</v>
      </c>
      <c r="G657">
        <f t="shared" si="1430"/>
        <v>0</v>
      </c>
      <c r="H657">
        <f t="shared" si="1430"/>
        <v>0</v>
      </c>
      <c r="I657">
        <f t="shared" si="1430"/>
        <v>0</v>
      </c>
      <c r="J657">
        <f t="shared" si="1430"/>
        <v>0</v>
      </c>
      <c r="K657">
        <f t="shared" si="1430"/>
        <v>0</v>
      </c>
      <c r="L657">
        <f t="shared" si="1430"/>
        <v>0</v>
      </c>
      <c r="M657">
        <f t="shared" si="1430"/>
        <v>0</v>
      </c>
      <c r="N657">
        <f t="shared" si="1430"/>
        <v>0</v>
      </c>
      <c r="O657">
        <f t="shared" si="1430"/>
        <v>0</v>
      </c>
    </row>
    <row r="658" spans="1:26" x14ac:dyDescent="0.4">
      <c r="C658" t="s">
        <v>544</v>
      </c>
      <c r="D658">
        <f>IFERROR(IFERROR(D656/D654+D657/D655,D656/D654),0)</f>
        <v>0</v>
      </c>
      <c r="E658">
        <f t="shared" ref="E658" si="1431">IFERROR(IFERROR(E656/E654+E657/E655,E656/E654),0)</f>
        <v>0</v>
      </c>
      <c r="F658">
        <f t="shared" ref="F658" si="1432">IFERROR(IFERROR(F656/F654+F657/F655,F656/F654),0)</f>
        <v>0</v>
      </c>
      <c r="G658">
        <f t="shared" ref="G658" si="1433">IFERROR(IFERROR(G656/G654+G657/G655,G656/G654),0)</f>
        <v>0</v>
      </c>
      <c r="H658">
        <f t="shared" ref="H658" si="1434">IFERROR(IFERROR(H656/H654+H657/H655,H656/H654),0)</f>
        <v>0</v>
      </c>
      <c r="I658">
        <f t="shared" ref="I658" si="1435">IFERROR(IFERROR(I656/I654+I657/I655,I656/I654),0)</f>
        <v>0</v>
      </c>
      <c r="J658">
        <f t="shared" ref="J658" si="1436">IFERROR(IFERROR(J656/J654+J657/J655,J656/J654),0)</f>
        <v>0</v>
      </c>
      <c r="K658">
        <f t="shared" ref="K658" si="1437">IFERROR(IFERROR(K656/K654+K657/K655,K656/K654),0)</f>
        <v>0</v>
      </c>
      <c r="L658">
        <f t="shared" ref="L658" si="1438">IFERROR(IFERROR(L656/L654+L657/L655,L656/L654),0)</f>
        <v>0</v>
      </c>
      <c r="M658">
        <f t="shared" ref="M658" si="1439">IFERROR(IFERROR(M656/M654+M657/M655,M656/M654),0)</f>
        <v>0</v>
      </c>
      <c r="N658">
        <f t="shared" ref="N658" si="1440">IFERROR(IFERROR(N656/N654+N657/N655,N656/N654),0)</f>
        <v>0</v>
      </c>
      <c r="O658">
        <f t="shared" ref="O658" si="1441">IFERROR(IFERROR(O656/O654+O657/O655,O656/O654),0)</f>
        <v>0</v>
      </c>
    </row>
    <row r="659" spans="1:26" x14ac:dyDescent="0.4">
      <c r="C659" t="s">
        <v>539</v>
      </c>
      <c r="D659">
        <f>IFERROR((D654/D656)*D658,1)</f>
        <v>1</v>
      </c>
      <c r="E659">
        <f t="shared" ref="E659" si="1442">IFERROR((E654/E656)*E658,1)</f>
        <v>1</v>
      </c>
      <c r="F659">
        <f t="shared" ref="F659" si="1443">IFERROR((F654/F656)*F658,1)</f>
        <v>1</v>
      </c>
      <c r="G659">
        <f t="shared" ref="G659" si="1444">IFERROR((G654/G656)*G658,1)</f>
        <v>1</v>
      </c>
      <c r="H659">
        <f t="shared" ref="H659" si="1445">IFERROR((H654/H656)*H658,1)</f>
        <v>1</v>
      </c>
      <c r="I659">
        <f t="shared" ref="I659" si="1446">IFERROR((I654/I656)*I658,1)</f>
        <v>1</v>
      </c>
      <c r="J659">
        <f t="shared" ref="J659" si="1447">IFERROR((J654/J656)*J658,1)</f>
        <v>1</v>
      </c>
      <c r="K659">
        <f t="shared" ref="K659" si="1448">IFERROR((K654/K656)*K658,1)</f>
        <v>1</v>
      </c>
      <c r="L659">
        <f t="shared" ref="L659" si="1449">IFERROR((L654/L656)*L658,1)</f>
        <v>1</v>
      </c>
      <c r="M659">
        <f t="shared" ref="M659" si="1450">IFERROR((M654/M656)*M658,1)</f>
        <v>1</v>
      </c>
      <c r="N659">
        <f t="shared" ref="N659" si="1451">IFERROR((N654/N656)*N658,1)</f>
        <v>1</v>
      </c>
      <c r="O659">
        <f t="shared" ref="O659" si="1452">IFERROR((O654/O656)*O658,1)</f>
        <v>1</v>
      </c>
    </row>
    <row r="660" spans="1:26" x14ac:dyDescent="0.4">
      <c r="C660" t="s">
        <v>540</v>
      </c>
      <c r="D660">
        <f>IFERROR((D655/D657)*D658,0)</f>
        <v>0</v>
      </c>
      <c r="E660">
        <f t="shared" ref="E660:O660" si="1453">IFERROR((E655/E657)*E658,0)</f>
        <v>0</v>
      </c>
      <c r="F660">
        <f t="shared" si="1453"/>
        <v>0</v>
      </c>
      <c r="G660">
        <f t="shared" si="1453"/>
        <v>0</v>
      </c>
      <c r="H660">
        <f t="shared" si="1453"/>
        <v>0</v>
      </c>
      <c r="I660">
        <f t="shared" si="1453"/>
        <v>0</v>
      </c>
      <c r="J660">
        <f t="shared" si="1453"/>
        <v>0</v>
      </c>
      <c r="K660">
        <f t="shared" si="1453"/>
        <v>0</v>
      </c>
      <c r="L660">
        <f t="shared" si="1453"/>
        <v>0</v>
      </c>
      <c r="M660">
        <f t="shared" si="1453"/>
        <v>0</v>
      </c>
      <c r="N660">
        <f t="shared" si="1453"/>
        <v>0</v>
      </c>
      <c r="O660">
        <f t="shared" si="1453"/>
        <v>0</v>
      </c>
    </row>
    <row r="661" spans="1:26" x14ac:dyDescent="0.4">
      <c r="C661" s="21" t="s">
        <v>534</v>
      </c>
      <c r="D661" t="str">
        <f t="shared" ref="D661:O661" si="1454">IFERROR(VLOOKUP(D650,Phys_Prop,4,FALSE),0)</f>
        <v>N/A</v>
      </c>
      <c r="E661" t="str">
        <f t="shared" si="1454"/>
        <v>N/A</v>
      </c>
      <c r="F661" t="str">
        <f t="shared" si="1454"/>
        <v>N/A</v>
      </c>
      <c r="G661" t="str">
        <f t="shared" si="1454"/>
        <v>N/A</v>
      </c>
      <c r="H661" t="str">
        <f t="shared" si="1454"/>
        <v>N/A</v>
      </c>
      <c r="I661" t="str">
        <f t="shared" si="1454"/>
        <v>N/A</v>
      </c>
      <c r="J661" t="str">
        <f t="shared" si="1454"/>
        <v>N/A</v>
      </c>
      <c r="K661" t="str">
        <f t="shared" si="1454"/>
        <v>N/A</v>
      </c>
      <c r="L661" t="str">
        <f t="shared" si="1454"/>
        <v>N/A</v>
      </c>
      <c r="M661" t="str">
        <f t="shared" si="1454"/>
        <v>N/A</v>
      </c>
      <c r="N661" t="str">
        <f t="shared" si="1454"/>
        <v>N/A</v>
      </c>
      <c r="O661" t="str">
        <f t="shared" si="1454"/>
        <v>N/A</v>
      </c>
    </row>
    <row r="662" spans="1:26" x14ac:dyDescent="0.4">
      <c r="C662" s="21" t="s">
        <v>535</v>
      </c>
      <c r="D662">
        <f t="shared" ref="D662:O662" si="1455">IFERROR(VLOOKUP(D651,Phys_Prop,4,FALSE),0)</f>
        <v>0</v>
      </c>
      <c r="E662">
        <f t="shared" si="1455"/>
        <v>0</v>
      </c>
      <c r="F662">
        <f t="shared" si="1455"/>
        <v>0</v>
      </c>
      <c r="G662">
        <f t="shared" si="1455"/>
        <v>0</v>
      </c>
      <c r="H662">
        <f t="shared" si="1455"/>
        <v>0</v>
      </c>
      <c r="I662">
        <f t="shared" si="1455"/>
        <v>0</v>
      </c>
      <c r="J662">
        <f t="shared" si="1455"/>
        <v>0</v>
      </c>
      <c r="K662">
        <f t="shared" si="1455"/>
        <v>0</v>
      </c>
      <c r="L662">
        <f t="shared" si="1455"/>
        <v>0</v>
      </c>
      <c r="M662">
        <f t="shared" si="1455"/>
        <v>0</v>
      </c>
      <c r="N662">
        <f t="shared" si="1455"/>
        <v>0</v>
      </c>
      <c r="O662">
        <f t="shared" si="1455"/>
        <v>0</v>
      </c>
    </row>
    <row r="663" spans="1:26" x14ac:dyDescent="0.4">
      <c r="A663" s="11"/>
      <c r="B663" s="11"/>
      <c r="C663" s="62" t="s">
        <v>536</v>
      </c>
      <c r="D663" s="11" t="str">
        <f>IFERROR(1/(D659/D661+D660/D662),D661)</f>
        <v>N/A</v>
      </c>
      <c r="E663" s="11" t="str">
        <f t="shared" ref="E663:O663" si="1456">IFERROR(1/(E659/E661+E660/E662),E661)</f>
        <v>N/A</v>
      </c>
      <c r="F663" s="11" t="str">
        <f t="shared" si="1456"/>
        <v>N/A</v>
      </c>
      <c r="G663" s="11" t="str">
        <f t="shared" si="1456"/>
        <v>N/A</v>
      </c>
      <c r="H663" s="11" t="str">
        <f t="shared" si="1456"/>
        <v>N/A</v>
      </c>
      <c r="I663" s="11" t="str">
        <f t="shared" si="1456"/>
        <v>N/A</v>
      </c>
      <c r="J663" s="11" t="str">
        <f t="shared" si="1456"/>
        <v>N/A</v>
      </c>
      <c r="K663" s="11" t="str">
        <f t="shared" si="1456"/>
        <v>N/A</v>
      </c>
      <c r="L663" s="11" t="str">
        <f t="shared" si="1456"/>
        <v>N/A</v>
      </c>
      <c r="M663" s="11" t="str">
        <f t="shared" si="1456"/>
        <v>N/A</v>
      </c>
      <c r="N663" s="11" t="str">
        <f t="shared" si="1456"/>
        <v>N/A</v>
      </c>
      <c r="O663" s="11" t="str">
        <f t="shared" si="1456"/>
        <v>N/A</v>
      </c>
      <c r="P663" s="11"/>
      <c r="Q663" s="11"/>
      <c r="R663" s="11"/>
      <c r="S663" s="11"/>
      <c r="T663" s="11"/>
      <c r="U663" s="11"/>
      <c r="V663" s="11"/>
      <c r="W663" s="11"/>
      <c r="X663" s="11"/>
      <c r="Y663" s="11"/>
      <c r="Z663" s="11"/>
    </row>
    <row r="664" spans="1:26" x14ac:dyDescent="0.4">
      <c r="A664" t="str" cm="1">
        <f t="array" ref="A664">INDEX(FX_Input,R664,S664)</f>
        <v>FX - 48</v>
      </c>
      <c r="B664" t="str" cm="1">
        <f t="array" ref="B664">INDEX(FX_Input,R664,T664)</f>
        <v>Portland</v>
      </c>
      <c r="C664" t="s">
        <v>528</v>
      </c>
      <c r="D664" t="str" cm="1">
        <f t="array" ref="D664">INDEX(FX_Input,$R664,$Y664*D$5+$Z664)</f>
        <v>Out of Service</v>
      </c>
      <c r="E664" t="str" cm="1">
        <f t="array" ref="E664">INDEX(FX_Input,$R664,$Y664*E$5+$Z664)</f>
        <v>Out of Service</v>
      </c>
      <c r="F664" t="str" cm="1">
        <f t="array" ref="F664">INDEX(FX_Input,$R664,$Y664*F$5+$Z664)</f>
        <v>Out of Service</v>
      </c>
      <c r="G664" t="str" cm="1">
        <f t="array" ref="G664">INDEX(FX_Input,$R664,$Y664*G$5+$Z664)</f>
        <v>Out of Service</v>
      </c>
      <c r="H664" t="str" cm="1">
        <f t="array" ref="H664">INDEX(FX_Input,$R664,$Y664*H$5+$Z664)</f>
        <v>Out of Service</v>
      </c>
      <c r="I664" t="str" cm="1">
        <f t="array" ref="I664">INDEX(FX_Input,$R664,$Y664*I$5+$Z664)</f>
        <v>Out of Service</v>
      </c>
      <c r="J664" t="str" cm="1">
        <f t="array" ref="J664">INDEX(FX_Input,$R664,$Y664*J$5+$Z664)</f>
        <v>Out of Service</v>
      </c>
      <c r="K664" t="str" cm="1">
        <f t="array" ref="K664">INDEX(FX_Input,$R664,$Y664*K$5+$Z664)</f>
        <v>Out of Service</v>
      </c>
      <c r="L664" t="str" cm="1">
        <f t="array" ref="L664">INDEX(FX_Input,$R664,$Y664*L$5+$Z664)</f>
        <v>Out of Service</v>
      </c>
      <c r="M664" t="str" cm="1">
        <f t="array" ref="M664">INDEX(FX_Input,$R664,$Y664*M$5+$Z664)</f>
        <v>Out of Service</v>
      </c>
      <c r="N664" t="str" cm="1">
        <f t="array" ref="N664">INDEX(FX_Input,$R664,$Y664*N$5+$Z664)</f>
        <v>Out of Service</v>
      </c>
      <c r="O664" t="str" cm="1">
        <f t="array" ref="O664">INDEX(FX_Input,$R664,$Y664*O$5+$Z664)</f>
        <v>Out of Service</v>
      </c>
      <c r="R664">
        <f>R650+2</f>
        <v>95</v>
      </c>
      <c r="S664">
        <v>1</v>
      </c>
      <c r="T664">
        <v>3</v>
      </c>
      <c r="U664">
        <v>17</v>
      </c>
      <c r="V664">
        <f>U664+5</f>
        <v>22</v>
      </c>
      <c r="W664">
        <v>1</v>
      </c>
      <c r="X664">
        <v>2</v>
      </c>
      <c r="Y664">
        <f t="shared" ref="Y664:Y669" si="1457">(V664-U664)/(X664-W664)</f>
        <v>5</v>
      </c>
      <c r="Z664">
        <f t="shared" ref="Z664:Z669" si="1458">U664-Y664*W664</f>
        <v>12</v>
      </c>
    </row>
    <row r="665" spans="1:26" x14ac:dyDescent="0.4">
      <c r="C665" t="s">
        <v>529</v>
      </c>
      <c r="D665" cm="1">
        <f t="array" ref="D665">INDEX(FX_Input,$R665,$Y665*D$5+$Z665)</f>
        <v>0</v>
      </c>
      <c r="E665" cm="1">
        <f t="array" ref="E665">INDEX(FX_Input,$R665,$Y665*E$5+$Z665)</f>
        <v>0</v>
      </c>
      <c r="F665" cm="1">
        <f t="array" ref="F665">INDEX(FX_Input,$R665,$Y665*F$5+$Z665)</f>
        <v>0</v>
      </c>
      <c r="G665" cm="1">
        <f t="array" ref="G665">INDEX(FX_Input,$R665,$Y665*G$5+$Z665)</f>
        <v>0</v>
      </c>
      <c r="H665" cm="1">
        <f t="array" ref="H665">INDEX(FX_Input,$R665,$Y665*H$5+$Z665)</f>
        <v>0</v>
      </c>
      <c r="I665" cm="1">
        <f t="array" ref="I665">INDEX(FX_Input,$R665,$Y665*I$5+$Z665)</f>
        <v>0</v>
      </c>
      <c r="J665" cm="1">
        <f t="array" ref="J665">INDEX(FX_Input,$R665,$Y665*J$5+$Z665)</f>
        <v>0</v>
      </c>
      <c r="K665" cm="1">
        <f t="array" ref="K665">INDEX(FX_Input,$R665,$Y665*K$5+$Z665)</f>
        <v>0</v>
      </c>
      <c r="L665" cm="1">
        <f t="array" ref="L665">INDEX(FX_Input,$R665,$Y665*L$5+$Z665)</f>
        <v>0</v>
      </c>
      <c r="M665" cm="1">
        <f t="array" ref="M665">INDEX(FX_Input,$R665,$Y665*M$5+$Z665)</f>
        <v>0</v>
      </c>
      <c r="N665" cm="1">
        <f t="array" ref="N665">INDEX(FX_Input,$R665,$Y665*N$5+$Z665)</f>
        <v>0</v>
      </c>
      <c r="O665" cm="1">
        <f t="array" ref="O665">INDEX(FX_Input,$R665,$Y665*O$5+$Z665)</f>
        <v>0</v>
      </c>
      <c r="R665">
        <f>R664+1</f>
        <v>96</v>
      </c>
      <c r="U665">
        <f>U664</f>
        <v>17</v>
      </c>
      <c r="V665">
        <f t="shared" ref="V665:V669" si="1459">U665+5</f>
        <v>22</v>
      </c>
      <c r="W665">
        <v>1</v>
      </c>
      <c r="X665">
        <v>2</v>
      </c>
      <c r="Y665">
        <f t="shared" si="1457"/>
        <v>5</v>
      </c>
      <c r="Z665">
        <f t="shared" si="1458"/>
        <v>12</v>
      </c>
    </row>
    <row r="666" spans="1:26" x14ac:dyDescent="0.4">
      <c r="C666" t="s">
        <v>530</v>
      </c>
      <c r="D666" t="str" cm="1">
        <f t="array" ref="D666">INDEX(FX_Input,$R666,$Y666*D$5+$Z666)</f>
        <v>N/A</v>
      </c>
      <c r="E666" t="str" cm="1">
        <f t="array" ref="E666">INDEX(FX_Input,$R666,$Y666*E$5+$Z666)</f>
        <v>N/A</v>
      </c>
      <c r="F666" t="str" cm="1">
        <f t="array" ref="F666">INDEX(FX_Input,$R666,$Y666*F$5+$Z666)</f>
        <v>N/A</v>
      </c>
      <c r="G666" t="str" cm="1">
        <f t="array" ref="G666">INDEX(FX_Input,$R666,$Y666*G$5+$Z666)</f>
        <v>N/A</v>
      </c>
      <c r="H666" t="str" cm="1">
        <f t="array" ref="H666">INDEX(FX_Input,$R666,$Y666*H$5+$Z666)</f>
        <v>N/A</v>
      </c>
      <c r="I666" t="str" cm="1">
        <f t="array" ref="I666">INDEX(FX_Input,$R666,$Y666*I$5+$Z666)</f>
        <v>N/A</v>
      </c>
      <c r="J666" t="str" cm="1">
        <f t="array" ref="J666">INDEX(FX_Input,$R666,$Y666*J$5+$Z666)</f>
        <v>N/A</v>
      </c>
      <c r="K666" t="str" cm="1">
        <f t="array" ref="K666">INDEX(FX_Input,$R666,$Y666*K$5+$Z666)</f>
        <v>N/A</v>
      </c>
      <c r="L666" t="str" cm="1">
        <f t="array" ref="L666">INDEX(FX_Input,$R666,$Y666*L$5+$Z666)</f>
        <v>N/A</v>
      </c>
      <c r="M666" t="str" cm="1">
        <f t="array" ref="M666">INDEX(FX_Input,$R666,$Y666*M$5+$Z666)</f>
        <v>N/A</v>
      </c>
      <c r="N666" t="str" cm="1">
        <f t="array" ref="N666">INDEX(FX_Input,$R666,$Y666*N$5+$Z666)</f>
        <v>N/A</v>
      </c>
      <c r="O666" t="str" cm="1">
        <f t="array" ref="O666">INDEX(FX_Input,$R666,$Y666*O$5+$Z666)</f>
        <v>N/A</v>
      </c>
      <c r="R666">
        <f>R664</f>
        <v>95</v>
      </c>
      <c r="U666">
        <v>18</v>
      </c>
      <c r="V666">
        <f t="shared" si="1459"/>
        <v>23</v>
      </c>
      <c r="W666">
        <v>1</v>
      </c>
      <c r="X666">
        <v>2</v>
      </c>
      <c r="Y666">
        <f t="shared" si="1457"/>
        <v>5</v>
      </c>
      <c r="Z666">
        <f t="shared" si="1458"/>
        <v>13</v>
      </c>
    </row>
    <row r="667" spans="1:26" x14ac:dyDescent="0.4">
      <c r="C667" t="s">
        <v>531</v>
      </c>
      <c r="D667" cm="1">
        <f t="array" ref="D667">INDEX(FX_Input,$R667,$Y667*D$5+$Z667)</f>
        <v>0</v>
      </c>
      <c r="E667" cm="1">
        <f t="array" ref="E667">INDEX(FX_Input,$R667,$Y667*E$5+$Z667)</f>
        <v>0</v>
      </c>
      <c r="F667" cm="1">
        <f t="array" ref="F667">INDEX(FX_Input,$R667,$Y667*F$5+$Z667)</f>
        <v>0</v>
      </c>
      <c r="G667" cm="1">
        <f t="array" ref="G667">INDEX(FX_Input,$R667,$Y667*G$5+$Z667)</f>
        <v>0</v>
      </c>
      <c r="H667" cm="1">
        <f t="array" ref="H667">INDEX(FX_Input,$R667,$Y667*H$5+$Z667)</f>
        <v>0</v>
      </c>
      <c r="I667" cm="1">
        <f t="array" ref="I667">INDEX(FX_Input,$R667,$Y667*I$5+$Z667)</f>
        <v>0</v>
      </c>
      <c r="J667" cm="1">
        <f t="array" ref="J667">INDEX(FX_Input,$R667,$Y667*J$5+$Z667)</f>
        <v>0</v>
      </c>
      <c r="K667" cm="1">
        <f t="array" ref="K667">INDEX(FX_Input,$R667,$Y667*K$5+$Z667)</f>
        <v>0</v>
      </c>
      <c r="L667" cm="1">
        <f t="array" ref="L667">INDEX(FX_Input,$R667,$Y667*L$5+$Z667)</f>
        <v>0</v>
      </c>
      <c r="M667" cm="1">
        <f t="array" ref="M667">INDEX(FX_Input,$R667,$Y667*M$5+$Z667)</f>
        <v>0</v>
      </c>
      <c r="N667" cm="1">
        <f t="array" ref="N667">INDEX(FX_Input,$R667,$Y667*N$5+$Z667)</f>
        <v>0</v>
      </c>
      <c r="O667" cm="1">
        <f t="array" ref="O667">INDEX(FX_Input,$R667,$Y667*O$5+$Z667)</f>
        <v>0</v>
      </c>
      <c r="R667">
        <f>R665</f>
        <v>96</v>
      </c>
      <c r="U667">
        <f>U666</f>
        <v>18</v>
      </c>
      <c r="V667">
        <f t="shared" si="1459"/>
        <v>23</v>
      </c>
      <c r="W667">
        <v>1</v>
      </c>
      <c r="X667">
        <v>2</v>
      </c>
      <c r="Y667">
        <f t="shared" si="1457"/>
        <v>5</v>
      </c>
      <c r="Z667">
        <f t="shared" si="1458"/>
        <v>13</v>
      </c>
    </row>
    <row r="668" spans="1:26" x14ac:dyDescent="0.4">
      <c r="C668" t="s">
        <v>546</v>
      </c>
      <c r="D668" cm="1">
        <f t="array" ref="D668">INDEX(FX_Input,$R668,$Y668*D$5+$Z668)</f>
        <v>1</v>
      </c>
      <c r="E668" cm="1">
        <f t="array" ref="E668">INDEX(FX_Input,$R668,$Y668*E$5+$Z668)</f>
        <v>1</v>
      </c>
      <c r="F668" cm="1">
        <f t="array" ref="F668">INDEX(FX_Input,$R668,$Y668*F$5+$Z668)</f>
        <v>1</v>
      </c>
      <c r="G668" cm="1">
        <f t="array" ref="G668">INDEX(FX_Input,$R668,$Y668*G$5+$Z668)</f>
        <v>1</v>
      </c>
      <c r="H668" cm="1">
        <f t="array" ref="H668">INDEX(FX_Input,$R668,$Y668*H$5+$Z668)</f>
        <v>1</v>
      </c>
      <c r="I668" cm="1">
        <f t="array" ref="I668">INDEX(FX_Input,$R668,$Y668*I$5+$Z668)</f>
        <v>1</v>
      </c>
      <c r="J668" cm="1">
        <f t="array" ref="J668">INDEX(FX_Input,$R668,$Y668*J$5+$Z668)</f>
        <v>1</v>
      </c>
      <c r="K668" cm="1">
        <f t="array" ref="K668">INDEX(FX_Input,$R668,$Y668*K$5+$Z668)</f>
        <v>1</v>
      </c>
      <c r="L668" cm="1">
        <f t="array" ref="L668">INDEX(FX_Input,$R668,$Y668*L$5+$Z668)</f>
        <v>1</v>
      </c>
      <c r="M668" cm="1">
        <f t="array" ref="M668">INDEX(FX_Input,$R668,$Y668*M$5+$Z668)</f>
        <v>1</v>
      </c>
      <c r="N668" cm="1">
        <f t="array" ref="N668">INDEX(FX_Input,$R668,$Y668*N$5+$Z668)</f>
        <v>1</v>
      </c>
      <c r="O668" cm="1">
        <f t="array" ref="O668">INDEX(FX_Input,$R668,$Y668*O$5+$Z668)</f>
        <v>1</v>
      </c>
      <c r="R668">
        <f>R666</f>
        <v>95</v>
      </c>
      <c r="U668">
        <v>21</v>
      </c>
      <c r="V668">
        <f t="shared" si="1459"/>
        <v>26</v>
      </c>
      <c r="W668">
        <v>1</v>
      </c>
      <c r="X668">
        <v>2</v>
      </c>
      <c r="Y668">
        <f t="shared" si="1457"/>
        <v>5</v>
      </c>
      <c r="Z668">
        <f t="shared" si="1458"/>
        <v>16</v>
      </c>
    </row>
    <row r="669" spans="1:26" x14ac:dyDescent="0.4">
      <c r="C669" t="s">
        <v>547</v>
      </c>
      <c r="D669" cm="1">
        <f t="array" ref="D669">INDEX(FX_Input,$R669,$Y669*D$5+$Z669)</f>
        <v>0</v>
      </c>
      <c r="E669" cm="1">
        <f t="array" ref="E669">INDEX(FX_Input,$R669,$Y669*E$5+$Z669)</f>
        <v>0</v>
      </c>
      <c r="F669" cm="1">
        <f t="array" ref="F669">INDEX(FX_Input,$R669,$Y669*F$5+$Z669)</f>
        <v>0</v>
      </c>
      <c r="G669" cm="1">
        <f t="array" ref="G669">INDEX(FX_Input,$R669,$Y669*G$5+$Z669)</f>
        <v>0</v>
      </c>
      <c r="H669" cm="1">
        <f t="array" ref="H669">INDEX(FX_Input,$R669,$Y669*H$5+$Z669)</f>
        <v>0</v>
      </c>
      <c r="I669" cm="1">
        <f t="array" ref="I669">INDEX(FX_Input,$R669,$Y669*I$5+$Z669)</f>
        <v>0</v>
      </c>
      <c r="J669" cm="1">
        <f t="array" ref="J669">INDEX(FX_Input,$R669,$Y669*J$5+$Z669)</f>
        <v>0</v>
      </c>
      <c r="K669" cm="1">
        <f t="array" ref="K669">INDEX(FX_Input,$R669,$Y669*K$5+$Z669)</f>
        <v>0</v>
      </c>
      <c r="L669" cm="1">
        <f t="array" ref="L669">INDEX(FX_Input,$R669,$Y669*L$5+$Z669)</f>
        <v>0</v>
      </c>
      <c r="M669" cm="1">
        <f t="array" ref="M669">INDEX(FX_Input,$R669,$Y669*M$5+$Z669)</f>
        <v>0</v>
      </c>
      <c r="N669" cm="1">
        <f t="array" ref="N669">INDEX(FX_Input,$R669,$Y669*N$5+$Z669)</f>
        <v>0</v>
      </c>
      <c r="O669" cm="1">
        <f t="array" ref="O669">INDEX(FX_Input,$R669,$Y669*O$5+$Z669)</f>
        <v>0</v>
      </c>
      <c r="R669">
        <f>R667</f>
        <v>96</v>
      </c>
      <c r="U669">
        <f>U668</f>
        <v>21</v>
      </c>
      <c r="V669">
        <f t="shared" si="1459"/>
        <v>26</v>
      </c>
      <c r="W669">
        <v>1</v>
      </c>
      <c r="X669">
        <v>2</v>
      </c>
      <c r="Y669">
        <f t="shared" si="1457"/>
        <v>5</v>
      </c>
      <c r="Z669">
        <f t="shared" si="1458"/>
        <v>16</v>
      </c>
    </row>
    <row r="670" spans="1:26" x14ac:dyDescent="0.4">
      <c r="C670" t="s">
        <v>532</v>
      </c>
      <c r="D670" t="str">
        <f t="shared" ref="D670:O670" si="1460">IFERROR(VLOOKUP(D664,Phys_Prop,2,FALSE),0)</f>
        <v>N/A</v>
      </c>
      <c r="E670" t="str">
        <f t="shared" si="1460"/>
        <v>N/A</v>
      </c>
      <c r="F670" t="str">
        <f t="shared" si="1460"/>
        <v>N/A</v>
      </c>
      <c r="G670" t="str">
        <f t="shared" si="1460"/>
        <v>N/A</v>
      </c>
      <c r="H670" t="str">
        <f t="shared" si="1460"/>
        <v>N/A</v>
      </c>
      <c r="I670" t="str">
        <f t="shared" si="1460"/>
        <v>N/A</v>
      </c>
      <c r="J670" t="str">
        <f t="shared" si="1460"/>
        <v>N/A</v>
      </c>
      <c r="K670" t="str">
        <f t="shared" si="1460"/>
        <v>N/A</v>
      </c>
      <c r="L670" t="str">
        <f t="shared" si="1460"/>
        <v>N/A</v>
      </c>
      <c r="M670" t="str">
        <f t="shared" si="1460"/>
        <v>N/A</v>
      </c>
      <c r="N670" t="str">
        <f t="shared" si="1460"/>
        <v>N/A</v>
      </c>
      <c r="O670" t="str">
        <f t="shared" si="1460"/>
        <v>N/A</v>
      </c>
    </row>
    <row r="671" spans="1:26" x14ac:dyDescent="0.4">
      <c r="C671" t="s">
        <v>533</v>
      </c>
      <c r="D671">
        <f t="shared" ref="D671:O671" si="1461">IFERROR(VLOOKUP(D665,Phys_Prop,2,FALSE),0)</f>
        <v>0</v>
      </c>
      <c r="E671">
        <f t="shared" si="1461"/>
        <v>0</v>
      </c>
      <c r="F671">
        <f t="shared" si="1461"/>
        <v>0</v>
      </c>
      <c r="G671">
        <f t="shared" si="1461"/>
        <v>0</v>
      </c>
      <c r="H671">
        <f t="shared" si="1461"/>
        <v>0</v>
      </c>
      <c r="I671">
        <f t="shared" si="1461"/>
        <v>0</v>
      </c>
      <c r="J671">
        <f t="shared" si="1461"/>
        <v>0</v>
      </c>
      <c r="K671">
        <f t="shared" si="1461"/>
        <v>0</v>
      </c>
      <c r="L671">
        <f t="shared" si="1461"/>
        <v>0</v>
      </c>
      <c r="M671">
        <f t="shared" si="1461"/>
        <v>0</v>
      </c>
      <c r="N671">
        <f t="shared" si="1461"/>
        <v>0</v>
      </c>
      <c r="O671">
        <f t="shared" si="1461"/>
        <v>0</v>
      </c>
    </row>
    <row r="672" spans="1:26" x14ac:dyDescent="0.4">
      <c r="C672" t="s">
        <v>544</v>
      </c>
      <c r="D672">
        <f>IFERROR(IFERROR(D670/D668+D671/D669,D670/D668),0)</f>
        <v>0</v>
      </c>
      <c r="E672">
        <f t="shared" ref="E672" si="1462">IFERROR(IFERROR(E670/E668+E671/E669,E670/E668),0)</f>
        <v>0</v>
      </c>
      <c r="F672">
        <f t="shared" ref="F672" si="1463">IFERROR(IFERROR(F670/F668+F671/F669,F670/F668),0)</f>
        <v>0</v>
      </c>
      <c r="G672">
        <f t="shared" ref="G672" si="1464">IFERROR(IFERROR(G670/G668+G671/G669,G670/G668),0)</f>
        <v>0</v>
      </c>
      <c r="H672">
        <f t="shared" ref="H672" si="1465">IFERROR(IFERROR(H670/H668+H671/H669,H670/H668),0)</f>
        <v>0</v>
      </c>
      <c r="I672">
        <f t="shared" ref="I672" si="1466">IFERROR(IFERROR(I670/I668+I671/I669,I670/I668),0)</f>
        <v>0</v>
      </c>
      <c r="J672">
        <f t="shared" ref="J672" si="1467">IFERROR(IFERROR(J670/J668+J671/J669,J670/J668),0)</f>
        <v>0</v>
      </c>
      <c r="K672">
        <f t="shared" ref="K672" si="1468">IFERROR(IFERROR(K670/K668+K671/K669,K670/K668),0)</f>
        <v>0</v>
      </c>
      <c r="L672">
        <f t="shared" ref="L672" si="1469">IFERROR(IFERROR(L670/L668+L671/L669,L670/L668),0)</f>
        <v>0</v>
      </c>
      <c r="M672">
        <f t="shared" ref="M672" si="1470">IFERROR(IFERROR(M670/M668+M671/M669,M670/M668),0)</f>
        <v>0</v>
      </c>
      <c r="N672">
        <f t="shared" ref="N672" si="1471">IFERROR(IFERROR(N670/N668+N671/N669,N670/N668),0)</f>
        <v>0</v>
      </c>
      <c r="O672">
        <f t="shared" ref="O672" si="1472">IFERROR(IFERROR(O670/O668+O671/O669,O670/O668),0)</f>
        <v>0</v>
      </c>
    </row>
    <row r="673" spans="1:26" x14ac:dyDescent="0.4">
      <c r="C673" t="s">
        <v>539</v>
      </c>
      <c r="D673">
        <f>IFERROR((D668/D670)*D672,1)</f>
        <v>1</v>
      </c>
      <c r="E673">
        <f t="shared" ref="E673" si="1473">IFERROR((E668/E670)*E672,1)</f>
        <v>1</v>
      </c>
      <c r="F673">
        <f t="shared" ref="F673" si="1474">IFERROR((F668/F670)*F672,1)</f>
        <v>1</v>
      </c>
      <c r="G673">
        <f t="shared" ref="G673" si="1475">IFERROR((G668/G670)*G672,1)</f>
        <v>1</v>
      </c>
      <c r="H673">
        <f t="shared" ref="H673" si="1476">IFERROR((H668/H670)*H672,1)</f>
        <v>1</v>
      </c>
      <c r="I673">
        <f t="shared" ref="I673" si="1477">IFERROR((I668/I670)*I672,1)</f>
        <v>1</v>
      </c>
      <c r="J673">
        <f t="shared" ref="J673" si="1478">IFERROR((J668/J670)*J672,1)</f>
        <v>1</v>
      </c>
      <c r="K673">
        <f t="shared" ref="K673" si="1479">IFERROR((K668/K670)*K672,1)</f>
        <v>1</v>
      </c>
      <c r="L673">
        <f t="shared" ref="L673" si="1480">IFERROR((L668/L670)*L672,1)</f>
        <v>1</v>
      </c>
      <c r="M673">
        <f t="shared" ref="M673" si="1481">IFERROR((M668/M670)*M672,1)</f>
        <v>1</v>
      </c>
      <c r="N673">
        <f t="shared" ref="N673" si="1482">IFERROR((N668/N670)*N672,1)</f>
        <v>1</v>
      </c>
      <c r="O673">
        <f t="shared" ref="O673" si="1483">IFERROR((O668/O670)*O672,1)</f>
        <v>1</v>
      </c>
    </row>
    <row r="674" spans="1:26" x14ac:dyDescent="0.4">
      <c r="C674" t="s">
        <v>540</v>
      </c>
      <c r="D674">
        <f>IFERROR((D669/D671)*D672,0)</f>
        <v>0</v>
      </c>
      <c r="E674">
        <f t="shared" ref="E674:O674" si="1484">IFERROR((E669/E671)*E672,0)</f>
        <v>0</v>
      </c>
      <c r="F674">
        <f t="shared" si="1484"/>
        <v>0</v>
      </c>
      <c r="G674">
        <f t="shared" si="1484"/>
        <v>0</v>
      </c>
      <c r="H674">
        <f t="shared" si="1484"/>
        <v>0</v>
      </c>
      <c r="I674">
        <f t="shared" si="1484"/>
        <v>0</v>
      </c>
      <c r="J674">
        <f t="shared" si="1484"/>
        <v>0</v>
      </c>
      <c r="K674">
        <f t="shared" si="1484"/>
        <v>0</v>
      </c>
      <c r="L674">
        <f t="shared" si="1484"/>
        <v>0</v>
      </c>
      <c r="M674">
        <f t="shared" si="1484"/>
        <v>0</v>
      </c>
      <c r="N674">
        <f t="shared" si="1484"/>
        <v>0</v>
      </c>
      <c r="O674">
        <f t="shared" si="1484"/>
        <v>0</v>
      </c>
    </row>
    <row r="675" spans="1:26" x14ac:dyDescent="0.4">
      <c r="C675" s="21" t="s">
        <v>534</v>
      </c>
      <c r="D675" t="str">
        <f t="shared" ref="D675:O675" si="1485">IFERROR(VLOOKUP(D664,Phys_Prop,4,FALSE),0)</f>
        <v>N/A</v>
      </c>
      <c r="E675" t="str">
        <f t="shared" si="1485"/>
        <v>N/A</v>
      </c>
      <c r="F675" t="str">
        <f t="shared" si="1485"/>
        <v>N/A</v>
      </c>
      <c r="G675" t="str">
        <f t="shared" si="1485"/>
        <v>N/A</v>
      </c>
      <c r="H675" t="str">
        <f t="shared" si="1485"/>
        <v>N/A</v>
      </c>
      <c r="I675" t="str">
        <f t="shared" si="1485"/>
        <v>N/A</v>
      </c>
      <c r="J675" t="str">
        <f t="shared" si="1485"/>
        <v>N/A</v>
      </c>
      <c r="K675" t="str">
        <f t="shared" si="1485"/>
        <v>N/A</v>
      </c>
      <c r="L675" t="str">
        <f t="shared" si="1485"/>
        <v>N/A</v>
      </c>
      <c r="M675" t="str">
        <f t="shared" si="1485"/>
        <v>N/A</v>
      </c>
      <c r="N675" t="str">
        <f t="shared" si="1485"/>
        <v>N/A</v>
      </c>
      <c r="O675" t="str">
        <f t="shared" si="1485"/>
        <v>N/A</v>
      </c>
    </row>
    <row r="676" spans="1:26" x14ac:dyDescent="0.4">
      <c r="C676" s="21" t="s">
        <v>535</v>
      </c>
      <c r="D676">
        <f t="shared" ref="D676:O676" si="1486">IFERROR(VLOOKUP(D665,Phys_Prop,4,FALSE),0)</f>
        <v>0</v>
      </c>
      <c r="E676">
        <f t="shared" si="1486"/>
        <v>0</v>
      </c>
      <c r="F676">
        <f t="shared" si="1486"/>
        <v>0</v>
      </c>
      <c r="G676">
        <f t="shared" si="1486"/>
        <v>0</v>
      </c>
      <c r="H676">
        <f t="shared" si="1486"/>
        <v>0</v>
      </c>
      <c r="I676">
        <f t="shared" si="1486"/>
        <v>0</v>
      </c>
      <c r="J676">
        <f t="shared" si="1486"/>
        <v>0</v>
      </c>
      <c r="K676">
        <f t="shared" si="1486"/>
        <v>0</v>
      </c>
      <c r="L676">
        <f t="shared" si="1486"/>
        <v>0</v>
      </c>
      <c r="M676">
        <f t="shared" si="1486"/>
        <v>0</v>
      </c>
      <c r="N676">
        <f t="shared" si="1486"/>
        <v>0</v>
      </c>
      <c r="O676">
        <f t="shared" si="1486"/>
        <v>0</v>
      </c>
    </row>
    <row r="677" spans="1:26" x14ac:dyDescent="0.4">
      <c r="A677" s="11"/>
      <c r="B677" s="11"/>
      <c r="C677" s="62" t="s">
        <v>536</v>
      </c>
      <c r="D677" s="11" t="str">
        <f>IFERROR(1/(D673/D675+D674/D676),D675)</f>
        <v>N/A</v>
      </c>
      <c r="E677" s="11" t="str">
        <f t="shared" ref="E677:O677" si="1487">IFERROR(1/(E673/E675+E674/E676),E675)</f>
        <v>N/A</v>
      </c>
      <c r="F677" s="11" t="str">
        <f t="shared" si="1487"/>
        <v>N/A</v>
      </c>
      <c r="G677" s="11" t="str">
        <f t="shared" si="1487"/>
        <v>N/A</v>
      </c>
      <c r="H677" s="11" t="str">
        <f t="shared" si="1487"/>
        <v>N/A</v>
      </c>
      <c r="I677" s="11" t="str">
        <f t="shared" si="1487"/>
        <v>N/A</v>
      </c>
      <c r="J677" s="11" t="str">
        <f t="shared" si="1487"/>
        <v>N/A</v>
      </c>
      <c r="K677" s="11" t="str">
        <f t="shared" si="1487"/>
        <v>N/A</v>
      </c>
      <c r="L677" s="11" t="str">
        <f t="shared" si="1487"/>
        <v>N/A</v>
      </c>
      <c r="M677" s="11" t="str">
        <f t="shared" si="1487"/>
        <v>N/A</v>
      </c>
      <c r="N677" s="11" t="str">
        <f t="shared" si="1487"/>
        <v>N/A</v>
      </c>
      <c r="O677" s="11" t="str">
        <f t="shared" si="1487"/>
        <v>N/A</v>
      </c>
      <c r="P677" s="11"/>
      <c r="Q677" s="11"/>
      <c r="R677" s="11"/>
      <c r="S677" s="11"/>
      <c r="T677" s="11"/>
      <c r="U677" s="11"/>
      <c r="V677" s="11"/>
      <c r="W677" s="11"/>
      <c r="X677" s="11"/>
      <c r="Y677" s="11"/>
      <c r="Z677" s="11"/>
    </row>
    <row r="678" spans="1:26" x14ac:dyDescent="0.4">
      <c r="A678" t="str" cm="1">
        <f t="array" ref="A678">INDEX(FX_Input,R678,S678)</f>
        <v>FX - 49</v>
      </c>
      <c r="B678" t="str" cm="1">
        <f t="array" ref="B678">INDEX(FX_Input,R678,T678)</f>
        <v>Portland</v>
      </c>
      <c r="C678" t="s">
        <v>528</v>
      </c>
      <c r="D678" t="str" cm="1">
        <f t="array" ref="D678">INDEX(FX_Input,$R678,$Y678*D$5+$Z678)</f>
        <v>Jet kerosene</v>
      </c>
      <c r="E678" t="str" cm="1">
        <f t="array" ref="E678">INDEX(FX_Input,$R678,$Y678*E$5+$Z678)</f>
        <v>Jet kerosene</v>
      </c>
      <c r="F678" t="str" cm="1">
        <f t="array" ref="F678">INDEX(FX_Input,$R678,$Y678*F$5+$Z678)</f>
        <v>Jet kerosene</v>
      </c>
      <c r="G678" t="str" cm="1">
        <f t="array" ref="G678">INDEX(FX_Input,$R678,$Y678*G$5+$Z678)</f>
        <v>Jet kerosene</v>
      </c>
      <c r="H678" t="str" cm="1">
        <f t="array" ref="H678">INDEX(FX_Input,$R678,$Y678*H$5+$Z678)</f>
        <v>Jet kerosene</v>
      </c>
      <c r="I678" t="str" cm="1">
        <f t="array" ref="I678">INDEX(FX_Input,$R678,$Y678*I$5+$Z678)</f>
        <v>Jet kerosene</v>
      </c>
      <c r="J678" t="str" cm="1">
        <f t="array" ref="J678">INDEX(FX_Input,$R678,$Y678*J$5+$Z678)</f>
        <v>Jet kerosene</v>
      </c>
      <c r="K678" t="str" cm="1">
        <f t="array" ref="K678">INDEX(FX_Input,$R678,$Y678*K$5+$Z678)</f>
        <v>Jet kerosene</v>
      </c>
      <c r="L678" t="str" cm="1">
        <f t="array" ref="L678">INDEX(FX_Input,$R678,$Y678*L$5+$Z678)</f>
        <v>Jet kerosene</v>
      </c>
      <c r="M678" t="str" cm="1">
        <f t="array" ref="M678">INDEX(FX_Input,$R678,$Y678*M$5+$Z678)</f>
        <v>Jet kerosene</v>
      </c>
      <c r="N678" t="str" cm="1">
        <f t="array" ref="N678">INDEX(FX_Input,$R678,$Y678*N$5+$Z678)</f>
        <v>Jet kerosene</v>
      </c>
      <c r="O678" t="str" cm="1">
        <f t="array" ref="O678">INDEX(FX_Input,$R678,$Y678*O$5+$Z678)</f>
        <v>Jet kerosene</v>
      </c>
      <c r="R678">
        <f>R664+2</f>
        <v>97</v>
      </c>
      <c r="S678">
        <v>1</v>
      </c>
      <c r="T678">
        <v>3</v>
      </c>
      <c r="U678">
        <v>17</v>
      </c>
      <c r="V678">
        <f>U678+5</f>
        <v>22</v>
      </c>
      <c r="W678">
        <v>1</v>
      </c>
      <c r="X678">
        <v>2</v>
      </c>
      <c r="Y678">
        <f t="shared" ref="Y678:Y683" si="1488">(V678-U678)/(X678-W678)</f>
        <v>5</v>
      </c>
      <c r="Z678">
        <f t="shared" ref="Z678:Z683" si="1489">U678-Y678*W678</f>
        <v>12</v>
      </c>
    </row>
    <row r="679" spans="1:26" x14ac:dyDescent="0.4">
      <c r="C679" t="s">
        <v>529</v>
      </c>
      <c r="D679" cm="1">
        <f t="array" ref="D679">INDEX(FX_Input,$R679,$Y679*D$5+$Z679)</f>
        <v>0</v>
      </c>
      <c r="E679" cm="1">
        <f t="array" ref="E679">INDEX(FX_Input,$R679,$Y679*E$5+$Z679)</f>
        <v>0</v>
      </c>
      <c r="F679" cm="1">
        <f t="array" ref="F679">INDEX(FX_Input,$R679,$Y679*F$5+$Z679)</f>
        <v>0</v>
      </c>
      <c r="G679" cm="1">
        <f t="array" ref="G679">INDEX(FX_Input,$R679,$Y679*G$5+$Z679)</f>
        <v>0</v>
      </c>
      <c r="H679" cm="1">
        <f t="array" ref="H679">INDEX(FX_Input,$R679,$Y679*H$5+$Z679)</f>
        <v>0</v>
      </c>
      <c r="I679" cm="1">
        <f t="array" ref="I679">INDEX(FX_Input,$R679,$Y679*I$5+$Z679)</f>
        <v>0</v>
      </c>
      <c r="J679" cm="1">
        <f t="array" ref="J679">INDEX(FX_Input,$R679,$Y679*J$5+$Z679)</f>
        <v>0</v>
      </c>
      <c r="K679" cm="1">
        <f t="array" ref="K679">INDEX(FX_Input,$R679,$Y679*K$5+$Z679)</f>
        <v>0</v>
      </c>
      <c r="L679" cm="1">
        <f t="array" ref="L679">INDEX(FX_Input,$R679,$Y679*L$5+$Z679)</f>
        <v>0</v>
      </c>
      <c r="M679" cm="1">
        <f t="array" ref="M679">INDEX(FX_Input,$R679,$Y679*M$5+$Z679)</f>
        <v>0</v>
      </c>
      <c r="N679" cm="1">
        <f t="array" ref="N679">INDEX(FX_Input,$R679,$Y679*N$5+$Z679)</f>
        <v>0</v>
      </c>
      <c r="O679" cm="1">
        <f t="array" ref="O679">INDEX(FX_Input,$R679,$Y679*O$5+$Z679)</f>
        <v>0</v>
      </c>
      <c r="R679">
        <f>R678+1</f>
        <v>98</v>
      </c>
      <c r="U679">
        <f>U678</f>
        <v>17</v>
      </c>
      <c r="V679">
        <f t="shared" ref="V679:V683" si="1490">U679+5</f>
        <v>22</v>
      </c>
      <c r="W679">
        <v>1</v>
      </c>
      <c r="X679">
        <v>2</v>
      </c>
      <c r="Y679">
        <f t="shared" si="1488"/>
        <v>5</v>
      </c>
      <c r="Z679">
        <f t="shared" si="1489"/>
        <v>12</v>
      </c>
    </row>
    <row r="680" spans="1:26" x14ac:dyDescent="0.4">
      <c r="C680" t="s">
        <v>530</v>
      </c>
      <c r="D680" t="str" cm="1">
        <f t="array" ref="D680">INDEX(FX_Input,$R680,$Y680*D$5+$Z680)</f>
        <v>Select Pet Stock</v>
      </c>
      <c r="E680" t="str" cm="1">
        <f t="array" ref="E680">INDEX(FX_Input,$R680,$Y680*E$5+$Z680)</f>
        <v>Select Pet Stock</v>
      </c>
      <c r="F680" t="str" cm="1">
        <f t="array" ref="F680">INDEX(FX_Input,$R680,$Y680*F$5+$Z680)</f>
        <v>Select Pet Stock</v>
      </c>
      <c r="G680" t="str" cm="1">
        <f t="array" ref="G680">INDEX(FX_Input,$R680,$Y680*G$5+$Z680)</f>
        <v>Select Pet Stock</v>
      </c>
      <c r="H680" t="str" cm="1">
        <f t="array" ref="H680">INDEX(FX_Input,$R680,$Y680*H$5+$Z680)</f>
        <v>Select Pet Stock</v>
      </c>
      <c r="I680" t="str" cm="1">
        <f t="array" ref="I680">INDEX(FX_Input,$R680,$Y680*I$5+$Z680)</f>
        <v>Select Pet Stock</v>
      </c>
      <c r="J680" t="str" cm="1">
        <f t="array" ref="J680">INDEX(FX_Input,$R680,$Y680*J$5+$Z680)</f>
        <v>Select Pet Stock</v>
      </c>
      <c r="K680" t="str" cm="1">
        <f t="array" ref="K680">INDEX(FX_Input,$R680,$Y680*K$5+$Z680)</f>
        <v>Select Pet Stock</v>
      </c>
      <c r="L680" t="str" cm="1">
        <f t="array" ref="L680">INDEX(FX_Input,$R680,$Y680*L$5+$Z680)</f>
        <v>Select Pet Stock</v>
      </c>
      <c r="M680" t="str" cm="1">
        <f t="array" ref="M680">INDEX(FX_Input,$R680,$Y680*M$5+$Z680)</f>
        <v>Select Pet Stock</v>
      </c>
      <c r="N680" t="str" cm="1">
        <f t="array" ref="N680">INDEX(FX_Input,$R680,$Y680*N$5+$Z680)</f>
        <v>Select Pet Stock</v>
      </c>
      <c r="O680" t="str" cm="1">
        <f t="array" ref="O680">INDEX(FX_Input,$R680,$Y680*O$5+$Z680)</f>
        <v>Select Pet Stock</v>
      </c>
      <c r="R680">
        <f>R678</f>
        <v>97</v>
      </c>
      <c r="U680">
        <v>18</v>
      </c>
      <c r="V680">
        <f t="shared" si="1490"/>
        <v>23</v>
      </c>
      <c r="W680">
        <v>1</v>
      </c>
      <c r="X680">
        <v>2</v>
      </c>
      <c r="Y680">
        <f t="shared" si="1488"/>
        <v>5</v>
      </c>
      <c r="Z680">
        <f t="shared" si="1489"/>
        <v>13</v>
      </c>
    </row>
    <row r="681" spans="1:26" x14ac:dyDescent="0.4">
      <c r="C681" t="s">
        <v>531</v>
      </c>
      <c r="D681" cm="1">
        <f t="array" ref="D681">INDEX(FX_Input,$R681,$Y681*D$5+$Z681)</f>
        <v>0</v>
      </c>
      <c r="E681" cm="1">
        <f t="array" ref="E681">INDEX(FX_Input,$R681,$Y681*E$5+$Z681)</f>
        <v>0</v>
      </c>
      <c r="F681" cm="1">
        <f t="array" ref="F681">INDEX(FX_Input,$R681,$Y681*F$5+$Z681)</f>
        <v>0</v>
      </c>
      <c r="G681" cm="1">
        <f t="array" ref="G681">INDEX(FX_Input,$R681,$Y681*G$5+$Z681)</f>
        <v>0</v>
      </c>
      <c r="H681" cm="1">
        <f t="array" ref="H681">INDEX(FX_Input,$R681,$Y681*H$5+$Z681)</f>
        <v>0</v>
      </c>
      <c r="I681" cm="1">
        <f t="array" ref="I681">INDEX(FX_Input,$R681,$Y681*I$5+$Z681)</f>
        <v>0</v>
      </c>
      <c r="J681" cm="1">
        <f t="array" ref="J681">INDEX(FX_Input,$R681,$Y681*J$5+$Z681)</f>
        <v>0</v>
      </c>
      <c r="K681" cm="1">
        <f t="array" ref="K681">INDEX(FX_Input,$R681,$Y681*K$5+$Z681)</f>
        <v>0</v>
      </c>
      <c r="L681" cm="1">
        <f t="array" ref="L681">INDEX(FX_Input,$R681,$Y681*L$5+$Z681)</f>
        <v>0</v>
      </c>
      <c r="M681" cm="1">
        <f t="array" ref="M681">INDEX(FX_Input,$R681,$Y681*M$5+$Z681)</f>
        <v>0</v>
      </c>
      <c r="N681" cm="1">
        <f t="array" ref="N681">INDEX(FX_Input,$R681,$Y681*N$5+$Z681)</f>
        <v>0</v>
      </c>
      <c r="O681" cm="1">
        <f t="array" ref="O681">INDEX(FX_Input,$R681,$Y681*O$5+$Z681)</f>
        <v>0</v>
      </c>
      <c r="R681">
        <f>R679</f>
        <v>98</v>
      </c>
      <c r="U681">
        <f>U680</f>
        <v>18</v>
      </c>
      <c r="V681">
        <f t="shared" si="1490"/>
        <v>23</v>
      </c>
      <c r="W681">
        <v>1</v>
      </c>
      <c r="X681">
        <v>2</v>
      </c>
      <c r="Y681">
        <f t="shared" si="1488"/>
        <v>5</v>
      </c>
      <c r="Z681">
        <f t="shared" si="1489"/>
        <v>13</v>
      </c>
    </row>
    <row r="682" spans="1:26" x14ac:dyDescent="0.4">
      <c r="C682" t="s">
        <v>546</v>
      </c>
      <c r="D682" cm="1">
        <f t="array" ref="D682">INDEX(FX_Input,$R682,$Y682*D$5+$Z682)</f>
        <v>1</v>
      </c>
      <c r="E682" cm="1">
        <f t="array" ref="E682">INDEX(FX_Input,$R682,$Y682*E$5+$Z682)</f>
        <v>1</v>
      </c>
      <c r="F682" cm="1">
        <f t="array" ref="F682">INDEX(FX_Input,$R682,$Y682*F$5+$Z682)</f>
        <v>1</v>
      </c>
      <c r="G682" cm="1">
        <f t="array" ref="G682">INDEX(FX_Input,$R682,$Y682*G$5+$Z682)</f>
        <v>1</v>
      </c>
      <c r="H682" cm="1">
        <f t="array" ref="H682">INDEX(FX_Input,$R682,$Y682*H$5+$Z682)</f>
        <v>1</v>
      </c>
      <c r="I682" cm="1">
        <f t="array" ref="I682">INDEX(FX_Input,$R682,$Y682*I$5+$Z682)</f>
        <v>1</v>
      </c>
      <c r="J682" cm="1">
        <f t="array" ref="J682">INDEX(FX_Input,$R682,$Y682*J$5+$Z682)</f>
        <v>1</v>
      </c>
      <c r="K682" cm="1">
        <f t="array" ref="K682">INDEX(FX_Input,$R682,$Y682*K$5+$Z682)</f>
        <v>1</v>
      </c>
      <c r="L682" cm="1">
        <f t="array" ref="L682">INDEX(FX_Input,$R682,$Y682*L$5+$Z682)</f>
        <v>1</v>
      </c>
      <c r="M682" cm="1">
        <f t="array" ref="M682">INDEX(FX_Input,$R682,$Y682*M$5+$Z682)</f>
        <v>1</v>
      </c>
      <c r="N682" cm="1">
        <f t="array" ref="N682">INDEX(FX_Input,$R682,$Y682*N$5+$Z682)</f>
        <v>1</v>
      </c>
      <c r="O682" cm="1">
        <f t="array" ref="O682">INDEX(FX_Input,$R682,$Y682*O$5+$Z682)</f>
        <v>1</v>
      </c>
      <c r="R682">
        <f>R680</f>
        <v>97</v>
      </c>
      <c r="U682">
        <v>21</v>
      </c>
      <c r="V682">
        <f t="shared" si="1490"/>
        <v>26</v>
      </c>
      <c r="W682">
        <v>1</v>
      </c>
      <c r="X682">
        <v>2</v>
      </c>
      <c r="Y682">
        <f t="shared" si="1488"/>
        <v>5</v>
      </c>
      <c r="Z682">
        <f t="shared" si="1489"/>
        <v>16</v>
      </c>
    </row>
    <row r="683" spans="1:26" x14ac:dyDescent="0.4">
      <c r="C683" t="s">
        <v>547</v>
      </c>
      <c r="D683" cm="1">
        <f t="array" ref="D683">INDEX(FX_Input,$R683,$Y683*D$5+$Z683)</f>
        <v>0</v>
      </c>
      <c r="E683" cm="1">
        <f t="array" ref="E683">INDEX(FX_Input,$R683,$Y683*E$5+$Z683)</f>
        <v>0</v>
      </c>
      <c r="F683" cm="1">
        <f t="array" ref="F683">INDEX(FX_Input,$R683,$Y683*F$5+$Z683)</f>
        <v>0</v>
      </c>
      <c r="G683" cm="1">
        <f t="array" ref="G683">INDEX(FX_Input,$R683,$Y683*G$5+$Z683)</f>
        <v>0</v>
      </c>
      <c r="H683" cm="1">
        <f t="array" ref="H683">INDEX(FX_Input,$R683,$Y683*H$5+$Z683)</f>
        <v>0</v>
      </c>
      <c r="I683" cm="1">
        <f t="array" ref="I683">INDEX(FX_Input,$R683,$Y683*I$5+$Z683)</f>
        <v>0</v>
      </c>
      <c r="J683" cm="1">
        <f t="array" ref="J683">INDEX(FX_Input,$R683,$Y683*J$5+$Z683)</f>
        <v>0</v>
      </c>
      <c r="K683" cm="1">
        <f t="array" ref="K683">INDEX(FX_Input,$R683,$Y683*K$5+$Z683)</f>
        <v>0</v>
      </c>
      <c r="L683" cm="1">
        <f t="array" ref="L683">INDEX(FX_Input,$R683,$Y683*L$5+$Z683)</f>
        <v>0</v>
      </c>
      <c r="M683" cm="1">
        <f t="array" ref="M683">INDEX(FX_Input,$R683,$Y683*M$5+$Z683)</f>
        <v>0</v>
      </c>
      <c r="N683" cm="1">
        <f t="array" ref="N683">INDEX(FX_Input,$R683,$Y683*N$5+$Z683)</f>
        <v>0</v>
      </c>
      <c r="O683" cm="1">
        <f t="array" ref="O683">INDEX(FX_Input,$R683,$Y683*O$5+$Z683)</f>
        <v>0</v>
      </c>
      <c r="R683">
        <f>R681</f>
        <v>98</v>
      </c>
      <c r="U683">
        <f>U682</f>
        <v>21</v>
      </c>
      <c r="V683">
        <f t="shared" si="1490"/>
        <v>26</v>
      </c>
      <c r="W683">
        <v>1</v>
      </c>
      <c r="X683">
        <v>2</v>
      </c>
      <c r="Y683">
        <f t="shared" si="1488"/>
        <v>5</v>
      </c>
      <c r="Z683">
        <f t="shared" si="1489"/>
        <v>16</v>
      </c>
    </row>
    <row r="684" spans="1:26" x14ac:dyDescent="0.4">
      <c r="C684" t="s">
        <v>532</v>
      </c>
      <c r="D684">
        <f t="shared" ref="D684:O684" si="1491">IFERROR(VLOOKUP(D678,Phys_Prop,2,FALSE),0)</f>
        <v>162</v>
      </c>
      <c r="E684">
        <f t="shared" si="1491"/>
        <v>162</v>
      </c>
      <c r="F684">
        <f t="shared" si="1491"/>
        <v>162</v>
      </c>
      <c r="G684">
        <f t="shared" si="1491"/>
        <v>162</v>
      </c>
      <c r="H684">
        <f t="shared" si="1491"/>
        <v>162</v>
      </c>
      <c r="I684">
        <f t="shared" si="1491"/>
        <v>162</v>
      </c>
      <c r="J684">
        <f t="shared" si="1491"/>
        <v>162</v>
      </c>
      <c r="K684">
        <f t="shared" si="1491"/>
        <v>162</v>
      </c>
      <c r="L684">
        <f t="shared" si="1491"/>
        <v>162</v>
      </c>
      <c r="M684">
        <f t="shared" si="1491"/>
        <v>162</v>
      </c>
      <c r="N684">
        <f t="shared" si="1491"/>
        <v>162</v>
      </c>
      <c r="O684">
        <f t="shared" si="1491"/>
        <v>162</v>
      </c>
    </row>
    <row r="685" spans="1:26" x14ac:dyDescent="0.4">
      <c r="C685" t="s">
        <v>533</v>
      </c>
      <c r="D685">
        <f t="shared" ref="D685:O685" si="1492">IFERROR(VLOOKUP(D679,Phys_Prop,2,FALSE),0)</f>
        <v>0</v>
      </c>
      <c r="E685">
        <f t="shared" si="1492"/>
        <v>0</v>
      </c>
      <c r="F685">
        <f t="shared" si="1492"/>
        <v>0</v>
      </c>
      <c r="G685">
        <f t="shared" si="1492"/>
        <v>0</v>
      </c>
      <c r="H685">
        <f t="shared" si="1492"/>
        <v>0</v>
      </c>
      <c r="I685">
        <f t="shared" si="1492"/>
        <v>0</v>
      </c>
      <c r="J685">
        <f t="shared" si="1492"/>
        <v>0</v>
      </c>
      <c r="K685">
        <f t="shared" si="1492"/>
        <v>0</v>
      </c>
      <c r="L685">
        <f t="shared" si="1492"/>
        <v>0</v>
      </c>
      <c r="M685">
        <f t="shared" si="1492"/>
        <v>0</v>
      </c>
      <c r="N685">
        <f t="shared" si="1492"/>
        <v>0</v>
      </c>
      <c r="O685">
        <f t="shared" si="1492"/>
        <v>0</v>
      </c>
    </row>
    <row r="686" spans="1:26" x14ac:dyDescent="0.4">
      <c r="C686" t="s">
        <v>544</v>
      </c>
      <c r="D686">
        <f>IFERROR(IFERROR(D684/D682+D685/D683,D684/D682),0)</f>
        <v>162</v>
      </c>
      <c r="E686">
        <f t="shared" ref="E686" si="1493">IFERROR(IFERROR(E684/E682+E685/E683,E684/E682),0)</f>
        <v>162</v>
      </c>
      <c r="F686">
        <f t="shared" ref="F686" si="1494">IFERROR(IFERROR(F684/F682+F685/F683,F684/F682),0)</f>
        <v>162</v>
      </c>
      <c r="G686">
        <f t="shared" ref="G686" si="1495">IFERROR(IFERROR(G684/G682+G685/G683,G684/G682),0)</f>
        <v>162</v>
      </c>
      <c r="H686">
        <f t="shared" ref="H686" si="1496">IFERROR(IFERROR(H684/H682+H685/H683,H684/H682),0)</f>
        <v>162</v>
      </c>
      <c r="I686">
        <f t="shared" ref="I686" si="1497">IFERROR(IFERROR(I684/I682+I685/I683,I684/I682),0)</f>
        <v>162</v>
      </c>
      <c r="J686">
        <f t="shared" ref="J686" si="1498">IFERROR(IFERROR(J684/J682+J685/J683,J684/J682),0)</f>
        <v>162</v>
      </c>
      <c r="K686">
        <f t="shared" ref="K686" si="1499">IFERROR(IFERROR(K684/K682+K685/K683,K684/K682),0)</f>
        <v>162</v>
      </c>
      <c r="L686">
        <f t="shared" ref="L686" si="1500">IFERROR(IFERROR(L684/L682+L685/L683,L684/L682),0)</f>
        <v>162</v>
      </c>
      <c r="M686">
        <f t="shared" ref="M686" si="1501">IFERROR(IFERROR(M684/M682+M685/M683,M684/M682),0)</f>
        <v>162</v>
      </c>
      <c r="N686">
        <f t="shared" ref="N686" si="1502">IFERROR(IFERROR(N684/N682+N685/N683,N684/N682),0)</f>
        <v>162</v>
      </c>
      <c r="O686">
        <f t="shared" ref="O686" si="1503">IFERROR(IFERROR(O684/O682+O685/O683,O684/O682),0)</f>
        <v>162</v>
      </c>
    </row>
    <row r="687" spans="1:26" x14ac:dyDescent="0.4">
      <c r="C687" t="s">
        <v>539</v>
      </c>
      <c r="D687">
        <f>IFERROR((D682/D684)*D686,1)</f>
        <v>1</v>
      </c>
      <c r="E687">
        <f t="shared" ref="E687" si="1504">IFERROR((E682/E684)*E686,1)</f>
        <v>1</v>
      </c>
      <c r="F687">
        <f t="shared" ref="F687" si="1505">IFERROR((F682/F684)*F686,1)</f>
        <v>1</v>
      </c>
      <c r="G687">
        <f t="shared" ref="G687" si="1506">IFERROR((G682/G684)*G686,1)</f>
        <v>1</v>
      </c>
      <c r="H687">
        <f t="shared" ref="H687" si="1507">IFERROR((H682/H684)*H686,1)</f>
        <v>1</v>
      </c>
      <c r="I687">
        <f t="shared" ref="I687" si="1508">IFERROR((I682/I684)*I686,1)</f>
        <v>1</v>
      </c>
      <c r="J687">
        <f t="shared" ref="J687" si="1509">IFERROR((J682/J684)*J686,1)</f>
        <v>1</v>
      </c>
      <c r="K687">
        <f t="shared" ref="K687" si="1510">IFERROR((K682/K684)*K686,1)</f>
        <v>1</v>
      </c>
      <c r="L687">
        <f t="shared" ref="L687" si="1511">IFERROR((L682/L684)*L686,1)</f>
        <v>1</v>
      </c>
      <c r="M687">
        <f t="shared" ref="M687" si="1512">IFERROR((M682/M684)*M686,1)</f>
        <v>1</v>
      </c>
      <c r="N687">
        <f t="shared" ref="N687" si="1513">IFERROR((N682/N684)*N686,1)</f>
        <v>1</v>
      </c>
      <c r="O687">
        <f t="shared" ref="O687" si="1514">IFERROR((O682/O684)*O686,1)</f>
        <v>1</v>
      </c>
    </row>
    <row r="688" spans="1:26" x14ac:dyDescent="0.4">
      <c r="C688" t="s">
        <v>540</v>
      </c>
      <c r="D688">
        <f>IFERROR((D683/D685)*D686,0)</f>
        <v>0</v>
      </c>
      <c r="E688">
        <f t="shared" ref="E688:O688" si="1515">IFERROR((E683/E685)*E686,0)</f>
        <v>0</v>
      </c>
      <c r="F688">
        <f t="shared" si="1515"/>
        <v>0</v>
      </c>
      <c r="G688">
        <f t="shared" si="1515"/>
        <v>0</v>
      </c>
      <c r="H688">
        <f t="shared" si="1515"/>
        <v>0</v>
      </c>
      <c r="I688">
        <f t="shared" si="1515"/>
        <v>0</v>
      </c>
      <c r="J688">
        <f t="shared" si="1515"/>
        <v>0</v>
      </c>
      <c r="K688">
        <f t="shared" si="1515"/>
        <v>0</v>
      </c>
      <c r="L688">
        <f t="shared" si="1515"/>
        <v>0</v>
      </c>
      <c r="M688">
        <f t="shared" si="1515"/>
        <v>0</v>
      </c>
      <c r="N688">
        <f t="shared" si="1515"/>
        <v>0</v>
      </c>
      <c r="O688">
        <f t="shared" si="1515"/>
        <v>0</v>
      </c>
    </row>
    <row r="689" spans="1:26" x14ac:dyDescent="0.4">
      <c r="C689" s="21" t="s">
        <v>534</v>
      </c>
      <c r="D689">
        <f t="shared" ref="D689:O689" si="1516">IFERROR(VLOOKUP(D678,Phys_Prop,4,FALSE),0)</f>
        <v>7</v>
      </c>
      <c r="E689">
        <f t="shared" si="1516"/>
        <v>7</v>
      </c>
      <c r="F689">
        <f t="shared" si="1516"/>
        <v>7</v>
      </c>
      <c r="G689">
        <f t="shared" si="1516"/>
        <v>7</v>
      </c>
      <c r="H689">
        <f t="shared" si="1516"/>
        <v>7</v>
      </c>
      <c r="I689">
        <f t="shared" si="1516"/>
        <v>7</v>
      </c>
      <c r="J689">
        <f t="shared" si="1516"/>
        <v>7</v>
      </c>
      <c r="K689">
        <f t="shared" si="1516"/>
        <v>7</v>
      </c>
      <c r="L689">
        <f t="shared" si="1516"/>
        <v>7</v>
      </c>
      <c r="M689">
        <f t="shared" si="1516"/>
        <v>7</v>
      </c>
      <c r="N689">
        <f t="shared" si="1516"/>
        <v>7</v>
      </c>
      <c r="O689">
        <f t="shared" si="1516"/>
        <v>7</v>
      </c>
    </row>
    <row r="690" spans="1:26" x14ac:dyDescent="0.4">
      <c r="C690" s="21" t="s">
        <v>535</v>
      </c>
      <c r="D690">
        <f t="shared" ref="D690:O690" si="1517">IFERROR(VLOOKUP(D679,Phys_Prop,4,FALSE),0)</f>
        <v>0</v>
      </c>
      <c r="E690">
        <f t="shared" si="1517"/>
        <v>0</v>
      </c>
      <c r="F690">
        <f t="shared" si="1517"/>
        <v>0</v>
      </c>
      <c r="G690">
        <f t="shared" si="1517"/>
        <v>0</v>
      </c>
      <c r="H690">
        <f t="shared" si="1517"/>
        <v>0</v>
      </c>
      <c r="I690">
        <f t="shared" si="1517"/>
        <v>0</v>
      </c>
      <c r="J690">
        <f t="shared" si="1517"/>
        <v>0</v>
      </c>
      <c r="K690">
        <f t="shared" si="1517"/>
        <v>0</v>
      </c>
      <c r="L690">
        <f t="shared" si="1517"/>
        <v>0</v>
      </c>
      <c r="M690">
        <f t="shared" si="1517"/>
        <v>0</v>
      </c>
      <c r="N690">
        <f t="shared" si="1517"/>
        <v>0</v>
      </c>
      <c r="O690">
        <f t="shared" si="1517"/>
        <v>0</v>
      </c>
    </row>
    <row r="691" spans="1:26" x14ac:dyDescent="0.4">
      <c r="A691" s="11"/>
      <c r="B691" s="11"/>
      <c r="C691" s="62" t="s">
        <v>536</v>
      </c>
      <c r="D691" s="11">
        <f>IFERROR(1/(D687/D689+D688/D690),D689)</f>
        <v>7</v>
      </c>
      <c r="E691" s="11">
        <f t="shared" ref="E691:O691" si="1518">IFERROR(1/(E687/E689+E688/E690),E689)</f>
        <v>7</v>
      </c>
      <c r="F691" s="11">
        <f t="shared" si="1518"/>
        <v>7</v>
      </c>
      <c r="G691" s="11">
        <f t="shared" si="1518"/>
        <v>7</v>
      </c>
      <c r="H691" s="11">
        <f t="shared" si="1518"/>
        <v>7</v>
      </c>
      <c r="I691" s="11">
        <f t="shared" si="1518"/>
        <v>7</v>
      </c>
      <c r="J691" s="11">
        <f t="shared" si="1518"/>
        <v>7</v>
      </c>
      <c r="K691" s="11">
        <f t="shared" si="1518"/>
        <v>7</v>
      </c>
      <c r="L691" s="11">
        <f t="shared" si="1518"/>
        <v>7</v>
      </c>
      <c r="M691" s="11">
        <f t="shared" si="1518"/>
        <v>7</v>
      </c>
      <c r="N691" s="11">
        <f t="shared" si="1518"/>
        <v>7</v>
      </c>
      <c r="O691" s="11">
        <f t="shared" si="1518"/>
        <v>7</v>
      </c>
      <c r="P691" s="11"/>
      <c r="Q691" s="11"/>
      <c r="R691" s="11"/>
      <c r="S691" s="11"/>
      <c r="T691" s="11"/>
      <c r="U691" s="11"/>
      <c r="V691" s="11"/>
      <c r="W691" s="11"/>
      <c r="X691" s="11"/>
      <c r="Y691" s="11"/>
      <c r="Z691" s="11"/>
    </row>
    <row r="692" spans="1:26" x14ac:dyDescent="0.4">
      <c r="A692" t="str" cm="1">
        <f t="array" ref="A692">INDEX(FX_Input,R692,S692)</f>
        <v>FX - 50</v>
      </c>
      <c r="B692" t="str" cm="1">
        <f t="array" ref="B692">INDEX(FX_Input,R692,T692)</f>
        <v>Portland</v>
      </c>
      <c r="C692" t="s">
        <v>528</v>
      </c>
      <c r="D692" t="str" cm="1">
        <f t="array" ref="D692">INDEX(FX_Input,$R692,$Y692*D$5+$Z692)</f>
        <v>Jet kerosene</v>
      </c>
      <c r="E692" t="str" cm="1">
        <f t="array" ref="E692">INDEX(FX_Input,$R692,$Y692*E$5+$Z692)</f>
        <v>Jet kerosene</v>
      </c>
      <c r="F692" t="str" cm="1">
        <f t="array" ref="F692">INDEX(FX_Input,$R692,$Y692*F$5+$Z692)</f>
        <v>Jet kerosene</v>
      </c>
      <c r="G692" t="str" cm="1">
        <f t="array" ref="G692">INDEX(FX_Input,$R692,$Y692*G$5+$Z692)</f>
        <v>Jet kerosene</v>
      </c>
      <c r="H692" t="str" cm="1">
        <f t="array" ref="H692">INDEX(FX_Input,$R692,$Y692*H$5+$Z692)</f>
        <v>Jet kerosene</v>
      </c>
      <c r="I692" t="str" cm="1">
        <f t="array" ref="I692">INDEX(FX_Input,$R692,$Y692*I$5+$Z692)</f>
        <v>Jet kerosene</v>
      </c>
      <c r="J692" t="str" cm="1">
        <f t="array" ref="J692">INDEX(FX_Input,$R692,$Y692*J$5+$Z692)</f>
        <v>Jet kerosene</v>
      </c>
      <c r="K692" t="str" cm="1">
        <f t="array" ref="K692">INDEX(FX_Input,$R692,$Y692*K$5+$Z692)</f>
        <v>Jet kerosene</v>
      </c>
      <c r="L692" t="str" cm="1">
        <f t="array" ref="L692">INDEX(FX_Input,$R692,$Y692*L$5+$Z692)</f>
        <v>Jet kerosene</v>
      </c>
      <c r="M692" t="str" cm="1">
        <f t="array" ref="M692">INDEX(FX_Input,$R692,$Y692*M$5+$Z692)</f>
        <v>Jet kerosene</v>
      </c>
      <c r="N692" t="str" cm="1">
        <f t="array" ref="N692">INDEX(FX_Input,$R692,$Y692*N$5+$Z692)</f>
        <v>Jet kerosene</v>
      </c>
      <c r="O692" t="str" cm="1">
        <f t="array" ref="O692">INDEX(FX_Input,$R692,$Y692*O$5+$Z692)</f>
        <v>Jet kerosene</v>
      </c>
      <c r="R692">
        <f>R678+2</f>
        <v>99</v>
      </c>
      <c r="S692">
        <v>1</v>
      </c>
      <c r="T692">
        <v>3</v>
      </c>
      <c r="U692">
        <v>17</v>
      </c>
      <c r="V692">
        <f>U692+5</f>
        <v>22</v>
      </c>
      <c r="W692">
        <v>1</v>
      </c>
      <c r="X692">
        <v>2</v>
      </c>
      <c r="Y692">
        <f t="shared" ref="Y692:Y697" si="1519">(V692-U692)/(X692-W692)</f>
        <v>5</v>
      </c>
      <c r="Z692">
        <f t="shared" ref="Z692:Z697" si="1520">U692-Y692*W692</f>
        <v>12</v>
      </c>
    </row>
    <row r="693" spans="1:26" x14ac:dyDescent="0.4">
      <c r="C693" t="s">
        <v>529</v>
      </c>
      <c r="D693" cm="1">
        <f t="array" ref="D693">INDEX(FX_Input,$R693,$Y693*D$5+$Z693)</f>
        <v>0</v>
      </c>
      <c r="E693" cm="1">
        <f t="array" ref="E693">INDEX(FX_Input,$R693,$Y693*E$5+$Z693)</f>
        <v>0</v>
      </c>
      <c r="F693" cm="1">
        <f t="array" ref="F693">INDEX(FX_Input,$R693,$Y693*F$5+$Z693)</f>
        <v>0</v>
      </c>
      <c r="G693" cm="1">
        <f t="array" ref="G693">INDEX(FX_Input,$R693,$Y693*G$5+$Z693)</f>
        <v>0</v>
      </c>
      <c r="H693" cm="1">
        <f t="array" ref="H693">INDEX(FX_Input,$R693,$Y693*H$5+$Z693)</f>
        <v>0</v>
      </c>
      <c r="I693" cm="1">
        <f t="array" ref="I693">INDEX(FX_Input,$R693,$Y693*I$5+$Z693)</f>
        <v>0</v>
      </c>
      <c r="J693" cm="1">
        <f t="array" ref="J693">INDEX(FX_Input,$R693,$Y693*J$5+$Z693)</f>
        <v>0</v>
      </c>
      <c r="K693" cm="1">
        <f t="array" ref="K693">INDEX(FX_Input,$R693,$Y693*K$5+$Z693)</f>
        <v>0</v>
      </c>
      <c r="L693" cm="1">
        <f t="array" ref="L693">INDEX(FX_Input,$R693,$Y693*L$5+$Z693)</f>
        <v>0</v>
      </c>
      <c r="M693" cm="1">
        <f t="array" ref="M693">INDEX(FX_Input,$R693,$Y693*M$5+$Z693)</f>
        <v>0</v>
      </c>
      <c r="N693" cm="1">
        <f t="array" ref="N693">INDEX(FX_Input,$R693,$Y693*N$5+$Z693)</f>
        <v>0</v>
      </c>
      <c r="O693" cm="1">
        <f t="array" ref="O693">INDEX(FX_Input,$R693,$Y693*O$5+$Z693)</f>
        <v>0</v>
      </c>
      <c r="R693">
        <f>R692+1</f>
        <v>100</v>
      </c>
      <c r="U693">
        <f>U692</f>
        <v>17</v>
      </c>
      <c r="V693">
        <f t="shared" ref="V693:V697" si="1521">U693+5</f>
        <v>22</v>
      </c>
      <c r="W693">
        <v>1</v>
      </c>
      <c r="X693">
        <v>2</v>
      </c>
      <c r="Y693">
        <f t="shared" si="1519"/>
        <v>5</v>
      </c>
      <c r="Z693">
        <f t="shared" si="1520"/>
        <v>12</v>
      </c>
    </row>
    <row r="694" spans="1:26" x14ac:dyDescent="0.4">
      <c r="C694" t="s">
        <v>530</v>
      </c>
      <c r="D694" t="str" cm="1">
        <f t="array" ref="D694">INDEX(FX_Input,$R694,$Y694*D$5+$Z694)</f>
        <v>Select Pet Stock</v>
      </c>
      <c r="E694" t="str" cm="1">
        <f t="array" ref="E694">INDEX(FX_Input,$R694,$Y694*E$5+$Z694)</f>
        <v>Select Pet Stock</v>
      </c>
      <c r="F694" t="str" cm="1">
        <f t="array" ref="F694">INDEX(FX_Input,$R694,$Y694*F$5+$Z694)</f>
        <v>Select Pet Stock</v>
      </c>
      <c r="G694" t="str" cm="1">
        <f t="array" ref="G694">INDEX(FX_Input,$R694,$Y694*G$5+$Z694)</f>
        <v>Select Pet Stock</v>
      </c>
      <c r="H694" t="str" cm="1">
        <f t="array" ref="H694">INDEX(FX_Input,$R694,$Y694*H$5+$Z694)</f>
        <v>Select Pet Stock</v>
      </c>
      <c r="I694" t="str" cm="1">
        <f t="array" ref="I694">INDEX(FX_Input,$R694,$Y694*I$5+$Z694)</f>
        <v>Select Pet Stock</v>
      </c>
      <c r="J694" t="str" cm="1">
        <f t="array" ref="J694">INDEX(FX_Input,$R694,$Y694*J$5+$Z694)</f>
        <v>Select Pet Stock</v>
      </c>
      <c r="K694" t="str" cm="1">
        <f t="array" ref="K694">INDEX(FX_Input,$R694,$Y694*K$5+$Z694)</f>
        <v>Select Pet Stock</v>
      </c>
      <c r="L694" t="str" cm="1">
        <f t="array" ref="L694">INDEX(FX_Input,$R694,$Y694*L$5+$Z694)</f>
        <v>Select Pet Stock</v>
      </c>
      <c r="M694" t="str" cm="1">
        <f t="array" ref="M694">INDEX(FX_Input,$R694,$Y694*M$5+$Z694)</f>
        <v>Select Pet Stock</v>
      </c>
      <c r="N694" t="str" cm="1">
        <f t="array" ref="N694">INDEX(FX_Input,$R694,$Y694*N$5+$Z694)</f>
        <v>Select Pet Stock</v>
      </c>
      <c r="O694" t="str" cm="1">
        <f t="array" ref="O694">INDEX(FX_Input,$R694,$Y694*O$5+$Z694)</f>
        <v>Select Pet Stock</v>
      </c>
      <c r="R694">
        <f>R692</f>
        <v>99</v>
      </c>
      <c r="U694">
        <v>18</v>
      </c>
      <c r="V694">
        <f t="shared" si="1521"/>
        <v>23</v>
      </c>
      <c r="W694">
        <v>1</v>
      </c>
      <c r="X694">
        <v>2</v>
      </c>
      <c r="Y694">
        <f t="shared" si="1519"/>
        <v>5</v>
      </c>
      <c r="Z694">
        <f t="shared" si="1520"/>
        <v>13</v>
      </c>
    </row>
    <row r="695" spans="1:26" x14ac:dyDescent="0.4">
      <c r="C695" t="s">
        <v>531</v>
      </c>
      <c r="D695" cm="1">
        <f t="array" ref="D695">INDEX(FX_Input,$R695,$Y695*D$5+$Z695)</f>
        <v>0</v>
      </c>
      <c r="E695" cm="1">
        <f t="array" ref="E695">INDEX(FX_Input,$R695,$Y695*E$5+$Z695)</f>
        <v>0</v>
      </c>
      <c r="F695" cm="1">
        <f t="array" ref="F695">INDEX(FX_Input,$R695,$Y695*F$5+$Z695)</f>
        <v>0</v>
      </c>
      <c r="G695" cm="1">
        <f t="array" ref="G695">INDEX(FX_Input,$R695,$Y695*G$5+$Z695)</f>
        <v>0</v>
      </c>
      <c r="H695" cm="1">
        <f t="array" ref="H695">INDEX(FX_Input,$R695,$Y695*H$5+$Z695)</f>
        <v>0</v>
      </c>
      <c r="I695" cm="1">
        <f t="array" ref="I695">INDEX(FX_Input,$R695,$Y695*I$5+$Z695)</f>
        <v>0</v>
      </c>
      <c r="J695" cm="1">
        <f t="array" ref="J695">INDEX(FX_Input,$R695,$Y695*J$5+$Z695)</f>
        <v>0</v>
      </c>
      <c r="K695" cm="1">
        <f t="array" ref="K695">INDEX(FX_Input,$R695,$Y695*K$5+$Z695)</f>
        <v>0</v>
      </c>
      <c r="L695" cm="1">
        <f t="array" ref="L695">INDEX(FX_Input,$R695,$Y695*L$5+$Z695)</f>
        <v>0</v>
      </c>
      <c r="M695" cm="1">
        <f t="array" ref="M695">INDEX(FX_Input,$R695,$Y695*M$5+$Z695)</f>
        <v>0</v>
      </c>
      <c r="N695" cm="1">
        <f t="array" ref="N695">INDEX(FX_Input,$R695,$Y695*N$5+$Z695)</f>
        <v>0</v>
      </c>
      <c r="O695" cm="1">
        <f t="array" ref="O695">INDEX(FX_Input,$R695,$Y695*O$5+$Z695)</f>
        <v>0</v>
      </c>
      <c r="R695">
        <f>R693</f>
        <v>100</v>
      </c>
      <c r="U695">
        <f>U694</f>
        <v>18</v>
      </c>
      <c r="V695">
        <f t="shared" si="1521"/>
        <v>23</v>
      </c>
      <c r="W695">
        <v>1</v>
      </c>
      <c r="X695">
        <v>2</v>
      </c>
      <c r="Y695">
        <f t="shared" si="1519"/>
        <v>5</v>
      </c>
      <c r="Z695">
        <f t="shared" si="1520"/>
        <v>13</v>
      </c>
    </row>
    <row r="696" spans="1:26" x14ac:dyDescent="0.4">
      <c r="C696" t="s">
        <v>546</v>
      </c>
      <c r="D696" cm="1">
        <f t="array" ref="D696">INDEX(FX_Input,$R696,$Y696*D$5+$Z696)</f>
        <v>1</v>
      </c>
      <c r="E696" cm="1">
        <f t="array" ref="E696">INDEX(FX_Input,$R696,$Y696*E$5+$Z696)</f>
        <v>1</v>
      </c>
      <c r="F696" cm="1">
        <f t="array" ref="F696">INDEX(FX_Input,$R696,$Y696*F$5+$Z696)</f>
        <v>1</v>
      </c>
      <c r="G696" cm="1">
        <f t="array" ref="G696">INDEX(FX_Input,$R696,$Y696*G$5+$Z696)</f>
        <v>1</v>
      </c>
      <c r="H696" cm="1">
        <f t="array" ref="H696">INDEX(FX_Input,$R696,$Y696*H$5+$Z696)</f>
        <v>1</v>
      </c>
      <c r="I696" cm="1">
        <f t="array" ref="I696">INDEX(FX_Input,$R696,$Y696*I$5+$Z696)</f>
        <v>1</v>
      </c>
      <c r="J696" cm="1">
        <f t="array" ref="J696">INDEX(FX_Input,$R696,$Y696*J$5+$Z696)</f>
        <v>1</v>
      </c>
      <c r="K696" cm="1">
        <f t="array" ref="K696">INDEX(FX_Input,$R696,$Y696*K$5+$Z696)</f>
        <v>1</v>
      </c>
      <c r="L696" cm="1">
        <f t="array" ref="L696">INDEX(FX_Input,$R696,$Y696*L$5+$Z696)</f>
        <v>1</v>
      </c>
      <c r="M696" cm="1">
        <f t="array" ref="M696">INDEX(FX_Input,$R696,$Y696*M$5+$Z696)</f>
        <v>1</v>
      </c>
      <c r="N696" cm="1">
        <f t="array" ref="N696">INDEX(FX_Input,$R696,$Y696*N$5+$Z696)</f>
        <v>1</v>
      </c>
      <c r="O696" cm="1">
        <f t="array" ref="O696">INDEX(FX_Input,$R696,$Y696*O$5+$Z696)</f>
        <v>1</v>
      </c>
      <c r="R696">
        <f>R694</f>
        <v>99</v>
      </c>
      <c r="U696">
        <v>21</v>
      </c>
      <c r="V696">
        <f t="shared" si="1521"/>
        <v>26</v>
      </c>
      <c r="W696">
        <v>1</v>
      </c>
      <c r="X696">
        <v>2</v>
      </c>
      <c r="Y696">
        <f t="shared" si="1519"/>
        <v>5</v>
      </c>
      <c r="Z696">
        <f t="shared" si="1520"/>
        <v>16</v>
      </c>
    </row>
    <row r="697" spans="1:26" x14ac:dyDescent="0.4">
      <c r="C697" t="s">
        <v>547</v>
      </c>
      <c r="D697" cm="1">
        <f t="array" ref="D697">INDEX(FX_Input,$R697,$Y697*D$5+$Z697)</f>
        <v>0</v>
      </c>
      <c r="E697" cm="1">
        <f t="array" ref="E697">INDEX(FX_Input,$R697,$Y697*E$5+$Z697)</f>
        <v>0</v>
      </c>
      <c r="F697" cm="1">
        <f t="array" ref="F697">INDEX(FX_Input,$R697,$Y697*F$5+$Z697)</f>
        <v>0</v>
      </c>
      <c r="G697" cm="1">
        <f t="array" ref="G697">INDEX(FX_Input,$R697,$Y697*G$5+$Z697)</f>
        <v>0</v>
      </c>
      <c r="H697" cm="1">
        <f t="array" ref="H697">INDEX(FX_Input,$R697,$Y697*H$5+$Z697)</f>
        <v>0</v>
      </c>
      <c r="I697" cm="1">
        <f t="array" ref="I697">INDEX(FX_Input,$R697,$Y697*I$5+$Z697)</f>
        <v>0</v>
      </c>
      <c r="J697" cm="1">
        <f t="array" ref="J697">INDEX(FX_Input,$R697,$Y697*J$5+$Z697)</f>
        <v>0</v>
      </c>
      <c r="K697" cm="1">
        <f t="array" ref="K697">INDEX(FX_Input,$R697,$Y697*K$5+$Z697)</f>
        <v>0</v>
      </c>
      <c r="L697" cm="1">
        <f t="array" ref="L697">INDEX(FX_Input,$R697,$Y697*L$5+$Z697)</f>
        <v>0</v>
      </c>
      <c r="M697" cm="1">
        <f t="array" ref="M697">INDEX(FX_Input,$R697,$Y697*M$5+$Z697)</f>
        <v>0</v>
      </c>
      <c r="N697" cm="1">
        <f t="array" ref="N697">INDEX(FX_Input,$R697,$Y697*N$5+$Z697)</f>
        <v>0</v>
      </c>
      <c r="O697" cm="1">
        <f t="array" ref="O697">INDEX(FX_Input,$R697,$Y697*O$5+$Z697)</f>
        <v>0</v>
      </c>
      <c r="R697">
        <f>R695</f>
        <v>100</v>
      </c>
      <c r="U697">
        <f>U696</f>
        <v>21</v>
      </c>
      <c r="V697">
        <f t="shared" si="1521"/>
        <v>26</v>
      </c>
      <c r="W697">
        <v>1</v>
      </c>
      <c r="X697">
        <v>2</v>
      </c>
      <c r="Y697">
        <f t="shared" si="1519"/>
        <v>5</v>
      </c>
      <c r="Z697">
        <f t="shared" si="1520"/>
        <v>16</v>
      </c>
    </row>
    <row r="698" spans="1:26" x14ac:dyDescent="0.4">
      <c r="C698" t="s">
        <v>532</v>
      </c>
      <c r="D698">
        <f t="shared" ref="D698:O698" si="1522">IFERROR(VLOOKUP(D692,Phys_Prop,2,FALSE),0)</f>
        <v>162</v>
      </c>
      <c r="E698">
        <f t="shared" si="1522"/>
        <v>162</v>
      </c>
      <c r="F698">
        <f t="shared" si="1522"/>
        <v>162</v>
      </c>
      <c r="G698">
        <f t="shared" si="1522"/>
        <v>162</v>
      </c>
      <c r="H698">
        <f t="shared" si="1522"/>
        <v>162</v>
      </c>
      <c r="I698">
        <f t="shared" si="1522"/>
        <v>162</v>
      </c>
      <c r="J698">
        <f t="shared" si="1522"/>
        <v>162</v>
      </c>
      <c r="K698">
        <f t="shared" si="1522"/>
        <v>162</v>
      </c>
      <c r="L698">
        <f t="shared" si="1522"/>
        <v>162</v>
      </c>
      <c r="M698">
        <f t="shared" si="1522"/>
        <v>162</v>
      </c>
      <c r="N698">
        <f t="shared" si="1522"/>
        <v>162</v>
      </c>
      <c r="O698">
        <f t="shared" si="1522"/>
        <v>162</v>
      </c>
    </row>
    <row r="699" spans="1:26" x14ac:dyDescent="0.4">
      <c r="C699" t="s">
        <v>533</v>
      </c>
      <c r="D699">
        <f t="shared" ref="D699:O699" si="1523">IFERROR(VLOOKUP(D693,Phys_Prop,2,FALSE),0)</f>
        <v>0</v>
      </c>
      <c r="E699">
        <f t="shared" si="1523"/>
        <v>0</v>
      </c>
      <c r="F699">
        <f t="shared" si="1523"/>
        <v>0</v>
      </c>
      <c r="G699">
        <f t="shared" si="1523"/>
        <v>0</v>
      </c>
      <c r="H699">
        <f t="shared" si="1523"/>
        <v>0</v>
      </c>
      <c r="I699">
        <f t="shared" si="1523"/>
        <v>0</v>
      </c>
      <c r="J699">
        <f t="shared" si="1523"/>
        <v>0</v>
      </c>
      <c r="K699">
        <f t="shared" si="1523"/>
        <v>0</v>
      </c>
      <c r="L699">
        <f t="shared" si="1523"/>
        <v>0</v>
      </c>
      <c r="M699">
        <f t="shared" si="1523"/>
        <v>0</v>
      </c>
      <c r="N699">
        <f t="shared" si="1523"/>
        <v>0</v>
      </c>
      <c r="O699">
        <f t="shared" si="1523"/>
        <v>0</v>
      </c>
    </row>
    <row r="700" spans="1:26" x14ac:dyDescent="0.4">
      <c r="C700" t="s">
        <v>544</v>
      </c>
      <c r="D700">
        <f>IFERROR(IFERROR(D698/D696+D699/D697,D698/D696),0)</f>
        <v>162</v>
      </c>
      <c r="E700">
        <f t="shared" ref="E700" si="1524">IFERROR(IFERROR(E698/E696+E699/E697,E698/E696),0)</f>
        <v>162</v>
      </c>
      <c r="F700">
        <f t="shared" ref="F700" si="1525">IFERROR(IFERROR(F698/F696+F699/F697,F698/F696),0)</f>
        <v>162</v>
      </c>
      <c r="G700">
        <f t="shared" ref="G700" si="1526">IFERROR(IFERROR(G698/G696+G699/G697,G698/G696),0)</f>
        <v>162</v>
      </c>
      <c r="H700">
        <f t="shared" ref="H700" si="1527">IFERROR(IFERROR(H698/H696+H699/H697,H698/H696),0)</f>
        <v>162</v>
      </c>
      <c r="I700">
        <f t="shared" ref="I700" si="1528">IFERROR(IFERROR(I698/I696+I699/I697,I698/I696),0)</f>
        <v>162</v>
      </c>
      <c r="J700">
        <f t="shared" ref="J700" si="1529">IFERROR(IFERROR(J698/J696+J699/J697,J698/J696),0)</f>
        <v>162</v>
      </c>
      <c r="K700">
        <f t="shared" ref="K700" si="1530">IFERROR(IFERROR(K698/K696+K699/K697,K698/K696),0)</f>
        <v>162</v>
      </c>
      <c r="L700">
        <f t="shared" ref="L700" si="1531">IFERROR(IFERROR(L698/L696+L699/L697,L698/L696),0)</f>
        <v>162</v>
      </c>
      <c r="M700">
        <f t="shared" ref="M700" si="1532">IFERROR(IFERROR(M698/M696+M699/M697,M698/M696),0)</f>
        <v>162</v>
      </c>
      <c r="N700">
        <f t="shared" ref="N700" si="1533">IFERROR(IFERROR(N698/N696+N699/N697,N698/N696),0)</f>
        <v>162</v>
      </c>
      <c r="O700">
        <f t="shared" ref="O700" si="1534">IFERROR(IFERROR(O698/O696+O699/O697,O698/O696),0)</f>
        <v>162</v>
      </c>
    </row>
    <row r="701" spans="1:26" x14ac:dyDescent="0.4">
      <c r="C701" t="s">
        <v>539</v>
      </c>
      <c r="D701">
        <f>IFERROR((D696/D698)*D700,1)</f>
        <v>1</v>
      </c>
      <c r="E701">
        <f t="shared" ref="E701" si="1535">IFERROR((E696/E698)*E700,1)</f>
        <v>1</v>
      </c>
      <c r="F701">
        <f t="shared" ref="F701" si="1536">IFERROR((F696/F698)*F700,1)</f>
        <v>1</v>
      </c>
      <c r="G701">
        <f t="shared" ref="G701" si="1537">IFERROR((G696/G698)*G700,1)</f>
        <v>1</v>
      </c>
      <c r="H701">
        <f t="shared" ref="H701" si="1538">IFERROR((H696/H698)*H700,1)</f>
        <v>1</v>
      </c>
      <c r="I701">
        <f t="shared" ref="I701" si="1539">IFERROR((I696/I698)*I700,1)</f>
        <v>1</v>
      </c>
      <c r="J701">
        <f t="shared" ref="J701" si="1540">IFERROR((J696/J698)*J700,1)</f>
        <v>1</v>
      </c>
      <c r="K701">
        <f t="shared" ref="K701" si="1541">IFERROR((K696/K698)*K700,1)</f>
        <v>1</v>
      </c>
      <c r="L701">
        <f t="shared" ref="L701" si="1542">IFERROR((L696/L698)*L700,1)</f>
        <v>1</v>
      </c>
      <c r="M701">
        <f t="shared" ref="M701" si="1543">IFERROR((M696/M698)*M700,1)</f>
        <v>1</v>
      </c>
      <c r="N701">
        <f t="shared" ref="N701" si="1544">IFERROR((N696/N698)*N700,1)</f>
        <v>1</v>
      </c>
      <c r="O701">
        <f t="shared" ref="O701" si="1545">IFERROR((O696/O698)*O700,1)</f>
        <v>1</v>
      </c>
    </row>
    <row r="702" spans="1:26" x14ac:dyDescent="0.4">
      <c r="C702" t="s">
        <v>540</v>
      </c>
      <c r="D702">
        <f>IFERROR((D697/D699)*D700,0)</f>
        <v>0</v>
      </c>
      <c r="E702">
        <f t="shared" ref="E702:O702" si="1546">IFERROR((E697/E699)*E700,0)</f>
        <v>0</v>
      </c>
      <c r="F702">
        <f t="shared" si="1546"/>
        <v>0</v>
      </c>
      <c r="G702">
        <f t="shared" si="1546"/>
        <v>0</v>
      </c>
      <c r="H702">
        <f t="shared" si="1546"/>
        <v>0</v>
      </c>
      <c r="I702">
        <f t="shared" si="1546"/>
        <v>0</v>
      </c>
      <c r="J702">
        <f t="shared" si="1546"/>
        <v>0</v>
      </c>
      <c r="K702">
        <f t="shared" si="1546"/>
        <v>0</v>
      </c>
      <c r="L702">
        <f t="shared" si="1546"/>
        <v>0</v>
      </c>
      <c r="M702">
        <f t="shared" si="1546"/>
        <v>0</v>
      </c>
      <c r="N702">
        <f t="shared" si="1546"/>
        <v>0</v>
      </c>
      <c r="O702">
        <f t="shared" si="1546"/>
        <v>0</v>
      </c>
    </row>
    <row r="703" spans="1:26" x14ac:dyDescent="0.4">
      <c r="C703" s="21" t="s">
        <v>534</v>
      </c>
      <c r="D703">
        <f t="shared" ref="D703:O703" si="1547">IFERROR(VLOOKUP(D692,Phys_Prop,4,FALSE),0)</f>
        <v>7</v>
      </c>
      <c r="E703">
        <f t="shared" si="1547"/>
        <v>7</v>
      </c>
      <c r="F703">
        <f t="shared" si="1547"/>
        <v>7</v>
      </c>
      <c r="G703">
        <f t="shared" si="1547"/>
        <v>7</v>
      </c>
      <c r="H703">
        <f t="shared" si="1547"/>
        <v>7</v>
      </c>
      <c r="I703">
        <f t="shared" si="1547"/>
        <v>7</v>
      </c>
      <c r="J703">
        <f t="shared" si="1547"/>
        <v>7</v>
      </c>
      <c r="K703">
        <f t="shared" si="1547"/>
        <v>7</v>
      </c>
      <c r="L703">
        <f t="shared" si="1547"/>
        <v>7</v>
      </c>
      <c r="M703">
        <f t="shared" si="1547"/>
        <v>7</v>
      </c>
      <c r="N703">
        <f t="shared" si="1547"/>
        <v>7</v>
      </c>
      <c r="O703">
        <f t="shared" si="1547"/>
        <v>7</v>
      </c>
    </row>
    <row r="704" spans="1:26" x14ac:dyDescent="0.4">
      <c r="C704" s="21" t="s">
        <v>535</v>
      </c>
      <c r="D704">
        <f t="shared" ref="D704:O704" si="1548">IFERROR(VLOOKUP(D693,Phys_Prop,4,FALSE),0)</f>
        <v>0</v>
      </c>
      <c r="E704">
        <f t="shared" si="1548"/>
        <v>0</v>
      </c>
      <c r="F704">
        <f t="shared" si="1548"/>
        <v>0</v>
      </c>
      <c r="G704">
        <f t="shared" si="1548"/>
        <v>0</v>
      </c>
      <c r="H704">
        <f t="shared" si="1548"/>
        <v>0</v>
      </c>
      <c r="I704">
        <f t="shared" si="1548"/>
        <v>0</v>
      </c>
      <c r="J704">
        <f t="shared" si="1548"/>
        <v>0</v>
      </c>
      <c r="K704">
        <f t="shared" si="1548"/>
        <v>0</v>
      </c>
      <c r="L704">
        <f t="shared" si="1548"/>
        <v>0</v>
      </c>
      <c r="M704">
        <f t="shared" si="1548"/>
        <v>0</v>
      </c>
      <c r="N704">
        <f t="shared" si="1548"/>
        <v>0</v>
      </c>
      <c r="O704">
        <f t="shared" si="1548"/>
        <v>0</v>
      </c>
    </row>
    <row r="705" spans="1:26" x14ac:dyDescent="0.4">
      <c r="A705" s="11"/>
      <c r="B705" s="11"/>
      <c r="C705" s="62" t="s">
        <v>536</v>
      </c>
      <c r="D705" s="11">
        <f>IFERROR(1/(D701/D703+D702/D704),D703)</f>
        <v>7</v>
      </c>
      <c r="E705" s="11">
        <f t="shared" ref="E705:O705" si="1549">IFERROR(1/(E701/E703+E702/E704),E703)</f>
        <v>7</v>
      </c>
      <c r="F705" s="11">
        <f t="shared" si="1549"/>
        <v>7</v>
      </c>
      <c r="G705" s="11">
        <f t="shared" si="1549"/>
        <v>7</v>
      </c>
      <c r="H705" s="11">
        <f t="shared" si="1549"/>
        <v>7</v>
      </c>
      <c r="I705" s="11">
        <f t="shared" si="1549"/>
        <v>7</v>
      </c>
      <c r="J705" s="11">
        <f t="shared" si="1549"/>
        <v>7</v>
      </c>
      <c r="K705" s="11">
        <f t="shared" si="1549"/>
        <v>7</v>
      </c>
      <c r="L705" s="11">
        <f t="shared" si="1549"/>
        <v>7</v>
      </c>
      <c r="M705" s="11">
        <f t="shared" si="1549"/>
        <v>7</v>
      </c>
      <c r="N705" s="11">
        <f t="shared" si="1549"/>
        <v>7</v>
      </c>
      <c r="O705" s="11">
        <f t="shared" si="1549"/>
        <v>7</v>
      </c>
      <c r="P705" s="11"/>
      <c r="Q705" s="11"/>
      <c r="R705" s="11"/>
      <c r="S705" s="11"/>
      <c r="T705" s="11"/>
      <c r="U705" s="11"/>
      <c r="V705" s="11"/>
      <c r="W705" s="11"/>
      <c r="X705" s="11"/>
      <c r="Y705" s="11"/>
      <c r="Z705" s="11"/>
    </row>
    <row r="706" spans="1:26" x14ac:dyDescent="0.4">
      <c r="A706" t="str" cm="1">
        <f t="array" ref="A706">INDEX(FX_Input,R706,S706)</f>
        <v>FX - 51</v>
      </c>
      <c r="B706" t="str" cm="1">
        <f t="array" ref="B706">INDEX(FX_Input,R706,T706)</f>
        <v>Portland</v>
      </c>
      <c r="C706" t="s">
        <v>528</v>
      </c>
      <c r="D706" t="str" cm="1">
        <f t="array" ref="D706">INDEX(FX_Input,$R706,$Y706*D$5+$Z706)</f>
        <v>Out of Service</v>
      </c>
      <c r="E706" t="str" cm="1">
        <f t="array" ref="E706">INDEX(FX_Input,$R706,$Y706*E$5+$Z706)</f>
        <v>Out of Service</v>
      </c>
      <c r="F706" t="str" cm="1">
        <f t="array" ref="F706">INDEX(FX_Input,$R706,$Y706*F$5+$Z706)</f>
        <v>Out of Service</v>
      </c>
      <c r="G706" t="str" cm="1">
        <f t="array" ref="G706">INDEX(FX_Input,$R706,$Y706*G$5+$Z706)</f>
        <v>Out of Service</v>
      </c>
      <c r="H706" t="str" cm="1">
        <f t="array" ref="H706">INDEX(FX_Input,$R706,$Y706*H$5+$Z706)</f>
        <v>Out of Service</v>
      </c>
      <c r="I706" t="str" cm="1">
        <f t="array" ref="I706">INDEX(FX_Input,$R706,$Y706*I$5+$Z706)</f>
        <v>Out of Service</v>
      </c>
      <c r="J706" t="str" cm="1">
        <f t="array" ref="J706">INDEX(FX_Input,$R706,$Y706*J$5+$Z706)</f>
        <v>Out of Service</v>
      </c>
      <c r="K706" t="str" cm="1">
        <f t="array" ref="K706">INDEX(FX_Input,$R706,$Y706*K$5+$Z706)</f>
        <v>Out of Service</v>
      </c>
      <c r="L706" t="str" cm="1">
        <f t="array" ref="L706">INDEX(FX_Input,$R706,$Y706*L$5+$Z706)</f>
        <v>Out of Service</v>
      </c>
      <c r="M706" t="str" cm="1">
        <f t="array" ref="M706">INDEX(FX_Input,$R706,$Y706*M$5+$Z706)</f>
        <v>Out of Service</v>
      </c>
      <c r="N706" t="str" cm="1">
        <f t="array" ref="N706">INDEX(FX_Input,$R706,$Y706*N$5+$Z706)</f>
        <v>Out of Service</v>
      </c>
      <c r="O706" t="str" cm="1">
        <f t="array" ref="O706">INDEX(FX_Input,$R706,$Y706*O$5+$Z706)</f>
        <v>Out of Service</v>
      </c>
      <c r="R706">
        <f>R692+2</f>
        <v>101</v>
      </c>
      <c r="S706">
        <v>1</v>
      </c>
      <c r="T706">
        <v>3</v>
      </c>
      <c r="U706">
        <v>17</v>
      </c>
      <c r="V706">
        <f>U706+5</f>
        <v>22</v>
      </c>
      <c r="W706">
        <v>1</v>
      </c>
      <c r="X706">
        <v>2</v>
      </c>
      <c r="Y706">
        <f t="shared" ref="Y706:Y711" si="1550">(V706-U706)/(X706-W706)</f>
        <v>5</v>
      </c>
      <c r="Z706">
        <f t="shared" ref="Z706:Z711" si="1551">U706-Y706*W706</f>
        <v>12</v>
      </c>
    </row>
    <row r="707" spans="1:26" x14ac:dyDescent="0.4">
      <c r="C707" t="s">
        <v>529</v>
      </c>
      <c r="D707" cm="1">
        <f t="array" ref="D707">INDEX(FX_Input,$R707,$Y707*D$5+$Z707)</f>
        <v>0</v>
      </c>
      <c r="E707" cm="1">
        <f t="array" ref="E707">INDEX(FX_Input,$R707,$Y707*E$5+$Z707)</f>
        <v>0</v>
      </c>
      <c r="F707" cm="1">
        <f t="array" ref="F707">INDEX(FX_Input,$R707,$Y707*F$5+$Z707)</f>
        <v>0</v>
      </c>
      <c r="G707" cm="1">
        <f t="array" ref="G707">INDEX(FX_Input,$R707,$Y707*G$5+$Z707)</f>
        <v>0</v>
      </c>
      <c r="H707" cm="1">
        <f t="array" ref="H707">INDEX(FX_Input,$R707,$Y707*H$5+$Z707)</f>
        <v>0</v>
      </c>
      <c r="I707" cm="1">
        <f t="array" ref="I707">INDEX(FX_Input,$R707,$Y707*I$5+$Z707)</f>
        <v>0</v>
      </c>
      <c r="J707" cm="1">
        <f t="array" ref="J707">INDEX(FX_Input,$R707,$Y707*J$5+$Z707)</f>
        <v>0</v>
      </c>
      <c r="K707" cm="1">
        <f t="array" ref="K707">INDEX(FX_Input,$R707,$Y707*K$5+$Z707)</f>
        <v>0</v>
      </c>
      <c r="L707" cm="1">
        <f t="array" ref="L707">INDEX(FX_Input,$R707,$Y707*L$5+$Z707)</f>
        <v>0</v>
      </c>
      <c r="M707" cm="1">
        <f t="array" ref="M707">INDEX(FX_Input,$R707,$Y707*M$5+$Z707)</f>
        <v>0</v>
      </c>
      <c r="N707" cm="1">
        <f t="array" ref="N707">INDEX(FX_Input,$R707,$Y707*N$5+$Z707)</f>
        <v>0</v>
      </c>
      <c r="O707" cm="1">
        <f t="array" ref="O707">INDEX(FX_Input,$R707,$Y707*O$5+$Z707)</f>
        <v>0</v>
      </c>
      <c r="R707">
        <f>R706+1</f>
        <v>102</v>
      </c>
      <c r="U707">
        <f>U706</f>
        <v>17</v>
      </c>
      <c r="V707">
        <f t="shared" ref="V707:V711" si="1552">U707+5</f>
        <v>22</v>
      </c>
      <c r="W707">
        <v>1</v>
      </c>
      <c r="X707">
        <v>2</v>
      </c>
      <c r="Y707">
        <f t="shared" si="1550"/>
        <v>5</v>
      </c>
      <c r="Z707">
        <f t="shared" si="1551"/>
        <v>12</v>
      </c>
    </row>
    <row r="708" spans="1:26" x14ac:dyDescent="0.4">
      <c r="C708" t="s">
        <v>530</v>
      </c>
      <c r="D708" t="str" cm="1">
        <f t="array" ref="D708">INDEX(FX_Input,$R708,$Y708*D$5+$Z708)</f>
        <v>N/A</v>
      </c>
      <c r="E708" t="str" cm="1">
        <f t="array" ref="E708">INDEX(FX_Input,$R708,$Y708*E$5+$Z708)</f>
        <v>N/A</v>
      </c>
      <c r="F708" t="str" cm="1">
        <f t="array" ref="F708">INDEX(FX_Input,$R708,$Y708*F$5+$Z708)</f>
        <v>N/A</v>
      </c>
      <c r="G708" t="str" cm="1">
        <f t="array" ref="G708">INDEX(FX_Input,$R708,$Y708*G$5+$Z708)</f>
        <v>N/A</v>
      </c>
      <c r="H708" t="str" cm="1">
        <f t="array" ref="H708">INDEX(FX_Input,$R708,$Y708*H$5+$Z708)</f>
        <v>N/A</v>
      </c>
      <c r="I708" t="str" cm="1">
        <f t="array" ref="I708">INDEX(FX_Input,$R708,$Y708*I$5+$Z708)</f>
        <v>N/A</v>
      </c>
      <c r="J708" t="str" cm="1">
        <f t="array" ref="J708">INDEX(FX_Input,$R708,$Y708*J$5+$Z708)</f>
        <v>N/A</v>
      </c>
      <c r="K708" t="str" cm="1">
        <f t="array" ref="K708">INDEX(FX_Input,$R708,$Y708*K$5+$Z708)</f>
        <v>N/A</v>
      </c>
      <c r="L708" t="str" cm="1">
        <f t="array" ref="L708">INDEX(FX_Input,$R708,$Y708*L$5+$Z708)</f>
        <v>N/A</v>
      </c>
      <c r="M708" t="str" cm="1">
        <f t="array" ref="M708">INDEX(FX_Input,$R708,$Y708*M$5+$Z708)</f>
        <v>N/A</v>
      </c>
      <c r="N708" t="str" cm="1">
        <f t="array" ref="N708">INDEX(FX_Input,$R708,$Y708*N$5+$Z708)</f>
        <v>N/A</v>
      </c>
      <c r="O708" t="str" cm="1">
        <f t="array" ref="O708">INDEX(FX_Input,$R708,$Y708*O$5+$Z708)</f>
        <v>N/A</v>
      </c>
      <c r="R708">
        <f>R706</f>
        <v>101</v>
      </c>
      <c r="U708">
        <v>18</v>
      </c>
      <c r="V708">
        <f t="shared" si="1552"/>
        <v>23</v>
      </c>
      <c r="W708">
        <v>1</v>
      </c>
      <c r="X708">
        <v>2</v>
      </c>
      <c r="Y708">
        <f t="shared" si="1550"/>
        <v>5</v>
      </c>
      <c r="Z708">
        <f t="shared" si="1551"/>
        <v>13</v>
      </c>
    </row>
    <row r="709" spans="1:26" x14ac:dyDescent="0.4">
      <c r="C709" t="s">
        <v>531</v>
      </c>
      <c r="D709" cm="1">
        <f t="array" ref="D709">INDEX(FX_Input,$R709,$Y709*D$5+$Z709)</f>
        <v>0</v>
      </c>
      <c r="E709" cm="1">
        <f t="array" ref="E709">INDEX(FX_Input,$R709,$Y709*E$5+$Z709)</f>
        <v>0</v>
      </c>
      <c r="F709" cm="1">
        <f t="array" ref="F709">INDEX(FX_Input,$R709,$Y709*F$5+$Z709)</f>
        <v>0</v>
      </c>
      <c r="G709" cm="1">
        <f t="array" ref="G709">INDEX(FX_Input,$R709,$Y709*G$5+$Z709)</f>
        <v>0</v>
      </c>
      <c r="H709" cm="1">
        <f t="array" ref="H709">INDEX(FX_Input,$R709,$Y709*H$5+$Z709)</f>
        <v>0</v>
      </c>
      <c r="I709" cm="1">
        <f t="array" ref="I709">INDEX(FX_Input,$R709,$Y709*I$5+$Z709)</f>
        <v>0</v>
      </c>
      <c r="J709" cm="1">
        <f t="array" ref="J709">INDEX(FX_Input,$R709,$Y709*J$5+$Z709)</f>
        <v>0</v>
      </c>
      <c r="K709" cm="1">
        <f t="array" ref="K709">INDEX(FX_Input,$R709,$Y709*K$5+$Z709)</f>
        <v>0</v>
      </c>
      <c r="L709" cm="1">
        <f t="array" ref="L709">INDEX(FX_Input,$R709,$Y709*L$5+$Z709)</f>
        <v>0</v>
      </c>
      <c r="M709" cm="1">
        <f t="array" ref="M709">INDEX(FX_Input,$R709,$Y709*M$5+$Z709)</f>
        <v>0</v>
      </c>
      <c r="N709" cm="1">
        <f t="array" ref="N709">INDEX(FX_Input,$R709,$Y709*N$5+$Z709)</f>
        <v>0</v>
      </c>
      <c r="O709" cm="1">
        <f t="array" ref="O709">INDEX(FX_Input,$R709,$Y709*O$5+$Z709)</f>
        <v>0</v>
      </c>
      <c r="R709">
        <f>R707</f>
        <v>102</v>
      </c>
      <c r="U709">
        <f>U708</f>
        <v>18</v>
      </c>
      <c r="V709">
        <f t="shared" si="1552"/>
        <v>23</v>
      </c>
      <c r="W709">
        <v>1</v>
      </c>
      <c r="X709">
        <v>2</v>
      </c>
      <c r="Y709">
        <f t="shared" si="1550"/>
        <v>5</v>
      </c>
      <c r="Z709">
        <f t="shared" si="1551"/>
        <v>13</v>
      </c>
    </row>
    <row r="710" spans="1:26" x14ac:dyDescent="0.4">
      <c r="C710" t="s">
        <v>546</v>
      </c>
      <c r="D710" cm="1">
        <f t="array" ref="D710">INDEX(FX_Input,$R710,$Y710*D$5+$Z710)</f>
        <v>1</v>
      </c>
      <c r="E710" cm="1">
        <f t="array" ref="E710">INDEX(FX_Input,$R710,$Y710*E$5+$Z710)</f>
        <v>1</v>
      </c>
      <c r="F710" cm="1">
        <f t="array" ref="F710">INDEX(FX_Input,$R710,$Y710*F$5+$Z710)</f>
        <v>1</v>
      </c>
      <c r="G710" cm="1">
        <f t="array" ref="G710">INDEX(FX_Input,$R710,$Y710*G$5+$Z710)</f>
        <v>1</v>
      </c>
      <c r="H710" cm="1">
        <f t="array" ref="H710">INDEX(FX_Input,$R710,$Y710*H$5+$Z710)</f>
        <v>1</v>
      </c>
      <c r="I710" cm="1">
        <f t="array" ref="I710">INDEX(FX_Input,$R710,$Y710*I$5+$Z710)</f>
        <v>1</v>
      </c>
      <c r="J710" cm="1">
        <f t="array" ref="J710">INDEX(FX_Input,$R710,$Y710*J$5+$Z710)</f>
        <v>1</v>
      </c>
      <c r="K710" cm="1">
        <f t="array" ref="K710">INDEX(FX_Input,$R710,$Y710*K$5+$Z710)</f>
        <v>1</v>
      </c>
      <c r="L710" cm="1">
        <f t="array" ref="L710">INDEX(FX_Input,$R710,$Y710*L$5+$Z710)</f>
        <v>1</v>
      </c>
      <c r="M710" cm="1">
        <f t="array" ref="M710">INDEX(FX_Input,$R710,$Y710*M$5+$Z710)</f>
        <v>1</v>
      </c>
      <c r="N710" cm="1">
        <f t="array" ref="N710">INDEX(FX_Input,$R710,$Y710*N$5+$Z710)</f>
        <v>1</v>
      </c>
      <c r="O710" cm="1">
        <f t="array" ref="O710">INDEX(FX_Input,$R710,$Y710*O$5+$Z710)</f>
        <v>1</v>
      </c>
      <c r="R710">
        <f>R708</f>
        <v>101</v>
      </c>
      <c r="U710">
        <v>21</v>
      </c>
      <c r="V710">
        <f t="shared" si="1552"/>
        <v>26</v>
      </c>
      <c r="W710">
        <v>1</v>
      </c>
      <c r="X710">
        <v>2</v>
      </c>
      <c r="Y710">
        <f t="shared" si="1550"/>
        <v>5</v>
      </c>
      <c r="Z710">
        <f t="shared" si="1551"/>
        <v>16</v>
      </c>
    </row>
    <row r="711" spans="1:26" x14ac:dyDescent="0.4">
      <c r="C711" t="s">
        <v>547</v>
      </c>
      <c r="D711" cm="1">
        <f t="array" ref="D711">INDEX(FX_Input,$R711,$Y711*D$5+$Z711)</f>
        <v>0</v>
      </c>
      <c r="E711" cm="1">
        <f t="array" ref="E711">INDEX(FX_Input,$R711,$Y711*E$5+$Z711)</f>
        <v>0</v>
      </c>
      <c r="F711" cm="1">
        <f t="array" ref="F711">INDEX(FX_Input,$R711,$Y711*F$5+$Z711)</f>
        <v>0</v>
      </c>
      <c r="G711" cm="1">
        <f t="array" ref="G711">INDEX(FX_Input,$R711,$Y711*G$5+$Z711)</f>
        <v>0</v>
      </c>
      <c r="H711" cm="1">
        <f t="array" ref="H711">INDEX(FX_Input,$R711,$Y711*H$5+$Z711)</f>
        <v>0</v>
      </c>
      <c r="I711" cm="1">
        <f t="array" ref="I711">INDEX(FX_Input,$R711,$Y711*I$5+$Z711)</f>
        <v>0</v>
      </c>
      <c r="J711" cm="1">
        <f t="array" ref="J711">INDEX(FX_Input,$R711,$Y711*J$5+$Z711)</f>
        <v>0</v>
      </c>
      <c r="K711" cm="1">
        <f t="array" ref="K711">INDEX(FX_Input,$R711,$Y711*K$5+$Z711)</f>
        <v>0</v>
      </c>
      <c r="L711" cm="1">
        <f t="array" ref="L711">INDEX(FX_Input,$R711,$Y711*L$5+$Z711)</f>
        <v>0</v>
      </c>
      <c r="M711" cm="1">
        <f t="array" ref="M711">INDEX(FX_Input,$R711,$Y711*M$5+$Z711)</f>
        <v>0</v>
      </c>
      <c r="N711" cm="1">
        <f t="array" ref="N711">INDEX(FX_Input,$R711,$Y711*N$5+$Z711)</f>
        <v>0</v>
      </c>
      <c r="O711" cm="1">
        <f t="array" ref="O711">INDEX(FX_Input,$R711,$Y711*O$5+$Z711)</f>
        <v>0</v>
      </c>
      <c r="R711">
        <f>R709</f>
        <v>102</v>
      </c>
      <c r="U711">
        <f>U710</f>
        <v>21</v>
      </c>
      <c r="V711">
        <f t="shared" si="1552"/>
        <v>26</v>
      </c>
      <c r="W711">
        <v>1</v>
      </c>
      <c r="X711">
        <v>2</v>
      </c>
      <c r="Y711">
        <f t="shared" si="1550"/>
        <v>5</v>
      </c>
      <c r="Z711">
        <f t="shared" si="1551"/>
        <v>16</v>
      </c>
    </row>
    <row r="712" spans="1:26" x14ac:dyDescent="0.4">
      <c r="C712" t="s">
        <v>532</v>
      </c>
      <c r="D712" t="str">
        <f t="shared" ref="D712:O712" si="1553">IFERROR(VLOOKUP(D706,Phys_Prop,2,FALSE),0)</f>
        <v>N/A</v>
      </c>
      <c r="E712" t="str">
        <f t="shared" si="1553"/>
        <v>N/A</v>
      </c>
      <c r="F712" t="str">
        <f t="shared" si="1553"/>
        <v>N/A</v>
      </c>
      <c r="G712" t="str">
        <f t="shared" si="1553"/>
        <v>N/A</v>
      </c>
      <c r="H712" t="str">
        <f t="shared" si="1553"/>
        <v>N/A</v>
      </c>
      <c r="I712" t="str">
        <f t="shared" si="1553"/>
        <v>N/A</v>
      </c>
      <c r="J712" t="str">
        <f t="shared" si="1553"/>
        <v>N/A</v>
      </c>
      <c r="K712" t="str">
        <f t="shared" si="1553"/>
        <v>N/A</v>
      </c>
      <c r="L712" t="str">
        <f t="shared" si="1553"/>
        <v>N/A</v>
      </c>
      <c r="M712" t="str">
        <f t="shared" si="1553"/>
        <v>N/A</v>
      </c>
      <c r="N712" t="str">
        <f t="shared" si="1553"/>
        <v>N/A</v>
      </c>
      <c r="O712" t="str">
        <f t="shared" si="1553"/>
        <v>N/A</v>
      </c>
    </row>
    <row r="713" spans="1:26" x14ac:dyDescent="0.4">
      <c r="C713" t="s">
        <v>533</v>
      </c>
      <c r="D713">
        <f t="shared" ref="D713:O713" si="1554">IFERROR(VLOOKUP(D707,Phys_Prop,2,FALSE),0)</f>
        <v>0</v>
      </c>
      <c r="E713">
        <f t="shared" si="1554"/>
        <v>0</v>
      </c>
      <c r="F713">
        <f t="shared" si="1554"/>
        <v>0</v>
      </c>
      <c r="G713">
        <f t="shared" si="1554"/>
        <v>0</v>
      </c>
      <c r="H713">
        <f t="shared" si="1554"/>
        <v>0</v>
      </c>
      <c r="I713">
        <f t="shared" si="1554"/>
        <v>0</v>
      </c>
      <c r="J713">
        <f t="shared" si="1554"/>
        <v>0</v>
      </c>
      <c r="K713">
        <f t="shared" si="1554"/>
        <v>0</v>
      </c>
      <c r="L713">
        <f t="shared" si="1554"/>
        <v>0</v>
      </c>
      <c r="M713">
        <f t="shared" si="1554"/>
        <v>0</v>
      </c>
      <c r="N713">
        <f t="shared" si="1554"/>
        <v>0</v>
      </c>
      <c r="O713">
        <f t="shared" si="1554"/>
        <v>0</v>
      </c>
    </row>
    <row r="714" spans="1:26" x14ac:dyDescent="0.4">
      <c r="C714" t="s">
        <v>544</v>
      </c>
      <c r="D714">
        <f>IFERROR(IFERROR(D712/D710+D713/D711,D712/D710),0)</f>
        <v>0</v>
      </c>
      <c r="E714">
        <f t="shared" ref="E714" si="1555">IFERROR(IFERROR(E712/E710+E713/E711,E712/E710),0)</f>
        <v>0</v>
      </c>
      <c r="F714">
        <f t="shared" ref="F714" si="1556">IFERROR(IFERROR(F712/F710+F713/F711,F712/F710),0)</f>
        <v>0</v>
      </c>
      <c r="G714">
        <f t="shared" ref="G714" si="1557">IFERROR(IFERROR(G712/G710+G713/G711,G712/G710),0)</f>
        <v>0</v>
      </c>
      <c r="H714">
        <f t="shared" ref="H714" si="1558">IFERROR(IFERROR(H712/H710+H713/H711,H712/H710),0)</f>
        <v>0</v>
      </c>
      <c r="I714">
        <f t="shared" ref="I714" si="1559">IFERROR(IFERROR(I712/I710+I713/I711,I712/I710),0)</f>
        <v>0</v>
      </c>
      <c r="J714">
        <f t="shared" ref="J714" si="1560">IFERROR(IFERROR(J712/J710+J713/J711,J712/J710),0)</f>
        <v>0</v>
      </c>
      <c r="K714">
        <f t="shared" ref="K714" si="1561">IFERROR(IFERROR(K712/K710+K713/K711,K712/K710),0)</f>
        <v>0</v>
      </c>
      <c r="L714">
        <f t="shared" ref="L714" si="1562">IFERROR(IFERROR(L712/L710+L713/L711,L712/L710),0)</f>
        <v>0</v>
      </c>
      <c r="M714">
        <f t="shared" ref="M714" si="1563">IFERROR(IFERROR(M712/M710+M713/M711,M712/M710),0)</f>
        <v>0</v>
      </c>
      <c r="N714">
        <f t="shared" ref="N714" si="1564">IFERROR(IFERROR(N712/N710+N713/N711,N712/N710),0)</f>
        <v>0</v>
      </c>
      <c r="O714">
        <f t="shared" ref="O714" si="1565">IFERROR(IFERROR(O712/O710+O713/O711,O712/O710),0)</f>
        <v>0</v>
      </c>
    </row>
    <row r="715" spans="1:26" x14ac:dyDescent="0.4">
      <c r="C715" t="s">
        <v>539</v>
      </c>
      <c r="D715">
        <f>IFERROR((D710/D712)*D714,1)</f>
        <v>1</v>
      </c>
      <c r="E715">
        <f t="shared" ref="E715" si="1566">IFERROR((E710/E712)*E714,1)</f>
        <v>1</v>
      </c>
      <c r="F715">
        <f t="shared" ref="F715" si="1567">IFERROR((F710/F712)*F714,1)</f>
        <v>1</v>
      </c>
      <c r="G715">
        <f t="shared" ref="G715" si="1568">IFERROR((G710/G712)*G714,1)</f>
        <v>1</v>
      </c>
      <c r="H715">
        <f t="shared" ref="H715" si="1569">IFERROR((H710/H712)*H714,1)</f>
        <v>1</v>
      </c>
      <c r="I715">
        <f t="shared" ref="I715" si="1570">IFERROR((I710/I712)*I714,1)</f>
        <v>1</v>
      </c>
      <c r="J715">
        <f t="shared" ref="J715" si="1571">IFERROR((J710/J712)*J714,1)</f>
        <v>1</v>
      </c>
      <c r="K715">
        <f t="shared" ref="K715" si="1572">IFERROR((K710/K712)*K714,1)</f>
        <v>1</v>
      </c>
      <c r="L715">
        <f t="shared" ref="L715" si="1573">IFERROR((L710/L712)*L714,1)</f>
        <v>1</v>
      </c>
      <c r="M715">
        <f t="shared" ref="M715" si="1574">IFERROR((M710/M712)*M714,1)</f>
        <v>1</v>
      </c>
      <c r="N715">
        <f t="shared" ref="N715" si="1575">IFERROR((N710/N712)*N714,1)</f>
        <v>1</v>
      </c>
      <c r="O715">
        <f t="shared" ref="O715" si="1576">IFERROR((O710/O712)*O714,1)</f>
        <v>1</v>
      </c>
    </row>
    <row r="716" spans="1:26" x14ac:dyDescent="0.4">
      <c r="C716" t="s">
        <v>540</v>
      </c>
      <c r="D716">
        <f>IFERROR((D711/D713)*D714,0)</f>
        <v>0</v>
      </c>
      <c r="E716">
        <f t="shared" ref="E716:O716" si="1577">IFERROR((E711/E713)*E714,0)</f>
        <v>0</v>
      </c>
      <c r="F716">
        <f t="shared" si="1577"/>
        <v>0</v>
      </c>
      <c r="G716">
        <f t="shared" si="1577"/>
        <v>0</v>
      </c>
      <c r="H716">
        <f t="shared" si="1577"/>
        <v>0</v>
      </c>
      <c r="I716">
        <f t="shared" si="1577"/>
        <v>0</v>
      </c>
      <c r="J716">
        <f t="shared" si="1577"/>
        <v>0</v>
      </c>
      <c r="K716">
        <f t="shared" si="1577"/>
        <v>0</v>
      </c>
      <c r="L716">
        <f t="shared" si="1577"/>
        <v>0</v>
      </c>
      <c r="M716">
        <f t="shared" si="1577"/>
        <v>0</v>
      </c>
      <c r="N716">
        <f t="shared" si="1577"/>
        <v>0</v>
      </c>
      <c r="O716">
        <f t="shared" si="1577"/>
        <v>0</v>
      </c>
    </row>
    <row r="717" spans="1:26" x14ac:dyDescent="0.4">
      <c r="C717" s="21" t="s">
        <v>534</v>
      </c>
      <c r="D717" t="str">
        <f t="shared" ref="D717:O717" si="1578">IFERROR(VLOOKUP(D706,Phys_Prop,4,FALSE),0)</f>
        <v>N/A</v>
      </c>
      <c r="E717" t="str">
        <f t="shared" si="1578"/>
        <v>N/A</v>
      </c>
      <c r="F717" t="str">
        <f t="shared" si="1578"/>
        <v>N/A</v>
      </c>
      <c r="G717" t="str">
        <f t="shared" si="1578"/>
        <v>N/A</v>
      </c>
      <c r="H717" t="str">
        <f t="shared" si="1578"/>
        <v>N/A</v>
      </c>
      <c r="I717" t="str">
        <f t="shared" si="1578"/>
        <v>N/A</v>
      </c>
      <c r="J717" t="str">
        <f t="shared" si="1578"/>
        <v>N/A</v>
      </c>
      <c r="K717" t="str">
        <f t="shared" si="1578"/>
        <v>N/A</v>
      </c>
      <c r="L717" t="str">
        <f t="shared" si="1578"/>
        <v>N/A</v>
      </c>
      <c r="M717" t="str">
        <f t="shared" si="1578"/>
        <v>N/A</v>
      </c>
      <c r="N717" t="str">
        <f t="shared" si="1578"/>
        <v>N/A</v>
      </c>
      <c r="O717" t="str">
        <f t="shared" si="1578"/>
        <v>N/A</v>
      </c>
    </row>
    <row r="718" spans="1:26" x14ac:dyDescent="0.4">
      <c r="C718" s="21" t="s">
        <v>535</v>
      </c>
      <c r="D718">
        <f t="shared" ref="D718:O718" si="1579">IFERROR(VLOOKUP(D707,Phys_Prop,4,FALSE),0)</f>
        <v>0</v>
      </c>
      <c r="E718">
        <f t="shared" si="1579"/>
        <v>0</v>
      </c>
      <c r="F718">
        <f t="shared" si="1579"/>
        <v>0</v>
      </c>
      <c r="G718">
        <f t="shared" si="1579"/>
        <v>0</v>
      </c>
      <c r="H718">
        <f t="shared" si="1579"/>
        <v>0</v>
      </c>
      <c r="I718">
        <f t="shared" si="1579"/>
        <v>0</v>
      </c>
      <c r="J718">
        <f t="shared" si="1579"/>
        <v>0</v>
      </c>
      <c r="K718">
        <f t="shared" si="1579"/>
        <v>0</v>
      </c>
      <c r="L718">
        <f t="shared" si="1579"/>
        <v>0</v>
      </c>
      <c r="M718">
        <f t="shared" si="1579"/>
        <v>0</v>
      </c>
      <c r="N718">
        <f t="shared" si="1579"/>
        <v>0</v>
      </c>
      <c r="O718">
        <f t="shared" si="1579"/>
        <v>0</v>
      </c>
    </row>
    <row r="719" spans="1:26" x14ac:dyDescent="0.4">
      <c r="A719" s="11"/>
      <c r="B719" s="11"/>
      <c r="C719" s="62" t="s">
        <v>536</v>
      </c>
      <c r="D719" s="11" t="str">
        <f>IFERROR(1/(D715/D717+D716/D718),D717)</f>
        <v>N/A</v>
      </c>
      <c r="E719" s="11" t="str">
        <f t="shared" ref="E719:O719" si="1580">IFERROR(1/(E715/E717+E716/E718),E717)</f>
        <v>N/A</v>
      </c>
      <c r="F719" s="11" t="str">
        <f t="shared" si="1580"/>
        <v>N/A</v>
      </c>
      <c r="G719" s="11" t="str">
        <f t="shared" si="1580"/>
        <v>N/A</v>
      </c>
      <c r="H719" s="11" t="str">
        <f t="shared" si="1580"/>
        <v>N/A</v>
      </c>
      <c r="I719" s="11" t="str">
        <f t="shared" si="1580"/>
        <v>N/A</v>
      </c>
      <c r="J719" s="11" t="str">
        <f t="shared" si="1580"/>
        <v>N/A</v>
      </c>
      <c r="K719" s="11" t="str">
        <f t="shared" si="1580"/>
        <v>N/A</v>
      </c>
      <c r="L719" s="11" t="str">
        <f t="shared" si="1580"/>
        <v>N/A</v>
      </c>
      <c r="M719" s="11" t="str">
        <f t="shared" si="1580"/>
        <v>N/A</v>
      </c>
      <c r="N719" s="11" t="str">
        <f t="shared" si="1580"/>
        <v>N/A</v>
      </c>
      <c r="O719" s="11" t="str">
        <f t="shared" si="1580"/>
        <v>N/A</v>
      </c>
      <c r="P719" s="11"/>
      <c r="Q719" s="11"/>
      <c r="R719" s="11"/>
      <c r="S719" s="11"/>
      <c r="T719" s="11"/>
      <c r="U719" s="11"/>
      <c r="V719" s="11"/>
      <c r="W719" s="11"/>
      <c r="X719" s="11"/>
      <c r="Y719" s="11"/>
      <c r="Z719" s="11"/>
    </row>
    <row r="720" spans="1:26" x14ac:dyDescent="0.4">
      <c r="A720" t="str" cm="1">
        <f t="array" ref="A720">INDEX(FX_Input,R720,S720)</f>
        <v>FX - 52</v>
      </c>
      <c r="B720" t="str" cm="1">
        <f t="array" ref="B720">INDEX(FX_Input,R720,T720)</f>
        <v>Portland</v>
      </c>
      <c r="C720" t="s">
        <v>528</v>
      </c>
      <c r="D720" t="str" cm="1">
        <f t="array" ref="D720">INDEX(FX_Input,$R720,$Y720*D$5+$Z720)</f>
        <v>Jet kerosene</v>
      </c>
      <c r="E720" t="str" cm="1">
        <f t="array" ref="E720">INDEX(FX_Input,$R720,$Y720*E$5+$Z720)</f>
        <v>Jet kerosene</v>
      </c>
      <c r="F720" t="str" cm="1">
        <f t="array" ref="F720">INDEX(FX_Input,$R720,$Y720*F$5+$Z720)</f>
        <v>Jet kerosene</v>
      </c>
      <c r="G720" t="str" cm="1">
        <f t="array" ref="G720">INDEX(FX_Input,$R720,$Y720*G$5+$Z720)</f>
        <v>Jet kerosene</v>
      </c>
      <c r="H720" t="str" cm="1">
        <f t="array" ref="H720">INDEX(FX_Input,$R720,$Y720*H$5+$Z720)</f>
        <v>Jet kerosene</v>
      </c>
      <c r="I720" t="str" cm="1">
        <f t="array" ref="I720">INDEX(FX_Input,$R720,$Y720*I$5+$Z720)</f>
        <v>Jet kerosene</v>
      </c>
      <c r="J720" t="str" cm="1">
        <f t="array" ref="J720">INDEX(FX_Input,$R720,$Y720*J$5+$Z720)</f>
        <v>Jet kerosene</v>
      </c>
      <c r="K720" t="str" cm="1">
        <f t="array" ref="K720">INDEX(FX_Input,$R720,$Y720*K$5+$Z720)</f>
        <v>Jet kerosene</v>
      </c>
      <c r="L720" t="str" cm="1">
        <f t="array" ref="L720">INDEX(FX_Input,$R720,$Y720*L$5+$Z720)</f>
        <v>Jet kerosene</v>
      </c>
      <c r="M720" t="str" cm="1">
        <f t="array" ref="M720">INDEX(FX_Input,$R720,$Y720*M$5+$Z720)</f>
        <v>Jet kerosene</v>
      </c>
      <c r="N720" t="str" cm="1">
        <f t="array" ref="N720">INDEX(FX_Input,$R720,$Y720*N$5+$Z720)</f>
        <v>Jet kerosene</v>
      </c>
      <c r="O720" t="str" cm="1">
        <f t="array" ref="O720">INDEX(FX_Input,$R720,$Y720*O$5+$Z720)</f>
        <v>Jet kerosene</v>
      </c>
      <c r="R720">
        <f>R706+2</f>
        <v>103</v>
      </c>
      <c r="S720">
        <v>1</v>
      </c>
      <c r="T720">
        <v>3</v>
      </c>
      <c r="U720">
        <v>17</v>
      </c>
      <c r="V720">
        <f>U720+5</f>
        <v>22</v>
      </c>
      <c r="W720">
        <v>1</v>
      </c>
      <c r="X720">
        <v>2</v>
      </c>
      <c r="Y720">
        <f t="shared" ref="Y720:Y725" si="1581">(V720-U720)/(X720-W720)</f>
        <v>5</v>
      </c>
      <c r="Z720">
        <f t="shared" ref="Z720:Z725" si="1582">U720-Y720*W720</f>
        <v>12</v>
      </c>
    </row>
    <row r="721" spans="1:26" x14ac:dyDescent="0.4">
      <c r="C721" t="s">
        <v>529</v>
      </c>
      <c r="D721" cm="1">
        <f t="array" ref="D721">INDEX(FX_Input,$R721,$Y721*D$5+$Z721)</f>
        <v>0</v>
      </c>
      <c r="E721" cm="1">
        <f t="array" ref="E721">INDEX(FX_Input,$R721,$Y721*E$5+$Z721)</f>
        <v>0</v>
      </c>
      <c r="F721" cm="1">
        <f t="array" ref="F721">INDEX(FX_Input,$R721,$Y721*F$5+$Z721)</f>
        <v>0</v>
      </c>
      <c r="G721" cm="1">
        <f t="array" ref="G721">INDEX(FX_Input,$R721,$Y721*G$5+$Z721)</f>
        <v>0</v>
      </c>
      <c r="H721" cm="1">
        <f t="array" ref="H721">INDEX(FX_Input,$R721,$Y721*H$5+$Z721)</f>
        <v>0</v>
      </c>
      <c r="I721" cm="1">
        <f t="array" ref="I721">INDEX(FX_Input,$R721,$Y721*I$5+$Z721)</f>
        <v>0</v>
      </c>
      <c r="J721" cm="1">
        <f t="array" ref="J721">INDEX(FX_Input,$R721,$Y721*J$5+$Z721)</f>
        <v>0</v>
      </c>
      <c r="K721" cm="1">
        <f t="array" ref="K721">INDEX(FX_Input,$R721,$Y721*K$5+$Z721)</f>
        <v>0</v>
      </c>
      <c r="L721" cm="1">
        <f t="array" ref="L721">INDEX(FX_Input,$R721,$Y721*L$5+$Z721)</f>
        <v>0</v>
      </c>
      <c r="M721" cm="1">
        <f t="array" ref="M721">INDEX(FX_Input,$R721,$Y721*M$5+$Z721)</f>
        <v>0</v>
      </c>
      <c r="N721" cm="1">
        <f t="array" ref="N721">INDEX(FX_Input,$R721,$Y721*N$5+$Z721)</f>
        <v>0</v>
      </c>
      <c r="O721" cm="1">
        <f t="array" ref="O721">INDEX(FX_Input,$R721,$Y721*O$5+$Z721)</f>
        <v>0</v>
      </c>
      <c r="R721">
        <f>R720+1</f>
        <v>104</v>
      </c>
      <c r="U721">
        <f>U720</f>
        <v>17</v>
      </c>
      <c r="V721">
        <f t="shared" ref="V721:V725" si="1583">U721+5</f>
        <v>22</v>
      </c>
      <c r="W721">
        <v>1</v>
      </c>
      <c r="X721">
        <v>2</v>
      </c>
      <c r="Y721">
        <f t="shared" si="1581"/>
        <v>5</v>
      </c>
      <c r="Z721">
        <f t="shared" si="1582"/>
        <v>12</v>
      </c>
    </row>
    <row r="722" spans="1:26" x14ac:dyDescent="0.4">
      <c r="C722" t="s">
        <v>530</v>
      </c>
      <c r="D722" t="str" cm="1">
        <f t="array" ref="D722">INDEX(FX_Input,$R722,$Y722*D$5+$Z722)</f>
        <v>Select Pet Stock</v>
      </c>
      <c r="E722" t="str" cm="1">
        <f t="array" ref="E722">INDEX(FX_Input,$R722,$Y722*E$5+$Z722)</f>
        <v>Select Pet Stock</v>
      </c>
      <c r="F722" t="str" cm="1">
        <f t="array" ref="F722">INDEX(FX_Input,$R722,$Y722*F$5+$Z722)</f>
        <v>Select Pet Stock</v>
      </c>
      <c r="G722" t="str" cm="1">
        <f t="array" ref="G722">INDEX(FX_Input,$R722,$Y722*G$5+$Z722)</f>
        <v>Select Pet Stock</v>
      </c>
      <c r="H722" t="str" cm="1">
        <f t="array" ref="H722">INDEX(FX_Input,$R722,$Y722*H$5+$Z722)</f>
        <v>Select Pet Stock</v>
      </c>
      <c r="I722" t="str" cm="1">
        <f t="array" ref="I722">INDEX(FX_Input,$R722,$Y722*I$5+$Z722)</f>
        <v>Select Pet Stock</v>
      </c>
      <c r="J722" t="str" cm="1">
        <f t="array" ref="J722">INDEX(FX_Input,$R722,$Y722*J$5+$Z722)</f>
        <v>Select Pet Stock</v>
      </c>
      <c r="K722" t="str" cm="1">
        <f t="array" ref="K722">INDEX(FX_Input,$R722,$Y722*K$5+$Z722)</f>
        <v>Select Pet Stock</v>
      </c>
      <c r="L722" t="str" cm="1">
        <f t="array" ref="L722">INDEX(FX_Input,$R722,$Y722*L$5+$Z722)</f>
        <v>Select Pet Stock</v>
      </c>
      <c r="M722" t="str" cm="1">
        <f t="array" ref="M722">INDEX(FX_Input,$R722,$Y722*M$5+$Z722)</f>
        <v>Select Pet Stock</v>
      </c>
      <c r="N722" t="str" cm="1">
        <f t="array" ref="N722">INDEX(FX_Input,$R722,$Y722*N$5+$Z722)</f>
        <v>Select Pet Stock</v>
      </c>
      <c r="O722" t="str" cm="1">
        <f t="array" ref="O722">INDEX(FX_Input,$R722,$Y722*O$5+$Z722)</f>
        <v>Select Pet Stock</v>
      </c>
      <c r="R722">
        <f>R720</f>
        <v>103</v>
      </c>
      <c r="U722">
        <v>18</v>
      </c>
      <c r="V722">
        <f t="shared" si="1583"/>
        <v>23</v>
      </c>
      <c r="W722">
        <v>1</v>
      </c>
      <c r="X722">
        <v>2</v>
      </c>
      <c r="Y722">
        <f t="shared" si="1581"/>
        <v>5</v>
      </c>
      <c r="Z722">
        <f t="shared" si="1582"/>
        <v>13</v>
      </c>
    </row>
    <row r="723" spans="1:26" x14ac:dyDescent="0.4">
      <c r="C723" t="s">
        <v>531</v>
      </c>
      <c r="D723" cm="1">
        <f t="array" ref="D723">INDEX(FX_Input,$R723,$Y723*D$5+$Z723)</f>
        <v>0</v>
      </c>
      <c r="E723" cm="1">
        <f t="array" ref="E723">INDEX(FX_Input,$R723,$Y723*E$5+$Z723)</f>
        <v>0</v>
      </c>
      <c r="F723" cm="1">
        <f t="array" ref="F723">INDEX(FX_Input,$R723,$Y723*F$5+$Z723)</f>
        <v>0</v>
      </c>
      <c r="G723" cm="1">
        <f t="array" ref="G723">INDEX(FX_Input,$R723,$Y723*G$5+$Z723)</f>
        <v>0</v>
      </c>
      <c r="H723" cm="1">
        <f t="array" ref="H723">INDEX(FX_Input,$R723,$Y723*H$5+$Z723)</f>
        <v>0</v>
      </c>
      <c r="I723" cm="1">
        <f t="array" ref="I723">INDEX(FX_Input,$R723,$Y723*I$5+$Z723)</f>
        <v>0</v>
      </c>
      <c r="J723" cm="1">
        <f t="array" ref="J723">INDEX(FX_Input,$R723,$Y723*J$5+$Z723)</f>
        <v>0</v>
      </c>
      <c r="K723" cm="1">
        <f t="array" ref="K723">INDEX(FX_Input,$R723,$Y723*K$5+$Z723)</f>
        <v>0</v>
      </c>
      <c r="L723" cm="1">
        <f t="array" ref="L723">INDEX(FX_Input,$R723,$Y723*L$5+$Z723)</f>
        <v>0</v>
      </c>
      <c r="M723" cm="1">
        <f t="array" ref="M723">INDEX(FX_Input,$R723,$Y723*M$5+$Z723)</f>
        <v>0</v>
      </c>
      <c r="N723" cm="1">
        <f t="array" ref="N723">INDEX(FX_Input,$R723,$Y723*N$5+$Z723)</f>
        <v>0</v>
      </c>
      <c r="O723" cm="1">
        <f t="array" ref="O723">INDEX(FX_Input,$R723,$Y723*O$5+$Z723)</f>
        <v>0</v>
      </c>
      <c r="R723">
        <f>R721</f>
        <v>104</v>
      </c>
      <c r="U723">
        <f>U722</f>
        <v>18</v>
      </c>
      <c r="V723">
        <f t="shared" si="1583"/>
        <v>23</v>
      </c>
      <c r="W723">
        <v>1</v>
      </c>
      <c r="X723">
        <v>2</v>
      </c>
      <c r="Y723">
        <f t="shared" si="1581"/>
        <v>5</v>
      </c>
      <c r="Z723">
        <f t="shared" si="1582"/>
        <v>13</v>
      </c>
    </row>
    <row r="724" spans="1:26" x14ac:dyDescent="0.4">
      <c r="C724" t="s">
        <v>546</v>
      </c>
      <c r="D724" cm="1">
        <f t="array" ref="D724">INDEX(FX_Input,$R724,$Y724*D$5+$Z724)</f>
        <v>1</v>
      </c>
      <c r="E724" cm="1">
        <f t="array" ref="E724">INDEX(FX_Input,$R724,$Y724*E$5+$Z724)</f>
        <v>1</v>
      </c>
      <c r="F724" cm="1">
        <f t="array" ref="F724">INDEX(FX_Input,$R724,$Y724*F$5+$Z724)</f>
        <v>1</v>
      </c>
      <c r="G724" cm="1">
        <f t="array" ref="G724">INDEX(FX_Input,$R724,$Y724*G$5+$Z724)</f>
        <v>1</v>
      </c>
      <c r="H724" cm="1">
        <f t="array" ref="H724">INDEX(FX_Input,$R724,$Y724*H$5+$Z724)</f>
        <v>1</v>
      </c>
      <c r="I724" cm="1">
        <f t="array" ref="I724">INDEX(FX_Input,$R724,$Y724*I$5+$Z724)</f>
        <v>1</v>
      </c>
      <c r="J724" cm="1">
        <f t="array" ref="J724">INDEX(FX_Input,$R724,$Y724*J$5+$Z724)</f>
        <v>1</v>
      </c>
      <c r="K724" cm="1">
        <f t="array" ref="K724">INDEX(FX_Input,$R724,$Y724*K$5+$Z724)</f>
        <v>1</v>
      </c>
      <c r="L724" cm="1">
        <f t="array" ref="L724">INDEX(FX_Input,$R724,$Y724*L$5+$Z724)</f>
        <v>1</v>
      </c>
      <c r="M724" cm="1">
        <f t="array" ref="M724">INDEX(FX_Input,$R724,$Y724*M$5+$Z724)</f>
        <v>1</v>
      </c>
      <c r="N724" cm="1">
        <f t="array" ref="N724">INDEX(FX_Input,$R724,$Y724*N$5+$Z724)</f>
        <v>1</v>
      </c>
      <c r="O724" cm="1">
        <f t="array" ref="O724">INDEX(FX_Input,$R724,$Y724*O$5+$Z724)</f>
        <v>1</v>
      </c>
      <c r="R724">
        <f>R722</f>
        <v>103</v>
      </c>
      <c r="U724">
        <v>21</v>
      </c>
      <c r="V724">
        <f t="shared" si="1583"/>
        <v>26</v>
      </c>
      <c r="W724">
        <v>1</v>
      </c>
      <c r="X724">
        <v>2</v>
      </c>
      <c r="Y724">
        <f t="shared" si="1581"/>
        <v>5</v>
      </c>
      <c r="Z724">
        <f t="shared" si="1582"/>
        <v>16</v>
      </c>
    </row>
    <row r="725" spans="1:26" x14ac:dyDescent="0.4">
      <c r="C725" t="s">
        <v>547</v>
      </c>
      <c r="D725" cm="1">
        <f t="array" ref="D725">INDEX(FX_Input,$R725,$Y725*D$5+$Z725)</f>
        <v>0</v>
      </c>
      <c r="E725" cm="1">
        <f t="array" ref="E725">INDEX(FX_Input,$R725,$Y725*E$5+$Z725)</f>
        <v>0</v>
      </c>
      <c r="F725" cm="1">
        <f t="array" ref="F725">INDEX(FX_Input,$R725,$Y725*F$5+$Z725)</f>
        <v>0</v>
      </c>
      <c r="G725" cm="1">
        <f t="array" ref="G725">INDEX(FX_Input,$R725,$Y725*G$5+$Z725)</f>
        <v>0</v>
      </c>
      <c r="H725" cm="1">
        <f t="array" ref="H725">INDEX(FX_Input,$R725,$Y725*H$5+$Z725)</f>
        <v>0</v>
      </c>
      <c r="I725" cm="1">
        <f t="array" ref="I725">INDEX(FX_Input,$R725,$Y725*I$5+$Z725)</f>
        <v>0</v>
      </c>
      <c r="J725" cm="1">
        <f t="array" ref="J725">INDEX(FX_Input,$R725,$Y725*J$5+$Z725)</f>
        <v>0</v>
      </c>
      <c r="K725" cm="1">
        <f t="array" ref="K725">INDEX(FX_Input,$R725,$Y725*K$5+$Z725)</f>
        <v>0</v>
      </c>
      <c r="L725" cm="1">
        <f t="array" ref="L725">INDEX(FX_Input,$R725,$Y725*L$5+$Z725)</f>
        <v>0</v>
      </c>
      <c r="M725" cm="1">
        <f t="array" ref="M725">INDEX(FX_Input,$R725,$Y725*M$5+$Z725)</f>
        <v>0</v>
      </c>
      <c r="N725" cm="1">
        <f t="array" ref="N725">INDEX(FX_Input,$R725,$Y725*N$5+$Z725)</f>
        <v>0</v>
      </c>
      <c r="O725" cm="1">
        <f t="array" ref="O725">INDEX(FX_Input,$R725,$Y725*O$5+$Z725)</f>
        <v>0</v>
      </c>
      <c r="R725">
        <f>R723</f>
        <v>104</v>
      </c>
      <c r="U725">
        <f>U724</f>
        <v>21</v>
      </c>
      <c r="V725">
        <f t="shared" si="1583"/>
        <v>26</v>
      </c>
      <c r="W725">
        <v>1</v>
      </c>
      <c r="X725">
        <v>2</v>
      </c>
      <c r="Y725">
        <f t="shared" si="1581"/>
        <v>5</v>
      </c>
      <c r="Z725">
        <f t="shared" si="1582"/>
        <v>16</v>
      </c>
    </row>
    <row r="726" spans="1:26" x14ac:dyDescent="0.4">
      <c r="C726" t="s">
        <v>532</v>
      </c>
      <c r="D726">
        <f t="shared" ref="D726:O726" si="1584">IFERROR(VLOOKUP(D720,Phys_Prop,2,FALSE),0)</f>
        <v>162</v>
      </c>
      <c r="E726">
        <f t="shared" si="1584"/>
        <v>162</v>
      </c>
      <c r="F726">
        <f t="shared" si="1584"/>
        <v>162</v>
      </c>
      <c r="G726">
        <f t="shared" si="1584"/>
        <v>162</v>
      </c>
      <c r="H726">
        <f t="shared" si="1584"/>
        <v>162</v>
      </c>
      <c r="I726">
        <f t="shared" si="1584"/>
        <v>162</v>
      </c>
      <c r="J726">
        <f t="shared" si="1584"/>
        <v>162</v>
      </c>
      <c r="K726">
        <f t="shared" si="1584"/>
        <v>162</v>
      </c>
      <c r="L726">
        <f t="shared" si="1584"/>
        <v>162</v>
      </c>
      <c r="M726">
        <f t="shared" si="1584"/>
        <v>162</v>
      </c>
      <c r="N726">
        <f t="shared" si="1584"/>
        <v>162</v>
      </c>
      <c r="O726">
        <f t="shared" si="1584"/>
        <v>162</v>
      </c>
    </row>
    <row r="727" spans="1:26" x14ac:dyDescent="0.4">
      <c r="C727" t="s">
        <v>533</v>
      </c>
      <c r="D727">
        <f t="shared" ref="D727:O727" si="1585">IFERROR(VLOOKUP(D721,Phys_Prop,2,FALSE),0)</f>
        <v>0</v>
      </c>
      <c r="E727">
        <f t="shared" si="1585"/>
        <v>0</v>
      </c>
      <c r="F727">
        <f t="shared" si="1585"/>
        <v>0</v>
      </c>
      <c r="G727">
        <f t="shared" si="1585"/>
        <v>0</v>
      </c>
      <c r="H727">
        <f t="shared" si="1585"/>
        <v>0</v>
      </c>
      <c r="I727">
        <f t="shared" si="1585"/>
        <v>0</v>
      </c>
      <c r="J727">
        <f t="shared" si="1585"/>
        <v>0</v>
      </c>
      <c r="K727">
        <f t="shared" si="1585"/>
        <v>0</v>
      </c>
      <c r="L727">
        <f t="shared" si="1585"/>
        <v>0</v>
      </c>
      <c r="M727">
        <f t="shared" si="1585"/>
        <v>0</v>
      </c>
      <c r="N727">
        <f t="shared" si="1585"/>
        <v>0</v>
      </c>
      <c r="O727">
        <f t="shared" si="1585"/>
        <v>0</v>
      </c>
    </row>
    <row r="728" spans="1:26" x14ac:dyDescent="0.4">
      <c r="C728" t="s">
        <v>544</v>
      </c>
      <c r="D728">
        <f>IFERROR(IFERROR(D726/D724+D727/D725,D726/D724),0)</f>
        <v>162</v>
      </c>
      <c r="E728">
        <f t="shared" ref="E728" si="1586">IFERROR(IFERROR(E726/E724+E727/E725,E726/E724),0)</f>
        <v>162</v>
      </c>
      <c r="F728">
        <f t="shared" ref="F728" si="1587">IFERROR(IFERROR(F726/F724+F727/F725,F726/F724),0)</f>
        <v>162</v>
      </c>
      <c r="G728">
        <f t="shared" ref="G728" si="1588">IFERROR(IFERROR(G726/G724+G727/G725,G726/G724),0)</f>
        <v>162</v>
      </c>
      <c r="H728">
        <f t="shared" ref="H728" si="1589">IFERROR(IFERROR(H726/H724+H727/H725,H726/H724),0)</f>
        <v>162</v>
      </c>
      <c r="I728">
        <f t="shared" ref="I728" si="1590">IFERROR(IFERROR(I726/I724+I727/I725,I726/I724),0)</f>
        <v>162</v>
      </c>
      <c r="J728">
        <f t="shared" ref="J728" si="1591">IFERROR(IFERROR(J726/J724+J727/J725,J726/J724),0)</f>
        <v>162</v>
      </c>
      <c r="K728">
        <f t="shared" ref="K728" si="1592">IFERROR(IFERROR(K726/K724+K727/K725,K726/K724),0)</f>
        <v>162</v>
      </c>
      <c r="L728">
        <f t="shared" ref="L728" si="1593">IFERROR(IFERROR(L726/L724+L727/L725,L726/L724),0)</f>
        <v>162</v>
      </c>
      <c r="M728">
        <f t="shared" ref="M728" si="1594">IFERROR(IFERROR(M726/M724+M727/M725,M726/M724),0)</f>
        <v>162</v>
      </c>
      <c r="N728">
        <f t="shared" ref="N728" si="1595">IFERROR(IFERROR(N726/N724+N727/N725,N726/N724),0)</f>
        <v>162</v>
      </c>
      <c r="O728">
        <f t="shared" ref="O728" si="1596">IFERROR(IFERROR(O726/O724+O727/O725,O726/O724),0)</f>
        <v>162</v>
      </c>
    </row>
    <row r="729" spans="1:26" x14ac:dyDescent="0.4">
      <c r="C729" t="s">
        <v>539</v>
      </c>
      <c r="D729">
        <f>IFERROR((D724/D726)*D728,1)</f>
        <v>1</v>
      </c>
      <c r="E729">
        <f t="shared" ref="E729" si="1597">IFERROR((E724/E726)*E728,1)</f>
        <v>1</v>
      </c>
      <c r="F729">
        <f t="shared" ref="F729" si="1598">IFERROR((F724/F726)*F728,1)</f>
        <v>1</v>
      </c>
      <c r="G729">
        <f t="shared" ref="G729" si="1599">IFERROR((G724/G726)*G728,1)</f>
        <v>1</v>
      </c>
      <c r="H729">
        <f t="shared" ref="H729" si="1600">IFERROR((H724/H726)*H728,1)</f>
        <v>1</v>
      </c>
      <c r="I729">
        <f t="shared" ref="I729" si="1601">IFERROR((I724/I726)*I728,1)</f>
        <v>1</v>
      </c>
      <c r="J729">
        <f t="shared" ref="J729" si="1602">IFERROR((J724/J726)*J728,1)</f>
        <v>1</v>
      </c>
      <c r="K729">
        <f t="shared" ref="K729" si="1603">IFERROR((K724/K726)*K728,1)</f>
        <v>1</v>
      </c>
      <c r="L729">
        <f t="shared" ref="L729" si="1604">IFERROR((L724/L726)*L728,1)</f>
        <v>1</v>
      </c>
      <c r="M729">
        <f t="shared" ref="M729" si="1605">IFERROR((M724/M726)*M728,1)</f>
        <v>1</v>
      </c>
      <c r="N729">
        <f t="shared" ref="N729" si="1606">IFERROR((N724/N726)*N728,1)</f>
        <v>1</v>
      </c>
      <c r="O729">
        <f t="shared" ref="O729" si="1607">IFERROR((O724/O726)*O728,1)</f>
        <v>1</v>
      </c>
    </row>
    <row r="730" spans="1:26" x14ac:dyDescent="0.4">
      <c r="C730" t="s">
        <v>540</v>
      </c>
      <c r="D730">
        <f>IFERROR((D725/D727)*D728,0)</f>
        <v>0</v>
      </c>
      <c r="E730">
        <f t="shared" ref="E730:O730" si="1608">IFERROR((E725/E727)*E728,0)</f>
        <v>0</v>
      </c>
      <c r="F730">
        <f t="shared" si="1608"/>
        <v>0</v>
      </c>
      <c r="G730">
        <f t="shared" si="1608"/>
        <v>0</v>
      </c>
      <c r="H730">
        <f t="shared" si="1608"/>
        <v>0</v>
      </c>
      <c r="I730">
        <f t="shared" si="1608"/>
        <v>0</v>
      </c>
      <c r="J730">
        <f t="shared" si="1608"/>
        <v>0</v>
      </c>
      <c r="K730">
        <f t="shared" si="1608"/>
        <v>0</v>
      </c>
      <c r="L730">
        <f t="shared" si="1608"/>
        <v>0</v>
      </c>
      <c r="M730">
        <f t="shared" si="1608"/>
        <v>0</v>
      </c>
      <c r="N730">
        <f t="shared" si="1608"/>
        <v>0</v>
      </c>
      <c r="O730">
        <f t="shared" si="1608"/>
        <v>0</v>
      </c>
    </row>
    <row r="731" spans="1:26" x14ac:dyDescent="0.4">
      <c r="C731" s="21" t="s">
        <v>534</v>
      </c>
      <c r="D731">
        <f t="shared" ref="D731:O731" si="1609">IFERROR(VLOOKUP(D720,Phys_Prop,4,FALSE),0)</f>
        <v>7</v>
      </c>
      <c r="E731">
        <f t="shared" si="1609"/>
        <v>7</v>
      </c>
      <c r="F731">
        <f t="shared" si="1609"/>
        <v>7</v>
      </c>
      <c r="G731">
        <f t="shared" si="1609"/>
        <v>7</v>
      </c>
      <c r="H731">
        <f t="shared" si="1609"/>
        <v>7</v>
      </c>
      <c r="I731">
        <f t="shared" si="1609"/>
        <v>7</v>
      </c>
      <c r="J731">
        <f t="shared" si="1609"/>
        <v>7</v>
      </c>
      <c r="K731">
        <f t="shared" si="1609"/>
        <v>7</v>
      </c>
      <c r="L731">
        <f t="shared" si="1609"/>
        <v>7</v>
      </c>
      <c r="M731">
        <f t="shared" si="1609"/>
        <v>7</v>
      </c>
      <c r="N731">
        <f t="shared" si="1609"/>
        <v>7</v>
      </c>
      <c r="O731">
        <f t="shared" si="1609"/>
        <v>7</v>
      </c>
    </row>
    <row r="732" spans="1:26" x14ac:dyDescent="0.4">
      <c r="C732" s="21" t="s">
        <v>535</v>
      </c>
      <c r="D732">
        <f t="shared" ref="D732:O732" si="1610">IFERROR(VLOOKUP(D721,Phys_Prop,4,FALSE),0)</f>
        <v>0</v>
      </c>
      <c r="E732">
        <f t="shared" si="1610"/>
        <v>0</v>
      </c>
      <c r="F732">
        <f t="shared" si="1610"/>
        <v>0</v>
      </c>
      <c r="G732">
        <f t="shared" si="1610"/>
        <v>0</v>
      </c>
      <c r="H732">
        <f t="shared" si="1610"/>
        <v>0</v>
      </c>
      <c r="I732">
        <f t="shared" si="1610"/>
        <v>0</v>
      </c>
      <c r="J732">
        <f t="shared" si="1610"/>
        <v>0</v>
      </c>
      <c r="K732">
        <f t="shared" si="1610"/>
        <v>0</v>
      </c>
      <c r="L732">
        <f t="shared" si="1610"/>
        <v>0</v>
      </c>
      <c r="M732">
        <f t="shared" si="1610"/>
        <v>0</v>
      </c>
      <c r="N732">
        <f t="shared" si="1610"/>
        <v>0</v>
      </c>
      <c r="O732">
        <f t="shared" si="1610"/>
        <v>0</v>
      </c>
    </row>
    <row r="733" spans="1:26" x14ac:dyDescent="0.4">
      <c r="A733" s="11"/>
      <c r="B733" s="11"/>
      <c r="C733" s="62" t="s">
        <v>536</v>
      </c>
      <c r="D733" s="11">
        <f>IFERROR(1/(D729/D731+D730/D732),D731)</f>
        <v>7</v>
      </c>
      <c r="E733" s="11">
        <f t="shared" ref="E733:O733" si="1611">IFERROR(1/(E729/E731+E730/E732),E731)</f>
        <v>7</v>
      </c>
      <c r="F733" s="11">
        <f t="shared" si="1611"/>
        <v>7</v>
      </c>
      <c r="G733" s="11">
        <f t="shared" si="1611"/>
        <v>7</v>
      </c>
      <c r="H733" s="11">
        <f t="shared" si="1611"/>
        <v>7</v>
      </c>
      <c r="I733" s="11">
        <f t="shared" si="1611"/>
        <v>7</v>
      </c>
      <c r="J733" s="11">
        <f t="shared" si="1611"/>
        <v>7</v>
      </c>
      <c r="K733" s="11">
        <f t="shared" si="1611"/>
        <v>7</v>
      </c>
      <c r="L733" s="11">
        <f t="shared" si="1611"/>
        <v>7</v>
      </c>
      <c r="M733" s="11">
        <f t="shared" si="1611"/>
        <v>7</v>
      </c>
      <c r="N733" s="11">
        <f t="shared" si="1611"/>
        <v>7</v>
      </c>
      <c r="O733" s="11">
        <f t="shared" si="1611"/>
        <v>7</v>
      </c>
      <c r="P733" s="11"/>
      <c r="Q733" s="11"/>
      <c r="R733" s="11"/>
      <c r="S733" s="11"/>
      <c r="T733" s="11"/>
      <c r="U733" s="11"/>
      <c r="V733" s="11"/>
      <c r="W733" s="11"/>
      <c r="X733" s="11"/>
      <c r="Y733" s="11"/>
      <c r="Z733" s="11"/>
    </row>
    <row r="734" spans="1:26" x14ac:dyDescent="0.4">
      <c r="A734" t="str" cm="1">
        <f t="array" ref="A734">INDEX(FX_Input,R734,S734)</f>
        <v>FX - 53</v>
      </c>
      <c r="B734" t="str" cm="1">
        <f t="array" ref="B734">INDEX(FX_Input,R734,T734)</f>
        <v>Portland</v>
      </c>
      <c r="C734" t="s">
        <v>528</v>
      </c>
      <c r="D734" t="str" cm="1">
        <f t="array" ref="D734">INDEX(FX_Input,$R734,$Y734*D$5+$Z734)</f>
        <v>Jet kerosene</v>
      </c>
      <c r="E734" t="str" cm="1">
        <f t="array" ref="E734">INDEX(FX_Input,$R734,$Y734*E$5+$Z734)</f>
        <v>Jet kerosene</v>
      </c>
      <c r="F734" t="str" cm="1">
        <f t="array" ref="F734">INDEX(FX_Input,$R734,$Y734*F$5+$Z734)</f>
        <v>Jet kerosene</v>
      </c>
      <c r="G734" t="str" cm="1">
        <f t="array" ref="G734">INDEX(FX_Input,$R734,$Y734*G$5+$Z734)</f>
        <v>Jet kerosene</v>
      </c>
      <c r="H734" t="str" cm="1">
        <f t="array" ref="H734">INDEX(FX_Input,$R734,$Y734*H$5+$Z734)</f>
        <v>Jet kerosene</v>
      </c>
      <c r="I734" t="str" cm="1">
        <f t="array" ref="I734">INDEX(FX_Input,$R734,$Y734*I$5+$Z734)</f>
        <v>Jet kerosene</v>
      </c>
      <c r="J734" t="str" cm="1">
        <f t="array" ref="J734">INDEX(FX_Input,$R734,$Y734*J$5+$Z734)</f>
        <v>Jet kerosene</v>
      </c>
      <c r="K734" t="str" cm="1">
        <f t="array" ref="K734">INDEX(FX_Input,$R734,$Y734*K$5+$Z734)</f>
        <v>Jet kerosene</v>
      </c>
      <c r="L734" t="str" cm="1">
        <f t="array" ref="L734">INDEX(FX_Input,$R734,$Y734*L$5+$Z734)</f>
        <v>Jet kerosene</v>
      </c>
      <c r="M734" t="str" cm="1">
        <f t="array" ref="M734">INDEX(FX_Input,$R734,$Y734*M$5+$Z734)</f>
        <v>Jet kerosene</v>
      </c>
      <c r="N734" t="str" cm="1">
        <f t="array" ref="N734">INDEX(FX_Input,$R734,$Y734*N$5+$Z734)</f>
        <v>Jet kerosene</v>
      </c>
      <c r="O734" t="str" cm="1">
        <f t="array" ref="O734">INDEX(FX_Input,$R734,$Y734*O$5+$Z734)</f>
        <v>Jet kerosene</v>
      </c>
      <c r="R734">
        <f>R720+2</f>
        <v>105</v>
      </c>
      <c r="S734">
        <v>1</v>
      </c>
      <c r="T734">
        <v>3</v>
      </c>
      <c r="U734">
        <v>17</v>
      </c>
      <c r="V734">
        <f>U734+5</f>
        <v>22</v>
      </c>
      <c r="W734">
        <v>1</v>
      </c>
      <c r="X734">
        <v>2</v>
      </c>
      <c r="Y734">
        <f t="shared" ref="Y734:Y739" si="1612">(V734-U734)/(X734-W734)</f>
        <v>5</v>
      </c>
      <c r="Z734">
        <f t="shared" ref="Z734:Z739" si="1613">U734-Y734*W734</f>
        <v>12</v>
      </c>
    </row>
    <row r="735" spans="1:26" x14ac:dyDescent="0.4">
      <c r="C735" t="s">
        <v>529</v>
      </c>
      <c r="D735" cm="1">
        <f t="array" ref="D735">INDEX(FX_Input,$R735,$Y735*D$5+$Z735)</f>
        <v>0</v>
      </c>
      <c r="E735" cm="1">
        <f t="array" ref="E735">INDEX(FX_Input,$R735,$Y735*E$5+$Z735)</f>
        <v>0</v>
      </c>
      <c r="F735" cm="1">
        <f t="array" ref="F735">INDEX(FX_Input,$R735,$Y735*F$5+$Z735)</f>
        <v>0</v>
      </c>
      <c r="G735" cm="1">
        <f t="array" ref="G735">INDEX(FX_Input,$R735,$Y735*G$5+$Z735)</f>
        <v>0</v>
      </c>
      <c r="H735" cm="1">
        <f t="array" ref="H735">INDEX(FX_Input,$R735,$Y735*H$5+$Z735)</f>
        <v>0</v>
      </c>
      <c r="I735" cm="1">
        <f t="array" ref="I735">INDEX(FX_Input,$R735,$Y735*I$5+$Z735)</f>
        <v>0</v>
      </c>
      <c r="J735" cm="1">
        <f t="array" ref="J735">INDEX(FX_Input,$R735,$Y735*J$5+$Z735)</f>
        <v>0</v>
      </c>
      <c r="K735" cm="1">
        <f t="array" ref="K735">INDEX(FX_Input,$R735,$Y735*K$5+$Z735)</f>
        <v>0</v>
      </c>
      <c r="L735" cm="1">
        <f t="array" ref="L735">INDEX(FX_Input,$R735,$Y735*L$5+$Z735)</f>
        <v>0</v>
      </c>
      <c r="M735" cm="1">
        <f t="array" ref="M735">INDEX(FX_Input,$R735,$Y735*M$5+$Z735)</f>
        <v>0</v>
      </c>
      <c r="N735" cm="1">
        <f t="array" ref="N735">INDEX(FX_Input,$R735,$Y735*N$5+$Z735)</f>
        <v>0</v>
      </c>
      <c r="O735" cm="1">
        <f t="array" ref="O735">INDEX(FX_Input,$R735,$Y735*O$5+$Z735)</f>
        <v>0</v>
      </c>
      <c r="R735">
        <f>R734+1</f>
        <v>106</v>
      </c>
      <c r="U735">
        <f>U734</f>
        <v>17</v>
      </c>
      <c r="V735">
        <f t="shared" ref="V735:V739" si="1614">U735+5</f>
        <v>22</v>
      </c>
      <c r="W735">
        <v>1</v>
      </c>
      <c r="X735">
        <v>2</v>
      </c>
      <c r="Y735">
        <f t="shared" si="1612"/>
        <v>5</v>
      </c>
      <c r="Z735">
        <f t="shared" si="1613"/>
        <v>12</v>
      </c>
    </row>
    <row r="736" spans="1:26" x14ac:dyDescent="0.4">
      <c r="C736" t="s">
        <v>530</v>
      </c>
      <c r="D736" t="str" cm="1">
        <f t="array" ref="D736">INDEX(FX_Input,$R736,$Y736*D$5+$Z736)</f>
        <v>Select Pet Stock</v>
      </c>
      <c r="E736" t="str" cm="1">
        <f t="array" ref="E736">INDEX(FX_Input,$R736,$Y736*E$5+$Z736)</f>
        <v>Select Pet Stock</v>
      </c>
      <c r="F736" t="str" cm="1">
        <f t="array" ref="F736">INDEX(FX_Input,$R736,$Y736*F$5+$Z736)</f>
        <v>Select Pet Stock</v>
      </c>
      <c r="G736" t="str" cm="1">
        <f t="array" ref="G736">INDEX(FX_Input,$R736,$Y736*G$5+$Z736)</f>
        <v>Select Pet Stock</v>
      </c>
      <c r="H736" t="str" cm="1">
        <f t="array" ref="H736">INDEX(FX_Input,$R736,$Y736*H$5+$Z736)</f>
        <v>Select Pet Stock</v>
      </c>
      <c r="I736" t="str" cm="1">
        <f t="array" ref="I736">INDEX(FX_Input,$R736,$Y736*I$5+$Z736)</f>
        <v>Select Pet Stock</v>
      </c>
      <c r="J736" t="str" cm="1">
        <f t="array" ref="J736">INDEX(FX_Input,$R736,$Y736*J$5+$Z736)</f>
        <v>Select Pet Stock</v>
      </c>
      <c r="K736" t="str" cm="1">
        <f t="array" ref="K736">INDEX(FX_Input,$R736,$Y736*K$5+$Z736)</f>
        <v>Select Pet Stock</v>
      </c>
      <c r="L736" t="str" cm="1">
        <f t="array" ref="L736">INDEX(FX_Input,$R736,$Y736*L$5+$Z736)</f>
        <v>Select Pet Stock</v>
      </c>
      <c r="M736" t="str" cm="1">
        <f t="array" ref="M736">INDEX(FX_Input,$R736,$Y736*M$5+$Z736)</f>
        <v>Select Pet Stock</v>
      </c>
      <c r="N736" t="str" cm="1">
        <f t="array" ref="N736">INDEX(FX_Input,$R736,$Y736*N$5+$Z736)</f>
        <v>Select Pet Stock</v>
      </c>
      <c r="O736" t="str" cm="1">
        <f t="array" ref="O736">INDEX(FX_Input,$R736,$Y736*O$5+$Z736)</f>
        <v>Select Pet Stock</v>
      </c>
      <c r="R736">
        <f>R734</f>
        <v>105</v>
      </c>
      <c r="U736">
        <v>18</v>
      </c>
      <c r="V736">
        <f t="shared" si="1614"/>
        <v>23</v>
      </c>
      <c r="W736">
        <v>1</v>
      </c>
      <c r="X736">
        <v>2</v>
      </c>
      <c r="Y736">
        <f t="shared" si="1612"/>
        <v>5</v>
      </c>
      <c r="Z736">
        <f t="shared" si="1613"/>
        <v>13</v>
      </c>
    </row>
    <row r="737" spans="1:26" x14ac:dyDescent="0.4">
      <c r="C737" t="s">
        <v>531</v>
      </c>
      <c r="D737" cm="1">
        <f t="array" ref="D737">INDEX(FX_Input,$R737,$Y737*D$5+$Z737)</f>
        <v>0</v>
      </c>
      <c r="E737" cm="1">
        <f t="array" ref="E737">INDEX(FX_Input,$R737,$Y737*E$5+$Z737)</f>
        <v>0</v>
      </c>
      <c r="F737" cm="1">
        <f t="array" ref="F737">INDEX(FX_Input,$R737,$Y737*F$5+$Z737)</f>
        <v>0</v>
      </c>
      <c r="G737" cm="1">
        <f t="array" ref="G737">INDEX(FX_Input,$R737,$Y737*G$5+$Z737)</f>
        <v>0</v>
      </c>
      <c r="H737" cm="1">
        <f t="array" ref="H737">INDEX(FX_Input,$R737,$Y737*H$5+$Z737)</f>
        <v>0</v>
      </c>
      <c r="I737" cm="1">
        <f t="array" ref="I737">INDEX(FX_Input,$R737,$Y737*I$5+$Z737)</f>
        <v>0</v>
      </c>
      <c r="J737" cm="1">
        <f t="array" ref="J737">INDEX(FX_Input,$R737,$Y737*J$5+$Z737)</f>
        <v>0</v>
      </c>
      <c r="K737" cm="1">
        <f t="array" ref="K737">INDEX(FX_Input,$R737,$Y737*K$5+$Z737)</f>
        <v>0</v>
      </c>
      <c r="L737" cm="1">
        <f t="array" ref="L737">INDEX(FX_Input,$R737,$Y737*L$5+$Z737)</f>
        <v>0</v>
      </c>
      <c r="M737" cm="1">
        <f t="array" ref="M737">INDEX(FX_Input,$R737,$Y737*M$5+$Z737)</f>
        <v>0</v>
      </c>
      <c r="N737" cm="1">
        <f t="array" ref="N737">INDEX(FX_Input,$R737,$Y737*N$5+$Z737)</f>
        <v>0</v>
      </c>
      <c r="O737" cm="1">
        <f t="array" ref="O737">INDEX(FX_Input,$R737,$Y737*O$5+$Z737)</f>
        <v>0</v>
      </c>
      <c r="R737">
        <f>R735</f>
        <v>106</v>
      </c>
      <c r="U737">
        <f>U736</f>
        <v>18</v>
      </c>
      <c r="V737">
        <f t="shared" si="1614"/>
        <v>23</v>
      </c>
      <c r="W737">
        <v>1</v>
      </c>
      <c r="X737">
        <v>2</v>
      </c>
      <c r="Y737">
        <f t="shared" si="1612"/>
        <v>5</v>
      </c>
      <c r="Z737">
        <f t="shared" si="1613"/>
        <v>13</v>
      </c>
    </row>
    <row r="738" spans="1:26" x14ac:dyDescent="0.4">
      <c r="C738" t="s">
        <v>546</v>
      </c>
      <c r="D738" cm="1">
        <f t="array" ref="D738">INDEX(FX_Input,$R738,$Y738*D$5+$Z738)</f>
        <v>1</v>
      </c>
      <c r="E738" cm="1">
        <f t="array" ref="E738">INDEX(FX_Input,$R738,$Y738*E$5+$Z738)</f>
        <v>1</v>
      </c>
      <c r="F738" cm="1">
        <f t="array" ref="F738">INDEX(FX_Input,$R738,$Y738*F$5+$Z738)</f>
        <v>1</v>
      </c>
      <c r="G738" cm="1">
        <f t="array" ref="G738">INDEX(FX_Input,$R738,$Y738*G$5+$Z738)</f>
        <v>1</v>
      </c>
      <c r="H738" cm="1">
        <f t="array" ref="H738">INDEX(FX_Input,$R738,$Y738*H$5+$Z738)</f>
        <v>1</v>
      </c>
      <c r="I738" cm="1">
        <f t="array" ref="I738">INDEX(FX_Input,$R738,$Y738*I$5+$Z738)</f>
        <v>1</v>
      </c>
      <c r="J738" cm="1">
        <f t="array" ref="J738">INDEX(FX_Input,$R738,$Y738*J$5+$Z738)</f>
        <v>1</v>
      </c>
      <c r="K738" cm="1">
        <f t="array" ref="K738">INDEX(FX_Input,$R738,$Y738*K$5+$Z738)</f>
        <v>1</v>
      </c>
      <c r="L738" cm="1">
        <f t="array" ref="L738">INDEX(FX_Input,$R738,$Y738*L$5+$Z738)</f>
        <v>1</v>
      </c>
      <c r="M738" cm="1">
        <f t="array" ref="M738">INDEX(FX_Input,$R738,$Y738*M$5+$Z738)</f>
        <v>1</v>
      </c>
      <c r="N738" cm="1">
        <f t="array" ref="N738">INDEX(FX_Input,$R738,$Y738*N$5+$Z738)</f>
        <v>1</v>
      </c>
      <c r="O738" cm="1">
        <f t="array" ref="O738">INDEX(FX_Input,$R738,$Y738*O$5+$Z738)</f>
        <v>1</v>
      </c>
      <c r="R738">
        <f>R736</f>
        <v>105</v>
      </c>
      <c r="U738">
        <v>21</v>
      </c>
      <c r="V738">
        <f t="shared" si="1614"/>
        <v>26</v>
      </c>
      <c r="W738">
        <v>1</v>
      </c>
      <c r="X738">
        <v>2</v>
      </c>
      <c r="Y738">
        <f t="shared" si="1612"/>
        <v>5</v>
      </c>
      <c r="Z738">
        <f t="shared" si="1613"/>
        <v>16</v>
      </c>
    </row>
    <row r="739" spans="1:26" x14ac:dyDescent="0.4">
      <c r="C739" t="s">
        <v>547</v>
      </c>
      <c r="D739" cm="1">
        <f t="array" ref="D739">INDEX(FX_Input,$R739,$Y739*D$5+$Z739)</f>
        <v>0</v>
      </c>
      <c r="E739" cm="1">
        <f t="array" ref="E739">INDEX(FX_Input,$R739,$Y739*E$5+$Z739)</f>
        <v>0</v>
      </c>
      <c r="F739" cm="1">
        <f t="array" ref="F739">INDEX(FX_Input,$R739,$Y739*F$5+$Z739)</f>
        <v>0</v>
      </c>
      <c r="G739" cm="1">
        <f t="array" ref="G739">INDEX(FX_Input,$R739,$Y739*G$5+$Z739)</f>
        <v>0</v>
      </c>
      <c r="H739" cm="1">
        <f t="array" ref="H739">INDEX(FX_Input,$R739,$Y739*H$5+$Z739)</f>
        <v>0</v>
      </c>
      <c r="I739" cm="1">
        <f t="array" ref="I739">INDEX(FX_Input,$R739,$Y739*I$5+$Z739)</f>
        <v>0</v>
      </c>
      <c r="J739" cm="1">
        <f t="array" ref="J739">INDEX(FX_Input,$R739,$Y739*J$5+$Z739)</f>
        <v>0</v>
      </c>
      <c r="K739" cm="1">
        <f t="array" ref="K739">INDEX(FX_Input,$R739,$Y739*K$5+$Z739)</f>
        <v>0</v>
      </c>
      <c r="L739" cm="1">
        <f t="array" ref="L739">INDEX(FX_Input,$R739,$Y739*L$5+$Z739)</f>
        <v>0</v>
      </c>
      <c r="M739" cm="1">
        <f t="array" ref="M739">INDEX(FX_Input,$R739,$Y739*M$5+$Z739)</f>
        <v>0</v>
      </c>
      <c r="N739" cm="1">
        <f t="array" ref="N739">INDEX(FX_Input,$R739,$Y739*N$5+$Z739)</f>
        <v>0</v>
      </c>
      <c r="O739" cm="1">
        <f t="array" ref="O739">INDEX(FX_Input,$R739,$Y739*O$5+$Z739)</f>
        <v>0</v>
      </c>
      <c r="R739">
        <f>R737</f>
        <v>106</v>
      </c>
      <c r="U739">
        <f>U738</f>
        <v>21</v>
      </c>
      <c r="V739">
        <f t="shared" si="1614"/>
        <v>26</v>
      </c>
      <c r="W739">
        <v>1</v>
      </c>
      <c r="X739">
        <v>2</v>
      </c>
      <c r="Y739">
        <f t="shared" si="1612"/>
        <v>5</v>
      </c>
      <c r="Z739">
        <f t="shared" si="1613"/>
        <v>16</v>
      </c>
    </row>
    <row r="740" spans="1:26" x14ac:dyDescent="0.4">
      <c r="C740" t="s">
        <v>532</v>
      </c>
      <c r="D740">
        <f t="shared" ref="D740:O740" si="1615">IFERROR(VLOOKUP(D734,Phys_Prop,2,FALSE),0)</f>
        <v>162</v>
      </c>
      <c r="E740">
        <f t="shared" si="1615"/>
        <v>162</v>
      </c>
      <c r="F740">
        <f t="shared" si="1615"/>
        <v>162</v>
      </c>
      <c r="G740">
        <f t="shared" si="1615"/>
        <v>162</v>
      </c>
      <c r="H740">
        <f t="shared" si="1615"/>
        <v>162</v>
      </c>
      <c r="I740">
        <f t="shared" si="1615"/>
        <v>162</v>
      </c>
      <c r="J740">
        <f t="shared" si="1615"/>
        <v>162</v>
      </c>
      <c r="K740">
        <f t="shared" si="1615"/>
        <v>162</v>
      </c>
      <c r="L740">
        <f t="shared" si="1615"/>
        <v>162</v>
      </c>
      <c r="M740">
        <f t="shared" si="1615"/>
        <v>162</v>
      </c>
      <c r="N740">
        <f t="shared" si="1615"/>
        <v>162</v>
      </c>
      <c r="O740">
        <f t="shared" si="1615"/>
        <v>162</v>
      </c>
    </row>
    <row r="741" spans="1:26" x14ac:dyDescent="0.4">
      <c r="C741" t="s">
        <v>533</v>
      </c>
      <c r="D741">
        <f t="shared" ref="D741:O741" si="1616">IFERROR(VLOOKUP(D735,Phys_Prop,2,FALSE),0)</f>
        <v>0</v>
      </c>
      <c r="E741">
        <f t="shared" si="1616"/>
        <v>0</v>
      </c>
      <c r="F741">
        <f t="shared" si="1616"/>
        <v>0</v>
      </c>
      <c r="G741">
        <f t="shared" si="1616"/>
        <v>0</v>
      </c>
      <c r="H741">
        <f t="shared" si="1616"/>
        <v>0</v>
      </c>
      <c r="I741">
        <f t="shared" si="1616"/>
        <v>0</v>
      </c>
      <c r="J741">
        <f t="shared" si="1616"/>
        <v>0</v>
      </c>
      <c r="K741">
        <f t="shared" si="1616"/>
        <v>0</v>
      </c>
      <c r="L741">
        <f t="shared" si="1616"/>
        <v>0</v>
      </c>
      <c r="M741">
        <f t="shared" si="1616"/>
        <v>0</v>
      </c>
      <c r="N741">
        <f t="shared" si="1616"/>
        <v>0</v>
      </c>
      <c r="O741">
        <f t="shared" si="1616"/>
        <v>0</v>
      </c>
    </row>
    <row r="742" spans="1:26" x14ac:dyDescent="0.4">
      <c r="C742" t="s">
        <v>544</v>
      </c>
      <c r="D742">
        <f>IFERROR(IFERROR(D740/D738+D741/D739,D740/D738),0)</f>
        <v>162</v>
      </c>
      <c r="E742">
        <f t="shared" ref="E742" si="1617">IFERROR(IFERROR(E740/E738+E741/E739,E740/E738),0)</f>
        <v>162</v>
      </c>
      <c r="F742">
        <f t="shared" ref="F742" si="1618">IFERROR(IFERROR(F740/F738+F741/F739,F740/F738),0)</f>
        <v>162</v>
      </c>
      <c r="G742">
        <f t="shared" ref="G742" si="1619">IFERROR(IFERROR(G740/G738+G741/G739,G740/G738),0)</f>
        <v>162</v>
      </c>
      <c r="H742">
        <f t="shared" ref="H742" si="1620">IFERROR(IFERROR(H740/H738+H741/H739,H740/H738),0)</f>
        <v>162</v>
      </c>
      <c r="I742">
        <f t="shared" ref="I742" si="1621">IFERROR(IFERROR(I740/I738+I741/I739,I740/I738),0)</f>
        <v>162</v>
      </c>
      <c r="J742">
        <f t="shared" ref="J742" si="1622">IFERROR(IFERROR(J740/J738+J741/J739,J740/J738),0)</f>
        <v>162</v>
      </c>
      <c r="K742">
        <f t="shared" ref="K742" si="1623">IFERROR(IFERROR(K740/K738+K741/K739,K740/K738),0)</f>
        <v>162</v>
      </c>
      <c r="L742">
        <f t="shared" ref="L742" si="1624">IFERROR(IFERROR(L740/L738+L741/L739,L740/L738),0)</f>
        <v>162</v>
      </c>
      <c r="M742">
        <f t="shared" ref="M742" si="1625">IFERROR(IFERROR(M740/M738+M741/M739,M740/M738),0)</f>
        <v>162</v>
      </c>
      <c r="N742">
        <f t="shared" ref="N742" si="1626">IFERROR(IFERROR(N740/N738+N741/N739,N740/N738),0)</f>
        <v>162</v>
      </c>
      <c r="O742">
        <f t="shared" ref="O742" si="1627">IFERROR(IFERROR(O740/O738+O741/O739,O740/O738),0)</f>
        <v>162</v>
      </c>
    </row>
    <row r="743" spans="1:26" x14ac:dyDescent="0.4">
      <c r="C743" t="s">
        <v>539</v>
      </c>
      <c r="D743">
        <f>IFERROR((D738/D740)*D742,1)</f>
        <v>1</v>
      </c>
      <c r="E743">
        <f t="shared" ref="E743" si="1628">IFERROR((E738/E740)*E742,1)</f>
        <v>1</v>
      </c>
      <c r="F743">
        <f t="shared" ref="F743" si="1629">IFERROR((F738/F740)*F742,1)</f>
        <v>1</v>
      </c>
      <c r="G743">
        <f t="shared" ref="G743" si="1630">IFERROR((G738/G740)*G742,1)</f>
        <v>1</v>
      </c>
      <c r="H743">
        <f t="shared" ref="H743" si="1631">IFERROR((H738/H740)*H742,1)</f>
        <v>1</v>
      </c>
      <c r="I743">
        <f t="shared" ref="I743" si="1632">IFERROR((I738/I740)*I742,1)</f>
        <v>1</v>
      </c>
      <c r="J743">
        <f t="shared" ref="J743" si="1633">IFERROR((J738/J740)*J742,1)</f>
        <v>1</v>
      </c>
      <c r="K743">
        <f t="shared" ref="K743" si="1634">IFERROR((K738/K740)*K742,1)</f>
        <v>1</v>
      </c>
      <c r="L743">
        <f t="shared" ref="L743" si="1635">IFERROR((L738/L740)*L742,1)</f>
        <v>1</v>
      </c>
      <c r="M743">
        <f t="shared" ref="M743" si="1636">IFERROR((M738/M740)*M742,1)</f>
        <v>1</v>
      </c>
      <c r="N743">
        <f t="shared" ref="N743" si="1637">IFERROR((N738/N740)*N742,1)</f>
        <v>1</v>
      </c>
      <c r="O743">
        <f t="shared" ref="O743" si="1638">IFERROR((O738/O740)*O742,1)</f>
        <v>1</v>
      </c>
    </row>
    <row r="744" spans="1:26" x14ac:dyDescent="0.4">
      <c r="C744" t="s">
        <v>540</v>
      </c>
      <c r="D744">
        <f>IFERROR((D739/D741)*D742,0)</f>
        <v>0</v>
      </c>
      <c r="E744">
        <f t="shared" ref="E744:O744" si="1639">IFERROR((E739/E741)*E742,0)</f>
        <v>0</v>
      </c>
      <c r="F744">
        <f t="shared" si="1639"/>
        <v>0</v>
      </c>
      <c r="G744">
        <f t="shared" si="1639"/>
        <v>0</v>
      </c>
      <c r="H744">
        <f t="shared" si="1639"/>
        <v>0</v>
      </c>
      <c r="I744">
        <f t="shared" si="1639"/>
        <v>0</v>
      </c>
      <c r="J744">
        <f t="shared" si="1639"/>
        <v>0</v>
      </c>
      <c r="K744">
        <f t="shared" si="1639"/>
        <v>0</v>
      </c>
      <c r="L744">
        <f t="shared" si="1639"/>
        <v>0</v>
      </c>
      <c r="M744">
        <f t="shared" si="1639"/>
        <v>0</v>
      </c>
      <c r="N744">
        <f t="shared" si="1639"/>
        <v>0</v>
      </c>
      <c r="O744">
        <f t="shared" si="1639"/>
        <v>0</v>
      </c>
    </row>
    <row r="745" spans="1:26" x14ac:dyDescent="0.4">
      <c r="C745" s="21" t="s">
        <v>534</v>
      </c>
      <c r="D745">
        <f t="shared" ref="D745:O745" si="1640">IFERROR(VLOOKUP(D734,Phys_Prop,4,FALSE),0)</f>
        <v>7</v>
      </c>
      <c r="E745">
        <f t="shared" si="1640"/>
        <v>7</v>
      </c>
      <c r="F745">
        <f t="shared" si="1640"/>
        <v>7</v>
      </c>
      <c r="G745">
        <f t="shared" si="1640"/>
        <v>7</v>
      </c>
      <c r="H745">
        <f t="shared" si="1640"/>
        <v>7</v>
      </c>
      <c r="I745">
        <f t="shared" si="1640"/>
        <v>7</v>
      </c>
      <c r="J745">
        <f t="shared" si="1640"/>
        <v>7</v>
      </c>
      <c r="K745">
        <f t="shared" si="1640"/>
        <v>7</v>
      </c>
      <c r="L745">
        <f t="shared" si="1640"/>
        <v>7</v>
      </c>
      <c r="M745">
        <f t="shared" si="1640"/>
        <v>7</v>
      </c>
      <c r="N745">
        <f t="shared" si="1640"/>
        <v>7</v>
      </c>
      <c r="O745">
        <f t="shared" si="1640"/>
        <v>7</v>
      </c>
    </row>
    <row r="746" spans="1:26" x14ac:dyDescent="0.4">
      <c r="C746" s="21" t="s">
        <v>535</v>
      </c>
      <c r="D746">
        <f t="shared" ref="D746:O746" si="1641">IFERROR(VLOOKUP(D735,Phys_Prop,4,FALSE),0)</f>
        <v>0</v>
      </c>
      <c r="E746">
        <f t="shared" si="1641"/>
        <v>0</v>
      </c>
      <c r="F746">
        <f t="shared" si="1641"/>
        <v>0</v>
      </c>
      <c r="G746">
        <f t="shared" si="1641"/>
        <v>0</v>
      </c>
      <c r="H746">
        <f t="shared" si="1641"/>
        <v>0</v>
      </c>
      <c r="I746">
        <f t="shared" si="1641"/>
        <v>0</v>
      </c>
      <c r="J746">
        <f t="shared" si="1641"/>
        <v>0</v>
      </c>
      <c r="K746">
        <f t="shared" si="1641"/>
        <v>0</v>
      </c>
      <c r="L746">
        <f t="shared" si="1641"/>
        <v>0</v>
      </c>
      <c r="M746">
        <f t="shared" si="1641"/>
        <v>0</v>
      </c>
      <c r="N746">
        <f t="shared" si="1641"/>
        <v>0</v>
      </c>
      <c r="O746">
        <f t="shared" si="1641"/>
        <v>0</v>
      </c>
    </row>
    <row r="747" spans="1:26" x14ac:dyDescent="0.4">
      <c r="A747" s="11"/>
      <c r="B747" s="11"/>
      <c r="C747" s="62" t="s">
        <v>536</v>
      </c>
      <c r="D747" s="11">
        <f>IFERROR(1/(D743/D745+D744/D746),D745)</f>
        <v>7</v>
      </c>
      <c r="E747" s="11">
        <f t="shared" ref="E747:O747" si="1642">IFERROR(1/(E743/E745+E744/E746),E745)</f>
        <v>7</v>
      </c>
      <c r="F747" s="11">
        <f t="shared" si="1642"/>
        <v>7</v>
      </c>
      <c r="G747" s="11">
        <f t="shared" si="1642"/>
        <v>7</v>
      </c>
      <c r="H747" s="11">
        <f t="shared" si="1642"/>
        <v>7</v>
      </c>
      <c r="I747" s="11">
        <f t="shared" si="1642"/>
        <v>7</v>
      </c>
      <c r="J747" s="11">
        <f t="shared" si="1642"/>
        <v>7</v>
      </c>
      <c r="K747" s="11">
        <f t="shared" si="1642"/>
        <v>7</v>
      </c>
      <c r="L747" s="11">
        <f t="shared" si="1642"/>
        <v>7</v>
      </c>
      <c r="M747" s="11">
        <f t="shared" si="1642"/>
        <v>7</v>
      </c>
      <c r="N747" s="11">
        <f t="shared" si="1642"/>
        <v>7</v>
      </c>
      <c r="O747" s="11">
        <f t="shared" si="1642"/>
        <v>7</v>
      </c>
      <c r="P747" s="11"/>
      <c r="Q747" s="11"/>
      <c r="R747" s="11"/>
      <c r="S747" s="11"/>
      <c r="T747" s="11"/>
      <c r="U747" s="11"/>
      <c r="V747" s="11"/>
      <c r="W747" s="11"/>
      <c r="X747" s="11"/>
      <c r="Y747" s="11"/>
      <c r="Z747" s="11"/>
    </row>
    <row r="748" spans="1:26" x14ac:dyDescent="0.4">
      <c r="A748" t="str" cm="1">
        <f t="array" ref="A748">INDEX(FX_Input,R748,S748)</f>
        <v>FX - 54</v>
      </c>
      <c r="B748" t="str" cm="1">
        <f t="array" ref="B748">INDEX(FX_Input,R748,T748)</f>
        <v>Portland</v>
      </c>
      <c r="C748" t="s">
        <v>528</v>
      </c>
      <c r="D748" t="str" cm="1">
        <f t="array" ref="D748">INDEX(FX_Input,$R748,$Y748*D$5+$Z748)</f>
        <v>Jet kerosene</v>
      </c>
      <c r="E748" t="str" cm="1">
        <f t="array" ref="E748">INDEX(FX_Input,$R748,$Y748*E$5+$Z748)</f>
        <v>Jet kerosene</v>
      </c>
      <c r="F748" t="str" cm="1">
        <f t="array" ref="F748">INDEX(FX_Input,$R748,$Y748*F$5+$Z748)</f>
        <v>Jet kerosene</v>
      </c>
      <c r="G748" t="str" cm="1">
        <f t="array" ref="G748">INDEX(FX_Input,$R748,$Y748*G$5+$Z748)</f>
        <v>Jet kerosene</v>
      </c>
      <c r="H748" t="str" cm="1">
        <f t="array" ref="H748">INDEX(FX_Input,$R748,$Y748*H$5+$Z748)</f>
        <v>Jet kerosene</v>
      </c>
      <c r="I748" t="str" cm="1">
        <f t="array" ref="I748">INDEX(FX_Input,$R748,$Y748*I$5+$Z748)</f>
        <v>Jet kerosene</v>
      </c>
      <c r="J748" t="str" cm="1">
        <f t="array" ref="J748">INDEX(FX_Input,$R748,$Y748*J$5+$Z748)</f>
        <v>Jet kerosene</v>
      </c>
      <c r="K748" t="str" cm="1">
        <f t="array" ref="K748">INDEX(FX_Input,$R748,$Y748*K$5+$Z748)</f>
        <v>Jet kerosene</v>
      </c>
      <c r="L748" t="str" cm="1">
        <f t="array" ref="L748">INDEX(FX_Input,$R748,$Y748*L$5+$Z748)</f>
        <v>Jet kerosene</v>
      </c>
      <c r="M748" t="str" cm="1">
        <f t="array" ref="M748">INDEX(FX_Input,$R748,$Y748*M$5+$Z748)</f>
        <v>Jet kerosene</v>
      </c>
      <c r="N748" t="str" cm="1">
        <f t="array" ref="N748">INDEX(FX_Input,$R748,$Y748*N$5+$Z748)</f>
        <v>Jet kerosene</v>
      </c>
      <c r="O748" t="str" cm="1">
        <f t="array" ref="O748">INDEX(FX_Input,$R748,$Y748*O$5+$Z748)</f>
        <v>Jet kerosene</v>
      </c>
      <c r="R748">
        <f>R734+2</f>
        <v>107</v>
      </c>
      <c r="S748">
        <v>1</v>
      </c>
      <c r="T748">
        <v>3</v>
      </c>
      <c r="U748">
        <v>17</v>
      </c>
      <c r="V748">
        <f>U748+5</f>
        <v>22</v>
      </c>
      <c r="W748">
        <v>1</v>
      </c>
      <c r="X748">
        <v>2</v>
      </c>
      <c r="Y748">
        <f t="shared" ref="Y748:Y753" si="1643">(V748-U748)/(X748-W748)</f>
        <v>5</v>
      </c>
      <c r="Z748">
        <f t="shared" ref="Z748:Z753" si="1644">U748-Y748*W748</f>
        <v>12</v>
      </c>
    </row>
    <row r="749" spans="1:26" x14ac:dyDescent="0.4">
      <c r="C749" t="s">
        <v>529</v>
      </c>
      <c r="D749" cm="1">
        <f t="array" ref="D749">INDEX(FX_Input,$R749,$Y749*D$5+$Z749)</f>
        <v>0</v>
      </c>
      <c r="E749" cm="1">
        <f t="array" ref="E749">INDEX(FX_Input,$R749,$Y749*E$5+$Z749)</f>
        <v>0</v>
      </c>
      <c r="F749" cm="1">
        <f t="array" ref="F749">INDEX(FX_Input,$R749,$Y749*F$5+$Z749)</f>
        <v>0</v>
      </c>
      <c r="G749" cm="1">
        <f t="array" ref="G749">INDEX(FX_Input,$R749,$Y749*G$5+$Z749)</f>
        <v>0</v>
      </c>
      <c r="H749" cm="1">
        <f t="array" ref="H749">INDEX(FX_Input,$R749,$Y749*H$5+$Z749)</f>
        <v>0</v>
      </c>
      <c r="I749" cm="1">
        <f t="array" ref="I749">INDEX(FX_Input,$R749,$Y749*I$5+$Z749)</f>
        <v>0</v>
      </c>
      <c r="J749" cm="1">
        <f t="array" ref="J749">INDEX(FX_Input,$R749,$Y749*J$5+$Z749)</f>
        <v>0</v>
      </c>
      <c r="K749" cm="1">
        <f t="array" ref="K749">INDEX(FX_Input,$R749,$Y749*K$5+$Z749)</f>
        <v>0</v>
      </c>
      <c r="L749" cm="1">
        <f t="array" ref="L749">INDEX(FX_Input,$R749,$Y749*L$5+$Z749)</f>
        <v>0</v>
      </c>
      <c r="M749" cm="1">
        <f t="array" ref="M749">INDEX(FX_Input,$R749,$Y749*M$5+$Z749)</f>
        <v>0</v>
      </c>
      <c r="N749" cm="1">
        <f t="array" ref="N749">INDEX(FX_Input,$R749,$Y749*N$5+$Z749)</f>
        <v>0</v>
      </c>
      <c r="O749" cm="1">
        <f t="array" ref="O749">INDEX(FX_Input,$R749,$Y749*O$5+$Z749)</f>
        <v>0</v>
      </c>
      <c r="R749">
        <f>R748+1</f>
        <v>108</v>
      </c>
      <c r="U749">
        <f>U748</f>
        <v>17</v>
      </c>
      <c r="V749">
        <f t="shared" ref="V749:V753" si="1645">U749+5</f>
        <v>22</v>
      </c>
      <c r="W749">
        <v>1</v>
      </c>
      <c r="X749">
        <v>2</v>
      </c>
      <c r="Y749">
        <f t="shared" si="1643"/>
        <v>5</v>
      </c>
      <c r="Z749">
        <f t="shared" si="1644"/>
        <v>12</v>
      </c>
    </row>
    <row r="750" spans="1:26" x14ac:dyDescent="0.4">
      <c r="C750" t="s">
        <v>530</v>
      </c>
      <c r="D750" t="str" cm="1">
        <f t="array" ref="D750">INDEX(FX_Input,$R750,$Y750*D$5+$Z750)</f>
        <v>Select Pet Stock</v>
      </c>
      <c r="E750" t="str" cm="1">
        <f t="array" ref="E750">INDEX(FX_Input,$R750,$Y750*E$5+$Z750)</f>
        <v>Select Pet Stock</v>
      </c>
      <c r="F750" t="str" cm="1">
        <f t="array" ref="F750">INDEX(FX_Input,$R750,$Y750*F$5+$Z750)</f>
        <v>Select Pet Stock</v>
      </c>
      <c r="G750" t="str" cm="1">
        <f t="array" ref="G750">INDEX(FX_Input,$R750,$Y750*G$5+$Z750)</f>
        <v>Select Pet Stock</v>
      </c>
      <c r="H750" t="str" cm="1">
        <f t="array" ref="H750">INDEX(FX_Input,$R750,$Y750*H$5+$Z750)</f>
        <v>Select Pet Stock</v>
      </c>
      <c r="I750" t="str" cm="1">
        <f t="array" ref="I750">INDEX(FX_Input,$R750,$Y750*I$5+$Z750)</f>
        <v>Select Pet Stock</v>
      </c>
      <c r="J750" t="str" cm="1">
        <f t="array" ref="J750">INDEX(FX_Input,$R750,$Y750*J$5+$Z750)</f>
        <v>Select Pet Stock</v>
      </c>
      <c r="K750" t="str" cm="1">
        <f t="array" ref="K750">INDEX(FX_Input,$R750,$Y750*K$5+$Z750)</f>
        <v>Select Pet Stock</v>
      </c>
      <c r="L750" t="str" cm="1">
        <f t="array" ref="L750">INDEX(FX_Input,$R750,$Y750*L$5+$Z750)</f>
        <v>Select Pet Stock</v>
      </c>
      <c r="M750" t="str" cm="1">
        <f t="array" ref="M750">INDEX(FX_Input,$R750,$Y750*M$5+$Z750)</f>
        <v>Select Pet Stock</v>
      </c>
      <c r="N750" t="str" cm="1">
        <f t="array" ref="N750">INDEX(FX_Input,$R750,$Y750*N$5+$Z750)</f>
        <v>Select Pet Stock</v>
      </c>
      <c r="O750" t="str" cm="1">
        <f t="array" ref="O750">INDEX(FX_Input,$R750,$Y750*O$5+$Z750)</f>
        <v>Select Pet Stock</v>
      </c>
      <c r="R750">
        <f>R748</f>
        <v>107</v>
      </c>
      <c r="U750">
        <v>18</v>
      </c>
      <c r="V750">
        <f t="shared" si="1645"/>
        <v>23</v>
      </c>
      <c r="W750">
        <v>1</v>
      </c>
      <c r="X750">
        <v>2</v>
      </c>
      <c r="Y750">
        <f t="shared" si="1643"/>
        <v>5</v>
      </c>
      <c r="Z750">
        <f t="shared" si="1644"/>
        <v>13</v>
      </c>
    </row>
    <row r="751" spans="1:26" x14ac:dyDescent="0.4">
      <c r="C751" t="s">
        <v>531</v>
      </c>
      <c r="D751" cm="1">
        <f t="array" ref="D751">INDEX(FX_Input,$R751,$Y751*D$5+$Z751)</f>
        <v>0</v>
      </c>
      <c r="E751" cm="1">
        <f t="array" ref="E751">INDEX(FX_Input,$R751,$Y751*E$5+$Z751)</f>
        <v>0</v>
      </c>
      <c r="F751" cm="1">
        <f t="array" ref="F751">INDEX(FX_Input,$R751,$Y751*F$5+$Z751)</f>
        <v>0</v>
      </c>
      <c r="G751" cm="1">
        <f t="array" ref="G751">INDEX(FX_Input,$R751,$Y751*G$5+$Z751)</f>
        <v>0</v>
      </c>
      <c r="H751" cm="1">
        <f t="array" ref="H751">INDEX(FX_Input,$R751,$Y751*H$5+$Z751)</f>
        <v>0</v>
      </c>
      <c r="I751" cm="1">
        <f t="array" ref="I751">INDEX(FX_Input,$R751,$Y751*I$5+$Z751)</f>
        <v>0</v>
      </c>
      <c r="J751" cm="1">
        <f t="array" ref="J751">INDEX(FX_Input,$R751,$Y751*J$5+$Z751)</f>
        <v>0</v>
      </c>
      <c r="K751" cm="1">
        <f t="array" ref="K751">INDEX(FX_Input,$R751,$Y751*K$5+$Z751)</f>
        <v>0</v>
      </c>
      <c r="L751" cm="1">
        <f t="array" ref="L751">INDEX(FX_Input,$R751,$Y751*L$5+$Z751)</f>
        <v>0</v>
      </c>
      <c r="M751" cm="1">
        <f t="array" ref="M751">INDEX(FX_Input,$R751,$Y751*M$5+$Z751)</f>
        <v>0</v>
      </c>
      <c r="N751" cm="1">
        <f t="array" ref="N751">INDEX(FX_Input,$R751,$Y751*N$5+$Z751)</f>
        <v>0</v>
      </c>
      <c r="O751" cm="1">
        <f t="array" ref="O751">INDEX(FX_Input,$R751,$Y751*O$5+$Z751)</f>
        <v>0</v>
      </c>
      <c r="R751">
        <f>R749</f>
        <v>108</v>
      </c>
      <c r="U751">
        <f>U750</f>
        <v>18</v>
      </c>
      <c r="V751">
        <f t="shared" si="1645"/>
        <v>23</v>
      </c>
      <c r="W751">
        <v>1</v>
      </c>
      <c r="X751">
        <v>2</v>
      </c>
      <c r="Y751">
        <f t="shared" si="1643"/>
        <v>5</v>
      </c>
      <c r="Z751">
        <f t="shared" si="1644"/>
        <v>13</v>
      </c>
    </row>
    <row r="752" spans="1:26" x14ac:dyDescent="0.4">
      <c r="C752" t="s">
        <v>546</v>
      </c>
      <c r="D752" cm="1">
        <f t="array" ref="D752">INDEX(FX_Input,$R752,$Y752*D$5+$Z752)</f>
        <v>1</v>
      </c>
      <c r="E752" cm="1">
        <f t="array" ref="E752">INDEX(FX_Input,$R752,$Y752*E$5+$Z752)</f>
        <v>1</v>
      </c>
      <c r="F752" cm="1">
        <f t="array" ref="F752">INDEX(FX_Input,$R752,$Y752*F$5+$Z752)</f>
        <v>1</v>
      </c>
      <c r="G752" cm="1">
        <f t="array" ref="G752">INDEX(FX_Input,$R752,$Y752*G$5+$Z752)</f>
        <v>1</v>
      </c>
      <c r="H752" cm="1">
        <f t="array" ref="H752">INDEX(FX_Input,$R752,$Y752*H$5+$Z752)</f>
        <v>1</v>
      </c>
      <c r="I752" cm="1">
        <f t="array" ref="I752">INDEX(FX_Input,$R752,$Y752*I$5+$Z752)</f>
        <v>1</v>
      </c>
      <c r="J752" cm="1">
        <f t="array" ref="J752">INDEX(FX_Input,$R752,$Y752*J$5+$Z752)</f>
        <v>1</v>
      </c>
      <c r="K752" cm="1">
        <f t="array" ref="K752">INDEX(FX_Input,$R752,$Y752*K$5+$Z752)</f>
        <v>1</v>
      </c>
      <c r="L752" cm="1">
        <f t="array" ref="L752">INDEX(FX_Input,$R752,$Y752*L$5+$Z752)</f>
        <v>1</v>
      </c>
      <c r="M752" cm="1">
        <f t="array" ref="M752">INDEX(FX_Input,$R752,$Y752*M$5+$Z752)</f>
        <v>1</v>
      </c>
      <c r="N752" cm="1">
        <f t="array" ref="N752">INDEX(FX_Input,$R752,$Y752*N$5+$Z752)</f>
        <v>1</v>
      </c>
      <c r="O752" cm="1">
        <f t="array" ref="O752">INDEX(FX_Input,$R752,$Y752*O$5+$Z752)</f>
        <v>1</v>
      </c>
      <c r="R752">
        <f>R750</f>
        <v>107</v>
      </c>
      <c r="U752">
        <v>21</v>
      </c>
      <c r="V752">
        <f t="shared" si="1645"/>
        <v>26</v>
      </c>
      <c r="W752">
        <v>1</v>
      </c>
      <c r="X752">
        <v>2</v>
      </c>
      <c r="Y752">
        <f t="shared" si="1643"/>
        <v>5</v>
      </c>
      <c r="Z752">
        <f t="shared" si="1644"/>
        <v>16</v>
      </c>
    </row>
    <row r="753" spans="1:26" x14ac:dyDescent="0.4">
      <c r="C753" t="s">
        <v>547</v>
      </c>
      <c r="D753" cm="1">
        <f t="array" ref="D753">INDEX(FX_Input,$R753,$Y753*D$5+$Z753)</f>
        <v>0</v>
      </c>
      <c r="E753" cm="1">
        <f t="array" ref="E753">INDEX(FX_Input,$R753,$Y753*E$5+$Z753)</f>
        <v>0</v>
      </c>
      <c r="F753" cm="1">
        <f t="array" ref="F753">INDEX(FX_Input,$R753,$Y753*F$5+$Z753)</f>
        <v>0</v>
      </c>
      <c r="G753" cm="1">
        <f t="array" ref="G753">INDEX(FX_Input,$R753,$Y753*G$5+$Z753)</f>
        <v>0</v>
      </c>
      <c r="H753" cm="1">
        <f t="array" ref="H753">INDEX(FX_Input,$R753,$Y753*H$5+$Z753)</f>
        <v>0</v>
      </c>
      <c r="I753" cm="1">
        <f t="array" ref="I753">INDEX(FX_Input,$R753,$Y753*I$5+$Z753)</f>
        <v>0</v>
      </c>
      <c r="J753" cm="1">
        <f t="array" ref="J753">INDEX(FX_Input,$R753,$Y753*J$5+$Z753)</f>
        <v>0</v>
      </c>
      <c r="K753" cm="1">
        <f t="array" ref="K753">INDEX(FX_Input,$R753,$Y753*K$5+$Z753)</f>
        <v>0</v>
      </c>
      <c r="L753" cm="1">
        <f t="array" ref="L753">INDEX(FX_Input,$R753,$Y753*L$5+$Z753)</f>
        <v>0</v>
      </c>
      <c r="M753" cm="1">
        <f t="array" ref="M753">INDEX(FX_Input,$R753,$Y753*M$5+$Z753)</f>
        <v>0</v>
      </c>
      <c r="N753" cm="1">
        <f t="array" ref="N753">INDEX(FX_Input,$R753,$Y753*N$5+$Z753)</f>
        <v>0</v>
      </c>
      <c r="O753" cm="1">
        <f t="array" ref="O753">INDEX(FX_Input,$R753,$Y753*O$5+$Z753)</f>
        <v>0</v>
      </c>
      <c r="R753">
        <f>R751</f>
        <v>108</v>
      </c>
      <c r="U753">
        <f>U752</f>
        <v>21</v>
      </c>
      <c r="V753">
        <f t="shared" si="1645"/>
        <v>26</v>
      </c>
      <c r="W753">
        <v>1</v>
      </c>
      <c r="X753">
        <v>2</v>
      </c>
      <c r="Y753">
        <f t="shared" si="1643"/>
        <v>5</v>
      </c>
      <c r="Z753">
        <f t="shared" si="1644"/>
        <v>16</v>
      </c>
    </row>
    <row r="754" spans="1:26" x14ac:dyDescent="0.4">
      <c r="C754" t="s">
        <v>532</v>
      </c>
      <c r="D754">
        <f t="shared" ref="D754:O754" si="1646">IFERROR(VLOOKUP(D748,Phys_Prop,2,FALSE),0)</f>
        <v>162</v>
      </c>
      <c r="E754">
        <f t="shared" si="1646"/>
        <v>162</v>
      </c>
      <c r="F754">
        <f t="shared" si="1646"/>
        <v>162</v>
      </c>
      <c r="G754">
        <f t="shared" si="1646"/>
        <v>162</v>
      </c>
      <c r="H754">
        <f t="shared" si="1646"/>
        <v>162</v>
      </c>
      <c r="I754">
        <f t="shared" si="1646"/>
        <v>162</v>
      </c>
      <c r="J754">
        <f t="shared" si="1646"/>
        <v>162</v>
      </c>
      <c r="K754">
        <f t="shared" si="1646"/>
        <v>162</v>
      </c>
      <c r="L754">
        <f t="shared" si="1646"/>
        <v>162</v>
      </c>
      <c r="M754">
        <f t="shared" si="1646"/>
        <v>162</v>
      </c>
      <c r="N754">
        <f t="shared" si="1646"/>
        <v>162</v>
      </c>
      <c r="O754">
        <f t="shared" si="1646"/>
        <v>162</v>
      </c>
    </row>
    <row r="755" spans="1:26" x14ac:dyDescent="0.4">
      <c r="C755" t="s">
        <v>533</v>
      </c>
      <c r="D755">
        <f t="shared" ref="D755:O755" si="1647">IFERROR(VLOOKUP(D749,Phys_Prop,2,FALSE),0)</f>
        <v>0</v>
      </c>
      <c r="E755">
        <f t="shared" si="1647"/>
        <v>0</v>
      </c>
      <c r="F755">
        <f t="shared" si="1647"/>
        <v>0</v>
      </c>
      <c r="G755">
        <f t="shared" si="1647"/>
        <v>0</v>
      </c>
      <c r="H755">
        <f t="shared" si="1647"/>
        <v>0</v>
      </c>
      <c r="I755">
        <f t="shared" si="1647"/>
        <v>0</v>
      </c>
      <c r="J755">
        <f t="shared" si="1647"/>
        <v>0</v>
      </c>
      <c r="K755">
        <f t="shared" si="1647"/>
        <v>0</v>
      </c>
      <c r="L755">
        <f t="shared" si="1647"/>
        <v>0</v>
      </c>
      <c r="M755">
        <f t="shared" si="1647"/>
        <v>0</v>
      </c>
      <c r="N755">
        <f t="shared" si="1647"/>
        <v>0</v>
      </c>
      <c r="O755">
        <f t="shared" si="1647"/>
        <v>0</v>
      </c>
    </row>
    <row r="756" spans="1:26" x14ac:dyDescent="0.4">
      <c r="C756" t="s">
        <v>544</v>
      </c>
      <c r="D756">
        <f>IFERROR(IFERROR(D754/D752+D755/D753,D754/D752),0)</f>
        <v>162</v>
      </c>
      <c r="E756">
        <f t="shared" ref="E756" si="1648">IFERROR(IFERROR(E754/E752+E755/E753,E754/E752),0)</f>
        <v>162</v>
      </c>
      <c r="F756">
        <f t="shared" ref="F756" si="1649">IFERROR(IFERROR(F754/F752+F755/F753,F754/F752),0)</f>
        <v>162</v>
      </c>
      <c r="G756">
        <f t="shared" ref="G756" si="1650">IFERROR(IFERROR(G754/G752+G755/G753,G754/G752),0)</f>
        <v>162</v>
      </c>
      <c r="H756">
        <f t="shared" ref="H756" si="1651">IFERROR(IFERROR(H754/H752+H755/H753,H754/H752),0)</f>
        <v>162</v>
      </c>
      <c r="I756">
        <f t="shared" ref="I756" si="1652">IFERROR(IFERROR(I754/I752+I755/I753,I754/I752),0)</f>
        <v>162</v>
      </c>
      <c r="J756">
        <f t="shared" ref="J756" si="1653">IFERROR(IFERROR(J754/J752+J755/J753,J754/J752),0)</f>
        <v>162</v>
      </c>
      <c r="K756">
        <f t="shared" ref="K756" si="1654">IFERROR(IFERROR(K754/K752+K755/K753,K754/K752),0)</f>
        <v>162</v>
      </c>
      <c r="L756">
        <f t="shared" ref="L756" si="1655">IFERROR(IFERROR(L754/L752+L755/L753,L754/L752),0)</f>
        <v>162</v>
      </c>
      <c r="M756">
        <f t="shared" ref="M756" si="1656">IFERROR(IFERROR(M754/M752+M755/M753,M754/M752),0)</f>
        <v>162</v>
      </c>
      <c r="N756">
        <f t="shared" ref="N756" si="1657">IFERROR(IFERROR(N754/N752+N755/N753,N754/N752),0)</f>
        <v>162</v>
      </c>
      <c r="O756">
        <f t="shared" ref="O756" si="1658">IFERROR(IFERROR(O754/O752+O755/O753,O754/O752),0)</f>
        <v>162</v>
      </c>
    </row>
    <row r="757" spans="1:26" x14ac:dyDescent="0.4">
      <c r="C757" t="s">
        <v>539</v>
      </c>
      <c r="D757">
        <f>IFERROR((D752/D754)*D756,1)</f>
        <v>1</v>
      </c>
      <c r="E757">
        <f t="shared" ref="E757" si="1659">IFERROR((E752/E754)*E756,1)</f>
        <v>1</v>
      </c>
      <c r="F757">
        <f t="shared" ref="F757" si="1660">IFERROR((F752/F754)*F756,1)</f>
        <v>1</v>
      </c>
      <c r="G757">
        <f t="shared" ref="G757" si="1661">IFERROR((G752/G754)*G756,1)</f>
        <v>1</v>
      </c>
      <c r="H757">
        <f t="shared" ref="H757" si="1662">IFERROR((H752/H754)*H756,1)</f>
        <v>1</v>
      </c>
      <c r="I757">
        <f t="shared" ref="I757" si="1663">IFERROR((I752/I754)*I756,1)</f>
        <v>1</v>
      </c>
      <c r="J757">
        <f t="shared" ref="J757" si="1664">IFERROR((J752/J754)*J756,1)</f>
        <v>1</v>
      </c>
      <c r="K757">
        <f t="shared" ref="K757" si="1665">IFERROR((K752/K754)*K756,1)</f>
        <v>1</v>
      </c>
      <c r="L757">
        <f t="shared" ref="L757" si="1666">IFERROR((L752/L754)*L756,1)</f>
        <v>1</v>
      </c>
      <c r="M757">
        <f t="shared" ref="M757" si="1667">IFERROR((M752/M754)*M756,1)</f>
        <v>1</v>
      </c>
      <c r="N757">
        <f t="shared" ref="N757" si="1668">IFERROR((N752/N754)*N756,1)</f>
        <v>1</v>
      </c>
      <c r="O757">
        <f t="shared" ref="O757" si="1669">IFERROR((O752/O754)*O756,1)</f>
        <v>1</v>
      </c>
    </row>
    <row r="758" spans="1:26" x14ac:dyDescent="0.4">
      <c r="C758" t="s">
        <v>540</v>
      </c>
      <c r="D758">
        <f>IFERROR((D753/D755)*D756,0)</f>
        <v>0</v>
      </c>
      <c r="E758">
        <f t="shared" ref="E758:O758" si="1670">IFERROR((E753/E755)*E756,0)</f>
        <v>0</v>
      </c>
      <c r="F758">
        <f t="shared" si="1670"/>
        <v>0</v>
      </c>
      <c r="G758">
        <f t="shared" si="1670"/>
        <v>0</v>
      </c>
      <c r="H758">
        <f t="shared" si="1670"/>
        <v>0</v>
      </c>
      <c r="I758">
        <f t="shared" si="1670"/>
        <v>0</v>
      </c>
      <c r="J758">
        <f t="shared" si="1670"/>
        <v>0</v>
      </c>
      <c r="K758">
        <f t="shared" si="1670"/>
        <v>0</v>
      </c>
      <c r="L758">
        <f t="shared" si="1670"/>
        <v>0</v>
      </c>
      <c r="M758">
        <f t="shared" si="1670"/>
        <v>0</v>
      </c>
      <c r="N758">
        <f t="shared" si="1670"/>
        <v>0</v>
      </c>
      <c r="O758">
        <f t="shared" si="1670"/>
        <v>0</v>
      </c>
    </row>
    <row r="759" spans="1:26" x14ac:dyDescent="0.4">
      <c r="C759" s="21" t="s">
        <v>534</v>
      </c>
      <c r="D759">
        <f t="shared" ref="D759:O759" si="1671">IFERROR(VLOOKUP(D748,Phys_Prop,4,FALSE),0)</f>
        <v>7</v>
      </c>
      <c r="E759">
        <f t="shared" si="1671"/>
        <v>7</v>
      </c>
      <c r="F759">
        <f t="shared" si="1671"/>
        <v>7</v>
      </c>
      <c r="G759">
        <f t="shared" si="1671"/>
        <v>7</v>
      </c>
      <c r="H759">
        <f t="shared" si="1671"/>
        <v>7</v>
      </c>
      <c r="I759">
        <f t="shared" si="1671"/>
        <v>7</v>
      </c>
      <c r="J759">
        <f t="shared" si="1671"/>
        <v>7</v>
      </c>
      <c r="K759">
        <f t="shared" si="1671"/>
        <v>7</v>
      </c>
      <c r="L759">
        <f t="shared" si="1671"/>
        <v>7</v>
      </c>
      <c r="M759">
        <f t="shared" si="1671"/>
        <v>7</v>
      </c>
      <c r="N759">
        <f t="shared" si="1671"/>
        <v>7</v>
      </c>
      <c r="O759">
        <f t="shared" si="1671"/>
        <v>7</v>
      </c>
    </row>
    <row r="760" spans="1:26" x14ac:dyDescent="0.4">
      <c r="C760" s="21" t="s">
        <v>535</v>
      </c>
      <c r="D760">
        <f t="shared" ref="D760:O760" si="1672">IFERROR(VLOOKUP(D749,Phys_Prop,4,FALSE),0)</f>
        <v>0</v>
      </c>
      <c r="E760">
        <f t="shared" si="1672"/>
        <v>0</v>
      </c>
      <c r="F760">
        <f t="shared" si="1672"/>
        <v>0</v>
      </c>
      <c r="G760">
        <f t="shared" si="1672"/>
        <v>0</v>
      </c>
      <c r="H760">
        <f t="shared" si="1672"/>
        <v>0</v>
      </c>
      <c r="I760">
        <f t="shared" si="1672"/>
        <v>0</v>
      </c>
      <c r="J760">
        <f t="shared" si="1672"/>
        <v>0</v>
      </c>
      <c r="K760">
        <f t="shared" si="1672"/>
        <v>0</v>
      </c>
      <c r="L760">
        <f t="shared" si="1672"/>
        <v>0</v>
      </c>
      <c r="M760">
        <f t="shared" si="1672"/>
        <v>0</v>
      </c>
      <c r="N760">
        <f t="shared" si="1672"/>
        <v>0</v>
      </c>
      <c r="O760">
        <f t="shared" si="1672"/>
        <v>0</v>
      </c>
    </row>
    <row r="761" spans="1:26" x14ac:dyDescent="0.4">
      <c r="A761" s="11"/>
      <c r="B761" s="11"/>
      <c r="C761" s="62" t="s">
        <v>536</v>
      </c>
      <c r="D761" s="11">
        <f>IFERROR(1/(D757/D759+D758/D760),D759)</f>
        <v>7</v>
      </c>
      <c r="E761" s="11">
        <f t="shared" ref="E761:O761" si="1673">IFERROR(1/(E757/E759+E758/E760),E759)</f>
        <v>7</v>
      </c>
      <c r="F761" s="11">
        <f t="shared" si="1673"/>
        <v>7</v>
      </c>
      <c r="G761" s="11">
        <f t="shared" si="1673"/>
        <v>7</v>
      </c>
      <c r="H761" s="11">
        <f t="shared" si="1673"/>
        <v>7</v>
      </c>
      <c r="I761" s="11">
        <f t="shared" si="1673"/>
        <v>7</v>
      </c>
      <c r="J761" s="11">
        <f t="shared" si="1673"/>
        <v>7</v>
      </c>
      <c r="K761" s="11">
        <f t="shared" si="1673"/>
        <v>7</v>
      </c>
      <c r="L761" s="11">
        <f t="shared" si="1673"/>
        <v>7</v>
      </c>
      <c r="M761" s="11">
        <f t="shared" si="1673"/>
        <v>7</v>
      </c>
      <c r="N761" s="11">
        <f t="shared" si="1673"/>
        <v>7</v>
      </c>
      <c r="O761" s="11">
        <f t="shared" si="1673"/>
        <v>7</v>
      </c>
      <c r="P761" s="11"/>
      <c r="Q761" s="11"/>
      <c r="R761" s="11"/>
      <c r="S761" s="11"/>
      <c r="T761" s="11"/>
      <c r="U761" s="11"/>
      <c r="V761" s="11"/>
      <c r="W761" s="11"/>
      <c r="X761" s="11"/>
      <c r="Y761" s="11"/>
      <c r="Z761" s="11"/>
    </row>
    <row r="762" spans="1:26" x14ac:dyDescent="0.4">
      <c r="A762" t="str" cm="1">
        <f t="array" ref="A762">INDEX(FX_Input,R762,S762)</f>
        <v>FX - 55</v>
      </c>
      <c r="B762" t="str" cm="1">
        <f t="array" ref="B762">INDEX(FX_Input,R762,T762)</f>
        <v>Portland</v>
      </c>
      <c r="C762" t="s">
        <v>528</v>
      </c>
      <c r="D762" t="str" cm="1">
        <f t="array" ref="D762">INDEX(FX_Input,$R762,$Y762*D$5+$Z762)</f>
        <v>Jet kerosene</v>
      </c>
      <c r="E762" t="str" cm="1">
        <f t="array" ref="E762">INDEX(FX_Input,$R762,$Y762*E$5+$Z762)</f>
        <v>Jet kerosene</v>
      </c>
      <c r="F762" t="str" cm="1">
        <f t="array" ref="F762">INDEX(FX_Input,$R762,$Y762*F$5+$Z762)</f>
        <v>Jet kerosene</v>
      </c>
      <c r="G762" t="str" cm="1">
        <f t="array" ref="G762">INDEX(FX_Input,$R762,$Y762*G$5+$Z762)</f>
        <v>Jet kerosene</v>
      </c>
      <c r="H762" t="str" cm="1">
        <f t="array" ref="H762">INDEX(FX_Input,$R762,$Y762*H$5+$Z762)</f>
        <v>Jet kerosene</v>
      </c>
      <c r="I762" t="str" cm="1">
        <f t="array" ref="I762">INDEX(FX_Input,$R762,$Y762*I$5+$Z762)</f>
        <v>Jet kerosene</v>
      </c>
      <c r="J762" t="str" cm="1">
        <f t="array" ref="J762">INDEX(FX_Input,$R762,$Y762*J$5+$Z762)</f>
        <v>Jet kerosene</v>
      </c>
      <c r="K762" t="str" cm="1">
        <f t="array" ref="K762">INDEX(FX_Input,$R762,$Y762*K$5+$Z762)</f>
        <v>Jet kerosene</v>
      </c>
      <c r="L762" t="str" cm="1">
        <f t="array" ref="L762">INDEX(FX_Input,$R762,$Y762*L$5+$Z762)</f>
        <v>Jet kerosene</v>
      </c>
      <c r="M762" t="str" cm="1">
        <f t="array" ref="M762">INDEX(FX_Input,$R762,$Y762*M$5+$Z762)</f>
        <v>Jet kerosene</v>
      </c>
      <c r="N762" t="str" cm="1">
        <f t="array" ref="N762">INDEX(FX_Input,$R762,$Y762*N$5+$Z762)</f>
        <v>Jet kerosene</v>
      </c>
      <c r="O762" t="str" cm="1">
        <f t="array" ref="O762">INDEX(FX_Input,$R762,$Y762*O$5+$Z762)</f>
        <v>Jet kerosene</v>
      </c>
      <c r="R762">
        <f>R748+2</f>
        <v>109</v>
      </c>
      <c r="S762">
        <v>1</v>
      </c>
      <c r="T762">
        <v>3</v>
      </c>
      <c r="U762">
        <v>17</v>
      </c>
      <c r="V762">
        <f>U762+5</f>
        <v>22</v>
      </c>
      <c r="W762">
        <v>1</v>
      </c>
      <c r="X762">
        <v>2</v>
      </c>
      <c r="Y762">
        <f t="shared" ref="Y762:Y767" si="1674">(V762-U762)/(X762-W762)</f>
        <v>5</v>
      </c>
      <c r="Z762">
        <f t="shared" ref="Z762:Z767" si="1675">U762-Y762*W762</f>
        <v>12</v>
      </c>
    </row>
    <row r="763" spans="1:26" x14ac:dyDescent="0.4">
      <c r="C763" t="s">
        <v>529</v>
      </c>
      <c r="D763" cm="1">
        <f t="array" ref="D763">INDEX(FX_Input,$R763,$Y763*D$5+$Z763)</f>
        <v>0</v>
      </c>
      <c r="E763" cm="1">
        <f t="array" ref="E763">INDEX(FX_Input,$R763,$Y763*E$5+$Z763)</f>
        <v>0</v>
      </c>
      <c r="F763" cm="1">
        <f t="array" ref="F763">INDEX(FX_Input,$R763,$Y763*F$5+$Z763)</f>
        <v>0</v>
      </c>
      <c r="G763" cm="1">
        <f t="array" ref="G763">INDEX(FX_Input,$R763,$Y763*G$5+$Z763)</f>
        <v>0</v>
      </c>
      <c r="H763" cm="1">
        <f t="array" ref="H763">INDEX(FX_Input,$R763,$Y763*H$5+$Z763)</f>
        <v>0</v>
      </c>
      <c r="I763" cm="1">
        <f t="array" ref="I763">INDEX(FX_Input,$R763,$Y763*I$5+$Z763)</f>
        <v>0</v>
      </c>
      <c r="J763" cm="1">
        <f t="array" ref="J763">INDEX(FX_Input,$R763,$Y763*J$5+$Z763)</f>
        <v>0</v>
      </c>
      <c r="K763" cm="1">
        <f t="array" ref="K763">INDEX(FX_Input,$R763,$Y763*K$5+$Z763)</f>
        <v>0</v>
      </c>
      <c r="L763" cm="1">
        <f t="array" ref="L763">INDEX(FX_Input,$R763,$Y763*L$5+$Z763)</f>
        <v>0</v>
      </c>
      <c r="M763" cm="1">
        <f t="array" ref="M763">INDEX(FX_Input,$R763,$Y763*M$5+$Z763)</f>
        <v>0</v>
      </c>
      <c r="N763" cm="1">
        <f t="array" ref="N763">INDEX(FX_Input,$R763,$Y763*N$5+$Z763)</f>
        <v>0</v>
      </c>
      <c r="O763" cm="1">
        <f t="array" ref="O763">INDEX(FX_Input,$R763,$Y763*O$5+$Z763)</f>
        <v>0</v>
      </c>
      <c r="R763">
        <f>R762+1</f>
        <v>110</v>
      </c>
      <c r="U763">
        <f>U762</f>
        <v>17</v>
      </c>
      <c r="V763">
        <f t="shared" ref="V763:V767" si="1676">U763+5</f>
        <v>22</v>
      </c>
      <c r="W763">
        <v>1</v>
      </c>
      <c r="X763">
        <v>2</v>
      </c>
      <c r="Y763">
        <f t="shared" si="1674"/>
        <v>5</v>
      </c>
      <c r="Z763">
        <f t="shared" si="1675"/>
        <v>12</v>
      </c>
    </row>
    <row r="764" spans="1:26" x14ac:dyDescent="0.4">
      <c r="C764" t="s">
        <v>530</v>
      </c>
      <c r="D764" t="str" cm="1">
        <f t="array" ref="D764">INDEX(FX_Input,$R764,$Y764*D$5+$Z764)</f>
        <v>Select Pet Stock</v>
      </c>
      <c r="E764" t="str" cm="1">
        <f t="array" ref="E764">INDEX(FX_Input,$R764,$Y764*E$5+$Z764)</f>
        <v>Select Pet Stock</v>
      </c>
      <c r="F764" t="str" cm="1">
        <f t="array" ref="F764">INDEX(FX_Input,$R764,$Y764*F$5+$Z764)</f>
        <v>Select Pet Stock</v>
      </c>
      <c r="G764" t="str" cm="1">
        <f t="array" ref="G764">INDEX(FX_Input,$R764,$Y764*G$5+$Z764)</f>
        <v>Select Pet Stock</v>
      </c>
      <c r="H764" t="str" cm="1">
        <f t="array" ref="H764">INDEX(FX_Input,$R764,$Y764*H$5+$Z764)</f>
        <v>Select Pet Stock</v>
      </c>
      <c r="I764" t="str" cm="1">
        <f t="array" ref="I764">INDEX(FX_Input,$R764,$Y764*I$5+$Z764)</f>
        <v>Select Pet Stock</v>
      </c>
      <c r="J764" t="str" cm="1">
        <f t="array" ref="J764">INDEX(FX_Input,$R764,$Y764*J$5+$Z764)</f>
        <v>Select Pet Stock</v>
      </c>
      <c r="K764" t="str" cm="1">
        <f t="array" ref="K764">INDEX(FX_Input,$R764,$Y764*K$5+$Z764)</f>
        <v>Select Pet Stock</v>
      </c>
      <c r="L764" t="str" cm="1">
        <f t="array" ref="L764">INDEX(FX_Input,$R764,$Y764*L$5+$Z764)</f>
        <v>Select Pet Stock</v>
      </c>
      <c r="M764" t="str" cm="1">
        <f t="array" ref="M764">INDEX(FX_Input,$R764,$Y764*M$5+$Z764)</f>
        <v>Select Pet Stock</v>
      </c>
      <c r="N764" t="str" cm="1">
        <f t="array" ref="N764">INDEX(FX_Input,$R764,$Y764*N$5+$Z764)</f>
        <v>Select Pet Stock</v>
      </c>
      <c r="O764" t="str" cm="1">
        <f t="array" ref="O764">INDEX(FX_Input,$R764,$Y764*O$5+$Z764)</f>
        <v>Select Pet Stock</v>
      </c>
      <c r="R764">
        <f>R762</f>
        <v>109</v>
      </c>
      <c r="U764">
        <v>18</v>
      </c>
      <c r="V764">
        <f t="shared" si="1676"/>
        <v>23</v>
      </c>
      <c r="W764">
        <v>1</v>
      </c>
      <c r="X764">
        <v>2</v>
      </c>
      <c r="Y764">
        <f t="shared" si="1674"/>
        <v>5</v>
      </c>
      <c r="Z764">
        <f t="shared" si="1675"/>
        <v>13</v>
      </c>
    </row>
    <row r="765" spans="1:26" x14ac:dyDescent="0.4">
      <c r="C765" t="s">
        <v>531</v>
      </c>
      <c r="D765" cm="1">
        <f t="array" ref="D765">INDEX(FX_Input,$R765,$Y765*D$5+$Z765)</f>
        <v>0</v>
      </c>
      <c r="E765" cm="1">
        <f t="array" ref="E765">INDEX(FX_Input,$R765,$Y765*E$5+$Z765)</f>
        <v>0</v>
      </c>
      <c r="F765" cm="1">
        <f t="array" ref="F765">INDEX(FX_Input,$R765,$Y765*F$5+$Z765)</f>
        <v>0</v>
      </c>
      <c r="G765" cm="1">
        <f t="array" ref="G765">INDEX(FX_Input,$R765,$Y765*G$5+$Z765)</f>
        <v>0</v>
      </c>
      <c r="H765" cm="1">
        <f t="array" ref="H765">INDEX(FX_Input,$R765,$Y765*H$5+$Z765)</f>
        <v>0</v>
      </c>
      <c r="I765" cm="1">
        <f t="array" ref="I765">INDEX(FX_Input,$R765,$Y765*I$5+$Z765)</f>
        <v>0</v>
      </c>
      <c r="J765" cm="1">
        <f t="array" ref="J765">INDEX(FX_Input,$R765,$Y765*J$5+$Z765)</f>
        <v>0</v>
      </c>
      <c r="K765" cm="1">
        <f t="array" ref="K765">INDEX(FX_Input,$R765,$Y765*K$5+$Z765)</f>
        <v>0</v>
      </c>
      <c r="L765" cm="1">
        <f t="array" ref="L765">INDEX(FX_Input,$R765,$Y765*L$5+$Z765)</f>
        <v>0</v>
      </c>
      <c r="M765" cm="1">
        <f t="array" ref="M765">INDEX(FX_Input,$R765,$Y765*M$5+$Z765)</f>
        <v>0</v>
      </c>
      <c r="N765" cm="1">
        <f t="array" ref="N765">INDEX(FX_Input,$R765,$Y765*N$5+$Z765)</f>
        <v>0</v>
      </c>
      <c r="O765" cm="1">
        <f t="array" ref="O765">INDEX(FX_Input,$R765,$Y765*O$5+$Z765)</f>
        <v>0</v>
      </c>
      <c r="R765">
        <f>R763</f>
        <v>110</v>
      </c>
      <c r="U765">
        <f>U764</f>
        <v>18</v>
      </c>
      <c r="V765">
        <f t="shared" si="1676"/>
        <v>23</v>
      </c>
      <c r="W765">
        <v>1</v>
      </c>
      <c r="X765">
        <v>2</v>
      </c>
      <c r="Y765">
        <f t="shared" si="1674"/>
        <v>5</v>
      </c>
      <c r="Z765">
        <f t="shared" si="1675"/>
        <v>13</v>
      </c>
    </row>
    <row r="766" spans="1:26" x14ac:dyDescent="0.4">
      <c r="C766" t="s">
        <v>546</v>
      </c>
      <c r="D766" cm="1">
        <f t="array" ref="D766">INDEX(FX_Input,$R766,$Y766*D$5+$Z766)</f>
        <v>1</v>
      </c>
      <c r="E766" cm="1">
        <f t="array" ref="E766">INDEX(FX_Input,$R766,$Y766*E$5+$Z766)</f>
        <v>1</v>
      </c>
      <c r="F766" cm="1">
        <f t="array" ref="F766">INDEX(FX_Input,$R766,$Y766*F$5+$Z766)</f>
        <v>1</v>
      </c>
      <c r="G766" cm="1">
        <f t="array" ref="G766">INDEX(FX_Input,$R766,$Y766*G$5+$Z766)</f>
        <v>1</v>
      </c>
      <c r="H766" cm="1">
        <f t="array" ref="H766">INDEX(FX_Input,$R766,$Y766*H$5+$Z766)</f>
        <v>1</v>
      </c>
      <c r="I766" cm="1">
        <f t="array" ref="I766">INDEX(FX_Input,$R766,$Y766*I$5+$Z766)</f>
        <v>1</v>
      </c>
      <c r="J766" cm="1">
        <f t="array" ref="J766">INDEX(FX_Input,$R766,$Y766*J$5+$Z766)</f>
        <v>1</v>
      </c>
      <c r="K766" cm="1">
        <f t="array" ref="K766">INDEX(FX_Input,$R766,$Y766*K$5+$Z766)</f>
        <v>1</v>
      </c>
      <c r="L766" cm="1">
        <f t="array" ref="L766">INDEX(FX_Input,$R766,$Y766*L$5+$Z766)</f>
        <v>1</v>
      </c>
      <c r="M766" cm="1">
        <f t="array" ref="M766">INDEX(FX_Input,$R766,$Y766*M$5+$Z766)</f>
        <v>1</v>
      </c>
      <c r="N766" cm="1">
        <f t="array" ref="N766">INDEX(FX_Input,$R766,$Y766*N$5+$Z766)</f>
        <v>1</v>
      </c>
      <c r="O766" cm="1">
        <f t="array" ref="O766">INDEX(FX_Input,$R766,$Y766*O$5+$Z766)</f>
        <v>1</v>
      </c>
      <c r="R766">
        <f>R764</f>
        <v>109</v>
      </c>
      <c r="U766">
        <v>21</v>
      </c>
      <c r="V766">
        <f t="shared" si="1676"/>
        <v>26</v>
      </c>
      <c r="W766">
        <v>1</v>
      </c>
      <c r="X766">
        <v>2</v>
      </c>
      <c r="Y766">
        <f t="shared" si="1674"/>
        <v>5</v>
      </c>
      <c r="Z766">
        <f t="shared" si="1675"/>
        <v>16</v>
      </c>
    </row>
    <row r="767" spans="1:26" x14ac:dyDescent="0.4">
      <c r="C767" t="s">
        <v>547</v>
      </c>
      <c r="D767" cm="1">
        <f t="array" ref="D767">INDEX(FX_Input,$R767,$Y767*D$5+$Z767)</f>
        <v>0</v>
      </c>
      <c r="E767" cm="1">
        <f t="array" ref="E767">INDEX(FX_Input,$R767,$Y767*E$5+$Z767)</f>
        <v>0</v>
      </c>
      <c r="F767" cm="1">
        <f t="array" ref="F767">INDEX(FX_Input,$R767,$Y767*F$5+$Z767)</f>
        <v>0</v>
      </c>
      <c r="G767" cm="1">
        <f t="array" ref="G767">INDEX(FX_Input,$R767,$Y767*G$5+$Z767)</f>
        <v>0</v>
      </c>
      <c r="H767" cm="1">
        <f t="array" ref="H767">INDEX(FX_Input,$R767,$Y767*H$5+$Z767)</f>
        <v>0</v>
      </c>
      <c r="I767" cm="1">
        <f t="array" ref="I767">INDEX(FX_Input,$R767,$Y767*I$5+$Z767)</f>
        <v>0</v>
      </c>
      <c r="J767" cm="1">
        <f t="array" ref="J767">INDEX(FX_Input,$R767,$Y767*J$5+$Z767)</f>
        <v>0</v>
      </c>
      <c r="K767" cm="1">
        <f t="array" ref="K767">INDEX(FX_Input,$R767,$Y767*K$5+$Z767)</f>
        <v>0</v>
      </c>
      <c r="L767" cm="1">
        <f t="array" ref="L767">INDEX(FX_Input,$R767,$Y767*L$5+$Z767)</f>
        <v>0</v>
      </c>
      <c r="M767" cm="1">
        <f t="array" ref="M767">INDEX(FX_Input,$R767,$Y767*M$5+$Z767)</f>
        <v>0</v>
      </c>
      <c r="N767" cm="1">
        <f t="array" ref="N767">INDEX(FX_Input,$R767,$Y767*N$5+$Z767)</f>
        <v>0</v>
      </c>
      <c r="O767" cm="1">
        <f t="array" ref="O767">INDEX(FX_Input,$R767,$Y767*O$5+$Z767)</f>
        <v>0</v>
      </c>
      <c r="R767">
        <f>R765</f>
        <v>110</v>
      </c>
      <c r="U767">
        <f>U766</f>
        <v>21</v>
      </c>
      <c r="V767">
        <f t="shared" si="1676"/>
        <v>26</v>
      </c>
      <c r="W767">
        <v>1</v>
      </c>
      <c r="X767">
        <v>2</v>
      </c>
      <c r="Y767">
        <f t="shared" si="1674"/>
        <v>5</v>
      </c>
      <c r="Z767">
        <f t="shared" si="1675"/>
        <v>16</v>
      </c>
    </row>
    <row r="768" spans="1:26" x14ac:dyDescent="0.4">
      <c r="C768" t="s">
        <v>532</v>
      </c>
      <c r="D768">
        <f t="shared" ref="D768:O768" si="1677">IFERROR(VLOOKUP(D762,Phys_Prop,2,FALSE),0)</f>
        <v>162</v>
      </c>
      <c r="E768">
        <f t="shared" si="1677"/>
        <v>162</v>
      </c>
      <c r="F768">
        <f t="shared" si="1677"/>
        <v>162</v>
      </c>
      <c r="G768">
        <f t="shared" si="1677"/>
        <v>162</v>
      </c>
      <c r="H768">
        <f t="shared" si="1677"/>
        <v>162</v>
      </c>
      <c r="I768">
        <f t="shared" si="1677"/>
        <v>162</v>
      </c>
      <c r="J768">
        <f t="shared" si="1677"/>
        <v>162</v>
      </c>
      <c r="K768">
        <f t="shared" si="1677"/>
        <v>162</v>
      </c>
      <c r="L768">
        <f t="shared" si="1677"/>
        <v>162</v>
      </c>
      <c r="M768">
        <f t="shared" si="1677"/>
        <v>162</v>
      </c>
      <c r="N768">
        <f t="shared" si="1677"/>
        <v>162</v>
      </c>
      <c r="O768">
        <f t="shared" si="1677"/>
        <v>162</v>
      </c>
    </row>
    <row r="769" spans="1:26" x14ac:dyDescent="0.4">
      <c r="C769" t="s">
        <v>533</v>
      </c>
      <c r="D769">
        <f t="shared" ref="D769:O769" si="1678">IFERROR(VLOOKUP(D763,Phys_Prop,2,FALSE),0)</f>
        <v>0</v>
      </c>
      <c r="E769">
        <f t="shared" si="1678"/>
        <v>0</v>
      </c>
      <c r="F769">
        <f t="shared" si="1678"/>
        <v>0</v>
      </c>
      <c r="G769">
        <f t="shared" si="1678"/>
        <v>0</v>
      </c>
      <c r="H769">
        <f t="shared" si="1678"/>
        <v>0</v>
      </c>
      <c r="I769">
        <f t="shared" si="1678"/>
        <v>0</v>
      </c>
      <c r="J769">
        <f t="shared" si="1678"/>
        <v>0</v>
      </c>
      <c r="K769">
        <f t="shared" si="1678"/>
        <v>0</v>
      </c>
      <c r="L769">
        <f t="shared" si="1678"/>
        <v>0</v>
      </c>
      <c r="M769">
        <f t="shared" si="1678"/>
        <v>0</v>
      </c>
      <c r="N769">
        <f t="shared" si="1678"/>
        <v>0</v>
      </c>
      <c r="O769">
        <f t="shared" si="1678"/>
        <v>0</v>
      </c>
    </row>
    <row r="770" spans="1:26" x14ac:dyDescent="0.4">
      <c r="C770" t="s">
        <v>544</v>
      </c>
      <c r="D770">
        <f>IFERROR(IFERROR(D768/D766+D769/D767,D768/D766),0)</f>
        <v>162</v>
      </c>
      <c r="E770">
        <f t="shared" ref="E770" si="1679">IFERROR(IFERROR(E768/E766+E769/E767,E768/E766),0)</f>
        <v>162</v>
      </c>
      <c r="F770">
        <f t="shared" ref="F770" si="1680">IFERROR(IFERROR(F768/F766+F769/F767,F768/F766),0)</f>
        <v>162</v>
      </c>
      <c r="G770">
        <f t="shared" ref="G770" si="1681">IFERROR(IFERROR(G768/G766+G769/G767,G768/G766),0)</f>
        <v>162</v>
      </c>
      <c r="H770">
        <f t="shared" ref="H770" si="1682">IFERROR(IFERROR(H768/H766+H769/H767,H768/H766),0)</f>
        <v>162</v>
      </c>
      <c r="I770">
        <f t="shared" ref="I770" si="1683">IFERROR(IFERROR(I768/I766+I769/I767,I768/I766),0)</f>
        <v>162</v>
      </c>
      <c r="J770">
        <f t="shared" ref="J770" si="1684">IFERROR(IFERROR(J768/J766+J769/J767,J768/J766),0)</f>
        <v>162</v>
      </c>
      <c r="K770">
        <f t="shared" ref="K770" si="1685">IFERROR(IFERROR(K768/K766+K769/K767,K768/K766),0)</f>
        <v>162</v>
      </c>
      <c r="L770">
        <f t="shared" ref="L770" si="1686">IFERROR(IFERROR(L768/L766+L769/L767,L768/L766),0)</f>
        <v>162</v>
      </c>
      <c r="M770">
        <f t="shared" ref="M770" si="1687">IFERROR(IFERROR(M768/M766+M769/M767,M768/M766),0)</f>
        <v>162</v>
      </c>
      <c r="N770">
        <f t="shared" ref="N770" si="1688">IFERROR(IFERROR(N768/N766+N769/N767,N768/N766),0)</f>
        <v>162</v>
      </c>
      <c r="O770">
        <f t="shared" ref="O770" si="1689">IFERROR(IFERROR(O768/O766+O769/O767,O768/O766),0)</f>
        <v>162</v>
      </c>
    </row>
    <row r="771" spans="1:26" x14ac:dyDescent="0.4">
      <c r="C771" t="s">
        <v>539</v>
      </c>
      <c r="D771">
        <f>IFERROR((D766/D768)*D770,1)</f>
        <v>1</v>
      </c>
      <c r="E771">
        <f t="shared" ref="E771:O771" si="1690">IFERROR((E766/E768)*E770,1)</f>
        <v>1</v>
      </c>
      <c r="F771">
        <f t="shared" si="1690"/>
        <v>1</v>
      </c>
      <c r="G771">
        <f t="shared" si="1690"/>
        <v>1</v>
      </c>
      <c r="H771">
        <f t="shared" si="1690"/>
        <v>1</v>
      </c>
      <c r="I771">
        <f t="shared" si="1690"/>
        <v>1</v>
      </c>
      <c r="J771">
        <f t="shared" si="1690"/>
        <v>1</v>
      </c>
      <c r="K771">
        <f t="shared" si="1690"/>
        <v>1</v>
      </c>
      <c r="L771">
        <f t="shared" si="1690"/>
        <v>1</v>
      </c>
      <c r="M771">
        <f t="shared" si="1690"/>
        <v>1</v>
      </c>
      <c r="N771">
        <f t="shared" si="1690"/>
        <v>1</v>
      </c>
      <c r="O771">
        <f t="shared" si="1690"/>
        <v>1</v>
      </c>
    </row>
    <row r="772" spans="1:26" x14ac:dyDescent="0.4">
      <c r="C772" t="s">
        <v>540</v>
      </c>
      <c r="D772">
        <f>IFERROR((D767/D769)*D770,0)</f>
        <v>0</v>
      </c>
      <c r="E772">
        <f t="shared" ref="E772:O772" si="1691">IFERROR((E767/E769)*E770,0)</f>
        <v>0</v>
      </c>
      <c r="F772">
        <f t="shared" si="1691"/>
        <v>0</v>
      </c>
      <c r="G772">
        <f t="shared" si="1691"/>
        <v>0</v>
      </c>
      <c r="H772">
        <f t="shared" si="1691"/>
        <v>0</v>
      </c>
      <c r="I772">
        <f t="shared" si="1691"/>
        <v>0</v>
      </c>
      <c r="J772">
        <f t="shared" si="1691"/>
        <v>0</v>
      </c>
      <c r="K772">
        <f t="shared" si="1691"/>
        <v>0</v>
      </c>
      <c r="L772">
        <f t="shared" si="1691"/>
        <v>0</v>
      </c>
      <c r="M772">
        <f t="shared" si="1691"/>
        <v>0</v>
      </c>
      <c r="N772">
        <f t="shared" si="1691"/>
        <v>0</v>
      </c>
      <c r="O772">
        <f t="shared" si="1691"/>
        <v>0</v>
      </c>
    </row>
    <row r="773" spans="1:26" x14ac:dyDescent="0.4">
      <c r="C773" s="21" t="s">
        <v>534</v>
      </c>
      <c r="D773">
        <f t="shared" ref="D773:O773" si="1692">IFERROR(VLOOKUP(D762,Phys_Prop,4,FALSE),0)</f>
        <v>7</v>
      </c>
      <c r="E773">
        <f t="shared" si="1692"/>
        <v>7</v>
      </c>
      <c r="F773">
        <f t="shared" si="1692"/>
        <v>7</v>
      </c>
      <c r="G773">
        <f t="shared" si="1692"/>
        <v>7</v>
      </c>
      <c r="H773">
        <f t="shared" si="1692"/>
        <v>7</v>
      </c>
      <c r="I773">
        <f t="shared" si="1692"/>
        <v>7</v>
      </c>
      <c r="J773">
        <f t="shared" si="1692"/>
        <v>7</v>
      </c>
      <c r="K773">
        <f t="shared" si="1692"/>
        <v>7</v>
      </c>
      <c r="L773">
        <f t="shared" si="1692"/>
        <v>7</v>
      </c>
      <c r="M773">
        <f t="shared" si="1692"/>
        <v>7</v>
      </c>
      <c r="N773">
        <f t="shared" si="1692"/>
        <v>7</v>
      </c>
      <c r="O773">
        <f t="shared" si="1692"/>
        <v>7</v>
      </c>
    </row>
    <row r="774" spans="1:26" x14ac:dyDescent="0.4">
      <c r="C774" s="21" t="s">
        <v>535</v>
      </c>
      <c r="D774">
        <f t="shared" ref="D774:O774" si="1693">IFERROR(VLOOKUP(D763,Phys_Prop,4,FALSE),0)</f>
        <v>0</v>
      </c>
      <c r="E774">
        <f t="shared" si="1693"/>
        <v>0</v>
      </c>
      <c r="F774">
        <f t="shared" si="1693"/>
        <v>0</v>
      </c>
      <c r="G774">
        <f t="shared" si="1693"/>
        <v>0</v>
      </c>
      <c r="H774">
        <f t="shared" si="1693"/>
        <v>0</v>
      </c>
      <c r="I774">
        <f t="shared" si="1693"/>
        <v>0</v>
      </c>
      <c r="J774">
        <f t="shared" si="1693"/>
        <v>0</v>
      </c>
      <c r="K774">
        <f t="shared" si="1693"/>
        <v>0</v>
      </c>
      <c r="L774">
        <f t="shared" si="1693"/>
        <v>0</v>
      </c>
      <c r="M774">
        <f t="shared" si="1693"/>
        <v>0</v>
      </c>
      <c r="N774">
        <f t="shared" si="1693"/>
        <v>0</v>
      </c>
      <c r="O774">
        <f t="shared" si="1693"/>
        <v>0</v>
      </c>
    </row>
    <row r="775" spans="1:26" x14ac:dyDescent="0.4">
      <c r="A775" s="11"/>
      <c r="B775" s="11"/>
      <c r="C775" s="62" t="s">
        <v>536</v>
      </c>
      <c r="D775" s="11">
        <f>IFERROR(1/(D771/D773+D772/D774),D773)</f>
        <v>7</v>
      </c>
      <c r="E775" s="11">
        <f t="shared" ref="E775:O775" si="1694">IFERROR(1/(E771/E773+E772/E774),E773)</f>
        <v>7</v>
      </c>
      <c r="F775" s="11">
        <f t="shared" si="1694"/>
        <v>7</v>
      </c>
      <c r="G775" s="11">
        <f t="shared" si="1694"/>
        <v>7</v>
      </c>
      <c r="H775" s="11">
        <f t="shared" si="1694"/>
        <v>7</v>
      </c>
      <c r="I775" s="11">
        <f t="shared" si="1694"/>
        <v>7</v>
      </c>
      <c r="J775" s="11">
        <f t="shared" si="1694"/>
        <v>7</v>
      </c>
      <c r="K775" s="11">
        <f t="shared" si="1694"/>
        <v>7</v>
      </c>
      <c r="L775" s="11">
        <f t="shared" si="1694"/>
        <v>7</v>
      </c>
      <c r="M775" s="11">
        <f t="shared" si="1694"/>
        <v>7</v>
      </c>
      <c r="N775" s="11">
        <f t="shared" si="1694"/>
        <v>7</v>
      </c>
      <c r="O775" s="11">
        <f t="shared" si="1694"/>
        <v>7</v>
      </c>
      <c r="P775" s="11"/>
      <c r="Q775" s="11"/>
      <c r="R775" s="11"/>
      <c r="S775" s="11"/>
      <c r="T775" s="11"/>
      <c r="U775" s="11"/>
      <c r="V775" s="11"/>
      <c r="W775" s="11"/>
      <c r="X775" s="11"/>
      <c r="Y775" s="11"/>
      <c r="Z775" s="11"/>
    </row>
    <row r="776" spans="1:26" x14ac:dyDescent="0.4">
      <c r="A776" t="str" cm="1">
        <f t="array" ref="A776">INDEX(FX_Input,R776,S776)</f>
        <v>FX - 56</v>
      </c>
      <c r="B776" t="str" cm="1">
        <f t="array" ref="B776">INDEX(FX_Input,R776,T776)</f>
        <v>Portland</v>
      </c>
      <c r="C776" t="s">
        <v>528</v>
      </c>
      <c r="D776" t="str" cm="1">
        <f t="array" ref="D776">INDEX(FX_Input,$R776,$Y776*D$5+$Z776)</f>
        <v>Jet kerosene</v>
      </c>
      <c r="E776" t="str" cm="1">
        <f t="array" ref="E776">INDEX(FX_Input,$R776,$Y776*E$5+$Z776)</f>
        <v>Jet kerosene</v>
      </c>
      <c r="F776" t="str" cm="1">
        <f t="array" ref="F776">INDEX(FX_Input,$R776,$Y776*F$5+$Z776)</f>
        <v>Jet kerosene</v>
      </c>
      <c r="G776" t="str" cm="1">
        <f t="array" ref="G776">INDEX(FX_Input,$R776,$Y776*G$5+$Z776)</f>
        <v>Jet kerosene</v>
      </c>
      <c r="H776" t="str" cm="1">
        <f t="array" ref="H776">INDEX(FX_Input,$R776,$Y776*H$5+$Z776)</f>
        <v>Jet kerosene</v>
      </c>
      <c r="I776" t="str" cm="1">
        <f t="array" ref="I776">INDEX(FX_Input,$R776,$Y776*I$5+$Z776)</f>
        <v>Jet kerosene</v>
      </c>
      <c r="J776" t="str" cm="1">
        <f t="array" ref="J776">INDEX(FX_Input,$R776,$Y776*J$5+$Z776)</f>
        <v>Jet kerosene</v>
      </c>
      <c r="K776" t="str" cm="1">
        <f t="array" ref="K776">INDEX(FX_Input,$R776,$Y776*K$5+$Z776)</f>
        <v>Jet kerosene</v>
      </c>
      <c r="L776" t="str" cm="1">
        <f t="array" ref="L776">INDEX(FX_Input,$R776,$Y776*L$5+$Z776)</f>
        <v>Jet kerosene</v>
      </c>
      <c r="M776" t="str" cm="1">
        <f t="array" ref="M776">INDEX(FX_Input,$R776,$Y776*M$5+$Z776)</f>
        <v>Jet kerosene</v>
      </c>
      <c r="N776" t="str" cm="1">
        <f t="array" ref="N776">INDEX(FX_Input,$R776,$Y776*N$5+$Z776)</f>
        <v>Jet kerosene</v>
      </c>
      <c r="O776" t="str" cm="1">
        <f t="array" ref="O776">INDEX(FX_Input,$R776,$Y776*O$5+$Z776)</f>
        <v>Jet kerosene</v>
      </c>
      <c r="R776">
        <f>R762+2</f>
        <v>111</v>
      </c>
      <c r="S776">
        <v>1</v>
      </c>
      <c r="T776">
        <v>3</v>
      </c>
      <c r="U776">
        <v>17</v>
      </c>
      <c r="V776">
        <f>U776+5</f>
        <v>22</v>
      </c>
      <c r="W776">
        <v>1</v>
      </c>
      <c r="X776">
        <v>2</v>
      </c>
      <c r="Y776">
        <f t="shared" ref="Y776:Y781" si="1695">(V776-U776)/(X776-W776)</f>
        <v>5</v>
      </c>
      <c r="Z776">
        <f t="shared" ref="Z776:Z781" si="1696">U776-Y776*W776</f>
        <v>12</v>
      </c>
    </row>
    <row r="777" spans="1:26" x14ac:dyDescent="0.4">
      <c r="C777" t="s">
        <v>529</v>
      </c>
      <c r="D777" cm="1">
        <f t="array" ref="D777">INDEX(FX_Input,$R777,$Y777*D$5+$Z777)</f>
        <v>0</v>
      </c>
      <c r="E777" cm="1">
        <f t="array" ref="E777">INDEX(FX_Input,$R777,$Y777*E$5+$Z777)</f>
        <v>0</v>
      </c>
      <c r="F777" cm="1">
        <f t="array" ref="F777">INDEX(FX_Input,$R777,$Y777*F$5+$Z777)</f>
        <v>0</v>
      </c>
      <c r="G777" cm="1">
        <f t="array" ref="G777">INDEX(FX_Input,$R777,$Y777*G$5+$Z777)</f>
        <v>0</v>
      </c>
      <c r="H777" cm="1">
        <f t="array" ref="H777">INDEX(FX_Input,$R777,$Y777*H$5+$Z777)</f>
        <v>0</v>
      </c>
      <c r="I777" cm="1">
        <f t="array" ref="I777">INDEX(FX_Input,$R777,$Y777*I$5+$Z777)</f>
        <v>0</v>
      </c>
      <c r="J777" cm="1">
        <f t="array" ref="J777">INDEX(FX_Input,$R777,$Y777*J$5+$Z777)</f>
        <v>0</v>
      </c>
      <c r="K777" cm="1">
        <f t="array" ref="K777">INDEX(FX_Input,$R777,$Y777*K$5+$Z777)</f>
        <v>0</v>
      </c>
      <c r="L777" cm="1">
        <f t="array" ref="L777">INDEX(FX_Input,$R777,$Y777*L$5+$Z777)</f>
        <v>0</v>
      </c>
      <c r="M777" cm="1">
        <f t="array" ref="M777">INDEX(FX_Input,$R777,$Y777*M$5+$Z777)</f>
        <v>0</v>
      </c>
      <c r="N777" cm="1">
        <f t="array" ref="N777">INDEX(FX_Input,$R777,$Y777*N$5+$Z777)</f>
        <v>0</v>
      </c>
      <c r="O777" cm="1">
        <f t="array" ref="O777">INDEX(FX_Input,$R777,$Y777*O$5+$Z777)</f>
        <v>0</v>
      </c>
      <c r="R777">
        <f>R776+1</f>
        <v>112</v>
      </c>
      <c r="U777">
        <f>U776</f>
        <v>17</v>
      </c>
      <c r="V777">
        <f t="shared" ref="V777:V781" si="1697">U777+5</f>
        <v>22</v>
      </c>
      <c r="W777">
        <v>1</v>
      </c>
      <c r="X777">
        <v>2</v>
      </c>
      <c r="Y777">
        <f t="shared" si="1695"/>
        <v>5</v>
      </c>
      <c r="Z777">
        <f t="shared" si="1696"/>
        <v>12</v>
      </c>
    </row>
    <row r="778" spans="1:26" x14ac:dyDescent="0.4">
      <c r="C778" t="s">
        <v>530</v>
      </c>
      <c r="D778" t="str" cm="1">
        <f t="array" ref="D778">INDEX(FX_Input,$R778,$Y778*D$5+$Z778)</f>
        <v>Select Pet Stock</v>
      </c>
      <c r="E778" t="str" cm="1">
        <f t="array" ref="E778">INDEX(FX_Input,$R778,$Y778*E$5+$Z778)</f>
        <v>Select Pet Stock</v>
      </c>
      <c r="F778" t="str" cm="1">
        <f t="array" ref="F778">INDEX(FX_Input,$R778,$Y778*F$5+$Z778)</f>
        <v>Select Pet Stock</v>
      </c>
      <c r="G778" t="str" cm="1">
        <f t="array" ref="G778">INDEX(FX_Input,$R778,$Y778*G$5+$Z778)</f>
        <v>Select Pet Stock</v>
      </c>
      <c r="H778" t="str" cm="1">
        <f t="array" ref="H778">INDEX(FX_Input,$R778,$Y778*H$5+$Z778)</f>
        <v>Select Pet Stock</v>
      </c>
      <c r="I778" t="str" cm="1">
        <f t="array" ref="I778">INDEX(FX_Input,$R778,$Y778*I$5+$Z778)</f>
        <v>Select Pet Stock</v>
      </c>
      <c r="J778" t="str" cm="1">
        <f t="array" ref="J778">INDEX(FX_Input,$R778,$Y778*J$5+$Z778)</f>
        <v>Select Pet Stock</v>
      </c>
      <c r="K778" t="str" cm="1">
        <f t="array" ref="K778">INDEX(FX_Input,$R778,$Y778*K$5+$Z778)</f>
        <v>Select Pet Stock</v>
      </c>
      <c r="L778" t="str" cm="1">
        <f t="array" ref="L778">INDEX(FX_Input,$R778,$Y778*L$5+$Z778)</f>
        <v>Select Pet Stock</v>
      </c>
      <c r="M778" t="str" cm="1">
        <f t="array" ref="M778">INDEX(FX_Input,$R778,$Y778*M$5+$Z778)</f>
        <v>Select Pet Stock</v>
      </c>
      <c r="N778" t="str" cm="1">
        <f t="array" ref="N778">INDEX(FX_Input,$R778,$Y778*N$5+$Z778)</f>
        <v>Select Pet Stock</v>
      </c>
      <c r="O778" t="str" cm="1">
        <f t="array" ref="O778">INDEX(FX_Input,$R778,$Y778*O$5+$Z778)</f>
        <v>Select Pet Stock</v>
      </c>
      <c r="R778">
        <f>R776</f>
        <v>111</v>
      </c>
      <c r="U778">
        <v>18</v>
      </c>
      <c r="V778">
        <f t="shared" si="1697"/>
        <v>23</v>
      </c>
      <c r="W778">
        <v>1</v>
      </c>
      <c r="X778">
        <v>2</v>
      </c>
      <c r="Y778">
        <f t="shared" si="1695"/>
        <v>5</v>
      </c>
      <c r="Z778">
        <f t="shared" si="1696"/>
        <v>13</v>
      </c>
    </row>
    <row r="779" spans="1:26" x14ac:dyDescent="0.4">
      <c r="C779" t="s">
        <v>531</v>
      </c>
      <c r="D779" cm="1">
        <f t="array" ref="D779">INDEX(FX_Input,$R779,$Y779*D$5+$Z779)</f>
        <v>0</v>
      </c>
      <c r="E779" cm="1">
        <f t="array" ref="E779">INDEX(FX_Input,$R779,$Y779*E$5+$Z779)</f>
        <v>0</v>
      </c>
      <c r="F779" cm="1">
        <f t="array" ref="F779">INDEX(FX_Input,$R779,$Y779*F$5+$Z779)</f>
        <v>0</v>
      </c>
      <c r="G779" cm="1">
        <f t="array" ref="G779">INDEX(FX_Input,$R779,$Y779*G$5+$Z779)</f>
        <v>0</v>
      </c>
      <c r="H779" cm="1">
        <f t="array" ref="H779">INDEX(FX_Input,$R779,$Y779*H$5+$Z779)</f>
        <v>0</v>
      </c>
      <c r="I779" cm="1">
        <f t="array" ref="I779">INDEX(FX_Input,$R779,$Y779*I$5+$Z779)</f>
        <v>0</v>
      </c>
      <c r="J779" cm="1">
        <f t="array" ref="J779">INDEX(FX_Input,$R779,$Y779*J$5+$Z779)</f>
        <v>0</v>
      </c>
      <c r="K779" cm="1">
        <f t="array" ref="K779">INDEX(FX_Input,$R779,$Y779*K$5+$Z779)</f>
        <v>0</v>
      </c>
      <c r="L779" cm="1">
        <f t="array" ref="L779">INDEX(FX_Input,$R779,$Y779*L$5+$Z779)</f>
        <v>0</v>
      </c>
      <c r="M779" cm="1">
        <f t="array" ref="M779">INDEX(FX_Input,$R779,$Y779*M$5+$Z779)</f>
        <v>0</v>
      </c>
      <c r="N779" cm="1">
        <f t="array" ref="N779">INDEX(FX_Input,$R779,$Y779*N$5+$Z779)</f>
        <v>0</v>
      </c>
      <c r="O779" cm="1">
        <f t="array" ref="O779">INDEX(FX_Input,$R779,$Y779*O$5+$Z779)</f>
        <v>0</v>
      </c>
      <c r="R779">
        <f>R777</f>
        <v>112</v>
      </c>
      <c r="U779">
        <f>U778</f>
        <v>18</v>
      </c>
      <c r="V779">
        <f t="shared" si="1697"/>
        <v>23</v>
      </c>
      <c r="W779">
        <v>1</v>
      </c>
      <c r="X779">
        <v>2</v>
      </c>
      <c r="Y779">
        <f t="shared" si="1695"/>
        <v>5</v>
      </c>
      <c r="Z779">
        <f t="shared" si="1696"/>
        <v>13</v>
      </c>
    </row>
    <row r="780" spans="1:26" x14ac:dyDescent="0.4">
      <c r="C780" t="s">
        <v>546</v>
      </c>
      <c r="D780" cm="1">
        <f t="array" ref="D780">INDEX(FX_Input,$R780,$Y780*D$5+$Z780)</f>
        <v>1</v>
      </c>
      <c r="E780" cm="1">
        <f t="array" ref="E780">INDEX(FX_Input,$R780,$Y780*E$5+$Z780)</f>
        <v>1</v>
      </c>
      <c r="F780" cm="1">
        <f t="array" ref="F780">INDEX(FX_Input,$R780,$Y780*F$5+$Z780)</f>
        <v>1</v>
      </c>
      <c r="G780" cm="1">
        <f t="array" ref="G780">INDEX(FX_Input,$R780,$Y780*G$5+$Z780)</f>
        <v>1</v>
      </c>
      <c r="H780" cm="1">
        <f t="array" ref="H780">INDEX(FX_Input,$R780,$Y780*H$5+$Z780)</f>
        <v>1</v>
      </c>
      <c r="I780" cm="1">
        <f t="array" ref="I780">INDEX(FX_Input,$R780,$Y780*I$5+$Z780)</f>
        <v>1</v>
      </c>
      <c r="J780" cm="1">
        <f t="array" ref="J780">INDEX(FX_Input,$R780,$Y780*J$5+$Z780)</f>
        <v>1</v>
      </c>
      <c r="K780" cm="1">
        <f t="array" ref="K780">INDEX(FX_Input,$R780,$Y780*K$5+$Z780)</f>
        <v>1</v>
      </c>
      <c r="L780" cm="1">
        <f t="array" ref="L780">INDEX(FX_Input,$R780,$Y780*L$5+$Z780)</f>
        <v>1</v>
      </c>
      <c r="M780" cm="1">
        <f t="array" ref="M780">INDEX(FX_Input,$R780,$Y780*M$5+$Z780)</f>
        <v>1</v>
      </c>
      <c r="N780" cm="1">
        <f t="array" ref="N780">INDEX(FX_Input,$R780,$Y780*N$5+$Z780)</f>
        <v>1</v>
      </c>
      <c r="O780" cm="1">
        <f t="array" ref="O780">INDEX(FX_Input,$R780,$Y780*O$5+$Z780)</f>
        <v>1</v>
      </c>
      <c r="R780">
        <f>R778</f>
        <v>111</v>
      </c>
      <c r="U780">
        <v>21</v>
      </c>
      <c r="V780">
        <f t="shared" si="1697"/>
        <v>26</v>
      </c>
      <c r="W780">
        <v>1</v>
      </c>
      <c r="X780">
        <v>2</v>
      </c>
      <c r="Y780">
        <f t="shared" si="1695"/>
        <v>5</v>
      </c>
      <c r="Z780">
        <f t="shared" si="1696"/>
        <v>16</v>
      </c>
    </row>
    <row r="781" spans="1:26" x14ac:dyDescent="0.4">
      <c r="C781" t="s">
        <v>547</v>
      </c>
      <c r="D781" cm="1">
        <f t="array" ref="D781">INDEX(FX_Input,$R781,$Y781*D$5+$Z781)</f>
        <v>0</v>
      </c>
      <c r="E781" cm="1">
        <f t="array" ref="E781">INDEX(FX_Input,$R781,$Y781*E$5+$Z781)</f>
        <v>0</v>
      </c>
      <c r="F781" cm="1">
        <f t="array" ref="F781">INDEX(FX_Input,$R781,$Y781*F$5+$Z781)</f>
        <v>0</v>
      </c>
      <c r="G781" cm="1">
        <f t="array" ref="G781">INDEX(FX_Input,$R781,$Y781*G$5+$Z781)</f>
        <v>0</v>
      </c>
      <c r="H781" cm="1">
        <f t="array" ref="H781">INDEX(FX_Input,$R781,$Y781*H$5+$Z781)</f>
        <v>0</v>
      </c>
      <c r="I781" cm="1">
        <f t="array" ref="I781">INDEX(FX_Input,$R781,$Y781*I$5+$Z781)</f>
        <v>0</v>
      </c>
      <c r="J781" cm="1">
        <f t="array" ref="J781">INDEX(FX_Input,$R781,$Y781*J$5+$Z781)</f>
        <v>0</v>
      </c>
      <c r="K781" cm="1">
        <f t="array" ref="K781">INDEX(FX_Input,$R781,$Y781*K$5+$Z781)</f>
        <v>0</v>
      </c>
      <c r="L781" cm="1">
        <f t="array" ref="L781">INDEX(FX_Input,$R781,$Y781*L$5+$Z781)</f>
        <v>0</v>
      </c>
      <c r="M781" cm="1">
        <f t="array" ref="M781">INDEX(FX_Input,$R781,$Y781*M$5+$Z781)</f>
        <v>0</v>
      </c>
      <c r="N781" cm="1">
        <f t="array" ref="N781">INDEX(FX_Input,$R781,$Y781*N$5+$Z781)</f>
        <v>0</v>
      </c>
      <c r="O781" cm="1">
        <f t="array" ref="O781">INDEX(FX_Input,$R781,$Y781*O$5+$Z781)</f>
        <v>0</v>
      </c>
      <c r="R781">
        <f>R779</f>
        <v>112</v>
      </c>
      <c r="U781">
        <f>U780</f>
        <v>21</v>
      </c>
      <c r="V781">
        <f t="shared" si="1697"/>
        <v>26</v>
      </c>
      <c r="W781">
        <v>1</v>
      </c>
      <c r="X781">
        <v>2</v>
      </c>
      <c r="Y781">
        <f t="shared" si="1695"/>
        <v>5</v>
      </c>
      <c r="Z781">
        <f t="shared" si="1696"/>
        <v>16</v>
      </c>
    </row>
    <row r="782" spans="1:26" x14ac:dyDescent="0.4">
      <c r="C782" t="s">
        <v>532</v>
      </c>
      <c r="D782">
        <f t="shared" ref="D782:O782" si="1698">IFERROR(VLOOKUP(D776,Phys_Prop,2,FALSE),0)</f>
        <v>162</v>
      </c>
      <c r="E782">
        <f t="shared" si="1698"/>
        <v>162</v>
      </c>
      <c r="F782">
        <f t="shared" si="1698"/>
        <v>162</v>
      </c>
      <c r="G782">
        <f t="shared" si="1698"/>
        <v>162</v>
      </c>
      <c r="H782">
        <f t="shared" si="1698"/>
        <v>162</v>
      </c>
      <c r="I782">
        <f t="shared" si="1698"/>
        <v>162</v>
      </c>
      <c r="J782">
        <f t="shared" si="1698"/>
        <v>162</v>
      </c>
      <c r="K782">
        <f t="shared" si="1698"/>
        <v>162</v>
      </c>
      <c r="L782">
        <f t="shared" si="1698"/>
        <v>162</v>
      </c>
      <c r="M782">
        <f t="shared" si="1698"/>
        <v>162</v>
      </c>
      <c r="N782">
        <f t="shared" si="1698"/>
        <v>162</v>
      </c>
      <c r="O782">
        <f t="shared" si="1698"/>
        <v>162</v>
      </c>
    </row>
    <row r="783" spans="1:26" x14ac:dyDescent="0.4">
      <c r="C783" t="s">
        <v>533</v>
      </c>
      <c r="D783">
        <f t="shared" ref="D783:O783" si="1699">IFERROR(VLOOKUP(D777,Phys_Prop,2,FALSE),0)</f>
        <v>0</v>
      </c>
      <c r="E783">
        <f t="shared" si="1699"/>
        <v>0</v>
      </c>
      <c r="F783">
        <f t="shared" si="1699"/>
        <v>0</v>
      </c>
      <c r="G783">
        <f t="shared" si="1699"/>
        <v>0</v>
      </c>
      <c r="H783">
        <f t="shared" si="1699"/>
        <v>0</v>
      </c>
      <c r="I783">
        <f t="shared" si="1699"/>
        <v>0</v>
      </c>
      <c r="J783">
        <f t="shared" si="1699"/>
        <v>0</v>
      </c>
      <c r="K783">
        <f t="shared" si="1699"/>
        <v>0</v>
      </c>
      <c r="L783">
        <f t="shared" si="1699"/>
        <v>0</v>
      </c>
      <c r="M783">
        <f t="shared" si="1699"/>
        <v>0</v>
      </c>
      <c r="N783">
        <f t="shared" si="1699"/>
        <v>0</v>
      </c>
      <c r="O783">
        <f t="shared" si="1699"/>
        <v>0</v>
      </c>
    </row>
    <row r="784" spans="1:26" x14ac:dyDescent="0.4">
      <c r="C784" t="s">
        <v>544</v>
      </c>
      <c r="D784">
        <f>IFERROR(IFERROR(D782/D780+D783/D781,D782/D780),0)</f>
        <v>162</v>
      </c>
      <c r="E784">
        <f t="shared" ref="E784" si="1700">IFERROR(IFERROR(E782/E780+E783/E781,E782/E780),0)</f>
        <v>162</v>
      </c>
      <c r="F784">
        <f t="shared" ref="F784" si="1701">IFERROR(IFERROR(F782/F780+F783/F781,F782/F780),0)</f>
        <v>162</v>
      </c>
      <c r="G784">
        <f t="shared" ref="G784" si="1702">IFERROR(IFERROR(G782/G780+G783/G781,G782/G780),0)</f>
        <v>162</v>
      </c>
      <c r="H784">
        <f t="shared" ref="H784" si="1703">IFERROR(IFERROR(H782/H780+H783/H781,H782/H780),0)</f>
        <v>162</v>
      </c>
      <c r="I784">
        <f t="shared" ref="I784" si="1704">IFERROR(IFERROR(I782/I780+I783/I781,I782/I780),0)</f>
        <v>162</v>
      </c>
      <c r="J784">
        <f t="shared" ref="J784" si="1705">IFERROR(IFERROR(J782/J780+J783/J781,J782/J780),0)</f>
        <v>162</v>
      </c>
      <c r="K784">
        <f t="shared" ref="K784" si="1706">IFERROR(IFERROR(K782/K780+K783/K781,K782/K780),0)</f>
        <v>162</v>
      </c>
      <c r="L784">
        <f t="shared" ref="L784" si="1707">IFERROR(IFERROR(L782/L780+L783/L781,L782/L780),0)</f>
        <v>162</v>
      </c>
      <c r="M784">
        <f t="shared" ref="M784" si="1708">IFERROR(IFERROR(M782/M780+M783/M781,M782/M780),0)</f>
        <v>162</v>
      </c>
      <c r="N784">
        <f t="shared" ref="N784" si="1709">IFERROR(IFERROR(N782/N780+N783/N781,N782/N780),0)</f>
        <v>162</v>
      </c>
      <c r="O784">
        <f t="shared" ref="O784" si="1710">IFERROR(IFERROR(O782/O780+O783/O781,O782/O780),0)</f>
        <v>162</v>
      </c>
    </row>
    <row r="785" spans="1:26" x14ac:dyDescent="0.4">
      <c r="C785" t="s">
        <v>539</v>
      </c>
      <c r="D785">
        <f>IFERROR((D780/D782)*D784,1)</f>
        <v>1</v>
      </c>
      <c r="E785">
        <f t="shared" ref="E785" si="1711">IFERROR((E780/E782)*E784,1)</f>
        <v>1</v>
      </c>
      <c r="F785">
        <f t="shared" ref="F785" si="1712">IFERROR((F780/F782)*F784,1)</f>
        <v>1</v>
      </c>
      <c r="G785">
        <f t="shared" ref="G785" si="1713">IFERROR((G780/G782)*G784,1)</f>
        <v>1</v>
      </c>
      <c r="H785">
        <f t="shared" ref="H785" si="1714">IFERROR((H780/H782)*H784,1)</f>
        <v>1</v>
      </c>
      <c r="I785">
        <f t="shared" ref="I785" si="1715">IFERROR((I780/I782)*I784,1)</f>
        <v>1</v>
      </c>
      <c r="J785">
        <f t="shared" ref="J785" si="1716">IFERROR((J780/J782)*J784,1)</f>
        <v>1</v>
      </c>
      <c r="K785">
        <f t="shared" ref="K785" si="1717">IFERROR((K780/K782)*K784,1)</f>
        <v>1</v>
      </c>
      <c r="L785">
        <f t="shared" ref="L785" si="1718">IFERROR((L780/L782)*L784,1)</f>
        <v>1</v>
      </c>
      <c r="M785">
        <f t="shared" ref="M785" si="1719">IFERROR((M780/M782)*M784,1)</f>
        <v>1</v>
      </c>
      <c r="N785">
        <f t="shared" ref="N785" si="1720">IFERROR((N780/N782)*N784,1)</f>
        <v>1</v>
      </c>
      <c r="O785">
        <f t="shared" ref="O785" si="1721">IFERROR((O780/O782)*O784,1)</f>
        <v>1</v>
      </c>
    </row>
    <row r="786" spans="1:26" x14ac:dyDescent="0.4">
      <c r="C786" t="s">
        <v>540</v>
      </c>
      <c r="D786">
        <f>IFERROR((D781/D783)*D784,0)</f>
        <v>0</v>
      </c>
      <c r="E786">
        <f t="shared" ref="E786:O786" si="1722">IFERROR((E781/E783)*E784,0)</f>
        <v>0</v>
      </c>
      <c r="F786">
        <f t="shared" si="1722"/>
        <v>0</v>
      </c>
      <c r="G786">
        <f t="shared" si="1722"/>
        <v>0</v>
      </c>
      <c r="H786">
        <f t="shared" si="1722"/>
        <v>0</v>
      </c>
      <c r="I786">
        <f t="shared" si="1722"/>
        <v>0</v>
      </c>
      <c r="J786">
        <f t="shared" si="1722"/>
        <v>0</v>
      </c>
      <c r="K786">
        <f t="shared" si="1722"/>
        <v>0</v>
      </c>
      <c r="L786">
        <f t="shared" si="1722"/>
        <v>0</v>
      </c>
      <c r="M786">
        <f t="shared" si="1722"/>
        <v>0</v>
      </c>
      <c r="N786">
        <f t="shared" si="1722"/>
        <v>0</v>
      </c>
      <c r="O786">
        <f t="shared" si="1722"/>
        <v>0</v>
      </c>
    </row>
    <row r="787" spans="1:26" x14ac:dyDescent="0.4">
      <c r="C787" s="21" t="s">
        <v>534</v>
      </c>
      <c r="D787">
        <f t="shared" ref="D787:O787" si="1723">IFERROR(VLOOKUP(D776,Phys_Prop,4,FALSE),0)</f>
        <v>7</v>
      </c>
      <c r="E787">
        <f t="shared" si="1723"/>
        <v>7</v>
      </c>
      <c r="F787">
        <f t="shared" si="1723"/>
        <v>7</v>
      </c>
      <c r="G787">
        <f t="shared" si="1723"/>
        <v>7</v>
      </c>
      <c r="H787">
        <f t="shared" si="1723"/>
        <v>7</v>
      </c>
      <c r="I787">
        <f t="shared" si="1723"/>
        <v>7</v>
      </c>
      <c r="J787">
        <f t="shared" si="1723"/>
        <v>7</v>
      </c>
      <c r="K787">
        <f t="shared" si="1723"/>
        <v>7</v>
      </c>
      <c r="L787">
        <f t="shared" si="1723"/>
        <v>7</v>
      </c>
      <c r="M787">
        <f t="shared" si="1723"/>
        <v>7</v>
      </c>
      <c r="N787">
        <f t="shared" si="1723"/>
        <v>7</v>
      </c>
      <c r="O787">
        <f t="shared" si="1723"/>
        <v>7</v>
      </c>
    </row>
    <row r="788" spans="1:26" x14ac:dyDescent="0.4">
      <c r="C788" s="21" t="s">
        <v>535</v>
      </c>
      <c r="D788">
        <f t="shared" ref="D788:O788" si="1724">IFERROR(VLOOKUP(D777,Phys_Prop,4,FALSE),0)</f>
        <v>0</v>
      </c>
      <c r="E788">
        <f t="shared" si="1724"/>
        <v>0</v>
      </c>
      <c r="F788">
        <f t="shared" si="1724"/>
        <v>0</v>
      </c>
      <c r="G788">
        <f t="shared" si="1724"/>
        <v>0</v>
      </c>
      <c r="H788">
        <f t="shared" si="1724"/>
        <v>0</v>
      </c>
      <c r="I788">
        <f t="shared" si="1724"/>
        <v>0</v>
      </c>
      <c r="J788">
        <f t="shared" si="1724"/>
        <v>0</v>
      </c>
      <c r="K788">
        <f t="shared" si="1724"/>
        <v>0</v>
      </c>
      <c r="L788">
        <f t="shared" si="1724"/>
        <v>0</v>
      </c>
      <c r="M788">
        <f t="shared" si="1724"/>
        <v>0</v>
      </c>
      <c r="N788">
        <f t="shared" si="1724"/>
        <v>0</v>
      </c>
      <c r="O788">
        <f t="shared" si="1724"/>
        <v>0</v>
      </c>
    </row>
    <row r="789" spans="1:26" x14ac:dyDescent="0.4">
      <c r="A789" s="11"/>
      <c r="B789" s="11"/>
      <c r="C789" s="62" t="s">
        <v>536</v>
      </c>
      <c r="D789" s="11">
        <f>IFERROR(1/(D785/D787+D786/D788),D787)</f>
        <v>7</v>
      </c>
      <c r="E789" s="11">
        <f t="shared" ref="E789:O789" si="1725">IFERROR(1/(E785/E787+E786/E788),E787)</f>
        <v>7</v>
      </c>
      <c r="F789" s="11">
        <f t="shared" si="1725"/>
        <v>7</v>
      </c>
      <c r="G789" s="11">
        <f t="shared" si="1725"/>
        <v>7</v>
      </c>
      <c r="H789" s="11">
        <f t="shared" si="1725"/>
        <v>7</v>
      </c>
      <c r="I789" s="11">
        <f t="shared" si="1725"/>
        <v>7</v>
      </c>
      <c r="J789" s="11">
        <f t="shared" si="1725"/>
        <v>7</v>
      </c>
      <c r="K789" s="11">
        <f t="shared" si="1725"/>
        <v>7</v>
      </c>
      <c r="L789" s="11">
        <f t="shared" si="1725"/>
        <v>7</v>
      </c>
      <c r="M789" s="11">
        <f t="shared" si="1725"/>
        <v>7</v>
      </c>
      <c r="N789" s="11">
        <f t="shared" si="1725"/>
        <v>7</v>
      </c>
      <c r="O789" s="11">
        <f t="shared" si="1725"/>
        <v>7</v>
      </c>
      <c r="P789" s="11"/>
      <c r="Q789" s="11"/>
      <c r="R789" s="11"/>
      <c r="S789" s="11"/>
      <c r="T789" s="11"/>
      <c r="U789" s="11"/>
      <c r="V789" s="11"/>
      <c r="W789" s="11"/>
      <c r="X789" s="11"/>
      <c r="Y789" s="11"/>
      <c r="Z789" s="11"/>
    </row>
    <row r="790" spans="1:26" x14ac:dyDescent="0.4">
      <c r="A790" t="str" cm="1">
        <f t="array" ref="A790">INDEX(FX_Input,R790,S790)</f>
        <v>FX - 57</v>
      </c>
      <c r="B790" t="str" cm="1">
        <f t="array" ref="B790">INDEX(FX_Input,R790,T790)</f>
        <v>Portland</v>
      </c>
      <c r="C790" t="s">
        <v>528</v>
      </c>
      <c r="D790" t="str" cm="1">
        <f t="array" ref="D790">INDEX(FX_Input,$R790,$Y790*D$5+$Z790)</f>
        <v>Jet kerosene</v>
      </c>
      <c r="E790" t="str" cm="1">
        <f t="array" ref="E790">INDEX(FX_Input,$R790,$Y790*E$5+$Z790)</f>
        <v>Jet kerosene</v>
      </c>
      <c r="F790" t="str" cm="1">
        <f t="array" ref="F790">INDEX(FX_Input,$R790,$Y790*F$5+$Z790)</f>
        <v>Jet kerosene</v>
      </c>
      <c r="G790" t="str" cm="1">
        <f t="array" ref="G790">INDEX(FX_Input,$R790,$Y790*G$5+$Z790)</f>
        <v>Jet kerosene</v>
      </c>
      <c r="H790" t="str" cm="1">
        <f t="array" ref="H790">INDEX(FX_Input,$R790,$Y790*H$5+$Z790)</f>
        <v>Jet kerosene</v>
      </c>
      <c r="I790" t="str" cm="1">
        <f t="array" ref="I790">INDEX(FX_Input,$R790,$Y790*I$5+$Z790)</f>
        <v>Jet kerosene</v>
      </c>
      <c r="J790" t="str" cm="1">
        <f t="array" ref="J790">INDEX(FX_Input,$R790,$Y790*J$5+$Z790)</f>
        <v>Jet kerosene</v>
      </c>
      <c r="K790" t="str" cm="1">
        <f t="array" ref="K790">INDEX(FX_Input,$R790,$Y790*K$5+$Z790)</f>
        <v>Jet kerosene</v>
      </c>
      <c r="L790" t="str" cm="1">
        <f t="array" ref="L790">INDEX(FX_Input,$R790,$Y790*L$5+$Z790)</f>
        <v>Jet kerosene</v>
      </c>
      <c r="M790" t="str" cm="1">
        <f t="array" ref="M790">INDEX(FX_Input,$R790,$Y790*M$5+$Z790)</f>
        <v>Jet kerosene</v>
      </c>
      <c r="N790" t="str" cm="1">
        <f t="array" ref="N790">INDEX(FX_Input,$R790,$Y790*N$5+$Z790)</f>
        <v>Jet kerosene</v>
      </c>
      <c r="O790" t="str" cm="1">
        <f t="array" ref="O790">INDEX(FX_Input,$R790,$Y790*O$5+$Z790)</f>
        <v>Jet kerosene</v>
      </c>
      <c r="R790">
        <f>R776+2</f>
        <v>113</v>
      </c>
      <c r="S790">
        <v>1</v>
      </c>
      <c r="T790">
        <v>3</v>
      </c>
      <c r="U790">
        <v>17</v>
      </c>
      <c r="V790">
        <f>U790+5</f>
        <v>22</v>
      </c>
      <c r="W790">
        <v>1</v>
      </c>
      <c r="X790">
        <v>2</v>
      </c>
      <c r="Y790">
        <f t="shared" ref="Y790:Y795" si="1726">(V790-U790)/(X790-W790)</f>
        <v>5</v>
      </c>
      <c r="Z790">
        <f t="shared" ref="Z790:Z795" si="1727">U790-Y790*W790</f>
        <v>12</v>
      </c>
    </row>
    <row r="791" spans="1:26" x14ac:dyDescent="0.4">
      <c r="C791" t="s">
        <v>529</v>
      </c>
      <c r="D791" cm="1">
        <f t="array" ref="D791">INDEX(FX_Input,$R791,$Y791*D$5+$Z791)</f>
        <v>0</v>
      </c>
      <c r="E791" cm="1">
        <f t="array" ref="E791">INDEX(FX_Input,$R791,$Y791*E$5+$Z791)</f>
        <v>0</v>
      </c>
      <c r="F791" cm="1">
        <f t="array" ref="F791">INDEX(FX_Input,$R791,$Y791*F$5+$Z791)</f>
        <v>0</v>
      </c>
      <c r="G791" cm="1">
        <f t="array" ref="G791">INDEX(FX_Input,$R791,$Y791*G$5+$Z791)</f>
        <v>0</v>
      </c>
      <c r="H791" cm="1">
        <f t="array" ref="H791">INDEX(FX_Input,$R791,$Y791*H$5+$Z791)</f>
        <v>0</v>
      </c>
      <c r="I791" cm="1">
        <f t="array" ref="I791">INDEX(FX_Input,$R791,$Y791*I$5+$Z791)</f>
        <v>0</v>
      </c>
      <c r="J791" cm="1">
        <f t="array" ref="J791">INDEX(FX_Input,$R791,$Y791*J$5+$Z791)</f>
        <v>0</v>
      </c>
      <c r="K791" cm="1">
        <f t="array" ref="K791">INDEX(FX_Input,$R791,$Y791*K$5+$Z791)</f>
        <v>0</v>
      </c>
      <c r="L791" cm="1">
        <f t="array" ref="L791">INDEX(FX_Input,$R791,$Y791*L$5+$Z791)</f>
        <v>0</v>
      </c>
      <c r="M791" cm="1">
        <f t="array" ref="M791">INDEX(FX_Input,$R791,$Y791*M$5+$Z791)</f>
        <v>0</v>
      </c>
      <c r="N791" cm="1">
        <f t="array" ref="N791">INDEX(FX_Input,$R791,$Y791*N$5+$Z791)</f>
        <v>0</v>
      </c>
      <c r="O791" cm="1">
        <f t="array" ref="O791">INDEX(FX_Input,$R791,$Y791*O$5+$Z791)</f>
        <v>0</v>
      </c>
      <c r="R791">
        <f>R790+1</f>
        <v>114</v>
      </c>
      <c r="U791">
        <f>U790</f>
        <v>17</v>
      </c>
      <c r="V791">
        <f t="shared" ref="V791:V795" si="1728">U791+5</f>
        <v>22</v>
      </c>
      <c r="W791">
        <v>1</v>
      </c>
      <c r="X791">
        <v>2</v>
      </c>
      <c r="Y791">
        <f t="shared" si="1726"/>
        <v>5</v>
      </c>
      <c r="Z791">
        <f t="shared" si="1727"/>
        <v>12</v>
      </c>
    </row>
    <row r="792" spans="1:26" x14ac:dyDescent="0.4">
      <c r="C792" t="s">
        <v>530</v>
      </c>
      <c r="D792" t="str" cm="1">
        <f t="array" ref="D792">INDEX(FX_Input,$R792,$Y792*D$5+$Z792)</f>
        <v>Select Pet Stock</v>
      </c>
      <c r="E792" t="str" cm="1">
        <f t="array" ref="E792">INDEX(FX_Input,$R792,$Y792*E$5+$Z792)</f>
        <v>Select Pet Stock</v>
      </c>
      <c r="F792" t="str" cm="1">
        <f t="array" ref="F792">INDEX(FX_Input,$R792,$Y792*F$5+$Z792)</f>
        <v>Select Pet Stock</v>
      </c>
      <c r="G792" t="str" cm="1">
        <f t="array" ref="G792">INDEX(FX_Input,$R792,$Y792*G$5+$Z792)</f>
        <v>Select Pet Stock</v>
      </c>
      <c r="H792" t="str" cm="1">
        <f t="array" ref="H792">INDEX(FX_Input,$R792,$Y792*H$5+$Z792)</f>
        <v>Select Pet Stock</v>
      </c>
      <c r="I792" t="str" cm="1">
        <f t="array" ref="I792">INDEX(FX_Input,$R792,$Y792*I$5+$Z792)</f>
        <v>Select Pet Stock</v>
      </c>
      <c r="J792" t="str" cm="1">
        <f t="array" ref="J792">INDEX(FX_Input,$R792,$Y792*J$5+$Z792)</f>
        <v>Select Pet Stock</v>
      </c>
      <c r="K792" t="str" cm="1">
        <f t="array" ref="K792">INDEX(FX_Input,$R792,$Y792*K$5+$Z792)</f>
        <v>Select Pet Stock</v>
      </c>
      <c r="L792" t="str" cm="1">
        <f t="array" ref="L792">INDEX(FX_Input,$R792,$Y792*L$5+$Z792)</f>
        <v>Select Pet Stock</v>
      </c>
      <c r="M792" t="str" cm="1">
        <f t="array" ref="M792">INDEX(FX_Input,$R792,$Y792*M$5+$Z792)</f>
        <v>Select Pet Stock</v>
      </c>
      <c r="N792" t="str" cm="1">
        <f t="array" ref="N792">INDEX(FX_Input,$R792,$Y792*N$5+$Z792)</f>
        <v>Select Pet Stock</v>
      </c>
      <c r="O792" t="str" cm="1">
        <f t="array" ref="O792">INDEX(FX_Input,$R792,$Y792*O$5+$Z792)</f>
        <v>Select Pet Stock</v>
      </c>
      <c r="R792">
        <f>R790</f>
        <v>113</v>
      </c>
      <c r="U792">
        <v>18</v>
      </c>
      <c r="V792">
        <f t="shared" si="1728"/>
        <v>23</v>
      </c>
      <c r="W792">
        <v>1</v>
      </c>
      <c r="X792">
        <v>2</v>
      </c>
      <c r="Y792">
        <f t="shared" si="1726"/>
        <v>5</v>
      </c>
      <c r="Z792">
        <f t="shared" si="1727"/>
        <v>13</v>
      </c>
    </row>
    <row r="793" spans="1:26" x14ac:dyDescent="0.4">
      <c r="C793" t="s">
        <v>531</v>
      </c>
      <c r="D793" cm="1">
        <f t="array" ref="D793">INDEX(FX_Input,$R793,$Y793*D$5+$Z793)</f>
        <v>0</v>
      </c>
      <c r="E793" cm="1">
        <f t="array" ref="E793">INDEX(FX_Input,$R793,$Y793*E$5+$Z793)</f>
        <v>0</v>
      </c>
      <c r="F793" cm="1">
        <f t="array" ref="F793">INDEX(FX_Input,$R793,$Y793*F$5+$Z793)</f>
        <v>0</v>
      </c>
      <c r="G793" cm="1">
        <f t="array" ref="G793">INDEX(FX_Input,$R793,$Y793*G$5+$Z793)</f>
        <v>0</v>
      </c>
      <c r="H793" cm="1">
        <f t="array" ref="H793">INDEX(FX_Input,$R793,$Y793*H$5+$Z793)</f>
        <v>0</v>
      </c>
      <c r="I793" cm="1">
        <f t="array" ref="I793">INDEX(FX_Input,$R793,$Y793*I$5+$Z793)</f>
        <v>0</v>
      </c>
      <c r="J793" cm="1">
        <f t="array" ref="J793">INDEX(FX_Input,$R793,$Y793*J$5+$Z793)</f>
        <v>0</v>
      </c>
      <c r="K793" cm="1">
        <f t="array" ref="K793">INDEX(FX_Input,$R793,$Y793*K$5+$Z793)</f>
        <v>0</v>
      </c>
      <c r="L793" cm="1">
        <f t="array" ref="L793">INDEX(FX_Input,$R793,$Y793*L$5+$Z793)</f>
        <v>0</v>
      </c>
      <c r="M793" cm="1">
        <f t="array" ref="M793">INDEX(FX_Input,$R793,$Y793*M$5+$Z793)</f>
        <v>0</v>
      </c>
      <c r="N793" cm="1">
        <f t="array" ref="N793">INDEX(FX_Input,$R793,$Y793*N$5+$Z793)</f>
        <v>0</v>
      </c>
      <c r="O793" cm="1">
        <f t="array" ref="O793">INDEX(FX_Input,$R793,$Y793*O$5+$Z793)</f>
        <v>0</v>
      </c>
      <c r="R793">
        <f>R791</f>
        <v>114</v>
      </c>
      <c r="U793">
        <f>U792</f>
        <v>18</v>
      </c>
      <c r="V793">
        <f t="shared" si="1728"/>
        <v>23</v>
      </c>
      <c r="W793">
        <v>1</v>
      </c>
      <c r="X793">
        <v>2</v>
      </c>
      <c r="Y793">
        <f t="shared" si="1726"/>
        <v>5</v>
      </c>
      <c r="Z793">
        <f t="shared" si="1727"/>
        <v>13</v>
      </c>
    </row>
    <row r="794" spans="1:26" x14ac:dyDescent="0.4">
      <c r="C794" t="s">
        <v>546</v>
      </c>
      <c r="D794" cm="1">
        <f t="array" ref="D794">INDEX(FX_Input,$R794,$Y794*D$5+$Z794)</f>
        <v>1</v>
      </c>
      <c r="E794" cm="1">
        <f t="array" ref="E794">INDEX(FX_Input,$R794,$Y794*E$5+$Z794)</f>
        <v>1</v>
      </c>
      <c r="F794" cm="1">
        <f t="array" ref="F794">INDEX(FX_Input,$R794,$Y794*F$5+$Z794)</f>
        <v>1</v>
      </c>
      <c r="G794" cm="1">
        <f t="array" ref="G794">INDEX(FX_Input,$R794,$Y794*G$5+$Z794)</f>
        <v>1</v>
      </c>
      <c r="H794" cm="1">
        <f t="array" ref="H794">INDEX(FX_Input,$R794,$Y794*H$5+$Z794)</f>
        <v>1</v>
      </c>
      <c r="I794" cm="1">
        <f t="array" ref="I794">INDEX(FX_Input,$R794,$Y794*I$5+$Z794)</f>
        <v>1</v>
      </c>
      <c r="J794" cm="1">
        <f t="array" ref="J794">INDEX(FX_Input,$R794,$Y794*J$5+$Z794)</f>
        <v>1</v>
      </c>
      <c r="K794" cm="1">
        <f t="array" ref="K794">INDEX(FX_Input,$R794,$Y794*K$5+$Z794)</f>
        <v>1</v>
      </c>
      <c r="L794" cm="1">
        <f t="array" ref="L794">INDEX(FX_Input,$R794,$Y794*L$5+$Z794)</f>
        <v>1</v>
      </c>
      <c r="M794" cm="1">
        <f t="array" ref="M794">INDEX(FX_Input,$R794,$Y794*M$5+$Z794)</f>
        <v>1</v>
      </c>
      <c r="N794" cm="1">
        <f t="array" ref="N794">INDEX(FX_Input,$R794,$Y794*N$5+$Z794)</f>
        <v>1</v>
      </c>
      <c r="O794" cm="1">
        <f t="array" ref="O794">INDEX(FX_Input,$R794,$Y794*O$5+$Z794)</f>
        <v>1</v>
      </c>
      <c r="R794">
        <f>R792</f>
        <v>113</v>
      </c>
      <c r="U794">
        <v>21</v>
      </c>
      <c r="V794">
        <f t="shared" si="1728"/>
        <v>26</v>
      </c>
      <c r="W794">
        <v>1</v>
      </c>
      <c r="X794">
        <v>2</v>
      </c>
      <c r="Y794">
        <f t="shared" si="1726"/>
        <v>5</v>
      </c>
      <c r="Z794">
        <f t="shared" si="1727"/>
        <v>16</v>
      </c>
    </row>
    <row r="795" spans="1:26" x14ac:dyDescent="0.4">
      <c r="C795" t="s">
        <v>547</v>
      </c>
      <c r="D795" cm="1">
        <f t="array" ref="D795">INDEX(FX_Input,$R795,$Y795*D$5+$Z795)</f>
        <v>0</v>
      </c>
      <c r="E795" cm="1">
        <f t="array" ref="E795">INDEX(FX_Input,$R795,$Y795*E$5+$Z795)</f>
        <v>0</v>
      </c>
      <c r="F795" cm="1">
        <f t="array" ref="F795">INDEX(FX_Input,$R795,$Y795*F$5+$Z795)</f>
        <v>0</v>
      </c>
      <c r="G795" cm="1">
        <f t="array" ref="G795">INDEX(FX_Input,$R795,$Y795*G$5+$Z795)</f>
        <v>0</v>
      </c>
      <c r="H795" cm="1">
        <f t="array" ref="H795">INDEX(FX_Input,$R795,$Y795*H$5+$Z795)</f>
        <v>0</v>
      </c>
      <c r="I795" cm="1">
        <f t="array" ref="I795">INDEX(FX_Input,$R795,$Y795*I$5+$Z795)</f>
        <v>0</v>
      </c>
      <c r="J795" cm="1">
        <f t="array" ref="J795">INDEX(FX_Input,$R795,$Y795*J$5+$Z795)</f>
        <v>0</v>
      </c>
      <c r="K795" cm="1">
        <f t="array" ref="K795">INDEX(FX_Input,$R795,$Y795*K$5+$Z795)</f>
        <v>0</v>
      </c>
      <c r="L795" cm="1">
        <f t="array" ref="L795">INDEX(FX_Input,$R795,$Y795*L$5+$Z795)</f>
        <v>0</v>
      </c>
      <c r="M795" cm="1">
        <f t="array" ref="M795">INDEX(FX_Input,$R795,$Y795*M$5+$Z795)</f>
        <v>0</v>
      </c>
      <c r="N795" cm="1">
        <f t="array" ref="N795">INDEX(FX_Input,$R795,$Y795*N$5+$Z795)</f>
        <v>0</v>
      </c>
      <c r="O795" cm="1">
        <f t="array" ref="O795">INDEX(FX_Input,$R795,$Y795*O$5+$Z795)</f>
        <v>0</v>
      </c>
      <c r="R795">
        <f>R793</f>
        <v>114</v>
      </c>
      <c r="U795">
        <f>U794</f>
        <v>21</v>
      </c>
      <c r="V795">
        <f t="shared" si="1728"/>
        <v>26</v>
      </c>
      <c r="W795">
        <v>1</v>
      </c>
      <c r="X795">
        <v>2</v>
      </c>
      <c r="Y795">
        <f t="shared" si="1726"/>
        <v>5</v>
      </c>
      <c r="Z795">
        <f t="shared" si="1727"/>
        <v>16</v>
      </c>
    </row>
    <row r="796" spans="1:26" x14ac:dyDescent="0.4">
      <c r="C796" t="s">
        <v>532</v>
      </c>
      <c r="D796">
        <f t="shared" ref="D796:O796" si="1729">IFERROR(VLOOKUP(D790,Phys_Prop,2,FALSE),0)</f>
        <v>162</v>
      </c>
      <c r="E796">
        <f t="shared" si="1729"/>
        <v>162</v>
      </c>
      <c r="F796">
        <f t="shared" si="1729"/>
        <v>162</v>
      </c>
      <c r="G796">
        <f t="shared" si="1729"/>
        <v>162</v>
      </c>
      <c r="H796">
        <f t="shared" si="1729"/>
        <v>162</v>
      </c>
      <c r="I796">
        <f t="shared" si="1729"/>
        <v>162</v>
      </c>
      <c r="J796">
        <f t="shared" si="1729"/>
        <v>162</v>
      </c>
      <c r="K796">
        <f t="shared" si="1729"/>
        <v>162</v>
      </c>
      <c r="L796">
        <f t="shared" si="1729"/>
        <v>162</v>
      </c>
      <c r="M796">
        <f t="shared" si="1729"/>
        <v>162</v>
      </c>
      <c r="N796">
        <f t="shared" si="1729"/>
        <v>162</v>
      </c>
      <c r="O796">
        <f t="shared" si="1729"/>
        <v>162</v>
      </c>
    </row>
    <row r="797" spans="1:26" x14ac:dyDescent="0.4">
      <c r="C797" t="s">
        <v>533</v>
      </c>
      <c r="D797">
        <f t="shared" ref="D797:O797" si="1730">IFERROR(VLOOKUP(D791,Phys_Prop,2,FALSE),0)</f>
        <v>0</v>
      </c>
      <c r="E797">
        <f t="shared" si="1730"/>
        <v>0</v>
      </c>
      <c r="F797">
        <f t="shared" si="1730"/>
        <v>0</v>
      </c>
      <c r="G797">
        <f t="shared" si="1730"/>
        <v>0</v>
      </c>
      <c r="H797">
        <f t="shared" si="1730"/>
        <v>0</v>
      </c>
      <c r="I797">
        <f t="shared" si="1730"/>
        <v>0</v>
      </c>
      <c r="J797">
        <f t="shared" si="1730"/>
        <v>0</v>
      </c>
      <c r="K797">
        <f t="shared" si="1730"/>
        <v>0</v>
      </c>
      <c r="L797">
        <f t="shared" si="1730"/>
        <v>0</v>
      </c>
      <c r="M797">
        <f t="shared" si="1730"/>
        <v>0</v>
      </c>
      <c r="N797">
        <f t="shared" si="1730"/>
        <v>0</v>
      </c>
      <c r="O797">
        <f t="shared" si="1730"/>
        <v>0</v>
      </c>
    </row>
    <row r="798" spans="1:26" x14ac:dyDescent="0.4">
      <c r="C798" t="s">
        <v>544</v>
      </c>
      <c r="D798">
        <f>IFERROR(IFERROR(D796/D794+D797/D795,D796/D794),0)</f>
        <v>162</v>
      </c>
      <c r="E798">
        <f t="shared" ref="E798:O798" si="1731">IFERROR(IFERROR(E796/E794+E797/E795,E796/E794),0)</f>
        <v>162</v>
      </c>
      <c r="F798">
        <f t="shared" si="1731"/>
        <v>162</v>
      </c>
      <c r="G798">
        <f t="shared" si="1731"/>
        <v>162</v>
      </c>
      <c r="H798">
        <f t="shared" si="1731"/>
        <v>162</v>
      </c>
      <c r="I798">
        <f t="shared" si="1731"/>
        <v>162</v>
      </c>
      <c r="J798">
        <f t="shared" si="1731"/>
        <v>162</v>
      </c>
      <c r="K798">
        <f t="shared" si="1731"/>
        <v>162</v>
      </c>
      <c r="L798">
        <f t="shared" si="1731"/>
        <v>162</v>
      </c>
      <c r="M798">
        <f t="shared" si="1731"/>
        <v>162</v>
      </c>
      <c r="N798">
        <f t="shared" si="1731"/>
        <v>162</v>
      </c>
      <c r="O798">
        <f t="shared" si="1731"/>
        <v>162</v>
      </c>
    </row>
    <row r="799" spans="1:26" x14ac:dyDescent="0.4">
      <c r="C799" t="s">
        <v>539</v>
      </c>
      <c r="D799">
        <f>IFERROR((D794/D796)*D798,1)</f>
        <v>1</v>
      </c>
      <c r="E799">
        <f t="shared" ref="E799:O799" si="1732">IFERROR((E794/E796)*E798,1)</f>
        <v>1</v>
      </c>
      <c r="F799">
        <f t="shared" si="1732"/>
        <v>1</v>
      </c>
      <c r="G799">
        <f t="shared" si="1732"/>
        <v>1</v>
      </c>
      <c r="H799">
        <f t="shared" si="1732"/>
        <v>1</v>
      </c>
      <c r="I799">
        <f t="shared" si="1732"/>
        <v>1</v>
      </c>
      <c r="J799">
        <f t="shared" si="1732"/>
        <v>1</v>
      </c>
      <c r="K799">
        <f t="shared" si="1732"/>
        <v>1</v>
      </c>
      <c r="L799">
        <f t="shared" si="1732"/>
        <v>1</v>
      </c>
      <c r="M799">
        <f t="shared" si="1732"/>
        <v>1</v>
      </c>
      <c r="N799">
        <f t="shared" si="1732"/>
        <v>1</v>
      </c>
      <c r="O799">
        <f t="shared" si="1732"/>
        <v>1</v>
      </c>
    </row>
    <row r="800" spans="1:26" x14ac:dyDescent="0.4">
      <c r="C800" t="s">
        <v>540</v>
      </c>
      <c r="D800">
        <f>IFERROR((D795/D797)*D798,0)</f>
        <v>0</v>
      </c>
      <c r="E800">
        <f t="shared" ref="E800:O800" si="1733">IFERROR((E795/E797)*E798,0)</f>
        <v>0</v>
      </c>
      <c r="F800">
        <f t="shared" si="1733"/>
        <v>0</v>
      </c>
      <c r="G800">
        <f t="shared" si="1733"/>
        <v>0</v>
      </c>
      <c r="H800">
        <f t="shared" si="1733"/>
        <v>0</v>
      </c>
      <c r="I800">
        <f t="shared" si="1733"/>
        <v>0</v>
      </c>
      <c r="J800">
        <f t="shared" si="1733"/>
        <v>0</v>
      </c>
      <c r="K800">
        <f t="shared" si="1733"/>
        <v>0</v>
      </c>
      <c r="L800">
        <f t="shared" si="1733"/>
        <v>0</v>
      </c>
      <c r="M800">
        <f t="shared" si="1733"/>
        <v>0</v>
      </c>
      <c r="N800">
        <f t="shared" si="1733"/>
        <v>0</v>
      </c>
      <c r="O800">
        <f t="shared" si="1733"/>
        <v>0</v>
      </c>
    </row>
    <row r="801" spans="1:26" x14ac:dyDescent="0.4">
      <c r="C801" s="21" t="s">
        <v>534</v>
      </c>
      <c r="D801">
        <f t="shared" ref="D801:O801" si="1734">IFERROR(VLOOKUP(D790,Phys_Prop,4,FALSE),0)</f>
        <v>7</v>
      </c>
      <c r="E801">
        <f t="shared" si="1734"/>
        <v>7</v>
      </c>
      <c r="F801">
        <f t="shared" si="1734"/>
        <v>7</v>
      </c>
      <c r="G801">
        <f t="shared" si="1734"/>
        <v>7</v>
      </c>
      <c r="H801">
        <f t="shared" si="1734"/>
        <v>7</v>
      </c>
      <c r="I801">
        <f t="shared" si="1734"/>
        <v>7</v>
      </c>
      <c r="J801">
        <f t="shared" si="1734"/>
        <v>7</v>
      </c>
      <c r="K801">
        <f t="shared" si="1734"/>
        <v>7</v>
      </c>
      <c r="L801">
        <f t="shared" si="1734"/>
        <v>7</v>
      </c>
      <c r="M801">
        <f t="shared" si="1734"/>
        <v>7</v>
      </c>
      <c r="N801">
        <f t="shared" si="1734"/>
        <v>7</v>
      </c>
      <c r="O801">
        <f t="shared" si="1734"/>
        <v>7</v>
      </c>
    </row>
    <row r="802" spans="1:26" x14ac:dyDescent="0.4">
      <c r="C802" s="21" t="s">
        <v>535</v>
      </c>
      <c r="D802">
        <f t="shared" ref="D802:O802" si="1735">IFERROR(VLOOKUP(D791,Phys_Prop,4,FALSE),0)</f>
        <v>0</v>
      </c>
      <c r="E802">
        <f t="shared" si="1735"/>
        <v>0</v>
      </c>
      <c r="F802">
        <f t="shared" si="1735"/>
        <v>0</v>
      </c>
      <c r="G802">
        <f t="shared" si="1735"/>
        <v>0</v>
      </c>
      <c r="H802">
        <f t="shared" si="1735"/>
        <v>0</v>
      </c>
      <c r="I802">
        <f t="shared" si="1735"/>
        <v>0</v>
      </c>
      <c r="J802">
        <f t="shared" si="1735"/>
        <v>0</v>
      </c>
      <c r="K802">
        <f t="shared" si="1735"/>
        <v>0</v>
      </c>
      <c r="L802">
        <f t="shared" si="1735"/>
        <v>0</v>
      </c>
      <c r="M802">
        <f t="shared" si="1735"/>
        <v>0</v>
      </c>
      <c r="N802">
        <f t="shared" si="1735"/>
        <v>0</v>
      </c>
      <c r="O802">
        <f t="shared" si="1735"/>
        <v>0</v>
      </c>
    </row>
    <row r="803" spans="1:26" x14ac:dyDescent="0.4">
      <c r="A803" s="11"/>
      <c r="B803" s="11"/>
      <c r="C803" s="62" t="s">
        <v>536</v>
      </c>
      <c r="D803" s="11">
        <f>IFERROR(1/(D799/D801+D800/D802),D801)</f>
        <v>7</v>
      </c>
      <c r="E803" s="11">
        <f t="shared" ref="E803:O803" si="1736">IFERROR(1/(E799/E801+E800/E802),E801)</f>
        <v>7</v>
      </c>
      <c r="F803" s="11">
        <f t="shared" si="1736"/>
        <v>7</v>
      </c>
      <c r="G803" s="11">
        <f t="shared" si="1736"/>
        <v>7</v>
      </c>
      <c r="H803" s="11">
        <f t="shared" si="1736"/>
        <v>7</v>
      </c>
      <c r="I803" s="11">
        <f t="shared" si="1736"/>
        <v>7</v>
      </c>
      <c r="J803" s="11">
        <f t="shared" si="1736"/>
        <v>7</v>
      </c>
      <c r="K803" s="11">
        <f t="shared" si="1736"/>
        <v>7</v>
      </c>
      <c r="L803" s="11">
        <f t="shared" si="1736"/>
        <v>7</v>
      </c>
      <c r="M803" s="11">
        <f t="shared" si="1736"/>
        <v>7</v>
      </c>
      <c r="N803" s="11">
        <f t="shared" si="1736"/>
        <v>7</v>
      </c>
      <c r="O803" s="11">
        <f t="shared" si="1736"/>
        <v>7</v>
      </c>
      <c r="P803" s="11"/>
      <c r="Q803" s="11"/>
      <c r="R803" s="11"/>
      <c r="S803" s="11"/>
      <c r="T803" s="11"/>
      <c r="U803" s="11"/>
      <c r="V803" s="11"/>
      <c r="W803" s="11"/>
      <c r="X803" s="11"/>
      <c r="Y803" s="11"/>
      <c r="Z803" s="11"/>
    </row>
    <row r="804" spans="1:26" x14ac:dyDescent="0.4">
      <c r="A804" t="str" cm="1">
        <f t="array" ref="A804">INDEX(FX_Input,R804,S804)</f>
        <v>FX - 58</v>
      </c>
      <c r="B804" t="str" cm="1">
        <f t="array" ref="B804">INDEX(FX_Input,R804,T804)</f>
        <v>Portland</v>
      </c>
      <c r="C804" t="s">
        <v>528</v>
      </c>
      <c r="D804" t="str" cm="1">
        <f t="array" ref="D804">INDEX(FX_Input,$R804,$Y804*D$5+$Z804)</f>
        <v>Jet kerosene</v>
      </c>
      <c r="E804" t="str" cm="1">
        <f t="array" ref="E804">INDEX(FX_Input,$R804,$Y804*E$5+$Z804)</f>
        <v>Jet kerosene</v>
      </c>
      <c r="F804" t="str" cm="1">
        <f t="array" ref="F804">INDEX(FX_Input,$R804,$Y804*F$5+$Z804)</f>
        <v>Jet kerosene</v>
      </c>
      <c r="G804" t="str" cm="1">
        <f t="array" ref="G804">INDEX(FX_Input,$R804,$Y804*G$5+$Z804)</f>
        <v>Jet kerosene</v>
      </c>
      <c r="H804" t="str" cm="1">
        <f t="array" ref="H804">INDEX(FX_Input,$R804,$Y804*H$5+$Z804)</f>
        <v>Jet kerosene</v>
      </c>
      <c r="I804" t="str" cm="1">
        <f t="array" ref="I804">INDEX(FX_Input,$R804,$Y804*I$5+$Z804)</f>
        <v>Jet kerosene</v>
      </c>
      <c r="J804" t="str" cm="1">
        <f t="array" ref="J804">INDEX(FX_Input,$R804,$Y804*J$5+$Z804)</f>
        <v>Jet kerosene</v>
      </c>
      <c r="K804" t="str" cm="1">
        <f t="array" ref="K804">INDEX(FX_Input,$R804,$Y804*K$5+$Z804)</f>
        <v>Jet kerosene</v>
      </c>
      <c r="L804" t="str" cm="1">
        <f t="array" ref="L804">INDEX(FX_Input,$R804,$Y804*L$5+$Z804)</f>
        <v>Jet kerosene</v>
      </c>
      <c r="M804" t="str" cm="1">
        <f t="array" ref="M804">INDEX(FX_Input,$R804,$Y804*M$5+$Z804)</f>
        <v>Jet kerosene</v>
      </c>
      <c r="N804" t="str" cm="1">
        <f t="array" ref="N804">INDEX(FX_Input,$R804,$Y804*N$5+$Z804)</f>
        <v>Jet kerosene</v>
      </c>
      <c r="O804" t="str" cm="1">
        <f t="array" ref="O804">INDEX(FX_Input,$R804,$Y804*O$5+$Z804)</f>
        <v>Jet kerosene</v>
      </c>
      <c r="R804">
        <f>R790+2</f>
        <v>115</v>
      </c>
      <c r="S804">
        <v>1</v>
      </c>
      <c r="T804">
        <v>3</v>
      </c>
      <c r="U804">
        <v>17</v>
      </c>
      <c r="V804">
        <f>U804+5</f>
        <v>22</v>
      </c>
      <c r="W804">
        <v>1</v>
      </c>
      <c r="X804">
        <v>2</v>
      </c>
      <c r="Y804">
        <f t="shared" ref="Y804:Y809" si="1737">(V804-U804)/(X804-W804)</f>
        <v>5</v>
      </c>
      <c r="Z804">
        <f t="shared" ref="Z804:Z809" si="1738">U804-Y804*W804</f>
        <v>12</v>
      </c>
    </row>
    <row r="805" spans="1:26" x14ac:dyDescent="0.4">
      <c r="C805" t="s">
        <v>529</v>
      </c>
      <c r="D805" cm="1">
        <f t="array" ref="D805">INDEX(FX_Input,$R805,$Y805*D$5+$Z805)</f>
        <v>0</v>
      </c>
      <c r="E805" cm="1">
        <f t="array" ref="E805">INDEX(FX_Input,$R805,$Y805*E$5+$Z805)</f>
        <v>0</v>
      </c>
      <c r="F805" cm="1">
        <f t="array" ref="F805">INDEX(FX_Input,$R805,$Y805*F$5+$Z805)</f>
        <v>0</v>
      </c>
      <c r="G805" cm="1">
        <f t="array" ref="G805">INDEX(FX_Input,$R805,$Y805*G$5+$Z805)</f>
        <v>0</v>
      </c>
      <c r="H805" cm="1">
        <f t="array" ref="H805">INDEX(FX_Input,$R805,$Y805*H$5+$Z805)</f>
        <v>0</v>
      </c>
      <c r="I805" cm="1">
        <f t="array" ref="I805">INDEX(FX_Input,$R805,$Y805*I$5+$Z805)</f>
        <v>0</v>
      </c>
      <c r="J805" cm="1">
        <f t="array" ref="J805">INDEX(FX_Input,$R805,$Y805*J$5+$Z805)</f>
        <v>0</v>
      </c>
      <c r="K805" cm="1">
        <f t="array" ref="K805">INDEX(FX_Input,$R805,$Y805*K$5+$Z805)</f>
        <v>0</v>
      </c>
      <c r="L805" cm="1">
        <f t="array" ref="L805">INDEX(FX_Input,$R805,$Y805*L$5+$Z805)</f>
        <v>0</v>
      </c>
      <c r="M805" cm="1">
        <f t="array" ref="M805">INDEX(FX_Input,$R805,$Y805*M$5+$Z805)</f>
        <v>0</v>
      </c>
      <c r="N805" cm="1">
        <f t="array" ref="N805">INDEX(FX_Input,$R805,$Y805*N$5+$Z805)</f>
        <v>0</v>
      </c>
      <c r="O805" cm="1">
        <f t="array" ref="O805">INDEX(FX_Input,$R805,$Y805*O$5+$Z805)</f>
        <v>0</v>
      </c>
      <c r="R805">
        <f>R804+1</f>
        <v>116</v>
      </c>
      <c r="U805">
        <f>U804</f>
        <v>17</v>
      </c>
      <c r="V805">
        <f t="shared" ref="V805:V809" si="1739">U805+5</f>
        <v>22</v>
      </c>
      <c r="W805">
        <v>1</v>
      </c>
      <c r="X805">
        <v>2</v>
      </c>
      <c r="Y805">
        <f t="shared" si="1737"/>
        <v>5</v>
      </c>
      <c r="Z805">
        <f t="shared" si="1738"/>
        <v>12</v>
      </c>
    </row>
    <row r="806" spans="1:26" x14ac:dyDescent="0.4">
      <c r="C806" t="s">
        <v>530</v>
      </c>
      <c r="D806" t="str" cm="1">
        <f t="array" ref="D806">INDEX(FX_Input,$R806,$Y806*D$5+$Z806)</f>
        <v>Select Pet Stock</v>
      </c>
      <c r="E806" t="str" cm="1">
        <f t="array" ref="E806">INDEX(FX_Input,$R806,$Y806*E$5+$Z806)</f>
        <v>Select Pet Stock</v>
      </c>
      <c r="F806" t="str" cm="1">
        <f t="array" ref="F806">INDEX(FX_Input,$R806,$Y806*F$5+$Z806)</f>
        <v>Select Pet Stock</v>
      </c>
      <c r="G806" t="str" cm="1">
        <f t="array" ref="G806">INDEX(FX_Input,$R806,$Y806*G$5+$Z806)</f>
        <v>Select Pet Stock</v>
      </c>
      <c r="H806" t="str" cm="1">
        <f t="array" ref="H806">INDEX(FX_Input,$R806,$Y806*H$5+$Z806)</f>
        <v>Select Pet Stock</v>
      </c>
      <c r="I806" t="str" cm="1">
        <f t="array" ref="I806">INDEX(FX_Input,$R806,$Y806*I$5+$Z806)</f>
        <v>Select Pet Stock</v>
      </c>
      <c r="J806" t="str" cm="1">
        <f t="array" ref="J806">INDEX(FX_Input,$R806,$Y806*J$5+$Z806)</f>
        <v>Select Pet Stock</v>
      </c>
      <c r="K806" t="str" cm="1">
        <f t="array" ref="K806">INDEX(FX_Input,$R806,$Y806*K$5+$Z806)</f>
        <v>Select Pet Stock</v>
      </c>
      <c r="L806" t="str" cm="1">
        <f t="array" ref="L806">INDEX(FX_Input,$R806,$Y806*L$5+$Z806)</f>
        <v>Select Pet Stock</v>
      </c>
      <c r="M806" t="str" cm="1">
        <f t="array" ref="M806">INDEX(FX_Input,$R806,$Y806*M$5+$Z806)</f>
        <v>Select Pet Stock</v>
      </c>
      <c r="N806" t="str" cm="1">
        <f t="array" ref="N806">INDEX(FX_Input,$R806,$Y806*N$5+$Z806)</f>
        <v>Select Pet Stock</v>
      </c>
      <c r="O806" t="str" cm="1">
        <f t="array" ref="O806">INDEX(FX_Input,$R806,$Y806*O$5+$Z806)</f>
        <v>Select Pet Stock</v>
      </c>
      <c r="R806">
        <f>R804</f>
        <v>115</v>
      </c>
      <c r="U806">
        <v>18</v>
      </c>
      <c r="V806">
        <f t="shared" si="1739"/>
        <v>23</v>
      </c>
      <c r="W806">
        <v>1</v>
      </c>
      <c r="X806">
        <v>2</v>
      </c>
      <c r="Y806">
        <f t="shared" si="1737"/>
        <v>5</v>
      </c>
      <c r="Z806">
        <f t="shared" si="1738"/>
        <v>13</v>
      </c>
    </row>
    <row r="807" spans="1:26" x14ac:dyDescent="0.4">
      <c r="C807" t="s">
        <v>531</v>
      </c>
      <c r="D807" cm="1">
        <f t="array" ref="D807">INDEX(FX_Input,$R807,$Y807*D$5+$Z807)</f>
        <v>0</v>
      </c>
      <c r="E807" cm="1">
        <f t="array" ref="E807">INDEX(FX_Input,$R807,$Y807*E$5+$Z807)</f>
        <v>0</v>
      </c>
      <c r="F807" cm="1">
        <f t="array" ref="F807">INDEX(FX_Input,$R807,$Y807*F$5+$Z807)</f>
        <v>0</v>
      </c>
      <c r="G807" cm="1">
        <f t="array" ref="G807">INDEX(FX_Input,$R807,$Y807*G$5+$Z807)</f>
        <v>0</v>
      </c>
      <c r="H807" cm="1">
        <f t="array" ref="H807">INDEX(FX_Input,$R807,$Y807*H$5+$Z807)</f>
        <v>0</v>
      </c>
      <c r="I807" cm="1">
        <f t="array" ref="I807">INDEX(FX_Input,$R807,$Y807*I$5+$Z807)</f>
        <v>0</v>
      </c>
      <c r="J807" cm="1">
        <f t="array" ref="J807">INDEX(FX_Input,$R807,$Y807*J$5+$Z807)</f>
        <v>0</v>
      </c>
      <c r="K807" cm="1">
        <f t="array" ref="K807">INDEX(FX_Input,$R807,$Y807*K$5+$Z807)</f>
        <v>0</v>
      </c>
      <c r="L807" cm="1">
        <f t="array" ref="L807">INDEX(FX_Input,$R807,$Y807*L$5+$Z807)</f>
        <v>0</v>
      </c>
      <c r="M807" cm="1">
        <f t="array" ref="M807">INDEX(FX_Input,$R807,$Y807*M$5+$Z807)</f>
        <v>0</v>
      </c>
      <c r="N807" cm="1">
        <f t="array" ref="N807">INDEX(FX_Input,$R807,$Y807*N$5+$Z807)</f>
        <v>0</v>
      </c>
      <c r="O807" cm="1">
        <f t="array" ref="O807">INDEX(FX_Input,$R807,$Y807*O$5+$Z807)</f>
        <v>0</v>
      </c>
      <c r="R807">
        <f>R805</f>
        <v>116</v>
      </c>
      <c r="U807">
        <f>U806</f>
        <v>18</v>
      </c>
      <c r="V807">
        <f t="shared" si="1739"/>
        <v>23</v>
      </c>
      <c r="W807">
        <v>1</v>
      </c>
      <c r="X807">
        <v>2</v>
      </c>
      <c r="Y807">
        <f t="shared" si="1737"/>
        <v>5</v>
      </c>
      <c r="Z807">
        <f t="shared" si="1738"/>
        <v>13</v>
      </c>
    </row>
    <row r="808" spans="1:26" x14ac:dyDescent="0.4">
      <c r="C808" t="s">
        <v>546</v>
      </c>
      <c r="D808" cm="1">
        <f t="array" ref="D808">INDEX(FX_Input,$R808,$Y808*D$5+$Z808)</f>
        <v>1</v>
      </c>
      <c r="E808" cm="1">
        <f t="array" ref="E808">INDEX(FX_Input,$R808,$Y808*E$5+$Z808)</f>
        <v>1</v>
      </c>
      <c r="F808" cm="1">
        <f t="array" ref="F808">INDEX(FX_Input,$R808,$Y808*F$5+$Z808)</f>
        <v>1</v>
      </c>
      <c r="G808" cm="1">
        <f t="array" ref="G808">INDEX(FX_Input,$R808,$Y808*G$5+$Z808)</f>
        <v>1</v>
      </c>
      <c r="H808" cm="1">
        <f t="array" ref="H808">INDEX(FX_Input,$R808,$Y808*H$5+$Z808)</f>
        <v>1</v>
      </c>
      <c r="I808" cm="1">
        <f t="array" ref="I808">INDEX(FX_Input,$R808,$Y808*I$5+$Z808)</f>
        <v>1</v>
      </c>
      <c r="J808" cm="1">
        <f t="array" ref="J808">INDEX(FX_Input,$R808,$Y808*J$5+$Z808)</f>
        <v>1</v>
      </c>
      <c r="K808" cm="1">
        <f t="array" ref="K808">INDEX(FX_Input,$R808,$Y808*K$5+$Z808)</f>
        <v>1</v>
      </c>
      <c r="L808" cm="1">
        <f t="array" ref="L808">INDEX(FX_Input,$R808,$Y808*L$5+$Z808)</f>
        <v>1</v>
      </c>
      <c r="M808" cm="1">
        <f t="array" ref="M808">INDEX(FX_Input,$R808,$Y808*M$5+$Z808)</f>
        <v>1</v>
      </c>
      <c r="N808" cm="1">
        <f t="array" ref="N808">INDEX(FX_Input,$R808,$Y808*N$5+$Z808)</f>
        <v>1</v>
      </c>
      <c r="O808" cm="1">
        <f t="array" ref="O808">INDEX(FX_Input,$R808,$Y808*O$5+$Z808)</f>
        <v>1</v>
      </c>
      <c r="R808">
        <f>R806</f>
        <v>115</v>
      </c>
      <c r="U808">
        <v>21</v>
      </c>
      <c r="V808">
        <f t="shared" si="1739"/>
        <v>26</v>
      </c>
      <c r="W808">
        <v>1</v>
      </c>
      <c r="X808">
        <v>2</v>
      </c>
      <c r="Y808">
        <f t="shared" si="1737"/>
        <v>5</v>
      </c>
      <c r="Z808">
        <f t="shared" si="1738"/>
        <v>16</v>
      </c>
    </row>
    <row r="809" spans="1:26" x14ac:dyDescent="0.4">
      <c r="C809" t="s">
        <v>547</v>
      </c>
      <c r="D809" cm="1">
        <f t="array" ref="D809">INDEX(FX_Input,$R809,$Y809*D$5+$Z809)</f>
        <v>0</v>
      </c>
      <c r="E809" cm="1">
        <f t="array" ref="E809">INDEX(FX_Input,$R809,$Y809*E$5+$Z809)</f>
        <v>0</v>
      </c>
      <c r="F809" cm="1">
        <f t="array" ref="F809">INDEX(FX_Input,$R809,$Y809*F$5+$Z809)</f>
        <v>0</v>
      </c>
      <c r="G809" cm="1">
        <f t="array" ref="G809">INDEX(FX_Input,$R809,$Y809*G$5+$Z809)</f>
        <v>0</v>
      </c>
      <c r="H809" cm="1">
        <f t="array" ref="H809">INDEX(FX_Input,$R809,$Y809*H$5+$Z809)</f>
        <v>0</v>
      </c>
      <c r="I809" cm="1">
        <f t="array" ref="I809">INDEX(FX_Input,$R809,$Y809*I$5+$Z809)</f>
        <v>0</v>
      </c>
      <c r="J809" cm="1">
        <f t="array" ref="J809">INDEX(FX_Input,$R809,$Y809*J$5+$Z809)</f>
        <v>0</v>
      </c>
      <c r="K809" cm="1">
        <f t="array" ref="K809">INDEX(FX_Input,$R809,$Y809*K$5+$Z809)</f>
        <v>0</v>
      </c>
      <c r="L809" cm="1">
        <f t="array" ref="L809">INDEX(FX_Input,$R809,$Y809*L$5+$Z809)</f>
        <v>0</v>
      </c>
      <c r="M809" cm="1">
        <f t="array" ref="M809">INDEX(FX_Input,$R809,$Y809*M$5+$Z809)</f>
        <v>0</v>
      </c>
      <c r="N809" cm="1">
        <f t="array" ref="N809">INDEX(FX_Input,$R809,$Y809*N$5+$Z809)</f>
        <v>0</v>
      </c>
      <c r="O809" cm="1">
        <f t="array" ref="O809">INDEX(FX_Input,$R809,$Y809*O$5+$Z809)</f>
        <v>0</v>
      </c>
      <c r="R809">
        <f>R807</f>
        <v>116</v>
      </c>
      <c r="U809">
        <f>U808</f>
        <v>21</v>
      </c>
      <c r="V809">
        <f t="shared" si="1739"/>
        <v>26</v>
      </c>
      <c r="W809">
        <v>1</v>
      </c>
      <c r="X809">
        <v>2</v>
      </c>
      <c r="Y809">
        <f t="shared" si="1737"/>
        <v>5</v>
      </c>
      <c r="Z809">
        <f t="shared" si="1738"/>
        <v>16</v>
      </c>
    </row>
    <row r="810" spans="1:26" x14ac:dyDescent="0.4">
      <c r="C810" t="s">
        <v>532</v>
      </c>
      <c r="D810">
        <f t="shared" ref="D810:O810" si="1740">IFERROR(VLOOKUP(D804,Phys_Prop,2,FALSE),0)</f>
        <v>162</v>
      </c>
      <c r="E810">
        <f t="shared" si="1740"/>
        <v>162</v>
      </c>
      <c r="F810">
        <f t="shared" si="1740"/>
        <v>162</v>
      </c>
      <c r="G810">
        <f t="shared" si="1740"/>
        <v>162</v>
      </c>
      <c r="H810">
        <f t="shared" si="1740"/>
        <v>162</v>
      </c>
      <c r="I810">
        <f t="shared" si="1740"/>
        <v>162</v>
      </c>
      <c r="J810">
        <f t="shared" si="1740"/>
        <v>162</v>
      </c>
      <c r="K810">
        <f t="shared" si="1740"/>
        <v>162</v>
      </c>
      <c r="L810">
        <f t="shared" si="1740"/>
        <v>162</v>
      </c>
      <c r="M810">
        <f t="shared" si="1740"/>
        <v>162</v>
      </c>
      <c r="N810">
        <f t="shared" si="1740"/>
        <v>162</v>
      </c>
      <c r="O810">
        <f t="shared" si="1740"/>
        <v>162</v>
      </c>
    </row>
    <row r="811" spans="1:26" x14ac:dyDescent="0.4">
      <c r="C811" t="s">
        <v>533</v>
      </c>
      <c r="D811">
        <f t="shared" ref="D811:O811" si="1741">IFERROR(VLOOKUP(D805,Phys_Prop,2,FALSE),0)</f>
        <v>0</v>
      </c>
      <c r="E811">
        <f t="shared" si="1741"/>
        <v>0</v>
      </c>
      <c r="F811">
        <f t="shared" si="1741"/>
        <v>0</v>
      </c>
      <c r="G811">
        <f t="shared" si="1741"/>
        <v>0</v>
      </c>
      <c r="H811">
        <f t="shared" si="1741"/>
        <v>0</v>
      </c>
      <c r="I811">
        <f t="shared" si="1741"/>
        <v>0</v>
      </c>
      <c r="J811">
        <f t="shared" si="1741"/>
        <v>0</v>
      </c>
      <c r="K811">
        <f t="shared" si="1741"/>
        <v>0</v>
      </c>
      <c r="L811">
        <f t="shared" si="1741"/>
        <v>0</v>
      </c>
      <c r="M811">
        <f t="shared" si="1741"/>
        <v>0</v>
      </c>
      <c r="N811">
        <f t="shared" si="1741"/>
        <v>0</v>
      </c>
      <c r="O811">
        <f t="shared" si="1741"/>
        <v>0</v>
      </c>
    </row>
    <row r="812" spans="1:26" x14ac:dyDescent="0.4">
      <c r="C812" t="s">
        <v>544</v>
      </c>
      <c r="D812">
        <f>IFERROR(IFERROR(D810/D808+D811/D809,D810/D808),0)</f>
        <v>162</v>
      </c>
      <c r="E812">
        <f t="shared" ref="E812:O812" si="1742">IFERROR(IFERROR(E810/E808+E811/E809,E810/E808),0)</f>
        <v>162</v>
      </c>
      <c r="F812">
        <f t="shared" si="1742"/>
        <v>162</v>
      </c>
      <c r="G812">
        <f t="shared" si="1742"/>
        <v>162</v>
      </c>
      <c r="H812">
        <f t="shared" si="1742"/>
        <v>162</v>
      </c>
      <c r="I812">
        <f t="shared" si="1742"/>
        <v>162</v>
      </c>
      <c r="J812">
        <f t="shared" si="1742"/>
        <v>162</v>
      </c>
      <c r="K812">
        <f t="shared" si="1742"/>
        <v>162</v>
      </c>
      <c r="L812">
        <f t="shared" si="1742"/>
        <v>162</v>
      </c>
      <c r="M812">
        <f t="shared" si="1742"/>
        <v>162</v>
      </c>
      <c r="N812">
        <f t="shared" si="1742"/>
        <v>162</v>
      </c>
      <c r="O812">
        <f t="shared" si="1742"/>
        <v>162</v>
      </c>
    </row>
    <row r="813" spans="1:26" x14ac:dyDescent="0.4">
      <c r="C813" t="s">
        <v>539</v>
      </c>
      <c r="D813">
        <f>IFERROR((D808/D810)*D812,1)</f>
        <v>1</v>
      </c>
      <c r="E813">
        <f t="shared" ref="E813:O813" si="1743">IFERROR((E808/E810)*E812,1)</f>
        <v>1</v>
      </c>
      <c r="F813">
        <f t="shared" si="1743"/>
        <v>1</v>
      </c>
      <c r="G813">
        <f t="shared" si="1743"/>
        <v>1</v>
      </c>
      <c r="H813">
        <f t="shared" si="1743"/>
        <v>1</v>
      </c>
      <c r="I813">
        <f t="shared" si="1743"/>
        <v>1</v>
      </c>
      <c r="J813">
        <f t="shared" si="1743"/>
        <v>1</v>
      </c>
      <c r="K813">
        <f t="shared" si="1743"/>
        <v>1</v>
      </c>
      <c r="L813">
        <f t="shared" si="1743"/>
        <v>1</v>
      </c>
      <c r="M813">
        <f t="shared" si="1743"/>
        <v>1</v>
      </c>
      <c r="N813">
        <f t="shared" si="1743"/>
        <v>1</v>
      </c>
      <c r="O813">
        <f t="shared" si="1743"/>
        <v>1</v>
      </c>
    </row>
    <row r="814" spans="1:26" x14ac:dyDescent="0.4">
      <c r="C814" t="s">
        <v>540</v>
      </c>
      <c r="D814">
        <f>IFERROR((D809/D811)*D812,0)</f>
        <v>0</v>
      </c>
      <c r="E814">
        <f t="shared" ref="E814:O814" si="1744">IFERROR((E809/E811)*E812,0)</f>
        <v>0</v>
      </c>
      <c r="F814">
        <f t="shared" si="1744"/>
        <v>0</v>
      </c>
      <c r="G814">
        <f t="shared" si="1744"/>
        <v>0</v>
      </c>
      <c r="H814">
        <f t="shared" si="1744"/>
        <v>0</v>
      </c>
      <c r="I814">
        <f t="shared" si="1744"/>
        <v>0</v>
      </c>
      <c r="J814">
        <f t="shared" si="1744"/>
        <v>0</v>
      </c>
      <c r="K814">
        <f t="shared" si="1744"/>
        <v>0</v>
      </c>
      <c r="L814">
        <f t="shared" si="1744"/>
        <v>0</v>
      </c>
      <c r="M814">
        <f t="shared" si="1744"/>
        <v>0</v>
      </c>
      <c r="N814">
        <f t="shared" si="1744"/>
        <v>0</v>
      </c>
      <c r="O814">
        <f t="shared" si="1744"/>
        <v>0</v>
      </c>
    </row>
    <row r="815" spans="1:26" x14ac:dyDescent="0.4">
      <c r="C815" s="21" t="s">
        <v>534</v>
      </c>
      <c r="D815">
        <f t="shared" ref="D815:O815" si="1745">IFERROR(VLOOKUP(D804,Phys_Prop,4,FALSE),0)</f>
        <v>7</v>
      </c>
      <c r="E815">
        <f t="shared" si="1745"/>
        <v>7</v>
      </c>
      <c r="F815">
        <f t="shared" si="1745"/>
        <v>7</v>
      </c>
      <c r="G815">
        <f t="shared" si="1745"/>
        <v>7</v>
      </c>
      <c r="H815">
        <f t="shared" si="1745"/>
        <v>7</v>
      </c>
      <c r="I815">
        <f t="shared" si="1745"/>
        <v>7</v>
      </c>
      <c r="J815">
        <f t="shared" si="1745"/>
        <v>7</v>
      </c>
      <c r="K815">
        <f t="shared" si="1745"/>
        <v>7</v>
      </c>
      <c r="L815">
        <f t="shared" si="1745"/>
        <v>7</v>
      </c>
      <c r="M815">
        <f t="shared" si="1745"/>
        <v>7</v>
      </c>
      <c r="N815">
        <f t="shared" si="1745"/>
        <v>7</v>
      </c>
      <c r="O815">
        <f t="shared" si="1745"/>
        <v>7</v>
      </c>
    </row>
    <row r="816" spans="1:26" x14ac:dyDescent="0.4">
      <c r="C816" s="21" t="s">
        <v>535</v>
      </c>
      <c r="D816">
        <f t="shared" ref="D816:O816" si="1746">IFERROR(VLOOKUP(D805,Phys_Prop,4,FALSE),0)</f>
        <v>0</v>
      </c>
      <c r="E816">
        <f t="shared" si="1746"/>
        <v>0</v>
      </c>
      <c r="F816">
        <f t="shared" si="1746"/>
        <v>0</v>
      </c>
      <c r="G816">
        <f t="shared" si="1746"/>
        <v>0</v>
      </c>
      <c r="H816">
        <f t="shared" si="1746"/>
        <v>0</v>
      </c>
      <c r="I816">
        <f t="shared" si="1746"/>
        <v>0</v>
      </c>
      <c r="J816">
        <f t="shared" si="1746"/>
        <v>0</v>
      </c>
      <c r="K816">
        <f t="shared" si="1746"/>
        <v>0</v>
      </c>
      <c r="L816">
        <f t="shared" si="1746"/>
        <v>0</v>
      </c>
      <c r="M816">
        <f t="shared" si="1746"/>
        <v>0</v>
      </c>
      <c r="N816">
        <f t="shared" si="1746"/>
        <v>0</v>
      </c>
      <c r="O816">
        <f t="shared" si="1746"/>
        <v>0</v>
      </c>
    </row>
    <row r="817" spans="1:26" x14ac:dyDescent="0.4">
      <c r="A817" s="11"/>
      <c r="B817" s="11"/>
      <c r="C817" s="62" t="s">
        <v>536</v>
      </c>
      <c r="D817" s="11">
        <f>IFERROR(1/(D813/D815+D814/D816),D815)</f>
        <v>7</v>
      </c>
      <c r="E817" s="11">
        <f t="shared" ref="E817:O817" si="1747">IFERROR(1/(E813/E815+E814/E816),E815)</f>
        <v>7</v>
      </c>
      <c r="F817" s="11">
        <f t="shared" si="1747"/>
        <v>7</v>
      </c>
      <c r="G817" s="11">
        <f t="shared" si="1747"/>
        <v>7</v>
      </c>
      <c r="H817" s="11">
        <f t="shared" si="1747"/>
        <v>7</v>
      </c>
      <c r="I817" s="11">
        <f t="shared" si="1747"/>
        <v>7</v>
      </c>
      <c r="J817" s="11">
        <f t="shared" si="1747"/>
        <v>7</v>
      </c>
      <c r="K817" s="11">
        <f t="shared" si="1747"/>
        <v>7</v>
      </c>
      <c r="L817" s="11">
        <f t="shared" si="1747"/>
        <v>7</v>
      </c>
      <c r="M817" s="11">
        <f t="shared" si="1747"/>
        <v>7</v>
      </c>
      <c r="N817" s="11">
        <f t="shared" si="1747"/>
        <v>7</v>
      </c>
      <c r="O817" s="11">
        <f t="shared" si="1747"/>
        <v>7</v>
      </c>
      <c r="P817" s="11"/>
      <c r="Q817" s="11"/>
      <c r="R817" s="11"/>
      <c r="S817" s="11"/>
      <c r="T817" s="11"/>
      <c r="U817" s="11"/>
      <c r="V817" s="11"/>
      <c r="W817" s="11"/>
      <c r="X817" s="11"/>
      <c r="Y817" s="11"/>
      <c r="Z817" s="11"/>
    </row>
    <row r="818" spans="1:26" x14ac:dyDescent="0.4">
      <c r="A818" t="str" cm="1">
        <f t="array" ref="A818">INDEX(FX_Input,R818,S818)</f>
        <v>FX - 59</v>
      </c>
      <c r="B818" t="str" cm="1">
        <f t="array" ref="B818">INDEX(FX_Input,R818,T818)</f>
        <v>Portland</v>
      </c>
      <c r="C818" t="s">
        <v>528</v>
      </c>
      <c r="D818" t="str" cm="1">
        <f t="array" ref="D818">INDEX(FX_Input,$R818,$Y818*D$5+$Z818)</f>
        <v>Jet kerosene</v>
      </c>
      <c r="E818" t="str" cm="1">
        <f t="array" ref="E818">INDEX(FX_Input,$R818,$Y818*E$5+$Z818)</f>
        <v>Jet kerosene</v>
      </c>
      <c r="F818" t="str" cm="1">
        <f t="array" ref="F818">INDEX(FX_Input,$R818,$Y818*F$5+$Z818)</f>
        <v>Jet kerosene</v>
      </c>
      <c r="G818" t="str" cm="1">
        <f t="array" ref="G818">INDEX(FX_Input,$R818,$Y818*G$5+$Z818)</f>
        <v>Jet kerosene</v>
      </c>
      <c r="H818" t="str" cm="1">
        <f t="array" ref="H818">INDEX(FX_Input,$R818,$Y818*H$5+$Z818)</f>
        <v>Jet kerosene</v>
      </c>
      <c r="I818" t="str" cm="1">
        <f t="array" ref="I818">INDEX(FX_Input,$R818,$Y818*I$5+$Z818)</f>
        <v>Jet kerosene</v>
      </c>
      <c r="J818" t="str" cm="1">
        <f t="array" ref="J818">INDEX(FX_Input,$R818,$Y818*J$5+$Z818)</f>
        <v>Jet kerosene</v>
      </c>
      <c r="K818" t="str" cm="1">
        <f t="array" ref="K818">INDEX(FX_Input,$R818,$Y818*K$5+$Z818)</f>
        <v>Jet kerosene</v>
      </c>
      <c r="L818" t="str" cm="1">
        <f t="array" ref="L818">INDEX(FX_Input,$R818,$Y818*L$5+$Z818)</f>
        <v>Jet kerosene</v>
      </c>
      <c r="M818" t="str" cm="1">
        <f t="array" ref="M818">INDEX(FX_Input,$R818,$Y818*M$5+$Z818)</f>
        <v>Jet kerosene</v>
      </c>
      <c r="N818" t="str" cm="1">
        <f t="array" ref="N818">INDEX(FX_Input,$R818,$Y818*N$5+$Z818)</f>
        <v>Jet kerosene</v>
      </c>
      <c r="O818" t="str" cm="1">
        <f t="array" ref="O818">INDEX(FX_Input,$R818,$Y818*O$5+$Z818)</f>
        <v>Jet kerosene</v>
      </c>
      <c r="R818">
        <f>R804+2</f>
        <v>117</v>
      </c>
      <c r="S818">
        <v>1</v>
      </c>
      <c r="T818">
        <v>3</v>
      </c>
      <c r="U818">
        <v>17</v>
      </c>
      <c r="V818">
        <f>U818+5</f>
        <v>22</v>
      </c>
      <c r="W818">
        <v>1</v>
      </c>
      <c r="X818">
        <v>2</v>
      </c>
      <c r="Y818">
        <f t="shared" ref="Y818:Y823" si="1748">(V818-U818)/(X818-W818)</f>
        <v>5</v>
      </c>
      <c r="Z818">
        <f t="shared" ref="Z818:Z823" si="1749">U818-Y818*W818</f>
        <v>12</v>
      </c>
    </row>
    <row r="819" spans="1:26" x14ac:dyDescent="0.4">
      <c r="C819" t="s">
        <v>529</v>
      </c>
      <c r="D819" cm="1">
        <f t="array" ref="D819">INDEX(FX_Input,$R819,$Y819*D$5+$Z819)</f>
        <v>0</v>
      </c>
      <c r="E819" cm="1">
        <f t="array" ref="E819">INDEX(FX_Input,$R819,$Y819*E$5+$Z819)</f>
        <v>0</v>
      </c>
      <c r="F819" cm="1">
        <f t="array" ref="F819">INDEX(FX_Input,$R819,$Y819*F$5+$Z819)</f>
        <v>0</v>
      </c>
      <c r="G819" cm="1">
        <f t="array" ref="G819">INDEX(FX_Input,$R819,$Y819*G$5+$Z819)</f>
        <v>0</v>
      </c>
      <c r="H819" cm="1">
        <f t="array" ref="H819">INDEX(FX_Input,$R819,$Y819*H$5+$Z819)</f>
        <v>0</v>
      </c>
      <c r="I819" cm="1">
        <f t="array" ref="I819">INDEX(FX_Input,$R819,$Y819*I$5+$Z819)</f>
        <v>0</v>
      </c>
      <c r="J819" cm="1">
        <f t="array" ref="J819">INDEX(FX_Input,$R819,$Y819*J$5+$Z819)</f>
        <v>0</v>
      </c>
      <c r="K819" cm="1">
        <f t="array" ref="K819">INDEX(FX_Input,$R819,$Y819*K$5+$Z819)</f>
        <v>0</v>
      </c>
      <c r="L819" cm="1">
        <f t="array" ref="L819">INDEX(FX_Input,$R819,$Y819*L$5+$Z819)</f>
        <v>0</v>
      </c>
      <c r="M819" cm="1">
        <f t="array" ref="M819">INDEX(FX_Input,$R819,$Y819*M$5+$Z819)</f>
        <v>0</v>
      </c>
      <c r="N819" cm="1">
        <f t="array" ref="N819">INDEX(FX_Input,$R819,$Y819*N$5+$Z819)</f>
        <v>0</v>
      </c>
      <c r="O819" cm="1">
        <f t="array" ref="O819">INDEX(FX_Input,$R819,$Y819*O$5+$Z819)</f>
        <v>0</v>
      </c>
      <c r="R819">
        <f>R818+1</f>
        <v>118</v>
      </c>
      <c r="U819">
        <f>U818</f>
        <v>17</v>
      </c>
      <c r="V819">
        <f t="shared" ref="V819:V823" si="1750">U819+5</f>
        <v>22</v>
      </c>
      <c r="W819">
        <v>1</v>
      </c>
      <c r="X819">
        <v>2</v>
      </c>
      <c r="Y819">
        <f t="shared" si="1748"/>
        <v>5</v>
      </c>
      <c r="Z819">
        <f t="shared" si="1749"/>
        <v>12</v>
      </c>
    </row>
    <row r="820" spans="1:26" x14ac:dyDescent="0.4">
      <c r="C820" t="s">
        <v>530</v>
      </c>
      <c r="D820" t="str" cm="1">
        <f t="array" ref="D820">INDEX(FX_Input,$R820,$Y820*D$5+$Z820)</f>
        <v>Select Pet Stock</v>
      </c>
      <c r="E820" t="str" cm="1">
        <f t="array" ref="E820">INDEX(FX_Input,$R820,$Y820*E$5+$Z820)</f>
        <v>Select Pet Stock</v>
      </c>
      <c r="F820" t="str" cm="1">
        <f t="array" ref="F820">INDEX(FX_Input,$R820,$Y820*F$5+$Z820)</f>
        <v>Select Pet Stock</v>
      </c>
      <c r="G820" t="str" cm="1">
        <f t="array" ref="G820">INDEX(FX_Input,$R820,$Y820*G$5+$Z820)</f>
        <v>Select Pet Stock</v>
      </c>
      <c r="H820" t="str" cm="1">
        <f t="array" ref="H820">INDEX(FX_Input,$R820,$Y820*H$5+$Z820)</f>
        <v>Select Pet Stock</v>
      </c>
      <c r="I820" t="str" cm="1">
        <f t="array" ref="I820">INDEX(FX_Input,$R820,$Y820*I$5+$Z820)</f>
        <v>Select Pet Stock</v>
      </c>
      <c r="J820" t="str" cm="1">
        <f t="array" ref="J820">INDEX(FX_Input,$R820,$Y820*J$5+$Z820)</f>
        <v>Select Pet Stock</v>
      </c>
      <c r="K820" t="str" cm="1">
        <f t="array" ref="K820">INDEX(FX_Input,$R820,$Y820*K$5+$Z820)</f>
        <v>Select Pet Stock</v>
      </c>
      <c r="L820" t="str" cm="1">
        <f t="array" ref="L820">INDEX(FX_Input,$R820,$Y820*L$5+$Z820)</f>
        <v>Select Pet Stock</v>
      </c>
      <c r="M820" t="str" cm="1">
        <f t="array" ref="M820">INDEX(FX_Input,$R820,$Y820*M$5+$Z820)</f>
        <v>Select Pet Stock</v>
      </c>
      <c r="N820" t="str" cm="1">
        <f t="array" ref="N820">INDEX(FX_Input,$R820,$Y820*N$5+$Z820)</f>
        <v>Select Pet Stock</v>
      </c>
      <c r="O820" t="str" cm="1">
        <f t="array" ref="O820">INDEX(FX_Input,$R820,$Y820*O$5+$Z820)</f>
        <v>Select Pet Stock</v>
      </c>
      <c r="R820">
        <f>R818</f>
        <v>117</v>
      </c>
      <c r="U820">
        <v>18</v>
      </c>
      <c r="V820">
        <f t="shared" si="1750"/>
        <v>23</v>
      </c>
      <c r="W820">
        <v>1</v>
      </c>
      <c r="X820">
        <v>2</v>
      </c>
      <c r="Y820">
        <f t="shared" si="1748"/>
        <v>5</v>
      </c>
      <c r="Z820">
        <f t="shared" si="1749"/>
        <v>13</v>
      </c>
    </row>
    <row r="821" spans="1:26" x14ac:dyDescent="0.4">
      <c r="C821" t="s">
        <v>531</v>
      </c>
      <c r="D821" cm="1">
        <f t="array" ref="D821">INDEX(FX_Input,$R821,$Y821*D$5+$Z821)</f>
        <v>0</v>
      </c>
      <c r="E821" cm="1">
        <f t="array" ref="E821">INDEX(FX_Input,$R821,$Y821*E$5+$Z821)</f>
        <v>0</v>
      </c>
      <c r="F821" cm="1">
        <f t="array" ref="F821">INDEX(FX_Input,$R821,$Y821*F$5+$Z821)</f>
        <v>0</v>
      </c>
      <c r="G821" cm="1">
        <f t="array" ref="G821">INDEX(FX_Input,$R821,$Y821*G$5+$Z821)</f>
        <v>0</v>
      </c>
      <c r="H821" cm="1">
        <f t="array" ref="H821">INDEX(FX_Input,$R821,$Y821*H$5+$Z821)</f>
        <v>0</v>
      </c>
      <c r="I821" cm="1">
        <f t="array" ref="I821">INDEX(FX_Input,$R821,$Y821*I$5+$Z821)</f>
        <v>0</v>
      </c>
      <c r="J821" cm="1">
        <f t="array" ref="J821">INDEX(FX_Input,$R821,$Y821*J$5+$Z821)</f>
        <v>0</v>
      </c>
      <c r="K821" cm="1">
        <f t="array" ref="K821">INDEX(FX_Input,$R821,$Y821*K$5+$Z821)</f>
        <v>0</v>
      </c>
      <c r="L821" cm="1">
        <f t="array" ref="L821">INDEX(FX_Input,$R821,$Y821*L$5+$Z821)</f>
        <v>0</v>
      </c>
      <c r="M821" cm="1">
        <f t="array" ref="M821">INDEX(FX_Input,$R821,$Y821*M$5+$Z821)</f>
        <v>0</v>
      </c>
      <c r="N821" cm="1">
        <f t="array" ref="N821">INDEX(FX_Input,$R821,$Y821*N$5+$Z821)</f>
        <v>0</v>
      </c>
      <c r="O821" cm="1">
        <f t="array" ref="O821">INDEX(FX_Input,$R821,$Y821*O$5+$Z821)</f>
        <v>0</v>
      </c>
      <c r="R821">
        <f>R819</f>
        <v>118</v>
      </c>
      <c r="U821">
        <f>U820</f>
        <v>18</v>
      </c>
      <c r="V821">
        <f t="shared" si="1750"/>
        <v>23</v>
      </c>
      <c r="W821">
        <v>1</v>
      </c>
      <c r="X821">
        <v>2</v>
      </c>
      <c r="Y821">
        <f t="shared" si="1748"/>
        <v>5</v>
      </c>
      <c r="Z821">
        <f t="shared" si="1749"/>
        <v>13</v>
      </c>
    </row>
    <row r="822" spans="1:26" x14ac:dyDescent="0.4">
      <c r="C822" t="s">
        <v>546</v>
      </c>
      <c r="D822" cm="1">
        <f t="array" ref="D822">INDEX(FX_Input,$R822,$Y822*D$5+$Z822)</f>
        <v>1</v>
      </c>
      <c r="E822" cm="1">
        <f t="array" ref="E822">INDEX(FX_Input,$R822,$Y822*E$5+$Z822)</f>
        <v>1</v>
      </c>
      <c r="F822" cm="1">
        <f t="array" ref="F822">INDEX(FX_Input,$R822,$Y822*F$5+$Z822)</f>
        <v>1</v>
      </c>
      <c r="G822" cm="1">
        <f t="array" ref="G822">INDEX(FX_Input,$R822,$Y822*G$5+$Z822)</f>
        <v>1</v>
      </c>
      <c r="H822" cm="1">
        <f t="array" ref="H822">INDEX(FX_Input,$R822,$Y822*H$5+$Z822)</f>
        <v>1</v>
      </c>
      <c r="I822" cm="1">
        <f t="array" ref="I822">INDEX(FX_Input,$R822,$Y822*I$5+$Z822)</f>
        <v>1</v>
      </c>
      <c r="J822" cm="1">
        <f t="array" ref="J822">INDEX(FX_Input,$R822,$Y822*J$5+$Z822)</f>
        <v>1</v>
      </c>
      <c r="K822" cm="1">
        <f t="array" ref="K822">INDEX(FX_Input,$R822,$Y822*K$5+$Z822)</f>
        <v>1</v>
      </c>
      <c r="L822" cm="1">
        <f t="array" ref="L822">INDEX(FX_Input,$R822,$Y822*L$5+$Z822)</f>
        <v>1</v>
      </c>
      <c r="M822" cm="1">
        <f t="array" ref="M822">INDEX(FX_Input,$R822,$Y822*M$5+$Z822)</f>
        <v>1</v>
      </c>
      <c r="N822" cm="1">
        <f t="array" ref="N822">INDEX(FX_Input,$R822,$Y822*N$5+$Z822)</f>
        <v>1</v>
      </c>
      <c r="O822" cm="1">
        <f t="array" ref="O822">INDEX(FX_Input,$R822,$Y822*O$5+$Z822)</f>
        <v>1</v>
      </c>
      <c r="R822">
        <f>R820</f>
        <v>117</v>
      </c>
      <c r="U822">
        <v>21</v>
      </c>
      <c r="V822">
        <f t="shared" si="1750"/>
        <v>26</v>
      </c>
      <c r="W822">
        <v>1</v>
      </c>
      <c r="X822">
        <v>2</v>
      </c>
      <c r="Y822">
        <f t="shared" si="1748"/>
        <v>5</v>
      </c>
      <c r="Z822">
        <f t="shared" si="1749"/>
        <v>16</v>
      </c>
    </row>
    <row r="823" spans="1:26" x14ac:dyDescent="0.4">
      <c r="C823" t="s">
        <v>547</v>
      </c>
      <c r="D823" cm="1">
        <f t="array" ref="D823">INDEX(FX_Input,$R823,$Y823*D$5+$Z823)</f>
        <v>0</v>
      </c>
      <c r="E823" cm="1">
        <f t="array" ref="E823">INDEX(FX_Input,$R823,$Y823*E$5+$Z823)</f>
        <v>0</v>
      </c>
      <c r="F823" cm="1">
        <f t="array" ref="F823">INDEX(FX_Input,$R823,$Y823*F$5+$Z823)</f>
        <v>0</v>
      </c>
      <c r="G823" cm="1">
        <f t="array" ref="G823">INDEX(FX_Input,$R823,$Y823*G$5+$Z823)</f>
        <v>0</v>
      </c>
      <c r="H823" cm="1">
        <f t="array" ref="H823">INDEX(FX_Input,$R823,$Y823*H$5+$Z823)</f>
        <v>0</v>
      </c>
      <c r="I823" cm="1">
        <f t="array" ref="I823">INDEX(FX_Input,$R823,$Y823*I$5+$Z823)</f>
        <v>0</v>
      </c>
      <c r="J823" cm="1">
        <f t="array" ref="J823">INDEX(FX_Input,$R823,$Y823*J$5+$Z823)</f>
        <v>0</v>
      </c>
      <c r="K823" cm="1">
        <f t="array" ref="K823">INDEX(FX_Input,$R823,$Y823*K$5+$Z823)</f>
        <v>0</v>
      </c>
      <c r="L823" cm="1">
        <f t="array" ref="L823">INDEX(FX_Input,$R823,$Y823*L$5+$Z823)</f>
        <v>0</v>
      </c>
      <c r="M823" cm="1">
        <f t="array" ref="M823">INDEX(FX_Input,$R823,$Y823*M$5+$Z823)</f>
        <v>0</v>
      </c>
      <c r="N823" cm="1">
        <f t="array" ref="N823">INDEX(FX_Input,$R823,$Y823*N$5+$Z823)</f>
        <v>0</v>
      </c>
      <c r="O823" cm="1">
        <f t="array" ref="O823">INDEX(FX_Input,$R823,$Y823*O$5+$Z823)</f>
        <v>0</v>
      </c>
      <c r="R823">
        <f>R821</f>
        <v>118</v>
      </c>
      <c r="U823">
        <f>U822</f>
        <v>21</v>
      </c>
      <c r="V823">
        <f t="shared" si="1750"/>
        <v>26</v>
      </c>
      <c r="W823">
        <v>1</v>
      </c>
      <c r="X823">
        <v>2</v>
      </c>
      <c r="Y823">
        <f t="shared" si="1748"/>
        <v>5</v>
      </c>
      <c r="Z823">
        <f t="shared" si="1749"/>
        <v>16</v>
      </c>
    </row>
    <row r="824" spans="1:26" x14ac:dyDescent="0.4">
      <c r="C824" t="s">
        <v>532</v>
      </c>
      <c r="D824">
        <f t="shared" ref="D824:O824" si="1751">IFERROR(VLOOKUP(D818,Phys_Prop,2,FALSE),0)</f>
        <v>162</v>
      </c>
      <c r="E824">
        <f t="shared" si="1751"/>
        <v>162</v>
      </c>
      <c r="F824">
        <f t="shared" si="1751"/>
        <v>162</v>
      </c>
      <c r="G824">
        <f t="shared" si="1751"/>
        <v>162</v>
      </c>
      <c r="H824">
        <f t="shared" si="1751"/>
        <v>162</v>
      </c>
      <c r="I824">
        <f t="shared" si="1751"/>
        <v>162</v>
      </c>
      <c r="J824">
        <f t="shared" si="1751"/>
        <v>162</v>
      </c>
      <c r="K824">
        <f t="shared" si="1751"/>
        <v>162</v>
      </c>
      <c r="L824">
        <f t="shared" si="1751"/>
        <v>162</v>
      </c>
      <c r="M824">
        <f t="shared" si="1751"/>
        <v>162</v>
      </c>
      <c r="N824">
        <f t="shared" si="1751"/>
        <v>162</v>
      </c>
      <c r="O824">
        <f t="shared" si="1751"/>
        <v>162</v>
      </c>
    </row>
    <row r="825" spans="1:26" x14ac:dyDescent="0.4">
      <c r="C825" t="s">
        <v>533</v>
      </c>
      <c r="D825">
        <f t="shared" ref="D825:O825" si="1752">IFERROR(VLOOKUP(D819,Phys_Prop,2,FALSE),0)</f>
        <v>0</v>
      </c>
      <c r="E825">
        <f t="shared" si="1752"/>
        <v>0</v>
      </c>
      <c r="F825">
        <f t="shared" si="1752"/>
        <v>0</v>
      </c>
      <c r="G825">
        <f t="shared" si="1752"/>
        <v>0</v>
      </c>
      <c r="H825">
        <f t="shared" si="1752"/>
        <v>0</v>
      </c>
      <c r="I825">
        <f t="shared" si="1752"/>
        <v>0</v>
      </c>
      <c r="J825">
        <f t="shared" si="1752"/>
        <v>0</v>
      </c>
      <c r="K825">
        <f t="shared" si="1752"/>
        <v>0</v>
      </c>
      <c r="L825">
        <f t="shared" si="1752"/>
        <v>0</v>
      </c>
      <c r="M825">
        <f t="shared" si="1752"/>
        <v>0</v>
      </c>
      <c r="N825">
        <f t="shared" si="1752"/>
        <v>0</v>
      </c>
      <c r="O825">
        <f t="shared" si="1752"/>
        <v>0</v>
      </c>
    </row>
    <row r="826" spans="1:26" x14ac:dyDescent="0.4">
      <c r="C826" t="s">
        <v>544</v>
      </c>
      <c r="D826">
        <f>IFERROR(IFERROR(D824/D822+D825/D823,D824/D822),0)</f>
        <v>162</v>
      </c>
      <c r="E826">
        <f t="shared" ref="E826:O826" si="1753">IFERROR(IFERROR(E824/E822+E825/E823,E824/E822),0)</f>
        <v>162</v>
      </c>
      <c r="F826">
        <f t="shared" si="1753"/>
        <v>162</v>
      </c>
      <c r="G826">
        <f t="shared" si="1753"/>
        <v>162</v>
      </c>
      <c r="H826">
        <f t="shared" si="1753"/>
        <v>162</v>
      </c>
      <c r="I826">
        <f t="shared" si="1753"/>
        <v>162</v>
      </c>
      <c r="J826">
        <f t="shared" si="1753"/>
        <v>162</v>
      </c>
      <c r="K826">
        <f t="shared" si="1753"/>
        <v>162</v>
      </c>
      <c r="L826">
        <f t="shared" si="1753"/>
        <v>162</v>
      </c>
      <c r="M826">
        <f t="shared" si="1753"/>
        <v>162</v>
      </c>
      <c r="N826">
        <f t="shared" si="1753"/>
        <v>162</v>
      </c>
      <c r="O826">
        <f t="shared" si="1753"/>
        <v>162</v>
      </c>
    </row>
    <row r="827" spans="1:26" x14ac:dyDescent="0.4">
      <c r="C827" t="s">
        <v>539</v>
      </c>
      <c r="D827">
        <f>IFERROR((D822/D824)*D826,1)</f>
        <v>1</v>
      </c>
      <c r="E827">
        <f t="shared" ref="E827:O827" si="1754">IFERROR((E822/E824)*E826,1)</f>
        <v>1</v>
      </c>
      <c r="F827">
        <f t="shared" si="1754"/>
        <v>1</v>
      </c>
      <c r="G827">
        <f t="shared" si="1754"/>
        <v>1</v>
      </c>
      <c r="H827">
        <f t="shared" si="1754"/>
        <v>1</v>
      </c>
      <c r="I827">
        <f t="shared" si="1754"/>
        <v>1</v>
      </c>
      <c r="J827">
        <f t="shared" si="1754"/>
        <v>1</v>
      </c>
      <c r="K827">
        <f t="shared" si="1754"/>
        <v>1</v>
      </c>
      <c r="L827">
        <f t="shared" si="1754"/>
        <v>1</v>
      </c>
      <c r="M827">
        <f t="shared" si="1754"/>
        <v>1</v>
      </c>
      <c r="N827">
        <f t="shared" si="1754"/>
        <v>1</v>
      </c>
      <c r="O827">
        <f t="shared" si="1754"/>
        <v>1</v>
      </c>
    </row>
    <row r="828" spans="1:26" x14ac:dyDescent="0.4">
      <c r="C828" t="s">
        <v>540</v>
      </c>
      <c r="D828">
        <f>IFERROR((D823/D825)*D826,0)</f>
        <v>0</v>
      </c>
      <c r="E828">
        <f t="shared" ref="E828:O828" si="1755">IFERROR((E823/E825)*E826,0)</f>
        <v>0</v>
      </c>
      <c r="F828">
        <f t="shared" si="1755"/>
        <v>0</v>
      </c>
      <c r="G828">
        <f t="shared" si="1755"/>
        <v>0</v>
      </c>
      <c r="H828">
        <f t="shared" si="1755"/>
        <v>0</v>
      </c>
      <c r="I828">
        <f t="shared" si="1755"/>
        <v>0</v>
      </c>
      <c r="J828">
        <f t="shared" si="1755"/>
        <v>0</v>
      </c>
      <c r="K828">
        <f t="shared" si="1755"/>
        <v>0</v>
      </c>
      <c r="L828">
        <f t="shared" si="1755"/>
        <v>0</v>
      </c>
      <c r="M828">
        <f t="shared" si="1755"/>
        <v>0</v>
      </c>
      <c r="N828">
        <f t="shared" si="1755"/>
        <v>0</v>
      </c>
      <c r="O828">
        <f t="shared" si="1755"/>
        <v>0</v>
      </c>
    </row>
    <row r="829" spans="1:26" x14ac:dyDescent="0.4">
      <c r="C829" s="21" t="s">
        <v>534</v>
      </c>
      <c r="D829">
        <f t="shared" ref="D829:O829" si="1756">IFERROR(VLOOKUP(D818,Phys_Prop,4,FALSE),0)</f>
        <v>7</v>
      </c>
      <c r="E829">
        <f t="shared" si="1756"/>
        <v>7</v>
      </c>
      <c r="F829">
        <f t="shared" si="1756"/>
        <v>7</v>
      </c>
      <c r="G829">
        <f t="shared" si="1756"/>
        <v>7</v>
      </c>
      <c r="H829">
        <f t="shared" si="1756"/>
        <v>7</v>
      </c>
      <c r="I829">
        <f t="shared" si="1756"/>
        <v>7</v>
      </c>
      <c r="J829">
        <f t="shared" si="1756"/>
        <v>7</v>
      </c>
      <c r="K829">
        <f t="shared" si="1756"/>
        <v>7</v>
      </c>
      <c r="L829">
        <f t="shared" si="1756"/>
        <v>7</v>
      </c>
      <c r="M829">
        <f t="shared" si="1756"/>
        <v>7</v>
      </c>
      <c r="N829">
        <f t="shared" si="1756"/>
        <v>7</v>
      </c>
      <c r="O829">
        <f t="shared" si="1756"/>
        <v>7</v>
      </c>
    </row>
    <row r="830" spans="1:26" x14ac:dyDescent="0.4">
      <c r="C830" s="21" t="s">
        <v>535</v>
      </c>
      <c r="D830">
        <f t="shared" ref="D830:O830" si="1757">IFERROR(VLOOKUP(D819,Phys_Prop,4,FALSE),0)</f>
        <v>0</v>
      </c>
      <c r="E830">
        <f t="shared" si="1757"/>
        <v>0</v>
      </c>
      <c r="F830">
        <f t="shared" si="1757"/>
        <v>0</v>
      </c>
      <c r="G830">
        <f t="shared" si="1757"/>
        <v>0</v>
      </c>
      <c r="H830">
        <f t="shared" si="1757"/>
        <v>0</v>
      </c>
      <c r="I830">
        <f t="shared" si="1757"/>
        <v>0</v>
      </c>
      <c r="J830">
        <f t="shared" si="1757"/>
        <v>0</v>
      </c>
      <c r="K830">
        <f t="shared" si="1757"/>
        <v>0</v>
      </c>
      <c r="L830">
        <f t="shared" si="1757"/>
        <v>0</v>
      </c>
      <c r="M830">
        <f t="shared" si="1757"/>
        <v>0</v>
      </c>
      <c r="N830">
        <f t="shared" si="1757"/>
        <v>0</v>
      </c>
      <c r="O830">
        <f t="shared" si="1757"/>
        <v>0</v>
      </c>
    </row>
    <row r="831" spans="1:26" x14ac:dyDescent="0.4">
      <c r="A831" s="11"/>
      <c r="B831" s="11"/>
      <c r="C831" s="62" t="s">
        <v>536</v>
      </c>
      <c r="D831" s="11">
        <f>IFERROR(1/(D827/D829+D828/D830),D829)</f>
        <v>7</v>
      </c>
      <c r="E831" s="11">
        <f t="shared" ref="E831:O831" si="1758">IFERROR(1/(E827/E829+E828/E830),E829)</f>
        <v>7</v>
      </c>
      <c r="F831" s="11">
        <f t="shared" si="1758"/>
        <v>7</v>
      </c>
      <c r="G831" s="11">
        <f t="shared" si="1758"/>
        <v>7</v>
      </c>
      <c r="H831" s="11">
        <f t="shared" si="1758"/>
        <v>7</v>
      </c>
      <c r="I831" s="11">
        <f t="shared" si="1758"/>
        <v>7</v>
      </c>
      <c r="J831" s="11">
        <f t="shared" si="1758"/>
        <v>7</v>
      </c>
      <c r="K831" s="11">
        <f t="shared" si="1758"/>
        <v>7</v>
      </c>
      <c r="L831" s="11">
        <f t="shared" si="1758"/>
        <v>7</v>
      </c>
      <c r="M831" s="11">
        <f t="shared" si="1758"/>
        <v>7</v>
      </c>
      <c r="N831" s="11">
        <f t="shared" si="1758"/>
        <v>7</v>
      </c>
      <c r="O831" s="11">
        <f t="shared" si="1758"/>
        <v>7</v>
      </c>
      <c r="P831" s="11"/>
      <c r="Q831" s="11"/>
      <c r="R831" s="11"/>
      <c r="S831" s="11"/>
      <c r="T831" s="11"/>
      <c r="U831" s="11"/>
      <c r="V831" s="11"/>
      <c r="W831" s="11"/>
      <c r="X831" s="11"/>
      <c r="Y831" s="11"/>
      <c r="Z831" s="11"/>
    </row>
    <row r="832" spans="1:26" x14ac:dyDescent="0.4">
      <c r="A832" t="str" cm="1">
        <f t="array" ref="A832">INDEX(FX_Input,R832,S832)</f>
        <v>FX - 60</v>
      </c>
      <c r="B832" t="str" cm="1">
        <f t="array" ref="B832">INDEX(FX_Input,R832,T832)</f>
        <v>Portland</v>
      </c>
      <c r="C832" t="s">
        <v>528</v>
      </c>
      <c r="D832" t="str" cm="1">
        <f t="array" ref="D832">INDEX(FX_Input,$R832,$Y832*D$5+$Z832)</f>
        <v>Jet kerosene</v>
      </c>
      <c r="E832" t="str" cm="1">
        <f t="array" ref="E832">INDEX(FX_Input,$R832,$Y832*E$5+$Z832)</f>
        <v>Jet kerosene</v>
      </c>
      <c r="F832" t="str" cm="1">
        <f t="array" ref="F832">INDEX(FX_Input,$R832,$Y832*F$5+$Z832)</f>
        <v>Jet kerosene</v>
      </c>
      <c r="G832" t="str" cm="1">
        <f t="array" ref="G832">INDEX(FX_Input,$R832,$Y832*G$5+$Z832)</f>
        <v>Jet kerosene</v>
      </c>
      <c r="H832" t="str" cm="1">
        <f t="array" ref="H832">INDEX(FX_Input,$R832,$Y832*H$5+$Z832)</f>
        <v>Jet kerosene</v>
      </c>
      <c r="I832" t="str" cm="1">
        <f t="array" ref="I832">INDEX(FX_Input,$R832,$Y832*I$5+$Z832)</f>
        <v>Jet kerosene</v>
      </c>
      <c r="J832" t="str" cm="1">
        <f t="array" ref="J832">INDEX(FX_Input,$R832,$Y832*J$5+$Z832)</f>
        <v>Jet kerosene</v>
      </c>
      <c r="K832" t="str" cm="1">
        <f t="array" ref="K832">INDEX(FX_Input,$R832,$Y832*K$5+$Z832)</f>
        <v>Jet kerosene</v>
      </c>
      <c r="L832" t="str" cm="1">
        <f t="array" ref="L832">INDEX(FX_Input,$R832,$Y832*L$5+$Z832)</f>
        <v>Jet kerosene</v>
      </c>
      <c r="M832" t="str" cm="1">
        <f t="array" ref="M832">INDEX(FX_Input,$R832,$Y832*M$5+$Z832)</f>
        <v>Jet kerosene</v>
      </c>
      <c r="N832" t="str" cm="1">
        <f t="array" ref="N832">INDEX(FX_Input,$R832,$Y832*N$5+$Z832)</f>
        <v>Jet kerosene</v>
      </c>
      <c r="O832" t="str" cm="1">
        <f t="array" ref="O832">INDEX(FX_Input,$R832,$Y832*O$5+$Z832)</f>
        <v>Jet kerosene</v>
      </c>
      <c r="R832">
        <f>R818+2</f>
        <v>119</v>
      </c>
      <c r="S832">
        <v>1</v>
      </c>
      <c r="T832">
        <v>3</v>
      </c>
      <c r="U832">
        <v>17</v>
      </c>
      <c r="V832">
        <f>U832+5</f>
        <v>22</v>
      </c>
      <c r="W832">
        <v>1</v>
      </c>
      <c r="X832">
        <v>2</v>
      </c>
      <c r="Y832">
        <f t="shared" ref="Y832:Y837" si="1759">(V832-U832)/(X832-W832)</f>
        <v>5</v>
      </c>
      <c r="Z832">
        <f t="shared" ref="Z832:Z837" si="1760">U832-Y832*W832</f>
        <v>12</v>
      </c>
    </row>
    <row r="833" spans="1:26" x14ac:dyDescent="0.4">
      <c r="C833" t="s">
        <v>529</v>
      </c>
      <c r="D833" cm="1">
        <f t="array" ref="D833">INDEX(FX_Input,$R833,$Y833*D$5+$Z833)</f>
        <v>0</v>
      </c>
      <c r="E833" cm="1">
        <f t="array" ref="E833">INDEX(FX_Input,$R833,$Y833*E$5+$Z833)</f>
        <v>0</v>
      </c>
      <c r="F833" cm="1">
        <f t="array" ref="F833">INDEX(FX_Input,$R833,$Y833*F$5+$Z833)</f>
        <v>0</v>
      </c>
      <c r="G833" cm="1">
        <f t="array" ref="G833">INDEX(FX_Input,$R833,$Y833*G$5+$Z833)</f>
        <v>0</v>
      </c>
      <c r="H833" cm="1">
        <f t="array" ref="H833">INDEX(FX_Input,$R833,$Y833*H$5+$Z833)</f>
        <v>0</v>
      </c>
      <c r="I833" cm="1">
        <f t="array" ref="I833">INDEX(FX_Input,$R833,$Y833*I$5+$Z833)</f>
        <v>0</v>
      </c>
      <c r="J833" cm="1">
        <f t="array" ref="J833">INDEX(FX_Input,$R833,$Y833*J$5+$Z833)</f>
        <v>0</v>
      </c>
      <c r="K833" cm="1">
        <f t="array" ref="K833">INDEX(FX_Input,$R833,$Y833*K$5+$Z833)</f>
        <v>0</v>
      </c>
      <c r="L833" cm="1">
        <f t="array" ref="L833">INDEX(FX_Input,$R833,$Y833*L$5+$Z833)</f>
        <v>0</v>
      </c>
      <c r="M833" cm="1">
        <f t="array" ref="M833">INDEX(FX_Input,$R833,$Y833*M$5+$Z833)</f>
        <v>0</v>
      </c>
      <c r="N833" cm="1">
        <f t="array" ref="N833">INDEX(FX_Input,$R833,$Y833*N$5+$Z833)</f>
        <v>0</v>
      </c>
      <c r="O833" cm="1">
        <f t="array" ref="O833">INDEX(FX_Input,$R833,$Y833*O$5+$Z833)</f>
        <v>0</v>
      </c>
      <c r="R833">
        <f>R832+1</f>
        <v>120</v>
      </c>
      <c r="U833">
        <f>U832</f>
        <v>17</v>
      </c>
      <c r="V833">
        <f t="shared" ref="V833:V837" si="1761">U833+5</f>
        <v>22</v>
      </c>
      <c r="W833">
        <v>1</v>
      </c>
      <c r="X833">
        <v>2</v>
      </c>
      <c r="Y833">
        <f t="shared" si="1759"/>
        <v>5</v>
      </c>
      <c r="Z833">
        <f t="shared" si="1760"/>
        <v>12</v>
      </c>
    </row>
    <row r="834" spans="1:26" x14ac:dyDescent="0.4">
      <c r="C834" t="s">
        <v>530</v>
      </c>
      <c r="D834" t="str" cm="1">
        <f t="array" ref="D834">INDEX(FX_Input,$R834,$Y834*D$5+$Z834)</f>
        <v>Select Pet Stock</v>
      </c>
      <c r="E834" t="str" cm="1">
        <f t="array" ref="E834">INDEX(FX_Input,$R834,$Y834*E$5+$Z834)</f>
        <v>Select Pet Stock</v>
      </c>
      <c r="F834" t="str" cm="1">
        <f t="array" ref="F834">INDEX(FX_Input,$R834,$Y834*F$5+$Z834)</f>
        <v>Select Pet Stock</v>
      </c>
      <c r="G834" t="str" cm="1">
        <f t="array" ref="G834">INDEX(FX_Input,$R834,$Y834*G$5+$Z834)</f>
        <v>Select Pet Stock</v>
      </c>
      <c r="H834" t="str" cm="1">
        <f t="array" ref="H834">INDEX(FX_Input,$R834,$Y834*H$5+$Z834)</f>
        <v>Select Pet Stock</v>
      </c>
      <c r="I834" t="str" cm="1">
        <f t="array" ref="I834">INDEX(FX_Input,$R834,$Y834*I$5+$Z834)</f>
        <v>Select Pet Stock</v>
      </c>
      <c r="J834" t="str" cm="1">
        <f t="array" ref="J834">INDEX(FX_Input,$R834,$Y834*J$5+$Z834)</f>
        <v>Select Pet Stock</v>
      </c>
      <c r="K834" t="str" cm="1">
        <f t="array" ref="K834">INDEX(FX_Input,$R834,$Y834*K$5+$Z834)</f>
        <v>Select Pet Stock</v>
      </c>
      <c r="L834" t="str" cm="1">
        <f t="array" ref="L834">INDEX(FX_Input,$R834,$Y834*L$5+$Z834)</f>
        <v>Select Pet Stock</v>
      </c>
      <c r="M834" t="str" cm="1">
        <f t="array" ref="M834">INDEX(FX_Input,$R834,$Y834*M$5+$Z834)</f>
        <v>Select Pet Stock</v>
      </c>
      <c r="N834" t="str" cm="1">
        <f t="array" ref="N834">INDEX(FX_Input,$R834,$Y834*N$5+$Z834)</f>
        <v>Select Pet Stock</v>
      </c>
      <c r="O834" t="str" cm="1">
        <f t="array" ref="O834">INDEX(FX_Input,$R834,$Y834*O$5+$Z834)</f>
        <v>Select Pet Stock</v>
      </c>
      <c r="R834">
        <f>R832</f>
        <v>119</v>
      </c>
      <c r="U834">
        <v>18</v>
      </c>
      <c r="V834">
        <f t="shared" si="1761"/>
        <v>23</v>
      </c>
      <c r="W834">
        <v>1</v>
      </c>
      <c r="X834">
        <v>2</v>
      </c>
      <c r="Y834">
        <f t="shared" si="1759"/>
        <v>5</v>
      </c>
      <c r="Z834">
        <f t="shared" si="1760"/>
        <v>13</v>
      </c>
    </row>
    <row r="835" spans="1:26" x14ac:dyDescent="0.4">
      <c r="C835" t="s">
        <v>531</v>
      </c>
      <c r="D835" cm="1">
        <f t="array" ref="D835">INDEX(FX_Input,$R835,$Y835*D$5+$Z835)</f>
        <v>0</v>
      </c>
      <c r="E835" cm="1">
        <f t="array" ref="E835">INDEX(FX_Input,$R835,$Y835*E$5+$Z835)</f>
        <v>0</v>
      </c>
      <c r="F835" cm="1">
        <f t="array" ref="F835">INDEX(FX_Input,$R835,$Y835*F$5+$Z835)</f>
        <v>0</v>
      </c>
      <c r="G835" cm="1">
        <f t="array" ref="G835">INDEX(FX_Input,$R835,$Y835*G$5+$Z835)</f>
        <v>0</v>
      </c>
      <c r="H835" cm="1">
        <f t="array" ref="H835">INDEX(FX_Input,$R835,$Y835*H$5+$Z835)</f>
        <v>0</v>
      </c>
      <c r="I835" cm="1">
        <f t="array" ref="I835">INDEX(FX_Input,$R835,$Y835*I$5+$Z835)</f>
        <v>0</v>
      </c>
      <c r="J835" cm="1">
        <f t="array" ref="J835">INDEX(FX_Input,$R835,$Y835*J$5+$Z835)</f>
        <v>0</v>
      </c>
      <c r="K835" cm="1">
        <f t="array" ref="K835">INDEX(FX_Input,$R835,$Y835*K$5+$Z835)</f>
        <v>0</v>
      </c>
      <c r="L835" cm="1">
        <f t="array" ref="L835">INDEX(FX_Input,$R835,$Y835*L$5+$Z835)</f>
        <v>0</v>
      </c>
      <c r="M835" cm="1">
        <f t="array" ref="M835">INDEX(FX_Input,$R835,$Y835*M$5+$Z835)</f>
        <v>0</v>
      </c>
      <c r="N835" cm="1">
        <f t="array" ref="N835">INDEX(FX_Input,$R835,$Y835*N$5+$Z835)</f>
        <v>0</v>
      </c>
      <c r="O835" cm="1">
        <f t="array" ref="O835">INDEX(FX_Input,$R835,$Y835*O$5+$Z835)</f>
        <v>0</v>
      </c>
      <c r="R835">
        <f>R833</f>
        <v>120</v>
      </c>
      <c r="U835">
        <f>U834</f>
        <v>18</v>
      </c>
      <c r="V835">
        <f t="shared" si="1761"/>
        <v>23</v>
      </c>
      <c r="W835">
        <v>1</v>
      </c>
      <c r="X835">
        <v>2</v>
      </c>
      <c r="Y835">
        <f t="shared" si="1759"/>
        <v>5</v>
      </c>
      <c r="Z835">
        <f t="shared" si="1760"/>
        <v>13</v>
      </c>
    </row>
    <row r="836" spans="1:26" x14ac:dyDescent="0.4">
      <c r="C836" t="s">
        <v>546</v>
      </c>
      <c r="D836" cm="1">
        <f t="array" ref="D836">INDEX(FX_Input,$R836,$Y836*D$5+$Z836)</f>
        <v>1</v>
      </c>
      <c r="E836" cm="1">
        <f t="array" ref="E836">INDEX(FX_Input,$R836,$Y836*E$5+$Z836)</f>
        <v>1</v>
      </c>
      <c r="F836" cm="1">
        <f t="array" ref="F836">INDEX(FX_Input,$R836,$Y836*F$5+$Z836)</f>
        <v>1</v>
      </c>
      <c r="G836" cm="1">
        <f t="array" ref="G836">INDEX(FX_Input,$R836,$Y836*G$5+$Z836)</f>
        <v>1</v>
      </c>
      <c r="H836" cm="1">
        <f t="array" ref="H836">INDEX(FX_Input,$R836,$Y836*H$5+$Z836)</f>
        <v>1</v>
      </c>
      <c r="I836" cm="1">
        <f t="array" ref="I836">INDEX(FX_Input,$R836,$Y836*I$5+$Z836)</f>
        <v>1</v>
      </c>
      <c r="J836" cm="1">
        <f t="array" ref="J836">INDEX(FX_Input,$R836,$Y836*J$5+$Z836)</f>
        <v>1</v>
      </c>
      <c r="K836" cm="1">
        <f t="array" ref="K836">INDEX(FX_Input,$R836,$Y836*K$5+$Z836)</f>
        <v>1</v>
      </c>
      <c r="L836" cm="1">
        <f t="array" ref="L836">INDEX(FX_Input,$R836,$Y836*L$5+$Z836)</f>
        <v>1</v>
      </c>
      <c r="M836" cm="1">
        <f t="array" ref="M836">INDEX(FX_Input,$R836,$Y836*M$5+$Z836)</f>
        <v>1</v>
      </c>
      <c r="N836" cm="1">
        <f t="array" ref="N836">INDEX(FX_Input,$R836,$Y836*N$5+$Z836)</f>
        <v>1</v>
      </c>
      <c r="O836" cm="1">
        <f t="array" ref="O836">INDEX(FX_Input,$R836,$Y836*O$5+$Z836)</f>
        <v>1</v>
      </c>
      <c r="R836">
        <f>R834</f>
        <v>119</v>
      </c>
      <c r="U836">
        <v>21</v>
      </c>
      <c r="V836">
        <f t="shared" si="1761"/>
        <v>26</v>
      </c>
      <c r="W836">
        <v>1</v>
      </c>
      <c r="X836">
        <v>2</v>
      </c>
      <c r="Y836">
        <f t="shared" si="1759"/>
        <v>5</v>
      </c>
      <c r="Z836">
        <f t="shared" si="1760"/>
        <v>16</v>
      </c>
    </row>
    <row r="837" spans="1:26" x14ac:dyDescent="0.4">
      <c r="C837" t="s">
        <v>547</v>
      </c>
      <c r="D837" cm="1">
        <f t="array" ref="D837">INDEX(FX_Input,$R837,$Y837*D$5+$Z837)</f>
        <v>0</v>
      </c>
      <c r="E837" cm="1">
        <f t="array" ref="E837">INDEX(FX_Input,$R837,$Y837*E$5+$Z837)</f>
        <v>0</v>
      </c>
      <c r="F837" cm="1">
        <f t="array" ref="F837">INDEX(FX_Input,$R837,$Y837*F$5+$Z837)</f>
        <v>0</v>
      </c>
      <c r="G837" cm="1">
        <f t="array" ref="G837">INDEX(FX_Input,$R837,$Y837*G$5+$Z837)</f>
        <v>0</v>
      </c>
      <c r="H837" cm="1">
        <f t="array" ref="H837">INDEX(FX_Input,$R837,$Y837*H$5+$Z837)</f>
        <v>0</v>
      </c>
      <c r="I837" cm="1">
        <f t="array" ref="I837">INDEX(FX_Input,$R837,$Y837*I$5+$Z837)</f>
        <v>0</v>
      </c>
      <c r="J837" cm="1">
        <f t="array" ref="J837">INDEX(FX_Input,$R837,$Y837*J$5+$Z837)</f>
        <v>0</v>
      </c>
      <c r="K837" cm="1">
        <f t="array" ref="K837">INDEX(FX_Input,$R837,$Y837*K$5+$Z837)</f>
        <v>0</v>
      </c>
      <c r="L837" cm="1">
        <f t="array" ref="L837">INDEX(FX_Input,$R837,$Y837*L$5+$Z837)</f>
        <v>0</v>
      </c>
      <c r="M837" cm="1">
        <f t="array" ref="M837">INDEX(FX_Input,$R837,$Y837*M$5+$Z837)</f>
        <v>0</v>
      </c>
      <c r="N837" cm="1">
        <f t="array" ref="N837">INDEX(FX_Input,$R837,$Y837*N$5+$Z837)</f>
        <v>0</v>
      </c>
      <c r="O837" cm="1">
        <f t="array" ref="O837">INDEX(FX_Input,$R837,$Y837*O$5+$Z837)</f>
        <v>0</v>
      </c>
      <c r="R837">
        <f>R835</f>
        <v>120</v>
      </c>
      <c r="U837">
        <f>U836</f>
        <v>21</v>
      </c>
      <c r="V837">
        <f t="shared" si="1761"/>
        <v>26</v>
      </c>
      <c r="W837">
        <v>1</v>
      </c>
      <c r="X837">
        <v>2</v>
      </c>
      <c r="Y837">
        <f t="shared" si="1759"/>
        <v>5</v>
      </c>
      <c r="Z837">
        <f t="shared" si="1760"/>
        <v>16</v>
      </c>
    </row>
    <row r="838" spans="1:26" x14ac:dyDescent="0.4">
      <c r="C838" t="s">
        <v>532</v>
      </c>
      <c r="D838">
        <f t="shared" ref="D838:O838" si="1762">IFERROR(VLOOKUP(D832,Phys_Prop,2,FALSE),0)</f>
        <v>162</v>
      </c>
      <c r="E838">
        <f t="shared" si="1762"/>
        <v>162</v>
      </c>
      <c r="F838">
        <f t="shared" si="1762"/>
        <v>162</v>
      </c>
      <c r="G838">
        <f t="shared" si="1762"/>
        <v>162</v>
      </c>
      <c r="H838">
        <f t="shared" si="1762"/>
        <v>162</v>
      </c>
      <c r="I838">
        <f t="shared" si="1762"/>
        <v>162</v>
      </c>
      <c r="J838">
        <f t="shared" si="1762"/>
        <v>162</v>
      </c>
      <c r="K838">
        <f t="shared" si="1762"/>
        <v>162</v>
      </c>
      <c r="L838">
        <f t="shared" si="1762"/>
        <v>162</v>
      </c>
      <c r="M838">
        <f t="shared" si="1762"/>
        <v>162</v>
      </c>
      <c r="N838">
        <f t="shared" si="1762"/>
        <v>162</v>
      </c>
      <c r="O838">
        <f t="shared" si="1762"/>
        <v>162</v>
      </c>
    </row>
    <row r="839" spans="1:26" x14ac:dyDescent="0.4">
      <c r="C839" t="s">
        <v>533</v>
      </c>
      <c r="D839">
        <f t="shared" ref="D839:O839" si="1763">IFERROR(VLOOKUP(D833,Phys_Prop,2,FALSE),0)</f>
        <v>0</v>
      </c>
      <c r="E839">
        <f t="shared" si="1763"/>
        <v>0</v>
      </c>
      <c r="F839">
        <f t="shared" si="1763"/>
        <v>0</v>
      </c>
      <c r="G839">
        <f t="shared" si="1763"/>
        <v>0</v>
      </c>
      <c r="H839">
        <f t="shared" si="1763"/>
        <v>0</v>
      </c>
      <c r="I839">
        <f t="shared" si="1763"/>
        <v>0</v>
      </c>
      <c r="J839">
        <f t="shared" si="1763"/>
        <v>0</v>
      </c>
      <c r="K839">
        <f t="shared" si="1763"/>
        <v>0</v>
      </c>
      <c r="L839">
        <f t="shared" si="1763"/>
        <v>0</v>
      </c>
      <c r="M839">
        <f t="shared" si="1763"/>
        <v>0</v>
      </c>
      <c r="N839">
        <f t="shared" si="1763"/>
        <v>0</v>
      </c>
      <c r="O839">
        <f t="shared" si="1763"/>
        <v>0</v>
      </c>
    </row>
    <row r="840" spans="1:26" x14ac:dyDescent="0.4">
      <c r="C840" t="s">
        <v>544</v>
      </c>
      <c r="D840">
        <f>IFERROR(IFERROR(D838/D836+D839/D837,D838/D836),0)</f>
        <v>162</v>
      </c>
      <c r="E840">
        <f t="shared" ref="E840:O840" si="1764">IFERROR(IFERROR(E838/E836+E839/E837,E838/E836),0)</f>
        <v>162</v>
      </c>
      <c r="F840">
        <f t="shared" si="1764"/>
        <v>162</v>
      </c>
      <c r="G840">
        <f t="shared" si="1764"/>
        <v>162</v>
      </c>
      <c r="H840">
        <f t="shared" si="1764"/>
        <v>162</v>
      </c>
      <c r="I840">
        <f t="shared" si="1764"/>
        <v>162</v>
      </c>
      <c r="J840">
        <f t="shared" si="1764"/>
        <v>162</v>
      </c>
      <c r="K840">
        <f t="shared" si="1764"/>
        <v>162</v>
      </c>
      <c r="L840">
        <f t="shared" si="1764"/>
        <v>162</v>
      </c>
      <c r="M840">
        <f t="shared" si="1764"/>
        <v>162</v>
      </c>
      <c r="N840">
        <f t="shared" si="1764"/>
        <v>162</v>
      </c>
      <c r="O840">
        <f t="shared" si="1764"/>
        <v>162</v>
      </c>
    </row>
    <row r="841" spans="1:26" x14ac:dyDescent="0.4">
      <c r="C841" t="s">
        <v>539</v>
      </c>
      <c r="D841">
        <f>IFERROR((D836/D838)*D840,1)</f>
        <v>1</v>
      </c>
      <c r="E841">
        <f t="shared" ref="E841:O841" si="1765">IFERROR((E836/E838)*E840,1)</f>
        <v>1</v>
      </c>
      <c r="F841">
        <f t="shared" si="1765"/>
        <v>1</v>
      </c>
      <c r="G841">
        <f t="shared" si="1765"/>
        <v>1</v>
      </c>
      <c r="H841">
        <f t="shared" si="1765"/>
        <v>1</v>
      </c>
      <c r="I841">
        <f t="shared" si="1765"/>
        <v>1</v>
      </c>
      <c r="J841">
        <f t="shared" si="1765"/>
        <v>1</v>
      </c>
      <c r="K841">
        <f t="shared" si="1765"/>
        <v>1</v>
      </c>
      <c r="L841">
        <f t="shared" si="1765"/>
        <v>1</v>
      </c>
      <c r="M841">
        <f t="shared" si="1765"/>
        <v>1</v>
      </c>
      <c r="N841">
        <f t="shared" si="1765"/>
        <v>1</v>
      </c>
      <c r="O841">
        <f t="shared" si="1765"/>
        <v>1</v>
      </c>
    </row>
    <row r="842" spans="1:26" x14ac:dyDescent="0.4">
      <c r="C842" t="s">
        <v>540</v>
      </c>
      <c r="D842">
        <f>IFERROR((D837/D839)*D840,0)</f>
        <v>0</v>
      </c>
      <c r="E842">
        <f t="shared" ref="E842:O842" si="1766">IFERROR((E837/E839)*E840,0)</f>
        <v>0</v>
      </c>
      <c r="F842">
        <f t="shared" si="1766"/>
        <v>0</v>
      </c>
      <c r="G842">
        <f t="shared" si="1766"/>
        <v>0</v>
      </c>
      <c r="H842">
        <f t="shared" si="1766"/>
        <v>0</v>
      </c>
      <c r="I842">
        <f t="shared" si="1766"/>
        <v>0</v>
      </c>
      <c r="J842">
        <f t="shared" si="1766"/>
        <v>0</v>
      </c>
      <c r="K842">
        <f t="shared" si="1766"/>
        <v>0</v>
      </c>
      <c r="L842">
        <f t="shared" si="1766"/>
        <v>0</v>
      </c>
      <c r="M842">
        <f t="shared" si="1766"/>
        <v>0</v>
      </c>
      <c r="N842">
        <f t="shared" si="1766"/>
        <v>0</v>
      </c>
      <c r="O842">
        <f t="shared" si="1766"/>
        <v>0</v>
      </c>
    </row>
    <row r="843" spans="1:26" x14ac:dyDescent="0.4">
      <c r="C843" s="21" t="s">
        <v>534</v>
      </c>
      <c r="D843">
        <f t="shared" ref="D843:O843" si="1767">IFERROR(VLOOKUP(D832,Phys_Prop,4,FALSE),0)</f>
        <v>7</v>
      </c>
      <c r="E843">
        <f t="shared" si="1767"/>
        <v>7</v>
      </c>
      <c r="F843">
        <f t="shared" si="1767"/>
        <v>7</v>
      </c>
      <c r="G843">
        <f t="shared" si="1767"/>
        <v>7</v>
      </c>
      <c r="H843">
        <f t="shared" si="1767"/>
        <v>7</v>
      </c>
      <c r="I843">
        <f t="shared" si="1767"/>
        <v>7</v>
      </c>
      <c r="J843">
        <f t="shared" si="1767"/>
        <v>7</v>
      </c>
      <c r="K843">
        <f t="shared" si="1767"/>
        <v>7</v>
      </c>
      <c r="L843">
        <f t="shared" si="1767"/>
        <v>7</v>
      </c>
      <c r="M843">
        <f t="shared" si="1767"/>
        <v>7</v>
      </c>
      <c r="N843">
        <f t="shared" si="1767"/>
        <v>7</v>
      </c>
      <c r="O843">
        <f t="shared" si="1767"/>
        <v>7</v>
      </c>
    </row>
    <row r="844" spans="1:26" x14ac:dyDescent="0.4">
      <c r="C844" s="21" t="s">
        <v>535</v>
      </c>
      <c r="D844">
        <f t="shared" ref="D844:O844" si="1768">IFERROR(VLOOKUP(D833,Phys_Prop,4,FALSE),0)</f>
        <v>0</v>
      </c>
      <c r="E844">
        <f t="shared" si="1768"/>
        <v>0</v>
      </c>
      <c r="F844">
        <f t="shared" si="1768"/>
        <v>0</v>
      </c>
      <c r="G844">
        <f t="shared" si="1768"/>
        <v>0</v>
      </c>
      <c r="H844">
        <f t="shared" si="1768"/>
        <v>0</v>
      </c>
      <c r="I844">
        <f t="shared" si="1768"/>
        <v>0</v>
      </c>
      <c r="J844">
        <f t="shared" si="1768"/>
        <v>0</v>
      </c>
      <c r="K844">
        <f t="shared" si="1768"/>
        <v>0</v>
      </c>
      <c r="L844">
        <f t="shared" si="1768"/>
        <v>0</v>
      </c>
      <c r="M844">
        <f t="shared" si="1768"/>
        <v>0</v>
      </c>
      <c r="N844">
        <f t="shared" si="1768"/>
        <v>0</v>
      </c>
      <c r="O844">
        <f t="shared" si="1768"/>
        <v>0</v>
      </c>
    </row>
    <row r="845" spans="1:26" x14ac:dyDescent="0.4">
      <c r="A845" s="11"/>
      <c r="B845" s="11"/>
      <c r="C845" s="62" t="s">
        <v>536</v>
      </c>
      <c r="D845" s="11">
        <f>IFERROR(1/(D841/D843+D842/D844),D843)</f>
        <v>7</v>
      </c>
      <c r="E845" s="11">
        <f t="shared" ref="E845:O845" si="1769">IFERROR(1/(E841/E843+E842/E844),E843)</f>
        <v>7</v>
      </c>
      <c r="F845" s="11">
        <f t="shared" si="1769"/>
        <v>7</v>
      </c>
      <c r="G845" s="11">
        <f t="shared" si="1769"/>
        <v>7</v>
      </c>
      <c r="H845" s="11">
        <f t="shared" si="1769"/>
        <v>7</v>
      </c>
      <c r="I845" s="11">
        <f t="shared" si="1769"/>
        <v>7</v>
      </c>
      <c r="J845" s="11">
        <f t="shared" si="1769"/>
        <v>7</v>
      </c>
      <c r="K845" s="11">
        <f t="shared" si="1769"/>
        <v>7</v>
      </c>
      <c r="L845" s="11">
        <f t="shared" si="1769"/>
        <v>7</v>
      </c>
      <c r="M845" s="11">
        <f t="shared" si="1769"/>
        <v>7</v>
      </c>
      <c r="N845" s="11">
        <f t="shared" si="1769"/>
        <v>7</v>
      </c>
      <c r="O845" s="11">
        <f t="shared" si="1769"/>
        <v>7</v>
      </c>
      <c r="P845" s="11"/>
      <c r="Q845" s="11"/>
      <c r="R845" s="11"/>
      <c r="S845" s="11"/>
      <c r="T845" s="11"/>
      <c r="U845" s="11"/>
      <c r="V845" s="11"/>
      <c r="W845" s="11"/>
      <c r="X845" s="11"/>
      <c r="Y845" s="11"/>
      <c r="Z845" s="11"/>
    </row>
    <row r="846" spans="1:26" x14ac:dyDescent="0.4">
      <c r="A846" t="str" cm="1">
        <f t="array" ref="A846">INDEX(FX_Input,R846,S846)</f>
        <v>FX - 61</v>
      </c>
      <c r="B846" t="str" cm="1">
        <f t="array" ref="B846">INDEX(FX_Input,R846,T846)</f>
        <v>Portland</v>
      </c>
      <c r="C846" t="s">
        <v>528</v>
      </c>
      <c r="D846" t="str" cm="1">
        <f t="array" ref="D846">INDEX(FX_Input,$R846,$Y846*D$5+$Z846)</f>
        <v>Jet kerosene</v>
      </c>
      <c r="E846" t="str" cm="1">
        <f t="array" ref="E846">INDEX(FX_Input,$R846,$Y846*E$5+$Z846)</f>
        <v>Jet kerosene</v>
      </c>
      <c r="F846" t="str" cm="1">
        <f t="array" ref="F846">INDEX(FX_Input,$R846,$Y846*F$5+$Z846)</f>
        <v>Jet kerosene</v>
      </c>
      <c r="G846" t="str" cm="1">
        <f t="array" ref="G846">INDEX(FX_Input,$R846,$Y846*G$5+$Z846)</f>
        <v>Jet kerosene</v>
      </c>
      <c r="H846" t="str" cm="1">
        <f t="array" ref="H846">INDEX(FX_Input,$R846,$Y846*H$5+$Z846)</f>
        <v>Jet kerosene</v>
      </c>
      <c r="I846" t="str" cm="1">
        <f t="array" ref="I846">INDEX(FX_Input,$R846,$Y846*I$5+$Z846)</f>
        <v>Jet kerosene</v>
      </c>
      <c r="J846" t="str" cm="1">
        <f t="array" ref="J846">INDEX(FX_Input,$R846,$Y846*J$5+$Z846)</f>
        <v>Jet kerosene</v>
      </c>
      <c r="K846" t="str" cm="1">
        <f t="array" ref="K846">INDEX(FX_Input,$R846,$Y846*K$5+$Z846)</f>
        <v>Jet kerosene</v>
      </c>
      <c r="L846" t="str" cm="1">
        <f t="array" ref="L846">INDEX(FX_Input,$R846,$Y846*L$5+$Z846)</f>
        <v>Jet kerosene</v>
      </c>
      <c r="M846" t="str" cm="1">
        <f t="array" ref="M846">INDEX(FX_Input,$R846,$Y846*M$5+$Z846)</f>
        <v>Jet kerosene</v>
      </c>
      <c r="N846" t="str" cm="1">
        <f t="array" ref="N846">INDEX(FX_Input,$R846,$Y846*N$5+$Z846)</f>
        <v>Jet kerosene</v>
      </c>
      <c r="O846" t="str" cm="1">
        <f t="array" ref="O846">INDEX(FX_Input,$R846,$Y846*O$5+$Z846)</f>
        <v>Jet kerosene</v>
      </c>
      <c r="R846">
        <f>R832+2</f>
        <v>121</v>
      </c>
      <c r="S846">
        <v>1</v>
      </c>
      <c r="T846">
        <v>3</v>
      </c>
      <c r="U846">
        <v>17</v>
      </c>
      <c r="V846">
        <f>U846+5</f>
        <v>22</v>
      </c>
      <c r="W846">
        <v>1</v>
      </c>
      <c r="X846">
        <v>2</v>
      </c>
      <c r="Y846">
        <f t="shared" ref="Y846:Y851" si="1770">(V846-U846)/(X846-W846)</f>
        <v>5</v>
      </c>
      <c r="Z846">
        <f t="shared" ref="Z846:Z851" si="1771">U846-Y846*W846</f>
        <v>12</v>
      </c>
    </row>
    <row r="847" spans="1:26" x14ac:dyDescent="0.4">
      <c r="C847" t="s">
        <v>529</v>
      </c>
      <c r="D847" cm="1">
        <f t="array" ref="D847">INDEX(FX_Input,$R847,$Y847*D$5+$Z847)</f>
        <v>0</v>
      </c>
      <c r="E847" cm="1">
        <f t="array" ref="E847">INDEX(FX_Input,$R847,$Y847*E$5+$Z847)</f>
        <v>0</v>
      </c>
      <c r="F847" cm="1">
        <f t="array" ref="F847">INDEX(FX_Input,$R847,$Y847*F$5+$Z847)</f>
        <v>0</v>
      </c>
      <c r="G847" cm="1">
        <f t="array" ref="G847">INDEX(FX_Input,$R847,$Y847*G$5+$Z847)</f>
        <v>0</v>
      </c>
      <c r="H847" cm="1">
        <f t="array" ref="H847">INDEX(FX_Input,$R847,$Y847*H$5+$Z847)</f>
        <v>0</v>
      </c>
      <c r="I847" cm="1">
        <f t="array" ref="I847">INDEX(FX_Input,$R847,$Y847*I$5+$Z847)</f>
        <v>0</v>
      </c>
      <c r="J847" cm="1">
        <f t="array" ref="J847">INDEX(FX_Input,$R847,$Y847*J$5+$Z847)</f>
        <v>0</v>
      </c>
      <c r="K847" cm="1">
        <f t="array" ref="K847">INDEX(FX_Input,$R847,$Y847*K$5+$Z847)</f>
        <v>0</v>
      </c>
      <c r="L847" cm="1">
        <f t="array" ref="L847">INDEX(FX_Input,$R847,$Y847*L$5+$Z847)</f>
        <v>0</v>
      </c>
      <c r="M847" cm="1">
        <f t="array" ref="M847">INDEX(FX_Input,$R847,$Y847*M$5+$Z847)</f>
        <v>0</v>
      </c>
      <c r="N847" cm="1">
        <f t="array" ref="N847">INDEX(FX_Input,$R847,$Y847*N$5+$Z847)</f>
        <v>0</v>
      </c>
      <c r="O847" cm="1">
        <f t="array" ref="O847">INDEX(FX_Input,$R847,$Y847*O$5+$Z847)</f>
        <v>0</v>
      </c>
      <c r="R847">
        <f>R846+1</f>
        <v>122</v>
      </c>
      <c r="U847">
        <f>U846</f>
        <v>17</v>
      </c>
      <c r="V847">
        <f t="shared" ref="V847:V851" si="1772">U847+5</f>
        <v>22</v>
      </c>
      <c r="W847">
        <v>1</v>
      </c>
      <c r="X847">
        <v>2</v>
      </c>
      <c r="Y847">
        <f t="shared" si="1770"/>
        <v>5</v>
      </c>
      <c r="Z847">
        <f t="shared" si="1771"/>
        <v>12</v>
      </c>
    </row>
    <row r="848" spans="1:26" x14ac:dyDescent="0.4">
      <c r="C848" t="s">
        <v>530</v>
      </c>
      <c r="D848" t="str" cm="1">
        <f t="array" ref="D848">INDEX(FX_Input,$R848,$Y848*D$5+$Z848)</f>
        <v>Select Pet Stock</v>
      </c>
      <c r="E848" t="str" cm="1">
        <f t="array" ref="E848">INDEX(FX_Input,$R848,$Y848*E$5+$Z848)</f>
        <v>Select Pet Stock</v>
      </c>
      <c r="F848" t="str" cm="1">
        <f t="array" ref="F848">INDEX(FX_Input,$R848,$Y848*F$5+$Z848)</f>
        <v>Select Pet Stock</v>
      </c>
      <c r="G848" t="str" cm="1">
        <f t="array" ref="G848">INDEX(FX_Input,$R848,$Y848*G$5+$Z848)</f>
        <v>Select Pet Stock</v>
      </c>
      <c r="H848" t="str" cm="1">
        <f t="array" ref="H848">INDEX(FX_Input,$R848,$Y848*H$5+$Z848)</f>
        <v>Select Pet Stock</v>
      </c>
      <c r="I848" t="str" cm="1">
        <f t="array" ref="I848">INDEX(FX_Input,$R848,$Y848*I$5+$Z848)</f>
        <v>Select Pet Stock</v>
      </c>
      <c r="J848" t="str" cm="1">
        <f t="array" ref="J848">INDEX(FX_Input,$R848,$Y848*J$5+$Z848)</f>
        <v>Select Pet Stock</v>
      </c>
      <c r="K848" t="str" cm="1">
        <f t="array" ref="K848">INDEX(FX_Input,$R848,$Y848*K$5+$Z848)</f>
        <v>Select Pet Stock</v>
      </c>
      <c r="L848" t="str" cm="1">
        <f t="array" ref="L848">INDEX(FX_Input,$R848,$Y848*L$5+$Z848)</f>
        <v>Select Pet Stock</v>
      </c>
      <c r="M848" t="str" cm="1">
        <f t="array" ref="M848">INDEX(FX_Input,$R848,$Y848*M$5+$Z848)</f>
        <v>Select Pet Stock</v>
      </c>
      <c r="N848" t="str" cm="1">
        <f t="array" ref="N848">INDEX(FX_Input,$R848,$Y848*N$5+$Z848)</f>
        <v>Select Pet Stock</v>
      </c>
      <c r="O848" t="str" cm="1">
        <f t="array" ref="O848">INDEX(FX_Input,$R848,$Y848*O$5+$Z848)</f>
        <v>Select Pet Stock</v>
      </c>
      <c r="R848">
        <f>R846</f>
        <v>121</v>
      </c>
      <c r="U848">
        <v>18</v>
      </c>
      <c r="V848">
        <f t="shared" si="1772"/>
        <v>23</v>
      </c>
      <c r="W848">
        <v>1</v>
      </c>
      <c r="X848">
        <v>2</v>
      </c>
      <c r="Y848">
        <f t="shared" si="1770"/>
        <v>5</v>
      </c>
      <c r="Z848">
        <f t="shared" si="1771"/>
        <v>13</v>
      </c>
    </row>
    <row r="849" spans="1:26" x14ac:dyDescent="0.4">
      <c r="C849" t="s">
        <v>531</v>
      </c>
      <c r="D849" cm="1">
        <f t="array" ref="D849">INDEX(FX_Input,$R849,$Y849*D$5+$Z849)</f>
        <v>0</v>
      </c>
      <c r="E849" cm="1">
        <f t="array" ref="E849">INDEX(FX_Input,$R849,$Y849*E$5+$Z849)</f>
        <v>0</v>
      </c>
      <c r="F849" cm="1">
        <f t="array" ref="F849">INDEX(FX_Input,$R849,$Y849*F$5+$Z849)</f>
        <v>0</v>
      </c>
      <c r="G849" cm="1">
        <f t="array" ref="G849">INDEX(FX_Input,$R849,$Y849*G$5+$Z849)</f>
        <v>0</v>
      </c>
      <c r="H849" cm="1">
        <f t="array" ref="H849">INDEX(FX_Input,$R849,$Y849*H$5+$Z849)</f>
        <v>0</v>
      </c>
      <c r="I849" cm="1">
        <f t="array" ref="I849">INDEX(FX_Input,$R849,$Y849*I$5+$Z849)</f>
        <v>0</v>
      </c>
      <c r="J849" cm="1">
        <f t="array" ref="J849">INDEX(FX_Input,$R849,$Y849*J$5+$Z849)</f>
        <v>0</v>
      </c>
      <c r="K849" cm="1">
        <f t="array" ref="K849">INDEX(FX_Input,$R849,$Y849*K$5+$Z849)</f>
        <v>0</v>
      </c>
      <c r="L849" cm="1">
        <f t="array" ref="L849">INDEX(FX_Input,$R849,$Y849*L$5+$Z849)</f>
        <v>0</v>
      </c>
      <c r="M849" cm="1">
        <f t="array" ref="M849">INDEX(FX_Input,$R849,$Y849*M$5+$Z849)</f>
        <v>0</v>
      </c>
      <c r="N849" cm="1">
        <f t="array" ref="N849">INDEX(FX_Input,$R849,$Y849*N$5+$Z849)</f>
        <v>0</v>
      </c>
      <c r="O849" cm="1">
        <f t="array" ref="O849">INDEX(FX_Input,$R849,$Y849*O$5+$Z849)</f>
        <v>0</v>
      </c>
      <c r="R849">
        <f>R847</f>
        <v>122</v>
      </c>
      <c r="U849">
        <f>U848</f>
        <v>18</v>
      </c>
      <c r="V849">
        <f t="shared" si="1772"/>
        <v>23</v>
      </c>
      <c r="W849">
        <v>1</v>
      </c>
      <c r="X849">
        <v>2</v>
      </c>
      <c r="Y849">
        <f t="shared" si="1770"/>
        <v>5</v>
      </c>
      <c r="Z849">
        <f t="shared" si="1771"/>
        <v>13</v>
      </c>
    </row>
    <row r="850" spans="1:26" x14ac:dyDescent="0.4">
      <c r="C850" t="s">
        <v>546</v>
      </c>
      <c r="D850" cm="1">
        <f t="array" ref="D850">INDEX(FX_Input,$R850,$Y850*D$5+$Z850)</f>
        <v>1</v>
      </c>
      <c r="E850" cm="1">
        <f t="array" ref="E850">INDEX(FX_Input,$R850,$Y850*E$5+$Z850)</f>
        <v>1</v>
      </c>
      <c r="F850" cm="1">
        <f t="array" ref="F850">INDEX(FX_Input,$R850,$Y850*F$5+$Z850)</f>
        <v>1</v>
      </c>
      <c r="G850" cm="1">
        <f t="array" ref="G850">INDEX(FX_Input,$R850,$Y850*G$5+$Z850)</f>
        <v>1</v>
      </c>
      <c r="H850" cm="1">
        <f t="array" ref="H850">INDEX(FX_Input,$R850,$Y850*H$5+$Z850)</f>
        <v>1</v>
      </c>
      <c r="I850" cm="1">
        <f t="array" ref="I850">INDEX(FX_Input,$R850,$Y850*I$5+$Z850)</f>
        <v>1</v>
      </c>
      <c r="J850" cm="1">
        <f t="array" ref="J850">INDEX(FX_Input,$R850,$Y850*J$5+$Z850)</f>
        <v>1</v>
      </c>
      <c r="K850" cm="1">
        <f t="array" ref="K850">INDEX(FX_Input,$R850,$Y850*K$5+$Z850)</f>
        <v>1</v>
      </c>
      <c r="L850" cm="1">
        <f t="array" ref="L850">INDEX(FX_Input,$R850,$Y850*L$5+$Z850)</f>
        <v>1</v>
      </c>
      <c r="M850" cm="1">
        <f t="array" ref="M850">INDEX(FX_Input,$R850,$Y850*M$5+$Z850)</f>
        <v>1</v>
      </c>
      <c r="N850" cm="1">
        <f t="array" ref="N850">INDEX(FX_Input,$R850,$Y850*N$5+$Z850)</f>
        <v>1</v>
      </c>
      <c r="O850" cm="1">
        <f t="array" ref="O850">INDEX(FX_Input,$R850,$Y850*O$5+$Z850)</f>
        <v>1</v>
      </c>
      <c r="R850">
        <f>R848</f>
        <v>121</v>
      </c>
      <c r="U850">
        <v>21</v>
      </c>
      <c r="V850">
        <f t="shared" si="1772"/>
        <v>26</v>
      </c>
      <c r="W850">
        <v>1</v>
      </c>
      <c r="X850">
        <v>2</v>
      </c>
      <c r="Y850">
        <f t="shared" si="1770"/>
        <v>5</v>
      </c>
      <c r="Z850">
        <f t="shared" si="1771"/>
        <v>16</v>
      </c>
    </row>
    <row r="851" spans="1:26" x14ac:dyDescent="0.4">
      <c r="C851" t="s">
        <v>547</v>
      </c>
      <c r="D851" cm="1">
        <f t="array" ref="D851">INDEX(FX_Input,$R851,$Y851*D$5+$Z851)</f>
        <v>0</v>
      </c>
      <c r="E851" cm="1">
        <f t="array" ref="E851">INDEX(FX_Input,$R851,$Y851*E$5+$Z851)</f>
        <v>0</v>
      </c>
      <c r="F851" cm="1">
        <f t="array" ref="F851">INDEX(FX_Input,$R851,$Y851*F$5+$Z851)</f>
        <v>0</v>
      </c>
      <c r="G851" cm="1">
        <f t="array" ref="G851">INDEX(FX_Input,$R851,$Y851*G$5+$Z851)</f>
        <v>0</v>
      </c>
      <c r="H851" cm="1">
        <f t="array" ref="H851">INDEX(FX_Input,$R851,$Y851*H$5+$Z851)</f>
        <v>0</v>
      </c>
      <c r="I851" cm="1">
        <f t="array" ref="I851">INDEX(FX_Input,$R851,$Y851*I$5+$Z851)</f>
        <v>0</v>
      </c>
      <c r="J851" cm="1">
        <f t="array" ref="J851">INDEX(FX_Input,$R851,$Y851*J$5+$Z851)</f>
        <v>0</v>
      </c>
      <c r="K851" cm="1">
        <f t="array" ref="K851">INDEX(FX_Input,$R851,$Y851*K$5+$Z851)</f>
        <v>0</v>
      </c>
      <c r="L851" cm="1">
        <f t="array" ref="L851">INDEX(FX_Input,$R851,$Y851*L$5+$Z851)</f>
        <v>0</v>
      </c>
      <c r="M851" cm="1">
        <f t="array" ref="M851">INDEX(FX_Input,$R851,$Y851*M$5+$Z851)</f>
        <v>0</v>
      </c>
      <c r="N851" cm="1">
        <f t="array" ref="N851">INDEX(FX_Input,$R851,$Y851*N$5+$Z851)</f>
        <v>0</v>
      </c>
      <c r="O851" cm="1">
        <f t="array" ref="O851">INDEX(FX_Input,$R851,$Y851*O$5+$Z851)</f>
        <v>0</v>
      </c>
      <c r="R851">
        <f>R849</f>
        <v>122</v>
      </c>
      <c r="U851">
        <f>U850</f>
        <v>21</v>
      </c>
      <c r="V851">
        <f t="shared" si="1772"/>
        <v>26</v>
      </c>
      <c r="W851">
        <v>1</v>
      </c>
      <c r="X851">
        <v>2</v>
      </c>
      <c r="Y851">
        <f t="shared" si="1770"/>
        <v>5</v>
      </c>
      <c r="Z851">
        <f t="shared" si="1771"/>
        <v>16</v>
      </c>
    </row>
    <row r="852" spans="1:26" x14ac:dyDescent="0.4">
      <c r="C852" t="s">
        <v>532</v>
      </c>
      <c r="D852">
        <f t="shared" ref="D852:O852" si="1773">IFERROR(VLOOKUP(D846,Phys_Prop,2,FALSE),0)</f>
        <v>162</v>
      </c>
      <c r="E852">
        <f t="shared" si="1773"/>
        <v>162</v>
      </c>
      <c r="F852">
        <f t="shared" si="1773"/>
        <v>162</v>
      </c>
      <c r="G852">
        <f t="shared" si="1773"/>
        <v>162</v>
      </c>
      <c r="H852">
        <f t="shared" si="1773"/>
        <v>162</v>
      </c>
      <c r="I852">
        <f t="shared" si="1773"/>
        <v>162</v>
      </c>
      <c r="J852">
        <f t="shared" si="1773"/>
        <v>162</v>
      </c>
      <c r="K852">
        <f t="shared" si="1773"/>
        <v>162</v>
      </c>
      <c r="L852">
        <f t="shared" si="1773"/>
        <v>162</v>
      </c>
      <c r="M852">
        <f t="shared" si="1773"/>
        <v>162</v>
      </c>
      <c r="N852">
        <f t="shared" si="1773"/>
        <v>162</v>
      </c>
      <c r="O852">
        <f t="shared" si="1773"/>
        <v>162</v>
      </c>
    </row>
    <row r="853" spans="1:26" x14ac:dyDescent="0.4">
      <c r="C853" t="s">
        <v>533</v>
      </c>
      <c r="D853">
        <f t="shared" ref="D853:O853" si="1774">IFERROR(VLOOKUP(D847,Phys_Prop,2,FALSE),0)</f>
        <v>0</v>
      </c>
      <c r="E853">
        <f t="shared" si="1774"/>
        <v>0</v>
      </c>
      <c r="F853">
        <f t="shared" si="1774"/>
        <v>0</v>
      </c>
      <c r="G853">
        <f t="shared" si="1774"/>
        <v>0</v>
      </c>
      <c r="H853">
        <f t="shared" si="1774"/>
        <v>0</v>
      </c>
      <c r="I853">
        <f t="shared" si="1774"/>
        <v>0</v>
      </c>
      <c r="J853">
        <f t="shared" si="1774"/>
        <v>0</v>
      </c>
      <c r="K853">
        <f t="shared" si="1774"/>
        <v>0</v>
      </c>
      <c r="L853">
        <f t="shared" si="1774"/>
        <v>0</v>
      </c>
      <c r="M853">
        <f t="shared" si="1774"/>
        <v>0</v>
      </c>
      <c r="N853">
        <f t="shared" si="1774"/>
        <v>0</v>
      </c>
      <c r="O853">
        <f t="shared" si="1774"/>
        <v>0</v>
      </c>
    </row>
    <row r="854" spans="1:26" x14ac:dyDescent="0.4">
      <c r="C854" t="s">
        <v>544</v>
      </c>
      <c r="D854">
        <f>IFERROR(IFERROR(D852/D850+D853/D851,D852/D850),0)</f>
        <v>162</v>
      </c>
      <c r="E854">
        <f t="shared" ref="E854:O854" si="1775">IFERROR(IFERROR(E852/E850+E853/E851,E852/E850),0)</f>
        <v>162</v>
      </c>
      <c r="F854">
        <f t="shared" si="1775"/>
        <v>162</v>
      </c>
      <c r="G854">
        <f t="shared" si="1775"/>
        <v>162</v>
      </c>
      <c r="H854">
        <f t="shared" si="1775"/>
        <v>162</v>
      </c>
      <c r="I854">
        <f t="shared" si="1775"/>
        <v>162</v>
      </c>
      <c r="J854">
        <f t="shared" si="1775"/>
        <v>162</v>
      </c>
      <c r="K854">
        <f t="shared" si="1775"/>
        <v>162</v>
      </c>
      <c r="L854">
        <f t="shared" si="1775"/>
        <v>162</v>
      </c>
      <c r="M854">
        <f t="shared" si="1775"/>
        <v>162</v>
      </c>
      <c r="N854">
        <f t="shared" si="1775"/>
        <v>162</v>
      </c>
      <c r="O854">
        <f t="shared" si="1775"/>
        <v>162</v>
      </c>
    </row>
    <row r="855" spans="1:26" x14ac:dyDescent="0.4">
      <c r="C855" t="s">
        <v>539</v>
      </c>
      <c r="D855">
        <f>IFERROR((D850/D852)*D854,1)</f>
        <v>1</v>
      </c>
      <c r="E855">
        <f t="shared" ref="E855:O855" si="1776">IFERROR((E850/E852)*E854,1)</f>
        <v>1</v>
      </c>
      <c r="F855">
        <f t="shared" si="1776"/>
        <v>1</v>
      </c>
      <c r="G855">
        <f t="shared" si="1776"/>
        <v>1</v>
      </c>
      <c r="H855">
        <f t="shared" si="1776"/>
        <v>1</v>
      </c>
      <c r="I855">
        <f t="shared" si="1776"/>
        <v>1</v>
      </c>
      <c r="J855">
        <f t="shared" si="1776"/>
        <v>1</v>
      </c>
      <c r="K855">
        <f t="shared" si="1776"/>
        <v>1</v>
      </c>
      <c r="L855">
        <f t="shared" si="1776"/>
        <v>1</v>
      </c>
      <c r="M855">
        <f t="shared" si="1776"/>
        <v>1</v>
      </c>
      <c r="N855">
        <f t="shared" si="1776"/>
        <v>1</v>
      </c>
      <c r="O855">
        <f t="shared" si="1776"/>
        <v>1</v>
      </c>
    </row>
    <row r="856" spans="1:26" x14ac:dyDescent="0.4">
      <c r="C856" t="s">
        <v>540</v>
      </c>
      <c r="D856">
        <f>IFERROR((D851/D853)*D854,0)</f>
        <v>0</v>
      </c>
      <c r="E856">
        <f t="shared" ref="E856:O856" si="1777">IFERROR((E851/E853)*E854,0)</f>
        <v>0</v>
      </c>
      <c r="F856">
        <f t="shared" si="1777"/>
        <v>0</v>
      </c>
      <c r="G856">
        <f t="shared" si="1777"/>
        <v>0</v>
      </c>
      <c r="H856">
        <f t="shared" si="1777"/>
        <v>0</v>
      </c>
      <c r="I856">
        <f t="shared" si="1777"/>
        <v>0</v>
      </c>
      <c r="J856">
        <f t="shared" si="1777"/>
        <v>0</v>
      </c>
      <c r="K856">
        <f t="shared" si="1777"/>
        <v>0</v>
      </c>
      <c r="L856">
        <f t="shared" si="1777"/>
        <v>0</v>
      </c>
      <c r="M856">
        <f t="shared" si="1777"/>
        <v>0</v>
      </c>
      <c r="N856">
        <f t="shared" si="1777"/>
        <v>0</v>
      </c>
      <c r="O856">
        <f t="shared" si="1777"/>
        <v>0</v>
      </c>
    </row>
    <row r="857" spans="1:26" x14ac:dyDescent="0.4">
      <c r="C857" s="21" t="s">
        <v>534</v>
      </c>
      <c r="D857">
        <f t="shared" ref="D857:O857" si="1778">IFERROR(VLOOKUP(D846,Phys_Prop,4,FALSE),0)</f>
        <v>7</v>
      </c>
      <c r="E857">
        <f t="shared" si="1778"/>
        <v>7</v>
      </c>
      <c r="F857">
        <f t="shared" si="1778"/>
        <v>7</v>
      </c>
      <c r="G857">
        <f t="shared" si="1778"/>
        <v>7</v>
      </c>
      <c r="H857">
        <f t="shared" si="1778"/>
        <v>7</v>
      </c>
      <c r="I857">
        <f t="shared" si="1778"/>
        <v>7</v>
      </c>
      <c r="J857">
        <f t="shared" si="1778"/>
        <v>7</v>
      </c>
      <c r="K857">
        <f t="shared" si="1778"/>
        <v>7</v>
      </c>
      <c r="L857">
        <f t="shared" si="1778"/>
        <v>7</v>
      </c>
      <c r="M857">
        <f t="shared" si="1778"/>
        <v>7</v>
      </c>
      <c r="N857">
        <f t="shared" si="1778"/>
        <v>7</v>
      </c>
      <c r="O857">
        <f t="shared" si="1778"/>
        <v>7</v>
      </c>
    </row>
    <row r="858" spans="1:26" x14ac:dyDescent="0.4">
      <c r="C858" s="21" t="s">
        <v>535</v>
      </c>
      <c r="D858">
        <f t="shared" ref="D858:O858" si="1779">IFERROR(VLOOKUP(D847,Phys_Prop,4,FALSE),0)</f>
        <v>0</v>
      </c>
      <c r="E858">
        <f t="shared" si="1779"/>
        <v>0</v>
      </c>
      <c r="F858">
        <f t="shared" si="1779"/>
        <v>0</v>
      </c>
      <c r="G858">
        <f t="shared" si="1779"/>
        <v>0</v>
      </c>
      <c r="H858">
        <f t="shared" si="1779"/>
        <v>0</v>
      </c>
      <c r="I858">
        <f t="shared" si="1779"/>
        <v>0</v>
      </c>
      <c r="J858">
        <f t="shared" si="1779"/>
        <v>0</v>
      </c>
      <c r="K858">
        <f t="shared" si="1779"/>
        <v>0</v>
      </c>
      <c r="L858">
        <f t="shared" si="1779"/>
        <v>0</v>
      </c>
      <c r="M858">
        <f t="shared" si="1779"/>
        <v>0</v>
      </c>
      <c r="N858">
        <f t="shared" si="1779"/>
        <v>0</v>
      </c>
      <c r="O858">
        <f t="shared" si="1779"/>
        <v>0</v>
      </c>
    </row>
    <row r="859" spans="1:26" x14ac:dyDescent="0.4">
      <c r="A859" s="11"/>
      <c r="B859" s="11"/>
      <c r="C859" s="62" t="s">
        <v>536</v>
      </c>
      <c r="D859" s="11">
        <f>IFERROR(1/(D855/D857+D856/D858),D857)</f>
        <v>7</v>
      </c>
      <c r="E859" s="11">
        <f t="shared" ref="E859:O859" si="1780">IFERROR(1/(E855/E857+E856/E858),E857)</f>
        <v>7</v>
      </c>
      <c r="F859" s="11">
        <f t="shared" si="1780"/>
        <v>7</v>
      </c>
      <c r="G859" s="11">
        <f t="shared" si="1780"/>
        <v>7</v>
      </c>
      <c r="H859" s="11">
        <f t="shared" si="1780"/>
        <v>7</v>
      </c>
      <c r="I859" s="11">
        <f t="shared" si="1780"/>
        <v>7</v>
      </c>
      <c r="J859" s="11">
        <f t="shared" si="1780"/>
        <v>7</v>
      </c>
      <c r="K859" s="11">
        <f t="shared" si="1780"/>
        <v>7</v>
      </c>
      <c r="L859" s="11">
        <f t="shared" si="1780"/>
        <v>7</v>
      </c>
      <c r="M859" s="11">
        <f t="shared" si="1780"/>
        <v>7</v>
      </c>
      <c r="N859" s="11">
        <f t="shared" si="1780"/>
        <v>7</v>
      </c>
      <c r="O859" s="11">
        <f t="shared" si="1780"/>
        <v>7</v>
      </c>
      <c r="P859" s="11"/>
      <c r="Q859" s="11"/>
      <c r="R859" s="11"/>
      <c r="S859" s="11"/>
      <c r="T859" s="11"/>
      <c r="U859" s="11"/>
      <c r="V859" s="11"/>
      <c r="W859" s="11"/>
      <c r="X859" s="11"/>
      <c r="Y859" s="11"/>
      <c r="Z859" s="11"/>
    </row>
    <row r="860" spans="1:26" x14ac:dyDescent="0.4">
      <c r="A860" t="str" cm="1">
        <f t="array" ref="A860">INDEX(FX_Input,R860,S860)</f>
        <v>FX - 62</v>
      </c>
      <c r="B860" t="str" cm="1">
        <f t="array" ref="B860">INDEX(FX_Input,R860,T860)</f>
        <v>Portland</v>
      </c>
      <c r="C860" t="s">
        <v>528</v>
      </c>
      <c r="D860" t="str" cm="1">
        <f t="array" ref="D860">INDEX(FX_Input,$R860,$Y860*D$5+$Z860)</f>
        <v>Jet kerosene</v>
      </c>
      <c r="E860" t="str" cm="1">
        <f t="array" ref="E860">INDEX(FX_Input,$R860,$Y860*E$5+$Z860)</f>
        <v>Jet kerosene</v>
      </c>
      <c r="F860" t="str" cm="1">
        <f t="array" ref="F860">INDEX(FX_Input,$R860,$Y860*F$5+$Z860)</f>
        <v>Jet kerosene</v>
      </c>
      <c r="G860" t="str" cm="1">
        <f t="array" ref="G860">INDEX(FX_Input,$R860,$Y860*G$5+$Z860)</f>
        <v>Jet kerosene</v>
      </c>
      <c r="H860" t="str" cm="1">
        <f t="array" ref="H860">INDEX(FX_Input,$R860,$Y860*H$5+$Z860)</f>
        <v>Jet kerosene</v>
      </c>
      <c r="I860" t="str" cm="1">
        <f t="array" ref="I860">INDEX(FX_Input,$R860,$Y860*I$5+$Z860)</f>
        <v>Jet kerosene</v>
      </c>
      <c r="J860" t="str" cm="1">
        <f t="array" ref="J860">INDEX(FX_Input,$R860,$Y860*J$5+$Z860)</f>
        <v>Jet kerosene</v>
      </c>
      <c r="K860" t="str" cm="1">
        <f t="array" ref="K860">INDEX(FX_Input,$R860,$Y860*K$5+$Z860)</f>
        <v>Jet kerosene</v>
      </c>
      <c r="L860" t="str" cm="1">
        <f t="array" ref="L860">INDEX(FX_Input,$R860,$Y860*L$5+$Z860)</f>
        <v>Jet kerosene</v>
      </c>
      <c r="M860" t="str" cm="1">
        <f t="array" ref="M860">INDEX(FX_Input,$R860,$Y860*M$5+$Z860)</f>
        <v>Jet kerosene</v>
      </c>
      <c r="N860" t="str" cm="1">
        <f t="array" ref="N860">INDEX(FX_Input,$R860,$Y860*N$5+$Z860)</f>
        <v>Jet kerosene</v>
      </c>
      <c r="O860" t="str" cm="1">
        <f t="array" ref="O860">INDEX(FX_Input,$R860,$Y860*O$5+$Z860)</f>
        <v>Jet kerosene</v>
      </c>
      <c r="R860">
        <f>R846+2</f>
        <v>123</v>
      </c>
      <c r="S860">
        <v>1</v>
      </c>
      <c r="T860">
        <v>3</v>
      </c>
      <c r="U860">
        <v>17</v>
      </c>
      <c r="V860">
        <f>U860+5</f>
        <v>22</v>
      </c>
      <c r="W860">
        <v>1</v>
      </c>
      <c r="X860">
        <v>2</v>
      </c>
      <c r="Y860">
        <f t="shared" ref="Y860:Y865" si="1781">(V860-U860)/(X860-W860)</f>
        <v>5</v>
      </c>
      <c r="Z860">
        <f t="shared" ref="Z860:Z865" si="1782">U860-Y860*W860</f>
        <v>12</v>
      </c>
    </row>
    <row r="861" spans="1:26" x14ac:dyDescent="0.4">
      <c r="C861" t="s">
        <v>529</v>
      </c>
      <c r="D861" cm="1">
        <f t="array" ref="D861">INDEX(FX_Input,$R861,$Y861*D$5+$Z861)</f>
        <v>0</v>
      </c>
      <c r="E861" cm="1">
        <f t="array" ref="E861">INDEX(FX_Input,$R861,$Y861*E$5+$Z861)</f>
        <v>0</v>
      </c>
      <c r="F861" cm="1">
        <f t="array" ref="F861">INDEX(FX_Input,$R861,$Y861*F$5+$Z861)</f>
        <v>0</v>
      </c>
      <c r="G861" cm="1">
        <f t="array" ref="G861">INDEX(FX_Input,$R861,$Y861*G$5+$Z861)</f>
        <v>0</v>
      </c>
      <c r="H861" cm="1">
        <f t="array" ref="H861">INDEX(FX_Input,$R861,$Y861*H$5+$Z861)</f>
        <v>0</v>
      </c>
      <c r="I861" cm="1">
        <f t="array" ref="I861">INDEX(FX_Input,$R861,$Y861*I$5+$Z861)</f>
        <v>0</v>
      </c>
      <c r="J861" cm="1">
        <f t="array" ref="J861">INDEX(FX_Input,$R861,$Y861*J$5+$Z861)</f>
        <v>0</v>
      </c>
      <c r="K861" cm="1">
        <f t="array" ref="K861">INDEX(FX_Input,$R861,$Y861*K$5+$Z861)</f>
        <v>0</v>
      </c>
      <c r="L861" cm="1">
        <f t="array" ref="L861">INDEX(FX_Input,$R861,$Y861*L$5+$Z861)</f>
        <v>0</v>
      </c>
      <c r="M861" cm="1">
        <f t="array" ref="M861">INDEX(FX_Input,$R861,$Y861*M$5+$Z861)</f>
        <v>0</v>
      </c>
      <c r="N861" cm="1">
        <f t="array" ref="N861">INDEX(FX_Input,$R861,$Y861*N$5+$Z861)</f>
        <v>0</v>
      </c>
      <c r="O861" cm="1">
        <f t="array" ref="O861">INDEX(FX_Input,$R861,$Y861*O$5+$Z861)</f>
        <v>0</v>
      </c>
      <c r="R861">
        <f>R860+1</f>
        <v>124</v>
      </c>
      <c r="U861">
        <f>U860</f>
        <v>17</v>
      </c>
      <c r="V861">
        <f t="shared" ref="V861:V865" si="1783">U861+5</f>
        <v>22</v>
      </c>
      <c r="W861">
        <v>1</v>
      </c>
      <c r="X861">
        <v>2</v>
      </c>
      <c r="Y861">
        <f t="shared" si="1781"/>
        <v>5</v>
      </c>
      <c r="Z861">
        <f t="shared" si="1782"/>
        <v>12</v>
      </c>
    </row>
    <row r="862" spans="1:26" x14ac:dyDescent="0.4">
      <c r="C862" t="s">
        <v>530</v>
      </c>
      <c r="D862" t="str" cm="1">
        <f t="array" ref="D862">INDEX(FX_Input,$R862,$Y862*D$5+$Z862)</f>
        <v>Select Pet Stock</v>
      </c>
      <c r="E862" t="str" cm="1">
        <f t="array" ref="E862">INDEX(FX_Input,$R862,$Y862*E$5+$Z862)</f>
        <v>Select Pet Stock</v>
      </c>
      <c r="F862" t="str" cm="1">
        <f t="array" ref="F862">INDEX(FX_Input,$R862,$Y862*F$5+$Z862)</f>
        <v>Select Pet Stock</v>
      </c>
      <c r="G862" t="str" cm="1">
        <f t="array" ref="G862">INDEX(FX_Input,$R862,$Y862*G$5+$Z862)</f>
        <v>Select Pet Stock</v>
      </c>
      <c r="H862" t="str" cm="1">
        <f t="array" ref="H862">INDEX(FX_Input,$R862,$Y862*H$5+$Z862)</f>
        <v>Select Pet Stock</v>
      </c>
      <c r="I862" t="str" cm="1">
        <f t="array" ref="I862">INDEX(FX_Input,$R862,$Y862*I$5+$Z862)</f>
        <v>Select Pet Stock</v>
      </c>
      <c r="J862" t="str" cm="1">
        <f t="array" ref="J862">INDEX(FX_Input,$R862,$Y862*J$5+$Z862)</f>
        <v>Select Pet Stock</v>
      </c>
      <c r="K862" t="str" cm="1">
        <f t="array" ref="K862">INDEX(FX_Input,$R862,$Y862*K$5+$Z862)</f>
        <v>Select Pet Stock</v>
      </c>
      <c r="L862" t="str" cm="1">
        <f t="array" ref="L862">INDEX(FX_Input,$R862,$Y862*L$5+$Z862)</f>
        <v>Select Pet Stock</v>
      </c>
      <c r="M862" t="str" cm="1">
        <f t="array" ref="M862">INDEX(FX_Input,$R862,$Y862*M$5+$Z862)</f>
        <v>Select Pet Stock</v>
      </c>
      <c r="N862" t="str" cm="1">
        <f t="array" ref="N862">INDEX(FX_Input,$R862,$Y862*N$5+$Z862)</f>
        <v>Select Pet Stock</v>
      </c>
      <c r="O862" t="str" cm="1">
        <f t="array" ref="O862">INDEX(FX_Input,$R862,$Y862*O$5+$Z862)</f>
        <v>Select Pet Stock</v>
      </c>
      <c r="R862">
        <f>R860</f>
        <v>123</v>
      </c>
      <c r="U862">
        <v>18</v>
      </c>
      <c r="V862">
        <f t="shared" si="1783"/>
        <v>23</v>
      </c>
      <c r="W862">
        <v>1</v>
      </c>
      <c r="X862">
        <v>2</v>
      </c>
      <c r="Y862">
        <f t="shared" si="1781"/>
        <v>5</v>
      </c>
      <c r="Z862">
        <f t="shared" si="1782"/>
        <v>13</v>
      </c>
    </row>
    <row r="863" spans="1:26" x14ac:dyDescent="0.4">
      <c r="C863" t="s">
        <v>531</v>
      </c>
      <c r="D863" cm="1">
        <f t="array" ref="D863">INDEX(FX_Input,$R863,$Y863*D$5+$Z863)</f>
        <v>0</v>
      </c>
      <c r="E863" cm="1">
        <f t="array" ref="E863">INDEX(FX_Input,$R863,$Y863*E$5+$Z863)</f>
        <v>0</v>
      </c>
      <c r="F863" cm="1">
        <f t="array" ref="F863">INDEX(FX_Input,$R863,$Y863*F$5+$Z863)</f>
        <v>0</v>
      </c>
      <c r="G863" cm="1">
        <f t="array" ref="G863">INDEX(FX_Input,$R863,$Y863*G$5+$Z863)</f>
        <v>0</v>
      </c>
      <c r="H863" cm="1">
        <f t="array" ref="H863">INDEX(FX_Input,$R863,$Y863*H$5+$Z863)</f>
        <v>0</v>
      </c>
      <c r="I863" cm="1">
        <f t="array" ref="I863">INDEX(FX_Input,$R863,$Y863*I$5+$Z863)</f>
        <v>0</v>
      </c>
      <c r="J863" cm="1">
        <f t="array" ref="J863">INDEX(FX_Input,$R863,$Y863*J$5+$Z863)</f>
        <v>0</v>
      </c>
      <c r="K863" cm="1">
        <f t="array" ref="K863">INDEX(FX_Input,$R863,$Y863*K$5+$Z863)</f>
        <v>0</v>
      </c>
      <c r="L863" cm="1">
        <f t="array" ref="L863">INDEX(FX_Input,$R863,$Y863*L$5+$Z863)</f>
        <v>0</v>
      </c>
      <c r="M863" cm="1">
        <f t="array" ref="M863">INDEX(FX_Input,$R863,$Y863*M$5+$Z863)</f>
        <v>0</v>
      </c>
      <c r="N863" cm="1">
        <f t="array" ref="N863">INDEX(FX_Input,$R863,$Y863*N$5+$Z863)</f>
        <v>0</v>
      </c>
      <c r="O863" cm="1">
        <f t="array" ref="O863">INDEX(FX_Input,$R863,$Y863*O$5+$Z863)</f>
        <v>0</v>
      </c>
      <c r="R863">
        <f>R861</f>
        <v>124</v>
      </c>
      <c r="U863">
        <f>U862</f>
        <v>18</v>
      </c>
      <c r="V863">
        <f t="shared" si="1783"/>
        <v>23</v>
      </c>
      <c r="W863">
        <v>1</v>
      </c>
      <c r="X863">
        <v>2</v>
      </c>
      <c r="Y863">
        <f t="shared" si="1781"/>
        <v>5</v>
      </c>
      <c r="Z863">
        <f t="shared" si="1782"/>
        <v>13</v>
      </c>
    </row>
    <row r="864" spans="1:26" x14ac:dyDescent="0.4">
      <c r="C864" t="s">
        <v>546</v>
      </c>
      <c r="D864" cm="1">
        <f t="array" ref="D864">INDEX(FX_Input,$R864,$Y864*D$5+$Z864)</f>
        <v>1</v>
      </c>
      <c r="E864" cm="1">
        <f t="array" ref="E864">INDEX(FX_Input,$R864,$Y864*E$5+$Z864)</f>
        <v>1</v>
      </c>
      <c r="F864" cm="1">
        <f t="array" ref="F864">INDEX(FX_Input,$R864,$Y864*F$5+$Z864)</f>
        <v>1</v>
      </c>
      <c r="G864" cm="1">
        <f t="array" ref="G864">INDEX(FX_Input,$R864,$Y864*G$5+$Z864)</f>
        <v>1</v>
      </c>
      <c r="H864" cm="1">
        <f t="array" ref="H864">INDEX(FX_Input,$R864,$Y864*H$5+$Z864)</f>
        <v>1</v>
      </c>
      <c r="I864" cm="1">
        <f t="array" ref="I864">INDEX(FX_Input,$R864,$Y864*I$5+$Z864)</f>
        <v>1</v>
      </c>
      <c r="J864" cm="1">
        <f t="array" ref="J864">INDEX(FX_Input,$R864,$Y864*J$5+$Z864)</f>
        <v>1</v>
      </c>
      <c r="K864" cm="1">
        <f t="array" ref="K864">INDEX(FX_Input,$R864,$Y864*K$5+$Z864)</f>
        <v>1</v>
      </c>
      <c r="L864" cm="1">
        <f t="array" ref="L864">INDEX(FX_Input,$R864,$Y864*L$5+$Z864)</f>
        <v>1</v>
      </c>
      <c r="M864" cm="1">
        <f t="array" ref="M864">INDEX(FX_Input,$R864,$Y864*M$5+$Z864)</f>
        <v>1</v>
      </c>
      <c r="N864" cm="1">
        <f t="array" ref="N864">INDEX(FX_Input,$R864,$Y864*N$5+$Z864)</f>
        <v>1</v>
      </c>
      <c r="O864" cm="1">
        <f t="array" ref="O864">INDEX(FX_Input,$R864,$Y864*O$5+$Z864)</f>
        <v>1</v>
      </c>
      <c r="R864">
        <f>R862</f>
        <v>123</v>
      </c>
      <c r="U864">
        <v>21</v>
      </c>
      <c r="V864">
        <f t="shared" si="1783"/>
        <v>26</v>
      </c>
      <c r="W864">
        <v>1</v>
      </c>
      <c r="X864">
        <v>2</v>
      </c>
      <c r="Y864">
        <f t="shared" si="1781"/>
        <v>5</v>
      </c>
      <c r="Z864">
        <f t="shared" si="1782"/>
        <v>16</v>
      </c>
    </row>
    <row r="865" spans="1:26" x14ac:dyDescent="0.4">
      <c r="C865" t="s">
        <v>547</v>
      </c>
      <c r="D865" cm="1">
        <f t="array" ref="D865">INDEX(FX_Input,$R865,$Y865*D$5+$Z865)</f>
        <v>0</v>
      </c>
      <c r="E865" cm="1">
        <f t="array" ref="E865">INDEX(FX_Input,$R865,$Y865*E$5+$Z865)</f>
        <v>0</v>
      </c>
      <c r="F865" cm="1">
        <f t="array" ref="F865">INDEX(FX_Input,$R865,$Y865*F$5+$Z865)</f>
        <v>0</v>
      </c>
      <c r="G865" cm="1">
        <f t="array" ref="G865">INDEX(FX_Input,$R865,$Y865*G$5+$Z865)</f>
        <v>0</v>
      </c>
      <c r="H865" cm="1">
        <f t="array" ref="H865">INDEX(FX_Input,$R865,$Y865*H$5+$Z865)</f>
        <v>0</v>
      </c>
      <c r="I865" cm="1">
        <f t="array" ref="I865">INDEX(FX_Input,$R865,$Y865*I$5+$Z865)</f>
        <v>0</v>
      </c>
      <c r="J865" cm="1">
        <f t="array" ref="J865">INDEX(FX_Input,$R865,$Y865*J$5+$Z865)</f>
        <v>0</v>
      </c>
      <c r="K865" cm="1">
        <f t="array" ref="K865">INDEX(FX_Input,$R865,$Y865*K$5+$Z865)</f>
        <v>0</v>
      </c>
      <c r="L865" cm="1">
        <f t="array" ref="L865">INDEX(FX_Input,$R865,$Y865*L$5+$Z865)</f>
        <v>0</v>
      </c>
      <c r="M865" cm="1">
        <f t="array" ref="M865">INDEX(FX_Input,$R865,$Y865*M$5+$Z865)</f>
        <v>0</v>
      </c>
      <c r="N865" cm="1">
        <f t="array" ref="N865">INDEX(FX_Input,$R865,$Y865*N$5+$Z865)</f>
        <v>0</v>
      </c>
      <c r="O865" cm="1">
        <f t="array" ref="O865">INDEX(FX_Input,$R865,$Y865*O$5+$Z865)</f>
        <v>0</v>
      </c>
      <c r="R865">
        <f>R863</f>
        <v>124</v>
      </c>
      <c r="U865">
        <f>U864</f>
        <v>21</v>
      </c>
      <c r="V865">
        <f t="shared" si="1783"/>
        <v>26</v>
      </c>
      <c r="W865">
        <v>1</v>
      </c>
      <c r="X865">
        <v>2</v>
      </c>
      <c r="Y865">
        <f t="shared" si="1781"/>
        <v>5</v>
      </c>
      <c r="Z865">
        <f t="shared" si="1782"/>
        <v>16</v>
      </c>
    </row>
    <row r="866" spans="1:26" x14ac:dyDescent="0.4">
      <c r="C866" t="s">
        <v>532</v>
      </c>
      <c r="D866">
        <f t="shared" ref="D866:O866" si="1784">IFERROR(VLOOKUP(D860,Phys_Prop,2,FALSE),0)</f>
        <v>162</v>
      </c>
      <c r="E866">
        <f t="shared" si="1784"/>
        <v>162</v>
      </c>
      <c r="F866">
        <f t="shared" si="1784"/>
        <v>162</v>
      </c>
      <c r="G866">
        <f t="shared" si="1784"/>
        <v>162</v>
      </c>
      <c r="H866">
        <f t="shared" si="1784"/>
        <v>162</v>
      </c>
      <c r="I866">
        <f t="shared" si="1784"/>
        <v>162</v>
      </c>
      <c r="J866">
        <f t="shared" si="1784"/>
        <v>162</v>
      </c>
      <c r="K866">
        <f t="shared" si="1784"/>
        <v>162</v>
      </c>
      <c r="L866">
        <f t="shared" si="1784"/>
        <v>162</v>
      </c>
      <c r="M866">
        <f t="shared" si="1784"/>
        <v>162</v>
      </c>
      <c r="N866">
        <f t="shared" si="1784"/>
        <v>162</v>
      </c>
      <c r="O866">
        <f t="shared" si="1784"/>
        <v>162</v>
      </c>
    </row>
    <row r="867" spans="1:26" x14ac:dyDescent="0.4">
      <c r="C867" t="s">
        <v>533</v>
      </c>
      <c r="D867">
        <f t="shared" ref="D867:O867" si="1785">IFERROR(VLOOKUP(D861,Phys_Prop,2,FALSE),0)</f>
        <v>0</v>
      </c>
      <c r="E867">
        <f t="shared" si="1785"/>
        <v>0</v>
      </c>
      <c r="F867">
        <f t="shared" si="1785"/>
        <v>0</v>
      </c>
      <c r="G867">
        <f t="shared" si="1785"/>
        <v>0</v>
      </c>
      <c r="H867">
        <f t="shared" si="1785"/>
        <v>0</v>
      </c>
      <c r="I867">
        <f t="shared" si="1785"/>
        <v>0</v>
      </c>
      <c r="J867">
        <f t="shared" si="1785"/>
        <v>0</v>
      </c>
      <c r="K867">
        <f t="shared" si="1785"/>
        <v>0</v>
      </c>
      <c r="L867">
        <f t="shared" si="1785"/>
        <v>0</v>
      </c>
      <c r="M867">
        <f t="shared" si="1785"/>
        <v>0</v>
      </c>
      <c r="N867">
        <f t="shared" si="1785"/>
        <v>0</v>
      </c>
      <c r="O867">
        <f t="shared" si="1785"/>
        <v>0</v>
      </c>
    </row>
    <row r="868" spans="1:26" x14ac:dyDescent="0.4">
      <c r="C868" t="s">
        <v>544</v>
      </c>
      <c r="D868">
        <f>IFERROR(IFERROR(D866/D864+D867/D865,D866/D864),0)</f>
        <v>162</v>
      </c>
      <c r="E868">
        <f t="shared" ref="E868:O868" si="1786">IFERROR(IFERROR(E866/E864+E867/E865,E866/E864),0)</f>
        <v>162</v>
      </c>
      <c r="F868">
        <f t="shared" si="1786"/>
        <v>162</v>
      </c>
      <c r="G868">
        <f t="shared" si="1786"/>
        <v>162</v>
      </c>
      <c r="H868">
        <f t="shared" si="1786"/>
        <v>162</v>
      </c>
      <c r="I868">
        <f t="shared" si="1786"/>
        <v>162</v>
      </c>
      <c r="J868">
        <f t="shared" si="1786"/>
        <v>162</v>
      </c>
      <c r="K868">
        <f t="shared" si="1786"/>
        <v>162</v>
      </c>
      <c r="L868">
        <f t="shared" si="1786"/>
        <v>162</v>
      </c>
      <c r="M868">
        <f t="shared" si="1786"/>
        <v>162</v>
      </c>
      <c r="N868">
        <f t="shared" si="1786"/>
        <v>162</v>
      </c>
      <c r="O868">
        <f t="shared" si="1786"/>
        <v>162</v>
      </c>
    </row>
    <row r="869" spans="1:26" x14ac:dyDescent="0.4">
      <c r="C869" t="s">
        <v>539</v>
      </c>
      <c r="D869">
        <f>IFERROR((D864/D866)*D868,1)</f>
        <v>1</v>
      </c>
      <c r="E869">
        <f t="shared" ref="E869:O869" si="1787">IFERROR((E864/E866)*E868,1)</f>
        <v>1</v>
      </c>
      <c r="F869">
        <f t="shared" si="1787"/>
        <v>1</v>
      </c>
      <c r="G869">
        <f t="shared" si="1787"/>
        <v>1</v>
      </c>
      <c r="H869">
        <f t="shared" si="1787"/>
        <v>1</v>
      </c>
      <c r="I869">
        <f t="shared" si="1787"/>
        <v>1</v>
      </c>
      <c r="J869">
        <f t="shared" si="1787"/>
        <v>1</v>
      </c>
      <c r="K869">
        <f t="shared" si="1787"/>
        <v>1</v>
      </c>
      <c r="L869">
        <f t="shared" si="1787"/>
        <v>1</v>
      </c>
      <c r="M869">
        <f t="shared" si="1787"/>
        <v>1</v>
      </c>
      <c r="N869">
        <f t="shared" si="1787"/>
        <v>1</v>
      </c>
      <c r="O869">
        <f t="shared" si="1787"/>
        <v>1</v>
      </c>
    </row>
    <row r="870" spans="1:26" x14ac:dyDescent="0.4">
      <c r="C870" t="s">
        <v>540</v>
      </c>
      <c r="D870">
        <f>IFERROR((D865/D867)*D868,0)</f>
        <v>0</v>
      </c>
      <c r="E870">
        <f t="shared" ref="E870:O870" si="1788">IFERROR((E865/E867)*E868,0)</f>
        <v>0</v>
      </c>
      <c r="F870">
        <f t="shared" si="1788"/>
        <v>0</v>
      </c>
      <c r="G870">
        <f t="shared" si="1788"/>
        <v>0</v>
      </c>
      <c r="H870">
        <f t="shared" si="1788"/>
        <v>0</v>
      </c>
      <c r="I870">
        <f t="shared" si="1788"/>
        <v>0</v>
      </c>
      <c r="J870">
        <f t="shared" si="1788"/>
        <v>0</v>
      </c>
      <c r="K870">
        <f t="shared" si="1788"/>
        <v>0</v>
      </c>
      <c r="L870">
        <f t="shared" si="1788"/>
        <v>0</v>
      </c>
      <c r="M870">
        <f t="shared" si="1788"/>
        <v>0</v>
      </c>
      <c r="N870">
        <f t="shared" si="1788"/>
        <v>0</v>
      </c>
      <c r="O870">
        <f t="shared" si="1788"/>
        <v>0</v>
      </c>
    </row>
    <row r="871" spans="1:26" x14ac:dyDescent="0.4">
      <c r="C871" s="21" t="s">
        <v>534</v>
      </c>
      <c r="D871">
        <f t="shared" ref="D871:O871" si="1789">IFERROR(VLOOKUP(D860,Phys_Prop,4,FALSE),0)</f>
        <v>7</v>
      </c>
      <c r="E871">
        <f t="shared" si="1789"/>
        <v>7</v>
      </c>
      <c r="F871">
        <f t="shared" si="1789"/>
        <v>7</v>
      </c>
      <c r="G871">
        <f t="shared" si="1789"/>
        <v>7</v>
      </c>
      <c r="H871">
        <f t="shared" si="1789"/>
        <v>7</v>
      </c>
      <c r="I871">
        <f t="shared" si="1789"/>
        <v>7</v>
      </c>
      <c r="J871">
        <f t="shared" si="1789"/>
        <v>7</v>
      </c>
      <c r="K871">
        <f t="shared" si="1789"/>
        <v>7</v>
      </c>
      <c r="L871">
        <f t="shared" si="1789"/>
        <v>7</v>
      </c>
      <c r="M871">
        <f t="shared" si="1789"/>
        <v>7</v>
      </c>
      <c r="N871">
        <f t="shared" si="1789"/>
        <v>7</v>
      </c>
      <c r="O871">
        <f t="shared" si="1789"/>
        <v>7</v>
      </c>
    </row>
    <row r="872" spans="1:26" x14ac:dyDescent="0.4">
      <c r="C872" s="21" t="s">
        <v>535</v>
      </c>
      <c r="D872">
        <f t="shared" ref="D872:O872" si="1790">IFERROR(VLOOKUP(D861,Phys_Prop,4,FALSE),0)</f>
        <v>0</v>
      </c>
      <c r="E872">
        <f t="shared" si="1790"/>
        <v>0</v>
      </c>
      <c r="F872">
        <f t="shared" si="1790"/>
        <v>0</v>
      </c>
      <c r="G872">
        <f t="shared" si="1790"/>
        <v>0</v>
      </c>
      <c r="H872">
        <f t="shared" si="1790"/>
        <v>0</v>
      </c>
      <c r="I872">
        <f t="shared" si="1790"/>
        <v>0</v>
      </c>
      <c r="J872">
        <f t="shared" si="1790"/>
        <v>0</v>
      </c>
      <c r="K872">
        <f t="shared" si="1790"/>
        <v>0</v>
      </c>
      <c r="L872">
        <f t="shared" si="1790"/>
        <v>0</v>
      </c>
      <c r="M872">
        <f t="shared" si="1790"/>
        <v>0</v>
      </c>
      <c r="N872">
        <f t="shared" si="1790"/>
        <v>0</v>
      </c>
      <c r="O872">
        <f t="shared" si="1790"/>
        <v>0</v>
      </c>
    </row>
    <row r="873" spans="1:26" x14ac:dyDescent="0.4">
      <c r="A873" s="11"/>
      <c r="B873" s="11"/>
      <c r="C873" s="62" t="s">
        <v>536</v>
      </c>
      <c r="D873" s="11">
        <f>IFERROR(1/(D869/D871+D870/D872),D871)</f>
        <v>7</v>
      </c>
      <c r="E873" s="11">
        <f t="shared" ref="E873:O873" si="1791">IFERROR(1/(E869/E871+E870/E872),E871)</f>
        <v>7</v>
      </c>
      <c r="F873" s="11">
        <f t="shared" si="1791"/>
        <v>7</v>
      </c>
      <c r="G873" s="11">
        <f t="shared" si="1791"/>
        <v>7</v>
      </c>
      <c r="H873" s="11">
        <f t="shared" si="1791"/>
        <v>7</v>
      </c>
      <c r="I873" s="11">
        <f t="shared" si="1791"/>
        <v>7</v>
      </c>
      <c r="J873" s="11">
        <f t="shared" si="1791"/>
        <v>7</v>
      </c>
      <c r="K873" s="11">
        <f t="shared" si="1791"/>
        <v>7</v>
      </c>
      <c r="L873" s="11">
        <f t="shared" si="1791"/>
        <v>7</v>
      </c>
      <c r="M873" s="11">
        <f t="shared" si="1791"/>
        <v>7</v>
      </c>
      <c r="N873" s="11">
        <f t="shared" si="1791"/>
        <v>7</v>
      </c>
      <c r="O873" s="11">
        <f t="shared" si="1791"/>
        <v>7</v>
      </c>
      <c r="P873" s="11"/>
      <c r="Q873" s="11"/>
      <c r="R873" s="11"/>
      <c r="S873" s="11"/>
      <c r="T873" s="11"/>
      <c r="U873" s="11"/>
      <c r="V873" s="11"/>
      <c r="W873" s="11"/>
      <c r="X873" s="11"/>
      <c r="Y873" s="11"/>
      <c r="Z873" s="11"/>
    </row>
    <row r="874" spans="1:26" x14ac:dyDescent="0.4">
      <c r="A874" t="str" cm="1">
        <f t="array" ref="A874">INDEX(FX_Input,R874,S874)</f>
        <v>FX - 63</v>
      </c>
      <c r="B874" t="str" cm="1">
        <f t="array" ref="B874">INDEX(FX_Input,R874,T874)</f>
        <v>Portland</v>
      </c>
      <c r="C874" t="s">
        <v>528</v>
      </c>
      <c r="D874" t="str" cm="1">
        <f t="array" ref="D874">INDEX(FX_Input,$R874,$Y874*D$5+$Z874)</f>
        <v>Jet kerosene</v>
      </c>
      <c r="E874" t="str" cm="1">
        <f t="array" ref="E874">INDEX(FX_Input,$R874,$Y874*E$5+$Z874)</f>
        <v>Jet kerosene</v>
      </c>
      <c r="F874" t="str" cm="1">
        <f t="array" ref="F874">INDEX(FX_Input,$R874,$Y874*F$5+$Z874)</f>
        <v>Jet kerosene</v>
      </c>
      <c r="G874" t="str" cm="1">
        <f t="array" ref="G874">INDEX(FX_Input,$R874,$Y874*G$5+$Z874)</f>
        <v>Jet kerosene</v>
      </c>
      <c r="H874" t="str" cm="1">
        <f t="array" ref="H874">INDEX(FX_Input,$R874,$Y874*H$5+$Z874)</f>
        <v>Jet kerosene</v>
      </c>
      <c r="I874" t="str" cm="1">
        <f t="array" ref="I874">INDEX(FX_Input,$R874,$Y874*I$5+$Z874)</f>
        <v>Jet kerosene</v>
      </c>
      <c r="J874" t="str" cm="1">
        <f t="array" ref="J874">INDEX(FX_Input,$R874,$Y874*J$5+$Z874)</f>
        <v>Jet kerosene</v>
      </c>
      <c r="K874" t="str" cm="1">
        <f t="array" ref="K874">INDEX(FX_Input,$R874,$Y874*K$5+$Z874)</f>
        <v>Jet kerosene</v>
      </c>
      <c r="L874" t="str" cm="1">
        <f t="array" ref="L874">INDEX(FX_Input,$R874,$Y874*L$5+$Z874)</f>
        <v>Jet kerosene</v>
      </c>
      <c r="M874" t="str" cm="1">
        <f t="array" ref="M874">INDEX(FX_Input,$R874,$Y874*M$5+$Z874)</f>
        <v>Jet kerosene</v>
      </c>
      <c r="N874" t="str" cm="1">
        <f t="array" ref="N874">INDEX(FX_Input,$R874,$Y874*N$5+$Z874)</f>
        <v>Jet kerosene</v>
      </c>
      <c r="O874" t="str" cm="1">
        <f t="array" ref="O874">INDEX(FX_Input,$R874,$Y874*O$5+$Z874)</f>
        <v>Jet kerosene</v>
      </c>
      <c r="R874">
        <f>R860+2</f>
        <v>125</v>
      </c>
      <c r="S874">
        <v>1</v>
      </c>
      <c r="T874">
        <v>3</v>
      </c>
      <c r="U874">
        <v>17</v>
      </c>
      <c r="V874">
        <f>U874+5</f>
        <v>22</v>
      </c>
      <c r="W874">
        <v>1</v>
      </c>
      <c r="X874">
        <v>2</v>
      </c>
      <c r="Y874">
        <f t="shared" ref="Y874:Y879" si="1792">(V874-U874)/(X874-W874)</f>
        <v>5</v>
      </c>
      <c r="Z874">
        <f t="shared" ref="Z874:Z879" si="1793">U874-Y874*W874</f>
        <v>12</v>
      </c>
    </row>
    <row r="875" spans="1:26" x14ac:dyDescent="0.4">
      <c r="C875" t="s">
        <v>529</v>
      </c>
      <c r="D875" cm="1">
        <f t="array" ref="D875">INDEX(FX_Input,$R875,$Y875*D$5+$Z875)</f>
        <v>0</v>
      </c>
      <c r="E875" cm="1">
        <f t="array" ref="E875">INDEX(FX_Input,$R875,$Y875*E$5+$Z875)</f>
        <v>0</v>
      </c>
      <c r="F875" cm="1">
        <f t="array" ref="F875">INDEX(FX_Input,$R875,$Y875*F$5+$Z875)</f>
        <v>0</v>
      </c>
      <c r="G875" cm="1">
        <f t="array" ref="G875">INDEX(FX_Input,$R875,$Y875*G$5+$Z875)</f>
        <v>0</v>
      </c>
      <c r="H875" cm="1">
        <f t="array" ref="H875">INDEX(FX_Input,$R875,$Y875*H$5+$Z875)</f>
        <v>0</v>
      </c>
      <c r="I875" cm="1">
        <f t="array" ref="I875">INDEX(FX_Input,$R875,$Y875*I$5+$Z875)</f>
        <v>0</v>
      </c>
      <c r="J875" cm="1">
        <f t="array" ref="J875">INDEX(FX_Input,$R875,$Y875*J$5+$Z875)</f>
        <v>0</v>
      </c>
      <c r="K875" cm="1">
        <f t="array" ref="K875">INDEX(FX_Input,$R875,$Y875*K$5+$Z875)</f>
        <v>0</v>
      </c>
      <c r="L875" cm="1">
        <f t="array" ref="L875">INDEX(FX_Input,$R875,$Y875*L$5+$Z875)</f>
        <v>0</v>
      </c>
      <c r="M875" cm="1">
        <f t="array" ref="M875">INDEX(FX_Input,$R875,$Y875*M$5+$Z875)</f>
        <v>0</v>
      </c>
      <c r="N875" cm="1">
        <f t="array" ref="N875">INDEX(FX_Input,$R875,$Y875*N$5+$Z875)</f>
        <v>0</v>
      </c>
      <c r="O875" cm="1">
        <f t="array" ref="O875">INDEX(FX_Input,$R875,$Y875*O$5+$Z875)</f>
        <v>0</v>
      </c>
      <c r="R875">
        <f>R874+1</f>
        <v>126</v>
      </c>
      <c r="U875">
        <f>U874</f>
        <v>17</v>
      </c>
      <c r="V875">
        <f t="shared" ref="V875:V879" si="1794">U875+5</f>
        <v>22</v>
      </c>
      <c r="W875">
        <v>1</v>
      </c>
      <c r="X875">
        <v>2</v>
      </c>
      <c r="Y875">
        <f t="shared" si="1792"/>
        <v>5</v>
      </c>
      <c r="Z875">
        <f t="shared" si="1793"/>
        <v>12</v>
      </c>
    </row>
    <row r="876" spans="1:26" x14ac:dyDescent="0.4">
      <c r="C876" t="s">
        <v>530</v>
      </c>
      <c r="D876" t="str" cm="1">
        <f t="array" ref="D876">INDEX(FX_Input,$R876,$Y876*D$5+$Z876)</f>
        <v>Select Pet Stock</v>
      </c>
      <c r="E876" t="str" cm="1">
        <f t="array" ref="E876">INDEX(FX_Input,$R876,$Y876*E$5+$Z876)</f>
        <v>Select Pet Stock</v>
      </c>
      <c r="F876" t="str" cm="1">
        <f t="array" ref="F876">INDEX(FX_Input,$R876,$Y876*F$5+$Z876)</f>
        <v>Select Pet Stock</v>
      </c>
      <c r="G876" t="str" cm="1">
        <f t="array" ref="G876">INDEX(FX_Input,$R876,$Y876*G$5+$Z876)</f>
        <v>Select Pet Stock</v>
      </c>
      <c r="H876" t="str" cm="1">
        <f t="array" ref="H876">INDEX(FX_Input,$R876,$Y876*H$5+$Z876)</f>
        <v>Select Pet Stock</v>
      </c>
      <c r="I876" t="str" cm="1">
        <f t="array" ref="I876">INDEX(FX_Input,$R876,$Y876*I$5+$Z876)</f>
        <v>Select Pet Stock</v>
      </c>
      <c r="J876" t="str" cm="1">
        <f t="array" ref="J876">INDEX(FX_Input,$R876,$Y876*J$5+$Z876)</f>
        <v>Select Pet Stock</v>
      </c>
      <c r="K876" t="str" cm="1">
        <f t="array" ref="K876">INDEX(FX_Input,$R876,$Y876*K$5+$Z876)</f>
        <v>Select Pet Stock</v>
      </c>
      <c r="L876" t="str" cm="1">
        <f t="array" ref="L876">INDEX(FX_Input,$R876,$Y876*L$5+$Z876)</f>
        <v>Select Pet Stock</v>
      </c>
      <c r="M876" t="str" cm="1">
        <f t="array" ref="M876">INDEX(FX_Input,$R876,$Y876*M$5+$Z876)</f>
        <v>Select Pet Stock</v>
      </c>
      <c r="N876" t="str" cm="1">
        <f t="array" ref="N876">INDEX(FX_Input,$R876,$Y876*N$5+$Z876)</f>
        <v>Select Pet Stock</v>
      </c>
      <c r="O876" t="str" cm="1">
        <f t="array" ref="O876">INDEX(FX_Input,$R876,$Y876*O$5+$Z876)</f>
        <v>Select Pet Stock</v>
      </c>
      <c r="R876">
        <f>R874</f>
        <v>125</v>
      </c>
      <c r="U876">
        <v>18</v>
      </c>
      <c r="V876">
        <f t="shared" si="1794"/>
        <v>23</v>
      </c>
      <c r="W876">
        <v>1</v>
      </c>
      <c r="X876">
        <v>2</v>
      </c>
      <c r="Y876">
        <f t="shared" si="1792"/>
        <v>5</v>
      </c>
      <c r="Z876">
        <f t="shared" si="1793"/>
        <v>13</v>
      </c>
    </row>
    <row r="877" spans="1:26" x14ac:dyDescent="0.4">
      <c r="C877" t="s">
        <v>531</v>
      </c>
      <c r="D877" cm="1">
        <f t="array" ref="D877">INDEX(FX_Input,$R877,$Y877*D$5+$Z877)</f>
        <v>0</v>
      </c>
      <c r="E877" cm="1">
        <f t="array" ref="E877">INDEX(FX_Input,$R877,$Y877*E$5+$Z877)</f>
        <v>0</v>
      </c>
      <c r="F877" cm="1">
        <f t="array" ref="F877">INDEX(FX_Input,$R877,$Y877*F$5+$Z877)</f>
        <v>0</v>
      </c>
      <c r="G877" cm="1">
        <f t="array" ref="G877">INDEX(FX_Input,$R877,$Y877*G$5+$Z877)</f>
        <v>0</v>
      </c>
      <c r="H877" cm="1">
        <f t="array" ref="H877">INDEX(FX_Input,$R877,$Y877*H$5+$Z877)</f>
        <v>0</v>
      </c>
      <c r="I877" cm="1">
        <f t="array" ref="I877">INDEX(FX_Input,$R877,$Y877*I$5+$Z877)</f>
        <v>0</v>
      </c>
      <c r="J877" cm="1">
        <f t="array" ref="J877">INDEX(FX_Input,$R877,$Y877*J$5+$Z877)</f>
        <v>0</v>
      </c>
      <c r="K877" cm="1">
        <f t="array" ref="K877">INDEX(FX_Input,$R877,$Y877*K$5+$Z877)</f>
        <v>0</v>
      </c>
      <c r="L877" cm="1">
        <f t="array" ref="L877">INDEX(FX_Input,$R877,$Y877*L$5+$Z877)</f>
        <v>0</v>
      </c>
      <c r="M877" cm="1">
        <f t="array" ref="M877">INDEX(FX_Input,$R877,$Y877*M$5+$Z877)</f>
        <v>0</v>
      </c>
      <c r="N877" cm="1">
        <f t="array" ref="N877">INDEX(FX_Input,$R877,$Y877*N$5+$Z877)</f>
        <v>0</v>
      </c>
      <c r="O877" cm="1">
        <f t="array" ref="O877">INDEX(FX_Input,$R877,$Y877*O$5+$Z877)</f>
        <v>0</v>
      </c>
      <c r="R877">
        <f>R875</f>
        <v>126</v>
      </c>
      <c r="U877">
        <f>U876</f>
        <v>18</v>
      </c>
      <c r="V877">
        <f t="shared" si="1794"/>
        <v>23</v>
      </c>
      <c r="W877">
        <v>1</v>
      </c>
      <c r="X877">
        <v>2</v>
      </c>
      <c r="Y877">
        <f t="shared" si="1792"/>
        <v>5</v>
      </c>
      <c r="Z877">
        <f t="shared" si="1793"/>
        <v>13</v>
      </c>
    </row>
    <row r="878" spans="1:26" x14ac:dyDescent="0.4">
      <c r="C878" t="s">
        <v>546</v>
      </c>
      <c r="D878" cm="1">
        <f t="array" ref="D878">INDEX(FX_Input,$R878,$Y878*D$5+$Z878)</f>
        <v>1</v>
      </c>
      <c r="E878" cm="1">
        <f t="array" ref="E878">INDEX(FX_Input,$R878,$Y878*E$5+$Z878)</f>
        <v>1</v>
      </c>
      <c r="F878" cm="1">
        <f t="array" ref="F878">INDEX(FX_Input,$R878,$Y878*F$5+$Z878)</f>
        <v>1</v>
      </c>
      <c r="G878" cm="1">
        <f t="array" ref="G878">INDEX(FX_Input,$R878,$Y878*G$5+$Z878)</f>
        <v>1</v>
      </c>
      <c r="H878" cm="1">
        <f t="array" ref="H878">INDEX(FX_Input,$R878,$Y878*H$5+$Z878)</f>
        <v>1</v>
      </c>
      <c r="I878" cm="1">
        <f t="array" ref="I878">INDEX(FX_Input,$R878,$Y878*I$5+$Z878)</f>
        <v>1</v>
      </c>
      <c r="J878" cm="1">
        <f t="array" ref="J878">INDEX(FX_Input,$R878,$Y878*J$5+$Z878)</f>
        <v>1</v>
      </c>
      <c r="K878" cm="1">
        <f t="array" ref="K878">INDEX(FX_Input,$R878,$Y878*K$5+$Z878)</f>
        <v>1</v>
      </c>
      <c r="L878" cm="1">
        <f t="array" ref="L878">INDEX(FX_Input,$R878,$Y878*L$5+$Z878)</f>
        <v>1</v>
      </c>
      <c r="M878" cm="1">
        <f t="array" ref="M878">INDEX(FX_Input,$R878,$Y878*M$5+$Z878)</f>
        <v>1</v>
      </c>
      <c r="N878" cm="1">
        <f t="array" ref="N878">INDEX(FX_Input,$R878,$Y878*N$5+$Z878)</f>
        <v>1</v>
      </c>
      <c r="O878" cm="1">
        <f t="array" ref="O878">INDEX(FX_Input,$R878,$Y878*O$5+$Z878)</f>
        <v>1</v>
      </c>
      <c r="R878">
        <f>R876</f>
        <v>125</v>
      </c>
      <c r="U878">
        <v>21</v>
      </c>
      <c r="V878">
        <f t="shared" si="1794"/>
        <v>26</v>
      </c>
      <c r="W878">
        <v>1</v>
      </c>
      <c r="X878">
        <v>2</v>
      </c>
      <c r="Y878">
        <f t="shared" si="1792"/>
        <v>5</v>
      </c>
      <c r="Z878">
        <f t="shared" si="1793"/>
        <v>16</v>
      </c>
    </row>
    <row r="879" spans="1:26" x14ac:dyDescent="0.4">
      <c r="C879" t="s">
        <v>547</v>
      </c>
      <c r="D879" cm="1">
        <f t="array" ref="D879">INDEX(FX_Input,$R879,$Y879*D$5+$Z879)</f>
        <v>0</v>
      </c>
      <c r="E879" cm="1">
        <f t="array" ref="E879">INDEX(FX_Input,$R879,$Y879*E$5+$Z879)</f>
        <v>0</v>
      </c>
      <c r="F879" cm="1">
        <f t="array" ref="F879">INDEX(FX_Input,$R879,$Y879*F$5+$Z879)</f>
        <v>0</v>
      </c>
      <c r="G879" cm="1">
        <f t="array" ref="G879">INDEX(FX_Input,$R879,$Y879*G$5+$Z879)</f>
        <v>0</v>
      </c>
      <c r="H879" cm="1">
        <f t="array" ref="H879">INDEX(FX_Input,$R879,$Y879*H$5+$Z879)</f>
        <v>0</v>
      </c>
      <c r="I879" cm="1">
        <f t="array" ref="I879">INDEX(FX_Input,$R879,$Y879*I$5+$Z879)</f>
        <v>0</v>
      </c>
      <c r="J879" cm="1">
        <f t="array" ref="J879">INDEX(FX_Input,$R879,$Y879*J$5+$Z879)</f>
        <v>0</v>
      </c>
      <c r="K879" cm="1">
        <f t="array" ref="K879">INDEX(FX_Input,$R879,$Y879*K$5+$Z879)</f>
        <v>0</v>
      </c>
      <c r="L879" cm="1">
        <f t="array" ref="L879">INDEX(FX_Input,$R879,$Y879*L$5+$Z879)</f>
        <v>0</v>
      </c>
      <c r="M879" cm="1">
        <f t="array" ref="M879">INDEX(FX_Input,$R879,$Y879*M$5+$Z879)</f>
        <v>0</v>
      </c>
      <c r="N879" cm="1">
        <f t="array" ref="N879">INDEX(FX_Input,$R879,$Y879*N$5+$Z879)</f>
        <v>0</v>
      </c>
      <c r="O879" cm="1">
        <f t="array" ref="O879">INDEX(FX_Input,$R879,$Y879*O$5+$Z879)</f>
        <v>0</v>
      </c>
      <c r="R879">
        <f>R877</f>
        <v>126</v>
      </c>
      <c r="U879">
        <f>U878</f>
        <v>21</v>
      </c>
      <c r="V879">
        <f t="shared" si="1794"/>
        <v>26</v>
      </c>
      <c r="W879">
        <v>1</v>
      </c>
      <c r="X879">
        <v>2</v>
      </c>
      <c r="Y879">
        <f t="shared" si="1792"/>
        <v>5</v>
      </c>
      <c r="Z879">
        <f t="shared" si="1793"/>
        <v>16</v>
      </c>
    </row>
    <row r="880" spans="1:26" x14ac:dyDescent="0.4">
      <c r="C880" t="s">
        <v>532</v>
      </c>
      <c r="D880">
        <f t="shared" ref="D880:O880" si="1795">IFERROR(VLOOKUP(D874,Phys_Prop,2,FALSE),0)</f>
        <v>162</v>
      </c>
      <c r="E880">
        <f t="shared" si="1795"/>
        <v>162</v>
      </c>
      <c r="F880">
        <f t="shared" si="1795"/>
        <v>162</v>
      </c>
      <c r="G880">
        <f t="shared" si="1795"/>
        <v>162</v>
      </c>
      <c r="H880">
        <f t="shared" si="1795"/>
        <v>162</v>
      </c>
      <c r="I880">
        <f t="shared" si="1795"/>
        <v>162</v>
      </c>
      <c r="J880">
        <f t="shared" si="1795"/>
        <v>162</v>
      </c>
      <c r="K880">
        <f t="shared" si="1795"/>
        <v>162</v>
      </c>
      <c r="L880">
        <f t="shared" si="1795"/>
        <v>162</v>
      </c>
      <c r="M880">
        <f t="shared" si="1795"/>
        <v>162</v>
      </c>
      <c r="N880">
        <f t="shared" si="1795"/>
        <v>162</v>
      </c>
      <c r="O880">
        <f t="shared" si="1795"/>
        <v>162</v>
      </c>
    </row>
    <row r="881" spans="1:26" x14ac:dyDescent="0.4">
      <c r="C881" t="s">
        <v>533</v>
      </c>
      <c r="D881">
        <f t="shared" ref="D881:O881" si="1796">IFERROR(VLOOKUP(D875,Phys_Prop,2,FALSE),0)</f>
        <v>0</v>
      </c>
      <c r="E881">
        <f t="shared" si="1796"/>
        <v>0</v>
      </c>
      <c r="F881">
        <f t="shared" si="1796"/>
        <v>0</v>
      </c>
      <c r="G881">
        <f t="shared" si="1796"/>
        <v>0</v>
      </c>
      <c r="H881">
        <f t="shared" si="1796"/>
        <v>0</v>
      </c>
      <c r="I881">
        <f t="shared" si="1796"/>
        <v>0</v>
      </c>
      <c r="J881">
        <f t="shared" si="1796"/>
        <v>0</v>
      </c>
      <c r="K881">
        <f t="shared" si="1796"/>
        <v>0</v>
      </c>
      <c r="L881">
        <f t="shared" si="1796"/>
        <v>0</v>
      </c>
      <c r="M881">
        <f t="shared" si="1796"/>
        <v>0</v>
      </c>
      <c r="N881">
        <f t="shared" si="1796"/>
        <v>0</v>
      </c>
      <c r="O881">
        <f t="shared" si="1796"/>
        <v>0</v>
      </c>
    </row>
    <row r="882" spans="1:26" x14ac:dyDescent="0.4">
      <c r="C882" t="s">
        <v>544</v>
      </c>
      <c r="D882">
        <f>IFERROR(IFERROR(D880/D878+D881/D879,D880/D878),0)</f>
        <v>162</v>
      </c>
      <c r="E882">
        <f t="shared" ref="E882:O882" si="1797">IFERROR(IFERROR(E880/E878+E881/E879,E880/E878),0)</f>
        <v>162</v>
      </c>
      <c r="F882">
        <f t="shared" si="1797"/>
        <v>162</v>
      </c>
      <c r="G882">
        <f t="shared" si="1797"/>
        <v>162</v>
      </c>
      <c r="H882">
        <f t="shared" si="1797"/>
        <v>162</v>
      </c>
      <c r="I882">
        <f t="shared" si="1797"/>
        <v>162</v>
      </c>
      <c r="J882">
        <f t="shared" si="1797"/>
        <v>162</v>
      </c>
      <c r="K882">
        <f t="shared" si="1797"/>
        <v>162</v>
      </c>
      <c r="L882">
        <f t="shared" si="1797"/>
        <v>162</v>
      </c>
      <c r="M882">
        <f t="shared" si="1797"/>
        <v>162</v>
      </c>
      <c r="N882">
        <f t="shared" si="1797"/>
        <v>162</v>
      </c>
      <c r="O882">
        <f t="shared" si="1797"/>
        <v>162</v>
      </c>
    </row>
    <row r="883" spans="1:26" x14ac:dyDescent="0.4">
      <c r="C883" t="s">
        <v>539</v>
      </c>
      <c r="D883">
        <f>IFERROR((D878/D880)*D882,1)</f>
        <v>1</v>
      </c>
      <c r="E883">
        <f t="shared" ref="E883:O883" si="1798">IFERROR((E878/E880)*E882,1)</f>
        <v>1</v>
      </c>
      <c r="F883">
        <f t="shared" si="1798"/>
        <v>1</v>
      </c>
      <c r="G883">
        <f t="shared" si="1798"/>
        <v>1</v>
      </c>
      <c r="H883">
        <f t="shared" si="1798"/>
        <v>1</v>
      </c>
      <c r="I883">
        <f t="shared" si="1798"/>
        <v>1</v>
      </c>
      <c r="J883">
        <f t="shared" si="1798"/>
        <v>1</v>
      </c>
      <c r="K883">
        <f t="shared" si="1798"/>
        <v>1</v>
      </c>
      <c r="L883">
        <f t="shared" si="1798"/>
        <v>1</v>
      </c>
      <c r="M883">
        <f t="shared" si="1798"/>
        <v>1</v>
      </c>
      <c r="N883">
        <f t="shared" si="1798"/>
        <v>1</v>
      </c>
      <c r="O883">
        <f t="shared" si="1798"/>
        <v>1</v>
      </c>
    </row>
    <row r="884" spans="1:26" x14ac:dyDescent="0.4">
      <c r="C884" t="s">
        <v>540</v>
      </c>
      <c r="D884">
        <f>IFERROR((D879/D881)*D882,0)</f>
        <v>0</v>
      </c>
      <c r="E884">
        <f t="shared" ref="E884:O884" si="1799">IFERROR((E879/E881)*E882,0)</f>
        <v>0</v>
      </c>
      <c r="F884">
        <f t="shared" si="1799"/>
        <v>0</v>
      </c>
      <c r="G884">
        <f t="shared" si="1799"/>
        <v>0</v>
      </c>
      <c r="H884">
        <f t="shared" si="1799"/>
        <v>0</v>
      </c>
      <c r="I884">
        <f t="shared" si="1799"/>
        <v>0</v>
      </c>
      <c r="J884">
        <f t="shared" si="1799"/>
        <v>0</v>
      </c>
      <c r="K884">
        <f t="shared" si="1799"/>
        <v>0</v>
      </c>
      <c r="L884">
        <f t="shared" si="1799"/>
        <v>0</v>
      </c>
      <c r="M884">
        <f t="shared" si="1799"/>
        <v>0</v>
      </c>
      <c r="N884">
        <f t="shared" si="1799"/>
        <v>0</v>
      </c>
      <c r="O884">
        <f t="shared" si="1799"/>
        <v>0</v>
      </c>
    </row>
    <row r="885" spans="1:26" x14ac:dyDescent="0.4">
      <c r="C885" s="21" t="s">
        <v>534</v>
      </c>
      <c r="D885">
        <f t="shared" ref="D885:O885" si="1800">IFERROR(VLOOKUP(D874,Phys_Prop,4,FALSE),0)</f>
        <v>7</v>
      </c>
      <c r="E885">
        <f t="shared" si="1800"/>
        <v>7</v>
      </c>
      <c r="F885">
        <f t="shared" si="1800"/>
        <v>7</v>
      </c>
      <c r="G885">
        <f t="shared" si="1800"/>
        <v>7</v>
      </c>
      <c r="H885">
        <f t="shared" si="1800"/>
        <v>7</v>
      </c>
      <c r="I885">
        <f t="shared" si="1800"/>
        <v>7</v>
      </c>
      <c r="J885">
        <f t="shared" si="1800"/>
        <v>7</v>
      </c>
      <c r="K885">
        <f t="shared" si="1800"/>
        <v>7</v>
      </c>
      <c r="L885">
        <f t="shared" si="1800"/>
        <v>7</v>
      </c>
      <c r="M885">
        <f t="shared" si="1800"/>
        <v>7</v>
      </c>
      <c r="N885">
        <f t="shared" si="1800"/>
        <v>7</v>
      </c>
      <c r="O885">
        <f t="shared" si="1800"/>
        <v>7</v>
      </c>
    </row>
    <row r="886" spans="1:26" x14ac:dyDescent="0.4">
      <c r="C886" s="21" t="s">
        <v>535</v>
      </c>
      <c r="D886">
        <f t="shared" ref="D886:O886" si="1801">IFERROR(VLOOKUP(D875,Phys_Prop,4,FALSE),0)</f>
        <v>0</v>
      </c>
      <c r="E886">
        <f t="shared" si="1801"/>
        <v>0</v>
      </c>
      <c r="F886">
        <f t="shared" si="1801"/>
        <v>0</v>
      </c>
      <c r="G886">
        <f t="shared" si="1801"/>
        <v>0</v>
      </c>
      <c r="H886">
        <f t="shared" si="1801"/>
        <v>0</v>
      </c>
      <c r="I886">
        <f t="shared" si="1801"/>
        <v>0</v>
      </c>
      <c r="J886">
        <f t="shared" si="1801"/>
        <v>0</v>
      </c>
      <c r="K886">
        <f t="shared" si="1801"/>
        <v>0</v>
      </c>
      <c r="L886">
        <f t="shared" si="1801"/>
        <v>0</v>
      </c>
      <c r="M886">
        <f t="shared" si="1801"/>
        <v>0</v>
      </c>
      <c r="N886">
        <f t="shared" si="1801"/>
        <v>0</v>
      </c>
      <c r="O886">
        <f t="shared" si="1801"/>
        <v>0</v>
      </c>
    </row>
    <row r="887" spans="1:26" x14ac:dyDescent="0.4">
      <c r="A887" s="11"/>
      <c r="B887" s="11"/>
      <c r="C887" s="62" t="s">
        <v>536</v>
      </c>
      <c r="D887" s="11">
        <f>IFERROR(1/(D883/D885+D884/D886),D885)</f>
        <v>7</v>
      </c>
      <c r="E887" s="11">
        <f t="shared" ref="E887:O887" si="1802">IFERROR(1/(E883/E885+E884/E886),E885)</f>
        <v>7</v>
      </c>
      <c r="F887" s="11">
        <f t="shared" si="1802"/>
        <v>7</v>
      </c>
      <c r="G887" s="11">
        <f t="shared" si="1802"/>
        <v>7</v>
      </c>
      <c r="H887" s="11">
        <f t="shared" si="1802"/>
        <v>7</v>
      </c>
      <c r="I887" s="11">
        <f t="shared" si="1802"/>
        <v>7</v>
      </c>
      <c r="J887" s="11">
        <f t="shared" si="1802"/>
        <v>7</v>
      </c>
      <c r="K887" s="11">
        <f t="shared" si="1802"/>
        <v>7</v>
      </c>
      <c r="L887" s="11">
        <f t="shared" si="1802"/>
        <v>7</v>
      </c>
      <c r="M887" s="11">
        <f t="shared" si="1802"/>
        <v>7</v>
      </c>
      <c r="N887" s="11">
        <f t="shared" si="1802"/>
        <v>7</v>
      </c>
      <c r="O887" s="11">
        <f t="shared" si="1802"/>
        <v>7</v>
      </c>
      <c r="P887" s="11"/>
      <c r="Q887" s="11"/>
      <c r="R887" s="11"/>
      <c r="S887" s="11"/>
      <c r="T887" s="11"/>
      <c r="U887" s="11"/>
      <c r="V887" s="11"/>
      <c r="W887" s="11"/>
      <c r="X887" s="11"/>
      <c r="Y887" s="11"/>
      <c r="Z887" s="11"/>
    </row>
    <row r="888" spans="1:26" x14ac:dyDescent="0.4">
      <c r="A888" t="str" cm="1">
        <f t="array" ref="A888">INDEX(FX_Input,R888,S888)</f>
        <v>FX - 64</v>
      </c>
      <c r="B888" t="str" cm="1">
        <f t="array" ref="B888">INDEX(FX_Input,R888,T888)</f>
        <v>Portland</v>
      </c>
      <c r="C888" t="s">
        <v>528</v>
      </c>
      <c r="D888" t="str" cm="1">
        <f t="array" ref="D888">INDEX(FX_Input,$R888,$Y888*D$5+$Z888)</f>
        <v>Jet kerosene</v>
      </c>
      <c r="E888" t="str" cm="1">
        <f t="array" ref="E888">INDEX(FX_Input,$R888,$Y888*E$5+$Z888)</f>
        <v>Jet kerosene</v>
      </c>
      <c r="F888" t="str" cm="1">
        <f t="array" ref="F888">INDEX(FX_Input,$R888,$Y888*F$5+$Z888)</f>
        <v>Jet kerosene</v>
      </c>
      <c r="G888" t="str" cm="1">
        <f t="array" ref="G888">INDEX(FX_Input,$R888,$Y888*G$5+$Z888)</f>
        <v>Jet kerosene</v>
      </c>
      <c r="H888" t="str" cm="1">
        <f t="array" ref="H888">INDEX(FX_Input,$R888,$Y888*H$5+$Z888)</f>
        <v>Jet kerosene</v>
      </c>
      <c r="I888" t="str" cm="1">
        <f t="array" ref="I888">INDEX(FX_Input,$R888,$Y888*I$5+$Z888)</f>
        <v>Jet kerosene</v>
      </c>
      <c r="J888" t="str" cm="1">
        <f t="array" ref="J888">INDEX(FX_Input,$R888,$Y888*J$5+$Z888)</f>
        <v>Jet kerosene</v>
      </c>
      <c r="K888" t="str" cm="1">
        <f t="array" ref="K888">INDEX(FX_Input,$R888,$Y888*K$5+$Z888)</f>
        <v>Jet kerosene</v>
      </c>
      <c r="L888" t="str" cm="1">
        <f t="array" ref="L888">INDEX(FX_Input,$R888,$Y888*L$5+$Z888)</f>
        <v>Jet kerosene</v>
      </c>
      <c r="M888" t="str" cm="1">
        <f t="array" ref="M888">INDEX(FX_Input,$R888,$Y888*M$5+$Z888)</f>
        <v>Jet kerosene</v>
      </c>
      <c r="N888" t="str" cm="1">
        <f t="array" ref="N888">INDEX(FX_Input,$R888,$Y888*N$5+$Z888)</f>
        <v>Jet kerosene</v>
      </c>
      <c r="O888" t="str" cm="1">
        <f t="array" ref="O888">INDEX(FX_Input,$R888,$Y888*O$5+$Z888)</f>
        <v>Jet kerosene</v>
      </c>
      <c r="R888">
        <f>R874+2</f>
        <v>127</v>
      </c>
      <c r="S888">
        <v>1</v>
      </c>
      <c r="T888">
        <v>3</v>
      </c>
      <c r="U888">
        <v>17</v>
      </c>
      <c r="V888">
        <f>U888+5</f>
        <v>22</v>
      </c>
      <c r="W888">
        <v>1</v>
      </c>
      <c r="X888">
        <v>2</v>
      </c>
      <c r="Y888">
        <f t="shared" ref="Y888:Y893" si="1803">(V888-U888)/(X888-W888)</f>
        <v>5</v>
      </c>
      <c r="Z888">
        <f t="shared" ref="Z888:Z893" si="1804">U888-Y888*W888</f>
        <v>12</v>
      </c>
    </row>
    <row r="889" spans="1:26" x14ac:dyDescent="0.4">
      <c r="C889" t="s">
        <v>529</v>
      </c>
      <c r="D889" cm="1">
        <f t="array" ref="D889">INDEX(FX_Input,$R889,$Y889*D$5+$Z889)</f>
        <v>0</v>
      </c>
      <c r="E889" cm="1">
        <f t="array" ref="E889">INDEX(FX_Input,$R889,$Y889*E$5+$Z889)</f>
        <v>0</v>
      </c>
      <c r="F889" cm="1">
        <f t="array" ref="F889">INDEX(FX_Input,$R889,$Y889*F$5+$Z889)</f>
        <v>0</v>
      </c>
      <c r="G889" cm="1">
        <f t="array" ref="G889">INDEX(FX_Input,$R889,$Y889*G$5+$Z889)</f>
        <v>0</v>
      </c>
      <c r="H889" cm="1">
        <f t="array" ref="H889">INDEX(FX_Input,$R889,$Y889*H$5+$Z889)</f>
        <v>0</v>
      </c>
      <c r="I889" cm="1">
        <f t="array" ref="I889">INDEX(FX_Input,$R889,$Y889*I$5+$Z889)</f>
        <v>0</v>
      </c>
      <c r="J889" cm="1">
        <f t="array" ref="J889">INDEX(FX_Input,$R889,$Y889*J$5+$Z889)</f>
        <v>0</v>
      </c>
      <c r="K889" cm="1">
        <f t="array" ref="K889">INDEX(FX_Input,$R889,$Y889*K$5+$Z889)</f>
        <v>0</v>
      </c>
      <c r="L889" cm="1">
        <f t="array" ref="L889">INDEX(FX_Input,$R889,$Y889*L$5+$Z889)</f>
        <v>0</v>
      </c>
      <c r="M889" cm="1">
        <f t="array" ref="M889">INDEX(FX_Input,$R889,$Y889*M$5+$Z889)</f>
        <v>0</v>
      </c>
      <c r="N889" cm="1">
        <f t="array" ref="N889">INDEX(FX_Input,$R889,$Y889*N$5+$Z889)</f>
        <v>0</v>
      </c>
      <c r="O889" cm="1">
        <f t="array" ref="O889">INDEX(FX_Input,$R889,$Y889*O$5+$Z889)</f>
        <v>0</v>
      </c>
      <c r="R889">
        <f>R888+1</f>
        <v>128</v>
      </c>
      <c r="U889">
        <f>U888</f>
        <v>17</v>
      </c>
      <c r="V889">
        <f t="shared" ref="V889:V893" si="1805">U889+5</f>
        <v>22</v>
      </c>
      <c r="W889">
        <v>1</v>
      </c>
      <c r="X889">
        <v>2</v>
      </c>
      <c r="Y889">
        <f t="shared" si="1803"/>
        <v>5</v>
      </c>
      <c r="Z889">
        <f t="shared" si="1804"/>
        <v>12</v>
      </c>
    </row>
    <row r="890" spans="1:26" x14ac:dyDescent="0.4">
      <c r="C890" t="s">
        <v>530</v>
      </c>
      <c r="D890" t="str" cm="1">
        <f t="array" ref="D890">INDEX(FX_Input,$R890,$Y890*D$5+$Z890)</f>
        <v>Select Pet Stock</v>
      </c>
      <c r="E890" t="str" cm="1">
        <f t="array" ref="E890">INDEX(FX_Input,$R890,$Y890*E$5+$Z890)</f>
        <v>Select Pet Stock</v>
      </c>
      <c r="F890" t="str" cm="1">
        <f t="array" ref="F890">INDEX(FX_Input,$R890,$Y890*F$5+$Z890)</f>
        <v>Select Pet Stock</v>
      </c>
      <c r="G890" t="str" cm="1">
        <f t="array" ref="G890">INDEX(FX_Input,$R890,$Y890*G$5+$Z890)</f>
        <v>Select Pet Stock</v>
      </c>
      <c r="H890" t="str" cm="1">
        <f t="array" ref="H890">INDEX(FX_Input,$R890,$Y890*H$5+$Z890)</f>
        <v>Select Pet Stock</v>
      </c>
      <c r="I890" t="str" cm="1">
        <f t="array" ref="I890">INDEX(FX_Input,$R890,$Y890*I$5+$Z890)</f>
        <v>Select Pet Stock</v>
      </c>
      <c r="J890" t="str" cm="1">
        <f t="array" ref="J890">INDEX(FX_Input,$R890,$Y890*J$5+$Z890)</f>
        <v>Select Pet Stock</v>
      </c>
      <c r="K890" t="str" cm="1">
        <f t="array" ref="K890">INDEX(FX_Input,$R890,$Y890*K$5+$Z890)</f>
        <v>Select Pet Stock</v>
      </c>
      <c r="L890" t="str" cm="1">
        <f t="array" ref="L890">INDEX(FX_Input,$R890,$Y890*L$5+$Z890)</f>
        <v>Select Pet Stock</v>
      </c>
      <c r="M890" t="str" cm="1">
        <f t="array" ref="M890">INDEX(FX_Input,$R890,$Y890*M$5+$Z890)</f>
        <v>Select Pet Stock</v>
      </c>
      <c r="N890" t="str" cm="1">
        <f t="array" ref="N890">INDEX(FX_Input,$R890,$Y890*N$5+$Z890)</f>
        <v>Select Pet Stock</v>
      </c>
      <c r="O890" t="str" cm="1">
        <f t="array" ref="O890">INDEX(FX_Input,$R890,$Y890*O$5+$Z890)</f>
        <v>Select Pet Stock</v>
      </c>
      <c r="R890">
        <f>R888</f>
        <v>127</v>
      </c>
      <c r="U890">
        <v>18</v>
      </c>
      <c r="V890">
        <f t="shared" si="1805"/>
        <v>23</v>
      </c>
      <c r="W890">
        <v>1</v>
      </c>
      <c r="X890">
        <v>2</v>
      </c>
      <c r="Y890">
        <f t="shared" si="1803"/>
        <v>5</v>
      </c>
      <c r="Z890">
        <f t="shared" si="1804"/>
        <v>13</v>
      </c>
    </row>
    <row r="891" spans="1:26" x14ac:dyDescent="0.4">
      <c r="C891" t="s">
        <v>531</v>
      </c>
      <c r="D891" cm="1">
        <f t="array" ref="D891">INDEX(FX_Input,$R891,$Y891*D$5+$Z891)</f>
        <v>0</v>
      </c>
      <c r="E891" cm="1">
        <f t="array" ref="E891">INDEX(FX_Input,$R891,$Y891*E$5+$Z891)</f>
        <v>0</v>
      </c>
      <c r="F891" cm="1">
        <f t="array" ref="F891">INDEX(FX_Input,$R891,$Y891*F$5+$Z891)</f>
        <v>0</v>
      </c>
      <c r="G891" cm="1">
        <f t="array" ref="G891">INDEX(FX_Input,$R891,$Y891*G$5+$Z891)</f>
        <v>0</v>
      </c>
      <c r="H891" cm="1">
        <f t="array" ref="H891">INDEX(FX_Input,$R891,$Y891*H$5+$Z891)</f>
        <v>0</v>
      </c>
      <c r="I891" cm="1">
        <f t="array" ref="I891">INDEX(FX_Input,$R891,$Y891*I$5+$Z891)</f>
        <v>0</v>
      </c>
      <c r="J891" cm="1">
        <f t="array" ref="J891">INDEX(FX_Input,$R891,$Y891*J$5+$Z891)</f>
        <v>0</v>
      </c>
      <c r="K891" cm="1">
        <f t="array" ref="K891">INDEX(FX_Input,$R891,$Y891*K$5+$Z891)</f>
        <v>0</v>
      </c>
      <c r="L891" cm="1">
        <f t="array" ref="L891">INDEX(FX_Input,$R891,$Y891*L$5+$Z891)</f>
        <v>0</v>
      </c>
      <c r="M891" cm="1">
        <f t="array" ref="M891">INDEX(FX_Input,$R891,$Y891*M$5+$Z891)</f>
        <v>0</v>
      </c>
      <c r="N891" cm="1">
        <f t="array" ref="N891">INDEX(FX_Input,$R891,$Y891*N$5+$Z891)</f>
        <v>0</v>
      </c>
      <c r="O891" cm="1">
        <f t="array" ref="O891">INDEX(FX_Input,$R891,$Y891*O$5+$Z891)</f>
        <v>0</v>
      </c>
      <c r="R891">
        <f>R889</f>
        <v>128</v>
      </c>
      <c r="U891">
        <f>U890</f>
        <v>18</v>
      </c>
      <c r="V891">
        <f t="shared" si="1805"/>
        <v>23</v>
      </c>
      <c r="W891">
        <v>1</v>
      </c>
      <c r="X891">
        <v>2</v>
      </c>
      <c r="Y891">
        <f t="shared" si="1803"/>
        <v>5</v>
      </c>
      <c r="Z891">
        <f t="shared" si="1804"/>
        <v>13</v>
      </c>
    </row>
    <row r="892" spans="1:26" x14ac:dyDescent="0.4">
      <c r="C892" t="s">
        <v>546</v>
      </c>
      <c r="D892" cm="1">
        <f t="array" ref="D892">INDEX(FX_Input,$R892,$Y892*D$5+$Z892)</f>
        <v>1</v>
      </c>
      <c r="E892" cm="1">
        <f t="array" ref="E892">INDEX(FX_Input,$R892,$Y892*E$5+$Z892)</f>
        <v>1</v>
      </c>
      <c r="F892" cm="1">
        <f t="array" ref="F892">INDEX(FX_Input,$R892,$Y892*F$5+$Z892)</f>
        <v>1</v>
      </c>
      <c r="G892" cm="1">
        <f t="array" ref="G892">INDEX(FX_Input,$R892,$Y892*G$5+$Z892)</f>
        <v>1</v>
      </c>
      <c r="H892" cm="1">
        <f t="array" ref="H892">INDEX(FX_Input,$R892,$Y892*H$5+$Z892)</f>
        <v>1</v>
      </c>
      <c r="I892" cm="1">
        <f t="array" ref="I892">INDEX(FX_Input,$R892,$Y892*I$5+$Z892)</f>
        <v>1</v>
      </c>
      <c r="J892" cm="1">
        <f t="array" ref="J892">INDEX(FX_Input,$R892,$Y892*J$5+$Z892)</f>
        <v>1</v>
      </c>
      <c r="K892" cm="1">
        <f t="array" ref="K892">INDEX(FX_Input,$R892,$Y892*K$5+$Z892)</f>
        <v>1</v>
      </c>
      <c r="L892" cm="1">
        <f t="array" ref="L892">INDEX(FX_Input,$R892,$Y892*L$5+$Z892)</f>
        <v>1</v>
      </c>
      <c r="M892" cm="1">
        <f t="array" ref="M892">INDEX(FX_Input,$R892,$Y892*M$5+$Z892)</f>
        <v>1</v>
      </c>
      <c r="N892" cm="1">
        <f t="array" ref="N892">INDEX(FX_Input,$R892,$Y892*N$5+$Z892)</f>
        <v>1</v>
      </c>
      <c r="O892" cm="1">
        <f t="array" ref="O892">INDEX(FX_Input,$R892,$Y892*O$5+$Z892)</f>
        <v>1</v>
      </c>
      <c r="R892">
        <f>R890</f>
        <v>127</v>
      </c>
      <c r="U892">
        <v>21</v>
      </c>
      <c r="V892">
        <f t="shared" si="1805"/>
        <v>26</v>
      </c>
      <c r="W892">
        <v>1</v>
      </c>
      <c r="X892">
        <v>2</v>
      </c>
      <c r="Y892">
        <f t="shared" si="1803"/>
        <v>5</v>
      </c>
      <c r="Z892">
        <f t="shared" si="1804"/>
        <v>16</v>
      </c>
    </row>
    <row r="893" spans="1:26" x14ac:dyDescent="0.4">
      <c r="C893" t="s">
        <v>547</v>
      </c>
      <c r="D893" cm="1">
        <f t="array" ref="D893">INDEX(FX_Input,$R893,$Y893*D$5+$Z893)</f>
        <v>0</v>
      </c>
      <c r="E893" cm="1">
        <f t="array" ref="E893">INDEX(FX_Input,$R893,$Y893*E$5+$Z893)</f>
        <v>0</v>
      </c>
      <c r="F893" cm="1">
        <f t="array" ref="F893">INDEX(FX_Input,$R893,$Y893*F$5+$Z893)</f>
        <v>0</v>
      </c>
      <c r="G893" cm="1">
        <f t="array" ref="G893">INDEX(FX_Input,$R893,$Y893*G$5+$Z893)</f>
        <v>0</v>
      </c>
      <c r="H893" cm="1">
        <f t="array" ref="H893">INDEX(FX_Input,$R893,$Y893*H$5+$Z893)</f>
        <v>0</v>
      </c>
      <c r="I893" cm="1">
        <f t="array" ref="I893">INDEX(FX_Input,$R893,$Y893*I$5+$Z893)</f>
        <v>0</v>
      </c>
      <c r="J893" cm="1">
        <f t="array" ref="J893">INDEX(FX_Input,$R893,$Y893*J$5+$Z893)</f>
        <v>0</v>
      </c>
      <c r="K893" cm="1">
        <f t="array" ref="K893">INDEX(FX_Input,$R893,$Y893*K$5+$Z893)</f>
        <v>0</v>
      </c>
      <c r="L893" cm="1">
        <f t="array" ref="L893">INDEX(FX_Input,$R893,$Y893*L$5+$Z893)</f>
        <v>0</v>
      </c>
      <c r="M893" cm="1">
        <f t="array" ref="M893">INDEX(FX_Input,$R893,$Y893*M$5+$Z893)</f>
        <v>0</v>
      </c>
      <c r="N893" cm="1">
        <f t="array" ref="N893">INDEX(FX_Input,$R893,$Y893*N$5+$Z893)</f>
        <v>0</v>
      </c>
      <c r="O893" cm="1">
        <f t="array" ref="O893">INDEX(FX_Input,$R893,$Y893*O$5+$Z893)</f>
        <v>0</v>
      </c>
      <c r="R893">
        <f>R891</f>
        <v>128</v>
      </c>
      <c r="U893">
        <f>U892</f>
        <v>21</v>
      </c>
      <c r="V893">
        <f t="shared" si="1805"/>
        <v>26</v>
      </c>
      <c r="W893">
        <v>1</v>
      </c>
      <c r="X893">
        <v>2</v>
      </c>
      <c r="Y893">
        <f t="shared" si="1803"/>
        <v>5</v>
      </c>
      <c r="Z893">
        <f t="shared" si="1804"/>
        <v>16</v>
      </c>
    </row>
    <row r="894" spans="1:26" x14ac:dyDescent="0.4">
      <c r="C894" t="s">
        <v>532</v>
      </c>
      <c r="D894">
        <f t="shared" ref="D894:O894" si="1806">IFERROR(VLOOKUP(D888,Phys_Prop,2,FALSE),0)</f>
        <v>162</v>
      </c>
      <c r="E894">
        <f t="shared" si="1806"/>
        <v>162</v>
      </c>
      <c r="F894">
        <f t="shared" si="1806"/>
        <v>162</v>
      </c>
      <c r="G894">
        <f t="shared" si="1806"/>
        <v>162</v>
      </c>
      <c r="H894">
        <f t="shared" si="1806"/>
        <v>162</v>
      </c>
      <c r="I894">
        <f t="shared" si="1806"/>
        <v>162</v>
      </c>
      <c r="J894">
        <f t="shared" si="1806"/>
        <v>162</v>
      </c>
      <c r="K894">
        <f t="shared" si="1806"/>
        <v>162</v>
      </c>
      <c r="L894">
        <f t="shared" si="1806"/>
        <v>162</v>
      </c>
      <c r="M894">
        <f t="shared" si="1806"/>
        <v>162</v>
      </c>
      <c r="N894">
        <f t="shared" si="1806"/>
        <v>162</v>
      </c>
      <c r="O894">
        <f t="shared" si="1806"/>
        <v>162</v>
      </c>
    </row>
    <row r="895" spans="1:26" x14ac:dyDescent="0.4">
      <c r="C895" t="s">
        <v>533</v>
      </c>
      <c r="D895">
        <f t="shared" ref="D895:O895" si="1807">IFERROR(VLOOKUP(D889,Phys_Prop,2,FALSE),0)</f>
        <v>0</v>
      </c>
      <c r="E895">
        <f t="shared" si="1807"/>
        <v>0</v>
      </c>
      <c r="F895">
        <f t="shared" si="1807"/>
        <v>0</v>
      </c>
      <c r="G895">
        <f t="shared" si="1807"/>
        <v>0</v>
      </c>
      <c r="H895">
        <f t="shared" si="1807"/>
        <v>0</v>
      </c>
      <c r="I895">
        <f t="shared" si="1807"/>
        <v>0</v>
      </c>
      <c r="J895">
        <f t="shared" si="1807"/>
        <v>0</v>
      </c>
      <c r="K895">
        <f t="shared" si="1807"/>
        <v>0</v>
      </c>
      <c r="L895">
        <f t="shared" si="1807"/>
        <v>0</v>
      </c>
      <c r="M895">
        <f t="shared" si="1807"/>
        <v>0</v>
      </c>
      <c r="N895">
        <f t="shared" si="1807"/>
        <v>0</v>
      </c>
      <c r="O895">
        <f t="shared" si="1807"/>
        <v>0</v>
      </c>
    </row>
    <row r="896" spans="1:26" x14ac:dyDescent="0.4">
      <c r="C896" t="s">
        <v>544</v>
      </c>
      <c r="D896">
        <f>IFERROR(IFERROR(D894/D892+D895/D893,D894/D892),0)</f>
        <v>162</v>
      </c>
      <c r="E896">
        <f t="shared" ref="E896:O896" si="1808">IFERROR(IFERROR(E894/E892+E895/E893,E894/E892),0)</f>
        <v>162</v>
      </c>
      <c r="F896">
        <f t="shared" si="1808"/>
        <v>162</v>
      </c>
      <c r="G896">
        <f t="shared" si="1808"/>
        <v>162</v>
      </c>
      <c r="H896">
        <f t="shared" si="1808"/>
        <v>162</v>
      </c>
      <c r="I896">
        <f t="shared" si="1808"/>
        <v>162</v>
      </c>
      <c r="J896">
        <f t="shared" si="1808"/>
        <v>162</v>
      </c>
      <c r="K896">
        <f t="shared" si="1808"/>
        <v>162</v>
      </c>
      <c r="L896">
        <f t="shared" si="1808"/>
        <v>162</v>
      </c>
      <c r="M896">
        <f t="shared" si="1808"/>
        <v>162</v>
      </c>
      <c r="N896">
        <f t="shared" si="1808"/>
        <v>162</v>
      </c>
      <c r="O896">
        <f t="shared" si="1808"/>
        <v>162</v>
      </c>
    </row>
    <row r="897" spans="1:26" x14ac:dyDescent="0.4">
      <c r="C897" t="s">
        <v>539</v>
      </c>
      <c r="D897">
        <f>IFERROR((D892/D894)*D896,1)</f>
        <v>1</v>
      </c>
      <c r="E897">
        <f t="shared" ref="E897:O897" si="1809">IFERROR((E892/E894)*E896,1)</f>
        <v>1</v>
      </c>
      <c r="F897">
        <f t="shared" si="1809"/>
        <v>1</v>
      </c>
      <c r="G897">
        <f t="shared" si="1809"/>
        <v>1</v>
      </c>
      <c r="H897">
        <f t="shared" si="1809"/>
        <v>1</v>
      </c>
      <c r="I897">
        <f t="shared" si="1809"/>
        <v>1</v>
      </c>
      <c r="J897">
        <f t="shared" si="1809"/>
        <v>1</v>
      </c>
      <c r="K897">
        <f t="shared" si="1809"/>
        <v>1</v>
      </c>
      <c r="L897">
        <f t="shared" si="1809"/>
        <v>1</v>
      </c>
      <c r="M897">
        <f t="shared" si="1809"/>
        <v>1</v>
      </c>
      <c r="N897">
        <f t="shared" si="1809"/>
        <v>1</v>
      </c>
      <c r="O897">
        <f t="shared" si="1809"/>
        <v>1</v>
      </c>
    </row>
    <row r="898" spans="1:26" x14ac:dyDescent="0.4">
      <c r="C898" t="s">
        <v>540</v>
      </c>
      <c r="D898">
        <f>IFERROR((D893/D895)*D896,0)</f>
        <v>0</v>
      </c>
      <c r="E898">
        <f t="shared" ref="E898:O898" si="1810">IFERROR((E893/E895)*E896,0)</f>
        <v>0</v>
      </c>
      <c r="F898">
        <f t="shared" si="1810"/>
        <v>0</v>
      </c>
      <c r="G898">
        <f t="shared" si="1810"/>
        <v>0</v>
      </c>
      <c r="H898">
        <f t="shared" si="1810"/>
        <v>0</v>
      </c>
      <c r="I898">
        <f t="shared" si="1810"/>
        <v>0</v>
      </c>
      <c r="J898">
        <f t="shared" si="1810"/>
        <v>0</v>
      </c>
      <c r="K898">
        <f t="shared" si="1810"/>
        <v>0</v>
      </c>
      <c r="L898">
        <f t="shared" si="1810"/>
        <v>0</v>
      </c>
      <c r="M898">
        <f t="shared" si="1810"/>
        <v>0</v>
      </c>
      <c r="N898">
        <f t="shared" si="1810"/>
        <v>0</v>
      </c>
      <c r="O898">
        <f t="shared" si="1810"/>
        <v>0</v>
      </c>
    </row>
    <row r="899" spans="1:26" x14ac:dyDescent="0.4">
      <c r="C899" s="21" t="s">
        <v>534</v>
      </c>
      <c r="D899">
        <f t="shared" ref="D899:O899" si="1811">IFERROR(VLOOKUP(D888,Phys_Prop,4,FALSE),0)</f>
        <v>7</v>
      </c>
      <c r="E899">
        <f t="shared" si="1811"/>
        <v>7</v>
      </c>
      <c r="F899">
        <f t="shared" si="1811"/>
        <v>7</v>
      </c>
      <c r="G899">
        <f t="shared" si="1811"/>
        <v>7</v>
      </c>
      <c r="H899">
        <f t="shared" si="1811"/>
        <v>7</v>
      </c>
      <c r="I899">
        <f t="shared" si="1811"/>
        <v>7</v>
      </c>
      <c r="J899">
        <f t="shared" si="1811"/>
        <v>7</v>
      </c>
      <c r="K899">
        <f t="shared" si="1811"/>
        <v>7</v>
      </c>
      <c r="L899">
        <f t="shared" si="1811"/>
        <v>7</v>
      </c>
      <c r="M899">
        <f t="shared" si="1811"/>
        <v>7</v>
      </c>
      <c r="N899">
        <f t="shared" si="1811"/>
        <v>7</v>
      </c>
      <c r="O899">
        <f t="shared" si="1811"/>
        <v>7</v>
      </c>
    </row>
    <row r="900" spans="1:26" x14ac:dyDescent="0.4">
      <c r="C900" s="21" t="s">
        <v>535</v>
      </c>
      <c r="D900">
        <f t="shared" ref="D900:O900" si="1812">IFERROR(VLOOKUP(D889,Phys_Prop,4,FALSE),0)</f>
        <v>0</v>
      </c>
      <c r="E900">
        <f t="shared" si="1812"/>
        <v>0</v>
      </c>
      <c r="F900">
        <f t="shared" si="1812"/>
        <v>0</v>
      </c>
      <c r="G900">
        <f t="shared" si="1812"/>
        <v>0</v>
      </c>
      <c r="H900">
        <f t="shared" si="1812"/>
        <v>0</v>
      </c>
      <c r="I900">
        <f t="shared" si="1812"/>
        <v>0</v>
      </c>
      <c r="J900">
        <f t="shared" si="1812"/>
        <v>0</v>
      </c>
      <c r="K900">
        <f t="shared" si="1812"/>
        <v>0</v>
      </c>
      <c r="L900">
        <f t="shared" si="1812"/>
        <v>0</v>
      </c>
      <c r="M900">
        <f t="shared" si="1812"/>
        <v>0</v>
      </c>
      <c r="N900">
        <f t="shared" si="1812"/>
        <v>0</v>
      </c>
      <c r="O900">
        <f t="shared" si="1812"/>
        <v>0</v>
      </c>
    </row>
    <row r="901" spans="1:26" x14ac:dyDescent="0.4">
      <c r="A901" s="11"/>
      <c r="B901" s="11"/>
      <c r="C901" s="62" t="s">
        <v>536</v>
      </c>
      <c r="D901" s="11">
        <f>IFERROR(1/(D897/D899+D898/D900),D899)</f>
        <v>7</v>
      </c>
      <c r="E901" s="11">
        <f t="shared" ref="E901:O901" si="1813">IFERROR(1/(E897/E899+E898/E900),E899)</f>
        <v>7</v>
      </c>
      <c r="F901" s="11">
        <f t="shared" si="1813"/>
        <v>7</v>
      </c>
      <c r="G901" s="11">
        <f t="shared" si="1813"/>
        <v>7</v>
      </c>
      <c r="H901" s="11">
        <f t="shared" si="1813"/>
        <v>7</v>
      </c>
      <c r="I901" s="11">
        <f t="shared" si="1813"/>
        <v>7</v>
      </c>
      <c r="J901" s="11">
        <f t="shared" si="1813"/>
        <v>7</v>
      </c>
      <c r="K901" s="11">
        <f t="shared" si="1813"/>
        <v>7</v>
      </c>
      <c r="L901" s="11">
        <f t="shared" si="1813"/>
        <v>7</v>
      </c>
      <c r="M901" s="11">
        <f t="shared" si="1813"/>
        <v>7</v>
      </c>
      <c r="N901" s="11">
        <f t="shared" si="1813"/>
        <v>7</v>
      </c>
      <c r="O901" s="11">
        <f t="shared" si="1813"/>
        <v>7</v>
      </c>
      <c r="P901" s="11"/>
      <c r="Q901" s="11"/>
      <c r="R901" s="11"/>
      <c r="S901" s="11"/>
      <c r="T901" s="11"/>
      <c r="U901" s="11"/>
      <c r="V901" s="11"/>
      <c r="W901" s="11"/>
      <c r="X901" s="11"/>
      <c r="Y901" s="11"/>
      <c r="Z901" s="11"/>
    </row>
    <row r="902" spans="1:26" x14ac:dyDescent="0.4">
      <c r="A902" t="str" cm="1">
        <f t="array" ref="A902">INDEX(FX_Input,R902,S902)</f>
        <v>FX - 65</v>
      </c>
      <c r="B902" t="str" cm="1">
        <f t="array" ref="B902">INDEX(FX_Input,R902,T902)</f>
        <v>Portland</v>
      </c>
      <c r="C902" t="s">
        <v>528</v>
      </c>
      <c r="D902" t="str" cm="1">
        <f t="array" ref="D902">INDEX(FX_Input,$R902,$Y902*D$5+$Z902)</f>
        <v>Jet kerosene</v>
      </c>
      <c r="E902" t="str" cm="1">
        <f t="array" ref="E902">INDEX(FX_Input,$R902,$Y902*E$5+$Z902)</f>
        <v>Jet kerosene</v>
      </c>
      <c r="F902" t="str" cm="1">
        <f t="array" ref="F902">INDEX(FX_Input,$R902,$Y902*F$5+$Z902)</f>
        <v>Jet kerosene</v>
      </c>
      <c r="G902" t="str" cm="1">
        <f t="array" ref="G902">INDEX(FX_Input,$R902,$Y902*G$5+$Z902)</f>
        <v>Jet kerosene</v>
      </c>
      <c r="H902" t="str" cm="1">
        <f t="array" ref="H902">INDEX(FX_Input,$R902,$Y902*H$5+$Z902)</f>
        <v>Jet kerosene</v>
      </c>
      <c r="I902" t="str" cm="1">
        <f t="array" ref="I902">INDEX(FX_Input,$R902,$Y902*I$5+$Z902)</f>
        <v>Jet kerosene</v>
      </c>
      <c r="J902" t="str" cm="1">
        <f t="array" ref="J902">INDEX(FX_Input,$R902,$Y902*J$5+$Z902)</f>
        <v>Jet kerosene</v>
      </c>
      <c r="K902" t="str" cm="1">
        <f t="array" ref="K902">INDEX(FX_Input,$R902,$Y902*K$5+$Z902)</f>
        <v>Jet kerosene</v>
      </c>
      <c r="L902" t="str" cm="1">
        <f t="array" ref="L902">INDEX(FX_Input,$R902,$Y902*L$5+$Z902)</f>
        <v>Jet kerosene</v>
      </c>
      <c r="M902" t="str" cm="1">
        <f t="array" ref="M902">INDEX(FX_Input,$R902,$Y902*M$5+$Z902)</f>
        <v>Jet kerosene</v>
      </c>
      <c r="N902" t="str" cm="1">
        <f t="array" ref="N902">INDEX(FX_Input,$R902,$Y902*N$5+$Z902)</f>
        <v>Jet kerosene</v>
      </c>
      <c r="O902" t="str" cm="1">
        <f t="array" ref="O902">INDEX(FX_Input,$R902,$Y902*O$5+$Z902)</f>
        <v>Jet kerosene</v>
      </c>
      <c r="R902">
        <f>R888+2</f>
        <v>129</v>
      </c>
      <c r="S902">
        <v>1</v>
      </c>
      <c r="T902">
        <v>3</v>
      </c>
      <c r="U902">
        <v>17</v>
      </c>
      <c r="V902">
        <f>U902+5</f>
        <v>22</v>
      </c>
      <c r="W902">
        <v>1</v>
      </c>
      <c r="X902">
        <v>2</v>
      </c>
      <c r="Y902">
        <f t="shared" ref="Y902:Y907" si="1814">(V902-U902)/(X902-W902)</f>
        <v>5</v>
      </c>
      <c r="Z902">
        <f t="shared" ref="Z902:Z907" si="1815">U902-Y902*W902</f>
        <v>12</v>
      </c>
    </row>
    <row r="903" spans="1:26" x14ac:dyDescent="0.4">
      <c r="C903" t="s">
        <v>529</v>
      </c>
      <c r="D903" cm="1">
        <f t="array" ref="D903">INDEX(FX_Input,$R903,$Y903*D$5+$Z903)</f>
        <v>0</v>
      </c>
      <c r="E903" cm="1">
        <f t="array" ref="E903">INDEX(FX_Input,$R903,$Y903*E$5+$Z903)</f>
        <v>0</v>
      </c>
      <c r="F903" cm="1">
        <f t="array" ref="F903">INDEX(FX_Input,$R903,$Y903*F$5+$Z903)</f>
        <v>0</v>
      </c>
      <c r="G903" cm="1">
        <f t="array" ref="G903">INDEX(FX_Input,$R903,$Y903*G$5+$Z903)</f>
        <v>0</v>
      </c>
      <c r="H903" cm="1">
        <f t="array" ref="H903">INDEX(FX_Input,$R903,$Y903*H$5+$Z903)</f>
        <v>0</v>
      </c>
      <c r="I903" cm="1">
        <f t="array" ref="I903">INDEX(FX_Input,$R903,$Y903*I$5+$Z903)</f>
        <v>0</v>
      </c>
      <c r="J903" cm="1">
        <f t="array" ref="J903">INDEX(FX_Input,$R903,$Y903*J$5+$Z903)</f>
        <v>0</v>
      </c>
      <c r="K903" cm="1">
        <f t="array" ref="K903">INDEX(FX_Input,$R903,$Y903*K$5+$Z903)</f>
        <v>0</v>
      </c>
      <c r="L903" cm="1">
        <f t="array" ref="L903">INDEX(FX_Input,$R903,$Y903*L$5+$Z903)</f>
        <v>0</v>
      </c>
      <c r="M903" cm="1">
        <f t="array" ref="M903">INDEX(FX_Input,$R903,$Y903*M$5+$Z903)</f>
        <v>0</v>
      </c>
      <c r="N903" cm="1">
        <f t="array" ref="N903">INDEX(FX_Input,$R903,$Y903*N$5+$Z903)</f>
        <v>0</v>
      </c>
      <c r="O903" cm="1">
        <f t="array" ref="O903">INDEX(FX_Input,$R903,$Y903*O$5+$Z903)</f>
        <v>0</v>
      </c>
      <c r="R903">
        <f>R902+1</f>
        <v>130</v>
      </c>
      <c r="U903">
        <f>U902</f>
        <v>17</v>
      </c>
      <c r="V903">
        <f t="shared" ref="V903:V907" si="1816">U903+5</f>
        <v>22</v>
      </c>
      <c r="W903">
        <v>1</v>
      </c>
      <c r="X903">
        <v>2</v>
      </c>
      <c r="Y903">
        <f t="shared" si="1814"/>
        <v>5</v>
      </c>
      <c r="Z903">
        <f t="shared" si="1815"/>
        <v>12</v>
      </c>
    </row>
    <row r="904" spans="1:26" x14ac:dyDescent="0.4">
      <c r="C904" t="s">
        <v>530</v>
      </c>
      <c r="D904" t="str" cm="1">
        <f t="array" ref="D904">INDEX(FX_Input,$R904,$Y904*D$5+$Z904)</f>
        <v>Select Pet Stock</v>
      </c>
      <c r="E904" t="str" cm="1">
        <f t="array" ref="E904">INDEX(FX_Input,$R904,$Y904*E$5+$Z904)</f>
        <v>Select Pet Stock</v>
      </c>
      <c r="F904" t="str" cm="1">
        <f t="array" ref="F904">INDEX(FX_Input,$R904,$Y904*F$5+$Z904)</f>
        <v>Select Pet Stock</v>
      </c>
      <c r="G904" t="str" cm="1">
        <f t="array" ref="G904">INDEX(FX_Input,$R904,$Y904*G$5+$Z904)</f>
        <v>Select Pet Stock</v>
      </c>
      <c r="H904" t="str" cm="1">
        <f t="array" ref="H904">INDEX(FX_Input,$R904,$Y904*H$5+$Z904)</f>
        <v>Select Pet Stock</v>
      </c>
      <c r="I904" t="str" cm="1">
        <f t="array" ref="I904">INDEX(FX_Input,$R904,$Y904*I$5+$Z904)</f>
        <v>Select Pet Stock</v>
      </c>
      <c r="J904" t="str" cm="1">
        <f t="array" ref="J904">INDEX(FX_Input,$R904,$Y904*J$5+$Z904)</f>
        <v>Select Pet Stock</v>
      </c>
      <c r="K904" t="str" cm="1">
        <f t="array" ref="K904">INDEX(FX_Input,$R904,$Y904*K$5+$Z904)</f>
        <v>Select Pet Stock</v>
      </c>
      <c r="L904" t="str" cm="1">
        <f t="array" ref="L904">INDEX(FX_Input,$R904,$Y904*L$5+$Z904)</f>
        <v>Select Pet Stock</v>
      </c>
      <c r="M904" t="str" cm="1">
        <f t="array" ref="M904">INDEX(FX_Input,$R904,$Y904*M$5+$Z904)</f>
        <v>Select Pet Stock</v>
      </c>
      <c r="N904" t="str" cm="1">
        <f t="array" ref="N904">INDEX(FX_Input,$R904,$Y904*N$5+$Z904)</f>
        <v>Select Pet Stock</v>
      </c>
      <c r="O904" t="str" cm="1">
        <f t="array" ref="O904">INDEX(FX_Input,$R904,$Y904*O$5+$Z904)</f>
        <v>Select Pet Stock</v>
      </c>
      <c r="R904">
        <f>R902</f>
        <v>129</v>
      </c>
      <c r="U904">
        <v>18</v>
      </c>
      <c r="V904">
        <f t="shared" si="1816"/>
        <v>23</v>
      </c>
      <c r="W904">
        <v>1</v>
      </c>
      <c r="X904">
        <v>2</v>
      </c>
      <c r="Y904">
        <f t="shared" si="1814"/>
        <v>5</v>
      </c>
      <c r="Z904">
        <f t="shared" si="1815"/>
        <v>13</v>
      </c>
    </row>
    <row r="905" spans="1:26" x14ac:dyDescent="0.4">
      <c r="C905" t="s">
        <v>531</v>
      </c>
      <c r="D905" cm="1">
        <f t="array" ref="D905">INDEX(FX_Input,$R905,$Y905*D$5+$Z905)</f>
        <v>0</v>
      </c>
      <c r="E905" cm="1">
        <f t="array" ref="E905">INDEX(FX_Input,$R905,$Y905*E$5+$Z905)</f>
        <v>0</v>
      </c>
      <c r="F905" cm="1">
        <f t="array" ref="F905">INDEX(FX_Input,$R905,$Y905*F$5+$Z905)</f>
        <v>0</v>
      </c>
      <c r="G905" cm="1">
        <f t="array" ref="G905">INDEX(FX_Input,$R905,$Y905*G$5+$Z905)</f>
        <v>0</v>
      </c>
      <c r="H905" cm="1">
        <f t="array" ref="H905">INDEX(FX_Input,$R905,$Y905*H$5+$Z905)</f>
        <v>0</v>
      </c>
      <c r="I905" cm="1">
        <f t="array" ref="I905">INDEX(FX_Input,$R905,$Y905*I$5+$Z905)</f>
        <v>0</v>
      </c>
      <c r="J905" cm="1">
        <f t="array" ref="J905">INDEX(FX_Input,$R905,$Y905*J$5+$Z905)</f>
        <v>0</v>
      </c>
      <c r="K905" cm="1">
        <f t="array" ref="K905">INDEX(FX_Input,$R905,$Y905*K$5+$Z905)</f>
        <v>0</v>
      </c>
      <c r="L905" cm="1">
        <f t="array" ref="L905">INDEX(FX_Input,$R905,$Y905*L$5+$Z905)</f>
        <v>0</v>
      </c>
      <c r="M905" cm="1">
        <f t="array" ref="M905">INDEX(FX_Input,$R905,$Y905*M$5+$Z905)</f>
        <v>0</v>
      </c>
      <c r="N905" cm="1">
        <f t="array" ref="N905">INDEX(FX_Input,$R905,$Y905*N$5+$Z905)</f>
        <v>0</v>
      </c>
      <c r="O905" cm="1">
        <f t="array" ref="O905">INDEX(FX_Input,$R905,$Y905*O$5+$Z905)</f>
        <v>0</v>
      </c>
      <c r="R905">
        <f>R903</f>
        <v>130</v>
      </c>
      <c r="U905">
        <f>U904</f>
        <v>18</v>
      </c>
      <c r="V905">
        <f t="shared" si="1816"/>
        <v>23</v>
      </c>
      <c r="W905">
        <v>1</v>
      </c>
      <c r="X905">
        <v>2</v>
      </c>
      <c r="Y905">
        <f t="shared" si="1814"/>
        <v>5</v>
      </c>
      <c r="Z905">
        <f t="shared" si="1815"/>
        <v>13</v>
      </c>
    </row>
    <row r="906" spans="1:26" x14ac:dyDescent="0.4">
      <c r="C906" t="s">
        <v>546</v>
      </c>
      <c r="D906" cm="1">
        <f t="array" ref="D906">INDEX(FX_Input,$R906,$Y906*D$5+$Z906)</f>
        <v>1</v>
      </c>
      <c r="E906" cm="1">
        <f t="array" ref="E906">INDEX(FX_Input,$R906,$Y906*E$5+$Z906)</f>
        <v>1</v>
      </c>
      <c r="F906" cm="1">
        <f t="array" ref="F906">INDEX(FX_Input,$R906,$Y906*F$5+$Z906)</f>
        <v>1</v>
      </c>
      <c r="G906" cm="1">
        <f t="array" ref="G906">INDEX(FX_Input,$R906,$Y906*G$5+$Z906)</f>
        <v>1</v>
      </c>
      <c r="H906" cm="1">
        <f t="array" ref="H906">INDEX(FX_Input,$R906,$Y906*H$5+$Z906)</f>
        <v>1</v>
      </c>
      <c r="I906" cm="1">
        <f t="array" ref="I906">INDEX(FX_Input,$R906,$Y906*I$5+$Z906)</f>
        <v>1</v>
      </c>
      <c r="J906" cm="1">
        <f t="array" ref="J906">INDEX(FX_Input,$R906,$Y906*J$5+$Z906)</f>
        <v>1</v>
      </c>
      <c r="K906" cm="1">
        <f t="array" ref="K906">INDEX(FX_Input,$R906,$Y906*K$5+$Z906)</f>
        <v>1</v>
      </c>
      <c r="L906" cm="1">
        <f t="array" ref="L906">INDEX(FX_Input,$R906,$Y906*L$5+$Z906)</f>
        <v>1</v>
      </c>
      <c r="M906" cm="1">
        <f t="array" ref="M906">INDEX(FX_Input,$R906,$Y906*M$5+$Z906)</f>
        <v>1</v>
      </c>
      <c r="N906" cm="1">
        <f t="array" ref="N906">INDEX(FX_Input,$R906,$Y906*N$5+$Z906)</f>
        <v>1</v>
      </c>
      <c r="O906" cm="1">
        <f t="array" ref="O906">INDEX(FX_Input,$R906,$Y906*O$5+$Z906)</f>
        <v>1</v>
      </c>
      <c r="R906">
        <f>R904</f>
        <v>129</v>
      </c>
      <c r="U906">
        <v>21</v>
      </c>
      <c r="V906">
        <f t="shared" si="1816"/>
        <v>26</v>
      </c>
      <c r="W906">
        <v>1</v>
      </c>
      <c r="X906">
        <v>2</v>
      </c>
      <c r="Y906">
        <f t="shared" si="1814"/>
        <v>5</v>
      </c>
      <c r="Z906">
        <f t="shared" si="1815"/>
        <v>16</v>
      </c>
    </row>
    <row r="907" spans="1:26" x14ac:dyDescent="0.4">
      <c r="C907" t="s">
        <v>547</v>
      </c>
      <c r="D907" cm="1">
        <f t="array" ref="D907">INDEX(FX_Input,$R907,$Y907*D$5+$Z907)</f>
        <v>0</v>
      </c>
      <c r="E907" cm="1">
        <f t="array" ref="E907">INDEX(FX_Input,$R907,$Y907*E$5+$Z907)</f>
        <v>0</v>
      </c>
      <c r="F907" cm="1">
        <f t="array" ref="F907">INDEX(FX_Input,$R907,$Y907*F$5+$Z907)</f>
        <v>0</v>
      </c>
      <c r="G907" cm="1">
        <f t="array" ref="G907">INDEX(FX_Input,$R907,$Y907*G$5+$Z907)</f>
        <v>0</v>
      </c>
      <c r="H907" cm="1">
        <f t="array" ref="H907">INDEX(FX_Input,$R907,$Y907*H$5+$Z907)</f>
        <v>0</v>
      </c>
      <c r="I907" cm="1">
        <f t="array" ref="I907">INDEX(FX_Input,$R907,$Y907*I$5+$Z907)</f>
        <v>0</v>
      </c>
      <c r="J907" cm="1">
        <f t="array" ref="J907">INDEX(FX_Input,$R907,$Y907*J$5+$Z907)</f>
        <v>0</v>
      </c>
      <c r="K907" cm="1">
        <f t="array" ref="K907">INDEX(FX_Input,$R907,$Y907*K$5+$Z907)</f>
        <v>0</v>
      </c>
      <c r="L907" cm="1">
        <f t="array" ref="L907">INDEX(FX_Input,$R907,$Y907*L$5+$Z907)</f>
        <v>0</v>
      </c>
      <c r="M907" cm="1">
        <f t="array" ref="M907">INDEX(FX_Input,$R907,$Y907*M$5+$Z907)</f>
        <v>0</v>
      </c>
      <c r="N907" cm="1">
        <f t="array" ref="N907">INDEX(FX_Input,$R907,$Y907*N$5+$Z907)</f>
        <v>0</v>
      </c>
      <c r="O907" cm="1">
        <f t="array" ref="O907">INDEX(FX_Input,$R907,$Y907*O$5+$Z907)</f>
        <v>0</v>
      </c>
      <c r="R907">
        <f>R905</f>
        <v>130</v>
      </c>
      <c r="U907">
        <f>U906</f>
        <v>21</v>
      </c>
      <c r="V907">
        <f t="shared" si="1816"/>
        <v>26</v>
      </c>
      <c r="W907">
        <v>1</v>
      </c>
      <c r="X907">
        <v>2</v>
      </c>
      <c r="Y907">
        <f t="shared" si="1814"/>
        <v>5</v>
      </c>
      <c r="Z907">
        <f t="shared" si="1815"/>
        <v>16</v>
      </c>
    </row>
    <row r="908" spans="1:26" x14ac:dyDescent="0.4">
      <c r="C908" t="s">
        <v>532</v>
      </c>
      <c r="D908">
        <f t="shared" ref="D908:O908" si="1817">IFERROR(VLOOKUP(D902,Phys_Prop,2,FALSE),0)</f>
        <v>162</v>
      </c>
      <c r="E908">
        <f t="shared" si="1817"/>
        <v>162</v>
      </c>
      <c r="F908">
        <f t="shared" si="1817"/>
        <v>162</v>
      </c>
      <c r="G908">
        <f t="shared" si="1817"/>
        <v>162</v>
      </c>
      <c r="H908">
        <f t="shared" si="1817"/>
        <v>162</v>
      </c>
      <c r="I908">
        <f t="shared" si="1817"/>
        <v>162</v>
      </c>
      <c r="J908">
        <f t="shared" si="1817"/>
        <v>162</v>
      </c>
      <c r="K908">
        <f t="shared" si="1817"/>
        <v>162</v>
      </c>
      <c r="L908">
        <f t="shared" si="1817"/>
        <v>162</v>
      </c>
      <c r="M908">
        <f t="shared" si="1817"/>
        <v>162</v>
      </c>
      <c r="N908">
        <f t="shared" si="1817"/>
        <v>162</v>
      </c>
      <c r="O908">
        <f t="shared" si="1817"/>
        <v>162</v>
      </c>
    </row>
    <row r="909" spans="1:26" x14ac:dyDescent="0.4">
      <c r="C909" t="s">
        <v>533</v>
      </c>
      <c r="D909">
        <f t="shared" ref="D909:O909" si="1818">IFERROR(VLOOKUP(D903,Phys_Prop,2,FALSE),0)</f>
        <v>0</v>
      </c>
      <c r="E909">
        <f t="shared" si="1818"/>
        <v>0</v>
      </c>
      <c r="F909">
        <f t="shared" si="1818"/>
        <v>0</v>
      </c>
      <c r="G909">
        <f t="shared" si="1818"/>
        <v>0</v>
      </c>
      <c r="H909">
        <f t="shared" si="1818"/>
        <v>0</v>
      </c>
      <c r="I909">
        <f t="shared" si="1818"/>
        <v>0</v>
      </c>
      <c r="J909">
        <f t="shared" si="1818"/>
        <v>0</v>
      </c>
      <c r="K909">
        <f t="shared" si="1818"/>
        <v>0</v>
      </c>
      <c r="L909">
        <f t="shared" si="1818"/>
        <v>0</v>
      </c>
      <c r="M909">
        <f t="shared" si="1818"/>
        <v>0</v>
      </c>
      <c r="N909">
        <f t="shared" si="1818"/>
        <v>0</v>
      </c>
      <c r="O909">
        <f t="shared" si="1818"/>
        <v>0</v>
      </c>
    </row>
    <row r="910" spans="1:26" x14ac:dyDescent="0.4">
      <c r="C910" t="s">
        <v>544</v>
      </c>
      <c r="D910">
        <f>IFERROR(IFERROR(D908/D906+D909/D907,D908/D906),0)</f>
        <v>162</v>
      </c>
      <c r="E910">
        <f t="shared" ref="E910:O910" si="1819">IFERROR(IFERROR(E908/E906+E909/E907,E908/E906),0)</f>
        <v>162</v>
      </c>
      <c r="F910">
        <f t="shared" si="1819"/>
        <v>162</v>
      </c>
      <c r="G910">
        <f t="shared" si="1819"/>
        <v>162</v>
      </c>
      <c r="H910">
        <f t="shared" si="1819"/>
        <v>162</v>
      </c>
      <c r="I910">
        <f t="shared" si="1819"/>
        <v>162</v>
      </c>
      <c r="J910">
        <f t="shared" si="1819"/>
        <v>162</v>
      </c>
      <c r="K910">
        <f t="shared" si="1819"/>
        <v>162</v>
      </c>
      <c r="L910">
        <f t="shared" si="1819"/>
        <v>162</v>
      </c>
      <c r="M910">
        <f t="shared" si="1819"/>
        <v>162</v>
      </c>
      <c r="N910">
        <f t="shared" si="1819"/>
        <v>162</v>
      </c>
      <c r="O910">
        <f t="shared" si="1819"/>
        <v>162</v>
      </c>
    </row>
    <row r="911" spans="1:26" x14ac:dyDescent="0.4">
      <c r="C911" t="s">
        <v>539</v>
      </c>
      <c r="D911">
        <f>IFERROR((D906/D908)*D910,1)</f>
        <v>1</v>
      </c>
      <c r="E911">
        <f t="shared" ref="E911:O911" si="1820">IFERROR((E906/E908)*E910,1)</f>
        <v>1</v>
      </c>
      <c r="F911">
        <f t="shared" si="1820"/>
        <v>1</v>
      </c>
      <c r="G911">
        <f t="shared" si="1820"/>
        <v>1</v>
      </c>
      <c r="H911">
        <f t="shared" si="1820"/>
        <v>1</v>
      </c>
      <c r="I911">
        <f t="shared" si="1820"/>
        <v>1</v>
      </c>
      <c r="J911">
        <f t="shared" si="1820"/>
        <v>1</v>
      </c>
      <c r="K911">
        <f t="shared" si="1820"/>
        <v>1</v>
      </c>
      <c r="L911">
        <f t="shared" si="1820"/>
        <v>1</v>
      </c>
      <c r="M911">
        <f t="shared" si="1820"/>
        <v>1</v>
      </c>
      <c r="N911">
        <f t="shared" si="1820"/>
        <v>1</v>
      </c>
      <c r="O911">
        <f t="shared" si="1820"/>
        <v>1</v>
      </c>
    </row>
    <row r="912" spans="1:26" x14ac:dyDescent="0.4">
      <c r="C912" t="s">
        <v>540</v>
      </c>
      <c r="D912">
        <f>IFERROR((D907/D909)*D910,0)</f>
        <v>0</v>
      </c>
      <c r="E912">
        <f t="shared" ref="E912:O912" si="1821">IFERROR((E907/E909)*E910,0)</f>
        <v>0</v>
      </c>
      <c r="F912">
        <f t="shared" si="1821"/>
        <v>0</v>
      </c>
      <c r="G912">
        <f t="shared" si="1821"/>
        <v>0</v>
      </c>
      <c r="H912">
        <f t="shared" si="1821"/>
        <v>0</v>
      </c>
      <c r="I912">
        <f t="shared" si="1821"/>
        <v>0</v>
      </c>
      <c r="J912">
        <f t="shared" si="1821"/>
        <v>0</v>
      </c>
      <c r="K912">
        <f t="shared" si="1821"/>
        <v>0</v>
      </c>
      <c r="L912">
        <f t="shared" si="1821"/>
        <v>0</v>
      </c>
      <c r="M912">
        <f t="shared" si="1821"/>
        <v>0</v>
      </c>
      <c r="N912">
        <f t="shared" si="1821"/>
        <v>0</v>
      </c>
      <c r="O912">
        <f t="shared" si="1821"/>
        <v>0</v>
      </c>
    </row>
    <row r="913" spans="1:26" x14ac:dyDescent="0.4">
      <c r="C913" s="21" t="s">
        <v>534</v>
      </c>
      <c r="D913">
        <f t="shared" ref="D913:O913" si="1822">IFERROR(VLOOKUP(D902,Phys_Prop,4,FALSE),0)</f>
        <v>7</v>
      </c>
      <c r="E913">
        <f t="shared" si="1822"/>
        <v>7</v>
      </c>
      <c r="F913">
        <f t="shared" si="1822"/>
        <v>7</v>
      </c>
      <c r="G913">
        <f t="shared" si="1822"/>
        <v>7</v>
      </c>
      <c r="H913">
        <f t="shared" si="1822"/>
        <v>7</v>
      </c>
      <c r="I913">
        <f t="shared" si="1822"/>
        <v>7</v>
      </c>
      <c r="J913">
        <f t="shared" si="1822"/>
        <v>7</v>
      </c>
      <c r="K913">
        <f t="shared" si="1822"/>
        <v>7</v>
      </c>
      <c r="L913">
        <f t="shared" si="1822"/>
        <v>7</v>
      </c>
      <c r="M913">
        <f t="shared" si="1822"/>
        <v>7</v>
      </c>
      <c r="N913">
        <f t="shared" si="1822"/>
        <v>7</v>
      </c>
      <c r="O913">
        <f t="shared" si="1822"/>
        <v>7</v>
      </c>
    </row>
    <row r="914" spans="1:26" x14ac:dyDescent="0.4">
      <c r="C914" s="21" t="s">
        <v>535</v>
      </c>
      <c r="D914">
        <f t="shared" ref="D914:O914" si="1823">IFERROR(VLOOKUP(D903,Phys_Prop,4,FALSE),0)</f>
        <v>0</v>
      </c>
      <c r="E914">
        <f t="shared" si="1823"/>
        <v>0</v>
      </c>
      <c r="F914">
        <f t="shared" si="1823"/>
        <v>0</v>
      </c>
      <c r="G914">
        <f t="shared" si="1823"/>
        <v>0</v>
      </c>
      <c r="H914">
        <f t="shared" si="1823"/>
        <v>0</v>
      </c>
      <c r="I914">
        <f t="shared" si="1823"/>
        <v>0</v>
      </c>
      <c r="J914">
        <f t="shared" si="1823"/>
        <v>0</v>
      </c>
      <c r="K914">
        <f t="shared" si="1823"/>
        <v>0</v>
      </c>
      <c r="L914">
        <f t="shared" si="1823"/>
        <v>0</v>
      </c>
      <c r="M914">
        <f t="shared" si="1823"/>
        <v>0</v>
      </c>
      <c r="N914">
        <f t="shared" si="1823"/>
        <v>0</v>
      </c>
      <c r="O914">
        <f t="shared" si="1823"/>
        <v>0</v>
      </c>
    </row>
    <row r="915" spans="1:26" x14ac:dyDescent="0.4">
      <c r="A915" s="11"/>
      <c r="B915" s="11"/>
      <c r="C915" s="62" t="s">
        <v>536</v>
      </c>
      <c r="D915" s="11">
        <f>IFERROR(1/(D911/D913+D912/D914),D913)</f>
        <v>7</v>
      </c>
      <c r="E915" s="11">
        <f t="shared" ref="E915:O915" si="1824">IFERROR(1/(E911/E913+E912/E914),E913)</f>
        <v>7</v>
      </c>
      <c r="F915" s="11">
        <f t="shared" si="1824"/>
        <v>7</v>
      </c>
      <c r="G915" s="11">
        <f t="shared" si="1824"/>
        <v>7</v>
      </c>
      <c r="H915" s="11">
        <f t="shared" si="1824"/>
        <v>7</v>
      </c>
      <c r="I915" s="11">
        <f t="shared" si="1824"/>
        <v>7</v>
      </c>
      <c r="J915" s="11">
        <f t="shared" si="1824"/>
        <v>7</v>
      </c>
      <c r="K915" s="11">
        <f t="shared" si="1824"/>
        <v>7</v>
      </c>
      <c r="L915" s="11">
        <f t="shared" si="1824"/>
        <v>7</v>
      </c>
      <c r="M915" s="11">
        <f t="shared" si="1824"/>
        <v>7</v>
      </c>
      <c r="N915" s="11">
        <f t="shared" si="1824"/>
        <v>7</v>
      </c>
      <c r="O915" s="11">
        <f t="shared" si="1824"/>
        <v>7</v>
      </c>
      <c r="P915" s="11"/>
      <c r="Q915" s="11"/>
      <c r="R915" s="11"/>
      <c r="S915" s="11"/>
      <c r="T915" s="11"/>
      <c r="U915" s="11"/>
      <c r="V915" s="11"/>
      <c r="W915" s="11"/>
      <c r="X915" s="11"/>
      <c r="Y915" s="11"/>
      <c r="Z915" s="11"/>
    </row>
    <row r="916" spans="1:26" x14ac:dyDescent="0.4">
      <c r="A916" t="str" cm="1">
        <f t="array" ref="A916">INDEX(FX_Input,R916,S916)</f>
        <v>FX - 66</v>
      </c>
      <c r="B916" t="str" cm="1">
        <f t="array" ref="B916">INDEX(FX_Input,R916,T916)</f>
        <v>Portland</v>
      </c>
      <c r="C916" t="s">
        <v>528</v>
      </c>
      <c r="D916" t="str" cm="1">
        <f t="array" ref="D916">INDEX(FX_Input,$R916,$Y916*D$5+$Z916)</f>
        <v>Jet kerosene</v>
      </c>
      <c r="E916" t="str" cm="1">
        <f t="array" ref="E916">INDEX(FX_Input,$R916,$Y916*E$5+$Z916)</f>
        <v>Jet kerosene</v>
      </c>
      <c r="F916" t="str" cm="1">
        <f t="array" ref="F916">INDEX(FX_Input,$R916,$Y916*F$5+$Z916)</f>
        <v>Jet kerosene</v>
      </c>
      <c r="G916" t="str" cm="1">
        <f t="array" ref="G916">INDEX(FX_Input,$R916,$Y916*G$5+$Z916)</f>
        <v>Jet kerosene</v>
      </c>
      <c r="H916" t="str" cm="1">
        <f t="array" ref="H916">INDEX(FX_Input,$R916,$Y916*H$5+$Z916)</f>
        <v>Jet kerosene</v>
      </c>
      <c r="I916" t="str" cm="1">
        <f t="array" ref="I916">INDEX(FX_Input,$R916,$Y916*I$5+$Z916)</f>
        <v>Jet kerosene</v>
      </c>
      <c r="J916" t="str" cm="1">
        <f t="array" ref="J916">INDEX(FX_Input,$R916,$Y916*J$5+$Z916)</f>
        <v>Jet kerosene</v>
      </c>
      <c r="K916" t="str" cm="1">
        <f t="array" ref="K916">INDEX(FX_Input,$R916,$Y916*K$5+$Z916)</f>
        <v>Jet kerosene</v>
      </c>
      <c r="L916" t="str" cm="1">
        <f t="array" ref="L916">INDEX(FX_Input,$R916,$Y916*L$5+$Z916)</f>
        <v>Jet kerosene</v>
      </c>
      <c r="M916" t="str" cm="1">
        <f t="array" ref="M916">INDEX(FX_Input,$R916,$Y916*M$5+$Z916)</f>
        <v>Jet kerosene</v>
      </c>
      <c r="N916" t="str" cm="1">
        <f t="array" ref="N916">INDEX(FX_Input,$R916,$Y916*N$5+$Z916)</f>
        <v>Jet kerosene</v>
      </c>
      <c r="O916" t="str" cm="1">
        <f t="array" ref="O916">INDEX(FX_Input,$R916,$Y916*O$5+$Z916)</f>
        <v>Jet kerosene</v>
      </c>
      <c r="R916">
        <f>R902+2</f>
        <v>131</v>
      </c>
      <c r="S916">
        <v>1</v>
      </c>
      <c r="T916">
        <v>3</v>
      </c>
      <c r="U916">
        <v>17</v>
      </c>
      <c r="V916">
        <f>U916+5</f>
        <v>22</v>
      </c>
      <c r="W916">
        <v>1</v>
      </c>
      <c r="X916">
        <v>2</v>
      </c>
      <c r="Y916">
        <f t="shared" ref="Y916:Y921" si="1825">(V916-U916)/(X916-W916)</f>
        <v>5</v>
      </c>
      <c r="Z916">
        <f t="shared" ref="Z916:Z921" si="1826">U916-Y916*W916</f>
        <v>12</v>
      </c>
    </row>
    <row r="917" spans="1:26" x14ac:dyDescent="0.4">
      <c r="C917" t="s">
        <v>529</v>
      </c>
      <c r="D917" cm="1">
        <f t="array" ref="D917">INDEX(FX_Input,$R917,$Y917*D$5+$Z917)</f>
        <v>0</v>
      </c>
      <c r="E917" cm="1">
        <f t="array" ref="E917">INDEX(FX_Input,$R917,$Y917*E$5+$Z917)</f>
        <v>0</v>
      </c>
      <c r="F917" cm="1">
        <f t="array" ref="F917">INDEX(FX_Input,$R917,$Y917*F$5+$Z917)</f>
        <v>0</v>
      </c>
      <c r="G917" cm="1">
        <f t="array" ref="G917">INDEX(FX_Input,$R917,$Y917*G$5+$Z917)</f>
        <v>0</v>
      </c>
      <c r="H917" cm="1">
        <f t="array" ref="H917">INDEX(FX_Input,$R917,$Y917*H$5+$Z917)</f>
        <v>0</v>
      </c>
      <c r="I917" cm="1">
        <f t="array" ref="I917">INDEX(FX_Input,$R917,$Y917*I$5+$Z917)</f>
        <v>0</v>
      </c>
      <c r="J917" cm="1">
        <f t="array" ref="J917">INDEX(FX_Input,$R917,$Y917*J$5+$Z917)</f>
        <v>0</v>
      </c>
      <c r="K917" cm="1">
        <f t="array" ref="K917">INDEX(FX_Input,$R917,$Y917*K$5+$Z917)</f>
        <v>0</v>
      </c>
      <c r="L917" cm="1">
        <f t="array" ref="L917">INDEX(FX_Input,$R917,$Y917*L$5+$Z917)</f>
        <v>0</v>
      </c>
      <c r="M917" cm="1">
        <f t="array" ref="M917">INDEX(FX_Input,$R917,$Y917*M$5+$Z917)</f>
        <v>0</v>
      </c>
      <c r="N917" cm="1">
        <f t="array" ref="N917">INDEX(FX_Input,$R917,$Y917*N$5+$Z917)</f>
        <v>0</v>
      </c>
      <c r="O917" cm="1">
        <f t="array" ref="O917">INDEX(FX_Input,$R917,$Y917*O$5+$Z917)</f>
        <v>0</v>
      </c>
      <c r="R917">
        <f>R916+1</f>
        <v>132</v>
      </c>
      <c r="U917">
        <f>U916</f>
        <v>17</v>
      </c>
      <c r="V917">
        <f t="shared" ref="V917:V921" si="1827">U917+5</f>
        <v>22</v>
      </c>
      <c r="W917">
        <v>1</v>
      </c>
      <c r="X917">
        <v>2</v>
      </c>
      <c r="Y917">
        <f t="shared" si="1825"/>
        <v>5</v>
      </c>
      <c r="Z917">
        <f t="shared" si="1826"/>
        <v>12</v>
      </c>
    </row>
    <row r="918" spans="1:26" x14ac:dyDescent="0.4">
      <c r="C918" t="s">
        <v>530</v>
      </c>
      <c r="D918" t="str" cm="1">
        <f t="array" ref="D918">INDEX(FX_Input,$R918,$Y918*D$5+$Z918)</f>
        <v>Select Pet Stock</v>
      </c>
      <c r="E918" t="str" cm="1">
        <f t="array" ref="E918">INDEX(FX_Input,$R918,$Y918*E$5+$Z918)</f>
        <v>Select Pet Stock</v>
      </c>
      <c r="F918" t="str" cm="1">
        <f t="array" ref="F918">INDEX(FX_Input,$R918,$Y918*F$5+$Z918)</f>
        <v>Select Pet Stock</v>
      </c>
      <c r="G918" t="str" cm="1">
        <f t="array" ref="G918">INDEX(FX_Input,$R918,$Y918*G$5+$Z918)</f>
        <v>Select Pet Stock</v>
      </c>
      <c r="H918" t="str" cm="1">
        <f t="array" ref="H918">INDEX(FX_Input,$R918,$Y918*H$5+$Z918)</f>
        <v>Select Pet Stock</v>
      </c>
      <c r="I918" t="str" cm="1">
        <f t="array" ref="I918">INDEX(FX_Input,$R918,$Y918*I$5+$Z918)</f>
        <v>Select Pet Stock</v>
      </c>
      <c r="J918" t="str" cm="1">
        <f t="array" ref="J918">INDEX(FX_Input,$R918,$Y918*J$5+$Z918)</f>
        <v>Select Pet Stock</v>
      </c>
      <c r="K918" t="str" cm="1">
        <f t="array" ref="K918">INDEX(FX_Input,$R918,$Y918*K$5+$Z918)</f>
        <v>Select Pet Stock</v>
      </c>
      <c r="L918" t="str" cm="1">
        <f t="array" ref="L918">INDEX(FX_Input,$R918,$Y918*L$5+$Z918)</f>
        <v>Select Pet Stock</v>
      </c>
      <c r="M918" t="str" cm="1">
        <f t="array" ref="M918">INDEX(FX_Input,$R918,$Y918*M$5+$Z918)</f>
        <v>Select Pet Stock</v>
      </c>
      <c r="N918" t="str" cm="1">
        <f t="array" ref="N918">INDEX(FX_Input,$R918,$Y918*N$5+$Z918)</f>
        <v>Select Pet Stock</v>
      </c>
      <c r="O918" t="str" cm="1">
        <f t="array" ref="O918">INDEX(FX_Input,$R918,$Y918*O$5+$Z918)</f>
        <v>Select Pet Stock</v>
      </c>
      <c r="R918">
        <f>R916</f>
        <v>131</v>
      </c>
      <c r="U918">
        <v>18</v>
      </c>
      <c r="V918">
        <f t="shared" si="1827"/>
        <v>23</v>
      </c>
      <c r="W918">
        <v>1</v>
      </c>
      <c r="X918">
        <v>2</v>
      </c>
      <c r="Y918">
        <f t="shared" si="1825"/>
        <v>5</v>
      </c>
      <c r="Z918">
        <f t="shared" si="1826"/>
        <v>13</v>
      </c>
    </row>
    <row r="919" spans="1:26" x14ac:dyDescent="0.4">
      <c r="C919" t="s">
        <v>531</v>
      </c>
      <c r="D919" cm="1">
        <f t="array" ref="D919">INDEX(FX_Input,$R919,$Y919*D$5+$Z919)</f>
        <v>0</v>
      </c>
      <c r="E919" cm="1">
        <f t="array" ref="E919">INDEX(FX_Input,$R919,$Y919*E$5+$Z919)</f>
        <v>0</v>
      </c>
      <c r="F919" cm="1">
        <f t="array" ref="F919">INDEX(FX_Input,$R919,$Y919*F$5+$Z919)</f>
        <v>0</v>
      </c>
      <c r="G919" cm="1">
        <f t="array" ref="G919">INDEX(FX_Input,$R919,$Y919*G$5+$Z919)</f>
        <v>0</v>
      </c>
      <c r="H919" cm="1">
        <f t="array" ref="H919">INDEX(FX_Input,$R919,$Y919*H$5+$Z919)</f>
        <v>0</v>
      </c>
      <c r="I919" cm="1">
        <f t="array" ref="I919">INDEX(FX_Input,$R919,$Y919*I$5+$Z919)</f>
        <v>0</v>
      </c>
      <c r="J919" cm="1">
        <f t="array" ref="J919">INDEX(FX_Input,$R919,$Y919*J$5+$Z919)</f>
        <v>0</v>
      </c>
      <c r="K919" cm="1">
        <f t="array" ref="K919">INDEX(FX_Input,$R919,$Y919*K$5+$Z919)</f>
        <v>0</v>
      </c>
      <c r="L919" cm="1">
        <f t="array" ref="L919">INDEX(FX_Input,$R919,$Y919*L$5+$Z919)</f>
        <v>0</v>
      </c>
      <c r="M919" cm="1">
        <f t="array" ref="M919">INDEX(FX_Input,$R919,$Y919*M$5+$Z919)</f>
        <v>0</v>
      </c>
      <c r="N919" cm="1">
        <f t="array" ref="N919">INDEX(FX_Input,$R919,$Y919*N$5+$Z919)</f>
        <v>0</v>
      </c>
      <c r="O919" cm="1">
        <f t="array" ref="O919">INDEX(FX_Input,$R919,$Y919*O$5+$Z919)</f>
        <v>0</v>
      </c>
      <c r="R919">
        <f>R917</f>
        <v>132</v>
      </c>
      <c r="U919">
        <f>U918</f>
        <v>18</v>
      </c>
      <c r="V919">
        <f t="shared" si="1827"/>
        <v>23</v>
      </c>
      <c r="W919">
        <v>1</v>
      </c>
      <c r="X919">
        <v>2</v>
      </c>
      <c r="Y919">
        <f t="shared" si="1825"/>
        <v>5</v>
      </c>
      <c r="Z919">
        <f t="shared" si="1826"/>
        <v>13</v>
      </c>
    </row>
    <row r="920" spans="1:26" x14ac:dyDescent="0.4">
      <c r="C920" t="s">
        <v>546</v>
      </c>
      <c r="D920" cm="1">
        <f t="array" ref="D920">INDEX(FX_Input,$R920,$Y920*D$5+$Z920)</f>
        <v>1</v>
      </c>
      <c r="E920" cm="1">
        <f t="array" ref="E920">INDEX(FX_Input,$R920,$Y920*E$5+$Z920)</f>
        <v>1</v>
      </c>
      <c r="F920" cm="1">
        <f t="array" ref="F920">INDEX(FX_Input,$R920,$Y920*F$5+$Z920)</f>
        <v>1</v>
      </c>
      <c r="G920" cm="1">
        <f t="array" ref="G920">INDEX(FX_Input,$R920,$Y920*G$5+$Z920)</f>
        <v>1</v>
      </c>
      <c r="H920" cm="1">
        <f t="array" ref="H920">INDEX(FX_Input,$R920,$Y920*H$5+$Z920)</f>
        <v>1</v>
      </c>
      <c r="I920" cm="1">
        <f t="array" ref="I920">INDEX(FX_Input,$R920,$Y920*I$5+$Z920)</f>
        <v>1</v>
      </c>
      <c r="J920" cm="1">
        <f t="array" ref="J920">INDEX(FX_Input,$R920,$Y920*J$5+$Z920)</f>
        <v>1</v>
      </c>
      <c r="K920" cm="1">
        <f t="array" ref="K920">INDEX(FX_Input,$R920,$Y920*K$5+$Z920)</f>
        <v>1</v>
      </c>
      <c r="L920" cm="1">
        <f t="array" ref="L920">INDEX(FX_Input,$R920,$Y920*L$5+$Z920)</f>
        <v>1</v>
      </c>
      <c r="M920" cm="1">
        <f t="array" ref="M920">INDEX(FX_Input,$R920,$Y920*M$5+$Z920)</f>
        <v>1</v>
      </c>
      <c r="N920" cm="1">
        <f t="array" ref="N920">INDEX(FX_Input,$R920,$Y920*N$5+$Z920)</f>
        <v>1</v>
      </c>
      <c r="O920" cm="1">
        <f t="array" ref="O920">INDEX(FX_Input,$R920,$Y920*O$5+$Z920)</f>
        <v>1</v>
      </c>
      <c r="R920">
        <f>R918</f>
        <v>131</v>
      </c>
      <c r="U920">
        <v>21</v>
      </c>
      <c r="V920">
        <f t="shared" si="1827"/>
        <v>26</v>
      </c>
      <c r="W920">
        <v>1</v>
      </c>
      <c r="X920">
        <v>2</v>
      </c>
      <c r="Y920">
        <f t="shared" si="1825"/>
        <v>5</v>
      </c>
      <c r="Z920">
        <f t="shared" si="1826"/>
        <v>16</v>
      </c>
    </row>
    <row r="921" spans="1:26" x14ac:dyDescent="0.4">
      <c r="C921" t="s">
        <v>547</v>
      </c>
      <c r="D921" cm="1">
        <f t="array" ref="D921">INDEX(FX_Input,$R921,$Y921*D$5+$Z921)</f>
        <v>0</v>
      </c>
      <c r="E921" cm="1">
        <f t="array" ref="E921">INDEX(FX_Input,$R921,$Y921*E$5+$Z921)</f>
        <v>0</v>
      </c>
      <c r="F921" cm="1">
        <f t="array" ref="F921">INDEX(FX_Input,$R921,$Y921*F$5+$Z921)</f>
        <v>0</v>
      </c>
      <c r="G921" cm="1">
        <f t="array" ref="G921">INDEX(FX_Input,$R921,$Y921*G$5+$Z921)</f>
        <v>0</v>
      </c>
      <c r="H921" cm="1">
        <f t="array" ref="H921">INDEX(FX_Input,$R921,$Y921*H$5+$Z921)</f>
        <v>0</v>
      </c>
      <c r="I921" cm="1">
        <f t="array" ref="I921">INDEX(FX_Input,$R921,$Y921*I$5+$Z921)</f>
        <v>0</v>
      </c>
      <c r="J921" cm="1">
        <f t="array" ref="J921">INDEX(FX_Input,$R921,$Y921*J$5+$Z921)</f>
        <v>0</v>
      </c>
      <c r="K921" cm="1">
        <f t="array" ref="K921">INDEX(FX_Input,$R921,$Y921*K$5+$Z921)</f>
        <v>0</v>
      </c>
      <c r="L921" cm="1">
        <f t="array" ref="L921">INDEX(FX_Input,$R921,$Y921*L$5+$Z921)</f>
        <v>0</v>
      </c>
      <c r="M921" cm="1">
        <f t="array" ref="M921">INDEX(FX_Input,$R921,$Y921*M$5+$Z921)</f>
        <v>0</v>
      </c>
      <c r="N921" cm="1">
        <f t="array" ref="N921">INDEX(FX_Input,$R921,$Y921*N$5+$Z921)</f>
        <v>0</v>
      </c>
      <c r="O921" cm="1">
        <f t="array" ref="O921">INDEX(FX_Input,$R921,$Y921*O$5+$Z921)</f>
        <v>0</v>
      </c>
      <c r="R921">
        <f>R919</f>
        <v>132</v>
      </c>
      <c r="U921">
        <f>U920</f>
        <v>21</v>
      </c>
      <c r="V921">
        <f t="shared" si="1827"/>
        <v>26</v>
      </c>
      <c r="W921">
        <v>1</v>
      </c>
      <c r="X921">
        <v>2</v>
      </c>
      <c r="Y921">
        <f t="shared" si="1825"/>
        <v>5</v>
      </c>
      <c r="Z921">
        <f t="shared" si="1826"/>
        <v>16</v>
      </c>
    </row>
    <row r="922" spans="1:26" x14ac:dyDescent="0.4">
      <c r="C922" t="s">
        <v>532</v>
      </c>
      <c r="D922">
        <f t="shared" ref="D922:O922" si="1828">IFERROR(VLOOKUP(D916,Phys_Prop,2,FALSE),0)</f>
        <v>162</v>
      </c>
      <c r="E922">
        <f t="shared" si="1828"/>
        <v>162</v>
      </c>
      <c r="F922">
        <f t="shared" si="1828"/>
        <v>162</v>
      </c>
      <c r="G922">
        <f t="shared" si="1828"/>
        <v>162</v>
      </c>
      <c r="H922">
        <f t="shared" si="1828"/>
        <v>162</v>
      </c>
      <c r="I922">
        <f t="shared" si="1828"/>
        <v>162</v>
      </c>
      <c r="J922">
        <f t="shared" si="1828"/>
        <v>162</v>
      </c>
      <c r="K922">
        <f t="shared" si="1828"/>
        <v>162</v>
      </c>
      <c r="L922">
        <f t="shared" si="1828"/>
        <v>162</v>
      </c>
      <c r="M922">
        <f t="shared" si="1828"/>
        <v>162</v>
      </c>
      <c r="N922">
        <f t="shared" si="1828"/>
        <v>162</v>
      </c>
      <c r="O922">
        <f t="shared" si="1828"/>
        <v>162</v>
      </c>
    </row>
    <row r="923" spans="1:26" x14ac:dyDescent="0.4">
      <c r="C923" t="s">
        <v>533</v>
      </c>
      <c r="D923">
        <f t="shared" ref="D923:O923" si="1829">IFERROR(VLOOKUP(D917,Phys_Prop,2,FALSE),0)</f>
        <v>0</v>
      </c>
      <c r="E923">
        <f t="shared" si="1829"/>
        <v>0</v>
      </c>
      <c r="F923">
        <f t="shared" si="1829"/>
        <v>0</v>
      </c>
      <c r="G923">
        <f t="shared" si="1829"/>
        <v>0</v>
      </c>
      <c r="H923">
        <f t="shared" si="1829"/>
        <v>0</v>
      </c>
      <c r="I923">
        <f t="shared" si="1829"/>
        <v>0</v>
      </c>
      <c r="J923">
        <f t="shared" si="1829"/>
        <v>0</v>
      </c>
      <c r="K923">
        <f t="shared" si="1829"/>
        <v>0</v>
      </c>
      <c r="L923">
        <f t="shared" si="1829"/>
        <v>0</v>
      </c>
      <c r="M923">
        <f t="shared" si="1829"/>
        <v>0</v>
      </c>
      <c r="N923">
        <f t="shared" si="1829"/>
        <v>0</v>
      </c>
      <c r="O923">
        <f t="shared" si="1829"/>
        <v>0</v>
      </c>
    </row>
    <row r="924" spans="1:26" x14ac:dyDescent="0.4">
      <c r="C924" t="s">
        <v>544</v>
      </c>
      <c r="D924">
        <f>IFERROR(IFERROR(D922/D920+D923/D921,D922/D920),0)</f>
        <v>162</v>
      </c>
      <c r="E924">
        <f t="shared" ref="E924:O924" si="1830">IFERROR(IFERROR(E922/E920+E923/E921,E922/E920),0)</f>
        <v>162</v>
      </c>
      <c r="F924">
        <f t="shared" si="1830"/>
        <v>162</v>
      </c>
      <c r="G924">
        <f t="shared" si="1830"/>
        <v>162</v>
      </c>
      <c r="H924">
        <f t="shared" si="1830"/>
        <v>162</v>
      </c>
      <c r="I924">
        <f t="shared" si="1830"/>
        <v>162</v>
      </c>
      <c r="J924">
        <f t="shared" si="1830"/>
        <v>162</v>
      </c>
      <c r="K924">
        <f t="shared" si="1830"/>
        <v>162</v>
      </c>
      <c r="L924">
        <f t="shared" si="1830"/>
        <v>162</v>
      </c>
      <c r="M924">
        <f t="shared" si="1830"/>
        <v>162</v>
      </c>
      <c r="N924">
        <f t="shared" si="1830"/>
        <v>162</v>
      </c>
      <c r="O924">
        <f t="shared" si="1830"/>
        <v>162</v>
      </c>
    </row>
    <row r="925" spans="1:26" x14ac:dyDescent="0.4">
      <c r="C925" t="s">
        <v>539</v>
      </c>
      <c r="D925">
        <f>IFERROR((D920/D922)*D924,1)</f>
        <v>1</v>
      </c>
      <c r="E925">
        <f t="shared" ref="E925:O925" si="1831">IFERROR((E920/E922)*E924,1)</f>
        <v>1</v>
      </c>
      <c r="F925">
        <f t="shared" si="1831"/>
        <v>1</v>
      </c>
      <c r="G925">
        <f t="shared" si="1831"/>
        <v>1</v>
      </c>
      <c r="H925">
        <f t="shared" si="1831"/>
        <v>1</v>
      </c>
      <c r="I925">
        <f t="shared" si="1831"/>
        <v>1</v>
      </c>
      <c r="J925">
        <f t="shared" si="1831"/>
        <v>1</v>
      </c>
      <c r="K925">
        <f t="shared" si="1831"/>
        <v>1</v>
      </c>
      <c r="L925">
        <f t="shared" si="1831"/>
        <v>1</v>
      </c>
      <c r="M925">
        <f t="shared" si="1831"/>
        <v>1</v>
      </c>
      <c r="N925">
        <f t="shared" si="1831"/>
        <v>1</v>
      </c>
      <c r="O925">
        <f t="shared" si="1831"/>
        <v>1</v>
      </c>
    </row>
    <row r="926" spans="1:26" x14ac:dyDescent="0.4">
      <c r="C926" t="s">
        <v>540</v>
      </c>
      <c r="D926">
        <f>IFERROR((D921/D923)*D924,0)</f>
        <v>0</v>
      </c>
      <c r="E926">
        <f t="shared" ref="E926:O926" si="1832">IFERROR((E921/E923)*E924,0)</f>
        <v>0</v>
      </c>
      <c r="F926">
        <f t="shared" si="1832"/>
        <v>0</v>
      </c>
      <c r="G926">
        <f t="shared" si="1832"/>
        <v>0</v>
      </c>
      <c r="H926">
        <f t="shared" si="1832"/>
        <v>0</v>
      </c>
      <c r="I926">
        <f t="shared" si="1832"/>
        <v>0</v>
      </c>
      <c r="J926">
        <f t="shared" si="1832"/>
        <v>0</v>
      </c>
      <c r="K926">
        <f t="shared" si="1832"/>
        <v>0</v>
      </c>
      <c r="L926">
        <f t="shared" si="1832"/>
        <v>0</v>
      </c>
      <c r="M926">
        <f t="shared" si="1832"/>
        <v>0</v>
      </c>
      <c r="N926">
        <f t="shared" si="1832"/>
        <v>0</v>
      </c>
      <c r="O926">
        <f t="shared" si="1832"/>
        <v>0</v>
      </c>
    </row>
    <row r="927" spans="1:26" x14ac:dyDescent="0.4">
      <c r="C927" s="21" t="s">
        <v>534</v>
      </c>
      <c r="D927">
        <f t="shared" ref="D927:O927" si="1833">IFERROR(VLOOKUP(D916,Phys_Prop,4,FALSE),0)</f>
        <v>7</v>
      </c>
      <c r="E927">
        <f t="shared" si="1833"/>
        <v>7</v>
      </c>
      <c r="F927">
        <f t="shared" si="1833"/>
        <v>7</v>
      </c>
      <c r="G927">
        <f t="shared" si="1833"/>
        <v>7</v>
      </c>
      <c r="H927">
        <f t="shared" si="1833"/>
        <v>7</v>
      </c>
      <c r="I927">
        <f t="shared" si="1833"/>
        <v>7</v>
      </c>
      <c r="J927">
        <f t="shared" si="1833"/>
        <v>7</v>
      </c>
      <c r="K927">
        <f t="shared" si="1833"/>
        <v>7</v>
      </c>
      <c r="L927">
        <f t="shared" si="1833"/>
        <v>7</v>
      </c>
      <c r="M927">
        <f t="shared" si="1833"/>
        <v>7</v>
      </c>
      <c r="N927">
        <f t="shared" si="1833"/>
        <v>7</v>
      </c>
      <c r="O927">
        <f t="shared" si="1833"/>
        <v>7</v>
      </c>
    </row>
    <row r="928" spans="1:26" x14ac:dyDescent="0.4">
      <c r="C928" s="21" t="s">
        <v>535</v>
      </c>
      <c r="D928">
        <f t="shared" ref="D928:O928" si="1834">IFERROR(VLOOKUP(D917,Phys_Prop,4,FALSE),0)</f>
        <v>0</v>
      </c>
      <c r="E928">
        <f t="shared" si="1834"/>
        <v>0</v>
      </c>
      <c r="F928">
        <f t="shared" si="1834"/>
        <v>0</v>
      </c>
      <c r="G928">
        <f t="shared" si="1834"/>
        <v>0</v>
      </c>
      <c r="H928">
        <f t="shared" si="1834"/>
        <v>0</v>
      </c>
      <c r="I928">
        <f t="shared" si="1834"/>
        <v>0</v>
      </c>
      <c r="J928">
        <f t="shared" si="1834"/>
        <v>0</v>
      </c>
      <c r="K928">
        <f t="shared" si="1834"/>
        <v>0</v>
      </c>
      <c r="L928">
        <f t="shared" si="1834"/>
        <v>0</v>
      </c>
      <c r="M928">
        <f t="shared" si="1834"/>
        <v>0</v>
      </c>
      <c r="N928">
        <f t="shared" si="1834"/>
        <v>0</v>
      </c>
      <c r="O928">
        <f t="shared" si="1834"/>
        <v>0</v>
      </c>
    </row>
    <row r="929" spans="1:26" x14ac:dyDescent="0.4">
      <c r="A929" s="11"/>
      <c r="B929" s="11"/>
      <c r="C929" s="62" t="s">
        <v>536</v>
      </c>
      <c r="D929" s="11">
        <f>IFERROR(1/(D925/D927+D926/D928),D927)</f>
        <v>7</v>
      </c>
      <c r="E929" s="11">
        <f t="shared" ref="E929:O929" si="1835">IFERROR(1/(E925/E927+E926/E928),E927)</f>
        <v>7</v>
      </c>
      <c r="F929" s="11">
        <f t="shared" si="1835"/>
        <v>7</v>
      </c>
      <c r="G929" s="11">
        <f t="shared" si="1835"/>
        <v>7</v>
      </c>
      <c r="H929" s="11">
        <f t="shared" si="1835"/>
        <v>7</v>
      </c>
      <c r="I929" s="11">
        <f t="shared" si="1835"/>
        <v>7</v>
      </c>
      <c r="J929" s="11">
        <f t="shared" si="1835"/>
        <v>7</v>
      </c>
      <c r="K929" s="11">
        <f t="shared" si="1835"/>
        <v>7</v>
      </c>
      <c r="L929" s="11">
        <f t="shared" si="1835"/>
        <v>7</v>
      </c>
      <c r="M929" s="11">
        <f t="shared" si="1835"/>
        <v>7</v>
      </c>
      <c r="N929" s="11">
        <f t="shared" si="1835"/>
        <v>7</v>
      </c>
      <c r="O929" s="11">
        <f t="shared" si="1835"/>
        <v>7</v>
      </c>
      <c r="P929" s="11"/>
      <c r="Q929" s="11"/>
      <c r="R929" s="11"/>
      <c r="S929" s="11"/>
      <c r="T929" s="11"/>
      <c r="U929" s="11"/>
      <c r="V929" s="11"/>
      <c r="W929" s="11"/>
      <c r="X929" s="11"/>
      <c r="Y929" s="11"/>
      <c r="Z929" s="11"/>
    </row>
    <row r="930" spans="1:26" x14ac:dyDescent="0.4">
      <c r="A930" t="str" cm="1">
        <f t="array" ref="A930">INDEX(FX_Input,R930,S930)</f>
        <v>FX - 67</v>
      </c>
      <c r="B930" t="str" cm="1">
        <f t="array" ref="B930">INDEX(FX_Input,R930,T930)</f>
        <v>Portland</v>
      </c>
      <c r="C930" t="s">
        <v>528</v>
      </c>
      <c r="D930" t="str" cm="1">
        <f t="array" ref="D930">INDEX(FX_Input,$R930,$Y930*D$5+$Z930)</f>
        <v>Jet kerosene</v>
      </c>
      <c r="E930" t="str" cm="1">
        <f t="array" ref="E930">INDEX(FX_Input,$R930,$Y930*E$5+$Z930)</f>
        <v>Jet kerosene</v>
      </c>
      <c r="F930" t="str" cm="1">
        <f t="array" ref="F930">INDEX(FX_Input,$R930,$Y930*F$5+$Z930)</f>
        <v>Jet kerosene</v>
      </c>
      <c r="G930" t="str" cm="1">
        <f t="array" ref="G930">INDEX(FX_Input,$R930,$Y930*G$5+$Z930)</f>
        <v>Jet kerosene</v>
      </c>
      <c r="H930" t="str" cm="1">
        <f t="array" ref="H930">INDEX(FX_Input,$R930,$Y930*H$5+$Z930)</f>
        <v>Jet kerosene</v>
      </c>
      <c r="I930" t="str" cm="1">
        <f t="array" ref="I930">INDEX(FX_Input,$R930,$Y930*I$5+$Z930)</f>
        <v>Jet kerosene</v>
      </c>
      <c r="J930" t="str" cm="1">
        <f t="array" ref="J930">INDEX(FX_Input,$R930,$Y930*J$5+$Z930)</f>
        <v>Jet kerosene</v>
      </c>
      <c r="K930" t="str" cm="1">
        <f t="array" ref="K930">INDEX(FX_Input,$R930,$Y930*K$5+$Z930)</f>
        <v>Jet kerosene</v>
      </c>
      <c r="L930" t="str" cm="1">
        <f t="array" ref="L930">INDEX(FX_Input,$R930,$Y930*L$5+$Z930)</f>
        <v>Jet kerosene</v>
      </c>
      <c r="M930" t="str" cm="1">
        <f t="array" ref="M930">INDEX(FX_Input,$R930,$Y930*M$5+$Z930)</f>
        <v>Jet kerosene</v>
      </c>
      <c r="N930" t="str" cm="1">
        <f t="array" ref="N930">INDEX(FX_Input,$R930,$Y930*N$5+$Z930)</f>
        <v>Jet kerosene</v>
      </c>
      <c r="O930" t="str" cm="1">
        <f t="array" ref="O930">INDEX(FX_Input,$R930,$Y930*O$5+$Z930)</f>
        <v>Jet kerosene</v>
      </c>
      <c r="R930">
        <f>R916+2</f>
        <v>133</v>
      </c>
      <c r="S930">
        <v>1</v>
      </c>
      <c r="T930">
        <v>3</v>
      </c>
      <c r="U930">
        <v>17</v>
      </c>
      <c r="V930">
        <f>U930+5</f>
        <v>22</v>
      </c>
      <c r="W930">
        <v>1</v>
      </c>
      <c r="X930">
        <v>2</v>
      </c>
      <c r="Y930">
        <f t="shared" ref="Y930:Y935" si="1836">(V930-U930)/(X930-W930)</f>
        <v>5</v>
      </c>
      <c r="Z930">
        <f t="shared" ref="Z930:Z935" si="1837">U930-Y930*W930</f>
        <v>12</v>
      </c>
    </row>
    <row r="931" spans="1:26" x14ac:dyDescent="0.4">
      <c r="C931" t="s">
        <v>529</v>
      </c>
      <c r="D931" cm="1">
        <f t="array" ref="D931">INDEX(FX_Input,$R931,$Y931*D$5+$Z931)</f>
        <v>0</v>
      </c>
      <c r="E931" cm="1">
        <f t="array" ref="E931">INDEX(FX_Input,$R931,$Y931*E$5+$Z931)</f>
        <v>0</v>
      </c>
      <c r="F931" cm="1">
        <f t="array" ref="F931">INDEX(FX_Input,$R931,$Y931*F$5+$Z931)</f>
        <v>0</v>
      </c>
      <c r="G931" cm="1">
        <f t="array" ref="G931">INDEX(FX_Input,$R931,$Y931*G$5+$Z931)</f>
        <v>0</v>
      </c>
      <c r="H931" cm="1">
        <f t="array" ref="H931">INDEX(FX_Input,$R931,$Y931*H$5+$Z931)</f>
        <v>0</v>
      </c>
      <c r="I931" cm="1">
        <f t="array" ref="I931">INDEX(FX_Input,$R931,$Y931*I$5+$Z931)</f>
        <v>0</v>
      </c>
      <c r="J931" cm="1">
        <f t="array" ref="J931">INDEX(FX_Input,$R931,$Y931*J$5+$Z931)</f>
        <v>0</v>
      </c>
      <c r="K931" cm="1">
        <f t="array" ref="K931">INDEX(FX_Input,$R931,$Y931*K$5+$Z931)</f>
        <v>0</v>
      </c>
      <c r="L931" cm="1">
        <f t="array" ref="L931">INDEX(FX_Input,$R931,$Y931*L$5+$Z931)</f>
        <v>0</v>
      </c>
      <c r="M931" cm="1">
        <f t="array" ref="M931">INDEX(FX_Input,$R931,$Y931*M$5+$Z931)</f>
        <v>0</v>
      </c>
      <c r="N931" cm="1">
        <f t="array" ref="N931">INDEX(FX_Input,$R931,$Y931*N$5+$Z931)</f>
        <v>0</v>
      </c>
      <c r="O931" cm="1">
        <f t="array" ref="O931">INDEX(FX_Input,$R931,$Y931*O$5+$Z931)</f>
        <v>0</v>
      </c>
      <c r="R931">
        <f>R930+1</f>
        <v>134</v>
      </c>
      <c r="U931">
        <f>U930</f>
        <v>17</v>
      </c>
      <c r="V931">
        <f t="shared" ref="V931:V935" si="1838">U931+5</f>
        <v>22</v>
      </c>
      <c r="W931">
        <v>1</v>
      </c>
      <c r="X931">
        <v>2</v>
      </c>
      <c r="Y931">
        <f t="shared" si="1836"/>
        <v>5</v>
      </c>
      <c r="Z931">
        <f t="shared" si="1837"/>
        <v>12</v>
      </c>
    </row>
    <row r="932" spans="1:26" x14ac:dyDescent="0.4">
      <c r="C932" t="s">
        <v>530</v>
      </c>
      <c r="D932" t="str" cm="1">
        <f t="array" ref="D932">INDEX(FX_Input,$R932,$Y932*D$5+$Z932)</f>
        <v>Select Pet Stock</v>
      </c>
      <c r="E932" t="str" cm="1">
        <f t="array" ref="E932">INDEX(FX_Input,$R932,$Y932*E$5+$Z932)</f>
        <v>Select Pet Stock</v>
      </c>
      <c r="F932" t="str" cm="1">
        <f t="array" ref="F932">INDEX(FX_Input,$R932,$Y932*F$5+$Z932)</f>
        <v>Select Pet Stock</v>
      </c>
      <c r="G932" t="str" cm="1">
        <f t="array" ref="G932">INDEX(FX_Input,$R932,$Y932*G$5+$Z932)</f>
        <v>Select Pet Stock</v>
      </c>
      <c r="H932" t="str" cm="1">
        <f t="array" ref="H932">INDEX(FX_Input,$R932,$Y932*H$5+$Z932)</f>
        <v>Select Pet Stock</v>
      </c>
      <c r="I932" t="str" cm="1">
        <f t="array" ref="I932">INDEX(FX_Input,$R932,$Y932*I$5+$Z932)</f>
        <v>Select Pet Stock</v>
      </c>
      <c r="J932" t="str" cm="1">
        <f t="array" ref="J932">INDEX(FX_Input,$R932,$Y932*J$5+$Z932)</f>
        <v>Select Pet Stock</v>
      </c>
      <c r="K932" t="str" cm="1">
        <f t="array" ref="K932">INDEX(FX_Input,$R932,$Y932*K$5+$Z932)</f>
        <v>Select Pet Stock</v>
      </c>
      <c r="L932" t="str" cm="1">
        <f t="array" ref="L932">INDEX(FX_Input,$R932,$Y932*L$5+$Z932)</f>
        <v>Select Pet Stock</v>
      </c>
      <c r="M932" t="str" cm="1">
        <f t="array" ref="M932">INDEX(FX_Input,$R932,$Y932*M$5+$Z932)</f>
        <v>Select Pet Stock</v>
      </c>
      <c r="N932" t="str" cm="1">
        <f t="array" ref="N932">INDEX(FX_Input,$R932,$Y932*N$5+$Z932)</f>
        <v>Select Pet Stock</v>
      </c>
      <c r="O932" t="str" cm="1">
        <f t="array" ref="O932">INDEX(FX_Input,$R932,$Y932*O$5+$Z932)</f>
        <v>Select Pet Stock</v>
      </c>
      <c r="R932">
        <f>R930</f>
        <v>133</v>
      </c>
      <c r="U932">
        <v>18</v>
      </c>
      <c r="V932">
        <f t="shared" si="1838"/>
        <v>23</v>
      </c>
      <c r="W932">
        <v>1</v>
      </c>
      <c r="X932">
        <v>2</v>
      </c>
      <c r="Y932">
        <f t="shared" si="1836"/>
        <v>5</v>
      </c>
      <c r="Z932">
        <f t="shared" si="1837"/>
        <v>13</v>
      </c>
    </row>
    <row r="933" spans="1:26" x14ac:dyDescent="0.4">
      <c r="C933" t="s">
        <v>531</v>
      </c>
      <c r="D933" cm="1">
        <f t="array" ref="D933">INDEX(FX_Input,$R933,$Y933*D$5+$Z933)</f>
        <v>0</v>
      </c>
      <c r="E933" cm="1">
        <f t="array" ref="E933">INDEX(FX_Input,$R933,$Y933*E$5+$Z933)</f>
        <v>0</v>
      </c>
      <c r="F933" cm="1">
        <f t="array" ref="F933">INDEX(FX_Input,$R933,$Y933*F$5+$Z933)</f>
        <v>0</v>
      </c>
      <c r="G933" cm="1">
        <f t="array" ref="G933">INDEX(FX_Input,$R933,$Y933*G$5+$Z933)</f>
        <v>0</v>
      </c>
      <c r="H933" cm="1">
        <f t="array" ref="H933">INDEX(FX_Input,$R933,$Y933*H$5+$Z933)</f>
        <v>0</v>
      </c>
      <c r="I933" cm="1">
        <f t="array" ref="I933">INDEX(FX_Input,$R933,$Y933*I$5+$Z933)</f>
        <v>0</v>
      </c>
      <c r="J933" cm="1">
        <f t="array" ref="J933">INDEX(FX_Input,$R933,$Y933*J$5+$Z933)</f>
        <v>0</v>
      </c>
      <c r="K933" cm="1">
        <f t="array" ref="K933">INDEX(FX_Input,$R933,$Y933*K$5+$Z933)</f>
        <v>0</v>
      </c>
      <c r="L933" cm="1">
        <f t="array" ref="L933">INDEX(FX_Input,$R933,$Y933*L$5+$Z933)</f>
        <v>0</v>
      </c>
      <c r="M933" cm="1">
        <f t="array" ref="M933">INDEX(FX_Input,$R933,$Y933*M$5+$Z933)</f>
        <v>0</v>
      </c>
      <c r="N933" cm="1">
        <f t="array" ref="N933">INDEX(FX_Input,$R933,$Y933*N$5+$Z933)</f>
        <v>0</v>
      </c>
      <c r="O933" cm="1">
        <f t="array" ref="O933">INDEX(FX_Input,$R933,$Y933*O$5+$Z933)</f>
        <v>0</v>
      </c>
      <c r="R933">
        <f>R931</f>
        <v>134</v>
      </c>
      <c r="U933">
        <f>U932</f>
        <v>18</v>
      </c>
      <c r="V933">
        <f t="shared" si="1838"/>
        <v>23</v>
      </c>
      <c r="W933">
        <v>1</v>
      </c>
      <c r="X933">
        <v>2</v>
      </c>
      <c r="Y933">
        <f t="shared" si="1836"/>
        <v>5</v>
      </c>
      <c r="Z933">
        <f t="shared" si="1837"/>
        <v>13</v>
      </c>
    </row>
    <row r="934" spans="1:26" x14ac:dyDescent="0.4">
      <c r="C934" t="s">
        <v>546</v>
      </c>
      <c r="D934" cm="1">
        <f t="array" ref="D934">INDEX(FX_Input,$R934,$Y934*D$5+$Z934)</f>
        <v>1</v>
      </c>
      <c r="E934" cm="1">
        <f t="array" ref="E934">INDEX(FX_Input,$R934,$Y934*E$5+$Z934)</f>
        <v>1</v>
      </c>
      <c r="F934" cm="1">
        <f t="array" ref="F934">INDEX(FX_Input,$R934,$Y934*F$5+$Z934)</f>
        <v>1</v>
      </c>
      <c r="G934" cm="1">
        <f t="array" ref="G934">INDEX(FX_Input,$R934,$Y934*G$5+$Z934)</f>
        <v>1</v>
      </c>
      <c r="H934" cm="1">
        <f t="array" ref="H934">INDEX(FX_Input,$R934,$Y934*H$5+$Z934)</f>
        <v>1</v>
      </c>
      <c r="I934" cm="1">
        <f t="array" ref="I934">INDEX(FX_Input,$R934,$Y934*I$5+$Z934)</f>
        <v>1</v>
      </c>
      <c r="J934" cm="1">
        <f t="array" ref="J934">INDEX(FX_Input,$R934,$Y934*J$5+$Z934)</f>
        <v>1</v>
      </c>
      <c r="K934" cm="1">
        <f t="array" ref="K934">INDEX(FX_Input,$R934,$Y934*K$5+$Z934)</f>
        <v>1</v>
      </c>
      <c r="L934" cm="1">
        <f t="array" ref="L934">INDEX(FX_Input,$R934,$Y934*L$5+$Z934)</f>
        <v>1</v>
      </c>
      <c r="M934" cm="1">
        <f t="array" ref="M934">INDEX(FX_Input,$R934,$Y934*M$5+$Z934)</f>
        <v>1</v>
      </c>
      <c r="N934" cm="1">
        <f t="array" ref="N934">INDEX(FX_Input,$R934,$Y934*N$5+$Z934)</f>
        <v>1</v>
      </c>
      <c r="O934" cm="1">
        <f t="array" ref="O934">INDEX(FX_Input,$R934,$Y934*O$5+$Z934)</f>
        <v>1</v>
      </c>
      <c r="R934">
        <f>R932</f>
        <v>133</v>
      </c>
      <c r="U934">
        <v>21</v>
      </c>
      <c r="V934">
        <f t="shared" si="1838"/>
        <v>26</v>
      </c>
      <c r="W934">
        <v>1</v>
      </c>
      <c r="X934">
        <v>2</v>
      </c>
      <c r="Y934">
        <f t="shared" si="1836"/>
        <v>5</v>
      </c>
      <c r="Z934">
        <f t="shared" si="1837"/>
        <v>16</v>
      </c>
    </row>
    <row r="935" spans="1:26" x14ac:dyDescent="0.4">
      <c r="C935" t="s">
        <v>547</v>
      </c>
      <c r="D935" cm="1">
        <f t="array" ref="D935">INDEX(FX_Input,$R935,$Y935*D$5+$Z935)</f>
        <v>0</v>
      </c>
      <c r="E935" cm="1">
        <f t="array" ref="E935">INDEX(FX_Input,$R935,$Y935*E$5+$Z935)</f>
        <v>0</v>
      </c>
      <c r="F935" cm="1">
        <f t="array" ref="F935">INDEX(FX_Input,$R935,$Y935*F$5+$Z935)</f>
        <v>0</v>
      </c>
      <c r="G935" cm="1">
        <f t="array" ref="G935">INDEX(FX_Input,$R935,$Y935*G$5+$Z935)</f>
        <v>0</v>
      </c>
      <c r="H935" cm="1">
        <f t="array" ref="H935">INDEX(FX_Input,$R935,$Y935*H$5+$Z935)</f>
        <v>0</v>
      </c>
      <c r="I935" cm="1">
        <f t="array" ref="I935">INDEX(FX_Input,$R935,$Y935*I$5+$Z935)</f>
        <v>0</v>
      </c>
      <c r="J935" cm="1">
        <f t="array" ref="J935">INDEX(FX_Input,$R935,$Y935*J$5+$Z935)</f>
        <v>0</v>
      </c>
      <c r="K935" cm="1">
        <f t="array" ref="K935">INDEX(FX_Input,$R935,$Y935*K$5+$Z935)</f>
        <v>0</v>
      </c>
      <c r="L935" cm="1">
        <f t="array" ref="L935">INDEX(FX_Input,$R935,$Y935*L$5+$Z935)</f>
        <v>0</v>
      </c>
      <c r="M935" cm="1">
        <f t="array" ref="M935">INDEX(FX_Input,$R935,$Y935*M$5+$Z935)</f>
        <v>0</v>
      </c>
      <c r="N935" cm="1">
        <f t="array" ref="N935">INDEX(FX_Input,$R935,$Y935*N$5+$Z935)</f>
        <v>0</v>
      </c>
      <c r="O935" cm="1">
        <f t="array" ref="O935">INDEX(FX_Input,$R935,$Y935*O$5+$Z935)</f>
        <v>0</v>
      </c>
      <c r="R935">
        <f>R933</f>
        <v>134</v>
      </c>
      <c r="U935">
        <f>U934</f>
        <v>21</v>
      </c>
      <c r="V935">
        <f t="shared" si="1838"/>
        <v>26</v>
      </c>
      <c r="W935">
        <v>1</v>
      </c>
      <c r="X935">
        <v>2</v>
      </c>
      <c r="Y935">
        <f t="shared" si="1836"/>
        <v>5</v>
      </c>
      <c r="Z935">
        <f t="shared" si="1837"/>
        <v>16</v>
      </c>
    </row>
    <row r="936" spans="1:26" x14ac:dyDescent="0.4">
      <c r="C936" t="s">
        <v>532</v>
      </c>
      <c r="D936">
        <f t="shared" ref="D936:O936" si="1839">IFERROR(VLOOKUP(D930,Phys_Prop,2,FALSE),0)</f>
        <v>162</v>
      </c>
      <c r="E936">
        <f t="shared" si="1839"/>
        <v>162</v>
      </c>
      <c r="F936">
        <f t="shared" si="1839"/>
        <v>162</v>
      </c>
      <c r="G936">
        <f t="shared" si="1839"/>
        <v>162</v>
      </c>
      <c r="H936">
        <f t="shared" si="1839"/>
        <v>162</v>
      </c>
      <c r="I936">
        <f t="shared" si="1839"/>
        <v>162</v>
      </c>
      <c r="J936">
        <f t="shared" si="1839"/>
        <v>162</v>
      </c>
      <c r="K936">
        <f t="shared" si="1839"/>
        <v>162</v>
      </c>
      <c r="L936">
        <f t="shared" si="1839"/>
        <v>162</v>
      </c>
      <c r="M936">
        <f t="shared" si="1839"/>
        <v>162</v>
      </c>
      <c r="N936">
        <f t="shared" si="1839"/>
        <v>162</v>
      </c>
      <c r="O936">
        <f t="shared" si="1839"/>
        <v>162</v>
      </c>
    </row>
    <row r="937" spans="1:26" x14ac:dyDescent="0.4">
      <c r="C937" t="s">
        <v>533</v>
      </c>
      <c r="D937">
        <f t="shared" ref="D937:O937" si="1840">IFERROR(VLOOKUP(D931,Phys_Prop,2,FALSE),0)</f>
        <v>0</v>
      </c>
      <c r="E937">
        <f t="shared" si="1840"/>
        <v>0</v>
      </c>
      <c r="F937">
        <f t="shared" si="1840"/>
        <v>0</v>
      </c>
      <c r="G937">
        <f t="shared" si="1840"/>
        <v>0</v>
      </c>
      <c r="H937">
        <f t="shared" si="1840"/>
        <v>0</v>
      </c>
      <c r="I937">
        <f t="shared" si="1840"/>
        <v>0</v>
      </c>
      <c r="J937">
        <f t="shared" si="1840"/>
        <v>0</v>
      </c>
      <c r="K937">
        <f t="shared" si="1840"/>
        <v>0</v>
      </c>
      <c r="L937">
        <f t="shared" si="1840"/>
        <v>0</v>
      </c>
      <c r="M937">
        <f t="shared" si="1840"/>
        <v>0</v>
      </c>
      <c r="N937">
        <f t="shared" si="1840"/>
        <v>0</v>
      </c>
      <c r="O937">
        <f t="shared" si="1840"/>
        <v>0</v>
      </c>
    </row>
    <row r="938" spans="1:26" x14ac:dyDescent="0.4">
      <c r="C938" t="s">
        <v>544</v>
      </c>
      <c r="D938">
        <f>IFERROR(IFERROR(D936/D934+D937/D935,D936/D934),0)</f>
        <v>162</v>
      </c>
      <c r="E938">
        <f t="shared" ref="E938:O938" si="1841">IFERROR(IFERROR(E936/E934+E937/E935,E936/E934),0)</f>
        <v>162</v>
      </c>
      <c r="F938">
        <f t="shared" si="1841"/>
        <v>162</v>
      </c>
      <c r="G938">
        <f t="shared" si="1841"/>
        <v>162</v>
      </c>
      <c r="H938">
        <f t="shared" si="1841"/>
        <v>162</v>
      </c>
      <c r="I938">
        <f t="shared" si="1841"/>
        <v>162</v>
      </c>
      <c r="J938">
        <f t="shared" si="1841"/>
        <v>162</v>
      </c>
      <c r="K938">
        <f t="shared" si="1841"/>
        <v>162</v>
      </c>
      <c r="L938">
        <f t="shared" si="1841"/>
        <v>162</v>
      </c>
      <c r="M938">
        <f t="shared" si="1841"/>
        <v>162</v>
      </c>
      <c r="N938">
        <f t="shared" si="1841"/>
        <v>162</v>
      </c>
      <c r="O938">
        <f t="shared" si="1841"/>
        <v>162</v>
      </c>
    </row>
    <row r="939" spans="1:26" x14ac:dyDescent="0.4">
      <c r="C939" t="s">
        <v>539</v>
      </c>
      <c r="D939">
        <f>IFERROR((D934/D936)*D938,1)</f>
        <v>1</v>
      </c>
      <c r="E939">
        <f t="shared" ref="E939:O939" si="1842">IFERROR((E934/E936)*E938,1)</f>
        <v>1</v>
      </c>
      <c r="F939">
        <f t="shared" si="1842"/>
        <v>1</v>
      </c>
      <c r="G939">
        <f t="shared" si="1842"/>
        <v>1</v>
      </c>
      <c r="H939">
        <f t="shared" si="1842"/>
        <v>1</v>
      </c>
      <c r="I939">
        <f t="shared" si="1842"/>
        <v>1</v>
      </c>
      <c r="J939">
        <f t="shared" si="1842"/>
        <v>1</v>
      </c>
      <c r="K939">
        <f t="shared" si="1842"/>
        <v>1</v>
      </c>
      <c r="L939">
        <f t="shared" si="1842"/>
        <v>1</v>
      </c>
      <c r="M939">
        <f t="shared" si="1842"/>
        <v>1</v>
      </c>
      <c r="N939">
        <f t="shared" si="1842"/>
        <v>1</v>
      </c>
      <c r="O939">
        <f t="shared" si="1842"/>
        <v>1</v>
      </c>
    </row>
    <row r="940" spans="1:26" x14ac:dyDescent="0.4">
      <c r="C940" t="s">
        <v>540</v>
      </c>
      <c r="D940">
        <f>IFERROR((D935/D937)*D938,0)</f>
        <v>0</v>
      </c>
      <c r="E940">
        <f t="shared" ref="E940:O940" si="1843">IFERROR((E935/E937)*E938,0)</f>
        <v>0</v>
      </c>
      <c r="F940">
        <f t="shared" si="1843"/>
        <v>0</v>
      </c>
      <c r="G940">
        <f t="shared" si="1843"/>
        <v>0</v>
      </c>
      <c r="H940">
        <f t="shared" si="1843"/>
        <v>0</v>
      </c>
      <c r="I940">
        <f t="shared" si="1843"/>
        <v>0</v>
      </c>
      <c r="J940">
        <f t="shared" si="1843"/>
        <v>0</v>
      </c>
      <c r="K940">
        <f t="shared" si="1843"/>
        <v>0</v>
      </c>
      <c r="L940">
        <f t="shared" si="1843"/>
        <v>0</v>
      </c>
      <c r="M940">
        <f t="shared" si="1843"/>
        <v>0</v>
      </c>
      <c r="N940">
        <f t="shared" si="1843"/>
        <v>0</v>
      </c>
      <c r="O940">
        <f t="shared" si="1843"/>
        <v>0</v>
      </c>
    </row>
    <row r="941" spans="1:26" x14ac:dyDescent="0.4">
      <c r="C941" s="21" t="s">
        <v>534</v>
      </c>
      <c r="D941">
        <f t="shared" ref="D941:O941" si="1844">IFERROR(VLOOKUP(D930,Phys_Prop,4,FALSE),0)</f>
        <v>7</v>
      </c>
      <c r="E941">
        <f t="shared" si="1844"/>
        <v>7</v>
      </c>
      <c r="F941">
        <f t="shared" si="1844"/>
        <v>7</v>
      </c>
      <c r="G941">
        <f t="shared" si="1844"/>
        <v>7</v>
      </c>
      <c r="H941">
        <f t="shared" si="1844"/>
        <v>7</v>
      </c>
      <c r="I941">
        <f t="shared" si="1844"/>
        <v>7</v>
      </c>
      <c r="J941">
        <f t="shared" si="1844"/>
        <v>7</v>
      </c>
      <c r="K941">
        <f t="shared" si="1844"/>
        <v>7</v>
      </c>
      <c r="L941">
        <f t="shared" si="1844"/>
        <v>7</v>
      </c>
      <c r="M941">
        <f t="shared" si="1844"/>
        <v>7</v>
      </c>
      <c r="N941">
        <f t="shared" si="1844"/>
        <v>7</v>
      </c>
      <c r="O941">
        <f t="shared" si="1844"/>
        <v>7</v>
      </c>
    </row>
    <row r="942" spans="1:26" x14ac:dyDescent="0.4">
      <c r="C942" s="21" t="s">
        <v>535</v>
      </c>
      <c r="D942">
        <f t="shared" ref="D942:O942" si="1845">IFERROR(VLOOKUP(D931,Phys_Prop,4,FALSE),0)</f>
        <v>0</v>
      </c>
      <c r="E942">
        <f t="shared" si="1845"/>
        <v>0</v>
      </c>
      <c r="F942">
        <f t="shared" si="1845"/>
        <v>0</v>
      </c>
      <c r="G942">
        <f t="shared" si="1845"/>
        <v>0</v>
      </c>
      <c r="H942">
        <f t="shared" si="1845"/>
        <v>0</v>
      </c>
      <c r="I942">
        <f t="shared" si="1845"/>
        <v>0</v>
      </c>
      <c r="J942">
        <f t="shared" si="1845"/>
        <v>0</v>
      </c>
      <c r="K942">
        <f t="shared" si="1845"/>
        <v>0</v>
      </c>
      <c r="L942">
        <f t="shared" si="1845"/>
        <v>0</v>
      </c>
      <c r="M942">
        <f t="shared" si="1845"/>
        <v>0</v>
      </c>
      <c r="N942">
        <f t="shared" si="1845"/>
        <v>0</v>
      </c>
      <c r="O942">
        <f t="shared" si="1845"/>
        <v>0</v>
      </c>
    </row>
    <row r="943" spans="1:26" x14ac:dyDescent="0.4">
      <c r="A943" s="11"/>
      <c r="B943" s="11"/>
      <c r="C943" s="62" t="s">
        <v>536</v>
      </c>
      <c r="D943" s="11">
        <f>IFERROR(1/(D939/D941+D940/D942),D941)</f>
        <v>7</v>
      </c>
      <c r="E943" s="11">
        <f t="shared" ref="E943:O943" si="1846">IFERROR(1/(E939/E941+E940/E942),E941)</f>
        <v>7</v>
      </c>
      <c r="F943" s="11">
        <f t="shared" si="1846"/>
        <v>7</v>
      </c>
      <c r="G943" s="11">
        <f t="shared" si="1846"/>
        <v>7</v>
      </c>
      <c r="H943" s="11">
        <f t="shared" si="1846"/>
        <v>7</v>
      </c>
      <c r="I943" s="11">
        <f t="shared" si="1846"/>
        <v>7</v>
      </c>
      <c r="J943" s="11">
        <f t="shared" si="1846"/>
        <v>7</v>
      </c>
      <c r="K943" s="11">
        <f t="shared" si="1846"/>
        <v>7</v>
      </c>
      <c r="L943" s="11">
        <f t="shared" si="1846"/>
        <v>7</v>
      </c>
      <c r="M943" s="11">
        <f t="shared" si="1846"/>
        <v>7</v>
      </c>
      <c r="N943" s="11">
        <f t="shared" si="1846"/>
        <v>7</v>
      </c>
      <c r="O943" s="11">
        <f t="shared" si="1846"/>
        <v>7</v>
      </c>
      <c r="P943" s="11"/>
      <c r="Q943" s="11"/>
      <c r="R943" s="11"/>
      <c r="S943" s="11"/>
      <c r="T943" s="11"/>
      <c r="U943" s="11"/>
      <c r="V943" s="11"/>
      <c r="W943" s="11"/>
      <c r="X943" s="11"/>
      <c r="Y943" s="11"/>
      <c r="Z943" s="11"/>
    </row>
  </sheetData>
  <sheetProtection algorithmName="SHA-512" hashValue="kMeoEz2+jzsV3o+u2WKTbByNmuupuv2hmcAHIS6jVFuT9yStQ+G5lSSFXLAT06MmXTZHTC4P7wDTfTyrMNWV3A==" saltValue="QyL+3GC01BEnZ3REhUr+lw==" spinCount="100000" sheet="1" objects="1" scenarios="1"/>
  <phoneticPr fontId="1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08A3B-7467-4121-9722-022501F45648}">
  <sheetPr codeName="Sheet18">
    <tabColor theme="9" tint="0.39997558519241921"/>
  </sheetPr>
  <dimension ref="A2:AF2282"/>
  <sheetViews>
    <sheetView zoomScaleNormal="100" workbookViewId="0">
      <pane xSplit="3" ySplit="4" topLeftCell="D2257" activePane="bottomRight" state="frozen"/>
      <selection activeCell="J5" sqref="J5"/>
      <selection pane="topRight" activeCell="J5" sqref="J5"/>
      <selection pane="bottomLeft" activeCell="J5" sqref="J5"/>
      <selection pane="bottomRight" activeCell="J5" sqref="J5"/>
    </sheetView>
  </sheetViews>
  <sheetFormatPr defaultColWidth="8.84375" defaultRowHeight="14.6" x14ac:dyDescent="0.4"/>
  <cols>
    <col min="1" max="1" width="19" bestFit="1" customWidth="1"/>
    <col min="2" max="3" width="19.4609375" bestFit="1" customWidth="1"/>
    <col min="4" max="4" width="23.4609375" bestFit="1" customWidth="1"/>
    <col min="5" max="16" width="23.4609375" customWidth="1"/>
    <col min="17" max="17" width="13.3046875" customWidth="1"/>
    <col min="18" max="28" width="9.15234375" customWidth="1"/>
    <col min="29" max="32" width="16.3046875" customWidth="1"/>
  </cols>
  <sheetData>
    <row r="2" spans="1:32" x14ac:dyDescent="0.4">
      <c r="A2" t="s">
        <v>236</v>
      </c>
    </row>
    <row r="3" spans="1:32" x14ac:dyDescent="0.4">
      <c r="C3" t="s">
        <v>543</v>
      </c>
      <c r="D3">
        <v>1</v>
      </c>
      <c r="E3">
        <v>2</v>
      </c>
      <c r="F3">
        <v>3</v>
      </c>
      <c r="G3">
        <v>4</v>
      </c>
      <c r="H3">
        <v>5</v>
      </c>
      <c r="I3">
        <v>6</v>
      </c>
      <c r="J3">
        <v>7</v>
      </c>
      <c r="K3">
        <v>8</v>
      </c>
      <c r="L3">
        <v>9</v>
      </c>
      <c r="M3">
        <v>10</v>
      </c>
      <c r="N3">
        <v>11</v>
      </c>
      <c r="O3">
        <v>12</v>
      </c>
      <c r="Q3" t="s">
        <v>238</v>
      </c>
      <c r="R3" t="s">
        <v>239</v>
      </c>
      <c r="AC3" t="s">
        <v>590</v>
      </c>
      <c r="AD3" t="s">
        <v>591</v>
      </c>
      <c r="AE3" t="s">
        <v>592</v>
      </c>
      <c r="AF3" t="s">
        <v>593</v>
      </c>
    </row>
    <row r="4" spans="1:32" x14ac:dyDescent="0.4">
      <c r="A4" s="11" t="s">
        <v>240</v>
      </c>
      <c r="B4" s="11" t="s">
        <v>4</v>
      </c>
      <c r="C4" s="11" t="s">
        <v>509</v>
      </c>
      <c r="D4" s="11" t="s">
        <v>30</v>
      </c>
      <c r="E4" s="11" t="s">
        <v>31</v>
      </c>
      <c r="F4" s="11" t="s">
        <v>32</v>
      </c>
      <c r="G4" s="11" t="s">
        <v>33</v>
      </c>
      <c r="H4" s="11" t="s">
        <v>34</v>
      </c>
      <c r="I4" s="11" t="s">
        <v>35</v>
      </c>
      <c r="J4" s="11" t="s">
        <v>36</v>
      </c>
      <c r="K4" s="11" t="s">
        <v>37</v>
      </c>
      <c r="L4" s="11" t="s">
        <v>38</v>
      </c>
      <c r="M4" s="11" t="s">
        <v>39</v>
      </c>
      <c r="N4" s="11" t="s">
        <v>40</v>
      </c>
      <c r="O4" s="11" t="s">
        <v>41</v>
      </c>
      <c r="P4" s="11"/>
      <c r="Q4" s="11"/>
      <c r="R4" s="11" t="s">
        <v>548</v>
      </c>
      <c r="S4" s="11" t="s">
        <v>549</v>
      </c>
      <c r="T4" s="11" t="s">
        <v>17</v>
      </c>
      <c r="U4" s="11" t="s">
        <v>1381</v>
      </c>
      <c r="V4" s="11" t="s">
        <v>243</v>
      </c>
      <c r="W4" s="11" t="s">
        <v>244</v>
      </c>
      <c r="X4" s="11" t="s">
        <v>539</v>
      </c>
      <c r="Y4" s="11" t="s">
        <v>540</v>
      </c>
      <c r="Z4" s="11" t="s">
        <v>541</v>
      </c>
      <c r="AA4" s="11" t="s">
        <v>542</v>
      </c>
      <c r="AB4" s="11" t="s">
        <v>589</v>
      </c>
      <c r="AC4" s="11"/>
      <c r="AD4" s="11"/>
      <c r="AE4" s="11"/>
      <c r="AF4" s="11"/>
    </row>
    <row r="5" spans="1:32" ht="17.149999999999999" x14ac:dyDescent="0.55000000000000004">
      <c r="A5" t="str" cm="1">
        <f t="array" ref="A5">INDEX(FX_Input,$Q5,R$5)</f>
        <v>FX - 1</v>
      </c>
      <c r="B5" t="str" cm="1">
        <f t="array" ref="B5">INDEX(FX_Input,Q5,S5)</f>
        <v>Portland</v>
      </c>
      <c r="C5" t="s">
        <v>563</v>
      </c>
      <c r="D5">
        <v>14.7</v>
      </c>
      <c r="E5">
        <v>14.7</v>
      </c>
      <c r="F5">
        <v>14.7</v>
      </c>
      <c r="G5">
        <v>14.7</v>
      </c>
      <c r="H5">
        <v>14.7</v>
      </c>
      <c r="I5">
        <v>14.7</v>
      </c>
      <c r="J5">
        <v>14.7</v>
      </c>
      <c r="K5">
        <v>14.7</v>
      </c>
      <c r="L5">
        <v>14.7</v>
      </c>
      <c r="M5">
        <v>14.7</v>
      </c>
      <c r="N5">
        <v>14.7</v>
      </c>
      <c r="O5">
        <v>14.7</v>
      </c>
      <c r="P5">
        <v>1</v>
      </c>
      <c r="Q5">
        <v>1</v>
      </c>
      <c r="R5">
        <v>1</v>
      </c>
      <c r="S5">
        <v>3</v>
      </c>
      <c r="T5">
        <v>1</v>
      </c>
      <c r="U5">
        <v>19</v>
      </c>
      <c r="V5">
        <v>20</v>
      </c>
      <c r="W5">
        <v>25</v>
      </c>
      <c r="X5">
        <v>1</v>
      </c>
      <c r="Y5">
        <v>2</v>
      </c>
      <c r="Z5">
        <f>(W5-V5)/(Y5-X5)</f>
        <v>5</v>
      </c>
      <c r="AA5">
        <f>V5-Z5*X5</f>
        <v>15</v>
      </c>
      <c r="AD5">
        <v>1</v>
      </c>
      <c r="AF5">
        <v>1</v>
      </c>
    </row>
    <row r="6" spans="1:32" ht="17.149999999999999" x14ac:dyDescent="0.55000000000000004">
      <c r="B6" t="str">
        <f t="shared" ref="B6" si="0">B5</f>
        <v>Portland</v>
      </c>
      <c r="C6" t="s">
        <v>564</v>
      </c>
      <c r="D6" cm="1">
        <f t="array" ref="D6">IF(ISBLANK(INDEX(FX_Input,$Q5,$AB6)),0.03,INDEX(FX_Input,Q5,AB6))</f>
        <v>0.03</v>
      </c>
      <c r="E6" cm="1">
        <f t="array" ref="E6">IF(ISBLANK(INDEX(FX_Input,$Q5,$AB6)),0.03,INDEX(FX_Input,R5,#REF!))</f>
        <v>0.03</v>
      </c>
      <c r="F6" cm="1">
        <f t="array" ref="F6">IF(ISBLANK(INDEX(FX_Input,$Q5,$AB6)),0.03,INDEX(FX_Input,S5,#REF!))</f>
        <v>0.03</v>
      </c>
      <c r="G6" cm="1">
        <f t="array" ref="G6">IF(ISBLANK(INDEX(FX_Input,$Q5,$AB6)),0.03,INDEX(FX_Input,AB5,#REF!))</f>
        <v>0.03</v>
      </c>
      <c r="H6" cm="1">
        <f t="array" ref="H6">IF(ISBLANK(INDEX(FX_Input,$Q5,$AB6)),0.03,INDEX(FX_Input,#REF!,#REF!))</f>
        <v>0.03</v>
      </c>
      <c r="I6" cm="1">
        <f t="array" ref="I6">IF(ISBLANK(INDEX(FX_Input,$Q5,$AB6)),0.03,INDEX(FX_Input,#REF!,#REF!))</f>
        <v>0.03</v>
      </c>
      <c r="J6" cm="1">
        <f t="array" ref="J6">IF(ISBLANK(INDEX(FX_Input,$Q5,$AB6)),0.03,INDEX(FX_Input,#REF!,#REF!))</f>
        <v>0.03</v>
      </c>
      <c r="K6" cm="1">
        <f t="array" ref="K6">IF(ISBLANK(INDEX(FX_Input,$Q5,$AB6)),0.03,INDEX(FX_Input,#REF!,AC6))</f>
        <v>0.03</v>
      </c>
      <c r="L6" cm="1">
        <f t="array" ref="L6">IF(ISBLANK(INDEX(FX_Input,$Q5,$AB6)),0.03,INDEX(FX_Input,#REF!,AD6))</f>
        <v>0.03</v>
      </c>
      <c r="M6" cm="1">
        <f t="array" ref="M6">IF(ISBLANK(INDEX(FX_Input,$Q5,$AB6)),0.03,INDEX(FX_Input,#REF!,#REF!))</f>
        <v>0.03</v>
      </c>
      <c r="N6" cm="1">
        <f t="array" ref="N6">IF(ISBLANK(INDEX(FX_Input,$Q5,$AB6)),0.03,INDEX(FX_Input,AC5,#REF!))</f>
        <v>0.03</v>
      </c>
      <c r="O6" cm="1">
        <f t="array" ref="O6">IF(ISBLANK(INDEX(FX_Input,$Q5,$AB6)),0.03,INDEX(FX_Input,AD5,#REF!))</f>
        <v>0.03</v>
      </c>
      <c r="P6">
        <v>2</v>
      </c>
      <c r="AB6">
        <v>15</v>
      </c>
    </row>
    <row r="7" spans="1:32" ht="17.149999999999999" x14ac:dyDescent="0.55000000000000004">
      <c r="B7" t="str">
        <f>B6</f>
        <v>Portland</v>
      </c>
      <c r="C7" t="s">
        <v>565</v>
      </c>
      <c r="D7" cm="1">
        <f t="array" ref="D7">IF(ISBLANK(INDEX(FX_Input,$Q5,$AB7)),-0.03,INDEX(FX_Input,$Q5,$AB7))</f>
        <v>-0.03</v>
      </c>
      <c r="E7" cm="1">
        <f t="array" ref="E7">IF(ISBLANK(INDEX(FX_Input,$Q5,$AB7)),-0.03,INDEX(FX_Input,R5,#REF!))</f>
        <v>-0.03</v>
      </c>
      <c r="F7" cm="1">
        <f t="array" ref="F7">IF(ISBLANK(INDEX(FX_Input,$Q5,$AB7)),-0.03,INDEX(FX_Input,S5,#REF!))</f>
        <v>-0.03</v>
      </c>
      <c r="G7" cm="1">
        <f t="array" ref="G7">IF(ISBLANK(INDEX(FX_Input,$Q5,$AB7)),-0.03,INDEX(FX_Input,AB5,#REF!))</f>
        <v>-0.03</v>
      </c>
      <c r="H7" cm="1">
        <f t="array" ref="H7">IF(ISBLANK(INDEX(FX_Input,$Q5,$AB7)),-0.03,INDEX(FX_Input,#REF!,#REF!))</f>
        <v>-0.03</v>
      </c>
      <c r="I7" cm="1">
        <f t="array" ref="I7">IF(ISBLANK(INDEX(FX_Input,$Q5,$AB7)),-0.03,INDEX(FX_Input,#REF!,#REF!))</f>
        <v>-0.03</v>
      </c>
      <c r="J7" cm="1">
        <f t="array" ref="J7">IF(ISBLANK(INDEX(FX_Input,$Q5,$AB7)),-0.03,INDEX(FX_Input,#REF!,#REF!))</f>
        <v>-0.03</v>
      </c>
      <c r="K7" cm="1">
        <f t="array" ref="K7">IF(ISBLANK(INDEX(FX_Input,$Q5,$AB7)),-0.03,INDEX(FX_Input,#REF!,AC7))</f>
        <v>-0.03</v>
      </c>
      <c r="L7" cm="1">
        <f t="array" ref="L7">IF(ISBLANK(INDEX(FX_Input,$Q5,$AB7)),-0.03,INDEX(FX_Input,#REF!,AD7))</f>
        <v>-0.03</v>
      </c>
      <c r="M7" cm="1">
        <f t="array" ref="M7">IF(ISBLANK(INDEX(FX_Input,$Q5,$AB7)),-0.03,INDEX(FX_Input,#REF!,#REF!))</f>
        <v>-0.03</v>
      </c>
      <c r="N7" cm="1">
        <f t="array" ref="N7">IF(ISBLANK(INDEX(FX_Input,$Q5,$AB7)),-0.03,INDEX(FX_Input,AC5,#REF!))</f>
        <v>-0.03</v>
      </c>
      <c r="O7" cm="1">
        <f t="array" ref="O7">IF(ISBLANK(INDEX(FX_Input,$Q5,$AB7)),-0.03,INDEX(FX_Input,AD5,#REF!))</f>
        <v>-0.03</v>
      </c>
      <c r="P7">
        <v>3</v>
      </c>
      <c r="AB7">
        <v>16</v>
      </c>
    </row>
    <row r="8" spans="1:32" x14ac:dyDescent="0.4">
      <c r="B8" t="str">
        <f t="shared" ref="B8:B9" si="1">B7</f>
        <v>Portland</v>
      </c>
      <c r="C8" s="66" t="s">
        <v>567</v>
      </c>
      <c r="D8" t="str" cm="1">
        <f t="array" ref="D8">INDEX(FX_Multi,$AD8,D$3)</f>
        <v>Jet kerosene</v>
      </c>
      <c r="E8" t="str" cm="1">
        <f t="array" ref="E8">INDEX(FX_Multi,$AD8,E$3)</f>
        <v>Jet kerosene</v>
      </c>
      <c r="F8" t="str" cm="1">
        <f t="array" ref="F8">INDEX(FX_Multi,$AD8,F$3)</f>
        <v>Jet kerosene</v>
      </c>
      <c r="G8" t="str" cm="1">
        <f t="array" ref="G8">INDEX(FX_Multi,$AD8,G$3)</f>
        <v>Jet kerosene</v>
      </c>
      <c r="H8" t="str" cm="1">
        <f t="array" ref="H8">INDEX(FX_Multi,$AD8,H$3)</f>
        <v>Jet kerosene</v>
      </c>
      <c r="I8" t="str" cm="1">
        <f t="array" ref="I8">INDEX(FX_Multi,$AD8,I$3)</f>
        <v>Jet kerosene</v>
      </c>
      <c r="J8" t="str" cm="1">
        <f t="array" ref="J8">INDEX(FX_Multi,$AD8,J$3)</f>
        <v>Jet kerosene</v>
      </c>
      <c r="K8" t="str" cm="1">
        <f t="array" ref="K8">INDEX(FX_Multi,$AD8,K$3)</f>
        <v>Jet kerosene</v>
      </c>
      <c r="L8" t="str" cm="1">
        <f t="array" ref="L8">INDEX(FX_Multi,$AD8,L$3)</f>
        <v>Jet kerosene</v>
      </c>
      <c r="M8" t="str" cm="1">
        <f t="array" ref="M8">INDEX(FX_Multi,$AD8,M$3)</f>
        <v>Jet kerosene</v>
      </c>
      <c r="N8" t="str" cm="1">
        <f t="array" ref="N8">INDEX(FX_Multi,$AD8,N$3)</f>
        <v>Jet kerosene</v>
      </c>
      <c r="O8" t="str" cm="1">
        <f t="array" ref="O8">INDEX(FX_Multi,$AD8,O$3)</f>
        <v>Jet kerosene</v>
      </c>
      <c r="P8">
        <v>4</v>
      </c>
      <c r="AC8">
        <v>1</v>
      </c>
      <c r="AD8">
        <f>AD5</f>
        <v>1</v>
      </c>
      <c r="AE8">
        <v>1</v>
      </c>
      <c r="AF8">
        <f>AF5</f>
        <v>1</v>
      </c>
    </row>
    <row r="9" spans="1:32" x14ac:dyDescent="0.4">
      <c r="B9" t="str">
        <f t="shared" si="1"/>
        <v>Portland</v>
      </c>
      <c r="C9" s="66" t="s">
        <v>566</v>
      </c>
      <c r="D9" t="str" cm="1">
        <f t="array" ref="D9">INDEX(FX_Multi,$AD9,D$3)</f>
        <v>Select Pet Stock</v>
      </c>
      <c r="E9" t="str" cm="1">
        <f t="array" ref="E9">INDEX(FX_Multi,$AD9,E$3)</f>
        <v>Select Pet Stock</v>
      </c>
      <c r="F9" t="str" cm="1">
        <f t="array" ref="F9">INDEX(FX_Multi,$AD9,F$3)</f>
        <v>Select Pet Stock</v>
      </c>
      <c r="G9" t="str" cm="1">
        <f t="array" ref="G9">INDEX(FX_Multi,$AD9,G$3)</f>
        <v>Select Pet Stock</v>
      </c>
      <c r="H9" t="str" cm="1">
        <f t="array" ref="H9">INDEX(FX_Multi,$AD9,H$3)</f>
        <v>Select Pet Stock</v>
      </c>
      <c r="I9" t="str" cm="1">
        <f t="array" ref="I9">INDEX(FX_Multi,$AD9,I$3)</f>
        <v>Select Pet Stock</v>
      </c>
      <c r="J9" t="str" cm="1">
        <f t="array" ref="J9">INDEX(FX_Multi,$AD9,J$3)</f>
        <v>Select Pet Stock</v>
      </c>
      <c r="K9" t="str" cm="1">
        <f t="array" ref="K9">INDEX(FX_Multi,$AD9,K$3)</f>
        <v>Select Pet Stock</v>
      </c>
      <c r="L9" t="str" cm="1">
        <f t="array" ref="L9">INDEX(FX_Multi,$AD9,L$3)</f>
        <v>Select Pet Stock</v>
      </c>
      <c r="M9" t="str" cm="1">
        <f t="array" ref="M9">INDEX(FX_Multi,$AD9,M$3)</f>
        <v>Select Pet Stock</v>
      </c>
      <c r="N9" t="str" cm="1">
        <f t="array" ref="N9">INDEX(FX_Multi,$AD9,N$3)</f>
        <v>Select Pet Stock</v>
      </c>
      <c r="O9" t="str" cm="1">
        <f t="array" ref="O9">INDEX(FX_Multi,$AD9,O$3)</f>
        <v>Select Pet Stock</v>
      </c>
      <c r="P9">
        <v>5</v>
      </c>
      <c r="AC9">
        <v>1</v>
      </c>
      <c r="AD9">
        <f>AD8+2</f>
        <v>3</v>
      </c>
      <c r="AE9">
        <v>1</v>
      </c>
      <c r="AF9">
        <f>AF8+3</f>
        <v>4</v>
      </c>
    </row>
    <row r="10" spans="1:32" x14ac:dyDescent="0.4">
      <c r="B10" t="str">
        <f>B6</f>
        <v>Portland</v>
      </c>
      <c r="C10" s="66" t="s">
        <v>568</v>
      </c>
      <c r="D10" cm="1">
        <f t="array" ref="D10">INDEX(FX_Multi,$AD10,D$3)</f>
        <v>0</v>
      </c>
      <c r="E10" cm="1">
        <f t="array" ref="E10">INDEX(FX_Multi,$AD10,E$3)</f>
        <v>0</v>
      </c>
      <c r="F10" cm="1">
        <f t="array" ref="F10">INDEX(FX_Multi,$AD10,F$3)</f>
        <v>0</v>
      </c>
      <c r="G10" cm="1">
        <f t="array" ref="G10">INDEX(FX_Multi,$AD10,G$3)</f>
        <v>0</v>
      </c>
      <c r="H10" cm="1">
        <f t="array" ref="H10">INDEX(FX_Multi,$AD10,H$3)</f>
        <v>0</v>
      </c>
      <c r="I10" cm="1">
        <f t="array" ref="I10">INDEX(FX_Multi,$AD10,I$3)</f>
        <v>0</v>
      </c>
      <c r="J10" cm="1">
        <f t="array" ref="J10">INDEX(FX_Multi,$AD10,J$3)</f>
        <v>0</v>
      </c>
      <c r="K10" cm="1">
        <f t="array" ref="K10">INDEX(FX_Multi,$AD10,K$3)</f>
        <v>0</v>
      </c>
      <c r="L10" cm="1">
        <f t="array" ref="L10">INDEX(FX_Multi,$AD10,L$3)</f>
        <v>0</v>
      </c>
      <c r="M10" cm="1">
        <f t="array" ref="M10">INDEX(FX_Multi,$AD10,M$3)</f>
        <v>0</v>
      </c>
      <c r="N10" cm="1">
        <f t="array" ref="N10">INDEX(FX_Multi,$AD10,N$3)</f>
        <v>0</v>
      </c>
      <c r="O10" cm="1">
        <f t="array" ref="O10">INDEX(FX_Multi,$AD10,O$3)</f>
        <v>0</v>
      </c>
      <c r="P10">
        <v>6</v>
      </c>
      <c r="AC10">
        <v>1</v>
      </c>
      <c r="AD10">
        <f>AD9-1</f>
        <v>2</v>
      </c>
      <c r="AE10">
        <v>1</v>
      </c>
      <c r="AF10">
        <f>AF8+1</f>
        <v>2</v>
      </c>
    </row>
    <row r="11" spans="1:32" x14ac:dyDescent="0.4">
      <c r="B11" t="str">
        <f t="shared" ref="B11:B38" si="2">B10</f>
        <v>Portland</v>
      </c>
      <c r="C11" s="66" t="s">
        <v>569</v>
      </c>
      <c r="D11" cm="1">
        <f t="array" ref="D11">INDEX(FX_Multi,$AD11,D$3)</f>
        <v>0</v>
      </c>
      <c r="E11" cm="1">
        <f t="array" ref="E11">INDEX(FX_Multi,$AD11,E$3)</f>
        <v>0</v>
      </c>
      <c r="F11" cm="1">
        <f t="array" ref="F11">INDEX(FX_Multi,$AD11,F$3)</f>
        <v>0</v>
      </c>
      <c r="G11" cm="1">
        <f t="array" ref="G11">INDEX(FX_Multi,$AD11,G$3)</f>
        <v>0</v>
      </c>
      <c r="H11" cm="1">
        <f t="array" ref="H11">INDEX(FX_Multi,$AD11,H$3)</f>
        <v>0</v>
      </c>
      <c r="I11" cm="1">
        <f t="array" ref="I11">INDEX(FX_Multi,$AD11,I$3)</f>
        <v>0</v>
      </c>
      <c r="J11" cm="1">
        <f t="array" ref="J11">INDEX(FX_Multi,$AD11,J$3)</f>
        <v>0</v>
      </c>
      <c r="K11" cm="1">
        <f t="array" ref="K11">INDEX(FX_Multi,$AD11,K$3)</f>
        <v>0</v>
      </c>
      <c r="L11" cm="1">
        <f t="array" ref="L11">INDEX(FX_Multi,$AD11,L$3)</f>
        <v>0</v>
      </c>
      <c r="M11" cm="1">
        <f t="array" ref="M11">INDEX(FX_Multi,$AD11,M$3)</f>
        <v>0</v>
      </c>
      <c r="N11" cm="1">
        <f t="array" ref="N11">INDEX(FX_Multi,$AD11,N$3)</f>
        <v>0</v>
      </c>
      <c r="O11" cm="1">
        <f t="array" ref="O11">INDEX(FX_Multi,$AD11,O$3)</f>
        <v>0</v>
      </c>
      <c r="P11">
        <v>7</v>
      </c>
      <c r="AC11">
        <v>1</v>
      </c>
      <c r="AD11">
        <f>AD10+2</f>
        <v>4</v>
      </c>
      <c r="AE11">
        <v>1</v>
      </c>
      <c r="AF11">
        <f>AF9</f>
        <v>4</v>
      </c>
    </row>
    <row r="12" spans="1:32" ht="17.149999999999999" x14ac:dyDescent="0.55000000000000004">
      <c r="B12" t="str">
        <f t="shared" si="2"/>
        <v>Portland</v>
      </c>
      <c r="C12" t="s">
        <v>570</v>
      </c>
      <c r="D12" cm="1">
        <f t="array" ref="D12">INDEX(FX_Multi,$AD12,D$3)</f>
        <v>1</v>
      </c>
      <c r="E12" cm="1">
        <f t="array" ref="E12">INDEX(FX_Multi,$AD12,E$3)</f>
        <v>1</v>
      </c>
      <c r="F12" cm="1">
        <f t="array" ref="F12">INDEX(FX_Multi,$AD12,F$3)</f>
        <v>1</v>
      </c>
      <c r="G12" cm="1">
        <f t="array" ref="G12">INDEX(FX_Multi,$AD12,G$3)</f>
        <v>1</v>
      </c>
      <c r="H12" cm="1">
        <f t="array" ref="H12">INDEX(FX_Multi,$AD12,H$3)</f>
        <v>1</v>
      </c>
      <c r="I12" cm="1">
        <f t="array" ref="I12">INDEX(FX_Multi,$AD12,I$3)</f>
        <v>1</v>
      </c>
      <c r="J12" cm="1">
        <f t="array" ref="J12">INDEX(FX_Multi,$AD12,J$3)</f>
        <v>1</v>
      </c>
      <c r="K12" cm="1">
        <f t="array" ref="K12">INDEX(FX_Multi,$AD12,K$3)</f>
        <v>1</v>
      </c>
      <c r="L12" cm="1">
        <f t="array" ref="L12">INDEX(FX_Multi,$AD12,L$3)</f>
        <v>1</v>
      </c>
      <c r="M12" cm="1">
        <f t="array" ref="M12">INDEX(FX_Multi,$AD12,M$3)</f>
        <v>1</v>
      </c>
      <c r="N12" cm="1">
        <f t="array" ref="N12">INDEX(FX_Multi,$AD12,N$3)</f>
        <v>1</v>
      </c>
      <c r="O12" cm="1">
        <f t="array" ref="O12">INDEX(FX_Multi,$AD12,O$3)</f>
        <v>1</v>
      </c>
      <c r="P12">
        <v>8</v>
      </c>
      <c r="AC12">
        <v>1</v>
      </c>
      <c r="AD12">
        <f>AD11+6</f>
        <v>10</v>
      </c>
      <c r="AE12">
        <v>1</v>
      </c>
      <c r="AF12">
        <f>AF8+9</f>
        <v>10</v>
      </c>
    </row>
    <row r="13" spans="1:32" ht="17.149999999999999" x14ac:dyDescent="0.55000000000000004">
      <c r="B13" t="str">
        <f t="shared" si="2"/>
        <v>Portland</v>
      </c>
      <c r="C13" t="s">
        <v>571</v>
      </c>
      <c r="D13" cm="1">
        <f t="array" ref="D13">INDEX(FX_Multi,$AD13,D$3)</f>
        <v>162</v>
      </c>
      <c r="E13" cm="1">
        <f t="array" ref="E13">INDEX(FX_Multi,$AD13,E$3)</f>
        <v>162</v>
      </c>
      <c r="F13" cm="1">
        <f t="array" ref="F13">INDEX(FX_Multi,$AD13,F$3)</f>
        <v>162</v>
      </c>
      <c r="G13" cm="1">
        <f t="array" ref="G13">INDEX(FX_Multi,$AD13,G$3)</f>
        <v>162</v>
      </c>
      <c r="H13" cm="1">
        <f t="array" ref="H13">INDEX(FX_Multi,$AD13,H$3)</f>
        <v>162</v>
      </c>
      <c r="I13" cm="1">
        <f t="array" ref="I13">INDEX(FX_Multi,$AD13,I$3)</f>
        <v>162</v>
      </c>
      <c r="J13" cm="1">
        <f t="array" ref="J13">INDEX(FX_Multi,$AD13,J$3)</f>
        <v>162</v>
      </c>
      <c r="K13" cm="1">
        <f t="array" ref="K13">INDEX(FX_Multi,$AD13,K$3)</f>
        <v>162</v>
      </c>
      <c r="L13" cm="1">
        <f t="array" ref="L13">INDEX(FX_Multi,$AD13,L$3)</f>
        <v>162</v>
      </c>
      <c r="M13" cm="1">
        <f t="array" ref="M13">INDEX(FX_Multi,$AD13,M$3)</f>
        <v>162</v>
      </c>
      <c r="N13" cm="1">
        <f t="array" ref="N13">INDEX(FX_Multi,$AD13,N$3)</f>
        <v>162</v>
      </c>
      <c r="O13" cm="1">
        <f t="array" ref="O13">INDEX(FX_Multi,$AD13,O$3)</f>
        <v>162</v>
      </c>
      <c r="P13">
        <v>9</v>
      </c>
      <c r="AC13">
        <v>1</v>
      </c>
      <c r="AD13">
        <f>AD12-3</f>
        <v>7</v>
      </c>
      <c r="AE13">
        <v>1</v>
      </c>
      <c r="AF13">
        <f>AF8+6</f>
        <v>7</v>
      </c>
    </row>
    <row r="14" spans="1:32" ht="17.149999999999999" x14ac:dyDescent="0.55000000000000004">
      <c r="B14" t="str">
        <f t="shared" si="2"/>
        <v>Portland</v>
      </c>
      <c r="C14" t="s">
        <v>572</v>
      </c>
      <c r="D14" cm="1">
        <f t="array" ref="D14">INDEX(FX_Multi,$AD14,D$3)</f>
        <v>0</v>
      </c>
      <c r="E14" cm="1">
        <f t="array" ref="E14">INDEX(FX_Multi,$AD14,E$3)</f>
        <v>0</v>
      </c>
      <c r="F14" cm="1">
        <f t="array" ref="F14">INDEX(FX_Multi,$AD14,F$3)</f>
        <v>0</v>
      </c>
      <c r="G14" cm="1">
        <f t="array" ref="G14">INDEX(FX_Multi,$AD14,G$3)</f>
        <v>0</v>
      </c>
      <c r="H14" cm="1">
        <f t="array" ref="H14">INDEX(FX_Multi,$AD14,H$3)</f>
        <v>0</v>
      </c>
      <c r="I14" cm="1">
        <f t="array" ref="I14">INDEX(FX_Multi,$AD14,I$3)</f>
        <v>0</v>
      </c>
      <c r="J14" cm="1">
        <f t="array" ref="J14">INDEX(FX_Multi,$AD14,J$3)</f>
        <v>0</v>
      </c>
      <c r="K14" cm="1">
        <f t="array" ref="K14">INDEX(FX_Multi,$AD14,K$3)</f>
        <v>0</v>
      </c>
      <c r="L14" cm="1">
        <f t="array" ref="L14">INDEX(FX_Multi,$AD14,L$3)</f>
        <v>0</v>
      </c>
      <c r="M14" cm="1">
        <f t="array" ref="M14">INDEX(FX_Multi,$AD14,M$3)</f>
        <v>0</v>
      </c>
      <c r="N14" cm="1">
        <f t="array" ref="N14">INDEX(FX_Multi,$AD14,N$3)</f>
        <v>0</v>
      </c>
      <c r="O14" cm="1">
        <f t="array" ref="O14">INDEX(FX_Multi,$AD14,O$3)</f>
        <v>0</v>
      </c>
      <c r="P14">
        <v>10</v>
      </c>
      <c r="AC14">
        <v>1</v>
      </c>
      <c r="AD14">
        <f>AD13+4</f>
        <v>11</v>
      </c>
      <c r="AE14">
        <v>1</v>
      </c>
      <c r="AF14">
        <f>AF8+10</f>
        <v>11</v>
      </c>
    </row>
    <row r="15" spans="1:32" ht="17.149999999999999" x14ac:dyDescent="0.55000000000000004">
      <c r="B15" t="str">
        <f t="shared" si="2"/>
        <v>Portland</v>
      </c>
      <c r="C15" t="s">
        <v>573</v>
      </c>
      <c r="D15" cm="1">
        <f t="array" ref="D15">INDEX(FX_Multi,$AD15,D$3)</f>
        <v>0</v>
      </c>
      <c r="E15" cm="1">
        <f t="array" ref="E15">INDEX(FX_Multi,$AD15,E$3)</f>
        <v>0</v>
      </c>
      <c r="F15" cm="1">
        <f t="array" ref="F15">INDEX(FX_Multi,$AD15,F$3)</f>
        <v>0</v>
      </c>
      <c r="G15" cm="1">
        <f t="array" ref="G15">INDEX(FX_Multi,$AD15,G$3)</f>
        <v>0</v>
      </c>
      <c r="H15" cm="1">
        <f t="array" ref="H15">INDEX(FX_Multi,$AD15,H$3)</f>
        <v>0</v>
      </c>
      <c r="I15" cm="1">
        <f t="array" ref="I15">INDEX(FX_Multi,$AD15,I$3)</f>
        <v>0</v>
      </c>
      <c r="J15" cm="1">
        <f t="array" ref="J15">INDEX(FX_Multi,$AD15,J$3)</f>
        <v>0</v>
      </c>
      <c r="K15" cm="1">
        <f t="array" ref="K15">INDEX(FX_Multi,$AD15,K$3)</f>
        <v>0</v>
      </c>
      <c r="L15" cm="1">
        <f t="array" ref="L15">INDEX(FX_Multi,$AD15,L$3)</f>
        <v>0</v>
      </c>
      <c r="M15" cm="1">
        <f t="array" ref="M15">INDEX(FX_Multi,$AD15,M$3)</f>
        <v>0</v>
      </c>
      <c r="N15" cm="1">
        <f t="array" ref="N15">INDEX(FX_Multi,$AD15,N$3)</f>
        <v>0</v>
      </c>
      <c r="O15" cm="1">
        <f t="array" ref="O15">INDEX(FX_Multi,$AD15,O$3)</f>
        <v>0</v>
      </c>
      <c r="P15">
        <v>11</v>
      </c>
      <c r="AC15">
        <v>1</v>
      </c>
      <c r="AD15">
        <f>AD14-3</f>
        <v>8</v>
      </c>
      <c r="AE15">
        <v>1</v>
      </c>
      <c r="AF15">
        <f>AF8+7</f>
        <v>8</v>
      </c>
    </row>
    <row r="16" spans="1:32" ht="17.149999999999999" x14ac:dyDescent="0.55000000000000004">
      <c r="B16" t="str">
        <f>B11</f>
        <v>Portland</v>
      </c>
      <c r="C16" t="s">
        <v>526</v>
      </c>
      <c r="D16" cm="1">
        <f t="array" ref="D16">INDEX(FX_Temps,$AF16,D$3)</f>
        <v>42.403099999999938</v>
      </c>
      <c r="E16" cm="1">
        <f t="array" ref="E16">INDEX(FX_Temps,$AF16,E$3)</f>
        <v>43.080000000000041</v>
      </c>
      <c r="F16" cm="1">
        <f t="array" ref="F16">INDEX(FX_Temps,$AF16,F$3)</f>
        <v>44.95089999999999</v>
      </c>
      <c r="G16" cm="1">
        <f t="array" ref="G16">INDEX(FX_Temps,$AF16,G$3)</f>
        <v>48.048400000000015</v>
      </c>
      <c r="H16" cm="1">
        <f t="array" ref="H16">INDEX(FX_Temps,$AF16,H$3)</f>
        <v>53.102899999999977</v>
      </c>
      <c r="I16" cm="1">
        <f t="array" ref="I16">INDEX(FX_Temps,$AF16,I$3)</f>
        <v>57.215900000000033</v>
      </c>
      <c r="J16" cm="1">
        <f t="array" ref="J16">INDEX(FX_Temps,$AF16,J$3)</f>
        <v>60.813599999999838</v>
      </c>
      <c r="K16" cm="1">
        <f t="array" ref="K16">INDEX(FX_Temps,$AF16,K$3)</f>
        <v>60.716400000000021</v>
      </c>
      <c r="L16" cm="1">
        <f t="array" ref="L16">INDEX(FX_Temps,$AF16,L$3)</f>
        <v>57.353200000000015</v>
      </c>
      <c r="M16" cm="1">
        <f t="array" ref="M16">INDEX(FX_Temps,$AF16,M$3)</f>
        <v>50.947600000000079</v>
      </c>
      <c r="N16" cm="1">
        <f t="array" ref="N16">INDEX(FX_Temps,$AF16,N$3)</f>
        <v>45.324700000000007</v>
      </c>
      <c r="O16" cm="1">
        <f t="array" ref="O16">INDEX(FX_Temps,$AF16,O$3)</f>
        <v>42.113400000000013</v>
      </c>
      <c r="P16">
        <v>12</v>
      </c>
      <c r="AE16">
        <v>1</v>
      </c>
      <c r="AF16">
        <f>AF8+10</f>
        <v>11</v>
      </c>
    </row>
    <row r="17" spans="2:32" ht="17.149999999999999" x14ac:dyDescent="0.55000000000000004">
      <c r="B17" t="str">
        <f t="shared" si="2"/>
        <v>Portland</v>
      </c>
      <c r="C17" t="s">
        <v>527</v>
      </c>
      <c r="D17" cm="1">
        <f t="array" ref="D17">INDEX(FX_Temps,$AF17,D$3)</f>
        <v>46.563099999999963</v>
      </c>
      <c r="E17" cm="1">
        <f t="array" ref="E17">INDEX(FX_Temps,$AF17,E$3)</f>
        <v>48.360000000000014</v>
      </c>
      <c r="F17" cm="1">
        <f t="array" ref="F17">INDEX(FX_Temps,$AF17,F$3)</f>
        <v>50.230900000000076</v>
      </c>
      <c r="G17" cm="1">
        <f t="array" ref="G17">INDEX(FX_Temps,$AF17,G$3)</f>
        <v>53.408400000000029</v>
      </c>
      <c r="H17" cm="1">
        <f t="array" ref="H17">INDEX(FX_Temps,$AF17,H$3)</f>
        <v>58.422899999999913</v>
      </c>
      <c r="I17" cm="1">
        <f t="array" ref="I17">INDEX(FX_Temps,$AF17,I$3)</f>
        <v>62.215900000000033</v>
      </c>
      <c r="J17" cm="1">
        <f t="array" ref="J17">INDEX(FX_Temps,$AF17,J$3)</f>
        <v>65.893599999999878</v>
      </c>
      <c r="K17" cm="1">
        <f t="array" ref="K17">INDEX(FX_Temps,$AF17,K$3)</f>
        <v>66.156400000000076</v>
      </c>
      <c r="L17" cm="1">
        <f t="array" ref="L17">INDEX(FX_Temps,$AF17,L$3)</f>
        <v>63.913199999999961</v>
      </c>
      <c r="M17" cm="1">
        <f t="array" ref="M17">INDEX(FX_Temps,$AF17,M$3)</f>
        <v>56.827600000000075</v>
      </c>
      <c r="N17" cm="1">
        <f t="array" ref="N17">INDEX(FX_Temps,$AF17,N$3)</f>
        <v>50.204700000000003</v>
      </c>
      <c r="O17" cm="1">
        <f t="array" ref="O17">INDEX(FX_Temps,$AF17,O$3)</f>
        <v>46.113400000000013</v>
      </c>
      <c r="P17">
        <v>13</v>
      </c>
      <c r="AE17">
        <f>AE16</f>
        <v>1</v>
      </c>
      <c r="AF17">
        <f>AF8+11</f>
        <v>12</v>
      </c>
    </row>
    <row r="18" spans="2:32" ht="17.149999999999999" x14ac:dyDescent="0.55000000000000004">
      <c r="B18" t="str">
        <f t="shared" si="2"/>
        <v>Portland</v>
      </c>
      <c r="C18" t="s">
        <v>552</v>
      </c>
      <c r="D18" cm="1">
        <f t="array" ref="D18">INDEX(FX_Temps,$AF18,D$3)</f>
        <v>44.748924999999986</v>
      </c>
      <c r="E18" cm="1">
        <f t="array" ref="E18">INDEX(FX_Temps,$AF18,E$3)</f>
        <v>46.185000000000059</v>
      </c>
      <c r="F18" cm="1">
        <f t="array" ref="F18">INDEX(FX_Temps,$AF18,F$3)</f>
        <v>48.270575000000008</v>
      </c>
      <c r="G18" cm="1">
        <f t="array" ref="G18">INDEX(FX_Temps,$AF18,G$3)</f>
        <v>51.698699999999917</v>
      </c>
      <c r="H18" cm="1">
        <f t="array" ref="H18">INDEX(FX_Temps,$AF18,H$3)</f>
        <v>56.954074999999875</v>
      </c>
      <c r="I18" cm="1">
        <f t="array" ref="I18">INDEX(FX_Temps,$AF18,I$3)</f>
        <v>60.976825000000076</v>
      </c>
      <c r="J18" cm="1">
        <f t="array" ref="J18">INDEX(FX_Temps,$AF18,J$3)</f>
        <v>64.677299999999832</v>
      </c>
      <c r="K18" cm="1">
        <f t="array" ref="K18">INDEX(FX_Temps,$AF18,K$3)</f>
        <v>64.592699999999923</v>
      </c>
      <c r="L18" cm="1">
        <f t="array" ref="L18">INDEX(FX_Temps,$AF18,L$3)</f>
        <v>61.560100000000034</v>
      </c>
      <c r="M18" cm="1">
        <f t="array" ref="M18">INDEX(FX_Temps,$AF18,M$3)</f>
        <v>54.451800000000048</v>
      </c>
      <c r="N18" cm="1">
        <f t="array" ref="N18">INDEX(FX_Temps,$AF18,N$3)</f>
        <v>48.067724999999996</v>
      </c>
      <c r="O18" cm="1">
        <f t="array" ref="O18">INDEX(FX_Temps,$AF18,O$3)</f>
        <v>44.347450000000038</v>
      </c>
      <c r="P18">
        <v>14</v>
      </c>
      <c r="AE18">
        <f>AE17</f>
        <v>1</v>
      </c>
      <c r="AF18">
        <f>AF8+13</f>
        <v>14</v>
      </c>
    </row>
    <row r="19" spans="2:32" ht="17.149999999999999" x14ac:dyDescent="0.55000000000000004">
      <c r="B19" t="str">
        <f t="shared" si="2"/>
        <v>Portland</v>
      </c>
      <c r="C19" t="s">
        <v>574</v>
      </c>
      <c r="D19" s="20" cm="1">
        <f t="array" ref="D19">IFERROR(IF(D9="Chemical",(10^(INDEX(Antoines,MATCH(D8,Antoine_Name,0),2)-INDEX(Antoines,MATCH(D8,Antoine_Name,0),3)/(INDEX(Antoines,MATCH(D8,Antoine_Name,0),4)+(D16-32)*5/9)))*14.7/760,IF(D9="Crude Oil",EXP((2799/(D16+459.6)-2.227)*LOG10(INDEX(FX_Input,Q$5,D$3*$Z$5+$AA$5))-(7261/(D16+459.6))+12.82),IF(D9="Refined Petroleum Stock",EXP((0.7553-(413/(D16+459.6)))*(INDEX(FX_Input,Q$5,D$3*$Z$5+$AA$5-1)^0.5)*LOG10(INDEX(FX_Input,Q$5,D$3*$Z$5+$AA$5))-(1.854-(1042/(D16+459.6)))*(INDEX(FX_Input,Q$5,D$3*$Z$5+$AA$5-1)^0.5)+((2416/(D16+459.6)-2.013)*LOG10(INDEX(FX_Input,Q$5,D$3*$Z$5+$AA$5)))-(8742/(D16+459.6))+15.64),EXP(INDEX(Antoines,MATCH(D8,Antoine_Name,0),2)-INDEX(Antoines,MATCH(D8,Antoine_Name,0),3)/(D16+459.6))))),0)</f>
        <v>4.4953541371678231E-3</v>
      </c>
      <c r="E19" cm="1">
        <f t="array" ref="E19">IFERROR(IF(E9="Chemical",(10^(INDEX(Antoines,MATCH(E8,Antoine_Name,0),2)-INDEX(Antoines,MATCH(E8,Antoine_Name,0),3)/(INDEX(Antoines,MATCH(E8,Antoine_Name,0),4)+(E16-32)*5/9)))*14.7/760,IF(E9="Crude Oil",EXP((2799/(E16+459.6)-2.227)*LOG10(INDEX(FX_Input,R$5,E$3*$Z$5+$AA$5))-(7261/(E16+459.6))+12.82),IF(E9="Refined Petroleum Stock",EXP((0.7553-(413/(E16+459.6)))*(INDEX(FX_Input,R$5,E$3*$Z$5+$AA$5-1)^0.5)*LOG10(INDEX(FX_Input,R$5,E$3*$Z$5+$AA$5))-(1.854-(1042/(E16+459.6)))*(INDEX(FX_Input,R$5,E$3*$Z$5+$AA$5-1)^0.5)+((2416/(E16+459.6)-2.013)*LOG10(INDEX(FX_Input,R$5,E$3*$Z$5+$AA$5)))-(8742/(E16+459.6))+15.64),EXP(INDEX(Antoines,MATCH(E8,Antoine_Name,0),2)-INDEX(Antoines,MATCH(E8,Antoine_Name,0),3)/(E16+459.6))))),0)</f>
        <v>4.6043729465544726E-3</v>
      </c>
      <c r="F19" cm="1">
        <f t="array" ref="F19">IFERROR(IF(F9="Chemical",(10^(INDEX(Antoines,MATCH(F8,Antoine_Name,0),2)-INDEX(Antoines,MATCH(F8,Antoine_Name,0),3)/(INDEX(Antoines,MATCH(F8,Antoine_Name,0),4)+(F16-32)*5/9)))*14.7/760,IF(F9="Crude Oil",EXP((2799/(F16+459.6)-2.227)*LOG10(INDEX(FX_Input,S$5,F$3*$Z$5+$AA$5))-(7261/(F16+459.6))+12.82),IF(F9="Refined Petroleum Stock",EXP((0.7553-(413/(F16+459.6)))*(INDEX(FX_Input,S$5,F$3*$Z$5+$AA$5-1)^0.5)*LOG10(INDEX(FX_Input,S$5,F$3*$Z$5+$AA$5))-(1.854-(1042/(F16+459.6)))*(INDEX(FX_Input,S$5,F$3*$Z$5+$AA$5-1)^0.5)+((2416/(F16+459.6)-2.013)*LOG10(INDEX(FX_Input,S$5,F$3*$Z$5+$AA$5)))-(8742/(F16+459.6))+15.64),EXP(INDEX(Antoines,MATCH(F8,Antoine_Name,0),2)-INDEX(Antoines,MATCH(F8,Antoine_Name,0),3)/(F16+459.6))))),0)</f>
        <v>4.9179969260705328E-3</v>
      </c>
      <c r="G19" cm="1">
        <f t="array" ref="G19">IFERROR(IF(G9="Chemical",(10^(INDEX(Antoines,MATCH(G8,Antoine_Name,0),2)-INDEX(Antoines,MATCH(G8,Antoine_Name,0),3)/(INDEX(Antoines,MATCH(G8,Antoine_Name,0),4)+(G16-32)*5/9)))*14.7/760,IF(G9="Crude Oil",EXP((2799/(G16+459.6)-2.227)*LOG10(INDEX(FX_Input,T$5,G$3*$Z$5+$AA$5))-(7261/(G16+459.6))+12.82),IF(G9="Refined Petroleum Stock",EXP((0.7553-(413/(G16+459.6)))*(INDEX(FX_Input,T$5,G$3*$Z$5+$AA$5-1)^0.5)*LOG10(INDEX(FX_Input,T$5,G$3*$Z$5+$AA$5))-(1.854-(1042/(G16+459.6)))*(INDEX(FX_Input,T$5,G$3*$Z$5+$AA$5-1)^0.5)+((2416/(G16+459.6)-2.013)*LOG10(INDEX(FX_Input,T$5,G$3*$Z$5+$AA$5)))-(8742/(G16+459.6))+15.64),EXP(INDEX(Antoines,MATCH(G8,Antoine_Name,0),2)-INDEX(Antoines,MATCH(G8,Antoine_Name,0),3)/(G16+459.6))))),0)</f>
        <v>5.479042667267656E-3</v>
      </c>
      <c r="H19" cm="1">
        <f t="array" ref="H19">IFERROR(IF(H9="Chemical",(10^(INDEX(Antoines,MATCH(H8,Antoine_Name,0),2)-INDEX(Antoines,MATCH(H8,Antoine_Name,0),3)/(INDEX(Antoines,MATCH(H8,Antoine_Name,0),4)+(H16-32)*5/9)))*14.7/760,IF(H9="Crude Oil",EXP((2799/(H16+459.6)-2.227)*LOG10(INDEX(FX_Input,U$5,H$3*$Z$5+$AA$5))-(7261/(H16+459.6))+12.82),IF(H9="Refined Petroleum Stock",EXP((0.7553-(413/(H16+459.6)))*(INDEX(FX_Input,U$5,H$3*$Z$5+$AA$5-1)^0.5)*LOG10(INDEX(FX_Input,U$5,H$3*$Z$5+$AA$5))-(1.854-(1042/(H16+459.6)))*(INDEX(FX_Input,U$5,H$3*$Z$5+$AA$5-1)^0.5)+((2416/(H16+459.6)-2.013)*LOG10(INDEX(FX_Input,U$5,H$3*$Z$5+$AA$5)))-(8742/(H16+459.6))+15.64),EXP(INDEX(Antoines,MATCH(H8,Antoine_Name,0),2)-INDEX(Antoines,MATCH(H8,Antoine_Name,0),3)/(H16+459.6))))),0)</f>
        <v>6.5169685513364909E-3</v>
      </c>
      <c r="I19" cm="1">
        <f t="array" ref="I19">IFERROR(IF(I9="Chemical",(10^(INDEX(Antoines,MATCH(I8,Antoine_Name,0),2)-INDEX(Antoines,MATCH(I8,Antoine_Name,0),3)/(INDEX(Antoines,MATCH(I8,Antoine_Name,0),4)+(I16-32)*5/9)))*14.7/760,IF(I9="Crude Oil",EXP((2799/(I16+459.6)-2.227)*LOG10(INDEX(FX_Input,V$5,I$3*$Z$5+$AA$5))-(7261/(I16+459.6))+12.82),IF(I9="Refined Petroleum Stock",EXP((0.7553-(413/(I16+459.6)))*(INDEX(FX_Input,V$5,I$3*$Z$5+$AA$5-1)^0.5)*LOG10(INDEX(FX_Input,V$5,I$3*$Z$5+$AA$5))-(1.854-(1042/(I16+459.6)))*(INDEX(FX_Input,V$5,I$3*$Z$5+$AA$5-1)^0.5)+((2416/(I16+459.6)-2.013)*LOG10(INDEX(FX_Input,V$5,I$3*$Z$5+$AA$5)))-(8742/(I16+459.6))+15.64),EXP(INDEX(Antoines,MATCH(I8,Antoine_Name,0),2)-INDEX(Antoines,MATCH(I8,Antoine_Name,0),3)/(I16+459.6))))),0)</f>
        <v>7.486267526260572E-3</v>
      </c>
      <c r="J19" cm="1">
        <f t="array" ref="J19">IFERROR(IF(J9="Chemical",(10^(INDEX(Antoines,MATCH(J8,Antoine_Name,0),2)-INDEX(Antoines,MATCH(J8,Antoine_Name,0),3)/(INDEX(Antoines,MATCH(J8,Antoine_Name,0),4)+(J16-32)*5/9)))*14.7/760,IF(J9="Crude Oil",EXP((2799/(J16+459.6)-2.227)*LOG10(INDEX(FX_Input,W$5,J$3*$Z$5+$AA$5))-(7261/(J16+459.6))+12.82),IF(J9="Refined Petroleum Stock",EXP((0.7553-(413/(J16+459.6)))*(INDEX(FX_Input,W$5,J$3*$Z$5+$AA$5-1)^0.5)*LOG10(INDEX(FX_Input,W$5,J$3*$Z$5+$AA$5))-(1.854-(1042/(J16+459.6)))*(INDEX(FX_Input,W$5,J$3*$Z$5+$AA$5-1)^0.5)+((2416/(J16+459.6)-2.013)*LOG10(INDEX(FX_Input,W$5,J$3*$Z$5+$AA$5)))-(8742/(J16+459.6))+15.64),EXP(INDEX(Antoines,MATCH(J8,Antoine_Name,0),2)-INDEX(Antoines,MATCH(J8,Antoine_Name,0),3)/(J16+459.6))))),0)</f>
        <v>8.4364538110447557E-3</v>
      </c>
      <c r="K19" cm="1">
        <f t="array" ref="K19">IFERROR(IF(K9="Chemical",(10^(INDEX(Antoines,MATCH(K8,Antoine_Name,0),2)-INDEX(Antoines,MATCH(K8,Antoine_Name,0),3)/(INDEX(Antoines,MATCH(K8,Antoine_Name,0),4)+(K16-32)*5/9)))*14.7/760,IF(K9="Crude Oil",EXP((2799/(K16+459.6)-2.227)*LOG10(INDEX(FX_Input,X$5,K$3*$Z$5+$AA$5))-(7261/(K16+459.6))+12.82),IF(K9="Refined Petroleum Stock",EXP((0.7553-(413/(K16+459.6)))*(INDEX(FX_Input,X$5,K$3*$Z$5+$AA$5-1)^0.5)*LOG10(INDEX(FX_Input,X$5,K$3*$Z$5+$AA$5))-(1.854-(1042/(K16+459.6)))*(INDEX(FX_Input,X$5,K$3*$Z$5+$AA$5-1)^0.5)+((2416/(K16+459.6)-2.013)*LOG10(INDEX(FX_Input,X$5,K$3*$Z$5+$AA$5)))-(8742/(K16+459.6))+15.64),EXP(INDEX(Antoines,MATCH(K8,Antoine_Name,0),2)-INDEX(Antoines,MATCH(K8,Antoine_Name,0),3)/(K16+459.6))))),0)</f>
        <v>8.4094446398714287E-3</v>
      </c>
      <c r="L19" cm="1">
        <f t="array" ref="L19">IFERROR(IF(L9="Chemical",(10^(INDEX(Antoines,MATCH(L8,Antoine_Name,0),2)-INDEX(Antoines,MATCH(L8,Antoine_Name,0),3)/(INDEX(Antoines,MATCH(L8,Antoine_Name,0),4)+(L16-32)*5/9)))*14.7/760,IF(L9="Crude Oil",EXP((2799/(L16+459.6)-2.227)*LOG10(INDEX(FX_Input,Y$5,L$3*$Z$5+$AA$5))-(7261/(L16+459.6))+12.82),IF(L9="Refined Petroleum Stock",EXP((0.7553-(413/(L16+459.6)))*(INDEX(FX_Input,Y$5,L$3*$Z$5+$AA$5-1)^0.5)*LOG10(INDEX(FX_Input,Y$5,L$3*$Z$5+$AA$5))-(1.854-(1042/(L16+459.6)))*(INDEX(FX_Input,Y$5,L$3*$Z$5+$AA$5-1)^0.5)+((2416/(L16+459.6)-2.013)*LOG10(INDEX(FX_Input,Y$5,L$3*$Z$5+$AA$5)))-(8742/(L16+459.6))+15.64),EXP(INDEX(Antoines,MATCH(L8,Antoine_Name,0),2)-INDEX(Antoines,MATCH(L8,Antoine_Name,0),3)/(L16+459.6))))),0)</f>
        <v>7.5207138884047006E-3</v>
      </c>
      <c r="M19" cm="1">
        <f t="array" ref="M19">IFERROR(IF(M9="Chemical",(10^(INDEX(Antoines,MATCH(M8,Antoine_Name,0),2)-INDEX(Antoines,MATCH(M8,Antoine_Name,0),3)/(INDEX(Antoines,MATCH(M8,Antoine_Name,0),4)+(M16-32)*5/9)))*14.7/760,IF(M9="Crude Oil",EXP((2799/(M16+459.6)-2.227)*LOG10(INDEX(FX_Input,Z$5,M$3*$Z$5+$AA$5))-(7261/(M16+459.6))+12.82),IF(M9="Refined Petroleum Stock",EXP((0.7553-(413/(M16+459.6)))*(INDEX(FX_Input,Z$5,M$3*$Z$5+$AA$5-1)^0.5)*LOG10(INDEX(FX_Input,Z$5,M$3*$Z$5+$AA$5))-(1.854-(1042/(M16+459.6)))*(INDEX(FX_Input,Z$5,M$3*$Z$5+$AA$5-1)^0.5)+((2416/(M16+459.6)-2.013)*LOG10(INDEX(FX_Input,Z$5,M$3*$Z$5+$AA$5)))-(8742/(M16+459.6))+15.64),EXP(INDEX(Antoines,MATCH(M8,Antoine_Name,0),2)-INDEX(Antoines,MATCH(M8,Antoine_Name,0),3)/(M16+459.6))))),0)</f>
        <v>6.0548274008136857E-3</v>
      </c>
      <c r="N19" cm="1">
        <f t="array" ref="N19">IFERROR(IF(N9="Chemical",(10^(INDEX(Antoines,MATCH(N8,Antoine_Name,0),2)-INDEX(Antoines,MATCH(N8,Antoine_Name,0),3)/(INDEX(Antoines,MATCH(N8,Antoine_Name,0),4)+(N16-32)*5/9)))*14.7/760,IF(N9="Crude Oil",EXP((2799/(N16+459.6)-2.227)*LOG10(INDEX(FX_Input,AA$5,N$3*$Z$5+$AA$5))-(7261/(N16+459.6))+12.82),IF(N9="Refined Petroleum Stock",EXP((0.7553-(413/(N16+459.6)))*(INDEX(FX_Input,AA$5,N$3*$Z$5+$AA$5-1)^0.5)*LOG10(INDEX(FX_Input,AA$5,N$3*$Z$5+$AA$5))-(1.854-(1042/(N16+459.6)))*(INDEX(FX_Input,AA$5,N$3*$Z$5+$AA$5-1)^0.5)+((2416/(N16+459.6)-2.013)*LOG10(INDEX(FX_Input,AA$5,N$3*$Z$5+$AA$5)))-(8742/(N16+459.6))+15.64),EXP(INDEX(Antoines,MATCH(N8,Antoine_Name,0),2)-INDEX(Antoines,MATCH(N8,Antoine_Name,0),3)/(N16+459.6))))),0)</f>
        <v>4.9828816635194605E-3</v>
      </c>
      <c r="O19" cm="1">
        <f t="array" ref="O19">IFERROR(IF(O9="Chemical",(10^(INDEX(Antoines,MATCH(O8,Antoine_Name,0),2)-INDEX(Antoines,MATCH(O8,Antoine_Name,0),3)/(INDEX(Antoines,MATCH(O8,Antoine_Name,0),4)+(O16-32)*5/9)))*14.7/760,IF(O9="Crude Oil",EXP((2799/(O16+459.6)-2.227)*LOG10(INDEX(FX_Input,AB$5,O$3*$Z$5+$AA$5))-(7261/(O16+459.6))+12.82),IF(O9="Refined Petroleum Stock",EXP((0.7553-(413/(O16+459.6)))*(INDEX(FX_Input,AB$5,O$3*$Z$5+$AA$5-1)^0.5)*LOG10(INDEX(FX_Input,AB$5,O$3*$Z$5+$AA$5))-(1.854-(1042/(O16+459.6)))*(INDEX(FX_Input,AB$5,O$3*$Z$5+$AA$5-1)^0.5)+((2416/(O16+459.6)-2.013)*LOG10(INDEX(FX_Input,AB$5,O$3*$Z$5+$AA$5)))-(8742/(O16+459.6))+15.64),EXP(INDEX(Antoines,MATCH(O8,Antoine_Name,0),2)-INDEX(Antoines,MATCH(O8,Antoine_Name,0),3)/(O16+459.6))))),0)</f>
        <v>4.4494006627366521E-3</v>
      </c>
      <c r="P19">
        <v>15</v>
      </c>
    </row>
    <row r="20" spans="2:32" ht="17.149999999999999" x14ac:dyDescent="0.55000000000000004">
      <c r="B20" t="str">
        <f t="shared" si="2"/>
        <v>Portland</v>
      </c>
      <c r="C20" t="s">
        <v>576</v>
      </c>
      <c r="D20">
        <f>D12*D19</f>
        <v>4.4953541371678231E-3</v>
      </c>
      <c r="E20">
        <f t="shared" ref="E20:O20" si="3">E12*E19</f>
        <v>4.6043729465544726E-3</v>
      </c>
      <c r="F20">
        <f t="shared" si="3"/>
        <v>4.9179969260705328E-3</v>
      </c>
      <c r="G20">
        <f t="shared" si="3"/>
        <v>5.479042667267656E-3</v>
      </c>
      <c r="H20">
        <f t="shared" si="3"/>
        <v>6.5169685513364909E-3</v>
      </c>
      <c r="I20">
        <f t="shared" si="3"/>
        <v>7.486267526260572E-3</v>
      </c>
      <c r="J20">
        <f t="shared" si="3"/>
        <v>8.4364538110447557E-3</v>
      </c>
      <c r="K20">
        <f t="shared" si="3"/>
        <v>8.4094446398714287E-3</v>
      </c>
      <c r="L20">
        <f t="shared" si="3"/>
        <v>7.5207138884047006E-3</v>
      </c>
      <c r="M20">
        <f t="shared" si="3"/>
        <v>6.0548274008136857E-3</v>
      </c>
      <c r="N20">
        <f t="shared" si="3"/>
        <v>4.9828816635194605E-3</v>
      </c>
      <c r="O20">
        <f t="shared" si="3"/>
        <v>4.4494006627366521E-3</v>
      </c>
      <c r="P20">
        <v>16</v>
      </c>
    </row>
    <row r="21" spans="2:32" ht="17.149999999999999" x14ac:dyDescent="0.55000000000000004">
      <c r="B21" t="str">
        <f t="shared" si="2"/>
        <v>Portland</v>
      </c>
      <c r="C21" t="s">
        <v>575</v>
      </c>
      <c r="D21" cm="1">
        <f t="array" ref="D21">IFERROR(IF(D11="Chemical",(10^(INDEX(Antoines,MATCH(D10,Antoine_Name,0),2)-INDEX(Antoines,MATCH(D10,Antoine_Name,0),3)/(INDEX(Antoines,MATCH(D10,Antoine_Name,0),4)+(D16-32)*5/9)))*14.7/760,IF(D11="Crude Oil",EXP((2799/(D16+459.6)-2.227)*LOG10(INDEX(FX_Input,Q$5,D$3*$Z$5+$AA$5))-(7261/(D16+459.6))+12.82),IF(D11="Refined Petroleum Stock",EXP((0.7553-(413/(D16+459.6)))*(INDEX(FX_Input,Q$5,D$3*$Z$5+$AA$5-1)^0.5)*LOG10(INDEX(FX_Input,Q$5,D$3*$Z$5+$AA$5))-(1.854-(1042/(D16+459.6)))*(INDEX(FX_Input,Q$5,D$3*$Z$5+$AA$5-1)^0.5)+((2416/(D16+459.6)-2.013)*LOG10(INDEX(FX_Input,Q$5,D$3*$Z$5+$AA$5)))-(8742/(D16+459.6))+15.64),EXP(INDEX(Antoines,MATCH(D10,Antoine_Name,0),2)-INDEX(Antoines,MATCH(D10,Antoine_Name,0),3)/(D16+459.6))))),0)</f>
        <v>0</v>
      </c>
      <c r="E21" cm="1">
        <f t="array" ref="E21">IFERROR(IF(E11="Chemical",(10^(INDEX(Antoines,MATCH(E10,Antoine_Name,0),2)-INDEX(Antoines,MATCH(E10,Antoine_Name,0),3)/(INDEX(Antoines,MATCH(E10,Antoine_Name,0),4)+(E16-32)*5/9)))*14.7/760,IF(E11="Crude Oil",EXP((2799/(E16+459.6)-2.227)*LOG10(INDEX(FX_Input,R$5,E$3*$Z$5+$AA$5))-(7261/(E16+459.6))+12.82),IF(E11="Refined Petroleum Stock",EXP((0.7553-(413/(E16+459.6)))*(INDEX(FX_Input,R$5,E$3*$Z$5+$AA$5-1)^0.5)*LOG10(INDEX(FX_Input,R$5,E$3*$Z$5+$AA$5))-(1.854-(1042/(E16+459.6)))*(INDEX(FX_Input,R$5,E$3*$Z$5+$AA$5-1)^0.5)+((2416/(E16+459.6)-2.013)*LOG10(INDEX(FX_Input,R$5,E$3*$Z$5+$AA$5)))-(8742/(E16+459.6))+15.64),EXP(INDEX(Antoines,MATCH(E10,Antoine_Name,0),2)-INDEX(Antoines,MATCH(E10,Antoine_Name,0),3)/(E16+459.6))))),0)</f>
        <v>0</v>
      </c>
      <c r="F21" cm="1">
        <f t="array" ref="F21">IFERROR(IF(F11="Chemical",(10^(INDEX(Antoines,MATCH(F10,Antoine_Name,0),2)-INDEX(Antoines,MATCH(F10,Antoine_Name,0),3)/(INDEX(Antoines,MATCH(F10,Antoine_Name,0),4)+(F16-32)*5/9)))*14.7/760,IF(F11="Crude Oil",EXP((2799/(F16+459.6)-2.227)*LOG10(INDEX(FX_Input,S$5,F$3*$Z$5+$AA$5))-(7261/(F16+459.6))+12.82),IF(F11="Refined Petroleum Stock",EXP((0.7553-(413/(F16+459.6)))*(INDEX(FX_Input,S$5,F$3*$Z$5+$AA$5-1)^0.5)*LOG10(INDEX(FX_Input,S$5,F$3*$Z$5+$AA$5))-(1.854-(1042/(F16+459.6)))*(INDEX(FX_Input,S$5,F$3*$Z$5+$AA$5-1)^0.5)+((2416/(F16+459.6)-2.013)*LOG10(INDEX(FX_Input,S$5,F$3*$Z$5+$AA$5)))-(8742/(F16+459.6))+15.64),EXP(INDEX(Antoines,MATCH(F10,Antoine_Name,0),2)-INDEX(Antoines,MATCH(F10,Antoine_Name,0),3)/(F16+459.6))))),0)</f>
        <v>0</v>
      </c>
      <c r="G21" cm="1">
        <f t="array" ref="G21">IFERROR(IF(G11="Chemical",(10^(INDEX(Antoines,MATCH(G10,Antoine_Name,0),2)-INDEX(Antoines,MATCH(G10,Antoine_Name,0),3)/(INDEX(Antoines,MATCH(G10,Antoine_Name,0),4)+(G16-32)*5/9)))*14.7/760,IF(G11="Crude Oil",EXP((2799/(G16+459.6)-2.227)*LOG10(INDEX(FX_Input,T$5,G$3*$Z$5+$AA$5))-(7261/(G16+459.6))+12.82),IF(G11="Refined Petroleum Stock",EXP((0.7553-(413/(G16+459.6)))*(INDEX(FX_Input,T$5,G$3*$Z$5+$AA$5-1)^0.5)*LOG10(INDEX(FX_Input,T$5,G$3*$Z$5+$AA$5))-(1.854-(1042/(G16+459.6)))*(INDEX(FX_Input,T$5,G$3*$Z$5+$AA$5-1)^0.5)+((2416/(G16+459.6)-2.013)*LOG10(INDEX(FX_Input,T$5,G$3*$Z$5+$AA$5)))-(8742/(G16+459.6))+15.64),EXP(INDEX(Antoines,MATCH(G10,Antoine_Name,0),2)-INDEX(Antoines,MATCH(G10,Antoine_Name,0),3)/(G16+459.6))))),0)</f>
        <v>0</v>
      </c>
      <c r="H21" cm="1">
        <f t="array" ref="H21">IFERROR(IF(H11="Chemical",(10^(INDEX(Antoines,MATCH(H10,Antoine_Name,0),2)-INDEX(Antoines,MATCH(H10,Antoine_Name,0),3)/(INDEX(Antoines,MATCH(H10,Antoine_Name,0),4)+(H16-32)*5/9)))*14.7/760,IF(H11="Crude Oil",EXP((2799/(H16+459.6)-2.227)*LOG10(INDEX(FX_Input,U$5,H$3*$Z$5+$AA$5))-(7261/(H16+459.6))+12.82),IF(H11="Refined Petroleum Stock",EXP((0.7553-(413/(H16+459.6)))*(INDEX(FX_Input,U$5,H$3*$Z$5+$AA$5-1)^0.5)*LOG10(INDEX(FX_Input,U$5,H$3*$Z$5+$AA$5))-(1.854-(1042/(H16+459.6)))*(INDEX(FX_Input,U$5,H$3*$Z$5+$AA$5-1)^0.5)+((2416/(H16+459.6)-2.013)*LOG10(INDEX(FX_Input,U$5,H$3*$Z$5+$AA$5)))-(8742/(H16+459.6))+15.64),EXP(INDEX(Antoines,MATCH(H10,Antoine_Name,0),2)-INDEX(Antoines,MATCH(H10,Antoine_Name,0),3)/(H16+459.6))))),0)</f>
        <v>0</v>
      </c>
      <c r="I21" cm="1">
        <f t="array" ref="I21">IFERROR(IF(I11="Chemical",(10^(INDEX(Antoines,MATCH(I10,Antoine_Name,0),2)-INDEX(Antoines,MATCH(I10,Antoine_Name,0),3)/(INDEX(Antoines,MATCH(I10,Antoine_Name,0),4)+(I16-32)*5/9)))*14.7/760,IF(I11="Crude Oil",EXP((2799/(I16+459.6)-2.227)*LOG10(INDEX(FX_Input,V$5,I$3*$Z$5+$AA$5))-(7261/(I16+459.6))+12.82),IF(I11="Refined Petroleum Stock",EXP((0.7553-(413/(I16+459.6)))*(INDEX(FX_Input,V$5,I$3*$Z$5+$AA$5-1)^0.5)*LOG10(INDEX(FX_Input,V$5,I$3*$Z$5+$AA$5))-(1.854-(1042/(I16+459.6)))*(INDEX(FX_Input,V$5,I$3*$Z$5+$AA$5-1)^0.5)+((2416/(I16+459.6)-2.013)*LOG10(INDEX(FX_Input,V$5,I$3*$Z$5+$AA$5)))-(8742/(I16+459.6))+15.64),EXP(INDEX(Antoines,MATCH(I10,Antoine_Name,0),2)-INDEX(Antoines,MATCH(I10,Antoine_Name,0),3)/(I16+459.6))))),0)</f>
        <v>0</v>
      </c>
      <c r="J21" cm="1">
        <f t="array" ref="J21">IFERROR(IF(J11="Chemical",(10^(INDEX(Antoines,MATCH(J10,Antoine_Name,0),2)-INDEX(Antoines,MATCH(J10,Antoine_Name,0),3)/(INDEX(Antoines,MATCH(J10,Antoine_Name,0),4)+(J16-32)*5/9)))*14.7/760,IF(J11="Crude Oil",EXP((2799/(J16+459.6)-2.227)*LOG10(INDEX(FX_Input,W$5,J$3*$Z$5+$AA$5))-(7261/(J16+459.6))+12.82),IF(J11="Refined Petroleum Stock",EXP((0.7553-(413/(J16+459.6)))*(INDEX(FX_Input,W$5,J$3*$Z$5+$AA$5-1)^0.5)*LOG10(INDEX(FX_Input,W$5,J$3*$Z$5+$AA$5))-(1.854-(1042/(J16+459.6)))*(INDEX(FX_Input,W$5,J$3*$Z$5+$AA$5-1)^0.5)+((2416/(J16+459.6)-2.013)*LOG10(INDEX(FX_Input,W$5,J$3*$Z$5+$AA$5)))-(8742/(J16+459.6))+15.64),EXP(INDEX(Antoines,MATCH(J10,Antoine_Name,0),2)-INDEX(Antoines,MATCH(J10,Antoine_Name,0),3)/(J16+459.6))))),0)</f>
        <v>0</v>
      </c>
      <c r="K21" cm="1">
        <f t="array" ref="K21">IFERROR(IF(K11="Chemical",(10^(INDEX(Antoines,MATCH(K10,Antoine_Name,0),2)-INDEX(Antoines,MATCH(K10,Antoine_Name,0),3)/(INDEX(Antoines,MATCH(K10,Antoine_Name,0),4)+(K16-32)*5/9)))*14.7/760,IF(K11="Crude Oil",EXP((2799/(K16+459.6)-2.227)*LOG10(INDEX(FX_Input,X$5,K$3*$Z$5+$AA$5))-(7261/(K16+459.6))+12.82),IF(K11="Refined Petroleum Stock",EXP((0.7553-(413/(K16+459.6)))*(INDEX(FX_Input,X$5,K$3*$Z$5+$AA$5-1)^0.5)*LOG10(INDEX(FX_Input,X$5,K$3*$Z$5+$AA$5))-(1.854-(1042/(K16+459.6)))*(INDEX(FX_Input,X$5,K$3*$Z$5+$AA$5-1)^0.5)+((2416/(K16+459.6)-2.013)*LOG10(INDEX(FX_Input,X$5,K$3*$Z$5+$AA$5)))-(8742/(K16+459.6))+15.64),EXP(INDEX(Antoines,MATCH(K10,Antoine_Name,0),2)-INDEX(Antoines,MATCH(K10,Antoine_Name,0),3)/(K16+459.6))))),0)</f>
        <v>0</v>
      </c>
      <c r="L21" cm="1">
        <f t="array" ref="L21">IFERROR(IF(L11="Chemical",(10^(INDEX(Antoines,MATCH(L10,Antoine_Name,0),2)-INDEX(Antoines,MATCH(L10,Antoine_Name,0),3)/(INDEX(Antoines,MATCH(L10,Antoine_Name,0),4)+(L16-32)*5/9)))*14.7/760,IF(L11="Crude Oil",EXP((2799/(L16+459.6)-2.227)*LOG10(INDEX(FX_Input,Y$5,L$3*$Z$5+$AA$5))-(7261/(L16+459.6))+12.82),IF(L11="Refined Petroleum Stock",EXP((0.7553-(413/(L16+459.6)))*(INDEX(FX_Input,Y$5,L$3*$Z$5+$AA$5-1)^0.5)*LOG10(INDEX(FX_Input,Y$5,L$3*$Z$5+$AA$5))-(1.854-(1042/(L16+459.6)))*(INDEX(FX_Input,Y$5,L$3*$Z$5+$AA$5-1)^0.5)+((2416/(L16+459.6)-2.013)*LOG10(INDEX(FX_Input,Y$5,L$3*$Z$5+$AA$5)))-(8742/(L16+459.6))+15.64),EXP(INDEX(Antoines,MATCH(L10,Antoine_Name,0),2)-INDEX(Antoines,MATCH(L10,Antoine_Name,0),3)/(L16+459.6))))),0)</f>
        <v>0</v>
      </c>
      <c r="M21" cm="1">
        <f t="array" ref="M21">IFERROR(IF(M11="Chemical",(10^(INDEX(Antoines,MATCH(M10,Antoine_Name,0),2)-INDEX(Antoines,MATCH(M10,Antoine_Name,0),3)/(INDEX(Antoines,MATCH(M10,Antoine_Name,0),4)+(M16-32)*5/9)))*14.7/760,IF(M11="Crude Oil",EXP((2799/(M16+459.6)-2.227)*LOG10(INDEX(FX_Input,Z$5,M$3*$Z$5+$AA$5))-(7261/(M16+459.6))+12.82),IF(M11="Refined Petroleum Stock",EXP((0.7553-(413/(M16+459.6)))*(INDEX(FX_Input,Z$5,M$3*$Z$5+$AA$5-1)^0.5)*LOG10(INDEX(FX_Input,Z$5,M$3*$Z$5+$AA$5))-(1.854-(1042/(M16+459.6)))*(INDEX(FX_Input,Z$5,M$3*$Z$5+$AA$5-1)^0.5)+((2416/(M16+459.6)-2.013)*LOG10(INDEX(FX_Input,Z$5,M$3*$Z$5+$AA$5)))-(8742/(M16+459.6))+15.64),EXP(INDEX(Antoines,MATCH(M10,Antoine_Name,0),2)-INDEX(Antoines,MATCH(M10,Antoine_Name,0),3)/(M16+459.6))))),0)</f>
        <v>0</v>
      </c>
      <c r="N21" cm="1">
        <f t="array" ref="N21">IFERROR(IF(N11="Chemical",(10^(INDEX(Antoines,MATCH(N10,Antoine_Name,0),2)-INDEX(Antoines,MATCH(N10,Antoine_Name,0),3)/(INDEX(Antoines,MATCH(N10,Antoine_Name,0),4)+(N16-32)*5/9)))*14.7/760,IF(N11="Crude Oil",EXP((2799/(N16+459.6)-2.227)*LOG10(INDEX(FX_Input,AA$5,N$3*$Z$5+$AA$5))-(7261/(N16+459.6))+12.82),IF(N11="Refined Petroleum Stock",EXP((0.7553-(413/(N16+459.6)))*(INDEX(FX_Input,AA$5,N$3*$Z$5+$AA$5-1)^0.5)*LOG10(INDEX(FX_Input,AA$5,N$3*$Z$5+$AA$5))-(1.854-(1042/(N16+459.6)))*(INDEX(FX_Input,AA$5,N$3*$Z$5+$AA$5-1)^0.5)+((2416/(N16+459.6)-2.013)*LOG10(INDEX(FX_Input,AA$5,N$3*$Z$5+$AA$5)))-(8742/(N16+459.6))+15.64),EXP(INDEX(Antoines,MATCH(N10,Antoine_Name,0),2)-INDEX(Antoines,MATCH(N10,Antoine_Name,0),3)/(N16+459.6))))),0)</f>
        <v>0</v>
      </c>
      <c r="O21" cm="1">
        <f t="array" ref="O21">IFERROR(IF(O11="Chemical",(10^(INDEX(Antoines,MATCH(O10,Antoine_Name,0),2)-INDEX(Antoines,MATCH(O10,Antoine_Name,0),3)/(INDEX(Antoines,MATCH(O10,Antoine_Name,0),4)+(O16-32)*5/9)))*14.7/760,IF(O11="Crude Oil",EXP((2799/(O16+459.6)-2.227)*LOG10(INDEX(FX_Input,AB$5,O$3*$Z$5+$AA$5))-(7261/(O16+459.6))+12.82),IF(O11="Refined Petroleum Stock",EXP((0.7553-(413/(O16+459.6)))*(INDEX(FX_Input,AB$5,O$3*$Z$5+$AA$5-1)^0.5)*LOG10(INDEX(FX_Input,AB$5,O$3*$Z$5+$AA$5))-(1.854-(1042/(O16+459.6)))*(INDEX(FX_Input,AB$5,O$3*$Z$5+$AA$5-1)^0.5)+((2416/(O16+459.6)-2.013)*LOG10(INDEX(FX_Input,AB$5,O$3*$Z$5+$AA$5)))-(8742/(O16+459.6))+15.64),EXP(INDEX(Antoines,MATCH(O10,Antoine_Name,0),2)-INDEX(Antoines,MATCH(O10,Antoine_Name,0),3)/(O16+459.6))))),0)</f>
        <v>0</v>
      </c>
      <c r="P21">
        <v>17</v>
      </c>
    </row>
    <row r="22" spans="2:32" ht="17.149999999999999" x14ac:dyDescent="0.55000000000000004">
      <c r="B22" t="str">
        <f t="shared" si="2"/>
        <v>Portland</v>
      </c>
      <c r="C22" t="s">
        <v>577</v>
      </c>
      <c r="D22">
        <f>D21*D14</f>
        <v>0</v>
      </c>
      <c r="E22">
        <f t="shared" ref="E22:O22" si="4">E21*E14</f>
        <v>0</v>
      </c>
      <c r="F22">
        <f t="shared" si="4"/>
        <v>0</v>
      </c>
      <c r="G22">
        <f t="shared" si="4"/>
        <v>0</v>
      </c>
      <c r="H22">
        <f t="shared" si="4"/>
        <v>0</v>
      </c>
      <c r="I22">
        <f t="shared" si="4"/>
        <v>0</v>
      </c>
      <c r="J22">
        <f t="shared" si="4"/>
        <v>0</v>
      </c>
      <c r="K22">
        <f t="shared" si="4"/>
        <v>0</v>
      </c>
      <c r="L22">
        <f t="shared" si="4"/>
        <v>0</v>
      </c>
      <c r="M22">
        <f t="shared" si="4"/>
        <v>0</v>
      </c>
      <c r="N22">
        <f t="shared" si="4"/>
        <v>0</v>
      </c>
      <c r="O22">
        <f t="shared" si="4"/>
        <v>0</v>
      </c>
      <c r="P22">
        <v>18</v>
      </c>
    </row>
    <row r="23" spans="2:32" ht="17.149999999999999" x14ac:dyDescent="0.55000000000000004">
      <c r="B23" t="str">
        <f t="shared" si="2"/>
        <v>Portland</v>
      </c>
      <c r="C23" t="s">
        <v>578</v>
      </c>
      <c r="D23">
        <f>D22+D20</f>
        <v>4.4953541371678231E-3</v>
      </c>
      <c r="E23">
        <f t="shared" ref="E23:O23" si="5">E22+E20</f>
        <v>4.6043729465544726E-3</v>
      </c>
      <c r="F23">
        <f t="shared" si="5"/>
        <v>4.9179969260705328E-3</v>
      </c>
      <c r="G23">
        <f t="shared" si="5"/>
        <v>5.479042667267656E-3</v>
      </c>
      <c r="H23">
        <f t="shared" si="5"/>
        <v>6.5169685513364909E-3</v>
      </c>
      <c r="I23">
        <f t="shared" si="5"/>
        <v>7.486267526260572E-3</v>
      </c>
      <c r="J23">
        <f t="shared" si="5"/>
        <v>8.4364538110447557E-3</v>
      </c>
      <c r="K23">
        <f t="shared" si="5"/>
        <v>8.4094446398714287E-3</v>
      </c>
      <c r="L23">
        <f t="shared" si="5"/>
        <v>7.5207138884047006E-3</v>
      </c>
      <c r="M23">
        <f t="shared" si="5"/>
        <v>6.0548274008136857E-3</v>
      </c>
      <c r="N23">
        <f t="shared" si="5"/>
        <v>4.9828816635194605E-3</v>
      </c>
      <c r="O23">
        <f t="shared" si="5"/>
        <v>4.4494006627366521E-3</v>
      </c>
      <c r="P23">
        <v>19</v>
      </c>
    </row>
    <row r="24" spans="2:32" ht="17.149999999999999" x14ac:dyDescent="0.55000000000000004">
      <c r="B24" t="str">
        <f t="shared" si="2"/>
        <v>Portland</v>
      </c>
      <c r="C24" t="s">
        <v>579</v>
      </c>
      <c r="D24" cm="1">
        <f t="array" ref="D24">IFERROR(IF(D9="Chemical",(10^(INDEX(Antoines,MATCH(D8,Antoine_Name,0),2)-INDEX(Antoines,MATCH(D8,Antoine_Name,0),3)/(INDEX(Antoines,MATCH(D8,Antoine_Name,0),4)+(D17-32)*5/9)))*14.7/760,IF(D9="Crude Oil",EXP((2799/(D17+459.6)-2.227)*LOG10(INDEX(FX_Input,Q$5,D$3*$Z$5+$AA$5))-(7261/(D17+459.6))+12.82),IF(D9="Refined Petroleum Stock",EXP((0.7553-(413/(D17+459.6)))*(INDEX(FX_Input,Q$5,D$3*$Z$5+$AA$5-1)^0.5)*LOG10(INDEX(FX_Input,Q$5,D$3*$Z$5+$AA$5))-(1.854-(1042/(D17+459.6)))*(INDEX(FX_Input,Q$5,D$3*$Z$5+$AA$5-1)^0.5)+((2416/(D17+459.6)-2.013)*LOG10(INDEX(FX_Input,Q$5,D$3*$Z$5+$AA$5)))-(8742/(D17+459.6))+15.64),EXP(INDEX(Antoines,MATCH(D8,Antoine_Name,0),2)-INDEX(Antoines,MATCH(D8,Antoine_Name,0),3)/(D17+459.6))))),0)</f>
        <v>5.2033036727344552E-3</v>
      </c>
      <c r="E24" cm="1">
        <f t="array" ref="E24">IFERROR(IF(E9="Chemical",(10^(INDEX(Antoines,MATCH(E8,Antoine_Name,0),2)-INDEX(Antoines,MATCH(E8,Antoine_Name,0),3)/(INDEX(Antoines,MATCH(E8,Antoine_Name,0),4)+(E17-32)*5/9)))*14.7/760,IF(E9="Crude Oil",EXP((2799/(E17+459.6)-2.227)*LOG10(INDEX(FX_Input,R$5,E$3*$Z$5+$AA$5))-(7261/(E17+459.6))+12.82),IF(E9="Refined Petroleum Stock",EXP((0.7553-(413/(E17+459.6)))*(INDEX(FX_Input,R$5,E$3*$Z$5+$AA$5-1)^0.5)*LOG10(INDEX(FX_Input,R$5,E$3*$Z$5+$AA$5))-(1.854-(1042/(E17+459.6)))*(INDEX(FX_Input,R$5,E$3*$Z$5+$AA$5-1)^0.5)+((2416/(E17+459.6)-2.013)*LOG10(INDEX(FX_Input,R$5,E$3*$Z$5+$AA$5)))-(8742/(E17+459.6))+15.64),EXP(INDEX(Antoines,MATCH(E8,Antoine_Name,0),2)-INDEX(Antoines,MATCH(E8,Antoine_Name,0),3)/(E17+459.6))))),0)</f>
        <v>5.5385065183370758E-3</v>
      </c>
      <c r="F24" cm="1">
        <f t="array" ref="F24">IFERROR(IF(F9="Chemical",(10^(INDEX(Antoines,MATCH(F8,Antoine_Name,0),2)-INDEX(Antoines,MATCH(F8,Antoine_Name,0),3)/(INDEX(Antoines,MATCH(F8,Antoine_Name,0),4)+(F17-32)*5/9)))*14.7/760,IF(F9="Crude Oil",EXP((2799/(F17+459.6)-2.227)*LOG10(INDEX(FX_Input,S$5,F$3*$Z$5+$AA$5))-(7261/(F17+459.6))+12.82),IF(F9="Refined Petroleum Stock",EXP((0.7553-(413/(F17+459.6)))*(INDEX(FX_Input,S$5,F$3*$Z$5+$AA$5-1)^0.5)*LOG10(INDEX(FX_Input,S$5,F$3*$Z$5+$AA$5))-(1.854-(1042/(F17+459.6)))*(INDEX(FX_Input,S$5,F$3*$Z$5+$AA$5-1)^0.5)+((2416/(F17+459.6)-2.013)*LOG10(INDEX(FX_Input,S$5,F$3*$Z$5+$AA$5)))-(8742/(F17+459.6))+15.64),EXP(INDEX(Antoines,MATCH(F8,Antoine_Name,0),2)-INDEX(Antoines,MATCH(F8,Antoine_Name,0),3)/(F17+459.6))))),0)</f>
        <v>5.9077167859673575E-3</v>
      </c>
      <c r="G24" cm="1">
        <f t="array" ref="G24">IFERROR(IF(G9="Chemical",(10^(INDEX(Antoines,MATCH(G8,Antoine_Name,0),2)-INDEX(Antoines,MATCH(G8,Antoine_Name,0),3)/(INDEX(Antoines,MATCH(G8,Antoine_Name,0),4)+(G17-32)*5/9)))*14.7/760,IF(G9="Crude Oil",EXP((2799/(G17+459.6)-2.227)*LOG10(INDEX(FX_Input,T$5,G$3*$Z$5+$AA$5))-(7261/(G17+459.6))+12.82),IF(G9="Refined Petroleum Stock",EXP((0.7553-(413/(G17+459.6)))*(INDEX(FX_Input,T$5,G$3*$Z$5+$AA$5-1)^0.5)*LOG10(INDEX(FX_Input,T$5,G$3*$Z$5+$AA$5))-(1.854-(1042/(G17+459.6)))*(INDEX(FX_Input,T$5,G$3*$Z$5+$AA$5-1)^0.5)+((2416/(G17+459.6)-2.013)*LOG10(INDEX(FX_Input,T$5,G$3*$Z$5+$AA$5)))-(8742/(G17+459.6))+15.64),EXP(INDEX(Antoines,MATCH(G8,Antoine_Name,0),2)-INDEX(Antoines,MATCH(G8,Antoine_Name,0),3)/(G17+459.6))))),0)</f>
        <v>6.5849388112918178E-3</v>
      </c>
      <c r="H24" cm="1">
        <f t="array" ref="H24">IFERROR(IF(H9="Chemical",(10^(INDEX(Antoines,MATCH(H8,Antoine_Name,0),2)-INDEX(Antoines,MATCH(H8,Antoine_Name,0),3)/(INDEX(Antoines,MATCH(H8,Antoine_Name,0),4)+(H17-32)*5/9)))*14.7/760,IF(H9="Crude Oil",EXP((2799/(H17+459.6)-2.227)*LOG10(INDEX(FX_Input,U$5,H$3*$Z$5+$AA$5))-(7261/(H17+459.6))+12.82),IF(H9="Refined Petroleum Stock",EXP((0.7553-(413/(H17+459.6)))*(INDEX(FX_Input,U$5,H$3*$Z$5+$AA$5-1)^0.5)*LOG10(INDEX(FX_Input,U$5,H$3*$Z$5+$AA$5))-(1.854-(1042/(H17+459.6)))*(INDEX(FX_Input,U$5,H$3*$Z$5+$AA$5-1)^0.5)+((2416/(H17+459.6)-2.013)*LOG10(INDEX(FX_Input,U$5,H$3*$Z$5+$AA$5)))-(8742/(H17+459.6))+15.64),EXP(INDEX(Antoines,MATCH(H8,Antoine_Name,0),2)-INDEX(Antoines,MATCH(H8,Antoine_Name,0),3)/(H17+459.6))))),0)</f>
        <v>7.7939195379121001E-3</v>
      </c>
      <c r="I24" cm="1">
        <f t="array" ref="I24">IFERROR(IF(I9="Chemical",(10^(INDEX(Antoines,MATCH(I8,Antoine_Name,0),2)-INDEX(Antoines,MATCH(I8,Antoine_Name,0),3)/(INDEX(Antoines,MATCH(I8,Antoine_Name,0),4)+(I17-32)*5/9)))*14.7/760,IF(I9="Crude Oil",EXP((2799/(I17+459.6)-2.227)*LOG10(INDEX(FX_Input,V$5,I$3*$Z$5+$AA$5))-(7261/(I17+459.6))+12.82),IF(I9="Refined Petroleum Stock",EXP((0.7553-(413/(I17+459.6)))*(INDEX(FX_Input,V$5,I$3*$Z$5+$AA$5-1)^0.5)*LOG10(INDEX(FX_Input,V$5,I$3*$Z$5+$AA$5))-(1.854-(1042/(I17+459.6)))*(INDEX(FX_Input,V$5,I$3*$Z$5+$AA$5-1)^0.5)+((2416/(I17+459.6)-2.013)*LOG10(INDEX(FX_Input,V$5,I$3*$Z$5+$AA$5)))-(8742/(I17+459.6))+15.64),EXP(INDEX(Antoines,MATCH(I8,Antoine_Name,0),2)-INDEX(Antoines,MATCH(I8,Antoine_Name,0),3)/(I17+459.6))))),0)</f>
        <v>8.8347329003026723E-3</v>
      </c>
      <c r="J24" cm="1">
        <f t="array" ref="J24">IFERROR(IF(J9="Chemical",(10^(INDEX(Antoines,MATCH(J8,Antoine_Name,0),2)-INDEX(Antoines,MATCH(J8,Antoine_Name,0),3)/(INDEX(Antoines,MATCH(J8,Antoine_Name,0),4)+(J17-32)*5/9)))*14.7/760,IF(J9="Crude Oil",EXP((2799/(J17+459.6)-2.227)*LOG10(INDEX(FX_Input,W$5,J$3*$Z$5+$AA$5))-(7261/(J17+459.6))+12.82),IF(J9="Refined Petroleum Stock",EXP((0.7553-(413/(J17+459.6)))*(INDEX(FX_Input,W$5,J$3*$Z$5+$AA$5-1)^0.5)*LOG10(INDEX(FX_Input,W$5,J$3*$Z$5+$AA$5))-(1.854-(1042/(J17+459.6)))*(INDEX(FX_Input,W$5,J$3*$Z$5+$AA$5-1)^0.5)+((2416/(J17+459.6)-2.013)*LOG10(INDEX(FX_Input,W$5,J$3*$Z$5+$AA$5)))-(8742/(J17+459.6))+15.64),EXP(INDEX(Antoines,MATCH(J8,Antoine_Name,0),2)-INDEX(Antoines,MATCH(J8,Antoine_Name,0),3)/(J17+459.6))))),0)</f>
        <v>9.9592296270275289E-3</v>
      </c>
      <c r="K24" cm="1">
        <f t="array" ref="K24">IFERROR(IF(K9="Chemical",(10^(INDEX(Antoines,MATCH(K8,Antoine_Name,0),2)-INDEX(Antoines,MATCH(K8,Antoine_Name,0),3)/(INDEX(Antoines,MATCH(K8,Antoine_Name,0),4)+(K17-32)*5/9)))*14.7/760,IF(K9="Crude Oil",EXP((2799/(K17+459.6)-2.227)*LOG10(INDEX(FX_Input,X$5,K$3*$Z$5+$AA$5))-(7261/(K17+459.6))+12.82),IF(K9="Refined Petroleum Stock",EXP((0.7553-(413/(K17+459.6)))*(INDEX(FX_Input,X$5,K$3*$Z$5+$AA$5-1)^0.5)*LOG10(INDEX(FX_Input,X$5,K$3*$Z$5+$AA$5))-(1.854-(1042/(K17+459.6)))*(INDEX(FX_Input,X$5,K$3*$Z$5+$AA$5-1)^0.5)+((2416/(K17+459.6)-2.013)*LOG10(INDEX(FX_Input,X$5,K$3*$Z$5+$AA$5)))-(8742/(K17+459.6))+15.64),EXP(INDEX(Antoines,MATCH(K8,Antoine_Name,0),2)-INDEX(Antoines,MATCH(K8,Antoine_Name,0),3)/(K17+459.6))))),0)</f>
        <v>1.0044214742690162E-2</v>
      </c>
      <c r="L24" cm="1">
        <f t="array" ref="L24">IFERROR(IF(L9="Chemical",(10^(INDEX(Antoines,MATCH(L8,Antoine_Name,0),2)-INDEX(Antoines,MATCH(L8,Antoine_Name,0),3)/(INDEX(Antoines,MATCH(L8,Antoine_Name,0),4)+(L17-32)*5/9)))*14.7/760,IF(L9="Crude Oil",EXP((2799/(L17+459.6)-2.227)*LOG10(INDEX(FX_Input,Y$5,L$3*$Z$5+$AA$5))-(7261/(L17+459.6))+12.82),IF(L9="Refined Petroleum Stock",EXP((0.7553-(413/(L17+459.6)))*(INDEX(FX_Input,Y$5,L$3*$Z$5+$AA$5-1)^0.5)*LOG10(INDEX(FX_Input,Y$5,L$3*$Z$5+$AA$5))-(1.854-(1042/(L17+459.6)))*(INDEX(FX_Input,Y$5,L$3*$Z$5+$AA$5-1)^0.5)+((2416/(L17+459.6)-2.013)*LOG10(INDEX(FX_Input,Y$5,L$3*$Z$5+$AA$5)))-(8742/(L17+459.6))+15.64),EXP(INDEX(Antoines,MATCH(L8,Antoine_Name,0),2)-INDEX(Antoines,MATCH(L8,Antoine_Name,0),3)/(L17+459.6))))),0)</f>
        <v>9.3389439263883208E-3</v>
      </c>
      <c r="M24" cm="1">
        <f t="array" ref="M24">IFERROR(IF(M9="Chemical",(10^(INDEX(Antoines,MATCH(M8,Antoine_Name,0),2)-INDEX(Antoines,MATCH(M8,Antoine_Name,0),3)/(INDEX(Antoines,MATCH(M8,Antoine_Name,0),4)+(M17-32)*5/9)))*14.7/760,IF(M9="Crude Oil",EXP((2799/(M17+459.6)-2.227)*LOG10(INDEX(FX_Input,Z$5,M$3*$Z$5+$AA$5))-(7261/(M17+459.6))+12.82),IF(M9="Refined Petroleum Stock",EXP((0.7553-(413/(M17+459.6)))*(INDEX(FX_Input,Z$5,M$3*$Z$5+$AA$5-1)^0.5)*LOG10(INDEX(FX_Input,Z$5,M$3*$Z$5+$AA$5))-(1.854-(1042/(M17+459.6)))*(INDEX(FX_Input,Z$5,M$3*$Z$5+$AA$5-1)^0.5)+((2416/(M17+459.6)-2.013)*LOG10(INDEX(FX_Input,Z$5,M$3*$Z$5+$AA$5)))-(8742/(M17+459.6))+15.64),EXP(INDEX(Antoines,MATCH(M8,Antoine_Name,0),2)-INDEX(Antoines,MATCH(M8,Antoine_Name,0),3)/(M17+459.6))))),0)</f>
        <v>7.3896033166885589E-3</v>
      </c>
      <c r="N24" cm="1">
        <f t="array" ref="N24">IFERROR(IF(N9="Chemical",(10^(INDEX(Antoines,MATCH(N8,Antoine_Name,0),2)-INDEX(Antoines,MATCH(N8,Antoine_Name,0),3)/(INDEX(Antoines,MATCH(N8,Antoine_Name,0),4)+(N17-32)*5/9)))*14.7/760,IF(N9="Crude Oil",EXP((2799/(N17+459.6)-2.227)*LOG10(INDEX(FX_Input,AA$5,N$3*$Z$5+$AA$5))-(7261/(N17+459.6))+12.82),IF(N9="Refined Petroleum Stock",EXP((0.7553-(413/(N17+459.6)))*(INDEX(FX_Input,AA$5,N$3*$Z$5+$AA$5-1)^0.5)*LOG10(INDEX(FX_Input,AA$5,N$3*$Z$5+$AA$5))-(1.854-(1042/(N17+459.6)))*(INDEX(FX_Input,AA$5,N$3*$Z$5+$AA$5-1)^0.5)+((2416/(N17+459.6)-2.013)*LOG10(INDEX(FX_Input,AA$5,N$3*$Z$5+$AA$5)))-(8742/(N17+459.6))+15.64),EXP(INDEX(Antoines,MATCH(N8,Antoine_Name,0),2)-INDEX(Antoines,MATCH(N8,Antoine_Name,0),3)/(N17+459.6))))),0)</f>
        <v>5.902399466128503E-3</v>
      </c>
      <c r="O24" cm="1">
        <f t="array" ref="O24">IFERROR(IF(O9="Chemical",(10^(INDEX(Antoines,MATCH(O8,Antoine_Name,0),2)-INDEX(Antoines,MATCH(O8,Antoine_Name,0),3)/(INDEX(Antoines,MATCH(O8,Antoine_Name,0),4)+(O17-32)*5/9)))*14.7/760,IF(O9="Crude Oil",EXP((2799/(O17+459.6)-2.227)*LOG10(INDEX(FX_Input,AB$5,O$3*$Z$5+$AA$5))-(7261/(O17+459.6))+12.82),IF(O9="Refined Petroleum Stock",EXP((0.7553-(413/(O17+459.6)))*(INDEX(FX_Input,AB$5,O$3*$Z$5+$AA$5-1)^0.5)*LOG10(INDEX(FX_Input,AB$5,O$3*$Z$5+$AA$5))-(1.854-(1042/(O17+459.6)))*(INDEX(FX_Input,AB$5,O$3*$Z$5+$AA$5-1)^0.5)+((2416/(O17+459.6)-2.013)*LOG10(INDEX(FX_Input,AB$5,O$3*$Z$5+$AA$5)))-(8742/(O17+459.6))+15.64),EXP(INDEX(Antoines,MATCH(O8,Antoine_Name,0),2)-INDEX(Antoines,MATCH(O8,Antoine_Name,0),3)/(O17+459.6))))),0)</f>
        <v>5.1222820261006847E-3</v>
      </c>
      <c r="P24">
        <v>20</v>
      </c>
    </row>
    <row r="25" spans="2:32" ht="17.149999999999999" x14ac:dyDescent="0.55000000000000004">
      <c r="B25" t="str">
        <f t="shared" si="2"/>
        <v>Portland</v>
      </c>
      <c r="C25" t="s">
        <v>580</v>
      </c>
      <c r="D25">
        <f>D24*D12</f>
        <v>5.2033036727344552E-3</v>
      </c>
      <c r="E25">
        <f t="shared" ref="E25:O25" si="6">E24*E12</f>
        <v>5.5385065183370758E-3</v>
      </c>
      <c r="F25">
        <f t="shared" si="6"/>
        <v>5.9077167859673575E-3</v>
      </c>
      <c r="G25">
        <f t="shared" si="6"/>
        <v>6.5849388112918178E-3</v>
      </c>
      <c r="H25">
        <f t="shared" si="6"/>
        <v>7.7939195379121001E-3</v>
      </c>
      <c r="I25">
        <f t="shared" si="6"/>
        <v>8.8347329003026723E-3</v>
      </c>
      <c r="J25">
        <f t="shared" si="6"/>
        <v>9.9592296270275289E-3</v>
      </c>
      <c r="K25">
        <f t="shared" si="6"/>
        <v>1.0044214742690162E-2</v>
      </c>
      <c r="L25">
        <f t="shared" si="6"/>
        <v>9.3389439263883208E-3</v>
      </c>
      <c r="M25">
        <f t="shared" si="6"/>
        <v>7.3896033166885589E-3</v>
      </c>
      <c r="N25">
        <f t="shared" si="6"/>
        <v>5.902399466128503E-3</v>
      </c>
      <c r="O25">
        <f t="shared" si="6"/>
        <v>5.1222820261006847E-3</v>
      </c>
      <c r="P25">
        <v>21</v>
      </c>
    </row>
    <row r="26" spans="2:32" ht="17.149999999999999" x14ac:dyDescent="0.55000000000000004">
      <c r="B26" t="str">
        <f t="shared" si="2"/>
        <v>Portland</v>
      </c>
      <c r="C26" t="s">
        <v>581</v>
      </c>
      <c r="D26" cm="1">
        <f t="array" ref="D26">IFERROR(IF(D11="Chemical",(10^(INDEX(Antoines,MATCH(D10,Antoine_Name,0),2)-INDEX(Antoines,MATCH(D10,Antoine_Name,0),3)/(INDEX(Antoines,MATCH(D10,Antoine_Name,0),4)+(D17-32)*5/9)))*14.7/760,IF(D11="Crude Oil",EXP((2799/(D17+459.6)-2.227)*LOG10(INDEX(FX_Input,Q$5,D$3*$Z$5+$AA$5))-(7261/(D17+459.6))+12.82),IF(D11="Refined Petroleum Stock",EXP((0.7553-(413/(D17+459.6)))*(INDEX(FX_Input,Q$5,D$3*$Z$5+$AA$5-1)^0.5)*LOG10(INDEX(FX_Input,Q$5,D$3*$Z$5+$AA$5))-(1.854-(1042/(D17+459.6)))*(INDEX(FX_Input,Q$5,D$3*$Z$5+$AA$5-1)^0.5)+((2416/(D17+459.6)-2.013)*LOG10(INDEX(FX_Input,Q$5,D$3*$Z$5+$AA$5)))-(8742/(D17+459.6))+15.64),EXP(INDEX(Antoines,MATCH(D10,Antoine_Name,0),2)-INDEX(Antoines,MATCH(D10,Antoine_Name,0),3)/(D17+459.6))))),0)</f>
        <v>0</v>
      </c>
      <c r="E26" cm="1">
        <f t="array" ref="E26">IFERROR(IF(E11="Chemical",(10^(INDEX(Antoines,MATCH(E10,Antoine_Name,0),2)-INDEX(Antoines,MATCH(E10,Antoine_Name,0),3)/(INDEX(Antoines,MATCH(E10,Antoine_Name,0),4)+(E17-32)*5/9)))*14.7/760,IF(E11="Crude Oil",EXP((2799/(E17+459.6)-2.227)*LOG10(INDEX(FX_Input,R$5,E$3*$Z$5+$AA$5))-(7261/(E17+459.6))+12.82),IF(E11="Refined Petroleum Stock",EXP((0.7553-(413/(E17+459.6)))*(INDEX(FX_Input,R$5,E$3*$Z$5+$AA$5-1)^0.5)*LOG10(INDEX(FX_Input,R$5,E$3*$Z$5+$AA$5))-(1.854-(1042/(E17+459.6)))*(INDEX(FX_Input,R$5,E$3*$Z$5+$AA$5-1)^0.5)+((2416/(E17+459.6)-2.013)*LOG10(INDEX(FX_Input,R$5,E$3*$Z$5+$AA$5)))-(8742/(E17+459.6))+15.64),EXP(INDEX(Antoines,MATCH(E10,Antoine_Name,0),2)-INDEX(Antoines,MATCH(E10,Antoine_Name,0),3)/(E17+459.6))))),0)</f>
        <v>0</v>
      </c>
      <c r="F26" cm="1">
        <f t="array" ref="F26">IFERROR(IF(F11="Chemical",(10^(INDEX(Antoines,MATCH(F10,Antoine_Name,0),2)-INDEX(Antoines,MATCH(F10,Antoine_Name,0),3)/(INDEX(Antoines,MATCH(F10,Antoine_Name,0),4)+(F17-32)*5/9)))*14.7/760,IF(F11="Crude Oil",EXP((2799/(F17+459.6)-2.227)*LOG10(INDEX(FX_Input,S$5,F$3*$Z$5+$AA$5))-(7261/(F17+459.6))+12.82),IF(F11="Refined Petroleum Stock",EXP((0.7553-(413/(F17+459.6)))*(INDEX(FX_Input,S$5,F$3*$Z$5+$AA$5-1)^0.5)*LOG10(INDEX(FX_Input,S$5,F$3*$Z$5+$AA$5))-(1.854-(1042/(F17+459.6)))*(INDEX(FX_Input,S$5,F$3*$Z$5+$AA$5-1)^0.5)+((2416/(F17+459.6)-2.013)*LOG10(INDEX(FX_Input,S$5,F$3*$Z$5+$AA$5)))-(8742/(F17+459.6))+15.64),EXP(INDEX(Antoines,MATCH(F10,Antoine_Name,0),2)-INDEX(Antoines,MATCH(F10,Antoine_Name,0),3)/(F17+459.6))))),0)</f>
        <v>0</v>
      </c>
      <c r="G26" cm="1">
        <f t="array" ref="G26">IFERROR(IF(G11="Chemical",(10^(INDEX(Antoines,MATCH(G10,Antoine_Name,0),2)-INDEX(Antoines,MATCH(G10,Antoine_Name,0),3)/(INDEX(Antoines,MATCH(G10,Antoine_Name,0),4)+(G17-32)*5/9)))*14.7/760,IF(G11="Crude Oil",EXP((2799/(G17+459.6)-2.227)*LOG10(INDEX(FX_Input,T$5,G$3*$Z$5+$AA$5))-(7261/(G17+459.6))+12.82),IF(G11="Refined Petroleum Stock",EXP((0.7553-(413/(G17+459.6)))*(INDEX(FX_Input,T$5,G$3*$Z$5+$AA$5-1)^0.5)*LOG10(INDEX(FX_Input,T$5,G$3*$Z$5+$AA$5))-(1.854-(1042/(G17+459.6)))*(INDEX(FX_Input,T$5,G$3*$Z$5+$AA$5-1)^0.5)+((2416/(G17+459.6)-2.013)*LOG10(INDEX(FX_Input,T$5,G$3*$Z$5+$AA$5)))-(8742/(G17+459.6))+15.64),EXP(INDEX(Antoines,MATCH(G10,Antoine_Name,0),2)-INDEX(Antoines,MATCH(G10,Antoine_Name,0),3)/(G17+459.6))))),0)</f>
        <v>0</v>
      </c>
      <c r="H26" cm="1">
        <f t="array" ref="H26">IFERROR(IF(H11="Chemical",(10^(INDEX(Antoines,MATCH(H10,Antoine_Name,0),2)-INDEX(Antoines,MATCH(H10,Antoine_Name,0),3)/(INDEX(Antoines,MATCH(H10,Antoine_Name,0),4)+(H17-32)*5/9)))*14.7/760,IF(H11="Crude Oil",EXP((2799/(H17+459.6)-2.227)*LOG10(INDEX(FX_Input,U$5,H$3*$Z$5+$AA$5))-(7261/(H17+459.6))+12.82),IF(H11="Refined Petroleum Stock",EXP((0.7553-(413/(H17+459.6)))*(INDEX(FX_Input,U$5,H$3*$Z$5+$AA$5-1)^0.5)*LOG10(INDEX(FX_Input,U$5,H$3*$Z$5+$AA$5))-(1.854-(1042/(H17+459.6)))*(INDEX(FX_Input,U$5,H$3*$Z$5+$AA$5-1)^0.5)+((2416/(H17+459.6)-2.013)*LOG10(INDEX(FX_Input,U$5,H$3*$Z$5+$AA$5)))-(8742/(H17+459.6))+15.64),EXP(INDEX(Antoines,MATCH(H10,Antoine_Name,0),2)-INDEX(Antoines,MATCH(H10,Antoine_Name,0),3)/(H17+459.6))))),0)</f>
        <v>0</v>
      </c>
      <c r="I26" cm="1">
        <f t="array" ref="I26">IFERROR(IF(I11="Chemical",(10^(INDEX(Antoines,MATCH(I10,Antoine_Name,0),2)-INDEX(Antoines,MATCH(I10,Antoine_Name,0),3)/(INDEX(Antoines,MATCH(I10,Antoine_Name,0),4)+(I17-32)*5/9)))*14.7/760,IF(I11="Crude Oil",EXP((2799/(I17+459.6)-2.227)*LOG10(INDEX(FX_Input,V$5,I$3*$Z$5+$AA$5))-(7261/(I17+459.6))+12.82),IF(I11="Refined Petroleum Stock",EXP((0.7553-(413/(I17+459.6)))*(INDEX(FX_Input,V$5,I$3*$Z$5+$AA$5-1)^0.5)*LOG10(INDEX(FX_Input,V$5,I$3*$Z$5+$AA$5))-(1.854-(1042/(I17+459.6)))*(INDEX(FX_Input,V$5,I$3*$Z$5+$AA$5-1)^0.5)+((2416/(I17+459.6)-2.013)*LOG10(INDEX(FX_Input,V$5,I$3*$Z$5+$AA$5)))-(8742/(I17+459.6))+15.64),EXP(INDEX(Antoines,MATCH(I10,Antoine_Name,0),2)-INDEX(Antoines,MATCH(I10,Antoine_Name,0),3)/(I17+459.6))))),0)</f>
        <v>0</v>
      </c>
      <c r="J26" cm="1">
        <f t="array" ref="J26">IFERROR(IF(J11="Chemical",(10^(INDEX(Antoines,MATCH(J10,Antoine_Name,0),2)-INDEX(Antoines,MATCH(J10,Antoine_Name,0),3)/(INDEX(Antoines,MATCH(J10,Antoine_Name,0),4)+(J17-32)*5/9)))*14.7/760,IF(J11="Crude Oil",EXP((2799/(J17+459.6)-2.227)*LOG10(INDEX(FX_Input,W$5,J$3*$Z$5+$AA$5))-(7261/(J17+459.6))+12.82),IF(J11="Refined Petroleum Stock",EXP((0.7553-(413/(J17+459.6)))*(INDEX(FX_Input,W$5,J$3*$Z$5+$AA$5-1)^0.5)*LOG10(INDEX(FX_Input,W$5,J$3*$Z$5+$AA$5))-(1.854-(1042/(J17+459.6)))*(INDEX(FX_Input,W$5,J$3*$Z$5+$AA$5-1)^0.5)+((2416/(J17+459.6)-2.013)*LOG10(INDEX(FX_Input,W$5,J$3*$Z$5+$AA$5)))-(8742/(J17+459.6))+15.64),EXP(INDEX(Antoines,MATCH(J10,Antoine_Name,0),2)-INDEX(Antoines,MATCH(J10,Antoine_Name,0),3)/(J17+459.6))))),0)</f>
        <v>0</v>
      </c>
      <c r="K26" cm="1">
        <f t="array" ref="K26">IFERROR(IF(K11="Chemical",(10^(INDEX(Antoines,MATCH(K10,Antoine_Name,0),2)-INDEX(Antoines,MATCH(K10,Antoine_Name,0),3)/(INDEX(Antoines,MATCH(K10,Antoine_Name,0),4)+(K17-32)*5/9)))*14.7/760,IF(K11="Crude Oil",EXP((2799/(K17+459.6)-2.227)*LOG10(INDEX(FX_Input,X$5,K$3*$Z$5+$AA$5))-(7261/(K17+459.6))+12.82),IF(K11="Refined Petroleum Stock",EXP((0.7553-(413/(K17+459.6)))*(INDEX(FX_Input,X$5,K$3*$Z$5+$AA$5-1)^0.5)*LOG10(INDEX(FX_Input,X$5,K$3*$Z$5+$AA$5))-(1.854-(1042/(K17+459.6)))*(INDEX(FX_Input,X$5,K$3*$Z$5+$AA$5-1)^0.5)+((2416/(K17+459.6)-2.013)*LOG10(INDEX(FX_Input,X$5,K$3*$Z$5+$AA$5)))-(8742/(K17+459.6))+15.64),EXP(INDEX(Antoines,MATCH(K10,Antoine_Name,0),2)-INDEX(Antoines,MATCH(K10,Antoine_Name,0),3)/(K17+459.6))))),0)</f>
        <v>0</v>
      </c>
      <c r="L26" cm="1">
        <f t="array" ref="L26">IFERROR(IF(L11="Chemical",(10^(INDEX(Antoines,MATCH(L10,Antoine_Name,0),2)-INDEX(Antoines,MATCH(L10,Antoine_Name,0),3)/(INDEX(Antoines,MATCH(L10,Antoine_Name,0),4)+(L17-32)*5/9)))*14.7/760,IF(L11="Crude Oil",EXP((2799/(L17+459.6)-2.227)*LOG10(INDEX(FX_Input,Y$5,L$3*$Z$5+$AA$5))-(7261/(L17+459.6))+12.82),IF(L11="Refined Petroleum Stock",EXP((0.7553-(413/(L17+459.6)))*(INDEX(FX_Input,Y$5,L$3*$Z$5+$AA$5-1)^0.5)*LOG10(INDEX(FX_Input,Y$5,L$3*$Z$5+$AA$5))-(1.854-(1042/(L17+459.6)))*(INDEX(FX_Input,Y$5,L$3*$Z$5+$AA$5-1)^0.5)+((2416/(L17+459.6)-2.013)*LOG10(INDEX(FX_Input,Y$5,L$3*$Z$5+$AA$5)))-(8742/(L17+459.6))+15.64),EXP(INDEX(Antoines,MATCH(L10,Antoine_Name,0),2)-INDEX(Antoines,MATCH(L10,Antoine_Name,0),3)/(L17+459.6))))),0)</f>
        <v>0</v>
      </c>
      <c r="M26" cm="1">
        <f t="array" ref="M26">IFERROR(IF(M11="Chemical",(10^(INDEX(Antoines,MATCH(M10,Antoine_Name,0),2)-INDEX(Antoines,MATCH(M10,Antoine_Name,0),3)/(INDEX(Antoines,MATCH(M10,Antoine_Name,0),4)+(M17-32)*5/9)))*14.7/760,IF(M11="Crude Oil",EXP((2799/(M17+459.6)-2.227)*LOG10(INDEX(FX_Input,Z$5,M$3*$Z$5+$AA$5))-(7261/(M17+459.6))+12.82),IF(M11="Refined Petroleum Stock",EXP((0.7553-(413/(M17+459.6)))*(INDEX(FX_Input,Z$5,M$3*$Z$5+$AA$5-1)^0.5)*LOG10(INDEX(FX_Input,Z$5,M$3*$Z$5+$AA$5))-(1.854-(1042/(M17+459.6)))*(INDEX(FX_Input,Z$5,M$3*$Z$5+$AA$5-1)^0.5)+((2416/(M17+459.6)-2.013)*LOG10(INDEX(FX_Input,Z$5,M$3*$Z$5+$AA$5)))-(8742/(M17+459.6))+15.64),EXP(INDEX(Antoines,MATCH(M10,Antoine_Name,0),2)-INDEX(Antoines,MATCH(M10,Antoine_Name,0),3)/(M17+459.6))))),0)</f>
        <v>0</v>
      </c>
      <c r="N26" cm="1">
        <f t="array" ref="N26">IFERROR(IF(N11="Chemical",(10^(INDEX(Antoines,MATCH(N10,Antoine_Name,0),2)-INDEX(Antoines,MATCH(N10,Antoine_Name,0),3)/(INDEX(Antoines,MATCH(N10,Antoine_Name,0),4)+(N17-32)*5/9)))*14.7/760,IF(N11="Crude Oil",EXP((2799/(N17+459.6)-2.227)*LOG10(INDEX(FX_Input,AA$5,N$3*$Z$5+$AA$5))-(7261/(N17+459.6))+12.82),IF(N11="Refined Petroleum Stock",EXP((0.7553-(413/(N17+459.6)))*(INDEX(FX_Input,AA$5,N$3*$Z$5+$AA$5-1)^0.5)*LOG10(INDEX(FX_Input,AA$5,N$3*$Z$5+$AA$5))-(1.854-(1042/(N17+459.6)))*(INDEX(FX_Input,AA$5,N$3*$Z$5+$AA$5-1)^0.5)+((2416/(N17+459.6)-2.013)*LOG10(INDEX(FX_Input,AA$5,N$3*$Z$5+$AA$5)))-(8742/(N17+459.6))+15.64),EXP(INDEX(Antoines,MATCH(N10,Antoine_Name,0),2)-INDEX(Antoines,MATCH(N10,Antoine_Name,0),3)/(N17+459.6))))),0)</f>
        <v>0</v>
      </c>
      <c r="O26" cm="1">
        <f t="array" ref="O26">IFERROR(IF(O11="Chemical",(10^(INDEX(Antoines,MATCH(O10,Antoine_Name,0),2)-INDEX(Antoines,MATCH(O10,Antoine_Name,0),3)/(INDEX(Antoines,MATCH(O10,Antoine_Name,0),4)+(O17-32)*5/9)))*14.7/760,IF(O11="Crude Oil",EXP((2799/(O17+459.6)-2.227)*LOG10(INDEX(FX_Input,AB$5,O$3*$Z$5+$AA$5))-(7261/(O17+459.6))+12.82),IF(O11="Refined Petroleum Stock",EXP((0.7553-(413/(O17+459.6)))*(INDEX(FX_Input,AB$5,O$3*$Z$5+$AA$5-1)^0.5)*LOG10(INDEX(FX_Input,AB$5,O$3*$Z$5+$AA$5))-(1.854-(1042/(O17+459.6)))*(INDEX(FX_Input,AB$5,O$3*$Z$5+$AA$5-1)^0.5)+((2416/(O17+459.6)-2.013)*LOG10(INDEX(FX_Input,AB$5,O$3*$Z$5+$AA$5)))-(8742/(O17+459.6))+15.64),EXP(INDEX(Antoines,MATCH(O10,Antoine_Name,0),2)-INDEX(Antoines,MATCH(O10,Antoine_Name,0),3)/(O17+459.6))))),0)</f>
        <v>0</v>
      </c>
      <c r="P26">
        <v>22</v>
      </c>
    </row>
    <row r="27" spans="2:32" ht="17.149999999999999" x14ac:dyDescent="0.55000000000000004">
      <c r="B27" t="str">
        <f t="shared" si="2"/>
        <v>Portland</v>
      </c>
      <c r="C27" t="s">
        <v>582</v>
      </c>
      <c r="D27">
        <f>D26*D14</f>
        <v>0</v>
      </c>
      <c r="E27">
        <f t="shared" ref="E27:O27" si="7">E26*E14</f>
        <v>0</v>
      </c>
      <c r="F27">
        <f t="shared" si="7"/>
        <v>0</v>
      </c>
      <c r="G27">
        <f t="shared" si="7"/>
        <v>0</v>
      </c>
      <c r="H27">
        <f t="shared" si="7"/>
        <v>0</v>
      </c>
      <c r="I27">
        <f t="shared" si="7"/>
        <v>0</v>
      </c>
      <c r="J27">
        <f t="shared" si="7"/>
        <v>0</v>
      </c>
      <c r="K27">
        <f t="shared" si="7"/>
        <v>0</v>
      </c>
      <c r="L27">
        <f t="shared" si="7"/>
        <v>0</v>
      </c>
      <c r="M27">
        <f t="shared" si="7"/>
        <v>0</v>
      </c>
      <c r="N27">
        <f t="shared" si="7"/>
        <v>0</v>
      </c>
      <c r="O27">
        <f t="shared" si="7"/>
        <v>0</v>
      </c>
      <c r="P27">
        <v>23</v>
      </c>
    </row>
    <row r="28" spans="2:32" ht="17.149999999999999" x14ac:dyDescent="0.55000000000000004">
      <c r="B28" t="str">
        <f t="shared" si="2"/>
        <v>Portland</v>
      </c>
      <c r="C28" t="s">
        <v>583</v>
      </c>
      <c r="D28">
        <f>D25+D27</f>
        <v>5.2033036727344552E-3</v>
      </c>
      <c r="E28">
        <f t="shared" ref="E28:O28" si="8">E25+E27</f>
        <v>5.5385065183370758E-3</v>
      </c>
      <c r="F28">
        <f t="shared" si="8"/>
        <v>5.9077167859673575E-3</v>
      </c>
      <c r="G28">
        <f t="shared" si="8"/>
        <v>6.5849388112918178E-3</v>
      </c>
      <c r="H28">
        <f t="shared" si="8"/>
        <v>7.7939195379121001E-3</v>
      </c>
      <c r="I28">
        <f t="shared" si="8"/>
        <v>8.8347329003026723E-3</v>
      </c>
      <c r="J28">
        <f t="shared" si="8"/>
        <v>9.9592296270275289E-3</v>
      </c>
      <c r="K28">
        <f t="shared" si="8"/>
        <v>1.0044214742690162E-2</v>
      </c>
      <c r="L28">
        <f t="shared" si="8"/>
        <v>9.3389439263883208E-3</v>
      </c>
      <c r="M28">
        <f t="shared" si="8"/>
        <v>7.3896033166885589E-3</v>
      </c>
      <c r="N28">
        <f t="shared" si="8"/>
        <v>5.902399466128503E-3</v>
      </c>
      <c r="O28">
        <f t="shared" si="8"/>
        <v>5.1222820261006847E-3</v>
      </c>
      <c r="P28">
        <v>24</v>
      </c>
    </row>
    <row r="29" spans="2:32" ht="17.149999999999999" x14ac:dyDescent="0.55000000000000004">
      <c r="B29" t="str">
        <f t="shared" si="2"/>
        <v>Portland</v>
      </c>
      <c r="C29" t="s">
        <v>1388</v>
      </c>
      <c r="D29" cm="1">
        <f t="array" ref="D29">IFERROR(IF(D9="Chemical",(10^(INDEX(Antoines,MATCH(D8,Antoine_Name,0),2)-INDEX(Antoines,MATCH(D8,Antoine_Name,0),3)/(INDEX(Antoines,MATCH(D8,Antoine_Name,0),4)+(D18-32)*5/9)))*14.7/760,IF(D9="Crude Oil",EXP((2799/(D18+459.6)-2.227)*LOG10(INDEX(FX_Input,Q$5,D$3*$Z$5+$AA$5))-(7261/(D18+459.6))+12.82),IF(D9="Refined Petroleum Stock",EXP((0.7553-(413/(D18+459.6)))*(INDEX(FX_Input,Q$5,D$3*$Z$5+$AA$5-1)^0.5)*LOG10(INDEX(FX_Input,Q$5,D$3*$Z$5+$AA$5))-(1.854-(1042/(D18+459.6)))*(INDEX(FX_Input,Q$5,D$3*$Z$5+$AA$5-1)^0.5)+((2416/(D18+459.6)-2.013)*LOG10(INDEX(FX_Input,Q$5,D$3*$Z$5+$AA$5)))-(8742/(D18+459.6))+15.64),EXP(INDEX(Antoines,MATCH(D8,Antoine_Name,0),2)-INDEX(Antoines,MATCH(D8,Antoine_Name,0),3)/(D18+459.6))))),0)</f>
        <v>4.883250638471285E-3</v>
      </c>
      <c r="E29" cm="1">
        <f t="array" ref="E29">IFERROR(IF(E9="Chemical",(10^(INDEX(Antoines,MATCH(E8,Antoine_Name,0),2)-INDEX(Antoines,MATCH(E8,Antoine_Name,0),3)/(INDEX(Antoines,MATCH(E8,Antoine_Name,0),4)+(E18-32)*5/9)))*14.7/760,IF(E9="Crude Oil",EXP((2799/(E18+459.6)-2.227)*LOG10(INDEX(FX_Input,R$5,E$3*$Z$5+$AA$5))-(7261/(E18+459.6))+12.82),IF(E9="Refined Petroleum Stock",EXP((0.7553-(413/(E18+459.6)))*(INDEX(FX_Input,R$5,E$3*$Z$5+$AA$5-1)^0.5)*LOG10(INDEX(FX_Input,R$5,E$3*$Z$5+$AA$5))-(1.854-(1042/(E18+459.6)))*(INDEX(FX_Input,R$5,E$3*$Z$5+$AA$5-1)^0.5)+((2416/(E18+459.6)-2.013)*LOG10(INDEX(FX_Input,R$5,E$3*$Z$5+$AA$5)))-(8742/(E18+459.6))+15.64),EXP(INDEX(Antoines,MATCH(E8,Antoine_Name,0),2)-INDEX(Antoines,MATCH(E8,Antoine_Name,0),3)/(E18+459.6))))),0)</f>
        <v>5.1351067062407989E-3</v>
      </c>
      <c r="F29" cm="1">
        <f t="array" ref="F29">IFERROR(IF(F9="Chemical",(10^(INDEX(Antoines,MATCH(F8,Antoine_Name,0),2)-INDEX(Antoines,MATCH(F8,Antoine_Name,0),3)/(INDEX(Antoines,MATCH(F8,Antoine_Name,0),4)+(F18-32)*5/9)))*14.7/760,IF(F9="Crude Oil",EXP((2799/(F18+459.6)-2.227)*LOG10(INDEX(FX_Input,S$5,F$3*$Z$5+$AA$5))-(7261/(F18+459.6))+12.82),IF(F9="Refined Petroleum Stock",EXP((0.7553-(413/(F18+459.6)))*(INDEX(FX_Input,S$5,F$3*$Z$5+$AA$5-1)^0.5)*LOG10(INDEX(FX_Input,S$5,F$3*$Z$5+$AA$5))-(1.854-(1042/(F18+459.6)))*(INDEX(FX_Input,S$5,F$3*$Z$5+$AA$5-1)^0.5)+((2416/(F18+459.6)-2.013)*LOG10(INDEX(FX_Input,S$5,F$3*$Z$5+$AA$5)))-(8742/(F18+459.6))+15.64),EXP(INDEX(Antoines,MATCH(F8,Antoine_Name,0),2)-INDEX(Antoines,MATCH(F8,Antoine_Name,0),3)/(F18+459.6))))),0)</f>
        <v>5.5213829543467952E-3</v>
      </c>
      <c r="G29" cm="1">
        <f t="array" ref="G29">IFERROR(IF(G9="Chemical",(10^(INDEX(Antoines,MATCH(G8,Antoine_Name,0),2)-INDEX(Antoines,MATCH(G8,Antoine_Name,0),3)/(INDEX(Antoines,MATCH(G8,Antoine_Name,0),4)+(G18-32)*5/9)))*14.7/760,IF(G9="Crude Oil",EXP((2799/(G18+459.6)-2.227)*LOG10(INDEX(FX_Input,T$5,G$3*$Z$5+$AA$5))-(7261/(G18+459.6))+12.82),IF(G9="Refined Petroleum Stock",EXP((0.7553-(413/(G18+459.6)))*(INDEX(FX_Input,T$5,G$3*$Z$5+$AA$5-1)^0.5)*LOG10(INDEX(FX_Input,T$5,G$3*$Z$5+$AA$5))-(1.854-(1042/(G18+459.6)))*(INDEX(FX_Input,T$5,G$3*$Z$5+$AA$5-1)^0.5)+((2416/(G18+459.6)-2.013)*LOG10(INDEX(FX_Input,T$5,G$3*$Z$5+$AA$5)))-(8742/(G18+459.6))+15.64),EXP(INDEX(Antoines,MATCH(G8,Antoine_Name,0),2)-INDEX(Antoines,MATCH(G8,Antoine_Name,0),3)/(G18+459.6))))),0)</f>
        <v>6.2124720487193742E-3</v>
      </c>
      <c r="H29" cm="1">
        <f t="array" ref="H29">IFERROR(IF(H9="Chemical",(10^(INDEX(Antoines,MATCH(H8,Antoine_Name,0),2)-INDEX(Antoines,MATCH(H8,Antoine_Name,0),3)/(INDEX(Antoines,MATCH(H8,Antoine_Name,0),4)+(H18-32)*5/9)))*14.7/760,IF(H9="Crude Oil",EXP((2799/(H18+459.6)-2.227)*LOG10(INDEX(FX_Input,U$5,H$3*$Z$5+$AA$5))-(7261/(H18+459.6))+12.82),IF(H9="Refined Petroleum Stock",EXP((0.7553-(413/(H18+459.6)))*(INDEX(FX_Input,U$5,H$3*$Z$5+$AA$5-1)^0.5)*LOG10(INDEX(FX_Input,U$5,H$3*$Z$5+$AA$5))-(1.854-(1042/(H18+459.6)))*(INDEX(FX_Input,U$5,H$3*$Z$5+$AA$5-1)^0.5)+((2416/(H18+459.6)-2.013)*LOG10(INDEX(FX_Input,U$5,H$3*$Z$5+$AA$5)))-(8742/(H18+459.6))+15.64),EXP(INDEX(Antoines,MATCH(H8,Antoine_Name,0),2)-INDEX(Antoines,MATCH(H8,Antoine_Name,0),3)/(H18+459.6))))),0)</f>
        <v>7.4209663387537275E-3</v>
      </c>
      <c r="I29" cm="1">
        <f t="array" ref="I29">IFERROR(IF(I9="Chemical",(10^(INDEX(Antoines,MATCH(I8,Antoine_Name,0),2)-INDEX(Antoines,MATCH(I8,Antoine_Name,0),3)/(INDEX(Antoines,MATCH(I8,Antoine_Name,0),4)+(I18-32)*5/9)))*14.7/760,IF(I9="Crude Oil",EXP((2799/(I18+459.6)-2.227)*LOG10(INDEX(FX_Input,V$5,I$3*$Z$5+$AA$5))-(7261/(I18+459.6))+12.82),IF(I9="Refined Petroleum Stock",EXP((0.7553-(413/(I18+459.6)))*(INDEX(FX_Input,V$5,I$3*$Z$5+$AA$5-1)^0.5)*LOG10(INDEX(FX_Input,V$5,I$3*$Z$5+$AA$5))-(1.854-(1042/(I18+459.6)))*(INDEX(FX_Input,V$5,I$3*$Z$5+$AA$5-1)^0.5)+((2416/(I18+459.6)-2.013)*LOG10(INDEX(FX_Input,V$5,I$3*$Z$5+$AA$5)))-(8742/(I18+459.6))+15.64),EXP(INDEX(Antoines,MATCH(I8,Antoine_Name,0),2)-INDEX(Antoines,MATCH(I8,Antoine_Name,0),3)/(I18+459.6))))),0)</f>
        <v>8.4819819298252285E-3</v>
      </c>
      <c r="J29" cm="1">
        <f t="array" ref="J29">IFERROR(IF(J9="Chemical",(10^(INDEX(Antoines,MATCH(J8,Antoine_Name,0),2)-INDEX(Antoines,MATCH(J8,Antoine_Name,0),3)/(INDEX(Antoines,MATCH(J8,Antoine_Name,0),4)+(J18-32)*5/9)))*14.7/760,IF(J9="Crude Oil",EXP((2799/(J18+459.6)-2.227)*LOG10(INDEX(FX_Input,W$5,J$3*$Z$5+$AA$5))-(7261/(J18+459.6))+12.82),IF(J9="Refined Petroleum Stock",EXP((0.7553-(413/(J18+459.6)))*(INDEX(FX_Input,W$5,J$3*$Z$5+$AA$5-1)^0.5)*LOG10(INDEX(FX_Input,W$5,J$3*$Z$5+$AA$5))-(1.854-(1042/(J18+459.6)))*(INDEX(FX_Input,W$5,J$3*$Z$5+$AA$5-1)^0.5)+((2416/(J18+459.6)-2.013)*LOG10(INDEX(FX_Input,W$5,J$3*$Z$5+$AA$5)))-(8742/(J18+459.6))+15.64),EXP(INDEX(Antoines,MATCH(J8,Antoine_Name,0),2)-INDEX(Antoines,MATCH(J8,Antoine_Name,0),3)/(J18+459.6))))),0)</f>
        <v>9.5741064128135375E-3</v>
      </c>
      <c r="K29" cm="1">
        <f t="array" ref="K29">IFERROR(IF(K9="Chemical",(10^(INDEX(Antoines,MATCH(K8,Antoine_Name,0),2)-INDEX(Antoines,MATCH(K8,Antoine_Name,0),3)/(INDEX(Antoines,MATCH(K8,Antoine_Name,0),4)+(K18-32)*5/9)))*14.7/760,IF(K9="Crude Oil",EXP((2799/(K18+459.6)-2.227)*LOG10(INDEX(FX_Input,X$5,K$3*$Z$5+$AA$5))-(7261/(K18+459.6))+12.82),IF(K9="Refined Petroleum Stock",EXP((0.7553-(413/(K18+459.6)))*(INDEX(FX_Input,X$5,K$3*$Z$5+$AA$5-1)^0.5)*LOG10(INDEX(FX_Input,X$5,K$3*$Z$5+$AA$5))-(1.854-(1042/(K18+459.6)))*(INDEX(FX_Input,X$5,K$3*$Z$5+$AA$5-1)^0.5)+((2416/(K18+459.6)-2.013)*LOG10(INDEX(FX_Input,X$5,K$3*$Z$5+$AA$5)))-(8742/(K18+459.6))+15.64),EXP(INDEX(Antoines,MATCH(K8,Antoine_Name,0),2)-INDEX(Antoines,MATCH(K8,Antoine_Name,0),3)/(K18+459.6))))),0)</f>
        <v>9.5478148180509845E-3</v>
      </c>
      <c r="L29" cm="1">
        <f t="array" ref="L29">IFERROR(IF(L9="Chemical",(10^(INDEX(Antoines,MATCH(L8,Antoine_Name,0),2)-INDEX(Antoines,MATCH(L8,Antoine_Name,0),3)/(INDEX(Antoines,MATCH(L8,Antoine_Name,0),4)+(L18-32)*5/9)))*14.7/760,IF(L9="Crude Oil",EXP((2799/(L18+459.6)-2.227)*LOG10(INDEX(FX_Input,Y$5,L$3*$Z$5+$AA$5))-(7261/(L18+459.6))+12.82),IF(L9="Refined Petroleum Stock",EXP((0.7553-(413/(L18+459.6)))*(INDEX(FX_Input,Y$5,L$3*$Z$5+$AA$5-1)^0.5)*LOG10(INDEX(FX_Input,Y$5,L$3*$Z$5+$AA$5))-(1.854-(1042/(L18+459.6)))*(INDEX(FX_Input,Y$5,L$3*$Z$5+$AA$5-1)^0.5)+((2416/(L18+459.6)-2.013)*LOG10(INDEX(FX_Input,Y$5,L$3*$Z$5+$AA$5)))-(8742/(L18+459.6))+15.64),EXP(INDEX(Antoines,MATCH(L8,Antoine_Name,0),2)-INDEX(Antoines,MATCH(L8,Antoine_Name,0),3)/(L18+459.6))))),0)</f>
        <v>8.6464528192362108E-3</v>
      </c>
      <c r="M29" cm="1">
        <f t="array" ref="M29">IFERROR(IF(M9="Chemical",(10^(INDEX(Antoines,MATCH(M8,Antoine_Name,0),2)-INDEX(Antoines,MATCH(M8,Antoine_Name,0),3)/(INDEX(Antoines,MATCH(M8,Antoine_Name,0),4)+(M18-32)*5/9)))*14.7/760,IF(M9="Crude Oil",EXP((2799/(M18+459.6)-2.227)*LOG10(INDEX(FX_Input,Z$5,M$3*$Z$5+$AA$5))-(7261/(M18+459.6))+12.82),IF(M9="Refined Petroleum Stock",EXP((0.7553-(413/(M18+459.6)))*(INDEX(FX_Input,Z$5,M$3*$Z$5+$AA$5-1)^0.5)*LOG10(INDEX(FX_Input,Z$5,M$3*$Z$5+$AA$5))-(1.854-(1042/(M18+459.6)))*(INDEX(FX_Input,Z$5,M$3*$Z$5+$AA$5-1)^0.5)+((2416/(M18+459.6)-2.013)*LOG10(INDEX(FX_Input,Z$5,M$3*$Z$5+$AA$5)))-(8742/(M18+459.6))+15.64),EXP(INDEX(Antoines,MATCH(M8,Antoine_Name,0),2)-INDEX(Antoines,MATCH(M8,Antoine_Name,0),3)/(M18+459.6))))),0)</f>
        <v>6.8218393379121701E-3</v>
      </c>
      <c r="N29" cm="1">
        <f t="array" ref="N29">IFERROR(IF(N9="Chemical",(10^(INDEX(Antoines,MATCH(N8,Antoine_Name,0),2)-INDEX(Antoines,MATCH(N8,Antoine_Name,0),3)/(INDEX(Antoines,MATCH(N8,Antoine_Name,0),4)+(N18-32)*5/9)))*14.7/760,IF(N9="Crude Oil",EXP((2799/(N18+459.6)-2.227)*LOG10(INDEX(FX_Input,AA$5,N$3*$Z$5+$AA$5))-(7261/(N18+459.6))+12.82),IF(N9="Refined Petroleum Stock",EXP((0.7553-(413/(N18+459.6)))*(INDEX(FX_Input,AA$5,N$3*$Z$5+$AA$5-1)^0.5)*LOG10(INDEX(FX_Input,AA$5,N$3*$Z$5+$AA$5))-(1.854-(1042/(N18+459.6)))*(INDEX(FX_Input,AA$5,N$3*$Z$5+$AA$5-1)^0.5)+((2416/(N18+459.6)-2.013)*LOG10(INDEX(FX_Input,AA$5,N$3*$Z$5+$AA$5)))-(8742/(N18+459.6))+15.64),EXP(INDEX(Antoines,MATCH(N8,Antoine_Name,0),2)-INDEX(Antoines,MATCH(N8,Antoine_Name,0),3)/(N18+459.6))))),0)</f>
        <v>5.4827140055800742E-3</v>
      </c>
      <c r="O29" cm="1">
        <f t="array" ref="O29">IFERROR(IF(O9="Chemical",(10^(INDEX(Antoines,MATCH(O8,Antoine_Name,0),2)-INDEX(Antoines,MATCH(O8,Antoine_Name,0),3)/(INDEX(Antoines,MATCH(O8,Antoine_Name,0),4)+(O18-32)*5/9)))*14.7/760,IF(O9="Crude Oil",EXP((2799/(O18+459.6)-2.227)*LOG10(INDEX(FX_Input,AB$5,O$3*$Z$5+$AA$5))-(7261/(O18+459.6))+12.82),IF(O9="Refined Petroleum Stock",EXP((0.7553-(413/(O18+459.6)))*(INDEX(FX_Input,AB$5,O$3*$Z$5+$AA$5-1)^0.5)*LOG10(INDEX(FX_Input,AB$5,O$3*$Z$5+$AA$5))-(1.854-(1042/(O18+459.6)))*(INDEX(FX_Input,AB$5,O$3*$Z$5+$AA$5-1)^0.5)+((2416/(O18+459.6)-2.013)*LOG10(INDEX(FX_Input,AB$5,O$3*$Z$5+$AA$5)))-(8742/(O18+459.6))+15.64),EXP(INDEX(Antoines,MATCH(O8,Antoine_Name,0),2)-INDEX(Antoines,MATCH(O8,Antoine_Name,0),3)/(O18+459.6))))),0)</f>
        <v>4.8148298503950734E-3</v>
      </c>
      <c r="P29">
        <v>25</v>
      </c>
    </row>
    <row r="30" spans="2:32" ht="17.149999999999999" x14ac:dyDescent="0.55000000000000004">
      <c r="B30" t="str">
        <f t="shared" si="2"/>
        <v>Portland</v>
      </c>
      <c r="C30" t="s">
        <v>1389</v>
      </c>
      <c r="D30">
        <f>D29*D12</f>
        <v>4.883250638471285E-3</v>
      </c>
      <c r="E30">
        <f t="shared" ref="E30:O30" si="9">E29*E12</f>
        <v>5.1351067062407989E-3</v>
      </c>
      <c r="F30">
        <f t="shared" si="9"/>
        <v>5.5213829543467952E-3</v>
      </c>
      <c r="G30">
        <f t="shared" si="9"/>
        <v>6.2124720487193742E-3</v>
      </c>
      <c r="H30">
        <f t="shared" si="9"/>
        <v>7.4209663387537275E-3</v>
      </c>
      <c r="I30">
        <f t="shared" si="9"/>
        <v>8.4819819298252285E-3</v>
      </c>
      <c r="J30">
        <f t="shared" si="9"/>
        <v>9.5741064128135375E-3</v>
      </c>
      <c r="K30">
        <f t="shared" si="9"/>
        <v>9.5478148180509845E-3</v>
      </c>
      <c r="L30">
        <f t="shared" si="9"/>
        <v>8.6464528192362108E-3</v>
      </c>
      <c r="M30">
        <f t="shared" si="9"/>
        <v>6.8218393379121701E-3</v>
      </c>
      <c r="N30">
        <f t="shared" si="9"/>
        <v>5.4827140055800742E-3</v>
      </c>
      <c r="O30">
        <f t="shared" si="9"/>
        <v>4.8148298503950734E-3</v>
      </c>
      <c r="P30">
        <v>26</v>
      </c>
    </row>
    <row r="31" spans="2:32" ht="17.149999999999999" x14ac:dyDescent="0.55000000000000004">
      <c r="B31" t="str">
        <f t="shared" si="2"/>
        <v>Portland</v>
      </c>
      <c r="C31" t="s">
        <v>1390</v>
      </c>
      <c r="D31" cm="1">
        <f t="array" ref="D31">IFERROR(IF(D11="Chemical",(10^(INDEX(Antoines,MATCH(D10,Antoine_Name,0),2)-INDEX(Antoines,MATCH(D10,Antoine_Name,0),3)/(INDEX(Antoines,MATCH(D10,Antoine_Name,0),4)+(D18-32)*5/9)))*14.7/760,IF(D11="Crude Oil",EXP((2799/(D18+459.6)-2.227)*LOG10(INDEX(FX_Input,Q$5,D$3*$Z$5+$AA$5))-(7261/(D18+459.6))+12.82),IF(D11="Refined Petroleum Stock",EXP((0.7553-(413/(D18+459.6)))*(INDEX(FX_Input,Q$5,D$3*$Z$5+$AA$5-1)^0.5)*LOG10(INDEX(FX_Input,Q$5,D$3*$Z$5+$AA$5))-(1.854-(1042/(D18+459.6)))*(INDEX(FX_Input,Q$5,D$3*$Z$5+$AA$5-1)^0.5)+((2416/(D18+459.6)-2.013)*LOG10(INDEX(FX_Input,Q$5,D$3*$Z$5+$AA$5)))-(8742/(D18+459.6))+15.64),EXP(INDEX(Antoines,MATCH(D10,Antoine_Name,0),2)-INDEX(Antoines,MATCH(D10,Antoine_Name,0),3)/(D18+459.6))))),0)</f>
        <v>0</v>
      </c>
      <c r="E31" cm="1">
        <f t="array" ref="E31">IFERROR(IF(E11="Chemical",(10^(INDEX(Antoines,MATCH(E10,Antoine_Name,0),2)-INDEX(Antoines,MATCH(E10,Antoine_Name,0),3)/(INDEX(Antoines,MATCH(E10,Antoine_Name,0),4)+(E18-32)*5/9)))*14.7/760,IF(E11="Crude Oil",EXP((2799/(E18+459.6)-2.227)*LOG10(INDEX(FX_Input,R$5,E$3*$Z$5+$AA$5))-(7261/(E18+459.6))+12.82),IF(E11="Refined Petroleum Stock",EXP((0.7553-(413/(E18+459.6)))*(INDEX(FX_Input,R$5,E$3*$Z$5+$AA$5-1)^0.5)*LOG10(INDEX(FX_Input,R$5,E$3*$Z$5+$AA$5))-(1.854-(1042/(E18+459.6)))*(INDEX(FX_Input,R$5,E$3*$Z$5+$AA$5-1)^0.5)+((2416/(E18+459.6)-2.013)*LOG10(INDEX(FX_Input,R$5,E$3*$Z$5+$AA$5)))-(8742/(E18+459.6))+15.64),EXP(INDEX(Antoines,MATCH(E10,Antoine_Name,0),2)-INDEX(Antoines,MATCH(E10,Antoine_Name,0),3)/(E18+459.6))))),0)</f>
        <v>0</v>
      </c>
      <c r="F31" cm="1">
        <f t="array" ref="F31">IFERROR(IF(F11="Chemical",(10^(INDEX(Antoines,MATCH(F10,Antoine_Name,0),2)-INDEX(Antoines,MATCH(F10,Antoine_Name,0),3)/(INDEX(Antoines,MATCH(F10,Antoine_Name,0),4)+(F18-32)*5/9)))*14.7/760,IF(F11="Crude Oil",EXP((2799/(F18+459.6)-2.227)*LOG10(INDEX(FX_Input,S$5,F$3*$Z$5+$AA$5))-(7261/(F18+459.6))+12.82),IF(F11="Refined Petroleum Stock",EXP((0.7553-(413/(F18+459.6)))*(INDEX(FX_Input,S$5,F$3*$Z$5+$AA$5-1)^0.5)*LOG10(INDEX(FX_Input,S$5,F$3*$Z$5+$AA$5))-(1.854-(1042/(F18+459.6)))*(INDEX(FX_Input,S$5,F$3*$Z$5+$AA$5-1)^0.5)+((2416/(F18+459.6)-2.013)*LOG10(INDEX(FX_Input,S$5,F$3*$Z$5+$AA$5)))-(8742/(F18+459.6))+15.64),EXP(INDEX(Antoines,MATCH(F10,Antoine_Name,0),2)-INDEX(Antoines,MATCH(F10,Antoine_Name,0),3)/(F18+459.6))))),0)</f>
        <v>0</v>
      </c>
      <c r="G31" cm="1">
        <f t="array" ref="G31">IFERROR(IF(G11="Chemical",(10^(INDEX(Antoines,MATCH(G10,Antoine_Name,0),2)-INDEX(Antoines,MATCH(G10,Antoine_Name,0),3)/(INDEX(Antoines,MATCH(G10,Antoine_Name,0),4)+(G18-32)*5/9)))*14.7/760,IF(G11="Crude Oil",EXP((2799/(G18+459.6)-2.227)*LOG10(INDEX(FX_Input,T$5,G$3*$Z$5+$AA$5))-(7261/(G18+459.6))+12.82),IF(G11="Refined Petroleum Stock",EXP((0.7553-(413/(G18+459.6)))*(INDEX(FX_Input,T$5,G$3*$Z$5+$AA$5-1)^0.5)*LOG10(INDEX(FX_Input,T$5,G$3*$Z$5+$AA$5))-(1.854-(1042/(G18+459.6)))*(INDEX(FX_Input,T$5,G$3*$Z$5+$AA$5-1)^0.5)+((2416/(G18+459.6)-2.013)*LOG10(INDEX(FX_Input,T$5,G$3*$Z$5+$AA$5)))-(8742/(G18+459.6))+15.64),EXP(INDEX(Antoines,MATCH(G10,Antoine_Name,0),2)-INDEX(Antoines,MATCH(G10,Antoine_Name,0),3)/(G18+459.6))))),0)</f>
        <v>0</v>
      </c>
      <c r="H31" cm="1">
        <f t="array" ref="H31">IFERROR(IF(H11="Chemical",(10^(INDEX(Antoines,MATCH(H10,Antoine_Name,0),2)-INDEX(Antoines,MATCH(H10,Antoine_Name,0),3)/(INDEX(Antoines,MATCH(H10,Antoine_Name,0),4)+(H18-32)*5/9)))*14.7/760,IF(H11="Crude Oil",EXP((2799/(H18+459.6)-2.227)*LOG10(INDEX(FX_Input,U$5,H$3*$Z$5+$AA$5))-(7261/(H18+459.6))+12.82),IF(H11="Refined Petroleum Stock",EXP((0.7553-(413/(H18+459.6)))*(INDEX(FX_Input,U$5,H$3*$Z$5+$AA$5-1)^0.5)*LOG10(INDEX(FX_Input,U$5,H$3*$Z$5+$AA$5))-(1.854-(1042/(H18+459.6)))*(INDEX(FX_Input,U$5,H$3*$Z$5+$AA$5-1)^0.5)+((2416/(H18+459.6)-2.013)*LOG10(INDEX(FX_Input,U$5,H$3*$Z$5+$AA$5)))-(8742/(H18+459.6))+15.64),EXP(INDEX(Antoines,MATCH(H10,Antoine_Name,0),2)-INDEX(Antoines,MATCH(H10,Antoine_Name,0),3)/(H18+459.6))))),0)</f>
        <v>0</v>
      </c>
      <c r="I31" cm="1">
        <f t="array" ref="I31">IFERROR(IF(I11="Chemical",(10^(INDEX(Antoines,MATCH(I10,Antoine_Name,0),2)-INDEX(Antoines,MATCH(I10,Antoine_Name,0),3)/(INDEX(Antoines,MATCH(I10,Antoine_Name,0),4)+(I18-32)*5/9)))*14.7/760,IF(I11="Crude Oil",EXP((2799/(I18+459.6)-2.227)*LOG10(INDEX(FX_Input,V$5,I$3*$Z$5+$AA$5))-(7261/(I18+459.6))+12.82),IF(I11="Refined Petroleum Stock",EXP((0.7553-(413/(I18+459.6)))*(INDEX(FX_Input,V$5,I$3*$Z$5+$AA$5-1)^0.5)*LOG10(INDEX(FX_Input,V$5,I$3*$Z$5+$AA$5))-(1.854-(1042/(I18+459.6)))*(INDEX(FX_Input,V$5,I$3*$Z$5+$AA$5-1)^0.5)+((2416/(I18+459.6)-2.013)*LOG10(INDEX(FX_Input,V$5,I$3*$Z$5+$AA$5)))-(8742/(I18+459.6))+15.64),EXP(INDEX(Antoines,MATCH(I10,Antoine_Name,0),2)-INDEX(Antoines,MATCH(I10,Antoine_Name,0),3)/(I18+459.6))))),0)</f>
        <v>0</v>
      </c>
      <c r="J31" cm="1">
        <f t="array" ref="J31">IFERROR(IF(J11="Chemical",(10^(INDEX(Antoines,MATCH(J10,Antoine_Name,0),2)-INDEX(Antoines,MATCH(J10,Antoine_Name,0),3)/(INDEX(Antoines,MATCH(J10,Antoine_Name,0),4)+(J18-32)*5/9)))*14.7/760,IF(J11="Crude Oil",EXP((2799/(J18+459.6)-2.227)*LOG10(INDEX(FX_Input,W$5,J$3*$Z$5+$AA$5))-(7261/(J18+459.6))+12.82),IF(J11="Refined Petroleum Stock",EXP((0.7553-(413/(J18+459.6)))*(INDEX(FX_Input,W$5,J$3*$Z$5+$AA$5-1)^0.5)*LOG10(INDEX(FX_Input,W$5,J$3*$Z$5+$AA$5))-(1.854-(1042/(J18+459.6)))*(INDEX(FX_Input,W$5,J$3*$Z$5+$AA$5-1)^0.5)+((2416/(J18+459.6)-2.013)*LOG10(INDEX(FX_Input,W$5,J$3*$Z$5+$AA$5)))-(8742/(J18+459.6))+15.64),EXP(INDEX(Antoines,MATCH(J10,Antoine_Name,0),2)-INDEX(Antoines,MATCH(J10,Antoine_Name,0),3)/(J18+459.6))))),0)</f>
        <v>0</v>
      </c>
      <c r="K31" cm="1">
        <f t="array" ref="K31">IFERROR(IF(K11="Chemical",(10^(INDEX(Antoines,MATCH(K10,Antoine_Name,0),2)-INDEX(Antoines,MATCH(K10,Antoine_Name,0),3)/(INDEX(Antoines,MATCH(K10,Antoine_Name,0),4)+(K18-32)*5/9)))*14.7/760,IF(K11="Crude Oil",EXP((2799/(K18+459.6)-2.227)*LOG10(INDEX(FX_Input,X$5,K$3*$Z$5+$AA$5))-(7261/(K18+459.6))+12.82),IF(K11="Refined Petroleum Stock",EXP((0.7553-(413/(K18+459.6)))*(INDEX(FX_Input,X$5,K$3*$Z$5+$AA$5-1)^0.5)*LOG10(INDEX(FX_Input,X$5,K$3*$Z$5+$AA$5))-(1.854-(1042/(K18+459.6)))*(INDEX(FX_Input,X$5,K$3*$Z$5+$AA$5-1)^0.5)+((2416/(K18+459.6)-2.013)*LOG10(INDEX(FX_Input,X$5,K$3*$Z$5+$AA$5)))-(8742/(K18+459.6))+15.64),EXP(INDEX(Antoines,MATCH(K10,Antoine_Name,0),2)-INDEX(Antoines,MATCH(K10,Antoine_Name,0),3)/(K18+459.6))))),0)</f>
        <v>0</v>
      </c>
      <c r="L31" cm="1">
        <f t="array" ref="L31">IFERROR(IF(L11="Chemical",(10^(INDEX(Antoines,MATCH(L10,Antoine_Name,0),2)-INDEX(Antoines,MATCH(L10,Antoine_Name,0),3)/(INDEX(Antoines,MATCH(L10,Antoine_Name,0),4)+(L18-32)*5/9)))*14.7/760,IF(L11="Crude Oil",EXP((2799/(L18+459.6)-2.227)*LOG10(INDEX(FX_Input,Y$5,L$3*$Z$5+$AA$5))-(7261/(L18+459.6))+12.82),IF(L11="Refined Petroleum Stock",EXP((0.7553-(413/(L18+459.6)))*(INDEX(FX_Input,Y$5,L$3*$Z$5+$AA$5-1)^0.5)*LOG10(INDEX(FX_Input,Y$5,L$3*$Z$5+$AA$5))-(1.854-(1042/(L18+459.6)))*(INDEX(FX_Input,Y$5,L$3*$Z$5+$AA$5-1)^0.5)+((2416/(L18+459.6)-2.013)*LOG10(INDEX(FX_Input,Y$5,L$3*$Z$5+$AA$5)))-(8742/(L18+459.6))+15.64),EXP(INDEX(Antoines,MATCH(L10,Antoine_Name,0),2)-INDEX(Antoines,MATCH(L10,Antoine_Name,0),3)/(L18+459.6))))),0)</f>
        <v>0</v>
      </c>
      <c r="M31" cm="1">
        <f t="array" ref="M31">IFERROR(IF(M11="Chemical",(10^(INDEX(Antoines,MATCH(M10,Antoine_Name,0),2)-INDEX(Antoines,MATCH(M10,Antoine_Name,0),3)/(INDEX(Antoines,MATCH(M10,Antoine_Name,0),4)+(M18-32)*5/9)))*14.7/760,IF(M11="Crude Oil",EXP((2799/(M18+459.6)-2.227)*LOG10(INDEX(FX_Input,Z$5,M$3*$Z$5+$AA$5))-(7261/(M18+459.6))+12.82),IF(M11="Refined Petroleum Stock",EXP((0.7553-(413/(M18+459.6)))*(INDEX(FX_Input,Z$5,M$3*$Z$5+$AA$5-1)^0.5)*LOG10(INDEX(FX_Input,Z$5,M$3*$Z$5+$AA$5))-(1.854-(1042/(M18+459.6)))*(INDEX(FX_Input,Z$5,M$3*$Z$5+$AA$5-1)^0.5)+((2416/(M18+459.6)-2.013)*LOG10(INDEX(FX_Input,Z$5,M$3*$Z$5+$AA$5)))-(8742/(M18+459.6))+15.64),EXP(INDEX(Antoines,MATCH(M10,Antoine_Name,0),2)-INDEX(Antoines,MATCH(M10,Antoine_Name,0),3)/(M18+459.6))))),0)</f>
        <v>0</v>
      </c>
      <c r="N31" cm="1">
        <f t="array" ref="N31">IFERROR(IF(N11="Chemical",(10^(INDEX(Antoines,MATCH(N10,Antoine_Name,0),2)-INDEX(Antoines,MATCH(N10,Antoine_Name,0),3)/(INDEX(Antoines,MATCH(N10,Antoine_Name,0),4)+(N18-32)*5/9)))*14.7/760,IF(N11="Crude Oil",EXP((2799/(N18+459.6)-2.227)*LOG10(INDEX(FX_Input,AA$5,N$3*$Z$5+$AA$5))-(7261/(N18+459.6))+12.82),IF(N11="Refined Petroleum Stock",EXP((0.7553-(413/(N18+459.6)))*(INDEX(FX_Input,AA$5,N$3*$Z$5+$AA$5-1)^0.5)*LOG10(INDEX(FX_Input,AA$5,N$3*$Z$5+$AA$5))-(1.854-(1042/(N18+459.6)))*(INDEX(FX_Input,AA$5,N$3*$Z$5+$AA$5-1)^0.5)+((2416/(N18+459.6)-2.013)*LOG10(INDEX(FX_Input,AA$5,N$3*$Z$5+$AA$5)))-(8742/(N18+459.6))+15.64),EXP(INDEX(Antoines,MATCH(N10,Antoine_Name,0),2)-INDEX(Antoines,MATCH(N10,Antoine_Name,0),3)/(N18+459.6))))),0)</f>
        <v>0</v>
      </c>
      <c r="O31" cm="1">
        <f t="array" ref="O31">IFERROR(IF(O11="Chemical",(10^(INDEX(Antoines,MATCH(O10,Antoine_Name,0),2)-INDEX(Antoines,MATCH(O10,Antoine_Name,0),3)/(INDEX(Antoines,MATCH(O10,Antoine_Name,0),4)+(O18-32)*5/9)))*14.7/760,IF(O11="Crude Oil",EXP((2799/(O18+459.6)-2.227)*LOG10(INDEX(FX_Input,AB$5,O$3*$Z$5+$AA$5))-(7261/(O18+459.6))+12.82),IF(O11="Refined Petroleum Stock",EXP((0.7553-(413/(O18+459.6)))*(INDEX(FX_Input,AB$5,O$3*$Z$5+$AA$5-1)^0.5)*LOG10(INDEX(FX_Input,AB$5,O$3*$Z$5+$AA$5))-(1.854-(1042/(O18+459.6)))*(INDEX(FX_Input,AB$5,O$3*$Z$5+$AA$5-1)^0.5)+((2416/(O18+459.6)-2.013)*LOG10(INDEX(FX_Input,AB$5,O$3*$Z$5+$AA$5)))-(8742/(O18+459.6))+15.64),EXP(INDEX(Antoines,MATCH(O10,Antoine_Name,0),2)-INDEX(Antoines,MATCH(O10,Antoine_Name,0),3)/(O18+459.6))))),0)</f>
        <v>0</v>
      </c>
      <c r="P31">
        <v>27</v>
      </c>
    </row>
    <row r="32" spans="2:32" ht="17.149999999999999" x14ac:dyDescent="0.55000000000000004">
      <c r="B32" t="str">
        <f t="shared" si="2"/>
        <v>Portland</v>
      </c>
      <c r="C32" t="s">
        <v>1391</v>
      </c>
      <c r="D32">
        <f>D31*D14</f>
        <v>0</v>
      </c>
      <c r="E32">
        <f t="shared" ref="E32:O32" si="10">E31*E14</f>
        <v>0</v>
      </c>
      <c r="F32">
        <f t="shared" si="10"/>
        <v>0</v>
      </c>
      <c r="G32">
        <f t="shared" si="10"/>
        <v>0</v>
      </c>
      <c r="H32">
        <f t="shared" si="10"/>
        <v>0</v>
      </c>
      <c r="I32">
        <f t="shared" si="10"/>
        <v>0</v>
      </c>
      <c r="J32">
        <f t="shared" si="10"/>
        <v>0</v>
      </c>
      <c r="K32">
        <f t="shared" si="10"/>
        <v>0</v>
      </c>
      <c r="L32">
        <f t="shared" si="10"/>
        <v>0</v>
      </c>
      <c r="M32">
        <f t="shared" si="10"/>
        <v>0</v>
      </c>
      <c r="N32">
        <f t="shared" si="10"/>
        <v>0</v>
      </c>
      <c r="O32">
        <f t="shared" si="10"/>
        <v>0</v>
      </c>
      <c r="P32">
        <v>28</v>
      </c>
    </row>
    <row r="33" spans="1:32" ht="17.149999999999999" x14ac:dyDescent="0.55000000000000004">
      <c r="B33" t="str">
        <f t="shared" si="2"/>
        <v>Portland</v>
      </c>
      <c r="C33" t="s">
        <v>1392</v>
      </c>
      <c r="D33">
        <f>D30+D32</f>
        <v>4.883250638471285E-3</v>
      </c>
      <c r="E33">
        <f t="shared" ref="E33:O33" si="11">E30+E32</f>
        <v>5.1351067062407989E-3</v>
      </c>
      <c r="F33">
        <f t="shared" si="11"/>
        <v>5.5213829543467952E-3</v>
      </c>
      <c r="G33">
        <f t="shared" si="11"/>
        <v>6.2124720487193742E-3</v>
      </c>
      <c r="H33">
        <f t="shared" si="11"/>
        <v>7.4209663387537275E-3</v>
      </c>
      <c r="I33">
        <f t="shared" si="11"/>
        <v>8.4819819298252285E-3</v>
      </c>
      <c r="J33">
        <f t="shared" si="11"/>
        <v>9.5741064128135375E-3</v>
      </c>
      <c r="K33">
        <f t="shared" si="11"/>
        <v>9.5478148180509845E-3</v>
      </c>
      <c r="L33">
        <f t="shared" si="11"/>
        <v>8.6464528192362108E-3</v>
      </c>
      <c r="M33">
        <f t="shared" si="11"/>
        <v>6.8218393379121701E-3</v>
      </c>
      <c r="N33">
        <f t="shared" si="11"/>
        <v>5.4827140055800742E-3</v>
      </c>
      <c r="O33">
        <f t="shared" si="11"/>
        <v>4.8148298503950734E-3</v>
      </c>
      <c r="P33">
        <v>29</v>
      </c>
    </row>
    <row r="34" spans="1:32" ht="17.149999999999999" x14ac:dyDescent="0.55000000000000004">
      <c r="B34" t="str">
        <f>B28</f>
        <v>Portland</v>
      </c>
      <c r="C34" t="s">
        <v>584</v>
      </c>
      <c r="D34">
        <f>D30/D33</f>
        <v>1</v>
      </c>
      <c r="E34">
        <f t="shared" ref="E34:O34" si="12">E30/E33</f>
        <v>1</v>
      </c>
      <c r="F34">
        <f t="shared" si="12"/>
        <v>1</v>
      </c>
      <c r="G34">
        <f t="shared" si="12"/>
        <v>1</v>
      </c>
      <c r="H34">
        <f t="shared" si="12"/>
        <v>1</v>
      </c>
      <c r="I34">
        <f t="shared" si="12"/>
        <v>1</v>
      </c>
      <c r="J34">
        <f t="shared" si="12"/>
        <v>1</v>
      </c>
      <c r="K34">
        <f t="shared" si="12"/>
        <v>1</v>
      </c>
      <c r="L34">
        <f t="shared" si="12"/>
        <v>1</v>
      </c>
      <c r="M34">
        <f t="shared" si="12"/>
        <v>1</v>
      </c>
      <c r="N34">
        <f t="shared" si="12"/>
        <v>1</v>
      </c>
      <c r="O34">
        <f t="shared" si="12"/>
        <v>1</v>
      </c>
      <c r="P34">
        <v>30</v>
      </c>
    </row>
    <row r="35" spans="1:32" ht="17.149999999999999" x14ac:dyDescent="0.55000000000000004">
      <c r="B35" t="str">
        <f>B29</f>
        <v>Portland</v>
      </c>
      <c r="C35" t="s">
        <v>585</v>
      </c>
      <c r="D35">
        <f t="shared" ref="D35:O35" si="13">INDEX(Phys_Prop,MATCH(D8,Chem_List,0),3)</f>
        <v>130</v>
      </c>
      <c r="E35">
        <f t="shared" si="13"/>
        <v>130</v>
      </c>
      <c r="F35">
        <f t="shared" si="13"/>
        <v>130</v>
      </c>
      <c r="G35">
        <f t="shared" si="13"/>
        <v>130</v>
      </c>
      <c r="H35">
        <f t="shared" si="13"/>
        <v>130</v>
      </c>
      <c r="I35">
        <f t="shared" si="13"/>
        <v>130</v>
      </c>
      <c r="J35">
        <f t="shared" si="13"/>
        <v>130</v>
      </c>
      <c r="K35">
        <f t="shared" si="13"/>
        <v>130</v>
      </c>
      <c r="L35">
        <f t="shared" si="13"/>
        <v>130</v>
      </c>
      <c r="M35">
        <f t="shared" si="13"/>
        <v>130</v>
      </c>
      <c r="N35">
        <f t="shared" si="13"/>
        <v>130</v>
      </c>
      <c r="O35">
        <f t="shared" si="13"/>
        <v>130</v>
      </c>
      <c r="P35">
        <v>31</v>
      </c>
    </row>
    <row r="36" spans="1:32" ht="17.149999999999999" x14ac:dyDescent="0.55000000000000004">
      <c r="B36" t="str">
        <f>B35</f>
        <v>Portland</v>
      </c>
      <c r="C36" t="s">
        <v>586</v>
      </c>
      <c r="D36">
        <f>D32/D33</f>
        <v>0</v>
      </c>
      <c r="E36">
        <f t="shared" ref="E36:O36" si="14">E32/E33</f>
        <v>0</v>
      </c>
      <c r="F36">
        <f t="shared" si="14"/>
        <v>0</v>
      </c>
      <c r="G36">
        <f t="shared" si="14"/>
        <v>0</v>
      </c>
      <c r="H36">
        <f t="shared" si="14"/>
        <v>0</v>
      </c>
      <c r="I36">
        <f t="shared" si="14"/>
        <v>0</v>
      </c>
      <c r="J36">
        <f t="shared" si="14"/>
        <v>0</v>
      </c>
      <c r="K36">
        <f t="shared" si="14"/>
        <v>0</v>
      </c>
      <c r="L36">
        <f t="shared" si="14"/>
        <v>0</v>
      </c>
      <c r="M36">
        <f t="shared" si="14"/>
        <v>0</v>
      </c>
      <c r="N36">
        <f t="shared" si="14"/>
        <v>0</v>
      </c>
      <c r="O36">
        <f t="shared" si="14"/>
        <v>0</v>
      </c>
      <c r="P36">
        <v>32</v>
      </c>
    </row>
    <row r="37" spans="1:32" ht="17.149999999999999" x14ac:dyDescent="0.55000000000000004">
      <c r="B37" t="str">
        <f t="shared" si="2"/>
        <v>Portland</v>
      </c>
      <c r="C37" t="s">
        <v>587</v>
      </c>
      <c r="D37">
        <f t="shared" ref="D37:O37" si="15">IFERROR(INDEX(Phys_Prop,MATCH(D10,Chem_List,0),3),0)</f>
        <v>0</v>
      </c>
      <c r="E37">
        <f t="shared" si="15"/>
        <v>0</v>
      </c>
      <c r="F37">
        <f t="shared" si="15"/>
        <v>0</v>
      </c>
      <c r="G37">
        <f t="shared" si="15"/>
        <v>0</v>
      </c>
      <c r="H37">
        <f t="shared" si="15"/>
        <v>0</v>
      </c>
      <c r="I37">
        <f t="shared" si="15"/>
        <v>0</v>
      </c>
      <c r="J37">
        <f t="shared" si="15"/>
        <v>0</v>
      </c>
      <c r="K37">
        <f t="shared" si="15"/>
        <v>0</v>
      </c>
      <c r="L37">
        <f t="shared" si="15"/>
        <v>0</v>
      </c>
      <c r="M37">
        <f t="shared" si="15"/>
        <v>0</v>
      </c>
      <c r="N37">
        <f t="shared" si="15"/>
        <v>0</v>
      </c>
      <c r="O37">
        <f t="shared" si="15"/>
        <v>0</v>
      </c>
      <c r="P37">
        <v>33</v>
      </c>
    </row>
    <row r="38" spans="1:32" ht="17.149999999999999" x14ac:dyDescent="0.55000000000000004">
      <c r="A38" s="11"/>
      <c r="B38" s="11" t="str">
        <f t="shared" si="2"/>
        <v>Portland</v>
      </c>
      <c r="C38" s="11" t="s">
        <v>588</v>
      </c>
      <c r="D38" s="11">
        <f>IFERROR(D34*D35+D36*D37,0)</f>
        <v>130</v>
      </c>
      <c r="E38" s="11">
        <f t="shared" ref="E38:O38" si="16">IFERROR(E34*E35+E36*E37,0)</f>
        <v>130</v>
      </c>
      <c r="F38" s="11">
        <f t="shared" si="16"/>
        <v>130</v>
      </c>
      <c r="G38" s="11">
        <f t="shared" si="16"/>
        <v>130</v>
      </c>
      <c r="H38" s="11">
        <f t="shared" si="16"/>
        <v>130</v>
      </c>
      <c r="I38" s="11">
        <f t="shared" si="16"/>
        <v>130</v>
      </c>
      <c r="J38" s="11">
        <f t="shared" si="16"/>
        <v>130</v>
      </c>
      <c r="K38" s="11">
        <f t="shared" si="16"/>
        <v>130</v>
      </c>
      <c r="L38" s="11">
        <f t="shared" si="16"/>
        <v>130</v>
      </c>
      <c r="M38" s="11">
        <f t="shared" si="16"/>
        <v>130</v>
      </c>
      <c r="N38" s="11">
        <f t="shared" si="16"/>
        <v>130</v>
      </c>
      <c r="O38" s="11">
        <f t="shared" si="16"/>
        <v>130</v>
      </c>
      <c r="P38">
        <v>34</v>
      </c>
      <c r="Q38" s="11"/>
      <c r="R38" s="11"/>
      <c r="S38" s="11"/>
      <c r="T38" s="11"/>
      <c r="U38" s="11"/>
      <c r="V38" s="11"/>
      <c r="W38" s="11"/>
      <c r="X38" s="11"/>
      <c r="Y38" s="11"/>
      <c r="Z38" s="11"/>
      <c r="AA38" s="11"/>
      <c r="AB38" s="11"/>
      <c r="AC38" s="11"/>
      <c r="AD38" s="11"/>
      <c r="AE38" s="11"/>
      <c r="AF38" s="11"/>
    </row>
    <row r="39" spans="1:32" ht="17.149999999999999" x14ac:dyDescent="0.55000000000000004">
      <c r="A39" t="str" cm="1">
        <f t="array" ref="A39">INDEX(FX_Input,$Q39,R$5)</f>
        <v>FX - 2</v>
      </c>
      <c r="B39" t="str" cm="1">
        <f t="array" ref="B39">INDEX(FX_Input,Q39,S39)</f>
        <v>Portland</v>
      </c>
      <c r="C39" t="s">
        <v>563</v>
      </c>
      <c r="D39">
        <v>14.7</v>
      </c>
      <c r="E39">
        <v>14.7</v>
      </c>
      <c r="F39">
        <v>14.7</v>
      </c>
      <c r="G39">
        <v>14.7</v>
      </c>
      <c r="H39">
        <v>14.7</v>
      </c>
      <c r="I39">
        <v>14.7</v>
      </c>
      <c r="J39">
        <v>14.7</v>
      </c>
      <c r="K39">
        <v>14.7</v>
      </c>
      <c r="L39">
        <v>14.7</v>
      </c>
      <c r="M39">
        <v>14.7</v>
      </c>
      <c r="N39">
        <v>14.7</v>
      </c>
      <c r="O39">
        <v>14.7</v>
      </c>
      <c r="Q39">
        <f>Q5+2</f>
        <v>3</v>
      </c>
      <c r="R39">
        <v>1</v>
      </c>
      <c r="S39">
        <v>3</v>
      </c>
      <c r="T39">
        <v>1</v>
      </c>
      <c r="U39">
        <v>19</v>
      </c>
      <c r="V39">
        <v>20</v>
      </c>
      <c r="W39">
        <v>25</v>
      </c>
      <c r="X39">
        <v>1</v>
      </c>
      <c r="Y39">
        <v>2</v>
      </c>
      <c r="Z39">
        <f>(W39-V39)/(Y39-X39)</f>
        <v>5</v>
      </c>
      <c r="AA39">
        <f>V39-Z39*X39</f>
        <v>15</v>
      </c>
      <c r="AD39">
        <f>AD5+14</f>
        <v>15</v>
      </c>
      <c r="AF39">
        <f>AF5+14</f>
        <v>15</v>
      </c>
    </row>
    <row r="40" spans="1:32" ht="17.149999999999999" x14ac:dyDescent="0.55000000000000004">
      <c r="B40" t="str">
        <f t="shared" ref="B40" si="17">B39</f>
        <v>Portland</v>
      </c>
      <c r="C40" t="s">
        <v>564</v>
      </c>
      <c r="D40" cm="1">
        <f t="array" ref="D40">IF(ISBLANK(INDEX(FX_Input,$Q39,$AB40)),0.03,INDEX(FX_Input,Q39,AB40))</f>
        <v>0.03</v>
      </c>
      <c r="E40" cm="1">
        <f t="array" ref="E40">IF(ISBLANK(INDEX(FX_Input,$Q39,$AB40)),0.03,INDEX(FX_Input,R39,#REF!))</f>
        <v>0.03</v>
      </c>
      <c r="F40" cm="1">
        <f t="array" ref="F40">IF(ISBLANK(INDEX(FX_Input,$Q39,$AB40)),0.03,INDEX(FX_Input,S39,#REF!))</f>
        <v>0.03</v>
      </c>
      <c r="G40" cm="1">
        <f t="array" ref="G40">IF(ISBLANK(INDEX(FX_Input,$Q39,$AB40)),0.03,INDEX(FX_Input,AB39,#REF!))</f>
        <v>0.03</v>
      </c>
      <c r="H40" cm="1">
        <f t="array" ref="H40">IF(ISBLANK(INDEX(FX_Input,$Q39,$AB40)),0.03,INDEX(FX_Input,#REF!,#REF!))</f>
        <v>0.03</v>
      </c>
      <c r="I40" cm="1">
        <f t="array" ref="I40">IF(ISBLANK(INDEX(FX_Input,$Q39,$AB40)),0.03,INDEX(FX_Input,#REF!,#REF!))</f>
        <v>0.03</v>
      </c>
      <c r="J40" cm="1">
        <f t="array" ref="J40">IF(ISBLANK(INDEX(FX_Input,$Q39,$AB40)),0.03,INDEX(FX_Input,#REF!,#REF!))</f>
        <v>0.03</v>
      </c>
      <c r="K40" cm="1">
        <f t="array" ref="K40">IF(ISBLANK(INDEX(FX_Input,$Q39,$AB40)),0.03,INDEX(FX_Input,#REF!,AC40))</f>
        <v>0.03</v>
      </c>
      <c r="L40" cm="1">
        <f t="array" ref="L40">IF(ISBLANK(INDEX(FX_Input,$Q39,$AB40)),0.03,INDEX(FX_Input,#REF!,AD40))</f>
        <v>0.03</v>
      </c>
      <c r="M40" cm="1">
        <f t="array" ref="M40">IF(ISBLANK(INDEX(FX_Input,$Q39,$AB40)),0.03,INDEX(FX_Input,#REF!,#REF!))</f>
        <v>0.03</v>
      </c>
      <c r="N40" cm="1">
        <f t="array" ref="N40">IF(ISBLANK(INDEX(FX_Input,$Q39,$AB40)),0.03,INDEX(FX_Input,AC39,#REF!))</f>
        <v>0.03</v>
      </c>
      <c r="O40" cm="1">
        <f t="array" ref="O40">IF(ISBLANK(INDEX(FX_Input,$Q39,$AB40)),0.03,INDEX(FX_Input,AD39,#REF!))</f>
        <v>0.03</v>
      </c>
      <c r="AB40">
        <v>15</v>
      </c>
    </row>
    <row r="41" spans="1:32" ht="17.149999999999999" x14ac:dyDescent="0.55000000000000004">
      <c r="B41" t="str">
        <f>B40</f>
        <v>Portland</v>
      </c>
      <c r="C41" t="s">
        <v>565</v>
      </c>
      <c r="D41" cm="1">
        <f t="array" ref="D41">IF(ISBLANK(INDEX(FX_Input,$Q39,$AB41)),-0.03,INDEX(FX_Input,Q39,AB41))</f>
        <v>-0.03</v>
      </c>
      <c r="E41" cm="1">
        <f t="array" ref="E41">IF(ISBLANK(INDEX(FX_Input,$Q39,$AB41)),-0.03,INDEX(FX_Input,R39,#REF!))</f>
        <v>-0.03</v>
      </c>
      <c r="F41" cm="1">
        <f t="array" ref="F41">IF(ISBLANK(INDEX(FX_Input,$Q39,$AB41)),-0.03,INDEX(FX_Input,S39,#REF!))</f>
        <v>-0.03</v>
      </c>
      <c r="G41" cm="1">
        <f t="array" ref="G41">IF(ISBLANK(INDEX(FX_Input,$Q39,$AB41)),-0.03,INDEX(FX_Input,AB39,#REF!))</f>
        <v>-0.03</v>
      </c>
      <c r="H41" cm="1">
        <f t="array" ref="H41">IF(ISBLANK(INDEX(FX_Input,$Q39,$AB41)),-0.03,INDEX(FX_Input,#REF!,#REF!))</f>
        <v>-0.03</v>
      </c>
      <c r="I41" cm="1">
        <f t="array" ref="I41">IF(ISBLANK(INDEX(FX_Input,$Q39,$AB41)),-0.03,INDEX(FX_Input,#REF!,#REF!))</f>
        <v>-0.03</v>
      </c>
      <c r="J41" cm="1">
        <f t="array" ref="J41">IF(ISBLANK(INDEX(FX_Input,$Q39,$AB41)),-0.03,INDEX(FX_Input,#REF!,#REF!))</f>
        <v>-0.03</v>
      </c>
      <c r="K41" cm="1">
        <f t="array" ref="K41">IF(ISBLANK(INDEX(FX_Input,$Q39,$AB41)),-0.03,INDEX(FX_Input,#REF!,AC41))</f>
        <v>-0.03</v>
      </c>
      <c r="L41" cm="1">
        <f t="array" ref="L41">IF(ISBLANK(INDEX(FX_Input,$Q39,$AB41)),-0.03,INDEX(FX_Input,#REF!,AD41))</f>
        <v>-0.03</v>
      </c>
      <c r="M41" cm="1">
        <f t="array" ref="M41">IF(ISBLANK(INDEX(FX_Input,$Q39,$AB41)),-0.03,INDEX(FX_Input,#REF!,#REF!))</f>
        <v>-0.03</v>
      </c>
      <c r="N41" cm="1">
        <f t="array" ref="N41">IF(ISBLANK(INDEX(FX_Input,$Q39,$AB41)),-0.03,INDEX(FX_Input,AC39,#REF!))</f>
        <v>-0.03</v>
      </c>
      <c r="O41" cm="1">
        <f t="array" ref="O41">IF(ISBLANK(INDEX(FX_Input,$Q39,$AB41)),-0.03,INDEX(FX_Input,AD39,#REF!))</f>
        <v>-0.03</v>
      </c>
      <c r="AB41">
        <v>16</v>
      </c>
    </row>
    <row r="42" spans="1:32" x14ac:dyDescent="0.4">
      <c r="B42" t="str">
        <f t="shared" ref="B42:B43" si="18">B41</f>
        <v>Portland</v>
      </c>
      <c r="C42" s="66" t="s">
        <v>567</v>
      </c>
      <c r="D42" t="str" cm="1">
        <f t="array" ref="D42">INDEX(FX_Multi,$AD42,D$3)</f>
        <v>Jet kerosene</v>
      </c>
      <c r="E42" t="str" cm="1">
        <f t="array" ref="E42">INDEX(FX_Multi,$AD42,E$3)</f>
        <v>Jet kerosene</v>
      </c>
      <c r="F42" t="str" cm="1">
        <f t="array" ref="F42">INDEX(FX_Multi,$AD42,F$3)</f>
        <v>Jet kerosene</v>
      </c>
      <c r="G42" t="str" cm="1">
        <f t="array" ref="G42">INDEX(FX_Multi,$AD42,G$3)</f>
        <v>Jet kerosene</v>
      </c>
      <c r="H42" t="str" cm="1">
        <f t="array" ref="H42">INDEX(FX_Multi,$AD42,H$3)</f>
        <v>Jet kerosene</v>
      </c>
      <c r="I42" t="str" cm="1">
        <f t="array" ref="I42">INDEX(FX_Multi,$AD42,I$3)</f>
        <v>Jet kerosene</v>
      </c>
      <c r="J42" t="str" cm="1">
        <f t="array" ref="J42">INDEX(FX_Multi,$AD42,J$3)</f>
        <v>Jet kerosene</v>
      </c>
      <c r="K42" t="str" cm="1">
        <f t="array" ref="K42">INDEX(FX_Multi,$AD42,K$3)</f>
        <v>Jet kerosene</v>
      </c>
      <c r="L42" t="str" cm="1">
        <f t="array" ref="L42">INDEX(FX_Multi,$AD42,L$3)</f>
        <v>Jet kerosene</v>
      </c>
      <c r="M42" t="str" cm="1">
        <f t="array" ref="M42">INDEX(FX_Multi,$AD42,M$3)</f>
        <v>Jet kerosene</v>
      </c>
      <c r="N42" t="str" cm="1">
        <f t="array" ref="N42">INDEX(FX_Multi,$AD42,N$3)</f>
        <v>Jet kerosene</v>
      </c>
      <c r="O42" t="str" cm="1">
        <f t="array" ref="O42">INDEX(FX_Multi,$AD42,O$3)</f>
        <v>Jet kerosene</v>
      </c>
      <c r="AC42">
        <v>1</v>
      </c>
      <c r="AD42">
        <f>AD39</f>
        <v>15</v>
      </c>
      <c r="AE42">
        <v>1</v>
      </c>
      <c r="AF42">
        <f>AF39</f>
        <v>15</v>
      </c>
    </row>
    <row r="43" spans="1:32" x14ac:dyDescent="0.4">
      <c r="B43" t="str">
        <f t="shared" si="18"/>
        <v>Portland</v>
      </c>
      <c r="C43" s="66" t="s">
        <v>566</v>
      </c>
      <c r="D43" t="str" cm="1">
        <f t="array" ref="D43">INDEX(FX_Multi,$AD43,D$3)</f>
        <v>Select Pet Stock</v>
      </c>
      <c r="E43" t="str" cm="1">
        <f t="array" ref="E43">INDEX(FX_Multi,$AD43,E$3)</f>
        <v>Select Pet Stock</v>
      </c>
      <c r="F43" t="str" cm="1">
        <f t="array" ref="F43">INDEX(FX_Multi,$AD43,F$3)</f>
        <v>Select Pet Stock</v>
      </c>
      <c r="G43" t="str" cm="1">
        <f t="array" ref="G43">INDEX(FX_Multi,$AD43,G$3)</f>
        <v>Select Pet Stock</v>
      </c>
      <c r="H43" t="str" cm="1">
        <f t="array" ref="H43">INDEX(FX_Multi,$AD43,H$3)</f>
        <v>Select Pet Stock</v>
      </c>
      <c r="I43" t="str" cm="1">
        <f t="array" ref="I43">INDEX(FX_Multi,$AD43,I$3)</f>
        <v>Select Pet Stock</v>
      </c>
      <c r="J43" t="str" cm="1">
        <f t="array" ref="J43">INDEX(FX_Multi,$AD43,J$3)</f>
        <v>Select Pet Stock</v>
      </c>
      <c r="K43" t="str" cm="1">
        <f t="array" ref="K43">INDEX(FX_Multi,$AD43,K$3)</f>
        <v>Select Pet Stock</v>
      </c>
      <c r="L43" t="str" cm="1">
        <f t="array" ref="L43">INDEX(FX_Multi,$AD43,L$3)</f>
        <v>Select Pet Stock</v>
      </c>
      <c r="M43" t="str" cm="1">
        <f t="array" ref="M43">INDEX(FX_Multi,$AD43,M$3)</f>
        <v>Select Pet Stock</v>
      </c>
      <c r="N43" t="str" cm="1">
        <f t="array" ref="N43">INDEX(FX_Multi,$AD43,N$3)</f>
        <v>Select Pet Stock</v>
      </c>
      <c r="O43" t="str" cm="1">
        <f t="array" ref="O43">INDEX(FX_Multi,$AD43,O$3)</f>
        <v>Select Pet Stock</v>
      </c>
      <c r="AC43">
        <v>1</v>
      </c>
      <c r="AD43">
        <f>AD42+2</f>
        <v>17</v>
      </c>
      <c r="AE43">
        <v>1</v>
      </c>
      <c r="AF43">
        <f>AF42+3</f>
        <v>18</v>
      </c>
    </row>
    <row r="44" spans="1:32" x14ac:dyDescent="0.4">
      <c r="B44" t="str">
        <f>B40</f>
        <v>Portland</v>
      </c>
      <c r="C44" s="66" t="s">
        <v>568</v>
      </c>
      <c r="D44" cm="1">
        <f t="array" ref="D44">INDEX(FX_Multi,$AD44,D$3)</f>
        <v>0</v>
      </c>
      <c r="E44" cm="1">
        <f t="array" ref="E44">INDEX(FX_Multi,$AD44,E$3)</f>
        <v>0</v>
      </c>
      <c r="F44" cm="1">
        <f t="array" ref="F44">INDEX(FX_Multi,$AD44,F$3)</f>
        <v>0</v>
      </c>
      <c r="G44" cm="1">
        <f t="array" ref="G44">INDEX(FX_Multi,$AD44,G$3)</f>
        <v>0</v>
      </c>
      <c r="H44" cm="1">
        <f t="array" ref="H44">INDEX(FX_Multi,$AD44,H$3)</f>
        <v>0</v>
      </c>
      <c r="I44" cm="1">
        <f t="array" ref="I44">INDEX(FX_Multi,$AD44,I$3)</f>
        <v>0</v>
      </c>
      <c r="J44" cm="1">
        <f t="array" ref="J44">INDEX(FX_Multi,$AD44,J$3)</f>
        <v>0</v>
      </c>
      <c r="K44" cm="1">
        <f t="array" ref="K44">INDEX(FX_Multi,$AD44,K$3)</f>
        <v>0</v>
      </c>
      <c r="L44" cm="1">
        <f t="array" ref="L44">INDEX(FX_Multi,$AD44,L$3)</f>
        <v>0</v>
      </c>
      <c r="M44" cm="1">
        <f t="array" ref="M44">INDEX(FX_Multi,$AD44,M$3)</f>
        <v>0</v>
      </c>
      <c r="N44" cm="1">
        <f t="array" ref="N44">INDEX(FX_Multi,$AD44,N$3)</f>
        <v>0</v>
      </c>
      <c r="O44" cm="1">
        <f t="array" ref="O44">INDEX(FX_Multi,$AD44,O$3)</f>
        <v>0</v>
      </c>
      <c r="AC44">
        <v>1</v>
      </c>
      <c r="AD44">
        <f>AD43-1</f>
        <v>16</v>
      </c>
      <c r="AE44">
        <v>1</v>
      </c>
      <c r="AF44">
        <f>AF42+1</f>
        <v>16</v>
      </c>
    </row>
    <row r="45" spans="1:32" x14ac:dyDescent="0.4">
      <c r="B45" t="str">
        <f t="shared" ref="B45:B49" si="19">B44</f>
        <v>Portland</v>
      </c>
      <c r="C45" s="66" t="s">
        <v>569</v>
      </c>
      <c r="D45" cm="1">
        <f t="array" ref="D45">INDEX(FX_Multi,$AD45,D$3)</f>
        <v>0</v>
      </c>
      <c r="E45" cm="1">
        <f t="array" ref="E45">INDEX(FX_Multi,$AD45,E$3)</f>
        <v>0</v>
      </c>
      <c r="F45" cm="1">
        <f t="array" ref="F45">INDEX(FX_Multi,$AD45,F$3)</f>
        <v>0</v>
      </c>
      <c r="G45" cm="1">
        <f t="array" ref="G45">INDEX(FX_Multi,$AD45,G$3)</f>
        <v>0</v>
      </c>
      <c r="H45" cm="1">
        <f t="array" ref="H45">INDEX(FX_Multi,$AD45,H$3)</f>
        <v>0</v>
      </c>
      <c r="I45" cm="1">
        <f t="array" ref="I45">INDEX(FX_Multi,$AD45,I$3)</f>
        <v>0</v>
      </c>
      <c r="J45" cm="1">
        <f t="array" ref="J45">INDEX(FX_Multi,$AD45,J$3)</f>
        <v>0</v>
      </c>
      <c r="K45" cm="1">
        <f t="array" ref="K45">INDEX(FX_Multi,$AD45,K$3)</f>
        <v>0</v>
      </c>
      <c r="L45" cm="1">
        <f t="array" ref="L45">INDEX(FX_Multi,$AD45,L$3)</f>
        <v>0</v>
      </c>
      <c r="M45" cm="1">
        <f t="array" ref="M45">INDEX(FX_Multi,$AD45,M$3)</f>
        <v>0</v>
      </c>
      <c r="N45" cm="1">
        <f t="array" ref="N45">INDEX(FX_Multi,$AD45,N$3)</f>
        <v>0</v>
      </c>
      <c r="O45" cm="1">
        <f t="array" ref="O45">INDEX(FX_Multi,$AD45,O$3)</f>
        <v>0</v>
      </c>
      <c r="AC45">
        <v>1</v>
      </c>
      <c r="AD45">
        <f>AD44+2</f>
        <v>18</v>
      </c>
      <c r="AE45">
        <v>1</v>
      </c>
      <c r="AF45">
        <f>AF43</f>
        <v>18</v>
      </c>
    </row>
    <row r="46" spans="1:32" ht="17.149999999999999" x14ac:dyDescent="0.55000000000000004">
      <c r="B46" t="str">
        <f t="shared" si="19"/>
        <v>Portland</v>
      </c>
      <c r="C46" t="s">
        <v>570</v>
      </c>
      <c r="D46" cm="1">
        <f t="array" ref="D46">INDEX(FX_Multi,$AD46,D$3)</f>
        <v>1</v>
      </c>
      <c r="E46" cm="1">
        <f t="array" ref="E46">INDEX(FX_Multi,$AD46,E$3)</f>
        <v>1</v>
      </c>
      <c r="F46" cm="1">
        <f t="array" ref="F46">INDEX(FX_Multi,$AD46,F$3)</f>
        <v>1</v>
      </c>
      <c r="G46" cm="1">
        <f t="array" ref="G46">INDEX(FX_Multi,$AD46,G$3)</f>
        <v>1</v>
      </c>
      <c r="H46" cm="1">
        <f t="array" ref="H46">INDEX(FX_Multi,$AD46,H$3)</f>
        <v>1</v>
      </c>
      <c r="I46" cm="1">
        <f t="array" ref="I46">INDEX(FX_Multi,$AD46,I$3)</f>
        <v>1</v>
      </c>
      <c r="J46" cm="1">
        <f t="array" ref="J46">INDEX(FX_Multi,$AD46,J$3)</f>
        <v>1</v>
      </c>
      <c r="K46" cm="1">
        <f t="array" ref="K46">INDEX(FX_Multi,$AD46,K$3)</f>
        <v>1</v>
      </c>
      <c r="L46" cm="1">
        <f t="array" ref="L46">INDEX(FX_Multi,$AD46,L$3)</f>
        <v>1</v>
      </c>
      <c r="M46" cm="1">
        <f t="array" ref="M46">INDEX(FX_Multi,$AD46,M$3)</f>
        <v>1</v>
      </c>
      <c r="N46" cm="1">
        <f t="array" ref="N46">INDEX(FX_Multi,$AD46,N$3)</f>
        <v>1</v>
      </c>
      <c r="O46" cm="1">
        <f t="array" ref="O46">INDEX(FX_Multi,$AD46,O$3)</f>
        <v>1</v>
      </c>
      <c r="AC46">
        <v>1</v>
      </c>
      <c r="AD46">
        <f>AD45+6</f>
        <v>24</v>
      </c>
      <c r="AE46">
        <v>1</v>
      </c>
      <c r="AF46">
        <f>AF42+9</f>
        <v>24</v>
      </c>
    </row>
    <row r="47" spans="1:32" ht="17.149999999999999" x14ac:dyDescent="0.55000000000000004">
      <c r="B47" t="str">
        <f t="shared" si="19"/>
        <v>Portland</v>
      </c>
      <c r="C47" t="s">
        <v>571</v>
      </c>
      <c r="D47" cm="1">
        <f t="array" ref="D47">INDEX(FX_Multi,$AD47,D$3)</f>
        <v>162</v>
      </c>
      <c r="E47" cm="1">
        <f t="array" ref="E47">INDEX(FX_Multi,$AD47,E$3)</f>
        <v>162</v>
      </c>
      <c r="F47" cm="1">
        <f t="array" ref="F47">INDEX(FX_Multi,$AD47,F$3)</f>
        <v>162</v>
      </c>
      <c r="G47" cm="1">
        <f t="array" ref="G47">INDEX(FX_Multi,$AD47,G$3)</f>
        <v>162</v>
      </c>
      <c r="H47" cm="1">
        <f t="array" ref="H47">INDEX(FX_Multi,$AD47,H$3)</f>
        <v>162</v>
      </c>
      <c r="I47" cm="1">
        <f t="array" ref="I47">INDEX(FX_Multi,$AD47,I$3)</f>
        <v>162</v>
      </c>
      <c r="J47" cm="1">
        <f t="array" ref="J47">INDEX(FX_Multi,$AD47,J$3)</f>
        <v>162</v>
      </c>
      <c r="K47" cm="1">
        <f t="array" ref="K47">INDEX(FX_Multi,$AD47,K$3)</f>
        <v>162</v>
      </c>
      <c r="L47" cm="1">
        <f t="array" ref="L47">INDEX(FX_Multi,$AD47,L$3)</f>
        <v>162</v>
      </c>
      <c r="M47" cm="1">
        <f t="array" ref="M47">INDEX(FX_Multi,$AD47,M$3)</f>
        <v>162</v>
      </c>
      <c r="N47" cm="1">
        <f t="array" ref="N47">INDEX(FX_Multi,$AD47,N$3)</f>
        <v>162</v>
      </c>
      <c r="O47" cm="1">
        <f t="array" ref="O47">INDEX(FX_Multi,$AD47,O$3)</f>
        <v>162</v>
      </c>
      <c r="AC47">
        <v>1</v>
      </c>
      <c r="AD47">
        <f>AD46-3</f>
        <v>21</v>
      </c>
      <c r="AE47">
        <v>1</v>
      </c>
      <c r="AF47">
        <f>AF42+6</f>
        <v>21</v>
      </c>
    </row>
    <row r="48" spans="1:32" ht="17.149999999999999" x14ac:dyDescent="0.55000000000000004">
      <c r="B48" t="str">
        <f t="shared" si="19"/>
        <v>Portland</v>
      </c>
      <c r="C48" t="s">
        <v>572</v>
      </c>
      <c r="D48" cm="1">
        <f t="array" ref="D48">INDEX(FX_Multi,$AD48,D$3)</f>
        <v>0</v>
      </c>
      <c r="E48" cm="1">
        <f t="array" ref="E48">INDEX(FX_Multi,$AD48,E$3)</f>
        <v>0</v>
      </c>
      <c r="F48" cm="1">
        <f t="array" ref="F48">INDEX(FX_Multi,$AD48,F$3)</f>
        <v>0</v>
      </c>
      <c r="G48" cm="1">
        <f t="array" ref="G48">INDEX(FX_Multi,$AD48,G$3)</f>
        <v>0</v>
      </c>
      <c r="H48" cm="1">
        <f t="array" ref="H48">INDEX(FX_Multi,$AD48,H$3)</f>
        <v>0</v>
      </c>
      <c r="I48" cm="1">
        <f t="array" ref="I48">INDEX(FX_Multi,$AD48,I$3)</f>
        <v>0</v>
      </c>
      <c r="J48" cm="1">
        <f t="array" ref="J48">INDEX(FX_Multi,$AD48,J$3)</f>
        <v>0</v>
      </c>
      <c r="K48" cm="1">
        <f t="array" ref="K48">INDEX(FX_Multi,$AD48,K$3)</f>
        <v>0</v>
      </c>
      <c r="L48" cm="1">
        <f t="array" ref="L48">INDEX(FX_Multi,$AD48,L$3)</f>
        <v>0</v>
      </c>
      <c r="M48" cm="1">
        <f t="array" ref="M48">INDEX(FX_Multi,$AD48,M$3)</f>
        <v>0</v>
      </c>
      <c r="N48" cm="1">
        <f t="array" ref="N48">INDEX(FX_Multi,$AD48,N$3)</f>
        <v>0</v>
      </c>
      <c r="O48" cm="1">
        <f t="array" ref="O48">INDEX(FX_Multi,$AD48,O$3)</f>
        <v>0</v>
      </c>
      <c r="AC48">
        <v>1</v>
      </c>
      <c r="AD48">
        <f>AD47+4</f>
        <v>25</v>
      </c>
      <c r="AE48">
        <v>1</v>
      </c>
      <c r="AF48">
        <f>AF42+10</f>
        <v>25</v>
      </c>
    </row>
    <row r="49" spans="2:32" ht="17.25" customHeight="1" x14ac:dyDescent="0.55000000000000004">
      <c r="B49" t="str">
        <f t="shared" si="19"/>
        <v>Portland</v>
      </c>
      <c r="C49" t="s">
        <v>573</v>
      </c>
      <c r="D49" cm="1">
        <f t="array" ref="D49">INDEX(FX_Multi,$AD49,D$3)</f>
        <v>0</v>
      </c>
      <c r="E49" cm="1">
        <f t="array" ref="E49">INDEX(FX_Multi,$AD49,E$3)</f>
        <v>0</v>
      </c>
      <c r="F49" cm="1">
        <f t="array" ref="F49">INDEX(FX_Multi,$AD49,F$3)</f>
        <v>0</v>
      </c>
      <c r="G49" cm="1">
        <f t="array" ref="G49">INDEX(FX_Multi,$AD49,G$3)</f>
        <v>0</v>
      </c>
      <c r="H49" cm="1">
        <f t="array" ref="H49">INDEX(FX_Multi,$AD49,H$3)</f>
        <v>0</v>
      </c>
      <c r="I49" cm="1">
        <f t="array" ref="I49">INDEX(FX_Multi,$AD49,I$3)</f>
        <v>0</v>
      </c>
      <c r="J49" cm="1">
        <f t="array" ref="J49">INDEX(FX_Multi,$AD49,J$3)</f>
        <v>0</v>
      </c>
      <c r="K49" cm="1">
        <f t="array" ref="K49">INDEX(FX_Multi,$AD49,K$3)</f>
        <v>0</v>
      </c>
      <c r="L49" cm="1">
        <f t="array" ref="L49">INDEX(FX_Multi,$AD49,L$3)</f>
        <v>0</v>
      </c>
      <c r="M49" cm="1">
        <f t="array" ref="M49">INDEX(FX_Multi,$AD49,M$3)</f>
        <v>0</v>
      </c>
      <c r="N49" cm="1">
        <f t="array" ref="N49">INDEX(FX_Multi,$AD49,N$3)</f>
        <v>0</v>
      </c>
      <c r="O49" cm="1">
        <f t="array" ref="O49">INDEX(FX_Multi,$AD49,O$3)</f>
        <v>0</v>
      </c>
      <c r="AC49">
        <v>1</v>
      </c>
      <c r="AD49">
        <f>AD48-3</f>
        <v>22</v>
      </c>
      <c r="AE49">
        <v>1</v>
      </c>
      <c r="AF49">
        <f>AF42+7</f>
        <v>22</v>
      </c>
    </row>
    <row r="50" spans="2:32" ht="17.25" customHeight="1" x14ac:dyDescent="0.55000000000000004">
      <c r="B50" t="str">
        <f>B45</f>
        <v>Portland</v>
      </c>
      <c r="C50" t="s">
        <v>526</v>
      </c>
      <c r="D50" cm="1">
        <f t="array" ref="D50">INDEX(FX_Temps,$AF50,D$3)</f>
        <v>42.403099999999938</v>
      </c>
      <c r="E50" cm="1">
        <f t="array" ref="E50">INDEX(FX_Temps,$AF50,E$3)</f>
        <v>43.080000000000041</v>
      </c>
      <c r="F50" cm="1">
        <f t="array" ref="F50">INDEX(FX_Temps,$AF50,F$3)</f>
        <v>44.95089999999999</v>
      </c>
      <c r="G50" cm="1">
        <f t="array" ref="G50">INDEX(FX_Temps,$AF50,G$3)</f>
        <v>48.048400000000015</v>
      </c>
      <c r="H50" cm="1">
        <f t="array" ref="H50">INDEX(FX_Temps,$AF50,H$3)</f>
        <v>53.102899999999977</v>
      </c>
      <c r="I50" cm="1">
        <f t="array" ref="I50">INDEX(FX_Temps,$AF50,I$3)</f>
        <v>57.215900000000033</v>
      </c>
      <c r="J50" cm="1">
        <f t="array" ref="J50">INDEX(FX_Temps,$AF50,J$3)</f>
        <v>60.813599999999838</v>
      </c>
      <c r="K50" cm="1">
        <f t="array" ref="K50">INDEX(FX_Temps,$AF50,K$3)</f>
        <v>60.716400000000021</v>
      </c>
      <c r="L50" cm="1">
        <f t="array" ref="L50">INDEX(FX_Temps,$AF50,L$3)</f>
        <v>57.353200000000015</v>
      </c>
      <c r="M50" cm="1">
        <f t="array" ref="M50">INDEX(FX_Temps,$AF50,M$3)</f>
        <v>50.947600000000079</v>
      </c>
      <c r="N50" cm="1">
        <f t="array" ref="N50">INDEX(FX_Temps,$AF50,N$3)</f>
        <v>45.324700000000007</v>
      </c>
      <c r="O50" cm="1">
        <f t="array" ref="O50">INDEX(FX_Temps,$AF50,O$3)</f>
        <v>42.113400000000013</v>
      </c>
      <c r="AE50">
        <v>1</v>
      </c>
      <c r="AF50">
        <f>AF42+10</f>
        <v>25</v>
      </c>
    </row>
    <row r="51" spans="2:32" ht="17.149999999999999" x14ac:dyDescent="0.55000000000000004">
      <c r="B51" t="str">
        <f t="shared" ref="B51:B72" si="20">B50</f>
        <v>Portland</v>
      </c>
      <c r="C51" t="s">
        <v>527</v>
      </c>
      <c r="D51" cm="1">
        <f t="array" ref="D51">INDEX(FX_Temps,$AF51,D$3)</f>
        <v>46.563099999999963</v>
      </c>
      <c r="E51" cm="1">
        <f t="array" ref="E51">INDEX(FX_Temps,$AF51,E$3)</f>
        <v>48.360000000000014</v>
      </c>
      <c r="F51" cm="1">
        <f t="array" ref="F51">INDEX(FX_Temps,$AF51,F$3)</f>
        <v>50.230900000000076</v>
      </c>
      <c r="G51" cm="1">
        <f t="array" ref="G51">INDEX(FX_Temps,$AF51,G$3)</f>
        <v>53.408400000000029</v>
      </c>
      <c r="H51" cm="1">
        <f t="array" ref="H51">INDEX(FX_Temps,$AF51,H$3)</f>
        <v>58.422899999999913</v>
      </c>
      <c r="I51" cm="1">
        <f t="array" ref="I51">INDEX(FX_Temps,$AF51,I$3)</f>
        <v>62.215900000000033</v>
      </c>
      <c r="J51" cm="1">
        <f t="array" ref="J51">INDEX(FX_Temps,$AF51,J$3)</f>
        <v>65.893599999999878</v>
      </c>
      <c r="K51" cm="1">
        <f t="array" ref="K51">INDEX(FX_Temps,$AF51,K$3)</f>
        <v>66.156400000000076</v>
      </c>
      <c r="L51" cm="1">
        <f t="array" ref="L51">INDEX(FX_Temps,$AF51,L$3)</f>
        <v>63.913199999999961</v>
      </c>
      <c r="M51" cm="1">
        <f t="array" ref="M51">INDEX(FX_Temps,$AF51,M$3)</f>
        <v>56.827600000000075</v>
      </c>
      <c r="N51" cm="1">
        <f t="array" ref="N51">INDEX(FX_Temps,$AF51,N$3)</f>
        <v>50.204700000000003</v>
      </c>
      <c r="O51" cm="1">
        <f t="array" ref="O51">INDEX(FX_Temps,$AF51,O$3)</f>
        <v>46.113400000000013</v>
      </c>
      <c r="AE51">
        <f>AE50</f>
        <v>1</v>
      </c>
      <c r="AF51">
        <f>AF42+11</f>
        <v>26</v>
      </c>
    </row>
    <row r="52" spans="2:32" ht="17.149999999999999" x14ac:dyDescent="0.55000000000000004">
      <c r="B52" t="str">
        <f t="shared" si="20"/>
        <v>Portland</v>
      </c>
      <c r="C52" t="s">
        <v>552</v>
      </c>
      <c r="D52" cm="1">
        <f t="array" ref="D52">INDEX(FX_Temps,$AF52,D$3)</f>
        <v>44.748924999999986</v>
      </c>
      <c r="E52" cm="1">
        <f t="array" ref="E52">INDEX(FX_Temps,$AF52,E$3)</f>
        <v>46.185000000000059</v>
      </c>
      <c r="F52" cm="1">
        <f t="array" ref="F52">INDEX(FX_Temps,$AF52,F$3)</f>
        <v>48.270575000000008</v>
      </c>
      <c r="G52" cm="1">
        <f t="array" ref="G52">INDEX(FX_Temps,$AF52,G$3)</f>
        <v>51.698699999999917</v>
      </c>
      <c r="H52" cm="1">
        <f t="array" ref="H52">INDEX(FX_Temps,$AF52,H$3)</f>
        <v>56.954074999999875</v>
      </c>
      <c r="I52" cm="1">
        <f t="array" ref="I52">INDEX(FX_Temps,$AF52,I$3)</f>
        <v>60.976825000000076</v>
      </c>
      <c r="J52" cm="1">
        <f t="array" ref="J52">INDEX(FX_Temps,$AF52,J$3)</f>
        <v>64.677299999999832</v>
      </c>
      <c r="K52" cm="1">
        <f t="array" ref="K52">INDEX(FX_Temps,$AF52,K$3)</f>
        <v>64.592699999999923</v>
      </c>
      <c r="L52" cm="1">
        <f t="array" ref="L52">INDEX(FX_Temps,$AF52,L$3)</f>
        <v>61.560100000000034</v>
      </c>
      <c r="M52" cm="1">
        <f t="array" ref="M52">INDEX(FX_Temps,$AF52,M$3)</f>
        <v>54.451800000000048</v>
      </c>
      <c r="N52" cm="1">
        <f t="array" ref="N52">INDEX(FX_Temps,$AF52,N$3)</f>
        <v>48.067724999999996</v>
      </c>
      <c r="O52" cm="1">
        <f t="array" ref="O52">INDEX(FX_Temps,$AF52,O$3)</f>
        <v>44.347450000000038</v>
      </c>
      <c r="AE52">
        <f>AE51</f>
        <v>1</v>
      </c>
      <c r="AF52">
        <f>AF42+13</f>
        <v>28</v>
      </c>
    </row>
    <row r="53" spans="2:32" ht="17.149999999999999" x14ac:dyDescent="0.55000000000000004">
      <c r="B53" t="str">
        <f t="shared" si="20"/>
        <v>Portland</v>
      </c>
      <c r="C53" t="s">
        <v>574</v>
      </c>
      <c r="D53" cm="1">
        <f t="array" ref="D53">IFERROR(IF(D43="Chemical",(10^(INDEX(Antoines,MATCH(D42,Antoine_Name,0),2)-INDEX(Antoines,MATCH(D42,Antoine_Name,0),3)/(INDEX(Antoines,MATCH(D42,Antoine_Name,0),4)+(D50-32)*5/9)))*14.7/760,IF(D43="Crude Oil",EXP((2799/(D50+459.6)-2.227)*LOG10(INDEX(FX_Input,Q$5,D$3*$Z$5+$AA$5))-(7261/(D50+459.6))+12.82),IF(D43="Refined Petroleum Stock",EXP((0.7553-(413/(D50+459.6)))*(INDEX(FX_Input,Q$5,D$3*$Z$5+$AA$5-1)^0.5)*LOG10(INDEX(FX_Input,Q$5,D$3*$Z$5+$AA$5))-(1.854-(1042/(D50+459.6)))*(INDEX(FX_Input,Q$5,D$3*$Z$5+$AA$5-1)^0.5)+((2416/(D50+459.6)-2.013)*LOG10(INDEX(FX_Input,Q$5,D$3*$Z$5+$AA$5)))-(8742/(D50+459.6))+15.64),EXP(INDEX(Antoines,MATCH(D42,Antoine_Name,0),2)-INDEX(Antoines,MATCH(D42,Antoine_Name,0),3)/(D50+459.6))))),0)</f>
        <v>4.4953541371678231E-3</v>
      </c>
      <c r="E53" cm="1">
        <f t="array" ref="E53">IFERROR(IF(E43="Chemical",(10^(INDEX(Antoines,MATCH(E42,Antoine_Name,0),2)-INDEX(Antoines,MATCH(E42,Antoine_Name,0),3)/(INDEX(Antoines,MATCH(E42,Antoine_Name,0),4)+(E50-32)*5/9)))*14.7/760,IF(E43="Crude Oil",EXP((2799/(E50+459.6)-2.227)*LOG10(INDEX(FX_Input,R$5,E$3*$Z$5+$AA$5))-(7261/(E50+459.6))+12.82),IF(E43="Refined Petroleum Stock",EXP((0.7553-(413/(E50+459.6)))*(INDEX(FX_Input,R$5,E$3*$Z$5+$AA$5-1)^0.5)*LOG10(INDEX(FX_Input,R$5,E$3*$Z$5+$AA$5))-(1.854-(1042/(E50+459.6)))*(INDEX(FX_Input,R$5,E$3*$Z$5+$AA$5-1)^0.5)+((2416/(E50+459.6)-2.013)*LOG10(INDEX(FX_Input,R$5,E$3*$Z$5+$AA$5)))-(8742/(E50+459.6))+15.64),EXP(INDEX(Antoines,MATCH(E42,Antoine_Name,0),2)-INDEX(Antoines,MATCH(E42,Antoine_Name,0),3)/(E50+459.6))))),0)</f>
        <v>4.6043729465544726E-3</v>
      </c>
      <c r="F53" cm="1">
        <f t="array" ref="F53">IFERROR(IF(F43="Chemical",(10^(INDEX(Antoines,MATCH(F42,Antoine_Name,0),2)-INDEX(Antoines,MATCH(F42,Antoine_Name,0),3)/(INDEX(Antoines,MATCH(F42,Antoine_Name,0),4)+(F50-32)*5/9)))*14.7/760,IF(F43="Crude Oil",EXP((2799/(F50+459.6)-2.227)*LOG10(INDEX(FX_Input,S$5,F$3*$Z$5+$AA$5))-(7261/(F50+459.6))+12.82),IF(F43="Refined Petroleum Stock",EXP((0.7553-(413/(F50+459.6)))*(INDEX(FX_Input,S$5,F$3*$Z$5+$AA$5-1)^0.5)*LOG10(INDEX(FX_Input,S$5,F$3*$Z$5+$AA$5))-(1.854-(1042/(F50+459.6)))*(INDEX(FX_Input,S$5,F$3*$Z$5+$AA$5-1)^0.5)+((2416/(F50+459.6)-2.013)*LOG10(INDEX(FX_Input,S$5,F$3*$Z$5+$AA$5)))-(8742/(F50+459.6))+15.64),EXP(INDEX(Antoines,MATCH(F42,Antoine_Name,0),2)-INDEX(Antoines,MATCH(F42,Antoine_Name,0),3)/(F50+459.6))))),0)</f>
        <v>4.9179969260705328E-3</v>
      </c>
      <c r="G53" cm="1">
        <f t="array" ref="G53">IFERROR(IF(G43="Chemical",(10^(INDEX(Antoines,MATCH(G42,Antoine_Name,0),2)-INDEX(Antoines,MATCH(G42,Antoine_Name,0),3)/(INDEX(Antoines,MATCH(G42,Antoine_Name,0),4)+(G50-32)*5/9)))*14.7/760,IF(G43="Crude Oil",EXP((2799/(G50+459.6)-2.227)*LOG10(INDEX(FX_Input,T$5,G$3*$Z$5+$AA$5))-(7261/(G50+459.6))+12.82),IF(G43="Refined Petroleum Stock",EXP((0.7553-(413/(G50+459.6)))*(INDEX(FX_Input,T$5,G$3*$Z$5+$AA$5-1)^0.5)*LOG10(INDEX(FX_Input,T$5,G$3*$Z$5+$AA$5))-(1.854-(1042/(G50+459.6)))*(INDEX(FX_Input,T$5,G$3*$Z$5+$AA$5-1)^0.5)+((2416/(G50+459.6)-2.013)*LOG10(INDEX(FX_Input,T$5,G$3*$Z$5+$AA$5)))-(8742/(G50+459.6))+15.64),EXP(INDEX(Antoines,MATCH(G42,Antoine_Name,0),2)-INDEX(Antoines,MATCH(G42,Antoine_Name,0),3)/(G50+459.6))))),0)</f>
        <v>5.479042667267656E-3</v>
      </c>
      <c r="H53" cm="1">
        <f t="array" ref="H53">IFERROR(IF(H43="Chemical",(10^(INDEX(Antoines,MATCH(H42,Antoine_Name,0),2)-INDEX(Antoines,MATCH(H42,Antoine_Name,0),3)/(INDEX(Antoines,MATCH(H42,Antoine_Name,0),4)+(H50-32)*5/9)))*14.7/760,IF(H43="Crude Oil",EXP((2799/(H50+459.6)-2.227)*LOG10(INDEX(FX_Input,U$5,H$3*$Z$5+$AA$5))-(7261/(H50+459.6))+12.82),IF(H43="Refined Petroleum Stock",EXP((0.7553-(413/(H50+459.6)))*(INDEX(FX_Input,U$5,H$3*$Z$5+$AA$5-1)^0.5)*LOG10(INDEX(FX_Input,U$5,H$3*$Z$5+$AA$5))-(1.854-(1042/(H50+459.6)))*(INDEX(FX_Input,U$5,H$3*$Z$5+$AA$5-1)^0.5)+((2416/(H50+459.6)-2.013)*LOG10(INDEX(FX_Input,U$5,H$3*$Z$5+$AA$5)))-(8742/(H50+459.6))+15.64),EXP(INDEX(Antoines,MATCH(H42,Antoine_Name,0),2)-INDEX(Antoines,MATCH(H42,Antoine_Name,0),3)/(H50+459.6))))),0)</f>
        <v>6.5169685513364909E-3</v>
      </c>
      <c r="I53" cm="1">
        <f t="array" ref="I53">IFERROR(IF(I43="Chemical",(10^(INDEX(Antoines,MATCH(I42,Antoine_Name,0),2)-INDEX(Antoines,MATCH(I42,Antoine_Name,0),3)/(INDEX(Antoines,MATCH(I42,Antoine_Name,0),4)+(I50-32)*5/9)))*14.7/760,IF(I43="Crude Oil",EXP((2799/(I50+459.6)-2.227)*LOG10(INDEX(FX_Input,V$5,I$3*$Z$5+$AA$5))-(7261/(I50+459.6))+12.82),IF(I43="Refined Petroleum Stock",EXP((0.7553-(413/(I50+459.6)))*(INDEX(FX_Input,V$5,I$3*$Z$5+$AA$5-1)^0.5)*LOG10(INDEX(FX_Input,V$5,I$3*$Z$5+$AA$5))-(1.854-(1042/(I50+459.6)))*(INDEX(FX_Input,V$5,I$3*$Z$5+$AA$5-1)^0.5)+((2416/(I50+459.6)-2.013)*LOG10(INDEX(FX_Input,V$5,I$3*$Z$5+$AA$5)))-(8742/(I50+459.6))+15.64),EXP(INDEX(Antoines,MATCH(I42,Antoine_Name,0),2)-INDEX(Antoines,MATCH(I42,Antoine_Name,0),3)/(I50+459.6))))),0)</f>
        <v>7.486267526260572E-3</v>
      </c>
      <c r="J53" cm="1">
        <f t="array" ref="J53">IFERROR(IF(J43="Chemical",(10^(INDEX(Antoines,MATCH(J42,Antoine_Name,0),2)-INDEX(Antoines,MATCH(J42,Antoine_Name,0),3)/(INDEX(Antoines,MATCH(J42,Antoine_Name,0),4)+(J50-32)*5/9)))*14.7/760,IF(J43="Crude Oil",EXP((2799/(J50+459.6)-2.227)*LOG10(INDEX(FX_Input,W$5,J$3*$Z$5+$AA$5))-(7261/(J50+459.6))+12.82),IF(J43="Refined Petroleum Stock",EXP((0.7553-(413/(J50+459.6)))*(INDEX(FX_Input,W$5,J$3*$Z$5+$AA$5-1)^0.5)*LOG10(INDEX(FX_Input,W$5,J$3*$Z$5+$AA$5))-(1.854-(1042/(J50+459.6)))*(INDEX(FX_Input,W$5,J$3*$Z$5+$AA$5-1)^0.5)+((2416/(J50+459.6)-2.013)*LOG10(INDEX(FX_Input,W$5,J$3*$Z$5+$AA$5)))-(8742/(J50+459.6))+15.64),EXP(INDEX(Antoines,MATCH(J42,Antoine_Name,0),2)-INDEX(Antoines,MATCH(J42,Antoine_Name,0),3)/(J50+459.6))))),0)</f>
        <v>8.4364538110447557E-3</v>
      </c>
      <c r="K53" cm="1">
        <f t="array" ref="K53">IFERROR(IF(K43="Chemical",(10^(INDEX(Antoines,MATCH(K42,Antoine_Name,0),2)-INDEX(Antoines,MATCH(K42,Antoine_Name,0),3)/(INDEX(Antoines,MATCH(K42,Antoine_Name,0),4)+(K50-32)*5/9)))*14.7/760,IF(K43="Crude Oil",EXP((2799/(K50+459.6)-2.227)*LOG10(INDEX(FX_Input,X$5,K$3*$Z$5+$AA$5))-(7261/(K50+459.6))+12.82),IF(K43="Refined Petroleum Stock",EXP((0.7553-(413/(K50+459.6)))*(INDEX(FX_Input,X$5,K$3*$Z$5+$AA$5-1)^0.5)*LOG10(INDEX(FX_Input,X$5,K$3*$Z$5+$AA$5))-(1.854-(1042/(K50+459.6)))*(INDEX(FX_Input,X$5,K$3*$Z$5+$AA$5-1)^0.5)+((2416/(K50+459.6)-2.013)*LOG10(INDEX(FX_Input,X$5,K$3*$Z$5+$AA$5)))-(8742/(K50+459.6))+15.64),EXP(INDEX(Antoines,MATCH(K42,Antoine_Name,0),2)-INDEX(Antoines,MATCH(K42,Antoine_Name,0),3)/(K50+459.6))))),0)</f>
        <v>8.4094446398714287E-3</v>
      </c>
      <c r="L53" cm="1">
        <f t="array" ref="L53">IFERROR(IF(L43="Chemical",(10^(INDEX(Antoines,MATCH(L42,Antoine_Name,0),2)-INDEX(Antoines,MATCH(L42,Antoine_Name,0),3)/(INDEX(Antoines,MATCH(L42,Antoine_Name,0),4)+(L50-32)*5/9)))*14.7/760,IF(L43="Crude Oil",EXP((2799/(L50+459.6)-2.227)*LOG10(INDEX(FX_Input,Y$5,L$3*$Z$5+$AA$5))-(7261/(L50+459.6))+12.82),IF(L43="Refined Petroleum Stock",EXP((0.7553-(413/(L50+459.6)))*(INDEX(FX_Input,Y$5,L$3*$Z$5+$AA$5-1)^0.5)*LOG10(INDEX(FX_Input,Y$5,L$3*$Z$5+$AA$5))-(1.854-(1042/(L50+459.6)))*(INDEX(FX_Input,Y$5,L$3*$Z$5+$AA$5-1)^0.5)+((2416/(L50+459.6)-2.013)*LOG10(INDEX(FX_Input,Y$5,L$3*$Z$5+$AA$5)))-(8742/(L50+459.6))+15.64),EXP(INDEX(Antoines,MATCH(L42,Antoine_Name,0),2)-INDEX(Antoines,MATCH(L42,Antoine_Name,0),3)/(L50+459.6))))),0)</f>
        <v>7.5207138884047006E-3</v>
      </c>
      <c r="M53" cm="1">
        <f t="array" ref="M53">IFERROR(IF(M43="Chemical",(10^(INDEX(Antoines,MATCH(M42,Antoine_Name,0),2)-INDEX(Antoines,MATCH(M42,Antoine_Name,0),3)/(INDEX(Antoines,MATCH(M42,Antoine_Name,0),4)+(M50-32)*5/9)))*14.7/760,IF(M43="Crude Oil",EXP((2799/(M50+459.6)-2.227)*LOG10(INDEX(FX_Input,Z$5,M$3*$Z$5+$AA$5))-(7261/(M50+459.6))+12.82),IF(M43="Refined Petroleum Stock",EXP((0.7553-(413/(M50+459.6)))*(INDEX(FX_Input,Z$5,M$3*$Z$5+$AA$5-1)^0.5)*LOG10(INDEX(FX_Input,Z$5,M$3*$Z$5+$AA$5))-(1.854-(1042/(M50+459.6)))*(INDEX(FX_Input,Z$5,M$3*$Z$5+$AA$5-1)^0.5)+((2416/(M50+459.6)-2.013)*LOG10(INDEX(FX_Input,Z$5,M$3*$Z$5+$AA$5)))-(8742/(M50+459.6))+15.64),EXP(INDEX(Antoines,MATCH(M42,Antoine_Name,0),2)-INDEX(Antoines,MATCH(M42,Antoine_Name,0),3)/(M50+459.6))))),0)</f>
        <v>6.0548274008136857E-3</v>
      </c>
      <c r="N53" cm="1">
        <f t="array" ref="N53">IFERROR(IF(N43="Chemical",(10^(INDEX(Antoines,MATCH(N42,Antoine_Name,0),2)-INDEX(Antoines,MATCH(N42,Antoine_Name,0),3)/(INDEX(Antoines,MATCH(N42,Antoine_Name,0),4)+(N50-32)*5/9)))*14.7/760,IF(N43="Crude Oil",EXP((2799/(N50+459.6)-2.227)*LOG10(INDEX(FX_Input,AA$5,N$3*$Z$5+$AA$5))-(7261/(N50+459.6))+12.82),IF(N43="Refined Petroleum Stock",EXP((0.7553-(413/(N50+459.6)))*(INDEX(FX_Input,AA$5,N$3*$Z$5+$AA$5-1)^0.5)*LOG10(INDEX(FX_Input,AA$5,N$3*$Z$5+$AA$5))-(1.854-(1042/(N50+459.6)))*(INDEX(FX_Input,AA$5,N$3*$Z$5+$AA$5-1)^0.5)+((2416/(N50+459.6)-2.013)*LOG10(INDEX(FX_Input,AA$5,N$3*$Z$5+$AA$5)))-(8742/(N50+459.6))+15.64),EXP(INDEX(Antoines,MATCH(N42,Antoine_Name,0),2)-INDEX(Antoines,MATCH(N42,Antoine_Name,0),3)/(N50+459.6))))),0)</f>
        <v>4.9828816635194605E-3</v>
      </c>
      <c r="O53" cm="1">
        <f t="array" ref="O53">IFERROR(IF(O43="Chemical",(10^(INDEX(Antoines,MATCH(O42,Antoine_Name,0),2)-INDEX(Antoines,MATCH(O42,Antoine_Name,0),3)/(INDEX(Antoines,MATCH(O42,Antoine_Name,0),4)+(O50-32)*5/9)))*14.7/760,IF(O43="Crude Oil",EXP((2799/(O50+459.6)-2.227)*LOG10(INDEX(FX_Input,AB$5,O$3*$Z$5+$AA$5))-(7261/(O50+459.6))+12.82),IF(O43="Refined Petroleum Stock",EXP((0.7553-(413/(O50+459.6)))*(INDEX(FX_Input,AB$5,O$3*$Z$5+$AA$5-1)^0.5)*LOG10(INDEX(FX_Input,AB$5,O$3*$Z$5+$AA$5))-(1.854-(1042/(O50+459.6)))*(INDEX(FX_Input,AB$5,O$3*$Z$5+$AA$5-1)^0.5)+((2416/(O50+459.6)-2.013)*LOG10(INDEX(FX_Input,AB$5,O$3*$Z$5+$AA$5)))-(8742/(O50+459.6))+15.64),EXP(INDEX(Antoines,MATCH(O42,Antoine_Name,0),2)-INDEX(Antoines,MATCH(O42,Antoine_Name,0),3)/(O50+459.6))))),0)</f>
        <v>4.4494006627366521E-3</v>
      </c>
    </row>
    <row r="54" spans="2:32" ht="17.149999999999999" x14ac:dyDescent="0.55000000000000004">
      <c r="B54" t="str">
        <f t="shared" si="20"/>
        <v>Portland</v>
      </c>
      <c r="C54" t="s">
        <v>576</v>
      </c>
      <c r="D54">
        <f>D46*D53</f>
        <v>4.4953541371678231E-3</v>
      </c>
      <c r="E54">
        <f t="shared" ref="E54" si="21">E46*E53</f>
        <v>4.6043729465544726E-3</v>
      </c>
      <c r="F54">
        <f t="shared" ref="F54" si="22">F46*F53</f>
        <v>4.9179969260705328E-3</v>
      </c>
      <c r="G54">
        <f t="shared" ref="G54" si="23">G46*G53</f>
        <v>5.479042667267656E-3</v>
      </c>
      <c r="H54">
        <f t="shared" ref="H54" si="24">H46*H53</f>
        <v>6.5169685513364909E-3</v>
      </c>
      <c r="I54">
        <f t="shared" ref="I54" si="25">I46*I53</f>
        <v>7.486267526260572E-3</v>
      </c>
      <c r="J54">
        <f t="shared" ref="J54" si="26">J46*J53</f>
        <v>8.4364538110447557E-3</v>
      </c>
      <c r="K54">
        <f t="shared" ref="K54" si="27">K46*K53</f>
        <v>8.4094446398714287E-3</v>
      </c>
      <c r="L54">
        <f t="shared" ref="L54" si="28">L46*L53</f>
        <v>7.5207138884047006E-3</v>
      </c>
      <c r="M54">
        <f t="shared" ref="M54" si="29">M46*M53</f>
        <v>6.0548274008136857E-3</v>
      </c>
      <c r="N54">
        <f t="shared" ref="N54" si="30">N46*N53</f>
        <v>4.9828816635194605E-3</v>
      </c>
      <c r="O54">
        <f t="shared" ref="O54" si="31">O46*O53</f>
        <v>4.4494006627366521E-3</v>
      </c>
    </row>
    <row r="55" spans="2:32" ht="17.149999999999999" x14ac:dyDescent="0.55000000000000004">
      <c r="B55" t="str">
        <f t="shared" si="20"/>
        <v>Portland</v>
      </c>
      <c r="C55" t="s">
        <v>575</v>
      </c>
      <c r="D55" cm="1">
        <f t="array" ref="D55">IFERROR(IF(D45="Chemical",(10^(INDEX(Antoines,MATCH(D44,Antoine_Name,0),2)-INDEX(Antoines,MATCH(D44,Antoine_Name,0),3)/(INDEX(Antoines,MATCH(D44,Antoine_Name,0),4)+(D50-32)*5/9)))*14.7/760,IF(D45="Crude Oil",EXP((2799/(D50+459.6)-2.227)*LOG10(INDEX(FX_Input,Q$5,D$3*$Z$5+$AA$5))-(7261/(D50+459.6))+12.82),IF(D45="Refined Petroleum Stock",EXP((0.7553-(413/(D50+459.6)))*(INDEX(FX_Input,Q$5,D$3*$Z$5+$AA$5-1)^0.5)*LOG10(INDEX(FX_Input,Q$5,D$3*$Z$5+$AA$5))-(1.854-(1042/(D50+459.6)))*(INDEX(FX_Input,Q$5,D$3*$Z$5+$AA$5-1)^0.5)+((2416/(D50+459.6)-2.013)*LOG10(INDEX(FX_Input,Q$5,D$3*$Z$5+$AA$5)))-(8742/(D50+459.6))+15.64),EXP(INDEX(Antoines,MATCH(D44,Antoine_Name,0),2)-INDEX(Antoines,MATCH(D44,Antoine_Name,0),3)/(D50+459.6))))),0)</f>
        <v>0</v>
      </c>
      <c r="E55" cm="1">
        <f t="array" ref="E55">IFERROR(IF(E45="Chemical",(10^(INDEX(Antoines,MATCH(E44,Antoine_Name,0),2)-INDEX(Antoines,MATCH(E44,Antoine_Name,0),3)/(INDEX(Antoines,MATCH(E44,Antoine_Name,0),4)+(E50-32)*5/9)))*14.7/760,IF(E45="Crude Oil",EXP((2799/(E50+459.6)-2.227)*LOG10(INDEX(FX_Input,R$5,E$3*$Z$5+$AA$5))-(7261/(E50+459.6))+12.82),IF(E45="Refined Petroleum Stock",EXP((0.7553-(413/(E50+459.6)))*(INDEX(FX_Input,R$5,E$3*$Z$5+$AA$5-1)^0.5)*LOG10(INDEX(FX_Input,R$5,E$3*$Z$5+$AA$5))-(1.854-(1042/(E50+459.6)))*(INDEX(FX_Input,R$5,E$3*$Z$5+$AA$5-1)^0.5)+((2416/(E50+459.6)-2.013)*LOG10(INDEX(FX_Input,R$5,E$3*$Z$5+$AA$5)))-(8742/(E50+459.6))+15.64),EXP(INDEX(Antoines,MATCH(E44,Antoine_Name,0),2)-INDEX(Antoines,MATCH(E44,Antoine_Name,0),3)/(E50+459.6))))),0)</f>
        <v>0</v>
      </c>
      <c r="F55" cm="1">
        <f t="array" ref="F55">IFERROR(IF(F45="Chemical",(10^(INDEX(Antoines,MATCH(F44,Antoine_Name,0),2)-INDEX(Antoines,MATCH(F44,Antoine_Name,0),3)/(INDEX(Antoines,MATCH(F44,Antoine_Name,0),4)+(F50-32)*5/9)))*14.7/760,IF(F45="Crude Oil",EXP((2799/(F50+459.6)-2.227)*LOG10(INDEX(FX_Input,S$5,F$3*$Z$5+$AA$5))-(7261/(F50+459.6))+12.82),IF(F45="Refined Petroleum Stock",EXP((0.7553-(413/(F50+459.6)))*(INDEX(FX_Input,S$5,F$3*$Z$5+$AA$5-1)^0.5)*LOG10(INDEX(FX_Input,S$5,F$3*$Z$5+$AA$5))-(1.854-(1042/(F50+459.6)))*(INDEX(FX_Input,S$5,F$3*$Z$5+$AA$5-1)^0.5)+((2416/(F50+459.6)-2.013)*LOG10(INDEX(FX_Input,S$5,F$3*$Z$5+$AA$5)))-(8742/(F50+459.6))+15.64),EXP(INDEX(Antoines,MATCH(F44,Antoine_Name,0),2)-INDEX(Antoines,MATCH(F44,Antoine_Name,0),3)/(F50+459.6))))),0)</f>
        <v>0</v>
      </c>
      <c r="G55" cm="1">
        <f t="array" ref="G55">IFERROR(IF(G45="Chemical",(10^(INDEX(Antoines,MATCH(G44,Antoine_Name,0),2)-INDEX(Antoines,MATCH(G44,Antoine_Name,0),3)/(INDEX(Antoines,MATCH(G44,Antoine_Name,0),4)+(G50-32)*5/9)))*14.7/760,IF(G45="Crude Oil",EXP((2799/(G50+459.6)-2.227)*LOG10(INDEX(FX_Input,T$5,G$3*$Z$5+$AA$5))-(7261/(G50+459.6))+12.82),IF(G45="Refined Petroleum Stock",EXP((0.7553-(413/(G50+459.6)))*(INDEX(FX_Input,T$5,G$3*$Z$5+$AA$5-1)^0.5)*LOG10(INDEX(FX_Input,T$5,G$3*$Z$5+$AA$5))-(1.854-(1042/(G50+459.6)))*(INDEX(FX_Input,T$5,G$3*$Z$5+$AA$5-1)^0.5)+((2416/(G50+459.6)-2.013)*LOG10(INDEX(FX_Input,T$5,G$3*$Z$5+$AA$5)))-(8742/(G50+459.6))+15.64),EXP(INDEX(Antoines,MATCH(G44,Antoine_Name,0),2)-INDEX(Antoines,MATCH(G44,Antoine_Name,0),3)/(G50+459.6))))),0)</f>
        <v>0</v>
      </c>
      <c r="H55" cm="1">
        <f t="array" ref="H55">IFERROR(IF(H45="Chemical",(10^(INDEX(Antoines,MATCH(H44,Antoine_Name,0),2)-INDEX(Antoines,MATCH(H44,Antoine_Name,0),3)/(INDEX(Antoines,MATCH(H44,Antoine_Name,0),4)+(H50-32)*5/9)))*14.7/760,IF(H45="Crude Oil",EXP((2799/(H50+459.6)-2.227)*LOG10(INDEX(FX_Input,U$5,H$3*$Z$5+$AA$5))-(7261/(H50+459.6))+12.82),IF(H45="Refined Petroleum Stock",EXP((0.7553-(413/(H50+459.6)))*(INDEX(FX_Input,U$5,H$3*$Z$5+$AA$5-1)^0.5)*LOG10(INDEX(FX_Input,U$5,H$3*$Z$5+$AA$5))-(1.854-(1042/(H50+459.6)))*(INDEX(FX_Input,U$5,H$3*$Z$5+$AA$5-1)^0.5)+((2416/(H50+459.6)-2.013)*LOG10(INDEX(FX_Input,U$5,H$3*$Z$5+$AA$5)))-(8742/(H50+459.6))+15.64),EXP(INDEX(Antoines,MATCH(H44,Antoine_Name,0),2)-INDEX(Antoines,MATCH(H44,Antoine_Name,0),3)/(H50+459.6))))),0)</f>
        <v>0</v>
      </c>
      <c r="I55" cm="1">
        <f t="array" ref="I55">IFERROR(IF(I45="Chemical",(10^(INDEX(Antoines,MATCH(I44,Antoine_Name,0),2)-INDEX(Antoines,MATCH(I44,Antoine_Name,0),3)/(INDEX(Antoines,MATCH(I44,Antoine_Name,0),4)+(I50-32)*5/9)))*14.7/760,IF(I45="Crude Oil",EXP((2799/(I50+459.6)-2.227)*LOG10(INDEX(FX_Input,V$5,I$3*$Z$5+$AA$5))-(7261/(I50+459.6))+12.82),IF(I45="Refined Petroleum Stock",EXP((0.7553-(413/(I50+459.6)))*(INDEX(FX_Input,V$5,I$3*$Z$5+$AA$5-1)^0.5)*LOG10(INDEX(FX_Input,V$5,I$3*$Z$5+$AA$5))-(1.854-(1042/(I50+459.6)))*(INDEX(FX_Input,V$5,I$3*$Z$5+$AA$5-1)^0.5)+((2416/(I50+459.6)-2.013)*LOG10(INDEX(FX_Input,V$5,I$3*$Z$5+$AA$5)))-(8742/(I50+459.6))+15.64),EXP(INDEX(Antoines,MATCH(I44,Antoine_Name,0),2)-INDEX(Antoines,MATCH(I44,Antoine_Name,0),3)/(I50+459.6))))),0)</f>
        <v>0</v>
      </c>
      <c r="J55" cm="1">
        <f t="array" ref="J55">IFERROR(IF(J45="Chemical",(10^(INDEX(Antoines,MATCH(J44,Antoine_Name,0),2)-INDEX(Antoines,MATCH(J44,Antoine_Name,0),3)/(INDEX(Antoines,MATCH(J44,Antoine_Name,0),4)+(J50-32)*5/9)))*14.7/760,IF(J45="Crude Oil",EXP((2799/(J50+459.6)-2.227)*LOG10(INDEX(FX_Input,W$5,J$3*$Z$5+$AA$5))-(7261/(J50+459.6))+12.82),IF(J45="Refined Petroleum Stock",EXP((0.7553-(413/(J50+459.6)))*(INDEX(FX_Input,W$5,J$3*$Z$5+$AA$5-1)^0.5)*LOG10(INDEX(FX_Input,W$5,J$3*$Z$5+$AA$5))-(1.854-(1042/(J50+459.6)))*(INDEX(FX_Input,W$5,J$3*$Z$5+$AA$5-1)^0.5)+((2416/(J50+459.6)-2.013)*LOG10(INDEX(FX_Input,W$5,J$3*$Z$5+$AA$5)))-(8742/(J50+459.6))+15.64),EXP(INDEX(Antoines,MATCH(J44,Antoine_Name,0),2)-INDEX(Antoines,MATCH(J44,Antoine_Name,0),3)/(J50+459.6))))),0)</f>
        <v>0</v>
      </c>
      <c r="K55" cm="1">
        <f t="array" ref="K55">IFERROR(IF(K45="Chemical",(10^(INDEX(Antoines,MATCH(K44,Antoine_Name,0),2)-INDEX(Antoines,MATCH(K44,Antoine_Name,0),3)/(INDEX(Antoines,MATCH(K44,Antoine_Name,0),4)+(K50-32)*5/9)))*14.7/760,IF(K45="Crude Oil",EXP((2799/(K50+459.6)-2.227)*LOG10(INDEX(FX_Input,X$5,K$3*$Z$5+$AA$5))-(7261/(K50+459.6))+12.82),IF(K45="Refined Petroleum Stock",EXP((0.7553-(413/(K50+459.6)))*(INDEX(FX_Input,X$5,K$3*$Z$5+$AA$5-1)^0.5)*LOG10(INDEX(FX_Input,X$5,K$3*$Z$5+$AA$5))-(1.854-(1042/(K50+459.6)))*(INDEX(FX_Input,X$5,K$3*$Z$5+$AA$5-1)^0.5)+((2416/(K50+459.6)-2.013)*LOG10(INDEX(FX_Input,X$5,K$3*$Z$5+$AA$5)))-(8742/(K50+459.6))+15.64),EXP(INDEX(Antoines,MATCH(K44,Antoine_Name,0),2)-INDEX(Antoines,MATCH(K44,Antoine_Name,0),3)/(K50+459.6))))),0)</f>
        <v>0</v>
      </c>
      <c r="L55" cm="1">
        <f t="array" ref="L55">IFERROR(IF(L45="Chemical",(10^(INDEX(Antoines,MATCH(L44,Antoine_Name,0),2)-INDEX(Antoines,MATCH(L44,Antoine_Name,0),3)/(INDEX(Antoines,MATCH(L44,Antoine_Name,0),4)+(L50-32)*5/9)))*14.7/760,IF(L45="Crude Oil",EXP((2799/(L50+459.6)-2.227)*LOG10(INDEX(FX_Input,Y$5,L$3*$Z$5+$AA$5))-(7261/(L50+459.6))+12.82),IF(L45="Refined Petroleum Stock",EXP((0.7553-(413/(L50+459.6)))*(INDEX(FX_Input,Y$5,L$3*$Z$5+$AA$5-1)^0.5)*LOG10(INDEX(FX_Input,Y$5,L$3*$Z$5+$AA$5))-(1.854-(1042/(L50+459.6)))*(INDEX(FX_Input,Y$5,L$3*$Z$5+$AA$5-1)^0.5)+((2416/(L50+459.6)-2.013)*LOG10(INDEX(FX_Input,Y$5,L$3*$Z$5+$AA$5)))-(8742/(L50+459.6))+15.64),EXP(INDEX(Antoines,MATCH(L44,Antoine_Name,0),2)-INDEX(Antoines,MATCH(L44,Antoine_Name,0),3)/(L50+459.6))))),0)</f>
        <v>0</v>
      </c>
      <c r="M55" cm="1">
        <f t="array" ref="M55">IFERROR(IF(M45="Chemical",(10^(INDEX(Antoines,MATCH(M44,Antoine_Name,0),2)-INDEX(Antoines,MATCH(M44,Antoine_Name,0),3)/(INDEX(Antoines,MATCH(M44,Antoine_Name,0),4)+(M50-32)*5/9)))*14.7/760,IF(M45="Crude Oil",EXP((2799/(M50+459.6)-2.227)*LOG10(INDEX(FX_Input,Z$5,M$3*$Z$5+$AA$5))-(7261/(M50+459.6))+12.82),IF(M45="Refined Petroleum Stock",EXP((0.7553-(413/(M50+459.6)))*(INDEX(FX_Input,Z$5,M$3*$Z$5+$AA$5-1)^0.5)*LOG10(INDEX(FX_Input,Z$5,M$3*$Z$5+$AA$5))-(1.854-(1042/(M50+459.6)))*(INDEX(FX_Input,Z$5,M$3*$Z$5+$AA$5-1)^0.5)+((2416/(M50+459.6)-2.013)*LOG10(INDEX(FX_Input,Z$5,M$3*$Z$5+$AA$5)))-(8742/(M50+459.6))+15.64),EXP(INDEX(Antoines,MATCH(M44,Antoine_Name,0),2)-INDEX(Antoines,MATCH(M44,Antoine_Name,0),3)/(M50+459.6))))),0)</f>
        <v>0</v>
      </c>
      <c r="N55" cm="1">
        <f t="array" ref="N55">IFERROR(IF(N45="Chemical",(10^(INDEX(Antoines,MATCH(N44,Antoine_Name,0),2)-INDEX(Antoines,MATCH(N44,Antoine_Name,0),3)/(INDEX(Antoines,MATCH(N44,Antoine_Name,0),4)+(N50-32)*5/9)))*14.7/760,IF(N45="Crude Oil",EXP((2799/(N50+459.6)-2.227)*LOG10(INDEX(FX_Input,AA$5,N$3*$Z$5+$AA$5))-(7261/(N50+459.6))+12.82),IF(N45="Refined Petroleum Stock",EXP((0.7553-(413/(N50+459.6)))*(INDEX(FX_Input,AA$5,N$3*$Z$5+$AA$5-1)^0.5)*LOG10(INDEX(FX_Input,AA$5,N$3*$Z$5+$AA$5))-(1.854-(1042/(N50+459.6)))*(INDEX(FX_Input,AA$5,N$3*$Z$5+$AA$5-1)^0.5)+((2416/(N50+459.6)-2.013)*LOG10(INDEX(FX_Input,AA$5,N$3*$Z$5+$AA$5)))-(8742/(N50+459.6))+15.64),EXP(INDEX(Antoines,MATCH(N44,Antoine_Name,0),2)-INDEX(Antoines,MATCH(N44,Antoine_Name,0),3)/(N50+459.6))))),0)</f>
        <v>0</v>
      </c>
      <c r="O55" cm="1">
        <f t="array" ref="O55">IFERROR(IF(O45="Chemical",(10^(INDEX(Antoines,MATCH(O44,Antoine_Name,0),2)-INDEX(Antoines,MATCH(O44,Antoine_Name,0),3)/(INDEX(Antoines,MATCH(O44,Antoine_Name,0),4)+(O50-32)*5/9)))*14.7/760,IF(O45="Crude Oil",EXP((2799/(O50+459.6)-2.227)*LOG10(INDEX(FX_Input,AB$5,O$3*$Z$5+$AA$5))-(7261/(O50+459.6))+12.82),IF(O45="Refined Petroleum Stock",EXP((0.7553-(413/(O50+459.6)))*(INDEX(FX_Input,AB$5,O$3*$Z$5+$AA$5-1)^0.5)*LOG10(INDEX(FX_Input,AB$5,O$3*$Z$5+$AA$5))-(1.854-(1042/(O50+459.6)))*(INDEX(FX_Input,AB$5,O$3*$Z$5+$AA$5-1)^0.5)+((2416/(O50+459.6)-2.013)*LOG10(INDEX(FX_Input,AB$5,O$3*$Z$5+$AA$5)))-(8742/(O50+459.6))+15.64),EXP(INDEX(Antoines,MATCH(O44,Antoine_Name,0),2)-INDEX(Antoines,MATCH(O44,Antoine_Name,0),3)/(O50+459.6))))),0)</f>
        <v>0</v>
      </c>
    </row>
    <row r="56" spans="2:32" ht="17.149999999999999" x14ac:dyDescent="0.55000000000000004">
      <c r="B56" t="str">
        <f t="shared" si="20"/>
        <v>Portland</v>
      </c>
      <c r="C56" t="s">
        <v>577</v>
      </c>
      <c r="D56">
        <f>D55*D48</f>
        <v>0</v>
      </c>
      <c r="E56">
        <f t="shared" ref="E56" si="32">E55*E48</f>
        <v>0</v>
      </c>
      <c r="F56">
        <f t="shared" ref="F56" si="33">F55*F48</f>
        <v>0</v>
      </c>
      <c r="G56">
        <f t="shared" ref="G56" si="34">G55*G48</f>
        <v>0</v>
      </c>
      <c r="H56">
        <f t="shared" ref="H56" si="35">H55*H48</f>
        <v>0</v>
      </c>
      <c r="I56">
        <f t="shared" ref="I56" si="36">I55*I48</f>
        <v>0</v>
      </c>
      <c r="J56">
        <f t="shared" ref="J56" si="37">J55*J48</f>
        <v>0</v>
      </c>
      <c r="K56">
        <f t="shared" ref="K56" si="38">K55*K48</f>
        <v>0</v>
      </c>
      <c r="L56">
        <f t="shared" ref="L56" si="39">L55*L48</f>
        <v>0</v>
      </c>
      <c r="M56">
        <f t="shared" ref="M56" si="40">M55*M48</f>
        <v>0</v>
      </c>
      <c r="N56">
        <f t="shared" ref="N56" si="41">N55*N48</f>
        <v>0</v>
      </c>
      <c r="O56">
        <f t="shared" ref="O56" si="42">O55*O48</f>
        <v>0</v>
      </c>
    </row>
    <row r="57" spans="2:32" ht="17.149999999999999" x14ac:dyDescent="0.55000000000000004">
      <c r="B57" t="str">
        <f t="shared" si="20"/>
        <v>Portland</v>
      </c>
      <c r="C57" t="s">
        <v>578</v>
      </c>
      <c r="D57">
        <f>D56+D54</f>
        <v>4.4953541371678231E-3</v>
      </c>
      <c r="E57">
        <f t="shared" ref="E57" si="43">E56+E54</f>
        <v>4.6043729465544726E-3</v>
      </c>
      <c r="F57">
        <f t="shared" ref="F57" si="44">F56+F54</f>
        <v>4.9179969260705328E-3</v>
      </c>
      <c r="G57">
        <f t="shared" ref="G57" si="45">G56+G54</f>
        <v>5.479042667267656E-3</v>
      </c>
      <c r="H57">
        <f t="shared" ref="H57" si="46">H56+H54</f>
        <v>6.5169685513364909E-3</v>
      </c>
      <c r="I57">
        <f t="shared" ref="I57" si="47">I56+I54</f>
        <v>7.486267526260572E-3</v>
      </c>
      <c r="J57">
        <f t="shared" ref="J57" si="48">J56+J54</f>
        <v>8.4364538110447557E-3</v>
      </c>
      <c r="K57">
        <f t="shared" ref="K57" si="49">K56+K54</f>
        <v>8.4094446398714287E-3</v>
      </c>
      <c r="L57">
        <f t="shared" ref="L57" si="50">L56+L54</f>
        <v>7.5207138884047006E-3</v>
      </c>
      <c r="M57">
        <f t="shared" ref="M57" si="51">M56+M54</f>
        <v>6.0548274008136857E-3</v>
      </c>
      <c r="N57">
        <f t="shared" ref="N57" si="52">N56+N54</f>
        <v>4.9828816635194605E-3</v>
      </c>
      <c r="O57">
        <f t="shared" ref="O57" si="53">O56+O54</f>
        <v>4.4494006627366521E-3</v>
      </c>
    </row>
    <row r="58" spans="2:32" ht="17.149999999999999" x14ac:dyDescent="0.55000000000000004">
      <c r="B58" t="str">
        <f t="shared" si="20"/>
        <v>Portland</v>
      </c>
      <c r="C58" t="s">
        <v>579</v>
      </c>
      <c r="D58" cm="1">
        <f t="array" ref="D58">IFERROR(IF(D43="Chemical",(10^(INDEX(Antoines,MATCH(D42,Antoine_Name,0),2)-INDEX(Antoines,MATCH(D42,Antoine_Name,0),3)/(INDEX(Antoines,MATCH(D42,Antoine_Name,0),4)+(D51-32)*5/9)))*14.7/760,IF(D43="Crude Oil",EXP((2799/(D51+459.6)-2.227)*LOG10(INDEX(FX_Input,Q$5,D$3*$Z$5+$AA$5))-(7261/(D51+459.6))+12.82),IF(D43="Refined Petroleum Stock",EXP((0.7553-(413/(D51+459.6)))*(INDEX(FX_Input,Q$5,D$3*$Z$5+$AA$5-1)^0.5)*LOG10(INDEX(FX_Input,Q$5,D$3*$Z$5+$AA$5))-(1.854-(1042/(D51+459.6)))*(INDEX(FX_Input,Q$5,D$3*$Z$5+$AA$5-1)^0.5)+((2416/(D51+459.6)-2.013)*LOG10(INDEX(FX_Input,Q$5,D$3*$Z$5+$AA$5)))-(8742/(D51+459.6))+15.64),EXP(INDEX(Antoines,MATCH(D42,Antoine_Name,0),2)-INDEX(Antoines,MATCH(D42,Antoine_Name,0),3)/(D51+459.6))))),0)</f>
        <v>5.2033036727344552E-3</v>
      </c>
      <c r="E58" cm="1">
        <f t="array" ref="E58">IFERROR(IF(E43="Chemical",(10^(INDEX(Antoines,MATCH(E42,Antoine_Name,0),2)-INDEX(Antoines,MATCH(E42,Antoine_Name,0),3)/(INDEX(Antoines,MATCH(E42,Antoine_Name,0),4)+(E51-32)*5/9)))*14.7/760,IF(E43="Crude Oil",EXP((2799/(E51+459.6)-2.227)*LOG10(INDEX(FX_Input,R$5,E$3*$Z$5+$AA$5))-(7261/(E51+459.6))+12.82),IF(E43="Refined Petroleum Stock",EXP((0.7553-(413/(E51+459.6)))*(INDEX(FX_Input,R$5,E$3*$Z$5+$AA$5-1)^0.5)*LOG10(INDEX(FX_Input,R$5,E$3*$Z$5+$AA$5))-(1.854-(1042/(E51+459.6)))*(INDEX(FX_Input,R$5,E$3*$Z$5+$AA$5-1)^0.5)+((2416/(E51+459.6)-2.013)*LOG10(INDEX(FX_Input,R$5,E$3*$Z$5+$AA$5)))-(8742/(E51+459.6))+15.64),EXP(INDEX(Antoines,MATCH(E42,Antoine_Name,0),2)-INDEX(Antoines,MATCH(E42,Antoine_Name,0),3)/(E51+459.6))))),0)</f>
        <v>5.5385065183370758E-3</v>
      </c>
      <c r="F58" cm="1">
        <f t="array" ref="F58">IFERROR(IF(F43="Chemical",(10^(INDEX(Antoines,MATCH(F42,Antoine_Name,0),2)-INDEX(Antoines,MATCH(F42,Antoine_Name,0),3)/(INDEX(Antoines,MATCH(F42,Antoine_Name,0),4)+(F51-32)*5/9)))*14.7/760,IF(F43="Crude Oil",EXP((2799/(F51+459.6)-2.227)*LOG10(INDEX(FX_Input,S$5,F$3*$Z$5+$AA$5))-(7261/(F51+459.6))+12.82),IF(F43="Refined Petroleum Stock",EXP((0.7553-(413/(F51+459.6)))*(INDEX(FX_Input,S$5,F$3*$Z$5+$AA$5-1)^0.5)*LOG10(INDEX(FX_Input,S$5,F$3*$Z$5+$AA$5))-(1.854-(1042/(F51+459.6)))*(INDEX(FX_Input,S$5,F$3*$Z$5+$AA$5-1)^0.5)+((2416/(F51+459.6)-2.013)*LOG10(INDEX(FX_Input,S$5,F$3*$Z$5+$AA$5)))-(8742/(F51+459.6))+15.64),EXP(INDEX(Antoines,MATCH(F42,Antoine_Name,0),2)-INDEX(Antoines,MATCH(F42,Antoine_Name,0),3)/(F51+459.6))))),0)</f>
        <v>5.9077167859673575E-3</v>
      </c>
      <c r="G58" cm="1">
        <f t="array" ref="G58">IFERROR(IF(G43="Chemical",(10^(INDEX(Antoines,MATCH(G42,Antoine_Name,0),2)-INDEX(Antoines,MATCH(G42,Antoine_Name,0),3)/(INDEX(Antoines,MATCH(G42,Antoine_Name,0),4)+(G51-32)*5/9)))*14.7/760,IF(G43="Crude Oil",EXP((2799/(G51+459.6)-2.227)*LOG10(INDEX(FX_Input,T$5,G$3*$Z$5+$AA$5))-(7261/(G51+459.6))+12.82),IF(G43="Refined Petroleum Stock",EXP((0.7553-(413/(G51+459.6)))*(INDEX(FX_Input,T$5,G$3*$Z$5+$AA$5-1)^0.5)*LOG10(INDEX(FX_Input,T$5,G$3*$Z$5+$AA$5))-(1.854-(1042/(G51+459.6)))*(INDEX(FX_Input,T$5,G$3*$Z$5+$AA$5-1)^0.5)+((2416/(G51+459.6)-2.013)*LOG10(INDEX(FX_Input,T$5,G$3*$Z$5+$AA$5)))-(8742/(G51+459.6))+15.64),EXP(INDEX(Antoines,MATCH(G42,Antoine_Name,0),2)-INDEX(Antoines,MATCH(G42,Antoine_Name,0),3)/(G51+459.6))))),0)</f>
        <v>6.5849388112918178E-3</v>
      </c>
      <c r="H58" cm="1">
        <f t="array" ref="H58">IFERROR(IF(H43="Chemical",(10^(INDEX(Antoines,MATCH(H42,Antoine_Name,0),2)-INDEX(Antoines,MATCH(H42,Antoine_Name,0),3)/(INDEX(Antoines,MATCH(H42,Antoine_Name,0),4)+(H51-32)*5/9)))*14.7/760,IF(H43="Crude Oil",EXP((2799/(H51+459.6)-2.227)*LOG10(INDEX(FX_Input,U$5,H$3*$Z$5+$AA$5))-(7261/(H51+459.6))+12.82),IF(H43="Refined Petroleum Stock",EXP((0.7553-(413/(H51+459.6)))*(INDEX(FX_Input,U$5,H$3*$Z$5+$AA$5-1)^0.5)*LOG10(INDEX(FX_Input,U$5,H$3*$Z$5+$AA$5))-(1.854-(1042/(H51+459.6)))*(INDEX(FX_Input,U$5,H$3*$Z$5+$AA$5-1)^0.5)+((2416/(H51+459.6)-2.013)*LOG10(INDEX(FX_Input,U$5,H$3*$Z$5+$AA$5)))-(8742/(H51+459.6))+15.64),EXP(INDEX(Antoines,MATCH(H42,Antoine_Name,0),2)-INDEX(Antoines,MATCH(H42,Antoine_Name,0),3)/(H51+459.6))))),0)</f>
        <v>7.7939195379121001E-3</v>
      </c>
      <c r="I58" cm="1">
        <f t="array" ref="I58">IFERROR(IF(I43="Chemical",(10^(INDEX(Antoines,MATCH(I42,Antoine_Name,0),2)-INDEX(Antoines,MATCH(I42,Antoine_Name,0),3)/(INDEX(Antoines,MATCH(I42,Antoine_Name,0),4)+(I51-32)*5/9)))*14.7/760,IF(I43="Crude Oil",EXP((2799/(I51+459.6)-2.227)*LOG10(INDEX(FX_Input,V$5,I$3*$Z$5+$AA$5))-(7261/(I51+459.6))+12.82),IF(I43="Refined Petroleum Stock",EXP((0.7553-(413/(I51+459.6)))*(INDEX(FX_Input,V$5,I$3*$Z$5+$AA$5-1)^0.5)*LOG10(INDEX(FX_Input,V$5,I$3*$Z$5+$AA$5))-(1.854-(1042/(I51+459.6)))*(INDEX(FX_Input,V$5,I$3*$Z$5+$AA$5-1)^0.5)+((2416/(I51+459.6)-2.013)*LOG10(INDEX(FX_Input,V$5,I$3*$Z$5+$AA$5)))-(8742/(I51+459.6))+15.64),EXP(INDEX(Antoines,MATCH(I42,Antoine_Name,0),2)-INDEX(Antoines,MATCH(I42,Antoine_Name,0),3)/(I51+459.6))))),0)</f>
        <v>8.8347329003026723E-3</v>
      </c>
      <c r="J58" cm="1">
        <f t="array" ref="J58">IFERROR(IF(J43="Chemical",(10^(INDEX(Antoines,MATCH(J42,Antoine_Name,0),2)-INDEX(Antoines,MATCH(J42,Antoine_Name,0),3)/(INDEX(Antoines,MATCH(J42,Antoine_Name,0),4)+(J51-32)*5/9)))*14.7/760,IF(J43="Crude Oil",EXP((2799/(J51+459.6)-2.227)*LOG10(INDEX(FX_Input,W$5,J$3*$Z$5+$AA$5))-(7261/(J51+459.6))+12.82),IF(J43="Refined Petroleum Stock",EXP((0.7553-(413/(J51+459.6)))*(INDEX(FX_Input,W$5,J$3*$Z$5+$AA$5-1)^0.5)*LOG10(INDEX(FX_Input,W$5,J$3*$Z$5+$AA$5))-(1.854-(1042/(J51+459.6)))*(INDEX(FX_Input,W$5,J$3*$Z$5+$AA$5-1)^0.5)+((2416/(J51+459.6)-2.013)*LOG10(INDEX(FX_Input,W$5,J$3*$Z$5+$AA$5)))-(8742/(J51+459.6))+15.64),EXP(INDEX(Antoines,MATCH(J42,Antoine_Name,0),2)-INDEX(Antoines,MATCH(J42,Antoine_Name,0),3)/(J51+459.6))))),0)</f>
        <v>9.9592296270275289E-3</v>
      </c>
      <c r="K58" cm="1">
        <f t="array" ref="K58">IFERROR(IF(K43="Chemical",(10^(INDEX(Antoines,MATCH(K42,Antoine_Name,0),2)-INDEX(Antoines,MATCH(K42,Antoine_Name,0),3)/(INDEX(Antoines,MATCH(K42,Antoine_Name,0),4)+(K51-32)*5/9)))*14.7/760,IF(K43="Crude Oil",EXP((2799/(K51+459.6)-2.227)*LOG10(INDEX(FX_Input,X$5,K$3*$Z$5+$AA$5))-(7261/(K51+459.6))+12.82),IF(K43="Refined Petroleum Stock",EXP((0.7553-(413/(K51+459.6)))*(INDEX(FX_Input,X$5,K$3*$Z$5+$AA$5-1)^0.5)*LOG10(INDEX(FX_Input,X$5,K$3*$Z$5+$AA$5))-(1.854-(1042/(K51+459.6)))*(INDEX(FX_Input,X$5,K$3*$Z$5+$AA$5-1)^0.5)+((2416/(K51+459.6)-2.013)*LOG10(INDEX(FX_Input,X$5,K$3*$Z$5+$AA$5)))-(8742/(K51+459.6))+15.64),EXP(INDEX(Antoines,MATCH(K42,Antoine_Name,0),2)-INDEX(Antoines,MATCH(K42,Antoine_Name,0),3)/(K51+459.6))))),0)</f>
        <v>1.0044214742690162E-2</v>
      </c>
      <c r="L58" cm="1">
        <f t="array" ref="L58">IFERROR(IF(L43="Chemical",(10^(INDEX(Antoines,MATCH(L42,Antoine_Name,0),2)-INDEX(Antoines,MATCH(L42,Antoine_Name,0),3)/(INDEX(Antoines,MATCH(L42,Antoine_Name,0),4)+(L51-32)*5/9)))*14.7/760,IF(L43="Crude Oil",EXP((2799/(L51+459.6)-2.227)*LOG10(INDEX(FX_Input,Y$5,L$3*$Z$5+$AA$5))-(7261/(L51+459.6))+12.82),IF(L43="Refined Petroleum Stock",EXP((0.7553-(413/(L51+459.6)))*(INDEX(FX_Input,Y$5,L$3*$Z$5+$AA$5-1)^0.5)*LOG10(INDEX(FX_Input,Y$5,L$3*$Z$5+$AA$5))-(1.854-(1042/(L51+459.6)))*(INDEX(FX_Input,Y$5,L$3*$Z$5+$AA$5-1)^0.5)+((2416/(L51+459.6)-2.013)*LOG10(INDEX(FX_Input,Y$5,L$3*$Z$5+$AA$5)))-(8742/(L51+459.6))+15.64),EXP(INDEX(Antoines,MATCH(L42,Antoine_Name,0),2)-INDEX(Antoines,MATCH(L42,Antoine_Name,0),3)/(L51+459.6))))),0)</f>
        <v>9.3389439263883208E-3</v>
      </c>
      <c r="M58" cm="1">
        <f t="array" ref="M58">IFERROR(IF(M43="Chemical",(10^(INDEX(Antoines,MATCH(M42,Antoine_Name,0),2)-INDEX(Antoines,MATCH(M42,Antoine_Name,0),3)/(INDEX(Antoines,MATCH(M42,Antoine_Name,0),4)+(M51-32)*5/9)))*14.7/760,IF(M43="Crude Oil",EXP((2799/(M51+459.6)-2.227)*LOG10(INDEX(FX_Input,Z$5,M$3*$Z$5+$AA$5))-(7261/(M51+459.6))+12.82),IF(M43="Refined Petroleum Stock",EXP((0.7553-(413/(M51+459.6)))*(INDEX(FX_Input,Z$5,M$3*$Z$5+$AA$5-1)^0.5)*LOG10(INDEX(FX_Input,Z$5,M$3*$Z$5+$AA$5))-(1.854-(1042/(M51+459.6)))*(INDEX(FX_Input,Z$5,M$3*$Z$5+$AA$5-1)^0.5)+((2416/(M51+459.6)-2.013)*LOG10(INDEX(FX_Input,Z$5,M$3*$Z$5+$AA$5)))-(8742/(M51+459.6))+15.64),EXP(INDEX(Antoines,MATCH(M42,Antoine_Name,0),2)-INDEX(Antoines,MATCH(M42,Antoine_Name,0),3)/(M51+459.6))))),0)</f>
        <v>7.3896033166885589E-3</v>
      </c>
      <c r="N58" cm="1">
        <f t="array" ref="N58">IFERROR(IF(N43="Chemical",(10^(INDEX(Antoines,MATCH(N42,Antoine_Name,0),2)-INDEX(Antoines,MATCH(N42,Antoine_Name,0),3)/(INDEX(Antoines,MATCH(N42,Antoine_Name,0),4)+(N51-32)*5/9)))*14.7/760,IF(N43="Crude Oil",EXP((2799/(N51+459.6)-2.227)*LOG10(INDEX(FX_Input,AA$5,N$3*$Z$5+$AA$5))-(7261/(N51+459.6))+12.82),IF(N43="Refined Petroleum Stock",EXP((0.7553-(413/(N51+459.6)))*(INDEX(FX_Input,AA$5,N$3*$Z$5+$AA$5-1)^0.5)*LOG10(INDEX(FX_Input,AA$5,N$3*$Z$5+$AA$5))-(1.854-(1042/(N51+459.6)))*(INDEX(FX_Input,AA$5,N$3*$Z$5+$AA$5-1)^0.5)+((2416/(N51+459.6)-2.013)*LOG10(INDEX(FX_Input,AA$5,N$3*$Z$5+$AA$5)))-(8742/(N51+459.6))+15.64),EXP(INDEX(Antoines,MATCH(N42,Antoine_Name,0),2)-INDEX(Antoines,MATCH(N42,Antoine_Name,0),3)/(N51+459.6))))),0)</f>
        <v>5.902399466128503E-3</v>
      </c>
      <c r="O58" cm="1">
        <f t="array" ref="O58">IFERROR(IF(O43="Chemical",(10^(INDEX(Antoines,MATCH(O42,Antoine_Name,0),2)-INDEX(Antoines,MATCH(O42,Antoine_Name,0),3)/(INDEX(Antoines,MATCH(O42,Antoine_Name,0),4)+(O51-32)*5/9)))*14.7/760,IF(O43="Crude Oil",EXP((2799/(O51+459.6)-2.227)*LOG10(INDEX(FX_Input,AB$5,O$3*$Z$5+$AA$5))-(7261/(O51+459.6))+12.82),IF(O43="Refined Petroleum Stock",EXP((0.7553-(413/(O51+459.6)))*(INDEX(FX_Input,AB$5,O$3*$Z$5+$AA$5-1)^0.5)*LOG10(INDEX(FX_Input,AB$5,O$3*$Z$5+$AA$5))-(1.854-(1042/(O51+459.6)))*(INDEX(FX_Input,AB$5,O$3*$Z$5+$AA$5-1)^0.5)+((2416/(O51+459.6)-2.013)*LOG10(INDEX(FX_Input,AB$5,O$3*$Z$5+$AA$5)))-(8742/(O51+459.6))+15.64),EXP(INDEX(Antoines,MATCH(O42,Antoine_Name,0),2)-INDEX(Antoines,MATCH(O42,Antoine_Name,0),3)/(O51+459.6))))),0)</f>
        <v>5.1222820261006847E-3</v>
      </c>
    </row>
    <row r="59" spans="2:32" ht="17.149999999999999" x14ac:dyDescent="0.55000000000000004">
      <c r="B59" t="str">
        <f t="shared" si="20"/>
        <v>Portland</v>
      </c>
      <c r="C59" t="s">
        <v>580</v>
      </c>
      <c r="D59">
        <f>D58*D46</f>
        <v>5.2033036727344552E-3</v>
      </c>
      <c r="E59">
        <f t="shared" ref="E59" si="54">E58*E46</f>
        <v>5.5385065183370758E-3</v>
      </c>
      <c r="F59">
        <f t="shared" ref="F59" si="55">F58*F46</f>
        <v>5.9077167859673575E-3</v>
      </c>
      <c r="G59">
        <f t="shared" ref="G59" si="56">G58*G46</f>
        <v>6.5849388112918178E-3</v>
      </c>
      <c r="H59">
        <f t="shared" ref="H59" si="57">H58*H46</f>
        <v>7.7939195379121001E-3</v>
      </c>
      <c r="I59">
        <f t="shared" ref="I59" si="58">I58*I46</f>
        <v>8.8347329003026723E-3</v>
      </c>
      <c r="J59">
        <f t="shared" ref="J59" si="59">J58*J46</f>
        <v>9.9592296270275289E-3</v>
      </c>
      <c r="K59">
        <f t="shared" ref="K59" si="60">K58*K46</f>
        <v>1.0044214742690162E-2</v>
      </c>
      <c r="L59">
        <f t="shared" ref="L59" si="61">L58*L46</f>
        <v>9.3389439263883208E-3</v>
      </c>
      <c r="M59">
        <f t="shared" ref="M59" si="62">M58*M46</f>
        <v>7.3896033166885589E-3</v>
      </c>
      <c r="N59">
        <f t="shared" ref="N59" si="63">N58*N46</f>
        <v>5.902399466128503E-3</v>
      </c>
      <c r="O59">
        <f t="shared" ref="O59" si="64">O58*O46</f>
        <v>5.1222820261006847E-3</v>
      </c>
    </row>
    <row r="60" spans="2:32" ht="17.149999999999999" x14ac:dyDescent="0.55000000000000004">
      <c r="B60" t="str">
        <f t="shared" si="20"/>
        <v>Portland</v>
      </c>
      <c r="C60" t="s">
        <v>581</v>
      </c>
      <c r="D60" cm="1">
        <f t="array" ref="D60">IFERROR(IF(D45="Chemical",(10^(INDEX(Antoines,MATCH(D44,Antoine_Name,0),2)-INDEX(Antoines,MATCH(D44,Antoine_Name,0),3)/(INDEX(Antoines,MATCH(D44,Antoine_Name,0),4)+(D51-32)*5/9)))*14.7/760,IF(D45="Crude Oil",EXP((2799/(D51+459.6)-2.227)*LOG10(INDEX(FX_Input,Q$5,D$3*$Z$5+$AA$5))-(7261/(D51+459.6))+12.82),IF(D45="Refined Petroleum Stock",EXP((0.7553-(413/(D51+459.6)))*(INDEX(FX_Input,Q$5,D$3*$Z$5+$AA$5-1)^0.5)*LOG10(INDEX(FX_Input,Q$5,D$3*$Z$5+$AA$5))-(1.854-(1042/(D51+459.6)))*(INDEX(FX_Input,Q$5,D$3*$Z$5+$AA$5-1)^0.5)+((2416/(D51+459.6)-2.013)*LOG10(INDEX(FX_Input,Q$5,D$3*$Z$5+$AA$5)))-(8742/(D51+459.6))+15.64),EXP(INDEX(Antoines,MATCH(D44,Antoine_Name,0),2)-INDEX(Antoines,MATCH(D44,Antoine_Name,0),3)/(D51+459.6))))),0)</f>
        <v>0</v>
      </c>
      <c r="E60" cm="1">
        <f t="array" ref="E60">IFERROR(IF(E45="Chemical",(10^(INDEX(Antoines,MATCH(E44,Antoine_Name,0),2)-INDEX(Antoines,MATCH(E44,Antoine_Name,0),3)/(INDEX(Antoines,MATCH(E44,Antoine_Name,0),4)+(E51-32)*5/9)))*14.7/760,IF(E45="Crude Oil",EXP((2799/(E51+459.6)-2.227)*LOG10(INDEX(FX_Input,R$5,E$3*$Z$5+$AA$5))-(7261/(E51+459.6))+12.82),IF(E45="Refined Petroleum Stock",EXP((0.7553-(413/(E51+459.6)))*(INDEX(FX_Input,R$5,E$3*$Z$5+$AA$5-1)^0.5)*LOG10(INDEX(FX_Input,R$5,E$3*$Z$5+$AA$5))-(1.854-(1042/(E51+459.6)))*(INDEX(FX_Input,R$5,E$3*$Z$5+$AA$5-1)^0.5)+((2416/(E51+459.6)-2.013)*LOG10(INDEX(FX_Input,R$5,E$3*$Z$5+$AA$5)))-(8742/(E51+459.6))+15.64),EXP(INDEX(Antoines,MATCH(E44,Antoine_Name,0),2)-INDEX(Antoines,MATCH(E44,Antoine_Name,0),3)/(E51+459.6))))),0)</f>
        <v>0</v>
      </c>
      <c r="F60" cm="1">
        <f t="array" ref="F60">IFERROR(IF(F45="Chemical",(10^(INDEX(Antoines,MATCH(F44,Antoine_Name,0),2)-INDEX(Antoines,MATCH(F44,Antoine_Name,0),3)/(INDEX(Antoines,MATCH(F44,Antoine_Name,0),4)+(F51-32)*5/9)))*14.7/760,IF(F45="Crude Oil",EXP((2799/(F51+459.6)-2.227)*LOG10(INDEX(FX_Input,S$5,F$3*$Z$5+$AA$5))-(7261/(F51+459.6))+12.82),IF(F45="Refined Petroleum Stock",EXP((0.7553-(413/(F51+459.6)))*(INDEX(FX_Input,S$5,F$3*$Z$5+$AA$5-1)^0.5)*LOG10(INDEX(FX_Input,S$5,F$3*$Z$5+$AA$5))-(1.854-(1042/(F51+459.6)))*(INDEX(FX_Input,S$5,F$3*$Z$5+$AA$5-1)^0.5)+((2416/(F51+459.6)-2.013)*LOG10(INDEX(FX_Input,S$5,F$3*$Z$5+$AA$5)))-(8742/(F51+459.6))+15.64),EXP(INDEX(Antoines,MATCH(F44,Antoine_Name,0),2)-INDEX(Antoines,MATCH(F44,Antoine_Name,0),3)/(F51+459.6))))),0)</f>
        <v>0</v>
      </c>
      <c r="G60" cm="1">
        <f t="array" ref="G60">IFERROR(IF(G45="Chemical",(10^(INDEX(Antoines,MATCH(G44,Antoine_Name,0),2)-INDEX(Antoines,MATCH(G44,Antoine_Name,0),3)/(INDEX(Antoines,MATCH(G44,Antoine_Name,0),4)+(G51-32)*5/9)))*14.7/760,IF(G45="Crude Oil",EXP((2799/(G51+459.6)-2.227)*LOG10(INDEX(FX_Input,T$5,G$3*$Z$5+$AA$5))-(7261/(G51+459.6))+12.82),IF(G45="Refined Petroleum Stock",EXP((0.7553-(413/(G51+459.6)))*(INDEX(FX_Input,T$5,G$3*$Z$5+$AA$5-1)^0.5)*LOG10(INDEX(FX_Input,T$5,G$3*$Z$5+$AA$5))-(1.854-(1042/(G51+459.6)))*(INDEX(FX_Input,T$5,G$3*$Z$5+$AA$5-1)^0.5)+((2416/(G51+459.6)-2.013)*LOG10(INDEX(FX_Input,T$5,G$3*$Z$5+$AA$5)))-(8742/(G51+459.6))+15.64),EXP(INDEX(Antoines,MATCH(G44,Antoine_Name,0),2)-INDEX(Antoines,MATCH(G44,Antoine_Name,0),3)/(G51+459.6))))),0)</f>
        <v>0</v>
      </c>
      <c r="H60" cm="1">
        <f t="array" ref="H60">IFERROR(IF(H45="Chemical",(10^(INDEX(Antoines,MATCH(H44,Antoine_Name,0),2)-INDEX(Antoines,MATCH(H44,Antoine_Name,0),3)/(INDEX(Antoines,MATCH(H44,Antoine_Name,0),4)+(H51-32)*5/9)))*14.7/760,IF(H45="Crude Oil",EXP((2799/(H51+459.6)-2.227)*LOG10(INDEX(FX_Input,U$5,H$3*$Z$5+$AA$5))-(7261/(H51+459.6))+12.82),IF(H45="Refined Petroleum Stock",EXP((0.7553-(413/(H51+459.6)))*(INDEX(FX_Input,U$5,H$3*$Z$5+$AA$5-1)^0.5)*LOG10(INDEX(FX_Input,U$5,H$3*$Z$5+$AA$5))-(1.854-(1042/(H51+459.6)))*(INDEX(FX_Input,U$5,H$3*$Z$5+$AA$5-1)^0.5)+((2416/(H51+459.6)-2.013)*LOG10(INDEX(FX_Input,U$5,H$3*$Z$5+$AA$5)))-(8742/(H51+459.6))+15.64),EXP(INDEX(Antoines,MATCH(H44,Antoine_Name,0),2)-INDEX(Antoines,MATCH(H44,Antoine_Name,0),3)/(H51+459.6))))),0)</f>
        <v>0</v>
      </c>
      <c r="I60" cm="1">
        <f t="array" ref="I60">IFERROR(IF(I45="Chemical",(10^(INDEX(Antoines,MATCH(I44,Antoine_Name,0),2)-INDEX(Antoines,MATCH(I44,Antoine_Name,0),3)/(INDEX(Antoines,MATCH(I44,Antoine_Name,0),4)+(I51-32)*5/9)))*14.7/760,IF(I45="Crude Oil",EXP((2799/(I51+459.6)-2.227)*LOG10(INDEX(FX_Input,V$5,I$3*$Z$5+$AA$5))-(7261/(I51+459.6))+12.82),IF(I45="Refined Petroleum Stock",EXP((0.7553-(413/(I51+459.6)))*(INDEX(FX_Input,V$5,I$3*$Z$5+$AA$5-1)^0.5)*LOG10(INDEX(FX_Input,V$5,I$3*$Z$5+$AA$5))-(1.854-(1042/(I51+459.6)))*(INDEX(FX_Input,V$5,I$3*$Z$5+$AA$5-1)^0.5)+((2416/(I51+459.6)-2.013)*LOG10(INDEX(FX_Input,V$5,I$3*$Z$5+$AA$5)))-(8742/(I51+459.6))+15.64),EXP(INDEX(Antoines,MATCH(I44,Antoine_Name,0),2)-INDEX(Antoines,MATCH(I44,Antoine_Name,0),3)/(I51+459.6))))),0)</f>
        <v>0</v>
      </c>
      <c r="J60" cm="1">
        <f t="array" ref="J60">IFERROR(IF(J45="Chemical",(10^(INDEX(Antoines,MATCH(J44,Antoine_Name,0),2)-INDEX(Antoines,MATCH(J44,Antoine_Name,0),3)/(INDEX(Antoines,MATCH(J44,Antoine_Name,0),4)+(J51-32)*5/9)))*14.7/760,IF(J45="Crude Oil",EXP((2799/(J51+459.6)-2.227)*LOG10(INDEX(FX_Input,W$5,J$3*$Z$5+$AA$5))-(7261/(J51+459.6))+12.82),IF(J45="Refined Petroleum Stock",EXP((0.7553-(413/(J51+459.6)))*(INDEX(FX_Input,W$5,J$3*$Z$5+$AA$5-1)^0.5)*LOG10(INDEX(FX_Input,W$5,J$3*$Z$5+$AA$5))-(1.854-(1042/(J51+459.6)))*(INDEX(FX_Input,W$5,J$3*$Z$5+$AA$5-1)^0.5)+((2416/(J51+459.6)-2.013)*LOG10(INDEX(FX_Input,W$5,J$3*$Z$5+$AA$5)))-(8742/(J51+459.6))+15.64),EXP(INDEX(Antoines,MATCH(J44,Antoine_Name,0),2)-INDEX(Antoines,MATCH(J44,Antoine_Name,0),3)/(J51+459.6))))),0)</f>
        <v>0</v>
      </c>
      <c r="K60" cm="1">
        <f t="array" ref="K60">IFERROR(IF(K45="Chemical",(10^(INDEX(Antoines,MATCH(K44,Antoine_Name,0),2)-INDEX(Antoines,MATCH(K44,Antoine_Name,0),3)/(INDEX(Antoines,MATCH(K44,Antoine_Name,0),4)+(K51-32)*5/9)))*14.7/760,IF(K45="Crude Oil",EXP((2799/(K51+459.6)-2.227)*LOG10(INDEX(FX_Input,X$5,K$3*$Z$5+$AA$5))-(7261/(K51+459.6))+12.82),IF(K45="Refined Petroleum Stock",EXP((0.7553-(413/(K51+459.6)))*(INDEX(FX_Input,X$5,K$3*$Z$5+$AA$5-1)^0.5)*LOG10(INDEX(FX_Input,X$5,K$3*$Z$5+$AA$5))-(1.854-(1042/(K51+459.6)))*(INDEX(FX_Input,X$5,K$3*$Z$5+$AA$5-1)^0.5)+((2416/(K51+459.6)-2.013)*LOG10(INDEX(FX_Input,X$5,K$3*$Z$5+$AA$5)))-(8742/(K51+459.6))+15.64),EXP(INDEX(Antoines,MATCH(K44,Antoine_Name,0),2)-INDEX(Antoines,MATCH(K44,Antoine_Name,0),3)/(K51+459.6))))),0)</f>
        <v>0</v>
      </c>
      <c r="L60" cm="1">
        <f t="array" ref="L60">IFERROR(IF(L45="Chemical",(10^(INDEX(Antoines,MATCH(L44,Antoine_Name,0),2)-INDEX(Antoines,MATCH(L44,Antoine_Name,0),3)/(INDEX(Antoines,MATCH(L44,Antoine_Name,0),4)+(L51-32)*5/9)))*14.7/760,IF(L45="Crude Oil",EXP((2799/(L51+459.6)-2.227)*LOG10(INDEX(FX_Input,Y$5,L$3*$Z$5+$AA$5))-(7261/(L51+459.6))+12.82),IF(L45="Refined Petroleum Stock",EXP((0.7553-(413/(L51+459.6)))*(INDEX(FX_Input,Y$5,L$3*$Z$5+$AA$5-1)^0.5)*LOG10(INDEX(FX_Input,Y$5,L$3*$Z$5+$AA$5))-(1.854-(1042/(L51+459.6)))*(INDEX(FX_Input,Y$5,L$3*$Z$5+$AA$5-1)^0.5)+((2416/(L51+459.6)-2.013)*LOG10(INDEX(FX_Input,Y$5,L$3*$Z$5+$AA$5)))-(8742/(L51+459.6))+15.64),EXP(INDEX(Antoines,MATCH(L44,Antoine_Name,0),2)-INDEX(Antoines,MATCH(L44,Antoine_Name,0),3)/(L51+459.6))))),0)</f>
        <v>0</v>
      </c>
      <c r="M60" cm="1">
        <f t="array" ref="M60">IFERROR(IF(M45="Chemical",(10^(INDEX(Antoines,MATCH(M44,Antoine_Name,0),2)-INDEX(Antoines,MATCH(M44,Antoine_Name,0),3)/(INDEX(Antoines,MATCH(M44,Antoine_Name,0),4)+(M51-32)*5/9)))*14.7/760,IF(M45="Crude Oil",EXP((2799/(M51+459.6)-2.227)*LOG10(INDEX(FX_Input,Z$5,M$3*$Z$5+$AA$5))-(7261/(M51+459.6))+12.82),IF(M45="Refined Petroleum Stock",EXP((0.7553-(413/(M51+459.6)))*(INDEX(FX_Input,Z$5,M$3*$Z$5+$AA$5-1)^0.5)*LOG10(INDEX(FX_Input,Z$5,M$3*$Z$5+$AA$5))-(1.854-(1042/(M51+459.6)))*(INDEX(FX_Input,Z$5,M$3*$Z$5+$AA$5-1)^0.5)+((2416/(M51+459.6)-2.013)*LOG10(INDEX(FX_Input,Z$5,M$3*$Z$5+$AA$5)))-(8742/(M51+459.6))+15.64),EXP(INDEX(Antoines,MATCH(M44,Antoine_Name,0),2)-INDEX(Antoines,MATCH(M44,Antoine_Name,0),3)/(M51+459.6))))),0)</f>
        <v>0</v>
      </c>
      <c r="N60" cm="1">
        <f t="array" ref="N60">IFERROR(IF(N45="Chemical",(10^(INDEX(Antoines,MATCH(N44,Antoine_Name,0),2)-INDEX(Antoines,MATCH(N44,Antoine_Name,0),3)/(INDEX(Antoines,MATCH(N44,Antoine_Name,0),4)+(N51-32)*5/9)))*14.7/760,IF(N45="Crude Oil",EXP((2799/(N51+459.6)-2.227)*LOG10(INDEX(FX_Input,AA$5,N$3*$Z$5+$AA$5))-(7261/(N51+459.6))+12.82),IF(N45="Refined Petroleum Stock",EXP((0.7553-(413/(N51+459.6)))*(INDEX(FX_Input,AA$5,N$3*$Z$5+$AA$5-1)^0.5)*LOG10(INDEX(FX_Input,AA$5,N$3*$Z$5+$AA$5))-(1.854-(1042/(N51+459.6)))*(INDEX(FX_Input,AA$5,N$3*$Z$5+$AA$5-1)^0.5)+((2416/(N51+459.6)-2.013)*LOG10(INDEX(FX_Input,AA$5,N$3*$Z$5+$AA$5)))-(8742/(N51+459.6))+15.64),EXP(INDEX(Antoines,MATCH(N44,Antoine_Name,0),2)-INDEX(Antoines,MATCH(N44,Antoine_Name,0),3)/(N51+459.6))))),0)</f>
        <v>0</v>
      </c>
      <c r="O60" cm="1">
        <f t="array" ref="O60">IFERROR(IF(O45="Chemical",(10^(INDEX(Antoines,MATCH(O44,Antoine_Name,0),2)-INDEX(Antoines,MATCH(O44,Antoine_Name,0),3)/(INDEX(Antoines,MATCH(O44,Antoine_Name,0),4)+(O51-32)*5/9)))*14.7/760,IF(O45="Crude Oil",EXP((2799/(O51+459.6)-2.227)*LOG10(INDEX(FX_Input,AB$5,O$3*$Z$5+$AA$5))-(7261/(O51+459.6))+12.82),IF(O45="Refined Petroleum Stock",EXP((0.7553-(413/(O51+459.6)))*(INDEX(FX_Input,AB$5,O$3*$Z$5+$AA$5-1)^0.5)*LOG10(INDEX(FX_Input,AB$5,O$3*$Z$5+$AA$5))-(1.854-(1042/(O51+459.6)))*(INDEX(FX_Input,AB$5,O$3*$Z$5+$AA$5-1)^0.5)+((2416/(O51+459.6)-2.013)*LOG10(INDEX(FX_Input,AB$5,O$3*$Z$5+$AA$5)))-(8742/(O51+459.6))+15.64),EXP(INDEX(Antoines,MATCH(O44,Antoine_Name,0),2)-INDEX(Antoines,MATCH(O44,Antoine_Name,0),3)/(O51+459.6))))),0)</f>
        <v>0</v>
      </c>
    </row>
    <row r="61" spans="2:32" ht="17.149999999999999" x14ac:dyDescent="0.55000000000000004">
      <c r="B61" t="str">
        <f t="shared" si="20"/>
        <v>Portland</v>
      </c>
      <c r="C61" t="s">
        <v>582</v>
      </c>
      <c r="D61">
        <f>D60*D48</f>
        <v>0</v>
      </c>
      <c r="E61">
        <f t="shared" ref="E61" si="65">E60*E48</f>
        <v>0</v>
      </c>
      <c r="F61">
        <f t="shared" ref="F61" si="66">F60*F48</f>
        <v>0</v>
      </c>
      <c r="G61">
        <f t="shared" ref="G61" si="67">G60*G48</f>
        <v>0</v>
      </c>
      <c r="H61">
        <f t="shared" ref="H61" si="68">H60*H48</f>
        <v>0</v>
      </c>
      <c r="I61">
        <f t="shared" ref="I61" si="69">I60*I48</f>
        <v>0</v>
      </c>
      <c r="J61">
        <f t="shared" ref="J61" si="70">J60*J48</f>
        <v>0</v>
      </c>
      <c r="K61">
        <f t="shared" ref="K61" si="71">K60*K48</f>
        <v>0</v>
      </c>
      <c r="L61">
        <f t="shared" ref="L61" si="72">L60*L48</f>
        <v>0</v>
      </c>
      <c r="M61">
        <f t="shared" ref="M61" si="73">M60*M48</f>
        <v>0</v>
      </c>
      <c r="N61">
        <f t="shared" ref="N61" si="74">N60*N48</f>
        <v>0</v>
      </c>
      <c r="O61">
        <f t="shared" ref="O61" si="75">O60*O48</f>
        <v>0</v>
      </c>
    </row>
    <row r="62" spans="2:32" ht="17.149999999999999" x14ac:dyDescent="0.55000000000000004">
      <c r="B62" t="str">
        <f t="shared" si="20"/>
        <v>Portland</v>
      </c>
      <c r="C62" t="s">
        <v>583</v>
      </c>
      <c r="D62">
        <f>D59+D61</f>
        <v>5.2033036727344552E-3</v>
      </c>
      <c r="E62">
        <f t="shared" ref="E62" si="76">E59+E61</f>
        <v>5.5385065183370758E-3</v>
      </c>
      <c r="F62">
        <f t="shared" ref="F62" si="77">F59+F61</f>
        <v>5.9077167859673575E-3</v>
      </c>
      <c r="G62">
        <f t="shared" ref="G62" si="78">G59+G61</f>
        <v>6.5849388112918178E-3</v>
      </c>
      <c r="H62">
        <f t="shared" ref="H62" si="79">H59+H61</f>
        <v>7.7939195379121001E-3</v>
      </c>
      <c r="I62">
        <f t="shared" ref="I62" si="80">I59+I61</f>
        <v>8.8347329003026723E-3</v>
      </c>
      <c r="J62">
        <f t="shared" ref="J62" si="81">J59+J61</f>
        <v>9.9592296270275289E-3</v>
      </c>
      <c r="K62">
        <f t="shared" ref="K62" si="82">K59+K61</f>
        <v>1.0044214742690162E-2</v>
      </c>
      <c r="L62">
        <f t="shared" ref="L62" si="83">L59+L61</f>
        <v>9.3389439263883208E-3</v>
      </c>
      <c r="M62">
        <f t="shared" ref="M62" si="84">M59+M61</f>
        <v>7.3896033166885589E-3</v>
      </c>
      <c r="N62">
        <f t="shared" ref="N62" si="85">N59+N61</f>
        <v>5.902399466128503E-3</v>
      </c>
      <c r="O62">
        <f t="shared" ref="O62" si="86">O59+O61</f>
        <v>5.1222820261006847E-3</v>
      </c>
    </row>
    <row r="63" spans="2:32" ht="17.149999999999999" x14ac:dyDescent="0.55000000000000004">
      <c r="B63" t="str">
        <f t="shared" si="20"/>
        <v>Portland</v>
      </c>
      <c r="C63" t="s">
        <v>1388</v>
      </c>
      <c r="D63" cm="1">
        <f t="array" ref="D63">IFERROR(IF(D43="Chemical",(10^(INDEX(Antoines,MATCH(D42,Antoine_Name,0),2)-INDEX(Antoines,MATCH(D42,Antoine_Name,0),3)/(INDEX(Antoines,MATCH(D42,Antoine_Name,0),4)+(D52-32)*5/9)))*14.7/760,IF(D43="Crude Oil",EXP((2799/(D52+459.6)-2.227)*LOG10(INDEX(FX_Input,Q$5,D$3*$Z$5+$AA$5))-(7261/(D52+459.6))+12.82),IF(D43="Refined Petroleum Stock",EXP((0.7553-(413/(D52+459.6)))*(INDEX(FX_Input,Q$5,D$3*$Z$5+$AA$5-1)^0.5)*LOG10(INDEX(FX_Input,Q$5,D$3*$Z$5+$AA$5))-(1.854-(1042/(D52+459.6)))*(INDEX(FX_Input,Q$5,D$3*$Z$5+$AA$5-1)^0.5)+((2416/(D52+459.6)-2.013)*LOG10(INDEX(FX_Input,Q$5,D$3*$Z$5+$AA$5)))-(8742/(D52+459.6))+15.64),EXP(INDEX(Antoines,MATCH(D42,Antoine_Name,0),2)-INDEX(Antoines,MATCH(D42,Antoine_Name,0),3)/(D52+459.6))))),0)</f>
        <v>4.883250638471285E-3</v>
      </c>
      <c r="E63" cm="1">
        <f t="array" ref="E63">IFERROR(IF(E43="Chemical",(10^(INDEX(Antoines,MATCH(E42,Antoine_Name,0),2)-INDEX(Antoines,MATCH(E42,Antoine_Name,0),3)/(INDEX(Antoines,MATCH(E42,Antoine_Name,0),4)+(E52-32)*5/9)))*14.7/760,IF(E43="Crude Oil",EXP((2799/(E52+459.6)-2.227)*LOG10(INDEX(FX_Input,R$5,E$3*$Z$5+$AA$5))-(7261/(E52+459.6))+12.82),IF(E43="Refined Petroleum Stock",EXP((0.7553-(413/(E52+459.6)))*(INDEX(FX_Input,R$5,E$3*$Z$5+$AA$5-1)^0.5)*LOG10(INDEX(FX_Input,R$5,E$3*$Z$5+$AA$5))-(1.854-(1042/(E52+459.6)))*(INDEX(FX_Input,R$5,E$3*$Z$5+$AA$5-1)^0.5)+((2416/(E52+459.6)-2.013)*LOG10(INDEX(FX_Input,R$5,E$3*$Z$5+$AA$5)))-(8742/(E52+459.6))+15.64),EXP(INDEX(Antoines,MATCH(E42,Antoine_Name,0),2)-INDEX(Antoines,MATCH(E42,Antoine_Name,0),3)/(E52+459.6))))),0)</f>
        <v>5.1351067062407989E-3</v>
      </c>
      <c r="F63" cm="1">
        <f t="array" ref="F63">IFERROR(IF(F43="Chemical",(10^(INDEX(Antoines,MATCH(F42,Antoine_Name,0),2)-INDEX(Antoines,MATCH(F42,Antoine_Name,0),3)/(INDEX(Antoines,MATCH(F42,Antoine_Name,0),4)+(F52-32)*5/9)))*14.7/760,IF(F43="Crude Oil",EXP((2799/(F52+459.6)-2.227)*LOG10(INDEX(FX_Input,S$5,F$3*$Z$5+$AA$5))-(7261/(F52+459.6))+12.82),IF(F43="Refined Petroleum Stock",EXP((0.7553-(413/(F52+459.6)))*(INDEX(FX_Input,S$5,F$3*$Z$5+$AA$5-1)^0.5)*LOG10(INDEX(FX_Input,S$5,F$3*$Z$5+$AA$5))-(1.854-(1042/(F52+459.6)))*(INDEX(FX_Input,S$5,F$3*$Z$5+$AA$5-1)^0.5)+((2416/(F52+459.6)-2.013)*LOG10(INDEX(FX_Input,S$5,F$3*$Z$5+$AA$5)))-(8742/(F52+459.6))+15.64),EXP(INDEX(Antoines,MATCH(F42,Antoine_Name,0),2)-INDEX(Antoines,MATCH(F42,Antoine_Name,0),3)/(F52+459.6))))),0)</f>
        <v>5.5213829543467952E-3</v>
      </c>
      <c r="G63" cm="1">
        <f t="array" ref="G63">IFERROR(IF(G43="Chemical",(10^(INDEX(Antoines,MATCH(G42,Antoine_Name,0),2)-INDEX(Antoines,MATCH(G42,Antoine_Name,0),3)/(INDEX(Antoines,MATCH(G42,Antoine_Name,0),4)+(G52-32)*5/9)))*14.7/760,IF(G43="Crude Oil",EXP((2799/(G52+459.6)-2.227)*LOG10(INDEX(FX_Input,T$5,G$3*$Z$5+$AA$5))-(7261/(G52+459.6))+12.82),IF(G43="Refined Petroleum Stock",EXP((0.7553-(413/(G52+459.6)))*(INDEX(FX_Input,T$5,G$3*$Z$5+$AA$5-1)^0.5)*LOG10(INDEX(FX_Input,T$5,G$3*$Z$5+$AA$5))-(1.854-(1042/(G52+459.6)))*(INDEX(FX_Input,T$5,G$3*$Z$5+$AA$5-1)^0.5)+((2416/(G52+459.6)-2.013)*LOG10(INDEX(FX_Input,T$5,G$3*$Z$5+$AA$5)))-(8742/(G52+459.6))+15.64),EXP(INDEX(Antoines,MATCH(G42,Antoine_Name,0),2)-INDEX(Antoines,MATCH(G42,Antoine_Name,0),3)/(G52+459.6))))),0)</f>
        <v>6.2124720487193742E-3</v>
      </c>
      <c r="H63" cm="1">
        <f t="array" ref="H63">IFERROR(IF(H43="Chemical",(10^(INDEX(Antoines,MATCH(H42,Antoine_Name,0),2)-INDEX(Antoines,MATCH(H42,Antoine_Name,0),3)/(INDEX(Antoines,MATCH(H42,Antoine_Name,0),4)+(H52-32)*5/9)))*14.7/760,IF(H43="Crude Oil",EXP((2799/(H52+459.6)-2.227)*LOG10(INDEX(FX_Input,U$5,H$3*$Z$5+$AA$5))-(7261/(H52+459.6))+12.82),IF(H43="Refined Petroleum Stock",EXP((0.7553-(413/(H52+459.6)))*(INDEX(FX_Input,U$5,H$3*$Z$5+$AA$5-1)^0.5)*LOG10(INDEX(FX_Input,U$5,H$3*$Z$5+$AA$5))-(1.854-(1042/(H52+459.6)))*(INDEX(FX_Input,U$5,H$3*$Z$5+$AA$5-1)^0.5)+((2416/(H52+459.6)-2.013)*LOG10(INDEX(FX_Input,U$5,H$3*$Z$5+$AA$5)))-(8742/(H52+459.6))+15.64),EXP(INDEX(Antoines,MATCH(H42,Antoine_Name,0),2)-INDEX(Antoines,MATCH(H42,Antoine_Name,0),3)/(H52+459.6))))),0)</f>
        <v>7.4209663387537275E-3</v>
      </c>
      <c r="I63" cm="1">
        <f t="array" ref="I63">IFERROR(IF(I43="Chemical",(10^(INDEX(Antoines,MATCH(I42,Antoine_Name,0),2)-INDEX(Antoines,MATCH(I42,Antoine_Name,0),3)/(INDEX(Antoines,MATCH(I42,Antoine_Name,0),4)+(I52-32)*5/9)))*14.7/760,IF(I43="Crude Oil",EXP((2799/(I52+459.6)-2.227)*LOG10(INDEX(FX_Input,V$5,I$3*$Z$5+$AA$5))-(7261/(I52+459.6))+12.82),IF(I43="Refined Petroleum Stock",EXP((0.7553-(413/(I52+459.6)))*(INDEX(FX_Input,V$5,I$3*$Z$5+$AA$5-1)^0.5)*LOG10(INDEX(FX_Input,V$5,I$3*$Z$5+$AA$5))-(1.854-(1042/(I52+459.6)))*(INDEX(FX_Input,V$5,I$3*$Z$5+$AA$5-1)^0.5)+((2416/(I52+459.6)-2.013)*LOG10(INDEX(FX_Input,V$5,I$3*$Z$5+$AA$5)))-(8742/(I52+459.6))+15.64),EXP(INDEX(Antoines,MATCH(I42,Antoine_Name,0),2)-INDEX(Antoines,MATCH(I42,Antoine_Name,0),3)/(I52+459.6))))),0)</f>
        <v>8.4819819298252285E-3</v>
      </c>
      <c r="J63" cm="1">
        <f t="array" ref="J63">IFERROR(IF(J43="Chemical",(10^(INDEX(Antoines,MATCH(J42,Antoine_Name,0),2)-INDEX(Antoines,MATCH(J42,Antoine_Name,0),3)/(INDEX(Antoines,MATCH(J42,Antoine_Name,0),4)+(J52-32)*5/9)))*14.7/760,IF(J43="Crude Oil",EXP((2799/(J52+459.6)-2.227)*LOG10(INDEX(FX_Input,W$5,J$3*$Z$5+$AA$5))-(7261/(J52+459.6))+12.82),IF(J43="Refined Petroleum Stock",EXP((0.7553-(413/(J52+459.6)))*(INDEX(FX_Input,W$5,J$3*$Z$5+$AA$5-1)^0.5)*LOG10(INDEX(FX_Input,W$5,J$3*$Z$5+$AA$5))-(1.854-(1042/(J52+459.6)))*(INDEX(FX_Input,W$5,J$3*$Z$5+$AA$5-1)^0.5)+((2416/(J52+459.6)-2.013)*LOG10(INDEX(FX_Input,W$5,J$3*$Z$5+$AA$5)))-(8742/(J52+459.6))+15.64),EXP(INDEX(Antoines,MATCH(J42,Antoine_Name,0),2)-INDEX(Antoines,MATCH(J42,Antoine_Name,0),3)/(J52+459.6))))),0)</f>
        <v>9.5741064128135375E-3</v>
      </c>
      <c r="K63" cm="1">
        <f t="array" ref="K63">IFERROR(IF(K43="Chemical",(10^(INDEX(Antoines,MATCH(K42,Antoine_Name,0),2)-INDEX(Antoines,MATCH(K42,Antoine_Name,0),3)/(INDEX(Antoines,MATCH(K42,Antoine_Name,0),4)+(K52-32)*5/9)))*14.7/760,IF(K43="Crude Oil",EXP((2799/(K52+459.6)-2.227)*LOG10(INDEX(FX_Input,X$5,K$3*$Z$5+$AA$5))-(7261/(K52+459.6))+12.82),IF(K43="Refined Petroleum Stock",EXP((0.7553-(413/(K52+459.6)))*(INDEX(FX_Input,X$5,K$3*$Z$5+$AA$5-1)^0.5)*LOG10(INDEX(FX_Input,X$5,K$3*$Z$5+$AA$5))-(1.854-(1042/(K52+459.6)))*(INDEX(FX_Input,X$5,K$3*$Z$5+$AA$5-1)^0.5)+((2416/(K52+459.6)-2.013)*LOG10(INDEX(FX_Input,X$5,K$3*$Z$5+$AA$5)))-(8742/(K52+459.6))+15.64),EXP(INDEX(Antoines,MATCH(K42,Antoine_Name,0),2)-INDEX(Antoines,MATCH(K42,Antoine_Name,0),3)/(K52+459.6))))),0)</f>
        <v>9.5478148180509845E-3</v>
      </c>
      <c r="L63" cm="1">
        <f t="array" ref="L63">IFERROR(IF(L43="Chemical",(10^(INDEX(Antoines,MATCH(L42,Antoine_Name,0),2)-INDEX(Antoines,MATCH(L42,Antoine_Name,0),3)/(INDEX(Antoines,MATCH(L42,Antoine_Name,0),4)+(L52-32)*5/9)))*14.7/760,IF(L43="Crude Oil",EXP((2799/(L52+459.6)-2.227)*LOG10(INDEX(FX_Input,Y$5,L$3*$Z$5+$AA$5))-(7261/(L52+459.6))+12.82),IF(L43="Refined Petroleum Stock",EXP((0.7553-(413/(L52+459.6)))*(INDEX(FX_Input,Y$5,L$3*$Z$5+$AA$5-1)^0.5)*LOG10(INDEX(FX_Input,Y$5,L$3*$Z$5+$AA$5))-(1.854-(1042/(L52+459.6)))*(INDEX(FX_Input,Y$5,L$3*$Z$5+$AA$5-1)^0.5)+((2416/(L52+459.6)-2.013)*LOG10(INDEX(FX_Input,Y$5,L$3*$Z$5+$AA$5)))-(8742/(L52+459.6))+15.64),EXP(INDEX(Antoines,MATCH(L42,Antoine_Name,0),2)-INDEX(Antoines,MATCH(L42,Antoine_Name,0),3)/(L52+459.6))))),0)</f>
        <v>8.6464528192362108E-3</v>
      </c>
      <c r="M63" cm="1">
        <f t="array" ref="M63">IFERROR(IF(M43="Chemical",(10^(INDEX(Antoines,MATCH(M42,Antoine_Name,0),2)-INDEX(Antoines,MATCH(M42,Antoine_Name,0),3)/(INDEX(Antoines,MATCH(M42,Antoine_Name,0),4)+(M52-32)*5/9)))*14.7/760,IF(M43="Crude Oil",EXP((2799/(M52+459.6)-2.227)*LOG10(INDEX(FX_Input,Z$5,M$3*$Z$5+$AA$5))-(7261/(M52+459.6))+12.82),IF(M43="Refined Petroleum Stock",EXP((0.7553-(413/(M52+459.6)))*(INDEX(FX_Input,Z$5,M$3*$Z$5+$AA$5-1)^0.5)*LOG10(INDEX(FX_Input,Z$5,M$3*$Z$5+$AA$5))-(1.854-(1042/(M52+459.6)))*(INDEX(FX_Input,Z$5,M$3*$Z$5+$AA$5-1)^0.5)+((2416/(M52+459.6)-2.013)*LOG10(INDEX(FX_Input,Z$5,M$3*$Z$5+$AA$5)))-(8742/(M52+459.6))+15.64),EXP(INDEX(Antoines,MATCH(M42,Antoine_Name,0),2)-INDEX(Antoines,MATCH(M42,Antoine_Name,0),3)/(M52+459.6))))),0)</f>
        <v>6.8218393379121701E-3</v>
      </c>
      <c r="N63" cm="1">
        <f t="array" ref="N63">IFERROR(IF(N43="Chemical",(10^(INDEX(Antoines,MATCH(N42,Antoine_Name,0),2)-INDEX(Antoines,MATCH(N42,Antoine_Name,0),3)/(INDEX(Antoines,MATCH(N42,Antoine_Name,0),4)+(N52-32)*5/9)))*14.7/760,IF(N43="Crude Oil",EXP((2799/(N52+459.6)-2.227)*LOG10(INDEX(FX_Input,AA$5,N$3*$Z$5+$AA$5))-(7261/(N52+459.6))+12.82),IF(N43="Refined Petroleum Stock",EXP((0.7553-(413/(N52+459.6)))*(INDEX(FX_Input,AA$5,N$3*$Z$5+$AA$5-1)^0.5)*LOG10(INDEX(FX_Input,AA$5,N$3*$Z$5+$AA$5))-(1.854-(1042/(N52+459.6)))*(INDEX(FX_Input,AA$5,N$3*$Z$5+$AA$5-1)^0.5)+((2416/(N52+459.6)-2.013)*LOG10(INDEX(FX_Input,AA$5,N$3*$Z$5+$AA$5)))-(8742/(N52+459.6))+15.64),EXP(INDEX(Antoines,MATCH(N42,Antoine_Name,0),2)-INDEX(Antoines,MATCH(N42,Antoine_Name,0),3)/(N52+459.6))))),0)</f>
        <v>5.4827140055800742E-3</v>
      </c>
      <c r="O63" cm="1">
        <f t="array" ref="O63">IFERROR(IF(O43="Chemical",(10^(INDEX(Antoines,MATCH(O42,Antoine_Name,0),2)-INDEX(Antoines,MATCH(O42,Antoine_Name,0),3)/(INDEX(Antoines,MATCH(O42,Antoine_Name,0),4)+(O52-32)*5/9)))*14.7/760,IF(O43="Crude Oil",EXP((2799/(O52+459.6)-2.227)*LOG10(INDEX(FX_Input,AB$5,O$3*$Z$5+$AA$5))-(7261/(O52+459.6))+12.82),IF(O43="Refined Petroleum Stock",EXP((0.7553-(413/(O52+459.6)))*(INDEX(FX_Input,AB$5,O$3*$Z$5+$AA$5-1)^0.5)*LOG10(INDEX(FX_Input,AB$5,O$3*$Z$5+$AA$5))-(1.854-(1042/(O52+459.6)))*(INDEX(FX_Input,AB$5,O$3*$Z$5+$AA$5-1)^0.5)+((2416/(O52+459.6)-2.013)*LOG10(INDEX(FX_Input,AB$5,O$3*$Z$5+$AA$5)))-(8742/(O52+459.6))+15.64),EXP(INDEX(Antoines,MATCH(O42,Antoine_Name,0),2)-INDEX(Antoines,MATCH(O42,Antoine_Name,0),3)/(O52+459.6))))),0)</f>
        <v>4.8148298503950734E-3</v>
      </c>
    </row>
    <row r="64" spans="2:32" ht="17.149999999999999" x14ac:dyDescent="0.55000000000000004">
      <c r="B64" t="str">
        <f t="shared" si="20"/>
        <v>Portland</v>
      </c>
      <c r="C64" t="s">
        <v>1389</v>
      </c>
      <c r="D64">
        <f>D63*D46</f>
        <v>4.883250638471285E-3</v>
      </c>
      <c r="E64">
        <f t="shared" ref="E64" si="87">E63*E46</f>
        <v>5.1351067062407989E-3</v>
      </c>
      <c r="F64">
        <f t="shared" ref="F64" si="88">F63*F46</f>
        <v>5.5213829543467952E-3</v>
      </c>
      <c r="G64">
        <f t="shared" ref="G64" si="89">G63*G46</f>
        <v>6.2124720487193742E-3</v>
      </c>
      <c r="H64">
        <f t="shared" ref="H64" si="90">H63*H46</f>
        <v>7.4209663387537275E-3</v>
      </c>
      <c r="I64">
        <f t="shared" ref="I64" si="91">I63*I46</f>
        <v>8.4819819298252285E-3</v>
      </c>
      <c r="J64">
        <f t="shared" ref="J64" si="92">J63*J46</f>
        <v>9.5741064128135375E-3</v>
      </c>
      <c r="K64">
        <f t="shared" ref="K64" si="93">K63*K46</f>
        <v>9.5478148180509845E-3</v>
      </c>
      <c r="L64">
        <f t="shared" ref="L64" si="94">L63*L46</f>
        <v>8.6464528192362108E-3</v>
      </c>
      <c r="M64">
        <f t="shared" ref="M64" si="95">M63*M46</f>
        <v>6.8218393379121701E-3</v>
      </c>
      <c r="N64">
        <f t="shared" ref="N64" si="96">N63*N46</f>
        <v>5.4827140055800742E-3</v>
      </c>
      <c r="O64">
        <f t="shared" ref="O64" si="97">O63*O46</f>
        <v>4.8148298503950734E-3</v>
      </c>
    </row>
    <row r="65" spans="1:32" ht="17.149999999999999" x14ac:dyDescent="0.55000000000000004">
      <c r="B65" t="str">
        <f t="shared" si="20"/>
        <v>Portland</v>
      </c>
      <c r="C65" t="s">
        <v>1390</v>
      </c>
      <c r="D65" cm="1">
        <f t="array" ref="D65">IFERROR(IF(D45="Chemical",(10^(INDEX(Antoines,MATCH(D44,Antoine_Name,0),2)-INDEX(Antoines,MATCH(D44,Antoine_Name,0),3)/(INDEX(Antoines,MATCH(D44,Antoine_Name,0),4)+(D52-32)*5/9)))*14.7/760,IF(D45="Crude Oil",EXP((2799/(D52+459.6)-2.227)*LOG10(INDEX(FX_Input,Q$5,D$3*$Z$5+$AA$5))-(7261/(D52+459.6))+12.82),IF(D45="Refined Petroleum Stock",EXP((0.7553-(413/(D52+459.6)))*(INDEX(FX_Input,Q$5,D$3*$Z$5+$AA$5-1)^0.5)*LOG10(INDEX(FX_Input,Q$5,D$3*$Z$5+$AA$5))-(1.854-(1042/(D52+459.6)))*(INDEX(FX_Input,Q$5,D$3*$Z$5+$AA$5-1)^0.5)+((2416/(D52+459.6)-2.013)*LOG10(INDEX(FX_Input,Q$5,D$3*$Z$5+$AA$5)))-(8742/(D52+459.6))+15.64),EXP(INDEX(Antoines,MATCH(D44,Antoine_Name,0),2)-INDEX(Antoines,MATCH(D44,Antoine_Name,0),3)/(D52+459.6))))),0)</f>
        <v>0</v>
      </c>
      <c r="E65" cm="1">
        <f t="array" ref="E65">IFERROR(IF(E45="Chemical",(10^(INDEX(Antoines,MATCH(E44,Antoine_Name,0),2)-INDEX(Antoines,MATCH(E44,Antoine_Name,0),3)/(INDEX(Antoines,MATCH(E44,Antoine_Name,0),4)+(E52-32)*5/9)))*14.7/760,IF(E45="Crude Oil",EXP((2799/(E52+459.6)-2.227)*LOG10(INDEX(FX_Input,R$5,E$3*$Z$5+$AA$5))-(7261/(E52+459.6))+12.82),IF(E45="Refined Petroleum Stock",EXP((0.7553-(413/(E52+459.6)))*(INDEX(FX_Input,R$5,E$3*$Z$5+$AA$5-1)^0.5)*LOG10(INDEX(FX_Input,R$5,E$3*$Z$5+$AA$5))-(1.854-(1042/(E52+459.6)))*(INDEX(FX_Input,R$5,E$3*$Z$5+$AA$5-1)^0.5)+((2416/(E52+459.6)-2.013)*LOG10(INDEX(FX_Input,R$5,E$3*$Z$5+$AA$5)))-(8742/(E52+459.6))+15.64),EXP(INDEX(Antoines,MATCH(E44,Antoine_Name,0),2)-INDEX(Antoines,MATCH(E44,Antoine_Name,0),3)/(E52+459.6))))),0)</f>
        <v>0</v>
      </c>
      <c r="F65" cm="1">
        <f t="array" ref="F65">IFERROR(IF(F45="Chemical",(10^(INDEX(Antoines,MATCH(F44,Antoine_Name,0),2)-INDEX(Antoines,MATCH(F44,Antoine_Name,0),3)/(INDEX(Antoines,MATCH(F44,Antoine_Name,0),4)+(F52-32)*5/9)))*14.7/760,IF(F45="Crude Oil",EXP((2799/(F52+459.6)-2.227)*LOG10(INDEX(FX_Input,S$5,F$3*$Z$5+$AA$5))-(7261/(F52+459.6))+12.82),IF(F45="Refined Petroleum Stock",EXP((0.7553-(413/(F52+459.6)))*(INDEX(FX_Input,S$5,F$3*$Z$5+$AA$5-1)^0.5)*LOG10(INDEX(FX_Input,S$5,F$3*$Z$5+$AA$5))-(1.854-(1042/(F52+459.6)))*(INDEX(FX_Input,S$5,F$3*$Z$5+$AA$5-1)^0.5)+((2416/(F52+459.6)-2.013)*LOG10(INDEX(FX_Input,S$5,F$3*$Z$5+$AA$5)))-(8742/(F52+459.6))+15.64),EXP(INDEX(Antoines,MATCH(F44,Antoine_Name,0),2)-INDEX(Antoines,MATCH(F44,Antoine_Name,0),3)/(F52+459.6))))),0)</f>
        <v>0</v>
      </c>
      <c r="G65" cm="1">
        <f t="array" ref="G65">IFERROR(IF(G45="Chemical",(10^(INDEX(Antoines,MATCH(G44,Antoine_Name,0),2)-INDEX(Antoines,MATCH(G44,Antoine_Name,0),3)/(INDEX(Antoines,MATCH(G44,Antoine_Name,0),4)+(G52-32)*5/9)))*14.7/760,IF(G45="Crude Oil",EXP((2799/(G52+459.6)-2.227)*LOG10(INDEX(FX_Input,T$5,G$3*$Z$5+$AA$5))-(7261/(G52+459.6))+12.82),IF(G45="Refined Petroleum Stock",EXP((0.7553-(413/(G52+459.6)))*(INDEX(FX_Input,T$5,G$3*$Z$5+$AA$5-1)^0.5)*LOG10(INDEX(FX_Input,T$5,G$3*$Z$5+$AA$5))-(1.854-(1042/(G52+459.6)))*(INDEX(FX_Input,T$5,G$3*$Z$5+$AA$5-1)^0.5)+((2416/(G52+459.6)-2.013)*LOG10(INDEX(FX_Input,T$5,G$3*$Z$5+$AA$5)))-(8742/(G52+459.6))+15.64),EXP(INDEX(Antoines,MATCH(G44,Antoine_Name,0),2)-INDEX(Antoines,MATCH(G44,Antoine_Name,0),3)/(G52+459.6))))),0)</f>
        <v>0</v>
      </c>
      <c r="H65" cm="1">
        <f t="array" ref="H65">IFERROR(IF(H45="Chemical",(10^(INDEX(Antoines,MATCH(H44,Antoine_Name,0),2)-INDEX(Antoines,MATCH(H44,Antoine_Name,0),3)/(INDEX(Antoines,MATCH(H44,Antoine_Name,0),4)+(H52-32)*5/9)))*14.7/760,IF(H45="Crude Oil",EXP((2799/(H52+459.6)-2.227)*LOG10(INDEX(FX_Input,U$5,H$3*$Z$5+$AA$5))-(7261/(H52+459.6))+12.82),IF(H45="Refined Petroleum Stock",EXP((0.7553-(413/(H52+459.6)))*(INDEX(FX_Input,U$5,H$3*$Z$5+$AA$5-1)^0.5)*LOG10(INDEX(FX_Input,U$5,H$3*$Z$5+$AA$5))-(1.854-(1042/(H52+459.6)))*(INDEX(FX_Input,U$5,H$3*$Z$5+$AA$5-1)^0.5)+((2416/(H52+459.6)-2.013)*LOG10(INDEX(FX_Input,U$5,H$3*$Z$5+$AA$5)))-(8742/(H52+459.6))+15.64),EXP(INDEX(Antoines,MATCH(H44,Antoine_Name,0),2)-INDEX(Antoines,MATCH(H44,Antoine_Name,0),3)/(H52+459.6))))),0)</f>
        <v>0</v>
      </c>
      <c r="I65" cm="1">
        <f t="array" ref="I65">IFERROR(IF(I45="Chemical",(10^(INDEX(Antoines,MATCH(I44,Antoine_Name,0),2)-INDEX(Antoines,MATCH(I44,Antoine_Name,0),3)/(INDEX(Antoines,MATCH(I44,Antoine_Name,0),4)+(I52-32)*5/9)))*14.7/760,IF(I45="Crude Oil",EXP((2799/(I52+459.6)-2.227)*LOG10(INDEX(FX_Input,V$5,I$3*$Z$5+$AA$5))-(7261/(I52+459.6))+12.82),IF(I45="Refined Petroleum Stock",EXP((0.7553-(413/(I52+459.6)))*(INDEX(FX_Input,V$5,I$3*$Z$5+$AA$5-1)^0.5)*LOG10(INDEX(FX_Input,V$5,I$3*$Z$5+$AA$5))-(1.854-(1042/(I52+459.6)))*(INDEX(FX_Input,V$5,I$3*$Z$5+$AA$5-1)^0.5)+((2416/(I52+459.6)-2.013)*LOG10(INDEX(FX_Input,V$5,I$3*$Z$5+$AA$5)))-(8742/(I52+459.6))+15.64),EXP(INDEX(Antoines,MATCH(I44,Antoine_Name,0),2)-INDEX(Antoines,MATCH(I44,Antoine_Name,0),3)/(I52+459.6))))),0)</f>
        <v>0</v>
      </c>
      <c r="J65" cm="1">
        <f t="array" ref="J65">IFERROR(IF(J45="Chemical",(10^(INDEX(Antoines,MATCH(J44,Antoine_Name,0),2)-INDEX(Antoines,MATCH(J44,Antoine_Name,0),3)/(INDEX(Antoines,MATCH(J44,Antoine_Name,0),4)+(J52-32)*5/9)))*14.7/760,IF(J45="Crude Oil",EXP((2799/(J52+459.6)-2.227)*LOG10(INDEX(FX_Input,W$5,J$3*$Z$5+$AA$5))-(7261/(J52+459.6))+12.82),IF(J45="Refined Petroleum Stock",EXP((0.7553-(413/(J52+459.6)))*(INDEX(FX_Input,W$5,J$3*$Z$5+$AA$5-1)^0.5)*LOG10(INDEX(FX_Input,W$5,J$3*$Z$5+$AA$5))-(1.854-(1042/(J52+459.6)))*(INDEX(FX_Input,W$5,J$3*$Z$5+$AA$5-1)^0.5)+((2416/(J52+459.6)-2.013)*LOG10(INDEX(FX_Input,W$5,J$3*$Z$5+$AA$5)))-(8742/(J52+459.6))+15.64),EXP(INDEX(Antoines,MATCH(J44,Antoine_Name,0),2)-INDEX(Antoines,MATCH(J44,Antoine_Name,0),3)/(J52+459.6))))),0)</f>
        <v>0</v>
      </c>
      <c r="K65" cm="1">
        <f t="array" ref="K65">IFERROR(IF(K45="Chemical",(10^(INDEX(Antoines,MATCH(K44,Antoine_Name,0),2)-INDEX(Antoines,MATCH(K44,Antoine_Name,0),3)/(INDEX(Antoines,MATCH(K44,Antoine_Name,0),4)+(K52-32)*5/9)))*14.7/760,IF(K45="Crude Oil",EXP((2799/(K52+459.6)-2.227)*LOG10(INDEX(FX_Input,X$5,K$3*$Z$5+$AA$5))-(7261/(K52+459.6))+12.82),IF(K45="Refined Petroleum Stock",EXP((0.7553-(413/(K52+459.6)))*(INDEX(FX_Input,X$5,K$3*$Z$5+$AA$5-1)^0.5)*LOG10(INDEX(FX_Input,X$5,K$3*$Z$5+$AA$5))-(1.854-(1042/(K52+459.6)))*(INDEX(FX_Input,X$5,K$3*$Z$5+$AA$5-1)^0.5)+((2416/(K52+459.6)-2.013)*LOG10(INDEX(FX_Input,X$5,K$3*$Z$5+$AA$5)))-(8742/(K52+459.6))+15.64),EXP(INDEX(Antoines,MATCH(K44,Antoine_Name,0),2)-INDEX(Antoines,MATCH(K44,Antoine_Name,0),3)/(K52+459.6))))),0)</f>
        <v>0</v>
      </c>
      <c r="L65" cm="1">
        <f t="array" ref="L65">IFERROR(IF(L45="Chemical",(10^(INDEX(Antoines,MATCH(L44,Antoine_Name,0),2)-INDEX(Antoines,MATCH(L44,Antoine_Name,0),3)/(INDEX(Antoines,MATCH(L44,Antoine_Name,0),4)+(L52-32)*5/9)))*14.7/760,IF(L45="Crude Oil",EXP((2799/(L52+459.6)-2.227)*LOG10(INDEX(FX_Input,Y$5,L$3*$Z$5+$AA$5))-(7261/(L52+459.6))+12.82),IF(L45="Refined Petroleum Stock",EXP((0.7553-(413/(L52+459.6)))*(INDEX(FX_Input,Y$5,L$3*$Z$5+$AA$5-1)^0.5)*LOG10(INDEX(FX_Input,Y$5,L$3*$Z$5+$AA$5))-(1.854-(1042/(L52+459.6)))*(INDEX(FX_Input,Y$5,L$3*$Z$5+$AA$5-1)^0.5)+((2416/(L52+459.6)-2.013)*LOG10(INDEX(FX_Input,Y$5,L$3*$Z$5+$AA$5)))-(8742/(L52+459.6))+15.64),EXP(INDEX(Antoines,MATCH(L44,Antoine_Name,0),2)-INDEX(Antoines,MATCH(L44,Antoine_Name,0),3)/(L52+459.6))))),0)</f>
        <v>0</v>
      </c>
      <c r="M65" cm="1">
        <f t="array" ref="M65">IFERROR(IF(M45="Chemical",(10^(INDEX(Antoines,MATCH(M44,Antoine_Name,0),2)-INDEX(Antoines,MATCH(M44,Antoine_Name,0),3)/(INDEX(Antoines,MATCH(M44,Antoine_Name,0),4)+(M52-32)*5/9)))*14.7/760,IF(M45="Crude Oil",EXP((2799/(M52+459.6)-2.227)*LOG10(INDEX(FX_Input,Z$5,M$3*$Z$5+$AA$5))-(7261/(M52+459.6))+12.82),IF(M45="Refined Petroleum Stock",EXP((0.7553-(413/(M52+459.6)))*(INDEX(FX_Input,Z$5,M$3*$Z$5+$AA$5-1)^0.5)*LOG10(INDEX(FX_Input,Z$5,M$3*$Z$5+$AA$5))-(1.854-(1042/(M52+459.6)))*(INDEX(FX_Input,Z$5,M$3*$Z$5+$AA$5-1)^0.5)+((2416/(M52+459.6)-2.013)*LOG10(INDEX(FX_Input,Z$5,M$3*$Z$5+$AA$5)))-(8742/(M52+459.6))+15.64),EXP(INDEX(Antoines,MATCH(M44,Antoine_Name,0),2)-INDEX(Antoines,MATCH(M44,Antoine_Name,0),3)/(M52+459.6))))),0)</f>
        <v>0</v>
      </c>
      <c r="N65" cm="1">
        <f t="array" ref="N65">IFERROR(IF(N45="Chemical",(10^(INDEX(Antoines,MATCH(N44,Antoine_Name,0),2)-INDEX(Antoines,MATCH(N44,Antoine_Name,0),3)/(INDEX(Antoines,MATCH(N44,Antoine_Name,0),4)+(N52-32)*5/9)))*14.7/760,IF(N45="Crude Oil",EXP((2799/(N52+459.6)-2.227)*LOG10(INDEX(FX_Input,AA$5,N$3*$Z$5+$AA$5))-(7261/(N52+459.6))+12.82),IF(N45="Refined Petroleum Stock",EXP((0.7553-(413/(N52+459.6)))*(INDEX(FX_Input,AA$5,N$3*$Z$5+$AA$5-1)^0.5)*LOG10(INDEX(FX_Input,AA$5,N$3*$Z$5+$AA$5))-(1.854-(1042/(N52+459.6)))*(INDEX(FX_Input,AA$5,N$3*$Z$5+$AA$5-1)^0.5)+((2416/(N52+459.6)-2.013)*LOG10(INDEX(FX_Input,AA$5,N$3*$Z$5+$AA$5)))-(8742/(N52+459.6))+15.64),EXP(INDEX(Antoines,MATCH(N44,Antoine_Name,0),2)-INDEX(Antoines,MATCH(N44,Antoine_Name,0),3)/(N52+459.6))))),0)</f>
        <v>0</v>
      </c>
      <c r="O65" cm="1">
        <f t="array" ref="O65">IFERROR(IF(O45="Chemical",(10^(INDEX(Antoines,MATCH(O44,Antoine_Name,0),2)-INDEX(Antoines,MATCH(O44,Antoine_Name,0),3)/(INDEX(Antoines,MATCH(O44,Antoine_Name,0),4)+(O52-32)*5/9)))*14.7/760,IF(O45="Crude Oil",EXP((2799/(O52+459.6)-2.227)*LOG10(INDEX(FX_Input,AB$5,O$3*$Z$5+$AA$5))-(7261/(O52+459.6))+12.82),IF(O45="Refined Petroleum Stock",EXP((0.7553-(413/(O52+459.6)))*(INDEX(FX_Input,AB$5,O$3*$Z$5+$AA$5-1)^0.5)*LOG10(INDEX(FX_Input,AB$5,O$3*$Z$5+$AA$5))-(1.854-(1042/(O52+459.6)))*(INDEX(FX_Input,AB$5,O$3*$Z$5+$AA$5-1)^0.5)+((2416/(O52+459.6)-2.013)*LOG10(INDEX(FX_Input,AB$5,O$3*$Z$5+$AA$5)))-(8742/(O52+459.6))+15.64),EXP(INDEX(Antoines,MATCH(O44,Antoine_Name,0),2)-INDEX(Antoines,MATCH(O44,Antoine_Name,0),3)/(O52+459.6))))),0)</f>
        <v>0</v>
      </c>
    </row>
    <row r="66" spans="1:32" ht="17.149999999999999" x14ac:dyDescent="0.55000000000000004">
      <c r="B66" t="str">
        <f t="shared" si="20"/>
        <v>Portland</v>
      </c>
      <c r="C66" t="s">
        <v>1391</v>
      </c>
      <c r="D66">
        <f>D65*D48</f>
        <v>0</v>
      </c>
      <c r="E66">
        <f t="shared" ref="E66" si="98">E65*E48</f>
        <v>0</v>
      </c>
      <c r="F66">
        <f t="shared" ref="F66" si="99">F65*F48</f>
        <v>0</v>
      </c>
      <c r="G66">
        <f t="shared" ref="G66" si="100">G65*G48</f>
        <v>0</v>
      </c>
      <c r="H66">
        <f t="shared" ref="H66" si="101">H65*H48</f>
        <v>0</v>
      </c>
      <c r="I66">
        <f t="shared" ref="I66" si="102">I65*I48</f>
        <v>0</v>
      </c>
      <c r="J66">
        <f t="shared" ref="J66" si="103">J65*J48</f>
        <v>0</v>
      </c>
      <c r="K66">
        <f t="shared" ref="K66" si="104">K65*K48</f>
        <v>0</v>
      </c>
      <c r="L66">
        <f t="shared" ref="L66" si="105">L65*L48</f>
        <v>0</v>
      </c>
      <c r="M66">
        <f t="shared" ref="M66" si="106">M65*M48</f>
        <v>0</v>
      </c>
      <c r="N66">
        <f t="shared" ref="N66" si="107">N65*N48</f>
        <v>0</v>
      </c>
      <c r="O66">
        <f t="shared" ref="O66" si="108">O65*O48</f>
        <v>0</v>
      </c>
    </row>
    <row r="67" spans="1:32" ht="17.149999999999999" x14ac:dyDescent="0.55000000000000004">
      <c r="B67" t="str">
        <f t="shared" si="20"/>
        <v>Portland</v>
      </c>
      <c r="C67" t="s">
        <v>1392</v>
      </c>
      <c r="D67">
        <f>D64+D66</f>
        <v>4.883250638471285E-3</v>
      </c>
      <c r="E67">
        <f t="shared" ref="E67" si="109">E64+E66</f>
        <v>5.1351067062407989E-3</v>
      </c>
      <c r="F67">
        <f t="shared" ref="F67" si="110">F64+F66</f>
        <v>5.5213829543467952E-3</v>
      </c>
      <c r="G67">
        <f t="shared" ref="G67" si="111">G64+G66</f>
        <v>6.2124720487193742E-3</v>
      </c>
      <c r="H67">
        <f t="shared" ref="H67" si="112">H64+H66</f>
        <v>7.4209663387537275E-3</v>
      </c>
      <c r="I67">
        <f t="shared" ref="I67" si="113">I64+I66</f>
        <v>8.4819819298252285E-3</v>
      </c>
      <c r="J67">
        <f t="shared" ref="J67" si="114">J64+J66</f>
        <v>9.5741064128135375E-3</v>
      </c>
      <c r="K67">
        <f t="shared" ref="K67" si="115">K64+K66</f>
        <v>9.5478148180509845E-3</v>
      </c>
      <c r="L67">
        <f t="shared" ref="L67" si="116">L64+L66</f>
        <v>8.6464528192362108E-3</v>
      </c>
      <c r="M67">
        <f t="shared" ref="M67" si="117">M64+M66</f>
        <v>6.8218393379121701E-3</v>
      </c>
      <c r="N67">
        <f t="shared" ref="N67" si="118">N64+N66</f>
        <v>5.4827140055800742E-3</v>
      </c>
      <c r="O67">
        <f t="shared" ref="O67" si="119">O64+O66</f>
        <v>4.8148298503950734E-3</v>
      </c>
    </row>
    <row r="68" spans="1:32" ht="17.149999999999999" x14ac:dyDescent="0.55000000000000004">
      <c r="B68" t="str">
        <f>B62</f>
        <v>Portland</v>
      </c>
      <c r="C68" t="s">
        <v>584</v>
      </c>
      <c r="D68">
        <f>D64/D67</f>
        <v>1</v>
      </c>
      <c r="E68">
        <f t="shared" ref="E68" si="120">E64/E67</f>
        <v>1</v>
      </c>
      <c r="F68">
        <f t="shared" ref="F68" si="121">F64/F67</f>
        <v>1</v>
      </c>
      <c r="G68">
        <f t="shared" ref="G68" si="122">G64/G67</f>
        <v>1</v>
      </c>
      <c r="H68">
        <f t="shared" ref="H68" si="123">H64/H67</f>
        <v>1</v>
      </c>
      <c r="I68">
        <f t="shared" ref="I68" si="124">I64/I67</f>
        <v>1</v>
      </c>
      <c r="J68">
        <f t="shared" ref="J68" si="125">J64/J67</f>
        <v>1</v>
      </c>
      <c r="K68">
        <f t="shared" ref="K68" si="126">K64/K67</f>
        <v>1</v>
      </c>
      <c r="L68">
        <f t="shared" ref="L68" si="127">L64/L67</f>
        <v>1</v>
      </c>
      <c r="M68">
        <f t="shared" ref="M68" si="128">M64/M67</f>
        <v>1</v>
      </c>
      <c r="N68">
        <f t="shared" ref="N68" si="129">N64/N67</f>
        <v>1</v>
      </c>
      <c r="O68">
        <f t="shared" ref="O68" si="130">O64/O67</f>
        <v>1</v>
      </c>
    </row>
    <row r="69" spans="1:32" ht="17.149999999999999" x14ac:dyDescent="0.55000000000000004">
      <c r="B69" t="str">
        <f>B63</f>
        <v>Portland</v>
      </c>
      <c r="C69" t="s">
        <v>585</v>
      </c>
      <c r="D69">
        <f t="shared" ref="D69:O69" si="131">INDEX(Phys_Prop,MATCH(D42,Chem_List,0),3)</f>
        <v>130</v>
      </c>
      <c r="E69">
        <f t="shared" si="131"/>
        <v>130</v>
      </c>
      <c r="F69">
        <f t="shared" si="131"/>
        <v>130</v>
      </c>
      <c r="G69">
        <f t="shared" si="131"/>
        <v>130</v>
      </c>
      <c r="H69">
        <f t="shared" si="131"/>
        <v>130</v>
      </c>
      <c r="I69">
        <f t="shared" si="131"/>
        <v>130</v>
      </c>
      <c r="J69">
        <f t="shared" si="131"/>
        <v>130</v>
      </c>
      <c r="K69">
        <f t="shared" si="131"/>
        <v>130</v>
      </c>
      <c r="L69">
        <f t="shared" si="131"/>
        <v>130</v>
      </c>
      <c r="M69">
        <f t="shared" si="131"/>
        <v>130</v>
      </c>
      <c r="N69">
        <f t="shared" si="131"/>
        <v>130</v>
      </c>
      <c r="O69">
        <f t="shared" si="131"/>
        <v>130</v>
      </c>
    </row>
    <row r="70" spans="1:32" ht="17.149999999999999" x14ac:dyDescent="0.55000000000000004">
      <c r="B70" t="str">
        <f>B69</f>
        <v>Portland</v>
      </c>
      <c r="C70" t="s">
        <v>586</v>
      </c>
      <c r="D70">
        <f>D66/D67</f>
        <v>0</v>
      </c>
      <c r="E70">
        <f t="shared" ref="E70:O70" si="132">E66/E67</f>
        <v>0</v>
      </c>
      <c r="F70">
        <f t="shared" si="132"/>
        <v>0</v>
      </c>
      <c r="G70">
        <f t="shared" si="132"/>
        <v>0</v>
      </c>
      <c r="H70">
        <f t="shared" si="132"/>
        <v>0</v>
      </c>
      <c r="I70">
        <f t="shared" si="132"/>
        <v>0</v>
      </c>
      <c r="J70">
        <f t="shared" si="132"/>
        <v>0</v>
      </c>
      <c r="K70">
        <f t="shared" si="132"/>
        <v>0</v>
      </c>
      <c r="L70">
        <f t="shared" si="132"/>
        <v>0</v>
      </c>
      <c r="M70">
        <f t="shared" si="132"/>
        <v>0</v>
      </c>
      <c r="N70">
        <f t="shared" si="132"/>
        <v>0</v>
      </c>
      <c r="O70">
        <f t="shared" si="132"/>
        <v>0</v>
      </c>
    </row>
    <row r="71" spans="1:32" ht="17.149999999999999" x14ac:dyDescent="0.55000000000000004">
      <c r="B71" t="str">
        <f t="shared" si="20"/>
        <v>Portland</v>
      </c>
      <c r="C71" t="s">
        <v>587</v>
      </c>
      <c r="D71">
        <f t="shared" ref="D71:O71" si="133">IFERROR(INDEX(Phys_Prop,MATCH(D44,Chem_List,0),3),0)</f>
        <v>0</v>
      </c>
      <c r="E71">
        <f t="shared" si="133"/>
        <v>0</v>
      </c>
      <c r="F71">
        <f t="shared" si="133"/>
        <v>0</v>
      </c>
      <c r="G71">
        <f t="shared" si="133"/>
        <v>0</v>
      </c>
      <c r="H71">
        <f t="shared" si="133"/>
        <v>0</v>
      </c>
      <c r="I71">
        <f t="shared" si="133"/>
        <v>0</v>
      </c>
      <c r="J71">
        <f t="shared" si="133"/>
        <v>0</v>
      </c>
      <c r="K71">
        <f t="shared" si="133"/>
        <v>0</v>
      </c>
      <c r="L71">
        <f t="shared" si="133"/>
        <v>0</v>
      </c>
      <c r="M71">
        <f t="shared" si="133"/>
        <v>0</v>
      </c>
      <c r="N71">
        <f t="shared" si="133"/>
        <v>0</v>
      </c>
      <c r="O71">
        <f t="shared" si="133"/>
        <v>0</v>
      </c>
    </row>
    <row r="72" spans="1:32" ht="17.149999999999999" x14ac:dyDescent="0.55000000000000004">
      <c r="A72" s="11"/>
      <c r="B72" s="11" t="str">
        <f t="shared" si="20"/>
        <v>Portland</v>
      </c>
      <c r="C72" s="11" t="s">
        <v>588</v>
      </c>
      <c r="D72" s="11">
        <f>IFERROR(D68*D69+D70*D71,0)</f>
        <v>130</v>
      </c>
      <c r="E72" s="11">
        <f t="shared" ref="E72" si="134">IFERROR(E68*E69+E70*E71,0)</f>
        <v>130</v>
      </c>
      <c r="F72" s="11">
        <f t="shared" ref="F72" si="135">IFERROR(F68*F69+F70*F71,0)</f>
        <v>130</v>
      </c>
      <c r="G72" s="11">
        <f t="shared" ref="G72" si="136">IFERROR(G68*G69+G70*G71,0)</f>
        <v>130</v>
      </c>
      <c r="H72" s="11">
        <f t="shared" ref="H72" si="137">IFERROR(H68*H69+H70*H71,0)</f>
        <v>130</v>
      </c>
      <c r="I72" s="11">
        <f t="shared" ref="I72" si="138">IFERROR(I68*I69+I70*I71,0)</f>
        <v>130</v>
      </c>
      <c r="J72" s="11">
        <f t="shared" ref="J72" si="139">IFERROR(J68*J69+J70*J71,0)</f>
        <v>130</v>
      </c>
      <c r="K72" s="11">
        <f t="shared" ref="K72" si="140">IFERROR(K68*K69+K70*K71,0)</f>
        <v>130</v>
      </c>
      <c r="L72" s="11">
        <f t="shared" ref="L72" si="141">IFERROR(L68*L69+L70*L71,0)</f>
        <v>130</v>
      </c>
      <c r="M72" s="11">
        <f t="shared" ref="M72" si="142">IFERROR(M68*M69+M70*M71,0)</f>
        <v>130</v>
      </c>
      <c r="N72" s="11">
        <f t="shared" ref="N72" si="143">IFERROR(N68*N69+N70*N71,0)</f>
        <v>130</v>
      </c>
      <c r="O72" s="11">
        <f t="shared" ref="O72" si="144">IFERROR(O68*O69+O70*O71,0)</f>
        <v>130</v>
      </c>
      <c r="P72" s="11"/>
      <c r="Q72" s="11"/>
      <c r="R72" s="11"/>
      <c r="S72" s="11"/>
      <c r="T72" s="11"/>
      <c r="U72" s="11"/>
      <c r="V72" s="11"/>
      <c r="W72" s="11"/>
      <c r="X72" s="11"/>
      <c r="Y72" s="11"/>
      <c r="Z72" s="11"/>
      <c r="AA72" s="11"/>
      <c r="AB72" s="11"/>
      <c r="AC72" s="11"/>
      <c r="AD72" s="11"/>
      <c r="AE72" s="11"/>
      <c r="AF72" s="11"/>
    </row>
    <row r="73" spans="1:32" ht="17.149999999999999" x14ac:dyDescent="0.55000000000000004">
      <c r="A73" t="str" cm="1">
        <f t="array" ref="A73">INDEX(FX_Input,$Q73,R$5)</f>
        <v>FX - 3</v>
      </c>
      <c r="B73" t="str" cm="1">
        <f t="array" ref="B73">INDEX(FX_Input,Q73,S73)</f>
        <v>Portland</v>
      </c>
      <c r="C73" t="s">
        <v>563</v>
      </c>
      <c r="D73">
        <v>14.7</v>
      </c>
      <c r="E73">
        <v>14.7</v>
      </c>
      <c r="F73">
        <v>14.7</v>
      </c>
      <c r="G73">
        <v>14.7</v>
      </c>
      <c r="H73">
        <v>14.7</v>
      </c>
      <c r="I73">
        <v>14.7</v>
      </c>
      <c r="J73">
        <v>14.7</v>
      </c>
      <c r="K73">
        <v>14.7</v>
      </c>
      <c r="L73">
        <v>14.7</v>
      </c>
      <c r="M73">
        <v>14.7</v>
      </c>
      <c r="N73">
        <v>14.7</v>
      </c>
      <c r="O73">
        <v>14.7</v>
      </c>
      <c r="Q73">
        <f>Q39+2</f>
        <v>5</v>
      </c>
      <c r="R73">
        <v>1</v>
      </c>
      <c r="S73">
        <v>3</v>
      </c>
      <c r="T73">
        <v>1</v>
      </c>
      <c r="U73">
        <v>19</v>
      </c>
      <c r="V73">
        <v>20</v>
      </c>
      <c r="W73">
        <v>25</v>
      </c>
      <c r="X73">
        <v>1</v>
      </c>
      <c r="Y73">
        <v>2</v>
      </c>
      <c r="Z73">
        <f>(W73-V73)/(Y73-X73)</f>
        <v>5</v>
      </c>
      <c r="AA73">
        <f>V73-Z73*X73</f>
        <v>15</v>
      </c>
      <c r="AD73">
        <f>AD39+14</f>
        <v>29</v>
      </c>
      <c r="AF73">
        <f>AF39+14</f>
        <v>29</v>
      </c>
    </row>
    <row r="74" spans="1:32" ht="17.149999999999999" x14ac:dyDescent="0.55000000000000004">
      <c r="B74" t="str">
        <f t="shared" ref="B74" si="145">B73</f>
        <v>Portland</v>
      </c>
      <c r="C74" t="s">
        <v>564</v>
      </c>
      <c r="D74" cm="1">
        <f t="array" ref="D74">IF(ISBLANK(INDEX(FX_Input,$Q73,$AB74)),0.03,INDEX(FX_Input,Q73,AB74))</f>
        <v>0.03</v>
      </c>
      <c r="E74" cm="1">
        <f t="array" ref="E74">IF(ISBLANK(INDEX(FX_Input,$Q73,$AB74)),0.03,INDEX(FX_Input,R73,#REF!))</f>
        <v>0.03</v>
      </c>
      <c r="F74" cm="1">
        <f t="array" ref="F74">IF(ISBLANK(INDEX(FX_Input,$Q73,$AB74)),0.03,INDEX(FX_Input,S73,#REF!))</f>
        <v>0.03</v>
      </c>
      <c r="G74" cm="1">
        <f t="array" ref="G74">IF(ISBLANK(INDEX(FX_Input,$Q73,$AB74)),0.03,INDEX(FX_Input,AB73,#REF!))</f>
        <v>0.03</v>
      </c>
      <c r="H74" cm="1">
        <f t="array" ref="H74">IF(ISBLANK(INDEX(FX_Input,$Q73,$AB74)),0.03,INDEX(FX_Input,#REF!,#REF!))</f>
        <v>0.03</v>
      </c>
      <c r="I74" cm="1">
        <f t="array" ref="I74">IF(ISBLANK(INDEX(FX_Input,$Q73,$AB74)),0.03,INDEX(FX_Input,#REF!,#REF!))</f>
        <v>0.03</v>
      </c>
      <c r="J74" cm="1">
        <f t="array" ref="J74">IF(ISBLANK(INDEX(FX_Input,$Q73,$AB74)),0.03,INDEX(FX_Input,#REF!,#REF!))</f>
        <v>0.03</v>
      </c>
      <c r="K74" cm="1">
        <f t="array" ref="K74">IF(ISBLANK(INDEX(FX_Input,$Q73,$AB74)),0.03,INDEX(FX_Input,#REF!,AC74))</f>
        <v>0.03</v>
      </c>
      <c r="L74" cm="1">
        <f t="array" ref="L74">IF(ISBLANK(INDEX(FX_Input,$Q73,$AB74)),0.03,INDEX(FX_Input,#REF!,AD74))</f>
        <v>0.03</v>
      </c>
      <c r="M74" cm="1">
        <f t="array" ref="M74">IF(ISBLANK(INDEX(FX_Input,$Q73,$AB74)),0.03,INDEX(FX_Input,#REF!,#REF!))</f>
        <v>0.03</v>
      </c>
      <c r="N74" cm="1">
        <f t="array" ref="N74">IF(ISBLANK(INDEX(FX_Input,$Q73,$AB74)),0.03,INDEX(FX_Input,AC73,#REF!))</f>
        <v>0.03</v>
      </c>
      <c r="O74" cm="1">
        <f t="array" ref="O74">IF(ISBLANK(INDEX(FX_Input,$Q73,$AB74)),0.03,INDEX(FX_Input,AD73,#REF!))</f>
        <v>0.03</v>
      </c>
      <c r="AB74">
        <v>15</v>
      </c>
    </row>
    <row r="75" spans="1:32" ht="17.149999999999999" x14ac:dyDescent="0.55000000000000004">
      <c r="B75" t="str">
        <f>B74</f>
        <v>Portland</v>
      </c>
      <c r="C75" t="s">
        <v>565</v>
      </c>
      <c r="D75" cm="1">
        <f t="array" ref="D75">IF(ISBLANK(INDEX(FX_Input,$Q73,$AB75)),-0.03,INDEX(FX_Input,Q73,AB75))</f>
        <v>-0.03</v>
      </c>
      <c r="E75" cm="1">
        <f t="array" ref="E75">IF(ISBLANK(INDEX(FX_Input,$Q73,$AB75)),-0.03,INDEX(FX_Input,R73,#REF!))</f>
        <v>-0.03</v>
      </c>
      <c r="F75" cm="1">
        <f t="array" ref="F75">IF(ISBLANK(INDEX(FX_Input,$Q73,$AB75)),-0.03,INDEX(FX_Input,S73,#REF!))</f>
        <v>-0.03</v>
      </c>
      <c r="G75" cm="1">
        <f t="array" ref="G75">IF(ISBLANK(INDEX(FX_Input,$Q73,$AB75)),-0.03,INDEX(FX_Input,AB73,#REF!))</f>
        <v>-0.03</v>
      </c>
      <c r="H75" cm="1">
        <f t="array" ref="H75">IF(ISBLANK(INDEX(FX_Input,$Q73,$AB75)),-0.03,INDEX(FX_Input,#REF!,#REF!))</f>
        <v>-0.03</v>
      </c>
      <c r="I75" cm="1">
        <f t="array" ref="I75">IF(ISBLANK(INDEX(FX_Input,$Q73,$AB75)),-0.03,INDEX(FX_Input,#REF!,#REF!))</f>
        <v>-0.03</v>
      </c>
      <c r="J75" cm="1">
        <f t="array" ref="J75">IF(ISBLANK(INDEX(FX_Input,$Q73,$AB75)),-0.03,INDEX(FX_Input,#REF!,#REF!))</f>
        <v>-0.03</v>
      </c>
      <c r="K75" cm="1">
        <f t="array" ref="K75">IF(ISBLANK(INDEX(FX_Input,$Q73,$AB75)),-0.03,INDEX(FX_Input,#REF!,AC75))</f>
        <v>-0.03</v>
      </c>
      <c r="L75" cm="1">
        <f t="array" ref="L75">IF(ISBLANK(INDEX(FX_Input,$Q73,$AB75)),-0.03,INDEX(FX_Input,#REF!,AD75))</f>
        <v>-0.03</v>
      </c>
      <c r="M75" cm="1">
        <f t="array" ref="M75">IF(ISBLANK(INDEX(FX_Input,$Q73,$AB75)),-0.03,INDEX(FX_Input,#REF!,#REF!))</f>
        <v>-0.03</v>
      </c>
      <c r="N75" cm="1">
        <f t="array" ref="N75">IF(ISBLANK(INDEX(FX_Input,$Q73,$AB75)),-0.03,INDEX(FX_Input,AC73,#REF!))</f>
        <v>-0.03</v>
      </c>
      <c r="O75" cm="1">
        <f t="array" ref="O75">IF(ISBLANK(INDEX(FX_Input,$Q73,$AB75)),-0.03,INDEX(FX_Input,AD73,#REF!))</f>
        <v>-0.03</v>
      </c>
      <c r="AB75">
        <v>16</v>
      </c>
    </row>
    <row r="76" spans="1:32" x14ac:dyDescent="0.4">
      <c r="B76" t="str">
        <f t="shared" ref="B76:B77" si="146">B75</f>
        <v>Portland</v>
      </c>
      <c r="C76" s="66" t="s">
        <v>567</v>
      </c>
      <c r="D76" t="str" cm="1">
        <f t="array" ref="D76">INDEX(FX_Multi,$AD76,D$3)</f>
        <v>Jet kerosene</v>
      </c>
      <c r="E76" t="str" cm="1">
        <f t="array" ref="E76">INDEX(FX_Multi,$AD76,E$3)</f>
        <v>Jet kerosene</v>
      </c>
      <c r="F76" t="str" cm="1">
        <f t="array" ref="F76">INDEX(FX_Multi,$AD76,F$3)</f>
        <v>Jet kerosene</v>
      </c>
      <c r="G76" t="str" cm="1">
        <f t="array" ref="G76">INDEX(FX_Multi,$AD76,G$3)</f>
        <v>Jet kerosene</v>
      </c>
      <c r="H76" t="str" cm="1">
        <f t="array" ref="H76">INDEX(FX_Multi,$AD76,H$3)</f>
        <v>Jet kerosene</v>
      </c>
      <c r="I76" t="str" cm="1">
        <f t="array" ref="I76">INDEX(FX_Multi,$AD76,I$3)</f>
        <v>Jet kerosene</v>
      </c>
      <c r="J76" t="str" cm="1">
        <f t="array" ref="J76">INDEX(FX_Multi,$AD76,J$3)</f>
        <v>Jet kerosene</v>
      </c>
      <c r="K76" t="str" cm="1">
        <f t="array" ref="K76">INDEX(FX_Multi,$AD76,K$3)</f>
        <v>Jet kerosene</v>
      </c>
      <c r="L76" t="str" cm="1">
        <f t="array" ref="L76">INDEX(FX_Multi,$AD76,L$3)</f>
        <v>Jet kerosene</v>
      </c>
      <c r="M76" t="str" cm="1">
        <f t="array" ref="M76">INDEX(FX_Multi,$AD76,M$3)</f>
        <v>Jet kerosene</v>
      </c>
      <c r="N76" t="str" cm="1">
        <f t="array" ref="N76">INDEX(FX_Multi,$AD76,N$3)</f>
        <v>Jet kerosene</v>
      </c>
      <c r="O76" t="str" cm="1">
        <f t="array" ref="O76">INDEX(FX_Multi,$AD76,O$3)</f>
        <v>Jet kerosene</v>
      </c>
      <c r="AC76">
        <v>1</v>
      </c>
      <c r="AD76">
        <f>AD73</f>
        <v>29</v>
      </c>
      <c r="AE76">
        <v>1</v>
      </c>
      <c r="AF76">
        <f>AF73</f>
        <v>29</v>
      </c>
    </row>
    <row r="77" spans="1:32" x14ac:dyDescent="0.4">
      <c r="B77" t="str">
        <f t="shared" si="146"/>
        <v>Portland</v>
      </c>
      <c r="C77" s="66" t="s">
        <v>566</v>
      </c>
      <c r="D77" t="str" cm="1">
        <f t="array" ref="D77">INDEX(FX_Multi,$AD77,D$3)</f>
        <v>Select Pet Stock</v>
      </c>
      <c r="E77" t="str" cm="1">
        <f t="array" ref="E77">INDEX(FX_Multi,$AD77,E$3)</f>
        <v>Select Pet Stock</v>
      </c>
      <c r="F77" t="str" cm="1">
        <f t="array" ref="F77">INDEX(FX_Multi,$AD77,F$3)</f>
        <v>Select Pet Stock</v>
      </c>
      <c r="G77" t="str" cm="1">
        <f t="array" ref="G77">INDEX(FX_Multi,$AD77,G$3)</f>
        <v>Select Pet Stock</v>
      </c>
      <c r="H77" t="str" cm="1">
        <f t="array" ref="H77">INDEX(FX_Multi,$AD77,H$3)</f>
        <v>Select Pet Stock</v>
      </c>
      <c r="I77" t="str" cm="1">
        <f t="array" ref="I77">INDEX(FX_Multi,$AD77,I$3)</f>
        <v>Select Pet Stock</v>
      </c>
      <c r="J77" t="str" cm="1">
        <f t="array" ref="J77">INDEX(FX_Multi,$AD77,J$3)</f>
        <v>Select Pet Stock</v>
      </c>
      <c r="K77" t="str" cm="1">
        <f t="array" ref="K77">INDEX(FX_Multi,$AD77,K$3)</f>
        <v>Select Pet Stock</v>
      </c>
      <c r="L77" t="str" cm="1">
        <f t="array" ref="L77">INDEX(FX_Multi,$AD77,L$3)</f>
        <v>Select Pet Stock</v>
      </c>
      <c r="M77" t="str" cm="1">
        <f t="array" ref="M77">INDEX(FX_Multi,$AD77,M$3)</f>
        <v>Select Pet Stock</v>
      </c>
      <c r="N77" t="str" cm="1">
        <f t="array" ref="N77">INDEX(FX_Multi,$AD77,N$3)</f>
        <v>Select Pet Stock</v>
      </c>
      <c r="O77" t="str" cm="1">
        <f t="array" ref="O77">INDEX(FX_Multi,$AD77,O$3)</f>
        <v>Select Pet Stock</v>
      </c>
      <c r="AC77">
        <v>1</v>
      </c>
      <c r="AD77">
        <f>AD76+2</f>
        <v>31</v>
      </c>
      <c r="AE77">
        <v>1</v>
      </c>
      <c r="AF77">
        <f>AF76+3</f>
        <v>32</v>
      </c>
    </row>
    <row r="78" spans="1:32" x14ac:dyDescent="0.4">
      <c r="B78" t="str">
        <f>B74</f>
        <v>Portland</v>
      </c>
      <c r="C78" s="66" t="s">
        <v>568</v>
      </c>
      <c r="D78" cm="1">
        <f t="array" ref="D78">INDEX(FX_Multi,$AD78,D$3)</f>
        <v>0</v>
      </c>
      <c r="E78" cm="1">
        <f t="array" ref="E78">INDEX(FX_Multi,$AD78,E$3)</f>
        <v>0</v>
      </c>
      <c r="F78" cm="1">
        <f t="array" ref="F78">INDEX(FX_Multi,$AD78,F$3)</f>
        <v>0</v>
      </c>
      <c r="G78" cm="1">
        <f t="array" ref="G78">INDEX(FX_Multi,$AD78,G$3)</f>
        <v>0</v>
      </c>
      <c r="H78" cm="1">
        <f t="array" ref="H78">INDEX(FX_Multi,$AD78,H$3)</f>
        <v>0</v>
      </c>
      <c r="I78" cm="1">
        <f t="array" ref="I78">INDEX(FX_Multi,$AD78,I$3)</f>
        <v>0</v>
      </c>
      <c r="J78" cm="1">
        <f t="array" ref="J78">INDEX(FX_Multi,$AD78,J$3)</f>
        <v>0</v>
      </c>
      <c r="K78" cm="1">
        <f t="array" ref="K78">INDEX(FX_Multi,$AD78,K$3)</f>
        <v>0</v>
      </c>
      <c r="L78" cm="1">
        <f t="array" ref="L78">INDEX(FX_Multi,$AD78,L$3)</f>
        <v>0</v>
      </c>
      <c r="M78" cm="1">
        <f t="array" ref="M78">INDEX(FX_Multi,$AD78,M$3)</f>
        <v>0</v>
      </c>
      <c r="N78" cm="1">
        <f t="array" ref="N78">INDEX(FX_Multi,$AD78,N$3)</f>
        <v>0</v>
      </c>
      <c r="O78" cm="1">
        <f t="array" ref="O78">INDEX(FX_Multi,$AD78,O$3)</f>
        <v>0</v>
      </c>
      <c r="AC78">
        <v>1</v>
      </c>
      <c r="AD78">
        <f>AD77-1</f>
        <v>30</v>
      </c>
      <c r="AE78">
        <v>1</v>
      </c>
      <c r="AF78">
        <f>AF76+1</f>
        <v>30</v>
      </c>
    </row>
    <row r="79" spans="1:32" x14ac:dyDescent="0.4">
      <c r="B79" t="str">
        <f t="shared" ref="B79:B83" si="147">B78</f>
        <v>Portland</v>
      </c>
      <c r="C79" s="66" t="s">
        <v>569</v>
      </c>
      <c r="D79" cm="1">
        <f t="array" ref="D79">INDEX(FX_Multi,$AD79,D$3)</f>
        <v>0</v>
      </c>
      <c r="E79" cm="1">
        <f t="array" ref="E79">INDEX(FX_Multi,$AD79,E$3)</f>
        <v>0</v>
      </c>
      <c r="F79" cm="1">
        <f t="array" ref="F79">INDEX(FX_Multi,$AD79,F$3)</f>
        <v>0</v>
      </c>
      <c r="G79" cm="1">
        <f t="array" ref="G79">INDEX(FX_Multi,$AD79,G$3)</f>
        <v>0</v>
      </c>
      <c r="H79" cm="1">
        <f t="array" ref="H79">INDEX(FX_Multi,$AD79,H$3)</f>
        <v>0</v>
      </c>
      <c r="I79" cm="1">
        <f t="array" ref="I79">INDEX(FX_Multi,$AD79,I$3)</f>
        <v>0</v>
      </c>
      <c r="J79" cm="1">
        <f t="array" ref="J79">INDEX(FX_Multi,$AD79,J$3)</f>
        <v>0</v>
      </c>
      <c r="K79" cm="1">
        <f t="array" ref="K79">INDEX(FX_Multi,$AD79,K$3)</f>
        <v>0</v>
      </c>
      <c r="L79" cm="1">
        <f t="array" ref="L79">INDEX(FX_Multi,$AD79,L$3)</f>
        <v>0</v>
      </c>
      <c r="M79" cm="1">
        <f t="array" ref="M79">INDEX(FX_Multi,$AD79,M$3)</f>
        <v>0</v>
      </c>
      <c r="N79" cm="1">
        <f t="array" ref="N79">INDEX(FX_Multi,$AD79,N$3)</f>
        <v>0</v>
      </c>
      <c r="O79" cm="1">
        <f t="array" ref="O79">INDEX(FX_Multi,$AD79,O$3)</f>
        <v>0</v>
      </c>
      <c r="AC79">
        <v>1</v>
      </c>
      <c r="AD79">
        <f>AD78+2</f>
        <v>32</v>
      </c>
      <c r="AE79">
        <v>1</v>
      </c>
      <c r="AF79">
        <f>AF77</f>
        <v>32</v>
      </c>
    </row>
    <row r="80" spans="1:32" ht="17.149999999999999" x14ac:dyDescent="0.55000000000000004">
      <c r="B80" t="str">
        <f t="shared" si="147"/>
        <v>Portland</v>
      </c>
      <c r="C80" t="s">
        <v>570</v>
      </c>
      <c r="D80" cm="1">
        <f t="array" ref="D80">INDEX(FX_Multi,$AD80,D$3)</f>
        <v>1</v>
      </c>
      <c r="E80" cm="1">
        <f t="array" ref="E80">INDEX(FX_Multi,$AD80,E$3)</f>
        <v>1</v>
      </c>
      <c r="F80" cm="1">
        <f t="array" ref="F80">INDEX(FX_Multi,$AD80,F$3)</f>
        <v>1</v>
      </c>
      <c r="G80" cm="1">
        <f t="array" ref="G80">INDEX(FX_Multi,$AD80,G$3)</f>
        <v>1</v>
      </c>
      <c r="H80" cm="1">
        <f t="array" ref="H80">INDEX(FX_Multi,$AD80,H$3)</f>
        <v>1</v>
      </c>
      <c r="I80" cm="1">
        <f t="array" ref="I80">INDEX(FX_Multi,$AD80,I$3)</f>
        <v>1</v>
      </c>
      <c r="J80" cm="1">
        <f t="array" ref="J80">INDEX(FX_Multi,$AD80,J$3)</f>
        <v>1</v>
      </c>
      <c r="K80" cm="1">
        <f t="array" ref="K80">INDEX(FX_Multi,$AD80,K$3)</f>
        <v>1</v>
      </c>
      <c r="L80" cm="1">
        <f t="array" ref="L80">INDEX(FX_Multi,$AD80,L$3)</f>
        <v>1</v>
      </c>
      <c r="M80" cm="1">
        <f t="array" ref="M80">INDEX(FX_Multi,$AD80,M$3)</f>
        <v>1</v>
      </c>
      <c r="N80" cm="1">
        <f t="array" ref="N80">INDEX(FX_Multi,$AD80,N$3)</f>
        <v>1</v>
      </c>
      <c r="O80" cm="1">
        <f t="array" ref="O80">INDEX(FX_Multi,$AD80,O$3)</f>
        <v>1</v>
      </c>
      <c r="AC80">
        <v>1</v>
      </c>
      <c r="AD80">
        <f>AD79+6</f>
        <v>38</v>
      </c>
      <c r="AE80">
        <v>1</v>
      </c>
      <c r="AF80">
        <f>AF76+9</f>
        <v>38</v>
      </c>
    </row>
    <row r="81" spans="2:32" ht="17.149999999999999" x14ac:dyDescent="0.55000000000000004">
      <c r="B81" t="str">
        <f t="shared" si="147"/>
        <v>Portland</v>
      </c>
      <c r="C81" t="s">
        <v>571</v>
      </c>
      <c r="D81" cm="1">
        <f t="array" ref="D81">INDEX(FX_Multi,$AD81,D$3)</f>
        <v>162</v>
      </c>
      <c r="E81" cm="1">
        <f t="array" ref="E81">INDEX(FX_Multi,$AD81,E$3)</f>
        <v>162</v>
      </c>
      <c r="F81" cm="1">
        <f t="array" ref="F81">INDEX(FX_Multi,$AD81,F$3)</f>
        <v>162</v>
      </c>
      <c r="G81" cm="1">
        <f t="array" ref="G81">INDEX(FX_Multi,$AD81,G$3)</f>
        <v>162</v>
      </c>
      <c r="H81" cm="1">
        <f t="array" ref="H81">INDEX(FX_Multi,$AD81,H$3)</f>
        <v>162</v>
      </c>
      <c r="I81" cm="1">
        <f t="array" ref="I81">INDEX(FX_Multi,$AD81,I$3)</f>
        <v>162</v>
      </c>
      <c r="J81" cm="1">
        <f t="array" ref="J81">INDEX(FX_Multi,$AD81,J$3)</f>
        <v>162</v>
      </c>
      <c r="K81" cm="1">
        <f t="array" ref="K81">INDEX(FX_Multi,$AD81,K$3)</f>
        <v>162</v>
      </c>
      <c r="L81" cm="1">
        <f t="array" ref="L81">INDEX(FX_Multi,$AD81,L$3)</f>
        <v>162</v>
      </c>
      <c r="M81" cm="1">
        <f t="array" ref="M81">INDEX(FX_Multi,$AD81,M$3)</f>
        <v>162</v>
      </c>
      <c r="N81" cm="1">
        <f t="array" ref="N81">INDEX(FX_Multi,$AD81,N$3)</f>
        <v>162</v>
      </c>
      <c r="O81" cm="1">
        <f t="array" ref="O81">INDEX(FX_Multi,$AD81,O$3)</f>
        <v>162</v>
      </c>
      <c r="AC81">
        <v>1</v>
      </c>
      <c r="AD81">
        <f>AD80-3</f>
        <v>35</v>
      </c>
      <c r="AE81">
        <v>1</v>
      </c>
      <c r="AF81">
        <f>AF76+6</f>
        <v>35</v>
      </c>
    </row>
    <row r="82" spans="2:32" ht="17.149999999999999" x14ac:dyDescent="0.55000000000000004">
      <c r="B82" t="str">
        <f t="shared" si="147"/>
        <v>Portland</v>
      </c>
      <c r="C82" t="s">
        <v>572</v>
      </c>
      <c r="D82" cm="1">
        <f t="array" ref="D82">INDEX(FX_Multi,$AD82,D$3)</f>
        <v>0</v>
      </c>
      <c r="E82" cm="1">
        <f t="array" ref="E82">INDEX(FX_Multi,$AD82,E$3)</f>
        <v>0</v>
      </c>
      <c r="F82" cm="1">
        <f t="array" ref="F82">INDEX(FX_Multi,$AD82,F$3)</f>
        <v>0</v>
      </c>
      <c r="G82" cm="1">
        <f t="array" ref="G82">INDEX(FX_Multi,$AD82,G$3)</f>
        <v>0</v>
      </c>
      <c r="H82" cm="1">
        <f t="array" ref="H82">INDEX(FX_Multi,$AD82,H$3)</f>
        <v>0</v>
      </c>
      <c r="I82" cm="1">
        <f t="array" ref="I82">INDEX(FX_Multi,$AD82,I$3)</f>
        <v>0</v>
      </c>
      <c r="J82" cm="1">
        <f t="array" ref="J82">INDEX(FX_Multi,$AD82,J$3)</f>
        <v>0</v>
      </c>
      <c r="K82" cm="1">
        <f t="array" ref="K82">INDEX(FX_Multi,$AD82,K$3)</f>
        <v>0</v>
      </c>
      <c r="L82" cm="1">
        <f t="array" ref="L82">INDEX(FX_Multi,$AD82,L$3)</f>
        <v>0</v>
      </c>
      <c r="M82" cm="1">
        <f t="array" ref="M82">INDEX(FX_Multi,$AD82,M$3)</f>
        <v>0</v>
      </c>
      <c r="N82" cm="1">
        <f t="array" ref="N82">INDEX(FX_Multi,$AD82,N$3)</f>
        <v>0</v>
      </c>
      <c r="O82" cm="1">
        <f t="array" ref="O82">INDEX(FX_Multi,$AD82,O$3)</f>
        <v>0</v>
      </c>
      <c r="AC82">
        <v>1</v>
      </c>
      <c r="AD82">
        <f>AD81+4</f>
        <v>39</v>
      </c>
      <c r="AE82">
        <v>1</v>
      </c>
      <c r="AF82">
        <f>AF76+10</f>
        <v>39</v>
      </c>
    </row>
    <row r="83" spans="2:32" ht="17.149999999999999" x14ac:dyDescent="0.55000000000000004">
      <c r="B83" t="str">
        <f t="shared" si="147"/>
        <v>Portland</v>
      </c>
      <c r="C83" t="s">
        <v>573</v>
      </c>
      <c r="D83" cm="1">
        <f t="array" ref="D83">INDEX(FX_Multi,$AD83,D$3)</f>
        <v>0</v>
      </c>
      <c r="E83" cm="1">
        <f t="array" ref="E83">INDEX(FX_Multi,$AD83,E$3)</f>
        <v>0</v>
      </c>
      <c r="F83" cm="1">
        <f t="array" ref="F83">INDEX(FX_Multi,$AD83,F$3)</f>
        <v>0</v>
      </c>
      <c r="G83" cm="1">
        <f t="array" ref="G83">INDEX(FX_Multi,$AD83,G$3)</f>
        <v>0</v>
      </c>
      <c r="H83" cm="1">
        <f t="array" ref="H83">INDEX(FX_Multi,$AD83,H$3)</f>
        <v>0</v>
      </c>
      <c r="I83" cm="1">
        <f t="array" ref="I83">INDEX(FX_Multi,$AD83,I$3)</f>
        <v>0</v>
      </c>
      <c r="J83" cm="1">
        <f t="array" ref="J83">INDEX(FX_Multi,$AD83,J$3)</f>
        <v>0</v>
      </c>
      <c r="K83" cm="1">
        <f t="array" ref="K83">INDEX(FX_Multi,$AD83,K$3)</f>
        <v>0</v>
      </c>
      <c r="L83" cm="1">
        <f t="array" ref="L83">INDEX(FX_Multi,$AD83,L$3)</f>
        <v>0</v>
      </c>
      <c r="M83" cm="1">
        <f t="array" ref="M83">INDEX(FX_Multi,$AD83,M$3)</f>
        <v>0</v>
      </c>
      <c r="N83" cm="1">
        <f t="array" ref="N83">INDEX(FX_Multi,$AD83,N$3)</f>
        <v>0</v>
      </c>
      <c r="O83" cm="1">
        <f t="array" ref="O83">INDEX(FX_Multi,$AD83,O$3)</f>
        <v>0</v>
      </c>
      <c r="AC83">
        <v>1</v>
      </c>
      <c r="AD83">
        <f>AD82-3</f>
        <v>36</v>
      </c>
      <c r="AE83">
        <v>1</v>
      </c>
      <c r="AF83">
        <f>AF76+7</f>
        <v>36</v>
      </c>
    </row>
    <row r="84" spans="2:32" ht="17.149999999999999" x14ac:dyDescent="0.55000000000000004">
      <c r="B84" t="str">
        <f>B79</f>
        <v>Portland</v>
      </c>
      <c r="C84" t="s">
        <v>526</v>
      </c>
      <c r="D84" cm="1">
        <f t="array" ref="D84">INDEX(FX_Temps,$AF84,D$3)</f>
        <v>42.403099999999938</v>
      </c>
      <c r="E84" cm="1">
        <f t="array" ref="E84">INDEX(FX_Temps,$AF84,E$3)</f>
        <v>43.080000000000041</v>
      </c>
      <c r="F84" cm="1">
        <f t="array" ref="F84">INDEX(FX_Temps,$AF84,F$3)</f>
        <v>44.95089999999999</v>
      </c>
      <c r="G84" cm="1">
        <f t="array" ref="G84">INDEX(FX_Temps,$AF84,G$3)</f>
        <v>48.048400000000015</v>
      </c>
      <c r="H84" cm="1">
        <f t="array" ref="H84">INDEX(FX_Temps,$AF84,H$3)</f>
        <v>53.102899999999977</v>
      </c>
      <c r="I84" cm="1">
        <f t="array" ref="I84">INDEX(FX_Temps,$AF84,I$3)</f>
        <v>57.215900000000033</v>
      </c>
      <c r="J84" cm="1">
        <f t="array" ref="J84">INDEX(FX_Temps,$AF84,J$3)</f>
        <v>60.813599999999838</v>
      </c>
      <c r="K84" cm="1">
        <f t="array" ref="K84">INDEX(FX_Temps,$AF84,K$3)</f>
        <v>60.716400000000021</v>
      </c>
      <c r="L84" cm="1">
        <f t="array" ref="L84">INDEX(FX_Temps,$AF84,L$3)</f>
        <v>57.353200000000015</v>
      </c>
      <c r="M84" cm="1">
        <f t="array" ref="M84">INDEX(FX_Temps,$AF84,M$3)</f>
        <v>50.947600000000079</v>
      </c>
      <c r="N84" cm="1">
        <f t="array" ref="N84">INDEX(FX_Temps,$AF84,N$3)</f>
        <v>45.324700000000007</v>
      </c>
      <c r="O84" cm="1">
        <f t="array" ref="O84">INDEX(FX_Temps,$AF84,O$3)</f>
        <v>42.113400000000013</v>
      </c>
      <c r="AE84">
        <v>1</v>
      </c>
      <c r="AF84">
        <f>AF76+10</f>
        <v>39</v>
      </c>
    </row>
    <row r="85" spans="2:32" ht="17.149999999999999" x14ac:dyDescent="0.55000000000000004">
      <c r="B85" t="str">
        <f t="shared" ref="B85:B106" si="148">B84</f>
        <v>Portland</v>
      </c>
      <c r="C85" t="s">
        <v>527</v>
      </c>
      <c r="D85" cm="1">
        <f t="array" ref="D85">INDEX(FX_Temps,$AF85,D$3)</f>
        <v>46.563099999999963</v>
      </c>
      <c r="E85" cm="1">
        <f t="array" ref="E85">INDEX(FX_Temps,$AF85,E$3)</f>
        <v>48.360000000000014</v>
      </c>
      <c r="F85" cm="1">
        <f t="array" ref="F85">INDEX(FX_Temps,$AF85,F$3)</f>
        <v>50.230900000000076</v>
      </c>
      <c r="G85" cm="1">
        <f t="array" ref="G85">INDEX(FX_Temps,$AF85,G$3)</f>
        <v>53.408400000000029</v>
      </c>
      <c r="H85" cm="1">
        <f t="array" ref="H85">INDEX(FX_Temps,$AF85,H$3)</f>
        <v>58.422899999999913</v>
      </c>
      <c r="I85" cm="1">
        <f t="array" ref="I85">INDEX(FX_Temps,$AF85,I$3)</f>
        <v>62.215900000000033</v>
      </c>
      <c r="J85" cm="1">
        <f t="array" ref="J85">INDEX(FX_Temps,$AF85,J$3)</f>
        <v>65.893599999999878</v>
      </c>
      <c r="K85" cm="1">
        <f t="array" ref="K85">INDEX(FX_Temps,$AF85,K$3)</f>
        <v>66.156400000000076</v>
      </c>
      <c r="L85" cm="1">
        <f t="array" ref="L85">INDEX(FX_Temps,$AF85,L$3)</f>
        <v>63.913199999999961</v>
      </c>
      <c r="M85" cm="1">
        <f t="array" ref="M85">INDEX(FX_Temps,$AF85,M$3)</f>
        <v>56.827600000000075</v>
      </c>
      <c r="N85" cm="1">
        <f t="array" ref="N85">INDEX(FX_Temps,$AF85,N$3)</f>
        <v>50.204700000000003</v>
      </c>
      <c r="O85" cm="1">
        <f t="array" ref="O85">INDEX(FX_Temps,$AF85,O$3)</f>
        <v>46.113400000000013</v>
      </c>
      <c r="AE85">
        <f>AE84</f>
        <v>1</v>
      </c>
      <c r="AF85">
        <f>AF76+11</f>
        <v>40</v>
      </c>
    </row>
    <row r="86" spans="2:32" ht="17.149999999999999" x14ac:dyDescent="0.55000000000000004">
      <c r="B86" t="str">
        <f t="shared" si="148"/>
        <v>Portland</v>
      </c>
      <c r="C86" t="s">
        <v>552</v>
      </c>
      <c r="D86" cm="1">
        <f t="array" ref="D86">INDEX(FX_Temps,$AF86,D$3)</f>
        <v>44.748924999999986</v>
      </c>
      <c r="E86" cm="1">
        <f t="array" ref="E86">INDEX(FX_Temps,$AF86,E$3)</f>
        <v>46.185000000000059</v>
      </c>
      <c r="F86" cm="1">
        <f t="array" ref="F86">INDEX(FX_Temps,$AF86,F$3)</f>
        <v>48.270575000000008</v>
      </c>
      <c r="G86" cm="1">
        <f t="array" ref="G86">INDEX(FX_Temps,$AF86,G$3)</f>
        <v>51.698699999999917</v>
      </c>
      <c r="H86" cm="1">
        <f t="array" ref="H86">INDEX(FX_Temps,$AF86,H$3)</f>
        <v>56.954074999999875</v>
      </c>
      <c r="I86" cm="1">
        <f t="array" ref="I86">INDEX(FX_Temps,$AF86,I$3)</f>
        <v>60.976825000000076</v>
      </c>
      <c r="J86" cm="1">
        <f t="array" ref="J86">INDEX(FX_Temps,$AF86,J$3)</f>
        <v>64.677299999999832</v>
      </c>
      <c r="K86" cm="1">
        <f t="array" ref="K86">INDEX(FX_Temps,$AF86,K$3)</f>
        <v>64.592699999999923</v>
      </c>
      <c r="L86" cm="1">
        <f t="array" ref="L86">INDEX(FX_Temps,$AF86,L$3)</f>
        <v>61.560100000000034</v>
      </c>
      <c r="M86" cm="1">
        <f t="array" ref="M86">INDEX(FX_Temps,$AF86,M$3)</f>
        <v>54.451800000000048</v>
      </c>
      <c r="N86" cm="1">
        <f t="array" ref="N86">INDEX(FX_Temps,$AF86,N$3)</f>
        <v>48.067724999999996</v>
      </c>
      <c r="O86" cm="1">
        <f t="array" ref="O86">INDEX(FX_Temps,$AF86,O$3)</f>
        <v>44.347450000000038</v>
      </c>
      <c r="AE86">
        <f>AE85</f>
        <v>1</v>
      </c>
      <c r="AF86">
        <f>AF76+13</f>
        <v>42</v>
      </c>
    </row>
    <row r="87" spans="2:32" ht="17.149999999999999" x14ac:dyDescent="0.55000000000000004">
      <c r="B87" t="str">
        <f t="shared" si="148"/>
        <v>Portland</v>
      </c>
      <c r="C87" t="s">
        <v>574</v>
      </c>
      <c r="D87" cm="1">
        <f t="array" ref="D87">IFERROR(IF(D77="Chemical",(10^(INDEX(Antoines,MATCH(D76,Antoine_Name,0),2)-INDEX(Antoines,MATCH(D76,Antoine_Name,0),3)/(INDEX(Antoines,MATCH(D76,Antoine_Name,0),4)+(D84-32)*5/9)))*14.7/760,IF(D77="Crude Oil",EXP((2799/(D84+459.6)-2.227)*LOG10(INDEX(FX_Input,Q$5,D$3*$Z$5+$AA$5))-(7261/(D84+459.6))+12.82),IF(D77="Refined Petroleum Stock",EXP((0.7553-(413/(D84+459.6)))*(INDEX(FX_Input,Q$5,D$3*$Z$5+$AA$5-1)^0.5)*LOG10(INDEX(FX_Input,Q$5,D$3*$Z$5+$AA$5))-(1.854-(1042/(D84+459.6)))*(INDEX(FX_Input,Q$5,D$3*$Z$5+$AA$5-1)^0.5)+((2416/(D84+459.6)-2.013)*LOG10(INDEX(FX_Input,Q$5,D$3*$Z$5+$AA$5)))-(8742/(D84+459.6))+15.64),EXP(INDEX(Antoines,MATCH(D76,Antoine_Name,0),2)-INDEX(Antoines,MATCH(D76,Antoine_Name,0),3)/(D84+459.6))))),0)</f>
        <v>4.4953541371678231E-3</v>
      </c>
      <c r="E87" cm="1">
        <f t="array" ref="E87">IFERROR(IF(E77="Chemical",(10^(INDEX(Antoines,MATCH(E76,Antoine_Name,0),2)-INDEX(Antoines,MATCH(E76,Antoine_Name,0),3)/(INDEX(Antoines,MATCH(E76,Antoine_Name,0),4)+(E84-32)*5/9)))*14.7/760,IF(E77="Crude Oil",EXP((2799/(E84+459.6)-2.227)*LOG10(INDEX(FX_Input,R$5,E$3*$Z$5+$AA$5))-(7261/(E84+459.6))+12.82),IF(E77="Refined Petroleum Stock",EXP((0.7553-(413/(E84+459.6)))*(INDEX(FX_Input,R$5,E$3*$Z$5+$AA$5-1)^0.5)*LOG10(INDEX(FX_Input,R$5,E$3*$Z$5+$AA$5))-(1.854-(1042/(E84+459.6)))*(INDEX(FX_Input,R$5,E$3*$Z$5+$AA$5-1)^0.5)+((2416/(E84+459.6)-2.013)*LOG10(INDEX(FX_Input,R$5,E$3*$Z$5+$AA$5)))-(8742/(E84+459.6))+15.64),EXP(INDEX(Antoines,MATCH(E76,Antoine_Name,0),2)-INDEX(Antoines,MATCH(E76,Antoine_Name,0),3)/(E84+459.6))))),0)</f>
        <v>4.6043729465544726E-3</v>
      </c>
      <c r="F87" cm="1">
        <f t="array" ref="F87">IFERROR(IF(F77="Chemical",(10^(INDEX(Antoines,MATCH(F76,Antoine_Name,0),2)-INDEX(Antoines,MATCH(F76,Antoine_Name,0),3)/(INDEX(Antoines,MATCH(F76,Antoine_Name,0),4)+(F84-32)*5/9)))*14.7/760,IF(F77="Crude Oil",EXP((2799/(F84+459.6)-2.227)*LOG10(INDEX(FX_Input,S$5,F$3*$Z$5+$AA$5))-(7261/(F84+459.6))+12.82),IF(F77="Refined Petroleum Stock",EXP((0.7553-(413/(F84+459.6)))*(INDEX(FX_Input,S$5,F$3*$Z$5+$AA$5-1)^0.5)*LOG10(INDEX(FX_Input,S$5,F$3*$Z$5+$AA$5))-(1.854-(1042/(F84+459.6)))*(INDEX(FX_Input,S$5,F$3*$Z$5+$AA$5-1)^0.5)+((2416/(F84+459.6)-2.013)*LOG10(INDEX(FX_Input,S$5,F$3*$Z$5+$AA$5)))-(8742/(F84+459.6))+15.64),EXP(INDEX(Antoines,MATCH(F76,Antoine_Name,0),2)-INDEX(Antoines,MATCH(F76,Antoine_Name,0),3)/(F84+459.6))))),0)</f>
        <v>4.9179969260705328E-3</v>
      </c>
      <c r="G87" cm="1">
        <f t="array" ref="G87">IFERROR(IF(G77="Chemical",(10^(INDEX(Antoines,MATCH(G76,Antoine_Name,0),2)-INDEX(Antoines,MATCH(G76,Antoine_Name,0),3)/(INDEX(Antoines,MATCH(G76,Antoine_Name,0),4)+(G84-32)*5/9)))*14.7/760,IF(G77="Crude Oil",EXP((2799/(G84+459.6)-2.227)*LOG10(INDEX(FX_Input,T$5,G$3*$Z$5+$AA$5))-(7261/(G84+459.6))+12.82),IF(G77="Refined Petroleum Stock",EXP((0.7553-(413/(G84+459.6)))*(INDEX(FX_Input,T$5,G$3*$Z$5+$AA$5-1)^0.5)*LOG10(INDEX(FX_Input,T$5,G$3*$Z$5+$AA$5))-(1.854-(1042/(G84+459.6)))*(INDEX(FX_Input,T$5,G$3*$Z$5+$AA$5-1)^0.5)+((2416/(G84+459.6)-2.013)*LOG10(INDEX(FX_Input,T$5,G$3*$Z$5+$AA$5)))-(8742/(G84+459.6))+15.64),EXP(INDEX(Antoines,MATCH(G76,Antoine_Name,0),2)-INDEX(Antoines,MATCH(G76,Antoine_Name,0),3)/(G84+459.6))))),0)</f>
        <v>5.479042667267656E-3</v>
      </c>
      <c r="H87" cm="1">
        <f t="array" ref="H87">IFERROR(IF(H77="Chemical",(10^(INDEX(Antoines,MATCH(H76,Antoine_Name,0),2)-INDEX(Antoines,MATCH(H76,Antoine_Name,0),3)/(INDEX(Antoines,MATCH(H76,Antoine_Name,0),4)+(H84-32)*5/9)))*14.7/760,IF(H77="Crude Oil",EXP((2799/(H84+459.6)-2.227)*LOG10(INDEX(FX_Input,U$5,H$3*$Z$5+$AA$5))-(7261/(H84+459.6))+12.82),IF(H77="Refined Petroleum Stock",EXP((0.7553-(413/(H84+459.6)))*(INDEX(FX_Input,U$5,H$3*$Z$5+$AA$5-1)^0.5)*LOG10(INDEX(FX_Input,U$5,H$3*$Z$5+$AA$5))-(1.854-(1042/(H84+459.6)))*(INDEX(FX_Input,U$5,H$3*$Z$5+$AA$5-1)^0.5)+((2416/(H84+459.6)-2.013)*LOG10(INDEX(FX_Input,U$5,H$3*$Z$5+$AA$5)))-(8742/(H84+459.6))+15.64),EXP(INDEX(Antoines,MATCH(H76,Antoine_Name,0),2)-INDEX(Antoines,MATCH(H76,Antoine_Name,0),3)/(H84+459.6))))),0)</f>
        <v>6.5169685513364909E-3</v>
      </c>
      <c r="I87" cm="1">
        <f t="array" ref="I87">IFERROR(IF(I77="Chemical",(10^(INDEX(Antoines,MATCH(I76,Antoine_Name,0),2)-INDEX(Antoines,MATCH(I76,Antoine_Name,0),3)/(INDEX(Antoines,MATCH(I76,Antoine_Name,0),4)+(I84-32)*5/9)))*14.7/760,IF(I77="Crude Oil",EXP((2799/(I84+459.6)-2.227)*LOG10(INDEX(FX_Input,V$5,I$3*$Z$5+$AA$5))-(7261/(I84+459.6))+12.82),IF(I77="Refined Petroleum Stock",EXP((0.7553-(413/(I84+459.6)))*(INDEX(FX_Input,V$5,I$3*$Z$5+$AA$5-1)^0.5)*LOG10(INDEX(FX_Input,V$5,I$3*$Z$5+$AA$5))-(1.854-(1042/(I84+459.6)))*(INDEX(FX_Input,V$5,I$3*$Z$5+$AA$5-1)^0.5)+((2416/(I84+459.6)-2.013)*LOG10(INDEX(FX_Input,V$5,I$3*$Z$5+$AA$5)))-(8742/(I84+459.6))+15.64),EXP(INDEX(Antoines,MATCH(I76,Antoine_Name,0),2)-INDEX(Antoines,MATCH(I76,Antoine_Name,0),3)/(I84+459.6))))),0)</f>
        <v>7.486267526260572E-3</v>
      </c>
      <c r="J87" cm="1">
        <f t="array" ref="J87">IFERROR(IF(J77="Chemical",(10^(INDEX(Antoines,MATCH(J76,Antoine_Name,0),2)-INDEX(Antoines,MATCH(J76,Antoine_Name,0),3)/(INDEX(Antoines,MATCH(J76,Antoine_Name,0),4)+(J84-32)*5/9)))*14.7/760,IF(J77="Crude Oil",EXP((2799/(J84+459.6)-2.227)*LOG10(INDEX(FX_Input,W$5,J$3*$Z$5+$AA$5))-(7261/(J84+459.6))+12.82),IF(J77="Refined Petroleum Stock",EXP((0.7553-(413/(J84+459.6)))*(INDEX(FX_Input,W$5,J$3*$Z$5+$AA$5-1)^0.5)*LOG10(INDEX(FX_Input,W$5,J$3*$Z$5+$AA$5))-(1.854-(1042/(J84+459.6)))*(INDEX(FX_Input,W$5,J$3*$Z$5+$AA$5-1)^0.5)+((2416/(J84+459.6)-2.013)*LOG10(INDEX(FX_Input,W$5,J$3*$Z$5+$AA$5)))-(8742/(J84+459.6))+15.64),EXP(INDEX(Antoines,MATCH(J76,Antoine_Name,0),2)-INDEX(Antoines,MATCH(J76,Antoine_Name,0),3)/(J84+459.6))))),0)</f>
        <v>8.4364538110447557E-3</v>
      </c>
      <c r="K87" cm="1">
        <f t="array" ref="K87">IFERROR(IF(K77="Chemical",(10^(INDEX(Antoines,MATCH(K76,Antoine_Name,0),2)-INDEX(Antoines,MATCH(K76,Antoine_Name,0),3)/(INDEX(Antoines,MATCH(K76,Antoine_Name,0),4)+(K84-32)*5/9)))*14.7/760,IF(K77="Crude Oil",EXP((2799/(K84+459.6)-2.227)*LOG10(INDEX(FX_Input,X$5,K$3*$Z$5+$AA$5))-(7261/(K84+459.6))+12.82),IF(K77="Refined Petroleum Stock",EXP((0.7553-(413/(K84+459.6)))*(INDEX(FX_Input,X$5,K$3*$Z$5+$AA$5-1)^0.5)*LOG10(INDEX(FX_Input,X$5,K$3*$Z$5+$AA$5))-(1.854-(1042/(K84+459.6)))*(INDEX(FX_Input,X$5,K$3*$Z$5+$AA$5-1)^0.5)+((2416/(K84+459.6)-2.013)*LOG10(INDEX(FX_Input,X$5,K$3*$Z$5+$AA$5)))-(8742/(K84+459.6))+15.64),EXP(INDEX(Antoines,MATCH(K76,Antoine_Name,0),2)-INDEX(Antoines,MATCH(K76,Antoine_Name,0),3)/(K84+459.6))))),0)</f>
        <v>8.4094446398714287E-3</v>
      </c>
      <c r="L87" cm="1">
        <f t="array" ref="L87">IFERROR(IF(L77="Chemical",(10^(INDEX(Antoines,MATCH(L76,Antoine_Name,0),2)-INDEX(Antoines,MATCH(L76,Antoine_Name,0),3)/(INDEX(Antoines,MATCH(L76,Antoine_Name,0),4)+(L84-32)*5/9)))*14.7/760,IF(L77="Crude Oil",EXP((2799/(L84+459.6)-2.227)*LOG10(INDEX(FX_Input,Y$5,L$3*$Z$5+$AA$5))-(7261/(L84+459.6))+12.82),IF(L77="Refined Petroleum Stock",EXP((0.7553-(413/(L84+459.6)))*(INDEX(FX_Input,Y$5,L$3*$Z$5+$AA$5-1)^0.5)*LOG10(INDEX(FX_Input,Y$5,L$3*$Z$5+$AA$5))-(1.854-(1042/(L84+459.6)))*(INDEX(FX_Input,Y$5,L$3*$Z$5+$AA$5-1)^0.5)+((2416/(L84+459.6)-2.013)*LOG10(INDEX(FX_Input,Y$5,L$3*$Z$5+$AA$5)))-(8742/(L84+459.6))+15.64),EXP(INDEX(Antoines,MATCH(L76,Antoine_Name,0),2)-INDEX(Antoines,MATCH(L76,Antoine_Name,0),3)/(L84+459.6))))),0)</f>
        <v>7.5207138884047006E-3</v>
      </c>
      <c r="M87" cm="1">
        <f t="array" ref="M87">IFERROR(IF(M77="Chemical",(10^(INDEX(Antoines,MATCH(M76,Antoine_Name,0),2)-INDEX(Antoines,MATCH(M76,Antoine_Name,0),3)/(INDEX(Antoines,MATCH(M76,Antoine_Name,0),4)+(M84-32)*5/9)))*14.7/760,IF(M77="Crude Oil",EXP((2799/(M84+459.6)-2.227)*LOG10(INDEX(FX_Input,Z$5,M$3*$Z$5+$AA$5))-(7261/(M84+459.6))+12.82),IF(M77="Refined Petroleum Stock",EXP((0.7553-(413/(M84+459.6)))*(INDEX(FX_Input,Z$5,M$3*$Z$5+$AA$5-1)^0.5)*LOG10(INDEX(FX_Input,Z$5,M$3*$Z$5+$AA$5))-(1.854-(1042/(M84+459.6)))*(INDEX(FX_Input,Z$5,M$3*$Z$5+$AA$5-1)^0.5)+((2416/(M84+459.6)-2.013)*LOG10(INDEX(FX_Input,Z$5,M$3*$Z$5+$AA$5)))-(8742/(M84+459.6))+15.64),EXP(INDEX(Antoines,MATCH(M76,Antoine_Name,0),2)-INDEX(Antoines,MATCH(M76,Antoine_Name,0),3)/(M84+459.6))))),0)</f>
        <v>6.0548274008136857E-3</v>
      </c>
      <c r="N87" cm="1">
        <f t="array" ref="N87">IFERROR(IF(N77="Chemical",(10^(INDEX(Antoines,MATCH(N76,Antoine_Name,0),2)-INDEX(Antoines,MATCH(N76,Antoine_Name,0),3)/(INDEX(Antoines,MATCH(N76,Antoine_Name,0),4)+(N84-32)*5/9)))*14.7/760,IF(N77="Crude Oil",EXP((2799/(N84+459.6)-2.227)*LOG10(INDEX(FX_Input,AA$5,N$3*$Z$5+$AA$5))-(7261/(N84+459.6))+12.82),IF(N77="Refined Petroleum Stock",EXP((0.7553-(413/(N84+459.6)))*(INDEX(FX_Input,AA$5,N$3*$Z$5+$AA$5-1)^0.5)*LOG10(INDEX(FX_Input,AA$5,N$3*$Z$5+$AA$5))-(1.854-(1042/(N84+459.6)))*(INDEX(FX_Input,AA$5,N$3*$Z$5+$AA$5-1)^0.5)+((2416/(N84+459.6)-2.013)*LOG10(INDEX(FX_Input,AA$5,N$3*$Z$5+$AA$5)))-(8742/(N84+459.6))+15.64),EXP(INDEX(Antoines,MATCH(N76,Antoine_Name,0),2)-INDEX(Antoines,MATCH(N76,Antoine_Name,0),3)/(N84+459.6))))),0)</f>
        <v>4.9828816635194605E-3</v>
      </c>
      <c r="O87" cm="1">
        <f t="array" ref="O87">IFERROR(IF(O77="Chemical",(10^(INDEX(Antoines,MATCH(O76,Antoine_Name,0),2)-INDEX(Antoines,MATCH(O76,Antoine_Name,0),3)/(INDEX(Antoines,MATCH(O76,Antoine_Name,0),4)+(O84-32)*5/9)))*14.7/760,IF(O77="Crude Oil",EXP((2799/(O84+459.6)-2.227)*LOG10(INDEX(FX_Input,AB$5,O$3*$Z$5+$AA$5))-(7261/(O84+459.6))+12.82),IF(O77="Refined Petroleum Stock",EXP((0.7553-(413/(O84+459.6)))*(INDEX(FX_Input,AB$5,O$3*$Z$5+$AA$5-1)^0.5)*LOG10(INDEX(FX_Input,AB$5,O$3*$Z$5+$AA$5))-(1.854-(1042/(O84+459.6)))*(INDEX(FX_Input,AB$5,O$3*$Z$5+$AA$5-1)^0.5)+((2416/(O84+459.6)-2.013)*LOG10(INDEX(FX_Input,AB$5,O$3*$Z$5+$AA$5)))-(8742/(O84+459.6))+15.64),EXP(INDEX(Antoines,MATCH(O76,Antoine_Name,0),2)-INDEX(Antoines,MATCH(O76,Antoine_Name,0),3)/(O84+459.6))))),0)</f>
        <v>4.4494006627366521E-3</v>
      </c>
    </row>
    <row r="88" spans="2:32" ht="17.149999999999999" x14ac:dyDescent="0.55000000000000004">
      <c r="B88" t="str">
        <f t="shared" si="148"/>
        <v>Portland</v>
      </c>
      <c r="C88" t="s">
        <v>576</v>
      </c>
      <c r="D88">
        <f>D80*D87</f>
        <v>4.4953541371678231E-3</v>
      </c>
      <c r="E88">
        <f t="shared" ref="E88" si="149">E80*E87</f>
        <v>4.6043729465544726E-3</v>
      </c>
      <c r="F88">
        <f t="shared" ref="F88" si="150">F80*F87</f>
        <v>4.9179969260705328E-3</v>
      </c>
      <c r="G88">
        <f t="shared" ref="G88" si="151">G80*G87</f>
        <v>5.479042667267656E-3</v>
      </c>
      <c r="H88">
        <f t="shared" ref="H88" si="152">H80*H87</f>
        <v>6.5169685513364909E-3</v>
      </c>
      <c r="I88">
        <f t="shared" ref="I88" si="153">I80*I87</f>
        <v>7.486267526260572E-3</v>
      </c>
      <c r="J88">
        <f t="shared" ref="J88" si="154">J80*J87</f>
        <v>8.4364538110447557E-3</v>
      </c>
      <c r="K88">
        <f t="shared" ref="K88" si="155">K80*K87</f>
        <v>8.4094446398714287E-3</v>
      </c>
      <c r="L88">
        <f t="shared" ref="L88" si="156">L80*L87</f>
        <v>7.5207138884047006E-3</v>
      </c>
      <c r="M88">
        <f t="shared" ref="M88" si="157">M80*M87</f>
        <v>6.0548274008136857E-3</v>
      </c>
      <c r="N88">
        <f t="shared" ref="N88" si="158">N80*N87</f>
        <v>4.9828816635194605E-3</v>
      </c>
      <c r="O88">
        <f t="shared" ref="O88" si="159">O80*O87</f>
        <v>4.4494006627366521E-3</v>
      </c>
    </row>
    <row r="89" spans="2:32" ht="17.149999999999999" x14ac:dyDescent="0.55000000000000004">
      <c r="B89" t="str">
        <f t="shared" si="148"/>
        <v>Portland</v>
      </c>
      <c r="C89" t="s">
        <v>575</v>
      </c>
      <c r="D89" cm="1">
        <f t="array" ref="D89">IFERROR(IF(D79="Chemical",(10^(INDEX(Antoines,MATCH(D78,Antoine_Name,0),2)-INDEX(Antoines,MATCH(D78,Antoine_Name,0),3)/(INDEX(Antoines,MATCH(D78,Antoine_Name,0),4)+(D84-32)*5/9)))*14.7/760,IF(D79="Crude Oil",EXP((2799/(D84+459.6)-2.227)*LOG10(INDEX(FX_Input,Q$5,D$3*$Z$5+$AA$5))-(7261/(D84+459.6))+12.82),IF(D79="Refined Petroleum Stock",EXP((0.7553-(413/(D84+459.6)))*(INDEX(FX_Input,Q$5,D$3*$Z$5+$AA$5-1)^0.5)*LOG10(INDEX(FX_Input,Q$5,D$3*$Z$5+$AA$5))-(1.854-(1042/(D84+459.6)))*(INDEX(FX_Input,Q$5,D$3*$Z$5+$AA$5-1)^0.5)+((2416/(D84+459.6)-2.013)*LOG10(INDEX(FX_Input,Q$5,D$3*$Z$5+$AA$5)))-(8742/(D84+459.6))+15.64),EXP(INDEX(Antoines,MATCH(D78,Antoine_Name,0),2)-INDEX(Antoines,MATCH(D78,Antoine_Name,0),3)/(D84+459.6))))),0)</f>
        <v>0</v>
      </c>
      <c r="E89" cm="1">
        <f t="array" ref="E89">IFERROR(IF(E79="Chemical",(10^(INDEX(Antoines,MATCH(E78,Antoine_Name,0),2)-INDEX(Antoines,MATCH(E78,Antoine_Name,0),3)/(INDEX(Antoines,MATCH(E78,Antoine_Name,0),4)+(E84-32)*5/9)))*14.7/760,IF(E79="Crude Oil",EXP((2799/(E84+459.6)-2.227)*LOG10(INDEX(FX_Input,R$5,E$3*$Z$5+$AA$5))-(7261/(E84+459.6))+12.82),IF(E79="Refined Petroleum Stock",EXP((0.7553-(413/(E84+459.6)))*(INDEX(FX_Input,R$5,E$3*$Z$5+$AA$5-1)^0.5)*LOG10(INDEX(FX_Input,R$5,E$3*$Z$5+$AA$5))-(1.854-(1042/(E84+459.6)))*(INDEX(FX_Input,R$5,E$3*$Z$5+$AA$5-1)^0.5)+((2416/(E84+459.6)-2.013)*LOG10(INDEX(FX_Input,R$5,E$3*$Z$5+$AA$5)))-(8742/(E84+459.6))+15.64),EXP(INDEX(Antoines,MATCH(E78,Antoine_Name,0),2)-INDEX(Antoines,MATCH(E78,Antoine_Name,0),3)/(E84+459.6))))),0)</f>
        <v>0</v>
      </c>
      <c r="F89" cm="1">
        <f t="array" ref="F89">IFERROR(IF(F79="Chemical",(10^(INDEX(Antoines,MATCH(F78,Antoine_Name,0),2)-INDEX(Antoines,MATCH(F78,Antoine_Name,0),3)/(INDEX(Antoines,MATCH(F78,Antoine_Name,0),4)+(F84-32)*5/9)))*14.7/760,IF(F79="Crude Oil",EXP((2799/(F84+459.6)-2.227)*LOG10(INDEX(FX_Input,S$5,F$3*$Z$5+$AA$5))-(7261/(F84+459.6))+12.82),IF(F79="Refined Petroleum Stock",EXP((0.7553-(413/(F84+459.6)))*(INDEX(FX_Input,S$5,F$3*$Z$5+$AA$5-1)^0.5)*LOG10(INDEX(FX_Input,S$5,F$3*$Z$5+$AA$5))-(1.854-(1042/(F84+459.6)))*(INDEX(FX_Input,S$5,F$3*$Z$5+$AA$5-1)^0.5)+((2416/(F84+459.6)-2.013)*LOG10(INDEX(FX_Input,S$5,F$3*$Z$5+$AA$5)))-(8742/(F84+459.6))+15.64),EXP(INDEX(Antoines,MATCH(F78,Antoine_Name,0),2)-INDEX(Antoines,MATCH(F78,Antoine_Name,0),3)/(F84+459.6))))),0)</f>
        <v>0</v>
      </c>
      <c r="G89" cm="1">
        <f t="array" ref="G89">IFERROR(IF(G79="Chemical",(10^(INDEX(Antoines,MATCH(G78,Antoine_Name,0),2)-INDEX(Antoines,MATCH(G78,Antoine_Name,0),3)/(INDEX(Antoines,MATCH(G78,Antoine_Name,0),4)+(G84-32)*5/9)))*14.7/760,IF(G79="Crude Oil",EXP((2799/(G84+459.6)-2.227)*LOG10(INDEX(FX_Input,T$5,G$3*$Z$5+$AA$5))-(7261/(G84+459.6))+12.82),IF(G79="Refined Petroleum Stock",EXP((0.7553-(413/(G84+459.6)))*(INDEX(FX_Input,T$5,G$3*$Z$5+$AA$5-1)^0.5)*LOG10(INDEX(FX_Input,T$5,G$3*$Z$5+$AA$5))-(1.854-(1042/(G84+459.6)))*(INDEX(FX_Input,T$5,G$3*$Z$5+$AA$5-1)^0.5)+((2416/(G84+459.6)-2.013)*LOG10(INDEX(FX_Input,T$5,G$3*$Z$5+$AA$5)))-(8742/(G84+459.6))+15.64),EXP(INDEX(Antoines,MATCH(G78,Antoine_Name,0),2)-INDEX(Antoines,MATCH(G78,Antoine_Name,0),3)/(G84+459.6))))),0)</f>
        <v>0</v>
      </c>
      <c r="H89" cm="1">
        <f t="array" ref="H89">IFERROR(IF(H79="Chemical",(10^(INDEX(Antoines,MATCH(H78,Antoine_Name,0),2)-INDEX(Antoines,MATCH(H78,Antoine_Name,0),3)/(INDEX(Antoines,MATCH(H78,Antoine_Name,0),4)+(H84-32)*5/9)))*14.7/760,IF(H79="Crude Oil",EXP((2799/(H84+459.6)-2.227)*LOG10(INDEX(FX_Input,U$5,H$3*$Z$5+$AA$5))-(7261/(H84+459.6))+12.82),IF(H79="Refined Petroleum Stock",EXP((0.7553-(413/(H84+459.6)))*(INDEX(FX_Input,U$5,H$3*$Z$5+$AA$5-1)^0.5)*LOG10(INDEX(FX_Input,U$5,H$3*$Z$5+$AA$5))-(1.854-(1042/(H84+459.6)))*(INDEX(FX_Input,U$5,H$3*$Z$5+$AA$5-1)^0.5)+((2416/(H84+459.6)-2.013)*LOG10(INDEX(FX_Input,U$5,H$3*$Z$5+$AA$5)))-(8742/(H84+459.6))+15.64),EXP(INDEX(Antoines,MATCH(H78,Antoine_Name,0),2)-INDEX(Antoines,MATCH(H78,Antoine_Name,0),3)/(H84+459.6))))),0)</f>
        <v>0</v>
      </c>
      <c r="I89" cm="1">
        <f t="array" ref="I89">IFERROR(IF(I79="Chemical",(10^(INDEX(Antoines,MATCH(I78,Antoine_Name,0),2)-INDEX(Antoines,MATCH(I78,Antoine_Name,0),3)/(INDEX(Antoines,MATCH(I78,Antoine_Name,0),4)+(I84-32)*5/9)))*14.7/760,IF(I79="Crude Oil",EXP((2799/(I84+459.6)-2.227)*LOG10(INDEX(FX_Input,V$5,I$3*$Z$5+$AA$5))-(7261/(I84+459.6))+12.82),IF(I79="Refined Petroleum Stock",EXP((0.7553-(413/(I84+459.6)))*(INDEX(FX_Input,V$5,I$3*$Z$5+$AA$5-1)^0.5)*LOG10(INDEX(FX_Input,V$5,I$3*$Z$5+$AA$5))-(1.854-(1042/(I84+459.6)))*(INDEX(FX_Input,V$5,I$3*$Z$5+$AA$5-1)^0.5)+((2416/(I84+459.6)-2.013)*LOG10(INDEX(FX_Input,V$5,I$3*$Z$5+$AA$5)))-(8742/(I84+459.6))+15.64),EXP(INDEX(Antoines,MATCH(I78,Antoine_Name,0),2)-INDEX(Antoines,MATCH(I78,Antoine_Name,0),3)/(I84+459.6))))),0)</f>
        <v>0</v>
      </c>
      <c r="J89" cm="1">
        <f t="array" ref="J89">IFERROR(IF(J79="Chemical",(10^(INDEX(Antoines,MATCH(J78,Antoine_Name,0),2)-INDEX(Antoines,MATCH(J78,Antoine_Name,0),3)/(INDEX(Antoines,MATCH(J78,Antoine_Name,0),4)+(J84-32)*5/9)))*14.7/760,IF(J79="Crude Oil",EXP((2799/(J84+459.6)-2.227)*LOG10(INDEX(FX_Input,W$5,J$3*$Z$5+$AA$5))-(7261/(J84+459.6))+12.82),IF(J79="Refined Petroleum Stock",EXP((0.7553-(413/(J84+459.6)))*(INDEX(FX_Input,W$5,J$3*$Z$5+$AA$5-1)^0.5)*LOG10(INDEX(FX_Input,W$5,J$3*$Z$5+$AA$5))-(1.854-(1042/(J84+459.6)))*(INDEX(FX_Input,W$5,J$3*$Z$5+$AA$5-1)^0.5)+((2416/(J84+459.6)-2.013)*LOG10(INDEX(FX_Input,W$5,J$3*$Z$5+$AA$5)))-(8742/(J84+459.6))+15.64),EXP(INDEX(Antoines,MATCH(J78,Antoine_Name,0),2)-INDEX(Antoines,MATCH(J78,Antoine_Name,0),3)/(J84+459.6))))),0)</f>
        <v>0</v>
      </c>
      <c r="K89" cm="1">
        <f t="array" ref="K89">IFERROR(IF(K79="Chemical",(10^(INDEX(Antoines,MATCH(K78,Antoine_Name,0),2)-INDEX(Antoines,MATCH(K78,Antoine_Name,0),3)/(INDEX(Antoines,MATCH(K78,Antoine_Name,0),4)+(K84-32)*5/9)))*14.7/760,IF(K79="Crude Oil",EXP((2799/(K84+459.6)-2.227)*LOG10(INDEX(FX_Input,X$5,K$3*$Z$5+$AA$5))-(7261/(K84+459.6))+12.82),IF(K79="Refined Petroleum Stock",EXP((0.7553-(413/(K84+459.6)))*(INDEX(FX_Input,X$5,K$3*$Z$5+$AA$5-1)^0.5)*LOG10(INDEX(FX_Input,X$5,K$3*$Z$5+$AA$5))-(1.854-(1042/(K84+459.6)))*(INDEX(FX_Input,X$5,K$3*$Z$5+$AA$5-1)^0.5)+((2416/(K84+459.6)-2.013)*LOG10(INDEX(FX_Input,X$5,K$3*$Z$5+$AA$5)))-(8742/(K84+459.6))+15.64),EXP(INDEX(Antoines,MATCH(K78,Antoine_Name,0),2)-INDEX(Antoines,MATCH(K78,Antoine_Name,0),3)/(K84+459.6))))),0)</f>
        <v>0</v>
      </c>
      <c r="L89" cm="1">
        <f t="array" ref="L89">IFERROR(IF(L79="Chemical",(10^(INDEX(Antoines,MATCH(L78,Antoine_Name,0),2)-INDEX(Antoines,MATCH(L78,Antoine_Name,0),3)/(INDEX(Antoines,MATCH(L78,Antoine_Name,0),4)+(L84-32)*5/9)))*14.7/760,IF(L79="Crude Oil",EXP((2799/(L84+459.6)-2.227)*LOG10(INDEX(FX_Input,Y$5,L$3*$Z$5+$AA$5))-(7261/(L84+459.6))+12.82),IF(L79="Refined Petroleum Stock",EXP((0.7553-(413/(L84+459.6)))*(INDEX(FX_Input,Y$5,L$3*$Z$5+$AA$5-1)^0.5)*LOG10(INDEX(FX_Input,Y$5,L$3*$Z$5+$AA$5))-(1.854-(1042/(L84+459.6)))*(INDEX(FX_Input,Y$5,L$3*$Z$5+$AA$5-1)^0.5)+((2416/(L84+459.6)-2.013)*LOG10(INDEX(FX_Input,Y$5,L$3*$Z$5+$AA$5)))-(8742/(L84+459.6))+15.64),EXP(INDEX(Antoines,MATCH(L78,Antoine_Name,0),2)-INDEX(Antoines,MATCH(L78,Antoine_Name,0),3)/(L84+459.6))))),0)</f>
        <v>0</v>
      </c>
      <c r="M89" cm="1">
        <f t="array" ref="M89">IFERROR(IF(M79="Chemical",(10^(INDEX(Antoines,MATCH(M78,Antoine_Name,0),2)-INDEX(Antoines,MATCH(M78,Antoine_Name,0),3)/(INDEX(Antoines,MATCH(M78,Antoine_Name,0),4)+(M84-32)*5/9)))*14.7/760,IF(M79="Crude Oil",EXP((2799/(M84+459.6)-2.227)*LOG10(INDEX(FX_Input,Z$5,M$3*$Z$5+$AA$5))-(7261/(M84+459.6))+12.82),IF(M79="Refined Petroleum Stock",EXP((0.7553-(413/(M84+459.6)))*(INDEX(FX_Input,Z$5,M$3*$Z$5+$AA$5-1)^0.5)*LOG10(INDEX(FX_Input,Z$5,M$3*$Z$5+$AA$5))-(1.854-(1042/(M84+459.6)))*(INDEX(FX_Input,Z$5,M$3*$Z$5+$AA$5-1)^0.5)+((2416/(M84+459.6)-2.013)*LOG10(INDEX(FX_Input,Z$5,M$3*$Z$5+$AA$5)))-(8742/(M84+459.6))+15.64),EXP(INDEX(Antoines,MATCH(M78,Antoine_Name,0),2)-INDEX(Antoines,MATCH(M78,Antoine_Name,0),3)/(M84+459.6))))),0)</f>
        <v>0</v>
      </c>
      <c r="N89" cm="1">
        <f t="array" ref="N89">IFERROR(IF(N79="Chemical",(10^(INDEX(Antoines,MATCH(N78,Antoine_Name,0),2)-INDEX(Antoines,MATCH(N78,Antoine_Name,0),3)/(INDEX(Antoines,MATCH(N78,Antoine_Name,0),4)+(N84-32)*5/9)))*14.7/760,IF(N79="Crude Oil",EXP((2799/(N84+459.6)-2.227)*LOG10(INDEX(FX_Input,AA$5,N$3*$Z$5+$AA$5))-(7261/(N84+459.6))+12.82),IF(N79="Refined Petroleum Stock",EXP((0.7553-(413/(N84+459.6)))*(INDEX(FX_Input,AA$5,N$3*$Z$5+$AA$5-1)^0.5)*LOG10(INDEX(FX_Input,AA$5,N$3*$Z$5+$AA$5))-(1.854-(1042/(N84+459.6)))*(INDEX(FX_Input,AA$5,N$3*$Z$5+$AA$5-1)^0.5)+((2416/(N84+459.6)-2.013)*LOG10(INDEX(FX_Input,AA$5,N$3*$Z$5+$AA$5)))-(8742/(N84+459.6))+15.64),EXP(INDEX(Antoines,MATCH(N78,Antoine_Name,0),2)-INDEX(Antoines,MATCH(N78,Antoine_Name,0),3)/(N84+459.6))))),0)</f>
        <v>0</v>
      </c>
      <c r="O89" cm="1">
        <f t="array" ref="O89">IFERROR(IF(O79="Chemical",(10^(INDEX(Antoines,MATCH(O78,Antoine_Name,0),2)-INDEX(Antoines,MATCH(O78,Antoine_Name,0),3)/(INDEX(Antoines,MATCH(O78,Antoine_Name,0),4)+(O84-32)*5/9)))*14.7/760,IF(O79="Crude Oil",EXP((2799/(O84+459.6)-2.227)*LOG10(INDEX(FX_Input,AB$5,O$3*$Z$5+$AA$5))-(7261/(O84+459.6))+12.82),IF(O79="Refined Petroleum Stock",EXP((0.7553-(413/(O84+459.6)))*(INDEX(FX_Input,AB$5,O$3*$Z$5+$AA$5-1)^0.5)*LOG10(INDEX(FX_Input,AB$5,O$3*$Z$5+$AA$5))-(1.854-(1042/(O84+459.6)))*(INDEX(FX_Input,AB$5,O$3*$Z$5+$AA$5-1)^0.5)+((2416/(O84+459.6)-2.013)*LOG10(INDEX(FX_Input,AB$5,O$3*$Z$5+$AA$5)))-(8742/(O84+459.6))+15.64),EXP(INDEX(Antoines,MATCH(O78,Antoine_Name,0),2)-INDEX(Antoines,MATCH(O78,Antoine_Name,0),3)/(O84+459.6))))),0)</f>
        <v>0</v>
      </c>
    </row>
    <row r="90" spans="2:32" ht="17.149999999999999" x14ac:dyDescent="0.55000000000000004">
      <c r="B90" t="str">
        <f t="shared" si="148"/>
        <v>Portland</v>
      </c>
      <c r="C90" t="s">
        <v>577</v>
      </c>
      <c r="D90">
        <f>D89*D82</f>
        <v>0</v>
      </c>
      <c r="E90">
        <f t="shared" ref="E90" si="160">E89*E82</f>
        <v>0</v>
      </c>
      <c r="F90">
        <f t="shared" ref="F90" si="161">F89*F82</f>
        <v>0</v>
      </c>
      <c r="G90">
        <f t="shared" ref="G90" si="162">G89*G82</f>
        <v>0</v>
      </c>
      <c r="H90">
        <f t="shared" ref="H90" si="163">H89*H82</f>
        <v>0</v>
      </c>
      <c r="I90">
        <f t="shared" ref="I90" si="164">I89*I82</f>
        <v>0</v>
      </c>
      <c r="J90">
        <f t="shared" ref="J90" si="165">J89*J82</f>
        <v>0</v>
      </c>
      <c r="K90">
        <f t="shared" ref="K90" si="166">K89*K82</f>
        <v>0</v>
      </c>
      <c r="L90">
        <f t="shared" ref="L90" si="167">L89*L82</f>
        <v>0</v>
      </c>
      <c r="M90">
        <f t="shared" ref="M90" si="168">M89*M82</f>
        <v>0</v>
      </c>
      <c r="N90">
        <f t="shared" ref="N90" si="169">N89*N82</f>
        <v>0</v>
      </c>
      <c r="O90">
        <f t="shared" ref="O90" si="170">O89*O82</f>
        <v>0</v>
      </c>
    </row>
    <row r="91" spans="2:32" ht="17.149999999999999" x14ac:dyDescent="0.55000000000000004">
      <c r="B91" t="str">
        <f t="shared" si="148"/>
        <v>Portland</v>
      </c>
      <c r="C91" t="s">
        <v>578</v>
      </c>
      <c r="D91">
        <f>D90+D88</f>
        <v>4.4953541371678231E-3</v>
      </c>
      <c r="E91">
        <f t="shared" ref="E91" si="171">E90+E88</f>
        <v>4.6043729465544726E-3</v>
      </c>
      <c r="F91">
        <f t="shared" ref="F91" si="172">F90+F88</f>
        <v>4.9179969260705328E-3</v>
      </c>
      <c r="G91">
        <f t="shared" ref="G91" si="173">G90+G88</f>
        <v>5.479042667267656E-3</v>
      </c>
      <c r="H91">
        <f t="shared" ref="H91" si="174">H90+H88</f>
        <v>6.5169685513364909E-3</v>
      </c>
      <c r="I91">
        <f t="shared" ref="I91" si="175">I90+I88</f>
        <v>7.486267526260572E-3</v>
      </c>
      <c r="J91">
        <f t="shared" ref="J91" si="176">J90+J88</f>
        <v>8.4364538110447557E-3</v>
      </c>
      <c r="K91">
        <f t="shared" ref="K91" si="177">K90+K88</f>
        <v>8.4094446398714287E-3</v>
      </c>
      <c r="L91">
        <f t="shared" ref="L91" si="178">L90+L88</f>
        <v>7.5207138884047006E-3</v>
      </c>
      <c r="M91">
        <f t="shared" ref="M91" si="179">M90+M88</f>
        <v>6.0548274008136857E-3</v>
      </c>
      <c r="N91">
        <f t="shared" ref="N91" si="180">N90+N88</f>
        <v>4.9828816635194605E-3</v>
      </c>
      <c r="O91">
        <f t="shared" ref="O91" si="181">O90+O88</f>
        <v>4.4494006627366521E-3</v>
      </c>
    </row>
    <row r="92" spans="2:32" ht="17.149999999999999" x14ac:dyDescent="0.55000000000000004">
      <c r="B92" t="str">
        <f t="shared" si="148"/>
        <v>Portland</v>
      </c>
      <c r="C92" t="s">
        <v>579</v>
      </c>
      <c r="D92" cm="1">
        <f t="array" ref="D92">IFERROR(IF(D77="Chemical",(10^(INDEX(Antoines,MATCH(D76,Antoine_Name,0),2)-INDEX(Antoines,MATCH(D76,Antoine_Name,0),3)/(INDEX(Antoines,MATCH(D76,Antoine_Name,0),4)+(D85-32)*5/9)))*14.7/760,IF(D77="Crude Oil",EXP((2799/(D85+459.6)-2.227)*LOG10(INDEX(FX_Input,Q$5,D$3*$Z$5+$AA$5))-(7261/(D85+459.6))+12.82),IF(D77="Refined Petroleum Stock",EXP((0.7553-(413/(D85+459.6)))*(INDEX(FX_Input,Q$5,D$3*$Z$5+$AA$5-1)^0.5)*LOG10(INDEX(FX_Input,Q$5,D$3*$Z$5+$AA$5))-(1.854-(1042/(D85+459.6)))*(INDEX(FX_Input,Q$5,D$3*$Z$5+$AA$5-1)^0.5)+((2416/(D85+459.6)-2.013)*LOG10(INDEX(FX_Input,Q$5,D$3*$Z$5+$AA$5)))-(8742/(D85+459.6))+15.64),EXP(INDEX(Antoines,MATCH(D76,Antoine_Name,0),2)-INDEX(Antoines,MATCH(D76,Antoine_Name,0),3)/(D85+459.6))))),0)</f>
        <v>5.2033036727344552E-3</v>
      </c>
      <c r="E92" cm="1">
        <f t="array" ref="E92">IFERROR(IF(E77="Chemical",(10^(INDEX(Antoines,MATCH(E76,Antoine_Name,0),2)-INDEX(Antoines,MATCH(E76,Antoine_Name,0),3)/(INDEX(Antoines,MATCH(E76,Antoine_Name,0),4)+(E85-32)*5/9)))*14.7/760,IF(E77="Crude Oil",EXP((2799/(E85+459.6)-2.227)*LOG10(INDEX(FX_Input,R$5,E$3*$Z$5+$AA$5))-(7261/(E85+459.6))+12.82),IF(E77="Refined Petroleum Stock",EXP((0.7553-(413/(E85+459.6)))*(INDEX(FX_Input,R$5,E$3*$Z$5+$AA$5-1)^0.5)*LOG10(INDEX(FX_Input,R$5,E$3*$Z$5+$AA$5))-(1.854-(1042/(E85+459.6)))*(INDEX(FX_Input,R$5,E$3*$Z$5+$AA$5-1)^0.5)+((2416/(E85+459.6)-2.013)*LOG10(INDEX(FX_Input,R$5,E$3*$Z$5+$AA$5)))-(8742/(E85+459.6))+15.64),EXP(INDEX(Antoines,MATCH(E76,Antoine_Name,0),2)-INDEX(Antoines,MATCH(E76,Antoine_Name,0),3)/(E85+459.6))))),0)</f>
        <v>5.5385065183370758E-3</v>
      </c>
      <c r="F92" cm="1">
        <f t="array" ref="F92">IFERROR(IF(F77="Chemical",(10^(INDEX(Antoines,MATCH(F76,Antoine_Name,0),2)-INDEX(Antoines,MATCH(F76,Antoine_Name,0),3)/(INDEX(Antoines,MATCH(F76,Antoine_Name,0),4)+(F85-32)*5/9)))*14.7/760,IF(F77="Crude Oil",EXP((2799/(F85+459.6)-2.227)*LOG10(INDEX(FX_Input,S$5,F$3*$Z$5+$AA$5))-(7261/(F85+459.6))+12.82),IF(F77="Refined Petroleum Stock",EXP((0.7553-(413/(F85+459.6)))*(INDEX(FX_Input,S$5,F$3*$Z$5+$AA$5-1)^0.5)*LOG10(INDEX(FX_Input,S$5,F$3*$Z$5+$AA$5))-(1.854-(1042/(F85+459.6)))*(INDEX(FX_Input,S$5,F$3*$Z$5+$AA$5-1)^0.5)+((2416/(F85+459.6)-2.013)*LOG10(INDEX(FX_Input,S$5,F$3*$Z$5+$AA$5)))-(8742/(F85+459.6))+15.64),EXP(INDEX(Antoines,MATCH(F76,Antoine_Name,0),2)-INDEX(Antoines,MATCH(F76,Antoine_Name,0),3)/(F85+459.6))))),0)</f>
        <v>5.9077167859673575E-3</v>
      </c>
      <c r="G92" cm="1">
        <f t="array" ref="G92">IFERROR(IF(G77="Chemical",(10^(INDEX(Antoines,MATCH(G76,Antoine_Name,0),2)-INDEX(Antoines,MATCH(G76,Antoine_Name,0),3)/(INDEX(Antoines,MATCH(G76,Antoine_Name,0),4)+(G85-32)*5/9)))*14.7/760,IF(G77="Crude Oil",EXP((2799/(G85+459.6)-2.227)*LOG10(INDEX(FX_Input,T$5,G$3*$Z$5+$AA$5))-(7261/(G85+459.6))+12.82),IF(G77="Refined Petroleum Stock",EXP((0.7553-(413/(G85+459.6)))*(INDEX(FX_Input,T$5,G$3*$Z$5+$AA$5-1)^0.5)*LOG10(INDEX(FX_Input,T$5,G$3*$Z$5+$AA$5))-(1.854-(1042/(G85+459.6)))*(INDEX(FX_Input,T$5,G$3*$Z$5+$AA$5-1)^0.5)+((2416/(G85+459.6)-2.013)*LOG10(INDEX(FX_Input,T$5,G$3*$Z$5+$AA$5)))-(8742/(G85+459.6))+15.64),EXP(INDEX(Antoines,MATCH(G76,Antoine_Name,0),2)-INDEX(Antoines,MATCH(G76,Antoine_Name,0),3)/(G85+459.6))))),0)</f>
        <v>6.5849388112918178E-3</v>
      </c>
      <c r="H92" cm="1">
        <f t="array" ref="H92">IFERROR(IF(H77="Chemical",(10^(INDEX(Antoines,MATCH(H76,Antoine_Name,0),2)-INDEX(Antoines,MATCH(H76,Antoine_Name,0),3)/(INDEX(Antoines,MATCH(H76,Antoine_Name,0),4)+(H85-32)*5/9)))*14.7/760,IF(H77="Crude Oil",EXP((2799/(H85+459.6)-2.227)*LOG10(INDEX(FX_Input,U$5,H$3*$Z$5+$AA$5))-(7261/(H85+459.6))+12.82),IF(H77="Refined Petroleum Stock",EXP((0.7553-(413/(H85+459.6)))*(INDEX(FX_Input,U$5,H$3*$Z$5+$AA$5-1)^0.5)*LOG10(INDEX(FX_Input,U$5,H$3*$Z$5+$AA$5))-(1.854-(1042/(H85+459.6)))*(INDEX(FX_Input,U$5,H$3*$Z$5+$AA$5-1)^0.5)+((2416/(H85+459.6)-2.013)*LOG10(INDEX(FX_Input,U$5,H$3*$Z$5+$AA$5)))-(8742/(H85+459.6))+15.64),EXP(INDEX(Antoines,MATCH(H76,Antoine_Name,0),2)-INDEX(Antoines,MATCH(H76,Antoine_Name,0),3)/(H85+459.6))))),0)</f>
        <v>7.7939195379121001E-3</v>
      </c>
      <c r="I92" cm="1">
        <f t="array" ref="I92">IFERROR(IF(I77="Chemical",(10^(INDEX(Antoines,MATCH(I76,Antoine_Name,0),2)-INDEX(Antoines,MATCH(I76,Antoine_Name,0),3)/(INDEX(Antoines,MATCH(I76,Antoine_Name,0),4)+(I85-32)*5/9)))*14.7/760,IF(I77="Crude Oil",EXP((2799/(I85+459.6)-2.227)*LOG10(INDEX(FX_Input,V$5,I$3*$Z$5+$AA$5))-(7261/(I85+459.6))+12.82),IF(I77="Refined Petroleum Stock",EXP((0.7553-(413/(I85+459.6)))*(INDEX(FX_Input,V$5,I$3*$Z$5+$AA$5-1)^0.5)*LOG10(INDEX(FX_Input,V$5,I$3*$Z$5+$AA$5))-(1.854-(1042/(I85+459.6)))*(INDEX(FX_Input,V$5,I$3*$Z$5+$AA$5-1)^0.5)+((2416/(I85+459.6)-2.013)*LOG10(INDEX(FX_Input,V$5,I$3*$Z$5+$AA$5)))-(8742/(I85+459.6))+15.64),EXP(INDEX(Antoines,MATCH(I76,Antoine_Name,0),2)-INDEX(Antoines,MATCH(I76,Antoine_Name,0),3)/(I85+459.6))))),0)</f>
        <v>8.8347329003026723E-3</v>
      </c>
      <c r="J92" cm="1">
        <f t="array" ref="J92">IFERROR(IF(J77="Chemical",(10^(INDEX(Antoines,MATCH(J76,Antoine_Name,0),2)-INDEX(Antoines,MATCH(J76,Antoine_Name,0),3)/(INDEX(Antoines,MATCH(J76,Antoine_Name,0),4)+(J85-32)*5/9)))*14.7/760,IF(J77="Crude Oil",EXP((2799/(J85+459.6)-2.227)*LOG10(INDEX(FX_Input,W$5,J$3*$Z$5+$AA$5))-(7261/(J85+459.6))+12.82),IF(J77="Refined Petroleum Stock",EXP((0.7553-(413/(J85+459.6)))*(INDEX(FX_Input,W$5,J$3*$Z$5+$AA$5-1)^0.5)*LOG10(INDEX(FX_Input,W$5,J$3*$Z$5+$AA$5))-(1.854-(1042/(J85+459.6)))*(INDEX(FX_Input,W$5,J$3*$Z$5+$AA$5-1)^0.5)+((2416/(J85+459.6)-2.013)*LOG10(INDEX(FX_Input,W$5,J$3*$Z$5+$AA$5)))-(8742/(J85+459.6))+15.64),EXP(INDEX(Antoines,MATCH(J76,Antoine_Name,0),2)-INDEX(Antoines,MATCH(J76,Antoine_Name,0),3)/(J85+459.6))))),0)</f>
        <v>9.9592296270275289E-3</v>
      </c>
      <c r="K92" cm="1">
        <f t="array" ref="K92">IFERROR(IF(K77="Chemical",(10^(INDEX(Antoines,MATCH(K76,Antoine_Name,0),2)-INDEX(Antoines,MATCH(K76,Antoine_Name,0),3)/(INDEX(Antoines,MATCH(K76,Antoine_Name,0),4)+(K85-32)*5/9)))*14.7/760,IF(K77="Crude Oil",EXP((2799/(K85+459.6)-2.227)*LOG10(INDEX(FX_Input,X$5,K$3*$Z$5+$AA$5))-(7261/(K85+459.6))+12.82),IF(K77="Refined Petroleum Stock",EXP((0.7553-(413/(K85+459.6)))*(INDEX(FX_Input,X$5,K$3*$Z$5+$AA$5-1)^0.5)*LOG10(INDEX(FX_Input,X$5,K$3*$Z$5+$AA$5))-(1.854-(1042/(K85+459.6)))*(INDEX(FX_Input,X$5,K$3*$Z$5+$AA$5-1)^0.5)+((2416/(K85+459.6)-2.013)*LOG10(INDEX(FX_Input,X$5,K$3*$Z$5+$AA$5)))-(8742/(K85+459.6))+15.64),EXP(INDEX(Antoines,MATCH(K76,Antoine_Name,0),2)-INDEX(Antoines,MATCH(K76,Antoine_Name,0),3)/(K85+459.6))))),0)</f>
        <v>1.0044214742690162E-2</v>
      </c>
      <c r="L92" cm="1">
        <f t="array" ref="L92">IFERROR(IF(L77="Chemical",(10^(INDEX(Antoines,MATCH(L76,Antoine_Name,0),2)-INDEX(Antoines,MATCH(L76,Antoine_Name,0),3)/(INDEX(Antoines,MATCH(L76,Antoine_Name,0),4)+(L85-32)*5/9)))*14.7/760,IF(L77="Crude Oil",EXP((2799/(L85+459.6)-2.227)*LOG10(INDEX(FX_Input,Y$5,L$3*$Z$5+$AA$5))-(7261/(L85+459.6))+12.82),IF(L77="Refined Petroleum Stock",EXP((0.7553-(413/(L85+459.6)))*(INDEX(FX_Input,Y$5,L$3*$Z$5+$AA$5-1)^0.5)*LOG10(INDEX(FX_Input,Y$5,L$3*$Z$5+$AA$5))-(1.854-(1042/(L85+459.6)))*(INDEX(FX_Input,Y$5,L$3*$Z$5+$AA$5-1)^0.5)+((2416/(L85+459.6)-2.013)*LOG10(INDEX(FX_Input,Y$5,L$3*$Z$5+$AA$5)))-(8742/(L85+459.6))+15.64),EXP(INDEX(Antoines,MATCH(L76,Antoine_Name,0),2)-INDEX(Antoines,MATCH(L76,Antoine_Name,0),3)/(L85+459.6))))),0)</f>
        <v>9.3389439263883208E-3</v>
      </c>
      <c r="M92" cm="1">
        <f t="array" ref="M92">IFERROR(IF(M77="Chemical",(10^(INDEX(Antoines,MATCH(M76,Antoine_Name,0),2)-INDEX(Antoines,MATCH(M76,Antoine_Name,0),3)/(INDEX(Antoines,MATCH(M76,Antoine_Name,0),4)+(M85-32)*5/9)))*14.7/760,IF(M77="Crude Oil",EXP((2799/(M85+459.6)-2.227)*LOG10(INDEX(FX_Input,Z$5,M$3*$Z$5+$AA$5))-(7261/(M85+459.6))+12.82),IF(M77="Refined Petroleum Stock",EXP((0.7553-(413/(M85+459.6)))*(INDEX(FX_Input,Z$5,M$3*$Z$5+$AA$5-1)^0.5)*LOG10(INDEX(FX_Input,Z$5,M$3*$Z$5+$AA$5))-(1.854-(1042/(M85+459.6)))*(INDEX(FX_Input,Z$5,M$3*$Z$5+$AA$5-1)^0.5)+((2416/(M85+459.6)-2.013)*LOG10(INDEX(FX_Input,Z$5,M$3*$Z$5+$AA$5)))-(8742/(M85+459.6))+15.64),EXP(INDEX(Antoines,MATCH(M76,Antoine_Name,0),2)-INDEX(Antoines,MATCH(M76,Antoine_Name,0),3)/(M85+459.6))))),0)</f>
        <v>7.3896033166885589E-3</v>
      </c>
      <c r="N92" cm="1">
        <f t="array" ref="N92">IFERROR(IF(N77="Chemical",(10^(INDEX(Antoines,MATCH(N76,Antoine_Name,0),2)-INDEX(Antoines,MATCH(N76,Antoine_Name,0),3)/(INDEX(Antoines,MATCH(N76,Antoine_Name,0),4)+(N85-32)*5/9)))*14.7/760,IF(N77="Crude Oil",EXP((2799/(N85+459.6)-2.227)*LOG10(INDEX(FX_Input,AA$5,N$3*$Z$5+$AA$5))-(7261/(N85+459.6))+12.82),IF(N77="Refined Petroleum Stock",EXP((0.7553-(413/(N85+459.6)))*(INDEX(FX_Input,AA$5,N$3*$Z$5+$AA$5-1)^0.5)*LOG10(INDEX(FX_Input,AA$5,N$3*$Z$5+$AA$5))-(1.854-(1042/(N85+459.6)))*(INDEX(FX_Input,AA$5,N$3*$Z$5+$AA$5-1)^0.5)+((2416/(N85+459.6)-2.013)*LOG10(INDEX(FX_Input,AA$5,N$3*$Z$5+$AA$5)))-(8742/(N85+459.6))+15.64),EXP(INDEX(Antoines,MATCH(N76,Antoine_Name,0),2)-INDEX(Antoines,MATCH(N76,Antoine_Name,0),3)/(N85+459.6))))),0)</f>
        <v>5.902399466128503E-3</v>
      </c>
      <c r="O92" cm="1">
        <f t="array" ref="O92">IFERROR(IF(O77="Chemical",(10^(INDEX(Antoines,MATCH(O76,Antoine_Name,0),2)-INDEX(Antoines,MATCH(O76,Antoine_Name,0),3)/(INDEX(Antoines,MATCH(O76,Antoine_Name,0),4)+(O85-32)*5/9)))*14.7/760,IF(O77="Crude Oil",EXP((2799/(O85+459.6)-2.227)*LOG10(INDEX(FX_Input,AB$5,O$3*$Z$5+$AA$5))-(7261/(O85+459.6))+12.82),IF(O77="Refined Petroleum Stock",EXP((0.7553-(413/(O85+459.6)))*(INDEX(FX_Input,AB$5,O$3*$Z$5+$AA$5-1)^0.5)*LOG10(INDEX(FX_Input,AB$5,O$3*$Z$5+$AA$5))-(1.854-(1042/(O85+459.6)))*(INDEX(FX_Input,AB$5,O$3*$Z$5+$AA$5-1)^0.5)+((2416/(O85+459.6)-2.013)*LOG10(INDEX(FX_Input,AB$5,O$3*$Z$5+$AA$5)))-(8742/(O85+459.6))+15.64),EXP(INDEX(Antoines,MATCH(O76,Antoine_Name,0),2)-INDEX(Antoines,MATCH(O76,Antoine_Name,0),3)/(O85+459.6))))),0)</f>
        <v>5.1222820261006847E-3</v>
      </c>
    </row>
    <row r="93" spans="2:32" ht="17.149999999999999" x14ac:dyDescent="0.55000000000000004">
      <c r="B93" t="str">
        <f t="shared" si="148"/>
        <v>Portland</v>
      </c>
      <c r="C93" t="s">
        <v>580</v>
      </c>
      <c r="D93">
        <f>D92*D80</f>
        <v>5.2033036727344552E-3</v>
      </c>
      <c r="E93">
        <f t="shared" ref="E93" si="182">E92*E80</f>
        <v>5.5385065183370758E-3</v>
      </c>
      <c r="F93">
        <f t="shared" ref="F93" si="183">F92*F80</f>
        <v>5.9077167859673575E-3</v>
      </c>
      <c r="G93">
        <f t="shared" ref="G93" si="184">G92*G80</f>
        <v>6.5849388112918178E-3</v>
      </c>
      <c r="H93">
        <f t="shared" ref="H93" si="185">H92*H80</f>
        <v>7.7939195379121001E-3</v>
      </c>
      <c r="I93">
        <f t="shared" ref="I93" si="186">I92*I80</f>
        <v>8.8347329003026723E-3</v>
      </c>
      <c r="J93">
        <f t="shared" ref="J93" si="187">J92*J80</f>
        <v>9.9592296270275289E-3</v>
      </c>
      <c r="K93">
        <f t="shared" ref="K93" si="188">K92*K80</f>
        <v>1.0044214742690162E-2</v>
      </c>
      <c r="L93">
        <f t="shared" ref="L93" si="189">L92*L80</f>
        <v>9.3389439263883208E-3</v>
      </c>
      <c r="M93">
        <f t="shared" ref="M93" si="190">M92*M80</f>
        <v>7.3896033166885589E-3</v>
      </c>
      <c r="N93">
        <f t="shared" ref="N93" si="191">N92*N80</f>
        <v>5.902399466128503E-3</v>
      </c>
      <c r="O93">
        <f t="shared" ref="O93" si="192">O92*O80</f>
        <v>5.1222820261006847E-3</v>
      </c>
    </row>
    <row r="94" spans="2:32" ht="17.149999999999999" x14ac:dyDescent="0.55000000000000004">
      <c r="B94" t="str">
        <f t="shared" si="148"/>
        <v>Portland</v>
      </c>
      <c r="C94" t="s">
        <v>581</v>
      </c>
      <c r="D94" cm="1">
        <f t="array" ref="D94">IFERROR(IF(D79="Chemical",(10^(INDEX(Antoines,MATCH(D78,Antoine_Name,0),2)-INDEX(Antoines,MATCH(D78,Antoine_Name,0),3)/(INDEX(Antoines,MATCH(D78,Antoine_Name,0),4)+(D85-32)*5/9)))*14.7/760,IF(D79="Crude Oil",EXP((2799/(D85+459.6)-2.227)*LOG10(INDEX(FX_Input,Q$5,D$3*$Z$5+$AA$5))-(7261/(D85+459.6))+12.82),IF(D79="Refined Petroleum Stock",EXP((0.7553-(413/(D85+459.6)))*(INDEX(FX_Input,Q$5,D$3*$Z$5+$AA$5-1)^0.5)*LOG10(INDEX(FX_Input,Q$5,D$3*$Z$5+$AA$5))-(1.854-(1042/(D85+459.6)))*(INDEX(FX_Input,Q$5,D$3*$Z$5+$AA$5-1)^0.5)+((2416/(D85+459.6)-2.013)*LOG10(INDEX(FX_Input,Q$5,D$3*$Z$5+$AA$5)))-(8742/(D85+459.6))+15.64),EXP(INDEX(Antoines,MATCH(D78,Antoine_Name,0),2)-INDEX(Antoines,MATCH(D78,Antoine_Name,0),3)/(D85+459.6))))),0)</f>
        <v>0</v>
      </c>
      <c r="E94" cm="1">
        <f t="array" ref="E94">IFERROR(IF(E79="Chemical",(10^(INDEX(Antoines,MATCH(E78,Antoine_Name,0),2)-INDEX(Antoines,MATCH(E78,Antoine_Name,0),3)/(INDEX(Antoines,MATCH(E78,Antoine_Name,0),4)+(E85-32)*5/9)))*14.7/760,IF(E79="Crude Oil",EXP((2799/(E85+459.6)-2.227)*LOG10(INDEX(FX_Input,R$5,E$3*$Z$5+$AA$5))-(7261/(E85+459.6))+12.82),IF(E79="Refined Petroleum Stock",EXP((0.7553-(413/(E85+459.6)))*(INDEX(FX_Input,R$5,E$3*$Z$5+$AA$5-1)^0.5)*LOG10(INDEX(FX_Input,R$5,E$3*$Z$5+$AA$5))-(1.854-(1042/(E85+459.6)))*(INDEX(FX_Input,R$5,E$3*$Z$5+$AA$5-1)^0.5)+((2416/(E85+459.6)-2.013)*LOG10(INDEX(FX_Input,R$5,E$3*$Z$5+$AA$5)))-(8742/(E85+459.6))+15.64),EXP(INDEX(Antoines,MATCH(E78,Antoine_Name,0),2)-INDEX(Antoines,MATCH(E78,Antoine_Name,0),3)/(E85+459.6))))),0)</f>
        <v>0</v>
      </c>
      <c r="F94" cm="1">
        <f t="array" ref="F94">IFERROR(IF(F79="Chemical",(10^(INDEX(Antoines,MATCH(F78,Antoine_Name,0),2)-INDEX(Antoines,MATCH(F78,Antoine_Name,0),3)/(INDEX(Antoines,MATCH(F78,Antoine_Name,0),4)+(F85-32)*5/9)))*14.7/760,IF(F79="Crude Oil",EXP((2799/(F85+459.6)-2.227)*LOG10(INDEX(FX_Input,S$5,F$3*$Z$5+$AA$5))-(7261/(F85+459.6))+12.82),IF(F79="Refined Petroleum Stock",EXP((0.7553-(413/(F85+459.6)))*(INDEX(FX_Input,S$5,F$3*$Z$5+$AA$5-1)^0.5)*LOG10(INDEX(FX_Input,S$5,F$3*$Z$5+$AA$5))-(1.854-(1042/(F85+459.6)))*(INDEX(FX_Input,S$5,F$3*$Z$5+$AA$5-1)^0.5)+((2416/(F85+459.6)-2.013)*LOG10(INDEX(FX_Input,S$5,F$3*$Z$5+$AA$5)))-(8742/(F85+459.6))+15.64),EXP(INDEX(Antoines,MATCH(F78,Antoine_Name,0),2)-INDEX(Antoines,MATCH(F78,Antoine_Name,0),3)/(F85+459.6))))),0)</f>
        <v>0</v>
      </c>
      <c r="G94" cm="1">
        <f t="array" ref="G94">IFERROR(IF(G79="Chemical",(10^(INDEX(Antoines,MATCH(G78,Antoine_Name,0),2)-INDEX(Antoines,MATCH(G78,Antoine_Name,0),3)/(INDEX(Antoines,MATCH(G78,Antoine_Name,0),4)+(G85-32)*5/9)))*14.7/760,IF(G79="Crude Oil",EXP((2799/(G85+459.6)-2.227)*LOG10(INDEX(FX_Input,T$5,G$3*$Z$5+$AA$5))-(7261/(G85+459.6))+12.82),IF(G79="Refined Petroleum Stock",EXP((0.7553-(413/(G85+459.6)))*(INDEX(FX_Input,T$5,G$3*$Z$5+$AA$5-1)^0.5)*LOG10(INDEX(FX_Input,T$5,G$3*$Z$5+$AA$5))-(1.854-(1042/(G85+459.6)))*(INDEX(FX_Input,T$5,G$3*$Z$5+$AA$5-1)^0.5)+((2416/(G85+459.6)-2.013)*LOG10(INDEX(FX_Input,T$5,G$3*$Z$5+$AA$5)))-(8742/(G85+459.6))+15.64),EXP(INDEX(Antoines,MATCH(G78,Antoine_Name,0),2)-INDEX(Antoines,MATCH(G78,Antoine_Name,0),3)/(G85+459.6))))),0)</f>
        <v>0</v>
      </c>
      <c r="H94" cm="1">
        <f t="array" ref="H94">IFERROR(IF(H79="Chemical",(10^(INDEX(Antoines,MATCH(H78,Antoine_Name,0),2)-INDEX(Antoines,MATCH(H78,Antoine_Name,0),3)/(INDEX(Antoines,MATCH(H78,Antoine_Name,0),4)+(H85-32)*5/9)))*14.7/760,IF(H79="Crude Oil",EXP((2799/(H85+459.6)-2.227)*LOG10(INDEX(FX_Input,U$5,H$3*$Z$5+$AA$5))-(7261/(H85+459.6))+12.82),IF(H79="Refined Petroleum Stock",EXP((0.7553-(413/(H85+459.6)))*(INDEX(FX_Input,U$5,H$3*$Z$5+$AA$5-1)^0.5)*LOG10(INDEX(FX_Input,U$5,H$3*$Z$5+$AA$5))-(1.854-(1042/(H85+459.6)))*(INDEX(FX_Input,U$5,H$3*$Z$5+$AA$5-1)^0.5)+((2416/(H85+459.6)-2.013)*LOG10(INDEX(FX_Input,U$5,H$3*$Z$5+$AA$5)))-(8742/(H85+459.6))+15.64),EXP(INDEX(Antoines,MATCH(H78,Antoine_Name,0),2)-INDEX(Antoines,MATCH(H78,Antoine_Name,0),3)/(H85+459.6))))),0)</f>
        <v>0</v>
      </c>
      <c r="I94" cm="1">
        <f t="array" ref="I94">IFERROR(IF(I79="Chemical",(10^(INDEX(Antoines,MATCH(I78,Antoine_Name,0),2)-INDEX(Antoines,MATCH(I78,Antoine_Name,0),3)/(INDEX(Antoines,MATCH(I78,Antoine_Name,0),4)+(I85-32)*5/9)))*14.7/760,IF(I79="Crude Oil",EXP((2799/(I85+459.6)-2.227)*LOG10(INDEX(FX_Input,V$5,I$3*$Z$5+$AA$5))-(7261/(I85+459.6))+12.82),IF(I79="Refined Petroleum Stock",EXP((0.7553-(413/(I85+459.6)))*(INDEX(FX_Input,V$5,I$3*$Z$5+$AA$5-1)^0.5)*LOG10(INDEX(FX_Input,V$5,I$3*$Z$5+$AA$5))-(1.854-(1042/(I85+459.6)))*(INDEX(FX_Input,V$5,I$3*$Z$5+$AA$5-1)^0.5)+((2416/(I85+459.6)-2.013)*LOG10(INDEX(FX_Input,V$5,I$3*$Z$5+$AA$5)))-(8742/(I85+459.6))+15.64),EXP(INDEX(Antoines,MATCH(I78,Antoine_Name,0),2)-INDEX(Antoines,MATCH(I78,Antoine_Name,0),3)/(I85+459.6))))),0)</f>
        <v>0</v>
      </c>
      <c r="J94" cm="1">
        <f t="array" ref="J94">IFERROR(IF(J79="Chemical",(10^(INDEX(Antoines,MATCH(J78,Antoine_Name,0),2)-INDEX(Antoines,MATCH(J78,Antoine_Name,0),3)/(INDEX(Antoines,MATCH(J78,Antoine_Name,0),4)+(J85-32)*5/9)))*14.7/760,IF(J79="Crude Oil",EXP((2799/(J85+459.6)-2.227)*LOG10(INDEX(FX_Input,W$5,J$3*$Z$5+$AA$5))-(7261/(J85+459.6))+12.82),IF(J79="Refined Petroleum Stock",EXP((0.7553-(413/(J85+459.6)))*(INDEX(FX_Input,W$5,J$3*$Z$5+$AA$5-1)^0.5)*LOG10(INDEX(FX_Input,W$5,J$3*$Z$5+$AA$5))-(1.854-(1042/(J85+459.6)))*(INDEX(FX_Input,W$5,J$3*$Z$5+$AA$5-1)^0.5)+((2416/(J85+459.6)-2.013)*LOG10(INDEX(FX_Input,W$5,J$3*$Z$5+$AA$5)))-(8742/(J85+459.6))+15.64),EXP(INDEX(Antoines,MATCH(J78,Antoine_Name,0),2)-INDEX(Antoines,MATCH(J78,Antoine_Name,0),3)/(J85+459.6))))),0)</f>
        <v>0</v>
      </c>
      <c r="K94" cm="1">
        <f t="array" ref="K94">IFERROR(IF(K79="Chemical",(10^(INDEX(Antoines,MATCH(K78,Antoine_Name,0),2)-INDEX(Antoines,MATCH(K78,Antoine_Name,0),3)/(INDEX(Antoines,MATCH(K78,Antoine_Name,0),4)+(K85-32)*5/9)))*14.7/760,IF(K79="Crude Oil",EXP((2799/(K85+459.6)-2.227)*LOG10(INDEX(FX_Input,X$5,K$3*$Z$5+$AA$5))-(7261/(K85+459.6))+12.82),IF(K79="Refined Petroleum Stock",EXP((0.7553-(413/(K85+459.6)))*(INDEX(FX_Input,X$5,K$3*$Z$5+$AA$5-1)^0.5)*LOG10(INDEX(FX_Input,X$5,K$3*$Z$5+$AA$5))-(1.854-(1042/(K85+459.6)))*(INDEX(FX_Input,X$5,K$3*$Z$5+$AA$5-1)^0.5)+((2416/(K85+459.6)-2.013)*LOG10(INDEX(FX_Input,X$5,K$3*$Z$5+$AA$5)))-(8742/(K85+459.6))+15.64),EXP(INDEX(Antoines,MATCH(K78,Antoine_Name,0),2)-INDEX(Antoines,MATCH(K78,Antoine_Name,0),3)/(K85+459.6))))),0)</f>
        <v>0</v>
      </c>
      <c r="L94" cm="1">
        <f t="array" ref="L94">IFERROR(IF(L79="Chemical",(10^(INDEX(Antoines,MATCH(L78,Antoine_Name,0),2)-INDEX(Antoines,MATCH(L78,Antoine_Name,0),3)/(INDEX(Antoines,MATCH(L78,Antoine_Name,0),4)+(L85-32)*5/9)))*14.7/760,IF(L79="Crude Oil",EXP((2799/(L85+459.6)-2.227)*LOG10(INDEX(FX_Input,Y$5,L$3*$Z$5+$AA$5))-(7261/(L85+459.6))+12.82),IF(L79="Refined Petroleum Stock",EXP((0.7553-(413/(L85+459.6)))*(INDEX(FX_Input,Y$5,L$3*$Z$5+$AA$5-1)^0.5)*LOG10(INDEX(FX_Input,Y$5,L$3*$Z$5+$AA$5))-(1.854-(1042/(L85+459.6)))*(INDEX(FX_Input,Y$5,L$3*$Z$5+$AA$5-1)^0.5)+((2416/(L85+459.6)-2.013)*LOG10(INDEX(FX_Input,Y$5,L$3*$Z$5+$AA$5)))-(8742/(L85+459.6))+15.64),EXP(INDEX(Antoines,MATCH(L78,Antoine_Name,0),2)-INDEX(Antoines,MATCH(L78,Antoine_Name,0),3)/(L85+459.6))))),0)</f>
        <v>0</v>
      </c>
      <c r="M94" cm="1">
        <f t="array" ref="M94">IFERROR(IF(M79="Chemical",(10^(INDEX(Antoines,MATCH(M78,Antoine_Name,0),2)-INDEX(Antoines,MATCH(M78,Antoine_Name,0),3)/(INDEX(Antoines,MATCH(M78,Antoine_Name,0),4)+(M85-32)*5/9)))*14.7/760,IF(M79="Crude Oil",EXP((2799/(M85+459.6)-2.227)*LOG10(INDEX(FX_Input,Z$5,M$3*$Z$5+$AA$5))-(7261/(M85+459.6))+12.82),IF(M79="Refined Petroleum Stock",EXP((0.7553-(413/(M85+459.6)))*(INDEX(FX_Input,Z$5,M$3*$Z$5+$AA$5-1)^0.5)*LOG10(INDEX(FX_Input,Z$5,M$3*$Z$5+$AA$5))-(1.854-(1042/(M85+459.6)))*(INDEX(FX_Input,Z$5,M$3*$Z$5+$AA$5-1)^0.5)+((2416/(M85+459.6)-2.013)*LOG10(INDEX(FX_Input,Z$5,M$3*$Z$5+$AA$5)))-(8742/(M85+459.6))+15.64),EXP(INDEX(Antoines,MATCH(M78,Antoine_Name,0),2)-INDEX(Antoines,MATCH(M78,Antoine_Name,0),3)/(M85+459.6))))),0)</f>
        <v>0</v>
      </c>
      <c r="N94" cm="1">
        <f t="array" ref="N94">IFERROR(IF(N79="Chemical",(10^(INDEX(Antoines,MATCH(N78,Antoine_Name,0),2)-INDEX(Antoines,MATCH(N78,Antoine_Name,0),3)/(INDEX(Antoines,MATCH(N78,Antoine_Name,0),4)+(N85-32)*5/9)))*14.7/760,IF(N79="Crude Oil",EXP((2799/(N85+459.6)-2.227)*LOG10(INDEX(FX_Input,AA$5,N$3*$Z$5+$AA$5))-(7261/(N85+459.6))+12.82),IF(N79="Refined Petroleum Stock",EXP((0.7553-(413/(N85+459.6)))*(INDEX(FX_Input,AA$5,N$3*$Z$5+$AA$5-1)^0.5)*LOG10(INDEX(FX_Input,AA$5,N$3*$Z$5+$AA$5))-(1.854-(1042/(N85+459.6)))*(INDEX(FX_Input,AA$5,N$3*$Z$5+$AA$5-1)^0.5)+((2416/(N85+459.6)-2.013)*LOG10(INDEX(FX_Input,AA$5,N$3*$Z$5+$AA$5)))-(8742/(N85+459.6))+15.64),EXP(INDEX(Antoines,MATCH(N78,Antoine_Name,0),2)-INDEX(Antoines,MATCH(N78,Antoine_Name,0),3)/(N85+459.6))))),0)</f>
        <v>0</v>
      </c>
      <c r="O94" cm="1">
        <f t="array" ref="O94">IFERROR(IF(O79="Chemical",(10^(INDEX(Antoines,MATCH(O78,Antoine_Name,0),2)-INDEX(Antoines,MATCH(O78,Antoine_Name,0),3)/(INDEX(Antoines,MATCH(O78,Antoine_Name,0),4)+(O85-32)*5/9)))*14.7/760,IF(O79="Crude Oil",EXP((2799/(O85+459.6)-2.227)*LOG10(INDEX(FX_Input,AB$5,O$3*$Z$5+$AA$5))-(7261/(O85+459.6))+12.82),IF(O79="Refined Petroleum Stock",EXP((0.7553-(413/(O85+459.6)))*(INDEX(FX_Input,AB$5,O$3*$Z$5+$AA$5-1)^0.5)*LOG10(INDEX(FX_Input,AB$5,O$3*$Z$5+$AA$5))-(1.854-(1042/(O85+459.6)))*(INDEX(FX_Input,AB$5,O$3*$Z$5+$AA$5-1)^0.5)+((2416/(O85+459.6)-2.013)*LOG10(INDEX(FX_Input,AB$5,O$3*$Z$5+$AA$5)))-(8742/(O85+459.6))+15.64),EXP(INDEX(Antoines,MATCH(O78,Antoine_Name,0),2)-INDEX(Antoines,MATCH(O78,Antoine_Name,0),3)/(O85+459.6))))),0)</f>
        <v>0</v>
      </c>
    </row>
    <row r="95" spans="2:32" ht="17.149999999999999" x14ac:dyDescent="0.55000000000000004">
      <c r="B95" t="str">
        <f t="shared" si="148"/>
        <v>Portland</v>
      </c>
      <c r="C95" t="s">
        <v>582</v>
      </c>
      <c r="D95">
        <f>D94*D82</f>
        <v>0</v>
      </c>
      <c r="E95">
        <f t="shared" ref="E95" si="193">E94*E82</f>
        <v>0</v>
      </c>
      <c r="F95">
        <f t="shared" ref="F95" si="194">F94*F82</f>
        <v>0</v>
      </c>
      <c r="G95">
        <f t="shared" ref="G95" si="195">G94*G82</f>
        <v>0</v>
      </c>
      <c r="H95">
        <f t="shared" ref="H95" si="196">H94*H82</f>
        <v>0</v>
      </c>
      <c r="I95">
        <f t="shared" ref="I95" si="197">I94*I82</f>
        <v>0</v>
      </c>
      <c r="J95">
        <f t="shared" ref="J95" si="198">J94*J82</f>
        <v>0</v>
      </c>
      <c r="K95">
        <f t="shared" ref="K95" si="199">K94*K82</f>
        <v>0</v>
      </c>
      <c r="L95">
        <f t="shared" ref="L95" si="200">L94*L82</f>
        <v>0</v>
      </c>
      <c r="M95">
        <f t="shared" ref="M95" si="201">M94*M82</f>
        <v>0</v>
      </c>
      <c r="N95">
        <f t="shared" ref="N95" si="202">N94*N82</f>
        <v>0</v>
      </c>
      <c r="O95">
        <f t="shared" ref="O95" si="203">O94*O82</f>
        <v>0</v>
      </c>
    </row>
    <row r="96" spans="2:32" ht="17.149999999999999" x14ac:dyDescent="0.55000000000000004">
      <c r="B96" t="str">
        <f t="shared" si="148"/>
        <v>Portland</v>
      </c>
      <c r="C96" t="s">
        <v>583</v>
      </c>
      <c r="D96">
        <f>D93+D95</f>
        <v>5.2033036727344552E-3</v>
      </c>
      <c r="E96">
        <f t="shared" ref="E96" si="204">E93+E95</f>
        <v>5.5385065183370758E-3</v>
      </c>
      <c r="F96">
        <f t="shared" ref="F96" si="205">F93+F95</f>
        <v>5.9077167859673575E-3</v>
      </c>
      <c r="G96">
        <f t="shared" ref="G96" si="206">G93+G95</f>
        <v>6.5849388112918178E-3</v>
      </c>
      <c r="H96">
        <f t="shared" ref="H96" si="207">H93+H95</f>
        <v>7.7939195379121001E-3</v>
      </c>
      <c r="I96">
        <f t="shared" ref="I96" si="208">I93+I95</f>
        <v>8.8347329003026723E-3</v>
      </c>
      <c r="J96">
        <f t="shared" ref="J96" si="209">J93+J95</f>
        <v>9.9592296270275289E-3</v>
      </c>
      <c r="K96">
        <f t="shared" ref="K96" si="210">K93+K95</f>
        <v>1.0044214742690162E-2</v>
      </c>
      <c r="L96">
        <f t="shared" ref="L96" si="211">L93+L95</f>
        <v>9.3389439263883208E-3</v>
      </c>
      <c r="M96">
        <f t="shared" ref="M96" si="212">M93+M95</f>
        <v>7.3896033166885589E-3</v>
      </c>
      <c r="N96">
        <f t="shared" ref="N96" si="213">N93+N95</f>
        <v>5.902399466128503E-3</v>
      </c>
      <c r="O96">
        <f t="shared" ref="O96" si="214">O93+O95</f>
        <v>5.1222820261006847E-3</v>
      </c>
    </row>
    <row r="97" spans="1:32" ht="17.149999999999999" x14ac:dyDescent="0.55000000000000004">
      <c r="B97" t="str">
        <f t="shared" si="148"/>
        <v>Portland</v>
      </c>
      <c r="C97" t="s">
        <v>1388</v>
      </c>
      <c r="D97" cm="1">
        <f t="array" ref="D97">IFERROR(IF(D77="Chemical",(10^(INDEX(Antoines,MATCH(D76,Antoine_Name,0),2)-INDEX(Antoines,MATCH(D76,Antoine_Name,0),3)/(INDEX(Antoines,MATCH(D76,Antoine_Name,0),4)+(D86-32)*5/9)))*14.7/760,IF(D77="Crude Oil",EXP((2799/(D86+459.6)-2.227)*LOG10(INDEX(FX_Input,Q$5,D$3*$Z$5+$AA$5))-(7261/(D86+459.6))+12.82),IF(D77="Refined Petroleum Stock",EXP((0.7553-(413/(D86+459.6)))*(INDEX(FX_Input,Q$5,D$3*$Z$5+$AA$5-1)^0.5)*LOG10(INDEX(FX_Input,Q$5,D$3*$Z$5+$AA$5))-(1.854-(1042/(D86+459.6)))*(INDEX(FX_Input,Q$5,D$3*$Z$5+$AA$5-1)^0.5)+((2416/(D86+459.6)-2.013)*LOG10(INDEX(FX_Input,Q$5,D$3*$Z$5+$AA$5)))-(8742/(D86+459.6))+15.64),EXP(INDEX(Antoines,MATCH(D76,Antoine_Name,0),2)-INDEX(Antoines,MATCH(D76,Antoine_Name,0),3)/(D86+459.6))))),0)</f>
        <v>4.883250638471285E-3</v>
      </c>
      <c r="E97" cm="1">
        <f t="array" ref="E97">IFERROR(IF(E77="Chemical",(10^(INDEX(Antoines,MATCH(E76,Antoine_Name,0),2)-INDEX(Antoines,MATCH(E76,Antoine_Name,0),3)/(INDEX(Antoines,MATCH(E76,Antoine_Name,0),4)+(E86-32)*5/9)))*14.7/760,IF(E77="Crude Oil",EXP((2799/(E86+459.6)-2.227)*LOG10(INDEX(FX_Input,R$5,E$3*$Z$5+$AA$5))-(7261/(E86+459.6))+12.82),IF(E77="Refined Petroleum Stock",EXP((0.7553-(413/(E86+459.6)))*(INDEX(FX_Input,R$5,E$3*$Z$5+$AA$5-1)^0.5)*LOG10(INDEX(FX_Input,R$5,E$3*$Z$5+$AA$5))-(1.854-(1042/(E86+459.6)))*(INDEX(FX_Input,R$5,E$3*$Z$5+$AA$5-1)^0.5)+((2416/(E86+459.6)-2.013)*LOG10(INDEX(FX_Input,R$5,E$3*$Z$5+$AA$5)))-(8742/(E86+459.6))+15.64),EXP(INDEX(Antoines,MATCH(E76,Antoine_Name,0),2)-INDEX(Antoines,MATCH(E76,Antoine_Name,0),3)/(E86+459.6))))),0)</f>
        <v>5.1351067062407989E-3</v>
      </c>
      <c r="F97" cm="1">
        <f t="array" ref="F97">IFERROR(IF(F77="Chemical",(10^(INDEX(Antoines,MATCH(F76,Antoine_Name,0),2)-INDEX(Antoines,MATCH(F76,Antoine_Name,0),3)/(INDEX(Antoines,MATCH(F76,Antoine_Name,0),4)+(F86-32)*5/9)))*14.7/760,IF(F77="Crude Oil",EXP((2799/(F86+459.6)-2.227)*LOG10(INDEX(FX_Input,S$5,F$3*$Z$5+$AA$5))-(7261/(F86+459.6))+12.82),IF(F77="Refined Petroleum Stock",EXP((0.7553-(413/(F86+459.6)))*(INDEX(FX_Input,S$5,F$3*$Z$5+$AA$5-1)^0.5)*LOG10(INDEX(FX_Input,S$5,F$3*$Z$5+$AA$5))-(1.854-(1042/(F86+459.6)))*(INDEX(FX_Input,S$5,F$3*$Z$5+$AA$5-1)^0.5)+((2416/(F86+459.6)-2.013)*LOG10(INDEX(FX_Input,S$5,F$3*$Z$5+$AA$5)))-(8742/(F86+459.6))+15.64),EXP(INDEX(Antoines,MATCH(F76,Antoine_Name,0),2)-INDEX(Antoines,MATCH(F76,Antoine_Name,0),3)/(F86+459.6))))),0)</f>
        <v>5.5213829543467952E-3</v>
      </c>
      <c r="G97" cm="1">
        <f t="array" ref="G97">IFERROR(IF(G77="Chemical",(10^(INDEX(Antoines,MATCH(G76,Antoine_Name,0),2)-INDEX(Antoines,MATCH(G76,Antoine_Name,0),3)/(INDEX(Antoines,MATCH(G76,Antoine_Name,0),4)+(G86-32)*5/9)))*14.7/760,IF(G77="Crude Oil",EXP((2799/(G86+459.6)-2.227)*LOG10(INDEX(FX_Input,T$5,G$3*$Z$5+$AA$5))-(7261/(G86+459.6))+12.82),IF(G77="Refined Petroleum Stock",EXP((0.7553-(413/(G86+459.6)))*(INDEX(FX_Input,T$5,G$3*$Z$5+$AA$5-1)^0.5)*LOG10(INDEX(FX_Input,T$5,G$3*$Z$5+$AA$5))-(1.854-(1042/(G86+459.6)))*(INDEX(FX_Input,T$5,G$3*$Z$5+$AA$5-1)^0.5)+((2416/(G86+459.6)-2.013)*LOG10(INDEX(FX_Input,T$5,G$3*$Z$5+$AA$5)))-(8742/(G86+459.6))+15.64),EXP(INDEX(Antoines,MATCH(G76,Antoine_Name,0),2)-INDEX(Antoines,MATCH(G76,Antoine_Name,0),3)/(G86+459.6))))),0)</f>
        <v>6.2124720487193742E-3</v>
      </c>
      <c r="H97" cm="1">
        <f t="array" ref="H97">IFERROR(IF(H77="Chemical",(10^(INDEX(Antoines,MATCH(H76,Antoine_Name,0),2)-INDEX(Antoines,MATCH(H76,Antoine_Name,0),3)/(INDEX(Antoines,MATCH(H76,Antoine_Name,0),4)+(H86-32)*5/9)))*14.7/760,IF(H77="Crude Oil",EXP((2799/(H86+459.6)-2.227)*LOG10(INDEX(FX_Input,U$5,H$3*$Z$5+$AA$5))-(7261/(H86+459.6))+12.82),IF(H77="Refined Petroleum Stock",EXP((0.7553-(413/(H86+459.6)))*(INDEX(FX_Input,U$5,H$3*$Z$5+$AA$5-1)^0.5)*LOG10(INDEX(FX_Input,U$5,H$3*$Z$5+$AA$5))-(1.854-(1042/(H86+459.6)))*(INDEX(FX_Input,U$5,H$3*$Z$5+$AA$5-1)^0.5)+((2416/(H86+459.6)-2.013)*LOG10(INDEX(FX_Input,U$5,H$3*$Z$5+$AA$5)))-(8742/(H86+459.6))+15.64),EXP(INDEX(Antoines,MATCH(H76,Antoine_Name,0),2)-INDEX(Antoines,MATCH(H76,Antoine_Name,0),3)/(H86+459.6))))),0)</f>
        <v>7.4209663387537275E-3</v>
      </c>
      <c r="I97" cm="1">
        <f t="array" ref="I97">IFERROR(IF(I77="Chemical",(10^(INDEX(Antoines,MATCH(I76,Antoine_Name,0),2)-INDEX(Antoines,MATCH(I76,Antoine_Name,0),3)/(INDEX(Antoines,MATCH(I76,Antoine_Name,0),4)+(I86-32)*5/9)))*14.7/760,IF(I77="Crude Oil",EXP((2799/(I86+459.6)-2.227)*LOG10(INDEX(FX_Input,V$5,I$3*$Z$5+$AA$5))-(7261/(I86+459.6))+12.82),IF(I77="Refined Petroleum Stock",EXP((0.7553-(413/(I86+459.6)))*(INDEX(FX_Input,V$5,I$3*$Z$5+$AA$5-1)^0.5)*LOG10(INDEX(FX_Input,V$5,I$3*$Z$5+$AA$5))-(1.854-(1042/(I86+459.6)))*(INDEX(FX_Input,V$5,I$3*$Z$5+$AA$5-1)^0.5)+((2416/(I86+459.6)-2.013)*LOG10(INDEX(FX_Input,V$5,I$3*$Z$5+$AA$5)))-(8742/(I86+459.6))+15.64),EXP(INDEX(Antoines,MATCH(I76,Antoine_Name,0),2)-INDEX(Antoines,MATCH(I76,Antoine_Name,0),3)/(I86+459.6))))),0)</f>
        <v>8.4819819298252285E-3</v>
      </c>
      <c r="J97" cm="1">
        <f t="array" ref="J97">IFERROR(IF(J77="Chemical",(10^(INDEX(Antoines,MATCH(J76,Antoine_Name,0),2)-INDEX(Antoines,MATCH(J76,Antoine_Name,0),3)/(INDEX(Antoines,MATCH(J76,Antoine_Name,0),4)+(J86-32)*5/9)))*14.7/760,IF(J77="Crude Oil",EXP((2799/(J86+459.6)-2.227)*LOG10(INDEX(FX_Input,W$5,J$3*$Z$5+$AA$5))-(7261/(J86+459.6))+12.82),IF(J77="Refined Petroleum Stock",EXP((0.7553-(413/(J86+459.6)))*(INDEX(FX_Input,W$5,J$3*$Z$5+$AA$5-1)^0.5)*LOG10(INDEX(FX_Input,W$5,J$3*$Z$5+$AA$5))-(1.854-(1042/(J86+459.6)))*(INDEX(FX_Input,W$5,J$3*$Z$5+$AA$5-1)^0.5)+((2416/(J86+459.6)-2.013)*LOG10(INDEX(FX_Input,W$5,J$3*$Z$5+$AA$5)))-(8742/(J86+459.6))+15.64),EXP(INDEX(Antoines,MATCH(J76,Antoine_Name,0),2)-INDEX(Antoines,MATCH(J76,Antoine_Name,0),3)/(J86+459.6))))),0)</f>
        <v>9.5741064128135375E-3</v>
      </c>
      <c r="K97" cm="1">
        <f t="array" ref="K97">IFERROR(IF(K77="Chemical",(10^(INDEX(Antoines,MATCH(K76,Antoine_Name,0),2)-INDEX(Antoines,MATCH(K76,Antoine_Name,0),3)/(INDEX(Antoines,MATCH(K76,Antoine_Name,0),4)+(K86-32)*5/9)))*14.7/760,IF(K77="Crude Oil",EXP((2799/(K86+459.6)-2.227)*LOG10(INDEX(FX_Input,X$5,K$3*$Z$5+$AA$5))-(7261/(K86+459.6))+12.82),IF(K77="Refined Petroleum Stock",EXP((0.7553-(413/(K86+459.6)))*(INDEX(FX_Input,X$5,K$3*$Z$5+$AA$5-1)^0.5)*LOG10(INDEX(FX_Input,X$5,K$3*$Z$5+$AA$5))-(1.854-(1042/(K86+459.6)))*(INDEX(FX_Input,X$5,K$3*$Z$5+$AA$5-1)^0.5)+((2416/(K86+459.6)-2.013)*LOG10(INDEX(FX_Input,X$5,K$3*$Z$5+$AA$5)))-(8742/(K86+459.6))+15.64),EXP(INDEX(Antoines,MATCH(K76,Antoine_Name,0),2)-INDEX(Antoines,MATCH(K76,Antoine_Name,0),3)/(K86+459.6))))),0)</f>
        <v>9.5478148180509845E-3</v>
      </c>
      <c r="L97" cm="1">
        <f t="array" ref="L97">IFERROR(IF(L77="Chemical",(10^(INDEX(Antoines,MATCH(L76,Antoine_Name,0),2)-INDEX(Antoines,MATCH(L76,Antoine_Name,0),3)/(INDEX(Antoines,MATCH(L76,Antoine_Name,0),4)+(L86-32)*5/9)))*14.7/760,IF(L77="Crude Oil",EXP((2799/(L86+459.6)-2.227)*LOG10(INDEX(FX_Input,Y$5,L$3*$Z$5+$AA$5))-(7261/(L86+459.6))+12.82),IF(L77="Refined Petroleum Stock",EXP((0.7553-(413/(L86+459.6)))*(INDEX(FX_Input,Y$5,L$3*$Z$5+$AA$5-1)^0.5)*LOG10(INDEX(FX_Input,Y$5,L$3*$Z$5+$AA$5))-(1.854-(1042/(L86+459.6)))*(INDEX(FX_Input,Y$5,L$3*$Z$5+$AA$5-1)^0.5)+((2416/(L86+459.6)-2.013)*LOG10(INDEX(FX_Input,Y$5,L$3*$Z$5+$AA$5)))-(8742/(L86+459.6))+15.64),EXP(INDEX(Antoines,MATCH(L76,Antoine_Name,0),2)-INDEX(Antoines,MATCH(L76,Antoine_Name,0),3)/(L86+459.6))))),0)</f>
        <v>8.6464528192362108E-3</v>
      </c>
      <c r="M97" cm="1">
        <f t="array" ref="M97">IFERROR(IF(M77="Chemical",(10^(INDEX(Antoines,MATCH(M76,Antoine_Name,0),2)-INDEX(Antoines,MATCH(M76,Antoine_Name,0),3)/(INDEX(Antoines,MATCH(M76,Antoine_Name,0),4)+(M86-32)*5/9)))*14.7/760,IF(M77="Crude Oil",EXP((2799/(M86+459.6)-2.227)*LOG10(INDEX(FX_Input,Z$5,M$3*$Z$5+$AA$5))-(7261/(M86+459.6))+12.82),IF(M77="Refined Petroleum Stock",EXP((0.7553-(413/(M86+459.6)))*(INDEX(FX_Input,Z$5,M$3*$Z$5+$AA$5-1)^0.5)*LOG10(INDEX(FX_Input,Z$5,M$3*$Z$5+$AA$5))-(1.854-(1042/(M86+459.6)))*(INDEX(FX_Input,Z$5,M$3*$Z$5+$AA$5-1)^0.5)+((2416/(M86+459.6)-2.013)*LOG10(INDEX(FX_Input,Z$5,M$3*$Z$5+$AA$5)))-(8742/(M86+459.6))+15.64),EXP(INDEX(Antoines,MATCH(M76,Antoine_Name,0),2)-INDEX(Antoines,MATCH(M76,Antoine_Name,0),3)/(M86+459.6))))),0)</f>
        <v>6.8218393379121701E-3</v>
      </c>
      <c r="N97" cm="1">
        <f t="array" ref="N97">IFERROR(IF(N77="Chemical",(10^(INDEX(Antoines,MATCH(N76,Antoine_Name,0),2)-INDEX(Antoines,MATCH(N76,Antoine_Name,0),3)/(INDEX(Antoines,MATCH(N76,Antoine_Name,0),4)+(N86-32)*5/9)))*14.7/760,IF(N77="Crude Oil",EXP((2799/(N86+459.6)-2.227)*LOG10(INDEX(FX_Input,AA$5,N$3*$Z$5+$AA$5))-(7261/(N86+459.6))+12.82),IF(N77="Refined Petroleum Stock",EXP((0.7553-(413/(N86+459.6)))*(INDEX(FX_Input,AA$5,N$3*$Z$5+$AA$5-1)^0.5)*LOG10(INDEX(FX_Input,AA$5,N$3*$Z$5+$AA$5))-(1.854-(1042/(N86+459.6)))*(INDEX(FX_Input,AA$5,N$3*$Z$5+$AA$5-1)^0.5)+((2416/(N86+459.6)-2.013)*LOG10(INDEX(FX_Input,AA$5,N$3*$Z$5+$AA$5)))-(8742/(N86+459.6))+15.64),EXP(INDEX(Antoines,MATCH(N76,Antoine_Name,0),2)-INDEX(Antoines,MATCH(N76,Antoine_Name,0),3)/(N86+459.6))))),0)</f>
        <v>5.4827140055800742E-3</v>
      </c>
      <c r="O97" cm="1">
        <f t="array" ref="O97">IFERROR(IF(O77="Chemical",(10^(INDEX(Antoines,MATCH(O76,Antoine_Name,0),2)-INDEX(Antoines,MATCH(O76,Antoine_Name,0),3)/(INDEX(Antoines,MATCH(O76,Antoine_Name,0),4)+(O86-32)*5/9)))*14.7/760,IF(O77="Crude Oil",EXP((2799/(O86+459.6)-2.227)*LOG10(INDEX(FX_Input,AB$5,O$3*$Z$5+$AA$5))-(7261/(O86+459.6))+12.82),IF(O77="Refined Petroleum Stock",EXP((0.7553-(413/(O86+459.6)))*(INDEX(FX_Input,AB$5,O$3*$Z$5+$AA$5-1)^0.5)*LOG10(INDEX(FX_Input,AB$5,O$3*$Z$5+$AA$5))-(1.854-(1042/(O86+459.6)))*(INDEX(FX_Input,AB$5,O$3*$Z$5+$AA$5-1)^0.5)+((2416/(O86+459.6)-2.013)*LOG10(INDEX(FX_Input,AB$5,O$3*$Z$5+$AA$5)))-(8742/(O86+459.6))+15.64),EXP(INDEX(Antoines,MATCH(O76,Antoine_Name,0),2)-INDEX(Antoines,MATCH(O76,Antoine_Name,0),3)/(O86+459.6))))),0)</f>
        <v>4.8148298503950734E-3</v>
      </c>
    </row>
    <row r="98" spans="1:32" ht="17.149999999999999" x14ac:dyDescent="0.55000000000000004">
      <c r="B98" t="str">
        <f t="shared" si="148"/>
        <v>Portland</v>
      </c>
      <c r="C98" t="s">
        <v>1389</v>
      </c>
      <c r="D98">
        <f>D97*D80</f>
        <v>4.883250638471285E-3</v>
      </c>
      <c r="E98">
        <f t="shared" ref="E98" si="215">E97*E80</f>
        <v>5.1351067062407989E-3</v>
      </c>
      <c r="F98">
        <f t="shared" ref="F98" si="216">F97*F80</f>
        <v>5.5213829543467952E-3</v>
      </c>
      <c r="G98">
        <f t="shared" ref="G98" si="217">G97*G80</f>
        <v>6.2124720487193742E-3</v>
      </c>
      <c r="H98">
        <f t="shared" ref="H98" si="218">H97*H80</f>
        <v>7.4209663387537275E-3</v>
      </c>
      <c r="I98">
        <f t="shared" ref="I98" si="219">I97*I80</f>
        <v>8.4819819298252285E-3</v>
      </c>
      <c r="J98">
        <f t="shared" ref="J98" si="220">J97*J80</f>
        <v>9.5741064128135375E-3</v>
      </c>
      <c r="K98">
        <f t="shared" ref="K98" si="221">K97*K80</f>
        <v>9.5478148180509845E-3</v>
      </c>
      <c r="L98">
        <f t="shared" ref="L98" si="222">L97*L80</f>
        <v>8.6464528192362108E-3</v>
      </c>
      <c r="M98">
        <f t="shared" ref="M98" si="223">M97*M80</f>
        <v>6.8218393379121701E-3</v>
      </c>
      <c r="N98">
        <f t="shared" ref="N98" si="224">N97*N80</f>
        <v>5.4827140055800742E-3</v>
      </c>
      <c r="O98">
        <f t="shared" ref="O98" si="225">O97*O80</f>
        <v>4.8148298503950734E-3</v>
      </c>
    </row>
    <row r="99" spans="1:32" ht="17.149999999999999" x14ac:dyDescent="0.55000000000000004">
      <c r="B99" t="str">
        <f t="shared" si="148"/>
        <v>Portland</v>
      </c>
      <c r="C99" t="s">
        <v>1390</v>
      </c>
      <c r="D99" cm="1">
        <f t="array" ref="D99">IFERROR(IF(D79="Chemical",(10^(INDEX(Antoines,MATCH(D78,Antoine_Name,0),2)-INDEX(Antoines,MATCH(D78,Antoine_Name,0),3)/(INDEX(Antoines,MATCH(D78,Antoine_Name,0),4)+(D86-32)*5/9)))*14.7/760,IF(D79="Crude Oil",EXP((2799/(D86+459.6)-2.227)*LOG10(INDEX(FX_Input,Q$5,D$3*$Z$5+$AA$5))-(7261/(D86+459.6))+12.82),IF(D79="Refined Petroleum Stock",EXP((0.7553-(413/(D86+459.6)))*(INDEX(FX_Input,Q$5,D$3*$Z$5+$AA$5-1)^0.5)*LOG10(INDEX(FX_Input,Q$5,D$3*$Z$5+$AA$5))-(1.854-(1042/(D86+459.6)))*(INDEX(FX_Input,Q$5,D$3*$Z$5+$AA$5-1)^0.5)+((2416/(D86+459.6)-2.013)*LOG10(INDEX(FX_Input,Q$5,D$3*$Z$5+$AA$5)))-(8742/(D86+459.6))+15.64),EXP(INDEX(Antoines,MATCH(D78,Antoine_Name,0),2)-INDEX(Antoines,MATCH(D78,Antoine_Name,0),3)/(D86+459.6))))),0)</f>
        <v>0</v>
      </c>
      <c r="E99" cm="1">
        <f t="array" ref="E99">IFERROR(IF(E79="Chemical",(10^(INDEX(Antoines,MATCH(E78,Antoine_Name,0),2)-INDEX(Antoines,MATCH(E78,Antoine_Name,0),3)/(INDEX(Antoines,MATCH(E78,Antoine_Name,0),4)+(E86-32)*5/9)))*14.7/760,IF(E79="Crude Oil",EXP((2799/(E86+459.6)-2.227)*LOG10(INDEX(FX_Input,R$5,E$3*$Z$5+$AA$5))-(7261/(E86+459.6))+12.82),IF(E79="Refined Petroleum Stock",EXP((0.7553-(413/(E86+459.6)))*(INDEX(FX_Input,R$5,E$3*$Z$5+$AA$5-1)^0.5)*LOG10(INDEX(FX_Input,R$5,E$3*$Z$5+$AA$5))-(1.854-(1042/(E86+459.6)))*(INDEX(FX_Input,R$5,E$3*$Z$5+$AA$5-1)^0.5)+((2416/(E86+459.6)-2.013)*LOG10(INDEX(FX_Input,R$5,E$3*$Z$5+$AA$5)))-(8742/(E86+459.6))+15.64),EXP(INDEX(Antoines,MATCH(E78,Antoine_Name,0),2)-INDEX(Antoines,MATCH(E78,Antoine_Name,0),3)/(E86+459.6))))),0)</f>
        <v>0</v>
      </c>
      <c r="F99" cm="1">
        <f t="array" ref="F99">IFERROR(IF(F79="Chemical",(10^(INDEX(Antoines,MATCH(F78,Antoine_Name,0),2)-INDEX(Antoines,MATCH(F78,Antoine_Name,0),3)/(INDEX(Antoines,MATCH(F78,Antoine_Name,0),4)+(F86-32)*5/9)))*14.7/760,IF(F79="Crude Oil",EXP((2799/(F86+459.6)-2.227)*LOG10(INDEX(FX_Input,S$5,F$3*$Z$5+$AA$5))-(7261/(F86+459.6))+12.82),IF(F79="Refined Petroleum Stock",EXP((0.7553-(413/(F86+459.6)))*(INDEX(FX_Input,S$5,F$3*$Z$5+$AA$5-1)^0.5)*LOG10(INDEX(FX_Input,S$5,F$3*$Z$5+$AA$5))-(1.854-(1042/(F86+459.6)))*(INDEX(FX_Input,S$5,F$3*$Z$5+$AA$5-1)^0.5)+((2416/(F86+459.6)-2.013)*LOG10(INDEX(FX_Input,S$5,F$3*$Z$5+$AA$5)))-(8742/(F86+459.6))+15.64),EXP(INDEX(Antoines,MATCH(F78,Antoine_Name,0),2)-INDEX(Antoines,MATCH(F78,Antoine_Name,0),3)/(F86+459.6))))),0)</f>
        <v>0</v>
      </c>
      <c r="G99" cm="1">
        <f t="array" ref="G99">IFERROR(IF(G79="Chemical",(10^(INDEX(Antoines,MATCH(G78,Antoine_Name,0),2)-INDEX(Antoines,MATCH(G78,Antoine_Name,0),3)/(INDEX(Antoines,MATCH(G78,Antoine_Name,0),4)+(G86-32)*5/9)))*14.7/760,IF(G79="Crude Oil",EXP((2799/(G86+459.6)-2.227)*LOG10(INDEX(FX_Input,T$5,G$3*$Z$5+$AA$5))-(7261/(G86+459.6))+12.82),IF(G79="Refined Petroleum Stock",EXP((0.7553-(413/(G86+459.6)))*(INDEX(FX_Input,T$5,G$3*$Z$5+$AA$5-1)^0.5)*LOG10(INDEX(FX_Input,T$5,G$3*$Z$5+$AA$5))-(1.854-(1042/(G86+459.6)))*(INDEX(FX_Input,T$5,G$3*$Z$5+$AA$5-1)^0.5)+((2416/(G86+459.6)-2.013)*LOG10(INDEX(FX_Input,T$5,G$3*$Z$5+$AA$5)))-(8742/(G86+459.6))+15.64),EXP(INDEX(Antoines,MATCH(G78,Antoine_Name,0),2)-INDEX(Antoines,MATCH(G78,Antoine_Name,0),3)/(G86+459.6))))),0)</f>
        <v>0</v>
      </c>
      <c r="H99" cm="1">
        <f t="array" ref="H99">IFERROR(IF(H79="Chemical",(10^(INDEX(Antoines,MATCH(H78,Antoine_Name,0),2)-INDEX(Antoines,MATCH(H78,Antoine_Name,0),3)/(INDEX(Antoines,MATCH(H78,Antoine_Name,0),4)+(H86-32)*5/9)))*14.7/760,IF(H79="Crude Oil",EXP((2799/(H86+459.6)-2.227)*LOG10(INDEX(FX_Input,U$5,H$3*$Z$5+$AA$5))-(7261/(H86+459.6))+12.82),IF(H79="Refined Petroleum Stock",EXP((0.7553-(413/(H86+459.6)))*(INDEX(FX_Input,U$5,H$3*$Z$5+$AA$5-1)^0.5)*LOG10(INDEX(FX_Input,U$5,H$3*$Z$5+$AA$5))-(1.854-(1042/(H86+459.6)))*(INDEX(FX_Input,U$5,H$3*$Z$5+$AA$5-1)^0.5)+((2416/(H86+459.6)-2.013)*LOG10(INDEX(FX_Input,U$5,H$3*$Z$5+$AA$5)))-(8742/(H86+459.6))+15.64),EXP(INDEX(Antoines,MATCH(H78,Antoine_Name,0),2)-INDEX(Antoines,MATCH(H78,Antoine_Name,0),3)/(H86+459.6))))),0)</f>
        <v>0</v>
      </c>
      <c r="I99" cm="1">
        <f t="array" ref="I99">IFERROR(IF(I79="Chemical",(10^(INDEX(Antoines,MATCH(I78,Antoine_Name,0),2)-INDEX(Antoines,MATCH(I78,Antoine_Name,0),3)/(INDEX(Antoines,MATCH(I78,Antoine_Name,0),4)+(I86-32)*5/9)))*14.7/760,IF(I79="Crude Oil",EXP((2799/(I86+459.6)-2.227)*LOG10(INDEX(FX_Input,V$5,I$3*$Z$5+$AA$5))-(7261/(I86+459.6))+12.82),IF(I79="Refined Petroleum Stock",EXP((0.7553-(413/(I86+459.6)))*(INDEX(FX_Input,V$5,I$3*$Z$5+$AA$5-1)^0.5)*LOG10(INDEX(FX_Input,V$5,I$3*$Z$5+$AA$5))-(1.854-(1042/(I86+459.6)))*(INDEX(FX_Input,V$5,I$3*$Z$5+$AA$5-1)^0.5)+((2416/(I86+459.6)-2.013)*LOG10(INDEX(FX_Input,V$5,I$3*$Z$5+$AA$5)))-(8742/(I86+459.6))+15.64),EXP(INDEX(Antoines,MATCH(I78,Antoine_Name,0),2)-INDEX(Antoines,MATCH(I78,Antoine_Name,0),3)/(I86+459.6))))),0)</f>
        <v>0</v>
      </c>
      <c r="J99" cm="1">
        <f t="array" ref="J99">IFERROR(IF(J79="Chemical",(10^(INDEX(Antoines,MATCH(J78,Antoine_Name,0),2)-INDEX(Antoines,MATCH(J78,Antoine_Name,0),3)/(INDEX(Antoines,MATCH(J78,Antoine_Name,0),4)+(J86-32)*5/9)))*14.7/760,IF(J79="Crude Oil",EXP((2799/(J86+459.6)-2.227)*LOG10(INDEX(FX_Input,W$5,J$3*$Z$5+$AA$5))-(7261/(J86+459.6))+12.82),IF(J79="Refined Petroleum Stock",EXP((0.7553-(413/(J86+459.6)))*(INDEX(FX_Input,W$5,J$3*$Z$5+$AA$5-1)^0.5)*LOG10(INDEX(FX_Input,W$5,J$3*$Z$5+$AA$5))-(1.854-(1042/(J86+459.6)))*(INDEX(FX_Input,W$5,J$3*$Z$5+$AA$5-1)^0.5)+((2416/(J86+459.6)-2.013)*LOG10(INDEX(FX_Input,W$5,J$3*$Z$5+$AA$5)))-(8742/(J86+459.6))+15.64),EXP(INDEX(Antoines,MATCH(J78,Antoine_Name,0),2)-INDEX(Antoines,MATCH(J78,Antoine_Name,0),3)/(J86+459.6))))),0)</f>
        <v>0</v>
      </c>
      <c r="K99" cm="1">
        <f t="array" ref="K99">IFERROR(IF(K79="Chemical",(10^(INDEX(Antoines,MATCH(K78,Antoine_Name,0),2)-INDEX(Antoines,MATCH(K78,Antoine_Name,0),3)/(INDEX(Antoines,MATCH(K78,Antoine_Name,0),4)+(K86-32)*5/9)))*14.7/760,IF(K79="Crude Oil",EXP((2799/(K86+459.6)-2.227)*LOG10(INDEX(FX_Input,X$5,K$3*$Z$5+$AA$5))-(7261/(K86+459.6))+12.82),IF(K79="Refined Petroleum Stock",EXP((0.7553-(413/(K86+459.6)))*(INDEX(FX_Input,X$5,K$3*$Z$5+$AA$5-1)^0.5)*LOG10(INDEX(FX_Input,X$5,K$3*$Z$5+$AA$5))-(1.854-(1042/(K86+459.6)))*(INDEX(FX_Input,X$5,K$3*$Z$5+$AA$5-1)^0.5)+((2416/(K86+459.6)-2.013)*LOG10(INDEX(FX_Input,X$5,K$3*$Z$5+$AA$5)))-(8742/(K86+459.6))+15.64),EXP(INDEX(Antoines,MATCH(K78,Antoine_Name,0),2)-INDEX(Antoines,MATCH(K78,Antoine_Name,0),3)/(K86+459.6))))),0)</f>
        <v>0</v>
      </c>
      <c r="L99" cm="1">
        <f t="array" ref="L99">IFERROR(IF(L79="Chemical",(10^(INDEX(Antoines,MATCH(L78,Antoine_Name,0),2)-INDEX(Antoines,MATCH(L78,Antoine_Name,0),3)/(INDEX(Antoines,MATCH(L78,Antoine_Name,0),4)+(L86-32)*5/9)))*14.7/760,IF(L79="Crude Oil",EXP((2799/(L86+459.6)-2.227)*LOG10(INDEX(FX_Input,Y$5,L$3*$Z$5+$AA$5))-(7261/(L86+459.6))+12.82),IF(L79="Refined Petroleum Stock",EXP((0.7553-(413/(L86+459.6)))*(INDEX(FX_Input,Y$5,L$3*$Z$5+$AA$5-1)^0.5)*LOG10(INDEX(FX_Input,Y$5,L$3*$Z$5+$AA$5))-(1.854-(1042/(L86+459.6)))*(INDEX(FX_Input,Y$5,L$3*$Z$5+$AA$5-1)^0.5)+((2416/(L86+459.6)-2.013)*LOG10(INDEX(FX_Input,Y$5,L$3*$Z$5+$AA$5)))-(8742/(L86+459.6))+15.64),EXP(INDEX(Antoines,MATCH(L78,Antoine_Name,0),2)-INDEX(Antoines,MATCH(L78,Antoine_Name,0),3)/(L86+459.6))))),0)</f>
        <v>0</v>
      </c>
      <c r="M99" cm="1">
        <f t="array" ref="M99">IFERROR(IF(M79="Chemical",(10^(INDEX(Antoines,MATCH(M78,Antoine_Name,0),2)-INDEX(Antoines,MATCH(M78,Antoine_Name,0),3)/(INDEX(Antoines,MATCH(M78,Antoine_Name,0),4)+(M86-32)*5/9)))*14.7/760,IF(M79="Crude Oil",EXP((2799/(M86+459.6)-2.227)*LOG10(INDEX(FX_Input,Z$5,M$3*$Z$5+$AA$5))-(7261/(M86+459.6))+12.82),IF(M79="Refined Petroleum Stock",EXP((0.7553-(413/(M86+459.6)))*(INDEX(FX_Input,Z$5,M$3*$Z$5+$AA$5-1)^0.5)*LOG10(INDEX(FX_Input,Z$5,M$3*$Z$5+$AA$5))-(1.854-(1042/(M86+459.6)))*(INDEX(FX_Input,Z$5,M$3*$Z$5+$AA$5-1)^0.5)+((2416/(M86+459.6)-2.013)*LOG10(INDEX(FX_Input,Z$5,M$3*$Z$5+$AA$5)))-(8742/(M86+459.6))+15.64),EXP(INDEX(Antoines,MATCH(M78,Antoine_Name,0),2)-INDEX(Antoines,MATCH(M78,Antoine_Name,0),3)/(M86+459.6))))),0)</f>
        <v>0</v>
      </c>
      <c r="N99" cm="1">
        <f t="array" ref="N99">IFERROR(IF(N79="Chemical",(10^(INDEX(Antoines,MATCH(N78,Antoine_Name,0),2)-INDEX(Antoines,MATCH(N78,Antoine_Name,0),3)/(INDEX(Antoines,MATCH(N78,Antoine_Name,0),4)+(N86-32)*5/9)))*14.7/760,IF(N79="Crude Oil",EXP((2799/(N86+459.6)-2.227)*LOG10(INDEX(FX_Input,AA$5,N$3*$Z$5+$AA$5))-(7261/(N86+459.6))+12.82),IF(N79="Refined Petroleum Stock",EXP((0.7553-(413/(N86+459.6)))*(INDEX(FX_Input,AA$5,N$3*$Z$5+$AA$5-1)^0.5)*LOG10(INDEX(FX_Input,AA$5,N$3*$Z$5+$AA$5))-(1.854-(1042/(N86+459.6)))*(INDEX(FX_Input,AA$5,N$3*$Z$5+$AA$5-1)^0.5)+((2416/(N86+459.6)-2.013)*LOG10(INDEX(FX_Input,AA$5,N$3*$Z$5+$AA$5)))-(8742/(N86+459.6))+15.64),EXP(INDEX(Antoines,MATCH(N78,Antoine_Name,0),2)-INDEX(Antoines,MATCH(N78,Antoine_Name,0),3)/(N86+459.6))))),0)</f>
        <v>0</v>
      </c>
      <c r="O99" cm="1">
        <f t="array" ref="O99">IFERROR(IF(O79="Chemical",(10^(INDEX(Antoines,MATCH(O78,Antoine_Name,0),2)-INDEX(Antoines,MATCH(O78,Antoine_Name,0),3)/(INDEX(Antoines,MATCH(O78,Antoine_Name,0),4)+(O86-32)*5/9)))*14.7/760,IF(O79="Crude Oil",EXP((2799/(O86+459.6)-2.227)*LOG10(INDEX(FX_Input,AB$5,O$3*$Z$5+$AA$5))-(7261/(O86+459.6))+12.82),IF(O79="Refined Petroleum Stock",EXP((0.7553-(413/(O86+459.6)))*(INDEX(FX_Input,AB$5,O$3*$Z$5+$AA$5-1)^0.5)*LOG10(INDEX(FX_Input,AB$5,O$3*$Z$5+$AA$5))-(1.854-(1042/(O86+459.6)))*(INDEX(FX_Input,AB$5,O$3*$Z$5+$AA$5-1)^0.5)+((2416/(O86+459.6)-2.013)*LOG10(INDEX(FX_Input,AB$5,O$3*$Z$5+$AA$5)))-(8742/(O86+459.6))+15.64),EXP(INDEX(Antoines,MATCH(O78,Antoine_Name,0),2)-INDEX(Antoines,MATCH(O78,Antoine_Name,0),3)/(O86+459.6))))),0)</f>
        <v>0</v>
      </c>
    </row>
    <row r="100" spans="1:32" ht="17.149999999999999" x14ac:dyDescent="0.55000000000000004">
      <c r="B100" t="str">
        <f t="shared" si="148"/>
        <v>Portland</v>
      </c>
      <c r="C100" t="s">
        <v>1391</v>
      </c>
      <c r="D100">
        <f>D99*D82</f>
        <v>0</v>
      </c>
      <c r="E100">
        <f t="shared" ref="E100" si="226">E99*E82</f>
        <v>0</v>
      </c>
      <c r="F100">
        <f t="shared" ref="F100" si="227">F99*F82</f>
        <v>0</v>
      </c>
      <c r="G100">
        <f t="shared" ref="G100" si="228">G99*G82</f>
        <v>0</v>
      </c>
      <c r="H100">
        <f t="shared" ref="H100" si="229">H99*H82</f>
        <v>0</v>
      </c>
      <c r="I100">
        <f t="shared" ref="I100" si="230">I99*I82</f>
        <v>0</v>
      </c>
      <c r="J100">
        <f t="shared" ref="J100" si="231">J99*J82</f>
        <v>0</v>
      </c>
      <c r="K100">
        <f t="shared" ref="K100" si="232">K99*K82</f>
        <v>0</v>
      </c>
      <c r="L100">
        <f t="shared" ref="L100" si="233">L99*L82</f>
        <v>0</v>
      </c>
      <c r="M100">
        <f t="shared" ref="M100" si="234">M99*M82</f>
        <v>0</v>
      </c>
      <c r="N100">
        <f t="shared" ref="N100" si="235">N99*N82</f>
        <v>0</v>
      </c>
      <c r="O100">
        <f t="shared" ref="O100" si="236">O99*O82</f>
        <v>0</v>
      </c>
    </row>
    <row r="101" spans="1:32" ht="17.149999999999999" x14ac:dyDescent="0.55000000000000004">
      <c r="B101" t="str">
        <f t="shared" si="148"/>
        <v>Portland</v>
      </c>
      <c r="C101" t="s">
        <v>1392</v>
      </c>
      <c r="D101">
        <f>D98+D100</f>
        <v>4.883250638471285E-3</v>
      </c>
      <c r="E101">
        <f t="shared" ref="E101" si="237">E98+E100</f>
        <v>5.1351067062407989E-3</v>
      </c>
      <c r="F101">
        <f t="shared" ref="F101" si="238">F98+F100</f>
        <v>5.5213829543467952E-3</v>
      </c>
      <c r="G101">
        <f t="shared" ref="G101" si="239">G98+G100</f>
        <v>6.2124720487193742E-3</v>
      </c>
      <c r="H101">
        <f t="shared" ref="H101" si="240">H98+H100</f>
        <v>7.4209663387537275E-3</v>
      </c>
      <c r="I101">
        <f t="shared" ref="I101" si="241">I98+I100</f>
        <v>8.4819819298252285E-3</v>
      </c>
      <c r="J101">
        <f t="shared" ref="J101" si="242">J98+J100</f>
        <v>9.5741064128135375E-3</v>
      </c>
      <c r="K101">
        <f t="shared" ref="K101" si="243">K98+K100</f>
        <v>9.5478148180509845E-3</v>
      </c>
      <c r="L101">
        <f t="shared" ref="L101" si="244">L98+L100</f>
        <v>8.6464528192362108E-3</v>
      </c>
      <c r="M101">
        <f t="shared" ref="M101" si="245">M98+M100</f>
        <v>6.8218393379121701E-3</v>
      </c>
      <c r="N101">
        <f t="shared" ref="N101" si="246">N98+N100</f>
        <v>5.4827140055800742E-3</v>
      </c>
      <c r="O101">
        <f t="shared" ref="O101" si="247">O98+O100</f>
        <v>4.8148298503950734E-3</v>
      </c>
    </row>
    <row r="102" spans="1:32" ht="17.149999999999999" x14ac:dyDescent="0.55000000000000004">
      <c r="B102" t="str">
        <f>B96</f>
        <v>Portland</v>
      </c>
      <c r="C102" t="s">
        <v>584</v>
      </c>
      <c r="D102">
        <f>D98/D101</f>
        <v>1</v>
      </c>
      <c r="E102">
        <f t="shared" ref="E102" si="248">E98/E101</f>
        <v>1</v>
      </c>
      <c r="F102">
        <f t="shared" ref="F102" si="249">F98/F101</f>
        <v>1</v>
      </c>
      <c r="G102">
        <f t="shared" ref="G102" si="250">G98/G101</f>
        <v>1</v>
      </c>
      <c r="H102">
        <f t="shared" ref="H102" si="251">H98/H101</f>
        <v>1</v>
      </c>
      <c r="I102">
        <f t="shared" ref="I102" si="252">I98/I101</f>
        <v>1</v>
      </c>
      <c r="J102">
        <f t="shared" ref="J102" si="253">J98/J101</f>
        <v>1</v>
      </c>
      <c r="K102">
        <f t="shared" ref="K102" si="254">K98/K101</f>
        <v>1</v>
      </c>
      <c r="L102">
        <f t="shared" ref="L102" si="255">L98/L101</f>
        <v>1</v>
      </c>
      <c r="M102">
        <f t="shared" ref="M102" si="256">M98/M101</f>
        <v>1</v>
      </c>
      <c r="N102">
        <f t="shared" ref="N102" si="257">N98/N101</f>
        <v>1</v>
      </c>
      <c r="O102">
        <f t="shared" ref="O102" si="258">O98/O101</f>
        <v>1</v>
      </c>
    </row>
    <row r="103" spans="1:32" ht="17.149999999999999" x14ac:dyDescent="0.55000000000000004">
      <c r="B103" t="str">
        <f>B97</f>
        <v>Portland</v>
      </c>
      <c r="C103" t="s">
        <v>585</v>
      </c>
      <c r="D103">
        <f t="shared" ref="D103:O103" si="259">INDEX(Phys_Prop,MATCH(D76,Chem_List,0),3)</f>
        <v>130</v>
      </c>
      <c r="E103">
        <f t="shared" si="259"/>
        <v>130</v>
      </c>
      <c r="F103">
        <f t="shared" si="259"/>
        <v>130</v>
      </c>
      <c r="G103">
        <f t="shared" si="259"/>
        <v>130</v>
      </c>
      <c r="H103">
        <f t="shared" si="259"/>
        <v>130</v>
      </c>
      <c r="I103">
        <f t="shared" si="259"/>
        <v>130</v>
      </c>
      <c r="J103">
        <f t="shared" si="259"/>
        <v>130</v>
      </c>
      <c r="K103">
        <f t="shared" si="259"/>
        <v>130</v>
      </c>
      <c r="L103">
        <f t="shared" si="259"/>
        <v>130</v>
      </c>
      <c r="M103">
        <f t="shared" si="259"/>
        <v>130</v>
      </c>
      <c r="N103">
        <f t="shared" si="259"/>
        <v>130</v>
      </c>
      <c r="O103">
        <f t="shared" si="259"/>
        <v>130</v>
      </c>
    </row>
    <row r="104" spans="1:32" ht="17.149999999999999" x14ac:dyDescent="0.55000000000000004">
      <c r="B104" t="str">
        <f>B103</f>
        <v>Portland</v>
      </c>
      <c r="C104" t="s">
        <v>586</v>
      </c>
      <c r="D104">
        <f>D100/D101</f>
        <v>0</v>
      </c>
      <c r="E104">
        <f t="shared" ref="E104:O104" si="260">E100/E101</f>
        <v>0</v>
      </c>
      <c r="F104">
        <f t="shared" si="260"/>
        <v>0</v>
      </c>
      <c r="G104">
        <f t="shared" si="260"/>
        <v>0</v>
      </c>
      <c r="H104">
        <f t="shared" si="260"/>
        <v>0</v>
      </c>
      <c r="I104">
        <f t="shared" si="260"/>
        <v>0</v>
      </c>
      <c r="J104">
        <f t="shared" si="260"/>
        <v>0</v>
      </c>
      <c r="K104">
        <f t="shared" si="260"/>
        <v>0</v>
      </c>
      <c r="L104">
        <f t="shared" si="260"/>
        <v>0</v>
      </c>
      <c r="M104">
        <f t="shared" si="260"/>
        <v>0</v>
      </c>
      <c r="N104">
        <f t="shared" si="260"/>
        <v>0</v>
      </c>
      <c r="O104">
        <f t="shared" si="260"/>
        <v>0</v>
      </c>
    </row>
    <row r="105" spans="1:32" ht="17.149999999999999" x14ac:dyDescent="0.55000000000000004">
      <c r="B105" t="str">
        <f t="shared" si="148"/>
        <v>Portland</v>
      </c>
      <c r="C105" t="s">
        <v>587</v>
      </c>
      <c r="D105">
        <f t="shared" ref="D105:O105" si="261">IFERROR(INDEX(Phys_Prop,MATCH(D78,Chem_List,0),3),0)</f>
        <v>0</v>
      </c>
      <c r="E105">
        <f t="shared" si="261"/>
        <v>0</v>
      </c>
      <c r="F105">
        <f t="shared" si="261"/>
        <v>0</v>
      </c>
      <c r="G105">
        <f t="shared" si="261"/>
        <v>0</v>
      </c>
      <c r="H105">
        <f t="shared" si="261"/>
        <v>0</v>
      </c>
      <c r="I105">
        <f t="shared" si="261"/>
        <v>0</v>
      </c>
      <c r="J105">
        <f t="shared" si="261"/>
        <v>0</v>
      </c>
      <c r="K105">
        <f t="shared" si="261"/>
        <v>0</v>
      </c>
      <c r="L105">
        <f t="shared" si="261"/>
        <v>0</v>
      </c>
      <c r="M105">
        <f t="shared" si="261"/>
        <v>0</v>
      </c>
      <c r="N105">
        <f t="shared" si="261"/>
        <v>0</v>
      </c>
      <c r="O105">
        <f t="shared" si="261"/>
        <v>0</v>
      </c>
    </row>
    <row r="106" spans="1:32" ht="17.149999999999999" x14ac:dyDescent="0.55000000000000004">
      <c r="A106" s="11"/>
      <c r="B106" s="11" t="str">
        <f t="shared" si="148"/>
        <v>Portland</v>
      </c>
      <c r="C106" s="11" t="s">
        <v>588</v>
      </c>
      <c r="D106" s="11">
        <f>IFERROR(D102*D103+D104*D105,0)</f>
        <v>130</v>
      </c>
      <c r="E106" s="11">
        <f t="shared" ref="E106" si="262">IFERROR(E102*E103+E104*E105,0)</f>
        <v>130</v>
      </c>
      <c r="F106" s="11">
        <f t="shared" ref="F106" si="263">IFERROR(F102*F103+F104*F105,0)</f>
        <v>130</v>
      </c>
      <c r="G106" s="11">
        <f t="shared" ref="G106" si="264">IFERROR(G102*G103+G104*G105,0)</f>
        <v>130</v>
      </c>
      <c r="H106" s="11">
        <f t="shared" ref="H106" si="265">IFERROR(H102*H103+H104*H105,0)</f>
        <v>130</v>
      </c>
      <c r="I106" s="11">
        <f t="shared" ref="I106" si="266">IFERROR(I102*I103+I104*I105,0)</f>
        <v>130</v>
      </c>
      <c r="J106" s="11">
        <f t="shared" ref="J106" si="267">IFERROR(J102*J103+J104*J105,0)</f>
        <v>130</v>
      </c>
      <c r="K106" s="11">
        <f t="shared" ref="K106" si="268">IFERROR(K102*K103+K104*K105,0)</f>
        <v>130</v>
      </c>
      <c r="L106" s="11">
        <f t="shared" ref="L106" si="269">IFERROR(L102*L103+L104*L105,0)</f>
        <v>130</v>
      </c>
      <c r="M106" s="11">
        <f t="shared" ref="M106" si="270">IFERROR(M102*M103+M104*M105,0)</f>
        <v>130</v>
      </c>
      <c r="N106" s="11">
        <f t="shared" ref="N106" si="271">IFERROR(N102*N103+N104*N105,0)</f>
        <v>130</v>
      </c>
      <c r="O106" s="11">
        <f t="shared" ref="O106" si="272">IFERROR(O102*O103+O104*O105,0)</f>
        <v>130</v>
      </c>
      <c r="P106" s="11"/>
      <c r="Q106" s="11"/>
      <c r="R106" s="11"/>
      <c r="S106" s="11"/>
      <c r="T106" s="11"/>
      <c r="U106" s="11"/>
      <c r="V106" s="11"/>
      <c r="W106" s="11"/>
      <c r="X106" s="11"/>
      <c r="Y106" s="11"/>
      <c r="Z106" s="11"/>
      <c r="AA106" s="11"/>
      <c r="AB106" s="11"/>
      <c r="AC106" s="11"/>
      <c r="AD106" s="11"/>
      <c r="AE106" s="11"/>
      <c r="AF106" s="11"/>
    </row>
    <row r="107" spans="1:32" ht="17.149999999999999" x14ac:dyDescent="0.55000000000000004">
      <c r="A107" t="str" cm="1">
        <f t="array" ref="A107">INDEX(FX_Input,$Q107,R$5)</f>
        <v>FX - 4</v>
      </c>
      <c r="B107" t="str" cm="1">
        <f t="array" ref="B107">INDEX(FX_Input,Q107,S107)</f>
        <v>Portland</v>
      </c>
      <c r="C107" t="s">
        <v>563</v>
      </c>
      <c r="D107">
        <v>14.7</v>
      </c>
      <c r="E107">
        <v>14.7</v>
      </c>
      <c r="F107">
        <v>14.7</v>
      </c>
      <c r="G107">
        <v>14.7</v>
      </c>
      <c r="H107">
        <v>14.7</v>
      </c>
      <c r="I107">
        <v>14.7</v>
      </c>
      <c r="J107">
        <v>14.7</v>
      </c>
      <c r="K107">
        <v>14.7</v>
      </c>
      <c r="L107">
        <v>14.7</v>
      </c>
      <c r="M107">
        <v>14.7</v>
      </c>
      <c r="N107">
        <v>14.7</v>
      </c>
      <c r="O107">
        <v>14.7</v>
      </c>
      <c r="Q107">
        <f>Q73+2</f>
        <v>7</v>
      </c>
      <c r="R107">
        <v>1</v>
      </c>
      <c r="S107">
        <v>3</v>
      </c>
      <c r="T107">
        <v>1</v>
      </c>
      <c r="U107">
        <v>19</v>
      </c>
      <c r="V107">
        <v>20</v>
      </c>
      <c r="W107">
        <v>25</v>
      </c>
      <c r="X107">
        <v>1</v>
      </c>
      <c r="Y107">
        <v>2</v>
      </c>
      <c r="Z107">
        <f>(W107-V107)/(Y107-X107)</f>
        <v>5</v>
      </c>
      <c r="AA107">
        <f>V107-Z107*X107</f>
        <v>15</v>
      </c>
      <c r="AD107">
        <f>AD73+14</f>
        <v>43</v>
      </c>
      <c r="AF107">
        <f>AF73+14</f>
        <v>43</v>
      </c>
    </row>
    <row r="108" spans="1:32" ht="17.149999999999999" x14ac:dyDescent="0.55000000000000004">
      <c r="B108" t="str">
        <f t="shared" ref="B108" si="273">B107</f>
        <v>Portland</v>
      </c>
      <c r="C108" t="s">
        <v>564</v>
      </c>
      <c r="D108" cm="1">
        <f t="array" ref="D108">IF(ISBLANK(INDEX(FX_Input,$Q107,$AB108)),0.03,INDEX(FX_Input,Q107,AB108))</f>
        <v>0.03</v>
      </c>
      <c r="E108" cm="1">
        <f t="array" ref="E108">IF(ISBLANK(INDEX(FX_Input,$Q107,$AB108)),0.03,INDEX(FX_Input,R107,#REF!))</f>
        <v>0.03</v>
      </c>
      <c r="F108" cm="1">
        <f t="array" ref="F108">IF(ISBLANK(INDEX(FX_Input,$Q107,$AB108)),0.03,INDEX(FX_Input,S107,#REF!))</f>
        <v>0.03</v>
      </c>
      <c r="G108" cm="1">
        <f t="array" ref="G108">IF(ISBLANK(INDEX(FX_Input,$Q107,$AB108)),0.03,INDEX(FX_Input,AB107,#REF!))</f>
        <v>0.03</v>
      </c>
      <c r="H108" cm="1">
        <f t="array" ref="H108">IF(ISBLANK(INDEX(FX_Input,$Q107,$AB108)),0.03,INDEX(FX_Input,#REF!,#REF!))</f>
        <v>0.03</v>
      </c>
      <c r="I108" cm="1">
        <f t="array" ref="I108">IF(ISBLANK(INDEX(FX_Input,$Q107,$AB108)),0.03,INDEX(FX_Input,#REF!,#REF!))</f>
        <v>0.03</v>
      </c>
      <c r="J108" cm="1">
        <f t="array" ref="J108">IF(ISBLANK(INDEX(FX_Input,$Q107,$AB108)),0.03,INDEX(FX_Input,#REF!,#REF!))</f>
        <v>0.03</v>
      </c>
      <c r="K108" cm="1">
        <f t="array" ref="K108">IF(ISBLANK(INDEX(FX_Input,$Q107,$AB108)),0.03,INDEX(FX_Input,#REF!,AC108))</f>
        <v>0.03</v>
      </c>
      <c r="L108" cm="1">
        <f t="array" ref="L108">IF(ISBLANK(INDEX(FX_Input,$Q107,$AB108)),0.03,INDEX(FX_Input,#REF!,AD108))</f>
        <v>0.03</v>
      </c>
      <c r="M108" cm="1">
        <f t="array" ref="M108">IF(ISBLANK(INDEX(FX_Input,$Q107,$AB108)),0.03,INDEX(FX_Input,#REF!,#REF!))</f>
        <v>0.03</v>
      </c>
      <c r="N108" cm="1">
        <f t="array" ref="N108">IF(ISBLANK(INDEX(FX_Input,$Q107,$AB108)),0.03,INDEX(FX_Input,AC107,#REF!))</f>
        <v>0.03</v>
      </c>
      <c r="O108" cm="1">
        <f t="array" ref="O108">IF(ISBLANK(INDEX(FX_Input,$Q107,$AB108)),0.03,INDEX(FX_Input,AD107,#REF!))</f>
        <v>0.03</v>
      </c>
      <c r="AB108">
        <v>15</v>
      </c>
    </row>
    <row r="109" spans="1:32" ht="17.149999999999999" x14ac:dyDescent="0.55000000000000004">
      <c r="B109" t="str">
        <f>B108</f>
        <v>Portland</v>
      </c>
      <c r="C109" t="s">
        <v>565</v>
      </c>
      <c r="D109" cm="1">
        <f t="array" ref="D109">IF(ISBLANK(INDEX(FX_Input,$Q107,$AB109)),-0.03,INDEX(FX_Input,Q107,AB109))</f>
        <v>-0.03</v>
      </c>
      <c r="E109" cm="1">
        <f t="array" ref="E109">IF(ISBLANK(INDEX(FX_Input,$Q107,$AB109)),-0.03,INDEX(FX_Input,R107,#REF!))</f>
        <v>-0.03</v>
      </c>
      <c r="F109" cm="1">
        <f t="array" ref="F109">IF(ISBLANK(INDEX(FX_Input,$Q107,$AB109)),-0.03,INDEX(FX_Input,S107,#REF!))</f>
        <v>-0.03</v>
      </c>
      <c r="G109" cm="1">
        <f t="array" ref="G109">IF(ISBLANK(INDEX(FX_Input,$Q107,$AB109)),-0.03,INDEX(FX_Input,AB107,#REF!))</f>
        <v>-0.03</v>
      </c>
      <c r="H109" cm="1">
        <f t="array" ref="H109">IF(ISBLANK(INDEX(FX_Input,$Q107,$AB109)),-0.03,INDEX(FX_Input,#REF!,#REF!))</f>
        <v>-0.03</v>
      </c>
      <c r="I109" cm="1">
        <f t="array" ref="I109">IF(ISBLANK(INDEX(FX_Input,$Q107,$AB109)),-0.03,INDEX(FX_Input,#REF!,#REF!))</f>
        <v>-0.03</v>
      </c>
      <c r="J109" cm="1">
        <f t="array" ref="J109">IF(ISBLANK(INDEX(FX_Input,$Q107,$AB109)),-0.03,INDEX(FX_Input,#REF!,#REF!))</f>
        <v>-0.03</v>
      </c>
      <c r="K109" cm="1">
        <f t="array" ref="K109">IF(ISBLANK(INDEX(FX_Input,$Q107,$AB109)),-0.03,INDEX(FX_Input,#REF!,AC109))</f>
        <v>-0.03</v>
      </c>
      <c r="L109" cm="1">
        <f t="array" ref="L109">IF(ISBLANK(INDEX(FX_Input,$Q107,$AB109)),-0.03,INDEX(FX_Input,#REF!,AD109))</f>
        <v>-0.03</v>
      </c>
      <c r="M109" cm="1">
        <f t="array" ref="M109">IF(ISBLANK(INDEX(FX_Input,$Q107,$AB109)),-0.03,INDEX(FX_Input,#REF!,#REF!))</f>
        <v>-0.03</v>
      </c>
      <c r="N109" cm="1">
        <f t="array" ref="N109">IF(ISBLANK(INDEX(FX_Input,$Q107,$AB109)),-0.03,INDEX(FX_Input,AC107,#REF!))</f>
        <v>-0.03</v>
      </c>
      <c r="O109" cm="1">
        <f t="array" ref="O109">IF(ISBLANK(INDEX(FX_Input,$Q107,$AB109)),-0.03,INDEX(FX_Input,AD107,#REF!))</f>
        <v>-0.03</v>
      </c>
      <c r="AB109">
        <v>16</v>
      </c>
    </row>
    <row r="110" spans="1:32" x14ac:dyDescent="0.4">
      <c r="B110" t="str">
        <f t="shared" ref="B110:B111" si="274">B109</f>
        <v>Portland</v>
      </c>
      <c r="C110" s="66" t="s">
        <v>567</v>
      </c>
      <c r="D110" t="str" cm="1">
        <f t="array" ref="D110">INDEX(FX_Multi,$AD110,D$3)</f>
        <v>Jet kerosene</v>
      </c>
      <c r="E110" t="str" cm="1">
        <f t="array" ref="E110">INDEX(FX_Multi,$AD110,E$3)</f>
        <v>Jet kerosene</v>
      </c>
      <c r="F110" t="str" cm="1">
        <f t="array" ref="F110">INDEX(FX_Multi,$AD110,F$3)</f>
        <v>Jet kerosene</v>
      </c>
      <c r="G110" t="str" cm="1">
        <f t="array" ref="G110">INDEX(FX_Multi,$AD110,G$3)</f>
        <v>Jet kerosene</v>
      </c>
      <c r="H110" t="str" cm="1">
        <f t="array" ref="H110">INDEX(FX_Multi,$AD110,H$3)</f>
        <v>Jet kerosene</v>
      </c>
      <c r="I110" t="str" cm="1">
        <f t="array" ref="I110">INDEX(FX_Multi,$AD110,I$3)</f>
        <v>Jet kerosene</v>
      </c>
      <c r="J110" t="str" cm="1">
        <f t="array" ref="J110">INDEX(FX_Multi,$AD110,J$3)</f>
        <v>Jet kerosene</v>
      </c>
      <c r="K110" t="str" cm="1">
        <f t="array" ref="K110">INDEX(FX_Multi,$AD110,K$3)</f>
        <v>Jet kerosene</v>
      </c>
      <c r="L110" t="str" cm="1">
        <f t="array" ref="L110">INDEX(FX_Multi,$AD110,L$3)</f>
        <v>Jet kerosene</v>
      </c>
      <c r="M110" t="str" cm="1">
        <f t="array" ref="M110">INDEX(FX_Multi,$AD110,M$3)</f>
        <v>Jet kerosene</v>
      </c>
      <c r="N110" t="str" cm="1">
        <f t="array" ref="N110">INDEX(FX_Multi,$AD110,N$3)</f>
        <v>Jet kerosene</v>
      </c>
      <c r="O110" t="str" cm="1">
        <f t="array" ref="O110">INDEX(FX_Multi,$AD110,O$3)</f>
        <v>Jet kerosene</v>
      </c>
      <c r="AC110">
        <v>1</v>
      </c>
      <c r="AD110">
        <f>AD107</f>
        <v>43</v>
      </c>
      <c r="AE110">
        <v>1</v>
      </c>
      <c r="AF110">
        <f>AF107</f>
        <v>43</v>
      </c>
    </row>
    <row r="111" spans="1:32" x14ac:dyDescent="0.4">
      <c r="B111" t="str">
        <f t="shared" si="274"/>
        <v>Portland</v>
      </c>
      <c r="C111" s="66" t="s">
        <v>566</v>
      </c>
      <c r="D111" t="str" cm="1">
        <f t="array" ref="D111">INDEX(FX_Multi,$AD111,D$3)</f>
        <v>Select Pet Stock</v>
      </c>
      <c r="E111" t="str" cm="1">
        <f t="array" ref="E111">INDEX(FX_Multi,$AD111,E$3)</f>
        <v>Select Pet Stock</v>
      </c>
      <c r="F111" t="str" cm="1">
        <f t="array" ref="F111">INDEX(FX_Multi,$AD111,F$3)</f>
        <v>Select Pet Stock</v>
      </c>
      <c r="G111" t="str" cm="1">
        <f t="array" ref="G111">INDEX(FX_Multi,$AD111,G$3)</f>
        <v>Select Pet Stock</v>
      </c>
      <c r="H111" t="str" cm="1">
        <f t="array" ref="H111">INDEX(FX_Multi,$AD111,H$3)</f>
        <v>Select Pet Stock</v>
      </c>
      <c r="I111" t="str" cm="1">
        <f t="array" ref="I111">INDEX(FX_Multi,$AD111,I$3)</f>
        <v>Select Pet Stock</v>
      </c>
      <c r="J111" t="str" cm="1">
        <f t="array" ref="J111">INDEX(FX_Multi,$AD111,J$3)</f>
        <v>Select Pet Stock</v>
      </c>
      <c r="K111" t="str" cm="1">
        <f t="array" ref="K111">INDEX(FX_Multi,$AD111,K$3)</f>
        <v>Select Pet Stock</v>
      </c>
      <c r="L111" t="str" cm="1">
        <f t="array" ref="L111">INDEX(FX_Multi,$AD111,L$3)</f>
        <v>Select Pet Stock</v>
      </c>
      <c r="M111" t="str" cm="1">
        <f t="array" ref="M111">INDEX(FX_Multi,$AD111,M$3)</f>
        <v>Select Pet Stock</v>
      </c>
      <c r="N111" t="str" cm="1">
        <f t="array" ref="N111">INDEX(FX_Multi,$AD111,N$3)</f>
        <v>Select Pet Stock</v>
      </c>
      <c r="O111" t="str" cm="1">
        <f t="array" ref="O111">INDEX(FX_Multi,$AD111,O$3)</f>
        <v>Select Pet Stock</v>
      </c>
      <c r="AC111">
        <v>1</v>
      </c>
      <c r="AD111">
        <f>AD110+2</f>
        <v>45</v>
      </c>
      <c r="AE111">
        <v>1</v>
      </c>
      <c r="AF111">
        <f>AF110+3</f>
        <v>46</v>
      </c>
    </row>
    <row r="112" spans="1:32" x14ac:dyDescent="0.4">
      <c r="B112" t="str">
        <f>B108</f>
        <v>Portland</v>
      </c>
      <c r="C112" s="66" t="s">
        <v>568</v>
      </c>
      <c r="D112" cm="1">
        <f t="array" ref="D112">INDEX(FX_Multi,$AD112,D$3)</f>
        <v>0</v>
      </c>
      <c r="E112" cm="1">
        <f t="array" ref="E112">INDEX(FX_Multi,$AD112,E$3)</f>
        <v>0</v>
      </c>
      <c r="F112" cm="1">
        <f t="array" ref="F112">INDEX(FX_Multi,$AD112,F$3)</f>
        <v>0</v>
      </c>
      <c r="G112" cm="1">
        <f t="array" ref="G112">INDEX(FX_Multi,$AD112,G$3)</f>
        <v>0</v>
      </c>
      <c r="H112" cm="1">
        <f t="array" ref="H112">INDEX(FX_Multi,$AD112,H$3)</f>
        <v>0</v>
      </c>
      <c r="I112" cm="1">
        <f t="array" ref="I112">INDEX(FX_Multi,$AD112,I$3)</f>
        <v>0</v>
      </c>
      <c r="J112" cm="1">
        <f t="array" ref="J112">INDEX(FX_Multi,$AD112,J$3)</f>
        <v>0</v>
      </c>
      <c r="K112" cm="1">
        <f t="array" ref="K112">INDEX(FX_Multi,$AD112,K$3)</f>
        <v>0</v>
      </c>
      <c r="L112" cm="1">
        <f t="array" ref="L112">INDEX(FX_Multi,$AD112,L$3)</f>
        <v>0</v>
      </c>
      <c r="M112" cm="1">
        <f t="array" ref="M112">INDEX(FX_Multi,$AD112,M$3)</f>
        <v>0</v>
      </c>
      <c r="N112" cm="1">
        <f t="array" ref="N112">INDEX(FX_Multi,$AD112,N$3)</f>
        <v>0</v>
      </c>
      <c r="O112" cm="1">
        <f t="array" ref="O112">INDEX(FX_Multi,$AD112,O$3)</f>
        <v>0</v>
      </c>
      <c r="AC112">
        <v>1</v>
      </c>
      <c r="AD112">
        <f>AD111-1</f>
        <v>44</v>
      </c>
      <c r="AE112">
        <v>1</v>
      </c>
      <c r="AF112">
        <f>AF110+1</f>
        <v>44</v>
      </c>
    </row>
    <row r="113" spans="2:32" x14ac:dyDescent="0.4">
      <c r="B113" t="str">
        <f t="shared" ref="B113:B117" si="275">B112</f>
        <v>Portland</v>
      </c>
      <c r="C113" s="66" t="s">
        <v>569</v>
      </c>
      <c r="D113" cm="1">
        <f t="array" ref="D113">INDEX(FX_Multi,$AD113,D$3)</f>
        <v>0</v>
      </c>
      <c r="E113" cm="1">
        <f t="array" ref="E113">INDEX(FX_Multi,$AD113,E$3)</f>
        <v>0</v>
      </c>
      <c r="F113" cm="1">
        <f t="array" ref="F113">INDEX(FX_Multi,$AD113,F$3)</f>
        <v>0</v>
      </c>
      <c r="G113" cm="1">
        <f t="array" ref="G113">INDEX(FX_Multi,$AD113,G$3)</f>
        <v>0</v>
      </c>
      <c r="H113" cm="1">
        <f t="array" ref="H113">INDEX(FX_Multi,$AD113,H$3)</f>
        <v>0</v>
      </c>
      <c r="I113" cm="1">
        <f t="array" ref="I113">INDEX(FX_Multi,$AD113,I$3)</f>
        <v>0</v>
      </c>
      <c r="J113" cm="1">
        <f t="array" ref="J113">INDEX(FX_Multi,$AD113,J$3)</f>
        <v>0</v>
      </c>
      <c r="K113" cm="1">
        <f t="array" ref="K113">INDEX(FX_Multi,$AD113,K$3)</f>
        <v>0</v>
      </c>
      <c r="L113" cm="1">
        <f t="array" ref="L113">INDEX(FX_Multi,$AD113,L$3)</f>
        <v>0</v>
      </c>
      <c r="M113" cm="1">
        <f t="array" ref="M113">INDEX(FX_Multi,$AD113,M$3)</f>
        <v>0</v>
      </c>
      <c r="N113" cm="1">
        <f t="array" ref="N113">INDEX(FX_Multi,$AD113,N$3)</f>
        <v>0</v>
      </c>
      <c r="O113" cm="1">
        <f t="array" ref="O113">INDEX(FX_Multi,$AD113,O$3)</f>
        <v>0</v>
      </c>
      <c r="AC113">
        <v>1</v>
      </c>
      <c r="AD113">
        <f>AD112+2</f>
        <v>46</v>
      </c>
      <c r="AE113">
        <v>1</v>
      </c>
      <c r="AF113">
        <f>AF111</f>
        <v>46</v>
      </c>
    </row>
    <row r="114" spans="2:32" ht="17.149999999999999" x14ac:dyDescent="0.55000000000000004">
      <c r="B114" t="str">
        <f t="shared" si="275"/>
        <v>Portland</v>
      </c>
      <c r="C114" t="s">
        <v>570</v>
      </c>
      <c r="D114" cm="1">
        <f t="array" ref="D114">INDEX(FX_Multi,$AD114,D$3)</f>
        <v>1</v>
      </c>
      <c r="E114" cm="1">
        <f t="array" ref="E114">INDEX(FX_Multi,$AD114,E$3)</f>
        <v>1</v>
      </c>
      <c r="F114" cm="1">
        <f t="array" ref="F114">INDEX(FX_Multi,$AD114,F$3)</f>
        <v>1</v>
      </c>
      <c r="G114" cm="1">
        <f t="array" ref="G114">INDEX(FX_Multi,$AD114,G$3)</f>
        <v>1</v>
      </c>
      <c r="H114" cm="1">
        <f t="array" ref="H114">INDEX(FX_Multi,$AD114,H$3)</f>
        <v>1</v>
      </c>
      <c r="I114" cm="1">
        <f t="array" ref="I114">INDEX(FX_Multi,$AD114,I$3)</f>
        <v>1</v>
      </c>
      <c r="J114" cm="1">
        <f t="array" ref="J114">INDEX(FX_Multi,$AD114,J$3)</f>
        <v>1</v>
      </c>
      <c r="K114" cm="1">
        <f t="array" ref="K114">INDEX(FX_Multi,$AD114,K$3)</f>
        <v>1</v>
      </c>
      <c r="L114" cm="1">
        <f t="array" ref="L114">INDEX(FX_Multi,$AD114,L$3)</f>
        <v>1</v>
      </c>
      <c r="M114" cm="1">
        <f t="array" ref="M114">INDEX(FX_Multi,$AD114,M$3)</f>
        <v>1</v>
      </c>
      <c r="N114" cm="1">
        <f t="array" ref="N114">INDEX(FX_Multi,$AD114,N$3)</f>
        <v>1</v>
      </c>
      <c r="O114" cm="1">
        <f t="array" ref="O114">INDEX(FX_Multi,$AD114,O$3)</f>
        <v>1</v>
      </c>
      <c r="AC114">
        <v>1</v>
      </c>
      <c r="AD114">
        <f>AD113+6</f>
        <v>52</v>
      </c>
      <c r="AE114">
        <v>1</v>
      </c>
      <c r="AF114">
        <f>AF110+9</f>
        <v>52</v>
      </c>
    </row>
    <row r="115" spans="2:32" ht="17.149999999999999" x14ac:dyDescent="0.55000000000000004">
      <c r="B115" t="str">
        <f t="shared" si="275"/>
        <v>Portland</v>
      </c>
      <c r="C115" t="s">
        <v>571</v>
      </c>
      <c r="D115" cm="1">
        <f t="array" ref="D115">INDEX(FX_Multi,$AD115,D$3)</f>
        <v>162</v>
      </c>
      <c r="E115" cm="1">
        <f t="array" ref="E115">INDEX(FX_Multi,$AD115,E$3)</f>
        <v>162</v>
      </c>
      <c r="F115" cm="1">
        <f t="array" ref="F115">INDEX(FX_Multi,$AD115,F$3)</f>
        <v>162</v>
      </c>
      <c r="G115" cm="1">
        <f t="array" ref="G115">INDEX(FX_Multi,$AD115,G$3)</f>
        <v>162</v>
      </c>
      <c r="H115" cm="1">
        <f t="array" ref="H115">INDEX(FX_Multi,$AD115,H$3)</f>
        <v>162</v>
      </c>
      <c r="I115" cm="1">
        <f t="array" ref="I115">INDEX(FX_Multi,$AD115,I$3)</f>
        <v>162</v>
      </c>
      <c r="J115" cm="1">
        <f t="array" ref="J115">INDEX(FX_Multi,$AD115,J$3)</f>
        <v>162</v>
      </c>
      <c r="K115" cm="1">
        <f t="array" ref="K115">INDEX(FX_Multi,$AD115,K$3)</f>
        <v>162</v>
      </c>
      <c r="L115" cm="1">
        <f t="array" ref="L115">INDEX(FX_Multi,$AD115,L$3)</f>
        <v>162</v>
      </c>
      <c r="M115" cm="1">
        <f t="array" ref="M115">INDEX(FX_Multi,$AD115,M$3)</f>
        <v>162</v>
      </c>
      <c r="N115" cm="1">
        <f t="array" ref="N115">INDEX(FX_Multi,$AD115,N$3)</f>
        <v>162</v>
      </c>
      <c r="O115" cm="1">
        <f t="array" ref="O115">INDEX(FX_Multi,$AD115,O$3)</f>
        <v>162</v>
      </c>
      <c r="AC115">
        <v>1</v>
      </c>
      <c r="AD115">
        <f>AD114-3</f>
        <v>49</v>
      </c>
      <c r="AE115">
        <v>1</v>
      </c>
      <c r="AF115">
        <f>AF110+6</f>
        <v>49</v>
      </c>
    </row>
    <row r="116" spans="2:32" ht="17.149999999999999" x14ac:dyDescent="0.55000000000000004">
      <c r="B116" t="str">
        <f t="shared" si="275"/>
        <v>Portland</v>
      </c>
      <c r="C116" t="s">
        <v>572</v>
      </c>
      <c r="D116" cm="1">
        <f t="array" ref="D116">INDEX(FX_Multi,$AD116,D$3)</f>
        <v>0</v>
      </c>
      <c r="E116" cm="1">
        <f t="array" ref="E116">INDEX(FX_Multi,$AD116,E$3)</f>
        <v>0</v>
      </c>
      <c r="F116" cm="1">
        <f t="array" ref="F116">INDEX(FX_Multi,$AD116,F$3)</f>
        <v>0</v>
      </c>
      <c r="G116" cm="1">
        <f t="array" ref="G116">INDEX(FX_Multi,$AD116,G$3)</f>
        <v>0</v>
      </c>
      <c r="H116" cm="1">
        <f t="array" ref="H116">INDEX(FX_Multi,$AD116,H$3)</f>
        <v>0</v>
      </c>
      <c r="I116" cm="1">
        <f t="array" ref="I116">INDEX(FX_Multi,$AD116,I$3)</f>
        <v>0</v>
      </c>
      <c r="J116" cm="1">
        <f t="array" ref="J116">INDEX(FX_Multi,$AD116,J$3)</f>
        <v>0</v>
      </c>
      <c r="K116" cm="1">
        <f t="array" ref="K116">INDEX(FX_Multi,$AD116,K$3)</f>
        <v>0</v>
      </c>
      <c r="L116" cm="1">
        <f t="array" ref="L116">INDEX(FX_Multi,$AD116,L$3)</f>
        <v>0</v>
      </c>
      <c r="M116" cm="1">
        <f t="array" ref="M116">INDEX(FX_Multi,$AD116,M$3)</f>
        <v>0</v>
      </c>
      <c r="N116" cm="1">
        <f t="array" ref="N116">INDEX(FX_Multi,$AD116,N$3)</f>
        <v>0</v>
      </c>
      <c r="O116" cm="1">
        <f t="array" ref="O116">INDEX(FX_Multi,$AD116,O$3)</f>
        <v>0</v>
      </c>
      <c r="AC116">
        <v>1</v>
      </c>
      <c r="AD116">
        <f>AD115+4</f>
        <v>53</v>
      </c>
      <c r="AE116">
        <v>1</v>
      </c>
      <c r="AF116">
        <f>AF110+10</f>
        <v>53</v>
      </c>
    </row>
    <row r="117" spans="2:32" ht="17.149999999999999" x14ac:dyDescent="0.55000000000000004">
      <c r="B117" t="str">
        <f t="shared" si="275"/>
        <v>Portland</v>
      </c>
      <c r="C117" t="s">
        <v>573</v>
      </c>
      <c r="D117" cm="1">
        <f t="array" ref="D117">INDEX(FX_Multi,$AD117,D$3)</f>
        <v>0</v>
      </c>
      <c r="E117" cm="1">
        <f t="array" ref="E117">INDEX(FX_Multi,$AD117,E$3)</f>
        <v>0</v>
      </c>
      <c r="F117" cm="1">
        <f t="array" ref="F117">INDEX(FX_Multi,$AD117,F$3)</f>
        <v>0</v>
      </c>
      <c r="G117" cm="1">
        <f t="array" ref="G117">INDEX(FX_Multi,$AD117,G$3)</f>
        <v>0</v>
      </c>
      <c r="H117" cm="1">
        <f t="array" ref="H117">INDEX(FX_Multi,$AD117,H$3)</f>
        <v>0</v>
      </c>
      <c r="I117" cm="1">
        <f t="array" ref="I117">INDEX(FX_Multi,$AD117,I$3)</f>
        <v>0</v>
      </c>
      <c r="J117" cm="1">
        <f t="array" ref="J117">INDEX(FX_Multi,$AD117,J$3)</f>
        <v>0</v>
      </c>
      <c r="K117" cm="1">
        <f t="array" ref="K117">INDEX(FX_Multi,$AD117,K$3)</f>
        <v>0</v>
      </c>
      <c r="L117" cm="1">
        <f t="array" ref="L117">INDEX(FX_Multi,$AD117,L$3)</f>
        <v>0</v>
      </c>
      <c r="M117" cm="1">
        <f t="array" ref="M117">INDEX(FX_Multi,$AD117,M$3)</f>
        <v>0</v>
      </c>
      <c r="N117" cm="1">
        <f t="array" ref="N117">INDEX(FX_Multi,$AD117,N$3)</f>
        <v>0</v>
      </c>
      <c r="O117" cm="1">
        <f t="array" ref="O117">INDEX(FX_Multi,$AD117,O$3)</f>
        <v>0</v>
      </c>
      <c r="AC117">
        <v>1</v>
      </c>
      <c r="AD117">
        <f>AD116-3</f>
        <v>50</v>
      </c>
      <c r="AE117">
        <v>1</v>
      </c>
      <c r="AF117">
        <f>AF110+7</f>
        <v>50</v>
      </c>
    </row>
    <row r="118" spans="2:32" ht="17.149999999999999" x14ac:dyDescent="0.55000000000000004">
      <c r="B118" t="str">
        <f>B113</f>
        <v>Portland</v>
      </c>
      <c r="C118" t="s">
        <v>526</v>
      </c>
      <c r="D118" cm="1">
        <f t="array" ref="D118">INDEX(FX_Temps,$AF118,D$3)</f>
        <v>43.899999999999977</v>
      </c>
      <c r="E118" cm="1">
        <f t="array" ref="E118">INDEX(FX_Temps,$AF118,E$3)</f>
        <v>44.700000000000045</v>
      </c>
      <c r="F118" cm="1">
        <f t="array" ref="F118">INDEX(FX_Temps,$AF118,F$3)</f>
        <v>46.100000000000023</v>
      </c>
      <c r="G118" cm="1">
        <f t="array" ref="G118">INDEX(FX_Temps,$AF118,G$3)</f>
        <v>48.599999999999966</v>
      </c>
      <c r="H118" cm="1">
        <f t="array" ref="H118">INDEX(FX_Temps,$AF118,H$3)</f>
        <v>53.149999999999977</v>
      </c>
      <c r="I118" cm="1">
        <f t="array" ref="I118">INDEX(FX_Temps,$AF118,I$3)</f>
        <v>56.950000000000045</v>
      </c>
      <c r="J118" cm="1">
        <f t="array" ref="J118">INDEX(FX_Temps,$AF118,J$3)</f>
        <v>60.449999999999932</v>
      </c>
      <c r="K118" cm="1">
        <f t="array" ref="K118">INDEX(FX_Temps,$AF118,K$3)</f>
        <v>60.899999999999977</v>
      </c>
      <c r="L118" cm="1">
        <f t="array" ref="L118">INDEX(FX_Temps,$AF118,L$3)</f>
        <v>58.600000000000023</v>
      </c>
      <c r="M118" cm="1">
        <f t="array" ref="M118">INDEX(FX_Temps,$AF118,M$3)</f>
        <v>52.649999999999977</v>
      </c>
      <c r="N118" cm="1">
        <f t="array" ref="N118">INDEX(FX_Temps,$AF118,N$3)</f>
        <v>47.100000000000023</v>
      </c>
      <c r="O118" cm="1">
        <f t="array" ref="O118">INDEX(FX_Temps,$AF118,O$3)</f>
        <v>43.600000000000023</v>
      </c>
      <c r="AE118">
        <v>1</v>
      </c>
      <c r="AF118">
        <f>AF110+10</f>
        <v>53</v>
      </c>
    </row>
    <row r="119" spans="2:32" ht="17.149999999999999" x14ac:dyDescent="0.55000000000000004">
      <c r="B119" t="str">
        <f t="shared" ref="B119:B140" si="276">B118</f>
        <v>Portland</v>
      </c>
      <c r="C119" t="s">
        <v>527</v>
      </c>
      <c r="D119" cm="1">
        <f t="array" ref="D119">INDEX(FX_Temps,$AF119,D$3)</f>
        <v>43.899999999999977</v>
      </c>
      <c r="E119" cm="1">
        <f t="array" ref="E119">INDEX(FX_Temps,$AF119,E$3)</f>
        <v>44.700000000000045</v>
      </c>
      <c r="F119" cm="1">
        <f t="array" ref="F119">INDEX(FX_Temps,$AF119,F$3)</f>
        <v>46.100000000000023</v>
      </c>
      <c r="G119" cm="1">
        <f t="array" ref="G119">INDEX(FX_Temps,$AF119,G$3)</f>
        <v>48.599999999999966</v>
      </c>
      <c r="H119" cm="1">
        <f t="array" ref="H119">INDEX(FX_Temps,$AF119,H$3)</f>
        <v>53.149999999999977</v>
      </c>
      <c r="I119" cm="1">
        <f t="array" ref="I119">INDEX(FX_Temps,$AF119,I$3)</f>
        <v>56.950000000000045</v>
      </c>
      <c r="J119" cm="1">
        <f t="array" ref="J119">INDEX(FX_Temps,$AF119,J$3)</f>
        <v>60.449999999999932</v>
      </c>
      <c r="K119" cm="1">
        <f t="array" ref="K119">INDEX(FX_Temps,$AF119,K$3)</f>
        <v>60.899999999999977</v>
      </c>
      <c r="L119" cm="1">
        <f t="array" ref="L119">INDEX(FX_Temps,$AF119,L$3)</f>
        <v>58.600000000000023</v>
      </c>
      <c r="M119" cm="1">
        <f t="array" ref="M119">INDEX(FX_Temps,$AF119,M$3)</f>
        <v>52.649999999999977</v>
      </c>
      <c r="N119" cm="1">
        <f t="array" ref="N119">INDEX(FX_Temps,$AF119,N$3)</f>
        <v>47.100000000000023</v>
      </c>
      <c r="O119" cm="1">
        <f t="array" ref="O119">INDEX(FX_Temps,$AF119,O$3)</f>
        <v>43.600000000000023</v>
      </c>
      <c r="AE119">
        <f>AE118</f>
        <v>1</v>
      </c>
      <c r="AF119">
        <f>AF110+11</f>
        <v>54</v>
      </c>
    </row>
    <row r="120" spans="2:32" ht="17.149999999999999" x14ac:dyDescent="0.55000000000000004">
      <c r="B120" t="str">
        <f t="shared" si="276"/>
        <v>Portland</v>
      </c>
      <c r="C120" t="s">
        <v>552</v>
      </c>
      <c r="D120" cm="1">
        <f t="array" ref="D120">INDEX(FX_Temps,$AF120,D$3)</f>
        <v>43.899999999999977</v>
      </c>
      <c r="E120" cm="1">
        <f t="array" ref="E120">INDEX(FX_Temps,$AF120,E$3)</f>
        <v>44.700000000000045</v>
      </c>
      <c r="F120" cm="1">
        <f t="array" ref="F120">INDEX(FX_Temps,$AF120,F$3)</f>
        <v>46.100000000000023</v>
      </c>
      <c r="G120" cm="1">
        <f t="array" ref="G120">INDEX(FX_Temps,$AF120,G$3)</f>
        <v>48.599999999999966</v>
      </c>
      <c r="H120" cm="1">
        <f t="array" ref="H120">INDEX(FX_Temps,$AF120,H$3)</f>
        <v>53.149999999999977</v>
      </c>
      <c r="I120" cm="1">
        <f t="array" ref="I120">INDEX(FX_Temps,$AF120,I$3)</f>
        <v>56.950000000000045</v>
      </c>
      <c r="J120" cm="1">
        <f t="array" ref="J120">INDEX(FX_Temps,$AF120,J$3)</f>
        <v>60.449999999999932</v>
      </c>
      <c r="K120" cm="1">
        <f t="array" ref="K120">INDEX(FX_Temps,$AF120,K$3)</f>
        <v>60.899999999999977</v>
      </c>
      <c r="L120" cm="1">
        <f t="array" ref="L120">INDEX(FX_Temps,$AF120,L$3)</f>
        <v>58.600000000000023</v>
      </c>
      <c r="M120" cm="1">
        <f t="array" ref="M120">INDEX(FX_Temps,$AF120,M$3)</f>
        <v>52.649999999999977</v>
      </c>
      <c r="N120" cm="1">
        <f t="array" ref="N120">INDEX(FX_Temps,$AF120,N$3)</f>
        <v>47.100000000000023</v>
      </c>
      <c r="O120" cm="1">
        <f t="array" ref="O120">INDEX(FX_Temps,$AF120,O$3)</f>
        <v>43.600000000000023</v>
      </c>
      <c r="AE120">
        <f>AE119</f>
        <v>1</v>
      </c>
      <c r="AF120">
        <f>AF110+13</f>
        <v>56</v>
      </c>
    </row>
    <row r="121" spans="2:32" ht="17.149999999999999" x14ac:dyDescent="0.55000000000000004">
      <c r="B121" t="str">
        <f t="shared" si="276"/>
        <v>Portland</v>
      </c>
      <c r="C121" t="s">
        <v>574</v>
      </c>
      <c r="D121" cm="1">
        <f t="array" ref="D121">IFERROR(IF(D111="Chemical",(10^(INDEX(Antoines,MATCH(D110,Antoine_Name,0),2)-INDEX(Antoines,MATCH(D110,Antoine_Name,0),3)/(INDEX(Antoines,MATCH(D110,Antoine_Name,0),4)+(D118-32)*5/9)))*14.7/760,IF(D111="Crude Oil",EXP((2799/(D118+459.6)-2.227)*LOG10(INDEX(FX_Input,Q$5,D$3*$Z$5+$AA$5))-(7261/(D118+459.6))+12.82),IF(D111="Refined Petroleum Stock",EXP((0.7553-(413/(D118+459.6)))*(INDEX(FX_Input,Q$5,D$3*$Z$5+$AA$5-1)^0.5)*LOG10(INDEX(FX_Input,Q$5,D$3*$Z$5+$AA$5))-(1.854-(1042/(D118+459.6)))*(INDEX(FX_Input,Q$5,D$3*$Z$5+$AA$5-1)^0.5)+((2416/(D118+459.6)-2.013)*LOG10(INDEX(FX_Input,Q$5,D$3*$Z$5+$AA$5)))-(8742/(D118+459.6))+15.64),EXP(INDEX(Antoines,MATCH(D110,Antoine_Name,0),2)-INDEX(Antoines,MATCH(D110,Antoine_Name,0),3)/(D118+459.6))))),0)</f>
        <v>4.739577185808354E-3</v>
      </c>
      <c r="E121" cm="1">
        <f t="array" ref="E121">IFERROR(IF(E111="Chemical",(10^(INDEX(Antoines,MATCH(E110,Antoine_Name,0),2)-INDEX(Antoines,MATCH(E110,Antoine_Name,0),3)/(INDEX(Antoines,MATCH(E110,Antoine_Name,0),4)+(E118-32)*5/9)))*14.7/760,IF(E111="Crude Oil",EXP((2799/(E118+459.6)-2.227)*LOG10(INDEX(FX_Input,R$5,E$3*$Z$5+$AA$5))-(7261/(E118+459.6))+12.82),IF(E111="Refined Petroleum Stock",EXP((0.7553-(413/(E118+459.6)))*(INDEX(FX_Input,R$5,E$3*$Z$5+$AA$5-1)^0.5)*LOG10(INDEX(FX_Input,R$5,E$3*$Z$5+$AA$5))-(1.854-(1042/(E118+459.6)))*(INDEX(FX_Input,R$5,E$3*$Z$5+$AA$5-1)^0.5)+((2416/(E118+459.6)-2.013)*LOG10(INDEX(FX_Input,R$5,E$3*$Z$5+$AA$5)))-(8742/(E118+459.6))+15.64),EXP(INDEX(Antoines,MATCH(E110,Antoine_Name,0),2)-INDEX(Antoines,MATCH(E110,Antoine_Name,0),3)/(E118+459.6))))),0)</f>
        <v>4.8748667780818778E-3</v>
      </c>
      <c r="F121" cm="1">
        <f t="array" ref="F121">IFERROR(IF(F111="Chemical",(10^(INDEX(Antoines,MATCH(F110,Antoine_Name,0),2)-INDEX(Antoines,MATCH(F110,Antoine_Name,0),3)/(INDEX(Antoines,MATCH(F110,Antoine_Name,0),4)+(F118-32)*5/9)))*14.7/760,IF(F111="Crude Oil",EXP((2799/(F118+459.6)-2.227)*LOG10(INDEX(FX_Input,S$5,F$3*$Z$5+$AA$5))-(7261/(F118+459.6))+12.82),IF(F111="Refined Petroleum Stock",EXP((0.7553-(413/(F118+459.6)))*(INDEX(FX_Input,S$5,F$3*$Z$5+$AA$5-1)^0.5)*LOG10(INDEX(FX_Input,S$5,F$3*$Z$5+$AA$5))-(1.854-(1042/(F118+459.6)))*(INDEX(FX_Input,S$5,F$3*$Z$5+$AA$5-1)^0.5)+((2416/(F118+459.6)-2.013)*LOG10(INDEX(FX_Input,S$5,F$3*$Z$5+$AA$5)))-(8742/(F118+459.6))+15.64),EXP(INDEX(Antoines,MATCH(F110,Antoine_Name,0),2)-INDEX(Antoines,MATCH(F110,Antoine_Name,0),3)/(F118+459.6))))),0)</f>
        <v>5.119885034186122E-3</v>
      </c>
      <c r="G121" cm="1">
        <f t="array" ref="G121">IFERROR(IF(G111="Chemical",(10^(INDEX(Antoines,MATCH(G110,Antoine_Name,0),2)-INDEX(Antoines,MATCH(G110,Antoine_Name,0),3)/(INDEX(Antoines,MATCH(G110,Antoine_Name,0),4)+(G118-32)*5/9)))*14.7/760,IF(G111="Crude Oil",EXP((2799/(G118+459.6)-2.227)*LOG10(INDEX(FX_Input,T$5,G$3*$Z$5+$AA$5))-(7261/(G118+459.6))+12.82),IF(G111="Refined Petroleum Stock",EXP((0.7553-(413/(G118+459.6)))*(INDEX(FX_Input,T$5,G$3*$Z$5+$AA$5-1)^0.5)*LOG10(INDEX(FX_Input,T$5,G$3*$Z$5+$AA$5))-(1.854-(1042/(G118+459.6)))*(INDEX(FX_Input,T$5,G$3*$Z$5+$AA$5-1)^0.5)+((2416/(G118+459.6)-2.013)*LOG10(INDEX(FX_Input,T$5,G$3*$Z$5+$AA$5)))-(8742/(G118+459.6))+15.64),EXP(INDEX(Antoines,MATCH(G110,Antoine_Name,0),2)-INDEX(Antoines,MATCH(G110,Antoine_Name,0),3)/(G118+459.6))))),0)</f>
        <v>5.5846958573521795E-3</v>
      </c>
      <c r="H121" cm="1">
        <f t="array" ref="H121">IFERROR(IF(H111="Chemical",(10^(INDEX(Antoines,MATCH(H110,Antoine_Name,0),2)-INDEX(Antoines,MATCH(H110,Antoine_Name,0),3)/(INDEX(Antoines,MATCH(H110,Antoine_Name,0),4)+(H118-32)*5/9)))*14.7/760,IF(H111="Crude Oil",EXP((2799/(H118+459.6)-2.227)*LOG10(INDEX(FX_Input,U$5,H$3*$Z$5+$AA$5))-(7261/(H118+459.6))+12.82),IF(H111="Refined Petroleum Stock",EXP((0.7553-(413/(H118+459.6)))*(INDEX(FX_Input,U$5,H$3*$Z$5+$AA$5-1)^0.5)*LOG10(INDEX(FX_Input,U$5,H$3*$Z$5+$AA$5))-(1.854-(1042/(H118+459.6)))*(INDEX(FX_Input,U$5,H$3*$Z$5+$AA$5-1)^0.5)+((2416/(H118+459.6)-2.013)*LOG10(INDEX(FX_Input,U$5,H$3*$Z$5+$AA$5)))-(8742/(H118+459.6))+15.64),EXP(INDEX(Antoines,MATCH(H110,Antoine_Name,0),2)-INDEX(Antoines,MATCH(H110,Antoine_Name,0),3)/(H118+459.6))))),0)</f>
        <v>6.5274070972739821E-3</v>
      </c>
      <c r="I121" cm="1">
        <f t="array" ref="I121">IFERROR(IF(I111="Chemical",(10^(INDEX(Antoines,MATCH(I110,Antoine_Name,0),2)-INDEX(Antoines,MATCH(I110,Antoine_Name,0),3)/(INDEX(Antoines,MATCH(I110,Antoine_Name,0),4)+(I118-32)*5/9)))*14.7/760,IF(I111="Crude Oil",EXP((2799/(I118+459.6)-2.227)*LOG10(INDEX(FX_Input,V$5,I$3*$Z$5+$AA$5))-(7261/(I118+459.6))+12.82),IF(I111="Refined Petroleum Stock",EXP((0.7553-(413/(I118+459.6)))*(INDEX(FX_Input,V$5,I$3*$Z$5+$AA$5-1)^0.5)*LOG10(INDEX(FX_Input,V$5,I$3*$Z$5+$AA$5))-(1.854-(1042/(I118+459.6)))*(INDEX(FX_Input,V$5,I$3*$Z$5+$AA$5-1)^0.5)+((2416/(I118+459.6)-2.013)*LOG10(INDEX(FX_Input,V$5,I$3*$Z$5+$AA$5)))-(8742/(I118+459.6))+15.64),EXP(INDEX(Antoines,MATCH(I110,Antoine_Name,0),2)-INDEX(Antoines,MATCH(I110,Antoine_Name,0),3)/(I118+459.6))))),0)</f>
        <v>7.4199539958878279E-3</v>
      </c>
      <c r="J121" cm="1">
        <f t="array" ref="J121">IFERROR(IF(J111="Chemical",(10^(INDEX(Antoines,MATCH(J110,Antoine_Name,0),2)-INDEX(Antoines,MATCH(J110,Antoine_Name,0),3)/(INDEX(Antoines,MATCH(J110,Antoine_Name,0),4)+(J118-32)*5/9)))*14.7/760,IF(J111="Crude Oil",EXP((2799/(J118+459.6)-2.227)*LOG10(INDEX(FX_Input,W$5,J$3*$Z$5+$AA$5))-(7261/(J118+459.6))+12.82),IF(J111="Refined Petroleum Stock",EXP((0.7553-(413/(J118+459.6)))*(INDEX(FX_Input,W$5,J$3*$Z$5+$AA$5-1)^0.5)*LOG10(INDEX(FX_Input,W$5,J$3*$Z$5+$AA$5))-(1.854-(1042/(J118+459.6)))*(INDEX(FX_Input,W$5,J$3*$Z$5+$AA$5-1)^0.5)+((2416/(J118+459.6)-2.013)*LOG10(INDEX(FX_Input,W$5,J$3*$Z$5+$AA$5)))-(8742/(J118+459.6))+15.64),EXP(INDEX(Antoines,MATCH(J110,Antoine_Name,0),2)-INDEX(Antoines,MATCH(J110,Antoine_Name,0),3)/(J118+459.6))))),0)</f>
        <v>8.3358107202842254E-3</v>
      </c>
      <c r="K121" cm="1">
        <f t="array" ref="K121">IFERROR(IF(K111="Chemical",(10^(INDEX(Antoines,MATCH(K110,Antoine_Name,0),2)-INDEX(Antoines,MATCH(K110,Antoine_Name,0),3)/(INDEX(Antoines,MATCH(K110,Antoine_Name,0),4)+(K118-32)*5/9)))*14.7/760,IF(K111="Crude Oil",EXP((2799/(K118+459.6)-2.227)*LOG10(INDEX(FX_Input,X$5,K$3*$Z$5+$AA$5))-(7261/(K118+459.6))+12.82),IF(K111="Refined Petroleum Stock",EXP((0.7553-(413/(K118+459.6)))*(INDEX(FX_Input,X$5,K$3*$Z$5+$AA$5-1)^0.5)*LOG10(INDEX(FX_Input,X$5,K$3*$Z$5+$AA$5))-(1.854-(1042/(K118+459.6)))*(INDEX(FX_Input,X$5,K$3*$Z$5+$AA$5-1)^0.5)+((2416/(K118+459.6)-2.013)*LOG10(INDEX(FX_Input,X$5,K$3*$Z$5+$AA$5)))-(8742/(K118+459.6))+15.64),EXP(INDEX(Antoines,MATCH(K110,Antoine_Name,0),2)-INDEX(Antoines,MATCH(K110,Antoine_Name,0),3)/(K118+459.6))))),0)</f>
        <v>8.4605262729351115E-3</v>
      </c>
      <c r="L121" cm="1">
        <f t="array" ref="L121">IFERROR(IF(L111="Chemical",(10^(INDEX(Antoines,MATCH(L110,Antoine_Name,0),2)-INDEX(Antoines,MATCH(L110,Antoine_Name,0),3)/(INDEX(Antoines,MATCH(L110,Antoine_Name,0),4)+(L118-32)*5/9)))*14.7/760,IF(L111="Crude Oil",EXP((2799/(L118+459.6)-2.227)*LOG10(INDEX(FX_Input,Y$5,L$3*$Z$5+$AA$5))-(7261/(L118+459.6))+12.82),IF(L111="Refined Petroleum Stock",EXP((0.7553-(413/(L118+459.6)))*(INDEX(FX_Input,Y$5,L$3*$Z$5+$AA$5-1)^0.5)*LOG10(INDEX(FX_Input,Y$5,L$3*$Z$5+$AA$5))-(1.854-(1042/(L118+459.6)))*(INDEX(FX_Input,Y$5,L$3*$Z$5+$AA$5-1)^0.5)+((2416/(L118+459.6)-2.013)*LOG10(INDEX(FX_Input,Y$5,L$3*$Z$5+$AA$5)))-(8742/(L118+459.6))+15.64),EXP(INDEX(Antoines,MATCH(L110,Antoine_Name,0),2)-INDEX(Antoines,MATCH(L110,Antoine_Name,0),3)/(L118+459.6))))),0)</f>
        <v>7.8399882233967533E-3</v>
      </c>
      <c r="M121" cm="1">
        <f t="array" ref="M121">IFERROR(IF(M111="Chemical",(10^(INDEX(Antoines,MATCH(M110,Antoine_Name,0),2)-INDEX(Antoines,MATCH(M110,Antoine_Name,0),3)/(INDEX(Antoines,MATCH(M110,Antoine_Name,0),4)+(M118-32)*5/9)))*14.7/760,IF(M111="Crude Oil",EXP((2799/(M118+459.6)-2.227)*LOG10(INDEX(FX_Input,Z$5,M$3*$Z$5+$AA$5))-(7261/(M118+459.6))+12.82),IF(M111="Refined Petroleum Stock",EXP((0.7553-(413/(M118+459.6)))*(INDEX(FX_Input,Z$5,M$3*$Z$5+$AA$5-1)^0.5)*LOG10(INDEX(FX_Input,Z$5,M$3*$Z$5+$AA$5))-(1.854-(1042/(M118+459.6)))*(INDEX(FX_Input,Z$5,M$3*$Z$5+$AA$5-1)^0.5)+((2416/(M118+459.6)-2.013)*LOG10(INDEX(FX_Input,Z$5,M$3*$Z$5+$AA$5)))-(8742/(M118+459.6))+15.64),EXP(INDEX(Antoines,MATCH(M110,Antoine_Name,0),2)-INDEX(Antoines,MATCH(M110,Antoine_Name,0),3)/(M118+459.6))))),0)</f>
        <v>6.4173462075160911E-3</v>
      </c>
      <c r="N121" cm="1">
        <f t="array" ref="N121">IFERROR(IF(N111="Chemical",(10^(INDEX(Antoines,MATCH(N110,Antoine_Name,0),2)-INDEX(Antoines,MATCH(N110,Antoine_Name,0),3)/(INDEX(Antoines,MATCH(N110,Antoine_Name,0),4)+(N118-32)*5/9)))*14.7/760,IF(N111="Crude Oil",EXP((2799/(N118+459.6)-2.227)*LOG10(INDEX(FX_Input,AA$5,N$3*$Z$5+$AA$5))-(7261/(N118+459.6))+12.82),IF(N111="Refined Petroleum Stock",EXP((0.7553-(413/(N118+459.6)))*(INDEX(FX_Input,AA$5,N$3*$Z$5+$AA$5-1)^0.5)*LOG10(INDEX(FX_Input,AA$5,N$3*$Z$5+$AA$5))-(1.854-(1042/(N118+459.6)))*(INDEX(FX_Input,AA$5,N$3*$Z$5+$AA$5-1)^0.5)+((2416/(N118+459.6)-2.013)*LOG10(INDEX(FX_Input,AA$5,N$3*$Z$5+$AA$5)))-(8742/(N118+459.6))+15.64),EXP(INDEX(Antoines,MATCH(N110,Antoine_Name,0),2)-INDEX(Antoines,MATCH(N110,Antoine_Name,0),3)/(N118+459.6))))),0)</f>
        <v>5.3015226887581056E-3</v>
      </c>
      <c r="O121" cm="1">
        <f t="array" ref="O121">IFERROR(IF(O111="Chemical",(10^(INDEX(Antoines,MATCH(O110,Antoine_Name,0),2)-INDEX(Antoines,MATCH(O110,Antoine_Name,0),3)/(INDEX(Antoines,MATCH(O110,Antoine_Name,0),4)+(O118-32)*5/9)))*14.7/760,IF(O111="Crude Oil",EXP((2799/(O118+459.6)-2.227)*LOG10(INDEX(FX_Input,AB$5,O$3*$Z$5+$AA$5))-(7261/(O118+459.6))+12.82),IF(O111="Refined Petroleum Stock",EXP((0.7553-(413/(O118+459.6)))*(INDEX(FX_Input,AB$5,O$3*$Z$5+$AA$5-1)^0.5)*LOG10(INDEX(FX_Input,AB$5,O$3*$Z$5+$AA$5))-(1.854-(1042/(O118+459.6)))*(INDEX(FX_Input,AB$5,O$3*$Z$5+$AA$5-1)^0.5)+((2416/(O118+459.6)-2.013)*LOG10(INDEX(FX_Input,AB$5,O$3*$Z$5+$AA$5)))-(8742/(O118+459.6))+15.64),EXP(INDEX(Antoines,MATCH(O110,Antoine_Name,0),2)-INDEX(Antoines,MATCH(O110,Antoine_Name,0),3)/(O118+459.6))))),0)</f>
        <v>4.68970903600947E-3</v>
      </c>
    </row>
    <row r="122" spans="2:32" ht="17.149999999999999" x14ac:dyDescent="0.55000000000000004">
      <c r="B122" t="str">
        <f t="shared" si="276"/>
        <v>Portland</v>
      </c>
      <c r="C122" t="s">
        <v>576</v>
      </c>
      <c r="D122">
        <f>D114*D121</f>
        <v>4.739577185808354E-3</v>
      </c>
      <c r="E122">
        <f t="shared" ref="E122" si="277">E114*E121</f>
        <v>4.8748667780818778E-3</v>
      </c>
      <c r="F122">
        <f t="shared" ref="F122" si="278">F114*F121</f>
        <v>5.119885034186122E-3</v>
      </c>
      <c r="G122">
        <f t="shared" ref="G122" si="279">G114*G121</f>
        <v>5.5846958573521795E-3</v>
      </c>
      <c r="H122">
        <f t="shared" ref="H122" si="280">H114*H121</f>
        <v>6.5274070972739821E-3</v>
      </c>
      <c r="I122">
        <f t="shared" ref="I122" si="281">I114*I121</f>
        <v>7.4199539958878279E-3</v>
      </c>
      <c r="J122">
        <f t="shared" ref="J122" si="282">J114*J121</f>
        <v>8.3358107202842254E-3</v>
      </c>
      <c r="K122">
        <f t="shared" ref="K122" si="283">K114*K121</f>
        <v>8.4605262729351115E-3</v>
      </c>
      <c r="L122">
        <f t="shared" ref="L122" si="284">L114*L121</f>
        <v>7.8399882233967533E-3</v>
      </c>
      <c r="M122">
        <f t="shared" ref="M122" si="285">M114*M121</f>
        <v>6.4173462075160911E-3</v>
      </c>
      <c r="N122">
        <f t="shared" ref="N122" si="286">N114*N121</f>
        <v>5.3015226887581056E-3</v>
      </c>
      <c r="O122">
        <f t="shared" ref="O122" si="287">O114*O121</f>
        <v>4.68970903600947E-3</v>
      </c>
    </row>
    <row r="123" spans="2:32" ht="17.149999999999999" x14ac:dyDescent="0.55000000000000004">
      <c r="B123" t="str">
        <f t="shared" si="276"/>
        <v>Portland</v>
      </c>
      <c r="C123" t="s">
        <v>575</v>
      </c>
      <c r="D123" cm="1">
        <f t="array" ref="D123">IFERROR(IF(D113="Chemical",(10^(INDEX(Antoines,MATCH(D112,Antoine_Name,0),2)-INDEX(Antoines,MATCH(D112,Antoine_Name,0),3)/(INDEX(Antoines,MATCH(D112,Antoine_Name,0),4)+(D118-32)*5/9)))*14.7/760,IF(D113="Crude Oil",EXP((2799/(D118+459.6)-2.227)*LOG10(INDEX(FX_Input,Q$5,D$3*$Z$5+$AA$5))-(7261/(D118+459.6))+12.82),IF(D113="Refined Petroleum Stock",EXP((0.7553-(413/(D118+459.6)))*(INDEX(FX_Input,Q$5,D$3*$Z$5+$AA$5-1)^0.5)*LOG10(INDEX(FX_Input,Q$5,D$3*$Z$5+$AA$5))-(1.854-(1042/(D118+459.6)))*(INDEX(FX_Input,Q$5,D$3*$Z$5+$AA$5-1)^0.5)+((2416/(D118+459.6)-2.013)*LOG10(INDEX(FX_Input,Q$5,D$3*$Z$5+$AA$5)))-(8742/(D118+459.6))+15.64),EXP(INDEX(Antoines,MATCH(D112,Antoine_Name,0),2)-INDEX(Antoines,MATCH(D112,Antoine_Name,0),3)/(D118+459.6))))),0)</f>
        <v>0</v>
      </c>
      <c r="E123" cm="1">
        <f t="array" ref="E123">IFERROR(IF(E113="Chemical",(10^(INDEX(Antoines,MATCH(E112,Antoine_Name,0),2)-INDEX(Antoines,MATCH(E112,Antoine_Name,0),3)/(INDEX(Antoines,MATCH(E112,Antoine_Name,0),4)+(E118-32)*5/9)))*14.7/760,IF(E113="Crude Oil",EXP((2799/(E118+459.6)-2.227)*LOG10(INDEX(FX_Input,R$5,E$3*$Z$5+$AA$5))-(7261/(E118+459.6))+12.82),IF(E113="Refined Petroleum Stock",EXP((0.7553-(413/(E118+459.6)))*(INDEX(FX_Input,R$5,E$3*$Z$5+$AA$5-1)^0.5)*LOG10(INDEX(FX_Input,R$5,E$3*$Z$5+$AA$5))-(1.854-(1042/(E118+459.6)))*(INDEX(FX_Input,R$5,E$3*$Z$5+$AA$5-1)^0.5)+((2416/(E118+459.6)-2.013)*LOG10(INDEX(FX_Input,R$5,E$3*$Z$5+$AA$5)))-(8742/(E118+459.6))+15.64),EXP(INDEX(Antoines,MATCH(E112,Antoine_Name,0),2)-INDEX(Antoines,MATCH(E112,Antoine_Name,0),3)/(E118+459.6))))),0)</f>
        <v>0</v>
      </c>
      <c r="F123" cm="1">
        <f t="array" ref="F123">IFERROR(IF(F113="Chemical",(10^(INDEX(Antoines,MATCH(F112,Antoine_Name,0),2)-INDEX(Antoines,MATCH(F112,Antoine_Name,0),3)/(INDEX(Antoines,MATCH(F112,Antoine_Name,0),4)+(F118-32)*5/9)))*14.7/760,IF(F113="Crude Oil",EXP((2799/(F118+459.6)-2.227)*LOG10(INDEX(FX_Input,S$5,F$3*$Z$5+$AA$5))-(7261/(F118+459.6))+12.82),IF(F113="Refined Petroleum Stock",EXP((0.7553-(413/(F118+459.6)))*(INDEX(FX_Input,S$5,F$3*$Z$5+$AA$5-1)^0.5)*LOG10(INDEX(FX_Input,S$5,F$3*$Z$5+$AA$5))-(1.854-(1042/(F118+459.6)))*(INDEX(FX_Input,S$5,F$3*$Z$5+$AA$5-1)^0.5)+((2416/(F118+459.6)-2.013)*LOG10(INDEX(FX_Input,S$5,F$3*$Z$5+$AA$5)))-(8742/(F118+459.6))+15.64),EXP(INDEX(Antoines,MATCH(F112,Antoine_Name,0),2)-INDEX(Antoines,MATCH(F112,Antoine_Name,0),3)/(F118+459.6))))),0)</f>
        <v>0</v>
      </c>
      <c r="G123" cm="1">
        <f t="array" ref="G123">IFERROR(IF(G113="Chemical",(10^(INDEX(Antoines,MATCH(G112,Antoine_Name,0),2)-INDEX(Antoines,MATCH(G112,Antoine_Name,0),3)/(INDEX(Antoines,MATCH(G112,Antoine_Name,0),4)+(G118-32)*5/9)))*14.7/760,IF(G113="Crude Oil",EXP((2799/(G118+459.6)-2.227)*LOG10(INDEX(FX_Input,T$5,G$3*$Z$5+$AA$5))-(7261/(G118+459.6))+12.82),IF(G113="Refined Petroleum Stock",EXP((0.7553-(413/(G118+459.6)))*(INDEX(FX_Input,T$5,G$3*$Z$5+$AA$5-1)^0.5)*LOG10(INDEX(FX_Input,T$5,G$3*$Z$5+$AA$5))-(1.854-(1042/(G118+459.6)))*(INDEX(FX_Input,T$5,G$3*$Z$5+$AA$5-1)^0.5)+((2416/(G118+459.6)-2.013)*LOG10(INDEX(FX_Input,T$5,G$3*$Z$5+$AA$5)))-(8742/(G118+459.6))+15.64),EXP(INDEX(Antoines,MATCH(G112,Antoine_Name,0),2)-INDEX(Antoines,MATCH(G112,Antoine_Name,0),3)/(G118+459.6))))),0)</f>
        <v>0</v>
      </c>
      <c r="H123" cm="1">
        <f t="array" ref="H123">IFERROR(IF(H113="Chemical",(10^(INDEX(Antoines,MATCH(H112,Antoine_Name,0),2)-INDEX(Antoines,MATCH(H112,Antoine_Name,0),3)/(INDEX(Antoines,MATCH(H112,Antoine_Name,0),4)+(H118-32)*5/9)))*14.7/760,IF(H113="Crude Oil",EXP((2799/(H118+459.6)-2.227)*LOG10(INDEX(FX_Input,U$5,H$3*$Z$5+$AA$5))-(7261/(H118+459.6))+12.82),IF(H113="Refined Petroleum Stock",EXP((0.7553-(413/(H118+459.6)))*(INDEX(FX_Input,U$5,H$3*$Z$5+$AA$5-1)^0.5)*LOG10(INDEX(FX_Input,U$5,H$3*$Z$5+$AA$5))-(1.854-(1042/(H118+459.6)))*(INDEX(FX_Input,U$5,H$3*$Z$5+$AA$5-1)^0.5)+((2416/(H118+459.6)-2.013)*LOG10(INDEX(FX_Input,U$5,H$3*$Z$5+$AA$5)))-(8742/(H118+459.6))+15.64),EXP(INDEX(Antoines,MATCH(H112,Antoine_Name,0),2)-INDEX(Antoines,MATCH(H112,Antoine_Name,0),3)/(H118+459.6))))),0)</f>
        <v>0</v>
      </c>
      <c r="I123" cm="1">
        <f t="array" ref="I123">IFERROR(IF(I113="Chemical",(10^(INDEX(Antoines,MATCH(I112,Antoine_Name,0),2)-INDEX(Antoines,MATCH(I112,Antoine_Name,0),3)/(INDEX(Antoines,MATCH(I112,Antoine_Name,0),4)+(I118-32)*5/9)))*14.7/760,IF(I113="Crude Oil",EXP((2799/(I118+459.6)-2.227)*LOG10(INDEX(FX_Input,V$5,I$3*$Z$5+$AA$5))-(7261/(I118+459.6))+12.82),IF(I113="Refined Petroleum Stock",EXP((0.7553-(413/(I118+459.6)))*(INDEX(FX_Input,V$5,I$3*$Z$5+$AA$5-1)^0.5)*LOG10(INDEX(FX_Input,V$5,I$3*$Z$5+$AA$5))-(1.854-(1042/(I118+459.6)))*(INDEX(FX_Input,V$5,I$3*$Z$5+$AA$5-1)^0.5)+((2416/(I118+459.6)-2.013)*LOG10(INDEX(FX_Input,V$5,I$3*$Z$5+$AA$5)))-(8742/(I118+459.6))+15.64),EXP(INDEX(Antoines,MATCH(I112,Antoine_Name,0),2)-INDEX(Antoines,MATCH(I112,Antoine_Name,0),3)/(I118+459.6))))),0)</f>
        <v>0</v>
      </c>
      <c r="J123" cm="1">
        <f t="array" ref="J123">IFERROR(IF(J113="Chemical",(10^(INDEX(Antoines,MATCH(J112,Antoine_Name,0),2)-INDEX(Antoines,MATCH(J112,Antoine_Name,0),3)/(INDEX(Antoines,MATCH(J112,Antoine_Name,0),4)+(J118-32)*5/9)))*14.7/760,IF(J113="Crude Oil",EXP((2799/(J118+459.6)-2.227)*LOG10(INDEX(FX_Input,W$5,J$3*$Z$5+$AA$5))-(7261/(J118+459.6))+12.82),IF(J113="Refined Petroleum Stock",EXP((0.7553-(413/(J118+459.6)))*(INDEX(FX_Input,W$5,J$3*$Z$5+$AA$5-1)^0.5)*LOG10(INDEX(FX_Input,W$5,J$3*$Z$5+$AA$5))-(1.854-(1042/(J118+459.6)))*(INDEX(FX_Input,W$5,J$3*$Z$5+$AA$5-1)^0.5)+((2416/(J118+459.6)-2.013)*LOG10(INDEX(FX_Input,W$5,J$3*$Z$5+$AA$5)))-(8742/(J118+459.6))+15.64),EXP(INDEX(Antoines,MATCH(J112,Antoine_Name,0),2)-INDEX(Antoines,MATCH(J112,Antoine_Name,0),3)/(J118+459.6))))),0)</f>
        <v>0</v>
      </c>
      <c r="K123" cm="1">
        <f t="array" ref="K123">IFERROR(IF(K113="Chemical",(10^(INDEX(Antoines,MATCH(K112,Antoine_Name,0),2)-INDEX(Antoines,MATCH(K112,Antoine_Name,0),3)/(INDEX(Antoines,MATCH(K112,Antoine_Name,0),4)+(K118-32)*5/9)))*14.7/760,IF(K113="Crude Oil",EXP((2799/(K118+459.6)-2.227)*LOG10(INDEX(FX_Input,X$5,K$3*$Z$5+$AA$5))-(7261/(K118+459.6))+12.82),IF(K113="Refined Petroleum Stock",EXP((0.7553-(413/(K118+459.6)))*(INDEX(FX_Input,X$5,K$3*$Z$5+$AA$5-1)^0.5)*LOG10(INDEX(FX_Input,X$5,K$3*$Z$5+$AA$5))-(1.854-(1042/(K118+459.6)))*(INDEX(FX_Input,X$5,K$3*$Z$5+$AA$5-1)^0.5)+((2416/(K118+459.6)-2.013)*LOG10(INDEX(FX_Input,X$5,K$3*$Z$5+$AA$5)))-(8742/(K118+459.6))+15.64),EXP(INDEX(Antoines,MATCH(K112,Antoine_Name,0),2)-INDEX(Antoines,MATCH(K112,Antoine_Name,0),3)/(K118+459.6))))),0)</f>
        <v>0</v>
      </c>
      <c r="L123" cm="1">
        <f t="array" ref="L123">IFERROR(IF(L113="Chemical",(10^(INDEX(Antoines,MATCH(L112,Antoine_Name,0),2)-INDEX(Antoines,MATCH(L112,Antoine_Name,0),3)/(INDEX(Antoines,MATCH(L112,Antoine_Name,0),4)+(L118-32)*5/9)))*14.7/760,IF(L113="Crude Oil",EXP((2799/(L118+459.6)-2.227)*LOG10(INDEX(FX_Input,Y$5,L$3*$Z$5+$AA$5))-(7261/(L118+459.6))+12.82),IF(L113="Refined Petroleum Stock",EXP((0.7553-(413/(L118+459.6)))*(INDEX(FX_Input,Y$5,L$3*$Z$5+$AA$5-1)^0.5)*LOG10(INDEX(FX_Input,Y$5,L$3*$Z$5+$AA$5))-(1.854-(1042/(L118+459.6)))*(INDEX(FX_Input,Y$5,L$3*$Z$5+$AA$5-1)^0.5)+((2416/(L118+459.6)-2.013)*LOG10(INDEX(FX_Input,Y$5,L$3*$Z$5+$AA$5)))-(8742/(L118+459.6))+15.64),EXP(INDEX(Antoines,MATCH(L112,Antoine_Name,0),2)-INDEX(Antoines,MATCH(L112,Antoine_Name,0),3)/(L118+459.6))))),0)</f>
        <v>0</v>
      </c>
      <c r="M123" cm="1">
        <f t="array" ref="M123">IFERROR(IF(M113="Chemical",(10^(INDEX(Antoines,MATCH(M112,Antoine_Name,0),2)-INDEX(Antoines,MATCH(M112,Antoine_Name,0),3)/(INDEX(Antoines,MATCH(M112,Antoine_Name,0),4)+(M118-32)*5/9)))*14.7/760,IF(M113="Crude Oil",EXP((2799/(M118+459.6)-2.227)*LOG10(INDEX(FX_Input,Z$5,M$3*$Z$5+$AA$5))-(7261/(M118+459.6))+12.82),IF(M113="Refined Petroleum Stock",EXP((0.7553-(413/(M118+459.6)))*(INDEX(FX_Input,Z$5,M$3*$Z$5+$AA$5-1)^0.5)*LOG10(INDEX(FX_Input,Z$5,M$3*$Z$5+$AA$5))-(1.854-(1042/(M118+459.6)))*(INDEX(FX_Input,Z$5,M$3*$Z$5+$AA$5-1)^0.5)+((2416/(M118+459.6)-2.013)*LOG10(INDEX(FX_Input,Z$5,M$3*$Z$5+$AA$5)))-(8742/(M118+459.6))+15.64),EXP(INDEX(Antoines,MATCH(M112,Antoine_Name,0),2)-INDEX(Antoines,MATCH(M112,Antoine_Name,0),3)/(M118+459.6))))),0)</f>
        <v>0</v>
      </c>
      <c r="N123" cm="1">
        <f t="array" ref="N123">IFERROR(IF(N113="Chemical",(10^(INDEX(Antoines,MATCH(N112,Antoine_Name,0),2)-INDEX(Antoines,MATCH(N112,Antoine_Name,0),3)/(INDEX(Antoines,MATCH(N112,Antoine_Name,0),4)+(N118-32)*5/9)))*14.7/760,IF(N113="Crude Oil",EXP((2799/(N118+459.6)-2.227)*LOG10(INDEX(FX_Input,AA$5,N$3*$Z$5+$AA$5))-(7261/(N118+459.6))+12.82),IF(N113="Refined Petroleum Stock",EXP((0.7553-(413/(N118+459.6)))*(INDEX(FX_Input,AA$5,N$3*$Z$5+$AA$5-1)^0.5)*LOG10(INDEX(FX_Input,AA$5,N$3*$Z$5+$AA$5))-(1.854-(1042/(N118+459.6)))*(INDEX(FX_Input,AA$5,N$3*$Z$5+$AA$5-1)^0.5)+((2416/(N118+459.6)-2.013)*LOG10(INDEX(FX_Input,AA$5,N$3*$Z$5+$AA$5)))-(8742/(N118+459.6))+15.64),EXP(INDEX(Antoines,MATCH(N112,Antoine_Name,0),2)-INDEX(Antoines,MATCH(N112,Antoine_Name,0),3)/(N118+459.6))))),0)</f>
        <v>0</v>
      </c>
      <c r="O123" cm="1">
        <f t="array" ref="O123">IFERROR(IF(O113="Chemical",(10^(INDEX(Antoines,MATCH(O112,Antoine_Name,0),2)-INDEX(Antoines,MATCH(O112,Antoine_Name,0),3)/(INDEX(Antoines,MATCH(O112,Antoine_Name,0),4)+(O118-32)*5/9)))*14.7/760,IF(O113="Crude Oil",EXP((2799/(O118+459.6)-2.227)*LOG10(INDEX(FX_Input,AB$5,O$3*$Z$5+$AA$5))-(7261/(O118+459.6))+12.82),IF(O113="Refined Petroleum Stock",EXP((0.7553-(413/(O118+459.6)))*(INDEX(FX_Input,AB$5,O$3*$Z$5+$AA$5-1)^0.5)*LOG10(INDEX(FX_Input,AB$5,O$3*$Z$5+$AA$5))-(1.854-(1042/(O118+459.6)))*(INDEX(FX_Input,AB$5,O$3*$Z$5+$AA$5-1)^0.5)+((2416/(O118+459.6)-2.013)*LOG10(INDEX(FX_Input,AB$5,O$3*$Z$5+$AA$5)))-(8742/(O118+459.6))+15.64),EXP(INDEX(Antoines,MATCH(O112,Antoine_Name,0),2)-INDEX(Antoines,MATCH(O112,Antoine_Name,0),3)/(O118+459.6))))),0)</f>
        <v>0</v>
      </c>
    </row>
    <row r="124" spans="2:32" ht="17.149999999999999" x14ac:dyDescent="0.55000000000000004">
      <c r="B124" t="str">
        <f t="shared" si="276"/>
        <v>Portland</v>
      </c>
      <c r="C124" t="s">
        <v>577</v>
      </c>
      <c r="D124">
        <f>D123*D116</f>
        <v>0</v>
      </c>
      <c r="E124">
        <f t="shared" ref="E124" si="288">E123*E116</f>
        <v>0</v>
      </c>
      <c r="F124">
        <f t="shared" ref="F124" si="289">F123*F116</f>
        <v>0</v>
      </c>
      <c r="G124">
        <f t="shared" ref="G124" si="290">G123*G116</f>
        <v>0</v>
      </c>
      <c r="H124">
        <f t="shared" ref="H124" si="291">H123*H116</f>
        <v>0</v>
      </c>
      <c r="I124">
        <f t="shared" ref="I124" si="292">I123*I116</f>
        <v>0</v>
      </c>
      <c r="J124">
        <f t="shared" ref="J124" si="293">J123*J116</f>
        <v>0</v>
      </c>
      <c r="K124">
        <f t="shared" ref="K124" si="294">K123*K116</f>
        <v>0</v>
      </c>
      <c r="L124">
        <f t="shared" ref="L124" si="295">L123*L116</f>
        <v>0</v>
      </c>
      <c r="M124">
        <f t="shared" ref="M124" si="296">M123*M116</f>
        <v>0</v>
      </c>
      <c r="N124">
        <f t="shared" ref="N124" si="297">N123*N116</f>
        <v>0</v>
      </c>
      <c r="O124">
        <f t="shared" ref="O124" si="298">O123*O116</f>
        <v>0</v>
      </c>
    </row>
    <row r="125" spans="2:32" ht="17.149999999999999" x14ac:dyDescent="0.55000000000000004">
      <c r="B125" t="str">
        <f t="shared" si="276"/>
        <v>Portland</v>
      </c>
      <c r="C125" t="s">
        <v>578</v>
      </c>
      <c r="D125">
        <f>D124+D122</f>
        <v>4.739577185808354E-3</v>
      </c>
      <c r="E125">
        <f t="shared" ref="E125" si="299">E124+E122</f>
        <v>4.8748667780818778E-3</v>
      </c>
      <c r="F125">
        <f t="shared" ref="F125" si="300">F124+F122</f>
        <v>5.119885034186122E-3</v>
      </c>
      <c r="G125">
        <f t="shared" ref="G125" si="301">G124+G122</f>
        <v>5.5846958573521795E-3</v>
      </c>
      <c r="H125">
        <f t="shared" ref="H125" si="302">H124+H122</f>
        <v>6.5274070972739821E-3</v>
      </c>
      <c r="I125">
        <f t="shared" ref="I125" si="303">I124+I122</f>
        <v>7.4199539958878279E-3</v>
      </c>
      <c r="J125">
        <f t="shared" ref="J125" si="304">J124+J122</f>
        <v>8.3358107202842254E-3</v>
      </c>
      <c r="K125">
        <f t="shared" ref="K125" si="305">K124+K122</f>
        <v>8.4605262729351115E-3</v>
      </c>
      <c r="L125">
        <f t="shared" ref="L125" si="306">L124+L122</f>
        <v>7.8399882233967533E-3</v>
      </c>
      <c r="M125">
        <f t="shared" ref="M125" si="307">M124+M122</f>
        <v>6.4173462075160911E-3</v>
      </c>
      <c r="N125">
        <f t="shared" ref="N125" si="308">N124+N122</f>
        <v>5.3015226887581056E-3</v>
      </c>
      <c r="O125">
        <f t="shared" ref="O125" si="309">O124+O122</f>
        <v>4.68970903600947E-3</v>
      </c>
    </row>
    <row r="126" spans="2:32" ht="17.149999999999999" x14ac:dyDescent="0.55000000000000004">
      <c r="B126" t="str">
        <f t="shared" si="276"/>
        <v>Portland</v>
      </c>
      <c r="C126" t="s">
        <v>579</v>
      </c>
      <c r="D126" cm="1">
        <f t="array" ref="D126">IFERROR(IF(D111="Chemical",(10^(INDEX(Antoines,MATCH(D110,Antoine_Name,0),2)-INDEX(Antoines,MATCH(D110,Antoine_Name,0),3)/(INDEX(Antoines,MATCH(D110,Antoine_Name,0),4)+(D119-32)*5/9)))*14.7/760,IF(D111="Crude Oil",EXP((2799/(D119+459.6)-2.227)*LOG10(INDEX(FX_Input,Q$5,D$3*$Z$5+$AA$5))-(7261/(D119+459.6))+12.82),IF(D111="Refined Petroleum Stock",EXP((0.7553-(413/(D119+459.6)))*(INDEX(FX_Input,Q$5,D$3*$Z$5+$AA$5-1)^0.5)*LOG10(INDEX(FX_Input,Q$5,D$3*$Z$5+$AA$5))-(1.854-(1042/(D119+459.6)))*(INDEX(FX_Input,Q$5,D$3*$Z$5+$AA$5-1)^0.5)+((2416/(D119+459.6)-2.013)*LOG10(INDEX(FX_Input,Q$5,D$3*$Z$5+$AA$5)))-(8742/(D119+459.6))+15.64),EXP(INDEX(Antoines,MATCH(D110,Antoine_Name,0),2)-INDEX(Antoines,MATCH(D110,Antoine_Name,0),3)/(D119+459.6))))),0)</f>
        <v>4.739577185808354E-3</v>
      </c>
      <c r="E126" cm="1">
        <f t="array" ref="E126">IFERROR(IF(E111="Chemical",(10^(INDEX(Antoines,MATCH(E110,Antoine_Name,0),2)-INDEX(Antoines,MATCH(E110,Antoine_Name,0),3)/(INDEX(Antoines,MATCH(E110,Antoine_Name,0),4)+(E119-32)*5/9)))*14.7/760,IF(E111="Crude Oil",EXP((2799/(E119+459.6)-2.227)*LOG10(INDEX(FX_Input,R$5,E$3*$Z$5+$AA$5))-(7261/(E119+459.6))+12.82),IF(E111="Refined Petroleum Stock",EXP((0.7553-(413/(E119+459.6)))*(INDEX(FX_Input,R$5,E$3*$Z$5+$AA$5-1)^0.5)*LOG10(INDEX(FX_Input,R$5,E$3*$Z$5+$AA$5))-(1.854-(1042/(E119+459.6)))*(INDEX(FX_Input,R$5,E$3*$Z$5+$AA$5-1)^0.5)+((2416/(E119+459.6)-2.013)*LOG10(INDEX(FX_Input,R$5,E$3*$Z$5+$AA$5)))-(8742/(E119+459.6))+15.64),EXP(INDEX(Antoines,MATCH(E110,Antoine_Name,0),2)-INDEX(Antoines,MATCH(E110,Antoine_Name,0),3)/(E119+459.6))))),0)</f>
        <v>4.8748667780818778E-3</v>
      </c>
      <c r="F126" cm="1">
        <f t="array" ref="F126">IFERROR(IF(F111="Chemical",(10^(INDEX(Antoines,MATCH(F110,Antoine_Name,0),2)-INDEX(Antoines,MATCH(F110,Antoine_Name,0),3)/(INDEX(Antoines,MATCH(F110,Antoine_Name,0),4)+(F119-32)*5/9)))*14.7/760,IF(F111="Crude Oil",EXP((2799/(F119+459.6)-2.227)*LOG10(INDEX(FX_Input,S$5,F$3*$Z$5+$AA$5))-(7261/(F119+459.6))+12.82),IF(F111="Refined Petroleum Stock",EXP((0.7553-(413/(F119+459.6)))*(INDEX(FX_Input,S$5,F$3*$Z$5+$AA$5-1)^0.5)*LOG10(INDEX(FX_Input,S$5,F$3*$Z$5+$AA$5))-(1.854-(1042/(F119+459.6)))*(INDEX(FX_Input,S$5,F$3*$Z$5+$AA$5-1)^0.5)+((2416/(F119+459.6)-2.013)*LOG10(INDEX(FX_Input,S$5,F$3*$Z$5+$AA$5)))-(8742/(F119+459.6))+15.64),EXP(INDEX(Antoines,MATCH(F110,Antoine_Name,0),2)-INDEX(Antoines,MATCH(F110,Antoine_Name,0),3)/(F119+459.6))))),0)</f>
        <v>5.119885034186122E-3</v>
      </c>
      <c r="G126" cm="1">
        <f t="array" ref="G126">IFERROR(IF(G111="Chemical",(10^(INDEX(Antoines,MATCH(G110,Antoine_Name,0),2)-INDEX(Antoines,MATCH(G110,Antoine_Name,0),3)/(INDEX(Antoines,MATCH(G110,Antoine_Name,0),4)+(G119-32)*5/9)))*14.7/760,IF(G111="Crude Oil",EXP((2799/(G119+459.6)-2.227)*LOG10(INDEX(FX_Input,T$5,G$3*$Z$5+$AA$5))-(7261/(G119+459.6))+12.82),IF(G111="Refined Petroleum Stock",EXP((0.7553-(413/(G119+459.6)))*(INDEX(FX_Input,T$5,G$3*$Z$5+$AA$5-1)^0.5)*LOG10(INDEX(FX_Input,T$5,G$3*$Z$5+$AA$5))-(1.854-(1042/(G119+459.6)))*(INDEX(FX_Input,T$5,G$3*$Z$5+$AA$5-1)^0.5)+((2416/(G119+459.6)-2.013)*LOG10(INDEX(FX_Input,T$5,G$3*$Z$5+$AA$5)))-(8742/(G119+459.6))+15.64),EXP(INDEX(Antoines,MATCH(G110,Antoine_Name,0),2)-INDEX(Antoines,MATCH(G110,Antoine_Name,0),3)/(G119+459.6))))),0)</f>
        <v>5.5846958573521795E-3</v>
      </c>
      <c r="H126" cm="1">
        <f t="array" ref="H126">IFERROR(IF(H111="Chemical",(10^(INDEX(Antoines,MATCH(H110,Antoine_Name,0),2)-INDEX(Antoines,MATCH(H110,Antoine_Name,0),3)/(INDEX(Antoines,MATCH(H110,Antoine_Name,0),4)+(H119-32)*5/9)))*14.7/760,IF(H111="Crude Oil",EXP((2799/(H119+459.6)-2.227)*LOG10(INDEX(FX_Input,U$5,H$3*$Z$5+$AA$5))-(7261/(H119+459.6))+12.82),IF(H111="Refined Petroleum Stock",EXP((0.7553-(413/(H119+459.6)))*(INDEX(FX_Input,U$5,H$3*$Z$5+$AA$5-1)^0.5)*LOG10(INDEX(FX_Input,U$5,H$3*$Z$5+$AA$5))-(1.854-(1042/(H119+459.6)))*(INDEX(FX_Input,U$5,H$3*$Z$5+$AA$5-1)^0.5)+((2416/(H119+459.6)-2.013)*LOG10(INDEX(FX_Input,U$5,H$3*$Z$5+$AA$5)))-(8742/(H119+459.6))+15.64),EXP(INDEX(Antoines,MATCH(H110,Antoine_Name,0),2)-INDEX(Antoines,MATCH(H110,Antoine_Name,0),3)/(H119+459.6))))),0)</f>
        <v>6.5274070972739821E-3</v>
      </c>
      <c r="I126" cm="1">
        <f t="array" ref="I126">IFERROR(IF(I111="Chemical",(10^(INDEX(Antoines,MATCH(I110,Antoine_Name,0),2)-INDEX(Antoines,MATCH(I110,Antoine_Name,0),3)/(INDEX(Antoines,MATCH(I110,Antoine_Name,0),4)+(I119-32)*5/9)))*14.7/760,IF(I111="Crude Oil",EXP((2799/(I119+459.6)-2.227)*LOG10(INDEX(FX_Input,V$5,I$3*$Z$5+$AA$5))-(7261/(I119+459.6))+12.82),IF(I111="Refined Petroleum Stock",EXP((0.7553-(413/(I119+459.6)))*(INDEX(FX_Input,V$5,I$3*$Z$5+$AA$5-1)^0.5)*LOG10(INDEX(FX_Input,V$5,I$3*$Z$5+$AA$5))-(1.854-(1042/(I119+459.6)))*(INDEX(FX_Input,V$5,I$3*$Z$5+$AA$5-1)^0.5)+((2416/(I119+459.6)-2.013)*LOG10(INDEX(FX_Input,V$5,I$3*$Z$5+$AA$5)))-(8742/(I119+459.6))+15.64),EXP(INDEX(Antoines,MATCH(I110,Antoine_Name,0),2)-INDEX(Antoines,MATCH(I110,Antoine_Name,0),3)/(I119+459.6))))),0)</f>
        <v>7.4199539958878279E-3</v>
      </c>
      <c r="J126" cm="1">
        <f t="array" ref="J126">IFERROR(IF(J111="Chemical",(10^(INDEX(Antoines,MATCH(J110,Antoine_Name,0),2)-INDEX(Antoines,MATCH(J110,Antoine_Name,0),3)/(INDEX(Antoines,MATCH(J110,Antoine_Name,0),4)+(J119-32)*5/9)))*14.7/760,IF(J111="Crude Oil",EXP((2799/(J119+459.6)-2.227)*LOG10(INDEX(FX_Input,W$5,J$3*$Z$5+$AA$5))-(7261/(J119+459.6))+12.82),IF(J111="Refined Petroleum Stock",EXP((0.7553-(413/(J119+459.6)))*(INDEX(FX_Input,W$5,J$3*$Z$5+$AA$5-1)^0.5)*LOG10(INDEX(FX_Input,W$5,J$3*$Z$5+$AA$5))-(1.854-(1042/(J119+459.6)))*(INDEX(FX_Input,W$5,J$3*$Z$5+$AA$5-1)^0.5)+((2416/(J119+459.6)-2.013)*LOG10(INDEX(FX_Input,W$5,J$3*$Z$5+$AA$5)))-(8742/(J119+459.6))+15.64),EXP(INDEX(Antoines,MATCH(J110,Antoine_Name,0),2)-INDEX(Antoines,MATCH(J110,Antoine_Name,0),3)/(J119+459.6))))),0)</f>
        <v>8.3358107202842254E-3</v>
      </c>
      <c r="K126" cm="1">
        <f t="array" ref="K126">IFERROR(IF(K111="Chemical",(10^(INDEX(Antoines,MATCH(K110,Antoine_Name,0),2)-INDEX(Antoines,MATCH(K110,Antoine_Name,0),3)/(INDEX(Antoines,MATCH(K110,Antoine_Name,0),4)+(K119-32)*5/9)))*14.7/760,IF(K111="Crude Oil",EXP((2799/(K119+459.6)-2.227)*LOG10(INDEX(FX_Input,X$5,K$3*$Z$5+$AA$5))-(7261/(K119+459.6))+12.82),IF(K111="Refined Petroleum Stock",EXP((0.7553-(413/(K119+459.6)))*(INDEX(FX_Input,X$5,K$3*$Z$5+$AA$5-1)^0.5)*LOG10(INDEX(FX_Input,X$5,K$3*$Z$5+$AA$5))-(1.854-(1042/(K119+459.6)))*(INDEX(FX_Input,X$5,K$3*$Z$5+$AA$5-1)^0.5)+((2416/(K119+459.6)-2.013)*LOG10(INDEX(FX_Input,X$5,K$3*$Z$5+$AA$5)))-(8742/(K119+459.6))+15.64),EXP(INDEX(Antoines,MATCH(K110,Antoine_Name,0),2)-INDEX(Antoines,MATCH(K110,Antoine_Name,0),3)/(K119+459.6))))),0)</f>
        <v>8.4605262729351115E-3</v>
      </c>
      <c r="L126" cm="1">
        <f t="array" ref="L126">IFERROR(IF(L111="Chemical",(10^(INDEX(Antoines,MATCH(L110,Antoine_Name,0),2)-INDEX(Antoines,MATCH(L110,Antoine_Name,0),3)/(INDEX(Antoines,MATCH(L110,Antoine_Name,0),4)+(L119-32)*5/9)))*14.7/760,IF(L111="Crude Oil",EXP((2799/(L119+459.6)-2.227)*LOG10(INDEX(FX_Input,Y$5,L$3*$Z$5+$AA$5))-(7261/(L119+459.6))+12.82),IF(L111="Refined Petroleum Stock",EXP((0.7553-(413/(L119+459.6)))*(INDEX(FX_Input,Y$5,L$3*$Z$5+$AA$5-1)^0.5)*LOG10(INDEX(FX_Input,Y$5,L$3*$Z$5+$AA$5))-(1.854-(1042/(L119+459.6)))*(INDEX(FX_Input,Y$5,L$3*$Z$5+$AA$5-1)^0.5)+((2416/(L119+459.6)-2.013)*LOG10(INDEX(FX_Input,Y$5,L$3*$Z$5+$AA$5)))-(8742/(L119+459.6))+15.64),EXP(INDEX(Antoines,MATCH(L110,Antoine_Name,0),2)-INDEX(Antoines,MATCH(L110,Antoine_Name,0),3)/(L119+459.6))))),0)</f>
        <v>7.8399882233967533E-3</v>
      </c>
      <c r="M126" cm="1">
        <f t="array" ref="M126">IFERROR(IF(M111="Chemical",(10^(INDEX(Antoines,MATCH(M110,Antoine_Name,0),2)-INDEX(Antoines,MATCH(M110,Antoine_Name,0),3)/(INDEX(Antoines,MATCH(M110,Antoine_Name,0),4)+(M119-32)*5/9)))*14.7/760,IF(M111="Crude Oil",EXP((2799/(M119+459.6)-2.227)*LOG10(INDEX(FX_Input,Z$5,M$3*$Z$5+$AA$5))-(7261/(M119+459.6))+12.82),IF(M111="Refined Petroleum Stock",EXP((0.7553-(413/(M119+459.6)))*(INDEX(FX_Input,Z$5,M$3*$Z$5+$AA$5-1)^0.5)*LOG10(INDEX(FX_Input,Z$5,M$3*$Z$5+$AA$5))-(1.854-(1042/(M119+459.6)))*(INDEX(FX_Input,Z$5,M$3*$Z$5+$AA$5-1)^0.5)+((2416/(M119+459.6)-2.013)*LOG10(INDEX(FX_Input,Z$5,M$3*$Z$5+$AA$5)))-(8742/(M119+459.6))+15.64),EXP(INDEX(Antoines,MATCH(M110,Antoine_Name,0),2)-INDEX(Antoines,MATCH(M110,Antoine_Name,0),3)/(M119+459.6))))),0)</f>
        <v>6.4173462075160911E-3</v>
      </c>
      <c r="N126" cm="1">
        <f t="array" ref="N126">IFERROR(IF(N111="Chemical",(10^(INDEX(Antoines,MATCH(N110,Antoine_Name,0),2)-INDEX(Antoines,MATCH(N110,Antoine_Name,0),3)/(INDEX(Antoines,MATCH(N110,Antoine_Name,0),4)+(N119-32)*5/9)))*14.7/760,IF(N111="Crude Oil",EXP((2799/(N119+459.6)-2.227)*LOG10(INDEX(FX_Input,AA$5,N$3*$Z$5+$AA$5))-(7261/(N119+459.6))+12.82),IF(N111="Refined Petroleum Stock",EXP((0.7553-(413/(N119+459.6)))*(INDEX(FX_Input,AA$5,N$3*$Z$5+$AA$5-1)^0.5)*LOG10(INDEX(FX_Input,AA$5,N$3*$Z$5+$AA$5))-(1.854-(1042/(N119+459.6)))*(INDEX(FX_Input,AA$5,N$3*$Z$5+$AA$5-1)^0.5)+((2416/(N119+459.6)-2.013)*LOG10(INDEX(FX_Input,AA$5,N$3*$Z$5+$AA$5)))-(8742/(N119+459.6))+15.64),EXP(INDEX(Antoines,MATCH(N110,Antoine_Name,0),2)-INDEX(Antoines,MATCH(N110,Antoine_Name,0),3)/(N119+459.6))))),0)</f>
        <v>5.3015226887581056E-3</v>
      </c>
      <c r="O126" cm="1">
        <f t="array" ref="O126">IFERROR(IF(O111="Chemical",(10^(INDEX(Antoines,MATCH(O110,Antoine_Name,0),2)-INDEX(Antoines,MATCH(O110,Antoine_Name,0),3)/(INDEX(Antoines,MATCH(O110,Antoine_Name,0),4)+(O119-32)*5/9)))*14.7/760,IF(O111="Crude Oil",EXP((2799/(O119+459.6)-2.227)*LOG10(INDEX(FX_Input,AB$5,O$3*$Z$5+$AA$5))-(7261/(O119+459.6))+12.82),IF(O111="Refined Petroleum Stock",EXP((0.7553-(413/(O119+459.6)))*(INDEX(FX_Input,AB$5,O$3*$Z$5+$AA$5-1)^0.5)*LOG10(INDEX(FX_Input,AB$5,O$3*$Z$5+$AA$5))-(1.854-(1042/(O119+459.6)))*(INDEX(FX_Input,AB$5,O$3*$Z$5+$AA$5-1)^0.5)+((2416/(O119+459.6)-2.013)*LOG10(INDEX(FX_Input,AB$5,O$3*$Z$5+$AA$5)))-(8742/(O119+459.6))+15.64),EXP(INDEX(Antoines,MATCH(O110,Antoine_Name,0),2)-INDEX(Antoines,MATCH(O110,Antoine_Name,0),3)/(O119+459.6))))),0)</f>
        <v>4.68970903600947E-3</v>
      </c>
    </row>
    <row r="127" spans="2:32" ht="17.149999999999999" x14ac:dyDescent="0.55000000000000004">
      <c r="B127" t="str">
        <f t="shared" si="276"/>
        <v>Portland</v>
      </c>
      <c r="C127" t="s">
        <v>580</v>
      </c>
      <c r="D127">
        <f>D126*D114</f>
        <v>4.739577185808354E-3</v>
      </c>
      <c r="E127">
        <f t="shared" ref="E127" si="310">E126*E114</f>
        <v>4.8748667780818778E-3</v>
      </c>
      <c r="F127">
        <f t="shared" ref="F127" si="311">F126*F114</f>
        <v>5.119885034186122E-3</v>
      </c>
      <c r="G127">
        <f t="shared" ref="G127" si="312">G126*G114</f>
        <v>5.5846958573521795E-3</v>
      </c>
      <c r="H127">
        <f t="shared" ref="H127" si="313">H126*H114</f>
        <v>6.5274070972739821E-3</v>
      </c>
      <c r="I127">
        <f t="shared" ref="I127" si="314">I126*I114</f>
        <v>7.4199539958878279E-3</v>
      </c>
      <c r="J127">
        <f t="shared" ref="J127" si="315">J126*J114</f>
        <v>8.3358107202842254E-3</v>
      </c>
      <c r="K127">
        <f t="shared" ref="K127" si="316">K126*K114</f>
        <v>8.4605262729351115E-3</v>
      </c>
      <c r="L127">
        <f t="shared" ref="L127" si="317">L126*L114</f>
        <v>7.8399882233967533E-3</v>
      </c>
      <c r="M127">
        <f t="shared" ref="M127" si="318">M126*M114</f>
        <v>6.4173462075160911E-3</v>
      </c>
      <c r="N127">
        <f t="shared" ref="N127" si="319">N126*N114</f>
        <v>5.3015226887581056E-3</v>
      </c>
      <c r="O127">
        <f t="shared" ref="O127" si="320">O126*O114</f>
        <v>4.68970903600947E-3</v>
      </c>
    </row>
    <row r="128" spans="2:32" ht="17.149999999999999" x14ac:dyDescent="0.55000000000000004">
      <c r="B128" t="str">
        <f t="shared" si="276"/>
        <v>Portland</v>
      </c>
      <c r="C128" t="s">
        <v>581</v>
      </c>
      <c r="D128" cm="1">
        <f t="array" ref="D128">IFERROR(IF(D113="Chemical",(10^(INDEX(Antoines,MATCH(D112,Antoine_Name,0),2)-INDEX(Antoines,MATCH(D112,Antoine_Name,0),3)/(INDEX(Antoines,MATCH(D112,Antoine_Name,0),4)+(D119-32)*5/9)))*14.7/760,IF(D113="Crude Oil",EXP((2799/(D119+459.6)-2.227)*LOG10(INDEX(FX_Input,Q$5,D$3*$Z$5+$AA$5))-(7261/(D119+459.6))+12.82),IF(D113="Refined Petroleum Stock",EXP((0.7553-(413/(D119+459.6)))*(INDEX(FX_Input,Q$5,D$3*$Z$5+$AA$5-1)^0.5)*LOG10(INDEX(FX_Input,Q$5,D$3*$Z$5+$AA$5))-(1.854-(1042/(D119+459.6)))*(INDEX(FX_Input,Q$5,D$3*$Z$5+$AA$5-1)^0.5)+((2416/(D119+459.6)-2.013)*LOG10(INDEX(FX_Input,Q$5,D$3*$Z$5+$AA$5)))-(8742/(D119+459.6))+15.64),EXP(INDEX(Antoines,MATCH(D112,Antoine_Name,0),2)-INDEX(Antoines,MATCH(D112,Antoine_Name,0),3)/(D119+459.6))))),0)</f>
        <v>0</v>
      </c>
      <c r="E128" cm="1">
        <f t="array" ref="E128">IFERROR(IF(E113="Chemical",(10^(INDEX(Antoines,MATCH(E112,Antoine_Name,0),2)-INDEX(Antoines,MATCH(E112,Antoine_Name,0),3)/(INDEX(Antoines,MATCH(E112,Antoine_Name,0),4)+(E119-32)*5/9)))*14.7/760,IF(E113="Crude Oil",EXP((2799/(E119+459.6)-2.227)*LOG10(INDEX(FX_Input,R$5,E$3*$Z$5+$AA$5))-(7261/(E119+459.6))+12.82),IF(E113="Refined Petroleum Stock",EXP((0.7553-(413/(E119+459.6)))*(INDEX(FX_Input,R$5,E$3*$Z$5+$AA$5-1)^0.5)*LOG10(INDEX(FX_Input,R$5,E$3*$Z$5+$AA$5))-(1.854-(1042/(E119+459.6)))*(INDEX(FX_Input,R$5,E$3*$Z$5+$AA$5-1)^0.5)+((2416/(E119+459.6)-2.013)*LOG10(INDEX(FX_Input,R$5,E$3*$Z$5+$AA$5)))-(8742/(E119+459.6))+15.64),EXP(INDEX(Antoines,MATCH(E112,Antoine_Name,0),2)-INDEX(Antoines,MATCH(E112,Antoine_Name,0),3)/(E119+459.6))))),0)</f>
        <v>0</v>
      </c>
      <c r="F128" cm="1">
        <f t="array" ref="F128">IFERROR(IF(F113="Chemical",(10^(INDEX(Antoines,MATCH(F112,Antoine_Name,0),2)-INDEX(Antoines,MATCH(F112,Antoine_Name,0),3)/(INDEX(Antoines,MATCH(F112,Antoine_Name,0),4)+(F119-32)*5/9)))*14.7/760,IF(F113="Crude Oil",EXP((2799/(F119+459.6)-2.227)*LOG10(INDEX(FX_Input,S$5,F$3*$Z$5+$AA$5))-(7261/(F119+459.6))+12.82),IF(F113="Refined Petroleum Stock",EXP((0.7553-(413/(F119+459.6)))*(INDEX(FX_Input,S$5,F$3*$Z$5+$AA$5-1)^0.5)*LOG10(INDEX(FX_Input,S$5,F$3*$Z$5+$AA$5))-(1.854-(1042/(F119+459.6)))*(INDEX(FX_Input,S$5,F$3*$Z$5+$AA$5-1)^0.5)+((2416/(F119+459.6)-2.013)*LOG10(INDEX(FX_Input,S$5,F$3*$Z$5+$AA$5)))-(8742/(F119+459.6))+15.64),EXP(INDEX(Antoines,MATCH(F112,Antoine_Name,0),2)-INDEX(Antoines,MATCH(F112,Antoine_Name,0),3)/(F119+459.6))))),0)</f>
        <v>0</v>
      </c>
      <c r="G128" cm="1">
        <f t="array" ref="G128">IFERROR(IF(G113="Chemical",(10^(INDEX(Antoines,MATCH(G112,Antoine_Name,0),2)-INDEX(Antoines,MATCH(G112,Antoine_Name,0),3)/(INDEX(Antoines,MATCH(G112,Antoine_Name,0),4)+(G119-32)*5/9)))*14.7/760,IF(G113="Crude Oil",EXP((2799/(G119+459.6)-2.227)*LOG10(INDEX(FX_Input,T$5,G$3*$Z$5+$AA$5))-(7261/(G119+459.6))+12.82),IF(G113="Refined Petroleum Stock",EXP((0.7553-(413/(G119+459.6)))*(INDEX(FX_Input,T$5,G$3*$Z$5+$AA$5-1)^0.5)*LOG10(INDEX(FX_Input,T$5,G$3*$Z$5+$AA$5))-(1.854-(1042/(G119+459.6)))*(INDEX(FX_Input,T$5,G$3*$Z$5+$AA$5-1)^0.5)+((2416/(G119+459.6)-2.013)*LOG10(INDEX(FX_Input,T$5,G$3*$Z$5+$AA$5)))-(8742/(G119+459.6))+15.64),EXP(INDEX(Antoines,MATCH(G112,Antoine_Name,0),2)-INDEX(Antoines,MATCH(G112,Antoine_Name,0),3)/(G119+459.6))))),0)</f>
        <v>0</v>
      </c>
      <c r="H128" cm="1">
        <f t="array" ref="H128">IFERROR(IF(H113="Chemical",(10^(INDEX(Antoines,MATCH(H112,Antoine_Name,0),2)-INDEX(Antoines,MATCH(H112,Antoine_Name,0),3)/(INDEX(Antoines,MATCH(H112,Antoine_Name,0),4)+(H119-32)*5/9)))*14.7/760,IF(H113="Crude Oil",EXP((2799/(H119+459.6)-2.227)*LOG10(INDEX(FX_Input,U$5,H$3*$Z$5+$AA$5))-(7261/(H119+459.6))+12.82),IF(H113="Refined Petroleum Stock",EXP((0.7553-(413/(H119+459.6)))*(INDEX(FX_Input,U$5,H$3*$Z$5+$AA$5-1)^0.5)*LOG10(INDEX(FX_Input,U$5,H$3*$Z$5+$AA$5))-(1.854-(1042/(H119+459.6)))*(INDEX(FX_Input,U$5,H$3*$Z$5+$AA$5-1)^0.5)+((2416/(H119+459.6)-2.013)*LOG10(INDEX(FX_Input,U$5,H$3*$Z$5+$AA$5)))-(8742/(H119+459.6))+15.64),EXP(INDEX(Antoines,MATCH(H112,Antoine_Name,0),2)-INDEX(Antoines,MATCH(H112,Antoine_Name,0),3)/(H119+459.6))))),0)</f>
        <v>0</v>
      </c>
      <c r="I128" cm="1">
        <f t="array" ref="I128">IFERROR(IF(I113="Chemical",(10^(INDEX(Antoines,MATCH(I112,Antoine_Name,0),2)-INDEX(Antoines,MATCH(I112,Antoine_Name,0),3)/(INDEX(Antoines,MATCH(I112,Antoine_Name,0),4)+(I119-32)*5/9)))*14.7/760,IF(I113="Crude Oil",EXP((2799/(I119+459.6)-2.227)*LOG10(INDEX(FX_Input,V$5,I$3*$Z$5+$AA$5))-(7261/(I119+459.6))+12.82),IF(I113="Refined Petroleum Stock",EXP((0.7553-(413/(I119+459.6)))*(INDEX(FX_Input,V$5,I$3*$Z$5+$AA$5-1)^0.5)*LOG10(INDEX(FX_Input,V$5,I$3*$Z$5+$AA$5))-(1.854-(1042/(I119+459.6)))*(INDEX(FX_Input,V$5,I$3*$Z$5+$AA$5-1)^0.5)+((2416/(I119+459.6)-2.013)*LOG10(INDEX(FX_Input,V$5,I$3*$Z$5+$AA$5)))-(8742/(I119+459.6))+15.64),EXP(INDEX(Antoines,MATCH(I112,Antoine_Name,0),2)-INDEX(Antoines,MATCH(I112,Antoine_Name,0),3)/(I119+459.6))))),0)</f>
        <v>0</v>
      </c>
      <c r="J128" cm="1">
        <f t="array" ref="J128">IFERROR(IF(J113="Chemical",(10^(INDEX(Antoines,MATCH(J112,Antoine_Name,0),2)-INDEX(Antoines,MATCH(J112,Antoine_Name,0),3)/(INDEX(Antoines,MATCH(J112,Antoine_Name,0),4)+(J119-32)*5/9)))*14.7/760,IF(J113="Crude Oil",EXP((2799/(J119+459.6)-2.227)*LOG10(INDEX(FX_Input,W$5,J$3*$Z$5+$AA$5))-(7261/(J119+459.6))+12.82),IF(J113="Refined Petroleum Stock",EXP((0.7553-(413/(J119+459.6)))*(INDEX(FX_Input,W$5,J$3*$Z$5+$AA$5-1)^0.5)*LOG10(INDEX(FX_Input,W$5,J$3*$Z$5+$AA$5))-(1.854-(1042/(J119+459.6)))*(INDEX(FX_Input,W$5,J$3*$Z$5+$AA$5-1)^0.5)+((2416/(J119+459.6)-2.013)*LOG10(INDEX(FX_Input,W$5,J$3*$Z$5+$AA$5)))-(8742/(J119+459.6))+15.64),EXP(INDEX(Antoines,MATCH(J112,Antoine_Name,0),2)-INDEX(Antoines,MATCH(J112,Antoine_Name,0),3)/(J119+459.6))))),0)</f>
        <v>0</v>
      </c>
      <c r="K128" cm="1">
        <f t="array" ref="K128">IFERROR(IF(K113="Chemical",(10^(INDEX(Antoines,MATCH(K112,Antoine_Name,0),2)-INDEX(Antoines,MATCH(K112,Antoine_Name,0),3)/(INDEX(Antoines,MATCH(K112,Antoine_Name,0),4)+(K119-32)*5/9)))*14.7/760,IF(K113="Crude Oil",EXP((2799/(K119+459.6)-2.227)*LOG10(INDEX(FX_Input,X$5,K$3*$Z$5+$AA$5))-(7261/(K119+459.6))+12.82),IF(K113="Refined Petroleum Stock",EXP((0.7553-(413/(K119+459.6)))*(INDEX(FX_Input,X$5,K$3*$Z$5+$AA$5-1)^0.5)*LOG10(INDEX(FX_Input,X$5,K$3*$Z$5+$AA$5))-(1.854-(1042/(K119+459.6)))*(INDEX(FX_Input,X$5,K$3*$Z$5+$AA$5-1)^0.5)+((2416/(K119+459.6)-2.013)*LOG10(INDEX(FX_Input,X$5,K$3*$Z$5+$AA$5)))-(8742/(K119+459.6))+15.64),EXP(INDEX(Antoines,MATCH(K112,Antoine_Name,0),2)-INDEX(Antoines,MATCH(K112,Antoine_Name,0),3)/(K119+459.6))))),0)</f>
        <v>0</v>
      </c>
      <c r="L128" cm="1">
        <f t="array" ref="L128">IFERROR(IF(L113="Chemical",(10^(INDEX(Antoines,MATCH(L112,Antoine_Name,0),2)-INDEX(Antoines,MATCH(L112,Antoine_Name,0),3)/(INDEX(Antoines,MATCH(L112,Antoine_Name,0),4)+(L119-32)*5/9)))*14.7/760,IF(L113="Crude Oil",EXP((2799/(L119+459.6)-2.227)*LOG10(INDEX(FX_Input,Y$5,L$3*$Z$5+$AA$5))-(7261/(L119+459.6))+12.82),IF(L113="Refined Petroleum Stock",EXP((0.7553-(413/(L119+459.6)))*(INDEX(FX_Input,Y$5,L$3*$Z$5+$AA$5-1)^0.5)*LOG10(INDEX(FX_Input,Y$5,L$3*$Z$5+$AA$5))-(1.854-(1042/(L119+459.6)))*(INDEX(FX_Input,Y$5,L$3*$Z$5+$AA$5-1)^0.5)+((2416/(L119+459.6)-2.013)*LOG10(INDEX(FX_Input,Y$5,L$3*$Z$5+$AA$5)))-(8742/(L119+459.6))+15.64),EXP(INDEX(Antoines,MATCH(L112,Antoine_Name,0),2)-INDEX(Antoines,MATCH(L112,Antoine_Name,0),3)/(L119+459.6))))),0)</f>
        <v>0</v>
      </c>
      <c r="M128" cm="1">
        <f t="array" ref="M128">IFERROR(IF(M113="Chemical",(10^(INDEX(Antoines,MATCH(M112,Antoine_Name,0),2)-INDEX(Antoines,MATCH(M112,Antoine_Name,0),3)/(INDEX(Antoines,MATCH(M112,Antoine_Name,0),4)+(M119-32)*5/9)))*14.7/760,IF(M113="Crude Oil",EXP((2799/(M119+459.6)-2.227)*LOG10(INDEX(FX_Input,Z$5,M$3*$Z$5+$AA$5))-(7261/(M119+459.6))+12.82),IF(M113="Refined Petroleum Stock",EXP((0.7553-(413/(M119+459.6)))*(INDEX(FX_Input,Z$5,M$3*$Z$5+$AA$5-1)^0.5)*LOG10(INDEX(FX_Input,Z$5,M$3*$Z$5+$AA$5))-(1.854-(1042/(M119+459.6)))*(INDEX(FX_Input,Z$5,M$3*$Z$5+$AA$5-1)^0.5)+((2416/(M119+459.6)-2.013)*LOG10(INDEX(FX_Input,Z$5,M$3*$Z$5+$AA$5)))-(8742/(M119+459.6))+15.64),EXP(INDEX(Antoines,MATCH(M112,Antoine_Name,0),2)-INDEX(Antoines,MATCH(M112,Antoine_Name,0),3)/(M119+459.6))))),0)</f>
        <v>0</v>
      </c>
      <c r="N128" cm="1">
        <f t="array" ref="N128">IFERROR(IF(N113="Chemical",(10^(INDEX(Antoines,MATCH(N112,Antoine_Name,0),2)-INDEX(Antoines,MATCH(N112,Antoine_Name,0),3)/(INDEX(Antoines,MATCH(N112,Antoine_Name,0),4)+(N119-32)*5/9)))*14.7/760,IF(N113="Crude Oil",EXP((2799/(N119+459.6)-2.227)*LOG10(INDEX(FX_Input,AA$5,N$3*$Z$5+$AA$5))-(7261/(N119+459.6))+12.82),IF(N113="Refined Petroleum Stock",EXP((0.7553-(413/(N119+459.6)))*(INDEX(FX_Input,AA$5,N$3*$Z$5+$AA$5-1)^0.5)*LOG10(INDEX(FX_Input,AA$5,N$3*$Z$5+$AA$5))-(1.854-(1042/(N119+459.6)))*(INDEX(FX_Input,AA$5,N$3*$Z$5+$AA$5-1)^0.5)+((2416/(N119+459.6)-2.013)*LOG10(INDEX(FX_Input,AA$5,N$3*$Z$5+$AA$5)))-(8742/(N119+459.6))+15.64),EXP(INDEX(Antoines,MATCH(N112,Antoine_Name,0),2)-INDEX(Antoines,MATCH(N112,Antoine_Name,0),3)/(N119+459.6))))),0)</f>
        <v>0</v>
      </c>
      <c r="O128" cm="1">
        <f t="array" ref="O128">IFERROR(IF(O113="Chemical",(10^(INDEX(Antoines,MATCH(O112,Antoine_Name,0),2)-INDEX(Antoines,MATCH(O112,Antoine_Name,0),3)/(INDEX(Antoines,MATCH(O112,Antoine_Name,0),4)+(O119-32)*5/9)))*14.7/760,IF(O113="Crude Oil",EXP((2799/(O119+459.6)-2.227)*LOG10(INDEX(FX_Input,AB$5,O$3*$Z$5+$AA$5))-(7261/(O119+459.6))+12.82),IF(O113="Refined Petroleum Stock",EXP((0.7553-(413/(O119+459.6)))*(INDEX(FX_Input,AB$5,O$3*$Z$5+$AA$5-1)^0.5)*LOG10(INDEX(FX_Input,AB$5,O$3*$Z$5+$AA$5))-(1.854-(1042/(O119+459.6)))*(INDEX(FX_Input,AB$5,O$3*$Z$5+$AA$5-1)^0.5)+((2416/(O119+459.6)-2.013)*LOG10(INDEX(FX_Input,AB$5,O$3*$Z$5+$AA$5)))-(8742/(O119+459.6))+15.64),EXP(INDEX(Antoines,MATCH(O112,Antoine_Name,0),2)-INDEX(Antoines,MATCH(O112,Antoine_Name,0),3)/(O119+459.6))))),0)</f>
        <v>0</v>
      </c>
    </row>
    <row r="129" spans="1:32" ht="17.149999999999999" x14ac:dyDescent="0.55000000000000004">
      <c r="B129" t="str">
        <f t="shared" si="276"/>
        <v>Portland</v>
      </c>
      <c r="C129" t="s">
        <v>582</v>
      </c>
      <c r="D129">
        <f>D128*D116</f>
        <v>0</v>
      </c>
      <c r="E129">
        <f t="shared" ref="E129" si="321">E128*E116</f>
        <v>0</v>
      </c>
      <c r="F129">
        <f t="shared" ref="F129" si="322">F128*F116</f>
        <v>0</v>
      </c>
      <c r="G129">
        <f t="shared" ref="G129" si="323">G128*G116</f>
        <v>0</v>
      </c>
      <c r="H129">
        <f t="shared" ref="H129" si="324">H128*H116</f>
        <v>0</v>
      </c>
      <c r="I129">
        <f t="shared" ref="I129" si="325">I128*I116</f>
        <v>0</v>
      </c>
      <c r="J129">
        <f t="shared" ref="J129" si="326">J128*J116</f>
        <v>0</v>
      </c>
      <c r="K129">
        <f t="shared" ref="K129" si="327">K128*K116</f>
        <v>0</v>
      </c>
      <c r="L129">
        <f t="shared" ref="L129" si="328">L128*L116</f>
        <v>0</v>
      </c>
      <c r="M129">
        <f t="shared" ref="M129" si="329">M128*M116</f>
        <v>0</v>
      </c>
      <c r="N129">
        <f t="shared" ref="N129" si="330">N128*N116</f>
        <v>0</v>
      </c>
      <c r="O129">
        <f t="shared" ref="O129" si="331">O128*O116</f>
        <v>0</v>
      </c>
    </row>
    <row r="130" spans="1:32" ht="17.149999999999999" x14ac:dyDescent="0.55000000000000004">
      <c r="B130" t="str">
        <f t="shared" si="276"/>
        <v>Portland</v>
      </c>
      <c r="C130" t="s">
        <v>583</v>
      </c>
      <c r="D130">
        <f>D127+D129</f>
        <v>4.739577185808354E-3</v>
      </c>
      <c r="E130">
        <f t="shared" ref="E130" si="332">E127+E129</f>
        <v>4.8748667780818778E-3</v>
      </c>
      <c r="F130">
        <f t="shared" ref="F130" si="333">F127+F129</f>
        <v>5.119885034186122E-3</v>
      </c>
      <c r="G130">
        <f t="shared" ref="G130" si="334">G127+G129</f>
        <v>5.5846958573521795E-3</v>
      </c>
      <c r="H130">
        <f t="shared" ref="H130" si="335">H127+H129</f>
        <v>6.5274070972739821E-3</v>
      </c>
      <c r="I130">
        <f t="shared" ref="I130" si="336">I127+I129</f>
        <v>7.4199539958878279E-3</v>
      </c>
      <c r="J130">
        <f t="shared" ref="J130" si="337">J127+J129</f>
        <v>8.3358107202842254E-3</v>
      </c>
      <c r="K130">
        <f t="shared" ref="K130" si="338">K127+K129</f>
        <v>8.4605262729351115E-3</v>
      </c>
      <c r="L130">
        <f t="shared" ref="L130" si="339">L127+L129</f>
        <v>7.8399882233967533E-3</v>
      </c>
      <c r="M130">
        <f t="shared" ref="M130" si="340">M127+M129</f>
        <v>6.4173462075160911E-3</v>
      </c>
      <c r="N130">
        <f t="shared" ref="N130" si="341">N127+N129</f>
        <v>5.3015226887581056E-3</v>
      </c>
      <c r="O130">
        <f t="shared" ref="O130" si="342">O127+O129</f>
        <v>4.68970903600947E-3</v>
      </c>
    </row>
    <row r="131" spans="1:32" ht="17.149999999999999" x14ac:dyDescent="0.55000000000000004">
      <c r="B131" t="str">
        <f t="shared" si="276"/>
        <v>Portland</v>
      </c>
      <c r="C131" t="s">
        <v>1388</v>
      </c>
      <c r="D131" cm="1">
        <f t="array" ref="D131">IFERROR(IF(D111="Chemical",(10^(INDEX(Antoines,MATCH(D110,Antoine_Name,0),2)-INDEX(Antoines,MATCH(D110,Antoine_Name,0),3)/(INDEX(Antoines,MATCH(D110,Antoine_Name,0),4)+(D120-32)*5/9)))*14.7/760,IF(D111="Crude Oil",EXP((2799/(D120+459.6)-2.227)*LOG10(INDEX(FX_Input,Q$5,D$3*$Z$5+$AA$5))-(7261/(D120+459.6))+12.82),IF(D111="Refined Petroleum Stock",EXP((0.7553-(413/(D120+459.6)))*(INDEX(FX_Input,Q$5,D$3*$Z$5+$AA$5-1)^0.5)*LOG10(INDEX(FX_Input,Q$5,D$3*$Z$5+$AA$5))-(1.854-(1042/(D120+459.6)))*(INDEX(FX_Input,Q$5,D$3*$Z$5+$AA$5-1)^0.5)+((2416/(D120+459.6)-2.013)*LOG10(INDEX(FX_Input,Q$5,D$3*$Z$5+$AA$5)))-(8742/(D120+459.6))+15.64),EXP(INDEX(Antoines,MATCH(D110,Antoine_Name,0),2)-INDEX(Antoines,MATCH(D110,Antoine_Name,0),3)/(D120+459.6))))),0)</f>
        <v>4.739577185808354E-3</v>
      </c>
      <c r="E131" cm="1">
        <f t="array" ref="E131">IFERROR(IF(E111="Chemical",(10^(INDEX(Antoines,MATCH(E110,Antoine_Name,0),2)-INDEX(Antoines,MATCH(E110,Antoine_Name,0),3)/(INDEX(Antoines,MATCH(E110,Antoine_Name,0),4)+(E120-32)*5/9)))*14.7/760,IF(E111="Crude Oil",EXP((2799/(E120+459.6)-2.227)*LOG10(INDEX(FX_Input,R$5,E$3*$Z$5+$AA$5))-(7261/(E120+459.6))+12.82),IF(E111="Refined Petroleum Stock",EXP((0.7553-(413/(E120+459.6)))*(INDEX(FX_Input,R$5,E$3*$Z$5+$AA$5-1)^0.5)*LOG10(INDEX(FX_Input,R$5,E$3*$Z$5+$AA$5))-(1.854-(1042/(E120+459.6)))*(INDEX(FX_Input,R$5,E$3*$Z$5+$AA$5-1)^0.5)+((2416/(E120+459.6)-2.013)*LOG10(INDEX(FX_Input,R$5,E$3*$Z$5+$AA$5)))-(8742/(E120+459.6))+15.64),EXP(INDEX(Antoines,MATCH(E110,Antoine_Name,0),2)-INDEX(Antoines,MATCH(E110,Antoine_Name,0),3)/(E120+459.6))))),0)</f>
        <v>4.8748667780818778E-3</v>
      </c>
      <c r="F131" cm="1">
        <f t="array" ref="F131">IFERROR(IF(F111="Chemical",(10^(INDEX(Antoines,MATCH(F110,Antoine_Name,0),2)-INDEX(Antoines,MATCH(F110,Antoine_Name,0),3)/(INDEX(Antoines,MATCH(F110,Antoine_Name,0),4)+(F120-32)*5/9)))*14.7/760,IF(F111="Crude Oil",EXP((2799/(F120+459.6)-2.227)*LOG10(INDEX(FX_Input,S$5,F$3*$Z$5+$AA$5))-(7261/(F120+459.6))+12.82),IF(F111="Refined Petroleum Stock",EXP((0.7553-(413/(F120+459.6)))*(INDEX(FX_Input,S$5,F$3*$Z$5+$AA$5-1)^0.5)*LOG10(INDEX(FX_Input,S$5,F$3*$Z$5+$AA$5))-(1.854-(1042/(F120+459.6)))*(INDEX(FX_Input,S$5,F$3*$Z$5+$AA$5-1)^0.5)+((2416/(F120+459.6)-2.013)*LOG10(INDEX(FX_Input,S$5,F$3*$Z$5+$AA$5)))-(8742/(F120+459.6))+15.64),EXP(INDEX(Antoines,MATCH(F110,Antoine_Name,0),2)-INDEX(Antoines,MATCH(F110,Antoine_Name,0),3)/(F120+459.6))))),0)</f>
        <v>5.119885034186122E-3</v>
      </c>
      <c r="G131" cm="1">
        <f t="array" ref="G131">IFERROR(IF(G111="Chemical",(10^(INDEX(Antoines,MATCH(G110,Antoine_Name,0),2)-INDEX(Antoines,MATCH(G110,Antoine_Name,0),3)/(INDEX(Antoines,MATCH(G110,Antoine_Name,0),4)+(G120-32)*5/9)))*14.7/760,IF(G111="Crude Oil",EXP((2799/(G120+459.6)-2.227)*LOG10(INDEX(FX_Input,T$5,G$3*$Z$5+$AA$5))-(7261/(G120+459.6))+12.82),IF(G111="Refined Petroleum Stock",EXP((0.7553-(413/(G120+459.6)))*(INDEX(FX_Input,T$5,G$3*$Z$5+$AA$5-1)^0.5)*LOG10(INDEX(FX_Input,T$5,G$3*$Z$5+$AA$5))-(1.854-(1042/(G120+459.6)))*(INDEX(FX_Input,T$5,G$3*$Z$5+$AA$5-1)^0.5)+((2416/(G120+459.6)-2.013)*LOG10(INDEX(FX_Input,T$5,G$3*$Z$5+$AA$5)))-(8742/(G120+459.6))+15.64),EXP(INDEX(Antoines,MATCH(G110,Antoine_Name,0),2)-INDEX(Antoines,MATCH(G110,Antoine_Name,0),3)/(G120+459.6))))),0)</f>
        <v>5.5846958573521795E-3</v>
      </c>
      <c r="H131" cm="1">
        <f t="array" ref="H131">IFERROR(IF(H111="Chemical",(10^(INDEX(Antoines,MATCH(H110,Antoine_Name,0),2)-INDEX(Antoines,MATCH(H110,Antoine_Name,0),3)/(INDEX(Antoines,MATCH(H110,Antoine_Name,0),4)+(H120-32)*5/9)))*14.7/760,IF(H111="Crude Oil",EXP((2799/(H120+459.6)-2.227)*LOG10(INDEX(FX_Input,U$5,H$3*$Z$5+$AA$5))-(7261/(H120+459.6))+12.82),IF(H111="Refined Petroleum Stock",EXP((0.7553-(413/(H120+459.6)))*(INDEX(FX_Input,U$5,H$3*$Z$5+$AA$5-1)^0.5)*LOG10(INDEX(FX_Input,U$5,H$3*$Z$5+$AA$5))-(1.854-(1042/(H120+459.6)))*(INDEX(FX_Input,U$5,H$3*$Z$5+$AA$5-1)^0.5)+((2416/(H120+459.6)-2.013)*LOG10(INDEX(FX_Input,U$5,H$3*$Z$5+$AA$5)))-(8742/(H120+459.6))+15.64),EXP(INDEX(Antoines,MATCH(H110,Antoine_Name,0),2)-INDEX(Antoines,MATCH(H110,Antoine_Name,0),3)/(H120+459.6))))),0)</f>
        <v>6.5274070972739821E-3</v>
      </c>
      <c r="I131" cm="1">
        <f t="array" ref="I131">IFERROR(IF(I111="Chemical",(10^(INDEX(Antoines,MATCH(I110,Antoine_Name,0),2)-INDEX(Antoines,MATCH(I110,Antoine_Name,0),3)/(INDEX(Antoines,MATCH(I110,Antoine_Name,0),4)+(I120-32)*5/9)))*14.7/760,IF(I111="Crude Oil",EXP((2799/(I120+459.6)-2.227)*LOG10(INDEX(FX_Input,V$5,I$3*$Z$5+$AA$5))-(7261/(I120+459.6))+12.82),IF(I111="Refined Petroleum Stock",EXP((0.7553-(413/(I120+459.6)))*(INDEX(FX_Input,V$5,I$3*$Z$5+$AA$5-1)^0.5)*LOG10(INDEX(FX_Input,V$5,I$3*$Z$5+$AA$5))-(1.854-(1042/(I120+459.6)))*(INDEX(FX_Input,V$5,I$3*$Z$5+$AA$5-1)^0.5)+((2416/(I120+459.6)-2.013)*LOG10(INDEX(FX_Input,V$5,I$3*$Z$5+$AA$5)))-(8742/(I120+459.6))+15.64),EXP(INDEX(Antoines,MATCH(I110,Antoine_Name,0),2)-INDEX(Antoines,MATCH(I110,Antoine_Name,0),3)/(I120+459.6))))),0)</f>
        <v>7.4199539958878279E-3</v>
      </c>
      <c r="J131" cm="1">
        <f t="array" ref="J131">IFERROR(IF(J111="Chemical",(10^(INDEX(Antoines,MATCH(J110,Antoine_Name,0),2)-INDEX(Antoines,MATCH(J110,Antoine_Name,0),3)/(INDEX(Antoines,MATCH(J110,Antoine_Name,0),4)+(J120-32)*5/9)))*14.7/760,IF(J111="Crude Oil",EXP((2799/(J120+459.6)-2.227)*LOG10(INDEX(FX_Input,W$5,J$3*$Z$5+$AA$5))-(7261/(J120+459.6))+12.82),IF(J111="Refined Petroleum Stock",EXP((0.7553-(413/(J120+459.6)))*(INDEX(FX_Input,W$5,J$3*$Z$5+$AA$5-1)^0.5)*LOG10(INDEX(FX_Input,W$5,J$3*$Z$5+$AA$5))-(1.854-(1042/(J120+459.6)))*(INDEX(FX_Input,W$5,J$3*$Z$5+$AA$5-1)^0.5)+((2416/(J120+459.6)-2.013)*LOG10(INDEX(FX_Input,W$5,J$3*$Z$5+$AA$5)))-(8742/(J120+459.6))+15.64),EXP(INDEX(Antoines,MATCH(J110,Antoine_Name,0),2)-INDEX(Antoines,MATCH(J110,Antoine_Name,0),3)/(J120+459.6))))),0)</f>
        <v>8.3358107202842254E-3</v>
      </c>
      <c r="K131" cm="1">
        <f t="array" ref="K131">IFERROR(IF(K111="Chemical",(10^(INDEX(Antoines,MATCH(K110,Antoine_Name,0),2)-INDEX(Antoines,MATCH(K110,Antoine_Name,0),3)/(INDEX(Antoines,MATCH(K110,Antoine_Name,0),4)+(K120-32)*5/9)))*14.7/760,IF(K111="Crude Oil",EXP((2799/(K120+459.6)-2.227)*LOG10(INDEX(FX_Input,X$5,K$3*$Z$5+$AA$5))-(7261/(K120+459.6))+12.82),IF(K111="Refined Petroleum Stock",EXP((0.7553-(413/(K120+459.6)))*(INDEX(FX_Input,X$5,K$3*$Z$5+$AA$5-1)^0.5)*LOG10(INDEX(FX_Input,X$5,K$3*$Z$5+$AA$5))-(1.854-(1042/(K120+459.6)))*(INDEX(FX_Input,X$5,K$3*$Z$5+$AA$5-1)^0.5)+((2416/(K120+459.6)-2.013)*LOG10(INDEX(FX_Input,X$5,K$3*$Z$5+$AA$5)))-(8742/(K120+459.6))+15.64),EXP(INDEX(Antoines,MATCH(K110,Antoine_Name,0),2)-INDEX(Antoines,MATCH(K110,Antoine_Name,0),3)/(K120+459.6))))),0)</f>
        <v>8.4605262729351115E-3</v>
      </c>
      <c r="L131" cm="1">
        <f t="array" ref="L131">IFERROR(IF(L111="Chemical",(10^(INDEX(Antoines,MATCH(L110,Antoine_Name,0),2)-INDEX(Antoines,MATCH(L110,Antoine_Name,0),3)/(INDEX(Antoines,MATCH(L110,Antoine_Name,0),4)+(L120-32)*5/9)))*14.7/760,IF(L111="Crude Oil",EXP((2799/(L120+459.6)-2.227)*LOG10(INDEX(FX_Input,Y$5,L$3*$Z$5+$AA$5))-(7261/(L120+459.6))+12.82),IF(L111="Refined Petroleum Stock",EXP((0.7553-(413/(L120+459.6)))*(INDEX(FX_Input,Y$5,L$3*$Z$5+$AA$5-1)^0.5)*LOG10(INDEX(FX_Input,Y$5,L$3*$Z$5+$AA$5))-(1.854-(1042/(L120+459.6)))*(INDEX(FX_Input,Y$5,L$3*$Z$5+$AA$5-1)^0.5)+((2416/(L120+459.6)-2.013)*LOG10(INDEX(FX_Input,Y$5,L$3*$Z$5+$AA$5)))-(8742/(L120+459.6))+15.64),EXP(INDEX(Antoines,MATCH(L110,Antoine_Name,0),2)-INDEX(Antoines,MATCH(L110,Antoine_Name,0),3)/(L120+459.6))))),0)</f>
        <v>7.8399882233967533E-3</v>
      </c>
      <c r="M131" cm="1">
        <f t="array" ref="M131">IFERROR(IF(M111="Chemical",(10^(INDEX(Antoines,MATCH(M110,Antoine_Name,0),2)-INDEX(Antoines,MATCH(M110,Antoine_Name,0),3)/(INDEX(Antoines,MATCH(M110,Antoine_Name,0),4)+(M120-32)*5/9)))*14.7/760,IF(M111="Crude Oil",EXP((2799/(M120+459.6)-2.227)*LOG10(INDEX(FX_Input,Z$5,M$3*$Z$5+$AA$5))-(7261/(M120+459.6))+12.82),IF(M111="Refined Petroleum Stock",EXP((0.7553-(413/(M120+459.6)))*(INDEX(FX_Input,Z$5,M$3*$Z$5+$AA$5-1)^0.5)*LOG10(INDEX(FX_Input,Z$5,M$3*$Z$5+$AA$5))-(1.854-(1042/(M120+459.6)))*(INDEX(FX_Input,Z$5,M$3*$Z$5+$AA$5-1)^0.5)+((2416/(M120+459.6)-2.013)*LOG10(INDEX(FX_Input,Z$5,M$3*$Z$5+$AA$5)))-(8742/(M120+459.6))+15.64),EXP(INDEX(Antoines,MATCH(M110,Antoine_Name,0),2)-INDEX(Antoines,MATCH(M110,Antoine_Name,0),3)/(M120+459.6))))),0)</f>
        <v>6.4173462075160911E-3</v>
      </c>
      <c r="N131" cm="1">
        <f t="array" ref="N131">IFERROR(IF(N111="Chemical",(10^(INDEX(Antoines,MATCH(N110,Antoine_Name,0),2)-INDEX(Antoines,MATCH(N110,Antoine_Name,0),3)/(INDEX(Antoines,MATCH(N110,Antoine_Name,0),4)+(N120-32)*5/9)))*14.7/760,IF(N111="Crude Oil",EXP((2799/(N120+459.6)-2.227)*LOG10(INDEX(FX_Input,AA$5,N$3*$Z$5+$AA$5))-(7261/(N120+459.6))+12.82),IF(N111="Refined Petroleum Stock",EXP((0.7553-(413/(N120+459.6)))*(INDEX(FX_Input,AA$5,N$3*$Z$5+$AA$5-1)^0.5)*LOG10(INDEX(FX_Input,AA$5,N$3*$Z$5+$AA$5))-(1.854-(1042/(N120+459.6)))*(INDEX(FX_Input,AA$5,N$3*$Z$5+$AA$5-1)^0.5)+((2416/(N120+459.6)-2.013)*LOG10(INDEX(FX_Input,AA$5,N$3*$Z$5+$AA$5)))-(8742/(N120+459.6))+15.64),EXP(INDEX(Antoines,MATCH(N110,Antoine_Name,0),2)-INDEX(Antoines,MATCH(N110,Antoine_Name,0),3)/(N120+459.6))))),0)</f>
        <v>5.3015226887581056E-3</v>
      </c>
      <c r="O131" cm="1">
        <f t="array" ref="O131">IFERROR(IF(O111="Chemical",(10^(INDEX(Antoines,MATCH(O110,Antoine_Name,0),2)-INDEX(Antoines,MATCH(O110,Antoine_Name,0),3)/(INDEX(Antoines,MATCH(O110,Antoine_Name,0),4)+(O120-32)*5/9)))*14.7/760,IF(O111="Crude Oil",EXP((2799/(O120+459.6)-2.227)*LOG10(INDEX(FX_Input,AB$5,O$3*$Z$5+$AA$5))-(7261/(O120+459.6))+12.82),IF(O111="Refined Petroleum Stock",EXP((0.7553-(413/(O120+459.6)))*(INDEX(FX_Input,AB$5,O$3*$Z$5+$AA$5-1)^0.5)*LOG10(INDEX(FX_Input,AB$5,O$3*$Z$5+$AA$5))-(1.854-(1042/(O120+459.6)))*(INDEX(FX_Input,AB$5,O$3*$Z$5+$AA$5-1)^0.5)+((2416/(O120+459.6)-2.013)*LOG10(INDEX(FX_Input,AB$5,O$3*$Z$5+$AA$5)))-(8742/(O120+459.6))+15.64),EXP(INDEX(Antoines,MATCH(O110,Antoine_Name,0),2)-INDEX(Antoines,MATCH(O110,Antoine_Name,0),3)/(O120+459.6))))),0)</f>
        <v>4.68970903600947E-3</v>
      </c>
    </row>
    <row r="132" spans="1:32" ht="17.149999999999999" x14ac:dyDescent="0.55000000000000004">
      <c r="B132" t="str">
        <f t="shared" si="276"/>
        <v>Portland</v>
      </c>
      <c r="C132" t="s">
        <v>1389</v>
      </c>
      <c r="D132">
        <f>D131*D114</f>
        <v>4.739577185808354E-3</v>
      </c>
      <c r="E132">
        <f t="shared" ref="E132" si="343">E131*E114</f>
        <v>4.8748667780818778E-3</v>
      </c>
      <c r="F132">
        <f t="shared" ref="F132" si="344">F131*F114</f>
        <v>5.119885034186122E-3</v>
      </c>
      <c r="G132">
        <f t="shared" ref="G132" si="345">G131*G114</f>
        <v>5.5846958573521795E-3</v>
      </c>
      <c r="H132">
        <f t="shared" ref="H132" si="346">H131*H114</f>
        <v>6.5274070972739821E-3</v>
      </c>
      <c r="I132">
        <f t="shared" ref="I132" si="347">I131*I114</f>
        <v>7.4199539958878279E-3</v>
      </c>
      <c r="J132">
        <f t="shared" ref="J132" si="348">J131*J114</f>
        <v>8.3358107202842254E-3</v>
      </c>
      <c r="K132">
        <f t="shared" ref="K132" si="349">K131*K114</f>
        <v>8.4605262729351115E-3</v>
      </c>
      <c r="L132">
        <f t="shared" ref="L132" si="350">L131*L114</f>
        <v>7.8399882233967533E-3</v>
      </c>
      <c r="M132">
        <f t="shared" ref="M132" si="351">M131*M114</f>
        <v>6.4173462075160911E-3</v>
      </c>
      <c r="N132">
        <f t="shared" ref="N132" si="352">N131*N114</f>
        <v>5.3015226887581056E-3</v>
      </c>
      <c r="O132">
        <f t="shared" ref="O132" si="353">O131*O114</f>
        <v>4.68970903600947E-3</v>
      </c>
    </row>
    <row r="133" spans="1:32" ht="17.149999999999999" x14ac:dyDescent="0.55000000000000004">
      <c r="B133" t="str">
        <f t="shared" si="276"/>
        <v>Portland</v>
      </c>
      <c r="C133" t="s">
        <v>1390</v>
      </c>
      <c r="D133" cm="1">
        <f t="array" ref="D133">IFERROR(IF(D113="Chemical",(10^(INDEX(Antoines,MATCH(D112,Antoine_Name,0),2)-INDEX(Antoines,MATCH(D112,Antoine_Name,0),3)/(INDEX(Antoines,MATCH(D112,Antoine_Name,0),4)+(D120-32)*5/9)))*14.7/760,IF(D113="Crude Oil",EXP((2799/(D120+459.6)-2.227)*LOG10(INDEX(FX_Input,Q$5,D$3*$Z$5+$AA$5))-(7261/(D120+459.6))+12.82),IF(D113="Refined Petroleum Stock",EXP((0.7553-(413/(D120+459.6)))*(INDEX(FX_Input,Q$5,D$3*$Z$5+$AA$5-1)^0.5)*LOG10(INDEX(FX_Input,Q$5,D$3*$Z$5+$AA$5))-(1.854-(1042/(D120+459.6)))*(INDEX(FX_Input,Q$5,D$3*$Z$5+$AA$5-1)^0.5)+((2416/(D120+459.6)-2.013)*LOG10(INDEX(FX_Input,Q$5,D$3*$Z$5+$AA$5)))-(8742/(D120+459.6))+15.64),EXP(INDEX(Antoines,MATCH(D112,Antoine_Name,0),2)-INDEX(Antoines,MATCH(D112,Antoine_Name,0),3)/(D120+459.6))))),0)</f>
        <v>0</v>
      </c>
      <c r="E133" cm="1">
        <f t="array" ref="E133">IFERROR(IF(E113="Chemical",(10^(INDEX(Antoines,MATCH(E112,Antoine_Name,0),2)-INDEX(Antoines,MATCH(E112,Antoine_Name,0),3)/(INDEX(Antoines,MATCH(E112,Antoine_Name,0),4)+(E120-32)*5/9)))*14.7/760,IF(E113="Crude Oil",EXP((2799/(E120+459.6)-2.227)*LOG10(INDEX(FX_Input,R$5,E$3*$Z$5+$AA$5))-(7261/(E120+459.6))+12.82),IF(E113="Refined Petroleum Stock",EXP((0.7553-(413/(E120+459.6)))*(INDEX(FX_Input,R$5,E$3*$Z$5+$AA$5-1)^0.5)*LOG10(INDEX(FX_Input,R$5,E$3*$Z$5+$AA$5))-(1.854-(1042/(E120+459.6)))*(INDEX(FX_Input,R$5,E$3*$Z$5+$AA$5-1)^0.5)+((2416/(E120+459.6)-2.013)*LOG10(INDEX(FX_Input,R$5,E$3*$Z$5+$AA$5)))-(8742/(E120+459.6))+15.64),EXP(INDEX(Antoines,MATCH(E112,Antoine_Name,0),2)-INDEX(Antoines,MATCH(E112,Antoine_Name,0),3)/(E120+459.6))))),0)</f>
        <v>0</v>
      </c>
      <c r="F133" cm="1">
        <f t="array" ref="F133">IFERROR(IF(F113="Chemical",(10^(INDEX(Antoines,MATCH(F112,Antoine_Name,0),2)-INDEX(Antoines,MATCH(F112,Antoine_Name,0),3)/(INDEX(Antoines,MATCH(F112,Antoine_Name,0),4)+(F120-32)*5/9)))*14.7/760,IF(F113="Crude Oil",EXP((2799/(F120+459.6)-2.227)*LOG10(INDEX(FX_Input,S$5,F$3*$Z$5+$AA$5))-(7261/(F120+459.6))+12.82),IF(F113="Refined Petroleum Stock",EXP((0.7553-(413/(F120+459.6)))*(INDEX(FX_Input,S$5,F$3*$Z$5+$AA$5-1)^0.5)*LOG10(INDEX(FX_Input,S$5,F$3*$Z$5+$AA$5))-(1.854-(1042/(F120+459.6)))*(INDEX(FX_Input,S$5,F$3*$Z$5+$AA$5-1)^0.5)+((2416/(F120+459.6)-2.013)*LOG10(INDEX(FX_Input,S$5,F$3*$Z$5+$AA$5)))-(8742/(F120+459.6))+15.64),EXP(INDEX(Antoines,MATCH(F112,Antoine_Name,0),2)-INDEX(Antoines,MATCH(F112,Antoine_Name,0),3)/(F120+459.6))))),0)</f>
        <v>0</v>
      </c>
      <c r="G133" cm="1">
        <f t="array" ref="G133">IFERROR(IF(G113="Chemical",(10^(INDEX(Antoines,MATCH(G112,Antoine_Name,0),2)-INDEX(Antoines,MATCH(G112,Antoine_Name,0),3)/(INDEX(Antoines,MATCH(G112,Antoine_Name,0),4)+(G120-32)*5/9)))*14.7/760,IF(G113="Crude Oil",EXP((2799/(G120+459.6)-2.227)*LOG10(INDEX(FX_Input,T$5,G$3*$Z$5+$AA$5))-(7261/(G120+459.6))+12.82),IF(G113="Refined Petroleum Stock",EXP((0.7553-(413/(G120+459.6)))*(INDEX(FX_Input,T$5,G$3*$Z$5+$AA$5-1)^0.5)*LOG10(INDEX(FX_Input,T$5,G$3*$Z$5+$AA$5))-(1.854-(1042/(G120+459.6)))*(INDEX(FX_Input,T$5,G$3*$Z$5+$AA$5-1)^0.5)+((2416/(G120+459.6)-2.013)*LOG10(INDEX(FX_Input,T$5,G$3*$Z$5+$AA$5)))-(8742/(G120+459.6))+15.64),EXP(INDEX(Antoines,MATCH(G112,Antoine_Name,0),2)-INDEX(Antoines,MATCH(G112,Antoine_Name,0),3)/(G120+459.6))))),0)</f>
        <v>0</v>
      </c>
      <c r="H133" cm="1">
        <f t="array" ref="H133">IFERROR(IF(H113="Chemical",(10^(INDEX(Antoines,MATCH(H112,Antoine_Name,0),2)-INDEX(Antoines,MATCH(H112,Antoine_Name,0),3)/(INDEX(Antoines,MATCH(H112,Antoine_Name,0),4)+(H120-32)*5/9)))*14.7/760,IF(H113="Crude Oil",EXP((2799/(H120+459.6)-2.227)*LOG10(INDEX(FX_Input,U$5,H$3*$Z$5+$AA$5))-(7261/(H120+459.6))+12.82),IF(H113="Refined Petroleum Stock",EXP((0.7553-(413/(H120+459.6)))*(INDEX(FX_Input,U$5,H$3*$Z$5+$AA$5-1)^0.5)*LOG10(INDEX(FX_Input,U$5,H$3*$Z$5+$AA$5))-(1.854-(1042/(H120+459.6)))*(INDEX(FX_Input,U$5,H$3*$Z$5+$AA$5-1)^0.5)+((2416/(H120+459.6)-2.013)*LOG10(INDEX(FX_Input,U$5,H$3*$Z$5+$AA$5)))-(8742/(H120+459.6))+15.64),EXP(INDEX(Antoines,MATCH(H112,Antoine_Name,0),2)-INDEX(Antoines,MATCH(H112,Antoine_Name,0),3)/(H120+459.6))))),0)</f>
        <v>0</v>
      </c>
      <c r="I133" cm="1">
        <f t="array" ref="I133">IFERROR(IF(I113="Chemical",(10^(INDEX(Antoines,MATCH(I112,Antoine_Name,0),2)-INDEX(Antoines,MATCH(I112,Antoine_Name,0),3)/(INDEX(Antoines,MATCH(I112,Antoine_Name,0),4)+(I120-32)*5/9)))*14.7/760,IF(I113="Crude Oil",EXP((2799/(I120+459.6)-2.227)*LOG10(INDEX(FX_Input,V$5,I$3*$Z$5+$AA$5))-(7261/(I120+459.6))+12.82),IF(I113="Refined Petroleum Stock",EXP((0.7553-(413/(I120+459.6)))*(INDEX(FX_Input,V$5,I$3*$Z$5+$AA$5-1)^0.5)*LOG10(INDEX(FX_Input,V$5,I$3*$Z$5+$AA$5))-(1.854-(1042/(I120+459.6)))*(INDEX(FX_Input,V$5,I$3*$Z$5+$AA$5-1)^0.5)+((2416/(I120+459.6)-2.013)*LOG10(INDEX(FX_Input,V$5,I$3*$Z$5+$AA$5)))-(8742/(I120+459.6))+15.64),EXP(INDEX(Antoines,MATCH(I112,Antoine_Name,0),2)-INDEX(Antoines,MATCH(I112,Antoine_Name,0),3)/(I120+459.6))))),0)</f>
        <v>0</v>
      </c>
      <c r="J133" cm="1">
        <f t="array" ref="J133">IFERROR(IF(J113="Chemical",(10^(INDEX(Antoines,MATCH(J112,Antoine_Name,0),2)-INDEX(Antoines,MATCH(J112,Antoine_Name,0),3)/(INDEX(Antoines,MATCH(J112,Antoine_Name,0),4)+(J120-32)*5/9)))*14.7/760,IF(J113="Crude Oil",EXP((2799/(J120+459.6)-2.227)*LOG10(INDEX(FX_Input,W$5,J$3*$Z$5+$AA$5))-(7261/(J120+459.6))+12.82),IF(J113="Refined Petroleum Stock",EXP((0.7553-(413/(J120+459.6)))*(INDEX(FX_Input,W$5,J$3*$Z$5+$AA$5-1)^0.5)*LOG10(INDEX(FX_Input,W$5,J$3*$Z$5+$AA$5))-(1.854-(1042/(J120+459.6)))*(INDEX(FX_Input,W$5,J$3*$Z$5+$AA$5-1)^0.5)+((2416/(J120+459.6)-2.013)*LOG10(INDEX(FX_Input,W$5,J$3*$Z$5+$AA$5)))-(8742/(J120+459.6))+15.64),EXP(INDEX(Antoines,MATCH(J112,Antoine_Name,0),2)-INDEX(Antoines,MATCH(J112,Antoine_Name,0),3)/(J120+459.6))))),0)</f>
        <v>0</v>
      </c>
      <c r="K133" cm="1">
        <f t="array" ref="K133">IFERROR(IF(K113="Chemical",(10^(INDEX(Antoines,MATCH(K112,Antoine_Name,0),2)-INDEX(Antoines,MATCH(K112,Antoine_Name,0),3)/(INDEX(Antoines,MATCH(K112,Antoine_Name,0),4)+(K120-32)*5/9)))*14.7/760,IF(K113="Crude Oil",EXP((2799/(K120+459.6)-2.227)*LOG10(INDEX(FX_Input,X$5,K$3*$Z$5+$AA$5))-(7261/(K120+459.6))+12.82),IF(K113="Refined Petroleum Stock",EXP((0.7553-(413/(K120+459.6)))*(INDEX(FX_Input,X$5,K$3*$Z$5+$AA$5-1)^0.5)*LOG10(INDEX(FX_Input,X$5,K$3*$Z$5+$AA$5))-(1.854-(1042/(K120+459.6)))*(INDEX(FX_Input,X$5,K$3*$Z$5+$AA$5-1)^0.5)+((2416/(K120+459.6)-2.013)*LOG10(INDEX(FX_Input,X$5,K$3*$Z$5+$AA$5)))-(8742/(K120+459.6))+15.64),EXP(INDEX(Antoines,MATCH(K112,Antoine_Name,0),2)-INDEX(Antoines,MATCH(K112,Antoine_Name,0),3)/(K120+459.6))))),0)</f>
        <v>0</v>
      </c>
      <c r="L133" cm="1">
        <f t="array" ref="L133">IFERROR(IF(L113="Chemical",(10^(INDEX(Antoines,MATCH(L112,Antoine_Name,0),2)-INDEX(Antoines,MATCH(L112,Antoine_Name,0),3)/(INDEX(Antoines,MATCH(L112,Antoine_Name,0),4)+(L120-32)*5/9)))*14.7/760,IF(L113="Crude Oil",EXP((2799/(L120+459.6)-2.227)*LOG10(INDEX(FX_Input,Y$5,L$3*$Z$5+$AA$5))-(7261/(L120+459.6))+12.82),IF(L113="Refined Petroleum Stock",EXP((0.7553-(413/(L120+459.6)))*(INDEX(FX_Input,Y$5,L$3*$Z$5+$AA$5-1)^0.5)*LOG10(INDEX(FX_Input,Y$5,L$3*$Z$5+$AA$5))-(1.854-(1042/(L120+459.6)))*(INDEX(FX_Input,Y$5,L$3*$Z$5+$AA$5-1)^0.5)+((2416/(L120+459.6)-2.013)*LOG10(INDEX(FX_Input,Y$5,L$3*$Z$5+$AA$5)))-(8742/(L120+459.6))+15.64),EXP(INDEX(Antoines,MATCH(L112,Antoine_Name,0),2)-INDEX(Antoines,MATCH(L112,Antoine_Name,0),3)/(L120+459.6))))),0)</f>
        <v>0</v>
      </c>
      <c r="M133" cm="1">
        <f t="array" ref="M133">IFERROR(IF(M113="Chemical",(10^(INDEX(Antoines,MATCH(M112,Antoine_Name,0),2)-INDEX(Antoines,MATCH(M112,Antoine_Name,0),3)/(INDEX(Antoines,MATCH(M112,Antoine_Name,0),4)+(M120-32)*5/9)))*14.7/760,IF(M113="Crude Oil",EXP((2799/(M120+459.6)-2.227)*LOG10(INDEX(FX_Input,Z$5,M$3*$Z$5+$AA$5))-(7261/(M120+459.6))+12.82),IF(M113="Refined Petroleum Stock",EXP((0.7553-(413/(M120+459.6)))*(INDEX(FX_Input,Z$5,M$3*$Z$5+$AA$5-1)^0.5)*LOG10(INDEX(FX_Input,Z$5,M$3*$Z$5+$AA$5))-(1.854-(1042/(M120+459.6)))*(INDEX(FX_Input,Z$5,M$3*$Z$5+$AA$5-1)^0.5)+((2416/(M120+459.6)-2.013)*LOG10(INDEX(FX_Input,Z$5,M$3*$Z$5+$AA$5)))-(8742/(M120+459.6))+15.64),EXP(INDEX(Antoines,MATCH(M112,Antoine_Name,0),2)-INDEX(Antoines,MATCH(M112,Antoine_Name,0),3)/(M120+459.6))))),0)</f>
        <v>0</v>
      </c>
      <c r="N133" cm="1">
        <f t="array" ref="N133">IFERROR(IF(N113="Chemical",(10^(INDEX(Antoines,MATCH(N112,Antoine_Name,0),2)-INDEX(Antoines,MATCH(N112,Antoine_Name,0),3)/(INDEX(Antoines,MATCH(N112,Antoine_Name,0),4)+(N120-32)*5/9)))*14.7/760,IF(N113="Crude Oil",EXP((2799/(N120+459.6)-2.227)*LOG10(INDEX(FX_Input,AA$5,N$3*$Z$5+$AA$5))-(7261/(N120+459.6))+12.82),IF(N113="Refined Petroleum Stock",EXP((0.7553-(413/(N120+459.6)))*(INDEX(FX_Input,AA$5,N$3*$Z$5+$AA$5-1)^0.5)*LOG10(INDEX(FX_Input,AA$5,N$3*$Z$5+$AA$5))-(1.854-(1042/(N120+459.6)))*(INDEX(FX_Input,AA$5,N$3*$Z$5+$AA$5-1)^0.5)+((2416/(N120+459.6)-2.013)*LOG10(INDEX(FX_Input,AA$5,N$3*$Z$5+$AA$5)))-(8742/(N120+459.6))+15.64),EXP(INDEX(Antoines,MATCH(N112,Antoine_Name,0),2)-INDEX(Antoines,MATCH(N112,Antoine_Name,0),3)/(N120+459.6))))),0)</f>
        <v>0</v>
      </c>
      <c r="O133" cm="1">
        <f t="array" ref="O133">IFERROR(IF(O113="Chemical",(10^(INDEX(Antoines,MATCH(O112,Antoine_Name,0),2)-INDEX(Antoines,MATCH(O112,Antoine_Name,0),3)/(INDEX(Antoines,MATCH(O112,Antoine_Name,0),4)+(O120-32)*5/9)))*14.7/760,IF(O113="Crude Oil",EXP((2799/(O120+459.6)-2.227)*LOG10(INDEX(FX_Input,AB$5,O$3*$Z$5+$AA$5))-(7261/(O120+459.6))+12.82),IF(O113="Refined Petroleum Stock",EXP((0.7553-(413/(O120+459.6)))*(INDEX(FX_Input,AB$5,O$3*$Z$5+$AA$5-1)^0.5)*LOG10(INDEX(FX_Input,AB$5,O$3*$Z$5+$AA$5))-(1.854-(1042/(O120+459.6)))*(INDEX(FX_Input,AB$5,O$3*$Z$5+$AA$5-1)^0.5)+((2416/(O120+459.6)-2.013)*LOG10(INDEX(FX_Input,AB$5,O$3*$Z$5+$AA$5)))-(8742/(O120+459.6))+15.64),EXP(INDEX(Antoines,MATCH(O112,Antoine_Name,0),2)-INDEX(Antoines,MATCH(O112,Antoine_Name,0),3)/(O120+459.6))))),0)</f>
        <v>0</v>
      </c>
    </row>
    <row r="134" spans="1:32" ht="17.149999999999999" x14ac:dyDescent="0.55000000000000004">
      <c r="B134" t="str">
        <f t="shared" si="276"/>
        <v>Portland</v>
      </c>
      <c r="C134" t="s">
        <v>1391</v>
      </c>
      <c r="D134">
        <f>D133*D116</f>
        <v>0</v>
      </c>
      <c r="E134">
        <f t="shared" ref="E134" si="354">E133*E116</f>
        <v>0</v>
      </c>
      <c r="F134">
        <f t="shared" ref="F134" si="355">F133*F116</f>
        <v>0</v>
      </c>
      <c r="G134">
        <f t="shared" ref="G134" si="356">G133*G116</f>
        <v>0</v>
      </c>
      <c r="H134">
        <f t="shared" ref="H134" si="357">H133*H116</f>
        <v>0</v>
      </c>
      <c r="I134">
        <f t="shared" ref="I134" si="358">I133*I116</f>
        <v>0</v>
      </c>
      <c r="J134">
        <f t="shared" ref="J134" si="359">J133*J116</f>
        <v>0</v>
      </c>
      <c r="K134">
        <f t="shared" ref="K134" si="360">K133*K116</f>
        <v>0</v>
      </c>
      <c r="L134">
        <f t="shared" ref="L134" si="361">L133*L116</f>
        <v>0</v>
      </c>
      <c r="M134">
        <f t="shared" ref="M134" si="362">M133*M116</f>
        <v>0</v>
      </c>
      <c r="N134">
        <f t="shared" ref="N134" si="363">N133*N116</f>
        <v>0</v>
      </c>
      <c r="O134">
        <f t="shared" ref="O134" si="364">O133*O116</f>
        <v>0</v>
      </c>
    </row>
    <row r="135" spans="1:32" ht="17.149999999999999" x14ac:dyDescent="0.55000000000000004">
      <c r="B135" t="str">
        <f t="shared" si="276"/>
        <v>Portland</v>
      </c>
      <c r="C135" t="s">
        <v>1392</v>
      </c>
      <c r="D135">
        <f>D132+D134</f>
        <v>4.739577185808354E-3</v>
      </c>
      <c r="E135">
        <f t="shared" ref="E135" si="365">E132+E134</f>
        <v>4.8748667780818778E-3</v>
      </c>
      <c r="F135">
        <f t="shared" ref="F135" si="366">F132+F134</f>
        <v>5.119885034186122E-3</v>
      </c>
      <c r="G135">
        <f t="shared" ref="G135" si="367">G132+G134</f>
        <v>5.5846958573521795E-3</v>
      </c>
      <c r="H135">
        <f t="shared" ref="H135" si="368">H132+H134</f>
        <v>6.5274070972739821E-3</v>
      </c>
      <c r="I135">
        <f t="shared" ref="I135" si="369">I132+I134</f>
        <v>7.4199539958878279E-3</v>
      </c>
      <c r="J135">
        <f t="shared" ref="J135" si="370">J132+J134</f>
        <v>8.3358107202842254E-3</v>
      </c>
      <c r="K135">
        <f t="shared" ref="K135" si="371">K132+K134</f>
        <v>8.4605262729351115E-3</v>
      </c>
      <c r="L135">
        <f t="shared" ref="L135" si="372">L132+L134</f>
        <v>7.8399882233967533E-3</v>
      </c>
      <c r="M135">
        <f t="shared" ref="M135" si="373">M132+M134</f>
        <v>6.4173462075160911E-3</v>
      </c>
      <c r="N135">
        <f t="shared" ref="N135" si="374">N132+N134</f>
        <v>5.3015226887581056E-3</v>
      </c>
      <c r="O135">
        <f t="shared" ref="O135" si="375">O132+O134</f>
        <v>4.68970903600947E-3</v>
      </c>
    </row>
    <row r="136" spans="1:32" ht="17.149999999999999" x14ac:dyDescent="0.55000000000000004">
      <c r="B136" t="str">
        <f>B130</f>
        <v>Portland</v>
      </c>
      <c r="C136" t="s">
        <v>584</v>
      </c>
      <c r="D136">
        <f>D132/D135</f>
        <v>1</v>
      </c>
      <c r="E136">
        <f t="shared" ref="E136" si="376">E132/E135</f>
        <v>1</v>
      </c>
      <c r="F136">
        <f t="shared" ref="F136" si="377">F132/F135</f>
        <v>1</v>
      </c>
      <c r="G136">
        <f t="shared" ref="G136" si="378">G132/G135</f>
        <v>1</v>
      </c>
      <c r="H136">
        <f t="shared" ref="H136" si="379">H132/H135</f>
        <v>1</v>
      </c>
      <c r="I136">
        <f t="shared" ref="I136" si="380">I132/I135</f>
        <v>1</v>
      </c>
      <c r="J136">
        <f t="shared" ref="J136" si="381">J132/J135</f>
        <v>1</v>
      </c>
      <c r="K136">
        <f t="shared" ref="K136" si="382">K132/K135</f>
        <v>1</v>
      </c>
      <c r="L136">
        <f t="shared" ref="L136" si="383">L132/L135</f>
        <v>1</v>
      </c>
      <c r="M136">
        <f t="shared" ref="M136" si="384">M132/M135</f>
        <v>1</v>
      </c>
      <c r="N136">
        <f t="shared" ref="N136" si="385">N132/N135</f>
        <v>1</v>
      </c>
      <c r="O136">
        <f t="shared" ref="O136" si="386">O132/O135</f>
        <v>1</v>
      </c>
    </row>
    <row r="137" spans="1:32" ht="17.149999999999999" x14ac:dyDescent="0.55000000000000004">
      <c r="B137" t="str">
        <f>B131</f>
        <v>Portland</v>
      </c>
      <c r="C137" t="s">
        <v>585</v>
      </c>
      <c r="D137">
        <f t="shared" ref="D137:O137" si="387">INDEX(Phys_Prop,MATCH(D110,Chem_List,0),3)</f>
        <v>130</v>
      </c>
      <c r="E137">
        <f t="shared" si="387"/>
        <v>130</v>
      </c>
      <c r="F137">
        <f t="shared" si="387"/>
        <v>130</v>
      </c>
      <c r="G137">
        <f t="shared" si="387"/>
        <v>130</v>
      </c>
      <c r="H137">
        <f t="shared" si="387"/>
        <v>130</v>
      </c>
      <c r="I137">
        <f t="shared" si="387"/>
        <v>130</v>
      </c>
      <c r="J137">
        <f t="shared" si="387"/>
        <v>130</v>
      </c>
      <c r="K137">
        <f t="shared" si="387"/>
        <v>130</v>
      </c>
      <c r="L137">
        <f t="shared" si="387"/>
        <v>130</v>
      </c>
      <c r="M137">
        <f t="shared" si="387"/>
        <v>130</v>
      </c>
      <c r="N137">
        <f t="shared" si="387"/>
        <v>130</v>
      </c>
      <c r="O137">
        <f t="shared" si="387"/>
        <v>130</v>
      </c>
    </row>
    <row r="138" spans="1:32" ht="17.149999999999999" x14ac:dyDescent="0.55000000000000004">
      <c r="B138" t="str">
        <f>B137</f>
        <v>Portland</v>
      </c>
      <c r="C138" t="s">
        <v>586</v>
      </c>
      <c r="D138">
        <f>D134/D135</f>
        <v>0</v>
      </c>
      <c r="E138">
        <f t="shared" ref="E138:O138" si="388">E134/E135</f>
        <v>0</v>
      </c>
      <c r="F138">
        <f t="shared" si="388"/>
        <v>0</v>
      </c>
      <c r="G138">
        <f t="shared" si="388"/>
        <v>0</v>
      </c>
      <c r="H138">
        <f t="shared" si="388"/>
        <v>0</v>
      </c>
      <c r="I138">
        <f t="shared" si="388"/>
        <v>0</v>
      </c>
      <c r="J138">
        <f t="shared" si="388"/>
        <v>0</v>
      </c>
      <c r="K138">
        <f t="shared" si="388"/>
        <v>0</v>
      </c>
      <c r="L138">
        <f t="shared" si="388"/>
        <v>0</v>
      </c>
      <c r="M138">
        <f t="shared" si="388"/>
        <v>0</v>
      </c>
      <c r="N138">
        <f t="shared" si="388"/>
        <v>0</v>
      </c>
      <c r="O138">
        <f t="shared" si="388"/>
        <v>0</v>
      </c>
    </row>
    <row r="139" spans="1:32" ht="17.149999999999999" x14ac:dyDescent="0.55000000000000004">
      <c r="B139" t="str">
        <f t="shared" si="276"/>
        <v>Portland</v>
      </c>
      <c r="C139" t="s">
        <v>587</v>
      </c>
      <c r="D139">
        <f t="shared" ref="D139:O139" si="389">IFERROR(INDEX(Phys_Prop,MATCH(D112,Chem_List,0),3),0)</f>
        <v>0</v>
      </c>
      <c r="E139">
        <f t="shared" si="389"/>
        <v>0</v>
      </c>
      <c r="F139">
        <f t="shared" si="389"/>
        <v>0</v>
      </c>
      <c r="G139">
        <f t="shared" si="389"/>
        <v>0</v>
      </c>
      <c r="H139">
        <f t="shared" si="389"/>
        <v>0</v>
      </c>
      <c r="I139">
        <f t="shared" si="389"/>
        <v>0</v>
      </c>
      <c r="J139">
        <f t="shared" si="389"/>
        <v>0</v>
      </c>
      <c r="K139">
        <f t="shared" si="389"/>
        <v>0</v>
      </c>
      <c r="L139">
        <f t="shared" si="389"/>
        <v>0</v>
      </c>
      <c r="M139">
        <f t="shared" si="389"/>
        <v>0</v>
      </c>
      <c r="N139">
        <f t="shared" si="389"/>
        <v>0</v>
      </c>
      <c r="O139">
        <f t="shared" si="389"/>
        <v>0</v>
      </c>
    </row>
    <row r="140" spans="1:32" ht="17.149999999999999" x14ac:dyDescent="0.55000000000000004">
      <c r="A140" s="11"/>
      <c r="B140" s="11" t="str">
        <f t="shared" si="276"/>
        <v>Portland</v>
      </c>
      <c r="C140" s="11" t="s">
        <v>588</v>
      </c>
      <c r="D140" s="11">
        <f>IFERROR(D136*D137+D138*D139,0)</f>
        <v>130</v>
      </c>
      <c r="E140" s="11">
        <f t="shared" ref="E140" si="390">IFERROR(E136*E137+E138*E139,0)</f>
        <v>130</v>
      </c>
      <c r="F140" s="11">
        <f t="shared" ref="F140" si="391">IFERROR(F136*F137+F138*F139,0)</f>
        <v>130</v>
      </c>
      <c r="G140" s="11">
        <f t="shared" ref="G140" si="392">IFERROR(G136*G137+G138*G139,0)</f>
        <v>130</v>
      </c>
      <c r="H140" s="11">
        <f t="shared" ref="H140" si="393">IFERROR(H136*H137+H138*H139,0)</f>
        <v>130</v>
      </c>
      <c r="I140" s="11">
        <f t="shared" ref="I140" si="394">IFERROR(I136*I137+I138*I139,0)</f>
        <v>130</v>
      </c>
      <c r="J140" s="11">
        <f t="shared" ref="J140" si="395">IFERROR(J136*J137+J138*J139,0)</f>
        <v>130</v>
      </c>
      <c r="K140" s="11">
        <f t="shared" ref="K140" si="396">IFERROR(K136*K137+K138*K139,0)</f>
        <v>130</v>
      </c>
      <c r="L140" s="11">
        <f t="shared" ref="L140" si="397">IFERROR(L136*L137+L138*L139,0)</f>
        <v>130</v>
      </c>
      <c r="M140" s="11">
        <f t="shared" ref="M140" si="398">IFERROR(M136*M137+M138*M139,0)</f>
        <v>130</v>
      </c>
      <c r="N140" s="11">
        <f t="shared" ref="N140" si="399">IFERROR(N136*N137+N138*N139,0)</f>
        <v>130</v>
      </c>
      <c r="O140" s="11">
        <f t="shared" ref="O140" si="400">IFERROR(O136*O137+O138*O139,0)</f>
        <v>130</v>
      </c>
      <c r="P140" s="11"/>
      <c r="Q140" s="11"/>
      <c r="R140" s="11"/>
      <c r="S140" s="11"/>
      <c r="T140" s="11"/>
      <c r="U140" s="11"/>
      <c r="V140" s="11"/>
      <c r="W140" s="11"/>
      <c r="X140" s="11"/>
      <c r="Y140" s="11"/>
      <c r="Z140" s="11"/>
      <c r="AA140" s="11"/>
      <c r="AB140" s="11"/>
      <c r="AC140" s="11"/>
      <c r="AD140" s="11"/>
      <c r="AE140" s="11"/>
      <c r="AF140" s="11"/>
    </row>
    <row r="141" spans="1:32" ht="17.149999999999999" x14ac:dyDescent="0.55000000000000004">
      <c r="A141" t="str" cm="1">
        <f t="array" ref="A141">INDEX(FX_Input,$Q141,R$5)</f>
        <v>FX - 5</v>
      </c>
      <c r="B141" t="str" cm="1">
        <f t="array" ref="B141">INDEX(FX_Input,Q141,S141)</f>
        <v>Portland</v>
      </c>
      <c r="C141" t="s">
        <v>563</v>
      </c>
      <c r="D141">
        <v>14.7</v>
      </c>
      <c r="E141">
        <v>14.7</v>
      </c>
      <c r="F141">
        <v>14.7</v>
      </c>
      <c r="G141">
        <v>14.7</v>
      </c>
      <c r="H141">
        <v>14.7</v>
      </c>
      <c r="I141">
        <v>14.7</v>
      </c>
      <c r="J141">
        <v>14.7</v>
      </c>
      <c r="K141">
        <v>14.7</v>
      </c>
      <c r="L141">
        <v>14.7</v>
      </c>
      <c r="M141">
        <v>14.7</v>
      </c>
      <c r="N141">
        <v>14.7</v>
      </c>
      <c r="O141">
        <v>14.7</v>
      </c>
      <c r="Q141">
        <f>Q107+2</f>
        <v>9</v>
      </c>
      <c r="R141">
        <v>1</v>
      </c>
      <c r="S141">
        <v>3</v>
      </c>
      <c r="T141">
        <v>1</v>
      </c>
      <c r="U141">
        <v>19</v>
      </c>
      <c r="V141">
        <v>20</v>
      </c>
      <c r="W141">
        <v>25</v>
      </c>
      <c r="X141">
        <v>1</v>
      </c>
      <c r="Y141">
        <v>2</v>
      </c>
      <c r="Z141">
        <f>(W141-V141)/(Y141-X141)</f>
        <v>5</v>
      </c>
      <c r="AA141">
        <f>V141-Z141*X141</f>
        <v>15</v>
      </c>
      <c r="AD141">
        <f>AD107+14</f>
        <v>57</v>
      </c>
      <c r="AF141">
        <f>AF107+14</f>
        <v>57</v>
      </c>
    </row>
    <row r="142" spans="1:32" ht="17.149999999999999" x14ac:dyDescent="0.55000000000000004">
      <c r="B142" t="str">
        <f t="shared" ref="B142" si="401">B141</f>
        <v>Portland</v>
      </c>
      <c r="C142" t="s">
        <v>564</v>
      </c>
      <c r="D142" cm="1">
        <f t="array" ref="D142">IF(ISBLANK(INDEX(FX_Input,$Q141,$AB142)),0.03,INDEX(FX_Input,Q141,AB142))</f>
        <v>0.03</v>
      </c>
      <c r="E142" cm="1">
        <f t="array" ref="E142">IF(ISBLANK(INDEX(FX_Input,$Q141,$AB142)),0.03,INDEX(FX_Input,R141,#REF!))</f>
        <v>0.03</v>
      </c>
      <c r="F142" cm="1">
        <f t="array" ref="F142">IF(ISBLANK(INDEX(FX_Input,$Q141,$AB142)),0.03,INDEX(FX_Input,S141,#REF!))</f>
        <v>0.03</v>
      </c>
      <c r="G142" cm="1">
        <f t="array" ref="G142">IF(ISBLANK(INDEX(FX_Input,$Q141,$AB142)),0.03,INDEX(FX_Input,AB141,#REF!))</f>
        <v>0.03</v>
      </c>
      <c r="H142" cm="1">
        <f t="array" ref="H142">IF(ISBLANK(INDEX(FX_Input,$Q141,$AB142)),0.03,INDEX(FX_Input,#REF!,#REF!))</f>
        <v>0.03</v>
      </c>
      <c r="I142" cm="1">
        <f t="array" ref="I142">IF(ISBLANK(INDEX(FX_Input,$Q141,$AB142)),0.03,INDEX(FX_Input,#REF!,#REF!))</f>
        <v>0.03</v>
      </c>
      <c r="J142" cm="1">
        <f t="array" ref="J142">IF(ISBLANK(INDEX(FX_Input,$Q141,$AB142)),0.03,INDEX(FX_Input,#REF!,#REF!))</f>
        <v>0.03</v>
      </c>
      <c r="K142" cm="1">
        <f t="array" ref="K142">IF(ISBLANK(INDEX(FX_Input,$Q141,$AB142)),0.03,INDEX(FX_Input,#REF!,AC142))</f>
        <v>0.03</v>
      </c>
      <c r="L142" cm="1">
        <f t="array" ref="L142">IF(ISBLANK(INDEX(FX_Input,$Q141,$AB142)),0.03,INDEX(FX_Input,#REF!,AD142))</f>
        <v>0.03</v>
      </c>
      <c r="M142" cm="1">
        <f t="array" ref="M142">IF(ISBLANK(INDEX(FX_Input,$Q141,$AB142)),0.03,INDEX(FX_Input,#REF!,#REF!))</f>
        <v>0.03</v>
      </c>
      <c r="N142" cm="1">
        <f t="array" ref="N142">IF(ISBLANK(INDEX(FX_Input,$Q141,$AB142)),0.03,INDEX(FX_Input,AC141,#REF!))</f>
        <v>0.03</v>
      </c>
      <c r="O142" cm="1">
        <f t="array" ref="O142">IF(ISBLANK(INDEX(FX_Input,$Q141,$AB142)),0.03,INDEX(FX_Input,AD141,#REF!))</f>
        <v>0.03</v>
      </c>
      <c r="AB142">
        <v>15</v>
      </c>
    </row>
    <row r="143" spans="1:32" ht="17.149999999999999" x14ac:dyDescent="0.55000000000000004">
      <c r="B143" t="str">
        <f>B142</f>
        <v>Portland</v>
      </c>
      <c r="C143" t="s">
        <v>565</v>
      </c>
      <c r="D143" cm="1">
        <f t="array" ref="D143">IF(ISBLANK(INDEX(FX_Input,$Q141,$AB143)),-0.03,INDEX(FX_Input,$Q141,$AB143))</f>
        <v>-0.03</v>
      </c>
      <c r="E143" cm="1">
        <f t="array" ref="E143">IF(ISBLANK(INDEX(FX_Input,$Q141,$AB143)),-0.03,INDEX(FX_Input,R141,#REF!))</f>
        <v>-0.03</v>
      </c>
      <c r="F143" cm="1">
        <f t="array" ref="F143">IF(ISBLANK(INDEX(FX_Input,$Q141,$AB143)),-0.03,INDEX(FX_Input,S141,#REF!))</f>
        <v>-0.03</v>
      </c>
      <c r="G143" cm="1">
        <f t="array" ref="G143">IF(ISBLANK(INDEX(FX_Input,$Q141,$AB143)),-0.03,INDEX(FX_Input,AB141,#REF!))</f>
        <v>-0.03</v>
      </c>
      <c r="H143" cm="1">
        <f t="array" ref="H143">IF(ISBLANK(INDEX(FX_Input,$Q141,$AB143)),-0.03,INDEX(FX_Input,#REF!,#REF!))</f>
        <v>-0.03</v>
      </c>
      <c r="I143" cm="1">
        <f t="array" ref="I143">IF(ISBLANK(INDEX(FX_Input,$Q141,$AB143)),-0.03,INDEX(FX_Input,#REF!,#REF!))</f>
        <v>-0.03</v>
      </c>
      <c r="J143" cm="1">
        <f t="array" ref="J143">IF(ISBLANK(INDEX(FX_Input,$Q141,$AB143)),-0.03,INDEX(FX_Input,#REF!,#REF!))</f>
        <v>-0.03</v>
      </c>
      <c r="K143" cm="1">
        <f t="array" ref="K143">IF(ISBLANK(INDEX(FX_Input,$Q141,$AB143)),-0.03,INDEX(FX_Input,#REF!,AC143))</f>
        <v>-0.03</v>
      </c>
      <c r="L143" cm="1">
        <f t="array" ref="L143">IF(ISBLANK(INDEX(FX_Input,$Q141,$AB143)),-0.03,INDEX(FX_Input,#REF!,AD143))</f>
        <v>-0.03</v>
      </c>
      <c r="M143" cm="1">
        <f t="array" ref="M143">IF(ISBLANK(INDEX(FX_Input,$Q141,$AB143)),-0.03,INDEX(FX_Input,#REF!,#REF!))</f>
        <v>-0.03</v>
      </c>
      <c r="N143" cm="1">
        <f t="array" ref="N143">IF(ISBLANK(INDEX(FX_Input,$Q141,$AB143)),-0.03,INDEX(FX_Input,AC141,#REF!))</f>
        <v>-0.03</v>
      </c>
      <c r="O143" cm="1">
        <f t="array" ref="O143">IF(ISBLANK(INDEX(FX_Input,$Q141,$AB143)),-0.03,INDEX(FX_Input,AD141,#REF!))</f>
        <v>-0.03</v>
      </c>
      <c r="AB143">
        <v>16</v>
      </c>
    </row>
    <row r="144" spans="1:32" x14ac:dyDescent="0.4">
      <c r="B144" t="str">
        <f t="shared" ref="B144:B145" si="402">B143</f>
        <v>Portland</v>
      </c>
      <c r="C144" s="66" t="s">
        <v>567</v>
      </c>
      <c r="D144" t="str" cm="1">
        <f t="array" ref="D144">INDEX(FX_Multi,$AD144,D$3)</f>
        <v>Jet kerosene</v>
      </c>
      <c r="E144" t="str" cm="1">
        <f t="array" ref="E144">INDEX(FX_Multi,$AD144,E$3)</f>
        <v>Jet kerosene</v>
      </c>
      <c r="F144" t="str" cm="1">
        <f t="array" ref="F144">INDEX(FX_Multi,$AD144,F$3)</f>
        <v>Jet kerosene</v>
      </c>
      <c r="G144" t="str" cm="1">
        <f t="array" ref="G144">INDEX(FX_Multi,$AD144,G$3)</f>
        <v>Jet kerosene</v>
      </c>
      <c r="H144" t="str" cm="1">
        <f t="array" ref="H144">INDEX(FX_Multi,$AD144,H$3)</f>
        <v>Jet kerosene</v>
      </c>
      <c r="I144" t="str" cm="1">
        <f t="array" ref="I144">INDEX(FX_Multi,$AD144,I$3)</f>
        <v>Jet kerosene</v>
      </c>
      <c r="J144" t="str" cm="1">
        <f t="array" ref="J144">INDEX(FX_Multi,$AD144,J$3)</f>
        <v>Jet kerosene</v>
      </c>
      <c r="K144" t="str" cm="1">
        <f t="array" ref="K144">INDEX(FX_Multi,$AD144,K$3)</f>
        <v>Jet kerosene</v>
      </c>
      <c r="L144" t="str" cm="1">
        <f t="array" ref="L144">INDEX(FX_Multi,$AD144,L$3)</f>
        <v>Jet kerosene</v>
      </c>
      <c r="M144" t="str" cm="1">
        <f t="array" ref="M144">INDEX(FX_Multi,$AD144,M$3)</f>
        <v>Jet kerosene</v>
      </c>
      <c r="N144" t="str" cm="1">
        <f t="array" ref="N144">INDEX(FX_Multi,$AD144,N$3)</f>
        <v>Jet kerosene</v>
      </c>
      <c r="O144" t="str" cm="1">
        <f t="array" ref="O144">INDEX(FX_Multi,$AD144,O$3)</f>
        <v>Jet kerosene</v>
      </c>
      <c r="AC144">
        <v>1</v>
      </c>
      <c r="AD144">
        <f>AD141</f>
        <v>57</v>
      </c>
      <c r="AE144">
        <v>1</v>
      </c>
      <c r="AF144">
        <f>AF141</f>
        <v>57</v>
      </c>
    </row>
    <row r="145" spans="2:32" x14ac:dyDescent="0.4">
      <c r="B145" t="str">
        <f t="shared" si="402"/>
        <v>Portland</v>
      </c>
      <c r="C145" s="66" t="s">
        <v>566</v>
      </c>
      <c r="D145" t="str" cm="1">
        <f t="array" ref="D145">INDEX(FX_Multi,$AD145,D$3)</f>
        <v>Select Pet Stock</v>
      </c>
      <c r="E145" t="str" cm="1">
        <f t="array" ref="E145">INDEX(FX_Multi,$AD145,E$3)</f>
        <v>Select Pet Stock</v>
      </c>
      <c r="F145" t="str" cm="1">
        <f t="array" ref="F145">INDEX(FX_Multi,$AD145,F$3)</f>
        <v>Select Pet Stock</v>
      </c>
      <c r="G145" t="str" cm="1">
        <f t="array" ref="G145">INDEX(FX_Multi,$AD145,G$3)</f>
        <v>Select Pet Stock</v>
      </c>
      <c r="H145" t="str" cm="1">
        <f t="array" ref="H145">INDEX(FX_Multi,$AD145,H$3)</f>
        <v>Select Pet Stock</v>
      </c>
      <c r="I145" t="str" cm="1">
        <f t="array" ref="I145">INDEX(FX_Multi,$AD145,I$3)</f>
        <v>Select Pet Stock</v>
      </c>
      <c r="J145" t="str" cm="1">
        <f t="array" ref="J145">INDEX(FX_Multi,$AD145,J$3)</f>
        <v>Select Pet Stock</v>
      </c>
      <c r="K145" t="str" cm="1">
        <f t="array" ref="K145">INDEX(FX_Multi,$AD145,K$3)</f>
        <v>Select Pet Stock</v>
      </c>
      <c r="L145" t="str" cm="1">
        <f t="array" ref="L145">INDEX(FX_Multi,$AD145,L$3)</f>
        <v>Select Pet Stock</v>
      </c>
      <c r="M145" t="str" cm="1">
        <f t="array" ref="M145">INDEX(FX_Multi,$AD145,M$3)</f>
        <v>Select Pet Stock</v>
      </c>
      <c r="N145" t="str" cm="1">
        <f t="array" ref="N145">INDEX(FX_Multi,$AD145,N$3)</f>
        <v>Select Pet Stock</v>
      </c>
      <c r="O145" t="str" cm="1">
        <f t="array" ref="O145">INDEX(FX_Multi,$AD145,O$3)</f>
        <v>Select Pet Stock</v>
      </c>
      <c r="AC145">
        <v>1</v>
      </c>
      <c r="AD145">
        <f>AD144+2</f>
        <v>59</v>
      </c>
      <c r="AE145">
        <v>1</v>
      </c>
      <c r="AF145">
        <f>AF144+3</f>
        <v>60</v>
      </c>
    </row>
    <row r="146" spans="2:32" x14ac:dyDescent="0.4">
      <c r="B146" t="str">
        <f>B142</f>
        <v>Portland</v>
      </c>
      <c r="C146" s="66" t="s">
        <v>568</v>
      </c>
      <c r="D146" cm="1">
        <f t="array" ref="D146">INDEX(FX_Multi,$AD146,D$3)</f>
        <v>0</v>
      </c>
      <c r="E146" cm="1">
        <f t="array" ref="E146">INDEX(FX_Multi,$AD146,E$3)</f>
        <v>0</v>
      </c>
      <c r="F146" cm="1">
        <f t="array" ref="F146">INDEX(FX_Multi,$AD146,F$3)</f>
        <v>0</v>
      </c>
      <c r="G146" cm="1">
        <f t="array" ref="G146">INDEX(FX_Multi,$AD146,G$3)</f>
        <v>0</v>
      </c>
      <c r="H146" cm="1">
        <f t="array" ref="H146">INDEX(FX_Multi,$AD146,H$3)</f>
        <v>0</v>
      </c>
      <c r="I146" cm="1">
        <f t="array" ref="I146">INDEX(FX_Multi,$AD146,I$3)</f>
        <v>0</v>
      </c>
      <c r="J146" cm="1">
        <f t="array" ref="J146">INDEX(FX_Multi,$AD146,J$3)</f>
        <v>0</v>
      </c>
      <c r="K146" cm="1">
        <f t="array" ref="K146">INDEX(FX_Multi,$AD146,K$3)</f>
        <v>0</v>
      </c>
      <c r="L146" cm="1">
        <f t="array" ref="L146">INDEX(FX_Multi,$AD146,L$3)</f>
        <v>0</v>
      </c>
      <c r="M146" cm="1">
        <f t="array" ref="M146">INDEX(FX_Multi,$AD146,M$3)</f>
        <v>0</v>
      </c>
      <c r="N146" cm="1">
        <f t="array" ref="N146">INDEX(FX_Multi,$AD146,N$3)</f>
        <v>0</v>
      </c>
      <c r="O146" cm="1">
        <f t="array" ref="O146">INDEX(FX_Multi,$AD146,O$3)</f>
        <v>0</v>
      </c>
      <c r="AC146">
        <v>1</v>
      </c>
      <c r="AD146">
        <f>AD145-1</f>
        <v>58</v>
      </c>
      <c r="AE146">
        <v>1</v>
      </c>
      <c r="AF146">
        <f>AF144+1</f>
        <v>58</v>
      </c>
    </row>
    <row r="147" spans="2:32" x14ac:dyDescent="0.4">
      <c r="B147" t="str">
        <f t="shared" ref="B147:B151" si="403">B146</f>
        <v>Portland</v>
      </c>
      <c r="C147" s="66" t="s">
        <v>569</v>
      </c>
      <c r="D147" cm="1">
        <f t="array" ref="D147">INDEX(FX_Multi,$AD147,D$3)</f>
        <v>0</v>
      </c>
      <c r="E147" cm="1">
        <f t="array" ref="E147">INDEX(FX_Multi,$AD147,E$3)</f>
        <v>0</v>
      </c>
      <c r="F147" cm="1">
        <f t="array" ref="F147">INDEX(FX_Multi,$AD147,F$3)</f>
        <v>0</v>
      </c>
      <c r="G147" cm="1">
        <f t="array" ref="G147">INDEX(FX_Multi,$AD147,G$3)</f>
        <v>0</v>
      </c>
      <c r="H147" cm="1">
        <f t="array" ref="H147">INDEX(FX_Multi,$AD147,H$3)</f>
        <v>0</v>
      </c>
      <c r="I147" cm="1">
        <f t="array" ref="I147">INDEX(FX_Multi,$AD147,I$3)</f>
        <v>0</v>
      </c>
      <c r="J147" cm="1">
        <f t="array" ref="J147">INDEX(FX_Multi,$AD147,J$3)</f>
        <v>0</v>
      </c>
      <c r="K147" cm="1">
        <f t="array" ref="K147">INDEX(FX_Multi,$AD147,K$3)</f>
        <v>0</v>
      </c>
      <c r="L147" cm="1">
        <f t="array" ref="L147">INDEX(FX_Multi,$AD147,L$3)</f>
        <v>0</v>
      </c>
      <c r="M147" cm="1">
        <f t="array" ref="M147">INDEX(FX_Multi,$AD147,M$3)</f>
        <v>0</v>
      </c>
      <c r="N147" cm="1">
        <f t="array" ref="N147">INDEX(FX_Multi,$AD147,N$3)</f>
        <v>0</v>
      </c>
      <c r="O147" cm="1">
        <f t="array" ref="O147">INDEX(FX_Multi,$AD147,O$3)</f>
        <v>0</v>
      </c>
      <c r="AC147">
        <v>1</v>
      </c>
      <c r="AD147">
        <f>AD146+2</f>
        <v>60</v>
      </c>
      <c r="AE147">
        <v>1</v>
      </c>
      <c r="AF147">
        <f>AF145</f>
        <v>60</v>
      </c>
    </row>
    <row r="148" spans="2:32" ht="17.149999999999999" x14ac:dyDescent="0.55000000000000004">
      <c r="B148" t="str">
        <f t="shared" si="403"/>
        <v>Portland</v>
      </c>
      <c r="C148" t="s">
        <v>570</v>
      </c>
      <c r="D148" cm="1">
        <f t="array" ref="D148">INDEX(FX_Multi,$AD148,D$3)</f>
        <v>1</v>
      </c>
      <c r="E148" cm="1">
        <f t="array" ref="E148">INDEX(FX_Multi,$AD148,E$3)</f>
        <v>1</v>
      </c>
      <c r="F148" cm="1">
        <f t="array" ref="F148">INDEX(FX_Multi,$AD148,F$3)</f>
        <v>1</v>
      </c>
      <c r="G148" cm="1">
        <f t="array" ref="G148">INDEX(FX_Multi,$AD148,G$3)</f>
        <v>1</v>
      </c>
      <c r="H148" cm="1">
        <f t="array" ref="H148">INDEX(FX_Multi,$AD148,H$3)</f>
        <v>1</v>
      </c>
      <c r="I148" cm="1">
        <f t="array" ref="I148">INDEX(FX_Multi,$AD148,I$3)</f>
        <v>1</v>
      </c>
      <c r="J148" cm="1">
        <f t="array" ref="J148">INDEX(FX_Multi,$AD148,J$3)</f>
        <v>1</v>
      </c>
      <c r="K148" cm="1">
        <f t="array" ref="K148">INDEX(FX_Multi,$AD148,K$3)</f>
        <v>1</v>
      </c>
      <c r="L148" cm="1">
        <f t="array" ref="L148">INDEX(FX_Multi,$AD148,L$3)</f>
        <v>1</v>
      </c>
      <c r="M148" cm="1">
        <f t="array" ref="M148">INDEX(FX_Multi,$AD148,M$3)</f>
        <v>1</v>
      </c>
      <c r="N148" cm="1">
        <f t="array" ref="N148">INDEX(FX_Multi,$AD148,N$3)</f>
        <v>1</v>
      </c>
      <c r="O148" cm="1">
        <f t="array" ref="O148">INDEX(FX_Multi,$AD148,O$3)</f>
        <v>1</v>
      </c>
      <c r="AC148">
        <v>1</v>
      </c>
      <c r="AD148">
        <f>AD147+6</f>
        <v>66</v>
      </c>
      <c r="AE148">
        <v>1</v>
      </c>
      <c r="AF148">
        <f>AF144+9</f>
        <v>66</v>
      </c>
    </row>
    <row r="149" spans="2:32" ht="17.149999999999999" x14ac:dyDescent="0.55000000000000004">
      <c r="B149" t="str">
        <f t="shared" si="403"/>
        <v>Portland</v>
      </c>
      <c r="C149" t="s">
        <v>571</v>
      </c>
      <c r="D149" cm="1">
        <f t="array" ref="D149">INDEX(FX_Multi,$AD149,D$3)</f>
        <v>162</v>
      </c>
      <c r="E149" cm="1">
        <f t="array" ref="E149">INDEX(FX_Multi,$AD149,E$3)</f>
        <v>162</v>
      </c>
      <c r="F149" cm="1">
        <f t="array" ref="F149">INDEX(FX_Multi,$AD149,F$3)</f>
        <v>162</v>
      </c>
      <c r="G149" cm="1">
        <f t="array" ref="G149">INDEX(FX_Multi,$AD149,G$3)</f>
        <v>162</v>
      </c>
      <c r="H149" cm="1">
        <f t="array" ref="H149">INDEX(FX_Multi,$AD149,H$3)</f>
        <v>162</v>
      </c>
      <c r="I149" cm="1">
        <f t="array" ref="I149">INDEX(FX_Multi,$AD149,I$3)</f>
        <v>162</v>
      </c>
      <c r="J149" cm="1">
        <f t="array" ref="J149">INDEX(FX_Multi,$AD149,J$3)</f>
        <v>162</v>
      </c>
      <c r="K149" cm="1">
        <f t="array" ref="K149">INDEX(FX_Multi,$AD149,K$3)</f>
        <v>162</v>
      </c>
      <c r="L149" cm="1">
        <f t="array" ref="L149">INDEX(FX_Multi,$AD149,L$3)</f>
        <v>162</v>
      </c>
      <c r="M149" cm="1">
        <f t="array" ref="M149">INDEX(FX_Multi,$AD149,M$3)</f>
        <v>162</v>
      </c>
      <c r="N149" cm="1">
        <f t="array" ref="N149">INDEX(FX_Multi,$AD149,N$3)</f>
        <v>162</v>
      </c>
      <c r="O149" cm="1">
        <f t="array" ref="O149">INDEX(FX_Multi,$AD149,O$3)</f>
        <v>162</v>
      </c>
      <c r="AC149">
        <v>1</v>
      </c>
      <c r="AD149">
        <f>AD148-3</f>
        <v>63</v>
      </c>
      <c r="AE149">
        <v>1</v>
      </c>
      <c r="AF149">
        <f>AF144+6</f>
        <v>63</v>
      </c>
    </row>
    <row r="150" spans="2:32" ht="17.149999999999999" x14ac:dyDescent="0.55000000000000004">
      <c r="B150" t="str">
        <f t="shared" si="403"/>
        <v>Portland</v>
      </c>
      <c r="C150" t="s">
        <v>572</v>
      </c>
      <c r="D150" cm="1">
        <f t="array" ref="D150">INDEX(FX_Multi,$AD150,D$3)</f>
        <v>0</v>
      </c>
      <c r="E150" cm="1">
        <f t="array" ref="E150">INDEX(FX_Multi,$AD150,E$3)</f>
        <v>0</v>
      </c>
      <c r="F150" cm="1">
        <f t="array" ref="F150">INDEX(FX_Multi,$AD150,F$3)</f>
        <v>0</v>
      </c>
      <c r="G150" cm="1">
        <f t="array" ref="G150">INDEX(FX_Multi,$AD150,G$3)</f>
        <v>0</v>
      </c>
      <c r="H150" cm="1">
        <f t="array" ref="H150">INDEX(FX_Multi,$AD150,H$3)</f>
        <v>0</v>
      </c>
      <c r="I150" cm="1">
        <f t="array" ref="I150">INDEX(FX_Multi,$AD150,I$3)</f>
        <v>0</v>
      </c>
      <c r="J150" cm="1">
        <f t="array" ref="J150">INDEX(FX_Multi,$AD150,J$3)</f>
        <v>0</v>
      </c>
      <c r="K150" cm="1">
        <f t="array" ref="K150">INDEX(FX_Multi,$AD150,K$3)</f>
        <v>0</v>
      </c>
      <c r="L150" cm="1">
        <f t="array" ref="L150">INDEX(FX_Multi,$AD150,L$3)</f>
        <v>0</v>
      </c>
      <c r="M150" cm="1">
        <f t="array" ref="M150">INDEX(FX_Multi,$AD150,M$3)</f>
        <v>0</v>
      </c>
      <c r="N150" cm="1">
        <f t="array" ref="N150">INDEX(FX_Multi,$AD150,N$3)</f>
        <v>0</v>
      </c>
      <c r="O150" cm="1">
        <f t="array" ref="O150">INDEX(FX_Multi,$AD150,O$3)</f>
        <v>0</v>
      </c>
      <c r="AC150">
        <v>1</v>
      </c>
      <c r="AD150">
        <f>AD149+4</f>
        <v>67</v>
      </c>
      <c r="AE150">
        <v>1</v>
      </c>
      <c r="AF150">
        <f>AF144+10</f>
        <v>67</v>
      </c>
    </row>
    <row r="151" spans="2:32" ht="17.149999999999999" x14ac:dyDescent="0.55000000000000004">
      <c r="B151" t="str">
        <f t="shared" si="403"/>
        <v>Portland</v>
      </c>
      <c r="C151" t="s">
        <v>573</v>
      </c>
      <c r="D151" cm="1">
        <f t="array" ref="D151">INDEX(FX_Multi,$AD151,D$3)</f>
        <v>0</v>
      </c>
      <c r="E151" cm="1">
        <f t="array" ref="E151">INDEX(FX_Multi,$AD151,E$3)</f>
        <v>0</v>
      </c>
      <c r="F151" cm="1">
        <f t="array" ref="F151">INDEX(FX_Multi,$AD151,F$3)</f>
        <v>0</v>
      </c>
      <c r="G151" cm="1">
        <f t="array" ref="G151">INDEX(FX_Multi,$AD151,G$3)</f>
        <v>0</v>
      </c>
      <c r="H151" cm="1">
        <f t="array" ref="H151">INDEX(FX_Multi,$AD151,H$3)</f>
        <v>0</v>
      </c>
      <c r="I151" cm="1">
        <f t="array" ref="I151">INDEX(FX_Multi,$AD151,I$3)</f>
        <v>0</v>
      </c>
      <c r="J151" cm="1">
        <f t="array" ref="J151">INDEX(FX_Multi,$AD151,J$3)</f>
        <v>0</v>
      </c>
      <c r="K151" cm="1">
        <f t="array" ref="K151">INDEX(FX_Multi,$AD151,K$3)</f>
        <v>0</v>
      </c>
      <c r="L151" cm="1">
        <f t="array" ref="L151">INDEX(FX_Multi,$AD151,L$3)</f>
        <v>0</v>
      </c>
      <c r="M151" cm="1">
        <f t="array" ref="M151">INDEX(FX_Multi,$AD151,M$3)</f>
        <v>0</v>
      </c>
      <c r="N151" cm="1">
        <f t="array" ref="N151">INDEX(FX_Multi,$AD151,N$3)</f>
        <v>0</v>
      </c>
      <c r="O151" cm="1">
        <f t="array" ref="O151">INDEX(FX_Multi,$AD151,O$3)</f>
        <v>0</v>
      </c>
      <c r="AC151">
        <v>1</v>
      </c>
      <c r="AD151">
        <f>AD150-3</f>
        <v>64</v>
      </c>
      <c r="AE151">
        <v>1</v>
      </c>
      <c r="AF151">
        <f>AF144+7</f>
        <v>64</v>
      </c>
    </row>
    <row r="152" spans="2:32" ht="17.149999999999999" x14ac:dyDescent="0.55000000000000004">
      <c r="B152" t="str">
        <f>B147</f>
        <v>Portland</v>
      </c>
      <c r="C152" t="s">
        <v>526</v>
      </c>
      <c r="D152" cm="1">
        <f t="array" ref="D152">INDEX(FX_Temps,$AF152,D$3)</f>
        <v>43.899999999999977</v>
      </c>
      <c r="E152" cm="1">
        <f t="array" ref="E152">INDEX(FX_Temps,$AF152,E$3)</f>
        <v>44.700000000000045</v>
      </c>
      <c r="F152" cm="1">
        <f t="array" ref="F152">INDEX(FX_Temps,$AF152,F$3)</f>
        <v>46.100000000000023</v>
      </c>
      <c r="G152" cm="1">
        <f t="array" ref="G152">INDEX(FX_Temps,$AF152,G$3)</f>
        <v>48.599999999999966</v>
      </c>
      <c r="H152" cm="1">
        <f t="array" ref="H152">INDEX(FX_Temps,$AF152,H$3)</f>
        <v>53.149999999999977</v>
      </c>
      <c r="I152" cm="1">
        <f t="array" ref="I152">INDEX(FX_Temps,$AF152,I$3)</f>
        <v>56.950000000000045</v>
      </c>
      <c r="J152" cm="1">
        <f t="array" ref="J152">INDEX(FX_Temps,$AF152,J$3)</f>
        <v>60.449999999999932</v>
      </c>
      <c r="K152" cm="1">
        <f t="array" ref="K152">INDEX(FX_Temps,$AF152,K$3)</f>
        <v>60.899999999999977</v>
      </c>
      <c r="L152" cm="1">
        <f t="array" ref="L152">INDEX(FX_Temps,$AF152,L$3)</f>
        <v>58.600000000000023</v>
      </c>
      <c r="M152" cm="1">
        <f t="array" ref="M152">INDEX(FX_Temps,$AF152,M$3)</f>
        <v>52.649999999999977</v>
      </c>
      <c r="N152" cm="1">
        <f t="array" ref="N152">INDEX(FX_Temps,$AF152,N$3)</f>
        <v>47.100000000000023</v>
      </c>
      <c r="O152" cm="1">
        <f t="array" ref="O152">INDEX(FX_Temps,$AF152,O$3)</f>
        <v>43.600000000000023</v>
      </c>
      <c r="AE152">
        <v>1</v>
      </c>
      <c r="AF152">
        <f>AF144+10</f>
        <v>67</v>
      </c>
    </row>
    <row r="153" spans="2:32" ht="17.149999999999999" x14ac:dyDescent="0.55000000000000004">
      <c r="B153" t="str">
        <f t="shared" ref="B153:B174" si="404">B152</f>
        <v>Portland</v>
      </c>
      <c r="C153" t="s">
        <v>527</v>
      </c>
      <c r="D153" cm="1">
        <f t="array" ref="D153">INDEX(FX_Temps,$AF153,D$3)</f>
        <v>43.899999999999977</v>
      </c>
      <c r="E153" cm="1">
        <f t="array" ref="E153">INDEX(FX_Temps,$AF153,E$3)</f>
        <v>44.700000000000045</v>
      </c>
      <c r="F153" cm="1">
        <f t="array" ref="F153">INDEX(FX_Temps,$AF153,F$3)</f>
        <v>46.100000000000023</v>
      </c>
      <c r="G153" cm="1">
        <f t="array" ref="G153">INDEX(FX_Temps,$AF153,G$3)</f>
        <v>48.599999999999966</v>
      </c>
      <c r="H153" cm="1">
        <f t="array" ref="H153">INDEX(FX_Temps,$AF153,H$3)</f>
        <v>53.149999999999977</v>
      </c>
      <c r="I153" cm="1">
        <f t="array" ref="I153">INDEX(FX_Temps,$AF153,I$3)</f>
        <v>56.950000000000045</v>
      </c>
      <c r="J153" cm="1">
        <f t="array" ref="J153">INDEX(FX_Temps,$AF153,J$3)</f>
        <v>60.449999999999932</v>
      </c>
      <c r="K153" cm="1">
        <f t="array" ref="K153">INDEX(FX_Temps,$AF153,K$3)</f>
        <v>60.899999999999977</v>
      </c>
      <c r="L153" cm="1">
        <f t="array" ref="L153">INDEX(FX_Temps,$AF153,L$3)</f>
        <v>58.600000000000023</v>
      </c>
      <c r="M153" cm="1">
        <f t="array" ref="M153">INDEX(FX_Temps,$AF153,M$3)</f>
        <v>52.649999999999977</v>
      </c>
      <c r="N153" cm="1">
        <f t="array" ref="N153">INDEX(FX_Temps,$AF153,N$3)</f>
        <v>47.100000000000023</v>
      </c>
      <c r="O153" cm="1">
        <f t="array" ref="O153">INDEX(FX_Temps,$AF153,O$3)</f>
        <v>43.600000000000023</v>
      </c>
      <c r="AE153">
        <f>AE152</f>
        <v>1</v>
      </c>
      <c r="AF153">
        <f>AF144+11</f>
        <v>68</v>
      </c>
    </row>
    <row r="154" spans="2:32" ht="17.149999999999999" x14ac:dyDescent="0.55000000000000004">
      <c r="B154" t="str">
        <f t="shared" si="404"/>
        <v>Portland</v>
      </c>
      <c r="C154" t="s">
        <v>552</v>
      </c>
      <c r="D154" cm="1">
        <f t="array" ref="D154">INDEX(FX_Temps,$AF154,D$3)</f>
        <v>43.899999999999977</v>
      </c>
      <c r="E154" cm="1">
        <f t="array" ref="E154">INDEX(FX_Temps,$AF154,E$3)</f>
        <v>44.700000000000045</v>
      </c>
      <c r="F154" cm="1">
        <f t="array" ref="F154">INDEX(FX_Temps,$AF154,F$3)</f>
        <v>46.100000000000023</v>
      </c>
      <c r="G154" cm="1">
        <f t="array" ref="G154">INDEX(FX_Temps,$AF154,G$3)</f>
        <v>48.599999999999966</v>
      </c>
      <c r="H154" cm="1">
        <f t="array" ref="H154">INDEX(FX_Temps,$AF154,H$3)</f>
        <v>53.149999999999977</v>
      </c>
      <c r="I154" cm="1">
        <f t="array" ref="I154">INDEX(FX_Temps,$AF154,I$3)</f>
        <v>56.950000000000045</v>
      </c>
      <c r="J154" cm="1">
        <f t="array" ref="J154">INDEX(FX_Temps,$AF154,J$3)</f>
        <v>60.449999999999932</v>
      </c>
      <c r="K154" cm="1">
        <f t="array" ref="K154">INDEX(FX_Temps,$AF154,K$3)</f>
        <v>60.899999999999977</v>
      </c>
      <c r="L154" cm="1">
        <f t="array" ref="L154">INDEX(FX_Temps,$AF154,L$3)</f>
        <v>58.600000000000023</v>
      </c>
      <c r="M154" cm="1">
        <f t="array" ref="M154">INDEX(FX_Temps,$AF154,M$3)</f>
        <v>52.649999999999977</v>
      </c>
      <c r="N154" cm="1">
        <f t="array" ref="N154">INDEX(FX_Temps,$AF154,N$3)</f>
        <v>47.100000000000023</v>
      </c>
      <c r="O154" cm="1">
        <f t="array" ref="O154">INDEX(FX_Temps,$AF154,O$3)</f>
        <v>43.600000000000023</v>
      </c>
      <c r="AE154">
        <f>AE153</f>
        <v>1</v>
      </c>
      <c r="AF154">
        <f>AF144+13</f>
        <v>70</v>
      </c>
    </row>
    <row r="155" spans="2:32" ht="17.149999999999999" x14ac:dyDescent="0.55000000000000004">
      <c r="B155" t="str">
        <f t="shared" si="404"/>
        <v>Portland</v>
      </c>
      <c r="C155" t="s">
        <v>574</v>
      </c>
      <c r="D155" s="20" cm="1">
        <f t="array" ref="D155">IFERROR(IF(D145="Chemical",(10^(INDEX(Antoines,MATCH(D144,Antoine_Name,0),2)-INDEX(Antoines,MATCH(D144,Antoine_Name,0),3)/(INDEX(Antoines,MATCH(D144,Antoine_Name,0),4)+(D152-32)*5/9)))*14.7/760,IF(D145="Crude Oil",EXP((2799/(D152+459.6)-2.227)*LOG10(INDEX(FX_Input,Q$5,D$3*$Z$5+$AA$5))-(7261/(D152+459.6))+12.82),IF(D145="Refined Petroleum Stock",EXP((0.7553-(413/(D152+459.6)))*(INDEX(FX_Input,Q$5,D$3*$Z$5+$AA$5-1)^0.5)*LOG10(INDEX(FX_Input,Q$5,D$3*$Z$5+$AA$5))-(1.854-(1042/(D152+459.6)))*(INDEX(FX_Input,Q$5,D$3*$Z$5+$AA$5-1)^0.5)+((2416/(D152+459.6)-2.013)*LOG10(INDEX(FX_Input,Q$5,D$3*$Z$5+$AA$5)))-(8742/(D152+459.6))+15.64),EXP(INDEX(Antoines,MATCH(D144,Antoine_Name,0),2)-INDEX(Antoines,MATCH(D144,Antoine_Name,0),3)/(D152+459.6))))),0)</f>
        <v>4.739577185808354E-3</v>
      </c>
      <c r="E155" cm="1">
        <f t="array" ref="E155">IFERROR(IF(E145="Chemical",(10^(INDEX(Antoines,MATCH(E144,Antoine_Name,0),2)-INDEX(Antoines,MATCH(E144,Antoine_Name,0),3)/(INDEX(Antoines,MATCH(E144,Antoine_Name,0),4)+(E152-32)*5/9)))*14.7/760,IF(E145="Crude Oil",EXP((2799/(E152+459.6)-2.227)*LOG10(INDEX(FX_Input,R$5,E$3*$Z$5+$AA$5))-(7261/(E152+459.6))+12.82),IF(E145="Refined Petroleum Stock",EXP((0.7553-(413/(E152+459.6)))*(INDEX(FX_Input,R$5,E$3*$Z$5+$AA$5-1)^0.5)*LOG10(INDEX(FX_Input,R$5,E$3*$Z$5+$AA$5))-(1.854-(1042/(E152+459.6)))*(INDEX(FX_Input,R$5,E$3*$Z$5+$AA$5-1)^0.5)+((2416/(E152+459.6)-2.013)*LOG10(INDEX(FX_Input,R$5,E$3*$Z$5+$AA$5)))-(8742/(E152+459.6))+15.64),EXP(INDEX(Antoines,MATCH(E144,Antoine_Name,0),2)-INDEX(Antoines,MATCH(E144,Antoine_Name,0),3)/(E152+459.6))))),0)</f>
        <v>4.8748667780818778E-3</v>
      </c>
      <c r="F155" cm="1">
        <f t="array" ref="F155">IFERROR(IF(F145="Chemical",(10^(INDEX(Antoines,MATCH(F144,Antoine_Name,0),2)-INDEX(Antoines,MATCH(F144,Antoine_Name,0),3)/(INDEX(Antoines,MATCH(F144,Antoine_Name,0),4)+(F152-32)*5/9)))*14.7/760,IF(F145="Crude Oil",EXP((2799/(F152+459.6)-2.227)*LOG10(INDEX(FX_Input,S$5,F$3*$Z$5+$AA$5))-(7261/(F152+459.6))+12.82),IF(F145="Refined Petroleum Stock",EXP((0.7553-(413/(F152+459.6)))*(INDEX(FX_Input,S$5,F$3*$Z$5+$AA$5-1)^0.5)*LOG10(INDEX(FX_Input,S$5,F$3*$Z$5+$AA$5))-(1.854-(1042/(F152+459.6)))*(INDEX(FX_Input,S$5,F$3*$Z$5+$AA$5-1)^0.5)+((2416/(F152+459.6)-2.013)*LOG10(INDEX(FX_Input,S$5,F$3*$Z$5+$AA$5)))-(8742/(F152+459.6))+15.64),EXP(INDEX(Antoines,MATCH(F144,Antoine_Name,0),2)-INDEX(Antoines,MATCH(F144,Antoine_Name,0),3)/(F152+459.6))))),0)</f>
        <v>5.119885034186122E-3</v>
      </c>
      <c r="G155" cm="1">
        <f t="array" ref="G155">IFERROR(IF(G145="Chemical",(10^(INDEX(Antoines,MATCH(G144,Antoine_Name,0),2)-INDEX(Antoines,MATCH(G144,Antoine_Name,0),3)/(INDEX(Antoines,MATCH(G144,Antoine_Name,0),4)+(G152-32)*5/9)))*14.7/760,IF(G145="Crude Oil",EXP((2799/(G152+459.6)-2.227)*LOG10(INDEX(FX_Input,T$5,G$3*$Z$5+$AA$5))-(7261/(G152+459.6))+12.82),IF(G145="Refined Petroleum Stock",EXP((0.7553-(413/(G152+459.6)))*(INDEX(FX_Input,T$5,G$3*$Z$5+$AA$5-1)^0.5)*LOG10(INDEX(FX_Input,T$5,G$3*$Z$5+$AA$5))-(1.854-(1042/(G152+459.6)))*(INDEX(FX_Input,T$5,G$3*$Z$5+$AA$5-1)^0.5)+((2416/(G152+459.6)-2.013)*LOG10(INDEX(FX_Input,T$5,G$3*$Z$5+$AA$5)))-(8742/(G152+459.6))+15.64),EXP(INDEX(Antoines,MATCH(G144,Antoine_Name,0),2)-INDEX(Antoines,MATCH(G144,Antoine_Name,0),3)/(G152+459.6))))),0)</f>
        <v>5.5846958573521795E-3</v>
      </c>
      <c r="H155" cm="1">
        <f t="array" ref="H155">IFERROR(IF(H145="Chemical",(10^(INDEX(Antoines,MATCH(H144,Antoine_Name,0),2)-INDEX(Antoines,MATCH(H144,Antoine_Name,0),3)/(INDEX(Antoines,MATCH(H144,Antoine_Name,0),4)+(H152-32)*5/9)))*14.7/760,IF(H145="Crude Oil",EXP((2799/(H152+459.6)-2.227)*LOG10(INDEX(FX_Input,U$5,H$3*$Z$5+$AA$5))-(7261/(H152+459.6))+12.82),IF(H145="Refined Petroleum Stock",EXP((0.7553-(413/(H152+459.6)))*(INDEX(FX_Input,U$5,H$3*$Z$5+$AA$5-1)^0.5)*LOG10(INDEX(FX_Input,U$5,H$3*$Z$5+$AA$5))-(1.854-(1042/(H152+459.6)))*(INDEX(FX_Input,U$5,H$3*$Z$5+$AA$5-1)^0.5)+((2416/(H152+459.6)-2.013)*LOG10(INDEX(FX_Input,U$5,H$3*$Z$5+$AA$5)))-(8742/(H152+459.6))+15.64),EXP(INDEX(Antoines,MATCH(H144,Antoine_Name,0),2)-INDEX(Antoines,MATCH(H144,Antoine_Name,0),3)/(H152+459.6))))),0)</f>
        <v>6.5274070972739821E-3</v>
      </c>
      <c r="I155" cm="1">
        <f t="array" ref="I155">IFERROR(IF(I145="Chemical",(10^(INDEX(Antoines,MATCH(I144,Antoine_Name,0),2)-INDEX(Antoines,MATCH(I144,Antoine_Name,0),3)/(INDEX(Antoines,MATCH(I144,Antoine_Name,0),4)+(I152-32)*5/9)))*14.7/760,IF(I145="Crude Oil",EXP((2799/(I152+459.6)-2.227)*LOG10(INDEX(FX_Input,V$5,I$3*$Z$5+$AA$5))-(7261/(I152+459.6))+12.82),IF(I145="Refined Petroleum Stock",EXP((0.7553-(413/(I152+459.6)))*(INDEX(FX_Input,V$5,I$3*$Z$5+$AA$5-1)^0.5)*LOG10(INDEX(FX_Input,V$5,I$3*$Z$5+$AA$5))-(1.854-(1042/(I152+459.6)))*(INDEX(FX_Input,V$5,I$3*$Z$5+$AA$5-1)^0.5)+((2416/(I152+459.6)-2.013)*LOG10(INDEX(FX_Input,V$5,I$3*$Z$5+$AA$5)))-(8742/(I152+459.6))+15.64),EXP(INDEX(Antoines,MATCH(I144,Antoine_Name,0),2)-INDEX(Antoines,MATCH(I144,Antoine_Name,0),3)/(I152+459.6))))),0)</f>
        <v>7.4199539958878279E-3</v>
      </c>
      <c r="J155" cm="1">
        <f t="array" ref="J155">IFERROR(IF(J145="Chemical",(10^(INDEX(Antoines,MATCH(J144,Antoine_Name,0),2)-INDEX(Antoines,MATCH(J144,Antoine_Name,0),3)/(INDEX(Antoines,MATCH(J144,Antoine_Name,0),4)+(J152-32)*5/9)))*14.7/760,IF(J145="Crude Oil",EXP((2799/(J152+459.6)-2.227)*LOG10(INDEX(FX_Input,W$5,J$3*$Z$5+$AA$5))-(7261/(J152+459.6))+12.82),IF(J145="Refined Petroleum Stock",EXP((0.7553-(413/(J152+459.6)))*(INDEX(FX_Input,W$5,J$3*$Z$5+$AA$5-1)^0.5)*LOG10(INDEX(FX_Input,W$5,J$3*$Z$5+$AA$5))-(1.854-(1042/(J152+459.6)))*(INDEX(FX_Input,W$5,J$3*$Z$5+$AA$5-1)^0.5)+((2416/(J152+459.6)-2.013)*LOG10(INDEX(FX_Input,W$5,J$3*$Z$5+$AA$5)))-(8742/(J152+459.6))+15.64),EXP(INDEX(Antoines,MATCH(J144,Antoine_Name,0),2)-INDEX(Antoines,MATCH(J144,Antoine_Name,0),3)/(J152+459.6))))),0)</f>
        <v>8.3358107202842254E-3</v>
      </c>
      <c r="K155" cm="1">
        <f t="array" ref="K155">IFERROR(IF(K145="Chemical",(10^(INDEX(Antoines,MATCH(K144,Antoine_Name,0),2)-INDEX(Antoines,MATCH(K144,Antoine_Name,0),3)/(INDEX(Antoines,MATCH(K144,Antoine_Name,0),4)+(K152-32)*5/9)))*14.7/760,IF(K145="Crude Oil",EXP((2799/(K152+459.6)-2.227)*LOG10(INDEX(FX_Input,X$5,K$3*$Z$5+$AA$5))-(7261/(K152+459.6))+12.82),IF(K145="Refined Petroleum Stock",EXP((0.7553-(413/(K152+459.6)))*(INDEX(FX_Input,X$5,K$3*$Z$5+$AA$5-1)^0.5)*LOG10(INDEX(FX_Input,X$5,K$3*$Z$5+$AA$5))-(1.854-(1042/(K152+459.6)))*(INDEX(FX_Input,X$5,K$3*$Z$5+$AA$5-1)^0.5)+((2416/(K152+459.6)-2.013)*LOG10(INDEX(FX_Input,X$5,K$3*$Z$5+$AA$5)))-(8742/(K152+459.6))+15.64),EXP(INDEX(Antoines,MATCH(K144,Antoine_Name,0),2)-INDEX(Antoines,MATCH(K144,Antoine_Name,0),3)/(K152+459.6))))),0)</f>
        <v>8.4605262729351115E-3</v>
      </c>
      <c r="L155" cm="1">
        <f t="array" ref="L155">IFERROR(IF(L145="Chemical",(10^(INDEX(Antoines,MATCH(L144,Antoine_Name,0),2)-INDEX(Antoines,MATCH(L144,Antoine_Name,0),3)/(INDEX(Antoines,MATCH(L144,Antoine_Name,0),4)+(L152-32)*5/9)))*14.7/760,IF(L145="Crude Oil",EXP((2799/(L152+459.6)-2.227)*LOG10(INDEX(FX_Input,Y$5,L$3*$Z$5+$AA$5))-(7261/(L152+459.6))+12.82),IF(L145="Refined Petroleum Stock",EXP((0.7553-(413/(L152+459.6)))*(INDEX(FX_Input,Y$5,L$3*$Z$5+$AA$5-1)^0.5)*LOG10(INDEX(FX_Input,Y$5,L$3*$Z$5+$AA$5))-(1.854-(1042/(L152+459.6)))*(INDEX(FX_Input,Y$5,L$3*$Z$5+$AA$5-1)^0.5)+((2416/(L152+459.6)-2.013)*LOG10(INDEX(FX_Input,Y$5,L$3*$Z$5+$AA$5)))-(8742/(L152+459.6))+15.64),EXP(INDEX(Antoines,MATCH(L144,Antoine_Name,0),2)-INDEX(Antoines,MATCH(L144,Antoine_Name,0),3)/(L152+459.6))))),0)</f>
        <v>7.8399882233967533E-3</v>
      </c>
      <c r="M155" cm="1">
        <f t="array" ref="M155">IFERROR(IF(M145="Chemical",(10^(INDEX(Antoines,MATCH(M144,Antoine_Name,0),2)-INDEX(Antoines,MATCH(M144,Antoine_Name,0),3)/(INDEX(Antoines,MATCH(M144,Antoine_Name,0),4)+(M152-32)*5/9)))*14.7/760,IF(M145="Crude Oil",EXP((2799/(M152+459.6)-2.227)*LOG10(INDEX(FX_Input,Z$5,M$3*$Z$5+$AA$5))-(7261/(M152+459.6))+12.82),IF(M145="Refined Petroleum Stock",EXP((0.7553-(413/(M152+459.6)))*(INDEX(FX_Input,Z$5,M$3*$Z$5+$AA$5-1)^0.5)*LOG10(INDEX(FX_Input,Z$5,M$3*$Z$5+$AA$5))-(1.854-(1042/(M152+459.6)))*(INDEX(FX_Input,Z$5,M$3*$Z$5+$AA$5-1)^0.5)+((2416/(M152+459.6)-2.013)*LOG10(INDEX(FX_Input,Z$5,M$3*$Z$5+$AA$5)))-(8742/(M152+459.6))+15.64),EXP(INDEX(Antoines,MATCH(M144,Antoine_Name,0),2)-INDEX(Antoines,MATCH(M144,Antoine_Name,0),3)/(M152+459.6))))),0)</f>
        <v>6.4173462075160911E-3</v>
      </c>
      <c r="N155" cm="1">
        <f t="array" ref="N155">IFERROR(IF(N145="Chemical",(10^(INDEX(Antoines,MATCH(N144,Antoine_Name,0),2)-INDEX(Antoines,MATCH(N144,Antoine_Name,0),3)/(INDEX(Antoines,MATCH(N144,Antoine_Name,0),4)+(N152-32)*5/9)))*14.7/760,IF(N145="Crude Oil",EXP((2799/(N152+459.6)-2.227)*LOG10(INDEX(FX_Input,AA$5,N$3*$Z$5+$AA$5))-(7261/(N152+459.6))+12.82),IF(N145="Refined Petroleum Stock",EXP((0.7553-(413/(N152+459.6)))*(INDEX(FX_Input,AA$5,N$3*$Z$5+$AA$5-1)^0.5)*LOG10(INDEX(FX_Input,AA$5,N$3*$Z$5+$AA$5))-(1.854-(1042/(N152+459.6)))*(INDEX(FX_Input,AA$5,N$3*$Z$5+$AA$5-1)^0.5)+((2416/(N152+459.6)-2.013)*LOG10(INDEX(FX_Input,AA$5,N$3*$Z$5+$AA$5)))-(8742/(N152+459.6))+15.64),EXP(INDEX(Antoines,MATCH(N144,Antoine_Name,0),2)-INDEX(Antoines,MATCH(N144,Antoine_Name,0),3)/(N152+459.6))))),0)</f>
        <v>5.3015226887581056E-3</v>
      </c>
      <c r="O155" cm="1">
        <f t="array" ref="O155">IFERROR(IF(O145="Chemical",(10^(INDEX(Antoines,MATCH(O144,Antoine_Name,0),2)-INDEX(Antoines,MATCH(O144,Antoine_Name,0),3)/(INDEX(Antoines,MATCH(O144,Antoine_Name,0),4)+(O152-32)*5/9)))*14.7/760,IF(O145="Crude Oil",EXP((2799/(O152+459.6)-2.227)*LOG10(INDEX(FX_Input,AB$5,O$3*$Z$5+$AA$5))-(7261/(O152+459.6))+12.82),IF(O145="Refined Petroleum Stock",EXP((0.7553-(413/(O152+459.6)))*(INDEX(FX_Input,AB$5,O$3*$Z$5+$AA$5-1)^0.5)*LOG10(INDEX(FX_Input,AB$5,O$3*$Z$5+$AA$5))-(1.854-(1042/(O152+459.6)))*(INDEX(FX_Input,AB$5,O$3*$Z$5+$AA$5-1)^0.5)+((2416/(O152+459.6)-2.013)*LOG10(INDEX(FX_Input,AB$5,O$3*$Z$5+$AA$5)))-(8742/(O152+459.6))+15.64),EXP(INDEX(Antoines,MATCH(O144,Antoine_Name,0),2)-INDEX(Antoines,MATCH(O144,Antoine_Name,0),3)/(O152+459.6))))),0)</f>
        <v>4.68970903600947E-3</v>
      </c>
    </row>
    <row r="156" spans="2:32" ht="17.149999999999999" x14ac:dyDescent="0.55000000000000004">
      <c r="B156" t="str">
        <f t="shared" si="404"/>
        <v>Portland</v>
      </c>
      <c r="C156" t="s">
        <v>576</v>
      </c>
      <c r="D156">
        <f>D148*D155</f>
        <v>4.739577185808354E-3</v>
      </c>
      <c r="E156">
        <f t="shared" ref="E156" si="405">E148*E155</f>
        <v>4.8748667780818778E-3</v>
      </c>
      <c r="F156">
        <f t="shared" ref="F156" si="406">F148*F155</f>
        <v>5.119885034186122E-3</v>
      </c>
      <c r="G156">
        <f t="shared" ref="G156" si="407">G148*G155</f>
        <v>5.5846958573521795E-3</v>
      </c>
      <c r="H156">
        <f t="shared" ref="H156" si="408">H148*H155</f>
        <v>6.5274070972739821E-3</v>
      </c>
      <c r="I156">
        <f t="shared" ref="I156" si="409">I148*I155</f>
        <v>7.4199539958878279E-3</v>
      </c>
      <c r="J156">
        <f t="shared" ref="J156" si="410">J148*J155</f>
        <v>8.3358107202842254E-3</v>
      </c>
      <c r="K156">
        <f t="shared" ref="K156" si="411">K148*K155</f>
        <v>8.4605262729351115E-3</v>
      </c>
      <c r="L156">
        <f t="shared" ref="L156" si="412">L148*L155</f>
        <v>7.8399882233967533E-3</v>
      </c>
      <c r="M156">
        <f t="shared" ref="M156" si="413">M148*M155</f>
        <v>6.4173462075160911E-3</v>
      </c>
      <c r="N156">
        <f t="shared" ref="N156" si="414">N148*N155</f>
        <v>5.3015226887581056E-3</v>
      </c>
      <c r="O156">
        <f t="shared" ref="O156" si="415">O148*O155</f>
        <v>4.68970903600947E-3</v>
      </c>
    </row>
    <row r="157" spans="2:32" ht="17.149999999999999" x14ac:dyDescent="0.55000000000000004">
      <c r="B157" t="str">
        <f t="shared" si="404"/>
        <v>Portland</v>
      </c>
      <c r="C157" t="s">
        <v>575</v>
      </c>
      <c r="D157" cm="1">
        <f t="array" ref="D157">IFERROR(IF(D147="Chemical",(10^(INDEX(Antoines,MATCH(D146,Antoine_Name,0),2)-INDEX(Antoines,MATCH(D146,Antoine_Name,0),3)/(INDEX(Antoines,MATCH(D146,Antoine_Name,0),4)+(D152-32)*5/9)))*14.7/760,IF(D147="Crude Oil",EXP((2799/(D152+459.6)-2.227)*LOG10(INDEX(FX_Input,Q$5,D$3*$Z$5+$AA$5))-(7261/(D152+459.6))+12.82),IF(D147="Refined Petroleum Stock",EXP((0.7553-(413/(D152+459.6)))*(INDEX(FX_Input,Q$5,D$3*$Z$5+$AA$5-1)^0.5)*LOG10(INDEX(FX_Input,Q$5,D$3*$Z$5+$AA$5))-(1.854-(1042/(D152+459.6)))*(INDEX(FX_Input,Q$5,D$3*$Z$5+$AA$5-1)^0.5)+((2416/(D152+459.6)-2.013)*LOG10(INDEX(FX_Input,Q$5,D$3*$Z$5+$AA$5)))-(8742/(D152+459.6))+15.64),EXP(INDEX(Antoines,MATCH(D146,Antoine_Name,0),2)-INDEX(Antoines,MATCH(D146,Antoine_Name,0),3)/(D152+459.6))))),0)</f>
        <v>0</v>
      </c>
      <c r="E157" cm="1">
        <f t="array" ref="E157">IFERROR(IF(E147="Chemical",(10^(INDEX(Antoines,MATCH(E146,Antoine_Name,0),2)-INDEX(Antoines,MATCH(E146,Antoine_Name,0),3)/(INDEX(Antoines,MATCH(E146,Antoine_Name,0),4)+(E152-32)*5/9)))*14.7/760,IF(E147="Crude Oil",EXP((2799/(E152+459.6)-2.227)*LOG10(INDEX(FX_Input,R$5,E$3*$Z$5+$AA$5))-(7261/(E152+459.6))+12.82),IF(E147="Refined Petroleum Stock",EXP((0.7553-(413/(E152+459.6)))*(INDEX(FX_Input,R$5,E$3*$Z$5+$AA$5-1)^0.5)*LOG10(INDEX(FX_Input,R$5,E$3*$Z$5+$AA$5))-(1.854-(1042/(E152+459.6)))*(INDEX(FX_Input,R$5,E$3*$Z$5+$AA$5-1)^0.5)+((2416/(E152+459.6)-2.013)*LOG10(INDEX(FX_Input,R$5,E$3*$Z$5+$AA$5)))-(8742/(E152+459.6))+15.64),EXP(INDEX(Antoines,MATCH(E146,Antoine_Name,0),2)-INDEX(Antoines,MATCH(E146,Antoine_Name,0),3)/(E152+459.6))))),0)</f>
        <v>0</v>
      </c>
      <c r="F157" cm="1">
        <f t="array" ref="F157">IFERROR(IF(F147="Chemical",(10^(INDEX(Antoines,MATCH(F146,Antoine_Name,0),2)-INDEX(Antoines,MATCH(F146,Antoine_Name,0),3)/(INDEX(Antoines,MATCH(F146,Antoine_Name,0),4)+(F152-32)*5/9)))*14.7/760,IF(F147="Crude Oil",EXP((2799/(F152+459.6)-2.227)*LOG10(INDEX(FX_Input,S$5,F$3*$Z$5+$AA$5))-(7261/(F152+459.6))+12.82),IF(F147="Refined Petroleum Stock",EXP((0.7553-(413/(F152+459.6)))*(INDEX(FX_Input,S$5,F$3*$Z$5+$AA$5-1)^0.5)*LOG10(INDEX(FX_Input,S$5,F$3*$Z$5+$AA$5))-(1.854-(1042/(F152+459.6)))*(INDEX(FX_Input,S$5,F$3*$Z$5+$AA$5-1)^0.5)+((2416/(F152+459.6)-2.013)*LOG10(INDEX(FX_Input,S$5,F$3*$Z$5+$AA$5)))-(8742/(F152+459.6))+15.64),EXP(INDEX(Antoines,MATCH(F146,Antoine_Name,0),2)-INDEX(Antoines,MATCH(F146,Antoine_Name,0),3)/(F152+459.6))))),0)</f>
        <v>0</v>
      </c>
      <c r="G157" cm="1">
        <f t="array" ref="G157">IFERROR(IF(G147="Chemical",(10^(INDEX(Antoines,MATCH(G146,Antoine_Name,0),2)-INDEX(Antoines,MATCH(G146,Antoine_Name,0),3)/(INDEX(Antoines,MATCH(G146,Antoine_Name,0),4)+(G152-32)*5/9)))*14.7/760,IF(G147="Crude Oil",EXP((2799/(G152+459.6)-2.227)*LOG10(INDEX(FX_Input,T$5,G$3*$Z$5+$AA$5))-(7261/(G152+459.6))+12.82),IF(G147="Refined Petroleum Stock",EXP((0.7553-(413/(G152+459.6)))*(INDEX(FX_Input,T$5,G$3*$Z$5+$AA$5-1)^0.5)*LOG10(INDEX(FX_Input,T$5,G$3*$Z$5+$AA$5))-(1.854-(1042/(G152+459.6)))*(INDEX(FX_Input,T$5,G$3*$Z$5+$AA$5-1)^0.5)+((2416/(G152+459.6)-2.013)*LOG10(INDEX(FX_Input,T$5,G$3*$Z$5+$AA$5)))-(8742/(G152+459.6))+15.64),EXP(INDEX(Antoines,MATCH(G146,Antoine_Name,0),2)-INDEX(Antoines,MATCH(G146,Antoine_Name,0),3)/(G152+459.6))))),0)</f>
        <v>0</v>
      </c>
      <c r="H157" cm="1">
        <f t="array" ref="H157">IFERROR(IF(H147="Chemical",(10^(INDEX(Antoines,MATCH(H146,Antoine_Name,0),2)-INDEX(Antoines,MATCH(H146,Antoine_Name,0),3)/(INDEX(Antoines,MATCH(H146,Antoine_Name,0),4)+(H152-32)*5/9)))*14.7/760,IF(H147="Crude Oil",EXP((2799/(H152+459.6)-2.227)*LOG10(INDEX(FX_Input,U$5,H$3*$Z$5+$AA$5))-(7261/(H152+459.6))+12.82),IF(H147="Refined Petroleum Stock",EXP((0.7553-(413/(H152+459.6)))*(INDEX(FX_Input,U$5,H$3*$Z$5+$AA$5-1)^0.5)*LOG10(INDEX(FX_Input,U$5,H$3*$Z$5+$AA$5))-(1.854-(1042/(H152+459.6)))*(INDEX(FX_Input,U$5,H$3*$Z$5+$AA$5-1)^0.5)+((2416/(H152+459.6)-2.013)*LOG10(INDEX(FX_Input,U$5,H$3*$Z$5+$AA$5)))-(8742/(H152+459.6))+15.64),EXP(INDEX(Antoines,MATCH(H146,Antoine_Name,0),2)-INDEX(Antoines,MATCH(H146,Antoine_Name,0),3)/(H152+459.6))))),0)</f>
        <v>0</v>
      </c>
      <c r="I157" cm="1">
        <f t="array" ref="I157">IFERROR(IF(I147="Chemical",(10^(INDEX(Antoines,MATCH(I146,Antoine_Name,0),2)-INDEX(Antoines,MATCH(I146,Antoine_Name,0),3)/(INDEX(Antoines,MATCH(I146,Antoine_Name,0),4)+(I152-32)*5/9)))*14.7/760,IF(I147="Crude Oil",EXP((2799/(I152+459.6)-2.227)*LOG10(INDEX(FX_Input,V$5,I$3*$Z$5+$AA$5))-(7261/(I152+459.6))+12.82),IF(I147="Refined Petroleum Stock",EXP((0.7553-(413/(I152+459.6)))*(INDEX(FX_Input,V$5,I$3*$Z$5+$AA$5-1)^0.5)*LOG10(INDEX(FX_Input,V$5,I$3*$Z$5+$AA$5))-(1.854-(1042/(I152+459.6)))*(INDEX(FX_Input,V$5,I$3*$Z$5+$AA$5-1)^0.5)+((2416/(I152+459.6)-2.013)*LOG10(INDEX(FX_Input,V$5,I$3*$Z$5+$AA$5)))-(8742/(I152+459.6))+15.64),EXP(INDEX(Antoines,MATCH(I146,Antoine_Name,0),2)-INDEX(Antoines,MATCH(I146,Antoine_Name,0),3)/(I152+459.6))))),0)</f>
        <v>0</v>
      </c>
      <c r="J157" cm="1">
        <f t="array" ref="J157">IFERROR(IF(J147="Chemical",(10^(INDEX(Antoines,MATCH(J146,Antoine_Name,0),2)-INDEX(Antoines,MATCH(J146,Antoine_Name,0),3)/(INDEX(Antoines,MATCH(J146,Antoine_Name,0),4)+(J152-32)*5/9)))*14.7/760,IF(J147="Crude Oil",EXP((2799/(J152+459.6)-2.227)*LOG10(INDEX(FX_Input,W$5,J$3*$Z$5+$AA$5))-(7261/(J152+459.6))+12.82),IF(J147="Refined Petroleum Stock",EXP((0.7553-(413/(J152+459.6)))*(INDEX(FX_Input,W$5,J$3*$Z$5+$AA$5-1)^0.5)*LOG10(INDEX(FX_Input,W$5,J$3*$Z$5+$AA$5))-(1.854-(1042/(J152+459.6)))*(INDEX(FX_Input,W$5,J$3*$Z$5+$AA$5-1)^0.5)+((2416/(J152+459.6)-2.013)*LOG10(INDEX(FX_Input,W$5,J$3*$Z$5+$AA$5)))-(8742/(J152+459.6))+15.64),EXP(INDEX(Antoines,MATCH(J146,Antoine_Name,0),2)-INDEX(Antoines,MATCH(J146,Antoine_Name,0),3)/(J152+459.6))))),0)</f>
        <v>0</v>
      </c>
      <c r="K157" cm="1">
        <f t="array" ref="K157">IFERROR(IF(K147="Chemical",(10^(INDEX(Antoines,MATCH(K146,Antoine_Name,0),2)-INDEX(Antoines,MATCH(K146,Antoine_Name,0),3)/(INDEX(Antoines,MATCH(K146,Antoine_Name,0),4)+(K152-32)*5/9)))*14.7/760,IF(K147="Crude Oil",EXP((2799/(K152+459.6)-2.227)*LOG10(INDEX(FX_Input,X$5,K$3*$Z$5+$AA$5))-(7261/(K152+459.6))+12.82),IF(K147="Refined Petroleum Stock",EXP((0.7553-(413/(K152+459.6)))*(INDEX(FX_Input,X$5,K$3*$Z$5+$AA$5-1)^0.5)*LOG10(INDEX(FX_Input,X$5,K$3*$Z$5+$AA$5))-(1.854-(1042/(K152+459.6)))*(INDEX(FX_Input,X$5,K$3*$Z$5+$AA$5-1)^0.5)+((2416/(K152+459.6)-2.013)*LOG10(INDEX(FX_Input,X$5,K$3*$Z$5+$AA$5)))-(8742/(K152+459.6))+15.64),EXP(INDEX(Antoines,MATCH(K146,Antoine_Name,0),2)-INDEX(Antoines,MATCH(K146,Antoine_Name,0),3)/(K152+459.6))))),0)</f>
        <v>0</v>
      </c>
      <c r="L157" cm="1">
        <f t="array" ref="L157">IFERROR(IF(L147="Chemical",(10^(INDEX(Antoines,MATCH(L146,Antoine_Name,0),2)-INDEX(Antoines,MATCH(L146,Antoine_Name,0),3)/(INDEX(Antoines,MATCH(L146,Antoine_Name,0),4)+(L152-32)*5/9)))*14.7/760,IF(L147="Crude Oil",EXP((2799/(L152+459.6)-2.227)*LOG10(INDEX(FX_Input,Y$5,L$3*$Z$5+$AA$5))-(7261/(L152+459.6))+12.82),IF(L147="Refined Petroleum Stock",EXP((0.7553-(413/(L152+459.6)))*(INDEX(FX_Input,Y$5,L$3*$Z$5+$AA$5-1)^0.5)*LOG10(INDEX(FX_Input,Y$5,L$3*$Z$5+$AA$5))-(1.854-(1042/(L152+459.6)))*(INDEX(FX_Input,Y$5,L$3*$Z$5+$AA$5-1)^0.5)+((2416/(L152+459.6)-2.013)*LOG10(INDEX(FX_Input,Y$5,L$3*$Z$5+$AA$5)))-(8742/(L152+459.6))+15.64),EXP(INDEX(Antoines,MATCH(L146,Antoine_Name,0),2)-INDEX(Antoines,MATCH(L146,Antoine_Name,0),3)/(L152+459.6))))),0)</f>
        <v>0</v>
      </c>
      <c r="M157" cm="1">
        <f t="array" ref="M157">IFERROR(IF(M147="Chemical",(10^(INDEX(Antoines,MATCH(M146,Antoine_Name,0),2)-INDEX(Antoines,MATCH(M146,Antoine_Name,0),3)/(INDEX(Antoines,MATCH(M146,Antoine_Name,0),4)+(M152-32)*5/9)))*14.7/760,IF(M147="Crude Oil",EXP((2799/(M152+459.6)-2.227)*LOG10(INDEX(FX_Input,Z$5,M$3*$Z$5+$AA$5))-(7261/(M152+459.6))+12.82),IF(M147="Refined Petroleum Stock",EXP((0.7553-(413/(M152+459.6)))*(INDEX(FX_Input,Z$5,M$3*$Z$5+$AA$5-1)^0.5)*LOG10(INDEX(FX_Input,Z$5,M$3*$Z$5+$AA$5))-(1.854-(1042/(M152+459.6)))*(INDEX(FX_Input,Z$5,M$3*$Z$5+$AA$5-1)^0.5)+((2416/(M152+459.6)-2.013)*LOG10(INDEX(FX_Input,Z$5,M$3*$Z$5+$AA$5)))-(8742/(M152+459.6))+15.64),EXP(INDEX(Antoines,MATCH(M146,Antoine_Name,0),2)-INDEX(Antoines,MATCH(M146,Antoine_Name,0),3)/(M152+459.6))))),0)</f>
        <v>0</v>
      </c>
      <c r="N157" cm="1">
        <f t="array" ref="N157">IFERROR(IF(N147="Chemical",(10^(INDEX(Antoines,MATCH(N146,Antoine_Name,0),2)-INDEX(Antoines,MATCH(N146,Antoine_Name,0),3)/(INDEX(Antoines,MATCH(N146,Antoine_Name,0),4)+(N152-32)*5/9)))*14.7/760,IF(N147="Crude Oil",EXP((2799/(N152+459.6)-2.227)*LOG10(INDEX(FX_Input,AA$5,N$3*$Z$5+$AA$5))-(7261/(N152+459.6))+12.82),IF(N147="Refined Petroleum Stock",EXP((0.7553-(413/(N152+459.6)))*(INDEX(FX_Input,AA$5,N$3*$Z$5+$AA$5-1)^0.5)*LOG10(INDEX(FX_Input,AA$5,N$3*$Z$5+$AA$5))-(1.854-(1042/(N152+459.6)))*(INDEX(FX_Input,AA$5,N$3*$Z$5+$AA$5-1)^0.5)+((2416/(N152+459.6)-2.013)*LOG10(INDEX(FX_Input,AA$5,N$3*$Z$5+$AA$5)))-(8742/(N152+459.6))+15.64),EXP(INDEX(Antoines,MATCH(N146,Antoine_Name,0),2)-INDEX(Antoines,MATCH(N146,Antoine_Name,0),3)/(N152+459.6))))),0)</f>
        <v>0</v>
      </c>
      <c r="O157" cm="1">
        <f t="array" ref="O157">IFERROR(IF(O147="Chemical",(10^(INDEX(Antoines,MATCH(O146,Antoine_Name,0),2)-INDEX(Antoines,MATCH(O146,Antoine_Name,0),3)/(INDEX(Antoines,MATCH(O146,Antoine_Name,0),4)+(O152-32)*5/9)))*14.7/760,IF(O147="Crude Oil",EXP((2799/(O152+459.6)-2.227)*LOG10(INDEX(FX_Input,AB$5,O$3*$Z$5+$AA$5))-(7261/(O152+459.6))+12.82),IF(O147="Refined Petroleum Stock",EXP((0.7553-(413/(O152+459.6)))*(INDEX(FX_Input,AB$5,O$3*$Z$5+$AA$5-1)^0.5)*LOG10(INDEX(FX_Input,AB$5,O$3*$Z$5+$AA$5))-(1.854-(1042/(O152+459.6)))*(INDEX(FX_Input,AB$5,O$3*$Z$5+$AA$5-1)^0.5)+((2416/(O152+459.6)-2.013)*LOG10(INDEX(FX_Input,AB$5,O$3*$Z$5+$AA$5)))-(8742/(O152+459.6))+15.64),EXP(INDEX(Antoines,MATCH(O146,Antoine_Name,0),2)-INDEX(Antoines,MATCH(O146,Antoine_Name,0),3)/(O152+459.6))))),0)</f>
        <v>0</v>
      </c>
    </row>
    <row r="158" spans="2:32" ht="17.149999999999999" x14ac:dyDescent="0.55000000000000004">
      <c r="B158" t="str">
        <f t="shared" si="404"/>
        <v>Portland</v>
      </c>
      <c r="C158" t="s">
        <v>577</v>
      </c>
      <c r="D158">
        <f>D157*D150</f>
        <v>0</v>
      </c>
      <c r="E158">
        <f t="shared" ref="E158" si="416">E157*E150</f>
        <v>0</v>
      </c>
      <c r="F158">
        <f t="shared" ref="F158" si="417">F157*F150</f>
        <v>0</v>
      </c>
      <c r="G158">
        <f t="shared" ref="G158" si="418">G157*G150</f>
        <v>0</v>
      </c>
      <c r="H158">
        <f t="shared" ref="H158" si="419">H157*H150</f>
        <v>0</v>
      </c>
      <c r="I158">
        <f t="shared" ref="I158" si="420">I157*I150</f>
        <v>0</v>
      </c>
      <c r="J158">
        <f t="shared" ref="J158" si="421">J157*J150</f>
        <v>0</v>
      </c>
      <c r="K158">
        <f t="shared" ref="K158" si="422">K157*K150</f>
        <v>0</v>
      </c>
      <c r="L158">
        <f t="shared" ref="L158" si="423">L157*L150</f>
        <v>0</v>
      </c>
      <c r="M158">
        <f t="shared" ref="M158" si="424">M157*M150</f>
        <v>0</v>
      </c>
      <c r="N158">
        <f t="shared" ref="N158" si="425">N157*N150</f>
        <v>0</v>
      </c>
      <c r="O158">
        <f t="shared" ref="O158" si="426">O157*O150</f>
        <v>0</v>
      </c>
    </row>
    <row r="159" spans="2:32" ht="17.149999999999999" x14ac:dyDescent="0.55000000000000004">
      <c r="B159" t="str">
        <f t="shared" si="404"/>
        <v>Portland</v>
      </c>
      <c r="C159" t="s">
        <v>578</v>
      </c>
      <c r="D159">
        <f>D158+D156</f>
        <v>4.739577185808354E-3</v>
      </c>
      <c r="E159">
        <f t="shared" ref="E159" si="427">E158+E156</f>
        <v>4.8748667780818778E-3</v>
      </c>
      <c r="F159">
        <f t="shared" ref="F159" si="428">F158+F156</f>
        <v>5.119885034186122E-3</v>
      </c>
      <c r="G159">
        <f t="shared" ref="G159" si="429">G158+G156</f>
        <v>5.5846958573521795E-3</v>
      </c>
      <c r="H159">
        <f t="shared" ref="H159" si="430">H158+H156</f>
        <v>6.5274070972739821E-3</v>
      </c>
      <c r="I159">
        <f t="shared" ref="I159" si="431">I158+I156</f>
        <v>7.4199539958878279E-3</v>
      </c>
      <c r="J159">
        <f t="shared" ref="J159" si="432">J158+J156</f>
        <v>8.3358107202842254E-3</v>
      </c>
      <c r="K159">
        <f t="shared" ref="K159" si="433">K158+K156</f>
        <v>8.4605262729351115E-3</v>
      </c>
      <c r="L159">
        <f t="shared" ref="L159" si="434">L158+L156</f>
        <v>7.8399882233967533E-3</v>
      </c>
      <c r="M159">
        <f t="shared" ref="M159" si="435">M158+M156</f>
        <v>6.4173462075160911E-3</v>
      </c>
      <c r="N159">
        <f t="shared" ref="N159" si="436">N158+N156</f>
        <v>5.3015226887581056E-3</v>
      </c>
      <c r="O159">
        <f t="shared" ref="O159" si="437">O158+O156</f>
        <v>4.68970903600947E-3</v>
      </c>
    </row>
    <row r="160" spans="2:32" ht="17.149999999999999" x14ac:dyDescent="0.55000000000000004">
      <c r="B160" t="str">
        <f t="shared" si="404"/>
        <v>Portland</v>
      </c>
      <c r="C160" t="s">
        <v>579</v>
      </c>
      <c r="D160" cm="1">
        <f t="array" ref="D160">IFERROR(IF(D145="Chemical",(10^(INDEX(Antoines,MATCH(D144,Antoine_Name,0),2)-INDEX(Antoines,MATCH(D144,Antoine_Name,0),3)/(INDEX(Antoines,MATCH(D144,Antoine_Name,0),4)+(D153-32)*5/9)))*14.7/760,IF(D145="Crude Oil",EXP((2799/(D153+459.6)-2.227)*LOG10(INDEX(FX_Input,Q$5,D$3*$Z$5+$AA$5))-(7261/(D153+459.6))+12.82),IF(D145="Refined Petroleum Stock",EXP((0.7553-(413/(D153+459.6)))*(INDEX(FX_Input,Q$5,D$3*$Z$5+$AA$5-1)^0.5)*LOG10(INDEX(FX_Input,Q$5,D$3*$Z$5+$AA$5))-(1.854-(1042/(D153+459.6)))*(INDEX(FX_Input,Q$5,D$3*$Z$5+$AA$5-1)^0.5)+((2416/(D153+459.6)-2.013)*LOG10(INDEX(FX_Input,Q$5,D$3*$Z$5+$AA$5)))-(8742/(D153+459.6))+15.64),EXP(INDEX(Antoines,MATCH(D144,Antoine_Name,0),2)-INDEX(Antoines,MATCH(D144,Antoine_Name,0),3)/(D153+459.6))))),0)</f>
        <v>4.739577185808354E-3</v>
      </c>
      <c r="E160" cm="1">
        <f t="array" ref="E160">IFERROR(IF(E145="Chemical",(10^(INDEX(Antoines,MATCH(E144,Antoine_Name,0),2)-INDEX(Antoines,MATCH(E144,Antoine_Name,0),3)/(INDEX(Antoines,MATCH(E144,Antoine_Name,0),4)+(E153-32)*5/9)))*14.7/760,IF(E145="Crude Oil",EXP((2799/(E153+459.6)-2.227)*LOG10(INDEX(FX_Input,R$5,E$3*$Z$5+$AA$5))-(7261/(E153+459.6))+12.82),IF(E145="Refined Petroleum Stock",EXP((0.7553-(413/(E153+459.6)))*(INDEX(FX_Input,R$5,E$3*$Z$5+$AA$5-1)^0.5)*LOG10(INDEX(FX_Input,R$5,E$3*$Z$5+$AA$5))-(1.854-(1042/(E153+459.6)))*(INDEX(FX_Input,R$5,E$3*$Z$5+$AA$5-1)^0.5)+((2416/(E153+459.6)-2.013)*LOG10(INDEX(FX_Input,R$5,E$3*$Z$5+$AA$5)))-(8742/(E153+459.6))+15.64),EXP(INDEX(Antoines,MATCH(E144,Antoine_Name,0),2)-INDEX(Antoines,MATCH(E144,Antoine_Name,0),3)/(E153+459.6))))),0)</f>
        <v>4.8748667780818778E-3</v>
      </c>
      <c r="F160" cm="1">
        <f t="array" ref="F160">IFERROR(IF(F145="Chemical",(10^(INDEX(Antoines,MATCH(F144,Antoine_Name,0),2)-INDEX(Antoines,MATCH(F144,Antoine_Name,0),3)/(INDEX(Antoines,MATCH(F144,Antoine_Name,0),4)+(F153-32)*5/9)))*14.7/760,IF(F145="Crude Oil",EXP((2799/(F153+459.6)-2.227)*LOG10(INDEX(FX_Input,S$5,F$3*$Z$5+$AA$5))-(7261/(F153+459.6))+12.82),IF(F145="Refined Petroleum Stock",EXP((0.7553-(413/(F153+459.6)))*(INDEX(FX_Input,S$5,F$3*$Z$5+$AA$5-1)^0.5)*LOG10(INDEX(FX_Input,S$5,F$3*$Z$5+$AA$5))-(1.854-(1042/(F153+459.6)))*(INDEX(FX_Input,S$5,F$3*$Z$5+$AA$5-1)^0.5)+((2416/(F153+459.6)-2.013)*LOG10(INDEX(FX_Input,S$5,F$3*$Z$5+$AA$5)))-(8742/(F153+459.6))+15.64),EXP(INDEX(Antoines,MATCH(F144,Antoine_Name,0),2)-INDEX(Antoines,MATCH(F144,Antoine_Name,0),3)/(F153+459.6))))),0)</f>
        <v>5.119885034186122E-3</v>
      </c>
      <c r="G160" cm="1">
        <f t="array" ref="G160">IFERROR(IF(G145="Chemical",(10^(INDEX(Antoines,MATCH(G144,Antoine_Name,0),2)-INDEX(Antoines,MATCH(G144,Antoine_Name,0),3)/(INDEX(Antoines,MATCH(G144,Antoine_Name,0),4)+(G153-32)*5/9)))*14.7/760,IF(G145="Crude Oil",EXP((2799/(G153+459.6)-2.227)*LOG10(INDEX(FX_Input,T$5,G$3*$Z$5+$AA$5))-(7261/(G153+459.6))+12.82),IF(G145="Refined Petroleum Stock",EXP((0.7553-(413/(G153+459.6)))*(INDEX(FX_Input,T$5,G$3*$Z$5+$AA$5-1)^0.5)*LOG10(INDEX(FX_Input,T$5,G$3*$Z$5+$AA$5))-(1.854-(1042/(G153+459.6)))*(INDEX(FX_Input,T$5,G$3*$Z$5+$AA$5-1)^0.5)+((2416/(G153+459.6)-2.013)*LOG10(INDEX(FX_Input,T$5,G$3*$Z$5+$AA$5)))-(8742/(G153+459.6))+15.64),EXP(INDEX(Antoines,MATCH(G144,Antoine_Name,0),2)-INDEX(Antoines,MATCH(G144,Antoine_Name,0),3)/(G153+459.6))))),0)</f>
        <v>5.5846958573521795E-3</v>
      </c>
      <c r="H160" cm="1">
        <f t="array" ref="H160">IFERROR(IF(H145="Chemical",(10^(INDEX(Antoines,MATCH(H144,Antoine_Name,0),2)-INDEX(Antoines,MATCH(H144,Antoine_Name,0),3)/(INDEX(Antoines,MATCH(H144,Antoine_Name,0),4)+(H153-32)*5/9)))*14.7/760,IF(H145="Crude Oil",EXP((2799/(H153+459.6)-2.227)*LOG10(INDEX(FX_Input,U$5,H$3*$Z$5+$AA$5))-(7261/(H153+459.6))+12.82),IF(H145="Refined Petroleum Stock",EXP((0.7553-(413/(H153+459.6)))*(INDEX(FX_Input,U$5,H$3*$Z$5+$AA$5-1)^0.5)*LOG10(INDEX(FX_Input,U$5,H$3*$Z$5+$AA$5))-(1.854-(1042/(H153+459.6)))*(INDEX(FX_Input,U$5,H$3*$Z$5+$AA$5-1)^0.5)+((2416/(H153+459.6)-2.013)*LOG10(INDEX(FX_Input,U$5,H$3*$Z$5+$AA$5)))-(8742/(H153+459.6))+15.64),EXP(INDEX(Antoines,MATCH(H144,Antoine_Name,0),2)-INDEX(Antoines,MATCH(H144,Antoine_Name,0),3)/(H153+459.6))))),0)</f>
        <v>6.5274070972739821E-3</v>
      </c>
      <c r="I160" cm="1">
        <f t="array" ref="I160">IFERROR(IF(I145="Chemical",(10^(INDEX(Antoines,MATCH(I144,Antoine_Name,0),2)-INDEX(Antoines,MATCH(I144,Antoine_Name,0),3)/(INDEX(Antoines,MATCH(I144,Antoine_Name,0),4)+(I153-32)*5/9)))*14.7/760,IF(I145="Crude Oil",EXP((2799/(I153+459.6)-2.227)*LOG10(INDEX(FX_Input,V$5,I$3*$Z$5+$AA$5))-(7261/(I153+459.6))+12.82),IF(I145="Refined Petroleum Stock",EXP((0.7553-(413/(I153+459.6)))*(INDEX(FX_Input,V$5,I$3*$Z$5+$AA$5-1)^0.5)*LOG10(INDEX(FX_Input,V$5,I$3*$Z$5+$AA$5))-(1.854-(1042/(I153+459.6)))*(INDEX(FX_Input,V$5,I$3*$Z$5+$AA$5-1)^0.5)+((2416/(I153+459.6)-2.013)*LOG10(INDEX(FX_Input,V$5,I$3*$Z$5+$AA$5)))-(8742/(I153+459.6))+15.64),EXP(INDEX(Antoines,MATCH(I144,Antoine_Name,0),2)-INDEX(Antoines,MATCH(I144,Antoine_Name,0),3)/(I153+459.6))))),0)</f>
        <v>7.4199539958878279E-3</v>
      </c>
      <c r="J160" cm="1">
        <f t="array" ref="J160">IFERROR(IF(J145="Chemical",(10^(INDEX(Antoines,MATCH(J144,Antoine_Name,0),2)-INDEX(Antoines,MATCH(J144,Antoine_Name,0),3)/(INDEX(Antoines,MATCH(J144,Antoine_Name,0),4)+(J153-32)*5/9)))*14.7/760,IF(J145="Crude Oil",EXP((2799/(J153+459.6)-2.227)*LOG10(INDEX(FX_Input,W$5,J$3*$Z$5+$AA$5))-(7261/(J153+459.6))+12.82),IF(J145="Refined Petroleum Stock",EXP((0.7553-(413/(J153+459.6)))*(INDEX(FX_Input,W$5,J$3*$Z$5+$AA$5-1)^0.5)*LOG10(INDEX(FX_Input,W$5,J$3*$Z$5+$AA$5))-(1.854-(1042/(J153+459.6)))*(INDEX(FX_Input,W$5,J$3*$Z$5+$AA$5-1)^0.5)+((2416/(J153+459.6)-2.013)*LOG10(INDEX(FX_Input,W$5,J$3*$Z$5+$AA$5)))-(8742/(J153+459.6))+15.64),EXP(INDEX(Antoines,MATCH(J144,Antoine_Name,0),2)-INDEX(Antoines,MATCH(J144,Antoine_Name,0),3)/(J153+459.6))))),0)</f>
        <v>8.3358107202842254E-3</v>
      </c>
      <c r="K160" cm="1">
        <f t="array" ref="K160">IFERROR(IF(K145="Chemical",(10^(INDEX(Antoines,MATCH(K144,Antoine_Name,0),2)-INDEX(Antoines,MATCH(K144,Antoine_Name,0),3)/(INDEX(Antoines,MATCH(K144,Antoine_Name,0),4)+(K153-32)*5/9)))*14.7/760,IF(K145="Crude Oil",EXP((2799/(K153+459.6)-2.227)*LOG10(INDEX(FX_Input,X$5,K$3*$Z$5+$AA$5))-(7261/(K153+459.6))+12.82),IF(K145="Refined Petroleum Stock",EXP((0.7553-(413/(K153+459.6)))*(INDEX(FX_Input,X$5,K$3*$Z$5+$AA$5-1)^0.5)*LOG10(INDEX(FX_Input,X$5,K$3*$Z$5+$AA$5))-(1.854-(1042/(K153+459.6)))*(INDEX(FX_Input,X$5,K$3*$Z$5+$AA$5-1)^0.5)+((2416/(K153+459.6)-2.013)*LOG10(INDEX(FX_Input,X$5,K$3*$Z$5+$AA$5)))-(8742/(K153+459.6))+15.64),EXP(INDEX(Antoines,MATCH(K144,Antoine_Name,0),2)-INDEX(Antoines,MATCH(K144,Antoine_Name,0),3)/(K153+459.6))))),0)</f>
        <v>8.4605262729351115E-3</v>
      </c>
      <c r="L160" cm="1">
        <f t="array" ref="L160">IFERROR(IF(L145="Chemical",(10^(INDEX(Antoines,MATCH(L144,Antoine_Name,0),2)-INDEX(Antoines,MATCH(L144,Antoine_Name,0),3)/(INDEX(Antoines,MATCH(L144,Antoine_Name,0),4)+(L153-32)*5/9)))*14.7/760,IF(L145="Crude Oil",EXP((2799/(L153+459.6)-2.227)*LOG10(INDEX(FX_Input,Y$5,L$3*$Z$5+$AA$5))-(7261/(L153+459.6))+12.82),IF(L145="Refined Petroleum Stock",EXP((0.7553-(413/(L153+459.6)))*(INDEX(FX_Input,Y$5,L$3*$Z$5+$AA$5-1)^0.5)*LOG10(INDEX(FX_Input,Y$5,L$3*$Z$5+$AA$5))-(1.854-(1042/(L153+459.6)))*(INDEX(FX_Input,Y$5,L$3*$Z$5+$AA$5-1)^0.5)+((2416/(L153+459.6)-2.013)*LOG10(INDEX(FX_Input,Y$5,L$3*$Z$5+$AA$5)))-(8742/(L153+459.6))+15.64),EXP(INDEX(Antoines,MATCH(L144,Antoine_Name,0),2)-INDEX(Antoines,MATCH(L144,Antoine_Name,0),3)/(L153+459.6))))),0)</f>
        <v>7.8399882233967533E-3</v>
      </c>
      <c r="M160" cm="1">
        <f t="array" ref="M160">IFERROR(IF(M145="Chemical",(10^(INDEX(Antoines,MATCH(M144,Antoine_Name,0),2)-INDEX(Antoines,MATCH(M144,Antoine_Name,0),3)/(INDEX(Antoines,MATCH(M144,Antoine_Name,0),4)+(M153-32)*5/9)))*14.7/760,IF(M145="Crude Oil",EXP((2799/(M153+459.6)-2.227)*LOG10(INDEX(FX_Input,Z$5,M$3*$Z$5+$AA$5))-(7261/(M153+459.6))+12.82),IF(M145="Refined Petroleum Stock",EXP((0.7553-(413/(M153+459.6)))*(INDEX(FX_Input,Z$5,M$3*$Z$5+$AA$5-1)^0.5)*LOG10(INDEX(FX_Input,Z$5,M$3*$Z$5+$AA$5))-(1.854-(1042/(M153+459.6)))*(INDEX(FX_Input,Z$5,M$3*$Z$5+$AA$5-1)^0.5)+((2416/(M153+459.6)-2.013)*LOG10(INDEX(FX_Input,Z$5,M$3*$Z$5+$AA$5)))-(8742/(M153+459.6))+15.64),EXP(INDEX(Antoines,MATCH(M144,Antoine_Name,0),2)-INDEX(Antoines,MATCH(M144,Antoine_Name,0),3)/(M153+459.6))))),0)</f>
        <v>6.4173462075160911E-3</v>
      </c>
      <c r="N160" cm="1">
        <f t="array" ref="N160">IFERROR(IF(N145="Chemical",(10^(INDEX(Antoines,MATCH(N144,Antoine_Name,0),2)-INDEX(Antoines,MATCH(N144,Antoine_Name,0),3)/(INDEX(Antoines,MATCH(N144,Antoine_Name,0),4)+(N153-32)*5/9)))*14.7/760,IF(N145="Crude Oil",EXP((2799/(N153+459.6)-2.227)*LOG10(INDEX(FX_Input,AA$5,N$3*$Z$5+$AA$5))-(7261/(N153+459.6))+12.82),IF(N145="Refined Petroleum Stock",EXP((0.7553-(413/(N153+459.6)))*(INDEX(FX_Input,AA$5,N$3*$Z$5+$AA$5-1)^0.5)*LOG10(INDEX(FX_Input,AA$5,N$3*$Z$5+$AA$5))-(1.854-(1042/(N153+459.6)))*(INDEX(FX_Input,AA$5,N$3*$Z$5+$AA$5-1)^0.5)+((2416/(N153+459.6)-2.013)*LOG10(INDEX(FX_Input,AA$5,N$3*$Z$5+$AA$5)))-(8742/(N153+459.6))+15.64),EXP(INDEX(Antoines,MATCH(N144,Antoine_Name,0),2)-INDEX(Antoines,MATCH(N144,Antoine_Name,0),3)/(N153+459.6))))),0)</f>
        <v>5.3015226887581056E-3</v>
      </c>
      <c r="O160" cm="1">
        <f t="array" ref="O160">IFERROR(IF(O145="Chemical",(10^(INDEX(Antoines,MATCH(O144,Antoine_Name,0),2)-INDEX(Antoines,MATCH(O144,Antoine_Name,0),3)/(INDEX(Antoines,MATCH(O144,Antoine_Name,0),4)+(O153-32)*5/9)))*14.7/760,IF(O145="Crude Oil",EXP((2799/(O153+459.6)-2.227)*LOG10(INDEX(FX_Input,AB$5,O$3*$Z$5+$AA$5))-(7261/(O153+459.6))+12.82),IF(O145="Refined Petroleum Stock",EXP((0.7553-(413/(O153+459.6)))*(INDEX(FX_Input,AB$5,O$3*$Z$5+$AA$5-1)^0.5)*LOG10(INDEX(FX_Input,AB$5,O$3*$Z$5+$AA$5))-(1.854-(1042/(O153+459.6)))*(INDEX(FX_Input,AB$5,O$3*$Z$5+$AA$5-1)^0.5)+((2416/(O153+459.6)-2.013)*LOG10(INDEX(FX_Input,AB$5,O$3*$Z$5+$AA$5)))-(8742/(O153+459.6))+15.64),EXP(INDEX(Antoines,MATCH(O144,Antoine_Name,0),2)-INDEX(Antoines,MATCH(O144,Antoine_Name,0),3)/(O153+459.6))))),0)</f>
        <v>4.68970903600947E-3</v>
      </c>
    </row>
    <row r="161" spans="1:32" ht="17.149999999999999" x14ac:dyDescent="0.55000000000000004">
      <c r="B161" t="str">
        <f t="shared" si="404"/>
        <v>Portland</v>
      </c>
      <c r="C161" t="s">
        <v>580</v>
      </c>
      <c r="D161">
        <f>D160*D148</f>
        <v>4.739577185808354E-3</v>
      </c>
      <c r="E161">
        <f t="shared" ref="E161" si="438">E160*E148</f>
        <v>4.8748667780818778E-3</v>
      </c>
      <c r="F161">
        <f t="shared" ref="F161" si="439">F160*F148</f>
        <v>5.119885034186122E-3</v>
      </c>
      <c r="G161">
        <f t="shared" ref="G161" si="440">G160*G148</f>
        <v>5.5846958573521795E-3</v>
      </c>
      <c r="H161">
        <f t="shared" ref="H161" si="441">H160*H148</f>
        <v>6.5274070972739821E-3</v>
      </c>
      <c r="I161">
        <f t="shared" ref="I161" si="442">I160*I148</f>
        <v>7.4199539958878279E-3</v>
      </c>
      <c r="J161">
        <f t="shared" ref="J161" si="443">J160*J148</f>
        <v>8.3358107202842254E-3</v>
      </c>
      <c r="K161">
        <f t="shared" ref="K161" si="444">K160*K148</f>
        <v>8.4605262729351115E-3</v>
      </c>
      <c r="L161">
        <f t="shared" ref="L161" si="445">L160*L148</f>
        <v>7.8399882233967533E-3</v>
      </c>
      <c r="M161">
        <f t="shared" ref="M161" si="446">M160*M148</f>
        <v>6.4173462075160911E-3</v>
      </c>
      <c r="N161">
        <f t="shared" ref="N161" si="447">N160*N148</f>
        <v>5.3015226887581056E-3</v>
      </c>
      <c r="O161">
        <f t="shared" ref="O161" si="448">O160*O148</f>
        <v>4.68970903600947E-3</v>
      </c>
    </row>
    <row r="162" spans="1:32" ht="17.149999999999999" x14ac:dyDescent="0.55000000000000004">
      <c r="B162" t="str">
        <f t="shared" si="404"/>
        <v>Portland</v>
      </c>
      <c r="C162" t="s">
        <v>581</v>
      </c>
      <c r="D162" cm="1">
        <f t="array" ref="D162">IFERROR(IF(D147="Chemical",(10^(INDEX(Antoines,MATCH(D146,Antoine_Name,0),2)-INDEX(Antoines,MATCH(D146,Antoine_Name,0),3)/(INDEX(Antoines,MATCH(D146,Antoine_Name,0),4)+(D153-32)*5/9)))*14.7/760,IF(D147="Crude Oil",EXP((2799/(D153+459.6)-2.227)*LOG10(INDEX(FX_Input,Q$5,D$3*$Z$5+$AA$5))-(7261/(D153+459.6))+12.82),IF(D147="Refined Petroleum Stock",EXP((0.7553-(413/(D153+459.6)))*(INDEX(FX_Input,Q$5,D$3*$Z$5+$AA$5-1)^0.5)*LOG10(INDEX(FX_Input,Q$5,D$3*$Z$5+$AA$5))-(1.854-(1042/(D153+459.6)))*(INDEX(FX_Input,Q$5,D$3*$Z$5+$AA$5-1)^0.5)+((2416/(D153+459.6)-2.013)*LOG10(INDEX(FX_Input,Q$5,D$3*$Z$5+$AA$5)))-(8742/(D153+459.6))+15.64),EXP(INDEX(Antoines,MATCH(D146,Antoine_Name,0),2)-INDEX(Antoines,MATCH(D146,Antoine_Name,0),3)/(D153+459.6))))),0)</f>
        <v>0</v>
      </c>
      <c r="E162" cm="1">
        <f t="array" ref="E162">IFERROR(IF(E147="Chemical",(10^(INDEX(Antoines,MATCH(E146,Antoine_Name,0),2)-INDEX(Antoines,MATCH(E146,Antoine_Name,0),3)/(INDEX(Antoines,MATCH(E146,Antoine_Name,0),4)+(E153-32)*5/9)))*14.7/760,IF(E147="Crude Oil",EXP((2799/(E153+459.6)-2.227)*LOG10(INDEX(FX_Input,R$5,E$3*$Z$5+$AA$5))-(7261/(E153+459.6))+12.82),IF(E147="Refined Petroleum Stock",EXP((0.7553-(413/(E153+459.6)))*(INDEX(FX_Input,R$5,E$3*$Z$5+$AA$5-1)^0.5)*LOG10(INDEX(FX_Input,R$5,E$3*$Z$5+$AA$5))-(1.854-(1042/(E153+459.6)))*(INDEX(FX_Input,R$5,E$3*$Z$5+$AA$5-1)^0.5)+((2416/(E153+459.6)-2.013)*LOG10(INDEX(FX_Input,R$5,E$3*$Z$5+$AA$5)))-(8742/(E153+459.6))+15.64),EXP(INDEX(Antoines,MATCH(E146,Antoine_Name,0),2)-INDEX(Antoines,MATCH(E146,Antoine_Name,0),3)/(E153+459.6))))),0)</f>
        <v>0</v>
      </c>
      <c r="F162" cm="1">
        <f t="array" ref="F162">IFERROR(IF(F147="Chemical",(10^(INDEX(Antoines,MATCH(F146,Antoine_Name,0),2)-INDEX(Antoines,MATCH(F146,Antoine_Name,0),3)/(INDEX(Antoines,MATCH(F146,Antoine_Name,0),4)+(F153-32)*5/9)))*14.7/760,IF(F147="Crude Oil",EXP((2799/(F153+459.6)-2.227)*LOG10(INDEX(FX_Input,S$5,F$3*$Z$5+$AA$5))-(7261/(F153+459.6))+12.82),IF(F147="Refined Petroleum Stock",EXP((0.7553-(413/(F153+459.6)))*(INDEX(FX_Input,S$5,F$3*$Z$5+$AA$5-1)^0.5)*LOG10(INDEX(FX_Input,S$5,F$3*$Z$5+$AA$5))-(1.854-(1042/(F153+459.6)))*(INDEX(FX_Input,S$5,F$3*$Z$5+$AA$5-1)^0.5)+((2416/(F153+459.6)-2.013)*LOG10(INDEX(FX_Input,S$5,F$3*$Z$5+$AA$5)))-(8742/(F153+459.6))+15.64),EXP(INDEX(Antoines,MATCH(F146,Antoine_Name,0),2)-INDEX(Antoines,MATCH(F146,Antoine_Name,0),3)/(F153+459.6))))),0)</f>
        <v>0</v>
      </c>
      <c r="G162" cm="1">
        <f t="array" ref="G162">IFERROR(IF(G147="Chemical",(10^(INDEX(Antoines,MATCH(G146,Antoine_Name,0),2)-INDEX(Antoines,MATCH(G146,Antoine_Name,0),3)/(INDEX(Antoines,MATCH(G146,Antoine_Name,0),4)+(G153-32)*5/9)))*14.7/760,IF(G147="Crude Oil",EXP((2799/(G153+459.6)-2.227)*LOG10(INDEX(FX_Input,T$5,G$3*$Z$5+$AA$5))-(7261/(G153+459.6))+12.82),IF(G147="Refined Petroleum Stock",EXP((0.7553-(413/(G153+459.6)))*(INDEX(FX_Input,T$5,G$3*$Z$5+$AA$5-1)^0.5)*LOG10(INDEX(FX_Input,T$5,G$3*$Z$5+$AA$5))-(1.854-(1042/(G153+459.6)))*(INDEX(FX_Input,T$5,G$3*$Z$5+$AA$5-1)^0.5)+((2416/(G153+459.6)-2.013)*LOG10(INDEX(FX_Input,T$5,G$3*$Z$5+$AA$5)))-(8742/(G153+459.6))+15.64),EXP(INDEX(Antoines,MATCH(G146,Antoine_Name,0),2)-INDEX(Antoines,MATCH(G146,Antoine_Name,0),3)/(G153+459.6))))),0)</f>
        <v>0</v>
      </c>
      <c r="H162" cm="1">
        <f t="array" ref="H162">IFERROR(IF(H147="Chemical",(10^(INDEX(Antoines,MATCH(H146,Antoine_Name,0),2)-INDEX(Antoines,MATCH(H146,Antoine_Name,0),3)/(INDEX(Antoines,MATCH(H146,Antoine_Name,0),4)+(H153-32)*5/9)))*14.7/760,IF(H147="Crude Oil",EXP((2799/(H153+459.6)-2.227)*LOG10(INDEX(FX_Input,U$5,H$3*$Z$5+$AA$5))-(7261/(H153+459.6))+12.82),IF(H147="Refined Petroleum Stock",EXP((0.7553-(413/(H153+459.6)))*(INDEX(FX_Input,U$5,H$3*$Z$5+$AA$5-1)^0.5)*LOG10(INDEX(FX_Input,U$5,H$3*$Z$5+$AA$5))-(1.854-(1042/(H153+459.6)))*(INDEX(FX_Input,U$5,H$3*$Z$5+$AA$5-1)^0.5)+((2416/(H153+459.6)-2.013)*LOG10(INDEX(FX_Input,U$5,H$3*$Z$5+$AA$5)))-(8742/(H153+459.6))+15.64),EXP(INDEX(Antoines,MATCH(H146,Antoine_Name,0),2)-INDEX(Antoines,MATCH(H146,Antoine_Name,0),3)/(H153+459.6))))),0)</f>
        <v>0</v>
      </c>
      <c r="I162" cm="1">
        <f t="array" ref="I162">IFERROR(IF(I147="Chemical",(10^(INDEX(Antoines,MATCH(I146,Antoine_Name,0),2)-INDEX(Antoines,MATCH(I146,Antoine_Name,0),3)/(INDEX(Antoines,MATCH(I146,Antoine_Name,0),4)+(I153-32)*5/9)))*14.7/760,IF(I147="Crude Oil",EXP((2799/(I153+459.6)-2.227)*LOG10(INDEX(FX_Input,V$5,I$3*$Z$5+$AA$5))-(7261/(I153+459.6))+12.82),IF(I147="Refined Petroleum Stock",EXP((0.7553-(413/(I153+459.6)))*(INDEX(FX_Input,V$5,I$3*$Z$5+$AA$5-1)^0.5)*LOG10(INDEX(FX_Input,V$5,I$3*$Z$5+$AA$5))-(1.854-(1042/(I153+459.6)))*(INDEX(FX_Input,V$5,I$3*$Z$5+$AA$5-1)^0.5)+((2416/(I153+459.6)-2.013)*LOG10(INDEX(FX_Input,V$5,I$3*$Z$5+$AA$5)))-(8742/(I153+459.6))+15.64),EXP(INDEX(Antoines,MATCH(I146,Antoine_Name,0),2)-INDEX(Antoines,MATCH(I146,Antoine_Name,0),3)/(I153+459.6))))),0)</f>
        <v>0</v>
      </c>
      <c r="J162" cm="1">
        <f t="array" ref="J162">IFERROR(IF(J147="Chemical",(10^(INDEX(Antoines,MATCH(J146,Antoine_Name,0),2)-INDEX(Antoines,MATCH(J146,Antoine_Name,0),3)/(INDEX(Antoines,MATCH(J146,Antoine_Name,0),4)+(J153-32)*5/9)))*14.7/760,IF(J147="Crude Oil",EXP((2799/(J153+459.6)-2.227)*LOG10(INDEX(FX_Input,W$5,J$3*$Z$5+$AA$5))-(7261/(J153+459.6))+12.82),IF(J147="Refined Petroleum Stock",EXP((0.7553-(413/(J153+459.6)))*(INDEX(FX_Input,W$5,J$3*$Z$5+$AA$5-1)^0.5)*LOG10(INDEX(FX_Input,W$5,J$3*$Z$5+$AA$5))-(1.854-(1042/(J153+459.6)))*(INDEX(FX_Input,W$5,J$3*$Z$5+$AA$5-1)^0.5)+((2416/(J153+459.6)-2.013)*LOG10(INDEX(FX_Input,W$5,J$3*$Z$5+$AA$5)))-(8742/(J153+459.6))+15.64),EXP(INDEX(Antoines,MATCH(J146,Antoine_Name,0),2)-INDEX(Antoines,MATCH(J146,Antoine_Name,0),3)/(J153+459.6))))),0)</f>
        <v>0</v>
      </c>
      <c r="K162" cm="1">
        <f t="array" ref="K162">IFERROR(IF(K147="Chemical",(10^(INDEX(Antoines,MATCH(K146,Antoine_Name,0),2)-INDEX(Antoines,MATCH(K146,Antoine_Name,0),3)/(INDEX(Antoines,MATCH(K146,Antoine_Name,0),4)+(K153-32)*5/9)))*14.7/760,IF(K147="Crude Oil",EXP((2799/(K153+459.6)-2.227)*LOG10(INDEX(FX_Input,X$5,K$3*$Z$5+$AA$5))-(7261/(K153+459.6))+12.82),IF(K147="Refined Petroleum Stock",EXP((0.7553-(413/(K153+459.6)))*(INDEX(FX_Input,X$5,K$3*$Z$5+$AA$5-1)^0.5)*LOG10(INDEX(FX_Input,X$5,K$3*$Z$5+$AA$5))-(1.854-(1042/(K153+459.6)))*(INDEX(FX_Input,X$5,K$3*$Z$5+$AA$5-1)^0.5)+((2416/(K153+459.6)-2.013)*LOG10(INDEX(FX_Input,X$5,K$3*$Z$5+$AA$5)))-(8742/(K153+459.6))+15.64),EXP(INDEX(Antoines,MATCH(K146,Antoine_Name,0),2)-INDEX(Antoines,MATCH(K146,Antoine_Name,0),3)/(K153+459.6))))),0)</f>
        <v>0</v>
      </c>
      <c r="L162" cm="1">
        <f t="array" ref="L162">IFERROR(IF(L147="Chemical",(10^(INDEX(Antoines,MATCH(L146,Antoine_Name,0),2)-INDEX(Antoines,MATCH(L146,Antoine_Name,0),3)/(INDEX(Antoines,MATCH(L146,Antoine_Name,0),4)+(L153-32)*5/9)))*14.7/760,IF(L147="Crude Oil",EXP((2799/(L153+459.6)-2.227)*LOG10(INDEX(FX_Input,Y$5,L$3*$Z$5+$AA$5))-(7261/(L153+459.6))+12.82),IF(L147="Refined Petroleum Stock",EXP((0.7553-(413/(L153+459.6)))*(INDEX(FX_Input,Y$5,L$3*$Z$5+$AA$5-1)^0.5)*LOG10(INDEX(FX_Input,Y$5,L$3*$Z$5+$AA$5))-(1.854-(1042/(L153+459.6)))*(INDEX(FX_Input,Y$5,L$3*$Z$5+$AA$5-1)^0.5)+((2416/(L153+459.6)-2.013)*LOG10(INDEX(FX_Input,Y$5,L$3*$Z$5+$AA$5)))-(8742/(L153+459.6))+15.64),EXP(INDEX(Antoines,MATCH(L146,Antoine_Name,0),2)-INDEX(Antoines,MATCH(L146,Antoine_Name,0),3)/(L153+459.6))))),0)</f>
        <v>0</v>
      </c>
      <c r="M162" cm="1">
        <f t="array" ref="M162">IFERROR(IF(M147="Chemical",(10^(INDEX(Antoines,MATCH(M146,Antoine_Name,0),2)-INDEX(Antoines,MATCH(M146,Antoine_Name,0),3)/(INDEX(Antoines,MATCH(M146,Antoine_Name,0),4)+(M153-32)*5/9)))*14.7/760,IF(M147="Crude Oil",EXP((2799/(M153+459.6)-2.227)*LOG10(INDEX(FX_Input,Z$5,M$3*$Z$5+$AA$5))-(7261/(M153+459.6))+12.82),IF(M147="Refined Petroleum Stock",EXP((0.7553-(413/(M153+459.6)))*(INDEX(FX_Input,Z$5,M$3*$Z$5+$AA$5-1)^0.5)*LOG10(INDEX(FX_Input,Z$5,M$3*$Z$5+$AA$5))-(1.854-(1042/(M153+459.6)))*(INDEX(FX_Input,Z$5,M$3*$Z$5+$AA$5-1)^0.5)+((2416/(M153+459.6)-2.013)*LOG10(INDEX(FX_Input,Z$5,M$3*$Z$5+$AA$5)))-(8742/(M153+459.6))+15.64),EXP(INDEX(Antoines,MATCH(M146,Antoine_Name,0),2)-INDEX(Antoines,MATCH(M146,Antoine_Name,0),3)/(M153+459.6))))),0)</f>
        <v>0</v>
      </c>
      <c r="N162" cm="1">
        <f t="array" ref="N162">IFERROR(IF(N147="Chemical",(10^(INDEX(Antoines,MATCH(N146,Antoine_Name,0),2)-INDEX(Antoines,MATCH(N146,Antoine_Name,0),3)/(INDEX(Antoines,MATCH(N146,Antoine_Name,0),4)+(N153-32)*5/9)))*14.7/760,IF(N147="Crude Oil",EXP((2799/(N153+459.6)-2.227)*LOG10(INDEX(FX_Input,AA$5,N$3*$Z$5+$AA$5))-(7261/(N153+459.6))+12.82),IF(N147="Refined Petroleum Stock",EXP((0.7553-(413/(N153+459.6)))*(INDEX(FX_Input,AA$5,N$3*$Z$5+$AA$5-1)^0.5)*LOG10(INDEX(FX_Input,AA$5,N$3*$Z$5+$AA$5))-(1.854-(1042/(N153+459.6)))*(INDEX(FX_Input,AA$5,N$3*$Z$5+$AA$5-1)^0.5)+((2416/(N153+459.6)-2.013)*LOG10(INDEX(FX_Input,AA$5,N$3*$Z$5+$AA$5)))-(8742/(N153+459.6))+15.64),EXP(INDEX(Antoines,MATCH(N146,Antoine_Name,0),2)-INDEX(Antoines,MATCH(N146,Antoine_Name,0),3)/(N153+459.6))))),0)</f>
        <v>0</v>
      </c>
      <c r="O162" cm="1">
        <f t="array" ref="O162">IFERROR(IF(O147="Chemical",(10^(INDEX(Antoines,MATCH(O146,Antoine_Name,0),2)-INDEX(Antoines,MATCH(O146,Antoine_Name,0),3)/(INDEX(Antoines,MATCH(O146,Antoine_Name,0),4)+(O153-32)*5/9)))*14.7/760,IF(O147="Crude Oil",EXP((2799/(O153+459.6)-2.227)*LOG10(INDEX(FX_Input,AB$5,O$3*$Z$5+$AA$5))-(7261/(O153+459.6))+12.82),IF(O147="Refined Petroleum Stock",EXP((0.7553-(413/(O153+459.6)))*(INDEX(FX_Input,AB$5,O$3*$Z$5+$AA$5-1)^0.5)*LOG10(INDEX(FX_Input,AB$5,O$3*$Z$5+$AA$5))-(1.854-(1042/(O153+459.6)))*(INDEX(FX_Input,AB$5,O$3*$Z$5+$AA$5-1)^0.5)+((2416/(O153+459.6)-2.013)*LOG10(INDEX(FX_Input,AB$5,O$3*$Z$5+$AA$5)))-(8742/(O153+459.6))+15.64),EXP(INDEX(Antoines,MATCH(O146,Antoine_Name,0),2)-INDEX(Antoines,MATCH(O146,Antoine_Name,0),3)/(O153+459.6))))),0)</f>
        <v>0</v>
      </c>
    </row>
    <row r="163" spans="1:32" ht="17.149999999999999" x14ac:dyDescent="0.55000000000000004">
      <c r="B163" t="str">
        <f t="shared" si="404"/>
        <v>Portland</v>
      </c>
      <c r="C163" t="s">
        <v>582</v>
      </c>
      <c r="D163">
        <f>D162*D150</f>
        <v>0</v>
      </c>
      <c r="E163">
        <f t="shared" ref="E163" si="449">E162*E150</f>
        <v>0</v>
      </c>
      <c r="F163">
        <f t="shared" ref="F163" si="450">F162*F150</f>
        <v>0</v>
      </c>
      <c r="G163">
        <f t="shared" ref="G163" si="451">G162*G150</f>
        <v>0</v>
      </c>
      <c r="H163">
        <f t="shared" ref="H163" si="452">H162*H150</f>
        <v>0</v>
      </c>
      <c r="I163">
        <f t="shared" ref="I163" si="453">I162*I150</f>
        <v>0</v>
      </c>
      <c r="J163">
        <f t="shared" ref="J163" si="454">J162*J150</f>
        <v>0</v>
      </c>
      <c r="K163">
        <f t="shared" ref="K163" si="455">K162*K150</f>
        <v>0</v>
      </c>
      <c r="L163">
        <f t="shared" ref="L163" si="456">L162*L150</f>
        <v>0</v>
      </c>
      <c r="M163">
        <f t="shared" ref="M163" si="457">M162*M150</f>
        <v>0</v>
      </c>
      <c r="N163">
        <f t="shared" ref="N163" si="458">N162*N150</f>
        <v>0</v>
      </c>
      <c r="O163">
        <f t="shared" ref="O163" si="459">O162*O150</f>
        <v>0</v>
      </c>
    </row>
    <row r="164" spans="1:32" ht="17.149999999999999" x14ac:dyDescent="0.55000000000000004">
      <c r="B164" t="str">
        <f t="shared" si="404"/>
        <v>Portland</v>
      </c>
      <c r="C164" t="s">
        <v>583</v>
      </c>
      <c r="D164">
        <f>D161+D163</f>
        <v>4.739577185808354E-3</v>
      </c>
      <c r="E164">
        <f t="shared" ref="E164" si="460">E161+E163</f>
        <v>4.8748667780818778E-3</v>
      </c>
      <c r="F164">
        <f t="shared" ref="F164" si="461">F161+F163</f>
        <v>5.119885034186122E-3</v>
      </c>
      <c r="G164">
        <f t="shared" ref="G164" si="462">G161+G163</f>
        <v>5.5846958573521795E-3</v>
      </c>
      <c r="H164">
        <f t="shared" ref="H164" si="463">H161+H163</f>
        <v>6.5274070972739821E-3</v>
      </c>
      <c r="I164">
        <f t="shared" ref="I164" si="464">I161+I163</f>
        <v>7.4199539958878279E-3</v>
      </c>
      <c r="J164">
        <f t="shared" ref="J164" si="465">J161+J163</f>
        <v>8.3358107202842254E-3</v>
      </c>
      <c r="K164">
        <f t="shared" ref="K164" si="466">K161+K163</f>
        <v>8.4605262729351115E-3</v>
      </c>
      <c r="L164">
        <f t="shared" ref="L164" si="467">L161+L163</f>
        <v>7.8399882233967533E-3</v>
      </c>
      <c r="M164">
        <f t="shared" ref="M164" si="468">M161+M163</f>
        <v>6.4173462075160911E-3</v>
      </c>
      <c r="N164">
        <f t="shared" ref="N164" si="469">N161+N163</f>
        <v>5.3015226887581056E-3</v>
      </c>
      <c r="O164">
        <f t="shared" ref="O164" si="470">O161+O163</f>
        <v>4.68970903600947E-3</v>
      </c>
    </row>
    <row r="165" spans="1:32" ht="17.149999999999999" x14ac:dyDescent="0.55000000000000004">
      <c r="B165" t="str">
        <f t="shared" si="404"/>
        <v>Portland</v>
      </c>
      <c r="C165" t="s">
        <v>1388</v>
      </c>
      <c r="D165" cm="1">
        <f t="array" ref="D165">IFERROR(IF(D145="Chemical",(10^(INDEX(Antoines,MATCH(D144,Antoine_Name,0),2)-INDEX(Antoines,MATCH(D144,Antoine_Name,0),3)/(INDEX(Antoines,MATCH(D144,Antoine_Name,0),4)+(D154-32)*5/9)))*14.7/760,IF(D145="Crude Oil",EXP((2799/(D154+459.6)-2.227)*LOG10(INDEX(FX_Input,Q$5,D$3*$Z$5+$AA$5))-(7261/(D154+459.6))+12.82),IF(D145="Refined Petroleum Stock",EXP((0.7553-(413/(D154+459.6)))*(INDEX(FX_Input,Q$5,D$3*$Z$5+$AA$5-1)^0.5)*LOG10(INDEX(FX_Input,Q$5,D$3*$Z$5+$AA$5))-(1.854-(1042/(D154+459.6)))*(INDEX(FX_Input,Q$5,D$3*$Z$5+$AA$5-1)^0.5)+((2416/(D154+459.6)-2.013)*LOG10(INDEX(FX_Input,Q$5,D$3*$Z$5+$AA$5)))-(8742/(D154+459.6))+15.64),EXP(INDEX(Antoines,MATCH(D144,Antoine_Name,0),2)-INDEX(Antoines,MATCH(D144,Antoine_Name,0),3)/(D154+459.6))))),0)</f>
        <v>4.739577185808354E-3</v>
      </c>
      <c r="E165" cm="1">
        <f t="array" ref="E165">IFERROR(IF(E145="Chemical",(10^(INDEX(Antoines,MATCH(E144,Antoine_Name,0),2)-INDEX(Antoines,MATCH(E144,Antoine_Name,0),3)/(INDEX(Antoines,MATCH(E144,Antoine_Name,0),4)+(E154-32)*5/9)))*14.7/760,IF(E145="Crude Oil",EXP((2799/(E154+459.6)-2.227)*LOG10(INDEX(FX_Input,R$5,E$3*$Z$5+$AA$5))-(7261/(E154+459.6))+12.82),IF(E145="Refined Petroleum Stock",EXP((0.7553-(413/(E154+459.6)))*(INDEX(FX_Input,R$5,E$3*$Z$5+$AA$5-1)^0.5)*LOG10(INDEX(FX_Input,R$5,E$3*$Z$5+$AA$5))-(1.854-(1042/(E154+459.6)))*(INDEX(FX_Input,R$5,E$3*$Z$5+$AA$5-1)^0.5)+((2416/(E154+459.6)-2.013)*LOG10(INDEX(FX_Input,R$5,E$3*$Z$5+$AA$5)))-(8742/(E154+459.6))+15.64),EXP(INDEX(Antoines,MATCH(E144,Antoine_Name,0),2)-INDEX(Antoines,MATCH(E144,Antoine_Name,0),3)/(E154+459.6))))),0)</f>
        <v>4.8748667780818778E-3</v>
      </c>
      <c r="F165" cm="1">
        <f t="array" ref="F165">IFERROR(IF(F145="Chemical",(10^(INDEX(Antoines,MATCH(F144,Antoine_Name,0),2)-INDEX(Antoines,MATCH(F144,Antoine_Name,0),3)/(INDEX(Antoines,MATCH(F144,Antoine_Name,0),4)+(F154-32)*5/9)))*14.7/760,IF(F145="Crude Oil",EXP((2799/(F154+459.6)-2.227)*LOG10(INDEX(FX_Input,S$5,F$3*$Z$5+$AA$5))-(7261/(F154+459.6))+12.82),IF(F145="Refined Petroleum Stock",EXP((0.7553-(413/(F154+459.6)))*(INDEX(FX_Input,S$5,F$3*$Z$5+$AA$5-1)^0.5)*LOG10(INDEX(FX_Input,S$5,F$3*$Z$5+$AA$5))-(1.854-(1042/(F154+459.6)))*(INDEX(FX_Input,S$5,F$3*$Z$5+$AA$5-1)^0.5)+((2416/(F154+459.6)-2.013)*LOG10(INDEX(FX_Input,S$5,F$3*$Z$5+$AA$5)))-(8742/(F154+459.6))+15.64),EXP(INDEX(Antoines,MATCH(F144,Antoine_Name,0),2)-INDEX(Antoines,MATCH(F144,Antoine_Name,0),3)/(F154+459.6))))),0)</f>
        <v>5.119885034186122E-3</v>
      </c>
      <c r="G165" cm="1">
        <f t="array" ref="G165">IFERROR(IF(G145="Chemical",(10^(INDEX(Antoines,MATCH(G144,Antoine_Name,0),2)-INDEX(Antoines,MATCH(G144,Antoine_Name,0),3)/(INDEX(Antoines,MATCH(G144,Antoine_Name,0),4)+(G154-32)*5/9)))*14.7/760,IF(G145="Crude Oil",EXP((2799/(G154+459.6)-2.227)*LOG10(INDEX(FX_Input,T$5,G$3*$Z$5+$AA$5))-(7261/(G154+459.6))+12.82),IF(G145="Refined Petroleum Stock",EXP((0.7553-(413/(G154+459.6)))*(INDEX(FX_Input,T$5,G$3*$Z$5+$AA$5-1)^0.5)*LOG10(INDEX(FX_Input,T$5,G$3*$Z$5+$AA$5))-(1.854-(1042/(G154+459.6)))*(INDEX(FX_Input,T$5,G$3*$Z$5+$AA$5-1)^0.5)+((2416/(G154+459.6)-2.013)*LOG10(INDEX(FX_Input,T$5,G$3*$Z$5+$AA$5)))-(8742/(G154+459.6))+15.64),EXP(INDEX(Antoines,MATCH(G144,Antoine_Name,0),2)-INDEX(Antoines,MATCH(G144,Antoine_Name,0),3)/(G154+459.6))))),0)</f>
        <v>5.5846958573521795E-3</v>
      </c>
      <c r="H165" cm="1">
        <f t="array" ref="H165">IFERROR(IF(H145="Chemical",(10^(INDEX(Antoines,MATCH(H144,Antoine_Name,0),2)-INDEX(Antoines,MATCH(H144,Antoine_Name,0),3)/(INDEX(Antoines,MATCH(H144,Antoine_Name,0),4)+(H154-32)*5/9)))*14.7/760,IF(H145="Crude Oil",EXP((2799/(H154+459.6)-2.227)*LOG10(INDEX(FX_Input,U$5,H$3*$Z$5+$AA$5))-(7261/(H154+459.6))+12.82),IF(H145="Refined Petroleum Stock",EXP((0.7553-(413/(H154+459.6)))*(INDEX(FX_Input,U$5,H$3*$Z$5+$AA$5-1)^0.5)*LOG10(INDEX(FX_Input,U$5,H$3*$Z$5+$AA$5))-(1.854-(1042/(H154+459.6)))*(INDEX(FX_Input,U$5,H$3*$Z$5+$AA$5-1)^0.5)+((2416/(H154+459.6)-2.013)*LOG10(INDEX(FX_Input,U$5,H$3*$Z$5+$AA$5)))-(8742/(H154+459.6))+15.64),EXP(INDEX(Antoines,MATCH(H144,Antoine_Name,0),2)-INDEX(Antoines,MATCH(H144,Antoine_Name,0),3)/(H154+459.6))))),0)</f>
        <v>6.5274070972739821E-3</v>
      </c>
      <c r="I165" cm="1">
        <f t="array" ref="I165">IFERROR(IF(I145="Chemical",(10^(INDEX(Antoines,MATCH(I144,Antoine_Name,0),2)-INDEX(Antoines,MATCH(I144,Antoine_Name,0),3)/(INDEX(Antoines,MATCH(I144,Antoine_Name,0),4)+(I154-32)*5/9)))*14.7/760,IF(I145="Crude Oil",EXP((2799/(I154+459.6)-2.227)*LOG10(INDEX(FX_Input,V$5,I$3*$Z$5+$AA$5))-(7261/(I154+459.6))+12.82),IF(I145="Refined Petroleum Stock",EXP((0.7553-(413/(I154+459.6)))*(INDEX(FX_Input,V$5,I$3*$Z$5+$AA$5-1)^0.5)*LOG10(INDEX(FX_Input,V$5,I$3*$Z$5+$AA$5))-(1.854-(1042/(I154+459.6)))*(INDEX(FX_Input,V$5,I$3*$Z$5+$AA$5-1)^0.5)+((2416/(I154+459.6)-2.013)*LOG10(INDEX(FX_Input,V$5,I$3*$Z$5+$AA$5)))-(8742/(I154+459.6))+15.64),EXP(INDEX(Antoines,MATCH(I144,Antoine_Name,0),2)-INDEX(Antoines,MATCH(I144,Antoine_Name,0),3)/(I154+459.6))))),0)</f>
        <v>7.4199539958878279E-3</v>
      </c>
      <c r="J165" cm="1">
        <f t="array" ref="J165">IFERROR(IF(J145="Chemical",(10^(INDEX(Antoines,MATCH(J144,Antoine_Name,0),2)-INDEX(Antoines,MATCH(J144,Antoine_Name,0),3)/(INDEX(Antoines,MATCH(J144,Antoine_Name,0),4)+(J154-32)*5/9)))*14.7/760,IF(J145="Crude Oil",EXP((2799/(J154+459.6)-2.227)*LOG10(INDEX(FX_Input,W$5,J$3*$Z$5+$AA$5))-(7261/(J154+459.6))+12.82),IF(J145="Refined Petroleum Stock",EXP((0.7553-(413/(J154+459.6)))*(INDEX(FX_Input,W$5,J$3*$Z$5+$AA$5-1)^0.5)*LOG10(INDEX(FX_Input,W$5,J$3*$Z$5+$AA$5))-(1.854-(1042/(J154+459.6)))*(INDEX(FX_Input,W$5,J$3*$Z$5+$AA$5-1)^0.5)+((2416/(J154+459.6)-2.013)*LOG10(INDEX(FX_Input,W$5,J$3*$Z$5+$AA$5)))-(8742/(J154+459.6))+15.64),EXP(INDEX(Antoines,MATCH(J144,Antoine_Name,0),2)-INDEX(Antoines,MATCH(J144,Antoine_Name,0),3)/(J154+459.6))))),0)</f>
        <v>8.3358107202842254E-3</v>
      </c>
      <c r="K165" cm="1">
        <f t="array" ref="K165">IFERROR(IF(K145="Chemical",(10^(INDEX(Antoines,MATCH(K144,Antoine_Name,0),2)-INDEX(Antoines,MATCH(K144,Antoine_Name,0),3)/(INDEX(Antoines,MATCH(K144,Antoine_Name,0),4)+(K154-32)*5/9)))*14.7/760,IF(K145="Crude Oil",EXP((2799/(K154+459.6)-2.227)*LOG10(INDEX(FX_Input,X$5,K$3*$Z$5+$AA$5))-(7261/(K154+459.6))+12.82),IF(K145="Refined Petroleum Stock",EXP((0.7553-(413/(K154+459.6)))*(INDEX(FX_Input,X$5,K$3*$Z$5+$AA$5-1)^0.5)*LOG10(INDEX(FX_Input,X$5,K$3*$Z$5+$AA$5))-(1.854-(1042/(K154+459.6)))*(INDEX(FX_Input,X$5,K$3*$Z$5+$AA$5-1)^0.5)+((2416/(K154+459.6)-2.013)*LOG10(INDEX(FX_Input,X$5,K$3*$Z$5+$AA$5)))-(8742/(K154+459.6))+15.64),EXP(INDEX(Antoines,MATCH(K144,Antoine_Name,0),2)-INDEX(Antoines,MATCH(K144,Antoine_Name,0),3)/(K154+459.6))))),0)</f>
        <v>8.4605262729351115E-3</v>
      </c>
      <c r="L165" cm="1">
        <f t="array" ref="L165">IFERROR(IF(L145="Chemical",(10^(INDEX(Antoines,MATCH(L144,Antoine_Name,0),2)-INDEX(Antoines,MATCH(L144,Antoine_Name,0),3)/(INDEX(Antoines,MATCH(L144,Antoine_Name,0),4)+(L154-32)*5/9)))*14.7/760,IF(L145="Crude Oil",EXP((2799/(L154+459.6)-2.227)*LOG10(INDEX(FX_Input,Y$5,L$3*$Z$5+$AA$5))-(7261/(L154+459.6))+12.82),IF(L145="Refined Petroleum Stock",EXP((0.7553-(413/(L154+459.6)))*(INDEX(FX_Input,Y$5,L$3*$Z$5+$AA$5-1)^0.5)*LOG10(INDEX(FX_Input,Y$5,L$3*$Z$5+$AA$5))-(1.854-(1042/(L154+459.6)))*(INDEX(FX_Input,Y$5,L$3*$Z$5+$AA$5-1)^0.5)+((2416/(L154+459.6)-2.013)*LOG10(INDEX(FX_Input,Y$5,L$3*$Z$5+$AA$5)))-(8742/(L154+459.6))+15.64),EXP(INDEX(Antoines,MATCH(L144,Antoine_Name,0),2)-INDEX(Antoines,MATCH(L144,Antoine_Name,0),3)/(L154+459.6))))),0)</f>
        <v>7.8399882233967533E-3</v>
      </c>
      <c r="M165" cm="1">
        <f t="array" ref="M165">IFERROR(IF(M145="Chemical",(10^(INDEX(Antoines,MATCH(M144,Antoine_Name,0),2)-INDEX(Antoines,MATCH(M144,Antoine_Name,0),3)/(INDEX(Antoines,MATCH(M144,Antoine_Name,0),4)+(M154-32)*5/9)))*14.7/760,IF(M145="Crude Oil",EXP((2799/(M154+459.6)-2.227)*LOG10(INDEX(FX_Input,Z$5,M$3*$Z$5+$AA$5))-(7261/(M154+459.6))+12.82),IF(M145="Refined Petroleum Stock",EXP((0.7553-(413/(M154+459.6)))*(INDEX(FX_Input,Z$5,M$3*$Z$5+$AA$5-1)^0.5)*LOG10(INDEX(FX_Input,Z$5,M$3*$Z$5+$AA$5))-(1.854-(1042/(M154+459.6)))*(INDEX(FX_Input,Z$5,M$3*$Z$5+$AA$5-1)^0.5)+((2416/(M154+459.6)-2.013)*LOG10(INDEX(FX_Input,Z$5,M$3*$Z$5+$AA$5)))-(8742/(M154+459.6))+15.64),EXP(INDEX(Antoines,MATCH(M144,Antoine_Name,0),2)-INDEX(Antoines,MATCH(M144,Antoine_Name,0),3)/(M154+459.6))))),0)</f>
        <v>6.4173462075160911E-3</v>
      </c>
      <c r="N165" cm="1">
        <f t="array" ref="N165">IFERROR(IF(N145="Chemical",(10^(INDEX(Antoines,MATCH(N144,Antoine_Name,0),2)-INDEX(Antoines,MATCH(N144,Antoine_Name,0),3)/(INDEX(Antoines,MATCH(N144,Antoine_Name,0),4)+(N154-32)*5/9)))*14.7/760,IF(N145="Crude Oil",EXP((2799/(N154+459.6)-2.227)*LOG10(INDEX(FX_Input,AA$5,N$3*$Z$5+$AA$5))-(7261/(N154+459.6))+12.82),IF(N145="Refined Petroleum Stock",EXP((0.7553-(413/(N154+459.6)))*(INDEX(FX_Input,AA$5,N$3*$Z$5+$AA$5-1)^0.5)*LOG10(INDEX(FX_Input,AA$5,N$3*$Z$5+$AA$5))-(1.854-(1042/(N154+459.6)))*(INDEX(FX_Input,AA$5,N$3*$Z$5+$AA$5-1)^0.5)+((2416/(N154+459.6)-2.013)*LOG10(INDEX(FX_Input,AA$5,N$3*$Z$5+$AA$5)))-(8742/(N154+459.6))+15.64),EXP(INDEX(Antoines,MATCH(N144,Antoine_Name,0),2)-INDEX(Antoines,MATCH(N144,Antoine_Name,0),3)/(N154+459.6))))),0)</f>
        <v>5.3015226887581056E-3</v>
      </c>
      <c r="O165" cm="1">
        <f t="array" ref="O165">IFERROR(IF(O145="Chemical",(10^(INDEX(Antoines,MATCH(O144,Antoine_Name,0),2)-INDEX(Antoines,MATCH(O144,Antoine_Name,0),3)/(INDEX(Antoines,MATCH(O144,Antoine_Name,0),4)+(O154-32)*5/9)))*14.7/760,IF(O145="Crude Oil",EXP((2799/(O154+459.6)-2.227)*LOG10(INDEX(FX_Input,AB$5,O$3*$Z$5+$AA$5))-(7261/(O154+459.6))+12.82),IF(O145="Refined Petroleum Stock",EXP((0.7553-(413/(O154+459.6)))*(INDEX(FX_Input,AB$5,O$3*$Z$5+$AA$5-1)^0.5)*LOG10(INDEX(FX_Input,AB$5,O$3*$Z$5+$AA$5))-(1.854-(1042/(O154+459.6)))*(INDEX(FX_Input,AB$5,O$3*$Z$5+$AA$5-1)^0.5)+((2416/(O154+459.6)-2.013)*LOG10(INDEX(FX_Input,AB$5,O$3*$Z$5+$AA$5)))-(8742/(O154+459.6))+15.64),EXP(INDEX(Antoines,MATCH(O144,Antoine_Name,0),2)-INDEX(Antoines,MATCH(O144,Antoine_Name,0),3)/(O154+459.6))))),0)</f>
        <v>4.68970903600947E-3</v>
      </c>
    </row>
    <row r="166" spans="1:32" ht="17.149999999999999" x14ac:dyDescent="0.55000000000000004">
      <c r="B166" t="str">
        <f t="shared" si="404"/>
        <v>Portland</v>
      </c>
      <c r="C166" t="s">
        <v>1389</v>
      </c>
      <c r="D166">
        <f>D165*D148</f>
        <v>4.739577185808354E-3</v>
      </c>
      <c r="E166">
        <f t="shared" ref="E166" si="471">E165*E148</f>
        <v>4.8748667780818778E-3</v>
      </c>
      <c r="F166">
        <f t="shared" ref="F166" si="472">F165*F148</f>
        <v>5.119885034186122E-3</v>
      </c>
      <c r="G166">
        <f t="shared" ref="G166" si="473">G165*G148</f>
        <v>5.5846958573521795E-3</v>
      </c>
      <c r="H166">
        <f t="shared" ref="H166" si="474">H165*H148</f>
        <v>6.5274070972739821E-3</v>
      </c>
      <c r="I166">
        <f t="shared" ref="I166" si="475">I165*I148</f>
        <v>7.4199539958878279E-3</v>
      </c>
      <c r="J166">
        <f t="shared" ref="J166" si="476">J165*J148</f>
        <v>8.3358107202842254E-3</v>
      </c>
      <c r="K166">
        <f t="shared" ref="K166" si="477">K165*K148</f>
        <v>8.4605262729351115E-3</v>
      </c>
      <c r="L166">
        <f t="shared" ref="L166" si="478">L165*L148</f>
        <v>7.8399882233967533E-3</v>
      </c>
      <c r="M166">
        <f t="shared" ref="M166" si="479">M165*M148</f>
        <v>6.4173462075160911E-3</v>
      </c>
      <c r="N166">
        <f t="shared" ref="N166" si="480">N165*N148</f>
        <v>5.3015226887581056E-3</v>
      </c>
      <c r="O166">
        <f t="shared" ref="O166" si="481">O165*O148</f>
        <v>4.68970903600947E-3</v>
      </c>
    </row>
    <row r="167" spans="1:32" ht="17.149999999999999" x14ac:dyDescent="0.55000000000000004">
      <c r="B167" t="str">
        <f t="shared" si="404"/>
        <v>Portland</v>
      </c>
      <c r="C167" t="s">
        <v>1390</v>
      </c>
      <c r="D167" cm="1">
        <f t="array" ref="D167">IFERROR(IF(D147="Chemical",(10^(INDEX(Antoines,MATCH(D146,Antoine_Name,0),2)-INDEX(Antoines,MATCH(D146,Antoine_Name,0),3)/(INDEX(Antoines,MATCH(D146,Antoine_Name,0),4)+(D154-32)*5/9)))*14.7/760,IF(D147="Crude Oil",EXP((2799/(D154+459.6)-2.227)*LOG10(INDEX(FX_Input,Q$5,D$3*$Z$5+$AA$5))-(7261/(D154+459.6))+12.82),IF(D147="Refined Petroleum Stock",EXP((0.7553-(413/(D154+459.6)))*(INDEX(FX_Input,Q$5,D$3*$Z$5+$AA$5-1)^0.5)*LOG10(INDEX(FX_Input,Q$5,D$3*$Z$5+$AA$5))-(1.854-(1042/(D154+459.6)))*(INDEX(FX_Input,Q$5,D$3*$Z$5+$AA$5-1)^0.5)+((2416/(D154+459.6)-2.013)*LOG10(INDEX(FX_Input,Q$5,D$3*$Z$5+$AA$5)))-(8742/(D154+459.6))+15.64),EXP(INDEX(Antoines,MATCH(D146,Antoine_Name,0),2)-INDEX(Antoines,MATCH(D146,Antoine_Name,0),3)/(D154+459.6))))),0)</f>
        <v>0</v>
      </c>
      <c r="E167" cm="1">
        <f t="array" ref="E167">IFERROR(IF(E147="Chemical",(10^(INDEX(Antoines,MATCH(E146,Antoine_Name,0),2)-INDEX(Antoines,MATCH(E146,Antoine_Name,0),3)/(INDEX(Antoines,MATCH(E146,Antoine_Name,0),4)+(E154-32)*5/9)))*14.7/760,IF(E147="Crude Oil",EXP((2799/(E154+459.6)-2.227)*LOG10(INDEX(FX_Input,R$5,E$3*$Z$5+$AA$5))-(7261/(E154+459.6))+12.82),IF(E147="Refined Petroleum Stock",EXP((0.7553-(413/(E154+459.6)))*(INDEX(FX_Input,R$5,E$3*$Z$5+$AA$5-1)^0.5)*LOG10(INDEX(FX_Input,R$5,E$3*$Z$5+$AA$5))-(1.854-(1042/(E154+459.6)))*(INDEX(FX_Input,R$5,E$3*$Z$5+$AA$5-1)^0.5)+((2416/(E154+459.6)-2.013)*LOG10(INDEX(FX_Input,R$5,E$3*$Z$5+$AA$5)))-(8742/(E154+459.6))+15.64),EXP(INDEX(Antoines,MATCH(E146,Antoine_Name,0),2)-INDEX(Antoines,MATCH(E146,Antoine_Name,0),3)/(E154+459.6))))),0)</f>
        <v>0</v>
      </c>
      <c r="F167" cm="1">
        <f t="array" ref="F167">IFERROR(IF(F147="Chemical",(10^(INDEX(Antoines,MATCH(F146,Antoine_Name,0),2)-INDEX(Antoines,MATCH(F146,Antoine_Name,0),3)/(INDEX(Antoines,MATCH(F146,Antoine_Name,0),4)+(F154-32)*5/9)))*14.7/760,IF(F147="Crude Oil",EXP((2799/(F154+459.6)-2.227)*LOG10(INDEX(FX_Input,S$5,F$3*$Z$5+$AA$5))-(7261/(F154+459.6))+12.82),IF(F147="Refined Petroleum Stock",EXP((0.7553-(413/(F154+459.6)))*(INDEX(FX_Input,S$5,F$3*$Z$5+$AA$5-1)^0.5)*LOG10(INDEX(FX_Input,S$5,F$3*$Z$5+$AA$5))-(1.854-(1042/(F154+459.6)))*(INDEX(FX_Input,S$5,F$3*$Z$5+$AA$5-1)^0.5)+((2416/(F154+459.6)-2.013)*LOG10(INDEX(FX_Input,S$5,F$3*$Z$5+$AA$5)))-(8742/(F154+459.6))+15.64),EXP(INDEX(Antoines,MATCH(F146,Antoine_Name,0),2)-INDEX(Antoines,MATCH(F146,Antoine_Name,0),3)/(F154+459.6))))),0)</f>
        <v>0</v>
      </c>
      <c r="G167" cm="1">
        <f t="array" ref="G167">IFERROR(IF(G147="Chemical",(10^(INDEX(Antoines,MATCH(G146,Antoine_Name,0),2)-INDEX(Antoines,MATCH(G146,Antoine_Name,0),3)/(INDEX(Antoines,MATCH(G146,Antoine_Name,0),4)+(G154-32)*5/9)))*14.7/760,IF(G147="Crude Oil",EXP((2799/(G154+459.6)-2.227)*LOG10(INDEX(FX_Input,T$5,G$3*$Z$5+$AA$5))-(7261/(G154+459.6))+12.82),IF(G147="Refined Petroleum Stock",EXP((0.7553-(413/(G154+459.6)))*(INDEX(FX_Input,T$5,G$3*$Z$5+$AA$5-1)^0.5)*LOG10(INDEX(FX_Input,T$5,G$3*$Z$5+$AA$5))-(1.854-(1042/(G154+459.6)))*(INDEX(FX_Input,T$5,G$3*$Z$5+$AA$5-1)^0.5)+((2416/(G154+459.6)-2.013)*LOG10(INDEX(FX_Input,T$5,G$3*$Z$5+$AA$5)))-(8742/(G154+459.6))+15.64),EXP(INDEX(Antoines,MATCH(G146,Antoine_Name,0),2)-INDEX(Antoines,MATCH(G146,Antoine_Name,0),3)/(G154+459.6))))),0)</f>
        <v>0</v>
      </c>
      <c r="H167" cm="1">
        <f t="array" ref="H167">IFERROR(IF(H147="Chemical",(10^(INDEX(Antoines,MATCH(H146,Antoine_Name,0),2)-INDEX(Antoines,MATCH(H146,Antoine_Name,0),3)/(INDEX(Antoines,MATCH(H146,Antoine_Name,0),4)+(H154-32)*5/9)))*14.7/760,IF(H147="Crude Oil",EXP((2799/(H154+459.6)-2.227)*LOG10(INDEX(FX_Input,U$5,H$3*$Z$5+$AA$5))-(7261/(H154+459.6))+12.82),IF(H147="Refined Petroleum Stock",EXP((0.7553-(413/(H154+459.6)))*(INDEX(FX_Input,U$5,H$3*$Z$5+$AA$5-1)^0.5)*LOG10(INDEX(FX_Input,U$5,H$3*$Z$5+$AA$5))-(1.854-(1042/(H154+459.6)))*(INDEX(FX_Input,U$5,H$3*$Z$5+$AA$5-1)^0.5)+((2416/(H154+459.6)-2.013)*LOG10(INDEX(FX_Input,U$5,H$3*$Z$5+$AA$5)))-(8742/(H154+459.6))+15.64),EXP(INDEX(Antoines,MATCH(H146,Antoine_Name,0),2)-INDEX(Antoines,MATCH(H146,Antoine_Name,0),3)/(H154+459.6))))),0)</f>
        <v>0</v>
      </c>
      <c r="I167" cm="1">
        <f t="array" ref="I167">IFERROR(IF(I147="Chemical",(10^(INDEX(Antoines,MATCH(I146,Antoine_Name,0),2)-INDEX(Antoines,MATCH(I146,Antoine_Name,0),3)/(INDEX(Antoines,MATCH(I146,Antoine_Name,0),4)+(I154-32)*5/9)))*14.7/760,IF(I147="Crude Oil",EXP((2799/(I154+459.6)-2.227)*LOG10(INDEX(FX_Input,V$5,I$3*$Z$5+$AA$5))-(7261/(I154+459.6))+12.82),IF(I147="Refined Petroleum Stock",EXP((0.7553-(413/(I154+459.6)))*(INDEX(FX_Input,V$5,I$3*$Z$5+$AA$5-1)^0.5)*LOG10(INDEX(FX_Input,V$5,I$3*$Z$5+$AA$5))-(1.854-(1042/(I154+459.6)))*(INDEX(FX_Input,V$5,I$3*$Z$5+$AA$5-1)^0.5)+((2416/(I154+459.6)-2.013)*LOG10(INDEX(FX_Input,V$5,I$3*$Z$5+$AA$5)))-(8742/(I154+459.6))+15.64),EXP(INDEX(Antoines,MATCH(I146,Antoine_Name,0),2)-INDEX(Antoines,MATCH(I146,Antoine_Name,0),3)/(I154+459.6))))),0)</f>
        <v>0</v>
      </c>
      <c r="J167" cm="1">
        <f t="array" ref="J167">IFERROR(IF(J147="Chemical",(10^(INDEX(Antoines,MATCH(J146,Antoine_Name,0),2)-INDEX(Antoines,MATCH(J146,Antoine_Name,0),3)/(INDEX(Antoines,MATCH(J146,Antoine_Name,0),4)+(J154-32)*5/9)))*14.7/760,IF(J147="Crude Oil",EXP((2799/(J154+459.6)-2.227)*LOG10(INDEX(FX_Input,W$5,J$3*$Z$5+$AA$5))-(7261/(J154+459.6))+12.82),IF(J147="Refined Petroleum Stock",EXP((0.7553-(413/(J154+459.6)))*(INDEX(FX_Input,W$5,J$3*$Z$5+$AA$5-1)^0.5)*LOG10(INDEX(FX_Input,W$5,J$3*$Z$5+$AA$5))-(1.854-(1042/(J154+459.6)))*(INDEX(FX_Input,W$5,J$3*$Z$5+$AA$5-1)^0.5)+((2416/(J154+459.6)-2.013)*LOG10(INDEX(FX_Input,W$5,J$3*$Z$5+$AA$5)))-(8742/(J154+459.6))+15.64),EXP(INDEX(Antoines,MATCH(J146,Antoine_Name,0),2)-INDEX(Antoines,MATCH(J146,Antoine_Name,0),3)/(J154+459.6))))),0)</f>
        <v>0</v>
      </c>
      <c r="K167" cm="1">
        <f t="array" ref="K167">IFERROR(IF(K147="Chemical",(10^(INDEX(Antoines,MATCH(K146,Antoine_Name,0),2)-INDEX(Antoines,MATCH(K146,Antoine_Name,0),3)/(INDEX(Antoines,MATCH(K146,Antoine_Name,0),4)+(K154-32)*5/9)))*14.7/760,IF(K147="Crude Oil",EXP((2799/(K154+459.6)-2.227)*LOG10(INDEX(FX_Input,X$5,K$3*$Z$5+$AA$5))-(7261/(K154+459.6))+12.82),IF(K147="Refined Petroleum Stock",EXP((0.7553-(413/(K154+459.6)))*(INDEX(FX_Input,X$5,K$3*$Z$5+$AA$5-1)^0.5)*LOG10(INDEX(FX_Input,X$5,K$3*$Z$5+$AA$5))-(1.854-(1042/(K154+459.6)))*(INDEX(FX_Input,X$5,K$3*$Z$5+$AA$5-1)^0.5)+((2416/(K154+459.6)-2.013)*LOG10(INDEX(FX_Input,X$5,K$3*$Z$5+$AA$5)))-(8742/(K154+459.6))+15.64),EXP(INDEX(Antoines,MATCH(K146,Antoine_Name,0),2)-INDEX(Antoines,MATCH(K146,Antoine_Name,0),3)/(K154+459.6))))),0)</f>
        <v>0</v>
      </c>
      <c r="L167" cm="1">
        <f t="array" ref="L167">IFERROR(IF(L147="Chemical",(10^(INDEX(Antoines,MATCH(L146,Antoine_Name,0),2)-INDEX(Antoines,MATCH(L146,Antoine_Name,0),3)/(INDEX(Antoines,MATCH(L146,Antoine_Name,0),4)+(L154-32)*5/9)))*14.7/760,IF(L147="Crude Oil",EXP((2799/(L154+459.6)-2.227)*LOG10(INDEX(FX_Input,Y$5,L$3*$Z$5+$AA$5))-(7261/(L154+459.6))+12.82),IF(L147="Refined Petroleum Stock",EXP((0.7553-(413/(L154+459.6)))*(INDEX(FX_Input,Y$5,L$3*$Z$5+$AA$5-1)^0.5)*LOG10(INDEX(FX_Input,Y$5,L$3*$Z$5+$AA$5))-(1.854-(1042/(L154+459.6)))*(INDEX(FX_Input,Y$5,L$3*$Z$5+$AA$5-1)^0.5)+((2416/(L154+459.6)-2.013)*LOG10(INDEX(FX_Input,Y$5,L$3*$Z$5+$AA$5)))-(8742/(L154+459.6))+15.64),EXP(INDEX(Antoines,MATCH(L146,Antoine_Name,0),2)-INDEX(Antoines,MATCH(L146,Antoine_Name,0),3)/(L154+459.6))))),0)</f>
        <v>0</v>
      </c>
      <c r="M167" cm="1">
        <f t="array" ref="M167">IFERROR(IF(M147="Chemical",(10^(INDEX(Antoines,MATCH(M146,Antoine_Name,0),2)-INDEX(Antoines,MATCH(M146,Antoine_Name,0),3)/(INDEX(Antoines,MATCH(M146,Antoine_Name,0),4)+(M154-32)*5/9)))*14.7/760,IF(M147="Crude Oil",EXP((2799/(M154+459.6)-2.227)*LOG10(INDEX(FX_Input,Z$5,M$3*$Z$5+$AA$5))-(7261/(M154+459.6))+12.82),IF(M147="Refined Petroleum Stock",EXP((0.7553-(413/(M154+459.6)))*(INDEX(FX_Input,Z$5,M$3*$Z$5+$AA$5-1)^0.5)*LOG10(INDEX(FX_Input,Z$5,M$3*$Z$5+$AA$5))-(1.854-(1042/(M154+459.6)))*(INDEX(FX_Input,Z$5,M$3*$Z$5+$AA$5-1)^0.5)+((2416/(M154+459.6)-2.013)*LOG10(INDEX(FX_Input,Z$5,M$3*$Z$5+$AA$5)))-(8742/(M154+459.6))+15.64),EXP(INDEX(Antoines,MATCH(M146,Antoine_Name,0),2)-INDEX(Antoines,MATCH(M146,Antoine_Name,0),3)/(M154+459.6))))),0)</f>
        <v>0</v>
      </c>
      <c r="N167" cm="1">
        <f t="array" ref="N167">IFERROR(IF(N147="Chemical",(10^(INDEX(Antoines,MATCH(N146,Antoine_Name,0),2)-INDEX(Antoines,MATCH(N146,Antoine_Name,0),3)/(INDEX(Antoines,MATCH(N146,Antoine_Name,0),4)+(N154-32)*5/9)))*14.7/760,IF(N147="Crude Oil",EXP((2799/(N154+459.6)-2.227)*LOG10(INDEX(FX_Input,AA$5,N$3*$Z$5+$AA$5))-(7261/(N154+459.6))+12.82),IF(N147="Refined Petroleum Stock",EXP((0.7553-(413/(N154+459.6)))*(INDEX(FX_Input,AA$5,N$3*$Z$5+$AA$5-1)^0.5)*LOG10(INDEX(FX_Input,AA$5,N$3*$Z$5+$AA$5))-(1.854-(1042/(N154+459.6)))*(INDEX(FX_Input,AA$5,N$3*$Z$5+$AA$5-1)^0.5)+((2416/(N154+459.6)-2.013)*LOG10(INDEX(FX_Input,AA$5,N$3*$Z$5+$AA$5)))-(8742/(N154+459.6))+15.64),EXP(INDEX(Antoines,MATCH(N146,Antoine_Name,0),2)-INDEX(Antoines,MATCH(N146,Antoine_Name,0),3)/(N154+459.6))))),0)</f>
        <v>0</v>
      </c>
      <c r="O167" cm="1">
        <f t="array" ref="O167">IFERROR(IF(O147="Chemical",(10^(INDEX(Antoines,MATCH(O146,Antoine_Name,0),2)-INDEX(Antoines,MATCH(O146,Antoine_Name,0),3)/(INDEX(Antoines,MATCH(O146,Antoine_Name,0),4)+(O154-32)*5/9)))*14.7/760,IF(O147="Crude Oil",EXP((2799/(O154+459.6)-2.227)*LOG10(INDEX(FX_Input,AB$5,O$3*$Z$5+$AA$5))-(7261/(O154+459.6))+12.82),IF(O147="Refined Petroleum Stock",EXP((0.7553-(413/(O154+459.6)))*(INDEX(FX_Input,AB$5,O$3*$Z$5+$AA$5-1)^0.5)*LOG10(INDEX(FX_Input,AB$5,O$3*$Z$5+$AA$5))-(1.854-(1042/(O154+459.6)))*(INDEX(FX_Input,AB$5,O$3*$Z$5+$AA$5-1)^0.5)+((2416/(O154+459.6)-2.013)*LOG10(INDEX(FX_Input,AB$5,O$3*$Z$5+$AA$5)))-(8742/(O154+459.6))+15.64),EXP(INDEX(Antoines,MATCH(O146,Antoine_Name,0),2)-INDEX(Antoines,MATCH(O146,Antoine_Name,0),3)/(O154+459.6))))),0)</f>
        <v>0</v>
      </c>
    </row>
    <row r="168" spans="1:32" ht="17.149999999999999" x14ac:dyDescent="0.55000000000000004">
      <c r="B168" t="str">
        <f t="shared" si="404"/>
        <v>Portland</v>
      </c>
      <c r="C168" t="s">
        <v>1391</v>
      </c>
      <c r="D168">
        <f>D167*D150</f>
        <v>0</v>
      </c>
      <c r="E168">
        <f t="shared" ref="E168" si="482">E167*E150</f>
        <v>0</v>
      </c>
      <c r="F168">
        <f t="shared" ref="F168" si="483">F167*F150</f>
        <v>0</v>
      </c>
      <c r="G168">
        <f t="shared" ref="G168" si="484">G167*G150</f>
        <v>0</v>
      </c>
      <c r="H168">
        <f t="shared" ref="H168" si="485">H167*H150</f>
        <v>0</v>
      </c>
      <c r="I168">
        <f t="shared" ref="I168" si="486">I167*I150</f>
        <v>0</v>
      </c>
      <c r="J168">
        <f t="shared" ref="J168" si="487">J167*J150</f>
        <v>0</v>
      </c>
      <c r="K168">
        <f t="shared" ref="K168" si="488">K167*K150</f>
        <v>0</v>
      </c>
      <c r="L168">
        <f t="shared" ref="L168" si="489">L167*L150</f>
        <v>0</v>
      </c>
      <c r="M168">
        <f t="shared" ref="M168" si="490">M167*M150</f>
        <v>0</v>
      </c>
      <c r="N168">
        <f t="shared" ref="N168" si="491">N167*N150</f>
        <v>0</v>
      </c>
      <c r="O168">
        <f t="shared" ref="O168" si="492">O167*O150</f>
        <v>0</v>
      </c>
    </row>
    <row r="169" spans="1:32" ht="17.149999999999999" x14ac:dyDescent="0.55000000000000004">
      <c r="B169" t="str">
        <f t="shared" si="404"/>
        <v>Portland</v>
      </c>
      <c r="C169" t="s">
        <v>1392</v>
      </c>
      <c r="D169">
        <f>D166+D168</f>
        <v>4.739577185808354E-3</v>
      </c>
      <c r="E169">
        <f t="shared" ref="E169" si="493">E166+E168</f>
        <v>4.8748667780818778E-3</v>
      </c>
      <c r="F169">
        <f t="shared" ref="F169" si="494">F166+F168</f>
        <v>5.119885034186122E-3</v>
      </c>
      <c r="G169">
        <f t="shared" ref="G169" si="495">G166+G168</f>
        <v>5.5846958573521795E-3</v>
      </c>
      <c r="H169">
        <f t="shared" ref="H169" si="496">H166+H168</f>
        <v>6.5274070972739821E-3</v>
      </c>
      <c r="I169">
        <f t="shared" ref="I169" si="497">I166+I168</f>
        <v>7.4199539958878279E-3</v>
      </c>
      <c r="J169">
        <f t="shared" ref="J169" si="498">J166+J168</f>
        <v>8.3358107202842254E-3</v>
      </c>
      <c r="K169">
        <f t="shared" ref="K169" si="499">K166+K168</f>
        <v>8.4605262729351115E-3</v>
      </c>
      <c r="L169">
        <f t="shared" ref="L169" si="500">L166+L168</f>
        <v>7.8399882233967533E-3</v>
      </c>
      <c r="M169">
        <f t="shared" ref="M169" si="501">M166+M168</f>
        <v>6.4173462075160911E-3</v>
      </c>
      <c r="N169">
        <f t="shared" ref="N169" si="502">N166+N168</f>
        <v>5.3015226887581056E-3</v>
      </c>
      <c r="O169">
        <f t="shared" ref="O169" si="503">O166+O168</f>
        <v>4.68970903600947E-3</v>
      </c>
    </row>
    <row r="170" spans="1:32" ht="17.149999999999999" x14ac:dyDescent="0.55000000000000004">
      <c r="B170" t="str">
        <f>B164</f>
        <v>Portland</v>
      </c>
      <c r="C170" t="s">
        <v>584</v>
      </c>
      <c r="D170">
        <f>D166/D169</f>
        <v>1</v>
      </c>
      <c r="E170">
        <f t="shared" ref="E170" si="504">E166/E169</f>
        <v>1</v>
      </c>
      <c r="F170">
        <f t="shared" ref="F170" si="505">F166/F169</f>
        <v>1</v>
      </c>
      <c r="G170">
        <f t="shared" ref="G170" si="506">G166/G169</f>
        <v>1</v>
      </c>
      <c r="H170">
        <f t="shared" ref="H170" si="507">H166/H169</f>
        <v>1</v>
      </c>
      <c r="I170">
        <f t="shared" ref="I170" si="508">I166/I169</f>
        <v>1</v>
      </c>
      <c r="J170">
        <f t="shared" ref="J170" si="509">J166/J169</f>
        <v>1</v>
      </c>
      <c r="K170">
        <f t="shared" ref="K170" si="510">K166/K169</f>
        <v>1</v>
      </c>
      <c r="L170">
        <f t="shared" ref="L170" si="511">L166/L169</f>
        <v>1</v>
      </c>
      <c r="M170">
        <f t="shared" ref="M170" si="512">M166/M169</f>
        <v>1</v>
      </c>
      <c r="N170">
        <f t="shared" ref="N170" si="513">N166/N169</f>
        <v>1</v>
      </c>
      <c r="O170">
        <f t="shared" ref="O170" si="514">O166/O169</f>
        <v>1</v>
      </c>
    </row>
    <row r="171" spans="1:32" ht="17.149999999999999" x14ac:dyDescent="0.55000000000000004">
      <c r="B171" t="str">
        <f>B165</f>
        <v>Portland</v>
      </c>
      <c r="C171" t="s">
        <v>585</v>
      </c>
      <c r="D171">
        <f t="shared" ref="D171:O171" si="515">INDEX(Phys_Prop,MATCH(D144,Chem_List,0),3)</f>
        <v>130</v>
      </c>
      <c r="E171">
        <f t="shared" si="515"/>
        <v>130</v>
      </c>
      <c r="F171">
        <f t="shared" si="515"/>
        <v>130</v>
      </c>
      <c r="G171">
        <f t="shared" si="515"/>
        <v>130</v>
      </c>
      <c r="H171">
        <f t="shared" si="515"/>
        <v>130</v>
      </c>
      <c r="I171">
        <f t="shared" si="515"/>
        <v>130</v>
      </c>
      <c r="J171">
        <f t="shared" si="515"/>
        <v>130</v>
      </c>
      <c r="K171">
        <f t="shared" si="515"/>
        <v>130</v>
      </c>
      <c r="L171">
        <f t="shared" si="515"/>
        <v>130</v>
      </c>
      <c r="M171">
        <f t="shared" si="515"/>
        <v>130</v>
      </c>
      <c r="N171">
        <f t="shared" si="515"/>
        <v>130</v>
      </c>
      <c r="O171">
        <f t="shared" si="515"/>
        <v>130</v>
      </c>
    </row>
    <row r="172" spans="1:32" ht="17.149999999999999" x14ac:dyDescent="0.55000000000000004">
      <c r="B172" t="str">
        <f>B171</f>
        <v>Portland</v>
      </c>
      <c r="C172" t="s">
        <v>586</v>
      </c>
      <c r="D172">
        <f>D168/D169</f>
        <v>0</v>
      </c>
      <c r="E172">
        <f t="shared" ref="E172:O172" si="516">E168/E169</f>
        <v>0</v>
      </c>
      <c r="F172">
        <f t="shared" si="516"/>
        <v>0</v>
      </c>
      <c r="G172">
        <f t="shared" si="516"/>
        <v>0</v>
      </c>
      <c r="H172">
        <f t="shared" si="516"/>
        <v>0</v>
      </c>
      <c r="I172">
        <f t="shared" si="516"/>
        <v>0</v>
      </c>
      <c r="J172">
        <f t="shared" si="516"/>
        <v>0</v>
      </c>
      <c r="K172">
        <f t="shared" si="516"/>
        <v>0</v>
      </c>
      <c r="L172">
        <f t="shared" si="516"/>
        <v>0</v>
      </c>
      <c r="M172">
        <f t="shared" si="516"/>
        <v>0</v>
      </c>
      <c r="N172">
        <f t="shared" si="516"/>
        <v>0</v>
      </c>
      <c r="O172">
        <f t="shared" si="516"/>
        <v>0</v>
      </c>
    </row>
    <row r="173" spans="1:32" ht="17.149999999999999" x14ac:dyDescent="0.55000000000000004">
      <c r="B173" t="str">
        <f t="shared" si="404"/>
        <v>Portland</v>
      </c>
      <c r="C173" t="s">
        <v>587</v>
      </c>
      <c r="D173">
        <f t="shared" ref="D173:O173" si="517">IFERROR(INDEX(Phys_Prop,MATCH(D146,Chem_List,0),3),0)</f>
        <v>0</v>
      </c>
      <c r="E173">
        <f t="shared" si="517"/>
        <v>0</v>
      </c>
      <c r="F173">
        <f t="shared" si="517"/>
        <v>0</v>
      </c>
      <c r="G173">
        <f t="shared" si="517"/>
        <v>0</v>
      </c>
      <c r="H173">
        <f t="shared" si="517"/>
        <v>0</v>
      </c>
      <c r="I173">
        <f t="shared" si="517"/>
        <v>0</v>
      </c>
      <c r="J173">
        <f t="shared" si="517"/>
        <v>0</v>
      </c>
      <c r="K173">
        <f t="shared" si="517"/>
        <v>0</v>
      </c>
      <c r="L173">
        <f t="shared" si="517"/>
        <v>0</v>
      </c>
      <c r="M173">
        <f t="shared" si="517"/>
        <v>0</v>
      </c>
      <c r="N173">
        <f t="shared" si="517"/>
        <v>0</v>
      </c>
      <c r="O173">
        <f t="shared" si="517"/>
        <v>0</v>
      </c>
    </row>
    <row r="174" spans="1:32" ht="17.149999999999999" x14ac:dyDescent="0.55000000000000004">
      <c r="A174" s="11"/>
      <c r="B174" s="11" t="str">
        <f t="shared" si="404"/>
        <v>Portland</v>
      </c>
      <c r="C174" s="11" t="s">
        <v>588</v>
      </c>
      <c r="D174" s="11">
        <f>IFERROR(D170*D171+D172*D173,0)</f>
        <v>130</v>
      </c>
      <c r="E174" s="11">
        <f t="shared" ref="E174" si="518">IFERROR(E170*E171+E172*E173,0)</f>
        <v>130</v>
      </c>
      <c r="F174" s="11">
        <f t="shared" ref="F174" si="519">IFERROR(F170*F171+F172*F173,0)</f>
        <v>130</v>
      </c>
      <c r="G174" s="11">
        <f t="shared" ref="G174" si="520">IFERROR(G170*G171+G172*G173,0)</f>
        <v>130</v>
      </c>
      <c r="H174" s="11">
        <f t="shared" ref="H174" si="521">IFERROR(H170*H171+H172*H173,0)</f>
        <v>130</v>
      </c>
      <c r="I174" s="11">
        <f t="shared" ref="I174" si="522">IFERROR(I170*I171+I172*I173,0)</f>
        <v>130</v>
      </c>
      <c r="J174" s="11">
        <f t="shared" ref="J174" si="523">IFERROR(J170*J171+J172*J173,0)</f>
        <v>130</v>
      </c>
      <c r="K174" s="11">
        <f t="shared" ref="K174" si="524">IFERROR(K170*K171+K172*K173,0)</f>
        <v>130</v>
      </c>
      <c r="L174" s="11">
        <f t="shared" ref="L174" si="525">IFERROR(L170*L171+L172*L173,0)</f>
        <v>130</v>
      </c>
      <c r="M174" s="11">
        <f t="shared" ref="M174" si="526">IFERROR(M170*M171+M172*M173,0)</f>
        <v>130</v>
      </c>
      <c r="N174" s="11">
        <f t="shared" ref="N174" si="527">IFERROR(N170*N171+N172*N173,0)</f>
        <v>130</v>
      </c>
      <c r="O174" s="11">
        <f t="shared" ref="O174" si="528">IFERROR(O170*O171+O172*O173,0)</f>
        <v>130</v>
      </c>
      <c r="P174" s="11"/>
      <c r="Q174" s="11"/>
      <c r="R174" s="11"/>
      <c r="S174" s="11"/>
      <c r="T174" s="11"/>
      <c r="U174" s="11"/>
      <c r="V174" s="11"/>
      <c r="W174" s="11"/>
      <c r="X174" s="11"/>
      <c r="Y174" s="11"/>
      <c r="Z174" s="11"/>
      <c r="AA174" s="11"/>
      <c r="AB174" s="11"/>
      <c r="AC174" s="11"/>
      <c r="AD174" s="11"/>
      <c r="AE174" s="11"/>
      <c r="AF174" s="11"/>
    </row>
    <row r="175" spans="1:32" ht="17.149999999999999" x14ac:dyDescent="0.55000000000000004">
      <c r="A175" t="str" cm="1">
        <f t="array" ref="A175">INDEX(FX_Input,$Q175,R$5)</f>
        <v>FX - 6</v>
      </c>
      <c r="B175" t="str" cm="1">
        <f t="array" ref="B175">INDEX(FX_Input,Q175,S175)</f>
        <v>Portland</v>
      </c>
      <c r="C175" t="s">
        <v>563</v>
      </c>
      <c r="D175">
        <v>14.7</v>
      </c>
      <c r="E175">
        <v>14.7</v>
      </c>
      <c r="F175">
        <v>14.7</v>
      </c>
      <c r="G175">
        <v>14.7</v>
      </c>
      <c r="H175">
        <v>14.7</v>
      </c>
      <c r="I175">
        <v>14.7</v>
      </c>
      <c r="J175">
        <v>14.7</v>
      </c>
      <c r="K175">
        <v>14.7</v>
      </c>
      <c r="L175">
        <v>14.7</v>
      </c>
      <c r="M175">
        <v>14.7</v>
      </c>
      <c r="N175">
        <v>14.7</v>
      </c>
      <c r="O175">
        <v>14.7</v>
      </c>
      <c r="Q175">
        <f>Q141+2</f>
        <v>11</v>
      </c>
      <c r="R175">
        <v>1</v>
      </c>
      <c r="S175">
        <v>3</v>
      </c>
      <c r="T175">
        <v>1</v>
      </c>
      <c r="U175">
        <v>19</v>
      </c>
      <c r="V175">
        <v>20</v>
      </c>
      <c r="W175">
        <v>25</v>
      </c>
      <c r="X175">
        <v>1</v>
      </c>
      <c r="Y175">
        <v>2</v>
      </c>
      <c r="Z175">
        <f>(W175-V175)/(Y175-X175)</f>
        <v>5</v>
      </c>
      <c r="AA175">
        <f>V175-Z175*X175</f>
        <v>15</v>
      </c>
      <c r="AD175">
        <f>AD141+14</f>
        <v>71</v>
      </c>
      <c r="AF175">
        <f>AF141+14</f>
        <v>71</v>
      </c>
    </row>
    <row r="176" spans="1:32" ht="17.149999999999999" x14ac:dyDescent="0.55000000000000004">
      <c r="B176" t="str">
        <f t="shared" ref="B176" si="529">B175</f>
        <v>Portland</v>
      </c>
      <c r="C176" t="s">
        <v>564</v>
      </c>
      <c r="D176" cm="1">
        <f t="array" ref="D176">IF(ISBLANK(INDEX(FX_Input,$Q175,$AB176)),0.03,INDEX(FX_Input,Q175,AB176))</f>
        <v>0.03</v>
      </c>
      <c r="E176" cm="1">
        <f t="array" ref="E176">IF(ISBLANK(INDEX(FX_Input,$Q175,$AB176)),0.03,INDEX(FX_Input,R175,#REF!))</f>
        <v>0.03</v>
      </c>
      <c r="F176" cm="1">
        <f t="array" ref="F176">IF(ISBLANK(INDEX(FX_Input,$Q175,$AB176)),0.03,INDEX(FX_Input,S175,#REF!))</f>
        <v>0.03</v>
      </c>
      <c r="G176" cm="1">
        <f t="array" ref="G176">IF(ISBLANK(INDEX(FX_Input,$Q175,$AB176)),0.03,INDEX(FX_Input,AB175,#REF!))</f>
        <v>0.03</v>
      </c>
      <c r="H176" cm="1">
        <f t="array" ref="H176">IF(ISBLANK(INDEX(FX_Input,$Q175,$AB176)),0.03,INDEX(FX_Input,#REF!,#REF!))</f>
        <v>0.03</v>
      </c>
      <c r="I176" cm="1">
        <f t="array" ref="I176">IF(ISBLANK(INDEX(FX_Input,$Q175,$AB176)),0.03,INDEX(FX_Input,#REF!,#REF!))</f>
        <v>0.03</v>
      </c>
      <c r="J176" cm="1">
        <f t="array" ref="J176">IF(ISBLANK(INDEX(FX_Input,$Q175,$AB176)),0.03,INDEX(FX_Input,#REF!,#REF!))</f>
        <v>0.03</v>
      </c>
      <c r="K176" cm="1">
        <f t="array" ref="K176">IF(ISBLANK(INDEX(FX_Input,$Q175,$AB176)),0.03,INDEX(FX_Input,#REF!,AC176))</f>
        <v>0.03</v>
      </c>
      <c r="L176" cm="1">
        <f t="array" ref="L176">IF(ISBLANK(INDEX(FX_Input,$Q175,$AB176)),0.03,INDEX(FX_Input,#REF!,AD176))</f>
        <v>0.03</v>
      </c>
      <c r="M176" cm="1">
        <f t="array" ref="M176">IF(ISBLANK(INDEX(FX_Input,$Q175,$AB176)),0.03,INDEX(FX_Input,#REF!,#REF!))</f>
        <v>0.03</v>
      </c>
      <c r="N176" cm="1">
        <f t="array" ref="N176">IF(ISBLANK(INDEX(FX_Input,$Q175,$AB176)),0.03,INDEX(FX_Input,AC175,#REF!))</f>
        <v>0.03</v>
      </c>
      <c r="O176" cm="1">
        <f t="array" ref="O176">IF(ISBLANK(INDEX(FX_Input,$Q175,$AB176)),0.03,INDEX(FX_Input,AD175,#REF!))</f>
        <v>0.03</v>
      </c>
      <c r="AB176">
        <v>15</v>
      </c>
    </row>
    <row r="177" spans="2:32" ht="17.149999999999999" x14ac:dyDescent="0.55000000000000004">
      <c r="B177" t="str">
        <f>B176</f>
        <v>Portland</v>
      </c>
      <c r="C177" t="s">
        <v>565</v>
      </c>
      <c r="D177" cm="1">
        <f t="array" ref="D177">IF(ISBLANK(INDEX(FX_Input,$Q175,$AB177)),-0.03,INDEX(FX_Input,Q175,AB177))</f>
        <v>-0.03</v>
      </c>
      <c r="E177" cm="1">
        <f t="array" ref="E177">IF(ISBLANK(INDEX(FX_Input,$Q175,$AB177)),-0.03,INDEX(FX_Input,R175,#REF!))</f>
        <v>-0.03</v>
      </c>
      <c r="F177" cm="1">
        <f t="array" ref="F177">IF(ISBLANK(INDEX(FX_Input,$Q175,$AB177)),-0.03,INDEX(FX_Input,S175,#REF!))</f>
        <v>-0.03</v>
      </c>
      <c r="G177" cm="1">
        <f t="array" ref="G177">IF(ISBLANK(INDEX(FX_Input,$Q175,$AB177)),-0.03,INDEX(FX_Input,AB175,#REF!))</f>
        <v>-0.03</v>
      </c>
      <c r="H177" cm="1">
        <f t="array" ref="H177">IF(ISBLANK(INDEX(FX_Input,$Q175,$AB177)),-0.03,INDEX(FX_Input,#REF!,#REF!))</f>
        <v>-0.03</v>
      </c>
      <c r="I177" cm="1">
        <f t="array" ref="I177">IF(ISBLANK(INDEX(FX_Input,$Q175,$AB177)),-0.03,INDEX(FX_Input,#REF!,#REF!))</f>
        <v>-0.03</v>
      </c>
      <c r="J177" cm="1">
        <f t="array" ref="J177">IF(ISBLANK(INDEX(FX_Input,$Q175,$AB177)),-0.03,INDEX(FX_Input,#REF!,#REF!))</f>
        <v>-0.03</v>
      </c>
      <c r="K177" cm="1">
        <f t="array" ref="K177">IF(ISBLANK(INDEX(FX_Input,$Q175,$AB177)),-0.03,INDEX(FX_Input,#REF!,AC177))</f>
        <v>-0.03</v>
      </c>
      <c r="L177" cm="1">
        <f t="array" ref="L177">IF(ISBLANK(INDEX(FX_Input,$Q175,$AB177)),-0.03,INDEX(FX_Input,#REF!,AD177))</f>
        <v>-0.03</v>
      </c>
      <c r="M177" cm="1">
        <f t="array" ref="M177">IF(ISBLANK(INDEX(FX_Input,$Q175,$AB177)),-0.03,INDEX(FX_Input,#REF!,#REF!))</f>
        <v>-0.03</v>
      </c>
      <c r="N177" cm="1">
        <f t="array" ref="N177">IF(ISBLANK(INDEX(FX_Input,$Q175,$AB177)),-0.03,INDEX(FX_Input,AC175,#REF!))</f>
        <v>-0.03</v>
      </c>
      <c r="O177" cm="1">
        <f t="array" ref="O177">IF(ISBLANK(INDEX(FX_Input,$Q175,$AB177)),-0.03,INDEX(FX_Input,AD175,#REF!))</f>
        <v>-0.03</v>
      </c>
      <c r="AB177">
        <v>16</v>
      </c>
    </row>
    <row r="178" spans="2:32" x14ac:dyDescent="0.4">
      <c r="B178" t="str">
        <f t="shared" ref="B178:B179" si="530">B177</f>
        <v>Portland</v>
      </c>
      <c r="C178" s="66" t="s">
        <v>567</v>
      </c>
      <c r="D178" t="str" cm="1">
        <f t="array" ref="D178">INDEX(FX_Multi,$AD178,D$3)</f>
        <v>Jet kerosene</v>
      </c>
      <c r="E178" t="str" cm="1">
        <f t="array" ref="E178">INDEX(FX_Multi,$AD178,E$3)</f>
        <v>Jet kerosene</v>
      </c>
      <c r="F178" t="str" cm="1">
        <f t="array" ref="F178">INDEX(FX_Multi,$AD178,F$3)</f>
        <v>Jet kerosene</v>
      </c>
      <c r="G178" t="str" cm="1">
        <f t="array" ref="G178">INDEX(FX_Multi,$AD178,G$3)</f>
        <v>Jet kerosene</v>
      </c>
      <c r="H178" t="str" cm="1">
        <f t="array" ref="H178">INDEX(FX_Multi,$AD178,H$3)</f>
        <v>Jet kerosene</v>
      </c>
      <c r="I178" t="str" cm="1">
        <f t="array" ref="I178">INDEX(FX_Multi,$AD178,I$3)</f>
        <v>Jet kerosene</v>
      </c>
      <c r="J178" t="str" cm="1">
        <f t="array" ref="J178">INDEX(FX_Multi,$AD178,J$3)</f>
        <v>Jet kerosene</v>
      </c>
      <c r="K178" t="str" cm="1">
        <f t="array" ref="K178">INDEX(FX_Multi,$AD178,K$3)</f>
        <v>Jet kerosene</v>
      </c>
      <c r="L178" t="str" cm="1">
        <f t="array" ref="L178">INDEX(FX_Multi,$AD178,L$3)</f>
        <v>Jet kerosene</v>
      </c>
      <c r="M178" t="str" cm="1">
        <f t="array" ref="M178">INDEX(FX_Multi,$AD178,M$3)</f>
        <v>Jet kerosene</v>
      </c>
      <c r="N178" t="str" cm="1">
        <f t="array" ref="N178">INDEX(FX_Multi,$AD178,N$3)</f>
        <v>Jet kerosene</v>
      </c>
      <c r="O178" t="str" cm="1">
        <f t="array" ref="O178">INDEX(FX_Multi,$AD178,O$3)</f>
        <v>Jet kerosene</v>
      </c>
      <c r="AC178">
        <v>1</v>
      </c>
      <c r="AD178">
        <f>AD175</f>
        <v>71</v>
      </c>
      <c r="AE178">
        <v>1</v>
      </c>
      <c r="AF178">
        <f>AF175</f>
        <v>71</v>
      </c>
    </row>
    <row r="179" spans="2:32" x14ac:dyDescent="0.4">
      <c r="B179" t="str">
        <f t="shared" si="530"/>
        <v>Portland</v>
      </c>
      <c r="C179" s="66" t="s">
        <v>566</v>
      </c>
      <c r="D179" t="str" cm="1">
        <f t="array" ref="D179">INDEX(FX_Multi,$AD179,D$3)</f>
        <v>Select Pet Stock</v>
      </c>
      <c r="E179" t="str" cm="1">
        <f t="array" ref="E179">INDEX(FX_Multi,$AD179,E$3)</f>
        <v>Select Pet Stock</v>
      </c>
      <c r="F179" t="str" cm="1">
        <f t="array" ref="F179">INDEX(FX_Multi,$AD179,F$3)</f>
        <v>Select Pet Stock</v>
      </c>
      <c r="G179" t="str" cm="1">
        <f t="array" ref="G179">INDEX(FX_Multi,$AD179,G$3)</f>
        <v>Select Pet Stock</v>
      </c>
      <c r="H179" t="str" cm="1">
        <f t="array" ref="H179">INDEX(FX_Multi,$AD179,H$3)</f>
        <v>Select Pet Stock</v>
      </c>
      <c r="I179" t="str" cm="1">
        <f t="array" ref="I179">INDEX(FX_Multi,$AD179,I$3)</f>
        <v>Select Pet Stock</v>
      </c>
      <c r="J179" t="str" cm="1">
        <f t="array" ref="J179">INDEX(FX_Multi,$AD179,J$3)</f>
        <v>Select Pet Stock</v>
      </c>
      <c r="K179" t="str" cm="1">
        <f t="array" ref="K179">INDEX(FX_Multi,$AD179,K$3)</f>
        <v>Select Pet Stock</v>
      </c>
      <c r="L179" t="str" cm="1">
        <f t="array" ref="L179">INDEX(FX_Multi,$AD179,L$3)</f>
        <v>Select Pet Stock</v>
      </c>
      <c r="M179" t="str" cm="1">
        <f t="array" ref="M179">INDEX(FX_Multi,$AD179,M$3)</f>
        <v>Select Pet Stock</v>
      </c>
      <c r="N179" t="str" cm="1">
        <f t="array" ref="N179">INDEX(FX_Multi,$AD179,N$3)</f>
        <v>Select Pet Stock</v>
      </c>
      <c r="O179" t="str" cm="1">
        <f t="array" ref="O179">INDEX(FX_Multi,$AD179,O$3)</f>
        <v>Select Pet Stock</v>
      </c>
      <c r="AC179">
        <v>1</v>
      </c>
      <c r="AD179">
        <f>AD178+2</f>
        <v>73</v>
      </c>
      <c r="AE179">
        <v>1</v>
      </c>
      <c r="AF179">
        <f>AF178+3</f>
        <v>74</v>
      </c>
    </row>
    <row r="180" spans="2:32" x14ac:dyDescent="0.4">
      <c r="B180" t="str">
        <f>B176</f>
        <v>Portland</v>
      </c>
      <c r="C180" s="66" t="s">
        <v>568</v>
      </c>
      <c r="D180" cm="1">
        <f t="array" ref="D180">INDEX(FX_Multi,$AD180,D$3)</f>
        <v>0</v>
      </c>
      <c r="E180" cm="1">
        <f t="array" ref="E180">INDEX(FX_Multi,$AD180,E$3)</f>
        <v>0</v>
      </c>
      <c r="F180" cm="1">
        <f t="array" ref="F180">INDEX(FX_Multi,$AD180,F$3)</f>
        <v>0</v>
      </c>
      <c r="G180" cm="1">
        <f t="array" ref="G180">INDEX(FX_Multi,$AD180,G$3)</f>
        <v>0</v>
      </c>
      <c r="H180" cm="1">
        <f t="array" ref="H180">INDEX(FX_Multi,$AD180,H$3)</f>
        <v>0</v>
      </c>
      <c r="I180" cm="1">
        <f t="array" ref="I180">INDEX(FX_Multi,$AD180,I$3)</f>
        <v>0</v>
      </c>
      <c r="J180" cm="1">
        <f t="array" ref="J180">INDEX(FX_Multi,$AD180,J$3)</f>
        <v>0</v>
      </c>
      <c r="K180" cm="1">
        <f t="array" ref="K180">INDEX(FX_Multi,$AD180,K$3)</f>
        <v>0</v>
      </c>
      <c r="L180" cm="1">
        <f t="array" ref="L180">INDEX(FX_Multi,$AD180,L$3)</f>
        <v>0</v>
      </c>
      <c r="M180" cm="1">
        <f t="array" ref="M180">INDEX(FX_Multi,$AD180,M$3)</f>
        <v>0</v>
      </c>
      <c r="N180" cm="1">
        <f t="array" ref="N180">INDEX(FX_Multi,$AD180,N$3)</f>
        <v>0</v>
      </c>
      <c r="O180" cm="1">
        <f t="array" ref="O180">INDEX(FX_Multi,$AD180,O$3)</f>
        <v>0</v>
      </c>
      <c r="AC180">
        <v>1</v>
      </c>
      <c r="AD180">
        <f>AD179-1</f>
        <v>72</v>
      </c>
      <c r="AE180">
        <v>1</v>
      </c>
      <c r="AF180">
        <f>AF178+1</f>
        <v>72</v>
      </c>
    </row>
    <row r="181" spans="2:32" x14ac:dyDescent="0.4">
      <c r="B181" t="str">
        <f t="shared" ref="B181:B185" si="531">B180</f>
        <v>Portland</v>
      </c>
      <c r="C181" s="66" t="s">
        <v>569</v>
      </c>
      <c r="D181" cm="1">
        <f t="array" ref="D181">INDEX(FX_Multi,$AD181,D$3)</f>
        <v>0</v>
      </c>
      <c r="E181" cm="1">
        <f t="array" ref="E181">INDEX(FX_Multi,$AD181,E$3)</f>
        <v>0</v>
      </c>
      <c r="F181" cm="1">
        <f t="array" ref="F181">INDEX(FX_Multi,$AD181,F$3)</f>
        <v>0</v>
      </c>
      <c r="G181" cm="1">
        <f t="array" ref="G181">INDEX(FX_Multi,$AD181,G$3)</f>
        <v>0</v>
      </c>
      <c r="H181" cm="1">
        <f t="array" ref="H181">INDEX(FX_Multi,$AD181,H$3)</f>
        <v>0</v>
      </c>
      <c r="I181" cm="1">
        <f t="array" ref="I181">INDEX(FX_Multi,$AD181,I$3)</f>
        <v>0</v>
      </c>
      <c r="J181" cm="1">
        <f t="array" ref="J181">INDEX(FX_Multi,$AD181,J$3)</f>
        <v>0</v>
      </c>
      <c r="K181" cm="1">
        <f t="array" ref="K181">INDEX(FX_Multi,$AD181,K$3)</f>
        <v>0</v>
      </c>
      <c r="L181" cm="1">
        <f t="array" ref="L181">INDEX(FX_Multi,$AD181,L$3)</f>
        <v>0</v>
      </c>
      <c r="M181" cm="1">
        <f t="array" ref="M181">INDEX(FX_Multi,$AD181,M$3)</f>
        <v>0</v>
      </c>
      <c r="N181" cm="1">
        <f t="array" ref="N181">INDEX(FX_Multi,$AD181,N$3)</f>
        <v>0</v>
      </c>
      <c r="O181" cm="1">
        <f t="array" ref="O181">INDEX(FX_Multi,$AD181,O$3)</f>
        <v>0</v>
      </c>
      <c r="AC181">
        <v>1</v>
      </c>
      <c r="AD181">
        <f>AD180+2</f>
        <v>74</v>
      </c>
      <c r="AE181">
        <v>1</v>
      </c>
      <c r="AF181">
        <f>AF179</f>
        <v>74</v>
      </c>
    </row>
    <row r="182" spans="2:32" ht="17.149999999999999" x14ac:dyDescent="0.55000000000000004">
      <c r="B182" t="str">
        <f t="shared" si="531"/>
        <v>Portland</v>
      </c>
      <c r="C182" t="s">
        <v>570</v>
      </c>
      <c r="D182" cm="1">
        <f t="array" ref="D182">INDEX(FX_Multi,$AD182,D$3)</f>
        <v>1</v>
      </c>
      <c r="E182" cm="1">
        <f t="array" ref="E182">INDEX(FX_Multi,$AD182,E$3)</f>
        <v>1</v>
      </c>
      <c r="F182" cm="1">
        <f t="array" ref="F182">INDEX(FX_Multi,$AD182,F$3)</f>
        <v>1</v>
      </c>
      <c r="G182" cm="1">
        <f t="array" ref="G182">INDEX(FX_Multi,$AD182,G$3)</f>
        <v>1</v>
      </c>
      <c r="H182" cm="1">
        <f t="array" ref="H182">INDEX(FX_Multi,$AD182,H$3)</f>
        <v>1</v>
      </c>
      <c r="I182" cm="1">
        <f t="array" ref="I182">INDEX(FX_Multi,$AD182,I$3)</f>
        <v>1</v>
      </c>
      <c r="J182" cm="1">
        <f t="array" ref="J182">INDEX(FX_Multi,$AD182,J$3)</f>
        <v>1</v>
      </c>
      <c r="K182" cm="1">
        <f t="array" ref="K182">INDEX(FX_Multi,$AD182,K$3)</f>
        <v>1</v>
      </c>
      <c r="L182" cm="1">
        <f t="array" ref="L182">INDEX(FX_Multi,$AD182,L$3)</f>
        <v>1</v>
      </c>
      <c r="M182" cm="1">
        <f t="array" ref="M182">INDEX(FX_Multi,$AD182,M$3)</f>
        <v>1</v>
      </c>
      <c r="N182" cm="1">
        <f t="array" ref="N182">INDEX(FX_Multi,$AD182,N$3)</f>
        <v>1</v>
      </c>
      <c r="O182" cm="1">
        <f t="array" ref="O182">INDEX(FX_Multi,$AD182,O$3)</f>
        <v>1</v>
      </c>
      <c r="AC182">
        <v>1</v>
      </c>
      <c r="AD182">
        <f>AD181+6</f>
        <v>80</v>
      </c>
      <c r="AE182">
        <v>1</v>
      </c>
      <c r="AF182">
        <f>AF178+9</f>
        <v>80</v>
      </c>
    </row>
    <row r="183" spans="2:32" ht="17.149999999999999" x14ac:dyDescent="0.55000000000000004">
      <c r="B183" t="str">
        <f t="shared" si="531"/>
        <v>Portland</v>
      </c>
      <c r="C183" t="s">
        <v>571</v>
      </c>
      <c r="D183" cm="1">
        <f t="array" ref="D183">INDEX(FX_Multi,$AD183,D$3)</f>
        <v>162</v>
      </c>
      <c r="E183" cm="1">
        <f t="array" ref="E183">INDEX(FX_Multi,$AD183,E$3)</f>
        <v>162</v>
      </c>
      <c r="F183" cm="1">
        <f t="array" ref="F183">INDEX(FX_Multi,$AD183,F$3)</f>
        <v>162</v>
      </c>
      <c r="G183" cm="1">
        <f t="array" ref="G183">INDEX(FX_Multi,$AD183,G$3)</f>
        <v>162</v>
      </c>
      <c r="H183" cm="1">
        <f t="array" ref="H183">INDEX(FX_Multi,$AD183,H$3)</f>
        <v>162</v>
      </c>
      <c r="I183" cm="1">
        <f t="array" ref="I183">INDEX(FX_Multi,$AD183,I$3)</f>
        <v>162</v>
      </c>
      <c r="J183" cm="1">
        <f t="array" ref="J183">INDEX(FX_Multi,$AD183,J$3)</f>
        <v>162</v>
      </c>
      <c r="K183" cm="1">
        <f t="array" ref="K183">INDEX(FX_Multi,$AD183,K$3)</f>
        <v>162</v>
      </c>
      <c r="L183" cm="1">
        <f t="array" ref="L183">INDEX(FX_Multi,$AD183,L$3)</f>
        <v>162</v>
      </c>
      <c r="M183" cm="1">
        <f t="array" ref="M183">INDEX(FX_Multi,$AD183,M$3)</f>
        <v>162</v>
      </c>
      <c r="N183" cm="1">
        <f t="array" ref="N183">INDEX(FX_Multi,$AD183,N$3)</f>
        <v>162</v>
      </c>
      <c r="O183" cm="1">
        <f t="array" ref="O183">INDEX(FX_Multi,$AD183,O$3)</f>
        <v>162</v>
      </c>
      <c r="AC183">
        <v>1</v>
      </c>
      <c r="AD183">
        <f>AD182-3</f>
        <v>77</v>
      </c>
      <c r="AE183">
        <v>1</v>
      </c>
      <c r="AF183">
        <f>AF178+6</f>
        <v>77</v>
      </c>
    </row>
    <row r="184" spans="2:32" ht="17.149999999999999" x14ac:dyDescent="0.55000000000000004">
      <c r="B184" t="str">
        <f t="shared" si="531"/>
        <v>Portland</v>
      </c>
      <c r="C184" t="s">
        <v>572</v>
      </c>
      <c r="D184" cm="1">
        <f t="array" ref="D184">INDEX(FX_Multi,$AD184,D$3)</f>
        <v>0</v>
      </c>
      <c r="E184" cm="1">
        <f t="array" ref="E184">INDEX(FX_Multi,$AD184,E$3)</f>
        <v>0</v>
      </c>
      <c r="F184" cm="1">
        <f t="array" ref="F184">INDEX(FX_Multi,$AD184,F$3)</f>
        <v>0</v>
      </c>
      <c r="G184" cm="1">
        <f t="array" ref="G184">INDEX(FX_Multi,$AD184,G$3)</f>
        <v>0</v>
      </c>
      <c r="H184" cm="1">
        <f t="array" ref="H184">INDEX(FX_Multi,$AD184,H$3)</f>
        <v>0</v>
      </c>
      <c r="I184" cm="1">
        <f t="array" ref="I184">INDEX(FX_Multi,$AD184,I$3)</f>
        <v>0</v>
      </c>
      <c r="J184" cm="1">
        <f t="array" ref="J184">INDEX(FX_Multi,$AD184,J$3)</f>
        <v>0</v>
      </c>
      <c r="K184" cm="1">
        <f t="array" ref="K184">INDEX(FX_Multi,$AD184,K$3)</f>
        <v>0</v>
      </c>
      <c r="L184" cm="1">
        <f t="array" ref="L184">INDEX(FX_Multi,$AD184,L$3)</f>
        <v>0</v>
      </c>
      <c r="M184" cm="1">
        <f t="array" ref="M184">INDEX(FX_Multi,$AD184,M$3)</f>
        <v>0</v>
      </c>
      <c r="N184" cm="1">
        <f t="array" ref="N184">INDEX(FX_Multi,$AD184,N$3)</f>
        <v>0</v>
      </c>
      <c r="O184" cm="1">
        <f t="array" ref="O184">INDEX(FX_Multi,$AD184,O$3)</f>
        <v>0</v>
      </c>
      <c r="AC184">
        <v>1</v>
      </c>
      <c r="AD184">
        <f>AD183+4</f>
        <v>81</v>
      </c>
      <c r="AE184">
        <v>1</v>
      </c>
      <c r="AF184">
        <f>AF178+10</f>
        <v>81</v>
      </c>
    </row>
    <row r="185" spans="2:32" ht="17.149999999999999" x14ac:dyDescent="0.55000000000000004">
      <c r="B185" t="str">
        <f t="shared" si="531"/>
        <v>Portland</v>
      </c>
      <c r="C185" t="s">
        <v>573</v>
      </c>
      <c r="D185" cm="1">
        <f t="array" ref="D185">INDEX(FX_Multi,$AD185,D$3)</f>
        <v>0</v>
      </c>
      <c r="E185" cm="1">
        <f t="array" ref="E185">INDEX(FX_Multi,$AD185,E$3)</f>
        <v>0</v>
      </c>
      <c r="F185" cm="1">
        <f t="array" ref="F185">INDEX(FX_Multi,$AD185,F$3)</f>
        <v>0</v>
      </c>
      <c r="G185" cm="1">
        <f t="array" ref="G185">INDEX(FX_Multi,$AD185,G$3)</f>
        <v>0</v>
      </c>
      <c r="H185" cm="1">
        <f t="array" ref="H185">INDEX(FX_Multi,$AD185,H$3)</f>
        <v>0</v>
      </c>
      <c r="I185" cm="1">
        <f t="array" ref="I185">INDEX(FX_Multi,$AD185,I$3)</f>
        <v>0</v>
      </c>
      <c r="J185" cm="1">
        <f t="array" ref="J185">INDEX(FX_Multi,$AD185,J$3)</f>
        <v>0</v>
      </c>
      <c r="K185" cm="1">
        <f t="array" ref="K185">INDEX(FX_Multi,$AD185,K$3)</f>
        <v>0</v>
      </c>
      <c r="L185" cm="1">
        <f t="array" ref="L185">INDEX(FX_Multi,$AD185,L$3)</f>
        <v>0</v>
      </c>
      <c r="M185" cm="1">
        <f t="array" ref="M185">INDEX(FX_Multi,$AD185,M$3)</f>
        <v>0</v>
      </c>
      <c r="N185" cm="1">
        <f t="array" ref="N185">INDEX(FX_Multi,$AD185,N$3)</f>
        <v>0</v>
      </c>
      <c r="O185" cm="1">
        <f t="array" ref="O185">INDEX(FX_Multi,$AD185,O$3)</f>
        <v>0</v>
      </c>
      <c r="AC185">
        <v>1</v>
      </c>
      <c r="AD185">
        <f>AD184-3</f>
        <v>78</v>
      </c>
      <c r="AE185">
        <v>1</v>
      </c>
      <c r="AF185">
        <f>AF178+7</f>
        <v>78</v>
      </c>
    </row>
    <row r="186" spans="2:32" ht="17.149999999999999" x14ac:dyDescent="0.55000000000000004">
      <c r="B186" t="str">
        <f>B181</f>
        <v>Portland</v>
      </c>
      <c r="C186" t="s">
        <v>526</v>
      </c>
      <c r="D186" cm="1">
        <f t="array" ref="D186">INDEX(FX_Temps,$AF186,D$3)</f>
        <v>43.899999999999977</v>
      </c>
      <c r="E186" cm="1">
        <f t="array" ref="E186">INDEX(FX_Temps,$AF186,E$3)</f>
        <v>44.700000000000045</v>
      </c>
      <c r="F186" cm="1">
        <f t="array" ref="F186">INDEX(FX_Temps,$AF186,F$3)</f>
        <v>46.100000000000023</v>
      </c>
      <c r="G186" cm="1">
        <f t="array" ref="G186">INDEX(FX_Temps,$AF186,G$3)</f>
        <v>48.599999999999966</v>
      </c>
      <c r="H186" cm="1">
        <f t="array" ref="H186">INDEX(FX_Temps,$AF186,H$3)</f>
        <v>53.149999999999977</v>
      </c>
      <c r="I186" cm="1">
        <f t="array" ref="I186">INDEX(FX_Temps,$AF186,I$3)</f>
        <v>56.950000000000045</v>
      </c>
      <c r="J186" cm="1">
        <f t="array" ref="J186">INDEX(FX_Temps,$AF186,J$3)</f>
        <v>60.449999999999932</v>
      </c>
      <c r="K186" cm="1">
        <f t="array" ref="K186">INDEX(FX_Temps,$AF186,K$3)</f>
        <v>60.899999999999977</v>
      </c>
      <c r="L186" cm="1">
        <f t="array" ref="L186">INDEX(FX_Temps,$AF186,L$3)</f>
        <v>58.600000000000023</v>
      </c>
      <c r="M186" cm="1">
        <f t="array" ref="M186">INDEX(FX_Temps,$AF186,M$3)</f>
        <v>52.649999999999977</v>
      </c>
      <c r="N186" cm="1">
        <f t="array" ref="N186">INDEX(FX_Temps,$AF186,N$3)</f>
        <v>47.100000000000023</v>
      </c>
      <c r="O186" cm="1">
        <f t="array" ref="O186">INDEX(FX_Temps,$AF186,O$3)</f>
        <v>43.600000000000023</v>
      </c>
      <c r="AE186">
        <v>1</v>
      </c>
      <c r="AF186">
        <f>AF178+10</f>
        <v>81</v>
      </c>
    </row>
    <row r="187" spans="2:32" ht="17.149999999999999" x14ac:dyDescent="0.55000000000000004">
      <c r="B187" t="str">
        <f t="shared" ref="B187:B208" si="532">B186</f>
        <v>Portland</v>
      </c>
      <c r="C187" t="s">
        <v>527</v>
      </c>
      <c r="D187" cm="1">
        <f t="array" ref="D187">INDEX(FX_Temps,$AF187,D$3)</f>
        <v>43.899999999999977</v>
      </c>
      <c r="E187" cm="1">
        <f t="array" ref="E187">INDEX(FX_Temps,$AF187,E$3)</f>
        <v>44.700000000000045</v>
      </c>
      <c r="F187" cm="1">
        <f t="array" ref="F187">INDEX(FX_Temps,$AF187,F$3)</f>
        <v>46.100000000000023</v>
      </c>
      <c r="G187" cm="1">
        <f t="array" ref="G187">INDEX(FX_Temps,$AF187,G$3)</f>
        <v>48.599999999999966</v>
      </c>
      <c r="H187" cm="1">
        <f t="array" ref="H187">INDEX(FX_Temps,$AF187,H$3)</f>
        <v>53.149999999999977</v>
      </c>
      <c r="I187" cm="1">
        <f t="array" ref="I187">INDEX(FX_Temps,$AF187,I$3)</f>
        <v>56.950000000000045</v>
      </c>
      <c r="J187" cm="1">
        <f t="array" ref="J187">INDEX(FX_Temps,$AF187,J$3)</f>
        <v>60.449999999999932</v>
      </c>
      <c r="K187" cm="1">
        <f t="array" ref="K187">INDEX(FX_Temps,$AF187,K$3)</f>
        <v>60.899999999999977</v>
      </c>
      <c r="L187" cm="1">
        <f t="array" ref="L187">INDEX(FX_Temps,$AF187,L$3)</f>
        <v>58.600000000000023</v>
      </c>
      <c r="M187" cm="1">
        <f t="array" ref="M187">INDEX(FX_Temps,$AF187,M$3)</f>
        <v>52.649999999999977</v>
      </c>
      <c r="N187" cm="1">
        <f t="array" ref="N187">INDEX(FX_Temps,$AF187,N$3)</f>
        <v>47.100000000000023</v>
      </c>
      <c r="O187" cm="1">
        <f t="array" ref="O187">INDEX(FX_Temps,$AF187,O$3)</f>
        <v>43.600000000000023</v>
      </c>
      <c r="AE187">
        <f>AE186</f>
        <v>1</v>
      </c>
      <c r="AF187">
        <f>AF178+11</f>
        <v>82</v>
      </c>
    </row>
    <row r="188" spans="2:32" ht="17.149999999999999" x14ac:dyDescent="0.55000000000000004">
      <c r="B188" t="str">
        <f t="shared" si="532"/>
        <v>Portland</v>
      </c>
      <c r="C188" t="s">
        <v>552</v>
      </c>
      <c r="D188" cm="1">
        <f t="array" ref="D188">INDEX(FX_Temps,$AF188,D$3)</f>
        <v>43.899999999999977</v>
      </c>
      <c r="E188" cm="1">
        <f t="array" ref="E188">INDEX(FX_Temps,$AF188,E$3)</f>
        <v>44.700000000000045</v>
      </c>
      <c r="F188" cm="1">
        <f t="array" ref="F188">INDEX(FX_Temps,$AF188,F$3)</f>
        <v>46.100000000000023</v>
      </c>
      <c r="G188" cm="1">
        <f t="array" ref="G188">INDEX(FX_Temps,$AF188,G$3)</f>
        <v>48.599999999999966</v>
      </c>
      <c r="H188" cm="1">
        <f t="array" ref="H188">INDEX(FX_Temps,$AF188,H$3)</f>
        <v>53.149999999999977</v>
      </c>
      <c r="I188" cm="1">
        <f t="array" ref="I188">INDEX(FX_Temps,$AF188,I$3)</f>
        <v>56.950000000000045</v>
      </c>
      <c r="J188" cm="1">
        <f t="array" ref="J188">INDEX(FX_Temps,$AF188,J$3)</f>
        <v>60.449999999999932</v>
      </c>
      <c r="K188" cm="1">
        <f t="array" ref="K188">INDEX(FX_Temps,$AF188,K$3)</f>
        <v>60.899999999999977</v>
      </c>
      <c r="L188" cm="1">
        <f t="array" ref="L188">INDEX(FX_Temps,$AF188,L$3)</f>
        <v>58.600000000000023</v>
      </c>
      <c r="M188" cm="1">
        <f t="array" ref="M188">INDEX(FX_Temps,$AF188,M$3)</f>
        <v>52.649999999999977</v>
      </c>
      <c r="N188" cm="1">
        <f t="array" ref="N188">INDEX(FX_Temps,$AF188,N$3)</f>
        <v>47.100000000000023</v>
      </c>
      <c r="O188" cm="1">
        <f t="array" ref="O188">INDEX(FX_Temps,$AF188,O$3)</f>
        <v>43.600000000000023</v>
      </c>
      <c r="AE188">
        <f>AE187</f>
        <v>1</v>
      </c>
      <c r="AF188">
        <f>AF178+13</f>
        <v>84</v>
      </c>
    </row>
    <row r="189" spans="2:32" ht="17.149999999999999" x14ac:dyDescent="0.55000000000000004">
      <c r="B189" t="str">
        <f t="shared" si="532"/>
        <v>Portland</v>
      </c>
      <c r="C189" t="s">
        <v>574</v>
      </c>
      <c r="D189" cm="1">
        <f t="array" ref="D189">IFERROR(IF(D179="Chemical",(10^(INDEX(Antoines,MATCH(D178,Antoine_Name,0),2)-INDEX(Antoines,MATCH(D178,Antoine_Name,0),3)/(INDEX(Antoines,MATCH(D178,Antoine_Name,0),4)+(D186-32)*5/9)))*14.7/760,IF(D179="Crude Oil",EXP((2799/(D186+459.6)-2.227)*LOG10(INDEX(FX_Input,Q$5,D$3*$Z$5+$AA$5))-(7261/(D186+459.6))+12.82),IF(D179="Refined Petroleum Stock",EXP((0.7553-(413/(D186+459.6)))*(INDEX(FX_Input,Q$5,D$3*$Z$5+$AA$5-1)^0.5)*LOG10(INDEX(FX_Input,Q$5,D$3*$Z$5+$AA$5))-(1.854-(1042/(D186+459.6)))*(INDEX(FX_Input,Q$5,D$3*$Z$5+$AA$5-1)^0.5)+((2416/(D186+459.6)-2.013)*LOG10(INDEX(FX_Input,Q$5,D$3*$Z$5+$AA$5)))-(8742/(D186+459.6))+15.64),EXP(INDEX(Antoines,MATCH(D178,Antoine_Name,0),2)-INDEX(Antoines,MATCH(D178,Antoine_Name,0),3)/(D186+459.6))))),0)</f>
        <v>4.739577185808354E-3</v>
      </c>
      <c r="E189" cm="1">
        <f t="array" ref="E189">IFERROR(IF(E179="Chemical",(10^(INDEX(Antoines,MATCH(E178,Antoine_Name,0),2)-INDEX(Antoines,MATCH(E178,Antoine_Name,0),3)/(INDEX(Antoines,MATCH(E178,Antoine_Name,0),4)+(E186-32)*5/9)))*14.7/760,IF(E179="Crude Oil",EXP((2799/(E186+459.6)-2.227)*LOG10(INDEX(FX_Input,R$5,E$3*$Z$5+$AA$5))-(7261/(E186+459.6))+12.82),IF(E179="Refined Petroleum Stock",EXP((0.7553-(413/(E186+459.6)))*(INDEX(FX_Input,R$5,E$3*$Z$5+$AA$5-1)^0.5)*LOG10(INDEX(FX_Input,R$5,E$3*$Z$5+$AA$5))-(1.854-(1042/(E186+459.6)))*(INDEX(FX_Input,R$5,E$3*$Z$5+$AA$5-1)^0.5)+((2416/(E186+459.6)-2.013)*LOG10(INDEX(FX_Input,R$5,E$3*$Z$5+$AA$5)))-(8742/(E186+459.6))+15.64),EXP(INDEX(Antoines,MATCH(E178,Antoine_Name,0),2)-INDEX(Antoines,MATCH(E178,Antoine_Name,0),3)/(E186+459.6))))),0)</f>
        <v>4.8748667780818778E-3</v>
      </c>
      <c r="F189" cm="1">
        <f t="array" ref="F189">IFERROR(IF(F179="Chemical",(10^(INDEX(Antoines,MATCH(F178,Antoine_Name,0),2)-INDEX(Antoines,MATCH(F178,Antoine_Name,0),3)/(INDEX(Antoines,MATCH(F178,Antoine_Name,0),4)+(F186-32)*5/9)))*14.7/760,IF(F179="Crude Oil",EXP((2799/(F186+459.6)-2.227)*LOG10(INDEX(FX_Input,S$5,F$3*$Z$5+$AA$5))-(7261/(F186+459.6))+12.82),IF(F179="Refined Petroleum Stock",EXP((0.7553-(413/(F186+459.6)))*(INDEX(FX_Input,S$5,F$3*$Z$5+$AA$5-1)^0.5)*LOG10(INDEX(FX_Input,S$5,F$3*$Z$5+$AA$5))-(1.854-(1042/(F186+459.6)))*(INDEX(FX_Input,S$5,F$3*$Z$5+$AA$5-1)^0.5)+((2416/(F186+459.6)-2.013)*LOG10(INDEX(FX_Input,S$5,F$3*$Z$5+$AA$5)))-(8742/(F186+459.6))+15.64),EXP(INDEX(Antoines,MATCH(F178,Antoine_Name,0),2)-INDEX(Antoines,MATCH(F178,Antoine_Name,0),3)/(F186+459.6))))),0)</f>
        <v>5.119885034186122E-3</v>
      </c>
      <c r="G189" cm="1">
        <f t="array" ref="G189">IFERROR(IF(G179="Chemical",(10^(INDEX(Antoines,MATCH(G178,Antoine_Name,0),2)-INDEX(Antoines,MATCH(G178,Antoine_Name,0),3)/(INDEX(Antoines,MATCH(G178,Antoine_Name,0),4)+(G186-32)*5/9)))*14.7/760,IF(G179="Crude Oil",EXP((2799/(G186+459.6)-2.227)*LOG10(INDEX(FX_Input,T$5,G$3*$Z$5+$AA$5))-(7261/(G186+459.6))+12.82),IF(G179="Refined Petroleum Stock",EXP((0.7553-(413/(G186+459.6)))*(INDEX(FX_Input,T$5,G$3*$Z$5+$AA$5-1)^0.5)*LOG10(INDEX(FX_Input,T$5,G$3*$Z$5+$AA$5))-(1.854-(1042/(G186+459.6)))*(INDEX(FX_Input,T$5,G$3*$Z$5+$AA$5-1)^0.5)+((2416/(G186+459.6)-2.013)*LOG10(INDEX(FX_Input,T$5,G$3*$Z$5+$AA$5)))-(8742/(G186+459.6))+15.64),EXP(INDEX(Antoines,MATCH(G178,Antoine_Name,0),2)-INDEX(Antoines,MATCH(G178,Antoine_Name,0),3)/(G186+459.6))))),0)</f>
        <v>5.5846958573521795E-3</v>
      </c>
      <c r="H189" cm="1">
        <f t="array" ref="H189">IFERROR(IF(H179="Chemical",(10^(INDEX(Antoines,MATCH(H178,Antoine_Name,0),2)-INDEX(Antoines,MATCH(H178,Antoine_Name,0),3)/(INDEX(Antoines,MATCH(H178,Antoine_Name,0),4)+(H186-32)*5/9)))*14.7/760,IF(H179="Crude Oil",EXP((2799/(H186+459.6)-2.227)*LOG10(INDEX(FX_Input,U$5,H$3*$Z$5+$AA$5))-(7261/(H186+459.6))+12.82),IF(H179="Refined Petroleum Stock",EXP((0.7553-(413/(H186+459.6)))*(INDEX(FX_Input,U$5,H$3*$Z$5+$AA$5-1)^0.5)*LOG10(INDEX(FX_Input,U$5,H$3*$Z$5+$AA$5))-(1.854-(1042/(H186+459.6)))*(INDEX(FX_Input,U$5,H$3*$Z$5+$AA$5-1)^0.5)+((2416/(H186+459.6)-2.013)*LOG10(INDEX(FX_Input,U$5,H$3*$Z$5+$AA$5)))-(8742/(H186+459.6))+15.64),EXP(INDEX(Antoines,MATCH(H178,Antoine_Name,0),2)-INDEX(Antoines,MATCH(H178,Antoine_Name,0),3)/(H186+459.6))))),0)</f>
        <v>6.5274070972739821E-3</v>
      </c>
      <c r="I189" cm="1">
        <f t="array" ref="I189">IFERROR(IF(I179="Chemical",(10^(INDEX(Antoines,MATCH(I178,Antoine_Name,0),2)-INDEX(Antoines,MATCH(I178,Antoine_Name,0),3)/(INDEX(Antoines,MATCH(I178,Antoine_Name,0),4)+(I186-32)*5/9)))*14.7/760,IF(I179="Crude Oil",EXP((2799/(I186+459.6)-2.227)*LOG10(INDEX(FX_Input,V$5,I$3*$Z$5+$AA$5))-(7261/(I186+459.6))+12.82),IF(I179="Refined Petroleum Stock",EXP((0.7553-(413/(I186+459.6)))*(INDEX(FX_Input,V$5,I$3*$Z$5+$AA$5-1)^0.5)*LOG10(INDEX(FX_Input,V$5,I$3*$Z$5+$AA$5))-(1.854-(1042/(I186+459.6)))*(INDEX(FX_Input,V$5,I$3*$Z$5+$AA$5-1)^0.5)+((2416/(I186+459.6)-2.013)*LOG10(INDEX(FX_Input,V$5,I$3*$Z$5+$AA$5)))-(8742/(I186+459.6))+15.64),EXP(INDEX(Antoines,MATCH(I178,Antoine_Name,0),2)-INDEX(Antoines,MATCH(I178,Antoine_Name,0),3)/(I186+459.6))))),0)</f>
        <v>7.4199539958878279E-3</v>
      </c>
      <c r="J189" cm="1">
        <f t="array" ref="J189">IFERROR(IF(J179="Chemical",(10^(INDEX(Antoines,MATCH(J178,Antoine_Name,0),2)-INDEX(Antoines,MATCH(J178,Antoine_Name,0),3)/(INDEX(Antoines,MATCH(J178,Antoine_Name,0),4)+(J186-32)*5/9)))*14.7/760,IF(J179="Crude Oil",EXP((2799/(J186+459.6)-2.227)*LOG10(INDEX(FX_Input,W$5,J$3*$Z$5+$AA$5))-(7261/(J186+459.6))+12.82),IF(J179="Refined Petroleum Stock",EXP((0.7553-(413/(J186+459.6)))*(INDEX(FX_Input,W$5,J$3*$Z$5+$AA$5-1)^0.5)*LOG10(INDEX(FX_Input,W$5,J$3*$Z$5+$AA$5))-(1.854-(1042/(J186+459.6)))*(INDEX(FX_Input,W$5,J$3*$Z$5+$AA$5-1)^0.5)+((2416/(J186+459.6)-2.013)*LOG10(INDEX(FX_Input,W$5,J$3*$Z$5+$AA$5)))-(8742/(J186+459.6))+15.64),EXP(INDEX(Antoines,MATCH(J178,Antoine_Name,0),2)-INDEX(Antoines,MATCH(J178,Antoine_Name,0),3)/(J186+459.6))))),0)</f>
        <v>8.3358107202842254E-3</v>
      </c>
      <c r="K189" cm="1">
        <f t="array" ref="K189">IFERROR(IF(K179="Chemical",(10^(INDEX(Antoines,MATCH(K178,Antoine_Name,0),2)-INDEX(Antoines,MATCH(K178,Antoine_Name,0),3)/(INDEX(Antoines,MATCH(K178,Antoine_Name,0),4)+(K186-32)*5/9)))*14.7/760,IF(K179="Crude Oil",EXP((2799/(K186+459.6)-2.227)*LOG10(INDEX(FX_Input,X$5,K$3*$Z$5+$AA$5))-(7261/(K186+459.6))+12.82),IF(K179="Refined Petroleum Stock",EXP((0.7553-(413/(K186+459.6)))*(INDEX(FX_Input,X$5,K$3*$Z$5+$AA$5-1)^0.5)*LOG10(INDEX(FX_Input,X$5,K$3*$Z$5+$AA$5))-(1.854-(1042/(K186+459.6)))*(INDEX(FX_Input,X$5,K$3*$Z$5+$AA$5-1)^0.5)+((2416/(K186+459.6)-2.013)*LOG10(INDEX(FX_Input,X$5,K$3*$Z$5+$AA$5)))-(8742/(K186+459.6))+15.64),EXP(INDEX(Antoines,MATCH(K178,Antoine_Name,0),2)-INDEX(Antoines,MATCH(K178,Antoine_Name,0),3)/(K186+459.6))))),0)</f>
        <v>8.4605262729351115E-3</v>
      </c>
      <c r="L189" cm="1">
        <f t="array" ref="L189">IFERROR(IF(L179="Chemical",(10^(INDEX(Antoines,MATCH(L178,Antoine_Name,0),2)-INDEX(Antoines,MATCH(L178,Antoine_Name,0),3)/(INDEX(Antoines,MATCH(L178,Antoine_Name,0),4)+(L186-32)*5/9)))*14.7/760,IF(L179="Crude Oil",EXP((2799/(L186+459.6)-2.227)*LOG10(INDEX(FX_Input,Y$5,L$3*$Z$5+$AA$5))-(7261/(L186+459.6))+12.82),IF(L179="Refined Petroleum Stock",EXP((0.7553-(413/(L186+459.6)))*(INDEX(FX_Input,Y$5,L$3*$Z$5+$AA$5-1)^0.5)*LOG10(INDEX(FX_Input,Y$5,L$3*$Z$5+$AA$5))-(1.854-(1042/(L186+459.6)))*(INDEX(FX_Input,Y$5,L$3*$Z$5+$AA$5-1)^0.5)+((2416/(L186+459.6)-2.013)*LOG10(INDEX(FX_Input,Y$5,L$3*$Z$5+$AA$5)))-(8742/(L186+459.6))+15.64),EXP(INDEX(Antoines,MATCH(L178,Antoine_Name,0),2)-INDEX(Antoines,MATCH(L178,Antoine_Name,0),3)/(L186+459.6))))),0)</f>
        <v>7.8399882233967533E-3</v>
      </c>
      <c r="M189" cm="1">
        <f t="array" ref="M189">IFERROR(IF(M179="Chemical",(10^(INDEX(Antoines,MATCH(M178,Antoine_Name,0),2)-INDEX(Antoines,MATCH(M178,Antoine_Name,0),3)/(INDEX(Antoines,MATCH(M178,Antoine_Name,0),4)+(M186-32)*5/9)))*14.7/760,IF(M179="Crude Oil",EXP((2799/(M186+459.6)-2.227)*LOG10(INDEX(FX_Input,Z$5,M$3*$Z$5+$AA$5))-(7261/(M186+459.6))+12.82),IF(M179="Refined Petroleum Stock",EXP((0.7553-(413/(M186+459.6)))*(INDEX(FX_Input,Z$5,M$3*$Z$5+$AA$5-1)^0.5)*LOG10(INDEX(FX_Input,Z$5,M$3*$Z$5+$AA$5))-(1.854-(1042/(M186+459.6)))*(INDEX(FX_Input,Z$5,M$3*$Z$5+$AA$5-1)^0.5)+((2416/(M186+459.6)-2.013)*LOG10(INDEX(FX_Input,Z$5,M$3*$Z$5+$AA$5)))-(8742/(M186+459.6))+15.64),EXP(INDEX(Antoines,MATCH(M178,Antoine_Name,0),2)-INDEX(Antoines,MATCH(M178,Antoine_Name,0),3)/(M186+459.6))))),0)</f>
        <v>6.4173462075160911E-3</v>
      </c>
      <c r="N189" cm="1">
        <f t="array" ref="N189">IFERROR(IF(N179="Chemical",(10^(INDEX(Antoines,MATCH(N178,Antoine_Name,0),2)-INDEX(Antoines,MATCH(N178,Antoine_Name,0),3)/(INDEX(Antoines,MATCH(N178,Antoine_Name,0),4)+(N186-32)*5/9)))*14.7/760,IF(N179="Crude Oil",EXP((2799/(N186+459.6)-2.227)*LOG10(INDEX(FX_Input,AA$5,N$3*$Z$5+$AA$5))-(7261/(N186+459.6))+12.82),IF(N179="Refined Petroleum Stock",EXP((0.7553-(413/(N186+459.6)))*(INDEX(FX_Input,AA$5,N$3*$Z$5+$AA$5-1)^0.5)*LOG10(INDEX(FX_Input,AA$5,N$3*$Z$5+$AA$5))-(1.854-(1042/(N186+459.6)))*(INDEX(FX_Input,AA$5,N$3*$Z$5+$AA$5-1)^0.5)+((2416/(N186+459.6)-2.013)*LOG10(INDEX(FX_Input,AA$5,N$3*$Z$5+$AA$5)))-(8742/(N186+459.6))+15.64),EXP(INDEX(Antoines,MATCH(N178,Antoine_Name,0),2)-INDEX(Antoines,MATCH(N178,Antoine_Name,0),3)/(N186+459.6))))),0)</f>
        <v>5.3015226887581056E-3</v>
      </c>
      <c r="O189" cm="1">
        <f t="array" ref="O189">IFERROR(IF(O179="Chemical",(10^(INDEX(Antoines,MATCH(O178,Antoine_Name,0),2)-INDEX(Antoines,MATCH(O178,Antoine_Name,0),3)/(INDEX(Antoines,MATCH(O178,Antoine_Name,0),4)+(O186-32)*5/9)))*14.7/760,IF(O179="Crude Oil",EXP((2799/(O186+459.6)-2.227)*LOG10(INDEX(FX_Input,AB$5,O$3*$Z$5+$AA$5))-(7261/(O186+459.6))+12.82),IF(O179="Refined Petroleum Stock",EXP((0.7553-(413/(O186+459.6)))*(INDEX(FX_Input,AB$5,O$3*$Z$5+$AA$5-1)^0.5)*LOG10(INDEX(FX_Input,AB$5,O$3*$Z$5+$AA$5))-(1.854-(1042/(O186+459.6)))*(INDEX(FX_Input,AB$5,O$3*$Z$5+$AA$5-1)^0.5)+((2416/(O186+459.6)-2.013)*LOG10(INDEX(FX_Input,AB$5,O$3*$Z$5+$AA$5)))-(8742/(O186+459.6))+15.64),EXP(INDEX(Antoines,MATCH(O178,Antoine_Name,0),2)-INDEX(Antoines,MATCH(O178,Antoine_Name,0),3)/(O186+459.6))))),0)</f>
        <v>4.68970903600947E-3</v>
      </c>
    </row>
    <row r="190" spans="2:32" ht="17.149999999999999" x14ac:dyDescent="0.55000000000000004">
      <c r="B190" t="str">
        <f t="shared" si="532"/>
        <v>Portland</v>
      </c>
      <c r="C190" t="s">
        <v>576</v>
      </c>
      <c r="D190">
        <f>D182*D189</f>
        <v>4.739577185808354E-3</v>
      </c>
      <c r="E190">
        <f t="shared" ref="E190" si="533">E182*E189</f>
        <v>4.8748667780818778E-3</v>
      </c>
      <c r="F190">
        <f t="shared" ref="F190" si="534">F182*F189</f>
        <v>5.119885034186122E-3</v>
      </c>
      <c r="G190">
        <f t="shared" ref="G190" si="535">G182*G189</f>
        <v>5.5846958573521795E-3</v>
      </c>
      <c r="H190">
        <f t="shared" ref="H190" si="536">H182*H189</f>
        <v>6.5274070972739821E-3</v>
      </c>
      <c r="I190">
        <f t="shared" ref="I190" si="537">I182*I189</f>
        <v>7.4199539958878279E-3</v>
      </c>
      <c r="J190">
        <f t="shared" ref="J190" si="538">J182*J189</f>
        <v>8.3358107202842254E-3</v>
      </c>
      <c r="K190">
        <f t="shared" ref="K190" si="539">K182*K189</f>
        <v>8.4605262729351115E-3</v>
      </c>
      <c r="L190">
        <f t="shared" ref="L190" si="540">L182*L189</f>
        <v>7.8399882233967533E-3</v>
      </c>
      <c r="M190">
        <f t="shared" ref="M190" si="541">M182*M189</f>
        <v>6.4173462075160911E-3</v>
      </c>
      <c r="N190">
        <f t="shared" ref="N190" si="542">N182*N189</f>
        <v>5.3015226887581056E-3</v>
      </c>
      <c r="O190">
        <f t="shared" ref="O190" si="543">O182*O189</f>
        <v>4.68970903600947E-3</v>
      </c>
    </row>
    <row r="191" spans="2:32" ht="17.149999999999999" x14ac:dyDescent="0.55000000000000004">
      <c r="B191" t="str">
        <f t="shared" si="532"/>
        <v>Portland</v>
      </c>
      <c r="C191" t="s">
        <v>575</v>
      </c>
      <c r="D191" cm="1">
        <f t="array" ref="D191">IFERROR(IF(D181="Chemical",(10^(INDEX(Antoines,MATCH(D180,Antoine_Name,0),2)-INDEX(Antoines,MATCH(D180,Antoine_Name,0),3)/(INDEX(Antoines,MATCH(D180,Antoine_Name,0),4)+(D186-32)*5/9)))*14.7/760,IF(D181="Crude Oil",EXP((2799/(D186+459.6)-2.227)*LOG10(INDEX(FX_Input,Q$5,D$3*$Z$5+$AA$5))-(7261/(D186+459.6))+12.82),IF(D181="Refined Petroleum Stock",EXP((0.7553-(413/(D186+459.6)))*(INDEX(FX_Input,Q$5,D$3*$Z$5+$AA$5-1)^0.5)*LOG10(INDEX(FX_Input,Q$5,D$3*$Z$5+$AA$5))-(1.854-(1042/(D186+459.6)))*(INDEX(FX_Input,Q$5,D$3*$Z$5+$AA$5-1)^0.5)+((2416/(D186+459.6)-2.013)*LOG10(INDEX(FX_Input,Q$5,D$3*$Z$5+$AA$5)))-(8742/(D186+459.6))+15.64),EXP(INDEX(Antoines,MATCH(D180,Antoine_Name,0),2)-INDEX(Antoines,MATCH(D180,Antoine_Name,0),3)/(D186+459.6))))),0)</f>
        <v>0</v>
      </c>
      <c r="E191" cm="1">
        <f t="array" ref="E191">IFERROR(IF(E181="Chemical",(10^(INDEX(Antoines,MATCH(E180,Antoine_Name,0),2)-INDEX(Antoines,MATCH(E180,Antoine_Name,0),3)/(INDEX(Antoines,MATCH(E180,Antoine_Name,0),4)+(E186-32)*5/9)))*14.7/760,IF(E181="Crude Oil",EXP((2799/(E186+459.6)-2.227)*LOG10(INDEX(FX_Input,R$5,E$3*$Z$5+$AA$5))-(7261/(E186+459.6))+12.82),IF(E181="Refined Petroleum Stock",EXP((0.7553-(413/(E186+459.6)))*(INDEX(FX_Input,R$5,E$3*$Z$5+$AA$5-1)^0.5)*LOG10(INDEX(FX_Input,R$5,E$3*$Z$5+$AA$5))-(1.854-(1042/(E186+459.6)))*(INDEX(FX_Input,R$5,E$3*$Z$5+$AA$5-1)^0.5)+((2416/(E186+459.6)-2.013)*LOG10(INDEX(FX_Input,R$5,E$3*$Z$5+$AA$5)))-(8742/(E186+459.6))+15.64),EXP(INDEX(Antoines,MATCH(E180,Antoine_Name,0),2)-INDEX(Antoines,MATCH(E180,Antoine_Name,0),3)/(E186+459.6))))),0)</f>
        <v>0</v>
      </c>
      <c r="F191" cm="1">
        <f t="array" ref="F191">IFERROR(IF(F181="Chemical",(10^(INDEX(Antoines,MATCH(F180,Antoine_Name,0),2)-INDEX(Antoines,MATCH(F180,Antoine_Name,0),3)/(INDEX(Antoines,MATCH(F180,Antoine_Name,0),4)+(F186-32)*5/9)))*14.7/760,IF(F181="Crude Oil",EXP((2799/(F186+459.6)-2.227)*LOG10(INDEX(FX_Input,S$5,F$3*$Z$5+$AA$5))-(7261/(F186+459.6))+12.82),IF(F181="Refined Petroleum Stock",EXP((0.7553-(413/(F186+459.6)))*(INDEX(FX_Input,S$5,F$3*$Z$5+$AA$5-1)^0.5)*LOG10(INDEX(FX_Input,S$5,F$3*$Z$5+$AA$5))-(1.854-(1042/(F186+459.6)))*(INDEX(FX_Input,S$5,F$3*$Z$5+$AA$5-1)^0.5)+((2416/(F186+459.6)-2.013)*LOG10(INDEX(FX_Input,S$5,F$3*$Z$5+$AA$5)))-(8742/(F186+459.6))+15.64),EXP(INDEX(Antoines,MATCH(F180,Antoine_Name,0),2)-INDEX(Antoines,MATCH(F180,Antoine_Name,0),3)/(F186+459.6))))),0)</f>
        <v>0</v>
      </c>
      <c r="G191" cm="1">
        <f t="array" ref="G191">IFERROR(IF(G181="Chemical",(10^(INDEX(Antoines,MATCH(G180,Antoine_Name,0),2)-INDEX(Antoines,MATCH(G180,Antoine_Name,0),3)/(INDEX(Antoines,MATCH(G180,Antoine_Name,0),4)+(G186-32)*5/9)))*14.7/760,IF(G181="Crude Oil",EXP((2799/(G186+459.6)-2.227)*LOG10(INDEX(FX_Input,T$5,G$3*$Z$5+$AA$5))-(7261/(G186+459.6))+12.82),IF(G181="Refined Petroleum Stock",EXP((0.7553-(413/(G186+459.6)))*(INDEX(FX_Input,T$5,G$3*$Z$5+$AA$5-1)^0.5)*LOG10(INDEX(FX_Input,T$5,G$3*$Z$5+$AA$5))-(1.854-(1042/(G186+459.6)))*(INDEX(FX_Input,T$5,G$3*$Z$5+$AA$5-1)^0.5)+((2416/(G186+459.6)-2.013)*LOG10(INDEX(FX_Input,T$5,G$3*$Z$5+$AA$5)))-(8742/(G186+459.6))+15.64),EXP(INDEX(Antoines,MATCH(G180,Antoine_Name,0),2)-INDEX(Antoines,MATCH(G180,Antoine_Name,0),3)/(G186+459.6))))),0)</f>
        <v>0</v>
      </c>
      <c r="H191" cm="1">
        <f t="array" ref="H191">IFERROR(IF(H181="Chemical",(10^(INDEX(Antoines,MATCH(H180,Antoine_Name,0),2)-INDEX(Antoines,MATCH(H180,Antoine_Name,0),3)/(INDEX(Antoines,MATCH(H180,Antoine_Name,0),4)+(H186-32)*5/9)))*14.7/760,IF(H181="Crude Oil",EXP((2799/(H186+459.6)-2.227)*LOG10(INDEX(FX_Input,U$5,H$3*$Z$5+$AA$5))-(7261/(H186+459.6))+12.82),IF(H181="Refined Petroleum Stock",EXP((0.7553-(413/(H186+459.6)))*(INDEX(FX_Input,U$5,H$3*$Z$5+$AA$5-1)^0.5)*LOG10(INDEX(FX_Input,U$5,H$3*$Z$5+$AA$5))-(1.854-(1042/(H186+459.6)))*(INDEX(FX_Input,U$5,H$3*$Z$5+$AA$5-1)^0.5)+((2416/(H186+459.6)-2.013)*LOG10(INDEX(FX_Input,U$5,H$3*$Z$5+$AA$5)))-(8742/(H186+459.6))+15.64),EXP(INDEX(Antoines,MATCH(H180,Antoine_Name,0),2)-INDEX(Antoines,MATCH(H180,Antoine_Name,0),3)/(H186+459.6))))),0)</f>
        <v>0</v>
      </c>
      <c r="I191" cm="1">
        <f t="array" ref="I191">IFERROR(IF(I181="Chemical",(10^(INDEX(Antoines,MATCH(I180,Antoine_Name,0),2)-INDEX(Antoines,MATCH(I180,Antoine_Name,0),3)/(INDEX(Antoines,MATCH(I180,Antoine_Name,0),4)+(I186-32)*5/9)))*14.7/760,IF(I181="Crude Oil",EXP((2799/(I186+459.6)-2.227)*LOG10(INDEX(FX_Input,V$5,I$3*$Z$5+$AA$5))-(7261/(I186+459.6))+12.82),IF(I181="Refined Petroleum Stock",EXP((0.7553-(413/(I186+459.6)))*(INDEX(FX_Input,V$5,I$3*$Z$5+$AA$5-1)^0.5)*LOG10(INDEX(FX_Input,V$5,I$3*$Z$5+$AA$5))-(1.854-(1042/(I186+459.6)))*(INDEX(FX_Input,V$5,I$3*$Z$5+$AA$5-1)^0.5)+((2416/(I186+459.6)-2.013)*LOG10(INDEX(FX_Input,V$5,I$3*$Z$5+$AA$5)))-(8742/(I186+459.6))+15.64),EXP(INDEX(Antoines,MATCH(I180,Antoine_Name,0),2)-INDEX(Antoines,MATCH(I180,Antoine_Name,0),3)/(I186+459.6))))),0)</f>
        <v>0</v>
      </c>
      <c r="J191" cm="1">
        <f t="array" ref="J191">IFERROR(IF(J181="Chemical",(10^(INDEX(Antoines,MATCH(J180,Antoine_Name,0),2)-INDEX(Antoines,MATCH(J180,Antoine_Name,0),3)/(INDEX(Antoines,MATCH(J180,Antoine_Name,0),4)+(J186-32)*5/9)))*14.7/760,IF(J181="Crude Oil",EXP((2799/(J186+459.6)-2.227)*LOG10(INDEX(FX_Input,W$5,J$3*$Z$5+$AA$5))-(7261/(J186+459.6))+12.82),IF(J181="Refined Petroleum Stock",EXP((0.7553-(413/(J186+459.6)))*(INDEX(FX_Input,W$5,J$3*$Z$5+$AA$5-1)^0.5)*LOG10(INDEX(FX_Input,W$5,J$3*$Z$5+$AA$5))-(1.854-(1042/(J186+459.6)))*(INDEX(FX_Input,W$5,J$3*$Z$5+$AA$5-1)^0.5)+((2416/(J186+459.6)-2.013)*LOG10(INDEX(FX_Input,W$5,J$3*$Z$5+$AA$5)))-(8742/(J186+459.6))+15.64),EXP(INDEX(Antoines,MATCH(J180,Antoine_Name,0),2)-INDEX(Antoines,MATCH(J180,Antoine_Name,0),3)/(J186+459.6))))),0)</f>
        <v>0</v>
      </c>
      <c r="K191" cm="1">
        <f t="array" ref="K191">IFERROR(IF(K181="Chemical",(10^(INDEX(Antoines,MATCH(K180,Antoine_Name,0),2)-INDEX(Antoines,MATCH(K180,Antoine_Name,0),3)/(INDEX(Antoines,MATCH(K180,Antoine_Name,0),4)+(K186-32)*5/9)))*14.7/760,IF(K181="Crude Oil",EXP((2799/(K186+459.6)-2.227)*LOG10(INDEX(FX_Input,X$5,K$3*$Z$5+$AA$5))-(7261/(K186+459.6))+12.82),IF(K181="Refined Petroleum Stock",EXP((0.7553-(413/(K186+459.6)))*(INDEX(FX_Input,X$5,K$3*$Z$5+$AA$5-1)^0.5)*LOG10(INDEX(FX_Input,X$5,K$3*$Z$5+$AA$5))-(1.854-(1042/(K186+459.6)))*(INDEX(FX_Input,X$5,K$3*$Z$5+$AA$5-1)^0.5)+((2416/(K186+459.6)-2.013)*LOG10(INDEX(FX_Input,X$5,K$3*$Z$5+$AA$5)))-(8742/(K186+459.6))+15.64),EXP(INDEX(Antoines,MATCH(K180,Antoine_Name,0),2)-INDEX(Antoines,MATCH(K180,Antoine_Name,0),3)/(K186+459.6))))),0)</f>
        <v>0</v>
      </c>
      <c r="L191" cm="1">
        <f t="array" ref="L191">IFERROR(IF(L181="Chemical",(10^(INDEX(Antoines,MATCH(L180,Antoine_Name,0),2)-INDEX(Antoines,MATCH(L180,Antoine_Name,0),3)/(INDEX(Antoines,MATCH(L180,Antoine_Name,0),4)+(L186-32)*5/9)))*14.7/760,IF(L181="Crude Oil",EXP((2799/(L186+459.6)-2.227)*LOG10(INDEX(FX_Input,Y$5,L$3*$Z$5+$AA$5))-(7261/(L186+459.6))+12.82),IF(L181="Refined Petroleum Stock",EXP((0.7553-(413/(L186+459.6)))*(INDEX(FX_Input,Y$5,L$3*$Z$5+$AA$5-1)^0.5)*LOG10(INDEX(FX_Input,Y$5,L$3*$Z$5+$AA$5))-(1.854-(1042/(L186+459.6)))*(INDEX(FX_Input,Y$5,L$3*$Z$5+$AA$5-1)^0.5)+((2416/(L186+459.6)-2.013)*LOG10(INDEX(FX_Input,Y$5,L$3*$Z$5+$AA$5)))-(8742/(L186+459.6))+15.64),EXP(INDEX(Antoines,MATCH(L180,Antoine_Name,0),2)-INDEX(Antoines,MATCH(L180,Antoine_Name,0),3)/(L186+459.6))))),0)</f>
        <v>0</v>
      </c>
      <c r="M191" cm="1">
        <f t="array" ref="M191">IFERROR(IF(M181="Chemical",(10^(INDEX(Antoines,MATCH(M180,Antoine_Name,0),2)-INDEX(Antoines,MATCH(M180,Antoine_Name,0),3)/(INDEX(Antoines,MATCH(M180,Antoine_Name,0),4)+(M186-32)*5/9)))*14.7/760,IF(M181="Crude Oil",EXP((2799/(M186+459.6)-2.227)*LOG10(INDEX(FX_Input,Z$5,M$3*$Z$5+$AA$5))-(7261/(M186+459.6))+12.82),IF(M181="Refined Petroleum Stock",EXP((0.7553-(413/(M186+459.6)))*(INDEX(FX_Input,Z$5,M$3*$Z$5+$AA$5-1)^0.5)*LOG10(INDEX(FX_Input,Z$5,M$3*$Z$5+$AA$5))-(1.854-(1042/(M186+459.6)))*(INDEX(FX_Input,Z$5,M$3*$Z$5+$AA$5-1)^0.5)+((2416/(M186+459.6)-2.013)*LOG10(INDEX(FX_Input,Z$5,M$3*$Z$5+$AA$5)))-(8742/(M186+459.6))+15.64),EXP(INDEX(Antoines,MATCH(M180,Antoine_Name,0),2)-INDEX(Antoines,MATCH(M180,Antoine_Name,0),3)/(M186+459.6))))),0)</f>
        <v>0</v>
      </c>
      <c r="N191" cm="1">
        <f t="array" ref="N191">IFERROR(IF(N181="Chemical",(10^(INDEX(Antoines,MATCH(N180,Antoine_Name,0),2)-INDEX(Antoines,MATCH(N180,Antoine_Name,0),3)/(INDEX(Antoines,MATCH(N180,Antoine_Name,0),4)+(N186-32)*5/9)))*14.7/760,IF(N181="Crude Oil",EXP((2799/(N186+459.6)-2.227)*LOG10(INDEX(FX_Input,AA$5,N$3*$Z$5+$AA$5))-(7261/(N186+459.6))+12.82),IF(N181="Refined Petroleum Stock",EXP((0.7553-(413/(N186+459.6)))*(INDEX(FX_Input,AA$5,N$3*$Z$5+$AA$5-1)^0.5)*LOG10(INDEX(FX_Input,AA$5,N$3*$Z$5+$AA$5))-(1.854-(1042/(N186+459.6)))*(INDEX(FX_Input,AA$5,N$3*$Z$5+$AA$5-1)^0.5)+((2416/(N186+459.6)-2.013)*LOG10(INDEX(FX_Input,AA$5,N$3*$Z$5+$AA$5)))-(8742/(N186+459.6))+15.64),EXP(INDEX(Antoines,MATCH(N180,Antoine_Name,0),2)-INDEX(Antoines,MATCH(N180,Antoine_Name,0),3)/(N186+459.6))))),0)</f>
        <v>0</v>
      </c>
      <c r="O191" cm="1">
        <f t="array" ref="O191">IFERROR(IF(O181="Chemical",(10^(INDEX(Antoines,MATCH(O180,Antoine_Name,0),2)-INDEX(Antoines,MATCH(O180,Antoine_Name,0),3)/(INDEX(Antoines,MATCH(O180,Antoine_Name,0),4)+(O186-32)*5/9)))*14.7/760,IF(O181="Crude Oil",EXP((2799/(O186+459.6)-2.227)*LOG10(INDEX(FX_Input,AB$5,O$3*$Z$5+$AA$5))-(7261/(O186+459.6))+12.82),IF(O181="Refined Petroleum Stock",EXP((0.7553-(413/(O186+459.6)))*(INDEX(FX_Input,AB$5,O$3*$Z$5+$AA$5-1)^0.5)*LOG10(INDEX(FX_Input,AB$5,O$3*$Z$5+$AA$5))-(1.854-(1042/(O186+459.6)))*(INDEX(FX_Input,AB$5,O$3*$Z$5+$AA$5-1)^0.5)+((2416/(O186+459.6)-2.013)*LOG10(INDEX(FX_Input,AB$5,O$3*$Z$5+$AA$5)))-(8742/(O186+459.6))+15.64),EXP(INDEX(Antoines,MATCH(O180,Antoine_Name,0),2)-INDEX(Antoines,MATCH(O180,Antoine_Name,0),3)/(O186+459.6))))),0)</f>
        <v>0</v>
      </c>
    </row>
    <row r="192" spans="2:32" ht="17.149999999999999" x14ac:dyDescent="0.55000000000000004">
      <c r="B192" t="str">
        <f t="shared" si="532"/>
        <v>Portland</v>
      </c>
      <c r="C192" t="s">
        <v>577</v>
      </c>
      <c r="D192">
        <f>D191*D184</f>
        <v>0</v>
      </c>
      <c r="E192">
        <f t="shared" ref="E192" si="544">E191*E184</f>
        <v>0</v>
      </c>
      <c r="F192">
        <f t="shared" ref="F192" si="545">F191*F184</f>
        <v>0</v>
      </c>
      <c r="G192">
        <f t="shared" ref="G192" si="546">G191*G184</f>
        <v>0</v>
      </c>
      <c r="H192">
        <f t="shared" ref="H192" si="547">H191*H184</f>
        <v>0</v>
      </c>
      <c r="I192">
        <f t="shared" ref="I192" si="548">I191*I184</f>
        <v>0</v>
      </c>
      <c r="J192">
        <f t="shared" ref="J192" si="549">J191*J184</f>
        <v>0</v>
      </c>
      <c r="K192">
        <f t="shared" ref="K192" si="550">K191*K184</f>
        <v>0</v>
      </c>
      <c r="L192">
        <f t="shared" ref="L192" si="551">L191*L184</f>
        <v>0</v>
      </c>
      <c r="M192">
        <f t="shared" ref="M192" si="552">M191*M184</f>
        <v>0</v>
      </c>
      <c r="N192">
        <f t="shared" ref="N192" si="553">N191*N184</f>
        <v>0</v>
      </c>
      <c r="O192">
        <f t="shared" ref="O192" si="554">O191*O184</f>
        <v>0</v>
      </c>
    </row>
    <row r="193" spans="1:32" ht="17.149999999999999" x14ac:dyDescent="0.55000000000000004">
      <c r="B193" t="str">
        <f t="shared" si="532"/>
        <v>Portland</v>
      </c>
      <c r="C193" t="s">
        <v>578</v>
      </c>
      <c r="D193">
        <f>D192+D190</f>
        <v>4.739577185808354E-3</v>
      </c>
      <c r="E193">
        <f t="shared" ref="E193" si="555">E192+E190</f>
        <v>4.8748667780818778E-3</v>
      </c>
      <c r="F193">
        <f t="shared" ref="F193" si="556">F192+F190</f>
        <v>5.119885034186122E-3</v>
      </c>
      <c r="G193">
        <f t="shared" ref="G193" si="557">G192+G190</f>
        <v>5.5846958573521795E-3</v>
      </c>
      <c r="H193">
        <f t="shared" ref="H193" si="558">H192+H190</f>
        <v>6.5274070972739821E-3</v>
      </c>
      <c r="I193">
        <f t="shared" ref="I193" si="559">I192+I190</f>
        <v>7.4199539958878279E-3</v>
      </c>
      <c r="J193">
        <f t="shared" ref="J193" si="560">J192+J190</f>
        <v>8.3358107202842254E-3</v>
      </c>
      <c r="K193">
        <f t="shared" ref="K193" si="561">K192+K190</f>
        <v>8.4605262729351115E-3</v>
      </c>
      <c r="L193">
        <f t="shared" ref="L193" si="562">L192+L190</f>
        <v>7.8399882233967533E-3</v>
      </c>
      <c r="M193">
        <f t="shared" ref="M193" si="563">M192+M190</f>
        <v>6.4173462075160911E-3</v>
      </c>
      <c r="N193">
        <f t="shared" ref="N193" si="564">N192+N190</f>
        <v>5.3015226887581056E-3</v>
      </c>
      <c r="O193">
        <f t="shared" ref="O193" si="565">O192+O190</f>
        <v>4.68970903600947E-3</v>
      </c>
    </row>
    <row r="194" spans="1:32" ht="17.149999999999999" x14ac:dyDescent="0.55000000000000004">
      <c r="B194" t="str">
        <f t="shared" si="532"/>
        <v>Portland</v>
      </c>
      <c r="C194" t="s">
        <v>579</v>
      </c>
      <c r="D194" cm="1">
        <f t="array" ref="D194">IFERROR(IF(D179="Chemical",(10^(INDEX(Antoines,MATCH(D178,Antoine_Name,0),2)-INDEX(Antoines,MATCH(D178,Antoine_Name,0),3)/(INDEX(Antoines,MATCH(D178,Antoine_Name,0),4)+(D187-32)*5/9)))*14.7/760,IF(D179="Crude Oil",EXP((2799/(D187+459.6)-2.227)*LOG10(INDEX(FX_Input,Q$5,D$3*$Z$5+$AA$5))-(7261/(D187+459.6))+12.82),IF(D179="Refined Petroleum Stock",EXP((0.7553-(413/(D187+459.6)))*(INDEX(FX_Input,Q$5,D$3*$Z$5+$AA$5-1)^0.5)*LOG10(INDEX(FX_Input,Q$5,D$3*$Z$5+$AA$5))-(1.854-(1042/(D187+459.6)))*(INDEX(FX_Input,Q$5,D$3*$Z$5+$AA$5-1)^0.5)+((2416/(D187+459.6)-2.013)*LOG10(INDEX(FX_Input,Q$5,D$3*$Z$5+$AA$5)))-(8742/(D187+459.6))+15.64),EXP(INDEX(Antoines,MATCH(D178,Antoine_Name,0),2)-INDEX(Antoines,MATCH(D178,Antoine_Name,0),3)/(D187+459.6))))),0)</f>
        <v>4.739577185808354E-3</v>
      </c>
      <c r="E194" cm="1">
        <f t="array" ref="E194">IFERROR(IF(E179="Chemical",(10^(INDEX(Antoines,MATCH(E178,Antoine_Name,0),2)-INDEX(Antoines,MATCH(E178,Antoine_Name,0),3)/(INDEX(Antoines,MATCH(E178,Antoine_Name,0),4)+(E187-32)*5/9)))*14.7/760,IF(E179="Crude Oil",EXP((2799/(E187+459.6)-2.227)*LOG10(INDEX(FX_Input,R$5,E$3*$Z$5+$AA$5))-(7261/(E187+459.6))+12.82),IF(E179="Refined Petroleum Stock",EXP((0.7553-(413/(E187+459.6)))*(INDEX(FX_Input,R$5,E$3*$Z$5+$AA$5-1)^0.5)*LOG10(INDEX(FX_Input,R$5,E$3*$Z$5+$AA$5))-(1.854-(1042/(E187+459.6)))*(INDEX(FX_Input,R$5,E$3*$Z$5+$AA$5-1)^0.5)+((2416/(E187+459.6)-2.013)*LOG10(INDEX(FX_Input,R$5,E$3*$Z$5+$AA$5)))-(8742/(E187+459.6))+15.64),EXP(INDEX(Antoines,MATCH(E178,Antoine_Name,0),2)-INDEX(Antoines,MATCH(E178,Antoine_Name,0),3)/(E187+459.6))))),0)</f>
        <v>4.8748667780818778E-3</v>
      </c>
      <c r="F194" cm="1">
        <f t="array" ref="F194">IFERROR(IF(F179="Chemical",(10^(INDEX(Antoines,MATCH(F178,Antoine_Name,0),2)-INDEX(Antoines,MATCH(F178,Antoine_Name,0),3)/(INDEX(Antoines,MATCH(F178,Antoine_Name,0),4)+(F187-32)*5/9)))*14.7/760,IF(F179="Crude Oil",EXP((2799/(F187+459.6)-2.227)*LOG10(INDEX(FX_Input,S$5,F$3*$Z$5+$AA$5))-(7261/(F187+459.6))+12.82),IF(F179="Refined Petroleum Stock",EXP((0.7553-(413/(F187+459.6)))*(INDEX(FX_Input,S$5,F$3*$Z$5+$AA$5-1)^0.5)*LOG10(INDEX(FX_Input,S$5,F$3*$Z$5+$AA$5))-(1.854-(1042/(F187+459.6)))*(INDEX(FX_Input,S$5,F$3*$Z$5+$AA$5-1)^0.5)+((2416/(F187+459.6)-2.013)*LOG10(INDEX(FX_Input,S$5,F$3*$Z$5+$AA$5)))-(8742/(F187+459.6))+15.64),EXP(INDEX(Antoines,MATCH(F178,Antoine_Name,0),2)-INDEX(Antoines,MATCH(F178,Antoine_Name,0),3)/(F187+459.6))))),0)</f>
        <v>5.119885034186122E-3</v>
      </c>
      <c r="G194" cm="1">
        <f t="array" ref="G194">IFERROR(IF(G179="Chemical",(10^(INDEX(Antoines,MATCH(G178,Antoine_Name,0),2)-INDEX(Antoines,MATCH(G178,Antoine_Name,0),3)/(INDEX(Antoines,MATCH(G178,Antoine_Name,0),4)+(G187-32)*5/9)))*14.7/760,IF(G179="Crude Oil",EXP((2799/(G187+459.6)-2.227)*LOG10(INDEX(FX_Input,T$5,G$3*$Z$5+$AA$5))-(7261/(G187+459.6))+12.82),IF(G179="Refined Petroleum Stock",EXP((0.7553-(413/(G187+459.6)))*(INDEX(FX_Input,T$5,G$3*$Z$5+$AA$5-1)^0.5)*LOG10(INDEX(FX_Input,T$5,G$3*$Z$5+$AA$5))-(1.854-(1042/(G187+459.6)))*(INDEX(FX_Input,T$5,G$3*$Z$5+$AA$5-1)^0.5)+((2416/(G187+459.6)-2.013)*LOG10(INDEX(FX_Input,T$5,G$3*$Z$5+$AA$5)))-(8742/(G187+459.6))+15.64),EXP(INDEX(Antoines,MATCH(G178,Antoine_Name,0),2)-INDEX(Antoines,MATCH(G178,Antoine_Name,0),3)/(G187+459.6))))),0)</f>
        <v>5.5846958573521795E-3</v>
      </c>
      <c r="H194" cm="1">
        <f t="array" ref="H194">IFERROR(IF(H179="Chemical",(10^(INDEX(Antoines,MATCH(H178,Antoine_Name,0),2)-INDEX(Antoines,MATCH(H178,Antoine_Name,0),3)/(INDEX(Antoines,MATCH(H178,Antoine_Name,0),4)+(H187-32)*5/9)))*14.7/760,IF(H179="Crude Oil",EXP((2799/(H187+459.6)-2.227)*LOG10(INDEX(FX_Input,U$5,H$3*$Z$5+$AA$5))-(7261/(H187+459.6))+12.82),IF(H179="Refined Petroleum Stock",EXP((0.7553-(413/(H187+459.6)))*(INDEX(FX_Input,U$5,H$3*$Z$5+$AA$5-1)^0.5)*LOG10(INDEX(FX_Input,U$5,H$3*$Z$5+$AA$5))-(1.854-(1042/(H187+459.6)))*(INDEX(FX_Input,U$5,H$3*$Z$5+$AA$5-1)^0.5)+((2416/(H187+459.6)-2.013)*LOG10(INDEX(FX_Input,U$5,H$3*$Z$5+$AA$5)))-(8742/(H187+459.6))+15.64),EXP(INDEX(Antoines,MATCH(H178,Antoine_Name,0),2)-INDEX(Antoines,MATCH(H178,Antoine_Name,0),3)/(H187+459.6))))),0)</f>
        <v>6.5274070972739821E-3</v>
      </c>
      <c r="I194" cm="1">
        <f t="array" ref="I194">IFERROR(IF(I179="Chemical",(10^(INDEX(Antoines,MATCH(I178,Antoine_Name,0),2)-INDEX(Antoines,MATCH(I178,Antoine_Name,0),3)/(INDEX(Antoines,MATCH(I178,Antoine_Name,0),4)+(I187-32)*5/9)))*14.7/760,IF(I179="Crude Oil",EXP((2799/(I187+459.6)-2.227)*LOG10(INDEX(FX_Input,V$5,I$3*$Z$5+$AA$5))-(7261/(I187+459.6))+12.82),IF(I179="Refined Petroleum Stock",EXP((0.7553-(413/(I187+459.6)))*(INDEX(FX_Input,V$5,I$3*$Z$5+$AA$5-1)^0.5)*LOG10(INDEX(FX_Input,V$5,I$3*$Z$5+$AA$5))-(1.854-(1042/(I187+459.6)))*(INDEX(FX_Input,V$5,I$3*$Z$5+$AA$5-1)^0.5)+((2416/(I187+459.6)-2.013)*LOG10(INDEX(FX_Input,V$5,I$3*$Z$5+$AA$5)))-(8742/(I187+459.6))+15.64),EXP(INDEX(Antoines,MATCH(I178,Antoine_Name,0),2)-INDEX(Antoines,MATCH(I178,Antoine_Name,0),3)/(I187+459.6))))),0)</f>
        <v>7.4199539958878279E-3</v>
      </c>
      <c r="J194" cm="1">
        <f t="array" ref="J194">IFERROR(IF(J179="Chemical",(10^(INDEX(Antoines,MATCH(J178,Antoine_Name,0),2)-INDEX(Antoines,MATCH(J178,Antoine_Name,0),3)/(INDEX(Antoines,MATCH(J178,Antoine_Name,0),4)+(J187-32)*5/9)))*14.7/760,IF(J179="Crude Oil",EXP((2799/(J187+459.6)-2.227)*LOG10(INDEX(FX_Input,W$5,J$3*$Z$5+$AA$5))-(7261/(J187+459.6))+12.82),IF(J179="Refined Petroleum Stock",EXP((0.7553-(413/(J187+459.6)))*(INDEX(FX_Input,W$5,J$3*$Z$5+$AA$5-1)^0.5)*LOG10(INDEX(FX_Input,W$5,J$3*$Z$5+$AA$5))-(1.854-(1042/(J187+459.6)))*(INDEX(FX_Input,W$5,J$3*$Z$5+$AA$5-1)^0.5)+((2416/(J187+459.6)-2.013)*LOG10(INDEX(FX_Input,W$5,J$3*$Z$5+$AA$5)))-(8742/(J187+459.6))+15.64),EXP(INDEX(Antoines,MATCH(J178,Antoine_Name,0),2)-INDEX(Antoines,MATCH(J178,Antoine_Name,0),3)/(J187+459.6))))),0)</f>
        <v>8.3358107202842254E-3</v>
      </c>
      <c r="K194" cm="1">
        <f t="array" ref="K194">IFERROR(IF(K179="Chemical",(10^(INDEX(Antoines,MATCH(K178,Antoine_Name,0),2)-INDEX(Antoines,MATCH(K178,Antoine_Name,0),3)/(INDEX(Antoines,MATCH(K178,Antoine_Name,0),4)+(K187-32)*5/9)))*14.7/760,IF(K179="Crude Oil",EXP((2799/(K187+459.6)-2.227)*LOG10(INDEX(FX_Input,X$5,K$3*$Z$5+$AA$5))-(7261/(K187+459.6))+12.82),IF(K179="Refined Petroleum Stock",EXP((0.7553-(413/(K187+459.6)))*(INDEX(FX_Input,X$5,K$3*$Z$5+$AA$5-1)^0.5)*LOG10(INDEX(FX_Input,X$5,K$3*$Z$5+$AA$5))-(1.854-(1042/(K187+459.6)))*(INDEX(FX_Input,X$5,K$3*$Z$5+$AA$5-1)^0.5)+((2416/(K187+459.6)-2.013)*LOG10(INDEX(FX_Input,X$5,K$3*$Z$5+$AA$5)))-(8742/(K187+459.6))+15.64),EXP(INDEX(Antoines,MATCH(K178,Antoine_Name,0),2)-INDEX(Antoines,MATCH(K178,Antoine_Name,0),3)/(K187+459.6))))),0)</f>
        <v>8.4605262729351115E-3</v>
      </c>
      <c r="L194" cm="1">
        <f t="array" ref="L194">IFERROR(IF(L179="Chemical",(10^(INDEX(Antoines,MATCH(L178,Antoine_Name,0),2)-INDEX(Antoines,MATCH(L178,Antoine_Name,0),3)/(INDEX(Antoines,MATCH(L178,Antoine_Name,0),4)+(L187-32)*5/9)))*14.7/760,IF(L179="Crude Oil",EXP((2799/(L187+459.6)-2.227)*LOG10(INDEX(FX_Input,Y$5,L$3*$Z$5+$AA$5))-(7261/(L187+459.6))+12.82),IF(L179="Refined Petroleum Stock",EXP((0.7553-(413/(L187+459.6)))*(INDEX(FX_Input,Y$5,L$3*$Z$5+$AA$5-1)^0.5)*LOG10(INDEX(FX_Input,Y$5,L$3*$Z$5+$AA$5))-(1.854-(1042/(L187+459.6)))*(INDEX(FX_Input,Y$5,L$3*$Z$5+$AA$5-1)^0.5)+((2416/(L187+459.6)-2.013)*LOG10(INDEX(FX_Input,Y$5,L$3*$Z$5+$AA$5)))-(8742/(L187+459.6))+15.64),EXP(INDEX(Antoines,MATCH(L178,Antoine_Name,0),2)-INDEX(Antoines,MATCH(L178,Antoine_Name,0),3)/(L187+459.6))))),0)</f>
        <v>7.8399882233967533E-3</v>
      </c>
      <c r="M194" cm="1">
        <f t="array" ref="M194">IFERROR(IF(M179="Chemical",(10^(INDEX(Antoines,MATCH(M178,Antoine_Name,0),2)-INDEX(Antoines,MATCH(M178,Antoine_Name,0),3)/(INDEX(Antoines,MATCH(M178,Antoine_Name,0),4)+(M187-32)*5/9)))*14.7/760,IF(M179="Crude Oil",EXP((2799/(M187+459.6)-2.227)*LOG10(INDEX(FX_Input,Z$5,M$3*$Z$5+$AA$5))-(7261/(M187+459.6))+12.82),IF(M179="Refined Petroleum Stock",EXP((0.7553-(413/(M187+459.6)))*(INDEX(FX_Input,Z$5,M$3*$Z$5+$AA$5-1)^0.5)*LOG10(INDEX(FX_Input,Z$5,M$3*$Z$5+$AA$5))-(1.854-(1042/(M187+459.6)))*(INDEX(FX_Input,Z$5,M$3*$Z$5+$AA$5-1)^0.5)+((2416/(M187+459.6)-2.013)*LOG10(INDEX(FX_Input,Z$5,M$3*$Z$5+$AA$5)))-(8742/(M187+459.6))+15.64),EXP(INDEX(Antoines,MATCH(M178,Antoine_Name,0),2)-INDEX(Antoines,MATCH(M178,Antoine_Name,0),3)/(M187+459.6))))),0)</f>
        <v>6.4173462075160911E-3</v>
      </c>
      <c r="N194" cm="1">
        <f t="array" ref="N194">IFERROR(IF(N179="Chemical",(10^(INDEX(Antoines,MATCH(N178,Antoine_Name,0),2)-INDEX(Antoines,MATCH(N178,Antoine_Name,0),3)/(INDEX(Antoines,MATCH(N178,Antoine_Name,0),4)+(N187-32)*5/9)))*14.7/760,IF(N179="Crude Oil",EXP((2799/(N187+459.6)-2.227)*LOG10(INDEX(FX_Input,AA$5,N$3*$Z$5+$AA$5))-(7261/(N187+459.6))+12.82),IF(N179="Refined Petroleum Stock",EXP((0.7553-(413/(N187+459.6)))*(INDEX(FX_Input,AA$5,N$3*$Z$5+$AA$5-1)^0.5)*LOG10(INDEX(FX_Input,AA$5,N$3*$Z$5+$AA$5))-(1.854-(1042/(N187+459.6)))*(INDEX(FX_Input,AA$5,N$3*$Z$5+$AA$5-1)^0.5)+((2416/(N187+459.6)-2.013)*LOG10(INDEX(FX_Input,AA$5,N$3*$Z$5+$AA$5)))-(8742/(N187+459.6))+15.64),EXP(INDEX(Antoines,MATCH(N178,Antoine_Name,0),2)-INDEX(Antoines,MATCH(N178,Antoine_Name,0),3)/(N187+459.6))))),0)</f>
        <v>5.3015226887581056E-3</v>
      </c>
      <c r="O194" cm="1">
        <f t="array" ref="O194">IFERROR(IF(O179="Chemical",(10^(INDEX(Antoines,MATCH(O178,Antoine_Name,0),2)-INDEX(Antoines,MATCH(O178,Antoine_Name,0),3)/(INDEX(Antoines,MATCH(O178,Antoine_Name,0),4)+(O187-32)*5/9)))*14.7/760,IF(O179="Crude Oil",EXP((2799/(O187+459.6)-2.227)*LOG10(INDEX(FX_Input,AB$5,O$3*$Z$5+$AA$5))-(7261/(O187+459.6))+12.82),IF(O179="Refined Petroleum Stock",EXP((0.7553-(413/(O187+459.6)))*(INDEX(FX_Input,AB$5,O$3*$Z$5+$AA$5-1)^0.5)*LOG10(INDEX(FX_Input,AB$5,O$3*$Z$5+$AA$5))-(1.854-(1042/(O187+459.6)))*(INDEX(FX_Input,AB$5,O$3*$Z$5+$AA$5-1)^0.5)+((2416/(O187+459.6)-2.013)*LOG10(INDEX(FX_Input,AB$5,O$3*$Z$5+$AA$5)))-(8742/(O187+459.6))+15.64),EXP(INDEX(Antoines,MATCH(O178,Antoine_Name,0),2)-INDEX(Antoines,MATCH(O178,Antoine_Name,0),3)/(O187+459.6))))),0)</f>
        <v>4.68970903600947E-3</v>
      </c>
    </row>
    <row r="195" spans="1:32" ht="17.149999999999999" x14ac:dyDescent="0.55000000000000004">
      <c r="B195" t="str">
        <f t="shared" si="532"/>
        <v>Portland</v>
      </c>
      <c r="C195" t="s">
        <v>580</v>
      </c>
      <c r="D195">
        <f>D194*D182</f>
        <v>4.739577185808354E-3</v>
      </c>
      <c r="E195">
        <f t="shared" ref="E195" si="566">E194*E182</f>
        <v>4.8748667780818778E-3</v>
      </c>
      <c r="F195">
        <f t="shared" ref="F195" si="567">F194*F182</f>
        <v>5.119885034186122E-3</v>
      </c>
      <c r="G195">
        <f t="shared" ref="G195" si="568">G194*G182</f>
        <v>5.5846958573521795E-3</v>
      </c>
      <c r="H195">
        <f t="shared" ref="H195" si="569">H194*H182</f>
        <v>6.5274070972739821E-3</v>
      </c>
      <c r="I195">
        <f t="shared" ref="I195" si="570">I194*I182</f>
        <v>7.4199539958878279E-3</v>
      </c>
      <c r="J195">
        <f t="shared" ref="J195" si="571">J194*J182</f>
        <v>8.3358107202842254E-3</v>
      </c>
      <c r="K195">
        <f t="shared" ref="K195" si="572">K194*K182</f>
        <v>8.4605262729351115E-3</v>
      </c>
      <c r="L195">
        <f t="shared" ref="L195" si="573">L194*L182</f>
        <v>7.8399882233967533E-3</v>
      </c>
      <c r="M195">
        <f t="shared" ref="M195" si="574">M194*M182</f>
        <v>6.4173462075160911E-3</v>
      </c>
      <c r="N195">
        <f t="shared" ref="N195" si="575">N194*N182</f>
        <v>5.3015226887581056E-3</v>
      </c>
      <c r="O195">
        <f t="shared" ref="O195" si="576">O194*O182</f>
        <v>4.68970903600947E-3</v>
      </c>
    </row>
    <row r="196" spans="1:32" ht="17.149999999999999" x14ac:dyDescent="0.55000000000000004">
      <c r="B196" t="str">
        <f t="shared" si="532"/>
        <v>Portland</v>
      </c>
      <c r="C196" t="s">
        <v>581</v>
      </c>
      <c r="D196" cm="1">
        <f t="array" ref="D196">IFERROR(IF(D181="Chemical",(10^(INDEX(Antoines,MATCH(D180,Antoine_Name,0),2)-INDEX(Antoines,MATCH(D180,Antoine_Name,0),3)/(INDEX(Antoines,MATCH(D180,Antoine_Name,0),4)+(D187-32)*5/9)))*14.7/760,IF(D181="Crude Oil",EXP((2799/(D187+459.6)-2.227)*LOG10(INDEX(FX_Input,Q$5,D$3*$Z$5+$AA$5))-(7261/(D187+459.6))+12.82),IF(D181="Refined Petroleum Stock",EXP((0.7553-(413/(D187+459.6)))*(INDEX(FX_Input,Q$5,D$3*$Z$5+$AA$5-1)^0.5)*LOG10(INDEX(FX_Input,Q$5,D$3*$Z$5+$AA$5))-(1.854-(1042/(D187+459.6)))*(INDEX(FX_Input,Q$5,D$3*$Z$5+$AA$5-1)^0.5)+((2416/(D187+459.6)-2.013)*LOG10(INDEX(FX_Input,Q$5,D$3*$Z$5+$AA$5)))-(8742/(D187+459.6))+15.64),EXP(INDEX(Antoines,MATCH(D180,Antoine_Name,0),2)-INDEX(Antoines,MATCH(D180,Antoine_Name,0),3)/(D187+459.6))))),0)</f>
        <v>0</v>
      </c>
      <c r="E196" cm="1">
        <f t="array" ref="E196">IFERROR(IF(E181="Chemical",(10^(INDEX(Antoines,MATCH(E180,Antoine_Name,0),2)-INDEX(Antoines,MATCH(E180,Antoine_Name,0),3)/(INDEX(Antoines,MATCH(E180,Antoine_Name,0),4)+(E187-32)*5/9)))*14.7/760,IF(E181="Crude Oil",EXP((2799/(E187+459.6)-2.227)*LOG10(INDEX(FX_Input,R$5,E$3*$Z$5+$AA$5))-(7261/(E187+459.6))+12.82),IF(E181="Refined Petroleum Stock",EXP((0.7553-(413/(E187+459.6)))*(INDEX(FX_Input,R$5,E$3*$Z$5+$AA$5-1)^0.5)*LOG10(INDEX(FX_Input,R$5,E$3*$Z$5+$AA$5))-(1.854-(1042/(E187+459.6)))*(INDEX(FX_Input,R$5,E$3*$Z$5+$AA$5-1)^0.5)+((2416/(E187+459.6)-2.013)*LOG10(INDEX(FX_Input,R$5,E$3*$Z$5+$AA$5)))-(8742/(E187+459.6))+15.64),EXP(INDEX(Antoines,MATCH(E180,Antoine_Name,0),2)-INDEX(Antoines,MATCH(E180,Antoine_Name,0),3)/(E187+459.6))))),0)</f>
        <v>0</v>
      </c>
      <c r="F196" cm="1">
        <f t="array" ref="F196">IFERROR(IF(F181="Chemical",(10^(INDEX(Antoines,MATCH(F180,Antoine_Name,0),2)-INDEX(Antoines,MATCH(F180,Antoine_Name,0),3)/(INDEX(Antoines,MATCH(F180,Antoine_Name,0),4)+(F187-32)*5/9)))*14.7/760,IF(F181="Crude Oil",EXP((2799/(F187+459.6)-2.227)*LOG10(INDEX(FX_Input,S$5,F$3*$Z$5+$AA$5))-(7261/(F187+459.6))+12.82),IF(F181="Refined Petroleum Stock",EXP((0.7553-(413/(F187+459.6)))*(INDEX(FX_Input,S$5,F$3*$Z$5+$AA$5-1)^0.5)*LOG10(INDEX(FX_Input,S$5,F$3*$Z$5+$AA$5))-(1.854-(1042/(F187+459.6)))*(INDEX(FX_Input,S$5,F$3*$Z$5+$AA$5-1)^0.5)+((2416/(F187+459.6)-2.013)*LOG10(INDEX(FX_Input,S$5,F$3*$Z$5+$AA$5)))-(8742/(F187+459.6))+15.64),EXP(INDEX(Antoines,MATCH(F180,Antoine_Name,0),2)-INDEX(Antoines,MATCH(F180,Antoine_Name,0),3)/(F187+459.6))))),0)</f>
        <v>0</v>
      </c>
      <c r="G196" cm="1">
        <f t="array" ref="G196">IFERROR(IF(G181="Chemical",(10^(INDEX(Antoines,MATCH(G180,Antoine_Name,0),2)-INDEX(Antoines,MATCH(G180,Antoine_Name,0),3)/(INDEX(Antoines,MATCH(G180,Antoine_Name,0),4)+(G187-32)*5/9)))*14.7/760,IF(G181="Crude Oil",EXP((2799/(G187+459.6)-2.227)*LOG10(INDEX(FX_Input,T$5,G$3*$Z$5+$AA$5))-(7261/(G187+459.6))+12.82),IF(G181="Refined Petroleum Stock",EXP((0.7553-(413/(G187+459.6)))*(INDEX(FX_Input,T$5,G$3*$Z$5+$AA$5-1)^0.5)*LOG10(INDEX(FX_Input,T$5,G$3*$Z$5+$AA$5))-(1.854-(1042/(G187+459.6)))*(INDEX(FX_Input,T$5,G$3*$Z$5+$AA$5-1)^0.5)+((2416/(G187+459.6)-2.013)*LOG10(INDEX(FX_Input,T$5,G$3*$Z$5+$AA$5)))-(8742/(G187+459.6))+15.64),EXP(INDEX(Antoines,MATCH(G180,Antoine_Name,0),2)-INDEX(Antoines,MATCH(G180,Antoine_Name,0),3)/(G187+459.6))))),0)</f>
        <v>0</v>
      </c>
      <c r="H196" cm="1">
        <f t="array" ref="H196">IFERROR(IF(H181="Chemical",(10^(INDEX(Antoines,MATCH(H180,Antoine_Name,0),2)-INDEX(Antoines,MATCH(H180,Antoine_Name,0),3)/(INDEX(Antoines,MATCH(H180,Antoine_Name,0),4)+(H187-32)*5/9)))*14.7/760,IF(H181="Crude Oil",EXP((2799/(H187+459.6)-2.227)*LOG10(INDEX(FX_Input,U$5,H$3*$Z$5+$AA$5))-(7261/(H187+459.6))+12.82),IF(H181="Refined Petroleum Stock",EXP((0.7553-(413/(H187+459.6)))*(INDEX(FX_Input,U$5,H$3*$Z$5+$AA$5-1)^0.5)*LOG10(INDEX(FX_Input,U$5,H$3*$Z$5+$AA$5))-(1.854-(1042/(H187+459.6)))*(INDEX(FX_Input,U$5,H$3*$Z$5+$AA$5-1)^0.5)+((2416/(H187+459.6)-2.013)*LOG10(INDEX(FX_Input,U$5,H$3*$Z$5+$AA$5)))-(8742/(H187+459.6))+15.64),EXP(INDEX(Antoines,MATCH(H180,Antoine_Name,0),2)-INDEX(Antoines,MATCH(H180,Antoine_Name,0),3)/(H187+459.6))))),0)</f>
        <v>0</v>
      </c>
      <c r="I196" cm="1">
        <f t="array" ref="I196">IFERROR(IF(I181="Chemical",(10^(INDEX(Antoines,MATCH(I180,Antoine_Name,0),2)-INDEX(Antoines,MATCH(I180,Antoine_Name,0),3)/(INDEX(Antoines,MATCH(I180,Antoine_Name,0),4)+(I187-32)*5/9)))*14.7/760,IF(I181="Crude Oil",EXP((2799/(I187+459.6)-2.227)*LOG10(INDEX(FX_Input,V$5,I$3*$Z$5+$AA$5))-(7261/(I187+459.6))+12.82),IF(I181="Refined Petroleum Stock",EXP((0.7553-(413/(I187+459.6)))*(INDEX(FX_Input,V$5,I$3*$Z$5+$AA$5-1)^0.5)*LOG10(INDEX(FX_Input,V$5,I$3*$Z$5+$AA$5))-(1.854-(1042/(I187+459.6)))*(INDEX(FX_Input,V$5,I$3*$Z$5+$AA$5-1)^0.5)+((2416/(I187+459.6)-2.013)*LOG10(INDEX(FX_Input,V$5,I$3*$Z$5+$AA$5)))-(8742/(I187+459.6))+15.64),EXP(INDEX(Antoines,MATCH(I180,Antoine_Name,0),2)-INDEX(Antoines,MATCH(I180,Antoine_Name,0),3)/(I187+459.6))))),0)</f>
        <v>0</v>
      </c>
      <c r="J196" cm="1">
        <f t="array" ref="J196">IFERROR(IF(J181="Chemical",(10^(INDEX(Antoines,MATCH(J180,Antoine_Name,0),2)-INDEX(Antoines,MATCH(J180,Antoine_Name,0),3)/(INDEX(Antoines,MATCH(J180,Antoine_Name,0),4)+(J187-32)*5/9)))*14.7/760,IF(J181="Crude Oil",EXP((2799/(J187+459.6)-2.227)*LOG10(INDEX(FX_Input,W$5,J$3*$Z$5+$AA$5))-(7261/(J187+459.6))+12.82),IF(J181="Refined Petroleum Stock",EXP((0.7553-(413/(J187+459.6)))*(INDEX(FX_Input,W$5,J$3*$Z$5+$AA$5-1)^0.5)*LOG10(INDEX(FX_Input,W$5,J$3*$Z$5+$AA$5))-(1.854-(1042/(J187+459.6)))*(INDEX(FX_Input,W$5,J$3*$Z$5+$AA$5-1)^0.5)+((2416/(J187+459.6)-2.013)*LOG10(INDEX(FX_Input,W$5,J$3*$Z$5+$AA$5)))-(8742/(J187+459.6))+15.64),EXP(INDEX(Antoines,MATCH(J180,Antoine_Name,0),2)-INDEX(Antoines,MATCH(J180,Antoine_Name,0),3)/(J187+459.6))))),0)</f>
        <v>0</v>
      </c>
      <c r="K196" cm="1">
        <f t="array" ref="K196">IFERROR(IF(K181="Chemical",(10^(INDEX(Antoines,MATCH(K180,Antoine_Name,0),2)-INDEX(Antoines,MATCH(K180,Antoine_Name,0),3)/(INDEX(Antoines,MATCH(K180,Antoine_Name,0),4)+(K187-32)*5/9)))*14.7/760,IF(K181="Crude Oil",EXP((2799/(K187+459.6)-2.227)*LOG10(INDEX(FX_Input,X$5,K$3*$Z$5+$AA$5))-(7261/(K187+459.6))+12.82),IF(K181="Refined Petroleum Stock",EXP((0.7553-(413/(K187+459.6)))*(INDEX(FX_Input,X$5,K$3*$Z$5+$AA$5-1)^0.5)*LOG10(INDEX(FX_Input,X$5,K$3*$Z$5+$AA$5))-(1.854-(1042/(K187+459.6)))*(INDEX(FX_Input,X$5,K$3*$Z$5+$AA$5-1)^0.5)+((2416/(K187+459.6)-2.013)*LOG10(INDEX(FX_Input,X$5,K$3*$Z$5+$AA$5)))-(8742/(K187+459.6))+15.64),EXP(INDEX(Antoines,MATCH(K180,Antoine_Name,0),2)-INDEX(Antoines,MATCH(K180,Antoine_Name,0),3)/(K187+459.6))))),0)</f>
        <v>0</v>
      </c>
      <c r="L196" cm="1">
        <f t="array" ref="L196">IFERROR(IF(L181="Chemical",(10^(INDEX(Antoines,MATCH(L180,Antoine_Name,0),2)-INDEX(Antoines,MATCH(L180,Antoine_Name,0),3)/(INDEX(Antoines,MATCH(L180,Antoine_Name,0),4)+(L187-32)*5/9)))*14.7/760,IF(L181="Crude Oil",EXP((2799/(L187+459.6)-2.227)*LOG10(INDEX(FX_Input,Y$5,L$3*$Z$5+$AA$5))-(7261/(L187+459.6))+12.82),IF(L181="Refined Petroleum Stock",EXP((0.7553-(413/(L187+459.6)))*(INDEX(FX_Input,Y$5,L$3*$Z$5+$AA$5-1)^0.5)*LOG10(INDEX(FX_Input,Y$5,L$3*$Z$5+$AA$5))-(1.854-(1042/(L187+459.6)))*(INDEX(FX_Input,Y$5,L$3*$Z$5+$AA$5-1)^0.5)+((2416/(L187+459.6)-2.013)*LOG10(INDEX(FX_Input,Y$5,L$3*$Z$5+$AA$5)))-(8742/(L187+459.6))+15.64),EXP(INDEX(Antoines,MATCH(L180,Antoine_Name,0),2)-INDEX(Antoines,MATCH(L180,Antoine_Name,0),3)/(L187+459.6))))),0)</f>
        <v>0</v>
      </c>
      <c r="M196" cm="1">
        <f t="array" ref="M196">IFERROR(IF(M181="Chemical",(10^(INDEX(Antoines,MATCH(M180,Antoine_Name,0),2)-INDEX(Antoines,MATCH(M180,Antoine_Name,0),3)/(INDEX(Antoines,MATCH(M180,Antoine_Name,0),4)+(M187-32)*5/9)))*14.7/760,IF(M181="Crude Oil",EXP((2799/(M187+459.6)-2.227)*LOG10(INDEX(FX_Input,Z$5,M$3*$Z$5+$AA$5))-(7261/(M187+459.6))+12.82),IF(M181="Refined Petroleum Stock",EXP((0.7553-(413/(M187+459.6)))*(INDEX(FX_Input,Z$5,M$3*$Z$5+$AA$5-1)^0.5)*LOG10(INDEX(FX_Input,Z$5,M$3*$Z$5+$AA$5))-(1.854-(1042/(M187+459.6)))*(INDEX(FX_Input,Z$5,M$3*$Z$5+$AA$5-1)^0.5)+((2416/(M187+459.6)-2.013)*LOG10(INDEX(FX_Input,Z$5,M$3*$Z$5+$AA$5)))-(8742/(M187+459.6))+15.64),EXP(INDEX(Antoines,MATCH(M180,Antoine_Name,0),2)-INDEX(Antoines,MATCH(M180,Antoine_Name,0),3)/(M187+459.6))))),0)</f>
        <v>0</v>
      </c>
      <c r="N196" cm="1">
        <f t="array" ref="N196">IFERROR(IF(N181="Chemical",(10^(INDEX(Antoines,MATCH(N180,Antoine_Name,0),2)-INDEX(Antoines,MATCH(N180,Antoine_Name,0),3)/(INDEX(Antoines,MATCH(N180,Antoine_Name,0),4)+(N187-32)*5/9)))*14.7/760,IF(N181="Crude Oil",EXP((2799/(N187+459.6)-2.227)*LOG10(INDEX(FX_Input,AA$5,N$3*$Z$5+$AA$5))-(7261/(N187+459.6))+12.82),IF(N181="Refined Petroleum Stock",EXP((0.7553-(413/(N187+459.6)))*(INDEX(FX_Input,AA$5,N$3*$Z$5+$AA$5-1)^0.5)*LOG10(INDEX(FX_Input,AA$5,N$3*$Z$5+$AA$5))-(1.854-(1042/(N187+459.6)))*(INDEX(FX_Input,AA$5,N$3*$Z$5+$AA$5-1)^0.5)+((2416/(N187+459.6)-2.013)*LOG10(INDEX(FX_Input,AA$5,N$3*$Z$5+$AA$5)))-(8742/(N187+459.6))+15.64),EXP(INDEX(Antoines,MATCH(N180,Antoine_Name,0),2)-INDEX(Antoines,MATCH(N180,Antoine_Name,0),3)/(N187+459.6))))),0)</f>
        <v>0</v>
      </c>
      <c r="O196" cm="1">
        <f t="array" ref="O196">IFERROR(IF(O181="Chemical",(10^(INDEX(Antoines,MATCH(O180,Antoine_Name,0),2)-INDEX(Antoines,MATCH(O180,Antoine_Name,0),3)/(INDEX(Antoines,MATCH(O180,Antoine_Name,0),4)+(O187-32)*5/9)))*14.7/760,IF(O181="Crude Oil",EXP((2799/(O187+459.6)-2.227)*LOG10(INDEX(FX_Input,AB$5,O$3*$Z$5+$AA$5))-(7261/(O187+459.6))+12.82),IF(O181="Refined Petroleum Stock",EXP((0.7553-(413/(O187+459.6)))*(INDEX(FX_Input,AB$5,O$3*$Z$5+$AA$5-1)^0.5)*LOG10(INDEX(FX_Input,AB$5,O$3*$Z$5+$AA$5))-(1.854-(1042/(O187+459.6)))*(INDEX(FX_Input,AB$5,O$3*$Z$5+$AA$5-1)^0.5)+((2416/(O187+459.6)-2.013)*LOG10(INDEX(FX_Input,AB$5,O$3*$Z$5+$AA$5)))-(8742/(O187+459.6))+15.64),EXP(INDEX(Antoines,MATCH(O180,Antoine_Name,0),2)-INDEX(Antoines,MATCH(O180,Antoine_Name,0),3)/(O187+459.6))))),0)</f>
        <v>0</v>
      </c>
    </row>
    <row r="197" spans="1:32" ht="17.149999999999999" x14ac:dyDescent="0.55000000000000004">
      <c r="B197" t="str">
        <f t="shared" si="532"/>
        <v>Portland</v>
      </c>
      <c r="C197" t="s">
        <v>582</v>
      </c>
      <c r="D197">
        <f>D196*D184</f>
        <v>0</v>
      </c>
      <c r="E197">
        <f t="shared" ref="E197" si="577">E196*E184</f>
        <v>0</v>
      </c>
      <c r="F197">
        <f t="shared" ref="F197" si="578">F196*F184</f>
        <v>0</v>
      </c>
      <c r="G197">
        <f t="shared" ref="G197" si="579">G196*G184</f>
        <v>0</v>
      </c>
      <c r="H197">
        <f t="shared" ref="H197" si="580">H196*H184</f>
        <v>0</v>
      </c>
      <c r="I197">
        <f t="shared" ref="I197" si="581">I196*I184</f>
        <v>0</v>
      </c>
      <c r="J197">
        <f t="shared" ref="J197" si="582">J196*J184</f>
        <v>0</v>
      </c>
      <c r="K197">
        <f t="shared" ref="K197" si="583">K196*K184</f>
        <v>0</v>
      </c>
      <c r="L197">
        <f t="shared" ref="L197" si="584">L196*L184</f>
        <v>0</v>
      </c>
      <c r="M197">
        <f t="shared" ref="M197" si="585">M196*M184</f>
        <v>0</v>
      </c>
      <c r="N197">
        <f t="shared" ref="N197" si="586">N196*N184</f>
        <v>0</v>
      </c>
      <c r="O197">
        <f t="shared" ref="O197" si="587">O196*O184</f>
        <v>0</v>
      </c>
    </row>
    <row r="198" spans="1:32" ht="17.149999999999999" x14ac:dyDescent="0.55000000000000004">
      <c r="B198" t="str">
        <f t="shared" si="532"/>
        <v>Portland</v>
      </c>
      <c r="C198" t="s">
        <v>583</v>
      </c>
      <c r="D198">
        <f>D195+D197</f>
        <v>4.739577185808354E-3</v>
      </c>
      <c r="E198">
        <f t="shared" ref="E198" si="588">E195+E197</f>
        <v>4.8748667780818778E-3</v>
      </c>
      <c r="F198">
        <f t="shared" ref="F198" si="589">F195+F197</f>
        <v>5.119885034186122E-3</v>
      </c>
      <c r="G198">
        <f t="shared" ref="G198" si="590">G195+G197</f>
        <v>5.5846958573521795E-3</v>
      </c>
      <c r="H198">
        <f t="shared" ref="H198" si="591">H195+H197</f>
        <v>6.5274070972739821E-3</v>
      </c>
      <c r="I198">
        <f t="shared" ref="I198" si="592">I195+I197</f>
        <v>7.4199539958878279E-3</v>
      </c>
      <c r="J198">
        <f t="shared" ref="J198" si="593">J195+J197</f>
        <v>8.3358107202842254E-3</v>
      </c>
      <c r="K198">
        <f t="shared" ref="K198" si="594">K195+K197</f>
        <v>8.4605262729351115E-3</v>
      </c>
      <c r="L198">
        <f t="shared" ref="L198" si="595">L195+L197</f>
        <v>7.8399882233967533E-3</v>
      </c>
      <c r="M198">
        <f t="shared" ref="M198" si="596">M195+M197</f>
        <v>6.4173462075160911E-3</v>
      </c>
      <c r="N198">
        <f t="shared" ref="N198" si="597">N195+N197</f>
        <v>5.3015226887581056E-3</v>
      </c>
      <c r="O198">
        <f t="shared" ref="O198" si="598">O195+O197</f>
        <v>4.68970903600947E-3</v>
      </c>
    </row>
    <row r="199" spans="1:32" ht="17.149999999999999" x14ac:dyDescent="0.55000000000000004">
      <c r="B199" t="str">
        <f t="shared" si="532"/>
        <v>Portland</v>
      </c>
      <c r="C199" t="s">
        <v>1388</v>
      </c>
      <c r="D199" cm="1">
        <f t="array" ref="D199">IFERROR(IF(D179="Chemical",(10^(INDEX(Antoines,MATCH(D178,Antoine_Name,0),2)-INDEX(Antoines,MATCH(D178,Antoine_Name,0),3)/(INDEX(Antoines,MATCH(D178,Antoine_Name,0),4)+(D188-32)*5/9)))*14.7/760,IF(D179="Crude Oil",EXP((2799/(D188+459.6)-2.227)*LOG10(INDEX(FX_Input,Q$5,D$3*$Z$5+$AA$5))-(7261/(D188+459.6))+12.82),IF(D179="Refined Petroleum Stock",EXP((0.7553-(413/(D188+459.6)))*(INDEX(FX_Input,Q$5,D$3*$Z$5+$AA$5-1)^0.5)*LOG10(INDEX(FX_Input,Q$5,D$3*$Z$5+$AA$5))-(1.854-(1042/(D188+459.6)))*(INDEX(FX_Input,Q$5,D$3*$Z$5+$AA$5-1)^0.5)+((2416/(D188+459.6)-2.013)*LOG10(INDEX(FX_Input,Q$5,D$3*$Z$5+$AA$5)))-(8742/(D188+459.6))+15.64),EXP(INDEX(Antoines,MATCH(D178,Antoine_Name,0),2)-INDEX(Antoines,MATCH(D178,Antoine_Name,0),3)/(D188+459.6))))),0)</f>
        <v>4.739577185808354E-3</v>
      </c>
      <c r="E199" cm="1">
        <f t="array" ref="E199">IFERROR(IF(E179="Chemical",(10^(INDEX(Antoines,MATCH(E178,Antoine_Name,0),2)-INDEX(Antoines,MATCH(E178,Antoine_Name,0),3)/(INDEX(Antoines,MATCH(E178,Antoine_Name,0),4)+(E188-32)*5/9)))*14.7/760,IF(E179="Crude Oil",EXP((2799/(E188+459.6)-2.227)*LOG10(INDEX(FX_Input,R$5,E$3*$Z$5+$AA$5))-(7261/(E188+459.6))+12.82),IF(E179="Refined Petroleum Stock",EXP((0.7553-(413/(E188+459.6)))*(INDEX(FX_Input,R$5,E$3*$Z$5+$AA$5-1)^0.5)*LOG10(INDEX(FX_Input,R$5,E$3*$Z$5+$AA$5))-(1.854-(1042/(E188+459.6)))*(INDEX(FX_Input,R$5,E$3*$Z$5+$AA$5-1)^0.5)+((2416/(E188+459.6)-2.013)*LOG10(INDEX(FX_Input,R$5,E$3*$Z$5+$AA$5)))-(8742/(E188+459.6))+15.64),EXP(INDEX(Antoines,MATCH(E178,Antoine_Name,0),2)-INDEX(Antoines,MATCH(E178,Antoine_Name,0),3)/(E188+459.6))))),0)</f>
        <v>4.8748667780818778E-3</v>
      </c>
      <c r="F199" cm="1">
        <f t="array" ref="F199">IFERROR(IF(F179="Chemical",(10^(INDEX(Antoines,MATCH(F178,Antoine_Name,0),2)-INDEX(Antoines,MATCH(F178,Antoine_Name,0),3)/(INDEX(Antoines,MATCH(F178,Antoine_Name,0),4)+(F188-32)*5/9)))*14.7/760,IF(F179="Crude Oil",EXP((2799/(F188+459.6)-2.227)*LOG10(INDEX(FX_Input,S$5,F$3*$Z$5+$AA$5))-(7261/(F188+459.6))+12.82),IF(F179="Refined Petroleum Stock",EXP((0.7553-(413/(F188+459.6)))*(INDEX(FX_Input,S$5,F$3*$Z$5+$AA$5-1)^0.5)*LOG10(INDEX(FX_Input,S$5,F$3*$Z$5+$AA$5))-(1.854-(1042/(F188+459.6)))*(INDEX(FX_Input,S$5,F$3*$Z$5+$AA$5-1)^0.5)+((2416/(F188+459.6)-2.013)*LOG10(INDEX(FX_Input,S$5,F$3*$Z$5+$AA$5)))-(8742/(F188+459.6))+15.64),EXP(INDEX(Antoines,MATCH(F178,Antoine_Name,0),2)-INDEX(Antoines,MATCH(F178,Antoine_Name,0),3)/(F188+459.6))))),0)</f>
        <v>5.119885034186122E-3</v>
      </c>
      <c r="G199" cm="1">
        <f t="array" ref="G199">IFERROR(IF(G179="Chemical",(10^(INDEX(Antoines,MATCH(G178,Antoine_Name,0),2)-INDEX(Antoines,MATCH(G178,Antoine_Name,0),3)/(INDEX(Antoines,MATCH(G178,Antoine_Name,0),4)+(G188-32)*5/9)))*14.7/760,IF(G179="Crude Oil",EXP((2799/(G188+459.6)-2.227)*LOG10(INDEX(FX_Input,T$5,G$3*$Z$5+$AA$5))-(7261/(G188+459.6))+12.82),IF(G179="Refined Petroleum Stock",EXP((0.7553-(413/(G188+459.6)))*(INDEX(FX_Input,T$5,G$3*$Z$5+$AA$5-1)^0.5)*LOG10(INDEX(FX_Input,T$5,G$3*$Z$5+$AA$5))-(1.854-(1042/(G188+459.6)))*(INDEX(FX_Input,T$5,G$3*$Z$5+$AA$5-1)^0.5)+((2416/(G188+459.6)-2.013)*LOG10(INDEX(FX_Input,T$5,G$3*$Z$5+$AA$5)))-(8742/(G188+459.6))+15.64),EXP(INDEX(Antoines,MATCH(G178,Antoine_Name,0),2)-INDEX(Antoines,MATCH(G178,Antoine_Name,0),3)/(G188+459.6))))),0)</f>
        <v>5.5846958573521795E-3</v>
      </c>
      <c r="H199" cm="1">
        <f t="array" ref="H199">IFERROR(IF(H179="Chemical",(10^(INDEX(Antoines,MATCH(H178,Antoine_Name,0),2)-INDEX(Antoines,MATCH(H178,Antoine_Name,0),3)/(INDEX(Antoines,MATCH(H178,Antoine_Name,0),4)+(H188-32)*5/9)))*14.7/760,IF(H179="Crude Oil",EXP((2799/(H188+459.6)-2.227)*LOG10(INDEX(FX_Input,U$5,H$3*$Z$5+$AA$5))-(7261/(H188+459.6))+12.82),IF(H179="Refined Petroleum Stock",EXP((0.7553-(413/(H188+459.6)))*(INDEX(FX_Input,U$5,H$3*$Z$5+$AA$5-1)^0.5)*LOG10(INDEX(FX_Input,U$5,H$3*$Z$5+$AA$5))-(1.854-(1042/(H188+459.6)))*(INDEX(FX_Input,U$5,H$3*$Z$5+$AA$5-1)^0.5)+((2416/(H188+459.6)-2.013)*LOG10(INDEX(FX_Input,U$5,H$3*$Z$5+$AA$5)))-(8742/(H188+459.6))+15.64),EXP(INDEX(Antoines,MATCH(H178,Antoine_Name,0),2)-INDEX(Antoines,MATCH(H178,Antoine_Name,0),3)/(H188+459.6))))),0)</f>
        <v>6.5274070972739821E-3</v>
      </c>
      <c r="I199" cm="1">
        <f t="array" ref="I199">IFERROR(IF(I179="Chemical",(10^(INDEX(Antoines,MATCH(I178,Antoine_Name,0),2)-INDEX(Antoines,MATCH(I178,Antoine_Name,0),3)/(INDEX(Antoines,MATCH(I178,Antoine_Name,0),4)+(I188-32)*5/9)))*14.7/760,IF(I179="Crude Oil",EXP((2799/(I188+459.6)-2.227)*LOG10(INDEX(FX_Input,V$5,I$3*$Z$5+$AA$5))-(7261/(I188+459.6))+12.82),IF(I179="Refined Petroleum Stock",EXP((0.7553-(413/(I188+459.6)))*(INDEX(FX_Input,V$5,I$3*$Z$5+$AA$5-1)^0.5)*LOG10(INDEX(FX_Input,V$5,I$3*$Z$5+$AA$5))-(1.854-(1042/(I188+459.6)))*(INDEX(FX_Input,V$5,I$3*$Z$5+$AA$5-1)^0.5)+((2416/(I188+459.6)-2.013)*LOG10(INDEX(FX_Input,V$5,I$3*$Z$5+$AA$5)))-(8742/(I188+459.6))+15.64),EXP(INDEX(Antoines,MATCH(I178,Antoine_Name,0),2)-INDEX(Antoines,MATCH(I178,Antoine_Name,0),3)/(I188+459.6))))),0)</f>
        <v>7.4199539958878279E-3</v>
      </c>
      <c r="J199" cm="1">
        <f t="array" ref="J199">IFERROR(IF(J179="Chemical",(10^(INDEX(Antoines,MATCH(J178,Antoine_Name,0),2)-INDEX(Antoines,MATCH(J178,Antoine_Name,0),3)/(INDEX(Antoines,MATCH(J178,Antoine_Name,0),4)+(J188-32)*5/9)))*14.7/760,IF(J179="Crude Oil",EXP((2799/(J188+459.6)-2.227)*LOG10(INDEX(FX_Input,W$5,J$3*$Z$5+$AA$5))-(7261/(J188+459.6))+12.82),IF(J179="Refined Petroleum Stock",EXP((0.7553-(413/(J188+459.6)))*(INDEX(FX_Input,W$5,J$3*$Z$5+$AA$5-1)^0.5)*LOG10(INDEX(FX_Input,W$5,J$3*$Z$5+$AA$5))-(1.854-(1042/(J188+459.6)))*(INDEX(FX_Input,W$5,J$3*$Z$5+$AA$5-1)^0.5)+((2416/(J188+459.6)-2.013)*LOG10(INDEX(FX_Input,W$5,J$3*$Z$5+$AA$5)))-(8742/(J188+459.6))+15.64),EXP(INDEX(Antoines,MATCH(J178,Antoine_Name,0),2)-INDEX(Antoines,MATCH(J178,Antoine_Name,0),3)/(J188+459.6))))),0)</f>
        <v>8.3358107202842254E-3</v>
      </c>
      <c r="K199" cm="1">
        <f t="array" ref="K199">IFERROR(IF(K179="Chemical",(10^(INDEX(Antoines,MATCH(K178,Antoine_Name,0),2)-INDEX(Antoines,MATCH(K178,Antoine_Name,0),3)/(INDEX(Antoines,MATCH(K178,Antoine_Name,0),4)+(K188-32)*5/9)))*14.7/760,IF(K179="Crude Oil",EXP((2799/(K188+459.6)-2.227)*LOG10(INDEX(FX_Input,X$5,K$3*$Z$5+$AA$5))-(7261/(K188+459.6))+12.82),IF(K179="Refined Petroleum Stock",EXP((0.7553-(413/(K188+459.6)))*(INDEX(FX_Input,X$5,K$3*$Z$5+$AA$5-1)^0.5)*LOG10(INDEX(FX_Input,X$5,K$3*$Z$5+$AA$5))-(1.854-(1042/(K188+459.6)))*(INDEX(FX_Input,X$5,K$3*$Z$5+$AA$5-1)^0.5)+((2416/(K188+459.6)-2.013)*LOG10(INDEX(FX_Input,X$5,K$3*$Z$5+$AA$5)))-(8742/(K188+459.6))+15.64),EXP(INDEX(Antoines,MATCH(K178,Antoine_Name,0),2)-INDEX(Antoines,MATCH(K178,Antoine_Name,0),3)/(K188+459.6))))),0)</f>
        <v>8.4605262729351115E-3</v>
      </c>
      <c r="L199" cm="1">
        <f t="array" ref="L199">IFERROR(IF(L179="Chemical",(10^(INDEX(Antoines,MATCH(L178,Antoine_Name,0),2)-INDEX(Antoines,MATCH(L178,Antoine_Name,0),3)/(INDEX(Antoines,MATCH(L178,Antoine_Name,0),4)+(L188-32)*5/9)))*14.7/760,IF(L179="Crude Oil",EXP((2799/(L188+459.6)-2.227)*LOG10(INDEX(FX_Input,Y$5,L$3*$Z$5+$AA$5))-(7261/(L188+459.6))+12.82),IF(L179="Refined Petroleum Stock",EXP((0.7553-(413/(L188+459.6)))*(INDEX(FX_Input,Y$5,L$3*$Z$5+$AA$5-1)^0.5)*LOG10(INDEX(FX_Input,Y$5,L$3*$Z$5+$AA$5))-(1.854-(1042/(L188+459.6)))*(INDEX(FX_Input,Y$5,L$3*$Z$5+$AA$5-1)^0.5)+((2416/(L188+459.6)-2.013)*LOG10(INDEX(FX_Input,Y$5,L$3*$Z$5+$AA$5)))-(8742/(L188+459.6))+15.64),EXP(INDEX(Antoines,MATCH(L178,Antoine_Name,0),2)-INDEX(Antoines,MATCH(L178,Antoine_Name,0),3)/(L188+459.6))))),0)</f>
        <v>7.8399882233967533E-3</v>
      </c>
      <c r="M199" cm="1">
        <f t="array" ref="M199">IFERROR(IF(M179="Chemical",(10^(INDEX(Antoines,MATCH(M178,Antoine_Name,0),2)-INDEX(Antoines,MATCH(M178,Antoine_Name,0),3)/(INDEX(Antoines,MATCH(M178,Antoine_Name,0),4)+(M188-32)*5/9)))*14.7/760,IF(M179="Crude Oil",EXP((2799/(M188+459.6)-2.227)*LOG10(INDEX(FX_Input,Z$5,M$3*$Z$5+$AA$5))-(7261/(M188+459.6))+12.82),IF(M179="Refined Petroleum Stock",EXP((0.7553-(413/(M188+459.6)))*(INDEX(FX_Input,Z$5,M$3*$Z$5+$AA$5-1)^0.5)*LOG10(INDEX(FX_Input,Z$5,M$3*$Z$5+$AA$5))-(1.854-(1042/(M188+459.6)))*(INDEX(FX_Input,Z$5,M$3*$Z$5+$AA$5-1)^0.5)+((2416/(M188+459.6)-2.013)*LOG10(INDEX(FX_Input,Z$5,M$3*$Z$5+$AA$5)))-(8742/(M188+459.6))+15.64),EXP(INDEX(Antoines,MATCH(M178,Antoine_Name,0),2)-INDEX(Antoines,MATCH(M178,Antoine_Name,0),3)/(M188+459.6))))),0)</f>
        <v>6.4173462075160911E-3</v>
      </c>
      <c r="N199" cm="1">
        <f t="array" ref="N199">IFERROR(IF(N179="Chemical",(10^(INDEX(Antoines,MATCH(N178,Antoine_Name,0),2)-INDEX(Antoines,MATCH(N178,Antoine_Name,0),3)/(INDEX(Antoines,MATCH(N178,Antoine_Name,0),4)+(N188-32)*5/9)))*14.7/760,IF(N179="Crude Oil",EXP((2799/(N188+459.6)-2.227)*LOG10(INDEX(FX_Input,AA$5,N$3*$Z$5+$AA$5))-(7261/(N188+459.6))+12.82),IF(N179="Refined Petroleum Stock",EXP((0.7553-(413/(N188+459.6)))*(INDEX(FX_Input,AA$5,N$3*$Z$5+$AA$5-1)^0.5)*LOG10(INDEX(FX_Input,AA$5,N$3*$Z$5+$AA$5))-(1.854-(1042/(N188+459.6)))*(INDEX(FX_Input,AA$5,N$3*$Z$5+$AA$5-1)^0.5)+((2416/(N188+459.6)-2.013)*LOG10(INDEX(FX_Input,AA$5,N$3*$Z$5+$AA$5)))-(8742/(N188+459.6))+15.64),EXP(INDEX(Antoines,MATCH(N178,Antoine_Name,0),2)-INDEX(Antoines,MATCH(N178,Antoine_Name,0),3)/(N188+459.6))))),0)</f>
        <v>5.3015226887581056E-3</v>
      </c>
      <c r="O199" cm="1">
        <f t="array" ref="O199">IFERROR(IF(O179="Chemical",(10^(INDEX(Antoines,MATCH(O178,Antoine_Name,0),2)-INDEX(Antoines,MATCH(O178,Antoine_Name,0),3)/(INDEX(Antoines,MATCH(O178,Antoine_Name,0),4)+(O188-32)*5/9)))*14.7/760,IF(O179="Crude Oil",EXP((2799/(O188+459.6)-2.227)*LOG10(INDEX(FX_Input,AB$5,O$3*$Z$5+$AA$5))-(7261/(O188+459.6))+12.82),IF(O179="Refined Petroleum Stock",EXP((0.7553-(413/(O188+459.6)))*(INDEX(FX_Input,AB$5,O$3*$Z$5+$AA$5-1)^0.5)*LOG10(INDEX(FX_Input,AB$5,O$3*$Z$5+$AA$5))-(1.854-(1042/(O188+459.6)))*(INDEX(FX_Input,AB$5,O$3*$Z$5+$AA$5-1)^0.5)+((2416/(O188+459.6)-2.013)*LOG10(INDEX(FX_Input,AB$5,O$3*$Z$5+$AA$5)))-(8742/(O188+459.6))+15.64),EXP(INDEX(Antoines,MATCH(O178,Antoine_Name,0),2)-INDEX(Antoines,MATCH(O178,Antoine_Name,0),3)/(O188+459.6))))),0)</f>
        <v>4.68970903600947E-3</v>
      </c>
    </row>
    <row r="200" spans="1:32" ht="17.149999999999999" x14ac:dyDescent="0.55000000000000004">
      <c r="B200" t="str">
        <f t="shared" si="532"/>
        <v>Portland</v>
      </c>
      <c r="C200" t="s">
        <v>1389</v>
      </c>
      <c r="D200">
        <f>D199*D182</f>
        <v>4.739577185808354E-3</v>
      </c>
      <c r="E200">
        <f t="shared" ref="E200" si="599">E199*E182</f>
        <v>4.8748667780818778E-3</v>
      </c>
      <c r="F200">
        <f t="shared" ref="F200" si="600">F199*F182</f>
        <v>5.119885034186122E-3</v>
      </c>
      <c r="G200">
        <f t="shared" ref="G200" si="601">G199*G182</f>
        <v>5.5846958573521795E-3</v>
      </c>
      <c r="H200">
        <f t="shared" ref="H200" si="602">H199*H182</f>
        <v>6.5274070972739821E-3</v>
      </c>
      <c r="I200">
        <f t="shared" ref="I200" si="603">I199*I182</f>
        <v>7.4199539958878279E-3</v>
      </c>
      <c r="J200">
        <f t="shared" ref="J200" si="604">J199*J182</f>
        <v>8.3358107202842254E-3</v>
      </c>
      <c r="K200">
        <f t="shared" ref="K200" si="605">K199*K182</f>
        <v>8.4605262729351115E-3</v>
      </c>
      <c r="L200">
        <f t="shared" ref="L200" si="606">L199*L182</f>
        <v>7.8399882233967533E-3</v>
      </c>
      <c r="M200">
        <f t="shared" ref="M200" si="607">M199*M182</f>
        <v>6.4173462075160911E-3</v>
      </c>
      <c r="N200">
        <f t="shared" ref="N200" si="608">N199*N182</f>
        <v>5.3015226887581056E-3</v>
      </c>
      <c r="O200">
        <f t="shared" ref="O200" si="609">O199*O182</f>
        <v>4.68970903600947E-3</v>
      </c>
    </row>
    <row r="201" spans="1:32" ht="17.149999999999999" x14ac:dyDescent="0.55000000000000004">
      <c r="B201" t="str">
        <f t="shared" si="532"/>
        <v>Portland</v>
      </c>
      <c r="C201" t="s">
        <v>1390</v>
      </c>
      <c r="D201" cm="1">
        <f t="array" ref="D201">IFERROR(IF(D181="Chemical",(10^(INDEX(Antoines,MATCH(D180,Antoine_Name,0),2)-INDEX(Antoines,MATCH(D180,Antoine_Name,0),3)/(INDEX(Antoines,MATCH(D180,Antoine_Name,0),4)+(D188-32)*5/9)))*14.7/760,IF(D181="Crude Oil",EXP((2799/(D188+459.6)-2.227)*LOG10(INDEX(FX_Input,Q$5,D$3*$Z$5+$AA$5))-(7261/(D188+459.6))+12.82),IF(D181="Refined Petroleum Stock",EXP((0.7553-(413/(D188+459.6)))*(INDEX(FX_Input,Q$5,D$3*$Z$5+$AA$5-1)^0.5)*LOG10(INDEX(FX_Input,Q$5,D$3*$Z$5+$AA$5))-(1.854-(1042/(D188+459.6)))*(INDEX(FX_Input,Q$5,D$3*$Z$5+$AA$5-1)^0.5)+((2416/(D188+459.6)-2.013)*LOG10(INDEX(FX_Input,Q$5,D$3*$Z$5+$AA$5)))-(8742/(D188+459.6))+15.64),EXP(INDEX(Antoines,MATCH(D180,Antoine_Name,0),2)-INDEX(Antoines,MATCH(D180,Antoine_Name,0),3)/(D188+459.6))))),0)</f>
        <v>0</v>
      </c>
      <c r="E201" cm="1">
        <f t="array" ref="E201">IFERROR(IF(E181="Chemical",(10^(INDEX(Antoines,MATCH(E180,Antoine_Name,0),2)-INDEX(Antoines,MATCH(E180,Antoine_Name,0),3)/(INDEX(Antoines,MATCH(E180,Antoine_Name,0),4)+(E188-32)*5/9)))*14.7/760,IF(E181="Crude Oil",EXP((2799/(E188+459.6)-2.227)*LOG10(INDEX(FX_Input,R$5,E$3*$Z$5+$AA$5))-(7261/(E188+459.6))+12.82),IF(E181="Refined Petroleum Stock",EXP((0.7553-(413/(E188+459.6)))*(INDEX(FX_Input,R$5,E$3*$Z$5+$AA$5-1)^0.5)*LOG10(INDEX(FX_Input,R$5,E$3*$Z$5+$AA$5))-(1.854-(1042/(E188+459.6)))*(INDEX(FX_Input,R$5,E$3*$Z$5+$AA$5-1)^0.5)+((2416/(E188+459.6)-2.013)*LOG10(INDEX(FX_Input,R$5,E$3*$Z$5+$AA$5)))-(8742/(E188+459.6))+15.64),EXP(INDEX(Antoines,MATCH(E180,Antoine_Name,0),2)-INDEX(Antoines,MATCH(E180,Antoine_Name,0),3)/(E188+459.6))))),0)</f>
        <v>0</v>
      </c>
      <c r="F201" cm="1">
        <f t="array" ref="F201">IFERROR(IF(F181="Chemical",(10^(INDEX(Antoines,MATCH(F180,Antoine_Name,0),2)-INDEX(Antoines,MATCH(F180,Antoine_Name,0),3)/(INDEX(Antoines,MATCH(F180,Antoine_Name,0),4)+(F188-32)*5/9)))*14.7/760,IF(F181="Crude Oil",EXP((2799/(F188+459.6)-2.227)*LOG10(INDEX(FX_Input,S$5,F$3*$Z$5+$AA$5))-(7261/(F188+459.6))+12.82),IF(F181="Refined Petroleum Stock",EXP((0.7553-(413/(F188+459.6)))*(INDEX(FX_Input,S$5,F$3*$Z$5+$AA$5-1)^0.5)*LOG10(INDEX(FX_Input,S$5,F$3*$Z$5+$AA$5))-(1.854-(1042/(F188+459.6)))*(INDEX(FX_Input,S$5,F$3*$Z$5+$AA$5-1)^0.5)+((2416/(F188+459.6)-2.013)*LOG10(INDEX(FX_Input,S$5,F$3*$Z$5+$AA$5)))-(8742/(F188+459.6))+15.64),EXP(INDEX(Antoines,MATCH(F180,Antoine_Name,0),2)-INDEX(Antoines,MATCH(F180,Antoine_Name,0),3)/(F188+459.6))))),0)</f>
        <v>0</v>
      </c>
      <c r="G201" cm="1">
        <f t="array" ref="G201">IFERROR(IF(G181="Chemical",(10^(INDEX(Antoines,MATCH(G180,Antoine_Name,0),2)-INDEX(Antoines,MATCH(G180,Antoine_Name,0),3)/(INDEX(Antoines,MATCH(G180,Antoine_Name,0),4)+(G188-32)*5/9)))*14.7/760,IF(G181="Crude Oil",EXP((2799/(G188+459.6)-2.227)*LOG10(INDEX(FX_Input,T$5,G$3*$Z$5+$AA$5))-(7261/(G188+459.6))+12.82),IF(G181="Refined Petroleum Stock",EXP((0.7553-(413/(G188+459.6)))*(INDEX(FX_Input,T$5,G$3*$Z$5+$AA$5-1)^0.5)*LOG10(INDEX(FX_Input,T$5,G$3*$Z$5+$AA$5))-(1.854-(1042/(G188+459.6)))*(INDEX(FX_Input,T$5,G$3*$Z$5+$AA$5-1)^0.5)+((2416/(G188+459.6)-2.013)*LOG10(INDEX(FX_Input,T$5,G$3*$Z$5+$AA$5)))-(8742/(G188+459.6))+15.64),EXP(INDEX(Antoines,MATCH(G180,Antoine_Name,0),2)-INDEX(Antoines,MATCH(G180,Antoine_Name,0),3)/(G188+459.6))))),0)</f>
        <v>0</v>
      </c>
      <c r="H201" cm="1">
        <f t="array" ref="H201">IFERROR(IF(H181="Chemical",(10^(INDEX(Antoines,MATCH(H180,Antoine_Name,0),2)-INDEX(Antoines,MATCH(H180,Antoine_Name,0),3)/(INDEX(Antoines,MATCH(H180,Antoine_Name,0),4)+(H188-32)*5/9)))*14.7/760,IF(H181="Crude Oil",EXP((2799/(H188+459.6)-2.227)*LOG10(INDEX(FX_Input,U$5,H$3*$Z$5+$AA$5))-(7261/(H188+459.6))+12.82),IF(H181="Refined Petroleum Stock",EXP((0.7553-(413/(H188+459.6)))*(INDEX(FX_Input,U$5,H$3*$Z$5+$AA$5-1)^0.5)*LOG10(INDEX(FX_Input,U$5,H$3*$Z$5+$AA$5))-(1.854-(1042/(H188+459.6)))*(INDEX(FX_Input,U$5,H$3*$Z$5+$AA$5-1)^0.5)+((2416/(H188+459.6)-2.013)*LOG10(INDEX(FX_Input,U$5,H$3*$Z$5+$AA$5)))-(8742/(H188+459.6))+15.64),EXP(INDEX(Antoines,MATCH(H180,Antoine_Name,0),2)-INDEX(Antoines,MATCH(H180,Antoine_Name,0),3)/(H188+459.6))))),0)</f>
        <v>0</v>
      </c>
      <c r="I201" cm="1">
        <f t="array" ref="I201">IFERROR(IF(I181="Chemical",(10^(INDEX(Antoines,MATCH(I180,Antoine_Name,0),2)-INDEX(Antoines,MATCH(I180,Antoine_Name,0),3)/(INDEX(Antoines,MATCH(I180,Antoine_Name,0),4)+(I188-32)*5/9)))*14.7/760,IF(I181="Crude Oil",EXP((2799/(I188+459.6)-2.227)*LOG10(INDEX(FX_Input,V$5,I$3*$Z$5+$AA$5))-(7261/(I188+459.6))+12.82),IF(I181="Refined Petroleum Stock",EXP((0.7553-(413/(I188+459.6)))*(INDEX(FX_Input,V$5,I$3*$Z$5+$AA$5-1)^0.5)*LOG10(INDEX(FX_Input,V$5,I$3*$Z$5+$AA$5))-(1.854-(1042/(I188+459.6)))*(INDEX(FX_Input,V$5,I$3*$Z$5+$AA$5-1)^0.5)+((2416/(I188+459.6)-2.013)*LOG10(INDEX(FX_Input,V$5,I$3*$Z$5+$AA$5)))-(8742/(I188+459.6))+15.64),EXP(INDEX(Antoines,MATCH(I180,Antoine_Name,0),2)-INDEX(Antoines,MATCH(I180,Antoine_Name,0),3)/(I188+459.6))))),0)</f>
        <v>0</v>
      </c>
      <c r="J201" cm="1">
        <f t="array" ref="J201">IFERROR(IF(J181="Chemical",(10^(INDEX(Antoines,MATCH(J180,Antoine_Name,0),2)-INDEX(Antoines,MATCH(J180,Antoine_Name,0),3)/(INDEX(Antoines,MATCH(J180,Antoine_Name,0),4)+(J188-32)*5/9)))*14.7/760,IF(J181="Crude Oil",EXP((2799/(J188+459.6)-2.227)*LOG10(INDEX(FX_Input,W$5,J$3*$Z$5+$AA$5))-(7261/(J188+459.6))+12.82),IF(J181="Refined Petroleum Stock",EXP((0.7553-(413/(J188+459.6)))*(INDEX(FX_Input,W$5,J$3*$Z$5+$AA$5-1)^0.5)*LOG10(INDEX(FX_Input,W$5,J$3*$Z$5+$AA$5))-(1.854-(1042/(J188+459.6)))*(INDEX(FX_Input,W$5,J$3*$Z$5+$AA$5-1)^0.5)+((2416/(J188+459.6)-2.013)*LOG10(INDEX(FX_Input,W$5,J$3*$Z$5+$AA$5)))-(8742/(J188+459.6))+15.64),EXP(INDEX(Antoines,MATCH(J180,Antoine_Name,0),2)-INDEX(Antoines,MATCH(J180,Antoine_Name,0),3)/(J188+459.6))))),0)</f>
        <v>0</v>
      </c>
      <c r="K201" cm="1">
        <f t="array" ref="K201">IFERROR(IF(K181="Chemical",(10^(INDEX(Antoines,MATCH(K180,Antoine_Name,0),2)-INDEX(Antoines,MATCH(K180,Antoine_Name,0),3)/(INDEX(Antoines,MATCH(K180,Antoine_Name,0),4)+(K188-32)*5/9)))*14.7/760,IF(K181="Crude Oil",EXP((2799/(K188+459.6)-2.227)*LOG10(INDEX(FX_Input,X$5,K$3*$Z$5+$AA$5))-(7261/(K188+459.6))+12.82),IF(K181="Refined Petroleum Stock",EXP((0.7553-(413/(K188+459.6)))*(INDEX(FX_Input,X$5,K$3*$Z$5+$AA$5-1)^0.5)*LOG10(INDEX(FX_Input,X$5,K$3*$Z$5+$AA$5))-(1.854-(1042/(K188+459.6)))*(INDEX(FX_Input,X$5,K$3*$Z$5+$AA$5-1)^0.5)+((2416/(K188+459.6)-2.013)*LOG10(INDEX(FX_Input,X$5,K$3*$Z$5+$AA$5)))-(8742/(K188+459.6))+15.64),EXP(INDEX(Antoines,MATCH(K180,Antoine_Name,0),2)-INDEX(Antoines,MATCH(K180,Antoine_Name,0),3)/(K188+459.6))))),0)</f>
        <v>0</v>
      </c>
      <c r="L201" cm="1">
        <f t="array" ref="L201">IFERROR(IF(L181="Chemical",(10^(INDEX(Antoines,MATCH(L180,Antoine_Name,0),2)-INDEX(Antoines,MATCH(L180,Antoine_Name,0),3)/(INDEX(Antoines,MATCH(L180,Antoine_Name,0),4)+(L188-32)*5/9)))*14.7/760,IF(L181="Crude Oil",EXP((2799/(L188+459.6)-2.227)*LOG10(INDEX(FX_Input,Y$5,L$3*$Z$5+$AA$5))-(7261/(L188+459.6))+12.82),IF(L181="Refined Petroleum Stock",EXP((0.7553-(413/(L188+459.6)))*(INDEX(FX_Input,Y$5,L$3*$Z$5+$AA$5-1)^0.5)*LOG10(INDEX(FX_Input,Y$5,L$3*$Z$5+$AA$5))-(1.854-(1042/(L188+459.6)))*(INDEX(FX_Input,Y$5,L$3*$Z$5+$AA$5-1)^0.5)+((2416/(L188+459.6)-2.013)*LOG10(INDEX(FX_Input,Y$5,L$3*$Z$5+$AA$5)))-(8742/(L188+459.6))+15.64),EXP(INDEX(Antoines,MATCH(L180,Antoine_Name,0),2)-INDEX(Antoines,MATCH(L180,Antoine_Name,0),3)/(L188+459.6))))),0)</f>
        <v>0</v>
      </c>
      <c r="M201" cm="1">
        <f t="array" ref="M201">IFERROR(IF(M181="Chemical",(10^(INDEX(Antoines,MATCH(M180,Antoine_Name,0),2)-INDEX(Antoines,MATCH(M180,Antoine_Name,0),3)/(INDEX(Antoines,MATCH(M180,Antoine_Name,0),4)+(M188-32)*5/9)))*14.7/760,IF(M181="Crude Oil",EXP((2799/(M188+459.6)-2.227)*LOG10(INDEX(FX_Input,Z$5,M$3*$Z$5+$AA$5))-(7261/(M188+459.6))+12.82),IF(M181="Refined Petroleum Stock",EXP((0.7553-(413/(M188+459.6)))*(INDEX(FX_Input,Z$5,M$3*$Z$5+$AA$5-1)^0.5)*LOG10(INDEX(FX_Input,Z$5,M$3*$Z$5+$AA$5))-(1.854-(1042/(M188+459.6)))*(INDEX(FX_Input,Z$5,M$3*$Z$5+$AA$5-1)^0.5)+((2416/(M188+459.6)-2.013)*LOG10(INDEX(FX_Input,Z$5,M$3*$Z$5+$AA$5)))-(8742/(M188+459.6))+15.64),EXP(INDEX(Antoines,MATCH(M180,Antoine_Name,0),2)-INDEX(Antoines,MATCH(M180,Antoine_Name,0),3)/(M188+459.6))))),0)</f>
        <v>0</v>
      </c>
      <c r="N201" cm="1">
        <f t="array" ref="N201">IFERROR(IF(N181="Chemical",(10^(INDEX(Antoines,MATCH(N180,Antoine_Name,0),2)-INDEX(Antoines,MATCH(N180,Antoine_Name,0),3)/(INDEX(Antoines,MATCH(N180,Antoine_Name,0),4)+(N188-32)*5/9)))*14.7/760,IF(N181="Crude Oil",EXP((2799/(N188+459.6)-2.227)*LOG10(INDEX(FX_Input,AA$5,N$3*$Z$5+$AA$5))-(7261/(N188+459.6))+12.82),IF(N181="Refined Petroleum Stock",EXP((0.7553-(413/(N188+459.6)))*(INDEX(FX_Input,AA$5,N$3*$Z$5+$AA$5-1)^0.5)*LOG10(INDEX(FX_Input,AA$5,N$3*$Z$5+$AA$5))-(1.854-(1042/(N188+459.6)))*(INDEX(FX_Input,AA$5,N$3*$Z$5+$AA$5-1)^0.5)+((2416/(N188+459.6)-2.013)*LOG10(INDEX(FX_Input,AA$5,N$3*$Z$5+$AA$5)))-(8742/(N188+459.6))+15.64),EXP(INDEX(Antoines,MATCH(N180,Antoine_Name,0),2)-INDEX(Antoines,MATCH(N180,Antoine_Name,0),3)/(N188+459.6))))),0)</f>
        <v>0</v>
      </c>
      <c r="O201" cm="1">
        <f t="array" ref="O201">IFERROR(IF(O181="Chemical",(10^(INDEX(Antoines,MATCH(O180,Antoine_Name,0),2)-INDEX(Antoines,MATCH(O180,Antoine_Name,0),3)/(INDEX(Antoines,MATCH(O180,Antoine_Name,0),4)+(O188-32)*5/9)))*14.7/760,IF(O181="Crude Oil",EXP((2799/(O188+459.6)-2.227)*LOG10(INDEX(FX_Input,AB$5,O$3*$Z$5+$AA$5))-(7261/(O188+459.6))+12.82),IF(O181="Refined Petroleum Stock",EXP((0.7553-(413/(O188+459.6)))*(INDEX(FX_Input,AB$5,O$3*$Z$5+$AA$5-1)^0.5)*LOG10(INDEX(FX_Input,AB$5,O$3*$Z$5+$AA$5))-(1.854-(1042/(O188+459.6)))*(INDEX(FX_Input,AB$5,O$3*$Z$5+$AA$5-1)^0.5)+((2416/(O188+459.6)-2.013)*LOG10(INDEX(FX_Input,AB$5,O$3*$Z$5+$AA$5)))-(8742/(O188+459.6))+15.64),EXP(INDEX(Antoines,MATCH(O180,Antoine_Name,0),2)-INDEX(Antoines,MATCH(O180,Antoine_Name,0),3)/(O188+459.6))))),0)</f>
        <v>0</v>
      </c>
    </row>
    <row r="202" spans="1:32" ht="17.149999999999999" x14ac:dyDescent="0.55000000000000004">
      <c r="B202" t="str">
        <f t="shared" si="532"/>
        <v>Portland</v>
      </c>
      <c r="C202" t="s">
        <v>1391</v>
      </c>
      <c r="D202">
        <f>D201*D184</f>
        <v>0</v>
      </c>
      <c r="E202">
        <f t="shared" ref="E202" si="610">E201*E184</f>
        <v>0</v>
      </c>
      <c r="F202">
        <f t="shared" ref="F202" si="611">F201*F184</f>
        <v>0</v>
      </c>
      <c r="G202">
        <f t="shared" ref="G202" si="612">G201*G184</f>
        <v>0</v>
      </c>
      <c r="H202">
        <f t="shared" ref="H202" si="613">H201*H184</f>
        <v>0</v>
      </c>
      <c r="I202">
        <f t="shared" ref="I202" si="614">I201*I184</f>
        <v>0</v>
      </c>
      <c r="J202">
        <f t="shared" ref="J202" si="615">J201*J184</f>
        <v>0</v>
      </c>
      <c r="K202">
        <f t="shared" ref="K202" si="616">K201*K184</f>
        <v>0</v>
      </c>
      <c r="L202">
        <f t="shared" ref="L202" si="617">L201*L184</f>
        <v>0</v>
      </c>
      <c r="M202">
        <f t="shared" ref="M202" si="618">M201*M184</f>
        <v>0</v>
      </c>
      <c r="N202">
        <f t="shared" ref="N202" si="619">N201*N184</f>
        <v>0</v>
      </c>
      <c r="O202">
        <f t="shared" ref="O202" si="620">O201*O184</f>
        <v>0</v>
      </c>
    </row>
    <row r="203" spans="1:32" ht="17.149999999999999" x14ac:dyDescent="0.55000000000000004">
      <c r="B203" t="str">
        <f t="shared" si="532"/>
        <v>Portland</v>
      </c>
      <c r="C203" t="s">
        <v>1392</v>
      </c>
      <c r="D203">
        <f>D200+D202</f>
        <v>4.739577185808354E-3</v>
      </c>
      <c r="E203">
        <f t="shared" ref="E203" si="621">E200+E202</f>
        <v>4.8748667780818778E-3</v>
      </c>
      <c r="F203">
        <f t="shared" ref="F203" si="622">F200+F202</f>
        <v>5.119885034186122E-3</v>
      </c>
      <c r="G203">
        <f t="shared" ref="G203" si="623">G200+G202</f>
        <v>5.5846958573521795E-3</v>
      </c>
      <c r="H203">
        <f t="shared" ref="H203" si="624">H200+H202</f>
        <v>6.5274070972739821E-3</v>
      </c>
      <c r="I203">
        <f t="shared" ref="I203" si="625">I200+I202</f>
        <v>7.4199539958878279E-3</v>
      </c>
      <c r="J203">
        <f t="shared" ref="J203" si="626">J200+J202</f>
        <v>8.3358107202842254E-3</v>
      </c>
      <c r="K203">
        <f t="shared" ref="K203" si="627">K200+K202</f>
        <v>8.4605262729351115E-3</v>
      </c>
      <c r="L203">
        <f t="shared" ref="L203" si="628">L200+L202</f>
        <v>7.8399882233967533E-3</v>
      </c>
      <c r="M203">
        <f t="shared" ref="M203" si="629">M200+M202</f>
        <v>6.4173462075160911E-3</v>
      </c>
      <c r="N203">
        <f t="shared" ref="N203" si="630">N200+N202</f>
        <v>5.3015226887581056E-3</v>
      </c>
      <c r="O203">
        <f t="shared" ref="O203" si="631">O200+O202</f>
        <v>4.68970903600947E-3</v>
      </c>
    </row>
    <row r="204" spans="1:32" ht="17.149999999999999" x14ac:dyDescent="0.55000000000000004">
      <c r="B204" t="str">
        <f>B198</f>
        <v>Portland</v>
      </c>
      <c r="C204" t="s">
        <v>584</v>
      </c>
      <c r="D204">
        <f>D200/D203</f>
        <v>1</v>
      </c>
      <c r="E204">
        <f t="shared" ref="E204" si="632">E200/E203</f>
        <v>1</v>
      </c>
      <c r="F204">
        <f t="shared" ref="F204" si="633">F200/F203</f>
        <v>1</v>
      </c>
      <c r="G204">
        <f t="shared" ref="G204" si="634">G200/G203</f>
        <v>1</v>
      </c>
      <c r="H204">
        <f t="shared" ref="H204" si="635">H200/H203</f>
        <v>1</v>
      </c>
      <c r="I204">
        <f t="shared" ref="I204" si="636">I200/I203</f>
        <v>1</v>
      </c>
      <c r="J204">
        <f t="shared" ref="J204" si="637">J200/J203</f>
        <v>1</v>
      </c>
      <c r="K204">
        <f t="shared" ref="K204" si="638">K200/K203</f>
        <v>1</v>
      </c>
      <c r="L204">
        <f t="shared" ref="L204" si="639">L200/L203</f>
        <v>1</v>
      </c>
      <c r="M204">
        <f t="shared" ref="M204" si="640">M200/M203</f>
        <v>1</v>
      </c>
      <c r="N204">
        <f t="shared" ref="N204" si="641">N200/N203</f>
        <v>1</v>
      </c>
      <c r="O204">
        <f t="shared" ref="O204" si="642">O200/O203</f>
        <v>1</v>
      </c>
    </row>
    <row r="205" spans="1:32" ht="17.149999999999999" x14ac:dyDescent="0.55000000000000004">
      <c r="B205" t="str">
        <f>B199</f>
        <v>Portland</v>
      </c>
      <c r="C205" t="s">
        <v>585</v>
      </c>
      <c r="D205">
        <f t="shared" ref="D205:O205" si="643">INDEX(Phys_Prop,MATCH(D178,Chem_List,0),3)</f>
        <v>130</v>
      </c>
      <c r="E205">
        <f t="shared" si="643"/>
        <v>130</v>
      </c>
      <c r="F205">
        <f t="shared" si="643"/>
        <v>130</v>
      </c>
      <c r="G205">
        <f t="shared" si="643"/>
        <v>130</v>
      </c>
      <c r="H205">
        <f t="shared" si="643"/>
        <v>130</v>
      </c>
      <c r="I205">
        <f t="shared" si="643"/>
        <v>130</v>
      </c>
      <c r="J205">
        <f t="shared" si="643"/>
        <v>130</v>
      </c>
      <c r="K205">
        <f t="shared" si="643"/>
        <v>130</v>
      </c>
      <c r="L205">
        <f t="shared" si="643"/>
        <v>130</v>
      </c>
      <c r="M205">
        <f t="shared" si="643"/>
        <v>130</v>
      </c>
      <c r="N205">
        <f t="shared" si="643"/>
        <v>130</v>
      </c>
      <c r="O205">
        <f t="shared" si="643"/>
        <v>130</v>
      </c>
    </row>
    <row r="206" spans="1:32" ht="17.149999999999999" x14ac:dyDescent="0.55000000000000004">
      <c r="B206" t="str">
        <f>B205</f>
        <v>Portland</v>
      </c>
      <c r="C206" t="s">
        <v>586</v>
      </c>
      <c r="D206">
        <f>D202/D203</f>
        <v>0</v>
      </c>
      <c r="E206">
        <f t="shared" ref="E206:O206" si="644">E202/E203</f>
        <v>0</v>
      </c>
      <c r="F206">
        <f t="shared" si="644"/>
        <v>0</v>
      </c>
      <c r="G206">
        <f t="shared" si="644"/>
        <v>0</v>
      </c>
      <c r="H206">
        <f t="shared" si="644"/>
        <v>0</v>
      </c>
      <c r="I206">
        <f t="shared" si="644"/>
        <v>0</v>
      </c>
      <c r="J206">
        <f t="shared" si="644"/>
        <v>0</v>
      </c>
      <c r="K206">
        <f t="shared" si="644"/>
        <v>0</v>
      </c>
      <c r="L206">
        <f t="shared" si="644"/>
        <v>0</v>
      </c>
      <c r="M206">
        <f t="shared" si="644"/>
        <v>0</v>
      </c>
      <c r="N206">
        <f t="shared" si="644"/>
        <v>0</v>
      </c>
      <c r="O206">
        <f t="shared" si="644"/>
        <v>0</v>
      </c>
    </row>
    <row r="207" spans="1:32" ht="17.149999999999999" x14ac:dyDescent="0.55000000000000004">
      <c r="B207" t="str">
        <f t="shared" si="532"/>
        <v>Portland</v>
      </c>
      <c r="C207" t="s">
        <v>587</v>
      </c>
      <c r="D207">
        <f t="shared" ref="D207:O207" si="645">IFERROR(INDEX(Phys_Prop,MATCH(D180,Chem_List,0),3),0)</f>
        <v>0</v>
      </c>
      <c r="E207">
        <f t="shared" si="645"/>
        <v>0</v>
      </c>
      <c r="F207">
        <f t="shared" si="645"/>
        <v>0</v>
      </c>
      <c r="G207">
        <f t="shared" si="645"/>
        <v>0</v>
      </c>
      <c r="H207">
        <f t="shared" si="645"/>
        <v>0</v>
      </c>
      <c r="I207">
        <f t="shared" si="645"/>
        <v>0</v>
      </c>
      <c r="J207">
        <f t="shared" si="645"/>
        <v>0</v>
      </c>
      <c r="K207">
        <f t="shared" si="645"/>
        <v>0</v>
      </c>
      <c r="L207">
        <f t="shared" si="645"/>
        <v>0</v>
      </c>
      <c r="M207">
        <f t="shared" si="645"/>
        <v>0</v>
      </c>
      <c r="N207">
        <f t="shared" si="645"/>
        <v>0</v>
      </c>
      <c r="O207">
        <f t="shared" si="645"/>
        <v>0</v>
      </c>
    </row>
    <row r="208" spans="1:32" ht="17.149999999999999" x14ac:dyDescent="0.55000000000000004">
      <c r="A208" s="11"/>
      <c r="B208" s="11" t="str">
        <f t="shared" si="532"/>
        <v>Portland</v>
      </c>
      <c r="C208" s="11" t="s">
        <v>588</v>
      </c>
      <c r="D208" s="11">
        <f>IFERROR(D204*D205+D206*D207,0)</f>
        <v>130</v>
      </c>
      <c r="E208" s="11">
        <f t="shared" ref="E208" si="646">IFERROR(E204*E205+E206*E207,0)</f>
        <v>130</v>
      </c>
      <c r="F208" s="11">
        <f t="shared" ref="F208" si="647">IFERROR(F204*F205+F206*F207,0)</f>
        <v>130</v>
      </c>
      <c r="G208" s="11">
        <f t="shared" ref="G208" si="648">IFERROR(G204*G205+G206*G207,0)</f>
        <v>130</v>
      </c>
      <c r="H208" s="11">
        <f t="shared" ref="H208" si="649">IFERROR(H204*H205+H206*H207,0)</f>
        <v>130</v>
      </c>
      <c r="I208" s="11">
        <f t="shared" ref="I208" si="650">IFERROR(I204*I205+I206*I207,0)</f>
        <v>130</v>
      </c>
      <c r="J208" s="11">
        <f t="shared" ref="J208" si="651">IFERROR(J204*J205+J206*J207,0)</f>
        <v>130</v>
      </c>
      <c r="K208" s="11">
        <f t="shared" ref="K208" si="652">IFERROR(K204*K205+K206*K207,0)</f>
        <v>130</v>
      </c>
      <c r="L208" s="11">
        <f t="shared" ref="L208" si="653">IFERROR(L204*L205+L206*L207,0)</f>
        <v>130</v>
      </c>
      <c r="M208" s="11">
        <f t="shared" ref="M208" si="654">IFERROR(M204*M205+M206*M207,0)</f>
        <v>130</v>
      </c>
      <c r="N208" s="11">
        <f t="shared" ref="N208" si="655">IFERROR(N204*N205+N206*N207,0)</f>
        <v>130</v>
      </c>
      <c r="O208" s="11">
        <f t="shared" ref="O208" si="656">IFERROR(O204*O205+O206*O207,0)</f>
        <v>130</v>
      </c>
      <c r="P208" s="11"/>
      <c r="Q208" s="11"/>
      <c r="R208" s="11"/>
      <c r="S208" s="11"/>
      <c r="T208" s="11"/>
      <c r="U208" s="11"/>
      <c r="V208" s="11"/>
      <c r="W208" s="11"/>
      <c r="X208" s="11"/>
      <c r="Y208" s="11"/>
      <c r="Z208" s="11"/>
      <c r="AA208" s="11"/>
      <c r="AB208" s="11"/>
      <c r="AC208" s="11"/>
      <c r="AD208" s="11"/>
      <c r="AE208" s="11"/>
      <c r="AF208" s="11"/>
    </row>
    <row r="209" spans="1:32" ht="17.149999999999999" x14ac:dyDescent="0.55000000000000004">
      <c r="A209" t="str" cm="1">
        <f t="array" ref="A209">INDEX(FX_Input,$Q209,R$5)</f>
        <v>FX - 7</v>
      </c>
      <c r="B209" t="str" cm="1">
        <f t="array" ref="B209">INDEX(FX_Input,Q209,S209)</f>
        <v>Portland</v>
      </c>
      <c r="C209" t="s">
        <v>563</v>
      </c>
      <c r="D209">
        <v>14.7</v>
      </c>
      <c r="E209">
        <v>14.7</v>
      </c>
      <c r="F209">
        <v>14.7</v>
      </c>
      <c r="G209">
        <v>14.7</v>
      </c>
      <c r="H209">
        <v>14.7</v>
      </c>
      <c r="I209">
        <v>14.7</v>
      </c>
      <c r="J209">
        <v>14.7</v>
      </c>
      <c r="K209">
        <v>14.7</v>
      </c>
      <c r="L209">
        <v>14.7</v>
      </c>
      <c r="M209">
        <v>14.7</v>
      </c>
      <c r="N209">
        <v>14.7</v>
      </c>
      <c r="O209">
        <v>14.7</v>
      </c>
      <c r="Q209">
        <f>Q175+2</f>
        <v>13</v>
      </c>
      <c r="R209">
        <v>1</v>
      </c>
      <c r="S209">
        <v>3</v>
      </c>
      <c r="T209">
        <v>1</v>
      </c>
      <c r="U209">
        <v>19</v>
      </c>
      <c r="V209">
        <v>20</v>
      </c>
      <c r="W209">
        <v>25</v>
      </c>
      <c r="X209">
        <v>1</v>
      </c>
      <c r="Y209">
        <v>2</v>
      </c>
      <c r="Z209">
        <f>(W209-V209)/(Y209-X209)</f>
        <v>5</v>
      </c>
      <c r="AA209">
        <f>V209-Z209*X209</f>
        <v>15</v>
      </c>
      <c r="AD209">
        <f>AD175+14</f>
        <v>85</v>
      </c>
      <c r="AF209">
        <f>AF175+14</f>
        <v>85</v>
      </c>
    </row>
    <row r="210" spans="1:32" ht="17.149999999999999" x14ac:dyDescent="0.55000000000000004">
      <c r="B210" t="str">
        <f t="shared" ref="B210" si="657">B209</f>
        <v>Portland</v>
      </c>
      <c r="C210" t="s">
        <v>564</v>
      </c>
      <c r="D210" cm="1">
        <f t="array" ref="D210">IF(ISBLANK(INDEX(FX_Input,$Q209,$AB210)),0.03,INDEX(FX_Input,Q209,AB210))</f>
        <v>0.03</v>
      </c>
      <c r="E210" cm="1">
        <f t="array" ref="E210">IF(ISBLANK(INDEX(FX_Input,$Q209,$AB210)),0.03,INDEX(FX_Input,R209,#REF!))</f>
        <v>0.03</v>
      </c>
      <c r="F210" cm="1">
        <f t="array" ref="F210">IF(ISBLANK(INDEX(FX_Input,$Q209,$AB210)),0.03,INDEX(FX_Input,S209,#REF!))</f>
        <v>0.03</v>
      </c>
      <c r="G210" cm="1">
        <f t="array" ref="G210">IF(ISBLANK(INDEX(FX_Input,$Q209,$AB210)),0.03,INDEX(FX_Input,AB209,#REF!))</f>
        <v>0.03</v>
      </c>
      <c r="H210" cm="1">
        <f t="array" ref="H210">IF(ISBLANK(INDEX(FX_Input,$Q209,$AB210)),0.03,INDEX(FX_Input,#REF!,#REF!))</f>
        <v>0.03</v>
      </c>
      <c r="I210" cm="1">
        <f t="array" ref="I210">IF(ISBLANK(INDEX(FX_Input,$Q209,$AB210)),0.03,INDEX(FX_Input,#REF!,#REF!))</f>
        <v>0.03</v>
      </c>
      <c r="J210" cm="1">
        <f t="array" ref="J210">IF(ISBLANK(INDEX(FX_Input,$Q209,$AB210)),0.03,INDEX(FX_Input,#REF!,#REF!))</f>
        <v>0.03</v>
      </c>
      <c r="K210" cm="1">
        <f t="array" ref="K210">IF(ISBLANK(INDEX(FX_Input,$Q209,$AB210)),0.03,INDEX(FX_Input,#REF!,AC210))</f>
        <v>0.03</v>
      </c>
      <c r="L210" cm="1">
        <f t="array" ref="L210">IF(ISBLANK(INDEX(FX_Input,$Q209,$AB210)),0.03,INDEX(FX_Input,#REF!,AD210))</f>
        <v>0.03</v>
      </c>
      <c r="M210" cm="1">
        <f t="array" ref="M210">IF(ISBLANK(INDEX(FX_Input,$Q209,$AB210)),0.03,INDEX(FX_Input,#REF!,#REF!))</f>
        <v>0.03</v>
      </c>
      <c r="N210" cm="1">
        <f t="array" ref="N210">IF(ISBLANK(INDEX(FX_Input,$Q209,$AB210)),0.03,INDEX(FX_Input,AC209,#REF!))</f>
        <v>0.03</v>
      </c>
      <c r="O210" cm="1">
        <f t="array" ref="O210">IF(ISBLANK(INDEX(FX_Input,$Q209,$AB210)),0.03,INDEX(FX_Input,AD209,#REF!))</f>
        <v>0.03</v>
      </c>
      <c r="AB210">
        <v>15</v>
      </c>
    </row>
    <row r="211" spans="1:32" ht="17.149999999999999" x14ac:dyDescent="0.55000000000000004">
      <c r="B211" t="str">
        <f>B210</f>
        <v>Portland</v>
      </c>
      <c r="C211" t="s">
        <v>565</v>
      </c>
      <c r="D211" cm="1">
        <f t="array" ref="D211">IF(ISBLANK(INDEX(FX_Input,$Q209,$AB211)),-0.03,INDEX(FX_Input,Q209,AB211))</f>
        <v>-0.03</v>
      </c>
      <c r="E211" cm="1">
        <f t="array" ref="E211">IF(ISBLANK(INDEX(FX_Input,$Q209,$AB211)),-0.03,INDEX(FX_Input,R209,#REF!))</f>
        <v>-0.03</v>
      </c>
      <c r="F211" cm="1">
        <f t="array" ref="F211">IF(ISBLANK(INDEX(FX_Input,$Q209,$AB211)),-0.03,INDEX(FX_Input,S209,#REF!))</f>
        <v>-0.03</v>
      </c>
      <c r="G211" cm="1">
        <f t="array" ref="G211">IF(ISBLANK(INDEX(FX_Input,$Q209,$AB211)),-0.03,INDEX(FX_Input,AB209,#REF!))</f>
        <v>-0.03</v>
      </c>
      <c r="H211" cm="1">
        <f t="array" ref="H211">IF(ISBLANK(INDEX(FX_Input,$Q209,$AB211)),-0.03,INDEX(FX_Input,#REF!,#REF!))</f>
        <v>-0.03</v>
      </c>
      <c r="I211" cm="1">
        <f t="array" ref="I211">IF(ISBLANK(INDEX(FX_Input,$Q209,$AB211)),-0.03,INDEX(FX_Input,#REF!,#REF!))</f>
        <v>-0.03</v>
      </c>
      <c r="J211" cm="1">
        <f t="array" ref="J211">IF(ISBLANK(INDEX(FX_Input,$Q209,$AB211)),-0.03,INDEX(FX_Input,#REF!,#REF!))</f>
        <v>-0.03</v>
      </c>
      <c r="K211" cm="1">
        <f t="array" ref="K211">IF(ISBLANK(INDEX(FX_Input,$Q209,$AB211)),-0.03,INDEX(FX_Input,#REF!,AC211))</f>
        <v>-0.03</v>
      </c>
      <c r="L211" cm="1">
        <f t="array" ref="L211">IF(ISBLANK(INDEX(FX_Input,$Q209,$AB211)),-0.03,INDEX(FX_Input,#REF!,AD211))</f>
        <v>-0.03</v>
      </c>
      <c r="M211" cm="1">
        <f t="array" ref="M211">IF(ISBLANK(INDEX(FX_Input,$Q209,$AB211)),-0.03,INDEX(FX_Input,#REF!,#REF!))</f>
        <v>-0.03</v>
      </c>
      <c r="N211" cm="1">
        <f t="array" ref="N211">IF(ISBLANK(INDEX(FX_Input,$Q209,$AB211)),-0.03,INDEX(FX_Input,AC209,#REF!))</f>
        <v>-0.03</v>
      </c>
      <c r="O211" cm="1">
        <f t="array" ref="O211">IF(ISBLANK(INDEX(FX_Input,$Q209,$AB211)),-0.03,INDEX(FX_Input,AD209,#REF!))</f>
        <v>-0.03</v>
      </c>
      <c r="AB211">
        <v>16</v>
      </c>
    </row>
    <row r="212" spans="1:32" x14ac:dyDescent="0.4">
      <c r="B212" t="str">
        <f t="shared" ref="B212:B213" si="658">B211</f>
        <v>Portland</v>
      </c>
      <c r="C212" s="66" t="s">
        <v>567</v>
      </c>
      <c r="D212" t="str" cm="1">
        <f t="array" ref="D212">INDEX(FX_Multi,$AD212,D$3)</f>
        <v>Jet kerosene</v>
      </c>
      <c r="E212" t="str" cm="1">
        <f t="array" ref="E212">INDEX(FX_Multi,$AD212,E$3)</f>
        <v>Jet kerosene</v>
      </c>
      <c r="F212" t="str" cm="1">
        <f t="array" ref="F212">INDEX(FX_Multi,$AD212,F$3)</f>
        <v>Jet kerosene</v>
      </c>
      <c r="G212" t="str" cm="1">
        <f t="array" ref="G212">INDEX(FX_Multi,$AD212,G$3)</f>
        <v>Jet kerosene</v>
      </c>
      <c r="H212" t="str" cm="1">
        <f t="array" ref="H212">INDEX(FX_Multi,$AD212,H$3)</f>
        <v>Jet kerosene</v>
      </c>
      <c r="I212" t="str" cm="1">
        <f t="array" ref="I212">INDEX(FX_Multi,$AD212,I$3)</f>
        <v>Jet kerosene</v>
      </c>
      <c r="J212" t="str" cm="1">
        <f t="array" ref="J212">INDEX(FX_Multi,$AD212,J$3)</f>
        <v>Jet kerosene</v>
      </c>
      <c r="K212" t="str" cm="1">
        <f t="array" ref="K212">INDEX(FX_Multi,$AD212,K$3)</f>
        <v>Jet kerosene</v>
      </c>
      <c r="L212" t="str" cm="1">
        <f t="array" ref="L212">INDEX(FX_Multi,$AD212,L$3)</f>
        <v>Jet kerosene</v>
      </c>
      <c r="M212" t="str" cm="1">
        <f t="array" ref="M212">INDEX(FX_Multi,$AD212,M$3)</f>
        <v>Jet kerosene</v>
      </c>
      <c r="N212" t="str" cm="1">
        <f t="array" ref="N212">INDEX(FX_Multi,$AD212,N$3)</f>
        <v>Jet kerosene</v>
      </c>
      <c r="O212" t="str" cm="1">
        <f t="array" ref="O212">INDEX(FX_Multi,$AD212,O$3)</f>
        <v>Jet kerosene</v>
      </c>
      <c r="AC212">
        <v>1</v>
      </c>
      <c r="AD212">
        <f>AD209</f>
        <v>85</v>
      </c>
      <c r="AE212">
        <v>1</v>
      </c>
      <c r="AF212">
        <f>AF209</f>
        <v>85</v>
      </c>
    </row>
    <row r="213" spans="1:32" x14ac:dyDescent="0.4">
      <c r="B213" t="str">
        <f t="shared" si="658"/>
        <v>Portland</v>
      </c>
      <c r="C213" s="66" t="s">
        <v>566</v>
      </c>
      <c r="D213" t="str" cm="1">
        <f t="array" ref="D213">INDEX(FX_Multi,$AD213,D$3)</f>
        <v>Select Pet Stock</v>
      </c>
      <c r="E213" t="str" cm="1">
        <f t="array" ref="E213">INDEX(FX_Multi,$AD213,E$3)</f>
        <v>Select Pet Stock</v>
      </c>
      <c r="F213" t="str" cm="1">
        <f t="array" ref="F213">INDEX(FX_Multi,$AD213,F$3)</f>
        <v>Select Pet Stock</v>
      </c>
      <c r="G213" t="str" cm="1">
        <f t="array" ref="G213">INDEX(FX_Multi,$AD213,G$3)</f>
        <v>Select Pet Stock</v>
      </c>
      <c r="H213" t="str" cm="1">
        <f t="array" ref="H213">INDEX(FX_Multi,$AD213,H$3)</f>
        <v>Select Pet Stock</v>
      </c>
      <c r="I213" t="str" cm="1">
        <f t="array" ref="I213">INDEX(FX_Multi,$AD213,I$3)</f>
        <v>Select Pet Stock</v>
      </c>
      <c r="J213" t="str" cm="1">
        <f t="array" ref="J213">INDEX(FX_Multi,$AD213,J$3)</f>
        <v>Select Pet Stock</v>
      </c>
      <c r="K213" t="str" cm="1">
        <f t="array" ref="K213">INDEX(FX_Multi,$AD213,K$3)</f>
        <v>Select Pet Stock</v>
      </c>
      <c r="L213" t="str" cm="1">
        <f t="array" ref="L213">INDEX(FX_Multi,$AD213,L$3)</f>
        <v>Select Pet Stock</v>
      </c>
      <c r="M213" t="str" cm="1">
        <f t="array" ref="M213">INDEX(FX_Multi,$AD213,M$3)</f>
        <v>Select Pet Stock</v>
      </c>
      <c r="N213" t="str" cm="1">
        <f t="array" ref="N213">INDEX(FX_Multi,$AD213,N$3)</f>
        <v>Select Pet Stock</v>
      </c>
      <c r="O213" t="str" cm="1">
        <f t="array" ref="O213">INDEX(FX_Multi,$AD213,O$3)</f>
        <v>Select Pet Stock</v>
      </c>
      <c r="AC213">
        <v>1</v>
      </c>
      <c r="AD213">
        <f>AD212+2</f>
        <v>87</v>
      </c>
      <c r="AE213">
        <v>1</v>
      </c>
      <c r="AF213">
        <f>AF212+3</f>
        <v>88</v>
      </c>
    </row>
    <row r="214" spans="1:32" x14ac:dyDescent="0.4">
      <c r="B214" t="str">
        <f>B210</f>
        <v>Portland</v>
      </c>
      <c r="C214" s="66" t="s">
        <v>568</v>
      </c>
      <c r="D214" cm="1">
        <f t="array" ref="D214">INDEX(FX_Multi,$AD214,D$3)</f>
        <v>0</v>
      </c>
      <c r="E214" cm="1">
        <f t="array" ref="E214">INDEX(FX_Multi,$AD214,E$3)</f>
        <v>0</v>
      </c>
      <c r="F214" cm="1">
        <f t="array" ref="F214">INDEX(FX_Multi,$AD214,F$3)</f>
        <v>0</v>
      </c>
      <c r="G214" cm="1">
        <f t="array" ref="G214">INDEX(FX_Multi,$AD214,G$3)</f>
        <v>0</v>
      </c>
      <c r="H214" cm="1">
        <f t="array" ref="H214">INDEX(FX_Multi,$AD214,H$3)</f>
        <v>0</v>
      </c>
      <c r="I214" cm="1">
        <f t="array" ref="I214">INDEX(FX_Multi,$AD214,I$3)</f>
        <v>0</v>
      </c>
      <c r="J214" cm="1">
        <f t="array" ref="J214">INDEX(FX_Multi,$AD214,J$3)</f>
        <v>0</v>
      </c>
      <c r="K214" cm="1">
        <f t="array" ref="K214">INDEX(FX_Multi,$AD214,K$3)</f>
        <v>0</v>
      </c>
      <c r="L214" cm="1">
        <f t="array" ref="L214">INDEX(FX_Multi,$AD214,L$3)</f>
        <v>0</v>
      </c>
      <c r="M214" cm="1">
        <f t="array" ref="M214">INDEX(FX_Multi,$AD214,M$3)</f>
        <v>0</v>
      </c>
      <c r="N214" cm="1">
        <f t="array" ref="N214">INDEX(FX_Multi,$AD214,N$3)</f>
        <v>0</v>
      </c>
      <c r="O214" cm="1">
        <f t="array" ref="O214">INDEX(FX_Multi,$AD214,O$3)</f>
        <v>0</v>
      </c>
      <c r="AC214">
        <v>1</v>
      </c>
      <c r="AD214">
        <f>AD213-1</f>
        <v>86</v>
      </c>
      <c r="AE214">
        <v>1</v>
      </c>
      <c r="AF214">
        <f>AF212+1</f>
        <v>86</v>
      </c>
    </row>
    <row r="215" spans="1:32" x14ac:dyDescent="0.4">
      <c r="B215" t="str">
        <f t="shared" ref="B215:B219" si="659">B214</f>
        <v>Portland</v>
      </c>
      <c r="C215" s="66" t="s">
        <v>569</v>
      </c>
      <c r="D215" cm="1">
        <f t="array" ref="D215">INDEX(FX_Multi,$AD215,D$3)</f>
        <v>0</v>
      </c>
      <c r="E215" cm="1">
        <f t="array" ref="E215">INDEX(FX_Multi,$AD215,E$3)</f>
        <v>0</v>
      </c>
      <c r="F215" cm="1">
        <f t="array" ref="F215">INDEX(FX_Multi,$AD215,F$3)</f>
        <v>0</v>
      </c>
      <c r="G215" cm="1">
        <f t="array" ref="G215">INDEX(FX_Multi,$AD215,G$3)</f>
        <v>0</v>
      </c>
      <c r="H215" cm="1">
        <f t="array" ref="H215">INDEX(FX_Multi,$AD215,H$3)</f>
        <v>0</v>
      </c>
      <c r="I215" cm="1">
        <f t="array" ref="I215">INDEX(FX_Multi,$AD215,I$3)</f>
        <v>0</v>
      </c>
      <c r="J215" cm="1">
        <f t="array" ref="J215">INDEX(FX_Multi,$AD215,J$3)</f>
        <v>0</v>
      </c>
      <c r="K215" cm="1">
        <f t="array" ref="K215">INDEX(FX_Multi,$AD215,K$3)</f>
        <v>0</v>
      </c>
      <c r="L215" cm="1">
        <f t="array" ref="L215">INDEX(FX_Multi,$AD215,L$3)</f>
        <v>0</v>
      </c>
      <c r="M215" cm="1">
        <f t="array" ref="M215">INDEX(FX_Multi,$AD215,M$3)</f>
        <v>0</v>
      </c>
      <c r="N215" cm="1">
        <f t="array" ref="N215">INDEX(FX_Multi,$AD215,N$3)</f>
        <v>0</v>
      </c>
      <c r="O215" cm="1">
        <f t="array" ref="O215">INDEX(FX_Multi,$AD215,O$3)</f>
        <v>0</v>
      </c>
      <c r="AC215">
        <v>1</v>
      </c>
      <c r="AD215">
        <f>AD214+2</f>
        <v>88</v>
      </c>
      <c r="AE215">
        <v>1</v>
      </c>
      <c r="AF215">
        <f>AF213</f>
        <v>88</v>
      </c>
    </row>
    <row r="216" spans="1:32" ht="17.149999999999999" x14ac:dyDescent="0.55000000000000004">
      <c r="B216" t="str">
        <f t="shared" si="659"/>
        <v>Portland</v>
      </c>
      <c r="C216" t="s">
        <v>570</v>
      </c>
      <c r="D216" cm="1">
        <f t="array" ref="D216">INDEX(FX_Multi,$AD216,D$3)</f>
        <v>1</v>
      </c>
      <c r="E216" cm="1">
        <f t="array" ref="E216">INDEX(FX_Multi,$AD216,E$3)</f>
        <v>1</v>
      </c>
      <c r="F216" cm="1">
        <f t="array" ref="F216">INDEX(FX_Multi,$AD216,F$3)</f>
        <v>1</v>
      </c>
      <c r="G216" cm="1">
        <f t="array" ref="G216">INDEX(FX_Multi,$AD216,G$3)</f>
        <v>1</v>
      </c>
      <c r="H216" cm="1">
        <f t="array" ref="H216">INDEX(FX_Multi,$AD216,H$3)</f>
        <v>1</v>
      </c>
      <c r="I216" cm="1">
        <f t="array" ref="I216">INDEX(FX_Multi,$AD216,I$3)</f>
        <v>1</v>
      </c>
      <c r="J216" cm="1">
        <f t="array" ref="J216">INDEX(FX_Multi,$AD216,J$3)</f>
        <v>1</v>
      </c>
      <c r="K216" cm="1">
        <f t="array" ref="K216">INDEX(FX_Multi,$AD216,K$3)</f>
        <v>1</v>
      </c>
      <c r="L216" cm="1">
        <f t="array" ref="L216">INDEX(FX_Multi,$AD216,L$3)</f>
        <v>1</v>
      </c>
      <c r="M216" cm="1">
        <f t="array" ref="M216">INDEX(FX_Multi,$AD216,M$3)</f>
        <v>1</v>
      </c>
      <c r="N216" cm="1">
        <f t="array" ref="N216">INDEX(FX_Multi,$AD216,N$3)</f>
        <v>1</v>
      </c>
      <c r="O216" cm="1">
        <f t="array" ref="O216">INDEX(FX_Multi,$AD216,O$3)</f>
        <v>1</v>
      </c>
      <c r="AC216">
        <v>1</v>
      </c>
      <c r="AD216">
        <f>AD215+6</f>
        <v>94</v>
      </c>
      <c r="AE216">
        <v>1</v>
      </c>
      <c r="AF216">
        <f>AF212+9</f>
        <v>94</v>
      </c>
    </row>
    <row r="217" spans="1:32" ht="17.149999999999999" x14ac:dyDescent="0.55000000000000004">
      <c r="B217" t="str">
        <f t="shared" si="659"/>
        <v>Portland</v>
      </c>
      <c r="C217" t="s">
        <v>571</v>
      </c>
      <c r="D217" cm="1">
        <f t="array" ref="D217">INDEX(FX_Multi,$AD217,D$3)</f>
        <v>162</v>
      </c>
      <c r="E217" cm="1">
        <f t="array" ref="E217">INDEX(FX_Multi,$AD217,E$3)</f>
        <v>162</v>
      </c>
      <c r="F217" cm="1">
        <f t="array" ref="F217">INDEX(FX_Multi,$AD217,F$3)</f>
        <v>162</v>
      </c>
      <c r="G217" cm="1">
        <f t="array" ref="G217">INDEX(FX_Multi,$AD217,G$3)</f>
        <v>162</v>
      </c>
      <c r="H217" cm="1">
        <f t="array" ref="H217">INDEX(FX_Multi,$AD217,H$3)</f>
        <v>162</v>
      </c>
      <c r="I217" cm="1">
        <f t="array" ref="I217">INDEX(FX_Multi,$AD217,I$3)</f>
        <v>162</v>
      </c>
      <c r="J217" cm="1">
        <f t="array" ref="J217">INDEX(FX_Multi,$AD217,J$3)</f>
        <v>162</v>
      </c>
      <c r="K217" cm="1">
        <f t="array" ref="K217">INDEX(FX_Multi,$AD217,K$3)</f>
        <v>162</v>
      </c>
      <c r="L217" cm="1">
        <f t="array" ref="L217">INDEX(FX_Multi,$AD217,L$3)</f>
        <v>162</v>
      </c>
      <c r="M217" cm="1">
        <f t="array" ref="M217">INDEX(FX_Multi,$AD217,M$3)</f>
        <v>162</v>
      </c>
      <c r="N217" cm="1">
        <f t="array" ref="N217">INDEX(FX_Multi,$AD217,N$3)</f>
        <v>162</v>
      </c>
      <c r="O217" cm="1">
        <f t="array" ref="O217">INDEX(FX_Multi,$AD217,O$3)</f>
        <v>162</v>
      </c>
      <c r="AC217">
        <v>1</v>
      </c>
      <c r="AD217">
        <f>AD216-3</f>
        <v>91</v>
      </c>
      <c r="AE217">
        <v>1</v>
      </c>
      <c r="AF217">
        <f>AF212+6</f>
        <v>91</v>
      </c>
    </row>
    <row r="218" spans="1:32" ht="17.149999999999999" x14ac:dyDescent="0.55000000000000004">
      <c r="B218" t="str">
        <f t="shared" si="659"/>
        <v>Portland</v>
      </c>
      <c r="C218" t="s">
        <v>572</v>
      </c>
      <c r="D218" cm="1">
        <f t="array" ref="D218">INDEX(FX_Multi,$AD218,D$3)</f>
        <v>0</v>
      </c>
      <c r="E218" cm="1">
        <f t="array" ref="E218">INDEX(FX_Multi,$AD218,E$3)</f>
        <v>0</v>
      </c>
      <c r="F218" cm="1">
        <f t="array" ref="F218">INDEX(FX_Multi,$AD218,F$3)</f>
        <v>0</v>
      </c>
      <c r="G218" cm="1">
        <f t="array" ref="G218">INDEX(FX_Multi,$AD218,G$3)</f>
        <v>0</v>
      </c>
      <c r="H218" cm="1">
        <f t="array" ref="H218">INDEX(FX_Multi,$AD218,H$3)</f>
        <v>0</v>
      </c>
      <c r="I218" cm="1">
        <f t="array" ref="I218">INDEX(FX_Multi,$AD218,I$3)</f>
        <v>0</v>
      </c>
      <c r="J218" cm="1">
        <f t="array" ref="J218">INDEX(FX_Multi,$AD218,J$3)</f>
        <v>0</v>
      </c>
      <c r="K218" cm="1">
        <f t="array" ref="K218">INDEX(FX_Multi,$AD218,K$3)</f>
        <v>0</v>
      </c>
      <c r="L218" cm="1">
        <f t="array" ref="L218">INDEX(FX_Multi,$AD218,L$3)</f>
        <v>0</v>
      </c>
      <c r="M218" cm="1">
        <f t="array" ref="M218">INDEX(FX_Multi,$AD218,M$3)</f>
        <v>0</v>
      </c>
      <c r="N218" cm="1">
        <f t="array" ref="N218">INDEX(FX_Multi,$AD218,N$3)</f>
        <v>0</v>
      </c>
      <c r="O218" cm="1">
        <f t="array" ref="O218">INDEX(FX_Multi,$AD218,O$3)</f>
        <v>0</v>
      </c>
      <c r="AC218">
        <v>1</v>
      </c>
      <c r="AD218">
        <f>AD217+4</f>
        <v>95</v>
      </c>
      <c r="AE218">
        <v>1</v>
      </c>
      <c r="AF218">
        <f>AF212+10</f>
        <v>95</v>
      </c>
    </row>
    <row r="219" spans="1:32" ht="17.149999999999999" x14ac:dyDescent="0.55000000000000004">
      <c r="B219" t="str">
        <f t="shared" si="659"/>
        <v>Portland</v>
      </c>
      <c r="C219" t="s">
        <v>573</v>
      </c>
      <c r="D219" cm="1">
        <f t="array" ref="D219">INDEX(FX_Multi,$AD219,D$3)</f>
        <v>0</v>
      </c>
      <c r="E219" cm="1">
        <f t="array" ref="E219">INDEX(FX_Multi,$AD219,E$3)</f>
        <v>0</v>
      </c>
      <c r="F219" cm="1">
        <f t="array" ref="F219">INDEX(FX_Multi,$AD219,F$3)</f>
        <v>0</v>
      </c>
      <c r="G219" cm="1">
        <f t="array" ref="G219">INDEX(FX_Multi,$AD219,G$3)</f>
        <v>0</v>
      </c>
      <c r="H219" cm="1">
        <f t="array" ref="H219">INDEX(FX_Multi,$AD219,H$3)</f>
        <v>0</v>
      </c>
      <c r="I219" cm="1">
        <f t="array" ref="I219">INDEX(FX_Multi,$AD219,I$3)</f>
        <v>0</v>
      </c>
      <c r="J219" cm="1">
        <f t="array" ref="J219">INDEX(FX_Multi,$AD219,J$3)</f>
        <v>0</v>
      </c>
      <c r="K219" cm="1">
        <f t="array" ref="K219">INDEX(FX_Multi,$AD219,K$3)</f>
        <v>0</v>
      </c>
      <c r="L219" cm="1">
        <f t="array" ref="L219">INDEX(FX_Multi,$AD219,L$3)</f>
        <v>0</v>
      </c>
      <c r="M219" cm="1">
        <f t="array" ref="M219">INDEX(FX_Multi,$AD219,M$3)</f>
        <v>0</v>
      </c>
      <c r="N219" cm="1">
        <f t="array" ref="N219">INDEX(FX_Multi,$AD219,N$3)</f>
        <v>0</v>
      </c>
      <c r="O219" cm="1">
        <f t="array" ref="O219">INDEX(FX_Multi,$AD219,O$3)</f>
        <v>0</v>
      </c>
      <c r="AC219">
        <v>1</v>
      </c>
      <c r="AD219">
        <f>AD218-3</f>
        <v>92</v>
      </c>
      <c r="AE219">
        <v>1</v>
      </c>
      <c r="AF219">
        <f>AF212+7</f>
        <v>92</v>
      </c>
    </row>
    <row r="220" spans="1:32" ht="17.149999999999999" x14ac:dyDescent="0.55000000000000004">
      <c r="B220" t="str">
        <f>B215</f>
        <v>Portland</v>
      </c>
      <c r="C220" t="s">
        <v>526</v>
      </c>
      <c r="D220" cm="1">
        <f t="array" ref="D220">INDEX(FX_Temps,$AF220,D$3)</f>
        <v>42.403099999999938</v>
      </c>
      <c r="E220" cm="1">
        <f t="array" ref="E220">INDEX(FX_Temps,$AF220,E$3)</f>
        <v>43.080000000000041</v>
      </c>
      <c r="F220" cm="1">
        <f t="array" ref="F220">INDEX(FX_Temps,$AF220,F$3)</f>
        <v>44.95089999999999</v>
      </c>
      <c r="G220" cm="1">
        <f t="array" ref="G220">INDEX(FX_Temps,$AF220,G$3)</f>
        <v>48.048400000000015</v>
      </c>
      <c r="H220" cm="1">
        <f t="array" ref="H220">INDEX(FX_Temps,$AF220,H$3)</f>
        <v>53.102899999999977</v>
      </c>
      <c r="I220" cm="1">
        <f t="array" ref="I220">INDEX(FX_Temps,$AF220,I$3)</f>
        <v>57.215900000000033</v>
      </c>
      <c r="J220" cm="1">
        <f t="array" ref="J220">INDEX(FX_Temps,$AF220,J$3)</f>
        <v>60.813599999999838</v>
      </c>
      <c r="K220" cm="1">
        <f t="array" ref="K220">INDEX(FX_Temps,$AF220,K$3)</f>
        <v>60.716400000000021</v>
      </c>
      <c r="L220" cm="1">
        <f t="array" ref="L220">INDEX(FX_Temps,$AF220,L$3)</f>
        <v>57.353200000000015</v>
      </c>
      <c r="M220" cm="1">
        <f t="array" ref="M220">INDEX(FX_Temps,$AF220,M$3)</f>
        <v>50.947600000000079</v>
      </c>
      <c r="N220" cm="1">
        <f t="array" ref="N220">INDEX(FX_Temps,$AF220,N$3)</f>
        <v>45.324700000000007</v>
      </c>
      <c r="O220" cm="1">
        <f t="array" ref="O220">INDEX(FX_Temps,$AF220,O$3)</f>
        <v>42.113400000000013</v>
      </c>
      <c r="AE220">
        <v>1</v>
      </c>
      <c r="AF220">
        <f>AF212+10</f>
        <v>95</v>
      </c>
    </row>
    <row r="221" spans="1:32" ht="17.149999999999999" x14ac:dyDescent="0.55000000000000004">
      <c r="B221" t="str">
        <f t="shared" ref="B221:B242" si="660">B220</f>
        <v>Portland</v>
      </c>
      <c r="C221" t="s">
        <v>527</v>
      </c>
      <c r="D221" cm="1">
        <f t="array" ref="D221">INDEX(FX_Temps,$AF221,D$3)</f>
        <v>46.563099999999963</v>
      </c>
      <c r="E221" cm="1">
        <f t="array" ref="E221">INDEX(FX_Temps,$AF221,E$3)</f>
        <v>48.360000000000014</v>
      </c>
      <c r="F221" cm="1">
        <f t="array" ref="F221">INDEX(FX_Temps,$AF221,F$3)</f>
        <v>50.230900000000076</v>
      </c>
      <c r="G221" cm="1">
        <f t="array" ref="G221">INDEX(FX_Temps,$AF221,G$3)</f>
        <v>53.408400000000029</v>
      </c>
      <c r="H221" cm="1">
        <f t="array" ref="H221">INDEX(FX_Temps,$AF221,H$3)</f>
        <v>58.422899999999913</v>
      </c>
      <c r="I221" cm="1">
        <f t="array" ref="I221">INDEX(FX_Temps,$AF221,I$3)</f>
        <v>62.215900000000033</v>
      </c>
      <c r="J221" cm="1">
        <f t="array" ref="J221">INDEX(FX_Temps,$AF221,J$3)</f>
        <v>65.893599999999878</v>
      </c>
      <c r="K221" cm="1">
        <f t="array" ref="K221">INDEX(FX_Temps,$AF221,K$3)</f>
        <v>66.156400000000076</v>
      </c>
      <c r="L221" cm="1">
        <f t="array" ref="L221">INDEX(FX_Temps,$AF221,L$3)</f>
        <v>63.913199999999961</v>
      </c>
      <c r="M221" cm="1">
        <f t="array" ref="M221">INDEX(FX_Temps,$AF221,M$3)</f>
        <v>56.827600000000075</v>
      </c>
      <c r="N221" cm="1">
        <f t="array" ref="N221">INDEX(FX_Temps,$AF221,N$3)</f>
        <v>50.204700000000003</v>
      </c>
      <c r="O221" cm="1">
        <f t="array" ref="O221">INDEX(FX_Temps,$AF221,O$3)</f>
        <v>46.113400000000013</v>
      </c>
      <c r="AE221">
        <f>AE220</f>
        <v>1</v>
      </c>
      <c r="AF221">
        <f>AF212+11</f>
        <v>96</v>
      </c>
    </row>
    <row r="222" spans="1:32" ht="17.149999999999999" x14ac:dyDescent="0.55000000000000004">
      <c r="B222" t="str">
        <f t="shared" si="660"/>
        <v>Portland</v>
      </c>
      <c r="C222" t="s">
        <v>552</v>
      </c>
      <c r="D222" cm="1">
        <f t="array" ref="D222">INDEX(FX_Temps,$AF222,D$3)</f>
        <v>44.748924999999986</v>
      </c>
      <c r="E222" cm="1">
        <f t="array" ref="E222">INDEX(FX_Temps,$AF222,E$3)</f>
        <v>46.185000000000059</v>
      </c>
      <c r="F222" cm="1">
        <f t="array" ref="F222">INDEX(FX_Temps,$AF222,F$3)</f>
        <v>48.270575000000008</v>
      </c>
      <c r="G222" cm="1">
        <f t="array" ref="G222">INDEX(FX_Temps,$AF222,G$3)</f>
        <v>51.698699999999917</v>
      </c>
      <c r="H222" cm="1">
        <f t="array" ref="H222">INDEX(FX_Temps,$AF222,H$3)</f>
        <v>56.954074999999875</v>
      </c>
      <c r="I222" cm="1">
        <f t="array" ref="I222">INDEX(FX_Temps,$AF222,I$3)</f>
        <v>60.976825000000076</v>
      </c>
      <c r="J222" cm="1">
        <f t="array" ref="J222">INDEX(FX_Temps,$AF222,J$3)</f>
        <v>64.677299999999832</v>
      </c>
      <c r="K222" cm="1">
        <f t="array" ref="K222">INDEX(FX_Temps,$AF222,K$3)</f>
        <v>64.592699999999923</v>
      </c>
      <c r="L222" cm="1">
        <f t="array" ref="L222">INDEX(FX_Temps,$AF222,L$3)</f>
        <v>61.560100000000034</v>
      </c>
      <c r="M222" cm="1">
        <f t="array" ref="M222">INDEX(FX_Temps,$AF222,M$3)</f>
        <v>54.451800000000048</v>
      </c>
      <c r="N222" cm="1">
        <f t="array" ref="N222">INDEX(FX_Temps,$AF222,N$3)</f>
        <v>48.067724999999996</v>
      </c>
      <c r="O222" cm="1">
        <f t="array" ref="O222">INDEX(FX_Temps,$AF222,O$3)</f>
        <v>44.347450000000038</v>
      </c>
      <c r="AE222">
        <f>AE221</f>
        <v>1</v>
      </c>
      <c r="AF222">
        <f>AF212+13</f>
        <v>98</v>
      </c>
    </row>
    <row r="223" spans="1:32" ht="17.149999999999999" x14ac:dyDescent="0.55000000000000004">
      <c r="B223" t="str">
        <f t="shared" si="660"/>
        <v>Portland</v>
      </c>
      <c r="C223" t="s">
        <v>574</v>
      </c>
      <c r="D223" cm="1">
        <f t="array" ref="D223">IFERROR(IF(D213="Chemical",(10^(INDEX(Antoines,MATCH(D212,Antoine_Name,0),2)-INDEX(Antoines,MATCH(D212,Antoine_Name,0),3)/(INDEX(Antoines,MATCH(D212,Antoine_Name,0),4)+(D220-32)*5/9)))*14.7/760,IF(D213="Crude Oil",EXP((2799/(D220+459.6)-2.227)*LOG10(INDEX(FX_Input,Q$5,D$3*$Z$5+$AA$5))-(7261/(D220+459.6))+12.82),IF(D213="Refined Petroleum Stock",EXP((0.7553-(413/(D220+459.6)))*(INDEX(FX_Input,Q$5,D$3*$Z$5+$AA$5-1)^0.5)*LOG10(INDEX(FX_Input,Q$5,D$3*$Z$5+$AA$5))-(1.854-(1042/(D220+459.6)))*(INDEX(FX_Input,Q$5,D$3*$Z$5+$AA$5-1)^0.5)+((2416/(D220+459.6)-2.013)*LOG10(INDEX(FX_Input,Q$5,D$3*$Z$5+$AA$5)))-(8742/(D220+459.6))+15.64),EXP(INDEX(Antoines,MATCH(D212,Antoine_Name,0),2)-INDEX(Antoines,MATCH(D212,Antoine_Name,0),3)/(D220+459.6))))),0)</f>
        <v>4.4953541371678231E-3</v>
      </c>
      <c r="E223" cm="1">
        <f t="array" ref="E223">IFERROR(IF(E213="Chemical",(10^(INDEX(Antoines,MATCH(E212,Antoine_Name,0),2)-INDEX(Antoines,MATCH(E212,Antoine_Name,0),3)/(INDEX(Antoines,MATCH(E212,Antoine_Name,0),4)+(E220-32)*5/9)))*14.7/760,IF(E213="Crude Oil",EXP((2799/(E220+459.6)-2.227)*LOG10(INDEX(FX_Input,R$5,E$3*$Z$5+$AA$5))-(7261/(E220+459.6))+12.82),IF(E213="Refined Petroleum Stock",EXP((0.7553-(413/(E220+459.6)))*(INDEX(FX_Input,R$5,E$3*$Z$5+$AA$5-1)^0.5)*LOG10(INDEX(FX_Input,R$5,E$3*$Z$5+$AA$5))-(1.854-(1042/(E220+459.6)))*(INDEX(FX_Input,R$5,E$3*$Z$5+$AA$5-1)^0.5)+((2416/(E220+459.6)-2.013)*LOG10(INDEX(FX_Input,R$5,E$3*$Z$5+$AA$5)))-(8742/(E220+459.6))+15.64),EXP(INDEX(Antoines,MATCH(E212,Antoine_Name,0),2)-INDEX(Antoines,MATCH(E212,Antoine_Name,0),3)/(E220+459.6))))),0)</f>
        <v>4.6043729465544726E-3</v>
      </c>
      <c r="F223" cm="1">
        <f t="array" ref="F223">IFERROR(IF(F213="Chemical",(10^(INDEX(Antoines,MATCH(F212,Antoine_Name,0),2)-INDEX(Antoines,MATCH(F212,Antoine_Name,0),3)/(INDEX(Antoines,MATCH(F212,Antoine_Name,0),4)+(F220-32)*5/9)))*14.7/760,IF(F213="Crude Oil",EXP((2799/(F220+459.6)-2.227)*LOG10(INDEX(FX_Input,S$5,F$3*$Z$5+$AA$5))-(7261/(F220+459.6))+12.82),IF(F213="Refined Petroleum Stock",EXP((0.7553-(413/(F220+459.6)))*(INDEX(FX_Input,S$5,F$3*$Z$5+$AA$5-1)^0.5)*LOG10(INDEX(FX_Input,S$5,F$3*$Z$5+$AA$5))-(1.854-(1042/(F220+459.6)))*(INDEX(FX_Input,S$5,F$3*$Z$5+$AA$5-1)^0.5)+((2416/(F220+459.6)-2.013)*LOG10(INDEX(FX_Input,S$5,F$3*$Z$5+$AA$5)))-(8742/(F220+459.6))+15.64),EXP(INDEX(Antoines,MATCH(F212,Antoine_Name,0),2)-INDEX(Antoines,MATCH(F212,Antoine_Name,0),3)/(F220+459.6))))),0)</f>
        <v>4.9179969260705328E-3</v>
      </c>
      <c r="G223" cm="1">
        <f t="array" ref="G223">IFERROR(IF(G213="Chemical",(10^(INDEX(Antoines,MATCH(G212,Antoine_Name,0),2)-INDEX(Antoines,MATCH(G212,Antoine_Name,0),3)/(INDEX(Antoines,MATCH(G212,Antoine_Name,0),4)+(G220-32)*5/9)))*14.7/760,IF(G213="Crude Oil",EXP((2799/(G220+459.6)-2.227)*LOG10(INDEX(FX_Input,T$5,G$3*$Z$5+$AA$5))-(7261/(G220+459.6))+12.82),IF(G213="Refined Petroleum Stock",EXP((0.7553-(413/(G220+459.6)))*(INDEX(FX_Input,T$5,G$3*$Z$5+$AA$5-1)^0.5)*LOG10(INDEX(FX_Input,T$5,G$3*$Z$5+$AA$5))-(1.854-(1042/(G220+459.6)))*(INDEX(FX_Input,T$5,G$3*$Z$5+$AA$5-1)^0.5)+((2416/(G220+459.6)-2.013)*LOG10(INDEX(FX_Input,T$5,G$3*$Z$5+$AA$5)))-(8742/(G220+459.6))+15.64),EXP(INDEX(Antoines,MATCH(G212,Antoine_Name,0),2)-INDEX(Antoines,MATCH(G212,Antoine_Name,0),3)/(G220+459.6))))),0)</f>
        <v>5.479042667267656E-3</v>
      </c>
      <c r="H223" cm="1">
        <f t="array" ref="H223">IFERROR(IF(H213="Chemical",(10^(INDEX(Antoines,MATCH(H212,Antoine_Name,0),2)-INDEX(Antoines,MATCH(H212,Antoine_Name,0),3)/(INDEX(Antoines,MATCH(H212,Antoine_Name,0),4)+(H220-32)*5/9)))*14.7/760,IF(H213="Crude Oil",EXP((2799/(H220+459.6)-2.227)*LOG10(INDEX(FX_Input,U$5,H$3*$Z$5+$AA$5))-(7261/(H220+459.6))+12.82),IF(H213="Refined Petroleum Stock",EXP((0.7553-(413/(H220+459.6)))*(INDEX(FX_Input,U$5,H$3*$Z$5+$AA$5-1)^0.5)*LOG10(INDEX(FX_Input,U$5,H$3*$Z$5+$AA$5))-(1.854-(1042/(H220+459.6)))*(INDEX(FX_Input,U$5,H$3*$Z$5+$AA$5-1)^0.5)+((2416/(H220+459.6)-2.013)*LOG10(INDEX(FX_Input,U$5,H$3*$Z$5+$AA$5)))-(8742/(H220+459.6))+15.64),EXP(INDEX(Antoines,MATCH(H212,Antoine_Name,0),2)-INDEX(Antoines,MATCH(H212,Antoine_Name,0),3)/(H220+459.6))))),0)</f>
        <v>6.5169685513364909E-3</v>
      </c>
      <c r="I223" cm="1">
        <f t="array" ref="I223">IFERROR(IF(I213="Chemical",(10^(INDEX(Antoines,MATCH(I212,Antoine_Name,0),2)-INDEX(Antoines,MATCH(I212,Antoine_Name,0),3)/(INDEX(Antoines,MATCH(I212,Antoine_Name,0),4)+(I220-32)*5/9)))*14.7/760,IF(I213="Crude Oil",EXP((2799/(I220+459.6)-2.227)*LOG10(INDEX(FX_Input,V$5,I$3*$Z$5+$AA$5))-(7261/(I220+459.6))+12.82),IF(I213="Refined Petroleum Stock",EXP((0.7553-(413/(I220+459.6)))*(INDEX(FX_Input,V$5,I$3*$Z$5+$AA$5-1)^0.5)*LOG10(INDEX(FX_Input,V$5,I$3*$Z$5+$AA$5))-(1.854-(1042/(I220+459.6)))*(INDEX(FX_Input,V$5,I$3*$Z$5+$AA$5-1)^0.5)+((2416/(I220+459.6)-2.013)*LOG10(INDEX(FX_Input,V$5,I$3*$Z$5+$AA$5)))-(8742/(I220+459.6))+15.64),EXP(INDEX(Antoines,MATCH(I212,Antoine_Name,0),2)-INDEX(Antoines,MATCH(I212,Antoine_Name,0),3)/(I220+459.6))))),0)</f>
        <v>7.486267526260572E-3</v>
      </c>
      <c r="J223" cm="1">
        <f t="array" ref="J223">IFERROR(IF(J213="Chemical",(10^(INDEX(Antoines,MATCH(J212,Antoine_Name,0),2)-INDEX(Antoines,MATCH(J212,Antoine_Name,0),3)/(INDEX(Antoines,MATCH(J212,Antoine_Name,0),4)+(J220-32)*5/9)))*14.7/760,IF(J213="Crude Oil",EXP((2799/(J220+459.6)-2.227)*LOG10(INDEX(FX_Input,W$5,J$3*$Z$5+$AA$5))-(7261/(J220+459.6))+12.82),IF(J213="Refined Petroleum Stock",EXP((0.7553-(413/(J220+459.6)))*(INDEX(FX_Input,W$5,J$3*$Z$5+$AA$5-1)^0.5)*LOG10(INDEX(FX_Input,W$5,J$3*$Z$5+$AA$5))-(1.854-(1042/(J220+459.6)))*(INDEX(FX_Input,W$5,J$3*$Z$5+$AA$5-1)^0.5)+((2416/(J220+459.6)-2.013)*LOG10(INDEX(FX_Input,W$5,J$3*$Z$5+$AA$5)))-(8742/(J220+459.6))+15.64),EXP(INDEX(Antoines,MATCH(J212,Antoine_Name,0),2)-INDEX(Antoines,MATCH(J212,Antoine_Name,0),3)/(J220+459.6))))),0)</f>
        <v>8.4364538110447557E-3</v>
      </c>
      <c r="K223" cm="1">
        <f t="array" ref="K223">IFERROR(IF(K213="Chemical",(10^(INDEX(Antoines,MATCH(K212,Antoine_Name,0),2)-INDEX(Antoines,MATCH(K212,Antoine_Name,0),3)/(INDEX(Antoines,MATCH(K212,Antoine_Name,0),4)+(K220-32)*5/9)))*14.7/760,IF(K213="Crude Oil",EXP((2799/(K220+459.6)-2.227)*LOG10(INDEX(FX_Input,X$5,K$3*$Z$5+$AA$5))-(7261/(K220+459.6))+12.82),IF(K213="Refined Petroleum Stock",EXP((0.7553-(413/(K220+459.6)))*(INDEX(FX_Input,X$5,K$3*$Z$5+$AA$5-1)^0.5)*LOG10(INDEX(FX_Input,X$5,K$3*$Z$5+$AA$5))-(1.854-(1042/(K220+459.6)))*(INDEX(FX_Input,X$5,K$3*$Z$5+$AA$5-1)^0.5)+((2416/(K220+459.6)-2.013)*LOG10(INDEX(FX_Input,X$5,K$3*$Z$5+$AA$5)))-(8742/(K220+459.6))+15.64),EXP(INDEX(Antoines,MATCH(K212,Antoine_Name,0),2)-INDEX(Antoines,MATCH(K212,Antoine_Name,0),3)/(K220+459.6))))),0)</f>
        <v>8.4094446398714287E-3</v>
      </c>
      <c r="L223" cm="1">
        <f t="array" ref="L223">IFERROR(IF(L213="Chemical",(10^(INDEX(Antoines,MATCH(L212,Antoine_Name,0),2)-INDEX(Antoines,MATCH(L212,Antoine_Name,0),3)/(INDEX(Antoines,MATCH(L212,Antoine_Name,0),4)+(L220-32)*5/9)))*14.7/760,IF(L213="Crude Oil",EXP((2799/(L220+459.6)-2.227)*LOG10(INDEX(FX_Input,Y$5,L$3*$Z$5+$AA$5))-(7261/(L220+459.6))+12.82),IF(L213="Refined Petroleum Stock",EXP((0.7553-(413/(L220+459.6)))*(INDEX(FX_Input,Y$5,L$3*$Z$5+$AA$5-1)^0.5)*LOG10(INDEX(FX_Input,Y$5,L$3*$Z$5+$AA$5))-(1.854-(1042/(L220+459.6)))*(INDEX(FX_Input,Y$5,L$3*$Z$5+$AA$5-1)^0.5)+((2416/(L220+459.6)-2.013)*LOG10(INDEX(FX_Input,Y$5,L$3*$Z$5+$AA$5)))-(8742/(L220+459.6))+15.64),EXP(INDEX(Antoines,MATCH(L212,Antoine_Name,0),2)-INDEX(Antoines,MATCH(L212,Antoine_Name,0),3)/(L220+459.6))))),0)</f>
        <v>7.5207138884047006E-3</v>
      </c>
      <c r="M223" cm="1">
        <f t="array" ref="M223">IFERROR(IF(M213="Chemical",(10^(INDEX(Antoines,MATCH(M212,Antoine_Name,0),2)-INDEX(Antoines,MATCH(M212,Antoine_Name,0),3)/(INDEX(Antoines,MATCH(M212,Antoine_Name,0),4)+(M220-32)*5/9)))*14.7/760,IF(M213="Crude Oil",EXP((2799/(M220+459.6)-2.227)*LOG10(INDEX(FX_Input,Z$5,M$3*$Z$5+$AA$5))-(7261/(M220+459.6))+12.82),IF(M213="Refined Petroleum Stock",EXP((0.7553-(413/(M220+459.6)))*(INDEX(FX_Input,Z$5,M$3*$Z$5+$AA$5-1)^0.5)*LOG10(INDEX(FX_Input,Z$5,M$3*$Z$5+$AA$5))-(1.854-(1042/(M220+459.6)))*(INDEX(FX_Input,Z$5,M$3*$Z$5+$AA$5-1)^0.5)+((2416/(M220+459.6)-2.013)*LOG10(INDEX(FX_Input,Z$5,M$3*$Z$5+$AA$5)))-(8742/(M220+459.6))+15.64),EXP(INDEX(Antoines,MATCH(M212,Antoine_Name,0),2)-INDEX(Antoines,MATCH(M212,Antoine_Name,0),3)/(M220+459.6))))),0)</f>
        <v>6.0548274008136857E-3</v>
      </c>
      <c r="N223" cm="1">
        <f t="array" ref="N223">IFERROR(IF(N213="Chemical",(10^(INDEX(Antoines,MATCH(N212,Antoine_Name,0),2)-INDEX(Antoines,MATCH(N212,Antoine_Name,0),3)/(INDEX(Antoines,MATCH(N212,Antoine_Name,0),4)+(N220-32)*5/9)))*14.7/760,IF(N213="Crude Oil",EXP((2799/(N220+459.6)-2.227)*LOG10(INDEX(FX_Input,AA$5,N$3*$Z$5+$AA$5))-(7261/(N220+459.6))+12.82),IF(N213="Refined Petroleum Stock",EXP((0.7553-(413/(N220+459.6)))*(INDEX(FX_Input,AA$5,N$3*$Z$5+$AA$5-1)^0.5)*LOG10(INDEX(FX_Input,AA$5,N$3*$Z$5+$AA$5))-(1.854-(1042/(N220+459.6)))*(INDEX(FX_Input,AA$5,N$3*$Z$5+$AA$5-1)^0.5)+((2416/(N220+459.6)-2.013)*LOG10(INDEX(FX_Input,AA$5,N$3*$Z$5+$AA$5)))-(8742/(N220+459.6))+15.64),EXP(INDEX(Antoines,MATCH(N212,Antoine_Name,0),2)-INDEX(Antoines,MATCH(N212,Antoine_Name,0),3)/(N220+459.6))))),0)</f>
        <v>4.9828816635194605E-3</v>
      </c>
      <c r="O223" cm="1">
        <f t="array" ref="O223">IFERROR(IF(O213="Chemical",(10^(INDEX(Antoines,MATCH(O212,Antoine_Name,0),2)-INDEX(Antoines,MATCH(O212,Antoine_Name,0),3)/(INDEX(Antoines,MATCH(O212,Antoine_Name,0),4)+(O220-32)*5/9)))*14.7/760,IF(O213="Crude Oil",EXP((2799/(O220+459.6)-2.227)*LOG10(INDEX(FX_Input,AB$5,O$3*$Z$5+$AA$5))-(7261/(O220+459.6))+12.82),IF(O213="Refined Petroleum Stock",EXP((0.7553-(413/(O220+459.6)))*(INDEX(FX_Input,AB$5,O$3*$Z$5+$AA$5-1)^0.5)*LOG10(INDEX(FX_Input,AB$5,O$3*$Z$5+$AA$5))-(1.854-(1042/(O220+459.6)))*(INDEX(FX_Input,AB$5,O$3*$Z$5+$AA$5-1)^0.5)+((2416/(O220+459.6)-2.013)*LOG10(INDEX(FX_Input,AB$5,O$3*$Z$5+$AA$5)))-(8742/(O220+459.6))+15.64),EXP(INDEX(Antoines,MATCH(O212,Antoine_Name,0),2)-INDEX(Antoines,MATCH(O212,Antoine_Name,0),3)/(O220+459.6))))),0)</f>
        <v>4.4494006627366521E-3</v>
      </c>
    </row>
    <row r="224" spans="1:32" ht="17.149999999999999" x14ac:dyDescent="0.55000000000000004">
      <c r="B224" t="str">
        <f t="shared" si="660"/>
        <v>Portland</v>
      </c>
      <c r="C224" t="s">
        <v>576</v>
      </c>
      <c r="D224">
        <f>D216*D223</f>
        <v>4.4953541371678231E-3</v>
      </c>
      <c r="E224">
        <f t="shared" ref="E224" si="661">E216*E223</f>
        <v>4.6043729465544726E-3</v>
      </c>
      <c r="F224">
        <f t="shared" ref="F224" si="662">F216*F223</f>
        <v>4.9179969260705328E-3</v>
      </c>
      <c r="G224">
        <f t="shared" ref="G224" si="663">G216*G223</f>
        <v>5.479042667267656E-3</v>
      </c>
      <c r="H224">
        <f t="shared" ref="H224" si="664">H216*H223</f>
        <v>6.5169685513364909E-3</v>
      </c>
      <c r="I224">
        <f t="shared" ref="I224" si="665">I216*I223</f>
        <v>7.486267526260572E-3</v>
      </c>
      <c r="J224">
        <f t="shared" ref="J224" si="666">J216*J223</f>
        <v>8.4364538110447557E-3</v>
      </c>
      <c r="K224">
        <f t="shared" ref="K224" si="667">K216*K223</f>
        <v>8.4094446398714287E-3</v>
      </c>
      <c r="L224">
        <f t="shared" ref="L224" si="668">L216*L223</f>
        <v>7.5207138884047006E-3</v>
      </c>
      <c r="M224">
        <f t="shared" ref="M224" si="669">M216*M223</f>
        <v>6.0548274008136857E-3</v>
      </c>
      <c r="N224">
        <f t="shared" ref="N224" si="670">N216*N223</f>
        <v>4.9828816635194605E-3</v>
      </c>
      <c r="O224">
        <f t="shared" ref="O224" si="671">O216*O223</f>
        <v>4.4494006627366521E-3</v>
      </c>
    </row>
    <row r="225" spans="2:15" ht="17.149999999999999" x14ac:dyDescent="0.55000000000000004">
      <c r="B225" t="str">
        <f t="shared" si="660"/>
        <v>Portland</v>
      </c>
      <c r="C225" t="s">
        <v>575</v>
      </c>
      <c r="D225" cm="1">
        <f t="array" ref="D225">IFERROR(IF(D215="Chemical",(10^(INDEX(Antoines,MATCH(D214,Antoine_Name,0),2)-INDEX(Antoines,MATCH(D214,Antoine_Name,0),3)/(INDEX(Antoines,MATCH(D214,Antoine_Name,0),4)+(D220-32)*5/9)))*14.7/760,IF(D215="Crude Oil",EXP((2799/(D220+459.6)-2.227)*LOG10(INDEX(FX_Input,Q$5,D$3*$Z$5+$AA$5))-(7261/(D220+459.6))+12.82),IF(D215="Refined Petroleum Stock",EXP((0.7553-(413/(D220+459.6)))*(INDEX(FX_Input,Q$5,D$3*$Z$5+$AA$5-1)^0.5)*LOG10(INDEX(FX_Input,Q$5,D$3*$Z$5+$AA$5))-(1.854-(1042/(D220+459.6)))*(INDEX(FX_Input,Q$5,D$3*$Z$5+$AA$5-1)^0.5)+((2416/(D220+459.6)-2.013)*LOG10(INDEX(FX_Input,Q$5,D$3*$Z$5+$AA$5)))-(8742/(D220+459.6))+15.64),EXP(INDEX(Antoines,MATCH(D214,Antoine_Name,0),2)-INDEX(Antoines,MATCH(D214,Antoine_Name,0),3)/(D220+459.6))))),0)</f>
        <v>0</v>
      </c>
      <c r="E225" cm="1">
        <f t="array" ref="E225">IFERROR(IF(E215="Chemical",(10^(INDEX(Antoines,MATCH(E214,Antoine_Name,0),2)-INDEX(Antoines,MATCH(E214,Antoine_Name,0),3)/(INDEX(Antoines,MATCH(E214,Antoine_Name,0),4)+(E220-32)*5/9)))*14.7/760,IF(E215="Crude Oil",EXP((2799/(E220+459.6)-2.227)*LOG10(INDEX(FX_Input,R$5,E$3*$Z$5+$AA$5))-(7261/(E220+459.6))+12.82),IF(E215="Refined Petroleum Stock",EXP((0.7553-(413/(E220+459.6)))*(INDEX(FX_Input,R$5,E$3*$Z$5+$AA$5-1)^0.5)*LOG10(INDEX(FX_Input,R$5,E$3*$Z$5+$AA$5))-(1.854-(1042/(E220+459.6)))*(INDEX(FX_Input,R$5,E$3*$Z$5+$AA$5-1)^0.5)+((2416/(E220+459.6)-2.013)*LOG10(INDEX(FX_Input,R$5,E$3*$Z$5+$AA$5)))-(8742/(E220+459.6))+15.64),EXP(INDEX(Antoines,MATCH(E214,Antoine_Name,0),2)-INDEX(Antoines,MATCH(E214,Antoine_Name,0),3)/(E220+459.6))))),0)</f>
        <v>0</v>
      </c>
      <c r="F225" cm="1">
        <f t="array" ref="F225">IFERROR(IF(F215="Chemical",(10^(INDEX(Antoines,MATCH(F214,Antoine_Name,0),2)-INDEX(Antoines,MATCH(F214,Antoine_Name,0),3)/(INDEX(Antoines,MATCH(F214,Antoine_Name,0),4)+(F220-32)*5/9)))*14.7/760,IF(F215="Crude Oil",EXP((2799/(F220+459.6)-2.227)*LOG10(INDEX(FX_Input,S$5,F$3*$Z$5+$AA$5))-(7261/(F220+459.6))+12.82),IF(F215="Refined Petroleum Stock",EXP((0.7553-(413/(F220+459.6)))*(INDEX(FX_Input,S$5,F$3*$Z$5+$AA$5-1)^0.5)*LOG10(INDEX(FX_Input,S$5,F$3*$Z$5+$AA$5))-(1.854-(1042/(F220+459.6)))*(INDEX(FX_Input,S$5,F$3*$Z$5+$AA$5-1)^0.5)+((2416/(F220+459.6)-2.013)*LOG10(INDEX(FX_Input,S$5,F$3*$Z$5+$AA$5)))-(8742/(F220+459.6))+15.64),EXP(INDEX(Antoines,MATCH(F214,Antoine_Name,0),2)-INDEX(Antoines,MATCH(F214,Antoine_Name,0),3)/(F220+459.6))))),0)</f>
        <v>0</v>
      </c>
      <c r="G225" cm="1">
        <f t="array" ref="G225">IFERROR(IF(G215="Chemical",(10^(INDEX(Antoines,MATCH(G214,Antoine_Name,0),2)-INDEX(Antoines,MATCH(G214,Antoine_Name,0),3)/(INDEX(Antoines,MATCH(G214,Antoine_Name,0),4)+(G220-32)*5/9)))*14.7/760,IF(G215="Crude Oil",EXP((2799/(G220+459.6)-2.227)*LOG10(INDEX(FX_Input,T$5,G$3*$Z$5+$AA$5))-(7261/(G220+459.6))+12.82),IF(G215="Refined Petroleum Stock",EXP((0.7553-(413/(G220+459.6)))*(INDEX(FX_Input,T$5,G$3*$Z$5+$AA$5-1)^0.5)*LOG10(INDEX(FX_Input,T$5,G$3*$Z$5+$AA$5))-(1.854-(1042/(G220+459.6)))*(INDEX(FX_Input,T$5,G$3*$Z$5+$AA$5-1)^0.5)+((2416/(G220+459.6)-2.013)*LOG10(INDEX(FX_Input,T$5,G$3*$Z$5+$AA$5)))-(8742/(G220+459.6))+15.64),EXP(INDEX(Antoines,MATCH(G214,Antoine_Name,0),2)-INDEX(Antoines,MATCH(G214,Antoine_Name,0),3)/(G220+459.6))))),0)</f>
        <v>0</v>
      </c>
      <c r="H225" cm="1">
        <f t="array" ref="H225">IFERROR(IF(H215="Chemical",(10^(INDEX(Antoines,MATCH(H214,Antoine_Name,0),2)-INDEX(Antoines,MATCH(H214,Antoine_Name,0),3)/(INDEX(Antoines,MATCH(H214,Antoine_Name,0),4)+(H220-32)*5/9)))*14.7/760,IF(H215="Crude Oil",EXP((2799/(H220+459.6)-2.227)*LOG10(INDEX(FX_Input,U$5,H$3*$Z$5+$AA$5))-(7261/(H220+459.6))+12.82),IF(H215="Refined Petroleum Stock",EXP((0.7553-(413/(H220+459.6)))*(INDEX(FX_Input,U$5,H$3*$Z$5+$AA$5-1)^0.5)*LOG10(INDEX(FX_Input,U$5,H$3*$Z$5+$AA$5))-(1.854-(1042/(H220+459.6)))*(INDEX(FX_Input,U$5,H$3*$Z$5+$AA$5-1)^0.5)+((2416/(H220+459.6)-2.013)*LOG10(INDEX(FX_Input,U$5,H$3*$Z$5+$AA$5)))-(8742/(H220+459.6))+15.64),EXP(INDEX(Antoines,MATCH(H214,Antoine_Name,0),2)-INDEX(Antoines,MATCH(H214,Antoine_Name,0),3)/(H220+459.6))))),0)</f>
        <v>0</v>
      </c>
      <c r="I225" cm="1">
        <f t="array" ref="I225">IFERROR(IF(I215="Chemical",(10^(INDEX(Antoines,MATCH(I214,Antoine_Name,0),2)-INDEX(Antoines,MATCH(I214,Antoine_Name,0),3)/(INDEX(Antoines,MATCH(I214,Antoine_Name,0),4)+(I220-32)*5/9)))*14.7/760,IF(I215="Crude Oil",EXP((2799/(I220+459.6)-2.227)*LOG10(INDEX(FX_Input,V$5,I$3*$Z$5+$AA$5))-(7261/(I220+459.6))+12.82),IF(I215="Refined Petroleum Stock",EXP((0.7553-(413/(I220+459.6)))*(INDEX(FX_Input,V$5,I$3*$Z$5+$AA$5-1)^0.5)*LOG10(INDEX(FX_Input,V$5,I$3*$Z$5+$AA$5))-(1.854-(1042/(I220+459.6)))*(INDEX(FX_Input,V$5,I$3*$Z$5+$AA$5-1)^0.5)+((2416/(I220+459.6)-2.013)*LOG10(INDEX(FX_Input,V$5,I$3*$Z$5+$AA$5)))-(8742/(I220+459.6))+15.64),EXP(INDEX(Antoines,MATCH(I214,Antoine_Name,0),2)-INDEX(Antoines,MATCH(I214,Antoine_Name,0),3)/(I220+459.6))))),0)</f>
        <v>0</v>
      </c>
      <c r="J225" cm="1">
        <f t="array" ref="J225">IFERROR(IF(J215="Chemical",(10^(INDEX(Antoines,MATCH(J214,Antoine_Name,0),2)-INDEX(Antoines,MATCH(J214,Antoine_Name,0),3)/(INDEX(Antoines,MATCH(J214,Antoine_Name,0),4)+(J220-32)*5/9)))*14.7/760,IF(J215="Crude Oil",EXP((2799/(J220+459.6)-2.227)*LOG10(INDEX(FX_Input,W$5,J$3*$Z$5+$AA$5))-(7261/(J220+459.6))+12.82),IF(J215="Refined Petroleum Stock",EXP((0.7553-(413/(J220+459.6)))*(INDEX(FX_Input,W$5,J$3*$Z$5+$AA$5-1)^0.5)*LOG10(INDEX(FX_Input,W$5,J$3*$Z$5+$AA$5))-(1.854-(1042/(J220+459.6)))*(INDEX(FX_Input,W$5,J$3*$Z$5+$AA$5-1)^0.5)+((2416/(J220+459.6)-2.013)*LOG10(INDEX(FX_Input,W$5,J$3*$Z$5+$AA$5)))-(8742/(J220+459.6))+15.64),EXP(INDEX(Antoines,MATCH(J214,Antoine_Name,0),2)-INDEX(Antoines,MATCH(J214,Antoine_Name,0),3)/(J220+459.6))))),0)</f>
        <v>0</v>
      </c>
      <c r="K225" cm="1">
        <f t="array" ref="K225">IFERROR(IF(K215="Chemical",(10^(INDEX(Antoines,MATCH(K214,Antoine_Name,0),2)-INDEX(Antoines,MATCH(K214,Antoine_Name,0),3)/(INDEX(Antoines,MATCH(K214,Antoine_Name,0),4)+(K220-32)*5/9)))*14.7/760,IF(K215="Crude Oil",EXP((2799/(K220+459.6)-2.227)*LOG10(INDEX(FX_Input,X$5,K$3*$Z$5+$AA$5))-(7261/(K220+459.6))+12.82),IF(K215="Refined Petroleum Stock",EXP((0.7553-(413/(K220+459.6)))*(INDEX(FX_Input,X$5,K$3*$Z$5+$AA$5-1)^0.5)*LOG10(INDEX(FX_Input,X$5,K$3*$Z$5+$AA$5))-(1.854-(1042/(K220+459.6)))*(INDEX(FX_Input,X$5,K$3*$Z$5+$AA$5-1)^0.5)+((2416/(K220+459.6)-2.013)*LOG10(INDEX(FX_Input,X$5,K$3*$Z$5+$AA$5)))-(8742/(K220+459.6))+15.64),EXP(INDEX(Antoines,MATCH(K214,Antoine_Name,0),2)-INDEX(Antoines,MATCH(K214,Antoine_Name,0),3)/(K220+459.6))))),0)</f>
        <v>0</v>
      </c>
      <c r="L225" cm="1">
        <f t="array" ref="L225">IFERROR(IF(L215="Chemical",(10^(INDEX(Antoines,MATCH(L214,Antoine_Name,0),2)-INDEX(Antoines,MATCH(L214,Antoine_Name,0),3)/(INDEX(Antoines,MATCH(L214,Antoine_Name,0),4)+(L220-32)*5/9)))*14.7/760,IF(L215="Crude Oil",EXP((2799/(L220+459.6)-2.227)*LOG10(INDEX(FX_Input,Y$5,L$3*$Z$5+$AA$5))-(7261/(L220+459.6))+12.82),IF(L215="Refined Petroleum Stock",EXP((0.7553-(413/(L220+459.6)))*(INDEX(FX_Input,Y$5,L$3*$Z$5+$AA$5-1)^0.5)*LOG10(INDEX(FX_Input,Y$5,L$3*$Z$5+$AA$5))-(1.854-(1042/(L220+459.6)))*(INDEX(FX_Input,Y$5,L$3*$Z$5+$AA$5-1)^0.5)+((2416/(L220+459.6)-2.013)*LOG10(INDEX(FX_Input,Y$5,L$3*$Z$5+$AA$5)))-(8742/(L220+459.6))+15.64),EXP(INDEX(Antoines,MATCH(L214,Antoine_Name,0),2)-INDEX(Antoines,MATCH(L214,Antoine_Name,0),3)/(L220+459.6))))),0)</f>
        <v>0</v>
      </c>
      <c r="M225" cm="1">
        <f t="array" ref="M225">IFERROR(IF(M215="Chemical",(10^(INDEX(Antoines,MATCH(M214,Antoine_Name,0),2)-INDEX(Antoines,MATCH(M214,Antoine_Name,0),3)/(INDEX(Antoines,MATCH(M214,Antoine_Name,0),4)+(M220-32)*5/9)))*14.7/760,IF(M215="Crude Oil",EXP((2799/(M220+459.6)-2.227)*LOG10(INDEX(FX_Input,Z$5,M$3*$Z$5+$AA$5))-(7261/(M220+459.6))+12.82),IF(M215="Refined Petroleum Stock",EXP((0.7553-(413/(M220+459.6)))*(INDEX(FX_Input,Z$5,M$3*$Z$5+$AA$5-1)^0.5)*LOG10(INDEX(FX_Input,Z$5,M$3*$Z$5+$AA$5))-(1.854-(1042/(M220+459.6)))*(INDEX(FX_Input,Z$5,M$3*$Z$5+$AA$5-1)^0.5)+((2416/(M220+459.6)-2.013)*LOG10(INDEX(FX_Input,Z$5,M$3*$Z$5+$AA$5)))-(8742/(M220+459.6))+15.64),EXP(INDEX(Antoines,MATCH(M214,Antoine_Name,0),2)-INDEX(Antoines,MATCH(M214,Antoine_Name,0),3)/(M220+459.6))))),0)</f>
        <v>0</v>
      </c>
      <c r="N225" cm="1">
        <f t="array" ref="N225">IFERROR(IF(N215="Chemical",(10^(INDEX(Antoines,MATCH(N214,Antoine_Name,0),2)-INDEX(Antoines,MATCH(N214,Antoine_Name,0),3)/(INDEX(Antoines,MATCH(N214,Antoine_Name,0),4)+(N220-32)*5/9)))*14.7/760,IF(N215="Crude Oil",EXP((2799/(N220+459.6)-2.227)*LOG10(INDEX(FX_Input,AA$5,N$3*$Z$5+$AA$5))-(7261/(N220+459.6))+12.82),IF(N215="Refined Petroleum Stock",EXP((0.7553-(413/(N220+459.6)))*(INDEX(FX_Input,AA$5,N$3*$Z$5+$AA$5-1)^0.5)*LOG10(INDEX(FX_Input,AA$5,N$3*$Z$5+$AA$5))-(1.854-(1042/(N220+459.6)))*(INDEX(FX_Input,AA$5,N$3*$Z$5+$AA$5-1)^0.5)+((2416/(N220+459.6)-2.013)*LOG10(INDEX(FX_Input,AA$5,N$3*$Z$5+$AA$5)))-(8742/(N220+459.6))+15.64),EXP(INDEX(Antoines,MATCH(N214,Antoine_Name,0),2)-INDEX(Antoines,MATCH(N214,Antoine_Name,0),3)/(N220+459.6))))),0)</f>
        <v>0</v>
      </c>
      <c r="O225" cm="1">
        <f t="array" ref="O225">IFERROR(IF(O215="Chemical",(10^(INDEX(Antoines,MATCH(O214,Antoine_Name,0),2)-INDEX(Antoines,MATCH(O214,Antoine_Name,0),3)/(INDEX(Antoines,MATCH(O214,Antoine_Name,0),4)+(O220-32)*5/9)))*14.7/760,IF(O215="Crude Oil",EXP((2799/(O220+459.6)-2.227)*LOG10(INDEX(FX_Input,AB$5,O$3*$Z$5+$AA$5))-(7261/(O220+459.6))+12.82),IF(O215="Refined Petroleum Stock",EXP((0.7553-(413/(O220+459.6)))*(INDEX(FX_Input,AB$5,O$3*$Z$5+$AA$5-1)^0.5)*LOG10(INDEX(FX_Input,AB$5,O$3*$Z$5+$AA$5))-(1.854-(1042/(O220+459.6)))*(INDEX(FX_Input,AB$5,O$3*$Z$5+$AA$5-1)^0.5)+((2416/(O220+459.6)-2.013)*LOG10(INDEX(FX_Input,AB$5,O$3*$Z$5+$AA$5)))-(8742/(O220+459.6))+15.64),EXP(INDEX(Antoines,MATCH(O214,Antoine_Name,0),2)-INDEX(Antoines,MATCH(O214,Antoine_Name,0),3)/(O220+459.6))))),0)</f>
        <v>0</v>
      </c>
    </row>
    <row r="226" spans="2:15" ht="17.149999999999999" x14ac:dyDescent="0.55000000000000004">
      <c r="B226" t="str">
        <f t="shared" si="660"/>
        <v>Portland</v>
      </c>
      <c r="C226" t="s">
        <v>577</v>
      </c>
      <c r="D226">
        <f>D225*D218</f>
        <v>0</v>
      </c>
      <c r="E226">
        <f t="shared" ref="E226" si="672">E225*E218</f>
        <v>0</v>
      </c>
      <c r="F226">
        <f t="shared" ref="F226" si="673">F225*F218</f>
        <v>0</v>
      </c>
      <c r="G226">
        <f t="shared" ref="G226" si="674">G225*G218</f>
        <v>0</v>
      </c>
      <c r="H226">
        <f t="shared" ref="H226" si="675">H225*H218</f>
        <v>0</v>
      </c>
      <c r="I226">
        <f t="shared" ref="I226" si="676">I225*I218</f>
        <v>0</v>
      </c>
      <c r="J226">
        <f t="shared" ref="J226" si="677">J225*J218</f>
        <v>0</v>
      </c>
      <c r="K226">
        <f t="shared" ref="K226" si="678">K225*K218</f>
        <v>0</v>
      </c>
      <c r="L226">
        <f t="shared" ref="L226" si="679">L225*L218</f>
        <v>0</v>
      </c>
      <c r="M226">
        <f t="shared" ref="M226" si="680">M225*M218</f>
        <v>0</v>
      </c>
      <c r="N226">
        <f t="shared" ref="N226" si="681">N225*N218</f>
        <v>0</v>
      </c>
      <c r="O226">
        <f t="shared" ref="O226" si="682">O225*O218</f>
        <v>0</v>
      </c>
    </row>
    <row r="227" spans="2:15" ht="17.149999999999999" x14ac:dyDescent="0.55000000000000004">
      <c r="B227" t="str">
        <f t="shared" si="660"/>
        <v>Portland</v>
      </c>
      <c r="C227" t="s">
        <v>578</v>
      </c>
      <c r="D227">
        <f>D226+D224</f>
        <v>4.4953541371678231E-3</v>
      </c>
      <c r="E227">
        <f t="shared" ref="E227" si="683">E226+E224</f>
        <v>4.6043729465544726E-3</v>
      </c>
      <c r="F227">
        <f t="shared" ref="F227" si="684">F226+F224</f>
        <v>4.9179969260705328E-3</v>
      </c>
      <c r="G227">
        <f t="shared" ref="G227" si="685">G226+G224</f>
        <v>5.479042667267656E-3</v>
      </c>
      <c r="H227">
        <f t="shared" ref="H227" si="686">H226+H224</f>
        <v>6.5169685513364909E-3</v>
      </c>
      <c r="I227">
        <f t="shared" ref="I227" si="687">I226+I224</f>
        <v>7.486267526260572E-3</v>
      </c>
      <c r="J227">
        <f t="shared" ref="J227" si="688">J226+J224</f>
        <v>8.4364538110447557E-3</v>
      </c>
      <c r="K227">
        <f t="shared" ref="K227" si="689">K226+K224</f>
        <v>8.4094446398714287E-3</v>
      </c>
      <c r="L227">
        <f t="shared" ref="L227" si="690">L226+L224</f>
        <v>7.5207138884047006E-3</v>
      </c>
      <c r="M227">
        <f t="shared" ref="M227" si="691">M226+M224</f>
        <v>6.0548274008136857E-3</v>
      </c>
      <c r="N227">
        <f t="shared" ref="N227" si="692">N226+N224</f>
        <v>4.9828816635194605E-3</v>
      </c>
      <c r="O227">
        <f t="shared" ref="O227" si="693">O226+O224</f>
        <v>4.4494006627366521E-3</v>
      </c>
    </row>
    <row r="228" spans="2:15" ht="17.149999999999999" x14ac:dyDescent="0.55000000000000004">
      <c r="B228" t="str">
        <f t="shared" si="660"/>
        <v>Portland</v>
      </c>
      <c r="C228" t="s">
        <v>579</v>
      </c>
      <c r="D228" cm="1">
        <f t="array" ref="D228">IFERROR(IF(D213="Chemical",(10^(INDEX(Antoines,MATCH(D212,Antoine_Name,0),2)-INDEX(Antoines,MATCH(D212,Antoine_Name,0),3)/(INDEX(Antoines,MATCH(D212,Antoine_Name,0),4)+(D221-32)*5/9)))*14.7/760,IF(D213="Crude Oil",EXP((2799/(D221+459.6)-2.227)*LOG10(INDEX(FX_Input,Q$5,D$3*$Z$5+$AA$5))-(7261/(D221+459.6))+12.82),IF(D213="Refined Petroleum Stock",EXP((0.7553-(413/(D221+459.6)))*(INDEX(FX_Input,Q$5,D$3*$Z$5+$AA$5-1)^0.5)*LOG10(INDEX(FX_Input,Q$5,D$3*$Z$5+$AA$5))-(1.854-(1042/(D221+459.6)))*(INDEX(FX_Input,Q$5,D$3*$Z$5+$AA$5-1)^0.5)+((2416/(D221+459.6)-2.013)*LOG10(INDEX(FX_Input,Q$5,D$3*$Z$5+$AA$5)))-(8742/(D221+459.6))+15.64),EXP(INDEX(Antoines,MATCH(D212,Antoine_Name,0),2)-INDEX(Antoines,MATCH(D212,Antoine_Name,0),3)/(D221+459.6))))),0)</f>
        <v>5.2033036727344552E-3</v>
      </c>
      <c r="E228" cm="1">
        <f t="array" ref="E228">IFERROR(IF(E213="Chemical",(10^(INDEX(Antoines,MATCH(E212,Antoine_Name,0),2)-INDEX(Antoines,MATCH(E212,Antoine_Name,0),3)/(INDEX(Antoines,MATCH(E212,Antoine_Name,0),4)+(E221-32)*5/9)))*14.7/760,IF(E213="Crude Oil",EXP((2799/(E221+459.6)-2.227)*LOG10(INDEX(FX_Input,R$5,E$3*$Z$5+$AA$5))-(7261/(E221+459.6))+12.82),IF(E213="Refined Petroleum Stock",EXP((0.7553-(413/(E221+459.6)))*(INDEX(FX_Input,R$5,E$3*$Z$5+$AA$5-1)^0.5)*LOG10(INDEX(FX_Input,R$5,E$3*$Z$5+$AA$5))-(1.854-(1042/(E221+459.6)))*(INDEX(FX_Input,R$5,E$3*$Z$5+$AA$5-1)^0.5)+((2416/(E221+459.6)-2.013)*LOG10(INDEX(FX_Input,R$5,E$3*$Z$5+$AA$5)))-(8742/(E221+459.6))+15.64),EXP(INDEX(Antoines,MATCH(E212,Antoine_Name,0),2)-INDEX(Antoines,MATCH(E212,Antoine_Name,0),3)/(E221+459.6))))),0)</f>
        <v>5.5385065183370758E-3</v>
      </c>
      <c r="F228" cm="1">
        <f t="array" ref="F228">IFERROR(IF(F213="Chemical",(10^(INDEX(Antoines,MATCH(F212,Antoine_Name,0),2)-INDEX(Antoines,MATCH(F212,Antoine_Name,0),3)/(INDEX(Antoines,MATCH(F212,Antoine_Name,0),4)+(F221-32)*5/9)))*14.7/760,IF(F213="Crude Oil",EXP((2799/(F221+459.6)-2.227)*LOG10(INDEX(FX_Input,S$5,F$3*$Z$5+$AA$5))-(7261/(F221+459.6))+12.82),IF(F213="Refined Petroleum Stock",EXP((0.7553-(413/(F221+459.6)))*(INDEX(FX_Input,S$5,F$3*$Z$5+$AA$5-1)^0.5)*LOG10(INDEX(FX_Input,S$5,F$3*$Z$5+$AA$5))-(1.854-(1042/(F221+459.6)))*(INDEX(FX_Input,S$5,F$3*$Z$5+$AA$5-1)^0.5)+((2416/(F221+459.6)-2.013)*LOG10(INDEX(FX_Input,S$5,F$3*$Z$5+$AA$5)))-(8742/(F221+459.6))+15.64),EXP(INDEX(Antoines,MATCH(F212,Antoine_Name,0),2)-INDEX(Antoines,MATCH(F212,Antoine_Name,0),3)/(F221+459.6))))),0)</f>
        <v>5.9077167859673575E-3</v>
      </c>
      <c r="G228" cm="1">
        <f t="array" ref="G228">IFERROR(IF(G213="Chemical",(10^(INDEX(Antoines,MATCH(G212,Antoine_Name,0),2)-INDEX(Antoines,MATCH(G212,Antoine_Name,0),3)/(INDEX(Antoines,MATCH(G212,Antoine_Name,0),4)+(G221-32)*5/9)))*14.7/760,IF(G213="Crude Oil",EXP((2799/(G221+459.6)-2.227)*LOG10(INDEX(FX_Input,T$5,G$3*$Z$5+$AA$5))-(7261/(G221+459.6))+12.82),IF(G213="Refined Petroleum Stock",EXP((0.7553-(413/(G221+459.6)))*(INDEX(FX_Input,T$5,G$3*$Z$5+$AA$5-1)^0.5)*LOG10(INDEX(FX_Input,T$5,G$3*$Z$5+$AA$5))-(1.854-(1042/(G221+459.6)))*(INDEX(FX_Input,T$5,G$3*$Z$5+$AA$5-1)^0.5)+((2416/(G221+459.6)-2.013)*LOG10(INDEX(FX_Input,T$5,G$3*$Z$5+$AA$5)))-(8742/(G221+459.6))+15.64),EXP(INDEX(Antoines,MATCH(G212,Antoine_Name,0),2)-INDEX(Antoines,MATCH(G212,Antoine_Name,0),3)/(G221+459.6))))),0)</f>
        <v>6.5849388112918178E-3</v>
      </c>
      <c r="H228" cm="1">
        <f t="array" ref="H228">IFERROR(IF(H213="Chemical",(10^(INDEX(Antoines,MATCH(H212,Antoine_Name,0),2)-INDEX(Antoines,MATCH(H212,Antoine_Name,0),3)/(INDEX(Antoines,MATCH(H212,Antoine_Name,0),4)+(H221-32)*5/9)))*14.7/760,IF(H213="Crude Oil",EXP((2799/(H221+459.6)-2.227)*LOG10(INDEX(FX_Input,U$5,H$3*$Z$5+$AA$5))-(7261/(H221+459.6))+12.82),IF(H213="Refined Petroleum Stock",EXP((0.7553-(413/(H221+459.6)))*(INDEX(FX_Input,U$5,H$3*$Z$5+$AA$5-1)^0.5)*LOG10(INDEX(FX_Input,U$5,H$3*$Z$5+$AA$5))-(1.854-(1042/(H221+459.6)))*(INDEX(FX_Input,U$5,H$3*$Z$5+$AA$5-1)^0.5)+((2416/(H221+459.6)-2.013)*LOG10(INDEX(FX_Input,U$5,H$3*$Z$5+$AA$5)))-(8742/(H221+459.6))+15.64),EXP(INDEX(Antoines,MATCH(H212,Antoine_Name,0),2)-INDEX(Antoines,MATCH(H212,Antoine_Name,0),3)/(H221+459.6))))),0)</f>
        <v>7.7939195379121001E-3</v>
      </c>
      <c r="I228" cm="1">
        <f t="array" ref="I228">IFERROR(IF(I213="Chemical",(10^(INDEX(Antoines,MATCH(I212,Antoine_Name,0),2)-INDEX(Antoines,MATCH(I212,Antoine_Name,0),3)/(INDEX(Antoines,MATCH(I212,Antoine_Name,0),4)+(I221-32)*5/9)))*14.7/760,IF(I213="Crude Oil",EXP((2799/(I221+459.6)-2.227)*LOG10(INDEX(FX_Input,V$5,I$3*$Z$5+$AA$5))-(7261/(I221+459.6))+12.82),IF(I213="Refined Petroleum Stock",EXP((0.7553-(413/(I221+459.6)))*(INDEX(FX_Input,V$5,I$3*$Z$5+$AA$5-1)^0.5)*LOG10(INDEX(FX_Input,V$5,I$3*$Z$5+$AA$5))-(1.854-(1042/(I221+459.6)))*(INDEX(FX_Input,V$5,I$3*$Z$5+$AA$5-1)^0.5)+((2416/(I221+459.6)-2.013)*LOG10(INDEX(FX_Input,V$5,I$3*$Z$5+$AA$5)))-(8742/(I221+459.6))+15.64),EXP(INDEX(Antoines,MATCH(I212,Antoine_Name,0),2)-INDEX(Antoines,MATCH(I212,Antoine_Name,0),3)/(I221+459.6))))),0)</f>
        <v>8.8347329003026723E-3</v>
      </c>
      <c r="J228" cm="1">
        <f t="array" ref="J228">IFERROR(IF(J213="Chemical",(10^(INDEX(Antoines,MATCH(J212,Antoine_Name,0),2)-INDEX(Antoines,MATCH(J212,Antoine_Name,0),3)/(INDEX(Antoines,MATCH(J212,Antoine_Name,0),4)+(J221-32)*5/9)))*14.7/760,IF(J213="Crude Oil",EXP((2799/(J221+459.6)-2.227)*LOG10(INDEX(FX_Input,W$5,J$3*$Z$5+$AA$5))-(7261/(J221+459.6))+12.82),IF(J213="Refined Petroleum Stock",EXP((0.7553-(413/(J221+459.6)))*(INDEX(FX_Input,W$5,J$3*$Z$5+$AA$5-1)^0.5)*LOG10(INDEX(FX_Input,W$5,J$3*$Z$5+$AA$5))-(1.854-(1042/(J221+459.6)))*(INDEX(FX_Input,W$5,J$3*$Z$5+$AA$5-1)^0.5)+((2416/(J221+459.6)-2.013)*LOG10(INDEX(FX_Input,W$5,J$3*$Z$5+$AA$5)))-(8742/(J221+459.6))+15.64),EXP(INDEX(Antoines,MATCH(J212,Antoine_Name,0),2)-INDEX(Antoines,MATCH(J212,Antoine_Name,0),3)/(J221+459.6))))),0)</f>
        <v>9.9592296270275289E-3</v>
      </c>
      <c r="K228" cm="1">
        <f t="array" ref="K228">IFERROR(IF(K213="Chemical",(10^(INDEX(Antoines,MATCH(K212,Antoine_Name,0),2)-INDEX(Antoines,MATCH(K212,Antoine_Name,0),3)/(INDEX(Antoines,MATCH(K212,Antoine_Name,0),4)+(K221-32)*5/9)))*14.7/760,IF(K213="Crude Oil",EXP((2799/(K221+459.6)-2.227)*LOG10(INDEX(FX_Input,X$5,K$3*$Z$5+$AA$5))-(7261/(K221+459.6))+12.82),IF(K213="Refined Petroleum Stock",EXP((0.7553-(413/(K221+459.6)))*(INDEX(FX_Input,X$5,K$3*$Z$5+$AA$5-1)^0.5)*LOG10(INDEX(FX_Input,X$5,K$3*$Z$5+$AA$5))-(1.854-(1042/(K221+459.6)))*(INDEX(FX_Input,X$5,K$3*$Z$5+$AA$5-1)^0.5)+((2416/(K221+459.6)-2.013)*LOG10(INDEX(FX_Input,X$5,K$3*$Z$5+$AA$5)))-(8742/(K221+459.6))+15.64),EXP(INDEX(Antoines,MATCH(K212,Antoine_Name,0),2)-INDEX(Antoines,MATCH(K212,Antoine_Name,0),3)/(K221+459.6))))),0)</f>
        <v>1.0044214742690162E-2</v>
      </c>
      <c r="L228" cm="1">
        <f t="array" ref="L228">IFERROR(IF(L213="Chemical",(10^(INDEX(Antoines,MATCH(L212,Antoine_Name,0),2)-INDEX(Antoines,MATCH(L212,Antoine_Name,0),3)/(INDEX(Antoines,MATCH(L212,Antoine_Name,0),4)+(L221-32)*5/9)))*14.7/760,IF(L213="Crude Oil",EXP((2799/(L221+459.6)-2.227)*LOG10(INDEX(FX_Input,Y$5,L$3*$Z$5+$AA$5))-(7261/(L221+459.6))+12.82),IF(L213="Refined Petroleum Stock",EXP((0.7553-(413/(L221+459.6)))*(INDEX(FX_Input,Y$5,L$3*$Z$5+$AA$5-1)^0.5)*LOG10(INDEX(FX_Input,Y$5,L$3*$Z$5+$AA$5))-(1.854-(1042/(L221+459.6)))*(INDEX(FX_Input,Y$5,L$3*$Z$5+$AA$5-1)^0.5)+((2416/(L221+459.6)-2.013)*LOG10(INDEX(FX_Input,Y$5,L$3*$Z$5+$AA$5)))-(8742/(L221+459.6))+15.64),EXP(INDEX(Antoines,MATCH(L212,Antoine_Name,0),2)-INDEX(Antoines,MATCH(L212,Antoine_Name,0),3)/(L221+459.6))))),0)</f>
        <v>9.3389439263883208E-3</v>
      </c>
      <c r="M228" cm="1">
        <f t="array" ref="M228">IFERROR(IF(M213="Chemical",(10^(INDEX(Antoines,MATCH(M212,Antoine_Name,0),2)-INDEX(Antoines,MATCH(M212,Antoine_Name,0),3)/(INDEX(Antoines,MATCH(M212,Antoine_Name,0),4)+(M221-32)*5/9)))*14.7/760,IF(M213="Crude Oil",EXP((2799/(M221+459.6)-2.227)*LOG10(INDEX(FX_Input,Z$5,M$3*$Z$5+$AA$5))-(7261/(M221+459.6))+12.82),IF(M213="Refined Petroleum Stock",EXP((0.7553-(413/(M221+459.6)))*(INDEX(FX_Input,Z$5,M$3*$Z$5+$AA$5-1)^0.5)*LOG10(INDEX(FX_Input,Z$5,M$3*$Z$5+$AA$5))-(1.854-(1042/(M221+459.6)))*(INDEX(FX_Input,Z$5,M$3*$Z$5+$AA$5-1)^0.5)+((2416/(M221+459.6)-2.013)*LOG10(INDEX(FX_Input,Z$5,M$3*$Z$5+$AA$5)))-(8742/(M221+459.6))+15.64),EXP(INDEX(Antoines,MATCH(M212,Antoine_Name,0),2)-INDEX(Antoines,MATCH(M212,Antoine_Name,0),3)/(M221+459.6))))),0)</f>
        <v>7.3896033166885589E-3</v>
      </c>
      <c r="N228" cm="1">
        <f t="array" ref="N228">IFERROR(IF(N213="Chemical",(10^(INDEX(Antoines,MATCH(N212,Antoine_Name,0),2)-INDEX(Antoines,MATCH(N212,Antoine_Name,0),3)/(INDEX(Antoines,MATCH(N212,Antoine_Name,0),4)+(N221-32)*5/9)))*14.7/760,IF(N213="Crude Oil",EXP((2799/(N221+459.6)-2.227)*LOG10(INDEX(FX_Input,AA$5,N$3*$Z$5+$AA$5))-(7261/(N221+459.6))+12.82),IF(N213="Refined Petroleum Stock",EXP((0.7553-(413/(N221+459.6)))*(INDEX(FX_Input,AA$5,N$3*$Z$5+$AA$5-1)^0.5)*LOG10(INDEX(FX_Input,AA$5,N$3*$Z$5+$AA$5))-(1.854-(1042/(N221+459.6)))*(INDEX(FX_Input,AA$5,N$3*$Z$5+$AA$5-1)^0.5)+((2416/(N221+459.6)-2.013)*LOG10(INDEX(FX_Input,AA$5,N$3*$Z$5+$AA$5)))-(8742/(N221+459.6))+15.64),EXP(INDEX(Antoines,MATCH(N212,Antoine_Name,0),2)-INDEX(Antoines,MATCH(N212,Antoine_Name,0),3)/(N221+459.6))))),0)</f>
        <v>5.902399466128503E-3</v>
      </c>
      <c r="O228" cm="1">
        <f t="array" ref="O228">IFERROR(IF(O213="Chemical",(10^(INDEX(Antoines,MATCH(O212,Antoine_Name,0),2)-INDEX(Antoines,MATCH(O212,Antoine_Name,0),3)/(INDEX(Antoines,MATCH(O212,Antoine_Name,0),4)+(O221-32)*5/9)))*14.7/760,IF(O213="Crude Oil",EXP((2799/(O221+459.6)-2.227)*LOG10(INDEX(FX_Input,AB$5,O$3*$Z$5+$AA$5))-(7261/(O221+459.6))+12.82),IF(O213="Refined Petroleum Stock",EXP((0.7553-(413/(O221+459.6)))*(INDEX(FX_Input,AB$5,O$3*$Z$5+$AA$5-1)^0.5)*LOG10(INDEX(FX_Input,AB$5,O$3*$Z$5+$AA$5))-(1.854-(1042/(O221+459.6)))*(INDEX(FX_Input,AB$5,O$3*$Z$5+$AA$5-1)^0.5)+((2416/(O221+459.6)-2.013)*LOG10(INDEX(FX_Input,AB$5,O$3*$Z$5+$AA$5)))-(8742/(O221+459.6))+15.64),EXP(INDEX(Antoines,MATCH(O212,Antoine_Name,0),2)-INDEX(Antoines,MATCH(O212,Antoine_Name,0),3)/(O221+459.6))))),0)</f>
        <v>5.1222820261006847E-3</v>
      </c>
    </row>
    <row r="229" spans="2:15" ht="17.149999999999999" x14ac:dyDescent="0.55000000000000004">
      <c r="B229" t="str">
        <f t="shared" si="660"/>
        <v>Portland</v>
      </c>
      <c r="C229" t="s">
        <v>580</v>
      </c>
      <c r="D229">
        <f>D228*D216</f>
        <v>5.2033036727344552E-3</v>
      </c>
      <c r="E229">
        <f t="shared" ref="E229" si="694">E228*E216</f>
        <v>5.5385065183370758E-3</v>
      </c>
      <c r="F229">
        <f t="shared" ref="F229" si="695">F228*F216</f>
        <v>5.9077167859673575E-3</v>
      </c>
      <c r="G229">
        <f t="shared" ref="G229" si="696">G228*G216</f>
        <v>6.5849388112918178E-3</v>
      </c>
      <c r="H229">
        <f t="shared" ref="H229" si="697">H228*H216</f>
        <v>7.7939195379121001E-3</v>
      </c>
      <c r="I229">
        <f t="shared" ref="I229" si="698">I228*I216</f>
        <v>8.8347329003026723E-3</v>
      </c>
      <c r="J229">
        <f t="shared" ref="J229" si="699">J228*J216</f>
        <v>9.9592296270275289E-3</v>
      </c>
      <c r="K229">
        <f t="shared" ref="K229" si="700">K228*K216</f>
        <v>1.0044214742690162E-2</v>
      </c>
      <c r="L229">
        <f t="shared" ref="L229" si="701">L228*L216</f>
        <v>9.3389439263883208E-3</v>
      </c>
      <c r="M229">
        <f t="shared" ref="M229" si="702">M228*M216</f>
        <v>7.3896033166885589E-3</v>
      </c>
      <c r="N229">
        <f t="shared" ref="N229" si="703">N228*N216</f>
        <v>5.902399466128503E-3</v>
      </c>
      <c r="O229">
        <f t="shared" ref="O229" si="704">O228*O216</f>
        <v>5.1222820261006847E-3</v>
      </c>
    </row>
    <row r="230" spans="2:15" ht="17.149999999999999" x14ac:dyDescent="0.55000000000000004">
      <c r="B230" t="str">
        <f t="shared" si="660"/>
        <v>Portland</v>
      </c>
      <c r="C230" t="s">
        <v>581</v>
      </c>
      <c r="D230" cm="1">
        <f t="array" ref="D230">IFERROR(IF(D215="Chemical",(10^(INDEX(Antoines,MATCH(D214,Antoine_Name,0),2)-INDEX(Antoines,MATCH(D214,Antoine_Name,0),3)/(INDEX(Antoines,MATCH(D214,Antoine_Name,0),4)+(D221-32)*5/9)))*14.7/760,IF(D215="Crude Oil",EXP((2799/(D221+459.6)-2.227)*LOG10(INDEX(FX_Input,Q$5,D$3*$Z$5+$AA$5))-(7261/(D221+459.6))+12.82),IF(D215="Refined Petroleum Stock",EXP((0.7553-(413/(D221+459.6)))*(INDEX(FX_Input,Q$5,D$3*$Z$5+$AA$5-1)^0.5)*LOG10(INDEX(FX_Input,Q$5,D$3*$Z$5+$AA$5))-(1.854-(1042/(D221+459.6)))*(INDEX(FX_Input,Q$5,D$3*$Z$5+$AA$5-1)^0.5)+((2416/(D221+459.6)-2.013)*LOG10(INDEX(FX_Input,Q$5,D$3*$Z$5+$AA$5)))-(8742/(D221+459.6))+15.64),EXP(INDEX(Antoines,MATCH(D214,Antoine_Name,0),2)-INDEX(Antoines,MATCH(D214,Antoine_Name,0),3)/(D221+459.6))))),0)</f>
        <v>0</v>
      </c>
      <c r="E230" cm="1">
        <f t="array" ref="E230">IFERROR(IF(E215="Chemical",(10^(INDEX(Antoines,MATCH(E214,Antoine_Name,0),2)-INDEX(Antoines,MATCH(E214,Antoine_Name,0),3)/(INDEX(Antoines,MATCH(E214,Antoine_Name,0),4)+(E221-32)*5/9)))*14.7/760,IF(E215="Crude Oil",EXP((2799/(E221+459.6)-2.227)*LOG10(INDEX(FX_Input,R$5,E$3*$Z$5+$AA$5))-(7261/(E221+459.6))+12.82),IF(E215="Refined Petroleum Stock",EXP((0.7553-(413/(E221+459.6)))*(INDEX(FX_Input,R$5,E$3*$Z$5+$AA$5-1)^0.5)*LOG10(INDEX(FX_Input,R$5,E$3*$Z$5+$AA$5))-(1.854-(1042/(E221+459.6)))*(INDEX(FX_Input,R$5,E$3*$Z$5+$AA$5-1)^0.5)+((2416/(E221+459.6)-2.013)*LOG10(INDEX(FX_Input,R$5,E$3*$Z$5+$AA$5)))-(8742/(E221+459.6))+15.64),EXP(INDEX(Antoines,MATCH(E214,Antoine_Name,0),2)-INDEX(Antoines,MATCH(E214,Antoine_Name,0),3)/(E221+459.6))))),0)</f>
        <v>0</v>
      </c>
      <c r="F230" cm="1">
        <f t="array" ref="F230">IFERROR(IF(F215="Chemical",(10^(INDEX(Antoines,MATCH(F214,Antoine_Name,0),2)-INDEX(Antoines,MATCH(F214,Antoine_Name,0),3)/(INDEX(Antoines,MATCH(F214,Antoine_Name,0),4)+(F221-32)*5/9)))*14.7/760,IF(F215="Crude Oil",EXP((2799/(F221+459.6)-2.227)*LOG10(INDEX(FX_Input,S$5,F$3*$Z$5+$AA$5))-(7261/(F221+459.6))+12.82),IF(F215="Refined Petroleum Stock",EXP((0.7553-(413/(F221+459.6)))*(INDEX(FX_Input,S$5,F$3*$Z$5+$AA$5-1)^0.5)*LOG10(INDEX(FX_Input,S$5,F$3*$Z$5+$AA$5))-(1.854-(1042/(F221+459.6)))*(INDEX(FX_Input,S$5,F$3*$Z$5+$AA$5-1)^0.5)+((2416/(F221+459.6)-2.013)*LOG10(INDEX(FX_Input,S$5,F$3*$Z$5+$AA$5)))-(8742/(F221+459.6))+15.64),EXP(INDEX(Antoines,MATCH(F214,Antoine_Name,0),2)-INDEX(Antoines,MATCH(F214,Antoine_Name,0),3)/(F221+459.6))))),0)</f>
        <v>0</v>
      </c>
      <c r="G230" cm="1">
        <f t="array" ref="G230">IFERROR(IF(G215="Chemical",(10^(INDEX(Antoines,MATCH(G214,Antoine_Name,0),2)-INDEX(Antoines,MATCH(G214,Antoine_Name,0),3)/(INDEX(Antoines,MATCH(G214,Antoine_Name,0),4)+(G221-32)*5/9)))*14.7/760,IF(G215="Crude Oil",EXP((2799/(G221+459.6)-2.227)*LOG10(INDEX(FX_Input,T$5,G$3*$Z$5+$AA$5))-(7261/(G221+459.6))+12.82),IF(G215="Refined Petroleum Stock",EXP((0.7553-(413/(G221+459.6)))*(INDEX(FX_Input,T$5,G$3*$Z$5+$AA$5-1)^0.5)*LOG10(INDEX(FX_Input,T$5,G$3*$Z$5+$AA$5))-(1.854-(1042/(G221+459.6)))*(INDEX(FX_Input,T$5,G$3*$Z$5+$AA$5-1)^0.5)+((2416/(G221+459.6)-2.013)*LOG10(INDEX(FX_Input,T$5,G$3*$Z$5+$AA$5)))-(8742/(G221+459.6))+15.64),EXP(INDEX(Antoines,MATCH(G214,Antoine_Name,0),2)-INDEX(Antoines,MATCH(G214,Antoine_Name,0),3)/(G221+459.6))))),0)</f>
        <v>0</v>
      </c>
      <c r="H230" cm="1">
        <f t="array" ref="H230">IFERROR(IF(H215="Chemical",(10^(INDEX(Antoines,MATCH(H214,Antoine_Name,0),2)-INDEX(Antoines,MATCH(H214,Antoine_Name,0),3)/(INDEX(Antoines,MATCH(H214,Antoine_Name,0),4)+(H221-32)*5/9)))*14.7/760,IF(H215="Crude Oil",EXP((2799/(H221+459.6)-2.227)*LOG10(INDEX(FX_Input,U$5,H$3*$Z$5+$AA$5))-(7261/(H221+459.6))+12.82),IF(H215="Refined Petroleum Stock",EXP((0.7553-(413/(H221+459.6)))*(INDEX(FX_Input,U$5,H$3*$Z$5+$AA$5-1)^0.5)*LOG10(INDEX(FX_Input,U$5,H$3*$Z$5+$AA$5))-(1.854-(1042/(H221+459.6)))*(INDEX(FX_Input,U$5,H$3*$Z$5+$AA$5-1)^0.5)+((2416/(H221+459.6)-2.013)*LOG10(INDEX(FX_Input,U$5,H$3*$Z$5+$AA$5)))-(8742/(H221+459.6))+15.64),EXP(INDEX(Antoines,MATCH(H214,Antoine_Name,0),2)-INDEX(Antoines,MATCH(H214,Antoine_Name,0),3)/(H221+459.6))))),0)</f>
        <v>0</v>
      </c>
      <c r="I230" cm="1">
        <f t="array" ref="I230">IFERROR(IF(I215="Chemical",(10^(INDEX(Antoines,MATCH(I214,Antoine_Name,0),2)-INDEX(Antoines,MATCH(I214,Antoine_Name,0),3)/(INDEX(Antoines,MATCH(I214,Antoine_Name,0),4)+(I221-32)*5/9)))*14.7/760,IF(I215="Crude Oil",EXP((2799/(I221+459.6)-2.227)*LOG10(INDEX(FX_Input,V$5,I$3*$Z$5+$AA$5))-(7261/(I221+459.6))+12.82),IF(I215="Refined Petroleum Stock",EXP((0.7553-(413/(I221+459.6)))*(INDEX(FX_Input,V$5,I$3*$Z$5+$AA$5-1)^0.5)*LOG10(INDEX(FX_Input,V$5,I$3*$Z$5+$AA$5))-(1.854-(1042/(I221+459.6)))*(INDEX(FX_Input,V$5,I$3*$Z$5+$AA$5-1)^0.5)+((2416/(I221+459.6)-2.013)*LOG10(INDEX(FX_Input,V$5,I$3*$Z$5+$AA$5)))-(8742/(I221+459.6))+15.64),EXP(INDEX(Antoines,MATCH(I214,Antoine_Name,0),2)-INDEX(Antoines,MATCH(I214,Antoine_Name,0),3)/(I221+459.6))))),0)</f>
        <v>0</v>
      </c>
      <c r="J230" cm="1">
        <f t="array" ref="J230">IFERROR(IF(J215="Chemical",(10^(INDEX(Antoines,MATCH(J214,Antoine_Name,0),2)-INDEX(Antoines,MATCH(J214,Antoine_Name,0),3)/(INDEX(Antoines,MATCH(J214,Antoine_Name,0),4)+(J221-32)*5/9)))*14.7/760,IF(J215="Crude Oil",EXP((2799/(J221+459.6)-2.227)*LOG10(INDEX(FX_Input,W$5,J$3*$Z$5+$AA$5))-(7261/(J221+459.6))+12.82),IF(J215="Refined Petroleum Stock",EXP((0.7553-(413/(J221+459.6)))*(INDEX(FX_Input,W$5,J$3*$Z$5+$AA$5-1)^0.5)*LOG10(INDEX(FX_Input,W$5,J$3*$Z$5+$AA$5))-(1.854-(1042/(J221+459.6)))*(INDEX(FX_Input,W$5,J$3*$Z$5+$AA$5-1)^0.5)+((2416/(J221+459.6)-2.013)*LOG10(INDEX(FX_Input,W$5,J$3*$Z$5+$AA$5)))-(8742/(J221+459.6))+15.64),EXP(INDEX(Antoines,MATCH(J214,Antoine_Name,0),2)-INDEX(Antoines,MATCH(J214,Antoine_Name,0),3)/(J221+459.6))))),0)</f>
        <v>0</v>
      </c>
      <c r="K230" cm="1">
        <f t="array" ref="K230">IFERROR(IF(K215="Chemical",(10^(INDEX(Antoines,MATCH(K214,Antoine_Name,0),2)-INDEX(Antoines,MATCH(K214,Antoine_Name,0),3)/(INDEX(Antoines,MATCH(K214,Antoine_Name,0),4)+(K221-32)*5/9)))*14.7/760,IF(K215="Crude Oil",EXP((2799/(K221+459.6)-2.227)*LOG10(INDEX(FX_Input,X$5,K$3*$Z$5+$AA$5))-(7261/(K221+459.6))+12.82),IF(K215="Refined Petroleum Stock",EXP((0.7553-(413/(K221+459.6)))*(INDEX(FX_Input,X$5,K$3*$Z$5+$AA$5-1)^0.5)*LOG10(INDEX(FX_Input,X$5,K$3*$Z$5+$AA$5))-(1.854-(1042/(K221+459.6)))*(INDEX(FX_Input,X$5,K$3*$Z$5+$AA$5-1)^0.5)+((2416/(K221+459.6)-2.013)*LOG10(INDEX(FX_Input,X$5,K$3*$Z$5+$AA$5)))-(8742/(K221+459.6))+15.64),EXP(INDEX(Antoines,MATCH(K214,Antoine_Name,0),2)-INDEX(Antoines,MATCH(K214,Antoine_Name,0),3)/(K221+459.6))))),0)</f>
        <v>0</v>
      </c>
      <c r="L230" cm="1">
        <f t="array" ref="L230">IFERROR(IF(L215="Chemical",(10^(INDEX(Antoines,MATCH(L214,Antoine_Name,0),2)-INDEX(Antoines,MATCH(L214,Antoine_Name,0),3)/(INDEX(Antoines,MATCH(L214,Antoine_Name,0),4)+(L221-32)*5/9)))*14.7/760,IF(L215="Crude Oil",EXP((2799/(L221+459.6)-2.227)*LOG10(INDEX(FX_Input,Y$5,L$3*$Z$5+$AA$5))-(7261/(L221+459.6))+12.82),IF(L215="Refined Petroleum Stock",EXP((0.7553-(413/(L221+459.6)))*(INDEX(FX_Input,Y$5,L$3*$Z$5+$AA$5-1)^0.5)*LOG10(INDEX(FX_Input,Y$5,L$3*$Z$5+$AA$5))-(1.854-(1042/(L221+459.6)))*(INDEX(FX_Input,Y$5,L$3*$Z$5+$AA$5-1)^0.5)+((2416/(L221+459.6)-2.013)*LOG10(INDEX(FX_Input,Y$5,L$3*$Z$5+$AA$5)))-(8742/(L221+459.6))+15.64),EXP(INDEX(Antoines,MATCH(L214,Antoine_Name,0),2)-INDEX(Antoines,MATCH(L214,Antoine_Name,0),3)/(L221+459.6))))),0)</f>
        <v>0</v>
      </c>
      <c r="M230" cm="1">
        <f t="array" ref="M230">IFERROR(IF(M215="Chemical",(10^(INDEX(Antoines,MATCH(M214,Antoine_Name,0),2)-INDEX(Antoines,MATCH(M214,Antoine_Name,0),3)/(INDEX(Antoines,MATCH(M214,Antoine_Name,0),4)+(M221-32)*5/9)))*14.7/760,IF(M215="Crude Oil",EXP((2799/(M221+459.6)-2.227)*LOG10(INDEX(FX_Input,Z$5,M$3*$Z$5+$AA$5))-(7261/(M221+459.6))+12.82),IF(M215="Refined Petroleum Stock",EXP((0.7553-(413/(M221+459.6)))*(INDEX(FX_Input,Z$5,M$3*$Z$5+$AA$5-1)^0.5)*LOG10(INDEX(FX_Input,Z$5,M$3*$Z$5+$AA$5))-(1.854-(1042/(M221+459.6)))*(INDEX(FX_Input,Z$5,M$3*$Z$5+$AA$5-1)^0.5)+((2416/(M221+459.6)-2.013)*LOG10(INDEX(FX_Input,Z$5,M$3*$Z$5+$AA$5)))-(8742/(M221+459.6))+15.64),EXP(INDEX(Antoines,MATCH(M214,Antoine_Name,0),2)-INDEX(Antoines,MATCH(M214,Antoine_Name,0),3)/(M221+459.6))))),0)</f>
        <v>0</v>
      </c>
      <c r="N230" cm="1">
        <f t="array" ref="N230">IFERROR(IF(N215="Chemical",(10^(INDEX(Antoines,MATCH(N214,Antoine_Name,0),2)-INDEX(Antoines,MATCH(N214,Antoine_Name,0),3)/(INDEX(Antoines,MATCH(N214,Antoine_Name,0),4)+(N221-32)*5/9)))*14.7/760,IF(N215="Crude Oil",EXP((2799/(N221+459.6)-2.227)*LOG10(INDEX(FX_Input,AA$5,N$3*$Z$5+$AA$5))-(7261/(N221+459.6))+12.82),IF(N215="Refined Petroleum Stock",EXP((0.7553-(413/(N221+459.6)))*(INDEX(FX_Input,AA$5,N$3*$Z$5+$AA$5-1)^0.5)*LOG10(INDEX(FX_Input,AA$5,N$3*$Z$5+$AA$5))-(1.854-(1042/(N221+459.6)))*(INDEX(FX_Input,AA$5,N$3*$Z$5+$AA$5-1)^0.5)+((2416/(N221+459.6)-2.013)*LOG10(INDEX(FX_Input,AA$5,N$3*$Z$5+$AA$5)))-(8742/(N221+459.6))+15.64),EXP(INDEX(Antoines,MATCH(N214,Antoine_Name,0),2)-INDEX(Antoines,MATCH(N214,Antoine_Name,0),3)/(N221+459.6))))),0)</f>
        <v>0</v>
      </c>
      <c r="O230" cm="1">
        <f t="array" ref="O230">IFERROR(IF(O215="Chemical",(10^(INDEX(Antoines,MATCH(O214,Antoine_Name,0),2)-INDEX(Antoines,MATCH(O214,Antoine_Name,0),3)/(INDEX(Antoines,MATCH(O214,Antoine_Name,0),4)+(O221-32)*5/9)))*14.7/760,IF(O215="Crude Oil",EXP((2799/(O221+459.6)-2.227)*LOG10(INDEX(FX_Input,AB$5,O$3*$Z$5+$AA$5))-(7261/(O221+459.6))+12.82),IF(O215="Refined Petroleum Stock",EXP((0.7553-(413/(O221+459.6)))*(INDEX(FX_Input,AB$5,O$3*$Z$5+$AA$5-1)^0.5)*LOG10(INDEX(FX_Input,AB$5,O$3*$Z$5+$AA$5))-(1.854-(1042/(O221+459.6)))*(INDEX(FX_Input,AB$5,O$3*$Z$5+$AA$5-1)^0.5)+((2416/(O221+459.6)-2.013)*LOG10(INDEX(FX_Input,AB$5,O$3*$Z$5+$AA$5)))-(8742/(O221+459.6))+15.64),EXP(INDEX(Antoines,MATCH(O214,Antoine_Name,0),2)-INDEX(Antoines,MATCH(O214,Antoine_Name,0),3)/(O221+459.6))))),0)</f>
        <v>0</v>
      </c>
    </row>
    <row r="231" spans="2:15" ht="17.149999999999999" x14ac:dyDescent="0.55000000000000004">
      <c r="B231" t="str">
        <f t="shared" si="660"/>
        <v>Portland</v>
      </c>
      <c r="C231" t="s">
        <v>582</v>
      </c>
      <c r="D231">
        <f>D230*D218</f>
        <v>0</v>
      </c>
      <c r="E231">
        <f t="shared" ref="E231" si="705">E230*E218</f>
        <v>0</v>
      </c>
      <c r="F231">
        <f t="shared" ref="F231" si="706">F230*F218</f>
        <v>0</v>
      </c>
      <c r="G231">
        <f t="shared" ref="G231" si="707">G230*G218</f>
        <v>0</v>
      </c>
      <c r="H231">
        <f t="shared" ref="H231" si="708">H230*H218</f>
        <v>0</v>
      </c>
      <c r="I231">
        <f t="shared" ref="I231" si="709">I230*I218</f>
        <v>0</v>
      </c>
      <c r="J231">
        <f t="shared" ref="J231" si="710">J230*J218</f>
        <v>0</v>
      </c>
      <c r="K231">
        <f t="shared" ref="K231" si="711">K230*K218</f>
        <v>0</v>
      </c>
      <c r="L231">
        <f t="shared" ref="L231" si="712">L230*L218</f>
        <v>0</v>
      </c>
      <c r="M231">
        <f t="shared" ref="M231" si="713">M230*M218</f>
        <v>0</v>
      </c>
      <c r="N231">
        <f t="shared" ref="N231" si="714">N230*N218</f>
        <v>0</v>
      </c>
      <c r="O231">
        <f t="shared" ref="O231" si="715">O230*O218</f>
        <v>0</v>
      </c>
    </row>
    <row r="232" spans="2:15" ht="17.149999999999999" x14ac:dyDescent="0.55000000000000004">
      <c r="B232" t="str">
        <f t="shared" si="660"/>
        <v>Portland</v>
      </c>
      <c r="C232" t="s">
        <v>583</v>
      </c>
      <c r="D232">
        <f>D229+D231</f>
        <v>5.2033036727344552E-3</v>
      </c>
      <c r="E232">
        <f t="shared" ref="E232" si="716">E229+E231</f>
        <v>5.5385065183370758E-3</v>
      </c>
      <c r="F232">
        <f t="shared" ref="F232" si="717">F229+F231</f>
        <v>5.9077167859673575E-3</v>
      </c>
      <c r="G232">
        <f t="shared" ref="G232" si="718">G229+G231</f>
        <v>6.5849388112918178E-3</v>
      </c>
      <c r="H232">
        <f t="shared" ref="H232" si="719">H229+H231</f>
        <v>7.7939195379121001E-3</v>
      </c>
      <c r="I232">
        <f t="shared" ref="I232" si="720">I229+I231</f>
        <v>8.8347329003026723E-3</v>
      </c>
      <c r="J232">
        <f t="shared" ref="J232" si="721">J229+J231</f>
        <v>9.9592296270275289E-3</v>
      </c>
      <c r="K232">
        <f t="shared" ref="K232" si="722">K229+K231</f>
        <v>1.0044214742690162E-2</v>
      </c>
      <c r="L232">
        <f t="shared" ref="L232" si="723">L229+L231</f>
        <v>9.3389439263883208E-3</v>
      </c>
      <c r="M232">
        <f t="shared" ref="M232" si="724">M229+M231</f>
        <v>7.3896033166885589E-3</v>
      </c>
      <c r="N232">
        <f t="shared" ref="N232" si="725">N229+N231</f>
        <v>5.902399466128503E-3</v>
      </c>
      <c r="O232">
        <f t="shared" ref="O232" si="726">O229+O231</f>
        <v>5.1222820261006847E-3</v>
      </c>
    </row>
    <row r="233" spans="2:15" ht="17.149999999999999" x14ac:dyDescent="0.55000000000000004">
      <c r="B233" t="str">
        <f t="shared" si="660"/>
        <v>Portland</v>
      </c>
      <c r="C233" t="s">
        <v>1388</v>
      </c>
      <c r="D233" cm="1">
        <f t="array" ref="D233">IFERROR(IF(D213="Chemical",(10^(INDEX(Antoines,MATCH(D212,Antoine_Name,0),2)-INDEX(Antoines,MATCH(D212,Antoine_Name,0),3)/(INDEX(Antoines,MATCH(D212,Antoine_Name,0),4)+(D222-32)*5/9)))*14.7/760,IF(D213="Crude Oil",EXP((2799/(D222+459.6)-2.227)*LOG10(INDEX(FX_Input,Q$5,D$3*$Z$5+$AA$5))-(7261/(D222+459.6))+12.82),IF(D213="Refined Petroleum Stock",EXP((0.7553-(413/(D222+459.6)))*(INDEX(FX_Input,Q$5,D$3*$Z$5+$AA$5-1)^0.5)*LOG10(INDEX(FX_Input,Q$5,D$3*$Z$5+$AA$5))-(1.854-(1042/(D222+459.6)))*(INDEX(FX_Input,Q$5,D$3*$Z$5+$AA$5-1)^0.5)+((2416/(D222+459.6)-2.013)*LOG10(INDEX(FX_Input,Q$5,D$3*$Z$5+$AA$5)))-(8742/(D222+459.6))+15.64),EXP(INDEX(Antoines,MATCH(D212,Antoine_Name,0),2)-INDEX(Antoines,MATCH(D212,Antoine_Name,0),3)/(D222+459.6))))),0)</f>
        <v>4.883250638471285E-3</v>
      </c>
      <c r="E233" cm="1">
        <f t="array" ref="E233">IFERROR(IF(E213="Chemical",(10^(INDEX(Antoines,MATCH(E212,Antoine_Name,0),2)-INDEX(Antoines,MATCH(E212,Antoine_Name,0),3)/(INDEX(Antoines,MATCH(E212,Antoine_Name,0),4)+(E222-32)*5/9)))*14.7/760,IF(E213="Crude Oil",EXP((2799/(E222+459.6)-2.227)*LOG10(INDEX(FX_Input,R$5,E$3*$Z$5+$AA$5))-(7261/(E222+459.6))+12.82),IF(E213="Refined Petroleum Stock",EXP((0.7553-(413/(E222+459.6)))*(INDEX(FX_Input,R$5,E$3*$Z$5+$AA$5-1)^0.5)*LOG10(INDEX(FX_Input,R$5,E$3*$Z$5+$AA$5))-(1.854-(1042/(E222+459.6)))*(INDEX(FX_Input,R$5,E$3*$Z$5+$AA$5-1)^0.5)+((2416/(E222+459.6)-2.013)*LOG10(INDEX(FX_Input,R$5,E$3*$Z$5+$AA$5)))-(8742/(E222+459.6))+15.64),EXP(INDEX(Antoines,MATCH(E212,Antoine_Name,0),2)-INDEX(Antoines,MATCH(E212,Antoine_Name,0),3)/(E222+459.6))))),0)</f>
        <v>5.1351067062407989E-3</v>
      </c>
      <c r="F233" cm="1">
        <f t="array" ref="F233">IFERROR(IF(F213="Chemical",(10^(INDEX(Antoines,MATCH(F212,Antoine_Name,0),2)-INDEX(Antoines,MATCH(F212,Antoine_Name,0),3)/(INDEX(Antoines,MATCH(F212,Antoine_Name,0),4)+(F222-32)*5/9)))*14.7/760,IF(F213="Crude Oil",EXP((2799/(F222+459.6)-2.227)*LOG10(INDEX(FX_Input,S$5,F$3*$Z$5+$AA$5))-(7261/(F222+459.6))+12.82),IF(F213="Refined Petroleum Stock",EXP((0.7553-(413/(F222+459.6)))*(INDEX(FX_Input,S$5,F$3*$Z$5+$AA$5-1)^0.5)*LOG10(INDEX(FX_Input,S$5,F$3*$Z$5+$AA$5))-(1.854-(1042/(F222+459.6)))*(INDEX(FX_Input,S$5,F$3*$Z$5+$AA$5-1)^0.5)+((2416/(F222+459.6)-2.013)*LOG10(INDEX(FX_Input,S$5,F$3*$Z$5+$AA$5)))-(8742/(F222+459.6))+15.64),EXP(INDEX(Antoines,MATCH(F212,Antoine_Name,0),2)-INDEX(Antoines,MATCH(F212,Antoine_Name,0),3)/(F222+459.6))))),0)</f>
        <v>5.5213829543467952E-3</v>
      </c>
      <c r="G233" cm="1">
        <f t="array" ref="G233">IFERROR(IF(G213="Chemical",(10^(INDEX(Antoines,MATCH(G212,Antoine_Name,0),2)-INDEX(Antoines,MATCH(G212,Antoine_Name,0),3)/(INDEX(Antoines,MATCH(G212,Antoine_Name,0),4)+(G222-32)*5/9)))*14.7/760,IF(G213="Crude Oil",EXP((2799/(G222+459.6)-2.227)*LOG10(INDEX(FX_Input,T$5,G$3*$Z$5+$AA$5))-(7261/(G222+459.6))+12.82),IF(G213="Refined Petroleum Stock",EXP((0.7553-(413/(G222+459.6)))*(INDEX(FX_Input,T$5,G$3*$Z$5+$AA$5-1)^0.5)*LOG10(INDEX(FX_Input,T$5,G$3*$Z$5+$AA$5))-(1.854-(1042/(G222+459.6)))*(INDEX(FX_Input,T$5,G$3*$Z$5+$AA$5-1)^0.5)+((2416/(G222+459.6)-2.013)*LOG10(INDEX(FX_Input,T$5,G$3*$Z$5+$AA$5)))-(8742/(G222+459.6))+15.64),EXP(INDEX(Antoines,MATCH(G212,Antoine_Name,0),2)-INDEX(Antoines,MATCH(G212,Antoine_Name,0),3)/(G222+459.6))))),0)</f>
        <v>6.2124720487193742E-3</v>
      </c>
      <c r="H233" cm="1">
        <f t="array" ref="H233">IFERROR(IF(H213="Chemical",(10^(INDEX(Antoines,MATCH(H212,Antoine_Name,0),2)-INDEX(Antoines,MATCH(H212,Antoine_Name,0),3)/(INDEX(Antoines,MATCH(H212,Antoine_Name,0),4)+(H222-32)*5/9)))*14.7/760,IF(H213="Crude Oil",EXP((2799/(H222+459.6)-2.227)*LOG10(INDEX(FX_Input,U$5,H$3*$Z$5+$AA$5))-(7261/(H222+459.6))+12.82),IF(H213="Refined Petroleum Stock",EXP((0.7553-(413/(H222+459.6)))*(INDEX(FX_Input,U$5,H$3*$Z$5+$AA$5-1)^0.5)*LOG10(INDEX(FX_Input,U$5,H$3*$Z$5+$AA$5))-(1.854-(1042/(H222+459.6)))*(INDEX(FX_Input,U$5,H$3*$Z$5+$AA$5-1)^0.5)+((2416/(H222+459.6)-2.013)*LOG10(INDEX(FX_Input,U$5,H$3*$Z$5+$AA$5)))-(8742/(H222+459.6))+15.64),EXP(INDEX(Antoines,MATCH(H212,Antoine_Name,0),2)-INDEX(Antoines,MATCH(H212,Antoine_Name,0),3)/(H222+459.6))))),0)</f>
        <v>7.4209663387537275E-3</v>
      </c>
      <c r="I233" cm="1">
        <f t="array" ref="I233">IFERROR(IF(I213="Chemical",(10^(INDEX(Antoines,MATCH(I212,Antoine_Name,0),2)-INDEX(Antoines,MATCH(I212,Antoine_Name,0),3)/(INDEX(Antoines,MATCH(I212,Antoine_Name,0),4)+(I222-32)*5/9)))*14.7/760,IF(I213="Crude Oil",EXP((2799/(I222+459.6)-2.227)*LOG10(INDEX(FX_Input,V$5,I$3*$Z$5+$AA$5))-(7261/(I222+459.6))+12.82),IF(I213="Refined Petroleum Stock",EXP((0.7553-(413/(I222+459.6)))*(INDEX(FX_Input,V$5,I$3*$Z$5+$AA$5-1)^0.5)*LOG10(INDEX(FX_Input,V$5,I$3*$Z$5+$AA$5))-(1.854-(1042/(I222+459.6)))*(INDEX(FX_Input,V$5,I$3*$Z$5+$AA$5-1)^0.5)+((2416/(I222+459.6)-2.013)*LOG10(INDEX(FX_Input,V$5,I$3*$Z$5+$AA$5)))-(8742/(I222+459.6))+15.64),EXP(INDEX(Antoines,MATCH(I212,Antoine_Name,0),2)-INDEX(Antoines,MATCH(I212,Antoine_Name,0),3)/(I222+459.6))))),0)</f>
        <v>8.4819819298252285E-3</v>
      </c>
      <c r="J233" cm="1">
        <f t="array" ref="J233">IFERROR(IF(J213="Chemical",(10^(INDEX(Antoines,MATCH(J212,Antoine_Name,0),2)-INDEX(Antoines,MATCH(J212,Antoine_Name,0),3)/(INDEX(Antoines,MATCH(J212,Antoine_Name,0),4)+(J222-32)*5/9)))*14.7/760,IF(J213="Crude Oil",EXP((2799/(J222+459.6)-2.227)*LOG10(INDEX(FX_Input,W$5,J$3*$Z$5+$AA$5))-(7261/(J222+459.6))+12.82),IF(J213="Refined Petroleum Stock",EXP((0.7553-(413/(J222+459.6)))*(INDEX(FX_Input,W$5,J$3*$Z$5+$AA$5-1)^0.5)*LOG10(INDEX(FX_Input,W$5,J$3*$Z$5+$AA$5))-(1.854-(1042/(J222+459.6)))*(INDEX(FX_Input,W$5,J$3*$Z$5+$AA$5-1)^0.5)+((2416/(J222+459.6)-2.013)*LOG10(INDEX(FX_Input,W$5,J$3*$Z$5+$AA$5)))-(8742/(J222+459.6))+15.64),EXP(INDEX(Antoines,MATCH(J212,Antoine_Name,0),2)-INDEX(Antoines,MATCH(J212,Antoine_Name,0),3)/(J222+459.6))))),0)</f>
        <v>9.5741064128135375E-3</v>
      </c>
      <c r="K233" cm="1">
        <f t="array" ref="K233">IFERROR(IF(K213="Chemical",(10^(INDEX(Antoines,MATCH(K212,Antoine_Name,0),2)-INDEX(Antoines,MATCH(K212,Antoine_Name,0),3)/(INDEX(Antoines,MATCH(K212,Antoine_Name,0),4)+(K222-32)*5/9)))*14.7/760,IF(K213="Crude Oil",EXP((2799/(K222+459.6)-2.227)*LOG10(INDEX(FX_Input,X$5,K$3*$Z$5+$AA$5))-(7261/(K222+459.6))+12.82),IF(K213="Refined Petroleum Stock",EXP((0.7553-(413/(K222+459.6)))*(INDEX(FX_Input,X$5,K$3*$Z$5+$AA$5-1)^0.5)*LOG10(INDEX(FX_Input,X$5,K$3*$Z$5+$AA$5))-(1.854-(1042/(K222+459.6)))*(INDEX(FX_Input,X$5,K$3*$Z$5+$AA$5-1)^0.5)+((2416/(K222+459.6)-2.013)*LOG10(INDEX(FX_Input,X$5,K$3*$Z$5+$AA$5)))-(8742/(K222+459.6))+15.64),EXP(INDEX(Antoines,MATCH(K212,Antoine_Name,0),2)-INDEX(Antoines,MATCH(K212,Antoine_Name,0),3)/(K222+459.6))))),0)</f>
        <v>9.5478148180509845E-3</v>
      </c>
      <c r="L233" cm="1">
        <f t="array" ref="L233">IFERROR(IF(L213="Chemical",(10^(INDEX(Antoines,MATCH(L212,Antoine_Name,0),2)-INDEX(Antoines,MATCH(L212,Antoine_Name,0),3)/(INDEX(Antoines,MATCH(L212,Antoine_Name,0),4)+(L222-32)*5/9)))*14.7/760,IF(L213="Crude Oil",EXP((2799/(L222+459.6)-2.227)*LOG10(INDEX(FX_Input,Y$5,L$3*$Z$5+$AA$5))-(7261/(L222+459.6))+12.82),IF(L213="Refined Petroleum Stock",EXP((0.7553-(413/(L222+459.6)))*(INDEX(FX_Input,Y$5,L$3*$Z$5+$AA$5-1)^0.5)*LOG10(INDEX(FX_Input,Y$5,L$3*$Z$5+$AA$5))-(1.854-(1042/(L222+459.6)))*(INDEX(FX_Input,Y$5,L$3*$Z$5+$AA$5-1)^0.5)+((2416/(L222+459.6)-2.013)*LOG10(INDEX(FX_Input,Y$5,L$3*$Z$5+$AA$5)))-(8742/(L222+459.6))+15.64),EXP(INDEX(Antoines,MATCH(L212,Antoine_Name,0),2)-INDEX(Antoines,MATCH(L212,Antoine_Name,0),3)/(L222+459.6))))),0)</f>
        <v>8.6464528192362108E-3</v>
      </c>
      <c r="M233" cm="1">
        <f t="array" ref="M233">IFERROR(IF(M213="Chemical",(10^(INDEX(Antoines,MATCH(M212,Antoine_Name,0),2)-INDEX(Antoines,MATCH(M212,Antoine_Name,0),3)/(INDEX(Antoines,MATCH(M212,Antoine_Name,0),4)+(M222-32)*5/9)))*14.7/760,IF(M213="Crude Oil",EXP((2799/(M222+459.6)-2.227)*LOG10(INDEX(FX_Input,Z$5,M$3*$Z$5+$AA$5))-(7261/(M222+459.6))+12.82),IF(M213="Refined Petroleum Stock",EXP((0.7553-(413/(M222+459.6)))*(INDEX(FX_Input,Z$5,M$3*$Z$5+$AA$5-1)^0.5)*LOG10(INDEX(FX_Input,Z$5,M$3*$Z$5+$AA$5))-(1.854-(1042/(M222+459.6)))*(INDEX(FX_Input,Z$5,M$3*$Z$5+$AA$5-1)^0.5)+((2416/(M222+459.6)-2.013)*LOG10(INDEX(FX_Input,Z$5,M$3*$Z$5+$AA$5)))-(8742/(M222+459.6))+15.64),EXP(INDEX(Antoines,MATCH(M212,Antoine_Name,0),2)-INDEX(Antoines,MATCH(M212,Antoine_Name,0),3)/(M222+459.6))))),0)</f>
        <v>6.8218393379121701E-3</v>
      </c>
      <c r="N233" cm="1">
        <f t="array" ref="N233">IFERROR(IF(N213="Chemical",(10^(INDEX(Antoines,MATCH(N212,Antoine_Name,0),2)-INDEX(Antoines,MATCH(N212,Antoine_Name,0),3)/(INDEX(Antoines,MATCH(N212,Antoine_Name,0),4)+(N222-32)*5/9)))*14.7/760,IF(N213="Crude Oil",EXP((2799/(N222+459.6)-2.227)*LOG10(INDEX(FX_Input,AA$5,N$3*$Z$5+$AA$5))-(7261/(N222+459.6))+12.82),IF(N213="Refined Petroleum Stock",EXP((0.7553-(413/(N222+459.6)))*(INDEX(FX_Input,AA$5,N$3*$Z$5+$AA$5-1)^0.5)*LOG10(INDEX(FX_Input,AA$5,N$3*$Z$5+$AA$5))-(1.854-(1042/(N222+459.6)))*(INDEX(FX_Input,AA$5,N$3*$Z$5+$AA$5-1)^0.5)+((2416/(N222+459.6)-2.013)*LOG10(INDEX(FX_Input,AA$5,N$3*$Z$5+$AA$5)))-(8742/(N222+459.6))+15.64),EXP(INDEX(Antoines,MATCH(N212,Antoine_Name,0),2)-INDEX(Antoines,MATCH(N212,Antoine_Name,0),3)/(N222+459.6))))),0)</f>
        <v>5.4827140055800742E-3</v>
      </c>
      <c r="O233" cm="1">
        <f t="array" ref="O233">IFERROR(IF(O213="Chemical",(10^(INDEX(Antoines,MATCH(O212,Antoine_Name,0),2)-INDEX(Antoines,MATCH(O212,Antoine_Name,0),3)/(INDEX(Antoines,MATCH(O212,Antoine_Name,0),4)+(O222-32)*5/9)))*14.7/760,IF(O213="Crude Oil",EXP((2799/(O222+459.6)-2.227)*LOG10(INDEX(FX_Input,AB$5,O$3*$Z$5+$AA$5))-(7261/(O222+459.6))+12.82),IF(O213="Refined Petroleum Stock",EXP((0.7553-(413/(O222+459.6)))*(INDEX(FX_Input,AB$5,O$3*$Z$5+$AA$5-1)^0.5)*LOG10(INDEX(FX_Input,AB$5,O$3*$Z$5+$AA$5))-(1.854-(1042/(O222+459.6)))*(INDEX(FX_Input,AB$5,O$3*$Z$5+$AA$5-1)^0.5)+((2416/(O222+459.6)-2.013)*LOG10(INDEX(FX_Input,AB$5,O$3*$Z$5+$AA$5)))-(8742/(O222+459.6))+15.64),EXP(INDEX(Antoines,MATCH(O212,Antoine_Name,0),2)-INDEX(Antoines,MATCH(O212,Antoine_Name,0),3)/(O222+459.6))))),0)</f>
        <v>4.8148298503950734E-3</v>
      </c>
    </row>
    <row r="234" spans="2:15" ht="17.149999999999999" x14ac:dyDescent="0.55000000000000004">
      <c r="B234" t="str">
        <f t="shared" si="660"/>
        <v>Portland</v>
      </c>
      <c r="C234" t="s">
        <v>1389</v>
      </c>
      <c r="D234">
        <f>D233*D216</f>
        <v>4.883250638471285E-3</v>
      </c>
      <c r="E234">
        <f t="shared" ref="E234" si="727">E233*E216</f>
        <v>5.1351067062407989E-3</v>
      </c>
      <c r="F234">
        <f t="shared" ref="F234" si="728">F233*F216</f>
        <v>5.5213829543467952E-3</v>
      </c>
      <c r="G234">
        <f t="shared" ref="G234" si="729">G233*G216</f>
        <v>6.2124720487193742E-3</v>
      </c>
      <c r="H234">
        <f t="shared" ref="H234" si="730">H233*H216</f>
        <v>7.4209663387537275E-3</v>
      </c>
      <c r="I234">
        <f t="shared" ref="I234" si="731">I233*I216</f>
        <v>8.4819819298252285E-3</v>
      </c>
      <c r="J234">
        <f t="shared" ref="J234" si="732">J233*J216</f>
        <v>9.5741064128135375E-3</v>
      </c>
      <c r="K234">
        <f t="shared" ref="K234" si="733">K233*K216</f>
        <v>9.5478148180509845E-3</v>
      </c>
      <c r="L234">
        <f t="shared" ref="L234" si="734">L233*L216</f>
        <v>8.6464528192362108E-3</v>
      </c>
      <c r="M234">
        <f t="shared" ref="M234" si="735">M233*M216</f>
        <v>6.8218393379121701E-3</v>
      </c>
      <c r="N234">
        <f t="shared" ref="N234" si="736">N233*N216</f>
        <v>5.4827140055800742E-3</v>
      </c>
      <c r="O234">
        <f t="shared" ref="O234" si="737">O233*O216</f>
        <v>4.8148298503950734E-3</v>
      </c>
    </row>
    <row r="235" spans="2:15" ht="17.149999999999999" x14ac:dyDescent="0.55000000000000004">
      <c r="B235" t="str">
        <f t="shared" si="660"/>
        <v>Portland</v>
      </c>
      <c r="C235" t="s">
        <v>1390</v>
      </c>
      <c r="D235" cm="1">
        <f t="array" ref="D235">IFERROR(IF(D215="Chemical",(10^(INDEX(Antoines,MATCH(D214,Antoine_Name,0),2)-INDEX(Antoines,MATCH(D214,Antoine_Name,0),3)/(INDEX(Antoines,MATCH(D214,Antoine_Name,0),4)+(D222-32)*5/9)))*14.7/760,IF(D215="Crude Oil",EXP((2799/(D222+459.6)-2.227)*LOG10(INDEX(FX_Input,Q$5,D$3*$Z$5+$AA$5))-(7261/(D222+459.6))+12.82),IF(D215="Refined Petroleum Stock",EXP((0.7553-(413/(D222+459.6)))*(INDEX(FX_Input,Q$5,D$3*$Z$5+$AA$5-1)^0.5)*LOG10(INDEX(FX_Input,Q$5,D$3*$Z$5+$AA$5))-(1.854-(1042/(D222+459.6)))*(INDEX(FX_Input,Q$5,D$3*$Z$5+$AA$5-1)^0.5)+((2416/(D222+459.6)-2.013)*LOG10(INDEX(FX_Input,Q$5,D$3*$Z$5+$AA$5)))-(8742/(D222+459.6))+15.64),EXP(INDEX(Antoines,MATCH(D214,Antoine_Name,0),2)-INDEX(Antoines,MATCH(D214,Antoine_Name,0),3)/(D222+459.6))))),0)</f>
        <v>0</v>
      </c>
      <c r="E235" cm="1">
        <f t="array" ref="E235">IFERROR(IF(E215="Chemical",(10^(INDEX(Antoines,MATCH(E214,Antoine_Name,0),2)-INDEX(Antoines,MATCH(E214,Antoine_Name,0),3)/(INDEX(Antoines,MATCH(E214,Antoine_Name,0),4)+(E222-32)*5/9)))*14.7/760,IF(E215="Crude Oil",EXP((2799/(E222+459.6)-2.227)*LOG10(INDEX(FX_Input,R$5,E$3*$Z$5+$AA$5))-(7261/(E222+459.6))+12.82),IF(E215="Refined Petroleum Stock",EXP((0.7553-(413/(E222+459.6)))*(INDEX(FX_Input,R$5,E$3*$Z$5+$AA$5-1)^0.5)*LOG10(INDEX(FX_Input,R$5,E$3*$Z$5+$AA$5))-(1.854-(1042/(E222+459.6)))*(INDEX(FX_Input,R$5,E$3*$Z$5+$AA$5-1)^0.5)+((2416/(E222+459.6)-2.013)*LOG10(INDEX(FX_Input,R$5,E$3*$Z$5+$AA$5)))-(8742/(E222+459.6))+15.64),EXP(INDEX(Antoines,MATCH(E214,Antoine_Name,0),2)-INDEX(Antoines,MATCH(E214,Antoine_Name,0),3)/(E222+459.6))))),0)</f>
        <v>0</v>
      </c>
      <c r="F235" cm="1">
        <f t="array" ref="F235">IFERROR(IF(F215="Chemical",(10^(INDEX(Antoines,MATCH(F214,Antoine_Name,0),2)-INDEX(Antoines,MATCH(F214,Antoine_Name,0),3)/(INDEX(Antoines,MATCH(F214,Antoine_Name,0),4)+(F222-32)*5/9)))*14.7/760,IF(F215="Crude Oil",EXP((2799/(F222+459.6)-2.227)*LOG10(INDEX(FX_Input,S$5,F$3*$Z$5+$AA$5))-(7261/(F222+459.6))+12.82),IF(F215="Refined Petroleum Stock",EXP((0.7553-(413/(F222+459.6)))*(INDEX(FX_Input,S$5,F$3*$Z$5+$AA$5-1)^0.5)*LOG10(INDEX(FX_Input,S$5,F$3*$Z$5+$AA$5))-(1.854-(1042/(F222+459.6)))*(INDEX(FX_Input,S$5,F$3*$Z$5+$AA$5-1)^0.5)+((2416/(F222+459.6)-2.013)*LOG10(INDEX(FX_Input,S$5,F$3*$Z$5+$AA$5)))-(8742/(F222+459.6))+15.64),EXP(INDEX(Antoines,MATCH(F214,Antoine_Name,0),2)-INDEX(Antoines,MATCH(F214,Antoine_Name,0),3)/(F222+459.6))))),0)</f>
        <v>0</v>
      </c>
      <c r="G235" cm="1">
        <f t="array" ref="G235">IFERROR(IF(G215="Chemical",(10^(INDEX(Antoines,MATCH(G214,Antoine_Name,0),2)-INDEX(Antoines,MATCH(G214,Antoine_Name,0),3)/(INDEX(Antoines,MATCH(G214,Antoine_Name,0),4)+(G222-32)*5/9)))*14.7/760,IF(G215="Crude Oil",EXP((2799/(G222+459.6)-2.227)*LOG10(INDEX(FX_Input,T$5,G$3*$Z$5+$AA$5))-(7261/(G222+459.6))+12.82),IF(G215="Refined Petroleum Stock",EXP((0.7553-(413/(G222+459.6)))*(INDEX(FX_Input,T$5,G$3*$Z$5+$AA$5-1)^0.5)*LOG10(INDEX(FX_Input,T$5,G$3*$Z$5+$AA$5))-(1.854-(1042/(G222+459.6)))*(INDEX(FX_Input,T$5,G$3*$Z$5+$AA$5-1)^0.5)+((2416/(G222+459.6)-2.013)*LOG10(INDEX(FX_Input,T$5,G$3*$Z$5+$AA$5)))-(8742/(G222+459.6))+15.64),EXP(INDEX(Antoines,MATCH(G214,Antoine_Name,0),2)-INDEX(Antoines,MATCH(G214,Antoine_Name,0),3)/(G222+459.6))))),0)</f>
        <v>0</v>
      </c>
      <c r="H235" cm="1">
        <f t="array" ref="H235">IFERROR(IF(H215="Chemical",(10^(INDEX(Antoines,MATCH(H214,Antoine_Name,0),2)-INDEX(Antoines,MATCH(H214,Antoine_Name,0),3)/(INDEX(Antoines,MATCH(H214,Antoine_Name,0),4)+(H222-32)*5/9)))*14.7/760,IF(H215="Crude Oil",EXP((2799/(H222+459.6)-2.227)*LOG10(INDEX(FX_Input,U$5,H$3*$Z$5+$AA$5))-(7261/(H222+459.6))+12.82),IF(H215="Refined Petroleum Stock",EXP((0.7553-(413/(H222+459.6)))*(INDEX(FX_Input,U$5,H$3*$Z$5+$AA$5-1)^0.5)*LOG10(INDEX(FX_Input,U$5,H$3*$Z$5+$AA$5))-(1.854-(1042/(H222+459.6)))*(INDEX(FX_Input,U$5,H$3*$Z$5+$AA$5-1)^0.5)+((2416/(H222+459.6)-2.013)*LOG10(INDEX(FX_Input,U$5,H$3*$Z$5+$AA$5)))-(8742/(H222+459.6))+15.64),EXP(INDEX(Antoines,MATCH(H214,Antoine_Name,0),2)-INDEX(Antoines,MATCH(H214,Antoine_Name,0),3)/(H222+459.6))))),0)</f>
        <v>0</v>
      </c>
      <c r="I235" cm="1">
        <f t="array" ref="I235">IFERROR(IF(I215="Chemical",(10^(INDEX(Antoines,MATCH(I214,Antoine_Name,0),2)-INDEX(Antoines,MATCH(I214,Antoine_Name,0),3)/(INDEX(Antoines,MATCH(I214,Antoine_Name,0),4)+(I222-32)*5/9)))*14.7/760,IF(I215="Crude Oil",EXP((2799/(I222+459.6)-2.227)*LOG10(INDEX(FX_Input,V$5,I$3*$Z$5+$AA$5))-(7261/(I222+459.6))+12.82),IF(I215="Refined Petroleum Stock",EXP((0.7553-(413/(I222+459.6)))*(INDEX(FX_Input,V$5,I$3*$Z$5+$AA$5-1)^0.5)*LOG10(INDEX(FX_Input,V$5,I$3*$Z$5+$AA$5))-(1.854-(1042/(I222+459.6)))*(INDEX(FX_Input,V$5,I$3*$Z$5+$AA$5-1)^0.5)+((2416/(I222+459.6)-2.013)*LOG10(INDEX(FX_Input,V$5,I$3*$Z$5+$AA$5)))-(8742/(I222+459.6))+15.64),EXP(INDEX(Antoines,MATCH(I214,Antoine_Name,0),2)-INDEX(Antoines,MATCH(I214,Antoine_Name,0),3)/(I222+459.6))))),0)</f>
        <v>0</v>
      </c>
      <c r="J235" cm="1">
        <f t="array" ref="J235">IFERROR(IF(J215="Chemical",(10^(INDEX(Antoines,MATCH(J214,Antoine_Name,0),2)-INDEX(Antoines,MATCH(J214,Antoine_Name,0),3)/(INDEX(Antoines,MATCH(J214,Antoine_Name,0),4)+(J222-32)*5/9)))*14.7/760,IF(J215="Crude Oil",EXP((2799/(J222+459.6)-2.227)*LOG10(INDEX(FX_Input,W$5,J$3*$Z$5+$AA$5))-(7261/(J222+459.6))+12.82),IF(J215="Refined Petroleum Stock",EXP((0.7553-(413/(J222+459.6)))*(INDEX(FX_Input,W$5,J$3*$Z$5+$AA$5-1)^0.5)*LOG10(INDEX(FX_Input,W$5,J$3*$Z$5+$AA$5))-(1.854-(1042/(J222+459.6)))*(INDEX(FX_Input,W$5,J$3*$Z$5+$AA$5-1)^0.5)+((2416/(J222+459.6)-2.013)*LOG10(INDEX(FX_Input,W$5,J$3*$Z$5+$AA$5)))-(8742/(J222+459.6))+15.64),EXP(INDEX(Antoines,MATCH(J214,Antoine_Name,0),2)-INDEX(Antoines,MATCH(J214,Antoine_Name,0),3)/(J222+459.6))))),0)</f>
        <v>0</v>
      </c>
      <c r="K235" cm="1">
        <f t="array" ref="K235">IFERROR(IF(K215="Chemical",(10^(INDEX(Antoines,MATCH(K214,Antoine_Name,0),2)-INDEX(Antoines,MATCH(K214,Antoine_Name,0),3)/(INDEX(Antoines,MATCH(K214,Antoine_Name,0),4)+(K222-32)*5/9)))*14.7/760,IF(K215="Crude Oil",EXP((2799/(K222+459.6)-2.227)*LOG10(INDEX(FX_Input,X$5,K$3*$Z$5+$AA$5))-(7261/(K222+459.6))+12.82),IF(K215="Refined Petroleum Stock",EXP((0.7553-(413/(K222+459.6)))*(INDEX(FX_Input,X$5,K$3*$Z$5+$AA$5-1)^0.5)*LOG10(INDEX(FX_Input,X$5,K$3*$Z$5+$AA$5))-(1.854-(1042/(K222+459.6)))*(INDEX(FX_Input,X$5,K$3*$Z$5+$AA$5-1)^0.5)+((2416/(K222+459.6)-2.013)*LOG10(INDEX(FX_Input,X$5,K$3*$Z$5+$AA$5)))-(8742/(K222+459.6))+15.64),EXP(INDEX(Antoines,MATCH(K214,Antoine_Name,0),2)-INDEX(Antoines,MATCH(K214,Antoine_Name,0),3)/(K222+459.6))))),0)</f>
        <v>0</v>
      </c>
      <c r="L235" cm="1">
        <f t="array" ref="L235">IFERROR(IF(L215="Chemical",(10^(INDEX(Antoines,MATCH(L214,Antoine_Name,0),2)-INDEX(Antoines,MATCH(L214,Antoine_Name,0),3)/(INDEX(Antoines,MATCH(L214,Antoine_Name,0),4)+(L222-32)*5/9)))*14.7/760,IF(L215="Crude Oil",EXP((2799/(L222+459.6)-2.227)*LOG10(INDEX(FX_Input,Y$5,L$3*$Z$5+$AA$5))-(7261/(L222+459.6))+12.82),IF(L215="Refined Petroleum Stock",EXP((0.7553-(413/(L222+459.6)))*(INDEX(FX_Input,Y$5,L$3*$Z$5+$AA$5-1)^0.5)*LOG10(INDEX(FX_Input,Y$5,L$3*$Z$5+$AA$5))-(1.854-(1042/(L222+459.6)))*(INDEX(FX_Input,Y$5,L$3*$Z$5+$AA$5-1)^0.5)+((2416/(L222+459.6)-2.013)*LOG10(INDEX(FX_Input,Y$5,L$3*$Z$5+$AA$5)))-(8742/(L222+459.6))+15.64),EXP(INDEX(Antoines,MATCH(L214,Antoine_Name,0),2)-INDEX(Antoines,MATCH(L214,Antoine_Name,0),3)/(L222+459.6))))),0)</f>
        <v>0</v>
      </c>
      <c r="M235" cm="1">
        <f t="array" ref="M235">IFERROR(IF(M215="Chemical",(10^(INDEX(Antoines,MATCH(M214,Antoine_Name,0),2)-INDEX(Antoines,MATCH(M214,Antoine_Name,0),3)/(INDEX(Antoines,MATCH(M214,Antoine_Name,0),4)+(M222-32)*5/9)))*14.7/760,IF(M215="Crude Oil",EXP((2799/(M222+459.6)-2.227)*LOG10(INDEX(FX_Input,Z$5,M$3*$Z$5+$AA$5))-(7261/(M222+459.6))+12.82),IF(M215="Refined Petroleum Stock",EXP((0.7553-(413/(M222+459.6)))*(INDEX(FX_Input,Z$5,M$3*$Z$5+$AA$5-1)^0.5)*LOG10(INDEX(FX_Input,Z$5,M$3*$Z$5+$AA$5))-(1.854-(1042/(M222+459.6)))*(INDEX(FX_Input,Z$5,M$3*$Z$5+$AA$5-1)^0.5)+((2416/(M222+459.6)-2.013)*LOG10(INDEX(FX_Input,Z$5,M$3*$Z$5+$AA$5)))-(8742/(M222+459.6))+15.64),EXP(INDEX(Antoines,MATCH(M214,Antoine_Name,0),2)-INDEX(Antoines,MATCH(M214,Antoine_Name,0),3)/(M222+459.6))))),0)</f>
        <v>0</v>
      </c>
      <c r="N235" cm="1">
        <f t="array" ref="N235">IFERROR(IF(N215="Chemical",(10^(INDEX(Antoines,MATCH(N214,Antoine_Name,0),2)-INDEX(Antoines,MATCH(N214,Antoine_Name,0),3)/(INDEX(Antoines,MATCH(N214,Antoine_Name,0),4)+(N222-32)*5/9)))*14.7/760,IF(N215="Crude Oil",EXP((2799/(N222+459.6)-2.227)*LOG10(INDEX(FX_Input,AA$5,N$3*$Z$5+$AA$5))-(7261/(N222+459.6))+12.82),IF(N215="Refined Petroleum Stock",EXP((0.7553-(413/(N222+459.6)))*(INDEX(FX_Input,AA$5,N$3*$Z$5+$AA$5-1)^0.5)*LOG10(INDEX(FX_Input,AA$5,N$3*$Z$5+$AA$5))-(1.854-(1042/(N222+459.6)))*(INDEX(FX_Input,AA$5,N$3*$Z$5+$AA$5-1)^0.5)+((2416/(N222+459.6)-2.013)*LOG10(INDEX(FX_Input,AA$5,N$3*$Z$5+$AA$5)))-(8742/(N222+459.6))+15.64),EXP(INDEX(Antoines,MATCH(N214,Antoine_Name,0),2)-INDEX(Antoines,MATCH(N214,Antoine_Name,0),3)/(N222+459.6))))),0)</f>
        <v>0</v>
      </c>
      <c r="O235" cm="1">
        <f t="array" ref="O235">IFERROR(IF(O215="Chemical",(10^(INDEX(Antoines,MATCH(O214,Antoine_Name,0),2)-INDEX(Antoines,MATCH(O214,Antoine_Name,0),3)/(INDEX(Antoines,MATCH(O214,Antoine_Name,0),4)+(O222-32)*5/9)))*14.7/760,IF(O215="Crude Oil",EXP((2799/(O222+459.6)-2.227)*LOG10(INDEX(FX_Input,AB$5,O$3*$Z$5+$AA$5))-(7261/(O222+459.6))+12.82),IF(O215="Refined Petroleum Stock",EXP((0.7553-(413/(O222+459.6)))*(INDEX(FX_Input,AB$5,O$3*$Z$5+$AA$5-1)^0.5)*LOG10(INDEX(FX_Input,AB$5,O$3*$Z$5+$AA$5))-(1.854-(1042/(O222+459.6)))*(INDEX(FX_Input,AB$5,O$3*$Z$5+$AA$5-1)^0.5)+((2416/(O222+459.6)-2.013)*LOG10(INDEX(FX_Input,AB$5,O$3*$Z$5+$AA$5)))-(8742/(O222+459.6))+15.64),EXP(INDEX(Antoines,MATCH(O214,Antoine_Name,0),2)-INDEX(Antoines,MATCH(O214,Antoine_Name,0),3)/(O222+459.6))))),0)</f>
        <v>0</v>
      </c>
    </row>
    <row r="236" spans="2:15" ht="17.149999999999999" x14ac:dyDescent="0.55000000000000004">
      <c r="B236" t="str">
        <f t="shared" si="660"/>
        <v>Portland</v>
      </c>
      <c r="C236" t="s">
        <v>1391</v>
      </c>
      <c r="D236">
        <f>D235*D218</f>
        <v>0</v>
      </c>
      <c r="E236">
        <f t="shared" ref="E236" si="738">E235*E218</f>
        <v>0</v>
      </c>
      <c r="F236">
        <f t="shared" ref="F236" si="739">F235*F218</f>
        <v>0</v>
      </c>
      <c r="G236">
        <f t="shared" ref="G236" si="740">G235*G218</f>
        <v>0</v>
      </c>
      <c r="H236">
        <f t="shared" ref="H236" si="741">H235*H218</f>
        <v>0</v>
      </c>
      <c r="I236">
        <f t="shared" ref="I236" si="742">I235*I218</f>
        <v>0</v>
      </c>
      <c r="J236">
        <f t="shared" ref="J236" si="743">J235*J218</f>
        <v>0</v>
      </c>
      <c r="K236">
        <f t="shared" ref="K236" si="744">K235*K218</f>
        <v>0</v>
      </c>
      <c r="L236">
        <f t="shared" ref="L236" si="745">L235*L218</f>
        <v>0</v>
      </c>
      <c r="M236">
        <f t="shared" ref="M236" si="746">M235*M218</f>
        <v>0</v>
      </c>
      <c r="N236">
        <f t="shared" ref="N236" si="747">N235*N218</f>
        <v>0</v>
      </c>
      <c r="O236">
        <f t="shared" ref="O236" si="748">O235*O218</f>
        <v>0</v>
      </c>
    </row>
    <row r="237" spans="2:15" ht="17.149999999999999" x14ac:dyDescent="0.55000000000000004">
      <c r="B237" t="str">
        <f t="shared" si="660"/>
        <v>Portland</v>
      </c>
      <c r="C237" t="s">
        <v>1392</v>
      </c>
      <c r="D237">
        <f>D234+D236</f>
        <v>4.883250638471285E-3</v>
      </c>
      <c r="E237">
        <f t="shared" ref="E237" si="749">E234+E236</f>
        <v>5.1351067062407989E-3</v>
      </c>
      <c r="F237">
        <f t="shared" ref="F237" si="750">F234+F236</f>
        <v>5.5213829543467952E-3</v>
      </c>
      <c r="G237">
        <f t="shared" ref="G237" si="751">G234+G236</f>
        <v>6.2124720487193742E-3</v>
      </c>
      <c r="H237">
        <f t="shared" ref="H237" si="752">H234+H236</f>
        <v>7.4209663387537275E-3</v>
      </c>
      <c r="I237">
        <f t="shared" ref="I237" si="753">I234+I236</f>
        <v>8.4819819298252285E-3</v>
      </c>
      <c r="J237">
        <f t="shared" ref="J237" si="754">J234+J236</f>
        <v>9.5741064128135375E-3</v>
      </c>
      <c r="K237">
        <f t="shared" ref="K237" si="755">K234+K236</f>
        <v>9.5478148180509845E-3</v>
      </c>
      <c r="L237">
        <f t="shared" ref="L237" si="756">L234+L236</f>
        <v>8.6464528192362108E-3</v>
      </c>
      <c r="M237">
        <f t="shared" ref="M237" si="757">M234+M236</f>
        <v>6.8218393379121701E-3</v>
      </c>
      <c r="N237">
        <f t="shared" ref="N237" si="758">N234+N236</f>
        <v>5.4827140055800742E-3</v>
      </c>
      <c r="O237">
        <f t="shared" ref="O237" si="759">O234+O236</f>
        <v>4.8148298503950734E-3</v>
      </c>
    </row>
    <row r="238" spans="2:15" ht="17.149999999999999" x14ac:dyDescent="0.55000000000000004">
      <c r="B238" t="str">
        <f>B232</f>
        <v>Portland</v>
      </c>
      <c r="C238" t="s">
        <v>584</v>
      </c>
      <c r="D238">
        <f>D234/D237</f>
        <v>1</v>
      </c>
      <c r="E238">
        <f t="shared" ref="E238" si="760">E234/E237</f>
        <v>1</v>
      </c>
      <c r="F238">
        <f t="shared" ref="F238" si="761">F234/F237</f>
        <v>1</v>
      </c>
      <c r="G238">
        <f t="shared" ref="G238" si="762">G234/G237</f>
        <v>1</v>
      </c>
      <c r="H238">
        <f t="shared" ref="H238" si="763">H234/H237</f>
        <v>1</v>
      </c>
      <c r="I238">
        <f t="shared" ref="I238" si="764">I234/I237</f>
        <v>1</v>
      </c>
      <c r="J238">
        <f t="shared" ref="J238" si="765">J234/J237</f>
        <v>1</v>
      </c>
      <c r="K238">
        <f t="shared" ref="K238" si="766">K234/K237</f>
        <v>1</v>
      </c>
      <c r="L238">
        <f t="shared" ref="L238" si="767">L234/L237</f>
        <v>1</v>
      </c>
      <c r="M238">
        <f t="shared" ref="M238" si="768">M234/M237</f>
        <v>1</v>
      </c>
      <c r="N238">
        <f t="shared" ref="N238" si="769">N234/N237</f>
        <v>1</v>
      </c>
      <c r="O238">
        <f t="shared" ref="O238" si="770">O234/O237</f>
        <v>1</v>
      </c>
    </row>
    <row r="239" spans="2:15" ht="17.149999999999999" x14ac:dyDescent="0.55000000000000004">
      <c r="B239" t="str">
        <f>B233</f>
        <v>Portland</v>
      </c>
      <c r="C239" t="s">
        <v>585</v>
      </c>
      <c r="D239">
        <f t="shared" ref="D239:O239" si="771">INDEX(Phys_Prop,MATCH(D212,Chem_List,0),3)</f>
        <v>130</v>
      </c>
      <c r="E239">
        <f t="shared" si="771"/>
        <v>130</v>
      </c>
      <c r="F239">
        <f t="shared" si="771"/>
        <v>130</v>
      </c>
      <c r="G239">
        <f t="shared" si="771"/>
        <v>130</v>
      </c>
      <c r="H239">
        <f t="shared" si="771"/>
        <v>130</v>
      </c>
      <c r="I239">
        <f t="shared" si="771"/>
        <v>130</v>
      </c>
      <c r="J239">
        <f t="shared" si="771"/>
        <v>130</v>
      </c>
      <c r="K239">
        <f t="shared" si="771"/>
        <v>130</v>
      </c>
      <c r="L239">
        <f t="shared" si="771"/>
        <v>130</v>
      </c>
      <c r="M239">
        <f t="shared" si="771"/>
        <v>130</v>
      </c>
      <c r="N239">
        <f t="shared" si="771"/>
        <v>130</v>
      </c>
      <c r="O239">
        <f t="shared" si="771"/>
        <v>130</v>
      </c>
    </row>
    <row r="240" spans="2:15" ht="17.149999999999999" x14ac:dyDescent="0.55000000000000004">
      <c r="B240" t="str">
        <f>B239</f>
        <v>Portland</v>
      </c>
      <c r="C240" t="s">
        <v>586</v>
      </c>
      <c r="D240">
        <f>D236/D237</f>
        <v>0</v>
      </c>
      <c r="E240">
        <f t="shared" ref="E240:O240" si="772">E236/E237</f>
        <v>0</v>
      </c>
      <c r="F240">
        <f t="shared" si="772"/>
        <v>0</v>
      </c>
      <c r="G240">
        <f t="shared" si="772"/>
        <v>0</v>
      </c>
      <c r="H240">
        <f t="shared" si="772"/>
        <v>0</v>
      </c>
      <c r="I240">
        <f t="shared" si="772"/>
        <v>0</v>
      </c>
      <c r="J240">
        <f t="shared" si="772"/>
        <v>0</v>
      </c>
      <c r="K240">
        <f t="shared" si="772"/>
        <v>0</v>
      </c>
      <c r="L240">
        <f t="shared" si="772"/>
        <v>0</v>
      </c>
      <c r="M240">
        <f t="shared" si="772"/>
        <v>0</v>
      </c>
      <c r="N240">
        <f t="shared" si="772"/>
        <v>0</v>
      </c>
      <c r="O240">
        <f t="shared" si="772"/>
        <v>0</v>
      </c>
    </row>
    <row r="241" spans="1:32" ht="17.149999999999999" x14ac:dyDescent="0.55000000000000004">
      <c r="B241" t="str">
        <f t="shared" si="660"/>
        <v>Portland</v>
      </c>
      <c r="C241" t="s">
        <v>587</v>
      </c>
      <c r="D241">
        <f t="shared" ref="D241:O241" si="773">IFERROR(INDEX(Phys_Prop,MATCH(D214,Chem_List,0),3),0)</f>
        <v>0</v>
      </c>
      <c r="E241">
        <f t="shared" si="773"/>
        <v>0</v>
      </c>
      <c r="F241">
        <f t="shared" si="773"/>
        <v>0</v>
      </c>
      <c r="G241">
        <f t="shared" si="773"/>
        <v>0</v>
      </c>
      <c r="H241">
        <f t="shared" si="773"/>
        <v>0</v>
      </c>
      <c r="I241">
        <f t="shared" si="773"/>
        <v>0</v>
      </c>
      <c r="J241">
        <f t="shared" si="773"/>
        <v>0</v>
      </c>
      <c r="K241">
        <f t="shared" si="773"/>
        <v>0</v>
      </c>
      <c r="L241">
        <f t="shared" si="773"/>
        <v>0</v>
      </c>
      <c r="M241">
        <f t="shared" si="773"/>
        <v>0</v>
      </c>
      <c r="N241">
        <f t="shared" si="773"/>
        <v>0</v>
      </c>
      <c r="O241">
        <f t="shared" si="773"/>
        <v>0</v>
      </c>
    </row>
    <row r="242" spans="1:32" ht="17.149999999999999" x14ac:dyDescent="0.55000000000000004">
      <c r="A242" s="11"/>
      <c r="B242" s="11" t="str">
        <f t="shared" si="660"/>
        <v>Portland</v>
      </c>
      <c r="C242" s="11" t="s">
        <v>588</v>
      </c>
      <c r="D242" s="11">
        <f>IFERROR(D238*D239+D240*D241,0)</f>
        <v>130</v>
      </c>
      <c r="E242" s="11">
        <f t="shared" ref="E242" si="774">IFERROR(E238*E239+E240*E241,0)</f>
        <v>130</v>
      </c>
      <c r="F242" s="11">
        <f t="shared" ref="F242" si="775">IFERROR(F238*F239+F240*F241,0)</f>
        <v>130</v>
      </c>
      <c r="G242" s="11">
        <f t="shared" ref="G242" si="776">IFERROR(G238*G239+G240*G241,0)</f>
        <v>130</v>
      </c>
      <c r="H242" s="11">
        <f t="shared" ref="H242" si="777">IFERROR(H238*H239+H240*H241,0)</f>
        <v>130</v>
      </c>
      <c r="I242" s="11">
        <f t="shared" ref="I242" si="778">IFERROR(I238*I239+I240*I241,0)</f>
        <v>130</v>
      </c>
      <c r="J242" s="11">
        <f t="shared" ref="J242" si="779">IFERROR(J238*J239+J240*J241,0)</f>
        <v>130</v>
      </c>
      <c r="K242" s="11">
        <f t="shared" ref="K242" si="780">IFERROR(K238*K239+K240*K241,0)</f>
        <v>130</v>
      </c>
      <c r="L242" s="11">
        <f t="shared" ref="L242" si="781">IFERROR(L238*L239+L240*L241,0)</f>
        <v>130</v>
      </c>
      <c r="M242" s="11">
        <f t="shared" ref="M242" si="782">IFERROR(M238*M239+M240*M241,0)</f>
        <v>130</v>
      </c>
      <c r="N242" s="11">
        <f t="shared" ref="N242" si="783">IFERROR(N238*N239+N240*N241,0)</f>
        <v>130</v>
      </c>
      <c r="O242" s="11">
        <f t="shared" ref="O242" si="784">IFERROR(O238*O239+O240*O241,0)</f>
        <v>130</v>
      </c>
      <c r="P242" s="11"/>
      <c r="Q242" s="11"/>
      <c r="R242" s="11"/>
      <c r="S242" s="11"/>
      <c r="T242" s="11"/>
      <c r="U242" s="11"/>
      <c r="V242" s="11"/>
      <c r="W242" s="11"/>
      <c r="X242" s="11"/>
      <c r="Y242" s="11"/>
      <c r="Z242" s="11"/>
      <c r="AA242" s="11"/>
      <c r="AB242" s="11"/>
      <c r="AC242" s="11"/>
      <c r="AD242" s="11"/>
      <c r="AE242" s="11"/>
      <c r="AF242" s="11"/>
    </row>
    <row r="243" spans="1:32" ht="17.149999999999999" x14ac:dyDescent="0.55000000000000004">
      <c r="A243" t="str" cm="1">
        <f t="array" ref="A243">INDEX(FX_Input,$Q243,R$5)</f>
        <v>FX - 8</v>
      </c>
      <c r="B243" t="str" cm="1">
        <f t="array" ref="B243">INDEX(FX_Input,Q243,S243)</f>
        <v>Portland</v>
      </c>
      <c r="C243" t="s">
        <v>563</v>
      </c>
      <c r="D243">
        <v>14.7</v>
      </c>
      <c r="E243">
        <v>14.7</v>
      </c>
      <c r="F243">
        <v>14.7</v>
      </c>
      <c r="G243">
        <v>14.7</v>
      </c>
      <c r="H243">
        <v>14.7</v>
      </c>
      <c r="I243">
        <v>14.7</v>
      </c>
      <c r="J243">
        <v>14.7</v>
      </c>
      <c r="K243">
        <v>14.7</v>
      </c>
      <c r="L243">
        <v>14.7</v>
      </c>
      <c r="M243">
        <v>14.7</v>
      </c>
      <c r="N243">
        <v>14.7</v>
      </c>
      <c r="O243">
        <v>14.7</v>
      </c>
      <c r="Q243">
        <f>Q209+2</f>
        <v>15</v>
      </c>
      <c r="R243">
        <v>1</v>
      </c>
      <c r="S243">
        <v>3</v>
      </c>
      <c r="T243">
        <v>1</v>
      </c>
      <c r="U243">
        <v>19</v>
      </c>
      <c r="V243">
        <v>20</v>
      </c>
      <c r="W243">
        <v>25</v>
      </c>
      <c r="X243">
        <v>1</v>
      </c>
      <c r="Y243">
        <v>2</v>
      </c>
      <c r="Z243">
        <f>(W243-V243)/(Y243-X243)</f>
        <v>5</v>
      </c>
      <c r="AA243">
        <f>V243-Z243*X243</f>
        <v>15</v>
      </c>
      <c r="AD243">
        <f>AD209+14</f>
        <v>99</v>
      </c>
      <c r="AF243">
        <f>AF209+14</f>
        <v>99</v>
      </c>
    </row>
    <row r="244" spans="1:32" ht="17.149999999999999" x14ac:dyDescent="0.55000000000000004">
      <c r="B244" t="str">
        <f t="shared" ref="B244" si="785">B243</f>
        <v>Portland</v>
      </c>
      <c r="C244" t="s">
        <v>564</v>
      </c>
      <c r="D244" cm="1">
        <f t="array" ref="D244">IF(ISBLANK(INDEX(FX_Input,$Q243,$AB244)),0.03,INDEX(FX_Input,Q243,AB244))</f>
        <v>0.03</v>
      </c>
      <c r="E244" cm="1">
        <f t="array" ref="E244">IF(ISBLANK(INDEX(FX_Input,$Q243,$AB244)),0.03,INDEX(FX_Input,R243,#REF!))</f>
        <v>0.03</v>
      </c>
      <c r="F244" cm="1">
        <f t="array" ref="F244">IF(ISBLANK(INDEX(FX_Input,$Q243,$AB244)),0.03,INDEX(FX_Input,S243,#REF!))</f>
        <v>0.03</v>
      </c>
      <c r="G244" cm="1">
        <f t="array" ref="G244">IF(ISBLANK(INDEX(FX_Input,$Q243,$AB244)),0.03,INDEX(FX_Input,AB243,#REF!))</f>
        <v>0.03</v>
      </c>
      <c r="H244" cm="1">
        <f t="array" ref="H244">IF(ISBLANK(INDEX(FX_Input,$Q243,$AB244)),0.03,INDEX(FX_Input,#REF!,#REF!))</f>
        <v>0.03</v>
      </c>
      <c r="I244" cm="1">
        <f t="array" ref="I244">IF(ISBLANK(INDEX(FX_Input,$Q243,$AB244)),0.03,INDEX(FX_Input,#REF!,#REF!))</f>
        <v>0.03</v>
      </c>
      <c r="J244" cm="1">
        <f t="array" ref="J244">IF(ISBLANK(INDEX(FX_Input,$Q243,$AB244)),0.03,INDEX(FX_Input,#REF!,#REF!))</f>
        <v>0.03</v>
      </c>
      <c r="K244" cm="1">
        <f t="array" ref="K244">IF(ISBLANK(INDEX(FX_Input,$Q243,$AB244)),0.03,INDEX(FX_Input,#REF!,AC244))</f>
        <v>0.03</v>
      </c>
      <c r="L244" cm="1">
        <f t="array" ref="L244">IF(ISBLANK(INDEX(FX_Input,$Q243,$AB244)),0.03,INDEX(FX_Input,#REF!,AD244))</f>
        <v>0.03</v>
      </c>
      <c r="M244" cm="1">
        <f t="array" ref="M244">IF(ISBLANK(INDEX(FX_Input,$Q243,$AB244)),0.03,INDEX(FX_Input,#REF!,#REF!))</f>
        <v>0.03</v>
      </c>
      <c r="N244" cm="1">
        <f t="array" ref="N244">IF(ISBLANK(INDEX(FX_Input,$Q243,$AB244)),0.03,INDEX(FX_Input,AC243,#REF!))</f>
        <v>0.03</v>
      </c>
      <c r="O244" cm="1">
        <f t="array" ref="O244">IF(ISBLANK(INDEX(FX_Input,$Q243,$AB244)),0.03,INDEX(FX_Input,AD243,#REF!))</f>
        <v>0.03</v>
      </c>
      <c r="AB244">
        <v>15</v>
      </c>
    </row>
    <row r="245" spans="1:32" ht="17.149999999999999" x14ac:dyDescent="0.55000000000000004">
      <c r="B245" t="str">
        <f>B244</f>
        <v>Portland</v>
      </c>
      <c r="C245" t="s">
        <v>565</v>
      </c>
      <c r="D245" cm="1">
        <f t="array" ref="D245">IF(ISBLANK(INDEX(FX_Input,$Q243,$AB245)),-0.03,INDEX(FX_Input,Q243,AB245))</f>
        <v>-0.03</v>
      </c>
      <c r="E245" cm="1">
        <f t="array" ref="E245">IF(ISBLANK(INDEX(FX_Input,$Q243,$AB245)),-0.03,INDEX(FX_Input,R243,#REF!))</f>
        <v>-0.03</v>
      </c>
      <c r="F245" cm="1">
        <f t="array" ref="F245">IF(ISBLANK(INDEX(FX_Input,$Q243,$AB245)),-0.03,INDEX(FX_Input,S243,#REF!))</f>
        <v>-0.03</v>
      </c>
      <c r="G245" cm="1">
        <f t="array" ref="G245">IF(ISBLANK(INDEX(FX_Input,$Q243,$AB245)),-0.03,INDEX(FX_Input,AB243,#REF!))</f>
        <v>-0.03</v>
      </c>
      <c r="H245" cm="1">
        <f t="array" ref="H245">IF(ISBLANK(INDEX(FX_Input,$Q243,$AB245)),-0.03,INDEX(FX_Input,#REF!,#REF!))</f>
        <v>-0.03</v>
      </c>
      <c r="I245" cm="1">
        <f t="array" ref="I245">IF(ISBLANK(INDEX(FX_Input,$Q243,$AB245)),-0.03,INDEX(FX_Input,#REF!,#REF!))</f>
        <v>-0.03</v>
      </c>
      <c r="J245" cm="1">
        <f t="array" ref="J245">IF(ISBLANK(INDEX(FX_Input,$Q243,$AB245)),-0.03,INDEX(FX_Input,#REF!,#REF!))</f>
        <v>-0.03</v>
      </c>
      <c r="K245" cm="1">
        <f t="array" ref="K245">IF(ISBLANK(INDEX(FX_Input,$Q243,$AB245)),-0.03,INDEX(FX_Input,#REF!,AC245))</f>
        <v>-0.03</v>
      </c>
      <c r="L245" cm="1">
        <f t="array" ref="L245">IF(ISBLANK(INDEX(FX_Input,$Q243,$AB245)),-0.03,INDEX(FX_Input,#REF!,AD245))</f>
        <v>-0.03</v>
      </c>
      <c r="M245" cm="1">
        <f t="array" ref="M245">IF(ISBLANK(INDEX(FX_Input,$Q243,$AB245)),-0.03,INDEX(FX_Input,#REF!,#REF!))</f>
        <v>-0.03</v>
      </c>
      <c r="N245" cm="1">
        <f t="array" ref="N245">IF(ISBLANK(INDEX(FX_Input,$Q243,$AB245)),-0.03,INDEX(FX_Input,AC243,#REF!))</f>
        <v>-0.03</v>
      </c>
      <c r="O245" cm="1">
        <f t="array" ref="O245">IF(ISBLANK(INDEX(FX_Input,$Q243,$AB245)),-0.03,INDEX(FX_Input,AD243,#REF!))</f>
        <v>-0.03</v>
      </c>
      <c r="AB245">
        <v>16</v>
      </c>
    </row>
    <row r="246" spans="1:32" x14ac:dyDescent="0.4">
      <c r="B246" t="str">
        <f t="shared" ref="B246:B247" si="786">B245</f>
        <v>Portland</v>
      </c>
      <c r="C246" s="66" t="s">
        <v>567</v>
      </c>
      <c r="D246" t="str" cm="1">
        <f t="array" ref="D246">INDEX(FX_Multi,$AD246,D$3)</f>
        <v>Jet kerosene</v>
      </c>
      <c r="E246" t="str" cm="1">
        <f t="array" ref="E246">INDEX(FX_Multi,$AD246,E$3)</f>
        <v>Jet kerosene</v>
      </c>
      <c r="F246" t="str" cm="1">
        <f t="array" ref="F246">INDEX(FX_Multi,$AD246,F$3)</f>
        <v>Jet kerosene</v>
      </c>
      <c r="G246" t="str" cm="1">
        <f t="array" ref="G246">INDEX(FX_Multi,$AD246,G$3)</f>
        <v>Jet kerosene</v>
      </c>
      <c r="H246" t="str" cm="1">
        <f t="array" ref="H246">INDEX(FX_Multi,$AD246,H$3)</f>
        <v>Jet kerosene</v>
      </c>
      <c r="I246" t="str" cm="1">
        <f t="array" ref="I246">INDEX(FX_Multi,$AD246,I$3)</f>
        <v>Jet kerosene</v>
      </c>
      <c r="J246" t="str" cm="1">
        <f t="array" ref="J246">INDEX(FX_Multi,$AD246,J$3)</f>
        <v>Jet kerosene</v>
      </c>
      <c r="K246" t="str" cm="1">
        <f t="array" ref="K246">INDEX(FX_Multi,$AD246,K$3)</f>
        <v>Jet kerosene</v>
      </c>
      <c r="L246" t="str" cm="1">
        <f t="array" ref="L246">INDEX(FX_Multi,$AD246,L$3)</f>
        <v>Jet kerosene</v>
      </c>
      <c r="M246" t="str" cm="1">
        <f t="array" ref="M246">INDEX(FX_Multi,$AD246,M$3)</f>
        <v>Jet kerosene</v>
      </c>
      <c r="N246" t="str" cm="1">
        <f t="array" ref="N246">INDEX(FX_Multi,$AD246,N$3)</f>
        <v>Jet kerosene</v>
      </c>
      <c r="O246" t="str" cm="1">
        <f t="array" ref="O246">INDEX(FX_Multi,$AD246,O$3)</f>
        <v>Jet kerosene</v>
      </c>
      <c r="AC246">
        <v>1</v>
      </c>
      <c r="AD246">
        <f>AD243</f>
        <v>99</v>
      </c>
      <c r="AE246">
        <v>1</v>
      </c>
      <c r="AF246">
        <f>AF243</f>
        <v>99</v>
      </c>
    </row>
    <row r="247" spans="1:32" x14ac:dyDescent="0.4">
      <c r="B247" t="str">
        <f t="shared" si="786"/>
        <v>Portland</v>
      </c>
      <c r="C247" s="66" t="s">
        <v>566</v>
      </c>
      <c r="D247" t="str" cm="1">
        <f t="array" ref="D247">INDEX(FX_Multi,$AD247,D$3)</f>
        <v>Select Pet Stock</v>
      </c>
      <c r="E247" t="str" cm="1">
        <f t="array" ref="E247">INDEX(FX_Multi,$AD247,E$3)</f>
        <v>Select Pet Stock</v>
      </c>
      <c r="F247" t="str" cm="1">
        <f t="array" ref="F247">INDEX(FX_Multi,$AD247,F$3)</f>
        <v>Select Pet Stock</v>
      </c>
      <c r="G247" t="str" cm="1">
        <f t="array" ref="G247">INDEX(FX_Multi,$AD247,G$3)</f>
        <v>Select Pet Stock</v>
      </c>
      <c r="H247" t="str" cm="1">
        <f t="array" ref="H247">INDEX(FX_Multi,$AD247,H$3)</f>
        <v>Select Pet Stock</v>
      </c>
      <c r="I247" t="str" cm="1">
        <f t="array" ref="I247">INDEX(FX_Multi,$AD247,I$3)</f>
        <v>Select Pet Stock</v>
      </c>
      <c r="J247" t="str" cm="1">
        <f t="array" ref="J247">INDEX(FX_Multi,$AD247,J$3)</f>
        <v>Select Pet Stock</v>
      </c>
      <c r="K247" t="str" cm="1">
        <f t="array" ref="K247">INDEX(FX_Multi,$AD247,K$3)</f>
        <v>Select Pet Stock</v>
      </c>
      <c r="L247" t="str" cm="1">
        <f t="array" ref="L247">INDEX(FX_Multi,$AD247,L$3)</f>
        <v>Select Pet Stock</v>
      </c>
      <c r="M247" t="str" cm="1">
        <f t="array" ref="M247">INDEX(FX_Multi,$AD247,M$3)</f>
        <v>Select Pet Stock</v>
      </c>
      <c r="N247" t="str" cm="1">
        <f t="array" ref="N247">INDEX(FX_Multi,$AD247,N$3)</f>
        <v>Select Pet Stock</v>
      </c>
      <c r="O247" t="str" cm="1">
        <f t="array" ref="O247">INDEX(FX_Multi,$AD247,O$3)</f>
        <v>Select Pet Stock</v>
      </c>
      <c r="AC247">
        <v>1</v>
      </c>
      <c r="AD247">
        <f>AD246+2</f>
        <v>101</v>
      </c>
      <c r="AE247">
        <v>1</v>
      </c>
      <c r="AF247">
        <f>AF246+3</f>
        <v>102</v>
      </c>
    </row>
    <row r="248" spans="1:32" x14ac:dyDescent="0.4">
      <c r="B248" t="str">
        <f>B244</f>
        <v>Portland</v>
      </c>
      <c r="C248" s="66" t="s">
        <v>568</v>
      </c>
      <c r="D248" cm="1">
        <f t="array" ref="D248">INDEX(FX_Multi,$AD248,D$3)</f>
        <v>0</v>
      </c>
      <c r="E248" cm="1">
        <f t="array" ref="E248">INDEX(FX_Multi,$AD248,E$3)</f>
        <v>0</v>
      </c>
      <c r="F248" cm="1">
        <f t="array" ref="F248">INDEX(FX_Multi,$AD248,F$3)</f>
        <v>0</v>
      </c>
      <c r="G248" cm="1">
        <f t="array" ref="G248">INDEX(FX_Multi,$AD248,G$3)</f>
        <v>0</v>
      </c>
      <c r="H248" cm="1">
        <f t="array" ref="H248">INDEX(FX_Multi,$AD248,H$3)</f>
        <v>0</v>
      </c>
      <c r="I248" cm="1">
        <f t="array" ref="I248">INDEX(FX_Multi,$AD248,I$3)</f>
        <v>0</v>
      </c>
      <c r="J248" cm="1">
        <f t="array" ref="J248">INDEX(FX_Multi,$AD248,J$3)</f>
        <v>0</v>
      </c>
      <c r="K248" cm="1">
        <f t="array" ref="K248">INDEX(FX_Multi,$AD248,K$3)</f>
        <v>0</v>
      </c>
      <c r="L248" cm="1">
        <f t="array" ref="L248">INDEX(FX_Multi,$AD248,L$3)</f>
        <v>0</v>
      </c>
      <c r="M248" cm="1">
        <f t="array" ref="M248">INDEX(FX_Multi,$AD248,M$3)</f>
        <v>0</v>
      </c>
      <c r="N248" cm="1">
        <f t="array" ref="N248">INDEX(FX_Multi,$AD248,N$3)</f>
        <v>0</v>
      </c>
      <c r="O248" cm="1">
        <f t="array" ref="O248">INDEX(FX_Multi,$AD248,O$3)</f>
        <v>0</v>
      </c>
      <c r="AC248">
        <v>1</v>
      </c>
      <c r="AD248">
        <f>AD247-1</f>
        <v>100</v>
      </c>
      <c r="AE248">
        <v>1</v>
      </c>
      <c r="AF248">
        <f>AF246+1</f>
        <v>100</v>
      </c>
    </row>
    <row r="249" spans="1:32" x14ac:dyDescent="0.4">
      <c r="B249" t="str">
        <f t="shared" ref="B249:B253" si="787">B248</f>
        <v>Portland</v>
      </c>
      <c r="C249" s="66" t="s">
        <v>569</v>
      </c>
      <c r="D249" cm="1">
        <f t="array" ref="D249">INDEX(FX_Multi,$AD249,D$3)</f>
        <v>0</v>
      </c>
      <c r="E249" cm="1">
        <f t="array" ref="E249">INDEX(FX_Multi,$AD249,E$3)</f>
        <v>0</v>
      </c>
      <c r="F249" cm="1">
        <f t="array" ref="F249">INDEX(FX_Multi,$AD249,F$3)</f>
        <v>0</v>
      </c>
      <c r="G249" cm="1">
        <f t="array" ref="G249">INDEX(FX_Multi,$AD249,G$3)</f>
        <v>0</v>
      </c>
      <c r="H249" cm="1">
        <f t="array" ref="H249">INDEX(FX_Multi,$AD249,H$3)</f>
        <v>0</v>
      </c>
      <c r="I249" cm="1">
        <f t="array" ref="I249">INDEX(FX_Multi,$AD249,I$3)</f>
        <v>0</v>
      </c>
      <c r="J249" cm="1">
        <f t="array" ref="J249">INDEX(FX_Multi,$AD249,J$3)</f>
        <v>0</v>
      </c>
      <c r="K249" cm="1">
        <f t="array" ref="K249">INDEX(FX_Multi,$AD249,K$3)</f>
        <v>0</v>
      </c>
      <c r="L249" cm="1">
        <f t="array" ref="L249">INDEX(FX_Multi,$AD249,L$3)</f>
        <v>0</v>
      </c>
      <c r="M249" cm="1">
        <f t="array" ref="M249">INDEX(FX_Multi,$AD249,M$3)</f>
        <v>0</v>
      </c>
      <c r="N249" cm="1">
        <f t="array" ref="N249">INDEX(FX_Multi,$AD249,N$3)</f>
        <v>0</v>
      </c>
      <c r="O249" cm="1">
        <f t="array" ref="O249">INDEX(FX_Multi,$AD249,O$3)</f>
        <v>0</v>
      </c>
      <c r="AC249">
        <v>1</v>
      </c>
      <c r="AD249">
        <f>AD248+2</f>
        <v>102</v>
      </c>
      <c r="AE249">
        <v>1</v>
      </c>
      <c r="AF249">
        <f>AF247</f>
        <v>102</v>
      </c>
    </row>
    <row r="250" spans="1:32" ht="17.149999999999999" x14ac:dyDescent="0.55000000000000004">
      <c r="B250" t="str">
        <f t="shared" si="787"/>
        <v>Portland</v>
      </c>
      <c r="C250" t="s">
        <v>570</v>
      </c>
      <c r="D250" cm="1">
        <f t="array" ref="D250">INDEX(FX_Multi,$AD250,D$3)</f>
        <v>1</v>
      </c>
      <c r="E250" cm="1">
        <f t="array" ref="E250">INDEX(FX_Multi,$AD250,E$3)</f>
        <v>1</v>
      </c>
      <c r="F250" cm="1">
        <f t="array" ref="F250">INDEX(FX_Multi,$AD250,F$3)</f>
        <v>1</v>
      </c>
      <c r="G250" cm="1">
        <f t="array" ref="G250">INDEX(FX_Multi,$AD250,G$3)</f>
        <v>1</v>
      </c>
      <c r="H250" cm="1">
        <f t="array" ref="H250">INDEX(FX_Multi,$AD250,H$3)</f>
        <v>1</v>
      </c>
      <c r="I250" cm="1">
        <f t="array" ref="I250">INDEX(FX_Multi,$AD250,I$3)</f>
        <v>1</v>
      </c>
      <c r="J250" cm="1">
        <f t="array" ref="J250">INDEX(FX_Multi,$AD250,J$3)</f>
        <v>1</v>
      </c>
      <c r="K250" cm="1">
        <f t="array" ref="K250">INDEX(FX_Multi,$AD250,K$3)</f>
        <v>1</v>
      </c>
      <c r="L250" cm="1">
        <f t="array" ref="L250">INDEX(FX_Multi,$AD250,L$3)</f>
        <v>1</v>
      </c>
      <c r="M250" cm="1">
        <f t="array" ref="M250">INDEX(FX_Multi,$AD250,M$3)</f>
        <v>1</v>
      </c>
      <c r="N250" cm="1">
        <f t="array" ref="N250">INDEX(FX_Multi,$AD250,N$3)</f>
        <v>1</v>
      </c>
      <c r="O250" cm="1">
        <f t="array" ref="O250">INDEX(FX_Multi,$AD250,O$3)</f>
        <v>1</v>
      </c>
      <c r="AC250">
        <v>1</v>
      </c>
      <c r="AD250">
        <f>AD249+6</f>
        <v>108</v>
      </c>
      <c r="AE250">
        <v>1</v>
      </c>
      <c r="AF250">
        <f>AF246+9</f>
        <v>108</v>
      </c>
    </row>
    <row r="251" spans="1:32" ht="17.149999999999999" x14ac:dyDescent="0.55000000000000004">
      <c r="B251" t="str">
        <f t="shared" si="787"/>
        <v>Portland</v>
      </c>
      <c r="C251" t="s">
        <v>571</v>
      </c>
      <c r="D251" cm="1">
        <f t="array" ref="D251">INDEX(FX_Multi,$AD251,D$3)</f>
        <v>162</v>
      </c>
      <c r="E251" cm="1">
        <f t="array" ref="E251">INDEX(FX_Multi,$AD251,E$3)</f>
        <v>162</v>
      </c>
      <c r="F251" cm="1">
        <f t="array" ref="F251">INDEX(FX_Multi,$AD251,F$3)</f>
        <v>162</v>
      </c>
      <c r="G251" cm="1">
        <f t="array" ref="G251">INDEX(FX_Multi,$AD251,G$3)</f>
        <v>162</v>
      </c>
      <c r="H251" cm="1">
        <f t="array" ref="H251">INDEX(FX_Multi,$AD251,H$3)</f>
        <v>162</v>
      </c>
      <c r="I251" cm="1">
        <f t="array" ref="I251">INDEX(FX_Multi,$AD251,I$3)</f>
        <v>162</v>
      </c>
      <c r="J251" cm="1">
        <f t="array" ref="J251">INDEX(FX_Multi,$AD251,J$3)</f>
        <v>162</v>
      </c>
      <c r="K251" cm="1">
        <f t="array" ref="K251">INDEX(FX_Multi,$AD251,K$3)</f>
        <v>162</v>
      </c>
      <c r="L251" cm="1">
        <f t="array" ref="L251">INDEX(FX_Multi,$AD251,L$3)</f>
        <v>162</v>
      </c>
      <c r="M251" cm="1">
        <f t="array" ref="M251">INDEX(FX_Multi,$AD251,M$3)</f>
        <v>162</v>
      </c>
      <c r="N251" cm="1">
        <f t="array" ref="N251">INDEX(FX_Multi,$AD251,N$3)</f>
        <v>162</v>
      </c>
      <c r="O251" cm="1">
        <f t="array" ref="O251">INDEX(FX_Multi,$AD251,O$3)</f>
        <v>162</v>
      </c>
      <c r="AC251">
        <v>1</v>
      </c>
      <c r="AD251">
        <f>AD250-3</f>
        <v>105</v>
      </c>
      <c r="AE251">
        <v>1</v>
      </c>
      <c r="AF251">
        <f>AF246+6</f>
        <v>105</v>
      </c>
    </row>
    <row r="252" spans="1:32" ht="17.149999999999999" x14ac:dyDescent="0.55000000000000004">
      <c r="B252" t="str">
        <f t="shared" si="787"/>
        <v>Portland</v>
      </c>
      <c r="C252" t="s">
        <v>572</v>
      </c>
      <c r="D252" cm="1">
        <f t="array" ref="D252">INDEX(FX_Multi,$AD252,D$3)</f>
        <v>0</v>
      </c>
      <c r="E252" cm="1">
        <f t="array" ref="E252">INDEX(FX_Multi,$AD252,E$3)</f>
        <v>0</v>
      </c>
      <c r="F252" cm="1">
        <f t="array" ref="F252">INDEX(FX_Multi,$AD252,F$3)</f>
        <v>0</v>
      </c>
      <c r="G252" cm="1">
        <f t="array" ref="G252">INDEX(FX_Multi,$AD252,G$3)</f>
        <v>0</v>
      </c>
      <c r="H252" cm="1">
        <f t="array" ref="H252">INDEX(FX_Multi,$AD252,H$3)</f>
        <v>0</v>
      </c>
      <c r="I252" cm="1">
        <f t="array" ref="I252">INDEX(FX_Multi,$AD252,I$3)</f>
        <v>0</v>
      </c>
      <c r="J252" cm="1">
        <f t="array" ref="J252">INDEX(FX_Multi,$AD252,J$3)</f>
        <v>0</v>
      </c>
      <c r="K252" cm="1">
        <f t="array" ref="K252">INDEX(FX_Multi,$AD252,K$3)</f>
        <v>0</v>
      </c>
      <c r="L252" cm="1">
        <f t="array" ref="L252">INDEX(FX_Multi,$AD252,L$3)</f>
        <v>0</v>
      </c>
      <c r="M252" cm="1">
        <f t="array" ref="M252">INDEX(FX_Multi,$AD252,M$3)</f>
        <v>0</v>
      </c>
      <c r="N252" cm="1">
        <f t="array" ref="N252">INDEX(FX_Multi,$AD252,N$3)</f>
        <v>0</v>
      </c>
      <c r="O252" cm="1">
        <f t="array" ref="O252">INDEX(FX_Multi,$AD252,O$3)</f>
        <v>0</v>
      </c>
      <c r="AC252">
        <v>1</v>
      </c>
      <c r="AD252">
        <f>AD251+4</f>
        <v>109</v>
      </c>
      <c r="AE252">
        <v>1</v>
      </c>
      <c r="AF252">
        <f>AF246+10</f>
        <v>109</v>
      </c>
    </row>
    <row r="253" spans="1:32" ht="17.149999999999999" x14ac:dyDescent="0.55000000000000004">
      <c r="B253" t="str">
        <f t="shared" si="787"/>
        <v>Portland</v>
      </c>
      <c r="C253" t="s">
        <v>573</v>
      </c>
      <c r="D253" cm="1">
        <f t="array" ref="D253">INDEX(FX_Multi,$AD253,D$3)</f>
        <v>0</v>
      </c>
      <c r="E253" cm="1">
        <f t="array" ref="E253">INDEX(FX_Multi,$AD253,E$3)</f>
        <v>0</v>
      </c>
      <c r="F253" cm="1">
        <f t="array" ref="F253">INDEX(FX_Multi,$AD253,F$3)</f>
        <v>0</v>
      </c>
      <c r="G253" cm="1">
        <f t="array" ref="G253">INDEX(FX_Multi,$AD253,G$3)</f>
        <v>0</v>
      </c>
      <c r="H253" cm="1">
        <f t="array" ref="H253">INDEX(FX_Multi,$AD253,H$3)</f>
        <v>0</v>
      </c>
      <c r="I253" cm="1">
        <f t="array" ref="I253">INDEX(FX_Multi,$AD253,I$3)</f>
        <v>0</v>
      </c>
      <c r="J253" cm="1">
        <f t="array" ref="J253">INDEX(FX_Multi,$AD253,J$3)</f>
        <v>0</v>
      </c>
      <c r="K253" cm="1">
        <f t="array" ref="K253">INDEX(FX_Multi,$AD253,K$3)</f>
        <v>0</v>
      </c>
      <c r="L253" cm="1">
        <f t="array" ref="L253">INDEX(FX_Multi,$AD253,L$3)</f>
        <v>0</v>
      </c>
      <c r="M253" cm="1">
        <f t="array" ref="M253">INDEX(FX_Multi,$AD253,M$3)</f>
        <v>0</v>
      </c>
      <c r="N253" cm="1">
        <f t="array" ref="N253">INDEX(FX_Multi,$AD253,N$3)</f>
        <v>0</v>
      </c>
      <c r="O253" cm="1">
        <f t="array" ref="O253">INDEX(FX_Multi,$AD253,O$3)</f>
        <v>0</v>
      </c>
      <c r="AC253">
        <v>1</v>
      </c>
      <c r="AD253">
        <f>AD252-3</f>
        <v>106</v>
      </c>
      <c r="AE253">
        <v>1</v>
      </c>
      <c r="AF253">
        <f>AF246+7</f>
        <v>106</v>
      </c>
    </row>
    <row r="254" spans="1:32" ht="17.149999999999999" x14ac:dyDescent="0.55000000000000004">
      <c r="B254" t="str">
        <f>B249</f>
        <v>Portland</v>
      </c>
      <c r="C254" t="s">
        <v>526</v>
      </c>
      <c r="D254" cm="1">
        <f t="array" ref="D254">INDEX(FX_Temps,$AF254,D$3)</f>
        <v>42.403099999999938</v>
      </c>
      <c r="E254" cm="1">
        <f t="array" ref="E254">INDEX(FX_Temps,$AF254,E$3)</f>
        <v>43.080000000000041</v>
      </c>
      <c r="F254" cm="1">
        <f t="array" ref="F254">INDEX(FX_Temps,$AF254,F$3)</f>
        <v>44.95089999999999</v>
      </c>
      <c r="G254" cm="1">
        <f t="array" ref="G254">INDEX(FX_Temps,$AF254,G$3)</f>
        <v>48.048400000000015</v>
      </c>
      <c r="H254" cm="1">
        <f t="array" ref="H254">INDEX(FX_Temps,$AF254,H$3)</f>
        <v>53.102899999999977</v>
      </c>
      <c r="I254" cm="1">
        <f t="array" ref="I254">INDEX(FX_Temps,$AF254,I$3)</f>
        <v>57.215900000000033</v>
      </c>
      <c r="J254" cm="1">
        <f t="array" ref="J254">INDEX(FX_Temps,$AF254,J$3)</f>
        <v>60.813599999999838</v>
      </c>
      <c r="K254" cm="1">
        <f t="array" ref="K254">INDEX(FX_Temps,$AF254,K$3)</f>
        <v>60.716400000000021</v>
      </c>
      <c r="L254" cm="1">
        <f t="array" ref="L254">INDEX(FX_Temps,$AF254,L$3)</f>
        <v>57.353200000000015</v>
      </c>
      <c r="M254" cm="1">
        <f t="array" ref="M254">INDEX(FX_Temps,$AF254,M$3)</f>
        <v>50.947600000000079</v>
      </c>
      <c r="N254" cm="1">
        <f t="array" ref="N254">INDEX(FX_Temps,$AF254,N$3)</f>
        <v>45.324700000000007</v>
      </c>
      <c r="O254" cm="1">
        <f t="array" ref="O254">INDEX(FX_Temps,$AF254,O$3)</f>
        <v>42.113400000000013</v>
      </c>
      <c r="AE254">
        <v>1</v>
      </c>
      <c r="AF254">
        <f>AF246+10</f>
        <v>109</v>
      </c>
    </row>
    <row r="255" spans="1:32" ht="17.149999999999999" x14ac:dyDescent="0.55000000000000004">
      <c r="B255" t="str">
        <f t="shared" ref="B255:B276" si="788">B254</f>
        <v>Portland</v>
      </c>
      <c r="C255" t="s">
        <v>527</v>
      </c>
      <c r="D255" cm="1">
        <f t="array" ref="D255">INDEX(FX_Temps,$AF255,D$3)</f>
        <v>46.563099999999963</v>
      </c>
      <c r="E255" cm="1">
        <f t="array" ref="E255">INDEX(FX_Temps,$AF255,E$3)</f>
        <v>48.360000000000014</v>
      </c>
      <c r="F255" cm="1">
        <f t="array" ref="F255">INDEX(FX_Temps,$AF255,F$3)</f>
        <v>50.230900000000076</v>
      </c>
      <c r="G255" cm="1">
        <f t="array" ref="G255">INDEX(FX_Temps,$AF255,G$3)</f>
        <v>53.408400000000029</v>
      </c>
      <c r="H255" cm="1">
        <f t="array" ref="H255">INDEX(FX_Temps,$AF255,H$3)</f>
        <v>58.422899999999913</v>
      </c>
      <c r="I255" cm="1">
        <f t="array" ref="I255">INDEX(FX_Temps,$AF255,I$3)</f>
        <v>62.215900000000033</v>
      </c>
      <c r="J255" cm="1">
        <f t="array" ref="J255">INDEX(FX_Temps,$AF255,J$3)</f>
        <v>65.893599999999878</v>
      </c>
      <c r="K255" cm="1">
        <f t="array" ref="K255">INDEX(FX_Temps,$AF255,K$3)</f>
        <v>66.156400000000076</v>
      </c>
      <c r="L255" cm="1">
        <f t="array" ref="L255">INDEX(FX_Temps,$AF255,L$3)</f>
        <v>63.913199999999961</v>
      </c>
      <c r="M255" cm="1">
        <f t="array" ref="M255">INDEX(FX_Temps,$AF255,M$3)</f>
        <v>56.827600000000075</v>
      </c>
      <c r="N255" cm="1">
        <f t="array" ref="N255">INDEX(FX_Temps,$AF255,N$3)</f>
        <v>50.204700000000003</v>
      </c>
      <c r="O255" cm="1">
        <f t="array" ref="O255">INDEX(FX_Temps,$AF255,O$3)</f>
        <v>46.113400000000013</v>
      </c>
      <c r="AE255">
        <f>AE254</f>
        <v>1</v>
      </c>
      <c r="AF255">
        <f>AF246+11</f>
        <v>110</v>
      </c>
    </row>
    <row r="256" spans="1:32" ht="17.149999999999999" x14ac:dyDescent="0.55000000000000004">
      <c r="B256" t="str">
        <f t="shared" si="788"/>
        <v>Portland</v>
      </c>
      <c r="C256" t="s">
        <v>552</v>
      </c>
      <c r="D256" cm="1">
        <f t="array" ref="D256">INDEX(FX_Temps,$AF256,D$3)</f>
        <v>44.748924999999986</v>
      </c>
      <c r="E256" cm="1">
        <f t="array" ref="E256">INDEX(FX_Temps,$AF256,E$3)</f>
        <v>46.185000000000059</v>
      </c>
      <c r="F256" cm="1">
        <f t="array" ref="F256">INDEX(FX_Temps,$AF256,F$3)</f>
        <v>48.270575000000008</v>
      </c>
      <c r="G256" cm="1">
        <f t="array" ref="G256">INDEX(FX_Temps,$AF256,G$3)</f>
        <v>51.698699999999917</v>
      </c>
      <c r="H256" cm="1">
        <f t="array" ref="H256">INDEX(FX_Temps,$AF256,H$3)</f>
        <v>56.954074999999875</v>
      </c>
      <c r="I256" cm="1">
        <f t="array" ref="I256">INDEX(FX_Temps,$AF256,I$3)</f>
        <v>60.976825000000076</v>
      </c>
      <c r="J256" cm="1">
        <f t="array" ref="J256">INDEX(FX_Temps,$AF256,J$3)</f>
        <v>64.677299999999832</v>
      </c>
      <c r="K256" cm="1">
        <f t="array" ref="K256">INDEX(FX_Temps,$AF256,K$3)</f>
        <v>64.592699999999923</v>
      </c>
      <c r="L256" cm="1">
        <f t="array" ref="L256">INDEX(FX_Temps,$AF256,L$3)</f>
        <v>61.560100000000034</v>
      </c>
      <c r="M256" cm="1">
        <f t="array" ref="M256">INDEX(FX_Temps,$AF256,M$3)</f>
        <v>54.451800000000048</v>
      </c>
      <c r="N256" cm="1">
        <f t="array" ref="N256">INDEX(FX_Temps,$AF256,N$3)</f>
        <v>48.067724999999996</v>
      </c>
      <c r="O256" cm="1">
        <f t="array" ref="O256">INDEX(FX_Temps,$AF256,O$3)</f>
        <v>44.347450000000038</v>
      </c>
      <c r="AE256">
        <f>AE255</f>
        <v>1</v>
      </c>
      <c r="AF256">
        <f>AF246+13</f>
        <v>112</v>
      </c>
    </row>
    <row r="257" spans="2:15" ht="17.149999999999999" x14ac:dyDescent="0.55000000000000004">
      <c r="B257" t="str">
        <f t="shared" si="788"/>
        <v>Portland</v>
      </c>
      <c r="C257" t="s">
        <v>574</v>
      </c>
      <c r="D257" cm="1">
        <f t="array" ref="D257">IFERROR(IF(D247="Chemical",(10^(INDEX(Antoines,MATCH(D246,Antoine_Name,0),2)-INDEX(Antoines,MATCH(D246,Antoine_Name,0),3)/(INDEX(Antoines,MATCH(D246,Antoine_Name,0),4)+(D254-32)*5/9)))*14.7/760,IF(D247="Crude Oil",EXP((2799/(D254+459.6)-2.227)*LOG10(INDEX(FX_Input,Q$5,D$3*$Z$5+$AA$5))-(7261/(D254+459.6))+12.82),IF(D247="Refined Petroleum Stock",EXP((0.7553-(413/(D254+459.6)))*(INDEX(FX_Input,Q$5,D$3*$Z$5+$AA$5-1)^0.5)*LOG10(INDEX(FX_Input,Q$5,D$3*$Z$5+$AA$5))-(1.854-(1042/(D254+459.6)))*(INDEX(FX_Input,Q$5,D$3*$Z$5+$AA$5-1)^0.5)+((2416/(D254+459.6)-2.013)*LOG10(INDEX(FX_Input,Q$5,D$3*$Z$5+$AA$5)))-(8742/(D254+459.6))+15.64),EXP(INDEX(Antoines,MATCH(D246,Antoine_Name,0),2)-INDEX(Antoines,MATCH(D246,Antoine_Name,0),3)/(D254+459.6))))),0)</f>
        <v>4.4953541371678231E-3</v>
      </c>
      <c r="E257" cm="1">
        <f t="array" ref="E257">IFERROR(IF(E247="Chemical",(10^(INDEX(Antoines,MATCH(E246,Antoine_Name,0),2)-INDEX(Antoines,MATCH(E246,Antoine_Name,0),3)/(INDEX(Antoines,MATCH(E246,Antoine_Name,0),4)+(E254-32)*5/9)))*14.7/760,IF(E247="Crude Oil",EXP((2799/(E254+459.6)-2.227)*LOG10(INDEX(FX_Input,R$5,E$3*$Z$5+$AA$5))-(7261/(E254+459.6))+12.82),IF(E247="Refined Petroleum Stock",EXP((0.7553-(413/(E254+459.6)))*(INDEX(FX_Input,R$5,E$3*$Z$5+$AA$5-1)^0.5)*LOG10(INDEX(FX_Input,R$5,E$3*$Z$5+$AA$5))-(1.854-(1042/(E254+459.6)))*(INDEX(FX_Input,R$5,E$3*$Z$5+$AA$5-1)^0.5)+((2416/(E254+459.6)-2.013)*LOG10(INDEX(FX_Input,R$5,E$3*$Z$5+$AA$5)))-(8742/(E254+459.6))+15.64),EXP(INDEX(Antoines,MATCH(E246,Antoine_Name,0),2)-INDEX(Antoines,MATCH(E246,Antoine_Name,0),3)/(E254+459.6))))),0)</f>
        <v>4.6043729465544726E-3</v>
      </c>
      <c r="F257" cm="1">
        <f t="array" ref="F257">IFERROR(IF(F247="Chemical",(10^(INDEX(Antoines,MATCH(F246,Antoine_Name,0),2)-INDEX(Antoines,MATCH(F246,Antoine_Name,0),3)/(INDEX(Antoines,MATCH(F246,Antoine_Name,0),4)+(F254-32)*5/9)))*14.7/760,IF(F247="Crude Oil",EXP((2799/(F254+459.6)-2.227)*LOG10(INDEX(FX_Input,S$5,F$3*$Z$5+$AA$5))-(7261/(F254+459.6))+12.82),IF(F247="Refined Petroleum Stock",EXP((0.7553-(413/(F254+459.6)))*(INDEX(FX_Input,S$5,F$3*$Z$5+$AA$5-1)^0.5)*LOG10(INDEX(FX_Input,S$5,F$3*$Z$5+$AA$5))-(1.854-(1042/(F254+459.6)))*(INDEX(FX_Input,S$5,F$3*$Z$5+$AA$5-1)^0.5)+((2416/(F254+459.6)-2.013)*LOG10(INDEX(FX_Input,S$5,F$3*$Z$5+$AA$5)))-(8742/(F254+459.6))+15.64),EXP(INDEX(Antoines,MATCH(F246,Antoine_Name,0),2)-INDEX(Antoines,MATCH(F246,Antoine_Name,0),3)/(F254+459.6))))),0)</f>
        <v>4.9179969260705328E-3</v>
      </c>
      <c r="G257" cm="1">
        <f t="array" ref="G257">IFERROR(IF(G247="Chemical",(10^(INDEX(Antoines,MATCH(G246,Antoine_Name,0),2)-INDEX(Antoines,MATCH(G246,Antoine_Name,0),3)/(INDEX(Antoines,MATCH(G246,Antoine_Name,0),4)+(G254-32)*5/9)))*14.7/760,IF(G247="Crude Oil",EXP((2799/(G254+459.6)-2.227)*LOG10(INDEX(FX_Input,T$5,G$3*$Z$5+$AA$5))-(7261/(G254+459.6))+12.82),IF(G247="Refined Petroleum Stock",EXP((0.7553-(413/(G254+459.6)))*(INDEX(FX_Input,T$5,G$3*$Z$5+$AA$5-1)^0.5)*LOG10(INDEX(FX_Input,T$5,G$3*$Z$5+$AA$5))-(1.854-(1042/(G254+459.6)))*(INDEX(FX_Input,T$5,G$3*$Z$5+$AA$5-1)^0.5)+((2416/(G254+459.6)-2.013)*LOG10(INDEX(FX_Input,T$5,G$3*$Z$5+$AA$5)))-(8742/(G254+459.6))+15.64),EXP(INDEX(Antoines,MATCH(G246,Antoine_Name,0),2)-INDEX(Antoines,MATCH(G246,Antoine_Name,0),3)/(G254+459.6))))),0)</f>
        <v>5.479042667267656E-3</v>
      </c>
      <c r="H257" cm="1">
        <f t="array" ref="H257">IFERROR(IF(H247="Chemical",(10^(INDEX(Antoines,MATCH(H246,Antoine_Name,0),2)-INDEX(Antoines,MATCH(H246,Antoine_Name,0),3)/(INDEX(Antoines,MATCH(H246,Antoine_Name,0),4)+(H254-32)*5/9)))*14.7/760,IF(H247="Crude Oil",EXP((2799/(H254+459.6)-2.227)*LOG10(INDEX(FX_Input,U$5,H$3*$Z$5+$AA$5))-(7261/(H254+459.6))+12.82),IF(H247="Refined Petroleum Stock",EXP((0.7553-(413/(H254+459.6)))*(INDEX(FX_Input,U$5,H$3*$Z$5+$AA$5-1)^0.5)*LOG10(INDEX(FX_Input,U$5,H$3*$Z$5+$AA$5))-(1.854-(1042/(H254+459.6)))*(INDEX(FX_Input,U$5,H$3*$Z$5+$AA$5-1)^0.5)+((2416/(H254+459.6)-2.013)*LOG10(INDEX(FX_Input,U$5,H$3*$Z$5+$AA$5)))-(8742/(H254+459.6))+15.64),EXP(INDEX(Antoines,MATCH(H246,Antoine_Name,0),2)-INDEX(Antoines,MATCH(H246,Antoine_Name,0),3)/(H254+459.6))))),0)</f>
        <v>6.5169685513364909E-3</v>
      </c>
      <c r="I257" cm="1">
        <f t="array" ref="I257">IFERROR(IF(I247="Chemical",(10^(INDEX(Antoines,MATCH(I246,Antoine_Name,0),2)-INDEX(Antoines,MATCH(I246,Antoine_Name,0),3)/(INDEX(Antoines,MATCH(I246,Antoine_Name,0),4)+(I254-32)*5/9)))*14.7/760,IF(I247="Crude Oil",EXP((2799/(I254+459.6)-2.227)*LOG10(INDEX(FX_Input,V$5,I$3*$Z$5+$AA$5))-(7261/(I254+459.6))+12.82),IF(I247="Refined Petroleum Stock",EXP((0.7553-(413/(I254+459.6)))*(INDEX(FX_Input,V$5,I$3*$Z$5+$AA$5-1)^0.5)*LOG10(INDEX(FX_Input,V$5,I$3*$Z$5+$AA$5))-(1.854-(1042/(I254+459.6)))*(INDEX(FX_Input,V$5,I$3*$Z$5+$AA$5-1)^0.5)+((2416/(I254+459.6)-2.013)*LOG10(INDEX(FX_Input,V$5,I$3*$Z$5+$AA$5)))-(8742/(I254+459.6))+15.64),EXP(INDEX(Antoines,MATCH(I246,Antoine_Name,0),2)-INDEX(Antoines,MATCH(I246,Antoine_Name,0),3)/(I254+459.6))))),0)</f>
        <v>7.486267526260572E-3</v>
      </c>
      <c r="J257" cm="1">
        <f t="array" ref="J257">IFERROR(IF(J247="Chemical",(10^(INDEX(Antoines,MATCH(J246,Antoine_Name,0),2)-INDEX(Antoines,MATCH(J246,Antoine_Name,0),3)/(INDEX(Antoines,MATCH(J246,Antoine_Name,0),4)+(J254-32)*5/9)))*14.7/760,IF(J247="Crude Oil",EXP((2799/(J254+459.6)-2.227)*LOG10(INDEX(FX_Input,W$5,J$3*$Z$5+$AA$5))-(7261/(J254+459.6))+12.82),IF(J247="Refined Petroleum Stock",EXP((0.7553-(413/(J254+459.6)))*(INDEX(FX_Input,W$5,J$3*$Z$5+$AA$5-1)^0.5)*LOG10(INDEX(FX_Input,W$5,J$3*$Z$5+$AA$5))-(1.854-(1042/(J254+459.6)))*(INDEX(FX_Input,W$5,J$3*$Z$5+$AA$5-1)^0.5)+((2416/(J254+459.6)-2.013)*LOG10(INDEX(FX_Input,W$5,J$3*$Z$5+$AA$5)))-(8742/(J254+459.6))+15.64),EXP(INDEX(Antoines,MATCH(J246,Antoine_Name,0),2)-INDEX(Antoines,MATCH(J246,Antoine_Name,0),3)/(J254+459.6))))),0)</f>
        <v>8.4364538110447557E-3</v>
      </c>
      <c r="K257" cm="1">
        <f t="array" ref="K257">IFERROR(IF(K247="Chemical",(10^(INDEX(Antoines,MATCH(K246,Antoine_Name,0),2)-INDEX(Antoines,MATCH(K246,Antoine_Name,0),3)/(INDEX(Antoines,MATCH(K246,Antoine_Name,0),4)+(K254-32)*5/9)))*14.7/760,IF(K247="Crude Oil",EXP((2799/(K254+459.6)-2.227)*LOG10(INDEX(FX_Input,X$5,K$3*$Z$5+$AA$5))-(7261/(K254+459.6))+12.82),IF(K247="Refined Petroleum Stock",EXP((0.7553-(413/(K254+459.6)))*(INDEX(FX_Input,X$5,K$3*$Z$5+$AA$5-1)^0.5)*LOG10(INDEX(FX_Input,X$5,K$3*$Z$5+$AA$5))-(1.854-(1042/(K254+459.6)))*(INDEX(FX_Input,X$5,K$3*$Z$5+$AA$5-1)^0.5)+((2416/(K254+459.6)-2.013)*LOG10(INDEX(FX_Input,X$5,K$3*$Z$5+$AA$5)))-(8742/(K254+459.6))+15.64),EXP(INDEX(Antoines,MATCH(K246,Antoine_Name,0),2)-INDEX(Antoines,MATCH(K246,Antoine_Name,0),3)/(K254+459.6))))),0)</f>
        <v>8.4094446398714287E-3</v>
      </c>
      <c r="L257" cm="1">
        <f t="array" ref="L257">IFERROR(IF(L247="Chemical",(10^(INDEX(Antoines,MATCH(L246,Antoine_Name,0),2)-INDEX(Antoines,MATCH(L246,Antoine_Name,0),3)/(INDEX(Antoines,MATCH(L246,Antoine_Name,0),4)+(L254-32)*5/9)))*14.7/760,IF(L247="Crude Oil",EXP((2799/(L254+459.6)-2.227)*LOG10(INDEX(FX_Input,Y$5,L$3*$Z$5+$AA$5))-(7261/(L254+459.6))+12.82),IF(L247="Refined Petroleum Stock",EXP((0.7553-(413/(L254+459.6)))*(INDEX(FX_Input,Y$5,L$3*$Z$5+$AA$5-1)^0.5)*LOG10(INDEX(FX_Input,Y$5,L$3*$Z$5+$AA$5))-(1.854-(1042/(L254+459.6)))*(INDEX(FX_Input,Y$5,L$3*$Z$5+$AA$5-1)^0.5)+((2416/(L254+459.6)-2.013)*LOG10(INDEX(FX_Input,Y$5,L$3*$Z$5+$AA$5)))-(8742/(L254+459.6))+15.64),EXP(INDEX(Antoines,MATCH(L246,Antoine_Name,0),2)-INDEX(Antoines,MATCH(L246,Antoine_Name,0),3)/(L254+459.6))))),0)</f>
        <v>7.5207138884047006E-3</v>
      </c>
      <c r="M257" cm="1">
        <f t="array" ref="M257">IFERROR(IF(M247="Chemical",(10^(INDEX(Antoines,MATCH(M246,Antoine_Name,0),2)-INDEX(Antoines,MATCH(M246,Antoine_Name,0),3)/(INDEX(Antoines,MATCH(M246,Antoine_Name,0),4)+(M254-32)*5/9)))*14.7/760,IF(M247="Crude Oil",EXP((2799/(M254+459.6)-2.227)*LOG10(INDEX(FX_Input,Z$5,M$3*$Z$5+$AA$5))-(7261/(M254+459.6))+12.82),IF(M247="Refined Petroleum Stock",EXP((0.7553-(413/(M254+459.6)))*(INDEX(FX_Input,Z$5,M$3*$Z$5+$AA$5-1)^0.5)*LOG10(INDEX(FX_Input,Z$5,M$3*$Z$5+$AA$5))-(1.854-(1042/(M254+459.6)))*(INDEX(FX_Input,Z$5,M$3*$Z$5+$AA$5-1)^0.5)+((2416/(M254+459.6)-2.013)*LOG10(INDEX(FX_Input,Z$5,M$3*$Z$5+$AA$5)))-(8742/(M254+459.6))+15.64),EXP(INDEX(Antoines,MATCH(M246,Antoine_Name,0),2)-INDEX(Antoines,MATCH(M246,Antoine_Name,0),3)/(M254+459.6))))),0)</f>
        <v>6.0548274008136857E-3</v>
      </c>
      <c r="N257" cm="1">
        <f t="array" ref="N257">IFERROR(IF(N247="Chemical",(10^(INDEX(Antoines,MATCH(N246,Antoine_Name,0),2)-INDEX(Antoines,MATCH(N246,Antoine_Name,0),3)/(INDEX(Antoines,MATCH(N246,Antoine_Name,0),4)+(N254-32)*5/9)))*14.7/760,IF(N247="Crude Oil",EXP((2799/(N254+459.6)-2.227)*LOG10(INDEX(FX_Input,AA$5,N$3*$Z$5+$AA$5))-(7261/(N254+459.6))+12.82),IF(N247="Refined Petroleum Stock",EXP((0.7553-(413/(N254+459.6)))*(INDEX(FX_Input,AA$5,N$3*$Z$5+$AA$5-1)^0.5)*LOG10(INDEX(FX_Input,AA$5,N$3*$Z$5+$AA$5))-(1.854-(1042/(N254+459.6)))*(INDEX(FX_Input,AA$5,N$3*$Z$5+$AA$5-1)^0.5)+((2416/(N254+459.6)-2.013)*LOG10(INDEX(FX_Input,AA$5,N$3*$Z$5+$AA$5)))-(8742/(N254+459.6))+15.64),EXP(INDEX(Antoines,MATCH(N246,Antoine_Name,0),2)-INDEX(Antoines,MATCH(N246,Antoine_Name,0),3)/(N254+459.6))))),0)</f>
        <v>4.9828816635194605E-3</v>
      </c>
      <c r="O257" cm="1">
        <f t="array" ref="O257">IFERROR(IF(O247="Chemical",(10^(INDEX(Antoines,MATCH(O246,Antoine_Name,0),2)-INDEX(Antoines,MATCH(O246,Antoine_Name,0),3)/(INDEX(Antoines,MATCH(O246,Antoine_Name,0),4)+(O254-32)*5/9)))*14.7/760,IF(O247="Crude Oil",EXP((2799/(O254+459.6)-2.227)*LOG10(INDEX(FX_Input,AB$5,O$3*$Z$5+$AA$5))-(7261/(O254+459.6))+12.82),IF(O247="Refined Petroleum Stock",EXP((0.7553-(413/(O254+459.6)))*(INDEX(FX_Input,AB$5,O$3*$Z$5+$AA$5-1)^0.5)*LOG10(INDEX(FX_Input,AB$5,O$3*$Z$5+$AA$5))-(1.854-(1042/(O254+459.6)))*(INDEX(FX_Input,AB$5,O$3*$Z$5+$AA$5-1)^0.5)+((2416/(O254+459.6)-2.013)*LOG10(INDEX(FX_Input,AB$5,O$3*$Z$5+$AA$5)))-(8742/(O254+459.6))+15.64),EXP(INDEX(Antoines,MATCH(O246,Antoine_Name,0),2)-INDEX(Antoines,MATCH(O246,Antoine_Name,0),3)/(O254+459.6))))),0)</f>
        <v>4.4494006627366521E-3</v>
      </c>
    </row>
    <row r="258" spans="2:15" ht="17.149999999999999" x14ac:dyDescent="0.55000000000000004">
      <c r="B258" t="str">
        <f t="shared" si="788"/>
        <v>Portland</v>
      </c>
      <c r="C258" t="s">
        <v>576</v>
      </c>
      <c r="D258">
        <f>D250*D257</f>
        <v>4.4953541371678231E-3</v>
      </c>
      <c r="E258">
        <f t="shared" ref="E258" si="789">E250*E257</f>
        <v>4.6043729465544726E-3</v>
      </c>
      <c r="F258">
        <f t="shared" ref="F258" si="790">F250*F257</f>
        <v>4.9179969260705328E-3</v>
      </c>
      <c r="G258">
        <f t="shared" ref="G258" si="791">G250*G257</f>
        <v>5.479042667267656E-3</v>
      </c>
      <c r="H258">
        <f t="shared" ref="H258" si="792">H250*H257</f>
        <v>6.5169685513364909E-3</v>
      </c>
      <c r="I258">
        <f t="shared" ref="I258" si="793">I250*I257</f>
        <v>7.486267526260572E-3</v>
      </c>
      <c r="J258">
        <f t="shared" ref="J258" si="794">J250*J257</f>
        <v>8.4364538110447557E-3</v>
      </c>
      <c r="K258">
        <f t="shared" ref="K258" si="795">K250*K257</f>
        <v>8.4094446398714287E-3</v>
      </c>
      <c r="L258">
        <f t="shared" ref="L258" si="796">L250*L257</f>
        <v>7.5207138884047006E-3</v>
      </c>
      <c r="M258">
        <f t="shared" ref="M258" si="797">M250*M257</f>
        <v>6.0548274008136857E-3</v>
      </c>
      <c r="N258">
        <f t="shared" ref="N258" si="798">N250*N257</f>
        <v>4.9828816635194605E-3</v>
      </c>
      <c r="O258">
        <f t="shared" ref="O258" si="799">O250*O257</f>
        <v>4.4494006627366521E-3</v>
      </c>
    </row>
    <row r="259" spans="2:15" ht="17.149999999999999" x14ac:dyDescent="0.55000000000000004">
      <c r="B259" t="str">
        <f t="shared" si="788"/>
        <v>Portland</v>
      </c>
      <c r="C259" t="s">
        <v>575</v>
      </c>
      <c r="D259" cm="1">
        <f t="array" ref="D259">IFERROR(IF(D249="Chemical",(10^(INDEX(Antoines,MATCH(D248,Antoine_Name,0),2)-INDEX(Antoines,MATCH(D248,Antoine_Name,0),3)/(INDEX(Antoines,MATCH(D248,Antoine_Name,0),4)+(D254-32)*5/9)))*14.7/760,IF(D249="Crude Oil",EXP((2799/(D254+459.6)-2.227)*LOG10(INDEX(FX_Input,Q$5,D$3*$Z$5+$AA$5))-(7261/(D254+459.6))+12.82),IF(D249="Refined Petroleum Stock",EXP((0.7553-(413/(D254+459.6)))*(INDEX(FX_Input,Q$5,D$3*$Z$5+$AA$5-1)^0.5)*LOG10(INDEX(FX_Input,Q$5,D$3*$Z$5+$AA$5))-(1.854-(1042/(D254+459.6)))*(INDEX(FX_Input,Q$5,D$3*$Z$5+$AA$5-1)^0.5)+((2416/(D254+459.6)-2.013)*LOG10(INDEX(FX_Input,Q$5,D$3*$Z$5+$AA$5)))-(8742/(D254+459.6))+15.64),EXP(INDEX(Antoines,MATCH(D248,Antoine_Name,0),2)-INDEX(Antoines,MATCH(D248,Antoine_Name,0),3)/(D254+459.6))))),0)</f>
        <v>0</v>
      </c>
      <c r="E259" cm="1">
        <f t="array" ref="E259">IFERROR(IF(E249="Chemical",(10^(INDEX(Antoines,MATCH(E248,Antoine_Name,0),2)-INDEX(Antoines,MATCH(E248,Antoine_Name,0),3)/(INDEX(Antoines,MATCH(E248,Antoine_Name,0),4)+(E254-32)*5/9)))*14.7/760,IF(E249="Crude Oil",EXP((2799/(E254+459.6)-2.227)*LOG10(INDEX(FX_Input,R$5,E$3*$Z$5+$AA$5))-(7261/(E254+459.6))+12.82),IF(E249="Refined Petroleum Stock",EXP((0.7553-(413/(E254+459.6)))*(INDEX(FX_Input,R$5,E$3*$Z$5+$AA$5-1)^0.5)*LOG10(INDEX(FX_Input,R$5,E$3*$Z$5+$AA$5))-(1.854-(1042/(E254+459.6)))*(INDEX(FX_Input,R$5,E$3*$Z$5+$AA$5-1)^0.5)+((2416/(E254+459.6)-2.013)*LOG10(INDEX(FX_Input,R$5,E$3*$Z$5+$AA$5)))-(8742/(E254+459.6))+15.64),EXP(INDEX(Antoines,MATCH(E248,Antoine_Name,0),2)-INDEX(Antoines,MATCH(E248,Antoine_Name,0),3)/(E254+459.6))))),0)</f>
        <v>0</v>
      </c>
      <c r="F259" cm="1">
        <f t="array" ref="F259">IFERROR(IF(F249="Chemical",(10^(INDEX(Antoines,MATCH(F248,Antoine_Name,0),2)-INDEX(Antoines,MATCH(F248,Antoine_Name,0),3)/(INDEX(Antoines,MATCH(F248,Antoine_Name,0),4)+(F254-32)*5/9)))*14.7/760,IF(F249="Crude Oil",EXP((2799/(F254+459.6)-2.227)*LOG10(INDEX(FX_Input,S$5,F$3*$Z$5+$AA$5))-(7261/(F254+459.6))+12.82),IF(F249="Refined Petroleum Stock",EXP((0.7553-(413/(F254+459.6)))*(INDEX(FX_Input,S$5,F$3*$Z$5+$AA$5-1)^0.5)*LOG10(INDEX(FX_Input,S$5,F$3*$Z$5+$AA$5))-(1.854-(1042/(F254+459.6)))*(INDEX(FX_Input,S$5,F$3*$Z$5+$AA$5-1)^0.5)+((2416/(F254+459.6)-2.013)*LOG10(INDEX(FX_Input,S$5,F$3*$Z$5+$AA$5)))-(8742/(F254+459.6))+15.64),EXP(INDEX(Antoines,MATCH(F248,Antoine_Name,0),2)-INDEX(Antoines,MATCH(F248,Antoine_Name,0),3)/(F254+459.6))))),0)</f>
        <v>0</v>
      </c>
      <c r="G259" cm="1">
        <f t="array" ref="G259">IFERROR(IF(G249="Chemical",(10^(INDEX(Antoines,MATCH(G248,Antoine_Name,0),2)-INDEX(Antoines,MATCH(G248,Antoine_Name,0),3)/(INDEX(Antoines,MATCH(G248,Antoine_Name,0),4)+(G254-32)*5/9)))*14.7/760,IF(G249="Crude Oil",EXP((2799/(G254+459.6)-2.227)*LOG10(INDEX(FX_Input,T$5,G$3*$Z$5+$AA$5))-(7261/(G254+459.6))+12.82),IF(G249="Refined Petroleum Stock",EXP((0.7553-(413/(G254+459.6)))*(INDEX(FX_Input,T$5,G$3*$Z$5+$AA$5-1)^0.5)*LOG10(INDEX(FX_Input,T$5,G$3*$Z$5+$AA$5))-(1.854-(1042/(G254+459.6)))*(INDEX(FX_Input,T$5,G$3*$Z$5+$AA$5-1)^0.5)+((2416/(G254+459.6)-2.013)*LOG10(INDEX(FX_Input,T$5,G$3*$Z$5+$AA$5)))-(8742/(G254+459.6))+15.64),EXP(INDEX(Antoines,MATCH(G248,Antoine_Name,0),2)-INDEX(Antoines,MATCH(G248,Antoine_Name,0),3)/(G254+459.6))))),0)</f>
        <v>0</v>
      </c>
      <c r="H259" cm="1">
        <f t="array" ref="H259">IFERROR(IF(H249="Chemical",(10^(INDEX(Antoines,MATCH(H248,Antoine_Name,0),2)-INDEX(Antoines,MATCH(H248,Antoine_Name,0),3)/(INDEX(Antoines,MATCH(H248,Antoine_Name,0),4)+(H254-32)*5/9)))*14.7/760,IF(H249="Crude Oil",EXP((2799/(H254+459.6)-2.227)*LOG10(INDEX(FX_Input,U$5,H$3*$Z$5+$AA$5))-(7261/(H254+459.6))+12.82),IF(H249="Refined Petroleum Stock",EXP((0.7553-(413/(H254+459.6)))*(INDEX(FX_Input,U$5,H$3*$Z$5+$AA$5-1)^0.5)*LOG10(INDEX(FX_Input,U$5,H$3*$Z$5+$AA$5))-(1.854-(1042/(H254+459.6)))*(INDEX(FX_Input,U$5,H$3*$Z$5+$AA$5-1)^0.5)+((2416/(H254+459.6)-2.013)*LOG10(INDEX(FX_Input,U$5,H$3*$Z$5+$AA$5)))-(8742/(H254+459.6))+15.64),EXP(INDEX(Antoines,MATCH(H248,Antoine_Name,0),2)-INDEX(Antoines,MATCH(H248,Antoine_Name,0),3)/(H254+459.6))))),0)</f>
        <v>0</v>
      </c>
      <c r="I259" cm="1">
        <f t="array" ref="I259">IFERROR(IF(I249="Chemical",(10^(INDEX(Antoines,MATCH(I248,Antoine_Name,0),2)-INDEX(Antoines,MATCH(I248,Antoine_Name,0),3)/(INDEX(Antoines,MATCH(I248,Antoine_Name,0),4)+(I254-32)*5/9)))*14.7/760,IF(I249="Crude Oil",EXP((2799/(I254+459.6)-2.227)*LOG10(INDEX(FX_Input,V$5,I$3*$Z$5+$AA$5))-(7261/(I254+459.6))+12.82),IF(I249="Refined Petroleum Stock",EXP((0.7553-(413/(I254+459.6)))*(INDEX(FX_Input,V$5,I$3*$Z$5+$AA$5-1)^0.5)*LOG10(INDEX(FX_Input,V$5,I$3*$Z$5+$AA$5))-(1.854-(1042/(I254+459.6)))*(INDEX(FX_Input,V$5,I$3*$Z$5+$AA$5-1)^0.5)+((2416/(I254+459.6)-2.013)*LOG10(INDEX(FX_Input,V$5,I$3*$Z$5+$AA$5)))-(8742/(I254+459.6))+15.64),EXP(INDEX(Antoines,MATCH(I248,Antoine_Name,0),2)-INDEX(Antoines,MATCH(I248,Antoine_Name,0),3)/(I254+459.6))))),0)</f>
        <v>0</v>
      </c>
      <c r="J259" cm="1">
        <f t="array" ref="J259">IFERROR(IF(J249="Chemical",(10^(INDEX(Antoines,MATCH(J248,Antoine_Name,0),2)-INDEX(Antoines,MATCH(J248,Antoine_Name,0),3)/(INDEX(Antoines,MATCH(J248,Antoine_Name,0),4)+(J254-32)*5/9)))*14.7/760,IF(J249="Crude Oil",EXP((2799/(J254+459.6)-2.227)*LOG10(INDEX(FX_Input,W$5,J$3*$Z$5+$AA$5))-(7261/(J254+459.6))+12.82),IF(J249="Refined Petroleum Stock",EXP((0.7553-(413/(J254+459.6)))*(INDEX(FX_Input,W$5,J$3*$Z$5+$AA$5-1)^0.5)*LOG10(INDEX(FX_Input,W$5,J$3*$Z$5+$AA$5))-(1.854-(1042/(J254+459.6)))*(INDEX(FX_Input,W$5,J$3*$Z$5+$AA$5-1)^0.5)+((2416/(J254+459.6)-2.013)*LOG10(INDEX(FX_Input,W$5,J$3*$Z$5+$AA$5)))-(8742/(J254+459.6))+15.64),EXP(INDEX(Antoines,MATCH(J248,Antoine_Name,0),2)-INDEX(Antoines,MATCH(J248,Antoine_Name,0),3)/(J254+459.6))))),0)</f>
        <v>0</v>
      </c>
      <c r="K259" cm="1">
        <f t="array" ref="K259">IFERROR(IF(K249="Chemical",(10^(INDEX(Antoines,MATCH(K248,Antoine_Name,0),2)-INDEX(Antoines,MATCH(K248,Antoine_Name,0),3)/(INDEX(Antoines,MATCH(K248,Antoine_Name,0),4)+(K254-32)*5/9)))*14.7/760,IF(K249="Crude Oil",EXP((2799/(K254+459.6)-2.227)*LOG10(INDEX(FX_Input,X$5,K$3*$Z$5+$AA$5))-(7261/(K254+459.6))+12.82),IF(K249="Refined Petroleum Stock",EXP((0.7553-(413/(K254+459.6)))*(INDEX(FX_Input,X$5,K$3*$Z$5+$AA$5-1)^0.5)*LOG10(INDEX(FX_Input,X$5,K$3*$Z$5+$AA$5))-(1.854-(1042/(K254+459.6)))*(INDEX(FX_Input,X$5,K$3*$Z$5+$AA$5-1)^0.5)+((2416/(K254+459.6)-2.013)*LOG10(INDEX(FX_Input,X$5,K$3*$Z$5+$AA$5)))-(8742/(K254+459.6))+15.64),EXP(INDEX(Antoines,MATCH(K248,Antoine_Name,0),2)-INDEX(Antoines,MATCH(K248,Antoine_Name,0),3)/(K254+459.6))))),0)</f>
        <v>0</v>
      </c>
      <c r="L259" cm="1">
        <f t="array" ref="L259">IFERROR(IF(L249="Chemical",(10^(INDEX(Antoines,MATCH(L248,Antoine_Name,0),2)-INDEX(Antoines,MATCH(L248,Antoine_Name,0),3)/(INDEX(Antoines,MATCH(L248,Antoine_Name,0),4)+(L254-32)*5/9)))*14.7/760,IF(L249="Crude Oil",EXP((2799/(L254+459.6)-2.227)*LOG10(INDEX(FX_Input,Y$5,L$3*$Z$5+$AA$5))-(7261/(L254+459.6))+12.82),IF(L249="Refined Petroleum Stock",EXP((0.7553-(413/(L254+459.6)))*(INDEX(FX_Input,Y$5,L$3*$Z$5+$AA$5-1)^0.5)*LOG10(INDEX(FX_Input,Y$5,L$3*$Z$5+$AA$5))-(1.854-(1042/(L254+459.6)))*(INDEX(FX_Input,Y$5,L$3*$Z$5+$AA$5-1)^0.5)+((2416/(L254+459.6)-2.013)*LOG10(INDEX(FX_Input,Y$5,L$3*$Z$5+$AA$5)))-(8742/(L254+459.6))+15.64),EXP(INDEX(Antoines,MATCH(L248,Antoine_Name,0),2)-INDEX(Antoines,MATCH(L248,Antoine_Name,0),3)/(L254+459.6))))),0)</f>
        <v>0</v>
      </c>
      <c r="M259" cm="1">
        <f t="array" ref="M259">IFERROR(IF(M249="Chemical",(10^(INDEX(Antoines,MATCH(M248,Antoine_Name,0),2)-INDEX(Antoines,MATCH(M248,Antoine_Name,0),3)/(INDEX(Antoines,MATCH(M248,Antoine_Name,0),4)+(M254-32)*5/9)))*14.7/760,IF(M249="Crude Oil",EXP((2799/(M254+459.6)-2.227)*LOG10(INDEX(FX_Input,Z$5,M$3*$Z$5+$AA$5))-(7261/(M254+459.6))+12.82),IF(M249="Refined Petroleum Stock",EXP((0.7553-(413/(M254+459.6)))*(INDEX(FX_Input,Z$5,M$3*$Z$5+$AA$5-1)^0.5)*LOG10(INDEX(FX_Input,Z$5,M$3*$Z$5+$AA$5))-(1.854-(1042/(M254+459.6)))*(INDEX(FX_Input,Z$5,M$3*$Z$5+$AA$5-1)^0.5)+((2416/(M254+459.6)-2.013)*LOG10(INDEX(FX_Input,Z$5,M$3*$Z$5+$AA$5)))-(8742/(M254+459.6))+15.64),EXP(INDEX(Antoines,MATCH(M248,Antoine_Name,0),2)-INDEX(Antoines,MATCH(M248,Antoine_Name,0),3)/(M254+459.6))))),0)</f>
        <v>0</v>
      </c>
      <c r="N259" cm="1">
        <f t="array" ref="N259">IFERROR(IF(N249="Chemical",(10^(INDEX(Antoines,MATCH(N248,Antoine_Name,0),2)-INDEX(Antoines,MATCH(N248,Antoine_Name,0),3)/(INDEX(Antoines,MATCH(N248,Antoine_Name,0),4)+(N254-32)*5/9)))*14.7/760,IF(N249="Crude Oil",EXP((2799/(N254+459.6)-2.227)*LOG10(INDEX(FX_Input,AA$5,N$3*$Z$5+$AA$5))-(7261/(N254+459.6))+12.82),IF(N249="Refined Petroleum Stock",EXP((0.7553-(413/(N254+459.6)))*(INDEX(FX_Input,AA$5,N$3*$Z$5+$AA$5-1)^0.5)*LOG10(INDEX(FX_Input,AA$5,N$3*$Z$5+$AA$5))-(1.854-(1042/(N254+459.6)))*(INDEX(FX_Input,AA$5,N$3*$Z$5+$AA$5-1)^0.5)+((2416/(N254+459.6)-2.013)*LOG10(INDEX(FX_Input,AA$5,N$3*$Z$5+$AA$5)))-(8742/(N254+459.6))+15.64),EXP(INDEX(Antoines,MATCH(N248,Antoine_Name,0),2)-INDEX(Antoines,MATCH(N248,Antoine_Name,0),3)/(N254+459.6))))),0)</f>
        <v>0</v>
      </c>
      <c r="O259" cm="1">
        <f t="array" ref="O259">IFERROR(IF(O249="Chemical",(10^(INDEX(Antoines,MATCH(O248,Antoine_Name,0),2)-INDEX(Antoines,MATCH(O248,Antoine_Name,0),3)/(INDEX(Antoines,MATCH(O248,Antoine_Name,0),4)+(O254-32)*5/9)))*14.7/760,IF(O249="Crude Oil",EXP((2799/(O254+459.6)-2.227)*LOG10(INDEX(FX_Input,AB$5,O$3*$Z$5+$AA$5))-(7261/(O254+459.6))+12.82),IF(O249="Refined Petroleum Stock",EXP((0.7553-(413/(O254+459.6)))*(INDEX(FX_Input,AB$5,O$3*$Z$5+$AA$5-1)^0.5)*LOG10(INDEX(FX_Input,AB$5,O$3*$Z$5+$AA$5))-(1.854-(1042/(O254+459.6)))*(INDEX(FX_Input,AB$5,O$3*$Z$5+$AA$5-1)^0.5)+((2416/(O254+459.6)-2.013)*LOG10(INDEX(FX_Input,AB$5,O$3*$Z$5+$AA$5)))-(8742/(O254+459.6))+15.64),EXP(INDEX(Antoines,MATCH(O248,Antoine_Name,0),2)-INDEX(Antoines,MATCH(O248,Antoine_Name,0),3)/(O254+459.6))))),0)</f>
        <v>0</v>
      </c>
    </row>
    <row r="260" spans="2:15" ht="17.149999999999999" x14ac:dyDescent="0.55000000000000004">
      <c r="B260" t="str">
        <f t="shared" si="788"/>
        <v>Portland</v>
      </c>
      <c r="C260" t="s">
        <v>577</v>
      </c>
      <c r="D260">
        <f>D259*D252</f>
        <v>0</v>
      </c>
      <c r="E260">
        <f t="shared" ref="E260" si="800">E259*E252</f>
        <v>0</v>
      </c>
      <c r="F260">
        <f t="shared" ref="F260" si="801">F259*F252</f>
        <v>0</v>
      </c>
      <c r="G260">
        <f t="shared" ref="G260" si="802">G259*G252</f>
        <v>0</v>
      </c>
      <c r="H260">
        <f t="shared" ref="H260" si="803">H259*H252</f>
        <v>0</v>
      </c>
      <c r="I260">
        <f t="shared" ref="I260" si="804">I259*I252</f>
        <v>0</v>
      </c>
      <c r="J260">
        <f t="shared" ref="J260" si="805">J259*J252</f>
        <v>0</v>
      </c>
      <c r="K260">
        <f t="shared" ref="K260" si="806">K259*K252</f>
        <v>0</v>
      </c>
      <c r="L260">
        <f t="shared" ref="L260" si="807">L259*L252</f>
        <v>0</v>
      </c>
      <c r="M260">
        <f t="shared" ref="M260" si="808">M259*M252</f>
        <v>0</v>
      </c>
      <c r="N260">
        <f t="shared" ref="N260" si="809">N259*N252</f>
        <v>0</v>
      </c>
      <c r="O260">
        <f t="shared" ref="O260" si="810">O259*O252</f>
        <v>0</v>
      </c>
    </row>
    <row r="261" spans="2:15" ht="17.149999999999999" x14ac:dyDescent="0.55000000000000004">
      <c r="B261" t="str">
        <f t="shared" si="788"/>
        <v>Portland</v>
      </c>
      <c r="C261" t="s">
        <v>578</v>
      </c>
      <c r="D261">
        <f>D260+D258</f>
        <v>4.4953541371678231E-3</v>
      </c>
      <c r="E261">
        <f t="shared" ref="E261" si="811">E260+E258</f>
        <v>4.6043729465544726E-3</v>
      </c>
      <c r="F261">
        <f t="shared" ref="F261" si="812">F260+F258</f>
        <v>4.9179969260705328E-3</v>
      </c>
      <c r="G261">
        <f t="shared" ref="G261" si="813">G260+G258</f>
        <v>5.479042667267656E-3</v>
      </c>
      <c r="H261">
        <f t="shared" ref="H261" si="814">H260+H258</f>
        <v>6.5169685513364909E-3</v>
      </c>
      <c r="I261">
        <f t="shared" ref="I261" si="815">I260+I258</f>
        <v>7.486267526260572E-3</v>
      </c>
      <c r="J261">
        <f t="shared" ref="J261" si="816">J260+J258</f>
        <v>8.4364538110447557E-3</v>
      </c>
      <c r="K261">
        <f t="shared" ref="K261" si="817">K260+K258</f>
        <v>8.4094446398714287E-3</v>
      </c>
      <c r="L261">
        <f t="shared" ref="L261" si="818">L260+L258</f>
        <v>7.5207138884047006E-3</v>
      </c>
      <c r="M261">
        <f t="shared" ref="M261" si="819">M260+M258</f>
        <v>6.0548274008136857E-3</v>
      </c>
      <c r="N261">
        <f t="shared" ref="N261" si="820">N260+N258</f>
        <v>4.9828816635194605E-3</v>
      </c>
      <c r="O261">
        <f t="shared" ref="O261" si="821">O260+O258</f>
        <v>4.4494006627366521E-3</v>
      </c>
    </row>
    <row r="262" spans="2:15" ht="17.149999999999999" x14ac:dyDescent="0.55000000000000004">
      <c r="B262" t="str">
        <f t="shared" si="788"/>
        <v>Portland</v>
      </c>
      <c r="C262" t="s">
        <v>579</v>
      </c>
      <c r="D262" cm="1">
        <f t="array" ref="D262">IFERROR(IF(D247="Chemical",(10^(INDEX(Antoines,MATCH(D246,Antoine_Name,0),2)-INDEX(Antoines,MATCH(D246,Antoine_Name,0),3)/(INDEX(Antoines,MATCH(D246,Antoine_Name,0),4)+(D255-32)*5/9)))*14.7/760,IF(D247="Crude Oil",EXP((2799/(D255+459.6)-2.227)*LOG10(INDEX(FX_Input,Q$5,D$3*$Z$5+$AA$5))-(7261/(D255+459.6))+12.82),IF(D247="Refined Petroleum Stock",EXP((0.7553-(413/(D255+459.6)))*(INDEX(FX_Input,Q$5,D$3*$Z$5+$AA$5-1)^0.5)*LOG10(INDEX(FX_Input,Q$5,D$3*$Z$5+$AA$5))-(1.854-(1042/(D255+459.6)))*(INDEX(FX_Input,Q$5,D$3*$Z$5+$AA$5-1)^0.5)+((2416/(D255+459.6)-2.013)*LOG10(INDEX(FX_Input,Q$5,D$3*$Z$5+$AA$5)))-(8742/(D255+459.6))+15.64),EXP(INDEX(Antoines,MATCH(D246,Antoine_Name,0),2)-INDEX(Antoines,MATCH(D246,Antoine_Name,0),3)/(D255+459.6))))),0)</f>
        <v>5.2033036727344552E-3</v>
      </c>
      <c r="E262" cm="1">
        <f t="array" ref="E262">IFERROR(IF(E247="Chemical",(10^(INDEX(Antoines,MATCH(E246,Antoine_Name,0),2)-INDEX(Antoines,MATCH(E246,Antoine_Name,0),3)/(INDEX(Antoines,MATCH(E246,Antoine_Name,0),4)+(E255-32)*5/9)))*14.7/760,IF(E247="Crude Oil",EXP((2799/(E255+459.6)-2.227)*LOG10(INDEX(FX_Input,R$5,E$3*$Z$5+$AA$5))-(7261/(E255+459.6))+12.82),IF(E247="Refined Petroleum Stock",EXP((0.7553-(413/(E255+459.6)))*(INDEX(FX_Input,R$5,E$3*$Z$5+$AA$5-1)^0.5)*LOG10(INDEX(FX_Input,R$5,E$3*$Z$5+$AA$5))-(1.854-(1042/(E255+459.6)))*(INDEX(FX_Input,R$5,E$3*$Z$5+$AA$5-1)^0.5)+((2416/(E255+459.6)-2.013)*LOG10(INDEX(FX_Input,R$5,E$3*$Z$5+$AA$5)))-(8742/(E255+459.6))+15.64),EXP(INDEX(Antoines,MATCH(E246,Antoine_Name,0),2)-INDEX(Antoines,MATCH(E246,Antoine_Name,0),3)/(E255+459.6))))),0)</f>
        <v>5.5385065183370758E-3</v>
      </c>
      <c r="F262" cm="1">
        <f t="array" ref="F262">IFERROR(IF(F247="Chemical",(10^(INDEX(Antoines,MATCH(F246,Antoine_Name,0),2)-INDEX(Antoines,MATCH(F246,Antoine_Name,0),3)/(INDEX(Antoines,MATCH(F246,Antoine_Name,0),4)+(F255-32)*5/9)))*14.7/760,IF(F247="Crude Oil",EXP((2799/(F255+459.6)-2.227)*LOG10(INDEX(FX_Input,S$5,F$3*$Z$5+$AA$5))-(7261/(F255+459.6))+12.82),IF(F247="Refined Petroleum Stock",EXP((0.7553-(413/(F255+459.6)))*(INDEX(FX_Input,S$5,F$3*$Z$5+$AA$5-1)^0.5)*LOG10(INDEX(FX_Input,S$5,F$3*$Z$5+$AA$5))-(1.854-(1042/(F255+459.6)))*(INDEX(FX_Input,S$5,F$3*$Z$5+$AA$5-1)^0.5)+((2416/(F255+459.6)-2.013)*LOG10(INDEX(FX_Input,S$5,F$3*$Z$5+$AA$5)))-(8742/(F255+459.6))+15.64),EXP(INDEX(Antoines,MATCH(F246,Antoine_Name,0),2)-INDEX(Antoines,MATCH(F246,Antoine_Name,0),3)/(F255+459.6))))),0)</f>
        <v>5.9077167859673575E-3</v>
      </c>
      <c r="G262" cm="1">
        <f t="array" ref="G262">IFERROR(IF(G247="Chemical",(10^(INDEX(Antoines,MATCH(G246,Antoine_Name,0),2)-INDEX(Antoines,MATCH(G246,Antoine_Name,0),3)/(INDEX(Antoines,MATCH(G246,Antoine_Name,0),4)+(G255-32)*5/9)))*14.7/760,IF(G247="Crude Oil",EXP((2799/(G255+459.6)-2.227)*LOG10(INDEX(FX_Input,T$5,G$3*$Z$5+$AA$5))-(7261/(G255+459.6))+12.82),IF(G247="Refined Petroleum Stock",EXP((0.7553-(413/(G255+459.6)))*(INDEX(FX_Input,T$5,G$3*$Z$5+$AA$5-1)^0.5)*LOG10(INDEX(FX_Input,T$5,G$3*$Z$5+$AA$5))-(1.854-(1042/(G255+459.6)))*(INDEX(FX_Input,T$5,G$3*$Z$5+$AA$5-1)^0.5)+((2416/(G255+459.6)-2.013)*LOG10(INDEX(FX_Input,T$5,G$3*$Z$5+$AA$5)))-(8742/(G255+459.6))+15.64),EXP(INDEX(Antoines,MATCH(G246,Antoine_Name,0),2)-INDEX(Antoines,MATCH(G246,Antoine_Name,0),3)/(G255+459.6))))),0)</f>
        <v>6.5849388112918178E-3</v>
      </c>
      <c r="H262" cm="1">
        <f t="array" ref="H262">IFERROR(IF(H247="Chemical",(10^(INDEX(Antoines,MATCH(H246,Antoine_Name,0),2)-INDEX(Antoines,MATCH(H246,Antoine_Name,0),3)/(INDEX(Antoines,MATCH(H246,Antoine_Name,0),4)+(H255-32)*5/9)))*14.7/760,IF(H247="Crude Oil",EXP((2799/(H255+459.6)-2.227)*LOG10(INDEX(FX_Input,U$5,H$3*$Z$5+$AA$5))-(7261/(H255+459.6))+12.82),IF(H247="Refined Petroleum Stock",EXP((0.7553-(413/(H255+459.6)))*(INDEX(FX_Input,U$5,H$3*$Z$5+$AA$5-1)^0.5)*LOG10(INDEX(FX_Input,U$5,H$3*$Z$5+$AA$5))-(1.854-(1042/(H255+459.6)))*(INDEX(FX_Input,U$5,H$3*$Z$5+$AA$5-1)^0.5)+((2416/(H255+459.6)-2.013)*LOG10(INDEX(FX_Input,U$5,H$3*$Z$5+$AA$5)))-(8742/(H255+459.6))+15.64),EXP(INDEX(Antoines,MATCH(H246,Antoine_Name,0),2)-INDEX(Antoines,MATCH(H246,Antoine_Name,0),3)/(H255+459.6))))),0)</f>
        <v>7.7939195379121001E-3</v>
      </c>
      <c r="I262" cm="1">
        <f t="array" ref="I262">IFERROR(IF(I247="Chemical",(10^(INDEX(Antoines,MATCH(I246,Antoine_Name,0),2)-INDEX(Antoines,MATCH(I246,Antoine_Name,0),3)/(INDEX(Antoines,MATCH(I246,Antoine_Name,0),4)+(I255-32)*5/9)))*14.7/760,IF(I247="Crude Oil",EXP((2799/(I255+459.6)-2.227)*LOG10(INDEX(FX_Input,V$5,I$3*$Z$5+$AA$5))-(7261/(I255+459.6))+12.82),IF(I247="Refined Petroleum Stock",EXP((0.7553-(413/(I255+459.6)))*(INDEX(FX_Input,V$5,I$3*$Z$5+$AA$5-1)^0.5)*LOG10(INDEX(FX_Input,V$5,I$3*$Z$5+$AA$5))-(1.854-(1042/(I255+459.6)))*(INDEX(FX_Input,V$5,I$3*$Z$5+$AA$5-1)^0.5)+((2416/(I255+459.6)-2.013)*LOG10(INDEX(FX_Input,V$5,I$3*$Z$5+$AA$5)))-(8742/(I255+459.6))+15.64),EXP(INDEX(Antoines,MATCH(I246,Antoine_Name,0),2)-INDEX(Antoines,MATCH(I246,Antoine_Name,0),3)/(I255+459.6))))),0)</f>
        <v>8.8347329003026723E-3</v>
      </c>
      <c r="J262" cm="1">
        <f t="array" ref="J262">IFERROR(IF(J247="Chemical",(10^(INDEX(Antoines,MATCH(J246,Antoine_Name,0),2)-INDEX(Antoines,MATCH(J246,Antoine_Name,0),3)/(INDEX(Antoines,MATCH(J246,Antoine_Name,0),4)+(J255-32)*5/9)))*14.7/760,IF(J247="Crude Oil",EXP((2799/(J255+459.6)-2.227)*LOG10(INDEX(FX_Input,W$5,J$3*$Z$5+$AA$5))-(7261/(J255+459.6))+12.82),IF(J247="Refined Petroleum Stock",EXP((0.7553-(413/(J255+459.6)))*(INDEX(FX_Input,W$5,J$3*$Z$5+$AA$5-1)^0.5)*LOG10(INDEX(FX_Input,W$5,J$3*$Z$5+$AA$5))-(1.854-(1042/(J255+459.6)))*(INDEX(FX_Input,W$5,J$3*$Z$5+$AA$5-1)^0.5)+((2416/(J255+459.6)-2.013)*LOG10(INDEX(FX_Input,W$5,J$3*$Z$5+$AA$5)))-(8742/(J255+459.6))+15.64),EXP(INDEX(Antoines,MATCH(J246,Antoine_Name,0),2)-INDEX(Antoines,MATCH(J246,Antoine_Name,0),3)/(J255+459.6))))),0)</f>
        <v>9.9592296270275289E-3</v>
      </c>
      <c r="K262" cm="1">
        <f t="array" ref="K262">IFERROR(IF(K247="Chemical",(10^(INDEX(Antoines,MATCH(K246,Antoine_Name,0),2)-INDEX(Antoines,MATCH(K246,Antoine_Name,0),3)/(INDEX(Antoines,MATCH(K246,Antoine_Name,0),4)+(K255-32)*5/9)))*14.7/760,IF(K247="Crude Oil",EXP((2799/(K255+459.6)-2.227)*LOG10(INDEX(FX_Input,X$5,K$3*$Z$5+$AA$5))-(7261/(K255+459.6))+12.82),IF(K247="Refined Petroleum Stock",EXP((0.7553-(413/(K255+459.6)))*(INDEX(FX_Input,X$5,K$3*$Z$5+$AA$5-1)^0.5)*LOG10(INDEX(FX_Input,X$5,K$3*$Z$5+$AA$5))-(1.854-(1042/(K255+459.6)))*(INDEX(FX_Input,X$5,K$3*$Z$5+$AA$5-1)^0.5)+((2416/(K255+459.6)-2.013)*LOG10(INDEX(FX_Input,X$5,K$3*$Z$5+$AA$5)))-(8742/(K255+459.6))+15.64),EXP(INDEX(Antoines,MATCH(K246,Antoine_Name,0),2)-INDEX(Antoines,MATCH(K246,Antoine_Name,0),3)/(K255+459.6))))),0)</f>
        <v>1.0044214742690162E-2</v>
      </c>
      <c r="L262" cm="1">
        <f t="array" ref="L262">IFERROR(IF(L247="Chemical",(10^(INDEX(Antoines,MATCH(L246,Antoine_Name,0),2)-INDEX(Antoines,MATCH(L246,Antoine_Name,0),3)/(INDEX(Antoines,MATCH(L246,Antoine_Name,0),4)+(L255-32)*5/9)))*14.7/760,IF(L247="Crude Oil",EXP((2799/(L255+459.6)-2.227)*LOG10(INDEX(FX_Input,Y$5,L$3*$Z$5+$AA$5))-(7261/(L255+459.6))+12.82),IF(L247="Refined Petroleum Stock",EXP((0.7553-(413/(L255+459.6)))*(INDEX(FX_Input,Y$5,L$3*$Z$5+$AA$5-1)^0.5)*LOG10(INDEX(FX_Input,Y$5,L$3*$Z$5+$AA$5))-(1.854-(1042/(L255+459.6)))*(INDEX(FX_Input,Y$5,L$3*$Z$5+$AA$5-1)^0.5)+((2416/(L255+459.6)-2.013)*LOG10(INDEX(FX_Input,Y$5,L$3*$Z$5+$AA$5)))-(8742/(L255+459.6))+15.64),EXP(INDEX(Antoines,MATCH(L246,Antoine_Name,0),2)-INDEX(Antoines,MATCH(L246,Antoine_Name,0),3)/(L255+459.6))))),0)</f>
        <v>9.3389439263883208E-3</v>
      </c>
      <c r="M262" cm="1">
        <f t="array" ref="M262">IFERROR(IF(M247="Chemical",(10^(INDEX(Antoines,MATCH(M246,Antoine_Name,0),2)-INDEX(Antoines,MATCH(M246,Antoine_Name,0),3)/(INDEX(Antoines,MATCH(M246,Antoine_Name,0),4)+(M255-32)*5/9)))*14.7/760,IF(M247="Crude Oil",EXP((2799/(M255+459.6)-2.227)*LOG10(INDEX(FX_Input,Z$5,M$3*$Z$5+$AA$5))-(7261/(M255+459.6))+12.82),IF(M247="Refined Petroleum Stock",EXP((0.7553-(413/(M255+459.6)))*(INDEX(FX_Input,Z$5,M$3*$Z$5+$AA$5-1)^0.5)*LOG10(INDEX(FX_Input,Z$5,M$3*$Z$5+$AA$5))-(1.854-(1042/(M255+459.6)))*(INDEX(FX_Input,Z$5,M$3*$Z$5+$AA$5-1)^0.5)+((2416/(M255+459.6)-2.013)*LOG10(INDEX(FX_Input,Z$5,M$3*$Z$5+$AA$5)))-(8742/(M255+459.6))+15.64),EXP(INDEX(Antoines,MATCH(M246,Antoine_Name,0),2)-INDEX(Antoines,MATCH(M246,Antoine_Name,0),3)/(M255+459.6))))),0)</f>
        <v>7.3896033166885589E-3</v>
      </c>
      <c r="N262" cm="1">
        <f t="array" ref="N262">IFERROR(IF(N247="Chemical",(10^(INDEX(Antoines,MATCH(N246,Antoine_Name,0),2)-INDEX(Antoines,MATCH(N246,Antoine_Name,0),3)/(INDEX(Antoines,MATCH(N246,Antoine_Name,0),4)+(N255-32)*5/9)))*14.7/760,IF(N247="Crude Oil",EXP((2799/(N255+459.6)-2.227)*LOG10(INDEX(FX_Input,AA$5,N$3*$Z$5+$AA$5))-(7261/(N255+459.6))+12.82),IF(N247="Refined Petroleum Stock",EXP((0.7553-(413/(N255+459.6)))*(INDEX(FX_Input,AA$5,N$3*$Z$5+$AA$5-1)^0.5)*LOG10(INDEX(FX_Input,AA$5,N$3*$Z$5+$AA$5))-(1.854-(1042/(N255+459.6)))*(INDEX(FX_Input,AA$5,N$3*$Z$5+$AA$5-1)^0.5)+((2416/(N255+459.6)-2.013)*LOG10(INDEX(FX_Input,AA$5,N$3*$Z$5+$AA$5)))-(8742/(N255+459.6))+15.64),EXP(INDEX(Antoines,MATCH(N246,Antoine_Name,0),2)-INDEX(Antoines,MATCH(N246,Antoine_Name,0),3)/(N255+459.6))))),0)</f>
        <v>5.902399466128503E-3</v>
      </c>
      <c r="O262" cm="1">
        <f t="array" ref="O262">IFERROR(IF(O247="Chemical",(10^(INDEX(Antoines,MATCH(O246,Antoine_Name,0),2)-INDEX(Antoines,MATCH(O246,Antoine_Name,0),3)/(INDEX(Antoines,MATCH(O246,Antoine_Name,0),4)+(O255-32)*5/9)))*14.7/760,IF(O247="Crude Oil",EXP((2799/(O255+459.6)-2.227)*LOG10(INDEX(FX_Input,AB$5,O$3*$Z$5+$AA$5))-(7261/(O255+459.6))+12.82),IF(O247="Refined Petroleum Stock",EXP((0.7553-(413/(O255+459.6)))*(INDEX(FX_Input,AB$5,O$3*$Z$5+$AA$5-1)^0.5)*LOG10(INDEX(FX_Input,AB$5,O$3*$Z$5+$AA$5))-(1.854-(1042/(O255+459.6)))*(INDEX(FX_Input,AB$5,O$3*$Z$5+$AA$5-1)^0.5)+((2416/(O255+459.6)-2.013)*LOG10(INDEX(FX_Input,AB$5,O$3*$Z$5+$AA$5)))-(8742/(O255+459.6))+15.64),EXP(INDEX(Antoines,MATCH(O246,Antoine_Name,0),2)-INDEX(Antoines,MATCH(O246,Antoine_Name,0),3)/(O255+459.6))))),0)</f>
        <v>5.1222820261006847E-3</v>
      </c>
    </row>
    <row r="263" spans="2:15" ht="17.149999999999999" x14ac:dyDescent="0.55000000000000004">
      <c r="B263" t="str">
        <f t="shared" si="788"/>
        <v>Portland</v>
      </c>
      <c r="C263" t="s">
        <v>580</v>
      </c>
      <c r="D263">
        <f>D262*D250</f>
        <v>5.2033036727344552E-3</v>
      </c>
      <c r="E263">
        <f t="shared" ref="E263" si="822">E262*E250</f>
        <v>5.5385065183370758E-3</v>
      </c>
      <c r="F263">
        <f t="shared" ref="F263" si="823">F262*F250</f>
        <v>5.9077167859673575E-3</v>
      </c>
      <c r="G263">
        <f t="shared" ref="G263" si="824">G262*G250</f>
        <v>6.5849388112918178E-3</v>
      </c>
      <c r="H263">
        <f t="shared" ref="H263" si="825">H262*H250</f>
        <v>7.7939195379121001E-3</v>
      </c>
      <c r="I263">
        <f t="shared" ref="I263" si="826">I262*I250</f>
        <v>8.8347329003026723E-3</v>
      </c>
      <c r="J263">
        <f t="shared" ref="J263" si="827">J262*J250</f>
        <v>9.9592296270275289E-3</v>
      </c>
      <c r="K263">
        <f t="shared" ref="K263" si="828">K262*K250</f>
        <v>1.0044214742690162E-2</v>
      </c>
      <c r="L263">
        <f t="shared" ref="L263" si="829">L262*L250</f>
        <v>9.3389439263883208E-3</v>
      </c>
      <c r="M263">
        <f t="shared" ref="M263" si="830">M262*M250</f>
        <v>7.3896033166885589E-3</v>
      </c>
      <c r="N263">
        <f t="shared" ref="N263" si="831">N262*N250</f>
        <v>5.902399466128503E-3</v>
      </c>
      <c r="O263">
        <f t="shared" ref="O263" si="832">O262*O250</f>
        <v>5.1222820261006847E-3</v>
      </c>
    </row>
    <row r="264" spans="2:15" ht="17.149999999999999" x14ac:dyDescent="0.55000000000000004">
      <c r="B264" t="str">
        <f t="shared" si="788"/>
        <v>Portland</v>
      </c>
      <c r="C264" t="s">
        <v>581</v>
      </c>
      <c r="D264" cm="1">
        <f t="array" ref="D264">IFERROR(IF(D249="Chemical",(10^(INDEX(Antoines,MATCH(D248,Antoine_Name,0),2)-INDEX(Antoines,MATCH(D248,Antoine_Name,0),3)/(INDEX(Antoines,MATCH(D248,Antoine_Name,0),4)+(D255-32)*5/9)))*14.7/760,IF(D249="Crude Oil",EXP((2799/(D255+459.6)-2.227)*LOG10(INDEX(FX_Input,Q$5,D$3*$Z$5+$AA$5))-(7261/(D255+459.6))+12.82),IF(D249="Refined Petroleum Stock",EXP((0.7553-(413/(D255+459.6)))*(INDEX(FX_Input,Q$5,D$3*$Z$5+$AA$5-1)^0.5)*LOG10(INDEX(FX_Input,Q$5,D$3*$Z$5+$AA$5))-(1.854-(1042/(D255+459.6)))*(INDEX(FX_Input,Q$5,D$3*$Z$5+$AA$5-1)^0.5)+((2416/(D255+459.6)-2.013)*LOG10(INDEX(FX_Input,Q$5,D$3*$Z$5+$AA$5)))-(8742/(D255+459.6))+15.64),EXP(INDEX(Antoines,MATCH(D248,Antoine_Name,0),2)-INDEX(Antoines,MATCH(D248,Antoine_Name,0),3)/(D255+459.6))))),0)</f>
        <v>0</v>
      </c>
      <c r="E264" cm="1">
        <f t="array" ref="E264">IFERROR(IF(E249="Chemical",(10^(INDEX(Antoines,MATCH(E248,Antoine_Name,0),2)-INDEX(Antoines,MATCH(E248,Antoine_Name,0),3)/(INDEX(Antoines,MATCH(E248,Antoine_Name,0),4)+(E255-32)*5/9)))*14.7/760,IF(E249="Crude Oil",EXP((2799/(E255+459.6)-2.227)*LOG10(INDEX(FX_Input,R$5,E$3*$Z$5+$AA$5))-(7261/(E255+459.6))+12.82),IF(E249="Refined Petroleum Stock",EXP((0.7553-(413/(E255+459.6)))*(INDEX(FX_Input,R$5,E$3*$Z$5+$AA$5-1)^0.5)*LOG10(INDEX(FX_Input,R$5,E$3*$Z$5+$AA$5))-(1.854-(1042/(E255+459.6)))*(INDEX(FX_Input,R$5,E$3*$Z$5+$AA$5-1)^0.5)+((2416/(E255+459.6)-2.013)*LOG10(INDEX(FX_Input,R$5,E$3*$Z$5+$AA$5)))-(8742/(E255+459.6))+15.64),EXP(INDEX(Antoines,MATCH(E248,Antoine_Name,0),2)-INDEX(Antoines,MATCH(E248,Antoine_Name,0),3)/(E255+459.6))))),0)</f>
        <v>0</v>
      </c>
      <c r="F264" cm="1">
        <f t="array" ref="F264">IFERROR(IF(F249="Chemical",(10^(INDEX(Antoines,MATCH(F248,Antoine_Name,0),2)-INDEX(Antoines,MATCH(F248,Antoine_Name,0),3)/(INDEX(Antoines,MATCH(F248,Antoine_Name,0),4)+(F255-32)*5/9)))*14.7/760,IF(F249="Crude Oil",EXP((2799/(F255+459.6)-2.227)*LOG10(INDEX(FX_Input,S$5,F$3*$Z$5+$AA$5))-(7261/(F255+459.6))+12.82),IF(F249="Refined Petroleum Stock",EXP((0.7553-(413/(F255+459.6)))*(INDEX(FX_Input,S$5,F$3*$Z$5+$AA$5-1)^0.5)*LOG10(INDEX(FX_Input,S$5,F$3*$Z$5+$AA$5))-(1.854-(1042/(F255+459.6)))*(INDEX(FX_Input,S$5,F$3*$Z$5+$AA$5-1)^0.5)+((2416/(F255+459.6)-2.013)*LOG10(INDEX(FX_Input,S$5,F$3*$Z$5+$AA$5)))-(8742/(F255+459.6))+15.64),EXP(INDEX(Antoines,MATCH(F248,Antoine_Name,0),2)-INDEX(Antoines,MATCH(F248,Antoine_Name,0),3)/(F255+459.6))))),0)</f>
        <v>0</v>
      </c>
      <c r="G264" cm="1">
        <f t="array" ref="G264">IFERROR(IF(G249="Chemical",(10^(INDEX(Antoines,MATCH(G248,Antoine_Name,0),2)-INDEX(Antoines,MATCH(G248,Antoine_Name,0),3)/(INDEX(Antoines,MATCH(G248,Antoine_Name,0),4)+(G255-32)*5/9)))*14.7/760,IF(G249="Crude Oil",EXP((2799/(G255+459.6)-2.227)*LOG10(INDEX(FX_Input,T$5,G$3*$Z$5+$AA$5))-(7261/(G255+459.6))+12.82),IF(G249="Refined Petroleum Stock",EXP((0.7553-(413/(G255+459.6)))*(INDEX(FX_Input,T$5,G$3*$Z$5+$AA$5-1)^0.5)*LOG10(INDEX(FX_Input,T$5,G$3*$Z$5+$AA$5))-(1.854-(1042/(G255+459.6)))*(INDEX(FX_Input,T$5,G$3*$Z$5+$AA$5-1)^0.5)+((2416/(G255+459.6)-2.013)*LOG10(INDEX(FX_Input,T$5,G$3*$Z$5+$AA$5)))-(8742/(G255+459.6))+15.64),EXP(INDEX(Antoines,MATCH(G248,Antoine_Name,0),2)-INDEX(Antoines,MATCH(G248,Antoine_Name,0),3)/(G255+459.6))))),0)</f>
        <v>0</v>
      </c>
      <c r="H264" cm="1">
        <f t="array" ref="H264">IFERROR(IF(H249="Chemical",(10^(INDEX(Antoines,MATCH(H248,Antoine_Name,0),2)-INDEX(Antoines,MATCH(H248,Antoine_Name,0),3)/(INDEX(Antoines,MATCH(H248,Antoine_Name,0),4)+(H255-32)*5/9)))*14.7/760,IF(H249="Crude Oil",EXP((2799/(H255+459.6)-2.227)*LOG10(INDEX(FX_Input,U$5,H$3*$Z$5+$AA$5))-(7261/(H255+459.6))+12.82),IF(H249="Refined Petroleum Stock",EXP((0.7553-(413/(H255+459.6)))*(INDEX(FX_Input,U$5,H$3*$Z$5+$AA$5-1)^0.5)*LOG10(INDEX(FX_Input,U$5,H$3*$Z$5+$AA$5))-(1.854-(1042/(H255+459.6)))*(INDEX(FX_Input,U$5,H$3*$Z$5+$AA$5-1)^0.5)+((2416/(H255+459.6)-2.013)*LOG10(INDEX(FX_Input,U$5,H$3*$Z$5+$AA$5)))-(8742/(H255+459.6))+15.64),EXP(INDEX(Antoines,MATCH(H248,Antoine_Name,0),2)-INDEX(Antoines,MATCH(H248,Antoine_Name,0),3)/(H255+459.6))))),0)</f>
        <v>0</v>
      </c>
      <c r="I264" cm="1">
        <f t="array" ref="I264">IFERROR(IF(I249="Chemical",(10^(INDEX(Antoines,MATCH(I248,Antoine_Name,0),2)-INDEX(Antoines,MATCH(I248,Antoine_Name,0),3)/(INDEX(Antoines,MATCH(I248,Antoine_Name,0),4)+(I255-32)*5/9)))*14.7/760,IF(I249="Crude Oil",EXP((2799/(I255+459.6)-2.227)*LOG10(INDEX(FX_Input,V$5,I$3*$Z$5+$AA$5))-(7261/(I255+459.6))+12.82),IF(I249="Refined Petroleum Stock",EXP((0.7553-(413/(I255+459.6)))*(INDEX(FX_Input,V$5,I$3*$Z$5+$AA$5-1)^0.5)*LOG10(INDEX(FX_Input,V$5,I$3*$Z$5+$AA$5))-(1.854-(1042/(I255+459.6)))*(INDEX(FX_Input,V$5,I$3*$Z$5+$AA$5-1)^0.5)+((2416/(I255+459.6)-2.013)*LOG10(INDEX(FX_Input,V$5,I$3*$Z$5+$AA$5)))-(8742/(I255+459.6))+15.64),EXP(INDEX(Antoines,MATCH(I248,Antoine_Name,0),2)-INDEX(Antoines,MATCH(I248,Antoine_Name,0),3)/(I255+459.6))))),0)</f>
        <v>0</v>
      </c>
      <c r="J264" cm="1">
        <f t="array" ref="J264">IFERROR(IF(J249="Chemical",(10^(INDEX(Antoines,MATCH(J248,Antoine_Name,0),2)-INDEX(Antoines,MATCH(J248,Antoine_Name,0),3)/(INDEX(Antoines,MATCH(J248,Antoine_Name,0),4)+(J255-32)*5/9)))*14.7/760,IF(J249="Crude Oil",EXP((2799/(J255+459.6)-2.227)*LOG10(INDEX(FX_Input,W$5,J$3*$Z$5+$AA$5))-(7261/(J255+459.6))+12.82),IF(J249="Refined Petroleum Stock",EXP((0.7553-(413/(J255+459.6)))*(INDEX(FX_Input,W$5,J$3*$Z$5+$AA$5-1)^0.5)*LOG10(INDEX(FX_Input,W$5,J$3*$Z$5+$AA$5))-(1.854-(1042/(J255+459.6)))*(INDEX(FX_Input,W$5,J$3*$Z$5+$AA$5-1)^0.5)+((2416/(J255+459.6)-2.013)*LOG10(INDEX(FX_Input,W$5,J$3*$Z$5+$AA$5)))-(8742/(J255+459.6))+15.64),EXP(INDEX(Antoines,MATCH(J248,Antoine_Name,0),2)-INDEX(Antoines,MATCH(J248,Antoine_Name,0),3)/(J255+459.6))))),0)</f>
        <v>0</v>
      </c>
      <c r="K264" cm="1">
        <f t="array" ref="K264">IFERROR(IF(K249="Chemical",(10^(INDEX(Antoines,MATCH(K248,Antoine_Name,0),2)-INDEX(Antoines,MATCH(K248,Antoine_Name,0),3)/(INDEX(Antoines,MATCH(K248,Antoine_Name,0),4)+(K255-32)*5/9)))*14.7/760,IF(K249="Crude Oil",EXP((2799/(K255+459.6)-2.227)*LOG10(INDEX(FX_Input,X$5,K$3*$Z$5+$AA$5))-(7261/(K255+459.6))+12.82),IF(K249="Refined Petroleum Stock",EXP((0.7553-(413/(K255+459.6)))*(INDEX(FX_Input,X$5,K$3*$Z$5+$AA$5-1)^0.5)*LOG10(INDEX(FX_Input,X$5,K$3*$Z$5+$AA$5))-(1.854-(1042/(K255+459.6)))*(INDEX(FX_Input,X$5,K$3*$Z$5+$AA$5-1)^0.5)+((2416/(K255+459.6)-2.013)*LOG10(INDEX(FX_Input,X$5,K$3*$Z$5+$AA$5)))-(8742/(K255+459.6))+15.64),EXP(INDEX(Antoines,MATCH(K248,Antoine_Name,0),2)-INDEX(Antoines,MATCH(K248,Antoine_Name,0),3)/(K255+459.6))))),0)</f>
        <v>0</v>
      </c>
      <c r="L264" cm="1">
        <f t="array" ref="L264">IFERROR(IF(L249="Chemical",(10^(INDEX(Antoines,MATCH(L248,Antoine_Name,0),2)-INDEX(Antoines,MATCH(L248,Antoine_Name,0),3)/(INDEX(Antoines,MATCH(L248,Antoine_Name,0),4)+(L255-32)*5/9)))*14.7/760,IF(L249="Crude Oil",EXP((2799/(L255+459.6)-2.227)*LOG10(INDEX(FX_Input,Y$5,L$3*$Z$5+$AA$5))-(7261/(L255+459.6))+12.82),IF(L249="Refined Petroleum Stock",EXP((0.7553-(413/(L255+459.6)))*(INDEX(FX_Input,Y$5,L$3*$Z$5+$AA$5-1)^0.5)*LOG10(INDEX(FX_Input,Y$5,L$3*$Z$5+$AA$5))-(1.854-(1042/(L255+459.6)))*(INDEX(FX_Input,Y$5,L$3*$Z$5+$AA$5-1)^0.5)+((2416/(L255+459.6)-2.013)*LOG10(INDEX(FX_Input,Y$5,L$3*$Z$5+$AA$5)))-(8742/(L255+459.6))+15.64),EXP(INDEX(Antoines,MATCH(L248,Antoine_Name,0),2)-INDEX(Antoines,MATCH(L248,Antoine_Name,0),3)/(L255+459.6))))),0)</f>
        <v>0</v>
      </c>
      <c r="M264" cm="1">
        <f t="array" ref="M264">IFERROR(IF(M249="Chemical",(10^(INDEX(Antoines,MATCH(M248,Antoine_Name,0),2)-INDEX(Antoines,MATCH(M248,Antoine_Name,0),3)/(INDEX(Antoines,MATCH(M248,Antoine_Name,0),4)+(M255-32)*5/9)))*14.7/760,IF(M249="Crude Oil",EXP((2799/(M255+459.6)-2.227)*LOG10(INDEX(FX_Input,Z$5,M$3*$Z$5+$AA$5))-(7261/(M255+459.6))+12.82),IF(M249="Refined Petroleum Stock",EXP((0.7553-(413/(M255+459.6)))*(INDEX(FX_Input,Z$5,M$3*$Z$5+$AA$5-1)^0.5)*LOG10(INDEX(FX_Input,Z$5,M$3*$Z$5+$AA$5))-(1.854-(1042/(M255+459.6)))*(INDEX(FX_Input,Z$5,M$3*$Z$5+$AA$5-1)^0.5)+((2416/(M255+459.6)-2.013)*LOG10(INDEX(FX_Input,Z$5,M$3*$Z$5+$AA$5)))-(8742/(M255+459.6))+15.64),EXP(INDEX(Antoines,MATCH(M248,Antoine_Name,0),2)-INDEX(Antoines,MATCH(M248,Antoine_Name,0),3)/(M255+459.6))))),0)</f>
        <v>0</v>
      </c>
      <c r="N264" cm="1">
        <f t="array" ref="N264">IFERROR(IF(N249="Chemical",(10^(INDEX(Antoines,MATCH(N248,Antoine_Name,0),2)-INDEX(Antoines,MATCH(N248,Antoine_Name,0),3)/(INDEX(Antoines,MATCH(N248,Antoine_Name,0),4)+(N255-32)*5/9)))*14.7/760,IF(N249="Crude Oil",EXP((2799/(N255+459.6)-2.227)*LOG10(INDEX(FX_Input,AA$5,N$3*$Z$5+$AA$5))-(7261/(N255+459.6))+12.82),IF(N249="Refined Petroleum Stock",EXP((0.7553-(413/(N255+459.6)))*(INDEX(FX_Input,AA$5,N$3*$Z$5+$AA$5-1)^0.5)*LOG10(INDEX(FX_Input,AA$5,N$3*$Z$5+$AA$5))-(1.854-(1042/(N255+459.6)))*(INDEX(FX_Input,AA$5,N$3*$Z$5+$AA$5-1)^0.5)+((2416/(N255+459.6)-2.013)*LOG10(INDEX(FX_Input,AA$5,N$3*$Z$5+$AA$5)))-(8742/(N255+459.6))+15.64),EXP(INDEX(Antoines,MATCH(N248,Antoine_Name,0),2)-INDEX(Antoines,MATCH(N248,Antoine_Name,0),3)/(N255+459.6))))),0)</f>
        <v>0</v>
      </c>
      <c r="O264" cm="1">
        <f t="array" ref="O264">IFERROR(IF(O249="Chemical",(10^(INDEX(Antoines,MATCH(O248,Antoine_Name,0),2)-INDEX(Antoines,MATCH(O248,Antoine_Name,0),3)/(INDEX(Antoines,MATCH(O248,Antoine_Name,0),4)+(O255-32)*5/9)))*14.7/760,IF(O249="Crude Oil",EXP((2799/(O255+459.6)-2.227)*LOG10(INDEX(FX_Input,AB$5,O$3*$Z$5+$AA$5))-(7261/(O255+459.6))+12.82),IF(O249="Refined Petroleum Stock",EXP((0.7553-(413/(O255+459.6)))*(INDEX(FX_Input,AB$5,O$3*$Z$5+$AA$5-1)^0.5)*LOG10(INDEX(FX_Input,AB$5,O$3*$Z$5+$AA$5))-(1.854-(1042/(O255+459.6)))*(INDEX(FX_Input,AB$5,O$3*$Z$5+$AA$5-1)^0.5)+((2416/(O255+459.6)-2.013)*LOG10(INDEX(FX_Input,AB$5,O$3*$Z$5+$AA$5)))-(8742/(O255+459.6))+15.64),EXP(INDEX(Antoines,MATCH(O248,Antoine_Name,0),2)-INDEX(Antoines,MATCH(O248,Antoine_Name,0),3)/(O255+459.6))))),0)</f>
        <v>0</v>
      </c>
    </row>
    <row r="265" spans="2:15" ht="17.149999999999999" x14ac:dyDescent="0.55000000000000004">
      <c r="B265" t="str">
        <f t="shared" si="788"/>
        <v>Portland</v>
      </c>
      <c r="C265" t="s">
        <v>582</v>
      </c>
      <c r="D265">
        <f>D264*D252</f>
        <v>0</v>
      </c>
      <c r="E265">
        <f t="shared" ref="E265" si="833">E264*E252</f>
        <v>0</v>
      </c>
      <c r="F265">
        <f t="shared" ref="F265" si="834">F264*F252</f>
        <v>0</v>
      </c>
      <c r="G265">
        <f t="shared" ref="G265" si="835">G264*G252</f>
        <v>0</v>
      </c>
      <c r="H265">
        <f t="shared" ref="H265" si="836">H264*H252</f>
        <v>0</v>
      </c>
      <c r="I265">
        <f t="shared" ref="I265" si="837">I264*I252</f>
        <v>0</v>
      </c>
      <c r="J265">
        <f t="shared" ref="J265" si="838">J264*J252</f>
        <v>0</v>
      </c>
      <c r="K265">
        <f t="shared" ref="K265" si="839">K264*K252</f>
        <v>0</v>
      </c>
      <c r="L265">
        <f t="shared" ref="L265" si="840">L264*L252</f>
        <v>0</v>
      </c>
      <c r="M265">
        <f t="shared" ref="M265" si="841">M264*M252</f>
        <v>0</v>
      </c>
      <c r="N265">
        <f t="shared" ref="N265" si="842">N264*N252</f>
        <v>0</v>
      </c>
      <c r="O265">
        <f t="shared" ref="O265" si="843">O264*O252</f>
        <v>0</v>
      </c>
    </row>
    <row r="266" spans="2:15" ht="17.149999999999999" x14ac:dyDescent="0.55000000000000004">
      <c r="B266" t="str">
        <f t="shared" si="788"/>
        <v>Portland</v>
      </c>
      <c r="C266" t="s">
        <v>583</v>
      </c>
      <c r="D266">
        <f>D263+D265</f>
        <v>5.2033036727344552E-3</v>
      </c>
      <c r="E266">
        <f t="shared" ref="E266" si="844">E263+E265</f>
        <v>5.5385065183370758E-3</v>
      </c>
      <c r="F266">
        <f t="shared" ref="F266" si="845">F263+F265</f>
        <v>5.9077167859673575E-3</v>
      </c>
      <c r="G266">
        <f t="shared" ref="G266" si="846">G263+G265</f>
        <v>6.5849388112918178E-3</v>
      </c>
      <c r="H266">
        <f t="shared" ref="H266" si="847">H263+H265</f>
        <v>7.7939195379121001E-3</v>
      </c>
      <c r="I266">
        <f t="shared" ref="I266" si="848">I263+I265</f>
        <v>8.8347329003026723E-3</v>
      </c>
      <c r="J266">
        <f t="shared" ref="J266" si="849">J263+J265</f>
        <v>9.9592296270275289E-3</v>
      </c>
      <c r="K266">
        <f t="shared" ref="K266" si="850">K263+K265</f>
        <v>1.0044214742690162E-2</v>
      </c>
      <c r="L266">
        <f t="shared" ref="L266" si="851">L263+L265</f>
        <v>9.3389439263883208E-3</v>
      </c>
      <c r="M266">
        <f t="shared" ref="M266" si="852">M263+M265</f>
        <v>7.3896033166885589E-3</v>
      </c>
      <c r="N266">
        <f t="shared" ref="N266" si="853">N263+N265</f>
        <v>5.902399466128503E-3</v>
      </c>
      <c r="O266">
        <f t="shared" ref="O266" si="854">O263+O265</f>
        <v>5.1222820261006847E-3</v>
      </c>
    </row>
    <row r="267" spans="2:15" ht="17.149999999999999" x14ac:dyDescent="0.55000000000000004">
      <c r="B267" t="str">
        <f t="shared" si="788"/>
        <v>Portland</v>
      </c>
      <c r="C267" t="s">
        <v>1388</v>
      </c>
      <c r="D267" cm="1">
        <f t="array" ref="D267">IFERROR(IF(D247="Chemical",(10^(INDEX(Antoines,MATCH(D246,Antoine_Name,0),2)-INDEX(Antoines,MATCH(D246,Antoine_Name,0),3)/(INDEX(Antoines,MATCH(D246,Antoine_Name,0),4)+(D256-32)*5/9)))*14.7/760,IF(D247="Crude Oil",EXP((2799/(D256+459.6)-2.227)*LOG10(INDEX(FX_Input,Q$5,D$3*$Z$5+$AA$5))-(7261/(D256+459.6))+12.82),IF(D247="Refined Petroleum Stock",EXP((0.7553-(413/(D256+459.6)))*(INDEX(FX_Input,Q$5,D$3*$Z$5+$AA$5-1)^0.5)*LOG10(INDEX(FX_Input,Q$5,D$3*$Z$5+$AA$5))-(1.854-(1042/(D256+459.6)))*(INDEX(FX_Input,Q$5,D$3*$Z$5+$AA$5-1)^0.5)+((2416/(D256+459.6)-2.013)*LOG10(INDEX(FX_Input,Q$5,D$3*$Z$5+$AA$5)))-(8742/(D256+459.6))+15.64),EXP(INDEX(Antoines,MATCH(D246,Antoine_Name,0),2)-INDEX(Antoines,MATCH(D246,Antoine_Name,0),3)/(D256+459.6))))),0)</f>
        <v>4.883250638471285E-3</v>
      </c>
      <c r="E267" cm="1">
        <f t="array" ref="E267">IFERROR(IF(E247="Chemical",(10^(INDEX(Antoines,MATCH(E246,Antoine_Name,0),2)-INDEX(Antoines,MATCH(E246,Antoine_Name,0),3)/(INDEX(Antoines,MATCH(E246,Antoine_Name,0),4)+(E256-32)*5/9)))*14.7/760,IF(E247="Crude Oil",EXP((2799/(E256+459.6)-2.227)*LOG10(INDEX(FX_Input,R$5,E$3*$Z$5+$AA$5))-(7261/(E256+459.6))+12.82),IF(E247="Refined Petroleum Stock",EXP((0.7553-(413/(E256+459.6)))*(INDEX(FX_Input,R$5,E$3*$Z$5+$AA$5-1)^0.5)*LOG10(INDEX(FX_Input,R$5,E$3*$Z$5+$AA$5))-(1.854-(1042/(E256+459.6)))*(INDEX(FX_Input,R$5,E$3*$Z$5+$AA$5-1)^0.5)+((2416/(E256+459.6)-2.013)*LOG10(INDEX(FX_Input,R$5,E$3*$Z$5+$AA$5)))-(8742/(E256+459.6))+15.64),EXP(INDEX(Antoines,MATCH(E246,Antoine_Name,0),2)-INDEX(Antoines,MATCH(E246,Antoine_Name,0),3)/(E256+459.6))))),0)</f>
        <v>5.1351067062407989E-3</v>
      </c>
      <c r="F267" cm="1">
        <f t="array" ref="F267">IFERROR(IF(F247="Chemical",(10^(INDEX(Antoines,MATCH(F246,Antoine_Name,0),2)-INDEX(Antoines,MATCH(F246,Antoine_Name,0),3)/(INDEX(Antoines,MATCH(F246,Antoine_Name,0),4)+(F256-32)*5/9)))*14.7/760,IF(F247="Crude Oil",EXP((2799/(F256+459.6)-2.227)*LOG10(INDEX(FX_Input,S$5,F$3*$Z$5+$AA$5))-(7261/(F256+459.6))+12.82),IF(F247="Refined Petroleum Stock",EXP((0.7553-(413/(F256+459.6)))*(INDEX(FX_Input,S$5,F$3*$Z$5+$AA$5-1)^0.5)*LOG10(INDEX(FX_Input,S$5,F$3*$Z$5+$AA$5))-(1.854-(1042/(F256+459.6)))*(INDEX(FX_Input,S$5,F$3*$Z$5+$AA$5-1)^0.5)+((2416/(F256+459.6)-2.013)*LOG10(INDEX(FX_Input,S$5,F$3*$Z$5+$AA$5)))-(8742/(F256+459.6))+15.64),EXP(INDEX(Antoines,MATCH(F246,Antoine_Name,0),2)-INDEX(Antoines,MATCH(F246,Antoine_Name,0),3)/(F256+459.6))))),0)</f>
        <v>5.5213829543467952E-3</v>
      </c>
      <c r="G267" cm="1">
        <f t="array" ref="G267">IFERROR(IF(G247="Chemical",(10^(INDEX(Antoines,MATCH(G246,Antoine_Name,0),2)-INDEX(Antoines,MATCH(G246,Antoine_Name,0),3)/(INDEX(Antoines,MATCH(G246,Antoine_Name,0),4)+(G256-32)*5/9)))*14.7/760,IF(G247="Crude Oil",EXP((2799/(G256+459.6)-2.227)*LOG10(INDEX(FX_Input,T$5,G$3*$Z$5+$AA$5))-(7261/(G256+459.6))+12.82),IF(G247="Refined Petroleum Stock",EXP((0.7553-(413/(G256+459.6)))*(INDEX(FX_Input,T$5,G$3*$Z$5+$AA$5-1)^0.5)*LOG10(INDEX(FX_Input,T$5,G$3*$Z$5+$AA$5))-(1.854-(1042/(G256+459.6)))*(INDEX(FX_Input,T$5,G$3*$Z$5+$AA$5-1)^0.5)+((2416/(G256+459.6)-2.013)*LOG10(INDEX(FX_Input,T$5,G$3*$Z$5+$AA$5)))-(8742/(G256+459.6))+15.64),EXP(INDEX(Antoines,MATCH(G246,Antoine_Name,0),2)-INDEX(Antoines,MATCH(G246,Antoine_Name,0),3)/(G256+459.6))))),0)</f>
        <v>6.2124720487193742E-3</v>
      </c>
      <c r="H267" cm="1">
        <f t="array" ref="H267">IFERROR(IF(H247="Chemical",(10^(INDEX(Antoines,MATCH(H246,Antoine_Name,0),2)-INDEX(Antoines,MATCH(H246,Antoine_Name,0),3)/(INDEX(Antoines,MATCH(H246,Antoine_Name,0),4)+(H256-32)*5/9)))*14.7/760,IF(H247="Crude Oil",EXP((2799/(H256+459.6)-2.227)*LOG10(INDEX(FX_Input,U$5,H$3*$Z$5+$AA$5))-(7261/(H256+459.6))+12.82),IF(H247="Refined Petroleum Stock",EXP((0.7553-(413/(H256+459.6)))*(INDEX(FX_Input,U$5,H$3*$Z$5+$AA$5-1)^0.5)*LOG10(INDEX(FX_Input,U$5,H$3*$Z$5+$AA$5))-(1.854-(1042/(H256+459.6)))*(INDEX(FX_Input,U$5,H$3*$Z$5+$AA$5-1)^0.5)+((2416/(H256+459.6)-2.013)*LOG10(INDEX(FX_Input,U$5,H$3*$Z$5+$AA$5)))-(8742/(H256+459.6))+15.64),EXP(INDEX(Antoines,MATCH(H246,Antoine_Name,0),2)-INDEX(Antoines,MATCH(H246,Antoine_Name,0),3)/(H256+459.6))))),0)</f>
        <v>7.4209663387537275E-3</v>
      </c>
      <c r="I267" cm="1">
        <f t="array" ref="I267">IFERROR(IF(I247="Chemical",(10^(INDEX(Antoines,MATCH(I246,Antoine_Name,0),2)-INDEX(Antoines,MATCH(I246,Antoine_Name,0),3)/(INDEX(Antoines,MATCH(I246,Antoine_Name,0),4)+(I256-32)*5/9)))*14.7/760,IF(I247="Crude Oil",EXP((2799/(I256+459.6)-2.227)*LOG10(INDEX(FX_Input,V$5,I$3*$Z$5+$AA$5))-(7261/(I256+459.6))+12.82),IF(I247="Refined Petroleum Stock",EXP((0.7553-(413/(I256+459.6)))*(INDEX(FX_Input,V$5,I$3*$Z$5+$AA$5-1)^0.5)*LOG10(INDEX(FX_Input,V$5,I$3*$Z$5+$AA$5))-(1.854-(1042/(I256+459.6)))*(INDEX(FX_Input,V$5,I$3*$Z$5+$AA$5-1)^0.5)+((2416/(I256+459.6)-2.013)*LOG10(INDEX(FX_Input,V$5,I$3*$Z$5+$AA$5)))-(8742/(I256+459.6))+15.64),EXP(INDEX(Antoines,MATCH(I246,Antoine_Name,0),2)-INDEX(Antoines,MATCH(I246,Antoine_Name,0),3)/(I256+459.6))))),0)</f>
        <v>8.4819819298252285E-3</v>
      </c>
      <c r="J267" cm="1">
        <f t="array" ref="J267">IFERROR(IF(J247="Chemical",(10^(INDEX(Antoines,MATCH(J246,Antoine_Name,0),2)-INDEX(Antoines,MATCH(J246,Antoine_Name,0),3)/(INDEX(Antoines,MATCH(J246,Antoine_Name,0),4)+(J256-32)*5/9)))*14.7/760,IF(J247="Crude Oil",EXP((2799/(J256+459.6)-2.227)*LOG10(INDEX(FX_Input,W$5,J$3*$Z$5+$AA$5))-(7261/(J256+459.6))+12.82),IF(J247="Refined Petroleum Stock",EXP((0.7553-(413/(J256+459.6)))*(INDEX(FX_Input,W$5,J$3*$Z$5+$AA$5-1)^0.5)*LOG10(INDEX(FX_Input,W$5,J$3*$Z$5+$AA$5))-(1.854-(1042/(J256+459.6)))*(INDEX(FX_Input,W$5,J$3*$Z$5+$AA$5-1)^0.5)+((2416/(J256+459.6)-2.013)*LOG10(INDEX(FX_Input,W$5,J$3*$Z$5+$AA$5)))-(8742/(J256+459.6))+15.64),EXP(INDEX(Antoines,MATCH(J246,Antoine_Name,0),2)-INDEX(Antoines,MATCH(J246,Antoine_Name,0),3)/(J256+459.6))))),0)</f>
        <v>9.5741064128135375E-3</v>
      </c>
      <c r="K267" cm="1">
        <f t="array" ref="K267">IFERROR(IF(K247="Chemical",(10^(INDEX(Antoines,MATCH(K246,Antoine_Name,0),2)-INDEX(Antoines,MATCH(K246,Antoine_Name,0),3)/(INDEX(Antoines,MATCH(K246,Antoine_Name,0),4)+(K256-32)*5/9)))*14.7/760,IF(K247="Crude Oil",EXP((2799/(K256+459.6)-2.227)*LOG10(INDEX(FX_Input,X$5,K$3*$Z$5+$AA$5))-(7261/(K256+459.6))+12.82),IF(K247="Refined Petroleum Stock",EXP((0.7553-(413/(K256+459.6)))*(INDEX(FX_Input,X$5,K$3*$Z$5+$AA$5-1)^0.5)*LOG10(INDEX(FX_Input,X$5,K$3*$Z$5+$AA$5))-(1.854-(1042/(K256+459.6)))*(INDEX(FX_Input,X$5,K$3*$Z$5+$AA$5-1)^0.5)+((2416/(K256+459.6)-2.013)*LOG10(INDEX(FX_Input,X$5,K$3*$Z$5+$AA$5)))-(8742/(K256+459.6))+15.64),EXP(INDEX(Antoines,MATCH(K246,Antoine_Name,0),2)-INDEX(Antoines,MATCH(K246,Antoine_Name,0),3)/(K256+459.6))))),0)</f>
        <v>9.5478148180509845E-3</v>
      </c>
      <c r="L267" cm="1">
        <f t="array" ref="L267">IFERROR(IF(L247="Chemical",(10^(INDEX(Antoines,MATCH(L246,Antoine_Name,0),2)-INDEX(Antoines,MATCH(L246,Antoine_Name,0),3)/(INDEX(Antoines,MATCH(L246,Antoine_Name,0),4)+(L256-32)*5/9)))*14.7/760,IF(L247="Crude Oil",EXP((2799/(L256+459.6)-2.227)*LOG10(INDEX(FX_Input,Y$5,L$3*$Z$5+$AA$5))-(7261/(L256+459.6))+12.82),IF(L247="Refined Petroleum Stock",EXP((0.7553-(413/(L256+459.6)))*(INDEX(FX_Input,Y$5,L$3*$Z$5+$AA$5-1)^0.5)*LOG10(INDEX(FX_Input,Y$5,L$3*$Z$5+$AA$5))-(1.854-(1042/(L256+459.6)))*(INDEX(FX_Input,Y$5,L$3*$Z$5+$AA$5-1)^0.5)+((2416/(L256+459.6)-2.013)*LOG10(INDEX(FX_Input,Y$5,L$3*$Z$5+$AA$5)))-(8742/(L256+459.6))+15.64),EXP(INDEX(Antoines,MATCH(L246,Antoine_Name,0),2)-INDEX(Antoines,MATCH(L246,Antoine_Name,0),3)/(L256+459.6))))),0)</f>
        <v>8.6464528192362108E-3</v>
      </c>
      <c r="M267" cm="1">
        <f t="array" ref="M267">IFERROR(IF(M247="Chemical",(10^(INDEX(Antoines,MATCH(M246,Antoine_Name,0),2)-INDEX(Antoines,MATCH(M246,Antoine_Name,0),3)/(INDEX(Antoines,MATCH(M246,Antoine_Name,0),4)+(M256-32)*5/9)))*14.7/760,IF(M247="Crude Oil",EXP((2799/(M256+459.6)-2.227)*LOG10(INDEX(FX_Input,Z$5,M$3*$Z$5+$AA$5))-(7261/(M256+459.6))+12.82),IF(M247="Refined Petroleum Stock",EXP((0.7553-(413/(M256+459.6)))*(INDEX(FX_Input,Z$5,M$3*$Z$5+$AA$5-1)^0.5)*LOG10(INDEX(FX_Input,Z$5,M$3*$Z$5+$AA$5))-(1.854-(1042/(M256+459.6)))*(INDEX(FX_Input,Z$5,M$3*$Z$5+$AA$5-1)^0.5)+((2416/(M256+459.6)-2.013)*LOG10(INDEX(FX_Input,Z$5,M$3*$Z$5+$AA$5)))-(8742/(M256+459.6))+15.64),EXP(INDEX(Antoines,MATCH(M246,Antoine_Name,0),2)-INDEX(Antoines,MATCH(M246,Antoine_Name,0),3)/(M256+459.6))))),0)</f>
        <v>6.8218393379121701E-3</v>
      </c>
      <c r="N267" cm="1">
        <f t="array" ref="N267">IFERROR(IF(N247="Chemical",(10^(INDEX(Antoines,MATCH(N246,Antoine_Name,0),2)-INDEX(Antoines,MATCH(N246,Antoine_Name,0),3)/(INDEX(Antoines,MATCH(N246,Antoine_Name,0),4)+(N256-32)*5/9)))*14.7/760,IF(N247="Crude Oil",EXP((2799/(N256+459.6)-2.227)*LOG10(INDEX(FX_Input,AA$5,N$3*$Z$5+$AA$5))-(7261/(N256+459.6))+12.82),IF(N247="Refined Petroleum Stock",EXP((0.7553-(413/(N256+459.6)))*(INDEX(FX_Input,AA$5,N$3*$Z$5+$AA$5-1)^0.5)*LOG10(INDEX(FX_Input,AA$5,N$3*$Z$5+$AA$5))-(1.854-(1042/(N256+459.6)))*(INDEX(FX_Input,AA$5,N$3*$Z$5+$AA$5-1)^0.5)+((2416/(N256+459.6)-2.013)*LOG10(INDEX(FX_Input,AA$5,N$3*$Z$5+$AA$5)))-(8742/(N256+459.6))+15.64),EXP(INDEX(Antoines,MATCH(N246,Antoine_Name,0),2)-INDEX(Antoines,MATCH(N246,Antoine_Name,0),3)/(N256+459.6))))),0)</f>
        <v>5.4827140055800742E-3</v>
      </c>
      <c r="O267" cm="1">
        <f t="array" ref="O267">IFERROR(IF(O247="Chemical",(10^(INDEX(Antoines,MATCH(O246,Antoine_Name,0),2)-INDEX(Antoines,MATCH(O246,Antoine_Name,0),3)/(INDEX(Antoines,MATCH(O246,Antoine_Name,0),4)+(O256-32)*5/9)))*14.7/760,IF(O247="Crude Oil",EXP((2799/(O256+459.6)-2.227)*LOG10(INDEX(FX_Input,AB$5,O$3*$Z$5+$AA$5))-(7261/(O256+459.6))+12.82),IF(O247="Refined Petroleum Stock",EXP((0.7553-(413/(O256+459.6)))*(INDEX(FX_Input,AB$5,O$3*$Z$5+$AA$5-1)^0.5)*LOG10(INDEX(FX_Input,AB$5,O$3*$Z$5+$AA$5))-(1.854-(1042/(O256+459.6)))*(INDEX(FX_Input,AB$5,O$3*$Z$5+$AA$5-1)^0.5)+((2416/(O256+459.6)-2.013)*LOG10(INDEX(FX_Input,AB$5,O$3*$Z$5+$AA$5)))-(8742/(O256+459.6))+15.64),EXP(INDEX(Antoines,MATCH(O246,Antoine_Name,0),2)-INDEX(Antoines,MATCH(O246,Antoine_Name,0),3)/(O256+459.6))))),0)</f>
        <v>4.8148298503950734E-3</v>
      </c>
    </row>
    <row r="268" spans="2:15" ht="17.149999999999999" x14ac:dyDescent="0.55000000000000004">
      <c r="B268" t="str">
        <f t="shared" si="788"/>
        <v>Portland</v>
      </c>
      <c r="C268" t="s">
        <v>1389</v>
      </c>
      <c r="D268">
        <f>D267*D250</f>
        <v>4.883250638471285E-3</v>
      </c>
      <c r="E268">
        <f t="shared" ref="E268" si="855">E267*E250</f>
        <v>5.1351067062407989E-3</v>
      </c>
      <c r="F268">
        <f t="shared" ref="F268" si="856">F267*F250</f>
        <v>5.5213829543467952E-3</v>
      </c>
      <c r="G268">
        <f t="shared" ref="G268" si="857">G267*G250</f>
        <v>6.2124720487193742E-3</v>
      </c>
      <c r="H268">
        <f t="shared" ref="H268" si="858">H267*H250</f>
        <v>7.4209663387537275E-3</v>
      </c>
      <c r="I268">
        <f t="shared" ref="I268" si="859">I267*I250</f>
        <v>8.4819819298252285E-3</v>
      </c>
      <c r="J268">
        <f t="shared" ref="J268" si="860">J267*J250</f>
        <v>9.5741064128135375E-3</v>
      </c>
      <c r="K268">
        <f t="shared" ref="K268" si="861">K267*K250</f>
        <v>9.5478148180509845E-3</v>
      </c>
      <c r="L268">
        <f t="shared" ref="L268" si="862">L267*L250</f>
        <v>8.6464528192362108E-3</v>
      </c>
      <c r="M268">
        <f t="shared" ref="M268" si="863">M267*M250</f>
        <v>6.8218393379121701E-3</v>
      </c>
      <c r="N268">
        <f t="shared" ref="N268" si="864">N267*N250</f>
        <v>5.4827140055800742E-3</v>
      </c>
      <c r="O268">
        <f t="shared" ref="O268" si="865">O267*O250</f>
        <v>4.8148298503950734E-3</v>
      </c>
    </row>
    <row r="269" spans="2:15" ht="17.149999999999999" x14ac:dyDescent="0.55000000000000004">
      <c r="B269" t="str">
        <f t="shared" si="788"/>
        <v>Portland</v>
      </c>
      <c r="C269" t="s">
        <v>1390</v>
      </c>
      <c r="D269" cm="1">
        <f t="array" ref="D269">IFERROR(IF(D249="Chemical",(10^(INDEX(Antoines,MATCH(D248,Antoine_Name,0),2)-INDEX(Antoines,MATCH(D248,Antoine_Name,0),3)/(INDEX(Antoines,MATCH(D248,Antoine_Name,0),4)+(D256-32)*5/9)))*14.7/760,IF(D249="Crude Oil",EXP((2799/(D256+459.6)-2.227)*LOG10(INDEX(FX_Input,Q$5,D$3*$Z$5+$AA$5))-(7261/(D256+459.6))+12.82),IF(D249="Refined Petroleum Stock",EXP((0.7553-(413/(D256+459.6)))*(INDEX(FX_Input,Q$5,D$3*$Z$5+$AA$5-1)^0.5)*LOG10(INDEX(FX_Input,Q$5,D$3*$Z$5+$AA$5))-(1.854-(1042/(D256+459.6)))*(INDEX(FX_Input,Q$5,D$3*$Z$5+$AA$5-1)^0.5)+((2416/(D256+459.6)-2.013)*LOG10(INDEX(FX_Input,Q$5,D$3*$Z$5+$AA$5)))-(8742/(D256+459.6))+15.64),EXP(INDEX(Antoines,MATCH(D248,Antoine_Name,0),2)-INDEX(Antoines,MATCH(D248,Antoine_Name,0),3)/(D256+459.6))))),0)</f>
        <v>0</v>
      </c>
      <c r="E269" cm="1">
        <f t="array" ref="E269">IFERROR(IF(E249="Chemical",(10^(INDEX(Antoines,MATCH(E248,Antoine_Name,0),2)-INDEX(Antoines,MATCH(E248,Antoine_Name,0),3)/(INDEX(Antoines,MATCH(E248,Antoine_Name,0),4)+(E256-32)*5/9)))*14.7/760,IF(E249="Crude Oil",EXP((2799/(E256+459.6)-2.227)*LOG10(INDEX(FX_Input,R$5,E$3*$Z$5+$AA$5))-(7261/(E256+459.6))+12.82),IF(E249="Refined Petroleum Stock",EXP((0.7553-(413/(E256+459.6)))*(INDEX(FX_Input,R$5,E$3*$Z$5+$AA$5-1)^0.5)*LOG10(INDEX(FX_Input,R$5,E$3*$Z$5+$AA$5))-(1.854-(1042/(E256+459.6)))*(INDEX(FX_Input,R$5,E$3*$Z$5+$AA$5-1)^0.5)+((2416/(E256+459.6)-2.013)*LOG10(INDEX(FX_Input,R$5,E$3*$Z$5+$AA$5)))-(8742/(E256+459.6))+15.64),EXP(INDEX(Antoines,MATCH(E248,Antoine_Name,0),2)-INDEX(Antoines,MATCH(E248,Antoine_Name,0),3)/(E256+459.6))))),0)</f>
        <v>0</v>
      </c>
      <c r="F269" cm="1">
        <f t="array" ref="F269">IFERROR(IF(F249="Chemical",(10^(INDEX(Antoines,MATCH(F248,Antoine_Name,0),2)-INDEX(Antoines,MATCH(F248,Antoine_Name,0),3)/(INDEX(Antoines,MATCH(F248,Antoine_Name,0),4)+(F256-32)*5/9)))*14.7/760,IF(F249="Crude Oil",EXP((2799/(F256+459.6)-2.227)*LOG10(INDEX(FX_Input,S$5,F$3*$Z$5+$AA$5))-(7261/(F256+459.6))+12.82),IF(F249="Refined Petroleum Stock",EXP((0.7553-(413/(F256+459.6)))*(INDEX(FX_Input,S$5,F$3*$Z$5+$AA$5-1)^0.5)*LOG10(INDEX(FX_Input,S$5,F$3*$Z$5+$AA$5))-(1.854-(1042/(F256+459.6)))*(INDEX(FX_Input,S$5,F$3*$Z$5+$AA$5-1)^0.5)+((2416/(F256+459.6)-2.013)*LOG10(INDEX(FX_Input,S$5,F$3*$Z$5+$AA$5)))-(8742/(F256+459.6))+15.64),EXP(INDEX(Antoines,MATCH(F248,Antoine_Name,0),2)-INDEX(Antoines,MATCH(F248,Antoine_Name,0),3)/(F256+459.6))))),0)</f>
        <v>0</v>
      </c>
      <c r="G269" cm="1">
        <f t="array" ref="G269">IFERROR(IF(G249="Chemical",(10^(INDEX(Antoines,MATCH(G248,Antoine_Name,0),2)-INDEX(Antoines,MATCH(G248,Antoine_Name,0),3)/(INDEX(Antoines,MATCH(G248,Antoine_Name,0),4)+(G256-32)*5/9)))*14.7/760,IF(G249="Crude Oil",EXP((2799/(G256+459.6)-2.227)*LOG10(INDEX(FX_Input,T$5,G$3*$Z$5+$AA$5))-(7261/(G256+459.6))+12.82),IF(G249="Refined Petroleum Stock",EXP((0.7553-(413/(G256+459.6)))*(INDEX(FX_Input,T$5,G$3*$Z$5+$AA$5-1)^0.5)*LOG10(INDEX(FX_Input,T$5,G$3*$Z$5+$AA$5))-(1.854-(1042/(G256+459.6)))*(INDEX(FX_Input,T$5,G$3*$Z$5+$AA$5-1)^0.5)+((2416/(G256+459.6)-2.013)*LOG10(INDEX(FX_Input,T$5,G$3*$Z$5+$AA$5)))-(8742/(G256+459.6))+15.64),EXP(INDEX(Antoines,MATCH(G248,Antoine_Name,0),2)-INDEX(Antoines,MATCH(G248,Antoine_Name,0),3)/(G256+459.6))))),0)</f>
        <v>0</v>
      </c>
      <c r="H269" cm="1">
        <f t="array" ref="H269">IFERROR(IF(H249="Chemical",(10^(INDEX(Antoines,MATCH(H248,Antoine_Name,0),2)-INDEX(Antoines,MATCH(H248,Antoine_Name,0),3)/(INDEX(Antoines,MATCH(H248,Antoine_Name,0),4)+(H256-32)*5/9)))*14.7/760,IF(H249="Crude Oil",EXP((2799/(H256+459.6)-2.227)*LOG10(INDEX(FX_Input,U$5,H$3*$Z$5+$AA$5))-(7261/(H256+459.6))+12.82),IF(H249="Refined Petroleum Stock",EXP((0.7553-(413/(H256+459.6)))*(INDEX(FX_Input,U$5,H$3*$Z$5+$AA$5-1)^0.5)*LOG10(INDEX(FX_Input,U$5,H$3*$Z$5+$AA$5))-(1.854-(1042/(H256+459.6)))*(INDEX(FX_Input,U$5,H$3*$Z$5+$AA$5-1)^0.5)+((2416/(H256+459.6)-2.013)*LOG10(INDEX(FX_Input,U$5,H$3*$Z$5+$AA$5)))-(8742/(H256+459.6))+15.64),EXP(INDEX(Antoines,MATCH(H248,Antoine_Name,0),2)-INDEX(Antoines,MATCH(H248,Antoine_Name,0),3)/(H256+459.6))))),0)</f>
        <v>0</v>
      </c>
      <c r="I269" cm="1">
        <f t="array" ref="I269">IFERROR(IF(I249="Chemical",(10^(INDEX(Antoines,MATCH(I248,Antoine_Name,0),2)-INDEX(Antoines,MATCH(I248,Antoine_Name,0),3)/(INDEX(Antoines,MATCH(I248,Antoine_Name,0),4)+(I256-32)*5/9)))*14.7/760,IF(I249="Crude Oil",EXP((2799/(I256+459.6)-2.227)*LOG10(INDEX(FX_Input,V$5,I$3*$Z$5+$AA$5))-(7261/(I256+459.6))+12.82),IF(I249="Refined Petroleum Stock",EXP((0.7553-(413/(I256+459.6)))*(INDEX(FX_Input,V$5,I$3*$Z$5+$AA$5-1)^0.5)*LOG10(INDEX(FX_Input,V$5,I$3*$Z$5+$AA$5))-(1.854-(1042/(I256+459.6)))*(INDEX(FX_Input,V$5,I$3*$Z$5+$AA$5-1)^0.5)+((2416/(I256+459.6)-2.013)*LOG10(INDEX(FX_Input,V$5,I$3*$Z$5+$AA$5)))-(8742/(I256+459.6))+15.64),EXP(INDEX(Antoines,MATCH(I248,Antoine_Name,0),2)-INDEX(Antoines,MATCH(I248,Antoine_Name,0),3)/(I256+459.6))))),0)</f>
        <v>0</v>
      </c>
      <c r="J269" cm="1">
        <f t="array" ref="J269">IFERROR(IF(J249="Chemical",(10^(INDEX(Antoines,MATCH(J248,Antoine_Name,0),2)-INDEX(Antoines,MATCH(J248,Antoine_Name,0),3)/(INDEX(Antoines,MATCH(J248,Antoine_Name,0),4)+(J256-32)*5/9)))*14.7/760,IF(J249="Crude Oil",EXP((2799/(J256+459.6)-2.227)*LOG10(INDEX(FX_Input,W$5,J$3*$Z$5+$AA$5))-(7261/(J256+459.6))+12.82),IF(J249="Refined Petroleum Stock",EXP((0.7553-(413/(J256+459.6)))*(INDEX(FX_Input,W$5,J$3*$Z$5+$AA$5-1)^0.5)*LOG10(INDEX(FX_Input,W$5,J$3*$Z$5+$AA$5))-(1.854-(1042/(J256+459.6)))*(INDEX(FX_Input,W$5,J$3*$Z$5+$AA$5-1)^0.5)+((2416/(J256+459.6)-2.013)*LOG10(INDEX(FX_Input,W$5,J$3*$Z$5+$AA$5)))-(8742/(J256+459.6))+15.64),EXP(INDEX(Antoines,MATCH(J248,Antoine_Name,0),2)-INDEX(Antoines,MATCH(J248,Antoine_Name,0),3)/(J256+459.6))))),0)</f>
        <v>0</v>
      </c>
      <c r="K269" cm="1">
        <f t="array" ref="K269">IFERROR(IF(K249="Chemical",(10^(INDEX(Antoines,MATCH(K248,Antoine_Name,0),2)-INDEX(Antoines,MATCH(K248,Antoine_Name,0),3)/(INDEX(Antoines,MATCH(K248,Antoine_Name,0),4)+(K256-32)*5/9)))*14.7/760,IF(K249="Crude Oil",EXP((2799/(K256+459.6)-2.227)*LOG10(INDEX(FX_Input,X$5,K$3*$Z$5+$AA$5))-(7261/(K256+459.6))+12.82),IF(K249="Refined Petroleum Stock",EXP((0.7553-(413/(K256+459.6)))*(INDEX(FX_Input,X$5,K$3*$Z$5+$AA$5-1)^0.5)*LOG10(INDEX(FX_Input,X$5,K$3*$Z$5+$AA$5))-(1.854-(1042/(K256+459.6)))*(INDEX(FX_Input,X$5,K$3*$Z$5+$AA$5-1)^0.5)+((2416/(K256+459.6)-2.013)*LOG10(INDEX(FX_Input,X$5,K$3*$Z$5+$AA$5)))-(8742/(K256+459.6))+15.64),EXP(INDEX(Antoines,MATCH(K248,Antoine_Name,0),2)-INDEX(Antoines,MATCH(K248,Antoine_Name,0),3)/(K256+459.6))))),0)</f>
        <v>0</v>
      </c>
      <c r="L269" cm="1">
        <f t="array" ref="L269">IFERROR(IF(L249="Chemical",(10^(INDEX(Antoines,MATCH(L248,Antoine_Name,0),2)-INDEX(Antoines,MATCH(L248,Antoine_Name,0),3)/(INDEX(Antoines,MATCH(L248,Antoine_Name,0),4)+(L256-32)*5/9)))*14.7/760,IF(L249="Crude Oil",EXP((2799/(L256+459.6)-2.227)*LOG10(INDEX(FX_Input,Y$5,L$3*$Z$5+$AA$5))-(7261/(L256+459.6))+12.82),IF(L249="Refined Petroleum Stock",EXP((0.7553-(413/(L256+459.6)))*(INDEX(FX_Input,Y$5,L$3*$Z$5+$AA$5-1)^0.5)*LOG10(INDEX(FX_Input,Y$5,L$3*$Z$5+$AA$5))-(1.854-(1042/(L256+459.6)))*(INDEX(FX_Input,Y$5,L$3*$Z$5+$AA$5-1)^0.5)+((2416/(L256+459.6)-2.013)*LOG10(INDEX(FX_Input,Y$5,L$3*$Z$5+$AA$5)))-(8742/(L256+459.6))+15.64),EXP(INDEX(Antoines,MATCH(L248,Antoine_Name,0),2)-INDEX(Antoines,MATCH(L248,Antoine_Name,0),3)/(L256+459.6))))),0)</f>
        <v>0</v>
      </c>
      <c r="M269" cm="1">
        <f t="array" ref="M269">IFERROR(IF(M249="Chemical",(10^(INDEX(Antoines,MATCH(M248,Antoine_Name,0),2)-INDEX(Antoines,MATCH(M248,Antoine_Name,0),3)/(INDEX(Antoines,MATCH(M248,Antoine_Name,0),4)+(M256-32)*5/9)))*14.7/760,IF(M249="Crude Oil",EXP((2799/(M256+459.6)-2.227)*LOG10(INDEX(FX_Input,Z$5,M$3*$Z$5+$AA$5))-(7261/(M256+459.6))+12.82),IF(M249="Refined Petroleum Stock",EXP((0.7553-(413/(M256+459.6)))*(INDEX(FX_Input,Z$5,M$3*$Z$5+$AA$5-1)^0.5)*LOG10(INDEX(FX_Input,Z$5,M$3*$Z$5+$AA$5))-(1.854-(1042/(M256+459.6)))*(INDEX(FX_Input,Z$5,M$3*$Z$5+$AA$5-1)^0.5)+((2416/(M256+459.6)-2.013)*LOG10(INDEX(FX_Input,Z$5,M$3*$Z$5+$AA$5)))-(8742/(M256+459.6))+15.64),EXP(INDEX(Antoines,MATCH(M248,Antoine_Name,0),2)-INDEX(Antoines,MATCH(M248,Antoine_Name,0),3)/(M256+459.6))))),0)</f>
        <v>0</v>
      </c>
      <c r="N269" cm="1">
        <f t="array" ref="N269">IFERROR(IF(N249="Chemical",(10^(INDEX(Antoines,MATCH(N248,Antoine_Name,0),2)-INDEX(Antoines,MATCH(N248,Antoine_Name,0),3)/(INDEX(Antoines,MATCH(N248,Antoine_Name,0),4)+(N256-32)*5/9)))*14.7/760,IF(N249="Crude Oil",EXP((2799/(N256+459.6)-2.227)*LOG10(INDEX(FX_Input,AA$5,N$3*$Z$5+$AA$5))-(7261/(N256+459.6))+12.82),IF(N249="Refined Petroleum Stock",EXP((0.7553-(413/(N256+459.6)))*(INDEX(FX_Input,AA$5,N$3*$Z$5+$AA$5-1)^0.5)*LOG10(INDEX(FX_Input,AA$5,N$3*$Z$5+$AA$5))-(1.854-(1042/(N256+459.6)))*(INDEX(FX_Input,AA$5,N$3*$Z$5+$AA$5-1)^0.5)+((2416/(N256+459.6)-2.013)*LOG10(INDEX(FX_Input,AA$5,N$3*$Z$5+$AA$5)))-(8742/(N256+459.6))+15.64),EXP(INDEX(Antoines,MATCH(N248,Antoine_Name,0),2)-INDEX(Antoines,MATCH(N248,Antoine_Name,0),3)/(N256+459.6))))),0)</f>
        <v>0</v>
      </c>
      <c r="O269" cm="1">
        <f t="array" ref="O269">IFERROR(IF(O249="Chemical",(10^(INDEX(Antoines,MATCH(O248,Antoine_Name,0),2)-INDEX(Antoines,MATCH(O248,Antoine_Name,0),3)/(INDEX(Antoines,MATCH(O248,Antoine_Name,0),4)+(O256-32)*5/9)))*14.7/760,IF(O249="Crude Oil",EXP((2799/(O256+459.6)-2.227)*LOG10(INDEX(FX_Input,AB$5,O$3*$Z$5+$AA$5))-(7261/(O256+459.6))+12.82),IF(O249="Refined Petroleum Stock",EXP((0.7553-(413/(O256+459.6)))*(INDEX(FX_Input,AB$5,O$3*$Z$5+$AA$5-1)^0.5)*LOG10(INDEX(FX_Input,AB$5,O$3*$Z$5+$AA$5))-(1.854-(1042/(O256+459.6)))*(INDEX(FX_Input,AB$5,O$3*$Z$5+$AA$5-1)^0.5)+((2416/(O256+459.6)-2.013)*LOG10(INDEX(FX_Input,AB$5,O$3*$Z$5+$AA$5)))-(8742/(O256+459.6))+15.64),EXP(INDEX(Antoines,MATCH(O248,Antoine_Name,0),2)-INDEX(Antoines,MATCH(O248,Antoine_Name,0),3)/(O256+459.6))))),0)</f>
        <v>0</v>
      </c>
    </row>
    <row r="270" spans="2:15" ht="17.149999999999999" x14ac:dyDescent="0.55000000000000004">
      <c r="B270" t="str">
        <f t="shared" si="788"/>
        <v>Portland</v>
      </c>
      <c r="C270" t="s">
        <v>1391</v>
      </c>
      <c r="D270">
        <f>D269*D252</f>
        <v>0</v>
      </c>
      <c r="E270">
        <f t="shared" ref="E270" si="866">E269*E252</f>
        <v>0</v>
      </c>
      <c r="F270">
        <f t="shared" ref="F270" si="867">F269*F252</f>
        <v>0</v>
      </c>
      <c r="G270">
        <f t="shared" ref="G270" si="868">G269*G252</f>
        <v>0</v>
      </c>
      <c r="H270">
        <f t="shared" ref="H270" si="869">H269*H252</f>
        <v>0</v>
      </c>
      <c r="I270">
        <f t="shared" ref="I270" si="870">I269*I252</f>
        <v>0</v>
      </c>
      <c r="J270">
        <f t="shared" ref="J270" si="871">J269*J252</f>
        <v>0</v>
      </c>
      <c r="K270">
        <f t="shared" ref="K270" si="872">K269*K252</f>
        <v>0</v>
      </c>
      <c r="L270">
        <f t="shared" ref="L270" si="873">L269*L252</f>
        <v>0</v>
      </c>
      <c r="M270">
        <f t="shared" ref="M270" si="874">M269*M252</f>
        <v>0</v>
      </c>
      <c r="N270">
        <f t="shared" ref="N270" si="875">N269*N252</f>
        <v>0</v>
      </c>
      <c r="O270">
        <f t="shared" ref="O270" si="876">O269*O252</f>
        <v>0</v>
      </c>
    </row>
    <row r="271" spans="2:15" ht="17.149999999999999" x14ac:dyDescent="0.55000000000000004">
      <c r="B271" t="str">
        <f t="shared" si="788"/>
        <v>Portland</v>
      </c>
      <c r="C271" t="s">
        <v>1392</v>
      </c>
      <c r="D271">
        <f>D268+D270</f>
        <v>4.883250638471285E-3</v>
      </c>
      <c r="E271">
        <f t="shared" ref="E271" si="877">E268+E270</f>
        <v>5.1351067062407989E-3</v>
      </c>
      <c r="F271">
        <f t="shared" ref="F271" si="878">F268+F270</f>
        <v>5.5213829543467952E-3</v>
      </c>
      <c r="G271">
        <f t="shared" ref="G271" si="879">G268+G270</f>
        <v>6.2124720487193742E-3</v>
      </c>
      <c r="H271">
        <f t="shared" ref="H271" si="880">H268+H270</f>
        <v>7.4209663387537275E-3</v>
      </c>
      <c r="I271">
        <f t="shared" ref="I271" si="881">I268+I270</f>
        <v>8.4819819298252285E-3</v>
      </c>
      <c r="J271">
        <f t="shared" ref="J271" si="882">J268+J270</f>
        <v>9.5741064128135375E-3</v>
      </c>
      <c r="K271">
        <f t="shared" ref="K271" si="883">K268+K270</f>
        <v>9.5478148180509845E-3</v>
      </c>
      <c r="L271">
        <f t="shared" ref="L271" si="884">L268+L270</f>
        <v>8.6464528192362108E-3</v>
      </c>
      <c r="M271">
        <f t="shared" ref="M271" si="885">M268+M270</f>
        <v>6.8218393379121701E-3</v>
      </c>
      <c r="N271">
        <f t="shared" ref="N271" si="886">N268+N270</f>
        <v>5.4827140055800742E-3</v>
      </c>
      <c r="O271">
        <f t="shared" ref="O271" si="887">O268+O270</f>
        <v>4.8148298503950734E-3</v>
      </c>
    </row>
    <row r="272" spans="2:15" ht="17.149999999999999" x14ac:dyDescent="0.55000000000000004">
      <c r="B272" t="str">
        <f>B266</f>
        <v>Portland</v>
      </c>
      <c r="C272" t="s">
        <v>584</v>
      </c>
      <c r="D272">
        <f>D268/D271</f>
        <v>1</v>
      </c>
      <c r="E272">
        <f t="shared" ref="E272" si="888">E268/E271</f>
        <v>1</v>
      </c>
      <c r="F272">
        <f t="shared" ref="F272" si="889">F268/F271</f>
        <v>1</v>
      </c>
      <c r="G272">
        <f t="shared" ref="G272" si="890">G268/G271</f>
        <v>1</v>
      </c>
      <c r="H272">
        <f t="shared" ref="H272" si="891">H268/H271</f>
        <v>1</v>
      </c>
      <c r="I272">
        <f t="shared" ref="I272" si="892">I268/I271</f>
        <v>1</v>
      </c>
      <c r="J272">
        <f t="shared" ref="J272" si="893">J268/J271</f>
        <v>1</v>
      </c>
      <c r="K272">
        <f t="shared" ref="K272" si="894">K268/K271</f>
        <v>1</v>
      </c>
      <c r="L272">
        <f t="shared" ref="L272" si="895">L268/L271</f>
        <v>1</v>
      </c>
      <c r="M272">
        <f t="shared" ref="M272" si="896">M268/M271</f>
        <v>1</v>
      </c>
      <c r="N272">
        <f t="shared" ref="N272" si="897">N268/N271</f>
        <v>1</v>
      </c>
      <c r="O272">
        <f t="shared" ref="O272" si="898">O268/O271</f>
        <v>1</v>
      </c>
    </row>
    <row r="273" spans="1:32" ht="17.149999999999999" x14ac:dyDescent="0.55000000000000004">
      <c r="B273" t="str">
        <f>B267</f>
        <v>Portland</v>
      </c>
      <c r="C273" t="s">
        <v>585</v>
      </c>
      <c r="D273">
        <f t="shared" ref="D273:O273" si="899">INDEX(Phys_Prop,MATCH(D246,Chem_List,0),3)</f>
        <v>130</v>
      </c>
      <c r="E273">
        <f t="shared" si="899"/>
        <v>130</v>
      </c>
      <c r="F273">
        <f t="shared" si="899"/>
        <v>130</v>
      </c>
      <c r="G273">
        <f t="shared" si="899"/>
        <v>130</v>
      </c>
      <c r="H273">
        <f t="shared" si="899"/>
        <v>130</v>
      </c>
      <c r="I273">
        <f t="shared" si="899"/>
        <v>130</v>
      </c>
      <c r="J273">
        <f t="shared" si="899"/>
        <v>130</v>
      </c>
      <c r="K273">
        <f t="shared" si="899"/>
        <v>130</v>
      </c>
      <c r="L273">
        <f t="shared" si="899"/>
        <v>130</v>
      </c>
      <c r="M273">
        <f t="shared" si="899"/>
        <v>130</v>
      </c>
      <c r="N273">
        <f t="shared" si="899"/>
        <v>130</v>
      </c>
      <c r="O273">
        <f t="shared" si="899"/>
        <v>130</v>
      </c>
    </row>
    <row r="274" spans="1:32" ht="17.149999999999999" x14ac:dyDescent="0.55000000000000004">
      <c r="B274" t="str">
        <f>B273</f>
        <v>Portland</v>
      </c>
      <c r="C274" t="s">
        <v>586</v>
      </c>
      <c r="D274">
        <f>D270/D271</f>
        <v>0</v>
      </c>
      <c r="E274">
        <f t="shared" ref="E274:O274" si="900">E270/E271</f>
        <v>0</v>
      </c>
      <c r="F274">
        <f t="shared" si="900"/>
        <v>0</v>
      </c>
      <c r="G274">
        <f t="shared" si="900"/>
        <v>0</v>
      </c>
      <c r="H274">
        <f t="shared" si="900"/>
        <v>0</v>
      </c>
      <c r="I274">
        <f t="shared" si="900"/>
        <v>0</v>
      </c>
      <c r="J274">
        <f t="shared" si="900"/>
        <v>0</v>
      </c>
      <c r="K274">
        <f t="shared" si="900"/>
        <v>0</v>
      </c>
      <c r="L274">
        <f t="shared" si="900"/>
        <v>0</v>
      </c>
      <c r="M274">
        <f t="shared" si="900"/>
        <v>0</v>
      </c>
      <c r="N274">
        <f t="shared" si="900"/>
        <v>0</v>
      </c>
      <c r="O274">
        <f t="shared" si="900"/>
        <v>0</v>
      </c>
    </row>
    <row r="275" spans="1:32" ht="17.149999999999999" x14ac:dyDescent="0.55000000000000004">
      <c r="B275" t="str">
        <f t="shared" si="788"/>
        <v>Portland</v>
      </c>
      <c r="C275" t="s">
        <v>587</v>
      </c>
      <c r="D275">
        <f t="shared" ref="D275:O275" si="901">IFERROR(INDEX(Phys_Prop,MATCH(D248,Chem_List,0),3),0)</f>
        <v>0</v>
      </c>
      <c r="E275">
        <f t="shared" si="901"/>
        <v>0</v>
      </c>
      <c r="F275">
        <f t="shared" si="901"/>
        <v>0</v>
      </c>
      <c r="G275">
        <f t="shared" si="901"/>
        <v>0</v>
      </c>
      <c r="H275">
        <f t="shared" si="901"/>
        <v>0</v>
      </c>
      <c r="I275">
        <f t="shared" si="901"/>
        <v>0</v>
      </c>
      <c r="J275">
        <f t="shared" si="901"/>
        <v>0</v>
      </c>
      <c r="K275">
        <f t="shared" si="901"/>
        <v>0</v>
      </c>
      <c r="L275">
        <f t="shared" si="901"/>
        <v>0</v>
      </c>
      <c r="M275">
        <f t="shared" si="901"/>
        <v>0</v>
      </c>
      <c r="N275">
        <f t="shared" si="901"/>
        <v>0</v>
      </c>
      <c r="O275">
        <f t="shared" si="901"/>
        <v>0</v>
      </c>
    </row>
    <row r="276" spans="1:32" ht="17.149999999999999" x14ac:dyDescent="0.55000000000000004">
      <c r="A276" s="11"/>
      <c r="B276" s="11" t="str">
        <f t="shared" si="788"/>
        <v>Portland</v>
      </c>
      <c r="C276" s="11" t="s">
        <v>588</v>
      </c>
      <c r="D276" s="11">
        <f>IFERROR(D272*D273+D274*D275,0)</f>
        <v>130</v>
      </c>
      <c r="E276" s="11">
        <f t="shared" ref="E276" si="902">IFERROR(E272*E273+E274*E275,0)</f>
        <v>130</v>
      </c>
      <c r="F276" s="11">
        <f t="shared" ref="F276" si="903">IFERROR(F272*F273+F274*F275,0)</f>
        <v>130</v>
      </c>
      <c r="G276" s="11">
        <f t="shared" ref="G276" si="904">IFERROR(G272*G273+G274*G275,0)</f>
        <v>130</v>
      </c>
      <c r="H276" s="11">
        <f t="shared" ref="H276" si="905">IFERROR(H272*H273+H274*H275,0)</f>
        <v>130</v>
      </c>
      <c r="I276" s="11">
        <f t="shared" ref="I276" si="906">IFERROR(I272*I273+I274*I275,0)</f>
        <v>130</v>
      </c>
      <c r="J276" s="11">
        <f t="shared" ref="J276" si="907">IFERROR(J272*J273+J274*J275,0)</f>
        <v>130</v>
      </c>
      <c r="K276" s="11">
        <f t="shared" ref="K276" si="908">IFERROR(K272*K273+K274*K275,0)</f>
        <v>130</v>
      </c>
      <c r="L276" s="11">
        <f t="shared" ref="L276" si="909">IFERROR(L272*L273+L274*L275,0)</f>
        <v>130</v>
      </c>
      <c r="M276" s="11">
        <f t="shared" ref="M276" si="910">IFERROR(M272*M273+M274*M275,0)</f>
        <v>130</v>
      </c>
      <c r="N276" s="11">
        <f t="shared" ref="N276" si="911">IFERROR(N272*N273+N274*N275,0)</f>
        <v>130</v>
      </c>
      <c r="O276" s="11">
        <f t="shared" ref="O276" si="912">IFERROR(O272*O273+O274*O275,0)</f>
        <v>130</v>
      </c>
      <c r="P276" s="11"/>
      <c r="Q276" s="11"/>
      <c r="R276" s="11"/>
      <c r="S276" s="11"/>
      <c r="T276" s="11"/>
      <c r="U276" s="11"/>
      <c r="V276" s="11"/>
      <c r="W276" s="11"/>
      <c r="X276" s="11"/>
      <c r="Y276" s="11"/>
      <c r="Z276" s="11"/>
      <c r="AA276" s="11"/>
      <c r="AB276" s="11"/>
      <c r="AC276" s="11"/>
      <c r="AD276" s="11"/>
      <c r="AE276" s="11"/>
      <c r="AF276" s="11"/>
    </row>
    <row r="277" spans="1:32" ht="17.149999999999999" x14ac:dyDescent="0.55000000000000004">
      <c r="A277" t="str" cm="1">
        <f t="array" ref="A277">INDEX(FX_Input,$Q277,R$5)</f>
        <v>FX - 9</v>
      </c>
      <c r="B277" t="str" cm="1">
        <f t="array" ref="B277">INDEX(FX_Input,Q277,S277)</f>
        <v>Portland</v>
      </c>
      <c r="C277" t="s">
        <v>563</v>
      </c>
      <c r="D277">
        <v>14.7</v>
      </c>
      <c r="E277">
        <v>14.7</v>
      </c>
      <c r="F277">
        <v>14.7</v>
      </c>
      <c r="G277">
        <v>14.7</v>
      </c>
      <c r="H277">
        <v>14.7</v>
      </c>
      <c r="I277">
        <v>14.7</v>
      </c>
      <c r="J277">
        <v>14.7</v>
      </c>
      <c r="K277">
        <v>14.7</v>
      </c>
      <c r="L277">
        <v>14.7</v>
      </c>
      <c r="M277">
        <v>14.7</v>
      </c>
      <c r="N277">
        <v>14.7</v>
      </c>
      <c r="O277">
        <v>14.7</v>
      </c>
      <c r="Q277">
        <f>Q243+2</f>
        <v>17</v>
      </c>
      <c r="R277">
        <v>1</v>
      </c>
      <c r="S277">
        <v>3</v>
      </c>
      <c r="T277">
        <v>1</v>
      </c>
      <c r="U277">
        <v>19</v>
      </c>
      <c r="V277">
        <v>20</v>
      </c>
      <c r="W277">
        <v>25</v>
      </c>
      <c r="X277">
        <v>1</v>
      </c>
      <c r="Y277">
        <v>2</v>
      </c>
      <c r="Z277">
        <f>(W277-V277)/(Y277-X277)</f>
        <v>5</v>
      </c>
      <c r="AA277">
        <f>V277-Z277*X277</f>
        <v>15</v>
      </c>
      <c r="AD277">
        <f>AD243+14</f>
        <v>113</v>
      </c>
      <c r="AF277">
        <f>AF243+14</f>
        <v>113</v>
      </c>
    </row>
    <row r="278" spans="1:32" ht="17.149999999999999" x14ac:dyDescent="0.55000000000000004">
      <c r="B278" t="str">
        <f t="shared" ref="B278" si="913">B277</f>
        <v>Portland</v>
      </c>
      <c r="C278" t="s">
        <v>564</v>
      </c>
      <c r="D278" cm="1">
        <f t="array" ref="D278">IF(ISBLANK(INDEX(FX_Input,$Q277,$AB278)),0.03,INDEX(FX_Input,Q277,AB278))</f>
        <v>0.03</v>
      </c>
      <c r="E278" cm="1">
        <f t="array" ref="E278">IF(ISBLANK(INDEX(FX_Input,$Q277,$AB278)),0.03,INDEX(FX_Input,R277,#REF!))</f>
        <v>0.03</v>
      </c>
      <c r="F278" cm="1">
        <f t="array" ref="F278">IF(ISBLANK(INDEX(FX_Input,$Q277,$AB278)),0.03,INDEX(FX_Input,S277,#REF!))</f>
        <v>0.03</v>
      </c>
      <c r="G278" cm="1">
        <f t="array" ref="G278">IF(ISBLANK(INDEX(FX_Input,$Q277,$AB278)),0.03,INDEX(FX_Input,AB277,#REF!))</f>
        <v>0.03</v>
      </c>
      <c r="H278" cm="1">
        <f t="array" ref="H278">IF(ISBLANK(INDEX(FX_Input,$Q277,$AB278)),0.03,INDEX(FX_Input,#REF!,#REF!))</f>
        <v>0.03</v>
      </c>
      <c r="I278" cm="1">
        <f t="array" ref="I278">IF(ISBLANK(INDEX(FX_Input,$Q277,$AB278)),0.03,INDEX(FX_Input,#REF!,#REF!))</f>
        <v>0.03</v>
      </c>
      <c r="J278" cm="1">
        <f t="array" ref="J278">IF(ISBLANK(INDEX(FX_Input,$Q277,$AB278)),0.03,INDEX(FX_Input,#REF!,#REF!))</f>
        <v>0.03</v>
      </c>
      <c r="K278" cm="1">
        <f t="array" ref="K278">IF(ISBLANK(INDEX(FX_Input,$Q277,$AB278)),0.03,INDEX(FX_Input,#REF!,AC278))</f>
        <v>0.03</v>
      </c>
      <c r="L278" cm="1">
        <f t="array" ref="L278">IF(ISBLANK(INDEX(FX_Input,$Q277,$AB278)),0.03,INDEX(FX_Input,#REF!,AD278))</f>
        <v>0.03</v>
      </c>
      <c r="M278" cm="1">
        <f t="array" ref="M278">IF(ISBLANK(INDEX(FX_Input,$Q277,$AB278)),0.03,INDEX(FX_Input,#REF!,#REF!))</f>
        <v>0.03</v>
      </c>
      <c r="N278" cm="1">
        <f t="array" ref="N278">IF(ISBLANK(INDEX(FX_Input,$Q277,$AB278)),0.03,INDEX(FX_Input,AC277,#REF!))</f>
        <v>0.03</v>
      </c>
      <c r="O278" cm="1">
        <f t="array" ref="O278">IF(ISBLANK(INDEX(FX_Input,$Q277,$AB278)),0.03,INDEX(FX_Input,AD277,#REF!))</f>
        <v>0.03</v>
      </c>
      <c r="AB278">
        <v>15</v>
      </c>
    </row>
    <row r="279" spans="1:32" ht="17.149999999999999" x14ac:dyDescent="0.55000000000000004">
      <c r="B279" t="str">
        <f>B278</f>
        <v>Portland</v>
      </c>
      <c r="C279" t="s">
        <v>565</v>
      </c>
      <c r="D279" cm="1">
        <f t="array" ref="D279">IF(ISBLANK(INDEX(FX_Input,$Q277,$AB279)),-0.03,INDEX(FX_Input,$Q277,$AB279))</f>
        <v>-0.03</v>
      </c>
      <c r="E279" cm="1">
        <f t="array" ref="E279">IF(ISBLANK(INDEX(FX_Input,$Q277,$AB279)),-0.03,INDEX(FX_Input,R277,#REF!))</f>
        <v>-0.03</v>
      </c>
      <c r="F279" cm="1">
        <f t="array" ref="F279">IF(ISBLANK(INDEX(FX_Input,$Q277,$AB279)),-0.03,INDEX(FX_Input,S277,#REF!))</f>
        <v>-0.03</v>
      </c>
      <c r="G279" cm="1">
        <f t="array" ref="G279">IF(ISBLANK(INDEX(FX_Input,$Q277,$AB279)),-0.03,INDEX(FX_Input,AB277,#REF!))</f>
        <v>-0.03</v>
      </c>
      <c r="H279" cm="1">
        <f t="array" ref="H279">IF(ISBLANK(INDEX(FX_Input,$Q277,$AB279)),-0.03,INDEX(FX_Input,#REF!,#REF!))</f>
        <v>-0.03</v>
      </c>
      <c r="I279" cm="1">
        <f t="array" ref="I279">IF(ISBLANK(INDEX(FX_Input,$Q277,$AB279)),-0.03,INDEX(FX_Input,#REF!,#REF!))</f>
        <v>-0.03</v>
      </c>
      <c r="J279" cm="1">
        <f t="array" ref="J279">IF(ISBLANK(INDEX(FX_Input,$Q277,$AB279)),-0.03,INDEX(FX_Input,#REF!,#REF!))</f>
        <v>-0.03</v>
      </c>
      <c r="K279" cm="1">
        <f t="array" ref="K279">IF(ISBLANK(INDEX(FX_Input,$Q277,$AB279)),-0.03,INDEX(FX_Input,#REF!,AC279))</f>
        <v>-0.03</v>
      </c>
      <c r="L279" cm="1">
        <f t="array" ref="L279">IF(ISBLANK(INDEX(FX_Input,$Q277,$AB279)),-0.03,INDEX(FX_Input,#REF!,AD279))</f>
        <v>-0.03</v>
      </c>
      <c r="M279" cm="1">
        <f t="array" ref="M279">IF(ISBLANK(INDEX(FX_Input,$Q277,$AB279)),-0.03,INDEX(FX_Input,#REF!,#REF!))</f>
        <v>-0.03</v>
      </c>
      <c r="N279" cm="1">
        <f t="array" ref="N279">IF(ISBLANK(INDEX(FX_Input,$Q277,$AB279)),-0.03,INDEX(FX_Input,AC277,#REF!))</f>
        <v>-0.03</v>
      </c>
      <c r="O279" cm="1">
        <f t="array" ref="O279">IF(ISBLANK(INDEX(FX_Input,$Q277,$AB279)),-0.03,INDEX(FX_Input,AD277,#REF!))</f>
        <v>-0.03</v>
      </c>
      <c r="AB279">
        <v>16</v>
      </c>
    </row>
    <row r="280" spans="1:32" x14ac:dyDescent="0.4">
      <c r="B280" t="str">
        <f t="shared" ref="B280:B281" si="914">B279</f>
        <v>Portland</v>
      </c>
      <c r="C280" s="66" t="s">
        <v>567</v>
      </c>
      <c r="D280" t="str" cm="1">
        <f t="array" ref="D280">INDEX(FX_Multi,$AD280,D$3)</f>
        <v>Jet kerosene</v>
      </c>
      <c r="E280" t="str" cm="1">
        <f t="array" ref="E280">INDEX(FX_Multi,$AD280,E$3)</f>
        <v>Jet kerosene</v>
      </c>
      <c r="F280" t="str" cm="1">
        <f t="array" ref="F280">INDEX(FX_Multi,$AD280,F$3)</f>
        <v>Jet kerosene</v>
      </c>
      <c r="G280" t="str" cm="1">
        <f t="array" ref="G280">INDEX(FX_Multi,$AD280,G$3)</f>
        <v>Jet kerosene</v>
      </c>
      <c r="H280" t="str" cm="1">
        <f t="array" ref="H280">INDEX(FX_Multi,$AD280,H$3)</f>
        <v>Jet kerosene</v>
      </c>
      <c r="I280" t="str" cm="1">
        <f t="array" ref="I280">INDEX(FX_Multi,$AD280,I$3)</f>
        <v>Jet kerosene</v>
      </c>
      <c r="J280" t="str" cm="1">
        <f t="array" ref="J280">INDEX(FX_Multi,$AD280,J$3)</f>
        <v>Jet kerosene</v>
      </c>
      <c r="K280" t="str" cm="1">
        <f t="array" ref="K280">INDEX(FX_Multi,$AD280,K$3)</f>
        <v>Jet kerosene</v>
      </c>
      <c r="L280" t="str" cm="1">
        <f t="array" ref="L280">INDEX(FX_Multi,$AD280,L$3)</f>
        <v>Jet kerosene</v>
      </c>
      <c r="M280" t="str" cm="1">
        <f t="array" ref="M280">INDEX(FX_Multi,$AD280,M$3)</f>
        <v>Jet kerosene</v>
      </c>
      <c r="N280" t="str" cm="1">
        <f t="array" ref="N280">INDEX(FX_Multi,$AD280,N$3)</f>
        <v>Jet kerosene</v>
      </c>
      <c r="O280" t="str" cm="1">
        <f t="array" ref="O280">INDEX(FX_Multi,$AD280,O$3)</f>
        <v>Jet kerosene</v>
      </c>
      <c r="AC280">
        <v>1</v>
      </c>
      <c r="AD280">
        <f>AD277</f>
        <v>113</v>
      </c>
      <c r="AE280">
        <v>1</v>
      </c>
      <c r="AF280">
        <f>AF277</f>
        <v>113</v>
      </c>
    </row>
    <row r="281" spans="1:32" x14ac:dyDescent="0.4">
      <c r="B281" t="str">
        <f t="shared" si="914"/>
        <v>Portland</v>
      </c>
      <c r="C281" s="66" t="s">
        <v>566</v>
      </c>
      <c r="D281" t="str" cm="1">
        <f t="array" ref="D281">INDEX(FX_Multi,$AD281,D$3)</f>
        <v>Select Pet Stock</v>
      </c>
      <c r="E281" t="str" cm="1">
        <f t="array" ref="E281">INDEX(FX_Multi,$AD281,E$3)</f>
        <v>Select Pet Stock</v>
      </c>
      <c r="F281" t="str" cm="1">
        <f t="array" ref="F281">INDEX(FX_Multi,$AD281,F$3)</f>
        <v>Select Pet Stock</v>
      </c>
      <c r="G281" t="str" cm="1">
        <f t="array" ref="G281">INDEX(FX_Multi,$AD281,G$3)</f>
        <v>Select Pet Stock</v>
      </c>
      <c r="H281" t="str" cm="1">
        <f t="array" ref="H281">INDEX(FX_Multi,$AD281,H$3)</f>
        <v>Select Pet Stock</v>
      </c>
      <c r="I281" t="str" cm="1">
        <f t="array" ref="I281">INDEX(FX_Multi,$AD281,I$3)</f>
        <v>Select Pet Stock</v>
      </c>
      <c r="J281" t="str" cm="1">
        <f t="array" ref="J281">INDEX(FX_Multi,$AD281,J$3)</f>
        <v>Select Pet Stock</v>
      </c>
      <c r="K281" t="str" cm="1">
        <f t="array" ref="K281">INDEX(FX_Multi,$AD281,K$3)</f>
        <v>Select Pet Stock</v>
      </c>
      <c r="L281" t="str" cm="1">
        <f t="array" ref="L281">INDEX(FX_Multi,$AD281,L$3)</f>
        <v>Select Pet Stock</v>
      </c>
      <c r="M281" t="str" cm="1">
        <f t="array" ref="M281">INDEX(FX_Multi,$AD281,M$3)</f>
        <v>Select Pet Stock</v>
      </c>
      <c r="N281" t="str" cm="1">
        <f t="array" ref="N281">INDEX(FX_Multi,$AD281,N$3)</f>
        <v>Select Pet Stock</v>
      </c>
      <c r="O281" t="str" cm="1">
        <f t="array" ref="O281">INDEX(FX_Multi,$AD281,O$3)</f>
        <v>Select Pet Stock</v>
      </c>
      <c r="AC281">
        <v>1</v>
      </c>
      <c r="AD281">
        <f>AD280+2</f>
        <v>115</v>
      </c>
      <c r="AE281">
        <v>1</v>
      </c>
      <c r="AF281">
        <f>AF280+3</f>
        <v>116</v>
      </c>
    </row>
    <row r="282" spans="1:32" x14ac:dyDescent="0.4">
      <c r="B282" t="str">
        <f>B278</f>
        <v>Portland</v>
      </c>
      <c r="C282" s="66" t="s">
        <v>568</v>
      </c>
      <c r="D282" cm="1">
        <f t="array" ref="D282">INDEX(FX_Multi,$AD282,D$3)</f>
        <v>0</v>
      </c>
      <c r="E282" cm="1">
        <f t="array" ref="E282">INDEX(FX_Multi,$AD282,E$3)</f>
        <v>0</v>
      </c>
      <c r="F282" cm="1">
        <f t="array" ref="F282">INDEX(FX_Multi,$AD282,F$3)</f>
        <v>0</v>
      </c>
      <c r="G282" cm="1">
        <f t="array" ref="G282">INDEX(FX_Multi,$AD282,G$3)</f>
        <v>0</v>
      </c>
      <c r="H282" cm="1">
        <f t="array" ref="H282">INDEX(FX_Multi,$AD282,H$3)</f>
        <v>0</v>
      </c>
      <c r="I282" cm="1">
        <f t="array" ref="I282">INDEX(FX_Multi,$AD282,I$3)</f>
        <v>0</v>
      </c>
      <c r="J282" cm="1">
        <f t="array" ref="J282">INDEX(FX_Multi,$AD282,J$3)</f>
        <v>0</v>
      </c>
      <c r="K282" cm="1">
        <f t="array" ref="K282">INDEX(FX_Multi,$AD282,K$3)</f>
        <v>0</v>
      </c>
      <c r="L282" cm="1">
        <f t="array" ref="L282">INDEX(FX_Multi,$AD282,L$3)</f>
        <v>0</v>
      </c>
      <c r="M282" cm="1">
        <f t="array" ref="M282">INDEX(FX_Multi,$AD282,M$3)</f>
        <v>0</v>
      </c>
      <c r="N282" cm="1">
        <f t="array" ref="N282">INDEX(FX_Multi,$AD282,N$3)</f>
        <v>0</v>
      </c>
      <c r="O282" cm="1">
        <f t="array" ref="O282">INDEX(FX_Multi,$AD282,O$3)</f>
        <v>0</v>
      </c>
      <c r="AC282">
        <v>1</v>
      </c>
      <c r="AD282">
        <f>AD281-1</f>
        <v>114</v>
      </c>
      <c r="AE282">
        <v>1</v>
      </c>
      <c r="AF282">
        <f>AF280+1</f>
        <v>114</v>
      </c>
    </row>
    <row r="283" spans="1:32" x14ac:dyDescent="0.4">
      <c r="B283" t="str">
        <f t="shared" ref="B283:B287" si="915">B282</f>
        <v>Portland</v>
      </c>
      <c r="C283" s="66" t="s">
        <v>569</v>
      </c>
      <c r="D283" cm="1">
        <f t="array" ref="D283">INDEX(FX_Multi,$AD283,D$3)</f>
        <v>0</v>
      </c>
      <c r="E283" cm="1">
        <f t="array" ref="E283">INDEX(FX_Multi,$AD283,E$3)</f>
        <v>0</v>
      </c>
      <c r="F283" cm="1">
        <f t="array" ref="F283">INDEX(FX_Multi,$AD283,F$3)</f>
        <v>0</v>
      </c>
      <c r="G283" cm="1">
        <f t="array" ref="G283">INDEX(FX_Multi,$AD283,G$3)</f>
        <v>0</v>
      </c>
      <c r="H283" cm="1">
        <f t="array" ref="H283">INDEX(FX_Multi,$AD283,H$3)</f>
        <v>0</v>
      </c>
      <c r="I283" cm="1">
        <f t="array" ref="I283">INDEX(FX_Multi,$AD283,I$3)</f>
        <v>0</v>
      </c>
      <c r="J283" cm="1">
        <f t="array" ref="J283">INDEX(FX_Multi,$AD283,J$3)</f>
        <v>0</v>
      </c>
      <c r="K283" cm="1">
        <f t="array" ref="K283">INDEX(FX_Multi,$AD283,K$3)</f>
        <v>0</v>
      </c>
      <c r="L283" cm="1">
        <f t="array" ref="L283">INDEX(FX_Multi,$AD283,L$3)</f>
        <v>0</v>
      </c>
      <c r="M283" cm="1">
        <f t="array" ref="M283">INDEX(FX_Multi,$AD283,M$3)</f>
        <v>0</v>
      </c>
      <c r="N283" cm="1">
        <f t="array" ref="N283">INDEX(FX_Multi,$AD283,N$3)</f>
        <v>0</v>
      </c>
      <c r="O283" cm="1">
        <f t="array" ref="O283">INDEX(FX_Multi,$AD283,O$3)</f>
        <v>0</v>
      </c>
      <c r="AC283">
        <v>1</v>
      </c>
      <c r="AD283">
        <f>AD282+2</f>
        <v>116</v>
      </c>
      <c r="AE283">
        <v>1</v>
      </c>
      <c r="AF283">
        <f>AF281</f>
        <v>116</v>
      </c>
    </row>
    <row r="284" spans="1:32" ht="17.149999999999999" x14ac:dyDescent="0.55000000000000004">
      <c r="B284" t="str">
        <f t="shared" si="915"/>
        <v>Portland</v>
      </c>
      <c r="C284" t="s">
        <v>570</v>
      </c>
      <c r="D284" cm="1">
        <f t="array" ref="D284">INDEX(FX_Multi,$AD284,D$3)</f>
        <v>1</v>
      </c>
      <c r="E284" cm="1">
        <f t="array" ref="E284">INDEX(FX_Multi,$AD284,E$3)</f>
        <v>1</v>
      </c>
      <c r="F284" cm="1">
        <f t="array" ref="F284">INDEX(FX_Multi,$AD284,F$3)</f>
        <v>1</v>
      </c>
      <c r="G284" cm="1">
        <f t="array" ref="G284">INDEX(FX_Multi,$AD284,G$3)</f>
        <v>1</v>
      </c>
      <c r="H284" cm="1">
        <f t="array" ref="H284">INDEX(FX_Multi,$AD284,H$3)</f>
        <v>1</v>
      </c>
      <c r="I284" cm="1">
        <f t="array" ref="I284">INDEX(FX_Multi,$AD284,I$3)</f>
        <v>1</v>
      </c>
      <c r="J284" cm="1">
        <f t="array" ref="J284">INDEX(FX_Multi,$AD284,J$3)</f>
        <v>1</v>
      </c>
      <c r="K284" cm="1">
        <f t="array" ref="K284">INDEX(FX_Multi,$AD284,K$3)</f>
        <v>1</v>
      </c>
      <c r="L284" cm="1">
        <f t="array" ref="L284">INDEX(FX_Multi,$AD284,L$3)</f>
        <v>1</v>
      </c>
      <c r="M284" cm="1">
        <f t="array" ref="M284">INDEX(FX_Multi,$AD284,M$3)</f>
        <v>1</v>
      </c>
      <c r="N284" cm="1">
        <f t="array" ref="N284">INDEX(FX_Multi,$AD284,N$3)</f>
        <v>1</v>
      </c>
      <c r="O284" cm="1">
        <f t="array" ref="O284">INDEX(FX_Multi,$AD284,O$3)</f>
        <v>1</v>
      </c>
      <c r="AC284">
        <v>1</v>
      </c>
      <c r="AD284">
        <f>AD283+6</f>
        <v>122</v>
      </c>
      <c r="AE284">
        <v>1</v>
      </c>
      <c r="AF284">
        <f>AF280+9</f>
        <v>122</v>
      </c>
    </row>
    <row r="285" spans="1:32" ht="17.149999999999999" x14ac:dyDescent="0.55000000000000004">
      <c r="B285" t="str">
        <f t="shared" si="915"/>
        <v>Portland</v>
      </c>
      <c r="C285" t="s">
        <v>571</v>
      </c>
      <c r="D285" cm="1">
        <f t="array" ref="D285">INDEX(FX_Multi,$AD285,D$3)</f>
        <v>162</v>
      </c>
      <c r="E285" cm="1">
        <f t="array" ref="E285">INDEX(FX_Multi,$AD285,E$3)</f>
        <v>162</v>
      </c>
      <c r="F285" cm="1">
        <f t="array" ref="F285">INDEX(FX_Multi,$AD285,F$3)</f>
        <v>162</v>
      </c>
      <c r="G285" cm="1">
        <f t="array" ref="G285">INDEX(FX_Multi,$AD285,G$3)</f>
        <v>162</v>
      </c>
      <c r="H285" cm="1">
        <f t="array" ref="H285">INDEX(FX_Multi,$AD285,H$3)</f>
        <v>162</v>
      </c>
      <c r="I285" cm="1">
        <f t="array" ref="I285">INDEX(FX_Multi,$AD285,I$3)</f>
        <v>162</v>
      </c>
      <c r="J285" cm="1">
        <f t="array" ref="J285">INDEX(FX_Multi,$AD285,J$3)</f>
        <v>162</v>
      </c>
      <c r="K285" cm="1">
        <f t="array" ref="K285">INDEX(FX_Multi,$AD285,K$3)</f>
        <v>162</v>
      </c>
      <c r="L285" cm="1">
        <f t="array" ref="L285">INDEX(FX_Multi,$AD285,L$3)</f>
        <v>162</v>
      </c>
      <c r="M285" cm="1">
        <f t="array" ref="M285">INDEX(FX_Multi,$AD285,M$3)</f>
        <v>162</v>
      </c>
      <c r="N285" cm="1">
        <f t="array" ref="N285">INDEX(FX_Multi,$AD285,N$3)</f>
        <v>162</v>
      </c>
      <c r="O285" cm="1">
        <f t="array" ref="O285">INDEX(FX_Multi,$AD285,O$3)</f>
        <v>162</v>
      </c>
      <c r="AC285">
        <v>1</v>
      </c>
      <c r="AD285">
        <f>AD284-3</f>
        <v>119</v>
      </c>
      <c r="AE285">
        <v>1</v>
      </c>
      <c r="AF285">
        <f>AF280+6</f>
        <v>119</v>
      </c>
    </row>
    <row r="286" spans="1:32" ht="17.149999999999999" x14ac:dyDescent="0.55000000000000004">
      <c r="B286" t="str">
        <f t="shared" si="915"/>
        <v>Portland</v>
      </c>
      <c r="C286" t="s">
        <v>572</v>
      </c>
      <c r="D286" cm="1">
        <f t="array" ref="D286">INDEX(FX_Multi,$AD286,D$3)</f>
        <v>0</v>
      </c>
      <c r="E286" cm="1">
        <f t="array" ref="E286">INDEX(FX_Multi,$AD286,E$3)</f>
        <v>0</v>
      </c>
      <c r="F286" cm="1">
        <f t="array" ref="F286">INDEX(FX_Multi,$AD286,F$3)</f>
        <v>0</v>
      </c>
      <c r="G286" cm="1">
        <f t="array" ref="G286">INDEX(FX_Multi,$AD286,G$3)</f>
        <v>0</v>
      </c>
      <c r="H286" cm="1">
        <f t="array" ref="H286">INDEX(FX_Multi,$AD286,H$3)</f>
        <v>0</v>
      </c>
      <c r="I286" cm="1">
        <f t="array" ref="I286">INDEX(FX_Multi,$AD286,I$3)</f>
        <v>0</v>
      </c>
      <c r="J286" cm="1">
        <f t="array" ref="J286">INDEX(FX_Multi,$AD286,J$3)</f>
        <v>0</v>
      </c>
      <c r="K286" cm="1">
        <f t="array" ref="K286">INDEX(FX_Multi,$AD286,K$3)</f>
        <v>0</v>
      </c>
      <c r="L286" cm="1">
        <f t="array" ref="L286">INDEX(FX_Multi,$AD286,L$3)</f>
        <v>0</v>
      </c>
      <c r="M286" cm="1">
        <f t="array" ref="M286">INDEX(FX_Multi,$AD286,M$3)</f>
        <v>0</v>
      </c>
      <c r="N286" cm="1">
        <f t="array" ref="N286">INDEX(FX_Multi,$AD286,N$3)</f>
        <v>0</v>
      </c>
      <c r="O286" cm="1">
        <f t="array" ref="O286">INDEX(FX_Multi,$AD286,O$3)</f>
        <v>0</v>
      </c>
      <c r="AC286">
        <v>1</v>
      </c>
      <c r="AD286">
        <f>AD285+4</f>
        <v>123</v>
      </c>
      <c r="AE286">
        <v>1</v>
      </c>
      <c r="AF286">
        <f>AF280+10</f>
        <v>123</v>
      </c>
    </row>
    <row r="287" spans="1:32" ht="17.149999999999999" x14ac:dyDescent="0.55000000000000004">
      <c r="B287" t="str">
        <f t="shared" si="915"/>
        <v>Portland</v>
      </c>
      <c r="C287" t="s">
        <v>573</v>
      </c>
      <c r="D287" cm="1">
        <f t="array" ref="D287">INDEX(FX_Multi,$AD287,D$3)</f>
        <v>0</v>
      </c>
      <c r="E287" cm="1">
        <f t="array" ref="E287">INDEX(FX_Multi,$AD287,E$3)</f>
        <v>0</v>
      </c>
      <c r="F287" cm="1">
        <f t="array" ref="F287">INDEX(FX_Multi,$AD287,F$3)</f>
        <v>0</v>
      </c>
      <c r="G287" cm="1">
        <f t="array" ref="G287">INDEX(FX_Multi,$AD287,G$3)</f>
        <v>0</v>
      </c>
      <c r="H287" cm="1">
        <f t="array" ref="H287">INDEX(FX_Multi,$AD287,H$3)</f>
        <v>0</v>
      </c>
      <c r="I287" cm="1">
        <f t="array" ref="I287">INDEX(FX_Multi,$AD287,I$3)</f>
        <v>0</v>
      </c>
      <c r="J287" cm="1">
        <f t="array" ref="J287">INDEX(FX_Multi,$AD287,J$3)</f>
        <v>0</v>
      </c>
      <c r="K287" cm="1">
        <f t="array" ref="K287">INDEX(FX_Multi,$AD287,K$3)</f>
        <v>0</v>
      </c>
      <c r="L287" cm="1">
        <f t="array" ref="L287">INDEX(FX_Multi,$AD287,L$3)</f>
        <v>0</v>
      </c>
      <c r="M287" cm="1">
        <f t="array" ref="M287">INDEX(FX_Multi,$AD287,M$3)</f>
        <v>0</v>
      </c>
      <c r="N287" cm="1">
        <f t="array" ref="N287">INDEX(FX_Multi,$AD287,N$3)</f>
        <v>0</v>
      </c>
      <c r="O287" cm="1">
        <f t="array" ref="O287">INDEX(FX_Multi,$AD287,O$3)</f>
        <v>0</v>
      </c>
      <c r="AC287">
        <v>1</v>
      </c>
      <c r="AD287">
        <f>AD286-3</f>
        <v>120</v>
      </c>
      <c r="AE287">
        <v>1</v>
      </c>
      <c r="AF287">
        <f>AF280+7</f>
        <v>120</v>
      </c>
    </row>
    <row r="288" spans="1:32" ht="17.149999999999999" x14ac:dyDescent="0.55000000000000004">
      <c r="B288" t="str">
        <f>B283</f>
        <v>Portland</v>
      </c>
      <c r="C288" t="s">
        <v>526</v>
      </c>
      <c r="D288" cm="1">
        <f t="array" ref="D288">INDEX(FX_Temps,$AF288,D$3)</f>
        <v>42.403099999999938</v>
      </c>
      <c r="E288" cm="1">
        <f t="array" ref="E288">INDEX(FX_Temps,$AF288,E$3)</f>
        <v>43.080000000000041</v>
      </c>
      <c r="F288" cm="1">
        <f t="array" ref="F288">INDEX(FX_Temps,$AF288,F$3)</f>
        <v>44.95089999999999</v>
      </c>
      <c r="G288" cm="1">
        <f t="array" ref="G288">INDEX(FX_Temps,$AF288,G$3)</f>
        <v>48.048400000000015</v>
      </c>
      <c r="H288" cm="1">
        <f t="array" ref="H288">INDEX(FX_Temps,$AF288,H$3)</f>
        <v>53.102899999999977</v>
      </c>
      <c r="I288" cm="1">
        <f t="array" ref="I288">INDEX(FX_Temps,$AF288,I$3)</f>
        <v>57.215900000000033</v>
      </c>
      <c r="J288" cm="1">
        <f t="array" ref="J288">INDEX(FX_Temps,$AF288,J$3)</f>
        <v>60.813599999999838</v>
      </c>
      <c r="K288" cm="1">
        <f t="array" ref="K288">INDEX(FX_Temps,$AF288,K$3)</f>
        <v>60.716400000000021</v>
      </c>
      <c r="L288" cm="1">
        <f t="array" ref="L288">INDEX(FX_Temps,$AF288,L$3)</f>
        <v>57.353200000000015</v>
      </c>
      <c r="M288" cm="1">
        <f t="array" ref="M288">INDEX(FX_Temps,$AF288,M$3)</f>
        <v>50.947600000000079</v>
      </c>
      <c r="N288" cm="1">
        <f t="array" ref="N288">INDEX(FX_Temps,$AF288,N$3)</f>
        <v>45.324700000000007</v>
      </c>
      <c r="O288" cm="1">
        <f t="array" ref="O288">INDEX(FX_Temps,$AF288,O$3)</f>
        <v>42.113400000000013</v>
      </c>
      <c r="AE288">
        <v>1</v>
      </c>
      <c r="AF288">
        <f>AF280+10</f>
        <v>123</v>
      </c>
    </row>
    <row r="289" spans="2:32" ht="17.149999999999999" x14ac:dyDescent="0.55000000000000004">
      <c r="B289" t="str">
        <f t="shared" ref="B289:B310" si="916">B288</f>
        <v>Portland</v>
      </c>
      <c r="C289" t="s">
        <v>527</v>
      </c>
      <c r="D289" cm="1">
        <f t="array" ref="D289">INDEX(FX_Temps,$AF289,D$3)</f>
        <v>46.563099999999963</v>
      </c>
      <c r="E289" cm="1">
        <f t="array" ref="E289">INDEX(FX_Temps,$AF289,E$3)</f>
        <v>48.360000000000014</v>
      </c>
      <c r="F289" cm="1">
        <f t="array" ref="F289">INDEX(FX_Temps,$AF289,F$3)</f>
        <v>50.230900000000076</v>
      </c>
      <c r="G289" cm="1">
        <f t="array" ref="G289">INDEX(FX_Temps,$AF289,G$3)</f>
        <v>53.408400000000029</v>
      </c>
      <c r="H289" cm="1">
        <f t="array" ref="H289">INDEX(FX_Temps,$AF289,H$3)</f>
        <v>58.422899999999913</v>
      </c>
      <c r="I289" cm="1">
        <f t="array" ref="I289">INDEX(FX_Temps,$AF289,I$3)</f>
        <v>62.215900000000033</v>
      </c>
      <c r="J289" cm="1">
        <f t="array" ref="J289">INDEX(FX_Temps,$AF289,J$3)</f>
        <v>65.893599999999878</v>
      </c>
      <c r="K289" cm="1">
        <f t="array" ref="K289">INDEX(FX_Temps,$AF289,K$3)</f>
        <v>66.156400000000076</v>
      </c>
      <c r="L289" cm="1">
        <f t="array" ref="L289">INDEX(FX_Temps,$AF289,L$3)</f>
        <v>63.913199999999961</v>
      </c>
      <c r="M289" cm="1">
        <f t="array" ref="M289">INDEX(FX_Temps,$AF289,M$3)</f>
        <v>56.827600000000075</v>
      </c>
      <c r="N289" cm="1">
        <f t="array" ref="N289">INDEX(FX_Temps,$AF289,N$3)</f>
        <v>50.204700000000003</v>
      </c>
      <c r="O289" cm="1">
        <f t="array" ref="O289">INDEX(FX_Temps,$AF289,O$3)</f>
        <v>46.113400000000013</v>
      </c>
      <c r="AE289">
        <f>AE288</f>
        <v>1</v>
      </c>
      <c r="AF289">
        <f>AF280+11</f>
        <v>124</v>
      </c>
    </row>
    <row r="290" spans="2:32" ht="17.149999999999999" x14ac:dyDescent="0.55000000000000004">
      <c r="B290" t="str">
        <f t="shared" si="916"/>
        <v>Portland</v>
      </c>
      <c r="C290" t="s">
        <v>552</v>
      </c>
      <c r="D290" cm="1">
        <f t="array" ref="D290">INDEX(FX_Temps,$AF290,D$3)</f>
        <v>44.748924999999986</v>
      </c>
      <c r="E290" cm="1">
        <f t="array" ref="E290">INDEX(FX_Temps,$AF290,E$3)</f>
        <v>46.185000000000059</v>
      </c>
      <c r="F290" cm="1">
        <f t="array" ref="F290">INDEX(FX_Temps,$AF290,F$3)</f>
        <v>48.270575000000008</v>
      </c>
      <c r="G290" cm="1">
        <f t="array" ref="G290">INDEX(FX_Temps,$AF290,G$3)</f>
        <v>51.698699999999917</v>
      </c>
      <c r="H290" cm="1">
        <f t="array" ref="H290">INDEX(FX_Temps,$AF290,H$3)</f>
        <v>56.954074999999875</v>
      </c>
      <c r="I290" cm="1">
        <f t="array" ref="I290">INDEX(FX_Temps,$AF290,I$3)</f>
        <v>60.976825000000076</v>
      </c>
      <c r="J290" cm="1">
        <f t="array" ref="J290">INDEX(FX_Temps,$AF290,J$3)</f>
        <v>64.677299999999832</v>
      </c>
      <c r="K290" cm="1">
        <f t="array" ref="K290">INDEX(FX_Temps,$AF290,K$3)</f>
        <v>64.592699999999923</v>
      </c>
      <c r="L290" cm="1">
        <f t="array" ref="L290">INDEX(FX_Temps,$AF290,L$3)</f>
        <v>61.560100000000034</v>
      </c>
      <c r="M290" cm="1">
        <f t="array" ref="M290">INDEX(FX_Temps,$AF290,M$3)</f>
        <v>54.451800000000048</v>
      </c>
      <c r="N290" cm="1">
        <f t="array" ref="N290">INDEX(FX_Temps,$AF290,N$3)</f>
        <v>48.067724999999996</v>
      </c>
      <c r="O290" cm="1">
        <f t="array" ref="O290">INDEX(FX_Temps,$AF290,O$3)</f>
        <v>44.347450000000038</v>
      </c>
      <c r="AE290">
        <f>AE289</f>
        <v>1</v>
      </c>
      <c r="AF290">
        <f>AF280+13</f>
        <v>126</v>
      </c>
    </row>
    <row r="291" spans="2:32" ht="17.149999999999999" x14ac:dyDescent="0.55000000000000004">
      <c r="B291" t="str">
        <f t="shared" si="916"/>
        <v>Portland</v>
      </c>
      <c r="C291" t="s">
        <v>574</v>
      </c>
      <c r="D291" s="20" cm="1">
        <f t="array" ref="D291">IFERROR(IF(D281="Chemical",(10^(INDEX(Antoines,MATCH(D280,Antoine_Name,0),2)-INDEX(Antoines,MATCH(D280,Antoine_Name,0),3)/(INDEX(Antoines,MATCH(D280,Antoine_Name,0),4)+(D288-32)*5/9)))*14.7/760,IF(D281="Crude Oil",EXP((2799/(D288+459.6)-2.227)*LOG10(INDEX(FX_Input,Q$5,D$3*$Z$5+$AA$5))-(7261/(D288+459.6))+12.82),IF(D281="Refined Petroleum Stock",EXP((0.7553-(413/(D288+459.6)))*(INDEX(FX_Input,Q$5,D$3*$Z$5+$AA$5-1)^0.5)*LOG10(INDEX(FX_Input,Q$5,D$3*$Z$5+$AA$5))-(1.854-(1042/(D288+459.6)))*(INDEX(FX_Input,Q$5,D$3*$Z$5+$AA$5-1)^0.5)+((2416/(D288+459.6)-2.013)*LOG10(INDEX(FX_Input,Q$5,D$3*$Z$5+$AA$5)))-(8742/(D288+459.6))+15.64),EXP(INDEX(Antoines,MATCH(D280,Antoine_Name,0),2)-INDEX(Antoines,MATCH(D280,Antoine_Name,0),3)/(D288+459.6))))),0)</f>
        <v>4.4953541371678231E-3</v>
      </c>
      <c r="E291" cm="1">
        <f t="array" ref="E291">IFERROR(IF(E281="Chemical",(10^(INDEX(Antoines,MATCH(E280,Antoine_Name,0),2)-INDEX(Antoines,MATCH(E280,Antoine_Name,0),3)/(INDEX(Antoines,MATCH(E280,Antoine_Name,0),4)+(E288-32)*5/9)))*14.7/760,IF(E281="Crude Oil",EXP((2799/(E288+459.6)-2.227)*LOG10(INDEX(FX_Input,R$5,E$3*$Z$5+$AA$5))-(7261/(E288+459.6))+12.82),IF(E281="Refined Petroleum Stock",EXP((0.7553-(413/(E288+459.6)))*(INDEX(FX_Input,R$5,E$3*$Z$5+$AA$5-1)^0.5)*LOG10(INDEX(FX_Input,R$5,E$3*$Z$5+$AA$5))-(1.854-(1042/(E288+459.6)))*(INDEX(FX_Input,R$5,E$3*$Z$5+$AA$5-1)^0.5)+((2416/(E288+459.6)-2.013)*LOG10(INDEX(FX_Input,R$5,E$3*$Z$5+$AA$5)))-(8742/(E288+459.6))+15.64),EXP(INDEX(Antoines,MATCH(E280,Antoine_Name,0),2)-INDEX(Antoines,MATCH(E280,Antoine_Name,0),3)/(E288+459.6))))),0)</f>
        <v>4.6043729465544726E-3</v>
      </c>
      <c r="F291" cm="1">
        <f t="array" ref="F291">IFERROR(IF(F281="Chemical",(10^(INDEX(Antoines,MATCH(F280,Antoine_Name,0),2)-INDEX(Antoines,MATCH(F280,Antoine_Name,0),3)/(INDEX(Antoines,MATCH(F280,Antoine_Name,0),4)+(F288-32)*5/9)))*14.7/760,IF(F281="Crude Oil",EXP((2799/(F288+459.6)-2.227)*LOG10(INDEX(FX_Input,S$5,F$3*$Z$5+$AA$5))-(7261/(F288+459.6))+12.82),IF(F281="Refined Petroleum Stock",EXP((0.7553-(413/(F288+459.6)))*(INDEX(FX_Input,S$5,F$3*$Z$5+$AA$5-1)^0.5)*LOG10(INDEX(FX_Input,S$5,F$3*$Z$5+$AA$5))-(1.854-(1042/(F288+459.6)))*(INDEX(FX_Input,S$5,F$3*$Z$5+$AA$5-1)^0.5)+((2416/(F288+459.6)-2.013)*LOG10(INDEX(FX_Input,S$5,F$3*$Z$5+$AA$5)))-(8742/(F288+459.6))+15.64),EXP(INDEX(Antoines,MATCH(F280,Antoine_Name,0),2)-INDEX(Antoines,MATCH(F280,Antoine_Name,0),3)/(F288+459.6))))),0)</f>
        <v>4.9179969260705328E-3</v>
      </c>
      <c r="G291" cm="1">
        <f t="array" ref="G291">IFERROR(IF(G281="Chemical",(10^(INDEX(Antoines,MATCH(G280,Antoine_Name,0),2)-INDEX(Antoines,MATCH(G280,Antoine_Name,0),3)/(INDEX(Antoines,MATCH(G280,Antoine_Name,0),4)+(G288-32)*5/9)))*14.7/760,IF(G281="Crude Oil",EXP((2799/(G288+459.6)-2.227)*LOG10(INDEX(FX_Input,T$5,G$3*$Z$5+$AA$5))-(7261/(G288+459.6))+12.82),IF(G281="Refined Petroleum Stock",EXP((0.7553-(413/(G288+459.6)))*(INDEX(FX_Input,T$5,G$3*$Z$5+$AA$5-1)^0.5)*LOG10(INDEX(FX_Input,T$5,G$3*$Z$5+$AA$5))-(1.854-(1042/(G288+459.6)))*(INDEX(FX_Input,T$5,G$3*$Z$5+$AA$5-1)^0.5)+((2416/(G288+459.6)-2.013)*LOG10(INDEX(FX_Input,T$5,G$3*$Z$5+$AA$5)))-(8742/(G288+459.6))+15.64),EXP(INDEX(Antoines,MATCH(G280,Antoine_Name,0),2)-INDEX(Antoines,MATCH(G280,Antoine_Name,0),3)/(G288+459.6))))),0)</f>
        <v>5.479042667267656E-3</v>
      </c>
      <c r="H291" cm="1">
        <f t="array" ref="H291">IFERROR(IF(H281="Chemical",(10^(INDEX(Antoines,MATCH(H280,Antoine_Name,0),2)-INDEX(Antoines,MATCH(H280,Antoine_Name,0),3)/(INDEX(Antoines,MATCH(H280,Antoine_Name,0),4)+(H288-32)*5/9)))*14.7/760,IF(H281="Crude Oil",EXP((2799/(H288+459.6)-2.227)*LOG10(INDEX(FX_Input,U$5,H$3*$Z$5+$AA$5))-(7261/(H288+459.6))+12.82),IF(H281="Refined Petroleum Stock",EXP((0.7553-(413/(H288+459.6)))*(INDEX(FX_Input,U$5,H$3*$Z$5+$AA$5-1)^0.5)*LOG10(INDEX(FX_Input,U$5,H$3*$Z$5+$AA$5))-(1.854-(1042/(H288+459.6)))*(INDEX(FX_Input,U$5,H$3*$Z$5+$AA$5-1)^0.5)+((2416/(H288+459.6)-2.013)*LOG10(INDEX(FX_Input,U$5,H$3*$Z$5+$AA$5)))-(8742/(H288+459.6))+15.64),EXP(INDEX(Antoines,MATCH(H280,Antoine_Name,0),2)-INDEX(Antoines,MATCH(H280,Antoine_Name,0),3)/(H288+459.6))))),0)</f>
        <v>6.5169685513364909E-3</v>
      </c>
      <c r="I291" cm="1">
        <f t="array" ref="I291">IFERROR(IF(I281="Chemical",(10^(INDEX(Antoines,MATCH(I280,Antoine_Name,0),2)-INDEX(Antoines,MATCH(I280,Antoine_Name,0),3)/(INDEX(Antoines,MATCH(I280,Antoine_Name,0),4)+(I288-32)*5/9)))*14.7/760,IF(I281="Crude Oil",EXP((2799/(I288+459.6)-2.227)*LOG10(INDEX(FX_Input,V$5,I$3*$Z$5+$AA$5))-(7261/(I288+459.6))+12.82),IF(I281="Refined Petroleum Stock",EXP((0.7553-(413/(I288+459.6)))*(INDEX(FX_Input,V$5,I$3*$Z$5+$AA$5-1)^0.5)*LOG10(INDEX(FX_Input,V$5,I$3*$Z$5+$AA$5))-(1.854-(1042/(I288+459.6)))*(INDEX(FX_Input,V$5,I$3*$Z$5+$AA$5-1)^0.5)+((2416/(I288+459.6)-2.013)*LOG10(INDEX(FX_Input,V$5,I$3*$Z$5+$AA$5)))-(8742/(I288+459.6))+15.64),EXP(INDEX(Antoines,MATCH(I280,Antoine_Name,0),2)-INDEX(Antoines,MATCH(I280,Antoine_Name,0),3)/(I288+459.6))))),0)</f>
        <v>7.486267526260572E-3</v>
      </c>
      <c r="J291" cm="1">
        <f t="array" ref="J291">IFERROR(IF(J281="Chemical",(10^(INDEX(Antoines,MATCH(J280,Antoine_Name,0),2)-INDEX(Antoines,MATCH(J280,Antoine_Name,0),3)/(INDEX(Antoines,MATCH(J280,Antoine_Name,0),4)+(J288-32)*5/9)))*14.7/760,IF(J281="Crude Oil",EXP((2799/(J288+459.6)-2.227)*LOG10(INDEX(FX_Input,W$5,J$3*$Z$5+$AA$5))-(7261/(J288+459.6))+12.82),IF(J281="Refined Petroleum Stock",EXP((0.7553-(413/(J288+459.6)))*(INDEX(FX_Input,W$5,J$3*$Z$5+$AA$5-1)^0.5)*LOG10(INDEX(FX_Input,W$5,J$3*$Z$5+$AA$5))-(1.854-(1042/(J288+459.6)))*(INDEX(FX_Input,W$5,J$3*$Z$5+$AA$5-1)^0.5)+((2416/(J288+459.6)-2.013)*LOG10(INDEX(FX_Input,W$5,J$3*$Z$5+$AA$5)))-(8742/(J288+459.6))+15.64),EXP(INDEX(Antoines,MATCH(J280,Antoine_Name,0),2)-INDEX(Antoines,MATCH(J280,Antoine_Name,0),3)/(J288+459.6))))),0)</f>
        <v>8.4364538110447557E-3</v>
      </c>
      <c r="K291" cm="1">
        <f t="array" ref="K291">IFERROR(IF(K281="Chemical",(10^(INDEX(Antoines,MATCH(K280,Antoine_Name,0),2)-INDEX(Antoines,MATCH(K280,Antoine_Name,0),3)/(INDEX(Antoines,MATCH(K280,Antoine_Name,0),4)+(K288-32)*5/9)))*14.7/760,IF(K281="Crude Oil",EXP((2799/(K288+459.6)-2.227)*LOG10(INDEX(FX_Input,X$5,K$3*$Z$5+$AA$5))-(7261/(K288+459.6))+12.82),IF(K281="Refined Petroleum Stock",EXP((0.7553-(413/(K288+459.6)))*(INDEX(FX_Input,X$5,K$3*$Z$5+$AA$5-1)^0.5)*LOG10(INDEX(FX_Input,X$5,K$3*$Z$5+$AA$5))-(1.854-(1042/(K288+459.6)))*(INDEX(FX_Input,X$5,K$3*$Z$5+$AA$5-1)^0.5)+((2416/(K288+459.6)-2.013)*LOG10(INDEX(FX_Input,X$5,K$3*$Z$5+$AA$5)))-(8742/(K288+459.6))+15.64),EXP(INDEX(Antoines,MATCH(K280,Antoine_Name,0),2)-INDEX(Antoines,MATCH(K280,Antoine_Name,0),3)/(K288+459.6))))),0)</f>
        <v>8.4094446398714287E-3</v>
      </c>
      <c r="L291" cm="1">
        <f t="array" ref="L291">IFERROR(IF(L281="Chemical",(10^(INDEX(Antoines,MATCH(L280,Antoine_Name,0),2)-INDEX(Antoines,MATCH(L280,Antoine_Name,0),3)/(INDEX(Antoines,MATCH(L280,Antoine_Name,0),4)+(L288-32)*5/9)))*14.7/760,IF(L281="Crude Oil",EXP((2799/(L288+459.6)-2.227)*LOG10(INDEX(FX_Input,Y$5,L$3*$Z$5+$AA$5))-(7261/(L288+459.6))+12.82),IF(L281="Refined Petroleum Stock",EXP((0.7553-(413/(L288+459.6)))*(INDEX(FX_Input,Y$5,L$3*$Z$5+$AA$5-1)^0.5)*LOG10(INDEX(FX_Input,Y$5,L$3*$Z$5+$AA$5))-(1.854-(1042/(L288+459.6)))*(INDEX(FX_Input,Y$5,L$3*$Z$5+$AA$5-1)^0.5)+((2416/(L288+459.6)-2.013)*LOG10(INDEX(FX_Input,Y$5,L$3*$Z$5+$AA$5)))-(8742/(L288+459.6))+15.64),EXP(INDEX(Antoines,MATCH(L280,Antoine_Name,0),2)-INDEX(Antoines,MATCH(L280,Antoine_Name,0),3)/(L288+459.6))))),0)</f>
        <v>7.5207138884047006E-3</v>
      </c>
      <c r="M291" cm="1">
        <f t="array" ref="M291">IFERROR(IF(M281="Chemical",(10^(INDEX(Antoines,MATCH(M280,Antoine_Name,0),2)-INDEX(Antoines,MATCH(M280,Antoine_Name,0),3)/(INDEX(Antoines,MATCH(M280,Antoine_Name,0),4)+(M288-32)*5/9)))*14.7/760,IF(M281="Crude Oil",EXP((2799/(M288+459.6)-2.227)*LOG10(INDEX(FX_Input,Z$5,M$3*$Z$5+$AA$5))-(7261/(M288+459.6))+12.82),IF(M281="Refined Petroleum Stock",EXP((0.7553-(413/(M288+459.6)))*(INDEX(FX_Input,Z$5,M$3*$Z$5+$AA$5-1)^0.5)*LOG10(INDEX(FX_Input,Z$5,M$3*$Z$5+$AA$5))-(1.854-(1042/(M288+459.6)))*(INDEX(FX_Input,Z$5,M$3*$Z$5+$AA$5-1)^0.5)+((2416/(M288+459.6)-2.013)*LOG10(INDEX(FX_Input,Z$5,M$3*$Z$5+$AA$5)))-(8742/(M288+459.6))+15.64),EXP(INDEX(Antoines,MATCH(M280,Antoine_Name,0),2)-INDEX(Antoines,MATCH(M280,Antoine_Name,0),3)/(M288+459.6))))),0)</f>
        <v>6.0548274008136857E-3</v>
      </c>
      <c r="N291" cm="1">
        <f t="array" ref="N291">IFERROR(IF(N281="Chemical",(10^(INDEX(Antoines,MATCH(N280,Antoine_Name,0),2)-INDEX(Antoines,MATCH(N280,Antoine_Name,0),3)/(INDEX(Antoines,MATCH(N280,Antoine_Name,0),4)+(N288-32)*5/9)))*14.7/760,IF(N281="Crude Oil",EXP((2799/(N288+459.6)-2.227)*LOG10(INDEX(FX_Input,AA$5,N$3*$Z$5+$AA$5))-(7261/(N288+459.6))+12.82),IF(N281="Refined Petroleum Stock",EXP((0.7553-(413/(N288+459.6)))*(INDEX(FX_Input,AA$5,N$3*$Z$5+$AA$5-1)^0.5)*LOG10(INDEX(FX_Input,AA$5,N$3*$Z$5+$AA$5))-(1.854-(1042/(N288+459.6)))*(INDEX(FX_Input,AA$5,N$3*$Z$5+$AA$5-1)^0.5)+((2416/(N288+459.6)-2.013)*LOG10(INDEX(FX_Input,AA$5,N$3*$Z$5+$AA$5)))-(8742/(N288+459.6))+15.64),EXP(INDEX(Antoines,MATCH(N280,Antoine_Name,0),2)-INDEX(Antoines,MATCH(N280,Antoine_Name,0),3)/(N288+459.6))))),0)</f>
        <v>4.9828816635194605E-3</v>
      </c>
      <c r="O291" cm="1">
        <f t="array" ref="O291">IFERROR(IF(O281="Chemical",(10^(INDEX(Antoines,MATCH(O280,Antoine_Name,0),2)-INDEX(Antoines,MATCH(O280,Antoine_Name,0),3)/(INDEX(Antoines,MATCH(O280,Antoine_Name,0),4)+(O288-32)*5/9)))*14.7/760,IF(O281="Crude Oil",EXP((2799/(O288+459.6)-2.227)*LOG10(INDEX(FX_Input,AB$5,O$3*$Z$5+$AA$5))-(7261/(O288+459.6))+12.82),IF(O281="Refined Petroleum Stock",EXP((0.7553-(413/(O288+459.6)))*(INDEX(FX_Input,AB$5,O$3*$Z$5+$AA$5-1)^0.5)*LOG10(INDEX(FX_Input,AB$5,O$3*$Z$5+$AA$5))-(1.854-(1042/(O288+459.6)))*(INDEX(FX_Input,AB$5,O$3*$Z$5+$AA$5-1)^0.5)+((2416/(O288+459.6)-2.013)*LOG10(INDEX(FX_Input,AB$5,O$3*$Z$5+$AA$5)))-(8742/(O288+459.6))+15.64),EXP(INDEX(Antoines,MATCH(O280,Antoine_Name,0),2)-INDEX(Antoines,MATCH(O280,Antoine_Name,0),3)/(O288+459.6))))),0)</f>
        <v>4.4494006627366521E-3</v>
      </c>
    </row>
    <row r="292" spans="2:32" ht="17.149999999999999" x14ac:dyDescent="0.55000000000000004">
      <c r="B292" t="str">
        <f t="shared" si="916"/>
        <v>Portland</v>
      </c>
      <c r="C292" t="s">
        <v>576</v>
      </c>
      <c r="D292">
        <f>D284*D291</f>
        <v>4.4953541371678231E-3</v>
      </c>
      <c r="E292">
        <f t="shared" ref="E292" si="917">E284*E291</f>
        <v>4.6043729465544726E-3</v>
      </c>
      <c r="F292">
        <f t="shared" ref="F292" si="918">F284*F291</f>
        <v>4.9179969260705328E-3</v>
      </c>
      <c r="G292">
        <f t="shared" ref="G292" si="919">G284*G291</f>
        <v>5.479042667267656E-3</v>
      </c>
      <c r="H292">
        <f t="shared" ref="H292" si="920">H284*H291</f>
        <v>6.5169685513364909E-3</v>
      </c>
      <c r="I292">
        <f t="shared" ref="I292" si="921">I284*I291</f>
        <v>7.486267526260572E-3</v>
      </c>
      <c r="J292">
        <f t="shared" ref="J292" si="922">J284*J291</f>
        <v>8.4364538110447557E-3</v>
      </c>
      <c r="K292">
        <f t="shared" ref="K292" si="923">K284*K291</f>
        <v>8.4094446398714287E-3</v>
      </c>
      <c r="L292">
        <f t="shared" ref="L292" si="924">L284*L291</f>
        <v>7.5207138884047006E-3</v>
      </c>
      <c r="M292">
        <f t="shared" ref="M292" si="925">M284*M291</f>
        <v>6.0548274008136857E-3</v>
      </c>
      <c r="N292">
        <f t="shared" ref="N292" si="926">N284*N291</f>
        <v>4.9828816635194605E-3</v>
      </c>
      <c r="O292">
        <f t="shared" ref="O292" si="927">O284*O291</f>
        <v>4.4494006627366521E-3</v>
      </c>
    </row>
    <row r="293" spans="2:32" ht="17.149999999999999" x14ac:dyDescent="0.55000000000000004">
      <c r="B293" t="str">
        <f t="shared" si="916"/>
        <v>Portland</v>
      </c>
      <c r="C293" t="s">
        <v>575</v>
      </c>
      <c r="D293" cm="1">
        <f t="array" ref="D293">IFERROR(IF(D283="Chemical",(10^(INDEX(Antoines,MATCH(D282,Antoine_Name,0),2)-INDEX(Antoines,MATCH(D282,Antoine_Name,0),3)/(INDEX(Antoines,MATCH(D282,Antoine_Name,0),4)+(D288-32)*5/9)))*14.7/760,IF(D283="Crude Oil",EXP((2799/(D288+459.6)-2.227)*LOG10(INDEX(FX_Input,Q$5,D$3*$Z$5+$AA$5))-(7261/(D288+459.6))+12.82),IF(D283="Refined Petroleum Stock",EXP((0.7553-(413/(D288+459.6)))*(INDEX(FX_Input,Q$5,D$3*$Z$5+$AA$5-1)^0.5)*LOG10(INDEX(FX_Input,Q$5,D$3*$Z$5+$AA$5))-(1.854-(1042/(D288+459.6)))*(INDEX(FX_Input,Q$5,D$3*$Z$5+$AA$5-1)^0.5)+((2416/(D288+459.6)-2.013)*LOG10(INDEX(FX_Input,Q$5,D$3*$Z$5+$AA$5)))-(8742/(D288+459.6))+15.64),EXP(INDEX(Antoines,MATCH(D282,Antoine_Name,0),2)-INDEX(Antoines,MATCH(D282,Antoine_Name,0),3)/(D288+459.6))))),0)</f>
        <v>0</v>
      </c>
      <c r="E293" cm="1">
        <f t="array" ref="E293">IFERROR(IF(E283="Chemical",(10^(INDEX(Antoines,MATCH(E282,Antoine_Name,0),2)-INDEX(Antoines,MATCH(E282,Antoine_Name,0),3)/(INDEX(Antoines,MATCH(E282,Antoine_Name,0),4)+(E288-32)*5/9)))*14.7/760,IF(E283="Crude Oil",EXP((2799/(E288+459.6)-2.227)*LOG10(INDEX(FX_Input,R$5,E$3*$Z$5+$AA$5))-(7261/(E288+459.6))+12.82),IF(E283="Refined Petroleum Stock",EXP((0.7553-(413/(E288+459.6)))*(INDEX(FX_Input,R$5,E$3*$Z$5+$AA$5-1)^0.5)*LOG10(INDEX(FX_Input,R$5,E$3*$Z$5+$AA$5))-(1.854-(1042/(E288+459.6)))*(INDEX(FX_Input,R$5,E$3*$Z$5+$AA$5-1)^0.5)+((2416/(E288+459.6)-2.013)*LOG10(INDEX(FX_Input,R$5,E$3*$Z$5+$AA$5)))-(8742/(E288+459.6))+15.64),EXP(INDEX(Antoines,MATCH(E282,Antoine_Name,0),2)-INDEX(Antoines,MATCH(E282,Antoine_Name,0),3)/(E288+459.6))))),0)</f>
        <v>0</v>
      </c>
      <c r="F293" cm="1">
        <f t="array" ref="F293">IFERROR(IF(F283="Chemical",(10^(INDEX(Antoines,MATCH(F282,Antoine_Name,0),2)-INDEX(Antoines,MATCH(F282,Antoine_Name,0),3)/(INDEX(Antoines,MATCH(F282,Antoine_Name,0),4)+(F288-32)*5/9)))*14.7/760,IF(F283="Crude Oil",EXP((2799/(F288+459.6)-2.227)*LOG10(INDEX(FX_Input,S$5,F$3*$Z$5+$AA$5))-(7261/(F288+459.6))+12.82),IF(F283="Refined Petroleum Stock",EXP((0.7553-(413/(F288+459.6)))*(INDEX(FX_Input,S$5,F$3*$Z$5+$AA$5-1)^0.5)*LOG10(INDEX(FX_Input,S$5,F$3*$Z$5+$AA$5))-(1.854-(1042/(F288+459.6)))*(INDEX(FX_Input,S$5,F$3*$Z$5+$AA$5-1)^0.5)+((2416/(F288+459.6)-2.013)*LOG10(INDEX(FX_Input,S$5,F$3*$Z$5+$AA$5)))-(8742/(F288+459.6))+15.64),EXP(INDEX(Antoines,MATCH(F282,Antoine_Name,0),2)-INDEX(Antoines,MATCH(F282,Antoine_Name,0),3)/(F288+459.6))))),0)</f>
        <v>0</v>
      </c>
      <c r="G293" cm="1">
        <f t="array" ref="G293">IFERROR(IF(G283="Chemical",(10^(INDEX(Antoines,MATCH(G282,Antoine_Name,0),2)-INDEX(Antoines,MATCH(G282,Antoine_Name,0),3)/(INDEX(Antoines,MATCH(G282,Antoine_Name,0),4)+(G288-32)*5/9)))*14.7/760,IF(G283="Crude Oil",EXP((2799/(G288+459.6)-2.227)*LOG10(INDEX(FX_Input,T$5,G$3*$Z$5+$AA$5))-(7261/(G288+459.6))+12.82),IF(G283="Refined Petroleum Stock",EXP((0.7553-(413/(G288+459.6)))*(INDEX(FX_Input,T$5,G$3*$Z$5+$AA$5-1)^0.5)*LOG10(INDEX(FX_Input,T$5,G$3*$Z$5+$AA$5))-(1.854-(1042/(G288+459.6)))*(INDEX(FX_Input,T$5,G$3*$Z$5+$AA$5-1)^0.5)+((2416/(G288+459.6)-2.013)*LOG10(INDEX(FX_Input,T$5,G$3*$Z$5+$AA$5)))-(8742/(G288+459.6))+15.64),EXP(INDEX(Antoines,MATCH(G282,Antoine_Name,0),2)-INDEX(Antoines,MATCH(G282,Antoine_Name,0),3)/(G288+459.6))))),0)</f>
        <v>0</v>
      </c>
      <c r="H293" cm="1">
        <f t="array" ref="H293">IFERROR(IF(H283="Chemical",(10^(INDEX(Antoines,MATCH(H282,Antoine_Name,0),2)-INDEX(Antoines,MATCH(H282,Antoine_Name,0),3)/(INDEX(Antoines,MATCH(H282,Antoine_Name,0),4)+(H288-32)*5/9)))*14.7/760,IF(H283="Crude Oil",EXP((2799/(H288+459.6)-2.227)*LOG10(INDEX(FX_Input,U$5,H$3*$Z$5+$AA$5))-(7261/(H288+459.6))+12.82),IF(H283="Refined Petroleum Stock",EXP((0.7553-(413/(H288+459.6)))*(INDEX(FX_Input,U$5,H$3*$Z$5+$AA$5-1)^0.5)*LOG10(INDEX(FX_Input,U$5,H$3*$Z$5+$AA$5))-(1.854-(1042/(H288+459.6)))*(INDEX(FX_Input,U$5,H$3*$Z$5+$AA$5-1)^0.5)+((2416/(H288+459.6)-2.013)*LOG10(INDEX(FX_Input,U$5,H$3*$Z$5+$AA$5)))-(8742/(H288+459.6))+15.64),EXP(INDEX(Antoines,MATCH(H282,Antoine_Name,0),2)-INDEX(Antoines,MATCH(H282,Antoine_Name,0),3)/(H288+459.6))))),0)</f>
        <v>0</v>
      </c>
      <c r="I293" cm="1">
        <f t="array" ref="I293">IFERROR(IF(I283="Chemical",(10^(INDEX(Antoines,MATCH(I282,Antoine_Name,0),2)-INDEX(Antoines,MATCH(I282,Antoine_Name,0),3)/(INDEX(Antoines,MATCH(I282,Antoine_Name,0),4)+(I288-32)*5/9)))*14.7/760,IF(I283="Crude Oil",EXP((2799/(I288+459.6)-2.227)*LOG10(INDEX(FX_Input,V$5,I$3*$Z$5+$AA$5))-(7261/(I288+459.6))+12.82),IF(I283="Refined Petroleum Stock",EXP((0.7553-(413/(I288+459.6)))*(INDEX(FX_Input,V$5,I$3*$Z$5+$AA$5-1)^0.5)*LOG10(INDEX(FX_Input,V$5,I$3*$Z$5+$AA$5))-(1.854-(1042/(I288+459.6)))*(INDEX(FX_Input,V$5,I$3*$Z$5+$AA$5-1)^0.5)+((2416/(I288+459.6)-2.013)*LOG10(INDEX(FX_Input,V$5,I$3*$Z$5+$AA$5)))-(8742/(I288+459.6))+15.64),EXP(INDEX(Antoines,MATCH(I282,Antoine_Name,0),2)-INDEX(Antoines,MATCH(I282,Antoine_Name,0),3)/(I288+459.6))))),0)</f>
        <v>0</v>
      </c>
      <c r="J293" cm="1">
        <f t="array" ref="J293">IFERROR(IF(J283="Chemical",(10^(INDEX(Antoines,MATCH(J282,Antoine_Name,0),2)-INDEX(Antoines,MATCH(J282,Antoine_Name,0),3)/(INDEX(Antoines,MATCH(J282,Antoine_Name,0),4)+(J288-32)*5/9)))*14.7/760,IF(J283="Crude Oil",EXP((2799/(J288+459.6)-2.227)*LOG10(INDEX(FX_Input,W$5,J$3*$Z$5+$AA$5))-(7261/(J288+459.6))+12.82),IF(J283="Refined Petroleum Stock",EXP((0.7553-(413/(J288+459.6)))*(INDEX(FX_Input,W$5,J$3*$Z$5+$AA$5-1)^0.5)*LOG10(INDEX(FX_Input,W$5,J$3*$Z$5+$AA$5))-(1.854-(1042/(J288+459.6)))*(INDEX(FX_Input,W$5,J$3*$Z$5+$AA$5-1)^0.5)+((2416/(J288+459.6)-2.013)*LOG10(INDEX(FX_Input,W$5,J$3*$Z$5+$AA$5)))-(8742/(J288+459.6))+15.64),EXP(INDEX(Antoines,MATCH(J282,Antoine_Name,0),2)-INDEX(Antoines,MATCH(J282,Antoine_Name,0),3)/(J288+459.6))))),0)</f>
        <v>0</v>
      </c>
      <c r="K293" cm="1">
        <f t="array" ref="K293">IFERROR(IF(K283="Chemical",(10^(INDEX(Antoines,MATCH(K282,Antoine_Name,0),2)-INDEX(Antoines,MATCH(K282,Antoine_Name,0),3)/(INDEX(Antoines,MATCH(K282,Antoine_Name,0),4)+(K288-32)*5/9)))*14.7/760,IF(K283="Crude Oil",EXP((2799/(K288+459.6)-2.227)*LOG10(INDEX(FX_Input,X$5,K$3*$Z$5+$AA$5))-(7261/(K288+459.6))+12.82),IF(K283="Refined Petroleum Stock",EXP((0.7553-(413/(K288+459.6)))*(INDEX(FX_Input,X$5,K$3*$Z$5+$AA$5-1)^0.5)*LOG10(INDEX(FX_Input,X$5,K$3*$Z$5+$AA$5))-(1.854-(1042/(K288+459.6)))*(INDEX(FX_Input,X$5,K$3*$Z$5+$AA$5-1)^0.5)+((2416/(K288+459.6)-2.013)*LOG10(INDEX(FX_Input,X$5,K$3*$Z$5+$AA$5)))-(8742/(K288+459.6))+15.64),EXP(INDEX(Antoines,MATCH(K282,Antoine_Name,0),2)-INDEX(Antoines,MATCH(K282,Antoine_Name,0),3)/(K288+459.6))))),0)</f>
        <v>0</v>
      </c>
      <c r="L293" cm="1">
        <f t="array" ref="L293">IFERROR(IF(L283="Chemical",(10^(INDEX(Antoines,MATCH(L282,Antoine_Name,0),2)-INDEX(Antoines,MATCH(L282,Antoine_Name,0),3)/(INDEX(Antoines,MATCH(L282,Antoine_Name,0),4)+(L288-32)*5/9)))*14.7/760,IF(L283="Crude Oil",EXP((2799/(L288+459.6)-2.227)*LOG10(INDEX(FX_Input,Y$5,L$3*$Z$5+$AA$5))-(7261/(L288+459.6))+12.82),IF(L283="Refined Petroleum Stock",EXP((0.7553-(413/(L288+459.6)))*(INDEX(FX_Input,Y$5,L$3*$Z$5+$AA$5-1)^0.5)*LOG10(INDEX(FX_Input,Y$5,L$3*$Z$5+$AA$5))-(1.854-(1042/(L288+459.6)))*(INDEX(FX_Input,Y$5,L$3*$Z$5+$AA$5-1)^0.5)+((2416/(L288+459.6)-2.013)*LOG10(INDEX(FX_Input,Y$5,L$3*$Z$5+$AA$5)))-(8742/(L288+459.6))+15.64),EXP(INDEX(Antoines,MATCH(L282,Antoine_Name,0),2)-INDEX(Antoines,MATCH(L282,Antoine_Name,0),3)/(L288+459.6))))),0)</f>
        <v>0</v>
      </c>
      <c r="M293" cm="1">
        <f t="array" ref="M293">IFERROR(IF(M283="Chemical",(10^(INDEX(Antoines,MATCH(M282,Antoine_Name,0),2)-INDEX(Antoines,MATCH(M282,Antoine_Name,0),3)/(INDEX(Antoines,MATCH(M282,Antoine_Name,0),4)+(M288-32)*5/9)))*14.7/760,IF(M283="Crude Oil",EXP((2799/(M288+459.6)-2.227)*LOG10(INDEX(FX_Input,Z$5,M$3*$Z$5+$AA$5))-(7261/(M288+459.6))+12.82),IF(M283="Refined Petroleum Stock",EXP((0.7553-(413/(M288+459.6)))*(INDEX(FX_Input,Z$5,M$3*$Z$5+$AA$5-1)^0.5)*LOG10(INDEX(FX_Input,Z$5,M$3*$Z$5+$AA$5))-(1.854-(1042/(M288+459.6)))*(INDEX(FX_Input,Z$5,M$3*$Z$5+$AA$5-1)^0.5)+((2416/(M288+459.6)-2.013)*LOG10(INDEX(FX_Input,Z$5,M$3*$Z$5+$AA$5)))-(8742/(M288+459.6))+15.64),EXP(INDEX(Antoines,MATCH(M282,Antoine_Name,0),2)-INDEX(Antoines,MATCH(M282,Antoine_Name,0),3)/(M288+459.6))))),0)</f>
        <v>0</v>
      </c>
      <c r="N293" cm="1">
        <f t="array" ref="N293">IFERROR(IF(N283="Chemical",(10^(INDEX(Antoines,MATCH(N282,Antoine_Name,0),2)-INDEX(Antoines,MATCH(N282,Antoine_Name,0),3)/(INDEX(Antoines,MATCH(N282,Antoine_Name,0),4)+(N288-32)*5/9)))*14.7/760,IF(N283="Crude Oil",EXP((2799/(N288+459.6)-2.227)*LOG10(INDEX(FX_Input,AA$5,N$3*$Z$5+$AA$5))-(7261/(N288+459.6))+12.82),IF(N283="Refined Petroleum Stock",EXP((0.7553-(413/(N288+459.6)))*(INDEX(FX_Input,AA$5,N$3*$Z$5+$AA$5-1)^0.5)*LOG10(INDEX(FX_Input,AA$5,N$3*$Z$5+$AA$5))-(1.854-(1042/(N288+459.6)))*(INDEX(FX_Input,AA$5,N$3*$Z$5+$AA$5-1)^0.5)+((2416/(N288+459.6)-2.013)*LOG10(INDEX(FX_Input,AA$5,N$3*$Z$5+$AA$5)))-(8742/(N288+459.6))+15.64),EXP(INDEX(Antoines,MATCH(N282,Antoine_Name,0),2)-INDEX(Antoines,MATCH(N282,Antoine_Name,0),3)/(N288+459.6))))),0)</f>
        <v>0</v>
      </c>
      <c r="O293" cm="1">
        <f t="array" ref="O293">IFERROR(IF(O283="Chemical",(10^(INDEX(Antoines,MATCH(O282,Antoine_Name,0),2)-INDEX(Antoines,MATCH(O282,Antoine_Name,0),3)/(INDEX(Antoines,MATCH(O282,Antoine_Name,0),4)+(O288-32)*5/9)))*14.7/760,IF(O283="Crude Oil",EXP((2799/(O288+459.6)-2.227)*LOG10(INDEX(FX_Input,AB$5,O$3*$Z$5+$AA$5))-(7261/(O288+459.6))+12.82),IF(O283="Refined Petroleum Stock",EXP((0.7553-(413/(O288+459.6)))*(INDEX(FX_Input,AB$5,O$3*$Z$5+$AA$5-1)^0.5)*LOG10(INDEX(FX_Input,AB$5,O$3*$Z$5+$AA$5))-(1.854-(1042/(O288+459.6)))*(INDEX(FX_Input,AB$5,O$3*$Z$5+$AA$5-1)^0.5)+((2416/(O288+459.6)-2.013)*LOG10(INDEX(FX_Input,AB$5,O$3*$Z$5+$AA$5)))-(8742/(O288+459.6))+15.64),EXP(INDEX(Antoines,MATCH(O282,Antoine_Name,0),2)-INDEX(Antoines,MATCH(O282,Antoine_Name,0),3)/(O288+459.6))))),0)</f>
        <v>0</v>
      </c>
    </row>
    <row r="294" spans="2:32" ht="17.149999999999999" x14ac:dyDescent="0.55000000000000004">
      <c r="B294" t="str">
        <f t="shared" si="916"/>
        <v>Portland</v>
      </c>
      <c r="C294" t="s">
        <v>577</v>
      </c>
      <c r="D294">
        <f>D293*D286</f>
        <v>0</v>
      </c>
      <c r="E294">
        <f t="shared" ref="E294" si="928">E293*E286</f>
        <v>0</v>
      </c>
      <c r="F294">
        <f t="shared" ref="F294" si="929">F293*F286</f>
        <v>0</v>
      </c>
      <c r="G294">
        <f t="shared" ref="G294" si="930">G293*G286</f>
        <v>0</v>
      </c>
      <c r="H294">
        <f t="shared" ref="H294" si="931">H293*H286</f>
        <v>0</v>
      </c>
      <c r="I294">
        <f t="shared" ref="I294" si="932">I293*I286</f>
        <v>0</v>
      </c>
      <c r="J294">
        <f t="shared" ref="J294" si="933">J293*J286</f>
        <v>0</v>
      </c>
      <c r="K294">
        <f t="shared" ref="K294" si="934">K293*K286</f>
        <v>0</v>
      </c>
      <c r="L294">
        <f t="shared" ref="L294" si="935">L293*L286</f>
        <v>0</v>
      </c>
      <c r="M294">
        <f t="shared" ref="M294" si="936">M293*M286</f>
        <v>0</v>
      </c>
      <c r="N294">
        <f t="shared" ref="N294" si="937">N293*N286</f>
        <v>0</v>
      </c>
      <c r="O294">
        <f t="shared" ref="O294" si="938">O293*O286</f>
        <v>0</v>
      </c>
    </row>
    <row r="295" spans="2:32" ht="17.149999999999999" x14ac:dyDescent="0.55000000000000004">
      <c r="B295" t="str">
        <f t="shared" si="916"/>
        <v>Portland</v>
      </c>
      <c r="C295" t="s">
        <v>578</v>
      </c>
      <c r="D295">
        <f>D294+D292</f>
        <v>4.4953541371678231E-3</v>
      </c>
      <c r="E295">
        <f t="shared" ref="E295" si="939">E294+E292</f>
        <v>4.6043729465544726E-3</v>
      </c>
      <c r="F295">
        <f t="shared" ref="F295" si="940">F294+F292</f>
        <v>4.9179969260705328E-3</v>
      </c>
      <c r="G295">
        <f t="shared" ref="G295" si="941">G294+G292</f>
        <v>5.479042667267656E-3</v>
      </c>
      <c r="H295">
        <f t="shared" ref="H295" si="942">H294+H292</f>
        <v>6.5169685513364909E-3</v>
      </c>
      <c r="I295">
        <f t="shared" ref="I295" si="943">I294+I292</f>
        <v>7.486267526260572E-3</v>
      </c>
      <c r="J295">
        <f t="shared" ref="J295" si="944">J294+J292</f>
        <v>8.4364538110447557E-3</v>
      </c>
      <c r="K295">
        <f t="shared" ref="K295" si="945">K294+K292</f>
        <v>8.4094446398714287E-3</v>
      </c>
      <c r="L295">
        <f t="shared" ref="L295" si="946">L294+L292</f>
        <v>7.5207138884047006E-3</v>
      </c>
      <c r="M295">
        <f t="shared" ref="M295" si="947">M294+M292</f>
        <v>6.0548274008136857E-3</v>
      </c>
      <c r="N295">
        <f t="shared" ref="N295" si="948">N294+N292</f>
        <v>4.9828816635194605E-3</v>
      </c>
      <c r="O295">
        <f t="shared" ref="O295" si="949">O294+O292</f>
        <v>4.4494006627366521E-3</v>
      </c>
    </row>
    <row r="296" spans="2:32" ht="17.149999999999999" x14ac:dyDescent="0.55000000000000004">
      <c r="B296" t="str">
        <f t="shared" si="916"/>
        <v>Portland</v>
      </c>
      <c r="C296" t="s">
        <v>579</v>
      </c>
      <c r="D296" cm="1">
        <f t="array" ref="D296">IFERROR(IF(D281="Chemical",(10^(INDEX(Antoines,MATCH(D280,Antoine_Name,0),2)-INDEX(Antoines,MATCH(D280,Antoine_Name,0),3)/(INDEX(Antoines,MATCH(D280,Antoine_Name,0),4)+(D289-32)*5/9)))*14.7/760,IF(D281="Crude Oil",EXP((2799/(D289+459.6)-2.227)*LOG10(INDEX(FX_Input,Q$5,D$3*$Z$5+$AA$5))-(7261/(D289+459.6))+12.82),IF(D281="Refined Petroleum Stock",EXP((0.7553-(413/(D289+459.6)))*(INDEX(FX_Input,Q$5,D$3*$Z$5+$AA$5-1)^0.5)*LOG10(INDEX(FX_Input,Q$5,D$3*$Z$5+$AA$5))-(1.854-(1042/(D289+459.6)))*(INDEX(FX_Input,Q$5,D$3*$Z$5+$AA$5-1)^0.5)+((2416/(D289+459.6)-2.013)*LOG10(INDEX(FX_Input,Q$5,D$3*$Z$5+$AA$5)))-(8742/(D289+459.6))+15.64),EXP(INDEX(Antoines,MATCH(D280,Antoine_Name,0),2)-INDEX(Antoines,MATCH(D280,Antoine_Name,0),3)/(D289+459.6))))),0)</f>
        <v>5.2033036727344552E-3</v>
      </c>
      <c r="E296" cm="1">
        <f t="array" ref="E296">IFERROR(IF(E281="Chemical",(10^(INDEX(Antoines,MATCH(E280,Antoine_Name,0),2)-INDEX(Antoines,MATCH(E280,Antoine_Name,0),3)/(INDEX(Antoines,MATCH(E280,Antoine_Name,0),4)+(E289-32)*5/9)))*14.7/760,IF(E281="Crude Oil",EXP((2799/(E289+459.6)-2.227)*LOG10(INDEX(FX_Input,R$5,E$3*$Z$5+$AA$5))-(7261/(E289+459.6))+12.82),IF(E281="Refined Petroleum Stock",EXP((0.7553-(413/(E289+459.6)))*(INDEX(FX_Input,R$5,E$3*$Z$5+$AA$5-1)^0.5)*LOG10(INDEX(FX_Input,R$5,E$3*$Z$5+$AA$5))-(1.854-(1042/(E289+459.6)))*(INDEX(FX_Input,R$5,E$3*$Z$5+$AA$5-1)^0.5)+((2416/(E289+459.6)-2.013)*LOG10(INDEX(FX_Input,R$5,E$3*$Z$5+$AA$5)))-(8742/(E289+459.6))+15.64),EXP(INDEX(Antoines,MATCH(E280,Antoine_Name,0),2)-INDEX(Antoines,MATCH(E280,Antoine_Name,0),3)/(E289+459.6))))),0)</f>
        <v>5.5385065183370758E-3</v>
      </c>
      <c r="F296" cm="1">
        <f t="array" ref="F296">IFERROR(IF(F281="Chemical",(10^(INDEX(Antoines,MATCH(F280,Antoine_Name,0),2)-INDEX(Antoines,MATCH(F280,Antoine_Name,0),3)/(INDEX(Antoines,MATCH(F280,Antoine_Name,0),4)+(F289-32)*5/9)))*14.7/760,IF(F281="Crude Oil",EXP((2799/(F289+459.6)-2.227)*LOG10(INDEX(FX_Input,S$5,F$3*$Z$5+$AA$5))-(7261/(F289+459.6))+12.82),IF(F281="Refined Petroleum Stock",EXP((0.7553-(413/(F289+459.6)))*(INDEX(FX_Input,S$5,F$3*$Z$5+$AA$5-1)^0.5)*LOG10(INDEX(FX_Input,S$5,F$3*$Z$5+$AA$5))-(1.854-(1042/(F289+459.6)))*(INDEX(FX_Input,S$5,F$3*$Z$5+$AA$5-1)^0.5)+((2416/(F289+459.6)-2.013)*LOG10(INDEX(FX_Input,S$5,F$3*$Z$5+$AA$5)))-(8742/(F289+459.6))+15.64),EXP(INDEX(Antoines,MATCH(F280,Antoine_Name,0),2)-INDEX(Antoines,MATCH(F280,Antoine_Name,0),3)/(F289+459.6))))),0)</f>
        <v>5.9077167859673575E-3</v>
      </c>
      <c r="G296" cm="1">
        <f t="array" ref="G296">IFERROR(IF(G281="Chemical",(10^(INDEX(Antoines,MATCH(G280,Antoine_Name,0),2)-INDEX(Antoines,MATCH(G280,Antoine_Name,0),3)/(INDEX(Antoines,MATCH(G280,Antoine_Name,0),4)+(G289-32)*5/9)))*14.7/760,IF(G281="Crude Oil",EXP((2799/(G289+459.6)-2.227)*LOG10(INDEX(FX_Input,T$5,G$3*$Z$5+$AA$5))-(7261/(G289+459.6))+12.82),IF(G281="Refined Petroleum Stock",EXP((0.7553-(413/(G289+459.6)))*(INDEX(FX_Input,T$5,G$3*$Z$5+$AA$5-1)^0.5)*LOG10(INDEX(FX_Input,T$5,G$3*$Z$5+$AA$5))-(1.854-(1042/(G289+459.6)))*(INDEX(FX_Input,T$5,G$3*$Z$5+$AA$5-1)^0.5)+((2416/(G289+459.6)-2.013)*LOG10(INDEX(FX_Input,T$5,G$3*$Z$5+$AA$5)))-(8742/(G289+459.6))+15.64),EXP(INDEX(Antoines,MATCH(G280,Antoine_Name,0),2)-INDEX(Antoines,MATCH(G280,Antoine_Name,0),3)/(G289+459.6))))),0)</f>
        <v>6.5849388112918178E-3</v>
      </c>
      <c r="H296" cm="1">
        <f t="array" ref="H296">IFERROR(IF(H281="Chemical",(10^(INDEX(Antoines,MATCH(H280,Antoine_Name,0),2)-INDEX(Antoines,MATCH(H280,Antoine_Name,0),3)/(INDEX(Antoines,MATCH(H280,Antoine_Name,0),4)+(H289-32)*5/9)))*14.7/760,IF(H281="Crude Oil",EXP((2799/(H289+459.6)-2.227)*LOG10(INDEX(FX_Input,U$5,H$3*$Z$5+$AA$5))-(7261/(H289+459.6))+12.82),IF(H281="Refined Petroleum Stock",EXP((0.7553-(413/(H289+459.6)))*(INDEX(FX_Input,U$5,H$3*$Z$5+$AA$5-1)^0.5)*LOG10(INDEX(FX_Input,U$5,H$3*$Z$5+$AA$5))-(1.854-(1042/(H289+459.6)))*(INDEX(FX_Input,U$5,H$3*$Z$5+$AA$5-1)^0.5)+((2416/(H289+459.6)-2.013)*LOG10(INDEX(FX_Input,U$5,H$3*$Z$5+$AA$5)))-(8742/(H289+459.6))+15.64),EXP(INDEX(Antoines,MATCH(H280,Antoine_Name,0),2)-INDEX(Antoines,MATCH(H280,Antoine_Name,0),3)/(H289+459.6))))),0)</f>
        <v>7.7939195379121001E-3</v>
      </c>
      <c r="I296" cm="1">
        <f t="array" ref="I296">IFERROR(IF(I281="Chemical",(10^(INDEX(Antoines,MATCH(I280,Antoine_Name,0),2)-INDEX(Antoines,MATCH(I280,Antoine_Name,0),3)/(INDEX(Antoines,MATCH(I280,Antoine_Name,0),4)+(I289-32)*5/9)))*14.7/760,IF(I281="Crude Oil",EXP((2799/(I289+459.6)-2.227)*LOG10(INDEX(FX_Input,V$5,I$3*$Z$5+$AA$5))-(7261/(I289+459.6))+12.82),IF(I281="Refined Petroleum Stock",EXP((0.7553-(413/(I289+459.6)))*(INDEX(FX_Input,V$5,I$3*$Z$5+$AA$5-1)^0.5)*LOG10(INDEX(FX_Input,V$5,I$3*$Z$5+$AA$5))-(1.854-(1042/(I289+459.6)))*(INDEX(FX_Input,V$5,I$3*$Z$5+$AA$5-1)^0.5)+((2416/(I289+459.6)-2.013)*LOG10(INDEX(FX_Input,V$5,I$3*$Z$5+$AA$5)))-(8742/(I289+459.6))+15.64),EXP(INDEX(Antoines,MATCH(I280,Antoine_Name,0),2)-INDEX(Antoines,MATCH(I280,Antoine_Name,0),3)/(I289+459.6))))),0)</f>
        <v>8.8347329003026723E-3</v>
      </c>
      <c r="J296" cm="1">
        <f t="array" ref="J296">IFERROR(IF(J281="Chemical",(10^(INDEX(Antoines,MATCH(J280,Antoine_Name,0),2)-INDEX(Antoines,MATCH(J280,Antoine_Name,0),3)/(INDEX(Antoines,MATCH(J280,Antoine_Name,0),4)+(J289-32)*5/9)))*14.7/760,IF(J281="Crude Oil",EXP((2799/(J289+459.6)-2.227)*LOG10(INDEX(FX_Input,W$5,J$3*$Z$5+$AA$5))-(7261/(J289+459.6))+12.82),IF(J281="Refined Petroleum Stock",EXP((0.7553-(413/(J289+459.6)))*(INDEX(FX_Input,W$5,J$3*$Z$5+$AA$5-1)^0.5)*LOG10(INDEX(FX_Input,W$5,J$3*$Z$5+$AA$5))-(1.854-(1042/(J289+459.6)))*(INDEX(FX_Input,W$5,J$3*$Z$5+$AA$5-1)^0.5)+((2416/(J289+459.6)-2.013)*LOG10(INDEX(FX_Input,W$5,J$3*$Z$5+$AA$5)))-(8742/(J289+459.6))+15.64),EXP(INDEX(Antoines,MATCH(J280,Antoine_Name,0),2)-INDEX(Antoines,MATCH(J280,Antoine_Name,0),3)/(J289+459.6))))),0)</f>
        <v>9.9592296270275289E-3</v>
      </c>
      <c r="K296" cm="1">
        <f t="array" ref="K296">IFERROR(IF(K281="Chemical",(10^(INDEX(Antoines,MATCH(K280,Antoine_Name,0),2)-INDEX(Antoines,MATCH(K280,Antoine_Name,0),3)/(INDEX(Antoines,MATCH(K280,Antoine_Name,0),4)+(K289-32)*5/9)))*14.7/760,IF(K281="Crude Oil",EXP((2799/(K289+459.6)-2.227)*LOG10(INDEX(FX_Input,X$5,K$3*$Z$5+$AA$5))-(7261/(K289+459.6))+12.82),IF(K281="Refined Petroleum Stock",EXP((0.7553-(413/(K289+459.6)))*(INDEX(FX_Input,X$5,K$3*$Z$5+$AA$5-1)^0.5)*LOG10(INDEX(FX_Input,X$5,K$3*$Z$5+$AA$5))-(1.854-(1042/(K289+459.6)))*(INDEX(FX_Input,X$5,K$3*$Z$5+$AA$5-1)^0.5)+((2416/(K289+459.6)-2.013)*LOG10(INDEX(FX_Input,X$5,K$3*$Z$5+$AA$5)))-(8742/(K289+459.6))+15.64),EXP(INDEX(Antoines,MATCH(K280,Antoine_Name,0),2)-INDEX(Antoines,MATCH(K280,Antoine_Name,0),3)/(K289+459.6))))),0)</f>
        <v>1.0044214742690162E-2</v>
      </c>
      <c r="L296" cm="1">
        <f t="array" ref="L296">IFERROR(IF(L281="Chemical",(10^(INDEX(Antoines,MATCH(L280,Antoine_Name,0),2)-INDEX(Antoines,MATCH(L280,Antoine_Name,0),3)/(INDEX(Antoines,MATCH(L280,Antoine_Name,0),4)+(L289-32)*5/9)))*14.7/760,IF(L281="Crude Oil",EXP((2799/(L289+459.6)-2.227)*LOG10(INDEX(FX_Input,Y$5,L$3*$Z$5+$AA$5))-(7261/(L289+459.6))+12.82),IF(L281="Refined Petroleum Stock",EXP((0.7553-(413/(L289+459.6)))*(INDEX(FX_Input,Y$5,L$3*$Z$5+$AA$5-1)^0.5)*LOG10(INDEX(FX_Input,Y$5,L$3*$Z$5+$AA$5))-(1.854-(1042/(L289+459.6)))*(INDEX(FX_Input,Y$5,L$3*$Z$5+$AA$5-1)^0.5)+((2416/(L289+459.6)-2.013)*LOG10(INDEX(FX_Input,Y$5,L$3*$Z$5+$AA$5)))-(8742/(L289+459.6))+15.64),EXP(INDEX(Antoines,MATCH(L280,Antoine_Name,0),2)-INDEX(Antoines,MATCH(L280,Antoine_Name,0),3)/(L289+459.6))))),0)</f>
        <v>9.3389439263883208E-3</v>
      </c>
      <c r="M296" cm="1">
        <f t="array" ref="M296">IFERROR(IF(M281="Chemical",(10^(INDEX(Antoines,MATCH(M280,Antoine_Name,0),2)-INDEX(Antoines,MATCH(M280,Antoine_Name,0),3)/(INDEX(Antoines,MATCH(M280,Antoine_Name,0),4)+(M289-32)*5/9)))*14.7/760,IF(M281="Crude Oil",EXP((2799/(M289+459.6)-2.227)*LOG10(INDEX(FX_Input,Z$5,M$3*$Z$5+$AA$5))-(7261/(M289+459.6))+12.82),IF(M281="Refined Petroleum Stock",EXP((0.7553-(413/(M289+459.6)))*(INDEX(FX_Input,Z$5,M$3*$Z$5+$AA$5-1)^0.5)*LOG10(INDEX(FX_Input,Z$5,M$3*$Z$5+$AA$5))-(1.854-(1042/(M289+459.6)))*(INDEX(FX_Input,Z$5,M$3*$Z$5+$AA$5-1)^0.5)+((2416/(M289+459.6)-2.013)*LOG10(INDEX(FX_Input,Z$5,M$3*$Z$5+$AA$5)))-(8742/(M289+459.6))+15.64),EXP(INDEX(Antoines,MATCH(M280,Antoine_Name,0),2)-INDEX(Antoines,MATCH(M280,Antoine_Name,0),3)/(M289+459.6))))),0)</f>
        <v>7.3896033166885589E-3</v>
      </c>
      <c r="N296" cm="1">
        <f t="array" ref="N296">IFERROR(IF(N281="Chemical",(10^(INDEX(Antoines,MATCH(N280,Antoine_Name,0),2)-INDEX(Antoines,MATCH(N280,Antoine_Name,0),3)/(INDEX(Antoines,MATCH(N280,Antoine_Name,0),4)+(N289-32)*5/9)))*14.7/760,IF(N281="Crude Oil",EXP((2799/(N289+459.6)-2.227)*LOG10(INDEX(FX_Input,AA$5,N$3*$Z$5+$AA$5))-(7261/(N289+459.6))+12.82),IF(N281="Refined Petroleum Stock",EXP((0.7553-(413/(N289+459.6)))*(INDEX(FX_Input,AA$5,N$3*$Z$5+$AA$5-1)^0.5)*LOG10(INDEX(FX_Input,AA$5,N$3*$Z$5+$AA$5))-(1.854-(1042/(N289+459.6)))*(INDEX(FX_Input,AA$5,N$3*$Z$5+$AA$5-1)^0.5)+((2416/(N289+459.6)-2.013)*LOG10(INDEX(FX_Input,AA$5,N$3*$Z$5+$AA$5)))-(8742/(N289+459.6))+15.64),EXP(INDEX(Antoines,MATCH(N280,Antoine_Name,0),2)-INDEX(Antoines,MATCH(N280,Antoine_Name,0),3)/(N289+459.6))))),0)</f>
        <v>5.902399466128503E-3</v>
      </c>
      <c r="O296" cm="1">
        <f t="array" ref="O296">IFERROR(IF(O281="Chemical",(10^(INDEX(Antoines,MATCH(O280,Antoine_Name,0),2)-INDEX(Antoines,MATCH(O280,Antoine_Name,0),3)/(INDEX(Antoines,MATCH(O280,Antoine_Name,0),4)+(O289-32)*5/9)))*14.7/760,IF(O281="Crude Oil",EXP((2799/(O289+459.6)-2.227)*LOG10(INDEX(FX_Input,AB$5,O$3*$Z$5+$AA$5))-(7261/(O289+459.6))+12.82),IF(O281="Refined Petroleum Stock",EXP((0.7553-(413/(O289+459.6)))*(INDEX(FX_Input,AB$5,O$3*$Z$5+$AA$5-1)^0.5)*LOG10(INDEX(FX_Input,AB$5,O$3*$Z$5+$AA$5))-(1.854-(1042/(O289+459.6)))*(INDEX(FX_Input,AB$5,O$3*$Z$5+$AA$5-1)^0.5)+((2416/(O289+459.6)-2.013)*LOG10(INDEX(FX_Input,AB$5,O$3*$Z$5+$AA$5)))-(8742/(O289+459.6))+15.64),EXP(INDEX(Antoines,MATCH(O280,Antoine_Name,0),2)-INDEX(Antoines,MATCH(O280,Antoine_Name,0),3)/(O289+459.6))))),0)</f>
        <v>5.1222820261006847E-3</v>
      </c>
    </row>
    <row r="297" spans="2:32" ht="17.149999999999999" x14ac:dyDescent="0.55000000000000004">
      <c r="B297" t="str">
        <f t="shared" si="916"/>
        <v>Portland</v>
      </c>
      <c r="C297" t="s">
        <v>580</v>
      </c>
      <c r="D297">
        <f>D296*D284</f>
        <v>5.2033036727344552E-3</v>
      </c>
      <c r="E297">
        <f t="shared" ref="E297" si="950">E296*E284</f>
        <v>5.5385065183370758E-3</v>
      </c>
      <c r="F297">
        <f t="shared" ref="F297" si="951">F296*F284</f>
        <v>5.9077167859673575E-3</v>
      </c>
      <c r="G297">
        <f t="shared" ref="G297" si="952">G296*G284</f>
        <v>6.5849388112918178E-3</v>
      </c>
      <c r="H297">
        <f t="shared" ref="H297" si="953">H296*H284</f>
        <v>7.7939195379121001E-3</v>
      </c>
      <c r="I297">
        <f t="shared" ref="I297" si="954">I296*I284</f>
        <v>8.8347329003026723E-3</v>
      </c>
      <c r="J297">
        <f t="shared" ref="J297" si="955">J296*J284</f>
        <v>9.9592296270275289E-3</v>
      </c>
      <c r="K297">
        <f t="shared" ref="K297" si="956">K296*K284</f>
        <v>1.0044214742690162E-2</v>
      </c>
      <c r="L297">
        <f t="shared" ref="L297" si="957">L296*L284</f>
        <v>9.3389439263883208E-3</v>
      </c>
      <c r="M297">
        <f t="shared" ref="M297" si="958">M296*M284</f>
        <v>7.3896033166885589E-3</v>
      </c>
      <c r="N297">
        <f t="shared" ref="N297" si="959">N296*N284</f>
        <v>5.902399466128503E-3</v>
      </c>
      <c r="O297">
        <f t="shared" ref="O297" si="960">O296*O284</f>
        <v>5.1222820261006847E-3</v>
      </c>
    </row>
    <row r="298" spans="2:32" ht="17.149999999999999" x14ac:dyDescent="0.55000000000000004">
      <c r="B298" t="str">
        <f t="shared" si="916"/>
        <v>Portland</v>
      </c>
      <c r="C298" t="s">
        <v>581</v>
      </c>
      <c r="D298" cm="1">
        <f t="array" ref="D298">IFERROR(IF(D283="Chemical",(10^(INDEX(Antoines,MATCH(D282,Antoine_Name,0),2)-INDEX(Antoines,MATCH(D282,Antoine_Name,0),3)/(INDEX(Antoines,MATCH(D282,Antoine_Name,0),4)+(D289-32)*5/9)))*14.7/760,IF(D283="Crude Oil",EXP((2799/(D289+459.6)-2.227)*LOG10(INDEX(FX_Input,Q$5,D$3*$Z$5+$AA$5))-(7261/(D289+459.6))+12.82),IF(D283="Refined Petroleum Stock",EXP((0.7553-(413/(D289+459.6)))*(INDEX(FX_Input,Q$5,D$3*$Z$5+$AA$5-1)^0.5)*LOG10(INDEX(FX_Input,Q$5,D$3*$Z$5+$AA$5))-(1.854-(1042/(D289+459.6)))*(INDEX(FX_Input,Q$5,D$3*$Z$5+$AA$5-1)^0.5)+((2416/(D289+459.6)-2.013)*LOG10(INDEX(FX_Input,Q$5,D$3*$Z$5+$AA$5)))-(8742/(D289+459.6))+15.64),EXP(INDEX(Antoines,MATCH(D282,Antoine_Name,0),2)-INDEX(Antoines,MATCH(D282,Antoine_Name,0),3)/(D289+459.6))))),0)</f>
        <v>0</v>
      </c>
      <c r="E298" cm="1">
        <f t="array" ref="E298">IFERROR(IF(E283="Chemical",(10^(INDEX(Antoines,MATCH(E282,Antoine_Name,0),2)-INDEX(Antoines,MATCH(E282,Antoine_Name,0),3)/(INDEX(Antoines,MATCH(E282,Antoine_Name,0),4)+(E289-32)*5/9)))*14.7/760,IF(E283="Crude Oil",EXP((2799/(E289+459.6)-2.227)*LOG10(INDEX(FX_Input,R$5,E$3*$Z$5+$AA$5))-(7261/(E289+459.6))+12.82),IF(E283="Refined Petroleum Stock",EXP((0.7553-(413/(E289+459.6)))*(INDEX(FX_Input,R$5,E$3*$Z$5+$AA$5-1)^0.5)*LOG10(INDEX(FX_Input,R$5,E$3*$Z$5+$AA$5))-(1.854-(1042/(E289+459.6)))*(INDEX(FX_Input,R$5,E$3*$Z$5+$AA$5-1)^0.5)+((2416/(E289+459.6)-2.013)*LOG10(INDEX(FX_Input,R$5,E$3*$Z$5+$AA$5)))-(8742/(E289+459.6))+15.64),EXP(INDEX(Antoines,MATCH(E282,Antoine_Name,0),2)-INDEX(Antoines,MATCH(E282,Antoine_Name,0),3)/(E289+459.6))))),0)</f>
        <v>0</v>
      </c>
      <c r="F298" cm="1">
        <f t="array" ref="F298">IFERROR(IF(F283="Chemical",(10^(INDEX(Antoines,MATCH(F282,Antoine_Name,0),2)-INDEX(Antoines,MATCH(F282,Antoine_Name,0),3)/(INDEX(Antoines,MATCH(F282,Antoine_Name,0),4)+(F289-32)*5/9)))*14.7/760,IF(F283="Crude Oil",EXP((2799/(F289+459.6)-2.227)*LOG10(INDEX(FX_Input,S$5,F$3*$Z$5+$AA$5))-(7261/(F289+459.6))+12.82),IF(F283="Refined Petroleum Stock",EXP((0.7553-(413/(F289+459.6)))*(INDEX(FX_Input,S$5,F$3*$Z$5+$AA$5-1)^0.5)*LOG10(INDEX(FX_Input,S$5,F$3*$Z$5+$AA$5))-(1.854-(1042/(F289+459.6)))*(INDEX(FX_Input,S$5,F$3*$Z$5+$AA$5-1)^0.5)+((2416/(F289+459.6)-2.013)*LOG10(INDEX(FX_Input,S$5,F$3*$Z$5+$AA$5)))-(8742/(F289+459.6))+15.64),EXP(INDEX(Antoines,MATCH(F282,Antoine_Name,0),2)-INDEX(Antoines,MATCH(F282,Antoine_Name,0),3)/(F289+459.6))))),0)</f>
        <v>0</v>
      </c>
      <c r="G298" cm="1">
        <f t="array" ref="G298">IFERROR(IF(G283="Chemical",(10^(INDEX(Antoines,MATCH(G282,Antoine_Name,0),2)-INDEX(Antoines,MATCH(G282,Antoine_Name,0),3)/(INDEX(Antoines,MATCH(G282,Antoine_Name,0),4)+(G289-32)*5/9)))*14.7/760,IF(G283="Crude Oil",EXP((2799/(G289+459.6)-2.227)*LOG10(INDEX(FX_Input,T$5,G$3*$Z$5+$AA$5))-(7261/(G289+459.6))+12.82),IF(G283="Refined Petroleum Stock",EXP((0.7553-(413/(G289+459.6)))*(INDEX(FX_Input,T$5,G$3*$Z$5+$AA$5-1)^0.5)*LOG10(INDEX(FX_Input,T$5,G$3*$Z$5+$AA$5))-(1.854-(1042/(G289+459.6)))*(INDEX(FX_Input,T$5,G$3*$Z$5+$AA$5-1)^0.5)+((2416/(G289+459.6)-2.013)*LOG10(INDEX(FX_Input,T$5,G$3*$Z$5+$AA$5)))-(8742/(G289+459.6))+15.64),EXP(INDEX(Antoines,MATCH(G282,Antoine_Name,0),2)-INDEX(Antoines,MATCH(G282,Antoine_Name,0),3)/(G289+459.6))))),0)</f>
        <v>0</v>
      </c>
      <c r="H298" cm="1">
        <f t="array" ref="H298">IFERROR(IF(H283="Chemical",(10^(INDEX(Antoines,MATCH(H282,Antoine_Name,0),2)-INDEX(Antoines,MATCH(H282,Antoine_Name,0),3)/(INDEX(Antoines,MATCH(H282,Antoine_Name,0),4)+(H289-32)*5/9)))*14.7/760,IF(H283="Crude Oil",EXP((2799/(H289+459.6)-2.227)*LOG10(INDEX(FX_Input,U$5,H$3*$Z$5+$AA$5))-(7261/(H289+459.6))+12.82),IF(H283="Refined Petroleum Stock",EXP((0.7553-(413/(H289+459.6)))*(INDEX(FX_Input,U$5,H$3*$Z$5+$AA$5-1)^0.5)*LOG10(INDEX(FX_Input,U$5,H$3*$Z$5+$AA$5))-(1.854-(1042/(H289+459.6)))*(INDEX(FX_Input,U$5,H$3*$Z$5+$AA$5-1)^0.5)+((2416/(H289+459.6)-2.013)*LOG10(INDEX(FX_Input,U$5,H$3*$Z$5+$AA$5)))-(8742/(H289+459.6))+15.64),EXP(INDEX(Antoines,MATCH(H282,Antoine_Name,0),2)-INDEX(Antoines,MATCH(H282,Antoine_Name,0),3)/(H289+459.6))))),0)</f>
        <v>0</v>
      </c>
      <c r="I298" cm="1">
        <f t="array" ref="I298">IFERROR(IF(I283="Chemical",(10^(INDEX(Antoines,MATCH(I282,Antoine_Name,0),2)-INDEX(Antoines,MATCH(I282,Antoine_Name,0),3)/(INDEX(Antoines,MATCH(I282,Antoine_Name,0),4)+(I289-32)*5/9)))*14.7/760,IF(I283="Crude Oil",EXP((2799/(I289+459.6)-2.227)*LOG10(INDEX(FX_Input,V$5,I$3*$Z$5+$AA$5))-(7261/(I289+459.6))+12.82),IF(I283="Refined Petroleum Stock",EXP((0.7553-(413/(I289+459.6)))*(INDEX(FX_Input,V$5,I$3*$Z$5+$AA$5-1)^0.5)*LOG10(INDEX(FX_Input,V$5,I$3*$Z$5+$AA$5))-(1.854-(1042/(I289+459.6)))*(INDEX(FX_Input,V$5,I$3*$Z$5+$AA$5-1)^0.5)+((2416/(I289+459.6)-2.013)*LOG10(INDEX(FX_Input,V$5,I$3*$Z$5+$AA$5)))-(8742/(I289+459.6))+15.64),EXP(INDEX(Antoines,MATCH(I282,Antoine_Name,0),2)-INDEX(Antoines,MATCH(I282,Antoine_Name,0),3)/(I289+459.6))))),0)</f>
        <v>0</v>
      </c>
      <c r="J298" cm="1">
        <f t="array" ref="J298">IFERROR(IF(J283="Chemical",(10^(INDEX(Antoines,MATCH(J282,Antoine_Name,0),2)-INDEX(Antoines,MATCH(J282,Antoine_Name,0),3)/(INDEX(Antoines,MATCH(J282,Antoine_Name,0),4)+(J289-32)*5/9)))*14.7/760,IF(J283="Crude Oil",EXP((2799/(J289+459.6)-2.227)*LOG10(INDEX(FX_Input,W$5,J$3*$Z$5+$AA$5))-(7261/(J289+459.6))+12.82),IF(J283="Refined Petroleum Stock",EXP((0.7553-(413/(J289+459.6)))*(INDEX(FX_Input,W$5,J$3*$Z$5+$AA$5-1)^0.5)*LOG10(INDEX(FX_Input,W$5,J$3*$Z$5+$AA$5))-(1.854-(1042/(J289+459.6)))*(INDEX(FX_Input,W$5,J$3*$Z$5+$AA$5-1)^0.5)+((2416/(J289+459.6)-2.013)*LOG10(INDEX(FX_Input,W$5,J$3*$Z$5+$AA$5)))-(8742/(J289+459.6))+15.64),EXP(INDEX(Antoines,MATCH(J282,Antoine_Name,0),2)-INDEX(Antoines,MATCH(J282,Antoine_Name,0),3)/(J289+459.6))))),0)</f>
        <v>0</v>
      </c>
      <c r="K298" cm="1">
        <f t="array" ref="K298">IFERROR(IF(K283="Chemical",(10^(INDEX(Antoines,MATCH(K282,Antoine_Name,0),2)-INDEX(Antoines,MATCH(K282,Antoine_Name,0),3)/(INDEX(Antoines,MATCH(K282,Antoine_Name,0),4)+(K289-32)*5/9)))*14.7/760,IF(K283="Crude Oil",EXP((2799/(K289+459.6)-2.227)*LOG10(INDEX(FX_Input,X$5,K$3*$Z$5+$AA$5))-(7261/(K289+459.6))+12.82),IF(K283="Refined Petroleum Stock",EXP((0.7553-(413/(K289+459.6)))*(INDEX(FX_Input,X$5,K$3*$Z$5+$AA$5-1)^0.5)*LOG10(INDEX(FX_Input,X$5,K$3*$Z$5+$AA$5))-(1.854-(1042/(K289+459.6)))*(INDEX(FX_Input,X$5,K$3*$Z$5+$AA$5-1)^0.5)+((2416/(K289+459.6)-2.013)*LOG10(INDEX(FX_Input,X$5,K$3*$Z$5+$AA$5)))-(8742/(K289+459.6))+15.64),EXP(INDEX(Antoines,MATCH(K282,Antoine_Name,0),2)-INDEX(Antoines,MATCH(K282,Antoine_Name,0),3)/(K289+459.6))))),0)</f>
        <v>0</v>
      </c>
      <c r="L298" cm="1">
        <f t="array" ref="L298">IFERROR(IF(L283="Chemical",(10^(INDEX(Antoines,MATCH(L282,Antoine_Name,0),2)-INDEX(Antoines,MATCH(L282,Antoine_Name,0),3)/(INDEX(Antoines,MATCH(L282,Antoine_Name,0),4)+(L289-32)*5/9)))*14.7/760,IF(L283="Crude Oil",EXP((2799/(L289+459.6)-2.227)*LOG10(INDEX(FX_Input,Y$5,L$3*$Z$5+$AA$5))-(7261/(L289+459.6))+12.82),IF(L283="Refined Petroleum Stock",EXP((0.7553-(413/(L289+459.6)))*(INDEX(FX_Input,Y$5,L$3*$Z$5+$AA$5-1)^0.5)*LOG10(INDEX(FX_Input,Y$5,L$3*$Z$5+$AA$5))-(1.854-(1042/(L289+459.6)))*(INDEX(FX_Input,Y$5,L$3*$Z$5+$AA$5-1)^0.5)+((2416/(L289+459.6)-2.013)*LOG10(INDEX(FX_Input,Y$5,L$3*$Z$5+$AA$5)))-(8742/(L289+459.6))+15.64),EXP(INDEX(Antoines,MATCH(L282,Antoine_Name,0),2)-INDEX(Antoines,MATCH(L282,Antoine_Name,0),3)/(L289+459.6))))),0)</f>
        <v>0</v>
      </c>
      <c r="M298" cm="1">
        <f t="array" ref="M298">IFERROR(IF(M283="Chemical",(10^(INDEX(Antoines,MATCH(M282,Antoine_Name,0),2)-INDEX(Antoines,MATCH(M282,Antoine_Name,0),3)/(INDEX(Antoines,MATCH(M282,Antoine_Name,0),4)+(M289-32)*5/9)))*14.7/760,IF(M283="Crude Oil",EXP((2799/(M289+459.6)-2.227)*LOG10(INDEX(FX_Input,Z$5,M$3*$Z$5+$AA$5))-(7261/(M289+459.6))+12.82),IF(M283="Refined Petroleum Stock",EXP((0.7553-(413/(M289+459.6)))*(INDEX(FX_Input,Z$5,M$3*$Z$5+$AA$5-1)^0.5)*LOG10(INDEX(FX_Input,Z$5,M$3*$Z$5+$AA$5))-(1.854-(1042/(M289+459.6)))*(INDEX(FX_Input,Z$5,M$3*$Z$5+$AA$5-1)^0.5)+((2416/(M289+459.6)-2.013)*LOG10(INDEX(FX_Input,Z$5,M$3*$Z$5+$AA$5)))-(8742/(M289+459.6))+15.64),EXP(INDEX(Antoines,MATCH(M282,Antoine_Name,0),2)-INDEX(Antoines,MATCH(M282,Antoine_Name,0),3)/(M289+459.6))))),0)</f>
        <v>0</v>
      </c>
      <c r="N298" cm="1">
        <f t="array" ref="N298">IFERROR(IF(N283="Chemical",(10^(INDEX(Antoines,MATCH(N282,Antoine_Name,0),2)-INDEX(Antoines,MATCH(N282,Antoine_Name,0),3)/(INDEX(Antoines,MATCH(N282,Antoine_Name,0),4)+(N289-32)*5/9)))*14.7/760,IF(N283="Crude Oil",EXP((2799/(N289+459.6)-2.227)*LOG10(INDEX(FX_Input,AA$5,N$3*$Z$5+$AA$5))-(7261/(N289+459.6))+12.82),IF(N283="Refined Petroleum Stock",EXP((0.7553-(413/(N289+459.6)))*(INDEX(FX_Input,AA$5,N$3*$Z$5+$AA$5-1)^0.5)*LOG10(INDEX(FX_Input,AA$5,N$3*$Z$5+$AA$5))-(1.854-(1042/(N289+459.6)))*(INDEX(FX_Input,AA$5,N$3*$Z$5+$AA$5-1)^0.5)+((2416/(N289+459.6)-2.013)*LOG10(INDEX(FX_Input,AA$5,N$3*$Z$5+$AA$5)))-(8742/(N289+459.6))+15.64),EXP(INDEX(Antoines,MATCH(N282,Antoine_Name,0),2)-INDEX(Antoines,MATCH(N282,Antoine_Name,0),3)/(N289+459.6))))),0)</f>
        <v>0</v>
      </c>
      <c r="O298" cm="1">
        <f t="array" ref="O298">IFERROR(IF(O283="Chemical",(10^(INDEX(Antoines,MATCH(O282,Antoine_Name,0),2)-INDEX(Antoines,MATCH(O282,Antoine_Name,0),3)/(INDEX(Antoines,MATCH(O282,Antoine_Name,0),4)+(O289-32)*5/9)))*14.7/760,IF(O283="Crude Oil",EXP((2799/(O289+459.6)-2.227)*LOG10(INDEX(FX_Input,AB$5,O$3*$Z$5+$AA$5))-(7261/(O289+459.6))+12.82),IF(O283="Refined Petroleum Stock",EXP((0.7553-(413/(O289+459.6)))*(INDEX(FX_Input,AB$5,O$3*$Z$5+$AA$5-1)^0.5)*LOG10(INDEX(FX_Input,AB$5,O$3*$Z$5+$AA$5))-(1.854-(1042/(O289+459.6)))*(INDEX(FX_Input,AB$5,O$3*$Z$5+$AA$5-1)^0.5)+((2416/(O289+459.6)-2.013)*LOG10(INDEX(FX_Input,AB$5,O$3*$Z$5+$AA$5)))-(8742/(O289+459.6))+15.64),EXP(INDEX(Antoines,MATCH(O282,Antoine_Name,0),2)-INDEX(Antoines,MATCH(O282,Antoine_Name,0),3)/(O289+459.6))))),0)</f>
        <v>0</v>
      </c>
    </row>
    <row r="299" spans="2:32" ht="17.149999999999999" x14ac:dyDescent="0.55000000000000004">
      <c r="B299" t="str">
        <f t="shared" si="916"/>
        <v>Portland</v>
      </c>
      <c r="C299" t="s">
        <v>582</v>
      </c>
      <c r="D299">
        <f>D298*D286</f>
        <v>0</v>
      </c>
      <c r="E299">
        <f t="shared" ref="E299" si="961">E298*E286</f>
        <v>0</v>
      </c>
      <c r="F299">
        <f t="shared" ref="F299" si="962">F298*F286</f>
        <v>0</v>
      </c>
      <c r="G299">
        <f t="shared" ref="G299" si="963">G298*G286</f>
        <v>0</v>
      </c>
      <c r="H299">
        <f t="shared" ref="H299" si="964">H298*H286</f>
        <v>0</v>
      </c>
      <c r="I299">
        <f t="shared" ref="I299" si="965">I298*I286</f>
        <v>0</v>
      </c>
      <c r="J299">
        <f t="shared" ref="J299" si="966">J298*J286</f>
        <v>0</v>
      </c>
      <c r="K299">
        <f t="shared" ref="K299" si="967">K298*K286</f>
        <v>0</v>
      </c>
      <c r="L299">
        <f t="shared" ref="L299" si="968">L298*L286</f>
        <v>0</v>
      </c>
      <c r="M299">
        <f t="shared" ref="M299" si="969">M298*M286</f>
        <v>0</v>
      </c>
      <c r="N299">
        <f t="shared" ref="N299" si="970">N298*N286</f>
        <v>0</v>
      </c>
      <c r="O299">
        <f t="shared" ref="O299" si="971">O298*O286</f>
        <v>0</v>
      </c>
    </row>
    <row r="300" spans="2:32" ht="17.149999999999999" x14ac:dyDescent="0.55000000000000004">
      <c r="B300" t="str">
        <f t="shared" si="916"/>
        <v>Portland</v>
      </c>
      <c r="C300" t="s">
        <v>583</v>
      </c>
      <c r="D300">
        <f>D297+D299</f>
        <v>5.2033036727344552E-3</v>
      </c>
      <c r="E300">
        <f t="shared" ref="E300" si="972">E297+E299</f>
        <v>5.5385065183370758E-3</v>
      </c>
      <c r="F300">
        <f t="shared" ref="F300" si="973">F297+F299</f>
        <v>5.9077167859673575E-3</v>
      </c>
      <c r="G300">
        <f t="shared" ref="G300" si="974">G297+G299</f>
        <v>6.5849388112918178E-3</v>
      </c>
      <c r="H300">
        <f t="shared" ref="H300" si="975">H297+H299</f>
        <v>7.7939195379121001E-3</v>
      </c>
      <c r="I300">
        <f t="shared" ref="I300" si="976">I297+I299</f>
        <v>8.8347329003026723E-3</v>
      </c>
      <c r="J300">
        <f t="shared" ref="J300" si="977">J297+J299</f>
        <v>9.9592296270275289E-3</v>
      </c>
      <c r="K300">
        <f t="shared" ref="K300" si="978">K297+K299</f>
        <v>1.0044214742690162E-2</v>
      </c>
      <c r="L300">
        <f t="shared" ref="L300" si="979">L297+L299</f>
        <v>9.3389439263883208E-3</v>
      </c>
      <c r="M300">
        <f t="shared" ref="M300" si="980">M297+M299</f>
        <v>7.3896033166885589E-3</v>
      </c>
      <c r="N300">
        <f t="shared" ref="N300" si="981">N297+N299</f>
        <v>5.902399466128503E-3</v>
      </c>
      <c r="O300">
        <f t="shared" ref="O300" si="982">O297+O299</f>
        <v>5.1222820261006847E-3</v>
      </c>
    </row>
    <row r="301" spans="2:32" ht="17.149999999999999" x14ac:dyDescent="0.55000000000000004">
      <c r="B301" t="str">
        <f t="shared" si="916"/>
        <v>Portland</v>
      </c>
      <c r="C301" t="s">
        <v>1388</v>
      </c>
      <c r="D301" cm="1">
        <f t="array" ref="D301">IFERROR(IF(D281="Chemical",(10^(INDEX(Antoines,MATCH(D280,Antoine_Name,0),2)-INDEX(Antoines,MATCH(D280,Antoine_Name,0),3)/(INDEX(Antoines,MATCH(D280,Antoine_Name,0),4)+(D290-32)*5/9)))*14.7/760,IF(D281="Crude Oil",EXP((2799/(D290+459.6)-2.227)*LOG10(INDEX(FX_Input,Q$5,D$3*$Z$5+$AA$5))-(7261/(D290+459.6))+12.82),IF(D281="Refined Petroleum Stock",EXP((0.7553-(413/(D290+459.6)))*(INDEX(FX_Input,Q$5,D$3*$Z$5+$AA$5-1)^0.5)*LOG10(INDEX(FX_Input,Q$5,D$3*$Z$5+$AA$5))-(1.854-(1042/(D290+459.6)))*(INDEX(FX_Input,Q$5,D$3*$Z$5+$AA$5-1)^0.5)+((2416/(D290+459.6)-2.013)*LOG10(INDEX(FX_Input,Q$5,D$3*$Z$5+$AA$5)))-(8742/(D290+459.6))+15.64),EXP(INDEX(Antoines,MATCH(D280,Antoine_Name,0),2)-INDEX(Antoines,MATCH(D280,Antoine_Name,0),3)/(D290+459.6))))),0)</f>
        <v>4.883250638471285E-3</v>
      </c>
      <c r="E301" cm="1">
        <f t="array" ref="E301">IFERROR(IF(E281="Chemical",(10^(INDEX(Antoines,MATCH(E280,Antoine_Name,0),2)-INDEX(Antoines,MATCH(E280,Antoine_Name,0),3)/(INDEX(Antoines,MATCH(E280,Antoine_Name,0),4)+(E290-32)*5/9)))*14.7/760,IF(E281="Crude Oil",EXP((2799/(E290+459.6)-2.227)*LOG10(INDEX(FX_Input,R$5,E$3*$Z$5+$AA$5))-(7261/(E290+459.6))+12.82),IF(E281="Refined Petroleum Stock",EXP((0.7553-(413/(E290+459.6)))*(INDEX(FX_Input,R$5,E$3*$Z$5+$AA$5-1)^0.5)*LOG10(INDEX(FX_Input,R$5,E$3*$Z$5+$AA$5))-(1.854-(1042/(E290+459.6)))*(INDEX(FX_Input,R$5,E$3*$Z$5+$AA$5-1)^0.5)+((2416/(E290+459.6)-2.013)*LOG10(INDEX(FX_Input,R$5,E$3*$Z$5+$AA$5)))-(8742/(E290+459.6))+15.64),EXP(INDEX(Antoines,MATCH(E280,Antoine_Name,0),2)-INDEX(Antoines,MATCH(E280,Antoine_Name,0),3)/(E290+459.6))))),0)</f>
        <v>5.1351067062407989E-3</v>
      </c>
      <c r="F301" cm="1">
        <f t="array" ref="F301">IFERROR(IF(F281="Chemical",(10^(INDEX(Antoines,MATCH(F280,Antoine_Name,0),2)-INDEX(Antoines,MATCH(F280,Antoine_Name,0),3)/(INDEX(Antoines,MATCH(F280,Antoine_Name,0),4)+(F290-32)*5/9)))*14.7/760,IF(F281="Crude Oil",EXP((2799/(F290+459.6)-2.227)*LOG10(INDEX(FX_Input,S$5,F$3*$Z$5+$AA$5))-(7261/(F290+459.6))+12.82),IF(F281="Refined Petroleum Stock",EXP((0.7553-(413/(F290+459.6)))*(INDEX(FX_Input,S$5,F$3*$Z$5+$AA$5-1)^0.5)*LOG10(INDEX(FX_Input,S$5,F$3*$Z$5+$AA$5))-(1.854-(1042/(F290+459.6)))*(INDEX(FX_Input,S$5,F$3*$Z$5+$AA$5-1)^0.5)+((2416/(F290+459.6)-2.013)*LOG10(INDEX(FX_Input,S$5,F$3*$Z$5+$AA$5)))-(8742/(F290+459.6))+15.64),EXP(INDEX(Antoines,MATCH(F280,Antoine_Name,0),2)-INDEX(Antoines,MATCH(F280,Antoine_Name,0),3)/(F290+459.6))))),0)</f>
        <v>5.5213829543467952E-3</v>
      </c>
      <c r="G301" cm="1">
        <f t="array" ref="G301">IFERROR(IF(G281="Chemical",(10^(INDEX(Antoines,MATCH(G280,Antoine_Name,0),2)-INDEX(Antoines,MATCH(G280,Antoine_Name,0),3)/(INDEX(Antoines,MATCH(G280,Antoine_Name,0),4)+(G290-32)*5/9)))*14.7/760,IF(G281="Crude Oil",EXP((2799/(G290+459.6)-2.227)*LOG10(INDEX(FX_Input,T$5,G$3*$Z$5+$AA$5))-(7261/(G290+459.6))+12.82),IF(G281="Refined Petroleum Stock",EXP((0.7553-(413/(G290+459.6)))*(INDEX(FX_Input,T$5,G$3*$Z$5+$AA$5-1)^0.5)*LOG10(INDEX(FX_Input,T$5,G$3*$Z$5+$AA$5))-(1.854-(1042/(G290+459.6)))*(INDEX(FX_Input,T$5,G$3*$Z$5+$AA$5-1)^0.5)+((2416/(G290+459.6)-2.013)*LOG10(INDEX(FX_Input,T$5,G$3*$Z$5+$AA$5)))-(8742/(G290+459.6))+15.64),EXP(INDEX(Antoines,MATCH(G280,Antoine_Name,0),2)-INDEX(Antoines,MATCH(G280,Antoine_Name,0),3)/(G290+459.6))))),0)</f>
        <v>6.2124720487193742E-3</v>
      </c>
      <c r="H301" cm="1">
        <f t="array" ref="H301">IFERROR(IF(H281="Chemical",(10^(INDEX(Antoines,MATCH(H280,Antoine_Name,0),2)-INDEX(Antoines,MATCH(H280,Antoine_Name,0),3)/(INDEX(Antoines,MATCH(H280,Antoine_Name,0),4)+(H290-32)*5/9)))*14.7/760,IF(H281="Crude Oil",EXP((2799/(H290+459.6)-2.227)*LOG10(INDEX(FX_Input,U$5,H$3*$Z$5+$AA$5))-(7261/(H290+459.6))+12.82),IF(H281="Refined Petroleum Stock",EXP((0.7553-(413/(H290+459.6)))*(INDEX(FX_Input,U$5,H$3*$Z$5+$AA$5-1)^0.5)*LOG10(INDEX(FX_Input,U$5,H$3*$Z$5+$AA$5))-(1.854-(1042/(H290+459.6)))*(INDEX(FX_Input,U$5,H$3*$Z$5+$AA$5-1)^0.5)+((2416/(H290+459.6)-2.013)*LOG10(INDEX(FX_Input,U$5,H$3*$Z$5+$AA$5)))-(8742/(H290+459.6))+15.64),EXP(INDEX(Antoines,MATCH(H280,Antoine_Name,0),2)-INDEX(Antoines,MATCH(H280,Antoine_Name,0),3)/(H290+459.6))))),0)</f>
        <v>7.4209663387537275E-3</v>
      </c>
      <c r="I301" cm="1">
        <f t="array" ref="I301">IFERROR(IF(I281="Chemical",(10^(INDEX(Antoines,MATCH(I280,Antoine_Name,0),2)-INDEX(Antoines,MATCH(I280,Antoine_Name,0),3)/(INDEX(Antoines,MATCH(I280,Antoine_Name,0),4)+(I290-32)*5/9)))*14.7/760,IF(I281="Crude Oil",EXP((2799/(I290+459.6)-2.227)*LOG10(INDEX(FX_Input,V$5,I$3*$Z$5+$AA$5))-(7261/(I290+459.6))+12.82),IF(I281="Refined Petroleum Stock",EXP((0.7553-(413/(I290+459.6)))*(INDEX(FX_Input,V$5,I$3*$Z$5+$AA$5-1)^0.5)*LOG10(INDEX(FX_Input,V$5,I$3*$Z$5+$AA$5))-(1.854-(1042/(I290+459.6)))*(INDEX(FX_Input,V$5,I$3*$Z$5+$AA$5-1)^0.5)+((2416/(I290+459.6)-2.013)*LOG10(INDEX(FX_Input,V$5,I$3*$Z$5+$AA$5)))-(8742/(I290+459.6))+15.64),EXP(INDEX(Antoines,MATCH(I280,Antoine_Name,0),2)-INDEX(Antoines,MATCH(I280,Antoine_Name,0),3)/(I290+459.6))))),0)</f>
        <v>8.4819819298252285E-3</v>
      </c>
      <c r="J301" cm="1">
        <f t="array" ref="J301">IFERROR(IF(J281="Chemical",(10^(INDEX(Antoines,MATCH(J280,Antoine_Name,0),2)-INDEX(Antoines,MATCH(J280,Antoine_Name,0),3)/(INDEX(Antoines,MATCH(J280,Antoine_Name,0),4)+(J290-32)*5/9)))*14.7/760,IF(J281="Crude Oil",EXP((2799/(J290+459.6)-2.227)*LOG10(INDEX(FX_Input,W$5,J$3*$Z$5+$AA$5))-(7261/(J290+459.6))+12.82),IF(J281="Refined Petroleum Stock",EXP((0.7553-(413/(J290+459.6)))*(INDEX(FX_Input,W$5,J$3*$Z$5+$AA$5-1)^0.5)*LOG10(INDEX(FX_Input,W$5,J$3*$Z$5+$AA$5))-(1.854-(1042/(J290+459.6)))*(INDEX(FX_Input,W$5,J$3*$Z$5+$AA$5-1)^0.5)+((2416/(J290+459.6)-2.013)*LOG10(INDEX(FX_Input,W$5,J$3*$Z$5+$AA$5)))-(8742/(J290+459.6))+15.64),EXP(INDEX(Antoines,MATCH(J280,Antoine_Name,0),2)-INDEX(Antoines,MATCH(J280,Antoine_Name,0),3)/(J290+459.6))))),0)</f>
        <v>9.5741064128135375E-3</v>
      </c>
      <c r="K301" cm="1">
        <f t="array" ref="K301">IFERROR(IF(K281="Chemical",(10^(INDEX(Antoines,MATCH(K280,Antoine_Name,0),2)-INDEX(Antoines,MATCH(K280,Antoine_Name,0),3)/(INDEX(Antoines,MATCH(K280,Antoine_Name,0),4)+(K290-32)*5/9)))*14.7/760,IF(K281="Crude Oil",EXP((2799/(K290+459.6)-2.227)*LOG10(INDEX(FX_Input,X$5,K$3*$Z$5+$AA$5))-(7261/(K290+459.6))+12.82),IF(K281="Refined Petroleum Stock",EXP((0.7553-(413/(K290+459.6)))*(INDEX(FX_Input,X$5,K$3*$Z$5+$AA$5-1)^0.5)*LOG10(INDEX(FX_Input,X$5,K$3*$Z$5+$AA$5))-(1.854-(1042/(K290+459.6)))*(INDEX(FX_Input,X$5,K$3*$Z$5+$AA$5-1)^0.5)+((2416/(K290+459.6)-2.013)*LOG10(INDEX(FX_Input,X$5,K$3*$Z$5+$AA$5)))-(8742/(K290+459.6))+15.64),EXP(INDEX(Antoines,MATCH(K280,Antoine_Name,0),2)-INDEX(Antoines,MATCH(K280,Antoine_Name,0),3)/(K290+459.6))))),0)</f>
        <v>9.5478148180509845E-3</v>
      </c>
      <c r="L301" cm="1">
        <f t="array" ref="L301">IFERROR(IF(L281="Chemical",(10^(INDEX(Antoines,MATCH(L280,Antoine_Name,0),2)-INDEX(Antoines,MATCH(L280,Antoine_Name,0),3)/(INDEX(Antoines,MATCH(L280,Antoine_Name,0),4)+(L290-32)*5/9)))*14.7/760,IF(L281="Crude Oil",EXP((2799/(L290+459.6)-2.227)*LOG10(INDEX(FX_Input,Y$5,L$3*$Z$5+$AA$5))-(7261/(L290+459.6))+12.82),IF(L281="Refined Petroleum Stock",EXP((0.7553-(413/(L290+459.6)))*(INDEX(FX_Input,Y$5,L$3*$Z$5+$AA$5-1)^0.5)*LOG10(INDEX(FX_Input,Y$5,L$3*$Z$5+$AA$5))-(1.854-(1042/(L290+459.6)))*(INDEX(FX_Input,Y$5,L$3*$Z$5+$AA$5-1)^0.5)+((2416/(L290+459.6)-2.013)*LOG10(INDEX(FX_Input,Y$5,L$3*$Z$5+$AA$5)))-(8742/(L290+459.6))+15.64),EXP(INDEX(Antoines,MATCH(L280,Antoine_Name,0),2)-INDEX(Antoines,MATCH(L280,Antoine_Name,0),3)/(L290+459.6))))),0)</f>
        <v>8.6464528192362108E-3</v>
      </c>
      <c r="M301" cm="1">
        <f t="array" ref="M301">IFERROR(IF(M281="Chemical",(10^(INDEX(Antoines,MATCH(M280,Antoine_Name,0),2)-INDEX(Antoines,MATCH(M280,Antoine_Name,0),3)/(INDEX(Antoines,MATCH(M280,Antoine_Name,0),4)+(M290-32)*5/9)))*14.7/760,IF(M281="Crude Oil",EXP((2799/(M290+459.6)-2.227)*LOG10(INDEX(FX_Input,Z$5,M$3*$Z$5+$AA$5))-(7261/(M290+459.6))+12.82),IF(M281="Refined Petroleum Stock",EXP((0.7553-(413/(M290+459.6)))*(INDEX(FX_Input,Z$5,M$3*$Z$5+$AA$5-1)^0.5)*LOG10(INDEX(FX_Input,Z$5,M$3*$Z$5+$AA$5))-(1.854-(1042/(M290+459.6)))*(INDEX(FX_Input,Z$5,M$3*$Z$5+$AA$5-1)^0.5)+((2416/(M290+459.6)-2.013)*LOG10(INDEX(FX_Input,Z$5,M$3*$Z$5+$AA$5)))-(8742/(M290+459.6))+15.64),EXP(INDEX(Antoines,MATCH(M280,Antoine_Name,0),2)-INDEX(Antoines,MATCH(M280,Antoine_Name,0),3)/(M290+459.6))))),0)</f>
        <v>6.8218393379121701E-3</v>
      </c>
      <c r="N301" cm="1">
        <f t="array" ref="N301">IFERROR(IF(N281="Chemical",(10^(INDEX(Antoines,MATCH(N280,Antoine_Name,0),2)-INDEX(Antoines,MATCH(N280,Antoine_Name,0),3)/(INDEX(Antoines,MATCH(N280,Antoine_Name,0),4)+(N290-32)*5/9)))*14.7/760,IF(N281="Crude Oil",EXP((2799/(N290+459.6)-2.227)*LOG10(INDEX(FX_Input,AA$5,N$3*$Z$5+$AA$5))-(7261/(N290+459.6))+12.82),IF(N281="Refined Petroleum Stock",EXP((0.7553-(413/(N290+459.6)))*(INDEX(FX_Input,AA$5,N$3*$Z$5+$AA$5-1)^0.5)*LOG10(INDEX(FX_Input,AA$5,N$3*$Z$5+$AA$5))-(1.854-(1042/(N290+459.6)))*(INDEX(FX_Input,AA$5,N$3*$Z$5+$AA$5-1)^0.5)+((2416/(N290+459.6)-2.013)*LOG10(INDEX(FX_Input,AA$5,N$3*$Z$5+$AA$5)))-(8742/(N290+459.6))+15.64),EXP(INDEX(Antoines,MATCH(N280,Antoine_Name,0),2)-INDEX(Antoines,MATCH(N280,Antoine_Name,0),3)/(N290+459.6))))),0)</f>
        <v>5.4827140055800742E-3</v>
      </c>
      <c r="O301" cm="1">
        <f t="array" ref="O301">IFERROR(IF(O281="Chemical",(10^(INDEX(Antoines,MATCH(O280,Antoine_Name,0),2)-INDEX(Antoines,MATCH(O280,Antoine_Name,0),3)/(INDEX(Antoines,MATCH(O280,Antoine_Name,0),4)+(O290-32)*5/9)))*14.7/760,IF(O281="Crude Oil",EXP((2799/(O290+459.6)-2.227)*LOG10(INDEX(FX_Input,AB$5,O$3*$Z$5+$AA$5))-(7261/(O290+459.6))+12.82),IF(O281="Refined Petroleum Stock",EXP((0.7553-(413/(O290+459.6)))*(INDEX(FX_Input,AB$5,O$3*$Z$5+$AA$5-1)^0.5)*LOG10(INDEX(FX_Input,AB$5,O$3*$Z$5+$AA$5))-(1.854-(1042/(O290+459.6)))*(INDEX(FX_Input,AB$5,O$3*$Z$5+$AA$5-1)^0.5)+((2416/(O290+459.6)-2.013)*LOG10(INDEX(FX_Input,AB$5,O$3*$Z$5+$AA$5)))-(8742/(O290+459.6))+15.64),EXP(INDEX(Antoines,MATCH(O280,Antoine_Name,0),2)-INDEX(Antoines,MATCH(O280,Antoine_Name,0),3)/(O290+459.6))))),0)</f>
        <v>4.8148298503950734E-3</v>
      </c>
    </row>
    <row r="302" spans="2:32" ht="17.149999999999999" x14ac:dyDescent="0.55000000000000004">
      <c r="B302" t="str">
        <f t="shared" si="916"/>
        <v>Portland</v>
      </c>
      <c r="C302" t="s">
        <v>1389</v>
      </c>
      <c r="D302">
        <f>D301*D284</f>
        <v>4.883250638471285E-3</v>
      </c>
      <c r="E302">
        <f t="shared" ref="E302" si="983">E301*E284</f>
        <v>5.1351067062407989E-3</v>
      </c>
      <c r="F302">
        <f t="shared" ref="F302" si="984">F301*F284</f>
        <v>5.5213829543467952E-3</v>
      </c>
      <c r="G302">
        <f t="shared" ref="G302" si="985">G301*G284</f>
        <v>6.2124720487193742E-3</v>
      </c>
      <c r="H302">
        <f t="shared" ref="H302" si="986">H301*H284</f>
        <v>7.4209663387537275E-3</v>
      </c>
      <c r="I302">
        <f t="shared" ref="I302" si="987">I301*I284</f>
        <v>8.4819819298252285E-3</v>
      </c>
      <c r="J302">
        <f t="shared" ref="J302" si="988">J301*J284</f>
        <v>9.5741064128135375E-3</v>
      </c>
      <c r="K302">
        <f t="shared" ref="K302" si="989">K301*K284</f>
        <v>9.5478148180509845E-3</v>
      </c>
      <c r="L302">
        <f t="shared" ref="L302" si="990">L301*L284</f>
        <v>8.6464528192362108E-3</v>
      </c>
      <c r="M302">
        <f t="shared" ref="M302" si="991">M301*M284</f>
        <v>6.8218393379121701E-3</v>
      </c>
      <c r="N302">
        <f t="shared" ref="N302" si="992">N301*N284</f>
        <v>5.4827140055800742E-3</v>
      </c>
      <c r="O302">
        <f t="shared" ref="O302" si="993">O301*O284</f>
        <v>4.8148298503950734E-3</v>
      </c>
    </row>
    <row r="303" spans="2:32" ht="17.149999999999999" x14ac:dyDescent="0.55000000000000004">
      <c r="B303" t="str">
        <f t="shared" si="916"/>
        <v>Portland</v>
      </c>
      <c r="C303" t="s">
        <v>1390</v>
      </c>
      <c r="D303" cm="1">
        <f t="array" ref="D303">IFERROR(IF(D283="Chemical",(10^(INDEX(Antoines,MATCH(D282,Antoine_Name,0),2)-INDEX(Antoines,MATCH(D282,Antoine_Name,0),3)/(INDEX(Antoines,MATCH(D282,Antoine_Name,0),4)+(D290-32)*5/9)))*14.7/760,IF(D283="Crude Oil",EXP((2799/(D290+459.6)-2.227)*LOG10(INDEX(FX_Input,Q$5,D$3*$Z$5+$AA$5))-(7261/(D290+459.6))+12.82),IF(D283="Refined Petroleum Stock",EXP((0.7553-(413/(D290+459.6)))*(INDEX(FX_Input,Q$5,D$3*$Z$5+$AA$5-1)^0.5)*LOG10(INDEX(FX_Input,Q$5,D$3*$Z$5+$AA$5))-(1.854-(1042/(D290+459.6)))*(INDEX(FX_Input,Q$5,D$3*$Z$5+$AA$5-1)^0.5)+((2416/(D290+459.6)-2.013)*LOG10(INDEX(FX_Input,Q$5,D$3*$Z$5+$AA$5)))-(8742/(D290+459.6))+15.64),EXP(INDEX(Antoines,MATCH(D282,Antoine_Name,0),2)-INDEX(Antoines,MATCH(D282,Antoine_Name,0),3)/(D290+459.6))))),0)</f>
        <v>0</v>
      </c>
      <c r="E303" cm="1">
        <f t="array" ref="E303">IFERROR(IF(E283="Chemical",(10^(INDEX(Antoines,MATCH(E282,Antoine_Name,0),2)-INDEX(Antoines,MATCH(E282,Antoine_Name,0),3)/(INDEX(Antoines,MATCH(E282,Antoine_Name,0),4)+(E290-32)*5/9)))*14.7/760,IF(E283="Crude Oil",EXP((2799/(E290+459.6)-2.227)*LOG10(INDEX(FX_Input,R$5,E$3*$Z$5+$AA$5))-(7261/(E290+459.6))+12.82),IF(E283="Refined Petroleum Stock",EXP((0.7553-(413/(E290+459.6)))*(INDEX(FX_Input,R$5,E$3*$Z$5+$AA$5-1)^0.5)*LOG10(INDEX(FX_Input,R$5,E$3*$Z$5+$AA$5))-(1.854-(1042/(E290+459.6)))*(INDEX(FX_Input,R$5,E$3*$Z$5+$AA$5-1)^0.5)+((2416/(E290+459.6)-2.013)*LOG10(INDEX(FX_Input,R$5,E$3*$Z$5+$AA$5)))-(8742/(E290+459.6))+15.64),EXP(INDEX(Antoines,MATCH(E282,Antoine_Name,0),2)-INDEX(Antoines,MATCH(E282,Antoine_Name,0),3)/(E290+459.6))))),0)</f>
        <v>0</v>
      </c>
      <c r="F303" cm="1">
        <f t="array" ref="F303">IFERROR(IF(F283="Chemical",(10^(INDEX(Antoines,MATCH(F282,Antoine_Name,0),2)-INDEX(Antoines,MATCH(F282,Antoine_Name,0),3)/(INDEX(Antoines,MATCH(F282,Antoine_Name,0),4)+(F290-32)*5/9)))*14.7/760,IF(F283="Crude Oil",EXP((2799/(F290+459.6)-2.227)*LOG10(INDEX(FX_Input,S$5,F$3*$Z$5+$AA$5))-(7261/(F290+459.6))+12.82),IF(F283="Refined Petroleum Stock",EXP((0.7553-(413/(F290+459.6)))*(INDEX(FX_Input,S$5,F$3*$Z$5+$AA$5-1)^0.5)*LOG10(INDEX(FX_Input,S$5,F$3*$Z$5+$AA$5))-(1.854-(1042/(F290+459.6)))*(INDEX(FX_Input,S$5,F$3*$Z$5+$AA$5-1)^0.5)+((2416/(F290+459.6)-2.013)*LOG10(INDEX(FX_Input,S$5,F$3*$Z$5+$AA$5)))-(8742/(F290+459.6))+15.64),EXP(INDEX(Antoines,MATCH(F282,Antoine_Name,0),2)-INDEX(Antoines,MATCH(F282,Antoine_Name,0),3)/(F290+459.6))))),0)</f>
        <v>0</v>
      </c>
      <c r="G303" cm="1">
        <f t="array" ref="G303">IFERROR(IF(G283="Chemical",(10^(INDEX(Antoines,MATCH(G282,Antoine_Name,0),2)-INDEX(Antoines,MATCH(G282,Antoine_Name,0),3)/(INDEX(Antoines,MATCH(G282,Antoine_Name,0),4)+(G290-32)*5/9)))*14.7/760,IF(G283="Crude Oil",EXP((2799/(G290+459.6)-2.227)*LOG10(INDEX(FX_Input,T$5,G$3*$Z$5+$AA$5))-(7261/(G290+459.6))+12.82),IF(G283="Refined Petroleum Stock",EXP((0.7553-(413/(G290+459.6)))*(INDEX(FX_Input,T$5,G$3*$Z$5+$AA$5-1)^0.5)*LOG10(INDEX(FX_Input,T$5,G$3*$Z$5+$AA$5))-(1.854-(1042/(G290+459.6)))*(INDEX(FX_Input,T$5,G$3*$Z$5+$AA$5-1)^0.5)+((2416/(G290+459.6)-2.013)*LOG10(INDEX(FX_Input,T$5,G$3*$Z$5+$AA$5)))-(8742/(G290+459.6))+15.64),EXP(INDEX(Antoines,MATCH(G282,Antoine_Name,0),2)-INDEX(Antoines,MATCH(G282,Antoine_Name,0),3)/(G290+459.6))))),0)</f>
        <v>0</v>
      </c>
      <c r="H303" cm="1">
        <f t="array" ref="H303">IFERROR(IF(H283="Chemical",(10^(INDEX(Antoines,MATCH(H282,Antoine_Name,0),2)-INDEX(Antoines,MATCH(H282,Antoine_Name,0),3)/(INDEX(Antoines,MATCH(H282,Antoine_Name,0),4)+(H290-32)*5/9)))*14.7/760,IF(H283="Crude Oil",EXP((2799/(H290+459.6)-2.227)*LOG10(INDEX(FX_Input,U$5,H$3*$Z$5+$AA$5))-(7261/(H290+459.6))+12.82),IF(H283="Refined Petroleum Stock",EXP((0.7553-(413/(H290+459.6)))*(INDEX(FX_Input,U$5,H$3*$Z$5+$AA$5-1)^0.5)*LOG10(INDEX(FX_Input,U$5,H$3*$Z$5+$AA$5))-(1.854-(1042/(H290+459.6)))*(INDEX(FX_Input,U$5,H$3*$Z$5+$AA$5-1)^0.5)+((2416/(H290+459.6)-2.013)*LOG10(INDEX(FX_Input,U$5,H$3*$Z$5+$AA$5)))-(8742/(H290+459.6))+15.64),EXP(INDEX(Antoines,MATCH(H282,Antoine_Name,0),2)-INDEX(Antoines,MATCH(H282,Antoine_Name,0),3)/(H290+459.6))))),0)</f>
        <v>0</v>
      </c>
      <c r="I303" cm="1">
        <f t="array" ref="I303">IFERROR(IF(I283="Chemical",(10^(INDEX(Antoines,MATCH(I282,Antoine_Name,0),2)-INDEX(Antoines,MATCH(I282,Antoine_Name,0),3)/(INDEX(Antoines,MATCH(I282,Antoine_Name,0),4)+(I290-32)*5/9)))*14.7/760,IF(I283="Crude Oil",EXP((2799/(I290+459.6)-2.227)*LOG10(INDEX(FX_Input,V$5,I$3*$Z$5+$AA$5))-(7261/(I290+459.6))+12.82),IF(I283="Refined Petroleum Stock",EXP((0.7553-(413/(I290+459.6)))*(INDEX(FX_Input,V$5,I$3*$Z$5+$AA$5-1)^0.5)*LOG10(INDEX(FX_Input,V$5,I$3*$Z$5+$AA$5))-(1.854-(1042/(I290+459.6)))*(INDEX(FX_Input,V$5,I$3*$Z$5+$AA$5-1)^0.5)+((2416/(I290+459.6)-2.013)*LOG10(INDEX(FX_Input,V$5,I$3*$Z$5+$AA$5)))-(8742/(I290+459.6))+15.64),EXP(INDEX(Antoines,MATCH(I282,Antoine_Name,0),2)-INDEX(Antoines,MATCH(I282,Antoine_Name,0),3)/(I290+459.6))))),0)</f>
        <v>0</v>
      </c>
      <c r="J303" cm="1">
        <f t="array" ref="J303">IFERROR(IF(J283="Chemical",(10^(INDEX(Antoines,MATCH(J282,Antoine_Name,0),2)-INDEX(Antoines,MATCH(J282,Antoine_Name,0),3)/(INDEX(Antoines,MATCH(J282,Antoine_Name,0),4)+(J290-32)*5/9)))*14.7/760,IF(J283="Crude Oil",EXP((2799/(J290+459.6)-2.227)*LOG10(INDEX(FX_Input,W$5,J$3*$Z$5+$AA$5))-(7261/(J290+459.6))+12.82),IF(J283="Refined Petroleum Stock",EXP((0.7553-(413/(J290+459.6)))*(INDEX(FX_Input,W$5,J$3*$Z$5+$AA$5-1)^0.5)*LOG10(INDEX(FX_Input,W$5,J$3*$Z$5+$AA$5))-(1.854-(1042/(J290+459.6)))*(INDEX(FX_Input,W$5,J$3*$Z$5+$AA$5-1)^0.5)+((2416/(J290+459.6)-2.013)*LOG10(INDEX(FX_Input,W$5,J$3*$Z$5+$AA$5)))-(8742/(J290+459.6))+15.64),EXP(INDEX(Antoines,MATCH(J282,Antoine_Name,0),2)-INDEX(Antoines,MATCH(J282,Antoine_Name,0),3)/(J290+459.6))))),0)</f>
        <v>0</v>
      </c>
      <c r="K303" cm="1">
        <f t="array" ref="K303">IFERROR(IF(K283="Chemical",(10^(INDEX(Antoines,MATCH(K282,Antoine_Name,0),2)-INDEX(Antoines,MATCH(K282,Antoine_Name,0),3)/(INDEX(Antoines,MATCH(K282,Antoine_Name,0),4)+(K290-32)*5/9)))*14.7/760,IF(K283="Crude Oil",EXP((2799/(K290+459.6)-2.227)*LOG10(INDEX(FX_Input,X$5,K$3*$Z$5+$AA$5))-(7261/(K290+459.6))+12.82),IF(K283="Refined Petroleum Stock",EXP((0.7553-(413/(K290+459.6)))*(INDEX(FX_Input,X$5,K$3*$Z$5+$AA$5-1)^0.5)*LOG10(INDEX(FX_Input,X$5,K$3*$Z$5+$AA$5))-(1.854-(1042/(K290+459.6)))*(INDEX(FX_Input,X$5,K$3*$Z$5+$AA$5-1)^0.5)+((2416/(K290+459.6)-2.013)*LOG10(INDEX(FX_Input,X$5,K$3*$Z$5+$AA$5)))-(8742/(K290+459.6))+15.64),EXP(INDEX(Antoines,MATCH(K282,Antoine_Name,0),2)-INDEX(Antoines,MATCH(K282,Antoine_Name,0),3)/(K290+459.6))))),0)</f>
        <v>0</v>
      </c>
      <c r="L303" cm="1">
        <f t="array" ref="L303">IFERROR(IF(L283="Chemical",(10^(INDEX(Antoines,MATCH(L282,Antoine_Name,0),2)-INDEX(Antoines,MATCH(L282,Antoine_Name,0),3)/(INDEX(Antoines,MATCH(L282,Antoine_Name,0),4)+(L290-32)*5/9)))*14.7/760,IF(L283="Crude Oil",EXP((2799/(L290+459.6)-2.227)*LOG10(INDEX(FX_Input,Y$5,L$3*$Z$5+$AA$5))-(7261/(L290+459.6))+12.82),IF(L283="Refined Petroleum Stock",EXP((0.7553-(413/(L290+459.6)))*(INDEX(FX_Input,Y$5,L$3*$Z$5+$AA$5-1)^0.5)*LOG10(INDEX(FX_Input,Y$5,L$3*$Z$5+$AA$5))-(1.854-(1042/(L290+459.6)))*(INDEX(FX_Input,Y$5,L$3*$Z$5+$AA$5-1)^0.5)+((2416/(L290+459.6)-2.013)*LOG10(INDEX(FX_Input,Y$5,L$3*$Z$5+$AA$5)))-(8742/(L290+459.6))+15.64),EXP(INDEX(Antoines,MATCH(L282,Antoine_Name,0),2)-INDEX(Antoines,MATCH(L282,Antoine_Name,0),3)/(L290+459.6))))),0)</f>
        <v>0</v>
      </c>
      <c r="M303" cm="1">
        <f t="array" ref="M303">IFERROR(IF(M283="Chemical",(10^(INDEX(Antoines,MATCH(M282,Antoine_Name,0),2)-INDEX(Antoines,MATCH(M282,Antoine_Name,0),3)/(INDEX(Antoines,MATCH(M282,Antoine_Name,0),4)+(M290-32)*5/9)))*14.7/760,IF(M283="Crude Oil",EXP((2799/(M290+459.6)-2.227)*LOG10(INDEX(FX_Input,Z$5,M$3*$Z$5+$AA$5))-(7261/(M290+459.6))+12.82),IF(M283="Refined Petroleum Stock",EXP((0.7553-(413/(M290+459.6)))*(INDEX(FX_Input,Z$5,M$3*$Z$5+$AA$5-1)^0.5)*LOG10(INDEX(FX_Input,Z$5,M$3*$Z$5+$AA$5))-(1.854-(1042/(M290+459.6)))*(INDEX(FX_Input,Z$5,M$3*$Z$5+$AA$5-1)^0.5)+((2416/(M290+459.6)-2.013)*LOG10(INDEX(FX_Input,Z$5,M$3*$Z$5+$AA$5)))-(8742/(M290+459.6))+15.64),EXP(INDEX(Antoines,MATCH(M282,Antoine_Name,0),2)-INDEX(Antoines,MATCH(M282,Antoine_Name,0),3)/(M290+459.6))))),0)</f>
        <v>0</v>
      </c>
      <c r="N303" cm="1">
        <f t="array" ref="N303">IFERROR(IF(N283="Chemical",(10^(INDEX(Antoines,MATCH(N282,Antoine_Name,0),2)-INDEX(Antoines,MATCH(N282,Antoine_Name,0),3)/(INDEX(Antoines,MATCH(N282,Antoine_Name,0),4)+(N290-32)*5/9)))*14.7/760,IF(N283="Crude Oil",EXP((2799/(N290+459.6)-2.227)*LOG10(INDEX(FX_Input,AA$5,N$3*$Z$5+$AA$5))-(7261/(N290+459.6))+12.82),IF(N283="Refined Petroleum Stock",EXP((0.7553-(413/(N290+459.6)))*(INDEX(FX_Input,AA$5,N$3*$Z$5+$AA$5-1)^0.5)*LOG10(INDEX(FX_Input,AA$5,N$3*$Z$5+$AA$5))-(1.854-(1042/(N290+459.6)))*(INDEX(FX_Input,AA$5,N$3*$Z$5+$AA$5-1)^0.5)+((2416/(N290+459.6)-2.013)*LOG10(INDEX(FX_Input,AA$5,N$3*$Z$5+$AA$5)))-(8742/(N290+459.6))+15.64),EXP(INDEX(Antoines,MATCH(N282,Antoine_Name,0),2)-INDEX(Antoines,MATCH(N282,Antoine_Name,0),3)/(N290+459.6))))),0)</f>
        <v>0</v>
      </c>
      <c r="O303" cm="1">
        <f t="array" ref="O303">IFERROR(IF(O283="Chemical",(10^(INDEX(Antoines,MATCH(O282,Antoine_Name,0),2)-INDEX(Antoines,MATCH(O282,Antoine_Name,0),3)/(INDEX(Antoines,MATCH(O282,Antoine_Name,0),4)+(O290-32)*5/9)))*14.7/760,IF(O283="Crude Oil",EXP((2799/(O290+459.6)-2.227)*LOG10(INDEX(FX_Input,AB$5,O$3*$Z$5+$AA$5))-(7261/(O290+459.6))+12.82),IF(O283="Refined Petroleum Stock",EXP((0.7553-(413/(O290+459.6)))*(INDEX(FX_Input,AB$5,O$3*$Z$5+$AA$5-1)^0.5)*LOG10(INDEX(FX_Input,AB$5,O$3*$Z$5+$AA$5))-(1.854-(1042/(O290+459.6)))*(INDEX(FX_Input,AB$5,O$3*$Z$5+$AA$5-1)^0.5)+((2416/(O290+459.6)-2.013)*LOG10(INDEX(FX_Input,AB$5,O$3*$Z$5+$AA$5)))-(8742/(O290+459.6))+15.64),EXP(INDEX(Antoines,MATCH(O282,Antoine_Name,0),2)-INDEX(Antoines,MATCH(O282,Antoine_Name,0),3)/(O290+459.6))))),0)</f>
        <v>0</v>
      </c>
    </row>
    <row r="304" spans="2:32" ht="17.149999999999999" x14ac:dyDescent="0.55000000000000004">
      <c r="B304" t="str">
        <f t="shared" si="916"/>
        <v>Portland</v>
      </c>
      <c r="C304" t="s">
        <v>1391</v>
      </c>
      <c r="D304">
        <f>D303*D286</f>
        <v>0</v>
      </c>
      <c r="E304">
        <f t="shared" ref="E304" si="994">E303*E286</f>
        <v>0</v>
      </c>
      <c r="F304">
        <f t="shared" ref="F304" si="995">F303*F286</f>
        <v>0</v>
      </c>
      <c r="G304">
        <f t="shared" ref="G304" si="996">G303*G286</f>
        <v>0</v>
      </c>
      <c r="H304">
        <f t="shared" ref="H304" si="997">H303*H286</f>
        <v>0</v>
      </c>
      <c r="I304">
        <f t="shared" ref="I304" si="998">I303*I286</f>
        <v>0</v>
      </c>
      <c r="J304">
        <f t="shared" ref="J304" si="999">J303*J286</f>
        <v>0</v>
      </c>
      <c r="K304">
        <f t="shared" ref="K304" si="1000">K303*K286</f>
        <v>0</v>
      </c>
      <c r="L304">
        <f t="shared" ref="L304" si="1001">L303*L286</f>
        <v>0</v>
      </c>
      <c r="M304">
        <f t="shared" ref="M304" si="1002">M303*M286</f>
        <v>0</v>
      </c>
      <c r="N304">
        <f t="shared" ref="N304" si="1003">N303*N286</f>
        <v>0</v>
      </c>
      <c r="O304">
        <f t="shared" ref="O304" si="1004">O303*O286</f>
        <v>0</v>
      </c>
    </row>
    <row r="305" spans="1:32" ht="17.149999999999999" x14ac:dyDescent="0.55000000000000004">
      <c r="B305" t="str">
        <f t="shared" si="916"/>
        <v>Portland</v>
      </c>
      <c r="C305" t="s">
        <v>1392</v>
      </c>
      <c r="D305">
        <f>D302+D304</f>
        <v>4.883250638471285E-3</v>
      </c>
      <c r="E305">
        <f t="shared" ref="E305" si="1005">E302+E304</f>
        <v>5.1351067062407989E-3</v>
      </c>
      <c r="F305">
        <f t="shared" ref="F305" si="1006">F302+F304</f>
        <v>5.5213829543467952E-3</v>
      </c>
      <c r="G305">
        <f t="shared" ref="G305" si="1007">G302+G304</f>
        <v>6.2124720487193742E-3</v>
      </c>
      <c r="H305">
        <f t="shared" ref="H305" si="1008">H302+H304</f>
        <v>7.4209663387537275E-3</v>
      </c>
      <c r="I305">
        <f t="shared" ref="I305" si="1009">I302+I304</f>
        <v>8.4819819298252285E-3</v>
      </c>
      <c r="J305">
        <f t="shared" ref="J305" si="1010">J302+J304</f>
        <v>9.5741064128135375E-3</v>
      </c>
      <c r="K305">
        <f t="shared" ref="K305" si="1011">K302+K304</f>
        <v>9.5478148180509845E-3</v>
      </c>
      <c r="L305">
        <f t="shared" ref="L305" si="1012">L302+L304</f>
        <v>8.6464528192362108E-3</v>
      </c>
      <c r="M305">
        <f t="shared" ref="M305" si="1013">M302+M304</f>
        <v>6.8218393379121701E-3</v>
      </c>
      <c r="N305">
        <f t="shared" ref="N305" si="1014">N302+N304</f>
        <v>5.4827140055800742E-3</v>
      </c>
      <c r="O305">
        <f t="shared" ref="O305" si="1015">O302+O304</f>
        <v>4.8148298503950734E-3</v>
      </c>
    </row>
    <row r="306" spans="1:32" ht="17.149999999999999" x14ac:dyDescent="0.55000000000000004">
      <c r="B306" t="str">
        <f>B300</f>
        <v>Portland</v>
      </c>
      <c r="C306" t="s">
        <v>584</v>
      </c>
      <c r="D306">
        <f>D302/D305</f>
        <v>1</v>
      </c>
      <c r="E306">
        <f t="shared" ref="E306" si="1016">E302/E305</f>
        <v>1</v>
      </c>
      <c r="F306">
        <f t="shared" ref="F306" si="1017">F302/F305</f>
        <v>1</v>
      </c>
      <c r="G306">
        <f t="shared" ref="G306" si="1018">G302/G305</f>
        <v>1</v>
      </c>
      <c r="H306">
        <f t="shared" ref="H306" si="1019">H302/H305</f>
        <v>1</v>
      </c>
      <c r="I306">
        <f t="shared" ref="I306" si="1020">I302/I305</f>
        <v>1</v>
      </c>
      <c r="J306">
        <f t="shared" ref="J306" si="1021">J302/J305</f>
        <v>1</v>
      </c>
      <c r="K306">
        <f t="shared" ref="K306" si="1022">K302/K305</f>
        <v>1</v>
      </c>
      <c r="L306">
        <f t="shared" ref="L306" si="1023">L302/L305</f>
        <v>1</v>
      </c>
      <c r="M306">
        <f t="shared" ref="M306" si="1024">M302/M305</f>
        <v>1</v>
      </c>
      <c r="N306">
        <f t="shared" ref="N306" si="1025">N302/N305</f>
        <v>1</v>
      </c>
      <c r="O306">
        <f t="shared" ref="O306" si="1026">O302/O305</f>
        <v>1</v>
      </c>
    </row>
    <row r="307" spans="1:32" ht="17.149999999999999" x14ac:dyDescent="0.55000000000000004">
      <c r="B307" t="str">
        <f>B301</f>
        <v>Portland</v>
      </c>
      <c r="C307" t="s">
        <v>585</v>
      </c>
      <c r="D307">
        <f t="shared" ref="D307:O307" si="1027">INDEX(Phys_Prop,MATCH(D280,Chem_List,0),3)</f>
        <v>130</v>
      </c>
      <c r="E307">
        <f t="shared" si="1027"/>
        <v>130</v>
      </c>
      <c r="F307">
        <f t="shared" si="1027"/>
        <v>130</v>
      </c>
      <c r="G307">
        <f t="shared" si="1027"/>
        <v>130</v>
      </c>
      <c r="H307">
        <f t="shared" si="1027"/>
        <v>130</v>
      </c>
      <c r="I307">
        <f t="shared" si="1027"/>
        <v>130</v>
      </c>
      <c r="J307">
        <f t="shared" si="1027"/>
        <v>130</v>
      </c>
      <c r="K307">
        <f t="shared" si="1027"/>
        <v>130</v>
      </c>
      <c r="L307">
        <f t="shared" si="1027"/>
        <v>130</v>
      </c>
      <c r="M307">
        <f t="shared" si="1027"/>
        <v>130</v>
      </c>
      <c r="N307">
        <f t="shared" si="1027"/>
        <v>130</v>
      </c>
      <c r="O307">
        <f t="shared" si="1027"/>
        <v>130</v>
      </c>
    </row>
    <row r="308" spans="1:32" ht="17.149999999999999" x14ac:dyDescent="0.55000000000000004">
      <c r="B308" t="str">
        <f>B307</f>
        <v>Portland</v>
      </c>
      <c r="C308" t="s">
        <v>586</v>
      </c>
      <c r="D308">
        <f>D304/D305</f>
        <v>0</v>
      </c>
      <c r="E308">
        <f t="shared" ref="E308:O308" si="1028">E304/E305</f>
        <v>0</v>
      </c>
      <c r="F308">
        <f t="shared" si="1028"/>
        <v>0</v>
      </c>
      <c r="G308">
        <f t="shared" si="1028"/>
        <v>0</v>
      </c>
      <c r="H308">
        <f t="shared" si="1028"/>
        <v>0</v>
      </c>
      <c r="I308">
        <f t="shared" si="1028"/>
        <v>0</v>
      </c>
      <c r="J308">
        <f t="shared" si="1028"/>
        <v>0</v>
      </c>
      <c r="K308">
        <f t="shared" si="1028"/>
        <v>0</v>
      </c>
      <c r="L308">
        <f t="shared" si="1028"/>
        <v>0</v>
      </c>
      <c r="M308">
        <f t="shared" si="1028"/>
        <v>0</v>
      </c>
      <c r="N308">
        <f t="shared" si="1028"/>
        <v>0</v>
      </c>
      <c r="O308">
        <f t="shared" si="1028"/>
        <v>0</v>
      </c>
    </row>
    <row r="309" spans="1:32" ht="17.149999999999999" x14ac:dyDescent="0.55000000000000004">
      <c r="B309" t="str">
        <f t="shared" si="916"/>
        <v>Portland</v>
      </c>
      <c r="C309" t="s">
        <v>587</v>
      </c>
      <c r="D309">
        <f t="shared" ref="D309:O309" si="1029">IFERROR(INDEX(Phys_Prop,MATCH(D282,Chem_List,0),3),0)</f>
        <v>0</v>
      </c>
      <c r="E309">
        <f t="shared" si="1029"/>
        <v>0</v>
      </c>
      <c r="F309">
        <f t="shared" si="1029"/>
        <v>0</v>
      </c>
      <c r="G309">
        <f t="shared" si="1029"/>
        <v>0</v>
      </c>
      <c r="H309">
        <f t="shared" si="1029"/>
        <v>0</v>
      </c>
      <c r="I309">
        <f t="shared" si="1029"/>
        <v>0</v>
      </c>
      <c r="J309">
        <f t="shared" si="1029"/>
        <v>0</v>
      </c>
      <c r="K309">
        <f t="shared" si="1029"/>
        <v>0</v>
      </c>
      <c r="L309">
        <f t="shared" si="1029"/>
        <v>0</v>
      </c>
      <c r="M309">
        <f t="shared" si="1029"/>
        <v>0</v>
      </c>
      <c r="N309">
        <f t="shared" si="1029"/>
        <v>0</v>
      </c>
      <c r="O309">
        <f t="shared" si="1029"/>
        <v>0</v>
      </c>
    </row>
    <row r="310" spans="1:32" ht="17.149999999999999" x14ac:dyDescent="0.55000000000000004">
      <c r="A310" s="11"/>
      <c r="B310" s="11" t="str">
        <f t="shared" si="916"/>
        <v>Portland</v>
      </c>
      <c r="C310" s="11" t="s">
        <v>588</v>
      </c>
      <c r="D310" s="11">
        <f>IFERROR(D306*D307+D308*D309,0)</f>
        <v>130</v>
      </c>
      <c r="E310" s="11">
        <f t="shared" ref="E310" si="1030">IFERROR(E306*E307+E308*E309,0)</f>
        <v>130</v>
      </c>
      <c r="F310" s="11">
        <f t="shared" ref="F310" si="1031">IFERROR(F306*F307+F308*F309,0)</f>
        <v>130</v>
      </c>
      <c r="G310" s="11">
        <f t="shared" ref="G310" si="1032">IFERROR(G306*G307+G308*G309,0)</f>
        <v>130</v>
      </c>
      <c r="H310" s="11">
        <f t="shared" ref="H310" si="1033">IFERROR(H306*H307+H308*H309,0)</f>
        <v>130</v>
      </c>
      <c r="I310" s="11">
        <f t="shared" ref="I310" si="1034">IFERROR(I306*I307+I308*I309,0)</f>
        <v>130</v>
      </c>
      <c r="J310" s="11">
        <f t="shared" ref="J310" si="1035">IFERROR(J306*J307+J308*J309,0)</f>
        <v>130</v>
      </c>
      <c r="K310" s="11">
        <f t="shared" ref="K310" si="1036">IFERROR(K306*K307+K308*K309,0)</f>
        <v>130</v>
      </c>
      <c r="L310" s="11">
        <f t="shared" ref="L310" si="1037">IFERROR(L306*L307+L308*L309,0)</f>
        <v>130</v>
      </c>
      <c r="M310" s="11">
        <f t="shared" ref="M310" si="1038">IFERROR(M306*M307+M308*M309,0)</f>
        <v>130</v>
      </c>
      <c r="N310" s="11">
        <f t="shared" ref="N310" si="1039">IFERROR(N306*N307+N308*N309,0)</f>
        <v>130</v>
      </c>
      <c r="O310" s="11">
        <f t="shared" ref="O310" si="1040">IFERROR(O306*O307+O308*O309,0)</f>
        <v>130</v>
      </c>
      <c r="P310" s="11"/>
      <c r="Q310" s="11"/>
      <c r="R310" s="11"/>
      <c r="S310" s="11"/>
      <c r="T310" s="11"/>
      <c r="U310" s="11"/>
      <c r="V310" s="11"/>
      <c r="W310" s="11"/>
      <c r="X310" s="11"/>
      <c r="Y310" s="11"/>
      <c r="Z310" s="11"/>
      <c r="AA310" s="11"/>
      <c r="AB310" s="11"/>
      <c r="AC310" s="11"/>
      <c r="AD310" s="11"/>
      <c r="AE310" s="11"/>
      <c r="AF310" s="11"/>
    </row>
    <row r="311" spans="1:32" ht="17.149999999999999" x14ac:dyDescent="0.55000000000000004">
      <c r="A311" t="str" cm="1">
        <f t="array" ref="A311">INDEX(FX_Input,$Q311,R$5)</f>
        <v>FX - 10</v>
      </c>
      <c r="B311" t="str" cm="1">
        <f t="array" ref="B311">INDEX(FX_Input,Q311,S311)</f>
        <v>Portland</v>
      </c>
      <c r="C311" t="s">
        <v>563</v>
      </c>
      <c r="D311">
        <v>14.7</v>
      </c>
      <c r="E311">
        <v>14.7</v>
      </c>
      <c r="F311">
        <v>14.7</v>
      </c>
      <c r="G311">
        <v>14.7</v>
      </c>
      <c r="H311">
        <v>14.7</v>
      </c>
      <c r="I311">
        <v>14.7</v>
      </c>
      <c r="J311">
        <v>14.7</v>
      </c>
      <c r="K311">
        <v>14.7</v>
      </c>
      <c r="L311">
        <v>14.7</v>
      </c>
      <c r="M311">
        <v>14.7</v>
      </c>
      <c r="N311">
        <v>14.7</v>
      </c>
      <c r="O311">
        <v>14.7</v>
      </c>
      <c r="Q311">
        <f>Q277+2</f>
        <v>19</v>
      </c>
      <c r="R311">
        <v>1</v>
      </c>
      <c r="S311">
        <v>3</v>
      </c>
      <c r="T311">
        <v>1</v>
      </c>
      <c r="U311">
        <v>19</v>
      </c>
      <c r="V311">
        <v>20</v>
      </c>
      <c r="W311">
        <v>25</v>
      </c>
      <c r="X311">
        <v>1</v>
      </c>
      <c r="Y311">
        <v>2</v>
      </c>
      <c r="Z311">
        <f>(W311-V311)/(Y311-X311)</f>
        <v>5</v>
      </c>
      <c r="AA311">
        <f>V311-Z311*X311</f>
        <v>15</v>
      </c>
      <c r="AD311">
        <f>AD277+14</f>
        <v>127</v>
      </c>
      <c r="AF311">
        <f>AF277+14</f>
        <v>127</v>
      </c>
    </row>
    <row r="312" spans="1:32" ht="17.149999999999999" x14ac:dyDescent="0.55000000000000004">
      <c r="B312" t="str">
        <f t="shared" ref="B312" si="1041">B311</f>
        <v>Portland</v>
      </c>
      <c r="C312" t="s">
        <v>564</v>
      </c>
      <c r="D312" cm="1">
        <f t="array" ref="D312">IF(ISBLANK(INDEX(FX_Input,$Q311,$AB312)),0.03,INDEX(FX_Input,Q311,AB312))</f>
        <v>0.03</v>
      </c>
      <c r="E312" cm="1">
        <f t="array" ref="E312">IF(ISBLANK(INDEX(FX_Input,$Q311,$AB312)),0.03,INDEX(FX_Input,R311,#REF!))</f>
        <v>0.03</v>
      </c>
      <c r="F312" cm="1">
        <f t="array" ref="F312">IF(ISBLANK(INDEX(FX_Input,$Q311,$AB312)),0.03,INDEX(FX_Input,S311,#REF!))</f>
        <v>0.03</v>
      </c>
      <c r="G312" cm="1">
        <f t="array" ref="G312">IF(ISBLANK(INDEX(FX_Input,$Q311,$AB312)),0.03,INDEX(FX_Input,AB311,#REF!))</f>
        <v>0.03</v>
      </c>
      <c r="H312" cm="1">
        <f t="array" ref="H312">IF(ISBLANK(INDEX(FX_Input,$Q311,$AB312)),0.03,INDEX(FX_Input,#REF!,#REF!))</f>
        <v>0.03</v>
      </c>
      <c r="I312" cm="1">
        <f t="array" ref="I312">IF(ISBLANK(INDEX(FX_Input,$Q311,$AB312)),0.03,INDEX(FX_Input,#REF!,#REF!))</f>
        <v>0.03</v>
      </c>
      <c r="J312" cm="1">
        <f t="array" ref="J312">IF(ISBLANK(INDEX(FX_Input,$Q311,$AB312)),0.03,INDEX(FX_Input,#REF!,#REF!))</f>
        <v>0.03</v>
      </c>
      <c r="K312" cm="1">
        <f t="array" ref="K312">IF(ISBLANK(INDEX(FX_Input,$Q311,$AB312)),0.03,INDEX(FX_Input,#REF!,AC312))</f>
        <v>0.03</v>
      </c>
      <c r="L312" cm="1">
        <f t="array" ref="L312">IF(ISBLANK(INDEX(FX_Input,$Q311,$AB312)),0.03,INDEX(FX_Input,#REF!,AD312))</f>
        <v>0.03</v>
      </c>
      <c r="M312" cm="1">
        <f t="array" ref="M312">IF(ISBLANK(INDEX(FX_Input,$Q311,$AB312)),0.03,INDEX(FX_Input,#REF!,#REF!))</f>
        <v>0.03</v>
      </c>
      <c r="N312" cm="1">
        <f t="array" ref="N312">IF(ISBLANK(INDEX(FX_Input,$Q311,$AB312)),0.03,INDEX(FX_Input,AC311,#REF!))</f>
        <v>0.03</v>
      </c>
      <c r="O312" cm="1">
        <f t="array" ref="O312">IF(ISBLANK(INDEX(FX_Input,$Q311,$AB312)),0.03,INDEX(FX_Input,AD311,#REF!))</f>
        <v>0.03</v>
      </c>
      <c r="AB312">
        <v>15</v>
      </c>
    </row>
    <row r="313" spans="1:32" ht="17.149999999999999" x14ac:dyDescent="0.55000000000000004">
      <c r="B313" t="str">
        <f>B312</f>
        <v>Portland</v>
      </c>
      <c r="C313" t="s">
        <v>565</v>
      </c>
      <c r="D313" cm="1">
        <f t="array" ref="D313">IF(ISBLANK(INDEX(FX_Input,$Q311,$AB313)),-0.03,INDEX(FX_Input,Q311,AB313))</f>
        <v>-0.03</v>
      </c>
      <c r="E313" cm="1">
        <f t="array" ref="E313">IF(ISBLANK(INDEX(FX_Input,$Q311,$AB313)),-0.03,INDEX(FX_Input,R311,#REF!))</f>
        <v>-0.03</v>
      </c>
      <c r="F313" cm="1">
        <f t="array" ref="F313">IF(ISBLANK(INDEX(FX_Input,$Q311,$AB313)),-0.03,INDEX(FX_Input,S311,#REF!))</f>
        <v>-0.03</v>
      </c>
      <c r="G313" cm="1">
        <f t="array" ref="G313">IF(ISBLANK(INDEX(FX_Input,$Q311,$AB313)),-0.03,INDEX(FX_Input,AB311,#REF!))</f>
        <v>-0.03</v>
      </c>
      <c r="H313" cm="1">
        <f t="array" ref="H313">IF(ISBLANK(INDEX(FX_Input,$Q311,$AB313)),-0.03,INDEX(FX_Input,#REF!,#REF!))</f>
        <v>-0.03</v>
      </c>
      <c r="I313" cm="1">
        <f t="array" ref="I313">IF(ISBLANK(INDEX(FX_Input,$Q311,$AB313)),-0.03,INDEX(FX_Input,#REF!,#REF!))</f>
        <v>-0.03</v>
      </c>
      <c r="J313" cm="1">
        <f t="array" ref="J313">IF(ISBLANK(INDEX(FX_Input,$Q311,$AB313)),-0.03,INDEX(FX_Input,#REF!,#REF!))</f>
        <v>-0.03</v>
      </c>
      <c r="K313" cm="1">
        <f t="array" ref="K313">IF(ISBLANK(INDEX(FX_Input,$Q311,$AB313)),-0.03,INDEX(FX_Input,#REF!,AC313))</f>
        <v>-0.03</v>
      </c>
      <c r="L313" cm="1">
        <f t="array" ref="L313">IF(ISBLANK(INDEX(FX_Input,$Q311,$AB313)),-0.03,INDEX(FX_Input,#REF!,AD313))</f>
        <v>-0.03</v>
      </c>
      <c r="M313" cm="1">
        <f t="array" ref="M313">IF(ISBLANK(INDEX(FX_Input,$Q311,$AB313)),-0.03,INDEX(FX_Input,#REF!,#REF!))</f>
        <v>-0.03</v>
      </c>
      <c r="N313" cm="1">
        <f t="array" ref="N313">IF(ISBLANK(INDEX(FX_Input,$Q311,$AB313)),-0.03,INDEX(FX_Input,AC311,#REF!))</f>
        <v>-0.03</v>
      </c>
      <c r="O313" cm="1">
        <f t="array" ref="O313">IF(ISBLANK(INDEX(FX_Input,$Q311,$AB313)),-0.03,INDEX(FX_Input,AD311,#REF!))</f>
        <v>-0.03</v>
      </c>
      <c r="AB313">
        <v>16</v>
      </c>
    </row>
    <row r="314" spans="1:32" x14ac:dyDescent="0.4">
      <c r="B314" t="str">
        <f t="shared" ref="B314:B315" si="1042">B313</f>
        <v>Portland</v>
      </c>
      <c r="C314" s="66" t="s">
        <v>567</v>
      </c>
      <c r="D314" t="str" cm="1">
        <f t="array" ref="D314">INDEX(FX_Multi,$AD314,D$3)</f>
        <v>Jet kerosene</v>
      </c>
      <c r="E314" t="str" cm="1">
        <f t="array" ref="E314">INDEX(FX_Multi,$AD314,E$3)</f>
        <v>Jet kerosene</v>
      </c>
      <c r="F314" t="str" cm="1">
        <f t="array" ref="F314">INDEX(FX_Multi,$AD314,F$3)</f>
        <v>Jet kerosene</v>
      </c>
      <c r="G314" t="str" cm="1">
        <f t="array" ref="G314">INDEX(FX_Multi,$AD314,G$3)</f>
        <v>Jet kerosene</v>
      </c>
      <c r="H314" t="str" cm="1">
        <f t="array" ref="H314">INDEX(FX_Multi,$AD314,H$3)</f>
        <v>Jet kerosene</v>
      </c>
      <c r="I314" t="str" cm="1">
        <f t="array" ref="I314">INDEX(FX_Multi,$AD314,I$3)</f>
        <v>Jet kerosene</v>
      </c>
      <c r="J314" t="str" cm="1">
        <f t="array" ref="J314">INDEX(FX_Multi,$AD314,J$3)</f>
        <v>Jet kerosene</v>
      </c>
      <c r="K314" t="str" cm="1">
        <f t="array" ref="K314">INDEX(FX_Multi,$AD314,K$3)</f>
        <v>Jet kerosene</v>
      </c>
      <c r="L314" t="str" cm="1">
        <f t="array" ref="L314">INDEX(FX_Multi,$AD314,L$3)</f>
        <v>Jet kerosene</v>
      </c>
      <c r="M314" t="str" cm="1">
        <f t="array" ref="M314">INDEX(FX_Multi,$AD314,M$3)</f>
        <v>Jet kerosene</v>
      </c>
      <c r="N314" t="str" cm="1">
        <f t="array" ref="N314">INDEX(FX_Multi,$AD314,N$3)</f>
        <v>Jet kerosene</v>
      </c>
      <c r="O314" t="str" cm="1">
        <f t="array" ref="O314">INDEX(FX_Multi,$AD314,O$3)</f>
        <v>Jet kerosene</v>
      </c>
      <c r="AC314">
        <v>1</v>
      </c>
      <c r="AD314">
        <f>AD311</f>
        <v>127</v>
      </c>
      <c r="AE314">
        <v>1</v>
      </c>
      <c r="AF314">
        <f>AF311</f>
        <v>127</v>
      </c>
    </row>
    <row r="315" spans="1:32" x14ac:dyDescent="0.4">
      <c r="B315" t="str">
        <f t="shared" si="1042"/>
        <v>Portland</v>
      </c>
      <c r="C315" s="66" t="s">
        <v>566</v>
      </c>
      <c r="D315" t="str" cm="1">
        <f t="array" ref="D315">INDEX(FX_Multi,$AD315,D$3)</f>
        <v>Select Pet Stock</v>
      </c>
      <c r="E315" t="str" cm="1">
        <f t="array" ref="E315">INDEX(FX_Multi,$AD315,E$3)</f>
        <v>Select Pet Stock</v>
      </c>
      <c r="F315" t="str" cm="1">
        <f t="array" ref="F315">INDEX(FX_Multi,$AD315,F$3)</f>
        <v>Select Pet Stock</v>
      </c>
      <c r="G315" t="str" cm="1">
        <f t="array" ref="G315">INDEX(FX_Multi,$AD315,G$3)</f>
        <v>Select Pet Stock</v>
      </c>
      <c r="H315" t="str" cm="1">
        <f t="array" ref="H315">INDEX(FX_Multi,$AD315,H$3)</f>
        <v>Select Pet Stock</v>
      </c>
      <c r="I315" t="str" cm="1">
        <f t="array" ref="I315">INDEX(FX_Multi,$AD315,I$3)</f>
        <v>Select Pet Stock</v>
      </c>
      <c r="J315" t="str" cm="1">
        <f t="array" ref="J315">INDEX(FX_Multi,$AD315,J$3)</f>
        <v>Select Pet Stock</v>
      </c>
      <c r="K315" t="str" cm="1">
        <f t="array" ref="K315">INDEX(FX_Multi,$AD315,K$3)</f>
        <v>Select Pet Stock</v>
      </c>
      <c r="L315" t="str" cm="1">
        <f t="array" ref="L315">INDEX(FX_Multi,$AD315,L$3)</f>
        <v>Select Pet Stock</v>
      </c>
      <c r="M315" t="str" cm="1">
        <f t="array" ref="M315">INDEX(FX_Multi,$AD315,M$3)</f>
        <v>Select Pet Stock</v>
      </c>
      <c r="N315" t="str" cm="1">
        <f t="array" ref="N315">INDEX(FX_Multi,$AD315,N$3)</f>
        <v>Select Pet Stock</v>
      </c>
      <c r="O315" t="str" cm="1">
        <f t="array" ref="O315">INDEX(FX_Multi,$AD315,O$3)</f>
        <v>Select Pet Stock</v>
      </c>
      <c r="AC315">
        <v>1</v>
      </c>
      <c r="AD315">
        <f>AD314+2</f>
        <v>129</v>
      </c>
      <c r="AE315">
        <v>1</v>
      </c>
      <c r="AF315">
        <f>AF314+3</f>
        <v>130</v>
      </c>
    </row>
    <row r="316" spans="1:32" x14ac:dyDescent="0.4">
      <c r="B316" t="str">
        <f>B312</f>
        <v>Portland</v>
      </c>
      <c r="C316" s="66" t="s">
        <v>568</v>
      </c>
      <c r="D316" cm="1">
        <f t="array" ref="D316">INDEX(FX_Multi,$AD316,D$3)</f>
        <v>0</v>
      </c>
      <c r="E316" cm="1">
        <f t="array" ref="E316">INDEX(FX_Multi,$AD316,E$3)</f>
        <v>0</v>
      </c>
      <c r="F316" cm="1">
        <f t="array" ref="F316">INDEX(FX_Multi,$AD316,F$3)</f>
        <v>0</v>
      </c>
      <c r="G316" cm="1">
        <f t="array" ref="G316">INDEX(FX_Multi,$AD316,G$3)</f>
        <v>0</v>
      </c>
      <c r="H316" cm="1">
        <f t="array" ref="H316">INDEX(FX_Multi,$AD316,H$3)</f>
        <v>0</v>
      </c>
      <c r="I316" cm="1">
        <f t="array" ref="I316">INDEX(FX_Multi,$AD316,I$3)</f>
        <v>0</v>
      </c>
      <c r="J316" cm="1">
        <f t="array" ref="J316">INDEX(FX_Multi,$AD316,J$3)</f>
        <v>0</v>
      </c>
      <c r="K316" cm="1">
        <f t="array" ref="K316">INDEX(FX_Multi,$AD316,K$3)</f>
        <v>0</v>
      </c>
      <c r="L316" cm="1">
        <f t="array" ref="L316">INDEX(FX_Multi,$AD316,L$3)</f>
        <v>0</v>
      </c>
      <c r="M316" cm="1">
        <f t="array" ref="M316">INDEX(FX_Multi,$AD316,M$3)</f>
        <v>0</v>
      </c>
      <c r="N316" cm="1">
        <f t="array" ref="N316">INDEX(FX_Multi,$AD316,N$3)</f>
        <v>0</v>
      </c>
      <c r="O316" cm="1">
        <f t="array" ref="O316">INDEX(FX_Multi,$AD316,O$3)</f>
        <v>0</v>
      </c>
      <c r="AC316">
        <v>1</v>
      </c>
      <c r="AD316">
        <f>AD315-1</f>
        <v>128</v>
      </c>
      <c r="AE316">
        <v>1</v>
      </c>
      <c r="AF316">
        <f>AF314+1</f>
        <v>128</v>
      </c>
    </row>
    <row r="317" spans="1:32" x14ac:dyDescent="0.4">
      <c r="B317" t="str">
        <f t="shared" ref="B317:B321" si="1043">B316</f>
        <v>Portland</v>
      </c>
      <c r="C317" s="66" t="s">
        <v>569</v>
      </c>
      <c r="D317" cm="1">
        <f t="array" ref="D317">INDEX(FX_Multi,$AD317,D$3)</f>
        <v>0</v>
      </c>
      <c r="E317" cm="1">
        <f t="array" ref="E317">INDEX(FX_Multi,$AD317,E$3)</f>
        <v>0</v>
      </c>
      <c r="F317" cm="1">
        <f t="array" ref="F317">INDEX(FX_Multi,$AD317,F$3)</f>
        <v>0</v>
      </c>
      <c r="G317" cm="1">
        <f t="array" ref="G317">INDEX(FX_Multi,$AD317,G$3)</f>
        <v>0</v>
      </c>
      <c r="H317" cm="1">
        <f t="array" ref="H317">INDEX(FX_Multi,$AD317,H$3)</f>
        <v>0</v>
      </c>
      <c r="I317" cm="1">
        <f t="array" ref="I317">INDEX(FX_Multi,$AD317,I$3)</f>
        <v>0</v>
      </c>
      <c r="J317" cm="1">
        <f t="array" ref="J317">INDEX(FX_Multi,$AD317,J$3)</f>
        <v>0</v>
      </c>
      <c r="K317" cm="1">
        <f t="array" ref="K317">INDEX(FX_Multi,$AD317,K$3)</f>
        <v>0</v>
      </c>
      <c r="L317" cm="1">
        <f t="array" ref="L317">INDEX(FX_Multi,$AD317,L$3)</f>
        <v>0</v>
      </c>
      <c r="M317" cm="1">
        <f t="array" ref="M317">INDEX(FX_Multi,$AD317,M$3)</f>
        <v>0</v>
      </c>
      <c r="N317" cm="1">
        <f t="array" ref="N317">INDEX(FX_Multi,$AD317,N$3)</f>
        <v>0</v>
      </c>
      <c r="O317" cm="1">
        <f t="array" ref="O317">INDEX(FX_Multi,$AD317,O$3)</f>
        <v>0</v>
      </c>
      <c r="AC317">
        <v>1</v>
      </c>
      <c r="AD317">
        <f>AD316+2</f>
        <v>130</v>
      </c>
      <c r="AE317">
        <v>1</v>
      </c>
      <c r="AF317">
        <f>AF315</f>
        <v>130</v>
      </c>
    </row>
    <row r="318" spans="1:32" ht="17.149999999999999" x14ac:dyDescent="0.55000000000000004">
      <c r="B318" t="str">
        <f t="shared" si="1043"/>
        <v>Portland</v>
      </c>
      <c r="C318" t="s">
        <v>570</v>
      </c>
      <c r="D318" cm="1">
        <f t="array" ref="D318">INDEX(FX_Multi,$AD318,D$3)</f>
        <v>1</v>
      </c>
      <c r="E318" cm="1">
        <f t="array" ref="E318">INDEX(FX_Multi,$AD318,E$3)</f>
        <v>1</v>
      </c>
      <c r="F318" cm="1">
        <f t="array" ref="F318">INDEX(FX_Multi,$AD318,F$3)</f>
        <v>1</v>
      </c>
      <c r="G318" cm="1">
        <f t="array" ref="G318">INDEX(FX_Multi,$AD318,G$3)</f>
        <v>1</v>
      </c>
      <c r="H318" cm="1">
        <f t="array" ref="H318">INDEX(FX_Multi,$AD318,H$3)</f>
        <v>1</v>
      </c>
      <c r="I318" cm="1">
        <f t="array" ref="I318">INDEX(FX_Multi,$AD318,I$3)</f>
        <v>1</v>
      </c>
      <c r="J318" cm="1">
        <f t="array" ref="J318">INDEX(FX_Multi,$AD318,J$3)</f>
        <v>1</v>
      </c>
      <c r="K318" cm="1">
        <f t="array" ref="K318">INDEX(FX_Multi,$AD318,K$3)</f>
        <v>1</v>
      </c>
      <c r="L318" cm="1">
        <f t="array" ref="L318">INDEX(FX_Multi,$AD318,L$3)</f>
        <v>1</v>
      </c>
      <c r="M318" cm="1">
        <f t="array" ref="M318">INDEX(FX_Multi,$AD318,M$3)</f>
        <v>1</v>
      </c>
      <c r="N318" cm="1">
        <f t="array" ref="N318">INDEX(FX_Multi,$AD318,N$3)</f>
        <v>1</v>
      </c>
      <c r="O318" cm="1">
        <f t="array" ref="O318">INDEX(FX_Multi,$AD318,O$3)</f>
        <v>1</v>
      </c>
      <c r="AC318">
        <v>1</v>
      </c>
      <c r="AD318">
        <f>AD317+6</f>
        <v>136</v>
      </c>
      <c r="AE318">
        <v>1</v>
      </c>
      <c r="AF318">
        <f>AF314+9</f>
        <v>136</v>
      </c>
    </row>
    <row r="319" spans="1:32" ht="17.149999999999999" x14ac:dyDescent="0.55000000000000004">
      <c r="B319" t="str">
        <f t="shared" si="1043"/>
        <v>Portland</v>
      </c>
      <c r="C319" t="s">
        <v>571</v>
      </c>
      <c r="D319" cm="1">
        <f t="array" ref="D319">INDEX(FX_Multi,$AD319,D$3)</f>
        <v>162</v>
      </c>
      <c r="E319" cm="1">
        <f t="array" ref="E319">INDEX(FX_Multi,$AD319,E$3)</f>
        <v>162</v>
      </c>
      <c r="F319" cm="1">
        <f t="array" ref="F319">INDEX(FX_Multi,$AD319,F$3)</f>
        <v>162</v>
      </c>
      <c r="G319" cm="1">
        <f t="array" ref="G319">INDEX(FX_Multi,$AD319,G$3)</f>
        <v>162</v>
      </c>
      <c r="H319" cm="1">
        <f t="array" ref="H319">INDEX(FX_Multi,$AD319,H$3)</f>
        <v>162</v>
      </c>
      <c r="I319" cm="1">
        <f t="array" ref="I319">INDEX(FX_Multi,$AD319,I$3)</f>
        <v>162</v>
      </c>
      <c r="J319" cm="1">
        <f t="array" ref="J319">INDEX(FX_Multi,$AD319,J$3)</f>
        <v>162</v>
      </c>
      <c r="K319" cm="1">
        <f t="array" ref="K319">INDEX(FX_Multi,$AD319,K$3)</f>
        <v>162</v>
      </c>
      <c r="L319" cm="1">
        <f t="array" ref="L319">INDEX(FX_Multi,$AD319,L$3)</f>
        <v>162</v>
      </c>
      <c r="M319" cm="1">
        <f t="array" ref="M319">INDEX(FX_Multi,$AD319,M$3)</f>
        <v>162</v>
      </c>
      <c r="N319" cm="1">
        <f t="array" ref="N319">INDEX(FX_Multi,$AD319,N$3)</f>
        <v>162</v>
      </c>
      <c r="O319" cm="1">
        <f t="array" ref="O319">INDEX(FX_Multi,$AD319,O$3)</f>
        <v>162</v>
      </c>
      <c r="AC319">
        <v>1</v>
      </c>
      <c r="AD319">
        <f>AD318-3</f>
        <v>133</v>
      </c>
      <c r="AE319">
        <v>1</v>
      </c>
      <c r="AF319">
        <f>AF314+6</f>
        <v>133</v>
      </c>
    </row>
    <row r="320" spans="1:32" ht="17.149999999999999" x14ac:dyDescent="0.55000000000000004">
      <c r="B320" t="str">
        <f t="shared" si="1043"/>
        <v>Portland</v>
      </c>
      <c r="C320" t="s">
        <v>572</v>
      </c>
      <c r="D320" cm="1">
        <f t="array" ref="D320">INDEX(FX_Multi,$AD320,D$3)</f>
        <v>0</v>
      </c>
      <c r="E320" cm="1">
        <f t="array" ref="E320">INDEX(FX_Multi,$AD320,E$3)</f>
        <v>0</v>
      </c>
      <c r="F320" cm="1">
        <f t="array" ref="F320">INDEX(FX_Multi,$AD320,F$3)</f>
        <v>0</v>
      </c>
      <c r="G320" cm="1">
        <f t="array" ref="G320">INDEX(FX_Multi,$AD320,G$3)</f>
        <v>0</v>
      </c>
      <c r="H320" cm="1">
        <f t="array" ref="H320">INDEX(FX_Multi,$AD320,H$3)</f>
        <v>0</v>
      </c>
      <c r="I320" cm="1">
        <f t="array" ref="I320">INDEX(FX_Multi,$AD320,I$3)</f>
        <v>0</v>
      </c>
      <c r="J320" cm="1">
        <f t="array" ref="J320">INDEX(FX_Multi,$AD320,J$3)</f>
        <v>0</v>
      </c>
      <c r="K320" cm="1">
        <f t="array" ref="K320">INDEX(FX_Multi,$AD320,K$3)</f>
        <v>0</v>
      </c>
      <c r="L320" cm="1">
        <f t="array" ref="L320">INDEX(FX_Multi,$AD320,L$3)</f>
        <v>0</v>
      </c>
      <c r="M320" cm="1">
        <f t="array" ref="M320">INDEX(FX_Multi,$AD320,M$3)</f>
        <v>0</v>
      </c>
      <c r="N320" cm="1">
        <f t="array" ref="N320">INDEX(FX_Multi,$AD320,N$3)</f>
        <v>0</v>
      </c>
      <c r="O320" cm="1">
        <f t="array" ref="O320">INDEX(FX_Multi,$AD320,O$3)</f>
        <v>0</v>
      </c>
      <c r="AC320">
        <v>1</v>
      </c>
      <c r="AD320">
        <f>AD319+4</f>
        <v>137</v>
      </c>
      <c r="AE320">
        <v>1</v>
      </c>
      <c r="AF320">
        <f>AF314+10</f>
        <v>137</v>
      </c>
    </row>
    <row r="321" spans="2:32" ht="17.149999999999999" x14ac:dyDescent="0.55000000000000004">
      <c r="B321" t="str">
        <f t="shared" si="1043"/>
        <v>Portland</v>
      </c>
      <c r="C321" t="s">
        <v>573</v>
      </c>
      <c r="D321" cm="1">
        <f t="array" ref="D321">INDEX(FX_Multi,$AD321,D$3)</f>
        <v>0</v>
      </c>
      <c r="E321" cm="1">
        <f t="array" ref="E321">INDEX(FX_Multi,$AD321,E$3)</f>
        <v>0</v>
      </c>
      <c r="F321" cm="1">
        <f t="array" ref="F321">INDEX(FX_Multi,$AD321,F$3)</f>
        <v>0</v>
      </c>
      <c r="G321" cm="1">
        <f t="array" ref="G321">INDEX(FX_Multi,$AD321,G$3)</f>
        <v>0</v>
      </c>
      <c r="H321" cm="1">
        <f t="array" ref="H321">INDEX(FX_Multi,$AD321,H$3)</f>
        <v>0</v>
      </c>
      <c r="I321" cm="1">
        <f t="array" ref="I321">INDEX(FX_Multi,$AD321,I$3)</f>
        <v>0</v>
      </c>
      <c r="J321" cm="1">
        <f t="array" ref="J321">INDEX(FX_Multi,$AD321,J$3)</f>
        <v>0</v>
      </c>
      <c r="K321" cm="1">
        <f t="array" ref="K321">INDEX(FX_Multi,$AD321,K$3)</f>
        <v>0</v>
      </c>
      <c r="L321" cm="1">
        <f t="array" ref="L321">INDEX(FX_Multi,$AD321,L$3)</f>
        <v>0</v>
      </c>
      <c r="M321" cm="1">
        <f t="array" ref="M321">INDEX(FX_Multi,$AD321,M$3)</f>
        <v>0</v>
      </c>
      <c r="N321" cm="1">
        <f t="array" ref="N321">INDEX(FX_Multi,$AD321,N$3)</f>
        <v>0</v>
      </c>
      <c r="O321" cm="1">
        <f t="array" ref="O321">INDEX(FX_Multi,$AD321,O$3)</f>
        <v>0</v>
      </c>
      <c r="AC321">
        <v>1</v>
      </c>
      <c r="AD321">
        <f>AD320-3</f>
        <v>134</v>
      </c>
      <c r="AE321">
        <v>1</v>
      </c>
      <c r="AF321">
        <f>AF314+7</f>
        <v>134</v>
      </c>
    </row>
    <row r="322" spans="2:32" ht="17.149999999999999" x14ac:dyDescent="0.55000000000000004">
      <c r="B322" t="str">
        <f>B317</f>
        <v>Portland</v>
      </c>
      <c r="C322" t="s">
        <v>526</v>
      </c>
      <c r="D322" cm="1">
        <f t="array" ref="D322">INDEX(FX_Temps,$AF322,D$3)</f>
        <v>43.899999999999977</v>
      </c>
      <c r="E322" cm="1">
        <f t="array" ref="E322">INDEX(FX_Temps,$AF322,E$3)</f>
        <v>44.700000000000045</v>
      </c>
      <c r="F322" cm="1">
        <f t="array" ref="F322">INDEX(FX_Temps,$AF322,F$3)</f>
        <v>46.100000000000023</v>
      </c>
      <c r="G322" cm="1">
        <f t="array" ref="G322">INDEX(FX_Temps,$AF322,G$3)</f>
        <v>48.599999999999966</v>
      </c>
      <c r="H322" cm="1">
        <f t="array" ref="H322">INDEX(FX_Temps,$AF322,H$3)</f>
        <v>53.149999999999977</v>
      </c>
      <c r="I322" cm="1">
        <f t="array" ref="I322">INDEX(FX_Temps,$AF322,I$3)</f>
        <v>56.950000000000045</v>
      </c>
      <c r="J322" cm="1">
        <f t="array" ref="J322">INDEX(FX_Temps,$AF322,J$3)</f>
        <v>60.449999999999932</v>
      </c>
      <c r="K322" cm="1">
        <f t="array" ref="K322">INDEX(FX_Temps,$AF322,K$3)</f>
        <v>60.899999999999977</v>
      </c>
      <c r="L322" cm="1">
        <f t="array" ref="L322">INDEX(FX_Temps,$AF322,L$3)</f>
        <v>58.600000000000023</v>
      </c>
      <c r="M322" cm="1">
        <f t="array" ref="M322">INDEX(FX_Temps,$AF322,M$3)</f>
        <v>52.649999999999977</v>
      </c>
      <c r="N322" cm="1">
        <f t="array" ref="N322">INDEX(FX_Temps,$AF322,N$3)</f>
        <v>47.100000000000023</v>
      </c>
      <c r="O322" cm="1">
        <f t="array" ref="O322">INDEX(FX_Temps,$AF322,O$3)</f>
        <v>43.600000000000023</v>
      </c>
      <c r="AE322">
        <v>1</v>
      </c>
      <c r="AF322">
        <f>AF314+10</f>
        <v>137</v>
      </c>
    </row>
    <row r="323" spans="2:32" ht="17.149999999999999" x14ac:dyDescent="0.55000000000000004">
      <c r="B323" t="str">
        <f t="shared" ref="B323:B344" si="1044">B322</f>
        <v>Portland</v>
      </c>
      <c r="C323" t="s">
        <v>527</v>
      </c>
      <c r="D323" cm="1">
        <f t="array" ref="D323">INDEX(FX_Temps,$AF323,D$3)</f>
        <v>43.899999999999977</v>
      </c>
      <c r="E323" cm="1">
        <f t="array" ref="E323">INDEX(FX_Temps,$AF323,E$3)</f>
        <v>44.700000000000045</v>
      </c>
      <c r="F323" cm="1">
        <f t="array" ref="F323">INDEX(FX_Temps,$AF323,F$3)</f>
        <v>46.100000000000023</v>
      </c>
      <c r="G323" cm="1">
        <f t="array" ref="G323">INDEX(FX_Temps,$AF323,G$3)</f>
        <v>48.599999999999966</v>
      </c>
      <c r="H323" cm="1">
        <f t="array" ref="H323">INDEX(FX_Temps,$AF323,H$3)</f>
        <v>53.149999999999977</v>
      </c>
      <c r="I323" cm="1">
        <f t="array" ref="I323">INDEX(FX_Temps,$AF323,I$3)</f>
        <v>56.950000000000045</v>
      </c>
      <c r="J323" cm="1">
        <f t="array" ref="J323">INDEX(FX_Temps,$AF323,J$3)</f>
        <v>60.449999999999932</v>
      </c>
      <c r="K323" cm="1">
        <f t="array" ref="K323">INDEX(FX_Temps,$AF323,K$3)</f>
        <v>60.899999999999977</v>
      </c>
      <c r="L323" cm="1">
        <f t="array" ref="L323">INDEX(FX_Temps,$AF323,L$3)</f>
        <v>58.600000000000023</v>
      </c>
      <c r="M323" cm="1">
        <f t="array" ref="M323">INDEX(FX_Temps,$AF323,M$3)</f>
        <v>52.649999999999977</v>
      </c>
      <c r="N323" cm="1">
        <f t="array" ref="N323">INDEX(FX_Temps,$AF323,N$3)</f>
        <v>47.100000000000023</v>
      </c>
      <c r="O323" cm="1">
        <f t="array" ref="O323">INDEX(FX_Temps,$AF323,O$3)</f>
        <v>43.600000000000023</v>
      </c>
      <c r="AE323">
        <f>AE322</f>
        <v>1</v>
      </c>
      <c r="AF323">
        <f>AF314+11</f>
        <v>138</v>
      </c>
    </row>
    <row r="324" spans="2:32" ht="17.149999999999999" x14ac:dyDescent="0.55000000000000004">
      <c r="B324" t="str">
        <f t="shared" si="1044"/>
        <v>Portland</v>
      </c>
      <c r="C324" t="s">
        <v>552</v>
      </c>
      <c r="D324" cm="1">
        <f t="array" ref="D324">INDEX(FX_Temps,$AF324,D$3)</f>
        <v>43.899999999999977</v>
      </c>
      <c r="E324" cm="1">
        <f t="array" ref="E324">INDEX(FX_Temps,$AF324,E$3)</f>
        <v>44.700000000000045</v>
      </c>
      <c r="F324" cm="1">
        <f t="array" ref="F324">INDEX(FX_Temps,$AF324,F$3)</f>
        <v>46.100000000000023</v>
      </c>
      <c r="G324" cm="1">
        <f t="array" ref="G324">INDEX(FX_Temps,$AF324,G$3)</f>
        <v>48.599999999999966</v>
      </c>
      <c r="H324" cm="1">
        <f t="array" ref="H324">INDEX(FX_Temps,$AF324,H$3)</f>
        <v>53.149999999999977</v>
      </c>
      <c r="I324" cm="1">
        <f t="array" ref="I324">INDEX(FX_Temps,$AF324,I$3)</f>
        <v>56.950000000000045</v>
      </c>
      <c r="J324" cm="1">
        <f t="array" ref="J324">INDEX(FX_Temps,$AF324,J$3)</f>
        <v>60.449999999999932</v>
      </c>
      <c r="K324" cm="1">
        <f t="array" ref="K324">INDEX(FX_Temps,$AF324,K$3)</f>
        <v>60.899999999999977</v>
      </c>
      <c r="L324" cm="1">
        <f t="array" ref="L324">INDEX(FX_Temps,$AF324,L$3)</f>
        <v>58.600000000000023</v>
      </c>
      <c r="M324" cm="1">
        <f t="array" ref="M324">INDEX(FX_Temps,$AF324,M$3)</f>
        <v>52.649999999999977</v>
      </c>
      <c r="N324" cm="1">
        <f t="array" ref="N324">INDEX(FX_Temps,$AF324,N$3)</f>
        <v>47.100000000000023</v>
      </c>
      <c r="O324" cm="1">
        <f t="array" ref="O324">INDEX(FX_Temps,$AF324,O$3)</f>
        <v>43.600000000000023</v>
      </c>
      <c r="AE324">
        <f>AE323</f>
        <v>1</v>
      </c>
      <c r="AF324">
        <f>AF314+13</f>
        <v>140</v>
      </c>
    </row>
    <row r="325" spans="2:32" ht="17.149999999999999" x14ac:dyDescent="0.55000000000000004">
      <c r="B325" t="str">
        <f t="shared" si="1044"/>
        <v>Portland</v>
      </c>
      <c r="C325" t="s">
        <v>574</v>
      </c>
      <c r="D325" cm="1">
        <f t="array" ref="D325">IFERROR(IF(D315="Chemical",(10^(INDEX(Antoines,MATCH(D314,Antoine_Name,0),2)-INDEX(Antoines,MATCH(D314,Antoine_Name,0),3)/(INDEX(Antoines,MATCH(D314,Antoine_Name,0),4)+(D322-32)*5/9)))*14.7/760,IF(D315="Crude Oil",EXP((2799/(D322+459.6)-2.227)*LOG10(INDEX(FX_Input,Q$5,D$3*$Z$5+$AA$5))-(7261/(D322+459.6))+12.82),IF(D315="Refined Petroleum Stock",EXP((0.7553-(413/(D322+459.6)))*(INDEX(FX_Input,Q$5,D$3*$Z$5+$AA$5-1)^0.5)*LOG10(INDEX(FX_Input,Q$5,D$3*$Z$5+$AA$5))-(1.854-(1042/(D322+459.6)))*(INDEX(FX_Input,Q$5,D$3*$Z$5+$AA$5-1)^0.5)+((2416/(D322+459.6)-2.013)*LOG10(INDEX(FX_Input,Q$5,D$3*$Z$5+$AA$5)))-(8742/(D322+459.6))+15.64),EXP(INDEX(Antoines,MATCH(D314,Antoine_Name,0),2)-INDEX(Antoines,MATCH(D314,Antoine_Name,0),3)/(D322+459.6))))),0)</f>
        <v>4.739577185808354E-3</v>
      </c>
      <c r="E325" cm="1">
        <f t="array" ref="E325">IFERROR(IF(E315="Chemical",(10^(INDEX(Antoines,MATCH(E314,Antoine_Name,0),2)-INDEX(Antoines,MATCH(E314,Antoine_Name,0),3)/(INDEX(Antoines,MATCH(E314,Antoine_Name,0),4)+(E322-32)*5/9)))*14.7/760,IF(E315="Crude Oil",EXP((2799/(E322+459.6)-2.227)*LOG10(INDEX(FX_Input,R$5,E$3*$Z$5+$AA$5))-(7261/(E322+459.6))+12.82),IF(E315="Refined Petroleum Stock",EXP((0.7553-(413/(E322+459.6)))*(INDEX(FX_Input,R$5,E$3*$Z$5+$AA$5-1)^0.5)*LOG10(INDEX(FX_Input,R$5,E$3*$Z$5+$AA$5))-(1.854-(1042/(E322+459.6)))*(INDEX(FX_Input,R$5,E$3*$Z$5+$AA$5-1)^0.5)+((2416/(E322+459.6)-2.013)*LOG10(INDEX(FX_Input,R$5,E$3*$Z$5+$AA$5)))-(8742/(E322+459.6))+15.64),EXP(INDEX(Antoines,MATCH(E314,Antoine_Name,0),2)-INDEX(Antoines,MATCH(E314,Antoine_Name,0),3)/(E322+459.6))))),0)</f>
        <v>4.8748667780818778E-3</v>
      </c>
      <c r="F325" cm="1">
        <f t="array" ref="F325">IFERROR(IF(F315="Chemical",(10^(INDEX(Antoines,MATCH(F314,Antoine_Name,0),2)-INDEX(Antoines,MATCH(F314,Antoine_Name,0),3)/(INDEX(Antoines,MATCH(F314,Antoine_Name,0),4)+(F322-32)*5/9)))*14.7/760,IF(F315="Crude Oil",EXP((2799/(F322+459.6)-2.227)*LOG10(INDEX(FX_Input,S$5,F$3*$Z$5+$AA$5))-(7261/(F322+459.6))+12.82),IF(F315="Refined Petroleum Stock",EXP((0.7553-(413/(F322+459.6)))*(INDEX(FX_Input,S$5,F$3*$Z$5+$AA$5-1)^0.5)*LOG10(INDEX(FX_Input,S$5,F$3*$Z$5+$AA$5))-(1.854-(1042/(F322+459.6)))*(INDEX(FX_Input,S$5,F$3*$Z$5+$AA$5-1)^0.5)+((2416/(F322+459.6)-2.013)*LOG10(INDEX(FX_Input,S$5,F$3*$Z$5+$AA$5)))-(8742/(F322+459.6))+15.64),EXP(INDEX(Antoines,MATCH(F314,Antoine_Name,0),2)-INDEX(Antoines,MATCH(F314,Antoine_Name,0),3)/(F322+459.6))))),0)</f>
        <v>5.119885034186122E-3</v>
      </c>
      <c r="G325" cm="1">
        <f t="array" ref="G325">IFERROR(IF(G315="Chemical",(10^(INDEX(Antoines,MATCH(G314,Antoine_Name,0),2)-INDEX(Antoines,MATCH(G314,Antoine_Name,0),3)/(INDEX(Antoines,MATCH(G314,Antoine_Name,0),4)+(G322-32)*5/9)))*14.7/760,IF(G315="Crude Oil",EXP((2799/(G322+459.6)-2.227)*LOG10(INDEX(FX_Input,T$5,G$3*$Z$5+$AA$5))-(7261/(G322+459.6))+12.82),IF(G315="Refined Petroleum Stock",EXP((0.7553-(413/(G322+459.6)))*(INDEX(FX_Input,T$5,G$3*$Z$5+$AA$5-1)^0.5)*LOG10(INDEX(FX_Input,T$5,G$3*$Z$5+$AA$5))-(1.854-(1042/(G322+459.6)))*(INDEX(FX_Input,T$5,G$3*$Z$5+$AA$5-1)^0.5)+((2416/(G322+459.6)-2.013)*LOG10(INDEX(FX_Input,T$5,G$3*$Z$5+$AA$5)))-(8742/(G322+459.6))+15.64),EXP(INDEX(Antoines,MATCH(G314,Antoine_Name,0),2)-INDEX(Antoines,MATCH(G314,Antoine_Name,0),3)/(G322+459.6))))),0)</f>
        <v>5.5846958573521795E-3</v>
      </c>
      <c r="H325" cm="1">
        <f t="array" ref="H325">IFERROR(IF(H315="Chemical",(10^(INDEX(Antoines,MATCH(H314,Antoine_Name,0),2)-INDEX(Antoines,MATCH(H314,Antoine_Name,0),3)/(INDEX(Antoines,MATCH(H314,Antoine_Name,0),4)+(H322-32)*5/9)))*14.7/760,IF(H315="Crude Oil",EXP((2799/(H322+459.6)-2.227)*LOG10(INDEX(FX_Input,U$5,H$3*$Z$5+$AA$5))-(7261/(H322+459.6))+12.82),IF(H315="Refined Petroleum Stock",EXP((0.7553-(413/(H322+459.6)))*(INDEX(FX_Input,U$5,H$3*$Z$5+$AA$5-1)^0.5)*LOG10(INDEX(FX_Input,U$5,H$3*$Z$5+$AA$5))-(1.854-(1042/(H322+459.6)))*(INDEX(FX_Input,U$5,H$3*$Z$5+$AA$5-1)^0.5)+((2416/(H322+459.6)-2.013)*LOG10(INDEX(FX_Input,U$5,H$3*$Z$5+$AA$5)))-(8742/(H322+459.6))+15.64),EXP(INDEX(Antoines,MATCH(H314,Antoine_Name,0),2)-INDEX(Antoines,MATCH(H314,Antoine_Name,0),3)/(H322+459.6))))),0)</f>
        <v>6.5274070972739821E-3</v>
      </c>
      <c r="I325" cm="1">
        <f t="array" ref="I325">IFERROR(IF(I315="Chemical",(10^(INDEX(Antoines,MATCH(I314,Antoine_Name,0),2)-INDEX(Antoines,MATCH(I314,Antoine_Name,0),3)/(INDEX(Antoines,MATCH(I314,Antoine_Name,0),4)+(I322-32)*5/9)))*14.7/760,IF(I315="Crude Oil",EXP((2799/(I322+459.6)-2.227)*LOG10(INDEX(FX_Input,V$5,I$3*$Z$5+$AA$5))-(7261/(I322+459.6))+12.82),IF(I315="Refined Petroleum Stock",EXP((0.7553-(413/(I322+459.6)))*(INDEX(FX_Input,V$5,I$3*$Z$5+$AA$5-1)^0.5)*LOG10(INDEX(FX_Input,V$5,I$3*$Z$5+$AA$5))-(1.854-(1042/(I322+459.6)))*(INDEX(FX_Input,V$5,I$3*$Z$5+$AA$5-1)^0.5)+((2416/(I322+459.6)-2.013)*LOG10(INDEX(FX_Input,V$5,I$3*$Z$5+$AA$5)))-(8742/(I322+459.6))+15.64),EXP(INDEX(Antoines,MATCH(I314,Antoine_Name,0),2)-INDEX(Antoines,MATCH(I314,Antoine_Name,0),3)/(I322+459.6))))),0)</f>
        <v>7.4199539958878279E-3</v>
      </c>
      <c r="J325" cm="1">
        <f t="array" ref="J325">IFERROR(IF(J315="Chemical",(10^(INDEX(Antoines,MATCH(J314,Antoine_Name,0),2)-INDEX(Antoines,MATCH(J314,Antoine_Name,0),3)/(INDEX(Antoines,MATCH(J314,Antoine_Name,0),4)+(J322-32)*5/9)))*14.7/760,IF(J315="Crude Oil",EXP((2799/(J322+459.6)-2.227)*LOG10(INDEX(FX_Input,W$5,J$3*$Z$5+$AA$5))-(7261/(J322+459.6))+12.82),IF(J315="Refined Petroleum Stock",EXP((0.7553-(413/(J322+459.6)))*(INDEX(FX_Input,W$5,J$3*$Z$5+$AA$5-1)^0.5)*LOG10(INDEX(FX_Input,W$5,J$3*$Z$5+$AA$5))-(1.854-(1042/(J322+459.6)))*(INDEX(FX_Input,W$5,J$3*$Z$5+$AA$5-1)^0.5)+((2416/(J322+459.6)-2.013)*LOG10(INDEX(FX_Input,W$5,J$3*$Z$5+$AA$5)))-(8742/(J322+459.6))+15.64),EXP(INDEX(Antoines,MATCH(J314,Antoine_Name,0),2)-INDEX(Antoines,MATCH(J314,Antoine_Name,0),3)/(J322+459.6))))),0)</f>
        <v>8.3358107202842254E-3</v>
      </c>
      <c r="K325" cm="1">
        <f t="array" ref="K325">IFERROR(IF(K315="Chemical",(10^(INDEX(Antoines,MATCH(K314,Antoine_Name,0),2)-INDEX(Antoines,MATCH(K314,Antoine_Name,0),3)/(INDEX(Antoines,MATCH(K314,Antoine_Name,0),4)+(K322-32)*5/9)))*14.7/760,IF(K315="Crude Oil",EXP((2799/(K322+459.6)-2.227)*LOG10(INDEX(FX_Input,X$5,K$3*$Z$5+$AA$5))-(7261/(K322+459.6))+12.82),IF(K315="Refined Petroleum Stock",EXP((0.7553-(413/(K322+459.6)))*(INDEX(FX_Input,X$5,K$3*$Z$5+$AA$5-1)^0.5)*LOG10(INDEX(FX_Input,X$5,K$3*$Z$5+$AA$5))-(1.854-(1042/(K322+459.6)))*(INDEX(FX_Input,X$5,K$3*$Z$5+$AA$5-1)^0.5)+((2416/(K322+459.6)-2.013)*LOG10(INDEX(FX_Input,X$5,K$3*$Z$5+$AA$5)))-(8742/(K322+459.6))+15.64),EXP(INDEX(Antoines,MATCH(K314,Antoine_Name,0),2)-INDEX(Antoines,MATCH(K314,Antoine_Name,0),3)/(K322+459.6))))),0)</f>
        <v>8.4605262729351115E-3</v>
      </c>
      <c r="L325" cm="1">
        <f t="array" ref="L325">IFERROR(IF(L315="Chemical",(10^(INDEX(Antoines,MATCH(L314,Antoine_Name,0),2)-INDEX(Antoines,MATCH(L314,Antoine_Name,0),3)/(INDEX(Antoines,MATCH(L314,Antoine_Name,0),4)+(L322-32)*5/9)))*14.7/760,IF(L315="Crude Oil",EXP((2799/(L322+459.6)-2.227)*LOG10(INDEX(FX_Input,Y$5,L$3*$Z$5+$AA$5))-(7261/(L322+459.6))+12.82),IF(L315="Refined Petroleum Stock",EXP((0.7553-(413/(L322+459.6)))*(INDEX(FX_Input,Y$5,L$3*$Z$5+$AA$5-1)^0.5)*LOG10(INDEX(FX_Input,Y$5,L$3*$Z$5+$AA$5))-(1.854-(1042/(L322+459.6)))*(INDEX(FX_Input,Y$5,L$3*$Z$5+$AA$5-1)^0.5)+((2416/(L322+459.6)-2.013)*LOG10(INDEX(FX_Input,Y$5,L$3*$Z$5+$AA$5)))-(8742/(L322+459.6))+15.64),EXP(INDEX(Antoines,MATCH(L314,Antoine_Name,0),2)-INDEX(Antoines,MATCH(L314,Antoine_Name,0),3)/(L322+459.6))))),0)</f>
        <v>7.8399882233967533E-3</v>
      </c>
      <c r="M325" cm="1">
        <f t="array" ref="M325">IFERROR(IF(M315="Chemical",(10^(INDEX(Antoines,MATCH(M314,Antoine_Name,0),2)-INDEX(Antoines,MATCH(M314,Antoine_Name,0),3)/(INDEX(Antoines,MATCH(M314,Antoine_Name,0),4)+(M322-32)*5/9)))*14.7/760,IF(M315="Crude Oil",EXP((2799/(M322+459.6)-2.227)*LOG10(INDEX(FX_Input,Z$5,M$3*$Z$5+$AA$5))-(7261/(M322+459.6))+12.82),IF(M315="Refined Petroleum Stock",EXP((0.7553-(413/(M322+459.6)))*(INDEX(FX_Input,Z$5,M$3*$Z$5+$AA$5-1)^0.5)*LOG10(INDEX(FX_Input,Z$5,M$3*$Z$5+$AA$5))-(1.854-(1042/(M322+459.6)))*(INDEX(FX_Input,Z$5,M$3*$Z$5+$AA$5-1)^0.5)+((2416/(M322+459.6)-2.013)*LOG10(INDEX(FX_Input,Z$5,M$3*$Z$5+$AA$5)))-(8742/(M322+459.6))+15.64),EXP(INDEX(Antoines,MATCH(M314,Antoine_Name,0),2)-INDEX(Antoines,MATCH(M314,Antoine_Name,0),3)/(M322+459.6))))),0)</f>
        <v>6.4173462075160911E-3</v>
      </c>
      <c r="N325" cm="1">
        <f t="array" ref="N325">IFERROR(IF(N315="Chemical",(10^(INDEX(Antoines,MATCH(N314,Antoine_Name,0),2)-INDEX(Antoines,MATCH(N314,Antoine_Name,0),3)/(INDEX(Antoines,MATCH(N314,Antoine_Name,0),4)+(N322-32)*5/9)))*14.7/760,IF(N315="Crude Oil",EXP((2799/(N322+459.6)-2.227)*LOG10(INDEX(FX_Input,AA$5,N$3*$Z$5+$AA$5))-(7261/(N322+459.6))+12.82),IF(N315="Refined Petroleum Stock",EXP((0.7553-(413/(N322+459.6)))*(INDEX(FX_Input,AA$5,N$3*$Z$5+$AA$5-1)^0.5)*LOG10(INDEX(FX_Input,AA$5,N$3*$Z$5+$AA$5))-(1.854-(1042/(N322+459.6)))*(INDEX(FX_Input,AA$5,N$3*$Z$5+$AA$5-1)^0.5)+((2416/(N322+459.6)-2.013)*LOG10(INDEX(FX_Input,AA$5,N$3*$Z$5+$AA$5)))-(8742/(N322+459.6))+15.64),EXP(INDEX(Antoines,MATCH(N314,Antoine_Name,0),2)-INDEX(Antoines,MATCH(N314,Antoine_Name,0),3)/(N322+459.6))))),0)</f>
        <v>5.3015226887581056E-3</v>
      </c>
      <c r="O325" cm="1">
        <f t="array" ref="O325">IFERROR(IF(O315="Chemical",(10^(INDEX(Antoines,MATCH(O314,Antoine_Name,0),2)-INDEX(Antoines,MATCH(O314,Antoine_Name,0),3)/(INDEX(Antoines,MATCH(O314,Antoine_Name,0),4)+(O322-32)*5/9)))*14.7/760,IF(O315="Crude Oil",EXP((2799/(O322+459.6)-2.227)*LOG10(INDEX(FX_Input,AB$5,O$3*$Z$5+$AA$5))-(7261/(O322+459.6))+12.82),IF(O315="Refined Petroleum Stock",EXP((0.7553-(413/(O322+459.6)))*(INDEX(FX_Input,AB$5,O$3*$Z$5+$AA$5-1)^0.5)*LOG10(INDEX(FX_Input,AB$5,O$3*$Z$5+$AA$5))-(1.854-(1042/(O322+459.6)))*(INDEX(FX_Input,AB$5,O$3*$Z$5+$AA$5-1)^0.5)+((2416/(O322+459.6)-2.013)*LOG10(INDEX(FX_Input,AB$5,O$3*$Z$5+$AA$5)))-(8742/(O322+459.6))+15.64),EXP(INDEX(Antoines,MATCH(O314,Antoine_Name,0),2)-INDEX(Antoines,MATCH(O314,Antoine_Name,0),3)/(O322+459.6))))),0)</f>
        <v>4.68970903600947E-3</v>
      </c>
    </row>
    <row r="326" spans="2:32" ht="17.149999999999999" x14ac:dyDescent="0.55000000000000004">
      <c r="B326" t="str">
        <f t="shared" si="1044"/>
        <v>Portland</v>
      </c>
      <c r="C326" t="s">
        <v>576</v>
      </c>
      <c r="D326">
        <f>D318*D325</f>
        <v>4.739577185808354E-3</v>
      </c>
      <c r="E326">
        <f t="shared" ref="E326" si="1045">E318*E325</f>
        <v>4.8748667780818778E-3</v>
      </c>
      <c r="F326">
        <f t="shared" ref="F326" si="1046">F318*F325</f>
        <v>5.119885034186122E-3</v>
      </c>
      <c r="G326">
        <f t="shared" ref="G326" si="1047">G318*G325</f>
        <v>5.5846958573521795E-3</v>
      </c>
      <c r="H326">
        <f t="shared" ref="H326" si="1048">H318*H325</f>
        <v>6.5274070972739821E-3</v>
      </c>
      <c r="I326">
        <f t="shared" ref="I326" si="1049">I318*I325</f>
        <v>7.4199539958878279E-3</v>
      </c>
      <c r="J326">
        <f t="shared" ref="J326" si="1050">J318*J325</f>
        <v>8.3358107202842254E-3</v>
      </c>
      <c r="K326">
        <f t="shared" ref="K326" si="1051">K318*K325</f>
        <v>8.4605262729351115E-3</v>
      </c>
      <c r="L326">
        <f t="shared" ref="L326" si="1052">L318*L325</f>
        <v>7.8399882233967533E-3</v>
      </c>
      <c r="M326">
        <f t="shared" ref="M326" si="1053">M318*M325</f>
        <v>6.4173462075160911E-3</v>
      </c>
      <c r="N326">
        <f t="shared" ref="N326" si="1054">N318*N325</f>
        <v>5.3015226887581056E-3</v>
      </c>
      <c r="O326">
        <f t="shared" ref="O326" si="1055">O318*O325</f>
        <v>4.68970903600947E-3</v>
      </c>
    </row>
    <row r="327" spans="2:32" ht="17.149999999999999" x14ac:dyDescent="0.55000000000000004">
      <c r="B327" t="str">
        <f t="shared" si="1044"/>
        <v>Portland</v>
      </c>
      <c r="C327" t="s">
        <v>575</v>
      </c>
      <c r="D327" cm="1">
        <f t="array" ref="D327">IFERROR(IF(D317="Chemical",(10^(INDEX(Antoines,MATCH(D316,Antoine_Name,0),2)-INDEX(Antoines,MATCH(D316,Antoine_Name,0),3)/(INDEX(Antoines,MATCH(D316,Antoine_Name,0),4)+(D322-32)*5/9)))*14.7/760,IF(D317="Crude Oil",EXP((2799/(D322+459.6)-2.227)*LOG10(INDEX(FX_Input,Q$5,D$3*$Z$5+$AA$5))-(7261/(D322+459.6))+12.82),IF(D317="Refined Petroleum Stock",EXP((0.7553-(413/(D322+459.6)))*(INDEX(FX_Input,Q$5,D$3*$Z$5+$AA$5-1)^0.5)*LOG10(INDEX(FX_Input,Q$5,D$3*$Z$5+$AA$5))-(1.854-(1042/(D322+459.6)))*(INDEX(FX_Input,Q$5,D$3*$Z$5+$AA$5-1)^0.5)+((2416/(D322+459.6)-2.013)*LOG10(INDEX(FX_Input,Q$5,D$3*$Z$5+$AA$5)))-(8742/(D322+459.6))+15.64),EXP(INDEX(Antoines,MATCH(D316,Antoine_Name,0),2)-INDEX(Antoines,MATCH(D316,Antoine_Name,0),3)/(D322+459.6))))),0)</f>
        <v>0</v>
      </c>
      <c r="E327" cm="1">
        <f t="array" ref="E327">IFERROR(IF(E317="Chemical",(10^(INDEX(Antoines,MATCH(E316,Antoine_Name,0),2)-INDEX(Antoines,MATCH(E316,Antoine_Name,0),3)/(INDEX(Antoines,MATCH(E316,Antoine_Name,0),4)+(E322-32)*5/9)))*14.7/760,IF(E317="Crude Oil",EXP((2799/(E322+459.6)-2.227)*LOG10(INDEX(FX_Input,R$5,E$3*$Z$5+$AA$5))-(7261/(E322+459.6))+12.82),IF(E317="Refined Petroleum Stock",EXP((0.7553-(413/(E322+459.6)))*(INDEX(FX_Input,R$5,E$3*$Z$5+$AA$5-1)^0.5)*LOG10(INDEX(FX_Input,R$5,E$3*$Z$5+$AA$5))-(1.854-(1042/(E322+459.6)))*(INDEX(FX_Input,R$5,E$3*$Z$5+$AA$5-1)^0.5)+((2416/(E322+459.6)-2.013)*LOG10(INDEX(FX_Input,R$5,E$3*$Z$5+$AA$5)))-(8742/(E322+459.6))+15.64),EXP(INDEX(Antoines,MATCH(E316,Antoine_Name,0),2)-INDEX(Antoines,MATCH(E316,Antoine_Name,0),3)/(E322+459.6))))),0)</f>
        <v>0</v>
      </c>
      <c r="F327" cm="1">
        <f t="array" ref="F327">IFERROR(IF(F317="Chemical",(10^(INDEX(Antoines,MATCH(F316,Antoine_Name,0),2)-INDEX(Antoines,MATCH(F316,Antoine_Name,0),3)/(INDEX(Antoines,MATCH(F316,Antoine_Name,0),4)+(F322-32)*5/9)))*14.7/760,IF(F317="Crude Oil",EXP((2799/(F322+459.6)-2.227)*LOG10(INDEX(FX_Input,S$5,F$3*$Z$5+$AA$5))-(7261/(F322+459.6))+12.82),IF(F317="Refined Petroleum Stock",EXP((0.7553-(413/(F322+459.6)))*(INDEX(FX_Input,S$5,F$3*$Z$5+$AA$5-1)^0.5)*LOG10(INDEX(FX_Input,S$5,F$3*$Z$5+$AA$5))-(1.854-(1042/(F322+459.6)))*(INDEX(FX_Input,S$5,F$3*$Z$5+$AA$5-1)^0.5)+((2416/(F322+459.6)-2.013)*LOG10(INDEX(FX_Input,S$5,F$3*$Z$5+$AA$5)))-(8742/(F322+459.6))+15.64),EXP(INDEX(Antoines,MATCH(F316,Antoine_Name,0),2)-INDEX(Antoines,MATCH(F316,Antoine_Name,0),3)/(F322+459.6))))),0)</f>
        <v>0</v>
      </c>
      <c r="G327" cm="1">
        <f t="array" ref="G327">IFERROR(IF(G317="Chemical",(10^(INDEX(Antoines,MATCH(G316,Antoine_Name,0),2)-INDEX(Antoines,MATCH(G316,Antoine_Name,0),3)/(INDEX(Antoines,MATCH(G316,Antoine_Name,0),4)+(G322-32)*5/9)))*14.7/760,IF(G317="Crude Oil",EXP((2799/(G322+459.6)-2.227)*LOG10(INDEX(FX_Input,T$5,G$3*$Z$5+$AA$5))-(7261/(G322+459.6))+12.82),IF(G317="Refined Petroleum Stock",EXP((0.7553-(413/(G322+459.6)))*(INDEX(FX_Input,T$5,G$3*$Z$5+$AA$5-1)^0.5)*LOG10(INDEX(FX_Input,T$5,G$3*$Z$5+$AA$5))-(1.854-(1042/(G322+459.6)))*(INDEX(FX_Input,T$5,G$3*$Z$5+$AA$5-1)^0.5)+((2416/(G322+459.6)-2.013)*LOG10(INDEX(FX_Input,T$5,G$3*$Z$5+$AA$5)))-(8742/(G322+459.6))+15.64),EXP(INDEX(Antoines,MATCH(G316,Antoine_Name,0),2)-INDEX(Antoines,MATCH(G316,Antoine_Name,0),3)/(G322+459.6))))),0)</f>
        <v>0</v>
      </c>
      <c r="H327" cm="1">
        <f t="array" ref="H327">IFERROR(IF(H317="Chemical",(10^(INDEX(Antoines,MATCH(H316,Antoine_Name,0),2)-INDEX(Antoines,MATCH(H316,Antoine_Name,0),3)/(INDEX(Antoines,MATCH(H316,Antoine_Name,0),4)+(H322-32)*5/9)))*14.7/760,IF(H317="Crude Oil",EXP((2799/(H322+459.6)-2.227)*LOG10(INDEX(FX_Input,U$5,H$3*$Z$5+$AA$5))-(7261/(H322+459.6))+12.82),IF(H317="Refined Petroleum Stock",EXP((0.7553-(413/(H322+459.6)))*(INDEX(FX_Input,U$5,H$3*$Z$5+$AA$5-1)^0.5)*LOG10(INDEX(FX_Input,U$5,H$3*$Z$5+$AA$5))-(1.854-(1042/(H322+459.6)))*(INDEX(FX_Input,U$5,H$3*$Z$5+$AA$5-1)^0.5)+((2416/(H322+459.6)-2.013)*LOG10(INDEX(FX_Input,U$5,H$3*$Z$5+$AA$5)))-(8742/(H322+459.6))+15.64),EXP(INDEX(Antoines,MATCH(H316,Antoine_Name,0),2)-INDEX(Antoines,MATCH(H316,Antoine_Name,0),3)/(H322+459.6))))),0)</f>
        <v>0</v>
      </c>
      <c r="I327" cm="1">
        <f t="array" ref="I327">IFERROR(IF(I317="Chemical",(10^(INDEX(Antoines,MATCH(I316,Antoine_Name,0),2)-INDEX(Antoines,MATCH(I316,Antoine_Name,0),3)/(INDEX(Antoines,MATCH(I316,Antoine_Name,0),4)+(I322-32)*5/9)))*14.7/760,IF(I317="Crude Oil",EXP((2799/(I322+459.6)-2.227)*LOG10(INDEX(FX_Input,V$5,I$3*$Z$5+$AA$5))-(7261/(I322+459.6))+12.82),IF(I317="Refined Petroleum Stock",EXP((0.7553-(413/(I322+459.6)))*(INDEX(FX_Input,V$5,I$3*$Z$5+$AA$5-1)^0.5)*LOG10(INDEX(FX_Input,V$5,I$3*$Z$5+$AA$5))-(1.854-(1042/(I322+459.6)))*(INDEX(FX_Input,V$5,I$3*$Z$5+$AA$5-1)^0.5)+((2416/(I322+459.6)-2.013)*LOG10(INDEX(FX_Input,V$5,I$3*$Z$5+$AA$5)))-(8742/(I322+459.6))+15.64),EXP(INDEX(Antoines,MATCH(I316,Antoine_Name,0),2)-INDEX(Antoines,MATCH(I316,Antoine_Name,0),3)/(I322+459.6))))),0)</f>
        <v>0</v>
      </c>
      <c r="J327" cm="1">
        <f t="array" ref="J327">IFERROR(IF(J317="Chemical",(10^(INDEX(Antoines,MATCH(J316,Antoine_Name,0),2)-INDEX(Antoines,MATCH(J316,Antoine_Name,0),3)/(INDEX(Antoines,MATCH(J316,Antoine_Name,0),4)+(J322-32)*5/9)))*14.7/760,IF(J317="Crude Oil",EXP((2799/(J322+459.6)-2.227)*LOG10(INDEX(FX_Input,W$5,J$3*$Z$5+$AA$5))-(7261/(J322+459.6))+12.82),IF(J317="Refined Petroleum Stock",EXP((0.7553-(413/(J322+459.6)))*(INDEX(FX_Input,W$5,J$3*$Z$5+$AA$5-1)^0.5)*LOG10(INDEX(FX_Input,W$5,J$3*$Z$5+$AA$5))-(1.854-(1042/(J322+459.6)))*(INDEX(FX_Input,W$5,J$3*$Z$5+$AA$5-1)^0.5)+((2416/(J322+459.6)-2.013)*LOG10(INDEX(FX_Input,W$5,J$3*$Z$5+$AA$5)))-(8742/(J322+459.6))+15.64),EXP(INDEX(Antoines,MATCH(J316,Antoine_Name,0),2)-INDEX(Antoines,MATCH(J316,Antoine_Name,0),3)/(J322+459.6))))),0)</f>
        <v>0</v>
      </c>
      <c r="K327" cm="1">
        <f t="array" ref="K327">IFERROR(IF(K317="Chemical",(10^(INDEX(Antoines,MATCH(K316,Antoine_Name,0),2)-INDEX(Antoines,MATCH(K316,Antoine_Name,0),3)/(INDEX(Antoines,MATCH(K316,Antoine_Name,0),4)+(K322-32)*5/9)))*14.7/760,IF(K317="Crude Oil",EXP((2799/(K322+459.6)-2.227)*LOG10(INDEX(FX_Input,X$5,K$3*$Z$5+$AA$5))-(7261/(K322+459.6))+12.82),IF(K317="Refined Petroleum Stock",EXP((0.7553-(413/(K322+459.6)))*(INDEX(FX_Input,X$5,K$3*$Z$5+$AA$5-1)^0.5)*LOG10(INDEX(FX_Input,X$5,K$3*$Z$5+$AA$5))-(1.854-(1042/(K322+459.6)))*(INDEX(FX_Input,X$5,K$3*$Z$5+$AA$5-1)^0.5)+((2416/(K322+459.6)-2.013)*LOG10(INDEX(FX_Input,X$5,K$3*$Z$5+$AA$5)))-(8742/(K322+459.6))+15.64),EXP(INDEX(Antoines,MATCH(K316,Antoine_Name,0),2)-INDEX(Antoines,MATCH(K316,Antoine_Name,0),3)/(K322+459.6))))),0)</f>
        <v>0</v>
      </c>
      <c r="L327" cm="1">
        <f t="array" ref="L327">IFERROR(IF(L317="Chemical",(10^(INDEX(Antoines,MATCH(L316,Antoine_Name,0),2)-INDEX(Antoines,MATCH(L316,Antoine_Name,0),3)/(INDEX(Antoines,MATCH(L316,Antoine_Name,0),4)+(L322-32)*5/9)))*14.7/760,IF(L317="Crude Oil",EXP((2799/(L322+459.6)-2.227)*LOG10(INDEX(FX_Input,Y$5,L$3*$Z$5+$AA$5))-(7261/(L322+459.6))+12.82),IF(L317="Refined Petroleum Stock",EXP((0.7553-(413/(L322+459.6)))*(INDEX(FX_Input,Y$5,L$3*$Z$5+$AA$5-1)^0.5)*LOG10(INDEX(FX_Input,Y$5,L$3*$Z$5+$AA$5))-(1.854-(1042/(L322+459.6)))*(INDEX(FX_Input,Y$5,L$3*$Z$5+$AA$5-1)^0.5)+((2416/(L322+459.6)-2.013)*LOG10(INDEX(FX_Input,Y$5,L$3*$Z$5+$AA$5)))-(8742/(L322+459.6))+15.64),EXP(INDEX(Antoines,MATCH(L316,Antoine_Name,0),2)-INDEX(Antoines,MATCH(L316,Antoine_Name,0),3)/(L322+459.6))))),0)</f>
        <v>0</v>
      </c>
      <c r="M327" cm="1">
        <f t="array" ref="M327">IFERROR(IF(M317="Chemical",(10^(INDEX(Antoines,MATCH(M316,Antoine_Name,0),2)-INDEX(Antoines,MATCH(M316,Antoine_Name,0),3)/(INDEX(Antoines,MATCH(M316,Antoine_Name,0),4)+(M322-32)*5/9)))*14.7/760,IF(M317="Crude Oil",EXP((2799/(M322+459.6)-2.227)*LOG10(INDEX(FX_Input,Z$5,M$3*$Z$5+$AA$5))-(7261/(M322+459.6))+12.82),IF(M317="Refined Petroleum Stock",EXP((0.7553-(413/(M322+459.6)))*(INDEX(FX_Input,Z$5,M$3*$Z$5+$AA$5-1)^0.5)*LOG10(INDEX(FX_Input,Z$5,M$3*$Z$5+$AA$5))-(1.854-(1042/(M322+459.6)))*(INDEX(FX_Input,Z$5,M$3*$Z$5+$AA$5-1)^0.5)+((2416/(M322+459.6)-2.013)*LOG10(INDEX(FX_Input,Z$5,M$3*$Z$5+$AA$5)))-(8742/(M322+459.6))+15.64),EXP(INDEX(Antoines,MATCH(M316,Antoine_Name,0),2)-INDEX(Antoines,MATCH(M316,Antoine_Name,0),3)/(M322+459.6))))),0)</f>
        <v>0</v>
      </c>
      <c r="N327" cm="1">
        <f t="array" ref="N327">IFERROR(IF(N317="Chemical",(10^(INDEX(Antoines,MATCH(N316,Antoine_Name,0),2)-INDEX(Antoines,MATCH(N316,Antoine_Name,0),3)/(INDEX(Antoines,MATCH(N316,Antoine_Name,0),4)+(N322-32)*5/9)))*14.7/760,IF(N317="Crude Oil",EXP((2799/(N322+459.6)-2.227)*LOG10(INDEX(FX_Input,AA$5,N$3*$Z$5+$AA$5))-(7261/(N322+459.6))+12.82),IF(N317="Refined Petroleum Stock",EXP((0.7553-(413/(N322+459.6)))*(INDEX(FX_Input,AA$5,N$3*$Z$5+$AA$5-1)^0.5)*LOG10(INDEX(FX_Input,AA$5,N$3*$Z$5+$AA$5))-(1.854-(1042/(N322+459.6)))*(INDEX(FX_Input,AA$5,N$3*$Z$5+$AA$5-1)^0.5)+((2416/(N322+459.6)-2.013)*LOG10(INDEX(FX_Input,AA$5,N$3*$Z$5+$AA$5)))-(8742/(N322+459.6))+15.64),EXP(INDEX(Antoines,MATCH(N316,Antoine_Name,0),2)-INDEX(Antoines,MATCH(N316,Antoine_Name,0),3)/(N322+459.6))))),0)</f>
        <v>0</v>
      </c>
      <c r="O327" cm="1">
        <f t="array" ref="O327">IFERROR(IF(O317="Chemical",(10^(INDEX(Antoines,MATCH(O316,Antoine_Name,0),2)-INDEX(Antoines,MATCH(O316,Antoine_Name,0),3)/(INDEX(Antoines,MATCH(O316,Antoine_Name,0),4)+(O322-32)*5/9)))*14.7/760,IF(O317="Crude Oil",EXP((2799/(O322+459.6)-2.227)*LOG10(INDEX(FX_Input,AB$5,O$3*$Z$5+$AA$5))-(7261/(O322+459.6))+12.82),IF(O317="Refined Petroleum Stock",EXP((0.7553-(413/(O322+459.6)))*(INDEX(FX_Input,AB$5,O$3*$Z$5+$AA$5-1)^0.5)*LOG10(INDEX(FX_Input,AB$5,O$3*$Z$5+$AA$5))-(1.854-(1042/(O322+459.6)))*(INDEX(FX_Input,AB$5,O$3*$Z$5+$AA$5-1)^0.5)+((2416/(O322+459.6)-2.013)*LOG10(INDEX(FX_Input,AB$5,O$3*$Z$5+$AA$5)))-(8742/(O322+459.6))+15.64),EXP(INDEX(Antoines,MATCH(O316,Antoine_Name,0),2)-INDEX(Antoines,MATCH(O316,Antoine_Name,0),3)/(O322+459.6))))),0)</f>
        <v>0</v>
      </c>
    </row>
    <row r="328" spans="2:32" ht="17.149999999999999" x14ac:dyDescent="0.55000000000000004">
      <c r="B328" t="str">
        <f t="shared" si="1044"/>
        <v>Portland</v>
      </c>
      <c r="C328" t="s">
        <v>577</v>
      </c>
      <c r="D328">
        <f>D327*D320</f>
        <v>0</v>
      </c>
      <c r="E328">
        <f t="shared" ref="E328" si="1056">E327*E320</f>
        <v>0</v>
      </c>
      <c r="F328">
        <f t="shared" ref="F328" si="1057">F327*F320</f>
        <v>0</v>
      </c>
      <c r="G328">
        <f t="shared" ref="G328" si="1058">G327*G320</f>
        <v>0</v>
      </c>
      <c r="H328">
        <f t="shared" ref="H328" si="1059">H327*H320</f>
        <v>0</v>
      </c>
      <c r="I328">
        <f t="shared" ref="I328" si="1060">I327*I320</f>
        <v>0</v>
      </c>
      <c r="J328">
        <f t="shared" ref="J328" si="1061">J327*J320</f>
        <v>0</v>
      </c>
      <c r="K328">
        <f t="shared" ref="K328" si="1062">K327*K320</f>
        <v>0</v>
      </c>
      <c r="L328">
        <f t="shared" ref="L328" si="1063">L327*L320</f>
        <v>0</v>
      </c>
      <c r="M328">
        <f t="shared" ref="M328" si="1064">M327*M320</f>
        <v>0</v>
      </c>
      <c r="N328">
        <f t="shared" ref="N328" si="1065">N327*N320</f>
        <v>0</v>
      </c>
      <c r="O328">
        <f t="shared" ref="O328" si="1066">O327*O320</f>
        <v>0</v>
      </c>
    </row>
    <row r="329" spans="2:32" ht="17.149999999999999" x14ac:dyDescent="0.55000000000000004">
      <c r="B329" t="str">
        <f t="shared" si="1044"/>
        <v>Portland</v>
      </c>
      <c r="C329" t="s">
        <v>578</v>
      </c>
      <c r="D329">
        <f>D328+D326</f>
        <v>4.739577185808354E-3</v>
      </c>
      <c r="E329">
        <f t="shared" ref="E329" si="1067">E328+E326</f>
        <v>4.8748667780818778E-3</v>
      </c>
      <c r="F329">
        <f t="shared" ref="F329" si="1068">F328+F326</f>
        <v>5.119885034186122E-3</v>
      </c>
      <c r="G329">
        <f t="shared" ref="G329" si="1069">G328+G326</f>
        <v>5.5846958573521795E-3</v>
      </c>
      <c r="H329">
        <f t="shared" ref="H329" si="1070">H328+H326</f>
        <v>6.5274070972739821E-3</v>
      </c>
      <c r="I329">
        <f t="shared" ref="I329" si="1071">I328+I326</f>
        <v>7.4199539958878279E-3</v>
      </c>
      <c r="J329">
        <f t="shared" ref="J329" si="1072">J328+J326</f>
        <v>8.3358107202842254E-3</v>
      </c>
      <c r="K329">
        <f t="shared" ref="K329" si="1073">K328+K326</f>
        <v>8.4605262729351115E-3</v>
      </c>
      <c r="L329">
        <f t="shared" ref="L329" si="1074">L328+L326</f>
        <v>7.8399882233967533E-3</v>
      </c>
      <c r="M329">
        <f t="shared" ref="M329" si="1075">M328+M326</f>
        <v>6.4173462075160911E-3</v>
      </c>
      <c r="N329">
        <f t="shared" ref="N329" si="1076">N328+N326</f>
        <v>5.3015226887581056E-3</v>
      </c>
      <c r="O329">
        <f t="shared" ref="O329" si="1077">O328+O326</f>
        <v>4.68970903600947E-3</v>
      </c>
    </row>
    <row r="330" spans="2:32" ht="17.149999999999999" x14ac:dyDescent="0.55000000000000004">
      <c r="B330" t="str">
        <f t="shared" si="1044"/>
        <v>Portland</v>
      </c>
      <c r="C330" t="s">
        <v>579</v>
      </c>
      <c r="D330" cm="1">
        <f t="array" ref="D330">IFERROR(IF(D315="Chemical",(10^(INDEX(Antoines,MATCH(D314,Antoine_Name,0),2)-INDEX(Antoines,MATCH(D314,Antoine_Name,0),3)/(INDEX(Antoines,MATCH(D314,Antoine_Name,0),4)+(D323-32)*5/9)))*14.7/760,IF(D315="Crude Oil",EXP((2799/(D323+459.6)-2.227)*LOG10(INDEX(FX_Input,Q$5,D$3*$Z$5+$AA$5))-(7261/(D323+459.6))+12.82),IF(D315="Refined Petroleum Stock",EXP((0.7553-(413/(D323+459.6)))*(INDEX(FX_Input,Q$5,D$3*$Z$5+$AA$5-1)^0.5)*LOG10(INDEX(FX_Input,Q$5,D$3*$Z$5+$AA$5))-(1.854-(1042/(D323+459.6)))*(INDEX(FX_Input,Q$5,D$3*$Z$5+$AA$5-1)^0.5)+((2416/(D323+459.6)-2.013)*LOG10(INDEX(FX_Input,Q$5,D$3*$Z$5+$AA$5)))-(8742/(D323+459.6))+15.64),EXP(INDEX(Antoines,MATCH(D314,Antoine_Name,0),2)-INDEX(Antoines,MATCH(D314,Antoine_Name,0),3)/(D323+459.6))))),0)</f>
        <v>4.739577185808354E-3</v>
      </c>
      <c r="E330" cm="1">
        <f t="array" ref="E330">IFERROR(IF(E315="Chemical",(10^(INDEX(Antoines,MATCH(E314,Antoine_Name,0),2)-INDEX(Antoines,MATCH(E314,Antoine_Name,0),3)/(INDEX(Antoines,MATCH(E314,Antoine_Name,0),4)+(E323-32)*5/9)))*14.7/760,IF(E315="Crude Oil",EXP((2799/(E323+459.6)-2.227)*LOG10(INDEX(FX_Input,R$5,E$3*$Z$5+$AA$5))-(7261/(E323+459.6))+12.82),IF(E315="Refined Petroleum Stock",EXP((0.7553-(413/(E323+459.6)))*(INDEX(FX_Input,R$5,E$3*$Z$5+$AA$5-1)^0.5)*LOG10(INDEX(FX_Input,R$5,E$3*$Z$5+$AA$5))-(1.854-(1042/(E323+459.6)))*(INDEX(FX_Input,R$5,E$3*$Z$5+$AA$5-1)^0.5)+((2416/(E323+459.6)-2.013)*LOG10(INDEX(FX_Input,R$5,E$3*$Z$5+$AA$5)))-(8742/(E323+459.6))+15.64),EXP(INDEX(Antoines,MATCH(E314,Antoine_Name,0),2)-INDEX(Antoines,MATCH(E314,Antoine_Name,0),3)/(E323+459.6))))),0)</f>
        <v>4.8748667780818778E-3</v>
      </c>
      <c r="F330" cm="1">
        <f t="array" ref="F330">IFERROR(IF(F315="Chemical",(10^(INDEX(Antoines,MATCH(F314,Antoine_Name,0),2)-INDEX(Antoines,MATCH(F314,Antoine_Name,0),3)/(INDEX(Antoines,MATCH(F314,Antoine_Name,0),4)+(F323-32)*5/9)))*14.7/760,IF(F315="Crude Oil",EXP((2799/(F323+459.6)-2.227)*LOG10(INDEX(FX_Input,S$5,F$3*$Z$5+$AA$5))-(7261/(F323+459.6))+12.82),IF(F315="Refined Petroleum Stock",EXP((0.7553-(413/(F323+459.6)))*(INDEX(FX_Input,S$5,F$3*$Z$5+$AA$5-1)^0.5)*LOG10(INDEX(FX_Input,S$5,F$3*$Z$5+$AA$5))-(1.854-(1042/(F323+459.6)))*(INDEX(FX_Input,S$5,F$3*$Z$5+$AA$5-1)^0.5)+((2416/(F323+459.6)-2.013)*LOG10(INDEX(FX_Input,S$5,F$3*$Z$5+$AA$5)))-(8742/(F323+459.6))+15.64),EXP(INDEX(Antoines,MATCH(F314,Antoine_Name,0),2)-INDEX(Antoines,MATCH(F314,Antoine_Name,0),3)/(F323+459.6))))),0)</f>
        <v>5.119885034186122E-3</v>
      </c>
      <c r="G330" cm="1">
        <f t="array" ref="G330">IFERROR(IF(G315="Chemical",(10^(INDEX(Antoines,MATCH(G314,Antoine_Name,0),2)-INDEX(Antoines,MATCH(G314,Antoine_Name,0),3)/(INDEX(Antoines,MATCH(G314,Antoine_Name,0),4)+(G323-32)*5/9)))*14.7/760,IF(G315="Crude Oil",EXP((2799/(G323+459.6)-2.227)*LOG10(INDEX(FX_Input,T$5,G$3*$Z$5+$AA$5))-(7261/(G323+459.6))+12.82),IF(G315="Refined Petroleum Stock",EXP((0.7553-(413/(G323+459.6)))*(INDEX(FX_Input,T$5,G$3*$Z$5+$AA$5-1)^0.5)*LOG10(INDEX(FX_Input,T$5,G$3*$Z$5+$AA$5))-(1.854-(1042/(G323+459.6)))*(INDEX(FX_Input,T$5,G$3*$Z$5+$AA$5-1)^0.5)+((2416/(G323+459.6)-2.013)*LOG10(INDEX(FX_Input,T$5,G$3*$Z$5+$AA$5)))-(8742/(G323+459.6))+15.64),EXP(INDEX(Antoines,MATCH(G314,Antoine_Name,0),2)-INDEX(Antoines,MATCH(G314,Antoine_Name,0),3)/(G323+459.6))))),0)</f>
        <v>5.5846958573521795E-3</v>
      </c>
      <c r="H330" cm="1">
        <f t="array" ref="H330">IFERROR(IF(H315="Chemical",(10^(INDEX(Antoines,MATCH(H314,Antoine_Name,0),2)-INDEX(Antoines,MATCH(H314,Antoine_Name,0),3)/(INDEX(Antoines,MATCH(H314,Antoine_Name,0),4)+(H323-32)*5/9)))*14.7/760,IF(H315="Crude Oil",EXP((2799/(H323+459.6)-2.227)*LOG10(INDEX(FX_Input,U$5,H$3*$Z$5+$AA$5))-(7261/(H323+459.6))+12.82),IF(H315="Refined Petroleum Stock",EXP((0.7553-(413/(H323+459.6)))*(INDEX(FX_Input,U$5,H$3*$Z$5+$AA$5-1)^0.5)*LOG10(INDEX(FX_Input,U$5,H$3*$Z$5+$AA$5))-(1.854-(1042/(H323+459.6)))*(INDEX(FX_Input,U$5,H$3*$Z$5+$AA$5-1)^0.5)+((2416/(H323+459.6)-2.013)*LOG10(INDEX(FX_Input,U$5,H$3*$Z$5+$AA$5)))-(8742/(H323+459.6))+15.64),EXP(INDEX(Antoines,MATCH(H314,Antoine_Name,0),2)-INDEX(Antoines,MATCH(H314,Antoine_Name,0),3)/(H323+459.6))))),0)</f>
        <v>6.5274070972739821E-3</v>
      </c>
      <c r="I330" cm="1">
        <f t="array" ref="I330">IFERROR(IF(I315="Chemical",(10^(INDEX(Antoines,MATCH(I314,Antoine_Name,0),2)-INDEX(Antoines,MATCH(I314,Antoine_Name,0),3)/(INDEX(Antoines,MATCH(I314,Antoine_Name,0),4)+(I323-32)*5/9)))*14.7/760,IF(I315="Crude Oil",EXP((2799/(I323+459.6)-2.227)*LOG10(INDEX(FX_Input,V$5,I$3*$Z$5+$AA$5))-(7261/(I323+459.6))+12.82),IF(I315="Refined Petroleum Stock",EXP((0.7553-(413/(I323+459.6)))*(INDEX(FX_Input,V$5,I$3*$Z$5+$AA$5-1)^0.5)*LOG10(INDEX(FX_Input,V$5,I$3*$Z$5+$AA$5))-(1.854-(1042/(I323+459.6)))*(INDEX(FX_Input,V$5,I$3*$Z$5+$AA$5-1)^0.5)+((2416/(I323+459.6)-2.013)*LOG10(INDEX(FX_Input,V$5,I$3*$Z$5+$AA$5)))-(8742/(I323+459.6))+15.64),EXP(INDEX(Antoines,MATCH(I314,Antoine_Name,0),2)-INDEX(Antoines,MATCH(I314,Antoine_Name,0),3)/(I323+459.6))))),0)</f>
        <v>7.4199539958878279E-3</v>
      </c>
      <c r="J330" cm="1">
        <f t="array" ref="J330">IFERROR(IF(J315="Chemical",(10^(INDEX(Antoines,MATCH(J314,Antoine_Name,0),2)-INDEX(Antoines,MATCH(J314,Antoine_Name,0),3)/(INDEX(Antoines,MATCH(J314,Antoine_Name,0),4)+(J323-32)*5/9)))*14.7/760,IF(J315="Crude Oil",EXP((2799/(J323+459.6)-2.227)*LOG10(INDEX(FX_Input,W$5,J$3*$Z$5+$AA$5))-(7261/(J323+459.6))+12.82),IF(J315="Refined Petroleum Stock",EXP((0.7553-(413/(J323+459.6)))*(INDEX(FX_Input,W$5,J$3*$Z$5+$AA$5-1)^0.5)*LOG10(INDEX(FX_Input,W$5,J$3*$Z$5+$AA$5))-(1.854-(1042/(J323+459.6)))*(INDEX(FX_Input,W$5,J$3*$Z$5+$AA$5-1)^0.5)+((2416/(J323+459.6)-2.013)*LOG10(INDEX(FX_Input,W$5,J$3*$Z$5+$AA$5)))-(8742/(J323+459.6))+15.64),EXP(INDEX(Antoines,MATCH(J314,Antoine_Name,0),2)-INDEX(Antoines,MATCH(J314,Antoine_Name,0),3)/(J323+459.6))))),0)</f>
        <v>8.3358107202842254E-3</v>
      </c>
      <c r="K330" cm="1">
        <f t="array" ref="K330">IFERROR(IF(K315="Chemical",(10^(INDEX(Antoines,MATCH(K314,Antoine_Name,0),2)-INDEX(Antoines,MATCH(K314,Antoine_Name,0),3)/(INDEX(Antoines,MATCH(K314,Antoine_Name,0),4)+(K323-32)*5/9)))*14.7/760,IF(K315="Crude Oil",EXP((2799/(K323+459.6)-2.227)*LOG10(INDEX(FX_Input,X$5,K$3*$Z$5+$AA$5))-(7261/(K323+459.6))+12.82),IF(K315="Refined Petroleum Stock",EXP((0.7553-(413/(K323+459.6)))*(INDEX(FX_Input,X$5,K$3*$Z$5+$AA$5-1)^0.5)*LOG10(INDEX(FX_Input,X$5,K$3*$Z$5+$AA$5))-(1.854-(1042/(K323+459.6)))*(INDEX(FX_Input,X$5,K$3*$Z$5+$AA$5-1)^0.5)+((2416/(K323+459.6)-2.013)*LOG10(INDEX(FX_Input,X$5,K$3*$Z$5+$AA$5)))-(8742/(K323+459.6))+15.64),EXP(INDEX(Antoines,MATCH(K314,Antoine_Name,0),2)-INDEX(Antoines,MATCH(K314,Antoine_Name,0),3)/(K323+459.6))))),0)</f>
        <v>8.4605262729351115E-3</v>
      </c>
      <c r="L330" cm="1">
        <f t="array" ref="L330">IFERROR(IF(L315="Chemical",(10^(INDEX(Antoines,MATCH(L314,Antoine_Name,0),2)-INDEX(Antoines,MATCH(L314,Antoine_Name,0),3)/(INDEX(Antoines,MATCH(L314,Antoine_Name,0),4)+(L323-32)*5/9)))*14.7/760,IF(L315="Crude Oil",EXP((2799/(L323+459.6)-2.227)*LOG10(INDEX(FX_Input,Y$5,L$3*$Z$5+$AA$5))-(7261/(L323+459.6))+12.82),IF(L315="Refined Petroleum Stock",EXP((0.7553-(413/(L323+459.6)))*(INDEX(FX_Input,Y$5,L$3*$Z$5+$AA$5-1)^0.5)*LOG10(INDEX(FX_Input,Y$5,L$3*$Z$5+$AA$5))-(1.854-(1042/(L323+459.6)))*(INDEX(FX_Input,Y$5,L$3*$Z$5+$AA$5-1)^0.5)+((2416/(L323+459.6)-2.013)*LOG10(INDEX(FX_Input,Y$5,L$3*$Z$5+$AA$5)))-(8742/(L323+459.6))+15.64),EXP(INDEX(Antoines,MATCH(L314,Antoine_Name,0),2)-INDEX(Antoines,MATCH(L314,Antoine_Name,0),3)/(L323+459.6))))),0)</f>
        <v>7.8399882233967533E-3</v>
      </c>
      <c r="M330" cm="1">
        <f t="array" ref="M330">IFERROR(IF(M315="Chemical",(10^(INDEX(Antoines,MATCH(M314,Antoine_Name,0),2)-INDEX(Antoines,MATCH(M314,Antoine_Name,0),3)/(INDEX(Antoines,MATCH(M314,Antoine_Name,0),4)+(M323-32)*5/9)))*14.7/760,IF(M315="Crude Oil",EXP((2799/(M323+459.6)-2.227)*LOG10(INDEX(FX_Input,Z$5,M$3*$Z$5+$AA$5))-(7261/(M323+459.6))+12.82),IF(M315="Refined Petroleum Stock",EXP((0.7553-(413/(M323+459.6)))*(INDEX(FX_Input,Z$5,M$3*$Z$5+$AA$5-1)^0.5)*LOG10(INDEX(FX_Input,Z$5,M$3*$Z$5+$AA$5))-(1.854-(1042/(M323+459.6)))*(INDEX(FX_Input,Z$5,M$3*$Z$5+$AA$5-1)^0.5)+((2416/(M323+459.6)-2.013)*LOG10(INDEX(FX_Input,Z$5,M$3*$Z$5+$AA$5)))-(8742/(M323+459.6))+15.64),EXP(INDEX(Antoines,MATCH(M314,Antoine_Name,0),2)-INDEX(Antoines,MATCH(M314,Antoine_Name,0),3)/(M323+459.6))))),0)</f>
        <v>6.4173462075160911E-3</v>
      </c>
      <c r="N330" cm="1">
        <f t="array" ref="N330">IFERROR(IF(N315="Chemical",(10^(INDEX(Antoines,MATCH(N314,Antoine_Name,0),2)-INDEX(Antoines,MATCH(N314,Antoine_Name,0),3)/(INDEX(Antoines,MATCH(N314,Antoine_Name,0),4)+(N323-32)*5/9)))*14.7/760,IF(N315="Crude Oil",EXP((2799/(N323+459.6)-2.227)*LOG10(INDEX(FX_Input,AA$5,N$3*$Z$5+$AA$5))-(7261/(N323+459.6))+12.82),IF(N315="Refined Petroleum Stock",EXP((0.7553-(413/(N323+459.6)))*(INDEX(FX_Input,AA$5,N$3*$Z$5+$AA$5-1)^0.5)*LOG10(INDEX(FX_Input,AA$5,N$3*$Z$5+$AA$5))-(1.854-(1042/(N323+459.6)))*(INDEX(FX_Input,AA$5,N$3*$Z$5+$AA$5-1)^0.5)+((2416/(N323+459.6)-2.013)*LOG10(INDEX(FX_Input,AA$5,N$3*$Z$5+$AA$5)))-(8742/(N323+459.6))+15.64),EXP(INDEX(Antoines,MATCH(N314,Antoine_Name,0),2)-INDEX(Antoines,MATCH(N314,Antoine_Name,0),3)/(N323+459.6))))),0)</f>
        <v>5.3015226887581056E-3</v>
      </c>
      <c r="O330" cm="1">
        <f t="array" ref="O330">IFERROR(IF(O315="Chemical",(10^(INDEX(Antoines,MATCH(O314,Antoine_Name,0),2)-INDEX(Antoines,MATCH(O314,Antoine_Name,0),3)/(INDEX(Antoines,MATCH(O314,Antoine_Name,0),4)+(O323-32)*5/9)))*14.7/760,IF(O315="Crude Oil",EXP((2799/(O323+459.6)-2.227)*LOG10(INDEX(FX_Input,AB$5,O$3*$Z$5+$AA$5))-(7261/(O323+459.6))+12.82),IF(O315="Refined Petroleum Stock",EXP((0.7553-(413/(O323+459.6)))*(INDEX(FX_Input,AB$5,O$3*$Z$5+$AA$5-1)^0.5)*LOG10(INDEX(FX_Input,AB$5,O$3*$Z$5+$AA$5))-(1.854-(1042/(O323+459.6)))*(INDEX(FX_Input,AB$5,O$3*$Z$5+$AA$5-1)^0.5)+((2416/(O323+459.6)-2.013)*LOG10(INDEX(FX_Input,AB$5,O$3*$Z$5+$AA$5)))-(8742/(O323+459.6))+15.64),EXP(INDEX(Antoines,MATCH(O314,Antoine_Name,0),2)-INDEX(Antoines,MATCH(O314,Antoine_Name,0),3)/(O323+459.6))))),0)</f>
        <v>4.68970903600947E-3</v>
      </c>
    </row>
    <row r="331" spans="2:32" ht="17.149999999999999" x14ac:dyDescent="0.55000000000000004">
      <c r="B331" t="str">
        <f t="shared" si="1044"/>
        <v>Portland</v>
      </c>
      <c r="C331" t="s">
        <v>580</v>
      </c>
      <c r="D331">
        <f>D330*D318</f>
        <v>4.739577185808354E-3</v>
      </c>
      <c r="E331">
        <f t="shared" ref="E331" si="1078">E330*E318</f>
        <v>4.8748667780818778E-3</v>
      </c>
      <c r="F331">
        <f t="shared" ref="F331" si="1079">F330*F318</f>
        <v>5.119885034186122E-3</v>
      </c>
      <c r="G331">
        <f t="shared" ref="G331" si="1080">G330*G318</f>
        <v>5.5846958573521795E-3</v>
      </c>
      <c r="H331">
        <f t="shared" ref="H331" si="1081">H330*H318</f>
        <v>6.5274070972739821E-3</v>
      </c>
      <c r="I331">
        <f t="shared" ref="I331" si="1082">I330*I318</f>
        <v>7.4199539958878279E-3</v>
      </c>
      <c r="J331">
        <f t="shared" ref="J331" si="1083">J330*J318</f>
        <v>8.3358107202842254E-3</v>
      </c>
      <c r="K331">
        <f t="shared" ref="K331" si="1084">K330*K318</f>
        <v>8.4605262729351115E-3</v>
      </c>
      <c r="L331">
        <f t="shared" ref="L331" si="1085">L330*L318</f>
        <v>7.8399882233967533E-3</v>
      </c>
      <c r="M331">
        <f t="shared" ref="M331" si="1086">M330*M318</f>
        <v>6.4173462075160911E-3</v>
      </c>
      <c r="N331">
        <f t="shared" ref="N331" si="1087">N330*N318</f>
        <v>5.3015226887581056E-3</v>
      </c>
      <c r="O331">
        <f t="shared" ref="O331" si="1088">O330*O318</f>
        <v>4.68970903600947E-3</v>
      </c>
    </row>
    <row r="332" spans="2:32" ht="17.149999999999999" x14ac:dyDescent="0.55000000000000004">
      <c r="B332" t="str">
        <f t="shared" si="1044"/>
        <v>Portland</v>
      </c>
      <c r="C332" t="s">
        <v>581</v>
      </c>
      <c r="D332" cm="1">
        <f t="array" ref="D332">IFERROR(IF(D317="Chemical",(10^(INDEX(Antoines,MATCH(D316,Antoine_Name,0),2)-INDEX(Antoines,MATCH(D316,Antoine_Name,0),3)/(INDEX(Antoines,MATCH(D316,Antoine_Name,0),4)+(D323-32)*5/9)))*14.7/760,IF(D317="Crude Oil",EXP((2799/(D323+459.6)-2.227)*LOG10(INDEX(FX_Input,Q$5,D$3*$Z$5+$AA$5))-(7261/(D323+459.6))+12.82),IF(D317="Refined Petroleum Stock",EXP((0.7553-(413/(D323+459.6)))*(INDEX(FX_Input,Q$5,D$3*$Z$5+$AA$5-1)^0.5)*LOG10(INDEX(FX_Input,Q$5,D$3*$Z$5+$AA$5))-(1.854-(1042/(D323+459.6)))*(INDEX(FX_Input,Q$5,D$3*$Z$5+$AA$5-1)^0.5)+((2416/(D323+459.6)-2.013)*LOG10(INDEX(FX_Input,Q$5,D$3*$Z$5+$AA$5)))-(8742/(D323+459.6))+15.64),EXP(INDEX(Antoines,MATCH(D316,Antoine_Name,0),2)-INDEX(Antoines,MATCH(D316,Antoine_Name,0),3)/(D323+459.6))))),0)</f>
        <v>0</v>
      </c>
      <c r="E332" cm="1">
        <f t="array" ref="E332">IFERROR(IF(E317="Chemical",(10^(INDEX(Antoines,MATCH(E316,Antoine_Name,0),2)-INDEX(Antoines,MATCH(E316,Antoine_Name,0),3)/(INDEX(Antoines,MATCH(E316,Antoine_Name,0),4)+(E323-32)*5/9)))*14.7/760,IF(E317="Crude Oil",EXP((2799/(E323+459.6)-2.227)*LOG10(INDEX(FX_Input,R$5,E$3*$Z$5+$AA$5))-(7261/(E323+459.6))+12.82),IF(E317="Refined Petroleum Stock",EXP((0.7553-(413/(E323+459.6)))*(INDEX(FX_Input,R$5,E$3*$Z$5+$AA$5-1)^0.5)*LOG10(INDEX(FX_Input,R$5,E$3*$Z$5+$AA$5))-(1.854-(1042/(E323+459.6)))*(INDEX(FX_Input,R$5,E$3*$Z$5+$AA$5-1)^0.5)+((2416/(E323+459.6)-2.013)*LOG10(INDEX(FX_Input,R$5,E$3*$Z$5+$AA$5)))-(8742/(E323+459.6))+15.64),EXP(INDEX(Antoines,MATCH(E316,Antoine_Name,0),2)-INDEX(Antoines,MATCH(E316,Antoine_Name,0),3)/(E323+459.6))))),0)</f>
        <v>0</v>
      </c>
      <c r="F332" cm="1">
        <f t="array" ref="F332">IFERROR(IF(F317="Chemical",(10^(INDEX(Antoines,MATCH(F316,Antoine_Name,0),2)-INDEX(Antoines,MATCH(F316,Antoine_Name,0),3)/(INDEX(Antoines,MATCH(F316,Antoine_Name,0),4)+(F323-32)*5/9)))*14.7/760,IF(F317="Crude Oil",EXP((2799/(F323+459.6)-2.227)*LOG10(INDEX(FX_Input,S$5,F$3*$Z$5+$AA$5))-(7261/(F323+459.6))+12.82),IF(F317="Refined Petroleum Stock",EXP((0.7553-(413/(F323+459.6)))*(INDEX(FX_Input,S$5,F$3*$Z$5+$AA$5-1)^0.5)*LOG10(INDEX(FX_Input,S$5,F$3*$Z$5+$AA$5))-(1.854-(1042/(F323+459.6)))*(INDEX(FX_Input,S$5,F$3*$Z$5+$AA$5-1)^0.5)+((2416/(F323+459.6)-2.013)*LOG10(INDEX(FX_Input,S$5,F$3*$Z$5+$AA$5)))-(8742/(F323+459.6))+15.64),EXP(INDEX(Antoines,MATCH(F316,Antoine_Name,0),2)-INDEX(Antoines,MATCH(F316,Antoine_Name,0),3)/(F323+459.6))))),0)</f>
        <v>0</v>
      </c>
      <c r="G332" cm="1">
        <f t="array" ref="G332">IFERROR(IF(G317="Chemical",(10^(INDEX(Antoines,MATCH(G316,Antoine_Name,0),2)-INDEX(Antoines,MATCH(G316,Antoine_Name,0),3)/(INDEX(Antoines,MATCH(G316,Antoine_Name,0),4)+(G323-32)*5/9)))*14.7/760,IF(G317="Crude Oil",EXP((2799/(G323+459.6)-2.227)*LOG10(INDEX(FX_Input,T$5,G$3*$Z$5+$AA$5))-(7261/(G323+459.6))+12.82),IF(G317="Refined Petroleum Stock",EXP((0.7553-(413/(G323+459.6)))*(INDEX(FX_Input,T$5,G$3*$Z$5+$AA$5-1)^0.5)*LOG10(INDEX(FX_Input,T$5,G$3*$Z$5+$AA$5))-(1.854-(1042/(G323+459.6)))*(INDEX(FX_Input,T$5,G$3*$Z$5+$AA$5-1)^0.5)+((2416/(G323+459.6)-2.013)*LOG10(INDEX(FX_Input,T$5,G$3*$Z$5+$AA$5)))-(8742/(G323+459.6))+15.64),EXP(INDEX(Antoines,MATCH(G316,Antoine_Name,0),2)-INDEX(Antoines,MATCH(G316,Antoine_Name,0),3)/(G323+459.6))))),0)</f>
        <v>0</v>
      </c>
      <c r="H332" cm="1">
        <f t="array" ref="H332">IFERROR(IF(H317="Chemical",(10^(INDEX(Antoines,MATCH(H316,Antoine_Name,0),2)-INDEX(Antoines,MATCH(H316,Antoine_Name,0),3)/(INDEX(Antoines,MATCH(H316,Antoine_Name,0),4)+(H323-32)*5/9)))*14.7/760,IF(H317="Crude Oil",EXP((2799/(H323+459.6)-2.227)*LOG10(INDEX(FX_Input,U$5,H$3*$Z$5+$AA$5))-(7261/(H323+459.6))+12.82),IF(H317="Refined Petroleum Stock",EXP((0.7553-(413/(H323+459.6)))*(INDEX(FX_Input,U$5,H$3*$Z$5+$AA$5-1)^0.5)*LOG10(INDEX(FX_Input,U$5,H$3*$Z$5+$AA$5))-(1.854-(1042/(H323+459.6)))*(INDEX(FX_Input,U$5,H$3*$Z$5+$AA$5-1)^0.5)+((2416/(H323+459.6)-2.013)*LOG10(INDEX(FX_Input,U$5,H$3*$Z$5+$AA$5)))-(8742/(H323+459.6))+15.64),EXP(INDEX(Antoines,MATCH(H316,Antoine_Name,0),2)-INDEX(Antoines,MATCH(H316,Antoine_Name,0),3)/(H323+459.6))))),0)</f>
        <v>0</v>
      </c>
      <c r="I332" cm="1">
        <f t="array" ref="I332">IFERROR(IF(I317="Chemical",(10^(INDEX(Antoines,MATCH(I316,Antoine_Name,0),2)-INDEX(Antoines,MATCH(I316,Antoine_Name,0),3)/(INDEX(Antoines,MATCH(I316,Antoine_Name,0),4)+(I323-32)*5/9)))*14.7/760,IF(I317="Crude Oil",EXP((2799/(I323+459.6)-2.227)*LOG10(INDEX(FX_Input,V$5,I$3*$Z$5+$AA$5))-(7261/(I323+459.6))+12.82),IF(I317="Refined Petroleum Stock",EXP((0.7553-(413/(I323+459.6)))*(INDEX(FX_Input,V$5,I$3*$Z$5+$AA$5-1)^0.5)*LOG10(INDEX(FX_Input,V$5,I$3*$Z$5+$AA$5))-(1.854-(1042/(I323+459.6)))*(INDEX(FX_Input,V$5,I$3*$Z$5+$AA$5-1)^0.5)+((2416/(I323+459.6)-2.013)*LOG10(INDEX(FX_Input,V$5,I$3*$Z$5+$AA$5)))-(8742/(I323+459.6))+15.64),EXP(INDEX(Antoines,MATCH(I316,Antoine_Name,0),2)-INDEX(Antoines,MATCH(I316,Antoine_Name,0),3)/(I323+459.6))))),0)</f>
        <v>0</v>
      </c>
      <c r="J332" cm="1">
        <f t="array" ref="J332">IFERROR(IF(J317="Chemical",(10^(INDEX(Antoines,MATCH(J316,Antoine_Name,0),2)-INDEX(Antoines,MATCH(J316,Antoine_Name,0),3)/(INDEX(Antoines,MATCH(J316,Antoine_Name,0),4)+(J323-32)*5/9)))*14.7/760,IF(J317="Crude Oil",EXP((2799/(J323+459.6)-2.227)*LOG10(INDEX(FX_Input,W$5,J$3*$Z$5+$AA$5))-(7261/(J323+459.6))+12.82),IF(J317="Refined Petroleum Stock",EXP((0.7553-(413/(J323+459.6)))*(INDEX(FX_Input,W$5,J$3*$Z$5+$AA$5-1)^0.5)*LOG10(INDEX(FX_Input,W$5,J$3*$Z$5+$AA$5))-(1.854-(1042/(J323+459.6)))*(INDEX(FX_Input,W$5,J$3*$Z$5+$AA$5-1)^0.5)+((2416/(J323+459.6)-2.013)*LOG10(INDEX(FX_Input,W$5,J$3*$Z$5+$AA$5)))-(8742/(J323+459.6))+15.64),EXP(INDEX(Antoines,MATCH(J316,Antoine_Name,0),2)-INDEX(Antoines,MATCH(J316,Antoine_Name,0),3)/(J323+459.6))))),0)</f>
        <v>0</v>
      </c>
      <c r="K332" cm="1">
        <f t="array" ref="K332">IFERROR(IF(K317="Chemical",(10^(INDEX(Antoines,MATCH(K316,Antoine_Name,0),2)-INDEX(Antoines,MATCH(K316,Antoine_Name,0),3)/(INDEX(Antoines,MATCH(K316,Antoine_Name,0),4)+(K323-32)*5/9)))*14.7/760,IF(K317="Crude Oil",EXP((2799/(K323+459.6)-2.227)*LOG10(INDEX(FX_Input,X$5,K$3*$Z$5+$AA$5))-(7261/(K323+459.6))+12.82),IF(K317="Refined Petroleum Stock",EXP((0.7553-(413/(K323+459.6)))*(INDEX(FX_Input,X$5,K$3*$Z$5+$AA$5-1)^0.5)*LOG10(INDEX(FX_Input,X$5,K$3*$Z$5+$AA$5))-(1.854-(1042/(K323+459.6)))*(INDEX(FX_Input,X$5,K$3*$Z$5+$AA$5-1)^0.5)+((2416/(K323+459.6)-2.013)*LOG10(INDEX(FX_Input,X$5,K$3*$Z$5+$AA$5)))-(8742/(K323+459.6))+15.64),EXP(INDEX(Antoines,MATCH(K316,Antoine_Name,0),2)-INDEX(Antoines,MATCH(K316,Antoine_Name,0),3)/(K323+459.6))))),0)</f>
        <v>0</v>
      </c>
      <c r="L332" cm="1">
        <f t="array" ref="L332">IFERROR(IF(L317="Chemical",(10^(INDEX(Antoines,MATCH(L316,Antoine_Name,0),2)-INDEX(Antoines,MATCH(L316,Antoine_Name,0),3)/(INDEX(Antoines,MATCH(L316,Antoine_Name,0),4)+(L323-32)*5/9)))*14.7/760,IF(L317="Crude Oil",EXP((2799/(L323+459.6)-2.227)*LOG10(INDEX(FX_Input,Y$5,L$3*$Z$5+$AA$5))-(7261/(L323+459.6))+12.82),IF(L317="Refined Petroleum Stock",EXP((0.7553-(413/(L323+459.6)))*(INDEX(FX_Input,Y$5,L$3*$Z$5+$AA$5-1)^0.5)*LOG10(INDEX(FX_Input,Y$5,L$3*$Z$5+$AA$5))-(1.854-(1042/(L323+459.6)))*(INDEX(FX_Input,Y$5,L$3*$Z$5+$AA$5-1)^0.5)+((2416/(L323+459.6)-2.013)*LOG10(INDEX(FX_Input,Y$5,L$3*$Z$5+$AA$5)))-(8742/(L323+459.6))+15.64),EXP(INDEX(Antoines,MATCH(L316,Antoine_Name,0),2)-INDEX(Antoines,MATCH(L316,Antoine_Name,0),3)/(L323+459.6))))),0)</f>
        <v>0</v>
      </c>
      <c r="M332" cm="1">
        <f t="array" ref="M332">IFERROR(IF(M317="Chemical",(10^(INDEX(Antoines,MATCH(M316,Antoine_Name,0),2)-INDEX(Antoines,MATCH(M316,Antoine_Name,0),3)/(INDEX(Antoines,MATCH(M316,Antoine_Name,0),4)+(M323-32)*5/9)))*14.7/760,IF(M317="Crude Oil",EXP((2799/(M323+459.6)-2.227)*LOG10(INDEX(FX_Input,Z$5,M$3*$Z$5+$AA$5))-(7261/(M323+459.6))+12.82),IF(M317="Refined Petroleum Stock",EXP((0.7553-(413/(M323+459.6)))*(INDEX(FX_Input,Z$5,M$3*$Z$5+$AA$5-1)^0.5)*LOG10(INDEX(FX_Input,Z$5,M$3*$Z$5+$AA$5))-(1.854-(1042/(M323+459.6)))*(INDEX(FX_Input,Z$5,M$3*$Z$5+$AA$5-1)^0.5)+((2416/(M323+459.6)-2.013)*LOG10(INDEX(FX_Input,Z$5,M$3*$Z$5+$AA$5)))-(8742/(M323+459.6))+15.64),EXP(INDEX(Antoines,MATCH(M316,Antoine_Name,0),2)-INDEX(Antoines,MATCH(M316,Antoine_Name,0),3)/(M323+459.6))))),0)</f>
        <v>0</v>
      </c>
      <c r="N332" cm="1">
        <f t="array" ref="N332">IFERROR(IF(N317="Chemical",(10^(INDEX(Antoines,MATCH(N316,Antoine_Name,0),2)-INDEX(Antoines,MATCH(N316,Antoine_Name,0),3)/(INDEX(Antoines,MATCH(N316,Antoine_Name,0),4)+(N323-32)*5/9)))*14.7/760,IF(N317="Crude Oil",EXP((2799/(N323+459.6)-2.227)*LOG10(INDEX(FX_Input,AA$5,N$3*$Z$5+$AA$5))-(7261/(N323+459.6))+12.82),IF(N317="Refined Petroleum Stock",EXP((0.7553-(413/(N323+459.6)))*(INDEX(FX_Input,AA$5,N$3*$Z$5+$AA$5-1)^0.5)*LOG10(INDEX(FX_Input,AA$5,N$3*$Z$5+$AA$5))-(1.854-(1042/(N323+459.6)))*(INDEX(FX_Input,AA$5,N$3*$Z$5+$AA$5-1)^0.5)+((2416/(N323+459.6)-2.013)*LOG10(INDEX(FX_Input,AA$5,N$3*$Z$5+$AA$5)))-(8742/(N323+459.6))+15.64),EXP(INDEX(Antoines,MATCH(N316,Antoine_Name,0),2)-INDEX(Antoines,MATCH(N316,Antoine_Name,0),3)/(N323+459.6))))),0)</f>
        <v>0</v>
      </c>
      <c r="O332" cm="1">
        <f t="array" ref="O332">IFERROR(IF(O317="Chemical",(10^(INDEX(Antoines,MATCH(O316,Antoine_Name,0),2)-INDEX(Antoines,MATCH(O316,Antoine_Name,0),3)/(INDEX(Antoines,MATCH(O316,Antoine_Name,0),4)+(O323-32)*5/9)))*14.7/760,IF(O317="Crude Oil",EXP((2799/(O323+459.6)-2.227)*LOG10(INDEX(FX_Input,AB$5,O$3*$Z$5+$AA$5))-(7261/(O323+459.6))+12.82),IF(O317="Refined Petroleum Stock",EXP((0.7553-(413/(O323+459.6)))*(INDEX(FX_Input,AB$5,O$3*$Z$5+$AA$5-1)^0.5)*LOG10(INDEX(FX_Input,AB$5,O$3*$Z$5+$AA$5))-(1.854-(1042/(O323+459.6)))*(INDEX(FX_Input,AB$5,O$3*$Z$5+$AA$5-1)^0.5)+((2416/(O323+459.6)-2.013)*LOG10(INDEX(FX_Input,AB$5,O$3*$Z$5+$AA$5)))-(8742/(O323+459.6))+15.64),EXP(INDEX(Antoines,MATCH(O316,Antoine_Name,0),2)-INDEX(Antoines,MATCH(O316,Antoine_Name,0),3)/(O323+459.6))))),0)</f>
        <v>0</v>
      </c>
    </row>
    <row r="333" spans="2:32" ht="17.149999999999999" x14ac:dyDescent="0.55000000000000004">
      <c r="B333" t="str">
        <f t="shared" si="1044"/>
        <v>Portland</v>
      </c>
      <c r="C333" t="s">
        <v>582</v>
      </c>
      <c r="D333">
        <f>D332*D320</f>
        <v>0</v>
      </c>
      <c r="E333">
        <f t="shared" ref="E333" si="1089">E332*E320</f>
        <v>0</v>
      </c>
      <c r="F333">
        <f t="shared" ref="F333" si="1090">F332*F320</f>
        <v>0</v>
      </c>
      <c r="G333">
        <f t="shared" ref="G333" si="1091">G332*G320</f>
        <v>0</v>
      </c>
      <c r="H333">
        <f t="shared" ref="H333" si="1092">H332*H320</f>
        <v>0</v>
      </c>
      <c r="I333">
        <f t="shared" ref="I333" si="1093">I332*I320</f>
        <v>0</v>
      </c>
      <c r="J333">
        <f t="shared" ref="J333" si="1094">J332*J320</f>
        <v>0</v>
      </c>
      <c r="K333">
        <f t="shared" ref="K333" si="1095">K332*K320</f>
        <v>0</v>
      </c>
      <c r="L333">
        <f t="shared" ref="L333" si="1096">L332*L320</f>
        <v>0</v>
      </c>
      <c r="M333">
        <f t="shared" ref="M333" si="1097">M332*M320</f>
        <v>0</v>
      </c>
      <c r="N333">
        <f t="shared" ref="N333" si="1098">N332*N320</f>
        <v>0</v>
      </c>
      <c r="O333">
        <f t="shared" ref="O333" si="1099">O332*O320</f>
        <v>0</v>
      </c>
    </row>
    <row r="334" spans="2:32" ht="17.149999999999999" x14ac:dyDescent="0.55000000000000004">
      <c r="B334" t="str">
        <f t="shared" si="1044"/>
        <v>Portland</v>
      </c>
      <c r="C334" t="s">
        <v>583</v>
      </c>
      <c r="D334">
        <f>D331+D333</f>
        <v>4.739577185808354E-3</v>
      </c>
      <c r="E334">
        <f t="shared" ref="E334" si="1100">E331+E333</f>
        <v>4.8748667780818778E-3</v>
      </c>
      <c r="F334">
        <f t="shared" ref="F334" si="1101">F331+F333</f>
        <v>5.119885034186122E-3</v>
      </c>
      <c r="G334">
        <f t="shared" ref="G334" si="1102">G331+G333</f>
        <v>5.5846958573521795E-3</v>
      </c>
      <c r="H334">
        <f t="shared" ref="H334" si="1103">H331+H333</f>
        <v>6.5274070972739821E-3</v>
      </c>
      <c r="I334">
        <f t="shared" ref="I334" si="1104">I331+I333</f>
        <v>7.4199539958878279E-3</v>
      </c>
      <c r="J334">
        <f t="shared" ref="J334" si="1105">J331+J333</f>
        <v>8.3358107202842254E-3</v>
      </c>
      <c r="K334">
        <f t="shared" ref="K334" si="1106">K331+K333</f>
        <v>8.4605262729351115E-3</v>
      </c>
      <c r="L334">
        <f t="shared" ref="L334" si="1107">L331+L333</f>
        <v>7.8399882233967533E-3</v>
      </c>
      <c r="M334">
        <f t="shared" ref="M334" si="1108">M331+M333</f>
        <v>6.4173462075160911E-3</v>
      </c>
      <c r="N334">
        <f t="shared" ref="N334" si="1109">N331+N333</f>
        <v>5.3015226887581056E-3</v>
      </c>
      <c r="O334">
        <f t="shared" ref="O334" si="1110">O331+O333</f>
        <v>4.68970903600947E-3</v>
      </c>
    </row>
    <row r="335" spans="2:32" ht="17.149999999999999" x14ac:dyDescent="0.55000000000000004">
      <c r="B335" t="str">
        <f t="shared" si="1044"/>
        <v>Portland</v>
      </c>
      <c r="C335" t="s">
        <v>1388</v>
      </c>
      <c r="D335" cm="1">
        <f t="array" ref="D335">IFERROR(IF(D315="Chemical",(10^(INDEX(Antoines,MATCH(D314,Antoine_Name,0),2)-INDEX(Antoines,MATCH(D314,Antoine_Name,0),3)/(INDEX(Antoines,MATCH(D314,Antoine_Name,0),4)+(D324-32)*5/9)))*14.7/760,IF(D315="Crude Oil",EXP((2799/(D324+459.6)-2.227)*LOG10(INDEX(FX_Input,Q$5,D$3*$Z$5+$AA$5))-(7261/(D324+459.6))+12.82),IF(D315="Refined Petroleum Stock",EXP((0.7553-(413/(D324+459.6)))*(INDEX(FX_Input,Q$5,D$3*$Z$5+$AA$5-1)^0.5)*LOG10(INDEX(FX_Input,Q$5,D$3*$Z$5+$AA$5))-(1.854-(1042/(D324+459.6)))*(INDEX(FX_Input,Q$5,D$3*$Z$5+$AA$5-1)^0.5)+((2416/(D324+459.6)-2.013)*LOG10(INDEX(FX_Input,Q$5,D$3*$Z$5+$AA$5)))-(8742/(D324+459.6))+15.64),EXP(INDEX(Antoines,MATCH(D314,Antoine_Name,0),2)-INDEX(Antoines,MATCH(D314,Antoine_Name,0),3)/(D324+459.6))))),0)</f>
        <v>4.739577185808354E-3</v>
      </c>
      <c r="E335" cm="1">
        <f t="array" ref="E335">IFERROR(IF(E315="Chemical",(10^(INDEX(Antoines,MATCH(E314,Antoine_Name,0),2)-INDEX(Antoines,MATCH(E314,Antoine_Name,0),3)/(INDEX(Antoines,MATCH(E314,Antoine_Name,0),4)+(E324-32)*5/9)))*14.7/760,IF(E315="Crude Oil",EXP((2799/(E324+459.6)-2.227)*LOG10(INDEX(FX_Input,R$5,E$3*$Z$5+$AA$5))-(7261/(E324+459.6))+12.82),IF(E315="Refined Petroleum Stock",EXP((0.7553-(413/(E324+459.6)))*(INDEX(FX_Input,R$5,E$3*$Z$5+$AA$5-1)^0.5)*LOG10(INDEX(FX_Input,R$5,E$3*$Z$5+$AA$5))-(1.854-(1042/(E324+459.6)))*(INDEX(FX_Input,R$5,E$3*$Z$5+$AA$5-1)^0.5)+((2416/(E324+459.6)-2.013)*LOG10(INDEX(FX_Input,R$5,E$3*$Z$5+$AA$5)))-(8742/(E324+459.6))+15.64),EXP(INDEX(Antoines,MATCH(E314,Antoine_Name,0),2)-INDEX(Antoines,MATCH(E314,Antoine_Name,0),3)/(E324+459.6))))),0)</f>
        <v>4.8748667780818778E-3</v>
      </c>
      <c r="F335" cm="1">
        <f t="array" ref="F335">IFERROR(IF(F315="Chemical",(10^(INDEX(Antoines,MATCH(F314,Antoine_Name,0),2)-INDEX(Antoines,MATCH(F314,Antoine_Name,0),3)/(INDEX(Antoines,MATCH(F314,Antoine_Name,0),4)+(F324-32)*5/9)))*14.7/760,IF(F315="Crude Oil",EXP((2799/(F324+459.6)-2.227)*LOG10(INDEX(FX_Input,S$5,F$3*$Z$5+$AA$5))-(7261/(F324+459.6))+12.82),IF(F315="Refined Petroleum Stock",EXP((0.7553-(413/(F324+459.6)))*(INDEX(FX_Input,S$5,F$3*$Z$5+$AA$5-1)^0.5)*LOG10(INDEX(FX_Input,S$5,F$3*$Z$5+$AA$5))-(1.854-(1042/(F324+459.6)))*(INDEX(FX_Input,S$5,F$3*$Z$5+$AA$5-1)^0.5)+((2416/(F324+459.6)-2.013)*LOG10(INDEX(FX_Input,S$5,F$3*$Z$5+$AA$5)))-(8742/(F324+459.6))+15.64),EXP(INDEX(Antoines,MATCH(F314,Antoine_Name,0),2)-INDEX(Antoines,MATCH(F314,Antoine_Name,0),3)/(F324+459.6))))),0)</f>
        <v>5.119885034186122E-3</v>
      </c>
      <c r="G335" cm="1">
        <f t="array" ref="G335">IFERROR(IF(G315="Chemical",(10^(INDEX(Antoines,MATCH(G314,Antoine_Name,0),2)-INDEX(Antoines,MATCH(G314,Antoine_Name,0),3)/(INDEX(Antoines,MATCH(G314,Antoine_Name,0),4)+(G324-32)*5/9)))*14.7/760,IF(G315="Crude Oil",EXP((2799/(G324+459.6)-2.227)*LOG10(INDEX(FX_Input,T$5,G$3*$Z$5+$AA$5))-(7261/(G324+459.6))+12.82),IF(G315="Refined Petroleum Stock",EXP((0.7553-(413/(G324+459.6)))*(INDEX(FX_Input,T$5,G$3*$Z$5+$AA$5-1)^0.5)*LOG10(INDEX(FX_Input,T$5,G$3*$Z$5+$AA$5))-(1.854-(1042/(G324+459.6)))*(INDEX(FX_Input,T$5,G$3*$Z$5+$AA$5-1)^0.5)+((2416/(G324+459.6)-2.013)*LOG10(INDEX(FX_Input,T$5,G$3*$Z$5+$AA$5)))-(8742/(G324+459.6))+15.64),EXP(INDEX(Antoines,MATCH(G314,Antoine_Name,0),2)-INDEX(Antoines,MATCH(G314,Antoine_Name,0),3)/(G324+459.6))))),0)</f>
        <v>5.5846958573521795E-3</v>
      </c>
      <c r="H335" cm="1">
        <f t="array" ref="H335">IFERROR(IF(H315="Chemical",(10^(INDEX(Antoines,MATCH(H314,Antoine_Name,0),2)-INDEX(Antoines,MATCH(H314,Antoine_Name,0),3)/(INDEX(Antoines,MATCH(H314,Antoine_Name,0),4)+(H324-32)*5/9)))*14.7/760,IF(H315="Crude Oil",EXP((2799/(H324+459.6)-2.227)*LOG10(INDEX(FX_Input,U$5,H$3*$Z$5+$AA$5))-(7261/(H324+459.6))+12.82),IF(H315="Refined Petroleum Stock",EXP((0.7553-(413/(H324+459.6)))*(INDEX(FX_Input,U$5,H$3*$Z$5+$AA$5-1)^0.5)*LOG10(INDEX(FX_Input,U$5,H$3*$Z$5+$AA$5))-(1.854-(1042/(H324+459.6)))*(INDEX(FX_Input,U$5,H$3*$Z$5+$AA$5-1)^0.5)+((2416/(H324+459.6)-2.013)*LOG10(INDEX(FX_Input,U$5,H$3*$Z$5+$AA$5)))-(8742/(H324+459.6))+15.64),EXP(INDEX(Antoines,MATCH(H314,Antoine_Name,0),2)-INDEX(Antoines,MATCH(H314,Antoine_Name,0),3)/(H324+459.6))))),0)</f>
        <v>6.5274070972739821E-3</v>
      </c>
      <c r="I335" cm="1">
        <f t="array" ref="I335">IFERROR(IF(I315="Chemical",(10^(INDEX(Antoines,MATCH(I314,Antoine_Name,0),2)-INDEX(Antoines,MATCH(I314,Antoine_Name,0),3)/(INDEX(Antoines,MATCH(I314,Antoine_Name,0),4)+(I324-32)*5/9)))*14.7/760,IF(I315="Crude Oil",EXP((2799/(I324+459.6)-2.227)*LOG10(INDEX(FX_Input,V$5,I$3*$Z$5+$AA$5))-(7261/(I324+459.6))+12.82),IF(I315="Refined Petroleum Stock",EXP((0.7553-(413/(I324+459.6)))*(INDEX(FX_Input,V$5,I$3*$Z$5+$AA$5-1)^0.5)*LOG10(INDEX(FX_Input,V$5,I$3*$Z$5+$AA$5))-(1.854-(1042/(I324+459.6)))*(INDEX(FX_Input,V$5,I$3*$Z$5+$AA$5-1)^0.5)+((2416/(I324+459.6)-2.013)*LOG10(INDEX(FX_Input,V$5,I$3*$Z$5+$AA$5)))-(8742/(I324+459.6))+15.64),EXP(INDEX(Antoines,MATCH(I314,Antoine_Name,0),2)-INDEX(Antoines,MATCH(I314,Antoine_Name,0),3)/(I324+459.6))))),0)</f>
        <v>7.4199539958878279E-3</v>
      </c>
      <c r="J335" cm="1">
        <f t="array" ref="J335">IFERROR(IF(J315="Chemical",(10^(INDEX(Antoines,MATCH(J314,Antoine_Name,0),2)-INDEX(Antoines,MATCH(J314,Antoine_Name,0),3)/(INDEX(Antoines,MATCH(J314,Antoine_Name,0),4)+(J324-32)*5/9)))*14.7/760,IF(J315="Crude Oil",EXP((2799/(J324+459.6)-2.227)*LOG10(INDEX(FX_Input,W$5,J$3*$Z$5+$AA$5))-(7261/(J324+459.6))+12.82),IF(J315="Refined Petroleum Stock",EXP((0.7553-(413/(J324+459.6)))*(INDEX(FX_Input,W$5,J$3*$Z$5+$AA$5-1)^0.5)*LOG10(INDEX(FX_Input,W$5,J$3*$Z$5+$AA$5))-(1.854-(1042/(J324+459.6)))*(INDEX(FX_Input,W$5,J$3*$Z$5+$AA$5-1)^0.5)+((2416/(J324+459.6)-2.013)*LOG10(INDEX(FX_Input,W$5,J$3*$Z$5+$AA$5)))-(8742/(J324+459.6))+15.64),EXP(INDEX(Antoines,MATCH(J314,Antoine_Name,0),2)-INDEX(Antoines,MATCH(J314,Antoine_Name,0),3)/(J324+459.6))))),0)</f>
        <v>8.3358107202842254E-3</v>
      </c>
      <c r="K335" cm="1">
        <f t="array" ref="K335">IFERROR(IF(K315="Chemical",(10^(INDEX(Antoines,MATCH(K314,Antoine_Name,0),2)-INDEX(Antoines,MATCH(K314,Antoine_Name,0),3)/(INDEX(Antoines,MATCH(K314,Antoine_Name,0),4)+(K324-32)*5/9)))*14.7/760,IF(K315="Crude Oil",EXP((2799/(K324+459.6)-2.227)*LOG10(INDEX(FX_Input,X$5,K$3*$Z$5+$AA$5))-(7261/(K324+459.6))+12.82),IF(K315="Refined Petroleum Stock",EXP((0.7553-(413/(K324+459.6)))*(INDEX(FX_Input,X$5,K$3*$Z$5+$AA$5-1)^0.5)*LOG10(INDEX(FX_Input,X$5,K$3*$Z$5+$AA$5))-(1.854-(1042/(K324+459.6)))*(INDEX(FX_Input,X$5,K$3*$Z$5+$AA$5-1)^0.5)+((2416/(K324+459.6)-2.013)*LOG10(INDEX(FX_Input,X$5,K$3*$Z$5+$AA$5)))-(8742/(K324+459.6))+15.64),EXP(INDEX(Antoines,MATCH(K314,Antoine_Name,0),2)-INDEX(Antoines,MATCH(K314,Antoine_Name,0),3)/(K324+459.6))))),0)</f>
        <v>8.4605262729351115E-3</v>
      </c>
      <c r="L335" cm="1">
        <f t="array" ref="L335">IFERROR(IF(L315="Chemical",(10^(INDEX(Antoines,MATCH(L314,Antoine_Name,0),2)-INDEX(Antoines,MATCH(L314,Antoine_Name,0),3)/(INDEX(Antoines,MATCH(L314,Antoine_Name,0),4)+(L324-32)*5/9)))*14.7/760,IF(L315="Crude Oil",EXP((2799/(L324+459.6)-2.227)*LOG10(INDEX(FX_Input,Y$5,L$3*$Z$5+$AA$5))-(7261/(L324+459.6))+12.82),IF(L315="Refined Petroleum Stock",EXP((0.7553-(413/(L324+459.6)))*(INDEX(FX_Input,Y$5,L$3*$Z$5+$AA$5-1)^0.5)*LOG10(INDEX(FX_Input,Y$5,L$3*$Z$5+$AA$5))-(1.854-(1042/(L324+459.6)))*(INDEX(FX_Input,Y$5,L$3*$Z$5+$AA$5-1)^0.5)+((2416/(L324+459.6)-2.013)*LOG10(INDEX(FX_Input,Y$5,L$3*$Z$5+$AA$5)))-(8742/(L324+459.6))+15.64),EXP(INDEX(Antoines,MATCH(L314,Antoine_Name,0),2)-INDEX(Antoines,MATCH(L314,Antoine_Name,0),3)/(L324+459.6))))),0)</f>
        <v>7.8399882233967533E-3</v>
      </c>
      <c r="M335" cm="1">
        <f t="array" ref="M335">IFERROR(IF(M315="Chemical",(10^(INDEX(Antoines,MATCH(M314,Antoine_Name,0),2)-INDEX(Antoines,MATCH(M314,Antoine_Name,0),3)/(INDEX(Antoines,MATCH(M314,Antoine_Name,0),4)+(M324-32)*5/9)))*14.7/760,IF(M315="Crude Oil",EXP((2799/(M324+459.6)-2.227)*LOG10(INDEX(FX_Input,Z$5,M$3*$Z$5+$AA$5))-(7261/(M324+459.6))+12.82),IF(M315="Refined Petroleum Stock",EXP((0.7553-(413/(M324+459.6)))*(INDEX(FX_Input,Z$5,M$3*$Z$5+$AA$5-1)^0.5)*LOG10(INDEX(FX_Input,Z$5,M$3*$Z$5+$AA$5))-(1.854-(1042/(M324+459.6)))*(INDEX(FX_Input,Z$5,M$3*$Z$5+$AA$5-1)^0.5)+((2416/(M324+459.6)-2.013)*LOG10(INDEX(FX_Input,Z$5,M$3*$Z$5+$AA$5)))-(8742/(M324+459.6))+15.64),EXP(INDEX(Antoines,MATCH(M314,Antoine_Name,0),2)-INDEX(Antoines,MATCH(M314,Antoine_Name,0),3)/(M324+459.6))))),0)</f>
        <v>6.4173462075160911E-3</v>
      </c>
      <c r="N335" cm="1">
        <f t="array" ref="N335">IFERROR(IF(N315="Chemical",(10^(INDEX(Antoines,MATCH(N314,Antoine_Name,0),2)-INDEX(Antoines,MATCH(N314,Antoine_Name,0),3)/(INDEX(Antoines,MATCH(N314,Antoine_Name,0),4)+(N324-32)*5/9)))*14.7/760,IF(N315="Crude Oil",EXP((2799/(N324+459.6)-2.227)*LOG10(INDEX(FX_Input,AA$5,N$3*$Z$5+$AA$5))-(7261/(N324+459.6))+12.82),IF(N315="Refined Petroleum Stock",EXP((0.7553-(413/(N324+459.6)))*(INDEX(FX_Input,AA$5,N$3*$Z$5+$AA$5-1)^0.5)*LOG10(INDEX(FX_Input,AA$5,N$3*$Z$5+$AA$5))-(1.854-(1042/(N324+459.6)))*(INDEX(FX_Input,AA$5,N$3*$Z$5+$AA$5-1)^0.5)+((2416/(N324+459.6)-2.013)*LOG10(INDEX(FX_Input,AA$5,N$3*$Z$5+$AA$5)))-(8742/(N324+459.6))+15.64),EXP(INDEX(Antoines,MATCH(N314,Antoine_Name,0),2)-INDEX(Antoines,MATCH(N314,Antoine_Name,0),3)/(N324+459.6))))),0)</f>
        <v>5.3015226887581056E-3</v>
      </c>
      <c r="O335" cm="1">
        <f t="array" ref="O335">IFERROR(IF(O315="Chemical",(10^(INDEX(Antoines,MATCH(O314,Antoine_Name,0),2)-INDEX(Antoines,MATCH(O314,Antoine_Name,0),3)/(INDEX(Antoines,MATCH(O314,Antoine_Name,0),4)+(O324-32)*5/9)))*14.7/760,IF(O315="Crude Oil",EXP((2799/(O324+459.6)-2.227)*LOG10(INDEX(FX_Input,AB$5,O$3*$Z$5+$AA$5))-(7261/(O324+459.6))+12.82),IF(O315="Refined Petroleum Stock",EXP((0.7553-(413/(O324+459.6)))*(INDEX(FX_Input,AB$5,O$3*$Z$5+$AA$5-1)^0.5)*LOG10(INDEX(FX_Input,AB$5,O$3*$Z$5+$AA$5))-(1.854-(1042/(O324+459.6)))*(INDEX(FX_Input,AB$5,O$3*$Z$5+$AA$5-1)^0.5)+((2416/(O324+459.6)-2.013)*LOG10(INDEX(FX_Input,AB$5,O$3*$Z$5+$AA$5)))-(8742/(O324+459.6))+15.64),EXP(INDEX(Antoines,MATCH(O314,Antoine_Name,0),2)-INDEX(Antoines,MATCH(O314,Antoine_Name,0),3)/(O324+459.6))))),0)</f>
        <v>4.68970903600947E-3</v>
      </c>
    </row>
    <row r="336" spans="2:32" ht="17.149999999999999" x14ac:dyDescent="0.55000000000000004">
      <c r="B336" t="str">
        <f t="shared" si="1044"/>
        <v>Portland</v>
      </c>
      <c r="C336" t="s">
        <v>1389</v>
      </c>
      <c r="D336">
        <f>D335*D318</f>
        <v>4.739577185808354E-3</v>
      </c>
      <c r="E336">
        <f t="shared" ref="E336" si="1111">E335*E318</f>
        <v>4.8748667780818778E-3</v>
      </c>
      <c r="F336">
        <f t="shared" ref="F336" si="1112">F335*F318</f>
        <v>5.119885034186122E-3</v>
      </c>
      <c r="G336">
        <f t="shared" ref="G336" si="1113">G335*G318</f>
        <v>5.5846958573521795E-3</v>
      </c>
      <c r="H336">
        <f t="shared" ref="H336" si="1114">H335*H318</f>
        <v>6.5274070972739821E-3</v>
      </c>
      <c r="I336">
        <f t="shared" ref="I336" si="1115">I335*I318</f>
        <v>7.4199539958878279E-3</v>
      </c>
      <c r="J336">
        <f t="shared" ref="J336" si="1116">J335*J318</f>
        <v>8.3358107202842254E-3</v>
      </c>
      <c r="K336">
        <f t="shared" ref="K336" si="1117">K335*K318</f>
        <v>8.4605262729351115E-3</v>
      </c>
      <c r="L336">
        <f t="shared" ref="L336" si="1118">L335*L318</f>
        <v>7.8399882233967533E-3</v>
      </c>
      <c r="M336">
        <f t="shared" ref="M336" si="1119">M335*M318</f>
        <v>6.4173462075160911E-3</v>
      </c>
      <c r="N336">
        <f t="shared" ref="N336" si="1120">N335*N318</f>
        <v>5.3015226887581056E-3</v>
      </c>
      <c r="O336">
        <f t="shared" ref="O336" si="1121">O335*O318</f>
        <v>4.68970903600947E-3</v>
      </c>
    </row>
    <row r="337" spans="1:32" ht="17.149999999999999" x14ac:dyDescent="0.55000000000000004">
      <c r="B337" t="str">
        <f t="shared" si="1044"/>
        <v>Portland</v>
      </c>
      <c r="C337" t="s">
        <v>1390</v>
      </c>
      <c r="D337" cm="1">
        <f t="array" ref="D337">IFERROR(IF(D317="Chemical",(10^(INDEX(Antoines,MATCH(D316,Antoine_Name,0),2)-INDEX(Antoines,MATCH(D316,Antoine_Name,0),3)/(INDEX(Antoines,MATCH(D316,Antoine_Name,0),4)+(D324-32)*5/9)))*14.7/760,IF(D317="Crude Oil",EXP((2799/(D324+459.6)-2.227)*LOG10(INDEX(FX_Input,Q$5,D$3*$Z$5+$AA$5))-(7261/(D324+459.6))+12.82),IF(D317="Refined Petroleum Stock",EXP((0.7553-(413/(D324+459.6)))*(INDEX(FX_Input,Q$5,D$3*$Z$5+$AA$5-1)^0.5)*LOG10(INDEX(FX_Input,Q$5,D$3*$Z$5+$AA$5))-(1.854-(1042/(D324+459.6)))*(INDEX(FX_Input,Q$5,D$3*$Z$5+$AA$5-1)^0.5)+((2416/(D324+459.6)-2.013)*LOG10(INDEX(FX_Input,Q$5,D$3*$Z$5+$AA$5)))-(8742/(D324+459.6))+15.64),EXP(INDEX(Antoines,MATCH(D316,Antoine_Name,0),2)-INDEX(Antoines,MATCH(D316,Antoine_Name,0),3)/(D324+459.6))))),0)</f>
        <v>0</v>
      </c>
      <c r="E337" cm="1">
        <f t="array" ref="E337">IFERROR(IF(E317="Chemical",(10^(INDEX(Antoines,MATCH(E316,Antoine_Name,0),2)-INDEX(Antoines,MATCH(E316,Antoine_Name,0),3)/(INDEX(Antoines,MATCH(E316,Antoine_Name,0),4)+(E324-32)*5/9)))*14.7/760,IF(E317="Crude Oil",EXP((2799/(E324+459.6)-2.227)*LOG10(INDEX(FX_Input,R$5,E$3*$Z$5+$AA$5))-(7261/(E324+459.6))+12.82),IF(E317="Refined Petroleum Stock",EXP((0.7553-(413/(E324+459.6)))*(INDEX(FX_Input,R$5,E$3*$Z$5+$AA$5-1)^0.5)*LOG10(INDEX(FX_Input,R$5,E$3*$Z$5+$AA$5))-(1.854-(1042/(E324+459.6)))*(INDEX(FX_Input,R$5,E$3*$Z$5+$AA$5-1)^0.5)+((2416/(E324+459.6)-2.013)*LOG10(INDEX(FX_Input,R$5,E$3*$Z$5+$AA$5)))-(8742/(E324+459.6))+15.64),EXP(INDEX(Antoines,MATCH(E316,Antoine_Name,0),2)-INDEX(Antoines,MATCH(E316,Antoine_Name,0),3)/(E324+459.6))))),0)</f>
        <v>0</v>
      </c>
      <c r="F337" cm="1">
        <f t="array" ref="F337">IFERROR(IF(F317="Chemical",(10^(INDEX(Antoines,MATCH(F316,Antoine_Name,0),2)-INDEX(Antoines,MATCH(F316,Antoine_Name,0),3)/(INDEX(Antoines,MATCH(F316,Antoine_Name,0),4)+(F324-32)*5/9)))*14.7/760,IF(F317="Crude Oil",EXP((2799/(F324+459.6)-2.227)*LOG10(INDEX(FX_Input,S$5,F$3*$Z$5+$AA$5))-(7261/(F324+459.6))+12.82),IF(F317="Refined Petroleum Stock",EXP((0.7553-(413/(F324+459.6)))*(INDEX(FX_Input,S$5,F$3*$Z$5+$AA$5-1)^0.5)*LOG10(INDEX(FX_Input,S$5,F$3*$Z$5+$AA$5))-(1.854-(1042/(F324+459.6)))*(INDEX(FX_Input,S$5,F$3*$Z$5+$AA$5-1)^0.5)+((2416/(F324+459.6)-2.013)*LOG10(INDEX(FX_Input,S$5,F$3*$Z$5+$AA$5)))-(8742/(F324+459.6))+15.64),EXP(INDEX(Antoines,MATCH(F316,Antoine_Name,0),2)-INDEX(Antoines,MATCH(F316,Antoine_Name,0),3)/(F324+459.6))))),0)</f>
        <v>0</v>
      </c>
      <c r="G337" cm="1">
        <f t="array" ref="G337">IFERROR(IF(G317="Chemical",(10^(INDEX(Antoines,MATCH(G316,Antoine_Name,0),2)-INDEX(Antoines,MATCH(G316,Antoine_Name,0),3)/(INDEX(Antoines,MATCH(G316,Antoine_Name,0),4)+(G324-32)*5/9)))*14.7/760,IF(G317="Crude Oil",EXP((2799/(G324+459.6)-2.227)*LOG10(INDEX(FX_Input,T$5,G$3*$Z$5+$AA$5))-(7261/(G324+459.6))+12.82),IF(G317="Refined Petroleum Stock",EXP((0.7553-(413/(G324+459.6)))*(INDEX(FX_Input,T$5,G$3*$Z$5+$AA$5-1)^0.5)*LOG10(INDEX(FX_Input,T$5,G$3*$Z$5+$AA$5))-(1.854-(1042/(G324+459.6)))*(INDEX(FX_Input,T$5,G$3*$Z$5+$AA$5-1)^0.5)+((2416/(G324+459.6)-2.013)*LOG10(INDEX(FX_Input,T$5,G$3*$Z$5+$AA$5)))-(8742/(G324+459.6))+15.64),EXP(INDEX(Antoines,MATCH(G316,Antoine_Name,0),2)-INDEX(Antoines,MATCH(G316,Antoine_Name,0),3)/(G324+459.6))))),0)</f>
        <v>0</v>
      </c>
      <c r="H337" cm="1">
        <f t="array" ref="H337">IFERROR(IF(H317="Chemical",(10^(INDEX(Antoines,MATCH(H316,Antoine_Name,0),2)-INDEX(Antoines,MATCH(H316,Antoine_Name,0),3)/(INDEX(Antoines,MATCH(H316,Antoine_Name,0),4)+(H324-32)*5/9)))*14.7/760,IF(H317="Crude Oil",EXP((2799/(H324+459.6)-2.227)*LOG10(INDEX(FX_Input,U$5,H$3*$Z$5+$AA$5))-(7261/(H324+459.6))+12.82),IF(H317="Refined Petroleum Stock",EXP((0.7553-(413/(H324+459.6)))*(INDEX(FX_Input,U$5,H$3*$Z$5+$AA$5-1)^0.5)*LOG10(INDEX(FX_Input,U$5,H$3*$Z$5+$AA$5))-(1.854-(1042/(H324+459.6)))*(INDEX(FX_Input,U$5,H$3*$Z$5+$AA$5-1)^0.5)+((2416/(H324+459.6)-2.013)*LOG10(INDEX(FX_Input,U$5,H$3*$Z$5+$AA$5)))-(8742/(H324+459.6))+15.64),EXP(INDEX(Antoines,MATCH(H316,Antoine_Name,0),2)-INDEX(Antoines,MATCH(H316,Antoine_Name,0),3)/(H324+459.6))))),0)</f>
        <v>0</v>
      </c>
      <c r="I337" cm="1">
        <f t="array" ref="I337">IFERROR(IF(I317="Chemical",(10^(INDEX(Antoines,MATCH(I316,Antoine_Name,0),2)-INDEX(Antoines,MATCH(I316,Antoine_Name,0),3)/(INDEX(Antoines,MATCH(I316,Antoine_Name,0),4)+(I324-32)*5/9)))*14.7/760,IF(I317="Crude Oil",EXP((2799/(I324+459.6)-2.227)*LOG10(INDEX(FX_Input,V$5,I$3*$Z$5+$AA$5))-(7261/(I324+459.6))+12.82),IF(I317="Refined Petroleum Stock",EXP((0.7553-(413/(I324+459.6)))*(INDEX(FX_Input,V$5,I$3*$Z$5+$AA$5-1)^0.5)*LOG10(INDEX(FX_Input,V$5,I$3*$Z$5+$AA$5))-(1.854-(1042/(I324+459.6)))*(INDEX(FX_Input,V$5,I$3*$Z$5+$AA$5-1)^0.5)+((2416/(I324+459.6)-2.013)*LOG10(INDEX(FX_Input,V$5,I$3*$Z$5+$AA$5)))-(8742/(I324+459.6))+15.64),EXP(INDEX(Antoines,MATCH(I316,Antoine_Name,0),2)-INDEX(Antoines,MATCH(I316,Antoine_Name,0),3)/(I324+459.6))))),0)</f>
        <v>0</v>
      </c>
      <c r="J337" cm="1">
        <f t="array" ref="J337">IFERROR(IF(J317="Chemical",(10^(INDEX(Antoines,MATCH(J316,Antoine_Name,0),2)-INDEX(Antoines,MATCH(J316,Antoine_Name,0),3)/(INDEX(Antoines,MATCH(J316,Antoine_Name,0),4)+(J324-32)*5/9)))*14.7/760,IF(J317="Crude Oil",EXP((2799/(J324+459.6)-2.227)*LOG10(INDEX(FX_Input,W$5,J$3*$Z$5+$AA$5))-(7261/(J324+459.6))+12.82),IF(J317="Refined Petroleum Stock",EXP((0.7553-(413/(J324+459.6)))*(INDEX(FX_Input,W$5,J$3*$Z$5+$AA$5-1)^0.5)*LOG10(INDEX(FX_Input,W$5,J$3*$Z$5+$AA$5))-(1.854-(1042/(J324+459.6)))*(INDEX(FX_Input,W$5,J$3*$Z$5+$AA$5-1)^0.5)+((2416/(J324+459.6)-2.013)*LOG10(INDEX(FX_Input,W$5,J$3*$Z$5+$AA$5)))-(8742/(J324+459.6))+15.64),EXP(INDEX(Antoines,MATCH(J316,Antoine_Name,0),2)-INDEX(Antoines,MATCH(J316,Antoine_Name,0),3)/(J324+459.6))))),0)</f>
        <v>0</v>
      </c>
      <c r="K337" cm="1">
        <f t="array" ref="K337">IFERROR(IF(K317="Chemical",(10^(INDEX(Antoines,MATCH(K316,Antoine_Name,0),2)-INDEX(Antoines,MATCH(K316,Antoine_Name,0),3)/(INDEX(Antoines,MATCH(K316,Antoine_Name,0),4)+(K324-32)*5/9)))*14.7/760,IF(K317="Crude Oil",EXP((2799/(K324+459.6)-2.227)*LOG10(INDEX(FX_Input,X$5,K$3*$Z$5+$AA$5))-(7261/(K324+459.6))+12.82),IF(K317="Refined Petroleum Stock",EXP((0.7553-(413/(K324+459.6)))*(INDEX(FX_Input,X$5,K$3*$Z$5+$AA$5-1)^0.5)*LOG10(INDEX(FX_Input,X$5,K$3*$Z$5+$AA$5))-(1.854-(1042/(K324+459.6)))*(INDEX(FX_Input,X$5,K$3*$Z$5+$AA$5-1)^0.5)+((2416/(K324+459.6)-2.013)*LOG10(INDEX(FX_Input,X$5,K$3*$Z$5+$AA$5)))-(8742/(K324+459.6))+15.64),EXP(INDEX(Antoines,MATCH(K316,Antoine_Name,0),2)-INDEX(Antoines,MATCH(K316,Antoine_Name,0),3)/(K324+459.6))))),0)</f>
        <v>0</v>
      </c>
      <c r="L337" cm="1">
        <f t="array" ref="L337">IFERROR(IF(L317="Chemical",(10^(INDEX(Antoines,MATCH(L316,Antoine_Name,0),2)-INDEX(Antoines,MATCH(L316,Antoine_Name,0),3)/(INDEX(Antoines,MATCH(L316,Antoine_Name,0),4)+(L324-32)*5/9)))*14.7/760,IF(L317="Crude Oil",EXP((2799/(L324+459.6)-2.227)*LOG10(INDEX(FX_Input,Y$5,L$3*$Z$5+$AA$5))-(7261/(L324+459.6))+12.82),IF(L317="Refined Petroleum Stock",EXP((0.7553-(413/(L324+459.6)))*(INDEX(FX_Input,Y$5,L$3*$Z$5+$AA$5-1)^0.5)*LOG10(INDEX(FX_Input,Y$5,L$3*$Z$5+$AA$5))-(1.854-(1042/(L324+459.6)))*(INDEX(FX_Input,Y$5,L$3*$Z$5+$AA$5-1)^0.5)+((2416/(L324+459.6)-2.013)*LOG10(INDEX(FX_Input,Y$5,L$3*$Z$5+$AA$5)))-(8742/(L324+459.6))+15.64),EXP(INDEX(Antoines,MATCH(L316,Antoine_Name,0),2)-INDEX(Antoines,MATCH(L316,Antoine_Name,0),3)/(L324+459.6))))),0)</f>
        <v>0</v>
      </c>
      <c r="M337" cm="1">
        <f t="array" ref="M337">IFERROR(IF(M317="Chemical",(10^(INDEX(Antoines,MATCH(M316,Antoine_Name,0),2)-INDEX(Antoines,MATCH(M316,Antoine_Name,0),3)/(INDEX(Antoines,MATCH(M316,Antoine_Name,0),4)+(M324-32)*5/9)))*14.7/760,IF(M317="Crude Oil",EXP((2799/(M324+459.6)-2.227)*LOG10(INDEX(FX_Input,Z$5,M$3*$Z$5+$AA$5))-(7261/(M324+459.6))+12.82),IF(M317="Refined Petroleum Stock",EXP((0.7553-(413/(M324+459.6)))*(INDEX(FX_Input,Z$5,M$3*$Z$5+$AA$5-1)^0.5)*LOG10(INDEX(FX_Input,Z$5,M$3*$Z$5+$AA$5))-(1.854-(1042/(M324+459.6)))*(INDEX(FX_Input,Z$5,M$3*$Z$5+$AA$5-1)^0.5)+((2416/(M324+459.6)-2.013)*LOG10(INDEX(FX_Input,Z$5,M$3*$Z$5+$AA$5)))-(8742/(M324+459.6))+15.64),EXP(INDEX(Antoines,MATCH(M316,Antoine_Name,0),2)-INDEX(Antoines,MATCH(M316,Antoine_Name,0),3)/(M324+459.6))))),0)</f>
        <v>0</v>
      </c>
      <c r="N337" cm="1">
        <f t="array" ref="N337">IFERROR(IF(N317="Chemical",(10^(INDEX(Antoines,MATCH(N316,Antoine_Name,0),2)-INDEX(Antoines,MATCH(N316,Antoine_Name,0),3)/(INDEX(Antoines,MATCH(N316,Antoine_Name,0),4)+(N324-32)*5/9)))*14.7/760,IF(N317="Crude Oil",EXP((2799/(N324+459.6)-2.227)*LOG10(INDEX(FX_Input,AA$5,N$3*$Z$5+$AA$5))-(7261/(N324+459.6))+12.82),IF(N317="Refined Petroleum Stock",EXP((0.7553-(413/(N324+459.6)))*(INDEX(FX_Input,AA$5,N$3*$Z$5+$AA$5-1)^0.5)*LOG10(INDEX(FX_Input,AA$5,N$3*$Z$5+$AA$5))-(1.854-(1042/(N324+459.6)))*(INDEX(FX_Input,AA$5,N$3*$Z$5+$AA$5-1)^0.5)+((2416/(N324+459.6)-2.013)*LOG10(INDEX(FX_Input,AA$5,N$3*$Z$5+$AA$5)))-(8742/(N324+459.6))+15.64),EXP(INDEX(Antoines,MATCH(N316,Antoine_Name,0),2)-INDEX(Antoines,MATCH(N316,Antoine_Name,0),3)/(N324+459.6))))),0)</f>
        <v>0</v>
      </c>
      <c r="O337" cm="1">
        <f t="array" ref="O337">IFERROR(IF(O317="Chemical",(10^(INDEX(Antoines,MATCH(O316,Antoine_Name,0),2)-INDEX(Antoines,MATCH(O316,Antoine_Name,0),3)/(INDEX(Antoines,MATCH(O316,Antoine_Name,0),4)+(O324-32)*5/9)))*14.7/760,IF(O317="Crude Oil",EXP((2799/(O324+459.6)-2.227)*LOG10(INDEX(FX_Input,AB$5,O$3*$Z$5+$AA$5))-(7261/(O324+459.6))+12.82),IF(O317="Refined Petroleum Stock",EXP((0.7553-(413/(O324+459.6)))*(INDEX(FX_Input,AB$5,O$3*$Z$5+$AA$5-1)^0.5)*LOG10(INDEX(FX_Input,AB$5,O$3*$Z$5+$AA$5))-(1.854-(1042/(O324+459.6)))*(INDEX(FX_Input,AB$5,O$3*$Z$5+$AA$5-1)^0.5)+((2416/(O324+459.6)-2.013)*LOG10(INDEX(FX_Input,AB$5,O$3*$Z$5+$AA$5)))-(8742/(O324+459.6))+15.64),EXP(INDEX(Antoines,MATCH(O316,Antoine_Name,0),2)-INDEX(Antoines,MATCH(O316,Antoine_Name,0),3)/(O324+459.6))))),0)</f>
        <v>0</v>
      </c>
    </row>
    <row r="338" spans="1:32" ht="17.149999999999999" x14ac:dyDescent="0.55000000000000004">
      <c r="B338" t="str">
        <f t="shared" si="1044"/>
        <v>Portland</v>
      </c>
      <c r="C338" t="s">
        <v>1391</v>
      </c>
      <c r="D338">
        <f>D337*D320</f>
        <v>0</v>
      </c>
      <c r="E338">
        <f t="shared" ref="E338" si="1122">E337*E320</f>
        <v>0</v>
      </c>
      <c r="F338">
        <f t="shared" ref="F338" si="1123">F337*F320</f>
        <v>0</v>
      </c>
      <c r="G338">
        <f t="shared" ref="G338" si="1124">G337*G320</f>
        <v>0</v>
      </c>
      <c r="H338">
        <f t="shared" ref="H338" si="1125">H337*H320</f>
        <v>0</v>
      </c>
      <c r="I338">
        <f t="shared" ref="I338" si="1126">I337*I320</f>
        <v>0</v>
      </c>
      <c r="J338">
        <f t="shared" ref="J338" si="1127">J337*J320</f>
        <v>0</v>
      </c>
      <c r="K338">
        <f t="shared" ref="K338" si="1128">K337*K320</f>
        <v>0</v>
      </c>
      <c r="L338">
        <f t="shared" ref="L338" si="1129">L337*L320</f>
        <v>0</v>
      </c>
      <c r="M338">
        <f t="shared" ref="M338" si="1130">M337*M320</f>
        <v>0</v>
      </c>
      <c r="N338">
        <f t="shared" ref="N338" si="1131">N337*N320</f>
        <v>0</v>
      </c>
      <c r="O338">
        <f t="shared" ref="O338" si="1132">O337*O320</f>
        <v>0</v>
      </c>
    </row>
    <row r="339" spans="1:32" ht="17.149999999999999" x14ac:dyDescent="0.55000000000000004">
      <c r="B339" t="str">
        <f t="shared" si="1044"/>
        <v>Portland</v>
      </c>
      <c r="C339" t="s">
        <v>1392</v>
      </c>
      <c r="D339">
        <f>D336+D338</f>
        <v>4.739577185808354E-3</v>
      </c>
      <c r="E339">
        <f t="shared" ref="E339" si="1133">E336+E338</f>
        <v>4.8748667780818778E-3</v>
      </c>
      <c r="F339">
        <f t="shared" ref="F339" si="1134">F336+F338</f>
        <v>5.119885034186122E-3</v>
      </c>
      <c r="G339">
        <f t="shared" ref="G339" si="1135">G336+G338</f>
        <v>5.5846958573521795E-3</v>
      </c>
      <c r="H339">
        <f t="shared" ref="H339" si="1136">H336+H338</f>
        <v>6.5274070972739821E-3</v>
      </c>
      <c r="I339">
        <f t="shared" ref="I339" si="1137">I336+I338</f>
        <v>7.4199539958878279E-3</v>
      </c>
      <c r="J339">
        <f t="shared" ref="J339" si="1138">J336+J338</f>
        <v>8.3358107202842254E-3</v>
      </c>
      <c r="K339">
        <f t="shared" ref="K339" si="1139">K336+K338</f>
        <v>8.4605262729351115E-3</v>
      </c>
      <c r="L339">
        <f t="shared" ref="L339" si="1140">L336+L338</f>
        <v>7.8399882233967533E-3</v>
      </c>
      <c r="M339">
        <f t="shared" ref="M339" si="1141">M336+M338</f>
        <v>6.4173462075160911E-3</v>
      </c>
      <c r="N339">
        <f t="shared" ref="N339" si="1142">N336+N338</f>
        <v>5.3015226887581056E-3</v>
      </c>
      <c r="O339">
        <f t="shared" ref="O339" si="1143">O336+O338</f>
        <v>4.68970903600947E-3</v>
      </c>
    </row>
    <row r="340" spans="1:32" ht="17.149999999999999" x14ac:dyDescent="0.55000000000000004">
      <c r="B340" t="str">
        <f>B334</f>
        <v>Portland</v>
      </c>
      <c r="C340" t="s">
        <v>584</v>
      </c>
      <c r="D340">
        <f>D336/D339</f>
        <v>1</v>
      </c>
      <c r="E340">
        <f t="shared" ref="E340" si="1144">E336/E339</f>
        <v>1</v>
      </c>
      <c r="F340">
        <f t="shared" ref="F340" si="1145">F336/F339</f>
        <v>1</v>
      </c>
      <c r="G340">
        <f t="shared" ref="G340" si="1146">G336/G339</f>
        <v>1</v>
      </c>
      <c r="H340">
        <f t="shared" ref="H340" si="1147">H336/H339</f>
        <v>1</v>
      </c>
      <c r="I340">
        <f t="shared" ref="I340" si="1148">I336/I339</f>
        <v>1</v>
      </c>
      <c r="J340">
        <f t="shared" ref="J340" si="1149">J336/J339</f>
        <v>1</v>
      </c>
      <c r="K340">
        <f t="shared" ref="K340" si="1150">K336/K339</f>
        <v>1</v>
      </c>
      <c r="L340">
        <f t="shared" ref="L340" si="1151">L336/L339</f>
        <v>1</v>
      </c>
      <c r="M340">
        <f t="shared" ref="M340" si="1152">M336/M339</f>
        <v>1</v>
      </c>
      <c r="N340">
        <f t="shared" ref="N340" si="1153">N336/N339</f>
        <v>1</v>
      </c>
      <c r="O340">
        <f t="shared" ref="O340" si="1154">O336/O339</f>
        <v>1</v>
      </c>
    </row>
    <row r="341" spans="1:32" ht="17.149999999999999" x14ac:dyDescent="0.55000000000000004">
      <c r="B341" t="str">
        <f>B335</f>
        <v>Portland</v>
      </c>
      <c r="C341" t="s">
        <v>585</v>
      </c>
      <c r="D341">
        <f t="shared" ref="D341:O341" si="1155">INDEX(Phys_Prop,MATCH(D314,Chem_List,0),3)</f>
        <v>130</v>
      </c>
      <c r="E341">
        <f t="shared" si="1155"/>
        <v>130</v>
      </c>
      <c r="F341">
        <f t="shared" si="1155"/>
        <v>130</v>
      </c>
      <c r="G341">
        <f t="shared" si="1155"/>
        <v>130</v>
      </c>
      <c r="H341">
        <f t="shared" si="1155"/>
        <v>130</v>
      </c>
      <c r="I341">
        <f t="shared" si="1155"/>
        <v>130</v>
      </c>
      <c r="J341">
        <f t="shared" si="1155"/>
        <v>130</v>
      </c>
      <c r="K341">
        <f t="shared" si="1155"/>
        <v>130</v>
      </c>
      <c r="L341">
        <f t="shared" si="1155"/>
        <v>130</v>
      </c>
      <c r="M341">
        <f t="shared" si="1155"/>
        <v>130</v>
      </c>
      <c r="N341">
        <f t="shared" si="1155"/>
        <v>130</v>
      </c>
      <c r="O341">
        <f t="shared" si="1155"/>
        <v>130</v>
      </c>
    </row>
    <row r="342" spans="1:32" ht="17.149999999999999" x14ac:dyDescent="0.55000000000000004">
      <c r="B342" t="str">
        <f>B341</f>
        <v>Portland</v>
      </c>
      <c r="C342" t="s">
        <v>586</v>
      </c>
      <c r="D342">
        <f>D338/D339</f>
        <v>0</v>
      </c>
      <c r="E342">
        <f t="shared" ref="E342:O342" si="1156">E338/E339</f>
        <v>0</v>
      </c>
      <c r="F342">
        <f t="shared" si="1156"/>
        <v>0</v>
      </c>
      <c r="G342">
        <f t="shared" si="1156"/>
        <v>0</v>
      </c>
      <c r="H342">
        <f t="shared" si="1156"/>
        <v>0</v>
      </c>
      <c r="I342">
        <f t="shared" si="1156"/>
        <v>0</v>
      </c>
      <c r="J342">
        <f t="shared" si="1156"/>
        <v>0</v>
      </c>
      <c r="K342">
        <f t="shared" si="1156"/>
        <v>0</v>
      </c>
      <c r="L342">
        <f t="shared" si="1156"/>
        <v>0</v>
      </c>
      <c r="M342">
        <f t="shared" si="1156"/>
        <v>0</v>
      </c>
      <c r="N342">
        <f t="shared" si="1156"/>
        <v>0</v>
      </c>
      <c r="O342">
        <f t="shared" si="1156"/>
        <v>0</v>
      </c>
    </row>
    <row r="343" spans="1:32" ht="17.149999999999999" x14ac:dyDescent="0.55000000000000004">
      <c r="B343" t="str">
        <f t="shared" si="1044"/>
        <v>Portland</v>
      </c>
      <c r="C343" t="s">
        <v>587</v>
      </c>
      <c r="D343">
        <f t="shared" ref="D343:O343" si="1157">IFERROR(INDEX(Phys_Prop,MATCH(D316,Chem_List,0),3),0)</f>
        <v>0</v>
      </c>
      <c r="E343">
        <f t="shared" si="1157"/>
        <v>0</v>
      </c>
      <c r="F343">
        <f t="shared" si="1157"/>
        <v>0</v>
      </c>
      <c r="G343">
        <f t="shared" si="1157"/>
        <v>0</v>
      </c>
      <c r="H343">
        <f t="shared" si="1157"/>
        <v>0</v>
      </c>
      <c r="I343">
        <f t="shared" si="1157"/>
        <v>0</v>
      </c>
      <c r="J343">
        <f t="shared" si="1157"/>
        <v>0</v>
      </c>
      <c r="K343">
        <f t="shared" si="1157"/>
        <v>0</v>
      </c>
      <c r="L343">
        <f t="shared" si="1157"/>
        <v>0</v>
      </c>
      <c r="M343">
        <f t="shared" si="1157"/>
        <v>0</v>
      </c>
      <c r="N343">
        <f t="shared" si="1157"/>
        <v>0</v>
      </c>
      <c r="O343">
        <f t="shared" si="1157"/>
        <v>0</v>
      </c>
    </row>
    <row r="344" spans="1:32" ht="17.149999999999999" x14ac:dyDescent="0.55000000000000004">
      <c r="A344" s="11"/>
      <c r="B344" s="11" t="str">
        <f t="shared" si="1044"/>
        <v>Portland</v>
      </c>
      <c r="C344" s="11" t="s">
        <v>588</v>
      </c>
      <c r="D344" s="11">
        <f>IFERROR(D340*D341+D342*D343,0)</f>
        <v>130</v>
      </c>
      <c r="E344" s="11">
        <f t="shared" ref="E344" si="1158">IFERROR(E340*E341+E342*E343,0)</f>
        <v>130</v>
      </c>
      <c r="F344" s="11">
        <f t="shared" ref="F344" si="1159">IFERROR(F340*F341+F342*F343,0)</f>
        <v>130</v>
      </c>
      <c r="G344" s="11">
        <f t="shared" ref="G344" si="1160">IFERROR(G340*G341+G342*G343,0)</f>
        <v>130</v>
      </c>
      <c r="H344" s="11">
        <f t="shared" ref="H344" si="1161">IFERROR(H340*H341+H342*H343,0)</f>
        <v>130</v>
      </c>
      <c r="I344" s="11">
        <f t="shared" ref="I344" si="1162">IFERROR(I340*I341+I342*I343,0)</f>
        <v>130</v>
      </c>
      <c r="J344" s="11">
        <f t="shared" ref="J344" si="1163">IFERROR(J340*J341+J342*J343,0)</f>
        <v>130</v>
      </c>
      <c r="K344" s="11">
        <f t="shared" ref="K344" si="1164">IFERROR(K340*K341+K342*K343,0)</f>
        <v>130</v>
      </c>
      <c r="L344" s="11">
        <f t="shared" ref="L344" si="1165">IFERROR(L340*L341+L342*L343,0)</f>
        <v>130</v>
      </c>
      <c r="M344" s="11">
        <f t="shared" ref="M344" si="1166">IFERROR(M340*M341+M342*M343,0)</f>
        <v>130</v>
      </c>
      <c r="N344" s="11">
        <f t="shared" ref="N344" si="1167">IFERROR(N340*N341+N342*N343,0)</f>
        <v>130</v>
      </c>
      <c r="O344" s="11">
        <f t="shared" ref="O344" si="1168">IFERROR(O340*O341+O342*O343,0)</f>
        <v>130</v>
      </c>
      <c r="P344" s="11"/>
      <c r="Q344" s="11"/>
      <c r="R344" s="11"/>
      <c r="S344" s="11"/>
      <c r="T344" s="11"/>
      <c r="U344" s="11"/>
      <c r="V344" s="11"/>
      <c r="W344" s="11"/>
      <c r="X344" s="11"/>
      <c r="Y344" s="11"/>
      <c r="Z344" s="11"/>
      <c r="AA344" s="11"/>
      <c r="AB344" s="11"/>
      <c r="AC344" s="11"/>
      <c r="AD344" s="11"/>
      <c r="AE344" s="11"/>
      <c r="AF344" s="11"/>
    </row>
    <row r="345" spans="1:32" ht="17.149999999999999" x14ac:dyDescent="0.55000000000000004">
      <c r="A345" t="str" cm="1">
        <f t="array" ref="A345">INDEX(FX_Input,$Q345,R$5)</f>
        <v>FX - 11</v>
      </c>
      <c r="B345" t="str" cm="1">
        <f t="array" ref="B345">INDEX(FX_Input,Q345,S345)</f>
        <v>Portland</v>
      </c>
      <c r="C345" t="s">
        <v>563</v>
      </c>
      <c r="D345">
        <v>14.7</v>
      </c>
      <c r="E345">
        <v>14.7</v>
      </c>
      <c r="F345">
        <v>14.7</v>
      </c>
      <c r="G345">
        <v>14.7</v>
      </c>
      <c r="H345">
        <v>14.7</v>
      </c>
      <c r="I345">
        <v>14.7</v>
      </c>
      <c r="J345">
        <v>14.7</v>
      </c>
      <c r="K345">
        <v>14.7</v>
      </c>
      <c r="L345">
        <v>14.7</v>
      </c>
      <c r="M345">
        <v>14.7</v>
      </c>
      <c r="N345">
        <v>14.7</v>
      </c>
      <c r="O345">
        <v>14.7</v>
      </c>
      <c r="Q345">
        <f>Q311+2</f>
        <v>21</v>
      </c>
      <c r="R345">
        <v>1</v>
      </c>
      <c r="S345">
        <v>3</v>
      </c>
      <c r="T345">
        <v>1</v>
      </c>
      <c r="U345">
        <v>19</v>
      </c>
      <c r="V345">
        <v>20</v>
      </c>
      <c r="W345">
        <v>25</v>
      </c>
      <c r="X345">
        <v>1</v>
      </c>
      <c r="Y345">
        <v>2</v>
      </c>
      <c r="Z345">
        <f>(W345-V345)/(Y345-X345)</f>
        <v>5</v>
      </c>
      <c r="AA345">
        <f>V345-Z345*X345</f>
        <v>15</v>
      </c>
      <c r="AD345">
        <f>AD311+14</f>
        <v>141</v>
      </c>
      <c r="AF345">
        <f>AF311+14</f>
        <v>141</v>
      </c>
    </row>
    <row r="346" spans="1:32" ht="17.149999999999999" x14ac:dyDescent="0.55000000000000004">
      <c r="B346" t="str">
        <f t="shared" ref="B346" si="1169">B345</f>
        <v>Portland</v>
      </c>
      <c r="C346" t="s">
        <v>564</v>
      </c>
      <c r="D346" cm="1">
        <f t="array" ref="D346">IF(ISBLANK(INDEX(FX_Input,$Q345,$AB346)),0.03,INDEX(FX_Input,Q345,AB346))</f>
        <v>0.03</v>
      </c>
      <c r="E346" cm="1">
        <f t="array" ref="E346">IF(ISBLANK(INDEX(FX_Input,$Q345,$AB346)),0.03,INDEX(FX_Input,R345,#REF!))</f>
        <v>0.03</v>
      </c>
      <c r="F346" cm="1">
        <f t="array" ref="F346">IF(ISBLANK(INDEX(FX_Input,$Q345,$AB346)),0.03,INDEX(FX_Input,S345,#REF!))</f>
        <v>0.03</v>
      </c>
      <c r="G346" cm="1">
        <f t="array" ref="G346">IF(ISBLANK(INDEX(FX_Input,$Q345,$AB346)),0.03,INDEX(FX_Input,AB345,#REF!))</f>
        <v>0.03</v>
      </c>
      <c r="H346" cm="1">
        <f t="array" ref="H346">IF(ISBLANK(INDEX(FX_Input,$Q345,$AB346)),0.03,INDEX(FX_Input,#REF!,#REF!))</f>
        <v>0.03</v>
      </c>
      <c r="I346" cm="1">
        <f t="array" ref="I346">IF(ISBLANK(INDEX(FX_Input,$Q345,$AB346)),0.03,INDEX(FX_Input,#REF!,#REF!))</f>
        <v>0.03</v>
      </c>
      <c r="J346" cm="1">
        <f t="array" ref="J346">IF(ISBLANK(INDEX(FX_Input,$Q345,$AB346)),0.03,INDEX(FX_Input,#REF!,#REF!))</f>
        <v>0.03</v>
      </c>
      <c r="K346" cm="1">
        <f t="array" ref="K346">IF(ISBLANK(INDEX(FX_Input,$Q345,$AB346)),0.03,INDEX(FX_Input,#REF!,AC346))</f>
        <v>0.03</v>
      </c>
      <c r="L346" cm="1">
        <f t="array" ref="L346">IF(ISBLANK(INDEX(FX_Input,$Q345,$AB346)),0.03,INDEX(FX_Input,#REF!,AD346))</f>
        <v>0.03</v>
      </c>
      <c r="M346" cm="1">
        <f t="array" ref="M346">IF(ISBLANK(INDEX(FX_Input,$Q345,$AB346)),0.03,INDEX(FX_Input,#REF!,#REF!))</f>
        <v>0.03</v>
      </c>
      <c r="N346" cm="1">
        <f t="array" ref="N346">IF(ISBLANK(INDEX(FX_Input,$Q345,$AB346)),0.03,INDEX(FX_Input,AC345,#REF!))</f>
        <v>0.03</v>
      </c>
      <c r="O346" cm="1">
        <f t="array" ref="O346">IF(ISBLANK(INDEX(FX_Input,$Q345,$AB346)),0.03,INDEX(FX_Input,AD345,#REF!))</f>
        <v>0.03</v>
      </c>
      <c r="AB346">
        <v>15</v>
      </c>
    </row>
    <row r="347" spans="1:32" ht="17.149999999999999" x14ac:dyDescent="0.55000000000000004">
      <c r="B347" t="str">
        <f>B346</f>
        <v>Portland</v>
      </c>
      <c r="C347" t="s">
        <v>565</v>
      </c>
      <c r="D347" cm="1">
        <f t="array" ref="D347">IF(ISBLANK(INDEX(FX_Input,$Q345,$AB347)),-0.03,INDEX(FX_Input,Q345,AB347))</f>
        <v>-0.03</v>
      </c>
      <c r="E347" cm="1">
        <f t="array" ref="E347">IF(ISBLANK(INDEX(FX_Input,$Q345,$AB347)),-0.03,INDEX(FX_Input,R345,#REF!))</f>
        <v>-0.03</v>
      </c>
      <c r="F347" cm="1">
        <f t="array" ref="F347">IF(ISBLANK(INDEX(FX_Input,$Q345,$AB347)),-0.03,INDEX(FX_Input,S345,#REF!))</f>
        <v>-0.03</v>
      </c>
      <c r="G347" cm="1">
        <f t="array" ref="G347">IF(ISBLANK(INDEX(FX_Input,$Q345,$AB347)),-0.03,INDEX(FX_Input,AB345,#REF!))</f>
        <v>-0.03</v>
      </c>
      <c r="H347" cm="1">
        <f t="array" ref="H347">IF(ISBLANK(INDEX(FX_Input,$Q345,$AB347)),-0.03,INDEX(FX_Input,#REF!,#REF!))</f>
        <v>-0.03</v>
      </c>
      <c r="I347" cm="1">
        <f t="array" ref="I347">IF(ISBLANK(INDEX(FX_Input,$Q345,$AB347)),-0.03,INDEX(FX_Input,#REF!,#REF!))</f>
        <v>-0.03</v>
      </c>
      <c r="J347" cm="1">
        <f t="array" ref="J347">IF(ISBLANK(INDEX(FX_Input,$Q345,$AB347)),-0.03,INDEX(FX_Input,#REF!,#REF!))</f>
        <v>-0.03</v>
      </c>
      <c r="K347" cm="1">
        <f t="array" ref="K347">IF(ISBLANK(INDEX(FX_Input,$Q345,$AB347)),-0.03,INDEX(FX_Input,#REF!,AC347))</f>
        <v>-0.03</v>
      </c>
      <c r="L347" cm="1">
        <f t="array" ref="L347">IF(ISBLANK(INDEX(FX_Input,$Q345,$AB347)),-0.03,INDEX(FX_Input,#REF!,AD347))</f>
        <v>-0.03</v>
      </c>
      <c r="M347" cm="1">
        <f t="array" ref="M347">IF(ISBLANK(INDEX(FX_Input,$Q345,$AB347)),-0.03,INDEX(FX_Input,#REF!,#REF!))</f>
        <v>-0.03</v>
      </c>
      <c r="N347" cm="1">
        <f t="array" ref="N347">IF(ISBLANK(INDEX(FX_Input,$Q345,$AB347)),-0.03,INDEX(FX_Input,AC345,#REF!))</f>
        <v>-0.03</v>
      </c>
      <c r="O347" cm="1">
        <f t="array" ref="O347">IF(ISBLANK(INDEX(FX_Input,$Q345,$AB347)),-0.03,INDEX(FX_Input,AD345,#REF!))</f>
        <v>-0.03</v>
      </c>
      <c r="AB347">
        <v>16</v>
      </c>
    </row>
    <row r="348" spans="1:32" x14ac:dyDescent="0.4">
      <c r="B348" t="str">
        <f t="shared" ref="B348:B349" si="1170">B347</f>
        <v>Portland</v>
      </c>
      <c r="C348" s="66" t="s">
        <v>567</v>
      </c>
      <c r="D348" t="str" cm="1">
        <f t="array" ref="D348">INDEX(FX_Multi,$AD348,D$3)</f>
        <v>Out of Service</v>
      </c>
      <c r="E348" t="str" cm="1">
        <f t="array" ref="E348">INDEX(FX_Multi,$AD348,E$3)</f>
        <v>Out of Service</v>
      </c>
      <c r="F348" t="str" cm="1">
        <f t="array" ref="F348">INDEX(FX_Multi,$AD348,F$3)</f>
        <v>Out of Service</v>
      </c>
      <c r="G348" t="str" cm="1">
        <f t="array" ref="G348">INDEX(FX_Multi,$AD348,G$3)</f>
        <v>Out of Service</v>
      </c>
      <c r="H348" t="str" cm="1">
        <f t="array" ref="H348">INDEX(FX_Multi,$AD348,H$3)</f>
        <v>Out of Service</v>
      </c>
      <c r="I348" t="str" cm="1">
        <f t="array" ref="I348">INDEX(FX_Multi,$AD348,I$3)</f>
        <v>Out of Service</v>
      </c>
      <c r="J348" t="str" cm="1">
        <f t="array" ref="J348">INDEX(FX_Multi,$AD348,J$3)</f>
        <v>Out of Service</v>
      </c>
      <c r="K348" t="str" cm="1">
        <f t="array" ref="K348">INDEX(FX_Multi,$AD348,K$3)</f>
        <v>Out of Service</v>
      </c>
      <c r="L348" t="str" cm="1">
        <f t="array" ref="L348">INDEX(FX_Multi,$AD348,L$3)</f>
        <v>Out of Service</v>
      </c>
      <c r="M348" t="str" cm="1">
        <f t="array" ref="M348">INDEX(FX_Multi,$AD348,M$3)</f>
        <v>Out of Service</v>
      </c>
      <c r="N348" t="str" cm="1">
        <f t="array" ref="N348">INDEX(FX_Multi,$AD348,N$3)</f>
        <v>Out of Service</v>
      </c>
      <c r="O348" t="str" cm="1">
        <f t="array" ref="O348">INDEX(FX_Multi,$AD348,O$3)</f>
        <v>Out of Service</v>
      </c>
      <c r="AC348">
        <v>1</v>
      </c>
      <c r="AD348">
        <f>AD345</f>
        <v>141</v>
      </c>
      <c r="AE348">
        <v>1</v>
      </c>
      <c r="AF348">
        <f>AF345</f>
        <v>141</v>
      </c>
    </row>
    <row r="349" spans="1:32" x14ac:dyDescent="0.4">
      <c r="B349" t="str">
        <f t="shared" si="1170"/>
        <v>Portland</v>
      </c>
      <c r="C349" s="66" t="s">
        <v>566</v>
      </c>
      <c r="D349" t="str" cm="1">
        <f t="array" ref="D349">INDEX(FX_Multi,$AD349,D$3)</f>
        <v>N/A</v>
      </c>
      <c r="E349" t="str" cm="1">
        <f t="array" ref="E349">INDEX(FX_Multi,$AD349,E$3)</f>
        <v>N/A</v>
      </c>
      <c r="F349" t="str" cm="1">
        <f t="array" ref="F349">INDEX(FX_Multi,$AD349,F$3)</f>
        <v>N/A</v>
      </c>
      <c r="G349" t="str" cm="1">
        <f t="array" ref="G349">INDEX(FX_Multi,$AD349,G$3)</f>
        <v>N/A</v>
      </c>
      <c r="H349" t="str" cm="1">
        <f t="array" ref="H349">INDEX(FX_Multi,$AD349,H$3)</f>
        <v>N/A</v>
      </c>
      <c r="I349" t="str" cm="1">
        <f t="array" ref="I349">INDEX(FX_Multi,$AD349,I$3)</f>
        <v>N/A</v>
      </c>
      <c r="J349" t="str" cm="1">
        <f t="array" ref="J349">INDEX(FX_Multi,$AD349,J$3)</f>
        <v>N/A</v>
      </c>
      <c r="K349" t="str" cm="1">
        <f t="array" ref="K349">INDEX(FX_Multi,$AD349,K$3)</f>
        <v>N/A</v>
      </c>
      <c r="L349" t="str" cm="1">
        <f t="array" ref="L349">INDEX(FX_Multi,$AD349,L$3)</f>
        <v>N/A</v>
      </c>
      <c r="M349" t="str" cm="1">
        <f t="array" ref="M349">INDEX(FX_Multi,$AD349,M$3)</f>
        <v>N/A</v>
      </c>
      <c r="N349" t="str" cm="1">
        <f t="array" ref="N349">INDEX(FX_Multi,$AD349,N$3)</f>
        <v>N/A</v>
      </c>
      <c r="O349" t="str" cm="1">
        <f t="array" ref="O349">INDEX(FX_Multi,$AD349,O$3)</f>
        <v>N/A</v>
      </c>
      <c r="AC349">
        <v>1</v>
      </c>
      <c r="AD349">
        <f>AD348+2</f>
        <v>143</v>
      </c>
      <c r="AE349">
        <v>1</v>
      </c>
      <c r="AF349">
        <f>AF348+3</f>
        <v>144</v>
      </c>
    </row>
    <row r="350" spans="1:32" x14ac:dyDescent="0.4">
      <c r="B350" t="str">
        <f>B346</f>
        <v>Portland</v>
      </c>
      <c r="C350" s="66" t="s">
        <v>568</v>
      </c>
      <c r="D350" cm="1">
        <f t="array" ref="D350">INDEX(FX_Multi,$AD350,D$3)</f>
        <v>0</v>
      </c>
      <c r="E350" cm="1">
        <f t="array" ref="E350">INDEX(FX_Multi,$AD350,E$3)</f>
        <v>0</v>
      </c>
      <c r="F350" cm="1">
        <f t="array" ref="F350">INDEX(FX_Multi,$AD350,F$3)</f>
        <v>0</v>
      </c>
      <c r="G350" cm="1">
        <f t="array" ref="G350">INDEX(FX_Multi,$AD350,G$3)</f>
        <v>0</v>
      </c>
      <c r="H350" cm="1">
        <f t="array" ref="H350">INDEX(FX_Multi,$AD350,H$3)</f>
        <v>0</v>
      </c>
      <c r="I350" cm="1">
        <f t="array" ref="I350">INDEX(FX_Multi,$AD350,I$3)</f>
        <v>0</v>
      </c>
      <c r="J350" cm="1">
        <f t="array" ref="J350">INDEX(FX_Multi,$AD350,J$3)</f>
        <v>0</v>
      </c>
      <c r="K350" cm="1">
        <f t="array" ref="K350">INDEX(FX_Multi,$AD350,K$3)</f>
        <v>0</v>
      </c>
      <c r="L350" cm="1">
        <f t="array" ref="L350">INDEX(FX_Multi,$AD350,L$3)</f>
        <v>0</v>
      </c>
      <c r="M350" cm="1">
        <f t="array" ref="M350">INDEX(FX_Multi,$AD350,M$3)</f>
        <v>0</v>
      </c>
      <c r="N350" cm="1">
        <f t="array" ref="N350">INDEX(FX_Multi,$AD350,N$3)</f>
        <v>0</v>
      </c>
      <c r="O350" cm="1">
        <f t="array" ref="O350">INDEX(FX_Multi,$AD350,O$3)</f>
        <v>0</v>
      </c>
      <c r="AC350">
        <v>1</v>
      </c>
      <c r="AD350">
        <f>AD349-1</f>
        <v>142</v>
      </c>
      <c r="AE350">
        <v>1</v>
      </c>
      <c r="AF350">
        <f>AF348+1</f>
        <v>142</v>
      </c>
    </row>
    <row r="351" spans="1:32" x14ac:dyDescent="0.4">
      <c r="B351" t="str">
        <f t="shared" ref="B351:B355" si="1171">B350</f>
        <v>Portland</v>
      </c>
      <c r="C351" s="66" t="s">
        <v>569</v>
      </c>
      <c r="D351" cm="1">
        <f t="array" ref="D351">INDEX(FX_Multi,$AD351,D$3)</f>
        <v>0</v>
      </c>
      <c r="E351" cm="1">
        <f t="array" ref="E351">INDEX(FX_Multi,$AD351,E$3)</f>
        <v>0</v>
      </c>
      <c r="F351" cm="1">
        <f t="array" ref="F351">INDEX(FX_Multi,$AD351,F$3)</f>
        <v>0</v>
      </c>
      <c r="G351" cm="1">
        <f t="array" ref="G351">INDEX(FX_Multi,$AD351,G$3)</f>
        <v>0</v>
      </c>
      <c r="H351" cm="1">
        <f t="array" ref="H351">INDEX(FX_Multi,$AD351,H$3)</f>
        <v>0</v>
      </c>
      <c r="I351" cm="1">
        <f t="array" ref="I351">INDEX(FX_Multi,$AD351,I$3)</f>
        <v>0</v>
      </c>
      <c r="J351" cm="1">
        <f t="array" ref="J351">INDEX(FX_Multi,$AD351,J$3)</f>
        <v>0</v>
      </c>
      <c r="K351" cm="1">
        <f t="array" ref="K351">INDEX(FX_Multi,$AD351,K$3)</f>
        <v>0</v>
      </c>
      <c r="L351" cm="1">
        <f t="array" ref="L351">INDEX(FX_Multi,$AD351,L$3)</f>
        <v>0</v>
      </c>
      <c r="M351" cm="1">
        <f t="array" ref="M351">INDEX(FX_Multi,$AD351,M$3)</f>
        <v>0</v>
      </c>
      <c r="N351" cm="1">
        <f t="array" ref="N351">INDEX(FX_Multi,$AD351,N$3)</f>
        <v>0</v>
      </c>
      <c r="O351" cm="1">
        <f t="array" ref="O351">INDEX(FX_Multi,$AD351,O$3)</f>
        <v>0</v>
      </c>
      <c r="AC351">
        <v>1</v>
      </c>
      <c r="AD351">
        <f>AD350+2</f>
        <v>144</v>
      </c>
      <c r="AE351">
        <v>1</v>
      </c>
      <c r="AF351">
        <f>AF349</f>
        <v>144</v>
      </c>
    </row>
    <row r="352" spans="1:32" ht="17.149999999999999" x14ac:dyDescent="0.55000000000000004">
      <c r="B352" t="str">
        <f t="shared" si="1171"/>
        <v>Portland</v>
      </c>
      <c r="C352" t="s">
        <v>570</v>
      </c>
      <c r="D352" cm="1">
        <f t="array" ref="D352">INDEX(FX_Multi,$AD352,D$3)</f>
        <v>1</v>
      </c>
      <c r="E352" cm="1">
        <f t="array" ref="E352">INDEX(FX_Multi,$AD352,E$3)</f>
        <v>1</v>
      </c>
      <c r="F352" cm="1">
        <f t="array" ref="F352">INDEX(FX_Multi,$AD352,F$3)</f>
        <v>1</v>
      </c>
      <c r="G352" cm="1">
        <f t="array" ref="G352">INDEX(FX_Multi,$AD352,G$3)</f>
        <v>1</v>
      </c>
      <c r="H352" cm="1">
        <f t="array" ref="H352">INDEX(FX_Multi,$AD352,H$3)</f>
        <v>1</v>
      </c>
      <c r="I352" cm="1">
        <f t="array" ref="I352">INDEX(FX_Multi,$AD352,I$3)</f>
        <v>1</v>
      </c>
      <c r="J352" cm="1">
        <f t="array" ref="J352">INDEX(FX_Multi,$AD352,J$3)</f>
        <v>1</v>
      </c>
      <c r="K352" cm="1">
        <f t="array" ref="K352">INDEX(FX_Multi,$AD352,K$3)</f>
        <v>1</v>
      </c>
      <c r="L352" cm="1">
        <f t="array" ref="L352">INDEX(FX_Multi,$AD352,L$3)</f>
        <v>1</v>
      </c>
      <c r="M352" cm="1">
        <f t="array" ref="M352">INDEX(FX_Multi,$AD352,M$3)</f>
        <v>1</v>
      </c>
      <c r="N352" cm="1">
        <f t="array" ref="N352">INDEX(FX_Multi,$AD352,N$3)</f>
        <v>1</v>
      </c>
      <c r="O352" cm="1">
        <f t="array" ref="O352">INDEX(FX_Multi,$AD352,O$3)</f>
        <v>1</v>
      </c>
      <c r="AC352">
        <v>1</v>
      </c>
      <c r="AD352">
        <f>AD351+6</f>
        <v>150</v>
      </c>
      <c r="AE352">
        <v>1</v>
      </c>
      <c r="AF352">
        <f>AF348+9</f>
        <v>150</v>
      </c>
    </row>
    <row r="353" spans="2:32" ht="17.149999999999999" x14ac:dyDescent="0.55000000000000004">
      <c r="B353" t="str">
        <f t="shared" si="1171"/>
        <v>Portland</v>
      </c>
      <c r="C353" t="s">
        <v>571</v>
      </c>
      <c r="D353" t="str" cm="1">
        <f t="array" ref="D353">INDEX(FX_Multi,$AD353,D$3)</f>
        <v>N/A</v>
      </c>
      <c r="E353" t="str" cm="1">
        <f t="array" ref="E353">INDEX(FX_Multi,$AD353,E$3)</f>
        <v>N/A</v>
      </c>
      <c r="F353" t="str" cm="1">
        <f t="array" ref="F353">INDEX(FX_Multi,$AD353,F$3)</f>
        <v>N/A</v>
      </c>
      <c r="G353" t="str" cm="1">
        <f t="array" ref="G353">INDEX(FX_Multi,$AD353,G$3)</f>
        <v>N/A</v>
      </c>
      <c r="H353" t="str" cm="1">
        <f t="array" ref="H353">INDEX(FX_Multi,$AD353,H$3)</f>
        <v>N/A</v>
      </c>
      <c r="I353" t="str" cm="1">
        <f t="array" ref="I353">INDEX(FX_Multi,$AD353,I$3)</f>
        <v>N/A</v>
      </c>
      <c r="J353" t="str" cm="1">
        <f t="array" ref="J353">INDEX(FX_Multi,$AD353,J$3)</f>
        <v>N/A</v>
      </c>
      <c r="K353" t="str" cm="1">
        <f t="array" ref="K353">INDEX(FX_Multi,$AD353,K$3)</f>
        <v>N/A</v>
      </c>
      <c r="L353" t="str" cm="1">
        <f t="array" ref="L353">INDEX(FX_Multi,$AD353,L$3)</f>
        <v>N/A</v>
      </c>
      <c r="M353" t="str" cm="1">
        <f t="array" ref="M353">INDEX(FX_Multi,$AD353,M$3)</f>
        <v>N/A</v>
      </c>
      <c r="N353" t="str" cm="1">
        <f t="array" ref="N353">INDEX(FX_Multi,$AD353,N$3)</f>
        <v>N/A</v>
      </c>
      <c r="O353" t="str" cm="1">
        <f t="array" ref="O353">INDEX(FX_Multi,$AD353,O$3)</f>
        <v>N/A</v>
      </c>
      <c r="AC353">
        <v>1</v>
      </c>
      <c r="AD353">
        <f>AD352-3</f>
        <v>147</v>
      </c>
      <c r="AE353">
        <v>1</v>
      </c>
      <c r="AF353">
        <f>AF348+6</f>
        <v>147</v>
      </c>
    </row>
    <row r="354" spans="2:32" ht="17.149999999999999" x14ac:dyDescent="0.55000000000000004">
      <c r="B354" t="str">
        <f t="shared" si="1171"/>
        <v>Portland</v>
      </c>
      <c r="C354" t="s">
        <v>572</v>
      </c>
      <c r="D354" cm="1">
        <f t="array" ref="D354">INDEX(FX_Multi,$AD354,D$3)</f>
        <v>0</v>
      </c>
      <c r="E354" cm="1">
        <f t="array" ref="E354">INDEX(FX_Multi,$AD354,E$3)</f>
        <v>0</v>
      </c>
      <c r="F354" cm="1">
        <f t="array" ref="F354">INDEX(FX_Multi,$AD354,F$3)</f>
        <v>0</v>
      </c>
      <c r="G354" cm="1">
        <f t="array" ref="G354">INDEX(FX_Multi,$AD354,G$3)</f>
        <v>0</v>
      </c>
      <c r="H354" cm="1">
        <f t="array" ref="H354">INDEX(FX_Multi,$AD354,H$3)</f>
        <v>0</v>
      </c>
      <c r="I354" cm="1">
        <f t="array" ref="I354">INDEX(FX_Multi,$AD354,I$3)</f>
        <v>0</v>
      </c>
      <c r="J354" cm="1">
        <f t="array" ref="J354">INDEX(FX_Multi,$AD354,J$3)</f>
        <v>0</v>
      </c>
      <c r="K354" cm="1">
        <f t="array" ref="K354">INDEX(FX_Multi,$AD354,K$3)</f>
        <v>0</v>
      </c>
      <c r="L354" cm="1">
        <f t="array" ref="L354">INDEX(FX_Multi,$AD354,L$3)</f>
        <v>0</v>
      </c>
      <c r="M354" cm="1">
        <f t="array" ref="M354">INDEX(FX_Multi,$AD354,M$3)</f>
        <v>0</v>
      </c>
      <c r="N354" cm="1">
        <f t="array" ref="N354">INDEX(FX_Multi,$AD354,N$3)</f>
        <v>0</v>
      </c>
      <c r="O354" cm="1">
        <f t="array" ref="O354">INDEX(FX_Multi,$AD354,O$3)</f>
        <v>0</v>
      </c>
      <c r="AC354">
        <v>1</v>
      </c>
      <c r="AD354">
        <f>AD353+4</f>
        <v>151</v>
      </c>
      <c r="AE354">
        <v>1</v>
      </c>
      <c r="AF354">
        <f>AF348+10</f>
        <v>151</v>
      </c>
    </row>
    <row r="355" spans="2:32" ht="17.149999999999999" x14ac:dyDescent="0.55000000000000004">
      <c r="B355" t="str">
        <f t="shared" si="1171"/>
        <v>Portland</v>
      </c>
      <c r="C355" t="s">
        <v>573</v>
      </c>
      <c r="D355" cm="1">
        <f t="array" ref="D355">INDEX(FX_Multi,$AD355,D$3)</f>
        <v>0</v>
      </c>
      <c r="E355" cm="1">
        <f t="array" ref="E355">INDEX(FX_Multi,$AD355,E$3)</f>
        <v>0</v>
      </c>
      <c r="F355" cm="1">
        <f t="array" ref="F355">INDEX(FX_Multi,$AD355,F$3)</f>
        <v>0</v>
      </c>
      <c r="G355" cm="1">
        <f t="array" ref="G355">INDEX(FX_Multi,$AD355,G$3)</f>
        <v>0</v>
      </c>
      <c r="H355" cm="1">
        <f t="array" ref="H355">INDEX(FX_Multi,$AD355,H$3)</f>
        <v>0</v>
      </c>
      <c r="I355" cm="1">
        <f t="array" ref="I355">INDEX(FX_Multi,$AD355,I$3)</f>
        <v>0</v>
      </c>
      <c r="J355" cm="1">
        <f t="array" ref="J355">INDEX(FX_Multi,$AD355,J$3)</f>
        <v>0</v>
      </c>
      <c r="K355" cm="1">
        <f t="array" ref="K355">INDEX(FX_Multi,$AD355,K$3)</f>
        <v>0</v>
      </c>
      <c r="L355" cm="1">
        <f t="array" ref="L355">INDEX(FX_Multi,$AD355,L$3)</f>
        <v>0</v>
      </c>
      <c r="M355" cm="1">
        <f t="array" ref="M355">INDEX(FX_Multi,$AD355,M$3)</f>
        <v>0</v>
      </c>
      <c r="N355" cm="1">
        <f t="array" ref="N355">INDEX(FX_Multi,$AD355,N$3)</f>
        <v>0</v>
      </c>
      <c r="O355" cm="1">
        <f t="array" ref="O355">INDEX(FX_Multi,$AD355,O$3)</f>
        <v>0</v>
      </c>
      <c r="AC355">
        <v>1</v>
      </c>
      <c r="AD355">
        <f>AD354-3</f>
        <v>148</v>
      </c>
      <c r="AE355">
        <v>1</v>
      </c>
      <c r="AF355">
        <f>AF348+7</f>
        <v>148</v>
      </c>
    </row>
    <row r="356" spans="2:32" ht="17.149999999999999" x14ac:dyDescent="0.55000000000000004">
      <c r="B356" t="str">
        <f>B351</f>
        <v>Portland</v>
      </c>
      <c r="C356" t="s">
        <v>526</v>
      </c>
      <c r="D356" cm="1">
        <f t="array" ref="D356">INDEX(FX_Temps,$AF356,D$3)</f>
        <v>42.403099999999938</v>
      </c>
      <c r="E356" cm="1">
        <f t="array" ref="E356">INDEX(FX_Temps,$AF356,E$3)</f>
        <v>43.080000000000041</v>
      </c>
      <c r="F356" cm="1">
        <f t="array" ref="F356">INDEX(FX_Temps,$AF356,F$3)</f>
        <v>44.95089999999999</v>
      </c>
      <c r="G356" cm="1">
        <f t="array" ref="G356">INDEX(FX_Temps,$AF356,G$3)</f>
        <v>48.048400000000015</v>
      </c>
      <c r="H356" cm="1">
        <f t="array" ref="H356">INDEX(FX_Temps,$AF356,H$3)</f>
        <v>53.102899999999977</v>
      </c>
      <c r="I356" cm="1">
        <f t="array" ref="I356">INDEX(FX_Temps,$AF356,I$3)</f>
        <v>57.215900000000033</v>
      </c>
      <c r="J356" cm="1">
        <f t="array" ref="J356">INDEX(FX_Temps,$AF356,J$3)</f>
        <v>60.813599999999838</v>
      </c>
      <c r="K356" cm="1">
        <f t="array" ref="K356">INDEX(FX_Temps,$AF356,K$3)</f>
        <v>60.716400000000021</v>
      </c>
      <c r="L356" cm="1">
        <f t="array" ref="L356">INDEX(FX_Temps,$AF356,L$3)</f>
        <v>57.353200000000015</v>
      </c>
      <c r="M356" cm="1">
        <f t="array" ref="M356">INDEX(FX_Temps,$AF356,M$3)</f>
        <v>50.947600000000079</v>
      </c>
      <c r="N356" cm="1">
        <f t="array" ref="N356">INDEX(FX_Temps,$AF356,N$3)</f>
        <v>45.324700000000007</v>
      </c>
      <c r="O356" cm="1">
        <f t="array" ref="O356">INDEX(FX_Temps,$AF356,O$3)</f>
        <v>42.113400000000013</v>
      </c>
      <c r="AE356">
        <v>1</v>
      </c>
      <c r="AF356">
        <f>AF348+10</f>
        <v>151</v>
      </c>
    </row>
    <row r="357" spans="2:32" ht="17.149999999999999" x14ac:dyDescent="0.55000000000000004">
      <c r="B357" t="str">
        <f t="shared" ref="B357:B378" si="1172">B356</f>
        <v>Portland</v>
      </c>
      <c r="C357" t="s">
        <v>527</v>
      </c>
      <c r="D357" cm="1">
        <f t="array" ref="D357">INDEX(FX_Temps,$AF357,D$3)</f>
        <v>46.563099999999963</v>
      </c>
      <c r="E357" cm="1">
        <f t="array" ref="E357">INDEX(FX_Temps,$AF357,E$3)</f>
        <v>48.360000000000014</v>
      </c>
      <c r="F357" cm="1">
        <f t="array" ref="F357">INDEX(FX_Temps,$AF357,F$3)</f>
        <v>50.230900000000076</v>
      </c>
      <c r="G357" cm="1">
        <f t="array" ref="G357">INDEX(FX_Temps,$AF357,G$3)</f>
        <v>53.408400000000029</v>
      </c>
      <c r="H357" cm="1">
        <f t="array" ref="H357">INDEX(FX_Temps,$AF357,H$3)</f>
        <v>58.422899999999913</v>
      </c>
      <c r="I357" cm="1">
        <f t="array" ref="I357">INDEX(FX_Temps,$AF357,I$3)</f>
        <v>62.215900000000033</v>
      </c>
      <c r="J357" cm="1">
        <f t="array" ref="J357">INDEX(FX_Temps,$AF357,J$3)</f>
        <v>65.893599999999878</v>
      </c>
      <c r="K357" cm="1">
        <f t="array" ref="K357">INDEX(FX_Temps,$AF357,K$3)</f>
        <v>66.156400000000076</v>
      </c>
      <c r="L357" cm="1">
        <f t="array" ref="L357">INDEX(FX_Temps,$AF357,L$3)</f>
        <v>63.913199999999961</v>
      </c>
      <c r="M357" cm="1">
        <f t="array" ref="M357">INDEX(FX_Temps,$AF357,M$3)</f>
        <v>56.827600000000075</v>
      </c>
      <c r="N357" cm="1">
        <f t="array" ref="N357">INDEX(FX_Temps,$AF357,N$3)</f>
        <v>50.204700000000003</v>
      </c>
      <c r="O357" cm="1">
        <f t="array" ref="O357">INDEX(FX_Temps,$AF357,O$3)</f>
        <v>46.113400000000013</v>
      </c>
      <c r="AE357">
        <f>AE356</f>
        <v>1</v>
      </c>
      <c r="AF357">
        <f>AF348+11</f>
        <v>152</v>
      </c>
    </row>
    <row r="358" spans="2:32" ht="17.149999999999999" x14ac:dyDescent="0.55000000000000004">
      <c r="B358" t="str">
        <f t="shared" si="1172"/>
        <v>Portland</v>
      </c>
      <c r="C358" t="s">
        <v>552</v>
      </c>
      <c r="D358" cm="1">
        <f t="array" ref="D358">INDEX(FX_Temps,$AF358,D$3)</f>
        <v>44.748924999999986</v>
      </c>
      <c r="E358" cm="1">
        <f t="array" ref="E358">INDEX(FX_Temps,$AF358,E$3)</f>
        <v>46.185000000000059</v>
      </c>
      <c r="F358" cm="1">
        <f t="array" ref="F358">INDEX(FX_Temps,$AF358,F$3)</f>
        <v>48.270575000000008</v>
      </c>
      <c r="G358" cm="1">
        <f t="array" ref="G358">INDEX(FX_Temps,$AF358,G$3)</f>
        <v>51.698699999999917</v>
      </c>
      <c r="H358" cm="1">
        <f t="array" ref="H358">INDEX(FX_Temps,$AF358,H$3)</f>
        <v>56.954074999999875</v>
      </c>
      <c r="I358" cm="1">
        <f t="array" ref="I358">INDEX(FX_Temps,$AF358,I$3)</f>
        <v>60.976825000000076</v>
      </c>
      <c r="J358" cm="1">
        <f t="array" ref="J358">INDEX(FX_Temps,$AF358,J$3)</f>
        <v>64.677299999999832</v>
      </c>
      <c r="K358" cm="1">
        <f t="array" ref="K358">INDEX(FX_Temps,$AF358,K$3)</f>
        <v>64.592699999999923</v>
      </c>
      <c r="L358" cm="1">
        <f t="array" ref="L358">INDEX(FX_Temps,$AF358,L$3)</f>
        <v>61.560100000000034</v>
      </c>
      <c r="M358" cm="1">
        <f t="array" ref="M358">INDEX(FX_Temps,$AF358,M$3)</f>
        <v>54.451800000000048</v>
      </c>
      <c r="N358" cm="1">
        <f t="array" ref="N358">INDEX(FX_Temps,$AF358,N$3)</f>
        <v>48.067724999999996</v>
      </c>
      <c r="O358" cm="1">
        <f t="array" ref="O358">INDEX(FX_Temps,$AF358,O$3)</f>
        <v>44.347450000000038</v>
      </c>
      <c r="AE358">
        <f>AE357</f>
        <v>1</v>
      </c>
      <c r="AF358">
        <f>AF348+13</f>
        <v>154</v>
      </c>
    </row>
    <row r="359" spans="2:32" ht="17.149999999999999" x14ac:dyDescent="0.55000000000000004">
      <c r="B359" t="str">
        <f t="shared" si="1172"/>
        <v>Portland</v>
      </c>
      <c r="C359" t="s">
        <v>574</v>
      </c>
      <c r="D359" cm="1">
        <f t="array" ref="D359">IFERROR(IF(D349="Chemical",(10^(INDEX(Antoines,MATCH(D348,Antoine_Name,0),2)-INDEX(Antoines,MATCH(D348,Antoine_Name,0),3)/(INDEX(Antoines,MATCH(D348,Antoine_Name,0),4)+(D356-32)*5/9)))*14.7/760,IF(D349="Crude Oil",EXP((2799/(D356+459.6)-2.227)*LOG10(INDEX(FX_Input,Q$5,D$3*$Z$5+$AA$5))-(7261/(D356+459.6))+12.82),IF(D349="Refined Petroleum Stock",EXP((0.7553-(413/(D356+459.6)))*(INDEX(FX_Input,Q$5,D$3*$Z$5+$AA$5-1)^0.5)*LOG10(INDEX(FX_Input,Q$5,D$3*$Z$5+$AA$5))-(1.854-(1042/(D356+459.6)))*(INDEX(FX_Input,Q$5,D$3*$Z$5+$AA$5-1)^0.5)+((2416/(D356+459.6)-2.013)*LOG10(INDEX(FX_Input,Q$5,D$3*$Z$5+$AA$5)))-(8742/(D356+459.6))+15.64),EXP(INDEX(Antoines,MATCH(D348,Antoine_Name,0),2)-INDEX(Antoines,MATCH(D348,Antoine_Name,0),3)/(D356+459.6))))),0)</f>
        <v>1</v>
      </c>
      <c r="E359" cm="1">
        <f t="array" ref="E359">IFERROR(IF(E349="Chemical",(10^(INDEX(Antoines,MATCH(E348,Antoine_Name,0),2)-INDEX(Antoines,MATCH(E348,Antoine_Name,0),3)/(INDEX(Antoines,MATCH(E348,Antoine_Name,0),4)+(E356-32)*5/9)))*14.7/760,IF(E349="Crude Oil",EXP((2799/(E356+459.6)-2.227)*LOG10(INDEX(FX_Input,R$5,E$3*$Z$5+$AA$5))-(7261/(E356+459.6))+12.82),IF(E349="Refined Petroleum Stock",EXP((0.7553-(413/(E356+459.6)))*(INDEX(FX_Input,R$5,E$3*$Z$5+$AA$5-1)^0.5)*LOG10(INDEX(FX_Input,R$5,E$3*$Z$5+$AA$5))-(1.854-(1042/(E356+459.6)))*(INDEX(FX_Input,R$5,E$3*$Z$5+$AA$5-1)^0.5)+((2416/(E356+459.6)-2.013)*LOG10(INDEX(FX_Input,R$5,E$3*$Z$5+$AA$5)))-(8742/(E356+459.6))+15.64),EXP(INDEX(Antoines,MATCH(E348,Antoine_Name,0),2)-INDEX(Antoines,MATCH(E348,Antoine_Name,0),3)/(E356+459.6))))),0)</f>
        <v>1</v>
      </c>
      <c r="F359" cm="1">
        <f t="array" ref="F359">IFERROR(IF(F349="Chemical",(10^(INDEX(Antoines,MATCH(F348,Antoine_Name,0),2)-INDEX(Antoines,MATCH(F348,Antoine_Name,0),3)/(INDEX(Antoines,MATCH(F348,Antoine_Name,0),4)+(F356-32)*5/9)))*14.7/760,IF(F349="Crude Oil",EXP((2799/(F356+459.6)-2.227)*LOG10(INDEX(FX_Input,S$5,F$3*$Z$5+$AA$5))-(7261/(F356+459.6))+12.82),IF(F349="Refined Petroleum Stock",EXP((0.7553-(413/(F356+459.6)))*(INDEX(FX_Input,S$5,F$3*$Z$5+$AA$5-1)^0.5)*LOG10(INDEX(FX_Input,S$5,F$3*$Z$5+$AA$5))-(1.854-(1042/(F356+459.6)))*(INDEX(FX_Input,S$5,F$3*$Z$5+$AA$5-1)^0.5)+((2416/(F356+459.6)-2.013)*LOG10(INDEX(FX_Input,S$5,F$3*$Z$5+$AA$5)))-(8742/(F356+459.6))+15.64),EXP(INDEX(Antoines,MATCH(F348,Antoine_Name,0),2)-INDEX(Antoines,MATCH(F348,Antoine_Name,0),3)/(F356+459.6))))),0)</f>
        <v>1</v>
      </c>
      <c r="G359" cm="1">
        <f t="array" ref="G359">IFERROR(IF(G349="Chemical",(10^(INDEX(Antoines,MATCH(G348,Antoine_Name,0),2)-INDEX(Antoines,MATCH(G348,Antoine_Name,0),3)/(INDEX(Antoines,MATCH(G348,Antoine_Name,0),4)+(G356-32)*5/9)))*14.7/760,IF(G349="Crude Oil",EXP((2799/(G356+459.6)-2.227)*LOG10(INDEX(FX_Input,T$5,G$3*$Z$5+$AA$5))-(7261/(G356+459.6))+12.82),IF(G349="Refined Petroleum Stock",EXP((0.7553-(413/(G356+459.6)))*(INDEX(FX_Input,T$5,G$3*$Z$5+$AA$5-1)^0.5)*LOG10(INDEX(FX_Input,T$5,G$3*$Z$5+$AA$5))-(1.854-(1042/(G356+459.6)))*(INDEX(FX_Input,T$5,G$3*$Z$5+$AA$5-1)^0.5)+((2416/(G356+459.6)-2.013)*LOG10(INDEX(FX_Input,T$5,G$3*$Z$5+$AA$5)))-(8742/(G356+459.6))+15.64),EXP(INDEX(Antoines,MATCH(G348,Antoine_Name,0),2)-INDEX(Antoines,MATCH(G348,Antoine_Name,0),3)/(G356+459.6))))),0)</f>
        <v>1</v>
      </c>
      <c r="H359" cm="1">
        <f t="array" ref="H359">IFERROR(IF(H349="Chemical",(10^(INDEX(Antoines,MATCH(H348,Antoine_Name,0),2)-INDEX(Antoines,MATCH(H348,Antoine_Name,0),3)/(INDEX(Antoines,MATCH(H348,Antoine_Name,0),4)+(H356-32)*5/9)))*14.7/760,IF(H349="Crude Oil",EXP((2799/(H356+459.6)-2.227)*LOG10(INDEX(FX_Input,U$5,H$3*$Z$5+$AA$5))-(7261/(H356+459.6))+12.82),IF(H349="Refined Petroleum Stock",EXP((0.7553-(413/(H356+459.6)))*(INDEX(FX_Input,U$5,H$3*$Z$5+$AA$5-1)^0.5)*LOG10(INDEX(FX_Input,U$5,H$3*$Z$5+$AA$5))-(1.854-(1042/(H356+459.6)))*(INDEX(FX_Input,U$5,H$3*$Z$5+$AA$5-1)^0.5)+((2416/(H356+459.6)-2.013)*LOG10(INDEX(FX_Input,U$5,H$3*$Z$5+$AA$5)))-(8742/(H356+459.6))+15.64),EXP(INDEX(Antoines,MATCH(H348,Antoine_Name,0),2)-INDEX(Antoines,MATCH(H348,Antoine_Name,0),3)/(H356+459.6))))),0)</f>
        <v>1</v>
      </c>
      <c r="I359" cm="1">
        <f t="array" ref="I359">IFERROR(IF(I349="Chemical",(10^(INDEX(Antoines,MATCH(I348,Antoine_Name,0),2)-INDEX(Antoines,MATCH(I348,Antoine_Name,0),3)/(INDEX(Antoines,MATCH(I348,Antoine_Name,0),4)+(I356-32)*5/9)))*14.7/760,IF(I349="Crude Oil",EXP((2799/(I356+459.6)-2.227)*LOG10(INDEX(FX_Input,V$5,I$3*$Z$5+$AA$5))-(7261/(I356+459.6))+12.82),IF(I349="Refined Petroleum Stock",EXP((0.7553-(413/(I356+459.6)))*(INDEX(FX_Input,V$5,I$3*$Z$5+$AA$5-1)^0.5)*LOG10(INDEX(FX_Input,V$5,I$3*$Z$5+$AA$5))-(1.854-(1042/(I356+459.6)))*(INDEX(FX_Input,V$5,I$3*$Z$5+$AA$5-1)^0.5)+((2416/(I356+459.6)-2.013)*LOG10(INDEX(FX_Input,V$5,I$3*$Z$5+$AA$5)))-(8742/(I356+459.6))+15.64),EXP(INDEX(Antoines,MATCH(I348,Antoine_Name,0),2)-INDEX(Antoines,MATCH(I348,Antoine_Name,0),3)/(I356+459.6))))),0)</f>
        <v>1</v>
      </c>
      <c r="J359" cm="1">
        <f t="array" ref="J359">IFERROR(IF(J349="Chemical",(10^(INDEX(Antoines,MATCH(J348,Antoine_Name,0),2)-INDEX(Antoines,MATCH(J348,Antoine_Name,0),3)/(INDEX(Antoines,MATCH(J348,Antoine_Name,0),4)+(J356-32)*5/9)))*14.7/760,IF(J349="Crude Oil",EXP((2799/(J356+459.6)-2.227)*LOG10(INDEX(FX_Input,W$5,J$3*$Z$5+$AA$5))-(7261/(J356+459.6))+12.82),IF(J349="Refined Petroleum Stock",EXP((0.7553-(413/(J356+459.6)))*(INDEX(FX_Input,W$5,J$3*$Z$5+$AA$5-1)^0.5)*LOG10(INDEX(FX_Input,W$5,J$3*$Z$5+$AA$5))-(1.854-(1042/(J356+459.6)))*(INDEX(FX_Input,W$5,J$3*$Z$5+$AA$5-1)^0.5)+((2416/(J356+459.6)-2.013)*LOG10(INDEX(FX_Input,W$5,J$3*$Z$5+$AA$5)))-(8742/(J356+459.6))+15.64),EXP(INDEX(Antoines,MATCH(J348,Antoine_Name,0),2)-INDEX(Antoines,MATCH(J348,Antoine_Name,0),3)/(J356+459.6))))),0)</f>
        <v>1</v>
      </c>
      <c r="K359" cm="1">
        <f t="array" ref="K359">IFERROR(IF(K349="Chemical",(10^(INDEX(Antoines,MATCH(K348,Antoine_Name,0),2)-INDEX(Antoines,MATCH(K348,Antoine_Name,0),3)/(INDEX(Antoines,MATCH(K348,Antoine_Name,0),4)+(K356-32)*5/9)))*14.7/760,IF(K349="Crude Oil",EXP((2799/(K356+459.6)-2.227)*LOG10(INDEX(FX_Input,X$5,K$3*$Z$5+$AA$5))-(7261/(K356+459.6))+12.82),IF(K349="Refined Petroleum Stock",EXP((0.7553-(413/(K356+459.6)))*(INDEX(FX_Input,X$5,K$3*$Z$5+$AA$5-1)^0.5)*LOG10(INDEX(FX_Input,X$5,K$3*$Z$5+$AA$5))-(1.854-(1042/(K356+459.6)))*(INDEX(FX_Input,X$5,K$3*$Z$5+$AA$5-1)^0.5)+((2416/(K356+459.6)-2.013)*LOG10(INDEX(FX_Input,X$5,K$3*$Z$5+$AA$5)))-(8742/(K356+459.6))+15.64),EXP(INDEX(Antoines,MATCH(K348,Antoine_Name,0),2)-INDEX(Antoines,MATCH(K348,Antoine_Name,0),3)/(K356+459.6))))),0)</f>
        <v>1</v>
      </c>
      <c r="L359" cm="1">
        <f t="array" ref="L359">IFERROR(IF(L349="Chemical",(10^(INDEX(Antoines,MATCH(L348,Antoine_Name,0),2)-INDEX(Antoines,MATCH(L348,Antoine_Name,0),3)/(INDEX(Antoines,MATCH(L348,Antoine_Name,0),4)+(L356-32)*5/9)))*14.7/760,IF(L349="Crude Oil",EXP((2799/(L356+459.6)-2.227)*LOG10(INDEX(FX_Input,Y$5,L$3*$Z$5+$AA$5))-(7261/(L356+459.6))+12.82),IF(L349="Refined Petroleum Stock",EXP((0.7553-(413/(L356+459.6)))*(INDEX(FX_Input,Y$5,L$3*$Z$5+$AA$5-1)^0.5)*LOG10(INDEX(FX_Input,Y$5,L$3*$Z$5+$AA$5))-(1.854-(1042/(L356+459.6)))*(INDEX(FX_Input,Y$5,L$3*$Z$5+$AA$5-1)^0.5)+((2416/(L356+459.6)-2.013)*LOG10(INDEX(FX_Input,Y$5,L$3*$Z$5+$AA$5)))-(8742/(L356+459.6))+15.64),EXP(INDEX(Antoines,MATCH(L348,Antoine_Name,0),2)-INDEX(Antoines,MATCH(L348,Antoine_Name,0),3)/(L356+459.6))))),0)</f>
        <v>1</v>
      </c>
      <c r="M359" cm="1">
        <f t="array" ref="M359">IFERROR(IF(M349="Chemical",(10^(INDEX(Antoines,MATCH(M348,Antoine_Name,0),2)-INDEX(Antoines,MATCH(M348,Antoine_Name,0),3)/(INDEX(Antoines,MATCH(M348,Antoine_Name,0),4)+(M356-32)*5/9)))*14.7/760,IF(M349="Crude Oil",EXP((2799/(M356+459.6)-2.227)*LOG10(INDEX(FX_Input,Z$5,M$3*$Z$5+$AA$5))-(7261/(M356+459.6))+12.82),IF(M349="Refined Petroleum Stock",EXP((0.7553-(413/(M356+459.6)))*(INDEX(FX_Input,Z$5,M$3*$Z$5+$AA$5-1)^0.5)*LOG10(INDEX(FX_Input,Z$5,M$3*$Z$5+$AA$5))-(1.854-(1042/(M356+459.6)))*(INDEX(FX_Input,Z$5,M$3*$Z$5+$AA$5-1)^0.5)+((2416/(M356+459.6)-2.013)*LOG10(INDEX(FX_Input,Z$5,M$3*$Z$5+$AA$5)))-(8742/(M356+459.6))+15.64),EXP(INDEX(Antoines,MATCH(M348,Antoine_Name,0),2)-INDEX(Antoines,MATCH(M348,Antoine_Name,0),3)/(M356+459.6))))),0)</f>
        <v>1</v>
      </c>
      <c r="N359" cm="1">
        <f t="array" ref="N359">IFERROR(IF(N349="Chemical",(10^(INDEX(Antoines,MATCH(N348,Antoine_Name,0),2)-INDEX(Antoines,MATCH(N348,Antoine_Name,0),3)/(INDEX(Antoines,MATCH(N348,Antoine_Name,0),4)+(N356-32)*5/9)))*14.7/760,IF(N349="Crude Oil",EXP((2799/(N356+459.6)-2.227)*LOG10(INDEX(FX_Input,AA$5,N$3*$Z$5+$AA$5))-(7261/(N356+459.6))+12.82),IF(N349="Refined Petroleum Stock",EXP((0.7553-(413/(N356+459.6)))*(INDEX(FX_Input,AA$5,N$3*$Z$5+$AA$5-1)^0.5)*LOG10(INDEX(FX_Input,AA$5,N$3*$Z$5+$AA$5))-(1.854-(1042/(N356+459.6)))*(INDEX(FX_Input,AA$5,N$3*$Z$5+$AA$5-1)^0.5)+((2416/(N356+459.6)-2.013)*LOG10(INDEX(FX_Input,AA$5,N$3*$Z$5+$AA$5)))-(8742/(N356+459.6))+15.64),EXP(INDEX(Antoines,MATCH(N348,Antoine_Name,0),2)-INDEX(Antoines,MATCH(N348,Antoine_Name,0),3)/(N356+459.6))))),0)</f>
        <v>1</v>
      </c>
      <c r="O359" cm="1">
        <f t="array" ref="O359">IFERROR(IF(O349="Chemical",(10^(INDEX(Antoines,MATCH(O348,Antoine_Name,0),2)-INDEX(Antoines,MATCH(O348,Antoine_Name,0),3)/(INDEX(Antoines,MATCH(O348,Antoine_Name,0),4)+(O356-32)*5/9)))*14.7/760,IF(O349="Crude Oil",EXP((2799/(O356+459.6)-2.227)*LOG10(INDEX(FX_Input,AB$5,O$3*$Z$5+$AA$5))-(7261/(O356+459.6))+12.82),IF(O349="Refined Petroleum Stock",EXP((0.7553-(413/(O356+459.6)))*(INDEX(FX_Input,AB$5,O$3*$Z$5+$AA$5-1)^0.5)*LOG10(INDEX(FX_Input,AB$5,O$3*$Z$5+$AA$5))-(1.854-(1042/(O356+459.6)))*(INDEX(FX_Input,AB$5,O$3*$Z$5+$AA$5-1)^0.5)+((2416/(O356+459.6)-2.013)*LOG10(INDEX(FX_Input,AB$5,O$3*$Z$5+$AA$5)))-(8742/(O356+459.6))+15.64),EXP(INDEX(Antoines,MATCH(O348,Antoine_Name,0),2)-INDEX(Antoines,MATCH(O348,Antoine_Name,0),3)/(O356+459.6))))),0)</f>
        <v>1</v>
      </c>
    </row>
    <row r="360" spans="2:32" ht="17.149999999999999" x14ac:dyDescent="0.55000000000000004">
      <c r="B360" t="str">
        <f t="shared" si="1172"/>
        <v>Portland</v>
      </c>
      <c r="C360" t="s">
        <v>576</v>
      </c>
      <c r="D360">
        <f>D352*D359</f>
        <v>1</v>
      </c>
      <c r="E360">
        <f t="shared" ref="E360" si="1173">E352*E359</f>
        <v>1</v>
      </c>
      <c r="F360">
        <f t="shared" ref="F360" si="1174">F352*F359</f>
        <v>1</v>
      </c>
      <c r="G360">
        <f t="shared" ref="G360" si="1175">G352*G359</f>
        <v>1</v>
      </c>
      <c r="H360">
        <f t="shared" ref="H360" si="1176">H352*H359</f>
        <v>1</v>
      </c>
      <c r="I360">
        <f t="shared" ref="I360" si="1177">I352*I359</f>
        <v>1</v>
      </c>
      <c r="J360">
        <f t="shared" ref="J360" si="1178">J352*J359</f>
        <v>1</v>
      </c>
      <c r="K360">
        <f t="shared" ref="K360" si="1179">K352*K359</f>
        <v>1</v>
      </c>
      <c r="L360">
        <f t="shared" ref="L360" si="1180">L352*L359</f>
        <v>1</v>
      </c>
      <c r="M360">
        <f t="shared" ref="M360" si="1181">M352*M359</f>
        <v>1</v>
      </c>
      <c r="N360">
        <f t="shared" ref="N360" si="1182">N352*N359</f>
        <v>1</v>
      </c>
      <c r="O360">
        <f t="shared" ref="O360" si="1183">O352*O359</f>
        <v>1</v>
      </c>
    </row>
    <row r="361" spans="2:32" ht="17.149999999999999" x14ac:dyDescent="0.55000000000000004">
      <c r="B361" t="str">
        <f t="shared" si="1172"/>
        <v>Portland</v>
      </c>
      <c r="C361" t="s">
        <v>575</v>
      </c>
      <c r="D361" cm="1">
        <f t="array" ref="D361">IFERROR(IF(D351="Chemical",(10^(INDEX(Antoines,MATCH(D350,Antoine_Name,0),2)-INDEX(Antoines,MATCH(D350,Antoine_Name,0),3)/(INDEX(Antoines,MATCH(D350,Antoine_Name,0),4)+(D356-32)*5/9)))*14.7/760,IF(D351="Crude Oil",EXP((2799/(D356+459.6)-2.227)*LOG10(INDEX(FX_Input,Q$5,D$3*$Z$5+$AA$5))-(7261/(D356+459.6))+12.82),IF(D351="Refined Petroleum Stock",EXP((0.7553-(413/(D356+459.6)))*(INDEX(FX_Input,Q$5,D$3*$Z$5+$AA$5-1)^0.5)*LOG10(INDEX(FX_Input,Q$5,D$3*$Z$5+$AA$5))-(1.854-(1042/(D356+459.6)))*(INDEX(FX_Input,Q$5,D$3*$Z$5+$AA$5-1)^0.5)+((2416/(D356+459.6)-2.013)*LOG10(INDEX(FX_Input,Q$5,D$3*$Z$5+$AA$5)))-(8742/(D356+459.6))+15.64),EXP(INDEX(Antoines,MATCH(D350,Antoine_Name,0),2)-INDEX(Antoines,MATCH(D350,Antoine_Name,0),3)/(D356+459.6))))),0)</f>
        <v>0</v>
      </c>
      <c r="E361" cm="1">
        <f t="array" ref="E361">IFERROR(IF(E351="Chemical",(10^(INDEX(Antoines,MATCH(E350,Antoine_Name,0),2)-INDEX(Antoines,MATCH(E350,Antoine_Name,0),3)/(INDEX(Antoines,MATCH(E350,Antoine_Name,0),4)+(E356-32)*5/9)))*14.7/760,IF(E351="Crude Oil",EXP((2799/(E356+459.6)-2.227)*LOG10(INDEX(FX_Input,R$5,E$3*$Z$5+$AA$5))-(7261/(E356+459.6))+12.82),IF(E351="Refined Petroleum Stock",EXP((0.7553-(413/(E356+459.6)))*(INDEX(FX_Input,R$5,E$3*$Z$5+$AA$5-1)^0.5)*LOG10(INDEX(FX_Input,R$5,E$3*$Z$5+$AA$5))-(1.854-(1042/(E356+459.6)))*(INDEX(FX_Input,R$5,E$3*$Z$5+$AA$5-1)^0.5)+((2416/(E356+459.6)-2.013)*LOG10(INDEX(FX_Input,R$5,E$3*$Z$5+$AA$5)))-(8742/(E356+459.6))+15.64),EXP(INDEX(Antoines,MATCH(E350,Antoine_Name,0),2)-INDEX(Antoines,MATCH(E350,Antoine_Name,0),3)/(E356+459.6))))),0)</f>
        <v>0</v>
      </c>
      <c r="F361" cm="1">
        <f t="array" ref="F361">IFERROR(IF(F351="Chemical",(10^(INDEX(Antoines,MATCH(F350,Antoine_Name,0),2)-INDEX(Antoines,MATCH(F350,Antoine_Name,0),3)/(INDEX(Antoines,MATCH(F350,Antoine_Name,0),4)+(F356-32)*5/9)))*14.7/760,IF(F351="Crude Oil",EXP((2799/(F356+459.6)-2.227)*LOG10(INDEX(FX_Input,S$5,F$3*$Z$5+$AA$5))-(7261/(F356+459.6))+12.82),IF(F351="Refined Petroleum Stock",EXP((0.7553-(413/(F356+459.6)))*(INDEX(FX_Input,S$5,F$3*$Z$5+$AA$5-1)^0.5)*LOG10(INDEX(FX_Input,S$5,F$3*$Z$5+$AA$5))-(1.854-(1042/(F356+459.6)))*(INDEX(FX_Input,S$5,F$3*$Z$5+$AA$5-1)^0.5)+((2416/(F356+459.6)-2.013)*LOG10(INDEX(FX_Input,S$5,F$3*$Z$5+$AA$5)))-(8742/(F356+459.6))+15.64),EXP(INDEX(Antoines,MATCH(F350,Antoine_Name,0),2)-INDEX(Antoines,MATCH(F350,Antoine_Name,0),3)/(F356+459.6))))),0)</f>
        <v>0</v>
      </c>
      <c r="G361" cm="1">
        <f t="array" ref="G361">IFERROR(IF(G351="Chemical",(10^(INDEX(Antoines,MATCH(G350,Antoine_Name,0),2)-INDEX(Antoines,MATCH(G350,Antoine_Name,0),3)/(INDEX(Antoines,MATCH(G350,Antoine_Name,0),4)+(G356-32)*5/9)))*14.7/760,IF(G351="Crude Oil",EXP((2799/(G356+459.6)-2.227)*LOG10(INDEX(FX_Input,T$5,G$3*$Z$5+$AA$5))-(7261/(G356+459.6))+12.82),IF(G351="Refined Petroleum Stock",EXP((0.7553-(413/(G356+459.6)))*(INDEX(FX_Input,T$5,G$3*$Z$5+$AA$5-1)^0.5)*LOG10(INDEX(FX_Input,T$5,G$3*$Z$5+$AA$5))-(1.854-(1042/(G356+459.6)))*(INDEX(FX_Input,T$5,G$3*$Z$5+$AA$5-1)^0.5)+((2416/(G356+459.6)-2.013)*LOG10(INDEX(FX_Input,T$5,G$3*$Z$5+$AA$5)))-(8742/(G356+459.6))+15.64),EXP(INDEX(Antoines,MATCH(G350,Antoine_Name,0),2)-INDEX(Antoines,MATCH(G350,Antoine_Name,0),3)/(G356+459.6))))),0)</f>
        <v>0</v>
      </c>
      <c r="H361" cm="1">
        <f t="array" ref="H361">IFERROR(IF(H351="Chemical",(10^(INDEX(Antoines,MATCH(H350,Antoine_Name,0),2)-INDEX(Antoines,MATCH(H350,Antoine_Name,0),3)/(INDEX(Antoines,MATCH(H350,Antoine_Name,0),4)+(H356-32)*5/9)))*14.7/760,IF(H351="Crude Oil",EXP((2799/(H356+459.6)-2.227)*LOG10(INDEX(FX_Input,U$5,H$3*$Z$5+$AA$5))-(7261/(H356+459.6))+12.82),IF(H351="Refined Petroleum Stock",EXP((0.7553-(413/(H356+459.6)))*(INDEX(FX_Input,U$5,H$3*$Z$5+$AA$5-1)^0.5)*LOG10(INDEX(FX_Input,U$5,H$3*$Z$5+$AA$5))-(1.854-(1042/(H356+459.6)))*(INDEX(FX_Input,U$5,H$3*$Z$5+$AA$5-1)^0.5)+((2416/(H356+459.6)-2.013)*LOG10(INDEX(FX_Input,U$5,H$3*$Z$5+$AA$5)))-(8742/(H356+459.6))+15.64),EXP(INDEX(Antoines,MATCH(H350,Antoine_Name,0),2)-INDEX(Antoines,MATCH(H350,Antoine_Name,0),3)/(H356+459.6))))),0)</f>
        <v>0</v>
      </c>
      <c r="I361" cm="1">
        <f t="array" ref="I361">IFERROR(IF(I351="Chemical",(10^(INDEX(Antoines,MATCH(I350,Antoine_Name,0),2)-INDEX(Antoines,MATCH(I350,Antoine_Name,0),3)/(INDEX(Antoines,MATCH(I350,Antoine_Name,0),4)+(I356-32)*5/9)))*14.7/760,IF(I351="Crude Oil",EXP((2799/(I356+459.6)-2.227)*LOG10(INDEX(FX_Input,V$5,I$3*$Z$5+$AA$5))-(7261/(I356+459.6))+12.82),IF(I351="Refined Petroleum Stock",EXP((0.7553-(413/(I356+459.6)))*(INDEX(FX_Input,V$5,I$3*$Z$5+$AA$5-1)^0.5)*LOG10(INDEX(FX_Input,V$5,I$3*$Z$5+$AA$5))-(1.854-(1042/(I356+459.6)))*(INDEX(FX_Input,V$5,I$3*$Z$5+$AA$5-1)^0.5)+((2416/(I356+459.6)-2.013)*LOG10(INDEX(FX_Input,V$5,I$3*$Z$5+$AA$5)))-(8742/(I356+459.6))+15.64),EXP(INDEX(Antoines,MATCH(I350,Antoine_Name,0),2)-INDEX(Antoines,MATCH(I350,Antoine_Name,0),3)/(I356+459.6))))),0)</f>
        <v>0</v>
      </c>
      <c r="J361" cm="1">
        <f t="array" ref="J361">IFERROR(IF(J351="Chemical",(10^(INDEX(Antoines,MATCH(J350,Antoine_Name,0),2)-INDEX(Antoines,MATCH(J350,Antoine_Name,0),3)/(INDEX(Antoines,MATCH(J350,Antoine_Name,0),4)+(J356-32)*5/9)))*14.7/760,IF(J351="Crude Oil",EXP((2799/(J356+459.6)-2.227)*LOG10(INDEX(FX_Input,W$5,J$3*$Z$5+$AA$5))-(7261/(J356+459.6))+12.82),IF(J351="Refined Petroleum Stock",EXP((0.7553-(413/(J356+459.6)))*(INDEX(FX_Input,W$5,J$3*$Z$5+$AA$5-1)^0.5)*LOG10(INDEX(FX_Input,W$5,J$3*$Z$5+$AA$5))-(1.854-(1042/(J356+459.6)))*(INDEX(FX_Input,W$5,J$3*$Z$5+$AA$5-1)^0.5)+((2416/(J356+459.6)-2.013)*LOG10(INDEX(FX_Input,W$5,J$3*$Z$5+$AA$5)))-(8742/(J356+459.6))+15.64),EXP(INDEX(Antoines,MATCH(J350,Antoine_Name,0),2)-INDEX(Antoines,MATCH(J350,Antoine_Name,0),3)/(J356+459.6))))),0)</f>
        <v>0</v>
      </c>
      <c r="K361" cm="1">
        <f t="array" ref="K361">IFERROR(IF(K351="Chemical",(10^(INDEX(Antoines,MATCH(K350,Antoine_Name,0),2)-INDEX(Antoines,MATCH(K350,Antoine_Name,0),3)/(INDEX(Antoines,MATCH(K350,Antoine_Name,0),4)+(K356-32)*5/9)))*14.7/760,IF(K351="Crude Oil",EXP((2799/(K356+459.6)-2.227)*LOG10(INDEX(FX_Input,X$5,K$3*$Z$5+$AA$5))-(7261/(K356+459.6))+12.82),IF(K351="Refined Petroleum Stock",EXP((0.7553-(413/(K356+459.6)))*(INDEX(FX_Input,X$5,K$3*$Z$5+$AA$5-1)^0.5)*LOG10(INDEX(FX_Input,X$5,K$3*$Z$5+$AA$5))-(1.854-(1042/(K356+459.6)))*(INDEX(FX_Input,X$5,K$3*$Z$5+$AA$5-1)^0.5)+((2416/(K356+459.6)-2.013)*LOG10(INDEX(FX_Input,X$5,K$3*$Z$5+$AA$5)))-(8742/(K356+459.6))+15.64),EXP(INDEX(Antoines,MATCH(K350,Antoine_Name,0),2)-INDEX(Antoines,MATCH(K350,Antoine_Name,0),3)/(K356+459.6))))),0)</f>
        <v>0</v>
      </c>
      <c r="L361" cm="1">
        <f t="array" ref="L361">IFERROR(IF(L351="Chemical",(10^(INDEX(Antoines,MATCH(L350,Antoine_Name,0),2)-INDEX(Antoines,MATCH(L350,Antoine_Name,0),3)/(INDEX(Antoines,MATCH(L350,Antoine_Name,0),4)+(L356-32)*5/9)))*14.7/760,IF(L351="Crude Oil",EXP((2799/(L356+459.6)-2.227)*LOG10(INDEX(FX_Input,Y$5,L$3*$Z$5+$AA$5))-(7261/(L356+459.6))+12.82),IF(L351="Refined Petroleum Stock",EXP((0.7553-(413/(L356+459.6)))*(INDEX(FX_Input,Y$5,L$3*$Z$5+$AA$5-1)^0.5)*LOG10(INDEX(FX_Input,Y$5,L$3*$Z$5+$AA$5))-(1.854-(1042/(L356+459.6)))*(INDEX(FX_Input,Y$5,L$3*$Z$5+$AA$5-1)^0.5)+((2416/(L356+459.6)-2.013)*LOG10(INDEX(FX_Input,Y$5,L$3*$Z$5+$AA$5)))-(8742/(L356+459.6))+15.64),EXP(INDEX(Antoines,MATCH(L350,Antoine_Name,0),2)-INDEX(Antoines,MATCH(L350,Antoine_Name,0),3)/(L356+459.6))))),0)</f>
        <v>0</v>
      </c>
      <c r="M361" cm="1">
        <f t="array" ref="M361">IFERROR(IF(M351="Chemical",(10^(INDEX(Antoines,MATCH(M350,Antoine_Name,0),2)-INDEX(Antoines,MATCH(M350,Antoine_Name,0),3)/(INDEX(Antoines,MATCH(M350,Antoine_Name,0),4)+(M356-32)*5/9)))*14.7/760,IF(M351="Crude Oil",EXP((2799/(M356+459.6)-2.227)*LOG10(INDEX(FX_Input,Z$5,M$3*$Z$5+$AA$5))-(7261/(M356+459.6))+12.82),IF(M351="Refined Petroleum Stock",EXP((0.7553-(413/(M356+459.6)))*(INDEX(FX_Input,Z$5,M$3*$Z$5+$AA$5-1)^0.5)*LOG10(INDEX(FX_Input,Z$5,M$3*$Z$5+$AA$5))-(1.854-(1042/(M356+459.6)))*(INDEX(FX_Input,Z$5,M$3*$Z$5+$AA$5-1)^0.5)+((2416/(M356+459.6)-2.013)*LOG10(INDEX(FX_Input,Z$5,M$3*$Z$5+$AA$5)))-(8742/(M356+459.6))+15.64),EXP(INDEX(Antoines,MATCH(M350,Antoine_Name,0),2)-INDEX(Antoines,MATCH(M350,Antoine_Name,0),3)/(M356+459.6))))),0)</f>
        <v>0</v>
      </c>
      <c r="N361" cm="1">
        <f t="array" ref="N361">IFERROR(IF(N351="Chemical",(10^(INDEX(Antoines,MATCH(N350,Antoine_Name,0),2)-INDEX(Antoines,MATCH(N350,Antoine_Name,0),3)/(INDEX(Antoines,MATCH(N350,Antoine_Name,0),4)+(N356-32)*5/9)))*14.7/760,IF(N351="Crude Oil",EXP((2799/(N356+459.6)-2.227)*LOG10(INDEX(FX_Input,AA$5,N$3*$Z$5+$AA$5))-(7261/(N356+459.6))+12.82),IF(N351="Refined Petroleum Stock",EXP((0.7553-(413/(N356+459.6)))*(INDEX(FX_Input,AA$5,N$3*$Z$5+$AA$5-1)^0.5)*LOG10(INDEX(FX_Input,AA$5,N$3*$Z$5+$AA$5))-(1.854-(1042/(N356+459.6)))*(INDEX(FX_Input,AA$5,N$3*$Z$5+$AA$5-1)^0.5)+((2416/(N356+459.6)-2.013)*LOG10(INDEX(FX_Input,AA$5,N$3*$Z$5+$AA$5)))-(8742/(N356+459.6))+15.64),EXP(INDEX(Antoines,MATCH(N350,Antoine_Name,0),2)-INDEX(Antoines,MATCH(N350,Antoine_Name,0),3)/(N356+459.6))))),0)</f>
        <v>0</v>
      </c>
      <c r="O361" cm="1">
        <f t="array" ref="O361">IFERROR(IF(O351="Chemical",(10^(INDEX(Antoines,MATCH(O350,Antoine_Name,0),2)-INDEX(Antoines,MATCH(O350,Antoine_Name,0),3)/(INDEX(Antoines,MATCH(O350,Antoine_Name,0),4)+(O356-32)*5/9)))*14.7/760,IF(O351="Crude Oil",EXP((2799/(O356+459.6)-2.227)*LOG10(INDEX(FX_Input,AB$5,O$3*$Z$5+$AA$5))-(7261/(O356+459.6))+12.82),IF(O351="Refined Petroleum Stock",EXP((0.7553-(413/(O356+459.6)))*(INDEX(FX_Input,AB$5,O$3*$Z$5+$AA$5-1)^0.5)*LOG10(INDEX(FX_Input,AB$5,O$3*$Z$5+$AA$5))-(1.854-(1042/(O356+459.6)))*(INDEX(FX_Input,AB$5,O$3*$Z$5+$AA$5-1)^0.5)+((2416/(O356+459.6)-2.013)*LOG10(INDEX(FX_Input,AB$5,O$3*$Z$5+$AA$5)))-(8742/(O356+459.6))+15.64),EXP(INDEX(Antoines,MATCH(O350,Antoine_Name,0),2)-INDEX(Antoines,MATCH(O350,Antoine_Name,0),3)/(O356+459.6))))),0)</f>
        <v>0</v>
      </c>
    </row>
    <row r="362" spans="2:32" ht="17.149999999999999" x14ac:dyDescent="0.55000000000000004">
      <c r="B362" t="str">
        <f t="shared" si="1172"/>
        <v>Portland</v>
      </c>
      <c r="C362" t="s">
        <v>577</v>
      </c>
      <c r="D362">
        <f>D361*D354</f>
        <v>0</v>
      </c>
      <c r="E362">
        <f t="shared" ref="E362" si="1184">E361*E354</f>
        <v>0</v>
      </c>
      <c r="F362">
        <f t="shared" ref="F362" si="1185">F361*F354</f>
        <v>0</v>
      </c>
      <c r="G362">
        <f t="shared" ref="G362" si="1186">G361*G354</f>
        <v>0</v>
      </c>
      <c r="H362">
        <f t="shared" ref="H362" si="1187">H361*H354</f>
        <v>0</v>
      </c>
      <c r="I362">
        <f t="shared" ref="I362" si="1188">I361*I354</f>
        <v>0</v>
      </c>
      <c r="J362">
        <f t="shared" ref="J362" si="1189">J361*J354</f>
        <v>0</v>
      </c>
      <c r="K362">
        <f t="shared" ref="K362" si="1190">K361*K354</f>
        <v>0</v>
      </c>
      <c r="L362">
        <f t="shared" ref="L362" si="1191">L361*L354</f>
        <v>0</v>
      </c>
      <c r="M362">
        <f t="shared" ref="M362" si="1192">M361*M354</f>
        <v>0</v>
      </c>
      <c r="N362">
        <f t="shared" ref="N362" si="1193">N361*N354</f>
        <v>0</v>
      </c>
      <c r="O362">
        <f t="shared" ref="O362" si="1194">O361*O354</f>
        <v>0</v>
      </c>
    </row>
    <row r="363" spans="2:32" ht="17.149999999999999" x14ac:dyDescent="0.55000000000000004">
      <c r="B363" t="str">
        <f t="shared" si="1172"/>
        <v>Portland</v>
      </c>
      <c r="C363" t="s">
        <v>578</v>
      </c>
      <c r="D363">
        <f>D362+D360</f>
        <v>1</v>
      </c>
      <c r="E363">
        <f t="shared" ref="E363" si="1195">E362+E360</f>
        <v>1</v>
      </c>
      <c r="F363">
        <f t="shared" ref="F363" si="1196">F362+F360</f>
        <v>1</v>
      </c>
      <c r="G363">
        <f t="shared" ref="G363" si="1197">G362+G360</f>
        <v>1</v>
      </c>
      <c r="H363">
        <f t="shared" ref="H363" si="1198">H362+H360</f>
        <v>1</v>
      </c>
      <c r="I363">
        <f t="shared" ref="I363" si="1199">I362+I360</f>
        <v>1</v>
      </c>
      <c r="J363">
        <f t="shared" ref="J363" si="1200">J362+J360</f>
        <v>1</v>
      </c>
      <c r="K363">
        <f t="shared" ref="K363" si="1201">K362+K360</f>
        <v>1</v>
      </c>
      <c r="L363">
        <f t="shared" ref="L363" si="1202">L362+L360</f>
        <v>1</v>
      </c>
      <c r="M363">
        <f t="shared" ref="M363" si="1203">M362+M360</f>
        <v>1</v>
      </c>
      <c r="N363">
        <f t="shared" ref="N363" si="1204">N362+N360</f>
        <v>1</v>
      </c>
      <c r="O363">
        <f t="shared" ref="O363" si="1205">O362+O360</f>
        <v>1</v>
      </c>
    </row>
    <row r="364" spans="2:32" ht="17.149999999999999" x14ac:dyDescent="0.55000000000000004">
      <c r="B364" t="str">
        <f t="shared" si="1172"/>
        <v>Portland</v>
      </c>
      <c r="C364" t="s">
        <v>579</v>
      </c>
      <c r="D364" cm="1">
        <f t="array" ref="D364">IFERROR(IF(D349="Chemical",(10^(INDEX(Antoines,MATCH(D348,Antoine_Name,0),2)-INDEX(Antoines,MATCH(D348,Antoine_Name,0),3)/(INDEX(Antoines,MATCH(D348,Antoine_Name,0),4)+(D357-32)*5/9)))*14.7/760,IF(D349="Crude Oil",EXP((2799/(D357+459.6)-2.227)*LOG10(INDEX(FX_Input,Q$5,D$3*$Z$5+$AA$5))-(7261/(D357+459.6))+12.82),IF(D349="Refined Petroleum Stock",EXP((0.7553-(413/(D357+459.6)))*(INDEX(FX_Input,Q$5,D$3*$Z$5+$AA$5-1)^0.5)*LOG10(INDEX(FX_Input,Q$5,D$3*$Z$5+$AA$5))-(1.854-(1042/(D357+459.6)))*(INDEX(FX_Input,Q$5,D$3*$Z$5+$AA$5-1)^0.5)+((2416/(D357+459.6)-2.013)*LOG10(INDEX(FX_Input,Q$5,D$3*$Z$5+$AA$5)))-(8742/(D357+459.6))+15.64),EXP(INDEX(Antoines,MATCH(D348,Antoine_Name,0),2)-INDEX(Antoines,MATCH(D348,Antoine_Name,0),3)/(D357+459.6))))),0)</f>
        <v>1</v>
      </c>
      <c r="E364" cm="1">
        <f t="array" ref="E364">IFERROR(IF(E349="Chemical",(10^(INDEX(Antoines,MATCH(E348,Antoine_Name,0),2)-INDEX(Antoines,MATCH(E348,Antoine_Name,0),3)/(INDEX(Antoines,MATCH(E348,Antoine_Name,0),4)+(E357-32)*5/9)))*14.7/760,IF(E349="Crude Oil",EXP((2799/(E357+459.6)-2.227)*LOG10(INDEX(FX_Input,R$5,E$3*$Z$5+$AA$5))-(7261/(E357+459.6))+12.82),IF(E349="Refined Petroleum Stock",EXP((0.7553-(413/(E357+459.6)))*(INDEX(FX_Input,R$5,E$3*$Z$5+$AA$5-1)^0.5)*LOG10(INDEX(FX_Input,R$5,E$3*$Z$5+$AA$5))-(1.854-(1042/(E357+459.6)))*(INDEX(FX_Input,R$5,E$3*$Z$5+$AA$5-1)^0.5)+((2416/(E357+459.6)-2.013)*LOG10(INDEX(FX_Input,R$5,E$3*$Z$5+$AA$5)))-(8742/(E357+459.6))+15.64),EXP(INDEX(Antoines,MATCH(E348,Antoine_Name,0),2)-INDEX(Antoines,MATCH(E348,Antoine_Name,0),3)/(E357+459.6))))),0)</f>
        <v>1</v>
      </c>
      <c r="F364" cm="1">
        <f t="array" ref="F364">IFERROR(IF(F349="Chemical",(10^(INDEX(Antoines,MATCH(F348,Antoine_Name,0),2)-INDEX(Antoines,MATCH(F348,Antoine_Name,0),3)/(INDEX(Antoines,MATCH(F348,Antoine_Name,0),4)+(F357-32)*5/9)))*14.7/760,IF(F349="Crude Oil",EXP((2799/(F357+459.6)-2.227)*LOG10(INDEX(FX_Input,S$5,F$3*$Z$5+$AA$5))-(7261/(F357+459.6))+12.82),IF(F349="Refined Petroleum Stock",EXP((0.7553-(413/(F357+459.6)))*(INDEX(FX_Input,S$5,F$3*$Z$5+$AA$5-1)^0.5)*LOG10(INDEX(FX_Input,S$5,F$3*$Z$5+$AA$5))-(1.854-(1042/(F357+459.6)))*(INDEX(FX_Input,S$5,F$3*$Z$5+$AA$5-1)^0.5)+((2416/(F357+459.6)-2.013)*LOG10(INDEX(FX_Input,S$5,F$3*$Z$5+$AA$5)))-(8742/(F357+459.6))+15.64),EXP(INDEX(Antoines,MATCH(F348,Antoine_Name,0),2)-INDEX(Antoines,MATCH(F348,Antoine_Name,0),3)/(F357+459.6))))),0)</f>
        <v>1</v>
      </c>
      <c r="G364" cm="1">
        <f t="array" ref="G364">IFERROR(IF(G349="Chemical",(10^(INDEX(Antoines,MATCH(G348,Antoine_Name,0),2)-INDEX(Antoines,MATCH(G348,Antoine_Name,0),3)/(INDEX(Antoines,MATCH(G348,Antoine_Name,0),4)+(G357-32)*5/9)))*14.7/760,IF(G349="Crude Oil",EXP((2799/(G357+459.6)-2.227)*LOG10(INDEX(FX_Input,T$5,G$3*$Z$5+$AA$5))-(7261/(G357+459.6))+12.82),IF(G349="Refined Petroleum Stock",EXP((0.7553-(413/(G357+459.6)))*(INDEX(FX_Input,T$5,G$3*$Z$5+$AA$5-1)^0.5)*LOG10(INDEX(FX_Input,T$5,G$3*$Z$5+$AA$5))-(1.854-(1042/(G357+459.6)))*(INDEX(FX_Input,T$5,G$3*$Z$5+$AA$5-1)^0.5)+((2416/(G357+459.6)-2.013)*LOG10(INDEX(FX_Input,T$5,G$3*$Z$5+$AA$5)))-(8742/(G357+459.6))+15.64),EXP(INDEX(Antoines,MATCH(G348,Antoine_Name,0),2)-INDEX(Antoines,MATCH(G348,Antoine_Name,0),3)/(G357+459.6))))),0)</f>
        <v>1</v>
      </c>
      <c r="H364" cm="1">
        <f t="array" ref="H364">IFERROR(IF(H349="Chemical",(10^(INDEX(Antoines,MATCH(H348,Antoine_Name,0),2)-INDEX(Antoines,MATCH(H348,Antoine_Name,0),3)/(INDEX(Antoines,MATCH(H348,Antoine_Name,0),4)+(H357-32)*5/9)))*14.7/760,IF(H349="Crude Oil",EXP((2799/(H357+459.6)-2.227)*LOG10(INDEX(FX_Input,U$5,H$3*$Z$5+$AA$5))-(7261/(H357+459.6))+12.82),IF(H349="Refined Petroleum Stock",EXP((0.7553-(413/(H357+459.6)))*(INDEX(FX_Input,U$5,H$3*$Z$5+$AA$5-1)^0.5)*LOG10(INDEX(FX_Input,U$5,H$3*$Z$5+$AA$5))-(1.854-(1042/(H357+459.6)))*(INDEX(FX_Input,U$5,H$3*$Z$5+$AA$5-1)^0.5)+((2416/(H357+459.6)-2.013)*LOG10(INDEX(FX_Input,U$5,H$3*$Z$5+$AA$5)))-(8742/(H357+459.6))+15.64),EXP(INDEX(Antoines,MATCH(H348,Antoine_Name,0),2)-INDEX(Antoines,MATCH(H348,Antoine_Name,0),3)/(H357+459.6))))),0)</f>
        <v>1</v>
      </c>
      <c r="I364" cm="1">
        <f t="array" ref="I364">IFERROR(IF(I349="Chemical",(10^(INDEX(Antoines,MATCH(I348,Antoine_Name,0),2)-INDEX(Antoines,MATCH(I348,Antoine_Name,0),3)/(INDEX(Antoines,MATCH(I348,Antoine_Name,0),4)+(I357-32)*5/9)))*14.7/760,IF(I349="Crude Oil",EXP((2799/(I357+459.6)-2.227)*LOG10(INDEX(FX_Input,V$5,I$3*$Z$5+$AA$5))-(7261/(I357+459.6))+12.82),IF(I349="Refined Petroleum Stock",EXP((0.7553-(413/(I357+459.6)))*(INDEX(FX_Input,V$5,I$3*$Z$5+$AA$5-1)^0.5)*LOG10(INDEX(FX_Input,V$5,I$3*$Z$5+$AA$5))-(1.854-(1042/(I357+459.6)))*(INDEX(FX_Input,V$5,I$3*$Z$5+$AA$5-1)^0.5)+((2416/(I357+459.6)-2.013)*LOG10(INDEX(FX_Input,V$5,I$3*$Z$5+$AA$5)))-(8742/(I357+459.6))+15.64),EXP(INDEX(Antoines,MATCH(I348,Antoine_Name,0),2)-INDEX(Antoines,MATCH(I348,Antoine_Name,0),3)/(I357+459.6))))),0)</f>
        <v>1</v>
      </c>
      <c r="J364" cm="1">
        <f t="array" ref="J364">IFERROR(IF(J349="Chemical",(10^(INDEX(Antoines,MATCH(J348,Antoine_Name,0),2)-INDEX(Antoines,MATCH(J348,Antoine_Name,0),3)/(INDEX(Antoines,MATCH(J348,Antoine_Name,0),4)+(J357-32)*5/9)))*14.7/760,IF(J349="Crude Oil",EXP((2799/(J357+459.6)-2.227)*LOG10(INDEX(FX_Input,W$5,J$3*$Z$5+$AA$5))-(7261/(J357+459.6))+12.82),IF(J349="Refined Petroleum Stock",EXP((0.7553-(413/(J357+459.6)))*(INDEX(FX_Input,W$5,J$3*$Z$5+$AA$5-1)^0.5)*LOG10(INDEX(FX_Input,W$5,J$3*$Z$5+$AA$5))-(1.854-(1042/(J357+459.6)))*(INDEX(FX_Input,W$5,J$3*$Z$5+$AA$5-1)^0.5)+((2416/(J357+459.6)-2.013)*LOG10(INDEX(FX_Input,W$5,J$3*$Z$5+$AA$5)))-(8742/(J357+459.6))+15.64),EXP(INDEX(Antoines,MATCH(J348,Antoine_Name,0),2)-INDEX(Antoines,MATCH(J348,Antoine_Name,0),3)/(J357+459.6))))),0)</f>
        <v>1</v>
      </c>
      <c r="K364" cm="1">
        <f t="array" ref="K364">IFERROR(IF(K349="Chemical",(10^(INDEX(Antoines,MATCH(K348,Antoine_Name,0),2)-INDEX(Antoines,MATCH(K348,Antoine_Name,0),3)/(INDEX(Antoines,MATCH(K348,Antoine_Name,0),4)+(K357-32)*5/9)))*14.7/760,IF(K349="Crude Oil",EXP((2799/(K357+459.6)-2.227)*LOG10(INDEX(FX_Input,X$5,K$3*$Z$5+$AA$5))-(7261/(K357+459.6))+12.82),IF(K349="Refined Petroleum Stock",EXP((0.7553-(413/(K357+459.6)))*(INDEX(FX_Input,X$5,K$3*$Z$5+$AA$5-1)^0.5)*LOG10(INDEX(FX_Input,X$5,K$3*$Z$5+$AA$5))-(1.854-(1042/(K357+459.6)))*(INDEX(FX_Input,X$5,K$3*$Z$5+$AA$5-1)^0.5)+((2416/(K357+459.6)-2.013)*LOG10(INDEX(FX_Input,X$5,K$3*$Z$5+$AA$5)))-(8742/(K357+459.6))+15.64),EXP(INDEX(Antoines,MATCH(K348,Antoine_Name,0),2)-INDEX(Antoines,MATCH(K348,Antoine_Name,0),3)/(K357+459.6))))),0)</f>
        <v>1</v>
      </c>
      <c r="L364" cm="1">
        <f t="array" ref="L364">IFERROR(IF(L349="Chemical",(10^(INDEX(Antoines,MATCH(L348,Antoine_Name,0),2)-INDEX(Antoines,MATCH(L348,Antoine_Name,0),3)/(INDEX(Antoines,MATCH(L348,Antoine_Name,0),4)+(L357-32)*5/9)))*14.7/760,IF(L349="Crude Oil",EXP((2799/(L357+459.6)-2.227)*LOG10(INDEX(FX_Input,Y$5,L$3*$Z$5+$AA$5))-(7261/(L357+459.6))+12.82),IF(L349="Refined Petroleum Stock",EXP((0.7553-(413/(L357+459.6)))*(INDEX(FX_Input,Y$5,L$3*$Z$5+$AA$5-1)^0.5)*LOG10(INDEX(FX_Input,Y$5,L$3*$Z$5+$AA$5))-(1.854-(1042/(L357+459.6)))*(INDEX(FX_Input,Y$5,L$3*$Z$5+$AA$5-1)^0.5)+((2416/(L357+459.6)-2.013)*LOG10(INDEX(FX_Input,Y$5,L$3*$Z$5+$AA$5)))-(8742/(L357+459.6))+15.64),EXP(INDEX(Antoines,MATCH(L348,Antoine_Name,0),2)-INDEX(Antoines,MATCH(L348,Antoine_Name,0),3)/(L357+459.6))))),0)</f>
        <v>1</v>
      </c>
      <c r="M364" cm="1">
        <f t="array" ref="M364">IFERROR(IF(M349="Chemical",(10^(INDEX(Antoines,MATCH(M348,Antoine_Name,0),2)-INDEX(Antoines,MATCH(M348,Antoine_Name,0),3)/(INDEX(Antoines,MATCH(M348,Antoine_Name,0),4)+(M357-32)*5/9)))*14.7/760,IF(M349="Crude Oil",EXP((2799/(M357+459.6)-2.227)*LOG10(INDEX(FX_Input,Z$5,M$3*$Z$5+$AA$5))-(7261/(M357+459.6))+12.82),IF(M349="Refined Petroleum Stock",EXP((0.7553-(413/(M357+459.6)))*(INDEX(FX_Input,Z$5,M$3*$Z$5+$AA$5-1)^0.5)*LOG10(INDEX(FX_Input,Z$5,M$3*$Z$5+$AA$5))-(1.854-(1042/(M357+459.6)))*(INDEX(FX_Input,Z$5,M$3*$Z$5+$AA$5-1)^0.5)+((2416/(M357+459.6)-2.013)*LOG10(INDEX(FX_Input,Z$5,M$3*$Z$5+$AA$5)))-(8742/(M357+459.6))+15.64),EXP(INDEX(Antoines,MATCH(M348,Antoine_Name,0),2)-INDEX(Antoines,MATCH(M348,Antoine_Name,0),3)/(M357+459.6))))),0)</f>
        <v>1</v>
      </c>
      <c r="N364" cm="1">
        <f t="array" ref="N364">IFERROR(IF(N349="Chemical",(10^(INDEX(Antoines,MATCH(N348,Antoine_Name,0),2)-INDEX(Antoines,MATCH(N348,Antoine_Name,0),3)/(INDEX(Antoines,MATCH(N348,Antoine_Name,0),4)+(N357-32)*5/9)))*14.7/760,IF(N349="Crude Oil",EXP((2799/(N357+459.6)-2.227)*LOG10(INDEX(FX_Input,AA$5,N$3*$Z$5+$AA$5))-(7261/(N357+459.6))+12.82),IF(N349="Refined Petroleum Stock",EXP((0.7553-(413/(N357+459.6)))*(INDEX(FX_Input,AA$5,N$3*$Z$5+$AA$5-1)^0.5)*LOG10(INDEX(FX_Input,AA$5,N$3*$Z$5+$AA$5))-(1.854-(1042/(N357+459.6)))*(INDEX(FX_Input,AA$5,N$3*$Z$5+$AA$5-1)^0.5)+((2416/(N357+459.6)-2.013)*LOG10(INDEX(FX_Input,AA$5,N$3*$Z$5+$AA$5)))-(8742/(N357+459.6))+15.64),EXP(INDEX(Antoines,MATCH(N348,Antoine_Name,0),2)-INDEX(Antoines,MATCH(N348,Antoine_Name,0),3)/(N357+459.6))))),0)</f>
        <v>1</v>
      </c>
      <c r="O364" cm="1">
        <f t="array" ref="O364">IFERROR(IF(O349="Chemical",(10^(INDEX(Antoines,MATCH(O348,Antoine_Name,0),2)-INDEX(Antoines,MATCH(O348,Antoine_Name,0),3)/(INDEX(Antoines,MATCH(O348,Antoine_Name,0),4)+(O357-32)*5/9)))*14.7/760,IF(O349="Crude Oil",EXP((2799/(O357+459.6)-2.227)*LOG10(INDEX(FX_Input,AB$5,O$3*$Z$5+$AA$5))-(7261/(O357+459.6))+12.82),IF(O349="Refined Petroleum Stock",EXP((0.7553-(413/(O357+459.6)))*(INDEX(FX_Input,AB$5,O$3*$Z$5+$AA$5-1)^0.5)*LOG10(INDEX(FX_Input,AB$5,O$3*$Z$5+$AA$5))-(1.854-(1042/(O357+459.6)))*(INDEX(FX_Input,AB$5,O$3*$Z$5+$AA$5-1)^0.5)+((2416/(O357+459.6)-2.013)*LOG10(INDEX(FX_Input,AB$5,O$3*$Z$5+$AA$5)))-(8742/(O357+459.6))+15.64),EXP(INDEX(Antoines,MATCH(O348,Antoine_Name,0),2)-INDEX(Antoines,MATCH(O348,Antoine_Name,0),3)/(O357+459.6))))),0)</f>
        <v>1</v>
      </c>
    </row>
    <row r="365" spans="2:32" ht="17.149999999999999" x14ac:dyDescent="0.55000000000000004">
      <c r="B365" t="str">
        <f t="shared" si="1172"/>
        <v>Portland</v>
      </c>
      <c r="C365" t="s">
        <v>580</v>
      </c>
      <c r="D365">
        <f>D364*D352</f>
        <v>1</v>
      </c>
      <c r="E365">
        <f t="shared" ref="E365" si="1206">E364*E352</f>
        <v>1</v>
      </c>
      <c r="F365">
        <f t="shared" ref="F365" si="1207">F364*F352</f>
        <v>1</v>
      </c>
      <c r="G365">
        <f t="shared" ref="G365" si="1208">G364*G352</f>
        <v>1</v>
      </c>
      <c r="H365">
        <f t="shared" ref="H365" si="1209">H364*H352</f>
        <v>1</v>
      </c>
      <c r="I365">
        <f t="shared" ref="I365" si="1210">I364*I352</f>
        <v>1</v>
      </c>
      <c r="J365">
        <f t="shared" ref="J365" si="1211">J364*J352</f>
        <v>1</v>
      </c>
      <c r="K365">
        <f t="shared" ref="K365" si="1212">K364*K352</f>
        <v>1</v>
      </c>
      <c r="L365">
        <f t="shared" ref="L365" si="1213">L364*L352</f>
        <v>1</v>
      </c>
      <c r="M365">
        <f t="shared" ref="M365" si="1214">M364*M352</f>
        <v>1</v>
      </c>
      <c r="N365">
        <f t="shared" ref="N365" si="1215">N364*N352</f>
        <v>1</v>
      </c>
      <c r="O365">
        <f t="shared" ref="O365" si="1216">O364*O352</f>
        <v>1</v>
      </c>
    </row>
    <row r="366" spans="2:32" ht="17.149999999999999" x14ac:dyDescent="0.55000000000000004">
      <c r="B366" t="str">
        <f t="shared" si="1172"/>
        <v>Portland</v>
      </c>
      <c r="C366" t="s">
        <v>581</v>
      </c>
      <c r="D366" cm="1">
        <f t="array" ref="D366">IFERROR(IF(D351="Chemical",(10^(INDEX(Antoines,MATCH(D350,Antoine_Name,0),2)-INDEX(Antoines,MATCH(D350,Antoine_Name,0),3)/(INDEX(Antoines,MATCH(D350,Antoine_Name,0),4)+(D357-32)*5/9)))*14.7/760,IF(D351="Crude Oil",EXP((2799/(D357+459.6)-2.227)*LOG10(INDEX(FX_Input,Q$5,D$3*$Z$5+$AA$5))-(7261/(D357+459.6))+12.82),IF(D351="Refined Petroleum Stock",EXP((0.7553-(413/(D357+459.6)))*(INDEX(FX_Input,Q$5,D$3*$Z$5+$AA$5-1)^0.5)*LOG10(INDEX(FX_Input,Q$5,D$3*$Z$5+$AA$5))-(1.854-(1042/(D357+459.6)))*(INDEX(FX_Input,Q$5,D$3*$Z$5+$AA$5-1)^0.5)+((2416/(D357+459.6)-2.013)*LOG10(INDEX(FX_Input,Q$5,D$3*$Z$5+$AA$5)))-(8742/(D357+459.6))+15.64),EXP(INDEX(Antoines,MATCH(D350,Antoine_Name,0),2)-INDEX(Antoines,MATCH(D350,Antoine_Name,0),3)/(D357+459.6))))),0)</f>
        <v>0</v>
      </c>
      <c r="E366" cm="1">
        <f t="array" ref="E366">IFERROR(IF(E351="Chemical",(10^(INDEX(Antoines,MATCH(E350,Antoine_Name,0),2)-INDEX(Antoines,MATCH(E350,Antoine_Name,0),3)/(INDEX(Antoines,MATCH(E350,Antoine_Name,0),4)+(E357-32)*5/9)))*14.7/760,IF(E351="Crude Oil",EXP((2799/(E357+459.6)-2.227)*LOG10(INDEX(FX_Input,R$5,E$3*$Z$5+$AA$5))-(7261/(E357+459.6))+12.82),IF(E351="Refined Petroleum Stock",EXP((0.7553-(413/(E357+459.6)))*(INDEX(FX_Input,R$5,E$3*$Z$5+$AA$5-1)^0.5)*LOG10(INDEX(FX_Input,R$5,E$3*$Z$5+$AA$5))-(1.854-(1042/(E357+459.6)))*(INDEX(FX_Input,R$5,E$3*$Z$5+$AA$5-1)^0.5)+((2416/(E357+459.6)-2.013)*LOG10(INDEX(FX_Input,R$5,E$3*$Z$5+$AA$5)))-(8742/(E357+459.6))+15.64),EXP(INDEX(Antoines,MATCH(E350,Antoine_Name,0),2)-INDEX(Antoines,MATCH(E350,Antoine_Name,0),3)/(E357+459.6))))),0)</f>
        <v>0</v>
      </c>
      <c r="F366" cm="1">
        <f t="array" ref="F366">IFERROR(IF(F351="Chemical",(10^(INDEX(Antoines,MATCH(F350,Antoine_Name,0),2)-INDEX(Antoines,MATCH(F350,Antoine_Name,0),3)/(INDEX(Antoines,MATCH(F350,Antoine_Name,0),4)+(F357-32)*5/9)))*14.7/760,IF(F351="Crude Oil",EXP((2799/(F357+459.6)-2.227)*LOG10(INDEX(FX_Input,S$5,F$3*$Z$5+$AA$5))-(7261/(F357+459.6))+12.82),IF(F351="Refined Petroleum Stock",EXP((0.7553-(413/(F357+459.6)))*(INDEX(FX_Input,S$5,F$3*$Z$5+$AA$5-1)^0.5)*LOG10(INDEX(FX_Input,S$5,F$3*$Z$5+$AA$5))-(1.854-(1042/(F357+459.6)))*(INDEX(FX_Input,S$5,F$3*$Z$5+$AA$5-1)^0.5)+((2416/(F357+459.6)-2.013)*LOG10(INDEX(FX_Input,S$5,F$3*$Z$5+$AA$5)))-(8742/(F357+459.6))+15.64),EXP(INDEX(Antoines,MATCH(F350,Antoine_Name,0),2)-INDEX(Antoines,MATCH(F350,Antoine_Name,0),3)/(F357+459.6))))),0)</f>
        <v>0</v>
      </c>
      <c r="G366" cm="1">
        <f t="array" ref="G366">IFERROR(IF(G351="Chemical",(10^(INDEX(Antoines,MATCH(G350,Antoine_Name,0),2)-INDEX(Antoines,MATCH(G350,Antoine_Name,0),3)/(INDEX(Antoines,MATCH(G350,Antoine_Name,0),4)+(G357-32)*5/9)))*14.7/760,IF(G351="Crude Oil",EXP((2799/(G357+459.6)-2.227)*LOG10(INDEX(FX_Input,T$5,G$3*$Z$5+$AA$5))-(7261/(G357+459.6))+12.82),IF(G351="Refined Petroleum Stock",EXP((0.7553-(413/(G357+459.6)))*(INDEX(FX_Input,T$5,G$3*$Z$5+$AA$5-1)^0.5)*LOG10(INDEX(FX_Input,T$5,G$3*$Z$5+$AA$5))-(1.854-(1042/(G357+459.6)))*(INDEX(FX_Input,T$5,G$3*$Z$5+$AA$5-1)^0.5)+((2416/(G357+459.6)-2.013)*LOG10(INDEX(FX_Input,T$5,G$3*$Z$5+$AA$5)))-(8742/(G357+459.6))+15.64),EXP(INDEX(Antoines,MATCH(G350,Antoine_Name,0),2)-INDEX(Antoines,MATCH(G350,Antoine_Name,0),3)/(G357+459.6))))),0)</f>
        <v>0</v>
      </c>
      <c r="H366" cm="1">
        <f t="array" ref="H366">IFERROR(IF(H351="Chemical",(10^(INDEX(Antoines,MATCH(H350,Antoine_Name,0),2)-INDEX(Antoines,MATCH(H350,Antoine_Name,0),3)/(INDEX(Antoines,MATCH(H350,Antoine_Name,0),4)+(H357-32)*5/9)))*14.7/760,IF(H351="Crude Oil",EXP((2799/(H357+459.6)-2.227)*LOG10(INDEX(FX_Input,U$5,H$3*$Z$5+$AA$5))-(7261/(H357+459.6))+12.82),IF(H351="Refined Petroleum Stock",EXP((0.7553-(413/(H357+459.6)))*(INDEX(FX_Input,U$5,H$3*$Z$5+$AA$5-1)^0.5)*LOG10(INDEX(FX_Input,U$5,H$3*$Z$5+$AA$5))-(1.854-(1042/(H357+459.6)))*(INDEX(FX_Input,U$5,H$3*$Z$5+$AA$5-1)^0.5)+((2416/(H357+459.6)-2.013)*LOG10(INDEX(FX_Input,U$5,H$3*$Z$5+$AA$5)))-(8742/(H357+459.6))+15.64),EXP(INDEX(Antoines,MATCH(H350,Antoine_Name,0),2)-INDEX(Antoines,MATCH(H350,Antoine_Name,0),3)/(H357+459.6))))),0)</f>
        <v>0</v>
      </c>
      <c r="I366" cm="1">
        <f t="array" ref="I366">IFERROR(IF(I351="Chemical",(10^(INDEX(Antoines,MATCH(I350,Antoine_Name,0),2)-INDEX(Antoines,MATCH(I350,Antoine_Name,0),3)/(INDEX(Antoines,MATCH(I350,Antoine_Name,0),4)+(I357-32)*5/9)))*14.7/760,IF(I351="Crude Oil",EXP((2799/(I357+459.6)-2.227)*LOG10(INDEX(FX_Input,V$5,I$3*$Z$5+$AA$5))-(7261/(I357+459.6))+12.82),IF(I351="Refined Petroleum Stock",EXP((0.7553-(413/(I357+459.6)))*(INDEX(FX_Input,V$5,I$3*$Z$5+$AA$5-1)^0.5)*LOG10(INDEX(FX_Input,V$5,I$3*$Z$5+$AA$5))-(1.854-(1042/(I357+459.6)))*(INDEX(FX_Input,V$5,I$3*$Z$5+$AA$5-1)^0.5)+((2416/(I357+459.6)-2.013)*LOG10(INDEX(FX_Input,V$5,I$3*$Z$5+$AA$5)))-(8742/(I357+459.6))+15.64),EXP(INDEX(Antoines,MATCH(I350,Antoine_Name,0),2)-INDEX(Antoines,MATCH(I350,Antoine_Name,0),3)/(I357+459.6))))),0)</f>
        <v>0</v>
      </c>
      <c r="J366" cm="1">
        <f t="array" ref="J366">IFERROR(IF(J351="Chemical",(10^(INDEX(Antoines,MATCH(J350,Antoine_Name,0),2)-INDEX(Antoines,MATCH(J350,Antoine_Name,0),3)/(INDEX(Antoines,MATCH(J350,Antoine_Name,0),4)+(J357-32)*5/9)))*14.7/760,IF(J351="Crude Oil",EXP((2799/(J357+459.6)-2.227)*LOG10(INDEX(FX_Input,W$5,J$3*$Z$5+$AA$5))-(7261/(J357+459.6))+12.82),IF(J351="Refined Petroleum Stock",EXP((0.7553-(413/(J357+459.6)))*(INDEX(FX_Input,W$5,J$3*$Z$5+$AA$5-1)^0.5)*LOG10(INDEX(FX_Input,W$5,J$3*$Z$5+$AA$5))-(1.854-(1042/(J357+459.6)))*(INDEX(FX_Input,W$5,J$3*$Z$5+$AA$5-1)^0.5)+((2416/(J357+459.6)-2.013)*LOG10(INDEX(FX_Input,W$5,J$3*$Z$5+$AA$5)))-(8742/(J357+459.6))+15.64),EXP(INDEX(Antoines,MATCH(J350,Antoine_Name,0),2)-INDEX(Antoines,MATCH(J350,Antoine_Name,0),3)/(J357+459.6))))),0)</f>
        <v>0</v>
      </c>
      <c r="K366" cm="1">
        <f t="array" ref="K366">IFERROR(IF(K351="Chemical",(10^(INDEX(Antoines,MATCH(K350,Antoine_Name,0),2)-INDEX(Antoines,MATCH(K350,Antoine_Name,0),3)/(INDEX(Antoines,MATCH(K350,Antoine_Name,0),4)+(K357-32)*5/9)))*14.7/760,IF(K351="Crude Oil",EXP((2799/(K357+459.6)-2.227)*LOG10(INDEX(FX_Input,X$5,K$3*$Z$5+$AA$5))-(7261/(K357+459.6))+12.82),IF(K351="Refined Petroleum Stock",EXP((0.7553-(413/(K357+459.6)))*(INDEX(FX_Input,X$5,K$3*$Z$5+$AA$5-1)^0.5)*LOG10(INDEX(FX_Input,X$5,K$3*$Z$5+$AA$5))-(1.854-(1042/(K357+459.6)))*(INDEX(FX_Input,X$5,K$3*$Z$5+$AA$5-1)^0.5)+((2416/(K357+459.6)-2.013)*LOG10(INDEX(FX_Input,X$5,K$3*$Z$5+$AA$5)))-(8742/(K357+459.6))+15.64),EXP(INDEX(Antoines,MATCH(K350,Antoine_Name,0),2)-INDEX(Antoines,MATCH(K350,Antoine_Name,0),3)/(K357+459.6))))),0)</f>
        <v>0</v>
      </c>
      <c r="L366" cm="1">
        <f t="array" ref="L366">IFERROR(IF(L351="Chemical",(10^(INDEX(Antoines,MATCH(L350,Antoine_Name,0),2)-INDEX(Antoines,MATCH(L350,Antoine_Name,0),3)/(INDEX(Antoines,MATCH(L350,Antoine_Name,0),4)+(L357-32)*5/9)))*14.7/760,IF(L351="Crude Oil",EXP((2799/(L357+459.6)-2.227)*LOG10(INDEX(FX_Input,Y$5,L$3*$Z$5+$AA$5))-(7261/(L357+459.6))+12.82),IF(L351="Refined Petroleum Stock",EXP((0.7553-(413/(L357+459.6)))*(INDEX(FX_Input,Y$5,L$3*$Z$5+$AA$5-1)^0.5)*LOG10(INDEX(FX_Input,Y$5,L$3*$Z$5+$AA$5))-(1.854-(1042/(L357+459.6)))*(INDEX(FX_Input,Y$5,L$3*$Z$5+$AA$5-1)^0.5)+((2416/(L357+459.6)-2.013)*LOG10(INDEX(FX_Input,Y$5,L$3*$Z$5+$AA$5)))-(8742/(L357+459.6))+15.64),EXP(INDEX(Antoines,MATCH(L350,Antoine_Name,0),2)-INDEX(Antoines,MATCH(L350,Antoine_Name,0),3)/(L357+459.6))))),0)</f>
        <v>0</v>
      </c>
      <c r="M366" cm="1">
        <f t="array" ref="M366">IFERROR(IF(M351="Chemical",(10^(INDEX(Antoines,MATCH(M350,Antoine_Name,0),2)-INDEX(Antoines,MATCH(M350,Antoine_Name,0),3)/(INDEX(Antoines,MATCH(M350,Antoine_Name,0),4)+(M357-32)*5/9)))*14.7/760,IF(M351="Crude Oil",EXP((2799/(M357+459.6)-2.227)*LOG10(INDEX(FX_Input,Z$5,M$3*$Z$5+$AA$5))-(7261/(M357+459.6))+12.82),IF(M351="Refined Petroleum Stock",EXP((0.7553-(413/(M357+459.6)))*(INDEX(FX_Input,Z$5,M$3*$Z$5+$AA$5-1)^0.5)*LOG10(INDEX(FX_Input,Z$5,M$3*$Z$5+$AA$5))-(1.854-(1042/(M357+459.6)))*(INDEX(FX_Input,Z$5,M$3*$Z$5+$AA$5-1)^0.5)+((2416/(M357+459.6)-2.013)*LOG10(INDEX(FX_Input,Z$5,M$3*$Z$5+$AA$5)))-(8742/(M357+459.6))+15.64),EXP(INDEX(Antoines,MATCH(M350,Antoine_Name,0),2)-INDEX(Antoines,MATCH(M350,Antoine_Name,0),3)/(M357+459.6))))),0)</f>
        <v>0</v>
      </c>
      <c r="N366" cm="1">
        <f t="array" ref="N366">IFERROR(IF(N351="Chemical",(10^(INDEX(Antoines,MATCH(N350,Antoine_Name,0),2)-INDEX(Antoines,MATCH(N350,Antoine_Name,0),3)/(INDEX(Antoines,MATCH(N350,Antoine_Name,0),4)+(N357-32)*5/9)))*14.7/760,IF(N351="Crude Oil",EXP((2799/(N357+459.6)-2.227)*LOG10(INDEX(FX_Input,AA$5,N$3*$Z$5+$AA$5))-(7261/(N357+459.6))+12.82),IF(N351="Refined Petroleum Stock",EXP((0.7553-(413/(N357+459.6)))*(INDEX(FX_Input,AA$5,N$3*$Z$5+$AA$5-1)^0.5)*LOG10(INDEX(FX_Input,AA$5,N$3*$Z$5+$AA$5))-(1.854-(1042/(N357+459.6)))*(INDEX(FX_Input,AA$5,N$3*$Z$5+$AA$5-1)^0.5)+((2416/(N357+459.6)-2.013)*LOG10(INDEX(FX_Input,AA$5,N$3*$Z$5+$AA$5)))-(8742/(N357+459.6))+15.64),EXP(INDEX(Antoines,MATCH(N350,Antoine_Name,0),2)-INDEX(Antoines,MATCH(N350,Antoine_Name,0),3)/(N357+459.6))))),0)</f>
        <v>0</v>
      </c>
      <c r="O366" cm="1">
        <f t="array" ref="O366">IFERROR(IF(O351="Chemical",(10^(INDEX(Antoines,MATCH(O350,Antoine_Name,0),2)-INDEX(Antoines,MATCH(O350,Antoine_Name,0),3)/(INDEX(Antoines,MATCH(O350,Antoine_Name,0),4)+(O357-32)*5/9)))*14.7/760,IF(O351="Crude Oil",EXP((2799/(O357+459.6)-2.227)*LOG10(INDEX(FX_Input,AB$5,O$3*$Z$5+$AA$5))-(7261/(O357+459.6))+12.82),IF(O351="Refined Petroleum Stock",EXP((0.7553-(413/(O357+459.6)))*(INDEX(FX_Input,AB$5,O$3*$Z$5+$AA$5-1)^0.5)*LOG10(INDEX(FX_Input,AB$5,O$3*$Z$5+$AA$5))-(1.854-(1042/(O357+459.6)))*(INDEX(FX_Input,AB$5,O$3*$Z$5+$AA$5-1)^0.5)+((2416/(O357+459.6)-2.013)*LOG10(INDEX(FX_Input,AB$5,O$3*$Z$5+$AA$5)))-(8742/(O357+459.6))+15.64),EXP(INDEX(Antoines,MATCH(O350,Antoine_Name,0),2)-INDEX(Antoines,MATCH(O350,Antoine_Name,0),3)/(O357+459.6))))),0)</f>
        <v>0</v>
      </c>
    </row>
    <row r="367" spans="2:32" ht="17.149999999999999" x14ac:dyDescent="0.55000000000000004">
      <c r="B367" t="str">
        <f t="shared" si="1172"/>
        <v>Portland</v>
      </c>
      <c r="C367" t="s">
        <v>582</v>
      </c>
      <c r="D367">
        <f>D366*D354</f>
        <v>0</v>
      </c>
      <c r="E367">
        <f t="shared" ref="E367" si="1217">E366*E354</f>
        <v>0</v>
      </c>
      <c r="F367">
        <f t="shared" ref="F367" si="1218">F366*F354</f>
        <v>0</v>
      </c>
      <c r="G367">
        <f t="shared" ref="G367" si="1219">G366*G354</f>
        <v>0</v>
      </c>
      <c r="H367">
        <f t="shared" ref="H367" si="1220">H366*H354</f>
        <v>0</v>
      </c>
      <c r="I367">
        <f t="shared" ref="I367" si="1221">I366*I354</f>
        <v>0</v>
      </c>
      <c r="J367">
        <f t="shared" ref="J367" si="1222">J366*J354</f>
        <v>0</v>
      </c>
      <c r="K367">
        <f t="shared" ref="K367" si="1223">K366*K354</f>
        <v>0</v>
      </c>
      <c r="L367">
        <f t="shared" ref="L367" si="1224">L366*L354</f>
        <v>0</v>
      </c>
      <c r="M367">
        <f t="shared" ref="M367" si="1225">M366*M354</f>
        <v>0</v>
      </c>
      <c r="N367">
        <f t="shared" ref="N367" si="1226">N366*N354</f>
        <v>0</v>
      </c>
      <c r="O367">
        <f t="shared" ref="O367" si="1227">O366*O354</f>
        <v>0</v>
      </c>
    </row>
    <row r="368" spans="2:32" ht="17.149999999999999" x14ac:dyDescent="0.55000000000000004">
      <c r="B368" t="str">
        <f t="shared" si="1172"/>
        <v>Portland</v>
      </c>
      <c r="C368" t="s">
        <v>583</v>
      </c>
      <c r="D368">
        <f>D365+D367</f>
        <v>1</v>
      </c>
      <c r="E368">
        <f t="shared" ref="E368" si="1228">E365+E367</f>
        <v>1</v>
      </c>
      <c r="F368">
        <f t="shared" ref="F368" si="1229">F365+F367</f>
        <v>1</v>
      </c>
      <c r="G368">
        <f t="shared" ref="G368" si="1230">G365+G367</f>
        <v>1</v>
      </c>
      <c r="H368">
        <f t="shared" ref="H368" si="1231">H365+H367</f>
        <v>1</v>
      </c>
      <c r="I368">
        <f t="shared" ref="I368" si="1232">I365+I367</f>
        <v>1</v>
      </c>
      <c r="J368">
        <f t="shared" ref="J368" si="1233">J365+J367</f>
        <v>1</v>
      </c>
      <c r="K368">
        <f t="shared" ref="K368" si="1234">K365+K367</f>
        <v>1</v>
      </c>
      <c r="L368">
        <f t="shared" ref="L368" si="1235">L365+L367</f>
        <v>1</v>
      </c>
      <c r="M368">
        <f t="shared" ref="M368" si="1236">M365+M367</f>
        <v>1</v>
      </c>
      <c r="N368">
        <f t="shared" ref="N368" si="1237">N365+N367</f>
        <v>1</v>
      </c>
      <c r="O368">
        <f t="shared" ref="O368" si="1238">O365+O367</f>
        <v>1</v>
      </c>
    </row>
    <row r="369" spans="1:32" ht="17.149999999999999" x14ac:dyDescent="0.55000000000000004">
      <c r="B369" t="str">
        <f t="shared" si="1172"/>
        <v>Portland</v>
      </c>
      <c r="C369" t="s">
        <v>1388</v>
      </c>
      <c r="D369" cm="1">
        <f t="array" ref="D369">IFERROR(IF(D349="Chemical",(10^(INDEX(Antoines,MATCH(D348,Antoine_Name,0),2)-INDEX(Antoines,MATCH(D348,Antoine_Name,0),3)/(INDEX(Antoines,MATCH(D348,Antoine_Name,0),4)+(D358-32)*5/9)))*14.7/760,IF(D349="Crude Oil",EXP((2799/(D358+459.6)-2.227)*LOG10(INDEX(FX_Input,Q$5,D$3*$Z$5+$AA$5))-(7261/(D358+459.6))+12.82),IF(D349="Refined Petroleum Stock",EXP((0.7553-(413/(D358+459.6)))*(INDEX(FX_Input,Q$5,D$3*$Z$5+$AA$5-1)^0.5)*LOG10(INDEX(FX_Input,Q$5,D$3*$Z$5+$AA$5))-(1.854-(1042/(D358+459.6)))*(INDEX(FX_Input,Q$5,D$3*$Z$5+$AA$5-1)^0.5)+((2416/(D358+459.6)-2.013)*LOG10(INDEX(FX_Input,Q$5,D$3*$Z$5+$AA$5)))-(8742/(D358+459.6))+15.64),EXP(INDEX(Antoines,MATCH(D348,Antoine_Name,0),2)-INDEX(Antoines,MATCH(D348,Antoine_Name,0),3)/(D358+459.6))))),0)</f>
        <v>1</v>
      </c>
      <c r="E369" cm="1">
        <f t="array" ref="E369">IFERROR(IF(E349="Chemical",(10^(INDEX(Antoines,MATCH(E348,Antoine_Name,0),2)-INDEX(Antoines,MATCH(E348,Antoine_Name,0),3)/(INDEX(Antoines,MATCH(E348,Antoine_Name,0),4)+(E358-32)*5/9)))*14.7/760,IF(E349="Crude Oil",EXP((2799/(E358+459.6)-2.227)*LOG10(INDEX(FX_Input,R$5,E$3*$Z$5+$AA$5))-(7261/(E358+459.6))+12.82),IF(E349="Refined Petroleum Stock",EXP((0.7553-(413/(E358+459.6)))*(INDEX(FX_Input,R$5,E$3*$Z$5+$AA$5-1)^0.5)*LOG10(INDEX(FX_Input,R$5,E$3*$Z$5+$AA$5))-(1.854-(1042/(E358+459.6)))*(INDEX(FX_Input,R$5,E$3*$Z$5+$AA$5-1)^0.5)+((2416/(E358+459.6)-2.013)*LOG10(INDEX(FX_Input,R$5,E$3*$Z$5+$AA$5)))-(8742/(E358+459.6))+15.64),EXP(INDEX(Antoines,MATCH(E348,Antoine_Name,0),2)-INDEX(Antoines,MATCH(E348,Antoine_Name,0),3)/(E358+459.6))))),0)</f>
        <v>1</v>
      </c>
      <c r="F369" cm="1">
        <f t="array" ref="F369">IFERROR(IF(F349="Chemical",(10^(INDEX(Antoines,MATCH(F348,Antoine_Name,0),2)-INDEX(Antoines,MATCH(F348,Antoine_Name,0),3)/(INDEX(Antoines,MATCH(F348,Antoine_Name,0),4)+(F358-32)*5/9)))*14.7/760,IF(F349="Crude Oil",EXP((2799/(F358+459.6)-2.227)*LOG10(INDEX(FX_Input,S$5,F$3*$Z$5+$AA$5))-(7261/(F358+459.6))+12.82),IF(F349="Refined Petroleum Stock",EXP((0.7553-(413/(F358+459.6)))*(INDEX(FX_Input,S$5,F$3*$Z$5+$AA$5-1)^0.5)*LOG10(INDEX(FX_Input,S$5,F$3*$Z$5+$AA$5))-(1.854-(1042/(F358+459.6)))*(INDEX(FX_Input,S$5,F$3*$Z$5+$AA$5-1)^0.5)+((2416/(F358+459.6)-2.013)*LOG10(INDEX(FX_Input,S$5,F$3*$Z$5+$AA$5)))-(8742/(F358+459.6))+15.64),EXP(INDEX(Antoines,MATCH(F348,Antoine_Name,0),2)-INDEX(Antoines,MATCH(F348,Antoine_Name,0),3)/(F358+459.6))))),0)</f>
        <v>1</v>
      </c>
      <c r="G369" cm="1">
        <f t="array" ref="G369">IFERROR(IF(G349="Chemical",(10^(INDEX(Antoines,MATCH(G348,Antoine_Name,0),2)-INDEX(Antoines,MATCH(G348,Antoine_Name,0),3)/(INDEX(Antoines,MATCH(G348,Antoine_Name,0),4)+(G358-32)*5/9)))*14.7/760,IF(G349="Crude Oil",EXP((2799/(G358+459.6)-2.227)*LOG10(INDEX(FX_Input,T$5,G$3*$Z$5+$AA$5))-(7261/(G358+459.6))+12.82),IF(G349="Refined Petroleum Stock",EXP((0.7553-(413/(G358+459.6)))*(INDEX(FX_Input,T$5,G$3*$Z$5+$AA$5-1)^0.5)*LOG10(INDEX(FX_Input,T$5,G$3*$Z$5+$AA$5))-(1.854-(1042/(G358+459.6)))*(INDEX(FX_Input,T$5,G$3*$Z$5+$AA$5-1)^0.5)+((2416/(G358+459.6)-2.013)*LOG10(INDEX(FX_Input,T$5,G$3*$Z$5+$AA$5)))-(8742/(G358+459.6))+15.64),EXP(INDEX(Antoines,MATCH(G348,Antoine_Name,0),2)-INDEX(Antoines,MATCH(G348,Antoine_Name,0),3)/(G358+459.6))))),0)</f>
        <v>1</v>
      </c>
      <c r="H369" cm="1">
        <f t="array" ref="H369">IFERROR(IF(H349="Chemical",(10^(INDEX(Antoines,MATCH(H348,Antoine_Name,0),2)-INDEX(Antoines,MATCH(H348,Antoine_Name,0),3)/(INDEX(Antoines,MATCH(H348,Antoine_Name,0),4)+(H358-32)*5/9)))*14.7/760,IF(H349="Crude Oil",EXP((2799/(H358+459.6)-2.227)*LOG10(INDEX(FX_Input,U$5,H$3*$Z$5+$AA$5))-(7261/(H358+459.6))+12.82),IF(H349="Refined Petroleum Stock",EXP((0.7553-(413/(H358+459.6)))*(INDEX(FX_Input,U$5,H$3*$Z$5+$AA$5-1)^0.5)*LOG10(INDEX(FX_Input,U$5,H$3*$Z$5+$AA$5))-(1.854-(1042/(H358+459.6)))*(INDEX(FX_Input,U$5,H$3*$Z$5+$AA$5-1)^0.5)+((2416/(H358+459.6)-2.013)*LOG10(INDEX(FX_Input,U$5,H$3*$Z$5+$AA$5)))-(8742/(H358+459.6))+15.64),EXP(INDEX(Antoines,MATCH(H348,Antoine_Name,0),2)-INDEX(Antoines,MATCH(H348,Antoine_Name,0),3)/(H358+459.6))))),0)</f>
        <v>1</v>
      </c>
      <c r="I369" cm="1">
        <f t="array" ref="I369">IFERROR(IF(I349="Chemical",(10^(INDEX(Antoines,MATCH(I348,Antoine_Name,0),2)-INDEX(Antoines,MATCH(I348,Antoine_Name,0),3)/(INDEX(Antoines,MATCH(I348,Antoine_Name,0),4)+(I358-32)*5/9)))*14.7/760,IF(I349="Crude Oil",EXP((2799/(I358+459.6)-2.227)*LOG10(INDEX(FX_Input,V$5,I$3*$Z$5+$AA$5))-(7261/(I358+459.6))+12.82),IF(I349="Refined Petroleum Stock",EXP((0.7553-(413/(I358+459.6)))*(INDEX(FX_Input,V$5,I$3*$Z$5+$AA$5-1)^0.5)*LOG10(INDEX(FX_Input,V$5,I$3*$Z$5+$AA$5))-(1.854-(1042/(I358+459.6)))*(INDEX(FX_Input,V$5,I$3*$Z$5+$AA$5-1)^0.5)+((2416/(I358+459.6)-2.013)*LOG10(INDEX(FX_Input,V$5,I$3*$Z$5+$AA$5)))-(8742/(I358+459.6))+15.64),EXP(INDEX(Antoines,MATCH(I348,Antoine_Name,0),2)-INDEX(Antoines,MATCH(I348,Antoine_Name,0),3)/(I358+459.6))))),0)</f>
        <v>1</v>
      </c>
      <c r="J369" cm="1">
        <f t="array" ref="J369">IFERROR(IF(J349="Chemical",(10^(INDEX(Antoines,MATCH(J348,Antoine_Name,0),2)-INDEX(Antoines,MATCH(J348,Antoine_Name,0),3)/(INDEX(Antoines,MATCH(J348,Antoine_Name,0),4)+(J358-32)*5/9)))*14.7/760,IF(J349="Crude Oil",EXP((2799/(J358+459.6)-2.227)*LOG10(INDEX(FX_Input,W$5,J$3*$Z$5+$AA$5))-(7261/(J358+459.6))+12.82),IF(J349="Refined Petroleum Stock",EXP((0.7553-(413/(J358+459.6)))*(INDEX(FX_Input,W$5,J$3*$Z$5+$AA$5-1)^0.5)*LOG10(INDEX(FX_Input,W$5,J$3*$Z$5+$AA$5))-(1.854-(1042/(J358+459.6)))*(INDEX(FX_Input,W$5,J$3*$Z$5+$AA$5-1)^0.5)+((2416/(J358+459.6)-2.013)*LOG10(INDEX(FX_Input,W$5,J$3*$Z$5+$AA$5)))-(8742/(J358+459.6))+15.64),EXP(INDEX(Antoines,MATCH(J348,Antoine_Name,0),2)-INDEX(Antoines,MATCH(J348,Antoine_Name,0),3)/(J358+459.6))))),0)</f>
        <v>1</v>
      </c>
      <c r="K369" cm="1">
        <f t="array" ref="K369">IFERROR(IF(K349="Chemical",(10^(INDEX(Antoines,MATCH(K348,Antoine_Name,0),2)-INDEX(Antoines,MATCH(K348,Antoine_Name,0),3)/(INDEX(Antoines,MATCH(K348,Antoine_Name,0),4)+(K358-32)*5/9)))*14.7/760,IF(K349="Crude Oil",EXP((2799/(K358+459.6)-2.227)*LOG10(INDEX(FX_Input,X$5,K$3*$Z$5+$AA$5))-(7261/(K358+459.6))+12.82),IF(K349="Refined Petroleum Stock",EXP((0.7553-(413/(K358+459.6)))*(INDEX(FX_Input,X$5,K$3*$Z$5+$AA$5-1)^0.5)*LOG10(INDEX(FX_Input,X$5,K$3*$Z$5+$AA$5))-(1.854-(1042/(K358+459.6)))*(INDEX(FX_Input,X$5,K$3*$Z$5+$AA$5-1)^0.5)+((2416/(K358+459.6)-2.013)*LOG10(INDEX(FX_Input,X$5,K$3*$Z$5+$AA$5)))-(8742/(K358+459.6))+15.64),EXP(INDEX(Antoines,MATCH(K348,Antoine_Name,0),2)-INDEX(Antoines,MATCH(K348,Antoine_Name,0),3)/(K358+459.6))))),0)</f>
        <v>1</v>
      </c>
      <c r="L369" cm="1">
        <f t="array" ref="L369">IFERROR(IF(L349="Chemical",(10^(INDEX(Antoines,MATCH(L348,Antoine_Name,0),2)-INDEX(Antoines,MATCH(L348,Antoine_Name,0),3)/(INDEX(Antoines,MATCH(L348,Antoine_Name,0),4)+(L358-32)*5/9)))*14.7/760,IF(L349="Crude Oil",EXP((2799/(L358+459.6)-2.227)*LOG10(INDEX(FX_Input,Y$5,L$3*$Z$5+$AA$5))-(7261/(L358+459.6))+12.82),IF(L349="Refined Petroleum Stock",EXP((0.7553-(413/(L358+459.6)))*(INDEX(FX_Input,Y$5,L$3*$Z$5+$AA$5-1)^0.5)*LOG10(INDEX(FX_Input,Y$5,L$3*$Z$5+$AA$5))-(1.854-(1042/(L358+459.6)))*(INDEX(FX_Input,Y$5,L$3*$Z$5+$AA$5-1)^0.5)+((2416/(L358+459.6)-2.013)*LOG10(INDEX(FX_Input,Y$5,L$3*$Z$5+$AA$5)))-(8742/(L358+459.6))+15.64),EXP(INDEX(Antoines,MATCH(L348,Antoine_Name,0),2)-INDEX(Antoines,MATCH(L348,Antoine_Name,0),3)/(L358+459.6))))),0)</f>
        <v>1</v>
      </c>
      <c r="M369" cm="1">
        <f t="array" ref="M369">IFERROR(IF(M349="Chemical",(10^(INDEX(Antoines,MATCH(M348,Antoine_Name,0),2)-INDEX(Antoines,MATCH(M348,Antoine_Name,0),3)/(INDEX(Antoines,MATCH(M348,Antoine_Name,0),4)+(M358-32)*5/9)))*14.7/760,IF(M349="Crude Oil",EXP((2799/(M358+459.6)-2.227)*LOG10(INDEX(FX_Input,Z$5,M$3*$Z$5+$AA$5))-(7261/(M358+459.6))+12.82),IF(M349="Refined Petroleum Stock",EXP((0.7553-(413/(M358+459.6)))*(INDEX(FX_Input,Z$5,M$3*$Z$5+$AA$5-1)^0.5)*LOG10(INDEX(FX_Input,Z$5,M$3*$Z$5+$AA$5))-(1.854-(1042/(M358+459.6)))*(INDEX(FX_Input,Z$5,M$3*$Z$5+$AA$5-1)^0.5)+((2416/(M358+459.6)-2.013)*LOG10(INDEX(FX_Input,Z$5,M$3*$Z$5+$AA$5)))-(8742/(M358+459.6))+15.64),EXP(INDEX(Antoines,MATCH(M348,Antoine_Name,0),2)-INDEX(Antoines,MATCH(M348,Antoine_Name,0),3)/(M358+459.6))))),0)</f>
        <v>1</v>
      </c>
      <c r="N369" cm="1">
        <f t="array" ref="N369">IFERROR(IF(N349="Chemical",(10^(INDEX(Antoines,MATCH(N348,Antoine_Name,0),2)-INDEX(Antoines,MATCH(N348,Antoine_Name,0),3)/(INDEX(Antoines,MATCH(N348,Antoine_Name,0),4)+(N358-32)*5/9)))*14.7/760,IF(N349="Crude Oil",EXP((2799/(N358+459.6)-2.227)*LOG10(INDEX(FX_Input,AA$5,N$3*$Z$5+$AA$5))-(7261/(N358+459.6))+12.82),IF(N349="Refined Petroleum Stock",EXP((0.7553-(413/(N358+459.6)))*(INDEX(FX_Input,AA$5,N$3*$Z$5+$AA$5-1)^0.5)*LOG10(INDEX(FX_Input,AA$5,N$3*$Z$5+$AA$5))-(1.854-(1042/(N358+459.6)))*(INDEX(FX_Input,AA$5,N$3*$Z$5+$AA$5-1)^0.5)+((2416/(N358+459.6)-2.013)*LOG10(INDEX(FX_Input,AA$5,N$3*$Z$5+$AA$5)))-(8742/(N358+459.6))+15.64),EXP(INDEX(Antoines,MATCH(N348,Antoine_Name,0),2)-INDEX(Antoines,MATCH(N348,Antoine_Name,0),3)/(N358+459.6))))),0)</f>
        <v>1</v>
      </c>
      <c r="O369" cm="1">
        <f t="array" ref="O369">IFERROR(IF(O349="Chemical",(10^(INDEX(Antoines,MATCH(O348,Antoine_Name,0),2)-INDEX(Antoines,MATCH(O348,Antoine_Name,0),3)/(INDEX(Antoines,MATCH(O348,Antoine_Name,0),4)+(O358-32)*5/9)))*14.7/760,IF(O349="Crude Oil",EXP((2799/(O358+459.6)-2.227)*LOG10(INDEX(FX_Input,AB$5,O$3*$Z$5+$AA$5))-(7261/(O358+459.6))+12.82),IF(O349="Refined Petroleum Stock",EXP((0.7553-(413/(O358+459.6)))*(INDEX(FX_Input,AB$5,O$3*$Z$5+$AA$5-1)^0.5)*LOG10(INDEX(FX_Input,AB$5,O$3*$Z$5+$AA$5))-(1.854-(1042/(O358+459.6)))*(INDEX(FX_Input,AB$5,O$3*$Z$5+$AA$5-1)^0.5)+((2416/(O358+459.6)-2.013)*LOG10(INDEX(FX_Input,AB$5,O$3*$Z$5+$AA$5)))-(8742/(O358+459.6))+15.64),EXP(INDEX(Antoines,MATCH(O348,Antoine_Name,0),2)-INDEX(Antoines,MATCH(O348,Antoine_Name,0),3)/(O358+459.6))))),0)</f>
        <v>1</v>
      </c>
    </row>
    <row r="370" spans="1:32" ht="17.149999999999999" x14ac:dyDescent="0.55000000000000004">
      <c r="B370" t="str">
        <f t="shared" si="1172"/>
        <v>Portland</v>
      </c>
      <c r="C370" t="s">
        <v>1389</v>
      </c>
      <c r="D370">
        <f>D369*D352</f>
        <v>1</v>
      </c>
      <c r="E370">
        <f t="shared" ref="E370" si="1239">E369*E352</f>
        <v>1</v>
      </c>
      <c r="F370">
        <f t="shared" ref="F370" si="1240">F369*F352</f>
        <v>1</v>
      </c>
      <c r="G370">
        <f t="shared" ref="G370" si="1241">G369*G352</f>
        <v>1</v>
      </c>
      <c r="H370">
        <f t="shared" ref="H370" si="1242">H369*H352</f>
        <v>1</v>
      </c>
      <c r="I370">
        <f t="shared" ref="I370" si="1243">I369*I352</f>
        <v>1</v>
      </c>
      <c r="J370">
        <f t="shared" ref="J370" si="1244">J369*J352</f>
        <v>1</v>
      </c>
      <c r="K370">
        <f t="shared" ref="K370" si="1245">K369*K352</f>
        <v>1</v>
      </c>
      <c r="L370">
        <f t="shared" ref="L370" si="1246">L369*L352</f>
        <v>1</v>
      </c>
      <c r="M370">
        <f t="shared" ref="M370" si="1247">M369*M352</f>
        <v>1</v>
      </c>
      <c r="N370">
        <f t="shared" ref="N370" si="1248">N369*N352</f>
        <v>1</v>
      </c>
      <c r="O370">
        <f t="shared" ref="O370" si="1249">O369*O352</f>
        <v>1</v>
      </c>
    </row>
    <row r="371" spans="1:32" ht="17.149999999999999" x14ac:dyDescent="0.55000000000000004">
      <c r="B371" t="str">
        <f t="shared" si="1172"/>
        <v>Portland</v>
      </c>
      <c r="C371" t="s">
        <v>1390</v>
      </c>
      <c r="D371" cm="1">
        <f t="array" ref="D371">IFERROR(IF(D351="Chemical",(10^(INDEX(Antoines,MATCH(D350,Antoine_Name,0),2)-INDEX(Antoines,MATCH(D350,Antoine_Name,0),3)/(INDEX(Antoines,MATCH(D350,Antoine_Name,0),4)+(D358-32)*5/9)))*14.7/760,IF(D351="Crude Oil",EXP((2799/(D358+459.6)-2.227)*LOG10(INDEX(FX_Input,Q$5,D$3*$Z$5+$AA$5))-(7261/(D358+459.6))+12.82),IF(D351="Refined Petroleum Stock",EXP((0.7553-(413/(D358+459.6)))*(INDEX(FX_Input,Q$5,D$3*$Z$5+$AA$5-1)^0.5)*LOG10(INDEX(FX_Input,Q$5,D$3*$Z$5+$AA$5))-(1.854-(1042/(D358+459.6)))*(INDEX(FX_Input,Q$5,D$3*$Z$5+$AA$5-1)^0.5)+((2416/(D358+459.6)-2.013)*LOG10(INDEX(FX_Input,Q$5,D$3*$Z$5+$AA$5)))-(8742/(D358+459.6))+15.64),EXP(INDEX(Antoines,MATCH(D350,Antoine_Name,0),2)-INDEX(Antoines,MATCH(D350,Antoine_Name,0),3)/(D358+459.6))))),0)</f>
        <v>0</v>
      </c>
      <c r="E371" cm="1">
        <f t="array" ref="E371">IFERROR(IF(E351="Chemical",(10^(INDEX(Antoines,MATCH(E350,Antoine_Name,0),2)-INDEX(Antoines,MATCH(E350,Antoine_Name,0),3)/(INDEX(Antoines,MATCH(E350,Antoine_Name,0),4)+(E358-32)*5/9)))*14.7/760,IF(E351="Crude Oil",EXP((2799/(E358+459.6)-2.227)*LOG10(INDEX(FX_Input,R$5,E$3*$Z$5+$AA$5))-(7261/(E358+459.6))+12.82),IF(E351="Refined Petroleum Stock",EXP((0.7553-(413/(E358+459.6)))*(INDEX(FX_Input,R$5,E$3*$Z$5+$AA$5-1)^0.5)*LOG10(INDEX(FX_Input,R$5,E$3*$Z$5+$AA$5))-(1.854-(1042/(E358+459.6)))*(INDEX(FX_Input,R$5,E$3*$Z$5+$AA$5-1)^0.5)+((2416/(E358+459.6)-2.013)*LOG10(INDEX(FX_Input,R$5,E$3*$Z$5+$AA$5)))-(8742/(E358+459.6))+15.64),EXP(INDEX(Antoines,MATCH(E350,Antoine_Name,0),2)-INDEX(Antoines,MATCH(E350,Antoine_Name,0),3)/(E358+459.6))))),0)</f>
        <v>0</v>
      </c>
      <c r="F371" cm="1">
        <f t="array" ref="F371">IFERROR(IF(F351="Chemical",(10^(INDEX(Antoines,MATCH(F350,Antoine_Name,0),2)-INDEX(Antoines,MATCH(F350,Antoine_Name,0),3)/(INDEX(Antoines,MATCH(F350,Antoine_Name,0),4)+(F358-32)*5/9)))*14.7/760,IF(F351="Crude Oil",EXP((2799/(F358+459.6)-2.227)*LOG10(INDEX(FX_Input,S$5,F$3*$Z$5+$AA$5))-(7261/(F358+459.6))+12.82),IF(F351="Refined Petroleum Stock",EXP((0.7553-(413/(F358+459.6)))*(INDEX(FX_Input,S$5,F$3*$Z$5+$AA$5-1)^0.5)*LOG10(INDEX(FX_Input,S$5,F$3*$Z$5+$AA$5))-(1.854-(1042/(F358+459.6)))*(INDEX(FX_Input,S$5,F$3*$Z$5+$AA$5-1)^0.5)+((2416/(F358+459.6)-2.013)*LOG10(INDEX(FX_Input,S$5,F$3*$Z$5+$AA$5)))-(8742/(F358+459.6))+15.64),EXP(INDEX(Antoines,MATCH(F350,Antoine_Name,0),2)-INDEX(Antoines,MATCH(F350,Antoine_Name,0),3)/(F358+459.6))))),0)</f>
        <v>0</v>
      </c>
      <c r="G371" cm="1">
        <f t="array" ref="G371">IFERROR(IF(G351="Chemical",(10^(INDEX(Antoines,MATCH(G350,Antoine_Name,0),2)-INDEX(Antoines,MATCH(G350,Antoine_Name,0),3)/(INDEX(Antoines,MATCH(G350,Antoine_Name,0),4)+(G358-32)*5/9)))*14.7/760,IF(G351="Crude Oil",EXP((2799/(G358+459.6)-2.227)*LOG10(INDEX(FX_Input,T$5,G$3*$Z$5+$AA$5))-(7261/(G358+459.6))+12.82),IF(G351="Refined Petroleum Stock",EXP((0.7553-(413/(G358+459.6)))*(INDEX(FX_Input,T$5,G$3*$Z$5+$AA$5-1)^0.5)*LOG10(INDEX(FX_Input,T$5,G$3*$Z$5+$AA$5))-(1.854-(1042/(G358+459.6)))*(INDEX(FX_Input,T$5,G$3*$Z$5+$AA$5-1)^0.5)+((2416/(G358+459.6)-2.013)*LOG10(INDEX(FX_Input,T$5,G$3*$Z$5+$AA$5)))-(8742/(G358+459.6))+15.64),EXP(INDEX(Antoines,MATCH(G350,Antoine_Name,0),2)-INDEX(Antoines,MATCH(G350,Antoine_Name,0),3)/(G358+459.6))))),0)</f>
        <v>0</v>
      </c>
      <c r="H371" cm="1">
        <f t="array" ref="H371">IFERROR(IF(H351="Chemical",(10^(INDEX(Antoines,MATCH(H350,Antoine_Name,0),2)-INDEX(Antoines,MATCH(H350,Antoine_Name,0),3)/(INDEX(Antoines,MATCH(H350,Antoine_Name,0),4)+(H358-32)*5/9)))*14.7/760,IF(H351="Crude Oil",EXP((2799/(H358+459.6)-2.227)*LOG10(INDEX(FX_Input,U$5,H$3*$Z$5+$AA$5))-(7261/(H358+459.6))+12.82),IF(H351="Refined Petroleum Stock",EXP((0.7553-(413/(H358+459.6)))*(INDEX(FX_Input,U$5,H$3*$Z$5+$AA$5-1)^0.5)*LOG10(INDEX(FX_Input,U$5,H$3*$Z$5+$AA$5))-(1.854-(1042/(H358+459.6)))*(INDEX(FX_Input,U$5,H$3*$Z$5+$AA$5-1)^0.5)+((2416/(H358+459.6)-2.013)*LOG10(INDEX(FX_Input,U$5,H$3*$Z$5+$AA$5)))-(8742/(H358+459.6))+15.64),EXP(INDEX(Antoines,MATCH(H350,Antoine_Name,0),2)-INDEX(Antoines,MATCH(H350,Antoine_Name,0),3)/(H358+459.6))))),0)</f>
        <v>0</v>
      </c>
      <c r="I371" cm="1">
        <f t="array" ref="I371">IFERROR(IF(I351="Chemical",(10^(INDEX(Antoines,MATCH(I350,Antoine_Name,0),2)-INDEX(Antoines,MATCH(I350,Antoine_Name,0),3)/(INDEX(Antoines,MATCH(I350,Antoine_Name,0),4)+(I358-32)*5/9)))*14.7/760,IF(I351="Crude Oil",EXP((2799/(I358+459.6)-2.227)*LOG10(INDEX(FX_Input,V$5,I$3*$Z$5+$AA$5))-(7261/(I358+459.6))+12.82),IF(I351="Refined Petroleum Stock",EXP((0.7553-(413/(I358+459.6)))*(INDEX(FX_Input,V$5,I$3*$Z$5+$AA$5-1)^0.5)*LOG10(INDEX(FX_Input,V$5,I$3*$Z$5+$AA$5))-(1.854-(1042/(I358+459.6)))*(INDEX(FX_Input,V$5,I$3*$Z$5+$AA$5-1)^0.5)+((2416/(I358+459.6)-2.013)*LOG10(INDEX(FX_Input,V$5,I$3*$Z$5+$AA$5)))-(8742/(I358+459.6))+15.64),EXP(INDEX(Antoines,MATCH(I350,Antoine_Name,0),2)-INDEX(Antoines,MATCH(I350,Antoine_Name,0),3)/(I358+459.6))))),0)</f>
        <v>0</v>
      </c>
      <c r="J371" cm="1">
        <f t="array" ref="J371">IFERROR(IF(J351="Chemical",(10^(INDEX(Antoines,MATCH(J350,Antoine_Name,0),2)-INDEX(Antoines,MATCH(J350,Antoine_Name,0),3)/(INDEX(Antoines,MATCH(J350,Antoine_Name,0),4)+(J358-32)*5/9)))*14.7/760,IF(J351="Crude Oil",EXP((2799/(J358+459.6)-2.227)*LOG10(INDEX(FX_Input,W$5,J$3*$Z$5+$AA$5))-(7261/(J358+459.6))+12.82),IF(J351="Refined Petroleum Stock",EXP((0.7553-(413/(J358+459.6)))*(INDEX(FX_Input,W$5,J$3*$Z$5+$AA$5-1)^0.5)*LOG10(INDEX(FX_Input,W$5,J$3*$Z$5+$AA$5))-(1.854-(1042/(J358+459.6)))*(INDEX(FX_Input,W$5,J$3*$Z$5+$AA$5-1)^0.5)+((2416/(J358+459.6)-2.013)*LOG10(INDEX(FX_Input,W$5,J$3*$Z$5+$AA$5)))-(8742/(J358+459.6))+15.64),EXP(INDEX(Antoines,MATCH(J350,Antoine_Name,0),2)-INDEX(Antoines,MATCH(J350,Antoine_Name,0),3)/(J358+459.6))))),0)</f>
        <v>0</v>
      </c>
      <c r="K371" cm="1">
        <f t="array" ref="K371">IFERROR(IF(K351="Chemical",(10^(INDEX(Antoines,MATCH(K350,Antoine_Name,0),2)-INDEX(Antoines,MATCH(K350,Antoine_Name,0),3)/(INDEX(Antoines,MATCH(K350,Antoine_Name,0),4)+(K358-32)*5/9)))*14.7/760,IF(K351="Crude Oil",EXP((2799/(K358+459.6)-2.227)*LOG10(INDEX(FX_Input,X$5,K$3*$Z$5+$AA$5))-(7261/(K358+459.6))+12.82),IF(K351="Refined Petroleum Stock",EXP((0.7553-(413/(K358+459.6)))*(INDEX(FX_Input,X$5,K$3*$Z$5+$AA$5-1)^0.5)*LOG10(INDEX(FX_Input,X$5,K$3*$Z$5+$AA$5))-(1.854-(1042/(K358+459.6)))*(INDEX(FX_Input,X$5,K$3*$Z$5+$AA$5-1)^0.5)+((2416/(K358+459.6)-2.013)*LOG10(INDEX(FX_Input,X$5,K$3*$Z$5+$AA$5)))-(8742/(K358+459.6))+15.64),EXP(INDEX(Antoines,MATCH(K350,Antoine_Name,0),2)-INDEX(Antoines,MATCH(K350,Antoine_Name,0),3)/(K358+459.6))))),0)</f>
        <v>0</v>
      </c>
      <c r="L371" cm="1">
        <f t="array" ref="L371">IFERROR(IF(L351="Chemical",(10^(INDEX(Antoines,MATCH(L350,Antoine_Name,0),2)-INDEX(Antoines,MATCH(L350,Antoine_Name,0),3)/(INDEX(Antoines,MATCH(L350,Antoine_Name,0),4)+(L358-32)*5/9)))*14.7/760,IF(L351="Crude Oil",EXP((2799/(L358+459.6)-2.227)*LOG10(INDEX(FX_Input,Y$5,L$3*$Z$5+$AA$5))-(7261/(L358+459.6))+12.82),IF(L351="Refined Petroleum Stock",EXP((0.7553-(413/(L358+459.6)))*(INDEX(FX_Input,Y$5,L$3*$Z$5+$AA$5-1)^0.5)*LOG10(INDEX(FX_Input,Y$5,L$3*$Z$5+$AA$5))-(1.854-(1042/(L358+459.6)))*(INDEX(FX_Input,Y$5,L$3*$Z$5+$AA$5-1)^0.5)+((2416/(L358+459.6)-2.013)*LOG10(INDEX(FX_Input,Y$5,L$3*$Z$5+$AA$5)))-(8742/(L358+459.6))+15.64),EXP(INDEX(Antoines,MATCH(L350,Antoine_Name,0),2)-INDEX(Antoines,MATCH(L350,Antoine_Name,0),3)/(L358+459.6))))),0)</f>
        <v>0</v>
      </c>
      <c r="M371" cm="1">
        <f t="array" ref="M371">IFERROR(IF(M351="Chemical",(10^(INDEX(Antoines,MATCH(M350,Antoine_Name,0),2)-INDEX(Antoines,MATCH(M350,Antoine_Name,0),3)/(INDEX(Antoines,MATCH(M350,Antoine_Name,0),4)+(M358-32)*5/9)))*14.7/760,IF(M351="Crude Oil",EXP((2799/(M358+459.6)-2.227)*LOG10(INDEX(FX_Input,Z$5,M$3*$Z$5+$AA$5))-(7261/(M358+459.6))+12.82),IF(M351="Refined Petroleum Stock",EXP((0.7553-(413/(M358+459.6)))*(INDEX(FX_Input,Z$5,M$3*$Z$5+$AA$5-1)^0.5)*LOG10(INDEX(FX_Input,Z$5,M$3*$Z$5+$AA$5))-(1.854-(1042/(M358+459.6)))*(INDEX(FX_Input,Z$5,M$3*$Z$5+$AA$5-1)^0.5)+((2416/(M358+459.6)-2.013)*LOG10(INDEX(FX_Input,Z$5,M$3*$Z$5+$AA$5)))-(8742/(M358+459.6))+15.64),EXP(INDEX(Antoines,MATCH(M350,Antoine_Name,0),2)-INDEX(Antoines,MATCH(M350,Antoine_Name,0),3)/(M358+459.6))))),0)</f>
        <v>0</v>
      </c>
      <c r="N371" cm="1">
        <f t="array" ref="N371">IFERROR(IF(N351="Chemical",(10^(INDEX(Antoines,MATCH(N350,Antoine_Name,0),2)-INDEX(Antoines,MATCH(N350,Antoine_Name,0),3)/(INDEX(Antoines,MATCH(N350,Antoine_Name,0),4)+(N358-32)*5/9)))*14.7/760,IF(N351="Crude Oil",EXP((2799/(N358+459.6)-2.227)*LOG10(INDEX(FX_Input,AA$5,N$3*$Z$5+$AA$5))-(7261/(N358+459.6))+12.82),IF(N351="Refined Petroleum Stock",EXP((0.7553-(413/(N358+459.6)))*(INDEX(FX_Input,AA$5,N$3*$Z$5+$AA$5-1)^0.5)*LOG10(INDEX(FX_Input,AA$5,N$3*$Z$5+$AA$5))-(1.854-(1042/(N358+459.6)))*(INDEX(FX_Input,AA$5,N$3*$Z$5+$AA$5-1)^0.5)+((2416/(N358+459.6)-2.013)*LOG10(INDEX(FX_Input,AA$5,N$3*$Z$5+$AA$5)))-(8742/(N358+459.6))+15.64),EXP(INDEX(Antoines,MATCH(N350,Antoine_Name,0),2)-INDEX(Antoines,MATCH(N350,Antoine_Name,0),3)/(N358+459.6))))),0)</f>
        <v>0</v>
      </c>
      <c r="O371" cm="1">
        <f t="array" ref="O371">IFERROR(IF(O351="Chemical",(10^(INDEX(Antoines,MATCH(O350,Antoine_Name,0),2)-INDEX(Antoines,MATCH(O350,Antoine_Name,0),3)/(INDEX(Antoines,MATCH(O350,Antoine_Name,0),4)+(O358-32)*5/9)))*14.7/760,IF(O351="Crude Oil",EXP((2799/(O358+459.6)-2.227)*LOG10(INDEX(FX_Input,AB$5,O$3*$Z$5+$AA$5))-(7261/(O358+459.6))+12.82),IF(O351="Refined Petroleum Stock",EXP((0.7553-(413/(O358+459.6)))*(INDEX(FX_Input,AB$5,O$3*$Z$5+$AA$5-1)^0.5)*LOG10(INDEX(FX_Input,AB$5,O$3*$Z$5+$AA$5))-(1.854-(1042/(O358+459.6)))*(INDEX(FX_Input,AB$5,O$3*$Z$5+$AA$5-1)^0.5)+((2416/(O358+459.6)-2.013)*LOG10(INDEX(FX_Input,AB$5,O$3*$Z$5+$AA$5)))-(8742/(O358+459.6))+15.64),EXP(INDEX(Antoines,MATCH(O350,Antoine_Name,0),2)-INDEX(Antoines,MATCH(O350,Antoine_Name,0),3)/(O358+459.6))))),0)</f>
        <v>0</v>
      </c>
    </row>
    <row r="372" spans="1:32" ht="17.149999999999999" x14ac:dyDescent="0.55000000000000004">
      <c r="B372" t="str">
        <f t="shared" si="1172"/>
        <v>Portland</v>
      </c>
      <c r="C372" t="s">
        <v>1391</v>
      </c>
      <c r="D372">
        <f>D371*D354</f>
        <v>0</v>
      </c>
      <c r="E372">
        <f t="shared" ref="E372" si="1250">E371*E354</f>
        <v>0</v>
      </c>
      <c r="F372">
        <f t="shared" ref="F372" si="1251">F371*F354</f>
        <v>0</v>
      </c>
      <c r="G372">
        <f t="shared" ref="G372" si="1252">G371*G354</f>
        <v>0</v>
      </c>
      <c r="H372">
        <f t="shared" ref="H372" si="1253">H371*H354</f>
        <v>0</v>
      </c>
      <c r="I372">
        <f t="shared" ref="I372" si="1254">I371*I354</f>
        <v>0</v>
      </c>
      <c r="J372">
        <f t="shared" ref="J372" si="1255">J371*J354</f>
        <v>0</v>
      </c>
      <c r="K372">
        <f t="shared" ref="K372" si="1256">K371*K354</f>
        <v>0</v>
      </c>
      <c r="L372">
        <f t="shared" ref="L372" si="1257">L371*L354</f>
        <v>0</v>
      </c>
      <c r="M372">
        <f t="shared" ref="M372" si="1258">M371*M354</f>
        <v>0</v>
      </c>
      <c r="N372">
        <f t="shared" ref="N372" si="1259">N371*N354</f>
        <v>0</v>
      </c>
      <c r="O372">
        <f t="shared" ref="O372" si="1260">O371*O354</f>
        <v>0</v>
      </c>
    </row>
    <row r="373" spans="1:32" ht="17.149999999999999" x14ac:dyDescent="0.55000000000000004">
      <c r="B373" t="str">
        <f t="shared" si="1172"/>
        <v>Portland</v>
      </c>
      <c r="C373" t="s">
        <v>1392</v>
      </c>
      <c r="D373">
        <f>D370+D372</f>
        <v>1</v>
      </c>
      <c r="E373">
        <f t="shared" ref="E373" si="1261">E370+E372</f>
        <v>1</v>
      </c>
      <c r="F373">
        <f t="shared" ref="F373" si="1262">F370+F372</f>
        <v>1</v>
      </c>
      <c r="G373">
        <f t="shared" ref="G373" si="1263">G370+G372</f>
        <v>1</v>
      </c>
      <c r="H373">
        <f t="shared" ref="H373" si="1264">H370+H372</f>
        <v>1</v>
      </c>
      <c r="I373">
        <f t="shared" ref="I373" si="1265">I370+I372</f>
        <v>1</v>
      </c>
      <c r="J373">
        <f t="shared" ref="J373" si="1266">J370+J372</f>
        <v>1</v>
      </c>
      <c r="K373">
        <f t="shared" ref="K373" si="1267">K370+K372</f>
        <v>1</v>
      </c>
      <c r="L373">
        <f t="shared" ref="L373" si="1268">L370+L372</f>
        <v>1</v>
      </c>
      <c r="M373">
        <f t="shared" ref="M373" si="1269">M370+M372</f>
        <v>1</v>
      </c>
      <c r="N373">
        <f t="shared" ref="N373" si="1270">N370+N372</f>
        <v>1</v>
      </c>
      <c r="O373">
        <f t="shared" ref="O373" si="1271">O370+O372</f>
        <v>1</v>
      </c>
    </row>
    <row r="374" spans="1:32" ht="17.149999999999999" x14ac:dyDescent="0.55000000000000004">
      <c r="B374" t="str">
        <f>B368</f>
        <v>Portland</v>
      </c>
      <c r="C374" t="s">
        <v>584</v>
      </c>
      <c r="D374">
        <f>D370/D373</f>
        <v>1</v>
      </c>
      <c r="E374">
        <f t="shared" ref="E374" si="1272">E370/E373</f>
        <v>1</v>
      </c>
      <c r="F374">
        <f t="shared" ref="F374" si="1273">F370/F373</f>
        <v>1</v>
      </c>
      <c r="G374">
        <f t="shared" ref="G374" si="1274">G370/G373</f>
        <v>1</v>
      </c>
      <c r="H374">
        <f t="shared" ref="H374" si="1275">H370/H373</f>
        <v>1</v>
      </c>
      <c r="I374">
        <f t="shared" ref="I374" si="1276">I370/I373</f>
        <v>1</v>
      </c>
      <c r="J374">
        <f t="shared" ref="J374" si="1277">J370/J373</f>
        <v>1</v>
      </c>
      <c r="K374">
        <f t="shared" ref="K374" si="1278">K370/K373</f>
        <v>1</v>
      </c>
      <c r="L374">
        <f t="shared" ref="L374" si="1279">L370/L373</f>
        <v>1</v>
      </c>
      <c r="M374">
        <f t="shared" ref="M374" si="1280">M370/M373</f>
        <v>1</v>
      </c>
      <c r="N374">
        <f t="shared" ref="N374" si="1281">N370/N373</f>
        <v>1</v>
      </c>
      <c r="O374">
        <f t="shared" ref="O374" si="1282">O370/O373</f>
        <v>1</v>
      </c>
    </row>
    <row r="375" spans="1:32" ht="17.149999999999999" x14ac:dyDescent="0.55000000000000004">
      <c r="B375" t="str">
        <f>B369</f>
        <v>Portland</v>
      </c>
      <c r="C375" t="s">
        <v>585</v>
      </c>
      <c r="D375" t="str">
        <f t="shared" ref="D375:O375" si="1283">INDEX(Phys_Prop,MATCH(D348,Chem_List,0),3)</f>
        <v>N/A</v>
      </c>
      <c r="E375" t="str">
        <f t="shared" si="1283"/>
        <v>N/A</v>
      </c>
      <c r="F375" t="str">
        <f t="shared" si="1283"/>
        <v>N/A</v>
      </c>
      <c r="G375" t="str">
        <f t="shared" si="1283"/>
        <v>N/A</v>
      </c>
      <c r="H375" t="str">
        <f t="shared" si="1283"/>
        <v>N/A</v>
      </c>
      <c r="I375" t="str">
        <f t="shared" si="1283"/>
        <v>N/A</v>
      </c>
      <c r="J375" t="str">
        <f t="shared" si="1283"/>
        <v>N/A</v>
      </c>
      <c r="K375" t="str">
        <f t="shared" si="1283"/>
        <v>N/A</v>
      </c>
      <c r="L375" t="str">
        <f t="shared" si="1283"/>
        <v>N/A</v>
      </c>
      <c r="M375" t="str">
        <f t="shared" si="1283"/>
        <v>N/A</v>
      </c>
      <c r="N375" t="str">
        <f t="shared" si="1283"/>
        <v>N/A</v>
      </c>
      <c r="O375" t="str">
        <f t="shared" si="1283"/>
        <v>N/A</v>
      </c>
    </row>
    <row r="376" spans="1:32" ht="17.149999999999999" x14ac:dyDescent="0.55000000000000004">
      <c r="B376" t="str">
        <f>B375</f>
        <v>Portland</v>
      </c>
      <c r="C376" t="s">
        <v>586</v>
      </c>
      <c r="D376">
        <f>D372/D373</f>
        <v>0</v>
      </c>
      <c r="E376">
        <f t="shared" ref="E376:O376" si="1284">E372/E373</f>
        <v>0</v>
      </c>
      <c r="F376">
        <f t="shared" si="1284"/>
        <v>0</v>
      </c>
      <c r="G376">
        <f t="shared" si="1284"/>
        <v>0</v>
      </c>
      <c r="H376">
        <f t="shared" si="1284"/>
        <v>0</v>
      </c>
      <c r="I376">
        <f t="shared" si="1284"/>
        <v>0</v>
      </c>
      <c r="J376">
        <f t="shared" si="1284"/>
        <v>0</v>
      </c>
      <c r="K376">
        <f t="shared" si="1284"/>
        <v>0</v>
      </c>
      <c r="L376">
        <f t="shared" si="1284"/>
        <v>0</v>
      </c>
      <c r="M376">
        <f t="shared" si="1284"/>
        <v>0</v>
      </c>
      <c r="N376">
        <f t="shared" si="1284"/>
        <v>0</v>
      </c>
      <c r="O376">
        <f t="shared" si="1284"/>
        <v>0</v>
      </c>
    </row>
    <row r="377" spans="1:32" ht="17.149999999999999" x14ac:dyDescent="0.55000000000000004">
      <c r="B377" t="str">
        <f t="shared" si="1172"/>
        <v>Portland</v>
      </c>
      <c r="C377" t="s">
        <v>587</v>
      </c>
      <c r="D377">
        <f t="shared" ref="D377:O377" si="1285">IFERROR(INDEX(Phys_Prop,MATCH(D350,Chem_List,0),3),0)</f>
        <v>0</v>
      </c>
      <c r="E377">
        <f t="shared" si="1285"/>
        <v>0</v>
      </c>
      <c r="F377">
        <f t="shared" si="1285"/>
        <v>0</v>
      </c>
      <c r="G377">
        <f t="shared" si="1285"/>
        <v>0</v>
      </c>
      <c r="H377">
        <f t="shared" si="1285"/>
        <v>0</v>
      </c>
      <c r="I377">
        <f t="shared" si="1285"/>
        <v>0</v>
      </c>
      <c r="J377">
        <f t="shared" si="1285"/>
        <v>0</v>
      </c>
      <c r="K377">
        <f t="shared" si="1285"/>
        <v>0</v>
      </c>
      <c r="L377">
        <f t="shared" si="1285"/>
        <v>0</v>
      </c>
      <c r="M377">
        <f t="shared" si="1285"/>
        <v>0</v>
      </c>
      <c r="N377">
        <f t="shared" si="1285"/>
        <v>0</v>
      </c>
      <c r="O377">
        <f t="shared" si="1285"/>
        <v>0</v>
      </c>
    </row>
    <row r="378" spans="1:32" ht="17.149999999999999" x14ac:dyDescent="0.55000000000000004">
      <c r="A378" s="11"/>
      <c r="B378" s="11" t="str">
        <f t="shared" si="1172"/>
        <v>Portland</v>
      </c>
      <c r="C378" s="11" t="s">
        <v>588</v>
      </c>
      <c r="D378" s="11">
        <f>IFERROR(D374*D375+D376*D377,0)</f>
        <v>0</v>
      </c>
      <c r="E378" s="11">
        <f t="shared" ref="E378" si="1286">IFERROR(E374*E375+E376*E377,0)</f>
        <v>0</v>
      </c>
      <c r="F378" s="11">
        <f t="shared" ref="F378" si="1287">IFERROR(F374*F375+F376*F377,0)</f>
        <v>0</v>
      </c>
      <c r="G378" s="11">
        <f t="shared" ref="G378" si="1288">IFERROR(G374*G375+G376*G377,0)</f>
        <v>0</v>
      </c>
      <c r="H378" s="11">
        <f t="shared" ref="H378" si="1289">IFERROR(H374*H375+H376*H377,0)</f>
        <v>0</v>
      </c>
      <c r="I378" s="11">
        <f t="shared" ref="I378" si="1290">IFERROR(I374*I375+I376*I377,0)</f>
        <v>0</v>
      </c>
      <c r="J378" s="11">
        <f t="shared" ref="J378" si="1291">IFERROR(J374*J375+J376*J377,0)</f>
        <v>0</v>
      </c>
      <c r="K378" s="11">
        <f t="shared" ref="K378" si="1292">IFERROR(K374*K375+K376*K377,0)</f>
        <v>0</v>
      </c>
      <c r="L378" s="11">
        <f t="shared" ref="L378" si="1293">IFERROR(L374*L375+L376*L377,0)</f>
        <v>0</v>
      </c>
      <c r="M378" s="11">
        <f t="shared" ref="M378" si="1294">IFERROR(M374*M375+M376*M377,0)</f>
        <v>0</v>
      </c>
      <c r="N378" s="11">
        <f t="shared" ref="N378" si="1295">IFERROR(N374*N375+N376*N377,0)</f>
        <v>0</v>
      </c>
      <c r="O378" s="11">
        <f t="shared" ref="O378" si="1296">IFERROR(O374*O375+O376*O377,0)</f>
        <v>0</v>
      </c>
      <c r="P378" s="11"/>
      <c r="Q378" s="11"/>
      <c r="R378" s="11"/>
      <c r="S378" s="11"/>
      <c r="T378" s="11"/>
      <c r="U378" s="11"/>
      <c r="V378" s="11"/>
      <c r="W378" s="11"/>
      <c r="X378" s="11"/>
      <c r="Y378" s="11"/>
      <c r="Z378" s="11"/>
      <c r="AA378" s="11"/>
      <c r="AB378" s="11"/>
      <c r="AC378" s="11"/>
      <c r="AD378" s="11"/>
      <c r="AE378" s="11"/>
      <c r="AF378" s="11"/>
    </row>
    <row r="379" spans="1:32" ht="17.149999999999999" x14ac:dyDescent="0.55000000000000004">
      <c r="A379" t="str" cm="1">
        <f t="array" ref="A379">INDEX(FX_Input,$Q379,R$5)</f>
        <v>FX - 12</v>
      </c>
      <c r="B379" t="str" cm="1">
        <f t="array" ref="B379">INDEX(FX_Input,Q379,S379)</f>
        <v>Portland</v>
      </c>
      <c r="C379" t="s">
        <v>563</v>
      </c>
      <c r="D379">
        <v>14.7</v>
      </c>
      <c r="E379">
        <v>14.7</v>
      </c>
      <c r="F379">
        <v>14.7</v>
      </c>
      <c r="G379">
        <v>14.7</v>
      </c>
      <c r="H379">
        <v>14.7</v>
      </c>
      <c r="I379">
        <v>14.7</v>
      </c>
      <c r="J379">
        <v>14.7</v>
      </c>
      <c r="K379">
        <v>14.7</v>
      </c>
      <c r="L379">
        <v>14.7</v>
      </c>
      <c r="M379">
        <v>14.7</v>
      </c>
      <c r="N379">
        <v>14.7</v>
      </c>
      <c r="O379">
        <v>14.7</v>
      </c>
      <c r="Q379">
        <f>Q345+2</f>
        <v>23</v>
      </c>
      <c r="R379">
        <v>1</v>
      </c>
      <c r="S379">
        <v>3</v>
      </c>
      <c r="T379">
        <v>1</v>
      </c>
      <c r="U379">
        <v>19</v>
      </c>
      <c r="V379">
        <v>20</v>
      </c>
      <c r="W379">
        <v>25</v>
      </c>
      <c r="X379">
        <v>1</v>
      </c>
      <c r="Y379">
        <v>2</v>
      </c>
      <c r="Z379">
        <f>(W379-V379)/(Y379-X379)</f>
        <v>5</v>
      </c>
      <c r="AA379">
        <f>V379-Z379*X379</f>
        <v>15</v>
      </c>
      <c r="AD379">
        <f>AD345+14</f>
        <v>155</v>
      </c>
      <c r="AF379">
        <f>AF345+14</f>
        <v>155</v>
      </c>
    </row>
    <row r="380" spans="1:32" ht="17.149999999999999" x14ac:dyDescent="0.55000000000000004">
      <c r="B380" t="str">
        <f t="shared" ref="B380" si="1297">B379</f>
        <v>Portland</v>
      </c>
      <c r="C380" t="s">
        <v>564</v>
      </c>
      <c r="D380" cm="1">
        <f t="array" ref="D380">IF(ISBLANK(INDEX(FX_Input,$Q379,$AB380)),0.03,INDEX(FX_Input,Q379,AB380))</f>
        <v>0.03</v>
      </c>
      <c r="E380" cm="1">
        <f t="array" ref="E380">IF(ISBLANK(INDEX(FX_Input,$Q379,$AB380)),0.03,INDEX(FX_Input,R379,#REF!))</f>
        <v>0.03</v>
      </c>
      <c r="F380" cm="1">
        <f t="array" ref="F380">IF(ISBLANK(INDEX(FX_Input,$Q379,$AB380)),0.03,INDEX(FX_Input,S379,#REF!))</f>
        <v>0.03</v>
      </c>
      <c r="G380" cm="1">
        <f t="array" ref="G380">IF(ISBLANK(INDEX(FX_Input,$Q379,$AB380)),0.03,INDEX(FX_Input,AB379,#REF!))</f>
        <v>0.03</v>
      </c>
      <c r="H380" cm="1">
        <f t="array" ref="H380">IF(ISBLANK(INDEX(FX_Input,$Q379,$AB380)),0.03,INDEX(FX_Input,#REF!,#REF!))</f>
        <v>0.03</v>
      </c>
      <c r="I380" cm="1">
        <f t="array" ref="I380">IF(ISBLANK(INDEX(FX_Input,$Q379,$AB380)),0.03,INDEX(FX_Input,#REF!,#REF!))</f>
        <v>0.03</v>
      </c>
      <c r="J380" cm="1">
        <f t="array" ref="J380">IF(ISBLANK(INDEX(FX_Input,$Q379,$AB380)),0.03,INDEX(FX_Input,#REF!,#REF!))</f>
        <v>0.03</v>
      </c>
      <c r="K380" cm="1">
        <f t="array" ref="K380">IF(ISBLANK(INDEX(FX_Input,$Q379,$AB380)),0.03,INDEX(FX_Input,#REF!,AC380))</f>
        <v>0.03</v>
      </c>
      <c r="L380" cm="1">
        <f t="array" ref="L380">IF(ISBLANK(INDEX(FX_Input,$Q379,$AB380)),0.03,INDEX(FX_Input,#REF!,AD380))</f>
        <v>0.03</v>
      </c>
      <c r="M380" cm="1">
        <f t="array" ref="M380">IF(ISBLANK(INDEX(FX_Input,$Q379,$AB380)),0.03,INDEX(FX_Input,#REF!,#REF!))</f>
        <v>0.03</v>
      </c>
      <c r="N380" cm="1">
        <f t="array" ref="N380">IF(ISBLANK(INDEX(FX_Input,$Q379,$AB380)),0.03,INDEX(FX_Input,AC379,#REF!))</f>
        <v>0.03</v>
      </c>
      <c r="O380" cm="1">
        <f t="array" ref="O380">IF(ISBLANK(INDEX(FX_Input,$Q379,$AB380)),0.03,INDEX(FX_Input,AD379,#REF!))</f>
        <v>0.03</v>
      </c>
      <c r="AB380">
        <v>15</v>
      </c>
    </row>
    <row r="381" spans="1:32" ht="17.149999999999999" x14ac:dyDescent="0.55000000000000004">
      <c r="B381" t="str">
        <f>B380</f>
        <v>Portland</v>
      </c>
      <c r="C381" t="s">
        <v>565</v>
      </c>
      <c r="D381" cm="1">
        <f t="array" ref="D381">IF(ISBLANK(INDEX(FX_Input,$Q379,$AB381)),-0.03,INDEX(FX_Input,Q379,AB381))</f>
        <v>-0.03</v>
      </c>
      <c r="E381" cm="1">
        <f t="array" ref="E381">IF(ISBLANK(INDEX(FX_Input,$Q379,$AB381)),-0.03,INDEX(FX_Input,R379,#REF!))</f>
        <v>-0.03</v>
      </c>
      <c r="F381" cm="1">
        <f t="array" ref="F381">IF(ISBLANK(INDEX(FX_Input,$Q379,$AB381)),-0.03,INDEX(FX_Input,S379,#REF!))</f>
        <v>-0.03</v>
      </c>
      <c r="G381" cm="1">
        <f t="array" ref="G381">IF(ISBLANK(INDEX(FX_Input,$Q379,$AB381)),-0.03,INDEX(FX_Input,AB379,#REF!))</f>
        <v>-0.03</v>
      </c>
      <c r="H381" cm="1">
        <f t="array" ref="H381">IF(ISBLANK(INDEX(FX_Input,$Q379,$AB381)),-0.03,INDEX(FX_Input,#REF!,#REF!))</f>
        <v>-0.03</v>
      </c>
      <c r="I381" cm="1">
        <f t="array" ref="I381">IF(ISBLANK(INDEX(FX_Input,$Q379,$AB381)),-0.03,INDEX(FX_Input,#REF!,#REF!))</f>
        <v>-0.03</v>
      </c>
      <c r="J381" cm="1">
        <f t="array" ref="J381">IF(ISBLANK(INDEX(FX_Input,$Q379,$AB381)),-0.03,INDEX(FX_Input,#REF!,#REF!))</f>
        <v>-0.03</v>
      </c>
      <c r="K381" cm="1">
        <f t="array" ref="K381">IF(ISBLANK(INDEX(FX_Input,$Q379,$AB381)),-0.03,INDEX(FX_Input,#REF!,AC381))</f>
        <v>-0.03</v>
      </c>
      <c r="L381" cm="1">
        <f t="array" ref="L381">IF(ISBLANK(INDEX(FX_Input,$Q379,$AB381)),-0.03,INDEX(FX_Input,#REF!,AD381))</f>
        <v>-0.03</v>
      </c>
      <c r="M381" cm="1">
        <f t="array" ref="M381">IF(ISBLANK(INDEX(FX_Input,$Q379,$AB381)),-0.03,INDEX(FX_Input,#REF!,#REF!))</f>
        <v>-0.03</v>
      </c>
      <c r="N381" cm="1">
        <f t="array" ref="N381">IF(ISBLANK(INDEX(FX_Input,$Q379,$AB381)),-0.03,INDEX(FX_Input,AC379,#REF!))</f>
        <v>-0.03</v>
      </c>
      <c r="O381" cm="1">
        <f t="array" ref="O381">IF(ISBLANK(INDEX(FX_Input,$Q379,$AB381)),-0.03,INDEX(FX_Input,AD379,#REF!))</f>
        <v>-0.03</v>
      </c>
      <c r="AB381">
        <v>16</v>
      </c>
    </row>
    <row r="382" spans="1:32" x14ac:dyDescent="0.4">
      <c r="B382" t="str">
        <f t="shared" ref="B382:B383" si="1298">B381</f>
        <v>Portland</v>
      </c>
      <c r="C382" s="66" t="s">
        <v>567</v>
      </c>
      <c r="D382" t="str" cm="1">
        <f t="array" ref="D382">INDEX(FX_Multi,$AD382,D$3)</f>
        <v>Jet kerosene</v>
      </c>
      <c r="E382" t="str" cm="1">
        <f t="array" ref="E382">INDEX(FX_Multi,$AD382,E$3)</f>
        <v>Jet kerosene</v>
      </c>
      <c r="F382" t="str" cm="1">
        <f t="array" ref="F382">INDEX(FX_Multi,$AD382,F$3)</f>
        <v>Jet kerosene</v>
      </c>
      <c r="G382" t="str" cm="1">
        <f t="array" ref="G382">INDEX(FX_Multi,$AD382,G$3)</f>
        <v>Jet kerosene</v>
      </c>
      <c r="H382" t="str" cm="1">
        <f t="array" ref="H382">INDEX(FX_Multi,$AD382,H$3)</f>
        <v>Jet kerosene</v>
      </c>
      <c r="I382" t="str" cm="1">
        <f t="array" ref="I382">INDEX(FX_Multi,$AD382,I$3)</f>
        <v>Jet kerosene</v>
      </c>
      <c r="J382" t="str" cm="1">
        <f t="array" ref="J382">INDEX(FX_Multi,$AD382,J$3)</f>
        <v>Jet kerosene</v>
      </c>
      <c r="K382" t="str" cm="1">
        <f t="array" ref="K382">INDEX(FX_Multi,$AD382,K$3)</f>
        <v>Jet kerosene</v>
      </c>
      <c r="L382" t="str" cm="1">
        <f t="array" ref="L382">INDEX(FX_Multi,$AD382,L$3)</f>
        <v>Jet kerosene</v>
      </c>
      <c r="M382" t="str" cm="1">
        <f t="array" ref="M382">INDEX(FX_Multi,$AD382,M$3)</f>
        <v>Jet kerosene</v>
      </c>
      <c r="N382" t="str" cm="1">
        <f t="array" ref="N382">INDEX(FX_Multi,$AD382,N$3)</f>
        <v>Jet kerosene</v>
      </c>
      <c r="O382" t="str" cm="1">
        <f t="array" ref="O382">INDEX(FX_Multi,$AD382,O$3)</f>
        <v>Jet kerosene</v>
      </c>
      <c r="AC382">
        <v>1</v>
      </c>
      <c r="AD382">
        <f>AD379</f>
        <v>155</v>
      </c>
      <c r="AE382">
        <v>1</v>
      </c>
      <c r="AF382">
        <f>AF379</f>
        <v>155</v>
      </c>
    </row>
    <row r="383" spans="1:32" x14ac:dyDescent="0.4">
      <c r="B383" t="str">
        <f t="shared" si="1298"/>
        <v>Portland</v>
      </c>
      <c r="C383" s="66" t="s">
        <v>566</v>
      </c>
      <c r="D383" t="str" cm="1">
        <f t="array" ref="D383">INDEX(FX_Multi,$AD383,D$3)</f>
        <v>Select Pet Stock</v>
      </c>
      <c r="E383" t="str" cm="1">
        <f t="array" ref="E383">INDEX(FX_Multi,$AD383,E$3)</f>
        <v>Select Pet Stock</v>
      </c>
      <c r="F383" t="str" cm="1">
        <f t="array" ref="F383">INDEX(FX_Multi,$AD383,F$3)</f>
        <v>Select Pet Stock</v>
      </c>
      <c r="G383" t="str" cm="1">
        <f t="array" ref="G383">INDEX(FX_Multi,$AD383,G$3)</f>
        <v>Select Pet Stock</v>
      </c>
      <c r="H383" t="str" cm="1">
        <f t="array" ref="H383">INDEX(FX_Multi,$AD383,H$3)</f>
        <v>Select Pet Stock</v>
      </c>
      <c r="I383" t="str" cm="1">
        <f t="array" ref="I383">INDEX(FX_Multi,$AD383,I$3)</f>
        <v>Select Pet Stock</v>
      </c>
      <c r="J383" t="str" cm="1">
        <f t="array" ref="J383">INDEX(FX_Multi,$AD383,J$3)</f>
        <v>Select Pet Stock</v>
      </c>
      <c r="K383" t="str" cm="1">
        <f t="array" ref="K383">INDEX(FX_Multi,$AD383,K$3)</f>
        <v>Select Pet Stock</v>
      </c>
      <c r="L383" t="str" cm="1">
        <f t="array" ref="L383">INDEX(FX_Multi,$AD383,L$3)</f>
        <v>Select Pet Stock</v>
      </c>
      <c r="M383" t="str" cm="1">
        <f t="array" ref="M383">INDEX(FX_Multi,$AD383,M$3)</f>
        <v>Select Pet Stock</v>
      </c>
      <c r="N383" t="str" cm="1">
        <f t="array" ref="N383">INDEX(FX_Multi,$AD383,N$3)</f>
        <v>Select Pet Stock</v>
      </c>
      <c r="O383" t="str" cm="1">
        <f t="array" ref="O383">INDEX(FX_Multi,$AD383,O$3)</f>
        <v>Select Pet Stock</v>
      </c>
      <c r="AC383">
        <v>1</v>
      </c>
      <c r="AD383">
        <f>AD382+2</f>
        <v>157</v>
      </c>
      <c r="AE383">
        <v>1</v>
      </c>
      <c r="AF383">
        <f>AF382+3</f>
        <v>158</v>
      </c>
    </row>
    <row r="384" spans="1:32" x14ac:dyDescent="0.4">
      <c r="B384" t="str">
        <f>B380</f>
        <v>Portland</v>
      </c>
      <c r="C384" s="66" t="s">
        <v>568</v>
      </c>
      <c r="D384" cm="1">
        <f t="array" ref="D384">INDEX(FX_Multi,$AD384,D$3)</f>
        <v>0</v>
      </c>
      <c r="E384" cm="1">
        <f t="array" ref="E384">INDEX(FX_Multi,$AD384,E$3)</f>
        <v>0</v>
      </c>
      <c r="F384" cm="1">
        <f t="array" ref="F384">INDEX(FX_Multi,$AD384,F$3)</f>
        <v>0</v>
      </c>
      <c r="G384" cm="1">
        <f t="array" ref="G384">INDEX(FX_Multi,$AD384,G$3)</f>
        <v>0</v>
      </c>
      <c r="H384" cm="1">
        <f t="array" ref="H384">INDEX(FX_Multi,$AD384,H$3)</f>
        <v>0</v>
      </c>
      <c r="I384" cm="1">
        <f t="array" ref="I384">INDEX(FX_Multi,$AD384,I$3)</f>
        <v>0</v>
      </c>
      <c r="J384" cm="1">
        <f t="array" ref="J384">INDEX(FX_Multi,$AD384,J$3)</f>
        <v>0</v>
      </c>
      <c r="K384" cm="1">
        <f t="array" ref="K384">INDEX(FX_Multi,$AD384,K$3)</f>
        <v>0</v>
      </c>
      <c r="L384" cm="1">
        <f t="array" ref="L384">INDEX(FX_Multi,$AD384,L$3)</f>
        <v>0</v>
      </c>
      <c r="M384" cm="1">
        <f t="array" ref="M384">INDEX(FX_Multi,$AD384,M$3)</f>
        <v>0</v>
      </c>
      <c r="N384" cm="1">
        <f t="array" ref="N384">INDEX(FX_Multi,$AD384,N$3)</f>
        <v>0</v>
      </c>
      <c r="O384" cm="1">
        <f t="array" ref="O384">INDEX(FX_Multi,$AD384,O$3)</f>
        <v>0</v>
      </c>
      <c r="AC384">
        <v>1</v>
      </c>
      <c r="AD384">
        <f>AD383-1</f>
        <v>156</v>
      </c>
      <c r="AE384">
        <v>1</v>
      </c>
      <c r="AF384">
        <f>AF382+1</f>
        <v>156</v>
      </c>
    </row>
    <row r="385" spans="2:32" x14ac:dyDescent="0.4">
      <c r="B385" t="str">
        <f t="shared" ref="B385:B389" si="1299">B384</f>
        <v>Portland</v>
      </c>
      <c r="C385" s="66" t="s">
        <v>569</v>
      </c>
      <c r="D385" cm="1">
        <f t="array" ref="D385">INDEX(FX_Multi,$AD385,D$3)</f>
        <v>0</v>
      </c>
      <c r="E385" cm="1">
        <f t="array" ref="E385">INDEX(FX_Multi,$AD385,E$3)</f>
        <v>0</v>
      </c>
      <c r="F385" cm="1">
        <f t="array" ref="F385">INDEX(FX_Multi,$AD385,F$3)</f>
        <v>0</v>
      </c>
      <c r="G385" cm="1">
        <f t="array" ref="G385">INDEX(FX_Multi,$AD385,G$3)</f>
        <v>0</v>
      </c>
      <c r="H385" cm="1">
        <f t="array" ref="H385">INDEX(FX_Multi,$AD385,H$3)</f>
        <v>0</v>
      </c>
      <c r="I385" cm="1">
        <f t="array" ref="I385">INDEX(FX_Multi,$AD385,I$3)</f>
        <v>0</v>
      </c>
      <c r="J385" cm="1">
        <f t="array" ref="J385">INDEX(FX_Multi,$AD385,J$3)</f>
        <v>0</v>
      </c>
      <c r="K385" cm="1">
        <f t="array" ref="K385">INDEX(FX_Multi,$AD385,K$3)</f>
        <v>0</v>
      </c>
      <c r="L385" cm="1">
        <f t="array" ref="L385">INDEX(FX_Multi,$AD385,L$3)</f>
        <v>0</v>
      </c>
      <c r="M385" cm="1">
        <f t="array" ref="M385">INDEX(FX_Multi,$AD385,M$3)</f>
        <v>0</v>
      </c>
      <c r="N385" cm="1">
        <f t="array" ref="N385">INDEX(FX_Multi,$AD385,N$3)</f>
        <v>0</v>
      </c>
      <c r="O385" cm="1">
        <f t="array" ref="O385">INDEX(FX_Multi,$AD385,O$3)</f>
        <v>0</v>
      </c>
      <c r="AC385">
        <v>1</v>
      </c>
      <c r="AD385">
        <f>AD384+2</f>
        <v>158</v>
      </c>
      <c r="AE385">
        <v>1</v>
      </c>
      <c r="AF385">
        <f>AF383</f>
        <v>158</v>
      </c>
    </row>
    <row r="386" spans="2:32" ht="17.149999999999999" x14ac:dyDescent="0.55000000000000004">
      <c r="B386" t="str">
        <f t="shared" si="1299"/>
        <v>Portland</v>
      </c>
      <c r="C386" t="s">
        <v>570</v>
      </c>
      <c r="D386" cm="1">
        <f t="array" ref="D386">INDEX(FX_Multi,$AD386,D$3)</f>
        <v>1</v>
      </c>
      <c r="E386" cm="1">
        <f t="array" ref="E386">INDEX(FX_Multi,$AD386,E$3)</f>
        <v>1</v>
      </c>
      <c r="F386" cm="1">
        <f t="array" ref="F386">INDEX(FX_Multi,$AD386,F$3)</f>
        <v>1</v>
      </c>
      <c r="G386" cm="1">
        <f t="array" ref="G386">INDEX(FX_Multi,$AD386,G$3)</f>
        <v>1</v>
      </c>
      <c r="H386" cm="1">
        <f t="array" ref="H386">INDEX(FX_Multi,$AD386,H$3)</f>
        <v>1</v>
      </c>
      <c r="I386" cm="1">
        <f t="array" ref="I386">INDEX(FX_Multi,$AD386,I$3)</f>
        <v>1</v>
      </c>
      <c r="J386" cm="1">
        <f t="array" ref="J386">INDEX(FX_Multi,$AD386,J$3)</f>
        <v>1</v>
      </c>
      <c r="K386" cm="1">
        <f t="array" ref="K386">INDEX(FX_Multi,$AD386,K$3)</f>
        <v>1</v>
      </c>
      <c r="L386" cm="1">
        <f t="array" ref="L386">INDEX(FX_Multi,$AD386,L$3)</f>
        <v>1</v>
      </c>
      <c r="M386" cm="1">
        <f t="array" ref="M386">INDEX(FX_Multi,$AD386,M$3)</f>
        <v>1</v>
      </c>
      <c r="N386" cm="1">
        <f t="array" ref="N386">INDEX(FX_Multi,$AD386,N$3)</f>
        <v>1</v>
      </c>
      <c r="O386" cm="1">
        <f t="array" ref="O386">INDEX(FX_Multi,$AD386,O$3)</f>
        <v>1</v>
      </c>
      <c r="AC386">
        <v>1</v>
      </c>
      <c r="AD386">
        <f>AD385+6</f>
        <v>164</v>
      </c>
      <c r="AE386">
        <v>1</v>
      </c>
      <c r="AF386">
        <f>AF382+9</f>
        <v>164</v>
      </c>
    </row>
    <row r="387" spans="2:32" ht="17.149999999999999" x14ac:dyDescent="0.55000000000000004">
      <c r="B387" t="str">
        <f t="shared" si="1299"/>
        <v>Portland</v>
      </c>
      <c r="C387" t="s">
        <v>571</v>
      </c>
      <c r="D387" cm="1">
        <f t="array" ref="D387">INDEX(FX_Multi,$AD387,D$3)</f>
        <v>162</v>
      </c>
      <c r="E387" cm="1">
        <f t="array" ref="E387">INDEX(FX_Multi,$AD387,E$3)</f>
        <v>162</v>
      </c>
      <c r="F387" cm="1">
        <f t="array" ref="F387">INDEX(FX_Multi,$AD387,F$3)</f>
        <v>162</v>
      </c>
      <c r="G387" cm="1">
        <f t="array" ref="G387">INDEX(FX_Multi,$AD387,G$3)</f>
        <v>162</v>
      </c>
      <c r="H387" cm="1">
        <f t="array" ref="H387">INDEX(FX_Multi,$AD387,H$3)</f>
        <v>162</v>
      </c>
      <c r="I387" cm="1">
        <f t="array" ref="I387">INDEX(FX_Multi,$AD387,I$3)</f>
        <v>162</v>
      </c>
      <c r="J387" cm="1">
        <f t="array" ref="J387">INDEX(FX_Multi,$AD387,J$3)</f>
        <v>162</v>
      </c>
      <c r="K387" cm="1">
        <f t="array" ref="K387">INDEX(FX_Multi,$AD387,K$3)</f>
        <v>162</v>
      </c>
      <c r="L387" cm="1">
        <f t="array" ref="L387">INDEX(FX_Multi,$AD387,L$3)</f>
        <v>162</v>
      </c>
      <c r="M387" cm="1">
        <f t="array" ref="M387">INDEX(FX_Multi,$AD387,M$3)</f>
        <v>162</v>
      </c>
      <c r="N387" cm="1">
        <f t="array" ref="N387">INDEX(FX_Multi,$AD387,N$3)</f>
        <v>162</v>
      </c>
      <c r="O387" cm="1">
        <f t="array" ref="O387">INDEX(FX_Multi,$AD387,O$3)</f>
        <v>162</v>
      </c>
      <c r="AC387">
        <v>1</v>
      </c>
      <c r="AD387">
        <f>AD386-3</f>
        <v>161</v>
      </c>
      <c r="AE387">
        <v>1</v>
      </c>
      <c r="AF387">
        <f>AF382+6</f>
        <v>161</v>
      </c>
    </row>
    <row r="388" spans="2:32" ht="17.149999999999999" x14ac:dyDescent="0.55000000000000004">
      <c r="B388" t="str">
        <f t="shared" si="1299"/>
        <v>Portland</v>
      </c>
      <c r="C388" t="s">
        <v>572</v>
      </c>
      <c r="D388" cm="1">
        <f t="array" ref="D388">INDEX(FX_Multi,$AD388,D$3)</f>
        <v>0</v>
      </c>
      <c r="E388" cm="1">
        <f t="array" ref="E388">INDEX(FX_Multi,$AD388,E$3)</f>
        <v>0</v>
      </c>
      <c r="F388" cm="1">
        <f t="array" ref="F388">INDEX(FX_Multi,$AD388,F$3)</f>
        <v>0</v>
      </c>
      <c r="G388" cm="1">
        <f t="array" ref="G388">INDEX(FX_Multi,$AD388,G$3)</f>
        <v>0</v>
      </c>
      <c r="H388" cm="1">
        <f t="array" ref="H388">INDEX(FX_Multi,$AD388,H$3)</f>
        <v>0</v>
      </c>
      <c r="I388" cm="1">
        <f t="array" ref="I388">INDEX(FX_Multi,$AD388,I$3)</f>
        <v>0</v>
      </c>
      <c r="J388" cm="1">
        <f t="array" ref="J388">INDEX(FX_Multi,$AD388,J$3)</f>
        <v>0</v>
      </c>
      <c r="K388" cm="1">
        <f t="array" ref="K388">INDEX(FX_Multi,$AD388,K$3)</f>
        <v>0</v>
      </c>
      <c r="L388" cm="1">
        <f t="array" ref="L388">INDEX(FX_Multi,$AD388,L$3)</f>
        <v>0</v>
      </c>
      <c r="M388" cm="1">
        <f t="array" ref="M388">INDEX(FX_Multi,$AD388,M$3)</f>
        <v>0</v>
      </c>
      <c r="N388" cm="1">
        <f t="array" ref="N388">INDEX(FX_Multi,$AD388,N$3)</f>
        <v>0</v>
      </c>
      <c r="O388" cm="1">
        <f t="array" ref="O388">INDEX(FX_Multi,$AD388,O$3)</f>
        <v>0</v>
      </c>
      <c r="AC388">
        <v>1</v>
      </c>
      <c r="AD388">
        <f>AD387+4</f>
        <v>165</v>
      </c>
      <c r="AE388">
        <v>1</v>
      </c>
      <c r="AF388">
        <f>AF382+10</f>
        <v>165</v>
      </c>
    </row>
    <row r="389" spans="2:32" ht="17.149999999999999" x14ac:dyDescent="0.55000000000000004">
      <c r="B389" t="str">
        <f t="shared" si="1299"/>
        <v>Portland</v>
      </c>
      <c r="C389" t="s">
        <v>573</v>
      </c>
      <c r="D389" cm="1">
        <f t="array" ref="D389">INDEX(FX_Multi,$AD389,D$3)</f>
        <v>0</v>
      </c>
      <c r="E389" cm="1">
        <f t="array" ref="E389">INDEX(FX_Multi,$AD389,E$3)</f>
        <v>0</v>
      </c>
      <c r="F389" cm="1">
        <f t="array" ref="F389">INDEX(FX_Multi,$AD389,F$3)</f>
        <v>0</v>
      </c>
      <c r="G389" cm="1">
        <f t="array" ref="G389">INDEX(FX_Multi,$AD389,G$3)</f>
        <v>0</v>
      </c>
      <c r="H389" cm="1">
        <f t="array" ref="H389">INDEX(FX_Multi,$AD389,H$3)</f>
        <v>0</v>
      </c>
      <c r="I389" cm="1">
        <f t="array" ref="I389">INDEX(FX_Multi,$AD389,I$3)</f>
        <v>0</v>
      </c>
      <c r="J389" cm="1">
        <f t="array" ref="J389">INDEX(FX_Multi,$AD389,J$3)</f>
        <v>0</v>
      </c>
      <c r="K389" cm="1">
        <f t="array" ref="K389">INDEX(FX_Multi,$AD389,K$3)</f>
        <v>0</v>
      </c>
      <c r="L389" cm="1">
        <f t="array" ref="L389">INDEX(FX_Multi,$AD389,L$3)</f>
        <v>0</v>
      </c>
      <c r="M389" cm="1">
        <f t="array" ref="M389">INDEX(FX_Multi,$AD389,M$3)</f>
        <v>0</v>
      </c>
      <c r="N389" cm="1">
        <f t="array" ref="N389">INDEX(FX_Multi,$AD389,N$3)</f>
        <v>0</v>
      </c>
      <c r="O389" cm="1">
        <f t="array" ref="O389">INDEX(FX_Multi,$AD389,O$3)</f>
        <v>0</v>
      </c>
      <c r="AC389">
        <v>1</v>
      </c>
      <c r="AD389">
        <f>AD388-3</f>
        <v>162</v>
      </c>
      <c r="AE389">
        <v>1</v>
      </c>
      <c r="AF389">
        <f>AF382+7</f>
        <v>162</v>
      </c>
    </row>
    <row r="390" spans="2:32" ht="17.149999999999999" x14ac:dyDescent="0.55000000000000004">
      <c r="B390" t="str">
        <f>B385</f>
        <v>Portland</v>
      </c>
      <c r="C390" t="s">
        <v>526</v>
      </c>
      <c r="D390" cm="1">
        <f t="array" ref="D390">INDEX(FX_Temps,$AF390,D$3)</f>
        <v>42.403099999999938</v>
      </c>
      <c r="E390" cm="1">
        <f t="array" ref="E390">INDEX(FX_Temps,$AF390,E$3)</f>
        <v>43.080000000000041</v>
      </c>
      <c r="F390" cm="1">
        <f t="array" ref="F390">INDEX(FX_Temps,$AF390,F$3)</f>
        <v>44.95089999999999</v>
      </c>
      <c r="G390" cm="1">
        <f t="array" ref="G390">INDEX(FX_Temps,$AF390,G$3)</f>
        <v>48.048400000000015</v>
      </c>
      <c r="H390" cm="1">
        <f t="array" ref="H390">INDEX(FX_Temps,$AF390,H$3)</f>
        <v>53.102899999999977</v>
      </c>
      <c r="I390" cm="1">
        <f t="array" ref="I390">INDEX(FX_Temps,$AF390,I$3)</f>
        <v>57.215900000000033</v>
      </c>
      <c r="J390" cm="1">
        <f t="array" ref="J390">INDEX(FX_Temps,$AF390,J$3)</f>
        <v>60.813599999999838</v>
      </c>
      <c r="K390" cm="1">
        <f t="array" ref="K390">INDEX(FX_Temps,$AF390,K$3)</f>
        <v>60.716400000000021</v>
      </c>
      <c r="L390" cm="1">
        <f t="array" ref="L390">INDEX(FX_Temps,$AF390,L$3)</f>
        <v>57.353200000000015</v>
      </c>
      <c r="M390" cm="1">
        <f t="array" ref="M390">INDEX(FX_Temps,$AF390,M$3)</f>
        <v>50.947600000000079</v>
      </c>
      <c r="N390" cm="1">
        <f t="array" ref="N390">INDEX(FX_Temps,$AF390,N$3)</f>
        <v>45.324700000000007</v>
      </c>
      <c r="O390" cm="1">
        <f t="array" ref="O390">INDEX(FX_Temps,$AF390,O$3)</f>
        <v>42.113400000000013</v>
      </c>
      <c r="AE390">
        <v>1</v>
      </c>
      <c r="AF390">
        <f>AF382+10</f>
        <v>165</v>
      </c>
    </row>
    <row r="391" spans="2:32" ht="17.149999999999999" x14ac:dyDescent="0.55000000000000004">
      <c r="B391" t="str">
        <f t="shared" ref="B391:B412" si="1300">B390</f>
        <v>Portland</v>
      </c>
      <c r="C391" t="s">
        <v>527</v>
      </c>
      <c r="D391" cm="1">
        <f t="array" ref="D391">INDEX(FX_Temps,$AF391,D$3)</f>
        <v>46.563099999999963</v>
      </c>
      <c r="E391" cm="1">
        <f t="array" ref="E391">INDEX(FX_Temps,$AF391,E$3)</f>
        <v>48.360000000000014</v>
      </c>
      <c r="F391" cm="1">
        <f t="array" ref="F391">INDEX(FX_Temps,$AF391,F$3)</f>
        <v>50.230900000000076</v>
      </c>
      <c r="G391" cm="1">
        <f t="array" ref="G391">INDEX(FX_Temps,$AF391,G$3)</f>
        <v>53.408400000000029</v>
      </c>
      <c r="H391" cm="1">
        <f t="array" ref="H391">INDEX(FX_Temps,$AF391,H$3)</f>
        <v>58.422899999999913</v>
      </c>
      <c r="I391" cm="1">
        <f t="array" ref="I391">INDEX(FX_Temps,$AF391,I$3)</f>
        <v>62.215900000000033</v>
      </c>
      <c r="J391" cm="1">
        <f t="array" ref="J391">INDEX(FX_Temps,$AF391,J$3)</f>
        <v>65.893599999999878</v>
      </c>
      <c r="K391" cm="1">
        <f t="array" ref="K391">INDEX(FX_Temps,$AF391,K$3)</f>
        <v>66.156400000000076</v>
      </c>
      <c r="L391" cm="1">
        <f t="array" ref="L391">INDEX(FX_Temps,$AF391,L$3)</f>
        <v>63.913199999999961</v>
      </c>
      <c r="M391" cm="1">
        <f t="array" ref="M391">INDEX(FX_Temps,$AF391,M$3)</f>
        <v>56.827600000000075</v>
      </c>
      <c r="N391" cm="1">
        <f t="array" ref="N391">INDEX(FX_Temps,$AF391,N$3)</f>
        <v>50.204700000000003</v>
      </c>
      <c r="O391" cm="1">
        <f t="array" ref="O391">INDEX(FX_Temps,$AF391,O$3)</f>
        <v>46.113400000000013</v>
      </c>
      <c r="AE391">
        <f>AE390</f>
        <v>1</v>
      </c>
      <c r="AF391">
        <f>AF382+11</f>
        <v>166</v>
      </c>
    </row>
    <row r="392" spans="2:32" ht="17.149999999999999" x14ac:dyDescent="0.55000000000000004">
      <c r="B392" t="str">
        <f t="shared" si="1300"/>
        <v>Portland</v>
      </c>
      <c r="C392" t="s">
        <v>552</v>
      </c>
      <c r="D392" cm="1">
        <f t="array" ref="D392">INDEX(FX_Temps,$AF392,D$3)</f>
        <v>44.748924999999986</v>
      </c>
      <c r="E392" cm="1">
        <f t="array" ref="E392">INDEX(FX_Temps,$AF392,E$3)</f>
        <v>46.185000000000059</v>
      </c>
      <c r="F392" cm="1">
        <f t="array" ref="F392">INDEX(FX_Temps,$AF392,F$3)</f>
        <v>48.270575000000008</v>
      </c>
      <c r="G392" cm="1">
        <f t="array" ref="G392">INDEX(FX_Temps,$AF392,G$3)</f>
        <v>51.698699999999917</v>
      </c>
      <c r="H392" cm="1">
        <f t="array" ref="H392">INDEX(FX_Temps,$AF392,H$3)</f>
        <v>56.954074999999875</v>
      </c>
      <c r="I392" cm="1">
        <f t="array" ref="I392">INDEX(FX_Temps,$AF392,I$3)</f>
        <v>60.976825000000076</v>
      </c>
      <c r="J392" cm="1">
        <f t="array" ref="J392">INDEX(FX_Temps,$AF392,J$3)</f>
        <v>64.677299999999832</v>
      </c>
      <c r="K392" cm="1">
        <f t="array" ref="K392">INDEX(FX_Temps,$AF392,K$3)</f>
        <v>64.592699999999923</v>
      </c>
      <c r="L392" cm="1">
        <f t="array" ref="L392">INDEX(FX_Temps,$AF392,L$3)</f>
        <v>61.560100000000034</v>
      </c>
      <c r="M392" cm="1">
        <f t="array" ref="M392">INDEX(FX_Temps,$AF392,M$3)</f>
        <v>54.451800000000048</v>
      </c>
      <c r="N392" cm="1">
        <f t="array" ref="N392">INDEX(FX_Temps,$AF392,N$3)</f>
        <v>48.067724999999996</v>
      </c>
      <c r="O392" cm="1">
        <f t="array" ref="O392">INDEX(FX_Temps,$AF392,O$3)</f>
        <v>44.347450000000038</v>
      </c>
      <c r="AE392">
        <f>AE391</f>
        <v>1</v>
      </c>
      <c r="AF392">
        <f>AF382+13</f>
        <v>168</v>
      </c>
    </row>
    <row r="393" spans="2:32" ht="17.149999999999999" x14ac:dyDescent="0.55000000000000004">
      <c r="B393" t="str">
        <f t="shared" si="1300"/>
        <v>Portland</v>
      </c>
      <c r="C393" t="s">
        <v>574</v>
      </c>
      <c r="D393" cm="1">
        <f t="array" ref="D393">IFERROR(IF(D383="Chemical",(10^(INDEX(Antoines,MATCH(D382,Antoine_Name,0),2)-INDEX(Antoines,MATCH(D382,Antoine_Name,0),3)/(INDEX(Antoines,MATCH(D382,Antoine_Name,0),4)+(D390-32)*5/9)))*14.7/760,IF(D383="Crude Oil",EXP((2799/(D390+459.6)-2.227)*LOG10(INDEX(FX_Input,Q$5,D$3*$Z$5+$AA$5))-(7261/(D390+459.6))+12.82),IF(D383="Refined Petroleum Stock",EXP((0.7553-(413/(D390+459.6)))*(INDEX(FX_Input,Q$5,D$3*$Z$5+$AA$5-1)^0.5)*LOG10(INDEX(FX_Input,Q$5,D$3*$Z$5+$AA$5))-(1.854-(1042/(D390+459.6)))*(INDEX(FX_Input,Q$5,D$3*$Z$5+$AA$5-1)^0.5)+((2416/(D390+459.6)-2.013)*LOG10(INDEX(FX_Input,Q$5,D$3*$Z$5+$AA$5)))-(8742/(D390+459.6))+15.64),EXP(INDEX(Antoines,MATCH(D382,Antoine_Name,0),2)-INDEX(Antoines,MATCH(D382,Antoine_Name,0),3)/(D390+459.6))))),0)</f>
        <v>4.4953541371678231E-3</v>
      </c>
      <c r="E393" cm="1">
        <f t="array" ref="E393">IFERROR(IF(E383="Chemical",(10^(INDEX(Antoines,MATCH(E382,Antoine_Name,0),2)-INDEX(Antoines,MATCH(E382,Antoine_Name,0),3)/(INDEX(Antoines,MATCH(E382,Antoine_Name,0),4)+(E390-32)*5/9)))*14.7/760,IF(E383="Crude Oil",EXP((2799/(E390+459.6)-2.227)*LOG10(INDEX(FX_Input,R$5,E$3*$Z$5+$AA$5))-(7261/(E390+459.6))+12.82),IF(E383="Refined Petroleum Stock",EXP((0.7553-(413/(E390+459.6)))*(INDEX(FX_Input,R$5,E$3*$Z$5+$AA$5-1)^0.5)*LOG10(INDEX(FX_Input,R$5,E$3*$Z$5+$AA$5))-(1.854-(1042/(E390+459.6)))*(INDEX(FX_Input,R$5,E$3*$Z$5+$AA$5-1)^0.5)+((2416/(E390+459.6)-2.013)*LOG10(INDEX(FX_Input,R$5,E$3*$Z$5+$AA$5)))-(8742/(E390+459.6))+15.64),EXP(INDEX(Antoines,MATCH(E382,Antoine_Name,0),2)-INDEX(Antoines,MATCH(E382,Antoine_Name,0),3)/(E390+459.6))))),0)</f>
        <v>4.6043729465544726E-3</v>
      </c>
      <c r="F393" cm="1">
        <f t="array" ref="F393">IFERROR(IF(F383="Chemical",(10^(INDEX(Antoines,MATCH(F382,Antoine_Name,0),2)-INDEX(Antoines,MATCH(F382,Antoine_Name,0),3)/(INDEX(Antoines,MATCH(F382,Antoine_Name,0),4)+(F390-32)*5/9)))*14.7/760,IF(F383="Crude Oil",EXP((2799/(F390+459.6)-2.227)*LOG10(INDEX(FX_Input,S$5,F$3*$Z$5+$AA$5))-(7261/(F390+459.6))+12.82),IF(F383="Refined Petroleum Stock",EXP((0.7553-(413/(F390+459.6)))*(INDEX(FX_Input,S$5,F$3*$Z$5+$AA$5-1)^0.5)*LOG10(INDEX(FX_Input,S$5,F$3*$Z$5+$AA$5))-(1.854-(1042/(F390+459.6)))*(INDEX(FX_Input,S$5,F$3*$Z$5+$AA$5-1)^0.5)+((2416/(F390+459.6)-2.013)*LOG10(INDEX(FX_Input,S$5,F$3*$Z$5+$AA$5)))-(8742/(F390+459.6))+15.64),EXP(INDEX(Antoines,MATCH(F382,Antoine_Name,0),2)-INDEX(Antoines,MATCH(F382,Antoine_Name,0),3)/(F390+459.6))))),0)</f>
        <v>4.9179969260705328E-3</v>
      </c>
      <c r="G393" cm="1">
        <f t="array" ref="G393">IFERROR(IF(G383="Chemical",(10^(INDEX(Antoines,MATCH(G382,Antoine_Name,0),2)-INDEX(Antoines,MATCH(G382,Antoine_Name,0),3)/(INDEX(Antoines,MATCH(G382,Antoine_Name,0),4)+(G390-32)*5/9)))*14.7/760,IF(G383="Crude Oil",EXP((2799/(G390+459.6)-2.227)*LOG10(INDEX(FX_Input,T$5,G$3*$Z$5+$AA$5))-(7261/(G390+459.6))+12.82),IF(G383="Refined Petroleum Stock",EXP((0.7553-(413/(G390+459.6)))*(INDEX(FX_Input,T$5,G$3*$Z$5+$AA$5-1)^0.5)*LOG10(INDEX(FX_Input,T$5,G$3*$Z$5+$AA$5))-(1.854-(1042/(G390+459.6)))*(INDEX(FX_Input,T$5,G$3*$Z$5+$AA$5-1)^0.5)+((2416/(G390+459.6)-2.013)*LOG10(INDEX(FX_Input,T$5,G$3*$Z$5+$AA$5)))-(8742/(G390+459.6))+15.64),EXP(INDEX(Antoines,MATCH(G382,Antoine_Name,0),2)-INDEX(Antoines,MATCH(G382,Antoine_Name,0),3)/(G390+459.6))))),0)</f>
        <v>5.479042667267656E-3</v>
      </c>
      <c r="H393" cm="1">
        <f t="array" ref="H393">IFERROR(IF(H383="Chemical",(10^(INDEX(Antoines,MATCH(H382,Antoine_Name,0),2)-INDEX(Antoines,MATCH(H382,Antoine_Name,0),3)/(INDEX(Antoines,MATCH(H382,Antoine_Name,0),4)+(H390-32)*5/9)))*14.7/760,IF(H383="Crude Oil",EXP((2799/(H390+459.6)-2.227)*LOG10(INDEX(FX_Input,U$5,H$3*$Z$5+$AA$5))-(7261/(H390+459.6))+12.82),IF(H383="Refined Petroleum Stock",EXP((0.7553-(413/(H390+459.6)))*(INDEX(FX_Input,U$5,H$3*$Z$5+$AA$5-1)^0.5)*LOG10(INDEX(FX_Input,U$5,H$3*$Z$5+$AA$5))-(1.854-(1042/(H390+459.6)))*(INDEX(FX_Input,U$5,H$3*$Z$5+$AA$5-1)^0.5)+((2416/(H390+459.6)-2.013)*LOG10(INDEX(FX_Input,U$5,H$3*$Z$5+$AA$5)))-(8742/(H390+459.6))+15.64),EXP(INDEX(Antoines,MATCH(H382,Antoine_Name,0),2)-INDEX(Antoines,MATCH(H382,Antoine_Name,0),3)/(H390+459.6))))),0)</f>
        <v>6.5169685513364909E-3</v>
      </c>
      <c r="I393" cm="1">
        <f t="array" ref="I393">IFERROR(IF(I383="Chemical",(10^(INDEX(Antoines,MATCH(I382,Antoine_Name,0),2)-INDEX(Antoines,MATCH(I382,Antoine_Name,0),3)/(INDEX(Antoines,MATCH(I382,Antoine_Name,0),4)+(I390-32)*5/9)))*14.7/760,IF(I383="Crude Oil",EXP((2799/(I390+459.6)-2.227)*LOG10(INDEX(FX_Input,V$5,I$3*$Z$5+$AA$5))-(7261/(I390+459.6))+12.82),IF(I383="Refined Petroleum Stock",EXP((0.7553-(413/(I390+459.6)))*(INDEX(FX_Input,V$5,I$3*$Z$5+$AA$5-1)^0.5)*LOG10(INDEX(FX_Input,V$5,I$3*$Z$5+$AA$5))-(1.854-(1042/(I390+459.6)))*(INDEX(FX_Input,V$5,I$3*$Z$5+$AA$5-1)^0.5)+((2416/(I390+459.6)-2.013)*LOG10(INDEX(FX_Input,V$5,I$3*$Z$5+$AA$5)))-(8742/(I390+459.6))+15.64),EXP(INDEX(Antoines,MATCH(I382,Antoine_Name,0),2)-INDEX(Antoines,MATCH(I382,Antoine_Name,0),3)/(I390+459.6))))),0)</f>
        <v>7.486267526260572E-3</v>
      </c>
      <c r="J393" cm="1">
        <f t="array" ref="J393">IFERROR(IF(J383="Chemical",(10^(INDEX(Antoines,MATCH(J382,Antoine_Name,0),2)-INDEX(Antoines,MATCH(J382,Antoine_Name,0),3)/(INDEX(Antoines,MATCH(J382,Antoine_Name,0),4)+(J390-32)*5/9)))*14.7/760,IF(J383="Crude Oil",EXP((2799/(J390+459.6)-2.227)*LOG10(INDEX(FX_Input,W$5,J$3*$Z$5+$AA$5))-(7261/(J390+459.6))+12.82),IF(J383="Refined Petroleum Stock",EXP((0.7553-(413/(J390+459.6)))*(INDEX(FX_Input,W$5,J$3*$Z$5+$AA$5-1)^0.5)*LOG10(INDEX(FX_Input,W$5,J$3*$Z$5+$AA$5))-(1.854-(1042/(J390+459.6)))*(INDEX(FX_Input,W$5,J$3*$Z$5+$AA$5-1)^0.5)+((2416/(J390+459.6)-2.013)*LOG10(INDEX(FX_Input,W$5,J$3*$Z$5+$AA$5)))-(8742/(J390+459.6))+15.64),EXP(INDEX(Antoines,MATCH(J382,Antoine_Name,0),2)-INDEX(Antoines,MATCH(J382,Antoine_Name,0),3)/(J390+459.6))))),0)</f>
        <v>8.4364538110447557E-3</v>
      </c>
      <c r="K393" cm="1">
        <f t="array" ref="K393">IFERROR(IF(K383="Chemical",(10^(INDEX(Antoines,MATCH(K382,Antoine_Name,0),2)-INDEX(Antoines,MATCH(K382,Antoine_Name,0),3)/(INDEX(Antoines,MATCH(K382,Antoine_Name,0),4)+(K390-32)*5/9)))*14.7/760,IF(K383="Crude Oil",EXP((2799/(K390+459.6)-2.227)*LOG10(INDEX(FX_Input,X$5,K$3*$Z$5+$AA$5))-(7261/(K390+459.6))+12.82),IF(K383="Refined Petroleum Stock",EXP((0.7553-(413/(K390+459.6)))*(INDEX(FX_Input,X$5,K$3*$Z$5+$AA$5-1)^0.5)*LOG10(INDEX(FX_Input,X$5,K$3*$Z$5+$AA$5))-(1.854-(1042/(K390+459.6)))*(INDEX(FX_Input,X$5,K$3*$Z$5+$AA$5-1)^0.5)+((2416/(K390+459.6)-2.013)*LOG10(INDEX(FX_Input,X$5,K$3*$Z$5+$AA$5)))-(8742/(K390+459.6))+15.64),EXP(INDEX(Antoines,MATCH(K382,Antoine_Name,0),2)-INDEX(Antoines,MATCH(K382,Antoine_Name,0),3)/(K390+459.6))))),0)</f>
        <v>8.4094446398714287E-3</v>
      </c>
      <c r="L393" cm="1">
        <f t="array" ref="L393">IFERROR(IF(L383="Chemical",(10^(INDEX(Antoines,MATCH(L382,Antoine_Name,0),2)-INDEX(Antoines,MATCH(L382,Antoine_Name,0),3)/(INDEX(Antoines,MATCH(L382,Antoine_Name,0),4)+(L390-32)*5/9)))*14.7/760,IF(L383="Crude Oil",EXP((2799/(L390+459.6)-2.227)*LOG10(INDEX(FX_Input,Y$5,L$3*$Z$5+$AA$5))-(7261/(L390+459.6))+12.82),IF(L383="Refined Petroleum Stock",EXP((0.7553-(413/(L390+459.6)))*(INDEX(FX_Input,Y$5,L$3*$Z$5+$AA$5-1)^0.5)*LOG10(INDEX(FX_Input,Y$5,L$3*$Z$5+$AA$5))-(1.854-(1042/(L390+459.6)))*(INDEX(FX_Input,Y$5,L$3*$Z$5+$AA$5-1)^0.5)+((2416/(L390+459.6)-2.013)*LOG10(INDEX(FX_Input,Y$5,L$3*$Z$5+$AA$5)))-(8742/(L390+459.6))+15.64),EXP(INDEX(Antoines,MATCH(L382,Antoine_Name,0),2)-INDEX(Antoines,MATCH(L382,Antoine_Name,0),3)/(L390+459.6))))),0)</f>
        <v>7.5207138884047006E-3</v>
      </c>
      <c r="M393" cm="1">
        <f t="array" ref="M393">IFERROR(IF(M383="Chemical",(10^(INDEX(Antoines,MATCH(M382,Antoine_Name,0),2)-INDEX(Antoines,MATCH(M382,Antoine_Name,0),3)/(INDEX(Antoines,MATCH(M382,Antoine_Name,0),4)+(M390-32)*5/9)))*14.7/760,IF(M383="Crude Oil",EXP((2799/(M390+459.6)-2.227)*LOG10(INDEX(FX_Input,Z$5,M$3*$Z$5+$AA$5))-(7261/(M390+459.6))+12.82),IF(M383="Refined Petroleum Stock",EXP((0.7553-(413/(M390+459.6)))*(INDEX(FX_Input,Z$5,M$3*$Z$5+$AA$5-1)^0.5)*LOG10(INDEX(FX_Input,Z$5,M$3*$Z$5+$AA$5))-(1.854-(1042/(M390+459.6)))*(INDEX(FX_Input,Z$5,M$3*$Z$5+$AA$5-1)^0.5)+((2416/(M390+459.6)-2.013)*LOG10(INDEX(FX_Input,Z$5,M$3*$Z$5+$AA$5)))-(8742/(M390+459.6))+15.64),EXP(INDEX(Antoines,MATCH(M382,Antoine_Name,0),2)-INDEX(Antoines,MATCH(M382,Antoine_Name,0),3)/(M390+459.6))))),0)</f>
        <v>6.0548274008136857E-3</v>
      </c>
      <c r="N393" cm="1">
        <f t="array" ref="N393">IFERROR(IF(N383="Chemical",(10^(INDEX(Antoines,MATCH(N382,Antoine_Name,0),2)-INDEX(Antoines,MATCH(N382,Antoine_Name,0),3)/(INDEX(Antoines,MATCH(N382,Antoine_Name,0),4)+(N390-32)*5/9)))*14.7/760,IF(N383="Crude Oil",EXP((2799/(N390+459.6)-2.227)*LOG10(INDEX(FX_Input,AA$5,N$3*$Z$5+$AA$5))-(7261/(N390+459.6))+12.82),IF(N383="Refined Petroleum Stock",EXP((0.7553-(413/(N390+459.6)))*(INDEX(FX_Input,AA$5,N$3*$Z$5+$AA$5-1)^0.5)*LOG10(INDEX(FX_Input,AA$5,N$3*$Z$5+$AA$5))-(1.854-(1042/(N390+459.6)))*(INDEX(FX_Input,AA$5,N$3*$Z$5+$AA$5-1)^0.5)+((2416/(N390+459.6)-2.013)*LOG10(INDEX(FX_Input,AA$5,N$3*$Z$5+$AA$5)))-(8742/(N390+459.6))+15.64),EXP(INDEX(Antoines,MATCH(N382,Antoine_Name,0),2)-INDEX(Antoines,MATCH(N382,Antoine_Name,0),3)/(N390+459.6))))),0)</f>
        <v>4.9828816635194605E-3</v>
      </c>
      <c r="O393" cm="1">
        <f t="array" ref="O393">IFERROR(IF(O383="Chemical",(10^(INDEX(Antoines,MATCH(O382,Antoine_Name,0),2)-INDEX(Antoines,MATCH(O382,Antoine_Name,0),3)/(INDEX(Antoines,MATCH(O382,Antoine_Name,0),4)+(O390-32)*5/9)))*14.7/760,IF(O383="Crude Oil",EXP((2799/(O390+459.6)-2.227)*LOG10(INDEX(FX_Input,AB$5,O$3*$Z$5+$AA$5))-(7261/(O390+459.6))+12.82),IF(O383="Refined Petroleum Stock",EXP((0.7553-(413/(O390+459.6)))*(INDEX(FX_Input,AB$5,O$3*$Z$5+$AA$5-1)^0.5)*LOG10(INDEX(FX_Input,AB$5,O$3*$Z$5+$AA$5))-(1.854-(1042/(O390+459.6)))*(INDEX(FX_Input,AB$5,O$3*$Z$5+$AA$5-1)^0.5)+((2416/(O390+459.6)-2.013)*LOG10(INDEX(FX_Input,AB$5,O$3*$Z$5+$AA$5)))-(8742/(O390+459.6))+15.64),EXP(INDEX(Antoines,MATCH(O382,Antoine_Name,0),2)-INDEX(Antoines,MATCH(O382,Antoine_Name,0),3)/(O390+459.6))))),0)</f>
        <v>4.4494006627366521E-3</v>
      </c>
    </row>
    <row r="394" spans="2:32" ht="17.149999999999999" x14ac:dyDescent="0.55000000000000004">
      <c r="B394" t="str">
        <f t="shared" si="1300"/>
        <v>Portland</v>
      </c>
      <c r="C394" t="s">
        <v>576</v>
      </c>
      <c r="D394">
        <f>D386*D393</f>
        <v>4.4953541371678231E-3</v>
      </c>
      <c r="E394">
        <f t="shared" ref="E394" si="1301">E386*E393</f>
        <v>4.6043729465544726E-3</v>
      </c>
      <c r="F394">
        <f t="shared" ref="F394" si="1302">F386*F393</f>
        <v>4.9179969260705328E-3</v>
      </c>
      <c r="G394">
        <f t="shared" ref="G394" si="1303">G386*G393</f>
        <v>5.479042667267656E-3</v>
      </c>
      <c r="H394">
        <f t="shared" ref="H394" si="1304">H386*H393</f>
        <v>6.5169685513364909E-3</v>
      </c>
      <c r="I394">
        <f t="shared" ref="I394" si="1305">I386*I393</f>
        <v>7.486267526260572E-3</v>
      </c>
      <c r="J394">
        <f t="shared" ref="J394" si="1306">J386*J393</f>
        <v>8.4364538110447557E-3</v>
      </c>
      <c r="K394">
        <f t="shared" ref="K394" si="1307">K386*K393</f>
        <v>8.4094446398714287E-3</v>
      </c>
      <c r="L394">
        <f t="shared" ref="L394" si="1308">L386*L393</f>
        <v>7.5207138884047006E-3</v>
      </c>
      <c r="M394">
        <f t="shared" ref="M394" si="1309">M386*M393</f>
        <v>6.0548274008136857E-3</v>
      </c>
      <c r="N394">
        <f t="shared" ref="N394" si="1310">N386*N393</f>
        <v>4.9828816635194605E-3</v>
      </c>
      <c r="O394">
        <f t="shared" ref="O394" si="1311">O386*O393</f>
        <v>4.4494006627366521E-3</v>
      </c>
    </row>
    <row r="395" spans="2:32" ht="17.149999999999999" x14ac:dyDescent="0.55000000000000004">
      <c r="B395" t="str">
        <f t="shared" si="1300"/>
        <v>Portland</v>
      </c>
      <c r="C395" t="s">
        <v>575</v>
      </c>
      <c r="D395" cm="1">
        <f t="array" ref="D395">IFERROR(IF(D385="Chemical",(10^(INDEX(Antoines,MATCH(D384,Antoine_Name,0),2)-INDEX(Antoines,MATCH(D384,Antoine_Name,0),3)/(INDEX(Antoines,MATCH(D384,Antoine_Name,0),4)+(D390-32)*5/9)))*14.7/760,IF(D385="Crude Oil",EXP((2799/(D390+459.6)-2.227)*LOG10(INDEX(FX_Input,Q$5,D$3*$Z$5+$AA$5))-(7261/(D390+459.6))+12.82),IF(D385="Refined Petroleum Stock",EXP((0.7553-(413/(D390+459.6)))*(INDEX(FX_Input,Q$5,D$3*$Z$5+$AA$5-1)^0.5)*LOG10(INDEX(FX_Input,Q$5,D$3*$Z$5+$AA$5))-(1.854-(1042/(D390+459.6)))*(INDEX(FX_Input,Q$5,D$3*$Z$5+$AA$5-1)^0.5)+((2416/(D390+459.6)-2.013)*LOG10(INDEX(FX_Input,Q$5,D$3*$Z$5+$AA$5)))-(8742/(D390+459.6))+15.64),EXP(INDEX(Antoines,MATCH(D384,Antoine_Name,0),2)-INDEX(Antoines,MATCH(D384,Antoine_Name,0),3)/(D390+459.6))))),0)</f>
        <v>0</v>
      </c>
      <c r="E395" cm="1">
        <f t="array" ref="E395">IFERROR(IF(E385="Chemical",(10^(INDEX(Antoines,MATCH(E384,Antoine_Name,0),2)-INDEX(Antoines,MATCH(E384,Antoine_Name,0),3)/(INDEX(Antoines,MATCH(E384,Antoine_Name,0),4)+(E390-32)*5/9)))*14.7/760,IF(E385="Crude Oil",EXP((2799/(E390+459.6)-2.227)*LOG10(INDEX(FX_Input,R$5,E$3*$Z$5+$AA$5))-(7261/(E390+459.6))+12.82),IF(E385="Refined Petroleum Stock",EXP((0.7553-(413/(E390+459.6)))*(INDEX(FX_Input,R$5,E$3*$Z$5+$AA$5-1)^0.5)*LOG10(INDEX(FX_Input,R$5,E$3*$Z$5+$AA$5))-(1.854-(1042/(E390+459.6)))*(INDEX(FX_Input,R$5,E$3*$Z$5+$AA$5-1)^0.5)+((2416/(E390+459.6)-2.013)*LOG10(INDEX(FX_Input,R$5,E$3*$Z$5+$AA$5)))-(8742/(E390+459.6))+15.64),EXP(INDEX(Antoines,MATCH(E384,Antoine_Name,0),2)-INDEX(Antoines,MATCH(E384,Antoine_Name,0),3)/(E390+459.6))))),0)</f>
        <v>0</v>
      </c>
      <c r="F395" cm="1">
        <f t="array" ref="F395">IFERROR(IF(F385="Chemical",(10^(INDEX(Antoines,MATCH(F384,Antoine_Name,0),2)-INDEX(Antoines,MATCH(F384,Antoine_Name,0),3)/(INDEX(Antoines,MATCH(F384,Antoine_Name,0),4)+(F390-32)*5/9)))*14.7/760,IF(F385="Crude Oil",EXP((2799/(F390+459.6)-2.227)*LOG10(INDEX(FX_Input,S$5,F$3*$Z$5+$AA$5))-(7261/(F390+459.6))+12.82),IF(F385="Refined Petroleum Stock",EXP((0.7553-(413/(F390+459.6)))*(INDEX(FX_Input,S$5,F$3*$Z$5+$AA$5-1)^0.5)*LOG10(INDEX(FX_Input,S$5,F$3*$Z$5+$AA$5))-(1.854-(1042/(F390+459.6)))*(INDEX(FX_Input,S$5,F$3*$Z$5+$AA$5-1)^0.5)+((2416/(F390+459.6)-2.013)*LOG10(INDEX(FX_Input,S$5,F$3*$Z$5+$AA$5)))-(8742/(F390+459.6))+15.64),EXP(INDEX(Antoines,MATCH(F384,Antoine_Name,0),2)-INDEX(Antoines,MATCH(F384,Antoine_Name,0),3)/(F390+459.6))))),0)</f>
        <v>0</v>
      </c>
      <c r="G395" cm="1">
        <f t="array" ref="G395">IFERROR(IF(G385="Chemical",(10^(INDEX(Antoines,MATCH(G384,Antoine_Name,0),2)-INDEX(Antoines,MATCH(G384,Antoine_Name,0),3)/(INDEX(Antoines,MATCH(G384,Antoine_Name,0),4)+(G390-32)*5/9)))*14.7/760,IF(G385="Crude Oil",EXP((2799/(G390+459.6)-2.227)*LOG10(INDEX(FX_Input,T$5,G$3*$Z$5+$AA$5))-(7261/(G390+459.6))+12.82),IF(G385="Refined Petroleum Stock",EXP((0.7553-(413/(G390+459.6)))*(INDEX(FX_Input,T$5,G$3*$Z$5+$AA$5-1)^0.5)*LOG10(INDEX(FX_Input,T$5,G$3*$Z$5+$AA$5))-(1.854-(1042/(G390+459.6)))*(INDEX(FX_Input,T$5,G$3*$Z$5+$AA$5-1)^0.5)+((2416/(G390+459.6)-2.013)*LOG10(INDEX(FX_Input,T$5,G$3*$Z$5+$AA$5)))-(8742/(G390+459.6))+15.64),EXP(INDEX(Antoines,MATCH(G384,Antoine_Name,0),2)-INDEX(Antoines,MATCH(G384,Antoine_Name,0),3)/(G390+459.6))))),0)</f>
        <v>0</v>
      </c>
      <c r="H395" cm="1">
        <f t="array" ref="H395">IFERROR(IF(H385="Chemical",(10^(INDEX(Antoines,MATCH(H384,Antoine_Name,0),2)-INDEX(Antoines,MATCH(H384,Antoine_Name,0),3)/(INDEX(Antoines,MATCH(H384,Antoine_Name,0),4)+(H390-32)*5/9)))*14.7/760,IF(H385="Crude Oil",EXP((2799/(H390+459.6)-2.227)*LOG10(INDEX(FX_Input,U$5,H$3*$Z$5+$AA$5))-(7261/(H390+459.6))+12.82),IF(H385="Refined Petroleum Stock",EXP((0.7553-(413/(H390+459.6)))*(INDEX(FX_Input,U$5,H$3*$Z$5+$AA$5-1)^0.5)*LOG10(INDEX(FX_Input,U$5,H$3*$Z$5+$AA$5))-(1.854-(1042/(H390+459.6)))*(INDEX(FX_Input,U$5,H$3*$Z$5+$AA$5-1)^0.5)+((2416/(H390+459.6)-2.013)*LOG10(INDEX(FX_Input,U$5,H$3*$Z$5+$AA$5)))-(8742/(H390+459.6))+15.64),EXP(INDEX(Antoines,MATCH(H384,Antoine_Name,0),2)-INDEX(Antoines,MATCH(H384,Antoine_Name,0),3)/(H390+459.6))))),0)</f>
        <v>0</v>
      </c>
      <c r="I395" cm="1">
        <f t="array" ref="I395">IFERROR(IF(I385="Chemical",(10^(INDEX(Antoines,MATCH(I384,Antoine_Name,0),2)-INDEX(Antoines,MATCH(I384,Antoine_Name,0),3)/(INDEX(Antoines,MATCH(I384,Antoine_Name,0),4)+(I390-32)*5/9)))*14.7/760,IF(I385="Crude Oil",EXP((2799/(I390+459.6)-2.227)*LOG10(INDEX(FX_Input,V$5,I$3*$Z$5+$AA$5))-(7261/(I390+459.6))+12.82),IF(I385="Refined Petroleum Stock",EXP((0.7553-(413/(I390+459.6)))*(INDEX(FX_Input,V$5,I$3*$Z$5+$AA$5-1)^0.5)*LOG10(INDEX(FX_Input,V$5,I$3*$Z$5+$AA$5))-(1.854-(1042/(I390+459.6)))*(INDEX(FX_Input,V$5,I$3*$Z$5+$AA$5-1)^0.5)+((2416/(I390+459.6)-2.013)*LOG10(INDEX(FX_Input,V$5,I$3*$Z$5+$AA$5)))-(8742/(I390+459.6))+15.64),EXP(INDEX(Antoines,MATCH(I384,Antoine_Name,0),2)-INDEX(Antoines,MATCH(I384,Antoine_Name,0),3)/(I390+459.6))))),0)</f>
        <v>0</v>
      </c>
      <c r="J395" cm="1">
        <f t="array" ref="J395">IFERROR(IF(J385="Chemical",(10^(INDEX(Antoines,MATCH(J384,Antoine_Name,0),2)-INDEX(Antoines,MATCH(J384,Antoine_Name,0),3)/(INDEX(Antoines,MATCH(J384,Antoine_Name,0),4)+(J390-32)*5/9)))*14.7/760,IF(J385="Crude Oil",EXP((2799/(J390+459.6)-2.227)*LOG10(INDEX(FX_Input,W$5,J$3*$Z$5+$AA$5))-(7261/(J390+459.6))+12.82),IF(J385="Refined Petroleum Stock",EXP((0.7553-(413/(J390+459.6)))*(INDEX(FX_Input,W$5,J$3*$Z$5+$AA$5-1)^0.5)*LOG10(INDEX(FX_Input,W$5,J$3*$Z$5+$AA$5))-(1.854-(1042/(J390+459.6)))*(INDEX(FX_Input,W$5,J$3*$Z$5+$AA$5-1)^0.5)+((2416/(J390+459.6)-2.013)*LOG10(INDEX(FX_Input,W$5,J$3*$Z$5+$AA$5)))-(8742/(J390+459.6))+15.64),EXP(INDEX(Antoines,MATCH(J384,Antoine_Name,0),2)-INDEX(Antoines,MATCH(J384,Antoine_Name,0),3)/(J390+459.6))))),0)</f>
        <v>0</v>
      </c>
      <c r="K395" cm="1">
        <f t="array" ref="K395">IFERROR(IF(K385="Chemical",(10^(INDEX(Antoines,MATCH(K384,Antoine_Name,0),2)-INDEX(Antoines,MATCH(K384,Antoine_Name,0),3)/(INDEX(Antoines,MATCH(K384,Antoine_Name,0),4)+(K390-32)*5/9)))*14.7/760,IF(K385="Crude Oil",EXP((2799/(K390+459.6)-2.227)*LOG10(INDEX(FX_Input,X$5,K$3*$Z$5+$AA$5))-(7261/(K390+459.6))+12.82),IF(K385="Refined Petroleum Stock",EXP((0.7553-(413/(K390+459.6)))*(INDEX(FX_Input,X$5,K$3*$Z$5+$AA$5-1)^0.5)*LOG10(INDEX(FX_Input,X$5,K$3*$Z$5+$AA$5))-(1.854-(1042/(K390+459.6)))*(INDEX(FX_Input,X$5,K$3*$Z$5+$AA$5-1)^0.5)+((2416/(K390+459.6)-2.013)*LOG10(INDEX(FX_Input,X$5,K$3*$Z$5+$AA$5)))-(8742/(K390+459.6))+15.64),EXP(INDEX(Antoines,MATCH(K384,Antoine_Name,0),2)-INDEX(Antoines,MATCH(K384,Antoine_Name,0),3)/(K390+459.6))))),0)</f>
        <v>0</v>
      </c>
      <c r="L395" cm="1">
        <f t="array" ref="L395">IFERROR(IF(L385="Chemical",(10^(INDEX(Antoines,MATCH(L384,Antoine_Name,0),2)-INDEX(Antoines,MATCH(L384,Antoine_Name,0),3)/(INDEX(Antoines,MATCH(L384,Antoine_Name,0),4)+(L390-32)*5/9)))*14.7/760,IF(L385="Crude Oil",EXP((2799/(L390+459.6)-2.227)*LOG10(INDEX(FX_Input,Y$5,L$3*$Z$5+$AA$5))-(7261/(L390+459.6))+12.82),IF(L385="Refined Petroleum Stock",EXP((0.7553-(413/(L390+459.6)))*(INDEX(FX_Input,Y$5,L$3*$Z$5+$AA$5-1)^0.5)*LOG10(INDEX(FX_Input,Y$5,L$3*$Z$5+$AA$5))-(1.854-(1042/(L390+459.6)))*(INDEX(FX_Input,Y$5,L$3*$Z$5+$AA$5-1)^0.5)+((2416/(L390+459.6)-2.013)*LOG10(INDEX(FX_Input,Y$5,L$3*$Z$5+$AA$5)))-(8742/(L390+459.6))+15.64),EXP(INDEX(Antoines,MATCH(L384,Antoine_Name,0),2)-INDEX(Antoines,MATCH(L384,Antoine_Name,0),3)/(L390+459.6))))),0)</f>
        <v>0</v>
      </c>
      <c r="M395" cm="1">
        <f t="array" ref="M395">IFERROR(IF(M385="Chemical",(10^(INDEX(Antoines,MATCH(M384,Antoine_Name,0),2)-INDEX(Antoines,MATCH(M384,Antoine_Name,0),3)/(INDEX(Antoines,MATCH(M384,Antoine_Name,0),4)+(M390-32)*5/9)))*14.7/760,IF(M385="Crude Oil",EXP((2799/(M390+459.6)-2.227)*LOG10(INDEX(FX_Input,Z$5,M$3*$Z$5+$AA$5))-(7261/(M390+459.6))+12.82),IF(M385="Refined Petroleum Stock",EXP((0.7553-(413/(M390+459.6)))*(INDEX(FX_Input,Z$5,M$3*$Z$5+$AA$5-1)^0.5)*LOG10(INDEX(FX_Input,Z$5,M$3*$Z$5+$AA$5))-(1.854-(1042/(M390+459.6)))*(INDEX(FX_Input,Z$5,M$3*$Z$5+$AA$5-1)^0.5)+((2416/(M390+459.6)-2.013)*LOG10(INDEX(FX_Input,Z$5,M$3*$Z$5+$AA$5)))-(8742/(M390+459.6))+15.64),EXP(INDEX(Antoines,MATCH(M384,Antoine_Name,0),2)-INDEX(Antoines,MATCH(M384,Antoine_Name,0),3)/(M390+459.6))))),0)</f>
        <v>0</v>
      </c>
      <c r="N395" cm="1">
        <f t="array" ref="N395">IFERROR(IF(N385="Chemical",(10^(INDEX(Antoines,MATCH(N384,Antoine_Name,0),2)-INDEX(Antoines,MATCH(N384,Antoine_Name,0),3)/(INDEX(Antoines,MATCH(N384,Antoine_Name,0),4)+(N390-32)*5/9)))*14.7/760,IF(N385="Crude Oil",EXP((2799/(N390+459.6)-2.227)*LOG10(INDEX(FX_Input,AA$5,N$3*$Z$5+$AA$5))-(7261/(N390+459.6))+12.82),IF(N385="Refined Petroleum Stock",EXP((0.7553-(413/(N390+459.6)))*(INDEX(FX_Input,AA$5,N$3*$Z$5+$AA$5-1)^0.5)*LOG10(INDEX(FX_Input,AA$5,N$3*$Z$5+$AA$5))-(1.854-(1042/(N390+459.6)))*(INDEX(FX_Input,AA$5,N$3*$Z$5+$AA$5-1)^0.5)+((2416/(N390+459.6)-2.013)*LOG10(INDEX(FX_Input,AA$5,N$3*$Z$5+$AA$5)))-(8742/(N390+459.6))+15.64),EXP(INDEX(Antoines,MATCH(N384,Antoine_Name,0),2)-INDEX(Antoines,MATCH(N384,Antoine_Name,0),3)/(N390+459.6))))),0)</f>
        <v>0</v>
      </c>
      <c r="O395" cm="1">
        <f t="array" ref="O395">IFERROR(IF(O385="Chemical",(10^(INDEX(Antoines,MATCH(O384,Antoine_Name,0),2)-INDEX(Antoines,MATCH(O384,Antoine_Name,0),3)/(INDEX(Antoines,MATCH(O384,Antoine_Name,0),4)+(O390-32)*5/9)))*14.7/760,IF(O385="Crude Oil",EXP((2799/(O390+459.6)-2.227)*LOG10(INDEX(FX_Input,AB$5,O$3*$Z$5+$AA$5))-(7261/(O390+459.6))+12.82),IF(O385="Refined Petroleum Stock",EXP((0.7553-(413/(O390+459.6)))*(INDEX(FX_Input,AB$5,O$3*$Z$5+$AA$5-1)^0.5)*LOG10(INDEX(FX_Input,AB$5,O$3*$Z$5+$AA$5))-(1.854-(1042/(O390+459.6)))*(INDEX(FX_Input,AB$5,O$3*$Z$5+$AA$5-1)^0.5)+((2416/(O390+459.6)-2.013)*LOG10(INDEX(FX_Input,AB$5,O$3*$Z$5+$AA$5)))-(8742/(O390+459.6))+15.64),EXP(INDEX(Antoines,MATCH(O384,Antoine_Name,0),2)-INDEX(Antoines,MATCH(O384,Antoine_Name,0),3)/(O390+459.6))))),0)</f>
        <v>0</v>
      </c>
    </row>
    <row r="396" spans="2:32" ht="17.149999999999999" x14ac:dyDescent="0.55000000000000004">
      <c r="B396" t="str">
        <f t="shared" si="1300"/>
        <v>Portland</v>
      </c>
      <c r="C396" t="s">
        <v>577</v>
      </c>
      <c r="D396">
        <f>D395*D388</f>
        <v>0</v>
      </c>
      <c r="E396">
        <f t="shared" ref="E396" si="1312">E395*E388</f>
        <v>0</v>
      </c>
      <c r="F396">
        <f t="shared" ref="F396" si="1313">F395*F388</f>
        <v>0</v>
      </c>
      <c r="G396">
        <f t="shared" ref="G396" si="1314">G395*G388</f>
        <v>0</v>
      </c>
      <c r="H396">
        <f t="shared" ref="H396" si="1315">H395*H388</f>
        <v>0</v>
      </c>
      <c r="I396">
        <f t="shared" ref="I396" si="1316">I395*I388</f>
        <v>0</v>
      </c>
      <c r="J396">
        <f t="shared" ref="J396" si="1317">J395*J388</f>
        <v>0</v>
      </c>
      <c r="K396">
        <f t="shared" ref="K396" si="1318">K395*K388</f>
        <v>0</v>
      </c>
      <c r="L396">
        <f t="shared" ref="L396" si="1319">L395*L388</f>
        <v>0</v>
      </c>
      <c r="M396">
        <f t="shared" ref="M396" si="1320">M395*M388</f>
        <v>0</v>
      </c>
      <c r="N396">
        <f t="shared" ref="N396" si="1321">N395*N388</f>
        <v>0</v>
      </c>
      <c r="O396">
        <f t="shared" ref="O396" si="1322">O395*O388</f>
        <v>0</v>
      </c>
    </row>
    <row r="397" spans="2:32" ht="17.149999999999999" x14ac:dyDescent="0.55000000000000004">
      <c r="B397" t="str">
        <f t="shared" si="1300"/>
        <v>Portland</v>
      </c>
      <c r="C397" t="s">
        <v>578</v>
      </c>
      <c r="D397">
        <f>D396+D394</f>
        <v>4.4953541371678231E-3</v>
      </c>
      <c r="E397">
        <f t="shared" ref="E397" si="1323">E396+E394</f>
        <v>4.6043729465544726E-3</v>
      </c>
      <c r="F397">
        <f t="shared" ref="F397" si="1324">F396+F394</f>
        <v>4.9179969260705328E-3</v>
      </c>
      <c r="G397">
        <f t="shared" ref="G397" si="1325">G396+G394</f>
        <v>5.479042667267656E-3</v>
      </c>
      <c r="H397">
        <f t="shared" ref="H397" si="1326">H396+H394</f>
        <v>6.5169685513364909E-3</v>
      </c>
      <c r="I397">
        <f t="shared" ref="I397" si="1327">I396+I394</f>
        <v>7.486267526260572E-3</v>
      </c>
      <c r="J397">
        <f t="shared" ref="J397" si="1328">J396+J394</f>
        <v>8.4364538110447557E-3</v>
      </c>
      <c r="K397">
        <f t="shared" ref="K397" si="1329">K396+K394</f>
        <v>8.4094446398714287E-3</v>
      </c>
      <c r="L397">
        <f t="shared" ref="L397" si="1330">L396+L394</f>
        <v>7.5207138884047006E-3</v>
      </c>
      <c r="M397">
        <f t="shared" ref="M397" si="1331">M396+M394</f>
        <v>6.0548274008136857E-3</v>
      </c>
      <c r="N397">
        <f t="shared" ref="N397" si="1332">N396+N394</f>
        <v>4.9828816635194605E-3</v>
      </c>
      <c r="O397">
        <f t="shared" ref="O397" si="1333">O396+O394</f>
        <v>4.4494006627366521E-3</v>
      </c>
    </row>
    <row r="398" spans="2:32" ht="17.149999999999999" x14ac:dyDescent="0.55000000000000004">
      <c r="B398" t="str">
        <f t="shared" si="1300"/>
        <v>Portland</v>
      </c>
      <c r="C398" t="s">
        <v>579</v>
      </c>
      <c r="D398" cm="1">
        <f t="array" ref="D398">IFERROR(IF(D383="Chemical",(10^(INDEX(Antoines,MATCH(D382,Antoine_Name,0),2)-INDEX(Antoines,MATCH(D382,Antoine_Name,0),3)/(INDEX(Antoines,MATCH(D382,Antoine_Name,0),4)+(D391-32)*5/9)))*14.7/760,IF(D383="Crude Oil",EXP((2799/(D391+459.6)-2.227)*LOG10(INDEX(FX_Input,Q$5,D$3*$Z$5+$AA$5))-(7261/(D391+459.6))+12.82),IF(D383="Refined Petroleum Stock",EXP((0.7553-(413/(D391+459.6)))*(INDEX(FX_Input,Q$5,D$3*$Z$5+$AA$5-1)^0.5)*LOG10(INDEX(FX_Input,Q$5,D$3*$Z$5+$AA$5))-(1.854-(1042/(D391+459.6)))*(INDEX(FX_Input,Q$5,D$3*$Z$5+$AA$5-1)^0.5)+((2416/(D391+459.6)-2.013)*LOG10(INDEX(FX_Input,Q$5,D$3*$Z$5+$AA$5)))-(8742/(D391+459.6))+15.64),EXP(INDEX(Antoines,MATCH(D382,Antoine_Name,0),2)-INDEX(Antoines,MATCH(D382,Antoine_Name,0),3)/(D391+459.6))))),0)</f>
        <v>5.2033036727344552E-3</v>
      </c>
      <c r="E398" cm="1">
        <f t="array" ref="E398">IFERROR(IF(E383="Chemical",(10^(INDEX(Antoines,MATCH(E382,Antoine_Name,0),2)-INDEX(Antoines,MATCH(E382,Antoine_Name,0),3)/(INDEX(Antoines,MATCH(E382,Antoine_Name,0),4)+(E391-32)*5/9)))*14.7/760,IF(E383="Crude Oil",EXP((2799/(E391+459.6)-2.227)*LOG10(INDEX(FX_Input,R$5,E$3*$Z$5+$AA$5))-(7261/(E391+459.6))+12.82),IF(E383="Refined Petroleum Stock",EXP((0.7553-(413/(E391+459.6)))*(INDEX(FX_Input,R$5,E$3*$Z$5+$AA$5-1)^0.5)*LOG10(INDEX(FX_Input,R$5,E$3*$Z$5+$AA$5))-(1.854-(1042/(E391+459.6)))*(INDEX(FX_Input,R$5,E$3*$Z$5+$AA$5-1)^0.5)+((2416/(E391+459.6)-2.013)*LOG10(INDEX(FX_Input,R$5,E$3*$Z$5+$AA$5)))-(8742/(E391+459.6))+15.64),EXP(INDEX(Antoines,MATCH(E382,Antoine_Name,0),2)-INDEX(Antoines,MATCH(E382,Antoine_Name,0),3)/(E391+459.6))))),0)</f>
        <v>5.5385065183370758E-3</v>
      </c>
      <c r="F398" cm="1">
        <f t="array" ref="F398">IFERROR(IF(F383="Chemical",(10^(INDEX(Antoines,MATCH(F382,Antoine_Name,0),2)-INDEX(Antoines,MATCH(F382,Antoine_Name,0),3)/(INDEX(Antoines,MATCH(F382,Antoine_Name,0),4)+(F391-32)*5/9)))*14.7/760,IF(F383="Crude Oil",EXP((2799/(F391+459.6)-2.227)*LOG10(INDEX(FX_Input,S$5,F$3*$Z$5+$AA$5))-(7261/(F391+459.6))+12.82),IF(F383="Refined Petroleum Stock",EXP((0.7553-(413/(F391+459.6)))*(INDEX(FX_Input,S$5,F$3*$Z$5+$AA$5-1)^0.5)*LOG10(INDEX(FX_Input,S$5,F$3*$Z$5+$AA$5))-(1.854-(1042/(F391+459.6)))*(INDEX(FX_Input,S$5,F$3*$Z$5+$AA$5-1)^0.5)+((2416/(F391+459.6)-2.013)*LOG10(INDEX(FX_Input,S$5,F$3*$Z$5+$AA$5)))-(8742/(F391+459.6))+15.64),EXP(INDEX(Antoines,MATCH(F382,Antoine_Name,0),2)-INDEX(Antoines,MATCH(F382,Antoine_Name,0),3)/(F391+459.6))))),0)</f>
        <v>5.9077167859673575E-3</v>
      </c>
      <c r="G398" cm="1">
        <f t="array" ref="G398">IFERROR(IF(G383="Chemical",(10^(INDEX(Antoines,MATCH(G382,Antoine_Name,0),2)-INDEX(Antoines,MATCH(G382,Antoine_Name,0),3)/(INDEX(Antoines,MATCH(G382,Antoine_Name,0),4)+(G391-32)*5/9)))*14.7/760,IF(G383="Crude Oil",EXP((2799/(G391+459.6)-2.227)*LOG10(INDEX(FX_Input,T$5,G$3*$Z$5+$AA$5))-(7261/(G391+459.6))+12.82),IF(G383="Refined Petroleum Stock",EXP((0.7553-(413/(G391+459.6)))*(INDEX(FX_Input,T$5,G$3*$Z$5+$AA$5-1)^0.5)*LOG10(INDEX(FX_Input,T$5,G$3*$Z$5+$AA$5))-(1.854-(1042/(G391+459.6)))*(INDEX(FX_Input,T$5,G$3*$Z$5+$AA$5-1)^0.5)+((2416/(G391+459.6)-2.013)*LOG10(INDEX(FX_Input,T$5,G$3*$Z$5+$AA$5)))-(8742/(G391+459.6))+15.64),EXP(INDEX(Antoines,MATCH(G382,Antoine_Name,0),2)-INDEX(Antoines,MATCH(G382,Antoine_Name,0),3)/(G391+459.6))))),0)</f>
        <v>6.5849388112918178E-3</v>
      </c>
      <c r="H398" cm="1">
        <f t="array" ref="H398">IFERROR(IF(H383="Chemical",(10^(INDEX(Antoines,MATCH(H382,Antoine_Name,0),2)-INDEX(Antoines,MATCH(H382,Antoine_Name,0),3)/(INDEX(Antoines,MATCH(H382,Antoine_Name,0),4)+(H391-32)*5/9)))*14.7/760,IF(H383="Crude Oil",EXP((2799/(H391+459.6)-2.227)*LOG10(INDEX(FX_Input,U$5,H$3*$Z$5+$AA$5))-(7261/(H391+459.6))+12.82),IF(H383="Refined Petroleum Stock",EXP((0.7553-(413/(H391+459.6)))*(INDEX(FX_Input,U$5,H$3*$Z$5+$AA$5-1)^0.5)*LOG10(INDEX(FX_Input,U$5,H$3*$Z$5+$AA$5))-(1.854-(1042/(H391+459.6)))*(INDEX(FX_Input,U$5,H$3*$Z$5+$AA$5-1)^0.5)+((2416/(H391+459.6)-2.013)*LOG10(INDEX(FX_Input,U$5,H$3*$Z$5+$AA$5)))-(8742/(H391+459.6))+15.64),EXP(INDEX(Antoines,MATCH(H382,Antoine_Name,0),2)-INDEX(Antoines,MATCH(H382,Antoine_Name,0),3)/(H391+459.6))))),0)</f>
        <v>7.7939195379121001E-3</v>
      </c>
      <c r="I398" cm="1">
        <f t="array" ref="I398">IFERROR(IF(I383="Chemical",(10^(INDEX(Antoines,MATCH(I382,Antoine_Name,0),2)-INDEX(Antoines,MATCH(I382,Antoine_Name,0),3)/(INDEX(Antoines,MATCH(I382,Antoine_Name,0),4)+(I391-32)*5/9)))*14.7/760,IF(I383="Crude Oil",EXP((2799/(I391+459.6)-2.227)*LOG10(INDEX(FX_Input,V$5,I$3*$Z$5+$AA$5))-(7261/(I391+459.6))+12.82),IF(I383="Refined Petroleum Stock",EXP((0.7553-(413/(I391+459.6)))*(INDEX(FX_Input,V$5,I$3*$Z$5+$AA$5-1)^0.5)*LOG10(INDEX(FX_Input,V$5,I$3*$Z$5+$AA$5))-(1.854-(1042/(I391+459.6)))*(INDEX(FX_Input,V$5,I$3*$Z$5+$AA$5-1)^0.5)+((2416/(I391+459.6)-2.013)*LOG10(INDEX(FX_Input,V$5,I$3*$Z$5+$AA$5)))-(8742/(I391+459.6))+15.64),EXP(INDEX(Antoines,MATCH(I382,Antoine_Name,0),2)-INDEX(Antoines,MATCH(I382,Antoine_Name,0),3)/(I391+459.6))))),0)</f>
        <v>8.8347329003026723E-3</v>
      </c>
      <c r="J398" cm="1">
        <f t="array" ref="J398">IFERROR(IF(J383="Chemical",(10^(INDEX(Antoines,MATCH(J382,Antoine_Name,0),2)-INDEX(Antoines,MATCH(J382,Antoine_Name,0),3)/(INDEX(Antoines,MATCH(J382,Antoine_Name,0),4)+(J391-32)*5/9)))*14.7/760,IF(J383="Crude Oil",EXP((2799/(J391+459.6)-2.227)*LOG10(INDEX(FX_Input,W$5,J$3*$Z$5+$AA$5))-(7261/(J391+459.6))+12.82),IF(J383="Refined Petroleum Stock",EXP((0.7553-(413/(J391+459.6)))*(INDEX(FX_Input,W$5,J$3*$Z$5+$AA$5-1)^0.5)*LOG10(INDEX(FX_Input,W$5,J$3*$Z$5+$AA$5))-(1.854-(1042/(J391+459.6)))*(INDEX(FX_Input,W$5,J$3*$Z$5+$AA$5-1)^0.5)+((2416/(J391+459.6)-2.013)*LOG10(INDEX(FX_Input,W$5,J$3*$Z$5+$AA$5)))-(8742/(J391+459.6))+15.64),EXP(INDEX(Antoines,MATCH(J382,Antoine_Name,0),2)-INDEX(Antoines,MATCH(J382,Antoine_Name,0),3)/(J391+459.6))))),0)</f>
        <v>9.9592296270275289E-3</v>
      </c>
      <c r="K398" cm="1">
        <f t="array" ref="K398">IFERROR(IF(K383="Chemical",(10^(INDEX(Antoines,MATCH(K382,Antoine_Name,0),2)-INDEX(Antoines,MATCH(K382,Antoine_Name,0),3)/(INDEX(Antoines,MATCH(K382,Antoine_Name,0),4)+(K391-32)*5/9)))*14.7/760,IF(K383="Crude Oil",EXP((2799/(K391+459.6)-2.227)*LOG10(INDEX(FX_Input,X$5,K$3*$Z$5+$AA$5))-(7261/(K391+459.6))+12.82),IF(K383="Refined Petroleum Stock",EXP((0.7553-(413/(K391+459.6)))*(INDEX(FX_Input,X$5,K$3*$Z$5+$AA$5-1)^0.5)*LOG10(INDEX(FX_Input,X$5,K$3*$Z$5+$AA$5))-(1.854-(1042/(K391+459.6)))*(INDEX(FX_Input,X$5,K$3*$Z$5+$AA$5-1)^0.5)+((2416/(K391+459.6)-2.013)*LOG10(INDEX(FX_Input,X$5,K$3*$Z$5+$AA$5)))-(8742/(K391+459.6))+15.64),EXP(INDEX(Antoines,MATCH(K382,Antoine_Name,0),2)-INDEX(Antoines,MATCH(K382,Antoine_Name,0),3)/(K391+459.6))))),0)</f>
        <v>1.0044214742690162E-2</v>
      </c>
      <c r="L398" cm="1">
        <f t="array" ref="L398">IFERROR(IF(L383="Chemical",(10^(INDEX(Antoines,MATCH(L382,Antoine_Name,0),2)-INDEX(Antoines,MATCH(L382,Antoine_Name,0),3)/(INDEX(Antoines,MATCH(L382,Antoine_Name,0),4)+(L391-32)*5/9)))*14.7/760,IF(L383="Crude Oil",EXP((2799/(L391+459.6)-2.227)*LOG10(INDEX(FX_Input,Y$5,L$3*$Z$5+$AA$5))-(7261/(L391+459.6))+12.82),IF(L383="Refined Petroleum Stock",EXP((0.7553-(413/(L391+459.6)))*(INDEX(FX_Input,Y$5,L$3*$Z$5+$AA$5-1)^0.5)*LOG10(INDEX(FX_Input,Y$5,L$3*$Z$5+$AA$5))-(1.854-(1042/(L391+459.6)))*(INDEX(FX_Input,Y$5,L$3*$Z$5+$AA$5-1)^0.5)+((2416/(L391+459.6)-2.013)*LOG10(INDEX(FX_Input,Y$5,L$3*$Z$5+$AA$5)))-(8742/(L391+459.6))+15.64),EXP(INDEX(Antoines,MATCH(L382,Antoine_Name,0),2)-INDEX(Antoines,MATCH(L382,Antoine_Name,0),3)/(L391+459.6))))),0)</f>
        <v>9.3389439263883208E-3</v>
      </c>
      <c r="M398" cm="1">
        <f t="array" ref="M398">IFERROR(IF(M383="Chemical",(10^(INDEX(Antoines,MATCH(M382,Antoine_Name,0),2)-INDEX(Antoines,MATCH(M382,Antoine_Name,0),3)/(INDEX(Antoines,MATCH(M382,Antoine_Name,0),4)+(M391-32)*5/9)))*14.7/760,IF(M383="Crude Oil",EXP((2799/(M391+459.6)-2.227)*LOG10(INDEX(FX_Input,Z$5,M$3*$Z$5+$AA$5))-(7261/(M391+459.6))+12.82),IF(M383="Refined Petroleum Stock",EXP((0.7553-(413/(M391+459.6)))*(INDEX(FX_Input,Z$5,M$3*$Z$5+$AA$5-1)^0.5)*LOG10(INDEX(FX_Input,Z$5,M$3*$Z$5+$AA$5))-(1.854-(1042/(M391+459.6)))*(INDEX(FX_Input,Z$5,M$3*$Z$5+$AA$5-1)^0.5)+((2416/(M391+459.6)-2.013)*LOG10(INDEX(FX_Input,Z$5,M$3*$Z$5+$AA$5)))-(8742/(M391+459.6))+15.64),EXP(INDEX(Antoines,MATCH(M382,Antoine_Name,0),2)-INDEX(Antoines,MATCH(M382,Antoine_Name,0),3)/(M391+459.6))))),0)</f>
        <v>7.3896033166885589E-3</v>
      </c>
      <c r="N398" cm="1">
        <f t="array" ref="N398">IFERROR(IF(N383="Chemical",(10^(INDEX(Antoines,MATCH(N382,Antoine_Name,0),2)-INDEX(Antoines,MATCH(N382,Antoine_Name,0),3)/(INDEX(Antoines,MATCH(N382,Antoine_Name,0),4)+(N391-32)*5/9)))*14.7/760,IF(N383="Crude Oil",EXP((2799/(N391+459.6)-2.227)*LOG10(INDEX(FX_Input,AA$5,N$3*$Z$5+$AA$5))-(7261/(N391+459.6))+12.82),IF(N383="Refined Petroleum Stock",EXP((0.7553-(413/(N391+459.6)))*(INDEX(FX_Input,AA$5,N$3*$Z$5+$AA$5-1)^0.5)*LOG10(INDEX(FX_Input,AA$5,N$3*$Z$5+$AA$5))-(1.854-(1042/(N391+459.6)))*(INDEX(FX_Input,AA$5,N$3*$Z$5+$AA$5-1)^0.5)+((2416/(N391+459.6)-2.013)*LOG10(INDEX(FX_Input,AA$5,N$3*$Z$5+$AA$5)))-(8742/(N391+459.6))+15.64),EXP(INDEX(Antoines,MATCH(N382,Antoine_Name,0),2)-INDEX(Antoines,MATCH(N382,Antoine_Name,0),3)/(N391+459.6))))),0)</f>
        <v>5.902399466128503E-3</v>
      </c>
      <c r="O398" cm="1">
        <f t="array" ref="O398">IFERROR(IF(O383="Chemical",(10^(INDEX(Antoines,MATCH(O382,Antoine_Name,0),2)-INDEX(Antoines,MATCH(O382,Antoine_Name,0),3)/(INDEX(Antoines,MATCH(O382,Antoine_Name,0),4)+(O391-32)*5/9)))*14.7/760,IF(O383="Crude Oil",EXP((2799/(O391+459.6)-2.227)*LOG10(INDEX(FX_Input,AB$5,O$3*$Z$5+$AA$5))-(7261/(O391+459.6))+12.82),IF(O383="Refined Petroleum Stock",EXP((0.7553-(413/(O391+459.6)))*(INDEX(FX_Input,AB$5,O$3*$Z$5+$AA$5-1)^0.5)*LOG10(INDEX(FX_Input,AB$5,O$3*$Z$5+$AA$5))-(1.854-(1042/(O391+459.6)))*(INDEX(FX_Input,AB$5,O$3*$Z$5+$AA$5-1)^0.5)+((2416/(O391+459.6)-2.013)*LOG10(INDEX(FX_Input,AB$5,O$3*$Z$5+$AA$5)))-(8742/(O391+459.6))+15.64),EXP(INDEX(Antoines,MATCH(O382,Antoine_Name,0),2)-INDEX(Antoines,MATCH(O382,Antoine_Name,0),3)/(O391+459.6))))),0)</f>
        <v>5.1222820261006847E-3</v>
      </c>
    </row>
    <row r="399" spans="2:32" ht="17.149999999999999" x14ac:dyDescent="0.55000000000000004">
      <c r="B399" t="str">
        <f t="shared" si="1300"/>
        <v>Portland</v>
      </c>
      <c r="C399" t="s">
        <v>580</v>
      </c>
      <c r="D399">
        <f>D398*D386</f>
        <v>5.2033036727344552E-3</v>
      </c>
      <c r="E399">
        <f t="shared" ref="E399" si="1334">E398*E386</f>
        <v>5.5385065183370758E-3</v>
      </c>
      <c r="F399">
        <f t="shared" ref="F399" si="1335">F398*F386</f>
        <v>5.9077167859673575E-3</v>
      </c>
      <c r="G399">
        <f t="shared" ref="G399" si="1336">G398*G386</f>
        <v>6.5849388112918178E-3</v>
      </c>
      <c r="H399">
        <f t="shared" ref="H399" si="1337">H398*H386</f>
        <v>7.7939195379121001E-3</v>
      </c>
      <c r="I399">
        <f t="shared" ref="I399" si="1338">I398*I386</f>
        <v>8.8347329003026723E-3</v>
      </c>
      <c r="J399">
        <f t="shared" ref="J399" si="1339">J398*J386</f>
        <v>9.9592296270275289E-3</v>
      </c>
      <c r="K399">
        <f t="shared" ref="K399" si="1340">K398*K386</f>
        <v>1.0044214742690162E-2</v>
      </c>
      <c r="L399">
        <f t="shared" ref="L399" si="1341">L398*L386</f>
        <v>9.3389439263883208E-3</v>
      </c>
      <c r="M399">
        <f t="shared" ref="M399" si="1342">M398*M386</f>
        <v>7.3896033166885589E-3</v>
      </c>
      <c r="N399">
        <f t="shared" ref="N399" si="1343">N398*N386</f>
        <v>5.902399466128503E-3</v>
      </c>
      <c r="O399">
        <f t="shared" ref="O399" si="1344">O398*O386</f>
        <v>5.1222820261006847E-3</v>
      </c>
    </row>
    <row r="400" spans="2:32" ht="17.149999999999999" x14ac:dyDescent="0.55000000000000004">
      <c r="B400" t="str">
        <f t="shared" si="1300"/>
        <v>Portland</v>
      </c>
      <c r="C400" t="s">
        <v>581</v>
      </c>
      <c r="D400" cm="1">
        <f t="array" ref="D400">IFERROR(IF(D385="Chemical",(10^(INDEX(Antoines,MATCH(D384,Antoine_Name,0),2)-INDEX(Antoines,MATCH(D384,Antoine_Name,0),3)/(INDEX(Antoines,MATCH(D384,Antoine_Name,0),4)+(D391-32)*5/9)))*14.7/760,IF(D385="Crude Oil",EXP((2799/(D391+459.6)-2.227)*LOG10(INDEX(FX_Input,Q$5,D$3*$Z$5+$AA$5))-(7261/(D391+459.6))+12.82),IF(D385="Refined Petroleum Stock",EXP((0.7553-(413/(D391+459.6)))*(INDEX(FX_Input,Q$5,D$3*$Z$5+$AA$5-1)^0.5)*LOG10(INDEX(FX_Input,Q$5,D$3*$Z$5+$AA$5))-(1.854-(1042/(D391+459.6)))*(INDEX(FX_Input,Q$5,D$3*$Z$5+$AA$5-1)^0.5)+((2416/(D391+459.6)-2.013)*LOG10(INDEX(FX_Input,Q$5,D$3*$Z$5+$AA$5)))-(8742/(D391+459.6))+15.64),EXP(INDEX(Antoines,MATCH(D384,Antoine_Name,0),2)-INDEX(Antoines,MATCH(D384,Antoine_Name,0),3)/(D391+459.6))))),0)</f>
        <v>0</v>
      </c>
      <c r="E400" cm="1">
        <f t="array" ref="E400">IFERROR(IF(E385="Chemical",(10^(INDEX(Antoines,MATCH(E384,Antoine_Name,0),2)-INDEX(Antoines,MATCH(E384,Antoine_Name,0),3)/(INDEX(Antoines,MATCH(E384,Antoine_Name,0),4)+(E391-32)*5/9)))*14.7/760,IF(E385="Crude Oil",EXP((2799/(E391+459.6)-2.227)*LOG10(INDEX(FX_Input,R$5,E$3*$Z$5+$AA$5))-(7261/(E391+459.6))+12.82),IF(E385="Refined Petroleum Stock",EXP((0.7553-(413/(E391+459.6)))*(INDEX(FX_Input,R$5,E$3*$Z$5+$AA$5-1)^0.5)*LOG10(INDEX(FX_Input,R$5,E$3*$Z$5+$AA$5))-(1.854-(1042/(E391+459.6)))*(INDEX(FX_Input,R$5,E$3*$Z$5+$AA$5-1)^0.5)+((2416/(E391+459.6)-2.013)*LOG10(INDEX(FX_Input,R$5,E$3*$Z$5+$AA$5)))-(8742/(E391+459.6))+15.64),EXP(INDEX(Antoines,MATCH(E384,Antoine_Name,0),2)-INDEX(Antoines,MATCH(E384,Antoine_Name,0),3)/(E391+459.6))))),0)</f>
        <v>0</v>
      </c>
      <c r="F400" cm="1">
        <f t="array" ref="F400">IFERROR(IF(F385="Chemical",(10^(INDEX(Antoines,MATCH(F384,Antoine_Name,0),2)-INDEX(Antoines,MATCH(F384,Antoine_Name,0),3)/(INDEX(Antoines,MATCH(F384,Antoine_Name,0),4)+(F391-32)*5/9)))*14.7/760,IF(F385="Crude Oil",EXP((2799/(F391+459.6)-2.227)*LOG10(INDEX(FX_Input,S$5,F$3*$Z$5+$AA$5))-(7261/(F391+459.6))+12.82),IF(F385="Refined Petroleum Stock",EXP((0.7553-(413/(F391+459.6)))*(INDEX(FX_Input,S$5,F$3*$Z$5+$AA$5-1)^0.5)*LOG10(INDEX(FX_Input,S$5,F$3*$Z$5+$AA$5))-(1.854-(1042/(F391+459.6)))*(INDEX(FX_Input,S$5,F$3*$Z$5+$AA$5-1)^0.5)+((2416/(F391+459.6)-2.013)*LOG10(INDEX(FX_Input,S$5,F$3*$Z$5+$AA$5)))-(8742/(F391+459.6))+15.64),EXP(INDEX(Antoines,MATCH(F384,Antoine_Name,0),2)-INDEX(Antoines,MATCH(F384,Antoine_Name,0),3)/(F391+459.6))))),0)</f>
        <v>0</v>
      </c>
      <c r="G400" cm="1">
        <f t="array" ref="G400">IFERROR(IF(G385="Chemical",(10^(INDEX(Antoines,MATCH(G384,Antoine_Name,0),2)-INDEX(Antoines,MATCH(G384,Antoine_Name,0),3)/(INDEX(Antoines,MATCH(G384,Antoine_Name,0),4)+(G391-32)*5/9)))*14.7/760,IF(G385="Crude Oil",EXP((2799/(G391+459.6)-2.227)*LOG10(INDEX(FX_Input,T$5,G$3*$Z$5+$AA$5))-(7261/(G391+459.6))+12.82),IF(G385="Refined Petroleum Stock",EXP((0.7553-(413/(G391+459.6)))*(INDEX(FX_Input,T$5,G$3*$Z$5+$AA$5-1)^0.5)*LOG10(INDEX(FX_Input,T$5,G$3*$Z$5+$AA$5))-(1.854-(1042/(G391+459.6)))*(INDEX(FX_Input,T$5,G$3*$Z$5+$AA$5-1)^0.5)+((2416/(G391+459.6)-2.013)*LOG10(INDEX(FX_Input,T$5,G$3*$Z$5+$AA$5)))-(8742/(G391+459.6))+15.64),EXP(INDEX(Antoines,MATCH(G384,Antoine_Name,0),2)-INDEX(Antoines,MATCH(G384,Antoine_Name,0),3)/(G391+459.6))))),0)</f>
        <v>0</v>
      </c>
      <c r="H400" cm="1">
        <f t="array" ref="H400">IFERROR(IF(H385="Chemical",(10^(INDEX(Antoines,MATCH(H384,Antoine_Name,0),2)-INDEX(Antoines,MATCH(H384,Antoine_Name,0),3)/(INDEX(Antoines,MATCH(H384,Antoine_Name,0),4)+(H391-32)*5/9)))*14.7/760,IF(H385="Crude Oil",EXP((2799/(H391+459.6)-2.227)*LOG10(INDEX(FX_Input,U$5,H$3*$Z$5+$AA$5))-(7261/(H391+459.6))+12.82),IF(H385="Refined Petroleum Stock",EXP((0.7553-(413/(H391+459.6)))*(INDEX(FX_Input,U$5,H$3*$Z$5+$AA$5-1)^0.5)*LOG10(INDEX(FX_Input,U$5,H$3*$Z$5+$AA$5))-(1.854-(1042/(H391+459.6)))*(INDEX(FX_Input,U$5,H$3*$Z$5+$AA$5-1)^0.5)+((2416/(H391+459.6)-2.013)*LOG10(INDEX(FX_Input,U$5,H$3*$Z$5+$AA$5)))-(8742/(H391+459.6))+15.64),EXP(INDEX(Antoines,MATCH(H384,Antoine_Name,0),2)-INDEX(Antoines,MATCH(H384,Antoine_Name,0),3)/(H391+459.6))))),0)</f>
        <v>0</v>
      </c>
      <c r="I400" cm="1">
        <f t="array" ref="I400">IFERROR(IF(I385="Chemical",(10^(INDEX(Antoines,MATCH(I384,Antoine_Name,0),2)-INDEX(Antoines,MATCH(I384,Antoine_Name,0),3)/(INDEX(Antoines,MATCH(I384,Antoine_Name,0),4)+(I391-32)*5/9)))*14.7/760,IF(I385="Crude Oil",EXP((2799/(I391+459.6)-2.227)*LOG10(INDEX(FX_Input,V$5,I$3*$Z$5+$AA$5))-(7261/(I391+459.6))+12.82),IF(I385="Refined Petroleum Stock",EXP((0.7553-(413/(I391+459.6)))*(INDEX(FX_Input,V$5,I$3*$Z$5+$AA$5-1)^0.5)*LOG10(INDEX(FX_Input,V$5,I$3*$Z$5+$AA$5))-(1.854-(1042/(I391+459.6)))*(INDEX(FX_Input,V$5,I$3*$Z$5+$AA$5-1)^0.5)+((2416/(I391+459.6)-2.013)*LOG10(INDEX(FX_Input,V$5,I$3*$Z$5+$AA$5)))-(8742/(I391+459.6))+15.64),EXP(INDEX(Antoines,MATCH(I384,Antoine_Name,0),2)-INDEX(Antoines,MATCH(I384,Antoine_Name,0),3)/(I391+459.6))))),0)</f>
        <v>0</v>
      </c>
      <c r="J400" cm="1">
        <f t="array" ref="J400">IFERROR(IF(J385="Chemical",(10^(INDEX(Antoines,MATCH(J384,Antoine_Name,0),2)-INDEX(Antoines,MATCH(J384,Antoine_Name,0),3)/(INDEX(Antoines,MATCH(J384,Antoine_Name,0),4)+(J391-32)*5/9)))*14.7/760,IF(J385="Crude Oil",EXP((2799/(J391+459.6)-2.227)*LOG10(INDEX(FX_Input,W$5,J$3*$Z$5+$AA$5))-(7261/(J391+459.6))+12.82),IF(J385="Refined Petroleum Stock",EXP((0.7553-(413/(J391+459.6)))*(INDEX(FX_Input,W$5,J$3*$Z$5+$AA$5-1)^0.5)*LOG10(INDEX(FX_Input,W$5,J$3*$Z$5+$AA$5))-(1.854-(1042/(J391+459.6)))*(INDEX(FX_Input,W$5,J$3*$Z$5+$AA$5-1)^0.5)+((2416/(J391+459.6)-2.013)*LOG10(INDEX(FX_Input,W$5,J$3*$Z$5+$AA$5)))-(8742/(J391+459.6))+15.64),EXP(INDEX(Antoines,MATCH(J384,Antoine_Name,0),2)-INDEX(Antoines,MATCH(J384,Antoine_Name,0),3)/(J391+459.6))))),0)</f>
        <v>0</v>
      </c>
      <c r="K400" cm="1">
        <f t="array" ref="K400">IFERROR(IF(K385="Chemical",(10^(INDEX(Antoines,MATCH(K384,Antoine_Name,0),2)-INDEX(Antoines,MATCH(K384,Antoine_Name,0),3)/(INDEX(Antoines,MATCH(K384,Antoine_Name,0),4)+(K391-32)*5/9)))*14.7/760,IF(K385="Crude Oil",EXP((2799/(K391+459.6)-2.227)*LOG10(INDEX(FX_Input,X$5,K$3*$Z$5+$AA$5))-(7261/(K391+459.6))+12.82),IF(K385="Refined Petroleum Stock",EXP((0.7553-(413/(K391+459.6)))*(INDEX(FX_Input,X$5,K$3*$Z$5+$AA$5-1)^0.5)*LOG10(INDEX(FX_Input,X$5,K$3*$Z$5+$AA$5))-(1.854-(1042/(K391+459.6)))*(INDEX(FX_Input,X$5,K$3*$Z$5+$AA$5-1)^0.5)+((2416/(K391+459.6)-2.013)*LOG10(INDEX(FX_Input,X$5,K$3*$Z$5+$AA$5)))-(8742/(K391+459.6))+15.64),EXP(INDEX(Antoines,MATCH(K384,Antoine_Name,0),2)-INDEX(Antoines,MATCH(K384,Antoine_Name,0),3)/(K391+459.6))))),0)</f>
        <v>0</v>
      </c>
      <c r="L400" cm="1">
        <f t="array" ref="L400">IFERROR(IF(L385="Chemical",(10^(INDEX(Antoines,MATCH(L384,Antoine_Name,0),2)-INDEX(Antoines,MATCH(L384,Antoine_Name,0),3)/(INDEX(Antoines,MATCH(L384,Antoine_Name,0),4)+(L391-32)*5/9)))*14.7/760,IF(L385="Crude Oil",EXP((2799/(L391+459.6)-2.227)*LOG10(INDEX(FX_Input,Y$5,L$3*$Z$5+$AA$5))-(7261/(L391+459.6))+12.82),IF(L385="Refined Petroleum Stock",EXP((0.7553-(413/(L391+459.6)))*(INDEX(FX_Input,Y$5,L$3*$Z$5+$AA$5-1)^0.5)*LOG10(INDEX(FX_Input,Y$5,L$3*$Z$5+$AA$5))-(1.854-(1042/(L391+459.6)))*(INDEX(FX_Input,Y$5,L$3*$Z$5+$AA$5-1)^0.5)+((2416/(L391+459.6)-2.013)*LOG10(INDEX(FX_Input,Y$5,L$3*$Z$5+$AA$5)))-(8742/(L391+459.6))+15.64),EXP(INDEX(Antoines,MATCH(L384,Antoine_Name,0),2)-INDEX(Antoines,MATCH(L384,Antoine_Name,0),3)/(L391+459.6))))),0)</f>
        <v>0</v>
      </c>
      <c r="M400" cm="1">
        <f t="array" ref="M400">IFERROR(IF(M385="Chemical",(10^(INDEX(Antoines,MATCH(M384,Antoine_Name,0),2)-INDEX(Antoines,MATCH(M384,Antoine_Name,0),3)/(INDEX(Antoines,MATCH(M384,Antoine_Name,0),4)+(M391-32)*5/9)))*14.7/760,IF(M385="Crude Oil",EXP((2799/(M391+459.6)-2.227)*LOG10(INDEX(FX_Input,Z$5,M$3*$Z$5+$AA$5))-(7261/(M391+459.6))+12.82),IF(M385="Refined Petroleum Stock",EXP((0.7553-(413/(M391+459.6)))*(INDEX(FX_Input,Z$5,M$3*$Z$5+$AA$5-1)^0.5)*LOG10(INDEX(FX_Input,Z$5,M$3*$Z$5+$AA$5))-(1.854-(1042/(M391+459.6)))*(INDEX(FX_Input,Z$5,M$3*$Z$5+$AA$5-1)^0.5)+((2416/(M391+459.6)-2.013)*LOG10(INDEX(FX_Input,Z$5,M$3*$Z$5+$AA$5)))-(8742/(M391+459.6))+15.64),EXP(INDEX(Antoines,MATCH(M384,Antoine_Name,0),2)-INDEX(Antoines,MATCH(M384,Antoine_Name,0),3)/(M391+459.6))))),0)</f>
        <v>0</v>
      </c>
      <c r="N400" cm="1">
        <f t="array" ref="N400">IFERROR(IF(N385="Chemical",(10^(INDEX(Antoines,MATCH(N384,Antoine_Name,0),2)-INDEX(Antoines,MATCH(N384,Antoine_Name,0),3)/(INDEX(Antoines,MATCH(N384,Antoine_Name,0),4)+(N391-32)*5/9)))*14.7/760,IF(N385="Crude Oil",EXP((2799/(N391+459.6)-2.227)*LOG10(INDEX(FX_Input,AA$5,N$3*$Z$5+$AA$5))-(7261/(N391+459.6))+12.82),IF(N385="Refined Petroleum Stock",EXP((0.7553-(413/(N391+459.6)))*(INDEX(FX_Input,AA$5,N$3*$Z$5+$AA$5-1)^0.5)*LOG10(INDEX(FX_Input,AA$5,N$3*$Z$5+$AA$5))-(1.854-(1042/(N391+459.6)))*(INDEX(FX_Input,AA$5,N$3*$Z$5+$AA$5-1)^0.5)+((2416/(N391+459.6)-2.013)*LOG10(INDEX(FX_Input,AA$5,N$3*$Z$5+$AA$5)))-(8742/(N391+459.6))+15.64),EXP(INDEX(Antoines,MATCH(N384,Antoine_Name,0),2)-INDEX(Antoines,MATCH(N384,Antoine_Name,0),3)/(N391+459.6))))),0)</f>
        <v>0</v>
      </c>
      <c r="O400" cm="1">
        <f t="array" ref="O400">IFERROR(IF(O385="Chemical",(10^(INDEX(Antoines,MATCH(O384,Antoine_Name,0),2)-INDEX(Antoines,MATCH(O384,Antoine_Name,0),3)/(INDEX(Antoines,MATCH(O384,Antoine_Name,0),4)+(O391-32)*5/9)))*14.7/760,IF(O385="Crude Oil",EXP((2799/(O391+459.6)-2.227)*LOG10(INDEX(FX_Input,AB$5,O$3*$Z$5+$AA$5))-(7261/(O391+459.6))+12.82),IF(O385="Refined Petroleum Stock",EXP((0.7553-(413/(O391+459.6)))*(INDEX(FX_Input,AB$5,O$3*$Z$5+$AA$5-1)^0.5)*LOG10(INDEX(FX_Input,AB$5,O$3*$Z$5+$AA$5))-(1.854-(1042/(O391+459.6)))*(INDEX(FX_Input,AB$5,O$3*$Z$5+$AA$5-1)^0.5)+((2416/(O391+459.6)-2.013)*LOG10(INDEX(FX_Input,AB$5,O$3*$Z$5+$AA$5)))-(8742/(O391+459.6))+15.64),EXP(INDEX(Antoines,MATCH(O384,Antoine_Name,0),2)-INDEX(Antoines,MATCH(O384,Antoine_Name,0),3)/(O391+459.6))))),0)</f>
        <v>0</v>
      </c>
    </row>
    <row r="401" spans="1:32" ht="17.149999999999999" x14ac:dyDescent="0.55000000000000004">
      <c r="B401" t="str">
        <f t="shared" si="1300"/>
        <v>Portland</v>
      </c>
      <c r="C401" t="s">
        <v>582</v>
      </c>
      <c r="D401">
        <f>D400*D388</f>
        <v>0</v>
      </c>
      <c r="E401">
        <f t="shared" ref="E401" si="1345">E400*E388</f>
        <v>0</v>
      </c>
      <c r="F401">
        <f t="shared" ref="F401" si="1346">F400*F388</f>
        <v>0</v>
      </c>
      <c r="G401">
        <f t="shared" ref="G401" si="1347">G400*G388</f>
        <v>0</v>
      </c>
      <c r="H401">
        <f t="shared" ref="H401" si="1348">H400*H388</f>
        <v>0</v>
      </c>
      <c r="I401">
        <f t="shared" ref="I401" si="1349">I400*I388</f>
        <v>0</v>
      </c>
      <c r="J401">
        <f t="shared" ref="J401" si="1350">J400*J388</f>
        <v>0</v>
      </c>
      <c r="K401">
        <f t="shared" ref="K401" si="1351">K400*K388</f>
        <v>0</v>
      </c>
      <c r="L401">
        <f t="shared" ref="L401" si="1352">L400*L388</f>
        <v>0</v>
      </c>
      <c r="M401">
        <f t="shared" ref="M401" si="1353">M400*M388</f>
        <v>0</v>
      </c>
      <c r="N401">
        <f t="shared" ref="N401" si="1354">N400*N388</f>
        <v>0</v>
      </c>
      <c r="O401">
        <f t="shared" ref="O401" si="1355">O400*O388</f>
        <v>0</v>
      </c>
    </row>
    <row r="402" spans="1:32" ht="17.149999999999999" x14ac:dyDescent="0.55000000000000004">
      <c r="B402" t="str">
        <f t="shared" si="1300"/>
        <v>Portland</v>
      </c>
      <c r="C402" t="s">
        <v>583</v>
      </c>
      <c r="D402">
        <f>D399+D401</f>
        <v>5.2033036727344552E-3</v>
      </c>
      <c r="E402">
        <f t="shared" ref="E402" si="1356">E399+E401</f>
        <v>5.5385065183370758E-3</v>
      </c>
      <c r="F402">
        <f t="shared" ref="F402" si="1357">F399+F401</f>
        <v>5.9077167859673575E-3</v>
      </c>
      <c r="G402">
        <f t="shared" ref="G402" si="1358">G399+G401</f>
        <v>6.5849388112918178E-3</v>
      </c>
      <c r="H402">
        <f t="shared" ref="H402" si="1359">H399+H401</f>
        <v>7.7939195379121001E-3</v>
      </c>
      <c r="I402">
        <f t="shared" ref="I402" si="1360">I399+I401</f>
        <v>8.8347329003026723E-3</v>
      </c>
      <c r="J402">
        <f t="shared" ref="J402" si="1361">J399+J401</f>
        <v>9.9592296270275289E-3</v>
      </c>
      <c r="K402">
        <f t="shared" ref="K402" si="1362">K399+K401</f>
        <v>1.0044214742690162E-2</v>
      </c>
      <c r="L402">
        <f t="shared" ref="L402" si="1363">L399+L401</f>
        <v>9.3389439263883208E-3</v>
      </c>
      <c r="M402">
        <f t="shared" ref="M402" si="1364">M399+M401</f>
        <v>7.3896033166885589E-3</v>
      </c>
      <c r="N402">
        <f t="shared" ref="N402" si="1365">N399+N401</f>
        <v>5.902399466128503E-3</v>
      </c>
      <c r="O402">
        <f t="shared" ref="O402" si="1366">O399+O401</f>
        <v>5.1222820261006847E-3</v>
      </c>
    </row>
    <row r="403" spans="1:32" ht="17.149999999999999" x14ac:dyDescent="0.55000000000000004">
      <c r="B403" t="str">
        <f t="shared" si="1300"/>
        <v>Portland</v>
      </c>
      <c r="C403" t="s">
        <v>1388</v>
      </c>
      <c r="D403" cm="1">
        <f t="array" ref="D403">IFERROR(IF(D383="Chemical",(10^(INDEX(Antoines,MATCH(D382,Antoine_Name,0),2)-INDEX(Antoines,MATCH(D382,Antoine_Name,0),3)/(INDEX(Antoines,MATCH(D382,Antoine_Name,0),4)+(D392-32)*5/9)))*14.7/760,IF(D383="Crude Oil",EXP((2799/(D392+459.6)-2.227)*LOG10(INDEX(FX_Input,Q$5,D$3*$Z$5+$AA$5))-(7261/(D392+459.6))+12.82),IF(D383="Refined Petroleum Stock",EXP((0.7553-(413/(D392+459.6)))*(INDEX(FX_Input,Q$5,D$3*$Z$5+$AA$5-1)^0.5)*LOG10(INDEX(FX_Input,Q$5,D$3*$Z$5+$AA$5))-(1.854-(1042/(D392+459.6)))*(INDEX(FX_Input,Q$5,D$3*$Z$5+$AA$5-1)^0.5)+((2416/(D392+459.6)-2.013)*LOG10(INDEX(FX_Input,Q$5,D$3*$Z$5+$AA$5)))-(8742/(D392+459.6))+15.64),EXP(INDEX(Antoines,MATCH(D382,Antoine_Name,0),2)-INDEX(Antoines,MATCH(D382,Antoine_Name,0),3)/(D392+459.6))))),0)</f>
        <v>4.883250638471285E-3</v>
      </c>
      <c r="E403" cm="1">
        <f t="array" ref="E403">IFERROR(IF(E383="Chemical",(10^(INDEX(Antoines,MATCH(E382,Antoine_Name,0),2)-INDEX(Antoines,MATCH(E382,Antoine_Name,0),3)/(INDEX(Antoines,MATCH(E382,Antoine_Name,0),4)+(E392-32)*5/9)))*14.7/760,IF(E383="Crude Oil",EXP((2799/(E392+459.6)-2.227)*LOG10(INDEX(FX_Input,R$5,E$3*$Z$5+$AA$5))-(7261/(E392+459.6))+12.82),IF(E383="Refined Petroleum Stock",EXP((0.7553-(413/(E392+459.6)))*(INDEX(FX_Input,R$5,E$3*$Z$5+$AA$5-1)^0.5)*LOG10(INDEX(FX_Input,R$5,E$3*$Z$5+$AA$5))-(1.854-(1042/(E392+459.6)))*(INDEX(FX_Input,R$5,E$3*$Z$5+$AA$5-1)^0.5)+((2416/(E392+459.6)-2.013)*LOG10(INDEX(FX_Input,R$5,E$3*$Z$5+$AA$5)))-(8742/(E392+459.6))+15.64),EXP(INDEX(Antoines,MATCH(E382,Antoine_Name,0),2)-INDEX(Antoines,MATCH(E382,Antoine_Name,0),3)/(E392+459.6))))),0)</f>
        <v>5.1351067062407989E-3</v>
      </c>
      <c r="F403" cm="1">
        <f t="array" ref="F403">IFERROR(IF(F383="Chemical",(10^(INDEX(Antoines,MATCH(F382,Antoine_Name,0),2)-INDEX(Antoines,MATCH(F382,Antoine_Name,0),3)/(INDEX(Antoines,MATCH(F382,Antoine_Name,0),4)+(F392-32)*5/9)))*14.7/760,IF(F383="Crude Oil",EXP((2799/(F392+459.6)-2.227)*LOG10(INDEX(FX_Input,S$5,F$3*$Z$5+$AA$5))-(7261/(F392+459.6))+12.82),IF(F383="Refined Petroleum Stock",EXP((0.7553-(413/(F392+459.6)))*(INDEX(FX_Input,S$5,F$3*$Z$5+$AA$5-1)^0.5)*LOG10(INDEX(FX_Input,S$5,F$3*$Z$5+$AA$5))-(1.854-(1042/(F392+459.6)))*(INDEX(FX_Input,S$5,F$3*$Z$5+$AA$5-1)^0.5)+((2416/(F392+459.6)-2.013)*LOG10(INDEX(FX_Input,S$5,F$3*$Z$5+$AA$5)))-(8742/(F392+459.6))+15.64),EXP(INDEX(Antoines,MATCH(F382,Antoine_Name,0),2)-INDEX(Antoines,MATCH(F382,Antoine_Name,0),3)/(F392+459.6))))),0)</f>
        <v>5.5213829543467952E-3</v>
      </c>
      <c r="G403" cm="1">
        <f t="array" ref="G403">IFERROR(IF(G383="Chemical",(10^(INDEX(Antoines,MATCH(G382,Antoine_Name,0),2)-INDEX(Antoines,MATCH(G382,Antoine_Name,0),3)/(INDEX(Antoines,MATCH(G382,Antoine_Name,0),4)+(G392-32)*5/9)))*14.7/760,IF(G383="Crude Oil",EXP((2799/(G392+459.6)-2.227)*LOG10(INDEX(FX_Input,T$5,G$3*$Z$5+$AA$5))-(7261/(G392+459.6))+12.82),IF(G383="Refined Petroleum Stock",EXP((0.7553-(413/(G392+459.6)))*(INDEX(FX_Input,T$5,G$3*$Z$5+$AA$5-1)^0.5)*LOG10(INDEX(FX_Input,T$5,G$3*$Z$5+$AA$5))-(1.854-(1042/(G392+459.6)))*(INDEX(FX_Input,T$5,G$3*$Z$5+$AA$5-1)^0.5)+((2416/(G392+459.6)-2.013)*LOG10(INDEX(FX_Input,T$5,G$3*$Z$5+$AA$5)))-(8742/(G392+459.6))+15.64),EXP(INDEX(Antoines,MATCH(G382,Antoine_Name,0),2)-INDEX(Antoines,MATCH(G382,Antoine_Name,0),3)/(G392+459.6))))),0)</f>
        <v>6.2124720487193742E-3</v>
      </c>
      <c r="H403" cm="1">
        <f t="array" ref="H403">IFERROR(IF(H383="Chemical",(10^(INDEX(Antoines,MATCH(H382,Antoine_Name,0),2)-INDEX(Antoines,MATCH(H382,Antoine_Name,0),3)/(INDEX(Antoines,MATCH(H382,Antoine_Name,0),4)+(H392-32)*5/9)))*14.7/760,IF(H383="Crude Oil",EXP((2799/(H392+459.6)-2.227)*LOG10(INDEX(FX_Input,U$5,H$3*$Z$5+$AA$5))-(7261/(H392+459.6))+12.82),IF(H383="Refined Petroleum Stock",EXP((0.7553-(413/(H392+459.6)))*(INDEX(FX_Input,U$5,H$3*$Z$5+$AA$5-1)^0.5)*LOG10(INDEX(FX_Input,U$5,H$3*$Z$5+$AA$5))-(1.854-(1042/(H392+459.6)))*(INDEX(FX_Input,U$5,H$3*$Z$5+$AA$5-1)^0.5)+((2416/(H392+459.6)-2.013)*LOG10(INDEX(FX_Input,U$5,H$3*$Z$5+$AA$5)))-(8742/(H392+459.6))+15.64),EXP(INDEX(Antoines,MATCH(H382,Antoine_Name,0),2)-INDEX(Antoines,MATCH(H382,Antoine_Name,0),3)/(H392+459.6))))),0)</f>
        <v>7.4209663387537275E-3</v>
      </c>
      <c r="I403" cm="1">
        <f t="array" ref="I403">IFERROR(IF(I383="Chemical",(10^(INDEX(Antoines,MATCH(I382,Antoine_Name,0),2)-INDEX(Antoines,MATCH(I382,Antoine_Name,0),3)/(INDEX(Antoines,MATCH(I382,Antoine_Name,0),4)+(I392-32)*5/9)))*14.7/760,IF(I383="Crude Oil",EXP((2799/(I392+459.6)-2.227)*LOG10(INDEX(FX_Input,V$5,I$3*$Z$5+$AA$5))-(7261/(I392+459.6))+12.82),IF(I383="Refined Petroleum Stock",EXP((0.7553-(413/(I392+459.6)))*(INDEX(FX_Input,V$5,I$3*$Z$5+$AA$5-1)^0.5)*LOG10(INDEX(FX_Input,V$5,I$3*$Z$5+$AA$5))-(1.854-(1042/(I392+459.6)))*(INDEX(FX_Input,V$5,I$3*$Z$5+$AA$5-1)^0.5)+((2416/(I392+459.6)-2.013)*LOG10(INDEX(FX_Input,V$5,I$3*$Z$5+$AA$5)))-(8742/(I392+459.6))+15.64),EXP(INDEX(Antoines,MATCH(I382,Antoine_Name,0),2)-INDEX(Antoines,MATCH(I382,Antoine_Name,0),3)/(I392+459.6))))),0)</f>
        <v>8.4819819298252285E-3</v>
      </c>
      <c r="J403" cm="1">
        <f t="array" ref="J403">IFERROR(IF(J383="Chemical",(10^(INDEX(Antoines,MATCH(J382,Antoine_Name,0),2)-INDEX(Antoines,MATCH(J382,Antoine_Name,0),3)/(INDEX(Antoines,MATCH(J382,Antoine_Name,0),4)+(J392-32)*5/9)))*14.7/760,IF(J383="Crude Oil",EXP((2799/(J392+459.6)-2.227)*LOG10(INDEX(FX_Input,W$5,J$3*$Z$5+$AA$5))-(7261/(J392+459.6))+12.82),IF(J383="Refined Petroleum Stock",EXP((0.7553-(413/(J392+459.6)))*(INDEX(FX_Input,W$5,J$3*$Z$5+$AA$5-1)^0.5)*LOG10(INDEX(FX_Input,W$5,J$3*$Z$5+$AA$5))-(1.854-(1042/(J392+459.6)))*(INDEX(FX_Input,W$5,J$3*$Z$5+$AA$5-1)^0.5)+((2416/(J392+459.6)-2.013)*LOG10(INDEX(FX_Input,W$5,J$3*$Z$5+$AA$5)))-(8742/(J392+459.6))+15.64),EXP(INDEX(Antoines,MATCH(J382,Antoine_Name,0),2)-INDEX(Antoines,MATCH(J382,Antoine_Name,0),3)/(J392+459.6))))),0)</f>
        <v>9.5741064128135375E-3</v>
      </c>
      <c r="K403" cm="1">
        <f t="array" ref="K403">IFERROR(IF(K383="Chemical",(10^(INDEX(Antoines,MATCH(K382,Antoine_Name,0),2)-INDEX(Antoines,MATCH(K382,Antoine_Name,0),3)/(INDEX(Antoines,MATCH(K382,Antoine_Name,0),4)+(K392-32)*5/9)))*14.7/760,IF(K383="Crude Oil",EXP((2799/(K392+459.6)-2.227)*LOG10(INDEX(FX_Input,X$5,K$3*$Z$5+$AA$5))-(7261/(K392+459.6))+12.82),IF(K383="Refined Petroleum Stock",EXP((0.7553-(413/(K392+459.6)))*(INDEX(FX_Input,X$5,K$3*$Z$5+$AA$5-1)^0.5)*LOG10(INDEX(FX_Input,X$5,K$3*$Z$5+$AA$5))-(1.854-(1042/(K392+459.6)))*(INDEX(FX_Input,X$5,K$3*$Z$5+$AA$5-1)^0.5)+((2416/(K392+459.6)-2.013)*LOG10(INDEX(FX_Input,X$5,K$3*$Z$5+$AA$5)))-(8742/(K392+459.6))+15.64),EXP(INDEX(Antoines,MATCH(K382,Antoine_Name,0),2)-INDEX(Antoines,MATCH(K382,Antoine_Name,0),3)/(K392+459.6))))),0)</f>
        <v>9.5478148180509845E-3</v>
      </c>
      <c r="L403" cm="1">
        <f t="array" ref="L403">IFERROR(IF(L383="Chemical",(10^(INDEX(Antoines,MATCH(L382,Antoine_Name,0),2)-INDEX(Antoines,MATCH(L382,Antoine_Name,0),3)/(INDEX(Antoines,MATCH(L382,Antoine_Name,0),4)+(L392-32)*5/9)))*14.7/760,IF(L383="Crude Oil",EXP((2799/(L392+459.6)-2.227)*LOG10(INDEX(FX_Input,Y$5,L$3*$Z$5+$AA$5))-(7261/(L392+459.6))+12.82),IF(L383="Refined Petroleum Stock",EXP((0.7553-(413/(L392+459.6)))*(INDEX(FX_Input,Y$5,L$3*$Z$5+$AA$5-1)^0.5)*LOG10(INDEX(FX_Input,Y$5,L$3*$Z$5+$AA$5))-(1.854-(1042/(L392+459.6)))*(INDEX(FX_Input,Y$5,L$3*$Z$5+$AA$5-1)^0.5)+((2416/(L392+459.6)-2.013)*LOG10(INDEX(FX_Input,Y$5,L$3*$Z$5+$AA$5)))-(8742/(L392+459.6))+15.64),EXP(INDEX(Antoines,MATCH(L382,Antoine_Name,0),2)-INDEX(Antoines,MATCH(L382,Antoine_Name,0),3)/(L392+459.6))))),0)</f>
        <v>8.6464528192362108E-3</v>
      </c>
      <c r="M403" cm="1">
        <f t="array" ref="M403">IFERROR(IF(M383="Chemical",(10^(INDEX(Antoines,MATCH(M382,Antoine_Name,0),2)-INDEX(Antoines,MATCH(M382,Antoine_Name,0),3)/(INDEX(Antoines,MATCH(M382,Antoine_Name,0),4)+(M392-32)*5/9)))*14.7/760,IF(M383="Crude Oil",EXP((2799/(M392+459.6)-2.227)*LOG10(INDEX(FX_Input,Z$5,M$3*$Z$5+$AA$5))-(7261/(M392+459.6))+12.82),IF(M383="Refined Petroleum Stock",EXP((0.7553-(413/(M392+459.6)))*(INDEX(FX_Input,Z$5,M$3*$Z$5+$AA$5-1)^0.5)*LOG10(INDEX(FX_Input,Z$5,M$3*$Z$5+$AA$5))-(1.854-(1042/(M392+459.6)))*(INDEX(FX_Input,Z$5,M$3*$Z$5+$AA$5-1)^0.5)+((2416/(M392+459.6)-2.013)*LOG10(INDEX(FX_Input,Z$5,M$3*$Z$5+$AA$5)))-(8742/(M392+459.6))+15.64),EXP(INDEX(Antoines,MATCH(M382,Antoine_Name,0),2)-INDEX(Antoines,MATCH(M382,Antoine_Name,0),3)/(M392+459.6))))),0)</f>
        <v>6.8218393379121701E-3</v>
      </c>
      <c r="N403" cm="1">
        <f t="array" ref="N403">IFERROR(IF(N383="Chemical",(10^(INDEX(Antoines,MATCH(N382,Antoine_Name,0),2)-INDEX(Antoines,MATCH(N382,Antoine_Name,0),3)/(INDEX(Antoines,MATCH(N382,Antoine_Name,0),4)+(N392-32)*5/9)))*14.7/760,IF(N383="Crude Oil",EXP((2799/(N392+459.6)-2.227)*LOG10(INDEX(FX_Input,AA$5,N$3*$Z$5+$AA$5))-(7261/(N392+459.6))+12.82),IF(N383="Refined Petroleum Stock",EXP((0.7553-(413/(N392+459.6)))*(INDEX(FX_Input,AA$5,N$3*$Z$5+$AA$5-1)^0.5)*LOG10(INDEX(FX_Input,AA$5,N$3*$Z$5+$AA$5))-(1.854-(1042/(N392+459.6)))*(INDEX(FX_Input,AA$5,N$3*$Z$5+$AA$5-1)^0.5)+((2416/(N392+459.6)-2.013)*LOG10(INDEX(FX_Input,AA$5,N$3*$Z$5+$AA$5)))-(8742/(N392+459.6))+15.64),EXP(INDEX(Antoines,MATCH(N382,Antoine_Name,0),2)-INDEX(Antoines,MATCH(N382,Antoine_Name,0),3)/(N392+459.6))))),0)</f>
        <v>5.4827140055800742E-3</v>
      </c>
      <c r="O403" cm="1">
        <f t="array" ref="O403">IFERROR(IF(O383="Chemical",(10^(INDEX(Antoines,MATCH(O382,Antoine_Name,0),2)-INDEX(Antoines,MATCH(O382,Antoine_Name,0),3)/(INDEX(Antoines,MATCH(O382,Antoine_Name,0),4)+(O392-32)*5/9)))*14.7/760,IF(O383="Crude Oil",EXP((2799/(O392+459.6)-2.227)*LOG10(INDEX(FX_Input,AB$5,O$3*$Z$5+$AA$5))-(7261/(O392+459.6))+12.82),IF(O383="Refined Petroleum Stock",EXP((0.7553-(413/(O392+459.6)))*(INDEX(FX_Input,AB$5,O$3*$Z$5+$AA$5-1)^0.5)*LOG10(INDEX(FX_Input,AB$5,O$3*$Z$5+$AA$5))-(1.854-(1042/(O392+459.6)))*(INDEX(FX_Input,AB$5,O$3*$Z$5+$AA$5-1)^0.5)+((2416/(O392+459.6)-2.013)*LOG10(INDEX(FX_Input,AB$5,O$3*$Z$5+$AA$5)))-(8742/(O392+459.6))+15.64),EXP(INDEX(Antoines,MATCH(O382,Antoine_Name,0),2)-INDEX(Antoines,MATCH(O382,Antoine_Name,0),3)/(O392+459.6))))),0)</f>
        <v>4.8148298503950734E-3</v>
      </c>
    </row>
    <row r="404" spans="1:32" ht="17.149999999999999" x14ac:dyDescent="0.55000000000000004">
      <c r="B404" t="str">
        <f t="shared" si="1300"/>
        <v>Portland</v>
      </c>
      <c r="C404" t="s">
        <v>1389</v>
      </c>
      <c r="D404">
        <f>D403*D386</f>
        <v>4.883250638471285E-3</v>
      </c>
      <c r="E404">
        <f t="shared" ref="E404" si="1367">E403*E386</f>
        <v>5.1351067062407989E-3</v>
      </c>
      <c r="F404">
        <f t="shared" ref="F404" si="1368">F403*F386</f>
        <v>5.5213829543467952E-3</v>
      </c>
      <c r="G404">
        <f t="shared" ref="G404" si="1369">G403*G386</f>
        <v>6.2124720487193742E-3</v>
      </c>
      <c r="H404">
        <f t="shared" ref="H404" si="1370">H403*H386</f>
        <v>7.4209663387537275E-3</v>
      </c>
      <c r="I404">
        <f t="shared" ref="I404" si="1371">I403*I386</f>
        <v>8.4819819298252285E-3</v>
      </c>
      <c r="J404">
        <f t="shared" ref="J404" si="1372">J403*J386</f>
        <v>9.5741064128135375E-3</v>
      </c>
      <c r="K404">
        <f t="shared" ref="K404" si="1373">K403*K386</f>
        <v>9.5478148180509845E-3</v>
      </c>
      <c r="L404">
        <f t="shared" ref="L404" si="1374">L403*L386</f>
        <v>8.6464528192362108E-3</v>
      </c>
      <c r="M404">
        <f t="shared" ref="M404" si="1375">M403*M386</f>
        <v>6.8218393379121701E-3</v>
      </c>
      <c r="N404">
        <f t="shared" ref="N404" si="1376">N403*N386</f>
        <v>5.4827140055800742E-3</v>
      </c>
      <c r="O404">
        <f t="shared" ref="O404" si="1377">O403*O386</f>
        <v>4.8148298503950734E-3</v>
      </c>
    </row>
    <row r="405" spans="1:32" ht="17.149999999999999" x14ac:dyDescent="0.55000000000000004">
      <c r="B405" t="str">
        <f t="shared" si="1300"/>
        <v>Portland</v>
      </c>
      <c r="C405" t="s">
        <v>1390</v>
      </c>
      <c r="D405" cm="1">
        <f t="array" ref="D405">IFERROR(IF(D385="Chemical",(10^(INDEX(Antoines,MATCH(D384,Antoine_Name,0),2)-INDEX(Antoines,MATCH(D384,Antoine_Name,0),3)/(INDEX(Antoines,MATCH(D384,Antoine_Name,0),4)+(D392-32)*5/9)))*14.7/760,IF(D385="Crude Oil",EXP((2799/(D392+459.6)-2.227)*LOG10(INDEX(FX_Input,Q$5,D$3*$Z$5+$AA$5))-(7261/(D392+459.6))+12.82),IF(D385="Refined Petroleum Stock",EXP((0.7553-(413/(D392+459.6)))*(INDEX(FX_Input,Q$5,D$3*$Z$5+$AA$5-1)^0.5)*LOG10(INDEX(FX_Input,Q$5,D$3*$Z$5+$AA$5))-(1.854-(1042/(D392+459.6)))*(INDEX(FX_Input,Q$5,D$3*$Z$5+$AA$5-1)^0.5)+((2416/(D392+459.6)-2.013)*LOG10(INDEX(FX_Input,Q$5,D$3*$Z$5+$AA$5)))-(8742/(D392+459.6))+15.64),EXP(INDEX(Antoines,MATCH(D384,Antoine_Name,0),2)-INDEX(Antoines,MATCH(D384,Antoine_Name,0),3)/(D392+459.6))))),0)</f>
        <v>0</v>
      </c>
      <c r="E405" cm="1">
        <f t="array" ref="E405">IFERROR(IF(E385="Chemical",(10^(INDEX(Antoines,MATCH(E384,Antoine_Name,0),2)-INDEX(Antoines,MATCH(E384,Antoine_Name,0),3)/(INDEX(Antoines,MATCH(E384,Antoine_Name,0),4)+(E392-32)*5/9)))*14.7/760,IF(E385="Crude Oil",EXP((2799/(E392+459.6)-2.227)*LOG10(INDEX(FX_Input,R$5,E$3*$Z$5+$AA$5))-(7261/(E392+459.6))+12.82),IF(E385="Refined Petroleum Stock",EXP((0.7553-(413/(E392+459.6)))*(INDEX(FX_Input,R$5,E$3*$Z$5+$AA$5-1)^0.5)*LOG10(INDEX(FX_Input,R$5,E$3*$Z$5+$AA$5))-(1.854-(1042/(E392+459.6)))*(INDEX(FX_Input,R$5,E$3*$Z$5+$AA$5-1)^0.5)+((2416/(E392+459.6)-2.013)*LOG10(INDEX(FX_Input,R$5,E$3*$Z$5+$AA$5)))-(8742/(E392+459.6))+15.64),EXP(INDEX(Antoines,MATCH(E384,Antoine_Name,0),2)-INDEX(Antoines,MATCH(E384,Antoine_Name,0),3)/(E392+459.6))))),0)</f>
        <v>0</v>
      </c>
      <c r="F405" cm="1">
        <f t="array" ref="F405">IFERROR(IF(F385="Chemical",(10^(INDEX(Antoines,MATCH(F384,Antoine_Name,0),2)-INDEX(Antoines,MATCH(F384,Antoine_Name,0),3)/(INDEX(Antoines,MATCH(F384,Antoine_Name,0),4)+(F392-32)*5/9)))*14.7/760,IF(F385="Crude Oil",EXP((2799/(F392+459.6)-2.227)*LOG10(INDEX(FX_Input,S$5,F$3*$Z$5+$AA$5))-(7261/(F392+459.6))+12.82),IF(F385="Refined Petroleum Stock",EXP((0.7553-(413/(F392+459.6)))*(INDEX(FX_Input,S$5,F$3*$Z$5+$AA$5-1)^0.5)*LOG10(INDEX(FX_Input,S$5,F$3*$Z$5+$AA$5))-(1.854-(1042/(F392+459.6)))*(INDEX(FX_Input,S$5,F$3*$Z$5+$AA$5-1)^0.5)+((2416/(F392+459.6)-2.013)*LOG10(INDEX(FX_Input,S$5,F$3*$Z$5+$AA$5)))-(8742/(F392+459.6))+15.64),EXP(INDEX(Antoines,MATCH(F384,Antoine_Name,0),2)-INDEX(Antoines,MATCH(F384,Antoine_Name,0),3)/(F392+459.6))))),0)</f>
        <v>0</v>
      </c>
      <c r="G405" cm="1">
        <f t="array" ref="G405">IFERROR(IF(G385="Chemical",(10^(INDEX(Antoines,MATCH(G384,Antoine_Name,0),2)-INDEX(Antoines,MATCH(G384,Antoine_Name,0),3)/(INDEX(Antoines,MATCH(G384,Antoine_Name,0),4)+(G392-32)*5/9)))*14.7/760,IF(G385="Crude Oil",EXP((2799/(G392+459.6)-2.227)*LOG10(INDEX(FX_Input,T$5,G$3*$Z$5+$AA$5))-(7261/(G392+459.6))+12.82),IF(G385="Refined Petroleum Stock",EXP((0.7553-(413/(G392+459.6)))*(INDEX(FX_Input,T$5,G$3*$Z$5+$AA$5-1)^0.5)*LOG10(INDEX(FX_Input,T$5,G$3*$Z$5+$AA$5))-(1.854-(1042/(G392+459.6)))*(INDEX(FX_Input,T$5,G$3*$Z$5+$AA$5-1)^0.5)+((2416/(G392+459.6)-2.013)*LOG10(INDEX(FX_Input,T$5,G$3*$Z$5+$AA$5)))-(8742/(G392+459.6))+15.64),EXP(INDEX(Antoines,MATCH(G384,Antoine_Name,0),2)-INDEX(Antoines,MATCH(G384,Antoine_Name,0),3)/(G392+459.6))))),0)</f>
        <v>0</v>
      </c>
      <c r="H405" cm="1">
        <f t="array" ref="H405">IFERROR(IF(H385="Chemical",(10^(INDEX(Antoines,MATCH(H384,Antoine_Name,0),2)-INDEX(Antoines,MATCH(H384,Antoine_Name,0),3)/(INDEX(Antoines,MATCH(H384,Antoine_Name,0),4)+(H392-32)*5/9)))*14.7/760,IF(H385="Crude Oil",EXP((2799/(H392+459.6)-2.227)*LOG10(INDEX(FX_Input,U$5,H$3*$Z$5+$AA$5))-(7261/(H392+459.6))+12.82),IF(H385="Refined Petroleum Stock",EXP((0.7553-(413/(H392+459.6)))*(INDEX(FX_Input,U$5,H$3*$Z$5+$AA$5-1)^0.5)*LOG10(INDEX(FX_Input,U$5,H$3*$Z$5+$AA$5))-(1.854-(1042/(H392+459.6)))*(INDEX(FX_Input,U$5,H$3*$Z$5+$AA$5-1)^0.5)+((2416/(H392+459.6)-2.013)*LOG10(INDEX(FX_Input,U$5,H$3*$Z$5+$AA$5)))-(8742/(H392+459.6))+15.64),EXP(INDEX(Antoines,MATCH(H384,Antoine_Name,0),2)-INDEX(Antoines,MATCH(H384,Antoine_Name,0),3)/(H392+459.6))))),0)</f>
        <v>0</v>
      </c>
      <c r="I405" cm="1">
        <f t="array" ref="I405">IFERROR(IF(I385="Chemical",(10^(INDEX(Antoines,MATCH(I384,Antoine_Name,0),2)-INDEX(Antoines,MATCH(I384,Antoine_Name,0),3)/(INDEX(Antoines,MATCH(I384,Antoine_Name,0),4)+(I392-32)*5/9)))*14.7/760,IF(I385="Crude Oil",EXP((2799/(I392+459.6)-2.227)*LOG10(INDEX(FX_Input,V$5,I$3*$Z$5+$AA$5))-(7261/(I392+459.6))+12.82),IF(I385="Refined Petroleum Stock",EXP((0.7553-(413/(I392+459.6)))*(INDEX(FX_Input,V$5,I$3*$Z$5+$AA$5-1)^0.5)*LOG10(INDEX(FX_Input,V$5,I$3*$Z$5+$AA$5))-(1.854-(1042/(I392+459.6)))*(INDEX(FX_Input,V$5,I$3*$Z$5+$AA$5-1)^0.5)+((2416/(I392+459.6)-2.013)*LOG10(INDEX(FX_Input,V$5,I$3*$Z$5+$AA$5)))-(8742/(I392+459.6))+15.64),EXP(INDEX(Antoines,MATCH(I384,Antoine_Name,0),2)-INDEX(Antoines,MATCH(I384,Antoine_Name,0),3)/(I392+459.6))))),0)</f>
        <v>0</v>
      </c>
      <c r="J405" cm="1">
        <f t="array" ref="J405">IFERROR(IF(J385="Chemical",(10^(INDEX(Antoines,MATCH(J384,Antoine_Name,0),2)-INDEX(Antoines,MATCH(J384,Antoine_Name,0),3)/(INDEX(Antoines,MATCH(J384,Antoine_Name,0),4)+(J392-32)*5/9)))*14.7/760,IF(J385="Crude Oil",EXP((2799/(J392+459.6)-2.227)*LOG10(INDEX(FX_Input,W$5,J$3*$Z$5+$AA$5))-(7261/(J392+459.6))+12.82),IF(J385="Refined Petroleum Stock",EXP((0.7553-(413/(J392+459.6)))*(INDEX(FX_Input,W$5,J$3*$Z$5+$AA$5-1)^0.5)*LOG10(INDEX(FX_Input,W$5,J$3*$Z$5+$AA$5))-(1.854-(1042/(J392+459.6)))*(INDEX(FX_Input,W$5,J$3*$Z$5+$AA$5-1)^0.5)+((2416/(J392+459.6)-2.013)*LOG10(INDEX(FX_Input,W$5,J$3*$Z$5+$AA$5)))-(8742/(J392+459.6))+15.64),EXP(INDEX(Antoines,MATCH(J384,Antoine_Name,0),2)-INDEX(Antoines,MATCH(J384,Antoine_Name,0),3)/(J392+459.6))))),0)</f>
        <v>0</v>
      </c>
      <c r="K405" cm="1">
        <f t="array" ref="K405">IFERROR(IF(K385="Chemical",(10^(INDEX(Antoines,MATCH(K384,Antoine_Name,0),2)-INDEX(Antoines,MATCH(K384,Antoine_Name,0),3)/(INDEX(Antoines,MATCH(K384,Antoine_Name,0),4)+(K392-32)*5/9)))*14.7/760,IF(K385="Crude Oil",EXP((2799/(K392+459.6)-2.227)*LOG10(INDEX(FX_Input,X$5,K$3*$Z$5+$AA$5))-(7261/(K392+459.6))+12.82),IF(K385="Refined Petroleum Stock",EXP((0.7553-(413/(K392+459.6)))*(INDEX(FX_Input,X$5,K$3*$Z$5+$AA$5-1)^0.5)*LOG10(INDEX(FX_Input,X$5,K$3*$Z$5+$AA$5))-(1.854-(1042/(K392+459.6)))*(INDEX(FX_Input,X$5,K$3*$Z$5+$AA$5-1)^0.5)+((2416/(K392+459.6)-2.013)*LOG10(INDEX(FX_Input,X$5,K$3*$Z$5+$AA$5)))-(8742/(K392+459.6))+15.64),EXP(INDEX(Antoines,MATCH(K384,Antoine_Name,0),2)-INDEX(Antoines,MATCH(K384,Antoine_Name,0),3)/(K392+459.6))))),0)</f>
        <v>0</v>
      </c>
      <c r="L405" cm="1">
        <f t="array" ref="L405">IFERROR(IF(L385="Chemical",(10^(INDEX(Antoines,MATCH(L384,Antoine_Name,0),2)-INDEX(Antoines,MATCH(L384,Antoine_Name,0),3)/(INDEX(Antoines,MATCH(L384,Antoine_Name,0),4)+(L392-32)*5/9)))*14.7/760,IF(L385="Crude Oil",EXP((2799/(L392+459.6)-2.227)*LOG10(INDEX(FX_Input,Y$5,L$3*$Z$5+$AA$5))-(7261/(L392+459.6))+12.82),IF(L385="Refined Petroleum Stock",EXP((0.7553-(413/(L392+459.6)))*(INDEX(FX_Input,Y$5,L$3*$Z$5+$AA$5-1)^0.5)*LOG10(INDEX(FX_Input,Y$5,L$3*$Z$5+$AA$5))-(1.854-(1042/(L392+459.6)))*(INDEX(FX_Input,Y$5,L$3*$Z$5+$AA$5-1)^0.5)+((2416/(L392+459.6)-2.013)*LOG10(INDEX(FX_Input,Y$5,L$3*$Z$5+$AA$5)))-(8742/(L392+459.6))+15.64),EXP(INDEX(Antoines,MATCH(L384,Antoine_Name,0),2)-INDEX(Antoines,MATCH(L384,Antoine_Name,0),3)/(L392+459.6))))),0)</f>
        <v>0</v>
      </c>
      <c r="M405" cm="1">
        <f t="array" ref="M405">IFERROR(IF(M385="Chemical",(10^(INDEX(Antoines,MATCH(M384,Antoine_Name,0),2)-INDEX(Antoines,MATCH(M384,Antoine_Name,0),3)/(INDEX(Antoines,MATCH(M384,Antoine_Name,0),4)+(M392-32)*5/9)))*14.7/760,IF(M385="Crude Oil",EXP((2799/(M392+459.6)-2.227)*LOG10(INDEX(FX_Input,Z$5,M$3*$Z$5+$AA$5))-(7261/(M392+459.6))+12.82),IF(M385="Refined Petroleum Stock",EXP((0.7553-(413/(M392+459.6)))*(INDEX(FX_Input,Z$5,M$3*$Z$5+$AA$5-1)^0.5)*LOG10(INDEX(FX_Input,Z$5,M$3*$Z$5+$AA$5))-(1.854-(1042/(M392+459.6)))*(INDEX(FX_Input,Z$5,M$3*$Z$5+$AA$5-1)^0.5)+((2416/(M392+459.6)-2.013)*LOG10(INDEX(FX_Input,Z$5,M$3*$Z$5+$AA$5)))-(8742/(M392+459.6))+15.64),EXP(INDEX(Antoines,MATCH(M384,Antoine_Name,0),2)-INDEX(Antoines,MATCH(M384,Antoine_Name,0),3)/(M392+459.6))))),0)</f>
        <v>0</v>
      </c>
      <c r="N405" cm="1">
        <f t="array" ref="N405">IFERROR(IF(N385="Chemical",(10^(INDEX(Antoines,MATCH(N384,Antoine_Name,0),2)-INDEX(Antoines,MATCH(N384,Antoine_Name,0),3)/(INDEX(Antoines,MATCH(N384,Antoine_Name,0),4)+(N392-32)*5/9)))*14.7/760,IF(N385="Crude Oil",EXP((2799/(N392+459.6)-2.227)*LOG10(INDEX(FX_Input,AA$5,N$3*$Z$5+$AA$5))-(7261/(N392+459.6))+12.82),IF(N385="Refined Petroleum Stock",EXP((0.7553-(413/(N392+459.6)))*(INDEX(FX_Input,AA$5,N$3*$Z$5+$AA$5-1)^0.5)*LOG10(INDEX(FX_Input,AA$5,N$3*$Z$5+$AA$5))-(1.854-(1042/(N392+459.6)))*(INDEX(FX_Input,AA$5,N$3*$Z$5+$AA$5-1)^0.5)+((2416/(N392+459.6)-2.013)*LOG10(INDEX(FX_Input,AA$5,N$3*$Z$5+$AA$5)))-(8742/(N392+459.6))+15.64),EXP(INDEX(Antoines,MATCH(N384,Antoine_Name,0),2)-INDEX(Antoines,MATCH(N384,Antoine_Name,0),3)/(N392+459.6))))),0)</f>
        <v>0</v>
      </c>
      <c r="O405" cm="1">
        <f t="array" ref="O405">IFERROR(IF(O385="Chemical",(10^(INDEX(Antoines,MATCH(O384,Antoine_Name,0),2)-INDEX(Antoines,MATCH(O384,Antoine_Name,0),3)/(INDEX(Antoines,MATCH(O384,Antoine_Name,0),4)+(O392-32)*5/9)))*14.7/760,IF(O385="Crude Oil",EXP((2799/(O392+459.6)-2.227)*LOG10(INDEX(FX_Input,AB$5,O$3*$Z$5+$AA$5))-(7261/(O392+459.6))+12.82),IF(O385="Refined Petroleum Stock",EXP((0.7553-(413/(O392+459.6)))*(INDEX(FX_Input,AB$5,O$3*$Z$5+$AA$5-1)^0.5)*LOG10(INDEX(FX_Input,AB$5,O$3*$Z$5+$AA$5))-(1.854-(1042/(O392+459.6)))*(INDEX(FX_Input,AB$5,O$3*$Z$5+$AA$5-1)^0.5)+((2416/(O392+459.6)-2.013)*LOG10(INDEX(FX_Input,AB$5,O$3*$Z$5+$AA$5)))-(8742/(O392+459.6))+15.64),EXP(INDEX(Antoines,MATCH(O384,Antoine_Name,0),2)-INDEX(Antoines,MATCH(O384,Antoine_Name,0),3)/(O392+459.6))))),0)</f>
        <v>0</v>
      </c>
    </row>
    <row r="406" spans="1:32" ht="17.149999999999999" x14ac:dyDescent="0.55000000000000004">
      <c r="B406" t="str">
        <f t="shared" si="1300"/>
        <v>Portland</v>
      </c>
      <c r="C406" t="s">
        <v>1391</v>
      </c>
      <c r="D406">
        <f>D405*D388</f>
        <v>0</v>
      </c>
      <c r="E406">
        <f t="shared" ref="E406" si="1378">E405*E388</f>
        <v>0</v>
      </c>
      <c r="F406">
        <f t="shared" ref="F406" si="1379">F405*F388</f>
        <v>0</v>
      </c>
      <c r="G406">
        <f t="shared" ref="G406" si="1380">G405*G388</f>
        <v>0</v>
      </c>
      <c r="H406">
        <f t="shared" ref="H406" si="1381">H405*H388</f>
        <v>0</v>
      </c>
      <c r="I406">
        <f t="shared" ref="I406" si="1382">I405*I388</f>
        <v>0</v>
      </c>
      <c r="J406">
        <f t="shared" ref="J406" si="1383">J405*J388</f>
        <v>0</v>
      </c>
      <c r="K406">
        <f t="shared" ref="K406" si="1384">K405*K388</f>
        <v>0</v>
      </c>
      <c r="L406">
        <f t="shared" ref="L406" si="1385">L405*L388</f>
        <v>0</v>
      </c>
      <c r="M406">
        <f t="shared" ref="M406" si="1386">M405*M388</f>
        <v>0</v>
      </c>
      <c r="N406">
        <f t="shared" ref="N406" si="1387">N405*N388</f>
        <v>0</v>
      </c>
      <c r="O406">
        <f t="shared" ref="O406" si="1388">O405*O388</f>
        <v>0</v>
      </c>
    </row>
    <row r="407" spans="1:32" ht="17.149999999999999" x14ac:dyDescent="0.55000000000000004">
      <c r="B407" t="str">
        <f t="shared" si="1300"/>
        <v>Portland</v>
      </c>
      <c r="C407" t="s">
        <v>1392</v>
      </c>
      <c r="D407">
        <f>D404+D406</f>
        <v>4.883250638471285E-3</v>
      </c>
      <c r="E407">
        <f t="shared" ref="E407" si="1389">E404+E406</f>
        <v>5.1351067062407989E-3</v>
      </c>
      <c r="F407">
        <f t="shared" ref="F407" si="1390">F404+F406</f>
        <v>5.5213829543467952E-3</v>
      </c>
      <c r="G407">
        <f t="shared" ref="G407" si="1391">G404+G406</f>
        <v>6.2124720487193742E-3</v>
      </c>
      <c r="H407">
        <f t="shared" ref="H407" si="1392">H404+H406</f>
        <v>7.4209663387537275E-3</v>
      </c>
      <c r="I407">
        <f t="shared" ref="I407" si="1393">I404+I406</f>
        <v>8.4819819298252285E-3</v>
      </c>
      <c r="J407">
        <f t="shared" ref="J407" si="1394">J404+J406</f>
        <v>9.5741064128135375E-3</v>
      </c>
      <c r="K407">
        <f t="shared" ref="K407" si="1395">K404+K406</f>
        <v>9.5478148180509845E-3</v>
      </c>
      <c r="L407">
        <f t="shared" ref="L407" si="1396">L404+L406</f>
        <v>8.6464528192362108E-3</v>
      </c>
      <c r="M407">
        <f t="shared" ref="M407" si="1397">M404+M406</f>
        <v>6.8218393379121701E-3</v>
      </c>
      <c r="N407">
        <f t="shared" ref="N407" si="1398">N404+N406</f>
        <v>5.4827140055800742E-3</v>
      </c>
      <c r="O407">
        <f t="shared" ref="O407" si="1399">O404+O406</f>
        <v>4.8148298503950734E-3</v>
      </c>
    </row>
    <row r="408" spans="1:32" ht="17.149999999999999" x14ac:dyDescent="0.55000000000000004">
      <c r="B408" t="str">
        <f>B402</f>
        <v>Portland</v>
      </c>
      <c r="C408" t="s">
        <v>584</v>
      </c>
      <c r="D408">
        <f>D404/D407</f>
        <v>1</v>
      </c>
      <c r="E408">
        <f t="shared" ref="E408" si="1400">E404/E407</f>
        <v>1</v>
      </c>
      <c r="F408">
        <f t="shared" ref="F408" si="1401">F404/F407</f>
        <v>1</v>
      </c>
      <c r="G408">
        <f t="shared" ref="G408" si="1402">G404/G407</f>
        <v>1</v>
      </c>
      <c r="H408">
        <f t="shared" ref="H408" si="1403">H404/H407</f>
        <v>1</v>
      </c>
      <c r="I408">
        <f t="shared" ref="I408" si="1404">I404/I407</f>
        <v>1</v>
      </c>
      <c r="J408">
        <f t="shared" ref="J408" si="1405">J404/J407</f>
        <v>1</v>
      </c>
      <c r="K408">
        <f t="shared" ref="K408" si="1406">K404/K407</f>
        <v>1</v>
      </c>
      <c r="L408">
        <f t="shared" ref="L408" si="1407">L404/L407</f>
        <v>1</v>
      </c>
      <c r="M408">
        <f t="shared" ref="M408" si="1408">M404/M407</f>
        <v>1</v>
      </c>
      <c r="N408">
        <f t="shared" ref="N408" si="1409">N404/N407</f>
        <v>1</v>
      </c>
      <c r="O408">
        <f t="shared" ref="O408" si="1410">O404/O407</f>
        <v>1</v>
      </c>
    </row>
    <row r="409" spans="1:32" ht="17.149999999999999" x14ac:dyDescent="0.55000000000000004">
      <c r="B409" t="str">
        <f>B403</f>
        <v>Portland</v>
      </c>
      <c r="C409" t="s">
        <v>585</v>
      </c>
      <c r="D409">
        <f t="shared" ref="D409:O409" si="1411">INDEX(Phys_Prop,MATCH(D382,Chem_List,0),3)</f>
        <v>130</v>
      </c>
      <c r="E409">
        <f t="shared" si="1411"/>
        <v>130</v>
      </c>
      <c r="F409">
        <f t="shared" si="1411"/>
        <v>130</v>
      </c>
      <c r="G409">
        <f t="shared" si="1411"/>
        <v>130</v>
      </c>
      <c r="H409">
        <f t="shared" si="1411"/>
        <v>130</v>
      </c>
      <c r="I409">
        <f t="shared" si="1411"/>
        <v>130</v>
      </c>
      <c r="J409">
        <f t="shared" si="1411"/>
        <v>130</v>
      </c>
      <c r="K409">
        <f t="shared" si="1411"/>
        <v>130</v>
      </c>
      <c r="L409">
        <f t="shared" si="1411"/>
        <v>130</v>
      </c>
      <c r="M409">
        <f t="shared" si="1411"/>
        <v>130</v>
      </c>
      <c r="N409">
        <f t="shared" si="1411"/>
        <v>130</v>
      </c>
      <c r="O409">
        <f t="shared" si="1411"/>
        <v>130</v>
      </c>
    </row>
    <row r="410" spans="1:32" ht="17.149999999999999" x14ac:dyDescent="0.55000000000000004">
      <c r="B410" t="str">
        <f>B409</f>
        <v>Portland</v>
      </c>
      <c r="C410" t="s">
        <v>586</v>
      </c>
      <c r="D410">
        <f>D406/D407</f>
        <v>0</v>
      </c>
      <c r="E410">
        <f t="shared" ref="E410:O410" si="1412">E406/E407</f>
        <v>0</v>
      </c>
      <c r="F410">
        <f t="shared" si="1412"/>
        <v>0</v>
      </c>
      <c r="G410">
        <f t="shared" si="1412"/>
        <v>0</v>
      </c>
      <c r="H410">
        <f t="shared" si="1412"/>
        <v>0</v>
      </c>
      <c r="I410">
        <f t="shared" si="1412"/>
        <v>0</v>
      </c>
      <c r="J410">
        <f t="shared" si="1412"/>
        <v>0</v>
      </c>
      <c r="K410">
        <f t="shared" si="1412"/>
        <v>0</v>
      </c>
      <c r="L410">
        <f t="shared" si="1412"/>
        <v>0</v>
      </c>
      <c r="M410">
        <f t="shared" si="1412"/>
        <v>0</v>
      </c>
      <c r="N410">
        <f t="shared" si="1412"/>
        <v>0</v>
      </c>
      <c r="O410">
        <f t="shared" si="1412"/>
        <v>0</v>
      </c>
    </row>
    <row r="411" spans="1:32" ht="17.149999999999999" x14ac:dyDescent="0.55000000000000004">
      <c r="B411" t="str">
        <f t="shared" si="1300"/>
        <v>Portland</v>
      </c>
      <c r="C411" t="s">
        <v>587</v>
      </c>
      <c r="D411">
        <f t="shared" ref="D411:O411" si="1413">IFERROR(INDEX(Phys_Prop,MATCH(D384,Chem_List,0),3),0)</f>
        <v>0</v>
      </c>
      <c r="E411">
        <f t="shared" si="1413"/>
        <v>0</v>
      </c>
      <c r="F411">
        <f t="shared" si="1413"/>
        <v>0</v>
      </c>
      <c r="G411">
        <f t="shared" si="1413"/>
        <v>0</v>
      </c>
      <c r="H411">
        <f t="shared" si="1413"/>
        <v>0</v>
      </c>
      <c r="I411">
        <f t="shared" si="1413"/>
        <v>0</v>
      </c>
      <c r="J411">
        <f t="shared" si="1413"/>
        <v>0</v>
      </c>
      <c r="K411">
        <f t="shared" si="1413"/>
        <v>0</v>
      </c>
      <c r="L411">
        <f t="shared" si="1413"/>
        <v>0</v>
      </c>
      <c r="M411">
        <f t="shared" si="1413"/>
        <v>0</v>
      </c>
      <c r="N411">
        <f t="shared" si="1413"/>
        <v>0</v>
      </c>
      <c r="O411">
        <f t="shared" si="1413"/>
        <v>0</v>
      </c>
    </row>
    <row r="412" spans="1:32" ht="17.149999999999999" x14ac:dyDescent="0.55000000000000004">
      <c r="A412" s="11"/>
      <c r="B412" s="11" t="str">
        <f t="shared" si="1300"/>
        <v>Portland</v>
      </c>
      <c r="C412" s="11" t="s">
        <v>588</v>
      </c>
      <c r="D412" s="11">
        <f>IFERROR(D408*D409+D410*D411,0)</f>
        <v>130</v>
      </c>
      <c r="E412" s="11">
        <f t="shared" ref="E412" si="1414">IFERROR(E408*E409+E410*E411,0)</f>
        <v>130</v>
      </c>
      <c r="F412" s="11">
        <f t="shared" ref="F412" si="1415">IFERROR(F408*F409+F410*F411,0)</f>
        <v>130</v>
      </c>
      <c r="G412" s="11">
        <f t="shared" ref="G412" si="1416">IFERROR(G408*G409+G410*G411,0)</f>
        <v>130</v>
      </c>
      <c r="H412" s="11">
        <f t="shared" ref="H412" si="1417">IFERROR(H408*H409+H410*H411,0)</f>
        <v>130</v>
      </c>
      <c r="I412" s="11">
        <f t="shared" ref="I412" si="1418">IFERROR(I408*I409+I410*I411,0)</f>
        <v>130</v>
      </c>
      <c r="J412" s="11">
        <f t="shared" ref="J412" si="1419">IFERROR(J408*J409+J410*J411,0)</f>
        <v>130</v>
      </c>
      <c r="K412" s="11">
        <f t="shared" ref="K412" si="1420">IFERROR(K408*K409+K410*K411,0)</f>
        <v>130</v>
      </c>
      <c r="L412" s="11">
        <f t="shared" ref="L412" si="1421">IFERROR(L408*L409+L410*L411,0)</f>
        <v>130</v>
      </c>
      <c r="M412" s="11">
        <f t="shared" ref="M412" si="1422">IFERROR(M408*M409+M410*M411,0)</f>
        <v>130</v>
      </c>
      <c r="N412" s="11">
        <f t="shared" ref="N412" si="1423">IFERROR(N408*N409+N410*N411,0)</f>
        <v>130</v>
      </c>
      <c r="O412" s="11">
        <f t="shared" ref="O412" si="1424">IFERROR(O408*O409+O410*O411,0)</f>
        <v>130</v>
      </c>
      <c r="P412" s="11"/>
      <c r="Q412" s="11"/>
      <c r="R412" s="11"/>
      <c r="S412" s="11"/>
      <c r="T412" s="11"/>
      <c r="U412" s="11"/>
      <c r="V412" s="11"/>
      <c r="W412" s="11"/>
      <c r="X412" s="11"/>
      <c r="Y412" s="11"/>
      <c r="Z412" s="11"/>
      <c r="AA412" s="11"/>
      <c r="AB412" s="11"/>
      <c r="AC412" s="11"/>
      <c r="AD412" s="11"/>
      <c r="AE412" s="11"/>
      <c r="AF412" s="11"/>
    </row>
    <row r="413" spans="1:32" ht="17.149999999999999" x14ac:dyDescent="0.55000000000000004">
      <c r="A413" t="str" cm="1">
        <f t="array" ref="A413">INDEX(FX_Input,$Q413,R$5)</f>
        <v>FX - 13</v>
      </c>
      <c r="B413" t="str" cm="1">
        <f t="array" ref="B413">INDEX(FX_Input,Q413,S413)</f>
        <v>Portland</v>
      </c>
      <c r="C413" t="s">
        <v>563</v>
      </c>
      <c r="D413">
        <v>14.7</v>
      </c>
      <c r="E413">
        <v>14.7</v>
      </c>
      <c r="F413">
        <v>14.7</v>
      </c>
      <c r="G413">
        <v>14.7</v>
      </c>
      <c r="H413">
        <v>14.7</v>
      </c>
      <c r="I413">
        <v>14.7</v>
      </c>
      <c r="J413">
        <v>14.7</v>
      </c>
      <c r="K413">
        <v>14.7</v>
      </c>
      <c r="L413">
        <v>14.7</v>
      </c>
      <c r="M413">
        <v>14.7</v>
      </c>
      <c r="N413">
        <v>14.7</v>
      </c>
      <c r="O413">
        <v>14.7</v>
      </c>
      <c r="Q413">
        <f>Q379+2</f>
        <v>25</v>
      </c>
      <c r="R413">
        <v>1</v>
      </c>
      <c r="S413">
        <v>3</v>
      </c>
      <c r="T413">
        <v>1</v>
      </c>
      <c r="U413">
        <v>19</v>
      </c>
      <c r="V413">
        <v>20</v>
      </c>
      <c r="W413">
        <v>25</v>
      </c>
      <c r="X413">
        <v>1</v>
      </c>
      <c r="Y413">
        <v>2</v>
      </c>
      <c r="Z413">
        <f>(W413-V413)/(Y413-X413)</f>
        <v>5</v>
      </c>
      <c r="AA413">
        <f>V413-Z413*X413</f>
        <v>15</v>
      </c>
      <c r="AD413">
        <f>AD379+14</f>
        <v>169</v>
      </c>
      <c r="AF413">
        <f>AF379+14</f>
        <v>169</v>
      </c>
    </row>
    <row r="414" spans="1:32" ht="17.149999999999999" x14ac:dyDescent="0.55000000000000004">
      <c r="B414" t="str">
        <f t="shared" ref="B414" si="1425">B413</f>
        <v>Portland</v>
      </c>
      <c r="C414" t="s">
        <v>564</v>
      </c>
      <c r="D414" cm="1">
        <f t="array" ref="D414">IF(ISBLANK(INDEX(FX_Input,$Q413,$AB414)),0.03,INDEX(FX_Input,Q413,AB414))</f>
        <v>0.03</v>
      </c>
      <c r="E414" cm="1">
        <f t="array" ref="E414">IF(ISBLANK(INDEX(FX_Input,$Q413,$AB414)),0.03,INDEX(FX_Input,R413,#REF!))</f>
        <v>0.03</v>
      </c>
      <c r="F414" cm="1">
        <f t="array" ref="F414">IF(ISBLANK(INDEX(FX_Input,$Q413,$AB414)),0.03,INDEX(FX_Input,S413,#REF!))</f>
        <v>0.03</v>
      </c>
      <c r="G414" cm="1">
        <f t="array" ref="G414">IF(ISBLANK(INDEX(FX_Input,$Q413,$AB414)),0.03,INDEX(FX_Input,AB413,#REF!))</f>
        <v>0.03</v>
      </c>
      <c r="H414" cm="1">
        <f t="array" ref="H414">IF(ISBLANK(INDEX(FX_Input,$Q413,$AB414)),0.03,INDEX(FX_Input,#REF!,#REF!))</f>
        <v>0.03</v>
      </c>
      <c r="I414" cm="1">
        <f t="array" ref="I414">IF(ISBLANK(INDEX(FX_Input,$Q413,$AB414)),0.03,INDEX(FX_Input,#REF!,#REF!))</f>
        <v>0.03</v>
      </c>
      <c r="J414" cm="1">
        <f t="array" ref="J414">IF(ISBLANK(INDEX(FX_Input,$Q413,$AB414)),0.03,INDEX(FX_Input,#REF!,#REF!))</f>
        <v>0.03</v>
      </c>
      <c r="K414" cm="1">
        <f t="array" ref="K414">IF(ISBLANK(INDEX(FX_Input,$Q413,$AB414)),0.03,INDEX(FX_Input,#REF!,AC414))</f>
        <v>0.03</v>
      </c>
      <c r="L414" cm="1">
        <f t="array" ref="L414">IF(ISBLANK(INDEX(FX_Input,$Q413,$AB414)),0.03,INDEX(FX_Input,#REF!,AD414))</f>
        <v>0.03</v>
      </c>
      <c r="M414" cm="1">
        <f t="array" ref="M414">IF(ISBLANK(INDEX(FX_Input,$Q413,$AB414)),0.03,INDEX(FX_Input,#REF!,#REF!))</f>
        <v>0.03</v>
      </c>
      <c r="N414" cm="1">
        <f t="array" ref="N414">IF(ISBLANK(INDEX(FX_Input,$Q413,$AB414)),0.03,INDEX(FX_Input,AC413,#REF!))</f>
        <v>0.03</v>
      </c>
      <c r="O414" cm="1">
        <f t="array" ref="O414">IF(ISBLANK(INDEX(FX_Input,$Q413,$AB414)),0.03,INDEX(FX_Input,AD413,#REF!))</f>
        <v>0.03</v>
      </c>
      <c r="AB414">
        <v>15</v>
      </c>
    </row>
    <row r="415" spans="1:32" ht="17.149999999999999" x14ac:dyDescent="0.55000000000000004">
      <c r="B415" t="str">
        <f>B414</f>
        <v>Portland</v>
      </c>
      <c r="C415" t="s">
        <v>565</v>
      </c>
      <c r="D415" cm="1">
        <f t="array" ref="D415">IF(ISBLANK(INDEX(FX_Input,$Q413,$AB415)),-0.03,INDEX(FX_Input,$Q413,$AB415))</f>
        <v>-0.03</v>
      </c>
      <c r="E415" cm="1">
        <f t="array" ref="E415">IF(ISBLANK(INDEX(FX_Input,$Q413,$AB415)),-0.03,INDEX(FX_Input,R413,#REF!))</f>
        <v>-0.03</v>
      </c>
      <c r="F415" cm="1">
        <f t="array" ref="F415">IF(ISBLANK(INDEX(FX_Input,$Q413,$AB415)),-0.03,INDEX(FX_Input,S413,#REF!))</f>
        <v>-0.03</v>
      </c>
      <c r="G415" cm="1">
        <f t="array" ref="G415">IF(ISBLANK(INDEX(FX_Input,$Q413,$AB415)),-0.03,INDEX(FX_Input,AB413,#REF!))</f>
        <v>-0.03</v>
      </c>
      <c r="H415" cm="1">
        <f t="array" ref="H415">IF(ISBLANK(INDEX(FX_Input,$Q413,$AB415)),-0.03,INDEX(FX_Input,#REF!,#REF!))</f>
        <v>-0.03</v>
      </c>
      <c r="I415" cm="1">
        <f t="array" ref="I415">IF(ISBLANK(INDEX(FX_Input,$Q413,$AB415)),-0.03,INDEX(FX_Input,#REF!,#REF!))</f>
        <v>-0.03</v>
      </c>
      <c r="J415" cm="1">
        <f t="array" ref="J415">IF(ISBLANK(INDEX(FX_Input,$Q413,$AB415)),-0.03,INDEX(FX_Input,#REF!,#REF!))</f>
        <v>-0.03</v>
      </c>
      <c r="K415" cm="1">
        <f t="array" ref="K415">IF(ISBLANK(INDEX(FX_Input,$Q413,$AB415)),-0.03,INDEX(FX_Input,#REF!,AC415))</f>
        <v>-0.03</v>
      </c>
      <c r="L415" cm="1">
        <f t="array" ref="L415">IF(ISBLANK(INDEX(FX_Input,$Q413,$AB415)),-0.03,INDEX(FX_Input,#REF!,AD415))</f>
        <v>-0.03</v>
      </c>
      <c r="M415" cm="1">
        <f t="array" ref="M415">IF(ISBLANK(INDEX(FX_Input,$Q413,$AB415)),-0.03,INDEX(FX_Input,#REF!,#REF!))</f>
        <v>-0.03</v>
      </c>
      <c r="N415" cm="1">
        <f t="array" ref="N415">IF(ISBLANK(INDEX(FX_Input,$Q413,$AB415)),-0.03,INDEX(FX_Input,AC413,#REF!))</f>
        <v>-0.03</v>
      </c>
      <c r="O415" cm="1">
        <f t="array" ref="O415">IF(ISBLANK(INDEX(FX_Input,$Q413,$AB415)),-0.03,INDEX(FX_Input,AD413,#REF!))</f>
        <v>-0.03</v>
      </c>
      <c r="AB415">
        <v>16</v>
      </c>
    </row>
    <row r="416" spans="1:32" x14ac:dyDescent="0.4">
      <c r="B416" t="str">
        <f t="shared" ref="B416:B417" si="1426">B415</f>
        <v>Portland</v>
      </c>
      <c r="C416" s="66" t="s">
        <v>567</v>
      </c>
      <c r="D416" t="str" cm="1">
        <f t="array" ref="D416">INDEX(FX_Multi,$AD416,D$3)</f>
        <v>Out of Service</v>
      </c>
      <c r="E416" t="str" cm="1">
        <f t="array" ref="E416">INDEX(FX_Multi,$AD416,E$3)</f>
        <v>Out of Service</v>
      </c>
      <c r="F416" t="str" cm="1">
        <f t="array" ref="F416">INDEX(FX_Multi,$AD416,F$3)</f>
        <v>Out of Service</v>
      </c>
      <c r="G416" t="str" cm="1">
        <f t="array" ref="G416">INDEX(FX_Multi,$AD416,G$3)</f>
        <v>Out of Service</v>
      </c>
      <c r="H416" t="str" cm="1">
        <f t="array" ref="H416">INDEX(FX_Multi,$AD416,H$3)</f>
        <v>Out of Service</v>
      </c>
      <c r="I416" t="str" cm="1">
        <f t="array" ref="I416">INDEX(FX_Multi,$AD416,I$3)</f>
        <v>Out of Service</v>
      </c>
      <c r="J416" t="str" cm="1">
        <f t="array" ref="J416">INDEX(FX_Multi,$AD416,J$3)</f>
        <v>Out of Service</v>
      </c>
      <c r="K416" t="str" cm="1">
        <f t="array" ref="K416">INDEX(FX_Multi,$AD416,K$3)</f>
        <v>Out of Service</v>
      </c>
      <c r="L416" t="str" cm="1">
        <f t="array" ref="L416">INDEX(FX_Multi,$AD416,L$3)</f>
        <v>Out of Service</v>
      </c>
      <c r="M416" t="str" cm="1">
        <f t="array" ref="M416">INDEX(FX_Multi,$AD416,M$3)</f>
        <v>Out of Service</v>
      </c>
      <c r="N416" t="str" cm="1">
        <f t="array" ref="N416">INDEX(FX_Multi,$AD416,N$3)</f>
        <v>Out of Service</v>
      </c>
      <c r="O416" t="str" cm="1">
        <f t="array" ref="O416">INDEX(FX_Multi,$AD416,O$3)</f>
        <v>Out of Service</v>
      </c>
      <c r="AC416">
        <v>1</v>
      </c>
      <c r="AD416">
        <f>AD413</f>
        <v>169</v>
      </c>
      <c r="AE416">
        <v>1</v>
      </c>
      <c r="AF416">
        <f>AF413</f>
        <v>169</v>
      </c>
    </row>
    <row r="417" spans="2:32" x14ac:dyDescent="0.4">
      <c r="B417" t="str">
        <f t="shared" si="1426"/>
        <v>Portland</v>
      </c>
      <c r="C417" s="66" t="s">
        <v>566</v>
      </c>
      <c r="D417" t="str" cm="1">
        <f t="array" ref="D417">INDEX(FX_Multi,$AD417,D$3)</f>
        <v>N/A</v>
      </c>
      <c r="E417" t="str" cm="1">
        <f t="array" ref="E417">INDEX(FX_Multi,$AD417,E$3)</f>
        <v>N/A</v>
      </c>
      <c r="F417" t="str" cm="1">
        <f t="array" ref="F417">INDEX(FX_Multi,$AD417,F$3)</f>
        <v>N/A</v>
      </c>
      <c r="G417" t="str" cm="1">
        <f t="array" ref="G417">INDEX(FX_Multi,$AD417,G$3)</f>
        <v>N/A</v>
      </c>
      <c r="H417" t="str" cm="1">
        <f t="array" ref="H417">INDEX(FX_Multi,$AD417,H$3)</f>
        <v>N/A</v>
      </c>
      <c r="I417" t="str" cm="1">
        <f t="array" ref="I417">INDEX(FX_Multi,$AD417,I$3)</f>
        <v>N/A</v>
      </c>
      <c r="J417" t="str" cm="1">
        <f t="array" ref="J417">INDEX(FX_Multi,$AD417,J$3)</f>
        <v>N/A</v>
      </c>
      <c r="K417" t="str" cm="1">
        <f t="array" ref="K417">INDEX(FX_Multi,$AD417,K$3)</f>
        <v>N/A</v>
      </c>
      <c r="L417" t="str" cm="1">
        <f t="array" ref="L417">INDEX(FX_Multi,$AD417,L$3)</f>
        <v>N/A</v>
      </c>
      <c r="M417" t="str" cm="1">
        <f t="array" ref="M417">INDEX(FX_Multi,$AD417,M$3)</f>
        <v>N/A</v>
      </c>
      <c r="N417" t="str" cm="1">
        <f t="array" ref="N417">INDEX(FX_Multi,$AD417,N$3)</f>
        <v>N/A</v>
      </c>
      <c r="O417" t="str" cm="1">
        <f t="array" ref="O417">INDEX(FX_Multi,$AD417,O$3)</f>
        <v>N/A</v>
      </c>
      <c r="AC417">
        <v>1</v>
      </c>
      <c r="AD417">
        <f>AD416+2</f>
        <v>171</v>
      </c>
      <c r="AE417">
        <v>1</v>
      </c>
      <c r="AF417">
        <f>AF416+3</f>
        <v>172</v>
      </c>
    </row>
    <row r="418" spans="2:32" x14ac:dyDescent="0.4">
      <c r="B418" t="str">
        <f>B414</f>
        <v>Portland</v>
      </c>
      <c r="C418" s="66" t="s">
        <v>568</v>
      </c>
      <c r="D418" cm="1">
        <f t="array" ref="D418">INDEX(FX_Multi,$AD418,D$3)</f>
        <v>0</v>
      </c>
      <c r="E418" cm="1">
        <f t="array" ref="E418">INDEX(FX_Multi,$AD418,E$3)</f>
        <v>0</v>
      </c>
      <c r="F418" cm="1">
        <f t="array" ref="F418">INDEX(FX_Multi,$AD418,F$3)</f>
        <v>0</v>
      </c>
      <c r="G418" cm="1">
        <f t="array" ref="G418">INDEX(FX_Multi,$AD418,G$3)</f>
        <v>0</v>
      </c>
      <c r="H418" cm="1">
        <f t="array" ref="H418">INDEX(FX_Multi,$AD418,H$3)</f>
        <v>0</v>
      </c>
      <c r="I418" cm="1">
        <f t="array" ref="I418">INDEX(FX_Multi,$AD418,I$3)</f>
        <v>0</v>
      </c>
      <c r="J418" cm="1">
        <f t="array" ref="J418">INDEX(FX_Multi,$AD418,J$3)</f>
        <v>0</v>
      </c>
      <c r="K418" cm="1">
        <f t="array" ref="K418">INDEX(FX_Multi,$AD418,K$3)</f>
        <v>0</v>
      </c>
      <c r="L418" cm="1">
        <f t="array" ref="L418">INDEX(FX_Multi,$AD418,L$3)</f>
        <v>0</v>
      </c>
      <c r="M418" cm="1">
        <f t="array" ref="M418">INDEX(FX_Multi,$AD418,M$3)</f>
        <v>0</v>
      </c>
      <c r="N418" cm="1">
        <f t="array" ref="N418">INDEX(FX_Multi,$AD418,N$3)</f>
        <v>0</v>
      </c>
      <c r="O418" cm="1">
        <f t="array" ref="O418">INDEX(FX_Multi,$AD418,O$3)</f>
        <v>0</v>
      </c>
      <c r="AC418">
        <v>1</v>
      </c>
      <c r="AD418">
        <f>AD417-1</f>
        <v>170</v>
      </c>
      <c r="AE418">
        <v>1</v>
      </c>
      <c r="AF418">
        <f>AF416+1</f>
        <v>170</v>
      </c>
    </row>
    <row r="419" spans="2:32" x14ac:dyDescent="0.4">
      <c r="B419" t="str">
        <f t="shared" ref="B419:B423" si="1427">B418</f>
        <v>Portland</v>
      </c>
      <c r="C419" s="66" t="s">
        <v>569</v>
      </c>
      <c r="D419" cm="1">
        <f t="array" ref="D419">INDEX(FX_Multi,$AD419,D$3)</f>
        <v>0</v>
      </c>
      <c r="E419" cm="1">
        <f t="array" ref="E419">INDEX(FX_Multi,$AD419,E$3)</f>
        <v>0</v>
      </c>
      <c r="F419" cm="1">
        <f t="array" ref="F419">INDEX(FX_Multi,$AD419,F$3)</f>
        <v>0</v>
      </c>
      <c r="G419" cm="1">
        <f t="array" ref="G419">INDEX(FX_Multi,$AD419,G$3)</f>
        <v>0</v>
      </c>
      <c r="H419" cm="1">
        <f t="array" ref="H419">INDEX(FX_Multi,$AD419,H$3)</f>
        <v>0</v>
      </c>
      <c r="I419" cm="1">
        <f t="array" ref="I419">INDEX(FX_Multi,$AD419,I$3)</f>
        <v>0</v>
      </c>
      <c r="J419" cm="1">
        <f t="array" ref="J419">INDEX(FX_Multi,$AD419,J$3)</f>
        <v>0</v>
      </c>
      <c r="K419" cm="1">
        <f t="array" ref="K419">INDEX(FX_Multi,$AD419,K$3)</f>
        <v>0</v>
      </c>
      <c r="L419" cm="1">
        <f t="array" ref="L419">INDEX(FX_Multi,$AD419,L$3)</f>
        <v>0</v>
      </c>
      <c r="M419" cm="1">
        <f t="array" ref="M419">INDEX(FX_Multi,$AD419,M$3)</f>
        <v>0</v>
      </c>
      <c r="N419" cm="1">
        <f t="array" ref="N419">INDEX(FX_Multi,$AD419,N$3)</f>
        <v>0</v>
      </c>
      <c r="O419" cm="1">
        <f t="array" ref="O419">INDEX(FX_Multi,$AD419,O$3)</f>
        <v>0</v>
      </c>
      <c r="AC419">
        <v>1</v>
      </c>
      <c r="AD419">
        <f>AD418+2</f>
        <v>172</v>
      </c>
      <c r="AE419">
        <v>1</v>
      </c>
      <c r="AF419">
        <f>AF417</f>
        <v>172</v>
      </c>
    </row>
    <row r="420" spans="2:32" ht="17.149999999999999" x14ac:dyDescent="0.55000000000000004">
      <c r="B420" t="str">
        <f t="shared" si="1427"/>
        <v>Portland</v>
      </c>
      <c r="C420" t="s">
        <v>570</v>
      </c>
      <c r="D420" cm="1">
        <f t="array" ref="D420">INDEX(FX_Multi,$AD420,D$3)</f>
        <v>1</v>
      </c>
      <c r="E420" cm="1">
        <f t="array" ref="E420">INDEX(FX_Multi,$AD420,E$3)</f>
        <v>1</v>
      </c>
      <c r="F420" cm="1">
        <f t="array" ref="F420">INDEX(FX_Multi,$AD420,F$3)</f>
        <v>1</v>
      </c>
      <c r="G420" cm="1">
        <f t="array" ref="G420">INDEX(FX_Multi,$AD420,G$3)</f>
        <v>1</v>
      </c>
      <c r="H420" cm="1">
        <f t="array" ref="H420">INDEX(FX_Multi,$AD420,H$3)</f>
        <v>1</v>
      </c>
      <c r="I420" cm="1">
        <f t="array" ref="I420">INDEX(FX_Multi,$AD420,I$3)</f>
        <v>1</v>
      </c>
      <c r="J420" cm="1">
        <f t="array" ref="J420">INDEX(FX_Multi,$AD420,J$3)</f>
        <v>1</v>
      </c>
      <c r="K420" cm="1">
        <f t="array" ref="K420">INDEX(FX_Multi,$AD420,K$3)</f>
        <v>1</v>
      </c>
      <c r="L420" cm="1">
        <f t="array" ref="L420">INDEX(FX_Multi,$AD420,L$3)</f>
        <v>1</v>
      </c>
      <c r="M420" cm="1">
        <f t="array" ref="M420">INDEX(FX_Multi,$AD420,M$3)</f>
        <v>1</v>
      </c>
      <c r="N420" cm="1">
        <f t="array" ref="N420">INDEX(FX_Multi,$AD420,N$3)</f>
        <v>1</v>
      </c>
      <c r="O420" cm="1">
        <f t="array" ref="O420">INDEX(FX_Multi,$AD420,O$3)</f>
        <v>1</v>
      </c>
      <c r="AC420">
        <v>1</v>
      </c>
      <c r="AD420">
        <f>AD419+6</f>
        <v>178</v>
      </c>
      <c r="AE420">
        <v>1</v>
      </c>
      <c r="AF420">
        <f>AF416+9</f>
        <v>178</v>
      </c>
    </row>
    <row r="421" spans="2:32" ht="17.149999999999999" x14ac:dyDescent="0.55000000000000004">
      <c r="B421" t="str">
        <f t="shared" si="1427"/>
        <v>Portland</v>
      </c>
      <c r="C421" t="s">
        <v>571</v>
      </c>
      <c r="D421" t="str" cm="1">
        <f t="array" ref="D421">INDEX(FX_Multi,$AD421,D$3)</f>
        <v>N/A</v>
      </c>
      <c r="E421" t="str" cm="1">
        <f t="array" ref="E421">INDEX(FX_Multi,$AD421,E$3)</f>
        <v>N/A</v>
      </c>
      <c r="F421" t="str" cm="1">
        <f t="array" ref="F421">INDEX(FX_Multi,$AD421,F$3)</f>
        <v>N/A</v>
      </c>
      <c r="G421" t="str" cm="1">
        <f t="array" ref="G421">INDEX(FX_Multi,$AD421,G$3)</f>
        <v>N/A</v>
      </c>
      <c r="H421" t="str" cm="1">
        <f t="array" ref="H421">INDEX(FX_Multi,$AD421,H$3)</f>
        <v>N/A</v>
      </c>
      <c r="I421" t="str" cm="1">
        <f t="array" ref="I421">INDEX(FX_Multi,$AD421,I$3)</f>
        <v>N/A</v>
      </c>
      <c r="J421" t="str" cm="1">
        <f t="array" ref="J421">INDEX(FX_Multi,$AD421,J$3)</f>
        <v>N/A</v>
      </c>
      <c r="K421" t="str" cm="1">
        <f t="array" ref="K421">INDEX(FX_Multi,$AD421,K$3)</f>
        <v>N/A</v>
      </c>
      <c r="L421" t="str" cm="1">
        <f t="array" ref="L421">INDEX(FX_Multi,$AD421,L$3)</f>
        <v>N/A</v>
      </c>
      <c r="M421" t="str" cm="1">
        <f t="array" ref="M421">INDEX(FX_Multi,$AD421,M$3)</f>
        <v>N/A</v>
      </c>
      <c r="N421" t="str" cm="1">
        <f t="array" ref="N421">INDEX(FX_Multi,$AD421,N$3)</f>
        <v>N/A</v>
      </c>
      <c r="O421" t="str" cm="1">
        <f t="array" ref="O421">INDEX(FX_Multi,$AD421,O$3)</f>
        <v>N/A</v>
      </c>
      <c r="AC421">
        <v>1</v>
      </c>
      <c r="AD421">
        <f>AD420-3</f>
        <v>175</v>
      </c>
      <c r="AE421">
        <v>1</v>
      </c>
      <c r="AF421">
        <f>AF416+6</f>
        <v>175</v>
      </c>
    </row>
    <row r="422" spans="2:32" ht="17.149999999999999" x14ac:dyDescent="0.55000000000000004">
      <c r="B422" t="str">
        <f t="shared" si="1427"/>
        <v>Portland</v>
      </c>
      <c r="C422" t="s">
        <v>572</v>
      </c>
      <c r="D422" cm="1">
        <f t="array" ref="D422">INDEX(FX_Multi,$AD422,D$3)</f>
        <v>0</v>
      </c>
      <c r="E422" cm="1">
        <f t="array" ref="E422">INDEX(FX_Multi,$AD422,E$3)</f>
        <v>0</v>
      </c>
      <c r="F422" cm="1">
        <f t="array" ref="F422">INDEX(FX_Multi,$AD422,F$3)</f>
        <v>0</v>
      </c>
      <c r="G422" cm="1">
        <f t="array" ref="G422">INDEX(FX_Multi,$AD422,G$3)</f>
        <v>0</v>
      </c>
      <c r="H422" cm="1">
        <f t="array" ref="H422">INDEX(FX_Multi,$AD422,H$3)</f>
        <v>0</v>
      </c>
      <c r="I422" cm="1">
        <f t="array" ref="I422">INDEX(FX_Multi,$AD422,I$3)</f>
        <v>0</v>
      </c>
      <c r="J422" cm="1">
        <f t="array" ref="J422">INDEX(FX_Multi,$AD422,J$3)</f>
        <v>0</v>
      </c>
      <c r="K422" cm="1">
        <f t="array" ref="K422">INDEX(FX_Multi,$AD422,K$3)</f>
        <v>0</v>
      </c>
      <c r="L422" cm="1">
        <f t="array" ref="L422">INDEX(FX_Multi,$AD422,L$3)</f>
        <v>0</v>
      </c>
      <c r="M422" cm="1">
        <f t="array" ref="M422">INDEX(FX_Multi,$AD422,M$3)</f>
        <v>0</v>
      </c>
      <c r="N422" cm="1">
        <f t="array" ref="N422">INDEX(FX_Multi,$AD422,N$3)</f>
        <v>0</v>
      </c>
      <c r="O422" cm="1">
        <f t="array" ref="O422">INDEX(FX_Multi,$AD422,O$3)</f>
        <v>0</v>
      </c>
      <c r="AC422">
        <v>1</v>
      </c>
      <c r="AD422">
        <f>AD421+4</f>
        <v>179</v>
      </c>
      <c r="AE422">
        <v>1</v>
      </c>
      <c r="AF422">
        <f>AF416+10</f>
        <v>179</v>
      </c>
    </row>
    <row r="423" spans="2:32" ht="17.149999999999999" x14ac:dyDescent="0.55000000000000004">
      <c r="B423" t="str">
        <f t="shared" si="1427"/>
        <v>Portland</v>
      </c>
      <c r="C423" t="s">
        <v>573</v>
      </c>
      <c r="D423" cm="1">
        <f t="array" ref="D423">INDEX(FX_Multi,$AD423,D$3)</f>
        <v>0</v>
      </c>
      <c r="E423" cm="1">
        <f t="array" ref="E423">INDEX(FX_Multi,$AD423,E$3)</f>
        <v>0</v>
      </c>
      <c r="F423" cm="1">
        <f t="array" ref="F423">INDEX(FX_Multi,$AD423,F$3)</f>
        <v>0</v>
      </c>
      <c r="G423" cm="1">
        <f t="array" ref="G423">INDEX(FX_Multi,$AD423,G$3)</f>
        <v>0</v>
      </c>
      <c r="H423" cm="1">
        <f t="array" ref="H423">INDEX(FX_Multi,$AD423,H$3)</f>
        <v>0</v>
      </c>
      <c r="I423" cm="1">
        <f t="array" ref="I423">INDEX(FX_Multi,$AD423,I$3)</f>
        <v>0</v>
      </c>
      <c r="J423" cm="1">
        <f t="array" ref="J423">INDEX(FX_Multi,$AD423,J$3)</f>
        <v>0</v>
      </c>
      <c r="K423" cm="1">
        <f t="array" ref="K423">INDEX(FX_Multi,$AD423,K$3)</f>
        <v>0</v>
      </c>
      <c r="L423" cm="1">
        <f t="array" ref="L423">INDEX(FX_Multi,$AD423,L$3)</f>
        <v>0</v>
      </c>
      <c r="M423" cm="1">
        <f t="array" ref="M423">INDEX(FX_Multi,$AD423,M$3)</f>
        <v>0</v>
      </c>
      <c r="N423" cm="1">
        <f t="array" ref="N423">INDEX(FX_Multi,$AD423,N$3)</f>
        <v>0</v>
      </c>
      <c r="O423" cm="1">
        <f t="array" ref="O423">INDEX(FX_Multi,$AD423,O$3)</f>
        <v>0</v>
      </c>
      <c r="AC423">
        <v>1</v>
      </c>
      <c r="AD423">
        <f>AD422-3</f>
        <v>176</v>
      </c>
      <c r="AE423">
        <v>1</v>
      </c>
      <c r="AF423">
        <f>AF416+7</f>
        <v>176</v>
      </c>
    </row>
    <row r="424" spans="2:32" ht="17.149999999999999" x14ac:dyDescent="0.55000000000000004">
      <c r="B424" t="str">
        <f>B419</f>
        <v>Portland</v>
      </c>
      <c r="C424" t="s">
        <v>526</v>
      </c>
      <c r="D424" cm="1">
        <f t="array" ref="D424">INDEX(FX_Temps,$AF424,D$3)</f>
        <v>42.68607499999996</v>
      </c>
      <c r="E424" cm="1">
        <f t="array" ref="E424">INDEX(FX_Temps,$AF424,E$3)</f>
        <v>43.575000000000045</v>
      </c>
      <c r="F424" cm="1">
        <f t="array" ref="F424">INDEX(FX_Temps,$AF424,F$3)</f>
        <v>45.674424999999985</v>
      </c>
      <c r="G424" cm="1">
        <f t="array" ref="G424">INDEX(FX_Temps,$AF424,G$3)</f>
        <v>49.081299999999999</v>
      </c>
      <c r="H424" cm="1">
        <f t="array" ref="H424">INDEX(FX_Temps,$AF424,H$3)</f>
        <v>54.370924999999943</v>
      </c>
      <c r="I424" cm="1">
        <f t="array" ref="I424">INDEX(FX_Temps,$AF424,I$3)</f>
        <v>58.558175000000006</v>
      </c>
      <c r="J424" cm="1">
        <f t="array" ref="J424">INDEX(FX_Temps,$AF424,J$3)</f>
        <v>62.222699999999804</v>
      </c>
      <c r="K424" cm="1">
        <f t="array" ref="K424">INDEX(FX_Temps,$AF424,K$3)</f>
        <v>61.947300000000041</v>
      </c>
      <c r="L424" cm="1">
        <f t="array" ref="L424">INDEX(FX_Temps,$AF424,L$3)</f>
        <v>58.339900000000057</v>
      </c>
      <c r="M424" cm="1">
        <f t="array" ref="M424">INDEX(FX_Temps,$AF424,M$3)</f>
        <v>51.548200000000065</v>
      </c>
      <c r="N424" cm="1">
        <f t="array" ref="N424">INDEX(FX_Temps,$AF424,N$3)</f>
        <v>45.647275000000036</v>
      </c>
      <c r="O424" cm="1">
        <f t="array" ref="O424">INDEX(FX_Temps,$AF424,O$3)</f>
        <v>42.362549999999999</v>
      </c>
      <c r="AE424">
        <v>1</v>
      </c>
      <c r="AF424">
        <f>AF416+10</f>
        <v>179</v>
      </c>
    </row>
    <row r="425" spans="2:32" ht="17.149999999999999" x14ac:dyDescent="0.55000000000000004">
      <c r="B425" t="str">
        <f t="shared" ref="B425:B446" si="1428">B424</f>
        <v>Portland</v>
      </c>
      <c r="C425" t="s">
        <v>527</v>
      </c>
      <c r="D425" cm="1">
        <f t="array" ref="D425">INDEX(FX_Temps,$AF425,D$3)</f>
        <v>46.846074999999985</v>
      </c>
      <c r="E425" cm="1">
        <f t="array" ref="E425">INDEX(FX_Temps,$AF425,E$3)</f>
        <v>48.855000000000018</v>
      </c>
      <c r="F425" cm="1">
        <f t="array" ref="F425">INDEX(FX_Temps,$AF425,F$3)</f>
        <v>50.954425000000072</v>
      </c>
      <c r="G425" cm="1">
        <f t="array" ref="G425">INDEX(FX_Temps,$AF425,G$3)</f>
        <v>54.441299999999956</v>
      </c>
      <c r="H425" cm="1">
        <f t="array" ref="H425">INDEX(FX_Temps,$AF425,H$3)</f>
        <v>59.690924999999879</v>
      </c>
      <c r="I425" cm="1">
        <f t="array" ref="I425">INDEX(FX_Temps,$AF425,I$3)</f>
        <v>63.558175000000006</v>
      </c>
      <c r="J425" cm="1">
        <f t="array" ref="J425">INDEX(FX_Temps,$AF425,J$3)</f>
        <v>67.302699999999845</v>
      </c>
      <c r="K425" cm="1">
        <f t="array" ref="K425">INDEX(FX_Temps,$AF425,K$3)</f>
        <v>67.387300000000096</v>
      </c>
      <c r="L425" cm="1">
        <f t="array" ref="L425">INDEX(FX_Temps,$AF425,L$3)</f>
        <v>64.899900000000002</v>
      </c>
      <c r="M425" cm="1">
        <f t="array" ref="M425">INDEX(FX_Temps,$AF425,M$3)</f>
        <v>57.428200000000061</v>
      </c>
      <c r="N425" cm="1">
        <f t="array" ref="N425">INDEX(FX_Temps,$AF425,N$3)</f>
        <v>50.527275000000031</v>
      </c>
      <c r="O425" cm="1">
        <f t="array" ref="O425">INDEX(FX_Temps,$AF425,O$3)</f>
        <v>46.362549999999999</v>
      </c>
      <c r="AE425">
        <f>AE424</f>
        <v>1</v>
      </c>
      <c r="AF425">
        <f>AF416+11</f>
        <v>180</v>
      </c>
    </row>
    <row r="426" spans="2:32" ht="17.149999999999999" x14ac:dyDescent="0.55000000000000004">
      <c r="B426" t="str">
        <f t="shared" si="1428"/>
        <v>Portland</v>
      </c>
      <c r="C426" t="s">
        <v>552</v>
      </c>
      <c r="D426" cm="1">
        <f t="array" ref="D426">INDEX(FX_Temps,$AF426,D$3)</f>
        <v>45.258280000000013</v>
      </c>
      <c r="E426" cm="1">
        <f t="array" ref="E426">INDEX(FX_Temps,$AF426,E$3)</f>
        <v>47.076000000000022</v>
      </c>
      <c r="F426" cm="1">
        <f t="array" ref="F426">INDEX(FX_Temps,$AF426,F$3)</f>
        <v>49.572920000000011</v>
      </c>
      <c r="G426" cm="1">
        <f t="array" ref="G426">INDEX(FX_Temps,$AF426,G$3)</f>
        <v>53.557919999999854</v>
      </c>
      <c r="H426" cm="1">
        <f t="array" ref="H426">INDEX(FX_Temps,$AF426,H$3)</f>
        <v>59.236519999999814</v>
      </c>
      <c r="I426" cm="1">
        <f t="array" ref="I426">INDEX(FX_Temps,$AF426,I$3)</f>
        <v>63.392920000000117</v>
      </c>
      <c r="J426" cm="1">
        <f t="array" ref="J426">INDEX(FX_Temps,$AF426,J$3)</f>
        <v>67.21367999999984</v>
      </c>
      <c r="K426" cm="1">
        <f t="array" ref="K426">INDEX(FX_Temps,$AF426,K$3)</f>
        <v>66.808319999999981</v>
      </c>
      <c r="L426" cm="1">
        <f t="array" ref="L426">INDEX(FX_Temps,$AF426,L$3)</f>
        <v>63.33615999999995</v>
      </c>
      <c r="M426" cm="1">
        <f t="array" ref="M426">INDEX(FX_Temps,$AF426,M$3)</f>
        <v>55.532879999999977</v>
      </c>
      <c r="N426" cm="1">
        <f t="array" ref="N426">INDEX(FX_Temps,$AF426,N$3)</f>
        <v>48.648359999999968</v>
      </c>
      <c r="O426" cm="1">
        <f t="array" ref="O426">INDEX(FX_Temps,$AF426,O$3)</f>
        <v>44.795920000000024</v>
      </c>
      <c r="AE426">
        <f>AE425</f>
        <v>1</v>
      </c>
      <c r="AF426">
        <f>AF416+13</f>
        <v>182</v>
      </c>
    </row>
    <row r="427" spans="2:32" ht="17.149999999999999" x14ac:dyDescent="0.55000000000000004">
      <c r="B427" t="str">
        <f t="shared" si="1428"/>
        <v>Portland</v>
      </c>
      <c r="C427" t="s">
        <v>574</v>
      </c>
      <c r="D427" s="20" cm="1">
        <f t="array" ref="D427">IFERROR(IF(D417="Chemical",(10^(INDEX(Antoines,MATCH(D416,Antoine_Name,0),2)-INDEX(Antoines,MATCH(D416,Antoine_Name,0),3)/(INDEX(Antoines,MATCH(D416,Antoine_Name,0),4)+(D424-32)*5/9)))*14.7/760,IF(D417="Crude Oil",EXP((2799/(D424+459.6)-2.227)*LOG10(INDEX(FX_Input,Q$5,D$3*$Z$5+$AA$5))-(7261/(D424+459.6))+12.82),IF(D417="Refined Petroleum Stock",EXP((0.7553-(413/(D424+459.6)))*(INDEX(FX_Input,Q$5,D$3*$Z$5+$AA$5-1)^0.5)*LOG10(INDEX(FX_Input,Q$5,D$3*$Z$5+$AA$5))-(1.854-(1042/(D424+459.6)))*(INDEX(FX_Input,Q$5,D$3*$Z$5+$AA$5-1)^0.5)+((2416/(D424+459.6)-2.013)*LOG10(INDEX(FX_Input,Q$5,D$3*$Z$5+$AA$5)))-(8742/(D424+459.6))+15.64),EXP(INDEX(Antoines,MATCH(D416,Antoine_Name,0),2)-INDEX(Antoines,MATCH(D416,Antoine_Name,0),3)/(D424+459.6))))),0)</f>
        <v>1</v>
      </c>
      <c r="E427" cm="1">
        <f t="array" ref="E427">IFERROR(IF(E417="Chemical",(10^(INDEX(Antoines,MATCH(E416,Antoine_Name,0),2)-INDEX(Antoines,MATCH(E416,Antoine_Name,0),3)/(INDEX(Antoines,MATCH(E416,Antoine_Name,0),4)+(E424-32)*5/9)))*14.7/760,IF(E417="Crude Oil",EXP((2799/(E424+459.6)-2.227)*LOG10(INDEX(FX_Input,R$5,E$3*$Z$5+$AA$5))-(7261/(E424+459.6))+12.82),IF(E417="Refined Petroleum Stock",EXP((0.7553-(413/(E424+459.6)))*(INDEX(FX_Input,R$5,E$3*$Z$5+$AA$5-1)^0.5)*LOG10(INDEX(FX_Input,R$5,E$3*$Z$5+$AA$5))-(1.854-(1042/(E424+459.6)))*(INDEX(FX_Input,R$5,E$3*$Z$5+$AA$5-1)^0.5)+((2416/(E424+459.6)-2.013)*LOG10(INDEX(FX_Input,R$5,E$3*$Z$5+$AA$5)))-(8742/(E424+459.6))+15.64),EXP(INDEX(Antoines,MATCH(E416,Antoine_Name,0),2)-INDEX(Antoines,MATCH(E416,Antoine_Name,0),3)/(E424+459.6))))),0)</f>
        <v>1</v>
      </c>
      <c r="F427" cm="1">
        <f t="array" ref="F427">IFERROR(IF(F417="Chemical",(10^(INDEX(Antoines,MATCH(F416,Antoine_Name,0),2)-INDEX(Antoines,MATCH(F416,Antoine_Name,0),3)/(INDEX(Antoines,MATCH(F416,Antoine_Name,0),4)+(F424-32)*5/9)))*14.7/760,IF(F417="Crude Oil",EXP((2799/(F424+459.6)-2.227)*LOG10(INDEX(FX_Input,S$5,F$3*$Z$5+$AA$5))-(7261/(F424+459.6))+12.82),IF(F417="Refined Petroleum Stock",EXP((0.7553-(413/(F424+459.6)))*(INDEX(FX_Input,S$5,F$3*$Z$5+$AA$5-1)^0.5)*LOG10(INDEX(FX_Input,S$5,F$3*$Z$5+$AA$5))-(1.854-(1042/(F424+459.6)))*(INDEX(FX_Input,S$5,F$3*$Z$5+$AA$5-1)^0.5)+((2416/(F424+459.6)-2.013)*LOG10(INDEX(FX_Input,S$5,F$3*$Z$5+$AA$5)))-(8742/(F424+459.6))+15.64),EXP(INDEX(Antoines,MATCH(F416,Antoine_Name,0),2)-INDEX(Antoines,MATCH(F416,Antoine_Name,0),3)/(F424+459.6))))),0)</f>
        <v>1</v>
      </c>
      <c r="G427" cm="1">
        <f t="array" ref="G427">IFERROR(IF(G417="Chemical",(10^(INDEX(Antoines,MATCH(G416,Antoine_Name,0),2)-INDEX(Antoines,MATCH(G416,Antoine_Name,0),3)/(INDEX(Antoines,MATCH(G416,Antoine_Name,0),4)+(G424-32)*5/9)))*14.7/760,IF(G417="Crude Oil",EXP((2799/(G424+459.6)-2.227)*LOG10(INDEX(FX_Input,T$5,G$3*$Z$5+$AA$5))-(7261/(G424+459.6))+12.82),IF(G417="Refined Petroleum Stock",EXP((0.7553-(413/(G424+459.6)))*(INDEX(FX_Input,T$5,G$3*$Z$5+$AA$5-1)^0.5)*LOG10(INDEX(FX_Input,T$5,G$3*$Z$5+$AA$5))-(1.854-(1042/(G424+459.6)))*(INDEX(FX_Input,T$5,G$3*$Z$5+$AA$5-1)^0.5)+((2416/(G424+459.6)-2.013)*LOG10(INDEX(FX_Input,T$5,G$3*$Z$5+$AA$5)))-(8742/(G424+459.6))+15.64),EXP(INDEX(Antoines,MATCH(G416,Antoine_Name,0),2)-INDEX(Antoines,MATCH(G416,Antoine_Name,0),3)/(G424+459.6))))),0)</f>
        <v>1</v>
      </c>
      <c r="H427" cm="1">
        <f t="array" ref="H427">IFERROR(IF(H417="Chemical",(10^(INDEX(Antoines,MATCH(H416,Antoine_Name,0),2)-INDEX(Antoines,MATCH(H416,Antoine_Name,0),3)/(INDEX(Antoines,MATCH(H416,Antoine_Name,0),4)+(H424-32)*5/9)))*14.7/760,IF(H417="Crude Oil",EXP((2799/(H424+459.6)-2.227)*LOG10(INDEX(FX_Input,U$5,H$3*$Z$5+$AA$5))-(7261/(H424+459.6))+12.82),IF(H417="Refined Petroleum Stock",EXP((0.7553-(413/(H424+459.6)))*(INDEX(FX_Input,U$5,H$3*$Z$5+$AA$5-1)^0.5)*LOG10(INDEX(FX_Input,U$5,H$3*$Z$5+$AA$5))-(1.854-(1042/(H424+459.6)))*(INDEX(FX_Input,U$5,H$3*$Z$5+$AA$5-1)^0.5)+((2416/(H424+459.6)-2.013)*LOG10(INDEX(FX_Input,U$5,H$3*$Z$5+$AA$5)))-(8742/(H424+459.6))+15.64),EXP(INDEX(Antoines,MATCH(H416,Antoine_Name,0),2)-INDEX(Antoines,MATCH(H416,Antoine_Name,0),3)/(H424+459.6))))),0)</f>
        <v>1</v>
      </c>
      <c r="I427" cm="1">
        <f t="array" ref="I427">IFERROR(IF(I417="Chemical",(10^(INDEX(Antoines,MATCH(I416,Antoine_Name,0),2)-INDEX(Antoines,MATCH(I416,Antoine_Name,0),3)/(INDEX(Antoines,MATCH(I416,Antoine_Name,0),4)+(I424-32)*5/9)))*14.7/760,IF(I417="Crude Oil",EXP((2799/(I424+459.6)-2.227)*LOG10(INDEX(FX_Input,V$5,I$3*$Z$5+$AA$5))-(7261/(I424+459.6))+12.82),IF(I417="Refined Petroleum Stock",EXP((0.7553-(413/(I424+459.6)))*(INDEX(FX_Input,V$5,I$3*$Z$5+$AA$5-1)^0.5)*LOG10(INDEX(FX_Input,V$5,I$3*$Z$5+$AA$5))-(1.854-(1042/(I424+459.6)))*(INDEX(FX_Input,V$5,I$3*$Z$5+$AA$5-1)^0.5)+((2416/(I424+459.6)-2.013)*LOG10(INDEX(FX_Input,V$5,I$3*$Z$5+$AA$5)))-(8742/(I424+459.6))+15.64),EXP(INDEX(Antoines,MATCH(I416,Antoine_Name,0),2)-INDEX(Antoines,MATCH(I416,Antoine_Name,0),3)/(I424+459.6))))),0)</f>
        <v>1</v>
      </c>
      <c r="J427" cm="1">
        <f t="array" ref="J427">IFERROR(IF(J417="Chemical",(10^(INDEX(Antoines,MATCH(J416,Antoine_Name,0),2)-INDEX(Antoines,MATCH(J416,Antoine_Name,0),3)/(INDEX(Antoines,MATCH(J416,Antoine_Name,0),4)+(J424-32)*5/9)))*14.7/760,IF(J417="Crude Oil",EXP((2799/(J424+459.6)-2.227)*LOG10(INDEX(FX_Input,W$5,J$3*$Z$5+$AA$5))-(7261/(J424+459.6))+12.82),IF(J417="Refined Petroleum Stock",EXP((0.7553-(413/(J424+459.6)))*(INDEX(FX_Input,W$5,J$3*$Z$5+$AA$5-1)^0.5)*LOG10(INDEX(FX_Input,W$5,J$3*$Z$5+$AA$5))-(1.854-(1042/(J424+459.6)))*(INDEX(FX_Input,W$5,J$3*$Z$5+$AA$5-1)^0.5)+((2416/(J424+459.6)-2.013)*LOG10(INDEX(FX_Input,W$5,J$3*$Z$5+$AA$5)))-(8742/(J424+459.6))+15.64),EXP(INDEX(Antoines,MATCH(J416,Antoine_Name,0),2)-INDEX(Antoines,MATCH(J416,Antoine_Name,0),3)/(J424+459.6))))),0)</f>
        <v>1</v>
      </c>
      <c r="K427" cm="1">
        <f t="array" ref="K427">IFERROR(IF(K417="Chemical",(10^(INDEX(Antoines,MATCH(K416,Antoine_Name,0),2)-INDEX(Antoines,MATCH(K416,Antoine_Name,0),3)/(INDEX(Antoines,MATCH(K416,Antoine_Name,0),4)+(K424-32)*5/9)))*14.7/760,IF(K417="Crude Oil",EXP((2799/(K424+459.6)-2.227)*LOG10(INDEX(FX_Input,X$5,K$3*$Z$5+$AA$5))-(7261/(K424+459.6))+12.82),IF(K417="Refined Petroleum Stock",EXP((0.7553-(413/(K424+459.6)))*(INDEX(FX_Input,X$5,K$3*$Z$5+$AA$5-1)^0.5)*LOG10(INDEX(FX_Input,X$5,K$3*$Z$5+$AA$5))-(1.854-(1042/(K424+459.6)))*(INDEX(FX_Input,X$5,K$3*$Z$5+$AA$5-1)^0.5)+((2416/(K424+459.6)-2.013)*LOG10(INDEX(FX_Input,X$5,K$3*$Z$5+$AA$5)))-(8742/(K424+459.6))+15.64),EXP(INDEX(Antoines,MATCH(K416,Antoine_Name,0),2)-INDEX(Antoines,MATCH(K416,Antoine_Name,0),3)/(K424+459.6))))),0)</f>
        <v>1</v>
      </c>
      <c r="L427" cm="1">
        <f t="array" ref="L427">IFERROR(IF(L417="Chemical",(10^(INDEX(Antoines,MATCH(L416,Antoine_Name,0),2)-INDEX(Antoines,MATCH(L416,Antoine_Name,0),3)/(INDEX(Antoines,MATCH(L416,Antoine_Name,0),4)+(L424-32)*5/9)))*14.7/760,IF(L417="Crude Oil",EXP((2799/(L424+459.6)-2.227)*LOG10(INDEX(FX_Input,Y$5,L$3*$Z$5+$AA$5))-(7261/(L424+459.6))+12.82),IF(L417="Refined Petroleum Stock",EXP((0.7553-(413/(L424+459.6)))*(INDEX(FX_Input,Y$5,L$3*$Z$5+$AA$5-1)^0.5)*LOG10(INDEX(FX_Input,Y$5,L$3*$Z$5+$AA$5))-(1.854-(1042/(L424+459.6)))*(INDEX(FX_Input,Y$5,L$3*$Z$5+$AA$5-1)^0.5)+((2416/(L424+459.6)-2.013)*LOG10(INDEX(FX_Input,Y$5,L$3*$Z$5+$AA$5)))-(8742/(L424+459.6))+15.64),EXP(INDEX(Antoines,MATCH(L416,Antoine_Name,0),2)-INDEX(Antoines,MATCH(L416,Antoine_Name,0),3)/(L424+459.6))))),0)</f>
        <v>1</v>
      </c>
      <c r="M427" cm="1">
        <f t="array" ref="M427">IFERROR(IF(M417="Chemical",(10^(INDEX(Antoines,MATCH(M416,Antoine_Name,0),2)-INDEX(Antoines,MATCH(M416,Antoine_Name,0),3)/(INDEX(Antoines,MATCH(M416,Antoine_Name,0),4)+(M424-32)*5/9)))*14.7/760,IF(M417="Crude Oil",EXP((2799/(M424+459.6)-2.227)*LOG10(INDEX(FX_Input,Z$5,M$3*$Z$5+$AA$5))-(7261/(M424+459.6))+12.82),IF(M417="Refined Petroleum Stock",EXP((0.7553-(413/(M424+459.6)))*(INDEX(FX_Input,Z$5,M$3*$Z$5+$AA$5-1)^0.5)*LOG10(INDEX(FX_Input,Z$5,M$3*$Z$5+$AA$5))-(1.854-(1042/(M424+459.6)))*(INDEX(FX_Input,Z$5,M$3*$Z$5+$AA$5-1)^0.5)+((2416/(M424+459.6)-2.013)*LOG10(INDEX(FX_Input,Z$5,M$3*$Z$5+$AA$5)))-(8742/(M424+459.6))+15.64),EXP(INDEX(Antoines,MATCH(M416,Antoine_Name,0),2)-INDEX(Antoines,MATCH(M416,Antoine_Name,0),3)/(M424+459.6))))),0)</f>
        <v>1</v>
      </c>
      <c r="N427" cm="1">
        <f t="array" ref="N427">IFERROR(IF(N417="Chemical",(10^(INDEX(Antoines,MATCH(N416,Antoine_Name,0),2)-INDEX(Antoines,MATCH(N416,Antoine_Name,0),3)/(INDEX(Antoines,MATCH(N416,Antoine_Name,0),4)+(N424-32)*5/9)))*14.7/760,IF(N417="Crude Oil",EXP((2799/(N424+459.6)-2.227)*LOG10(INDEX(FX_Input,AA$5,N$3*$Z$5+$AA$5))-(7261/(N424+459.6))+12.82),IF(N417="Refined Petroleum Stock",EXP((0.7553-(413/(N424+459.6)))*(INDEX(FX_Input,AA$5,N$3*$Z$5+$AA$5-1)^0.5)*LOG10(INDEX(FX_Input,AA$5,N$3*$Z$5+$AA$5))-(1.854-(1042/(N424+459.6)))*(INDEX(FX_Input,AA$5,N$3*$Z$5+$AA$5-1)^0.5)+((2416/(N424+459.6)-2.013)*LOG10(INDEX(FX_Input,AA$5,N$3*$Z$5+$AA$5)))-(8742/(N424+459.6))+15.64),EXP(INDEX(Antoines,MATCH(N416,Antoine_Name,0),2)-INDEX(Antoines,MATCH(N416,Antoine_Name,0),3)/(N424+459.6))))),0)</f>
        <v>1</v>
      </c>
      <c r="O427" cm="1">
        <f t="array" ref="O427">IFERROR(IF(O417="Chemical",(10^(INDEX(Antoines,MATCH(O416,Antoine_Name,0),2)-INDEX(Antoines,MATCH(O416,Antoine_Name,0),3)/(INDEX(Antoines,MATCH(O416,Antoine_Name,0),4)+(O424-32)*5/9)))*14.7/760,IF(O417="Crude Oil",EXP((2799/(O424+459.6)-2.227)*LOG10(INDEX(FX_Input,AB$5,O$3*$Z$5+$AA$5))-(7261/(O424+459.6))+12.82),IF(O417="Refined Petroleum Stock",EXP((0.7553-(413/(O424+459.6)))*(INDEX(FX_Input,AB$5,O$3*$Z$5+$AA$5-1)^0.5)*LOG10(INDEX(FX_Input,AB$5,O$3*$Z$5+$AA$5))-(1.854-(1042/(O424+459.6)))*(INDEX(FX_Input,AB$5,O$3*$Z$5+$AA$5-1)^0.5)+((2416/(O424+459.6)-2.013)*LOG10(INDEX(FX_Input,AB$5,O$3*$Z$5+$AA$5)))-(8742/(O424+459.6))+15.64),EXP(INDEX(Antoines,MATCH(O416,Antoine_Name,0),2)-INDEX(Antoines,MATCH(O416,Antoine_Name,0),3)/(O424+459.6))))),0)</f>
        <v>1</v>
      </c>
    </row>
    <row r="428" spans="2:32" ht="17.149999999999999" x14ac:dyDescent="0.55000000000000004">
      <c r="B428" t="str">
        <f t="shared" si="1428"/>
        <v>Portland</v>
      </c>
      <c r="C428" t="s">
        <v>576</v>
      </c>
      <c r="D428">
        <f>D420*D427</f>
        <v>1</v>
      </c>
      <c r="E428">
        <f t="shared" ref="E428" si="1429">E420*E427</f>
        <v>1</v>
      </c>
      <c r="F428">
        <f t="shared" ref="F428" si="1430">F420*F427</f>
        <v>1</v>
      </c>
      <c r="G428">
        <f t="shared" ref="G428" si="1431">G420*G427</f>
        <v>1</v>
      </c>
      <c r="H428">
        <f t="shared" ref="H428" si="1432">H420*H427</f>
        <v>1</v>
      </c>
      <c r="I428">
        <f t="shared" ref="I428" si="1433">I420*I427</f>
        <v>1</v>
      </c>
      <c r="J428">
        <f t="shared" ref="J428" si="1434">J420*J427</f>
        <v>1</v>
      </c>
      <c r="K428">
        <f t="shared" ref="K428" si="1435">K420*K427</f>
        <v>1</v>
      </c>
      <c r="L428">
        <f t="shared" ref="L428" si="1436">L420*L427</f>
        <v>1</v>
      </c>
      <c r="M428">
        <f t="shared" ref="M428" si="1437">M420*M427</f>
        <v>1</v>
      </c>
      <c r="N428">
        <f t="shared" ref="N428" si="1438">N420*N427</f>
        <v>1</v>
      </c>
      <c r="O428">
        <f t="shared" ref="O428" si="1439">O420*O427</f>
        <v>1</v>
      </c>
    </row>
    <row r="429" spans="2:32" ht="17.149999999999999" x14ac:dyDescent="0.55000000000000004">
      <c r="B429" t="str">
        <f t="shared" si="1428"/>
        <v>Portland</v>
      </c>
      <c r="C429" t="s">
        <v>575</v>
      </c>
      <c r="D429" cm="1">
        <f t="array" ref="D429">IFERROR(IF(D419="Chemical",(10^(INDEX(Antoines,MATCH(D418,Antoine_Name,0),2)-INDEX(Antoines,MATCH(D418,Antoine_Name,0),3)/(INDEX(Antoines,MATCH(D418,Antoine_Name,0),4)+(D424-32)*5/9)))*14.7/760,IF(D419="Crude Oil",EXP((2799/(D424+459.6)-2.227)*LOG10(INDEX(FX_Input,Q$5,D$3*$Z$5+$AA$5))-(7261/(D424+459.6))+12.82),IF(D419="Refined Petroleum Stock",EXP((0.7553-(413/(D424+459.6)))*(INDEX(FX_Input,Q$5,D$3*$Z$5+$AA$5-1)^0.5)*LOG10(INDEX(FX_Input,Q$5,D$3*$Z$5+$AA$5))-(1.854-(1042/(D424+459.6)))*(INDEX(FX_Input,Q$5,D$3*$Z$5+$AA$5-1)^0.5)+((2416/(D424+459.6)-2.013)*LOG10(INDEX(FX_Input,Q$5,D$3*$Z$5+$AA$5)))-(8742/(D424+459.6))+15.64),EXP(INDEX(Antoines,MATCH(D418,Antoine_Name,0),2)-INDEX(Antoines,MATCH(D418,Antoine_Name,0),3)/(D424+459.6))))),0)</f>
        <v>0</v>
      </c>
      <c r="E429" cm="1">
        <f t="array" ref="E429">IFERROR(IF(E419="Chemical",(10^(INDEX(Antoines,MATCH(E418,Antoine_Name,0),2)-INDEX(Antoines,MATCH(E418,Antoine_Name,0),3)/(INDEX(Antoines,MATCH(E418,Antoine_Name,0),4)+(E424-32)*5/9)))*14.7/760,IF(E419="Crude Oil",EXP((2799/(E424+459.6)-2.227)*LOG10(INDEX(FX_Input,R$5,E$3*$Z$5+$AA$5))-(7261/(E424+459.6))+12.82),IF(E419="Refined Petroleum Stock",EXP((0.7553-(413/(E424+459.6)))*(INDEX(FX_Input,R$5,E$3*$Z$5+$AA$5-1)^0.5)*LOG10(INDEX(FX_Input,R$5,E$3*$Z$5+$AA$5))-(1.854-(1042/(E424+459.6)))*(INDEX(FX_Input,R$5,E$3*$Z$5+$AA$5-1)^0.5)+((2416/(E424+459.6)-2.013)*LOG10(INDEX(FX_Input,R$5,E$3*$Z$5+$AA$5)))-(8742/(E424+459.6))+15.64),EXP(INDEX(Antoines,MATCH(E418,Antoine_Name,0),2)-INDEX(Antoines,MATCH(E418,Antoine_Name,0),3)/(E424+459.6))))),0)</f>
        <v>0</v>
      </c>
      <c r="F429" cm="1">
        <f t="array" ref="F429">IFERROR(IF(F419="Chemical",(10^(INDEX(Antoines,MATCH(F418,Antoine_Name,0),2)-INDEX(Antoines,MATCH(F418,Antoine_Name,0),3)/(INDEX(Antoines,MATCH(F418,Antoine_Name,0),4)+(F424-32)*5/9)))*14.7/760,IF(F419="Crude Oil",EXP((2799/(F424+459.6)-2.227)*LOG10(INDEX(FX_Input,S$5,F$3*$Z$5+$AA$5))-(7261/(F424+459.6))+12.82),IF(F419="Refined Petroleum Stock",EXP((0.7553-(413/(F424+459.6)))*(INDEX(FX_Input,S$5,F$3*$Z$5+$AA$5-1)^0.5)*LOG10(INDEX(FX_Input,S$5,F$3*$Z$5+$AA$5))-(1.854-(1042/(F424+459.6)))*(INDEX(FX_Input,S$5,F$3*$Z$5+$AA$5-1)^0.5)+((2416/(F424+459.6)-2.013)*LOG10(INDEX(FX_Input,S$5,F$3*$Z$5+$AA$5)))-(8742/(F424+459.6))+15.64),EXP(INDEX(Antoines,MATCH(F418,Antoine_Name,0),2)-INDEX(Antoines,MATCH(F418,Antoine_Name,0),3)/(F424+459.6))))),0)</f>
        <v>0</v>
      </c>
      <c r="G429" cm="1">
        <f t="array" ref="G429">IFERROR(IF(G419="Chemical",(10^(INDEX(Antoines,MATCH(G418,Antoine_Name,0),2)-INDEX(Antoines,MATCH(G418,Antoine_Name,0),3)/(INDEX(Antoines,MATCH(G418,Antoine_Name,0),4)+(G424-32)*5/9)))*14.7/760,IF(G419="Crude Oil",EXP((2799/(G424+459.6)-2.227)*LOG10(INDEX(FX_Input,T$5,G$3*$Z$5+$AA$5))-(7261/(G424+459.6))+12.82),IF(G419="Refined Petroleum Stock",EXP((0.7553-(413/(G424+459.6)))*(INDEX(FX_Input,T$5,G$3*$Z$5+$AA$5-1)^0.5)*LOG10(INDEX(FX_Input,T$5,G$3*$Z$5+$AA$5))-(1.854-(1042/(G424+459.6)))*(INDEX(FX_Input,T$5,G$3*$Z$5+$AA$5-1)^0.5)+((2416/(G424+459.6)-2.013)*LOG10(INDEX(FX_Input,T$5,G$3*$Z$5+$AA$5)))-(8742/(G424+459.6))+15.64),EXP(INDEX(Antoines,MATCH(G418,Antoine_Name,0),2)-INDEX(Antoines,MATCH(G418,Antoine_Name,0),3)/(G424+459.6))))),0)</f>
        <v>0</v>
      </c>
      <c r="H429" cm="1">
        <f t="array" ref="H429">IFERROR(IF(H419="Chemical",(10^(INDEX(Antoines,MATCH(H418,Antoine_Name,0),2)-INDEX(Antoines,MATCH(H418,Antoine_Name,0),3)/(INDEX(Antoines,MATCH(H418,Antoine_Name,0),4)+(H424-32)*5/9)))*14.7/760,IF(H419="Crude Oil",EXP((2799/(H424+459.6)-2.227)*LOG10(INDEX(FX_Input,U$5,H$3*$Z$5+$AA$5))-(7261/(H424+459.6))+12.82),IF(H419="Refined Petroleum Stock",EXP((0.7553-(413/(H424+459.6)))*(INDEX(FX_Input,U$5,H$3*$Z$5+$AA$5-1)^0.5)*LOG10(INDEX(FX_Input,U$5,H$3*$Z$5+$AA$5))-(1.854-(1042/(H424+459.6)))*(INDEX(FX_Input,U$5,H$3*$Z$5+$AA$5-1)^0.5)+((2416/(H424+459.6)-2.013)*LOG10(INDEX(FX_Input,U$5,H$3*$Z$5+$AA$5)))-(8742/(H424+459.6))+15.64),EXP(INDEX(Antoines,MATCH(H418,Antoine_Name,0),2)-INDEX(Antoines,MATCH(H418,Antoine_Name,0),3)/(H424+459.6))))),0)</f>
        <v>0</v>
      </c>
      <c r="I429" cm="1">
        <f t="array" ref="I429">IFERROR(IF(I419="Chemical",(10^(INDEX(Antoines,MATCH(I418,Antoine_Name,0),2)-INDEX(Antoines,MATCH(I418,Antoine_Name,0),3)/(INDEX(Antoines,MATCH(I418,Antoine_Name,0),4)+(I424-32)*5/9)))*14.7/760,IF(I419="Crude Oil",EXP((2799/(I424+459.6)-2.227)*LOG10(INDEX(FX_Input,V$5,I$3*$Z$5+$AA$5))-(7261/(I424+459.6))+12.82),IF(I419="Refined Petroleum Stock",EXP((0.7553-(413/(I424+459.6)))*(INDEX(FX_Input,V$5,I$3*$Z$5+$AA$5-1)^0.5)*LOG10(INDEX(FX_Input,V$5,I$3*$Z$5+$AA$5))-(1.854-(1042/(I424+459.6)))*(INDEX(FX_Input,V$5,I$3*$Z$5+$AA$5-1)^0.5)+((2416/(I424+459.6)-2.013)*LOG10(INDEX(FX_Input,V$5,I$3*$Z$5+$AA$5)))-(8742/(I424+459.6))+15.64),EXP(INDEX(Antoines,MATCH(I418,Antoine_Name,0),2)-INDEX(Antoines,MATCH(I418,Antoine_Name,0),3)/(I424+459.6))))),0)</f>
        <v>0</v>
      </c>
      <c r="J429" cm="1">
        <f t="array" ref="J429">IFERROR(IF(J419="Chemical",(10^(INDEX(Antoines,MATCH(J418,Antoine_Name,0),2)-INDEX(Antoines,MATCH(J418,Antoine_Name,0),3)/(INDEX(Antoines,MATCH(J418,Antoine_Name,0),4)+(J424-32)*5/9)))*14.7/760,IF(J419="Crude Oil",EXP((2799/(J424+459.6)-2.227)*LOG10(INDEX(FX_Input,W$5,J$3*$Z$5+$AA$5))-(7261/(J424+459.6))+12.82),IF(J419="Refined Petroleum Stock",EXP((0.7553-(413/(J424+459.6)))*(INDEX(FX_Input,W$5,J$3*$Z$5+$AA$5-1)^0.5)*LOG10(INDEX(FX_Input,W$5,J$3*$Z$5+$AA$5))-(1.854-(1042/(J424+459.6)))*(INDEX(FX_Input,W$5,J$3*$Z$5+$AA$5-1)^0.5)+((2416/(J424+459.6)-2.013)*LOG10(INDEX(FX_Input,W$5,J$3*$Z$5+$AA$5)))-(8742/(J424+459.6))+15.64),EXP(INDEX(Antoines,MATCH(J418,Antoine_Name,0),2)-INDEX(Antoines,MATCH(J418,Antoine_Name,0),3)/(J424+459.6))))),0)</f>
        <v>0</v>
      </c>
      <c r="K429" cm="1">
        <f t="array" ref="K429">IFERROR(IF(K419="Chemical",(10^(INDEX(Antoines,MATCH(K418,Antoine_Name,0),2)-INDEX(Antoines,MATCH(K418,Antoine_Name,0),3)/(INDEX(Antoines,MATCH(K418,Antoine_Name,0),4)+(K424-32)*5/9)))*14.7/760,IF(K419="Crude Oil",EXP((2799/(K424+459.6)-2.227)*LOG10(INDEX(FX_Input,X$5,K$3*$Z$5+$AA$5))-(7261/(K424+459.6))+12.82),IF(K419="Refined Petroleum Stock",EXP((0.7553-(413/(K424+459.6)))*(INDEX(FX_Input,X$5,K$3*$Z$5+$AA$5-1)^0.5)*LOG10(INDEX(FX_Input,X$5,K$3*$Z$5+$AA$5))-(1.854-(1042/(K424+459.6)))*(INDEX(FX_Input,X$5,K$3*$Z$5+$AA$5-1)^0.5)+((2416/(K424+459.6)-2.013)*LOG10(INDEX(FX_Input,X$5,K$3*$Z$5+$AA$5)))-(8742/(K424+459.6))+15.64),EXP(INDEX(Antoines,MATCH(K418,Antoine_Name,0),2)-INDEX(Antoines,MATCH(K418,Antoine_Name,0),3)/(K424+459.6))))),0)</f>
        <v>0</v>
      </c>
      <c r="L429" cm="1">
        <f t="array" ref="L429">IFERROR(IF(L419="Chemical",(10^(INDEX(Antoines,MATCH(L418,Antoine_Name,0),2)-INDEX(Antoines,MATCH(L418,Antoine_Name,0),3)/(INDEX(Antoines,MATCH(L418,Antoine_Name,0),4)+(L424-32)*5/9)))*14.7/760,IF(L419="Crude Oil",EXP((2799/(L424+459.6)-2.227)*LOG10(INDEX(FX_Input,Y$5,L$3*$Z$5+$AA$5))-(7261/(L424+459.6))+12.82),IF(L419="Refined Petroleum Stock",EXP((0.7553-(413/(L424+459.6)))*(INDEX(FX_Input,Y$5,L$3*$Z$5+$AA$5-1)^0.5)*LOG10(INDEX(FX_Input,Y$5,L$3*$Z$5+$AA$5))-(1.854-(1042/(L424+459.6)))*(INDEX(FX_Input,Y$5,L$3*$Z$5+$AA$5-1)^0.5)+((2416/(L424+459.6)-2.013)*LOG10(INDEX(FX_Input,Y$5,L$3*$Z$5+$AA$5)))-(8742/(L424+459.6))+15.64),EXP(INDEX(Antoines,MATCH(L418,Antoine_Name,0),2)-INDEX(Antoines,MATCH(L418,Antoine_Name,0),3)/(L424+459.6))))),0)</f>
        <v>0</v>
      </c>
      <c r="M429" cm="1">
        <f t="array" ref="M429">IFERROR(IF(M419="Chemical",(10^(INDEX(Antoines,MATCH(M418,Antoine_Name,0),2)-INDEX(Antoines,MATCH(M418,Antoine_Name,0),3)/(INDEX(Antoines,MATCH(M418,Antoine_Name,0),4)+(M424-32)*5/9)))*14.7/760,IF(M419="Crude Oil",EXP((2799/(M424+459.6)-2.227)*LOG10(INDEX(FX_Input,Z$5,M$3*$Z$5+$AA$5))-(7261/(M424+459.6))+12.82),IF(M419="Refined Petroleum Stock",EXP((0.7553-(413/(M424+459.6)))*(INDEX(FX_Input,Z$5,M$3*$Z$5+$AA$5-1)^0.5)*LOG10(INDEX(FX_Input,Z$5,M$3*$Z$5+$AA$5))-(1.854-(1042/(M424+459.6)))*(INDEX(FX_Input,Z$5,M$3*$Z$5+$AA$5-1)^0.5)+((2416/(M424+459.6)-2.013)*LOG10(INDEX(FX_Input,Z$5,M$3*$Z$5+$AA$5)))-(8742/(M424+459.6))+15.64),EXP(INDEX(Antoines,MATCH(M418,Antoine_Name,0),2)-INDEX(Antoines,MATCH(M418,Antoine_Name,0),3)/(M424+459.6))))),0)</f>
        <v>0</v>
      </c>
      <c r="N429" cm="1">
        <f t="array" ref="N429">IFERROR(IF(N419="Chemical",(10^(INDEX(Antoines,MATCH(N418,Antoine_Name,0),2)-INDEX(Antoines,MATCH(N418,Antoine_Name,0),3)/(INDEX(Antoines,MATCH(N418,Antoine_Name,0),4)+(N424-32)*5/9)))*14.7/760,IF(N419="Crude Oil",EXP((2799/(N424+459.6)-2.227)*LOG10(INDEX(FX_Input,AA$5,N$3*$Z$5+$AA$5))-(7261/(N424+459.6))+12.82),IF(N419="Refined Petroleum Stock",EXP((0.7553-(413/(N424+459.6)))*(INDEX(FX_Input,AA$5,N$3*$Z$5+$AA$5-1)^0.5)*LOG10(INDEX(FX_Input,AA$5,N$3*$Z$5+$AA$5))-(1.854-(1042/(N424+459.6)))*(INDEX(FX_Input,AA$5,N$3*$Z$5+$AA$5-1)^0.5)+((2416/(N424+459.6)-2.013)*LOG10(INDEX(FX_Input,AA$5,N$3*$Z$5+$AA$5)))-(8742/(N424+459.6))+15.64),EXP(INDEX(Antoines,MATCH(N418,Antoine_Name,0),2)-INDEX(Antoines,MATCH(N418,Antoine_Name,0),3)/(N424+459.6))))),0)</f>
        <v>0</v>
      </c>
      <c r="O429" cm="1">
        <f t="array" ref="O429">IFERROR(IF(O419="Chemical",(10^(INDEX(Antoines,MATCH(O418,Antoine_Name,0),2)-INDEX(Antoines,MATCH(O418,Antoine_Name,0),3)/(INDEX(Antoines,MATCH(O418,Antoine_Name,0),4)+(O424-32)*5/9)))*14.7/760,IF(O419="Crude Oil",EXP((2799/(O424+459.6)-2.227)*LOG10(INDEX(FX_Input,AB$5,O$3*$Z$5+$AA$5))-(7261/(O424+459.6))+12.82),IF(O419="Refined Petroleum Stock",EXP((0.7553-(413/(O424+459.6)))*(INDEX(FX_Input,AB$5,O$3*$Z$5+$AA$5-1)^0.5)*LOG10(INDEX(FX_Input,AB$5,O$3*$Z$5+$AA$5))-(1.854-(1042/(O424+459.6)))*(INDEX(FX_Input,AB$5,O$3*$Z$5+$AA$5-1)^0.5)+((2416/(O424+459.6)-2.013)*LOG10(INDEX(FX_Input,AB$5,O$3*$Z$5+$AA$5)))-(8742/(O424+459.6))+15.64),EXP(INDEX(Antoines,MATCH(O418,Antoine_Name,0),2)-INDEX(Antoines,MATCH(O418,Antoine_Name,0),3)/(O424+459.6))))),0)</f>
        <v>0</v>
      </c>
    </row>
    <row r="430" spans="2:32" ht="17.149999999999999" x14ac:dyDescent="0.55000000000000004">
      <c r="B430" t="str">
        <f t="shared" si="1428"/>
        <v>Portland</v>
      </c>
      <c r="C430" t="s">
        <v>577</v>
      </c>
      <c r="D430">
        <f>D429*D422</f>
        <v>0</v>
      </c>
      <c r="E430">
        <f t="shared" ref="E430" si="1440">E429*E422</f>
        <v>0</v>
      </c>
      <c r="F430">
        <f t="shared" ref="F430" si="1441">F429*F422</f>
        <v>0</v>
      </c>
      <c r="G430">
        <f t="shared" ref="G430" si="1442">G429*G422</f>
        <v>0</v>
      </c>
      <c r="H430">
        <f t="shared" ref="H430" si="1443">H429*H422</f>
        <v>0</v>
      </c>
      <c r="I430">
        <f t="shared" ref="I430" si="1444">I429*I422</f>
        <v>0</v>
      </c>
      <c r="J430">
        <f t="shared" ref="J430" si="1445">J429*J422</f>
        <v>0</v>
      </c>
      <c r="K430">
        <f t="shared" ref="K430" si="1446">K429*K422</f>
        <v>0</v>
      </c>
      <c r="L430">
        <f t="shared" ref="L430" si="1447">L429*L422</f>
        <v>0</v>
      </c>
      <c r="M430">
        <f t="shared" ref="M430" si="1448">M429*M422</f>
        <v>0</v>
      </c>
      <c r="N430">
        <f t="shared" ref="N430" si="1449">N429*N422</f>
        <v>0</v>
      </c>
      <c r="O430">
        <f t="shared" ref="O430" si="1450">O429*O422</f>
        <v>0</v>
      </c>
    </row>
    <row r="431" spans="2:32" ht="17.149999999999999" x14ac:dyDescent="0.55000000000000004">
      <c r="B431" t="str">
        <f t="shared" si="1428"/>
        <v>Portland</v>
      </c>
      <c r="C431" t="s">
        <v>578</v>
      </c>
      <c r="D431">
        <f>D430+D428</f>
        <v>1</v>
      </c>
      <c r="E431">
        <f t="shared" ref="E431" si="1451">E430+E428</f>
        <v>1</v>
      </c>
      <c r="F431">
        <f t="shared" ref="F431" si="1452">F430+F428</f>
        <v>1</v>
      </c>
      <c r="G431">
        <f t="shared" ref="G431" si="1453">G430+G428</f>
        <v>1</v>
      </c>
      <c r="H431">
        <f t="shared" ref="H431" si="1454">H430+H428</f>
        <v>1</v>
      </c>
      <c r="I431">
        <f t="shared" ref="I431" si="1455">I430+I428</f>
        <v>1</v>
      </c>
      <c r="J431">
        <f t="shared" ref="J431" si="1456">J430+J428</f>
        <v>1</v>
      </c>
      <c r="K431">
        <f t="shared" ref="K431" si="1457">K430+K428</f>
        <v>1</v>
      </c>
      <c r="L431">
        <f t="shared" ref="L431" si="1458">L430+L428</f>
        <v>1</v>
      </c>
      <c r="M431">
        <f t="shared" ref="M431" si="1459">M430+M428</f>
        <v>1</v>
      </c>
      <c r="N431">
        <f t="shared" ref="N431" si="1460">N430+N428</f>
        <v>1</v>
      </c>
      <c r="O431">
        <f t="shared" ref="O431" si="1461">O430+O428</f>
        <v>1</v>
      </c>
    </row>
    <row r="432" spans="2:32" ht="17.149999999999999" x14ac:dyDescent="0.55000000000000004">
      <c r="B432" t="str">
        <f t="shared" si="1428"/>
        <v>Portland</v>
      </c>
      <c r="C432" t="s">
        <v>579</v>
      </c>
      <c r="D432" cm="1">
        <f t="array" ref="D432">IFERROR(IF(D417="Chemical",(10^(INDEX(Antoines,MATCH(D416,Antoine_Name,0),2)-INDEX(Antoines,MATCH(D416,Antoine_Name,0),3)/(INDEX(Antoines,MATCH(D416,Antoine_Name,0),4)+(D425-32)*5/9)))*14.7/760,IF(D417="Crude Oil",EXP((2799/(D425+459.6)-2.227)*LOG10(INDEX(FX_Input,Q$5,D$3*$Z$5+$AA$5))-(7261/(D425+459.6))+12.82),IF(D417="Refined Petroleum Stock",EXP((0.7553-(413/(D425+459.6)))*(INDEX(FX_Input,Q$5,D$3*$Z$5+$AA$5-1)^0.5)*LOG10(INDEX(FX_Input,Q$5,D$3*$Z$5+$AA$5))-(1.854-(1042/(D425+459.6)))*(INDEX(FX_Input,Q$5,D$3*$Z$5+$AA$5-1)^0.5)+((2416/(D425+459.6)-2.013)*LOG10(INDEX(FX_Input,Q$5,D$3*$Z$5+$AA$5)))-(8742/(D425+459.6))+15.64),EXP(INDEX(Antoines,MATCH(D416,Antoine_Name,0),2)-INDEX(Antoines,MATCH(D416,Antoine_Name,0),3)/(D425+459.6))))),0)</f>
        <v>1</v>
      </c>
      <c r="E432" cm="1">
        <f t="array" ref="E432">IFERROR(IF(E417="Chemical",(10^(INDEX(Antoines,MATCH(E416,Antoine_Name,0),2)-INDEX(Antoines,MATCH(E416,Antoine_Name,0),3)/(INDEX(Antoines,MATCH(E416,Antoine_Name,0),4)+(E425-32)*5/9)))*14.7/760,IF(E417="Crude Oil",EXP((2799/(E425+459.6)-2.227)*LOG10(INDEX(FX_Input,R$5,E$3*$Z$5+$AA$5))-(7261/(E425+459.6))+12.82),IF(E417="Refined Petroleum Stock",EXP((0.7553-(413/(E425+459.6)))*(INDEX(FX_Input,R$5,E$3*$Z$5+$AA$5-1)^0.5)*LOG10(INDEX(FX_Input,R$5,E$3*$Z$5+$AA$5))-(1.854-(1042/(E425+459.6)))*(INDEX(FX_Input,R$5,E$3*$Z$5+$AA$5-1)^0.5)+((2416/(E425+459.6)-2.013)*LOG10(INDEX(FX_Input,R$5,E$3*$Z$5+$AA$5)))-(8742/(E425+459.6))+15.64),EXP(INDEX(Antoines,MATCH(E416,Antoine_Name,0),2)-INDEX(Antoines,MATCH(E416,Antoine_Name,0),3)/(E425+459.6))))),0)</f>
        <v>1</v>
      </c>
      <c r="F432" cm="1">
        <f t="array" ref="F432">IFERROR(IF(F417="Chemical",(10^(INDEX(Antoines,MATCH(F416,Antoine_Name,0),2)-INDEX(Antoines,MATCH(F416,Antoine_Name,0),3)/(INDEX(Antoines,MATCH(F416,Antoine_Name,0),4)+(F425-32)*5/9)))*14.7/760,IF(F417="Crude Oil",EXP((2799/(F425+459.6)-2.227)*LOG10(INDEX(FX_Input,S$5,F$3*$Z$5+$AA$5))-(7261/(F425+459.6))+12.82),IF(F417="Refined Petroleum Stock",EXP((0.7553-(413/(F425+459.6)))*(INDEX(FX_Input,S$5,F$3*$Z$5+$AA$5-1)^0.5)*LOG10(INDEX(FX_Input,S$5,F$3*$Z$5+$AA$5))-(1.854-(1042/(F425+459.6)))*(INDEX(FX_Input,S$5,F$3*$Z$5+$AA$5-1)^0.5)+((2416/(F425+459.6)-2.013)*LOG10(INDEX(FX_Input,S$5,F$3*$Z$5+$AA$5)))-(8742/(F425+459.6))+15.64),EXP(INDEX(Antoines,MATCH(F416,Antoine_Name,0),2)-INDEX(Antoines,MATCH(F416,Antoine_Name,0),3)/(F425+459.6))))),0)</f>
        <v>1</v>
      </c>
      <c r="G432" cm="1">
        <f t="array" ref="G432">IFERROR(IF(G417="Chemical",(10^(INDEX(Antoines,MATCH(G416,Antoine_Name,0),2)-INDEX(Antoines,MATCH(G416,Antoine_Name,0),3)/(INDEX(Antoines,MATCH(G416,Antoine_Name,0),4)+(G425-32)*5/9)))*14.7/760,IF(G417="Crude Oil",EXP((2799/(G425+459.6)-2.227)*LOG10(INDEX(FX_Input,T$5,G$3*$Z$5+$AA$5))-(7261/(G425+459.6))+12.82),IF(G417="Refined Petroleum Stock",EXP((0.7553-(413/(G425+459.6)))*(INDEX(FX_Input,T$5,G$3*$Z$5+$AA$5-1)^0.5)*LOG10(INDEX(FX_Input,T$5,G$3*$Z$5+$AA$5))-(1.854-(1042/(G425+459.6)))*(INDEX(FX_Input,T$5,G$3*$Z$5+$AA$5-1)^0.5)+((2416/(G425+459.6)-2.013)*LOG10(INDEX(FX_Input,T$5,G$3*$Z$5+$AA$5)))-(8742/(G425+459.6))+15.64),EXP(INDEX(Antoines,MATCH(G416,Antoine_Name,0),2)-INDEX(Antoines,MATCH(G416,Antoine_Name,0),3)/(G425+459.6))))),0)</f>
        <v>1</v>
      </c>
      <c r="H432" cm="1">
        <f t="array" ref="H432">IFERROR(IF(H417="Chemical",(10^(INDEX(Antoines,MATCH(H416,Antoine_Name,0),2)-INDEX(Antoines,MATCH(H416,Antoine_Name,0),3)/(INDEX(Antoines,MATCH(H416,Antoine_Name,0),4)+(H425-32)*5/9)))*14.7/760,IF(H417="Crude Oil",EXP((2799/(H425+459.6)-2.227)*LOG10(INDEX(FX_Input,U$5,H$3*$Z$5+$AA$5))-(7261/(H425+459.6))+12.82),IF(H417="Refined Petroleum Stock",EXP((0.7553-(413/(H425+459.6)))*(INDEX(FX_Input,U$5,H$3*$Z$5+$AA$5-1)^0.5)*LOG10(INDEX(FX_Input,U$5,H$3*$Z$5+$AA$5))-(1.854-(1042/(H425+459.6)))*(INDEX(FX_Input,U$5,H$3*$Z$5+$AA$5-1)^0.5)+((2416/(H425+459.6)-2.013)*LOG10(INDEX(FX_Input,U$5,H$3*$Z$5+$AA$5)))-(8742/(H425+459.6))+15.64),EXP(INDEX(Antoines,MATCH(H416,Antoine_Name,0),2)-INDEX(Antoines,MATCH(H416,Antoine_Name,0),3)/(H425+459.6))))),0)</f>
        <v>1</v>
      </c>
      <c r="I432" cm="1">
        <f t="array" ref="I432">IFERROR(IF(I417="Chemical",(10^(INDEX(Antoines,MATCH(I416,Antoine_Name,0),2)-INDEX(Antoines,MATCH(I416,Antoine_Name,0),3)/(INDEX(Antoines,MATCH(I416,Antoine_Name,0),4)+(I425-32)*5/9)))*14.7/760,IF(I417="Crude Oil",EXP((2799/(I425+459.6)-2.227)*LOG10(INDEX(FX_Input,V$5,I$3*$Z$5+$AA$5))-(7261/(I425+459.6))+12.82),IF(I417="Refined Petroleum Stock",EXP((0.7553-(413/(I425+459.6)))*(INDEX(FX_Input,V$5,I$3*$Z$5+$AA$5-1)^0.5)*LOG10(INDEX(FX_Input,V$5,I$3*$Z$5+$AA$5))-(1.854-(1042/(I425+459.6)))*(INDEX(FX_Input,V$5,I$3*$Z$5+$AA$5-1)^0.5)+((2416/(I425+459.6)-2.013)*LOG10(INDEX(FX_Input,V$5,I$3*$Z$5+$AA$5)))-(8742/(I425+459.6))+15.64),EXP(INDEX(Antoines,MATCH(I416,Antoine_Name,0),2)-INDEX(Antoines,MATCH(I416,Antoine_Name,0),3)/(I425+459.6))))),0)</f>
        <v>1</v>
      </c>
      <c r="J432" cm="1">
        <f t="array" ref="J432">IFERROR(IF(J417="Chemical",(10^(INDEX(Antoines,MATCH(J416,Antoine_Name,0),2)-INDEX(Antoines,MATCH(J416,Antoine_Name,0),3)/(INDEX(Antoines,MATCH(J416,Antoine_Name,0),4)+(J425-32)*5/9)))*14.7/760,IF(J417="Crude Oil",EXP((2799/(J425+459.6)-2.227)*LOG10(INDEX(FX_Input,W$5,J$3*$Z$5+$AA$5))-(7261/(J425+459.6))+12.82),IF(J417="Refined Petroleum Stock",EXP((0.7553-(413/(J425+459.6)))*(INDEX(FX_Input,W$5,J$3*$Z$5+$AA$5-1)^0.5)*LOG10(INDEX(FX_Input,W$5,J$3*$Z$5+$AA$5))-(1.854-(1042/(J425+459.6)))*(INDEX(FX_Input,W$5,J$3*$Z$5+$AA$5-1)^0.5)+((2416/(J425+459.6)-2.013)*LOG10(INDEX(FX_Input,W$5,J$3*$Z$5+$AA$5)))-(8742/(J425+459.6))+15.64),EXP(INDEX(Antoines,MATCH(J416,Antoine_Name,0),2)-INDEX(Antoines,MATCH(J416,Antoine_Name,0),3)/(J425+459.6))))),0)</f>
        <v>1</v>
      </c>
      <c r="K432" cm="1">
        <f t="array" ref="K432">IFERROR(IF(K417="Chemical",(10^(INDEX(Antoines,MATCH(K416,Antoine_Name,0),2)-INDEX(Antoines,MATCH(K416,Antoine_Name,0),3)/(INDEX(Antoines,MATCH(K416,Antoine_Name,0),4)+(K425-32)*5/9)))*14.7/760,IF(K417="Crude Oil",EXP((2799/(K425+459.6)-2.227)*LOG10(INDEX(FX_Input,X$5,K$3*$Z$5+$AA$5))-(7261/(K425+459.6))+12.82),IF(K417="Refined Petroleum Stock",EXP((0.7553-(413/(K425+459.6)))*(INDEX(FX_Input,X$5,K$3*$Z$5+$AA$5-1)^0.5)*LOG10(INDEX(FX_Input,X$5,K$3*$Z$5+$AA$5))-(1.854-(1042/(K425+459.6)))*(INDEX(FX_Input,X$5,K$3*$Z$5+$AA$5-1)^0.5)+((2416/(K425+459.6)-2.013)*LOG10(INDEX(FX_Input,X$5,K$3*$Z$5+$AA$5)))-(8742/(K425+459.6))+15.64),EXP(INDEX(Antoines,MATCH(K416,Antoine_Name,0),2)-INDEX(Antoines,MATCH(K416,Antoine_Name,0),3)/(K425+459.6))))),0)</f>
        <v>1</v>
      </c>
      <c r="L432" cm="1">
        <f t="array" ref="L432">IFERROR(IF(L417="Chemical",(10^(INDEX(Antoines,MATCH(L416,Antoine_Name,0),2)-INDEX(Antoines,MATCH(L416,Antoine_Name,0),3)/(INDEX(Antoines,MATCH(L416,Antoine_Name,0),4)+(L425-32)*5/9)))*14.7/760,IF(L417="Crude Oil",EXP((2799/(L425+459.6)-2.227)*LOG10(INDEX(FX_Input,Y$5,L$3*$Z$5+$AA$5))-(7261/(L425+459.6))+12.82),IF(L417="Refined Petroleum Stock",EXP((0.7553-(413/(L425+459.6)))*(INDEX(FX_Input,Y$5,L$3*$Z$5+$AA$5-1)^0.5)*LOG10(INDEX(FX_Input,Y$5,L$3*$Z$5+$AA$5))-(1.854-(1042/(L425+459.6)))*(INDEX(FX_Input,Y$5,L$3*$Z$5+$AA$5-1)^0.5)+((2416/(L425+459.6)-2.013)*LOG10(INDEX(FX_Input,Y$5,L$3*$Z$5+$AA$5)))-(8742/(L425+459.6))+15.64),EXP(INDEX(Antoines,MATCH(L416,Antoine_Name,0),2)-INDEX(Antoines,MATCH(L416,Antoine_Name,0),3)/(L425+459.6))))),0)</f>
        <v>1</v>
      </c>
      <c r="M432" cm="1">
        <f t="array" ref="M432">IFERROR(IF(M417="Chemical",(10^(INDEX(Antoines,MATCH(M416,Antoine_Name,0),2)-INDEX(Antoines,MATCH(M416,Antoine_Name,0),3)/(INDEX(Antoines,MATCH(M416,Antoine_Name,0),4)+(M425-32)*5/9)))*14.7/760,IF(M417="Crude Oil",EXP((2799/(M425+459.6)-2.227)*LOG10(INDEX(FX_Input,Z$5,M$3*$Z$5+$AA$5))-(7261/(M425+459.6))+12.82),IF(M417="Refined Petroleum Stock",EXP((0.7553-(413/(M425+459.6)))*(INDEX(FX_Input,Z$5,M$3*$Z$5+$AA$5-1)^0.5)*LOG10(INDEX(FX_Input,Z$5,M$3*$Z$5+$AA$5))-(1.854-(1042/(M425+459.6)))*(INDEX(FX_Input,Z$5,M$3*$Z$5+$AA$5-1)^0.5)+((2416/(M425+459.6)-2.013)*LOG10(INDEX(FX_Input,Z$5,M$3*$Z$5+$AA$5)))-(8742/(M425+459.6))+15.64),EXP(INDEX(Antoines,MATCH(M416,Antoine_Name,0),2)-INDEX(Antoines,MATCH(M416,Antoine_Name,0),3)/(M425+459.6))))),0)</f>
        <v>1</v>
      </c>
      <c r="N432" cm="1">
        <f t="array" ref="N432">IFERROR(IF(N417="Chemical",(10^(INDEX(Antoines,MATCH(N416,Antoine_Name,0),2)-INDEX(Antoines,MATCH(N416,Antoine_Name,0),3)/(INDEX(Antoines,MATCH(N416,Antoine_Name,0),4)+(N425-32)*5/9)))*14.7/760,IF(N417="Crude Oil",EXP((2799/(N425+459.6)-2.227)*LOG10(INDEX(FX_Input,AA$5,N$3*$Z$5+$AA$5))-(7261/(N425+459.6))+12.82),IF(N417="Refined Petroleum Stock",EXP((0.7553-(413/(N425+459.6)))*(INDEX(FX_Input,AA$5,N$3*$Z$5+$AA$5-1)^0.5)*LOG10(INDEX(FX_Input,AA$5,N$3*$Z$5+$AA$5))-(1.854-(1042/(N425+459.6)))*(INDEX(FX_Input,AA$5,N$3*$Z$5+$AA$5-1)^0.5)+((2416/(N425+459.6)-2.013)*LOG10(INDEX(FX_Input,AA$5,N$3*$Z$5+$AA$5)))-(8742/(N425+459.6))+15.64),EXP(INDEX(Antoines,MATCH(N416,Antoine_Name,0),2)-INDEX(Antoines,MATCH(N416,Antoine_Name,0),3)/(N425+459.6))))),0)</f>
        <v>1</v>
      </c>
      <c r="O432" cm="1">
        <f t="array" ref="O432">IFERROR(IF(O417="Chemical",(10^(INDEX(Antoines,MATCH(O416,Antoine_Name,0),2)-INDEX(Antoines,MATCH(O416,Antoine_Name,0),3)/(INDEX(Antoines,MATCH(O416,Antoine_Name,0),4)+(O425-32)*5/9)))*14.7/760,IF(O417="Crude Oil",EXP((2799/(O425+459.6)-2.227)*LOG10(INDEX(FX_Input,AB$5,O$3*$Z$5+$AA$5))-(7261/(O425+459.6))+12.82),IF(O417="Refined Petroleum Stock",EXP((0.7553-(413/(O425+459.6)))*(INDEX(FX_Input,AB$5,O$3*$Z$5+$AA$5-1)^0.5)*LOG10(INDEX(FX_Input,AB$5,O$3*$Z$5+$AA$5))-(1.854-(1042/(O425+459.6)))*(INDEX(FX_Input,AB$5,O$3*$Z$5+$AA$5-1)^0.5)+((2416/(O425+459.6)-2.013)*LOG10(INDEX(FX_Input,AB$5,O$3*$Z$5+$AA$5)))-(8742/(O425+459.6))+15.64),EXP(INDEX(Antoines,MATCH(O416,Antoine_Name,0),2)-INDEX(Antoines,MATCH(O416,Antoine_Name,0),3)/(O425+459.6))))),0)</f>
        <v>1</v>
      </c>
    </row>
    <row r="433" spans="1:32" ht="17.149999999999999" x14ac:dyDescent="0.55000000000000004">
      <c r="B433" t="str">
        <f t="shared" si="1428"/>
        <v>Portland</v>
      </c>
      <c r="C433" t="s">
        <v>580</v>
      </c>
      <c r="D433">
        <f>D432*D420</f>
        <v>1</v>
      </c>
      <c r="E433">
        <f t="shared" ref="E433" si="1462">E432*E420</f>
        <v>1</v>
      </c>
      <c r="F433">
        <f t="shared" ref="F433" si="1463">F432*F420</f>
        <v>1</v>
      </c>
      <c r="G433">
        <f t="shared" ref="G433" si="1464">G432*G420</f>
        <v>1</v>
      </c>
      <c r="H433">
        <f t="shared" ref="H433" si="1465">H432*H420</f>
        <v>1</v>
      </c>
      <c r="I433">
        <f t="shared" ref="I433" si="1466">I432*I420</f>
        <v>1</v>
      </c>
      <c r="J433">
        <f t="shared" ref="J433" si="1467">J432*J420</f>
        <v>1</v>
      </c>
      <c r="K433">
        <f t="shared" ref="K433" si="1468">K432*K420</f>
        <v>1</v>
      </c>
      <c r="L433">
        <f t="shared" ref="L433" si="1469">L432*L420</f>
        <v>1</v>
      </c>
      <c r="M433">
        <f t="shared" ref="M433" si="1470">M432*M420</f>
        <v>1</v>
      </c>
      <c r="N433">
        <f t="shared" ref="N433" si="1471">N432*N420</f>
        <v>1</v>
      </c>
      <c r="O433">
        <f t="shared" ref="O433" si="1472">O432*O420</f>
        <v>1</v>
      </c>
    </row>
    <row r="434" spans="1:32" ht="17.149999999999999" x14ac:dyDescent="0.55000000000000004">
      <c r="B434" t="str">
        <f t="shared" si="1428"/>
        <v>Portland</v>
      </c>
      <c r="C434" t="s">
        <v>581</v>
      </c>
      <c r="D434" cm="1">
        <f t="array" ref="D434">IFERROR(IF(D419="Chemical",(10^(INDEX(Antoines,MATCH(D418,Antoine_Name,0),2)-INDEX(Antoines,MATCH(D418,Antoine_Name,0),3)/(INDEX(Antoines,MATCH(D418,Antoine_Name,0),4)+(D425-32)*5/9)))*14.7/760,IF(D419="Crude Oil",EXP((2799/(D425+459.6)-2.227)*LOG10(INDEX(FX_Input,Q$5,D$3*$Z$5+$AA$5))-(7261/(D425+459.6))+12.82),IF(D419="Refined Petroleum Stock",EXP((0.7553-(413/(D425+459.6)))*(INDEX(FX_Input,Q$5,D$3*$Z$5+$AA$5-1)^0.5)*LOG10(INDEX(FX_Input,Q$5,D$3*$Z$5+$AA$5))-(1.854-(1042/(D425+459.6)))*(INDEX(FX_Input,Q$5,D$3*$Z$5+$AA$5-1)^0.5)+((2416/(D425+459.6)-2.013)*LOG10(INDEX(FX_Input,Q$5,D$3*$Z$5+$AA$5)))-(8742/(D425+459.6))+15.64),EXP(INDEX(Antoines,MATCH(D418,Antoine_Name,0),2)-INDEX(Antoines,MATCH(D418,Antoine_Name,0),3)/(D425+459.6))))),0)</f>
        <v>0</v>
      </c>
      <c r="E434" cm="1">
        <f t="array" ref="E434">IFERROR(IF(E419="Chemical",(10^(INDEX(Antoines,MATCH(E418,Antoine_Name,0),2)-INDEX(Antoines,MATCH(E418,Antoine_Name,0),3)/(INDEX(Antoines,MATCH(E418,Antoine_Name,0),4)+(E425-32)*5/9)))*14.7/760,IF(E419="Crude Oil",EXP((2799/(E425+459.6)-2.227)*LOG10(INDEX(FX_Input,R$5,E$3*$Z$5+$AA$5))-(7261/(E425+459.6))+12.82),IF(E419="Refined Petroleum Stock",EXP((0.7553-(413/(E425+459.6)))*(INDEX(FX_Input,R$5,E$3*$Z$5+$AA$5-1)^0.5)*LOG10(INDEX(FX_Input,R$5,E$3*$Z$5+$AA$5))-(1.854-(1042/(E425+459.6)))*(INDEX(FX_Input,R$5,E$3*$Z$5+$AA$5-1)^0.5)+((2416/(E425+459.6)-2.013)*LOG10(INDEX(FX_Input,R$5,E$3*$Z$5+$AA$5)))-(8742/(E425+459.6))+15.64),EXP(INDEX(Antoines,MATCH(E418,Antoine_Name,0),2)-INDEX(Antoines,MATCH(E418,Antoine_Name,0),3)/(E425+459.6))))),0)</f>
        <v>0</v>
      </c>
      <c r="F434" cm="1">
        <f t="array" ref="F434">IFERROR(IF(F419="Chemical",(10^(INDEX(Antoines,MATCH(F418,Antoine_Name,0),2)-INDEX(Antoines,MATCH(F418,Antoine_Name,0),3)/(INDEX(Antoines,MATCH(F418,Antoine_Name,0),4)+(F425-32)*5/9)))*14.7/760,IF(F419="Crude Oil",EXP((2799/(F425+459.6)-2.227)*LOG10(INDEX(FX_Input,S$5,F$3*$Z$5+$AA$5))-(7261/(F425+459.6))+12.82),IF(F419="Refined Petroleum Stock",EXP((0.7553-(413/(F425+459.6)))*(INDEX(FX_Input,S$5,F$3*$Z$5+$AA$5-1)^0.5)*LOG10(INDEX(FX_Input,S$5,F$3*$Z$5+$AA$5))-(1.854-(1042/(F425+459.6)))*(INDEX(FX_Input,S$5,F$3*$Z$5+$AA$5-1)^0.5)+((2416/(F425+459.6)-2.013)*LOG10(INDEX(FX_Input,S$5,F$3*$Z$5+$AA$5)))-(8742/(F425+459.6))+15.64),EXP(INDEX(Antoines,MATCH(F418,Antoine_Name,0),2)-INDEX(Antoines,MATCH(F418,Antoine_Name,0),3)/(F425+459.6))))),0)</f>
        <v>0</v>
      </c>
      <c r="G434" cm="1">
        <f t="array" ref="G434">IFERROR(IF(G419="Chemical",(10^(INDEX(Antoines,MATCH(G418,Antoine_Name,0),2)-INDEX(Antoines,MATCH(G418,Antoine_Name,0),3)/(INDEX(Antoines,MATCH(G418,Antoine_Name,0),4)+(G425-32)*5/9)))*14.7/760,IF(G419="Crude Oil",EXP((2799/(G425+459.6)-2.227)*LOG10(INDEX(FX_Input,T$5,G$3*$Z$5+$AA$5))-(7261/(G425+459.6))+12.82),IF(G419="Refined Petroleum Stock",EXP((0.7553-(413/(G425+459.6)))*(INDEX(FX_Input,T$5,G$3*$Z$5+$AA$5-1)^0.5)*LOG10(INDEX(FX_Input,T$5,G$3*$Z$5+$AA$5))-(1.854-(1042/(G425+459.6)))*(INDEX(FX_Input,T$5,G$3*$Z$5+$AA$5-1)^0.5)+((2416/(G425+459.6)-2.013)*LOG10(INDEX(FX_Input,T$5,G$3*$Z$5+$AA$5)))-(8742/(G425+459.6))+15.64),EXP(INDEX(Antoines,MATCH(G418,Antoine_Name,0),2)-INDEX(Antoines,MATCH(G418,Antoine_Name,0),3)/(G425+459.6))))),0)</f>
        <v>0</v>
      </c>
      <c r="H434" cm="1">
        <f t="array" ref="H434">IFERROR(IF(H419="Chemical",(10^(INDEX(Antoines,MATCH(H418,Antoine_Name,0),2)-INDEX(Antoines,MATCH(H418,Antoine_Name,0),3)/(INDEX(Antoines,MATCH(H418,Antoine_Name,0),4)+(H425-32)*5/9)))*14.7/760,IF(H419="Crude Oil",EXP((2799/(H425+459.6)-2.227)*LOG10(INDEX(FX_Input,U$5,H$3*$Z$5+$AA$5))-(7261/(H425+459.6))+12.82),IF(H419="Refined Petroleum Stock",EXP((0.7553-(413/(H425+459.6)))*(INDEX(FX_Input,U$5,H$3*$Z$5+$AA$5-1)^0.5)*LOG10(INDEX(FX_Input,U$5,H$3*$Z$5+$AA$5))-(1.854-(1042/(H425+459.6)))*(INDEX(FX_Input,U$5,H$3*$Z$5+$AA$5-1)^0.5)+((2416/(H425+459.6)-2.013)*LOG10(INDEX(FX_Input,U$5,H$3*$Z$5+$AA$5)))-(8742/(H425+459.6))+15.64),EXP(INDEX(Antoines,MATCH(H418,Antoine_Name,0),2)-INDEX(Antoines,MATCH(H418,Antoine_Name,0),3)/(H425+459.6))))),0)</f>
        <v>0</v>
      </c>
      <c r="I434" cm="1">
        <f t="array" ref="I434">IFERROR(IF(I419="Chemical",(10^(INDEX(Antoines,MATCH(I418,Antoine_Name,0),2)-INDEX(Antoines,MATCH(I418,Antoine_Name,0),3)/(INDEX(Antoines,MATCH(I418,Antoine_Name,0),4)+(I425-32)*5/9)))*14.7/760,IF(I419="Crude Oil",EXP((2799/(I425+459.6)-2.227)*LOG10(INDEX(FX_Input,V$5,I$3*$Z$5+$AA$5))-(7261/(I425+459.6))+12.82),IF(I419="Refined Petroleum Stock",EXP((0.7553-(413/(I425+459.6)))*(INDEX(FX_Input,V$5,I$3*$Z$5+$AA$5-1)^0.5)*LOG10(INDEX(FX_Input,V$5,I$3*$Z$5+$AA$5))-(1.854-(1042/(I425+459.6)))*(INDEX(FX_Input,V$5,I$3*$Z$5+$AA$5-1)^0.5)+((2416/(I425+459.6)-2.013)*LOG10(INDEX(FX_Input,V$5,I$3*$Z$5+$AA$5)))-(8742/(I425+459.6))+15.64),EXP(INDEX(Antoines,MATCH(I418,Antoine_Name,0),2)-INDEX(Antoines,MATCH(I418,Antoine_Name,0),3)/(I425+459.6))))),0)</f>
        <v>0</v>
      </c>
      <c r="J434" cm="1">
        <f t="array" ref="J434">IFERROR(IF(J419="Chemical",(10^(INDEX(Antoines,MATCH(J418,Antoine_Name,0),2)-INDEX(Antoines,MATCH(J418,Antoine_Name,0),3)/(INDEX(Antoines,MATCH(J418,Antoine_Name,0),4)+(J425-32)*5/9)))*14.7/760,IF(J419="Crude Oil",EXP((2799/(J425+459.6)-2.227)*LOG10(INDEX(FX_Input,W$5,J$3*$Z$5+$AA$5))-(7261/(J425+459.6))+12.82),IF(J419="Refined Petroleum Stock",EXP((0.7553-(413/(J425+459.6)))*(INDEX(FX_Input,W$5,J$3*$Z$5+$AA$5-1)^0.5)*LOG10(INDEX(FX_Input,W$5,J$3*$Z$5+$AA$5))-(1.854-(1042/(J425+459.6)))*(INDEX(FX_Input,W$5,J$3*$Z$5+$AA$5-1)^0.5)+((2416/(J425+459.6)-2.013)*LOG10(INDEX(FX_Input,W$5,J$3*$Z$5+$AA$5)))-(8742/(J425+459.6))+15.64),EXP(INDEX(Antoines,MATCH(J418,Antoine_Name,0),2)-INDEX(Antoines,MATCH(J418,Antoine_Name,0),3)/(J425+459.6))))),0)</f>
        <v>0</v>
      </c>
      <c r="K434" cm="1">
        <f t="array" ref="K434">IFERROR(IF(K419="Chemical",(10^(INDEX(Antoines,MATCH(K418,Antoine_Name,0),2)-INDEX(Antoines,MATCH(K418,Antoine_Name,0),3)/(INDEX(Antoines,MATCH(K418,Antoine_Name,0),4)+(K425-32)*5/9)))*14.7/760,IF(K419="Crude Oil",EXP((2799/(K425+459.6)-2.227)*LOG10(INDEX(FX_Input,X$5,K$3*$Z$5+$AA$5))-(7261/(K425+459.6))+12.82),IF(K419="Refined Petroleum Stock",EXP((0.7553-(413/(K425+459.6)))*(INDEX(FX_Input,X$5,K$3*$Z$5+$AA$5-1)^0.5)*LOG10(INDEX(FX_Input,X$5,K$3*$Z$5+$AA$5))-(1.854-(1042/(K425+459.6)))*(INDEX(FX_Input,X$5,K$3*$Z$5+$AA$5-1)^0.5)+((2416/(K425+459.6)-2.013)*LOG10(INDEX(FX_Input,X$5,K$3*$Z$5+$AA$5)))-(8742/(K425+459.6))+15.64),EXP(INDEX(Antoines,MATCH(K418,Antoine_Name,0),2)-INDEX(Antoines,MATCH(K418,Antoine_Name,0),3)/(K425+459.6))))),0)</f>
        <v>0</v>
      </c>
      <c r="L434" cm="1">
        <f t="array" ref="L434">IFERROR(IF(L419="Chemical",(10^(INDEX(Antoines,MATCH(L418,Antoine_Name,0),2)-INDEX(Antoines,MATCH(L418,Antoine_Name,0),3)/(INDEX(Antoines,MATCH(L418,Antoine_Name,0),4)+(L425-32)*5/9)))*14.7/760,IF(L419="Crude Oil",EXP((2799/(L425+459.6)-2.227)*LOG10(INDEX(FX_Input,Y$5,L$3*$Z$5+$AA$5))-(7261/(L425+459.6))+12.82),IF(L419="Refined Petroleum Stock",EXP((0.7553-(413/(L425+459.6)))*(INDEX(FX_Input,Y$5,L$3*$Z$5+$AA$5-1)^0.5)*LOG10(INDEX(FX_Input,Y$5,L$3*$Z$5+$AA$5))-(1.854-(1042/(L425+459.6)))*(INDEX(FX_Input,Y$5,L$3*$Z$5+$AA$5-1)^0.5)+((2416/(L425+459.6)-2.013)*LOG10(INDEX(FX_Input,Y$5,L$3*$Z$5+$AA$5)))-(8742/(L425+459.6))+15.64),EXP(INDEX(Antoines,MATCH(L418,Antoine_Name,0),2)-INDEX(Antoines,MATCH(L418,Antoine_Name,0),3)/(L425+459.6))))),0)</f>
        <v>0</v>
      </c>
      <c r="M434" cm="1">
        <f t="array" ref="M434">IFERROR(IF(M419="Chemical",(10^(INDEX(Antoines,MATCH(M418,Antoine_Name,0),2)-INDEX(Antoines,MATCH(M418,Antoine_Name,0),3)/(INDEX(Antoines,MATCH(M418,Antoine_Name,0),4)+(M425-32)*5/9)))*14.7/760,IF(M419="Crude Oil",EXP((2799/(M425+459.6)-2.227)*LOG10(INDEX(FX_Input,Z$5,M$3*$Z$5+$AA$5))-(7261/(M425+459.6))+12.82),IF(M419="Refined Petroleum Stock",EXP((0.7553-(413/(M425+459.6)))*(INDEX(FX_Input,Z$5,M$3*$Z$5+$AA$5-1)^0.5)*LOG10(INDEX(FX_Input,Z$5,M$3*$Z$5+$AA$5))-(1.854-(1042/(M425+459.6)))*(INDEX(FX_Input,Z$5,M$3*$Z$5+$AA$5-1)^0.5)+((2416/(M425+459.6)-2.013)*LOG10(INDEX(FX_Input,Z$5,M$3*$Z$5+$AA$5)))-(8742/(M425+459.6))+15.64),EXP(INDEX(Antoines,MATCH(M418,Antoine_Name,0),2)-INDEX(Antoines,MATCH(M418,Antoine_Name,0),3)/(M425+459.6))))),0)</f>
        <v>0</v>
      </c>
      <c r="N434" cm="1">
        <f t="array" ref="N434">IFERROR(IF(N419="Chemical",(10^(INDEX(Antoines,MATCH(N418,Antoine_Name,0),2)-INDEX(Antoines,MATCH(N418,Antoine_Name,0),3)/(INDEX(Antoines,MATCH(N418,Antoine_Name,0),4)+(N425-32)*5/9)))*14.7/760,IF(N419="Crude Oil",EXP((2799/(N425+459.6)-2.227)*LOG10(INDEX(FX_Input,AA$5,N$3*$Z$5+$AA$5))-(7261/(N425+459.6))+12.82),IF(N419="Refined Petroleum Stock",EXP((0.7553-(413/(N425+459.6)))*(INDEX(FX_Input,AA$5,N$3*$Z$5+$AA$5-1)^0.5)*LOG10(INDEX(FX_Input,AA$5,N$3*$Z$5+$AA$5))-(1.854-(1042/(N425+459.6)))*(INDEX(FX_Input,AA$5,N$3*$Z$5+$AA$5-1)^0.5)+((2416/(N425+459.6)-2.013)*LOG10(INDEX(FX_Input,AA$5,N$3*$Z$5+$AA$5)))-(8742/(N425+459.6))+15.64),EXP(INDEX(Antoines,MATCH(N418,Antoine_Name,0),2)-INDEX(Antoines,MATCH(N418,Antoine_Name,0),3)/(N425+459.6))))),0)</f>
        <v>0</v>
      </c>
      <c r="O434" cm="1">
        <f t="array" ref="O434">IFERROR(IF(O419="Chemical",(10^(INDEX(Antoines,MATCH(O418,Antoine_Name,0),2)-INDEX(Antoines,MATCH(O418,Antoine_Name,0),3)/(INDEX(Antoines,MATCH(O418,Antoine_Name,0),4)+(O425-32)*5/9)))*14.7/760,IF(O419="Crude Oil",EXP((2799/(O425+459.6)-2.227)*LOG10(INDEX(FX_Input,AB$5,O$3*$Z$5+$AA$5))-(7261/(O425+459.6))+12.82),IF(O419="Refined Petroleum Stock",EXP((0.7553-(413/(O425+459.6)))*(INDEX(FX_Input,AB$5,O$3*$Z$5+$AA$5-1)^0.5)*LOG10(INDEX(FX_Input,AB$5,O$3*$Z$5+$AA$5))-(1.854-(1042/(O425+459.6)))*(INDEX(FX_Input,AB$5,O$3*$Z$5+$AA$5-1)^0.5)+((2416/(O425+459.6)-2.013)*LOG10(INDEX(FX_Input,AB$5,O$3*$Z$5+$AA$5)))-(8742/(O425+459.6))+15.64),EXP(INDEX(Antoines,MATCH(O418,Antoine_Name,0),2)-INDEX(Antoines,MATCH(O418,Antoine_Name,0),3)/(O425+459.6))))),0)</f>
        <v>0</v>
      </c>
    </row>
    <row r="435" spans="1:32" ht="17.149999999999999" x14ac:dyDescent="0.55000000000000004">
      <c r="B435" t="str">
        <f t="shared" si="1428"/>
        <v>Portland</v>
      </c>
      <c r="C435" t="s">
        <v>582</v>
      </c>
      <c r="D435">
        <f>D434*D422</f>
        <v>0</v>
      </c>
      <c r="E435">
        <f t="shared" ref="E435" si="1473">E434*E422</f>
        <v>0</v>
      </c>
      <c r="F435">
        <f t="shared" ref="F435" si="1474">F434*F422</f>
        <v>0</v>
      </c>
      <c r="G435">
        <f t="shared" ref="G435" si="1475">G434*G422</f>
        <v>0</v>
      </c>
      <c r="H435">
        <f t="shared" ref="H435" si="1476">H434*H422</f>
        <v>0</v>
      </c>
      <c r="I435">
        <f t="shared" ref="I435" si="1477">I434*I422</f>
        <v>0</v>
      </c>
      <c r="J435">
        <f t="shared" ref="J435" si="1478">J434*J422</f>
        <v>0</v>
      </c>
      <c r="K435">
        <f t="shared" ref="K435" si="1479">K434*K422</f>
        <v>0</v>
      </c>
      <c r="L435">
        <f t="shared" ref="L435" si="1480">L434*L422</f>
        <v>0</v>
      </c>
      <c r="M435">
        <f t="shared" ref="M435" si="1481">M434*M422</f>
        <v>0</v>
      </c>
      <c r="N435">
        <f t="shared" ref="N435" si="1482">N434*N422</f>
        <v>0</v>
      </c>
      <c r="O435">
        <f t="shared" ref="O435" si="1483">O434*O422</f>
        <v>0</v>
      </c>
    </row>
    <row r="436" spans="1:32" ht="17.149999999999999" x14ac:dyDescent="0.55000000000000004">
      <c r="B436" t="str">
        <f t="shared" si="1428"/>
        <v>Portland</v>
      </c>
      <c r="C436" t="s">
        <v>583</v>
      </c>
      <c r="D436">
        <f>D433+D435</f>
        <v>1</v>
      </c>
      <c r="E436">
        <f t="shared" ref="E436" si="1484">E433+E435</f>
        <v>1</v>
      </c>
      <c r="F436">
        <f t="shared" ref="F436" si="1485">F433+F435</f>
        <v>1</v>
      </c>
      <c r="G436">
        <f t="shared" ref="G436" si="1486">G433+G435</f>
        <v>1</v>
      </c>
      <c r="H436">
        <f t="shared" ref="H436" si="1487">H433+H435</f>
        <v>1</v>
      </c>
      <c r="I436">
        <f t="shared" ref="I436" si="1488">I433+I435</f>
        <v>1</v>
      </c>
      <c r="J436">
        <f t="shared" ref="J436" si="1489">J433+J435</f>
        <v>1</v>
      </c>
      <c r="K436">
        <f t="shared" ref="K436" si="1490">K433+K435</f>
        <v>1</v>
      </c>
      <c r="L436">
        <f t="shared" ref="L436" si="1491">L433+L435</f>
        <v>1</v>
      </c>
      <c r="M436">
        <f t="shared" ref="M436" si="1492">M433+M435</f>
        <v>1</v>
      </c>
      <c r="N436">
        <f t="shared" ref="N436" si="1493">N433+N435</f>
        <v>1</v>
      </c>
      <c r="O436">
        <f t="shared" ref="O436" si="1494">O433+O435</f>
        <v>1</v>
      </c>
    </row>
    <row r="437" spans="1:32" ht="17.149999999999999" x14ac:dyDescent="0.55000000000000004">
      <c r="B437" t="str">
        <f t="shared" si="1428"/>
        <v>Portland</v>
      </c>
      <c r="C437" t="s">
        <v>1388</v>
      </c>
      <c r="D437" cm="1">
        <f t="array" ref="D437">IFERROR(IF(D417="Chemical",(10^(INDEX(Antoines,MATCH(D416,Antoine_Name,0),2)-INDEX(Antoines,MATCH(D416,Antoine_Name,0),3)/(INDEX(Antoines,MATCH(D416,Antoine_Name,0),4)+(D426-32)*5/9)))*14.7/760,IF(D417="Crude Oil",EXP((2799/(D426+459.6)-2.227)*LOG10(INDEX(FX_Input,Q$5,D$3*$Z$5+$AA$5))-(7261/(D426+459.6))+12.82),IF(D417="Refined Petroleum Stock",EXP((0.7553-(413/(D426+459.6)))*(INDEX(FX_Input,Q$5,D$3*$Z$5+$AA$5-1)^0.5)*LOG10(INDEX(FX_Input,Q$5,D$3*$Z$5+$AA$5))-(1.854-(1042/(D426+459.6)))*(INDEX(FX_Input,Q$5,D$3*$Z$5+$AA$5-1)^0.5)+((2416/(D426+459.6)-2.013)*LOG10(INDEX(FX_Input,Q$5,D$3*$Z$5+$AA$5)))-(8742/(D426+459.6))+15.64),EXP(INDEX(Antoines,MATCH(D416,Antoine_Name,0),2)-INDEX(Antoines,MATCH(D416,Antoine_Name,0),3)/(D426+459.6))))),0)</f>
        <v>1</v>
      </c>
      <c r="E437" cm="1">
        <f t="array" ref="E437">IFERROR(IF(E417="Chemical",(10^(INDEX(Antoines,MATCH(E416,Antoine_Name,0),2)-INDEX(Antoines,MATCH(E416,Antoine_Name,0),3)/(INDEX(Antoines,MATCH(E416,Antoine_Name,0),4)+(E426-32)*5/9)))*14.7/760,IF(E417="Crude Oil",EXP((2799/(E426+459.6)-2.227)*LOG10(INDEX(FX_Input,R$5,E$3*$Z$5+$AA$5))-(7261/(E426+459.6))+12.82),IF(E417="Refined Petroleum Stock",EXP((0.7553-(413/(E426+459.6)))*(INDEX(FX_Input,R$5,E$3*$Z$5+$AA$5-1)^0.5)*LOG10(INDEX(FX_Input,R$5,E$3*$Z$5+$AA$5))-(1.854-(1042/(E426+459.6)))*(INDEX(FX_Input,R$5,E$3*$Z$5+$AA$5-1)^0.5)+((2416/(E426+459.6)-2.013)*LOG10(INDEX(FX_Input,R$5,E$3*$Z$5+$AA$5)))-(8742/(E426+459.6))+15.64),EXP(INDEX(Antoines,MATCH(E416,Antoine_Name,0),2)-INDEX(Antoines,MATCH(E416,Antoine_Name,0),3)/(E426+459.6))))),0)</f>
        <v>1</v>
      </c>
      <c r="F437" cm="1">
        <f t="array" ref="F437">IFERROR(IF(F417="Chemical",(10^(INDEX(Antoines,MATCH(F416,Antoine_Name,0),2)-INDEX(Antoines,MATCH(F416,Antoine_Name,0),3)/(INDEX(Antoines,MATCH(F416,Antoine_Name,0),4)+(F426-32)*5/9)))*14.7/760,IF(F417="Crude Oil",EXP((2799/(F426+459.6)-2.227)*LOG10(INDEX(FX_Input,S$5,F$3*$Z$5+$AA$5))-(7261/(F426+459.6))+12.82),IF(F417="Refined Petroleum Stock",EXP((0.7553-(413/(F426+459.6)))*(INDEX(FX_Input,S$5,F$3*$Z$5+$AA$5-1)^0.5)*LOG10(INDEX(FX_Input,S$5,F$3*$Z$5+$AA$5))-(1.854-(1042/(F426+459.6)))*(INDEX(FX_Input,S$5,F$3*$Z$5+$AA$5-1)^0.5)+((2416/(F426+459.6)-2.013)*LOG10(INDEX(FX_Input,S$5,F$3*$Z$5+$AA$5)))-(8742/(F426+459.6))+15.64),EXP(INDEX(Antoines,MATCH(F416,Antoine_Name,0),2)-INDEX(Antoines,MATCH(F416,Antoine_Name,0),3)/(F426+459.6))))),0)</f>
        <v>1</v>
      </c>
      <c r="G437" cm="1">
        <f t="array" ref="G437">IFERROR(IF(G417="Chemical",(10^(INDEX(Antoines,MATCH(G416,Antoine_Name,0),2)-INDEX(Antoines,MATCH(G416,Antoine_Name,0),3)/(INDEX(Antoines,MATCH(G416,Antoine_Name,0),4)+(G426-32)*5/9)))*14.7/760,IF(G417="Crude Oil",EXP((2799/(G426+459.6)-2.227)*LOG10(INDEX(FX_Input,T$5,G$3*$Z$5+$AA$5))-(7261/(G426+459.6))+12.82),IF(G417="Refined Petroleum Stock",EXP((0.7553-(413/(G426+459.6)))*(INDEX(FX_Input,T$5,G$3*$Z$5+$AA$5-1)^0.5)*LOG10(INDEX(FX_Input,T$5,G$3*$Z$5+$AA$5))-(1.854-(1042/(G426+459.6)))*(INDEX(FX_Input,T$5,G$3*$Z$5+$AA$5-1)^0.5)+((2416/(G426+459.6)-2.013)*LOG10(INDEX(FX_Input,T$5,G$3*$Z$5+$AA$5)))-(8742/(G426+459.6))+15.64),EXP(INDEX(Antoines,MATCH(G416,Antoine_Name,0),2)-INDEX(Antoines,MATCH(G416,Antoine_Name,0),3)/(G426+459.6))))),0)</f>
        <v>1</v>
      </c>
      <c r="H437" cm="1">
        <f t="array" ref="H437">IFERROR(IF(H417="Chemical",(10^(INDEX(Antoines,MATCH(H416,Antoine_Name,0),2)-INDEX(Antoines,MATCH(H416,Antoine_Name,0),3)/(INDEX(Antoines,MATCH(H416,Antoine_Name,0),4)+(H426-32)*5/9)))*14.7/760,IF(H417="Crude Oil",EXP((2799/(H426+459.6)-2.227)*LOG10(INDEX(FX_Input,U$5,H$3*$Z$5+$AA$5))-(7261/(H426+459.6))+12.82),IF(H417="Refined Petroleum Stock",EXP((0.7553-(413/(H426+459.6)))*(INDEX(FX_Input,U$5,H$3*$Z$5+$AA$5-1)^0.5)*LOG10(INDEX(FX_Input,U$5,H$3*$Z$5+$AA$5))-(1.854-(1042/(H426+459.6)))*(INDEX(FX_Input,U$5,H$3*$Z$5+$AA$5-1)^0.5)+((2416/(H426+459.6)-2.013)*LOG10(INDEX(FX_Input,U$5,H$3*$Z$5+$AA$5)))-(8742/(H426+459.6))+15.64),EXP(INDEX(Antoines,MATCH(H416,Antoine_Name,0),2)-INDEX(Antoines,MATCH(H416,Antoine_Name,0),3)/(H426+459.6))))),0)</f>
        <v>1</v>
      </c>
      <c r="I437" cm="1">
        <f t="array" ref="I437">IFERROR(IF(I417="Chemical",(10^(INDEX(Antoines,MATCH(I416,Antoine_Name,0),2)-INDEX(Antoines,MATCH(I416,Antoine_Name,0),3)/(INDEX(Antoines,MATCH(I416,Antoine_Name,0),4)+(I426-32)*5/9)))*14.7/760,IF(I417="Crude Oil",EXP((2799/(I426+459.6)-2.227)*LOG10(INDEX(FX_Input,V$5,I$3*$Z$5+$AA$5))-(7261/(I426+459.6))+12.82),IF(I417="Refined Petroleum Stock",EXP((0.7553-(413/(I426+459.6)))*(INDEX(FX_Input,V$5,I$3*$Z$5+$AA$5-1)^0.5)*LOG10(INDEX(FX_Input,V$5,I$3*$Z$5+$AA$5))-(1.854-(1042/(I426+459.6)))*(INDEX(FX_Input,V$5,I$3*$Z$5+$AA$5-1)^0.5)+((2416/(I426+459.6)-2.013)*LOG10(INDEX(FX_Input,V$5,I$3*$Z$5+$AA$5)))-(8742/(I426+459.6))+15.64),EXP(INDEX(Antoines,MATCH(I416,Antoine_Name,0),2)-INDEX(Antoines,MATCH(I416,Antoine_Name,0),3)/(I426+459.6))))),0)</f>
        <v>1</v>
      </c>
      <c r="J437" cm="1">
        <f t="array" ref="J437">IFERROR(IF(J417="Chemical",(10^(INDEX(Antoines,MATCH(J416,Antoine_Name,0),2)-INDEX(Antoines,MATCH(J416,Antoine_Name,0),3)/(INDEX(Antoines,MATCH(J416,Antoine_Name,0),4)+(J426-32)*5/9)))*14.7/760,IF(J417="Crude Oil",EXP((2799/(J426+459.6)-2.227)*LOG10(INDEX(FX_Input,W$5,J$3*$Z$5+$AA$5))-(7261/(J426+459.6))+12.82),IF(J417="Refined Petroleum Stock",EXP((0.7553-(413/(J426+459.6)))*(INDEX(FX_Input,W$5,J$3*$Z$5+$AA$5-1)^0.5)*LOG10(INDEX(FX_Input,W$5,J$3*$Z$5+$AA$5))-(1.854-(1042/(J426+459.6)))*(INDEX(FX_Input,W$5,J$3*$Z$5+$AA$5-1)^0.5)+((2416/(J426+459.6)-2.013)*LOG10(INDEX(FX_Input,W$5,J$3*$Z$5+$AA$5)))-(8742/(J426+459.6))+15.64),EXP(INDEX(Antoines,MATCH(J416,Antoine_Name,0),2)-INDEX(Antoines,MATCH(J416,Antoine_Name,0),3)/(J426+459.6))))),0)</f>
        <v>1</v>
      </c>
      <c r="K437" cm="1">
        <f t="array" ref="K437">IFERROR(IF(K417="Chemical",(10^(INDEX(Antoines,MATCH(K416,Antoine_Name,0),2)-INDEX(Antoines,MATCH(K416,Antoine_Name,0),3)/(INDEX(Antoines,MATCH(K416,Antoine_Name,0),4)+(K426-32)*5/9)))*14.7/760,IF(K417="Crude Oil",EXP((2799/(K426+459.6)-2.227)*LOG10(INDEX(FX_Input,X$5,K$3*$Z$5+$AA$5))-(7261/(K426+459.6))+12.82),IF(K417="Refined Petroleum Stock",EXP((0.7553-(413/(K426+459.6)))*(INDEX(FX_Input,X$5,K$3*$Z$5+$AA$5-1)^0.5)*LOG10(INDEX(FX_Input,X$5,K$3*$Z$5+$AA$5))-(1.854-(1042/(K426+459.6)))*(INDEX(FX_Input,X$5,K$3*$Z$5+$AA$5-1)^0.5)+((2416/(K426+459.6)-2.013)*LOG10(INDEX(FX_Input,X$5,K$3*$Z$5+$AA$5)))-(8742/(K426+459.6))+15.64),EXP(INDEX(Antoines,MATCH(K416,Antoine_Name,0),2)-INDEX(Antoines,MATCH(K416,Antoine_Name,0),3)/(K426+459.6))))),0)</f>
        <v>1</v>
      </c>
      <c r="L437" cm="1">
        <f t="array" ref="L437">IFERROR(IF(L417="Chemical",(10^(INDEX(Antoines,MATCH(L416,Antoine_Name,0),2)-INDEX(Antoines,MATCH(L416,Antoine_Name,0),3)/(INDEX(Antoines,MATCH(L416,Antoine_Name,0),4)+(L426-32)*5/9)))*14.7/760,IF(L417="Crude Oil",EXP((2799/(L426+459.6)-2.227)*LOG10(INDEX(FX_Input,Y$5,L$3*$Z$5+$AA$5))-(7261/(L426+459.6))+12.82),IF(L417="Refined Petroleum Stock",EXP((0.7553-(413/(L426+459.6)))*(INDEX(FX_Input,Y$5,L$3*$Z$5+$AA$5-1)^0.5)*LOG10(INDEX(FX_Input,Y$5,L$3*$Z$5+$AA$5))-(1.854-(1042/(L426+459.6)))*(INDEX(FX_Input,Y$5,L$3*$Z$5+$AA$5-1)^0.5)+((2416/(L426+459.6)-2.013)*LOG10(INDEX(FX_Input,Y$5,L$3*$Z$5+$AA$5)))-(8742/(L426+459.6))+15.64),EXP(INDEX(Antoines,MATCH(L416,Antoine_Name,0),2)-INDEX(Antoines,MATCH(L416,Antoine_Name,0),3)/(L426+459.6))))),0)</f>
        <v>1</v>
      </c>
      <c r="M437" cm="1">
        <f t="array" ref="M437">IFERROR(IF(M417="Chemical",(10^(INDEX(Antoines,MATCH(M416,Antoine_Name,0),2)-INDEX(Antoines,MATCH(M416,Antoine_Name,0),3)/(INDEX(Antoines,MATCH(M416,Antoine_Name,0),4)+(M426-32)*5/9)))*14.7/760,IF(M417="Crude Oil",EXP((2799/(M426+459.6)-2.227)*LOG10(INDEX(FX_Input,Z$5,M$3*$Z$5+$AA$5))-(7261/(M426+459.6))+12.82),IF(M417="Refined Petroleum Stock",EXP((0.7553-(413/(M426+459.6)))*(INDEX(FX_Input,Z$5,M$3*$Z$5+$AA$5-1)^0.5)*LOG10(INDEX(FX_Input,Z$5,M$3*$Z$5+$AA$5))-(1.854-(1042/(M426+459.6)))*(INDEX(FX_Input,Z$5,M$3*$Z$5+$AA$5-1)^0.5)+((2416/(M426+459.6)-2.013)*LOG10(INDEX(FX_Input,Z$5,M$3*$Z$5+$AA$5)))-(8742/(M426+459.6))+15.64),EXP(INDEX(Antoines,MATCH(M416,Antoine_Name,0),2)-INDEX(Antoines,MATCH(M416,Antoine_Name,0),3)/(M426+459.6))))),0)</f>
        <v>1</v>
      </c>
      <c r="N437" cm="1">
        <f t="array" ref="N437">IFERROR(IF(N417="Chemical",(10^(INDEX(Antoines,MATCH(N416,Antoine_Name,0),2)-INDEX(Antoines,MATCH(N416,Antoine_Name,0),3)/(INDEX(Antoines,MATCH(N416,Antoine_Name,0),4)+(N426-32)*5/9)))*14.7/760,IF(N417="Crude Oil",EXP((2799/(N426+459.6)-2.227)*LOG10(INDEX(FX_Input,AA$5,N$3*$Z$5+$AA$5))-(7261/(N426+459.6))+12.82),IF(N417="Refined Petroleum Stock",EXP((0.7553-(413/(N426+459.6)))*(INDEX(FX_Input,AA$5,N$3*$Z$5+$AA$5-1)^0.5)*LOG10(INDEX(FX_Input,AA$5,N$3*$Z$5+$AA$5))-(1.854-(1042/(N426+459.6)))*(INDEX(FX_Input,AA$5,N$3*$Z$5+$AA$5-1)^0.5)+((2416/(N426+459.6)-2.013)*LOG10(INDEX(FX_Input,AA$5,N$3*$Z$5+$AA$5)))-(8742/(N426+459.6))+15.64),EXP(INDEX(Antoines,MATCH(N416,Antoine_Name,0),2)-INDEX(Antoines,MATCH(N416,Antoine_Name,0),3)/(N426+459.6))))),0)</f>
        <v>1</v>
      </c>
      <c r="O437" cm="1">
        <f t="array" ref="O437">IFERROR(IF(O417="Chemical",(10^(INDEX(Antoines,MATCH(O416,Antoine_Name,0),2)-INDEX(Antoines,MATCH(O416,Antoine_Name,0),3)/(INDEX(Antoines,MATCH(O416,Antoine_Name,0),4)+(O426-32)*5/9)))*14.7/760,IF(O417="Crude Oil",EXP((2799/(O426+459.6)-2.227)*LOG10(INDEX(FX_Input,AB$5,O$3*$Z$5+$AA$5))-(7261/(O426+459.6))+12.82),IF(O417="Refined Petroleum Stock",EXP((0.7553-(413/(O426+459.6)))*(INDEX(FX_Input,AB$5,O$3*$Z$5+$AA$5-1)^0.5)*LOG10(INDEX(FX_Input,AB$5,O$3*$Z$5+$AA$5))-(1.854-(1042/(O426+459.6)))*(INDEX(FX_Input,AB$5,O$3*$Z$5+$AA$5-1)^0.5)+((2416/(O426+459.6)-2.013)*LOG10(INDEX(FX_Input,AB$5,O$3*$Z$5+$AA$5)))-(8742/(O426+459.6))+15.64),EXP(INDEX(Antoines,MATCH(O416,Antoine_Name,0),2)-INDEX(Antoines,MATCH(O416,Antoine_Name,0),3)/(O426+459.6))))),0)</f>
        <v>1</v>
      </c>
    </row>
    <row r="438" spans="1:32" ht="17.149999999999999" x14ac:dyDescent="0.55000000000000004">
      <c r="B438" t="str">
        <f t="shared" si="1428"/>
        <v>Portland</v>
      </c>
      <c r="C438" t="s">
        <v>1389</v>
      </c>
      <c r="D438">
        <f>D437*D420</f>
        <v>1</v>
      </c>
      <c r="E438">
        <f t="shared" ref="E438" si="1495">E437*E420</f>
        <v>1</v>
      </c>
      <c r="F438">
        <f t="shared" ref="F438" si="1496">F437*F420</f>
        <v>1</v>
      </c>
      <c r="G438">
        <f t="shared" ref="G438" si="1497">G437*G420</f>
        <v>1</v>
      </c>
      <c r="H438">
        <f t="shared" ref="H438" si="1498">H437*H420</f>
        <v>1</v>
      </c>
      <c r="I438">
        <f t="shared" ref="I438" si="1499">I437*I420</f>
        <v>1</v>
      </c>
      <c r="J438">
        <f t="shared" ref="J438" si="1500">J437*J420</f>
        <v>1</v>
      </c>
      <c r="K438">
        <f t="shared" ref="K438" si="1501">K437*K420</f>
        <v>1</v>
      </c>
      <c r="L438">
        <f t="shared" ref="L438" si="1502">L437*L420</f>
        <v>1</v>
      </c>
      <c r="M438">
        <f t="shared" ref="M438" si="1503">M437*M420</f>
        <v>1</v>
      </c>
      <c r="N438">
        <f t="shared" ref="N438" si="1504">N437*N420</f>
        <v>1</v>
      </c>
      <c r="O438">
        <f t="shared" ref="O438" si="1505">O437*O420</f>
        <v>1</v>
      </c>
    </row>
    <row r="439" spans="1:32" ht="17.149999999999999" x14ac:dyDescent="0.55000000000000004">
      <c r="B439" t="str">
        <f t="shared" si="1428"/>
        <v>Portland</v>
      </c>
      <c r="C439" t="s">
        <v>1390</v>
      </c>
      <c r="D439" cm="1">
        <f t="array" ref="D439">IFERROR(IF(D419="Chemical",(10^(INDEX(Antoines,MATCH(D418,Antoine_Name,0),2)-INDEX(Antoines,MATCH(D418,Antoine_Name,0),3)/(INDEX(Antoines,MATCH(D418,Antoine_Name,0),4)+(D426-32)*5/9)))*14.7/760,IF(D419="Crude Oil",EXP((2799/(D426+459.6)-2.227)*LOG10(INDEX(FX_Input,Q$5,D$3*$Z$5+$AA$5))-(7261/(D426+459.6))+12.82),IF(D419="Refined Petroleum Stock",EXP((0.7553-(413/(D426+459.6)))*(INDEX(FX_Input,Q$5,D$3*$Z$5+$AA$5-1)^0.5)*LOG10(INDEX(FX_Input,Q$5,D$3*$Z$5+$AA$5))-(1.854-(1042/(D426+459.6)))*(INDEX(FX_Input,Q$5,D$3*$Z$5+$AA$5-1)^0.5)+((2416/(D426+459.6)-2.013)*LOG10(INDEX(FX_Input,Q$5,D$3*$Z$5+$AA$5)))-(8742/(D426+459.6))+15.64),EXP(INDEX(Antoines,MATCH(D418,Antoine_Name,0),2)-INDEX(Antoines,MATCH(D418,Antoine_Name,0),3)/(D426+459.6))))),0)</f>
        <v>0</v>
      </c>
      <c r="E439" cm="1">
        <f t="array" ref="E439">IFERROR(IF(E419="Chemical",(10^(INDEX(Antoines,MATCH(E418,Antoine_Name,0),2)-INDEX(Antoines,MATCH(E418,Antoine_Name,0),3)/(INDEX(Antoines,MATCH(E418,Antoine_Name,0),4)+(E426-32)*5/9)))*14.7/760,IF(E419="Crude Oil",EXP((2799/(E426+459.6)-2.227)*LOG10(INDEX(FX_Input,R$5,E$3*$Z$5+$AA$5))-(7261/(E426+459.6))+12.82),IF(E419="Refined Petroleum Stock",EXP((0.7553-(413/(E426+459.6)))*(INDEX(FX_Input,R$5,E$3*$Z$5+$AA$5-1)^0.5)*LOG10(INDEX(FX_Input,R$5,E$3*$Z$5+$AA$5))-(1.854-(1042/(E426+459.6)))*(INDEX(FX_Input,R$5,E$3*$Z$5+$AA$5-1)^0.5)+((2416/(E426+459.6)-2.013)*LOG10(INDEX(FX_Input,R$5,E$3*$Z$5+$AA$5)))-(8742/(E426+459.6))+15.64),EXP(INDEX(Antoines,MATCH(E418,Antoine_Name,0),2)-INDEX(Antoines,MATCH(E418,Antoine_Name,0),3)/(E426+459.6))))),0)</f>
        <v>0</v>
      </c>
      <c r="F439" cm="1">
        <f t="array" ref="F439">IFERROR(IF(F419="Chemical",(10^(INDEX(Antoines,MATCH(F418,Antoine_Name,0),2)-INDEX(Antoines,MATCH(F418,Antoine_Name,0),3)/(INDEX(Antoines,MATCH(F418,Antoine_Name,0),4)+(F426-32)*5/9)))*14.7/760,IF(F419="Crude Oil",EXP((2799/(F426+459.6)-2.227)*LOG10(INDEX(FX_Input,S$5,F$3*$Z$5+$AA$5))-(7261/(F426+459.6))+12.82),IF(F419="Refined Petroleum Stock",EXP((0.7553-(413/(F426+459.6)))*(INDEX(FX_Input,S$5,F$3*$Z$5+$AA$5-1)^0.5)*LOG10(INDEX(FX_Input,S$5,F$3*$Z$5+$AA$5))-(1.854-(1042/(F426+459.6)))*(INDEX(FX_Input,S$5,F$3*$Z$5+$AA$5-1)^0.5)+((2416/(F426+459.6)-2.013)*LOG10(INDEX(FX_Input,S$5,F$3*$Z$5+$AA$5)))-(8742/(F426+459.6))+15.64),EXP(INDEX(Antoines,MATCH(F418,Antoine_Name,0),2)-INDEX(Antoines,MATCH(F418,Antoine_Name,0),3)/(F426+459.6))))),0)</f>
        <v>0</v>
      </c>
      <c r="G439" cm="1">
        <f t="array" ref="G439">IFERROR(IF(G419="Chemical",(10^(INDEX(Antoines,MATCH(G418,Antoine_Name,0),2)-INDEX(Antoines,MATCH(G418,Antoine_Name,0),3)/(INDEX(Antoines,MATCH(G418,Antoine_Name,0),4)+(G426-32)*5/9)))*14.7/760,IF(G419="Crude Oil",EXP((2799/(G426+459.6)-2.227)*LOG10(INDEX(FX_Input,T$5,G$3*$Z$5+$AA$5))-(7261/(G426+459.6))+12.82),IF(G419="Refined Petroleum Stock",EXP((0.7553-(413/(G426+459.6)))*(INDEX(FX_Input,T$5,G$3*$Z$5+$AA$5-1)^0.5)*LOG10(INDEX(FX_Input,T$5,G$3*$Z$5+$AA$5))-(1.854-(1042/(G426+459.6)))*(INDEX(FX_Input,T$5,G$3*$Z$5+$AA$5-1)^0.5)+((2416/(G426+459.6)-2.013)*LOG10(INDEX(FX_Input,T$5,G$3*$Z$5+$AA$5)))-(8742/(G426+459.6))+15.64),EXP(INDEX(Antoines,MATCH(G418,Antoine_Name,0),2)-INDEX(Antoines,MATCH(G418,Antoine_Name,0),3)/(G426+459.6))))),0)</f>
        <v>0</v>
      </c>
      <c r="H439" cm="1">
        <f t="array" ref="H439">IFERROR(IF(H419="Chemical",(10^(INDEX(Antoines,MATCH(H418,Antoine_Name,0),2)-INDEX(Antoines,MATCH(H418,Antoine_Name,0),3)/(INDEX(Antoines,MATCH(H418,Antoine_Name,0),4)+(H426-32)*5/9)))*14.7/760,IF(H419="Crude Oil",EXP((2799/(H426+459.6)-2.227)*LOG10(INDEX(FX_Input,U$5,H$3*$Z$5+$AA$5))-(7261/(H426+459.6))+12.82),IF(H419="Refined Petroleum Stock",EXP((0.7553-(413/(H426+459.6)))*(INDEX(FX_Input,U$5,H$3*$Z$5+$AA$5-1)^0.5)*LOG10(INDEX(FX_Input,U$5,H$3*$Z$5+$AA$5))-(1.854-(1042/(H426+459.6)))*(INDEX(FX_Input,U$5,H$3*$Z$5+$AA$5-1)^0.5)+((2416/(H426+459.6)-2.013)*LOG10(INDEX(FX_Input,U$5,H$3*$Z$5+$AA$5)))-(8742/(H426+459.6))+15.64),EXP(INDEX(Antoines,MATCH(H418,Antoine_Name,0),2)-INDEX(Antoines,MATCH(H418,Antoine_Name,0),3)/(H426+459.6))))),0)</f>
        <v>0</v>
      </c>
      <c r="I439" cm="1">
        <f t="array" ref="I439">IFERROR(IF(I419="Chemical",(10^(INDEX(Antoines,MATCH(I418,Antoine_Name,0),2)-INDEX(Antoines,MATCH(I418,Antoine_Name,0),3)/(INDEX(Antoines,MATCH(I418,Antoine_Name,0),4)+(I426-32)*5/9)))*14.7/760,IF(I419="Crude Oil",EXP((2799/(I426+459.6)-2.227)*LOG10(INDEX(FX_Input,V$5,I$3*$Z$5+$AA$5))-(7261/(I426+459.6))+12.82),IF(I419="Refined Petroleum Stock",EXP((0.7553-(413/(I426+459.6)))*(INDEX(FX_Input,V$5,I$3*$Z$5+$AA$5-1)^0.5)*LOG10(INDEX(FX_Input,V$5,I$3*$Z$5+$AA$5))-(1.854-(1042/(I426+459.6)))*(INDEX(FX_Input,V$5,I$3*$Z$5+$AA$5-1)^0.5)+((2416/(I426+459.6)-2.013)*LOG10(INDEX(FX_Input,V$5,I$3*$Z$5+$AA$5)))-(8742/(I426+459.6))+15.64),EXP(INDEX(Antoines,MATCH(I418,Antoine_Name,0),2)-INDEX(Antoines,MATCH(I418,Antoine_Name,0),3)/(I426+459.6))))),0)</f>
        <v>0</v>
      </c>
      <c r="J439" cm="1">
        <f t="array" ref="J439">IFERROR(IF(J419="Chemical",(10^(INDEX(Antoines,MATCH(J418,Antoine_Name,0),2)-INDEX(Antoines,MATCH(J418,Antoine_Name,0),3)/(INDEX(Antoines,MATCH(J418,Antoine_Name,0),4)+(J426-32)*5/9)))*14.7/760,IF(J419="Crude Oil",EXP((2799/(J426+459.6)-2.227)*LOG10(INDEX(FX_Input,W$5,J$3*$Z$5+$AA$5))-(7261/(J426+459.6))+12.82),IF(J419="Refined Petroleum Stock",EXP((0.7553-(413/(J426+459.6)))*(INDEX(FX_Input,W$5,J$3*$Z$5+$AA$5-1)^0.5)*LOG10(INDEX(FX_Input,W$5,J$3*$Z$5+$AA$5))-(1.854-(1042/(J426+459.6)))*(INDEX(FX_Input,W$5,J$3*$Z$5+$AA$5-1)^0.5)+((2416/(J426+459.6)-2.013)*LOG10(INDEX(FX_Input,W$5,J$3*$Z$5+$AA$5)))-(8742/(J426+459.6))+15.64),EXP(INDEX(Antoines,MATCH(J418,Antoine_Name,0),2)-INDEX(Antoines,MATCH(J418,Antoine_Name,0),3)/(J426+459.6))))),0)</f>
        <v>0</v>
      </c>
      <c r="K439" cm="1">
        <f t="array" ref="K439">IFERROR(IF(K419="Chemical",(10^(INDEX(Antoines,MATCH(K418,Antoine_Name,0),2)-INDEX(Antoines,MATCH(K418,Antoine_Name,0),3)/(INDEX(Antoines,MATCH(K418,Antoine_Name,0),4)+(K426-32)*5/9)))*14.7/760,IF(K419="Crude Oil",EXP((2799/(K426+459.6)-2.227)*LOG10(INDEX(FX_Input,X$5,K$3*$Z$5+$AA$5))-(7261/(K426+459.6))+12.82),IF(K419="Refined Petroleum Stock",EXP((0.7553-(413/(K426+459.6)))*(INDEX(FX_Input,X$5,K$3*$Z$5+$AA$5-1)^0.5)*LOG10(INDEX(FX_Input,X$5,K$3*$Z$5+$AA$5))-(1.854-(1042/(K426+459.6)))*(INDEX(FX_Input,X$5,K$3*$Z$5+$AA$5-1)^0.5)+((2416/(K426+459.6)-2.013)*LOG10(INDEX(FX_Input,X$5,K$3*$Z$5+$AA$5)))-(8742/(K426+459.6))+15.64),EXP(INDEX(Antoines,MATCH(K418,Antoine_Name,0),2)-INDEX(Antoines,MATCH(K418,Antoine_Name,0),3)/(K426+459.6))))),0)</f>
        <v>0</v>
      </c>
      <c r="L439" cm="1">
        <f t="array" ref="L439">IFERROR(IF(L419="Chemical",(10^(INDEX(Antoines,MATCH(L418,Antoine_Name,0),2)-INDEX(Antoines,MATCH(L418,Antoine_Name,0),3)/(INDEX(Antoines,MATCH(L418,Antoine_Name,0),4)+(L426-32)*5/9)))*14.7/760,IF(L419="Crude Oil",EXP((2799/(L426+459.6)-2.227)*LOG10(INDEX(FX_Input,Y$5,L$3*$Z$5+$AA$5))-(7261/(L426+459.6))+12.82),IF(L419="Refined Petroleum Stock",EXP((0.7553-(413/(L426+459.6)))*(INDEX(FX_Input,Y$5,L$3*$Z$5+$AA$5-1)^0.5)*LOG10(INDEX(FX_Input,Y$5,L$3*$Z$5+$AA$5))-(1.854-(1042/(L426+459.6)))*(INDEX(FX_Input,Y$5,L$3*$Z$5+$AA$5-1)^0.5)+((2416/(L426+459.6)-2.013)*LOG10(INDEX(FX_Input,Y$5,L$3*$Z$5+$AA$5)))-(8742/(L426+459.6))+15.64),EXP(INDEX(Antoines,MATCH(L418,Antoine_Name,0),2)-INDEX(Antoines,MATCH(L418,Antoine_Name,0),3)/(L426+459.6))))),0)</f>
        <v>0</v>
      </c>
      <c r="M439" cm="1">
        <f t="array" ref="M439">IFERROR(IF(M419="Chemical",(10^(INDEX(Antoines,MATCH(M418,Antoine_Name,0),2)-INDEX(Antoines,MATCH(M418,Antoine_Name,0),3)/(INDEX(Antoines,MATCH(M418,Antoine_Name,0),4)+(M426-32)*5/9)))*14.7/760,IF(M419="Crude Oil",EXP((2799/(M426+459.6)-2.227)*LOG10(INDEX(FX_Input,Z$5,M$3*$Z$5+$AA$5))-(7261/(M426+459.6))+12.82),IF(M419="Refined Petroleum Stock",EXP((0.7553-(413/(M426+459.6)))*(INDEX(FX_Input,Z$5,M$3*$Z$5+$AA$5-1)^0.5)*LOG10(INDEX(FX_Input,Z$5,M$3*$Z$5+$AA$5))-(1.854-(1042/(M426+459.6)))*(INDEX(FX_Input,Z$5,M$3*$Z$5+$AA$5-1)^0.5)+((2416/(M426+459.6)-2.013)*LOG10(INDEX(FX_Input,Z$5,M$3*$Z$5+$AA$5)))-(8742/(M426+459.6))+15.64),EXP(INDEX(Antoines,MATCH(M418,Antoine_Name,0),2)-INDEX(Antoines,MATCH(M418,Antoine_Name,0),3)/(M426+459.6))))),0)</f>
        <v>0</v>
      </c>
      <c r="N439" cm="1">
        <f t="array" ref="N439">IFERROR(IF(N419="Chemical",(10^(INDEX(Antoines,MATCH(N418,Antoine_Name,0),2)-INDEX(Antoines,MATCH(N418,Antoine_Name,0),3)/(INDEX(Antoines,MATCH(N418,Antoine_Name,0),4)+(N426-32)*5/9)))*14.7/760,IF(N419="Crude Oil",EXP((2799/(N426+459.6)-2.227)*LOG10(INDEX(FX_Input,AA$5,N$3*$Z$5+$AA$5))-(7261/(N426+459.6))+12.82),IF(N419="Refined Petroleum Stock",EXP((0.7553-(413/(N426+459.6)))*(INDEX(FX_Input,AA$5,N$3*$Z$5+$AA$5-1)^0.5)*LOG10(INDEX(FX_Input,AA$5,N$3*$Z$5+$AA$5))-(1.854-(1042/(N426+459.6)))*(INDEX(FX_Input,AA$5,N$3*$Z$5+$AA$5-1)^0.5)+((2416/(N426+459.6)-2.013)*LOG10(INDEX(FX_Input,AA$5,N$3*$Z$5+$AA$5)))-(8742/(N426+459.6))+15.64),EXP(INDEX(Antoines,MATCH(N418,Antoine_Name,0),2)-INDEX(Antoines,MATCH(N418,Antoine_Name,0),3)/(N426+459.6))))),0)</f>
        <v>0</v>
      </c>
      <c r="O439" cm="1">
        <f t="array" ref="O439">IFERROR(IF(O419="Chemical",(10^(INDEX(Antoines,MATCH(O418,Antoine_Name,0),2)-INDEX(Antoines,MATCH(O418,Antoine_Name,0),3)/(INDEX(Antoines,MATCH(O418,Antoine_Name,0),4)+(O426-32)*5/9)))*14.7/760,IF(O419="Crude Oil",EXP((2799/(O426+459.6)-2.227)*LOG10(INDEX(FX_Input,AB$5,O$3*$Z$5+$AA$5))-(7261/(O426+459.6))+12.82),IF(O419="Refined Petroleum Stock",EXP((0.7553-(413/(O426+459.6)))*(INDEX(FX_Input,AB$5,O$3*$Z$5+$AA$5-1)^0.5)*LOG10(INDEX(FX_Input,AB$5,O$3*$Z$5+$AA$5))-(1.854-(1042/(O426+459.6)))*(INDEX(FX_Input,AB$5,O$3*$Z$5+$AA$5-1)^0.5)+((2416/(O426+459.6)-2.013)*LOG10(INDEX(FX_Input,AB$5,O$3*$Z$5+$AA$5)))-(8742/(O426+459.6))+15.64),EXP(INDEX(Antoines,MATCH(O418,Antoine_Name,0),2)-INDEX(Antoines,MATCH(O418,Antoine_Name,0),3)/(O426+459.6))))),0)</f>
        <v>0</v>
      </c>
    </row>
    <row r="440" spans="1:32" ht="17.149999999999999" x14ac:dyDescent="0.55000000000000004">
      <c r="B440" t="str">
        <f t="shared" si="1428"/>
        <v>Portland</v>
      </c>
      <c r="C440" t="s">
        <v>1391</v>
      </c>
      <c r="D440">
        <f>D439*D422</f>
        <v>0</v>
      </c>
      <c r="E440">
        <f t="shared" ref="E440" si="1506">E439*E422</f>
        <v>0</v>
      </c>
      <c r="F440">
        <f t="shared" ref="F440" si="1507">F439*F422</f>
        <v>0</v>
      </c>
      <c r="G440">
        <f t="shared" ref="G440" si="1508">G439*G422</f>
        <v>0</v>
      </c>
      <c r="H440">
        <f t="shared" ref="H440" si="1509">H439*H422</f>
        <v>0</v>
      </c>
      <c r="I440">
        <f t="shared" ref="I440" si="1510">I439*I422</f>
        <v>0</v>
      </c>
      <c r="J440">
        <f t="shared" ref="J440" si="1511">J439*J422</f>
        <v>0</v>
      </c>
      <c r="K440">
        <f t="shared" ref="K440" si="1512">K439*K422</f>
        <v>0</v>
      </c>
      <c r="L440">
        <f t="shared" ref="L440" si="1513">L439*L422</f>
        <v>0</v>
      </c>
      <c r="M440">
        <f t="shared" ref="M440" si="1514">M439*M422</f>
        <v>0</v>
      </c>
      <c r="N440">
        <f t="shared" ref="N440" si="1515">N439*N422</f>
        <v>0</v>
      </c>
      <c r="O440">
        <f t="shared" ref="O440" si="1516">O439*O422</f>
        <v>0</v>
      </c>
    </row>
    <row r="441" spans="1:32" ht="17.149999999999999" x14ac:dyDescent="0.55000000000000004">
      <c r="B441" t="str">
        <f t="shared" si="1428"/>
        <v>Portland</v>
      </c>
      <c r="C441" t="s">
        <v>1392</v>
      </c>
      <c r="D441">
        <f>D438+D440</f>
        <v>1</v>
      </c>
      <c r="E441">
        <f t="shared" ref="E441" si="1517">E438+E440</f>
        <v>1</v>
      </c>
      <c r="F441">
        <f t="shared" ref="F441" si="1518">F438+F440</f>
        <v>1</v>
      </c>
      <c r="G441">
        <f t="shared" ref="G441" si="1519">G438+G440</f>
        <v>1</v>
      </c>
      <c r="H441">
        <f t="shared" ref="H441" si="1520">H438+H440</f>
        <v>1</v>
      </c>
      <c r="I441">
        <f t="shared" ref="I441" si="1521">I438+I440</f>
        <v>1</v>
      </c>
      <c r="J441">
        <f t="shared" ref="J441" si="1522">J438+J440</f>
        <v>1</v>
      </c>
      <c r="K441">
        <f t="shared" ref="K441" si="1523">K438+K440</f>
        <v>1</v>
      </c>
      <c r="L441">
        <f t="shared" ref="L441" si="1524">L438+L440</f>
        <v>1</v>
      </c>
      <c r="M441">
        <f t="shared" ref="M441" si="1525">M438+M440</f>
        <v>1</v>
      </c>
      <c r="N441">
        <f t="shared" ref="N441" si="1526">N438+N440</f>
        <v>1</v>
      </c>
      <c r="O441">
        <f t="shared" ref="O441" si="1527">O438+O440</f>
        <v>1</v>
      </c>
    </row>
    <row r="442" spans="1:32" ht="17.149999999999999" x14ac:dyDescent="0.55000000000000004">
      <c r="B442" t="str">
        <f>B436</f>
        <v>Portland</v>
      </c>
      <c r="C442" t="s">
        <v>584</v>
      </c>
      <c r="D442">
        <f>D438/D441</f>
        <v>1</v>
      </c>
      <c r="E442">
        <f t="shared" ref="E442" si="1528">E438/E441</f>
        <v>1</v>
      </c>
      <c r="F442">
        <f t="shared" ref="F442" si="1529">F438/F441</f>
        <v>1</v>
      </c>
      <c r="G442">
        <f t="shared" ref="G442" si="1530">G438/G441</f>
        <v>1</v>
      </c>
      <c r="H442">
        <f t="shared" ref="H442" si="1531">H438/H441</f>
        <v>1</v>
      </c>
      <c r="I442">
        <f t="shared" ref="I442" si="1532">I438/I441</f>
        <v>1</v>
      </c>
      <c r="J442">
        <f t="shared" ref="J442" si="1533">J438/J441</f>
        <v>1</v>
      </c>
      <c r="K442">
        <f t="shared" ref="K442" si="1534">K438/K441</f>
        <v>1</v>
      </c>
      <c r="L442">
        <f t="shared" ref="L442" si="1535">L438/L441</f>
        <v>1</v>
      </c>
      <c r="M442">
        <f t="shared" ref="M442" si="1536">M438/M441</f>
        <v>1</v>
      </c>
      <c r="N442">
        <f t="shared" ref="N442" si="1537">N438/N441</f>
        <v>1</v>
      </c>
      <c r="O442">
        <f t="shared" ref="O442" si="1538">O438/O441</f>
        <v>1</v>
      </c>
    </row>
    <row r="443" spans="1:32" ht="17.149999999999999" x14ac:dyDescent="0.55000000000000004">
      <c r="B443" t="str">
        <f>B437</f>
        <v>Portland</v>
      </c>
      <c r="C443" t="s">
        <v>585</v>
      </c>
      <c r="D443" t="str">
        <f t="shared" ref="D443:O443" si="1539">INDEX(Phys_Prop,MATCH(D416,Chem_List,0),3)</f>
        <v>N/A</v>
      </c>
      <c r="E443" t="str">
        <f t="shared" si="1539"/>
        <v>N/A</v>
      </c>
      <c r="F443" t="str">
        <f t="shared" si="1539"/>
        <v>N/A</v>
      </c>
      <c r="G443" t="str">
        <f t="shared" si="1539"/>
        <v>N/A</v>
      </c>
      <c r="H443" t="str">
        <f t="shared" si="1539"/>
        <v>N/A</v>
      </c>
      <c r="I443" t="str">
        <f t="shared" si="1539"/>
        <v>N/A</v>
      </c>
      <c r="J443" t="str">
        <f t="shared" si="1539"/>
        <v>N/A</v>
      </c>
      <c r="K443" t="str">
        <f t="shared" si="1539"/>
        <v>N/A</v>
      </c>
      <c r="L443" t="str">
        <f t="shared" si="1539"/>
        <v>N/A</v>
      </c>
      <c r="M443" t="str">
        <f t="shared" si="1539"/>
        <v>N/A</v>
      </c>
      <c r="N443" t="str">
        <f t="shared" si="1539"/>
        <v>N/A</v>
      </c>
      <c r="O443" t="str">
        <f t="shared" si="1539"/>
        <v>N/A</v>
      </c>
    </row>
    <row r="444" spans="1:32" ht="17.149999999999999" x14ac:dyDescent="0.55000000000000004">
      <c r="B444" t="str">
        <f>B443</f>
        <v>Portland</v>
      </c>
      <c r="C444" t="s">
        <v>586</v>
      </c>
      <c r="D444">
        <f>D440/D441</f>
        <v>0</v>
      </c>
      <c r="E444">
        <f t="shared" ref="E444:O444" si="1540">E440/E441</f>
        <v>0</v>
      </c>
      <c r="F444">
        <f t="shared" si="1540"/>
        <v>0</v>
      </c>
      <c r="G444">
        <f t="shared" si="1540"/>
        <v>0</v>
      </c>
      <c r="H444">
        <f t="shared" si="1540"/>
        <v>0</v>
      </c>
      <c r="I444">
        <f t="shared" si="1540"/>
        <v>0</v>
      </c>
      <c r="J444">
        <f t="shared" si="1540"/>
        <v>0</v>
      </c>
      <c r="K444">
        <f t="shared" si="1540"/>
        <v>0</v>
      </c>
      <c r="L444">
        <f t="shared" si="1540"/>
        <v>0</v>
      </c>
      <c r="M444">
        <f t="shared" si="1540"/>
        <v>0</v>
      </c>
      <c r="N444">
        <f t="shared" si="1540"/>
        <v>0</v>
      </c>
      <c r="O444">
        <f t="shared" si="1540"/>
        <v>0</v>
      </c>
    </row>
    <row r="445" spans="1:32" ht="17.149999999999999" x14ac:dyDescent="0.55000000000000004">
      <c r="B445" t="str">
        <f t="shared" si="1428"/>
        <v>Portland</v>
      </c>
      <c r="C445" t="s">
        <v>587</v>
      </c>
      <c r="D445">
        <f t="shared" ref="D445:O445" si="1541">IFERROR(INDEX(Phys_Prop,MATCH(D418,Chem_List,0),3),0)</f>
        <v>0</v>
      </c>
      <c r="E445">
        <f t="shared" si="1541"/>
        <v>0</v>
      </c>
      <c r="F445">
        <f t="shared" si="1541"/>
        <v>0</v>
      </c>
      <c r="G445">
        <f t="shared" si="1541"/>
        <v>0</v>
      </c>
      <c r="H445">
        <f t="shared" si="1541"/>
        <v>0</v>
      </c>
      <c r="I445">
        <f t="shared" si="1541"/>
        <v>0</v>
      </c>
      <c r="J445">
        <f t="shared" si="1541"/>
        <v>0</v>
      </c>
      <c r="K445">
        <f t="shared" si="1541"/>
        <v>0</v>
      </c>
      <c r="L445">
        <f t="shared" si="1541"/>
        <v>0</v>
      </c>
      <c r="M445">
        <f t="shared" si="1541"/>
        <v>0</v>
      </c>
      <c r="N445">
        <f t="shared" si="1541"/>
        <v>0</v>
      </c>
      <c r="O445">
        <f t="shared" si="1541"/>
        <v>0</v>
      </c>
    </row>
    <row r="446" spans="1:32" ht="17.149999999999999" x14ac:dyDescent="0.55000000000000004">
      <c r="A446" s="11"/>
      <c r="B446" s="11" t="str">
        <f t="shared" si="1428"/>
        <v>Portland</v>
      </c>
      <c r="C446" s="11" t="s">
        <v>588</v>
      </c>
      <c r="D446" s="11">
        <f>IFERROR(D442*D443+D444*D445,0)</f>
        <v>0</v>
      </c>
      <c r="E446" s="11">
        <f t="shared" ref="E446" si="1542">IFERROR(E442*E443+E444*E445,0)</f>
        <v>0</v>
      </c>
      <c r="F446" s="11">
        <f t="shared" ref="F446" si="1543">IFERROR(F442*F443+F444*F445,0)</f>
        <v>0</v>
      </c>
      <c r="G446" s="11">
        <f t="shared" ref="G446" si="1544">IFERROR(G442*G443+G444*G445,0)</f>
        <v>0</v>
      </c>
      <c r="H446" s="11">
        <f t="shared" ref="H446" si="1545">IFERROR(H442*H443+H444*H445,0)</f>
        <v>0</v>
      </c>
      <c r="I446" s="11">
        <f t="shared" ref="I446" si="1546">IFERROR(I442*I443+I444*I445,0)</f>
        <v>0</v>
      </c>
      <c r="J446" s="11">
        <f t="shared" ref="J446" si="1547">IFERROR(J442*J443+J444*J445,0)</f>
        <v>0</v>
      </c>
      <c r="K446" s="11">
        <f t="shared" ref="K446" si="1548">IFERROR(K442*K443+K444*K445,0)</f>
        <v>0</v>
      </c>
      <c r="L446" s="11">
        <f t="shared" ref="L446" si="1549">IFERROR(L442*L443+L444*L445,0)</f>
        <v>0</v>
      </c>
      <c r="M446" s="11">
        <f t="shared" ref="M446" si="1550">IFERROR(M442*M443+M444*M445,0)</f>
        <v>0</v>
      </c>
      <c r="N446" s="11">
        <f t="shared" ref="N446" si="1551">IFERROR(N442*N443+N444*N445,0)</f>
        <v>0</v>
      </c>
      <c r="O446" s="11">
        <f t="shared" ref="O446" si="1552">IFERROR(O442*O443+O444*O445,0)</f>
        <v>0</v>
      </c>
      <c r="P446" s="11"/>
      <c r="Q446" s="11"/>
      <c r="R446" s="11"/>
      <c r="S446" s="11"/>
      <c r="T446" s="11"/>
      <c r="U446" s="11"/>
      <c r="V446" s="11"/>
      <c r="W446" s="11"/>
      <c r="X446" s="11"/>
      <c r="Y446" s="11"/>
      <c r="Z446" s="11"/>
      <c r="AA446" s="11"/>
      <c r="AB446" s="11"/>
      <c r="AC446" s="11"/>
      <c r="AD446" s="11"/>
      <c r="AE446" s="11"/>
      <c r="AF446" s="11"/>
    </row>
    <row r="447" spans="1:32" ht="17.149999999999999" x14ac:dyDescent="0.55000000000000004">
      <c r="A447" t="str" cm="1">
        <f t="array" ref="A447">INDEX(FX_Input,$Q447,R$5)</f>
        <v>FX - 14</v>
      </c>
      <c r="B447" t="str" cm="1">
        <f t="array" ref="B447">INDEX(FX_Input,Q447,S447)</f>
        <v>Portland</v>
      </c>
      <c r="C447" t="s">
        <v>563</v>
      </c>
      <c r="D447">
        <v>14.7</v>
      </c>
      <c r="E447">
        <v>14.7</v>
      </c>
      <c r="F447">
        <v>14.7</v>
      </c>
      <c r="G447">
        <v>14.7</v>
      </c>
      <c r="H447">
        <v>14.7</v>
      </c>
      <c r="I447">
        <v>14.7</v>
      </c>
      <c r="J447">
        <v>14.7</v>
      </c>
      <c r="K447">
        <v>14.7</v>
      </c>
      <c r="L447">
        <v>14.7</v>
      </c>
      <c r="M447">
        <v>14.7</v>
      </c>
      <c r="N447">
        <v>14.7</v>
      </c>
      <c r="O447">
        <v>14.7</v>
      </c>
      <c r="Q447">
        <f>Q413+2</f>
        <v>27</v>
      </c>
      <c r="R447">
        <v>1</v>
      </c>
      <c r="S447">
        <v>3</v>
      </c>
      <c r="T447">
        <v>1</v>
      </c>
      <c r="U447">
        <v>19</v>
      </c>
      <c r="V447">
        <v>20</v>
      </c>
      <c r="W447">
        <v>25</v>
      </c>
      <c r="X447">
        <v>1</v>
      </c>
      <c r="Y447">
        <v>2</v>
      </c>
      <c r="Z447">
        <f>(W447-V447)/(Y447-X447)</f>
        <v>5</v>
      </c>
      <c r="AA447">
        <f>V447-Z447*X447</f>
        <v>15</v>
      </c>
      <c r="AD447">
        <f>AD413+14</f>
        <v>183</v>
      </c>
      <c r="AF447">
        <f>AF413+14</f>
        <v>183</v>
      </c>
    </row>
    <row r="448" spans="1:32" ht="17.149999999999999" x14ac:dyDescent="0.55000000000000004">
      <c r="B448" t="str">
        <f t="shared" ref="B448" si="1553">B447</f>
        <v>Portland</v>
      </c>
      <c r="C448" t="s">
        <v>564</v>
      </c>
      <c r="D448" cm="1">
        <f t="array" ref="D448">IF(ISBLANK(INDEX(FX_Input,$Q447,$AB448)),0.03,INDEX(FX_Input,Q447,AB448))</f>
        <v>0.03</v>
      </c>
      <c r="E448" cm="1">
        <f t="array" ref="E448">IF(ISBLANK(INDEX(FX_Input,$Q447,$AB448)),0.03,INDEX(FX_Input,R447,#REF!))</f>
        <v>0.03</v>
      </c>
      <c r="F448" cm="1">
        <f t="array" ref="F448">IF(ISBLANK(INDEX(FX_Input,$Q447,$AB448)),0.03,INDEX(FX_Input,S447,#REF!))</f>
        <v>0.03</v>
      </c>
      <c r="G448" cm="1">
        <f t="array" ref="G448">IF(ISBLANK(INDEX(FX_Input,$Q447,$AB448)),0.03,INDEX(FX_Input,AB447,#REF!))</f>
        <v>0.03</v>
      </c>
      <c r="H448" cm="1">
        <f t="array" ref="H448">IF(ISBLANK(INDEX(FX_Input,$Q447,$AB448)),0.03,INDEX(FX_Input,#REF!,#REF!))</f>
        <v>0.03</v>
      </c>
      <c r="I448" cm="1">
        <f t="array" ref="I448">IF(ISBLANK(INDEX(FX_Input,$Q447,$AB448)),0.03,INDEX(FX_Input,#REF!,#REF!))</f>
        <v>0.03</v>
      </c>
      <c r="J448" cm="1">
        <f t="array" ref="J448">IF(ISBLANK(INDEX(FX_Input,$Q447,$AB448)),0.03,INDEX(FX_Input,#REF!,#REF!))</f>
        <v>0.03</v>
      </c>
      <c r="K448" cm="1">
        <f t="array" ref="K448">IF(ISBLANK(INDEX(FX_Input,$Q447,$AB448)),0.03,INDEX(FX_Input,#REF!,AC448))</f>
        <v>0.03</v>
      </c>
      <c r="L448" cm="1">
        <f t="array" ref="L448">IF(ISBLANK(INDEX(FX_Input,$Q447,$AB448)),0.03,INDEX(FX_Input,#REF!,AD448))</f>
        <v>0.03</v>
      </c>
      <c r="M448" cm="1">
        <f t="array" ref="M448">IF(ISBLANK(INDEX(FX_Input,$Q447,$AB448)),0.03,INDEX(FX_Input,#REF!,#REF!))</f>
        <v>0.03</v>
      </c>
      <c r="N448" cm="1">
        <f t="array" ref="N448">IF(ISBLANK(INDEX(FX_Input,$Q447,$AB448)),0.03,INDEX(FX_Input,AC447,#REF!))</f>
        <v>0.03</v>
      </c>
      <c r="O448" cm="1">
        <f t="array" ref="O448">IF(ISBLANK(INDEX(FX_Input,$Q447,$AB448)),0.03,INDEX(FX_Input,AD447,#REF!))</f>
        <v>0.03</v>
      </c>
      <c r="AB448">
        <v>15</v>
      </c>
    </row>
    <row r="449" spans="2:32" ht="17.149999999999999" x14ac:dyDescent="0.55000000000000004">
      <c r="B449" t="str">
        <f>B448</f>
        <v>Portland</v>
      </c>
      <c r="C449" t="s">
        <v>565</v>
      </c>
      <c r="D449" cm="1">
        <f t="array" ref="D449">IF(ISBLANK(INDEX(FX_Input,$Q447,$AB449)),-0.03,INDEX(FX_Input,Q447,AB449))</f>
        <v>-0.03</v>
      </c>
      <c r="E449" cm="1">
        <f t="array" ref="E449">IF(ISBLANK(INDEX(FX_Input,$Q447,$AB449)),-0.03,INDEX(FX_Input,R447,#REF!))</f>
        <v>-0.03</v>
      </c>
      <c r="F449" cm="1">
        <f t="array" ref="F449">IF(ISBLANK(INDEX(FX_Input,$Q447,$AB449)),-0.03,INDEX(FX_Input,S447,#REF!))</f>
        <v>-0.03</v>
      </c>
      <c r="G449" cm="1">
        <f t="array" ref="G449">IF(ISBLANK(INDEX(FX_Input,$Q447,$AB449)),-0.03,INDEX(FX_Input,AB447,#REF!))</f>
        <v>-0.03</v>
      </c>
      <c r="H449" cm="1">
        <f t="array" ref="H449">IF(ISBLANK(INDEX(FX_Input,$Q447,$AB449)),-0.03,INDEX(FX_Input,#REF!,#REF!))</f>
        <v>-0.03</v>
      </c>
      <c r="I449" cm="1">
        <f t="array" ref="I449">IF(ISBLANK(INDEX(FX_Input,$Q447,$AB449)),-0.03,INDEX(FX_Input,#REF!,#REF!))</f>
        <v>-0.03</v>
      </c>
      <c r="J449" cm="1">
        <f t="array" ref="J449">IF(ISBLANK(INDEX(FX_Input,$Q447,$AB449)),-0.03,INDEX(FX_Input,#REF!,#REF!))</f>
        <v>-0.03</v>
      </c>
      <c r="K449" cm="1">
        <f t="array" ref="K449">IF(ISBLANK(INDEX(FX_Input,$Q447,$AB449)),-0.03,INDEX(FX_Input,#REF!,AC449))</f>
        <v>-0.03</v>
      </c>
      <c r="L449" cm="1">
        <f t="array" ref="L449">IF(ISBLANK(INDEX(FX_Input,$Q447,$AB449)),-0.03,INDEX(FX_Input,#REF!,AD449))</f>
        <v>-0.03</v>
      </c>
      <c r="M449" cm="1">
        <f t="array" ref="M449">IF(ISBLANK(INDEX(FX_Input,$Q447,$AB449)),-0.03,INDEX(FX_Input,#REF!,#REF!))</f>
        <v>-0.03</v>
      </c>
      <c r="N449" cm="1">
        <f t="array" ref="N449">IF(ISBLANK(INDEX(FX_Input,$Q447,$AB449)),-0.03,INDEX(FX_Input,AC447,#REF!))</f>
        <v>-0.03</v>
      </c>
      <c r="O449" cm="1">
        <f t="array" ref="O449">IF(ISBLANK(INDEX(FX_Input,$Q447,$AB449)),-0.03,INDEX(FX_Input,AD447,#REF!))</f>
        <v>-0.03</v>
      </c>
      <c r="AB449">
        <v>16</v>
      </c>
    </row>
    <row r="450" spans="2:32" x14ac:dyDescent="0.4">
      <c r="B450" t="str">
        <f t="shared" ref="B450:B451" si="1554">B449</f>
        <v>Portland</v>
      </c>
      <c r="C450" s="66" t="s">
        <v>567</v>
      </c>
      <c r="D450" t="str" cm="1">
        <f t="array" ref="D450">INDEX(FX_Multi,$AD450,D$3)</f>
        <v>Jet kerosene</v>
      </c>
      <c r="E450" t="str" cm="1">
        <f t="array" ref="E450">INDEX(FX_Multi,$AD450,E$3)</f>
        <v>Jet kerosene</v>
      </c>
      <c r="F450" t="str" cm="1">
        <f t="array" ref="F450">INDEX(FX_Multi,$AD450,F$3)</f>
        <v>Jet kerosene</v>
      </c>
      <c r="G450" t="str" cm="1">
        <f t="array" ref="G450">INDEX(FX_Multi,$AD450,G$3)</f>
        <v>Jet kerosene</v>
      </c>
      <c r="H450" t="str" cm="1">
        <f t="array" ref="H450">INDEX(FX_Multi,$AD450,H$3)</f>
        <v>Jet kerosene</v>
      </c>
      <c r="I450" t="str" cm="1">
        <f t="array" ref="I450">INDEX(FX_Multi,$AD450,I$3)</f>
        <v>Jet kerosene</v>
      </c>
      <c r="J450" t="str" cm="1">
        <f t="array" ref="J450">INDEX(FX_Multi,$AD450,J$3)</f>
        <v>Jet kerosene</v>
      </c>
      <c r="K450" t="str" cm="1">
        <f t="array" ref="K450">INDEX(FX_Multi,$AD450,K$3)</f>
        <v>Jet kerosene</v>
      </c>
      <c r="L450" t="str" cm="1">
        <f t="array" ref="L450">INDEX(FX_Multi,$AD450,L$3)</f>
        <v>Jet kerosene</v>
      </c>
      <c r="M450" t="str" cm="1">
        <f t="array" ref="M450">INDEX(FX_Multi,$AD450,M$3)</f>
        <v>Jet kerosene</v>
      </c>
      <c r="N450" t="str" cm="1">
        <f t="array" ref="N450">INDEX(FX_Multi,$AD450,N$3)</f>
        <v>Jet kerosene</v>
      </c>
      <c r="O450" t="str" cm="1">
        <f t="array" ref="O450">INDEX(FX_Multi,$AD450,O$3)</f>
        <v>Jet kerosene</v>
      </c>
      <c r="AC450">
        <v>1</v>
      </c>
      <c r="AD450">
        <f>AD447</f>
        <v>183</v>
      </c>
      <c r="AE450">
        <v>1</v>
      </c>
      <c r="AF450">
        <f>AF447</f>
        <v>183</v>
      </c>
    </row>
    <row r="451" spans="2:32" x14ac:dyDescent="0.4">
      <c r="B451" t="str">
        <f t="shared" si="1554"/>
        <v>Portland</v>
      </c>
      <c r="C451" s="66" t="s">
        <v>566</v>
      </c>
      <c r="D451" t="str" cm="1">
        <f t="array" ref="D451">INDEX(FX_Multi,$AD451,D$3)</f>
        <v>Select Pet Stock</v>
      </c>
      <c r="E451" t="str" cm="1">
        <f t="array" ref="E451">INDEX(FX_Multi,$AD451,E$3)</f>
        <v>Select Pet Stock</v>
      </c>
      <c r="F451" t="str" cm="1">
        <f t="array" ref="F451">INDEX(FX_Multi,$AD451,F$3)</f>
        <v>Select Pet Stock</v>
      </c>
      <c r="G451" t="str" cm="1">
        <f t="array" ref="G451">INDEX(FX_Multi,$AD451,G$3)</f>
        <v>Select Pet Stock</v>
      </c>
      <c r="H451" t="str" cm="1">
        <f t="array" ref="H451">INDEX(FX_Multi,$AD451,H$3)</f>
        <v>Select Pet Stock</v>
      </c>
      <c r="I451" t="str" cm="1">
        <f t="array" ref="I451">INDEX(FX_Multi,$AD451,I$3)</f>
        <v>Select Pet Stock</v>
      </c>
      <c r="J451" t="str" cm="1">
        <f t="array" ref="J451">INDEX(FX_Multi,$AD451,J$3)</f>
        <v>Select Pet Stock</v>
      </c>
      <c r="K451" t="str" cm="1">
        <f t="array" ref="K451">INDEX(FX_Multi,$AD451,K$3)</f>
        <v>Select Pet Stock</v>
      </c>
      <c r="L451" t="str" cm="1">
        <f t="array" ref="L451">INDEX(FX_Multi,$AD451,L$3)</f>
        <v>Select Pet Stock</v>
      </c>
      <c r="M451" t="str" cm="1">
        <f t="array" ref="M451">INDEX(FX_Multi,$AD451,M$3)</f>
        <v>Select Pet Stock</v>
      </c>
      <c r="N451" t="str" cm="1">
        <f t="array" ref="N451">INDEX(FX_Multi,$AD451,N$3)</f>
        <v>Select Pet Stock</v>
      </c>
      <c r="O451" t="str" cm="1">
        <f t="array" ref="O451">INDEX(FX_Multi,$AD451,O$3)</f>
        <v>Select Pet Stock</v>
      </c>
      <c r="AC451">
        <v>1</v>
      </c>
      <c r="AD451">
        <f>AD450+2</f>
        <v>185</v>
      </c>
      <c r="AE451">
        <v>1</v>
      </c>
      <c r="AF451">
        <f>AF450+3</f>
        <v>186</v>
      </c>
    </row>
    <row r="452" spans="2:32" x14ac:dyDescent="0.4">
      <c r="B452" t="str">
        <f>B448</f>
        <v>Portland</v>
      </c>
      <c r="C452" s="66" t="s">
        <v>568</v>
      </c>
      <c r="D452" cm="1">
        <f t="array" ref="D452">INDEX(FX_Multi,$AD452,D$3)</f>
        <v>0</v>
      </c>
      <c r="E452" cm="1">
        <f t="array" ref="E452">INDEX(FX_Multi,$AD452,E$3)</f>
        <v>0</v>
      </c>
      <c r="F452" cm="1">
        <f t="array" ref="F452">INDEX(FX_Multi,$AD452,F$3)</f>
        <v>0</v>
      </c>
      <c r="G452" cm="1">
        <f t="array" ref="G452">INDEX(FX_Multi,$AD452,G$3)</f>
        <v>0</v>
      </c>
      <c r="H452" cm="1">
        <f t="array" ref="H452">INDEX(FX_Multi,$AD452,H$3)</f>
        <v>0</v>
      </c>
      <c r="I452" cm="1">
        <f t="array" ref="I452">INDEX(FX_Multi,$AD452,I$3)</f>
        <v>0</v>
      </c>
      <c r="J452" cm="1">
        <f t="array" ref="J452">INDEX(FX_Multi,$AD452,J$3)</f>
        <v>0</v>
      </c>
      <c r="K452" cm="1">
        <f t="array" ref="K452">INDEX(FX_Multi,$AD452,K$3)</f>
        <v>0</v>
      </c>
      <c r="L452" cm="1">
        <f t="array" ref="L452">INDEX(FX_Multi,$AD452,L$3)</f>
        <v>0</v>
      </c>
      <c r="M452" cm="1">
        <f t="array" ref="M452">INDEX(FX_Multi,$AD452,M$3)</f>
        <v>0</v>
      </c>
      <c r="N452" cm="1">
        <f t="array" ref="N452">INDEX(FX_Multi,$AD452,N$3)</f>
        <v>0</v>
      </c>
      <c r="O452" cm="1">
        <f t="array" ref="O452">INDEX(FX_Multi,$AD452,O$3)</f>
        <v>0</v>
      </c>
      <c r="AC452">
        <v>1</v>
      </c>
      <c r="AD452">
        <f>AD451-1</f>
        <v>184</v>
      </c>
      <c r="AE452">
        <v>1</v>
      </c>
      <c r="AF452">
        <f>AF450+1</f>
        <v>184</v>
      </c>
    </row>
    <row r="453" spans="2:32" x14ac:dyDescent="0.4">
      <c r="B453" t="str">
        <f t="shared" ref="B453:B457" si="1555">B452</f>
        <v>Portland</v>
      </c>
      <c r="C453" s="66" t="s">
        <v>569</v>
      </c>
      <c r="D453" cm="1">
        <f t="array" ref="D453">INDEX(FX_Multi,$AD453,D$3)</f>
        <v>0</v>
      </c>
      <c r="E453" cm="1">
        <f t="array" ref="E453">INDEX(FX_Multi,$AD453,E$3)</f>
        <v>0</v>
      </c>
      <c r="F453" cm="1">
        <f t="array" ref="F453">INDEX(FX_Multi,$AD453,F$3)</f>
        <v>0</v>
      </c>
      <c r="G453" cm="1">
        <f t="array" ref="G453">INDEX(FX_Multi,$AD453,G$3)</f>
        <v>0</v>
      </c>
      <c r="H453" cm="1">
        <f t="array" ref="H453">INDEX(FX_Multi,$AD453,H$3)</f>
        <v>0</v>
      </c>
      <c r="I453" cm="1">
        <f t="array" ref="I453">INDEX(FX_Multi,$AD453,I$3)</f>
        <v>0</v>
      </c>
      <c r="J453" cm="1">
        <f t="array" ref="J453">INDEX(FX_Multi,$AD453,J$3)</f>
        <v>0</v>
      </c>
      <c r="K453" cm="1">
        <f t="array" ref="K453">INDEX(FX_Multi,$AD453,K$3)</f>
        <v>0</v>
      </c>
      <c r="L453" cm="1">
        <f t="array" ref="L453">INDEX(FX_Multi,$AD453,L$3)</f>
        <v>0</v>
      </c>
      <c r="M453" cm="1">
        <f t="array" ref="M453">INDEX(FX_Multi,$AD453,M$3)</f>
        <v>0</v>
      </c>
      <c r="N453" cm="1">
        <f t="array" ref="N453">INDEX(FX_Multi,$AD453,N$3)</f>
        <v>0</v>
      </c>
      <c r="O453" cm="1">
        <f t="array" ref="O453">INDEX(FX_Multi,$AD453,O$3)</f>
        <v>0</v>
      </c>
      <c r="AC453">
        <v>1</v>
      </c>
      <c r="AD453">
        <f>AD452+2</f>
        <v>186</v>
      </c>
      <c r="AE453">
        <v>1</v>
      </c>
      <c r="AF453">
        <f>AF451</f>
        <v>186</v>
      </c>
    </row>
    <row r="454" spans="2:32" ht="17.149999999999999" x14ac:dyDescent="0.55000000000000004">
      <c r="B454" t="str">
        <f t="shared" si="1555"/>
        <v>Portland</v>
      </c>
      <c r="C454" t="s">
        <v>570</v>
      </c>
      <c r="D454" cm="1">
        <f t="array" ref="D454">INDEX(FX_Multi,$AD454,D$3)</f>
        <v>1</v>
      </c>
      <c r="E454" cm="1">
        <f t="array" ref="E454">INDEX(FX_Multi,$AD454,E$3)</f>
        <v>1</v>
      </c>
      <c r="F454" cm="1">
        <f t="array" ref="F454">INDEX(FX_Multi,$AD454,F$3)</f>
        <v>1</v>
      </c>
      <c r="G454" cm="1">
        <f t="array" ref="G454">INDEX(FX_Multi,$AD454,G$3)</f>
        <v>1</v>
      </c>
      <c r="H454" cm="1">
        <f t="array" ref="H454">INDEX(FX_Multi,$AD454,H$3)</f>
        <v>1</v>
      </c>
      <c r="I454" cm="1">
        <f t="array" ref="I454">INDEX(FX_Multi,$AD454,I$3)</f>
        <v>1</v>
      </c>
      <c r="J454" cm="1">
        <f t="array" ref="J454">INDEX(FX_Multi,$AD454,J$3)</f>
        <v>1</v>
      </c>
      <c r="K454" cm="1">
        <f t="array" ref="K454">INDEX(FX_Multi,$AD454,K$3)</f>
        <v>1</v>
      </c>
      <c r="L454" cm="1">
        <f t="array" ref="L454">INDEX(FX_Multi,$AD454,L$3)</f>
        <v>1</v>
      </c>
      <c r="M454" cm="1">
        <f t="array" ref="M454">INDEX(FX_Multi,$AD454,M$3)</f>
        <v>1</v>
      </c>
      <c r="N454" cm="1">
        <f t="array" ref="N454">INDEX(FX_Multi,$AD454,N$3)</f>
        <v>1</v>
      </c>
      <c r="O454" cm="1">
        <f t="array" ref="O454">INDEX(FX_Multi,$AD454,O$3)</f>
        <v>1</v>
      </c>
      <c r="AC454">
        <v>1</v>
      </c>
      <c r="AD454">
        <f>AD453+6</f>
        <v>192</v>
      </c>
      <c r="AE454">
        <v>1</v>
      </c>
      <c r="AF454">
        <f>AF450+9</f>
        <v>192</v>
      </c>
    </row>
    <row r="455" spans="2:32" ht="17.149999999999999" x14ac:dyDescent="0.55000000000000004">
      <c r="B455" t="str">
        <f t="shared" si="1555"/>
        <v>Portland</v>
      </c>
      <c r="C455" t="s">
        <v>571</v>
      </c>
      <c r="D455" cm="1">
        <f t="array" ref="D455">INDEX(FX_Multi,$AD455,D$3)</f>
        <v>162</v>
      </c>
      <c r="E455" cm="1">
        <f t="array" ref="E455">INDEX(FX_Multi,$AD455,E$3)</f>
        <v>162</v>
      </c>
      <c r="F455" cm="1">
        <f t="array" ref="F455">INDEX(FX_Multi,$AD455,F$3)</f>
        <v>162</v>
      </c>
      <c r="G455" cm="1">
        <f t="array" ref="G455">INDEX(FX_Multi,$AD455,G$3)</f>
        <v>162</v>
      </c>
      <c r="H455" cm="1">
        <f t="array" ref="H455">INDEX(FX_Multi,$AD455,H$3)</f>
        <v>162</v>
      </c>
      <c r="I455" cm="1">
        <f t="array" ref="I455">INDEX(FX_Multi,$AD455,I$3)</f>
        <v>162</v>
      </c>
      <c r="J455" cm="1">
        <f t="array" ref="J455">INDEX(FX_Multi,$AD455,J$3)</f>
        <v>162</v>
      </c>
      <c r="K455" cm="1">
        <f t="array" ref="K455">INDEX(FX_Multi,$AD455,K$3)</f>
        <v>162</v>
      </c>
      <c r="L455" cm="1">
        <f t="array" ref="L455">INDEX(FX_Multi,$AD455,L$3)</f>
        <v>162</v>
      </c>
      <c r="M455" cm="1">
        <f t="array" ref="M455">INDEX(FX_Multi,$AD455,M$3)</f>
        <v>162</v>
      </c>
      <c r="N455" cm="1">
        <f t="array" ref="N455">INDEX(FX_Multi,$AD455,N$3)</f>
        <v>162</v>
      </c>
      <c r="O455" cm="1">
        <f t="array" ref="O455">INDEX(FX_Multi,$AD455,O$3)</f>
        <v>162</v>
      </c>
      <c r="AC455">
        <v>1</v>
      </c>
      <c r="AD455">
        <f>AD454-3</f>
        <v>189</v>
      </c>
      <c r="AE455">
        <v>1</v>
      </c>
      <c r="AF455">
        <f>AF450+6</f>
        <v>189</v>
      </c>
    </row>
    <row r="456" spans="2:32" ht="17.149999999999999" x14ac:dyDescent="0.55000000000000004">
      <c r="B456" t="str">
        <f t="shared" si="1555"/>
        <v>Portland</v>
      </c>
      <c r="C456" t="s">
        <v>572</v>
      </c>
      <c r="D456" cm="1">
        <f t="array" ref="D456">INDEX(FX_Multi,$AD456,D$3)</f>
        <v>0</v>
      </c>
      <c r="E456" cm="1">
        <f t="array" ref="E456">INDEX(FX_Multi,$AD456,E$3)</f>
        <v>0</v>
      </c>
      <c r="F456" cm="1">
        <f t="array" ref="F456">INDEX(FX_Multi,$AD456,F$3)</f>
        <v>0</v>
      </c>
      <c r="G456" cm="1">
        <f t="array" ref="G456">INDEX(FX_Multi,$AD456,G$3)</f>
        <v>0</v>
      </c>
      <c r="H456" cm="1">
        <f t="array" ref="H456">INDEX(FX_Multi,$AD456,H$3)</f>
        <v>0</v>
      </c>
      <c r="I456" cm="1">
        <f t="array" ref="I456">INDEX(FX_Multi,$AD456,I$3)</f>
        <v>0</v>
      </c>
      <c r="J456" cm="1">
        <f t="array" ref="J456">INDEX(FX_Multi,$AD456,J$3)</f>
        <v>0</v>
      </c>
      <c r="K456" cm="1">
        <f t="array" ref="K456">INDEX(FX_Multi,$AD456,K$3)</f>
        <v>0</v>
      </c>
      <c r="L456" cm="1">
        <f t="array" ref="L456">INDEX(FX_Multi,$AD456,L$3)</f>
        <v>0</v>
      </c>
      <c r="M456" cm="1">
        <f t="array" ref="M456">INDEX(FX_Multi,$AD456,M$3)</f>
        <v>0</v>
      </c>
      <c r="N456" cm="1">
        <f t="array" ref="N456">INDEX(FX_Multi,$AD456,N$3)</f>
        <v>0</v>
      </c>
      <c r="O456" cm="1">
        <f t="array" ref="O456">INDEX(FX_Multi,$AD456,O$3)</f>
        <v>0</v>
      </c>
      <c r="AC456">
        <v>1</v>
      </c>
      <c r="AD456">
        <f>AD455+4</f>
        <v>193</v>
      </c>
      <c r="AE456">
        <v>1</v>
      </c>
      <c r="AF456">
        <f>AF450+10</f>
        <v>193</v>
      </c>
    </row>
    <row r="457" spans="2:32" ht="17.149999999999999" x14ac:dyDescent="0.55000000000000004">
      <c r="B457" t="str">
        <f t="shared" si="1555"/>
        <v>Portland</v>
      </c>
      <c r="C457" t="s">
        <v>573</v>
      </c>
      <c r="D457" cm="1">
        <f t="array" ref="D457">INDEX(FX_Multi,$AD457,D$3)</f>
        <v>0</v>
      </c>
      <c r="E457" cm="1">
        <f t="array" ref="E457">INDEX(FX_Multi,$AD457,E$3)</f>
        <v>0</v>
      </c>
      <c r="F457" cm="1">
        <f t="array" ref="F457">INDEX(FX_Multi,$AD457,F$3)</f>
        <v>0</v>
      </c>
      <c r="G457" cm="1">
        <f t="array" ref="G457">INDEX(FX_Multi,$AD457,G$3)</f>
        <v>0</v>
      </c>
      <c r="H457" cm="1">
        <f t="array" ref="H457">INDEX(FX_Multi,$AD457,H$3)</f>
        <v>0</v>
      </c>
      <c r="I457" cm="1">
        <f t="array" ref="I457">INDEX(FX_Multi,$AD457,I$3)</f>
        <v>0</v>
      </c>
      <c r="J457" cm="1">
        <f t="array" ref="J457">INDEX(FX_Multi,$AD457,J$3)</f>
        <v>0</v>
      </c>
      <c r="K457" cm="1">
        <f t="array" ref="K457">INDEX(FX_Multi,$AD457,K$3)</f>
        <v>0</v>
      </c>
      <c r="L457" cm="1">
        <f t="array" ref="L457">INDEX(FX_Multi,$AD457,L$3)</f>
        <v>0</v>
      </c>
      <c r="M457" cm="1">
        <f t="array" ref="M457">INDEX(FX_Multi,$AD457,M$3)</f>
        <v>0</v>
      </c>
      <c r="N457" cm="1">
        <f t="array" ref="N457">INDEX(FX_Multi,$AD457,N$3)</f>
        <v>0</v>
      </c>
      <c r="O457" cm="1">
        <f t="array" ref="O457">INDEX(FX_Multi,$AD457,O$3)</f>
        <v>0</v>
      </c>
      <c r="AC457">
        <v>1</v>
      </c>
      <c r="AD457">
        <f>AD456-3</f>
        <v>190</v>
      </c>
      <c r="AE457">
        <v>1</v>
      </c>
      <c r="AF457">
        <f>AF450+7</f>
        <v>190</v>
      </c>
    </row>
    <row r="458" spans="2:32" ht="17.149999999999999" x14ac:dyDescent="0.55000000000000004">
      <c r="B458" t="str">
        <f>B453</f>
        <v>Portland</v>
      </c>
      <c r="C458" t="s">
        <v>526</v>
      </c>
      <c r="D458" cm="1">
        <f t="array" ref="D458">INDEX(FX_Temps,$AF458,D$3)</f>
        <v>43.172792000000015</v>
      </c>
      <c r="E458" cm="1">
        <f t="array" ref="E458">INDEX(FX_Temps,$AF458,E$3)</f>
        <v>44.426400000000058</v>
      </c>
      <c r="F458" cm="1">
        <f t="array" ref="F458">INDEX(FX_Temps,$AF458,F$3)</f>
        <v>46.918887999999981</v>
      </c>
      <c r="G458" cm="1">
        <f t="array" ref="G458">INDEX(FX_Temps,$AF458,G$3)</f>
        <v>50.857888000000003</v>
      </c>
      <c r="H458" cm="1">
        <f t="array" ref="H458">INDEX(FX_Temps,$AF458,H$3)</f>
        <v>56.551928000000089</v>
      </c>
      <c r="I458" cm="1">
        <f t="array" ref="I458">INDEX(FX_Temps,$AF458,I$3)</f>
        <v>60.866887999999904</v>
      </c>
      <c r="J458" cm="1">
        <f t="array" ref="J458">INDEX(FX_Temps,$AF458,J$3)</f>
        <v>64.646351999999979</v>
      </c>
      <c r="K458" cm="1">
        <f t="array" ref="K458">INDEX(FX_Temps,$AF458,K$3)</f>
        <v>64.06444799999997</v>
      </c>
      <c r="L458" cm="1">
        <f t="array" ref="L458">INDEX(FX_Temps,$AF458,L$3)</f>
        <v>60.037023999999974</v>
      </c>
      <c r="M458" cm="1">
        <f t="array" ref="M458">INDEX(FX_Temps,$AF458,M$3)</f>
        <v>52.581232</v>
      </c>
      <c r="N458" cm="1">
        <f t="array" ref="N458">INDEX(FX_Temps,$AF458,N$3)</f>
        <v>46.202103999999963</v>
      </c>
      <c r="O458" cm="1">
        <f t="array" ref="O458">INDEX(FX_Temps,$AF458,O$3)</f>
        <v>42.791088000000059</v>
      </c>
      <c r="AE458">
        <v>1</v>
      </c>
      <c r="AF458">
        <f>AF450+10</f>
        <v>193</v>
      </c>
    </row>
    <row r="459" spans="2:32" ht="17.149999999999999" x14ac:dyDescent="0.55000000000000004">
      <c r="B459" t="str">
        <f t="shared" ref="B459:B480" si="1556">B458</f>
        <v>Portland</v>
      </c>
      <c r="C459" t="s">
        <v>527</v>
      </c>
      <c r="D459" cm="1">
        <f t="array" ref="D459">INDEX(FX_Temps,$AF459,D$3)</f>
        <v>47.332791999999984</v>
      </c>
      <c r="E459" cm="1">
        <f t="array" ref="E459">INDEX(FX_Temps,$AF459,E$3)</f>
        <v>49.706400000000031</v>
      </c>
      <c r="F459" cm="1">
        <f t="array" ref="F459">INDEX(FX_Temps,$AF459,F$3)</f>
        <v>52.198888000000068</v>
      </c>
      <c r="G459" cm="1">
        <f t="array" ref="G459">INDEX(FX_Temps,$AF459,G$3)</f>
        <v>56.217888000000016</v>
      </c>
      <c r="H459" cm="1">
        <f t="array" ref="H459">INDEX(FX_Temps,$AF459,H$3)</f>
        <v>61.871928000000025</v>
      </c>
      <c r="I459" cm="1">
        <f t="array" ref="I459">INDEX(FX_Temps,$AF459,I$3)</f>
        <v>65.866888000000017</v>
      </c>
      <c r="J459" cm="1">
        <f t="array" ref="J459">INDEX(FX_Temps,$AF459,J$3)</f>
        <v>69.726351999999906</v>
      </c>
      <c r="K459" cm="1">
        <f t="array" ref="K459">INDEX(FX_Temps,$AF459,K$3)</f>
        <v>69.504448000000025</v>
      </c>
      <c r="L459" cm="1">
        <f t="array" ref="L459">INDEX(FX_Temps,$AF459,L$3)</f>
        <v>66.597024000000033</v>
      </c>
      <c r="M459" cm="1">
        <f t="array" ref="M459">INDEX(FX_Temps,$AF459,M$3)</f>
        <v>58.461231999999995</v>
      </c>
      <c r="N459" cm="1">
        <f t="array" ref="N459">INDEX(FX_Temps,$AF459,N$3)</f>
        <v>51.082104000000015</v>
      </c>
      <c r="O459" cm="1">
        <f t="array" ref="O459">INDEX(FX_Temps,$AF459,O$3)</f>
        <v>46.791088000000059</v>
      </c>
      <c r="AE459">
        <f>AE458</f>
        <v>1</v>
      </c>
      <c r="AF459">
        <f>AF450+11</f>
        <v>194</v>
      </c>
    </row>
    <row r="460" spans="2:32" ht="17.149999999999999" x14ac:dyDescent="0.55000000000000004">
      <c r="B460" t="str">
        <f t="shared" si="1556"/>
        <v>Portland</v>
      </c>
      <c r="C460" t="s">
        <v>552</v>
      </c>
      <c r="D460" cm="1">
        <f t="array" ref="D460">INDEX(FX_Temps,$AF460,D$3)</f>
        <v>45.869505999999944</v>
      </c>
      <c r="E460" cm="1">
        <f t="array" ref="E460">INDEX(FX_Temps,$AF460,E$3)</f>
        <v>48.145200000000045</v>
      </c>
      <c r="F460" cm="1">
        <f t="array" ref="F460">INDEX(FX_Temps,$AF460,F$3)</f>
        <v>51.135734000000014</v>
      </c>
      <c r="G460" cm="1">
        <f t="array" ref="G460">INDEX(FX_Temps,$AF460,G$3)</f>
        <v>55.788983999999914</v>
      </c>
      <c r="H460" cm="1">
        <f t="array" ref="H460">INDEX(FX_Temps,$AF460,H$3)</f>
        <v>61.975454000000013</v>
      </c>
      <c r="I460" cm="1">
        <f t="array" ref="I460">INDEX(FX_Temps,$AF460,I$3)</f>
        <v>66.292234000000008</v>
      </c>
      <c r="J460" cm="1">
        <f t="array" ref="J460">INDEX(FX_Temps,$AF460,J$3)</f>
        <v>70.257335999999896</v>
      </c>
      <c r="K460" cm="1">
        <f t="array" ref="K460">INDEX(FX_Temps,$AF460,K$3)</f>
        <v>69.467063999999937</v>
      </c>
      <c r="L460" cm="1">
        <f t="array" ref="L460">INDEX(FX_Temps,$AF460,L$3)</f>
        <v>65.467431999999917</v>
      </c>
      <c r="M460" cm="1">
        <f t="array" ref="M460">INDEX(FX_Temps,$AF460,M$3)</f>
        <v>56.830175999999938</v>
      </c>
      <c r="N460" cm="1">
        <f t="array" ref="N460">INDEX(FX_Temps,$AF460,N$3)</f>
        <v>49.345121999999947</v>
      </c>
      <c r="O460" cm="1">
        <f t="array" ref="O460">INDEX(FX_Temps,$AF460,O$3)</f>
        <v>45.334084000000018</v>
      </c>
      <c r="AE460">
        <f>AE459</f>
        <v>1</v>
      </c>
      <c r="AF460">
        <f>AF450+13</f>
        <v>196</v>
      </c>
    </row>
    <row r="461" spans="2:32" ht="17.149999999999999" x14ac:dyDescent="0.55000000000000004">
      <c r="B461" t="str">
        <f t="shared" si="1556"/>
        <v>Portland</v>
      </c>
      <c r="C461" t="s">
        <v>574</v>
      </c>
      <c r="D461" cm="1">
        <f t="array" ref="D461">IFERROR(IF(D451="Chemical",(10^(INDEX(Antoines,MATCH(D450,Antoine_Name,0),2)-INDEX(Antoines,MATCH(D450,Antoine_Name,0),3)/(INDEX(Antoines,MATCH(D450,Antoine_Name,0),4)+(D458-32)*5/9)))*14.7/760,IF(D451="Crude Oil",EXP((2799/(D458+459.6)-2.227)*LOG10(INDEX(FX_Input,Q$5,D$3*$Z$5+$AA$5))-(7261/(D458+459.6))+12.82),IF(D451="Refined Petroleum Stock",EXP((0.7553-(413/(D458+459.6)))*(INDEX(FX_Input,Q$5,D$3*$Z$5+$AA$5-1)^0.5)*LOG10(INDEX(FX_Input,Q$5,D$3*$Z$5+$AA$5))-(1.854-(1042/(D458+459.6)))*(INDEX(FX_Input,Q$5,D$3*$Z$5+$AA$5-1)^0.5)+((2416/(D458+459.6)-2.013)*LOG10(INDEX(FX_Input,Q$5,D$3*$Z$5+$AA$5)))-(8742/(D458+459.6))+15.64),EXP(INDEX(Antoines,MATCH(D450,Antoine_Name,0),2)-INDEX(Antoines,MATCH(D450,Antoine_Name,0),3)/(D458+459.6))))),0)</f>
        <v>4.6194990608814232E-3</v>
      </c>
      <c r="E461" cm="1">
        <f t="array" ref="E461">IFERROR(IF(E451="Chemical",(10^(INDEX(Antoines,MATCH(E450,Antoine_Name,0),2)-INDEX(Antoines,MATCH(E450,Antoine_Name,0),3)/(INDEX(Antoines,MATCH(E450,Antoine_Name,0),4)+(E458-32)*5/9)))*14.7/760,IF(E451="Crude Oil",EXP((2799/(E458+459.6)-2.227)*LOG10(INDEX(FX_Input,R$5,E$3*$Z$5+$AA$5))-(7261/(E458+459.6))+12.82),IF(E451="Refined Petroleum Stock",EXP((0.7553-(413/(E458+459.6)))*(INDEX(FX_Input,R$5,E$3*$Z$5+$AA$5-1)^0.5)*LOG10(INDEX(FX_Input,R$5,E$3*$Z$5+$AA$5))-(1.854-(1042/(E458+459.6)))*(INDEX(FX_Input,R$5,E$3*$Z$5+$AA$5-1)^0.5)+((2416/(E458+459.6)-2.013)*LOG10(INDEX(FX_Input,R$5,E$3*$Z$5+$AA$5)))-(8742/(E458+459.6))+15.64),EXP(INDEX(Antoines,MATCH(E450,Antoine_Name,0),2)-INDEX(Antoines,MATCH(E450,Antoine_Name,0),3)/(E458+459.6))))),0)</f>
        <v>4.8282172104298976E-3</v>
      </c>
      <c r="F461" cm="1">
        <f t="array" ref="F461">IFERROR(IF(F451="Chemical",(10^(INDEX(Antoines,MATCH(F450,Antoine_Name,0),2)-INDEX(Antoines,MATCH(F450,Antoine_Name,0),3)/(INDEX(Antoines,MATCH(F450,Antoine_Name,0),4)+(F458-32)*5/9)))*14.7/760,IF(F451="Crude Oil",EXP((2799/(F458+459.6)-2.227)*LOG10(INDEX(FX_Input,S$5,F$3*$Z$5+$AA$5))-(7261/(F458+459.6))+12.82),IF(F451="Refined Petroleum Stock",EXP((0.7553-(413/(F458+459.6)))*(INDEX(FX_Input,S$5,F$3*$Z$5+$AA$5-1)^0.5)*LOG10(INDEX(FX_Input,S$5,F$3*$Z$5+$AA$5))-(1.854-(1042/(F458+459.6)))*(INDEX(FX_Input,S$5,F$3*$Z$5+$AA$5-1)^0.5)+((2416/(F458+459.6)-2.013)*LOG10(INDEX(FX_Input,S$5,F$3*$Z$5+$AA$5)))-(8742/(F458+459.6))+15.64),EXP(INDEX(Antoines,MATCH(F450,Antoine_Name,0),2)-INDEX(Antoines,MATCH(F450,Antoine_Name,0),3)/(F458+459.6))))),0)</f>
        <v>5.2682084022832483E-3</v>
      </c>
      <c r="G461" cm="1">
        <f t="array" ref="G461">IFERROR(IF(G451="Chemical",(10^(INDEX(Antoines,MATCH(G450,Antoine_Name,0),2)-INDEX(Antoines,MATCH(G450,Antoine_Name,0),3)/(INDEX(Antoines,MATCH(G450,Antoine_Name,0),4)+(G458-32)*5/9)))*14.7/760,IF(G451="Crude Oil",EXP((2799/(G458+459.6)-2.227)*LOG10(INDEX(FX_Input,T$5,G$3*$Z$5+$AA$5))-(7261/(G458+459.6))+12.82),IF(G451="Refined Petroleum Stock",EXP((0.7553-(413/(G458+459.6)))*(INDEX(FX_Input,T$5,G$3*$Z$5+$AA$5-1)^0.5)*LOG10(INDEX(FX_Input,T$5,G$3*$Z$5+$AA$5))-(1.854-(1042/(G458+459.6)))*(INDEX(FX_Input,T$5,G$3*$Z$5+$AA$5-1)^0.5)+((2416/(G458+459.6)-2.013)*LOG10(INDEX(FX_Input,T$5,G$3*$Z$5+$AA$5)))-(8742/(G458+459.6))+15.64),EXP(INDEX(Antoines,MATCH(G450,Antoine_Name,0),2)-INDEX(Antoines,MATCH(G450,Antoine_Name,0),3)/(G458+459.6))))),0)</f>
        <v>6.0362371214845376E-3</v>
      </c>
      <c r="H461" cm="1">
        <f t="array" ref="H461">IFERROR(IF(H451="Chemical",(10^(INDEX(Antoines,MATCH(H450,Antoine_Name,0),2)-INDEX(Antoines,MATCH(H450,Antoine_Name,0),3)/(INDEX(Antoines,MATCH(H450,Antoine_Name,0),4)+(H458-32)*5/9)))*14.7/760,IF(H451="Crude Oil",EXP((2799/(H458+459.6)-2.227)*LOG10(INDEX(FX_Input,U$5,H$3*$Z$5+$AA$5))-(7261/(H458+459.6))+12.82),IF(H451="Refined Petroleum Stock",EXP((0.7553-(413/(H458+459.6)))*(INDEX(FX_Input,U$5,H$3*$Z$5+$AA$5-1)^0.5)*LOG10(INDEX(FX_Input,U$5,H$3*$Z$5+$AA$5))-(1.854-(1042/(H458+459.6)))*(INDEX(FX_Input,U$5,H$3*$Z$5+$AA$5-1)^0.5)+((2416/(H458+459.6)-2.013)*LOG10(INDEX(FX_Input,U$5,H$3*$Z$5+$AA$5)))-(8742/(H458+459.6))+15.64),EXP(INDEX(Antoines,MATCH(H450,Antoine_Name,0),2)-INDEX(Antoines,MATCH(H450,Antoine_Name,0),3)/(H458+459.6))))),0)</f>
        <v>7.3216486102608194E-3</v>
      </c>
      <c r="I461" cm="1">
        <f t="array" ref="I461">IFERROR(IF(I451="Chemical",(10^(INDEX(Antoines,MATCH(I450,Antoine_Name,0),2)-INDEX(Antoines,MATCH(I450,Antoine_Name,0),3)/(INDEX(Antoines,MATCH(I450,Antoine_Name,0),4)+(I458-32)*5/9)))*14.7/760,IF(I451="Crude Oil",EXP((2799/(I458+459.6)-2.227)*LOG10(INDEX(FX_Input,V$5,I$3*$Z$5+$AA$5))-(7261/(I458+459.6))+12.82),IF(I451="Refined Petroleum Stock",EXP((0.7553-(413/(I458+459.6)))*(INDEX(FX_Input,V$5,I$3*$Z$5+$AA$5-1)^0.5)*LOG10(INDEX(FX_Input,V$5,I$3*$Z$5+$AA$5))-(1.854-(1042/(I458+459.6)))*(INDEX(FX_Input,V$5,I$3*$Z$5+$AA$5-1)^0.5)+((2416/(I458+459.6)-2.013)*LOG10(INDEX(FX_Input,V$5,I$3*$Z$5+$AA$5)))-(8742/(I458+459.6))+15.64),EXP(INDEX(Antoines,MATCH(I450,Antoine_Name,0),2)-INDEX(Antoines,MATCH(I450,Antoine_Name,0),3)/(I458+459.6))))),0)</f>
        <v>8.4512935625408649E-3</v>
      </c>
      <c r="J461" cm="1">
        <f t="array" ref="J461">IFERROR(IF(J451="Chemical",(10^(INDEX(Antoines,MATCH(J450,Antoine_Name,0),2)-INDEX(Antoines,MATCH(J450,Antoine_Name,0),3)/(INDEX(Antoines,MATCH(J450,Antoine_Name,0),4)+(J458-32)*5/9)))*14.7/760,IF(J451="Crude Oil",EXP((2799/(J458+459.6)-2.227)*LOG10(INDEX(FX_Input,W$5,J$3*$Z$5+$AA$5))-(7261/(J458+459.6))+12.82),IF(J451="Refined Petroleum Stock",EXP((0.7553-(413/(J458+459.6)))*(INDEX(FX_Input,W$5,J$3*$Z$5+$AA$5-1)^0.5)*LOG10(INDEX(FX_Input,W$5,J$3*$Z$5+$AA$5))-(1.854-(1042/(J458+459.6)))*(INDEX(FX_Input,W$5,J$3*$Z$5+$AA$5-1)^0.5)+((2416/(J458+459.6)-2.013)*LOG10(INDEX(FX_Input,W$5,J$3*$Z$5+$AA$5)))-(8742/(J458+459.6))+15.64),EXP(INDEX(Antoines,MATCH(J450,Antoine_Name,0),2)-INDEX(Antoines,MATCH(J450,Antoine_Name,0),3)/(J458+459.6))))),0)</f>
        <v>9.5644811343706445E-3</v>
      </c>
      <c r="K461" cm="1">
        <f t="array" ref="K461">IFERROR(IF(K451="Chemical",(10^(INDEX(Antoines,MATCH(K450,Antoine_Name,0),2)-INDEX(Antoines,MATCH(K450,Antoine_Name,0),3)/(INDEX(Antoines,MATCH(K450,Antoine_Name,0),4)+(K458-32)*5/9)))*14.7/760,IF(K451="Crude Oil",EXP((2799/(K458+459.6)-2.227)*LOG10(INDEX(FX_Input,X$5,K$3*$Z$5+$AA$5))-(7261/(K458+459.6))+12.82),IF(K451="Refined Petroleum Stock",EXP((0.7553-(413/(K458+459.6)))*(INDEX(FX_Input,X$5,K$3*$Z$5+$AA$5-1)^0.5)*LOG10(INDEX(FX_Input,X$5,K$3*$Z$5+$AA$5))-(1.854-(1042/(K458+459.6)))*(INDEX(FX_Input,X$5,K$3*$Z$5+$AA$5-1)^0.5)+((2416/(K458+459.6)-2.013)*LOG10(INDEX(FX_Input,X$5,K$3*$Z$5+$AA$5)))-(8742/(K458+459.6))+15.64),EXP(INDEX(Antoines,MATCH(K450,Antoine_Name,0),2)-INDEX(Antoines,MATCH(K450,Antoine_Name,0),3)/(K458+459.6))))),0)</f>
        <v>9.3850836134020087E-3</v>
      </c>
      <c r="L461" cm="1">
        <f t="array" ref="L461">IFERROR(IF(L451="Chemical",(10^(INDEX(Antoines,MATCH(L450,Antoine_Name,0),2)-INDEX(Antoines,MATCH(L450,Antoine_Name,0),3)/(INDEX(Antoines,MATCH(L450,Antoine_Name,0),4)+(L458-32)*5/9)))*14.7/760,IF(L451="Crude Oil",EXP((2799/(L458+459.6)-2.227)*LOG10(INDEX(FX_Input,Y$5,L$3*$Z$5+$AA$5))-(7261/(L458+459.6))+12.82),IF(L451="Refined Petroleum Stock",EXP((0.7553-(413/(L458+459.6)))*(INDEX(FX_Input,Y$5,L$3*$Z$5+$AA$5-1)^0.5)*LOG10(INDEX(FX_Input,Y$5,L$3*$Z$5+$AA$5))-(1.854-(1042/(L458+459.6)))*(INDEX(FX_Input,Y$5,L$3*$Z$5+$AA$5-1)^0.5)+((2416/(L458+459.6)-2.013)*LOG10(INDEX(FX_Input,Y$5,L$3*$Z$5+$AA$5)))-(8742/(L458+459.6))+15.64),EXP(INDEX(Antoines,MATCH(L450,Antoine_Name,0),2)-INDEX(Antoines,MATCH(L450,Antoine_Name,0),3)/(L458+459.6))))),0)</f>
        <v>8.2227885052245445E-3</v>
      </c>
      <c r="M461" cm="1">
        <f t="array" ref="M461">IFERROR(IF(M451="Chemical",(10^(INDEX(Antoines,MATCH(M450,Antoine_Name,0),2)-INDEX(Antoines,MATCH(M450,Antoine_Name,0),3)/(INDEX(Antoines,MATCH(M450,Antoine_Name,0),4)+(M458-32)*5/9)))*14.7/760,IF(M451="Crude Oil",EXP((2799/(M458+459.6)-2.227)*LOG10(INDEX(FX_Input,Z$5,M$3*$Z$5+$AA$5))-(7261/(M458+459.6))+12.82),IF(M451="Refined Petroleum Stock",EXP((0.7553-(413/(M458+459.6)))*(INDEX(FX_Input,Z$5,M$3*$Z$5+$AA$5-1)^0.5)*LOG10(INDEX(FX_Input,Z$5,M$3*$Z$5+$AA$5))-(1.854-(1042/(M458+459.6)))*(INDEX(FX_Input,Z$5,M$3*$Z$5+$AA$5-1)^0.5)+((2416/(M458+459.6)-2.013)*LOG10(INDEX(FX_Input,Z$5,M$3*$Z$5+$AA$5)))-(8742/(M458+459.6))+15.64),EXP(INDEX(Antoines,MATCH(M450,Antoine_Name,0),2)-INDEX(Antoines,MATCH(M450,Antoine_Name,0),3)/(M458+459.6))))),0)</f>
        <v>6.4023381240072485E-3</v>
      </c>
      <c r="N461" cm="1">
        <f t="array" ref="N461">IFERROR(IF(N451="Chemical",(10^(INDEX(Antoines,MATCH(N450,Antoine_Name,0),2)-INDEX(Antoines,MATCH(N450,Antoine_Name,0),3)/(INDEX(Antoines,MATCH(N450,Antoine_Name,0),4)+(N458-32)*5/9)))*14.7/760,IF(N451="Crude Oil",EXP((2799/(N458+459.6)-2.227)*LOG10(INDEX(FX_Input,AA$5,N$3*$Z$5+$AA$5))-(7261/(N458+459.6))+12.82),IF(N451="Refined Petroleum Stock",EXP((0.7553-(413/(N458+459.6)))*(INDEX(FX_Input,AA$5,N$3*$Z$5+$AA$5-1)^0.5)*LOG10(INDEX(FX_Input,AA$5,N$3*$Z$5+$AA$5))-(1.854-(1042/(N458+459.6)))*(INDEX(FX_Input,AA$5,N$3*$Z$5+$AA$5-1)^0.5)+((2416/(N458+459.6)-2.013)*LOG10(INDEX(FX_Input,AA$5,N$3*$Z$5+$AA$5)))-(8742/(N458+459.6))+15.64),EXP(INDEX(Antoines,MATCH(N450,Antoine_Name,0),2)-INDEX(Antoines,MATCH(N450,Antoine_Name,0),3)/(N458+459.6))))),0)</f>
        <v>5.1381745102650677E-3</v>
      </c>
      <c r="O461" cm="1">
        <f t="array" ref="O461">IFERROR(IF(O451="Chemical",(10^(INDEX(Antoines,MATCH(O450,Antoine_Name,0),2)-INDEX(Antoines,MATCH(O450,Antoine_Name,0),3)/(INDEX(Antoines,MATCH(O450,Antoine_Name,0),4)+(O458-32)*5/9)))*14.7/760,IF(O451="Crude Oil",EXP((2799/(O458+459.6)-2.227)*LOG10(INDEX(FX_Input,AB$5,O$3*$Z$5+$AA$5))-(7261/(O458+459.6))+12.82),IF(O451="Refined Petroleum Stock",EXP((0.7553-(413/(O458+459.6)))*(INDEX(FX_Input,AB$5,O$3*$Z$5+$AA$5-1)^0.5)*LOG10(INDEX(FX_Input,AB$5,O$3*$Z$5+$AA$5))-(1.854-(1042/(O458+459.6)))*(INDEX(FX_Input,AB$5,O$3*$Z$5+$AA$5-1)^0.5)+((2416/(O458+459.6)-2.013)*LOG10(INDEX(FX_Input,AB$5,O$3*$Z$5+$AA$5)))-(8742/(O458+459.6))+15.64),EXP(INDEX(Antoines,MATCH(O450,Antoine_Name,0),2)-INDEX(Antoines,MATCH(O450,Antoine_Name,0),3)/(O458+459.6))))),0)</f>
        <v>4.5575582050152007E-3</v>
      </c>
    </row>
    <row r="462" spans="2:32" ht="17.149999999999999" x14ac:dyDescent="0.55000000000000004">
      <c r="B462" t="str">
        <f t="shared" si="1556"/>
        <v>Portland</v>
      </c>
      <c r="C462" t="s">
        <v>576</v>
      </c>
      <c r="D462">
        <f>D454*D461</f>
        <v>4.6194990608814232E-3</v>
      </c>
      <c r="E462">
        <f t="shared" ref="E462" si="1557">E454*E461</f>
        <v>4.8282172104298976E-3</v>
      </c>
      <c r="F462">
        <f t="shared" ref="F462" si="1558">F454*F461</f>
        <v>5.2682084022832483E-3</v>
      </c>
      <c r="G462">
        <f t="shared" ref="G462" si="1559">G454*G461</f>
        <v>6.0362371214845376E-3</v>
      </c>
      <c r="H462">
        <f t="shared" ref="H462" si="1560">H454*H461</f>
        <v>7.3216486102608194E-3</v>
      </c>
      <c r="I462">
        <f t="shared" ref="I462" si="1561">I454*I461</f>
        <v>8.4512935625408649E-3</v>
      </c>
      <c r="J462">
        <f t="shared" ref="J462" si="1562">J454*J461</f>
        <v>9.5644811343706445E-3</v>
      </c>
      <c r="K462">
        <f t="shared" ref="K462" si="1563">K454*K461</f>
        <v>9.3850836134020087E-3</v>
      </c>
      <c r="L462">
        <f t="shared" ref="L462" si="1564">L454*L461</f>
        <v>8.2227885052245445E-3</v>
      </c>
      <c r="M462">
        <f t="shared" ref="M462" si="1565">M454*M461</f>
        <v>6.4023381240072485E-3</v>
      </c>
      <c r="N462">
        <f t="shared" ref="N462" si="1566">N454*N461</f>
        <v>5.1381745102650677E-3</v>
      </c>
      <c r="O462">
        <f t="shared" ref="O462" si="1567">O454*O461</f>
        <v>4.5575582050152007E-3</v>
      </c>
    </row>
    <row r="463" spans="2:32" ht="17.149999999999999" x14ac:dyDescent="0.55000000000000004">
      <c r="B463" t="str">
        <f t="shared" si="1556"/>
        <v>Portland</v>
      </c>
      <c r="C463" t="s">
        <v>575</v>
      </c>
      <c r="D463" cm="1">
        <f t="array" ref="D463">IFERROR(IF(D453="Chemical",(10^(INDEX(Antoines,MATCH(D452,Antoine_Name,0),2)-INDEX(Antoines,MATCH(D452,Antoine_Name,0),3)/(INDEX(Antoines,MATCH(D452,Antoine_Name,0),4)+(D458-32)*5/9)))*14.7/760,IF(D453="Crude Oil",EXP((2799/(D458+459.6)-2.227)*LOG10(INDEX(FX_Input,Q$5,D$3*$Z$5+$AA$5))-(7261/(D458+459.6))+12.82),IF(D453="Refined Petroleum Stock",EXP((0.7553-(413/(D458+459.6)))*(INDEX(FX_Input,Q$5,D$3*$Z$5+$AA$5-1)^0.5)*LOG10(INDEX(FX_Input,Q$5,D$3*$Z$5+$AA$5))-(1.854-(1042/(D458+459.6)))*(INDEX(FX_Input,Q$5,D$3*$Z$5+$AA$5-1)^0.5)+((2416/(D458+459.6)-2.013)*LOG10(INDEX(FX_Input,Q$5,D$3*$Z$5+$AA$5)))-(8742/(D458+459.6))+15.64),EXP(INDEX(Antoines,MATCH(D452,Antoine_Name,0),2)-INDEX(Antoines,MATCH(D452,Antoine_Name,0),3)/(D458+459.6))))),0)</f>
        <v>0</v>
      </c>
      <c r="E463" cm="1">
        <f t="array" ref="E463">IFERROR(IF(E453="Chemical",(10^(INDEX(Antoines,MATCH(E452,Antoine_Name,0),2)-INDEX(Antoines,MATCH(E452,Antoine_Name,0),3)/(INDEX(Antoines,MATCH(E452,Antoine_Name,0),4)+(E458-32)*5/9)))*14.7/760,IF(E453="Crude Oil",EXP((2799/(E458+459.6)-2.227)*LOG10(INDEX(FX_Input,R$5,E$3*$Z$5+$AA$5))-(7261/(E458+459.6))+12.82),IF(E453="Refined Petroleum Stock",EXP((0.7553-(413/(E458+459.6)))*(INDEX(FX_Input,R$5,E$3*$Z$5+$AA$5-1)^0.5)*LOG10(INDEX(FX_Input,R$5,E$3*$Z$5+$AA$5))-(1.854-(1042/(E458+459.6)))*(INDEX(FX_Input,R$5,E$3*$Z$5+$AA$5-1)^0.5)+((2416/(E458+459.6)-2.013)*LOG10(INDEX(FX_Input,R$5,E$3*$Z$5+$AA$5)))-(8742/(E458+459.6))+15.64),EXP(INDEX(Antoines,MATCH(E452,Antoine_Name,0),2)-INDEX(Antoines,MATCH(E452,Antoine_Name,0),3)/(E458+459.6))))),0)</f>
        <v>0</v>
      </c>
      <c r="F463" cm="1">
        <f t="array" ref="F463">IFERROR(IF(F453="Chemical",(10^(INDEX(Antoines,MATCH(F452,Antoine_Name,0),2)-INDEX(Antoines,MATCH(F452,Antoine_Name,0),3)/(INDEX(Antoines,MATCH(F452,Antoine_Name,0),4)+(F458-32)*5/9)))*14.7/760,IF(F453="Crude Oil",EXP((2799/(F458+459.6)-2.227)*LOG10(INDEX(FX_Input,S$5,F$3*$Z$5+$AA$5))-(7261/(F458+459.6))+12.82),IF(F453="Refined Petroleum Stock",EXP((0.7553-(413/(F458+459.6)))*(INDEX(FX_Input,S$5,F$3*$Z$5+$AA$5-1)^0.5)*LOG10(INDEX(FX_Input,S$5,F$3*$Z$5+$AA$5))-(1.854-(1042/(F458+459.6)))*(INDEX(FX_Input,S$5,F$3*$Z$5+$AA$5-1)^0.5)+((2416/(F458+459.6)-2.013)*LOG10(INDEX(FX_Input,S$5,F$3*$Z$5+$AA$5)))-(8742/(F458+459.6))+15.64),EXP(INDEX(Antoines,MATCH(F452,Antoine_Name,0),2)-INDEX(Antoines,MATCH(F452,Antoine_Name,0),3)/(F458+459.6))))),0)</f>
        <v>0</v>
      </c>
      <c r="G463" cm="1">
        <f t="array" ref="G463">IFERROR(IF(G453="Chemical",(10^(INDEX(Antoines,MATCH(G452,Antoine_Name,0),2)-INDEX(Antoines,MATCH(G452,Antoine_Name,0),3)/(INDEX(Antoines,MATCH(G452,Antoine_Name,0),4)+(G458-32)*5/9)))*14.7/760,IF(G453="Crude Oil",EXP((2799/(G458+459.6)-2.227)*LOG10(INDEX(FX_Input,T$5,G$3*$Z$5+$AA$5))-(7261/(G458+459.6))+12.82),IF(G453="Refined Petroleum Stock",EXP((0.7553-(413/(G458+459.6)))*(INDEX(FX_Input,T$5,G$3*$Z$5+$AA$5-1)^0.5)*LOG10(INDEX(FX_Input,T$5,G$3*$Z$5+$AA$5))-(1.854-(1042/(G458+459.6)))*(INDEX(FX_Input,T$5,G$3*$Z$5+$AA$5-1)^0.5)+((2416/(G458+459.6)-2.013)*LOG10(INDEX(FX_Input,T$5,G$3*$Z$5+$AA$5)))-(8742/(G458+459.6))+15.64),EXP(INDEX(Antoines,MATCH(G452,Antoine_Name,0),2)-INDEX(Antoines,MATCH(G452,Antoine_Name,0),3)/(G458+459.6))))),0)</f>
        <v>0</v>
      </c>
      <c r="H463" cm="1">
        <f t="array" ref="H463">IFERROR(IF(H453="Chemical",(10^(INDEX(Antoines,MATCH(H452,Antoine_Name,0),2)-INDEX(Antoines,MATCH(H452,Antoine_Name,0),3)/(INDEX(Antoines,MATCH(H452,Antoine_Name,0),4)+(H458-32)*5/9)))*14.7/760,IF(H453="Crude Oil",EXP((2799/(H458+459.6)-2.227)*LOG10(INDEX(FX_Input,U$5,H$3*$Z$5+$AA$5))-(7261/(H458+459.6))+12.82),IF(H453="Refined Petroleum Stock",EXP((0.7553-(413/(H458+459.6)))*(INDEX(FX_Input,U$5,H$3*$Z$5+$AA$5-1)^0.5)*LOG10(INDEX(FX_Input,U$5,H$3*$Z$5+$AA$5))-(1.854-(1042/(H458+459.6)))*(INDEX(FX_Input,U$5,H$3*$Z$5+$AA$5-1)^0.5)+((2416/(H458+459.6)-2.013)*LOG10(INDEX(FX_Input,U$5,H$3*$Z$5+$AA$5)))-(8742/(H458+459.6))+15.64),EXP(INDEX(Antoines,MATCH(H452,Antoine_Name,0),2)-INDEX(Antoines,MATCH(H452,Antoine_Name,0),3)/(H458+459.6))))),0)</f>
        <v>0</v>
      </c>
      <c r="I463" cm="1">
        <f t="array" ref="I463">IFERROR(IF(I453="Chemical",(10^(INDEX(Antoines,MATCH(I452,Antoine_Name,0),2)-INDEX(Antoines,MATCH(I452,Antoine_Name,0),3)/(INDEX(Antoines,MATCH(I452,Antoine_Name,0),4)+(I458-32)*5/9)))*14.7/760,IF(I453="Crude Oil",EXP((2799/(I458+459.6)-2.227)*LOG10(INDEX(FX_Input,V$5,I$3*$Z$5+$AA$5))-(7261/(I458+459.6))+12.82),IF(I453="Refined Petroleum Stock",EXP((0.7553-(413/(I458+459.6)))*(INDEX(FX_Input,V$5,I$3*$Z$5+$AA$5-1)^0.5)*LOG10(INDEX(FX_Input,V$5,I$3*$Z$5+$AA$5))-(1.854-(1042/(I458+459.6)))*(INDEX(FX_Input,V$5,I$3*$Z$5+$AA$5-1)^0.5)+((2416/(I458+459.6)-2.013)*LOG10(INDEX(FX_Input,V$5,I$3*$Z$5+$AA$5)))-(8742/(I458+459.6))+15.64),EXP(INDEX(Antoines,MATCH(I452,Antoine_Name,0),2)-INDEX(Antoines,MATCH(I452,Antoine_Name,0),3)/(I458+459.6))))),0)</f>
        <v>0</v>
      </c>
      <c r="J463" cm="1">
        <f t="array" ref="J463">IFERROR(IF(J453="Chemical",(10^(INDEX(Antoines,MATCH(J452,Antoine_Name,0),2)-INDEX(Antoines,MATCH(J452,Antoine_Name,0),3)/(INDEX(Antoines,MATCH(J452,Antoine_Name,0),4)+(J458-32)*5/9)))*14.7/760,IF(J453="Crude Oil",EXP((2799/(J458+459.6)-2.227)*LOG10(INDEX(FX_Input,W$5,J$3*$Z$5+$AA$5))-(7261/(J458+459.6))+12.82),IF(J453="Refined Petroleum Stock",EXP((0.7553-(413/(J458+459.6)))*(INDEX(FX_Input,W$5,J$3*$Z$5+$AA$5-1)^0.5)*LOG10(INDEX(FX_Input,W$5,J$3*$Z$5+$AA$5))-(1.854-(1042/(J458+459.6)))*(INDEX(FX_Input,W$5,J$3*$Z$5+$AA$5-1)^0.5)+((2416/(J458+459.6)-2.013)*LOG10(INDEX(FX_Input,W$5,J$3*$Z$5+$AA$5)))-(8742/(J458+459.6))+15.64),EXP(INDEX(Antoines,MATCH(J452,Antoine_Name,0),2)-INDEX(Antoines,MATCH(J452,Antoine_Name,0),3)/(J458+459.6))))),0)</f>
        <v>0</v>
      </c>
      <c r="K463" cm="1">
        <f t="array" ref="K463">IFERROR(IF(K453="Chemical",(10^(INDEX(Antoines,MATCH(K452,Antoine_Name,0),2)-INDEX(Antoines,MATCH(K452,Antoine_Name,0),3)/(INDEX(Antoines,MATCH(K452,Antoine_Name,0),4)+(K458-32)*5/9)))*14.7/760,IF(K453="Crude Oil",EXP((2799/(K458+459.6)-2.227)*LOG10(INDEX(FX_Input,X$5,K$3*$Z$5+$AA$5))-(7261/(K458+459.6))+12.82),IF(K453="Refined Petroleum Stock",EXP((0.7553-(413/(K458+459.6)))*(INDEX(FX_Input,X$5,K$3*$Z$5+$AA$5-1)^0.5)*LOG10(INDEX(FX_Input,X$5,K$3*$Z$5+$AA$5))-(1.854-(1042/(K458+459.6)))*(INDEX(FX_Input,X$5,K$3*$Z$5+$AA$5-1)^0.5)+((2416/(K458+459.6)-2.013)*LOG10(INDEX(FX_Input,X$5,K$3*$Z$5+$AA$5)))-(8742/(K458+459.6))+15.64),EXP(INDEX(Antoines,MATCH(K452,Antoine_Name,0),2)-INDEX(Antoines,MATCH(K452,Antoine_Name,0),3)/(K458+459.6))))),0)</f>
        <v>0</v>
      </c>
      <c r="L463" cm="1">
        <f t="array" ref="L463">IFERROR(IF(L453="Chemical",(10^(INDEX(Antoines,MATCH(L452,Antoine_Name,0),2)-INDEX(Antoines,MATCH(L452,Antoine_Name,0),3)/(INDEX(Antoines,MATCH(L452,Antoine_Name,0),4)+(L458-32)*5/9)))*14.7/760,IF(L453="Crude Oil",EXP((2799/(L458+459.6)-2.227)*LOG10(INDEX(FX_Input,Y$5,L$3*$Z$5+$AA$5))-(7261/(L458+459.6))+12.82),IF(L453="Refined Petroleum Stock",EXP((0.7553-(413/(L458+459.6)))*(INDEX(FX_Input,Y$5,L$3*$Z$5+$AA$5-1)^0.5)*LOG10(INDEX(FX_Input,Y$5,L$3*$Z$5+$AA$5))-(1.854-(1042/(L458+459.6)))*(INDEX(FX_Input,Y$5,L$3*$Z$5+$AA$5-1)^0.5)+((2416/(L458+459.6)-2.013)*LOG10(INDEX(FX_Input,Y$5,L$3*$Z$5+$AA$5)))-(8742/(L458+459.6))+15.64),EXP(INDEX(Antoines,MATCH(L452,Antoine_Name,0),2)-INDEX(Antoines,MATCH(L452,Antoine_Name,0),3)/(L458+459.6))))),0)</f>
        <v>0</v>
      </c>
      <c r="M463" cm="1">
        <f t="array" ref="M463">IFERROR(IF(M453="Chemical",(10^(INDEX(Antoines,MATCH(M452,Antoine_Name,0),2)-INDEX(Antoines,MATCH(M452,Antoine_Name,0),3)/(INDEX(Antoines,MATCH(M452,Antoine_Name,0),4)+(M458-32)*5/9)))*14.7/760,IF(M453="Crude Oil",EXP((2799/(M458+459.6)-2.227)*LOG10(INDEX(FX_Input,Z$5,M$3*$Z$5+$AA$5))-(7261/(M458+459.6))+12.82),IF(M453="Refined Petroleum Stock",EXP((0.7553-(413/(M458+459.6)))*(INDEX(FX_Input,Z$5,M$3*$Z$5+$AA$5-1)^0.5)*LOG10(INDEX(FX_Input,Z$5,M$3*$Z$5+$AA$5))-(1.854-(1042/(M458+459.6)))*(INDEX(FX_Input,Z$5,M$3*$Z$5+$AA$5-1)^0.5)+((2416/(M458+459.6)-2.013)*LOG10(INDEX(FX_Input,Z$5,M$3*$Z$5+$AA$5)))-(8742/(M458+459.6))+15.64),EXP(INDEX(Antoines,MATCH(M452,Antoine_Name,0),2)-INDEX(Antoines,MATCH(M452,Antoine_Name,0),3)/(M458+459.6))))),0)</f>
        <v>0</v>
      </c>
      <c r="N463" cm="1">
        <f t="array" ref="N463">IFERROR(IF(N453="Chemical",(10^(INDEX(Antoines,MATCH(N452,Antoine_Name,0),2)-INDEX(Antoines,MATCH(N452,Antoine_Name,0),3)/(INDEX(Antoines,MATCH(N452,Antoine_Name,0),4)+(N458-32)*5/9)))*14.7/760,IF(N453="Crude Oil",EXP((2799/(N458+459.6)-2.227)*LOG10(INDEX(FX_Input,AA$5,N$3*$Z$5+$AA$5))-(7261/(N458+459.6))+12.82),IF(N453="Refined Petroleum Stock",EXP((0.7553-(413/(N458+459.6)))*(INDEX(FX_Input,AA$5,N$3*$Z$5+$AA$5-1)^0.5)*LOG10(INDEX(FX_Input,AA$5,N$3*$Z$5+$AA$5))-(1.854-(1042/(N458+459.6)))*(INDEX(FX_Input,AA$5,N$3*$Z$5+$AA$5-1)^0.5)+((2416/(N458+459.6)-2.013)*LOG10(INDEX(FX_Input,AA$5,N$3*$Z$5+$AA$5)))-(8742/(N458+459.6))+15.64),EXP(INDEX(Antoines,MATCH(N452,Antoine_Name,0),2)-INDEX(Antoines,MATCH(N452,Antoine_Name,0),3)/(N458+459.6))))),0)</f>
        <v>0</v>
      </c>
      <c r="O463" cm="1">
        <f t="array" ref="O463">IFERROR(IF(O453="Chemical",(10^(INDEX(Antoines,MATCH(O452,Antoine_Name,0),2)-INDEX(Antoines,MATCH(O452,Antoine_Name,0),3)/(INDEX(Antoines,MATCH(O452,Antoine_Name,0),4)+(O458-32)*5/9)))*14.7/760,IF(O453="Crude Oil",EXP((2799/(O458+459.6)-2.227)*LOG10(INDEX(FX_Input,AB$5,O$3*$Z$5+$AA$5))-(7261/(O458+459.6))+12.82),IF(O453="Refined Petroleum Stock",EXP((0.7553-(413/(O458+459.6)))*(INDEX(FX_Input,AB$5,O$3*$Z$5+$AA$5-1)^0.5)*LOG10(INDEX(FX_Input,AB$5,O$3*$Z$5+$AA$5))-(1.854-(1042/(O458+459.6)))*(INDEX(FX_Input,AB$5,O$3*$Z$5+$AA$5-1)^0.5)+((2416/(O458+459.6)-2.013)*LOG10(INDEX(FX_Input,AB$5,O$3*$Z$5+$AA$5)))-(8742/(O458+459.6))+15.64),EXP(INDEX(Antoines,MATCH(O452,Antoine_Name,0),2)-INDEX(Antoines,MATCH(O452,Antoine_Name,0),3)/(O458+459.6))))),0)</f>
        <v>0</v>
      </c>
    </row>
    <row r="464" spans="2:32" ht="17.149999999999999" x14ac:dyDescent="0.55000000000000004">
      <c r="B464" t="str">
        <f t="shared" si="1556"/>
        <v>Portland</v>
      </c>
      <c r="C464" t="s">
        <v>577</v>
      </c>
      <c r="D464">
        <f>D463*D456</f>
        <v>0</v>
      </c>
      <c r="E464">
        <f t="shared" ref="E464" si="1568">E463*E456</f>
        <v>0</v>
      </c>
      <c r="F464">
        <f t="shared" ref="F464" si="1569">F463*F456</f>
        <v>0</v>
      </c>
      <c r="G464">
        <f t="shared" ref="G464" si="1570">G463*G456</f>
        <v>0</v>
      </c>
      <c r="H464">
        <f t="shared" ref="H464" si="1571">H463*H456</f>
        <v>0</v>
      </c>
      <c r="I464">
        <f t="shared" ref="I464" si="1572">I463*I456</f>
        <v>0</v>
      </c>
      <c r="J464">
        <f t="shared" ref="J464" si="1573">J463*J456</f>
        <v>0</v>
      </c>
      <c r="K464">
        <f t="shared" ref="K464" si="1574">K463*K456</f>
        <v>0</v>
      </c>
      <c r="L464">
        <f t="shared" ref="L464" si="1575">L463*L456</f>
        <v>0</v>
      </c>
      <c r="M464">
        <f t="shared" ref="M464" si="1576">M463*M456</f>
        <v>0</v>
      </c>
      <c r="N464">
        <f t="shared" ref="N464" si="1577">N463*N456</f>
        <v>0</v>
      </c>
      <c r="O464">
        <f t="shared" ref="O464" si="1578">O463*O456</f>
        <v>0</v>
      </c>
    </row>
    <row r="465" spans="1:32" ht="17.149999999999999" x14ac:dyDescent="0.55000000000000004">
      <c r="B465" t="str">
        <f t="shared" si="1556"/>
        <v>Portland</v>
      </c>
      <c r="C465" t="s">
        <v>578</v>
      </c>
      <c r="D465">
        <f>D464+D462</f>
        <v>4.6194990608814232E-3</v>
      </c>
      <c r="E465">
        <f t="shared" ref="E465" si="1579">E464+E462</f>
        <v>4.8282172104298976E-3</v>
      </c>
      <c r="F465">
        <f t="shared" ref="F465" si="1580">F464+F462</f>
        <v>5.2682084022832483E-3</v>
      </c>
      <c r="G465">
        <f t="shared" ref="G465" si="1581">G464+G462</f>
        <v>6.0362371214845376E-3</v>
      </c>
      <c r="H465">
        <f t="shared" ref="H465" si="1582">H464+H462</f>
        <v>7.3216486102608194E-3</v>
      </c>
      <c r="I465">
        <f t="shared" ref="I465" si="1583">I464+I462</f>
        <v>8.4512935625408649E-3</v>
      </c>
      <c r="J465">
        <f t="shared" ref="J465" si="1584">J464+J462</f>
        <v>9.5644811343706445E-3</v>
      </c>
      <c r="K465">
        <f t="shared" ref="K465" si="1585">K464+K462</f>
        <v>9.3850836134020087E-3</v>
      </c>
      <c r="L465">
        <f t="shared" ref="L465" si="1586">L464+L462</f>
        <v>8.2227885052245445E-3</v>
      </c>
      <c r="M465">
        <f t="shared" ref="M465" si="1587">M464+M462</f>
        <v>6.4023381240072485E-3</v>
      </c>
      <c r="N465">
        <f t="shared" ref="N465" si="1588">N464+N462</f>
        <v>5.1381745102650677E-3</v>
      </c>
      <c r="O465">
        <f t="shared" ref="O465" si="1589">O464+O462</f>
        <v>4.5575582050152007E-3</v>
      </c>
    </row>
    <row r="466" spans="1:32" ht="17.149999999999999" x14ac:dyDescent="0.55000000000000004">
      <c r="B466" t="str">
        <f t="shared" si="1556"/>
        <v>Portland</v>
      </c>
      <c r="C466" t="s">
        <v>579</v>
      </c>
      <c r="D466" cm="1">
        <f t="array" ref="D466">IFERROR(IF(D451="Chemical",(10^(INDEX(Antoines,MATCH(D450,Antoine_Name,0),2)-INDEX(Antoines,MATCH(D450,Antoine_Name,0),3)/(INDEX(Antoines,MATCH(D450,Antoine_Name,0),4)+(D459-32)*5/9)))*14.7/760,IF(D451="Crude Oil",EXP((2799/(D459+459.6)-2.227)*LOG10(INDEX(FX_Input,Q$5,D$3*$Z$5+$AA$5))-(7261/(D459+459.6))+12.82),IF(D451="Refined Petroleum Stock",EXP((0.7553-(413/(D459+459.6)))*(INDEX(FX_Input,Q$5,D$3*$Z$5+$AA$5-1)^0.5)*LOG10(INDEX(FX_Input,Q$5,D$3*$Z$5+$AA$5))-(1.854-(1042/(D459+459.6)))*(INDEX(FX_Input,Q$5,D$3*$Z$5+$AA$5-1)^0.5)+((2416/(D459+459.6)-2.013)*LOG10(INDEX(FX_Input,Q$5,D$3*$Z$5+$AA$5)))-(8742/(D459+459.6))+15.64),EXP(INDEX(Antoines,MATCH(D450,Antoine_Name,0),2)-INDEX(Antoines,MATCH(D450,Antoine_Name,0),3)/(D459+459.6))))),0)</f>
        <v>5.3446173929904582E-3</v>
      </c>
      <c r="E466" cm="1">
        <f t="array" ref="E466">IFERROR(IF(E451="Chemical",(10^(INDEX(Antoines,MATCH(E450,Antoine_Name,0),2)-INDEX(Antoines,MATCH(E450,Antoine_Name,0),3)/(INDEX(Antoines,MATCH(E450,Antoine_Name,0),4)+(E459-32)*5/9)))*14.7/760,IF(E451="Crude Oil",EXP((2799/(E459+459.6)-2.227)*LOG10(INDEX(FX_Input,R$5,E$3*$Z$5+$AA$5))-(7261/(E459+459.6))+12.82),IF(E451="Refined Petroleum Stock",EXP((0.7553-(413/(E459+459.6)))*(INDEX(FX_Input,R$5,E$3*$Z$5+$AA$5-1)^0.5)*LOG10(INDEX(FX_Input,R$5,E$3*$Z$5+$AA$5))-(1.854-(1042/(E459+459.6)))*(INDEX(FX_Input,R$5,E$3*$Z$5+$AA$5-1)^0.5)+((2416/(E459+459.6)-2.013)*LOG10(INDEX(FX_Input,R$5,E$3*$Z$5+$AA$5)))-(8742/(E459+459.6))+15.64),EXP(INDEX(Antoines,MATCH(E450,Antoine_Name,0),2)-INDEX(Antoines,MATCH(E450,Antoine_Name,0),3)/(E459+459.6))))),0)</f>
        <v>5.8020727825229086E-3</v>
      </c>
      <c r="F466" cm="1">
        <f t="array" ref="F466">IFERROR(IF(F451="Chemical",(10^(INDEX(Antoines,MATCH(F450,Antoine_Name,0),2)-INDEX(Antoines,MATCH(F450,Antoine_Name,0),3)/(INDEX(Antoines,MATCH(F450,Antoine_Name,0),4)+(F459-32)*5/9)))*14.7/760,IF(F451="Crude Oil",EXP((2799/(F459+459.6)-2.227)*LOG10(INDEX(FX_Input,S$5,F$3*$Z$5+$AA$5))-(7261/(F459+459.6))+12.82),IF(F451="Refined Petroleum Stock",EXP((0.7553-(413/(F459+459.6)))*(INDEX(FX_Input,S$5,F$3*$Z$5+$AA$5-1)^0.5)*LOG10(INDEX(FX_Input,S$5,F$3*$Z$5+$AA$5))-(1.854-(1042/(F459+459.6)))*(INDEX(FX_Input,S$5,F$3*$Z$5+$AA$5-1)^0.5)+((2416/(F459+459.6)-2.013)*LOG10(INDEX(FX_Input,S$5,F$3*$Z$5+$AA$5)))-(8742/(F459+459.6))+15.64),EXP(INDEX(Antoines,MATCH(F450,Antoine_Name,0),2)-INDEX(Antoines,MATCH(F450,Antoine_Name,0),3)/(F459+459.6))))),0)</f>
        <v>6.3194597984808799E-3</v>
      </c>
      <c r="G466" cm="1">
        <f t="array" ref="G466">IFERROR(IF(G451="Chemical",(10^(INDEX(Antoines,MATCH(G450,Antoine_Name,0),2)-INDEX(Antoines,MATCH(G450,Antoine_Name,0),3)/(INDEX(Antoines,MATCH(G450,Antoine_Name,0),4)+(G459-32)*5/9)))*14.7/760,IF(G451="Crude Oil",EXP((2799/(G459+459.6)-2.227)*LOG10(INDEX(FX_Input,T$5,G$3*$Z$5+$AA$5))-(7261/(G459+459.6))+12.82),IF(G451="Refined Petroleum Stock",EXP((0.7553-(413/(G459+459.6)))*(INDEX(FX_Input,T$5,G$3*$Z$5+$AA$5-1)^0.5)*LOG10(INDEX(FX_Input,T$5,G$3*$Z$5+$AA$5))-(1.854-(1042/(G459+459.6)))*(INDEX(FX_Input,T$5,G$3*$Z$5+$AA$5-1)^0.5)+((2416/(G459+459.6)-2.013)*LOG10(INDEX(FX_Input,T$5,G$3*$Z$5+$AA$5)))-(8742/(G459+459.6))+15.64),EXP(INDEX(Antoines,MATCH(G450,Antoine_Name,0),2)-INDEX(Antoines,MATCH(G450,Antoine_Name,0),3)/(G459+459.6))))),0)</f>
        <v>7.2400469002136831E-3</v>
      </c>
      <c r="H466" cm="1">
        <f t="array" ref="H466">IFERROR(IF(H451="Chemical",(10^(INDEX(Antoines,MATCH(H450,Antoine_Name,0),2)-INDEX(Antoines,MATCH(H450,Antoine_Name,0),3)/(INDEX(Antoines,MATCH(H450,Antoine_Name,0),4)+(H459-32)*5/9)))*14.7/760,IF(H451="Crude Oil",EXP((2799/(H459+459.6)-2.227)*LOG10(INDEX(FX_Input,U$5,H$3*$Z$5+$AA$5))-(7261/(H459+459.6))+12.82),IF(H451="Refined Petroleum Stock",EXP((0.7553-(413/(H459+459.6)))*(INDEX(FX_Input,U$5,H$3*$Z$5+$AA$5-1)^0.5)*LOG10(INDEX(FX_Input,U$5,H$3*$Z$5+$AA$5))-(1.854-(1042/(H459+459.6)))*(INDEX(FX_Input,U$5,H$3*$Z$5+$AA$5-1)^0.5)+((2416/(H459+459.6)-2.013)*LOG10(INDEX(FX_Input,U$5,H$3*$Z$5+$AA$5)))-(8742/(H459+459.6))+15.64),EXP(INDEX(Antoines,MATCH(H450,Antoine_Name,0),2)-INDEX(Antoines,MATCH(H450,Antoine_Name,0),3)/(H459+459.6))))),0)</f>
        <v>8.7355319390561535E-3</v>
      </c>
      <c r="I466" cm="1">
        <f t="array" ref="I466">IFERROR(IF(I451="Chemical",(10^(INDEX(Antoines,MATCH(I450,Antoine_Name,0),2)-INDEX(Antoines,MATCH(I450,Antoine_Name,0),3)/(INDEX(Antoines,MATCH(I450,Antoine_Name,0),4)+(I459-32)*5/9)))*14.7/760,IF(I451="Crude Oil",EXP((2799/(I459+459.6)-2.227)*LOG10(INDEX(FX_Input,V$5,I$3*$Z$5+$AA$5))-(7261/(I459+459.6))+12.82),IF(I451="Refined Petroleum Stock",EXP((0.7553-(413/(I459+459.6)))*(INDEX(FX_Input,V$5,I$3*$Z$5+$AA$5-1)^0.5)*LOG10(INDEX(FX_Input,V$5,I$3*$Z$5+$AA$5))-(1.854-(1042/(I459+459.6)))*(INDEX(FX_Input,V$5,I$3*$Z$5+$AA$5-1)^0.5)+((2416/(I459+459.6)-2.013)*LOG10(INDEX(FX_Input,V$5,I$3*$Z$5+$AA$5)))-(8742/(I459+459.6))+15.64),EXP(INDEX(Antoines,MATCH(I450,Antoine_Name,0),2)-INDEX(Antoines,MATCH(I450,Antoine_Name,0),3)/(I459+459.6))))),0)</f>
        <v>9.9506270401879347E-3</v>
      </c>
      <c r="J466" cm="1">
        <f t="array" ref="J466">IFERROR(IF(J451="Chemical",(10^(INDEX(Antoines,MATCH(J450,Antoine_Name,0),2)-INDEX(Antoines,MATCH(J450,Antoine_Name,0),3)/(INDEX(Antoines,MATCH(J450,Antoine_Name,0),4)+(J459-32)*5/9)))*14.7/760,IF(J451="Crude Oil",EXP((2799/(J459+459.6)-2.227)*LOG10(INDEX(FX_Input,W$5,J$3*$Z$5+$AA$5))-(7261/(J459+459.6))+12.82),IF(J451="Refined Petroleum Stock",EXP((0.7553-(413/(J459+459.6)))*(INDEX(FX_Input,W$5,J$3*$Z$5+$AA$5-1)^0.5)*LOG10(INDEX(FX_Input,W$5,J$3*$Z$5+$AA$5))-(1.854-(1042/(J459+459.6)))*(INDEX(FX_Input,W$5,J$3*$Z$5+$AA$5-1)^0.5)+((2416/(J459+459.6)-2.013)*LOG10(INDEX(FX_Input,W$5,J$3*$Z$5+$AA$5)))-(8742/(J459+459.6))+15.64),EXP(INDEX(Antoines,MATCH(J450,Antoine_Name,0),2)-INDEX(Antoines,MATCH(J450,Antoine_Name,0),3)/(J459+459.6))))),0)</f>
        <v>1.1263733235793187E-2</v>
      </c>
      <c r="K466" cm="1">
        <f t="array" ref="K466">IFERROR(IF(K451="Chemical",(10^(INDEX(Antoines,MATCH(K450,Antoine_Name,0),2)-INDEX(Antoines,MATCH(K450,Antoine_Name,0),3)/(INDEX(Antoines,MATCH(K450,Antoine_Name,0),4)+(K459-32)*5/9)))*14.7/760,IF(K451="Crude Oil",EXP((2799/(K459+459.6)-2.227)*LOG10(INDEX(FX_Input,X$5,K$3*$Z$5+$AA$5))-(7261/(K459+459.6))+12.82),IF(K451="Refined Petroleum Stock",EXP((0.7553-(413/(K459+459.6)))*(INDEX(FX_Input,X$5,K$3*$Z$5+$AA$5-1)^0.5)*LOG10(INDEX(FX_Input,X$5,K$3*$Z$5+$AA$5))-(1.854-(1042/(K459+459.6)))*(INDEX(FX_Input,X$5,K$3*$Z$5+$AA$5-1)^0.5)+((2416/(K459+459.6)-2.013)*LOG10(INDEX(FX_Input,X$5,K$3*$Z$5+$AA$5)))-(8742/(K459+459.6))+15.64),EXP(INDEX(Antoines,MATCH(K450,Antoine_Name,0),2)-INDEX(Antoines,MATCH(K450,Antoine_Name,0),3)/(K459+459.6))))),0)</f>
        <v>1.1184292386672267E-2</v>
      </c>
      <c r="L466" cm="1">
        <f t="array" ref="L466">IFERROR(IF(L451="Chemical",(10^(INDEX(Antoines,MATCH(L450,Antoine_Name,0),2)-INDEX(Antoines,MATCH(L450,Antoine_Name,0),3)/(INDEX(Antoines,MATCH(L450,Antoine_Name,0),4)+(L459-32)*5/9)))*14.7/760,IF(L451="Crude Oil",EXP((2799/(L459+459.6)-2.227)*LOG10(INDEX(FX_Input,Y$5,L$3*$Z$5+$AA$5))-(7261/(L459+459.6))+12.82),IF(L451="Refined Petroleum Stock",EXP((0.7553-(413/(L459+459.6)))*(INDEX(FX_Input,Y$5,L$3*$Z$5+$AA$5-1)^0.5)*LOG10(INDEX(FX_Input,Y$5,L$3*$Z$5+$AA$5))-(1.854-(1042/(L459+459.6)))*(INDEX(FX_Input,Y$5,L$3*$Z$5+$AA$5-1)^0.5)+((2416/(L459+459.6)-2.013)*LOG10(INDEX(FX_Input,Y$5,L$3*$Z$5+$AA$5)))-(8742/(L459+459.6))+15.64),EXP(INDEX(Antoines,MATCH(L450,Antoine_Name,0),2)-INDEX(Antoines,MATCH(L450,Antoine_Name,0),3)/(L459+459.6))))),0)</f>
        <v>1.0188141542731273E-2</v>
      </c>
      <c r="M466" cm="1">
        <f t="array" ref="M466">IFERROR(IF(M451="Chemical",(10^(INDEX(Antoines,MATCH(M450,Antoine_Name,0),2)-INDEX(Antoines,MATCH(M450,Antoine_Name,0),3)/(INDEX(Antoines,MATCH(M450,Antoine_Name,0),4)+(M459-32)*5/9)))*14.7/760,IF(M451="Crude Oil",EXP((2799/(M459+459.6)-2.227)*LOG10(INDEX(FX_Input,Z$5,M$3*$Z$5+$AA$5))-(7261/(M459+459.6))+12.82),IF(M451="Refined Petroleum Stock",EXP((0.7553-(413/(M459+459.6)))*(INDEX(FX_Input,Z$5,M$3*$Z$5+$AA$5-1)^0.5)*LOG10(INDEX(FX_Input,Z$5,M$3*$Z$5+$AA$5))-(1.854-(1042/(M459+459.6)))*(INDEX(FX_Input,Z$5,M$3*$Z$5+$AA$5-1)^0.5)+((2416/(M459+459.6)-2.013)*LOG10(INDEX(FX_Input,Z$5,M$3*$Z$5+$AA$5)))-(8742/(M459+459.6))+15.64),EXP(INDEX(Antoines,MATCH(M450,Antoine_Name,0),2)-INDEX(Antoines,MATCH(M450,Antoine_Name,0),3)/(M459+459.6))))),0)</f>
        <v>7.8038704244406936E-3</v>
      </c>
      <c r="N466" cm="1">
        <f t="array" ref="N466">IFERROR(IF(N451="Chemical",(10^(INDEX(Antoines,MATCH(N450,Antoine_Name,0),2)-INDEX(Antoines,MATCH(N450,Antoine_Name,0),3)/(INDEX(Antoines,MATCH(N450,Antoine_Name,0),4)+(N459-32)*5/9)))*14.7/760,IF(N451="Crude Oil",EXP((2799/(N459+459.6)-2.227)*LOG10(INDEX(FX_Input,AA$5,N$3*$Z$5+$AA$5))-(7261/(N459+459.6))+12.82),IF(N451="Refined Petroleum Stock",EXP((0.7553-(413/(N459+459.6)))*(INDEX(FX_Input,AA$5,N$3*$Z$5+$AA$5-1)^0.5)*LOG10(INDEX(FX_Input,AA$5,N$3*$Z$5+$AA$5))-(1.854-(1042/(N459+459.6)))*(INDEX(FX_Input,AA$5,N$3*$Z$5+$AA$5-1)^0.5)+((2416/(N459+459.6)-2.013)*LOG10(INDEX(FX_Input,AA$5,N$3*$Z$5+$AA$5)))-(8742/(N459+459.6))+15.64),EXP(INDEX(Antoines,MATCH(N450,Antoine_Name,0),2)-INDEX(Antoines,MATCH(N450,Antoine_Name,0),3)/(N459+459.6))))),0)</f>
        <v>6.0827945693034263E-3</v>
      </c>
      <c r="O466" cm="1">
        <f t="array" ref="O466">IFERROR(IF(O451="Chemical",(10^(INDEX(Antoines,MATCH(O450,Antoine_Name,0),2)-INDEX(Antoines,MATCH(O450,Antoine_Name,0),3)/(INDEX(Antoines,MATCH(O450,Antoine_Name,0),4)+(O459-32)*5/9)))*14.7/760,IF(O451="Crude Oil",EXP((2799/(O459+459.6)-2.227)*LOG10(INDEX(FX_Input,AB$5,O$3*$Z$5+$AA$5))-(7261/(O459+459.6))+12.82),IF(O451="Refined Petroleum Stock",EXP((0.7553-(413/(O459+459.6)))*(INDEX(FX_Input,AB$5,O$3*$Z$5+$AA$5-1)^0.5)*LOG10(INDEX(FX_Input,AB$5,O$3*$Z$5+$AA$5))-(1.854-(1042/(O459+459.6)))*(INDEX(FX_Input,AB$5,O$3*$Z$5+$AA$5-1)^0.5)+((2416/(O459+459.6)-2.013)*LOG10(INDEX(FX_Input,AB$5,O$3*$Z$5+$AA$5)))-(8742/(O459+459.6))+15.64),EXP(INDEX(Antoines,MATCH(O450,Antoine_Name,0),2)-INDEX(Antoines,MATCH(O450,Antoine_Name,0),3)/(O459+459.6))))),0)</f>
        <v>5.2448123115675692E-3</v>
      </c>
    </row>
    <row r="467" spans="1:32" ht="17.149999999999999" x14ac:dyDescent="0.55000000000000004">
      <c r="B467" t="str">
        <f t="shared" si="1556"/>
        <v>Portland</v>
      </c>
      <c r="C467" t="s">
        <v>580</v>
      </c>
      <c r="D467">
        <f>D466*D454</f>
        <v>5.3446173929904582E-3</v>
      </c>
      <c r="E467">
        <f t="shared" ref="E467" si="1590">E466*E454</f>
        <v>5.8020727825229086E-3</v>
      </c>
      <c r="F467">
        <f t="shared" ref="F467" si="1591">F466*F454</f>
        <v>6.3194597984808799E-3</v>
      </c>
      <c r="G467">
        <f t="shared" ref="G467" si="1592">G466*G454</f>
        <v>7.2400469002136831E-3</v>
      </c>
      <c r="H467">
        <f t="shared" ref="H467" si="1593">H466*H454</f>
        <v>8.7355319390561535E-3</v>
      </c>
      <c r="I467">
        <f t="shared" ref="I467" si="1594">I466*I454</f>
        <v>9.9506270401879347E-3</v>
      </c>
      <c r="J467">
        <f t="shared" ref="J467" si="1595">J466*J454</f>
        <v>1.1263733235793187E-2</v>
      </c>
      <c r="K467">
        <f t="shared" ref="K467" si="1596">K466*K454</f>
        <v>1.1184292386672267E-2</v>
      </c>
      <c r="L467">
        <f t="shared" ref="L467" si="1597">L466*L454</f>
        <v>1.0188141542731273E-2</v>
      </c>
      <c r="M467">
        <f t="shared" ref="M467" si="1598">M466*M454</f>
        <v>7.8038704244406936E-3</v>
      </c>
      <c r="N467">
        <f t="shared" ref="N467" si="1599">N466*N454</f>
        <v>6.0827945693034263E-3</v>
      </c>
      <c r="O467">
        <f t="shared" ref="O467" si="1600">O466*O454</f>
        <v>5.2448123115675692E-3</v>
      </c>
    </row>
    <row r="468" spans="1:32" ht="17.149999999999999" x14ac:dyDescent="0.55000000000000004">
      <c r="B468" t="str">
        <f t="shared" si="1556"/>
        <v>Portland</v>
      </c>
      <c r="C468" t="s">
        <v>581</v>
      </c>
      <c r="D468" cm="1">
        <f t="array" ref="D468">IFERROR(IF(D453="Chemical",(10^(INDEX(Antoines,MATCH(D452,Antoine_Name,0),2)-INDEX(Antoines,MATCH(D452,Antoine_Name,0),3)/(INDEX(Antoines,MATCH(D452,Antoine_Name,0),4)+(D459-32)*5/9)))*14.7/760,IF(D453="Crude Oil",EXP((2799/(D459+459.6)-2.227)*LOG10(INDEX(FX_Input,Q$5,D$3*$Z$5+$AA$5))-(7261/(D459+459.6))+12.82),IF(D453="Refined Petroleum Stock",EXP((0.7553-(413/(D459+459.6)))*(INDEX(FX_Input,Q$5,D$3*$Z$5+$AA$5-1)^0.5)*LOG10(INDEX(FX_Input,Q$5,D$3*$Z$5+$AA$5))-(1.854-(1042/(D459+459.6)))*(INDEX(FX_Input,Q$5,D$3*$Z$5+$AA$5-1)^0.5)+((2416/(D459+459.6)-2.013)*LOG10(INDEX(FX_Input,Q$5,D$3*$Z$5+$AA$5)))-(8742/(D459+459.6))+15.64),EXP(INDEX(Antoines,MATCH(D452,Antoine_Name,0),2)-INDEX(Antoines,MATCH(D452,Antoine_Name,0),3)/(D459+459.6))))),0)</f>
        <v>0</v>
      </c>
      <c r="E468" cm="1">
        <f t="array" ref="E468">IFERROR(IF(E453="Chemical",(10^(INDEX(Antoines,MATCH(E452,Antoine_Name,0),2)-INDEX(Antoines,MATCH(E452,Antoine_Name,0),3)/(INDEX(Antoines,MATCH(E452,Antoine_Name,0),4)+(E459-32)*5/9)))*14.7/760,IF(E453="Crude Oil",EXP((2799/(E459+459.6)-2.227)*LOG10(INDEX(FX_Input,R$5,E$3*$Z$5+$AA$5))-(7261/(E459+459.6))+12.82),IF(E453="Refined Petroleum Stock",EXP((0.7553-(413/(E459+459.6)))*(INDEX(FX_Input,R$5,E$3*$Z$5+$AA$5-1)^0.5)*LOG10(INDEX(FX_Input,R$5,E$3*$Z$5+$AA$5))-(1.854-(1042/(E459+459.6)))*(INDEX(FX_Input,R$5,E$3*$Z$5+$AA$5-1)^0.5)+((2416/(E459+459.6)-2.013)*LOG10(INDEX(FX_Input,R$5,E$3*$Z$5+$AA$5)))-(8742/(E459+459.6))+15.64),EXP(INDEX(Antoines,MATCH(E452,Antoine_Name,0),2)-INDEX(Antoines,MATCH(E452,Antoine_Name,0),3)/(E459+459.6))))),0)</f>
        <v>0</v>
      </c>
      <c r="F468" cm="1">
        <f t="array" ref="F468">IFERROR(IF(F453="Chemical",(10^(INDEX(Antoines,MATCH(F452,Antoine_Name,0),2)-INDEX(Antoines,MATCH(F452,Antoine_Name,0),3)/(INDEX(Antoines,MATCH(F452,Antoine_Name,0),4)+(F459-32)*5/9)))*14.7/760,IF(F453="Crude Oil",EXP((2799/(F459+459.6)-2.227)*LOG10(INDEX(FX_Input,S$5,F$3*$Z$5+$AA$5))-(7261/(F459+459.6))+12.82),IF(F453="Refined Petroleum Stock",EXP((0.7553-(413/(F459+459.6)))*(INDEX(FX_Input,S$5,F$3*$Z$5+$AA$5-1)^0.5)*LOG10(INDEX(FX_Input,S$5,F$3*$Z$5+$AA$5))-(1.854-(1042/(F459+459.6)))*(INDEX(FX_Input,S$5,F$3*$Z$5+$AA$5-1)^0.5)+((2416/(F459+459.6)-2.013)*LOG10(INDEX(FX_Input,S$5,F$3*$Z$5+$AA$5)))-(8742/(F459+459.6))+15.64),EXP(INDEX(Antoines,MATCH(F452,Antoine_Name,0),2)-INDEX(Antoines,MATCH(F452,Antoine_Name,0),3)/(F459+459.6))))),0)</f>
        <v>0</v>
      </c>
      <c r="G468" cm="1">
        <f t="array" ref="G468">IFERROR(IF(G453="Chemical",(10^(INDEX(Antoines,MATCH(G452,Antoine_Name,0),2)-INDEX(Antoines,MATCH(G452,Antoine_Name,0),3)/(INDEX(Antoines,MATCH(G452,Antoine_Name,0),4)+(G459-32)*5/9)))*14.7/760,IF(G453="Crude Oil",EXP((2799/(G459+459.6)-2.227)*LOG10(INDEX(FX_Input,T$5,G$3*$Z$5+$AA$5))-(7261/(G459+459.6))+12.82),IF(G453="Refined Petroleum Stock",EXP((0.7553-(413/(G459+459.6)))*(INDEX(FX_Input,T$5,G$3*$Z$5+$AA$5-1)^0.5)*LOG10(INDEX(FX_Input,T$5,G$3*$Z$5+$AA$5))-(1.854-(1042/(G459+459.6)))*(INDEX(FX_Input,T$5,G$3*$Z$5+$AA$5-1)^0.5)+((2416/(G459+459.6)-2.013)*LOG10(INDEX(FX_Input,T$5,G$3*$Z$5+$AA$5)))-(8742/(G459+459.6))+15.64),EXP(INDEX(Antoines,MATCH(G452,Antoine_Name,0),2)-INDEX(Antoines,MATCH(G452,Antoine_Name,0),3)/(G459+459.6))))),0)</f>
        <v>0</v>
      </c>
      <c r="H468" cm="1">
        <f t="array" ref="H468">IFERROR(IF(H453="Chemical",(10^(INDEX(Antoines,MATCH(H452,Antoine_Name,0),2)-INDEX(Antoines,MATCH(H452,Antoine_Name,0),3)/(INDEX(Antoines,MATCH(H452,Antoine_Name,0),4)+(H459-32)*5/9)))*14.7/760,IF(H453="Crude Oil",EXP((2799/(H459+459.6)-2.227)*LOG10(INDEX(FX_Input,U$5,H$3*$Z$5+$AA$5))-(7261/(H459+459.6))+12.82),IF(H453="Refined Petroleum Stock",EXP((0.7553-(413/(H459+459.6)))*(INDEX(FX_Input,U$5,H$3*$Z$5+$AA$5-1)^0.5)*LOG10(INDEX(FX_Input,U$5,H$3*$Z$5+$AA$5))-(1.854-(1042/(H459+459.6)))*(INDEX(FX_Input,U$5,H$3*$Z$5+$AA$5-1)^0.5)+((2416/(H459+459.6)-2.013)*LOG10(INDEX(FX_Input,U$5,H$3*$Z$5+$AA$5)))-(8742/(H459+459.6))+15.64),EXP(INDEX(Antoines,MATCH(H452,Antoine_Name,0),2)-INDEX(Antoines,MATCH(H452,Antoine_Name,0),3)/(H459+459.6))))),0)</f>
        <v>0</v>
      </c>
      <c r="I468" cm="1">
        <f t="array" ref="I468">IFERROR(IF(I453="Chemical",(10^(INDEX(Antoines,MATCH(I452,Antoine_Name,0),2)-INDEX(Antoines,MATCH(I452,Antoine_Name,0),3)/(INDEX(Antoines,MATCH(I452,Antoine_Name,0),4)+(I459-32)*5/9)))*14.7/760,IF(I453="Crude Oil",EXP((2799/(I459+459.6)-2.227)*LOG10(INDEX(FX_Input,V$5,I$3*$Z$5+$AA$5))-(7261/(I459+459.6))+12.82),IF(I453="Refined Petroleum Stock",EXP((0.7553-(413/(I459+459.6)))*(INDEX(FX_Input,V$5,I$3*$Z$5+$AA$5-1)^0.5)*LOG10(INDEX(FX_Input,V$5,I$3*$Z$5+$AA$5))-(1.854-(1042/(I459+459.6)))*(INDEX(FX_Input,V$5,I$3*$Z$5+$AA$5-1)^0.5)+((2416/(I459+459.6)-2.013)*LOG10(INDEX(FX_Input,V$5,I$3*$Z$5+$AA$5)))-(8742/(I459+459.6))+15.64),EXP(INDEX(Antoines,MATCH(I452,Antoine_Name,0),2)-INDEX(Antoines,MATCH(I452,Antoine_Name,0),3)/(I459+459.6))))),0)</f>
        <v>0</v>
      </c>
      <c r="J468" cm="1">
        <f t="array" ref="J468">IFERROR(IF(J453="Chemical",(10^(INDEX(Antoines,MATCH(J452,Antoine_Name,0),2)-INDEX(Antoines,MATCH(J452,Antoine_Name,0),3)/(INDEX(Antoines,MATCH(J452,Antoine_Name,0),4)+(J459-32)*5/9)))*14.7/760,IF(J453="Crude Oil",EXP((2799/(J459+459.6)-2.227)*LOG10(INDEX(FX_Input,W$5,J$3*$Z$5+$AA$5))-(7261/(J459+459.6))+12.82),IF(J453="Refined Petroleum Stock",EXP((0.7553-(413/(J459+459.6)))*(INDEX(FX_Input,W$5,J$3*$Z$5+$AA$5-1)^0.5)*LOG10(INDEX(FX_Input,W$5,J$3*$Z$5+$AA$5))-(1.854-(1042/(J459+459.6)))*(INDEX(FX_Input,W$5,J$3*$Z$5+$AA$5-1)^0.5)+((2416/(J459+459.6)-2.013)*LOG10(INDEX(FX_Input,W$5,J$3*$Z$5+$AA$5)))-(8742/(J459+459.6))+15.64),EXP(INDEX(Antoines,MATCH(J452,Antoine_Name,0),2)-INDEX(Antoines,MATCH(J452,Antoine_Name,0),3)/(J459+459.6))))),0)</f>
        <v>0</v>
      </c>
      <c r="K468" cm="1">
        <f t="array" ref="K468">IFERROR(IF(K453="Chemical",(10^(INDEX(Antoines,MATCH(K452,Antoine_Name,0),2)-INDEX(Antoines,MATCH(K452,Antoine_Name,0),3)/(INDEX(Antoines,MATCH(K452,Antoine_Name,0),4)+(K459-32)*5/9)))*14.7/760,IF(K453="Crude Oil",EXP((2799/(K459+459.6)-2.227)*LOG10(INDEX(FX_Input,X$5,K$3*$Z$5+$AA$5))-(7261/(K459+459.6))+12.82),IF(K453="Refined Petroleum Stock",EXP((0.7553-(413/(K459+459.6)))*(INDEX(FX_Input,X$5,K$3*$Z$5+$AA$5-1)^0.5)*LOG10(INDEX(FX_Input,X$5,K$3*$Z$5+$AA$5))-(1.854-(1042/(K459+459.6)))*(INDEX(FX_Input,X$5,K$3*$Z$5+$AA$5-1)^0.5)+((2416/(K459+459.6)-2.013)*LOG10(INDEX(FX_Input,X$5,K$3*$Z$5+$AA$5)))-(8742/(K459+459.6))+15.64),EXP(INDEX(Antoines,MATCH(K452,Antoine_Name,0),2)-INDEX(Antoines,MATCH(K452,Antoine_Name,0),3)/(K459+459.6))))),0)</f>
        <v>0</v>
      </c>
      <c r="L468" cm="1">
        <f t="array" ref="L468">IFERROR(IF(L453="Chemical",(10^(INDEX(Antoines,MATCH(L452,Antoine_Name,0),2)-INDEX(Antoines,MATCH(L452,Antoine_Name,0),3)/(INDEX(Antoines,MATCH(L452,Antoine_Name,0),4)+(L459-32)*5/9)))*14.7/760,IF(L453="Crude Oil",EXP((2799/(L459+459.6)-2.227)*LOG10(INDEX(FX_Input,Y$5,L$3*$Z$5+$AA$5))-(7261/(L459+459.6))+12.82),IF(L453="Refined Petroleum Stock",EXP((0.7553-(413/(L459+459.6)))*(INDEX(FX_Input,Y$5,L$3*$Z$5+$AA$5-1)^0.5)*LOG10(INDEX(FX_Input,Y$5,L$3*$Z$5+$AA$5))-(1.854-(1042/(L459+459.6)))*(INDEX(FX_Input,Y$5,L$3*$Z$5+$AA$5-1)^0.5)+((2416/(L459+459.6)-2.013)*LOG10(INDEX(FX_Input,Y$5,L$3*$Z$5+$AA$5)))-(8742/(L459+459.6))+15.64),EXP(INDEX(Antoines,MATCH(L452,Antoine_Name,0),2)-INDEX(Antoines,MATCH(L452,Antoine_Name,0),3)/(L459+459.6))))),0)</f>
        <v>0</v>
      </c>
      <c r="M468" cm="1">
        <f t="array" ref="M468">IFERROR(IF(M453="Chemical",(10^(INDEX(Antoines,MATCH(M452,Antoine_Name,0),2)-INDEX(Antoines,MATCH(M452,Antoine_Name,0),3)/(INDEX(Antoines,MATCH(M452,Antoine_Name,0),4)+(M459-32)*5/9)))*14.7/760,IF(M453="Crude Oil",EXP((2799/(M459+459.6)-2.227)*LOG10(INDEX(FX_Input,Z$5,M$3*$Z$5+$AA$5))-(7261/(M459+459.6))+12.82),IF(M453="Refined Petroleum Stock",EXP((0.7553-(413/(M459+459.6)))*(INDEX(FX_Input,Z$5,M$3*$Z$5+$AA$5-1)^0.5)*LOG10(INDEX(FX_Input,Z$5,M$3*$Z$5+$AA$5))-(1.854-(1042/(M459+459.6)))*(INDEX(FX_Input,Z$5,M$3*$Z$5+$AA$5-1)^0.5)+((2416/(M459+459.6)-2.013)*LOG10(INDEX(FX_Input,Z$5,M$3*$Z$5+$AA$5)))-(8742/(M459+459.6))+15.64),EXP(INDEX(Antoines,MATCH(M452,Antoine_Name,0),2)-INDEX(Antoines,MATCH(M452,Antoine_Name,0),3)/(M459+459.6))))),0)</f>
        <v>0</v>
      </c>
      <c r="N468" cm="1">
        <f t="array" ref="N468">IFERROR(IF(N453="Chemical",(10^(INDEX(Antoines,MATCH(N452,Antoine_Name,0),2)-INDEX(Antoines,MATCH(N452,Antoine_Name,0),3)/(INDEX(Antoines,MATCH(N452,Antoine_Name,0),4)+(N459-32)*5/9)))*14.7/760,IF(N453="Crude Oil",EXP((2799/(N459+459.6)-2.227)*LOG10(INDEX(FX_Input,AA$5,N$3*$Z$5+$AA$5))-(7261/(N459+459.6))+12.82),IF(N453="Refined Petroleum Stock",EXP((0.7553-(413/(N459+459.6)))*(INDEX(FX_Input,AA$5,N$3*$Z$5+$AA$5-1)^0.5)*LOG10(INDEX(FX_Input,AA$5,N$3*$Z$5+$AA$5))-(1.854-(1042/(N459+459.6)))*(INDEX(FX_Input,AA$5,N$3*$Z$5+$AA$5-1)^0.5)+((2416/(N459+459.6)-2.013)*LOG10(INDEX(FX_Input,AA$5,N$3*$Z$5+$AA$5)))-(8742/(N459+459.6))+15.64),EXP(INDEX(Antoines,MATCH(N452,Antoine_Name,0),2)-INDEX(Antoines,MATCH(N452,Antoine_Name,0),3)/(N459+459.6))))),0)</f>
        <v>0</v>
      </c>
      <c r="O468" cm="1">
        <f t="array" ref="O468">IFERROR(IF(O453="Chemical",(10^(INDEX(Antoines,MATCH(O452,Antoine_Name,0),2)-INDEX(Antoines,MATCH(O452,Antoine_Name,0),3)/(INDEX(Antoines,MATCH(O452,Antoine_Name,0),4)+(O459-32)*5/9)))*14.7/760,IF(O453="Crude Oil",EXP((2799/(O459+459.6)-2.227)*LOG10(INDEX(FX_Input,AB$5,O$3*$Z$5+$AA$5))-(7261/(O459+459.6))+12.82),IF(O453="Refined Petroleum Stock",EXP((0.7553-(413/(O459+459.6)))*(INDEX(FX_Input,AB$5,O$3*$Z$5+$AA$5-1)^0.5)*LOG10(INDEX(FX_Input,AB$5,O$3*$Z$5+$AA$5))-(1.854-(1042/(O459+459.6)))*(INDEX(FX_Input,AB$5,O$3*$Z$5+$AA$5-1)^0.5)+((2416/(O459+459.6)-2.013)*LOG10(INDEX(FX_Input,AB$5,O$3*$Z$5+$AA$5)))-(8742/(O459+459.6))+15.64),EXP(INDEX(Antoines,MATCH(O452,Antoine_Name,0),2)-INDEX(Antoines,MATCH(O452,Antoine_Name,0),3)/(O459+459.6))))),0)</f>
        <v>0</v>
      </c>
    </row>
    <row r="469" spans="1:32" ht="17.149999999999999" x14ac:dyDescent="0.55000000000000004">
      <c r="B469" t="str">
        <f t="shared" si="1556"/>
        <v>Portland</v>
      </c>
      <c r="C469" t="s">
        <v>582</v>
      </c>
      <c r="D469">
        <f>D468*D456</f>
        <v>0</v>
      </c>
      <c r="E469">
        <f t="shared" ref="E469" si="1601">E468*E456</f>
        <v>0</v>
      </c>
      <c r="F469">
        <f t="shared" ref="F469" si="1602">F468*F456</f>
        <v>0</v>
      </c>
      <c r="G469">
        <f t="shared" ref="G469" si="1603">G468*G456</f>
        <v>0</v>
      </c>
      <c r="H469">
        <f t="shared" ref="H469" si="1604">H468*H456</f>
        <v>0</v>
      </c>
      <c r="I469">
        <f t="shared" ref="I469" si="1605">I468*I456</f>
        <v>0</v>
      </c>
      <c r="J469">
        <f t="shared" ref="J469" si="1606">J468*J456</f>
        <v>0</v>
      </c>
      <c r="K469">
        <f t="shared" ref="K469" si="1607">K468*K456</f>
        <v>0</v>
      </c>
      <c r="L469">
        <f t="shared" ref="L469" si="1608">L468*L456</f>
        <v>0</v>
      </c>
      <c r="M469">
        <f t="shared" ref="M469" si="1609">M468*M456</f>
        <v>0</v>
      </c>
      <c r="N469">
        <f t="shared" ref="N469" si="1610">N468*N456</f>
        <v>0</v>
      </c>
      <c r="O469">
        <f t="shared" ref="O469" si="1611">O468*O456</f>
        <v>0</v>
      </c>
    </row>
    <row r="470" spans="1:32" ht="17.149999999999999" x14ac:dyDescent="0.55000000000000004">
      <c r="B470" t="str">
        <f t="shared" si="1556"/>
        <v>Portland</v>
      </c>
      <c r="C470" t="s">
        <v>583</v>
      </c>
      <c r="D470">
        <f>D467+D469</f>
        <v>5.3446173929904582E-3</v>
      </c>
      <c r="E470">
        <f t="shared" ref="E470" si="1612">E467+E469</f>
        <v>5.8020727825229086E-3</v>
      </c>
      <c r="F470">
        <f t="shared" ref="F470" si="1613">F467+F469</f>
        <v>6.3194597984808799E-3</v>
      </c>
      <c r="G470">
        <f t="shared" ref="G470" si="1614">G467+G469</f>
        <v>7.2400469002136831E-3</v>
      </c>
      <c r="H470">
        <f t="shared" ref="H470" si="1615">H467+H469</f>
        <v>8.7355319390561535E-3</v>
      </c>
      <c r="I470">
        <f t="shared" ref="I470" si="1616">I467+I469</f>
        <v>9.9506270401879347E-3</v>
      </c>
      <c r="J470">
        <f t="shared" ref="J470" si="1617">J467+J469</f>
        <v>1.1263733235793187E-2</v>
      </c>
      <c r="K470">
        <f t="shared" ref="K470" si="1618">K467+K469</f>
        <v>1.1184292386672267E-2</v>
      </c>
      <c r="L470">
        <f t="shared" ref="L470" si="1619">L467+L469</f>
        <v>1.0188141542731273E-2</v>
      </c>
      <c r="M470">
        <f t="shared" ref="M470" si="1620">M467+M469</f>
        <v>7.8038704244406936E-3</v>
      </c>
      <c r="N470">
        <f t="shared" ref="N470" si="1621">N467+N469</f>
        <v>6.0827945693034263E-3</v>
      </c>
      <c r="O470">
        <f t="shared" ref="O470" si="1622">O467+O469</f>
        <v>5.2448123115675692E-3</v>
      </c>
    </row>
    <row r="471" spans="1:32" ht="17.149999999999999" x14ac:dyDescent="0.55000000000000004">
      <c r="B471" t="str">
        <f t="shared" si="1556"/>
        <v>Portland</v>
      </c>
      <c r="C471" t="s">
        <v>1388</v>
      </c>
      <c r="D471" cm="1">
        <f t="array" ref="D471">IFERROR(IF(D451="Chemical",(10^(INDEX(Antoines,MATCH(D450,Antoine_Name,0),2)-INDEX(Antoines,MATCH(D450,Antoine_Name,0),3)/(INDEX(Antoines,MATCH(D450,Antoine_Name,0),4)+(D460-32)*5/9)))*14.7/760,IF(D451="Crude Oil",EXP((2799/(D460+459.6)-2.227)*LOG10(INDEX(FX_Input,Q$5,D$3*$Z$5+$AA$5))-(7261/(D460+459.6))+12.82),IF(D451="Refined Petroleum Stock",EXP((0.7553-(413/(D460+459.6)))*(INDEX(FX_Input,Q$5,D$3*$Z$5+$AA$5-1)^0.5)*LOG10(INDEX(FX_Input,Q$5,D$3*$Z$5+$AA$5))-(1.854-(1042/(D460+459.6)))*(INDEX(FX_Input,Q$5,D$3*$Z$5+$AA$5-1)^0.5)+((2416/(D460+459.6)-2.013)*LOG10(INDEX(FX_Input,Q$5,D$3*$Z$5+$AA$5)))-(8742/(D460+459.6))+15.64),EXP(INDEX(Antoines,MATCH(D450,Antoine_Name,0),2)-INDEX(Antoines,MATCH(D450,Antoine_Name,0),3)/(D460+459.6))))),0)</f>
        <v>5.0788096823034274E-3</v>
      </c>
      <c r="E471" cm="1">
        <f t="array" ref="E471">IFERROR(IF(E451="Chemical",(10^(INDEX(Antoines,MATCH(E450,Antoine_Name,0),2)-INDEX(Antoines,MATCH(E450,Antoine_Name,0),3)/(INDEX(Antoines,MATCH(E450,Antoine_Name,0),4)+(E460-32)*5/9)))*14.7/760,IF(E451="Crude Oil",EXP((2799/(E460+459.6)-2.227)*LOG10(INDEX(FX_Input,R$5,E$3*$Z$5+$AA$5))-(7261/(E460+459.6))+12.82),IF(E451="Refined Petroleum Stock",EXP((0.7553-(413/(E460+459.6)))*(INDEX(FX_Input,R$5,E$3*$Z$5+$AA$5-1)^0.5)*LOG10(INDEX(FX_Input,R$5,E$3*$Z$5+$AA$5))-(1.854-(1042/(E460+459.6)))*(INDEX(FX_Input,R$5,E$3*$Z$5+$AA$5-1)^0.5)+((2416/(E460+459.6)-2.013)*LOG10(INDEX(FX_Input,R$5,E$3*$Z$5+$AA$5)))-(8742/(E460+459.6))+15.64),EXP(INDEX(Antoines,MATCH(E450,Antoine_Name,0),2)-INDEX(Antoines,MATCH(E450,Antoine_Name,0),3)/(E460+459.6))))),0)</f>
        <v>5.4974545080270654E-3</v>
      </c>
      <c r="F471" cm="1">
        <f t="array" ref="F471">IFERROR(IF(F451="Chemical",(10^(INDEX(Antoines,MATCH(F450,Antoine_Name,0),2)-INDEX(Antoines,MATCH(F450,Antoine_Name,0),3)/(INDEX(Antoines,MATCH(F450,Antoine_Name,0),4)+(F460-32)*5/9)))*14.7/760,IF(F451="Crude Oil",EXP((2799/(F460+459.6)-2.227)*LOG10(INDEX(FX_Input,S$5,F$3*$Z$5+$AA$5))-(7261/(F460+459.6))+12.82),IF(F451="Refined Petroleum Stock",EXP((0.7553-(413/(F460+459.6)))*(INDEX(FX_Input,S$5,F$3*$Z$5+$AA$5-1)^0.5)*LOG10(INDEX(FX_Input,S$5,F$3*$Z$5+$AA$5))-(1.854-(1042/(F460+459.6)))*(INDEX(FX_Input,S$5,F$3*$Z$5+$AA$5-1)^0.5)+((2416/(F460+459.6)-2.013)*LOG10(INDEX(FX_Input,S$5,F$3*$Z$5+$AA$5)))-(8742/(F460+459.6))+15.64),EXP(INDEX(Antoines,MATCH(F450,Antoine_Name,0),2)-INDEX(Antoines,MATCH(F450,Antoine_Name,0),3)/(F460+459.6))))),0)</f>
        <v>6.0939776204352973E-3</v>
      </c>
      <c r="G471" cm="1">
        <f t="array" ref="G471">IFERROR(IF(G451="Chemical",(10^(INDEX(Antoines,MATCH(G450,Antoine_Name,0),2)-INDEX(Antoines,MATCH(G450,Antoine_Name,0),3)/(INDEX(Antoines,MATCH(G450,Antoine_Name,0),4)+(G460-32)*5/9)))*14.7/760,IF(G451="Crude Oil",EXP((2799/(G460+459.6)-2.227)*LOG10(INDEX(FX_Input,T$5,G$3*$Z$5+$AA$5))-(7261/(G460+459.6))+12.82),IF(G451="Refined Petroleum Stock",EXP((0.7553-(413/(G460+459.6)))*(INDEX(FX_Input,T$5,G$3*$Z$5+$AA$5-1)^0.5)*LOG10(INDEX(FX_Input,T$5,G$3*$Z$5+$AA$5))-(1.854-(1042/(G460+459.6)))*(INDEX(FX_Input,T$5,G$3*$Z$5+$AA$5-1)^0.5)+((2416/(G460+459.6)-2.013)*LOG10(INDEX(FX_Input,T$5,G$3*$Z$5+$AA$5)))-(8742/(G460+459.6))+15.64),EXP(INDEX(Antoines,MATCH(G450,Antoine_Name,0),2)-INDEX(Antoines,MATCH(G450,Antoine_Name,0),3)/(G460+459.6))))),0)</f>
        <v>7.1364512548726224E-3</v>
      </c>
      <c r="H471" cm="1">
        <f t="array" ref="H471">IFERROR(IF(H451="Chemical",(10^(INDEX(Antoines,MATCH(H450,Antoine_Name,0),2)-INDEX(Antoines,MATCH(H450,Antoine_Name,0),3)/(INDEX(Antoines,MATCH(H450,Antoine_Name,0),4)+(H460-32)*5/9)))*14.7/760,IF(H451="Crude Oil",EXP((2799/(H460+459.6)-2.227)*LOG10(INDEX(FX_Input,U$5,H$3*$Z$5+$AA$5))-(7261/(H460+459.6))+12.82),IF(H451="Refined Petroleum Stock",EXP((0.7553-(413/(H460+459.6)))*(INDEX(FX_Input,U$5,H$3*$Z$5+$AA$5-1)^0.5)*LOG10(INDEX(FX_Input,U$5,H$3*$Z$5+$AA$5))-(1.854-(1042/(H460+459.6)))*(INDEX(FX_Input,U$5,H$3*$Z$5+$AA$5-1)^0.5)+((2416/(H460+459.6)-2.013)*LOG10(INDEX(FX_Input,U$5,H$3*$Z$5+$AA$5)))-(8742/(H460+459.6))+15.64),EXP(INDEX(Antoines,MATCH(H450,Antoine_Name,0),2)-INDEX(Antoines,MATCH(H450,Antoine_Name,0),3)/(H460+459.6))))),0)</f>
        <v>8.765284653116507E-3</v>
      </c>
      <c r="I471" cm="1">
        <f t="array" ref="I471">IFERROR(IF(I451="Chemical",(10^(INDEX(Antoines,MATCH(I450,Antoine_Name,0),2)-INDEX(Antoines,MATCH(I450,Antoine_Name,0),3)/(INDEX(Antoines,MATCH(I450,Antoine_Name,0),4)+(I460-32)*5/9)))*14.7/760,IF(I451="Crude Oil",EXP((2799/(I460+459.6)-2.227)*LOG10(INDEX(FX_Input,V$5,I$3*$Z$5+$AA$5))-(7261/(I460+459.6))+12.82),IF(I451="Refined Petroleum Stock",EXP((0.7553-(413/(I460+459.6)))*(INDEX(FX_Input,V$5,I$3*$Z$5+$AA$5-1)^0.5)*LOG10(INDEX(FX_Input,V$5,I$3*$Z$5+$AA$5))-(1.854-(1042/(I460+459.6)))*(INDEX(FX_Input,V$5,I$3*$Z$5+$AA$5-1)^0.5)+((2416/(I460+459.6)-2.013)*LOG10(INDEX(FX_Input,V$5,I$3*$Z$5+$AA$5)))-(8742/(I460+459.6))+15.64),EXP(INDEX(Antoines,MATCH(I450,Antoine_Name,0),2)-INDEX(Antoines,MATCH(I450,Antoine_Name,0),3)/(I460+459.6))))),0)</f>
        <v>1.0088391497030216E-2</v>
      </c>
      <c r="J471" cm="1">
        <f t="array" ref="J471">IFERROR(IF(J451="Chemical",(10^(INDEX(Antoines,MATCH(J450,Antoine_Name,0),2)-INDEX(Antoines,MATCH(J450,Antoine_Name,0),3)/(INDEX(Antoines,MATCH(J450,Antoine_Name,0),4)+(J460-32)*5/9)))*14.7/760,IF(J451="Crude Oil",EXP((2799/(J460+459.6)-2.227)*LOG10(INDEX(FX_Input,W$5,J$3*$Z$5+$AA$5))-(7261/(J460+459.6))+12.82),IF(J451="Refined Petroleum Stock",EXP((0.7553-(413/(J460+459.6)))*(INDEX(FX_Input,W$5,J$3*$Z$5+$AA$5-1)^0.5)*LOG10(INDEX(FX_Input,W$5,J$3*$Z$5+$AA$5))-(1.854-(1042/(J460+459.6)))*(INDEX(FX_Input,W$5,J$3*$Z$5+$AA$5-1)^0.5)+((2416/(J460+459.6)-2.013)*LOG10(INDEX(FX_Input,W$5,J$3*$Z$5+$AA$5)))-(8742/(J460+459.6))+15.64),EXP(INDEX(Antoines,MATCH(J450,Antoine_Name,0),2)-INDEX(Antoines,MATCH(J450,Antoine_Name,0),3)/(J460+459.6))))),0)</f>
        <v>1.1455846008049875E-2</v>
      </c>
      <c r="K471" cm="1">
        <f t="array" ref="K471">IFERROR(IF(K451="Chemical",(10^(INDEX(Antoines,MATCH(K450,Antoine_Name,0),2)-INDEX(Antoines,MATCH(K450,Antoine_Name,0),3)/(INDEX(Antoines,MATCH(K450,Antoine_Name,0),4)+(K460-32)*5/9)))*14.7/760,IF(K451="Crude Oil",EXP((2799/(K460+459.6)-2.227)*LOG10(INDEX(FX_Input,X$5,K$3*$Z$5+$AA$5))-(7261/(K460+459.6))+12.82),IF(K451="Refined Petroleum Stock",EXP((0.7553-(413/(K460+459.6)))*(INDEX(FX_Input,X$5,K$3*$Z$5+$AA$5-1)^0.5)*LOG10(INDEX(FX_Input,X$5,K$3*$Z$5+$AA$5))-(1.854-(1042/(K460+459.6)))*(INDEX(FX_Input,X$5,K$3*$Z$5+$AA$5-1)^0.5)+((2416/(K460+459.6)-2.013)*LOG10(INDEX(FX_Input,X$5,K$3*$Z$5+$AA$5)))-(8742/(K460+459.6))+15.64),EXP(INDEX(Antoines,MATCH(K450,Antoine_Name,0),2)-INDEX(Antoines,MATCH(K450,Antoine_Name,0),3)/(K460+459.6))))),0)</f>
        <v>1.1170957772624744E-2</v>
      </c>
      <c r="L471" cm="1">
        <f t="array" ref="L471">IFERROR(IF(L451="Chemical",(10^(INDEX(Antoines,MATCH(L450,Antoine_Name,0),2)-INDEX(Antoines,MATCH(L450,Antoine_Name,0),3)/(INDEX(Antoines,MATCH(L450,Antoine_Name,0),4)+(L460-32)*5/9)))*14.7/760,IF(L451="Crude Oil",EXP((2799/(L460+459.6)-2.227)*LOG10(INDEX(FX_Input,Y$5,L$3*$Z$5+$AA$5))-(7261/(L460+459.6))+12.82),IF(L451="Refined Petroleum Stock",EXP((0.7553-(413/(L460+459.6)))*(INDEX(FX_Input,Y$5,L$3*$Z$5+$AA$5-1)^0.5)*LOG10(INDEX(FX_Input,Y$5,L$3*$Z$5+$AA$5))-(1.854-(1042/(L460+459.6)))*(INDEX(FX_Input,Y$5,L$3*$Z$5+$AA$5-1)^0.5)+((2416/(L460+459.6)-2.013)*LOG10(INDEX(FX_Input,Y$5,L$3*$Z$5+$AA$5)))-(8742/(L460+459.6))+15.64),EXP(INDEX(Antoines,MATCH(L450,Antoine_Name,0),2)-INDEX(Antoines,MATCH(L450,Antoine_Name,0),3)/(L460+459.6))))),0)</f>
        <v>9.8227622663598323E-3</v>
      </c>
      <c r="M471" cm="1">
        <f t="array" ref="M471">IFERROR(IF(M451="Chemical",(10^(INDEX(Antoines,MATCH(M450,Antoine_Name,0),2)-INDEX(Antoines,MATCH(M450,Antoine_Name,0),3)/(INDEX(Antoines,MATCH(M450,Antoine_Name,0),4)+(M460-32)*5/9)))*14.7/760,IF(M451="Crude Oil",EXP((2799/(M460+459.6)-2.227)*LOG10(INDEX(FX_Input,Z$5,M$3*$Z$5+$AA$5))-(7261/(M460+459.6))+12.82),IF(M451="Refined Petroleum Stock",EXP((0.7553-(413/(M460+459.6)))*(INDEX(FX_Input,Z$5,M$3*$Z$5+$AA$5-1)^0.5)*LOG10(INDEX(FX_Input,Z$5,M$3*$Z$5+$AA$5))-(1.854-(1042/(M460+459.6)))*(INDEX(FX_Input,Z$5,M$3*$Z$5+$AA$5-1)^0.5)+((2416/(M460+459.6)-2.013)*LOG10(INDEX(FX_Input,Z$5,M$3*$Z$5+$AA$5)))-(8742/(M460+459.6))+15.64),EXP(INDEX(Antoines,MATCH(M450,Antoine_Name,0),2)-INDEX(Antoines,MATCH(M450,Antoine_Name,0),3)/(M460+459.6))))),0)</f>
        <v>7.3902409367879104E-3</v>
      </c>
      <c r="N471" cm="1">
        <f t="array" ref="N471">IFERROR(IF(N451="Chemical",(10^(INDEX(Antoines,MATCH(N450,Antoine_Name,0),2)-INDEX(Antoines,MATCH(N450,Antoine_Name,0),3)/(INDEX(Antoines,MATCH(N450,Antoine_Name,0),4)+(N460-32)*5/9)))*14.7/760,IF(N451="Crude Oil",EXP((2799/(N460+459.6)-2.227)*LOG10(INDEX(FX_Input,AA$5,N$3*$Z$5+$AA$5))-(7261/(N460+459.6))+12.82),IF(N451="Refined Petroleum Stock",EXP((0.7553-(413/(N460+459.6)))*(INDEX(FX_Input,AA$5,N$3*$Z$5+$AA$5-1)^0.5)*LOG10(INDEX(FX_Input,AA$5,N$3*$Z$5+$AA$5))-(1.854-(1042/(N460+459.6)))*(INDEX(FX_Input,AA$5,N$3*$Z$5+$AA$5-1)^0.5)+((2416/(N460+459.6)-2.013)*LOG10(INDEX(FX_Input,AA$5,N$3*$Z$5+$AA$5)))-(8742/(N460+459.6))+15.64),EXP(INDEX(Antoines,MATCH(N450,Antoine_Name,0),2)-INDEX(Antoines,MATCH(N450,Antoine_Name,0),3)/(N460+459.6))))),0)</f>
        <v>5.7302815955729341E-3</v>
      </c>
      <c r="O471" cm="1">
        <f t="array" ref="O471">IFERROR(IF(O451="Chemical",(10^(INDEX(Antoines,MATCH(O450,Antoine_Name,0),2)-INDEX(Antoines,MATCH(O450,Antoine_Name,0),3)/(INDEX(Antoines,MATCH(O450,Antoine_Name,0),4)+(O460-32)*5/9)))*14.7/760,IF(O451="Crude Oil",EXP((2799/(O460+459.6)-2.227)*LOG10(INDEX(FX_Input,AB$5,O$3*$Z$5+$AA$5))-(7261/(O460+459.6))+12.82),IF(O451="Refined Petroleum Stock",EXP((0.7553-(413/(O460+459.6)))*(INDEX(FX_Input,AB$5,O$3*$Z$5+$AA$5-1)^0.5)*LOG10(INDEX(FX_Input,AB$5,O$3*$Z$5+$AA$5))-(1.854-(1042/(O460+459.6)))*(INDEX(FX_Input,AB$5,O$3*$Z$5+$AA$5-1)^0.5)+((2416/(O460+459.6)-2.013)*LOG10(INDEX(FX_Input,AB$5,O$3*$Z$5+$AA$5)))-(8742/(O460+459.6))+15.64),EXP(INDEX(Antoines,MATCH(O450,Antoine_Name,0),2)-INDEX(Antoines,MATCH(O450,Antoine_Name,0),3)/(O460+459.6))))),0)</f>
        <v>4.9845202750316486E-3</v>
      </c>
    </row>
    <row r="472" spans="1:32" ht="17.149999999999999" x14ac:dyDescent="0.55000000000000004">
      <c r="B472" t="str">
        <f t="shared" si="1556"/>
        <v>Portland</v>
      </c>
      <c r="C472" t="s">
        <v>1389</v>
      </c>
      <c r="D472">
        <f>D471*D454</f>
        <v>5.0788096823034274E-3</v>
      </c>
      <c r="E472">
        <f t="shared" ref="E472" si="1623">E471*E454</f>
        <v>5.4974545080270654E-3</v>
      </c>
      <c r="F472">
        <f t="shared" ref="F472" si="1624">F471*F454</f>
        <v>6.0939776204352973E-3</v>
      </c>
      <c r="G472">
        <f t="shared" ref="G472" si="1625">G471*G454</f>
        <v>7.1364512548726224E-3</v>
      </c>
      <c r="H472">
        <f t="shared" ref="H472" si="1626">H471*H454</f>
        <v>8.765284653116507E-3</v>
      </c>
      <c r="I472">
        <f t="shared" ref="I472" si="1627">I471*I454</f>
        <v>1.0088391497030216E-2</v>
      </c>
      <c r="J472">
        <f t="shared" ref="J472" si="1628">J471*J454</f>
        <v>1.1455846008049875E-2</v>
      </c>
      <c r="K472">
        <f t="shared" ref="K472" si="1629">K471*K454</f>
        <v>1.1170957772624744E-2</v>
      </c>
      <c r="L472">
        <f t="shared" ref="L472" si="1630">L471*L454</f>
        <v>9.8227622663598323E-3</v>
      </c>
      <c r="M472">
        <f t="shared" ref="M472" si="1631">M471*M454</f>
        <v>7.3902409367879104E-3</v>
      </c>
      <c r="N472">
        <f t="shared" ref="N472" si="1632">N471*N454</f>
        <v>5.7302815955729341E-3</v>
      </c>
      <c r="O472">
        <f t="shared" ref="O472" si="1633">O471*O454</f>
        <v>4.9845202750316486E-3</v>
      </c>
    </row>
    <row r="473" spans="1:32" ht="17.149999999999999" x14ac:dyDescent="0.55000000000000004">
      <c r="B473" t="str">
        <f t="shared" si="1556"/>
        <v>Portland</v>
      </c>
      <c r="C473" t="s">
        <v>1390</v>
      </c>
      <c r="D473" cm="1">
        <f t="array" ref="D473">IFERROR(IF(D453="Chemical",(10^(INDEX(Antoines,MATCH(D452,Antoine_Name,0),2)-INDEX(Antoines,MATCH(D452,Antoine_Name,0),3)/(INDEX(Antoines,MATCH(D452,Antoine_Name,0),4)+(D460-32)*5/9)))*14.7/760,IF(D453="Crude Oil",EXP((2799/(D460+459.6)-2.227)*LOG10(INDEX(FX_Input,Q$5,D$3*$Z$5+$AA$5))-(7261/(D460+459.6))+12.82),IF(D453="Refined Petroleum Stock",EXP((0.7553-(413/(D460+459.6)))*(INDEX(FX_Input,Q$5,D$3*$Z$5+$AA$5-1)^0.5)*LOG10(INDEX(FX_Input,Q$5,D$3*$Z$5+$AA$5))-(1.854-(1042/(D460+459.6)))*(INDEX(FX_Input,Q$5,D$3*$Z$5+$AA$5-1)^0.5)+((2416/(D460+459.6)-2.013)*LOG10(INDEX(FX_Input,Q$5,D$3*$Z$5+$AA$5)))-(8742/(D460+459.6))+15.64),EXP(INDEX(Antoines,MATCH(D452,Antoine_Name,0),2)-INDEX(Antoines,MATCH(D452,Antoine_Name,0),3)/(D460+459.6))))),0)</f>
        <v>0</v>
      </c>
      <c r="E473" cm="1">
        <f t="array" ref="E473">IFERROR(IF(E453="Chemical",(10^(INDEX(Antoines,MATCH(E452,Antoine_Name,0),2)-INDEX(Antoines,MATCH(E452,Antoine_Name,0),3)/(INDEX(Antoines,MATCH(E452,Antoine_Name,0),4)+(E460-32)*5/9)))*14.7/760,IF(E453="Crude Oil",EXP((2799/(E460+459.6)-2.227)*LOG10(INDEX(FX_Input,R$5,E$3*$Z$5+$AA$5))-(7261/(E460+459.6))+12.82),IF(E453="Refined Petroleum Stock",EXP((0.7553-(413/(E460+459.6)))*(INDEX(FX_Input,R$5,E$3*$Z$5+$AA$5-1)^0.5)*LOG10(INDEX(FX_Input,R$5,E$3*$Z$5+$AA$5))-(1.854-(1042/(E460+459.6)))*(INDEX(FX_Input,R$5,E$3*$Z$5+$AA$5-1)^0.5)+((2416/(E460+459.6)-2.013)*LOG10(INDEX(FX_Input,R$5,E$3*$Z$5+$AA$5)))-(8742/(E460+459.6))+15.64),EXP(INDEX(Antoines,MATCH(E452,Antoine_Name,0),2)-INDEX(Antoines,MATCH(E452,Antoine_Name,0),3)/(E460+459.6))))),0)</f>
        <v>0</v>
      </c>
      <c r="F473" cm="1">
        <f t="array" ref="F473">IFERROR(IF(F453="Chemical",(10^(INDEX(Antoines,MATCH(F452,Antoine_Name,0),2)-INDEX(Antoines,MATCH(F452,Antoine_Name,0),3)/(INDEX(Antoines,MATCH(F452,Antoine_Name,0),4)+(F460-32)*5/9)))*14.7/760,IF(F453="Crude Oil",EXP((2799/(F460+459.6)-2.227)*LOG10(INDEX(FX_Input,S$5,F$3*$Z$5+$AA$5))-(7261/(F460+459.6))+12.82),IF(F453="Refined Petroleum Stock",EXP((0.7553-(413/(F460+459.6)))*(INDEX(FX_Input,S$5,F$3*$Z$5+$AA$5-1)^0.5)*LOG10(INDEX(FX_Input,S$5,F$3*$Z$5+$AA$5))-(1.854-(1042/(F460+459.6)))*(INDEX(FX_Input,S$5,F$3*$Z$5+$AA$5-1)^0.5)+((2416/(F460+459.6)-2.013)*LOG10(INDEX(FX_Input,S$5,F$3*$Z$5+$AA$5)))-(8742/(F460+459.6))+15.64),EXP(INDEX(Antoines,MATCH(F452,Antoine_Name,0),2)-INDEX(Antoines,MATCH(F452,Antoine_Name,0),3)/(F460+459.6))))),0)</f>
        <v>0</v>
      </c>
      <c r="G473" cm="1">
        <f t="array" ref="G473">IFERROR(IF(G453="Chemical",(10^(INDEX(Antoines,MATCH(G452,Antoine_Name,0),2)-INDEX(Antoines,MATCH(G452,Antoine_Name,0),3)/(INDEX(Antoines,MATCH(G452,Antoine_Name,0),4)+(G460-32)*5/9)))*14.7/760,IF(G453="Crude Oil",EXP((2799/(G460+459.6)-2.227)*LOG10(INDEX(FX_Input,T$5,G$3*$Z$5+$AA$5))-(7261/(G460+459.6))+12.82),IF(G453="Refined Petroleum Stock",EXP((0.7553-(413/(G460+459.6)))*(INDEX(FX_Input,T$5,G$3*$Z$5+$AA$5-1)^0.5)*LOG10(INDEX(FX_Input,T$5,G$3*$Z$5+$AA$5))-(1.854-(1042/(G460+459.6)))*(INDEX(FX_Input,T$5,G$3*$Z$5+$AA$5-1)^0.5)+((2416/(G460+459.6)-2.013)*LOG10(INDEX(FX_Input,T$5,G$3*$Z$5+$AA$5)))-(8742/(G460+459.6))+15.64),EXP(INDEX(Antoines,MATCH(G452,Antoine_Name,0),2)-INDEX(Antoines,MATCH(G452,Antoine_Name,0),3)/(G460+459.6))))),0)</f>
        <v>0</v>
      </c>
      <c r="H473" cm="1">
        <f t="array" ref="H473">IFERROR(IF(H453="Chemical",(10^(INDEX(Antoines,MATCH(H452,Antoine_Name,0),2)-INDEX(Antoines,MATCH(H452,Antoine_Name,0),3)/(INDEX(Antoines,MATCH(H452,Antoine_Name,0),4)+(H460-32)*5/9)))*14.7/760,IF(H453="Crude Oil",EXP((2799/(H460+459.6)-2.227)*LOG10(INDEX(FX_Input,U$5,H$3*$Z$5+$AA$5))-(7261/(H460+459.6))+12.82),IF(H453="Refined Petroleum Stock",EXP((0.7553-(413/(H460+459.6)))*(INDEX(FX_Input,U$5,H$3*$Z$5+$AA$5-1)^0.5)*LOG10(INDEX(FX_Input,U$5,H$3*$Z$5+$AA$5))-(1.854-(1042/(H460+459.6)))*(INDEX(FX_Input,U$5,H$3*$Z$5+$AA$5-1)^0.5)+((2416/(H460+459.6)-2.013)*LOG10(INDEX(FX_Input,U$5,H$3*$Z$5+$AA$5)))-(8742/(H460+459.6))+15.64),EXP(INDEX(Antoines,MATCH(H452,Antoine_Name,0),2)-INDEX(Antoines,MATCH(H452,Antoine_Name,0),3)/(H460+459.6))))),0)</f>
        <v>0</v>
      </c>
      <c r="I473" cm="1">
        <f t="array" ref="I473">IFERROR(IF(I453="Chemical",(10^(INDEX(Antoines,MATCH(I452,Antoine_Name,0),2)-INDEX(Antoines,MATCH(I452,Antoine_Name,0),3)/(INDEX(Antoines,MATCH(I452,Antoine_Name,0),4)+(I460-32)*5/9)))*14.7/760,IF(I453="Crude Oil",EXP((2799/(I460+459.6)-2.227)*LOG10(INDEX(FX_Input,V$5,I$3*$Z$5+$AA$5))-(7261/(I460+459.6))+12.82),IF(I453="Refined Petroleum Stock",EXP((0.7553-(413/(I460+459.6)))*(INDEX(FX_Input,V$5,I$3*$Z$5+$AA$5-1)^0.5)*LOG10(INDEX(FX_Input,V$5,I$3*$Z$5+$AA$5))-(1.854-(1042/(I460+459.6)))*(INDEX(FX_Input,V$5,I$3*$Z$5+$AA$5-1)^0.5)+((2416/(I460+459.6)-2.013)*LOG10(INDEX(FX_Input,V$5,I$3*$Z$5+$AA$5)))-(8742/(I460+459.6))+15.64),EXP(INDEX(Antoines,MATCH(I452,Antoine_Name,0),2)-INDEX(Antoines,MATCH(I452,Antoine_Name,0),3)/(I460+459.6))))),0)</f>
        <v>0</v>
      </c>
      <c r="J473" cm="1">
        <f t="array" ref="J473">IFERROR(IF(J453="Chemical",(10^(INDEX(Antoines,MATCH(J452,Antoine_Name,0),2)-INDEX(Antoines,MATCH(J452,Antoine_Name,0),3)/(INDEX(Antoines,MATCH(J452,Antoine_Name,0),4)+(J460-32)*5/9)))*14.7/760,IF(J453="Crude Oil",EXP((2799/(J460+459.6)-2.227)*LOG10(INDEX(FX_Input,W$5,J$3*$Z$5+$AA$5))-(7261/(J460+459.6))+12.82),IF(J453="Refined Petroleum Stock",EXP((0.7553-(413/(J460+459.6)))*(INDEX(FX_Input,W$5,J$3*$Z$5+$AA$5-1)^0.5)*LOG10(INDEX(FX_Input,W$5,J$3*$Z$5+$AA$5))-(1.854-(1042/(J460+459.6)))*(INDEX(FX_Input,W$5,J$3*$Z$5+$AA$5-1)^0.5)+((2416/(J460+459.6)-2.013)*LOG10(INDEX(FX_Input,W$5,J$3*$Z$5+$AA$5)))-(8742/(J460+459.6))+15.64),EXP(INDEX(Antoines,MATCH(J452,Antoine_Name,0),2)-INDEX(Antoines,MATCH(J452,Antoine_Name,0),3)/(J460+459.6))))),0)</f>
        <v>0</v>
      </c>
      <c r="K473" cm="1">
        <f t="array" ref="K473">IFERROR(IF(K453="Chemical",(10^(INDEX(Antoines,MATCH(K452,Antoine_Name,0),2)-INDEX(Antoines,MATCH(K452,Antoine_Name,0),3)/(INDEX(Antoines,MATCH(K452,Antoine_Name,0),4)+(K460-32)*5/9)))*14.7/760,IF(K453="Crude Oil",EXP((2799/(K460+459.6)-2.227)*LOG10(INDEX(FX_Input,X$5,K$3*$Z$5+$AA$5))-(7261/(K460+459.6))+12.82),IF(K453="Refined Petroleum Stock",EXP((0.7553-(413/(K460+459.6)))*(INDEX(FX_Input,X$5,K$3*$Z$5+$AA$5-1)^0.5)*LOG10(INDEX(FX_Input,X$5,K$3*$Z$5+$AA$5))-(1.854-(1042/(K460+459.6)))*(INDEX(FX_Input,X$5,K$3*$Z$5+$AA$5-1)^0.5)+((2416/(K460+459.6)-2.013)*LOG10(INDEX(FX_Input,X$5,K$3*$Z$5+$AA$5)))-(8742/(K460+459.6))+15.64),EXP(INDEX(Antoines,MATCH(K452,Antoine_Name,0),2)-INDEX(Antoines,MATCH(K452,Antoine_Name,0),3)/(K460+459.6))))),0)</f>
        <v>0</v>
      </c>
      <c r="L473" cm="1">
        <f t="array" ref="L473">IFERROR(IF(L453="Chemical",(10^(INDEX(Antoines,MATCH(L452,Antoine_Name,0),2)-INDEX(Antoines,MATCH(L452,Antoine_Name,0),3)/(INDEX(Antoines,MATCH(L452,Antoine_Name,0),4)+(L460-32)*5/9)))*14.7/760,IF(L453="Crude Oil",EXP((2799/(L460+459.6)-2.227)*LOG10(INDEX(FX_Input,Y$5,L$3*$Z$5+$AA$5))-(7261/(L460+459.6))+12.82),IF(L453="Refined Petroleum Stock",EXP((0.7553-(413/(L460+459.6)))*(INDEX(FX_Input,Y$5,L$3*$Z$5+$AA$5-1)^0.5)*LOG10(INDEX(FX_Input,Y$5,L$3*$Z$5+$AA$5))-(1.854-(1042/(L460+459.6)))*(INDEX(FX_Input,Y$5,L$3*$Z$5+$AA$5-1)^0.5)+((2416/(L460+459.6)-2.013)*LOG10(INDEX(FX_Input,Y$5,L$3*$Z$5+$AA$5)))-(8742/(L460+459.6))+15.64),EXP(INDEX(Antoines,MATCH(L452,Antoine_Name,0),2)-INDEX(Antoines,MATCH(L452,Antoine_Name,0),3)/(L460+459.6))))),0)</f>
        <v>0</v>
      </c>
      <c r="M473" cm="1">
        <f t="array" ref="M473">IFERROR(IF(M453="Chemical",(10^(INDEX(Antoines,MATCH(M452,Antoine_Name,0),2)-INDEX(Antoines,MATCH(M452,Antoine_Name,0),3)/(INDEX(Antoines,MATCH(M452,Antoine_Name,0),4)+(M460-32)*5/9)))*14.7/760,IF(M453="Crude Oil",EXP((2799/(M460+459.6)-2.227)*LOG10(INDEX(FX_Input,Z$5,M$3*$Z$5+$AA$5))-(7261/(M460+459.6))+12.82),IF(M453="Refined Petroleum Stock",EXP((0.7553-(413/(M460+459.6)))*(INDEX(FX_Input,Z$5,M$3*$Z$5+$AA$5-1)^0.5)*LOG10(INDEX(FX_Input,Z$5,M$3*$Z$5+$AA$5))-(1.854-(1042/(M460+459.6)))*(INDEX(FX_Input,Z$5,M$3*$Z$5+$AA$5-1)^0.5)+((2416/(M460+459.6)-2.013)*LOG10(INDEX(FX_Input,Z$5,M$3*$Z$5+$AA$5)))-(8742/(M460+459.6))+15.64),EXP(INDEX(Antoines,MATCH(M452,Antoine_Name,0),2)-INDEX(Antoines,MATCH(M452,Antoine_Name,0),3)/(M460+459.6))))),0)</f>
        <v>0</v>
      </c>
      <c r="N473" cm="1">
        <f t="array" ref="N473">IFERROR(IF(N453="Chemical",(10^(INDEX(Antoines,MATCH(N452,Antoine_Name,0),2)-INDEX(Antoines,MATCH(N452,Antoine_Name,0),3)/(INDEX(Antoines,MATCH(N452,Antoine_Name,0),4)+(N460-32)*5/9)))*14.7/760,IF(N453="Crude Oil",EXP((2799/(N460+459.6)-2.227)*LOG10(INDEX(FX_Input,AA$5,N$3*$Z$5+$AA$5))-(7261/(N460+459.6))+12.82),IF(N453="Refined Petroleum Stock",EXP((0.7553-(413/(N460+459.6)))*(INDEX(FX_Input,AA$5,N$3*$Z$5+$AA$5-1)^0.5)*LOG10(INDEX(FX_Input,AA$5,N$3*$Z$5+$AA$5))-(1.854-(1042/(N460+459.6)))*(INDEX(FX_Input,AA$5,N$3*$Z$5+$AA$5-1)^0.5)+((2416/(N460+459.6)-2.013)*LOG10(INDEX(FX_Input,AA$5,N$3*$Z$5+$AA$5)))-(8742/(N460+459.6))+15.64),EXP(INDEX(Antoines,MATCH(N452,Antoine_Name,0),2)-INDEX(Antoines,MATCH(N452,Antoine_Name,0),3)/(N460+459.6))))),0)</f>
        <v>0</v>
      </c>
      <c r="O473" cm="1">
        <f t="array" ref="O473">IFERROR(IF(O453="Chemical",(10^(INDEX(Antoines,MATCH(O452,Antoine_Name,0),2)-INDEX(Antoines,MATCH(O452,Antoine_Name,0),3)/(INDEX(Antoines,MATCH(O452,Antoine_Name,0),4)+(O460-32)*5/9)))*14.7/760,IF(O453="Crude Oil",EXP((2799/(O460+459.6)-2.227)*LOG10(INDEX(FX_Input,AB$5,O$3*$Z$5+$AA$5))-(7261/(O460+459.6))+12.82),IF(O453="Refined Petroleum Stock",EXP((0.7553-(413/(O460+459.6)))*(INDEX(FX_Input,AB$5,O$3*$Z$5+$AA$5-1)^0.5)*LOG10(INDEX(FX_Input,AB$5,O$3*$Z$5+$AA$5))-(1.854-(1042/(O460+459.6)))*(INDEX(FX_Input,AB$5,O$3*$Z$5+$AA$5-1)^0.5)+((2416/(O460+459.6)-2.013)*LOG10(INDEX(FX_Input,AB$5,O$3*$Z$5+$AA$5)))-(8742/(O460+459.6))+15.64),EXP(INDEX(Antoines,MATCH(O452,Antoine_Name,0),2)-INDEX(Antoines,MATCH(O452,Antoine_Name,0),3)/(O460+459.6))))),0)</f>
        <v>0</v>
      </c>
    </row>
    <row r="474" spans="1:32" ht="17.149999999999999" x14ac:dyDescent="0.55000000000000004">
      <c r="B474" t="str">
        <f t="shared" si="1556"/>
        <v>Portland</v>
      </c>
      <c r="C474" t="s">
        <v>1391</v>
      </c>
      <c r="D474">
        <f>D473*D456</f>
        <v>0</v>
      </c>
      <c r="E474">
        <f t="shared" ref="E474" si="1634">E473*E456</f>
        <v>0</v>
      </c>
      <c r="F474">
        <f t="shared" ref="F474" si="1635">F473*F456</f>
        <v>0</v>
      </c>
      <c r="G474">
        <f t="shared" ref="G474" si="1636">G473*G456</f>
        <v>0</v>
      </c>
      <c r="H474">
        <f t="shared" ref="H474" si="1637">H473*H456</f>
        <v>0</v>
      </c>
      <c r="I474">
        <f t="shared" ref="I474" si="1638">I473*I456</f>
        <v>0</v>
      </c>
      <c r="J474">
        <f t="shared" ref="J474" si="1639">J473*J456</f>
        <v>0</v>
      </c>
      <c r="K474">
        <f t="shared" ref="K474" si="1640">K473*K456</f>
        <v>0</v>
      </c>
      <c r="L474">
        <f t="shared" ref="L474" si="1641">L473*L456</f>
        <v>0</v>
      </c>
      <c r="M474">
        <f t="shared" ref="M474" si="1642">M473*M456</f>
        <v>0</v>
      </c>
      <c r="N474">
        <f t="shared" ref="N474" si="1643">N473*N456</f>
        <v>0</v>
      </c>
      <c r="O474">
        <f t="shared" ref="O474" si="1644">O473*O456</f>
        <v>0</v>
      </c>
    </row>
    <row r="475" spans="1:32" ht="17.149999999999999" x14ac:dyDescent="0.55000000000000004">
      <c r="B475" t="str">
        <f t="shared" si="1556"/>
        <v>Portland</v>
      </c>
      <c r="C475" t="s">
        <v>1392</v>
      </c>
      <c r="D475">
        <f>D472+D474</f>
        <v>5.0788096823034274E-3</v>
      </c>
      <c r="E475">
        <f t="shared" ref="E475" si="1645">E472+E474</f>
        <v>5.4974545080270654E-3</v>
      </c>
      <c r="F475">
        <f t="shared" ref="F475" si="1646">F472+F474</f>
        <v>6.0939776204352973E-3</v>
      </c>
      <c r="G475">
        <f t="shared" ref="G475" si="1647">G472+G474</f>
        <v>7.1364512548726224E-3</v>
      </c>
      <c r="H475">
        <f t="shared" ref="H475" si="1648">H472+H474</f>
        <v>8.765284653116507E-3</v>
      </c>
      <c r="I475">
        <f t="shared" ref="I475" si="1649">I472+I474</f>
        <v>1.0088391497030216E-2</v>
      </c>
      <c r="J475">
        <f t="shared" ref="J475" si="1650">J472+J474</f>
        <v>1.1455846008049875E-2</v>
      </c>
      <c r="K475">
        <f t="shared" ref="K475" si="1651">K472+K474</f>
        <v>1.1170957772624744E-2</v>
      </c>
      <c r="L475">
        <f t="shared" ref="L475" si="1652">L472+L474</f>
        <v>9.8227622663598323E-3</v>
      </c>
      <c r="M475">
        <f t="shared" ref="M475" si="1653">M472+M474</f>
        <v>7.3902409367879104E-3</v>
      </c>
      <c r="N475">
        <f t="shared" ref="N475" si="1654">N472+N474</f>
        <v>5.7302815955729341E-3</v>
      </c>
      <c r="O475">
        <f t="shared" ref="O475" si="1655">O472+O474</f>
        <v>4.9845202750316486E-3</v>
      </c>
    </row>
    <row r="476" spans="1:32" ht="17.149999999999999" x14ac:dyDescent="0.55000000000000004">
      <c r="B476" t="str">
        <f>B470</f>
        <v>Portland</v>
      </c>
      <c r="C476" t="s">
        <v>584</v>
      </c>
      <c r="D476">
        <f>D472/D475</f>
        <v>1</v>
      </c>
      <c r="E476">
        <f t="shared" ref="E476" si="1656">E472/E475</f>
        <v>1</v>
      </c>
      <c r="F476">
        <f t="shared" ref="F476" si="1657">F472/F475</f>
        <v>1</v>
      </c>
      <c r="G476">
        <f t="shared" ref="G476" si="1658">G472/G475</f>
        <v>1</v>
      </c>
      <c r="H476">
        <f t="shared" ref="H476" si="1659">H472/H475</f>
        <v>1</v>
      </c>
      <c r="I476">
        <f t="shared" ref="I476" si="1660">I472/I475</f>
        <v>1</v>
      </c>
      <c r="J476">
        <f t="shared" ref="J476" si="1661">J472/J475</f>
        <v>1</v>
      </c>
      <c r="K476">
        <f t="shared" ref="K476" si="1662">K472/K475</f>
        <v>1</v>
      </c>
      <c r="L476">
        <f t="shared" ref="L476" si="1663">L472/L475</f>
        <v>1</v>
      </c>
      <c r="M476">
        <f t="shared" ref="M476" si="1664">M472/M475</f>
        <v>1</v>
      </c>
      <c r="N476">
        <f t="shared" ref="N476" si="1665">N472/N475</f>
        <v>1</v>
      </c>
      <c r="O476">
        <f t="shared" ref="O476" si="1666">O472/O475</f>
        <v>1</v>
      </c>
    </row>
    <row r="477" spans="1:32" ht="17.149999999999999" x14ac:dyDescent="0.55000000000000004">
      <c r="B477" t="str">
        <f>B471</f>
        <v>Portland</v>
      </c>
      <c r="C477" t="s">
        <v>585</v>
      </c>
      <c r="D477">
        <f t="shared" ref="D477:O477" si="1667">INDEX(Phys_Prop,MATCH(D450,Chem_List,0),3)</f>
        <v>130</v>
      </c>
      <c r="E477">
        <f t="shared" si="1667"/>
        <v>130</v>
      </c>
      <c r="F477">
        <f t="shared" si="1667"/>
        <v>130</v>
      </c>
      <c r="G477">
        <f t="shared" si="1667"/>
        <v>130</v>
      </c>
      <c r="H477">
        <f t="shared" si="1667"/>
        <v>130</v>
      </c>
      <c r="I477">
        <f t="shared" si="1667"/>
        <v>130</v>
      </c>
      <c r="J477">
        <f t="shared" si="1667"/>
        <v>130</v>
      </c>
      <c r="K477">
        <f t="shared" si="1667"/>
        <v>130</v>
      </c>
      <c r="L477">
        <f t="shared" si="1667"/>
        <v>130</v>
      </c>
      <c r="M477">
        <f t="shared" si="1667"/>
        <v>130</v>
      </c>
      <c r="N477">
        <f t="shared" si="1667"/>
        <v>130</v>
      </c>
      <c r="O477">
        <f t="shared" si="1667"/>
        <v>130</v>
      </c>
    </row>
    <row r="478" spans="1:32" ht="17.149999999999999" x14ac:dyDescent="0.55000000000000004">
      <c r="B478" t="str">
        <f>B477</f>
        <v>Portland</v>
      </c>
      <c r="C478" t="s">
        <v>586</v>
      </c>
      <c r="D478">
        <f>D474/D475</f>
        <v>0</v>
      </c>
      <c r="E478">
        <f t="shared" ref="E478:O478" si="1668">E474/E475</f>
        <v>0</v>
      </c>
      <c r="F478">
        <f t="shared" si="1668"/>
        <v>0</v>
      </c>
      <c r="G478">
        <f t="shared" si="1668"/>
        <v>0</v>
      </c>
      <c r="H478">
        <f t="shared" si="1668"/>
        <v>0</v>
      </c>
      <c r="I478">
        <f t="shared" si="1668"/>
        <v>0</v>
      </c>
      <c r="J478">
        <f t="shared" si="1668"/>
        <v>0</v>
      </c>
      <c r="K478">
        <f t="shared" si="1668"/>
        <v>0</v>
      </c>
      <c r="L478">
        <f t="shared" si="1668"/>
        <v>0</v>
      </c>
      <c r="M478">
        <f t="shared" si="1668"/>
        <v>0</v>
      </c>
      <c r="N478">
        <f t="shared" si="1668"/>
        <v>0</v>
      </c>
      <c r="O478">
        <f t="shared" si="1668"/>
        <v>0</v>
      </c>
    </row>
    <row r="479" spans="1:32" ht="17.149999999999999" x14ac:dyDescent="0.55000000000000004">
      <c r="B479" t="str">
        <f t="shared" si="1556"/>
        <v>Portland</v>
      </c>
      <c r="C479" t="s">
        <v>587</v>
      </c>
      <c r="D479">
        <f t="shared" ref="D479:O479" si="1669">IFERROR(INDEX(Phys_Prop,MATCH(D452,Chem_List,0),3),0)</f>
        <v>0</v>
      </c>
      <c r="E479">
        <f t="shared" si="1669"/>
        <v>0</v>
      </c>
      <c r="F479">
        <f t="shared" si="1669"/>
        <v>0</v>
      </c>
      <c r="G479">
        <f t="shared" si="1669"/>
        <v>0</v>
      </c>
      <c r="H479">
        <f t="shared" si="1669"/>
        <v>0</v>
      </c>
      <c r="I479">
        <f t="shared" si="1669"/>
        <v>0</v>
      </c>
      <c r="J479">
        <f t="shared" si="1669"/>
        <v>0</v>
      </c>
      <c r="K479">
        <f t="shared" si="1669"/>
        <v>0</v>
      </c>
      <c r="L479">
        <f t="shared" si="1669"/>
        <v>0</v>
      </c>
      <c r="M479">
        <f t="shared" si="1669"/>
        <v>0</v>
      </c>
      <c r="N479">
        <f t="shared" si="1669"/>
        <v>0</v>
      </c>
      <c r="O479">
        <f t="shared" si="1669"/>
        <v>0</v>
      </c>
    </row>
    <row r="480" spans="1:32" ht="17.149999999999999" x14ac:dyDescent="0.55000000000000004">
      <c r="A480" s="11"/>
      <c r="B480" s="11" t="str">
        <f t="shared" si="1556"/>
        <v>Portland</v>
      </c>
      <c r="C480" s="11" t="s">
        <v>588</v>
      </c>
      <c r="D480" s="11">
        <f>IFERROR(D476*D477+D478*D479,0)</f>
        <v>130</v>
      </c>
      <c r="E480" s="11">
        <f t="shared" ref="E480" si="1670">IFERROR(E476*E477+E478*E479,0)</f>
        <v>130</v>
      </c>
      <c r="F480" s="11">
        <f t="shared" ref="F480" si="1671">IFERROR(F476*F477+F478*F479,0)</f>
        <v>130</v>
      </c>
      <c r="G480" s="11">
        <f t="shared" ref="G480" si="1672">IFERROR(G476*G477+G478*G479,0)</f>
        <v>130</v>
      </c>
      <c r="H480" s="11">
        <f t="shared" ref="H480" si="1673">IFERROR(H476*H477+H478*H479,0)</f>
        <v>130</v>
      </c>
      <c r="I480" s="11">
        <f t="shared" ref="I480" si="1674">IFERROR(I476*I477+I478*I479,0)</f>
        <v>130</v>
      </c>
      <c r="J480" s="11">
        <f t="shared" ref="J480" si="1675">IFERROR(J476*J477+J478*J479,0)</f>
        <v>130</v>
      </c>
      <c r="K480" s="11">
        <f t="shared" ref="K480" si="1676">IFERROR(K476*K477+K478*K479,0)</f>
        <v>130</v>
      </c>
      <c r="L480" s="11">
        <f t="shared" ref="L480" si="1677">IFERROR(L476*L477+L478*L479,0)</f>
        <v>130</v>
      </c>
      <c r="M480" s="11">
        <f t="shared" ref="M480" si="1678">IFERROR(M476*M477+M478*M479,0)</f>
        <v>130</v>
      </c>
      <c r="N480" s="11">
        <f t="shared" ref="N480" si="1679">IFERROR(N476*N477+N478*N479,0)</f>
        <v>130</v>
      </c>
      <c r="O480" s="11">
        <f t="shared" ref="O480" si="1680">IFERROR(O476*O477+O478*O479,0)</f>
        <v>130</v>
      </c>
      <c r="P480" s="11"/>
      <c r="Q480" s="11"/>
      <c r="R480" s="11"/>
      <c r="S480" s="11"/>
      <c r="T480" s="11"/>
      <c r="U480" s="11"/>
      <c r="V480" s="11"/>
      <c r="W480" s="11"/>
      <c r="X480" s="11"/>
      <c r="Y480" s="11"/>
      <c r="Z480" s="11"/>
      <c r="AA480" s="11"/>
      <c r="AB480" s="11"/>
      <c r="AC480" s="11"/>
      <c r="AD480" s="11"/>
      <c r="AE480" s="11"/>
      <c r="AF480" s="11"/>
    </row>
    <row r="481" spans="1:32" ht="17.149999999999999" x14ac:dyDescent="0.55000000000000004">
      <c r="A481" t="str" cm="1">
        <f t="array" ref="A481">INDEX(FX_Input,$Q481,R$5)</f>
        <v>FX - 15</v>
      </c>
      <c r="B481" t="str" cm="1">
        <f t="array" ref="B481">INDEX(FX_Input,Q481,S481)</f>
        <v>Portland</v>
      </c>
      <c r="C481" t="s">
        <v>563</v>
      </c>
      <c r="D481">
        <v>14.7</v>
      </c>
      <c r="E481">
        <v>14.7</v>
      </c>
      <c r="F481">
        <v>14.7</v>
      </c>
      <c r="G481">
        <v>14.7</v>
      </c>
      <c r="H481">
        <v>14.7</v>
      </c>
      <c r="I481">
        <v>14.7</v>
      </c>
      <c r="J481">
        <v>14.7</v>
      </c>
      <c r="K481">
        <v>14.7</v>
      </c>
      <c r="L481">
        <v>14.7</v>
      </c>
      <c r="M481">
        <v>14.7</v>
      </c>
      <c r="N481">
        <v>14.7</v>
      </c>
      <c r="O481">
        <v>14.7</v>
      </c>
      <c r="Q481">
        <f>Q447+2</f>
        <v>29</v>
      </c>
      <c r="R481">
        <v>1</v>
      </c>
      <c r="S481">
        <v>3</v>
      </c>
      <c r="T481">
        <v>1</v>
      </c>
      <c r="U481">
        <v>19</v>
      </c>
      <c r="V481">
        <v>20</v>
      </c>
      <c r="W481">
        <v>25</v>
      </c>
      <c r="X481">
        <v>1</v>
      </c>
      <c r="Y481">
        <v>2</v>
      </c>
      <c r="Z481">
        <f>(W481-V481)/(Y481-X481)</f>
        <v>5</v>
      </c>
      <c r="AA481">
        <f>V481-Z481*X481</f>
        <v>15</v>
      </c>
      <c r="AD481">
        <f>AD447+14</f>
        <v>197</v>
      </c>
      <c r="AF481">
        <f>AF447+14</f>
        <v>197</v>
      </c>
    </row>
    <row r="482" spans="1:32" ht="17.149999999999999" x14ac:dyDescent="0.55000000000000004">
      <c r="B482" t="str">
        <f t="shared" ref="B482" si="1681">B481</f>
        <v>Portland</v>
      </c>
      <c r="C482" t="s">
        <v>564</v>
      </c>
      <c r="D482" cm="1">
        <f t="array" ref="D482">IF(ISBLANK(INDEX(FX_Input,$Q481,$AB482)),0.03,INDEX(FX_Input,Q481,AB482))</f>
        <v>0.03</v>
      </c>
      <c r="E482" cm="1">
        <f t="array" ref="E482">IF(ISBLANK(INDEX(FX_Input,$Q481,$AB482)),0.03,INDEX(FX_Input,R481,#REF!))</f>
        <v>0.03</v>
      </c>
      <c r="F482" cm="1">
        <f t="array" ref="F482">IF(ISBLANK(INDEX(FX_Input,$Q481,$AB482)),0.03,INDEX(FX_Input,S481,#REF!))</f>
        <v>0.03</v>
      </c>
      <c r="G482" cm="1">
        <f t="array" ref="G482">IF(ISBLANK(INDEX(FX_Input,$Q481,$AB482)),0.03,INDEX(FX_Input,AB481,#REF!))</f>
        <v>0.03</v>
      </c>
      <c r="H482" cm="1">
        <f t="array" ref="H482">IF(ISBLANK(INDEX(FX_Input,$Q481,$AB482)),0.03,INDEX(FX_Input,#REF!,#REF!))</f>
        <v>0.03</v>
      </c>
      <c r="I482" cm="1">
        <f t="array" ref="I482">IF(ISBLANK(INDEX(FX_Input,$Q481,$AB482)),0.03,INDEX(FX_Input,#REF!,#REF!))</f>
        <v>0.03</v>
      </c>
      <c r="J482" cm="1">
        <f t="array" ref="J482">IF(ISBLANK(INDEX(FX_Input,$Q481,$AB482)),0.03,INDEX(FX_Input,#REF!,#REF!))</f>
        <v>0.03</v>
      </c>
      <c r="K482" cm="1">
        <f t="array" ref="K482">IF(ISBLANK(INDEX(FX_Input,$Q481,$AB482)),0.03,INDEX(FX_Input,#REF!,AC482))</f>
        <v>0.03</v>
      </c>
      <c r="L482" cm="1">
        <f t="array" ref="L482">IF(ISBLANK(INDEX(FX_Input,$Q481,$AB482)),0.03,INDEX(FX_Input,#REF!,AD482))</f>
        <v>0.03</v>
      </c>
      <c r="M482" cm="1">
        <f t="array" ref="M482">IF(ISBLANK(INDEX(FX_Input,$Q481,$AB482)),0.03,INDEX(FX_Input,#REF!,#REF!))</f>
        <v>0.03</v>
      </c>
      <c r="N482" cm="1">
        <f t="array" ref="N482">IF(ISBLANK(INDEX(FX_Input,$Q481,$AB482)),0.03,INDEX(FX_Input,AC481,#REF!))</f>
        <v>0.03</v>
      </c>
      <c r="O482" cm="1">
        <f t="array" ref="O482">IF(ISBLANK(INDEX(FX_Input,$Q481,$AB482)),0.03,INDEX(FX_Input,AD481,#REF!))</f>
        <v>0.03</v>
      </c>
      <c r="AB482">
        <v>15</v>
      </c>
    </row>
    <row r="483" spans="1:32" ht="17.149999999999999" x14ac:dyDescent="0.55000000000000004">
      <c r="B483" t="str">
        <f>B482</f>
        <v>Portland</v>
      </c>
      <c r="C483" t="s">
        <v>565</v>
      </c>
      <c r="D483" cm="1">
        <f t="array" ref="D483">IF(ISBLANK(INDEX(FX_Input,$Q481,$AB483)),-0.03,INDEX(FX_Input,Q481,AB483))</f>
        <v>-0.03</v>
      </c>
      <c r="E483" cm="1">
        <f t="array" ref="E483">IF(ISBLANK(INDEX(FX_Input,$Q481,$AB483)),-0.03,INDEX(FX_Input,R481,#REF!))</f>
        <v>-0.03</v>
      </c>
      <c r="F483" cm="1">
        <f t="array" ref="F483">IF(ISBLANK(INDEX(FX_Input,$Q481,$AB483)),-0.03,INDEX(FX_Input,S481,#REF!))</f>
        <v>-0.03</v>
      </c>
      <c r="G483" cm="1">
        <f t="array" ref="G483">IF(ISBLANK(INDEX(FX_Input,$Q481,$AB483)),-0.03,INDEX(FX_Input,AB481,#REF!))</f>
        <v>-0.03</v>
      </c>
      <c r="H483" cm="1">
        <f t="array" ref="H483">IF(ISBLANK(INDEX(FX_Input,$Q481,$AB483)),-0.03,INDEX(FX_Input,#REF!,#REF!))</f>
        <v>-0.03</v>
      </c>
      <c r="I483" cm="1">
        <f t="array" ref="I483">IF(ISBLANK(INDEX(FX_Input,$Q481,$AB483)),-0.03,INDEX(FX_Input,#REF!,#REF!))</f>
        <v>-0.03</v>
      </c>
      <c r="J483" cm="1">
        <f t="array" ref="J483">IF(ISBLANK(INDEX(FX_Input,$Q481,$AB483)),-0.03,INDEX(FX_Input,#REF!,#REF!))</f>
        <v>-0.03</v>
      </c>
      <c r="K483" cm="1">
        <f t="array" ref="K483">IF(ISBLANK(INDEX(FX_Input,$Q481,$AB483)),-0.03,INDEX(FX_Input,#REF!,AC483))</f>
        <v>-0.03</v>
      </c>
      <c r="L483" cm="1">
        <f t="array" ref="L483">IF(ISBLANK(INDEX(FX_Input,$Q481,$AB483)),-0.03,INDEX(FX_Input,#REF!,AD483))</f>
        <v>-0.03</v>
      </c>
      <c r="M483" cm="1">
        <f t="array" ref="M483">IF(ISBLANK(INDEX(FX_Input,$Q481,$AB483)),-0.03,INDEX(FX_Input,#REF!,#REF!))</f>
        <v>-0.03</v>
      </c>
      <c r="N483" cm="1">
        <f t="array" ref="N483">IF(ISBLANK(INDEX(FX_Input,$Q481,$AB483)),-0.03,INDEX(FX_Input,AC481,#REF!))</f>
        <v>-0.03</v>
      </c>
      <c r="O483" cm="1">
        <f t="array" ref="O483">IF(ISBLANK(INDEX(FX_Input,$Q481,$AB483)),-0.03,INDEX(FX_Input,AD481,#REF!))</f>
        <v>-0.03</v>
      </c>
      <c r="AB483">
        <v>16</v>
      </c>
    </row>
    <row r="484" spans="1:32" x14ac:dyDescent="0.4">
      <c r="B484" t="str">
        <f t="shared" ref="B484:B485" si="1682">B483</f>
        <v>Portland</v>
      </c>
      <c r="C484" s="66" t="s">
        <v>567</v>
      </c>
      <c r="D484" t="str" cm="1">
        <f t="array" ref="D484">INDEX(FX_Multi,$AD484,D$3)</f>
        <v>Jet kerosene</v>
      </c>
      <c r="E484" t="str" cm="1">
        <f t="array" ref="E484">INDEX(FX_Multi,$AD484,E$3)</f>
        <v>Jet kerosene</v>
      </c>
      <c r="F484" t="str" cm="1">
        <f t="array" ref="F484">INDEX(FX_Multi,$AD484,F$3)</f>
        <v>Jet kerosene</v>
      </c>
      <c r="G484" t="str" cm="1">
        <f t="array" ref="G484">INDEX(FX_Multi,$AD484,G$3)</f>
        <v>Jet kerosene</v>
      </c>
      <c r="H484" t="str" cm="1">
        <f t="array" ref="H484">INDEX(FX_Multi,$AD484,H$3)</f>
        <v>Jet kerosene</v>
      </c>
      <c r="I484" t="str" cm="1">
        <f t="array" ref="I484">INDEX(FX_Multi,$AD484,I$3)</f>
        <v>Jet kerosene</v>
      </c>
      <c r="J484" t="str" cm="1">
        <f t="array" ref="J484">INDEX(FX_Multi,$AD484,J$3)</f>
        <v>Jet kerosene</v>
      </c>
      <c r="K484" t="str" cm="1">
        <f t="array" ref="K484">INDEX(FX_Multi,$AD484,K$3)</f>
        <v>Jet kerosene</v>
      </c>
      <c r="L484" t="str" cm="1">
        <f t="array" ref="L484">INDEX(FX_Multi,$AD484,L$3)</f>
        <v>Jet kerosene</v>
      </c>
      <c r="M484" t="str" cm="1">
        <f t="array" ref="M484">INDEX(FX_Multi,$AD484,M$3)</f>
        <v>Jet kerosene</v>
      </c>
      <c r="N484" t="str" cm="1">
        <f t="array" ref="N484">INDEX(FX_Multi,$AD484,N$3)</f>
        <v>Jet kerosene</v>
      </c>
      <c r="O484" t="str" cm="1">
        <f t="array" ref="O484">INDEX(FX_Multi,$AD484,O$3)</f>
        <v>Jet kerosene</v>
      </c>
      <c r="AC484">
        <v>1</v>
      </c>
      <c r="AD484">
        <f>AD481</f>
        <v>197</v>
      </c>
      <c r="AE484">
        <v>1</v>
      </c>
      <c r="AF484">
        <f>AF481</f>
        <v>197</v>
      </c>
    </row>
    <row r="485" spans="1:32" x14ac:dyDescent="0.4">
      <c r="B485" t="str">
        <f t="shared" si="1682"/>
        <v>Portland</v>
      </c>
      <c r="C485" s="66" t="s">
        <v>566</v>
      </c>
      <c r="D485" t="str" cm="1">
        <f t="array" ref="D485">INDEX(FX_Multi,$AD485,D$3)</f>
        <v>Select Pet Stock</v>
      </c>
      <c r="E485" t="str" cm="1">
        <f t="array" ref="E485">INDEX(FX_Multi,$AD485,E$3)</f>
        <v>Select Pet Stock</v>
      </c>
      <c r="F485" t="str" cm="1">
        <f t="array" ref="F485">INDEX(FX_Multi,$AD485,F$3)</f>
        <v>Select Pet Stock</v>
      </c>
      <c r="G485" t="str" cm="1">
        <f t="array" ref="G485">INDEX(FX_Multi,$AD485,G$3)</f>
        <v>Select Pet Stock</v>
      </c>
      <c r="H485" t="str" cm="1">
        <f t="array" ref="H485">INDEX(FX_Multi,$AD485,H$3)</f>
        <v>Select Pet Stock</v>
      </c>
      <c r="I485" t="str" cm="1">
        <f t="array" ref="I485">INDEX(FX_Multi,$AD485,I$3)</f>
        <v>Select Pet Stock</v>
      </c>
      <c r="J485" t="str" cm="1">
        <f t="array" ref="J485">INDEX(FX_Multi,$AD485,J$3)</f>
        <v>Select Pet Stock</v>
      </c>
      <c r="K485" t="str" cm="1">
        <f t="array" ref="K485">INDEX(FX_Multi,$AD485,K$3)</f>
        <v>Select Pet Stock</v>
      </c>
      <c r="L485" t="str" cm="1">
        <f t="array" ref="L485">INDEX(FX_Multi,$AD485,L$3)</f>
        <v>Select Pet Stock</v>
      </c>
      <c r="M485" t="str" cm="1">
        <f t="array" ref="M485">INDEX(FX_Multi,$AD485,M$3)</f>
        <v>Select Pet Stock</v>
      </c>
      <c r="N485" t="str" cm="1">
        <f t="array" ref="N485">INDEX(FX_Multi,$AD485,N$3)</f>
        <v>Select Pet Stock</v>
      </c>
      <c r="O485" t="str" cm="1">
        <f t="array" ref="O485">INDEX(FX_Multi,$AD485,O$3)</f>
        <v>Select Pet Stock</v>
      </c>
      <c r="AC485">
        <v>1</v>
      </c>
      <c r="AD485">
        <f>AD484+2</f>
        <v>199</v>
      </c>
      <c r="AE485">
        <v>1</v>
      </c>
      <c r="AF485">
        <f>AF484+3</f>
        <v>200</v>
      </c>
    </row>
    <row r="486" spans="1:32" x14ac:dyDescent="0.4">
      <c r="B486" t="str">
        <f>B482</f>
        <v>Portland</v>
      </c>
      <c r="C486" s="66" t="s">
        <v>568</v>
      </c>
      <c r="D486" cm="1">
        <f t="array" ref="D486">INDEX(FX_Multi,$AD486,D$3)</f>
        <v>0</v>
      </c>
      <c r="E486" cm="1">
        <f t="array" ref="E486">INDEX(FX_Multi,$AD486,E$3)</f>
        <v>0</v>
      </c>
      <c r="F486" cm="1">
        <f t="array" ref="F486">INDEX(FX_Multi,$AD486,F$3)</f>
        <v>0</v>
      </c>
      <c r="G486" cm="1">
        <f t="array" ref="G486">INDEX(FX_Multi,$AD486,G$3)</f>
        <v>0</v>
      </c>
      <c r="H486" cm="1">
        <f t="array" ref="H486">INDEX(FX_Multi,$AD486,H$3)</f>
        <v>0</v>
      </c>
      <c r="I486" cm="1">
        <f t="array" ref="I486">INDEX(FX_Multi,$AD486,I$3)</f>
        <v>0</v>
      </c>
      <c r="J486" cm="1">
        <f t="array" ref="J486">INDEX(FX_Multi,$AD486,J$3)</f>
        <v>0</v>
      </c>
      <c r="K486" cm="1">
        <f t="array" ref="K486">INDEX(FX_Multi,$AD486,K$3)</f>
        <v>0</v>
      </c>
      <c r="L486" cm="1">
        <f t="array" ref="L486">INDEX(FX_Multi,$AD486,L$3)</f>
        <v>0</v>
      </c>
      <c r="M486" cm="1">
        <f t="array" ref="M486">INDEX(FX_Multi,$AD486,M$3)</f>
        <v>0</v>
      </c>
      <c r="N486" cm="1">
        <f t="array" ref="N486">INDEX(FX_Multi,$AD486,N$3)</f>
        <v>0</v>
      </c>
      <c r="O486" cm="1">
        <f t="array" ref="O486">INDEX(FX_Multi,$AD486,O$3)</f>
        <v>0</v>
      </c>
      <c r="AC486">
        <v>1</v>
      </c>
      <c r="AD486">
        <f>AD485-1</f>
        <v>198</v>
      </c>
      <c r="AE486">
        <v>1</v>
      </c>
      <c r="AF486">
        <f>AF484+1</f>
        <v>198</v>
      </c>
    </row>
    <row r="487" spans="1:32" x14ac:dyDescent="0.4">
      <c r="B487" t="str">
        <f t="shared" ref="B487:B491" si="1683">B486</f>
        <v>Portland</v>
      </c>
      <c r="C487" s="66" t="s">
        <v>569</v>
      </c>
      <c r="D487" cm="1">
        <f t="array" ref="D487">INDEX(FX_Multi,$AD487,D$3)</f>
        <v>0</v>
      </c>
      <c r="E487" cm="1">
        <f t="array" ref="E487">INDEX(FX_Multi,$AD487,E$3)</f>
        <v>0</v>
      </c>
      <c r="F487" cm="1">
        <f t="array" ref="F487">INDEX(FX_Multi,$AD487,F$3)</f>
        <v>0</v>
      </c>
      <c r="G487" cm="1">
        <f t="array" ref="G487">INDEX(FX_Multi,$AD487,G$3)</f>
        <v>0</v>
      </c>
      <c r="H487" cm="1">
        <f t="array" ref="H487">INDEX(FX_Multi,$AD487,H$3)</f>
        <v>0</v>
      </c>
      <c r="I487" cm="1">
        <f t="array" ref="I487">INDEX(FX_Multi,$AD487,I$3)</f>
        <v>0</v>
      </c>
      <c r="J487" cm="1">
        <f t="array" ref="J487">INDEX(FX_Multi,$AD487,J$3)</f>
        <v>0</v>
      </c>
      <c r="K487" cm="1">
        <f t="array" ref="K487">INDEX(FX_Multi,$AD487,K$3)</f>
        <v>0</v>
      </c>
      <c r="L487" cm="1">
        <f t="array" ref="L487">INDEX(FX_Multi,$AD487,L$3)</f>
        <v>0</v>
      </c>
      <c r="M487" cm="1">
        <f t="array" ref="M487">INDEX(FX_Multi,$AD487,M$3)</f>
        <v>0</v>
      </c>
      <c r="N487" cm="1">
        <f t="array" ref="N487">INDEX(FX_Multi,$AD487,N$3)</f>
        <v>0</v>
      </c>
      <c r="O487" cm="1">
        <f t="array" ref="O487">INDEX(FX_Multi,$AD487,O$3)</f>
        <v>0</v>
      </c>
      <c r="AC487">
        <v>1</v>
      </c>
      <c r="AD487">
        <f>AD486+2</f>
        <v>200</v>
      </c>
      <c r="AE487">
        <v>1</v>
      </c>
      <c r="AF487">
        <f>AF485</f>
        <v>200</v>
      </c>
    </row>
    <row r="488" spans="1:32" ht="17.149999999999999" x14ac:dyDescent="0.55000000000000004">
      <c r="B488" t="str">
        <f t="shared" si="1683"/>
        <v>Portland</v>
      </c>
      <c r="C488" t="s">
        <v>570</v>
      </c>
      <c r="D488" cm="1">
        <f t="array" ref="D488">INDEX(FX_Multi,$AD488,D$3)</f>
        <v>1</v>
      </c>
      <c r="E488" cm="1">
        <f t="array" ref="E488">INDEX(FX_Multi,$AD488,E$3)</f>
        <v>1</v>
      </c>
      <c r="F488" cm="1">
        <f t="array" ref="F488">INDEX(FX_Multi,$AD488,F$3)</f>
        <v>1</v>
      </c>
      <c r="G488" cm="1">
        <f t="array" ref="G488">INDEX(FX_Multi,$AD488,G$3)</f>
        <v>1</v>
      </c>
      <c r="H488" cm="1">
        <f t="array" ref="H488">INDEX(FX_Multi,$AD488,H$3)</f>
        <v>1</v>
      </c>
      <c r="I488" cm="1">
        <f t="array" ref="I488">INDEX(FX_Multi,$AD488,I$3)</f>
        <v>1</v>
      </c>
      <c r="J488" cm="1">
        <f t="array" ref="J488">INDEX(FX_Multi,$AD488,J$3)</f>
        <v>1</v>
      </c>
      <c r="K488" cm="1">
        <f t="array" ref="K488">INDEX(FX_Multi,$AD488,K$3)</f>
        <v>1</v>
      </c>
      <c r="L488" cm="1">
        <f t="array" ref="L488">INDEX(FX_Multi,$AD488,L$3)</f>
        <v>1</v>
      </c>
      <c r="M488" cm="1">
        <f t="array" ref="M488">INDEX(FX_Multi,$AD488,M$3)</f>
        <v>1</v>
      </c>
      <c r="N488" cm="1">
        <f t="array" ref="N488">INDEX(FX_Multi,$AD488,N$3)</f>
        <v>1</v>
      </c>
      <c r="O488" cm="1">
        <f t="array" ref="O488">INDEX(FX_Multi,$AD488,O$3)</f>
        <v>1</v>
      </c>
      <c r="AC488">
        <v>1</v>
      </c>
      <c r="AD488">
        <f>AD487+6</f>
        <v>206</v>
      </c>
      <c r="AE488">
        <v>1</v>
      </c>
      <c r="AF488">
        <f>AF484+9</f>
        <v>206</v>
      </c>
    </row>
    <row r="489" spans="1:32" ht="17.149999999999999" x14ac:dyDescent="0.55000000000000004">
      <c r="B489" t="str">
        <f t="shared" si="1683"/>
        <v>Portland</v>
      </c>
      <c r="C489" t="s">
        <v>571</v>
      </c>
      <c r="D489" cm="1">
        <f t="array" ref="D489">INDEX(FX_Multi,$AD489,D$3)</f>
        <v>162</v>
      </c>
      <c r="E489" cm="1">
        <f t="array" ref="E489">INDEX(FX_Multi,$AD489,E$3)</f>
        <v>162</v>
      </c>
      <c r="F489" cm="1">
        <f t="array" ref="F489">INDEX(FX_Multi,$AD489,F$3)</f>
        <v>162</v>
      </c>
      <c r="G489" cm="1">
        <f t="array" ref="G489">INDEX(FX_Multi,$AD489,G$3)</f>
        <v>162</v>
      </c>
      <c r="H489" cm="1">
        <f t="array" ref="H489">INDEX(FX_Multi,$AD489,H$3)</f>
        <v>162</v>
      </c>
      <c r="I489" cm="1">
        <f t="array" ref="I489">INDEX(FX_Multi,$AD489,I$3)</f>
        <v>162</v>
      </c>
      <c r="J489" cm="1">
        <f t="array" ref="J489">INDEX(FX_Multi,$AD489,J$3)</f>
        <v>162</v>
      </c>
      <c r="K489" cm="1">
        <f t="array" ref="K489">INDEX(FX_Multi,$AD489,K$3)</f>
        <v>162</v>
      </c>
      <c r="L489" cm="1">
        <f t="array" ref="L489">INDEX(FX_Multi,$AD489,L$3)</f>
        <v>162</v>
      </c>
      <c r="M489" cm="1">
        <f t="array" ref="M489">INDEX(FX_Multi,$AD489,M$3)</f>
        <v>162</v>
      </c>
      <c r="N489" cm="1">
        <f t="array" ref="N489">INDEX(FX_Multi,$AD489,N$3)</f>
        <v>162</v>
      </c>
      <c r="O489" cm="1">
        <f t="array" ref="O489">INDEX(FX_Multi,$AD489,O$3)</f>
        <v>162</v>
      </c>
      <c r="AC489">
        <v>1</v>
      </c>
      <c r="AD489">
        <f>AD488-3</f>
        <v>203</v>
      </c>
      <c r="AE489">
        <v>1</v>
      </c>
      <c r="AF489">
        <f>AF484+6</f>
        <v>203</v>
      </c>
    </row>
    <row r="490" spans="1:32" ht="17.149999999999999" x14ac:dyDescent="0.55000000000000004">
      <c r="B490" t="str">
        <f t="shared" si="1683"/>
        <v>Portland</v>
      </c>
      <c r="C490" t="s">
        <v>572</v>
      </c>
      <c r="D490" cm="1">
        <f t="array" ref="D490">INDEX(FX_Multi,$AD490,D$3)</f>
        <v>0</v>
      </c>
      <c r="E490" cm="1">
        <f t="array" ref="E490">INDEX(FX_Multi,$AD490,E$3)</f>
        <v>0</v>
      </c>
      <c r="F490" cm="1">
        <f t="array" ref="F490">INDEX(FX_Multi,$AD490,F$3)</f>
        <v>0</v>
      </c>
      <c r="G490" cm="1">
        <f t="array" ref="G490">INDEX(FX_Multi,$AD490,G$3)</f>
        <v>0</v>
      </c>
      <c r="H490" cm="1">
        <f t="array" ref="H490">INDEX(FX_Multi,$AD490,H$3)</f>
        <v>0</v>
      </c>
      <c r="I490" cm="1">
        <f t="array" ref="I490">INDEX(FX_Multi,$AD490,I$3)</f>
        <v>0</v>
      </c>
      <c r="J490" cm="1">
        <f t="array" ref="J490">INDEX(FX_Multi,$AD490,J$3)</f>
        <v>0</v>
      </c>
      <c r="K490" cm="1">
        <f t="array" ref="K490">INDEX(FX_Multi,$AD490,K$3)</f>
        <v>0</v>
      </c>
      <c r="L490" cm="1">
        <f t="array" ref="L490">INDEX(FX_Multi,$AD490,L$3)</f>
        <v>0</v>
      </c>
      <c r="M490" cm="1">
        <f t="array" ref="M490">INDEX(FX_Multi,$AD490,M$3)</f>
        <v>0</v>
      </c>
      <c r="N490" cm="1">
        <f t="array" ref="N490">INDEX(FX_Multi,$AD490,N$3)</f>
        <v>0</v>
      </c>
      <c r="O490" cm="1">
        <f t="array" ref="O490">INDEX(FX_Multi,$AD490,O$3)</f>
        <v>0</v>
      </c>
      <c r="AC490">
        <v>1</v>
      </c>
      <c r="AD490">
        <f>AD489+4</f>
        <v>207</v>
      </c>
      <c r="AE490">
        <v>1</v>
      </c>
      <c r="AF490">
        <f>AF484+10</f>
        <v>207</v>
      </c>
    </row>
    <row r="491" spans="1:32" ht="17.149999999999999" x14ac:dyDescent="0.55000000000000004">
      <c r="B491" t="str">
        <f t="shared" si="1683"/>
        <v>Portland</v>
      </c>
      <c r="C491" t="s">
        <v>573</v>
      </c>
      <c r="D491" cm="1">
        <f t="array" ref="D491">INDEX(FX_Multi,$AD491,D$3)</f>
        <v>0</v>
      </c>
      <c r="E491" cm="1">
        <f t="array" ref="E491">INDEX(FX_Multi,$AD491,E$3)</f>
        <v>0</v>
      </c>
      <c r="F491" cm="1">
        <f t="array" ref="F491">INDEX(FX_Multi,$AD491,F$3)</f>
        <v>0</v>
      </c>
      <c r="G491" cm="1">
        <f t="array" ref="G491">INDEX(FX_Multi,$AD491,G$3)</f>
        <v>0</v>
      </c>
      <c r="H491" cm="1">
        <f t="array" ref="H491">INDEX(FX_Multi,$AD491,H$3)</f>
        <v>0</v>
      </c>
      <c r="I491" cm="1">
        <f t="array" ref="I491">INDEX(FX_Multi,$AD491,I$3)</f>
        <v>0</v>
      </c>
      <c r="J491" cm="1">
        <f t="array" ref="J491">INDEX(FX_Multi,$AD491,J$3)</f>
        <v>0</v>
      </c>
      <c r="K491" cm="1">
        <f t="array" ref="K491">INDEX(FX_Multi,$AD491,K$3)</f>
        <v>0</v>
      </c>
      <c r="L491" cm="1">
        <f t="array" ref="L491">INDEX(FX_Multi,$AD491,L$3)</f>
        <v>0</v>
      </c>
      <c r="M491" cm="1">
        <f t="array" ref="M491">INDEX(FX_Multi,$AD491,M$3)</f>
        <v>0</v>
      </c>
      <c r="N491" cm="1">
        <f t="array" ref="N491">INDEX(FX_Multi,$AD491,N$3)</f>
        <v>0</v>
      </c>
      <c r="O491" cm="1">
        <f t="array" ref="O491">INDEX(FX_Multi,$AD491,O$3)</f>
        <v>0</v>
      </c>
      <c r="AC491">
        <v>1</v>
      </c>
      <c r="AD491">
        <f>AD490-3</f>
        <v>204</v>
      </c>
      <c r="AE491">
        <v>1</v>
      </c>
      <c r="AF491">
        <f>AF484+7</f>
        <v>204</v>
      </c>
    </row>
    <row r="492" spans="1:32" ht="17.149999999999999" x14ac:dyDescent="0.55000000000000004">
      <c r="B492" t="str">
        <f>B487</f>
        <v>Portland</v>
      </c>
      <c r="C492" t="s">
        <v>526</v>
      </c>
      <c r="D492" cm="1">
        <f t="array" ref="D492">INDEX(FX_Temps,$AF492,D$3)</f>
        <v>43.899999999999977</v>
      </c>
      <c r="E492" cm="1">
        <f t="array" ref="E492">INDEX(FX_Temps,$AF492,E$3)</f>
        <v>44.700000000000045</v>
      </c>
      <c r="F492" cm="1">
        <f t="array" ref="F492">INDEX(FX_Temps,$AF492,F$3)</f>
        <v>46.100000000000023</v>
      </c>
      <c r="G492" cm="1">
        <f t="array" ref="G492">INDEX(FX_Temps,$AF492,G$3)</f>
        <v>48.599999999999966</v>
      </c>
      <c r="H492" cm="1">
        <f t="array" ref="H492">INDEX(FX_Temps,$AF492,H$3)</f>
        <v>53.149999999999977</v>
      </c>
      <c r="I492" cm="1">
        <f t="array" ref="I492">INDEX(FX_Temps,$AF492,I$3)</f>
        <v>56.950000000000045</v>
      </c>
      <c r="J492" cm="1">
        <f t="array" ref="J492">INDEX(FX_Temps,$AF492,J$3)</f>
        <v>60.449999999999932</v>
      </c>
      <c r="K492" cm="1">
        <f t="array" ref="K492">INDEX(FX_Temps,$AF492,K$3)</f>
        <v>60.899999999999977</v>
      </c>
      <c r="L492" cm="1">
        <f t="array" ref="L492">INDEX(FX_Temps,$AF492,L$3)</f>
        <v>58.600000000000023</v>
      </c>
      <c r="M492" cm="1">
        <f t="array" ref="M492">INDEX(FX_Temps,$AF492,M$3)</f>
        <v>52.649999999999977</v>
      </c>
      <c r="N492" cm="1">
        <f t="array" ref="N492">INDEX(FX_Temps,$AF492,N$3)</f>
        <v>47.100000000000023</v>
      </c>
      <c r="O492" cm="1">
        <f t="array" ref="O492">INDEX(FX_Temps,$AF492,O$3)</f>
        <v>43.600000000000023</v>
      </c>
      <c r="AE492">
        <v>1</v>
      </c>
      <c r="AF492">
        <f>AF484+10</f>
        <v>207</v>
      </c>
    </row>
    <row r="493" spans="1:32" ht="17.149999999999999" x14ac:dyDescent="0.55000000000000004">
      <c r="B493" t="str">
        <f t="shared" ref="B493:B514" si="1684">B492</f>
        <v>Portland</v>
      </c>
      <c r="C493" t="s">
        <v>527</v>
      </c>
      <c r="D493" cm="1">
        <f t="array" ref="D493">INDEX(FX_Temps,$AF493,D$3)</f>
        <v>43.899999999999977</v>
      </c>
      <c r="E493" cm="1">
        <f t="array" ref="E493">INDEX(FX_Temps,$AF493,E$3)</f>
        <v>44.700000000000045</v>
      </c>
      <c r="F493" cm="1">
        <f t="array" ref="F493">INDEX(FX_Temps,$AF493,F$3)</f>
        <v>46.100000000000023</v>
      </c>
      <c r="G493" cm="1">
        <f t="array" ref="G493">INDEX(FX_Temps,$AF493,G$3)</f>
        <v>48.599999999999966</v>
      </c>
      <c r="H493" cm="1">
        <f t="array" ref="H493">INDEX(FX_Temps,$AF493,H$3)</f>
        <v>53.149999999999977</v>
      </c>
      <c r="I493" cm="1">
        <f t="array" ref="I493">INDEX(FX_Temps,$AF493,I$3)</f>
        <v>56.950000000000045</v>
      </c>
      <c r="J493" cm="1">
        <f t="array" ref="J493">INDEX(FX_Temps,$AF493,J$3)</f>
        <v>60.449999999999932</v>
      </c>
      <c r="K493" cm="1">
        <f t="array" ref="K493">INDEX(FX_Temps,$AF493,K$3)</f>
        <v>60.899999999999977</v>
      </c>
      <c r="L493" cm="1">
        <f t="array" ref="L493">INDEX(FX_Temps,$AF493,L$3)</f>
        <v>58.600000000000023</v>
      </c>
      <c r="M493" cm="1">
        <f t="array" ref="M493">INDEX(FX_Temps,$AF493,M$3)</f>
        <v>52.649999999999977</v>
      </c>
      <c r="N493" cm="1">
        <f t="array" ref="N493">INDEX(FX_Temps,$AF493,N$3)</f>
        <v>47.100000000000023</v>
      </c>
      <c r="O493" cm="1">
        <f t="array" ref="O493">INDEX(FX_Temps,$AF493,O$3)</f>
        <v>43.600000000000023</v>
      </c>
      <c r="AE493">
        <f>AE492</f>
        <v>1</v>
      </c>
      <c r="AF493">
        <f>AF484+11</f>
        <v>208</v>
      </c>
    </row>
    <row r="494" spans="1:32" ht="17.149999999999999" x14ac:dyDescent="0.55000000000000004">
      <c r="B494" t="str">
        <f t="shared" si="1684"/>
        <v>Portland</v>
      </c>
      <c r="C494" t="s">
        <v>552</v>
      </c>
      <c r="D494" cm="1">
        <f t="array" ref="D494">INDEX(FX_Temps,$AF494,D$3)</f>
        <v>43.899999999999977</v>
      </c>
      <c r="E494" cm="1">
        <f t="array" ref="E494">INDEX(FX_Temps,$AF494,E$3)</f>
        <v>44.700000000000045</v>
      </c>
      <c r="F494" cm="1">
        <f t="array" ref="F494">INDEX(FX_Temps,$AF494,F$3)</f>
        <v>46.100000000000023</v>
      </c>
      <c r="G494" cm="1">
        <f t="array" ref="G494">INDEX(FX_Temps,$AF494,G$3)</f>
        <v>48.599999999999966</v>
      </c>
      <c r="H494" cm="1">
        <f t="array" ref="H494">INDEX(FX_Temps,$AF494,H$3)</f>
        <v>53.149999999999977</v>
      </c>
      <c r="I494" cm="1">
        <f t="array" ref="I494">INDEX(FX_Temps,$AF494,I$3)</f>
        <v>56.950000000000045</v>
      </c>
      <c r="J494" cm="1">
        <f t="array" ref="J494">INDEX(FX_Temps,$AF494,J$3)</f>
        <v>60.449999999999932</v>
      </c>
      <c r="K494" cm="1">
        <f t="array" ref="K494">INDEX(FX_Temps,$AF494,K$3)</f>
        <v>60.899999999999977</v>
      </c>
      <c r="L494" cm="1">
        <f t="array" ref="L494">INDEX(FX_Temps,$AF494,L$3)</f>
        <v>58.600000000000023</v>
      </c>
      <c r="M494" cm="1">
        <f t="array" ref="M494">INDEX(FX_Temps,$AF494,M$3)</f>
        <v>52.649999999999977</v>
      </c>
      <c r="N494" cm="1">
        <f t="array" ref="N494">INDEX(FX_Temps,$AF494,N$3)</f>
        <v>47.100000000000023</v>
      </c>
      <c r="O494" cm="1">
        <f t="array" ref="O494">INDEX(FX_Temps,$AF494,O$3)</f>
        <v>43.600000000000023</v>
      </c>
      <c r="AE494">
        <f>AE493</f>
        <v>1</v>
      </c>
      <c r="AF494">
        <f>AF484+13</f>
        <v>210</v>
      </c>
    </row>
    <row r="495" spans="1:32" ht="17.149999999999999" x14ac:dyDescent="0.55000000000000004">
      <c r="B495" t="str">
        <f t="shared" si="1684"/>
        <v>Portland</v>
      </c>
      <c r="C495" t="s">
        <v>574</v>
      </c>
      <c r="D495" cm="1">
        <f t="array" ref="D495">IFERROR(IF(D485="Chemical",(10^(INDEX(Antoines,MATCH(D484,Antoine_Name,0),2)-INDEX(Antoines,MATCH(D484,Antoine_Name,0),3)/(INDEX(Antoines,MATCH(D484,Antoine_Name,0),4)+(D492-32)*5/9)))*14.7/760,IF(D485="Crude Oil",EXP((2799/(D492+459.6)-2.227)*LOG10(INDEX(FX_Input,Q$5,D$3*$Z$5+$AA$5))-(7261/(D492+459.6))+12.82),IF(D485="Refined Petroleum Stock",EXP((0.7553-(413/(D492+459.6)))*(INDEX(FX_Input,Q$5,D$3*$Z$5+$AA$5-1)^0.5)*LOG10(INDEX(FX_Input,Q$5,D$3*$Z$5+$AA$5))-(1.854-(1042/(D492+459.6)))*(INDEX(FX_Input,Q$5,D$3*$Z$5+$AA$5-1)^0.5)+((2416/(D492+459.6)-2.013)*LOG10(INDEX(FX_Input,Q$5,D$3*$Z$5+$AA$5)))-(8742/(D492+459.6))+15.64),EXP(INDEX(Antoines,MATCH(D484,Antoine_Name,0),2)-INDEX(Antoines,MATCH(D484,Antoine_Name,0),3)/(D492+459.6))))),0)</f>
        <v>4.739577185808354E-3</v>
      </c>
      <c r="E495" cm="1">
        <f t="array" ref="E495">IFERROR(IF(E485="Chemical",(10^(INDEX(Antoines,MATCH(E484,Antoine_Name,0),2)-INDEX(Antoines,MATCH(E484,Antoine_Name,0),3)/(INDEX(Antoines,MATCH(E484,Antoine_Name,0),4)+(E492-32)*5/9)))*14.7/760,IF(E485="Crude Oil",EXP((2799/(E492+459.6)-2.227)*LOG10(INDEX(FX_Input,R$5,E$3*$Z$5+$AA$5))-(7261/(E492+459.6))+12.82),IF(E485="Refined Petroleum Stock",EXP((0.7553-(413/(E492+459.6)))*(INDEX(FX_Input,R$5,E$3*$Z$5+$AA$5-1)^0.5)*LOG10(INDEX(FX_Input,R$5,E$3*$Z$5+$AA$5))-(1.854-(1042/(E492+459.6)))*(INDEX(FX_Input,R$5,E$3*$Z$5+$AA$5-1)^0.5)+((2416/(E492+459.6)-2.013)*LOG10(INDEX(FX_Input,R$5,E$3*$Z$5+$AA$5)))-(8742/(E492+459.6))+15.64),EXP(INDEX(Antoines,MATCH(E484,Antoine_Name,0),2)-INDEX(Antoines,MATCH(E484,Antoine_Name,0),3)/(E492+459.6))))),0)</f>
        <v>4.8748667780818778E-3</v>
      </c>
      <c r="F495" cm="1">
        <f t="array" ref="F495">IFERROR(IF(F485="Chemical",(10^(INDEX(Antoines,MATCH(F484,Antoine_Name,0),2)-INDEX(Antoines,MATCH(F484,Antoine_Name,0),3)/(INDEX(Antoines,MATCH(F484,Antoine_Name,0),4)+(F492-32)*5/9)))*14.7/760,IF(F485="Crude Oil",EXP((2799/(F492+459.6)-2.227)*LOG10(INDEX(FX_Input,S$5,F$3*$Z$5+$AA$5))-(7261/(F492+459.6))+12.82),IF(F485="Refined Petroleum Stock",EXP((0.7553-(413/(F492+459.6)))*(INDEX(FX_Input,S$5,F$3*$Z$5+$AA$5-1)^0.5)*LOG10(INDEX(FX_Input,S$5,F$3*$Z$5+$AA$5))-(1.854-(1042/(F492+459.6)))*(INDEX(FX_Input,S$5,F$3*$Z$5+$AA$5-1)^0.5)+((2416/(F492+459.6)-2.013)*LOG10(INDEX(FX_Input,S$5,F$3*$Z$5+$AA$5)))-(8742/(F492+459.6))+15.64),EXP(INDEX(Antoines,MATCH(F484,Antoine_Name,0),2)-INDEX(Antoines,MATCH(F484,Antoine_Name,0),3)/(F492+459.6))))),0)</f>
        <v>5.119885034186122E-3</v>
      </c>
      <c r="G495" cm="1">
        <f t="array" ref="G495">IFERROR(IF(G485="Chemical",(10^(INDEX(Antoines,MATCH(G484,Antoine_Name,0),2)-INDEX(Antoines,MATCH(G484,Antoine_Name,0),3)/(INDEX(Antoines,MATCH(G484,Antoine_Name,0),4)+(G492-32)*5/9)))*14.7/760,IF(G485="Crude Oil",EXP((2799/(G492+459.6)-2.227)*LOG10(INDEX(FX_Input,T$5,G$3*$Z$5+$AA$5))-(7261/(G492+459.6))+12.82),IF(G485="Refined Petroleum Stock",EXP((0.7553-(413/(G492+459.6)))*(INDEX(FX_Input,T$5,G$3*$Z$5+$AA$5-1)^0.5)*LOG10(INDEX(FX_Input,T$5,G$3*$Z$5+$AA$5))-(1.854-(1042/(G492+459.6)))*(INDEX(FX_Input,T$5,G$3*$Z$5+$AA$5-1)^0.5)+((2416/(G492+459.6)-2.013)*LOG10(INDEX(FX_Input,T$5,G$3*$Z$5+$AA$5)))-(8742/(G492+459.6))+15.64),EXP(INDEX(Antoines,MATCH(G484,Antoine_Name,0),2)-INDEX(Antoines,MATCH(G484,Antoine_Name,0),3)/(G492+459.6))))),0)</f>
        <v>5.5846958573521795E-3</v>
      </c>
      <c r="H495" cm="1">
        <f t="array" ref="H495">IFERROR(IF(H485="Chemical",(10^(INDEX(Antoines,MATCH(H484,Antoine_Name,0),2)-INDEX(Antoines,MATCH(H484,Antoine_Name,0),3)/(INDEX(Antoines,MATCH(H484,Antoine_Name,0),4)+(H492-32)*5/9)))*14.7/760,IF(H485="Crude Oil",EXP((2799/(H492+459.6)-2.227)*LOG10(INDEX(FX_Input,U$5,H$3*$Z$5+$AA$5))-(7261/(H492+459.6))+12.82),IF(H485="Refined Petroleum Stock",EXP((0.7553-(413/(H492+459.6)))*(INDEX(FX_Input,U$5,H$3*$Z$5+$AA$5-1)^0.5)*LOG10(INDEX(FX_Input,U$5,H$3*$Z$5+$AA$5))-(1.854-(1042/(H492+459.6)))*(INDEX(FX_Input,U$5,H$3*$Z$5+$AA$5-1)^0.5)+((2416/(H492+459.6)-2.013)*LOG10(INDEX(FX_Input,U$5,H$3*$Z$5+$AA$5)))-(8742/(H492+459.6))+15.64),EXP(INDEX(Antoines,MATCH(H484,Antoine_Name,0),2)-INDEX(Antoines,MATCH(H484,Antoine_Name,0),3)/(H492+459.6))))),0)</f>
        <v>6.5274070972739821E-3</v>
      </c>
      <c r="I495" cm="1">
        <f t="array" ref="I495">IFERROR(IF(I485="Chemical",(10^(INDEX(Antoines,MATCH(I484,Antoine_Name,0),2)-INDEX(Antoines,MATCH(I484,Antoine_Name,0),3)/(INDEX(Antoines,MATCH(I484,Antoine_Name,0),4)+(I492-32)*5/9)))*14.7/760,IF(I485="Crude Oil",EXP((2799/(I492+459.6)-2.227)*LOG10(INDEX(FX_Input,V$5,I$3*$Z$5+$AA$5))-(7261/(I492+459.6))+12.82),IF(I485="Refined Petroleum Stock",EXP((0.7553-(413/(I492+459.6)))*(INDEX(FX_Input,V$5,I$3*$Z$5+$AA$5-1)^0.5)*LOG10(INDEX(FX_Input,V$5,I$3*$Z$5+$AA$5))-(1.854-(1042/(I492+459.6)))*(INDEX(FX_Input,V$5,I$3*$Z$5+$AA$5-1)^0.5)+((2416/(I492+459.6)-2.013)*LOG10(INDEX(FX_Input,V$5,I$3*$Z$5+$AA$5)))-(8742/(I492+459.6))+15.64),EXP(INDEX(Antoines,MATCH(I484,Antoine_Name,0),2)-INDEX(Antoines,MATCH(I484,Antoine_Name,0),3)/(I492+459.6))))),0)</f>
        <v>7.4199539958878279E-3</v>
      </c>
      <c r="J495" cm="1">
        <f t="array" ref="J495">IFERROR(IF(J485="Chemical",(10^(INDEX(Antoines,MATCH(J484,Antoine_Name,0),2)-INDEX(Antoines,MATCH(J484,Antoine_Name,0),3)/(INDEX(Antoines,MATCH(J484,Antoine_Name,0),4)+(J492-32)*5/9)))*14.7/760,IF(J485="Crude Oil",EXP((2799/(J492+459.6)-2.227)*LOG10(INDEX(FX_Input,W$5,J$3*$Z$5+$AA$5))-(7261/(J492+459.6))+12.82),IF(J485="Refined Petroleum Stock",EXP((0.7553-(413/(J492+459.6)))*(INDEX(FX_Input,W$5,J$3*$Z$5+$AA$5-1)^0.5)*LOG10(INDEX(FX_Input,W$5,J$3*$Z$5+$AA$5))-(1.854-(1042/(J492+459.6)))*(INDEX(FX_Input,W$5,J$3*$Z$5+$AA$5-1)^0.5)+((2416/(J492+459.6)-2.013)*LOG10(INDEX(FX_Input,W$5,J$3*$Z$5+$AA$5)))-(8742/(J492+459.6))+15.64),EXP(INDEX(Antoines,MATCH(J484,Antoine_Name,0),2)-INDEX(Antoines,MATCH(J484,Antoine_Name,0),3)/(J492+459.6))))),0)</f>
        <v>8.3358107202842254E-3</v>
      </c>
      <c r="K495" cm="1">
        <f t="array" ref="K495">IFERROR(IF(K485="Chemical",(10^(INDEX(Antoines,MATCH(K484,Antoine_Name,0),2)-INDEX(Antoines,MATCH(K484,Antoine_Name,0),3)/(INDEX(Antoines,MATCH(K484,Antoine_Name,0),4)+(K492-32)*5/9)))*14.7/760,IF(K485="Crude Oil",EXP((2799/(K492+459.6)-2.227)*LOG10(INDEX(FX_Input,X$5,K$3*$Z$5+$AA$5))-(7261/(K492+459.6))+12.82),IF(K485="Refined Petroleum Stock",EXP((0.7553-(413/(K492+459.6)))*(INDEX(FX_Input,X$5,K$3*$Z$5+$AA$5-1)^0.5)*LOG10(INDEX(FX_Input,X$5,K$3*$Z$5+$AA$5))-(1.854-(1042/(K492+459.6)))*(INDEX(FX_Input,X$5,K$3*$Z$5+$AA$5-1)^0.5)+((2416/(K492+459.6)-2.013)*LOG10(INDEX(FX_Input,X$5,K$3*$Z$5+$AA$5)))-(8742/(K492+459.6))+15.64),EXP(INDEX(Antoines,MATCH(K484,Antoine_Name,0),2)-INDEX(Antoines,MATCH(K484,Antoine_Name,0),3)/(K492+459.6))))),0)</f>
        <v>8.4605262729351115E-3</v>
      </c>
      <c r="L495" cm="1">
        <f t="array" ref="L495">IFERROR(IF(L485="Chemical",(10^(INDEX(Antoines,MATCH(L484,Antoine_Name,0),2)-INDEX(Antoines,MATCH(L484,Antoine_Name,0),3)/(INDEX(Antoines,MATCH(L484,Antoine_Name,0),4)+(L492-32)*5/9)))*14.7/760,IF(L485="Crude Oil",EXP((2799/(L492+459.6)-2.227)*LOG10(INDEX(FX_Input,Y$5,L$3*$Z$5+$AA$5))-(7261/(L492+459.6))+12.82),IF(L485="Refined Petroleum Stock",EXP((0.7553-(413/(L492+459.6)))*(INDEX(FX_Input,Y$5,L$3*$Z$5+$AA$5-1)^0.5)*LOG10(INDEX(FX_Input,Y$5,L$3*$Z$5+$AA$5))-(1.854-(1042/(L492+459.6)))*(INDEX(FX_Input,Y$5,L$3*$Z$5+$AA$5-1)^0.5)+((2416/(L492+459.6)-2.013)*LOG10(INDEX(FX_Input,Y$5,L$3*$Z$5+$AA$5)))-(8742/(L492+459.6))+15.64),EXP(INDEX(Antoines,MATCH(L484,Antoine_Name,0),2)-INDEX(Antoines,MATCH(L484,Antoine_Name,0),3)/(L492+459.6))))),0)</f>
        <v>7.8399882233967533E-3</v>
      </c>
      <c r="M495" cm="1">
        <f t="array" ref="M495">IFERROR(IF(M485="Chemical",(10^(INDEX(Antoines,MATCH(M484,Antoine_Name,0),2)-INDEX(Antoines,MATCH(M484,Antoine_Name,0),3)/(INDEX(Antoines,MATCH(M484,Antoine_Name,0),4)+(M492-32)*5/9)))*14.7/760,IF(M485="Crude Oil",EXP((2799/(M492+459.6)-2.227)*LOG10(INDEX(FX_Input,Z$5,M$3*$Z$5+$AA$5))-(7261/(M492+459.6))+12.82),IF(M485="Refined Petroleum Stock",EXP((0.7553-(413/(M492+459.6)))*(INDEX(FX_Input,Z$5,M$3*$Z$5+$AA$5-1)^0.5)*LOG10(INDEX(FX_Input,Z$5,M$3*$Z$5+$AA$5))-(1.854-(1042/(M492+459.6)))*(INDEX(FX_Input,Z$5,M$3*$Z$5+$AA$5-1)^0.5)+((2416/(M492+459.6)-2.013)*LOG10(INDEX(FX_Input,Z$5,M$3*$Z$5+$AA$5)))-(8742/(M492+459.6))+15.64),EXP(INDEX(Antoines,MATCH(M484,Antoine_Name,0),2)-INDEX(Antoines,MATCH(M484,Antoine_Name,0),3)/(M492+459.6))))),0)</f>
        <v>6.4173462075160911E-3</v>
      </c>
      <c r="N495" cm="1">
        <f t="array" ref="N495">IFERROR(IF(N485="Chemical",(10^(INDEX(Antoines,MATCH(N484,Antoine_Name,0),2)-INDEX(Antoines,MATCH(N484,Antoine_Name,0),3)/(INDEX(Antoines,MATCH(N484,Antoine_Name,0),4)+(N492-32)*5/9)))*14.7/760,IF(N485="Crude Oil",EXP((2799/(N492+459.6)-2.227)*LOG10(INDEX(FX_Input,AA$5,N$3*$Z$5+$AA$5))-(7261/(N492+459.6))+12.82),IF(N485="Refined Petroleum Stock",EXP((0.7553-(413/(N492+459.6)))*(INDEX(FX_Input,AA$5,N$3*$Z$5+$AA$5-1)^0.5)*LOG10(INDEX(FX_Input,AA$5,N$3*$Z$5+$AA$5))-(1.854-(1042/(N492+459.6)))*(INDEX(FX_Input,AA$5,N$3*$Z$5+$AA$5-1)^0.5)+((2416/(N492+459.6)-2.013)*LOG10(INDEX(FX_Input,AA$5,N$3*$Z$5+$AA$5)))-(8742/(N492+459.6))+15.64),EXP(INDEX(Antoines,MATCH(N484,Antoine_Name,0),2)-INDEX(Antoines,MATCH(N484,Antoine_Name,0),3)/(N492+459.6))))),0)</f>
        <v>5.3015226887581056E-3</v>
      </c>
      <c r="O495" cm="1">
        <f t="array" ref="O495">IFERROR(IF(O485="Chemical",(10^(INDEX(Antoines,MATCH(O484,Antoine_Name,0),2)-INDEX(Antoines,MATCH(O484,Antoine_Name,0),3)/(INDEX(Antoines,MATCH(O484,Antoine_Name,0),4)+(O492-32)*5/9)))*14.7/760,IF(O485="Crude Oil",EXP((2799/(O492+459.6)-2.227)*LOG10(INDEX(FX_Input,AB$5,O$3*$Z$5+$AA$5))-(7261/(O492+459.6))+12.82),IF(O485="Refined Petroleum Stock",EXP((0.7553-(413/(O492+459.6)))*(INDEX(FX_Input,AB$5,O$3*$Z$5+$AA$5-1)^0.5)*LOG10(INDEX(FX_Input,AB$5,O$3*$Z$5+$AA$5))-(1.854-(1042/(O492+459.6)))*(INDEX(FX_Input,AB$5,O$3*$Z$5+$AA$5-1)^0.5)+((2416/(O492+459.6)-2.013)*LOG10(INDEX(FX_Input,AB$5,O$3*$Z$5+$AA$5)))-(8742/(O492+459.6))+15.64),EXP(INDEX(Antoines,MATCH(O484,Antoine_Name,0),2)-INDEX(Antoines,MATCH(O484,Antoine_Name,0),3)/(O492+459.6))))),0)</f>
        <v>4.68970903600947E-3</v>
      </c>
    </row>
    <row r="496" spans="1:32" ht="17.149999999999999" x14ac:dyDescent="0.55000000000000004">
      <c r="B496" t="str">
        <f t="shared" si="1684"/>
        <v>Portland</v>
      </c>
      <c r="C496" t="s">
        <v>576</v>
      </c>
      <c r="D496">
        <f>D488*D495</f>
        <v>4.739577185808354E-3</v>
      </c>
      <c r="E496">
        <f t="shared" ref="E496" si="1685">E488*E495</f>
        <v>4.8748667780818778E-3</v>
      </c>
      <c r="F496">
        <f t="shared" ref="F496" si="1686">F488*F495</f>
        <v>5.119885034186122E-3</v>
      </c>
      <c r="G496">
        <f t="shared" ref="G496" si="1687">G488*G495</f>
        <v>5.5846958573521795E-3</v>
      </c>
      <c r="H496">
        <f t="shared" ref="H496" si="1688">H488*H495</f>
        <v>6.5274070972739821E-3</v>
      </c>
      <c r="I496">
        <f t="shared" ref="I496" si="1689">I488*I495</f>
        <v>7.4199539958878279E-3</v>
      </c>
      <c r="J496">
        <f t="shared" ref="J496" si="1690">J488*J495</f>
        <v>8.3358107202842254E-3</v>
      </c>
      <c r="K496">
        <f t="shared" ref="K496" si="1691">K488*K495</f>
        <v>8.4605262729351115E-3</v>
      </c>
      <c r="L496">
        <f t="shared" ref="L496" si="1692">L488*L495</f>
        <v>7.8399882233967533E-3</v>
      </c>
      <c r="M496">
        <f t="shared" ref="M496" si="1693">M488*M495</f>
        <v>6.4173462075160911E-3</v>
      </c>
      <c r="N496">
        <f t="shared" ref="N496" si="1694">N488*N495</f>
        <v>5.3015226887581056E-3</v>
      </c>
      <c r="O496">
        <f t="shared" ref="O496" si="1695">O488*O495</f>
        <v>4.68970903600947E-3</v>
      </c>
    </row>
    <row r="497" spans="2:15" ht="17.149999999999999" x14ac:dyDescent="0.55000000000000004">
      <c r="B497" t="str">
        <f t="shared" si="1684"/>
        <v>Portland</v>
      </c>
      <c r="C497" t="s">
        <v>575</v>
      </c>
      <c r="D497" cm="1">
        <f t="array" ref="D497">IFERROR(IF(D487="Chemical",(10^(INDEX(Antoines,MATCH(D486,Antoine_Name,0),2)-INDEX(Antoines,MATCH(D486,Antoine_Name,0),3)/(INDEX(Antoines,MATCH(D486,Antoine_Name,0),4)+(D492-32)*5/9)))*14.7/760,IF(D487="Crude Oil",EXP((2799/(D492+459.6)-2.227)*LOG10(INDEX(FX_Input,Q$5,D$3*$Z$5+$AA$5))-(7261/(D492+459.6))+12.82),IF(D487="Refined Petroleum Stock",EXP((0.7553-(413/(D492+459.6)))*(INDEX(FX_Input,Q$5,D$3*$Z$5+$AA$5-1)^0.5)*LOG10(INDEX(FX_Input,Q$5,D$3*$Z$5+$AA$5))-(1.854-(1042/(D492+459.6)))*(INDEX(FX_Input,Q$5,D$3*$Z$5+$AA$5-1)^0.5)+((2416/(D492+459.6)-2.013)*LOG10(INDEX(FX_Input,Q$5,D$3*$Z$5+$AA$5)))-(8742/(D492+459.6))+15.64),EXP(INDEX(Antoines,MATCH(D486,Antoine_Name,0),2)-INDEX(Antoines,MATCH(D486,Antoine_Name,0),3)/(D492+459.6))))),0)</f>
        <v>0</v>
      </c>
      <c r="E497" cm="1">
        <f t="array" ref="E497">IFERROR(IF(E487="Chemical",(10^(INDEX(Antoines,MATCH(E486,Antoine_Name,0),2)-INDEX(Antoines,MATCH(E486,Antoine_Name,0),3)/(INDEX(Antoines,MATCH(E486,Antoine_Name,0),4)+(E492-32)*5/9)))*14.7/760,IF(E487="Crude Oil",EXP((2799/(E492+459.6)-2.227)*LOG10(INDEX(FX_Input,R$5,E$3*$Z$5+$AA$5))-(7261/(E492+459.6))+12.82),IF(E487="Refined Petroleum Stock",EXP((0.7553-(413/(E492+459.6)))*(INDEX(FX_Input,R$5,E$3*$Z$5+$AA$5-1)^0.5)*LOG10(INDEX(FX_Input,R$5,E$3*$Z$5+$AA$5))-(1.854-(1042/(E492+459.6)))*(INDEX(FX_Input,R$5,E$3*$Z$5+$AA$5-1)^0.5)+((2416/(E492+459.6)-2.013)*LOG10(INDEX(FX_Input,R$5,E$3*$Z$5+$AA$5)))-(8742/(E492+459.6))+15.64),EXP(INDEX(Antoines,MATCH(E486,Antoine_Name,0),2)-INDEX(Antoines,MATCH(E486,Antoine_Name,0),3)/(E492+459.6))))),0)</f>
        <v>0</v>
      </c>
      <c r="F497" cm="1">
        <f t="array" ref="F497">IFERROR(IF(F487="Chemical",(10^(INDEX(Antoines,MATCH(F486,Antoine_Name,0),2)-INDEX(Antoines,MATCH(F486,Antoine_Name,0),3)/(INDEX(Antoines,MATCH(F486,Antoine_Name,0),4)+(F492-32)*5/9)))*14.7/760,IF(F487="Crude Oil",EXP((2799/(F492+459.6)-2.227)*LOG10(INDEX(FX_Input,S$5,F$3*$Z$5+$AA$5))-(7261/(F492+459.6))+12.82),IF(F487="Refined Petroleum Stock",EXP((0.7553-(413/(F492+459.6)))*(INDEX(FX_Input,S$5,F$3*$Z$5+$AA$5-1)^0.5)*LOG10(INDEX(FX_Input,S$5,F$3*$Z$5+$AA$5))-(1.854-(1042/(F492+459.6)))*(INDEX(FX_Input,S$5,F$3*$Z$5+$AA$5-1)^0.5)+((2416/(F492+459.6)-2.013)*LOG10(INDEX(FX_Input,S$5,F$3*$Z$5+$AA$5)))-(8742/(F492+459.6))+15.64),EXP(INDEX(Antoines,MATCH(F486,Antoine_Name,0),2)-INDEX(Antoines,MATCH(F486,Antoine_Name,0),3)/(F492+459.6))))),0)</f>
        <v>0</v>
      </c>
      <c r="G497" cm="1">
        <f t="array" ref="G497">IFERROR(IF(G487="Chemical",(10^(INDEX(Antoines,MATCH(G486,Antoine_Name,0),2)-INDEX(Antoines,MATCH(G486,Antoine_Name,0),3)/(INDEX(Antoines,MATCH(G486,Antoine_Name,0),4)+(G492-32)*5/9)))*14.7/760,IF(G487="Crude Oil",EXP((2799/(G492+459.6)-2.227)*LOG10(INDEX(FX_Input,T$5,G$3*$Z$5+$AA$5))-(7261/(G492+459.6))+12.82),IF(G487="Refined Petroleum Stock",EXP((0.7553-(413/(G492+459.6)))*(INDEX(FX_Input,T$5,G$3*$Z$5+$AA$5-1)^0.5)*LOG10(INDEX(FX_Input,T$5,G$3*$Z$5+$AA$5))-(1.854-(1042/(G492+459.6)))*(INDEX(FX_Input,T$5,G$3*$Z$5+$AA$5-1)^0.5)+((2416/(G492+459.6)-2.013)*LOG10(INDEX(FX_Input,T$5,G$3*$Z$5+$AA$5)))-(8742/(G492+459.6))+15.64),EXP(INDEX(Antoines,MATCH(G486,Antoine_Name,0),2)-INDEX(Antoines,MATCH(G486,Antoine_Name,0),3)/(G492+459.6))))),0)</f>
        <v>0</v>
      </c>
      <c r="H497" cm="1">
        <f t="array" ref="H497">IFERROR(IF(H487="Chemical",(10^(INDEX(Antoines,MATCH(H486,Antoine_Name,0),2)-INDEX(Antoines,MATCH(H486,Antoine_Name,0),3)/(INDEX(Antoines,MATCH(H486,Antoine_Name,0),4)+(H492-32)*5/9)))*14.7/760,IF(H487="Crude Oil",EXP((2799/(H492+459.6)-2.227)*LOG10(INDEX(FX_Input,U$5,H$3*$Z$5+$AA$5))-(7261/(H492+459.6))+12.82),IF(H487="Refined Petroleum Stock",EXP((0.7553-(413/(H492+459.6)))*(INDEX(FX_Input,U$5,H$3*$Z$5+$AA$5-1)^0.5)*LOG10(INDEX(FX_Input,U$5,H$3*$Z$5+$AA$5))-(1.854-(1042/(H492+459.6)))*(INDEX(FX_Input,U$5,H$3*$Z$5+$AA$5-1)^0.5)+((2416/(H492+459.6)-2.013)*LOG10(INDEX(FX_Input,U$5,H$3*$Z$5+$AA$5)))-(8742/(H492+459.6))+15.64),EXP(INDEX(Antoines,MATCH(H486,Antoine_Name,0),2)-INDEX(Antoines,MATCH(H486,Antoine_Name,0),3)/(H492+459.6))))),0)</f>
        <v>0</v>
      </c>
      <c r="I497" cm="1">
        <f t="array" ref="I497">IFERROR(IF(I487="Chemical",(10^(INDEX(Antoines,MATCH(I486,Antoine_Name,0),2)-INDEX(Antoines,MATCH(I486,Antoine_Name,0),3)/(INDEX(Antoines,MATCH(I486,Antoine_Name,0),4)+(I492-32)*5/9)))*14.7/760,IF(I487="Crude Oil",EXP((2799/(I492+459.6)-2.227)*LOG10(INDEX(FX_Input,V$5,I$3*$Z$5+$AA$5))-(7261/(I492+459.6))+12.82),IF(I487="Refined Petroleum Stock",EXP((0.7553-(413/(I492+459.6)))*(INDEX(FX_Input,V$5,I$3*$Z$5+$AA$5-1)^0.5)*LOG10(INDEX(FX_Input,V$5,I$3*$Z$5+$AA$5))-(1.854-(1042/(I492+459.6)))*(INDEX(FX_Input,V$5,I$3*$Z$5+$AA$5-1)^0.5)+((2416/(I492+459.6)-2.013)*LOG10(INDEX(FX_Input,V$5,I$3*$Z$5+$AA$5)))-(8742/(I492+459.6))+15.64),EXP(INDEX(Antoines,MATCH(I486,Antoine_Name,0),2)-INDEX(Antoines,MATCH(I486,Antoine_Name,0),3)/(I492+459.6))))),0)</f>
        <v>0</v>
      </c>
      <c r="J497" cm="1">
        <f t="array" ref="J497">IFERROR(IF(J487="Chemical",(10^(INDEX(Antoines,MATCH(J486,Antoine_Name,0),2)-INDEX(Antoines,MATCH(J486,Antoine_Name,0),3)/(INDEX(Antoines,MATCH(J486,Antoine_Name,0),4)+(J492-32)*5/9)))*14.7/760,IF(J487="Crude Oil",EXP((2799/(J492+459.6)-2.227)*LOG10(INDEX(FX_Input,W$5,J$3*$Z$5+$AA$5))-(7261/(J492+459.6))+12.82),IF(J487="Refined Petroleum Stock",EXP((0.7553-(413/(J492+459.6)))*(INDEX(FX_Input,W$5,J$3*$Z$5+$AA$5-1)^0.5)*LOG10(INDEX(FX_Input,W$5,J$3*$Z$5+$AA$5))-(1.854-(1042/(J492+459.6)))*(INDEX(FX_Input,W$5,J$3*$Z$5+$AA$5-1)^0.5)+((2416/(J492+459.6)-2.013)*LOG10(INDEX(FX_Input,W$5,J$3*$Z$5+$AA$5)))-(8742/(J492+459.6))+15.64),EXP(INDEX(Antoines,MATCH(J486,Antoine_Name,0),2)-INDEX(Antoines,MATCH(J486,Antoine_Name,0),3)/(J492+459.6))))),0)</f>
        <v>0</v>
      </c>
      <c r="K497" cm="1">
        <f t="array" ref="K497">IFERROR(IF(K487="Chemical",(10^(INDEX(Antoines,MATCH(K486,Antoine_Name,0),2)-INDEX(Antoines,MATCH(K486,Antoine_Name,0),3)/(INDEX(Antoines,MATCH(K486,Antoine_Name,0),4)+(K492-32)*5/9)))*14.7/760,IF(K487="Crude Oil",EXP((2799/(K492+459.6)-2.227)*LOG10(INDEX(FX_Input,X$5,K$3*$Z$5+$AA$5))-(7261/(K492+459.6))+12.82),IF(K487="Refined Petroleum Stock",EXP((0.7553-(413/(K492+459.6)))*(INDEX(FX_Input,X$5,K$3*$Z$5+$AA$5-1)^0.5)*LOG10(INDEX(FX_Input,X$5,K$3*$Z$5+$AA$5))-(1.854-(1042/(K492+459.6)))*(INDEX(FX_Input,X$5,K$3*$Z$5+$AA$5-1)^0.5)+((2416/(K492+459.6)-2.013)*LOG10(INDEX(FX_Input,X$5,K$3*$Z$5+$AA$5)))-(8742/(K492+459.6))+15.64),EXP(INDEX(Antoines,MATCH(K486,Antoine_Name,0),2)-INDEX(Antoines,MATCH(K486,Antoine_Name,0),3)/(K492+459.6))))),0)</f>
        <v>0</v>
      </c>
      <c r="L497" cm="1">
        <f t="array" ref="L497">IFERROR(IF(L487="Chemical",(10^(INDEX(Antoines,MATCH(L486,Antoine_Name,0),2)-INDEX(Antoines,MATCH(L486,Antoine_Name,0),3)/(INDEX(Antoines,MATCH(L486,Antoine_Name,0),4)+(L492-32)*5/9)))*14.7/760,IF(L487="Crude Oil",EXP((2799/(L492+459.6)-2.227)*LOG10(INDEX(FX_Input,Y$5,L$3*$Z$5+$AA$5))-(7261/(L492+459.6))+12.82),IF(L487="Refined Petroleum Stock",EXP((0.7553-(413/(L492+459.6)))*(INDEX(FX_Input,Y$5,L$3*$Z$5+$AA$5-1)^0.5)*LOG10(INDEX(FX_Input,Y$5,L$3*$Z$5+$AA$5))-(1.854-(1042/(L492+459.6)))*(INDEX(FX_Input,Y$5,L$3*$Z$5+$AA$5-1)^0.5)+((2416/(L492+459.6)-2.013)*LOG10(INDEX(FX_Input,Y$5,L$3*$Z$5+$AA$5)))-(8742/(L492+459.6))+15.64),EXP(INDEX(Antoines,MATCH(L486,Antoine_Name,0),2)-INDEX(Antoines,MATCH(L486,Antoine_Name,0),3)/(L492+459.6))))),0)</f>
        <v>0</v>
      </c>
      <c r="M497" cm="1">
        <f t="array" ref="M497">IFERROR(IF(M487="Chemical",(10^(INDEX(Antoines,MATCH(M486,Antoine_Name,0),2)-INDEX(Antoines,MATCH(M486,Antoine_Name,0),3)/(INDEX(Antoines,MATCH(M486,Antoine_Name,0),4)+(M492-32)*5/9)))*14.7/760,IF(M487="Crude Oil",EXP((2799/(M492+459.6)-2.227)*LOG10(INDEX(FX_Input,Z$5,M$3*$Z$5+$AA$5))-(7261/(M492+459.6))+12.82),IF(M487="Refined Petroleum Stock",EXP((0.7553-(413/(M492+459.6)))*(INDEX(FX_Input,Z$5,M$3*$Z$5+$AA$5-1)^0.5)*LOG10(INDEX(FX_Input,Z$5,M$3*$Z$5+$AA$5))-(1.854-(1042/(M492+459.6)))*(INDEX(FX_Input,Z$5,M$3*$Z$5+$AA$5-1)^0.5)+((2416/(M492+459.6)-2.013)*LOG10(INDEX(FX_Input,Z$5,M$3*$Z$5+$AA$5)))-(8742/(M492+459.6))+15.64),EXP(INDEX(Antoines,MATCH(M486,Antoine_Name,0),2)-INDEX(Antoines,MATCH(M486,Antoine_Name,0),3)/(M492+459.6))))),0)</f>
        <v>0</v>
      </c>
      <c r="N497" cm="1">
        <f t="array" ref="N497">IFERROR(IF(N487="Chemical",(10^(INDEX(Antoines,MATCH(N486,Antoine_Name,0),2)-INDEX(Antoines,MATCH(N486,Antoine_Name,0),3)/(INDEX(Antoines,MATCH(N486,Antoine_Name,0),4)+(N492-32)*5/9)))*14.7/760,IF(N487="Crude Oil",EXP((2799/(N492+459.6)-2.227)*LOG10(INDEX(FX_Input,AA$5,N$3*$Z$5+$AA$5))-(7261/(N492+459.6))+12.82),IF(N487="Refined Petroleum Stock",EXP((0.7553-(413/(N492+459.6)))*(INDEX(FX_Input,AA$5,N$3*$Z$5+$AA$5-1)^0.5)*LOG10(INDEX(FX_Input,AA$5,N$3*$Z$5+$AA$5))-(1.854-(1042/(N492+459.6)))*(INDEX(FX_Input,AA$5,N$3*$Z$5+$AA$5-1)^0.5)+((2416/(N492+459.6)-2.013)*LOG10(INDEX(FX_Input,AA$5,N$3*$Z$5+$AA$5)))-(8742/(N492+459.6))+15.64),EXP(INDEX(Antoines,MATCH(N486,Antoine_Name,0),2)-INDEX(Antoines,MATCH(N486,Antoine_Name,0),3)/(N492+459.6))))),0)</f>
        <v>0</v>
      </c>
      <c r="O497" cm="1">
        <f t="array" ref="O497">IFERROR(IF(O487="Chemical",(10^(INDEX(Antoines,MATCH(O486,Antoine_Name,0),2)-INDEX(Antoines,MATCH(O486,Antoine_Name,0),3)/(INDEX(Antoines,MATCH(O486,Antoine_Name,0),4)+(O492-32)*5/9)))*14.7/760,IF(O487="Crude Oil",EXP((2799/(O492+459.6)-2.227)*LOG10(INDEX(FX_Input,AB$5,O$3*$Z$5+$AA$5))-(7261/(O492+459.6))+12.82),IF(O487="Refined Petroleum Stock",EXP((0.7553-(413/(O492+459.6)))*(INDEX(FX_Input,AB$5,O$3*$Z$5+$AA$5-1)^0.5)*LOG10(INDEX(FX_Input,AB$5,O$3*$Z$5+$AA$5))-(1.854-(1042/(O492+459.6)))*(INDEX(FX_Input,AB$5,O$3*$Z$5+$AA$5-1)^0.5)+((2416/(O492+459.6)-2.013)*LOG10(INDEX(FX_Input,AB$5,O$3*$Z$5+$AA$5)))-(8742/(O492+459.6))+15.64),EXP(INDEX(Antoines,MATCH(O486,Antoine_Name,0),2)-INDEX(Antoines,MATCH(O486,Antoine_Name,0),3)/(O492+459.6))))),0)</f>
        <v>0</v>
      </c>
    </row>
    <row r="498" spans="2:15" ht="17.149999999999999" x14ac:dyDescent="0.55000000000000004">
      <c r="B498" t="str">
        <f t="shared" si="1684"/>
        <v>Portland</v>
      </c>
      <c r="C498" t="s">
        <v>577</v>
      </c>
      <c r="D498">
        <f>D497*D490</f>
        <v>0</v>
      </c>
      <c r="E498">
        <f t="shared" ref="E498" si="1696">E497*E490</f>
        <v>0</v>
      </c>
      <c r="F498">
        <f t="shared" ref="F498" si="1697">F497*F490</f>
        <v>0</v>
      </c>
      <c r="G498">
        <f t="shared" ref="G498" si="1698">G497*G490</f>
        <v>0</v>
      </c>
      <c r="H498">
        <f t="shared" ref="H498" si="1699">H497*H490</f>
        <v>0</v>
      </c>
      <c r="I498">
        <f t="shared" ref="I498" si="1700">I497*I490</f>
        <v>0</v>
      </c>
      <c r="J498">
        <f t="shared" ref="J498" si="1701">J497*J490</f>
        <v>0</v>
      </c>
      <c r="K498">
        <f t="shared" ref="K498" si="1702">K497*K490</f>
        <v>0</v>
      </c>
      <c r="L498">
        <f t="shared" ref="L498" si="1703">L497*L490</f>
        <v>0</v>
      </c>
      <c r="M498">
        <f t="shared" ref="M498" si="1704">M497*M490</f>
        <v>0</v>
      </c>
      <c r="N498">
        <f t="shared" ref="N498" si="1705">N497*N490</f>
        <v>0</v>
      </c>
      <c r="O498">
        <f t="shared" ref="O498" si="1706">O497*O490</f>
        <v>0</v>
      </c>
    </row>
    <row r="499" spans="2:15" ht="17.149999999999999" x14ac:dyDescent="0.55000000000000004">
      <c r="B499" t="str">
        <f t="shared" si="1684"/>
        <v>Portland</v>
      </c>
      <c r="C499" t="s">
        <v>578</v>
      </c>
      <c r="D499">
        <f>D498+D496</f>
        <v>4.739577185808354E-3</v>
      </c>
      <c r="E499">
        <f t="shared" ref="E499" si="1707">E498+E496</f>
        <v>4.8748667780818778E-3</v>
      </c>
      <c r="F499">
        <f t="shared" ref="F499" si="1708">F498+F496</f>
        <v>5.119885034186122E-3</v>
      </c>
      <c r="G499">
        <f t="shared" ref="G499" si="1709">G498+G496</f>
        <v>5.5846958573521795E-3</v>
      </c>
      <c r="H499">
        <f t="shared" ref="H499" si="1710">H498+H496</f>
        <v>6.5274070972739821E-3</v>
      </c>
      <c r="I499">
        <f t="shared" ref="I499" si="1711">I498+I496</f>
        <v>7.4199539958878279E-3</v>
      </c>
      <c r="J499">
        <f t="shared" ref="J499" si="1712">J498+J496</f>
        <v>8.3358107202842254E-3</v>
      </c>
      <c r="K499">
        <f t="shared" ref="K499" si="1713">K498+K496</f>
        <v>8.4605262729351115E-3</v>
      </c>
      <c r="L499">
        <f t="shared" ref="L499" si="1714">L498+L496</f>
        <v>7.8399882233967533E-3</v>
      </c>
      <c r="M499">
        <f t="shared" ref="M499" si="1715">M498+M496</f>
        <v>6.4173462075160911E-3</v>
      </c>
      <c r="N499">
        <f t="shared" ref="N499" si="1716">N498+N496</f>
        <v>5.3015226887581056E-3</v>
      </c>
      <c r="O499">
        <f t="shared" ref="O499" si="1717">O498+O496</f>
        <v>4.68970903600947E-3</v>
      </c>
    </row>
    <row r="500" spans="2:15" ht="17.149999999999999" x14ac:dyDescent="0.55000000000000004">
      <c r="B500" t="str">
        <f t="shared" si="1684"/>
        <v>Portland</v>
      </c>
      <c r="C500" t="s">
        <v>579</v>
      </c>
      <c r="D500" cm="1">
        <f t="array" ref="D500">IFERROR(IF(D485="Chemical",(10^(INDEX(Antoines,MATCH(D484,Antoine_Name,0),2)-INDEX(Antoines,MATCH(D484,Antoine_Name,0),3)/(INDEX(Antoines,MATCH(D484,Antoine_Name,0),4)+(D493-32)*5/9)))*14.7/760,IF(D485="Crude Oil",EXP((2799/(D493+459.6)-2.227)*LOG10(INDEX(FX_Input,Q$5,D$3*$Z$5+$AA$5))-(7261/(D493+459.6))+12.82),IF(D485="Refined Petroleum Stock",EXP((0.7553-(413/(D493+459.6)))*(INDEX(FX_Input,Q$5,D$3*$Z$5+$AA$5-1)^0.5)*LOG10(INDEX(FX_Input,Q$5,D$3*$Z$5+$AA$5))-(1.854-(1042/(D493+459.6)))*(INDEX(FX_Input,Q$5,D$3*$Z$5+$AA$5-1)^0.5)+((2416/(D493+459.6)-2.013)*LOG10(INDEX(FX_Input,Q$5,D$3*$Z$5+$AA$5)))-(8742/(D493+459.6))+15.64),EXP(INDEX(Antoines,MATCH(D484,Antoine_Name,0),2)-INDEX(Antoines,MATCH(D484,Antoine_Name,0),3)/(D493+459.6))))),0)</f>
        <v>4.739577185808354E-3</v>
      </c>
      <c r="E500" cm="1">
        <f t="array" ref="E500">IFERROR(IF(E485="Chemical",(10^(INDEX(Antoines,MATCH(E484,Antoine_Name,0),2)-INDEX(Antoines,MATCH(E484,Antoine_Name,0),3)/(INDEX(Antoines,MATCH(E484,Antoine_Name,0),4)+(E493-32)*5/9)))*14.7/760,IF(E485="Crude Oil",EXP((2799/(E493+459.6)-2.227)*LOG10(INDEX(FX_Input,R$5,E$3*$Z$5+$AA$5))-(7261/(E493+459.6))+12.82),IF(E485="Refined Petroleum Stock",EXP((0.7553-(413/(E493+459.6)))*(INDEX(FX_Input,R$5,E$3*$Z$5+$AA$5-1)^0.5)*LOG10(INDEX(FX_Input,R$5,E$3*$Z$5+$AA$5))-(1.854-(1042/(E493+459.6)))*(INDEX(FX_Input,R$5,E$3*$Z$5+$AA$5-1)^0.5)+((2416/(E493+459.6)-2.013)*LOG10(INDEX(FX_Input,R$5,E$3*$Z$5+$AA$5)))-(8742/(E493+459.6))+15.64),EXP(INDEX(Antoines,MATCH(E484,Antoine_Name,0),2)-INDEX(Antoines,MATCH(E484,Antoine_Name,0),3)/(E493+459.6))))),0)</f>
        <v>4.8748667780818778E-3</v>
      </c>
      <c r="F500" cm="1">
        <f t="array" ref="F500">IFERROR(IF(F485="Chemical",(10^(INDEX(Antoines,MATCH(F484,Antoine_Name,0),2)-INDEX(Antoines,MATCH(F484,Antoine_Name,0),3)/(INDEX(Antoines,MATCH(F484,Antoine_Name,0),4)+(F493-32)*5/9)))*14.7/760,IF(F485="Crude Oil",EXP((2799/(F493+459.6)-2.227)*LOG10(INDEX(FX_Input,S$5,F$3*$Z$5+$AA$5))-(7261/(F493+459.6))+12.82),IF(F485="Refined Petroleum Stock",EXP((0.7553-(413/(F493+459.6)))*(INDEX(FX_Input,S$5,F$3*$Z$5+$AA$5-1)^0.5)*LOG10(INDEX(FX_Input,S$5,F$3*$Z$5+$AA$5))-(1.854-(1042/(F493+459.6)))*(INDEX(FX_Input,S$5,F$3*$Z$5+$AA$5-1)^0.5)+((2416/(F493+459.6)-2.013)*LOG10(INDEX(FX_Input,S$5,F$3*$Z$5+$AA$5)))-(8742/(F493+459.6))+15.64),EXP(INDEX(Antoines,MATCH(F484,Antoine_Name,0),2)-INDEX(Antoines,MATCH(F484,Antoine_Name,0),3)/(F493+459.6))))),0)</f>
        <v>5.119885034186122E-3</v>
      </c>
      <c r="G500" cm="1">
        <f t="array" ref="G500">IFERROR(IF(G485="Chemical",(10^(INDEX(Antoines,MATCH(G484,Antoine_Name,0),2)-INDEX(Antoines,MATCH(G484,Antoine_Name,0),3)/(INDEX(Antoines,MATCH(G484,Antoine_Name,0),4)+(G493-32)*5/9)))*14.7/760,IF(G485="Crude Oil",EXP((2799/(G493+459.6)-2.227)*LOG10(INDEX(FX_Input,T$5,G$3*$Z$5+$AA$5))-(7261/(G493+459.6))+12.82),IF(G485="Refined Petroleum Stock",EXP((0.7553-(413/(G493+459.6)))*(INDEX(FX_Input,T$5,G$3*$Z$5+$AA$5-1)^0.5)*LOG10(INDEX(FX_Input,T$5,G$3*$Z$5+$AA$5))-(1.854-(1042/(G493+459.6)))*(INDEX(FX_Input,T$5,G$3*$Z$5+$AA$5-1)^0.5)+((2416/(G493+459.6)-2.013)*LOG10(INDEX(FX_Input,T$5,G$3*$Z$5+$AA$5)))-(8742/(G493+459.6))+15.64),EXP(INDEX(Antoines,MATCH(G484,Antoine_Name,0),2)-INDEX(Antoines,MATCH(G484,Antoine_Name,0),3)/(G493+459.6))))),0)</f>
        <v>5.5846958573521795E-3</v>
      </c>
      <c r="H500" cm="1">
        <f t="array" ref="H500">IFERROR(IF(H485="Chemical",(10^(INDEX(Antoines,MATCH(H484,Antoine_Name,0),2)-INDEX(Antoines,MATCH(H484,Antoine_Name,0),3)/(INDEX(Antoines,MATCH(H484,Antoine_Name,0),4)+(H493-32)*5/9)))*14.7/760,IF(H485="Crude Oil",EXP((2799/(H493+459.6)-2.227)*LOG10(INDEX(FX_Input,U$5,H$3*$Z$5+$AA$5))-(7261/(H493+459.6))+12.82),IF(H485="Refined Petroleum Stock",EXP((0.7553-(413/(H493+459.6)))*(INDEX(FX_Input,U$5,H$3*$Z$5+$AA$5-1)^0.5)*LOG10(INDEX(FX_Input,U$5,H$3*$Z$5+$AA$5))-(1.854-(1042/(H493+459.6)))*(INDEX(FX_Input,U$5,H$3*$Z$5+$AA$5-1)^0.5)+((2416/(H493+459.6)-2.013)*LOG10(INDEX(FX_Input,U$5,H$3*$Z$5+$AA$5)))-(8742/(H493+459.6))+15.64),EXP(INDEX(Antoines,MATCH(H484,Antoine_Name,0),2)-INDEX(Antoines,MATCH(H484,Antoine_Name,0),3)/(H493+459.6))))),0)</f>
        <v>6.5274070972739821E-3</v>
      </c>
      <c r="I500" cm="1">
        <f t="array" ref="I500">IFERROR(IF(I485="Chemical",(10^(INDEX(Antoines,MATCH(I484,Antoine_Name,0),2)-INDEX(Antoines,MATCH(I484,Antoine_Name,0),3)/(INDEX(Antoines,MATCH(I484,Antoine_Name,0),4)+(I493-32)*5/9)))*14.7/760,IF(I485="Crude Oil",EXP((2799/(I493+459.6)-2.227)*LOG10(INDEX(FX_Input,V$5,I$3*$Z$5+$AA$5))-(7261/(I493+459.6))+12.82),IF(I485="Refined Petroleum Stock",EXP((0.7553-(413/(I493+459.6)))*(INDEX(FX_Input,V$5,I$3*$Z$5+$AA$5-1)^0.5)*LOG10(INDEX(FX_Input,V$5,I$3*$Z$5+$AA$5))-(1.854-(1042/(I493+459.6)))*(INDEX(FX_Input,V$5,I$3*$Z$5+$AA$5-1)^0.5)+((2416/(I493+459.6)-2.013)*LOG10(INDEX(FX_Input,V$5,I$3*$Z$5+$AA$5)))-(8742/(I493+459.6))+15.64),EXP(INDEX(Antoines,MATCH(I484,Antoine_Name,0),2)-INDEX(Antoines,MATCH(I484,Antoine_Name,0),3)/(I493+459.6))))),0)</f>
        <v>7.4199539958878279E-3</v>
      </c>
      <c r="J500" cm="1">
        <f t="array" ref="J500">IFERROR(IF(J485="Chemical",(10^(INDEX(Antoines,MATCH(J484,Antoine_Name,0),2)-INDEX(Antoines,MATCH(J484,Antoine_Name,0),3)/(INDEX(Antoines,MATCH(J484,Antoine_Name,0),4)+(J493-32)*5/9)))*14.7/760,IF(J485="Crude Oil",EXP((2799/(J493+459.6)-2.227)*LOG10(INDEX(FX_Input,W$5,J$3*$Z$5+$AA$5))-(7261/(J493+459.6))+12.82),IF(J485="Refined Petroleum Stock",EXP((0.7553-(413/(J493+459.6)))*(INDEX(FX_Input,W$5,J$3*$Z$5+$AA$5-1)^0.5)*LOG10(INDEX(FX_Input,W$5,J$3*$Z$5+$AA$5))-(1.854-(1042/(J493+459.6)))*(INDEX(FX_Input,W$5,J$3*$Z$5+$AA$5-1)^0.5)+((2416/(J493+459.6)-2.013)*LOG10(INDEX(FX_Input,W$5,J$3*$Z$5+$AA$5)))-(8742/(J493+459.6))+15.64),EXP(INDEX(Antoines,MATCH(J484,Antoine_Name,0),2)-INDEX(Antoines,MATCH(J484,Antoine_Name,0),3)/(J493+459.6))))),0)</f>
        <v>8.3358107202842254E-3</v>
      </c>
      <c r="K500" cm="1">
        <f t="array" ref="K500">IFERROR(IF(K485="Chemical",(10^(INDEX(Antoines,MATCH(K484,Antoine_Name,0),2)-INDEX(Antoines,MATCH(K484,Antoine_Name,0),3)/(INDEX(Antoines,MATCH(K484,Antoine_Name,0),4)+(K493-32)*5/9)))*14.7/760,IF(K485="Crude Oil",EXP((2799/(K493+459.6)-2.227)*LOG10(INDEX(FX_Input,X$5,K$3*$Z$5+$AA$5))-(7261/(K493+459.6))+12.82),IF(K485="Refined Petroleum Stock",EXP((0.7553-(413/(K493+459.6)))*(INDEX(FX_Input,X$5,K$3*$Z$5+$AA$5-1)^0.5)*LOG10(INDEX(FX_Input,X$5,K$3*$Z$5+$AA$5))-(1.854-(1042/(K493+459.6)))*(INDEX(FX_Input,X$5,K$3*$Z$5+$AA$5-1)^0.5)+((2416/(K493+459.6)-2.013)*LOG10(INDEX(FX_Input,X$5,K$3*$Z$5+$AA$5)))-(8742/(K493+459.6))+15.64),EXP(INDEX(Antoines,MATCH(K484,Antoine_Name,0),2)-INDEX(Antoines,MATCH(K484,Antoine_Name,0),3)/(K493+459.6))))),0)</f>
        <v>8.4605262729351115E-3</v>
      </c>
      <c r="L500" cm="1">
        <f t="array" ref="L500">IFERROR(IF(L485="Chemical",(10^(INDEX(Antoines,MATCH(L484,Antoine_Name,0),2)-INDEX(Antoines,MATCH(L484,Antoine_Name,0),3)/(INDEX(Antoines,MATCH(L484,Antoine_Name,0),4)+(L493-32)*5/9)))*14.7/760,IF(L485="Crude Oil",EXP((2799/(L493+459.6)-2.227)*LOG10(INDEX(FX_Input,Y$5,L$3*$Z$5+$AA$5))-(7261/(L493+459.6))+12.82),IF(L485="Refined Petroleum Stock",EXP((0.7553-(413/(L493+459.6)))*(INDEX(FX_Input,Y$5,L$3*$Z$5+$AA$5-1)^0.5)*LOG10(INDEX(FX_Input,Y$5,L$3*$Z$5+$AA$5))-(1.854-(1042/(L493+459.6)))*(INDEX(FX_Input,Y$5,L$3*$Z$5+$AA$5-1)^0.5)+((2416/(L493+459.6)-2.013)*LOG10(INDEX(FX_Input,Y$5,L$3*$Z$5+$AA$5)))-(8742/(L493+459.6))+15.64),EXP(INDEX(Antoines,MATCH(L484,Antoine_Name,0),2)-INDEX(Antoines,MATCH(L484,Antoine_Name,0),3)/(L493+459.6))))),0)</f>
        <v>7.8399882233967533E-3</v>
      </c>
      <c r="M500" cm="1">
        <f t="array" ref="M500">IFERROR(IF(M485="Chemical",(10^(INDEX(Antoines,MATCH(M484,Antoine_Name,0),2)-INDEX(Antoines,MATCH(M484,Antoine_Name,0),3)/(INDEX(Antoines,MATCH(M484,Antoine_Name,0),4)+(M493-32)*5/9)))*14.7/760,IF(M485="Crude Oil",EXP((2799/(M493+459.6)-2.227)*LOG10(INDEX(FX_Input,Z$5,M$3*$Z$5+$AA$5))-(7261/(M493+459.6))+12.82),IF(M485="Refined Petroleum Stock",EXP((0.7553-(413/(M493+459.6)))*(INDEX(FX_Input,Z$5,M$3*$Z$5+$AA$5-1)^0.5)*LOG10(INDEX(FX_Input,Z$5,M$3*$Z$5+$AA$5))-(1.854-(1042/(M493+459.6)))*(INDEX(FX_Input,Z$5,M$3*$Z$5+$AA$5-1)^0.5)+((2416/(M493+459.6)-2.013)*LOG10(INDEX(FX_Input,Z$5,M$3*$Z$5+$AA$5)))-(8742/(M493+459.6))+15.64),EXP(INDEX(Antoines,MATCH(M484,Antoine_Name,0),2)-INDEX(Antoines,MATCH(M484,Antoine_Name,0),3)/(M493+459.6))))),0)</f>
        <v>6.4173462075160911E-3</v>
      </c>
      <c r="N500" cm="1">
        <f t="array" ref="N500">IFERROR(IF(N485="Chemical",(10^(INDEX(Antoines,MATCH(N484,Antoine_Name,0),2)-INDEX(Antoines,MATCH(N484,Antoine_Name,0),3)/(INDEX(Antoines,MATCH(N484,Antoine_Name,0),4)+(N493-32)*5/9)))*14.7/760,IF(N485="Crude Oil",EXP((2799/(N493+459.6)-2.227)*LOG10(INDEX(FX_Input,AA$5,N$3*$Z$5+$AA$5))-(7261/(N493+459.6))+12.82),IF(N485="Refined Petroleum Stock",EXP((0.7553-(413/(N493+459.6)))*(INDEX(FX_Input,AA$5,N$3*$Z$5+$AA$5-1)^0.5)*LOG10(INDEX(FX_Input,AA$5,N$3*$Z$5+$AA$5))-(1.854-(1042/(N493+459.6)))*(INDEX(FX_Input,AA$5,N$3*$Z$5+$AA$5-1)^0.5)+((2416/(N493+459.6)-2.013)*LOG10(INDEX(FX_Input,AA$5,N$3*$Z$5+$AA$5)))-(8742/(N493+459.6))+15.64),EXP(INDEX(Antoines,MATCH(N484,Antoine_Name,0),2)-INDEX(Antoines,MATCH(N484,Antoine_Name,0),3)/(N493+459.6))))),0)</f>
        <v>5.3015226887581056E-3</v>
      </c>
      <c r="O500" cm="1">
        <f t="array" ref="O500">IFERROR(IF(O485="Chemical",(10^(INDEX(Antoines,MATCH(O484,Antoine_Name,0),2)-INDEX(Antoines,MATCH(O484,Antoine_Name,0),3)/(INDEX(Antoines,MATCH(O484,Antoine_Name,0),4)+(O493-32)*5/9)))*14.7/760,IF(O485="Crude Oil",EXP((2799/(O493+459.6)-2.227)*LOG10(INDEX(FX_Input,AB$5,O$3*$Z$5+$AA$5))-(7261/(O493+459.6))+12.82),IF(O485="Refined Petroleum Stock",EXP((0.7553-(413/(O493+459.6)))*(INDEX(FX_Input,AB$5,O$3*$Z$5+$AA$5-1)^0.5)*LOG10(INDEX(FX_Input,AB$5,O$3*$Z$5+$AA$5))-(1.854-(1042/(O493+459.6)))*(INDEX(FX_Input,AB$5,O$3*$Z$5+$AA$5-1)^0.5)+((2416/(O493+459.6)-2.013)*LOG10(INDEX(FX_Input,AB$5,O$3*$Z$5+$AA$5)))-(8742/(O493+459.6))+15.64),EXP(INDEX(Antoines,MATCH(O484,Antoine_Name,0),2)-INDEX(Antoines,MATCH(O484,Antoine_Name,0),3)/(O493+459.6))))),0)</f>
        <v>4.68970903600947E-3</v>
      </c>
    </row>
    <row r="501" spans="2:15" ht="17.149999999999999" x14ac:dyDescent="0.55000000000000004">
      <c r="B501" t="str">
        <f t="shared" si="1684"/>
        <v>Portland</v>
      </c>
      <c r="C501" t="s">
        <v>580</v>
      </c>
      <c r="D501">
        <f>D500*D488</f>
        <v>4.739577185808354E-3</v>
      </c>
      <c r="E501">
        <f t="shared" ref="E501" si="1718">E500*E488</f>
        <v>4.8748667780818778E-3</v>
      </c>
      <c r="F501">
        <f t="shared" ref="F501" si="1719">F500*F488</f>
        <v>5.119885034186122E-3</v>
      </c>
      <c r="G501">
        <f t="shared" ref="G501" si="1720">G500*G488</f>
        <v>5.5846958573521795E-3</v>
      </c>
      <c r="H501">
        <f t="shared" ref="H501" si="1721">H500*H488</f>
        <v>6.5274070972739821E-3</v>
      </c>
      <c r="I501">
        <f t="shared" ref="I501" si="1722">I500*I488</f>
        <v>7.4199539958878279E-3</v>
      </c>
      <c r="J501">
        <f t="shared" ref="J501" si="1723">J500*J488</f>
        <v>8.3358107202842254E-3</v>
      </c>
      <c r="K501">
        <f t="shared" ref="K501" si="1724">K500*K488</f>
        <v>8.4605262729351115E-3</v>
      </c>
      <c r="L501">
        <f t="shared" ref="L501" si="1725">L500*L488</f>
        <v>7.8399882233967533E-3</v>
      </c>
      <c r="M501">
        <f t="shared" ref="M501" si="1726">M500*M488</f>
        <v>6.4173462075160911E-3</v>
      </c>
      <c r="N501">
        <f t="shared" ref="N501" si="1727">N500*N488</f>
        <v>5.3015226887581056E-3</v>
      </c>
      <c r="O501">
        <f t="shared" ref="O501" si="1728">O500*O488</f>
        <v>4.68970903600947E-3</v>
      </c>
    </row>
    <row r="502" spans="2:15" ht="17.149999999999999" x14ac:dyDescent="0.55000000000000004">
      <c r="B502" t="str">
        <f t="shared" si="1684"/>
        <v>Portland</v>
      </c>
      <c r="C502" t="s">
        <v>581</v>
      </c>
      <c r="D502" cm="1">
        <f t="array" ref="D502">IFERROR(IF(D487="Chemical",(10^(INDEX(Antoines,MATCH(D486,Antoine_Name,0),2)-INDEX(Antoines,MATCH(D486,Antoine_Name,0),3)/(INDEX(Antoines,MATCH(D486,Antoine_Name,0),4)+(D493-32)*5/9)))*14.7/760,IF(D487="Crude Oil",EXP((2799/(D493+459.6)-2.227)*LOG10(INDEX(FX_Input,Q$5,D$3*$Z$5+$AA$5))-(7261/(D493+459.6))+12.82),IF(D487="Refined Petroleum Stock",EXP((0.7553-(413/(D493+459.6)))*(INDEX(FX_Input,Q$5,D$3*$Z$5+$AA$5-1)^0.5)*LOG10(INDEX(FX_Input,Q$5,D$3*$Z$5+$AA$5))-(1.854-(1042/(D493+459.6)))*(INDEX(FX_Input,Q$5,D$3*$Z$5+$AA$5-1)^0.5)+((2416/(D493+459.6)-2.013)*LOG10(INDEX(FX_Input,Q$5,D$3*$Z$5+$AA$5)))-(8742/(D493+459.6))+15.64),EXP(INDEX(Antoines,MATCH(D486,Antoine_Name,0),2)-INDEX(Antoines,MATCH(D486,Antoine_Name,0),3)/(D493+459.6))))),0)</f>
        <v>0</v>
      </c>
      <c r="E502" cm="1">
        <f t="array" ref="E502">IFERROR(IF(E487="Chemical",(10^(INDEX(Antoines,MATCH(E486,Antoine_Name,0),2)-INDEX(Antoines,MATCH(E486,Antoine_Name,0),3)/(INDEX(Antoines,MATCH(E486,Antoine_Name,0),4)+(E493-32)*5/9)))*14.7/760,IF(E487="Crude Oil",EXP((2799/(E493+459.6)-2.227)*LOG10(INDEX(FX_Input,R$5,E$3*$Z$5+$AA$5))-(7261/(E493+459.6))+12.82),IF(E487="Refined Petroleum Stock",EXP((0.7553-(413/(E493+459.6)))*(INDEX(FX_Input,R$5,E$3*$Z$5+$AA$5-1)^0.5)*LOG10(INDEX(FX_Input,R$5,E$3*$Z$5+$AA$5))-(1.854-(1042/(E493+459.6)))*(INDEX(FX_Input,R$5,E$3*$Z$5+$AA$5-1)^0.5)+((2416/(E493+459.6)-2.013)*LOG10(INDEX(FX_Input,R$5,E$3*$Z$5+$AA$5)))-(8742/(E493+459.6))+15.64),EXP(INDEX(Antoines,MATCH(E486,Antoine_Name,0),2)-INDEX(Antoines,MATCH(E486,Antoine_Name,0),3)/(E493+459.6))))),0)</f>
        <v>0</v>
      </c>
      <c r="F502" cm="1">
        <f t="array" ref="F502">IFERROR(IF(F487="Chemical",(10^(INDEX(Antoines,MATCH(F486,Antoine_Name,0),2)-INDEX(Antoines,MATCH(F486,Antoine_Name,0),3)/(INDEX(Antoines,MATCH(F486,Antoine_Name,0),4)+(F493-32)*5/9)))*14.7/760,IF(F487="Crude Oil",EXP((2799/(F493+459.6)-2.227)*LOG10(INDEX(FX_Input,S$5,F$3*$Z$5+$AA$5))-(7261/(F493+459.6))+12.82),IF(F487="Refined Petroleum Stock",EXP((0.7553-(413/(F493+459.6)))*(INDEX(FX_Input,S$5,F$3*$Z$5+$AA$5-1)^0.5)*LOG10(INDEX(FX_Input,S$5,F$3*$Z$5+$AA$5))-(1.854-(1042/(F493+459.6)))*(INDEX(FX_Input,S$5,F$3*$Z$5+$AA$5-1)^0.5)+((2416/(F493+459.6)-2.013)*LOG10(INDEX(FX_Input,S$5,F$3*$Z$5+$AA$5)))-(8742/(F493+459.6))+15.64),EXP(INDEX(Antoines,MATCH(F486,Antoine_Name,0),2)-INDEX(Antoines,MATCH(F486,Antoine_Name,0),3)/(F493+459.6))))),0)</f>
        <v>0</v>
      </c>
      <c r="G502" cm="1">
        <f t="array" ref="G502">IFERROR(IF(G487="Chemical",(10^(INDEX(Antoines,MATCH(G486,Antoine_Name,0),2)-INDEX(Antoines,MATCH(G486,Antoine_Name,0),3)/(INDEX(Antoines,MATCH(G486,Antoine_Name,0),4)+(G493-32)*5/9)))*14.7/760,IF(G487="Crude Oil",EXP((2799/(G493+459.6)-2.227)*LOG10(INDEX(FX_Input,T$5,G$3*$Z$5+$AA$5))-(7261/(G493+459.6))+12.82),IF(G487="Refined Petroleum Stock",EXP((0.7553-(413/(G493+459.6)))*(INDEX(FX_Input,T$5,G$3*$Z$5+$AA$5-1)^0.5)*LOG10(INDEX(FX_Input,T$5,G$3*$Z$5+$AA$5))-(1.854-(1042/(G493+459.6)))*(INDEX(FX_Input,T$5,G$3*$Z$5+$AA$5-1)^0.5)+((2416/(G493+459.6)-2.013)*LOG10(INDEX(FX_Input,T$5,G$3*$Z$5+$AA$5)))-(8742/(G493+459.6))+15.64),EXP(INDEX(Antoines,MATCH(G486,Antoine_Name,0),2)-INDEX(Antoines,MATCH(G486,Antoine_Name,0),3)/(G493+459.6))))),0)</f>
        <v>0</v>
      </c>
      <c r="H502" cm="1">
        <f t="array" ref="H502">IFERROR(IF(H487="Chemical",(10^(INDEX(Antoines,MATCH(H486,Antoine_Name,0),2)-INDEX(Antoines,MATCH(H486,Antoine_Name,0),3)/(INDEX(Antoines,MATCH(H486,Antoine_Name,0),4)+(H493-32)*5/9)))*14.7/760,IF(H487="Crude Oil",EXP((2799/(H493+459.6)-2.227)*LOG10(INDEX(FX_Input,U$5,H$3*$Z$5+$AA$5))-(7261/(H493+459.6))+12.82),IF(H487="Refined Petroleum Stock",EXP((0.7553-(413/(H493+459.6)))*(INDEX(FX_Input,U$5,H$3*$Z$5+$AA$5-1)^0.5)*LOG10(INDEX(FX_Input,U$5,H$3*$Z$5+$AA$5))-(1.854-(1042/(H493+459.6)))*(INDEX(FX_Input,U$5,H$3*$Z$5+$AA$5-1)^0.5)+((2416/(H493+459.6)-2.013)*LOG10(INDEX(FX_Input,U$5,H$3*$Z$5+$AA$5)))-(8742/(H493+459.6))+15.64),EXP(INDEX(Antoines,MATCH(H486,Antoine_Name,0),2)-INDEX(Antoines,MATCH(H486,Antoine_Name,0),3)/(H493+459.6))))),0)</f>
        <v>0</v>
      </c>
      <c r="I502" cm="1">
        <f t="array" ref="I502">IFERROR(IF(I487="Chemical",(10^(INDEX(Antoines,MATCH(I486,Antoine_Name,0),2)-INDEX(Antoines,MATCH(I486,Antoine_Name,0),3)/(INDEX(Antoines,MATCH(I486,Antoine_Name,0),4)+(I493-32)*5/9)))*14.7/760,IF(I487="Crude Oil",EXP((2799/(I493+459.6)-2.227)*LOG10(INDEX(FX_Input,V$5,I$3*$Z$5+$AA$5))-(7261/(I493+459.6))+12.82),IF(I487="Refined Petroleum Stock",EXP((0.7553-(413/(I493+459.6)))*(INDEX(FX_Input,V$5,I$3*$Z$5+$AA$5-1)^0.5)*LOG10(INDEX(FX_Input,V$5,I$3*$Z$5+$AA$5))-(1.854-(1042/(I493+459.6)))*(INDEX(FX_Input,V$5,I$3*$Z$5+$AA$5-1)^0.5)+((2416/(I493+459.6)-2.013)*LOG10(INDEX(FX_Input,V$5,I$3*$Z$5+$AA$5)))-(8742/(I493+459.6))+15.64),EXP(INDEX(Antoines,MATCH(I486,Antoine_Name,0),2)-INDEX(Antoines,MATCH(I486,Antoine_Name,0),3)/(I493+459.6))))),0)</f>
        <v>0</v>
      </c>
      <c r="J502" cm="1">
        <f t="array" ref="J502">IFERROR(IF(J487="Chemical",(10^(INDEX(Antoines,MATCH(J486,Antoine_Name,0),2)-INDEX(Antoines,MATCH(J486,Antoine_Name,0),3)/(INDEX(Antoines,MATCH(J486,Antoine_Name,0),4)+(J493-32)*5/9)))*14.7/760,IF(J487="Crude Oil",EXP((2799/(J493+459.6)-2.227)*LOG10(INDEX(FX_Input,W$5,J$3*$Z$5+$AA$5))-(7261/(J493+459.6))+12.82),IF(J487="Refined Petroleum Stock",EXP((0.7553-(413/(J493+459.6)))*(INDEX(FX_Input,W$5,J$3*$Z$5+$AA$5-1)^0.5)*LOG10(INDEX(FX_Input,W$5,J$3*$Z$5+$AA$5))-(1.854-(1042/(J493+459.6)))*(INDEX(FX_Input,W$5,J$3*$Z$5+$AA$5-1)^0.5)+((2416/(J493+459.6)-2.013)*LOG10(INDEX(FX_Input,W$5,J$3*$Z$5+$AA$5)))-(8742/(J493+459.6))+15.64),EXP(INDEX(Antoines,MATCH(J486,Antoine_Name,0),2)-INDEX(Antoines,MATCH(J486,Antoine_Name,0),3)/(J493+459.6))))),0)</f>
        <v>0</v>
      </c>
      <c r="K502" cm="1">
        <f t="array" ref="K502">IFERROR(IF(K487="Chemical",(10^(INDEX(Antoines,MATCH(K486,Antoine_Name,0),2)-INDEX(Antoines,MATCH(K486,Antoine_Name,0),3)/(INDEX(Antoines,MATCH(K486,Antoine_Name,0),4)+(K493-32)*5/9)))*14.7/760,IF(K487="Crude Oil",EXP((2799/(K493+459.6)-2.227)*LOG10(INDEX(FX_Input,X$5,K$3*$Z$5+$AA$5))-(7261/(K493+459.6))+12.82),IF(K487="Refined Petroleum Stock",EXP((0.7553-(413/(K493+459.6)))*(INDEX(FX_Input,X$5,K$3*$Z$5+$AA$5-1)^0.5)*LOG10(INDEX(FX_Input,X$5,K$3*$Z$5+$AA$5))-(1.854-(1042/(K493+459.6)))*(INDEX(FX_Input,X$5,K$3*$Z$5+$AA$5-1)^0.5)+((2416/(K493+459.6)-2.013)*LOG10(INDEX(FX_Input,X$5,K$3*$Z$5+$AA$5)))-(8742/(K493+459.6))+15.64),EXP(INDEX(Antoines,MATCH(K486,Antoine_Name,0),2)-INDEX(Antoines,MATCH(K486,Antoine_Name,0),3)/(K493+459.6))))),0)</f>
        <v>0</v>
      </c>
      <c r="L502" cm="1">
        <f t="array" ref="L502">IFERROR(IF(L487="Chemical",(10^(INDEX(Antoines,MATCH(L486,Antoine_Name,0),2)-INDEX(Antoines,MATCH(L486,Antoine_Name,0),3)/(INDEX(Antoines,MATCH(L486,Antoine_Name,0),4)+(L493-32)*5/9)))*14.7/760,IF(L487="Crude Oil",EXP((2799/(L493+459.6)-2.227)*LOG10(INDEX(FX_Input,Y$5,L$3*$Z$5+$AA$5))-(7261/(L493+459.6))+12.82),IF(L487="Refined Petroleum Stock",EXP((0.7553-(413/(L493+459.6)))*(INDEX(FX_Input,Y$5,L$3*$Z$5+$AA$5-1)^0.5)*LOG10(INDEX(FX_Input,Y$5,L$3*$Z$5+$AA$5))-(1.854-(1042/(L493+459.6)))*(INDEX(FX_Input,Y$5,L$3*$Z$5+$AA$5-1)^0.5)+((2416/(L493+459.6)-2.013)*LOG10(INDEX(FX_Input,Y$5,L$3*$Z$5+$AA$5)))-(8742/(L493+459.6))+15.64),EXP(INDEX(Antoines,MATCH(L486,Antoine_Name,0),2)-INDEX(Antoines,MATCH(L486,Antoine_Name,0),3)/(L493+459.6))))),0)</f>
        <v>0</v>
      </c>
      <c r="M502" cm="1">
        <f t="array" ref="M502">IFERROR(IF(M487="Chemical",(10^(INDEX(Antoines,MATCH(M486,Antoine_Name,0),2)-INDEX(Antoines,MATCH(M486,Antoine_Name,0),3)/(INDEX(Antoines,MATCH(M486,Antoine_Name,0),4)+(M493-32)*5/9)))*14.7/760,IF(M487="Crude Oil",EXP((2799/(M493+459.6)-2.227)*LOG10(INDEX(FX_Input,Z$5,M$3*$Z$5+$AA$5))-(7261/(M493+459.6))+12.82),IF(M487="Refined Petroleum Stock",EXP((0.7553-(413/(M493+459.6)))*(INDEX(FX_Input,Z$5,M$3*$Z$5+$AA$5-1)^0.5)*LOG10(INDEX(FX_Input,Z$5,M$3*$Z$5+$AA$5))-(1.854-(1042/(M493+459.6)))*(INDEX(FX_Input,Z$5,M$3*$Z$5+$AA$5-1)^0.5)+((2416/(M493+459.6)-2.013)*LOG10(INDEX(FX_Input,Z$5,M$3*$Z$5+$AA$5)))-(8742/(M493+459.6))+15.64),EXP(INDEX(Antoines,MATCH(M486,Antoine_Name,0),2)-INDEX(Antoines,MATCH(M486,Antoine_Name,0),3)/(M493+459.6))))),0)</f>
        <v>0</v>
      </c>
      <c r="N502" cm="1">
        <f t="array" ref="N502">IFERROR(IF(N487="Chemical",(10^(INDEX(Antoines,MATCH(N486,Antoine_Name,0),2)-INDEX(Antoines,MATCH(N486,Antoine_Name,0),3)/(INDEX(Antoines,MATCH(N486,Antoine_Name,0),4)+(N493-32)*5/9)))*14.7/760,IF(N487="Crude Oil",EXP((2799/(N493+459.6)-2.227)*LOG10(INDEX(FX_Input,AA$5,N$3*$Z$5+$AA$5))-(7261/(N493+459.6))+12.82),IF(N487="Refined Petroleum Stock",EXP((0.7553-(413/(N493+459.6)))*(INDEX(FX_Input,AA$5,N$3*$Z$5+$AA$5-1)^0.5)*LOG10(INDEX(FX_Input,AA$5,N$3*$Z$5+$AA$5))-(1.854-(1042/(N493+459.6)))*(INDEX(FX_Input,AA$5,N$3*$Z$5+$AA$5-1)^0.5)+((2416/(N493+459.6)-2.013)*LOG10(INDEX(FX_Input,AA$5,N$3*$Z$5+$AA$5)))-(8742/(N493+459.6))+15.64),EXP(INDEX(Antoines,MATCH(N486,Antoine_Name,0),2)-INDEX(Antoines,MATCH(N486,Antoine_Name,0),3)/(N493+459.6))))),0)</f>
        <v>0</v>
      </c>
      <c r="O502" cm="1">
        <f t="array" ref="O502">IFERROR(IF(O487="Chemical",(10^(INDEX(Antoines,MATCH(O486,Antoine_Name,0),2)-INDEX(Antoines,MATCH(O486,Antoine_Name,0),3)/(INDEX(Antoines,MATCH(O486,Antoine_Name,0),4)+(O493-32)*5/9)))*14.7/760,IF(O487="Crude Oil",EXP((2799/(O493+459.6)-2.227)*LOG10(INDEX(FX_Input,AB$5,O$3*$Z$5+$AA$5))-(7261/(O493+459.6))+12.82),IF(O487="Refined Petroleum Stock",EXP((0.7553-(413/(O493+459.6)))*(INDEX(FX_Input,AB$5,O$3*$Z$5+$AA$5-1)^0.5)*LOG10(INDEX(FX_Input,AB$5,O$3*$Z$5+$AA$5))-(1.854-(1042/(O493+459.6)))*(INDEX(FX_Input,AB$5,O$3*$Z$5+$AA$5-1)^0.5)+((2416/(O493+459.6)-2.013)*LOG10(INDEX(FX_Input,AB$5,O$3*$Z$5+$AA$5)))-(8742/(O493+459.6))+15.64),EXP(INDEX(Antoines,MATCH(O486,Antoine_Name,0),2)-INDEX(Antoines,MATCH(O486,Antoine_Name,0),3)/(O493+459.6))))),0)</f>
        <v>0</v>
      </c>
    </row>
    <row r="503" spans="2:15" ht="17.149999999999999" x14ac:dyDescent="0.55000000000000004">
      <c r="B503" t="str">
        <f t="shared" si="1684"/>
        <v>Portland</v>
      </c>
      <c r="C503" t="s">
        <v>582</v>
      </c>
      <c r="D503">
        <f>D502*D490</f>
        <v>0</v>
      </c>
      <c r="E503">
        <f t="shared" ref="E503" si="1729">E502*E490</f>
        <v>0</v>
      </c>
      <c r="F503">
        <f t="shared" ref="F503" si="1730">F502*F490</f>
        <v>0</v>
      </c>
      <c r="G503">
        <f t="shared" ref="G503" si="1731">G502*G490</f>
        <v>0</v>
      </c>
      <c r="H503">
        <f t="shared" ref="H503" si="1732">H502*H490</f>
        <v>0</v>
      </c>
      <c r="I503">
        <f t="shared" ref="I503" si="1733">I502*I490</f>
        <v>0</v>
      </c>
      <c r="J503">
        <f t="shared" ref="J503" si="1734">J502*J490</f>
        <v>0</v>
      </c>
      <c r="K503">
        <f t="shared" ref="K503" si="1735">K502*K490</f>
        <v>0</v>
      </c>
      <c r="L503">
        <f t="shared" ref="L503" si="1736">L502*L490</f>
        <v>0</v>
      </c>
      <c r="M503">
        <f t="shared" ref="M503" si="1737">M502*M490</f>
        <v>0</v>
      </c>
      <c r="N503">
        <f t="shared" ref="N503" si="1738">N502*N490</f>
        <v>0</v>
      </c>
      <c r="O503">
        <f t="shared" ref="O503" si="1739">O502*O490</f>
        <v>0</v>
      </c>
    </row>
    <row r="504" spans="2:15" ht="17.149999999999999" x14ac:dyDescent="0.55000000000000004">
      <c r="B504" t="str">
        <f t="shared" si="1684"/>
        <v>Portland</v>
      </c>
      <c r="C504" t="s">
        <v>583</v>
      </c>
      <c r="D504">
        <f>D501+D503</f>
        <v>4.739577185808354E-3</v>
      </c>
      <c r="E504">
        <f t="shared" ref="E504" si="1740">E501+E503</f>
        <v>4.8748667780818778E-3</v>
      </c>
      <c r="F504">
        <f t="shared" ref="F504" si="1741">F501+F503</f>
        <v>5.119885034186122E-3</v>
      </c>
      <c r="G504">
        <f t="shared" ref="G504" si="1742">G501+G503</f>
        <v>5.5846958573521795E-3</v>
      </c>
      <c r="H504">
        <f t="shared" ref="H504" si="1743">H501+H503</f>
        <v>6.5274070972739821E-3</v>
      </c>
      <c r="I504">
        <f t="shared" ref="I504" si="1744">I501+I503</f>
        <v>7.4199539958878279E-3</v>
      </c>
      <c r="J504">
        <f t="shared" ref="J504" si="1745">J501+J503</f>
        <v>8.3358107202842254E-3</v>
      </c>
      <c r="K504">
        <f t="shared" ref="K504" si="1746">K501+K503</f>
        <v>8.4605262729351115E-3</v>
      </c>
      <c r="L504">
        <f t="shared" ref="L504" si="1747">L501+L503</f>
        <v>7.8399882233967533E-3</v>
      </c>
      <c r="M504">
        <f t="shared" ref="M504" si="1748">M501+M503</f>
        <v>6.4173462075160911E-3</v>
      </c>
      <c r="N504">
        <f t="shared" ref="N504" si="1749">N501+N503</f>
        <v>5.3015226887581056E-3</v>
      </c>
      <c r="O504">
        <f t="shared" ref="O504" si="1750">O501+O503</f>
        <v>4.68970903600947E-3</v>
      </c>
    </row>
    <row r="505" spans="2:15" ht="17.149999999999999" x14ac:dyDescent="0.55000000000000004">
      <c r="B505" t="str">
        <f t="shared" si="1684"/>
        <v>Portland</v>
      </c>
      <c r="C505" t="s">
        <v>1388</v>
      </c>
      <c r="D505" cm="1">
        <f t="array" ref="D505">IFERROR(IF(D485="Chemical",(10^(INDEX(Antoines,MATCH(D484,Antoine_Name,0),2)-INDEX(Antoines,MATCH(D484,Antoine_Name,0),3)/(INDEX(Antoines,MATCH(D484,Antoine_Name,0),4)+(D494-32)*5/9)))*14.7/760,IF(D485="Crude Oil",EXP((2799/(D494+459.6)-2.227)*LOG10(INDEX(FX_Input,Q$5,D$3*$Z$5+$AA$5))-(7261/(D494+459.6))+12.82),IF(D485="Refined Petroleum Stock",EXP((0.7553-(413/(D494+459.6)))*(INDEX(FX_Input,Q$5,D$3*$Z$5+$AA$5-1)^0.5)*LOG10(INDEX(FX_Input,Q$5,D$3*$Z$5+$AA$5))-(1.854-(1042/(D494+459.6)))*(INDEX(FX_Input,Q$5,D$3*$Z$5+$AA$5-1)^0.5)+((2416/(D494+459.6)-2.013)*LOG10(INDEX(FX_Input,Q$5,D$3*$Z$5+$AA$5)))-(8742/(D494+459.6))+15.64),EXP(INDEX(Antoines,MATCH(D484,Antoine_Name,0),2)-INDEX(Antoines,MATCH(D484,Antoine_Name,0),3)/(D494+459.6))))),0)</f>
        <v>4.739577185808354E-3</v>
      </c>
      <c r="E505" cm="1">
        <f t="array" ref="E505">IFERROR(IF(E485="Chemical",(10^(INDEX(Antoines,MATCH(E484,Antoine_Name,0),2)-INDEX(Antoines,MATCH(E484,Antoine_Name,0),3)/(INDEX(Antoines,MATCH(E484,Antoine_Name,0),4)+(E494-32)*5/9)))*14.7/760,IF(E485="Crude Oil",EXP((2799/(E494+459.6)-2.227)*LOG10(INDEX(FX_Input,R$5,E$3*$Z$5+$AA$5))-(7261/(E494+459.6))+12.82),IF(E485="Refined Petroleum Stock",EXP((0.7553-(413/(E494+459.6)))*(INDEX(FX_Input,R$5,E$3*$Z$5+$AA$5-1)^0.5)*LOG10(INDEX(FX_Input,R$5,E$3*$Z$5+$AA$5))-(1.854-(1042/(E494+459.6)))*(INDEX(FX_Input,R$5,E$3*$Z$5+$AA$5-1)^0.5)+((2416/(E494+459.6)-2.013)*LOG10(INDEX(FX_Input,R$5,E$3*$Z$5+$AA$5)))-(8742/(E494+459.6))+15.64),EXP(INDEX(Antoines,MATCH(E484,Antoine_Name,0),2)-INDEX(Antoines,MATCH(E484,Antoine_Name,0),3)/(E494+459.6))))),0)</f>
        <v>4.8748667780818778E-3</v>
      </c>
      <c r="F505" cm="1">
        <f t="array" ref="F505">IFERROR(IF(F485="Chemical",(10^(INDEX(Antoines,MATCH(F484,Antoine_Name,0),2)-INDEX(Antoines,MATCH(F484,Antoine_Name,0),3)/(INDEX(Antoines,MATCH(F484,Antoine_Name,0),4)+(F494-32)*5/9)))*14.7/760,IF(F485="Crude Oil",EXP((2799/(F494+459.6)-2.227)*LOG10(INDEX(FX_Input,S$5,F$3*$Z$5+$AA$5))-(7261/(F494+459.6))+12.82),IF(F485="Refined Petroleum Stock",EXP((0.7553-(413/(F494+459.6)))*(INDEX(FX_Input,S$5,F$3*$Z$5+$AA$5-1)^0.5)*LOG10(INDEX(FX_Input,S$5,F$3*$Z$5+$AA$5))-(1.854-(1042/(F494+459.6)))*(INDEX(FX_Input,S$5,F$3*$Z$5+$AA$5-1)^0.5)+((2416/(F494+459.6)-2.013)*LOG10(INDEX(FX_Input,S$5,F$3*$Z$5+$AA$5)))-(8742/(F494+459.6))+15.64),EXP(INDEX(Antoines,MATCH(F484,Antoine_Name,0),2)-INDEX(Antoines,MATCH(F484,Antoine_Name,0),3)/(F494+459.6))))),0)</f>
        <v>5.119885034186122E-3</v>
      </c>
      <c r="G505" cm="1">
        <f t="array" ref="G505">IFERROR(IF(G485="Chemical",(10^(INDEX(Antoines,MATCH(G484,Antoine_Name,0),2)-INDEX(Antoines,MATCH(G484,Antoine_Name,0),3)/(INDEX(Antoines,MATCH(G484,Antoine_Name,0),4)+(G494-32)*5/9)))*14.7/760,IF(G485="Crude Oil",EXP((2799/(G494+459.6)-2.227)*LOG10(INDEX(FX_Input,T$5,G$3*$Z$5+$AA$5))-(7261/(G494+459.6))+12.82),IF(G485="Refined Petroleum Stock",EXP((0.7553-(413/(G494+459.6)))*(INDEX(FX_Input,T$5,G$3*$Z$5+$AA$5-1)^0.5)*LOG10(INDEX(FX_Input,T$5,G$3*$Z$5+$AA$5))-(1.854-(1042/(G494+459.6)))*(INDEX(FX_Input,T$5,G$3*$Z$5+$AA$5-1)^0.5)+((2416/(G494+459.6)-2.013)*LOG10(INDEX(FX_Input,T$5,G$3*$Z$5+$AA$5)))-(8742/(G494+459.6))+15.64),EXP(INDEX(Antoines,MATCH(G484,Antoine_Name,0),2)-INDEX(Antoines,MATCH(G484,Antoine_Name,0),3)/(G494+459.6))))),0)</f>
        <v>5.5846958573521795E-3</v>
      </c>
      <c r="H505" cm="1">
        <f t="array" ref="H505">IFERROR(IF(H485="Chemical",(10^(INDEX(Antoines,MATCH(H484,Antoine_Name,0),2)-INDEX(Antoines,MATCH(H484,Antoine_Name,0),3)/(INDEX(Antoines,MATCH(H484,Antoine_Name,0),4)+(H494-32)*5/9)))*14.7/760,IF(H485="Crude Oil",EXP((2799/(H494+459.6)-2.227)*LOG10(INDEX(FX_Input,U$5,H$3*$Z$5+$AA$5))-(7261/(H494+459.6))+12.82),IF(H485="Refined Petroleum Stock",EXP((0.7553-(413/(H494+459.6)))*(INDEX(FX_Input,U$5,H$3*$Z$5+$AA$5-1)^0.5)*LOG10(INDEX(FX_Input,U$5,H$3*$Z$5+$AA$5))-(1.854-(1042/(H494+459.6)))*(INDEX(FX_Input,U$5,H$3*$Z$5+$AA$5-1)^0.5)+((2416/(H494+459.6)-2.013)*LOG10(INDEX(FX_Input,U$5,H$3*$Z$5+$AA$5)))-(8742/(H494+459.6))+15.64),EXP(INDEX(Antoines,MATCH(H484,Antoine_Name,0),2)-INDEX(Antoines,MATCH(H484,Antoine_Name,0),3)/(H494+459.6))))),0)</f>
        <v>6.5274070972739821E-3</v>
      </c>
      <c r="I505" cm="1">
        <f t="array" ref="I505">IFERROR(IF(I485="Chemical",(10^(INDEX(Antoines,MATCH(I484,Antoine_Name,0),2)-INDEX(Antoines,MATCH(I484,Antoine_Name,0),3)/(INDEX(Antoines,MATCH(I484,Antoine_Name,0),4)+(I494-32)*5/9)))*14.7/760,IF(I485="Crude Oil",EXP((2799/(I494+459.6)-2.227)*LOG10(INDEX(FX_Input,V$5,I$3*$Z$5+$AA$5))-(7261/(I494+459.6))+12.82),IF(I485="Refined Petroleum Stock",EXP((0.7553-(413/(I494+459.6)))*(INDEX(FX_Input,V$5,I$3*$Z$5+$AA$5-1)^0.5)*LOG10(INDEX(FX_Input,V$5,I$3*$Z$5+$AA$5))-(1.854-(1042/(I494+459.6)))*(INDEX(FX_Input,V$5,I$3*$Z$5+$AA$5-1)^0.5)+((2416/(I494+459.6)-2.013)*LOG10(INDEX(FX_Input,V$5,I$3*$Z$5+$AA$5)))-(8742/(I494+459.6))+15.64),EXP(INDEX(Antoines,MATCH(I484,Antoine_Name,0),2)-INDEX(Antoines,MATCH(I484,Antoine_Name,0),3)/(I494+459.6))))),0)</f>
        <v>7.4199539958878279E-3</v>
      </c>
      <c r="J505" cm="1">
        <f t="array" ref="J505">IFERROR(IF(J485="Chemical",(10^(INDEX(Antoines,MATCH(J484,Antoine_Name,0),2)-INDEX(Antoines,MATCH(J484,Antoine_Name,0),3)/(INDEX(Antoines,MATCH(J484,Antoine_Name,0),4)+(J494-32)*5/9)))*14.7/760,IF(J485="Crude Oil",EXP((2799/(J494+459.6)-2.227)*LOG10(INDEX(FX_Input,W$5,J$3*$Z$5+$AA$5))-(7261/(J494+459.6))+12.82),IF(J485="Refined Petroleum Stock",EXP((0.7553-(413/(J494+459.6)))*(INDEX(FX_Input,W$5,J$3*$Z$5+$AA$5-1)^0.5)*LOG10(INDEX(FX_Input,W$5,J$3*$Z$5+$AA$5))-(1.854-(1042/(J494+459.6)))*(INDEX(FX_Input,W$5,J$3*$Z$5+$AA$5-1)^0.5)+((2416/(J494+459.6)-2.013)*LOG10(INDEX(FX_Input,W$5,J$3*$Z$5+$AA$5)))-(8742/(J494+459.6))+15.64),EXP(INDEX(Antoines,MATCH(J484,Antoine_Name,0),2)-INDEX(Antoines,MATCH(J484,Antoine_Name,0),3)/(J494+459.6))))),0)</f>
        <v>8.3358107202842254E-3</v>
      </c>
      <c r="K505" cm="1">
        <f t="array" ref="K505">IFERROR(IF(K485="Chemical",(10^(INDEX(Antoines,MATCH(K484,Antoine_Name,0),2)-INDEX(Antoines,MATCH(K484,Antoine_Name,0),3)/(INDEX(Antoines,MATCH(K484,Antoine_Name,0),4)+(K494-32)*5/9)))*14.7/760,IF(K485="Crude Oil",EXP((2799/(K494+459.6)-2.227)*LOG10(INDEX(FX_Input,X$5,K$3*$Z$5+$AA$5))-(7261/(K494+459.6))+12.82),IF(K485="Refined Petroleum Stock",EXP((0.7553-(413/(K494+459.6)))*(INDEX(FX_Input,X$5,K$3*$Z$5+$AA$5-1)^0.5)*LOG10(INDEX(FX_Input,X$5,K$3*$Z$5+$AA$5))-(1.854-(1042/(K494+459.6)))*(INDEX(FX_Input,X$5,K$3*$Z$5+$AA$5-1)^0.5)+((2416/(K494+459.6)-2.013)*LOG10(INDEX(FX_Input,X$5,K$3*$Z$5+$AA$5)))-(8742/(K494+459.6))+15.64),EXP(INDEX(Antoines,MATCH(K484,Antoine_Name,0),2)-INDEX(Antoines,MATCH(K484,Antoine_Name,0),3)/(K494+459.6))))),0)</f>
        <v>8.4605262729351115E-3</v>
      </c>
      <c r="L505" cm="1">
        <f t="array" ref="L505">IFERROR(IF(L485="Chemical",(10^(INDEX(Antoines,MATCH(L484,Antoine_Name,0),2)-INDEX(Antoines,MATCH(L484,Antoine_Name,0),3)/(INDEX(Antoines,MATCH(L484,Antoine_Name,0),4)+(L494-32)*5/9)))*14.7/760,IF(L485="Crude Oil",EXP((2799/(L494+459.6)-2.227)*LOG10(INDEX(FX_Input,Y$5,L$3*$Z$5+$AA$5))-(7261/(L494+459.6))+12.82),IF(L485="Refined Petroleum Stock",EXP((0.7553-(413/(L494+459.6)))*(INDEX(FX_Input,Y$5,L$3*$Z$5+$AA$5-1)^0.5)*LOG10(INDEX(FX_Input,Y$5,L$3*$Z$5+$AA$5))-(1.854-(1042/(L494+459.6)))*(INDEX(FX_Input,Y$5,L$3*$Z$5+$AA$5-1)^0.5)+((2416/(L494+459.6)-2.013)*LOG10(INDEX(FX_Input,Y$5,L$3*$Z$5+$AA$5)))-(8742/(L494+459.6))+15.64),EXP(INDEX(Antoines,MATCH(L484,Antoine_Name,0),2)-INDEX(Antoines,MATCH(L484,Antoine_Name,0),3)/(L494+459.6))))),0)</f>
        <v>7.8399882233967533E-3</v>
      </c>
      <c r="M505" cm="1">
        <f t="array" ref="M505">IFERROR(IF(M485="Chemical",(10^(INDEX(Antoines,MATCH(M484,Antoine_Name,0),2)-INDEX(Antoines,MATCH(M484,Antoine_Name,0),3)/(INDEX(Antoines,MATCH(M484,Antoine_Name,0),4)+(M494-32)*5/9)))*14.7/760,IF(M485="Crude Oil",EXP((2799/(M494+459.6)-2.227)*LOG10(INDEX(FX_Input,Z$5,M$3*$Z$5+$AA$5))-(7261/(M494+459.6))+12.82),IF(M485="Refined Petroleum Stock",EXP((0.7553-(413/(M494+459.6)))*(INDEX(FX_Input,Z$5,M$3*$Z$5+$AA$5-1)^0.5)*LOG10(INDEX(FX_Input,Z$5,M$3*$Z$5+$AA$5))-(1.854-(1042/(M494+459.6)))*(INDEX(FX_Input,Z$5,M$3*$Z$5+$AA$5-1)^0.5)+((2416/(M494+459.6)-2.013)*LOG10(INDEX(FX_Input,Z$5,M$3*$Z$5+$AA$5)))-(8742/(M494+459.6))+15.64),EXP(INDEX(Antoines,MATCH(M484,Antoine_Name,0),2)-INDEX(Antoines,MATCH(M484,Antoine_Name,0),3)/(M494+459.6))))),0)</f>
        <v>6.4173462075160911E-3</v>
      </c>
      <c r="N505" cm="1">
        <f t="array" ref="N505">IFERROR(IF(N485="Chemical",(10^(INDEX(Antoines,MATCH(N484,Antoine_Name,0),2)-INDEX(Antoines,MATCH(N484,Antoine_Name,0),3)/(INDEX(Antoines,MATCH(N484,Antoine_Name,0),4)+(N494-32)*5/9)))*14.7/760,IF(N485="Crude Oil",EXP((2799/(N494+459.6)-2.227)*LOG10(INDEX(FX_Input,AA$5,N$3*$Z$5+$AA$5))-(7261/(N494+459.6))+12.82),IF(N485="Refined Petroleum Stock",EXP((0.7553-(413/(N494+459.6)))*(INDEX(FX_Input,AA$5,N$3*$Z$5+$AA$5-1)^0.5)*LOG10(INDEX(FX_Input,AA$5,N$3*$Z$5+$AA$5))-(1.854-(1042/(N494+459.6)))*(INDEX(FX_Input,AA$5,N$3*$Z$5+$AA$5-1)^0.5)+((2416/(N494+459.6)-2.013)*LOG10(INDEX(FX_Input,AA$5,N$3*$Z$5+$AA$5)))-(8742/(N494+459.6))+15.64),EXP(INDEX(Antoines,MATCH(N484,Antoine_Name,0),2)-INDEX(Antoines,MATCH(N484,Antoine_Name,0),3)/(N494+459.6))))),0)</f>
        <v>5.3015226887581056E-3</v>
      </c>
      <c r="O505" cm="1">
        <f t="array" ref="O505">IFERROR(IF(O485="Chemical",(10^(INDEX(Antoines,MATCH(O484,Antoine_Name,0),2)-INDEX(Antoines,MATCH(O484,Antoine_Name,0),3)/(INDEX(Antoines,MATCH(O484,Antoine_Name,0),4)+(O494-32)*5/9)))*14.7/760,IF(O485="Crude Oil",EXP((2799/(O494+459.6)-2.227)*LOG10(INDEX(FX_Input,AB$5,O$3*$Z$5+$AA$5))-(7261/(O494+459.6))+12.82),IF(O485="Refined Petroleum Stock",EXP((0.7553-(413/(O494+459.6)))*(INDEX(FX_Input,AB$5,O$3*$Z$5+$AA$5-1)^0.5)*LOG10(INDEX(FX_Input,AB$5,O$3*$Z$5+$AA$5))-(1.854-(1042/(O494+459.6)))*(INDEX(FX_Input,AB$5,O$3*$Z$5+$AA$5-1)^0.5)+((2416/(O494+459.6)-2.013)*LOG10(INDEX(FX_Input,AB$5,O$3*$Z$5+$AA$5)))-(8742/(O494+459.6))+15.64),EXP(INDEX(Antoines,MATCH(O484,Antoine_Name,0),2)-INDEX(Antoines,MATCH(O484,Antoine_Name,0),3)/(O494+459.6))))),0)</f>
        <v>4.68970903600947E-3</v>
      </c>
    </row>
    <row r="506" spans="2:15" ht="17.149999999999999" x14ac:dyDescent="0.55000000000000004">
      <c r="B506" t="str">
        <f t="shared" si="1684"/>
        <v>Portland</v>
      </c>
      <c r="C506" t="s">
        <v>1389</v>
      </c>
      <c r="D506">
        <f>D505*D488</f>
        <v>4.739577185808354E-3</v>
      </c>
      <c r="E506">
        <f t="shared" ref="E506" si="1751">E505*E488</f>
        <v>4.8748667780818778E-3</v>
      </c>
      <c r="F506">
        <f t="shared" ref="F506" si="1752">F505*F488</f>
        <v>5.119885034186122E-3</v>
      </c>
      <c r="G506">
        <f t="shared" ref="G506" si="1753">G505*G488</f>
        <v>5.5846958573521795E-3</v>
      </c>
      <c r="H506">
        <f t="shared" ref="H506" si="1754">H505*H488</f>
        <v>6.5274070972739821E-3</v>
      </c>
      <c r="I506">
        <f t="shared" ref="I506" si="1755">I505*I488</f>
        <v>7.4199539958878279E-3</v>
      </c>
      <c r="J506">
        <f t="shared" ref="J506" si="1756">J505*J488</f>
        <v>8.3358107202842254E-3</v>
      </c>
      <c r="K506">
        <f t="shared" ref="K506" si="1757">K505*K488</f>
        <v>8.4605262729351115E-3</v>
      </c>
      <c r="L506">
        <f t="shared" ref="L506" si="1758">L505*L488</f>
        <v>7.8399882233967533E-3</v>
      </c>
      <c r="M506">
        <f t="shared" ref="M506" si="1759">M505*M488</f>
        <v>6.4173462075160911E-3</v>
      </c>
      <c r="N506">
        <f t="shared" ref="N506" si="1760">N505*N488</f>
        <v>5.3015226887581056E-3</v>
      </c>
      <c r="O506">
        <f t="shared" ref="O506" si="1761">O505*O488</f>
        <v>4.68970903600947E-3</v>
      </c>
    </row>
    <row r="507" spans="2:15" ht="17.149999999999999" x14ac:dyDescent="0.55000000000000004">
      <c r="B507" t="str">
        <f t="shared" si="1684"/>
        <v>Portland</v>
      </c>
      <c r="C507" t="s">
        <v>1390</v>
      </c>
      <c r="D507" cm="1">
        <f t="array" ref="D507">IFERROR(IF(D487="Chemical",(10^(INDEX(Antoines,MATCH(D486,Antoine_Name,0),2)-INDEX(Antoines,MATCH(D486,Antoine_Name,0),3)/(INDEX(Antoines,MATCH(D486,Antoine_Name,0),4)+(D494-32)*5/9)))*14.7/760,IF(D487="Crude Oil",EXP((2799/(D494+459.6)-2.227)*LOG10(INDEX(FX_Input,Q$5,D$3*$Z$5+$AA$5))-(7261/(D494+459.6))+12.82),IF(D487="Refined Petroleum Stock",EXP((0.7553-(413/(D494+459.6)))*(INDEX(FX_Input,Q$5,D$3*$Z$5+$AA$5-1)^0.5)*LOG10(INDEX(FX_Input,Q$5,D$3*$Z$5+$AA$5))-(1.854-(1042/(D494+459.6)))*(INDEX(FX_Input,Q$5,D$3*$Z$5+$AA$5-1)^0.5)+((2416/(D494+459.6)-2.013)*LOG10(INDEX(FX_Input,Q$5,D$3*$Z$5+$AA$5)))-(8742/(D494+459.6))+15.64),EXP(INDEX(Antoines,MATCH(D486,Antoine_Name,0),2)-INDEX(Antoines,MATCH(D486,Antoine_Name,0),3)/(D494+459.6))))),0)</f>
        <v>0</v>
      </c>
      <c r="E507" cm="1">
        <f t="array" ref="E507">IFERROR(IF(E487="Chemical",(10^(INDEX(Antoines,MATCH(E486,Antoine_Name,0),2)-INDEX(Antoines,MATCH(E486,Antoine_Name,0),3)/(INDEX(Antoines,MATCH(E486,Antoine_Name,0),4)+(E494-32)*5/9)))*14.7/760,IF(E487="Crude Oil",EXP((2799/(E494+459.6)-2.227)*LOG10(INDEX(FX_Input,R$5,E$3*$Z$5+$AA$5))-(7261/(E494+459.6))+12.82),IF(E487="Refined Petroleum Stock",EXP((0.7553-(413/(E494+459.6)))*(INDEX(FX_Input,R$5,E$3*$Z$5+$AA$5-1)^0.5)*LOG10(INDEX(FX_Input,R$5,E$3*$Z$5+$AA$5))-(1.854-(1042/(E494+459.6)))*(INDEX(FX_Input,R$5,E$3*$Z$5+$AA$5-1)^0.5)+((2416/(E494+459.6)-2.013)*LOG10(INDEX(FX_Input,R$5,E$3*$Z$5+$AA$5)))-(8742/(E494+459.6))+15.64),EXP(INDEX(Antoines,MATCH(E486,Antoine_Name,0),2)-INDEX(Antoines,MATCH(E486,Antoine_Name,0),3)/(E494+459.6))))),0)</f>
        <v>0</v>
      </c>
      <c r="F507" cm="1">
        <f t="array" ref="F507">IFERROR(IF(F487="Chemical",(10^(INDEX(Antoines,MATCH(F486,Antoine_Name,0),2)-INDEX(Antoines,MATCH(F486,Antoine_Name,0),3)/(INDEX(Antoines,MATCH(F486,Antoine_Name,0),4)+(F494-32)*5/9)))*14.7/760,IF(F487="Crude Oil",EXP((2799/(F494+459.6)-2.227)*LOG10(INDEX(FX_Input,S$5,F$3*$Z$5+$AA$5))-(7261/(F494+459.6))+12.82),IF(F487="Refined Petroleum Stock",EXP((0.7553-(413/(F494+459.6)))*(INDEX(FX_Input,S$5,F$3*$Z$5+$AA$5-1)^0.5)*LOG10(INDEX(FX_Input,S$5,F$3*$Z$5+$AA$5))-(1.854-(1042/(F494+459.6)))*(INDEX(FX_Input,S$5,F$3*$Z$5+$AA$5-1)^0.5)+((2416/(F494+459.6)-2.013)*LOG10(INDEX(FX_Input,S$5,F$3*$Z$5+$AA$5)))-(8742/(F494+459.6))+15.64),EXP(INDEX(Antoines,MATCH(F486,Antoine_Name,0),2)-INDEX(Antoines,MATCH(F486,Antoine_Name,0),3)/(F494+459.6))))),0)</f>
        <v>0</v>
      </c>
      <c r="G507" cm="1">
        <f t="array" ref="G507">IFERROR(IF(G487="Chemical",(10^(INDEX(Antoines,MATCH(G486,Antoine_Name,0),2)-INDEX(Antoines,MATCH(G486,Antoine_Name,0),3)/(INDEX(Antoines,MATCH(G486,Antoine_Name,0),4)+(G494-32)*5/9)))*14.7/760,IF(G487="Crude Oil",EXP((2799/(G494+459.6)-2.227)*LOG10(INDEX(FX_Input,T$5,G$3*$Z$5+$AA$5))-(7261/(G494+459.6))+12.82),IF(G487="Refined Petroleum Stock",EXP((0.7553-(413/(G494+459.6)))*(INDEX(FX_Input,T$5,G$3*$Z$5+$AA$5-1)^0.5)*LOG10(INDEX(FX_Input,T$5,G$3*$Z$5+$AA$5))-(1.854-(1042/(G494+459.6)))*(INDEX(FX_Input,T$5,G$3*$Z$5+$AA$5-1)^0.5)+((2416/(G494+459.6)-2.013)*LOG10(INDEX(FX_Input,T$5,G$3*$Z$5+$AA$5)))-(8742/(G494+459.6))+15.64),EXP(INDEX(Antoines,MATCH(G486,Antoine_Name,0),2)-INDEX(Antoines,MATCH(G486,Antoine_Name,0),3)/(G494+459.6))))),0)</f>
        <v>0</v>
      </c>
      <c r="H507" cm="1">
        <f t="array" ref="H507">IFERROR(IF(H487="Chemical",(10^(INDEX(Antoines,MATCH(H486,Antoine_Name,0),2)-INDEX(Antoines,MATCH(H486,Antoine_Name,0),3)/(INDEX(Antoines,MATCH(H486,Antoine_Name,0),4)+(H494-32)*5/9)))*14.7/760,IF(H487="Crude Oil",EXP((2799/(H494+459.6)-2.227)*LOG10(INDEX(FX_Input,U$5,H$3*$Z$5+$AA$5))-(7261/(H494+459.6))+12.82),IF(H487="Refined Petroleum Stock",EXP((0.7553-(413/(H494+459.6)))*(INDEX(FX_Input,U$5,H$3*$Z$5+$AA$5-1)^0.5)*LOG10(INDEX(FX_Input,U$5,H$3*$Z$5+$AA$5))-(1.854-(1042/(H494+459.6)))*(INDEX(FX_Input,U$5,H$3*$Z$5+$AA$5-1)^0.5)+((2416/(H494+459.6)-2.013)*LOG10(INDEX(FX_Input,U$5,H$3*$Z$5+$AA$5)))-(8742/(H494+459.6))+15.64),EXP(INDEX(Antoines,MATCH(H486,Antoine_Name,0),2)-INDEX(Antoines,MATCH(H486,Antoine_Name,0),3)/(H494+459.6))))),0)</f>
        <v>0</v>
      </c>
      <c r="I507" cm="1">
        <f t="array" ref="I507">IFERROR(IF(I487="Chemical",(10^(INDEX(Antoines,MATCH(I486,Antoine_Name,0),2)-INDEX(Antoines,MATCH(I486,Antoine_Name,0),3)/(INDEX(Antoines,MATCH(I486,Antoine_Name,0),4)+(I494-32)*5/9)))*14.7/760,IF(I487="Crude Oil",EXP((2799/(I494+459.6)-2.227)*LOG10(INDEX(FX_Input,V$5,I$3*$Z$5+$AA$5))-(7261/(I494+459.6))+12.82),IF(I487="Refined Petroleum Stock",EXP((0.7553-(413/(I494+459.6)))*(INDEX(FX_Input,V$5,I$3*$Z$5+$AA$5-1)^0.5)*LOG10(INDEX(FX_Input,V$5,I$3*$Z$5+$AA$5))-(1.854-(1042/(I494+459.6)))*(INDEX(FX_Input,V$5,I$3*$Z$5+$AA$5-1)^0.5)+((2416/(I494+459.6)-2.013)*LOG10(INDEX(FX_Input,V$5,I$3*$Z$5+$AA$5)))-(8742/(I494+459.6))+15.64),EXP(INDEX(Antoines,MATCH(I486,Antoine_Name,0),2)-INDEX(Antoines,MATCH(I486,Antoine_Name,0),3)/(I494+459.6))))),0)</f>
        <v>0</v>
      </c>
      <c r="J507" cm="1">
        <f t="array" ref="J507">IFERROR(IF(J487="Chemical",(10^(INDEX(Antoines,MATCH(J486,Antoine_Name,0),2)-INDEX(Antoines,MATCH(J486,Antoine_Name,0),3)/(INDEX(Antoines,MATCH(J486,Antoine_Name,0),4)+(J494-32)*5/9)))*14.7/760,IF(J487="Crude Oil",EXP((2799/(J494+459.6)-2.227)*LOG10(INDEX(FX_Input,W$5,J$3*$Z$5+$AA$5))-(7261/(J494+459.6))+12.82),IF(J487="Refined Petroleum Stock",EXP((0.7553-(413/(J494+459.6)))*(INDEX(FX_Input,W$5,J$3*$Z$5+$AA$5-1)^0.5)*LOG10(INDEX(FX_Input,W$5,J$3*$Z$5+$AA$5))-(1.854-(1042/(J494+459.6)))*(INDEX(FX_Input,W$5,J$3*$Z$5+$AA$5-1)^0.5)+((2416/(J494+459.6)-2.013)*LOG10(INDEX(FX_Input,W$5,J$3*$Z$5+$AA$5)))-(8742/(J494+459.6))+15.64),EXP(INDEX(Antoines,MATCH(J486,Antoine_Name,0),2)-INDEX(Antoines,MATCH(J486,Antoine_Name,0),3)/(J494+459.6))))),0)</f>
        <v>0</v>
      </c>
      <c r="K507" cm="1">
        <f t="array" ref="K507">IFERROR(IF(K487="Chemical",(10^(INDEX(Antoines,MATCH(K486,Antoine_Name,0),2)-INDEX(Antoines,MATCH(K486,Antoine_Name,0),3)/(INDEX(Antoines,MATCH(K486,Antoine_Name,0),4)+(K494-32)*5/9)))*14.7/760,IF(K487="Crude Oil",EXP((2799/(K494+459.6)-2.227)*LOG10(INDEX(FX_Input,X$5,K$3*$Z$5+$AA$5))-(7261/(K494+459.6))+12.82),IF(K487="Refined Petroleum Stock",EXP((0.7553-(413/(K494+459.6)))*(INDEX(FX_Input,X$5,K$3*$Z$5+$AA$5-1)^0.5)*LOG10(INDEX(FX_Input,X$5,K$3*$Z$5+$AA$5))-(1.854-(1042/(K494+459.6)))*(INDEX(FX_Input,X$5,K$3*$Z$5+$AA$5-1)^0.5)+((2416/(K494+459.6)-2.013)*LOG10(INDEX(FX_Input,X$5,K$3*$Z$5+$AA$5)))-(8742/(K494+459.6))+15.64),EXP(INDEX(Antoines,MATCH(K486,Antoine_Name,0),2)-INDEX(Antoines,MATCH(K486,Antoine_Name,0),3)/(K494+459.6))))),0)</f>
        <v>0</v>
      </c>
      <c r="L507" cm="1">
        <f t="array" ref="L507">IFERROR(IF(L487="Chemical",(10^(INDEX(Antoines,MATCH(L486,Antoine_Name,0),2)-INDEX(Antoines,MATCH(L486,Antoine_Name,0),3)/(INDEX(Antoines,MATCH(L486,Antoine_Name,0),4)+(L494-32)*5/9)))*14.7/760,IF(L487="Crude Oil",EXP((2799/(L494+459.6)-2.227)*LOG10(INDEX(FX_Input,Y$5,L$3*$Z$5+$AA$5))-(7261/(L494+459.6))+12.82),IF(L487="Refined Petroleum Stock",EXP((0.7553-(413/(L494+459.6)))*(INDEX(FX_Input,Y$5,L$3*$Z$5+$AA$5-1)^0.5)*LOG10(INDEX(FX_Input,Y$5,L$3*$Z$5+$AA$5))-(1.854-(1042/(L494+459.6)))*(INDEX(FX_Input,Y$5,L$3*$Z$5+$AA$5-1)^0.5)+((2416/(L494+459.6)-2.013)*LOG10(INDEX(FX_Input,Y$5,L$3*$Z$5+$AA$5)))-(8742/(L494+459.6))+15.64),EXP(INDEX(Antoines,MATCH(L486,Antoine_Name,0),2)-INDEX(Antoines,MATCH(L486,Antoine_Name,0),3)/(L494+459.6))))),0)</f>
        <v>0</v>
      </c>
      <c r="M507" cm="1">
        <f t="array" ref="M507">IFERROR(IF(M487="Chemical",(10^(INDEX(Antoines,MATCH(M486,Antoine_Name,0),2)-INDEX(Antoines,MATCH(M486,Antoine_Name,0),3)/(INDEX(Antoines,MATCH(M486,Antoine_Name,0),4)+(M494-32)*5/9)))*14.7/760,IF(M487="Crude Oil",EXP((2799/(M494+459.6)-2.227)*LOG10(INDEX(FX_Input,Z$5,M$3*$Z$5+$AA$5))-(7261/(M494+459.6))+12.82),IF(M487="Refined Petroleum Stock",EXP((0.7553-(413/(M494+459.6)))*(INDEX(FX_Input,Z$5,M$3*$Z$5+$AA$5-1)^0.5)*LOG10(INDEX(FX_Input,Z$5,M$3*$Z$5+$AA$5))-(1.854-(1042/(M494+459.6)))*(INDEX(FX_Input,Z$5,M$3*$Z$5+$AA$5-1)^0.5)+((2416/(M494+459.6)-2.013)*LOG10(INDEX(FX_Input,Z$5,M$3*$Z$5+$AA$5)))-(8742/(M494+459.6))+15.64),EXP(INDEX(Antoines,MATCH(M486,Antoine_Name,0),2)-INDEX(Antoines,MATCH(M486,Antoine_Name,0),3)/(M494+459.6))))),0)</f>
        <v>0</v>
      </c>
      <c r="N507" cm="1">
        <f t="array" ref="N507">IFERROR(IF(N487="Chemical",(10^(INDEX(Antoines,MATCH(N486,Antoine_Name,0),2)-INDEX(Antoines,MATCH(N486,Antoine_Name,0),3)/(INDEX(Antoines,MATCH(N486,Antoine_Name,0),4)+(N494-32)*5/9)))*14.7/760,IF(N487="Crude Oil",EXP((2799/(N494+459.6)-2.227)*LOG10(INDEX(FX_Input,AA$5,N$3*$Z$5+$AA$5))-(7261/(N494+459.6))+12.82),IF(N487="Refined Petroleum Stock",EXP((0.7553-(413/(N494+459.6)))*(INDEX(FX_Input,AA$5,N$3*$Z$5+$AA$5-1)^0.5)*LOG10(INDEX(FX_Input,AA$5,N$3*$Z$5+$AA$5))-(1.854-(1042/(N494+459.6)))*(INDEX(FX_Input,AA$5,N$3*$Z$5+$AA$5-1)^0.5)+((2416/(N494+459.6)-2.013)*LOG10(INDEX(FX_Input,AA$5,N$3*$Z$5+$AA$5)))-(8742/(N494+459.6))+15.64),EXP(INDEX(Antoines,MATCH(N486,Antoine_Name,0),2)-INDEX(Antoines,MATCH(N486,Antoine_Name,0),3)/(N494+459.6))))),0)</f>
        <v>0</v>
      </c>
      <c r="O507" cm="1">
        <f t="array" ref="O507">IFERROR(IF(O487="Chemical",(10^(INDEX(Antoines,MATCH(O486,Antoine_Name,0),2)-INDEX(Antoines,MATCH(O486,Antoine_Name,0),3)/(INDEX(Antoines,MATCH(O486,Antoine_Name,0),4)+(O494-32)*5/9)))*14.7/760,IF(O487="Crude Oil",EXP((2799/(O494+459.6)-2.227)*LOG10(INDEX(FX_Input,AB$5,O$3*$Z$5+$AA$5))-(7261/(O494+459.6))+12.82),IF(O487="Refined Petroleum Stock",EXP((0.7553-(413/(O494+459.6)))*(INDEX(FX_Input,AB$5,O$3*$Z$5+$AA$5-1)^0.5)*LOG10(INDEX(FX_Input,AB$5,O$3*$Z$5+$AA$5))-(1.854-(1042/(O494+459.6)))*(INDEX(FX_Input,AB$5,O$3*$Z$5+$AA$5-1)^0.5)+((2416/(O494+459.6)-2.013)*LOG10(INDEX(FX_Input,AB$5,O$3*$Z$5+$AA$5)))-(8742/(O494+459.6))+15.64),EXP(INDEX(Antoines,MATCH(O486,Antoine_Name,0),2)-INDEX(Antoines,MATCH(O486,Antoine_Name,0),3)/(O494+459.6))))),0)</f>
        <v>0</v>
      </c>
    </row>
    <row r="508" spans="2:15" ht="17.149999999999999" x14ac:dyDescent="0.55000000000000004">
      <c r="B508" t="str">
        <f t="shared" si="1684"/>
        <v>Portland</v>
      </c>
      <c r="C508" t="s">
        <v>1391</v>
      </c>
      <c r="D508">
        <f>D507*D490</f>
        <v>0</v>
      </c>
      <c r="E508">
        <f t="shared" ref="E508" si="1762">E507*E490</f>
        <v>0</v>
      </c>
      <c r="F508">
        <f t="shared" ref="F508" si="1763">F507*F490</f>
        <v>0</v>
      </c>
      <c r="G508">
        <f t="shared" ref="G508" si="1764">G507*G490</f>
        <v>0</v>
      </c>
      <c r="H508">
        <f t="shared" ref="H508" si="1765">H507*H490</f>
        <v>0</v>
      </c>
      <c r="I508">
        <f t="shared" ref="I508" si="1766">I507*I490</f>
        <v>0</v>
      </c>
      <c r="J508">
        <f t="shared" ref="J508" si="1767">J507*J490</f>
        <v>0</v>
      </c>
      <c r="K508">
        <f t="shared" ref="K508" si="1768">K507*K490</f>
        <v>0</v>
      </c>
      <c r="L508">
        <f t="shared" ref="L508" si="1769">L507*L490</f>
        <v>0</v>
      </c>
      <c r="M508">
        <f t="shared" ref="M508" si="1770">M507*M490</f>
        <v>0</v>
      </c>
      <c r="N508">
        <f t="shared" ref="N508" si="1771">N507*N490</f>
        <v>0</v>
      </c>
      <c r="O508">
        <f t="shared" ref="O508" si="1772">O507*O490</f>
        <v>0</v>
      </c>
    </row>
    <row r="509" spans="2:15" ht="17.149999999999999" x14ac:dyDescent="0.55000000000000004">
      <c r="B509" t="str">
        <f t="shared" si="1684"/>
        <v>Portland</v>
      </c>
      <c r="C509" t="s">
        <v>1392</v>
      </c>
      <c r="D509">
        <f>D506+D508</f>
        <v>4.739577185808354E-3</v>
      </c>
      <c r="E509">
        <f t="shared" ref="E509" si="1773">E506+E508</f>
        <v>4.8748667780818778E-3</v>
      </c>
      <c r="F509">
        <f t="shared" ref="F509" si="1774">F506+F508</f>
        <v>5.119885034186122E-3</v>
      </c>
      <c r="G509">
        <f t="shared" ref="G509" si="1775">G506+G508</f>
        <v>5.5846958573521795E-3</v>
      </c>
      <c r="H509">
        <f t="shared" ref="H509" si="1776">H506+H508</f>
        <v>6.5274070972739821E-3</v>
      </c>
      <c r="I509">
        <f t="shared" ref="I509" si="1777">I506+I508</f>
        <v>7.4199539958878279E-3</v>
      </c>
      <c r="J509">
        <f t="shared" ref="J509" si="1778">J506+J508</f>
        <v>8.3358107202842254E-3</v>
      </c>
      <c r="K509">
        <f t="shared" ref="K509" si="1779">K506+K508</f>
        <v>8.4605262729351115E-3</v>
      </c>
      <c r="L509">
        <f t="shared" ref="L509" si="1780">L506+L508</f>
        <v>7.8399882233967533E-3</v>
      </c>
      <c r="M509">
        <f t="shared" ref="M509" si="1781">M506+M508</f>
        <v>6.4173462075160911E-3</v>
      </c>
      <c r="N509">
        <f t="shared" ref="N509" si="1782">N506+N508</f>
        <v>5.3015226887581056E-3</v>
      </c>
      <c r="O509">
        <f t="shared" ref="O509" si="1783">O506+O508</f>
        <v>4.68970903600947E-3</v>
      </c>
    </row>
    <row r="510" spans="2:15" ht="17.149999999999999" x14ac:dyDescent="0.55000000000000004">
      <c r="B510" t="str">
        <f>B504</f>
        <v>Portland</v>
      </c>
      <c r="C510" t="s">
        <v>584</v>
      </c>
      <c r="D510">
        <f>D506/D509</f>
        <v>1</v>
      </c>
      <c r="E510">
        <f t="shared" ref="E510" si="1784">E506/E509</f>
        <v>1</v>
      </c>
      <c r="F510">
        <f t="shared" ref="F510" si="1785">F506/F509</f>
        <v>1</v>
      </c>
      <c r="G510">
        <f t="shared" ref="G510" si="1786">G506/G509</f>
        <v>1</v>
      </c>
      <c r="H510">
        <f t="shared" ref="H510" si="1787">H506/H509</f>
        <v>1</v>
      </c>
      <c r="I510">
        <f t="shared" ref="I510" si="1788">I506/I509</f>
        <v>1</v>
      </c>
      <c r="J510">
        <f t="shared" ref="J510" si="1789">J506/J509</f>
        <v>1</v>
      </c>
      <c r="K510">
        <f t="shared" ref="K510" si="1790">K506/K509</f>
        <v>1</v>
      </c>
      <c r="L510">
        <f t="shared" ref="L510" si="1791">L506/L509</f>
        <v>1</v>
      </c>
      <c r="M510">
        <f t="shared" ref="M510" si="1792">M506/M509</f>
        <v>1</v>
      </c>
      <c r="N510">
        <f t="shared" ref="N510" si="1793">N506/N509</f>
        <v>1</v>
      </c>
      <c r="O510">
        <f t="shared" ref="O510" si="1794">O506/O509</f>
        <v>1</v>
      </c>
    </row>
    <row r="511" spans="2:15" ht="17.149999999999999" x14ac:dyDescent="0.55000000000000004">
      <c r="B511" t="str">
        <f>B505</f>
        <v>Portland</v>
      </c>
      <c r="C511" t="s">
        <v>585</v>
      </c>
      <c r="D511">
        <f t="shared" ref="D511:O511" si="1795">INDEX(Phys_Prop,MATCH(D484,Chem_List,0),3)</f>
        <v>130</v>
      </c>
      <c r="E511">
        <f t="shared" si="1795"/>
        <v>130</v>
      </c>
      <c r="F511">
        <f t="shared" si="1795"/>
        <v>130</v>
      </c>
      <c r="G511">
        <f t="shared" si="1795"/>
        <v>130</v>
      </c>
      <c r="H511">
        <f t="shared" si="1795"/>
        <v>130</v>
      </c>
      <c r="I511">
        <f t="shared" si="1795"/>
        <v>130</v>
      </c>
      <c r="J511">
        <f t="shared" si="1795"/>
        <v>130</v>
      </c>
      <c r="K511">
        <f t="shared" si="1795"/>
        <v>130</v>
      </c>
      <c r="L511">
        <f t="shared" si="1795"/>
        <v>130</v>
      </c>
      <c r="M511">
        <f t="shared" si="1795"/>
        <v>130</v>
      </c>
      <c r="N511">
        <f t="shared" si="1795"/>
        <v>130</v>
      </c>
      <c r="O511">
        <f t="shared" si="1795"/>
        <v>130</v>
      </c>
    </row>
    <row r="512" spans="2:15" ht="17.149999999999999" x14ac:dyDescent="0.55000000000000004">
      <c r="B512" t="str">
        <f>B511</f>
        <v>Portland</v>
      </c>
      <c r="C512" t="s">
        <v>586</v>
      </c>
      <c r="D512">
        <f>D508/D509</f>
        <v>0</v>
      </c>
      <c r="E512">
        <f t="shared" ref="E512:O512" si="1796">E508/E509</f>
        <v>0</v>
      </c>
      <c r="F512">
        <f t="shared" si="1796"/>
        <v>0</v>
      </c>
      <c r="G512">
        <f t="shared" si="1796"/>
        <v>0</v>
      </c>
      <c r="H512">
        <f t="shared" si="1796"/>
        <v>0</v>
      </c>
      <c r="I512">
        <f t="shared" si="1796"/>
        <v>0</v>
      </c>
      <c r="J512">
        <f t="shared" si="1796"/>
        <v>0</v>
      </c>
      <c r="K512">
        <f t="shared" si="1796"/>
        <v>0</v>
      </c>
      <c r="L512">
        <f t="shared" si="1796"/>
        <v>0</v>
      </c>
      <c r="M512">
        <f t="shared" si="1796"/>
        <v>0</v>
      </c>
      <c r="N512">
        <f t="shared" si="1796"/>
        <v>0</v>
      </c>
      <c r="O512">
        <f t="shared" si="1796"/>
        <v>0</v>
      </c>
    </row>
    <row r="513" spans="1:32" ht="17.149999999999999" x14ac:dyDescent="0.55000000000000004">
      <c r="B513" t="str">
        <f t="shared" si="1684"/>
        <v>Portland</v>
      </c>
      <c r="C513" t="s">
        <v>587</v>
      </c>
      <c r="D513">
        <f t="shared" ref="D513:O513" si="1797">IFERROR(INDEX(Phys_Prop,MATCH(D486,Chem_List,0),3),0)</f>
        <v>0</v>
      </c>
      <c r="E513">
        <f t="shared" si="1797"/>
        <v>0</v>
      </c>
      <c r="F513">
        <f t="shared" si="1797"/>
        <v>0</v>
      </c>
      <c r="G513">
        <f t="shared" si="1797"/>
        <v>0</v>
      </c>
      <c r="H513">
        <f t="shared" si="1797"/>
        <v>0</v>
      </c>
      <c r="I513">
        <f t="shared" si="1797"/>
        <v>0</v>
      </c>
      <c r="J513">
        <f t="shared" si="1797"/>
        <v>0</v>
      </c>
      <c r="K513">
        <f t="shared" si="1797"/>
        <v>0</v>
      </c>
      <c r="L513">
        <f t="shared" si="1797"/>
        <v>0</v>
      </c>
      <c r="M513">
        <f t="shared" si="1797"/>
        <v>0</v>
      </c>
      <c r="N513">
        <f t="shared" si="1797"/>
        <v>0</v>
      </c>
      <c r="O513">
        <f t="shared" si="1797"/>
        <v>0</v>
      </c>
    </row>
    <row r="514" spans="1:32" ht="17.149999999999999" x14ac:dyDescent="0.55000000000000004">
      <c r="A514" s="11"/>
      <c r="B514" s="11" t="str">
        <f t="shared" si="1684"/>
        <v>Portland</v>
      </c>
      <c r="C514" s="11" t="s">
        <v>588</v>
      </c>
      <c r="D514" s="11">
        <f>IFERROR(D510*D511+D512*D513,0)</f>
        <v>130</v>
      </c>
      <c r="E514" s="11">
        <f t="shared" ref="E514" si="1798">IFERROR(E510*E511+E512*E513,0)</f>
        <v>130</v>
      </c>
      <c r="F514" s="11">
        <f t="shared" ref="F514" si="1799">IFERROR(F510*F511+F512*F513,0)</f>
        <v>130</v>
      </c>
      <c r="G514" s="11">
        <f t="shared" ref="G514" si="1800">IFERROR(G510*G511+G512*G513,0)</f>
        <v>130</v>
      </c>
      <c r="H514" s="11">
        <f t="shared" ref="H514" si="1801">IFERROR(H510*H511+H512*H513,0)</f>
        <v>130</v>
      </c>
      <c r="I514" s="11">
        <f t="shared" ref="I514" si="1802">IFERROR(I510*I511+I512*I513,0)</f>
        <v>130</v>
      </c>
      <c r="J514" s="11">
        <f t="shared" ref="J514" si="1803">IFERROR(J510*J511+J512*J513,0)</f>
        <v>130</v>
      </c>
      <c r="K514" s="11">
        <f t="shared" ref="K514" si="1804">IFERROR(K510*K511+K512*K513,0)</f>
        <v>130</v>
      </c>
      <c r="L514" s="11">
        <f t="shared" ref="L514" si="1805">IFERROR(L510*L511+L512*L513,0)</f>
        <v>130</v>
      </c>
      <c r="M514" s="11">
        <f t="shared" ref="M514" si="1806">IFERROR(M510*M511+M512*M513,0)</f>
        <v>130</v>
      </c>
      <c r="N514" s="11">
        <f t="shared" ref="N514" si="1807">IFERROR(N510*N511+N512*N513,0)</f>
        <v>130</v>
      </c>
      <c r="O514" s="11">
        <f t="shared" ref="O514" si="1808">IFERROR(O510*O511+O512*O513,0)</f>
        <v>130</v>
      </c>
      <c r="P514" s="11"/>
      <c r="Q514" s="11"/>
      <c r="R514" s="11"/>
      <c r="S514" s="11"/>
      <c r="T514" s="11"/>
      <c r="U514" s="11"/>
      <c r="V514" s="11"/>
      <c r="W514" s="11"/>
      <c r="X514" s="11"/>
      <c r="Y514" s="11"/>
      <c r="Z514" s="11"/>
      <c r="AA514" s="11"/>
      <c r="AB514" s="11"/>
      <c r="AC514" s="11"/>
      <c r="AD514" s="11"/>
      <c r="AE514" s="11"/>
      <c r="AF514" s="11"/>
    </row>
    <row r="515" spans="1:32" ht="17.149999999999999" x14ac:dyDescent="0.55000000000000004">
      <c r="A515" t="str" cm="1">
        <f t="array" ref="A515">INDEX(FX_Input,$Q515,R$5)</f>
        <v>FX - 16</v>
      </c>
      <c r="B515" t="str" cm="1">
        <f t="array" ref="B515">INDEX(FX_Input,Q515,S515)</f>
        <v>Portland</v>
      </c>
      <c r="C515" t="s">
        <v>563</v>
      </c>
      <c r="D515">
        <v>14.7</v>
      </c>
      <c r="E515">
        <v>14.7</v>
      </c>
      <c r="F515">
        <v>14.7</v>
      </c>
      <c r="G515">
        <v>14.7</v>
      </c>
      <c r="H515">
        <v>14.7</v>
      </c>
      <c r="I515">
        <v>14.7</v>
      </c>
      <c r="J515">
        <v>14.7</v>
      </c>
      <c r="K515">
        <v>14.7</v>
      </c>
      <c r="L515">
        <v>14.7</v>
      </c>
      <c r="M515">
        <v>14.7</v>
      </c>
      <c r="N515">
        <v>14.7</v>
      </c>
      <c r="O515">
        <v>14.7</v>
      </c>
      <c r="Q515">
        <f>Q481+2</f>
        <v>31</v>
      </c>
      <c r="R515">
        <v>1</v>
      </c>
      <c r="S515">
        <v>3</v>
      </c>
      <c r="T515">
        <v>1</v>
      </c>
      <c r="U515">
        <v>19</v>
      </c>
      <c r="V515">
        <v>20</v>
      </c>
      <c r="W515">
        <v>25</v>
      </c>
      <c r="X515">
        <v>1</v>
      </c>
      <c r="Y515">
        <v>2</v>
      </c>
      <c r="Z515">
        <f>(W515-V515)/(Y515-X515)</f>
        <v>5</v>
      </c>
      <c r="AA515">
        <f>V515-Z515*X515</f>
        <v>15</v>
      </c>
      <c r="AD515">
        <f>AD481+14</f>
        <v>211</v>
      </c>
      <c r="AF515">
        <f>AF481+14</f>
        <v>211</v>
      </c>
    </row>
    <row r="516" spans="1:32" ht="17.149999999999999" x14ac:dyDescent="0.55000000000000004">
      <c r="B516" t="str">
        <f t="shared" ref="B516" si="1809">B515</f>
        <v>Portland</v>
      </c>
      <c r="C516" t="s">
        <v>564</v>
      </c>
      <c r="D516" cm="1">
        <f t="array" ref="D516">IF(ISBLANK(INDEX(FX_Input,$Q515,$AB516)),0.03,INDEX(FX_Input,Q515,AB516))</f>
        <v>0.03</v>
      </c>
      <c r="E516" cm="1">
        <f t="array" ref="E516">IF(ISBLANK(INDEX(FX_Input,$Q515,$AB516)),0.03,INDEX(FX_Input,R515,#REF!))</f>
        <v>0.03</v>
      </c>
      <c r="F516" cm="1">
        <f t="array" ref="F516">IF(ISBLANK(INDEX(FX_Input,$Q515,$AB516)),0.03,INDEX(FX_Input,S515,#REF!))</f>
        <v>0.03</v>
      </c>
      <c r="G516" cm="1">
        <f t="array" ref="G516">IF(ISBLANK(INDEX(FX_Input,$Q515,$AB516)),0.03,INDEX(FX_Input,AB515,#REF!))</f>
        <v>0.03</v>
      </c>
      <c r="H516" cm="1">
        <f t="array" ref="H516">IF(ISBLANK(INDEX(FX_Input,$Q515,$AB516)),0.03,INDEX(FX_Input,#REF!,#REF!))</f>
        <v>0.03</v>
      </c>
      <c r="I516" cm="1">
        <f t="array" ref="I516">IF(ISBLANK(INDEX(FX_Input,$Q515,$AB516)),0.03,INDEX(FX_Input,#REF!,#REF!))</f>
        <v>0.03</v>
      </c>
      <c r="J516" cm="1">
        <f t="array" ref="J516">IF(ISBLANK(INDEX(FX_Input,$Q515,$AB516)),0.03,INDEX(FX_Input,#REF!,#REF!))</f>
        <v>0.03</v>
      </c>
      <c r="K516" cm="1">
        <f t="array" ref="K516">IF(ISBLANK(INDEX(FX_Input,$Q515,$AB516)),0.03,INDEX(FX_Input,#REF!,AC516))</f>
        <v>0.03</v>
      </c>
      <c r="L516" cm="1">
        <f t="array" ref="L516">IF(ISBLANK(INDEX(FX_Input,$Q515,$AB516)),0.03,INDEX(FX_Input,#REF!,AD516))</f>
        <v>0.03</v>
      </c>
      <c r="M516" cm="1">
        <f t="array" ref="M516">IF(ISBLANK(INDEX(FX_Input,$Q515,$AB516)),0.03,INDEX(FX_Input,#REF!,#REF!))</f>
        <v>0.03</v>
      </c>
      <c r="N516" cm="1">
        <f t="array" ref="N516">IF(ISBLANK(INDEX(FX_Input,$Q515,$AB516)),0.03,INDEX(FX_Input,AC515,#REF!))</f>
        <v>0.03</v>
      </c>
      <c r="O516" cm="1">
        <f t="array" ref="O516">IF(ISBLANK(INDEX(FX_Input,$Q515,$AB516)),0.03,INDEX(FX_Input,AD515,#REF!))</f>
        <v>0.03</v>
      </c>
      <c r="AB516">
        <v>15</v>
      </c>
    </row>
    <row r="517" spans="1:32" ht="17.149999999999999" x14ac:dyDescent="0.55000000000000004">
      <c r="B517" t="str">
        <f>B516</f>
        <v>Portland</v>
      </c>
      <c r="C517" t="s">
        <v>565</v>
      </c>
      <c r="D517" cm="1">
        <f t="array" ref="D517">IF(ISBLANK(INDEX(FX_Input,$Q515,$AB517)),-0.03,INDEX(FX_Input,Q515,AB517))</f>
        <v>-0.03</v>
      </c>
      <c r="E517" cm="1">
        <f t="array" ref="E517">IF(ISBLANK(INDEX(FX_Input,$Q515,$AB517)),-0.03,INDEX(FX_Input,R515,#REF!))</f>
        <v>-0.03</v>
      </c>
      <c r="F517" cm="1">
        <f t="array" ref="F517">IF(ISBLANK(INDEX(FX_Input,$Q515,$AB517)),-0.03,INDEX(FX_Input,S515,#REF!))</f>
        <v>-0.03</v>
      </c>
      <c r="G517" cm="1">
        <f t="array" ref="G517">IF(ISBLANK(INDEX(FX_Input,$Q515,$AB517)),-0.03,INDEX(FX_Input,AB515,#REF!))</f>
        <v>-0.03</v>
      </c>
      <c r="H517" cm="1">
        <f t="array" ref="H517">IF(ISBLANK(INDEX(FX_Input,$Q515,$AB517)),-0.03,INDEX(FX_Input,#REF!,#REF!))</f>
        <v>-0.03</v>
      </c>
      <c r="I517" cm="1">
        <f t="array" ref="I517">IF(ISBLANK(INDEX(FX_Input,$Q515,$AB517)),-0.03,INDEX(FX_Input,#REF!,#REF!))</f>
        <v>-0.03</v>
      </c>
      <c r="J517" cm="1">
        <f t="array" ref="J517">IF(ISBLANK(INDEX(FX_Input,$Q515,$AB517)),-0.03,INDEX(FX_Input,#REF!,#REF!))</f>
        <v>-0.03</v>
      </c>
      <c r="K517" cm="1">
        <f t="array" ref="K517">IF(ISBLANK(INDEX(FX_Input,$Q515,$AB517)),-0.03,INDEX(FX_Input,#REF!,AC517))</f>
        <v>-0.03</v>
      </c>
      <c r="L517" cm="1">
        <f t="array" ref="L517">IF(ISBLANK(INDEX(FX_Input,$Q515,$AB517)),-0.03,INDEX(FX_Input,#REF!,AD517))</f>
        <v>-0.03</v>
      </c>
      <c r="M517" cm="1">
        <f t="array" ref="M517">IF(ISBLANK(INDEX(FX_Input,$Q515,$AB517)),-0.03,INDEX(FX_Input,#REF!,#REF!))</f>
        <v>-0.03</v>
      </c>
      <c r="N517" cm="1">
        <f t="array" ref="N517">IF(ISBLANK(INDEX(FX_Input,$Q515,$AB517)),-0.03,INDEX(FX_Input,AC515,#REF!))</f>
        <v>-0.03</v>
      </c>
      <c r="O517" cm="1">
        <f t="array" ref="O517">IF(ISBLANK(INDEX(FX_Input,$Q515,$AB517)),-0.03,INDEX(FX_Input,AD515,#REF!))</f>
        <v>-0.03</v>
      </c>
      <c r="AB517">
        <v>16</v>
      </c>
    </row>
    <row r="518" spans="1:32" x14ac:dyDescent="0.4">
      <c r="B518" t="str">
        <f t="shared" ref="B518:B519" si="1810">B517</f>
        <v>Portland</v>
      </c>
      <c r="C518" s="66" t="s">
        <v>567</v>
      </c>
      <c r="D518" t="str" cm="1">
        <f t="array" ref="D518">INDEX(FX_Multi,$AD518,D$3)</f>
        <v>Jet kerosene</v>
      </c>
      <c r="E518" t="str" cm="1">
        <f t="array" ref="E518">INDEX(FX_Multi,$AD518,E$3)</f>
        <v>Jet kerosene</v>
      </c>
      <c r="F518" t="str" cm="1">
        <f t="array" ref="F518">INDEX(FX_Multi,$AD518,F$3)</f>
        <v>Jet kerosene</v>
      </c>
      <c r="G518" t="str" cm="1">
        <f t="array" ref="G518">INDEX(FX_Multi,$AD518,G$3)</f>
        <v>Jet kerosene</v>
      </c>
      <c r="H518" t="str" cm="1">
        <f t="array" ref="H518">INDEX(FX_Multi,$AD518,H$3)</f>
        <v>Jet kerosene</v>
      </c>
      <c r="I518" t="str" cm="1">
        <f t="array" ref="I518">INDEX(FX_Multi,$AD518,I$3)</f>
        <v>Jet kerosene</v>
      </c>
      <c r="J518" t="str" cm="1">
        <f t="array" ref="J518">INDEX(FX_Multi,$AD518,J$3)</f>
        <v>Jet kerosene</v>
      </c>
      <c r="K518" t="str" cm="1">
        <f t="array" ref="K518">INDEX(FX_Multi,$AD518,K$3)</f>
        <v>Jet kerosene</v>
      </c>
      <c r="L518" t="str" cm="1">
        <f t="array" ref="L518">INDEX(FX_Multi,$AD518,L$3)</f>
        <v>Jet kerosene</v>
      </c>
      <c r="M518" t="str" cm="1">
        <f t="array" ref="M518">INDEX(FX_Multi,$AD518,M$3)</f>
        <v>Jet kerosene</v>
      </c>
      <c r="N518" t="str" cm="1">
        <f t="array" ref="N518">INDEX(FX_Multi,$AD518,N$3)</f>
        <v>Jet kerosene</v>
      </c>
      <c r="O518" t="str" cm="1">
        <f t="array" ref="O518">INDEX(FX_Multi,$AD518,O$3)</f>
        <v>Jet kerosene</v>
      </c>
      <c r="AC518">
        <v>1</v>
      </c>
      <c r="AD518">
        <f>AD515</f>
        <v>211</v>
      </c>
      <c r="AE518">
        <v>1</v>
      </c>
      <c r="AF518">
        <f>AF515</f>
        <v>211</v>
      </c>
    </row>
    <row r="519" spans="1:32" x14ac:dyDescent="0.4">
      <c r="B519" t="str">
        <f t="shared" si="1810"/>
        <v>Portland</v>
      </c>
      <c r="C519" s="66" t="s">
        <v>566</v>
      </c>
      <c r="D519" t="str" cm="1">
        <f t="array" ref="D519">INDEX(FX_Multi,$AD519,D$3)</f>
        <v>Select Pet Stock</v>
      </c>
      <c r="E519" t="str" cm="1">
        <f t="array" ref="E519">INDEX(FX_Multi,$AD519,E$3)</f>
        <v>Select Pet Stock</v>
      </c>
      <c r="F519" t="str" cm="1">
        <f t="array" ref="F519">INDEX(FX_Multi,$AD519,F$3)</f>
        <v>Select Pet Stock</v>
      </c>
      <c r="G519" t="str" cm="1">
        <f t="array" ref="G519">INDEX(FX_Multi,$AD519,G$3)</f>
        <v>Select Pet Stock</v>
      </c>
      <c r="H519" t="str" cm="1">
        <f t="array" ref="H519">INDEX(FX_Multi,$AD519,H$3)</f>
        <v>Select Pet Stock</v>
      </c>
      <c r="I519" t="str" cm="1">
        <f t="array" ref="I519">INDEX(FX_Multi,$AD519,I$3)</f>
        <v>Select Pet Stock</v>
      </c>
      <c r="J519" t="str" cm="1">
        <f t="array" ref="J519">INDEX(FX_Multi,$AD519,J$3)</f>
        <v>Select Pet Stock</v>
      </c>
      <c r="K519" t="str" cm="1">
        <f t="array" ref="K519">INDEX(FX_Multi,$AD519,K$3)</f>
        <v>Select Pet Stock</v>
      </c>
      <c r="L519" t="str" cm="1">
        <f t="array" ref="L519">INDEX(FX_Multi,$AD519,L$3)</f>
        <v>Select Pet Stock</v>
      </c>
      <c r="M519" t="str" cm="1">
        <f t="array" ref="M519">INDEX(FX_Multi,$AD519,M$3)</f>
        <v>Select Pet Stock</v>
      </c>
      <c r="N519" t="str" cm="1">
        <f t="array" ref="N519">INDEX(FX_Multi,$AD519,N$3)</f>
        <v>Select Pet Stock</v>
      </c>
      <c r="O519" t="str" cm="1">
        <f t="array" ref="O519">INDEX(FX_Multi,$AD519,O$3)</f>
        <v>Select Pet Stock</v>
      </c>
      <c r="AC519">
        <v>1</v>
      </c>
      <c r="AD519">
        <f>AD518+2</f>
        <v>213</v>
      </c>
      <c r="AE519">
        <v>1</v>
      </c>
      <c r="AF519">
        <f>AF518+3</f>
        <v>214</v>
      </c>
    </row>
    <row r="520" spans="1:32" x14ac:dyDescent="0.4">
      <c r="B520" t="str">
        <f>B516</f>
        <v>Portland</v>
      </c>
      <c r="C520" s="66" t="s">
        <v>568</v>
      </c>
      <c r="D520" cm="1">
        <f t="array" ref="D520">INDEX(FX_Multi,$AD520,D$3)</f>
        <v>0</v>
      </c>
      <c r="E520" cm="1">
        <f t="array" ref="E520">INDEX(FX_Multi,$AD520,E$3)</f>
        <v>0</v>
      </c>
      <c r="F520" cm="1">
        <f t="array" ref="F520">INDEX(FX_Multi,$AD520,F$3)</f>
        <v>0</v>
      </c>
      <c r="G520" cm="1">
        <f t="array" ref="G520">INDEX(FX_Multi,$AD520,G$3)</f>
        <v>0</v>
      </c>
      <c r="H520" cm="1">
        <f t="array" ref="H520">INDEX(FX_Multi,$AD520,H$3)</f>
        <v>0</v>
      </c>
      <c r="I520" cm="1">
        <f t="array" ref="I520">INDEX(FX_Multi,$AD520,I$3)</f>
        <v>0</v>
      </c>
      <c r="J520" cm="1">
        <f t="array" ref="J520">INDEX(FX_Multi,$AD520,J$3)</f>
        <v>0</v>
      </c>
      <c r="K520" cm="1">
        <f t="array" ref="K520">INDEX(FX_Multi,$AD520,K$3)</f>
        <v>0</v>
      </c>
      <c r="L520" cm="1">
        <f t="array" ref="L520">INDEX(FX_Multi,$AD520,L$3)</f>
        <v>0</v>
      </c>
      <c r="M520" cm="1">
        <f t="array" ref="M520">INDEX(FX_Multi,$AD520,M$3)</f>
        <v>0</v>
      </c>
      <c r="N520" cm="1">
        <f t="array" ref="N520">INDEX(FX_Multi,$AD520,N$3)</f>
        <v>0</v>
      </c>
      <c r="O520" cm="1">
        <f t="array" ref="O520">INDEX(FX_Multi,$AD520,O$3)</f>
        <v>0</v>
      </c>
      <c r="AC520">
        <v>1</v>
      </c>
      <c r="AD520">
        <f>AD519-1</f>
        <v>212</v>
      </c>
      <c r="AE520">
        <v>1</v>
      </c>
      <c r="AF520">
        <f>AF518+1</f>
        <v>212</v>
      </c>
    </row>
    <row r="521" spans="1:32" x14ac:dyDescent="0.4">
      <c r="B521" t="str">
        <f t="shared" ref="B521:B525" si="1811">B520</f>
        <v>Portland</v>
      </c>
      <c r="C521" s="66" t="s">
        <v>569</v>
      </c>
      <c r="D521" cm="1">
        <f t="array" ref="D521">INDEX(FX_Multi,$AD521,D$3)</f>
        <v>0</v>
      </c>
      <c r="E521" cm="1">
        <f t="array" ref="E521">INDEX(FX_Multi,$AD521,E$3)</f>
        <v>0</v>
      </c>
      <c r="F521" cm="1">
        <f t="array" ref="F521">INDEX(FX_Multi,$AD521,F$3)</f>
        <v>0</v>
      </c>
      <c r="G521" cm="1">
        <f t="array" ref="G521">INDEX(FX_Multi,$AD521,G$3)</f>
        <v>0</v>
      </c>
      <c r="H521" cm="1">
        <f t="array" ref="H521">INDEX(FX_Multi,$AD521,H$3)</f>
        <v>0</v>
      </c>
      <c r="I521" cm="1">
        <f t="array" ref="I521">INDEX(FX_Multi,$AD521,I$3)</f>
        <v>0</v>
      </c>
      <c r="J521" cm="1">
        <f t="array" ref="J521">INDEX(FX_Multi,$AD521,J$3)</f>
        <v>0</v>
      </c>
      <c r="K521" cm="1">
        <f t="array" ref="K521">INDEX(FX_Multi,$AD521,K$3)</f>
        <v>0</v>
      </c>
      <c r="L521" cm="1">
        <f t="array" ref="L521">INDEX(FX_Multi,$AD521,L$3)</f>
        <v>0</v>
      </c>
      <c r="M521" cm="1">
        <f t="array" ref="M521">INDEX(FX_Multi,$AD521,M$3)</f>
        <v>0</v>
      </c>
      <c r="N521" cm="1">
        <f t="array" ref="N521">INDEX(FX_Multi,$AD521,N$3)</f>
        <v>0</v>
      </c>
      <c r="O521" cm="1">
        <f t="array" ref="O521">INDEX(FX_Multi,$AD521,O$3)</f>
        <v>0</v>
      </c>
      <c r="AC521">
        <v>1</v>
      </c>
      <c r="AD521">
        <f>AD520+2</f>
        <v>214</v>
      </c>
      <c r="AE521">
        <v>1</v>
      </c>
      <c r="AF521">
        <f>AF519</f>
        <v>214</v>
      </c>
    </row>
    <row r="522" spans="1:32" ht="17.149999999999999" x14ac:dyDescent="0.55000000000000004">
      <c r="B522" t="str">
        <f t="shared" si="1811"/>
        <v>Portland</v>
      </c>
      <c r="C522" t="s">
        <v>570</v>
      </c>
      <c r="D522" cm="1">
        <f t="array" ref="D522">INDEX(FX_Multi,$AD522,D$3)</f>
        <v>1</v>
      </c>
      <c r="E522" cm="1">
        <f t="array" ref="E522">INDEX(FX_Multi,$AD522,E$3)</f>
        <v>1</v>
      </c>
      <c r="F522" cm="1">
        <f t="array" ref="F522">INDEX(FX_Multi,$AD522,F$3)</f>
        <v>1</v>
      </c>
      <c r="G522" cm="1">
        <f t="array" ref="G522">INDEX(FX_Multi,$AD522,G$3)</f>
        <v>1</v>
      </c>
      <c r="H522" cm="1">
        <f t="array" ref="H522">INDEX(FX_Multi,$AD522,H$3)</f>
        <v>1</v>
      </c>
      <c r="I522" cm="1">
        <f t="array" ref="I522">INDEX(FX_Multi,$AD522,I$3)</f>
        <v>1</v>
      </c>
      <c r="J522" cm="1">
        <f t="array" ref="J522">INDEX(FX_Multi,$AD522,J$3)</f>
        <v>1</v>
      </c>
      <c r="K522" cm="1">
        <f t="array" ref="K522">INDEX(FX_Multi,$AD522,K$3)</f>
        <v>1</v>
      </c>
      <c r="L522" cm="1">
        <f t="array" ref="L522">INDEX(FX_Multi,$AD522,L$3)</f>
        <v>1</v>
      </c>
      <c r="M522" cm="1">
        <f t="array" ref="M522">INDEX(FX_Multi,$AD522,M$3)</f>
        <v>1</v>
      </c>
      <c r="N522" cm="1">
        <f t="array" ref="N522">INDEX(FX_Multi,$AD522,N$3)</f>
        <v>1</v>
      </c>
      <c r="O522" cm="1">
        <f t="array" ref="O522">INDEX(FX_Multi,$AD522,O$3)</f>
        <v>1</v>
      </c>
      <c r="AC522">
        <v>1</v>
      </c>
      <c r="AD522">
        <f>AD521+6</f>
        <v>220</v>
      </c>
      <c r="AE522">
        <v>1</v>
      </c>
      <c r="AF522">
        <f>AF518+9</f>
        <v>220</v>
      </c>
    </row>
    <row r="523" spans="1:32" ht="17.149999999999999" x14ac:dyDescent="0.55000000000000004">
      <c r="B523" t="str">
        <f t="shared" si="1811"/>
        <v>Portland</v>
      </c>
      <c r="C523" t="s">
        <v>571</v>
      </c>
      <c r="D523" cm="1">
        <f t="array" ref="D523">INDEX(FX_Multi,$AD523,D$3)</f>
        <v>162</v>
      </c>
      <c r="E523" cm="1">
        <f t="array" ref="E523">INDEX(FX_Multi,$AD523,E$3)</f>
        <v>162</v>
      </c>
      <c r="F523" cm="1">
        <f t="array" ref="F523">INDEX(FX_Multi,$AD523,F$3)</f>
        <v>162</v>
      </c>
      <c r="G523" cm="1">
        <f t="array" ref="G523">INDEX(FX_Multi,$AD523,G$3)</f>
        <v>162</v>
      </c>
      <c r="H523" cm="1">
        <f t="array" ref="H523">INDEX(FX_Multi,$AD523,H$3)</f>
        <v>162</v>
      </c>
      <c r="I523" cm="1">
        <f t="array" ref="I523">INDEX(FX_Multi,$AD523,I$3)</f>
        <v>162</v>
      </c>
      <c r="J523" cm="1">
        <f t="array" ref="J523">INDEX(FX_Multi,$AD523,J$3)</f>
        <v>162</v>
      </c>
      <c r="K523" cm="1">
        <f t="array" ref="K523">INDEX(FX_Multi,$AD523,K$3)</f>
        <v>162</v>
      </c>
      <c r="L523" cm="1">
        <f t="array" ref="L523">INDEX(FX_Multi,$AD523,L$3)</f>
        <v>162</v>
      </c>
      <c r="M523" cm="1">
        <f t="array" ref="M523">INDEX(FX_Multi,$AD523,M$3)</f>
        <v>162</v>
      </c>
      <c r="N523" cm="1">
        <f t="array" ref="N523">INDEX(FX_Multi,$AD523,N$3)</f>
        <v>162</v>
      </c>
      <c r="O523" cm="1">
        <f t="array" ref="O523">INDEX(FX_Multi,$AD523,O$3)</f>
        <v>162</v>
      </c>
      <c r="AC523">
        <v>1</v>
      </c>
      <c r="AD523">
        <f>AD522-3</f>
        <v>217</v>
      </c>
      <c r="AE523">
        <v>1</v>
      </c>
      <c r="AF523">
        <f>AF518+6</f>
        <v>217</v>
      </c>
    </row>
    <row r="524" spans="1:32" ht="17.149999999999999" x14ac:dyDescent="0.55000000000000004">
      <c r="B524" t="str">
        <f t="shared" si="1811"/>
        <v>Portland</v>
      </c>
      <c r="C524" t="s">
        <v>572</v>
      </c>
      <c r="D524" cm="1">
        <f t="array" ref="D524">INDEX(FX_Multi,$AD524,D$3)</f>
        <v>0</v>
      </c>
      <c r="E524" cm="1">
        <f t="array" ref="E524">INDEX(FX_Multi,$AD524,E$3)</f>
        <v>0</v>
      </c>
      <c r="F524" cm="1">
        <f t="array" ref="F524">INDEX(FX_Multi,$AD524,F$3)</f>
        <v>0</v>
      </c>
      <c r="G524" cm="1">
        <f t="array" ref="G524">INDEX(FX_Multi,$AD524,G$3)</f>
        <v>0</v>
      </c>
      <c r="H524" cm="1">
        <f t="array" ref="H524">INDEX(FX_Multi,$AD524,H$3)</f>
        <v>0</v>
      </c>
      <c r="I524" cm="1">
        <f t="array" ref="I524">INDEX(FX_Multi,$AD524,I$3)</f>
        <v>0</v>
      </c>
      <c r="J524" cm="1">
        <f t="array" ref="J524">INDEX(FX_Multi,$AD524,J$3)</f>
        <v>0</v>
      </c>
      <c r="K524" cm="1">
        <f t="array" ref="K524">INDEX(FX_Multi,$AD524,K$3)</f>
        <v>0</v>
      </c>
      <c r="L524" cm="1">
        <f t="array" ref="L524">INDEX(FX_Multi,$AD524,L$3)</f>
        <v>0</v>
      </c>
      <c r="M524" cm="1">
        <f t="array" ref="M524">INDEX(FX_Multi,$AD524,M$3)</f>
        <v>0</v>
      </c>
      <c r="N524" cm="1">
        <f t="array" ref="N524">INDEX(FX_Multi,$AD524,N$3)</f>
        <v>0</v>
      </c>
      <c r="O524" cm="1">
        <f t="array" ref="O524">INDEX(FX_Multi,$AD524,O$3)</f>
        <v>0</v>
      </c>
      <c r="AC524">
        <v>1</v>
      </c>
      <c r="AD524">
        <f>AD523+4</f>
        <v>221</v>
      </c>
      <c r="AE524">
        <v>1</v>
      </c>
      <c r="AF524">
        <f>AF518+10</f>
        <v>221</v>
      </c>
    </row>
    <row r="525" spans="1:32" ht="17.149999999999999" x14ac:dyDescent="0.55000000000000004">
      <c r="B525" t="str">
        <f t="shared" si="1811"/>
        <v>Portland</v>
      </c>
      <c r="C525" t="s">
        <v>573</v>
      </c>
      <c r="D525" cm="1">
        <f t="array" ref="D525">INDEX(FX_Multi,$AD525,D$3)</f>
        <v>0</v>
      </c>
      <c r="E525" cm="1">
        <f t="array" ref="E525">INDEX(FX_Multi,$AD525,E$3)</f>
        <v>0</v>
      </c>
      <c r="F525" cm="1">
        <f t="array" ref="F525">INDEX(FX_Multi,$AD525,F$3)</f>
        <v>0</v>
      </c>
      <c r="G525" cm="1">
        <f t="array" ref="G525">INDEX(FX_Multi,$AD525,G$3)</f>
        <v>0</v>
      </c>
      <c r="H525" cm="1">
        <f t="array" ref="H525">INDEX(FX_Multi,$AD525,H$3)</f>
        <v>0</v>
      </c>
      <c r="I525" cm="1">
        <f t="array" ref="I525">INDEX(FX_Multi,$AD525,I$3)</f>
        <v>0</v>
      </c>
      <c r="J525" cm="1">
        <f t="array" ref="J525">INDEX(FX_Multi,$AD525,J$3)</f>
        <v>0</v>
      </c>
      <c r="K525" cm="1">
        <f t="array" ref="K525">INDEX(FX_Multi,$AD525,K$3)</f>
        <v>0</v>
      </c>
      <c r="L525" cm="1">
        <f t="array" ref="L525">INDEX(FX_Multi,$AD525,L$3)</f>
        <v>0</v>
      </c>
      <c r="M525" cm="1">
        <f t="array" ref="M525">INDEX(FX_Multi,$AD525,M$3)</f>
        <v>0</v>
      </c>
      <c r="N525" cm="1">
        <f t="array" ref="N525">INDEX(FX_Multi,$AD525,N$3)</f>
        <v>0</v>
      </c>
      <c r="O525" cm="1">
        <f t="array" ref="O525">INDEX(FX_Multi,$AD525,O$3)</f>
        <v>0</v>
      </c>
      <c r="AC525">
        <v>1</v>
      </c>
      <c r="AD525">
        <f>AD524-3</f>
        <v>218</v>
      </c>
      <c r="AE525">
        <v>1</v>
      </c>
      <c r="AF525">
        <f>AF518+7</f>
        <v>218</v>
      </c>
    </row>
    <row r="526" spans="1:32" ht="17.149999999999999" x14ac:dyDescent="0.55000000000000004">
      <c r="B526" t="str">
        <f>B521</f>
        <v>Portland</v>
      </c>
      <c r="C526" t="s">
        <v>526</v>
      </c>
      <c r="D526" cm="1">
        <f t="array" ref="D526">INDEX(FX_Temps,$AF526,D$3)</f>
        <v>43.899999999999977</v>
      </c>
      <c r="E526" cm="1">
        <f t="array" ref="E526">INDEX(FX_Temps,$AF526,E$3)</f>
        <v>44.700000000000045</v>
      </c>
      <c r="F526" cm="1">
        <f t="array" ref="F526">INDEX(FX_Temps,$AF526,F$3)</f>
        <v>46.100000000000023</v>
      </c>
      <c r="G526" cm="1">
        <f t="array" ref="G526">INDEX(FX_Temps,$AF526,G$3)</f>
        <v>48.599999999999966</v>
      </c>
      <c r="H526" cm="1">
        <f t="array" ref="H526">INDEX(FX_Temps,$AF526,H$3)</f>
        <v>53.149999999999977</v>
      </c>
      <c r="I526" cm="1">
        <f t="array" ref="I526">INDEX(FX_Temps,$AF526,I$3)</f>
        <v>56.950000000000045</v>
      </c>
      <c r="J526" cm="1">
        <f t="array" ref="J526">INDEX(FX_Temps,$AF526,J$3)</f>
        <v>60.449999999999932</v>
      </c>
      <c r="K526" cm="1">
        <f t="array" ref="K526">INDEX(FX_Temps,$AF526,K$3)</f>
        <v>60.899999999999977</v>
      </c>
      <c r="L526" cm="1">
        <f t="array" ref="L526">INDEX(FX_Temps,$AF526,L$3)</f>
        <v>58.600000000000023</v>
      </c>
      <c r="M526" cm="1">
        <f t="array" ref="M526">INDEX(FX_Temps,$AF526,M$3)</f>
        <v>52.649999999999977</v>
      </c>
      <c r="N526" cm="1">
        <f t="array" ref="N526">INDEX(FX_Temps,$AF526,N$3)</f>
        <v>47.100000000000023</v>
      </c>
      <c r="O526" cm="1">
        <f t="array" ref="O526">INDEX(FX_Temps,$AF526,O$3)</f>
        <v>43.600000000000023</v>
      </c>
      <c r="AE526">
        <v>1</v>
      </c>
      <c r="AF526">
        <f>AF518+10</f>
        <v>221</v>
      </c>
    </row>
    <row r="527" spans="1:32" ht="17.149999999999999" x14ac:dyDescent="0.55000000000000004">
      <c r="B527" t="str">
        <f t="shared" ref="B527:B548" si="1812">B526</f>
        <v>Portland</v>
      </c>
      <c r="C527" t="s">
        <v>527</v>
      </c>
      <c r="D527" cm="1">
        <f t="array" ref="D527">INDEX(FX_Temps,$AF527,D$3)</f>
        <v>43.899999999999977</v>
      </c>
      <c r="E527" cm="1">
        <f t="array" ref="E527">INDEX(FX_Temps,$AF527,E$3)</f>
        <v>44.700000000000045</v>
      </c>
      <c r="F527" cm="1">
        <f t="array" ref="F527">INDEX(FX_Temps,$AF527,F$3)</f>
        <v>46.100000000000023</v>
      </c>
      <c r="G527" cm="1">
        <f t="array" ref="G527">INDEX(FX_Temps,$AF527,G$3)</f>
        <v>48.599999999999966</v>
      </c>
      <c r="H527" cm="1">
        <f t="array" ref="H527">INDEX(FX_Temps,$AF527,H$3)</f>
        <v>53.149999999999977</v>
      </c>
      <c r="I527" cm="1">
        <f t="array" ref="I527">INDEX(FX_Temps,$AF527,I$3)</f>
        <v>56.950000000000045</v>
      </c>
      <c r="J527" cm="1">
        <f t="array" ref="J527">INDEX(FX_Temps,$AF527,J$3)</f>
        <v>60.449999999999932</v>
      </c>
      <c r="K527" cm="1">
        <f t="array" ref="K527">INDEX(FX_Temps,$AF527,K$3)</f>
        <v>60.899999999999977</v>
      </c>
      <c r="L527" cm="1">
        <f t="array" ref="L527">INDEX(FX_Temps,$AF527,L$3)</f>
        <v>58.600000000000023</v>
      </c>
      <c r="M527" cm="1">
        <f t="array" ref="M527">INDEX(FX_Temps,$AF527,M$3)</f>
        <v>52.649999999999977</v>
      </c>
      <c r="N527" cm="1">
        <f t="array" ref="N527">INDEX(FX_Temps,$AF527,N$3)</f>
        <v>47.100000000000023</v>
      </c>
      <c r="O527" cm="1">
        <f t="array" ref="O527">INDEX(FX_Temps,$AF527,O$3)</f>
        <v>43.600000000000023</v>
      </c>
      <c r="AE527">
        <f>AE526</f>
        <v>1</v>
      </c>
      <c r="AF527">
        <f>AF518+11</f>
        <v>222</v>
      </c>
    </row>
    <row r="528" spans="1:32" ht="17.149999999999999" x14ac:dyDescent="0.55000000000000004">
      <c r="B528" t="str">
        <f t="shared" si="1812"/>
        <v>Portland</v>
      </c>
      <c r="C528" t="s">
        <v>552</v>
      </c>
      <c r="D528" cm="1">
        <f t="array" ref="D528">INDEX(FX_Temps,$AF528,D$3)</f>
        <v>43.899999999999977</v>
      </c>
      <c r="E528" cm="1">
        <f t="array" ref="E528">INDEX(FX_Temps,$AF528,E$3)</f>
        <v>44.700000000000045</v>
      </c>
      <c r="F528" cm="1">
        <f t="array" ref="F528">INDEX(FX_Temps,$AF528,F$3)</f>
        <v>46.100000000000023</v>
      </c>
      <c r="G528" cm="1">
        <f t="array" ref="G528">INDEX(FX_Temps,$AF528,G$3)</f>
        <v>48.599999999999966</v>
      </c>
      <c r="H528" cm="1">
        <f t="array" ref="H528">INDEX(FX_Temps,$AF528,H$3)</f>
        <v>53.149999999999977</v>
      </c>
      <c r="I528" cm="1">
        <f t="array" ref="I528">INDEX(FX_Temps,$AF528,I$3)</f>
        <v>56.950000000000045</v>
      </c>
      <c r="J528" cm="1">
        <f t="array" ref="J528">INDEX(FX_Temps,$AF528,J$3)</f>
        <v>60.449999999999932</v>
      </c>
      <c r="K528" cm="1">
        <f t="array" ref="K528">INDEX(FX_Temps,$AF528,K$3)</f>
        <v>60.899999999999977</v>
      </c>
      <c r="L528" cm="1">
        <f t="array" ref="L528">INDEX(FX_Temps,$AF528,L$3)</f>
        <v>58.600000000000023</v>
      </c>
      <c r="M528" cm="1">
        <f t="array" ref="M528">INDEX(FX_Temps,$AF528,M$3)</f>
        <v>52.649999999999977</v>
      </c>
      <c r="N528" cm="1">
        <f t="array" ref="N528">INDEX(FX_Temps,$AF528,N$3)</f>
        <v>47.100000000000023</v>
      </c>
      <c r="O528" cm="1">
        <f t="array" ref="O528">INDEX(FX_Temps,$AF528,O$3)</f>
        <v>43.600000000000023</v>
      </c>
      <c r="AE528">
        <f>AE527</f>
        <v>1</v>
      </c>
      <c r="AF528">
        <f>AF518+13</f>
        <v>224</v>
      </c>
    </row>
    <row r="529" spans="2:15" ht="17.149999999999999" x14ac:dyDescent="0.55000000000000004">
      <c r="B529" t="str">
        <f t="shared" si="1812"/>
        <v>Portland</v>
      </c>
      <c r="C529" t="s">
        <v>574</v>
      </c>
      <c r="D529" cm="1">
        <f t="array" ref="D529">IFERROR(IF(D519="Chemical",(10^(INDEX(Antoines,MATCH(D518,Antoine_Name,0),2)-INDEX(Antoines,MATCH(D518,Antoine_Name,0),3)/(INDEX(Antoines,MATCH(D518,Antoine_Name,0),4)+(D526-32)*5/9)))*14.7/760,IF(D519="Crude Oil",EXP((2799/(D526+459.6)-2.227)*LOG10(INDEX(FX_Input,Q$5,D$3*$Z$5+$AA$5))-(7261/(D526+459.6))+12.82),IF(D519="Refined Petroleum Stock",EXP((0.7553-(413/(D526+459.6)))*(INDEX(FX_Input,Q$5,D$3*$Z$5+$AA$5-1)^0.5)*LOG10(INDEX(FX_Input,Q$5,D$3*$Z$5+$AA$5))-(1.854-(1042/(D526+459.6)))*(INDEX(FX_Input,Q$5,D$3*$Z$5+$AA$5-1)^0.5)+((2416/(D526+459.6)-2.013)*LOG10(INDEX(FX_Input,Q$5,D$3*$Z$5+$AA$5)))-(8742/(D526+459.6))+15.64),EXP(INDEX(Antoines,MATCH(D518,Antoine_Name,0),2)-INDEX(Antoines,MATCH(D518,Antoine_Name,0),3)/(D526+459.6))))),0)</f>
        <v>4.739577185808354E-3</v>
      </c>
      <c r="E529" cm="1">
        <f t="array" ref="E529">IFERROR(IF(E519="Chemical",(10^(INDEX(Antoines,MATCH(E518,Antoine_Name,0),2)-INDEX(Antoines,MATCH(E518,Antoine_Name,0),3)/(INDEX(Antoines,MATCH(E518,Antoine_Name,0),4)+(E526-32)*5/9)))*14.7/760,IF(E519="Crude Oil",EXP((2799/(E526+459.6)-2.227)*LOG10(INDEX(FX_Input,R$5,E$3*$Z$5+$AA$5))-(7261/(E526+459.6))+12.82),IF(E519="Refined Petroleum Stock",EXP((0.7553-(413/(E526+459.6)))*(INDEX(FX_Input,R$5,E$3*$Z$5+$AA$5-1)^0.5)*LOG10(INDEX(FX_Input,R$5,E$3*$Z$5+$AA$5))-(1.854-(1042/(E526+459.6)))*(INDEX(FX_Input,R$5,E$3*$Z$5+$AA$5-1)^0.5)+((2416/(E526+459.6)-2.013)*LOG10(INDEX(FX_Input,R$5,E$3*$Z$5+$AA$5)))-(8742/(E526+459.6))+15.64),EXP(INDEX(Antoines,MATCH(E518,Antoine_Name,0),2)-INDEX(Antoines,MATCH(E518,Antoine_Name,0),3)/(E526+459.6))))),0)</f>
        <v>4.8748667780818778E-3</v>
      </c>
      <c r="F529" cm="1">
        <f t="array" ref="F529">IFERROR(IF(F519="Chemical",(10^(INDEX(Antoines,MATCH(F518,Antoine_Name,0),2)-INDEX(Antoines,MATCH(F518,Antoine_Name,0),3)/(INDEX(Antoines,MATCH(F518,Antoine_Name,0),4)+(F526-32)*5/9)))*14.7/760,IF(F519="Crude Oil",EXP((2799/(F526+459.6)-2.227)*LOG10(INDEX(FX_Input,S$5,F$3*$Z$5+$AA$5))-(7261/(F526+459.6))+12.82),IF(F519="Refined Petroleum Stock",EXP((0.7553-(413/(F526+459.6)))*(INDEX(FX_Input,S$5,F$3*$Z$5+$AA$5-1)^0.5)*LOG10(INDEX(FX_Input,S$5,F$3*$Z$5+$AA$5))-(1.854-(1042/(F526+459.6)))*(INDEX(FX_Input,S$5,F$3*$Z$5+$AA$5-1)^0.5)+((2416/(F526+459.6)-2.013)*LOG10(INDEX(FX_Input,S$5,F$3*$Z$5+$AA$5)))-(8742/(F526+459.6))+15.64),EXP(INDEX(Antoines,MATCH(F518,Antoine_Name,0),2)-INDEX(Antoines,MATCH(F518,Antoine_Name,0),3)/(F526+459.6))))),0)</f>
        <v>5.119885034186122E-3</v>
      </c>
      <c r="G529" cm="1">
        <f t="array" ref="G529">IFERROR(IF(G519="Chemical",(10^(INDEX(Antoines,MATCH(G518,Antoine_Name,0),2)-INDEX(Antoines,MATCH(G518,Antoine_Name,0),3)/(INDEX(Antoines,MATCH(G518,Antoine_Name,0),4)+(G526-32)*5/9)))*14.7/760,IF(G519="Crude Oil",EXP((2799/(G526+459.6)-2.227)*LOG10(INDEX(FX_Input,T$5,G$3*$Z$5+$AA$5))-(7261/(G526+459.6))+12.82),IF(G519="Refined Petroleum Stock",EXP((0.7553-(413/(G526+459.6)))*(INDEX(FX_Input,T$5,G$3*$Z$5+$AA$5-1)^0.5)*LOG10(INDEX(FX_Input,T$5,G$3*$Z$5+$AA$5))-(1.854-(1042/(G526+459.6)))*(INDEX(FX_Input,T$5,G$3*$Z$5+$AA$5-1)^0.5)+((2416/(G526+459.6)-2.013)*LOG10(INDEX(FX_Input,T$5,G$3*$Z$5+$AA$5)))-(8742/(G526+459.6))+15.64),EXP(INDEX(Antoines,MATCH(G518,Antoine_Name,0),2)-INDEX(Antoines,MATCH(G518,Antoine_Name,0),3)/(G526+459.6))))),0)</f>
        <v>5.5846958573521795E-3</v>
      </c>
      <c r="H529" cm="1">
        <f t="array" ref="H529">IFERROR(IF(H519="Chemical",(10^(INDEX(Antoines,MATCH(H518,Antoine_Name,0),2)-INDEX(Antoines,MATCH(H518,Antoine_Name,0),3)/(INDEX(Antoines,MATCH(H518,Antoine_Name,0),4)+(H526-32)*5/9)))*14.7/760,IF(H519="Crude Oil",EXP((2799/(H526+459.6)-2.227)*LOG10(INDEX(FX_Input,U$5,H$3*$Z$5+$AA$5))-(7261/(H526+459.6))+12.82),IF(H519="Refined Petroleum Stock",EXP((0.7553-(413/(H526+459.6)))*(INDEX(FX_Input,U$5,H$3*$Z$5+$AA$5-1)^0.5)*LOG10(INDEX(FX_Input,U$5,H$3*$Z$5+$AA$5))-(1.854-(1042/(H526+459.6)))*(INDEX(FX_Input,U$5,H$3*$Z$5+$AA$5-1)^0.5)+((2416/(H526+459.6)-2.013)*LOG10(INDEX(FX_Input,U$5,H$3*$Z$5+$AA$5)))-(8742/(H526+459.6))+15.64),EXP(INDEX(Antoines,MATCH(H518,Antoine_Name,0),2)-INDEX(Antoines,MATCH(H518,Antoine_Name,0),3)/(H526+459.6))))),0)</f>
        <v>6.5274070972739821E-3</v>
      </c>
      <c r="I529" cm="1">
        <f t="array" ref="I529">IFERROR(IF(I519="Chemical",(10^(INDEX(Antoines,MATCH(I518,Antoine_Name,0),2)-INDEX(Antoines,MATCH(I518,Antoine_Name,0),3)/(INDEX(Antoines,MATCH(I518,Antoine_Name,0),4)+(I526-32)*5/9)))*14.7/760,IF(I519="Crude Oil",EXP((2799/(I526+459.6)-2.227)*LOG10(INDEX(FX_Input,V$5,I$3*$Z$5+$AA$5))-(7261/(I526+459.6))+12.82),IF(I519="Refined Petroleum Stock",EXP((0.7553-(413/(I526+459.6)))*(INDEX(FX_Input,V$5,I$3*$Z$5+$AA$5-1)^0.5)*LOG10(INDEX(FX_Input,V$5,I$3*$Z$5+$AA$5))-(1.854-(1042/(I526+459.6)))*(INDEX(FX_Input,V$5,I$3*$Z$5+$AA$5-1)^0.5)+((2416/(I526+459.6)-2.013)*LOG10(INDEX(FX_Input,V$5,I$3*$Z$5+$AA$5)))-(8742/(I526+459.6))+15.64),EXP(INDEX(Antoines,MATCH(I518,Antoine_Name,0),2)-INDEX(Antoines,MATCH(I518,Antoine_Name,0),3)/(I526+459.6))))),0)</f>
        <v>7.4199539958878279E-3</v>
      </c>
      <c r="J529" cm="1">
        <f t="array" ref="J529">IFERROR(IF(J519="Chemical",(10^(INDEX(Antoines,MATCH(J518,Antoine_Name,0),2)-INDEX(Antoines,MATCH(J518,Antoine_Name,0),3)/(INDEX(Antoines,MATCH(J518,Antoine_Name,0),4)+(J526-32)*5/9)))*14.7/760,IF(J519="Crude Oil",EXP((2799/(J526+459.6)-2.227)*LOG10(INDEX(FX_Input,W$5,J$3*$Z$5+$AA$5))-(7261/(J526+459.6))+12.82),IF(J519="Refined Petroleum Stock",EXP((0.7553-(413/(J526+459.6)))*(INDEX(FX_Input,W$5,J$3*$Z$5+$AA$5-1)^0.5)*LOG10(INDEX(FX_Input,W$5,J$3*$Z$5+$AA$5))-(1.854-(1042/(J526+459.6)))*(INDEX(FX_Input,W$5,J$3*$Z$5+$AA$5-1)^0.5)+((2416/(J526+459.6)-2.013)*LOG10(INDEX(FX_Input,W$5,J$3*$Z$5+$AA$5)))-(8742/(J526+459.6))+15.64),EXP(INDEX(Antoines,MATCH(J518,Antoine_Name,0),2)-INDEX(Antoines,MATCH(J518,Antoine_Name,0),3)/(J526+459.6))))),0)</f>
        <v>8.3358107202842254E-3</v>
      </c>
      <c r="K529" cm="1">
        <f t="array" ref="K529">IFERROR(IF(K519="Chemical",(10^(INDEX(Antoines,MATCH(K518,Antoine_Name,0),2)-INDEX(Antoines,MATCH(K518,Antoine_Name,0),3)/(INDEX(Antoines,MATCH(K518,Antoine_Name,0),4)+(K526-32)*5/9)))*14.7/760,IF(K519="Crude Oil",EXP((2799/(K526+459.6)-2.227)*LOG10(INDEX(FX_Input,X$5,K$3*$Z$5+$AA$5))-(7261/(K526+459.6))+12.82),IF(K519="Refined Petroleum Stock",EXP((0.7553-(413/(K526+459.6)))*(INDEX(FX_Input,X$5,K$3*$Z$5+$AA$5-1)^0.5)*LOG10(INDEX(FX_Input,X$5,K$3*$Z$5+$AA$5))-(1.854-(1042/(K526+459.6)))*(INDEX(FX_Input,X$5,K$3*$Z$5+$AA$5-1)^0.5)+((2416/(K526+459.6)-2.013)*LOG10(INDEX(FX_Input,X$5,K$3*$Z$5+$AA$5)))-(8742/(K526+459.6))+15.64),EXP(INDEX(Antoines,MATCH(K518,Antoine_Name,0),2)-INDEX(Antoines,MATCH(K518,Antoine_Name,0),3)/(K526+459.6))))),0)</f>
        <v>8.4605262729351115E-3</v>
      </c>
      <c r="L529" cm="1">
        <f t="array" ref="L529">IFERROR(IF(L519="Chemical",(10^(INDEX(Antoines,MATCH(L518,Antoine_Name,0),2)-INDEX(Antoines,MATCH(L518,Antoine_Name,0),3)/(INDEX(Antoines,MATCH(L518,Antoine_Name,0),4)+(L526-32)*5/9)))*14.7/760,IF(L519="Crude Oil",EXP((2799/(L526+459.6)-2.227)*LOG10(INDEX(FX_Input,Y$5,L$3*$Z$5+$AA$5))-(7261/(L526+459.6))+12.82),IF(L519="Refined Petroleum Stock",EXP((0.7553-(413/(L526+459.6)))*(INDEX(FX_Input,Y$5,L$3*$Z$5+$AA$5-1)^0.5)*LOG10(INDEX(FX_Input,Y$5,L$3*$Z$5+$AA$5))-(1.854-(1042/(L526+459.6)))*(INDEX(FX_Input,Y$5,L$3*$Z$5+$AA$5-1)^0.5)+((2416/(L526+459.6)-2.013)*LOG10(INDEX(FX_Input,Y$5,L$3*$Z$5+$AA$5)))-(8742/(L526+459.6))+15.64),EXP(INDEX(Antoines,MATCH(L518,Antoine_Name,0),2)-INDEX(Antoines,MATCH(L518,Antoine_Name,0),3)/(L526+459.6))))),0)</f>
        <v>7.8399882233967533E-3</v>
      </c>
      <c r="M529" cm="1">
        <f t="array" ref="M529">IFERROR(IF(M519="Chemical",(10^(INDEX(Antoines,MATCH(M518,Antoine_Name,0),2)-INDEX(Antoines,MATCH(M518,Antoine_Name,0),3)/(INDEX(Antoines,MATCH(M518,Antoine_Name,0),4)+(M526-32)*5/9)))*14.7/760,IF(M519="Crude Oil",EXP((2799/(M526+459.6)-2.227)*LOG10(INDEX(FX_Input,Z$5,M$3*$Z$5+$AA$5))-(7261/(M526+459.6))+12.82),IF(M519="Refined Petroleum Stock",EXP((0.7553-(413/(M526+459.6)))*(INDEX(FX_Input,Z$5,M$3*$Z$5+$AA$5-1)^0.5)*LOG10(INDEX(FX_Input,Z$5,M$3*$Z$5+$AA$5))-(1.854-(1042/(M526+459.6)))*(INDEX(FX_Input,Z$5,M$3*$Z$5+$AA$5-1)^0.5)+((2416/(M526+459.6)-2.013)*LOG10(INDEX(FX_Input,Z$5,M$3*$Z$5+$AA$5)))-(8742/(M526+459.6))+15.64),EXP(INDEX(Antoines,MATCH(M518,Antoine_Name,0),2)-INDEX(Antoines,MATCH(M518,Antoine_Name,0),3)/(M526+459.6))))),0)</f>
        <v>6.4173462075160911E-3</v>
      </c>
      <c r="N529" cm="1">
        <f t="array" ref="N529">IFERROR(IF(N519="Chemical",(10^(INDEX(Antoines,MATCH(N518,Antoine_Name,0),2)-INDEX(Antoines,MATCH(N518,Antoine_Name,0),3)/(INDEX(Antoines,MATCH(N518,Antoine_Name,0),4)+(N526-32)*5/9)))*14.7/760,IF(N519="Crude Oil",EXP((2799/(N526+459.6)-2.227)*LOG10(INDEX(FX_Input,AA$5,N$3*$Z$5+$AA$5))-(7261/(N526+459.6))+12.82),IF(N519="Refined Petroleum Stock",EXP((0.7553-(413/(N526+459.6)))*(INDEX(FX_Input,AA$5,N$3*$Z$5+$AA$5-1)^0.5)*LOG10(INDEX(FX_Input,AA$5,N$3*$Z$5+$AA$5))-(1.854-(1042/(N526+459.6)))*(INDEX(FX_Input,AA$5,N$3*$Z$5+$AA$5-1)^0.5)+((2416/(N526+459.6)-2.013)*LOG10(INDEX(FX_Input,AA$5,N$3*$Z$5+$AA$5)))-(8742/(N526+459.6))+15.64),EXP(INDEX(Antoines,MATCH(N518,Antoine_Name,0),2)-INDEX(Antoines,MATCH(N518,Antoine_Name,0),3)/(N526+459.6))))),0)</f>
        <v>5.3015226887581056E-3</v>
      </c>
      <c r="O529" cm="1">
        <f t="array" ref="O529">IFERROR(IF(O519="Chemical",(10^(INDEX(Antoines,MATCH(O518,Antoine_Name,0),2)-INDEX(Antoines,MATCH(O518,Antoine_Name,0),3)/(INDEX(Antoines,MATCH(O518,Antoine_Name,0),4)+(O526-32)*5/9)))*14.7/760,IF(O519="Crude Oil",EXP((2799/(O526+459.6)-2.227)*LOG10(INDEX(FX_Input,AB$5,O$3*$Z$5+$AA$5))-(7261/(O526+459.6))+12.82),IF(O519="Refined Petroleum Stock",EXP((0.7553-(413/(O526+459.6)))*(INDEX(FX_Input,AB$5,O$3*$Z$5+$AA$5-1)^0.5)*LOG10(INDEX(FX_Input,AB$5,O$3*$Z$5+$AA$5))-(1.854-(1042/(O526+459.6)))*(INDEX(FX_Input,AB$5,O$3*$Z$5+$AA$5-1)^0.5)+((2416/(O526+459.6)-2.013)*LOG10(INDEX(FX_Input,AB$5,O$3*$Z$5+$AA$5)))-(8742/(O526+459.6))+15.64),EXP(INDEX(Antoines,MATCH(O518,Antoine_Name,0),2)-INDEX(Antoines,MATCH(O518,Antoine_Name,0),3)/(O526+459.6))))),0)</f>
        <v>4.68970903600947E-3</v>
      </c>
    </row>
    <row r="530" spans="2:15" ht="17.149999999999999" x14ac:dyDescent="0.55000000000000004">
      <c r="B530" t="str">
        <f t="shared" si="1812"/>
        <v>Portland</v>
      </c>
      <c r="C530" t="s">
        <v>576</v>
      </c>
      <c r="D530">
        <f>D522*D529</f>
        <v>4.739577185808354E-3</v>
      </c>
      <c r="E530">
        <f t="shared" ref="E530" si="1813">E522*E529</f>
        <v>4.8748667780818778E-3</v>
      </c>
      <c r="F530">
        <f t="shared" ref="F530" si="1814">F522*F529</f>
        <v>5.119885034186122E-3</v>
      </c>
      <c r="G530">
        <f t="shared" ref="G530" si="1815">G522*G529</f>
        <v>5.5846958573521795E-3</v>
      </c>
      <c r="H530">
        <f t="shared" ref="H530" si="1816">H522*H529</f>
        <v>6.5274070972739821E-3</v>
      </c>
      <c r="I530">
        <f t="shared" ref="I530" si="1817">I522*I529</f>
        <v>7.4199539958878279E-3</v>
      </c>
      <c r="J530">
        <f t="shared" ref="J530" si="1818">J522*J529</f>
        <v>8.3358107202842254E-3</v>
      </c>
      <c r="K530">
        <f t="shared" ref="K530" si="1819">K522*K529</f>
        <v>8.4605262729351115E-3</v>
      </c>
      <c r="L530">
        <f t="shared" ref="L530" si="1820">L522*L529</f>
        <v>7.8399882233967533E-3</v>
      </c>
      <c r="M530">
        <f t="shared" ref="M530" si="1821">M522*M529</f>
        <v>6.4173462075160911E-3</v>
      </c>
      <c r="N530">
        <f t="shared" ref="N530" si="1822">N522*N529</f>
        <v>5.3015226887581056E-3</v>
      </c>
      <c r="O530">
        <f t="shared" ref="O530" si="1823">O522*O529</f>
        <v>4.68970903600947E-3</v>
      </c>
    </row>
    <row r="531" spans="2:15" ht="17.149999999999999" x14ac:dyDescent="0.55000000000000004">
      <c r="B531" t="str">
        <f t="shared" si="1812"/>
        <v>Portland</v>
      </c>
      <c r="C531" t="s">
        <v>575</v>
      </c>
      <c r="D531" cm="1">
        <f t="array" ref="D531">IFERROR(IF(D521="Chemical",(10^(INDEX(Antoines,MATCH(D520,Antoine_Name,0),2)-INDEX(Antoines,MATCH(D520,Antoine_Name,0),3)/(INDEX(Antoines,MATCH(D520,Antoine_Name,0),4)+(D526-32)*5/9)))*14.7/760,IF(D521="Crude Oil",EXP((2799/(D526+459.6)-2.227)*LOG10(INDEX(FX_Input,Q$5,D$3*$Z$5+$AA$5))-(7261/(D526+459.6))+12.82),IF(D521="Refined Petroleum Stock",EXP((0.7553-(413/(D526+459.6)))*(INDEX(FX_Input,Q$5,D$3*$Z$5+$AA$5-1)^0.5)*LOG10(INDEX(FX_Input,Q$5,D$3*$Z$5+$AA$5))-(1.854-(1042/(D526+459.6)))*(INDEX(FX_Input,Q$5,D$3*$Z$5+$AA$5-1)^0.5)+((2416/(D526+459.6)-2.013)*LOG10(INDEX(FX_Input,Q$5,D$3*$Z$5+$AA$5)))-(8742/(D526+459.6))+15.64),EXP(INDEX(Antoines,MATCH(D520,Antoine_Name,0),2)-INDEX(Antoines,MATCH(D520,Antoine_Name,0),3)/(D526+459.6))))),0)</f>
        <v>0</v>
      </c>
      <c r="E531" cm="1">
        <f t="array" ref="E531">IFERROR(IF(E521="Chemical",(10^(INDEX(Antoines,MATCH(E520,Antoine_Name,0),2)-INDEX(Antoines,MATCH(E520,Antoine_Name,0),3)/(INDEX(Antoines,MATCH(E520,Antoine_Name,0),4)+(E526-32)*5/9)))*14.7/760,IF(E521="Crude Oil",EXP((2799/(E526+459.6)-2.227)*LOG10(INDEX(FX_Input,R$5,E$3*$Z$5+$AA$5))-(7261/(E526+459.6))+12.82),IF(E521="Refined Petroleum Stock",EXP((0.7553-(413/(E526+459.6)))*(INDEX(FX_Input,R$5,E$3*$Z$5+$AA$5-1)^0.5)*LOG10(INDEX(FX_Input,R$5,E$3*$Z$5+$AA$5))-(1.854-(1042/(E526+459.6)))*(INDEX(FX_Input,R$5,E$3*$Z$5+$AA$5-1)^0.5)+((2416/(E526+459.6)-2.013)*LOG10(INDEX(FX_Input,R$5,E$3*$Z$5+$AA$5)))-(8742/(E526+459.6))+15.64),EXP(INDEX(Antoines,MATCH(E520,Antoine_Name,0),2)-INDEX(Antoines,MATCH(E520,Antoine_Name,0),3)/(E526+459.6))))),0)</f>
        <v>0</v>
      </c>
      <c r="F531" cm="1">
        <f t="array" ref="F531">IFERROR(IF(F521="Chemical",(10^(INDEX(Antoines,MATCH(F520,Antoine_Name,0),2)-INDEX(Antoines,MATCH(F520,Antoine_Name,0),3)/(INDEX(Antoines,MATCH(F520,Antoine_Name,0),4)+(F526-32)*5/9)))*14.7/760,IF(F521="Crude Oil",EXP((2799/(F526+459.6)-2.227)*LOG10(INDEX(FX_Input,S$5,F$3*$Z$5+$AA$5))-(7261/(F526+459.6))+12.82),IF(F521="Refined Petroleum Stock",EXP((0.7553-(413/(F526+459.6)))*(INDEX(FX_Input,S$5,F$3*$Z$5+$AA$5-1)^0.5)*LOG10(INDEX(FX_Input,S$5,F$3*$Z$5+$AA$5))-(1.854-(1042/(F526+459.6)))*(INDEX(FX_Input,S$5,F$3*$Z$5+$AA$5-1)^0.5)+((2416/(F526+459.6)-2.013)*LOG10(INDEX(FX_Input,S$5,F$3*$Z$5+$AA$5)))-(8742/(F526+459.6))+15.64),EXP(INDEX(Antoines,MATCH(F520,Antoine_Name,0),2)-INDEX(Antoines,MATCH(F520,Antoine_Name,0),3)/(F526+459.6))))),0)</f>
        <v>0</v>
      </c>
      <c r="G531" cm="1">
        <f t="array" ref="G531">IFERROR(IF(G521="Chemical",(10^(INDEX(Antoines,MATCH(G520,Antoine_Name,0),2)-INDEX(Antoines,MATCH(G520,Antoine_Name,0),3)/(INDEX(Antoines,MATCH(G520,Antoine_Name,0),4)+(G526-32)*5/9)))*14.7/760,IF(G521="Crude Oil",EXP((2799/(G526+459.6)-2.227)*LOG10(INDEX(FX_Input,T$5,G$3*$Z$5+$AA$5))-(7261/(G526+459.6))+12.82),IF(G521="Refined Petroleum Stock",EXP((0.7553-(413/(G526+459.6)))*(INDEX(FX_Input,T$5,G$3*$Z$5+$AA$5-1)^0.5)*LOG10(INDEX(FX_Input,T$5,G$3*$Z$5+$AA$5))-(1.854-(1042/(G526+459.6)))*(INDEX(FX_Input,T$5,G$3*$Z$5+$AA$5-1)^0.5)+((2416/(G526+459.6)-2.013)*LOG10(INDEX(FX_Input,T$5,G$3*$Z$5+$AA$5)))-(8742/(G526+459.6))+15.64),EXP(INDEX(Antoines,MATCH(G520,Antoine_Name,0),2)-INDEX(Antoines,MATCH(G520,Antoine_Name,0),3)/(G526+459.6))))),0)</f>
        <v>0</v>
      </c>
      <c r="H531" cm="1">
        <f t="array" ref="H531">IFERROR(IF(H521="Chemical",(10^(INDEX(Antoines,MATCH(H520,Antoine_Name,0),2)-INDEX(Antoines,MATCH(H520,Antoine_Name,0),3)/(INDEX(Antoines,MATCH(H520,Antoine_Name,0),4)+(H526-32)*5/9)))*14.7/760,IF(H521="Crude Oil",EXP((2799/(H526+459.6)-2.227)*LOG10(INDEX(FX_Input,U$5,H$3*$Z$5+$AA$5))-(7261/(H526+459.6))+12.82),IF(H521="Refined Petroleum Stock",EXP((0.7553-(413/(H526+459.6)))*(INDEX(FX_Input,U$5,H$3*$Z$5+$AA$5-1)^0.5)*LOG10(INDEX(FX_Input,U$5,H$3*$Z$5+$AA$5))-(1.854-(1042/(H526+459.6)))*(INDEX(FX_Input,U$5,H$3*$Z$5+$AA$5-1)^0.5)+((2416/(H526+459.6)-2.013)*LOG10(INDEX(FX_Input,U$5,H$3*$Z$5+$AA$5)))-(8742/(H526+459.6))+15.64),EXP(INDEX(Antoines,MATCH(H520,Antoine_Name,0),2)-INDEX(Antoines,MATCH(H520,Antoine_Name,0),3)/(H526+459.6))))),0)</f>
        <v>0</v>
      </c>
      <c r="I531" cm="1">
        <f t="array" ref="I531">IFERROR(IF(I521="Chemical",(10^(INDEX(Antoines,MATCH(I520,Antoine_Name,0),2)-INDEX(Antoines,MATCH(I520,Antoine_Name,0),3)/(INDEX(Antoines,MATCH(I520,Antoine_Name,0),4)+(I526-32)*5/9)))*14.7/760,IF(I521="Crude Oil",EXP((2799/(I526+459.6)-2.227)*LOG10(INDEX(FX_Input,V$5,I$3*$Z$5+$AA$5))-(7261/(I526+459.6))+12.82),IF(I521="Refined Petroleum Stock",EXP((0.7553-(413/(I526+459.6)))*(INDEX(FX_Input,V$5,I$3*$Z$5+$AA$5-1)^0.5)*LOG10(INDEX(FX_Input,V$5,I$3*$Z$5+$AA$5))-(1.854-(1042/(I526+459.6)))*(INDEX(FX_Input,V$5,I$3*$Z$5+$AA$5-1)^0.5)+((2416/(I526+459.6)-2.013)*LOG10(INDEX(FX_Input,V$5,I$3*$Z$5+$AA$5)))-(8742/(I526+459.6))+15.64),EXP(INDEX(Antoines,MATCH(I520,Antoine_Name,0),2)-INDEX(Antoines,MATCH(I520,Antoine_Name,0),3)/(I526+459.6))))),0)</f>
        <v>0</v>
      </c>
      <c r="J531" cm="1">
        <f t="array" ref="J531">IFERROR(IF(J521="Chemical",(10^(INDEX(Antoines,MATCH(J520,Antoine_Name,0),2)-INDEX(Antoines,MATCH(J520,Antoine_Name,0),3)/(INDEX(Antoines,MATCH(J520,Antoine_Name,0),4)+(J526-32)*5/9)))*14.7/760,IF(J521="Crude Oil",EXP((2799/(J526+459.6)-2.227)*LOG10(INDEX(FX_Input,W$5,J$3*$Z$5+$AA$5))-(7261/(J526+459.6))+12.82),IF(J521="Refined Petroleum Stock",EXP((0.7553-(413/(J526+459.6)))*(INDEX(FX_Input,W$5,J$3*$Z$5+$AA$5-1)^0.5)*LOG10(INDEX(FX_Input,W$5,J$3*$Z$5+$AA$5))-(1.854-(1042/(J526+459.6)))*(INDEX(FX_Input,W$5,J$3*$Z$5+$AA$5-1)^0.5)+((2416/(J526+459.6)-2.013)*LOG10(INDEX(FX_Input,W$5,J$3*$Z$5+$AA$5)))-(8742/(J526+459.6))+15.64),EXP(INDEX(Antoines,MATCH(J520,Antoine_Name,0),2)-INDEX(Antoines,MATCH(J520,Antoine_Name,0),3)/(J526+459.6))))),0)</f>
        <v>0</v>
      </c>
      <c r="K531" cm="1">
        <f t="array" ref="K531">IFERROR(IF(K521="Chemical",(10^(INDEX(Antoines,MATCH(K520,Antoine_Name,0),2)-INDEX(Antoines,MATCH(K520,Antoine_Name,0),3)/(INDEX(Antoines,MATCH(K520,Antoine_Name,0),4)+(K526-32)*5/9)))*14.7/760,IF(K521="Crude Oil",EXP((2799/(K526+459.6)-2.227)*LOG10(INDEX(FX_Input,X$5,K$3*$Z$5+$AA$5))-(7261/(K526+459.6))+12.82),IF(K521="Refined Petroleum Stock",EXP((0.7553-(413/(K526+459.6)))*(INDEX(FX_Input,X$5,K$3*$Z$5+$AA$5-1)^0.5)*LOG10(INDEX(FX_Input,X$5,K$3*$Z$5+$AA$5))-(1.854-(1042/(K526+459.6)))*(INDEX(FX_Input,X$5,K$3*$Z$5+$AA$5-1)^0.5)+((2416/(K526+459.6)-2.013)*LOG10(INDEX(FX_Input,X$5,K$3*$Z$5+$AA$5)))-(8742/(K526+459.6))+15.64),EXP(INDEX(Antoines,MATCH(K520,Antoine_Name,0),2)-INDEX(Antoines,MATCH(K520,Antoine_Name,0),3)/(K526+459.6))))),0)</f>
        <v>0</v>
      </c>
      <c r="L531" cm="1">
        <f t="array" ref="L531">IFERROR(IF(L521="Chemical",(10^(INDEX(Antoines,MATCH(L520,Antoine_Name,0),2)-INDEX(Antoines,MATCH(L520,Antoine_Name,0),3)/(INDEX(Antoines,MATCH(L520,Antoine_Name,0),4)+(L526-32)*5/9)))*14.7/760,IF(L521="Crude Oil",EXP((2799/(L526+459.6)-2.227)*LOG10(INDEX(FX_Input,Y$5,L$3*$Z$5+$AA$5))-(7261/(L526+459.6))+12.82),IF(L521="Refined Petroleum Stock",EXP((0.7553-(413/(L526+459.6)))*(INDEX(FX_Input,Y$5,L$3*$Z$5+$AA$5-1)^0.5)*LOG10(INDEX(FX_Input,Y$5,L$3*$Z$5+$AA$5))-(1.854-(1042/(L526+459.6)))*(INDEX(FX_Input,Y$5,L$3*$Z$5+$AA$5-1)^0.5)+((2416/(L526+459.6)-2.013)*LOG10(INDEX(FX_Input,Y$5,L$3*$Z$5+$AA$5)))-(8742/(L526+459.6))+15.64),EXP(INDEX(Antoines,MATCH(L520,Antoine_Name,0),2)-INDEX(Antoines,MATCH(L520,Antoine_Name,0),3)/(L526+459.6))))),0)</f>
        <v>0</v>
      </c>
      <c r="M531" cm="1">
        <f t="array" ref="M531">IFERROR(IF(M521="Chemical",(10^(INDEX(Antoines,MATCH(M520,Antoine_Name,0),2)-INDEX(Antoines,MATCH(M520,Antoine_Name,0),3)/(INDEX(Antoines,MATCH(M520,Antoine_Name,0),4)+(M526-32)*5/9)))*14.7/760,IF(M521="Crude Oil",EXP((2799/(M526+459.6)-2.227)*LOG10(INDEX(FX_Input,Z$5,M$3*$Z$5+$AA$5))-(7261/(M526+459.6))+12.82),IF(M521="Refined Petroleum Stock",EXP((0.7553-(413/(M526+459.6)))*(INDEX(FX_Input,Z$5,M$3*$Z$5+$AA$5-1)^0.5)*LOG10(INDEX(FX_Input,Z$5,M$3*$Z$5+$AA$5))-(1.854-(1042/(M526+459.6)))*(INDEX(FX_Input,Z$5,M$3*$Z$5+$AA$5-1)^0.5)+((2416/(M526+459.6)-2.013)*LOG10(INDEX(FX_Input,Z$5,M$3*$Z$5+$AA$5)))-(8742/(M526+459.6))+15.64),EXP(INDEX(Antoines,MATCH(M520,Antoine_Name,0),2)-INDEX(Antoines,MATCH(M520,Antoine_Name,0),3)/(M526+459.6))))),0)</f>
        <v>0</v>
      </c>
      <c r="N531" cm="1">
        <f t="array" ref="N531">IFERROR(IF(N521="Chemical",(10^(INDEX(Antoines,MATCH(N520,Antoine_Name,0),2)-INDEX(Antoines,MATCH(N520,Antoine_Name,0),3)/(INDEX(Antoines,MATCH(N520,Antoine_Name,0),4)+(N526-32)*5/9)))*14.7/760,IF(N521="Crude Oil",EXP((2799/(N526+459.6)-2.227)*LOG10(INDEX(FX_Input,AA$5,N$3*$Z$5+$AA$5))-(7261/(N526+459.6))+12.82),IF(N521="Refined Petroleum Stock",EXP((0.7553-(413/(N526+459.6)))*(INDEX(FX_Input,AA$5,N$3*$Z$5+$AA$5-1)^0.5)*LOG10(INDEX(FX_Input,AA$5,N$3*$Z$5+$AA$5))-(1.854-(1042/(N526+459.6)))*(INDEX(FX_Input,AA$5,N$3*$Z$5+$AA$5-1)^0.5)+((2416/(N526+459.6)-2.013)*LOG10(INDEX(FX_Input,AA$5,N$3*$Z$5+$AA$5)))-(8742/(N526+459.6))+15.64),EXP(INDEX(Antoines,MATCH(N520,Antoine_Name,0),2)-INDEX(Antoines,MATCH(N520,Antoine_Name,0),3)/(N526+459.6))))),0)</f>
        <v>0</v>
      </c>
      <c r="O531" cm="1">
        <f t="array" ref="O531">IFERROR(IF(O521="Chemical",(10^(INDEX(Antoines,MATCH(O520,Antoine_Name,0),2)-INDEX(Antoines,MATCH(O520,Antoine_Name,0),3)/(INDEX(Antoines,MATCH(O520,Antoine_Name,0),4)+(O526-32)*5/9)))*14.7/760,IF(O521="Crude Oil",EXP((2799/(O526+459.6)-2.227)*LOG10(INDEX(FX_Input,AB$5,O$3*$Z$5+$AA$5))-(7261/(O526+459.6))+12.82),IF(O521="Refined Petroleum Stock",EXP((0.7553-(413/(O526+459.6)))*(INDEX(FX_Input,AB$5,O$3*$Z$5+$AA$5-1)^0.5)*LOG10(INDEX(FX_Input,AB$5,O$3*$Z$5+$AA$5))-(1.854-(1042/(O526+459.6)))*(INDEX(FX_Input,AB$5,O$3*$Z$5+$AA$5-1)^0.5)+((2416/(O526+459.6)-2.013)*LOG10(INDEX(FX_Input,AB$5,O$3*$Z$5+$AA$5)))-(8742/(O526+459.6))+15.64),EXP(INDEX(Antoines,MATCH(O520,Antoine_Name,0),2)-INDEX(Antoines,MATCH(O520,Antoine_Name,0),3)/(O526+459.6))))),0)</f>
        <v>0</v>
      </c>
    </row>
    <row r="532" spans="2:15" ht="17.149999999999999" x14ac:dyDescent="0.55000000000000004">
      <c r="B532" t="str">
        <f t="shared" si="1812"/>
        <v>Portland</v>
      </c>
      <c r="C532" t="s">
        <v>577</v>
      </c>
      <c r="D532">
        <f>D531*D524</f>
        <v>0</v>
      </c>
      <c r="E532">
        <f t="shared" ref="E532" si="1824">E531*E524</f>
        <v>0</v>
      </c>
      <c r="F532">
        <f t="shared" ref="F532" si="1825">F531*F524</f>
        <v>0</v>
      </c>
      <c r="G532">
        <f t="shared" ref="G532" si="1826">G531*G524</f>
        <v>0</v>
      </c>
      <c r="H532">
        <f t="shared" ref="H532" si="1827">H531*H524</f>
        <v>0</v>
      </c>
      <c r="I532">
        <f t="shared" ref="I532" si="1828">I531*I524</f>
        <v>0</v>
      </c>
      <c r="J532">
        <f t="shared" ref="J532" si="1829">J531*J524</f>
        <v>0</v>
      </c>
      <c r="K532">
        <f t="shared" ref="K532" si="1830">K531*K524</f>
        <v>0</v>
      </c>
      <c r="L532">
        <f t="shared" ref="L532" si="1831">L531*L524</f>
        <v>0</v>
      </c>
      <c r="M532">
        <f t="shared" ref="M532" si="1832">M531*M524</f>
        <v>0</v>
      </c>
      <c r="N532">
        <f t="shared" ref="N532" si="1833">N531*N524</f>
        <v>0</v>
      </c>
      <c r="O532">
        <f t="shared" ref="O532" si="1834">O531*O524</f>
        <v>0</v>
      </c>
    </row>
    <row r="533" spans="2:15" ht="17.149999999999999" x14ac:dyDescent="0.55000000000000004">
      <c r="B533" t="str">
        <f t="shared" si="1812"/>
        <v>Portland</v>
      </c>
      <c r="C533" t="s">
        <v>578</v>
      </c>
      <c r="D533">
        <f>D532+D530</f>
        <v>4.739577185808354E-3</v>
      </c>
      <c r="E533">
        <f t="shared" ref="E533" si="1835">E532+E530</f>
        <v>4.8748667780818778E-3</v>
      </c>
      <c r="F533">
        <f t="shared" ref="F533" si="1836">F532+F530</f>
        <v>5.119885034186122E-3</v>
      </c>
      <c r="G533">
        <f t="shared" ref="G533" si="1837">G532+G530</f>
        <v>5.5846958573521795E-3</v>
      </c>
      <c r="H533">
        <f t="shared" ref="H533" si="1838">H532+H530</f>
        <v>6.5274070972739821E-3</v>
      </c>
      <c r="I533">
        <f t="shared" ref="I533" si="1839">I532+I530</f>
        <v>7.4199539958878279E-3</v>
      </c>
      <c r="J533">
        <f t="shared" ref="J533" si="1840">J532+J530</f>
        <v>8.3358107202842254E-3</v>
      </c>
      <c r="K533">
        <f t="shared" ref="K533" si="1841">K532+K530</f>
        <v>8.4605262729351115E-3</v>
      </c>
      <c r="L533">
        <f t="shared" ref="L533" si="1842">L532+L530</f>
        <v>7.8399882233967533E-3</v>
      </c>
      <c r="M533">
        <f t="shared" ref="M533" si="1843">M532+M530</f>
        <v>6.4173462075160911E-3</v>
      </c>
      <c r="N533">
        <f t="shared" ref="N533" si="1844">N532+N530</f>
        <v>5.3015226887581056E-3</v>
      </c>
      <c r="O533">
        <f t="shared" ref="O533" si="1845">O532+O530</f>
        <v>4.68970903600947E-3</v>
      </c>
    </row>
    <row r="534" spans="2:15" ht="17.149999999999999" x14ac:dyDescent="0.55000000000000004">
      <c r="B534" t="str">
        <f t="shared" si="1812"/>
        <v>Portland</v>
      </c>
      <c r="C534" t="s">
        <v>579</v>
      </c>
      <c r="D534" cm="1">
        <f t="array" ref="D534">IFERROR(IF(D519="Chemical",(10^(INDEX(Antoines,MATCH(D518,Antoine_Name,0),2)-INDEX(Antoines,MATCH(D518,Antoine_Name,0),3)/(INDEX(Antoines,MATCH(D518,Antoine_Name,0),4)+(D527-32)*5/9)))*14.7/760,IF(D519="Crude Oil",EXP((2799/(D527+459.6)-2.227)*LOG10(INDEX(FX_Input,Q$5,D$3*$Z$5+$AA$5))-(7261/(D527+459.6))+12.82),IF(D519="Refined Petroleum Stock",EXP((0.7553-(413/(D527+459.6)))*(INDEX(FX_Input,Q$5,D$3*$Z$5+$AA$5-1)^0.5)*LOG10(INDEX(FX_Input,Q$5,D$3*$Z$5+$AA$5))-(1.854-(1042/(D527+459.6)))*(INDEX(FX_Input,Q$5,D$3*$Z$5+$AA$5-1)^0.5)+((2416/(D527+459.6)-2.013)*LOG10(INDEX(FX_Input,Q$5,D$3*$Z$5+$AA$5)))-(8742/(D527+459.6))+15.64),EXP(INDEX(Antoines,MATCH(D518,Antoine_Name,0),2)-INDEX(Antoines,MATCH(D518,Antoine_Name,0),3)/(D527+459.6))))),0)</f>
        <v>4.739577185808354E-3</v>
      </c>
      <c r="E534" cm="1">
        <f t="array" ref="E534">IFERROR(IF(E519="Chemical",(10^(INDEX(Antoines,MATCH(E518,Antoine_Name,0),2)-INDEX(Antoines,MATCH(E518,Antoine_Name,0),3)/(INDEX(Antoines,MATCH(E518,Antoine_Name,0),4)+(E527-32)*5/9)))*14.7/760,IF(E519="Crude Oil",EXP((2799/(E527+459.6)-2.227)*LOG10(INDEX(FX_Input,R$5,E$3*$Z$5+$AA$5))-(7261/(E527+459.6))+12.82),IF(E519="Refined Petroleum Stock",EXP((0.7553-(413/(E527+459.6)))*(INDEX(FX_Input,R$5,E$3*$Z$5+$AA$5-1)^0.5)*LOG10(INDEX(FX_Input,R$5,E$3*$Z$5+$AA$5))-(1.854-(1042/(E527+459.6)))*(INDEX(FX_Input,R$5,E$3*$Z$5+$AA$5-1)^0.5)+((2416/(E527+459.6)-2.013)*LOG10(INDEX(FX_Input,R$5,E$3*$Z$5+$AA$5)))-(8742/(E527+459.6))+15.64),EXP(INDEX(Antoines,MATCH(E518,Antoine_Name,0),2)-INDEX(Antoines,MATCH(E518,Antoine_Name,0),3)/(E527+459.6))))),0)</f>
        <v>4.8748667780818778E-3</v>
      </c>
      <c r="F534" cm="1">
        <f t="array" ref="F534">IFERROR(IF(F519="Chemical",(10^(INDEX(Antoines,MATCH(F518,Antoine_Name,0),2)-INDEX(Antoines,MATCH(F518,Antoine_Name,0),3)/(INDEX(Antoines,MATCH(F518,Antoine_Name,0),4)+(F527-32)*5/9)))*14.7/760,IF(F519="Crude Oil",EXP((2799/(F527+459.6)-2.227)*LOG10(INDEX(FX_Input,S$5,F$3*$Z$5+$AA$5))-(7261/(F527+459.6))+12.82),IF(F519="Refined Petroleum Stock",EXP((0.7553-(413/(F527+459.6)))*(INDEX(FX_Input,S$5,F$3*$Z$5+$AA$5-1)^0.5)*LOG10(INDEX(FX_Input,S$5,F$3*$Z$5+$AA$5))-(1.854-(1042/(F527+459.6)))*(INDEX(FX_Input,S$5,F$3*$Z$5+$AA$5-1)^0.5)+((2416/(F527+459.6)-2.013)*LOG10(INDEX(FX_Input,S$5,F$3*$Z$5+$AA$5)))-(8742/(F527+459.6))+15.64),EXP(INDEX(Antoines,MATCH(F518,Antoine_Name,0),2)-INDEX(Antoines,MATCH(F518,Antoine_Name,0),3)/(F527+459.6))))),0)</f>
        <v>5.119885034186122E-3</v>
      </c>
      <c r="G534" cm="1">
        <f t="array" ref="G534">IFERROR(IF(G519="Chemical",(10^(INDEX(Antoines,MATCH(G518,Antoine_Name,0),2)-INDEX(Antoines,MATCH(G518,Antoine_Name,0),3)/(INDEX(Antoines,MATCH(G518,Antoine_Name,0),4)+(G527-32)*5/9)))*14.7/760,IF(G519="Crude Oil",EXP((2799/(G527+459.6)-2.227)*LOG10(INDEX(FX_Input,T$5,G$3*$Z$5+$AA$5))-(7261/(G527+459.6))+12.82),IF(G519="Refined Petroleum Stock",EXP((0.7553-(413/(G527+459.6)))*(INDEX(FX_Input,T$5,G$3*$Z$5+$AA$5-1)^0.5)*LOG10(INDEX(FX_Input,T$5,G$3*$Z$5+$AA$5))-(1.854-(1042/(G527+459.6)))*(INDEX(FX_Input,T$5,G$3*$Z$5+$AA$5-1)^0.5)+((2416/(G527+459.6)-2.013)*LOG10(INDEX(FX_Input,T$5,G$3*$Z$5+$AA$5)))-(8742/(G527+459.6))+15.64),EXP(INDEX(Antoines,MATCH(G518,Antoine_Name,0),2)-INDEX(Antoines,MATCH(G518,Antoine_Name,0),3)/(G527+459.6))))),0)</f>
        <v>5.5846958573521795E-3</v>
      </c>
      <c r="H534" cm="1">
        <f t="array" ref="H534">IFERROR(IF(H519="Chemical",(10^(INDEX(Antoines,MATCH(H518,Antoine_Name,0),2)-INDEX(Antoines,MATCH(H518,Antoine_Name,0),3)/(INDEX(Antoines,MATCH(H518,Antoine_Name,0),4)+(H527-32)*5/9)))*14.7/760,IF(H519="Crude Oil",EXP((2799/(H527+459.6)-2.227)*LOG10(INDEX(FX_Input,U$5,H$3*$Z$5+$AA$5))-(7261/(H527+459.6))+12.82),IF(H519="Refined Petroleum Stock",EXP((0.7553-(413/(H527+459.6)))*(INDEX(FX_Input,U$5,H$3*$Z$5+$AA$5-1)^0.5)*LOG10(INDEX(FX_Input,U$5,H$3*$Z$5+$AA$5))-(1.854-(1042/(H527+459.6)))*(INDEX(FX_Input,U$5,H$3*$Z$5+$AA$5-1)^0.5)+((2416/(H527+459.6)-2.013)*LOG10(INDEX(FX_Input,U$5,H$3*$Z$5+$AA$5)))-(8742/(H527+459.6))+15.64),EXP(INDEX(Antoines,MATCH(H518,Antoine_Name,0),2)-INDEX(Antoines,MATCH(H518,Antoine_Name,0),3)/(H527+459.6))))),0)</f>
        <v>6.5274070972739821E-3</v>
      </c>
      <c r="I534" cm="1">
        <f t="array" ref="I534">IFERROR(IF(I519="Chemical",(10^(INDEX(Antoines,MATCH(I518,Antoine_Name,0),2)-INDEX(Antoines,MATCH(I518,Antoine_Name,0),3)/(INDEX(Antoines,MATCH(I518,Antoine_Name,0),4)+(I527-32)*5/9)))*14.7/760,IF(I519="Crude Oil",EXP((2799/(I527+459.6)-2.227)*LOG10(INDEX(FX_Input,V$5,I$3*$Z$5+$AA$5))-(7261/(I527+459.6))+12.82),IF(I519="Refined Petroleum Stock",EXP((0.7553-(413/(I527+459.6)))*(INDEX(FX_Input,V$5,I$3*$Z$5+$AA$5-1)^0.5)*LOG10(INDEX(FX_Input,V$5,I$3*$Z$5+$AA$5))-(1.854-(1042/(I527+459.6)))*(INDEX(FX_Input,V$5,I$3*$Z$5+$AA$5-1)^0.5)+((2416/(I527+459.6)-2.013)*LOG10(INDEX(FX_Input,V$5,I$3*$Z$5+$AA$5)))-(8742/(I527+459.6))+15.64),EXP(INDEX(Antoines,MATCH(I518,Antoine_Name,0),2)-INDEX(Antoines,MATCH(I518,Antoine_Name,0),3)/(I527+459.6))))),0)</f>
        <v>7.4199539958878279E-3</v>
      </c>
      <c r="J534" cm="1">
        <f t="array" ref="J534">IFERROR(IF(J519="Chemical",(10^(INDEX(Antoines,MATCH(J518,Antoine_Name,0),2)-INDEX(Antoines,MATCH(J518,Antoine_Name,0),3)/(INDEX(Antoines,MATCH(J518,Antoine_Name,0),4)+(J527-32)*5/9)))*14.7/760,IF(J519="Crude Oil",EXP((2799/(J527+459.6)-2.227)*LOG10(INDEX(FX_Input,W$5,J$3*$Z$5+$AA$5))-(7261/(J527+459.6))+12.82),IF(J519="Refined Petroleum Stock",EXP((0.7553-(413/(J527+459.6)))*(INDEX(FX_Input,W$5,J$3*$Z$5+$AA$5-1)^0.5)*LOG10(INDEX(FX_Input,W$5,J$3*$Z$5+$AA$5))-(1.854-(1042/(J527+459.6)))*(INDEX(FX_Input,W$5,J$3*$Z$5+$AA$5-1)^0.5)+((2416/(J527+459.6)-2.013)*LOG10(INDEX(FX_Input,W$5,J$3*$Z$5+$AA$5)))-(8742/(J527+459.6))+15.64),EXP(INDEX(Antoines,MATCH(J518,Antoine_Name,0),2)-INDEX(Antoines,MATCH(J518,Antoine_Name,0),3)/(J527+459.6))))),0)</f>
        <v>8.3358107202842254E-3</v>
      </c>
      <c r="K534" cm="1">
        <f t="array" ref="K534">IFERROR(IF(K519="Chemical",(10^(INDEX(Antoines,MATCH(K518,Antoine_Name,0),2)-INDEX(Antoines,MATCH(K518,Antoine_Name,0),3)/(INDEX(Antoines,MATCH(K518,Antoine_Name,0),4)+(K527-32)*5/9)))*14.7/760,IF(K519="Crude Oil",EXP((2799/(K527+459.6)-2.227)*LOG10(INDEX(FX_Input,X$5,K$3*$Z$5+$AA$5))-(7261/(K527+459.6))+12.82),IF(K519="Refined Petroleum Stock",EXP((0.7553-(413/(K527+459.6)))*(INDEX(FX_Input,X$5,K$3*$Z$5+$AA$5-1)^0.5)*LOG10(INDEX(FX_Input,X$5,K$3*$Z$5+$AA$5))-(1.854-(1042/(K527+459.6)))*(INDEX(FX_Input,X$5,K$3*$Z$5+$AA$5-1)^0.5)+((2416/(K527+459.6)-2.013)*LOG10(INDEX(FX_Input,X$5,K$3*$Z$5+$AA$5)))-(8742/(K527+459.6))+15.64),EXP(INDEX(Antoines,MATCH(K518,Antoine_Name,0),2)-INDEX(Antoines,MATCH(K518,Antoine_Name,0),3)/(K527+459.6))))),0)</f>
        <v>8.4605262729351115E-3</v>
      </c>
      <c r="L534" cm="1">
        <f t="array" ref="L534">IFERROR(IF(L519="Chemical",(10^(INDEX(Antoines,MATCH(L518,Antoine_Name,0),2)-INDEX(Antoines,MATCH(L518,Antoine_Name,0),3)/(INDEX(Antoines,MATCH(L518,Antoine_Name,0),4)+(L527-32)*5/9)))*14.7/760,IF(L519="Crude Oil",EXP((2799/(L527+459.6)-2.227)*LOG10(INDEX(FX_Input,Y$5,L$3*$Z$5+$AA$5))-(7261/(L527+459.6))+12.82),IF(L519="Refined Petroleum Stock",EXP((0.7553-(413/(L527+459.6)))*(INDEX(FX_Input,Y$5,L$3*$Z$5+$AA$5-1)^0.5)*LOG10(INDEX(FX_Input,Y$5,L$3*$Z$5+$AA$5))-(1.854-(1042/(L527+459.6)))*(INDEX(FX_Input,Y$5,L$3*$Z$5+$AA$5-1)^0.5)+((2416/(L527+459.6)-2.013)*LOG10(INDEX(FX_Input,Y$5,L$3*$Z$5+$AA$5)))-(8742/(L527+459.6))+15.64),EXP(INDEX(Antoines,MATCH(L518,Antoine_Name,0),2)-INDEX(Antoines,MATCH(L518,Antoine_Name,0),3)/(L527+459.6))))),0)</f>
        <v>7.8399882233967533E-3</v>
      </c>
      <c r="M534" cm="1">
        <f t="array" ref="M534">IFERROR(IF(M519="Chemical",(10^(INDEX(Antoines,MATCH(M518,Antoine_Name,0),2)-INDEX(Antoines,MATCH(M518,Antoine_Name,0),3)/(INDEX(Antoines,MATCH(M518,Antoine_Name,0),4)+(M527-32)*5/9)))*14.7/760,IF(M519="Crude Oil",EXP((2799/(M527+459.6)-2.227)*LOG10(INDEX(FX_Input,Z$5,M$3*$Z$5+$AA$5))-(7261/(M527+459.6))+12.82),IF(M519="Refined Petroleum Stock",EXP((0.7553-(413/(M527+459.6)))*(INDEX(FX_Input,Z$5,M$3*$Z$5+$AA$5-1)^0.5)*LOG10(INDEX(FX_Input,Z$5,M$3*$Z$5+$AA$5))-(1.854-(1042/(M527+459.6)))*(INDEX(FX_Input,Z$5,M$3*$Z$5+$AA$5-1)^0.5)+((2416/(M527+459.6)-2.013)*LOG10(INDEX(FX_Input,Z$5,M$3*$Z$5+$AA$5)))-(8742/(M527+459.6))+15.64),EXP(INDEX(Antoines,MATCH(M518,Antoine_Name,0),2)-INDEX(Antoines,MATCH(M518,Antoine_Name,0),3)/(M527+459.6))))),0)</f>
        <v>6.4173462075160911E-3</v>
      </c>
      <c r="N534" cm="1">
        <f t="array" ref="N534">IFERROR(IF(N519="Chemical",(10^(INDEX(Antoines,MATCH(N518,Antoine_Name,0),2)-INDEX(Antoines,MATCH(N518,Antoine_Name,0),3)/(INDEX(Antoines,MATCH(N518,Antoine_Name,0),4)+(N527-32)*5/9)))*14.7/760,IF(N519="Crude Oil",EXP((2799/(N527+459.6)-2.227)*LOG10(INDEX(FX_Input,AA$5,N$3*$Z$5+$AA$5))-(7261/(N527+459.6))+12.82),IF(N519="Refined Petroleum Stock",EXP((0.7553-(413/(N527+459.6)))*(INDEX(FX_Input,AA$5,N$3*$Z$5+$AA$5-1)^0.5)*LOG10(INDEX(FX_Input,AA$5,N$3*$Z$5+$AA$5))-(1.854-(1042/(N527+459.6)))*(INDEX(FX_Input,AA$5,N$3*$Z$5+$AA$5-1)^0.5)+((2416/(N527+459.6)-2.013)*LOG10(INDEX(FX_Input,AA$5,N$3*$Z$5+$AA$5)))-(8742/(N527+459.6))+15.64),EXP(INDEX(Antoines,MATCH(N518,Antoine_Name,0),2)-INDEX(Antoines,MATCH(N518,Antoine_Name,0),3)/(N527+459.6))))),0)</f>
        <v>5.3015226887581056E-3</v>
      </c>
      <c r="O534" cm="1">
        <f t="array" ref="O534">IFERROR(IF(O519="Chemical",(10^(INDEX(Antoines,MATCH(O518,Antoine_Name,0),2)-INDEX(Antoines,MATCH(O518,Antoine_Name,0),3)/(INDEX(Antoines,MATCH(O518,Antoine_Name,0),4)+(O527-32)*5/9)))*14.7/760,IF(O519="Crude Oil",EXP((2799/(O527+459.6)-2.227)*LOG10(INDEX(FX_Input,AB$5,O$3*$Z$5+$AA$5))-(7261/(O527+459.6))+12.82),IF(O519="Refined Petroleum Stock",EXP((0.7553-(413/(O527+459.6)))*(INDEX(FX_Input,AB$5,O$3*$Z$5+$AA$5-1)^0.5)*LOG10(INDEX(FX_Input,AB$5,O$3*$Z$5+$AA$5))-(1.854-(1042/(O527+459.6)))*(INDEX(FX_Input,AB$5,O$3*$Z$5+$AA$5-1)^0.5)+((2416/(O527+459.6)-2.013)*LOG10(INDEX(FX_Input,AB$5,O$3*$Z$5+$AA$5)))-(8742/(O527+459.6))+15.64),EXP(INDEX(Antoines,MATCH(O518,Antoine_Name,0),2)-INDEX(Antoines,MATCH(O518,Antoine_Name,0),3)/(O527+459.6))))),0)</f>
        <v>4.68970903600947E-3</v>
      </c>
    </row>
    <row r="535" spans="2:15" ht="17.149999999999999" x14ac:dyDescent="0.55000000000000004">
      <c r="B535" t="str">
        <f t="shared" si="1812"/>
        <v>Portland</v>
      </c>
      <c r="C535" t="s">
        <v>580</v>
      </c>
      <c r="D535">
        <f>D534*D522</f>
        <v>4.739577185808354E-3</v>
      </c>
      <c r="E535">
        <f t="shared" ref="E535" si="1846">E534*E522</f>
        <v>4.8748667780818778E-3</v>
      </c>
      <c r="F535">
        <f t="shared" ref="F535" si="1847">F534*F522</f>
        <v>5.119885034186122E-3</v>
      </c>
      <c r="G535">
        <f t="shared" ref="G535" si="1848">G534*G522</f>
        <v>5.5846958573521795E-3</v>
      </c>
      <c r="H535">
        <f t="shared" ref="H535" si="1849">H534*H522</f>
        <v>6.5274070972739821E-3</v>
      </c>
      <c r="I535">
        <f t="shared" ref="I535" si="1850">I534*I522</f>
        <v>7.4199539958878279E-3</v>
      </c>
      <c r="J535">
        <f t="shared" ref="J535" si="1851">J534*J522</f>
        <v>8.3358107202842254E-3</v>
      </c>
      <c r="K535">
        <f t="shared" ref="K535" si="1852">K534*K522</f>
        <v>8.4605262729351115E-3</v>
      </c>
      <c r="L535">
        <f t="shared" ref="L535" si="1853">L534*L522</f>
        <v>7.8399882233967533E-3</v>
      </c>
      <c r="M535">
        <f t="shared" ref="M535" si="1854">M534*M522</f>
        <v>6.4173462075160911E-3</v>
      </c>
      <c r="N535">
        <f t="shared" ref="N535" si="1855">N534*N522</f>
        <v>5.3015226887581056E-3</v>
      </c>
      <c r="O535">
        <f t="shared" ref="O535" si="1856">O534*O522</f>
        <v>4.68970903600947E-3</v>
      </c>
    </row>
    <row r="536" spans="2:15" ht="17.149999999999999" x14ac:dyDescent="0.55000000000000004">
      <c r="B536" t="str">
        <f t="shared" si="1812"/>
        <v>Portland</v>
      </c>
      <c r="C536" t="s">
        <v>581</v>
      </c>
      <c r="D536" cm="1">
        <f t="array" ref="D536">IFERROR(IF(D521="Chemical",(10^(INDEX(Antoines,MATCH(D520,Antoine_Name,0),2)-INDEX(Antoines,MATCH(D520,Antoine_Name,0),3)/(INDEX(Antoines,MATCH(D520,Antoine_Name,0),4)+(D527-32)*5/9)))*14.7/760,IF(D521="Crude Oil",EXP((2799/(D527+459.6)-2.227)*LOG10(INDEX(FX_Input,Q$5,D$3*$Z$5+$AA$5))-(7261/(D527+459.6))+12.82),IF(D521="Refined Petroleum Stock",EXP((0.7553-(413/(D527+459.6)))*(INDEX(FX_Input,Q$5,D$3*$Z$5+$AA$5-1)^0.5)*LOG10(INDEX(FX_Input,Q$5,D$3*$Z$5+$AA$5))-(1.854-(1042/(D527+459.6)))*(INDEX(FX_Input,Q$5,D$3*$Z$5+$AA$5-1)^0.5)+((2416/(D527+459.6)-2.013)*LOG10(INDEX(FX_Input,Q$5,D$3*$Z$5+$AA$5)))-(8742/(D527+459.6))+15.64),EXP(INDEX(Antoines,MATCH(D520,Antoine_Name,0),2)-INDEX(Antoines,MATCH(D520,Antoine_Name,0),3)/(D527+459.6))))),0)</f>
        <v>0</v>
      </c>
      <c r="E536" cm="1">
        <f t="array" ref="E536">IFERROR(IF(E521="Chemical",(10^(INDEX(Antoines,MATCH(E520,Antoine_Name,0),2)-INDEX(Antoines,MATCH(E520,Antoine_Name,0),3)/(INDEX(Antoines,MATCH(E520,Antoine_Name,0),4)+(E527-32)*5/9)))*14.7/760,IF(E521="Crude Oil",EXP((2799/(E527+459.6)-2.227)*LOG10(INDEX(FX_Input,R$5,E$3*$Z$5+$AA$5))-(7261/(E527+459.6))+12.82),IF(E521="Refined Petroleum Stock",EXP((0.7553-(413/(E527+459.6)))*(INDEX(FX_Input,R$5,E$3*$Z$5+$AA$5-1)^0.5)*LOG10(INDEX(FX_Input,R$5,E$3*$Z$5+$AA$5))-(1.854-(1042/(E527+459.6)))*(INDEX(FX_Input,R$5,E$3*$Z$5+$AA$5-1)^0.5)+((2416/(E527+459.6)-2.013)*LOG10(INDEX(FX_Input,R$5,E$3*$Z$5+$AA$5)))-(8742/(E527+459.6))+15.64),EXP(INDEX(Antoines,MATCH(E520,Antoine_Name,0),2)-INDEX(Antoines,MATCH(E520,Antoine_Name,0),3)/(E527+459.6))))),0)</f>
        <v>0</v>
      </c>
      <c r="F536" cm="1">
        <f t="array" ref="F536">IFERROR(IF(F521="Chemical",(10^(INDEX(Antoines,MATCH(F520,Antoine_Name,0),2)-INDEX(Antoines,MATCH(F520,Antoine_Name,0),3)/(INDEX(Antoines,MATCH(F520,Antoine_Name,0),4)+(F527-32)*5/9)))*14.7/760,IF(F521="Crude Oil",EXP((2799/(F527+459.6)-2.227)*LOG10(INDEX(FX_Input,S$5,F$3*$Z$5+$AA$5))-(7261/(F527+459.6))+12.82),IF(F521="Refined Petroleum Stock",EXP((0.7553-(413/(F527+459.6)))*(INDEX(FX_Input,S$5,F$3*$Z$5+$AA$5-1)^0.5)*LOG10(INDEX(FX_Input,S$5,F$3*$Z$5+$AA$5))-(1.854-(1042/(F527+459.6)))*(INDEX(FX_Input,S$5,F$3*$Z$5+$AA$5-1)^0.5)+((2416/(F527+459.6)-2.013)*LOG10(INDEX(FX_Input,S$5,F$3*$Z$5+$AA$5)))-(8742/(F527+459.6))+15.64),EXP(INDEX(Antoines,MATCH(F520,Antoine_Name,0),2)-INDEX(Antoines,MATCH(F520,Antoine_Name,0),3)/(F527+459.6))))),0)</f>
        <v>0</v>
      </c>
      <c r="G536" cm="1">
        <f t="array" ref="G536">IFERROR(IF(G521="Chemical",(10^(INDEX(Antoines,MATCH(G520,Antoine_Name,0),2)-INDEX(Antoines,MATCH(G520,Antoine_Name,0),3)/(INDEX(Antoines,MATCH(G520,Antoine_Name,0),4)+(G527-32)*5/9)))*14.7/760,IF(G521="Crude Oil",EXP((2799/(G527+459.6)-2.227)*LOG10(INDEX(FX_Input,T$5,G$3*$Z$5+$AA$5))-(7261/(G527+459.6))+12.82),IF(G521="Refined Petroleum Stock",EXP((0.7553-(413/(G527+459.6)))*(INDEX(FX_Input,T$5,G$3*$Z$5+$AA$5-1)^0.5)*LOG10(INDEX(FX_Input,T$5,G$3*$Z$5+$AA$5))-(1.854-(1042/(G527+459.6)))*(INDEX(FX_Input,T$5,G$3*$Z$5+$AA$5-1)^0.5)+((2416/(G527+459.6)-2.013)*LOG10(INDEX(FX_Input,T$5,G$3*$Z$5+$AA$5)))-(8742/(G527+459.6))+15.64),EXP(INDEX(Antoines,MATCH(G520,Antoine_Name,0),2)-INDEX(Antoines,MATCH(G520,Antoine_Name,0),3)/(G527+459.6))))),0)</f>
        <v>0</v>
      </c>
      <c r="H536" cm="1">
        <f t="array" ref="H536">IFERROR(IF(H521="Chemical",(10^(INDEX(Antoines,MATCH(H520,Antoine_Name,0),2)-INDEX(Antoines,MATCH(H520,Antoine_Name,0),3)/(INDEX(Antoines,MATCH(H520,Antoine_Name,0),4)+(H527-32)*5/9)))*14.7/760,IF(H521="Crude Oil",EXP((2799/(H527+459.6)-2.227)*LOG10(INDEX(FX_Input,U$5,H$3*$Z$5+$AA$5))-(7261/(H527+459.6))+12.82),IF(H521="Refined Petroleum Stock",EXP((0.7553-(413/(H527+459.6)))*(INDEX(FX_Input,U$5,H$3*$Z$5+$AA$5-1)^0.5)*LOG10(INDEX(FX_Input,U$5,H$3*$Z$5+$AA$5))-(1.854-(1042/(H527+459.6)))*(INDEX(FX_Input,U$5,H$3*$Z$5+$AA$5-1)^0.5)+((2416/(H527+459.6)-2.013)*LOG10(INDEX(FX_Input,U$5,H$3*$Z$5+$AA$5)))-(8742/(H527+459.6))+15.64),EXP(INDEX(Antoines,MATCH(H520,Antoine_Name,0),2)-INDEX(Antoines,MATCH(H520,Antoine_Name,0),3)/(H527+459.6))))),0)</f>
        <v>0</v>
      </c>
      <c r="I536" cm="1">
        <f t="array" ref="I536">IFERROR(IF(I521="Chemical",(10^(INDEX(Antoines,MATCH(I520,Antoine_Name,0),2)-INDEX(Antoines,MATCH(I520,Antoine_Name,0),3)/(INDEX(Antoines,MATCH(I520,Antoine_Name,0),4)+(I527-32)*5/9)))*14.7/760,IF(I521="Crude Oil",EXP((2799/(I527+459.6)-2.227)*LOG10(INDEX(FX_Input,V$5,I$3*$Z$5+$AA$5))-(7261/(I527+459.6))+12.82),IF(I521="Refined Petroleum Stock",EXP((0.7553-(413/(I527+459.6)))*(INDEX(FX_Input,V$5,I$3*$Z$5+$AA$5-1)^0.5)*LOG10(INDEX(FX_Input,V$5,I$3*$Z$5+$AA$5))-(1.854-(1042/(I527+459.6)))*(INDEX(FX_Input,V$5,I$3*$Z$5+$AA$5-1)^0.5)+((2416/(I527+459.6)-2.013)*LOG10(INDEX(FX_Input,V$5,I$3*$Z$5+$AA$5)))-(8742/(I527+459.6))+15.64),EXP(INDEX(Antoines,MATCH(I520,Antoine_Name,0),2)-INDEX(Antoines,MATCH(I520,Antoine_Name,0),3)/(I527+459.6))))),0)</f>
        <v>0</v>
      </c>
      <c r="J536" cm="1">
        <f t="array" ref="J536">IFERROR(IF(J521="Chemical",(10^(INDEX(Antoines,MATCH(J520,Antoine_Name,0),2)-INDEX(Antoines,MATCH(J520,Antoine_Name,0),3)/(INDEX(Antoines,MATCH(J520,Antoine_Name,0),4)+(J527-32)*5/9)))*14.7/760,IF(J521="Crude Oil",EXP((2799/(J527+459.6)-2.227)*LOG10(INDEX(FX_Input,W$5,J$3*$Z$5+$AA$5))-(7261/(J527+459.6))+12.82),IF(J521="Refined Petroleum Stock",EXP((0.7553-(413/(J527+459.6)))*(INDEX(FX_Input,W$5,J$3*$Z$5+$AA$5-1)^0.5)*LOG10(INDEX(FX_Input,W$5,J$3*$Z$5+$AA$5))-(1.854-(1042/(J527+459.6)))*(INDEX(FX_Input,W$5,J$3*$Z$5+$AA$5-1)^0.5)+((2416/(J527+459.6)-2.013)*LOG10(INDEX(FX_Input,W$5,J$3*$Z$5+$AA$5)))-(8742/(J527+459.6))+15.64),EXP(INDEX(Antoines,MATCH(J520,Antoine_Name,0),2)-INDEX(Antoines,MATCH(J520,Antoine_Name,0),3)/(J527+459.6))))),0)</f>
        <v>0</v>
      </c>
      <c r="K536" cm="1">
        <f t="array" ref="K536">IFERROR(IF(K521="Chemical",(10^(INDEX(Antoines,MATCH(K520,Antoine_Name,0),2)-INDEX(Antoines,MATCH(K520,Antoine_Name,0),3)/(INDEX(Antoines,MATCH(K520,Antoine_Name,0),4)+(K527-32)*5/9)))*14.7/760,IF(K521="Crude Oil",EXP((2799/(K527+459.6)-2.227)*LOG10(INDEX(FX_Input,X$5,K$3*$Z$5+$AA$5))-(7261/(K527+459.6))+12.82),IF(K521="Refined Petroleum Stock",EXP((0.7553-(413/(K527+459.6)))*(INDEX(FX_Input,X$5,K$3*$Z$5+$AA$5-1)^0.5)*LOG10(INDEX(FX_Input,X$5,K$3*$Z$5+$AA$5))-(1.854-(1042/(K527+459.6)))*(INDEX(FX_Input,X$5,K$3*$Z$5+$AA$5-1)^0.5)+((2416/(K527+459.6)-2.013)*LOG10(INDEX(FX_Input,X$5,K$3*$Z$5+$AA$5)))-(8742/(K527+459.6))+15.64),EXP(INDEX(Antoines,MATCH(K520,Antoine_Name,0),2)-INDEX(Antoines,MATCH(K520,Antoine_Name,0),3)/(K527+459.6))))),0)</f>
        <v>0</v>
      </c>
      <c r="L536" cm="1">
        <f t="array" ref="L536">IFERROR(IF(L521="Chemical",(10^(INDEX(Antoines,MATCH(L520,Antoine_Name,0),2)-INDEX(Antoines,MATCH(L520,Antoine_Name,0),3)/(INDEX(Antoines,MATCH(L520,Antoine_Name,0),4)+(L527-32)*5/9)))*14.7/760,IF(L521="Crude Oil",EXP((2799/(L527+459.6)-2.227)*LOG10(INDEX(FX_Input,Y$5,L$3*$Z$5+$AA$5))-(7261/(L527+459.6))+12.82),IF(L521="Refined Petroleum Stock",EXP((0.7553-(413/(L527+459.6)))*(INDEX(FX_Input,Y$5,L$3*$Z$5+$AA$5-1)^0.5)*LOG10(INDEX(FX_Input,Y$5,L$3*$Z$5+$AA$5))-(1.854-(1042/(L527+459.6)))*(INDEX(FX_Input,Y$5,L$3*$Z$5+$AA$5-1)^0.5)+((2416/(L527+459.6)-2.013)*LOG10(INDEX(FX_Input,Y$5,L$3*$Z$5+$AA$5)))-(8742/(L527+459.6))+15.64),EXP(INDEX(Antoines,MATCH(L520,Antoine_Name,0),2)-INDEX(Antoines,MATCH(L520,Antoine_Name,0),3)/(L527+459.6))))),0)</f>
        <v>0</v>
      </c>
      <c r="M536" cm="1">
        <f t="array" ref="M536">IFERROR(IF(M521="Chemical",(10^(INDEX(Antoines,MATCH(M520,Antoine_Name,0),2)-INDEX(Antoines,MATCH(M520,Antoine_Name,0),3)/(INDEX(Antoines,MATCH(M520,Antoine_Name,0),4)+(M527-32)*5/9)))*14.7/760,IF(M521="Crude Oil",EXP((2799/(M527+459.6)-2.227)*LOG10(INDEX(FX_Input,Z$5,M$3*$Z$5+$AA$5))-(7261/(M527+459.6))+12.82),IF(M521="Refined Petroleum Stock",EXP((0.7553-(413/(M527+459.6)))*(INDEX(FX_Input,Z$5,M$3*$Z$5+$AA$5-1)^0.5)*LOG10(INDEX(FX_Input,Z$5,M$3*$Z$5+$AA$5))-(1.854-(1042/(M527+459.6)))*(INDEX(FX_Input,Z$5,M$3*$Z$5+$AA$5-1)^0.5)+((2416/(M527+459.6)-2.013)*LOG10(INDEX(FX_Input,Z$5,M$3*$Z$5+$AA$5)))-(8742/(M527+459.6))+15.64),EXP(INDEX(Antoines,MATCH(M520,Antoine_Name,0),2)-INDEX(Antoines,MATCH(M520,Antoine_Name,0),3)/(M527+459.6))))),0)</f>
        <v>0</v>
      </c>
      <c r="N536" cm="1">
        <f t="array" ref="N536">IFERROR(IF(N521="Chemical",(10^(INDEX(Antoines,MATCH(N520,Antoine_Name,0),2)-INDEX(Antoines,MATCH(N520,Antoine_Name,0),3)/(INDEX(Antoines,MATCH(N520,Antoine_Name,0),4)+(N527-32)*5/9)))*14.7/760,IF(N521="Crude Oil",EXP((2799/(N527+459.6)-2.227)*LOG10(INDEX(FX_Input,AA$5,N$3*$Z$5+$AA$5))-(7261/(N527+459.6))+12.82),IF(N521="Refined Petroleum Stock",EXP((0.7553-(413/(N527+459.6)))*(INDEX(FX_Input,AA$5,N$3*$Z$5+$AA$5-1)^0.5)*LOG10(INDEX(FX_Input,AA$5,N$3*$Z$5+$AA$5))-(1.854-(1042/(N527+459.6)))*(INDEX(FX_Input,AA$5,N$3*$Z$5+$AA$5-1)^0.5)+((2416/(N527+459.6)-2.013)*LOG10(INDEX(FX_Input,AA$5,N$3*$Z$5+$AA$5)))-(8742/(N527+459.6))+15.64),EXP(INDEX(Antoines,MATCH(N520,Antoine_Name,0),2)-INDEX(Antoines,MATCH(N520,Antoine_Name,0),3)/(N527+459.6))))),0)</f>
        <v>0</v>
      </c>
      <c r="O536" cm="1">
        <f t="array" ref="O536">IFERROR(IF(O521="Chemical",(10^(INDEX(Antoines,MATCH(O520,Antoine_Name,0),2)-INDEX(Antoines,MATCH(O520,Antoine_Name,0),3)/(INDEX(Antoines,MATCH(O520,Antoine_Name,0),4)+(O527-32)*5/9)))*14.7/760,IF(O521="Crude Oil",EXP((2799/(O527+459.6)-2.227)*LOG10(INDEX(FX_Input,AB$5,O$3*$Z$5+$AA$5))-(7261/(O527+459.6))+12.82),IF(O521="Refined Petroleum Stock",EXP((0.7553-(413/(O527+459.6)))*(INDEX(FX_Input,AB$5,O$3*$Z$5+$AA$5-1)^0.5)*LOG10(INDEX(FX_Input,AB$5,O$3*$Z$5+$AA$5))-(1.854-(1042/(O527+459.6)))*(INDEX(FX_Input,AB$5,O$3*$Z$5+$AA$5-1)^0.5)+((2416/(O527+459.6)-2.013)*LOG10(INDEX(FX_Input,AB$5,O$3*$Z$5+$AA$5)))-(8742/(O527+459.6))+15.64),EXP(INDEX(Antoines,MATCH(O520,Antoine_Name,0),2)-INDEX(Antoines,MATCH(O520,Antoine_Name,0),3)/(O527+459.6))))),0)</f>
        <v>0</v>
      </c>
    </row>
    <row r="537" spans="2:15" ht="17.149999999999999" x14ac:dyDescent="0.55000000000000004">
      <c r="B537" t="str">
        <f t="shared" si="1812"/>
        <v>Portland</v>
      </c>
      <c r="C537" t="s">
        <v>582</v>
      </c>
      <c r="D537">
        <f>D536*D524</f>
        <v>0</v>
      </c>
      <c r="E537">
        <f t="shared" ref="E537" si="1857">E536*E524</f>
        <v>0</v>
      </c>
      <c r="F537">
        <f t="shared" ref="F537" si="1858">F536*F524</f>
        <v>0</v>
      </c>
      <c r="G537">
        <f t="shared" ref="G537" si="1859">G536*G524</f>
        <v>0</v>
      </c>
      <c r="H537">
        <f t="shared" ref="H537" si="1860">H536*H524</f>
        <v>0</v>
      </c>
      <c r="I537">
        <f t="shared" ref="I537" si="1861">I536*I524</f>
        <v>0</v>
      </c>
      <c r="J537">
        <f t="shared" ref="J537" si="1862">J536*J524</f>
        <v>0</v>
      </c>
      <c r="K537">
        <f t="shared" ref="K537" si="1863">K536*K524</f>
        <v>0</v>
      </c>
      <c r="L537">
        <f t="shared" ref="L537" si="1864">L536*L524</f>
        <v>0</v>
      </c>
      <c r="M537">
        <f t="shared" ref="M537" si="1865">M536*M524</f>
        <v>0</v>
      </c>
      <c r="N537">
        <f t="shared" ref="N537" si="1866">N536*N524</f>
        <v>0</v>
      </c>
      <c r="O537">
        <f t="shared" ref="O537" si="1867">O536*O524</f>
        <v>0</v>
      </c>
    </row>
    <row r="538" spans="2:15" ht="17.149999999999999" x14ac:dyDescent="0.55000000000000004">
      <c r="B538" t="str">
        <f t="shared" si="1812"/>
        <v>Portland</v>
      </c>
      <c r="C538" t="s">
        <v>583</v>
      </c>
      <c r="D538">
        <f>D535+D537</f>
        <v>4.739577185808354E-3</v>
      </c>
      <c r="E538">
        <f t="shared" ref="E538" si="1868">E535+E537</f>
        <v>4.8748667780818778E-3</v>
      </c>
      <c r="F538">
        <f t="shared" ref="F538" si="1869">F535+F537</f>
        <v>5.119885034186122E-3</v>
      </c>
      <c r="G538">
        <f t="shared" ref="G538" si="1870">G535+G537</f>
        <v>5.5846958573521795E-3</v>
      </c>
      <c r="H538">
        <f t="shared" ref="H538" si="1871">H535+H537</f>
        <v>6.5274070972739821E-3</v>
      </c>
      <c r="I538">
        <f t="shared" ref="I538" si="1872">I535+I537</f>
        <v>7.4199539958878279E-3</v>
      </c>
      <c r="J538">
        <f t="shared" ref="J538" si="1873">J535+J537</f>
        <v>8.3358107202842254E-3</v>
      </c>
      <c r="K538">
        <f t="shared" ref="K538" si="1874">K535+K537</f>
        <v>8.4605262729351115E-3</v>
      </c>
      <c r="L538">
        <f t="shared" ref="L538" si="1875">L535+L537</f>
        <v>7.8399882233967533E-3</v>
      </c>
      <c r="M538">
        <f t="shared" ref="M538" si="1876">M535+M537</f>
        <v>6.4173462075160911E-3</v>
      </c>
      <c r="N538">
        <f t="shared" ref="N538" si="1877">N535+N537</f>
        <v>5.3015226887581056E-3</v>
      </c>
      <c r="O538">
        <f t="shared" ref="O538" si="1878">O535+O537</f>
        <v>4.68970903600947E-3</v>
      </c>
    </row>
    <row r="539" spans="2:15" ht="17.149999999999999" x14ac:dyDescent="0.55000000000000004">
      <c r="B539" t="str">
        <f t="shared" si="1812"/>
        <v>Portland</v>
      </c>
      <c r="C539" t="s">
        <v>1388</v>
      </c>
      <c r="D539" cm="1">
        <f t="array" ref="D539">IFERROR(IF(D519="Chemical",(10^(INDEX(Antoines,MATCH(D518,Antoine_Name,0),2)-INDEX(Antoines,MATCH(D518,Antoine_Name,0),3)/(INDEX(Antoines,MATCH(D518,Antoine_Name,0),4)+(D528-32)*5/9)))*14.7/760,IF(D519="Crude Oil",EXP((2799/(D528+459.6)-2.227)*LOG10(INDEX(FX_Input,Q$5,D$3*$Z$5+$AA$5))-(7261/(D528+459.6))+12.82),IF(D519="Refined Petroleum Stock",EXP((0.7553-(413/(D528+459.6)))*(INDEX(FX_Input,Q$5,D$3*$Z$5+$AA$5-1)^0.5)*LOG10(INDEX(FX_Input,Q$5,D$3*$Z$5+$AA$5))-(1.854-(1042/(D528+459.6)))*(INDEX(FX_Input,Q$5,D$3*$Z$5+$AA$5-1)^0.5)+((2416/(D528+459.6)-2.013)*LOG10(INDEX(FX_Input,Q$5,D$3*$Z$5+$AA$5)))-(8742/(D528+459.6))+15.64),EXP(INDEX(Antoines,MATCH(D518,Antoine_Name,0),2)-INDEX(Antoines,MATCH(D518,Antoine_Name,0),3)/(D528+459.6))))),0)</f>
        <v>4.739577185808354E-3</v>
      </c>
      <c r="E539" cm="1">
        <f t="array" ref="E539">IFERROR(IF(E519="Chemical",(10^(INDEX(Antoines,MATCH(E518,Antoine_Name,0),2)-INDEX(Antoines,MATCH(E518,Antoine_Name,0),3)/(INDEX(Antoines,MATCH(E518,Antoine_Name,0),4)+(E528-32)*5/9)))*14.7/760,IF(E519="Crude Oil",EXP((2799/(E528+459.6)-2.227)*LOG10(INDEX(FX_Input,R$5,E$3*$Z$5+$AA$5))-(7261/(E528+459.6))+12.82),IF(E519="Refined Petroleum Stock",EXP((0.7553-(413/(E528+459.6)))*(INDEX(FX_Input,R$5,E$3*$Z$5+$AA$5-1)^0.5)*LOG10(INDEX(FX_Input,R$5,E$3*$Z$5+$AA$5))-(1.854-(1042/(E528+459.6)))*(INDEX(FX_Input,R$5,E$3*$Z$5+$AA$5-1)^0.5)+((2416/(E528+459.6)-2.013)*LOG10(INDEX(FX_Input,R$5,E$3*$Z$5+$AA$5)))-(8742/(E528+459.6))+15.64),EXP(INDEX(Antoines,MATCH(E518,Antoine_Name,0),2)-INDEX(Antoines,MATCH(E518,Antoine_Name,0),3)/(E528+459.6))))),0)</f>
        <v>4.8748667780818778E-3</v>
      </c>
      <c r="F539" cm="1">
        <f t="array" ref="F539">IFERROR(IF(F519="Chemical",(10^(INDEX(Antoines,MATCH(F518,Antoine_Name,0),2)-INDEX(Antoines,MATCH(F518,Antoine_Name,0),3)/(INDEX(Antoines,MATCH(F518,Antoine_Name,0),4)+(F528-32)*5/9)))*14.7/760,IF(F519="Crude Oil",EXP((2799/(F528+459.6)-2.227)*LOG10(INDEX(FX_Input,S$5,F$3*$Z$5+$AA$5))-(7261/(F528+459.6))+12.82),IF(F519="Refined Petroleum Stock",EXP((0.7553-(413/(F528+459.6)))*(INDEX(FX_Input,S$5,F$3*$Z$5+$AA$5-1)^0.5)*LOG10(INDEX(FX_Input,S$5,F$3*$Z$5+$AA$5))-(1.854-(1042/(F528+459.6)))*(INDEX(FX_Input,S$5,F$3*$Z$5+$AA$5-1)^0.5)+((2416/(F528+459.6)-2.013)*LOG10(INDEX(FX_Input,S$5,F$3*$Z$5+$AA$5)))-(8742/(F528+459.6))+15.64),EXP(INDEX(Antoines,MATCH(F518,Antoine_Name,0),2)-INDEX(Antoines,MATCH(F518,Antoine_Name,0),3)/(F528+459.6))))),0)</f>
        <v>5.119885034186122E-3</v>
      </c>
      <c r="G539" cm="1">
        <f t="array" ref="G539">IFERROR(IF(G519="Chemical",(10^(INDEX(Antoines,MATCH(G518,Antoine_Name,0),2)-INDEX(Antoines,MATCH(G518,Antoine_Name,0),3)/(INDEX(Antoines,MATCH(G518,Antoine_Name,0),4)+(G528-32)*5/9)))*14.7/760,IF(G519="Crude Oil",EXP((2799/(G528+459.6)-2.227)*LOG10(INDEX(FX_Input,T$5,G$3*$Z$5+$AA$5))-(7261/(G528+459.6))+12.82),IF(G519="Refined Petroleum Stock",EXP((0.7553-(413/(G528+459.6)))*(INDEX(FX_Input,T$5,G$3*$Z$5+$AA$5-1)^0.5)*LOG10(INDEX(FX_Input,T$5,G$3*$Z$5+$AA$5))-(1.854-(1042/(G528+459.6)))*(INDEX(FX_Input,T$5,G$3*$Z$5+$AA$5-1)^0.5)+((2416/(G528+459.6)-2.013)*LOG10(INDEX(FX_Input,T$5,G$3*$Z$5+$AA$5)))-(8742/(G528+459.6))+15.64),EXP(INDEX(Antoines,MATCH(G518,Antoine_Name,0),2)-INDEX(Antoines,MATCH(G518,Antoine_Name,0),3)/(G528+459.6))))),0)</f>
        <v>5.5846958573521795E-3</v>
      </c>
      <c r="H539" cm="1">
        <f t="array" ref="H539">IFERROR(IF(H519="Chemical",(10^(INDEX(Antoines,MATCH(H518,Antoine_Name,0),2)-INDEX(Antoines,MATCH(H518,Antoine_Name,0),3)/(INDEX(Antoines,MATCH(H518,Antoine_Name,0),4)+(H528-32)*5/9)))*14.7/760,IF(H519="Crude Oil",EXP((2799/(H528+459.6)-2.227)*LOG10(INDEX(FX_Input,U$5,H$3*$Z$5+$AA$5))-(7261/(H528+459.6))+12.82),IF(H519="Refined Petroleum Stock",EXP((0.7553-(413/(H528+459.6)))*(INDEX(FX_Input,U$5,H$3*$Z$5+$AA$5-1)^0.5)*LOG10(INDEX(FX_Input,U$5,H$3*$Z$5+$AA$5))-(1.854-(1042/(H528+459.6)))*(INDEX(FX_Input,U$5,H$3*$Z$5+$AA$5-1)^0.5)+((2416/(H528+459.6)-2.013)*LOG10(INDEX(FX_Input,U$5,H$3*$Z$5+$AA$5)))-(8742/(H528+459.6))+15.64),EXP(INDEX(Antoines,MATCH(H518,Antoine_Name,0),2)-INDEX(Antoines,MATCH(H518,Antoine_Name,0),3)/(H528+459.6))))),0)</f>
        <v>6.5274070972739821E-3</v>
      </c>
      <c r="I539" cm="1">
        <f t="array" ref="I539">IFERROR(IF(I519="Chemical",(10^(INDEX(Antoines,MATCH(I518,Antoine_Name,0),2)-INDEX(Antoines,MATCH(I518,Antoine_Name,0),3)/(INDEX(Antoines,MATCH(I518,Antoine_Name,0),4)+(I528-32)*5/9)))*14.7/760,IF(I519="Crude Oil",EXP((2799/(I528+459.6)-2.227)*LOG10(INDEX(FX_Input,V$5,I$3*$Z$5+$AA$5))-(7261/(I528+459.6))+12.82),IF(I519="Refined Petroleum Stock",EXP((0.7553-(413/(I528+459.6)))*(INDEX(FX_Input,V$5,I$3*$Z$5+$AA$5-1)^0.5)*LOG10(INDEX(FX_Input,V$5,I$3*$Z$5+$AA$5))-(1.854-(1042/(I528+459.6)))*(INDEX(FX_Input,V$5,I$3*$Z$5+$AA$5-1)^0.5)+((2416/(I528+459.6)-2.013)*LOG10(INDEX(FX_Input,V$5,I$3*$Z$5+$AA$5)))-(8742/(I528+459.6))+15.64),EXP(INDEX(Antoines,MATCH(I518,Antoine_Name,0),2)-INDEX(Antoines,MATCH(I518,Antoine_Name,0),3)/(I528+459.6))))),0)</f>
        <v>7.4199539958878279E-3</v>
      </c>
      <c r="J539" cm="1">
        <f t="array" ref="J539">IFERROR(IF(J519="Chemical",(10^(INDEX(Antoines,MATCH(J518,Antoine_Name,0),2)-INDEX(Antoines,MATCH(J518,Antoine_Name,0),3)/(INDEX(Antoines,MATCH(J518,Antoine_Name,0),4)+(J528-32)*5/9)))*14.7/760,IF(J519="Crude Oil",EXP((2799/(J528+459.6)-2.227)*LOG10(INDEX(FX_Input,W$5,J$3*$Z$5+$AA$5))-(7261/(J528+459.6))+12.82),IF(J519="Refined Petroleum Stock",EXP((0.7553-(413/(J528+459.6)))*(INDEX(FX_Input,W$5,J$3*$Z$5+$AA$5-1)^0.5)*LOG10(INDEX(FX_Input,W$5,J$3*$Z$5+$AA$5))-(1.854-(1042/(J528+459.6)))*(INDEX(FX_Input,W$5,J$3*$Z$5+$AA$5-1)^0.5)+((2416/(J528+459.6)-2.013)*LOG10(INDEX(FX_Input,W$5,J$3*$Z$5+$AA$5)))-(8742/(J528+459.6))+15.64),EXP(INDEX(Antoines,MATCH(J518,Antoine_Name,0),2)-INDEX(Antoines,MATCH(J518,Antoine_Name,0),3)/(J528+459.6))))),0)</f>
        <v>8.3358107202842254E-3</v>
      </c>
      <c r="K539" cm="1">
        <f t="array" ref="K539">IFERROR(IF(K519="Chemical",(10^(INDEX(Antoines,MATCH(K518,Antoine_Name,0),2)-INDEX(Antoines,MATCH(K518,Antoine_Name,0),3)/(INDEX(Antoines,MATCH(K518,Antoine_Name,0),4)+(K528-32)*5/9)))*14.7/760,IF(K519="Crude Oil",EXP((2799/(K528+459.6)-2.227)*LOG10(INDEX(FX_Input,X$5,K$3*$Z$5+$AA$5))-(7261/(K528+459.6))+12.82),IF(K519="Refined Petroleum Stock",EXP((0.7553-(413/(K528+459.6)))*(INDEX(FX_Input,X$5,K$3*$Z$5+$AA$5-1)^0.5)*LOG10(INDEX(FX_Input,X$5,K$3*$Z$5+$AA$5))-(1.854-(1042/(K528+459.6)))*(INDEX(FX_Input,X$5,K$3*$Z$5+$AA$5-1)^0.5)+((2416/(K528+459.6)-2.013)*LOG10(INDEX(FX_Input,X$5,K$3*$Z$5+$AA$5)))-(8742/(K528+459.6))+15.64),EXP(INDEX(Antoines,MATCH(K518,Antoine_Name,0),2)-INDEX(Antoines,MATCH(K518,Antoine_Name,0),3)/(K528+459.6))))),0)</f>
        <v>8.4605262729351115E-3</v>
      </c>
      <c r="L539" cm="1">
        <f t="array" ref="L539">IFERROR(IF(L519="Chemical",(10^(INDEX(Antoines,MATCH(L518,Antoine_Name,0),2)-INDEX(Antoines,MATCH(L518,Antoine_Name,0),3)/(INDEX(Antoines,MATCH(L518,Antoine_Name,0),4)+(L528-32)*5/9)))*14.7/760,IF(L519="Crude Oil",EXP((2799/(L528+459.6)-2.227)*LOG10(INDEX(FX_Input,Y$5,L$3*$Z$5+$AA$5))-(7261/(L528+459.6))+12.82),IF(L519="Refined Petroleum Stock",EXP((0.7553-(413/(L528+459.6)))*(INDEX(FX_Input,Y$5,L$3*$Z$5+$AA$5-1)^0.5)*LOG10(INDEX(FX_Input,Y$5,L$3*$Z$5+$AA$5))-(1.854-(1042/(L528+459.6)))*(INDEX(FX_Input,Y$5,L$3*$Z$5+$AA$5-1)^0.5)+((2416/(L528+459.6)-2.013)*LOG10(INDEX(FX_Input,Y$5,L$3*$Z$5+$AA$5)))-(8742/(L528+459.6))+15.64),EXP(INDEX(Antoines,MATCH(L518,Antoine_Name,0),2)-INDEX(Antoines,MATCH(L518,Antoine_Name,0),3)/(L528+459.6))))),0)</f>
        <v>7.8399882233967533E-3</v>
      </c>
      <c r="M539" cm="1">
        <f t="array" ref="M539">IFERROR(IF(M519="Chemical",(10^(INDEX(Antoines,MATCH(M518,Antoine_Name,0),2)-INDEX(Antoines,MATCH(M518,Antoine_Name,0),3)/(INDEX(Antoines,MATCH(M518,Antoine_Name,0),4)+(M528-32)*5/9)))*14.7/760,IF(M519="Crude Oil",EXP((2799/(M528+459.6)-2.227)*LOG10(INDEX(FX_Input,Z$5,M$3*$Z$5+$AA$5))-(7261/(M528+459.6))+12.82),IF(M519="Refined Petroleum Stock",EXP((0.7553-(413/(M528+459.6)))*(INDEX(FX_Input,Z$5,M$3*$Z$5+$AA$5-1)^0.5)*LOG10(INDEX(FX_Input,Z$5,M$3*$Z$5+$AA$5))-(1.854-(1042/(M528+459.6)))*(INDEX(FX_Input,Z$5,M$3*$Z$5+$AA$5-1)^0.5)+((2416/(M528+459.6)-2.013)*LOG10(INDEX(FX_Input,Z$5,M$3*$Z$5+$AA$5)))-(8742/(M528+459.6))+15.64),EXP(INDEX(Antoines,MATCH(M518,Antoine_Name,0),2)-INDEX(Antoines,MATCH(M518,Antoine_Name,0),3)/(M528+459.6))))),0)</f>
        <v>6.4173462075160911E-3</v>
      </c>
      <c r="N539" cm="1">
        <f t="array" ref="N539">IFERROR(IF(N519="Chemical",(10^(INDEX(Antoines,MATCH(N518,Antoine_Name,0),2)-INDEX(Antoines,MATCH(N518,Antoine_Name,0),3)/(INDEX(Antoines,MATCH(N518,Antoine_Name,0),4)+(N528-32)*5/9)))*14.7/760,IF(N519="Crude Oil",EXP((2799/(N528+459.6)-2.227)*LOG10(INDEX(FX_Input,AA$5,N$3*$Z$5+$AA$5))-(7261/(N528+459.6))+12.82),IF(N519="Refined Petroleum Stock",EXP((0.7553-(413/(N528+459.6)))*(INDEX(FX_Input,AA$5,N$3*$Z$5+$AA$5-1)^0.5)*LOG10(INDEX(FX_Input,AA$5,N$3*$Z$5+$AA$5))-(1.854-(1042/(N528+459.6)))*(INDEX(FX_Input,AA$5,N$3*$Z$5+$AA$5-1)^0.5)+((2416/(N528+459.6)-2.013)*LOG10(INDEX(FX_Input,AA$5,N$3*$Z$5+$AA$5)))-(8742/(N528+459.6))+15.64),EXP(INDEX(Antoines,MATCH(N518,Antoine_Name,0),2)-INDEX(Antoines,MATCH(N518,Antoine_Name,0),3)/(N528+459.6))))),0)</f>
        <v>5.3015226887581056E-3</v>
      </c>
      <c r="O539" cm="1">
        <f t="array" ref="O539">IFERROR(IF(O519="Chemical",(10^(INDEX(Antoines,MATCH(O518,Antoine_Name,0),2)-INDEX(Antoines,MATCH(O518,Antoine_Name,0),3)/(INDEX(Antoines,MATCH(O518,Antoine_Name,0),4)+(O528-32)*5/9)))*14.7/760,IF(O519="Crude Oil",EXP((2799/(O528+459.6)-2.227)*LOG10(INDEX(FX_Input,AB$5,O$3*$Z$5+$AA$5))-(7261/(O528+459.6))+12.82),IF(O519="Refined Petroleum Stock",EXP((0.7553-(413/(O528+459.6)))*(INDEX(FX_Input,AB$5,O$3*$Z$5+$AA$5-1)^0.5)*LOG10(INDEX(FX_Input,AB$5,O$3*$Z$5+$AA$5))-(1.854-(1042/(O528+459.6)))*(INDEX(FX_Input,AB$5,O$3*$Z$5+$AA$5-1)^0.5)+((2416/(O528+459.6)-2.013)*LOG10(INDEX(FX_Input,AB$5,O$3*$Z$5+$AA$5)))-(8742/(O528+459.6))+15.64),EXP(INDEX(Antoines,MATCH(O518,Antoine_Name,0),2)-INDEX(Antoines,MATCH(O518,Antoine_Name,0),3)/(O528+459.6))))),0)</f>
        <v>4.68970903600947E-3</v>
      </c>
    </row>
    <row r="540" spans="2:15" ht="17.149999999999999" x14ac:dyDescent="0.55000000000000004">
      <c r="B540" t="str">
        <f t="shared" si="1812"/>
        <v>Portland</v>
      </c>
      <c r="C540" t="s">
        <v>1389</v>
      </c>
      <c r="D540">
        <f>D539*D522</f>
        <v>4.739577185808354E-3</v>
      </c>
      <c r="E540">
        <f t="shared" ref="E540" si="1879">E539*E522</f>
        <v>4.8748667780818778E-3</v>
      </c>
      <c r="F540">
        <f t="shared" ref="F540" si="1880">F539*F522</f>
        <v>5.119885034186122E-3</v>
      </c>
      <c r="G540">
        <f t="shared" ref="G540" si="1881">G539*G522</f>
        <v>5.5846958573521795E-3</v>
      </c>
      <c r="H540">
        <f t="shared" ref="H540" si="1882">H539*H522</f>
        <v>6.5274070972739821E-3</v>
      </c>
      <c r="I540">
        <f t="shared" ref="I540" si="1883">I539*I522</f>
        <v>7.4199539958878279E-3</v>
      </c>
      <c r="J540">
        <f t="shared" ref="J540" si="1884">J539*J522</f>
        <v>8.3358107202842254E-3</v>
      </c>
      <c r="K540">
        <f t="shared" ref="K540" si="1885">K539*K522</f>
        <v>8.4605262729351115E-3</v>
      </c>
      <c r="L540">
        <f t="shared" ref="L540" si="1886">L539*L522</f>
        <v>7.8399882233967533E-3</v>
      </c>
      <c r="M540">
        <f t="shared" ref="M540" si="1887">M539*M522</f>
        <v>6.4173462075160911E-3</v>
      </c>
      <c r="N540">
        <f t="shared" ref="N540" si="1888">N539*N522</f>
        <v>5.3015226887581056E-3</v>
      </c>
      <c r="O540">
        <f t="shared" ref="O540" si="1889">O539*O522</f>
        <v>4.68970903600947E-3</v>
      </c>
    </row>
    <row r="541" spans="2:15" ht="17.149999999999999" x14ac:dyDescent="0.55000000000000004">
      <c r="B541" t="str">
        <f t="shared" si="1812"/>
        <v>Portland</v>
      </c>
      <c r="C541" t="s">
        <v>1390</v>
      </c>
      <c r="D541" cm="1">
        <f t="array" ref="D541">IFERROR(IF(D521="Chemical",(10^(INDEX(Antoines,MATCH(D520,Antoine_Name,0),2)-INDEX(Antoines,MATCH(D520,Antoine_Name,0),3)/(INDEX(Antoines,MATCH(D520,Antoine_Name,0),4)+(D528-32)*5/9)))*14.7/760,IF(D521="Crude Oil",EXP((2799/(D528+459.6)-2.227)*LOG10(INDEX(FX_Input,Q$5,D$3*$Z$5+$AA$5))-(7261/(D528+459.6))+12.82),IF(D521="Refined Petroleum Stock",EXP((0.7553-(413/(D528+459.6)))*(INDEX(FX_Input,Q$5,D$3*$Z$5+$AA$5-1)^0.5)*LOG10(INDEX(FX_Input,Q$5,D$3*$Z$5+$AA$5))-(1.854-(1042/(D528+459.6)))*(INDEX(FX_Input,Q$5,D$3*$Z$5+$AA$5-1)^0.5)+((2416/(D528+459.6)-2.013)*LOG10(INDEX(FX_Input,Q$5,D$3*$Z$5+$AA$5)))-(8742/(D528+459.6))+15.64),EXP(INDEX(Antoines,MATCH(D520,Antoine_Name,0),2)-INDEX(Antoines,MATCH(D520,Antoine_Name,0),3)/(D528+459.6))))),0)</f>
        <v>0</v>
      </c>
      <c r="E541" cm="1">
        <f t="array" ref="E541">IFERROR(IF(E521="Chemical",(10^(INDEX(Antoines,MATCH(E520,Antoine_Name,0),2)-INDEX(Antoines,MATCH(E520,Antoine_Name,0),3)/(INDEX(Antoines,MATCH(E520,Antoine_Name,0),4)+(E528-32)*5/9)))*14.7/760,IF(E521="Crude Oil",EXP((2799/(E528+459.6)-2.227)*LOG10(INDEX(FX_Input,R$5,E$3*$Z$5+$AA$5))-(7261/(E528+459.6))+12.82),IF(E521="Refined Petroleum Stock",EXP((0.7553-(413/(E528+459.6)))*(INDEX(FX_Input,R$5,E$3*$Z$5+$AA$5-1)^0.5)*LOG10(INDEX(FX_Input,R$5,E$3*$Z$5+$AA$5))-(1.854-(1042/(E528+459.6)))*(INDEX(FX_Input,R$5,E$3*$Z$5+$AA$5-1)^0.5)+((2416/(E528+459.6)-2.013)*LOG10(INDEX(FX_Input,R$5,E$3*$Z$5+$AA$5)))-(8742/(E528+459.6))+15.64),EXP(INDEX(Antoines,MATCH(E520,Antoine_Name,0),2)-INDEX(Antoines,MATCH(E520,Antoine_Name,0),3)/(E528+459.6))))),0)</f>
        <v>0</v>
      </c>
      <c r="F541" cm="1">
        <f t="array" ref="F541">IFERROR(IF(F521="Chemical",(10^(INDEX(Antoines,MATCH(F520,Antoine_Name,0),2)-INDEX(Antoines,MATCH(F520,Antoine_Name,0),3)/(INDEX(Antoines,MATCH(F520,Antoine_Name,0),4)+(F528-32)*5/9)))*14.7/760,IF(F521="Crude Oil",EXP((2799/(F528+459.6)-2.227)*LOG10(INDEX(FX_Input,S$5,F$3*$Z$5+$AA$5))-(7261/(F528+459.6))+12.82),IF(F521="Refined Petroleum Stock",EXP((0.7553-(413/(F528+459.6)))*(INDEX(FX_Input,S$5,F$3*$Z$5+$AA$5-1)^0.5)*LOG10(INDEX(FX_Input,S$5,F$3*$Z$5+$AA$5))-(1.854-(1042/(F528+459.6)))*(INDEX(FX_Input,S$5,F$3*$Z$5+$AA$5-1)^0.5)+((2416/(F528+459.6)-2.013)*LOG10(INDEX(FX_Input,S$5,F$3*$Z$5+$AA$5)))-(8742/(F528+459.6))+15.64),EXP(INDEX(Antoines,MATCH(F520,Antoine_Name,0),2)-INDEX(Antoines,MATCH(F520,Antoine_Name,0),3)/(F528+459.6))))),0)</f>
        <v>0</v>
      </c>
      <c r="G541" cm="1">
        <f t="array" ref="G541">IFERROR(IF(G521="Chemical",(10^(INDEX(Antoines,MATCH(G520,Antoine_Name,0),2)-INDEX(Antoines,MATCH(G520,Antoine_Name,0),3)/(INDEX(Antoines,MATCH(G520,Antoine_Name,0),4)+(G528-32)*5/9)))*14.7/760,IF(G521="Crude Oil",EXP((2799/(G528+459.6)-2.227)*LOG10(INDEX(FX_Input,T$5,G$3*$Z$5+$AA$5))-(7261/(G528+459.6))+12.82),IF(G521="Refined Petroleum Stock",EXP((0.7553-(413/(G528+459.6)))*(INDEX(FX_Input,T$5,G$3*$Z$5+$AA$5-1)^0.5)*LOG10(INDEX(FX_Input,T$5,G$3*$Z$5+$AA$5))-(1.854-(1042/(G528+459.6)))*(INDEX(FX_Input,T$5,G$3*$Z$5+$AA$5-1)^0.5)+((2416/(G528+459.6)-2.013)*LOG10(INDEX(FX_Input,T$5,G$3*$Z$5+$AA$5)))-(8742/(G528+459.6))+15.64),EXP(INDEX(Antoines,MATCH(G520,Antoine_Name,0),2)-INDEX(Antoines,MATCH(G520,Antoine_Name,0),3)/(G528+459.6))))),0)</f>
        <v>0</v>
      </c>
      <c r="H541" cm="1">
        <f t="array" ref="H541">IFERROR(IF(H521="Chemical",(10^(INDEX(Antoines,MATCH(H520,Antoine_Name,0),2)-INDEX(Antoines,MATCH(H520,Antoine_Name,0),3)/(INDEX(Antoines,MATCH(H520,Antoine_Name,0),4)+(H528-32)*5/9)))*14.7/760,IF(H521="Crude Oil",EXP((2799/(H528+459.6)-2.227)*LOG10(INDEX(FX_Input,U$5,H$3*$Z$5+$AA$5))-(7261/(H528+459.6))+12.82),IF(H521="Refined Petroleum Stock",EXP((0.7553-(413/(H528+459.6)))*(INDEX(FX_Input,U$5,H$3*$Z$5+$AA$5-1)^0.5)*LOG10(INDEX(FX_Input,U$5,H$3*$Z$5+$AA$5))-(1.854-(1042/(H528+459.6)))*(INDEX(FX_Input,U$5,H$3*$Z$5+$AA$5-1)^0.5)+((2416/(H528+459.6)-2.013)*LOG10(INDEX(FX_Input,U$5,H$3*$Z$5+$AA$5)))-(8742/(H528+459.6))+15.64),EXP(INDEX(Antoines,MATCH(H520,Antoine_Name,0),2)-INDEX(Antoines,MATCH(H520,Antoine_Name,0),3)/(H528+459.6))))),0)</f>
        <v>0</v>
      </c>
      <c r="I541" cm="1">
        <f t="array" ref="I541">IFERROR(IF(I521="Chemical",(10^(INDEX(Antoines,MATCH(I520,Antoine_Name,0),2)-INDEX(Antoines,MATCH(I520,Antoine_Name,0),3)/(INDEX(Antoines,MATCH(I520,Antoine_Name,0),4)+(I528-32)*5/9)))*14.7/760,IF(I521="Crude Oil",EXP((2799/(I528+459.6)-2.227)*LOG10(INDEX(FX_Input,V$5,I$3*$Z$5+$AA$5))-(7261/(I528+459.6))+12.82),IF(I521="Refined Petroleum Stock",EXP((0.7553-(413/(I528+459.6)))*(INDEX(FX_Input,V$5,I$3*$Z$5+$AA$5-1)^0.5)*LOG10(INDEX(FX_Input,V$5,I$3*$Z$5+$AA$5))-(1.854-(1042/(I528+459.6)))*(INDEX(FX_Input,V$5,I$3*$Z$5+$AA$5-1)^0.5)+((2416/(I528+459.6)-2.013)*LOG10(INDEX(FX_Input,V$5,I$3*$Z$5+$AA$5)))-(8742/(I528+459.6))+15.64),EXP(INDEX(Antoines,MATCH(I520,Antoine_Name,0),2)-INDEX(Antoines,MATCH(I520,Antoine_Name,0),3)/(I528+459.6))))),0)</f>
        <v>0</v>
      </c>
      <c r="J541" cm="1">
        <f t="array" ref="J541">IFERROR(IF(J521="Chemical",(10^(INDEX(Antoines,MATCH(J520,Antoine_Name,0),2)-INDEX(Antoines,MATCH(J520,Antoine_Name,0),3)/(INDEX(Antoines,MATCH(J520,Antoine_Name,0),4)+(J528-32)*5/9)))*14.7/760,IF(J521="Crude Oil",EXP((2799/(J528+459.6)-2.227)*LOG10(INDEX(FX_Input,W$5,J$3*$Z$5+$AA$5))-(7261/(J528+459.6))+12.82),IF(J521="Refined Petroleum Stock",EXP((0.7553-(413/(J528+459.6)))*(INDEX(FX_Input,W$5,J$3*$Z$5+$AA$5-1)^0.5)*LOG10(INDEX(FX_Input,W$5,J$3*$Z$5+$AA$5))-(1.854-(1042/(J528+459.6)))*(INDEX(FX_Input,W$5,J$3*$Z$5+$AA$5-1)^0.5)+((2416/(J528+459.6)-2.013)*LOG10(INDEX(FX_Input,W$5,J$3*$Z$5+$AA$5)))-(8742/(J528+459.6))+15.64),EXP(INDEX(Antoines,MATCH(J520,Antoine_Name,0),2)-INDEX(Antoines,MATCH(J520,Antoine_Name,0),3)/(J528+459.6))))),0)</f>
        <v>0</v>
      </c>
      <c r="K541" cm="1">
        <f t="array" ref="K541">IFERROR(IF(K521="Chemical",(10^(INDEX(Antoines,MATCH(K520,Antoine_Name,0),2)-INDEX(Antoines,MATCH(K520,Antoine_Name,0),3)/(INDEX(Antoines,MATCH(K520,Antoine_Name,0),4)+(K528-32)*5/9)))*14.7/760,IF(K521="Crude Oil",EXP((2799/(K528+459.6)-2.227)*LOG10(INDEX(FX_Input,X$5,K$3*$Z$5+$AA$5))-(7261/(K528+459.6))+12.82),IF(K521="Refined Petroleum Stock",EXP((0.7553-(413/(K528+459.6)))*(INDEX(FX_Input,X$5,K$3*$Z$5+$AA$5-1)^0.5)*LOG10(INDEX(FX_Input,X$5,K$3*$Z$5+$AA$5))-(1.854-(1042/(K528+459.6)))*(INDEX(FX_Input,X$5,K$3*$Z$5+$AA$5-1)^0.5)+((2416/(K528+459.6)-2.013)*LOG10(INDEX(FX_Input,X$5,K$3*$Z$5+$AA$5)))-(8742/(K528+459.6))+15.64),EXP(INDEX(Antoines,MATCH(K520,Antoine_Name,0),2)-INDEX(Antoines,MATCH(K520,Antoine_Name,0),3)/(K528+459.6))))),0)</f>
        <v>0</v>
      </c>
      <c r="L541" cm="1">
        <f t="array" ref="L541">IFERROR(IF(L521="Chemical",(10^(INDEX(Antoines,MATCH(L520,Antoine_Name,0),2)-INDEX(Antoines,MATCH(L520,Antoine_Name,0),3)/(INDEX(Antoines,MATCH(L520,Antoine_Name,0),4)+(L528-32)*5/9)))*14.7/760,IF(L521="Crude Oil",EXP((2799/(L528+459.6)-2.227)*LOG10(INDEX(FX_Input,Y$5,L$3*$Z$5+$AA$5))-(7261/(L528+459.6))+12.82),IF(L521="Refined Petroleum Stock",EXP((0.7553-(413/(L528+459.6)))*(INDEX(FX_Input,Y$5,L$3*$Z$5+$AA$5-1)^0.5)*LOG10(INDEX(FX_Input,Y$5,L$3*$Z$5+$AA$5))-(1.854-(1042/(L528+459.6)))*(INDEX(FX_Input,Y$5,L$3*$Z$5+$AA$5-1)^0.5)+((2416/(L528+459.6)-2.013)*LOG10(INDEX(FX_Input,Y$5,L$3*$Z$5+$AA$5)))-(8742/(L528+459.6))+15.64),EXP(INDEX(Antoines,MATCH(L520,Antoine_Name,0),2)-INDEX(Antoines,MATCH(L520,Antoine_Name,0),3)/(L528+459.6))))),0)</f>
        <v>0</v>
      </c>
      <c r="M541" cm="1">
        <f t="array" ref="M541">IFERROR(IF(M521="Chemical",(10^(INDEX(Antoines,MATCH(M520,Antoine_Name,0),2)-INDEX(Antoines,MATCH(M520,Antoine_Name,0),3)/(INDEX(Antoines,MATCH(M520,Antoine_Name,0),4)+(M528-32)*5/9)))*14.7/760,IF(M521="Crude Oil",EXP((2799/(M528+459.6)-2.227)*LOG10(INDEX(FX_Input,Z$5,M$3*$Z$5+$AA$5))-(7261/(M528+459.6))+12.82),IF(M521="Refined Petroleum Stock",EXP((0.7553-(413/(M528+459.6)))*(INDEX(FX_Input,Z$5,M$3*$Z$5+$AA$5-1)^0.5)*LOG10(INDEX(FX_Input,Z$5,M$3*$Z$5+$AA$5))-(1.854-(1042/(M528+459.6)))*(INDEX(FX_Input,Z$5,M$3*$Z$5+$AA$5-1)^0.5)+((2416/(M528+459.6)-2.013)*LOG10(INDEX(FX_Input,Z$5,M$3*$Z$5+$AA$5)))-(8742/(M528+459.6))+15.64),EXP(INDEX(Antoines,MATCH(M520,Antoine_Name,0),2)-INDEX(Antoines,MATCH(M520,Antoine_Name,0),3)/(M528+459.6))))),0)</f>
        <v>0</v>
      </c>
      <c r="N541" cm="1">
        <f t="array" ref="N541">IFERROR(IF(N521="Chemical",(10^(INDEX(Antoines,MATCH(N520,Antoine_Name,0),2)-INDEX(Antoines,MATCH(N520,Antoine_Name,0),3)/(INDEX(Antoines,MATCH(N520,Antoine_Name,0),4)+(N528-32)*5/9)))*14.7/760,IF(N521="Crude Oil",EXP((2799/(N528+459.6)-2.227)*LOG10(INDEX(FX_Input,AA$5,N$3*$Z$5+$AA$5))-(7261/(N528+459.6))+12.82),IF(N521="Refined Petroleum Stock",EXP((0.7553-(413/(N528+459.6)))*(INDEX(FX_Input,AA$5,N$3*$Z$5+$AA$5-1)^0.5)*LOG10(INDEX(FX_Input,AA$5,N$3*$Z$5+$AA$5))-(1.854-(1042/(N528+459.6)))*(INDEX(FX_Input,AA$5,N$3*$Z$5+$AA$5-1)^0.5)+((2416/(N528+459.6)-2.013)*LOG10(INDEX(FX_Input,AA$5,N$3*$Z$5+$AA$5)))-(8742/(N528+459.6))+15.64),EXP(INDEX(Antoines,MATCH(N520,Antoine_Name,0),2)-INDEX(Antoines,MATCH(N520,Antoine_Name,0),3)/(N528+459.6))))),0)</f>
        <v>0</v>
      </c>
      <c r="O541" cm="1">
        <f t="array" ref="O541">IFERROR(IF(O521="Chemical",(10^(INDEX(Antoines,MATCH(O520,Antoine_Name,0),2)-INDEX(Antoines,MATCH(O520,Antoine_Name,0),3)/(INDEX(Antoines,MATCH(O520,Antoine_Name,0),4)+(O528-32)*5/9)))*14.7/760,IF(O521="Crude Oil",EXP((2799/(O528+459.6)-2.227)*LOG10(INDEX(FX_Input,AB$5,O$3*$Z$5+$AA$5))-(7261/(O528+459.6))+12.82),IF(O521="Refined Petroleum Stock",EXP((0.7553-(413/(O528+459.6)))*(INDEX(FX_Input,AB$5,O$3*$Z$5+$AA$5-1)^0.5)*LOG10(INDEX(FX_Input,AB$5,O$3*$Z$5+$AA$5))-(1.854-(1042/(O528+459.6)))*(INDEX(FX_Input,AB$5,O$3*$Z$5+$AA$5-1)^0.5)+((2416/(O528+459.6)-2.013)*LOG10(INDEX(FX_Input,AB$5,O$3*$Z$5+$AA$5)))-(8742/(O528+459.6))+15.64),EXP(INDEX(Antoines,MATCH(O520,Antoine_Name,0),2)-INDEX(Antoines,MATCH(O520,Antoine_Name,0),3)/(O528+459.6))))),0)</f>
        <v>0</v>
      </c>
    </row>
    <row r="542" spans="2:15" ht="17.149999999999999" x14ac:dyDescent="0.55000000000000004">
      <c r="B542" t="str">
        <f t="shared" si="1812"/>
        <v>Portland</v>
      </c>
      <c r="C542" t="s">
        <v>1391</v>
      </c>
      <c r="D542">
        <f>D541*D524</f>
        <v>0</v>
      </c>
      <c r="E542">
        <f t="shared" ref="E542" si="1890">E541*E524</f>
        <v>0</v>
      </c>
      <c r="F542">
        <f t="shared" ref="F542" si="1891">F541*F524</f>
        <v>0</v>
      </c>
      <c r="G542">
        <f t="shared" ref="G542" si="1892">G541*G524</f>
        <v>0</v>
      </c>
      <c r="H542">
        <f t="shared" ref="H542" si="1893">H541*H524</f>
        <v>0</v>
      </c>
      <c r="I542">
        <f t="shared" ref="I542" si="1894">I541*I524</f>
        <v>0</v>
      </c>
      <c r="J542">
        <f t="shared" ref="J542" si="1895">J541*J524</f>
        <v>0</v>
      </c>
      <c r="K542">
        <f t="shared" ref="K542" si="1896">K541*K524</f>
        <v>0</v>
      </c>
      <c r="L542">
        <f t="shared" ref="L542" si="1897">L541*L524</f>
        <v>0</v>
      </c>
      <c r="M542">
        <f t="shared" ref="M542" si="1898">M541*M524</f>
        <v>0</v>
      </c>
      <c r="N542">
        <f t="shared" ref="N542" si="1899">N541*N524</f>
        <v>0</v>
      </c>
      <c r="O542">
        <f t="shared" ref="O542" si="1900">O541*O524</f>
        <v>0</v>
      </c>
    </row>
    <row r="543" spans="2:15" ht="17.149999999999999" x14ac:dyDescent="0.55000000000000004">
      <c r="B543" t="str">
        <f t="shared" si="1812"/>
        <v>Portland</v>
      </c>
      <c r="C543" t="s">
        <v>1392</v>
      </c>
      <c r="D543">
        <f>D540+D542</f>
        <v>4.739577185808354E-3</v>
      </c>
      <c r="E543">
        <f t="shared" ref="E543" si="1901">E540+E542</f>
        <v>4.8748667780818778E-3</v>
      </c>
      <c r="F543">
        <f t="shared" ref="F543" si="1902">F540+F542</f>
        <v>5.119885034186122E-3</v>
      </c>
      <c r="G543">
        <f t="shared" ref="G543" si="1903">G540+G542</f>
        <v>5.5846958573521795E-3</v>
      </c>
      <c r="H543">
        <f t="shared" ref="H543" si="1904">H540+H542</f>
        <v>6.5274070972739821E-3</v>
      </c>
      <c r="I543">
        <f t="shared" ref="I543" si="1905">I540+I542</f>
        <v>7.4199539958878279E-3</v>
      </c>
      <c r="J543">
        <f t="shared" ref="J543" si="1906">J540+J542</f>
        <v>8.3358107202842254E-3</v>
      </c>
      <c r="K543">
        <f t="shared" ref="K543" si="1907">K540+K542</f>
        <v>8.4605262729351115E-3</v>
      </c>
      <c r="L543">
        <f t="shared" ref="L543" si="1908">L540+L542</f>
        <v>7.8399882233967533E-3</v>
      </c>
      <c r="M543">
        <f t="shared" ref="M543" si="1909">M540+M542</f>
        <v>6.4173462075160911E-3</v>
      </c>
      <c r="N543">
        <f t="shared" ref="N543" si="1910">N540+N542</f>
        <v>5.3015226887581056E-3</v>
      </c>
      <c r="O543">
        <f t="shared" ref="O543" si="1911">O540+O542</f>
        <v>4.68970903600947E-3</v>
      </c>
    </row>
    <row r="544" spans="2:15" ht="17.149999999999999" x14ac:dyDescent="0.55000000000000004">
      <c r="B544" t="str">
        <f>B538</f>
        <v>Portland</v>
      </c>
      <c r="C544" t="s">
        <v>584</v>
      </c>
      <c r="D544">
        <f>D540/D543</f>
        <v>1</v>
      </c>
      <c r="E544">
        <f t="shared" ref="E544" si="1912">E540/E543</f>
        <v>1</v>
      </c>
      <c r="F544">
        <f t="shared" ref="F544" si="1913">F540/F543</f>
        <v>1</v>
      </c>
      <c r="G544">
        <f t="shared" ref="G544" si="1914">G540/G543</f>
        <v>1</v>
      </c>
      <c r="H544">
        <f t="shared" ref="H544" si="1915">H540/H543</f>
        <v>1</v>
      </c>
      <c r="I544">
        <f t="shared" ref="I544" si="1916">I540/I543</f>
        <v>1</v>
      </c>
      <c r="J544">
        <f t="shared" ref="J544" si="1917">J540/J543</f>
        <v>1</v>
      </c>
      <c r="K544">
        <f t="shared" ref="K544" si="1918">K540/K543</f>
        <v>1</v>
      </c>
      <c r="L544">
        <f t="shared" ref="L544" si="1919">L540/L543</f>
        <v>1</v>
      </c>
      <c r="M544">
        <f t="shared" ref="M544" si="1920">M540/M543</f>
        <v>1</v>
      </c>
      <c r="N544">
        <f t="shared" ref="N544" si="1921">N540/N543</f>
        <v>1</v>
      </c>
      <c r="O544">
        <f t="shared" ref="O544" si="1922">O540/O543</f>
        <v>1</v>
      </c>
    </row>
    <row r="545" spans="1:32" ht="17.149999999999999" x14ac:dyDescent="0.55000000000000004">
      <c r="B545" t="str">
        <f>B539</f>
        <v>Portland</v>
      </c>
      <c r="C545" t="s">
        <v>585</v>
      </c>
      <c r="D545">
        <f t="shared" ref="D545:O545" si="1923">INDEX(Phys_Prop,MATCH(D518,Chem_List,0),3)</f>
        <v>130</v>
      </c>
      <c r="E545">
        <f t="shared" si="1923"/>
        <v>130</v>
      </c>
      <c r="F545">
        <f t="shared" si="1923"/>
        <v>130</v>
      </c>
      <c r="G545">
        <f t="shared" si="1923"/>
        <v>130</v>
      </c>
      <c r="H545">
        <f t="shared" si="1923"/>
        <v>130</v>
      </c>
      <c r="I545">
        <f t="shared" si="1923"/>
        <v>130</v>
      </c>
      <c r="J545">
        <f t="shared" si="1923"/>
        <v>130</v>
      </c>
      <c r="K545">
        <f t="shared" si="1923"/>
        <v>130</v>
      </c>
      <c r="L545">
        <f t="shared" si="1923"/>
        <v>130</v>
      </c>
      <c r="M545">
        <f t="shared" si="1923"/>
        <v>130</v>
      </c>
      <c r="N545">
        <f t="shared" si="1923"/>
        <v>130</v>
      </c>
      <c r="O545">
        <f t="shared" si="1923"/>
        <v>130</v>
      </c>
    </row>
    <row r="546" spans="1:32" ht="17.149999999999999" x14ac:dyDescent="0.55000000000000004">
      <c r="B546" t="str">
        <f>B545</f>
        <v>Portland</v>
      </c>
      <c r="C546" t="s">
        <v>586</v>
      </c>
      <c r="D546">
        <f>D542/D543</f>
        <v>0</v>
      </c>
      <c r="E546">
        <f t="shared" ref="E546:O546" si="1924">E542/E543</f>
        <v>0</v>
      </c>
      <c r="F546">
        <f t="shared" si="1924"/>
        <v>0</v>
      </c>
      <c r="G546">
        <f t="shared" si="1924"/>
        <v>0</v>
      </c>
      <c r="H546">
        <f t="shared" si="1924"/>
        <v>0</v>
      </c>
      <c r="I546">
        <f t="shared" si="1924"/>
        <v>0</v>
      </c>
      <c r="J546">
        <f t="shared" si="1924"/>
        <v>0</v>
      </c>
      <c r="K546">
        <f t="shared" si="1924"/>
        <v>0</v>
      </c>
      <c r="L546">
        <f t="shared" si="1924"/>
        <v>0</v>
      </c>
      <c r="M546">
        <f t="shared" si="1924"/>
        <v>0</v>
      </c>
      <c r="N546">
        <f t="shared" si="1924"/>
        <v>0</v>
      </c>
      <c r="O546">
        <f t="shared" si="1924"/>
        <v>0</v>
      </c>
    </row>
    <row r="547" spans="1:32" ht="17.149999999999999" x14ac:dyDescent="0.55000000000000004">
      <c r="B547" t="str">
        <f t="shared" si="1812"/>
        <v>Portland</v>
      </c>
      <c r="C547" t="s">
        <v>587</v>
      </c>
      <c r="D547">
        <f t="shared" ref="D547:O547" si="1925">IFERROR(INDEX(Phys_Prop,MATCH(D520,Chem_List,0),3),0)</f>
        <v>0</v>
      </c>
      <c r="E547">
        <f t="shared" si="1925"/>
        <v>0</v>
      </c>
      <c r="F547">
        <f t="shared" si="1925"/>
        <v>0</v>
      </c>
      <c r="G547">
        <f t="shared" si="1925"/>
        <v>0</v>
      </c>
      <c r="H547">
        <f t="shared" si="1925"/>
        <v>0</v>
      </c>
      <c r="I547">
        <f t="shared" si="1925"/>
        <v>0</v>
      </c>
      <c r="J547">
        <f t="shared" si="1925"/>
        <v>0</v>
      </c>
      <c r="K547">
        <f t="shared" si="1925"/>
        <v>0</v>
      </c>
      <c r="L547">
        <f t="shared" si="1925"/>
        <v>0</v>
      </c>
      <c r="M547">
        <f t="shared" si="1925"/>
        <v>0</v>
      </c>
      <c r="N547">
        <f t="shared" si="1925"/>
        <v>0</v>
      </c>
      <c r="O547">
        <f t="shared" si="1925"/>
        <v>0</v>
      </c>
    </row>
    <row r="548" spans="1:32" ht="17.149999999999999" x14ac:dyDescent="0.55000000000000004">
      <c r="A548" s="11"/>
      <c r="B548" s="11" t="str">
        <f t="shared" si="1812"/>
        <v>Portland</v>
      </c>
      <c r="C548" s="11" t="s">
        <v>588</v>
      </c>
      <c r="D548" s="11">
        <f>IFERROR(D544*D545+D546*D547,0)</f>
        <v>130</v>
      </c>
      <c r="E548" s="11">
        <f t="shared" ref="E548" si="1926">IFERROR(E544*E545+E546*E547,0)</f>
        <v>130</v>
      </c>
      <c r="F548" s="11">
        <f t="shared" ref="F548" si="1927">IFERROR(F544*F545+F546*F547,0)</f>
        <v>130</v>
      </c>
      <c r="G548" s="11">
        <f t="shared" ref="G548" si="1928">IFERROR(G544*G545+G546*G547,0)</f>
        <v>130</v>
      </c>
      <c r="H548" s="11">
        <f t="shared" ref="H548" si="1929">IFERROR(H544*H545+H546*H547,0)</f>
        <v>130</v>
      </c>
      <c r="I548" s="11">
        <f t="shared" ref="I548" si="1930">IFERROR(I544*I545+I546*I547,0)</f>
        <v>130</v>
      </c>
      <c r="J548" s="11">
        <f t="shared" ref="J548" si="1931">IFERROR(J544*J545+J546*J547,0)</f>
        <v>130</v>
      </c>
      <c r="K548" s="11">
        <f t="shared" ref="K548" si="1932">IFERROR(K544*K545+K546*K547,0)</f>
        <v>130</v>
      </c>
      <c r="L548" s="11">
        <f t="shared" ref="L548" si="1933">IFERROR(L544*L545+L546*L547,0)</f>
        <v>130</v>
      </c>
      <c r="M548" s="11">
        <f t="shared" ref="M548" si="1934">IFERROR(M544*M545+M546*M547,0)</f>
        <v>130</v>
      </c>
      <c r="N548" s="11">
        <f t="shared" ref="N548" si="1935">IFERROR(N544*N545+N546*N547,0)</f>
        <v>130</v>
      </c>
      <c r="O548" s="11">
        <f t="shared" ref="O548" si="1936">IFERROR(O544*O545+O546*O547,0)</f>
        <v>130</v>
      </c>
      <c r="P548" s="11"/>
      <c r="Q548" s="11"/>
      <c r="R548" s="11"/>
      <c r="S548" s="11"/>
      <c r="T548" s="11"/>
      <c r="U548" s="11"/>
      <c r="V548" s="11"/>
      <c r="W548" s="11"/>
      <c r="X548" s="11"/>
      <c r="Y548" s="11"/>
      <c r="Z548" s="11"/>
      <c r="AA548" s="11"/>
      <c r="AB548" s="11"/>
      <c r="AC548" s="11"/>
      <c r="AD548" s="11"/>
      <c r="AE548" s="11"/>
      <c r="AF548" s="11"/>
    </row>
    <row r="549" spans="1:32" ht="17.149999999999999" x14ac:dyDescent="0.55000000000000004">
      <c r="A549" t="str" cm="1">
        <f t="array" ref="A549">INDEX(FX_Input,$Q549,R$5)</f>
        <v>FX - 17</v>
      </c>
      <c r="B549" t="str" cm="1">
        <f t="array" ref="B549">INDEX(FX_Input,Q549,S549)</f>
        <v>Portland</v>
      </c>
      <c r="C549" t="s">
        <v>563</v>
      </c>
      <c r="D549">
        <v>14.7</v>
      </c>
      <c r="E549">
        <v>14.7</v>
      </c>
      <c r="F549">
        <v>14.7</v>
      </c>
      <c r="G549">
        <v>14.7</v>
      </c>
      <c r="H549">
        <v>14.7</v>
      </c>
      <c r="I549">
        <v>14.7</v>
      </c>
      <c r="J549">
        <v>14.7</v>
      </c>
      <c r="K549">
        <v>14.7</v>
      </c>
      <c r="L549">
        <v>14.7</v>
      </c>
      <c r="M549">
        <v>14.7</v>
      </c>
      <c r="N549">
        <v>14.7</v>
      </c>
      <c r="O549">
        <v>14.7</v>
      </c>
      <c r="Q549">
        <f>Q515+2</f>
        <v>33</v>
      </c>
      <c r="R549">
        <v>1</v>
      </c>
      <c r="S549">
        <v>3</v>
      </c>
      <c r="T549">
        <v>1</v>
      </c>
      <c r="U549">
        <v>19</v>
      </c>
      <c r="V549">
        <v>20</v>
      </c>
      <c r="W549">
        <v>25</v>
      </c>
      <c r="X549">
        <v>1</v>
      </c>
      <c r="Y549">
        <v>2</v>
      </c>
      <c r="Z549">
        <f>(W549-V549)/(Y549-X549)</f>
        <v>5</v>
      </c>
      <c r="AA549">
        <f>V549-Z549*X549</f>
        <v>15</v>
      </c>
      <c r="AD549">
        <f>AD515+14</f>
        <v>225</v>
      </c>
      <c r="AF549">
        <f>AF515+14</f>
        <v>225</v>
      </c>
    </row>
    <row r="550" spans="1:32" ht="17.149999999999999" x14ac:dyDescent="0.55000000000000004">
      <c r="B550" t="str">
        <f t="shared" ref="B550" si="1937">B549</f>
        <v>Portland</v>
      </c>
      <c r="C550" t="s">
        <v>564</v>
      </c>
      <c r="D550" cm="1">
        <f t="array" ref="D550">IF(ISBLANK(INDEX(FX_Input,$Q549,$AB550)),0.03,INDEX(FX_Input,Q549,AB550))</f>
        <v>0.03</v>
      </c>
      <c r="E550" cm="1">
        <f t="array" ref="E550">IF(ISBLANK(INDEX(FX_Input,$Q549,$AB550)),0.03,INDEX(FX_Input,R549,#REF!))</f>
        <v>0.03</v>
      </c>
      <c r="F550" cm="1">
        <f t="array" ref="F550">IF(ISBLANK(INDEX(FX_Input,$Q549,$AB550)),0.03,INDEX(FX_Input,S549,#REF!))</f>
        <v>0.03</v>
      </c>
      <c r="G550" cm="1">
        <f t="array" ref="G550">IF(ISBLANK(INDEX(FX_Input,$Q549,$AB550)),0.03,INDEX(FX_Input,AB549,#REF!))</f>
        <v>0.03</v>
      </c>
      <c r="H550" cm="1">
        <f t="array" ref="H550">IF(ISBLANK(INDEX(FX_Input,$Q549,$AB550)),0.03,INDEX(FX_Input,#REF!,#REF!))</f>
        <v>0.03</v>
      </c>
      <c r="I550" cm="1">
        <f t="array" ref="I550">IF(ISBLANK(INDEX(FX_Input,$Q549,$AB550)),0.03,INDEX(FX_Input,#REF!,#REF!))</f>
        <v>0.03</v>
      </c>
      <c r="J550" cm="1">
        <f t="array" ref="J550">IF(ISBLANK(INDEX(FX_Input,$Q549,$AB550)),0.03,INDEX(FX_Input,#REF!,#REF!))</f>
        <v>0.03</v>
      </c>
      <c r="K550" cm="1">
        <f t="array" ref="K550">IF(ISBLANK(INDEX(FX_Input,$Q549,$AB550)),0.03,INDEX(FX_Input,#REF!,AC550))</f>
        <v>0.03</v>
      </c>
      <c r="L550" cm="1">
        <f t="array" ref="L550">IF(ISBLANK(INDEX(FX_Input,$Q549,$AB550)),0.03,INDEX(FX_Input,#REF!,AD550))</f>
        <v>0.03</v>
      </c>
      <c r="M550" cm="1">
        <f t="array" ref="M550">IF(ISBLANK(INDEX(FX_Input,$Q549,$AB550)),0.03,INDEX(FX_Input,#REF!,#REF!))</f>
        <v>0.03</v>
      </c>
      <c r="N550" cm="1">
        <f t="array" ref="N550">IF(ISBLANK(INDEX(FX_Input,$Q549,$AB550)),0.03,INDEX(FX_Input,AC549,#REF!))</f>
        <v>0.03</v>
      </c>
      <c r="O550" cm="1">
        <f t="array" ref="O550">IF(ISBLANK(INDEX(FX_Input,$Q549,$AB550)),0.03,INDEX(FX_Input,AD549,#REF!))</f>
        <v>0.03</v>
      </c>
      <c r="AB550">
        <v>15</v>
      </c>
    </row>
    <row r="551" spans="1:32" ht="17.149999999999999" x14ac:dyDescent="0.55000000000000004">
      <c r="B551" t="str">
        <f>B550</f>
        <v>Portland</v>
      </c>
      <c r="C551" t="s">
        <v>565</v>
      </c>
      <c r="D551" cm="1">
        <f t="array" ref="D551">IF(ISBLANK(INDEX(FX_Input,$Q549,$AB551)),-0.03,INDEX(FX_Input,$Q549,$AB551))</f>
        <v>-0.03</v>
      </c>
      <c r="E551" cm="1">
        <f t="array" ref="E551">IF(ISBLANK(INDEX(FX_Input,$Q549,$AB551)),-0.03,INDEX(FX_Input,R549,#REF!))</f>
        <v>-0.03</v>
      </c>
      <c r="F551" cm="1">
        <f t="array" ref="F551">IF(ISBLANK(INDEX(FX_Input,$Q549,$AB551)),-0.03,INDEX(FX_Input,S549,#REF!))</f>
        <v>-0.03</v>
      </c>
      <c r="G551" cm="1">
        <f t="array" ref="G551">IF(ISBLANK(INDEX(FX_Input,$Q549,$AB551)),-0.03,INDEX(FX_Input,AB549,#REF!))</f>
        <v>-0.03</v>
      </c>
      <c r="H551" cm="1">
        <f t="array" ref="H551">IF(ISBLANK(INDEX(FX_Input,$Q549,$AB551)),-0.03,INDEX(FX_Input,#REF!,#REF!))</f>
        <v>-0.03</v>
      </c>
      <c r="I551" cm="1">
        <f t="array" ref="I551">IF(ISBLANK(INDEX(FX_Input,$Q549,$AB551)),-0.03,INDEX(FX_Input,#REF!,#REF!))</f>
        <v>-0.03</v>
      </c>
      <c r="J551" cm="1">
        <f t="array" ref="J551">IF(ISBLANK(INDEX(FX_Input,$Q549,$AB551)),-0.03,INDEX(FX_Input,#REF!,#REF!))</f>
        <v>-0.03</v>
      </c>
      <c r="K551" cm="1">
        <f t="array" ref="K551">IF(ISBLANK(INDEX(FX_Input,$Q549,$AB551)),-0.03,INDEX(FX_Input,#REF!,AC551))</f>
        <v>-0.03</v>
      </c>
      <c r="L551" cm="1">
        <f t="array" ref="L551">IF(ISBLANK(INDEX(FX_Input,$Q549,$AB551)),-0.03,INDEX(FX_Input,#REF!,AD551))</f>
        <v>-0.03</v>
      </c>
      <c r="M551" cm="1">
        <f t="array" ref="M551">IF(ISBLANK(INDEX(FX_Input,$Q549,$AB551)),-0.03,INDEX(FX_Input,#REF!,#REF!))</f>
        <v>-0.03</v>
      </c>
      <c r="N551" cm="1">
        <f t="array" ref="N551">IF(ISBLANK(INDEX(FX_Input,$Q549,$AB551)),-0.03,INDEX(FX_Input,AC549,#REF!))</f>
        <v>-0.03</v>
      </c>
      <c r="O551" cm="1">
        <f t="array" ref="O551">IF(ISBLANK(INDEX(FX_Input,$Q549,$AB551)),-0.03,INDEX(FX_Input,AD549,#REF!))</f>
        <v>-0.03</v>
      </c>
      <c r="AB551">
        <v>16</v>
      </c>
    </row>
    <row r="552" spans="1:32" x14ac:dyDescent="0.4">
      <c r="B552" t="str">
        <f t="shared" ref="B552:B553" si="1938">B551</f>
        <v>Portland</v>
      </c>
      <c r="C552" s="66" t="s">
        <v>567</v>
      </c>
      <c r="D552" t="str" cm="1">
        <f t="array" ref="D552">INDEX(FX_Multi,$AD552,D$3)</f>
        <v>Jet kerosene</v>
      </c>
      <c r="E552" t="str" cm="1">
        <f t="array" ref="E552">INDEX(FX_Multi,$AD552,E$3)</f>
        <v>Jet kerosene</v>
      </c>
      <c r="F552" t="str" cm="1">
        <f t="array" ref="F552">INDEX(FX_Multi,$AD552,F$3)</f>
        <v>Jet kerosene</v>
      </c>
      <c r="G552" t="str" cm="1">
        <f t="array" ref="G552">INDEX(FX_Multi,$AD552,G$3)</f>
        <v>Jet kerosene</v>
      </c>
      <c r="H552" t="str" cm="1">
        <f t="array" ref="H552">INDEX(FX_Multi,$AD552,H$3)</f>
        <v>Jet kerosene</v>
      </c>
      <c r="I552" t="str" cm="1">
        <f t="array" ref="I552">INDEX(FX_Multi,$AD552,I$3)</f>
        <v>Jet kerosene</v>
      </c>
      <c r="J552" t="str" cm="1">
        <f t="array" ref="J552">INDEX(FX_Multi,$AD552,J$3)</f>
        <v>Jet kerosene</v>
      </c>
      <c r="K552" t="str" cm="1">
        <f t="array" ref="K552">INDEX(FX_Multi,$AD552,K$3)</f>
        <v>Jet kerosene</v>
      </c>
      <c r="L552" t="str" cm="1">
        <f t="array" ref="L552">INDEX(FX_Multi,$AD552,L$3)</f>
        <v>Jet kerosene</v>
      </c>
      <c r="M552" t="str" cm="1">
        <f t="array" ref="M552">INDEX(FX_Multi,$AD552,M$3)</f>
        <v>Jet kerosene</v>
      </c>
      <c r="N552" t="str" cm="1">
        <f t="array" ref="N552">INDEX(FX_Multi,$AD552,N$3)</f>
        <v>Jet kerosene</v>
      </c>
      <c r="O552" t="str" cm="1">
        <f t="array" ref="O552">INDEX(FX_Multi,$AD552,O$3)</f>
        <v>Jet kerosene</v>
      </c>
      <c r="AC552">
        <v>1</v>
      </c>
      <c r="AD552">
        <f>AD549</f>
        <v>225</v>
      </c>
      <c r="AE552">
        <v>1</v>
      </c>
      <c r="AF552">
        <f>AF549</f>
        <v>225</v>
      </c>
    </row>
    <row r="553" spans="1:32" x14ac:dyDescent="0.4">
      <c r="B553" t="str">
        <f t="shared" si="1938"/>
        <v>Portland</v>
      </c>
      <c r="C553" s="66" t="s">
        <v>566</v>
      </c>
      <c r="D553" t="str" cm="1">
        <f t="array" ref="D553">INDEX(FX_Multi,$AD553,D$3)</f>
        <v>Select Pet Stock</v>
      </c>
      <c r="E553" t="str" cm="1">
        <f t="array" ref="E553">INDEX(FX_Multi,$AD553,E$3)</f>
        <v>Select Pet Stock</v>
      </c>
      <c r="F553" t="str" cm="1">
        <f t="array" ref="F553">INDEX(FX_Multi,$AD553,F$3)</f>
        <v>Select Pet Stock</v>
      </c>
      <c r="G553" t="str" cm="1">
        <f t="array" ref="G553">INDEX(FX_Multi,$AD553,G$3)</f>
        <v>Select Pet Stock</v>
      </c>
      <c r="H553" t="str" cm="1">
        <f t="array" ref="H553">INDEX(FX_Multi,$AD553,H$3)</f>
        <v>Select Pet Stock</v>
      </c>
      <c r="I553" t="str" cm="1">
        <f t="array" ref="I553">INDEX(FX_Multi,$AD553,I$3)</f>
        <v>Select Pet Stock</v>
      </c>
      <c r="J553" t="str" cm="1">
        <f t="array" ref="J553">INDEX(FX_Multi,$AD553,J$3)</f>
        <v>Select Pet Stock</v>
      </c>
      <c r="K553" t="str" cm="1">
        <f t="array" ref="K553">INDEX(FX_Multi,$AD553,K$3)</f>
        <v>Select Pet Stock</v>
      </c>
      <c r="L553" t="str" cm="1">
        <f t="array" ref="L553">INDEX(FX_Multi,$AD553,L$3)</f>
        <v>Select Pet Stock</v>
      </c>
      <c r="M553" t="str" cm="1">
        <f t="array" ref="M553">INDEX(FX_Multi,$AD553,M$3)</f>
        <v>Select Pet Stock</v>
      </c>
      <c r="N553" t="str" cm="1">
        <f t="array" ref="N553">INDEX(FX_Multi,$AD553,N$3)</f>
        <v>Select Pet Stock</v>
      </c>
      <c r="O553" t="str" cm="1">
        <f t="array" ref="O553">INDEX(FX_Multi,$AD553,O$3)</f>
        <v>Select Pet Stock</v>
      </c>
      <c r="AC553">
        <v>1</v>
      </c>
      <c r="AD553">
        <f>AD552+2</f>
        <v>227</v>
      </c>
      <c r="AE553">
        <v>1</v>
      </c>
      <c r="AF553">
        <f>AF552+3</f>
        <v>228</v>
      </c>
    </row>
    <row r="554" spans="1:32" x14ac:dyDescent="0.4">
      <c r="B554" t="str">
        <f>B550</f>
        <v>Portland</v>
      </c>
      <c r="C554" s="66" t="s">
        <v>568</v>
      </c>
      <c r="D554" cm="1">
        <f t="array" ref="D554">INDEX(FX_Multi,$AD554,D$3)</f>
        <v>0</v>
      </c>
      <c r="E554" cm="1">
        <f t="array" ref="E554">INDEX(FX_Multi,$AD554,E$3)</f>
        <v>0</v>
      </c>
      <c r="F554" cm="1">
        <f t="array" ref="F554">INDEX(FX_Multi,$AD554,F$3)</f>
        <v>0</v>
      </c>
      <c r="G554" cm="1">
        <f t="array" ref="G554">INDEX(FX_Multi,$AD554,G$3)</f>
        <v>0</v>
      </c>
      <c r="H554" cm="1">
        <f t="array" ref="H554">INDEX(FX_Multi,$AD554,H$3)</f>
        <v>0</v>
      </c>
      <c r="I554" cm="1">
        <f t="array" ref="I554">INDEX(FX_Multi,$AD554,I$3)</f>
        <v>0</v>
      </c>
      <c r="J554" cm="1">
        <f t="array" ref="J554">INDEX(FX_Multi,$AD554,J$3)</f>
        <v>0</v>
      </c>
      <c r="K554" cm="1">
        <f t="array" ref="K554">INDEX(FX_Multi,$AD554,K$3)</f>
        <v>0</v>
      </c>
      <c r="L554" cm="1">
        <f t="array" ref="L554">INDEX(FX_Multi,$AD554,L$3)</f>
        <v>0</v>
      </c>
      <c r="M554" cm="1">
        <f t="array" ref="M554">INDEX(FX_Multi,$AD554,M$3)</f>
        <v>0</v>
      </c>
      <c r="N554" cm="1">
        <f t="array" ref="N554">INDEX(FX_Multi,$AD554,N$3)</f>
        <v>0</v>
      </c>
      <c r="O554" cm="1">
        <f t="array" ref="O554">INDEX(FX_Multi,$AD554,O$3)</f>
        <v>0</v>
      </c>
      <c r="AC554">
        <v>1</v>
      </c>
      <c r="AD554">
        <f>AD553-1</f>
        <v>226</v>
      </c>
      <c r="AE554">
        <v>1</v>
      </c>
      <c r="AF554">
        <f>AF552+1</f>
        <v>226</v>
      </c>
    </row>
    <row r="555" spans="1:32" x14ac:dyDescent="0.4">
      <c r="B555" t="str">
        <f t="shared" ref="B555:B559" si="1939">B554</f>
        <v>Portland</v>
      </c>
      <c r="C555" s="66" t="s">
        <v>569</v>
      </c>
      <c r="D555" cm="1">
        <f t="array" ref="D555">INDEX(FX_Multi,$AD555,D$3)</f>
        <v>0</v>
      </c>
      <c r="E555" cm="1">
        <f t="array" ref="E555">INDEX(FX_Multi,$AD555,E$3)</f>
        <v>0</v>
      </c>
      <c r="F555" cm="1">
        <f t="array" ref="F555">INDEX(FX_Multi,$AD555,F$3)</f>
        <v>0</v>
      </c>
      <c r="G555" cm="1">
        <f t="array" ref="G555">INDEX(FX_Multi,$AD555,G$3)</f>
        <v>0</v>
      </c>
      <c r="H555" cm="1">
        <f t="array" ref="H555">INDEX(FX_Multi,$AD555,H$3)</f>
        <v>0</v>
      </c>
      <c r="I555" cm="1">
        <f t="array" ref="I555">INDEX(FX_Multi,$AD555,I$3)</f>
        <v>0</v>
      </c>
      <c r="J555" cm="1">
        <f t="array" ref="J555">INDEX(FX_Multi,$AD555,J$3)</f>
        <v>0</v>
      </c>
      <c r="K555" cm="1">
        <f t="array" ref="K555">INDEX(FX_Multi,$AD555,K$3)</f>
        <v>0</v>
      </c>
      <c r="L555" cm="1">
        <f t="array" ref="L555">INDEX(FX_Multi,$AD555,L$3)</f>
        <v>0</v>
      </c>
      <c r="M555" cm="1">
        <f t="array" ref="M555">INDEX(FX_Multi,$AD555,M$3)</f>
        <v>0</v>
      </c>
      <c r="N555" cm="1">
        <f t="array" ref="N555">INDEX(FX_Multi,$AD555,N$3)</f>
        <v>0</v>
      </c>
      <c r="O555" cm="1">
        <f t="array" ref="O555">INDEX(FX_Multi,$AD555,O$3)</f>
        <v>0</v>
      </c>
      <c r="AC555">
        <v>1</v>
      </c>
      <c r="AD555">
        <f>AD554+2</f>
        <v>228</v>
      </c>
      <c r="AE555">
        <v>1</v>
      </c>
      <c r="AF555">
        <f>AF553</f>
        <v>228</v>
      </c>
    </row>
    <row r="556" spans="1:32" ht="17.149999999999999" x14ac:dyDescent="0.55000000000000004">
      <c r="B556" t="str">
        <f t="shared" si="1939"/>
        <v>Portland</v>
      </c>
      <c r="C556" t="s">
        <v>570</v>
      </c>
      <c r="D556" cm="1">
        <f t="array" ref="D556">INDEX(FX_Multi,$AD556,D$3)</f>
        <v>1</v>
      </c>
      <c r="E556" cm="1">
        <f t="array" ref="E556">INDEX(FX_Multi,$AD556,E$3)</f>
        <v>1</v>
      </c>
      <c r="F556" cm="1">
        <f t="array" ref="F556">INDEX(FX_Multi,$AD556,F$3)</f>
        <v>1</v>
      </c>
      <c r="G556" cm="1">
        <f t="array" ref="G556">INDEX(FX_Multi,$AD556,G$3)</f>
        <v>1</v>
      </c>
      <c r="H556" cm="1">
        <f t="array" ref="H556">INDEX(FX_Multi,$AD556,H$3)</f>
        <v>1</v>
      </c>
      <c r="I556" cm="1">
        <f t="array" ref="I556">INDEX(FX_Multi,$AD556,I$3)</f>
        <v>1</v>
      </c>
      <c r="J556" cm="1">
        <f t="array" ref="J556">INDEX(FX_Multi,$AD556,J$3)</f>
        <v>1</v>
      </c>
      <c r="K556" cm="1">
        <f t="array" ref="K556">INDEX(FX_Multi,$AD556,K$3)</f>
        <v>1</v>
      </c>
      <c r="L556" cm="1">
        <f t="array" ref="L556">INDEX(FX_Multi,$AD556,L$3)</f>
        <v>1</v>
      </c>
      <c r="M556" cm="1">
        <f t="array" ref="M556">INDEX(FX_Multi,$AD556,M$3)</f>
        <v>1</v>
      </c>
      <c r="N556" cm="1">
        <f t="array" ref="N556">INDEX(FX_Multi,$AD556,N$3)</f>
        <v>1</v>
      </c>
      <c r="O556" cm="1">
        <f t="array" ref="O556">INDEX(FX_Multi,$AD556,O$3)</f>
        <v>1</v>
      </c>
      <c r="AC556">
        <v>1</v>
      </c>
      <c r="AD556">
        <f>AD555+6</f>
        <v>234</v>
      </c>
      <c r="AE556">
        <v>1</v>
      </c>
      <c r="AF556">
        <f>AF552+9</f>
        <v>234</v>
      </c>
    </row>
    <row r="557" spans="1:32" ht="17.149999999999999" x14ac:dyDescent="0.55000000000000004">
      <c r="B557" t="str">
        <f t="shared" si="1939"/>
        <v>Portland</v>
      </c>
      <c r="C557" t="s">
        <v>571</v>
      </c>
      <c r="D557" cm="1">
        <f t="array" ref="D557">INDEX(FX_Multi,$AD557,D$3)</f>
        <v>162</v>
      </c>
      <c r="E557" cm="1">
        <f t="array" ref="E557">INDEX(FX_Multi,$AD557,E$3)</f>
        <v>162</v>
      </c>
      <c r="F557" cm="1">
        <f t="array" ref="F557">INDEX(FX_Multi,$AD557,F$3)</f>
        <v>162</v>
      </c>
      <c r="G557" cm="1">
        <f t="array" ref="G557">INDEX(FX_Multi,$AD557,G$3)</f>
        <v>162</v>
      </c>
      <c r="H557" cm="1">
        <f t="array" ref="H557">INDEX(FX_Multi,$AD557,H$3)</f>
        <v>162</v>
      </c>
      <c r="I557" cm="1">
        <f t="array" ref="I557">INDEX(FX_Multi,$AD557,I$3)</f>
        <v>162</v>
      </c>
      <c r="J557" cm="1">
        <f t="array" ref="J557">INDEX(FX_Multi,$AD557,J$3)</f>
        <v>162</v>
      </c>
      <c r="K557" cm="1">
        <f t="array" ref="K557">INDEX(FX_Multi,$AD557,K$3)</f>
        <v>162</v>
      </c>
      <c r="L557" cm="1">
        <f t="array" ref="L557">INDEX(FX_Multi,$AD557,L$3)</f>
        <v>162</v>
      </c>
      <c r="M557" cm="1">
        <f t="array" ref="M557">INDEX(FX_Multi,$AD557,M$3)</f>
        <v>162</v>
      </c>
      <c r="N557" cm="1">
        <f t="array" ref="N557">INDEX(FX_Multi,$AD557,N$3)</f>
        <v>162</v>
      </c>
      <c r="O557" cm="1">
        <f t="array" ref="O557">INDEX(FX_Multi,$AD557,O$3)</f>
        <v>162</v>
      </c>
      <c r="AC557">
        <v>1</v>
      </c>
      <c r="AD557">
        <f>AD556-3</f>
        <v>231</v>
      </c>
      <c r="AE557">
        <v>1</v>
      </c>
      <c r="AF557">
        <f>AF552+6</f>
        <v>231</v>
      </c>
    </row>
    <row r="558" spans="1:32" ht="17.149999999999999" x14ac:dyDescent="0.55000000000000004">
      <c r="B558" t="str">
        <f t="shared" si="1939"/>
        <v>Portland</v>
      </c>
      <c r="C558" t="s">
        <v>572</v>
      </c>
      <c r="D558" cm="1">
        <f t="array" ref="D558">INDEX(FX_Multi,$AD558,D$3)</f>
        <v>0</v>
      </c>
      <c r="E558" cm="1">
        <f t="array" ref="E558">INDEX(FX_Multi,$AD558,E$3)</f>
        <v>0</v>
      </c>
      <c r="F558" cm="1">
        <f t="array" ref="F558">INDEX(FX_Multi,$AD558,F$3)</f>
        <v>0</v>
      </c>
      <c r="G558" cm="1">
        <f t="array" ref="G558">INDEX(FX_Multi,$AD558,G$3)</f>
        <v>0</v>
      </c>
      <c r="H558" cm="1">
        <f t="array" ref="H558">INDEX(FX_Multi,$AD558,H$3)</f>
        <v>0</v>
      </c>
      <c r="I558" cm="1">
        <f t="array" ref="I558">INDEX(FX_Multi,$AD558,I$3)</f>
        <v>0</v>
      </c>
      <c r="J558" cm="1">
        <f t="array" ref="J558">INDEX(FX_Multi,$AD558,J$3)</f>
        <v>0</v>
      </c>
      <c r="K558" cm="1">
        <f t="array" ref="K558">INDEX(FX_Multi,$AD558,K$3)</f>
        <v>0</v>
      </c>
      <c r="L558" cm="1">
        <f t="array" ref="L558">INDEX(FX_Multi,$AD558,L$3)</f>
        <v>0</v>
      </c>
      <c r="M558" cm="1">
        <f t="array" ref="M558">INDEX(FX_Multi,$AD558,M$3)</f>
        <v>0</v>
      </c>
      <c r="N558" cm="1">
        <f t="array" ref="N558">INDEX(FX_Multi,$AD558,N$3)</f>
        <v>0</v>
      </c>
      <c r="O558" cm="1">
        <f t="array" ref="O558">INDEX(FX_Multi,$AD558,O$3)</f>
        <v>0</v>
      </c>
      <c r="AC558">
        <v>1</v>
      </c>
      <c r="AD558">
        <f>AD557+4</f>
        <v>235</v>
      </c>
      <c r="AE558">
        <v>1</v>
      </c>
      <c r="AF558">
        <f>AF552+10</f>
        <v>235</v>
      </c>
    </row>
    <row r="559" spans="1:32" ht="17.149999999999999" x14ac:dyDescent="0.55000000000000004">
      <c r="B559" t="str">
        <f t="shared" si="1939"/>
        <v>Portland</v>
      </c>
      <c r="C559" t="s">
        <v>573</v>
      </c>
      <c r="D559" cm="1">
        <f t="array" ref="D559">INDEX(FX_Multi,$AD559,D$3)</f>
        <v>0</v>
      </c>
      <c r="E559" cm="1">
        <f t="array" ref="E559">INDEX(FX_Multi,$AD559,E$3)</f>
        <v>0</v>
      </c>
      <c r="F559" cm="1">
        <f t="array" ref="F559">INDEX(FX_Multi,$AD559,F$3)</f>
        <v>0</v>
      </c>
      <c r="G559" cm="1">
        <f t="array" ref="G559">INDEX(FX_Multi,$AD559,G$3)</f>
        <v>0</v>
      </c>
      <c r="H559" cm="1">
        <f t="array" ref="H559">INDEX(FX_Multi,$AD559,H$3)</f>
        <v>0</v>
      </c>
      <c r="I559" cm="1">
        <f t="array" ref="I559">INDEX(FX_Multi,$AD559,I$3)</f>
        <v>0</v>
      </c>
      <c r="J559" cm="1">
        <f t="array" ref="J559">INDEX(FX_Multi,$AD559,J$3)</f>
        <v>0</v>
      </c>
      <c r="K559" cm="1">
        <f t="array" ref="K559">INDEX(FX_Multi,$AD559,K$3)</f>
        <v>0</v>
      </c>
      <c r="L559" cm="1">
        <f t="array" ref="L559">INDEX(FX_Multi,$AD559,L$3)</f>
        <v>0</v>
      </c>
      <c r="M559" cm="1">
        <f t="array" ref="M559">INDEX(FX_Multi,$AD559,M$3)</f>
        <v>0</v>
      </c>
      <c r="N559" cm="1">
        <f t="array" ref="N559">INDEX(FX_Multi,$AD559,N$3)</f>
        <v>0</v>
      </c>
      <c r="O559" cm="1">
        <f t="array" ref="O559">INDEX(FX_Multi,$AD559,O$3)</f>
        <v>0</v>
      </c>
      <c r="AC559">
        <v>1</v>
      </c>
      <c r="AD559">
        <f>AD558-3</f>
        <v>232</v>
      </c>
      <c r="AE559">
        <v>1</v>
      </c>
      <c r="AF559">
        <f>AF552+7</f>
        <v>232</v>
      </c>
    </row>
    <row r="560" spans="1:32" ht="17.149999999999999" x14ac:dyDescent="0.55000000000000004">
      <c r="B560" t="str">
        <f>B555</f>
        <v>Portland</v>
      </c>
      <c r="C560" t="s">
        <v>526</v>
      </c>
      <c r="D560" cm="1">
        <f t="array" ref="D560">INDEX(FX_Temps,$AF560,D$3)</f>
        <v>43.899999999999977</v>
      </c>
      <c r="E560" cm="1">
        <f t="array" ref="E560">INDEX(FX_Temps,$AF560,E$3)</f>
        <v>44.700000000000045</v>
      </c>
      <c r="F560" cm="1">
        <f t="array" ref="F560">INDEX(FX_Temps,$AF560,F$3)</f>
        <v>46.100000000000023</v>
      </c>
      <c r="G560" cm="1">
        <f t="array" ref="G560">INDEX(FX_Temps,$AF560,G$3)</f>
        <v>48.599999999999966</v>
      </c>
      <c r="H560" cm="1">
        <f t="array" ref="H560">INDEX(FX_Temps,$AF560,H$3)</f>
        <v>53.149999999999977</v>
      </c>
      <c r="I560" cm="1">
        <f t="array" ref="I560">INDEX(FX_Temps,$AF560,I$3)</f>
        <v>56.950000000000045</v>
      </c>
      <c r="J560" cm="1">
        <f t="array" ref="J560">INDEX(FX_Temps,$AF560,J$3)</f>
        <v>60.449999999999932</v>
      </c>
      <c r="K560" cm="1">
        <f t="array" ref="K560">INDEX(FX_Temps,$AF560,K$3)</f>
        <v>60.899999999999977</v>
      </c>
      <c r="L560" cm="1">
        <f t="array" ref="L560">INDEX(FX_Temps,$AF560,L$3)</f>
        <v>58.600000000000023</v>
      </c>
      <c r="M560" cm="1">
        <f t="array" ref="M560">INDEX(FX_Temps,$AF560,M$3)</f>
        <v>52.649999999999977</v>
      </c>
      <c r="N560" cm="1">
        <f t="array" ref="N560">INDEX(FX_Temps,$AF560,N$3)</f>
        <v>47.100000000000023</v>
      </c>
      <c r="O560" cm="1">
        <f t="array" ref="O560">INDEX(FX_Temps,$AF560,O$3)</f>
        <v>43.600000000000023</v>
      </c>
      <c r="AE560">
        <v>1</v>
      </c>
      <c r="AF560">
        <f>AF552+10</f>
        <v>235</v>
      </c>
    </row>
    <row r="561" spans="2:32" ht="17.149999999999999" x14ac:dyDescent="0.55000000000000004">
      <c r="B561" t="str">
        <f t="shared" ref="B561:B582" si="1940">B560</f>
        <v>Portland</v>
      </c>
      <c r="C561" t="s">
        <v>527</v>
      </c>
      <c r="D561" cm="1">
        <f t="array" ref="D561">INDEX(FX_Temps,$AF561,D$3)</f>
        <v>43.899999999999977</v>
      </c>
      <c r="E561" cm="1">
        <f t="array" ref="E561">INDEX(FX_Temps,$AF561,E$3)</f>
        <v>44.700000000000045</v>
      </c>
      <c r="F561" cm="1">
        <f t="array" ref="F561">INDEX(FX_Temps,$AF561,F$3)</f>
        <v>46.100000000000023</v>
      </c>
      <c r="G561" cm="1">
        <f t="array" ref="G561">INDEX(FX_Temps,$AF561,G$3)</f>
        <v>48.599999999999966</v>
      </c>
      <c r="H561" cm="1">
        <f t="array" ref="H561">INDEX(FX_Temps,$AF561,H$3)</f>
        <v>53.149999999999977</v>
      </c>
      <c r="I561" cm="1">
        <f t="array" ref="I561">INDEX(FX_Temps,$AF561,I$3)</f>
        <v>56.950000000000045</v>
      </c>
      <c r="J561" cm="1">
        <f t="array" ref="J561">INDEX(FX_Temps,$AF561,J$3)</f>
        <v>60.449999999999932</v>
      </c>
      <c r="K561" cm="1">
        <f t="array" ref="K561">INDEX(FX_Temps,$AF561,K$3)</f>
        <v>60.899999999999977</v>
      </c>
      <c r="L561" cm="1">
        <f t="array" ref="L561">INDEX(FX_Temps,$AF561,L$3)</f>
        <v>58.600000000000023</v>
      </c>
      <c r="M561" cm="1">
        <f t="array" ref="M561">INDEX(FX_Temps,$AF561,M$3)</f>
        <v>52.649999999999977</v>
      </c>
      <c r="N561" cm="1">
        <f t="array" ref="N561">INDEX(FX_Temps,$AF561,N$3)</f>
        <v>47.100000000000023</v>
      </c>
      <c r="O561" cm="1">
        <f t="array" ref="O561">INDEX(FX_Temps,$AF561,O$3)</f>
        <v>43.600000000000023</v>
      </c>
      <c r="AE561">
        <f>AE560</f>
        <v>1</v>
      </c>
      <c r="AF561">
        <f>AF552+11</f>
        <v>236</v>
      </c>
    </row>
    <row r="562" spans="2:32" ht="17.149999999999999" x14ac:dyDescent="0.55000000000000004">
      <c r="B562" t="str">
        <f t="shared" si="1940"/>
        <v>Portland</v>
      </c>
      <c r="C562" t="s">
        <v>552</v>
      </c>
      <c r="D562" cm="1">
        <f t="array" ref="D562">INDEX(FX_Temps,$AF562,D$3)</f>
        <v>43.899999999999977</v>
      </c>
      <c r="E562" cm="1">
        <f t="array" ref="E562">INDEX(FX_Temps,$AF562,E$3)</f>
        <v>44.700000000000045</v>
      </c>
      <c r="F562" cm="1">
        <f t="array" ref="F562">INDEX(FX_Temps,$AF562,F$3)</f>
        <v>46.100000000000023</v>
      </c>
      <c r="G562" cm="1">
        <f t="array" ref="G562">INDEX(FX_Temps,$AF562,G$3)</f>
        <v>48.599999999999966</v>
      </c>
      <c r="H562" cm="1">
        <f t="array" ref="H562">INDEX(FX_Temps,$AF562,H$3)</f>
        <v>53.149999999999977</v>
      </c>
      <c r="I562" cm="1">
        <f t="array" ref="I562">INDEX(FX_Temps,$AF562,I$3)</f>
        <v>56.950000000000045</v>
      </c>
      <c r="J562" cm="1">
        <f t="array" ref="J562">INDEX(FX_Temps,$AF562,J$3)</f>
        <v>60.449999999999932</v>
      </c>
      <c r="K562" cm="1">
        <f t="array" ref="K562">INDEX(FX_Temps,$AF562,K$3)</f>
        <v>60.899999999999977</v>
      </c>
      <c r="L562" cm="1">
        <f t="array" ref="L562">INDEX(FX_Temps,$AF562,L$3)</f>
        <v>58.600000000000023</v>
      </c>
      <c r="M562" cm="1">
        <f t="array" ref="M562">INDEX(FX_Temps,$AF562,M$3)</f>
        <v>52.649999999999977</v>
      </c>
      <c r="N562" cm="1">
        <f t="array" ref="N562">INDEX(FX_Temps,$AF562,N$3)</f>
        <v>47.100000000000023</v>
      </c>
      <c r="O562" cm="1">
        <f t="array" ref="O562">INDEX(FX_Temps,$AF562,O$3)</f>
        <v>43.600000000000023</v>
      </c>
      <c r="AE562">
        <f>AE561</f>
        <v>1</v>
      </c>
      <c r="AF562">
        <f>AF552+13</f>
        <v>238</v>
      </c>
    </row>
    <row r="563" spans="2:32" ht="17.149999999999999" x14ac:dyDescent="0.55000000000000004">
      <c r="B563" t="str">
        <f t="shared" si="1940"/>
        <v>Portland</v>
      </c>
      <c r="C563" t="s">
        <v>574</v>
      </c>
      <c r="D563" s="20" cm="1">
        <f t="array" ref="D563">IFERROR(IF(D553="Chemical",(10^(INDEX(Antoines,MATCH(D552,Antoine_Name,0),2)-INDEX(Antoines,MATCH(D552,Antoine_Name,0),3)/(INDEX(Antoines,MATCH(D552,Antoine_Name,0),4)+(D560-32)*5/9)))*14.7/760,IF(D553="Crude Oil",EXP((2799/(D560+459.6)-2.227)*LOG10(INDEX(FX_Input,Q$5,D$3*$Z$5+$AA$5))-(7261/(D560+459.6))+12.82),IF(D553="Refined Petroleum Stock",EXP((0.7553-(413/(D560+459.6)))*(INDEX(FX_Input,Q$5,D$3*$Z$5+$AA$5-1)^0.5)*LOG10(INDEX(FX_Input,Q$5,D$3*$Z$5+$AA$5))-(1.854-(1042/(D560+459.6)))*(INDEX(FX_Input,Q$5,D$3*$Z$5+$AA$5-1)^0.5)+((2416/(D560+459.6)-2.013)*LOG10(INDEX(FX_Input,Q$5,D$3*$Z$5+$AA$5)))-(8742/(D560+459.6))+15.64),EXP(INDEX(Antoines,MATCH(D552,Antoine_Name,0),2)-INDEX(Antoines,MATCH(D552,Antoine_Name,0),3)/(D560+459.6))))),0)</f>
        <v>4.739577185808354E-3</v>
      </c>
      <c r="E563" cm="1">
        <f t="array" ref="E563">IFERROR(IF(E553="Chemical",(10^(INDEX(Antoines,MATCH(E552,Antoine_Name,0),2)-INDEX(Antoines,MATCH(E552,Antoine_Name,0),3)/(INDEX(Antoines,MATCH(E552,Antoine_Name,0),4)+(E560-32)*5/9)))*14.7/760,IF(E553="Crude Oil",EXP((2799/(E560+459.6)-2.227)*LOG10(INDEX(FX_Input,R$5,E$3*$Z$5+$AA$5))-(7261/(E560+459.6))+12.82),IF(E553="Refined Petroleum Stock",EXP((0.7553-(413/(E560+459.6)))*(INDEX(FX_Input,R$5,E$3*$Z$5+$AA$5-1)^0.5)*LOG10(INDEX(FX_Input,R$5,E$3*$Z$5+$AA$5))-(1.854-(1042/(E560+459.6)))*(INDEX(FX_Input,R$5,E$3*$Z$5+$AA$5-1)^0.5)+((2416/(E560+459.6)-2.013)*LOG10(INDEX(FX_Input,R$5,E$3*$Z$5+$AA$5)))-(8742/(E560+459.6))+15.64),EXP(INDEX(Antoines,MATCH(E552,Antoine_Name,0),2)-INDEX(Antoines,MATCH(E552,Antoine_Name,0),3)/(E560+459.6))))),0)</f>
        <v>4.8748667780818778E-3</v>
      </c>
      <c r="F563" cm="1">
        <f t="array" ref="F563">IFERROR(IF(F553="Chemical",(10^(INDEX(Antoines,MATCH(F552,Antoine_Name,0),2)-INDEX(Antoines,MATCH(F552,Antoine_Name,0),3)/(INDEX(Antoines,MATCH(F552,Antoine_Name,0),4)+(F560-32)*5/9)))*14.7/760,IF(F553="Crude Oil",EXP((2799/(F560+459.6)-2.227)*LOG10(INDEX(FX_Input,S$5,F$3*$Z$5+$AA$5))-(7261/(F560+459.6))+12.82),IF(F553="Refined Petroleum Stock",EXP((0.7553-(413/(F560+459.6)))*(INDEX(FX_Input,S$5,F$3*$Z$5+$AA$5-1)^0.5)*LOG10(INDEX(FX_Input,S$5,F$3*$Z$5+$AA$5))-(1.854-(1042/(F560+459.6)))*(INDEX(FX_Input,S$5,F$3*$Z$5+$AA$5-1)^0.5)+((2416/(F560+459.6)-2.013)*LOG10(INDEX(FX_Input,S$5,F$3*$Z$5+$AA$5)))-(8742/(F560+459.6))+15.64),EXP(INDEX(Antoines,MATCH(F552,Antoine_Name,0),2)-INDEX(Antoines,MATCH(F552,Antoine_Name,0),3)/(F560+459.6))))),0)</f>
        <v>5.119885034186122E-3</v>
      </c>
      <c r="G563" cm="1">
        <f t="array" ref="G563">IFERROR(IF(G553="Chemical",(10^(INDEX(Antoines,MATCH(G552,Antoine_Name,0),2)-INDEX(Antoines,MATCH(G552,Antoine_Name,0),3)/(INDEX(Antoines,MATCH(G552,Antoine_Name,0),4)+(G560-32)*5/9)))*14.7/760,IF(G553="Crude Oil",EXP((2799/(G560+459.6)-2.227)*LOG10(INDEX(FX_Input,T$5,G$3*$Z$5+$AA$5))-(7261/(G560+459.6))+12.82),IF(G553="Refined Petroleum Stock",EXP((0.7553-(413/(G560+459.6)))*(INDEX(FX_Input,T$5,G$3*$Z$5+$AA$5-1)^0.5)*LOG10(INDEX(FX_Input,T$5,G$3*$Z$5+$AA$5))-(1.854-(1042/(G560+459.6)))*(INDEX(FX_Input,T$5,G$3*$Z$5+$AA$5-1)^0.5)+((2416/(G560+459.6)-2.013)*LOG10(INDEX(FX_Input,T$5,G$3*$Z$5+$AA$5)))-(8742/(G560+459.6))+15.64),EXP(INDEX(Antoines,MATCH(G552,Antoine_Name,0),2)-INDEX(Antoines,MATCH(G552,Antoine_Name,0),3)/(G560+459.6))))),0)</f>
        <v>5.5846958573521795E-3</v>
      </c>
      <c r="H563" cm="1">
        <f t="array" ref="H563">IFERROR(IF(H553="Chemical",(10^(INDEX(Antoines,MATCH(H552,Antoine_Name,0),2)-INDEX(Antoines,MATCH(H552,Antoine_Name,0),3)/(INDEX(Antoines,MATCH(H552,Antoine_Name,0),4)+(H560-32)*5/9)))*14.7/760,IF(H553="Crude Oil",EXP((2799/(H560+459.6)-2.227)*LOG10(INDEX(FX_Input,U$5,H$3*$Z$5+$AA$5))-(7261/(H560+459.6))+12.82),IF(H553="Refined Petroleum Stock",EXP((0.7553-(413/(H560+459.6)))*(INDEX(FX_Input,U$5,H$3*$Z$5+$AA$5-1)^0.5)*LOG10(INDEX(FX_Input,U$5,H$3*$Z$5+$AA$5))-(1.854-(1042/(H560+459.6)))*(INDEX(FX_Input,U$5,H$3*$Z$5+$AA$5-1)^0.5)+((2416/(H560+459.6)-2.013)*LOG10(INDEX(FX_Input,U$5,H$3*$Z$5+$AA$5)))-(8742/(H560+459.6))+15.64),EXP(INDEX(Antoines,MATCH(H552,Antoine_Name,0),2)-INDEX(Antoines,MATCH(H552,Antoine_Name,0),3)/(H560+459.6))))),0)</f>
        <v>6.5274070972739821E-3</v>
      </c>
      <c r="I563" cm="1">
        <f t="array" ref="I563">IFERROR(IF(I553="Chemical",(10^(INDEX(Antoines,MATCH(I552,Antoine_Name,0),2)-INDEX(Antoines,MATCH(I552,Antoine_Name,0),3)/(INDEX(Antoines,MATCH(I552,Antoine_Name,0),4)+(I560-32)*5/9)))*14.7/760,IF(I553="Crude Oil",EXP((2799/(I560+459.6)-2.227)*LOG10(INDEX(FX_Input,V$5,I$3*$Z$5+$AA$5))-(7261/(I560+459.6))+12.82),IF(I553="Refined Petroleum Stock",EXP((0.7553-(413/(I560+459.6)))*(INDEX(FX_Input,V$5,I$3*$Z$5+$AA$5-1)^0.5)*LOG10(INDEX(FX_Input,V$5,I$3*$Z$5+$AA$5))-(1.854-(1042/(I560+459.6)))*(INDEX(FX_Input,V$5,I$3*$Z$5+$AA$5-1)^0.5)+((2416/(I560+459.6)-2.013)*LOG10(INDEX(FX_Input,V$5,I$3*$Z$5+$AA$5)))-(8742/(I560+459.6))+15.64),EXP(INDEX(Antoines,MATCH(I552,Antoine_Name,0),2)-INDEX(Antoines,MATCH(I552,Antoine_Name,0),3)/(I560+459.6))))),0)</f>
        <v>7.4199539958878279E-3</v>
      </c>
      <c r="J563" cm="1">
        <f t="array" ref="J563">IFERROR(IF(J553="Chemical",(10^(INDEX(Antoines,MATCH(J552,Antoine_Name,0),2)-INDEX(Antoines,MATCH(J552,Antoine_Name,0),3)/(INDEX(Antoines,MATCH(J552,Antoine_Name,0),4)+(J560-32)*5/9)))*14.7/760,IF(J553="Crude Oil",EXP((2799/(J560+459.6)-2.227)*LOG10(INDEX(FX_Input,W$5,J$3*$Z$5+$AA$5))-(7261/(J560+459.6))+12.82),IF(J553="Refined Petroleum Stock",EXP((0.7553-(413/(J560+459.6)))*(INDEX(FX_Input,W$5,J$3*$Z$5+$AA$5-1)^0.5)*LOG10(INDEX(FX_Input,W$5,J$3*$Z$5+$AA$5))-(1.854-(1042/(J560+459.6)))*(INDEX(FX_Input,W$5,J$3*$Z$5+$AA$5-1)^0.5)+((2416/(J560+459.6)-2.013)*LOG10(INDEX(FX_Input,W$5,J$3*$Z$5+$AA$5)))-(8742/(J560+459.6))+15.64),EXP(INDEX(Antoines,MATCH(J552,Antoine_Name,0),2)-INDEX(Antoines,MATCH(J552,Antoine_Name,0),3)/(J560+459.6))))),0)</f>
        <v>8.3358107202842254E-3</v>
      </c>
      <c r="K563" cm="1">
        <f t="array" ref="K563">IFERROR(IF(K553="Chemical",(10^(INDEX(Antoines,MATCH(K552,Antoine_Name,0),2)-INDEX(Antoines,MATCH(K552,Antoine_Name,0),3)/(INDEX(Antoines,MATCH(K552,Antoine_Name,0),4)+(K560-32)*5/9)))*14.7/760,IF(K553="Crude Oil",EXP((2799/(K560+459.6)-2.227)*LOG10(INDEX(FX_Input,X$5,K$3*$Z$5+$AA$5))-(7261/(K560+459.6))+12.82),IF(K553="Refined Petroleum Stock",EXP((0.7553-(413/(K560+459.6)))*(INDEX(FX_Input,X$5,K$3*$Z$5+$AA$5-1)^0.5)*LOG10(INDEX(FX_Input,X$5,K$3*$Z$5+$AA$5))-(1.854-(1042/(K560+459.6)))*(INDEX(FX_Input,X$5,K$3*$Z$5+$AA$5-1)^0.5)+((2416/(K560+459.6)-2.013)*LOG10(INDEX(FX_Input,X$5,K$3*$Z$5+$AA$5)))-(8742/(K560+459.6))+15.64),EXP(INDEX(Antoines,MATCH(K552,Antoine_Name,0),2)-INDEX(Antoines,MATCH(K552,Antoine_Name,0),3)/(K560+459.6))))),0)</f>
        <v>8.4605262729351115E-3</v>
      </c>
      <c r="L563" cm="1">
        <f t="array" ref="L563">IFERROR(IF(L553="Chemical",(10^(INDEX(Antoines,MATCH(L552,Antoine_Name,0),2)-INDEX(Antoines,MATCH(L552,Antoine_Name,0),3)/(INDEX(Antoines,MATCH(L552,Antoine_Name,0),4)+(L560-32)*5/9)))*14.7/760,IF(L553="Crude Oil",EXP((2799/(L560+459.6)-2.227)*LOG10(INDEX(FX_Input,Y$5,L$3*$Z$5+$AA$5))-(7261/(L560+459.6))+12.82),IF(L553="Refined Petroleum Stock",EXP((0.7553-(413/(L560+459.6)))*(INDEX(FX_Input,Y$5,L$3*$Z$5+$AA$5-1)^0.5)*LOG10(INDEX(FX_Input,Y$5,L$3*$Z$5+$AA$5))-(1.854-(1042/(L560+459.6)))*(INDEX(FX_Input,Y$5,L$3*$Z$5+$AA$5-1)^0.5)+((2416/(L560+459.6)-2.013)*LOG10(INDEX(FX_Input,Y$5,L$3*$Z$5+$AA$5)))-(8742/(L560+459.6))+15.64),EXP(INDEX(Antoines,MATCH(L552,Antoine_Name,0),2)-INDEX(Antoines,MATCH(L552,Antoine_Name,0),3)/(L560+459.6))))),0)</f>
        <v>7.8399882233967533E-3</v>
      </c>
      <c r="M563" cm="1">
        <f t="array" ref="M563">IFERROR(IF(M553="Chemical",(10^(INDEX(Antoines,MATCH(M552,Antoine_Name,0),2)-INDEX(Antoines,MATCH(M552,Antoine_Name,0),3)/(INDEX(Antoines,MATCH(M552,Antoine_Name,0),4)+(M560-32)*5/9)))*14.7/760,IF(M553="Crude Oil",EXP((2799/(M560+459.6)-2.227)*LOG10(INDEX(FX_Input,Z$5,M$3*$Z$5+$AA$5))-(7261/(M560+459.6))+12.82),IF(M553="Refined Petroleum Stock",EXP((0.7553-(413/(M560+459.6)))*(INDEX(FX_Input,Z$5,M$3*$Z$5+$AA$5-1)^0.5)*LOG10(INDEX(FX_Input,Z$5,M$3*$Z$5+$AA$5))-(1.854-(1042/(M560+459.6)))*(INDEX(FX_Input,Z$5,M$3*$Z$5+$AA$5-1)^0.5)+((2416/(M560+459.6)-2.013)*LOG10(INDEX(FX_Input,Z$5,M$3*$Z$5+$AA$5)))-(8742/(M560+459.6))+15.64),EXP(INDEX(Antoines,MATCH(M552,Antoine_Name,0),2)-INDEX(Antoines,MATCH(M552,Antoine_Name,0),3)/(M560+459.6))))),0)</f>
        <v>6.4173462075160911E-3</v>
      </c>
      <c r="N563" cm="1">
        <f t="array" ref="N563">IFERROR(IF(N553="Chemical",(10^(INDEX(Antoines,MATCH(N552,Antoine_Name,0),2)-INDEX(Antoines,MATCH(N552,Antoine_Name,0),3)/(INDEX(Antoines,MATCH(N552,Antoine_Name,0),4)+(N560-32)*5/9)))*14.7/760,IF(N553="Crude Oil",EXP((2799/(N560+459.6)-2.227)*LOG10(INDEX(FX_Input,AA$5,N$3*$Z$5+$AA$5))-(7261/(N560+459.6))+12.82),IF(N553="Refined Petroleum Stock",EXP((0.7553-(413/(N560+459.6)))*(INDEX(FX_Input,AA$5,N$3*$Z$5+$AA$5-1)^0.5)*LOG10(INDEX(FX_Input,AA$5,N$3*$Z$5+$AA$5))-(1.854-(1042/(N560+459.6)))*(INDEX(FX_Input,AA$5,N$3*$Z$5+$AA$5-1)^0.5)+((2416/(N560+459.6)-2.013)*LOG10(INDEX(FX_Input,AA$5,N$3*$Z$5+$AA$5)))-(8742/(N560+459.6))+15.64),EXP(INDEX(Antoines,MATCH(N552,Antoine_Name,0),2)-INDEX(Antoines,MATCH(N552,Antoine_Name,0),3)/(N560+459.6))))),0)</f>
        <v>5.3015226887581056E-3</v>
      </c>
      <c r="O563" cm="1">
        <f t="array" ref="O563">IFERROR(IF(O553="Chemical",(10^(INDEX(Antoines,MATCH(O552,Antoine_Name,0),2)-INDEX(Antoines,MATCH(O552,Antoine_Name,0),3)/(INDEX(Antoines,MATCH(O552,Antoine_Name,0),4)+(O560-32)*5/9)))*14.7/760,IF(O553="Crude Oil",EXP((2799/(O560+459.6)-2.227)*LOG10(INDEX(FX_Input,AB$5,O$3*$Z$5+$AA$5))-(7261/(O560+459.6))+12.82),IF(O553="Refined Petroleum Stock",EXP((0.7553-(413/(O560+459.6)))*(INDEX(FX_Input,AB$5,O$3*$Z$5+$AA$5-1)^0.5)*LOG10(INDEX(FX_Input,AB$5,O$3*$Z$5+$AA$5))-(1.854-(1042/(O560+459.6)))*(INDEX(FX_Input,AB$5,O$3*$Z$5+$AA$5-1)^0.5)+((2416/(O560+459.6)-2.013)*LOG10(INDEX(FX_Input,AB$5,O$3*$Z$5+$AA$5)))-(8742/(O560+459.6))+15.64),EXP(INDEX(Antoines,MATCH(O552,Antoine_Name,0),2)-INDEX(Antoines,MATCH(O552,Antoine_Name,0),3)/(O560+459.6))))),0)</f>
        <v>4.68970903600947E-3</v>
      </c>
    </row>
    <row r="564" spans="2:32" ht="17.149999999999999" x14ac:dyDescent="0.55000000000000004">
      <c r="B564" t="str">
        <f t="shared" si="1940"/>
        <v>Portland</v>
      </c>
      <c r="C564" t="s">
        <v>576</v>
      </c>
      <c r="D564">
        <f>D556*D563</f>
        <v>4.739577185808354E-3</v>
      </c>
      <c r="E564">
        <f t="shared" ref="E564" si="1941">E556*E563</f>
        <v>4.8748667780818778E-3</v>
      </c>
      <c r="F564">
        <f t="shared" ref="F564" si="1942">F556*F563</f>
        <v>5.119885034186122E-3</v>
      </c>
      <c r="G564">
        <f t="shared" ref="G564" si="1943">G556*G563</f>
        <v>5.5846958573521795E-3</v>
      </c>
      <c r="H564">
        <f t="shared" ref="H564" si="1944">H556*H563</f>
        <v>6.5274070972739821E-3</v>
      </c>
      <c r="I564">
        <f t="shared" ref="I564" si="1945">I556*I563</f>
        <v>7.4199539958878279E-3</v>
      </c>
      <c r="J564">
        <f t="shared" ref="J564" si="1946">J556*J563</f>
        <v>8.3358107202842254E-3</v>
      </c>
      <c r="K564">
        <f t="shared" ref="K564" si="1947">K556*K563</f>
        <v>8.4605262729351115E-3</v>
      </c>
      <c r="L564">
        <f t="shared" ref="L564" si="1948">L556*L563</f>
        <v>7.8399882233967533E-3</v>
      </c>
      <c r="M564">
        <f t="shared" ref="M564" si="1949">M556*M563</f>
        <v>6.4173462075160911E-3</v>
      </c>
      <c r="N564">
        <f t="shared" ref="N564" si="1950">N556*N563</f>
        <v>5.3015226887581056E-3</v>
      </c>
      <c r="O564">
        <f t="shared" ref="O564" si="1951">O556*O563</f>
        <v>4.68970903600947E-3</v>
      </c>
    </row>
    <row r="565" spans="2:32" ht="17.149999999999999" x14ac:dyDescent="0.55000000000000004">
      <c r="B565" t="str">
        <f t="shared" si="1940"/>
        <v>Portland</v>
      </c>
      <c r="C565" t="s">
        <v>575</v>
      </c>
      <c r="D565" cm="1">
        <f t="array" ref="D565">IFERROR(IF(D555="Chemical",(10^(INDEX(Antoines,MATCH(D554,Antoine_Name,0),2)-INDEX(Antoines,MATCH(D554,Antoine_Name,0),3)/(INDEX(Antoines,MATCH(D554,Antoine_Name,0),4)+(D560-32)*5/9)))*14.7/760,IF(D555="Crude Oil",EXP((2799/(D560+459.6)-2.227)*LOG10(INDEX(FX_Input,Q$5,D$3*$Z$5+$AA$5))-(7261/(D560+459.6))+12.82),IF(D555="Refined Petroleum Stock",EXP((0.7553-(413/(D560+459.6)))*(INDEX(FX_Input,Q$5,D$3*$Z$5+$AA$5-1)^0.5)*LOG10(INDEX(FX_Input,Q$5,D$3*$Z$5+$AA$5))-(1.854-(1042/(D560+459.6)))*(INDEX(FX_Input,Q$5,D$3*$Z$5+$AA$5-1)^0.5)+((2416/(D560+459.6)-2.013)*LOG10(INDEX(FX_Input,Q$5,D$3*$Z$5+$AA$5)))-(8742/(D560+459.6))+15.64),EXP(INDEX(Antoines,MATCH(D554,Antoine_Name,0),2)-INDEX(Antoines,MATCH(D554,Antoine_Name,0),3)/(D560+459.6))))),0)</f>
        <v>0</v>
      </c>
      <c r="E565" cm="1">
        <f t="array" ref="E565">IFERROR(IF(E555="Chemical",(10^(INDEX(Antoines,MATCH(E554,Antoine_Name,0),2)-INDEX(Antoines,MATCH(E554,Antoine_Name,0),3)/(INDEX(Antoines,MATCH(E554,Antoine_Name,0),4)+(E560-32)*5/9)))*14.7/760,IF(E555="Crude Oil",EXP((2799/(E560+459.6)-2.227)*LOG10(INDEX(FX_Input,R$5,E$3*$Z$5+$AA$5))-(7261/(E560+459.6))+12.82),IF(E555="Refined Petroleum Stock",EXP((0.7553-(413/(E560+459.6)))*(INDEX(FX_Input,R$5,E$3*$Z$5+$AA$5-1)^0.5)*LOG10(INDEX(FX_Input,R$5,E$3*$Z$5+$AA$5))-(1.854-(1042/(E560+459.6)))*(INDEX(FX_Input,R$5,E$3*$Z$5+$AA$5-1)^0.5)+((2416/(E560+459.6)-2.013)*LOG10(INDEX(FX_Input,R$5,E$3*$Z$5+$AA$5)))-(8742/(E560+459.6))+15.64),EXP(INDEX(Antoines,MATCH(E554,Antoine_Name,0),2)-INDEX(Antoines,MATCH(E554,Antoine_Name,0),3)/(E560+459.6))))),0)</f>
        <v>0</v>
      </c>
      <c r="F565" cm="1">
        <f t="array" ref="F565">IFERROR(IF(F555="Chemical",(10^(INDEX(Antoines,MATCH(F554,Antoine_Name,0),2)-INDEX(Antoines,MATCH(F554,Antoine_Name,0),3)/(INDEX(Antoines,MATCH(F554,Antoine_Name,0),4)+(F560-32)*5/9)))*14.7/760,IF(F555="Crude Oil",EXP((2799/(F560+459.6)-2.227)*LOG10(INDEX(FX_Input,S$5,F$3*$Z$5+$AA$5))-(7261/(F560+459.6))+12.82),IF(F555="Refined Petroleum Stock",EXP((0.7553-(413/(F560+459.6)))*(INDEX(FX_Input,S$5,F$3*$Z$5+$AA$5-1)^0.5)*LOG10(INDEX(FX_Input,S$5,F$3*$Z$5+$AA$5))-(1.854-(1042/(F560+459.6)))*(INDEX(FX_Input,S$5,F$3*$Z$5+$AA$5-1)^0.5)+((2416/(F560+459.6)-2.013)*LOG10(INDEX(FX_Input,S$5,F$3*$Z$5+$AA$5)))-(8742/(F560+459.6))+15.64),EXP(INDEX(Antoines,MATCH(F554,Antoine_Name,0),2)-INDEX(Antoines,MATCH(F554,Antoine_Name,0),3)/(F560+459.6))))),0)</f>
        <v>0</v>
      </c>
      <c r="G565" cm="1">
        <f t="array" ref="G565">IFERROR(IF(G555="Chemical",(10^(INDEX(Antoines,MATCH(G554,Antoine_Name,0),2)-INDEX(Antoines,MATCH(G554,Antoine_Name,0),3)/(INDEX(Antoines,MATCH(G554,Antoine_Name,0),4)+(G560-32)*5/9)))*14.7/760,IF(G555="Crude Oil",EXP((2799/(G560+459.6)-2.227)*LOG10(INDEX(FX_Input,T$5,G$3*$Z$5+$AA$5))-(7261/(G560+459.6))+12.82),IF(G555="Refined Petroleum Stock",EXP((0.7553-(413/(G560+459.6)))*(INDEX(FX_Input,T$5,G$3*$Z$5+$AA$5-1)^0.5)*LOG10(INDEX(FX_Input,T$5,G$3*$Z$5+$AA$5))-(1.854-(1042/(G560+459.6)))*(INDEX(FX_Input,T$5,G$3*$Z$5+$AA$5-1)^0.5)+((2416/(G560+459.6)-2.013)*LOG10(INDEX(FX_Input,T$5,G$3*$Z$5+$AA$5)))-(8742/(G560+459.6))+15.64),EXP(INDEX(Antoines,MATCH(G554,Antoine_Name,0),2)-INDEX(Antoines,MATCH(G554,Antoine_Name,0),3)/(G560+459.6))))),0)</f>
        <v>0</v>
      </c>
      <c r="H565" cm="1">
        <f t="array" ref="H565">IFERROR(IF(H555="Chemical",(10^(INDEX(Antoines,MATCH(H554,Antoine_Name,0),2)-INDEX(Antoines,MATCH(H554,Antoine_Name,0),3)/(INDEX(Antoines,MATCH(H554,Antoine_Name,0),4)+(H560-32)*5/9)))*14.7/760,IF(H555="Crude Oil",EXP((2799/(H560+459.6)-2.227)*LOG10(INDEX(FX_Input,U$5,H$3*$Z$5+$AA$5))-(7261/(H560+459.6))+12.82),IF(H555="Refined Petroleum Stock",EXP((0.7553-(413/(H560+459.6)))*(INDEX(FX_Input,U$5,H$3*$Z$5+$AA$5-1)^0.5)*LOG10(INDEX(FX_Input,U$5,H$3*$Z$5+$AA$5))-(1.854-(1042/(H560+459.6)))*(INDEX(FX_Input,U$5,H$3*$Z$5+$AA$5-1)^0.5)+((2416/(H560+459.6)-2.013)*LOG10(INDEX(FX_Input,U$5,H$3*$Z$5+$AA$5)))-(8742/(H560+459.6))+15.64),EXP(INDEX(Antoines,MATCH(H554,Antoine_Name,0),2)-INDEX(Antoines,MATCH(H554,Antoine_Name,0),3)/(H560+459.6))))),0)</f>
        <v>0</v>
      </c>
      <c r="I565" cm="1">
        <f t="array" ref="I565">IFERROR(IF(I555="Chemical",(10^(INDEX(Antoines,MATCH(I554,Antoine_Name,0),2)-INDEX(Antoines,MATCH(I554,Antoine_Name,0),3)/(INDEX(Antoines,MATCH(I554,Antoine_Name,0),4)+(I560-32)*5/9)))*14.7/760,IF(I555="Crude Oil",EXP((2799/(I560+459.6)-2.227)*LOG10(INDEX(FX_Input,V$5,I$3*$Z$5+$AA$5))-(7261/(I560+459.6))+12.82),IF(I555="Refined Petroleum Stock",EXP((0.7553-(413/(I560+459.6)))*(INDEX(FX_Input,V$5,I$3*$Z$5+$AA$5-1)^0.5)*LOG10(INDEX(FX_Input,V$5,I$3*$Z$5+$AA$5))-(1.854-(1042/(I560+459.6)))*(INDEX(FX_Input,V$5,I$3*$Z$5+$AA$5-1)^0.5)+((2416/(I560+459.6)-2.013)*LOG10(INDEX(FX_Input,V$5,I$3*$Z$5+$AA$5)))-(8742/(I560+459.6))+15.64),EXP(INDEX(Antoines,MATCH(I554,Antoine_Name,0),2)-INDEX(Antoines,MATCH(I554,Antoine_Name,0),3)/(I560+459.6))))),0)</f>
        <v>0</v>
      </c>
      <c r="J565" cm="1">
        <f t="array" ref="J565">IFERROR(IF(J555="Chemical",(10^(INDEX(Antoines,MATCH(J554,Antoine_Name,0),2)-INDEX(Antoines,MATCH(J554,Antoine_Name,0),3)/(INDEX(Antoines,MATCH(J554,Antoine_Name,0),4)+(J560-32)*5/9)))*14.7/760,IF(J555="Crude Oil",EXP((2799/(J560+459.6)-2.227)*LOG10(INDEX(FX_Input,W$5,J$3*$Z$5+$AA$5))-(7261/(J560+459.6))+12.82),IF(J555="Refined Petroleum Stock",EXP((0.7553-(413/(J560+459.6)))*(INDEX(FX_Input,W$5,J$3*$Z$5+$AA$5-1)^0.5)*LOG10(INDEX(FX_Input,W$5,J$3*$Z$5+$AA$5))-(1.854-(1042/(J560+459.6)))*(INDEX(FX_Input,W$5,J$3*$Z$5+$AA$5-1)^0.5)+((2416/(J560+459.6)-2.013)*LOG10(INDEX(FX_Input,W$5,J$3*$Z$5+$AA$5)))-(8742/(J560+459.6))+15.64),EXP(INDEX(Antoines,MATCH(J554,Antoine_Name,0),2)-INDEX(Antoines,MATCH(J554,Antoine_Name,0),3)/(J560+459.6))))),0)</f>
        <v>0</v>
      </c>
      <c r="K565" cm="1">
        <f t="array" ref="K565">IFERROR(IF(K555="Chemical",(10^(INDEX(Antoines,MATCH(K554,Antoine_Name,0),2)-INDEX(Antoines,MATCH(K554,Antoine_Name,0),3)/(INDEX(Antoines,MATCH(K554,Antoine_Name,0),4)+(K560-32)*5/9)))*14.7/760,IF(K555="Crude Oil",EXP((2799/(K560+459.6)-2.227)*LOG10(INDEX(FX_Input,X$5,K$3*$Z$5+$AA$5))-(7261/(K560+459.6))+12.82),IF(K555="Refined Petroleum Stock",EXP((0.7553-(413/(K560+459.6)))*(INDEX(FX_Input,X$5,K$3*$Z$5+$AA$5-1)^0.5)*LOG10(INDEX(FX_Input,X$5,K$3*$Z$5+$AA$5))-(1.854-(1042/(K560+459.6)))*(INDEX(FX_Input,X$5,K$3*$Z$5+$AA$5-1)^0.5)+((2416/(K560+459.6)-2.013)*LOG10(INDEX(FX_Input,X$5,K$3*$Z$5+$AA$5)))-(8742/(K560+459.6))+15.64),EXP(INDEX(Antoines,MATCH(K554,Antoine_Name,0),2)-INDEX(Antoines,MATCH(K554,Antoine_Name,0),3)/(K560+459.6))))),0)</f>
        <v>0</v>
      </c>
      <c r="L565" cm="1">
        <f t="array" ref="L565">IFERROR(IF(L555="Chemical",(10^(INDEX(Antoines,MATCH(L554,Antoine_Name,0),2)-INDEX(Antoines,MATCH(L554,Antoine_Name,0),3)/(INDEX(Antoines,MATCH(L554,Antoine_Name,0),4)+(L560-32)*5/9)))*14.7/760,IF(L555="Crude Oil",EXP((2799/(L560+459.6)-2.227)*LOG10(INDEX(FX_Input,Y$5,L$3*$Z$5+$AA$5))-(7261/(L560+459.6))+12.82),IF(L555="Refined Petroleum Stock",EXP((0.7553-(413/(L560+459.6)))*(INDEX(FX_Input,Y$5,L$3*$Z$5+$AA$5-1)^0.5)*LOG10(INDEX(FX_Input,Y$5,L$3*$Z$5+$AA$5))-(1.854-(1042/(L560+459.6)))*(INDEX(FX_Input,Y$5,L$3*$Z$5+$AA$5-1)^0.5)+((2416/(L560+459.6)-2.013)*LOG10(INDEX(FX_Input,Y$5,L$3*$Z$5+$AA$5)))-(8742/(L560+459.6))+15.64),EXP(INDEX(Antoines,MATCH(L554,Antoine_Name,0),2)-INDEX(Antoines,MATCH(L554,Antoine_Name,0),3)/(L560+459.6))))),0)</f>
        <v>0</v>
      </c>
      <c r="M565" cm="1">
        <f t="array" ref="M565">IFERROR(IF(M555="Chemical",(10^(INDEX(Antoines,MATCH(M554,Antoine_Name,0),2)-INDEX(Antoines,MATCH(M554,Antoine_Name,0),3)/(INDEX(Antoines,MATCH(M554,Antoine_Name,0),4)+(M560-32)*5/9)))*14.7/760,IF(M555="Crude Oil",EXP((2799/(M560+459.6)-2.227)*LOG10(INDEX(FX_Input,Z$5,M$3*$Z$5+$AA$5))-(7261/(M560+459.6))+12.82),IF(M555="Refined Petroleum Stock",EXP((0.7553-(413/(M560+459.6)))*(INDEX(FX_Input,Z$5,M$3*$Z$5+$AA$5-1)^0.5)*LOG10(INDEX(FX_Input,Z$5,M$3*$Z$5+$AA$5))-(1.854-(1042/(M560+459.6)))*(INDEX(FX_Input,Z$5,M$3*$Z$5+$AA$5-1)^0.5)+((2416/(M560+459.6)-2.013)*LOG10(INDEX(FX_Input,Z$5,M$3*$Z$5+$AA$5)))-(8742/(M560+459.6))+15.64),EXP(INDEX(Antoines,MATCH(M554,Antoine_Name,0),2)-INDEX(Antoines,MATCH(M554,Antoine_Name,0),3)/(M560+459.6))))),0)</f>
        <v>0</v>
      </c>
      <c r="N565" cm="1">
        <f t="array" ref="N565">IFERROR(IF(N555="Chemical",(10^(INDEX(Antoines,MATCH(N554,Antoine_Name,0),2)-INDEX(Antoines,MATCH(N554,Antoine_Name,0),3)/(INDEX(Antoines,MATCH(N554,Antoine_Name,0),4)+(N560-32)*5/9)))*14.7/760,IF(N555="Crude Oil",EXP((2799/(N560+459.6)-2.227)*LOG10(INDEX(FX_Input,AA$5,N$3*$Z$5+$AA$5))-(7261/(N560+459.6))+12.82),IF(N555="Refined Petroleum Stock",EXP((0.7553-(413/(N560+459.6)))*(INDEX(FX_Input,AA$5,N$3*$Z$5+$AA$5-1)^0.5)*LOG10(INDEX(FX_Input,AA$5,N$3*$Z$5+$AA$5))-(1.854-(1042/(N560+459.6)))*(INDEX(FX_Input,AA$5,N$3*$Z$5+$AA$5-1)^0.5)+((2416/(N560+459.6)-2.013)*LOG10(INDEX(FX_Input,AA$5,N$3*$Z$5+$AA$5)))-(8742/(N560+459.6))+15.64),EXP(INDEX(Antoines,MATCH(N554,Antoine_Name,0),2)-INDEX(Antoines,MATCH(N554,Antoine_Name,0),3)/(N560+459.6))))),0)</f>
        <v>0</v>
      </c>
      <c r="O565" cm="1">
        <f t="array" ref="O565">IFERROR(IF(O555="Chemical",(10^(INDEX(Antoines,MATCH(O554,Antoine_Name,0),2)-INDEX(Antoines,MATCH(O554,Antoine_Name,0),3)/(INDEX(Antoines,MATCH(O554,Antoine_Name,0),4)+(O560-32)*5/9)))*14.7/760,IF(O555="Crude Oil",EXP((2799/(O560+459.6)-2.227)*LOG10(INDEX(FX_Input,AB$5,O$3*$Z$5+$AA$5))-(7261/(O560+459.6))+12.82),IF(O555="Refined Petroleum Stock",EXP((0.7553-(413/(O560+459.6)))*(INDEX(FX_Input,AB$5,O$3*$Z$5+$AA$5-1)^0.5)*LOG10(INDEX(FX_Input,AB$5,O$3*$Z$5+$AA$5))-(1.854-(1042/(O560+459.6)))*(INDEX(FX_Input,AB$5,O$3*$Z$5+$AA$5-1)^0.5)+((2416/(O560+459.6)-2.013)*LOG10(INDEX(FX_Input,AB$5,O$3*$Z$5+$AA$5)))-(8742/(O560+459.6))+15.64),EXP(INDEX(Antoines,MATCH(O554,Antoine_Name,0),2)-INDEX(Antoines,MATCH(O554,Antoine_Name,0),3)/(O560+459.6))))),0)</f>
        <v>0</v>
      </c>
    </row>
    <row r="566" spans="2:32" ht="17.149999999999999" x14ac:dyDescent="0.55000000000000004">
      <c r="B566" t="str">
        <f t="shared" si="1940"/>
        <v>Portland</v>
      </c>
      <c r="C566" t="s">
        <v>577</v>
      </c>
      <c r="D566">
        <f>D565*D558</f>
        <v>0</v>
      </c>
      <c r="E566">
        <f t="shared" ref="E566" si="1952">E565*E558</f>
        <v>0</v>
      </c>
      <c r="F566">
        <f t="shared" ref="F566" si="1953">F565*F558</f>
        <v>0</v>
      </c>
      <c r="G566">
        <f t="shared" ref="G566" si="1954">G565*G558</f>
        <v>0</v>
      </c>
      <c r="H566">
        <f t="shared" ref="H566" si="1955">H565*H558</f>
        <v>0</v>
      </c>
      <c r="I566">
        <f t="shared" ref="I566" si="1956">I565*I558</f>
        <v>0</v>
      </c>
      <c r="J566">
        <f t="shared" ref="J566" si="1957">J565*J558</f>
        <v>0</v>
      </c>
      <c r="K566">
        <f t="shared" ref="K566" si="1958">K565*K558</f>
        <v>0</v>
      </c>
      <c r="L566">
        <f t="shared" ref="L566" si="1959">L565*L558</f>
        <v>0</v>
      </c>
      <c r="M566">
        <f t="shared" ref="M566" si="1960">M565*M558</f>
        <v>0</v>
      </c>
      <c r="N566">
        <f t="shared" ref="N566" si="1961">N565*N558</f>
        <v>0</v>
      </c>
      <c r="O566">
        <f t="shared" ref="O566" si="1962">O565*O558</f>
        <v>0</v>
      </c>
    </row>
    <row r="567" spans="2:32" ht="17.149999999999999" x14ac:dyDescent="0.55000000000000004">
      <c r="B567" t="str">
        <f t="shared" si="1940"/>
        <v>Portland</v>
      </c>
      <c r="C567" t="s">
        <v>578</v>
      </c>
      <c r="D567">
        <f>D566+D564</f>
        <v>4.739577185808354E-3</v>
      </c>
      <c r="E567">
        <f t="shared" ref="E567" si="1963">E566+E564</f>
        <v>4.8748667780818778E-3</v>
      </c>
      <c r="F567">
        <f t="shared" ref="F567" si="1964">F566+F564</f>
        <v>5.119885034186122E-3</v>
      </c>
      <c r="G567">
        <f t="shared" ref="G567" si="1965">G566+G564</f>
        <v>5.5846958573521795E-3</v>
      </c>
      <c r="H567">
        <f t="shared" ref="H567" si="1966">H566+H564</f>
        <v>6.5274070972739821E-3</v>
      </c>
      <c r="I567">
        <f t="shared" ref="I567" si="1967">I566+I564</f>
        <v>7.4199539958878279E-3</v>
      </c>
      <c r="J567">
        <f t="shared" ref="J567" si="1968">J566+J564</f>
        <v>8.3358107202842254E-3</v>
      </c>
      <c r="K567">
        <f t="shared" ref="K567" si="1969">K566+K564</f>
        <v>8.4605262729351115E-3</v>
      </c>
      <c r="L567">
        <f t="shared" ref="L567" si="1970">L566+L564</f>
        <v>7.8399882233967533E-3</v>
      </c>
      <c r="M567">
        <f t="shared" ref="M567" si="1971">M566+M564</f>
        <v>6.4173462075160911E-3</v>
      </c>
      <c r="N567">
        <f t="shared" ref="N567" si="1972">N566+N564</f>
        <v>5.3015226887581056E-3</v>
      </c>
      <c r="O567">
        <f t="shared" ref="O567" si="1973">O566+O564</f>
        <v>4.68970903600947E-3</v>
      </c>
    </row>
    <row r="568" spans="2:32" ht="17.149999999999999" x14ac:dyDescent="0.55000000000000004">
      <c r="B568" t="str">
        <f t="shared" si="1940"/>
        <v>Portland</v>
      </c>
      <c r="C568" t="s">
        <v>579</v>
      </c>
      <c r="D568" cm="1">
        <f t="array" ref="D568">IFERROR(IF(D553="Chemical",(10^(INDEX(Antoines,MATCH(D552,Antoine_Name,0),2)-INDEX(Antoines,MATCH(D552,Antoine_Name,0),3)/(INDEX(Antoines,MATCH(D552,Antoine_Name,0),4)+(D561-32)*5/9)))*14.7/760,IF(D553="Crude Oil",EXP((2799/(D561+459.6)-2.227)*LOG10(INDEX(FX_Input,Q$5,D$3*$Z$5+$AA$5))-(7261/(D561+459.6))+12.82),IF(D553="Refined Petroleum Stock",EXP((0.7553-(413/(D561+459.6)))*(INDEX(FX_Input,Q$5,D$3*$Z$5+$AA$5-1)^0.5)*LOG10(INDEX(FX_Input,Q$5,D$3*$Z$5+$AA$5))-(1.854-(1042/(D561+459.6)))*(INDEX(FX_Input,Q$5,D$3*$Z$5+$AA$5-1)^0.5)+((2416/(D561+459.6)-2.013)*LOG10(INDEX(FX_Input,Q$5,D$3*$Z$5+$AA$5)))-(8742/(D561+459.6))+15.64),EXP(INDEX(Antoines,MATCH(D552,Antoine_Name,0),2)-INDEX(Antoines,MATCH(D552,Antoine_Name,0),3)/(D561+459.6))))),0)</f>
        <v>4.739577185808354E-3</v>
      </c>
      <c r="E568" cm="1">
        <f t="array" ref="E568">IFERROR(IF(E553="Chemical",(10^(INDEX(Antoines,MATCH(E552,Antoine_Name,0),2)-INDEX(Antoines,MATCH(E552,Antoine_Name,0),3)/(INDEX(Antoines,MATCH(E552,Antoine_Name,0),4)+(E561-32)*5/9)))*14.7/760,IF(E553="Crude Oil",EXP((2799/(E561+459.6)-2.227)*LOG10(INDEX(FX_Input,R$5,E$3*$Z$5+$AA$5))-(7261/(E561+459.6))+12.82),IF(E553="Refined Petroleum Stock",EXP((0.7553-(413/(E561+459.6)))*(INDEX(FX_Input,R$5,E$3*$Z$5+$AA$5-1)^0.5)*LOG10(INDEX(FX_Input,R$5,E$3*$Z$5+$AA$5))-(1.854-(1042/(E561+459.6)))*(INDEX(FX_Input,R$5,E$3*$Z$5+$AA$5-1)^0.5)+((2416/(E561+459.6)-2.013)*LOG10(INDEX(FX_Input,R$5,E$3*$Z$5+$AA$5)))-(8742/(E561+459.6))+15.64),EXP(INDEX(Antoines,MATCH(E552,Antoine_Name,0),2)-INDEX(Antoines,MATCH(E552,Antoine_Name,0),3)/(E561+459.6))))),0)</f>
        <v>4.8748667780818778E-3</v>
      </c>
      <c r="F568" cm="1">
        <f t="array" ref="F568">IFERROR(IF(F553="Chemical",(10^(INDEX(Antoines,MATCH(F552,Antoine_Name,0),2)-INDEX(Antoines,MATCH(F552,Antoine_Name,0),3)/(INDEX(Antoines,MATCH(F552,Antoine_Name,0),4)+(F561-32)*5/9)))*14.7/760,IF(F553="Crude Oil",EXP((2799/(F561+459.6)-2.227)*LOG10(INDEX(FX_Input,S$5,F$3*$Z$5+$AA$5))-(7261/(F561+459.6))+12.82),IF(F553="Refined Petroleum Stock",EXP((0.7553-(413/(F561+459.6)))*(INDEX(FX_Input,S$5,F$3*$Z$5+$AA$5-1)^0.5)*LOG10(INDEX(FX_Input,S$5,F$3*$Z$5+$AA$5))-(1.854-(1042/(F561+459.6)))*(INDEX(FX_Input,S$5,F$3*$Z$5+$AA$5-1)^0.5)+((2416/(F561+459.6)-2.013)*LOG10(INDEX(FX_Input,S$5,F$3*$Z$5+$AA$5)))-(8742/(F561+459.6))+15.64),EXP(INDEX(Antoines,MATCH(F552,Antoine_Name,0),2)-INDEX(Antoines,MATCH(F552,Antoine_Name,0),3)/(F561+459.6))))),0)</f>
        <v>5.119885034186122E-3</v>
      </c>
      <c r="G568" cm="1">
        <f t="array" ref="G568">IFERROR(IF(G553="Chemical",(10^(INDEX(Antoines,MATCH(G552,Antoine_Name,0),2)-INDEX(Antoines,MATCH(G552,Antoine_Name,0),3)/(INDEX(Antoines,MATCH(G552,Antoine_Name,0),4)+(G561-32)*5/9)))*14.7/760,IF(G553="Crude Oil",EXP((2799/(G561+459.6)-2.227)*LOG10(INDEX(FX_Input,T$5,G$3*$Z$5+$AA$5))-(7261/(G561+459.6))+12.82),IF(G553="Refined Petroleum Stock",EXP((0.7553-(413/(G561+459.6)))*(INDEX(FX_Input,T$5,G$3*$Z$5+$AA$5-1)^0.5)*LOG10(INDEX(FX_Input,T$5,G$3*$Z$5+$AA$5))-(1.854-(1042/(G561+459.6)))*(INDEX(FX_Input,T$5,G$3*$Z$5+$AA$5-1)^0.5)+((2416/(G561+459.6)-2.013)*LOG10(INDEX(FX_Input,T$5,G$3*$Z$5+$AA$5)))-(8742/(G561+459.6))+15.64),EXP(INDEX(Antoines,MATCH(G552,Antoine_Name,0),2)-INDEX(Antoines,MATCH(G552,Antoine_Name,0),3)/(G561+459.6))))),0)</f>
        <v>5.5846958573521795E-3</v>
      </c>
      <c r="H568" cm="1">
        <f t="array" ref="H568">IFERROR(IF(H553="Chemical",(10^(INDEX(Antoines,MATCH(H552,Antoine_Name,0),2)-INDEX(Antoines,MATCH(H552,Antoine_Name,0),3)/(INDEX(Antoines,MATCH(H552,Antoine_Name,0),4)+(H561-32)*5/9)))*14.7/760,IF(H553="Crude Oil",EXP((2799/(H561+459.6)-2.227)*LOG10(INDEX(FX_Input,U$5,H$3*$Z$5+$AA$5))-(7261/(H561+459.6))+12.82),IF(H553="Refined Petroleum Stock",EXP((0.7553-(413/(H561+459.6)))*(INDEX(FX_Input,U$5,H$3*$Z$5+$AA$5-1)^0.5)*LOG10(INDEX(FX_Input,U$5,H$3*$Z$5+$AA$5))-(1.854-(1042/(H561+459.6)))*(INDEX(FX_Input,U$5,H$3*$Z$5+$AA$5-1)^0.5)+((2416/(H561+459.6)-2.013)*LOG10(INDEX(FX_Input,U$5,H$3*$Z$5+$AA$5)))-(8742/(H561+459.6))+15.64),EXP(INDEX(Antoines,MATCH(H552,Antoine_Name,0),2)-INDEX(Antoines,MATCH(H552,Antoine_Name,0),3)/(H561+459.6))))),0)</f>
        <v>6.5274070972739821E-3</v>
      </c>
      <c r="I568" cm="1">
        <f t="array" ref="I568">IFERROR(IF(I553="Chemical",(10^(INDEX(Antoines,MATCH(I552,Antoine_Name,0),2)-INDEX(Antoines,MATCH(I552,Antoine_Name,0),3)/(INDEX(Antoines,MATCH(I552,Antoine_Name,0),4)+(I561-32)*5/9)))*14.7/760,IF(I553="Crude Oil",EXP((2799/(I561+459.6)-2.227)*LOG10(INDEX(FX_Input,V$5,I$3*$Z$5+$AA$5))-(7261/(I561+459.6))+12.82),IF(I553="Refined Petroleum Stock",EXP((0.7553-(413/(I561+459.6)))*(INDEX(FX_Input,V$5,I$3*$Z$5+$AA$5-1)^0.5)*LOG10(INDEX(FX_Input,V$5,I$3*$Z$5+$AA$5))-(1.854-(1042/(I561+459.6)))*(INDEX(FX_Input,V$5,I$3*$Z$5+$AA$5-1)^0.5)+((2416/(I561+459.6)-2.013)*LOG10(INDEX(FX_Input,V$5,I$3*$Z$5+$AA$5)))-(8742/(I561+459.6))+15.64),EXP(INDEX(Antoines,MATCH(I552,Antoine_Name,0),2)-INDEX(Antoines,MATCH(I552,Antoine_Name,0),3)/(I561+459.6))))),0)</f>
        <v>7.4199539958878279E-3</v>
      </c>
      <c r="J568" cm="1">
        <f t="array" ref="J568">IFERROR(IF(J553="Chemical",(10^(INDEX(Antoines,MATCH(J552,Antoine_Name,0),2)-INDEX(Antoines,MATCH(J552,Antoine_Name,0),3)/(INDEX(Antoines,MATCH(J552,Antoine_Name,0),4)+(J561-32)*5/9)))*14.7/760,IF(J553="Crude Oil",EXP((2799/(J561+459.6)-2.227)*LOG10(INDEX(FX_Input,W$5,J$3*$Z$5+$AA$5))-(7261/(J561+459.6))+12.82),IF(J553="Refined Petroleum Stock",EXP((0.7553-(413/(J561+459.6)))*(INDEX(FX_Input,W$5,J$3*$Z$5+$AA$5-1)^0.5)*LOG10(INDEX(FX_Input,W$5,J$3*$Z$5+$AA$5))-(1.854-(1042/(J561+459.6)))*(INDEX(FX_Input,W$5,J$3*$Z$5+$AA$5-1)^0.5)+((2416/(J561+459.6)-2.013)*LOG10(INDEX(FX_Input,W$5,J$3*$Z$5+$AA$5)))-(8742/(J561+459.6))+15.64),EXP(INDEX(Antoines,MATCH(J552,Antoine_Name,0),2)-INDEX(Antoines,MATCH(J552,Antoine_Name,0),3)/(J561+459.6))))),0)</f>
        <v>8.3358107202842254E-3</v>
      </c>
      <c r="K568" cm="1">
        <f t="array" ref="K568">IFERROR(IF(K553="Chemical",(10^(INDEX(Antoines,MATCH(K552,Antoine_Name,0),2)-INDEX(Antoines,MATCH(K552,Antoine_Name,0),3)/(INDEX(Antoines,MATCH(K552,Antoine_Name,0),4)+(K561-32)*5/9)))*14.7/760,IF(K553="Crude Oil",EXP((2799/(K561+459.6)-2.227)*LOG10(INDEX(FX_Input,X$5,K$3*$Z$5+$AA$5))-(7261/(K561+459.6))+12.82),IF(K553="Refined Petroleum Stock",EXP((0.7553-(413/(K561+459.6)))*(INDEX(FX_Input,X$5,K$3*$Z$5+$AA$5-1)^0.5)*LOG10(INDEX(FX_Input,X$5,K$3*$Z$5+$AA$5))-(1.854-(1042/(K561+459.6)))*(INDEX(FX_Input,X$5,K$3*$Z$5+$AA$5-1)^0.5)+((2416/(K561+459.6)-2.013)*LOG10(INDEX(FX_Input,X$5,K$3*$Z$5+$AA$5)))-(8742/(K561+459.6))+15.64),EXP(INDEX(Antoines,MATCH(K552,Antoine_Name,0),2)-INDEX(Antoines,MATCH(K552,Antoine_Name,0),3)/(K561+459.6))))),0)</f>
        <v>8.4605262729351115E-3</v>
      </c>
      <c r="L568" cm="1">
        <f t="array" ref="L568">IFERROR(IF(L553="Chemical",(10^(INDEX(Antoines,MATCH(L552,Antoine_Name,0),2)-INDEX(Antoines,MATCH(L552,Antoine_Name,0),3)/(INDEX(Antoines,MATCH(L552,Antoine_Name,0),4)+(L561-32)*5/9)))*14.7/760,IF(L553="Crude Oil",EXP((2799/(L561+459.6)-2.227)*LOG10(INDEX(FX_Input,Y$5,L$3*$Z$5+$AA$5))-(7261/(L561+459.6))+12.82),IF(L553="Refined Petroleum Stock",EXP((0.7553-(413/(L561+459.6)))*(INDEX(FX_Input,Y$5,L$3*$Z$5+$AA$5-1)^0.5)*LOG10(INDEX(FX_Input,Y$5,L$3*$Z$5+$AA$5))-(1.854-(1042/(L561+459.6)))*(INDEX(FX_Input,Y$5,L$3*$Z$5+$AA$5-1)^0.5)+((2416/(L561+459.6)-2.013)*LOG10(INDEX(FX_Input,Y$5,L$3*$Z$5+$AA$5)))-(8742/(L561+459.6))+15.64),EXP(INDEX(Antoines,MATCH(L552,Antoine_Name,0),2)-INDEX(Antoines,MATCH(L552,Antoine_Name,0),3)/(L561+459.6))))),0)</f>
        <v>7.8399882233967533E-3</v>
      </c>
      <c r="M568" cm="1">
        <f t="array" ref="M568">IFERROR(IF(M553="Chemical",(10^(INDEX(Antoines,MATCH(M552,Antoine_Name,0),2)-INDEX(Antoines,MATCH(M552,Antoine_Name,0),3)/(INDEX(Antoines,MATCH(M552,Antoine_Name,0),4)+(M561-32)*5/9)))*14.7/760,IF(M553="Crude Oil",EXP((2799/(M561+459.6)-2.227)*LOG10(INDEX(FX_Input,Z$5,M$3*$Z$5+$AA$5))-(7261/(M561+459.6))+12.82),IF(M553="Refined Petroleum Stock",EXP((0.7553-(413/(M561+459.6)))*(INDEX(FX_Input,Z$5,M$3*$Z$5+$AA$5-1)^0.5)*LOG10(INDEX(FX_Input,Z$5,M$3*$Z$5+$AA$5))-(1.854-(1042/(M561+459.6)))*(INDEX(FX_Input,Z$5,M$3*$Z$5+$AA$5-1)^0.5)+((2416/(M561+459.6)-2.013)*LOG10(INDEX(FX_Input,Z$5,M$3*$Z$5+$AA$5)))-(8742/(M561+459.6))+15.64),EXP(INDEX(Antoines,MATCH(M552,Antoine_Name,0),2)-INDEX(Antoines,MATCH(M552,Antoine_Name,0),3)/(M561+459.6))))),0)</f>
        <v>6.4173462075160911E-3</v>
      </c>
      <c r="N568" cm="1">
        <f t="array" ref="N568">IFERROR(IF(N553="Chemical",(10^(INDEX(Antoines,MATCH(N552,Antoine_Name,0),2)-INDEX(Antoines,MATCH(N552,Antoine_Name,0),3)/(INDEX(Antoines,MATCH(N552,Antoine_Name,0),4)+(N561-32)*5/9)))*14.7/760,IF(N553="Crude Oil",EXP((2799/(N561+459.6)-2.227)*LOG10(INDEX(FX_Input,AA$5,N$3*$Z$5+$AA$5))-(7261/(N561+459.6))+12.82),IF(N553="Refined Petroleum Stock",EXP((0.7553-(413/(N561+459.6)))*(INDEX(FX_Input,AA$5,N$3*$Z$5+$AA$5-1)^0.5)*LOG10(INDEX(FX_Input,AA$5,N$3*$Z$5+$AA$5))-(1.854-(1042/(N561+459.6)))*(INDEX(FX_Input,AA$5,N$3*$Z$5+$AA$5-1)^0.5)+((2416/(N561+459.6)-2.013)*LOG10(INDEX(FX_Input,AA$5,N$3*$Z$5+$AA$5)))-(8742/(N561+459.6))+15.64),EXP(INDEX(Antoines,MATCH(N552,Antoine_Name,0),2)-INDEX(Antoines,MATCH(N552,Antoine_Name,0),3)/(N561+459.6))))),0)</f>
        <v>5.3015226887581056E-3</v>
      </c>
      <c r="O568" cm="1">
        <f t="array" ref="O568">IFERROR(IF(O553="Chemical",(10^(INDEX(Antoines,MATCH(O552,Antoine_Name,0),2)-INDEX(Antoines,MATCH(O552,Antoine_Name,0),3)/(INDEX(Antoines,MATCH(O552,Antoine_Name,0),4)+(O561-32)*5/9)))*14.7/760,IF(O553="Crude Oil",EXP((2799/(O561+459.6)-2.227)*LOG10(INDEX(FX_Input,AB$5,O$3*$Z$5+$AA$5))-(7261/(O561+459.6))+12.82),IF(O553="Refined Petroleum Stock",EXP((0.7553-(413/(O561+459.6)))*(INDEX(FX_Input,AB$5,O$3*$Z$5+$AA$5-1)^0.5)*LOG10(INDEX(FX_Input,AB$5,O$3*$Z$5+$AA$5))-(1.854-(1042/(O561+459.6)))*(INDEX(FX_Input,AB$5,O$3*$Z$5+$AA$5-1)^0.5)+((2416/(O561+459.6)-2.013)*LOG10(INDEX(FX_Input,AB$5,O$3*$Z$5+$AA$5)))-(8742/(O561+459.6))+15.64),EXP(INDEX(Antoines,MATCH(O552,Antoine_Name,0),2)-INDEX(Antoines,MATCH(O552,Antoine_Name,0),3)/(O561+459.6))))),0)</f>
        <v>4.68970903600947E-3</v>
      </c>
    </row>
    <row r="569" spans="2:32" ht="17.149999999999999" x14ac:dyDescent="0.55000000000000004">
      <c r="B569" t="str">
        <f t="shared" si="1940"/>
        <v>Portland</v>
      </c>
      <c r="C569" t="s">
        <v>580</v>
      </c>
      <c r="D569">
        <f>D568*D556</f>
        <v>4.739577185808354E-3</v>
      </c>
      <c r="E569">
        <f t="shared" ref="E569" si="1974">E568*E556</f>
        <v>4.8748667780818778E-3</v>
      </c>
      <c r="F569">
        <f t="shared" ref="F569" si="1975">F568*F556</f>
        <v>5.119885034186122E-3</v>
      </c>
      <c r="G569">
        <f t="shared" ref="G569" si="1976">G568*G556</f>
        <v>5.5846958573521795E-3</v>
      </c>
      <c r="H569">
        <f t="shared" ref="H569" si="1977">H568*H556</f>
        <v>6.5274070972739821E-3</v>
      </c>
      <c r="I569">
        <f t="shared" ref="I569" si="1978">I568*I556</f>
        <v>7.4199539958878279E-3</v>
      </c>
      <c r="J569">
        <f t="shared" ref="J569" si="1979">J568*J556</f>
        <v>8.3358107202842254E-3</v>
      </c>
      <c r="K569">
        <f t="shared" ref="K569" si="1980">K568*K556</f>
        <v>8.4605262729351115E-3</v>
      </c>
      <c r="L569">
        <f t="shared" ref="L569" si="1981">L568*L556</f>
        <v>7.8399882233967533E-3</v>
      </c>
      <c r="M569">
        <f t="shared" ref="M569" si="1982">M568*M556</f>
        <v>6.4173462075160911E-3</v>
      </c>
      <c r="N569">
        <f t="shared" ref="N569" si="1983">N568*N556</f>
        <v>5.3015226887581056E-3</v>
      </c>
      <c r="O569">
        <f t="shared" ref="O569" si="1984">O568*O556</f>
        <v>4.68970903600947E-3</v>
      </c>
    </row>
    <row r="570" spans="2:32" ht="17.149999999999999" x14ac:dyDescent="0.55000000000000004">
      <c r="B570" t="str">
        <f t="shared" si="1940"/>
        <v>Portland</v>
      </c>
      <c r="C570" t="s">
        <v>581</v>
      </c>
      <c r="D570" cm="1">
        <f t="array" ref="D570">IFERROR(IF(D555="Chemical",(10^(INDEX(Antoines,MATCH(D554,Antoine_Name,0),2)-INDEX(Antoines,MATCH(D554,Antoine_Name,0),3)/(INDEX(Antoines,MATCH(D554,Antoine_Name,0),4)+(D561-32)*5/9)))*14.7/760,IF(D555="Crude Oil",EXP((2799/(D561+459.6)-2.227)*LOG10(INDEX(FX_Input,Q$5,D$3*$Z$5+$AA$5))-(7261/(D561+459.6))+12.82),IF(D555="Refined Petroleum Stock",EXP((0.7553-(413/(D561+459.6)))*(INDEX(FX_Input,Q$5,D$3*$Z$5+$AA$5-1)^0.5)*LOG10(INDEX(FX_Input,Q$5,D$3*$Z$5+$AA$5))-(1.854-(1042/(D561+459.6)))*(INDEX(FX_Input,Q$5,D$3*$Z$5+$AA$5-1)^0.5)+((2416/(D561+459.6)-2.013)*LOG10(INDEX(FX_Input,Q$5,D$3*$Z$5+$AA$5)))-(8742/(D561+459.6))+15.64),EXP(INDEX(Antoines,MATCH(D554,Antoine_Name,0),2)-INDEX(Antoines,MATCH(D554,Antoine_Name,0),3)/(D561+459.6))))),0)</f>
        <v>0</v>
      </c>
      <c r="E570" cm="1">
        <f t="array" ref="E570">IFERROR(IF(E555="Chemical",(10^(INDEX(Antoines,MATCH(E554,Antoine_Name,0),2)-INDEX(Antoines,MATCH(E554,Antoine_Name,0),3)/(INDEX(Antoines,MATCH(E554,Antoine_Name,0),4)+(E561-32)*5/9)))*14.7/760,IF(E555="Crude Oil",EXP((2799/(E561+459.6)-2.227)*LOG10(INDEX(FX_Input,R$5,E$3*$Z$5+$AA$5))-(7261/(E561+459.6))+12.82),IF(E555="Refined Petroleum Stock",EXP((0.7553-(413/(E561+459.6)))*(INDEX(FX_Input,R$5,E$3*$Z$5+$AA$5-1)^0.5)*LOG10(INDEX(FX_Input,R$5,E$3*$Z$5+$AA$5))-(1.854-(1042/(E561+459.6)))*(INDEX(FX_Input,R$5,E$3*$Z$5+$AA$5-1)^0.5)+((2416/(E561+459.6)-2.013)*LOG10(INDEX(FX_Input,R$5,E$3*$Z$5+$AA$5)))-(8742/(E561+459.6))+15.64),EXP(INDEX(Antoines,MATCH(E554,Antoine_Name,0),2)-INDEX(Antoines,MATCH(E554,Antoine_Name,0),3)/(E561+459.6))))),0)</f>
        <v>0</v>
      </c>
      <c r="F570" cm="1">
        <f t="array" ref="F570">IFERROR(IF(F555="Chemical",(10^(INDEX(Antoines,MATCH(F554,Antoine_Name,0),2)-INDEX(Antoines,MATCH(F554,Antoine_Name,0),3)/(INDEX(Antoines,MATCH(F554,Antoine_Name,0),4)+(F561-32)*5/9)))*14.7/760,IF(F555="Crude Oil",EXP((2799/(F561+459.6)-2.227)*LOG10(INDEX(FX_Input,S$5,F$3*$Z$5+$AA$5))-(7261/(F561+459.6))+12.82),IF(F555="Refined Petroleum Stock",EXP((0.7553-(413/(F561+459.6)))*(INDEX(FX_Input,S$5,F$3*$Z$5+$AA$5-1)^0.5)*LOG10(INDEX(FX_Input,S$5,F$3*$Z$5+$AA$5))-(1.854-(1042/(F561+459.6)))*(INDEX(FX_Input,S$5,F$3*$Z$5+$AA$5-1)^0.5)+((2416/(F561+459.6)-2.013)*LOG10(INDEX(FX_Input,S$5,F$3*$Z$5+$AA$5)))-(8742/(F561+459.6))+15.64),EXP(INDEX(Antoines,MATCH(F554,Antoine_Name,0),2)-INDEX(Antoines,MATCH(F554,Antoine_Name,0),3)/(F561+459.6))))),0)</f>
        <v>0</v>
      </c>
      <c r="G570" cm="1">
        <f t="array" ref="G570">IFERROR(IF(G555="Chemical",(10^(INDEX(Antoines,MATCH(G554,Antoine_Name,0),2)-INDEX(Antoines,MATCH(G554,Antoine_Name,0),3)/(INDEX(Antoines,MATCH(G554,Antoine_Name,0),4)+(G561-32)*5/9)))*14.7/760,IF(G555="Crude Oil",EXP((2799/(G561+459.6)-2.227)*LOG10(INDEX(FX_Input,T$5,G$3*$Z$5+$AA$5))-(7261/(G561+459.6))+12.82),IF(G555="Refined Petroleum Stock",EXP((0.7553-(413/(G561+459.6)))*(INDEX(FX_Input,T$5,G$3*$Z$5+$AA$5-1)^0.5)*LOG10(INDEX(FX_Input,T$5,G$3*$Z$5+$AA$5))-(1.854-(1042/(G561+459.6)))*(INDEX(FX_Input,T$5,G$3*$Z$5+$AA$5-1)^0.5)+((2416/(G561+459.6)-2.013)*LOG10(INDEX(FX_Input,T$5,G$3*$Z$5+$AA$5)))-(8742/(G561+459.6))+15.64),EXP(INDEX(Antoines,MATCH(G554,Antoine_Name,0),2)-INDEX(Antoines,MATCH(G554,Antoine_Name,0),3)/(G561+459.6))))),0)</f>
        <v>0</v>
      </c>
      <c r="H570" cm="1">
        <f t="array" ref="H570">IFERROR(IF(H555="Chemical",(10^(INDEX(Antoines,MATCH(H554,Antoine_Name,0),2)-INDEX(Antoines,MATCH(H554,Antoine_Name,0),3)/(INDEX(Antoines,MATCH(H554,Antoine_Name,0),4)+(H561-32)*5/9)))*14.7/760,IF(H555="Crude Oil",EXP((2799/(H561+459.6)-2.227)*LOG10(INDEX(FX_Input,U$5,H$3*$Z$5+$AA$5))-(7261/(H561+459.6))+12.82),IF(H555="Refined Petroleum Stock",EXP((0.7553-(413/(H561+459.6)))*(INDEX(FX_Input,U$5,H$3*$Z$5+$AA$5-1)^0.5)*LOG10(INDEX(FX_Input,U$5,H$3*$Z$5+$AA$5))-(1.854-(1042/(H561+459.6)))*(INDEX(FX_Input,U$5,H$3*$Z$5+$AA$5-1)^0.5)+((2416/(H561+459.6)-2.013)*LOG10(INDEX(FX_Input,U$5,H$3*$Z$5+$AA$5)))-(8742/(H561+459.6))+15.64),EXP(INDEX(Antoines,MATCH(H554,Antoine_Name,0),2)-INDEX(Antoines,MATCH(H554,Antoine_Name,0),3)/(H561+459.6))))),0)</f>
        <v>0</v>
      </c>
      <c r="I570" cm="1">
        <f t="array" ref="I570">IFERROR(IF(I555="Chemical",(10^(INDEX(Antoines,MATCH(I554,Antoine_Name,0),2)-INDEX(Antoines,MATCH(I554,Antoine_Name,0),3)/(INDEX(Antoines,MATCH(I554,Antoine_Name,0),4)+(I561-32)*5/9)))*14.7/760,IF(I555="Crude Oil",EXP((2799/(I561+459.6)-2.227)*LOG10(INDEX(FX_Input,V$5,I$3*$Z$5+$AA$5))-(7261/(I561+459.6))+12.82),IF(I555="Refined Petroleum Stock",EXP((0.7553-(413/(I561+459.6)))*(INDEX(FX_Input,V$5,I$3*$Z$5+$AA$5-1)^0.5)*LOG10(INDEX(FX_Input,V$5,I$3*$Z$5+$AA$5))-(1.854-(1042/(I561+459.6)))*(INDEX(FX_Input,V$5,I$3*$Z$5+$AA$5-1)^0.5)+((2416/(I561+459.6)-2.013)*LOG10(INDEX(FX_Input,V$5,I$3*$Z$5+$AA$5)))-(8742/(I561+459.6))+15.64),EXP(INDEX(Antoines,MATCH(I554,Antoine_Name,0),2)-INDEX(Antoines,MATCH(I554,Antoine_Name,0),3)/(I561+459.6))))),0)</f>
        <v>0</v>
      </c>
      <c r="J570" cm="1">
        <f t="array" ref="J570">IFERROR(IF(J555="Chemical",(10^(INDEX(Antoines,MATCH(J554,Antoine_Name,0),2)-INDEX(Antoines,MATCH(J554,Antoine_Name,0),3)/(INDEX(Antoines,MATCH(J554,Antoine_Name,0),4)+(J561-32)*5/9)))*14.7/760,IF(J555="Crude Oil",EXP((2799/(J561+459.6)-2.227)*LOG10(INDEX(FX_Input,W$5,J$3*$Z$5+$AA$5))-(7261/(J561+459.6))+12.82),IF(J555="Refined Petroleum Stock",EXP((0.7553-(413/(J561+459.6)))*(INDEX(FX_Input,W$5,J$3*$Z$5+$AA$5-1)^0.5)*LOG10(INDEX(FX_Input,W$5,J$3*$Z$5+$AA$5))-(1.854-(1042/(J561+459.6)))*(INDEX(FX_Input,W$5,J$3*$Z$5+$AA$5-1)^0.5)+((2416/(J561+459.6)-2.013)*LOG10(INDEX(FX_Input,W$5,J$3*$Z$5+$AA$5)))-(8742/(J561+459.6))+15.64),EXP(INDEX(Antoines,MATCH(J554,Antoine_Name,0),2)-INDEX(Antoines,MATCH(J554,Antoine_Name,0),3)/(J561+459.6))))),0)</f>
        <v>0</v>
      </c>
      <c r="K570" cm="1">
        <f t="array" ref="K570">IFERROR(IF(K555="Chemical",(10^(INDEX(Antoines,MATCH(K554,Antoine_Name,0),2)-INDEX(Antoines,MATCH(K554,Antoine_Name,0),3)/(INDEX(Antoines,MATCH(K554,Antoine_Name,0),4)+(K561-32)*5/9)))*14.7/760,IF(K555="Crude Oil",EXP((2799/(K561+459.6)-2.227)*LOG10(INDEX(FX_Input,X$5,K$3*$Z$5+$AA$5))-(7261/(K561+459.6))+12.82),IF(K555="Refined Petroleum Stock",EXP((0.7553-(413/(K561+459.6)))*(INDEX(FX_Input,X$5,K$3*$Z$5+$AA$5-1)^0.5)*LOG10(INDEX(FX_Input,X$5,K$3*$Z$5+$AA$5))-(1.854-(1042/(K561+459.6)))*(INDEX(FX_Input,X$5,K$3*$Z$5+$AA$5-1)^0.5)+((2416/(K561+459.6)-2.013)*LOG10(INDEX(FX_Input,X$5,K$3*$Z$5+$AA$5)))-(8742/(K561+459.6))+15.64),EXP(INDEX(Antoines,MATCH(K554,Antoine_Name,0),2)-INDEX(Antoines,MATCH(K554,Antoine_Name,0),3)/(K561+459.6))))),0)</f>
        <v>0</v>
      </c>
      <c r="L570" cm="1">
        <f t="array" ref="L570">IFERROR(IF(L555="Chemical",(10^(INDEX(Antoines,MATCH(L554,Antoine_Name,0),2)-INDEX(Antoines,MATCH(L554,Antoine_Name,0),3)/(INDEX(Antoines,MATCH(L554,Antoine_Name,0),4)+(L561-32)*5/9)))*14.7/760,IF(L555="Crude Oil",EXP((2799/(L561+459.6)-2.227)*LOG10(INDEX(FX_Input,Y$5,L$3*$Z$5+$AA$5))-(7261/(L561+459.6))+12.82),IF(L555="Refined Petroleum Stock",EXP((0.7553-(413/(L561+459.6)))*(INDEX(FX_Input,Y$5,L$3*$Z$5+$AA$5-1)^0.5)*LOG10(INDEX(FX_Input,Y$5,L$3*$Z$5+$AA$5))-(1.854-(1042/(L561+459.6)))*(INDEX(FX_Input,Y$5,L$3*$Z$5+$AA$5-1)^0.5)+((2416/(L561+459.6)-2.013)*LOG10(INDEX(FX_Input,Y$5,L$3*$Z$5+$AA$5)))-(8742/(L561+459.6))+15.64),EXP(INDEX(Antoines,MATCH(L554,Antoine_Name,0),2)-INDEX(Antoines,MATCH(L554,Antoine_Name,0),3)/(L561+459.6))))),0)</f>
        <v>0</v>
      </c>
      <c r="M570" cm="1">
        <f t="array" ref="M570">IFERROR(IF(M555="Chemical",(10^(INDEX(Antoines,MATCH(M554,Antoine_Name,0),2)-INDEX(Antoines,MATCH(M554,Antoine_Name,0),3)/(INDEX(Antoines,MATCH(M554,Antoine_Name,0),4)+(M561-32)*5/9)))*14.7/760,IF(M555="Crude Oil",EXP((2799/(M561+459.6)-2.227)*LOG10(INDEX(FX_Input,Z$5,M$3*$Z$5+$AA$5))-(7261/(M561+459.6))+12.82),IF(M555="Refined Petroleum Stock",EXP((0.7553-(413/(M561+459.6)))*(INDEX(FX_Input,Z$5,M$3*$Z$5+$AA$5-1)^0.5)*LOG10(INDEX(FX_Input,Z$5,M$3*$Z$5+$AA$5))-(1.854-(1042/(M561+459.6)))*(INDEX(FX_Input,Z$5,M$3*$Z$5+$AA$5-1)^0.5)+((2416/(M561+459.6)-2.013)*LOG10(INDEX(FX_Input,Z$5,M$3*$Z$5+$AA$5)))-(8742/(M561+459.6))+15.64),EXP(INDEX(Antoines,MATCH(M554,Antoine_Name,0),2)-INDEX(Antoines,MATCH(M554,Antoine_Name,0),3)/(M561+459.6))))),0)</f>
        <v>0</v>
      </c>
      <c r="N570" cm="1">
        <f t="array" ref="N570">IFERROR(IF(N555="Chemical",(10^(INDEX(Antoines,MATCH(N554,Antoine_Name,0),2)-INDEX(Antoines,MATCH(N554,Antoine_Name,0),3)/(INDEX(Antoines,MATCH(N554,Antoine_Name,0),4)+(N561-32)*5/9)))*14.7/760,IF(N555="Crude Oil",EXP((2799/(N561+459.6)-2.227)*LOG10(INDEX(FX_Input,AA$5,N$3*$Z$5+$AA$5))-(7261/(N561+459.6))+12.82),IF(N555="Refined Petroleum Stock",EXP((0.7553-(413/(N561+459.6)))*(INDEX(FX_Input,AA$5,N$3*$Z$5+$AA$5-1)^0.5)*LOG10(INDEX(FX_Input,AA$5,N$3*$Z$5+$AA$5))-(1.854-(1042/(N561+459.6)))*(INDEX(FX_Input,AA$5,N$3*$Z$5+$AA$5-1)^0.5)+((2416/(N561+459.6)-2.013)*LOG10(INDEX(FX_Input,AA$5,N$3*$Z$5+$AA$5)))-(8742/(N561+459.6))+15.64),EXP(INDEX(Antoines,MATCH(N554,Antoine_Name,0),2)-INDEX(Antoines,MATCH(N554,Antoine_Name,0),3)/(N561+459.6))))),0)</f>
        <v>0</v>
      </c>
      <c r="O570" cm="1">
        <f t="array" ref="O570">IFERROR(IF(O555="Chemical",(10^(INDEX(Antoines,MATCH(O554,Antoine_Name,0),2)-INDEX(Antoines,MATCH(O554,Antoine_Name,0),3)/(INDEX(Antoines,MATCH(O554,Antoine_Name,0),4)+(O561-32)*5/9)))*14.7/760,IF(O555="Crude Oil",EXP((2799/(O561+459.6)-2.227)*LOG10(INDEX(FX_Input,AB$5,O$3*$Z$5+$AA$5))-(7261/(O561+459.6))+12.82),IF(O555="Refined Petroleum Stock",EXP((0.7553-(413/(O561+459.6)))*(INDEX(FX_Input,AB$5,O$3*$Z$5+$AA$5-1)^0.5)*LOG10(INDEX(FX_Input,AB$5,O$3*$Z$5+$AA$5))-(1.854-(1042/(O561+459.6)))*(INDEX(FX_Input,AB$5,O$3*$Z$5+$AA$5-1)^0.5)+((2416/(O561+459.6)-2.013)*LOG10(INDEX(FX_Input,AB$5,O$3*$Z$5+$AA$5)))-(8742/(O561+459.6))+15.64),EXP(INDEX(Antoines,MATCH(O554,Antoine_Name,0),2)-INDEX(Antoines,MATCH(O554,Antoine_Name,0),3)/(O561+459.6))))),0)</f>
        <v>0</v>
      </c>
    </row>
    <row r="571" spans="2:32" ht="17.149999999999999" x14ac:dyDescent="0.55000000000000004">
      <c r="B571" t="str">
        <f t="shared" si="1940"/>
        <v>Portland</v>
      </c>
      <c r="C571" t="s">
        <v>582</v>
      </c>
      <c r="D571">
        <f>D570*D558</f>
        <v>0</v>
      </c>
      <c r="E571">
        <f t="shared" ref="E571" si="1985">E570*E558</f>
        <v>0</v>
      </c>
      <c r="F571">
        <f t="shared" ref="F571" si="1986">F570*F558</f>
        <v>0</v>
      </c>
      <c r="G571">
        <f t="shared" ref="G571" si="1987">G570*G558</f>
        <v>0</v>
      </c>
      <c r="H571">
        <f t="shared" ref="H571" si="1988">H570*H558</f>
        <v>0</v>
      </c>
      <c r="I571">
        <f t="shared" ref="I571" si="1989">I570*I558</f>
        <v>0</v>
      </c>
      <c r="J571">
        <f t="shared" ref="J571" si="1990">J570*J558</f>
        <v>0</v>
      </c>
      <c r="K571">
        <f t="shared" ref="K571" si="1991">K570*K558</f>
        <v>0</v>
      </c>
      <c r="L571">
        <f t="shared" ref="L571" si="1992">L570*L558</f>
        <v>0</v>
      </c>
      <c r="M571">
        <f t="shared" ref="M571" si="1993">M570*M558</f>
        <v>0</v>
      </c>
      <c r="N571">
        <f t="shared" ref="N571" si="1994">N570*N558</f>
        <v>0</v>
      </c>
      <c r="O571">
        <f t="shared" ref="O571" si="1995">O570*O558</f>
        <v>0</v>
      </c>
    </row>
    <row r="572" spans="2:32" ht="17.149999999999999" x14ac:dyDescent="0.55000000000000004">
      <c r="B572" t="str">
        <f t="shared" si="1940"/>
        <v>Portland</v>
      </c>
      <c r="C572" t="s">
        <v>583</v>
      </c>
      <c r="D572">
        <f>D569+D571</f>
        <v>4.739577185808354E-3</v>
      </c>
      <c r="E572">
        <f t="shared" ref="E572" si="1996">E569+E571</f>
        <v>4.8748667780818778E-3</v>
      </c>
      <c r="F572">
        <f t="shared" ref="F572" si="1997">F569+F571</f>
        <v>5.119885034186122E-3</v>
      </c>
      <c r="G572">
        <f t="shared" ref="G572" si="1998">G569+G571</f>
        <v>5.5846958573521795E-3</v>
      </c>
      <c r="H572">
        <f t="shared" ref="H572" si="1999">H569+H571</f>
        <v>6.5274070972739821E-3</v>
      </c>
      <c r="I572">
        <f t="shared" ref="I572" si="2000">I569+I571</f>
        <v>7.4199539958878279E-3</v>
      </c>
      <c r="J572">
        <f t="shared" ref="J572" si="2001">J569+J571</f>
        <v>8.3358107202842254E-3</v>
      </c>
      <c r="K572">
        <f t="shared" ref="K572" si="2002">K569+K571</f>
        <v>8.4605262729351115E-3</v>
      </c>
      <c r="L572">
        <f t="shared" ref="L572" si="2003">L569+L571</f>
        <v>7.8399882233967533E-3</v>
      </c>
      <c r="M572">
        <f t="shared" ref="M572" si="2004">M569+M571</f>
        <v>6.4173462075160911E-3</v>
      </c>
      <c r="N572">
        <f t="shared" ref="N572" si="2005">N569+N571</f>
        <v>5.3015226887581056E-3</v>
      </c>
      <c r="O572">
        <f t="shared" ref="O572" si="2006">O569+O571</f>
        <v>4.68970903600947E-3</v>
      </c>
    </row>
    <row r="573" spans="2:32" ht="17.149999999999999" x14ac:dyDescent="0.55000000000000004">
      <c r="B573" t="str">
        <f t="shared" si="1940"/>
        <v>Portland</v>
      </c>
      <c r="C573" t="s">
        <v>1388</v>
      </c>
      <c r="D573" cm="1">
        <f t="array" ref="D573">IFERROR(IF(D553="Chemical",(10^(INDEX(Antoines,MATCH(D552,Antoine_Name,0),2)-INDEX(Antoines,MATCH(D552,Antoine_Name,0),3)/(INDEX(Antoines,MATCH(D552,Antoine_Name,0),4)+(D562-32)*5/9)))*14.7/760,IF(D553="Crude Oil",EXP((2799/(D562+459.6)-2.227)*LOG10(INDEX(FX_Input,Q$5,D$3*$Z$5+$AA$5))-(7261/(D562+459.6))+12.82),IF(D553="Refined Petroleum Stock",EXP((0.7553-(413/(D562+459.6)))*(INDEX(FX_Input,Q$5,D$3*$Z$5+$AA$5-1)^0.5)*LOG10(INDEX(FX_Input,Q$5,D$3*$Z$5+$AA$5))-(1.854-(1042/(D562+459.6)))*(INDEX(FX_Input,Q$5,D$3*$Z$5+$AA$5-1)^0.5)+((2416/(D562+459.6)-2.013)*LOG10(INDEX(FX_Input,Q$5,D$3*$Z$5+$AA$5)))-(8742/(D562+459.6))+15.64),EXP(INDEX(Antoines,MATCH(D552,Antoine_Name,0),2)-INDEX(Antoines,MATCH(D552,Antoine_Name,0),3)/(D562+459.6))))),0)</f>
        <v>4.739577185808354E-3</v>
      </c>
      <c r="E573" cm="1">
        <f t="array" ref="E573">IFERROR(IF(E553="Chemical",(10^(INDEX(Antoines,MATCH(E552,Antoine_Name,0),2)-INDEX(Antoines,MATCH(E552,Antoine_Name,0),3)/(INDEX(Antoines,MATCH(E552,Antoine_Name,0),4)+(E562-32)*5/9)))*14.7/760,IF(E553="Crude Oil",EXP((2799/(E562+459.6)-2.227)*LOG10(INDEX(FX_Input,R$5,E$3*$Z$5+$AA$5))-(7261/(E562+459.6))+12.82),IF(E553="Refined Petroleum Stock",EXP((0.7553-(413/(E562+459.6)))*(INDEX(FX_Input,R$5,E$3*$Z$5+$AA$5-1)^0.5)*LOG10(INDEX(FX_Input,R$5,E$3*$Z$5+$AA$5))-(1.854-(1042/(E562+459.6)))*(INDEX(FX_Input,R$5,E$3*$Z$5+$AA$5-1)^0.5)+((2416/(E562+459.6)-2.013)*LOG10(INDEX(FX_Input,R$5,E$3*$Z$5+$AA$5)))-(8742/(E562+459.6))+15.64),EXP(INDEX(Antoines,MATCH(E552,Antoine_Name,0),2)-INDEX(Antoines,MATCH(E552,Antoine_Name,0),3)/(E562+459.6))))),0)</f>
        <v>4.8748667780818778E-3</v>
      </c>
      <c r="F573" cm="1">
        <f t="array" ref="F573">IFERROR(IF(F553="Chemical",(10^(INDEX(Antoines,MATCH(F552,Antoine_Name,0),2)-INDEX(Antoines,MATCH(F552,Antoine_Name,0),3)/(INDEX(Antoines,MATCH(F552,Antoine_Name,0),4)+(F562-32)*5/9)))*14.7/760,IF(F553="Crude Oil",EXP((2799/(F562+459.6)-2.227)*LOG10(INDEX(FX_Input,S$5,F$3*$Z$5+$AA$5))-(7261/(F562+459.6))+12.82),IF(F553="Refined Petroleum Stock",EXP((0.7553-(413/(F562+459.6)))*(INDEX(FX_Input,S$5,F$3*$Z$5+$AA$5-1)^0.5)*LOG10(INDEX(FX_Input,S$5,F$3*$Z$5+$AA$5))-(1.854-(1042/(F562+459.6)))*(INDEX(FX_Input,S$5,F$3*$Z$5+$AA$5-1)^0.5)+((2416/(F562+459.6)-2.013)*LOG10(INDEX(FX_Input,S$5,F$3*$Z$5+$AA$5)))-(8742/(F562+459.6))+15.64),EXP(INDEX(Antoines,MATCH(F552,Antoine_Name,0),2)-INDEX(Antoines,MATCH(F552,Antoine_Name,0),3)/(F562+459.6))))),0)</f>
        <v>5.119885034186122E-3</v>
      </c>
      <c r="G573" cm="1">
        <f t="array" ref="G573">IFERROR(IF(G553="Chemical",(10^(INDEX(Antoines,MATCH(G552,Antoine_Name,0),2)-INDEX(Antoines,MATCH(G552,Antoine_Name,0),3)/(INDEX(Antoines,MATCH(G552,Antoine_Name,0),4)+(G562-32)*5/9)))*14.7/760,IF(G553="Crude Oil",EXP((2799/(G562+459.6)-2.227)*LOG10(INDEX(FX_Input,T$5,G$3*$Z$5+$AA$5))-(7261/(G562+459.6))+12.82),IF(G553="Refined Petroleum Stock",EXP((0.7553-(413/(G562+459.6)))*(INDEX(FX_Input,T$5,G$3*$Z$5+$AA$5-1)^0.5)*LOG10(INDEX(FX_Input,T$5,G$3*$Z$5+$AA$5))-(1.854-(1042/(G562+459.6)))*(INDEX(FX_Input,T$5,G$3*$Z$5+$AA$5-1)^0.5)+((2416/(G562+459.6)-2.013)*LOG10(INDEX(FX_Input,T$5,G$3*$Z$5+$AA$5)))-(8742/(G562+459.6))+15.64),EXP(INDEX(Antoines,MATCH(G552,Antoine_Name,0),2)-INDEX(Antoines,MATCH(G552,Antoine_Name,0),3)/(G562+459.6))))),0)</f>
        <v>5.5846958573521795E-3</v>
      </c>
      <c r="H573" cm="1">
        <f t="array" ref="H573">IFERROR(IF(H553="Chemical",(10^(INDEX(Antoines,MATCH(H552,Antoine_Name,0),2)-INDEX(Antoines,MATCH(H552,Antoine_Name,0),3)/(INDEX(Antoines,MATCH(H552,Antoine_Name,0),4)+(H562-32)*5/9)))*14.7/760,IF(H553="Crude Oil",EXP((2799/(H562+459.6)-2.227)*LOG10(INDEX(FX_Input,U$5,H$3*$Z$5+$AA$5))-(7261/(H562+459.6))+12.82),IF(H553="Refined Petroleum Stock",EXP((0.7553-(413/(H562+459.6)))*(INDEX(FX_Input,U$5,H$3*$Z$5+$AA$5-1)^0.5)*LOG10(INDEX(FX_Input,U$5,H$3*$Z$5+$AA$5))-(1.854-(1042/(H562+459.6)))*(INDEX(FX_Input,U$5,H$3*$Z$5+$AA$5-1)^0.5)+((2416/(H562+459.6)-2.013)*LOG10(INDEX(FX_Input,U$5,H$3*$Z$5+$AA$5)))-(8742/(H562+459.6))+15.64),EXP(INDEX(Antoines,MATCH(H552,Antoine_Name,0),2)-INDEX(Antoines,MATCH(H552,Antoine_Name,0),3)/(H562+459.6))))),0)</f>
        <v>6.5274070972739821E-3</v>
      </c>
      <c r="I573" cm="1">
        <f t="array" ref="I573">IFERROR(IF(I553="Chemical",(10^(INDEX(Antoines,MATCH(I552,Antoine_Name,0),2)-INDEX(Antoines,MATCH(I552,Antoine_Name,0),3)/(INDEX(Antoines,MATCH(I552,Antoine_Name,0),4)+(I562-32)*5/9)))*14.7/760,IF(I553="Crude Oil",EXP((2799/(I562+459.6)-2.227)*LOG10(INDEX(FX_Input,V$5,I$3*$Z$5+$AA$5))-(7261/(I562+459.6))+12.82),IF(I553="Refined Petroleum Stock",EXP((0.7553-(413/(I562+459.6)))*(INDEX(FX_Input,V$5,I$3*$Z$5+$AA$5-1)^0.5)*LOG10(INDEX(FX_Input,V$5,I$3*$Z$5+$AA$5))-(1.854-(1042/(I562+459.6)))*(INDEX(FX_Input,V$5,I$3*$Z$5+$AA$5-1)^0.5)+((2416/(I562+459.6)-2.013)*LOG10(INDEX(FX_Input,V$5,I$3*$Z$5+$AA$5)))-(8742/(I562+459.6))+15.64),EXP(INDEX(Antoines,MATCH(I552,Antoine_Name,0),2)-INDEX(Antoines,MATCH(I552,Antoine_Name,0),3)/(I562+459.6))))),0)</f>
        <v>7.4199539958878279E-3</v>
      </c>
      <c r="J573" cm="1">
        <f t="array" ref="J573">IFERROR(IF(J553="Chemical",(10^(INDEX(Antoines,MATCH(J552,Antoine_Name,0),2)-INDEX(Antoines,MATCH(J552,Antoine_Name,0),3)/(INDEX(Antoines,MATCH(J552,Antoine_Name,0),4)+(J562-32)*5/9)))*14.7/760,IF(J553="Crude Oil",EXP((2799/(J562+459.6)-2.227)*LOG10(INDEX(FX_Input,W$5,J$3*$Z$5+$AA$5))-(7261/(J562+459.6))+12.82),IF(J553="Refined Petroleum Stock",EXP((0.7553-(413/(J562+459.6)))*(INDEX(FX_Input,W$5,J$3*$Z$5+$AA$5-1)^0.5)*LOG10(INDEX(FX_Input,W$5,J$3*$Z$5+$AA$5))-(1.854-(1042/(J562+459.6)))*(INDEX(FX_Input,W$5,J$3*$Z$5+$AA$5-1)^0.5)+((2416/(J562+459.6)-2.013)*LOG10(INDEX(FX_Input,W$5,J$3*$Z$5+$AA$5)))-(8742/(J562+459.6))+15.64),EXP(INDEX(Antoines,MATCH(J552,Antoine_Name,0),2)-INDEX(Antoines,MATCH(J552,Antoine_Name,0),3)/(J562+459.6))))),0)</f>
        <v>8.3358107202842254E-3</v>
      </c>
      <c r="K573" cm="1">
        <f t="array" ref="K573">IFERROR(IF(K553="Chemical",(10^(INDEX(Antoines,MATCH(K552,Antoine_Name,0),2)-INDEX(Antoines,MATCH(K552,Antoine_Name,0),3)/(INDEX(Antoines,MATCH(K552,Antoine_Name,0),4)+(K562-32)*5/9)))*14.7/760,IF(K553="Crude Oil",EXP((2799/(K562+459.6)-2.227)*LOG10(INDEX(FX_Input,X$5,K$3*$Z$5+$AA$5))-(7261/(K562+459.6))+12.82),IF(K553="Refined Petroleum Stock",EXP((0.7553-(413/(K562+459.6)))*(INDEX(FX_Input,X$5,K$3*$Z$5+$AA$5-1)^0.5)*LOG10(INDEX(FX_Input,X$5,K$3*$Z$5+$AA$5))-(1.854-(1042/(K562+459.6)))*(INDEX(FX_Input,X$5,K$3*$Z$5+$AA$5-1)^0.5)+((2416/(K562+459.6)-2.013)*LOG10(INDEX(FX_Input,X$5,K$3*$Z$5+$AA$5)))-(8742/(K562+459.6))+15.64),EXP(INDEX(Antoines,MATCH(K552,Antoine_Name,0),2)-INDEX(Antoines,MATCH(K552,Antoine_Name,0),3)/(K562+459.6))))),0)</f>
        <v>8.4605262729351115E-3</v>
      </c>
      <c r="L573" cm="1">
        <f t="array" ref="L573">IFERROR(IF(L553="Chemical",(10^(INDEX(Antoines,MATCH(L552,Antoine_Name,0),2)-INDEX(Antoines,MATCH(L552,Antoine_Name,0),3)/(INDEX(Antoines,MATCH(L552,Antoine_Name,0),4)+(L562-32)*5/9)))*14.7/760,IF(L553="Crude Oil",EXP((2799/(L562+459.6)-2.227)*LOG10(INDEX(FX_Input,Y$5,L$3*$Z$5+$AA$5))-(7261/(L562+459.6))+12.82),IF(L553="Refined Petroleum Stock",EXP((0.7553-(413/(L562+459.6)))*(INDEX(FX_Input,Y$5,L$3*$Z$5+$AA$5-1)^0.5)*LOG10(INDEX(FX_Input,Y$5,L$3*$Z$5+$AA$5))-(1.854-(1042/(L562+459.6)))*(INDEX(FX_Input,Y$5,L$3*$Z$5+$AA$5-1)^0.5)+((2416/(L562+459.6)-2.013)*LOG10(INDEX(FX_Input,Y$5,L$3*$Z$5+$AA$5)))-(8742/(L562+459.6))+15.64),EXP(INDEX(Antoines,MATCH(L552,Antoine_Name,0),2)-INDEX(Antoines,MATCH(L552,Antoine_Name,0),3)/(L562+459.6))))),0)</f>
        <v>7.8399882233967533E-3</v>
      </c>
      <c r="M573" cm="1">
        <f t="array" ref="M573">IFERROR(IF(M553="Chemical",(10^(INDEX(Antoines,MATCH(M552,Antoine_Name,0),2)-INDEX(Antoines,MATCH(M552,Antoine_Name,0),3)/(INDEX(Antoines,MATCH(M552,Antoine_Name,0),4)+(M562-32)*5/9)))*14.7/760,IF(M553="Crude Oil",EXP((2799/(M562+459.6)-2.227)*LOG10(INDEX(FX_Input,Z$5,M$3*$Z$5+$AA$5))-(7261/(M562+459.6))+12.82),IF(M553="Refined Petroleum Stock",EXP((0.7553-(413/(M562+459.6)))*(INDEX(FX_Input,Z$5,M$3*$Z$5+$AA$5-1)^0.5)*LOG10(INDEX(FX_Input,Z$5,M$3*$Z$5+$AA$5))-(1.854-(1042/(M562+459.6)))*(INDEX(FX_Input,Z$5,M$3*$Z$5+$AA$5-1)^0.5)+((2416/(M562+459.6)-2.013)*LOG10(INDEX(FX_Input,Z$5,M$3*$Z$5+$AA$5)))-(8742/(M562+459.6))+15.64),EXP(INDEX(Antoines,MATCH(M552,Antoine_Name,0),2)-INDEX(Antoines,MATCH(M552,Antoine_Name,0),3)/(M562+459.6))))),0)</f>
        <v>6.4173462075160911E-3</v>
      </c>
      <c r="N573" cm="1">
        <f t="array" ref="N573">IFERROR(IF(N553="Chemical",(10^(INDEX(Antoines,MATCH(N552,Antoine_Name,0),2)-INDEX(Antoines,MATCH(N552,Antoine_Name,0),3)/(INDEX(Antoines,MATCH(N552,Antoine_Name,0),4)+(N562-32)*5/9)))*14.7/760,IF(N553="Crude Oil",EXP((2799/(N562+459.6)-2.227)*LOG10(INDEX(FX_Input,AA$5,N$3*$Z$5+$AA$5))-(7261/(N562+459.6))+12.82),IF(N553="Refined Petroleum Stock",EXP((0.7553-(413/(N562+459.6)))*(INDEX(FX_Input,AA$5,N$3*$Z$5+$AA$5-1)^0.5)*LOG10(INDEX(FX_Input,AA$5,N$3*$Z$5+$AA$5))-(1.854-(1042/(N562+459.6)))*(INDEX(FX_Input,AA$5,N$3*$Z$5+$AA$5-1)^0.5)+((2416/(N562+459.6)-2.013)*LOG10(INDEX(FX_Input,AA$5,N$3*$Z$5+$AA$5)))-(8742/(N562+459.6))+15.64),EXP(INDEX(Antoines,MATCH(N552,Antoine_Name,0),2)-INDEX(Antoines,MATCH(N552,Antoine_Name,0),3)/(N562+459.6))))),0)</f>
        <v>5.3015226887581056E-3</v>
      </c>
      <c r="O573" cm="1">
        <f t="array" ref="O573">IFERROR(IF(O553="Chemical",(10^(INDEX(Antoines,MATCH(O552,Antoine_Name,0),2)-INDEX(Antoines,MATCH(O552,Antoine_Name,0),3)/(INDEX(Antoines,MATCH(O552,Antoine_Name,0),4)+(O562-32)*5/9)))*14.7/760,IF(O553="Crude Oil",EXP((2799/(O562+459.6)-2.227)*LOG10(INDEX(FX_Input,AB$5,O$3*$Z$5+$AA$5))-(7261/(O562+459.6))+12.82),IF(O553="Refined Petroleum Stock",EXP((0.7553-(413/(O562+459.6)))*(INDEX(FX_Input,AB$5,O$3*$Z$5+$AA$5-1)^0.5)*LOG10(INDEX(FX_Input,AB$5,O$3*$Z$5+$AA$5))-(1.854-(1042/(O562+459.6)))*(INDEX(FX_Input,AB$5,O$3*$Z$5+$AA$5-1)^0.5)+((2416/(O562+459.6)-2.013)*LOG10(INDEX(FX_Input,AB$5,O$3*$Z$5+$AA$5)))-(8742/(O562+459.6))+15.64),EXP(INDEX(Antoines,MATCH(O552,Antoine_Name,0),2)-INDEX(Antoines,MATCH(O552,Antoine_Name,0),3)/(O562+459.6))))),0)</f>
        <v>4.68970903600947E-3</v>
      </c>
    </row>
    <row r="574" spans="2:32" ht="17.149999999999999" x14ac:dyDescent="0.55000000000000004">
      <c r="B574" t="str">
        <f t="shared" si="1940"/>
        <v>Portland</v>
      </c>
      <c r="C574" t="s">
        <v>1389</v>
      </c>
      <c r="D574">
        <f>D573*D556</f>
        <v>4.739577185808354E-3</v>
      </c>
      <c r="E574">
        <f t="shared" ref="E574" si="2007">E573*E556</f>
        <v>4.8748667780818778E-3</v>
      </c>
      <c r="F574">
        <f t="shared" ref="F574" si="2008">F573*F556</f>
        <v>5.119885034186122E-3</v>
      </c>
      <c r="G574">
        <f t="shared" ref="G574" si="2009">G573*G556</f>
        <v>5.5846958573521795E-3</v>
      </c>
      <c r="H574">
        <f t="shared" ref="H574" si="2010">H573*H556</f>
        <v>6.5274070972739821E-3</v>
      </c>
      <c r="I574">
        <f t="shared" ref="I574" si="2011">I573*I556</f>
        <v>7.4199539958878279E-3</v>
      </c>
      <c r="J574">
        <f t="shared" ref="J574" si="2012">J573*J556</f>
        <v>8.3358107202842254E-3</v>
      </c>
      <c r="K574">
        <f t="shared" ref="K574" si="2013">K573*K556</f>
        <v>8.4605262729351115E-3</v>
      </c>
      <c r="L574">
        <f t="shared" ref="L574" si="2014">L573*L556</f>
        <v>7.8399882233967533E-3</v>
      </c>
      <c r="M574">
        <f t="shared" ref="M574" si="2015">M573*M556</f>
        <v>6.4173462075160911E-3</v>
      </c>
      <c r="N574">
        <f t="shared" ref="N574" si="2016">N573*N556</f>
        <v>5.3015226887581056E-3</v>
      </c>
      <c r="O574">
        <f t="shared" ref="O574" si="2017">O573*O556</f>
        <v>4.68970903600947E-3</v>
      </c>
    </row>
    <row r="575" spans="2:32" ht="17.149999999999999" x14ac:dyDescent="0.55000000000000004">
      <c r="B575" t="str">
        <f t="shared" si="1940"/>
        <v>Portland</v>
      </c>
      <c r="C575" t="s">
        <v>1390</v>
      </c>
      <c r="D575" cm="1">
        <f t="array" ref="D575">IFERROR(IF(D555="Chemical",(10^(INDEX(Antoines,MATCH(D554,Antoine_Name,0),2)-INDEX(Antoines,MATCH(D554,Antoine_Name,0),3)/(INDEX(Antoines,MATCH(D554,Antoine_Name,0),4)+(D562-32)*5/9)))*14.7/760,IF(D555="Crude Oil",EXP((2799/(D562+459.6)-2.227)*LOG10(INDEX(FX_Input,Q$5,D$3*$Z$5+$AA$5))-(7261/(D562+459.6))+12.82),IF(D555="Refined Petroleum Stock",EXP((0.7553-(413/(D562+459.6)))*(INDEX(FX_Input,Q$5,D$3*$Z$5+$AA$5-1)^0.5)*LOG10(INDEX(FX_Input,Q$5,D$3*$Z$5+$AA$5))-(1.854-(1042/(D562+459.6)))*(INDEX(FX_Input,Q$5,D$3*$Z$5+$AA$5-1)^0.5)+((2416/(D562+459.6)-2.013)*LOG10(INDEX(FX_Input,Q$5,D$3*$Z$5+$AA$5)))-(8742/(D562+459.6))+15.64),EXP(INDEX(Antoines,MATCH(D554,Antoine_Name,0),2)-INDEX(Antoines,MATCH(D554,Antoine_Name,0),3)/(D562+459.6))))),0)</f>
        <v>0</v>
      </c>
      <c r="E575" cm="1">
        <f t="array" ref="E575">IFERROR(IF(E555="Chemical",(10^(INDEX(Antoines,MATCH(E554,Antoine_Name,0),2)-INDEX(Antoines,MATCH(E554,Antoine_Name,0),3)/(INDEX(Antoines,MATCH(E554,Antoine_Name,0),4)+(E562-32)*5/9)))*14.7/760,IF(E555="Crude Oil",EXP((2799/(E562+459.6)-2.227)*LOG10(INDEX(FX_Input,R$5,E$3*$Z$5+$AA$5))-(7261/(E562+459.6))+12.82),IF(E555="Refined Petroleum Stock",EXP((0.7553-(413/(E562+459.6)))*(INDEX(FX_Input,R$5,E$3*$Z$5+$AA$5-1)^0.5)*LOG10(INDEX(FX_Input,R$5,E$3*$Z$5+$AA$5))-(1.854-(1042/(E562+459.6)))*(INDEX(FX_Input,R$5,E$3*$Z$5+$AA$5-1)^0.5)+((2416/(E562+459.6)-2.013)*LOG10(INDEX(FX_Input,R$5,E$3*$Z$5+$AA$5)))-(8742/(E562+459.6))+15.64),EXP(INDEX(Antoines,MATCH(E554,Antoine_Name,0),2)-INDEX(Antoines,MATCH(E554,Antoine_Name,0),3)/(E562+459.6))))),0)</f>
        <v>0</v>
      </c>
      <c r="F575" cm="1">
        <f t="array" ref="F575">IFERROR(IF(F555="Chemical",(10^(INDEX(Antoines,MATCH(F554,Antoine_Name,0),2)-INDEX(Antoines,MATCH(F554,Antoine_Name,0),3)/(INDEX(Antoines,MATCH(F554,Antoine_Name,0),4)+(F562-32)*5/9)))*14.7/760,IF(F555="Crude Oil",EXP((2799/(F562+459.6)-2.227)*LOG10(INDEX(FX_Input,S$5,F$3*$Z$5+$AA$5))-(7261/(F562+459.6))+12.82),IF(F555="Refined Petroleum Stock",EXP((0.7553-(413/(F562+459.6)))*(INDEX(FX_Input,S$5,F$3*$Z$5+$AA$5-1)^0.5)*LOG10(INDEX(FX_Input,S$5,F$3*$Z$5+$AA$5))-(1.854-(1042/(F562+459.6)))*(INDEX(FX_Input,S$5,F$3*$Z$5+$AA$5-1)^0.5)+((2416/(F562+459.6)-2.013)*LOG10(INDEX(FX_Input,S$5,F$3*$Z$5+$AA$5)))-(8742/(F562+459.6))+15.64),EXP(INDEX(Antoines,MATCH(F554,Antoine_Name,0),2)-INDEX(Antoines,MATCH(F554,Antoine_Name,0),3)/(F562+459.6))))),0)</f>
        <v>0</v>
      </c>
      <c r="G575" cm="1">
        <f t="array" ref="G575">IFERROR(IF(G555="Chemical",(10^(INDEX(Antoines,MATCH(G554,Antoine_Name,0),2)-INDEX(Antoines,MATCH(G554,Antoine_Name,0),3)/(INDEX(Antoines,MATCH(G554,Antoine_Name,0),4)+(G562-32)*5/9)))*14.7/760,IF(G555="Crude Oil",EXP((2799/(G562+459.6)-2.227)*LOG10(INDEX(FX_Input,T$5,G$3*$Z$5+$AA$5))-(7261/(G562+459.6))+12.82),IF(G555="Refined Petroleum Stock",EXP((0.7553-(413/(G562+459.6)))*(INDEX(FX_Input,T$5,G$3*$Z$5+$AA$5-1)^0.5)*LOG10(INDEX(FX_Input,T$5,G$3*$Z$5+$AA$5))-(1.854-(1042/(G562+459.6)))*(INDEX(FX_Input,T$5,G$3*$Z$5+$AA$5-1)^0.5)+((2416/(G562+459.6)-2.013)*LOG10(INDEX(FX_Input,T$5,G$3*$Z$5+$AA$5)))-(8742/(G562+459.6))+15.64),EXP(INDEX(Antoines,MATCH(G554,Antoine_Name,0),2)-INDEX(Antoines,MATCH(G554,Antoine_Name,0),3)/(G562+459.6))))),0)</f>
        <v>0</v>
      </c>
      <c r="H575" cm="1">
        <f t="array" ref="H575">IFERROR(IF(H555="Chemical",(10^(INDEX(Antoines,MATCH(H554,Antoine_Name,0),2)-INDEX(Antoines,MATCH(H554,Antoine_Name,0),3)/(INDEX(Antoines,MATCH(H554,Antoine_Name,0),4)+(H562-32)*5/9)))*14.7/760,IF(H555="Crude Oil",EXP((2799/(H562+459.6)-2.227)*LOG10(INDEX(FX_Input,U$5,H$3*$Z$5+$AA$5))-(7261/(H562+459.6))+12.82),IF(H555="Refined Petroleum Stock",EXP((0.7553-(413/(H562+459.6)))*(INDEX(FX_Input,U$5,H$3*$Z$5+$AA$5-1)^0.5)*LOG10(INDEX(FX_Input,U$5,H$3*$Z$5+$AA$5))-(1.854-(1042/(H562+459.6)))*(INDEX(FX_Input,U$5,H$3*$Z$5+$AA$5-1)^0.5)+((2416/(H562+459.6)-2.013)*LOG10(INDEX(FX_Input,U$5,H$3*$Z$5+$AA$5)))-(8742/(H562+459.6))+15.64),EXP(INDEX(Antoines,MATCH(H554,Antoine_Name,0),2)-INDEX(Antoines,MATCH(H554,Antoine_Name,0),3)/(H562+459.6))))),0)</f>
        <v>0</v>
      </c>
      <c r="I575" cm="1">
        <f t="array" ref="I575">IFERROR(IF(I555="Chemical",(10^(INDEX(Antoines,MATCH(I554,Antoine_Name,0),2)-INDEX(Antoines,MATCH(I554,Antoine_Name,0),3)/(INDEX(Antoines,MATCH(I554,Antoine_Name,0),4)+(I562-32)*5/9)))*14.7/760,IF(I555="Crude Oil",EXP((2799/(I562+459.6)-2.227)*LOG10(INDEX(FX_Input,V$5,I$3*$Z$5+$AA$5))-(7261/(I562+459.6))+12.82),IF(I555="Refined Petroleum Stock",EXP((0.7553-(413/(I562+459.6)))*(INDEX(FX_Input,V$5,I$3*$Z$5+$AA$5-1)^0.5)*LOG10(INDEX(FX_Input,V$5,I$3*$Z$5+$AA$5))-(1.854-(1042/(I562+459.6)))*(INDEX(FX_Input,V$5,I$3*$Z$5+$AA$5-1)^0.5)+((2416/(I562+459.6)-2.013)*LOG10(INDEX(FX_Input,V$5,I$3*$Z$5+$AA$5)))-(8742/(I562+459.6))+15.64),EXP(INDEX(Antoines,MATCH(I554,Antoine_Name,0),2)-INDEX(Antoines,MATCH(I554,Antoine_Name,0),3)/(I562+459.6))))),0)</f>
        <v>0</v>
      </c>
      <c r="J575" cm="1">
        <f t="array" ref="J575">IFERROR(IF(J555="Chemical",(10^(INDEX(Antoines,MATCH(J554,Antoine_Name,0),2)-INDEX(Antoines,MATCH(J554,Antoine_Name,0),3)/(INDEX(Antoines,MATCH(J554,Antoine_Name,0),4)+(J562-32)*5/9)))*14.7/760,IF(J555="Crude Oil",EXP((2799/(J562+459.6)-2.227)*LOG10(INDEX(FX_Input,W$5,J$3*$Z$5+$AA$5))-(7261/(J562+459.6))+12.82),IF(J555="Refined Petroleum Stock",EXP((0.7553-(413/(J562+459.6)))*(INDEX(FX_Input,W$5,J$3*$Z$5+$AA$5-1)^0.5)*LOG10(INDEX(FX_Input,W$5,J$3*$Z$5+$AA$5))-(1.854-(1042/(J562+459.6)))*(INDEX(FX_Input,W$5,J$3*$Z$5+$AA$5-1)^0.5)+((2416/(J562+459.6)-2.013)*LOG10(INDEX(FX_Input,W$5,J$3*$Z$5+$AA$5)))-(8742/(J562+459.6))+15.64),EXP(INDEX(Antoines,MATCH(J554,Antoine_Name,0),2)-INDEX(Antoines,MATCH(J554,Antoine_Name,0),3)/(J562+459.6))))),0)</f>
        <v>0</v>
      </c>
      <c r="K575" cm="1">
        <f t="array" ref="K575">IFERROR(IF(K555="Chemical",(10^(INDEX(Antoines,MATCH(K554,Antoine_Name,0),2)-INDEX(Antoines,MATCH(K554,Antoine_Name,0),3)/(INDEX(Antoines,MATCH(K554,Antoine_Name,0),4)+(K562-32)*5/9)))*14.7/760,IF(K555="Crude Oil",EXP((2799/(K562+459.6)-2.227)*LOG10(INDEX(FX_Input,X$5,K$3*$Z$5+$AA$5))-(7261/(K562+459.6))+12.82),IF(K555="Refined Petroleum Stock",EXP((0.7553-(413/(K562+459.6)))*(INDEX(FX_Input,X$5,K$3*$Z$5+$AA$5-1)^0.5)*LOG10(INDEX(FX_Input,X$5,K$3*$Z$5+$AA$5))-(1.854-(1042/(K562+459.6)))*(INDEX(FX_Input,X$5,K$3*$Z$5+$AA$5-1)^0.5)+((2416/(K562+459.6)-2.013)*LOG10(INDEX(FX_Input,X$5,K$3*$Z$5+$AA$5)))-(8742/(K562+459.6))+15.64),EXP(INDEX(Antoines,MATCH(K554,Antoine_Name,0),2)-INDEX(Antoines,MATCH(K554,Antoine_Name,0),3)/(K562+459.6))))),0)</f>
        <v>0</v>
      </c>
      <c r="L575" cm="1">
        <f t="array" ref="L575">IFERROR(IF(L555="Chemical",(10^(INDEX(Antoines,MATCH(L554,Antoine_Name,0),2)-INDEX(Antoines,MATCH(L554,Antoine_Name,0),3)/(INDEX(Antoines,MATCH(L554,Antoine_Name,0),4)+(L562-32)*5/9)))*14.7/760,IF(L555="Crude Oil",EXP((2799/(L562+459.6)-2.227)*LOG10(INDEX(FX_Input,Y$5,L$3*$Z$5+$AA$5))-(7261/(L562+459.6))+12.82),IF(L555="Refined Petroleum Stock",EXP((0.7553-(413/(L562+459.6)))*(INDEX(FX_Input,Y$5,L$3*$Z$5+$AA$5-1)^0.5)*LOG10(INDEX(FX_Input,Y$5,L$3*$Z$5+$AA$5))-(1.854-(1042/(L562+459.6)))*(INDEX(FX_Input,Y$5,L$3*$Z$5+$AA$5-1)^0.5)+((2416/(L562+459.6)-2.013)*LOG10(INDEX(FX_Input,Y$5,L$3*$Z$5+$AA$5)))-(8742/(L562+459.6))+15.64),EXP(INDEX(Antoines,MATCH(L554,Antoine_Name,0),2)-INDEX(Antoines,MATCH(L554,Antoine_Name,0),3)/(L562+459.6))))),0)</f>
        <v>0</v>
      </c>
      <c r="M575" cm="1">
        <f t="array" ref="M575">IFERROR(IF(M555="Chemical",(10^(INDEX(Antoines,MATCH(M554,Antoine_Name,0),2)-INDEX(Antoines,MATCH(M554,Antoine_Name,0),3)/(INDEX(Antoines,MATCH(M554,Antoine_Name,0),4)+(M562-32)*5/9)))*14.7/760,IF(M555="Crude Oil",EXP((2799/(M562+459.6)-2.227)*LOG10(INDEX(FX_Input,Z$5,M$3*$Z$5+$AA$5))-(7261/(M562+459.6))+12.82),IF(M555="Refined Petroleum Stock",EXP((0.7553-(413/(M562+459.6)))*(INDEX(FX_Input,Z$5,M$3*$Z$5+$AA$5-1)^0.5)*LOG10(INDEX(FX_Input,Z$5,M$3*$Z$5+$AA$5))-(1.854-(1042/(M562+459.6)))*(INDEX(FX_Input,Z$5,M$3*$Z$5+$AA$5-1)^0.5)+((2416/(M562+459.6)-2.013)*LOG10(INDEX(FX_Input,Z$5,M$3*$Z$5+$AA$5)))-(8742/(M562+459.6))+15.64),EXP(INDEX(Antoines,MATCH(M554,Antoine_Name,0),2)-INDEX(Antoines,MATCH(M554,Antoine_Name,0),3)/(M562+459.6))))),0)</f>
        <v>0</v>
      </c>
      <c r="N575" cm="1">
        <f t="array" ref="N575">IFERROR(IF(N555="Chemical",(10^(INDEX(Antoines,MATCH(N554,Antoine_Name,0),2)-INDEX(Antoines,MATCH(N554,Antoine_Name,0),3)/(INDEX(Antoines,MATCH(N554,Antoine_Name,0),4)+(N562-32)*5/9)))*14.7/760,IF(N555="Crude Oil",EXP((2799/(N562+459.6)-2.227)*LOG10(INDEX(FX_Input,AA$5,N$3*$Z$5+$AA$5))-(7261/(N562+459.6))+12.82),IF(N555="Refined Petroleum Stock",EXP((0.7553-(413/(N562+459.6)))*(INDEX(FX_Input,AA$5,N$3*$Z$5+$AA$5-1)^0.5)*LOG10(INDEX(FX_Input,AA$5,N$3*$Z$5+$AA$5))-(1.854-(1042/(N562+459.6)))*(INDEX(FX_Input,AA$5,N$3*$Z$5+$AA$5-1)^0.5)+((2416/(N562+459.6)-2.013)*LOG10(INDEX(FX_Input,AA$5,N$3*$Z$5+$AA$5)))-(8742/(N562+459.6))+15.64),EXP(INDEX(Antoines,MATCH(N554,Antoine_Name,0),2)-INDEX(Antoines,MATCH(N554,Antoine_Name,0),3)/(N562+459.6))))),0)</f>
        <v>0</v>
      </c>
      <c r="O575" cm="1">
        <f t="array" ref="O575">IFERROR(IF(O555="Chemical",(10^(INDEX(Antoines,MATCH(O554,Antoine_Name,0),2)-INDEX(Antoines,MATCH(O554,Antoine_Name,0),3)/(INDEX(Antoines,MATCH(O554,Antoine_Name,0),4)+(O562-32)*5/9)))*14.7/760,IF(O555="Crude Oil",EXP((2799/(O562+459.6)-2.227)*LOG10(INDEX(FX_Input,AB$5,O$3*$Z$5+$AA$5))-(7261/(O562+459.6))+12.82),IF(O555="Refined Petroleum Stock",EXP((0.7553-(413/(O562+459.6)))*(INDEX(FX_Input,AB$5,O$3*$Z$5+$AA$5-1)^0.5)*LOG10(INDEX(FX_Input,AB$5,O$3*$Z$5+$AA$5))-(1.854-(1042/(O562+459.6)))*(INDEX(FX_Input,AB$5,O$3*$Z$5+$AA$5-1)^0.5)+((2416/(O562+459.6)-2.013)*LOG10(INDEX(FX_Input,AB$5,O$3*$Z$5+$AA$5)))-(8742/(O562+459.6))+15.64),EXP(INDEX(Antoines,MATCH(O554,Antoine_Name,0),2)-INDEX(Antoines,MATCH(O554,Antoine_Name,0),3)/(O562+459.6))))),0)</f>
        <v>0</v>
      </c>
    </row>
    <row r="576" spans="2:32" ht="17.149999999999999" x14ac:dyDescent="0.55000000000000004">
      <c r="B576" t="str">
        <f t="shared" si="1940"/>
        <v>Portland</v>
      </c>
      <c r="C576" t="s">
        <v>1391</v>
      </c>
      <c r="D576">
        <f>D575*D558</f>
        <v>0</v>
      </c>
      <c r="E576">
        <f t="shared" ref="E576" si="2018">E575*E558</f>
        <v>0</v>
      </c>
      <c r="F576">
        <f t="shared" ref="F576" si="2019">F575*F558</f>
        <v>0</v>
      </c>
      <c r="G576">
        <f t="shared" ref="G576" si="2020">G575*G558</f>
        <v>0</v>
      </c>
      <c r="H576">
        <f t="shared" ref="H576" si="2021">H575*H558</f>
        <v>0</v>
      </c>
      <c r="I576">
        <f t="shared" ref="I576" si="2022">I575*I558</f>
        <v>0</v>
      </c>
      <c r="J576">
        <f t="shared" ref="J576" si="2023">J575*J558</f>
        <v>0</v>
      </c>
      <c r="K576">
        <f t="shared" ref="K576" si="2024">K575*K558</f>
        <v>0</v>
      </c>
      <c r="L576">
        <f t="shared" ref="L576" si="2025">L575*L558</f>
        <v>0</v>
      </c>
      <c r="M576">
        <f t="shared" ref="M576" si="2026">M575*M558</f>
        <v>0</v>
      </c>
      <c r="N576">
        <f t="shared" ref="N576" si="2027">N575*N558</f>
        <v>0</v>
      </c>
      <c r="O576">
        <f t="shared" ref="O576" si="2028">O575*O558</f>
        <v>0</v>
      </c>
    </row>
    <row r="577" spans="1:32" ht="17.149999999999999" x14ac:dyDescent="0.55000000000000004">
      <c r="B577" t="str">
        <f t="shared" si="1940"/>
        <v>Portland</v>
      </c>
      <c r="C577" t="s">
        <v>1392</v>
      </c>
      <c r="D577">
        <f>D574+D576</f>
        <v>4.739577185808354E-3</v>
      </c>
      <c r="E577">
        <f t="shared" ref="E577" si="2029">E574+E576</f>
        <v>4.8748667780818778E-3</v>
      </c>
      <c r="F577">
        <f t="shared" ref="F577" si="2030">F574+F576</f>
        <v>5.119885034186122E-3</v>
      </c>
      <c r="G577">
        <f t="shared" ref="G577" si="2031">G574+G576</f>
        <v>5.5846958573521795E-3</v>
      </c>
      <c r="H577">
        <f t="shared" ref="H577" si="2032">H574+H576</f>
        <v>6.5274070972739821E-3</v>
      </c>
      <c r="I577">
        <f t="shared" ref="I577" si="2033">I574+I576</f>
        <v>7.4199539958878279E-3</v>
      </c>
      <c r="J577">
        <f t="shared" ref="J577" si="2034">J574+J576</f>
        <v>8.3358107202842254E-3</v>
      </c>
      <c r="K577">
        <f t="shared" ref="K577" si="2035">K574+K576</f>
        <v>8.4605262729351115E-3</v>
      </c>
      <c r="L577">
        <f t="shared" ref="L577" si="2036">L574+L576</f>
        <v>7.8399882233967533E-3</v>
      </c>
      <c r="M577">
        <f t="shared" ref="M577" si="2037">M574+M576</f>
        <v>6.4173462075160911E-3</v>
      </c>
      <c r="N577">
        <f t="shared" ref="N577" si="2038">N574+N576</f>
        <v>5.3015226887581056E-3</v>
      </c>
      <c r="O577">
        <f t="shared" ref="O577" si="2039">O574+O576</f>
        <v>4.68970903600947E-3</v>
      </c>
    </row>
    <row r="578" spans="1:32" ht="17.149999999999999" x14ac:dyDescent="0.55000000000000004">
      <c r="B578" t="str">
        <f>B572</f>
        <v>Portland</v>
      </c>
      <c r="C578" t="s">
        <v>584</v>
      </c>
      <c r="D578">
        <f>D574/D577</f>
        <v>1</v>
      </c>
      <c r="E578">
        <f t="shared" ref="E578" si="2040">E574/E577</f>
        <v>1</v>
      </c>
      <c r="F578">
        <f t="shared" ref="F578" si="2041">F574/F577</f>
        <v>1</v>
      </c>
      <c r="G578">
        <f t="shared" ref="G578" si="2042">G574/G577</f>
        <v>1</v>
      </c>
      <c r="H578">
        <f t="shared" ref="H578" si="2043">H574/H577</f>
        <v>1</v>
      </c>
      <c r="I578">
        <f t="shared" ref="I578" si="2044">I574/I577</f>
        <v>1</v>
      </c>
      <c r="J578">
        <f t="shared" ref="J578" si="2045">J574/J577</f>
        <v>1</v>
      </c>
      <c r="K578">
        <f t="shared" ref="K578" si="2046">K574/K577</f>
        <v>1</v>
      </c>
      <c r="L578">
        <f t="shared" ref="L578" si="2047">L574/L577</f>
        <v>1</v>
      </c>
      <c r="M578">
        <f t="shared" ref="M578" si="2048">M574/M577</f>
        <v>1</v>
      </c>
      <c r="N578">
        <f t="shared" ref="N578" si="2049">N574/N577</f>
        <v>1</v>
      </c>
      <c r="O578">
        <f t="shared" ref="O578" si="2050">O574/O577</f>
        <v>1</v>
      </c>
    </row>
    <row r="579" spans="1:32" ht="17.149999999999999" x14ac:dyDescent="0.55000000000000004">
      <c r="B579" t="str">
        <f>B573</f>
        <v>Portland</v>
      </c>
      <c r="C579" t="s">
        <v>585</v>
      </c>
      <c r="D579">
        <f t="shared" ref="D579:O579" si="2051">INDEX(Phys_Prop,MATCH(D552,Chem_List,0),3)</f>
        <v>130</v>
      </c>
      <c r="E579">
        <f t="shared" si="2051"/>
        <v>130</v>
      </c>
      <c r="F579">
        <f t="shared" si="2051"/>
        <v>130</v>
      </c>
      <c r="G579">
        <f t="shared" si="2051"/>
        <v>130</v>
      </c>
      <c r="H579">
        <f t="shared" si="2051"/>
        <v>130</v>
      </c>
      <c r="I579">
        <f t="shared" si="2051"/>
        <v>130</v>
      </c>
      <c r="J579">
        <f t="shared" si="2051"/>
        <v>130</v>
      </c>
      <c r="K579">
        <f t="shared" si="2051"/>
        <v>130</v>
      </c>
      <c r="L579">
        <f t="shared" si="2051"/>
        <v>130</v>
      </c>
      <c r="M579">
        <f t="shared" si="2051"/>
        <v>130</v>
      </c>
      <c r="N579">
        <f t="shared" si="2051"/>
        <v>130</v>
      </c>
      <c r="O579">
        <f t="shared" si="2051"/>
        <v>130</v>
      </c>
    </row>
    <row r="580" spans="1:32" ht="17.149999999999999" x14ac:dyDescent="0.55000000000000004">
      <c r="B580" t="str">
        <f>B579</f>
        <v>Portland</v>
      </c>
      <c r="C580" t="s">
        <v>586</v>
      </c>
      <c r="D580">
        <f>D576/D577</f>
        <v>0</v>
      </c>
      <c r="E580">
        <f t="shared" ref="E580:O580" si="2052">E576/E577</f>
        <v>0</v>
      </c>
      <c r="F580">
        <f t="shared" si="2052"/>
        <v>0</v>
      </c>
      <c r="G580">
        <f t="shared" si="2052"/>
        <v>0</v>
      </c>
      <c r="H580">
        <f t="shared" si="2052"/>
        <v>0</v>
      </c>
      <c r="I580">
        <f t="shared" si="2052"/>
        <v>0</v>
      </c>
      <c r="J580">
        <f t="shared" si="2052"/>
        <v>0</v>
      </c>
      <c r="K580">
        <f t="shared" si="2052"/>
        <v>0</v>
      </c>
      <c r="L580">
        <f t="shared" si="2052"/>
        <v>0</v>
      </c>
      <c r="M580">
        <f t="shared" si="2052"/>
        <v>0</v>
      </c>
      <c r="N580">
        <f t="shared" si="2052"/>
        <v>0</v>
      </c>
      <c r="O580">
        <f t="shared" si="2052"/>
        <v>0</v>
      </c>
    </row>
    <row r="581" spans="1:32" ht="17.149999999999999" x14ac:dyDescent="0.55000000000000004">
      <c r="B581" t="str">
        <f t="shared" si="1940"/>
        <v>Portland</v>
      </c>
      <c r="C581" t="s">
        <v>587</v>
      </c>
      <c r="D581">
        <f t="shared" ref="D581:O581" si="2053">IFERROR(INDEX(Phys_Prop,MATCH(D554,Chem_List,0),3),0)</f>
        <v>0</v>
      </c>
      <c r="E581">
        <f t="shared" si="2053"/>
        <v>0</v>
      </c>
      <c r="F581">
        <f t="shared" si="2053"/>
        <v>0</v>
      </c>
      <c r="G581">
        <f t="shared" si="2053"/>
        <v>0</v>
      </c>
      <c r="H581">
        <f t="shared" si="2053"/>
        <v>0</v>
      </c>
      <c r="I581">
        <f t="shared" si="2053"/>
        <v>0</v>
      </c>
      <c r="J581">
        <f t="shared" si="2053"/>
        <v>0</v>
      </c>
      <c r="K581">
        <f t="shared" si="2053"/>
        <v>0</v>
      </c>
      <c r="L581">
        <f t="shared" si="2053"/>
        <v>0</v>
      </c>
      <c r="M581">
        <f t="shared" si="2053"/>
        <v>0</v>
      </c>
      <c r="N581">
        <f t="shared" si="2053"/>
        <v>0</v>
      </c>
      <c r="O581">
        <f t="shared" si="2053"/>
        <v>0</v>
      </c>
    </row>
    <row r="582" spans="1:32" ht="17.149999999999999" x14ac:dyDescent="0.55000000000000004">
      <c r="A582" s="11"/>
      <c r="B582" s="11" t="str">
        <f t="shared" si="1940"/>
        <v>Portland</v>
      </c>
      <c r="C582" s="11" t="s">
        <v>588</v>
      </c>
      <c r="D582" s="11">
        <f>IFERROR(D578*D579+D580*D581,0)</f>
        <v>130</v>
      </c>
      <c r="E582" s="11">
        <f t="shared" ref="E582" si="2054">IFERROR(E578*E579+E580*E581,0)</f>
        <v>130</v>
      </c>
      <c r="F582" s="11">
        <f t="shared" ref="F582" si="2055">IFERROR(F578*F579+F580*F581,0)</f>
        <v>130</v>
      </c>
      <c r="G582" s="11">
        <f t="shared" ref="G582" si="2056">IFERROR(G578*G579+G580*G581,0)</f>
        <v>130</v>
      </c>
      <c r="H582" s="11">
        <f t="shared" ref="H582" si="2057">IFERROR(H578*H579+H580*H581,0)</f>
        <v>130</v>
      </c>
      <c r="I582" s="11">
        <f t="shared" ref="I582" si="2058">IFERROR(I578*I579+I580*I581,0)</f>
        <v>130</v>
      </c>
      <c r="J582" s="11">
        <f t="shared" ref="J582" si="2059">IFERROR(J578*J579+J580*J581,0)</f>
        <v>130</v>
      </c>
      <c r="K582" s="11">
        <f t="shared" ref="K582" si="2060">IFERROR(K578*K579+K580*K581,0)</f>
        <v>130</v>
      </c>
      <c r="L582" s="11">
        <f t="shared" ref="L582" si="2061">IFERROR(L578*L579+L580*L581,0)</f>
        <v>130</v>
      </c>
      <c r="M582" s="11">
        <f t="shared" ref="M582" si="2062">IFERROR(M578*M579+M580*M581,0)</f>
        <v>130</v>
      </c>
      <c r="N582" s="11">
        <f t="shared" ref="N582" si="2063">IFERROR(N578*N579+N580*N581,0)</f>
        <v>130</v>
      </c>
      <c r="O582" s="11">
        <f t="shared" ref="O582" si="2064">IFERROR(O578*O579+O580*O581,0)</f>
        <v>130</v>
      </c>
      <c r="P582" s="11"/>
      <c r="Q582" s="11"/>
      <c r="R582" s="11"/>
      <c r="S582" s="11"/>
      <c r="T582" s="11"/>
      <c r="U582" s="11"/>
      <c r="V582" s="11"/>
      <c r="W582" s="11"/>
      <c r="X582" s="11"/>
      <c r="Y582" s="11"/>
      <c r="Z582" s="11"/>
      <c r="AA582" s="11"/>
      <c r="AB582" s="11"/>
      <c r="AC582" s="11"/>
      <c r="AD582" s="11"/>
      <c r="AE582" s="11"/>
      <c r="AF582" s="11"/>
    </row>
    <row r="583" spans="1:32" ht="17.149999999999999" x14ac:dyDescent="0.55000000000000004">
      <c r="A583" t="str" cm="1">
        <f t="array" ref="A583">INDEX(FX_Input,$Q583,R$5)</f>
        <v>FX - 18</v>
      </c>
      <c r="B583" t="str" cm="1">
        <f t="array" ref="B583">INDEX(FX_Input,Q583,S583)</f>
        <v>Portland</v>
      </c>
      <c r="C583" t="s">
        <v>563</v>
      </c>
      <c r="D583">
        <v>14.7</v>
      </c>
      <c r="E583">
        <v>14.7</v>
      </c>
      <c r="F583">
        <v>14.7</v>
      </c>
      <c r="G583">
        <v>14.7</v>
      </c>
      <c r="H583">
        <v>14.7</v>
      </c>
      <c r="I583">
        <v>14.7</v>
      </c>
      <c r="J583">
        <v>14.7</v>
      </c>
      <c r="K583">
        <v>14.7</v>
      </c>
      <c r="L583">
        <v>14.7</v>
      </c>
      <c r="M583">
        <v>14.7</v>
      </c>
      <c r="N583">
        <v>14.7</v>
      </c>
      <c r="O583">
        <v>14.7</v>
      </c>
      <c r="Q583">
        <f>Q549+2</f>
        <v>35</v>
      </c>
      <c r="R583">
        <v>1</v>
      </c>
      <c r="S583">
        <v>3</v>
      </c>
      <c r="T583">
        <v>1</v>
      </c>
      <c r="U583">
        <v>19</v>
      </c>
      <c r="V583">
        <v>20</v>
      </c>
      <c r="W583">
        <v>25</v>
      </c>
      <c r="X583">
        <v>1</v>
      </c>
      <c r="Y583">
        <v>2</v>
      </c>
      <c r="Z583">
        <f>(W583-V583)/(Y583-X583)</f>
        <v>5</v>
      </c>
      <c r="AA583">
        <f>V583-Z583*X583</f>
        <v>15</v>
      </c>
      <c r="AD583">
        <f>AD549+14</f>
        <v>239</v>
      </c>
      <c r="AF583">
        <f>AF549+14</f>
        <v>239</v>
      </c>
    </row>
    <row r="584" spans="1:32" ht="17.149999999999999" x14ac:dyDescent="0.55000000000000004">
      <c r="B584" t="str">
        <f t="shared" ref="B584" si="2065">B583</f>
        <v>Portland</v>
      </c>
      <c r="C584" t="s">
        <v>564</v>
      </c>
      <c r="D584" cm="1">
        <f t="array" ref="D584">IF(ISBLANK(INDEX(FX_Input,$Q583,$AB584)),0.03,INDEX(FX_Input,Q583,AB584))</f>
        <v>0.03</v>
      </c>
      <c r="E584" cm="1">
        <f t="array" ref="E584">IF(ISBLANK(INDEX(FX_Input,$Q583,$AB584)),0.03,INDEX(FX_Input,R583,#REF!))</f>
        <v>0.03</v>
      </c>
      <c r="F584" cm="1">
        <f t="array" ref="F584">IF(ISBLANK(INDEX(FX_Input,$Q583,$AB584)),0.03,INDEX(FX_Input,S583,#REF!))</f>
        <v>0.03</v>
      </c>
      <c r="G584" cm="1">
        <f t="array" ref="G584">IF(ISBLANK(INDEX(FX_Input,$Q583,$AB584)),0.03,INDEX(FX_Input,AB583,#REF!))</f>
        <v>0.03</v>
      </c>
      <c r="H584" cm="1">
        <f t="array" ref="H584">IF(ISBLANK(INDEX(FX_Input,$Q583,$AB584)),0.03,INDEX(FX_Input,#REF!,#REF!))</f>
        <v>0.03</v>
      </c>
      <c r="I584" cm="1">
        <f t="array" ref="I584">IF(ISBLANK(INDEX(FX_Input,$Q583,$AB584)),0.03,INDEX(FX_Input,#REF!,#REF!))</f>
        <v>0.03</v>
      </c>
      <c r="J584" cm="1">
        <f t="array" ref="J584">IF(ISBLANK(INDEX(FX_Input,$Q583,$AB584)),0.03,INDEX(FX_Input,#REF!,#REF!))</f>
        <v>0.03</v>
      </c>
      <c r="K584" cm="1">
        <f t="array" ref="K584">IF(ISBLANK(INDEX(FX_Input,$Q583,$AB584)),0.03,INDEX(FX_Input,#REF!,AC584))</f>
        <v>0.03</v>
      </c>
      <c r="L584" cm="1">
        <f t="array" ref="L584">IF(ISBLANK(INDEX(FX_Input,$Q583,$AB584)),0.03,INDEX(FX_Input,#REF!,AD584))</f>
        <v>0.03</v>
      </c>
      <c r="M584" cm="1">
        <f t="array" ref="M584">IF(ISBLANK(INDEX(FX_Input,$Q583,$AB584)),0.03,INDEX(FX_Input,#REF!,#REF!))</f>
        <v>0.03</v>
      </c>
      <c r="N584" cm="1">
        <f t="array" ref="N584">IF(ISBLANK(INDEX(FX_Input,$Q583,$AB584)),0.03,INDEX(FX_Input,AC583,#REF!))</f>
        <v>0.03</v>
      </c>
      <c r="O584" cm="1">
        <f t="array" ref="O584">IF(ISBLANK(INDEX(FX_Input,$Q583,$AB584)),0.03,INDEX(FX_Input,AD583,#REF!))</f>
        <v>0.03</v>
      </c>
      <c r="AB584">
        <v>15</v>
      </c>
    </row>
    <row r="585" spans="1:32" ht="17.149999999999999" x14ac:dyDescent="0.55000000000000004">
      <c r="B585" t="str">
        <f>B584</f>
        <v>Portland</v>
      </c>
      <c r="C585" t="s">
        <v>565</v>
      </c>
      <c r="D585" cm="1">
        <f t="array" ref="D585">IF(ISBLANK(INDEX(FX_Input,$Q583,$AB585)),-0.03,INDEX(FX_Input,Q583,AB585))</f>
        <v>-0.03</v>
      </c>
      <c r="E585" cm="1">
        <f t="array" ref="E585">IF(ISBLANK(INDEX(FX_Input,$Q583,$AB585)),-0.03,INDEX(FX_Input,R583,#REF!))</f>
        <v>-0.03</v>
      </c>
      <c r="F585" cm="1">
        <f t="array" ref="F585">IF(ISBLANK(INDEX(FX_Input,$Q583,$AB585)),-0.03,INDEX(FX_Input,S583,#REF!))</f>
        <v>-0.03</v>
      </c>
      <c r="G585" cm="1">
        <f t="array" ref="G585">IF(ISBLANK(INDEX(FX_Input,$Q583,$AB585)),-0.03,INDEX(FX_Input,AB583,#REF!))</f>
        <v>-0.03</v>
      </c>
      <c r="H585" cm="1">
        <f t="array" ref="H585">IF(ISBLANK(INDEX(FX_Input,$Q583,$AB585)),-0.03,INDEX(FX_Input,#REF!,#REF!))</f>
        <v>-0.03</v>
      </c>
      <c r="I585" cm="1">
        <f t="array" ref="I585">IF(ISBLANK(INDEX(FX_Input,$Q583,$AB585)),-0.03,INDEX(FX_Input,#REF!,#REF!))</f>
        <v>-0.03</v>
      </c>
      <c r="J585" cm="1">
        <f t="array" ref="J585">IF(ISBLANK(INDEX(FX_Input,$Q583,$AB585)),-0.03,INDEX(FX_Input,#REF!,#REF!))</f>
        <v>-0.03</v>
      </c>
      <c r="K585" cm="1">
        <f t="array" ref="K585">IF(ISBLANK(INDEX(FX_Input,$Q583,$AB585)),-0.03,INDEX(FX_Input,#REF!,AC585))</f>
        <v>-0.03</v>
      </c>
      <c r="L585" cm="1">
        <f t="array" ref="L585">IF(ISBLANK(INDEX(FX_Input,$Q583,$AB585)),-0.03,INDEX(FX_Input,#REF!,AD585))</f>
        <v>-0.03</v>
      </c>
      <c r="M585" cm="1">
        <f t="array" ref="M585">IF(ISBLANK(INDEX(FX_Input,$Q583,$AB585)),-0.03,INDEX(FX_Input,#REF!,#REF!))</f>
        <v>-0.03</v>
      </c>
      <c r="N585" cm="1">
        <f t="array" ref="N585">IF(ISBLANK(INDEX(FX_Input,$Q583,$AB585)),-0.03,INDEX(FX_Input,AC583,#REF!))</f>
        <v>-0.03</v>
      </c>
      <c r="O585" cm="1">
        <f t="array" ref="O585">IF(ISBLANK(INDEX(FX_Input,$Q583,$AB585)),-0.03,INDEX(FX_Input,AD583,#REF!))</f>
        <v>-0.03</v>
      </c>
      <c r="AB585">
        <v>16</v>
      </c>
    </row>
    <row r="586" spans="1:32" x14ac:dyDescent="0.4">
      <c r="B586" t="str">
        <f t="shared" ref="B586:B587" si="2066">B585</f>
        <v>Portland</v>
      </c>
      <c r="C586" s="66" t="s">
        <v>567</v>
      </c>
      <c r="D586" t="str" cm="1">
        <f t="array" ref="D586">INDEX(FX_Multi,$AD586,D$3)</f>
        <v>Jet kerosene</v>
      </c>
      <c r="E586" t="str" cm="1">
        <f t="array" ref="E586">INDEX(FX_Multi,$AD586,E$3)</f>
        <v>Jet kerosene</v>
      </c>
      <c r="F586" t="str" cm="1">
        <f t="array" ref="F586">INDEX(FX_Multi,$AD586,F$3)</f>
        <v>Jet kerosene</v>
      </c>
      <c r="G586" t="str" cm="1">
        <f t="array" ref="G586">INDEX(FX_Multi,$AD586,G$3)</f>
        <v>Jet kerosene</v>
      </c>
      <c r="H586" t="str" cm="1">
        <f t="array" ref="H586">INDEX(FX_Multi,$AD586,H$3)</f>
        <v>Jet kerosene</v>
      </c>
      <c r="I586" t="str" cm="1">
        <f t="array" ref="I586">INDEX(FX_Multi,$AD586,I$3)</f>
        <v>Jet kerosene</v>
      </c>
      <c r="J586" t="str" cm="1">
        <f t="array" ref="J586">INDEX(FX_Multi,$AD586,J$3)</f>
        <v>Jet kerosene</v>
      </c>
      <c r="K586" t="str" cm="1">
        <f t="array" ref="K586">INDEX(FX_Multi,$AD586,K$3)</f>
        <v>Jet kerosene</v>
      </c>
      <c r="L586" t="str" cm="1">
        <f t="array" ref="L586">INDEX(FX_Multi,$AD586,L$3)</f>
        <v>Jet kerosene</v>
      </c>
      <c r="M586" t="str" cm="1">
        <f t="array" ref="M586">INDEX(FX_Multi,$AD586,M$3)</f>
        <v>Jet kerosene</v>
      </c>
      <c r="N586" t="str" cm="1">
        <f t="array" ref="N586">INDEX(FX_Multi,$AD586,N$3)</f>
        <v>Jet kerosene</v>
      </c>
      <c r="O586" t="str" cm="1">
        <f t="array" ref="O586">INDEX(FX_Multi,$AD586,O$3)</f>
        <v>Jet kerosene</v>
      </c>
      <c r="AC586">
        <v>1</v>
      </c>
      <c r="AD586">
        <f>AD583</f>
        <v>239</v>
      </c>
      <c r="AE586">
        <v>1</v>
      </c>
      <c r="AF586">
        <f>AF583</f>
        <v>239</v>
      </c>
    </row>
    <row r="587" spans="1:32" x14ac:dyDescent="0.4">
      <c r="B587" t="str">
        <f t="shared" si="2066"/>
        <v>Portland</v>
      </c>
      <c r="C587" s="66" t="s">
        <v>566</v>
      </c>
      <c r="D587" t="str" cm="1">
        <f t="array" ref="D587">INDEX(FX_Multi,$AD587,D$3)</f>
        <v>Select Pet Stock</v>
      </c>
      <c r="E587" t="str" cm="1">
        <f t="array" ref="E587">INDEX(FX_Multi,$AD587,E$3)</f>
        <v>Select Pet Stock</v>
      </c>
      <c r="F587" t="str" cm="1">
        <f t="array" ref="F587">INDEX(FX_Multi,$AD587,F$3)</f>
        <v>Select Pet Stock</v>
      </c>
      <c r="G587" t="str" cm="1">
        <f t="array" ref="G587">INDEX(FX_Multi,$AD587,G$3)</f>
        <v>Select Pet Stock</v>
      </c>
      <c r="H587" t="str" cm="1">
        <f t="array" ref="H587">INDEX(FX_Multi,$AD587,H$3)</f>
        <v>Select Pet Stock</v>
      </c>
      <c r="I587" t="str" cm="1">
        <f t="array" ref="I587">INDEX(FX_Multi,$AD587,I$3)</f>
        <v>Select Pet Stock</v>
      </c>
      <c r="J587" t="str" cm="1">
        <f t="array" ref="J587">INDEX(FX_Multi,$AD587,J$3)</f>
        <v>Select Pet Stock</v>
      </c>
      <c r="K587" t="str" cm="1">
        <f t="array" ref="K587">INDEX(FX_Multi,$AD587,K$3)</f>
        <v>Select Pet Stock</v>
      </c>
      <c r="L587" t="str" cm="1">
        <f t="array" ref="L587">INDEX(FX_Multi,$AD587,L$3)</f>
        <v>Select Pet Stock</v>
      </c>
      <c r="M587" t="str" cm="1">
        <f t="array" ref="M587">INDEX(FX_Multi,$AD587,M$3)</f>
        <v>Select Pet Stock</v>
      </c>
      <c r="N587" t="str" cm="1">
        <f t="array" ref="N587">INDEX(FX_Multi,$AD587,N$3)</f>
        <v>Select Pet Stock</v>
      </c>
      <c r="O587" t="str" cm="1">
        <f t="array" ref="O587">INDEX(FX_Multi,$AD587,O$3)</f>
        <v>Select Pet Stock</v>
      </c>
      <c r="AC587">
        <v>1</v>
      </c>
      <c r="AD587">
        <f>AD586+2</f>
        <v>241</v>
      </c>
      <c r="AE587">
        <v>1</v>
      </c>
      <c r="AF587">
        <f>AF586+3</f>
        <v>242</v>
      </c>
    </row>
    <row r="588" spans="1:32" x14ac:dyDescent="0.4">
      <c r="B588" t="str">
        <f>B584</f>
        <v>Portland</v>
      </c>
      <c r="C588" s="66" t="s">
        <v>568</v>
      </c>
      <c r="D588" cm="1">
        <f t="array" ref="D588">INDEX(FX_Multi,$AD588,D$3)</f>
        <v>0</v>
      </c>
      <c r="E588" cm="1">
        <f t="array" ref="E588">INDEX(FX_Multi,$AD588,E$3)</f>
        <v>0</v>
      </c>
      <c r="F588" cm="1">
        <f t="array" ref="F588">INDEX(FX_Multi,$AD588,F$3)</f>
        <v>0</v>
      </c>
      <c r="G588" cm="1">
        <f t="array" ref="G588">INDEX(FX_Multi,$AD588,G$3)</f>
        <v>0</v>
      </c>
      <c r="H588" cm="1">
        <f t="array" ref="H588">INDEX(FX_Multi,$AD588,H$3)</f>
        <v>0</v>
      </c>
      <c r="I588" cm="1">
        <f t="array" ref="I588">INDEX(FX_Multi,$AD588,I$3)</f>
        <v>0</v>
      </c>
      <c r="J588" cm="1">
        <f t="array" ref="J588">INDEX(FX_Multi,$AD588,J$3)</f>
        <v>0</v>
      </c>
      <c r="K588" cm="1">
        <f t="array" ref="K588">INDEX(FX_Multi,$AD588,K$3)</f>
        <v>0</v>
      </c>
      <c r="L588" cm="1">
        <f t="array" ref="L588">INDEX(FX_Multi,$AD588,L$3)</f>
        <v>0</v>
      </c>
      <c r="M588" cm="1">
        <f t="array" ref="M588">INDEX(FX_Multi,$AD588,M$3)</f>
        <v>0</v>
      </c>
      <c r="N588" cm="1">
        <f t="array" ref="N588">INDEX(FX_Multi,$AD588,N$3)</f>
        <v>0</v>
      </c>
      <c r="O588" cm="1">
        <f t="array" ref="O588">INDEX(FX_Multi,$AD588,O$3)</f>
        <v>0</v>
      </c>
      <c r="AC588">
        <v>1</v>
      </c>
      <c r="AD588">
        <f>AD587-1</f>
        <v>240</v>
      </c>
      <c r="AE588">
        <v>1</v>
      </c>
      <c r="AF588">
        <f>AF586+1</f>
        <v>240</v>
      </c>
    </row>
    <row r="589" spans="1:32" x14ac:dyDescent="0.4">
      <c r="B589" t="str">
        <f t="shared" ref="B589:B593" si="2067">B588</f>
        <v>Portland</v>
      </c>
      <c r="C589" s="66" t="s">
        <v>569</v>
      </c>
      <c r="D589" cm="1">
        <f t="array" ref="D589">INDEX(FX_Multi,$AD589,D$3)</f>
        <v>0</v>
      </c>
      <c r="E589" cm="1">
        <f t="array" ref="E589">INDEX(FX_Multi,$AD589,E$3)</f>
        <v>0</v>
      </c>
      <c r="F589" cm="1">
        <f t="array" ref="F589">INDEX(FX_Multi,$AD589,F$3)</f>
        <v>0</v>
      </c>
      <c r="G589" cm="1">
        <f t="array" ref="G589">INDEX(FX_Multi,$AD589,G$3)</f>
        <v>0</v>
      </c>
      <c r="H589" cm="1">
        <f t="array" ref="H589">INDEX(FX_Multi,$AD589,H$3)</f>
        <v>0</v>
      </c>
      <c r="I589" cm="1">
        <f t="array" ref="I589">INDEX(FX_Multi,$AD589,I$3)</f>
        <v>0</v>
      </c>
      <c r="J589" cm="1">
        <f t="array" ref="J589">INDEX(FX_Multi,$AD589,J$3)</f>
        <v>0</v>
      </c>
      <c r="K589" cm="1">
        <f t="array" ref="K589">INDEX(FX_Multi,$AD589,K$3)</f>
        <v>0</v>
      </c>
      <c r="L589" cm="1">
        <f t="array" ref="L589">INDEX(FX_Multi,$AD589,L$3)</f>
        <v>0</v>
      </c>
      <c r="M589" cm="1">
        <f t="array" ref="M589">INDEX(FX_Multi,$AD589,M$3)</f>
        <v>0</v>
      </c>
      <c r="N589" cm="1">
        <f t="array" ref="N589">INDEX(FX_Multi,$AD589,N$3)</f>
        <v>0</v>
      </c>
      <c r="O589" cm="1">
        <f t="array" ref="O589">INDEX(FX_Multi,$AD589,O$3)</f>
        <v>0</v>
      </c>
      <c r="AC589">
        <v>1</v>
      </c>
      <c r="AD589">
        <f>AD588+2</f>
        <v>242</v>
      </c>
      <c r="AE589">
        <v>1</v>
      </c>
      <c r="AF589">
        <f>AF587</f>
        <v>242</v>
      </c>
    </row>
    <row r="590" spans="1:32" ht="17.149999999999999" x14ac:dyDescent="0.55000000000000004">
      <c r="B590" t="str">
        <f t="shared" si="2067"/>
        <v>Portland</v>
      </c>
      <c r="C590" t="s">
        <v>570</v>
      </c>
      <c r="D590" cm="1">
        <f t="array" ref="D590">INDEX(FX_Multi,$AD590,D$3)</f>
        <v>1</v>
      </c>
      <c r="E590" cm="1">
        <f t="array" ref="E590">INDEX(FX_Multi,$AD590,E$3)</f>
        <v>1</v>
      </c>
      <c r="F590" cm="1">
        <f t="array" ref="F590">INDEX(FX_Multi,$AD590,F$3)</f>
        <v>1</v>
      </c>
      <c r="G590" cm="1">
        <f t="array" ref="G590">INDEX(FX_Multi,$AD590,G$3)</f>
        <v>1</v>
      </c>
      <c r="H590" cm="1">
        <f t="array" ref="H590">INDEX(FX_Multi,$AD590,H$3)</f>
        <v>1</v>
      </c>
      <c r="I590" cm="1">
        <f t="array" ref="I590">INDEX(FX_Multi,$AD590,I$3)</f>
        <v>1</v>
      </c>
      <c r="J590" cm="1">
        <f t="array" ref="J590">INDEX(FX_Multi,$AD590,J$3)</f>
        <v>1</v>
      </c>
      <c r="K590" cm="1">
        <f t="array" ref="K590">INDEX(FX_Multi,$AD590,K$3)</f>
        <v>1</v>
      </c>
      <c r="L590" cm="1">
        <f t="array" ref="L590">INDEX(FX_Multi,$AD590,L$3)</f>
        <v>1</v>
      </c>
      <c r="M590" cm="1">
        <f t="array" ref="M590">INDEX(FX_Multi,$AD590,M$3)</f>
        <v>1</v>
      </c>
      <c r="N590" cm="1">
        <f t="array" ref="N590">INDEX(FX_Multi,$AD590,N$3)</f>
        <v>1</v>
      </c>
      <c r="O590" cm="1">
        <f t="array" ref="O590">INDEX(FX_Multi,$AD590,O$3)</f>
        <v>1</v>
      </c>
      <c r="AC590">
        <v>1</v>
      </c>
      <c r="AD590">
        <f>AD589+6</f>
        <v>248</v>
      </c>
      <c r="AE590">
        <v>1</v>
      </c>
      <c r="AF590">
        <f>AF586+9</f>
        <v>248</v>
      </c>
    </row>
    <row r="591" spans="1:32" ht="17.149999999999999" x14ac:dyDescent="0.55000000000000004">
      <c r="B591" t="str">
        <f t="shared" si="2067"/>
        <v>Portland</v>
      </c>
      <c r="C591" t="s">
        <v>571</v>
      </c>
      <c r="D591" cm="1">
        <f t="array" ref="D591">INDEX(FX_Multi,$AD591,D$3)</f>
        <v>162</v>
      </c>
      <c r="E591" cm="1">
        <f t="array" ref="E591">INDEX(FX_Multi,$AD591,E$3)</f>
        <v>162</v>
      </c>
      <c r="F591" cm="1">
        <f t="array" ref="F591">INDEX(FX_Multi,$AD591,F$3)</f>
        <v>162</v>
      </c>
      <c r="G591" cm="1">
        <f t="array" ref="G591">INDEX(FX_Multi,$AD591,G$3)</f>
        <v>162</v>
      </c>
      <c r="H591" cm="1">
        <f t="array" ref="H591">INDEX(FX_Multi,$AD591,H$3)</f>
        <v>162</v>
      </c>
      <c r="I591" cm="1">
        <f t="array" ref="I591">INDEX(FX_Multi,$AD591,I$3)</f>
        <v>162</v>
      </c>
      <c r="J591" cm="1">
        <f t="array" ref="J591">INDEX(FX_Multi,$AD591,J$3)</f>
        <v>162</v>
      </c>
      <c r="K591" cm="1">
        <f t="array" ref="K591">INDEX(FX_Multi,$AD591,K$3)</f>
        <v>162</v>
      </c>
      <c r="L591" cm="1">
        <f t="array" ref="L591">INDEX(FX_Multi,$AD591,L$3)</f>
        <v>162</v>
      </c>
      <c r="M591" cm="1">
        <f t="array" ref="M591">INDEX(FX_Multi,$AD591,M$3)</f>
        <v>162</v>
      </c>
      <c r="N591" cm="1">
        <f t="array" ref="N591">INDEX(FX_Multi,$AD591,N$3)</f>
        <v>162</v>
      </c>
      <c r="O591" cm="1">
        <f t="array" ref="O591">INDEX(FX_Multi,$AD591,O$3)</f>
        <v>162</v>
      </c>
      <c r="AC591">
        <v>1</v>
      </c>
      <c r="AD591">
        <f>AD590-3</f>
        <v>245</v>
      </c>
      <c r="AE591">
        <v>1</v>
      </c>
      <c r="AF591">
        <f>AF586+6</f>
        <v>245</v>
      </c>
    </row>
    <row r="592" spans="1:32" ht="17.149999999999999" x14ac:dyDescent="0.55000000000000004">
      <c r="B592" t="str">
        <f t="shared" si="2067"/>
        <v>Portland</v>
      </c>
      <c r="C592" t="s">
        <v>572</v>
      </c>
      <c r="D592" cm="1">
        <f t="array" ref="D592">INDEX(FX_Multi,$AD592,D$3)</f>
        <v>0</v>
      </c>
      <c r="E592" cm="1">
        <f t="array" ref="E592">INDEX(FX_Multi,$AD592,E$3)</f>
        <v>0</v>
      </c>
      <c r="F592" cm="1">
        <f t="array" ref="F592">INDEX(FX_Multi,$AD592,F$3)</f>
        <v>0</v>
      </c>
      <c r="G592" cm="1">
        <f t="array" ref="G592">INDEX(FX_Multi,$AD592,G$3)</f>
        <v>0</v>
      </c>
      <c r="H592" cm="1">
        <f t="array" ref="H592">INDEX(FX_Multi,$AD592,H$3)</f>
        <v>0</v>
      </c>
      <c r="I592" cm="1">
        <f t="array" ref="I592">INDEX(FX_Multi,$AD592,I$3)</f>
        <v>0</v>
      </c>
      <c r="J592" cm="1">
        <f t="array" ref="J592">INDEX(FX_Multi,$AD592,J$3)</f>
        <v>0</v>
      </c>
      <c r="K592" cm="1">
        <f t="array" ref="K592">INDEX(FX_Multi,$AD592,K$3)</f>
        <v>0</v>
      </c>
      <c r="L592" cm="1">
        <f t="array" ref="L592">INDEX(FX_Multi,$AD592,L$3)</f>
        <v>0</v>
      </c>
      <c r="M592" cm="1">
        <f t="array" ref="M592">INDEX(FX_Multi,$AD592,M$3)</f>
        <v>0</v>
      </c>
      <c r="N592" cm="1">
        <f t="array" ref="N592">INDEX(FX_Multi,$AD592,N$3)</f>
        <v>0</v>
      </c>
      <c r="O592" cm="1">
        <f t="array" ref="O592">INDEX(FX_Multi,$AD592,O$3)</f>
        <v>0</v>
      </c>
      <c r="AC592">
        <v>1</v>
      </c>
      <c r="AD592">
        <f>AD591+4</f>
        <v>249</v>
      </c>
      <c r="AE592">
        <v>1</v>
      </c>
      <c r="AF592">
        <f>AF586+10</f>
        <v>249</v>
      </c>
    </row>
    <row r="593" spans="2:32" ht="17.149999999999999" x14ac:dyDescent="0.55000000000000004">
      <c r="B593" t="str">
        <f t="shared" si="2067"/>
        <v>Portland</v>
      </c>
      <c r="C593" t="s">
        <v>573</v>
      </c>
      <c r="D593" cm="1">
        <f t="array" ref="D593">INDEX(FX_Multi,$AD593,D$3)</f>
        <v>0</v>
      </c>
      <c r="E593" cm="1">
        <f t="array" ref="E593">INDEX(FX_Multi,$AD593,E$3)</f>
        <v>0</v>
      </c>
      <c r="F593" cm="1">
        <f t="array" ref="F593">INDEX(FX_Multi,$AD593,F$3)</f>
        <v>0</v>
      </c>
      <c r="G593" cm="1">
        <f t="array" ref="G593">INDEX(FX_Multi,$AD593,G$3)</f>
        <v>0</v>
      </c>
      <c r="H593" cm="1">
        <f t="array" ref="H593">INDEX(FX_Multi,$AD593,H$3)</f>
        <v>0</v>
      </c>
      <c r="I593" cm="1">
        <f t="array" ref="I593">INDEX(FX_Multi,$AD593,I$3)</f>
        <v>0</v>
      </c>
      <c r="J593" cm="1">
        <f t="array" ref="J593">INDEX(FX_Multi,$AD593,J$3)</f>
        <v>0</v>
      </c>
      <c r="K593" cm="1">
        <f t="array" ref="K593">INDEX(FX_Multi,$AD593,K$3)</f>
        <v>0</v>
      </c>
      <c r="L593" cm="1">
        <f t="array" ref="L593">INDEX(FX_Multi,$AD593,L$3)</f>
        <v>0</v>
      </c>
      <c r="M593" cm="1">
        <f t="array" ref="M593">INDEX(FX_Multi,$AD593,M$3)</f>
        <v>0</v>
      </c>
      <c r="N593" cm="1">
        <f t="array" ref="N593">INDEX(FX_Multi,$AD593,N$3)</f>
        <v>0</v>
      </c>
      <c r="O593" cm="1">
        <f t="array" ref="O593">INDEX(FX_Multi,$AD593,O$3)</f>
        <v>0</v>
      </c>
      <c r="AC593">
        <v>1</v>
      </c>
      <c r="AD593">
        <f>AD592-3</f>
        <v>246</v>
      </c>
      <c r="AE593">
        <v>1</v>
      </c>
      <c r="AF593">
        <f>AF586+7</f>
        <v>246</v>
      </c>
    </row>
    <row r="594" spans="2:32" ht="17.149999999999999" x14ac:dyDescent="0.55000000000000004">
      <c r="B594" t="str">
        <f>B589</f>
        <v>Portland</v>
      </c>
      <c r="C594" t="s">
        <v>526</v>
      </c>
      <c r="D594" cm="1">
        <f t="array" ref="D594">INDEX(FX_Temps,$AF594,D$3)</f>
        <v>43.899999999999977</v>
      </c>
      <c r="E594" cm="1">
        <f t="array" ref="E594">INDEX(FX_Temps,$AF594,E$3)</f>
        <v>44.700000000000045</v>
      </c>
      <c r="F594" cm="1">
        <f t="array" ref="F594">INDEX(FX_Temps,$AF594,F$3)</f>
        <v>46.100000000000023</v>
      </c>
      <c r="G594" cm="1">
        <f t="array" ref="G594">INDEX(FX_Temps,$AF594,G$3)</f>
        <v>48.599999999999966</v>
      </c>
      <c r="H594" cm="1">
        <f t="array" ref="H594">INDEX(FX_Temps,$AF594,H$3)</f>
        <v>53.149999999999977</v>
      </c>
      <c r="I594" cm="1">
        <f t="array" ref="I594">INDEX(FX_Temps,$AF594,I$3)</f>
        <v>56.950000000000045</v>
      </c>
      <c r="J594" cm="1">
        <f t="array" ref="J594">INDEX(FX_Temps,$AF594,J$3)</f>
        <v>60.449999999999932</v>
      </c>
      <c r="K594" cm="1">
        <f t="array" ref="K594">INDEX(FX_Temps,$AF594,K$3)</f>
        <v>60.899999999999977</v>
      </c>
      <c r="L594" cm="1">
        <f t="array" ref="L594">INDEX(FX_Temps,$AF594,L$3)</f>
        <v>58.600000000000023</v>
      </c>
      <c r="M594" cm="1">
        <f t="array" ref="M594">INDEX(FX_Temps,$AF594,M$3)</f>
        <v>52.649999999999977</v>
      </c>
      <c r="N594" cm="1">
        <f t="array" ref="N594">INDEX(FX_Temps,$AF594,N$3)</f>
        <v>47.100000000000023</v>
      </c>
      <c r="O594" cm="1">
        <f t="array" ref="O594">INDEX(FX_Temps,$AF594,O$3)</f>
        <v>43.600000000000023</v>
      </c>
      <c r="AE594">
        <v>1</v>
      </c>
      <c r="AF594">
        <f>AF586+10</f>
        <v>249</v>
      </c>
    </row>
    <row r="595" spans="2:32" ht="17.149999999999999" x14ac:dyDescent="0.55000000000000004">
      <c r="B595" t="str">
        <f t="shared" ref="B595:B616" si="2068">B594</f>
        <v>Portland</v>
      </c>
      <c r="C595" t="s">
        <v>527</v>
      </c>
      <c r="D595" cm="1">
        <f t="array" ref="D595">INDEX(FX_Temps,$AF595,D$3)</f>
        <v>43.899999999999977</v>
      </c>
      <c r="E595" cm="1">
        <f t="array" ref="E595">INDEX(FX_Temps,$AF595,E$3)</f>
        <v>44.700000000000045</v>
      </c>
      <c r="F595" cm="1">
        <f t="array" ref="F595">INDEX(FX_Temps,$AF595,F$3)</f>
        <v>46.100000000000023</v>
      </c>
      <c r="G595" cm="1">
        <f t="array" ref="G595">INDEX(FX_Temps,$AF595,G$3)</f>
        <v>48.599999999999966</v>
      </c>
      <c r="H595" cm="1">
        <f t="array" ref="H595">INDEX(FX_Temps,$AF595,H$3)</f>
        <v>53.149999999999977</v>
      </c>
      <c r="I595" cm="1">
        <f t="array" ref="I595">INDEX(FX_Temps,$AF595,I$3)</f>
        <v>56.950000000000045</v>
      </c>
      <c r="J595" cm="1">
        <f t="array" ref="J595">INDEX(FX_Temps,$AF595,J$3)</f>
        <v>60.449999999999932</v>
      </c>
      <c r="K595" cm="1">
        <f t="array" ref="K595">INDEX(FX_Temps,$AF595,K$3)</f>
        <v>60.899999999999977</v>
      </c>
      <c r="L595" cm="1">
        <f t="array" ref="L595">INDEX(FX_Temps,$AF595,L$3)</f>
        <v>58.600000000000023</v>
      </c>
      <c r="M595" cm="1">
        <f t="array" ref="M595">INDEX(FX_Temps,$AF595,M$3)</f>
        <v>52.649999999999977</v>
      </c>
      <c r="N595" cm="1">
        <f t="array" ref="N595">INDEX(FX_Temps,$AF595,N$3)</f>
        <v>47.100000000000023</v>
      </c>
      <c r="O595" cm="1">
        <f t="array" ref="O595">INDEX(FX_Temps,$AF595,O$3)</f>
        <v>43.600000000000023</v>
      </c>
      <c r="AE595">
        <f>AE594</f>
        <v>1</v>
      </c>
      <c r="AF595">
        <f>AF586+11</f>
        <v>250</v>
      </c>
    </row>
    <row r="596" spans="2:32" ht="17.149999999999999" x14ac:dyDescent="0.55000000000000004">
      <c r="B596" t="str">
        <f t="shared" si="2068"/>
        <v>Portland</v>
      </c>
      <c r="C596" t="s">
        <v>552</v>
      </c>
      <c r="D596" cm="1">
        <f t="array" ref="D596">INDEX(FX_Temps,$AF596,D$3)</f>
        <v>43.899999999999977</v>
      </c>
      <c r="E596" cm="1">
        <f t="array" ref="E596">INDEX(FX_Temps,$AF596,E$3)</f>
        <v>44.700000000000045</v>
      </c>
      <c r="F596" cm="1">
        <f t="array" ref="F596">INDEX(FX_Temps,$AF596,F$3)</f>
        <v>46.100000000000023</v>
      </c>
      <c r="G596" cm="1">
        <f t="array" ref="G596">INDEX(FX_Temps,$AF596,G$3)</f>
        <v>48.599999999999966</v>
      </c>
      <c r="H596" cm="1">
        <f t="array" ref="H596">INDEX(FX_Temps,$AF596,H$3)</f>
        <v>53.149999999999977</v>
      </c>
      <c r="I596" cm="1">
        <f t="array" ref="I596">INDEX(FX_Temps,$AF596,I$3)</f>
        <v>56.950000000000045</v>
      </c>
      <c r="J596" cm="1">
        <f t="array" ref="J596">INDEX(FX_Temps,$AF596,J$3)</f>
        <v>60.449999999999932</v>
      </c>
      <c r="K596" cm="1">
        <f t="array" ref="K596">INDEX(FX_Temps,$AF596,K$3)</f>
        <v>60.899999999999977</v>
      </c>
      <c r="L596" cm="1">
        <f t="array" ref="L596">INDEX(FX_Temps,$AF596,L$3)</f>
        <v>58.600000000000023</v>
      </c>
      <c r="M596" cm="1">
        <f t="array" ref="M596">INDEX(FX_Temps,$AF596,M$3)</f>
        <v>52.649999999999977</v>
      </c>
      <c r="N596" cm="1">
        <f t="array" ref="N596">INDEX(FX_Temps,$AF596,N$3)</f>
        <v>47.100000000000023</v>
      </c>
      <c r="O596" cm="1">
        <f t="array" ref="O596">INDEX(FX_Temps,$AF596,O$3)</f>
        <v>43.600000000000023</v>
      </c>
      <c r="AE596">
        <f>AE595</f>
        <v>1</v>
      </c>
      <c r="AF596">
        <f>AF586+13</f>
        <v>252</v>
      </c>
    </row>
    <row r="597" spans="2:32" ht="17.149999999999999" x14ac:dyDescent="0.55000000000000004">
      <c r="B597" t="str">
        <f t="shared" si="2068"/>
        <v>Portland</v>
      </c>
      <c r="C597" t="s">
        <v>574</v>
      </c>
      <c r="D597" cm="1">
        <f t="array" ref="D597">IFERROR(IF(D587="Chemical",(10^(INDEX(Antoines,MATCH(D586,Antoine_Name,0),2)-INDEX(Antoines,MATCH(D586,Antoine_Name,0),3)/(INDEX(Antoines,MATCH(D586,Antoine_Name,0),4)+(D594-32)*5/9)))*14.7/760,IF(D587="Crude Oil",EXP((2799/(D594+459.6)-2.227)*LOG10(INDEX(FX_Input,Q$5,D$3*$Z$5+$AA$5))-(7261/(D594+459.6))+12.82),IF(D587="Refined Petroleum Stock",EXP((0.7553-(413/(D594+459.6)))*(INDEX(FX_Input,Q$5,D$3*$Z$5+$AA$5-1)^0.5)*LOG10(INDEX(FX_Input,Q$5,D$3*$Z$5+$AA$5))-(1.854-(1042/(D594+459.6)))*(INDEX(FX_Input,Q$5,D$3*$Z$5+$AA$5-1)^0.5)+((2416/(D594+459.6)-2.013)*LOG10(INDEX(FX_Input,Q$5,D$3*$Z$5+$AA$5)))-(8742/(D594+459.6))+15.64),EXP(INDEX(Antoines,MATCH(D586,Antoine_Name,0),2)-INDEX(Antoines,MATCH(D586,Antoine_Name,0),3)/(D594+459.6))))),0)</f>
        <v>4.739577185808354E-3</v>
      </c>
      <c r="E597" cm="1">
        <f t="array" ref="E597">IFERROR(IF(E587="Chemical",(10^(INDEX(Antoines,MATCH(E586,Antoine_Name,0),2)-INDEX(Antoines,MATCH(E586,Antoine_Name,0),3)/(INDEX(Antoines,MATCH(E586,Antoine_Name,0),4)+(E594-32)*5/9)))*14.7/760,IF(E587="Crude Oil",EXP((2799/(E594+459.6)-2.227)*LOG10(INDEX(FX_Input,R$5,E$3*$Z$5+$AA$5))-(7261/(E594+459.6))+12.82),IF(E587="Refined Petroleum Stock",EXP((0.7553-(413/(E594+459.6)))*(INDEX(FX_Input,R$5,E$3*$Z$5+$AA$5-1)^0.5)*LOG10(INDEX(FX_Input,R$5,E$3*$Z$5+$AA$5))-(1.854-(1042/(E594+459.6)))*(INDEX(FX_Input,R$5,E$3*$Z$5+$AA$5-1)^0.5)+((2416/(E594+459.6)-2.013)*LOG10(INDEX(FX_Input,R$5,E$3*$Z$5+$AA$5)))-(8742/(E594+459.6))+15.64),EXP(INDEX(Antoines,MATCH(E586,Antoine_Name,0),2)-INDEX(Antoines,MATCH(E586,Antoine_Name,0),3)/(E594+459.6))))),0)</f>
        <v>4.8748667780818778E-3</v>
      </c>
      <c r="F597" cm="1">
        <f t="array" ref="F597">IFERROR(IF(F587="Chemical",(10^(INDEX(Antoines,MATCH(F586,Antoine_Name,0),2)-INDEX(Antoines,MATCH(F586,Antoine_Name,0),3)/(INDEX(Antoines,MATCH(F586,Antoine_Name,0),4)+(F594-32)*5/9)))*14.7/760,IF(F587="Crude Oil",EXP((2799/(F594+459.6)-2.227)*LOG10(INDEX(FX_Input,S$5,F$3*$Z$5+$AA$5))-(7261/(F594+459.6))+12.82),IF(F587="Refined Petroleum Stock",EXP((0.7553-(413/(F594+459.6)))*(INDEX(FX_Input,S$5,F$3*$Z$5+$AA$5-1)^0.5)*LOG10(INDEX(FX_Input,S$5,F$3*$Z$5+$AA$5))-(1.854-(1042/(F594+459.6)))*(INDEX(FX_Input,S$5,F$3*$Z$5+$AA$5-1)^0.5)+((2416/(F594+459.6)-2.013)*LOG10(INDEX(FX_Input,S$5,F$3*$Z$5+$AA$5)))-(8742/(F594+459.6))+15.64),EXP(INDEX(Antoines,MATCH(F586,Antoine_Name,0),2)-INDEX(Antoines,MATCH(F586,Antoine_Name,0),3)/(F594+459.6))))),0)</f>
        <v>5.119885034186122E-3</v>
      </c>
      <c r="G597" cm="1">
        <f t="array" ref="G597">IFERROR(IF(G587="Chemical",(10^(INDEX(Antoines,MATCH(G586,Antoine_Name,0),2)-INDEX(Antoines,MATCH(G586,Antoine_Name,0),3)/(INDEX(Antoines,MATCH(G586,Antoine_Name,0),4)+(G594-32)*5/9)))*14.7/760,IF(G587="Crude Oil",EXP((2799/(G594+459.6)-2.227)*LOG10(INDEX(FX_Input,T$5,G$3*$Z$5+$AA$5))-(7261/(G594+459.6))+12.82),IF(G587="Refined Petroleum Stock",EXP((0.7553-(413/(G594+459.6)))*(INDEX(FX_Input,T$5,G$3*$Z$5+$AA$5-1)^0.5)*LOG10(INDEX(FX_Input,T$5,G$3*$Z$5+$AA$5))-(1.854-(1042/(G594+459.6)))*(INDEX(FX_Input,T$5,G$3*$Z$5+$AA$5-1)^0.5)+((2416/(G594+459.6)-2.013)*LOG10(INDEX(FX_Input,T$5,G$3*$Z$5+$AA$5)))-(8742/(G594+459.6))+15.64),EXP(INDEX(Antoines,MATCH(G586,Antoine_Name,0),2)-INDEX(Antoines,MATCH(G586,Antoine_Name,0),3)/(G594+459.6))))),0)</f>
        <v>5.5846958573521795E-3</v>
      </c>
      <c r="H597" cm="1">
        <f t="array" ref="H597">IFERROR(IF(H587="Chemical",(10^(INDEX(Antoines,MATCH(H586,Antoine_Name,0),2)-INDEX(Antoines,MATCH(H586,Antoine_Name,0),3)/(INDEX(Antoines,MATCH(H586,Antoine_Name,0),4)+(H594-32)*5/9)))*14.7/760,IF(H587="Crude Oil",EXP((2799/(H594+459.6)-2.227)*LOG10(INDEX(FX_Input,U$5,H$3*$Z$5+$AA$5))-(7261/(H594+459.6))+12.82),IF(H587="Refined Petroleum Stock",EXP((0.7553-(413/(H594+459.6)))*(INDEX(FX_Input,U$5,H$3*$Z$5+$AA$5-1)^0.5)*LOG10(INDEX(FX_Input,U$5,H$3*$Z$5+$AA$5))-(1.854-(1042/(H594+459.6)))*(INDEX(FX_Input,U$5,H$3*$Z$5+$AA$5-1)^0.5)+((2416/(H594+459.6)-2.013)*LOG10(INDEX(FX_Input,U$5,H$3*$Z$5+$AA$5)))-(8742/(H594+459.6))+15.64),EXP(INDEX(Antoines,MATCH(H586,Antoine_Name,0),2)-INDEX(Antoines,MATCH(H586,Antoine_Name,0),3)/(H594+459.6))))),0)</f>
        <v>6.5274070972739821E-3</v>
      </c>
      <c r="I597" cm="1">
        <f t="array" ref="I597">IFERROR(IF(I587="Chemical",(10^(INDEX(Antoines,MATCH(I586,Antoine_Name,0),2)-INDEX(Antoines,MATCH(I586,Antoine_Name,0),3)/(INDEX(Antoines,MATCH(I586,Antoine_Name,0),4)+(I594-32)*5/9)))*14.7/760,IF(I587="Crude Oil",EXP((2799/(I594+459.6)-2.227)*LOG10(INDEX(FX_Input,V$5,I$3*$Z$5+$AA$5))-(7261/(I594+459.6))+12.82),IF(I587="Refined Petroleum Stock",EXP((0.7553-(413/(I594+459.6)))*(INDEX(FX_Input,V$5,I$3*$Z$5+$AA$5-1)^0.5)*LOG10(INDEX(FX_Input,V$5,I$3*$Z$5+$AA$5))-(1.854-(1042/(I594+459.6)))*(INDEX(FX_Input,V$5,I$3*$Z$5+$AA$5-1)^0.5)+((2416/(I594+459.6)-2.013)*LOG10(INDEX(FX_Input,V$5,I$3*$Z$5+$AA$5)))-(8742/(I594+459.6))+15.64),EXP(INDEX(Antoines,MATCH(I586,Antoine_Name,0),2)-INDEX(Antoines,MATCH(I586,Antoine_Name,0),3)/(I594+459.6))))),0)</f>
        <v>7.4199539958878279E-3</v>
      </c>
      <c r="J597" cm="1">
        <f t="array" ref="J597">IFERROR(IF(J587="Chemical",(10^(INDEX(Antoines,MATCH(J586,Antoine_Name,0),2)-INDEX(Antoines,MATCH(J586,Antoine_Name,0),3)/(INDEX(Antoines,MATCH(J586,Antoine_Name,0),4)+(J594-32)*5/9)))*14.7/760,IF(J587="Crude Oil",EXP((2799/(J594+459.6)-2.227)*LOG10(INDEX(FX_Input,W$5,J$3*$Z$5+$AA$5))-(7261/(J594+459.6))+12.82),IF(J587="Refined Petroleum Stock",EXP((0.7553-(413/(J594+459.6)))*(INDEX(FX_Input,W$5,J$3*$Z$5+$AA$5-1)^0.5)*LOG10(INDEX(FX_Input,W$5,J$3*$Z$5+$AA$5))-(1.854-(1042/(J594+459.6)))*(INDEX(FX_Input,W$5,J$3*$Z$5+$AA$5-1)^0.5)+((2416/(J594+459.6)-2.013)*LOG10(INDEX(FX_Input,W$5,J$3*$Z$5+$AA$5)))-(8742/(J594+459.6))+15.64),EXP(INDEX(Antoines,MATCH(J586,Antoine_Name,0),2)-INDEX(Antoines,MATCH(J586,Antoine_Name,0),3)/(J594+459.6))))),0)</f>
        <v>8.3358107202842254E-3</v>
      </c>
      <c r="K597" cm="1">
        <f t="array" ref="K597">IFERROR(IF(K587="Chemical",(10^(INDEX(Antoines,MATCH(K586,Antoine_Name,0),2)-INDEX(Antoines,MATCH(K586,Antoine_Name,0),3)/(INDEX(Antoines,MATCH(K586,Antoine_Name,0),4)+(K594-32)*5/9)))*14.7/760,IF(K587="Crude Oil",EXP((2799/(K594+459.6)-2.227)*LOG10(INDEX(FX_Input,X$5,K$3*$Z$5+$AA$5))-(7261/(K594+459.6))+12.82),IF(K587="Refined Petroleum Stock",EXP((0.7553-(413/(K594+459.6)))*(INDEX(FX_Input,X$5,K$3*$Z$5+$AA$5-1)^0.5)*LOG10(INDEX(FX_Input,X$5,K$3*$Z$5+$AA$5))-(1.854-(1042/(K594+459.6)))*(INDEX(FX_Input,X$5,K$3*$Z$5+$AA$5-1)^0.5)+((2416/(K594+459.6)-2.013)*LOG10(INDEX(FX_Input,X$5,K$3*$Z$5+$AA$5)))-(8742/(K594+459.6))+15.64),EXP(INDEX(Antoines,MATCH(K586,Antoine_Name,0),2)-INDEX(Antoines,MATCH(K586,Antoine_Name,0),3)/(K594+459.6))))),0)</f>
        <v>8.4605262729351115E-3</v>
      </c>
      <c r="L597" cm="1">
        <f t="array" ref="L597">IFERROR(IF(L587="Chemical",(10^(INDEX(Antoines,MATCH(L586,Antoine_Name,0),2)-INDEX(Antoines,MATCH(L586,Antoine_Name,0),3)/(INDEX(Antoines,MATCH(L586,Antoine_Name,0),4)+(L594-32)*5/9)))*14.7/760,IF(L587="Crude Oil",EXP((2799/(L594+459.6)-2.227)*LOG10(INDEX(FX_Input,Y$5,L$3*$Z$5+$AA$5))-(7261/(L594+459.6))+12.82),IF(L587="Refined Petroleum Stock",EXP((0.7553-(413/(L594+459.6)))*(INDEX(FX_Input,Y$5,L$3*$Z$5+$AA$5-1)^0.5)*LOG10(INDEX(FX_Input,Y$5,L$3*$Z$5+$AA$5))-(1.854-(1042/(L594+459.6)))*(INDEX(FX_Input,Y$5,L$3*$Z$5+$AA$5-1)^0.5)+((2416/(L594+459.6)-2.013)*LOG10(INDEX(FX_Input,Y$5,L$3*$Z$5+$AA$5)))-(8742/(L594+459.6))+15.64),EXP(INDEX(Antoines,MATCH(L586,Antoine_Name,0),2)-INDEX(Antoines,MATCH(L586,Antoine_Name,0),3)/(L594+459.6))))),0)</f>
        <v>7.8399882233967533E-3</v>
      </c>
      <c r="M597" cm="1">
        <f t="array" ref="M597">IFERROR(IF(M587="Chemical",(10^(INDEX(Antoines,MATCH(M586,Antoine_Name,0),2)-INDEX(Antoines,MATCH(M586,Antoine_Name,0),3)/(INDEX(Antoines,MATCH(M586,Antoine_Name,0),4)+(M594-32)*5/9)))*14.7/760,IF(M587="Crude Oil",EXP((2799/(M594+459.6)-2.227)*LOG10(INDEX(FX_Input,Z$5,M$3*$Z$5+$AA$5))-(7261/(M594+459.6))+12.82),IF(M587="Refined Petroleum Stock",EXP((0.7553-(413/(M594+459.6)))*(INDEX(FX_Input,Z$5,M$3*$Z$5+$AA$5-1)^0.5)*LOG10(INDEX(FX_Input,Z$5,M$3*$Z$5+$AA$5))-(1.854-(1042/(M594+459.6)))*(INDEX(FX_Input,Z$5,M$3*$Z$5+$AA$5-1)^0.5)+((2416/(M594+459.6)-2.013)*LOG10(INDEX(FX_Input,Z$5,M$3*$Z$5+$AA$5)))-(8742/(M594+459.6))+15.64),EXP(INDEX(Antoines,MATCH(M586,Antoine_Name,0),2)-INDEX(Antoines,MATCH(M586,Antoine_Name,0),3)/(M594+459.6))))),0)</f>
        <v>6.4173462075160911E-3</v>
      </c>
      <c r="N597" cm="1">
        <f t="array" ref="N597">IFERROR(IF(N587="Chemical",(10^(INDEX(Antoines,MATCH(N586,Antoine_Name,0),2)-INDEX(Antoines,MATCH(N586,Antoine_Name,0),3)/(INDEX(Antoines,MATCH(N586,Antoine_Name,0),4)+(N594-32)*5/9)))*14.7/760,IF(N587="Crude Oil",EXP((2799/(N594+459.6)-2.227)*LOG10(INDEX(FX_Input,AA$5,N$3*$Z$5+$AA$5))-(7261/(N594+459.6))+12.82),IF(N587="Refined Petroleum Stock",EXP((0.7553-(413/(N594+459.6)))*(INDEX(FX_Input,AA$5,N$3*$Z$5+$AA$5-1)^0.5)*LOG10(INDEX(FX_Input,AA$5,N$3*$Z$5+$AA$5))-(1.854-(1042/(N594+459.6)))*(INDEX(FX_Input,AA$5,N$3*$Z$5+$AA$5-1)^0.5)+((2416/(N594+459.6)-2.013)*LOG10(INDEX(FX_Input,AA$5,N$3*$Z$5+$AA$5)))-(8742/(N594+459.6))+15.64),EXP(INDEX(Antoines,MATCH(N586,Antoine_Name,0),2)-INDEX(Antoines,MATCH(N586,Antoine_Name,0),3)/(N594+459.6))))),0)</f>
        <v>5.3015226887581056E-3</v>
      </c>
      <c r="O597" cm="1">
        <f t="array" ref="O597">IFERROR(IF(O587="Chemical",(10^(INDEX(Antoines,MATCH(O586,Antoine_Name,0),2)-INDEX(Antoines,MATCH(O586,Antoine_Name,0),3)/(INDEX(Antoines,MATCH(O586,Antoine_Name,0),4)+(O594-32)*5/9)))*14.7/760,IF(O587="Crude Oil",EXP((2799/(O594+459.6)-2.227)*LOG10(INDEX(FX_Input,AB$5,O$3*$Z$5+$AA$5))-(7261/(O594+459.6))+12.82),IF(O587="Refined Petroleum Stock",EXP((0.7553-(413/(O594+459.6)))*(INDEX(FX_Input,AB$5,O$3*$Z$5+$AA$5-1)^0.5)*LOG10(INDEX(FX_Input,AB$5,O$3*$Z$5+$AA$5))-(1.854-(1042/(O594+459.6)))*(INDEX(FX_Input,AB$5,O$3*$Z$5+$AA$5-1)^0.5)+((2416/(O594+459.6)-2.013)*LOG10(INDEX(FX_Input,AB$5,O$3*$Z$5+$AA$5)))-(8742/(O594+459.6))+15.64),EXP(INDEX(Antoines,MATCH(O586,Antoine_Name,0),2)-INDEX(Antoines,MATCH(O586,Antoine_Name,0),3)/(O594+459.6))))),0)</f>
        <v>4.68970903600947E-3</v>
      </c>
    </row>
    <row r="598" spans="2:32" ht="17.149999999999999" x14ac:dyDescent="0.55000000000000004">
      <c r="B598" t="str">
        <f t="shared" si="2068"/>
        <v>Portland</v>
      </c>
      <c r="C598" t="s">
        <v>576</v>
      </c>
      <c r="D598">
        <f>D590*D597</f>
        <v>4.739577185808354E-3</v>
      </c>
      <c r="E598">
        <f t="shared" ref="E598" si="2069">E590*E597</f>
        <v>4.8748667780818778E-3</v>
      </c>
      <c r="F598">
        <f t="shared" ref="F598" si="2070">F590*F597</f>
        <v>5.119885034186122E-3</v>
      </c>
      <c r="G598">
        <f t="shared" ref="G598" si="2071">G590*G597</f>
        <v>5.5846958573521795E-3</v>
      </c>
      <c r="H598">
        <f t="shared" ref="H598" si="2072">H590*H597</f>
        <v>6.5274070972739821E-3</v>
      </c>
      <c r="I598">
        <f t="shared" ref="I598" si="2073">I590*I597</f>
        <v>7.4199539958878279E-3</v>
      </c>
      <c r="J598">
        <f t="shared" ref="J598" si="2074">J590*J597</f>
        <v>8.3358107202842254E-3</v>
      </c>
      <c r="K598">
        <f t="shared" ref="K598" si="2075">K590*K597</f>
        <v>8.4605262729351115E-3</v>
      </c>
      <c r="L598">
        <f t="shared" ref="L598" si="2076">L590*L597</f>
        <v>7.8399882233967533E-3</v>
      </c>
      <c r="M598">
        <f t="shared" ref="M598" si="2077">M590*M597</f>
        <v>6.4173462075160911E-3</v>
      </c>
      <c r="N598">
        <f t="shared" ref="N598" si="2078">N590*N597</f>
        <v>5.3015226887581056E-3</v>
      </c>
      <c r="O598">
        <f t="shared" ref="O598" si="2079">O590*O597</f>
        <v>4.68970903600947E-3</v>
      </c>
    </row>
    <row r="599" spans="2:32" ht="17.149999999999999" x14ac:dyDescent="0.55000000000000004">
      <c r="B599" t="str">
        <f t="shared" si="2068"/>
        <v>Portland</v>
      </c>
      <c r="C599" t="s">
        <v>575</v>
      </c>
      <c r="D599" cm="1">
        <f t="array" ref="D599">IFERROR(IF(D589="Chemical",(10^(INDEX(Antoines,MATCH(D588,Antoine_Name,0),2)-INDEX(Antoines,MATCH(D588,Antoine_Name,0),3)/(INDEX(Antoines,MATCH(D588,Antoine_Name,0),4)+(D594-32)*5/9)))*14.7/760,IF(D589="Crude Oil",EXP((2799/(D594+459.6)-2.227)*LOG10(INDEX(FX_Input,Q$5,D$3*$Z$5+$AA$5))-(7261/(D594+459.6))+12.82),IF(D589="Refined Petroleum Stock",EXP((0.7553-(413/(D594+459.6)))*(INDEX(FX_Input,Q$5,D$3*$Z$5+$AA$5-1)^0.5)*LOG10(INDEX(FX_Input,Q$5,D$3*$Z$5+$AA$5))-(1.854-(1042/(D594+459.6)))*(INDEX(FX_Input,Q$5,D$3*$Z$5+$AA$5-1)^0.5)+((2416/(D594+459.6)-2.013)*LOG10(INDEX(FX_Input,Q$5,D$3*$Z$5+$AA$5)))-(8742/(D594+459.6))+15.64),EXP(INDEX(Antoines,MATCH(D588,Antoine_Name,0),2)-INDEX(Antoines,MATCH(D588,Antoine_Name,0),3)/(D594+459.6))))),0)</f>
        <v>0</v>
      </c>
      <c r="E599" cm="1">
        <f t="array" ref="E599">IFERROR(IF(E589="Chemical",(10^(INDEX(Antoines,MATCH(E588,Antoine_Name,0),2)-INDEX(Antoines,MATCH(E588,Antoine_Name,0),3)/(INDEX(Antoines,MATCH(E588,Antoine_Name,0),4)+(E594-32)*5/9)))*14.7/760,IF(E589="Crude Oil",EXP((2799/(E594+459.6)-2.227)*LOG10(INDEX(FX_Input,R$5,E$3*$Z$5+$AA$5))-(7261/(E594+459.6))+12.82),IF(E589="Refined Petroleum Stock",EXP((0.7553-(413/(E594+459.6)))*(INDEX(FX_Input,R$5,E$3*$Z$5+$AA$5-1)^0.5)*LOG10(INDEX(FX_Input,R$5,E$3*$Z$5+$AA$5))-(1.854-(1042/(E594+459.6)))*(INDEX(FX_Input,R$5,E$3*$Z$5+$AA$5-1)^0.5)+((2416/(E594+459.6)-2.013)*LOG10(INDEX(FX_Input,R$5,E$3*$Z$5+$AA$5)))-(8742/(E594+459.6))+15.64),EXP(INDEX(Antoines,MATCH(E588,Antoine_Name,0),2)-INDEX(Antoines,MATCH(E588,Antoine_Name,0),3)/(E594+459.6))))),0)</f>
        <v>0</v>
      </c>
      <c r="F599" cm="1">
        <f t="array" ref="F599">IFERROR(IF(F589="Chemical",(10^(INDEX(Antoines,MATCH(F588,Antoine_Name,0),2)-INDEX(Antoines,MATCH(F588,Antoine_Name,0),3)/(INDEX(Antoines,MATCH(F588,Antoine_Name,0),4)+(F594-32)*5/9)))*14.7/760,IF(F589="Crude Oil",EXP((2799/(F594+459.6)-2.227)*LOG10(INDEX(FX_Input,S$5,F$3*$Z$5+$AA$5))-(7261/(F594+459.6))+12.82),IF(F589="Refined Petroleum Stock",EXP((0.7553-(413/(F594+459.6)))*(INDEX(FX_Input,S$5,F$3*$Z$5+$AA$5-1)^0.5)*LOG10(INDEX(FX_Input,S$5,F$3*$Z$5+$AA$5))-(1.854-(1042/(F594+459.6)))*(INDEX(FX_Input,S$5,F$3*$Z$5+$AA$5-1)^0.5)+((2416/(F594+459.6)-2.013)*LOG10(INDEX(FX_Input,S$5,F$3*$Z$5+$AA$5)))-(8742/(F594+459.6))+15.64),EXP(INDEX(Antoines,MATCH(F588,Antoine_Name,0),2)-INDEX(Antoines,MATCH(F588,Antoine_Name,0),3)/(F594+459.6))))),0)</f>
        <v>0</v>
      </c>
      <c r="G599" cm="1">
        <f t="array" ref="G599">IFERROR(IF(G589="Chemical",(10^(INDEX(Antoines,MATCH(G588,Antoine_Name,0),2)-INDEX(Antoines,MATCH(G588,Antoine_Name,0),3)/(INDEX(Antoines,MATCH(G588,Antoine_Name,0),4)+(G594-32)*5/9)))*14.7/760,IF(G589="Crude Oil",EXP((2799/(G594+459.6)-2.227)*LOG10(INDEX(FX_Input,T$5,G$3*$Z$5+$AA$5))-(7261/(G594+459.6))+12.82),IF(G589="Refined Petroleum Stock",EXP((0.7553-(413/(G594+459.6)))*(INDEX(FX_Input,T$5,G$3*$Z$5+$AA$5-1)^0.5)*LOG10(INDEX(FX_Input,T$5,G$3*$Z$5+$AA$5))-(1.854-(1042/(G594+459.6)))*(INDEX(FX_Input,T$5,G$3*$Z$5+$AA$5-1)^0.5)+((2416/(G594+459.6)-2.013)*LOG10(INDEX(FX_Input,T$5,G$3*$Z$5+$AA$5)))-(8742/(G594+459.6))+15.64),EXP(INDEX(Antoines,MATCH(G588,Antoine_Name,0),2)-INDEX(Antoines,MATCH(G588,Antoine_Name,0),3)/(G594+459.6))))),0)</f>
        <v>0</v>
      </c>
      <c r="H599" cm="1">
        <f t="array" ref="H599">IFERROR(IF(H589="Chemical",(10^(INDEX(Antoines,MATCH(H588,Antoine_Name,0),2)-INDEX(Antoines,MATCH(H588,Antoine_Name,0),3)/(INDEX(Antoines,MATCH(H588,Antoine_Name,0),4)+(H594-32)*5/9)))*14.7/760,IF(H589="Crude Oil",EXP((2799/(H594+459.6)-2.227)*LOG10(INDEX(FX_Input,U$5,H$3*$Z$5+$AA$5))-(7261/(H594+459.6))+12.82),IF(H589="Refined Petroleum Stock",EXP((0.7553-(413/(H594+459.6)))*(INDEX(FX_Input,U$5,H$3*$Z$5+$AA$5-1)^0.5)*LOG10(INDEX(FX_Input,U$5,H$3*$Z$5+$AA$5))-(1.854-(1042/(H594+459.6)))*(INDEX(FX_Input,U$5,H$3*$Z$5+$AA$5-1)^0.5)+((2416/(H594+459.6)-2.013)*LOG10(INDEX(FX_Input,U$5,H$3*$Z$5+$AA$5)))-(8742/(H594+459.6))+15.64),EXP(INDEX(Antoines,MATCH(H588,Antoine_Name,0),2)-INDEX(Antoines,MATCH(H588,Antoine_Name,0),3)/(H594+459.6))))),0)</f>
        <v>0</v>
      </c>
      <c r="I599" cm="1">
        <f t="array" ref="I599">IFERROR(IF(I589="Chemical",(10^(INDEX(Antoines,MATCH(I588,Antoine_Name,0),2)-INDEX(Antoines,MATCH(I588,Antoine_Name,0),3)/(INDEX(Antoines,MATCH(I588,Antoine_Name,0),4)+(I594-32)*5/9)))*14.7/760,IF(I589="Crude Oil",EXP((2799/(I594+459.6)-2.227)*LOG10(INDEX(FX_Input,V$5,I$3*$Z$5+$AA$5))-(7261/(I594+459.6))+12.82),IF(I589="Refined Petroleum Stock",EXP((0.7553-(413/(I594+459.6)))*(INDEX(FX_Input,V$5,I$3*$Z$5+$AA$5-1)^0.5)*LOG10(INDEX(FX_Input,V$5,I$3*$Z$5+$AA$5))-(1.854-(1042/(I594+459.6)))*(INDEX(FX_Input,V$5,I$3*$Z$5+$AA$5-1)^0.5)+((2416/(I594+459.6)-2.013)*LOG10(INDEX(FX_Input,V$5,I$3*$Z$5+$AA$5)))-(8742/(I594+459.6))+15.64),EXP(INDEX(Antoines,MATCH(I588,Antoine_Name,0),2)-INDEX(Antoines,MATCH(I588,Antoine_Name,0),3)/(I594+459.6))))),0)</f>
        <v>0</v>
      </c>
      <c r="J599" cm="1">
        <f t="array" ref="J599">IFERROR(IF(J589="Chemical",(10^(INDEX(Antoines,MATCH(J588,Antoine_Name,0),2)-INDEX(Antoines,MATCH(J588,Antoine_Name,0),3)/(INDEX(Antoines,MATCH(J588,Antoine_Name,0),4)+(J594-32)*5/9)))*14.7/760,IF(J589="Crude Oil",EXP((2799/(J594+459.6)-2.227)*LOG10(INDEX(FX_Input,W$5,J$3*$Z$5+$AA$5))-(7261/(J594+459.6))+12.82),IF(J589="Refined Petroleum Stock",EXP((0.7553-(413/(J594+459.6)))*(INDEX(FX_Input,W$5,J$3*$Z$5+$AA$5-1)^0.5)*LOG10(INDEX(FX_Input,W$5,J$3*$Z$5+$AA$5))-(1.854-(1042/(J594+459.6)))*(INDEX(FX_Input,W$5,J$3*$Z$5+$AA$5-1)^0.5)+((2416/(J594+459.6)-2.013)*LOG10(INDEX(FX_Input,W$5,J$3*$Z$5+$AA$5)))-(8742/(J594+459.6))+15.64),EXP(INDEX(Antoines,MATCH(J588,Antoine_Name,0),2)-INDEX(Antoines,MATCH(J588,Antoine_Name,0),3)/(J594+459.6))))),0)</f>
        <v>0</v>
      </c>
      <c r="K599" cm="1">
        <f t="array" ref="K599">IFERROR(IF(K589="Chemical",(10^(INDEX(Antoines,MATCH(K588,Antoine_Name,0),2)-INDEX(Antoines,MATCH(K588,Antoine_Name,0),3)/(INDEX(Antoines,MATCH(K588,Antoine_Name,0),4)+(K594-32)*5/9)))*14.7/760,IF(K589="Crude Oil",EXP((2799/(K594+459.6)-2.227)*LOG10(INDEX(FX_Input,X$5,K$3*$Z$5+$AA$5))-(7261/(K594+459.6))+12.82),IF(K589="Refined Petroleum Stock",EXP((0.7553-(413/(K594+459.6)))*(INDEX(FX_Input,X$5,K$3*$Z$5+$AA$5-1)^0.5)*LOG10(INDEX(FX_Input,X$5,K$3*$Z$5+$AA$5))-(1.854-(1042/(K594+459.6)))*(INDEX(FX_Input,X$5,K$3*$Z$5+$AA$5-1)^0.5)+((2416/(K594+459.6)-2.013)*LOG10(INDEX(FX_Input,X$5,K$3*$Z$5+$AA$5)))-(8742/(K594+459.6))+15.64),EXP(INDEX(Antoines,MATCH(K588,Antoine_Name,0),2)-INDEX(Antoines,MATCH(K588,Antoine_Name,0),3)/(K594+459.6))))),0)</f>
        <v>0</v>
      </c>
      <c r="L599" cm="1">
        <f t="array" ref="L599">IFERROR(IF(L589="Chemical",(10^(INDEX(Antoines,MATCH(L588,Antoine_Name,0),2)-INDEX(Antoines,MATCH(L588,Antoine_Name,0),3)/(INDEX(Antoines,MATCH(L588,Antoine_Name,0),4)+(L594-32)*5/9)))*14.7/760,IF(L589="Crude Oil",EXP((2799/(L594+459.6)-2.227)*LOG10(INDEX(FX_Input,Y$5,L$3*$Z$5+$AA$5))-(7261/(L594+459.6))+12.82),IF(L589="Refined Petroleum Stock",EXP((0.7553-(413/(L594+459.6)))*(INDEX(FX_Input,Y$5,L$3*$Z$5+$AA$5-1)^0.5)*LOG10(INDEX(FX_Input,Y$5,L$3*$Z$5+$AA$5))-(1.854-(1042/(L594+459.6)))*(INDEX(FX_Input,Y$5,L$3*$Z$5+$AA$5-1)^0.5)+((2416/(L594+459.6)-2.013)*LOG10(INDEX(FX_Input,Y$5,L$3*$Z$5+$AA$5)))-(8742/(L594+459.6))+15.64),EXP(INDEX(Antoines,MATCH(L588,Antoine_Name,0),2)-INDEX(Antoines,MATCH(L588,Antoine_Name,0),3)/(L594+459.6))))),0)</f>
        <v>0</v>
      </c>
      <c r="M599" cm="1">
        <f t="array" ref="M599">IFERROR(IF(M589="Chemical",(10^(INDEX(Antoines,MATCH(M588,Antoine_Name,0),2)-INDEX(Antoines,MATCH(M588,Antoine_Name,0),3)/(INDEX(Antoines,MATCH(M588,Antoine_Name,0),4)+(M594-32)*5/9)))*14.7/760,IF(M589="Crude Oil",EXP((2799/(M594+459.6)-2.227)*LOG10(INDEX(FX_Input,Z$5,M$3*$Z$5+$AA$5))-(7261/(M594+459.6))+12.82),IF(M589="Refined Petroleum Stock",EXP((0.7553-(413/(M594+459.6)))*(INDEX(FX_Input,Z$5,M$3*$Z$5+$AA$5-1)^0.5)*LOG10(INDEX(FX_Input,Z$5,M$3*$Z$5+$AA$5))-(1.854-(1042/(M594+459.6)))*(INDEX(FX_Input,Z$5,M$3*$Z$5+$AA$5-1)^0.5)+((2416/(M594+459.6)-2.013)*LOG10(INDEX(FX_Input,Z$5,M$3*$Z$5+$AA$5)))-(8742/(M594+459.6))+15.64),EXP(INDEX(Antoines,MATCH(M588,Antoine_Name,0),2)-INDEX(Antoines,MATCH(M588,Antoine_Name,0),3)/(M594+459.6))))),0)</f>
        <v>0</v>
      </c>
      <c r="N599" cm="1">
        <f t="array" ref="N599">IFERROR(IF(N589="Chemical",(10^(INDEX(Antoines,MATCH(N588,Antoine_Name,0),2)-INDEX(Antoines,MATCH(N588,Antoine_Name,0),3)/(INDEX(Antoines,MATCH(N588,Antoine_Name,0),4)+(N594-32)*5/9)))*14.7/760,IF(N589="Crude Oil",EXP((2799/(N594+459.6)-2.227)*LOG10(INDEX(FX_Input,AA$5,N$3*$Z$5+$AA$5))-(7261/(N594+459.6))+12.82),IF(N589="Refined Petroleum Stock",EXP((0.7553-(413/(N594+459.6)))*(INDEX(FX_Input,AA$5,N$3*$Z$5+$AA$5-1)^0.5)*LOG10(INDEX(FX_Input,AA$5,N$3*$Z$5+$AA$5))-(1.854-(1042/(N594+459.6)))*(INDEX(FX_Input,AA$5,N$3*$Z$5+$AA$5-1)^0.5)+((2416/(N594+459.6)-2.013)*LOG10(INDEX(FX_Input,AA$5,N$3*$Z$5+$AA$5)))-(8742/(N594+459.6))+15.64),EXP(INDEX(Antoines,MATCH(N588,Antoine_Name,0),2)-INDEX(Antoines,MATCH(N588,Antoine_Name,0),3)/(N594+459.6))))),0)</f>
        <v>0</v>
      </c>
      <c r="O599" cm="1">
        <f t="array" ref="O599">IFERROR(IF(O589="Chemical",(10^(INDEX(Antoines,MATCH(O588,Antoine_Name,0),2)-INDEX(Antoines,MATCH(O588,Antoine_Name,0),3)/(INDEX(Antoines,MATCH(O588,Antoine_Name,0),4)+(O594-32)*5/9)))*14.7/760,IF(O589="Crude Oil",EXP((2799/(O594+459.6)-2.227)*LOG10(INDEX(FX_Input,AB$5,O$3*$Z$5+$AA$5))-(7261/(O594+459.6))+12.82),IF(O589="Refined Petroleum Stock",EXP((0.7553-(413/(O594+459.6)))*(INDEX(FX_Input,AB$5,O$3*$Z$5+$AA$5-1)^0.5)*LOG10(INDEX(FX_Input,AB$5,O$3*$Z$5+$AA$5))-(1.854-(1042/(O594+459.6)))*(INDEX(FX_Input,AB$5,O$3*$Z$5+$AA$5-1)^0.5)+((2416/(O594+459.6)-2.013)*LOG10(INDEX(FX_Input,AB$5,O$3*$Z$5+$AA$5)))-(8742/(O594+459.6))+15.64),EXP(INDEX(Antoines,MATCH(O588,Antoine_Name,0),2)-INDEX(Antoines,MATCH(O588,Antoine_Name,0),3)/(O594+459.6))))),0)</f>
        <v>0</v>
      </c>
    </row>
    <row r="600" spans="2:32" ht="17.149999999999999" x14ac:dyDescent="0.55000000000000004">
      <c r="B600" t="str">
        <f t="shared" si="2068"/>
        <v>Portland</v>
      </c>
      <c r="C600" t="s">
        <v>577</v>
      </c>
      <c r="D600">
        <f>D599*D592</f>
        <v>0</v>
      </c>
      <c r="E600">
        <f t="shared" ref="E600" si="2080">E599*E592</f>
        <v>0</v>
      </c>
      <c r="F600">
        <f t="shared" ref="F600" si="2081">F599*F592</f>
        <v>0</v>
      </c>
      <c r="G600">
        <f t="shared" ref="G600" si="2082">G599*G592</f>
        <v>0</v>
      </c>
      <c r="H600">
        <f t="shared" ref="H600" si="2083">H599*H592</f>
        <v>0</v>
      </c>
      <c r="I600">
        <f t="shared" ref="I600" si="2084">I599*I592</f>
        <v>0</v>
      </c>
      <c r="J600">
        <f t="shared" ref="J600" si="2085">J599*J592</f>
        <v>0</v>
      </c>
      <c r="K600">
        <f t="shared" ref="K600" si="2086">K599*K592</f>
        <v>0</v>
      </c>
      <c r="L600">
        <f t="shared" ref="L600" si="2087">L599*L592</f>
        <v>0</v>
      </c>
      <c r="M600">
        <f t="shared" ref="M600" si="2088">M599*M592</f>
        <v>0</v>
      </c>
      <c r="N600">
        <f t="shared" ref="N600" si="2089">N599*N592</f>
        <v>0</v>
      </c>
      <c r="O600">
        <f t="shared" ref="O600" si="2090">O599*O592</f>
        <v>0</v>
      </c>
    </row>
    <row r="601" spans="2:32" ht="17.149999999999999" x14ac:dyDescent="0.55000000000000004">
      <c r="B601" t="str">
        <f t="shared" si="2068"/>
        <v>Portland</v>
      </c>
      <c r="C601" t="s">
        <v>578</v>
      </c>
      <c r="D601">
        <f>D600+D598</f>
        <v>4.739577185808354E-3</v>
      </c>
      <c r="E601">
        <f t="shared" ref="E601" si="2091">E600+E598</f>
        <v>4.8748667780818778E-3</v>
      </c>
      <c r="F601">
        <f t="shared" ref="F601" si="2092">F600+F598</f>
        <v>5.119885034186122E-3</v>
      </c>
      <c r="G601">
        <f t="shared" ref="G601" si="2093">G600+G598</f>
        <v>5.5846958573521795E-3</v>
      </c>
      <c r="H601">
        <f t="shared" ref="H601" si="2094">H600+H598</f>
        <v>6.5274070972739821E-3</v>
      </c>
      <c r="I601">
        <f t="shared" ref="I601" si="2095">I600+I598</f>
        <v>7.4199539958878279E-3</v>
      </c>
      <c r="J601">
        <f t="shared" ref="J601" si="2096">J600+J598</f>
        <v>8.3358107202842254E-3</v>
      </c>
      <c r="K601">
        <f t="shared" ref="K601" si="2097">K600+K598</f>
        <v>8.4605262729351115E-3</v>
      </c>
      <c r="L601">
        <f t="shared" ref="L601" si="2098">L600+L598</f>
        <v>7.8399882233967533E-3</v>
      </c>
      <c r="M601">
        <f t="shared" ref="M601" si="2099">M600+M598</f>
        <v>6.4173462075160911E-3</v>
      </c>
      <c r="N601">
        <f t="shared" ref="N601" si="2100">N600+N598</f>
        <v>5.3015226887581056E-3</v>
      </c>
      <c r="O601">
        <f t="shared" ref="O601" si="2101">O600+O598</f>
        <v>4.68970903600947E-3</v>
      </c>
    </row>
    <row r="602" spans="2:32" ht="17.149999999999999" x14ac:dyDescent="0.55000000000000004">
      <c r="B602" t="str">
        <f t="shared" si="2068"/>
        <v>Portland</v>
      </c>
      <c r="C602" t="s">
        <v>579</v>
      </c>
      <c r="D602" cm="1">
        <f t="array" ref="D602">IFERROR(IF(D587="Chemical",(10^(INDEX(Antoines,MATCH(D586,Antoine_Name,0),2)-INDEX(Antoines,MATCH(D586,Antoine_Name,0),3)/(INDEX(Antoines,MATCH(D586,Antoine_Name,0),4)+(D595-32)*5/9)))*14.7/760,IF(D587="Crude Oil",EXP((2799/(D595+459.6)-2.227)*LOG10(INDEX(FX_Input,Q$5,D$3*$Z$5+$AA$5))-(7261/(D595+459.6))+12.82),IF(D587="Refined Petroleum Stock",EXP((0.7553-(413/(D595+459.6)))*(INDEX(FX_Input,Q$5,D$3*$Z$5+$AA$5-1)^0.5)*LOG10(INDEX(FX_Input,Q$5,D$3*$Z$5+$AA$5))-(1.854-(1042/(D595+459.6)))*(INDEX(FX_Input,Q$5,D$3*$Z$5+$AA$5-1)^0.5)+((2416/(D595+459.6)-2.013)*LOG10(INDEX(FX_Input,Q$5,D$3*$Z$5+$AA$5)))-(8742/(D595+459.6))+15.64),EXP(INDEX(Antoines,MATCH(D586,Antoine_Name,0),2)-INDEX(Antoines,MATCH(D586,Antoine_Name,0),3)/(D595+459.6))))),0)</f>
        <v>4.739577185808354E-3</v>
      </c>
      <c r="E602" cm="1">
        <f t="array" ref="E602">IFERROR(IF(E587="Chemical",(10^(INDEX(Antoines,MATCH(E586,Antoine_Name,0),2)-INDEX(Antoines,MATCH(E586,Antoine_Name,0),3)/(INDEX(Antoines,MATCH(E586,Antoine_Name,0),4)+(E595-32)*5/9)))*14.7/760,IF(E587="Crude Oil",EXP((2799/(E595+459.6)-2.227)*LOG10(INDEX(FX_Input,R$5,E$3*$Z$5+$AA$5))-(7261/(E595+459.6))+12.82),IF(E587="Refined Petroleum Stock",EXP((0.7553-(413/(E595+459.6)))*(INDEX(FX_Input,R$5,E$3*$Z$5+$AA$5-1)^0.5)*LOG10(INDEX(FX_Input,R$5,E$3*$Z$5+$AA$5))-(1.854-(1042/(E595+459.6)))*(INDEX(FX_Input,R$5,E$3*$Z$5+$AA$5-1)^0.5)+((2416/(E595+459.6)-2.013)*LOG10(INDEX(FX_Input,R$5,E$3*$Z$5+$AA$5)))-(8742/(E595+459.6))+15.64),EXP(INDEX(Antoines,MATCH(E586,Antoine_Name,0),2)-INDEX(Antoines,MATCH(E586,Antoine_Name,0),3)/(E595+459.6))))),0)</f>
        <v>4.8748667780818778E-3</v>
      </c>
      <c r="F602" cm="1">
        <f t="array" ref="F602">IFERROR(IF(F587="Chemical",(10^(INDEX(Antoines,MATCH(F586,Antoine_Name,0),2)-INDEX(Antoines,MATCH(F586,Antoine_Name,0),3)/(INDEX(Antoines,MATCH(F586,Antoine_Name,0),4)+(F595-32)*5/9)))*14.7/760,IF(F587="Crude Oil",EXP((2799/(F595+459.6)-2.227)*LOG10(INDEX(FX_Input,S$5,F$3*$Z$5+$AA$5))-(7261/(F595+459.6))+12.82),IF(F587="Refined Petroleum Stock",EXP((0.7553-(413/(F595+459.6)))*(INDEX(FX_Input,S$5,F$3*$Z$5+$AA$5-1)^0.5)*LOG10(INDEX(FX_Input,S$5,F$3*$Z$5+$AA$5))-(1.854-(1042/(F595+459.6)))*(INDEX(FX_Input,S$5,F$3*$Z$5+$AA$5-1)^0.5)+((2416/(F595+459.6)-2.013)*LOG10(INDEX(FX_Input,S$5,F$3*$Z$5+$AA$5)))-(8742/(F595+459.6))+15.64),EXP(INDEX(Antoines,MATCH(F586,Antoine_Name,0),2)-INDEX(Antoines,MATCH(F586,Antoine_Name,0),3)/(F595+459.6))))),0)</f>
        <v>5.119885034186122E-3</v>
      </c>
      <c r="G602" cm="1">
        <f t="array" ref="G602">IFERROR(IF(G587="Chemical",(10^(INDEX(Antoines,MATCH(G586,Antoine_Name,0),2)-INDEX(Antoines,MATCH(G586,Antoine_Name,0),3)/(INDEX(Antoines,MATCH(G586,Antoine_Name,0),4)+(G595-32)*5/9)))*14.7/760,IF(G587="Crude Oil",EXP((2799/(G595+459.6)-2.227)*LOG10(INDEX(FX_Input,T$5,G$3*$Z$5+$AA$5))-(7261/(G595+459.6))+12.82),IF(G587="Refined Petroleum Stock",EXP((0.7553-(413/(G595+459.6)))*(INDEX(FX_Input,T$5,G$3*$Z$5+$AA$5-1)^0.5)*LOG10(INDEX(FX_Input,T$5,G$3*$Z$5+$AA$5))-(1.854-(1042/(G595+459.6)))*(INDEX(FX_Input,T$5,G$3*$Z$5+$AA$5-1)^0.5)+((2416/(G595+459.6)-2.013)*LOG10(INDEX(FX_Input,T$5,G$3*$Z$5+$AA$5)))-(8742/(G595+459.6))+15.64),EXP(INDEX(Antoines,MATCH(G586,Antoine_Name,0),2)-INDEX(Antoines,MATCH(G586,Antoine_Name,0),3)/(G595+459.6))))),0)</f>
        <v>5.5846958573521795E-3</v>
      </c>
      <c r="H602" cm="1">
        <f t="array" ref="H602">IFERROR(IF(H587="Chemical",(10^(INDEX(Antoines,MATCH(H586,Antoine_Name,0),2)-INDEX(Antoines,MATCH(H586,Antoine_Name,0),3)/(INDEX(Antoines,MATCH(H586,Antoine_Name,0),4)+(H595-32)*5/9)))*14.7/760,IF(H587="Crude Oil",EXP((2799/(H595+459.6)-2.227)*LOG10(INDEX(FX_Input,U$5,H$3*$Z$5+$AA$5))-(7261/(H595+459.6))+12.82),IF(H587="Refined Petroleum Stock",EXP((0.7553-(413/(H595+459.6)))*(INDEX(FX_Input,U$5,H$3*$Z$5+$AA$5-1)^0.5)*LOG10(INDEX(FX_Input,U$5,H$3*$Z$5+$AA$5))-(1.854-(1042/(H595+459.6)))*(INDEX(FX_Input,U$5,H$3*$Z$5+$AA$5-1)^0.5)+((2416/(H595+459.6)-2.013)*LOG10(INDEX(FX_Input,U$5,H$3*$Z$5+$AA$5)))-(8742/(H595+459.6))+15.64),EXP(INDEX(Antoines,MATCH(H586,Antoine_Name,0),2)-INDEX(Antoines,MATCH(H586,Antoine_Name,0),3)/(H595+459.6))))),0)</f>
        <v>6.5274070972739821E-3</v>
      </c>
      <c r="I602" cm="1">
        <f t="array" ref="I602">IFERROR(IF(I587="Chemical",(10^(INDEX(Antoines,MATCH(I586,Antoine_Name,0),2)-INDEX(Antoines,MATCH(I586,Antoine_Name,0),3)/(INDEX(Antoines,MATCH(I586,Antoine_Name,0),4)+(I595-32)*5/9)))*14.7/760,IF(I587="Crude Oil",EXP((2799/(I595+459.6)-2.227)*LOG10(INDEX(FX_Input,V$5,I$3*$Z$5+$AA$5))-(7261/(I595+459.6))+12.82),IF(I587="Refined Petroleum Stock",EXP((0.7553-(413/(I595+459.6)))*(INDEX(FX_Input,V$5,I$3*$Z$5+$AA$5-1)^0.5)*LOG10(INDEX(FX_Input,V$5,I$3*$Z$5+$AA$5))-(1.854-(1042/(I595+459.6)))*(INDEX(FX_Input,V$5,I$3*$Z$5+$AA$5-1)^0.5)+((2416/(I595+459.6)-2.013)*LOG10(INDEX(FX_Input,V$5,I$3*$Z$5+$AA$5)))-(8742/(I595+459.6))+15.64),EXP(INDEX(Antoines,MATCH(I586,Antoine_Name,0),2)-INDEX(Antoines,MATCH(I586,Antoine_Name,0),3)/(I595+459.6))))),0)</f>
        <v>7.4199539958878279E-3</v>
      </c>
      <c r="J602" cm="1">
        <f t="array" ref="J602">IFERROR(IF(J587="Chemical",(10^(INDEX(Antoines,MATCH(J586,Antoine_Name,0),2)-INDEX(Antoines,MATCH(J586,Antoine_Name,0),3)/(INDEX(Antoines,MATCH(J586,Antoine_Name,0),4)+(J595-32)*5/9)))*14.7/760,IF(J587="Crude Oil",EXP((2799/(J595+459.6)-2.227)*LOG10(INDEX(FX_Input,W$5,J$3*$Z$5+$AA$5))-(7261/(J595+459.6))+12.82),IF(J587="Refined Petroleum Stock",EXP((0.7553-(413/(J595+459.6)))*(INDEX(FX_Input,W$5,J$3*$Z$5+$AA$5-1)^0.5)*LOG10(INDEX(FX_Input,W$5,J$3*$Z$5+$AA$5))-(1.854-(1042/(J595+459.6)))*(INDEX(FX_Input,W$5,J$3*$Z$5+$AA$5-1)^0.5)+((2416/(J595+459.6)-2.013)*LOG10(INDEX(FX_Input,W$5,J$3*$Z$5+$AA$5)))-(8742/(J595+459.6))+15.64),EXP(INDEX(Antoines,MATCH(J586,Antoine_Name,0),2)-INDEX(Antoines,MATCH(J586,Antoine_Name,0),3)/(J595+459.6))))),0)</f>
        <v>8.3358107202842254E-3</v>
      </c>
      <c r="K602" cm="1">
        <f t="array" ref="K602">IFERROR(IF(K587="Chemical",(10^(INDEX(Antoines,MATCH(K586,Antoine_Name,0),2)-INDEX(Antoines,MATCH(K586,Antoine_Name,0),3)/(INDEX(Antoines,MATCH(K586,Antoine_Name,0),4)+(K595-32)*5/9)))*14.7/760,IF(K587="Crude Oil",EXP((2799/(K595+459.6)-2.227)*LOG10(INDEX(FX_Input,X$5,K$3*$Z$5+$AA$5))-(7261/(K595+459.6))+12.82),IF(K587="Refined Petroleum Stock",EXP((0.7553-(413/(K595+459.6)))*(INDEX(FX_Input,X$5,K$3*$Z$5+$AA$5-1)^0.5)*LOG10(INDEX(FX_Input,X$5,K$3*$Z$5+$AA$5))-(1.854-(1042/(K595+459.6)))*(INDEX(FX_Input,X$5,K$3*$Z$5+$AA$5-1)^0.5)+((2416/(K595+459.6)-2.013)*LOG10(INDEX(FX_Input,X$5,K$3*$Z$5+$AA$5)))-(8742/(K595+459.6))+15.64),EXP(INDEX(Antoines,MATCH(K586,Antoine_Name,0),2)-INDEX(Antoines,MATCH(K586,Antoine_Name,0),3)/(K595+459.6))))),0)</f>
        <v>8.4605262729351115E-3</v>
      </c>
      <c r="L602" cm="1">
        <f t="array" ref="L602">IFERROR(IF(L587="Chemical",(10^(INDEX(Antoines,MATCH(L586,Antoine_Name,0),2)-INDEX(Antoines,MATCH(L586,Antoine_Name,0),3)/(INDEX(Antoines,MATCH(L586,Antoine_Name,0),4)+(L595-32)*5/9)))*14.7/760,IF(L587="Crude Oil",EXP((2799/(L595+459.6)-2.227)*LOG10(INDEX(FX_Input,Y$5,L$3*$Z$5+$AA$5))-(7261/(L595+459.6))+12.82),IF(L587="Refined Petroleum Stock",EXP((0.7553-(413/(L595+459.6)))*(INDEX(FX_Input,Y$5,L$3*$Z$5+$AA$5-1)^0.5)*LOG10(INDEX(FX_Input,Y$5,L$3*$Z$5+$AA$5))-(1.854-(1042/(L595+459.6)))*(INDEX(FX_Input,Y$5,L$3*$Z$5+$AA$5-1)^0.5)+((2416/(L595+459.6)-2.013)*LOG10(INDEX(FX_Input,Y$5,L$3*$Z$5+$AA$5)))-(8742/(L595+459.6))+15.64),EXP(INDEX(Antoines,MATCH(L586,Antoine_Name,0),2)-INDEX(Antoines,MATCH(L586,Antoine_Name,0),3)/(L595+459.6))))),0)</f>
        <v>7.8399882233967533E-3</v>
      </c>
      <c r="M602" cm="1">
        <f t="array" ref="M602">IFERROR(IF(M587="Chemical",(10^(INDEX(Antoines,MATCH(M586,Antoine_Name,0),2)-INDEX(Antoines,MATCH(M586,Antoine_Name,0),3)/(INDEX(Antoines,MATCH(M586,Antoine_Name,0),4)+(M595-32)*5/9)))*14.7/760,IF(M587="Crude Oil",EXP((2799/(M595+459.6)-2.227)*LOG10(INDEX(FX_Input,Z$5,M$3*$Z$5+$AA$5))-(7261/(M595+459.6))+12.82),IF(M587="Refined Petroleum Stock",EXP((0.7553-(413/(M595+459.6)))*(INDEX(FX_Input,Z$5,M$3*$Z$5+$AA$5-1)^0.5)*LOG10(INDEX(FX_Input,Z$5,M$3*$Z$5+$AA$5))-(1.854-(1042/(M595+459.6)))*(INDEX(FX_Input,Z$5,M$3*$Z$5+$AA$5-1)^0.5)+((2416/(M595+459.6)-2.013)*LOG10(INDEX(FX_Input,Z$5,M$3*$Z$5+$AA$5)))-(8742/(M595+459.6))+15.64),EXP(INDEX(Antoines,MATCH(M586,Antoine_Name,0),2)-INDEX(Antoines,MATCH(M586,Antoine_Name,0),3)/(M595+459.6))))),0)</f>
        <v>6.4173462075160911E-3</v>
      </c>
      <c r="N602" cm="1">
        <f t="array" ref="N602">IFERROR(IF(N587="Chemical",(10^(INDEX(Antoines,MATCH(N586,Antoine_Name,0),2)-INDEX(Antoines,MATCH(N586,Antoine_Name,0),3)/(INDEX(Antoines,MATCH(N586,Antoine_Name,0),4)+(N595-32)*5/9)))*14.7/760,IF(N587="Crude Oil",EXP((2799/(N595+459.6)-2.227)*LOG10(INDEX(FX_Input,AA$5,N$3*$Z$5+$AA$5))-(7261/(N595+459.6))+12.82),IF(N587="Refined Petroleum Stock",EXP((0.7553-(413/(N595+459.6)))*(INDEX(FX_Input,AA$5,N$3*$Z$5+$AA$5-1)^0.5)*LOG10(INDEX(FX_Input,AA$5,N$3*$Z$5+$AA$5))-(1.854-(1042/(N595+459.6)))*(INDEX(FX_Input,AA$5,N$3*$Z$5+$AA$5-1)^0.5)+((2416/(N595+459.6)-2.013)*LOG10(INDEX(FX_Input,AA$5,N$3*$Z$5+$AA$5)))-(8742/(N595+459.6))+15.64),EXP(INDEX(Antoines,MATCH(N586,Antoine_Name,0),2)-INDEX(Antoines,MATCH(N586,Antoine_Name,0),3)/(N595+459.6))))),0)</f>
        <v>5.3015226887581056E-3</v>
      </c>
      <c r="O602" cm="1">
        <f t="array" ref="O602">IFERROR(IF(O587="Chemical",(10^(INDEX(Antoines,MATCH(O586,Antoine_Name,0),2)-INDEX(Antoines,MATCH(O586,Antoine_Name,0),3)/(INDEX(Antoines,MATCH(O586,Antoine_Name,0),4)+(O595-32)*5/9)))*14.7/760,IF(O587="Crude Oil",EXP((2799/(O595+459.6)-2.227)*LOG10(INDEX(FX_Input,AB$5,O$3*$Z$5+$AA$5))-(7261/(O595+459.6))+12.82),IF(O587="Refined Petroleum Stock",EXP((0.7553-(413/(O595+459.6)))*(INDEX(FX_Input,AB$5,O$3*$Z$5+$AA$5-1)^0.5)*LOG10(INDEX(FX_Input,AB$5,O$3*$Z$5+$AA$5))-(1.854-(1042/(O595+459.6)))*(INDEX(FX_Input,AB$5,O$3*$Z$5+$AA$5-1)^0.5)+((2416/(O595+459.6)-2.013)*LOG10(INDEX(FX_Input,AB$5,O$3*$Z$5+$AA$5)))-(8742/(O595+459.6))+15.64),EXP(INDEX(Antoines,MATCH(O586,Antoine_Name,0),2)-INDEX(Antoines,MATCH(O586,Antoine_Name,0),3)/(O595+459.6))))),0)</f>
        <v>4.68970903600947E-3</v>
      </c>
    </row>
    <row r="603" spans="2:32" ht="17.149999999999999" x14ac:dyDescent="0.55000000000000004">
      <c r="B603" t="str">
        <f t="shared" si="2068"/>
        <v>Portland</v>
      </c>
      <c r="C603" t="s">
        <v>580</v>
      </c>
      <c r="D603">
        <f>D602*D590</f>
        <v>4.739577185808354E-3</v>
      </c>
      <c r="E603">
        <f t="shared" ref="E603" si="2102">E602*E590</f>
        <v>4.8748667780818778E-3</v>
      </c>
      <c r="F603">
        <f t="shared" ref="F603" si="2103">F602*F590</f>
        <v>5.119885034186122E-3</v>
      </c>
      <c r="G603">
        <f t="shared" ref="G603" si="2104">G602*G590</f>
        <v>5.5846958573521795E-3</v>
      </c>
      <c r="H603">
        <f t="shared" ref="H603" si="2105">H602*H590</f>
        <v>6.5274070972739821E-3</v>
      </c>
      <c r="I603">
        <f t="shared" ref="I603" si="2106">I602*I590</f>
        <v>7.4199539958878279E-3</v>
      </c>
      <c r="J603">
        <f t="shared" ref="J603" si="2107">J602*J590</f>
        <v>8.3358107202842254E-3</v>
      </c>
      <c r="K603">
        <f t="shared" ref="K603" si="2108">K602*K590</f>
        <v>8.4605262729351115E-3</v>
      </c>
      <c r="L603">
        <f t="shared" ref="L603" si="2109">L602*L590</f>
        <v>7.8399882233967533E-3</v>
      </c>
      <c r="M603">
        <f t="shared" ref="M603" si="2110">M602*M590</f>
        <v>6.4173462075160911E-3</v>
      </c>
      <c r="N603">
        <f t="shared" ref="N603" si="2111">N602*N590</f>
        <v>5.3015226887581056E-3</v>
      </c>
      <c r="O603">
        <f t="shared" ref="O603" si="2112">O602*O590</f>
        <v>4.68970903600947E-3</v>
      </c>
    </row>
    <row r="604" spans="2:32" ht="17.149999999999999" x14ac:dyDescent="0.55000000000000004">
      <c r="B604" t="str">
        <f t="shared" si="2068"/>
        <v>Portland</v>
      </c>
      <c r="C604" t="s">
        <v>581</v>
      </c>
      <c r="D604" cm="1">
        <f t="array" ref="D604">IFERROR(IF(D589="Chemical",(10^(INDEX(Antoines,MATCH(D588,Antoine_Name,0),2)-INDEX(Antoines,MATCH(D588,Antoine_Name,0),3)/(INDEX(Antoines,MATCH(D588,Antoine_Name,0),4)+(D595-32)*5/9)))*14.7/760,IF(D589="Crude Oil",EXP((2799/(D595+459.6)-2.227)*LOG10(INDEX(FX_Input,Q$5,D$3*$Z$5+$AA$5))-(7261/(D595+459.6))+12.82),IF(D589="Refined Petroleum Stock",EXP((0.7553-(413/(D595+459.6)))*(INDEX(FX_Input,Q$5,D$3*$Z$5+$AA$5-1)^0.5)*LOG10(INDEX(FX_Input,Q$5,D$3*$Z$5+$AA$5))-(1.854-(1042/(D595+459.6)))*(INDEX(FX_Input,Q$5,D$3*$Z$5+$AA$5-1)^0.5)+((2416/(D595+459.6)-2.013)*LOG10(INDEX(FX_Input,Q$5,D$3*$Z$5+$AA$5)))-(8742/(D595+459.6))+15.64),EXP(INDEX(Antoines,MATCH(D588,Antoine_Name,0),2)-INDEX(Antoines,MATCH(D588,Antoine_Name,0),3)/(D595+459.6))))),0)</f>
        <v>0</v>
      </c>
      <c r="E604" cm="1">
        <f t="array" ref="E604">IFERROR(IF(E589="Chemical",(10^(INDEX(Antoines,MATCH(E588,Antoine_Name,0),2)-INDEX(Antoines,MATCH(E588,Antoine_Name,0),3)/(INDEX(Antoines,MATCH(E588,Antoine_Name,0),4)+(E595-32)*5/9)))*14.7/760,IF(E589="Crude Oil",EXP((2799/(E595+459.6)-2.227)*LOG10(INDEX(FX_Input,R$5,E$3*$Z$5+$AA$5))-(7261/(E595+459.6))+12.82),IF(E589="Refined Petroleum Stock",EXP((0.7553-(413/(E595+459.6)))*(INDEX(FX_Input,R$5,E$3*$Z$5+$AA$5-1)^0.5)*LOG10(INDEX(FX_Input,R$5,E$3*$Z$5+$AA$5))-(1.854-(1042/(E595+459.6)))*(INDEX(FX_Input,R$5,E$3*$Z$5+$AA$5-1)^0.5)+((2416/(E595+459.6)-2.013)*LOG10(INDEX(FX_Input,R$5,E$3*$Z$5+$AA$5)))-(8742/(E595+459.6))+15.64),EXP(INDEX(Antoines,MATCH(E588,Antoine_Name,0),2)-INDEX(Antoines,MATCH(E588,Antoine_Name,0),3)/(E595+459.6))))),0)</f>
        <v>0</v>
      </c>
      <c r="F604" cm="1">
        <f t="array" ref="F604">IFERROR(IF(F589="Chemical",(10^(INDEX(Antoines,MATCH(F588,Antoine_Name,0),2)-INDEX(Antoines,MATCH(F588,Antoine_Name,0),3)/(INDEX(Antoines,MATCH(F588,Antoine_Name,0),4)+(F595-32)*5/9)))*14.7/760,IF(F589="Crude Oil",EXP((2799/(F595+459.6)-2.227)*LOG10(INDEX(FX_Input,S$5,F$3*$Z$5+$AA$5))-(7261/(F595+459.6))+12.82),IF(F589="Refined Petroleum Stock",EXP((0.7553-(413/(F595+459.6)))*(INDEX(FX_Input,S$5,F$3*$Z$5+$AA$5-1)^0.5)*LOG10(INDEX(FX_Input,S$5,F$3*$Z$5+$AA$5))-(1.854-(1042/(F595+459.6)))*(INDEX(FX_Input,S$5,F$3*$Z$5+$AA$5-1)^0.5)+((2416/(F595+459.6)-2.013)*LOG10(INDEX(FX_Input,S$5,F$3*$Z$5+$AA$5)))-(8742/(F595+459.6))+15.64),EXP(INDEX(Antoines,MATCH(F588,Antoine_Name,0),2)-INDEX(Antoines,MATCH(F588,Antoine_Name,0),3)/(F595+459.6))))),0)</f>
        <v>0</v>
      </c>
      <c r="G604" cm="1">
        <f t="array" ref="G604">IFERROR(IF(G589="Chemical",(10^(INDEX(Antoines,MATCH(G588,Antoine_Name,0),2)-INDEX(Antoines,MATCH(G588,Antoine_Name,0),3)/(INDEX(Antoines,MATCH(G588,Antoine_Name,0),4)+(G595-32)*5/9)))*14.7/760,IF(G589="Crude Oil",EXP((2799/(G595+459.6)-2.227)*LOG10(INDEX(FX_Input,T$5,G$3*$Z$5+$AA$5))-(7261/(G595+459.6))+12.82),IF(G589="Refined Petroleum Stock",EXP((0.7553-(413/(G595+459.6)))*(INDEX(FX_Input,T$5,G$3*$Z$5+$AA$5-1)^0.5)*LOG10(INDEX(FX_Input,T$5,G$3*$Z$5+$AA$5))-(1.854-(1042/(G595+459.6)))*(INDEX(FX_Input,T$5,G$3*$Z$5+$AA$5-1)^0.5)+((2416/(G595+459.6)-2.013)*LOG10(INDEX(FX_Input,T$5,G$3*$Z$5+$AA$5)))-(8742/(G595+459.6))+15.64),EXP(INDEX(Antoines,MATCH(G588,Antoine_Name,0),2)-INDEX(Antoines,MATCH(G588,Antoine_Name,0),3)/(G595+459.6))))),0)</f>
        <v>0</v>
      </c>
      <c r="H604" cm="1">
        <f t="array" ref="H604">IFERROR(IF(H589="Chemical",(10^(INDEX(Antoines,MATCH(H588,Antoine_Name,0),2)-INDEX(Antoines,MATCH(H588,Antoine_Name,0),3)/(INDEX(Antoines,MATCH(H588,Antoine_Name,0),4)+(H595-32)*5/9)))*14.7/760,IF(H589="Crude Oil",EXP((2799/(H595+459.6)-2.227)*LOG10(INDEX(FX_Input,U$5,H$3*$Z$5+$AA$5))-(7261/(H595+459.6))+12.82),IF(H589="Refined Petroleum Stock",EXP((0.7553-(413/(H595+459.6)))*(INDEX(FX_Input,U$5,H$3*$Z$5+$AA$5-1)^0.5)*LOG10(INDEX(FX_Input,U$5,H$3*$Z$5+$AA$5))-(1.854-(1042/(H595+459.6)))*(INDEX(FX_Input,U$5,H$3*$Z$5+$AA$5-1)^0.5)+((2416/(H595+459.6)-2.013)*LOG10(INDEX(FX_Input,U$5,H$3*$Z$5+$AA$5)))-(8742/(H595+459.6))+15.64),EXP(INDEX(Antoines,MATCH(H588,Antoine_Name,0),2)-INDEX(Antoines,MATCH(H588,Antoine_Name,0),3)/(H595+459.6))))),0)</f>
        <v>0</v>
      </c>
      <c r="I604" cm="1">
        <f t="array" ref="I604">IFERROR(IF(I589="Chemical",(10^(INDEX(Antoines,MATCH(I588,Antoine_Name,0),2)-INDEX(Antoines,MATCH(I588,Antoine_Name,0),3)/(INDEX(Antoines,MATCH(I588,Antoine_Name,0),4)+(I595-32)*5/9)))*14.7/760,IF(I589="Crude Oil",EXP((2799/(I595+459.6)-2.227)*LOG10(INDEX(FX_Input,V$5,I$3*$Z$5+$AA$5))-(7261/(I595+459.6))+12.82),IF(I589="Refined Petroleum Stock",EXP((0.7553-(413/(I595+459.6)))*(INDEX(FX_Input,V$5,I$3*$Z$5+$AA$5-1)^0.5)*LOG10(INDEX(FX_Input,V$5,I$3*$Z$5+$AA$5))-(1.854-(1042/(I595+459.6)))*(INDEX(FX_Input,V$5,I$3*$Z$5+$AA$5-1)^0.5)+((2416/(I595+459.6)-2.013)*LOG10(INDEX(FX_Input,V$5,I$3*$Z$5+$AA$5)))-(8742/(I595+459.6))+15.64),EXP(INDEX(Antoines,MATCH(I588,Antoine_Name,0),2)-INDEX(Antoines,MATCH(I588,Antoine_Name,0),3)/(I595+459.6))))),0)</f>
        <v>0</v>
      </c>
      <c r="J604" cm="1">
        <f t="array" ref="J604">IFERROR(IF(J589="Chemical",(10^(INDEX(Antoines,MATCH(J588,Antoine_Name,0),2)-INDEX(Antoines,MATCH(J588,Antoine_Name,0),3)/(INDEX(Antoines,MATCH(J588,Antoine_Name,0),4)+(J595-32)*5/9)))*14.7/760,IF(J589="Crude Oil",EXP((2799/(J595+459.6)-2.227)*LOG10(INDEX(FX_Input,W$5,J$3*$Z$5+$AA$5))-(7261/(J595+459.6))+12.82),IF(J589="Refined Petroleum Stock",EXP((0.7553-(413/(J595+459.6)))*(INDEX(FX_Input,W$5,J$3*$Z$5+$AA$5-1)^0.5)*LOG10(INDEX(FX_Input,W$5,J$3*$Z$5+$AA$5))-(1.854-(1042/(J595+459.6)))*(INDEX(FX_Input,W$5,J$3*$Z$5+$AA$5-1)^0.5)+((2416/(J595+459.6)-2.013)*LOG10(INDEX(FX_Input,W$5,J$3*$Z$5+$AA$5)))-(8742/(J595+459.6))+15.64),EXP(INDEX(Antoines,MATCH(J588,Antoine_Name,0),2)-INDEX(Antoines,MATCH(J588,Antoine_Name,0),3)/(J595+459.6))))),0)</f>
        <v>0</v>
      </c>
      <c r="K604" cm="1">
        <f t="array" ref="K604">IFERROR(IF(K589="Chemical",(10^(INDEX(Antoines,MATCH(K588,Antoine_Name,0),2)-INDEX(Antoines,MATCH(K588,Antoine_Name,0),3)/(INDEX(Antoines,MATCH(K588,Antoine_Name,0),4)+(K595-32)*5/9)))*14.7/760,IF(K589="Crude Oil",EXP((2799/(K595+459.6)-2.227)*LOG10(INDEX(FX_Input,X$5,K$3*$Z$5+$AA$5))-(7261/(K595+459.6))+12.82),IF(K589="Refined Petroleum Stock",EXP((0.7553-(413/(K595+459.6)))*(INDEX(FX_Input,X$5,K$3*$Z$5+$AA$5-1)^0.5)*LOG10(INDEX(FX_Input,X$5,K$3*$Z$5+$AA$5))-(1.854-(1042/(K595+459.6)))*(INDEX(FX_Input,X$5,K$3*$Z$5+$AA$5-1)^0.5)+((2416/(K595+459.6)-2.013)*LOG10(INDEX(FX_Input,X$5,K$3*$Z$5+$AA$5)))-(8742/(K595+459.6))+15.64),EXP(INDEX(Antoines,MATCH(K588,Antoine_Name,0),2)-INDEX(Antoines,MATCH(K588,Antoine_Name,0),3)/(K595+459.6))))),0)</f>
        <v>0</v>
      </c>
      <c r="L604" cm="1">
        <f t="array" ref="L604">IFERROR(IF(L589="Chemical",(10^(INDEX(Antoines,MATCH(L588,Antoine_Name,0),2)-INDEX(Antoines,MATCH(L588,Antoine_Name,0),3)/(INDEX(Antoines,MATCH(L588,Antoine_Name,0),4)+(L595-32)*5/9)))*14.7/760,IF(L589="Crude Oil",EXP((2799/(L595+459.6)-2.227)*LOG10(INDEX(FX_Input,Y$5,L$3*$Z$5+$AA$5))-(7261/(L595+459.6))+12.82),IF(L589="Refined Petroleum Stock",EXP((0.7553-(413/(L595+459.6)))*(INDEX(FX_Input,Y$5,L$3*$Z$5+$AA$5-1)^0.5)*LOG10(INDEX(FX_Input,Y$5,L$3*$Z$5+$AA$5))-(1.854-(1042/(L595+459.6)))*(INDEX(FX_Input,Y$5,L$3*$Z$5+$AA$5-1)^0.5)+((2416/(L595+459.6)-2.013)*LOG10(INDEX(FX_Input,Y$5,L$3*$Z$5+$AA$5)))-(8742/(L595+459.6))+15.64),EXP(INDEX(Antoines,MATCH(L588,Antoine_Name,0),2)-INDEX(Antoines,MATCH(L588,Antoine_Name,0),3)/(L595+459.6))))),0)</f>
        <v>0</v>
      </c>
      <c r="M604" cm="1">
        <f t="array" ref="M604">IFERROR(IF(M589="Chemical",(10^(INDEX(Antoines,MATCH(M588,Antoine_Name,0),2)-INDEX(Antoines,MATCH(M588,Antoine_Name,0),3)/(INDEX(Antoines,MATCH(M588,Antoine_Name,0),4)+(M595-32)*5/9)))*14.7/760,IF(M589="Crude Oil",EXP((2799/(M595+459.6)-2.227)*LOG10(INDEX(FX_Input,Z$5,M$3*$Z$5+$AA$5))-(7261/(M595+459.6))+12.82),IF(M589="Refined Petroleum Stock",EXP((0.7553-(413/(M595+459.6)))*(INDEX(FX_Input,Z$5,M$3*$Z$5+$AA$5-1)^0.5)*LOG10(INDEX(FX_Input,Z$5,M$3*$Z$5+$AA$5))-(1.854-(1042/(M595+459.6)))*(INDEX(FX_Input,Z$5,M$3*$Z$5+$AA$5-1)^0.5)+((2416/(M595+459.6)-2.013)*LOG10(INDEX(FX_Input,Z$5,M$3*$Z$5+$AA$5)))-(8742/(M595+459.6))+15.64),EXP(INDEX(Antoines,MATCH(M588,Antoine_Name,0),2)-INDEX(Antoines,MATCH(M588,Antoine_Name,0),3)/(M595+459.6))))),0)</f>
        <v>0</v>
      </c>
      <c r="N604" cm="1">
        <f t="array" ref="N604">IFERROR(IF(N589="Chemical",(10^(INDEX(Antoines,MATCH(N588,Antoine_Name,0),2)-INDEX(Antoines,MATCH(N588,Antoine_Name,0),3)/(INDEX(Antoines,MATCH(N588,Antoine_Name,0),4)+(N595-32)*5/9)))*14.7/760,IF(N589="Crude Oil",EXP((2799/(N595+459.6)-2.227)*LOG10(INDEX(FX_Input,AA$5,N$3*$Z$5+$AA$5))-(7261/(N595+459.6))+12.82),IF(N589="Refined Petroleum Stock",EXP((0.7553-(413/(N595+459.6)))*(INDEX(FX_Input,AA$5,N$3*$Z$5+$AA$5-1)^0.5)*LOG10(INDEX(FX_Input,AA$5,N$3*$Z$5+$AA$5))-(1.854-(1042/(N595+459.6)))*(INDEX(FX_Input,AA$5,N$3*$Z$5+$AA$5-1)^0.5)+((2416/(N595+459.6)-2.013)*LOG10(INDEX(FX_Input,AA$5,N$3*$Z$5+$AA$5)))-(8742/(N595+459.6))+15.64),EXP(INDEX(Antoines,MATCH(N588,Antoine_Name,0),2)-INDEX(Antoines,MATCH(N588,Antoine_Name,0),3)/(N595+459.6))))),0)</f>
        <v>0</v>
      </c>
      <c r="O604" cm="1">
        <f t="array" ref="O604">IFERROR(IF(O589="Chemical",(10^(INDEX(Antoines,MATCH(O588,Antoine_Name,0),2)-INDEX(Antoines,MATCH(O588,Antoine_Name,0),3)/(INDEX(Antoines,MATCH(O588,Antoine_Name,0),4)+(O595-32)*5/9)))*14.7/760,IF(O589="Crude Oil",EXP((2799/(O595+459.6)-2.227)*LOG10(INDEX(FX_Input,AB$5,O$3*$Z$5+$AA$5))-(7261/(O595+459.6))+12.82),IF(O589="Refined Petroleum Stock",EXP((0.7553-(413/(O595+459.6)))*(INDEX(FX_Input,AB$5,O$3*$Z$5+$AA$5-1)^0.5)*LOG10(INDEX(FX_Input,AB$5,O$3*$Z$5+$AA$5))-(1.854-(1042/(O595+459.6)))*(INDEX(FX_Input,AB$5,O$3*$Z$5+$AA$5-1)^0.5)+((2416/(O595+459.6)-2.013)*LOG10(INDEX(FX_Input,AB$5,O$3*$Z$5+$AA$5)))-(8742/(O595+459.6))+15.64),EXP(INDEX(Antoines,MATCH(O588,Antoine_Name,0),2)-INDEX(Antoines,MATCH(O588,Antoine_Name,0),3)/(O595+459.6))))),0)</f>
        <v>0</v>
      </c>
    </row>
    <row r="605" spans="2:32" ht="17.149999999999999" x14ac:dyDescent="0.55000000000000004">
      <c r="B605" t="str">
        <f t="shared" si="2068"/>
        <v>Portland</v>
      </c>
      <c r="C605" t="s">
        <v>582</v>
      </c>
      <c r="D605">
        <f>D604*D592</f>
        <v>0</v>
      </c>
      <c r="E605">
        <f t="shared" ref="E605" si="2113">E604*E592</f>
        <v>0</v>
      </c>
      <c r="F605">
        <f t="shared" ref="F605" si="2114">F604*F592</f>
        <v>0</v>
      </c>
      <c r="G605">
        <f t="shared" ref="G605" si="2115">G604*G592</f>
        <v>0</v>
      </c>
      <c r="H605">
        <f t="shared" ref="H605" si="2116">H604*H592</f>
        <v>0</v>
      </c>
      <c r="I605">
        <f t="shared" ref="I605" si="2117">I604*I592</f>
        <v>0</v>
      </c>
      <c r="J605">
        <f t="shared" ref="J605" si="2118">J604*J592</f>
        <v>0</v>
      </c>
      <c r="K605">
        <f t="shared" ref="K605" si="2119">K604*K592</f>
        <v>0</v>
      </c>
      <c r="L605">
        <f t="shared" ref="L605" si="2120">L604*L592</f>
        <v>0</v>
      </c>
      <c r="M605">
        <f t="shared" ref="M605" si="2121">M604*M592</f>
        <v>0</v>
      </c>
      <c r="N605">
        <f t="shared" ref="N605" si="2122">N604*N592</f>
        <v>0</v>
      </c>
      <c r="O605">
        <f t="shared" ref="O605" si="2123">O604*O592</f>
        <v>0</v>
      </c>
    </row>
    <row r="606" spans="2:32" ht="17.149999999999999" x14ac:dyDescent="0.55000000000000004">
      <c r="B606" t="str">
        <f t="shared" si="2068"/>
        <v>Portland</v>
      </c>
      <c r="C606" t="s">
        <v>583</v>
      </c>
      <c r="D606">
        <f>D603+D605</f>
        <v>4.739577185808354E-3</v>
      </c>
      <c r="E606">
        <f t="shared" ref="E606" si="2124">E603+E605</f>
        <v>4.8748667780818778E-3</v>
      </c>
      <c r="F606">
        <f t="shared" ref="F606" si="2125">F603+F605</f>
        <v>5.119885034186122E-3</v>
      </c>
      <c r="G606">
        <f t="shared" ref="G606" si="2126">G603+G605</f>
        <v>5.5846958573521795E-3</v>
      </c>
      <c r="H606">
        <f t="shared" ref="H606" si="2127">H603+H605</f>
        <v>6.5274070972739821E-3</v>
      </c>
      <c r="I606">
        <f t="shared" ref="I606" si="2128">I603+I605</f>
        <v>7.4199539958878279E-3</v>
      </c>
      <c r="J606">
        <f t="shared" ref="J606" si="2129">J603+J605</f>
        <v>8.3358107202842254E-3</v>
      </c>
      <c r="K606">
        <f t="shared" ref="K606" si="2130">K603+K605</f>
        <v>8.4605262729351115E-3</v>
      </c>
      <c r="L606">
        <f t="shared" ref="L606" si="2131">L603+L605</f>
        <v>7.8399882233967533E-3</v>
      </c>
      <c r="M606">
        <f t="shared" ref="M606" si="2132">M603+M605</f>
        <v>6.4173462075160911E-3</v>
      </c>
      <c r="N606">
        <f t="shared" ref="N606" si="2133">N603+N605</f>
        <v>5.3015226887581056E-3</v>
      </c>
      <c r="O606">
        <f t="shared" ref="O606" si="2134">O603+O605</f>
        <v>4.68970903600947E-3</v>
      </c>
    </row>
    <row r="607" spans="2:32" ht="17.149999999999999" x14ac:dyDescent="0.55000000000000004">
      <c r="B607" t="str">
        <f t="shared" si="2068"/>
        <v>Portland</v>
      </c>
      <c r="C607" t="s">
        <v>1388</v>
      </c>
      <c r="D607" cm="1">
        <f t="array" ref="D607">IFERROR(IF(D587="Chemical",(10^(INDEX(Antoines,MATCH(D586,Antoine_Name,0),2)-INDEX(Antoines,MATCH(D586,Antoine_Name,0),3)/(INDEX(Antoines,MATCH(D586,Antoine_Name,0),4)+(D596-32)*5/9)))*14.7/760,IF(D587="Crude Oil",EXP((2799/(D596+459.6)-2.227)*LOG10(INDEX(FX_Input,Q$5,D$3*$Z$5+$AA$5))-(7261/(D596+459.6))+12.82),IF(D587="Refined Petroleum Stock",EXP((0.7553-(413/(D596+459.6)))*(INDEX(FX_Input,Q$5,D$3*$Z$5+$AA$5-1)^0.5)*LOG10(INDEX(FX_Input,Q$5,D$3*$Z$5+$AA$5))-(1.854-(1042/(D596+459.6)))*(INDEX(FX_Input,Q$5,D$3*$Z$5+$AA$5-1)^0.5)+((2416/(D596+459.6)-2.013)*LOG10(INDEX(FX_Input,Q$5,D$3*$Z$5+$AA$5)))-(8742/(D596+459.6))+15.64),EXP(INDEX(Antoines,MATCH(D586,Antoine_Name,0),2)-INDEX(Antoines,MATCH(D586,Antoine_Name,0),3)/(D596+459.6))))),0)</f>
        <v>4.739577185808354E-3</v>
      </c>
      <c r="E607" cm="1">
        <f t="array" ref="E607">IFERROR(IF(E587="Chemical",(10^(INDEX(Antoines,MATCH(E586,Antoine_Name,0),2)-INDEX(Antoines,MATCH(E586,Antoine_Name,0),3)/(INDEX(Antoines,MATCH(E586,Antoine_Name,0),4)+(E596-32)*5/9)))*14.7/760,IF(E587="Crude Oil",EXP((2799/(E596+459.6)-2.227)*LOG10(INDEX(FX_Input,R$5,E$3*$Z$5+$AA$5))-(7261/(E596+459.6))+12.82),IF(E587="Refined Petroleum Stock",EXP((0.7553-(413/(E596+459.6)))*(INDEX(FX_Input,R$5,E$3*$Z$5+$AA$5-1)^0.5)*LOG10(INDEX(FX_Input,R$5,E$3*$Z$5+$AA$5))-(1.854-(1042/(E596+459.6)))*(INDEX(FX_Input,R$5,E$3*$Z$5+$AA$5-1)^0.5)+((2416/(E596+459.6)-2.013)*LOG10(INDEX(FX_Input,R$5,E$3*$Z$5+$AA$5)))-(8742/(E596+459.6))+15.64),EXP(INDEX(Antoines,MATCH(E586,Antoine_Name,0),2)-INDEX(Antoines,MATCH(E586,Antoine_Name,0),3)/(E596+459.6))))),0)</f>
        <v>4.8748667780818778E-3</v>
      </c>
      <c r="F607" cm="1">
        <f t="array" ref="F607">IFERROR(IF(F587="Chemical",(10^(INDEX(Antoines,MATCH(F586,Antoine_Name,0),2)-INDEX(Antoines,MATCH(F586,Antoine_Name,0),3)/(INDEX(Antoines,MATCH(F586,Antoine_Name,0),4)+(F596-32)*5/9)))*14.7/760,IF(F587="Crude Oil",EXP((2799/(F596+459.6)-2.227)*LOG10(INDEX(FX_Input,S$5,F$3*$Z$5+$AA$5))-(7261/(F596+459.6))+12.82),IF(F587="Refined Petroleum Stock",EXP((0.7553-(413/(F596+459.6)))*(INDEX(FX_Input,S$5,F$3*$Z$5+$AA$5-1)^0.5)*LOG10(INDEX(FX_Input,S$5,F$3*$Z$5+$AA$5))-(1.854-(1042/(F596+459.6)))*(INDEX(FX_Input,S$5,F$3*$Z$5+$AA$5-1)^0.5)+((2416/(F596+459.6)-2.013)*LOG10(INDEX(FX_Input,S$5,F$3*$Z$5+$AA$5)))-(8742/(F596+459.6))+15.64),EXP(INDEX(Antoines,MATCH(F586,Antoine_Name,0),2)-INDEX(Antoines,MATCH(F586,Antoine_Name,0),3)/(F596+459.6))))),0)</f>
        <v>5.119885034186122E-3</v>
      </c>
      <c r="G607" cm="1">
        <f t="array" ref="G607">IFERROR(IF(G587="Chemical",(10^(INDEX(Antoines,MATCH(G586,Antoine_Name,0),2)-INDEX(Antoines,MATCH(G586,Antoine_Name,0),3)/(INDEX(Antoines,MATCH(G586,Antoine_Name,0),4)+(G596-32)*5/9)))*14.7/760,IF(G587="Crude Oil",EXP((2799/(G596+459.6)-2.227)*LOG10(INDEX(FX_Input,T$5,G$3*$Z$5+$AA$5))-(7261/(G596+459.6))+12.82),IF(G587="Refined Petroleum Stock",EXP((0.7553-(413/(G596+459.6)))*(INDEX(FX_Input,T$5,G$3*$Z$5+$AA$5-1)^0.5)*LOG10(INDEX(FX_Input,T$5,G$3*$Z$5+$AA$5))-(1.854-(1042/(G596+459.6)))*(INDEX(FX_Input,T$5,G$3*$Z$5+$AA$5-1)^0.5)+((2416/(G596+459.6)-2.013)*LOG10(INDEX(FX_Input,T$5,G$3*$Z$5+$AA$5)))-(8742/(G596+459.6))+15.64),EXP(INDEX(Antoines,MATCH(G586,Antoine_Name,0),2)-INDEX(Antoines,MATCH(G586,Antoine_Name,0),3)/(G596+459.6))))),0)</f>
        <v>5.5846958573521795E-3</v>
      </c>
      <c r="H607" cm="1">
        <f t="array" ref="H607">IFERROR(IF(H587="Chemical",(10^(INDEX(Antoines,MATCH(H586,Antoine_Name,0),2)-INDEX(Antoines,MATCH(H586,Antoine_Name,0),3)/(INDEX(Antoines,MATCH(H586,Antoine_Name,0),4)+(H596-32)*5/9)))*14.7/760,IF(H587="Crude Oil",EXP((2799/(H596+459.6)-2.227)*LOG10(INDEX(FX_Input,U$5,H$3*$Z$5+$AA$5))-(7261/(H596+459.6))+12.82),IF(H587="Refined Petroleum Stock",EXP((0.7553-(413/(H596+459.6)))*(INDEX(FX_Input,U$5,H$3*$Z$5+$AA$5-1)^0.5)*LOG10(INDEX(FX_Input,U$5,H$3*$Z$5+$AA$5))-(1.854-(1042/(H596+459.6)))*(INDEX(FX_Input,U$5,H$3*$Z$5+$AA$5-1)^0.5)+((2416/(H596+459.6)-2.013)*LOG10(INDEX(FX_Input,U$5,H$3*$Z$5+$AA$5)))-(8742/(H596+459.6))+15.64),EXP(INDEX(Antoines,MATCH(H586,Antoine_Name,0),2)-INDEX(Antoines,MATCH(H586,Antoine_Name,0),3)/(H596+459.6))))),0)</f>
        <v>6.5274070972739821E-3</v>
      </c>
      <c r="I607" cm="1">
        <f t="array" ref="I607">IFERROR(IF(I587="Chemical",(10^(INDEX(Antoines,MATCH(I586,Antoine_Name,0),2)-INDEX(Antoines,MATCH(I586,Antoine_Name,0),3)/(INDEX(Antoines,MATCH(I586,Antoine_Name,0),4)+(I596-32)*5/9)))*14.7/760,IF(I587="Crude Oil",EXP((2799/(I596+459.6)-2.227)*LOG10(INDEX(FX_Input,V$5,I$3*$Z$5+$AA$5))-(7261/(I596+459.6))+12.82),IF(I587="Refined Petroleum Stock",EXP((0.7553-(413/(I596+459.6)))*(INDEX(FX_Input,V$5,I$3*$Z$5+$AA$5-1)^0.5)*LOG10(INDEX(FX_Input,V$5,I$3*$Z$5+$AA$5))-(1.854-(1042/(I596+459.6)))*(INDEX(FX_Input,V$5,I$3*$Z$5+$AA$5-1)^0.5)+((2416/(I596+459.6)-2.013)*LOG10(INDEX(FX_Input,V$5,I$3*$Z$5+$AA$5)))-(8742/(I596+459.6))+15.64),EXP(INDEX(Antoines,MATCH(I586,Antoine_Name,0),2)-INDEX(Antoines,MATCH(I586,Antoine_Name,0),3)/(I596+459.6))))),0)</f>
        <v>7.4199539958878279E-3</v>
      </c>
      <c r="J607" cm="1">
        <f t="array" ref="J607">IFERROR(IF(J587="Chemical",(10^(INDEX(Antoines,MATCH(J586,Antoine_Name,0),2)-INDEX(Antoines,MATCH(J586,Antoine_Name,0),3)/(INDEX(Antoines,MATCH(J586,Antoine_Name,0),4)+(J596-32)*5/9)))*14.7/760,IF(J587="Crude Oil",EXP((2799/(J596+459.6)-2.227)*LOG10(INDEX(FX_Input,W$5,J$3*$Z$5+$AA$5))-(7261/(J596+459.6))+12.82),IF(J587="Refined Petroleum Stock",EXP((0.7553-(413/(J596+459.6)))*(INDEX(FX_Input,W$5,J$3*$Z$5+$AA$5-1)^0.5)*LOG10(INDEX(FX_Input,W$5,J$3*$Z$5+$AA$5))-(1.854-(1042/(J596+459.6)))*(INDEX(FX_Input,W$5,J$3*$Z$5+$AA$5-1)^0.5)+((2416/(J596+459.6)-2.013)*LOG10(INDEX(FX_Input,W$5,J$3*$Z$5+$AA$5)))-(8742/(J596+459.6))+15.64),EXP(INDEX(Antoines,MATCH(J586,Antoine_Name,0),2)-INDEX(Antoines,MATCH(J586,Antoine_Name,0),3)/(J596+459.6))))),0)</f>
        <v>8.3358107202842254E-3</v>
      </c>
      <c r="K607" cm="1">
        <f t="array" ref="K607">IFERROR(IF(K587="Chemical",(10^(INDEX(Antoines,MATCH(K586,Antoine_Name,0),2)-INDEX(Antoines,MATCH(K586,Antoine_Name,0),3)/(INDEX(Antoines,MATCH(K586,Antoine_Name,0),4)+(K596-32)*5/9)))*14.7/760,IF(K587="Crude Oil",EXP((2799/(K596+459.6)-2.227)*LOG10(INDEX(FX_Input,X$5,K$3*$Z$5+$AA$5))-(7261/(K596+459.6))+12.82),IF(K587="Refined Petroleum Stock",EXP((0.7553-(413/(K596+459.6)))*(INDEX(FX_Input,X$5,K$3*$Z$5+$AA$5-1)^0.5)*LOG10(INDEX(FX_Input,X$5,K$3*$Z$5+$AA$5))-(1.854-(1042/(K596+459.6)))*(INDEX(FX_Input,X$5,K$3*$Z$5+$AA$5-1)^0.5)+((2416/(K596+459.6)-2.013)*LOG10(INDEX(FX_Input,X$5,K$3*$Z$5+$AA$5)))-(8742/(K596+459.6))+15.64),EXP(INDEX(Antoines,MATCH(K586,Antoine_Name,0),2)-INDEX(Antoines,MATCH(K586,Antoine_Name,0),3)/(K596+459.6))))),0)</f>
        <v>8.4605262729351115E-3</v>
      </c>
      <c r="L607" cm="1">
        <f t="array" ref="L607">IFERROR(IF(L587="Chemical",(10^(INDEX(Antoines,MATCH(L586,Antoine_Name,0),2)-INDEX(Antoines,MATCH(L586,Antoine_Name,0),3)/(INDEX(Antoines,MATCH(L586,Antoine_Name,0),4)+(L596-32)*5/9)))*14.7/760,IF(L587="Crude Oil",EXP((2799/(L596+459.6)-2.227)*LOG10(INDEX(FX_Input,Y$5,L$3*$Z$5+$AA$5))-(7261/(L596+459.6))+12.82),IF(L587="Refined Petroleum Stock",EXP((0.7553-(413/(L596+459.6)))*(INDEX(FX_Input,Y$5,L$3*$Z$5+$AA$5-1)^0.5)*LOG10(INDEX(FX_Input,Y$5,L$3*$Z$5+$AA$5))-(1.854-(1042/(L596+459.6)))*(INDEX(FX_Input,Y$5,L$3*$Z$5+$AA$5-1)^0.5)+((2416/(L596+459.6)-2.013)*LOG10(INDEX(FX_Input,Y$5,L$3*$Z$5+$AA$5)))-(8742/(L596+459.6))+15.64),EXP(INDEX(Antoines,MATCH(L586,Antoine_Name,0),2)-INDEX(Antoines,MATCH(L586,Antoine_Name,0),3)/(L596+459.6))))),0)</f>
        <v>7.8399882233967533E-3</v>
      </c>
      <c r="M607" cm="1">
        <f t="array" ref="M607">IFERROR(IF(M587="Chemical",(10^(INDEX(Antoines,MATCH(M586,Antoine_Name,0),2)-INDEX(Antoines,MATCH(M586,Antoine_Name,0),3)/(INDEX(Antoines,MATCH(M586,Antoine_Name,0),4)+(M596-32)*5/9)))*14.7/760,IF(M587="Crude Oil",EXP((2799/(M596+459.6)-2.227)*LOG10(INDEX(FX_Input,Z$5,M$3*$Z$5+$AA$5))-(7261/(M596+459.6))+12.82),IF(M587="Refined Petroleum Stock",EXP((0.7553-(413/(M596+459.6)))*(INDEX(FX_Input,Z$5,M$3*$Z$5+$AA$5-1)^0.5)*LOG10(INDEX(FX_Input,Z$5,M$3*$Z$5+$AA$5))-(1.854-(1042/(M596+459.6)))*(INDEX(FX_Input,Z$5,M$3*$Z$5+$AA$5-1)^0.5)+((2416/(M596+459.6)-2.013)*LOG10(INDEX(FX_Input,Z$5,M$3*$Z$5+$AA$5)))-(8742/(M596+459.6))+15.64),EXP(INDEX(Antoines,MATCH(M586,Antoine_Name,0),2)-INDEX(Antoines,MATCH(M586,Antoine_Name,0),3)/(M596+459.6))))),0)</f>
        <v>6.4173462075160911E-3</v>
      </c>
      <c r="N607" cm="1">
        <f t="array" ref="N607">IFERROR(IF(N587="Chemical",(10^(INDEX(Antoines,MATCH(N586,Antoine_Name,0),2)-INDEX(Antoines,MATCH(N586,Antoine_Name,0),3)/(INDEX(Antoines,MATCH(N586,Antoine_Name,0),4)+(N596-32)*5/9)))*14.7/760,IF(N587="Crude Oil",EXP((2799/(N596+459.6)-2.227)*LOG10(INDEX(FX_Input,AA$5,N$3*$Z$5+$AA$5))-(7261/(N596+459.6))+12.82),IF(N587="Refined Petroleum Stock",EXP((0.7553-(413/(N596+459.6)))*(INDEX(FX_Input,AA$5,N$3*$Z$5+$AA$5-1)^0.5)*LOG10(INDEX(FX_Input,AA$5,N$3*$Z$5+$AA$5))-(1.854-(1042/(N596+459.6)))*(INDEX(FX_Input,AA$5,N$3*$Z$5+$AA$5-1)^0.5)+((2416/(N596+459.6)-2.013)*LOG10(INDEX(FX_Input,AA$5,N$3*$Z$5+$AA$5)))-(8742/(N596+459.6))+15.64),EXP(INDEX(Antoines,MATCH(N586,Antoine_Name,0),2)-INDEX(Antoines,MATCH(N586,Antoine_Name,0),3)/(N596+459.6))))),0)</f>
        <v>5.3015226887581056E-3</v>
      </c>
      <c r="O607" cm="1">
        <f t="array" ref="O607">IFERROR(IF(O587="Chemical",(10^(INDEX(Antoines,MATCH(O586,Antoine_Name,0),2)-INDEX(Antoines,MATCH(O586,Antoine_Name,0),3)/(INDEX(Antoines,MATCH(O586,Antoine_Name,0),4)+(O596-32)*5/9)))*14.7/760,IF(O587="Crude Oil",EXP((2799/(O596+459.6)-2.227)*LOG10(INDEX(FX_Input,AB$5,O$3*$Z$5+$AA$5))-(7261/(O596+459.6))+12.82),IF(O587="Refined Petroleum Stock",EXP((0.7553-(413/(O596+459.6)))*(INDEX(FX_Input,AB$5,O$3*$Z$5+$AA$5-1)^0.5)*LOG10(INDEX(FX_Input,AB$5,O$3*$Z$5+$AA$5))-(1.854-(1042/(O596+459.6)))*(INDEX(FX_Input,AB$5,O$3*$Z$5+$AA$5-1)^0.5)+((2416/(O596+459.6)-2.013)*LOG10(INDEX(FX_Input,AB$5,O$3*$Z$5+$AA$5)))-(8742/(O596+459.6))+15.64),EXP(INDEX(Antoines,MATCH(O586,Antoine_Name,0),2)-INDEX(Antoines,MATCH(O586,Antoine_Name,0),3)/(O596+459.6))))),0)</f>
        <v>4.68970903600947E-3</v>
      </c>
    </row>
    <row r="608" spans="2:32" ht="17.149999999999999" x14ac:dyDescent="0.55000000000000004">
      <c r="B608" t="str">
        <f t="shared" si="2068"/>
        <v>Portland</v>
      </c>
      <c r="C608" t="s">
        <v>1389</v>
      </c>
      <c r="D608">
        <f>D607*D590</f>
        <v>4.739577185808354E-3</v>
      </c>
      <c r="E608">
        <f t="shared" ref="E608" si="2135">E607*E590</f>
        <v>4.8748667780818778E-3</v>
      </c>
      <c r="F608">
        <f t="shared" ref="F608" si="2136">F607*F590</f>
        <v>5.119885034186122E-3</v>
      </c>
      <c r="G608">
        <f t="shared" ref="G608" si="2137">G607*G590</f>
        <v>5.5846958573521795E-3</v>
      </c>
      <c r="H608">
        <f t="shared" ref="H608" si="2138">H607*H590</f>
        <v>6.5274070972739821E-3</v>
      </c>
      <c r="I608">
        <f t="shared" ref="I608" si="2139">I607*I590</f>
        <v>7.4199539958878279E-3</v>
      </c>
      <c r="J608">
        <f t="shared" ref="J608" si="2140">J607*J590</f>
        <v>8.3358107202842254E-3</v>
      </c>
      <c r="K608">
        <f t="shared" ref="K608" si="2141">K607*K590</f>
        <v>8.4605262729351115E-3</v>
      </c>
      <c r="L608">
        <f t="shared" ref="L608" si="2142">L607*L590</f>
        <v>7.8399882233967533E-3</v>
      </c>
      <c r="M608">
        <f t="shared" ref="M608" si="2143">M607*M590</f>
        <v>6.4173462075160911E-3</v>
      </c>
      <c r="N608">
        <f t="shared" ref="N608" si="2144">N607*N590</f>
        <v>5.3015226887581056E-3</v>
      </c>
      <c r="O608">
        <f t="shared" ref="O608" si="2145">O607*O590</f>
        <v>4.68970903600947E-3</v>
      </c>
    </row>
    <row r="609" spans="1:32" ht="17.149999999999999" x14ac:dyDescent="0.55000000000000004">
      <c r="B609" t="str">
        <f t="shared" si="2068"/>
        <v>Portland</v>
      </c>
      <c r="C609" t="s">
        <v>1390</v>
      </c>
      <c r="D609" cm="1">
        <f t="array" ref="D609">IFERROR(IF(D589="Chemical",(10^(INDEX(Antoines,MATCH(D588,Antoine_Name,0),2)-INDEX(Antoines,MATCH(D588,Antoine_Name,0),3)/(INDEX(Antoines,MATCH(D588,Antoine_Name,0),4)+(D596-32)*5/9)))*14.7/760,IF(D589="Crude Oil",EXP((2799/(D596+459.6)-2.227)*LOG10(INDEX(FX_Input,Q$5,D$3*$Z$5+$AA$5))-(7261/(D596+459.6))+12.82),IF(D589="Refined Petroleum Stock",EXP((0.7553-(413/(D596+459.6)))*(INDEX(FX_Input,Q$5,D$3*$Z$5+$AA$5-1)^0.5)*LOG10(INDEX(FX_Input,Q$5,D$3*$Z$5+$AA$5))-(1.854-(1042/(D596+459.6)))*(INDEX(FX_Input,Q$5,D$3*$Z$5+$AA$5-1)^0.5)+((2416/(D596+459.6)-2.013)*LOG10(INDEX(FX_Input,Q$5,D$3*$Z$5+$AA$5)))-(8742/(D596+459.6))+15.64),EXP(INDEX(Antoines,MATCH(D588,Antoine_Name,0),2)-INDEX(Antoines,MATCH(D588,Antoine_Name,0),3)/(D596+459.6))))),0)</f>
        <v>0</v>
      </c>
      <c r="E609" cm="1">
        <f t="array" ref="E609">IFERROR(IF(E589="Chemical",(10^(INDEX(Antoines,MATCH(E588,Antoine_Name,0),2)-INDEX(Antoines,MATCH(E588,Antoine_Name,0),3)/(INDEX(Antoines,MATCH(E588,Antoine_Name,0),4)+(E596-32)*5/9)))*14.7/760,IF(E589="Crude Oil",EXP((2799/(E596+459.6)-2.227)*LOG10(INDEX(FX_Input,R$5,E$3*$Z$5+$AA$5))-(7261/(E596+459.6))+12.82),IF(E589="Refined Petroleum Stock",EXP((0.7553-(413/(E596+459.6)))*(INDEX(FX_Input,R$5,E$3*$Z$5+$AA$5-1)^0.5)*LOG10(INDEX(FX_Input,R$5,E$3*$Z$5+$AA$5))-(1.854-(1042/(E596+459.6)))*(INDEX(FX_Input,R$5,E$3*$Z$5+$AA$5-1)^0.5)+((2416/(E596+459.6)-2.013)*LOG10(INDEX(FX_Input,R$5,E$3*$Z$5+$AA$5)))-(8742/(E596+459.6))+15.64),EXP(INDEX(Antoines,MATCH(E588,Antoine_Name,0),2)-INDEX(Antoines,MATCH(E588,Antoine_Name,0),3)/(E596+459.6))))),0)</f>
        <v>0</v>
      </c>
      <c r="F609" cm="1">
        <f t="array" ref="F609">IFERROR(IF(F589="Chemical",(10^(INDEX(Antoines,MATCH(F588,Antoine_Name,0),2)-INDEX(Antoines,MATCH(F588,Antoine_Name,0),3)/(INDEX(Antoines,MATCH(F588,Antoine_Name,0),4)+(F596-32)*5/9)))*14.7/760,IF(F589="Crude Oil",EXP((2799/(F596+459.6)-2.227)*LOG10(INDEX(FX_Input,S$5,F$3*$Z$5+$AA$5))-(7261/(F596+459.6))+12.82),IF(F589="Refined Petroleum Stock",EXP((0.7553-(413/(F596+459.6)))*(INDEX(FX_Input,S$5,F$3*$Z$5+$AA$5-1)^0.5)*LOG10(INDEX(FX_Input,S$5,F$3*$Z$5+$AA$5))-(1.854-(1042/(F596+459.6)))*(INDEX(FX_Input,S$5,F$3*$Z$5+$AA$5-1)^0.5)+((2416/(F596+459.6)-2.013)*LOG10(INDEX(FX_Input,S$5,F$3*$Z$5+$AA$5)))-(8742/(F596+459.6))+15.64),EXP(INDEX(Antoines,MATCH(F588,Antoine_Name,0),2)-INDEX(Antoines,MATCH(F588,Antoine_Name,0),3)/(F596+459.6))))),0)</f>
        <v>0</v>
      </c>
      <c r="G609" cm="1">
        <f t="array" ref="G609">IFERROR(IF(G589="Chemical",(10^(INDEX(Antoines,MATCH(G588,Antoine_Name,0),2)-INDEX(Antoines,MATCH(G588,Antoine_Name,0),3)/(INDEX(Antoines,MATCH(G588,Antoine_Name,0),4)+(G596-32)*5/9)))*14.7/760,IF(G589="Crude Oil",EXP((2799/(G596+459.6)-2.227)*LOG10(INDEX(FX_Input,T$5,G$3*$Z$5+$AA$5))-(7261/(G596+459.6))+12.82),IF(G589="Refined Petroleum Stock",EXP((0.7553-(413/(G596+459.6)))*(INDEX(FX_Input,T$5,G$3*$Z$5+$AA$5-1)^0.5)*LOG10(INDEX(FX_Input,T$5,G$3*$Z$5+$AA$5))-(1.854-(1042/(G596+459.6)))*(INDEX(FX_Input,T$5,G$3*$Z$5+$AA$5-1)^0.5)+((2416/(G596+459.6)-2.013)*LOG10(INDEX(FX_Input,T$5,G$3*$Z$5+$AA$5)))-(8742/(G596+459.6))+15.64),EXP(INDEX(Antoines,MATCH(G588,Antoine_Name,0),2)-INDEX(Antoines,MATCH(G588,Antoine_Name,0),3)/(G596+459.6))))),0)</f>
        <v>0</v>
      </c>
      <c r="H609" cm="1">
        <f t="array" ref="H609">IFERROR(IF(H589="Chemical",(10^(INDEX(Antoines,MATCH(H588,Antoine_Name,0),2)-INDEX(Antoines,MATCH(H588,Antoine_Name,0),3)/(INDEX(Antoines,MATCH(H588,Antoine_Name,0),4)+(H596-32)*5/9)))*14.7/760,IF(H589="Crude Oil",EXP((2799/(H596+459.6)-2.227)*LOG10(INDEX(FX_Input,U$5,H$3*$Z$5+$AA$5))-(7261/(H596+459.6))+12.82),IF(H589="Refined Petroleum Stock",EXP((0.7553-(413/(H596+459.6)))*(INDEX(FX_Input,U$5,H$3*$Z$5+$AA$5-1)^0.5)*LOG10(INDEX(FX_Input,U$5,H$3*$Z$5+$AA$5))-(1.854-(1042/(H596+459.6)))*(INDEX(FX_Input,U$5,H$3*$Z$5+$AA$5-1)^0.5)+((2416/(H596+459.6)-2.013)*LOG10(INDEX(FX_Input,U$5,H$3*$Z$5+$AA$5)))-(8742/(H596+459.6))+15.64),EXP(INDEX(Antoines,MATCH(H588,Antoine_Name,0),2)-INDEX(Antoines,MATCH(H588,Antoine_Name,0),3)/(H596+459.6))))),0)</f>
        <v>0</v>
      </c>
      <c r="I609" cm="1">
        <f t="array" ref="I609">IFERROR(IF(I589="Chemical",(10^(INDEX(Antoines,MATCH(I588,Antoine_Name,0),2)-INDEX(Antoines,MATCH(I588,Antoine_Name,0),3)/(INDEX(Antoines,MATCH(I588,Antoine_Name,0),4)+(I596-32)*5/9)))*14.7/760,IF(I589="Crude Oil",EXP((2799/(I596+459.6)-2.227)*LOG10(INDEX(FX_Input,V$5,I$3*$Z$5+$AA$5))-(7261/(I596+459.6))+12.82),IF(I589="Refined Petroleum Stock",EXP((0.7553-(413/(I596+459.6)))*(INDEX(FX_Input,V$5,I$3*$Z$5+$AA$5-1)^0.5)*LOG10(INDEX(FX_Input,V$5,I$3*$Z$5+$AA$5))-(1.854-(1042/(I596+459.6)))*(INDEX(FX_Input,V$5,I$3*$Z$5+$AA$5-1)^0.5)+((2416/(I596+459.6)-2.013)*LOG10(INDEX(FX_Input,V$5,I$3*$Z$5+$AA$5)))-(8742/(I596+459.6))+15.64),EXP(INDEX(Antoines,MATCH(I588,Antoine_Name,0),2)-INDEX(Antoines,MATCH(I588,Antoine_Name,0),3)/(I596+459.6))))),0)</f>
        <v>0</v>
      </c>
      <c r="J609" cm="1">
        <f t="array" ref="J609">IFERROR(IF(J589="Chemical",(10^(INDEX(Antoines,MATCH(J588,Antoine_Name,0),2)-INDEX(Antoines,MATCH(J588,Antoine_Name,0),3)/(INDEX(Antoines,MATCH(J588,Antoine_Name,0),4)+(J596-32)*5/9)))*14.7/760,IF(J589="Crude Oil",EXP((2799/(J596+459.6)-2.227)*LOG10(INDEX(FX_Input,W$5,J$3*$Z$5+$AA$5))-(7261/(J596+459.6))+12.82),IF(J589="Refined Petroleum Stock",EXP((0.7553-(413/(J596+459.6)))*(INDEX(FX_Input,W$5,J$3*$Z$5+$AA$5-1)^0.5)*LOG10(INDEX(FX_Input,W$5,J$3*$Z$5+$AA$5))-(1.854-(1042/(J596+459.6)))*(INDEX(FX_Input,W$5,J$3*$Z$5+$AA$5-1)^0.5)+((2416/(J596+459.6)-2.013)*LOG10(INDEX(FX_Input,W$5,J$3*$Z$5+$AA$5)))-(8742/(J596+459.6))+15.64),EXP(INDEX(Antoines,MATCH(J588,Antoine_Name,0),2)-INDEX(Antoines,MATCH(J588,Antoine_Name,0),3)/(J596+459.6))))),0)</f>
        <v>0</v>
      </c>
      <c r="K609" cm="1">
        <f t="array" ref="K609">IFERROR(IF(K589="Chemical",(10^(INDEX(Antoines,MATCH(K588,Antoine_Name,0),2)-INDEX(Antoines,MATCH(K588,Antoine_Name,0),3)/(INDEX(Antoines,MATCH(K588,Antoine_Name,0),4)+(K596-32)*5/9)))*14.7/760,IF(K589="Crude Oil",EXP((2799/(K596+459.6)-2.227)*LOG10(INDEX(FX_Input,X$5,K$3*$Z$5+$AA$5))-(7261/(K596+459.6))+12.82),IF(K589="Refined Petroleum Stock",EXP((0.7553-(413/(K596+459.6)))*(INDEX(FX_Input,X$5,K$3*$Z$5+$AA$5-1)^0.5)*LOG10(INDEX(FX_Input,X$5,K$3*$Z$5+$AA$5))-(1.854-(1042/(K596+459.6)))*(INDEX(FX_Input,X$5,K$3*$Z$5+$AA$5-1)^0.5)+((2416/(K596+459.6)-2.013)*LOG10(INDEX(FX_Input,X$5,K$3*$Z$5+$AA$5)))-(8742/(K596+459.6))+15.64),EXP(INDEX(Antoines,MATCH(K588,Antoine_Name,0),2)-INDEX(Antoines,MATCH(K588,Antoine_Name,0),3)/(K596+459.6))))),0)</f>
        <v>0</v>
      </c>
      <c r="L609" cm="1">
        <f t="array" ref="L609">IFERROR(IF(L589="Chemical",(10^(INDEX(Antoines,MATCH(L588,Antoine_Name,0),2)-INDEX(Antoines,MATCH(L588,Antoine_Name,0),3)/(INDEX(Antoines,MATCH(L588,Antoine_Name,0),4)+(L596-32)*5/9)))*14.7/760,IF(L589="Crude Oil",EXP((2799/(L596+459.6)-2.227)*LOG10(INDEX(FX_Input,Y$5,L$3*$Z$5+$AA$5))-(7261/(L596+459.6))+12.82),IF(L589="Refined Petroleum Stock",EXP((0.7553-(413/(L596+459.6)))*(INDEX(FX_Input,Y$5,L$3*$Z$5+$AA$5-1)^0.5)*LOG10(INDEX(FX_Input,Y$5,L$3*$Z$5+$AA$5))-(1.854-(1042/(L596+459.6)))*(INDEX(FX_Input,Y$5,L$3*$Z$5+$AA$5-1)^0.5)+((2416/(L596+459.6)-2.013)*LOG10(INDEX(FX_Input,Y$5,L$3*$Z$5+$AA$5)))-(8742/(L596+459.6))+15.64),EXP(INDEX(Antoines,MATCH(L588,Antoine_Name,0),2)-INDEX(Antoines,MATCH(L588,Antoine_Name,0),3)/(L596+459.6))))),0)</f>
        <v>0</v>
      </c>
      <c r="M609" cm="1">
        <f t="array" ref="M609">IFERROR(IF(M589="Chemical",(10^(INDEX(Antoines,MATCH(M588,Antoine_Name,0),2)-INDEX(Antoines,MATCH(M588,Antoine_Name,0),3)/(INDEX(Antoines,MATCH(M588,Antoine_Name,0),4)+(M596-32)*5/9)))*14.7/760,IF(M589="Crude Oil",EXP((2799/(M596+459.6)-2.227)*LOG10(INDEX(FX_Input,Z$5,M$3*$Z$5+$AA$5))-(7261/(M596+459.6))+12.82),IF(M589="Refined Petroleum Stock",EXP((0.7553-(413/(M596+459.6)))*(INDEX(FX_Input,Z$5,M$3*$Z$5+$AA$5-1)^0.5)*LOG10(INDEX(FX_Input,Z$5,M$3*$Z$5+$AA$5))-(1.854-(1042/(M596+459.6)))*(INDEX(FX_Input,Z$5,M$3*$Z$5+$AA$5-1)^0.5)+((2416/(M596+459.6)-2.013)*LOG10(INDEX(FX_Input,Z$5,M$3*$Z$5+$AA$5)))-(8742/(M596+459.6))+15.64),EXP(INDEX(Antoines,MATCH(M588,Antoine_Name,0),2)-INDEX(Antoines,MATCH(M588,Antoine_Name,0),3)/(M596+459.6))))),0)</f>
        <v>0</v>
      </c>
      <c r="N609" cm="1">
        <f t="array" ref="N609">IFERROR(IF(N589="Chemical",(10^(INDEX(Antoines,MATCH(N588,Antoine_Name,0),2)-INDEX(Antoines,MATCH(N588,Antoine_Name,0),3)/(INDEX(Antoines,MATCH(N588,Antoine_Name,0),4)+(N596-32)*5/9)))*14.7/760,IF(N589="Crude Oil",EXP((2799/(N596+459.6)-2.227)*LOG10(INDEX(FX_Input,AA$5,N$3*$Z$5+$AA$5))-(7261/(N596+459.6))+12.82),IF(N589="Refined Petroleum Stock",EXP((0.7553-(413/(N596+459.6)))*(INDEX(FX_Input,AA$5,N$3*$Z$5+$AA$5-1)^0.5)*LOG10(INDEX(FX_Input,AA$5,N$3*$Z$5+$AA$5))-(1.854-(1042/(N596+459.6)))*(INDEX(FX_Input,AA$5,N$3*$Z$5+$AA$5-1)^0.5)+((2416/(N596+459.6)-2.013)*LOG10(INDEX(FX_Input,AA$5,N$3*$Z$5+$AA$5)))-(8742/(N596+459.6))+15.64),EXP(INDEX(Antoines,MATCH(N588,Antoine_Name,0),2)-INDEX(Antoines,MATCH(N588,Antoine_Name,0),3)/(N596+459.6))))),0)</f>
        <v>0</v>
      </c>
      <c r="O609" cm="1">
        <f t="array" ref="O609">IFERROR(IF(O589="Chemical",(10^(INDEX(Antoines,MATCH(O588,Antoine_Name,0),2)-INDEX(Antoines,MATCH(O588,Antoine_Name,0),3)/(INDEX(Antoines,MATCH(O588,Antoine_Name,0),4)+(O596-32)*5/9)))*14.7/760,IF(O589="Crude Oil",EXP((2799/(O596+459.6)-2.227)*LOG10(INDEX(FX_Input,AB$5,O$3*$Z$5+$AA$5))-(7261/(O596+459.6))+12.82),IF(O589="Refined Petroleum Stock",EXP((0.7553-(413/(O596+459.6)))*(INDEX(FX_Input,AB$5,O$3*$Z$5+$AA$5-1)^0.5)*LOG10(INDEX(FX_Input,AB$5,O$3*$Z$5+$AA$5))-(1.854-(1042/(O596+459.6)))*(INDEX(FX_Input,AB$5,O$3*$Z$5+$AA$5-1)^0.5)+((2416/(O596+459.6)-2.013)*LOG10(INDEX(FX_Input,AB$5,O$3*$Z$5+$AA$5)))-(8742/(O596+459.6))+15.64),EXP(INDEX(Antoines,MATCH(O588,Antoine_Name,0),2)-INDEX(Antoines,MATCH(O588,Antoine_Name,0),3)/(O596+459.6))))),0)</f>
        <v>0</v>
      </c>
    </row>
    <row r="610" spans="1:32" ht="17.149999999999999" x14ac:dyDescent="0.55000000000000004">
      <c r="B610" t="str">
        <f t="shared" si="2068"/>
        <v>Portland</v>
      </c>
      <c r="C610" t="s">
        <v>1391</v>
      </c>
      <c r="D610">
        <f>D609*D592</f>
        <v>0</v>
      </c>
      <c r="E610">
        <f t="shared" ref="E610" si="2146">E609*E592</f>
        <v>0</v>
      </c>
      <c r="F610">
        <f t="shared" ref="F610" si="2147">F609*F592</f>
        <v>0</v>
      </c>
      <c r="G610">
        <f t="shared" ref="G610" si="2148">G609*G592</f>
        <v>0</v>
      </c>
      <c r="H610">
        <f t="shared" ref="H610" si="2149">H609*H592</f>
        <v>0</v>
      </c>
      <c r="I610">
        <f t="shared" ref="I610" si="2150">I609*I592</f>
        <v>0</v>
      </c>
      <c r="J610">
        <f t="shared" ref="J610" si="2151">J609*J592</f>
        <v>0</v>
      </c>
      <c r="K610">
        <f t="shared" ref="K610" si="2152">K609*K592</f>
        <v>0</v>
      </c>
      <c r="L610">
        <f t="shared" ref="L610" si="2153">L609*L592</f>
        <v>0</v>
      </c>
      <c r="M610">
        <f t="shared" ref="M610" si="2154">M609*M592</f>
        <v>0</v>
      </c>
      <c r="N610">
        <f t="shared" ref="N610" si="2155">N609*N592</f>
        <v>0</v>
      </c>
      <c r="O610">
        <f t="shared" ref="O610" si="2156">O609*O592</f>
        <v>0</v>
      </c>
    </row>
    <row r="611" spans="1:32" ht="17.149999999999999" x14ac:dyDescent="0.55000000000000004">
      <c r="B611" t="str">
        <f t="shared" si="2068"/>
        <v>Portland</v>
      </c>
      <c r="C611" t="s">
        <v>1392</v>
      </c>
      <c r="D611">
        <f>D608+D610</f>
        <v>4.739577185808354E-3</v>
      </c>
      <c r="E611">
        <f t="shared" ref="E611" si="2157">E608+E610</f>
        <v>4.8748667780818778E-3</v>
      </c>
      <c r="F611">
        <f t="shared" ref="F611" si="2158">F608+F610</f>
        <v>5.119885034186122E-3</v>
      </c>
      <c r="G611">
        <f t="shared" ref="G611" si="2159">G608+G610</f>
        <v>5.5846958573521795E-3</v>
      </c>
      <c r="H611">
        <f t="shared" ref="H611" si="2160">H608+H610</f>
        <v>6.5274070972739821E-3</v>
      </c>
      <c r="I611">
        <f t="shared" ref="I611" si="2161">I608+I610</f>
        <v>7.4199539958878279E-3</v>
      </c>
      <c r="J611">
        <f t="shared" ref="J611" si="2162">J608+J610</f>
        <v>8.3358107202842254E-3</v>
      </c>
      <c r="K611">
        <f t="shared" ref="K611" si="2163">K608+K610</f>
        <v>8.4605262729351115E-3</v>
      </c>
      <c r="L611">
        <f t="shared" ref="L611" si="2164">L608+L610</f>
        <v>7.8399882233967533E-3</v>
      </c>
      <c r="M611">
        <f t="shared" ref="M611" si="2165">M608+M610</f>
        <v>6.4173462075160911E-3</v>
      </c>
      <c r="N611">
        <f t="shared" ref="N611" si="2166">N608+N610</f>
        <v>5.3015226887581056E-3</v>
      </c>
      <c r="O611">
        <f t="shared" ref="O611" si="2167">O608+O610</f>
        <v>4.68970903600947E-3</v>
      </c>
    </row>
    <row r="612" spans="1:32" ht="17.149999999999999" x14ac:dyDescent="0.55000000000000004">
      <c r="B612" t="str">
        <f>B606</f>
        <v>Portland</v>
      </c>
      <c r="C612" t="s">
        <v>584</v>
      </c>
      <c r="D612">
        <f>D608/D611</f>
        <v>1</v>
      </c>
      <c r="E612">
        <f t="shared" ref="E612" si="2168">E608/E611</f>
        <v>1</v>
      </c>
      <c r="F612">
        <f t="shared" ref="F612" si="2169">F608/F611</f>
        <v>1</v>
      </c>
      <c r="G612">
        <f t="shared" ref="G612" si="2170">G608/G611</f>
        <v>1</v>
      </c>
      <c r="H612">
        <f t="shared" ref="H612" si="2171">H608/H611</f>
        <v>1</v>
      </c>
      <c r="I612">
        <f t="shared" ref="I612" si="2172">I608/I611</f>
        <v>1</v>
      </c>
      <c r="J612">
        <f t="shared" ref="J612" si="2173">J608/J611</f>
        <v>1</v>
      </c>
      <c r="K612">
        <f t="shared" ref="K612" si="2174">K608/K611</f>
        <v>1</v>
      </c>
      <c r="L612">
        <f t="shared" ref="L612" si="2175">L608/L611</f>
        <v>1</v>
      </c>
      <c r="M612">
        <f t="shared" ref="M612" si="2176">M608/M611</f>
        <v>1</v>
      </c>
      <c r="N612">
        <f t="shared" ref="N612" si="2177">N608/N611</f>
        <v>1</v>
      </c>
      <c r="O612">
        <f t="shared" ref="O612" si="2178">O608/O611</f>
        <v>1</v>
      </c>
    </row>
    <row r="613" spans="1:32" ht="17.149999999999999" x14ac:dyDescent="0.55000000000000004">
      <c r="B613" t="str">
        <f>B607</f>
        <v>Portland</v>
      </c>
      <c r="C613" t="s">
        <v>585</v>
      </c>
      <c r="D613">
        <f t="shared" ref="D613:O613" si="2179">INDEX(Phys_Prop,MATCH(D586,Chem_List,0),3)</f>
        <v>130</v>
      </c>
      <c r="E613">
        <f t="shared" si="2179"/>
        <v>130</v>
      </c>
      <c r="F613">
        <f t="shared" si="2179"/>
        <v>130</v>
      </c>
      <c r="G613">
        <f t="shared" si="2179"/>
        <v>130</v>
      </c>
      <c r="H613">
        <f t="shared" si="2179"/>
        <v>130</v>
      </c>
      <c r="I613">
        <f t="shared" si="2179"/>
        <v>130</v>
      </c>
      <c r="J613">
        <f t="shared" si="2179"/>
        <v>130</v>
      </c>
      <c r="K613">
        <f t="shared" si="2179"/>
        <v>130</v>
      </c>
      <c r="L613">
        <f t="shared" si="2179"/>
        <v>130</v>
      </c>
      <c r="M613">
        <f t="shared" si="2179"/>
        <v>130</v>
      </c>
      <c r="N613">
        <f t="shared" si="2179"/>
        <v>130</v>
      </c>
      <c r="O613">
        <f t="shared" si="2179"/>
        <v>130</v>
      </c>
    </row>
    <row r="614" spans="1:32" ht="17.149999999999999" x14ac:dyDescent="0.55000000000000004">
      <c r="B614" t="str">
        <f>B613</f>
        <v>Portland</v>
      </c>
      <c r="C614" t="s">
        <v>586</v>
      </c>
      <c r="D614">
        <f>D610/D611</f>
        <v>0</v>
      </c>
      <c r="E614">
        <f t="shared" ref="E614:O614" si="2180">E610/E611</f>
        <v>0</v>
      </c>
      <c r="F614">
        <f t="shared" si="2180"/>
        <v>0</v>
      </c>
      <c r="G614">
        <f t="shared" si="2180"/>
        <v>0</v>
      </c>
      <c r="H614">
        <f t="shared" si="2180"/>
        <v>0</v>
      </c>
      <c r="I614">
        <f t="shared" si="2180"/>
        <v>0</v>
      </c>
      <c r="J614">
        <f t="shared" si="2180"/>
        <v>0</v>
      </c>
      <c r="K614">
        <f t="shared" si="2180"/>
        <v>0</v>
      </c>
      <c r="L614">
        <f t="shared" si="2180"/>
        <v>0</v>
      </c>
      <c r="M614">
        <f t="shared" si="2180"/>
        <v>0</v>
      </c>
      <c r="N614">
        <f t="shared" si="2180"/>
        <v>0</v>
      </c>
      <c r="O614">
        <f t="shared" si="2180"/>
        <v>0</v>
      </c>
    </row>
    <row r="615" spans="1:32" ht="17.149999999999999" x14ac:dyDescent="0.55000000000000004">
      <c r="B615" t="str">
        <f t="shared" si="2068"/>
        <v>Portland</v>
      </c>
      <c r="C615" t="s">
        <v>587</v>
      </c>
      <c r="D615">
        <f t="shared" ref="D615:O615" si="2181">IFERROR(INDEX(Phys_Prop,MATCH(D588,Chem_List,0),3),0)</f>
        <v>0</v>
      </c>
      <c r="E615">
        <f t="shared" si="2181"/>
        <v>0</v>
      </c>
      <c r="F615">
        <f t="shared" si="2181"/>
        <v>0</v>
      </c>
      <c r="G615">
        <f t="shared" si="2181"/>
        <v>0</v>
      </c>
      <c r="H615">
        <f t="shared" si="2181"/>
        <v>0</v>
      </c>
      <c r="I615">
        <f t="shared" si="2181"/>
        <v>0</v>
      </c>
      <c r="J615">
        <f t="shared" si="2181"/>
        <v>0</v>
      </c>
      <c r="K615">
        <f t="shared" si="2181"/>
        <v>0</v>
      </c>
      <c r="L615">
        <f t="shared" si="2181"/>
        <v>0</v>
      </c>
      <c r="M615">
        <f t="shared" si="2181"/>
        <v>0</v>
      </c>
      <c r="N615">
        <f t="shared" si="2181"/>
        <v>0</v>
      </c>
      <c r="O615">
        <f t="shared" si="2181"/>
        <v>0</v>
      </c>
    </row>
    <row r="616" spans="1:32" ht="17.149999999999999" x14ac:dyDescent="0.55000000000000004">
      <c r="A616" s="11"/>
      <c r="B616" s="11" t="str">
        <f t="shared" si="2068"/>
        <v>Portland</v>
      </c>
      <c r="C616" s="11" t="s">
        <v>588</v>
      </c>
      <c r="D616" s="11">
        <f>IFERROR(D612*D613+D614*D615,0)</f>
        <v>130</v>
      </c>
      <c r="E616" s="11">
        <f t="shared" ref="E616" si="2182">IFERROR(E612*E613+E614*E615,0)</f>
        <v>130</v>
      </c>
      <c r="F616" s="11">
        <f t="shared" ref="F616" si="2183">IFERROR(F612*F613+F614*F615,0)</f>
        <v>130</v>
      </c>
      <c r="G616" s="11">
        <f t="shared" ref="G616" si="2184">IFERROR(G612*G613+G614*G615,0)</f>
        <v>130</v>
      </c>
      <c r="H616" s="11">
        <f t="shared" ref="H616" si="2185">IFERROR(H612*H613+H614*H615,0)</f>
        <v>130</v>
      </c>
      <c r="I616" s="11">
        <f t="shared" ref="I616" si="2186">IFERROR(I612*I613+I614*I615,0)</f>
        <v>130</v>
      </c>
      <c r="J616" s="11">
        <f t="shared" ref="J616" si="2187">IFERROR(J612*J613+J614*J615,0)</f>
        <v>130</v>
      </c>
      <c r="K616" s="11">
        <f t="shared" ref="K616" si="2188">IFERROR(K612*K613+K614*K615,0)</f>
        <v>130</v>
      </c>
      <c r="L616" s="11">
        <f t="shared" ref="L616" si="2189">IFERROR(L612*L613+L614*L615,0)</f>
        <v>130</v>
      </c>
      <c r="M616" s="11">
        <f t="shared" ref="M616" si="2190">IFERROR(M612*M613+M614*M615,0)</f>
        <v>130</v>
      </c>
      <c r="N616" s="11">
        <f t="shared" ref="N616" si="2191">IFERROR(N612*N613+N614*N615,0)</f>
        <v>130</v>
      </c>
      <c r="O616" s="11">
        <f t="shared" ref="O616" si="2192">IFERROR(O612*O613+O614*O615,0)</f>
        <v>130</v>
      </c>
      <c r="P616" s="11"/>
      <c r="Q616" s="11"/>
      <c r="R616" s="11"/>
      <c r="S616" s="11"/>
      <c r="T616" s="11"/>
      <c r="U616" s="11"/>
      <c r="V616" s="11"/>
      <c r="W616" s="11"/>
      <c r="X616" s="11"/>
      <c r="Y616" s="11"/>
      <c r="Z616" s="11"/>
      <c r="AA616" s="11"/>
      <c r="AB616" s="11"/>
      <c r="AC616" s="11"/>
      <c r="AD616" s="11"/>
      <c r="AE616" s="11"/>
      <c r="AF616" s="11"/>
    </row>
    <row r="617" spans="1:32" ht="17.149999999999999" x14ac:dyDescent="0.55000000000000004">
      <c r="A617" t="str" cm="1">
        <f t="array" ref="A617">INDEX(FX_Input,$Q617,R$5)</f>
        <v>FX - 19</v>
      </c>
      <c r="B617" t="str" cm="1">
        <f t="array" ref="B617">INDEX(FX_Input,Q617,S617)</f>
        <v>Portland</v>
      </c>
      <c r="C617" t="s">
        <v>563</v>
      </c>
      <c r="D617">
        <v>14.7</v>
      </c>
      <c r="E617">
        <v>14.7</v>
      </c>
      <c r="F617">
        <v>14.7</v>
      </c>
      <c r="G617">
        <v>14.7</v>
      </c>
      <c r="H617">
        <v>14.7</v>
      </c>
      <c r="I617">
        <v>14.7</v>
      </c>
      <c r="J617">
        <v>14.7</v>
      </c>
      <c r="K617">
        <v>14.7</v>
      </c>
      <c r="L617">
        <v>14.7</v>
      </c>
      <c r="M617">
        <v>14.7</v>
      </c>
      <c r="N617">
        <v>14.7</v>
      </c>
      <c r="O617">
        <v>14.7</v>
      </c>
      <c r="Q617">
        <f>Q583+2</f>
        <v>37</v>
      </c>
      <c r="R617">
        <v>1</v>
      </c>
      <c r="S617">
        <v>3</v>
      </c>
      <c r="T617">
        <v>1</v>
      </c>
      <c r="U617">
        <v>19</v>
      </c>
      <c r="V617">
        <v>20</v>
      </c>
      <c r="W617">
        <v>25</v>
      </c>
      <c r="X617">
        <v>1</v>
      </c>
      <c r="Y617">
        <v>2</v>
      </c>
      <c r="Z617">
        <f>(W617-V617)/(Y617-X617)</f>
        <v>5</v>
      </c>
      <c r="AA617">
        <f>V617-Z617*X617</f>
        <v>15</v>
      </c>
      <c r="AD617">
        <f>AD583+14</f>
        <v>253</v>
      </c>
      <c r="AF617">
        <f>AF583+14</f>
        <v>253</v>
      </c>
    </row>
    <row r="618" spans="1:32" ht="17.149999999999999" x14ac:dyDescent="0.55000000000000004">
      <c r="B618" t="str">
        <f t="shared" ref="B618" si="2193">B617</f>
        <v>Portland</v>
      </c>
      <c r="C618" t="s">
        <v>564</v>
      </c>
      <c r="D618" cm="1">
        <f t="array" ref="D618">IF(ISBLANK(INDEX(FX_Input,$Q617,$AB618)),0.03,INDEX(FX_Input,Q617,AB618))</f>
        <v>0.03</v>
      </c>
      <c r="E618" cm="1">
        <f t="array" ref="E618">IF(ISBLANK(INDEX(FX_Input,$Q617,$AB618)),0.03,INDEX(FX_Input,R617,#REF!))</f>
        <v>0.03</v>
      </c>
      <c r="F618" cm="1">
        <f t="array" ref="F618">IF(ISBLANK(INDEX(FX_Input,$Q617,$AB618)),0.03,INDEX(FX_Input,S617,#REF!))</f>
        <v>0.03</v>
      </c>
      <c r="G618" cm="1">
        <f t="array" ref="G618">IF(ISBLANK(INDEX(FX_Input,$Q617,$AB618)),0.03,INDEX(FX_Input,AB617,#REF!))</f>
        <v>0.03</v>
      </c>
      <c r="H618" cm="1">
        <f t="array" ref="H618">IF(ISBLANK(INDEX(FX_Input,$Q617,$AB618)),0.03,INDEX(FX_Input,#REF!,#REF!))</f>
        <v>0.03</v>
      </c>
      <c r="I618" cm="1">
        <f t="array" ref="I618">IF(ISBLANK(INDEX(FX_Input,$Q617,$AB618)),0.03,INDEX(FX_Input,#REF!,#REF!))</f>
        <v>0.03</v>
      </c>
      <c r="J618" cm="1">
        <f t="array" ref="J618">IF(ISBLANK(INDEX(FX_Input,$Q617,$AB618)),0.03,INDEX(FX_Input,#REF!,#REF!))</f>
        <v>0.03</v>
      </c>
      <c r="K618" cm="1">
        <f t="array" ref="K618">IF(ISBLANK(INDEX(FX_Input,$Q617,$AB618)),0.03,INDEX(FX_Input,#REF!,AC618))</f>
        <v>0.03</v>
      </c>
      <c r="L618" cm="1">
        <f t="array" ref="L618">IF(ISBLANK(INDEX(FX_Input,$Q617,$AB618)),0.03,INDEX(FX_Input,#REF!,AD618))</f>
        <v>0.03</v>
      </c>
      <c r="M618" cm="1">
        <f t="array" ref="M618">IF(ISBLANK(INDEX(FX_Input,$Q617,$AB618)),0.03,INDEX(FX_Input,#REF!,#REF!))</f>
        <v>0.03</v>
      </c>
      <c r="N618" cm="1">
        <f t="array" ref="N618">IF(ISBLANK(INDEX(FX_Input,$Q617,$AB618)),0.03,INDEX(FX_Input,AC617,#REF!))</f>
        <v>0.03</v>
      </c>
      <c r="O618" cm="1">
        <f t="array" ref="O618">IF(ISBLANK(INDEX(FX_Input,$Q617,$AB618)),0.03,INDEX(FX_Input,AD617,#REF!))</f>
        <v>0.03</v>
      </c>
      <c r="AB618">
        <v>15</v>
      </c>
    </row>
    <row r="619" spans="1:32" ht="17.149999999999999" x14ac:dyDescent="0.55000000000000004">
      <c r="B619" t="str">
        <f>B618</f>
        <v>Portland</v>
      </c>
      <c r="C619" t="s">
        <v>565</v>
      </c>
      <c r="D619" cm="1">
        <f t="array" ref="D619">IF(ISBLANK(INDEX(FX_Input,$Q617,$AB619)),-0.03,INDEX(FX_Input,Q617,AB619))</f>
        <v>-0.03</v>
      </c>
      <c r="E619" cm="1">
        <f t="array" ref="E619">IF(ISBLANK(INDEX(FX_Input,$Q617,$AB619)),-0.03,INDEX(FX_Input,R617,#REF!))</f>
        <v>-0.03</v>
      </c>
      <c r="F619" cm="1">
        <f t="array" ref="F619">IF(ISBLANK(INDEX(FX_Input,$Q617,$AB619)),-0.03,INDEX(FX_Input,S617,#REF!))</f>
        <v>-0.03</v>
      </c>
      <c r="G619" cm="1">
        <f t="array" ref="G619">IF(ISBLANK(INDEX(FX_Input,$Q617,$AB619)),-0.03,INDEX(FX_Input,AB617,#REF!))</f>
        <v>-0.03</v>
      </c>
      <c r="H619" cm="1">
        <f t="array" ref="H619">IF(ISBLANK(INDEX(FX_Input,$Q617,$AB619)),-0.03,INDEX(FX_Input,#REF!,#REF!))</f>
        <v>-0.03</v>
      </c>
      <c r="I619" cm="1">
        <f t="array" ref="I619">IF(ISBLANK(INDEX(FX_Input,$Q617,$AB619)),-0.03,INDEX(FX_Input,#REF!,#REF!))</f>
        <v>-0.03</v>
      </c>
      <c r="J619" cm="1">
        <f t="array" ref="J619">IF(ISBLANK(INDEX(FX_Input,$Q617,$AB619)),-0.03,INDEX(FX_Input,#REF!,#REF!))</f>
        <v>-0.03</v>
      </c>
      <c r="K619" cm="1">
        <f t="array" ref="K619">IF(ISBLANK(INDEX(FX_Input,$Q617,$AB619)),-0.03,INDEX(FX_Input,#REF!,AC619))</f>
        <v>-0.03</v>
      </c>
      <c r="L619" cm="1">
        <f t="array" ref="L619">IF(ISBLANK(INDEX(FX_Input,$Q617,$AB619)),-0.03,INDEX(FX_Input,#REF!,AD619))</f>
        <v>-0.03</v>
      </c>
      <c r="M619" cm="1">
        <f t="array" ref="M619">IF(ISBLANK(INDEX(FX_Input,$Q617,$AB619)),-0.03,INDEX(FX_Input,#REF!,#REF!))</f>
        <v>-0.03</v>
      </c>
      <c r="N619" cm="1">
        <f t="array" ref="N619">IF(ISBLANK(INDEX(FX_Input,$Q617,$AB619)),-0.03,INDEX(FX_Input,AC617,#REF!))</f>
        <v>-0.03</v>
      </c>
      <c r="O619" cm="1">
        <f t="array" ref="O619">IF(ISBLANK(INDEX(FX_Input,$Q617,$AB619)),-0.03,INDEX(FX_Input,AD617,#REF!))</f>
        <v>-0.03</v>
      </c>
      <c r="AB619">
        <v>16</v>
      </c>
    </row>
    <row r="620" spans="1:32" x14ac:dyDescent="0.4">
      <c r="B620" t="str">
        <f t="shared" ref="B620:B621" si="2194">B619</f>
        <v>Portland</v>
      </c>
      <c r="C620" s="66" t="s">
        <v>567</v>
      </c>
      <c r="D620" t="str" cm="1">
        <f t="array" ref="D620">INDEX(FX_Multi,$AD620,D$3)</f>
        <v>Jet kerosene</v>
      </c>
      <c r="E620" t="str" cm="1">
        <f t="array" ref="E620">INDEX(FX_Multi,$AD620,E$3)</f>
        <v>Jet kerosene</v>
      </c>
      <c r="F620" t="str" cm="1">
        <f t="array" ref="F620">INDEX(FX_Multi,$AD620,F$3)</f>
        <v>Jet kerosene</v>
      </c>
      <c r="G620" t="str" cm="1">
        <f t="array" ref="G620">INDEX(FX_Multi,$AD620,G$3)</f>
        <v>Jet kerosene</v>
      </c>
      <c r="H620" t="str" cm="1">
        <f t="array" ref="H620">INDEX(FX_Multi,$AD620,H$3)</f>
        <v>Jet kerosene</v>
      </c>
      <c r="I620" t="str" cm="1">
        <f t="array" ref="I620">INDEX(FX_Multi,$AD620,I$3)</f>
        <v>Jet kerosene</v>
      </c>
      <c r="J620" t="str" cm="1">
        <f t="array" ref="J620">INDEX(FX_Multi,$AD620,J$3)</f>
        <v>Jet kerosene</v>
      </c>
      <c r="K620" t="str" cm="1">
        <f t="array" ref="K620">INDEX(FX_Multi,$AD620,K$3)</f>
        <v>Jet kerosene</v>
      </c>
      <c r="L620" t="str" cm="1">
        <f t="array" ref="L620">INDEX(FX_Multi,$AD620,L$3)</f>
        <v>Jet kerosene</v>
      </c>
      <c r="M620" t="str" cm="1">
        <f t="array" ref="M620">INDEX(FX_Multi,$AD620,M$3)</f>
        <v>Jet kerosene</v>
      </c>
      <c r="N620" t="str" cm="1">
        <f t="array" ref="N620">INDEX(FX_Multi,$AD620,N$3)</f>
        <v>Jet kerosene</v>
      </c>
      <c r="O620" t="str" cm="1">
        <f t="array" ref="O620">INDEX(FX_Multi,$AD620,O$3)</f>
        <v>Jet kerosene</v>
      </c>
      <c r="AC620">
        <v>1</v>
      </c>
      <c r="AD620">
        <f>AD617</f>
        <v>253</v>
      </c>
      <c r="AE620">
        <v>1</v>
      </c>
      <c r="AF620">
        <f>AF617</f>
        <v>253</v>
      </c>
    </row>
    <row r="621" spans="1:32" x14ac:dyDescent="0.4">
      <c r="B621" t="str">
        <f t="shared" si="2194"/>
        <v>Portland</v>
      </c>
      <c r="C621" s="66" t="s">
        <v>566</v>
      </c>
      <c r="D621" t="str" cm="1">
        <f t="array" ref="D621">INDEX(FX_Multi,$AD621,D$3)</f>
        <v>Select Pet Stock</v>
      </c>
      <c r="E621" t="str" cm="1">
        <f t="array" ref="E621">INDEX(FX_Multi,$AD621,E$3)</f>
        <v>Select Pet Stock</v>
      </c>
      <c r="F621" t="str" cm="1">
        <f t="array" ref="F621">INDEX(FX_Multi,$AD621,F$3)</f>
        <v>Select Pet Stock</v>
      </c>
      <c r="G621" t="str" cm="1">
        <f t="array" ref="G621">INDEX(FX_Multi,$AD621,G$3)</f>
        <v>Select Pet Stock</v>
      </c>
      <c r="H621" t="str" cm="1">
        <f t="array" ref="H621">INDEX(FX_Multi,$AD621,H$3)</f>
        <v>Select Pet Stock</v>
      </c>
      <c r="I621" t="str" cm="1">
        <f t="array" ref="I621">INDEX(FX_Multi,$AD621,I$3)</f>
        <v>Select Pet Stock</v>
      </c>
      <c r="J621" t="str" cm="1">
        <f t="array" ref="J621">INDEX(FX_Multi,$AD621,J$3)</f>
        <v>Select Pet Stock</v>
      </c>
      <c r="K621" t="str" cm="1">
        <f t="array" ref="K621">INDEX(FX_Multi,$AD621,K$3)</f>
        <v>Select Pet Stock</v>
      </c>
      <c r="L621" t="str" cm="1">
        <f t="array" ref="L621">INDEX(FX_Multi,$AD621,L$3)</f>
        <v>Select Pet Stock</v>
      </c>
      <c r="M621" t="str" cm="1">
        <f t="array" ref="M621">INDEX(FX_Multi,$AD621,M$3)</f>
        <v>Select Pet Stock</v>
      </c>
      <c r="N621" t="str" cm="1">
        <f t="array" ref="N621">INDEX(FX_Multi,$AD621,N$3)</f>
        <v>Select Pet Stock</v>
      </c>
      <c r="O621" t="str" cm="1">
        <f t="array" ref="O621">INDEX(FX_Multi,$AD621,O$3)</f>
        <v>Select Pet Stock</v>
      </c>
      <c r="AC621">
        <v>1</v>
      </c>
      <c r="AD621">
        <f>AD620+2</f>
        <v>255</v>
      </c>
      <c r="AE621">
        <v>1</v>
      </c>
      <c r="AF621">
        <f>AF620+3</f>
        <v>256</v>
      </c>
    </row>
    <row r="622" spans="1:32" x14ac:dyDescent="0.4">
      <c r="B622" t="str">
        <f>B618</f>
        <v>Portland</v>
      </c>
      <c r="C622" s="66" t="s">
        <v>568</v>
      </c>
      <c r="D622" cm="1">
        <f t="array" ref="D622">INDEX(FX_Multi,$AD622,D$3)</f>
        <v>0</v>
      </c>
      <c r="E622" cm="1">
        <f t="array" ref="E622">INDEX(FX_Multi,$AD622,E$3)</f>
        <v>0</v>
      </c>
      <c r="F622" cm="1">
        <f t="array" ref="F622">INDEX(FX_Multi,$AD622,F$3)</f>
        <v>0</v>
      </c>
      <c r="G622" cm="1">
        <f t="array" ref="G622">INDEX(FX_Multi,$AD622,G$3)</f>
        <v>0</v>
      </c>
      <c r="H622" cm="1">
        <f t="array" ref="H622">INDEX(FX_Multi,$AD622,H$3)</f>
        <v>0</v>
      </c>
      <c r="I622" cm="1">
        <f t="array" ref="I622">INDEX(FX_Multi,$AD622,I$3)</f>
        <v>0</v>
      </c>
      <c r="J622" cm="1">
        <f t="array" ref="J622">INDEX(FX_Multi,$AD622,J$3)</f>
        <v>0</v>
      </c>
      <c r="K622" cm="1">
        <f t="array" ref="K622">INDEX(FX_Multi,$AD622,K$3)</f>
        <v>0</v>
      </c>
      <c r="L622" cm="1">
        <f t="array" ref="L622">INDEX(FX_Multi,$AD622,L$3)</f>
        <v>0</v>
      </c>
      <c r="M622" cm="1">
        <f t="array" ref="M622">INDEX(FX_Multi,$AD622,M$3)</f>
        <v>0</v>
      </c>
      <c r="N622" cm="1">
        <f t="array" ref="N622">INDEX(FX_Multi,$AD622,N$3)</f>
        <v>0</v>
      </c>
      <c r="O622" cm="1">
        <f t="array" ref="O622">INDEX(FX_Multi,$AD622,O$3)</f>
        <v>0</v>
      </c>
      <c r="AC622">
        <v>1</v>
      </c>
      <c r="AD622">
        <f>AD621-1</f>
        <v>254</v>
      </c>
      <c r="AE622">
        <v>1</v>
      </c>
      <c r="AF622">
        <f>AF620+1</f>
        <v>254</v>
      </c>
    </row>
    <row r="623" spans="1:32" x14ac:dyDescent="0.4">
      <c r="B623" t="str">
        <f t="shared" ref="B623:B627" si="2195">B622</f>
        <v>Portland</v>
      </c>
      <c r="C623" s="66" t="s">
        <v>569</v>
      </c>
      <c r="D623" cm="1">
        <f t="array" ref="D623">INDEX(FX_Multi,$AD623,D$3)</f>
        <v>0</v>
      </c>
      <c r="E623" cm="1">
        <f t="array" ref="E623">INDEX(FX_Multi,$AD623,E$3)</f>
        <v>0</v>
      </c>
      <c r="F623" cm="1">
        <f t="array" ref="F623">INDEX(FX_Multi,$AD623,F$3)</f>
        <v>0</v>
      </c>
      <c r="G623" cm="1">
        <f t="array" ref="G623">INDEX(FX_Multi,$AD623,G$3)</f>
        <v>0</v>
      </c>
      <c r="H623" cm="1">
        <f t="array" ref="H623">INDEX(FX_Multi,$AD623,H$3)</f>
        <v>0</v>
      </c>
      <c r="I623" cm="1">
        <f t="array" ref="I623">INDEX(FX_Multi,$AD623,I$3)</f>
        <v>0</v>
      </c>
      <c r="J623" cm="1">
        <f t="array" ref="J623">INDEX(FX_Multi,$AD623,J$3)</f>
        <v>0</v>
      </c>
      <c r="K623" cm="1">
        <f t="array" ref="K623">INDEX(FX_Multi,$AD623,K$3)</f>
        <v>0</v>
      </c>
      <c r="L623" cm="1">
        <f t="array" ref="L623">INDEX(FX_Multi,$AD623,L$3)</f>
        <v>0</v>
      </c>
      <c r="M623" cm="1">
        <f t="array" ref="M623">INDEX(FX_Multi,$AD623,M$3)</f>
        <v>0</v>
      </c>
      <c r="N623" cm="1">
        <f t="array" ref="N623">INDEX(FX_Multi,$AD623,N$3)</f>
        <v>0</v>
      </c>
      <c r="O623" cm="1">
        <f t="array" ref="O623">INDEX(FX_Multi,$AD623,O$3)</f>
        <v>0</v>
      </c>
      <c r="AC623">
        <v>1</v>
      </c>
      <c r="AD623">
        <f>AD622+2</f>
        <v>256</v>
      </c>
      <c r="AE623">
        <v>1</v>
      </c>
      <c r="AF623">
        <f>AF621</f>
        <v>256</v>
      </c>
    </row>
    <row r="624" spans="1:32" ht="17.149999999999999" x14ac:dyDescent="0.55000000000000004">
      <c r="B624" t="str">
        <f t="shared" si="2195"/>
        <v>Portland</v>
      </c>
      <c r="C624" t="s">
        <v>570</v>
      </c>
      <c r="D624" cm="1">
        <f t="array" ref="D624">INDEX(FX_Multi,$AD624,D$3)</f>
        <v>1</v>
      </c>
      <c r="E624" cm="1">
        <f t="array" ref="E624">INDEX(FX_Multi,$AD624,E$3)</f>
        <v>1</v>
      </c>
      <c r="F624" cm="1">
        <f t="array" ref="F624">INDEX(FX_Multi,$AD624,F$3)</f>
        <v>1</v>
      </c>
      <c r="G624" cm="1">
        <f t="array" ref="G624">INDEX(FX_Multi,$AD624,G$3)</f>
        <v>1</v>
      </c>
      <c r="H624" cm="1">
        <f t="array" ref="H624">INDEX(FX_Multi,$AD624,H$3)</f>
        <v>1</v>
      </c>
      <c r="I624" cm="1">
        <f t="array" ref="I624">INDEX(FX_Multi,$AD624,I$3)</f>
        <v>1</v>
      </c>
      <c r="J624" cm="1">
        <f t="array" ref="J624">INDEX(FX_Multi,$AD624,J$3)</f>
        <v>1</v>
      </c>
      <c r="K624" cm="1">
        <f t="array" ref="K624">INDEX(FX_Multi,$AD624,K$3)</f>
        <v>1</v>
      </c>
      <c r="L624" cm="1">
        <f t="array" ref="L624">INDEX(FX_Multi,$AD624,L$3)</f>
        <v>1</v>
      </c>
      <c r="M624" cm="1">
        <f t="array" ref="M624">INDEX(FX_Multi,$AD624,M$3)</f>
        <v>1</v>
      </c>
      <c r="N624" cm="1">
        <f t="array" ref="N624">INDEX(FX_Multi,$AD624,N$3)</f>
        <v>1</v>
      </c>
      <c r="O624" cm="1">
        <f t="array" ref="O624">INDEX(FX_Multi,$AD624,O$3)</f>
        <v>1</v>
      </c>
      <c r="AC624">
        <v>1</v>
      </c>
      <c r="AD624">
        <f>AD623+6</f>
        <v>262</v>
      </c>
      <c r="AE624">
        <v>1</v>
      </c>
      <c r="AF624">
        <f>AF620+9</f>
        <v>262</v>
      </c>
    </row>
    <row r="625" spans="2:32" ht="17.149999999999999" x14ac:dyDescent="0.55000000000000004">
      <c r="B625" t="str">
        <f t="shared" si="2195"/>
        <v>Portland</v>
      </c>
      <c r="C625" t="s">
        <v>571</v>
      </c>
      <c r="D625" cm="1">
        <f t="array" ref="D625">INDEX(FX_Multi,$AD625,D$3)</f>
        <v>162</v>
      </c>
      <c r="E625" cm="1">
        <f t="array" ref="E625">INDEX(FX_Multi,$AD625,E$3)</f>
        <v>162</v>
      </c>
      <c r="F625" cm="1">
        <f t="array" ref="F625">INDEX(FX_Multi,$AD625,F$3)</f>
        <v>162</v>
      </c>
      <c r="G625" cm="1">
        <f t="array" ref="G625">INDEX(FX_Multi,$AD625,G$3)</f>
        <v>162</v>
      </c>
      <c r="H625" cm="1">
        <f t="array" ref="H625">INDEX(FX_Multi,$AD625,H$3)</f>
        <v>162</v>
      </c>
      <c r="I625" cm="1">
        <f t="array" ref="I625">INDEX(FX_Multi,$AD625,I$3)</f>
        <v>162</v>
      </c>
      <c r="J625" cm="1">
        <f t="array" ref="J625">INDEX(FX_Multi,$AD625,J$3)</f>
        <v>162</v>
      </c>
      <c r="K625" cm="1">
        <f t="array" ref="K625">INDEX(FX_Multi,$AD625,K$3)</f>
        <v>162</v>
      </c>
      <c r="L625" cm="1">
        <f t="array" ref="L625">INDEX(FX_Multi,$AD625,L$3)</f>
        <v>162</v>
      </c>
      <c r="M625" cm="1">
        <f t="array" ref="M625">INDEX(FX_Multi,$AD625,M$3)</f>
        <v>162</v>
      </c>
      <c r="N625" cm="1">
        <f t="array" ref="N625">INDEX(FX_Multi,$AD625,N$3)</f>
        <v>162</v>
      </c>
      <c r="O625" cm="1">
        <f t="array" ref="O625">INDEX(FX_Multi,$AD625,O$3)</f>
        <v>162</v>
      </c>
      <c r="AC625">
        <v>1</v>
      </c>
      <c r="AD625">
        <f>AD624-3</f>
        <v>259</v>
      </c>
      <c r="AE625">
        <v>1</v>
      </c>
      <c r="AF625">
        <f>AF620+6</f>
        <v>259</v>
      </c>
    </row>
    <row r="626" spans="2:32" ht="17.149999999999999" x14ac:dyDescent="0.55000000000000004">
      <c r="B626" t="str">
        <f t="shared" si="2195"/>
        <v>Portland</v>
      </c>
      <c r="C626" t="s">
        <v>572</v>
      </c>
      <c r="D626" cm="1">
        <f t="array" ref="D626">INDEX(FX_Multi,$AD626,D$3)</f>
        <v>0</v>
      </c>
      <c r="E626" cm="1">
        <f t="array" ref="E626">INDEX(FX_Multi,$AD626,E$3)</f>
        <v>0</v>
      </c>
      <c r="F626" cm="1">
        <f t="array" ref="F626">INDEX(FX_Multi,$AD626,F$3)</f>
        <v>0</v>
      </c>
      <c r="G626" cm="1">
        <f t="array" ref="G626">INDEX(FX_Multi,$AD626,G$3)</f>
        <v>0</v>
      </c>
      <c r="H626" cm="1">
        <f t="array" ref="H626">INDEX(FX_Multi,$AD626,H$3)</f>
        <v>0</v>
      </c>
      <c r="I626" cm="1">
        <f t="array" ref="I626">INDEX(FX_Multi,$AD626,I$3)</f>
        <v>0</v>
      </c>
      <c r="J626" cm="1">
        <f t="array" ref="J626">INDEX(FX_Multi,$AD626,J$3)</f>
        <v>0</v>
      </c>
      <c r="K626" cm="1">
        <f t="array" ref="K626">INDEX(FX_Multi,$AD626,K$3)</f>
        <v>0</v>
      </c>
      <c r="L626" cm="1">
        <f t="array" ref="L626">INDEX(FX_Multi,$AD626,L$3)</f>
        <v>0</v>
      </c>
      <c r="M626" cm="1">
        <f t="array" ref="M626">INDEX(FX_Multi,$AD626,M$3)</f>
        <v>0</v>
      </c>
      <c r="N626" cm="1">
        <f t="array" ref="N626">INDEX(FX_Multi,$AD626,N$3)</f>
        <v>0</v>
      </c>
      <c r="O626" cm="1">
        <f t="array" ref="O626">INDEX(FX_Multi,$AD626,O$3)</f>
        <v>0</v>
      </c>
      <c r="AC626">
        <v>1</v>
      </c>
      <c r="AD626">
        <f>AD625+4</f>
        <v>263</v>
      </c>
      <c r="AE626">
        <v>1</v>
      </c>
      <c r="AF626">
        <f>AF620+10</f>
        <v>263</v>
      </c>
    </row>
    <row r="627" spans="2:32" ht="17.149999999999999" x14ac:dyDescent="0.55000000000000004">
      <c r="B627" t="str">
        <f t="shared" si="2195"/>
        <v>Portland</v>
      </c>
      <c r="C627" t="s">
        <v>573</v>
      </c>
      <c r="D627" cm="1">
        <f t="array" ref="D627">INDEX(FX_Multi,$AD627,D$3)</f>
        <v>0</v>
      </c>
      <c r="E627" cm="1">
        <f t="array" ref="E627">INDEX(FX_Multi,$AD627,E$3)</f>
        <v>0</v>
      </c>
      <c r="F627" cm="1">
        <f t="array" ref="F627">INDEX(FX_Multi,$AD627,F$3)</f>
        <v>0</v>
      </c>
      <c r="G627" cm="1">
        <f t="array" ref="G627">INDEX(FX_Multi,$AD627,G$3)</f>
        <v>0</v>
      </c>
      <c r="H627" cm="1">
        <f t="array" ref="H627">INDEX(FX_Multi,$AD627,H$3)</f>
        <v>0</v>
      </c>
      <c r="I627" cm="1">
        <f t="array" ref="I627">INDEX(FX_Multi,$AD627,I$3)</f>
        <v>0</v>
      </c>
      <c r="J627" cm="1">
        <f t="array" ref="J627">INDEX(FX_Multi,$AD627,J$3)</f>
        <v>0</v>
      </c>
      <c r="K627" cm="1">
        <f t="array" ref="K627">INDEX(FX_Multi,$AD627,K$3)</f>
        <v>0</v>
      </c>
      <c r="L627" cm="1">
        <f t="array" ref="L627">INDEX(FX_Multi,$AD627,L$3)</f>
        <v>0</v>
      </c>
      <c r="M627" cm="1">
        <f t="array" ref="M627">INDEX(FX_Multi,$AD627,M$3)</f>
        <v>0</v>
      </c>
      <c r="N627" cm="1">
        <f t="array" ref="N627">INDEX(FX_Multi,$AD627,N$3)</f>
        <v>0</v>
      </c>
      <c r="O627" cm="1">
        <f t="array" ref="O627">INDEX(FX_Multi,$AD627,O$3)</f>
        <v>0</v>
      </c>
      <c r="AC627">
        <v>1</v>
      </c>
      <c r="AD627">
        <f>AD626-3</f>
        <v>260</v>
      </c>
      <c r="AE627">
        <v>1</v>
      </c>
      <c r="AF627">
        <f>AF620+7</f>
        <v>260</v>
      </c>
    </row>
    <row r="628" spans="2:32" ht="17.149999999999999" x14ac:dyDescent="0.55000000000000004">
      <c r="B628" t="str">
        <f>B623</f>
        <v>Portland</v>
      </c>
      <c r="C628" t="s">
        <v>526</v>
      </c>
      <c r="D628" cm="1">
        <f t="array" ref="D628">INDEX(FX_Temps,$AF628,D$3)</f>
        <v>43.899999999999977</v>
      </c>
      <c r="E628" cm="1">
        <f t="array" ref="E628">INDEX(FX_Temps,$AF628,E$3)</f>
        <v>44.700000000000045</v>
      </c>
      <c r="F628" cm="1">
        <f t="array" ref="F628">INDEX(FX_Temps,$AF628,F$3)</f>
        <v>46.100000000000023</v>
      </c>
      <c r="G628" cm="1">
        <f t="array" ref="G628">INDEX(FX_Temps,$AF628,G$3)</f>
        <v>48.599999999999966</v>
      </c>
      <c r="H628" cm="1">
        <f t="array" ref="H628">INDEX(FX_Temps,$AF628,H$3)</f>
        <v>53.149999999999977</v>
      </c>
      <c r="I628" cm="1">
        <f t="array" ref="I628">INDEX(FX_Temps,$AF628,I$3)</f>
        <v>56.950000000000045</v>
      </c>
      <c r="J628" cm="1">
        <f t="array" ref="J628">INDEX(FX_Temps,$AF628,J$3)</f>
        <v>60.449999999999932</v>
      </c>
      <c r="K628" cm="1">
        <f t="array" ref="K628">INDEX(FX_Temps,$AF628,K$3)</f>
        <v>60.899999999999977</v>
      </c>
      <c r="L628" cm="1">
        <f t="array" ref="L628">INDEX(FX_Temps,$AF628,L$3)</f>
        <v>58.600000000000023</v>
      </c>
      <c r="M628" cm="1">
        <f t="array" ref="M628">INDEX(FX_Temps,$AF628,M$3)</f>
        <v>52.649999999999977</v>
      </c>
      <c r="N628" cm="1">
        <f t="array" ref="N628">INDEX(FX_Temps,$AF628,N$3)</f>
        <v>47.100000000000023</v>
      </c>
      <c r="O628" cm="1">
        <f t="array" ref="O628">INDEX(FX_Temps,$AF628,O$3)</f>
        <v>43.600000000000023</v>
      </c>
      <c r="AE628">
        <v>1</v>
      </c>
      <c r="AF628">
        <f>AF620+10</f>
        <v>263</v>
      </c>
    </row>
    <row r="629" spans="2:32" ht="17.149999999999999" x14ac:dyDescent="0.55000000000000004">
      <c r="B629" t="str">
        <f t="shared" ref="B629:B650" si="2196">B628</f>
        <v>Portland</v>
      </c>
      <c r="C629" t="s">
        <v>527</v>
      </c>
      <c r="D629" cm="1">
        <f t="array" ref="D629">INDEX(FX_Temps,$AF629,D$3)</f>
        <v>43.899999999999977</v>
      </c>
      <c r="E629" cm="1">
        <f t="array" ref="E629">INDEX(FX_Temps,$AF629,E$3)</f>
        <v>44.700000000000045</v>
      </c>
      <c r="F629" cm="1">
        <f t="array" ref="F629">INDEX(FX_Temps,$AF629,F$3)</f>
        <v>46.100000000000023</v>
      </c>
      <c r="G629" cm="1">
        <f t="array" ref="G629">INDEX(FX_Temps,$AF629,G$3)</f>
        <v>48.599999999999966</v>
      </c>
      <c r="H629" cm="1">
        <f t="array" ref="H629">INDEX(FX_Temps,$AF629,H$3)</f>
        <v>53.149999999999977</v>
      </c>
      <c r="I629" cm="1">
        <f t="array" ref="I629">INDEX(FX_Temps,$AF629,I$3)</f>
        <v>56.950000000000045</v>
      </c>
      <c r="J629" cm="1">
        <f t="array" ref="J629">INDEX(FX_Temps,$AF629,J$3)</f>
        <v>60.449999999999932</v>
      </c>
      <c r="K629" cm="1">
        <f t="array" ref="K629">INDEX(FX_Temps,$AF629,K$3)</f>
        <v>60.899999999999977</v>
      </c>
      <c r="L629" cm="1">
        <f t="array" ref="L629">INDEX(FX_Temps,$AF629,L$3)</f>
        <v>58.600000000000023</v>
      </c>
      <c r="M629" cm="1">
        <f t="array" ref="M629">INDEX(FX_Temps,$AF629,M$3)</f>
        <v>52.649999999999977</v>
      </c>
      <c r="N629" cm="1">
        <f t="array" ref="N629">INDEX(FX_Temps,$AF629,N$3)</f>
        <v>47.100000000000023</v>
      </c>
      <c r="O629" cm="1">
        <f t="array" ref="O629">INDEX(FX_Temps,$AF629,O$3)</f>
        <v>43.600000000000023</v>
      </c>
      <c r="AE629">
        <f>AE628</f>
        <v>1</v>
      </c>
      <c r="AF629">
        <f>AF620+11</f>
        <v>264</v>
      </c>
    </row>
    <row r="630" spans="2:32" ht="17.149999999999999" x14ac:dyDescent="0.55000000000000004">
      <c r="B630" t="str">
        <f t="shared" si="2196"/>
        <v>Portland</v>
      </c>
      <c r="C630" t="s">
        <v>552</v>
      </c>
      <c r="D630" cm="1">
        <f t="array" ref="D630">INDEX(FX_Temps,$AF630,D$3)</f>
        <v>43.899999999999977</v>
      </c>
      <c r="E630" cm="1">
        <f t="array" ref="E630">INDEX(FX_Temps,$AF630,E$3)</f>
        <v>44.700000000000045</v>
      </c>
      <c r="F630" cm="1">
        <f t="array" ref="F630">INDEX(FX_Temps,$AF630,F$3)</f>
        <v>46.100000000000023</v>
      </c>
      <c r="G630" cm="1">
        <f t="array" ref="G630">INDEX(FX_Temps,$AF630,G$3)</f>
        <v>48.599999999999966</v>
      </c>
      <c r="H630" cm="1">
        <f t="array" ref="H630">INDEX(FX_Temps,$AF630,H$3)</f>
        <v>53.149999999999977</v>
      </c>
      <c r="I630" cm="1">
        <f t="array" ref="I630">INDEX(FX_Temps,$AF630,I$3)</f>
        <v>56.950000000000045</v>
      </c>
      <c r="J630" cm="1">
        <f t="array" ref="J630">INDEX(FX_Temps,$AF630,J$3)</f>
        <v>60.449999999999932</v>
      </c>
      <c r="K630" cm="1">
        <f t="array" ref="K630">INDEX(FX_Temps,$AF630,K$3)</f>
        <v>60.899999999999977</v>
      </c>
      <c r="L630" cm="1">
        <f t="array" ref="L630">INDEX(FX_Temps,$AF630,L$3)</f>
        <v>58.600000000000023</v>
      </c>
      <c r="M630" cm="1">
        <f t="array" ref="M630">INDEX(FX_Temps,$AF630,M$3)</f>
        <v>52.649999999999977</v>
      </c>
      <c r="N630" cm="1">
        <f t="array" ref="N630">INDEX(FX_Temps,$AF630,N$3)</f>
        <v>47.100000000000023</v>
      </c>
      <c r="O630" cm="1">
        <f t="array" ref="O630">INDEX(FX_Temps,$AF630,O$3)</f>
        <v>43.600000000000023</v>
      </c>
      <c r="AE630">
        <f>AE629</f>
        <v>1</v>
      </c>
      <c r="AF630">
        <f>AF620+13</f>
        <v>266</v>
      </c>
    </row>
    <row r="631" spans="2:32" ht="17.149999999999999" x14ac:dyDescent="0.55000000000000004">
      <c r="B631" t="str">
        <f t="shared" si="2196"/>
        <v>Portland</v>
      </c>
      <c r="C631" t="s">
        <v>574</v>
      </c>
      <c r="D631" cm="1">
        <f t="array" ref="D631">IFERROR(IF(D621="Chemical",(10^(INDEX(Antoines,MATCH(D620,Antoine_Name,0),2)-INDEX(Antoines,MATCH(D620,Antoine_Name,0),3)/(INDEX(Antoines,MATCH(D620,Antoine_Name,0),4)+(D628-32)*5/9)))*14.7/760,IF(D621="Crude Oil",EXP((2799/(D628+459.6)-2.227)*LOG10(INDEX(FX_Input,Q$5,D$3*$Z$5+$AA$5))-(7261/(D628+459.6))+12.82),IF(D621="Refined Petroleum Stock",EXP((0.7553-(413/(D628+459.6)))*(INDEX(FX_Input,Q$5,D$3*$Z$5+$AA$5-1)^0.5)*LOG10(INDEX(FX_Input,Q$5,D$3*$Z$5+$AA$5))-(1.854-(1042/(D628+459.6)))*(INDEX(FX_Input,Q$5,D$3*$Z$5+$AA$5-1)^0.5)+((2416/(D628+459.6)-2.013)*LOG10(INDEX(FX_Input,Q$5,D$3*$Z$5+$AA$5)))-(8742/(D628+459.6))+15.64),EXP(INDEX(Antoines,MATCH(D620,Antoine_Name,0),2)-INDEX(Antoines,MATCH(D620,Antoine_Name,0),3)/(D628+459.6))))),0)</f>
        <v>4.739577185808354E-3</v>
      </c>
      <c r="E631" cm="1">
        <f t="array" ref="E631">IFERROR(IF(E621="Chemical",(10^(INDEX(Antoines,MATCH(E620,Antoine_Name,0),2)-INDEX(Antoines,MATCH(E620,Antoine_Name,0),3)/(INDEX(Antoines,MATCH(E620,Antoine_Name,0),4)+(E628-32)*5/9)))*14.7/760,IF(E621="Crude Oil",EXP((2799/(E628+459.6)-2.227)*LOG10(INDEX(FX_Input,R$5,E$3*$Z$5+$AA$5))-(7261/(E628+459.6))+12.82),IF(E621="Refined Petroleum Stock",EXP((0.7553-(413/(E628+459.6)))*(INDEX(FX_Input,R$5,E$3*$Z$5+$AA$5-1)^0.5)*LOG10(INDEX(FX_Input,R$5,E$3*$Z$5+$AA$5))-(1.854-(1042/(E628+459.6)))*(INDEX(FX_Input,R$5,E$3*$Z$5+$AA$5-1)^0.5)+((2416/(E628+459.6)-2.013)*LOG10(INDEX(FX_Input,R$5,E$3*$Z$5+$AA$5)))-(8742/(E628+459.6))+15.64),EXP(INDEX(Antoines,MATCH(E620,Antoine_Name,0),2)-INDEX(Antoines,MATCH(E620,Antoine_Name,0),3)/(E628+459.6))))),0)</f>
        <v>4.8748667780818778E-3</v>
      </c>
      <c r="F631" cm="1">
        <f t="array" ref="F631">IFERROR(IF(F621="Chemical",(10^(INDEX(Antoines,MATCH(F620,Antoine_Name,0),2)-INDEX(Antoines,MATCH(F620,Antoine_Name,0),3)/(INDEX(Antoines,MATCH(F620,Antoine_Name,0),4)+(F628-32)*5/9)))*14.7/760,IF(F621="Crude Oil",EXP((2799/(F628+459.6)-2.227)*LOG10(INDEX(FX_Input,S$5,F$3*$Z$5+$AA$5))-(7261/(F628+459.6))+12.82),IF(F621="Refined Petroleum Stock",EXP((0.7553-(413/(F628+459.6)))*(INDEX(FX_Input,S$5,F$3*$Z$5+$AA$5-1)^0.5)*LOG10(INDEX(FX_Input,S$5,F$3*$Z$5+$AA$5))-(1.854-(1042/(F628+459.6)))*(INDEX(FX_Input,S$5,F$3*$Z$5+$AA$5-1)^0.5)+((2416/(F628+459.6)-2.013)*LOG10(INDEX(FX_Input,S$5,F$3*$Z$5+$AA$5)))-(8742/(F628+459.6))+15.64),EXP(INDEX(Antoines,MATCH(F620,Antoine_Name,0),2)-INDEX(Antoines,MATCH(F620,Antoine_Name,0),3)/(F628+459.6))))),0)</f>
        <v>5.119885034186122E-3</v>
      </c>
      <c r="G631" cm="1">
        <f t="array" ref="G631">IFERROR(IF(G621="Chemical",(10^(INDEX(Antoines,MATCH(G620,Antoine_Name,0),2)-INDEX(Antoines,MATCH(G620,Antoine_Name,0),3)/(INDEX(Antoines,MATCH(G620,Antoine_Name,0),4)+(G628-32)*5/9)))*14.7/760,IF(G621="Crude Oil",EXP((2799/(G628+459.6)-2.227)*LOG10(INDEX(FX_Input,T$5,G$3*$Z$5+$AA$5))-(7261/(G628+459.6))+12.82),IF(G621="Refined Petroleum Stock",EXP((0.7553-(413/(G628+459.6)))*(INDEX(FX_Input,T$5,G$3*$Z$5+$AA$5-1)^0.5)*LOG10(INDEX(FX_Input,T$5,G$3*$Z$5+$AA$5))-(1.854-(1042/(G628+459.6)))*(INDEX(FX_Input,T$5,G$3*$Z$5+$AA$5-1)^0.5)+((2416/(G628+459.6)-2.013)*LOG10(INDEX(FX_Input,T$5,G$3*$Z$5+$AA$5)))-(8742/(G628+459.6))+15.64),EXP(INDEX(Antoines,MATCH(G620,Antoine_Name,0),2)-INDEX(Antoines,MATCH(G620,Antoine_Name,0),3)/(G628+459.6))))),0)</f>
        <v>5.5846958573521795E-3</v>
      </c>
      <c r="H631" cm="1">
        <f t="array" ref="H631">IFERROR(IF(H621="Chemical",(10^(INDEX(Antoines,MATCH(H620,Antoine_Name,0),2)-INDEX(Antoines,MATCH(H620,Antoine_Name,0),3)/(INDEX(Antoines,MATCH(H620,Antoine_Name,0),4)+(H628-32)*5/9)))*14.7/760,IF(H621="Crude Oil",EXP((2799/(H628+459.6)-2.227)*LOG10(INDEX(FX_Input,U$5,H$3*$Z$5+$AA$5))-(7261/(H628+459.6))+12.82),IF(H621="Refined Petroleum Stock",EXP((0.7553-(413/(H628+459.6)))*(INDEX(FX_Input,U$5,H$3*$Z$5+$AA$5-1)^0.5)*LOG10(INDEX(FX_Input,U$5,H$3*$Z$5+$AA$5))-(1.854-(1042/(H628+459.6)))*(INDEX(FX_Input,U$5,H$3*$Z$5+$AA$5-1)^0.5)+((2416/(H628+459.6)-2.013)*LOG10(INDEX(FX_Input,U$5,H$3*$Z$5+$AA$5)))-(8742/(H628+459.6))+15.64),EXP(INDEX(Antoines,MATCH(H620,Antoine_Name,0),2)-INDEX(Antoines,MATCH(H620,Antoine_Name,0),3)/(H628+459.6))))),0)</f>
        <v>6.5274070972739821E-3</v>
      </c>
      <c r="I631" cm="1">
        <f t="array" ref="I631">IFERROR(IF(I621="Chemical",(10^(INDEX(Antoines,MATCH(I620,Antoine_Name,0),2)-INDEX(Antoines,MATCH(I620,Antoine_Name,0),3)/(INDEX(Antoines,MATCH(I620,Antoine_Name,0),4)+(I628-32)*5/9)))*14.7/760,IF(I621="Crude Oil",EXP((2799/(I628+459.6)-2.227)*LOG10(INDEX(FX_Input,V$5,I$3*$Z$5+$AA$5))-(7261/(I628+459.6))+12.82),IF(I621="Refined Petroleum Stock",EXP((0.7553-(413/(I628+459.6)))*(INDEX(FX_Input,V$5,I$3*$Z$5+$AA$5-1)^0.5)*LOG10(INDEX(FX_Input,V$5,I$3*$Z$5+$AA$5))-(1.854-(1042/(I628+459.6)))*(INDEX(FX_Input,V$5,I$3*$Z$5+$AA$5-1)^0.5)+((2416/(I628+459.6)-2.013)*LOG10(INDEX(FX_Input,V$5,I$3*$Z$5+$AA$5)))-(8742/(I628+459.6))+15.64),EXP(INDEX(Antoines,MATCH(I620,Antoine_Name,0),2)-INDEX(Antoines,MATCH(I620,Antoine_Name,0),3)/(I628+459.6))))),0)</f>
        <v>7.4199539958878279E-3</v>
      </c>
      <c r="J631" cm="1">
        <f t="array" ref="J631">IFERROR(IF(J621="Chemical",(10^(INDEX(Antoines,MATCH(J620,Antoine_Name,0),2)-INDEX(Antoines,MATCH(J620,Antoine_Name,0),3)/(INDEX(Antoines,MATCH(J620,Antoine_Name,0),4)+(J628-32)*5/9)))*14.7/760,IF(J621="Crude Oil",EXP((2799/(J628+459.6)-2.227)*LOG10(INDEX(FX_Input,W$5,J$3*$Z$5+$AA$5))-(7261/(J628+459.6))+12.82),IF(J621="Refined Petroleum Stock",EXP((0.7553-(413/(J628+459.6)))*(INDEX(FX_Input,W$5,J$3*$Z$5+$AA$5-1)^0.5)*LOG10(INDEX(FX_Input,W$5,J$3*$Z$5+$AA$5))-(1.854-(1042/(J628+459.6)))*(INDEX(FX_Input,W$5,J$3*$Z$5+$AA$5-1)^0.5)+((2416/(J628+459.6)-2.013)*LOG10(INDEX(FX_Input,W$5,J$3*$Z$5+$AA$5)))-(8742/(J628+459.6))+15.64),EXP(INDEX(Antoines,MATCH(J620,Antoine_Name,0),2)-INDEX(Antoines,MATCH(J620,Antoine_Name,0),3)/(J628+459.6))))),0)</f>
        <v>8.3358107202842254E-3</v>
      </c>
      <c r="K631" cm="1">
        <f t="array" ref="K631">IFERROR(IF(K621="Chemical",(10^(INDEX(Antoines,MATCH(K620,Antoine_Name,0),2)-INDEX(Antoines,MATCH(K620,Antoine_Name,0),3)/(INDEX(Antoines,MATCH(K620,Antoine_Name,0),4)+(K628-32)*5/9)))*14.7/760,IF(K621="Crude Oil",EXP((2799/(K628+459.6)-2.227)*LOG10(INDEX(FX_Input,X$5,K$3*$Z$5+$AA$5))-(7261/(K628+459.6))+12.82),IF(K621="Refined Petroleum Stock",EXP((0.7553-(413/(K628+459.6)))*(INDEX(FX_Input,X$5,K$3*$Z$5+$AA$5-1)^0.5)*LOG10(INDEX(FX_Input,X$5,K$3*$Z$5+$AA$5))-(1.854-(1042/(K628+459.6)))*(INDEX(FX_Input,X$5,K$3*$Z$5+$AA$5-1)^0.5)+((2416/(K628+459.6)-2.013)*LOG10(INDEX(FX_Input,X$5,K$3*$Z$5+$AA$5)))-(8742/(K628+459.6))+15.64),EXP(INDEX(Antoines,MATCH(K620,Antoine_Name,0),2)-INDEX(Antoines,MATCH(K620,Antoine_Name,0),3)/(K628+459.6))))),0)</f>
        <v>8.4605262729351115E-3</v>
      </c>
      <c r="L631" cm="1">
        <f t="array" ref="L631">IFERROR(IF(L621="Chemical",(10^(INDEX(Antoines,MATCH(L620,Antoine_Name,0),2)-INDEX(Antoines,MATCH(L620,Antoine_Name,0),3)/(INDEX(Antoines,MATCH(L620,Antoine_Name,0),4)+(L628-32)*5/9)))*14.7/760,IF(L621="Crude Oil",EXP((2799/(L628+459.6)-2.227)*LOG10(INDEX(FX_Input,Y$5,L$3*$Z$5+$AA$5))-(7261/(L628+459.6))+12.82),IF(L621="Refined Petroleum Stock",EXP((0.7553-(413/(L628+459.6)))*(INDEX(FX_Input,Y$5,L$3*$Z$5+$AA$5-1)^0.5)*LOG10(INDEX(FX_Input,Y$5,L$3*$Z$5+$AA$5))-(1.854-(1042/(L628+459.6)))*(INDEX(FX_Input,Y$5,L$3*$Z$5+$AA$5-1)^0.5)+((2416/(L628+459.6)-2.013)*LOG10(INDEX(FX_Input,Y$5,L$3*$Z$5+$AA$5)))-(8742/(L628+459.6))+15.64),EXP(INDEX(Antoines,MATCH(L620,Antoine_Name,0),2)-INDEX(Antoines,MATCH(L620,Antoine_Name,0),3)/(L628+459.6))))),0)</f>
        <v>7.8399882233967533E-3</v>
      </c>
      <c r="M631" cm="1">
        <f t="array" ref="M631">IFERROR(IF(M621="Chemical",(10^(INDEX(Antoines,MATCH(M620,Antoine_Name,0),2)-INDEX(Antoines,MATCH(M620,Antoine_Name,0),3)/(INDEX(Antoines,MATCH(M620,Antoine_Name,0),4)+(M628-32)*5/9)))*14.7/760,IF(M621="Crude Oil",EXP((2799/(M628+459.6)-2.227)*LOG10(INDEX(FX_Input,Z$5,M$3*$Z$5+$AA$5))-(7261/(M628+459.6))+12.82),IF(M621="Refined Petroleum Stock",EXP((0.7553-(413/(M628+459.6)))*(INDEX(FX_Input,Z$5,M$3*$Z$5+$AA$5-1)^0.5)*LOG10(INDEX(FX_Input,Z$5,M$3*$Z$5+$AA$5))-(1.854-(1042/(M628+459.6)))*(INDEX(FX_Input,Z$5,M$3*$Z$5+$AA$5-1)^0.5)+((2416/(M628+459.6)-2.013)*LOG10(INDEX(FX_Input,Z$5,M$3*$Z$5+$AA$5)))-(8742/(M628+459.6))+15.64),EXP(INDEX(Antoines,MATCH(M620,Antoine_Name,0),2)-INDEX(Antoines,MATCH(M620,Antoine_Name,0),3)/(M628+459.6))))),0)</f>
        <v>6.4173462075160911E-3</v>
      </c>
      <c r="N631" cm="1">
        <f t="array" ref="N631">IFERROR(IF(N621="Chemical",(10^(INDEX(Antoines,MATCH(N620,Antoine_Name,0),2)-INDEX(Antoines,MATCH(N620,Antoine_Name,0),3)/(INDEX(Antoines,MATCH(N620,Antoine_Name,0),4)+(N628-32)*5/9)))*14.7/760,IF(N621="Crude Oil",EXP((2799/(N628+459.6)-2.227)*LOG10(INDEX(FX_Input,AA$5,N$3*$Z$5+$AA$5))-(7261/(N628+459.6))+12.82),IF(N621="Refined Petroleum Stock",EXP((0.7553-(413/(N628+459.6)))*(INDEX(FX_Input,AA$5,N$3*$Z$5+$AA$5-1)^0.5)*LOG10(INDEX(FX_Input,AA$5,N$3*$Z$5+$AA$5))-(1.854-(1042/(N628+459.6)))*(INDEX(FX_Input,AA$5,N$3*$Z$5+$AA$5-1)^0.5)+((2416/(N628+459.6)-2.013)*LOG10(INDEX(FX_Input,AA$5,N$3*$Z$5+$AA$5)))-(8742/(N628+459.6))+15.64),EXP(INDEX(Antoines,MATCH(N620,Antoine_Name,0),2)-INDEX(Antoines,MATCH(N620,Antoine_Name,0),3)/(N628+459.6))))),0)</f>
        <v>5.3015226887581056E-3</v>
      </c>
      <c r="O631" cm="1">
        <f t="array" ref="O631">IFERROR(IF(O621="Chemical",(10^(INDEX(Antoines,MATCH(O620,Antoine_Name,0),2)-INDEX(Antoines,MATCH(O620,Antoine_Name,0),3)/(INDEX(Antoines,MATCH(O620,Antoine_Name,0),4)+(O628-32)*5/9)))*14.7/760,IF(O621="Crude Oil",EXP((2799/(O628+459.6)-2.227)*LOG10(INDEX(FX_Input,AB$5,O$3*$Z$5+$AA$5))-(7261/(O628+459.6))+12.82),IF(O621="Refined Petroleum Stock",EXP((0.7553-(413/(O628+459.6)))*(INDEX(FX_Input,AB$5,O$3*$Z$5+$AA$5-1)^0.5)*LOG10(INDEX(FX_Input,AB$5,O$3*$Z$5+$AA$5))-(1.854-(1042/(O628+459.6)))*(INDEX(FX_Input,AB$5,O$3*$Z$5+$AA$5-1)^0.5)+((2416/(O628+459.6)-2.013)*LOG10(INDEX(FX_Input,AB$5,O$3*$Z$5+$AA$5)))-(8742/(O628+459.6))+15.64),EXP(INDEX(Antoines,MATCH(O620,Antoine_Name,0),2)-INDEX(Antoines,MATCH(O620,Antoine_Name,0),3)/(O628+459.6))))),0)</f>
        <v>4.68970903600947E-3</v>
      </c>
    </row>
    <row r="632" spans="2:32" ht="17.149999999999999" x14ac:dyDescent="0.55000000000000004">
      <c r="B632" t="str">
        <f t="shared" si="2196"/>
        <v>Portland</v>
      </c>
      <c r="C632" t="s">
        <v>576</v>
      </c>
      <c r="D632">
        <f>D624*D631</f>
        <v>4.739577185808354E-3</v>
      </c>
      <c r="E632">
        <f t="shared" ref="E632" si="2197">E624*E631</f>
        <v>4.8748667780818778E-3</v>
      </c>
      <c r="F632">
        <f t="shared" ref="F632" si="2198">F624*F631</f>
        <v>5.119885034186122E-3</v>
      </c>
      <c r="G632">
        <f t="shared" ref="G632" si="2199">G624*G631</f>
        <v>5.5846958573521795E-3</v>
      </c>
      <c r="H632">
        <f t="shared" ref="H632" si="2200">H624*H631</f>
        <v>6.5274070972739821E-3</v>
      </c>
      <c r="I632">
        <f t="shared" ref="I632" si="2201">I624*I631</f>
        <v>7.4199539958878279E-3</v>
      </c>
      <c r="J632">
        <f t="shared" ref="J632" si="2202">J624*J631</f>
        <v>8.3358107202842254E-3</v>
      </c>
      <c r="K632">
        <f t="shared" ref="K632" si="2203">K624*K631</f>
        <v>8.4605262729351115E-3</v>
      </c>
      <c r="L632">
        <f t="shared" ref="L632" si="2204">L624*L631</f>
        <v>7.8399882233967533E-3</v>
      </c>
      <c r="M632">
        <f t="shared" ref="M632" si="2205">M624*M631</f>
        <v>6.4173462075160911E-3</v>
      </c>
      <c r="N632">
        <f t="shared" ref="N632" si="2206">N624*N631</f>
        <v>5.3015226887581056E-3</v>
      </c>
      <c r="O632">
        <f t="shared" ref="O632" si="2207">O624*O631</f>
        <v>4.68970903600947E-3</v>
      </c>
    </row>
    <row r="633" spans="2:32" ht="17.149999999999999" x14ac:dyDescent="0.55000000000000004">
      <c r="B633" t="str">
        <f t="shared" si="2196"/>
        <v>Portland</v>
      </c>
      <c r="C633" t="s">
        <v>575</v>
      </c>
      <c r="D633" cm="1">
        <f t="array" ref="D633">IFERROR(IF(D623="Chemical",(10^(INDEX(Antoines,MATCH(D622,Antoine_Name,0),2)-INDEX(Antoines,MATCH(D622,Antoine_Name,0),3)/(INDEX(Antoines,MATCH(D622,Antoine_Name,0),4)+(D628-32)*5/9)))*14.7/760,IF(D623="Crude Oil",EXP((2799/(D628+459.6)-2.227)*LOG10(INDEX(FX_Input,Q$5,D$3*$Z$5+$AA$5))-(7261/(D628+459.6))+12.82),IF(D623="Refined Petroleum Stock",EXP((0.7553-(413/(D628+459.6)))*(INDEX(FX_Input,Q$5,D$3*$Z$5+$AA$5-1)^0.5)*LOG10(INDEX(FX_Input,Q$5,D$3*$Z$5+$AA$5))-(1.854-(1042/(D628+459.6)))*(INDEX(FX_Input,Q$5,D$3*$Z$5+$AA$5-1)^0.5)+((2416/(D628+459.6)-2.013)*LOG10(INDEX(FX_Input,Q$5,D$3*$Z$5+$AA$5)))-(8742/(D628+459.6))+15.64),EXP(INDEX(Antoines,MATCH(D622,Antoine_Name,0),2)-INDEX(Antoines,MATCH(D622,Antoine_Name,0),3)/(D628+459.6))))),0)</f>
        <v>0</v>
      </c>
      <c r="E633" cm="1">
        <f t="array" ref="E633">IFERROR(IF(E623="Chemical",(10^(INDEX(Antoines,MATCH(E622,Antoine_Name,0),2)-INDEX(Antoines,MATCH(E622,Antoine_Name,0),3)/(INDEX(Antoines,MATCH(E622,Antoine_Name,0),4)+(E628-32)*5/9)))*14.7/760,IF(E623="Crude Oil",EXP((2799/(E628+459.6)-2.227)*LOG10(INDEX(FX_Input,R$5,E$3*$Z$5+$AA$5))-(7261/(E628+459.6))+12.82),IF(E623="Refined Petroleum Stock",EXP((0.7553-(413/(E628+459.6)))*(INDEX(FX_Input,R$5,E$3*$Z$5+$AA$5-1)^0.5)*LOG10(INDEX(FX_Input,R$5,E$3*$Z$5+$AA$5))-(1.854-(1042/(E628+459.6)))*(INDEX(FX_Input,R$5,E$3*$Z$5+$AA$5-1)^0.5)+((2416/(E628+459.6)-2.013)*LOG10(INDEX(FX_Input,R$5,E$3*$Z$5+$AA$5)))-(8742/(E628+459.6))+15.64),EXP(INDEX(Antoines,MATCH(E622,Antoine_Name,0),2)-INDEX(Antoines,MATCH(E622,Antoine_Name,0),3)/(E628+459.6))))),0)</f>
        <v>0</v>
      </c>
      <c r="F633" cm="1">
        <f t="array" ref="F633">IFERROR(IF(F623="Chemical",(10^(INDEX(Antoines,MATCH(F622,Antoine_Name,0),2)-INDEX(Antoines,MATCH(F622,Antoine_Name,0),3)/(INDEX(Antoines,MATCH(F622,Antoine_Name,0),4)+(F628-32)*5/9)))*14.7/760,IF(F623="Crude Oil",EXP((2799/(F628+459.6)-2.227)*LOG10(INDEX(FX_Input,S$5,F$3*$Z$5+$AA$5))-(7261/(F628+459.6))+12.82),IF(F623="Refined Petroleum Stock",EXP((0.7553-(413/(F628+459.6)))*(INDEX(FX_Input,S$5,F$3*$Z$5+$AA$5-1)^0.5)*LOG10(INDEX(FX_Input,S$5,F$3*$Z$5+$AA$5))-(1.854-(1042/(F628+459.6)))*(INDEX(FX_Input,S$5,F$3*$Z$5+$AA$5-1)^0.5)+((2416/(F628+459.6)-2.013)*LOG10(INDEX(FX_Input,S$5,F$3*$Z$5+$AA$5)))-(8742/(F628+459.6))+15.64),EXP(INDEX(Antoines,MATCH(F622,Antoine_Name,0),2)-INDEX(Antoines,MATCH(F622,Antoine_Name,0),3)/(F628+459.6))))),0)</f>
        <v>0</v>
      </c>
      <c r="G633" cm="1">
        <f t="array" ref="G633">IFERROR(IF(G623="Chemical",(10^(INDEX(Antoines,MATCH(G622,Antoine_Name,0),2)-INDEX(Antoines,MATCH(G622,Antoine_Name,0),3)/(INDEX(Antoines,MATCH(G622,Antoine_Name,0),4)+(G628-32)*5/9)))*14.7/760,IF(G623="Crude Oil",EXP((2799/(G628+459.6)-2.227)*LOG10(INDEX(FX_Input,T$5,G$3*$Z$5+$AA$5))-(7261/(G628+459.6))+12.82),IF(G623="Refined Petroleum Stock",EXP((0.7553-(413/(G628+459.6)))*(INDEX(FX_Input,T$5,G$3*$Z$5+$AA$5-1)^0.5)*LOG10(INDEX(FX_Input,T$5,G$3*$Z$5+$AA$5))-(1.854-(1042/(G628+459.6)))*(INDEX(FX_Input,T$5,G$3*$Z$5+$AA$5-1)^0.5)+((2416/(G628+459.6)-2.013)*LOG10(INDEX(FX_Input,T$5,G$3*$Z$5+$AA$5)))-(8742/(G628+459.6))+15.64),EXP(INDEX(Antoines,MATCH(G622,Antoine_Name,0),2)-INDEX(Antoines,MATCH(G622,Antoine_Name,0),3)/(G628+459.6))))),0)</f>
        <v>0</v>
      </c>
      <c r="H633" cm="1">
        <f t="array" ref="H633">IFERROR(IF(H623="Chemical",(10^(INDEX(Antoines,MATCH(H622,Antoine_Name,0),2)-INDEX(Antoines,MATCH(H622,Antoine_Name,0),3)/(INDEX(Antoines,MATCH(H622,Antoine_Name,0),4)+(H628-32)*5/9)))*14.7/760,IF(H623="Crude Oil",EXP((2799/(H628+459.6)-2.227)*LOG10(INDEX(FX_Input,U$5,H$3*$Z$5+$AA$5))-(7261/(H628+459.6))+12.82),IF(H623="Refined Petroleum Stock",EXP((0.7553-(413/(H628+459.6)))*(INDEX(FX_Input,U$5,H$3*$Z$5+$AA$5-1)^0.5)*LOG10(INDEX(FX_Input,U$5,H$3*$Z$5+$AA$5))-(1.854-(1042/(H628+459.6)))*(INDEX(FX_Input,U$5,H$3*$Z$5+$AA$5-1)^0.5)+((2416/(H628+459.6)-2.013)*LOG10(INDEX(FX_Input,U$5,H$3*$Z$5+$AA$5)))-(8742/(H628+459.6))+15.64),EXP(INDEX(Antoines,MATCH(H622,Antoine_Name,0),2)-INDEX(Antoines,MATCH(H622,Antoine_Name,0),3)/(H628+459.6))))),0)</f>
        <v>0</v>
      </c>
      <c r="I633" cm="1">
        <f t="array" ref="I633">IFERROR(IF(I623="Chemical",(10^(INDEX(Antoines,MATCH(I622,Antoine_Name,0),2)-INDEX(Antoines,MATCH(I622,Antoine_Name,0),3)/(INDEX(Antoines,MATCH(I622,Antoine_Name,0),4)+(I628-32)*5/9)))*14.7/760,IF(I623="Crude Oil",EXP((2799/(I628+459.6)-2.227)*LOG10(INDEX(FX_Input,V$5,I$3*$Z$5+$AA$5))-(7261/(I628+459.6))+12.82),IF(I623="Refined Petroleum Stock",EXP((0.7553-(413/(I628+459.6)))*(INDEX(FX_Input,V$5,I$3*$Z$5+$AA$5-1)^0.5)*LOG10(INDEX(FX_Input,V$5,I$3*$Z$5+$AA$5))-(1.854-(1042/(I628+459.6)))*(INDEX(FX_Input,V$5,I$3*$Z$5+$AA$5-1)^0.5)+((2416/(I628+459.6)-2.013)*LOG10(INDEX(FX_Input,V$5,I$3*$Z$5+$AA$5)))-(8742/(I628+459.6))+15.64),EXP(INDEX(Antoines,MATCH(I622,Antoine_Name,0),2)-INDEX(Antoines,MATCH(I622,Antoine_Name,0),3)/(I628+459.6))))),0)</f>
        <v>0</v>
      </c>
      <c r="J633" cm="1">
        <f t="array" ref="J633">IFERROR(IF(J623="Chemical",(10^(INDEX(Antoines,MATCH(J622,Antoine_Name,0),2)-INDEX(Antoines,MATCH(J622,Antoine_Name,0),3)/(INDEX(Antoines,MATCH(J622,Antoine_Name,0),4)+(J628-32)*5/9)))*14.7/760,IF(J623="Crude Oil",EXP((2799/(J628+459.6)-2.227)*LOG10(INDEX(FX_Input,W$5,J$3*$Z$5+$AA$5))-(7261/(J628+459.6))+12.82),IF(J623="Refined Petroleum Stock",EXP((0.7553-(413/(J628+459.6)))*(INDEX(FX_Input,W$5,J$3*$Z$5+$AA$5-1)^0.5)*LOG10(INDEX(FX_Input,W$5,J$3*$Z$5+$AA$5))-(1.854-(1042/(J628+459.6)))*(INDEX(FX_Input,W$5,J$3*$Z$5+$AA$5-1)^0.5)+((2416/(J628+459.6)-2.013)*LOG10(INDEX(FX_Input,W$5,J$3*$Z$5+$AA$5)))-(8742/(J628+459.6))+15.64),EXP(INDEX(Antoines,MATCH(J622,Antoine_Name,0),2)-INDEX(Antoines,MATCH(J622,Antoine_Name,0),3)/(J628+459.6))))),0)</f>
        <v>0</v>
      </c>
      <c r="K633" cm="1">
        <f t="array" ref="K633">IFERROR(IF(K623="Chemical",(10^(INDEX(Antoines,MATCH(K622,Antoine_Name,0),2)-INDEX(Antoines,MATCH(K622,Antoine_Name,0),3)/(INDEX(Antoines,MATCH(K622,Antoine_Name,0),4)+(K628-32)*5/9)))*14.7/760,IF(K623="Crude Oil",EXP((2799/(K628+459.6)-2.227)*LOG10(INDEX(FX_Input,X$5,K$3*$Z$5+$AA$5))-(7261/(K628+459.6))+12.82),IF(K623="Refined Petroleum Stock",EXP((0.7553-(413/(K628+459.6)))*(INDEX(FX_Input,X$5,K$3*$Z$5+$AA$5-1)^0.5)*LOG10(INDEX(FX_Input,X$5,K$3*$Z$5+$AA$5))-(1.854-(1042/(K628+459.6)))*(INDEX(FX_Input,X$5,K$3*$Z$5+$AA$5-1)^0.5)+((2416/(K628+459.6)-2.013)*LOG10(INDEX(FX_Input,X$5,K$3*$Z$5+$AA$5)))-(8742/(K628+459.6))+15.64),EXP(INDEX(Antoines,MATCH(K622,Antoine_Name,0),2)-INDEX(Antoines,MATCH(K622,Antoine_Name,0),3)/(K628+459.6))))),0)</f>
        <v>0</v>
      </c>
      <c r="L633" cm="1">
        <f t="array" ref="L633">IFERROR(IF(L623="Chemical",(10^(INDEX(Antoines,MATCH(L622,Antoine_Name,0),2)-INDEX(Antoines,MATCH(L622,Antoine_Name,0),3)/(INDEX(Antoines,MATCH(L622,Antoine_Name,0),4)+(L628-32)*5/9)))*14.7/760,IF(L623="Crude Oil",EXP((2799/(L628+459.6)-2.227)*LOG10(INDEX(FX_Input,Y$5,L$3*$Z$5+$AA$5))-(7261/(L628+459.6))+12.82),IF(L623="Refined Petroleum Stock",EXP((0.7553-(413/(L628+459.6)))*(INDEX(FX_Input,Y$5,L$3*$Z$5+$AA$5-1)^0.5)*LOG10(INDEX(FX_Input,Y$5,L$3*$Z$5+$AA$5))-(1.854-(1042/(L628+459.6)))*(INDEX(FX_Input,Y$5,L$3*$Z$5+$AA$5-1)^0.5)+((2416/(L628+459.6)-2.013)*LOG10(INDEX(FX_Input,Y$5,L$3*$Z$5+$AA$5)))-(8742/(L628+459.6))+15.64),EXP(INDEX(Antoines,MATCH(L622,Antoine_Name,0),2)-INDEX(Antoines,MATCH(L622,Antoine_Name,0),3)/(L628+459.6))))),0)</f>
        <v>0</v>
      </c>
      <c r="M633" cm="1">
        <f t="array" ref="M633">IFERROR(IF(M623="Chemical",(10^(INDEX(Antoines,MATCH(M622,Antoine_Name,0),2)-INDEX(Antoines,MATCH(M622,Antoine_Name,0),3)/(INDEX(Antoines,MATCH(M622,Antoine_Name,0),4)+(M628-32)*5/9)))*14.7/760,IF(M623="Crude Oil",EXP((2799/(M628+459.6)-2.227)*LOG10(INDEX(FX_Input,Z$5,M$3*$Z$5+$AA$5))-(7261/(M628+459.6))+12.82),IF(M623="Refined Petroleum Stock",EXP((0.7553-(413/(M628+459.6)))*(INDEX(FX_Input,Z$5,M$3*$Z$5+$AA$5-1)^0.5)*LOG10(INDEX(FX_Input,Z$5,M$3*$Z$5+$AA$5))-(1.854-(1042/(M628+459.6)))*(INDEX(FX_Input,Z$5,M$3*$Z$5+$AA$5-1)^0.5)+((2416/(M628+459.6)-2.013)*LOG10(INDEX(FX_Input,Z$5,M$3*$Z$5+$AA$5)))-(8742/(M628+459.6))+15.64),EXP(INDEX(Antoines,MATCH(M622,Antoine_Name,0),2)-INDEX(Antoines,MATCH(M622,Antoine_Name,0),3)/(M628+459.6))))),0)</f>
        <v>0</v>
      </c>
      <c r="N633" cm="1">
        <f t="array" ref="N633">IFERROR(IF(N623="Chemical",(10^(INDEX(Antoines,MATCH(N622,Antoine_Name,0),2)-INDEX(Antoines,MATCH(N622,Antoine_Name,0),3)/(INDEX(Antoines,MATCH(N622,Antoine_Name,0),4)+(N628-32)*5/9)))*14.7/760,IF(N623="Crude Oil",EXP((2799/(N628+459.6)-2.227)*LOG10(INDEX(FX_Input,AA$5,N$3*$Z$5+$AA$5))-(7261/(N628+459.6))+12.82),IF(N623="Refined Petroleum Stock",EXP((0.7553-(413/(N628+459.6)))*(INDEX(FX_Input,AA$5,N$3*$Z$5+$AA$5-1)^0.5)*LOG10(INDEX(FX_Input,AA$5,N$3*$Z$5+$AA$5))-(1.854-(1042/(N628+459.6)))*(INDEX(FX_Input,AA$5,N$3*$Z$5+$AA$5-1)^0.5)+((2416/(N628+459.6)-2.013)*LOG10(INDEX(FX_Input,AA$5,N$3*$Z$5+$AA$5)))-(8742/(N628+459.6))+15.64),EXP(INDEX(Antoines,MATCH(N622,Antoine_Name,0),2)-INDEX(Antoines,MATCH(N622,Antoine_Name,0),3)/(N628+459.6))))),0)</f>
        <v>0</v>
      </c>
      <c r="O633" cm="1">
        <f t="array" ref="O633">IFERROR(IF(O623="Chemical",(10^(INDEX(Antoines,MATCH(O622,Antoine_Name,0),2)-INDEX(Antoines,MATCH(O622,Antoine_Name,0),3)/(INDEX(Antoines,MATCH(O622,Antoine_Name,0),4)+(O628-32)*5/9)))*14.7/760,IF(O623="Crude Oil",EXP((2799/(O628+459.6)-2.227)*LOG10(INDEX(FX_Input,AB$5,O$3*$Z$5+$AA$5))-(7261/(O628+459.6))+12.82),IF(O623="Refined Petroleum Stock",EXP((0.7553-(413/(O628+459.6)))*(INDEX(FX_Input,AB$5,O$3*$Z$5+$AA$5-1)^0.5)*LOG10(INDEX(FX_Input,AB$5,O$3*$Z$5+$AA$5))-(1.854-(1042/(O628+459.6)))*(INDEX(FX_Input,AB$5,O$3*$Z$5+$AA$5-1)^0.5)+((2416/(O628+459.6)-2.013)*LOG10(INDEX(FX_Input,AB$5,O$3*$Z$5+$AA$5)))-(8742/(O628+459.6))+15.64),EXP(INDEX(Antoines,MATCH(O622,Antoine_Name,0),2)-INDEX(Antoines,MATCH(O622,Antoine_Name,0),3)/(O628+459.6))))),0)</f>
        <v>0</v>
      </c>
    </row>
    <row r="634" spans="2:32" ht="17.149999999999999" x14ac:dyDescent="0.55000000000000004">
      <c r="B634" t="str">
        <f t="shared" si="2196"/>
        <v>Portland</v>
      </c>
      <c r="C634" t="s">
        <v>577</v>
      </c>
      <c r="D634">
        <f>D633*D626</f>
        <v>0</v>
      </c>
      <c r="E634">
        <f t="shared" ref="E634" si="2208">E633*E626</f>
        <v>0</v>
      </c>
      <c r="F634">
        <f t="shared" ref="F634" si="2209">F633*F626</f>
        <v>0</v>
      </c>
      <c r="G634">
        <f t="shared" ref="G634" si="2210">G633*G626</f>
        <v>0</v>
      </c>
      <c r="H634">
        <f t="shared" ref="H634" si="2211">H633*H626</f>
        <v>0</v>
      </c>
      <c r="I634">
        <f t="shared" ref="I634" si="2212">I633*I626</f>
        <v>0</v>
      </c>
      <c r="J634">
        <f t="shared" ref="J634" si="2213">J633*J626</f>
        <v>0</v>
      </c>
      <c r="K634">
        <f t="shared" ref="K634" si="2214">K633*K626</f>
        <v>0</v>
      </c>
      <c r="L634">
        <f t="shared" ref="L634" si="2215">L633*L626</f>
        <v>0</v>
      </c>
      <c r="M634">
        <f t="shared" ref="M634" si="2216">M633*M626</f>
        <v>0</v>
      </c>
      <c r="N634">
        <f t="shared" ref="N634" si="2217">N633*N626</f>
        <v>0</v>
      </c>
      <c r="O634">
        <f t="shared" ref="O634" si="2218">O633*O626</f>
        <v>0</v>
      </c>
    </row>
    <row r="635" spans="2:32" ht="17.149999999999999" x14ac:dyDescent="0.55000000000000004">
      <c r="B635" t="str">
        <f t="shared" si="2196"/>
        <v>Portland</v>
      </c>
      <c r="C635" t="s">
        <v>578</v>
      </c>
      <c r="D635">
        <f>D634+D632</f>
        <v>4.739577185808354E-3</v>
      </c>
      <c r="E635">
        <f t="shared" ref="E635" si="2219">E634+E632</f>
        <v>4.8748667780818778E-3</v>
      </c>
      <c r="F635">
        <f t="shared" ref="F635" si="2220">F634+F632</f>
        <v>5.119885034186122E-3</v>
      </c>
      <c r="G635">
        <f t="shared" ref="G635" si="2221">G634+G632</f>
        <v>5.5846958573521795E-3</v>
      </c>
      <c r="H635">
        <f t="shared" ref="H635" si="2222">H634+H632</f>
        <v>6.5274070972739821E-3</v>
      </c>
      <c r="I635">
        <f t="shared" ref="I635" si="2223">I634+I632</f>
        <v>7.4199539958878279E-3</v>
      </c>
      <c r="J635">
        <f t="shared" ref="J635" si="2224">J634+J632</f>
        <v>8.3358107202842254E-3</v>
      </c>
      <c r="K635">
        <f t="shared" ref="K635" si="2225">K634+K632</f>
        <v>8.4605262729351115E-3</v>
      </c>
      <c r="L635">
        <f t="shared" ref="L635" si="2226">L634+L632</f>
        <v>7.8399882233967533E-3</v>
      </c>
      <c r="M635">
        <f t="shared" ref="M635" si="2227">M634+M632</f>
        <v>6.4173462075160911E-3</v>
      </c>
      <c r="N635">
        <f t="shared" ref="N635" si="2228">N634+N632</f>
        <v>5.3015226887581056E-3</v>
      </c>
      <c r="O635">
        <f t="shared" ref="O635" si="2229">O634+O632</f>
        <v>4.68970903600947E-3</v>
      </c>
    </row>
    <row r="636" spans="2:32" ht="17.149999999999999" x14ac:dyDescent="0.55000000000000004">
      <c r="B636" t="str">
        <f t="shared" si="2196"/>
        <v>Portland</v>
      </c>
      <c r="C636" t="s">
        <v>579</v>
      </c>
      <c r="D636" cm="1">
        <f t="array" ref="D636">IFERROR(IF(D621="Chemical",(10^(INDEX(Antoines,MATCH(D620,Antoine_Name,0),2)-INDEX(Antoines,MATCH(D620,Antoine_Name,0),3)/(INDEX(Antoines,MATCH(D620,Antoine_Name,0),4)+(D629-32)*5/9)))*14.7/760,IF(D621="Crude Oil",EXP((2799/(D629+459.6)-2.227)*LOG10(INDEX(FX_Input,Q$5,D$3*$Z$5+$AA$5))-(7261/(D629+459.6))+12.82),IF(D621="Refined Petroleum Stock",EXP((0.7553-(413/(D629+459.6)))*(INDEX(FX_Input,Q$5,D$3*$Z$5+$AA$5-1)^0.5)*LOG10(INDEX(FX_Input,Q$5,D$3*$Z$5+$AA$5))-(1.854-(1042/(D629+459.6)))*(INDEX(FX_Input,Q$5,D$3*$Z$5+$AA$5-1)^0.5)+((2416/(D629+459.6)-2.013)*LOG10(INDEX(FX_Input,Q$5,D$3*$Z$5+$AA$5)))-(8742/(D629+459.6))+15.64),EXP(INDEX(Antoines,MATCH(D620,Antoine_Name,0),2)-INDEX(Antoines,MATCH(D620,Antoine_Name,0),3)/(D629+459.6))))),0)</f>
        <v>4.739577185808354E-3</v>
      </c>
      <c r="E636" cm="1">
        <f t="array" ref="E636">IFERROR(IF(E621="Chemical",(10^(INDEX(Antoines,MATCH(E620,Antoine_Name,0),2)-INDEX(Antoines,MATCH(E620,Antoine_Name,0),3)/(INDEX(Antoines,MATCH(E620,Antoine_Name,0),4)+(E629-32)*5/9)))*14.7/760,IF(E621="Crude Oil",EXP((2799/(E629+459.6)-2.227)*LOG10(INDEX(FX_Input,R$5,E$3*$Z$5+$AA$5))-(7261/(E629+459.6))+12.82),IF(E621="Refined Petroleum Stock",EXP((0.7553-(413/(E629+459.6)))*(INDEX(FX_Input,R$5,E$3*$Z$5+$AA$5-1)^0.5)*LOG10(INDEX(FX_Input,R$5,E$3*$Z$5+$AA$5))-(1.854-(1042/(E629+459.6)))*(INDEX(FX_Input,R$5,E$3*$Z$5+$AA$5-1)^0.5)+((2416/(E629+459.6)-2.013)*LOG10(INDEX(FX_Input,R$5,E$3*$Z$5+$AA$5)))-(8742/(E629+459.6))+15.64),EXP(INDEX(Antoines,MATCH(E620,Antoine_Name,0),2)-INDEX(Antoines,MATCH(E620,Antoine_Name,0),3)/(E629+459.6))))),0)</f>
        <v>4.8748667780818778E-3</v>
      </c>
      <c r="F636" cm="1">
        <f t="array" ref="F636">IFERROR(IF(F621="Chemical",(10^(INDEX(Antoines,MATCH(F620,Antoine_Name,0),2)-INDEX(Antoines,MATCH(F620,Antoine_Name,0),3)/(INDEX(Antoines,MATCH(F620,Antoine_Name,0),4)+(F629-32)*5/9)))*14.7/760,IF(F621="Crude Oil",EXP((2799/(F629+459.6)-2.227)*LOG10(INDEX(FX_Input,S$5,F$3*$Z$5+$AA$5))-(7261/(F629+459.6))+12.82),IF(F621="Refined Petroleum Stock",EXP((0.7553-(413/(F629+459.6)))*(INDEX(FX_Input,S$5,F$3*$Z$5+$AA$5-1)^0.5)*LOG10(INDEX(FX_Input,S$5,F$3*$Z$5+$AA$5))-(1.854-(1042/(F629+459.6)))*(INDEX(FX_Input,S$5,F$3*$Z$5+$AA$5-1)^0.5)+((2416/(F629+459.6)-2.013)*LOG10(INDEX(FX_Input,S$5,F$3*$Z$5+$AA$5)))-(8742/(F629+459.6))+15.64),EXP(INDEX(Antoines,MATCH(F620,Antoine_Name,0),2)-INDEX(Antoines,MATCH(F620,Antoine_Name,0),3)/(F629+459.6))))),0)</f>
        <v>5.119885034186122E-3</v>
      </c>
      <c r="G636" cm="1">
        <f t="array" ref="G636">IFERROR(IF(G621="Chemical",(10^(INDEX(Antoines,MATCH(G620,Antoine_Name,0),2)-INDEX(Antoines,MATCH(G620,Antoine_Name,0),3)/(INDEX(Antoines,MATCH(G620,Antoine_Name,0),4)+(G629-32)*5/9)))*14.7/760,IF(G621="Crude Oil",EXP((2799/(G629+459.6)-2.227)*LOG10(INDEX(FX_Input,T$5,G$3*$Z$5+$AA$5))-(7261/(G629+459.6))+12.82),IF(G621="Refined Petroleum Stock",EXP((0.7553-(413/(G629+459.6)))*(INDEX(FX_Input,T$5,G$3*$Z$5+$AA$5-1)^0.5)*LOG10(INDEX(FX_Input,T$5,G$3*$Z$5+$AA$5))-(1.854-(1042/(G629+459.6)))*(INDEX(FX_Input,T$5,G$3*$Z$5+$AA$5-1)^0.5)+((2416/(G629+459.6)-2.013)*LOG10(INDEX(FX_Input,T$5,G$3*$Z$5+$AA$5)))-(8742/(G629+459.6))+15.64),EXP(INDEX(Antoines,MATCH(G620,Antoine_Name,0),2)-INDEX(Antoines,MATCH(G620,Antoine_Name,0),3)/(G629+459.6))))),0)</f>
        <v>5.5846958573521795E-3</v>
      </c>
      <c r="H636" cm="1">
        <f t="array" ref="H636">IFERROR(IF(H621="Chemical",(10^(INDEX(Antoines,MATCH(H620,Antoine_Name,0),2)-INDEX(Antoines,MATCH(H620,Antoine_Name,0),3)/(INDEX(Antoines,MATCH(H620,Antoine_Name,0),4)+(H629-32)*5/9)))*14.7/760,IF(H621="Crude Oil",EXP((2799/(H629+459.6)-2.227)*LOG10(INDEX(FX_Input,U$5,H$3*$Z$5+$AA$5))-(7261/(H629+459.6))+12.82),IF(H621="Refined Petroleum Stock",EXP((0.7553-(413/(H629+459.6)))*(INDEX(FX_Input,U$5,H$3*$Z$5+$AA$5-1)^0.5)*LOG10(INDEX(FX_Input,U$5,H$3*$Z$5+$AA$5))-(1.854-(1042/(H629+459.6)))*(INDEX(FX_Input,U$5,H$3*$Z$5+$AA$5-1)^0.5)+((2416/(H629+459.6)-2.013)*LOG10(INDEX(FX_Input,U$5,H$3*$Z$5+$AA$5)))-(8742/(H629+459.6))+15.64),EXP(INDEX(Antoines,MATCH(H620,Antoine_Name,0),2)-INDEX(Antoines,MATCH(H620,Antoine_Name,0),3)/(H629+459.6))))),0)</f>
        <v>6.5274070972739821E-3</v>
      </c>
      <c r="I636" cm="1">
        <f t="array" ref="I636">IFERROR(IF(I621="Chemical",(10^(INDEX(Antoines,MATCH(I620,Antoine_Name,0),2)-INDEX(Antoines,MATCH(I620,Antoine_Name,0),3)/(INDEX(Antoines,MATCH(I620,Antoine_Name,0),4)+(I629-32)*5/9)))*14.7/760,IF(I621="Crude Oil",EXP((2799/(I629+459.6)-2.227)*LOG10(INDEX(FX_Input,V$5,I$3*$Z$5+$AA$5))-(7261/(I629+459.6))+12.82),IF(I621="Refined Petroleum Stock",EXP((0.7553-(413/(I629+459.6)))*(INDEX(FX_Input,V$5,I$3*$Z$5+$AA$5-1)^0.5)*LOG10(INDEX(FX_Input,V$5,I$3*$Z$5+$AA$5))-(1.854-(1042/(I629+459.6)))*(INDEX(FX_Input,V$5,I$3*$Z$5+$AA$5-1)^0.5)+((2416/(I629+459.6)-2.013)*LOG10(INDEX(FX_Input,V$5,I$3*$Z$5+$AA$5)))-(8742/(I629+459.6))+15.64),EXP(INDEX(Antoines,MATCH(I620,Antoine_Name,0),2)-INDEX(Antoines,MATCH(I620,Antoine_Name,0),3)/(I629+459.6))))),0)</f>
        <v>7.4199539958878279E-3</v>
      </c>
      <c r="J636" cm="1">
        <f t="array" ref="J636">IFERROR(IF(J621="Chemical",(10^(INDEX(Antoines,MATCH(J620,Antoine_Name,0),2)-INDEX(Antoines,MATCH(J620,Antoine_Name,0),3)/(INDEX(Antoines,MATCH(J620,Antoine_Name,0),4)+(J629-32)*5/9)))*14.7/760,IF(J621="Crude Oil",EXP((2799/(J629+459.6)-2.227)*LOG10(INDEX(FX_Input,W$5,J$3*$Z$5+$AA$5))-(7261/(J629+459.6))+12.82),IF(J621="Refined Petroleum Stock",EXP((0.7553-(413/(J629+459.6)))*(INDEX(FX_Input,W$5,J$3*$Z$5+$AA$5-1)^0.5)*LOG10(INDEX(FX_Input,W$5,J$3*$Z$5+$AA$5))-(1.854-(1042/(J629+459.6)))*(INDEX(FX_Input,W$5,J$3*$Z$5+$AA$5-1)^0.5)+((2416/(J629+459.6)-2.013)*LOG10(INDEX(FX_Input,W$5,J$3*$Z$5+$AA$5)))-(8742/(J629+459.6))+15.64),EXP(INDEX(Antoines,MATCH(J620,Antoine_Name,0),2)-INDEX(Antoines,MATCH(J620,Antoine_Name,0),3)/(J629+459.6))))),0)</f>
        <v>8.3358107202842254E-3</v>
      </c>
      <c r="K636" cm="1">
        <f t="array" ref="K636">IFERROR(IF(K621="Chemical",(10^(INDEX(Antoines,MATCH(K620,Antoine_Name,0),2)-INDEX(Antoines,MATCH(K620,Antoine_Name,0),3)/(INDEX(Antoines,MATCH(K620,Antoine_Name,0),4)+(K629-32)*5/9)))*14.7/760,IF(K621="Crude Oil",EXP((2799/(K629+459.6)-2.227)*LOG10(INDEX(FX_Input,X$5,K$3*$Z$5+$AA$5))-(7261/(K629+459.6))+12.82),IF(K621="Refined Petroleum Stock",EXP((0.7553-(413/(K629+459.6)))*(INDEX(FX_Input,X$5,K$3*$Z$5+$AA$5-1)^0.5)*LOG10(INDEX(FX_Input,X$5,K$3*$Z$5+$AA$5))-(1.854-(1042/(K629+459.6)))*(INDEX(FX_Input,X$5,K$3*$Z$5+$AA$5-1)^0.5)+((2416/(K629+459.6)-2.013)*LOG10(INDEX(FX_Input,X$5,K$3*$Z$5+$AA$5)))-(8742/(K629+459.6))+15.64),EXP(INDEX(Antoines,MATCH(K620,Antoine_Name,0),2)-INDEX(Antoines,MATCH(K620,Antoine_Name,0),3)/(K629+459.6))))),0)</f>
        <v>8.4605262729351115E-3</v>
      </c>
      <c r="L636" cm="1">
        <f t="array" ref="L636">IFERROR(IF(L621="Chemical",(10^(INDEX(Antoines,MATCH(L620,Antoine_Name,0),2)-INDEX(Antoines,MATCH(L620,Antoine_Name,0),3)/(INDEX(Antoines,MATCH(L620,Antoine_Name,0),4)+(L629-32)*5/9)))*14.7/760,IF(L621="Crude Oil",EXP((2799/(L629+459.6)-2.227)*LOG10(INDEX(FX_Input,Y$5,L$3*$Z$5+$AA$5))-(7261/(L629+459.6))+12.82),IF(L621="Refined Petroleum Stock",EXP((0.7553-(413/(L629+459.6)))*(INDEX(FX_Input,Y$5,L$3*$Z$5+$AA$5-1)^0.5)*LOG10(INDEX(FX_Input,Y$5,L$3*$Z$5+$AA$5))-(1.854-(1042/(L629+459.6)))*(INDEX(FX_Input,Y$5,L$3*$Z$5+$AA$5-1)^0.5)+((2416/(L629+459.6)-2.013)*LOG10(INDEX(FX_Input,Y$5,L$3*$Z$5+$AA$5)))-(8742/(L629+459.6))+15.64),EXP(INDEX(Antoines,MATCH(L620,Antoine_Name,0),2)-INDEX(Antoines,MATCH(L620,Antoine_Name,0),3)/(L629+459.6))))),0)</f>
        <v>7.8399882233967533E-3</v>
      </c>
      <c r="M636" cm="1">
        <f t="array" ref="M636">IFERROR(IF(M621="Chemical",(10^(INDEX(Antoines,MATCH(M620,Antoine_Name,0),2)-INDEX(Antoines,MATCH(M620,Antoine_Name,0),3)/(INDEX(Antoines,MATCH(M620,Antoine_Name,0),4)+(M629-32)*5/9)))*14.7/760,IF(M621="Crude Oil",EXP((2799/(M629+459.6)-2.227)*LOG10(INDEX(FX_Input,Z$5,M$3*$Z$5+$AA$5))-(7261/(M629+459.6))+12.82),IF(M621="Refined Petroleum Stock",EXP((0.7553-(413/(M629+459.6)))*(INDEX(FX_Input,Z$5,M$3*$Z$5+$AA$5-1)^0.5)*LOG10(INDEX(FX_Input,Z$5,M$3*$Z$5+$AA$5))-(1.854-(1042/(M629+459.6)))*(INDEX(FX_Input,Z$5,M$3*$Z$5+$AA$5-1)^0.5)+((2416/(M629+459.6)-2.013)*LOG10(INDEX(FX_Input,Z$5,M$3*$Z$5+$AA$5)))-(8742/(M629+459.6))+15.64),EXP(INDEX(Antoines,MATCH(M620,Antoine_Name,0),2)-INDEX(Antoines,MATCH(M620,Antoine_Name,0),3)/(M629+459.6))))),0)</f>
        <v>6.4173462075160911E-3</v>
      </c>
      <c r="N636" cm="1">
        <f t="array" ref="N636">IFERROR(IF(N621="Chemical",(10^(INDEX(Antoines,MATCH(N620,Antoine_Name,0),2)-INDEX(Antoines,MATCH(N620,Antoine_Name,0),3)/(INDEX(Antoines,MATCH(N620,Antoine_Name,0),4)+(N629-32)*5/9)))*14.7/760,IF(N621="Crude Oil",EXP((2799/(N629+459.6)-2.227)*LOG10(INDEX(FX_Input,AA$5,N$3*$Z$5+$AA$5))-(7261/(N629+459.6))+12.82),IF(N621="Refined Petroleum Stock",EXP((0.7553-(413/(N629+459.6)))*(INDEX(FX_Input,AA$5,N$3*$Z$5+$AA$5-1)^0.5)*LOG10(INDEX(FX_Input,AA$5,N$3*$Z$5+$AA$5))-(1.854-(1042/(N629+459.6)))*(INDEX(FX_Input,AA$5,N$3*$Z$5+$AA$5-1)^0.5)+((2416/(N629+459.6)-2.013)*LOG10(INDEX(FX_Input,AA$5,N$3*$Z$5+$AA$5)))-(8742/(N629+459.6))+15.64),EXP(INDEX(Antoines,MATCH(N620,Antoine_Name,0),2)-INDEX(Antoines,MATCH(N620,Antoine_Name,0),3)/(N629+459.6))))),0)</f>
        <v>5.3015226887581056E-3</v>
      </c>
      <c r="O636" cm="1">
        <f t="array" ref="O636">IFERROR(IF(O621="Chemical",(10^(INDEX(Antoines,MATCH(O620,Antoine_Name,0),2)-INDEX(Antoines,MATCH(O620,Antoine_Name,0),3)/(INDEX(Antoines,MATCH(O620,Antoine_Name,0),4)+(O629-32)*5/9)))*14.7/760,IF(O621="Crude Oil",EXP((2799/(O629+459.6)-2.227)*LOG10(INDEX(FX_Input,AB$5,O$3*$Z$5+$AA$5))-(7261/(O629+459.6))+12.82),IF(O621="Refined Petroleum Stock",EXP((0.7553-(413/(O629+459.6)))*(INDEX(FX_Input,AB$5,O$3*$Z$5+$AA$5-1)^0.5)*LOG10(INDEX(FX_Input,AB$5,O$3*$Z$5+$AA$5))-(1.854-(1042/(O629+459.6)))*(INDEX(FX_Input,AB$5,O$3*$Z$5+$AA$5-1)^0.5)+((2416/(O629+459.6)-2.013)*LOG10(INDEX(FX_Input,AB$5,O$3*$Z$5+$AA$5)))-(8742/(O629+459.6))+15.64),EXP(INDEX(Antoines,MATCH(O620,Antoine_Name,0),2)-INDEX(Antoines,MATCH(O620,Antoine_Name,0),3)/(O629+459.6))))),0)</f>
        <v>4.68970903600947E-3</v>
      </c>
    </row>
    <row r="637" spans="2:32" ht="17.149999999999999" x14ac:dyDescent="0.55000000000000004">
      <c r="B637" t="str">
        <f t="shared" si="2196"/>
        <v>Portland</v>
      </c>
      <c r="C637" t="s">
        <v>580</v>
      </c>
      <c r="D637">
        <f>D636*D624</f>
        <v>4.739577185808354E-3</v>
      </c>
      <c r="E637">
        <f t="shared" ref="E637" si="2230">E636*E624</f>
        <v>4.8748667780818778E-3</v>
      </c>
      <c r="F637">
        <f t="shared" ref="F637" si="2231">F636*F624</f>
        <v>5.119885034186122E-3</v>
      </c>
      <c r="G637">
        <f t="shared" ref="G637" si="2232">G636*G624</f>
        <v>5.5846958573521795E-3</v>
      </c>
      <c r="H637">
        <f t="shared" ref="H637" si="2233">H636*H624</f>
        <v>6.5274070972739821E-3</v>
      </c>
      <c r="I637">
        <f t="shared" ref="I637" si="2234">I636*I624</f>
        <v>7.4199539958878279E-3</v>
      </c>
      <c r="J637">
        <f t="shared" ref="J637" si="2235">J636*J624</f>
        <v>8.3358107202842254E-3</v>
      </c>
      <c r="K637">
        <f t="shared" ref="K637" si="2236">K636*K624</f>
        <v>8.4605262729351115E-3</v>
      </c>
      <c r="L637">
        <f t="shared" ref="L637" si="2237">L636*L624</f>
        <v>7.8399882233967533E-3</v>
      </c>
      <c r="M637">
        <f t="shared" ref="M637" si="2238">M636*M624</f>
        <v>6.4173462075160911E-3</v>
      </c>
      <c r="N637">
        <f t="shared" ref="N637" si="2239">N636*N624</f>
        <v>5.3015226887581056E-3</v>
      </c>
      <c r="O637">
        <f t="shared" ref="O637" si="2240">O636*O624</f>
        <v>4.68970903600947E-3</v>
      </c>
    </row>
    <row r="638" spans="2:32" ht="17.149999999999999" x14ac:dyDescent="0.55000000000000004">
      <c r="B638" t="str">
        <f t="shared" si="2196"/>
        <v>Portland</v>
      </c>
      <c r="C638" t="s">
        <v>581</v>
      </c>
      <c r="D638" cm="1">
        <f t="array" ref="D638">IFERROR(IF(D623="Chemical",(10^(INDEX(Antoines,MATCH(D622,Antoine_Name,0),2)-INDEX(Antoines,MATCH(D622,Antoine_Name,0),3)/(INDEX(Antoines,MATCH(D622,Antoine_Name,0),4)+(D629-32)*5/9)))*14.7/760,IF(D623="Crude Oil",EXP((2799/(D629+459.6)-2.227)*LOG10(INDEX(FX_Input,Q$5,D$3*$Z$5+$AA$5))-(7261/(D629+459.6))+12.82),IF(D623="Refined Petroleum Stock",EXP((0.7553-(413/(D629+459.6)))*(INDEX(FX_Input,Q$5,D$3*$Z$5+$AA$5-1)^0.5)*LOG10(INDEX(FX_Input,Q$5,D$3*$Z$5+$AA$5))-(1.854-(1042/(D629+459.6)))*(INDEX(FX_Input,Q$5,D$3*$Z$5+$AA$5-1)^0.5)+((2416/(D629+459.6)-2.013)*LOG10(INDEX(FX_Input,Q$5,D$3*$Z$5+$AA$5)))-(8742/(D629+459.6))+15.64),EXP(INDEX(Antoines,MATCH(D622,Antoine_Name,0),2)-INDEX(Antoines,MATCH(D622,Antoine_Name,0),3)/(D629+459.6))))),0)</f>
        <v>0</v>
      </c>
      <c r="E638" cm="1">
        <f t="array" ref="E638">IFERROR(IF(E623="Chemical",(10^(INDEX(Antoines,MATCH(E622,Antoine_Name,0),2)-INDEX(Antoines,MATCH(E622,Antoine_Name,0),3)/(INDEX(Antoines,MATCH(E622,Antoine_Name,0),4)+(E629-32)*5/9)))*14.7/760,IF(E623="Crude Oil",EXP((2799/(E629+459.6)-2.227)*LOG10(INDEX(FX_Input,R$5,E$3*$Z$5+$AA$5))-(7261/(E629+459.6))+12.82),IF(E623="Refined Petroleum Stock",EXP((0.7553-(413/(E629+459.6)))*(INDEX(FX_Input,R$5,E$3*$Z$5+$AA$5-1)^0.5)*LOG10(INDEX(FX_Input,R$5,E$3*$Z$5+$AA$5))-(1.854-(1042/(E629+459.6)))*(INDEX(FX_Input,R$5,E$3*$Z$5+$AA$5-1)^0.5)+((2416/(E629+459.6)-2.013)*LOG10(INDEX(FX_Input,R$5,E$3*$Z$5+$AA$5)))-(8742/(E629+459.6))+15.64),EXP(INDEX(Antoines,MATCH(E622,Antoine_Name,0),2)-INDEX(Antoines,MATCH(E622,Antoine_Name,0),3)/(E629+459.6))))),0)</f>
        <v>0</v>
      </c>
      <c r="F638" cm="1">
        <f t="array" ref="F638">IFERROR(IF(F623="Chemical",(10^(INDEX(Antoines,MATCH(F622,Antoine_Name,0),2)-INDEX(Antoines,MATCH(F622,Antoine_Name,0),3)/(INDEX(Antoines,MATCH(F622,Antoine_Name,0),4)+(F629-32)*5/9)))*14.7/760,IF(F623="Crude Oil",EXP((2799/(F629+459.6)-2.227)*LOG10(INDEX(FX_Input,S$5,F$3*$Z$5+$AA$5))-(7261/(F629+459.6))+12.82),IF(F623="Refined Petroleum Stock",EXP((0.7553-(413/(F629+459.6)))*(INDEX(FX_Input,S$5,F$3*$Z$5+$AA$5-1)^0.5)*LOG10(INDEX(FX_Input,S$5,F$3*$Z$5+$AA$5))-(1.854-(1042/(F629+459.6)))*(INDEX(FX_Input,S$5,F$3*$Z$5+$AA$5-1)^0.5)+((2416/(F629+459.6)-2.013)*LOG10(INDEX(FX_Input,S$5,F$3*$Z$5+$AA$5)))-(8742/(F629+459.6))+15.64),EXP(INDEX(Antoines,MATCH(F622,Antoine_Name,0),2)-INDEX(Antoines,MATCH(F622,Antoine_Name,0),3)/(F629+459.6))))),0)</f>
        <v>0</v>
      </c>
      <c r="G638" cm="1">
        <f t="array" ref="G638">IFERROR(IF(G623="Chemical",(10^(INDEX(Antoines,MATCH(G622,Antoine_Name,0),2)-INDEX(Antoines,MATCH(G622,Antoine_Name,0),3)/(INDEX(Antoines,MATCH(G622,Antoine_Name,0),4)+(G629-32)*5/9)))*14.7/760,IF(G623="Crude Oil",EXP((2799/(G629+459.6)-2.227)*LOG10(INDEX(FX_Input,T$5,G$3*$Z$5+$AA$5))-(7261/(G629+459.6))+12.82),IF(G623="Refined Petroleum Stock",EXP((0.7553-(413/(G629+459.6)))*(INDEX(FX_Input,T$5,G$3*$Z$5+$AA$5-1)^0.5)*LOG10(INDEX(FX_Input,T$5,G$3*$Z$5+$AA$5))-(1.854-(1042/(G629+459.6)))*(INDEX(FX_Input,T$5,G$3*$Z$5+$AA$5-1)^0.5)+((2416/(G629+459.6)-2.013)*LOG10(INDEX(FX_Input,T$5,G$3*$Z$5+$AA$5)))-(8742/(G629+459.6))+15.64),EXP(INDEX(Antoines,MATCH(G622,Antoine_Name,0),2)-INDEX(Antoines,MATCH(G622,Antoine_Name,0),3)/(G629+459.6))))),0)</f>
        <v>0</v>
      </c>
      <c r="H638" cm="1">
        <f t="array" ref="H638">IFERROR(IF(H623="Chemical",(10^(INDEX(Antoines,MATCH(H622,Antoine_Name,0),2)-INDEX(Antoines,MATCH(H622,Antoine_Name,0),3)/(INDEX(Antoines,MATCH(H622,Antoine_Name,0),4)+(H629-32)*5/9)))*14.7/760,IF(H623="Crude Oil",EXP((2799/(H629+459.6)-2.227)*LOG10(INDEX(FX_Input,U$5,H$3*$Z$5+$AA$5))-(7261/(H629+459.6))+12.82),IF(H623="Refined Petroleum Stock",EXP((0.7553-(413/(H629+459.6)))*(INDEX(FX_Input,U$5,H$3*$Z$5+$AA$5-1)^0.5)*LOG10(INDEX(FX_Input,U$5,H$3*$Z$5+$AA$5))-(1.854-(1042/(H629+459.6)))*(INDEX(FX_Input,U$5,H$3*$Z$5+$AA$5-1)^0.5)+((2416/(H629+459.6)-2.013)*LOG10(INDEX(FX_Input,U$5,H$3*$Z$5+$AA$5)))-(8742/(H629+459.6))+15.64),EXP(INDEX(Antoines,MATCH(H622,Antoine_Name,0),2)-INDEX(Antoines,MATCH(H622,Antoine_Name,0),3)/(H629+459.6))))),0)</f>
        <v>0</v>
      </c>
      <c r="I638" cm="1">
        <f t="array" ref="I638">IFERROR(IF(I623="Chemical",(10^(INDEX(Antoines,MATCH(I622,Antoine_Name,0),2)-INDEX(Antoines,MATCH(I622,Antoine_Name,0),3)/(INDEX(Antoines,MATCH(I622,Antoine_Name,0),4)+(I629-32)*5/9)))*14.7/760,IF(I623="Crude Oil",EXP((2799/(I629+459.6)-2.227)*LOG10(INDEX(FX_Input,V$5,I$3*$Z$5+$AA$5))-(7261/(I629+459.6))+12.82),IF(I623="Refined Petroleum Stock",EXP((0.7553-(413/(I629+459.6)))*(INDEX(FX_Input,V$5,I$3*$Z$5+$AA$5-1)^0.5)*LOG10(INDEX(FX_Input,V$5,I$3*$Z$5+$AA$5))-(1.854-(1042/(I629+459.6)))*(INDEX(FX_Input,V$5,I$3*$Z$5+$AA$5-1)^0.5)+((2416/(I629+459.6)-2.013)*LOG10(INDEX(FX_Input,V$5,I$3*$Z$5+$AA$5)))-(8742/(I629+459.6))+15.64),EXP(INDEX(Antoines,MATCH(I622,Antoine_Name,0),2)-INDEX(Antoines,MATCH(I622,Antoine_Name,0),3)/(I629+459.6))))),0)</f>
        <v>0</v>
      </c>
      <c r="J638" cm="1">
        <f t="array" ref="J638">IFERROR(IF(J623="Chemical",(10^(INDEX(Antoines,MATCH(J622,Antoine_Name,0),2)-INDEX(Antoines,MATCH(J622,Antoine_Name,0),3)/(INDEX(Antoines,MATCH(J622,Antoine_Name,0),4)+(J629-32)*5/9)))*14.7/760,IF(J623="Crude Oil",EXP((2799/(J629+459.6)-2.227)*LOG10(INDEX(FX_Input,W$5,J$3*$Z$5+$AA$5))-(7261/(J629+459.6))+12.82),IF(J623="Refined Petroleum Stock",EXP((0.7553-(413/(J629+459.6)))*(INDEX(FX_Input,W$5,J$3*$Z$5+$AA$5-1)^0.5)*LOG10(INDEX(FX_Input,W$5,J$3*$Z$5+$AA$5))-(1.854-(1042/(J629+459.6)))*(INDEX(FX_Input,W$5,J$3*$Z$5+$AA$5-1)^0.5)+((2416/(J629+459.6)-2.013)*LOG10(INDEX(FX_Input,W$5,J$3*$Z$5+$AA$5)))-(8742/(J629+459.6))+15.64),EXP(INDEX(Antoines,MATCH(J622,Antoine_Name,0),2)-INDEX(Antoines,MATCH(J622,Antoine_Name,0),3)/(J629+459.6))))),0)</f>
        <v>0</v>
      </c>
      <c r="K638" cm="1">
        <f t="array" ref="K638">IFERROR(IF(K623="Chemical",(10^(INDEX(Antoines,MATCH(K622,Antoine_Name,0),2)-INDEX(Antoines,MATCH(K622,Antoine_Name,0),3)/(INDEX(Antoines,MATCH(K622,Antoine_Name,0),4)+(K629-32)*5/9)))*14.7/760,IF(K623="Crude Oil",EXP((2799/(K629+459.6)-2.227)*LOG10(INDEX(FX_Input,X$5,K$3*$Z$5+$AA$5))-(7261/(K629+459.6))+12.82),IF(K623="Refined Petroleum Stock",EXP((0.7553-(413/(K629+459.6)))*(INDEX(FX_Input,X$5,K$3*$Z$5+$AA$5-1)^0.5)*LOG10(INDEX(FX_Input,X$5,K$3*$Z$5+$AA$5))-(1.854-(1042/(K629+459.6)))*(INDEX(FX_Input,X$5,K$3*$Z$5+$AA$5-1)^0.5)+((2416/(K629+459.6)-2.013)*LOG10(INDEX(FX_Input,X$5,K$3*$Z$5+$AA$5)))-(8742/(K629+459.6))+15.64),EXP(INDEX(Antoines,MATCH(K622,Antoine_Name,0),2)-INDEX(Antoines,MATCH(K622,Antoine_Name,0),3)/(K629+459.6))))),0)</f>
        <v>0</v>
      </c>
      <c r="L638" cm="1">
        <f t="array" ref="L638">IFERROR(IF(L623="Chemical",(10^(INDEX(Antoines,MATCH(L622,Antoine_Name,0),2)-INDEX(Antoines,MATCH(L622,Antoine_Name,0),3)/(INDEX(Antoines,MATCH(L622,Antoine_Name,0),4)+(L629-32)*5/9)))*14.7/760,IF(L623="Crude Oil",EXP((2799/(L629+459.6)-2.227)*LOG10(INDEX(FX_Input,Y$5,L$3*$Z$5+$AA$5))-(7261/(L629+459.6))+12.82),IF(L623="Refined Petroleum Stock",EXP((0.7553-(413/(L629+459.6)))*(INDEX(FX_Input,Y$5,L$3*$Z$5+$AA$5-1)^0.5)*LOG10(INDEX(FX_Input,Y$5,L$3*$Z$5+$AA$5))-(1.854-(1042/(L629+459.6)))*(INDEX(FX_Input,Y$5,L$3*$Z$5+$AA$5-1)^0.5)+((2416/(L629+459.6)-2.013)*LOG10(INDEX(FX_Input,Y$5,L$3*$Z$5+$AA$5)))-(8742/(L629+459.6))+15.64),EXP(INDEX(Antoines,MATCH(L622,Antoine_Name,0),2)-INDEX(Antoines,MATCH(L622,Antoine_Name,0),3)/(L629+459.6))))),0)</f>
        <v>0</v>
      </c>
      <c r="M638" cm="1">
        <f t="array" ref="M638">IFERROR(IF(M623="Chemical",(10^(INDEX(Antoines,MATCH(M622,Antoine_Name,0),2)-INDEX(Antoines,MATCH(M622,Antoine_Name,0),3)/(INDEX(Antoines,MATCH(M622,Antoine_Name,0),4)+(M629-32)*5/9)))*14.7/760,IF(M623="Crude Oil",EXP((2799/(M629+459.6)-2.227)*LOG10(INDEX(FX_Input,Z$5,M$3*$Z$5+$AA$5))-(7261/(M629+459.6))+12.82),IF(M623="Refined Petroleum Stock",EXP((0.7553-(413/(M629+459.6)))*(INDEX(FX_Input,Z$5,M$3*$Z$5+$AA$5-1)^0.5)*LOG10(INDEX(FX_Input,Z$5,M$3*$Z$5+$AA$5))-(1.854-(1042/(M629+459.6)))*(INDEX(FX_Input,Z$5,M$3*$Z$5+$AA$5-1)^0.5)+((2416/(M629+459.6)-2.013)*LOG10(INDEX(FX_Input,Z$5,M$3*$Z$5+$AA$5)))-(8742/(M629+459.6))+15.64),EXP(INDEX(Antoines,MATCH(M622,Antoine_Name,0),2)-INDEX(Antoines,MATCH(M622,Antoine_Name,0),3)/(M629+459.6))))),0)</f>
        <v>0</v>
      </c>
      <c r="N638" cm="1">
        <f t="array" ref="N638">IFERROR(IF(N623="Chemical",(10^(INDEX(Antoines,MATCH(N622,Antoine_Name,0),2)-INDEX(Antoines,MATCH(N622,Antoine_Name,0),3)/(INDEX(Antoines,MATCH(N622,Antoine_Name,0),4)+(N629-32)*5/9)))*14.7/760,IF(N623="Crude Oil",EXP((2799/(N629+459.6)-2.227)*LOG10(INDEX(FX_Input,AA$5,N$3*$Z$5+$AA$5))-(7261/(N629+459.6))+12.82),IF(N623="Refined Petroleum Stock",EXP((0.7553-(413/(N629+459.6)))*(INDEX(FX_Input,AA$5,N$3*$Z$5+$AA$5-1)^0.5)*LOG10(INDEX(FX_Input,AA$5,N$3*$Z$5+$AA$5))-(1.854-(1042/(N629+459.6)))*(INDEX(FX_Input,AA$5,N$3*$Z$5+$AA$5-1)^0.5)+((2416/(N629+459.6)-2.013)*LOG10(INDEX(FX_Input,AA$5,N$3*$Z$5+$AA$5)))-(8742/(N629+459.6))+15.64),EXP(INDEX(Antoines,MATCH(N622,Antoine_Name,0),2)-INDEX(Antoines,MATCH(N622,Antoine_Name,0),3)/(N629+459.6))))),0)</f>
        <v>0</v>
      </c>
      <c r="O638" cm="1">
        <f t="array" ref="O638">IFERROR(IF(O623="Chemical",(10^(INDEX(Antoines,MATCH(O622,Antoine_Name,0),2)-INDEX(Antoines,MATCH(O622,Antoine_Name,0),3)/(INDEX(Antoines,MATCH(O622,Antoine_Name,0),4)+(O629-32)*5/9)))*14.7/760,IF(O623="Crude Oil",EXP((2799/(O629+459.6)-2.227)*LOG10(INDEX(FX_Input,AB$5,O$3*$Z$5+$AA$5))-(7261/(O629+459.6))+12.82),IF(O623="Refined Petroleum Stock",EXP((0.7553-(413/(O629+459.6)))*(INDEX(FX_Input,AB$5,O$3*$Z$5+$AA$5-1)^0.5)*LOG10(INDEX(FX_Input,AB$5,O$3*$Z$5+$AA$5))-(1.854-(1042/(O629+459.6)))*(INDEX(FX_Input,AB$5,O$3*$Z$5+$AA$5-1)^0.5)+((2416/(O629+459.6)-2.013)*LOG10(INDEX(FX_Input,AB$5,O$3*$Z$5+$AA$5)))-(8742/(O629+459.6))+15.64),EXP(INDEX(Antoines,MATCH(O622,Antoine_Name,0),2)-INDEX(Antoines,MATCH(O622,Antoine_Name,0),3)/(O629+459.6))))),0)</f>
        <v>0</v>
      </c>
    </row>
    <row r="639" spans="2:32" ht="17.149999999999999" x14ac:dyDescent="0.55000000000000004">
      <c r="B639" t="str">
        <f t="shared" si="2196"/>
        <v>Portland</v>
      </c>
      <c r="C639" t="s">
        <v>582</v>
      </c>
      <c r="D639">
        <f>D638*D626</f>
        <v>0</v>
      </c>
      <c r="E639">
        <f t="shared" ref="E639" si="2241">E638*E626</f>
        <v>0</v>
      </c>
      <c r="F639">
        <f t="shared" ref="F639" si="2242">F638*F626</f>
        <v>0</v>
      </c>
      <c r="G639">
        <f t="shared" ref="G639" si="2243">G638*G626</f>
        <v>0</v>
      </c>
      <c r="H639">
        <f t="shared" ref="H639" si="2244">H638*H626</f>
        <v>0</v>
      </c>
      <c r="I639">
        <f t="shared" ref="I639" si="2245">I638*I626</f>
        <v>0</v>
      </c>
      <c r="J639">
        <f t="shared" ref="J639" si="2246">J638*J626</f>
        <v>0</v>
      </c>
      <c r="K639">
        <f t="shared" ref="K639" si="2247">K638*K626</f>
        <v>0</v>
      </c>
      <c r="L639">
        <f t="shared" ref="L639" si="2248">L638*L626</f>
        <v>0</v>
      </c>
      <c r="M639">
        <f t="shared" ref="M639" si="2249">M638*M626</f>
        <v>0</v>
      </c>
      <c r="N639">
        <f t="shared" ref="N639" si="2250">N638*N626</f>
        <v>0</v>
      </c>
      <c r="O639">
        <f t="shared" ref="O639" si="2251">O638*O626</f>
        <v>0</v>
      </c>
    </row>
    <row r="640" spans="2:32" ht="17.149999999999999" x14ac:dyDescent="0.55000000000000004">
      <c r="B640" t="str">
        <f t="shared" si="2196"/>
        <v>Portland</v>
      </c>
      <c r="C640" t="s">
        <v>583</v>
      </c>
      <c r="D640">
        <f>D637+D639</f>
        <v>4.739577185808354E-3</v>
      </c>
      <c r="E640">
        <f t="shared" ref="E640" si="2252">E637+E639</f>
        <v>4.8748667780818778E-3</v>
      </c>
      <c r="F640">
        <f t="shared" ref="F640" si="2253">F637+F639</f>
        <v>5.119885034186122E-3</v>
      </c>
      <c r="G640">
        <f t="shared" ref="G640" si="2254">G637+G639</f>
        <v>5.5846958573521795E-3</v>
      </c>
      <c r="H640">
        <f t="shared" ref="H640" si="2255">H637+H639</f>
        <v>6.5274070972739821E-3</v>
      </c>
      <c r="I640">
        <f t="shared" ref="I640" si="2256">I637+I639</f>
        <v>7.4199539958878279E-3</v>
      </c>
      <c r="J640">
        <f t="shared" ref="J640" si="2257">J637+J639</f>
        <v>8.3358107202842254E-3</v>
      </c>
      <c r="K640">
        <f t="shared" ref="K640" si="2258">K637+K639</f>
        <v>8.4605262729351115E-3</v>
      </c>
      <c r="L640">
        <f t="shared" ref="L640" si="2259">L637+L639</f>
        <v>7.8399882233967533E-3</v>
      </c>
      <c r="M640">
        <f t="shared" ref="M640" si="2260">M637+M639</f>
        <v>6.4173462075160911E-3</v>
      </c>
      <c r="N640">
        <f t="shared" ref="N640" si="2261">N637+N639</f>
        <v>5.3015226887581056E-3</v>
      </c>
      <c r="O640">
        <f t="shared" ref="O640" si="2262">O637+O639</f>
        <v>4.68970903600947E-3</v>
      </c>
    </row>
    <row r="641" spans="1:32" ht="17.149999999999999" x14ac:dyDescent="0.55000000000000004">
      <c r="B641" t="str">
        <f t="shared" si="2196"/>
        <v>Portland</v>
      </c>
      <c r="C641" t="s">
        <v>1388</v>
      </c>
      <c r="D641" cm="1">
        <f t="array" ref="D641">IFERROR(IF(D621="Chemical",(10^(INDEX(Antoines,MATCH(D620,Antoine_Name,0),2)-INDEX(Antoines,MATCH(D620,Antoine_Name,0),3)/(INDEX(Antoines,MATCH(D620,Antoine_Name,0),4)+(D630-32)*5/9)))*14.7/760,IF(D621="Crude Oil",EXP((2799/(D630+459.6)-2.227)*LOG10(INDEX(FX_Input,Q$5,D$3*$Z$5+$AA$5))-(7261/(D630+459.6))+12.82),IF(D621="Refined Petroleum Stock",EXP((0.7553-(413/(D630+459.6)))*(INDEX(FX_Input,Q$5,D$3*$Z$5+$AA$5-1)^0.5)*LOG10(INDEX(FX_Input,Q$5,D$3*$Z$5+$AA$5))-(1.854-(1042/(D630+459.6)))*(INDEX(FX_Input,Q$5,D$3*$Z$5+$AA$5-1)^0.5)+((2416/(D630+459.6)-2.013)*LOG10(INDEX(FX_Input,Q$5,D$3*$Z$5+$AA$5)))-(8742/(D630+459.6))+15.64),EXP(INDEX(Antoines,MATCH(D620,Antoine_Name,0),2)-INDEX(Antoines,MATCH(D620,Antoine_Name,0),3)/(D630+459.6))))),0)</f>
        <v>4.739577185808354E-3</v>
      </c>
      <c r="E641" cm="1">
        <f t="array" ref="E641">IFERROR(IF(E621="Chemical",(10^(INDEX(Antoines,MATCH(E620,Antoine_Name,0),2)-INDEX(Antoines,MATCH(E620,Antoine_Name,0),3)/(INDEX(Antoines,MATCH(E620,Antoine_Name,0),4)+(E630-32)*5/9)))*14.7/760,IF(E621="Crude Oil",EXP((2799/(E630+459.6)-2.227)*LOG10(INDEX(FX_Input,R$5,E$3*$Z$5+$AA$5))-(7261/(E630+459.6))+12.82),IF(E621="Refined Petroleum Stock",EXP((0.7553-(413/(E630+459.6)))*(INDEX(FX_Input,R$5,E$3*$Z$5+$AA$5-1)^0.5)*LOG10(INDEX(FX_Input,R$5,E$3*$Z$5+$AA$5))-(1.854-(1042/(E630+459.6)))*(INDEX(FX_Input,R$5,E$3*$Z$5+$AA$5-1)^0.5)+((2416/(E630+459.6)-2.013)*LOG10(INDEX(FX_Input,R$5,E$3*$Z$5+$AA$5)))-(8742/(E630+459.6))+15.64),EXP(INDEX(Antoines,MATCH(E620,Antoine_Name,0),2)-INDEX(Antoines,MATCH(E620,Antoine_Name,0),3)/(E630+459.6))))),0)</f>
        <v>4.8748667780818778E-3</v>
      </c>
      <c r="F641" cm="1">
        <f t="array" ref="F641">IFERROR(IF(F621="Chemical",(10^(INDEX(Antoines,MATCH(F620,Antoine_Name,0),2)-INDEX(Antoines,MATCH(F620,Antoine_Name,0),3)/(INDEX(Antoines,MATCH(F620,Antoine_Name,0),4)+(F630-32)*5/9)))*14.7/760,IF(F621="Crude Oil",EXP((2799/(F630+459.6)-2.227)*LOG10(INDEX(FX_Input,S$5,F$3*$Z$5+$AA$5))-(7261/(F630+459.6))+12.82),IF(F621="Refined Petroleum Stock",EXP((0.7553-(413/(F630+459.6)))*(INDEX(FX_Input,S$5,F$3*$Z$5+$AA$5-1)^0.5)*LOG10(INDEX(FX_Input,S$5,F$3*$Z$5+$AA$5))-(1.854-(1042/(F630+459.6)))*(INDEX(FX_Input,S$5,F$3*$Z$5+$AA$5-1)^0.5)+((2416/(F630+459.6)-2.013)*LOG10(INDEX(FX_Input,S$5,F$3*$Z$5+$AA$5)))-(8742/(F630+459.6))+15.64),EXP(INDEX(Antoines,MATCH(F620,Antoine_Name,0),2)-INDEX(Antoines,MATCH(F620,Antoine_Name,0),3)/(F630+459.6))))),0)</f>
        <v>5.119885034186122E-3</v>
      </c>
      <c r="G641" cm="1">
        <f t="array" ref="G641">IFERROR(IF(G621="Chemical",(10^(INDEX(Antoines,MATCH(G620,Antoine_Name,0),2)-INDEX(Antoines,MATCH(G620,Antoine_Name,0),3)/(INDEX(Antoines,MATCH(G620,Antoine_Name,0),4)+(G630-32)*5/9)))*14.7/760,IF(G621="Crude Oil",EXP((2799/(G630+459.6)-2.227)*LOG10(INDEX(FX_Input,T$5,G$3*$Z$5+$AA$5))-(7261/(G630+459.6))+12.82),IF(G621="Refined Petroleum Stock",EXP((0.7553-(413/(G630+459.6)))*(INDEX(FX_Input,T$5,G$3*$Z$5+$AA$5-1)^0.5)*LOG10(INDEX(FX_Input,T$5,G$3*$Z$5+$AA$5))-(1.854-(1042/(G630+459.6)))*(INDEX(FX_Input,T$5,G$3*$Z$5+$AA$5-1)^0.5)+((2416/(G630+459.6)-2.013)*LOG10(INDEX(FX_Input,T$5,G$3*$Z$5+$AA$5)))-(8742/(G630+459.6))+15.64),EXP(INDEX(Antoines,MATCH(G620,Antoine_Name,0),2)-INDEX(Antoines,MATCH(G620,Antoine_Name,0),3)/(G630+459.6))))),0)</f>
        <v>5.5846958573521795E-3</v>
      </c>
      <c r="H641" cm="1">
        <f t="array" ref="H641">IFERROR(IF(H621="Chemical",(10^(INDEX(Antoines,MATCH(H620,Antoine_Name,0),2)-INDEX(Antoines,MATCH(H620,Antoine_Name,0),3)/(INDEX(Antoines,MATCH(H620,Antoine_Name,0),4)+(H630-32)*5/9)))*14.7/760,IF(H621="Crude Oil",EXP((2799/(H630+459.6)-2.227)*LOG10(INDEX(FX_Input,U$5,H$3*$Z$5+$AA$5))-(7261/(H630+459.6))+12.82),IF(H621="Refined Petroleum Stock",EXP((0.7553-(413/(H630+459.6)))*(INDEX(FX_Input,U$5,H$3*$Z$5+$AA$5-1)^0.5)*LOG10(INDEX(FX_Input,U$5,H$3*$Z$5+$AA$5))-(1.854-(1042/(H630+459.6)))*(INDEX(FX_Input,U$5,H$3*$Z$5+$AA$5-1)^0.5)+((2416/(H630+459.6)-2.013)*LOG10(INDEX(FX_Input,U$5,H$3*$Z$5+$AA$5)))-(8742/(H630+459.6))+15.64),EXP(INDEX(Antoines,MATCH(H620,Antoine_Name,0),2)-INDEX(Antoines,MATCH(H620,Antoine_Name,0),3)/(H630+459.6))))),0)</f>
        <v>6.5274070972739821E-3</v>
      </c>
      <c r="I641" cm="1">
        <f t="array" ref="I641">IFERROR(IF(I621="Chemical",(10^(INDEX(Antoines,MATCH(I620,Antoine_Name,0),2)-INDEX(Antoines,MATCH(I620,Antoine_Name,0),3)/(INDEX(Antoines,MATCH(I620,Antoine_Name,0),4)+(I630-32)*5/9)))*14.7/760,IF(I621="Crude Oil",EXP((2799/(I630+459.6)-2.227)*LOG10(INDEX(FX_Input,V$5,I$3*$Z$5+$AA$5))-(7261/(I630+459.6))+12.82),IF(I621="Refined Petroleum Stock",EXP((0.7553-(413/(I630+459.6)))*(INDEX(FX_Input,V$5,I$3*$Z$5+$AA$5-1)^0.5)*LOG10(INDEX(FX_Input,V$5,I$3*$Z$5+$AA$5))-(1.854-(1042/(I630+459.6)))*(INDEX(FX_Input,V$5,I$3*$Z$5+$AA$5-1)^0.5)+((2416/(I630+459.6)-2.013)*LOG10(INDEX(FX_Input,V$5,I$3*$Z$5+$AA$5)))-(8742/(I630+459.6))+15.64),EXP(INDEX(Antoines,MATCH(I620,Antoine_Name,0),2)-INDEX(Antoines,MATCH(I620,Antoine_Name,0),3)/(I630+459.6))))),0)</f>
        <v>7.4199539958878279E-3</v>
      </c>
      <c r="J641" cm="1">
        <f t="array" ref="J641">IFERROR(IF(J621="Chemical",(10^(INDEX(Antoines,MATCH(J620,Antoine_Name,0),2)-INDEX(Antoines,MATCH(J620,Antoine_Name,0),3)/(INDEX(Antoines,MATCH(J620,Antoine_Name,0),4)+(J630-32)*5/9)))*14.7/760,IF(J621="Crude Oil",EXP((2799/(J630+459.6)-2.227)*LOG10(INDEX(FX_Input,W$5,J$3*$Z$5+$AA$5))-(7261/(J630+459.6))+12.82),IF(J621="Refined Petroleum Stock",EXP((0.7553-(413/(J630+459.6)))*(INDEX(FX_Input,W$5,J$3*$Z$5+$AA$5-1)^0.5)*LOG10(INDEX(FX_Input,W$5,J$3*$Z$5+$AA$5))-(1.854-(1042/(J630+459.6)))*(INDEX(FX_Input,W$5,J$3*$Z$5+$AA$5-1)^0.5)+((2416/(J630+459.6)-2.013)*LOG10(INDEX(FX_Input,W$5,J$3*$Z$5+$AA$5)))-(8742/(J630+459.6))+15.64),EXP(INDEX(Antoines,MATCH(J620,Antoine_Name,0),2)-INDEX(Antoines,MATCH(J620,Antoine_Name,0),3)/(J630+459.6))))),0)</f>
        <v>8.3358107202842254E-3</v>
      </c>
      <c r="K641" cm="1">
        <f t="array" ref="K641">IFERROR(IF(K621="Chemical",(10^(INDEX(Antoines,MATCH(K620,Antoine_Name,0),2)-INDEX(Antoines,MATCH(K620,Antoine_Name,0),3)/(INDEX(Antoines,MATCH(K620,Antoine_Name,0),4)+(K630-32)*5/9)))*14.7/760,IF(K621="Crude Oil",EXP((2799/(K630+459.6)-2.227)*LOG10(INDEX(FX_Input,X$5,K$3*$Z$5+$AA$5))-(7261/(K630+459.6))+12.82),IF(K621="Refined Petroleum Stock",EXP((0.7553-(413/(K630+459.6)))*(INDEX(FX_Input,X$5,K$3*$Z$5+$AA$5-1)^0.5)*LOG10(INDEX(FX_Input,X$5,K$3*$Z$5+$AA$5))-(1.854-(1042/(K630+459.6)))*(INDEX(FX_Input,X$5,K$3*$Z$5+$AA$5-1)^0.5)+((2416/(K630+459.6)-2.013)*LOG10(INDEX(FX_Input,X$5,K$3*$Z$5+$AA$5)))-(8742/(K630+459.6))+15.64),EXP(INDEX(Antoines,MATCH(K620,Antoine_Name,0),2)-INDEX(Antoines,MATCH(K620,Antoine_Name,0),3)/(K630+459.6))))),0)</f>
        <v>8.4605262729351115E-3</v>
      </c>
      <c r="L641" cm="1">
        <f t="array" ref="L641">IFERROR(IF(L621="Chemical",(10^(INDEX(Antoines,MATCH(L620,Antoine_Name,0),2)-INDEX(Antoines,MATCH(L620,Antoine_Name,0),3)/(INDEX(Antoines,MATCH(L620,Antoine_Name,0),4)+(L630-32)*5/9)))*14.7/760,IF(L621="Crude Oil",EXP((2799/(L630+459.6)-2.227)*LOG10(INDEX(FX_Input,Y$5,L$3*$Z$5+$AA$5))-(7261/(L630+459.6))+12.82),IF(L621="Refined Petroleum Stock",EXP((0.7553-(413/(L630+459.6)))*(INDEX(FX_Input,Y$5,L$3*$Z$5+$AA$5-1)^0.5)*LOG10(INDEX(FX_Input,Y$5,L$3*$Z$5+$AA$5))-(1.854-(1042/(L630+459.6)))*(INDEX(FX_Input,Y$5,L$3*$Z$5+$AA$5-1)^0.5)+((2416/(L630+459.6)-2.013)*LOG10(INDEX(FX_Input,Y$5,L$3*$Z$5+$AA$5)))-(8742/(L630+459.6))+15.64),EXP(INDEX(Antoines,MATCH(L620,Antoine_Name,0),2)-INDEX(Antoines,MATCH(L620,Antoine_Name,0),3)/(L630+459.6))))),0)</f>
        <v>7.8399882233967533E-3</v>
      </c>
      <c r="M641" cm="1">
        <f t="array" ref="M641">IFERROR(IF(M621="Chemical",(10^(INDEX(Antoines,MATCH(M620,Antoine_Name,0),2)-INDEX(Antoines,MATCH(M620,Antoine_Name,0),3)/(INDEX(Antoines,MATCH(M620,Antoine_Name,0),4)+(M630-32)*5/9)))*14.7/760,IF(M621="Crude Oil",EXP((2799/(M630+459.6)-2.227)*LOG10(INDEX(FX_Input,Z$5,M$3*$Z$5+$AA$5))-(7261/(M630+459.6))+12.82),IF(M621="Refined Petroleum Stock",EXP((0.7553-(413/(M630+459.6)))*(INDEX(FX_Input,Z$5,M$3*$Z$5+$AA$5-1)^0.5)*LOG10(INDEX(FX_Input,Z$5,M$3*$Z$5+$AA$5))-(1.854-(1042/(M630+459.6)))*(INDEX(FX_Input,Z$5,M$3*$Z$5+$AA$5-1)^0.5)+((2416/(M630+459.6)-2.013)*LOG10(INDEX(FX_Input,Z$5,M$3*$Z$5+$AA$5)))-(8742/(M630+459.6))+15.64),EXP(INDEX(Antoines,MATCH(M620,Antoine_Name,0),2)-INDEX(Antoines,MATCH(M620,Antoine_Name,0),3)/(M630+459.6))))),0)</f>
        <v>6.4173462075160911E-3</v>
      </c>
      <c r="N641" cm="1">
        <f t="array" ref="N641">IFERROR(IF(N621="Chemical",(10^(INDEX(Antoines,MATCH(N620,Antoine_Name,0),2)-INDEX(Antoines,MATCH(N620,Antoine_Name,0),3)/(INDEX(Antoines,MATCH(N620,Antoine_Name,0),4)+(N630-32)*5/9)))*14.7/760,IF(N621="Crude Oil",EXP((2799/(N630+459.6)-2.227)*LOG10(INDEX(FX_Input,AA$5,N$3*$Z$5+$AA$5))-(7261/(N630+459.6))+12.82),IF(N621="Refined Petroleum Stock",EXP((0.7553-(413/(N630+459.6)))*(INDEX(FX_Input,AA$5,N$3*$Z$5+$AA$5-1)^0.5)*LOG10(INDEX(FX_Input,AA$5,N$3*$Z$5+$AA$5))-(1.854-(1042/(N630+459.6)))*(INDEX(FX_Input,AA$5,N$3*$Z$5+$AA$5-1)^0.5)+((2416/(N630+459.6)-2.013)*LOG10(INDEX(FX_Input,AA$5,N$3*$Z$5+$AA$5)))-(8742/(N630+459.6))+15.64),EXP(INDEX(Antoines,MATCH(N620,Antoine_Name,0),2)-INDEX(Antoines,MATCH(N620,Antoine_Name,0),3)/(N630+459.6))))),0)</f>
        <v>5.3015226887581056E-3</v>
      </c>
      <c r="O641" cm="1">
        <f t="array" ref="O641">IFERROR(IF(O621="Chemical",(10^(INDEX(Antoines,MATCH(O620,Antoine_Name,0),2)-INDEX(Antoines,MATCH(O620,Antoine_Name,0),3)/(INDEX(Antoines,MATCH(O620,Antoine_Name,0),4)+(O630-32)*5/9)))*14.7/760,IF(O621="Crude Oil",EXP((2799/(O630+459.6)-2.227)*LOG10(INDEX(FX_Input,AB$5,O$3*$Z$5+$AA$5))-(7261/(O630+459.6))+12.82),IF(O621="Refined Petroleum Stock",EXP((0.7553-(413/(O630+459.6)))*(INDEX(FX_Input,AB$5,O$3*$Z$5+$AA$5-1)^0.5)*LOG10(INDEX(FX_Input,AB$5,O$3*$Z$5+$AA$5))-(1.854-(1042/(O630+459.6)))*(INDEX(FX_Input,AB$5,O$3*$Z$5+$AA$5-1)^0.5)+((2416/(O630+459.6)-2.013)*LOG10(INDEX(FX_Input,AB$5,O$3*$Z$5+$AA$5)))-(8742/(O630+459.6))+15.64),EXP(INDEX(Antoines,MATCH(O620,Antoine_Name,0),2)-INDEX(Antoines,MATCH(O620,Antoine_Name,0),3)/(O630+459.6))))),0)</f>
        <v>4.68970903600947E-3</v>
      </c>
    </row>
    <row r="642" spans="1:32" ht="17.149999999999999" x14ac:dyDescent="0.55000000000000004">
      <c r="B642" t="str">
        <f t="shared" si="2196"/>
        <v>Portland</v>
      </c>
      <c r="C642" t="s">
        <v>1389</v>
      </c>
      <c r="D642">
        <f>D641*D624</f>
        <v>4.739577185808354E-3</v>
      </c>
      <c r="E642">
        <f t="shared" ref="E642" si="2263">E641*E624</f>
        <v>4.8748667780818778E-3</v>
      </c>
      <c r="F642">
        <f t="shared" ref="F642" si="2264">F641*F624</f>
        <v>5.119885034186122E-3</v>
      </c>
      <c r="G642">
        <f t="shared" ref="G642" si="2265">G641*G624</f>
        <v>5.5846958573521795E-3</v>
      </c>
      <c r="H642">
        <f t="shared" ref="H642" si="2266">H641*H624</f>
        <v>6.5274070972739821E-3</v>
      </c>
      <c r="I642">
        <f t="shared" ref="I642" si="2267">I641*I624</f>
        <v>7.4199539958878279E-3</v>
      </c>
      <c r="J642">
        <f t="shared" ref="J642" si="2268">J641*J624</f>
        <v>8.3358107202842254E-3</v>
      </c>
      <c r="K642">
        <f t="shared" ref="K642" si="2269">K641*K624</f>
        <v>8.4605262729351115E-3</v>
      </c>
      <c r="L642">
        <f t="shared" ref="L642" si="2270">L641*L624</f>
        <v>7.8399882233967533E-3</v>
      </c>
      <c r="M642">
        <f t="shared" ref="M642" si="2271">M641*M624</f>
        <v>6.4173462075160911E-3</v>
      </c>
      <c r="N642">
        <f t="shared" ref="N642" si="2272">N641*N624</f>
        <v>5.3015226887581056E-3</v>
      </c>
      <c r="O642">
        <f t="shared" ref="O642" si="2273">O641*O624</f>
        <v>4.68970903600947E-3</v>
      </c>
    </row>
    <row r="643" spans="1:32" ht="17.149999999999999" x14ac:dyDescent="0.55000000000000004">
      <c r="B643" t="str">
        <f t="shared" si="2196"/>
        <v>Portland</v>
      </c>
      <c r="C643" t="s">
        <v>1390</v>
      </c>
      <c r="D643" cm="1">
        <f t="array" ref="D643">IFERROR(IF(D623="Chemical",(10^(INDEX(Antoines,MATCH(D622,Antoine_Name,0),2)-INDEX(Antoines,MATCH(D622,Antoine_Name,0),3)/(INDEX(Antoines,MATCH(D622,Antoine_Name,0),4)+(D630-32)*5/9)))*14.7/760,IF(D623="Crude Oil",EXP((2799/(D630+459.6)-2.227)*LOG10(INDEX(FX_Input,Q$5,D$3*$Z$5+$AA$5))-(7261/(D630+459.6))+12.82),IF(D623="Refined Petroleum Stock",EXP((0.7553-(413/(D630+459.6)))*(INDEX(FX_Input,Q$5,D$3*$Z$5+$AA$5-1)^0.5)*LOG10(INDEX(FX_Input,Q$5,D$3*$Z$5+$AA$5))-(1.854-(1042/(D630+459.6)))*(INDEX(FX_Input,Q$5,D$3*$Z$5+$AA$5-1)^0.5)+((2416/(D630+459.6)-2.013)*LOG10(INDEX(FX_Input,Q$5,D$3*$Z$5+$AA$5)))-(8742/(D630+459.6))+15.64),EXP(INDEX(Antoines,MATCH(D622,Antoine_Name,0),2)-INDEX(Antoines,MATCH(D622,Antoine_Name,0),3)/(D630+459.6))))),0)</f>
        <v>0</v>
      </c>
      <c r="E643" cm="1">
        <f t="array" ref="E643">IFERROR(IF(E623="Chemical",(10^(INDEX(Antoines,MATCH(E622,Antoine_Name,0),2)-INDEX(Antoines,MATCH(E622,Antoine_Name,0),3)/(INDEX(Antoines,MATCH(E622,Antoine_Name,0),4)+(E630-32)*5/9)))*14.7/760,IF(E623="Crude Oil",EXP((2799/(E630+459.6)-2.227)*LOG10(INDEX(FX_Input,R$5,E$3*$Z$5+$AA$5))-(7261/(E630+459.6))+12.82),IF(E623="Refined Petroleum Stock",EXP((0.7553-(413/(E630+459.6)))*(INDEX(FX_Input,R$5,E$3*$Z$5+$AA$5-1)^0.5)*LOG10(INDEX(FX_Input,R$5,E$3*$Z$5+$AA$5))-(1.854-(1042/(E630+459.6)))*(INDEX(FX_Input,R$5,E$3*$Z$5+$AA$5-1)^0.5)+((2416/(E630+459.6)-2.013)*LOG10(INDEX(FX_Input,R$5,E$3*$Z$5+$AA$5)))-(8742/(E630+459.6))+15.64),EXP(INDEX(Antoines,MATCH(E622,Antoine_Name,0),2)-INDEX(Antoines,MATCH(E622,Antoine_Name,0),3)/(E630+459.6))))),0)</f>
        <v>0</v>
      </c>
      <c r="F643" cm="1">
        <f t="array" ref="F643">IFERROR(IF(F623="Chemical",(10^(INDEX(Antoines,MATCH(F622,Antoine_Name,0),2)-INDEX(Antoines,MATCH(F622,Antoine_Name,0),3)/(INDEX(Antoines,MATCH(F622,Antoine_Name,0),4)+(F630-32)*5/9)))*14.7/760,IF(F623="Crude Oil",EXP((2799/(F630+459.6)-2.227)*LOG10(INDEX(FX_Input,S$5,F$3*$Z$5+$AA$5))-(7261/(F630+459.6))+12.82),IF(F623="Refined Petroleum Stock",EXP((0.7553-(413/(F630+459.6)))*(INDEX(FX_Input,S$5,F$3*$Z$5+$AA$5-1)^0.5)*LOG10(INDEX(FX_Input,S$5,F$3*$Z$5+$AA$5))-(1.854-(1042/(F630+459.6)))*(INDEX(FX_Input,S$5,F$3*$Z$5+$AA$5-1)^0.5)+((2416/(F630+459.6)-2.013)*LOG10(INDEX(FX_Input,S$5,F$3*$Z$5+$AA$5)))-(8742/(F630+459.6))+15.64),EXP(INDEX(Antoines,MATCH(F622,Antoine_Name,0),2)-INDEX(Antoines,MATCH(F622,Antoine_Name,0),3)/(F630+459.6))))),0)</f>
        <v>0</v>
      </c>
      <c r="G643" cm="1">
        <f t="array" ref="G643">IFERROR(IF(G623="Chemical",(10^(INDEX(Antoines,MATCH(G622,Antoine_Name,0),2)-INDEX(Antoines,MATCH(G622,Antoine_Name,0),3)/(INDEX(Antoines,MATCH(G622,Antoine_Name,0),4)+(G630-32)*5/9)))*14.7/760,IF(G623="Crude Oil",EXP((2799/(G630+459.6)-2.227)*LOG10(INDEX(FX_Input,T$5,G$3*$Z$5+$AA$5))-(7261/(G630+459.6))+12.82),IF(G623="Refined Petroleum Stock",EXP((0.7553-(413/(G630+459.6)))*(INDEX(FX_Input,T$5,G$3*$Z$5+$AA$5-1)^0.5)*LOG10(INDEX(FX_Input,T$5,G$3*$Z$5+$AA$5))-(1.854-(1042/(G630+459.6)))*(INDEX(FX_Input,T$5,G$3*$Z$5+$AA$5-1)^0.5)+((2416/(G630+459.6)-2.013)*LOG10(INDEX(FX_Input,T$5,G$3*$Z$5+$AA$5)))-(8742/(G630+459.6))+15.64),EXP(INDEX(Antoines,MATCH(G622,Antoine_Name,0),2)-INDEX(Antoines,MATCH(G622,Antoine_Name,0),3)/(G630+459.6))))),0)</f>
        <v>0</v>
      </c>
      <c r="H643" cm="1">
        <f t="array" ref="H643">IFERROR(IF(H623="Chemical",(10^(INDEX(Antoines,MATCH(H622,Antoine_Name,0),2)-INDEX(Antoines,MATCH(H622,Antoine_Name,0),3)/(INDEX(Antoines,MATCH(H622,Antoine_Name,0),4)+(H630-32)*5/9)))*14.7/760,IF(H623="Crude Oil",EXP((2799/(H630+459.6)-2.227)*LOG10(INDEX(FX_Input,U$5,H$3*$Z$5+$AA$5))-(7261/(H630+459.6))+12.82),IF(H623="Refined Petroleum Stock",EXP((0.7553-(413/(H630+459.6)))*(INDEX(FX_Input,U$5,H$3*$Z$5+$AA$5-1)^0.5)*LOG10(INDEX(FX_Input,U$5,H$3*$Z$5+$AA$5))-(1.854-(1042/(H630+459.6)))*(INDEX(FX_Input,U$5,H$3*$Z$5+$AA$5-1)^0.5)+((2416/(H630+459.6)-2.013)*LOG10(INDEX(FX_Input,U$5,H$3*$Z$5+$AA$5)))-(8742/(H630+459.6))+15.64),EXP(INDEX(Antoines,MATCH(H622,Antoine_Name,0),2)-INDEX(Antoines,MATCH(H622,Antoine_Name,0),3)/(H630+459.6))))),0)</f>
        <v>0</v>
      </c>
      <c r="I643" cm="1">
        <f t="array" ref="I643">IFERROR(IF(I623="Chemical",(10^(INDEX(Antoines,MATCH(I622,Antoine_Name,0),2)-INDEX(Antoines,MATCH(I622,Antoine_Name,0),3)/(INDEX(Antoines,MATCH(I622,Antoine_Name,0),4)+(I630-32)*5/9)))*14.7/760,IF(I623="Crude Oil",EXP((2799/(I630+459.6)-2.227)*LOG10(INDEX(FX_Input,V$5,I$3*$Z$5+$AA$5))-(7261/(I630+459.6))+12.82),IF(I623="Refined Petroleum Stock",EXP((0.7553-(413/(I630+459.6)))*(INDEX(FX_Input,V$5,I$3*$Z$5+$AA$5-1)^0.5)*LOG10(INDEX(FX_Input,V$5,I$3*$Z$5+$AA$5))-(1.854-(1042/(I630+459.6)))*(INDEX(FX_Input,V$5,I$3*$Z$5+$AA$5-1)^0.5)+((2416/(I630+459.6)-2.013)*LOG10(INDEX(FX_Input,V$5,I$3*$Z$5+$AA$5)))-(8742/(I630+459.6))+15.64),EXP(INDEX(Antoines,MATCH(I622,Antoine_Name,0),2)-INDEX(Antoines,MATCH(I622,Antoine_Name,0),3)/(I630+459.6))))),0)</f>
        <v>0</v>
      </c>
      <c r="J643" cm="1">
        <f t="array" ref="J643">IFERROR(IF(J623="Chemical",(10^(INDEX(Antoines,MATCH(J622,Antoine_Name,0),2)-INDEX(Antoines,MATCH(J622,Antoine_Name,0),3)/(INDEX(Antoines,MATCH(J622,Antoine_Name,0),4)+(J630-32)*5/9)))*14.7/760,IF(J623="Crude Oil",EXP((2799/(J630+459.6)-2.227)*LOG10(INDEX(FX_Input,W$5,J$3*$Z$5+$AA$5))-(7261/(J630+459.6))+12.82),IF(J623="Refined Petroleum Stock",EXP((0.7553-(413/(J630+459.6)))*(INDEX(FX_Input,W$5,J$3*$Z$5+$AA$5-1)^0.5)*LOG10(INDEX(FX_Input,W$5,J$3*$Z$5+$AA$5))-(1.854-(1042/(J630+459.6)))*(INDEX(FX_Input,W$5,J$3*$Z$5+$AA$5-1)^0.5)+((2416/(J630+459.6)-2.013)*LOG10(INDEX(FX_Input,W$5,J$3*$Z$5+$AA$5)))-(8742/(J630+459.6))+15.64),EXP(INDEX(Antoines,MATCH(J622,Antoine_Name,0),2)-INDEX(Antoines,MATCH(J622,Antoine_Name,0),3)/(J630+459.6))))),0)</f>
        <v>0</v>
      </c>
      <c r="K643" cm="1">
        <f t="array" ref="K643">IFERROR(IF(K623="Chemical",(10^(INDEX(Antoines,MATCH(K622,Antoine_Name,0),2)-INDEX(Antoines,MATCH(K622,Antoine_Name,0),3)/(INDEX(Antoines,MATCH(K622,Antoine_Name,0),4)+(K630-32)*5/9)))*14.7/760,IF(K623="Crude Oil",EXP((2799/(K630+459.6)-2.227)*LOG10(INDEX(FX_Input,X$5,K$3*$Z$5+$AA$5))-(7261/(K630+459.6))+12.82),IF(K623="Refined Petroleum Stock",EXP((0.7553-(413/(K630+459.6)))*(INDEX(FX_Input,X$5,K$3*$Z$5+$AA$5-1)^0.5)*LOG10(INDEX(FX_Input,X$5,K$3*$Z$5+$AA$5))-(1.854-(1042/(K630+459.6)))*(INDEX(FX_Input,X$5,K$3*$Z$5+$AA$5-1)^0.5)+((2416/(K630+459.6)-2.013)*LOG10(INDEX(FX_Input,X$5,K$3*$Z$5+$AA$5)))-(8742/(K630+459.6))+15.64),EXP(INDEX(Antoines,MATCH(K622,Antoine_Name,0),2)-INDEX(Antoines,MATCH(K622,Antoine_Name,0),3)/(K630+459.6))))),0)</f>
        <v>0</v>
      </c>
      <c r="L643" cm="1">
        <f t="array" ref="L643">IFERROR(IF(L623="Chemical",(10^(INDEX(Antoines,MATCH(L622,Antoine_Name,0),2)-INDEX(Antoines,MATCH(L622,Antoine_Name,0),3)/(INDEX(Antoines,MATCH(L622,Antoine_Name,0),4)+(L630-32)*5/9)))*14.7/760,IF(L623="Crude Oil",EXP((2799/(L630+459.6)-2.227)*LOG10(INDEX(FX_Input,Y$5,L$3*$Z$5+$AA$5))-(7261/(L630+459.6))+12.82),IF(L623="Refined Petroleum Stock",EXP((0.7553-(413/(L630+459.6)))*(INDEX(FX_Input,Y$5,L$3*$Z$5+$AA$5-1)^0.5)*LOG10(INDEX(FX_Input,Y$5,L$3*$Z$5+$AA$5))-(1.854-(1042/(L630+459.6)))*(INDEX(FX_Input,Y$5,L$3*$Z$5+$AA$5-1)^0.5)+((2416/(L630+459.6)-2.013)*LOG10(INDEX(FX_Input,Y$5,L$3*$Z$5+$AA$5)))-(8742/(L630+459.6))+15.64),EXP(INDEX(Antoines,MATCH(L622,Antoine_Name,0),2)-INDEX(Antoines,MATCH(L622,Antoine_Name,0),3)/(L630+459.6))))),0)</f>
        <v>0</v>
      </c>
      <c r="M643" cm="1">
        <f t="array" ref="M643">IFERROR(IF(M623="Chemical",(10^(INDEX(Antoines,MATCH(M622,Antoine_Name,0),2)-INDEX(Antoines,MATCH(M622,Antoine_Name,0),3)/(INDEX(Antoines,MATCH(M622,Antoine_Name,0),4)+(M630-32)*5/9)))*14.7/760,IF(M623="Crude Oil",EXP((2799/(M630+459.6)-2.227)*LOG10(INDEX(FX_Input,Z$5,M$3*$Z$5+$AA$5))-(7261/(M630+459.6))+12.82),IF(M623="Refined Petroleum Stock",EXP((0.7553-(413/(M630+459.6)))*(INDEX(FX_Input,Z$5,M$3*$Z$5+$AA$5-1)^0.5)*LOG10(INDEX(FX_Input,Z$5,M$3*$Z$5+$AA$5))-(1.854-(1042/(M630+459.6)))*(INDEX(FX_Input,Z$5,M$3*$Z$5+$AA$5-1)^0.5)+((2416/(M630+459.6)-2.013)*LOG10(INDEX(FX_Input,Z$5,M$3*$Z$5+$AA$5)))-(8742/(M630+459.6))+15.64),EXP(INDEX(Antoines,MATCH(M622,Antoine_Name,0),2)-INDEX(Antoines,MATCH(M622,Antoine_Name,0),3)/(M630+459.6))))),0)</f>
        <v>0</v>
      </c>
      <c r="N643" cm="1">
        <f t="array" ref="N643">IFERROR(IF(N623="Chemical",(10^(INDEX(Antoines,MATCH(N622,Antoine_Name,0),2)-INDEX(Antoines,MATCH(N622,Antoine_Name,0),3)/(INDEX(Antoines,MATCH(N622,Antoine_Name,0),4)+(N630-32)*5/9)))*14.7/760,IF(N623="Crude Oil",EXP((2799/(N630+459.6)-2.227)*LOG10(INDEX(FX_Input,AA$5,N$3*$Z$5+$AA$5))-(7261/(N630+459.6))+12.82),IF(N623="Refined Petroleum Stock",EXP((0.7553-(413/(N630+459.6)))*(INDEX(FX_Input,AA$5,N$3*$Z$5+$AA$5-1)^0.5)*LOG10(INDEX(FX_Input,AA$5,N$3*$Z$5+$AA$5))-(1.854-(1042/(N630+459.6)))*(INDEX(FX_Input,AA$5,N$3*$Z$5+$AA$5-1)^0.5)+((2416/(N630+459.6)-2.013)*LOG10(INDEX(FX_Input,AA$5,N$3*$Z$5+$AA$5)))-(8742/(N630+459.6))+15.64),EXP(INDEX(Antoines,MATCH(N622,Antoine_Name,0),2)-INDEX(Antoines,MATCH(N622,Antoine_Name,0),3)/(N630+459.6))))),0)</f>
        <v>0</v>
      </c>
      <c r="O643" cm="1">
        <f t="array" ref="O643">IFERROR(IF(O623="Chemical",(10^(INDEX(Antoines,MATCH(O622,Antoine_Name,0),2)-INDEX(Antoines,MATCH(O622,Antoine_Name,0),3)/(INDEX(Antoines,MATCH(O622,Antoine_Name,0),4)+(O630-32)*5/9)))*14.7/760,IF(O623="Crude Oil",EXP((2799/(O630+459.6)-2.227)*LOG10(INDEX(FX_Input,AB$5,O$3*$Z$5+$AA$5))-(7261/(O630+459.6))+12.82),IF(O623="Refined Petroleum Stock",EXP((0.7553-(413/(O630+459.6)))*(INDEX(FX_Input,AB$5,O$3*$Z$5+$AA$5-1)^0.5)*LOG10(INDEX(FX_Input,AB$5,O$3*$Z$5+$AA$5))-(1.854-(1042/(O630+459.6)))*(INDEX(FX_Input,AB$5,O$3*$Z$5+$AA$5-1)^0.5)+((2416/(O630+459.6)-2.013)*LOG10(INDEX(FX_Input,AB$5,O$3*$Z$5+$AA$5)))-(8742/(O630+459.6))+15.64),EXP(INDEX(Antoines,MATCH(O622,Antoine_Name,0),2)-INDEX(Antoines,MATCH(O622,Antoine_Name,0),3)/(O630+459.6))))),0)</f>
        <v>0</v>
      </c>
    </row>
    <row r="644" spans="1:32" ht="17.149999999999999" x14ac:dyDescent="0.55000000000000004">
      <c r="B644" t="str">
        <f t="shared" si="2196"/>
        <v>Portland</v>
      </c>
      <c r="C644" t="s">
        <v>1391</v>
      </c>
      <c r="D644">
        <f>D643*D626</f>
        <v>0</v>
      </c>
      <c r="E644">
        <f t="shared" ref="E644" si="2274">E643*E626</f>
        <v>0</v>
      </c>
      <c r="F644">
        <f t="shared" ref="F644" si="2275">F643*F626</f>
        <v>0</v>
      </c>
      <c r="G644">
        <f t="shared" ref="G644" si="2276">G643*G626</f>
        <v>0</v>
      </c>
      <c r="H644">
        <f t="shared" ref="H644" si="2277">H643*H626</f>
        <v>0</v>
      </c>
      <c r="I644">
        <f t="shared" ref="I644" si="2278">I643*I626</f>
        <v>0</v>
      </c>
      <c r="J644">
        <f t="shared" ref="J644" si="2279">J643*J626</f>
        <v>0</v>
      </c>
      <c r="K644">
        <f t="shared" ref="K644" si="2280">K643*K626</f>
        <v>0</v>
      </c>
      <c r="L644">
        <f t="shared" ref="L644" si="2281">L643*L626</f>
        <v>0</v>
      </c>
      <c r="M644">
        <f t="shared" ref="M644" si="2282">M643*M626</f>
        <v>0</v>
      </c>
      <c r="N644">
        <f t="shared" ref="N644" si="2283">N643*N626</f>
        <v>0</v>
      </c>
      <c r="O644">
        <f t="shared" ref="O644" si="2284">O643*O626</f>
        <v>0</v>
      </c>
    </row>
    <row r="645" spans="1:32" ht="17.149999999999999" x14ac:dyDescent="0.55000000000000004">
      <c r="B645" t="str">
        <f t="shared" si="2196"/>
        <v>Portland</v>
      </c>
      <c r="C645" t="s">
        <v>1392</v>
      </c>
      <c r="D645">
        <f>D642+D644</f>
        <v>4.739577185808354E-3</v>
      </c>
      <c r="E645">
        <f t="shared" ref="E645" si="2285">E642+E644</f>
        <v>4.8748667780818778E-3</v>
      </c>
      <c r="F645">
        <f t="shared" ref="F645" si="2286">F642+F644</f>
        <v>5.119885034186122E-3</v>
      </c>
      <c r="G645">
        <f t="shared" ref="G645" si="2287">G642+G644</f>
        <v>5.5846958573521795E-3</v>
      </c>
      <c r="H645">
        <f t="shared" ref="H645" si="2288">H642+H644</f>
        <v>6.5274070972739821E-3</v>
      </c>
      <c r="I645">
        <f t="shared" ref="I645" si="2289">I642+I644</f>
        <v>7.4199539958878279E-3</v>
      </c>
      <c r="J645">
        <f t="shared" ref="J645" si="2290">J642+J644</f>
        <v>8.3358107202842254E-3</v>
      </c>
      <c r="K645">
        <f t="shared" ref="K645" si="2291">K642+K644</f>
        <v>8.4605262729351115E-3</v>
      </c>
      <c r="L645">
        <f t="shared" ref="L645" si="2292">L642+L644</f>
        <v>7.8399882233967533E-3</v>
      </c>
      <c r="M645">
        <f t="shared" ref="M645" si="2293">M642+M644</f>
        <v>6.4173462075160911E-3</v>
      </c>
      <c r="N645">
        <f t="shared" ref="N645" si="2294">N642+N644</f>
        <v>5.3015226887581056E-3</v>
      </c>
      <c r="O645">
        <f t="shared" ref="O645" si="2295">O642+O644</f>
        <v>4.68970903600947E-3</v>
      </c>
    </row>
    <row r="646" spans="1:32" ht="17.149999999999999" x14ac:dyDescent="0.55000000000000004">
      <c r="B646" t="str">
        <f>B640</f>
        <v>Portland</v>
      </c>
      <c r="C646" t="s">
        <v>584</v>
      </c>
      <c r="D646">
        <f>D642/D645</f>
        <v>1</v>
      </c>
      <c r="E646">
        <f t="shared" ref="E646" si="2296">E642/E645</f>
        <v>1</v>
      </c>
      <c r="F646">
        <f t="shared" ref="F646" si="2297">F642/F645</f>
        <v>1</v>
      </c>
      <c r="G646">
        <f t="shared" ref="G646" si="2298">G642/G645</f>
        <v>1</v>
      </c>
      <c r="H646">
        <f t="shared" ref="H646" si="2299">H642/H645</f>
        <v>1</v>
      </c>
      <c r="I646">
        <f t="shared" ref="I646" si="2300">I642/I645</f>
        <v>1</v>
      </c>
      <c r="J646">
        <f t="shared" ref="J646" si="2301">J642/J645</f>
        <v>1</v>
      </c>
      <c r="K646">
        <f t="shared" ref="K646" si="2302">K642/K645</f>
        <v>1</v>
      </c>
      <c r="L646">
        <f t="shared" ref="L646" si="2303">L642/L645</f>
        <v>1</v>
      </c>
      <c r="M646">
        <f t="shared" ref="M646" si="2304">M642/M645</f>
        <v>1</v>
      </c>
      <c r="N646">
        <f t="shared" ref="N646" si="2305">N642/N645</f>
        <v>1</v>
      </c>
      <c r="O646">
        <f t="shared" ref="O646" si="2306">O642/O645</f>
        <v>1</v>
      </c>
    </row>
    <row r="647" spans="1:32" ht="17.149999999999999" x14ac:dyDescent="0.55000000000000004">
      <c r="B647" t="str">
        <f>B641</f>
        <v>Portland</v>
      </c>
      <c r="C647" t="s">
        <v>585</v>
      </c>
      <c r="D647">
        <f t="shared" ref="D647:O647" si="2307">INDEX(Phys_Prop,MATCH(D620,Chem_List,0),3)</f>
        <v>130</v>
      </c>
      <c r="E647">
        <f t="shared" si="2307"/>
        <v>130</v>
      </c>
      <c r="F647">
        <f t="shared" si="2307"/>
        <v>130</v>
      </c>
      <c r="G647">
        <f t="shared" si="2307"/>
        <v>130</v>
      </c>
      <c r="H647">
        <f t="shared" si="2307"/>
        <v>130</v>
      </c>
      <c r="I647">
        <f t="shared" si="2307"/>
        <v>130</v>
      </c>
      <c r="J647">
        <f t="shared" si="2307"/>
        <v>130</v>
      </c>
      <c r="K647">
        <f t="shared" si="2307"/>
        <v>130</v>
      </c>
      <c r="L647">
        <f t="shared" si="2307"/>
        <v>130</v>
      </c>
      <c r="M647">
        <f t="shared" si="2307"/>
        <v>130</v>
      </c>
      <c r="N647">
        <f t="shared" si="2307"/>
        <v>130</v>
      </c>
      <c r="O647">
        <f t="shared" si="2307"/>
        <v>130</v>
      </c>
    </row>
    <row r="648" spans="1:32" ht="17.149999999999999" x14ac:dyDescent="0.55000000000000004">
      <c r="B648" t="str">
        <f>B647</f>
        <v>Portland</v>
      </c>
      <c r="C648" t="s">
        <v>586</v>
      </c>
      <c r="D648">
        <f>D644/D645</f>
        <v>0</v>
      </c>
      <c r="E648">
        <f t="shared" ref="E648:O648" si="2308">E644/E645</f>
        <v>0</v>
      </c>
      <c r="F648">
        <f t="shared" si="2308"/>
        <v>0</v>
      </c>
      <c r="G648">
        <f t="shared" si="2308"/>
        <v>0</v>
      </c>
      <c r="H648">
        <f t="shared" si="2308"/>
        <v>0</v>
      </c>
      <c r="I648">
        <f t="shared" si="2308"/>
        <v>0</v>
      </c>
      <c r="J648">
        <f t="shared" si="2308"/>
        <v>0</v>
      </c>
      <c r="K648">
        <f t="shared" si="2308"/>
        <v>0</v>
      </c>
      <c r="L648">
        <f t="shared" si="2308"/>
        <v>0</v>
      </c>
      <c r="M648">
        <f t="shared" si="2308"/>
        <v>0</v>
      </c>
      <c r="N648">
        <f t="shared" si="2308"/>
        <v>0</v>
      </c>
      <c r="O648">
        <f t="shared" si="2308"/>
        <v>0</v>
      </c>
    </row>
    <row r="649" spans="1:32" ht="17.149999999999999" x14ac:dyDescent="0.55000000000000004">
      <c r="B649" t="str">
        <f t="shared" si="2196"/>
        <v>Portland</v>
      </c>
      <c r="C649" t="s">
        <v>587</v>
      </c>
      <c r="D649">
        <f t="shared" ref="D649:O649" si="2309">IFERROR(INDEX(Phys_Prop,MATCH(D622,Chem_List,0),3),0)</f>
        <v>0</v>
      </c>
      <c r="E649">
        <f t="shared" si="2309"/>
        <v>0</v>
      </c>
      <c r="F649">
        <f t="shared" si="2309"/>
        <v>0</v>
      </c>
      <c r="G649">
        <f t="shared" si="2309"/>
        <v>0</v>
      </c>
      <c r="H649">
        <f t="shared" si="2309"/>
        <v>0</v>
      </c>
      <c r="I649">
        <f t="shared" si="2309"/>
        <v>0</v>
      </c>
      <c r="J649">
        <f t="shared" si="2309"/>
        <v>0</v>
      </c>
      <c r="K649">
        <f t="shared" si="2309"/>
        <v>0</v>
      </c>
      <c r="L649">
        <f t="shared" si="2309"/>
        <v>0</v>
      </c>
      <c r="M649">
        <f t="shared" si="2309"/>
        <v>0</v>
      </c>
      <c r="N649">
        <f t="shared" si="2309"/>
        <v>0</v>
      </c>
      <c r="O649">
        <f t="shared" si="2309"/>
        <v>0</v>
      </c>
    </row>
    <row r="650" spans="1:32" ht="17.149999999999999" x14ac:dyDescent="0.55000000000000004">
      <c r="A650" s="11"/>
      <c r="B650" s="11" t="str">
        <f t="shared" si="2196"/>
        <v>Portland</v>
      </c>
      <c r="C650" s="11" t="s">
        <v>588</v>
      </c>
      <c r="D650" s="11">
        <f>IFERROR(D646*D647+D648*D649,0)</f>
        <v>130</v>
      </c>
      <c r="E650" s="11">
        <f t="shared" ref="E650" si="2310">IFERROR(E646*E647+E648*E649,0)</f>
        <v>130</v>
      </c>
      <c r="F650" s="11">
        <f t="shared" ref="F650" si="2311">IFERROR(F646*F647+F648*F649,0)</f>
        <v>130</v>
      </c>
      <c r="G650" s="11">
        <f t="shared" ref="G650" si="2312">IFERROR(G646*G647+G648*G649,0)</f>
        <v>130</v>
      </c>
      <c r="H650" s="11">
        <f t="shared" ref="H650" si="2313">IFERROR(H646*H647+H648*H649,0)</f>
        <v>130</v>
      </c>
      <c r="I650" s="11">
        <f t="shared" ref="I650" si="2314">IFERROR(I646*I647+I648*I649,0)</f>
        <v>130</v>
      </c>
      <c r="J650" s="11">
        <f t="shared" ref="J650" si="2315">IFERROR(J646*J647+J648*J649,0)</f>
        <v>130</v>
      </c>
      <c r="K650" s="11">
        <f t="shared" ref="K650" si="2316">IFERROR(K646*K647+K648*K649,0)</f>
        <v>130</v>
      </c>
      <c r="L650" s="11">
        <f t="shared" ref="L650" si="2317">IFERROR(L646*L647+L648*L649,0)</f>
        <v>130</v>
      </c>
      <c r="M650" s="11">
        <f t="shared" ref="M650" si="2318">IFERROR(M646*M647+M648*M649,0)</f>
        <v>130</v>
      </c>
      <c r="N650" s="11">
        <f t="shared" ref="N650" si="2319">IFERROR(N646*N647+N648*N649,0)</f>
        <v>130</v>
      </c>
      <c r="O650" s="11">
        <f t="shared" ref="O650" si="2320">IFERROR(O646*O647+O648*O649,0)</f>
        <v>130</v>
      </c>
      <c r="P650" s="11"/>
      <c r="Q650" s="11"/>
      <c r="R650" s="11"/>
      <c r="S650" s="11"/>
      <c r="T650" s="11"/>
      <c r="U650" s="11"/>
      <c r="V650" s="11"/>
      <c r="W650" s="11"/>
      <c r="X650" s="11"/>
      <c r="Y650" s="11"/>
      <c r="Z650" s="11"/>
      <c r="AA650" s="11"/>
      <c r="AB650" s="11"/>
      <c r="AC650" s="11"/>
      <c r="AD650" s="11"/>
      <c r="AE650" s="11"/>
      <c r="AF650" s="11"/>
    </row>
    <row r="651" spans="1:32" ht="17.149999999999999" x14ac:dyDescent="0.55000000000000004">
      <c r="A651" t="str" cm="1">
        <f t="array" ref="A651">INDEX(FX_Input,$Q651,R$5)</f>
        <v>FX - 20</v>
      </c>
      <c r="B651" t="str" cm="1">
        <f t="array" ref="B651">INDEX(FX_Input,Q651,S651)</f>
        <v>Portland</v>
      </c>
      <c r="C651" t="s">
        <v>563</v>
      </c>
      <c r="D651">
        <v>14.7</v>
      </c>
      <c r="E651">
        <v>14.7</v>
      </c>
      <c r="F651">
        <v>14.7</v>
      </c>
      <c r="G651">
        <v>14.7</v>
      </c>
      <c r="H651">
        <v>14.7</v>
      </c>
      <c r="I651">
        <v>14.7</v>
      </c>
      <c r="J651">
        <v>14.7</v>
      </c>
      <c r="K651">
        <v>14.7</v>
      </c>
      <c r="L651">
        <v>14.7</v>
      </c>
      <c r="M651">
        <v>14.7</v>
      </c>
      <c r="N651">
        <v>14.7</v>
      </c>
      <c r="O651">
        <v>14.7</v>
      </c>
      <c r="Q651">
        <f>Q617+2</f>
        <v>39</v>
      </c>
      <c r="R651">
        <v>1</v>
      </c>
      <c r="S651">
        <v>3</v>
      </c>
      <c r="T651">
        <v>1</v>
      </c>
      <c r="U651">
        <v>19</v>
      </c>
      <c r="V651">
        <v>20</v>
      </c>
      <c r="W651">
        <v>25</v>
      </c>
      <c r="X651">
        <v>1</v>
      </c>
      <c r="Y651">
        <v>2</v>
      </c>
      <c r="Z651">
        <f>(W651-V651)/(Y651-X651)</f>
        <v>5</v>
      </c>
      <c r="AA651">
        <f>V651-Z651*X651</f>
        <v>15</v>
      </c>
      <c r="AD651">
        <f>AD617+14</f>
        <v>267</v>
      </c>
      <c r="AF651">
        <f>AF617+14</f>
        <v>267</v>
      </c>
    </row>
    <row r="652" spans="1:32" ht="17.149999999999999" x14ac:dyDescent="0.55000000000000004">
      <c r="B652" t="str">
        <f t="shared" ref="B652" si="2321">B651</f>
        <v>Portland</v>
      </c>
      <c r="C652" t="s">
        <v>564</v>
      </c>
      <c r="D652" cm="1">
        <f t="array" ref="D652">IF(ISBLANK(INDEX(FX_Input,$Q651,$AB652)),0.03,INDEX(FX_Input,Q651,AB652))</f>
        <v>0.03</v>
      </c>
      <c r="E652" cm="1">
        <f t="array" ref="E652">IF(ISBLANK(INDEX(FX_Input,$Q651,$AB652)),0.03,INDEX(FX_Input,R651,#REF!))</f>
        <v>0.03</v>
      </c>
      <c r="F652" cm="1">
        <f t="array" ref="F652">IF(ISBLANK(INDEX(FX_Input,$Q651,$AB652)),0.03,INDEX(FX_Input,S651,#REF!))</f>
        <v>0.03</v>
      </c>
      <c r="G652" cm="1">
        <f t="array" ref="G652">IF(ISBLANK(INDEX(FX_Input,$Q651,$AB652)),0.03,INDEX(FX_Input,AB651,#REF!))</f>
        <v>0.03</v>
      </c>
      <c r="H652" cm="1">
        <f t="array" ref="H652">IF(ISBLANK(INDEX(FX_Input,$Q651,$AB652)),0.03,INDEX(FX_Input,#REF!,#REF!))</f>
        <v>0.03</v>
      </c>
      <c r="I652" cm="1">
        <f t="array" ref="I652">IF(ISBLANK(INDEX(FX_Input,$Q651,$AB652)),0.03,INDEX(FX_Input,#REF!,#REF!))</f>
        <v>0.03</v>
      </c>
      <c r="J652" cm="1">
        <f t="array" ref="J652">IF(ISBLANK(INDEX(FX_Input,$Q651,$AB652)),0.03,INDEX(FX_Input,#REF!,#REF!))</f>
        <v>0.03</v>
      </c>
      <c r="K652" cm="1">
        <f t="array" ref="K652">IF(ISBLANK(INDEX(FX_Input,$Q651,$AB652)),0.03,INDEX(FX_Input,#REF!,AC652))</f>
        <v>0.03</v>
      </c>
      <c r="L652" cm="1">
        <f t="array" ref="L652">IF(ISBLANK(INDEX(FX_Input,$Q651,$AB652)),0.03,INDEX(FX_Input,#REF!,AD652))</f>
        <v>0.03</v>
      </c>
      <c r="M652" cm="1">
        <f t="array" ref="M652">IF(ISBLANK(INDEX(FX_Input,$Q651,$AB652)),0.03,INDEX(FX_Input,#REF!,#REF!))</f>
        <v>0.03</v>
      </c>
      <c r="N652" cm="1">
        <f t="array" ref="N652">IF(ISBLANK(INDEX(FX_Input,$Q651,$AB652)),0.03,INDEX(FX_Input,AC651,#REF!))</f>
        <v>0.03</v>
      </c>
      <c r="O652" cm="1">
        <f t="array" ref="O652">IF(ISBLANK(INDEX(FX_Input,$Q651,$AB652)),0.03,INDEX(FX_Input,AD651,#REF!))</f>
        <v>0.03</v>
      </c>
      <c r="AB652">
        <v>15</v>
      </c>
    </row>
    <row r="653" spans="1:32" ht="17.149999999999999" x14ac:dyDescent="0.55000000000000004">
      <c r="B653" t="str">
        <f>B652</f>
        <v>Portland</v>
      </c>
      <c r="C653" t="s">
        <v>565</v>
      </c>
      <c r="D653" cm="1">
        <f t="array" ref="D653">IF(ISBLANK(INDEX(FX_Input,$Q651,$AB653)),-0.03,INDEX(FX_Input,Q651,AB653))</f>
        <v>-0.03</v>
      </c>
      <c r="E653" cm="1">
        <f t="array" ref="E653">IF(ISBLANK(INDEX(FX_Input,$Q651,$AB653)),-0.03,INDEX(FX_Input,R651,#REF!))</f>
        <v>-0.03</v>
      </c>
      <c r="F653" cm="1">
        <f t="array" ref="F653">IF(ISBLANK(INDEX(FX_Input,$Q651,$AB653)),-0.03,INDEX(FX_Input,S651,#REF!))</f>
        <v>-0.03</v>
      </c>
      <c r="G653" cm="1">
        <f t="array" ref="G653">IF(ISBLANK(INDEX(FX_Input,$Q651,$AB653)),-0.03,INDEX(FX_Input,AB651,#REF!))</f>
        <v>-0.03</v>
      </c>
      <c r="H653" cm="1">
        <f t="array" ref="H653">IF(ISBLANK(INDEX(FX_Input,$Q651,$AB653)),-0.03,INDEX(FX_Input,#REF!,#REF!))</f>
        <v>-0.03</v>
      </c>
      <c r="I653" cm="1">
        <f t="array" ref="I653">IF(ISBLANK(INDEX(FX_Input,$Q651,$AB653)),-0.03,INDEX(FX_Input,#REF!,#REF!))</f>
        <v>-0.03</v>
      </c>
      <c r="J653" cm="1">
        <f t="array" ref="J653">IF(ISBLANK(INDEX(FX_Input,$Q651,$AB653)),-0.03,INDEX(FX_Input,#REF!,#REF!))</f>
        <v>-0.03</v>
      </c>
      <c r="K653" cm="1">
        <f t="array" ref="K653">IF(ISBLANK(INDEX(FX_Input,$Q651,$AB653)),-0.03,INDEX(FX_Input,#REF!,AC653))</f>
        <v>-0.03</v>
      </c>
      <c r="L653" cm="1">
        <f t="array" ref="L653">IF(ISBLANK(INDEX(FX_Input,$Q651,$AB653)),-0.03,INDEX(FX_Input,#REF!,AD653))</f>
        <v>-0.03</v>
      </c>
      <c r="M653" cm="1">
        <f t="array" ref="M653">IF(ISBLANK(INDEX(FX_Input,$Q651,$AB653)),-0.03,INDEX(FX_Input,#REF!,#REF!))</f>
        <v>-0.03</v>
      </c>
      <c r="N653" cm="1">
        <f t="array" ref="N653">IF(ISBLANK(INDEX(FX_Input,$Q651,$AB653)),-0.03,INDEX(FX_Input,AC651,#REF!))</f>
        <v>-0.03</v>
      </c>
      <c r="O653" cm="1">
        <f t="array" ref="O653">IF(ISBLANK(INDEX(FX_Input,$Q651,$AB653)),-0.03,INDEX(FX_Input,AD651,#REF!))</f>
        <v>-0.03</v>
      </c>
      <c r="AB653">
        <v>16</v>
      </c>
    </row>
    <row r="654" spans="1:32" x14ac:dyDescent="0.4">
      <c r="B654" t="str">
        <f t="shared" ref="B654:B655" si="2322">B653</f>
        <v>Portland</v>
      </c>
      <c r="C654" s="66" t="s">
        <v>567</v>
      </c>
      <c r="D654" t="str" cm="1">
        <f t="array" ref="D654">INDEX(FX_Multi,$AD654,D$3)</f>
        <v>Jet kerosene</v>
      </c>
      <c r="E654" t="str" cm="1">
        <f t="array" ref="E654">INDEX(FX_Multi,$AD654,E$3)</f>
        <v>Jet kerosene</v>
      </c>
      <c r="F654" t="str" cm="1">
        <f t="array" ref="F654">INDEX(FX_Multi,$AD654,F$3)</f>
        <v>Jet kerosene</v>
      </c>
      <c r="G654" t="str" cm="1">
        <f t="array" ref="G654">INDEX(FX_Multi,$AD654,G$3)</f>
        <v>Jet kerosene</v>
      </c>
      <c r="H654" t="str" cm="1">
        <f t="array" ref="H654">INDEX(FX_Multi,$AD654,H$3)</f>
        <v>Jet kerosene</v>
      </c>
      <c r="I654" t="str" cm="1">
        <f t="array" ref="I654">INDEX(FX_Multi,$AD654,I$3)</f>
        <v>Jet kerosene</v>
      </c>
      <c r="J654" t="str" cm="1">
        <f t="array" ref="J654">INDEX(FX_Multi,$AD654,J$3)</f>
        <v>Jet kerosene</v>
      </c>
      <c r="K654" t="str" cm="1">
        <f t="array" ref="K654">INDEX(FX_Multi,$AD654,K$3)</f>
        <v>Jet kerosene</v>
      </c>
      <c r="L654" t="str" cm="1">
        <f t="array" ref="L654">INDEX(FX_Multi,$AD654,L$3)</f>
        <v>Jet kerosene</v>
      </c>
      <c r="M654" t="str" cm="1">
        <f t="array" ref="M654">INDEX(FX_Multi,$AD654,M$3)</f>
        <v>Jet kerosene</v>
      </c>
      <c r="N654" t="str" cm="1">
        <f t="array" ref="N654">INDEX(FX_Multi,$AD654,N$3)</f>
        <v>Jet kerosene</v>
      </c>
      <c r="O654" t="str" cm="1">
        <f t="array" ref="O654">INDEX(FX_Multi,$AD654,O$3)</f>
        <v>Jet kerosene</v>
      </c>
      <c r="AC654">
        <v>1</v>
      </c>
      <c r="AD654">
        <f>AD651</f>
        <v>267</v>
      </c>
      <c r="AE654">
        <v>1</v>
      </c>
      <c r="AF654">
        <f>AF651</f>
        <v>267</v>
      </c>
    </row>
    <row r="655" spans="1:32" x14ac:dyDescent="0.4">
      <c r="B655" t="str">
        <f t="shared" si="2322"/>
        <v>Portland</v>
      </c>
      <c r="C655" s="66" t="s">
        <v>566</v>
      </c>
      <c r="D655" t="str" cm="1">
        <f t="array" ref="D655">INDEX(FX_Multi,$AD655,D$3)</f>
        <v>Select Pet Stock</v>
      </c>
      <c r="E655" t="str" cm="1">
        <f t="array" ref="E655">INDEX(FX_Multi,$AD655,E$3)</f>
        <v>Select Pet Stock</v>
      </c>
      <c r="F655" t="str" cm="1">
        <f t="array" ref="F655">INDEX(FX_Multi,$AD655,F$3)</f>
        <v>Select Pet Stock</v>
      </c>
      <c r="G655" t="str" cm="1">
        <f t="array" ref="G655">INDEX(FX_Multi,$AD655,G$3)</f>
        <v>Select Pet Stock</v>
      </c>
      <c r="H655" t="str" cm="1">
        <f t="array" ref="H655">INDEX(FX_Multi,$AD655,H$3)</f>
        <v>Select Pet Stock</v>
      </c>
      <c r="I655" t="str" cm="1">
        <f t="array" ref="I655">INDEX(FX_Multi,$AD655,I$3)</f>
        <v>Select Pet Stock</v>
      </c>
      <c r="J655" t="str" cm="1">
        <f t="array" ref="J655">INDEX(FX_Multi,$AD655,J$3)</f>
        <v>Select Pet Stock</v>
      </c>
      <c r="K655" t="str" cm="1">
        <f t="array" ref="K655">INDEX(FX_Multi,$AD655,K$3)</f>
        <v>Select Pet Stock</v>
      </c>
      <c r="L655" t="str" cm="1">
        <f t="array" ref="L655">INDEX(FX_Multi,$AD655,L$3)</f>
        <v>Select Pet Stock</v>
      </c>
      <c r="M655" t="str" cm="1">
        <f t="array" ref="M655">INDEX(FX_Multi,$AD655,M$3)</f>
        <v>Select Pet Stock</v>
      </c>
      <c r="N655" t="str" cm="1">
        <f t="array" ref="N655">INDEX(FX_Multi,$AD655,N$3)</f>
        <v>Select Pet Stock</v>
      </c>
      <c r="O655" t="str" cm="1">
        <f t="array" ref="O655">INDEX(FX_Multi,$AD655,O$3)</f>
        <v>Select Pet Stock</v>
      </c>
      <c r="AC655">
        <v>1</v>
      </c>
      <c r="AD655">
        <f>AD654+2</f>
        <v>269</v>
      </c>
      <c r="AE655">
        <v>1</v>
      </c>
      <c r="AF655">
        <f>AF654+3</f>
        <v>270</v>
      </c>
    </row>
    <row r="656" spans="1:32" x14ac:dyDescent="0.4">
      <c r="B656" t="str">
        <f>B652</f>
        <v>Portland</v>
      </c>
      <c r="C656" s="66" t="s">
        <v>568</v>
      </c>
      <c r="D656" cm="1">
        <f t="array" ref="D656">INDEX(FX_Multi,$AD656,D$3)</f>
        <v>0</v>
      </c>
      <c r="E656" cm="1">
        <f t="array" ref="E656">INDEX(FX_Multi,$AD656,E$3)</f>
        <v>0</v>
      </c>
      <c r="F656" cm="1">
        <f t="array" ref="F656">INDEX(FX_Multi,$AD656,F$3)</f>
        <v>0</v>
      </c>
      <c r="G656" cm="1">
        <f t="array" ref="G656">INDEX(FX_Multi,$AD656,G$3)</f>
        <v>0</v>
      </c>
      <c r="H656" cm="1">
        <f t="array" ref="H656">INDEX(FX_Multi,$AD656,H$3)</f>
        <v>0</v>
      </c>
      <c r="I656" cm="1">
        <f t="array" ref="I656">INDEX(FX_Multi,$AD656,I$3)</f>
        <v>0</v>
      </c>
      <c r="J656" cm="1">
        <f t="array" ref="J656">INDEX(FX_Multi,$AD656,J$3)</f>
        <v>0</v>
      </c>
      <c r="K656" cm="1">
        <f t="array" ref="K656">INDEX(FX_Multi,$AD656,K$3)</f>
        <v>0</v>
      </c>
      <c r="L656" cm="1">
        <f t="array" ref="L656">INDEX(FX_Multi,$AD656,L$3)</f>
        <v>0</v>
      </c>
      <c r="M656" cm="1">
        <f t="array" ref="M656">INDEX(FX_Multi,$AD656,M$3)</f>
        <v>0</v>
      </c>
      <c r="N656" cm="1">
        <f t="array" ref="N656">INDEX(FX_Multi,$AD656,N$3)</f>
        <v>0</v>
      </c>
      <c r="O656" cm="1">
        <f t="array" ref="O656">INDEX(FX_Multi,$AD656,O$3)</f>
        <v>0</v>
      </c>
      <c r="AC656">
        <v>1</v>
      </c>
      <c r="AD656">
        <f>AD655-1</f>
        <v>268</v>
      </c>
      <c r="AE656">
        <v>1</v>
      </c>
      <c r="AF656">
        <f>AF654+1</f>
        <v>268</v>
      </c>
    </row>
    <row r="657" spans="2:32" x14ac:dyDescent="0.4">
      <c r="B657" t="str">
        <f t="shared" ref="B657:B661" si="2323">B656</f>
        <v>Portland</v>
      </c>
      <c r="C657" s="66" t="s">
        <v>569</v>
      </c>
      <c r="D657" cm="1">
        <f t="array" ref="D657">INDEX(FX_Multi,$AD657,D$3)</f>
        <v>0</v>
      </c>
      <c r="E657" cm="1">
        <f t="array" ref="E657">INDEX(FX_Multi,$AD657,E$3)</f>
        <v>0</v>
      </c>
      <c r="F657" cm="1">
        <f t="array" ref="F657">INDEX(FX_Multi,$AD657,F$3)</f>
        <v>0</v>
      </c>
      <c r="G657" cm="1">
        <f t="array" ref="G657">INDEX(FX_Multi,$AD657,G$3)</f>
        <v>0</v>
      </c>
      <c r="H657" cm="1">
        <f t="array" ref="H657">INDEX(FX_Multi,$AD657,H$3)</f>
        <v>0</v>
      </c>
      <c r="I657" cm="1">
        <f t="array" ref="I657">INDEX(FX_Multi,$AD657,I$3)</f>
        <v>0</v>
      </c>
      <c r="J657" cm="1">
        <f t="array" ref="J657">INDEX(FX_Multi,$AD657,J$3)</f>
        <v>0</v>
      </c>
      <c r="K657" cm="1">
        <f t="array" ref="K657">INDEX(FX_Multi,$AD657,K$3)</f>
        <v>0</v>
      </c>
      <c r="L657" cm="1">
        <f t="array" ref="L657">INDEX(FX_Multi,$AD657,L$3)</f>
        <v>0</v>
      </c>
      <c r="M657" cm="1">
        <f t="array" ref="M657">INDEX(FX_Multi,$AD657,M$3)</f>
        <v>0</v>
      </c>
      <c r="N657" cm="1">
        <f t="array" ref="N657">INDEX(FX_Multi,$AD657,N$3)</f>
        <v>0</v>
      </c>
      <c r="O657" cm="1">
        <f t="array" ref="O657">INDEX(FX_Multi,$AD657,O$3)</f>
        <v>0</v>
      </c>
      <c r="AC657">
        <v>1</v>
      </c>
      <c r="AD657">
        <f>AD656+2</f>
        <v>270</v>
      </c>
      <c r="AE657">
        <v>1</v>
      </c>
      <c r="AF657">
        <f>AF655</f>
        <v>270</v>
      </c>
    </row>
    <row r="658" spans="2:32" ht="17.149999999999999" x14ac:dyDescent="0.55000000000000004">
      <c r="B658" t="str">
        <f t="shared" si="2323"/>
        <v>Portland</v>
      </c>
      <c r="C658" t="s">
        <v>570</v>
      </c>
      <c r="D658" cm="1">
        <f t="array" ref="D658">INDEX(FX_Multi,$AD658,D$3)</f>
        <v>1</v>
      </c>
      <c r="E658" cm="1">
        <f t="array" ref="E658">INDEX(FX_Multi,$AD658,E$3)</f>
        <v>1</v>
      </c>
      <c r="F658" cm="1">
        <f t="array" ref="F658">INDEX(FX_Multi,$AD658,F$3)</f>
        <v>1</v>
      </c>
      <c r="G658" cm="1">
        <f t="array" ref="G658">INDEX(FX_Multi,$AD658,G$3)</f>
        <v>1</v>
      </c>
      <c r="H658" cm="1">
        <f t="array" ref="H658">INDEX(FX_Multi,$AD658,H$3)</f>
        <v>1</v>
      </c>
      <c r="I658" cm="1">
        <f t="array" ref="I658">INDEX(FX_Multi,$AD658,I$3)</f>
        <v>1</v>
      </c>
      <c r="J658" cm="1">
        <f t="array" ref="J658">INDEX(FX_Multi,$AD658,J$3)</f>
        <v>1</v>
      </c>
      <c r="K658" cm="1">
        <f t="array" ref="K658">INDEX(FX_Multi,$AD658,K$3)</f>
        <v>1</v>
      </c>
      <c r="L658" cm="1">
        <f t="array" ref="L658">INDEX(FX_Multi,$AD658,L$3)</f>
        <v>1</v>
      </c>
      <c r="M658" cm="1">
        <f t="array" ref="M658">INDEX(FX_Multi,$AD658,M$3)</f>
        <v>1</v>
      </c>
      <c r="N658" cm="1">
        <f t="array" ref="N658">INDEX(FX_Multi,$AD658,N$3)</f>
        <v>1</v>
      </c>
      <c r="O658" cm="1">
        <f t="array" ref="O658">INDEX(FX_Multi,$AD658,O$3)</f>
        <v>1</v>
      </c>
      <c r="AC658">
        <v>1</v>
      </c>
      <c r="AD658">
        <f>AD657+6</f>
        <v>276</v>
      </c>
      <c r="AE658">
        <v>1</v>
      </c>
      <c r="AF658">
        <f>AF654+9</f>
        <v>276</v>
      </c>
    </row>
    <row r="659" spans="2:32" ht="17.149999999999999" x14ac:dyDescent="0.55000000000000004">
      <c r="B659" t="str">
        <f t="shared" si="2323"/>
        <v>Portland</v>
      </c>
      <c r="C659" t="s">
        <v>571</v>
      </c>
      <c r="D659" cm="1">
        <f t="array" ref="D659">INDEX(FX_Multi,$AD659,D$3)</f>
        <v>162</v>
      </c>
      <c r="E659" cm="1">
        <f t="array" ref="E659">INDEX(FX_Multi,$AD659,E$3)</f>
        <v>162</v>
      </c>
      <c r="F659" cm="1">
        <f t="array" ref="F659">INDEX(FX_Multi,$AD659,F$3)</f>
        <v>162</v>
      </c>
      <c r="G659" cm="1">
        <f t="array" ref="G659">INDEX(FX_Multi,$AD659,G$3)</f>
        <v>162</v>
      </c>
      <c r="H659" cm="1">
        <f t="array" ref="H659">INDEX(FX_Multi,$AD659,H$3)</f>
        <v>162</v>
      </c>
      <c r="I659" cm="1">
        <f t="array" ref="I659">INDEX(FX_Multi,$AD659,I$3)</f>
        <v>162</v>
      </c>
      <c r="J659" cm="1">
        <f t="array" ref="J659">INDEX(FX_Multi,$AD659,J$3)</f>
        <v>162</v>
      </c>
      <c r="K659" cm="1">
        <f t="array" ref="K659">INDEX(FX_Multi,$AD659,K$3)</f>
        <v>162</v>
      </c>
      <c r="L659" cm="1">
        <f t="array" ref="L659">INDEX(FX_Multi,$AD659,L$3)</f>
        <v>162</v>
      </c>
      <c r="M659" cm="1">
        <f t="array" ref="M659">INDEX(FX_Multi,$AD659,M$3)</f>
        <v>162</v>
      </c>
      <c r="N659" cm="1">
        <f t="array" ref="N659">INDEX(FX_Multi,$AD659,N$3)</f>
        <v>162</v>
      </c>
      <c r="O659" cm="1">
        <f t="array" ref="O659">INDEX(FX_Multi,$AD659,O$3)</f>
        <v>162</v>
      </c>
      <c r="AC659">
        <v>1</v>
      </c>
      <c r="AD659">
        <f>AD658-3</f>
        <v>273</v>
      </c>
      <c r="AE659">
        <v>1</v>
      </c>
      <c r="AF659">
        <f>AF654+6</f>
        <v>273</v>
      </c>
    </row>
    <row r="660" spans="2:32" ht="17.149999999999999" x14ac:dyDescent="0.55000000000000004">
      <c r="B660" t="str">
        <f t="shared" si="2323"/>
        <v>Portland</v>
      </c>
      <c r="C660" t="s">
        <v>572</v>
      </c>
      <c r="D660" cm="1">
        <f t="array" ref="D660">INDEX(FX_Multi,$AD660,D$3)</f>
        <v>0</v>
      </c>
      <c r="E660" cm="1">
        <f t="array" ref="E660">INDEX(FX_Multi,$AD660,E$3)</f>
        <v>0</v>
      </c>
      <c r="F660" cm="1">
        <f t="array" ref="F660">INDEX(FX_Multi,$AD660,F$3)</f>
        <v>0</v>
      </c>
      <c r="G660" cm="1">
        <f t="array" ref="G660">INDEX(FX_Multi,$AD660,G$3)</f>
        <v>0</v>
      </c>
      <c r="H660" cm="1">
        <f t="array" ref="H660">INDEX(FX_Multi,$AD660,H$3)</f>
        <v>0</v>
      </c>
      <c r="I660" cm="1">
        <f t="array" ref="I660">INDEX(FX_Multi,$AD660,I$3)</f>
        <v>0</v>
      </c>
      <c r="J660" cm="1">
        <f t="array" ref="J660">INDEX(FX_Multi,$AD660,J$3)</f>
        <v>0</v>
      </c>
      <c r="K660" cm="1">
        <f t="array" ref="K660">INDEX(FX_Multi,$AD660,K$3)</f>
        <v>0</v>
      </c>
      <c r="L660" cm="1">
        <f t="array" ref="L660">INDEX(FX_Multi,$AD660,L$3)</f>
        <v>0</v>
      </c>
      <c r="M660" cm="1">
        <f t="array" ref="M660">INDEX(FX_Multi,$AD660,M$3)</f>
        <v>0</v>
      </c>
      <c r="N660" cm="1">
        <f t="array" ref="N660">INDEX(FX_Multi,$AD660,N$3)</f>
        <v>0</v>
      </c>
      <c r="O660" cm="1">
        <f t="array" ref="O660">INDEX(FX_Multi,$AD660,O$3)</f>
        <v>0</v>
      </c>
      <c r="AC660">
        <v>1</v>
      </c>
      <c r="AD660">
        <f>AD659+4</f>
        <v>277</v>
      </c>
      <c r="AE660">
        <v>1</v>
      </c>
      <c r="AF660">
        <f>AF654+10</f>
        <v>277</v>
      </c>
    </row>
    <row r="661" spans="2:32" ht="17.149999999999999" x14ac:dyDescent="0.55000000000000004">
      <c r="B661" t="str">
        <f t="shared" si="2323"/>
        <v>Portland</v>
      </c>
      <c r="C661" t="s">
        <v>573</v>
      </c>
      <c r="D661" cm="1">
        <f t="array" ref="D661">INDEX(FX_Multi,$AD661,D$3)</f>
        <v>0</v>
      </c>
      <c r="E661" cm="1">
        <f t="array" ref="E661">INDEX(FX_Multi,$AD661,E$3)</f>
        <v>0</v>
      </c>
      <c r="F661" cm="1">
        <f t="array" ref="F661">INDEX(FX_Multi,$AD661,F$3)</f>
        <v>0</v>
      </c>
      <c r="G661" cm="1">
        <f t="array" ref="G661">INDEX(FX_Multi,$AD661,G$3)</f>
        <v>0</v>
      </c>
      <c r="H661" cm="1">
        <f t="array" ref="H661">INDEX(FX_Multi,$AD661,H$3)</f>
        <v>0</v>
      </c>
      <c r="I661" cm="1">
        <f t="array" ref="I661">INDEX(FX_Multi,$AD661,I$3)</f>
        <v>0</v>
      </c>
      <c r="J661" cm="1">
        <f t="array" ref="J661">INDEX(FX_Multi,$AD661,J$3)</f>
        <v>0</v>
      </c>
      <c r="K661" cm="1">
        <f t="array" ref="K661">INDEX(FX_Multi,$AD661,K$3)</f>
        <v>0</v>
      </c>
      <c r="L661" cm="1">
        <f t="array" ref="L661">INDEX(FX_Multi,$AD661,L$3)</f>
        <v>0</v>
      </c>
      <c r="M661" cm="1">
        <f t="array" ref="M661">INDEX(FX_Multi,$AD661,M$3)</f>
        <v>0</v>
      </c>
      <c r="N661" cm="1">
        <f t="array" ref="N661">INDEX(FX_Multi,$AD661,N$3)</f>
        <v>0</v>
      </c>
      <c r="O661" cm="1">
        <f t="array" ref="O661">INDEX(FX_Multi,$AD661,O$3)</f>
        <v>0</v>
      </c>
      <c r="AC661">
        <v>1</v>
      </c>
      <c r="AD661">
        <f>AD660-3</f>
        <v>274</v>
      </c>
      <c r="AE661">
        <v>1</v>
      </c>
      <c r="AF661">
        <f>AF654+7</f>
        <v>274</v>
      </c>
    </row>
    <row r="662" spans="2:32" ht="17.149999999999999" x14ac:dyDescent="0.55000000000000004">
      <c r="B662" t="str">
        <f>B657</f>
        <v>Portland</v>
      </c>
      <c r="C662" t="s">
        <v>526</v>
      </c>
      <c r="D662" cm="1">
        <f t="array" ref="D662">INDEX(FX_Temps,$AF662,D$3)</f>
        <v>43.899999999999977</v>
      </c>
      <c r="E662" cm="1">
        <f t="array" ref="E662">INDEX(FX_Temps,$AF662,E$3)</f>
        <v>44.700000000000045</v>
      </c>
      <c r="F662" cm="1">
        <f t="array" ref="F662">INDEX(FX_Temps,$AF662,F$3)</f>
        <v>46.100000000000023</v>
      </c>
      <c r="G662" cm="1">
        <f t="array" ref="G662">INDEX(FX_Temps,$AF662,G$3)</f>
        <v>48.599999999999966</v>
      </c>
      <c r="H662" cm="1">
        <f t="array" ref="H662">INDEX(FX_Temps,$AF662,H$3)</f>
        <v>53.149999999999977</v>
      </c>
      <c r="I662" cm="1">
        <f t="array" ref="I662">INDEX(FX_Temps,$AF662,I$3)</f>
        <v>56.950000000000045</v>
      </c>
      <c r="J662" cm="1">
        <f t="array" ref="J662">INDEX(FX_Temps,$AF662,J$3)</f>
        <v>60.449999999999932</v>
      </c>
      <c r="K662" cm="1">
        <f t="array" ref="K662">INDEX(FX_Temps,$AF662,K$3)</f>
        <v>60.899999999999977</v>
      </c>
      <c r="L662" cm="1">
        <f t="array" ref="L662">INDEX(FX_Temps,$AF662,L$3)</f>
        <v>58.600000000000023</v>
      </c>
      <c r="M662" cm="1">
        <f t="array" ref="M662">INDEX(FX_Temps,$AF662,M$3)</f>
        <v>52.649999999999977</v>
      </c>
      <c r="N662" cm="1">
        <f t="array" ref="N662">INDEX(FX_Temps,$AF662,N$3)</f>
        <v>47.100000000000023</v>
      </c>
      <c r="O662" cm="1">
        <f t="array" ref="O662">INDEX(FX_Temps,$AF662,O$3)</f>
        <v>43.600000000000023</v>
      </c>
      <c r="AE662">
        <v>1</v>
      </c>
      <c r="AF662">
        <f>AF654+10</f>
        <v>277</v>
      </c>
    </row>
    <row r="663" spans="2:32" ht="17.149999999999999" x14ac:dyDescent="0.55000000000000004">
      <c r="B663" t="str">
        <f t="shared" ref="B663:B684" si="2324">B662</f>
        <v>Portland</v>
      </c>
      <c r="C663" t="s">
        <v>527</v>
      </c>
      <c r="D663" cm="1">
        <f t="array" ref="D663">INDEX(FX_Temps,$AF663,D$3)</f>
        <v>43.899999999999977</v>
      </c>
      <c r="E663" cm="1">
        <f t="array" ref="E663">INDEX(FX_Temps,$AF663,E$3)</f>
        <v>44.700000000000045</v>
      </c>
      <c r="F663" cm="1">
        <f t="array" ref="F663">INDEX(FX_Temps,$AF663,F$3)</f>
        <v>46.100000000000023</v>
      </c>
      <c r="G663" cm="1">
        <f t="array" ref="G663">INDEX(FX_Temps,$AF663,G$3)</f>
        <v>48.599999999999966</v>
      </c>
      <c r="H663" cm="1">
        <f t="array" ref="H663">INDEX(FX_Temps,$AF663,H$3)</f>
        <v>53.149999999999977</v>
      </c>
      <c r="I663" cm="1">
        <f t="array" ref="I663">INDEX(FX_Temps,$AF663,I$3)</f>
        <v>56.950000000000045</v>
      </c>
      <c r="J663" cm="1">
        <f t="array" ref="J663">INDEX(FX_Temps,$AF663,J$3)</f>
        <v>60.449999999999932</v>
      </c>
      <c r="K663" cm="1">
        <f t="array" ref="K663">INDEX(FX_Temps,$AF663,K$3)</f>
        <v>60.899999999999977</v>
      </c>
      <c r="L663" cm="1">
        <f t="array" ref="L663">INDEX(FX_Temps,$AF663,L$3)</f>
        <v>58.600000000000023</v>
      </c>
      <c r="M663" cm="1">
        <f t="array" ref="M663">INDEX(FX_Temps,$AF663,M$3)</f>
        <v>52.649999999999977</v>
      </c>
      <c r="N663" cm="1">
        <f t="array" ref="N663">INDEX(FX_Temps,$AF663,N$3)</f>
        <v>47.100000000000023</v>
      </c>
      <c r="O663" cm="1">
        <f t="array" ref="O663">INDEX(FX_Temps,$AF663,O$3)</f>
        <v>43.600000000000023</v>
      </c>
      <c r="AE663">
        <f>AE662</f>
        <v>1</v>
      </c>
      <c r="AF663">
        <f>AF654+11</f>
        <v>278</v>
      </c>
    </row>
    <row r="664" spans="2:32" ht="17.149999999999999" x14ac:dyDescent="0.55000000000000004">
      <c r="B664" t="str">
        <f t="shared" si="2324"/>
        <v>Portland</v>
      </c>
      <c r="C664" t="s">
        <v>552</v>
      </c>
      <c r="D664" cm="1">
        <f t="array" ref="D664">INDEX(FX_Temps,$AF664,D$3)</f>
        <v>43.899999999999977</v>
      </c>
      <c r="E664" cm="1">
        <f t="array" ref="E664">INDEX(FX_Temps,$AF664,E$3)</f>
        <v>44.700000000000045</v>
      </c>
      <c r="F664" cm="1">
        <f t="array" ref="F664">INDEX(FX_Temps,$AF664,F$3)</f>
        <v>46.100000000000023</v>
      </c>
      <c r="G664" cm="1">
        <f t="array" ref="G664">INDEX(FX_Temps,$AF664,G$3)</f>
        <v>48.599999999999966</v>
      </c>
      <c r="H664" cm="1">
        <f t="array" ref="H664">INDEX(FX_Temps,$AF664,H$3)</f>
        <v>53.149999999999977</v>
      </c>
      <c r="I664" cm="1">
        <f t="array" ref="I664">INDEX(FX_Temps,$AF664,I$3)</f>
        <v>56.950000000000045</v>
      </c>
      <c r="J664" cm="1">
        <f t="array" ref="J664">INDEX(FX_Temps,$AF664,J$3)</f>
        <v>60.449999999999932</v>
      </c>
      <c r="K664" cm="1">
        <f t="array" ref="K664">INDEX(FX_Temps,$AF664,K$3)</f>
        <v>60.899999999999977</v>
      </c>
      <c r="L664" cm="1">
        <f t="array" ref="L664">INDEX(FX_Temps,$AF664,L$3)</f>
        <v>58.600000000000023</v>
      </c>
      <c r="M664" cm="1">
        <f t="array" ref="M664">INDEX(FX_Temps,$AF664,M$3)</f>
        <v>52.649999999999977</v>
      </c>
      <c r="N664" cm="1">
        <f t="array" ref="N664">INDEX(FX_Temps,$AF664,N$3)</f>
        <v>47.100000000000023</v>
      </c>
      <c r="O664" cm="1">
        <f t="array" ref="O664">INDEX(FX_Temps,$AF664,O$3)</f>
        <v>43.600000000000023</v>
      </c>
      <c r="AE664">
        <f>AE663</f>
        <v>1</v>
      </c>
      <c r="AF664">
        <f>AF654+13</f>
        <v>280</v>
      </c>
    </row>
    <row r="665" spans="2:32" ht="17.149999999999999" x14ac:dyDescent="0.55000000000000004">
      <c r="B665" t="str">
        <f t="shared" si="2324"/>
        <v>Portland</v>
      </c>
      <c r="C665" t="s">
        <v>574</v>
      </c>
      <c r="D665" cm="1">
        <f t="array" ref="D665">IFERROR(IF(D655="Chemical",(10^(INDEX(Antoines,MATCH(D654,Antoine_Name,0),2)-INDEX(Antoines,MATCH(D654,Antoine_Name,0),3)/(INDEX(Antoines,MATCH(D654,Antoine_Name,0),4)+(D662-32)*5/9)))*14.7/760,IF(D655="Crude Oil",EXP((2799/(D662+459.6)-2.227)*LOG10(INDEX(FX_Input,Q$5,D$3*$Z$5+$AA$5))-(7261/(D662+459.6))+12.82),IF(D655="Refined Petroleum Stock",EXP((0.7553-(413/(D662+459.6)))*(INDEX(FX_Input,Q$5,D$3*$Z$5+$AA$5-1)^0.5)*LOG10(INDEX(FX_Input,Q$5,D$3*$Z$5+$AA$5))-(1.854-(1042/(D662+459.6)))*(INDEX(FX_Input,Q$5,D$3*$Z$5+$AA$5-1)^0.5)+((2416/(D662+459.6)-2.013)*LOG10(INDEX(FX_Input,Q$5,D$3*$Z$5+$AA$5)))-(8742/(D662+459.6))+15.64),EXP(INDEX(Antoines,MATCH(D654,Antoine_Name,0),2)-INDEX(Antoines,MATCH(D654,Antoine_Name,0),3)/(D662+459.6))))),0)</f>
        <v>4.739577185808354E-3</v>
      </c>
      <c r="E665" cm="1">
        <f t="array" ref="E665">IFERROR(IF(E655="Chemical",(10^(INDEX(Antoines,MATCH(E654,Antoine_Name,0),2)-INDEX(Antoines,MATCH(E654,Antoine_Name,0),3)/(INDEX(Antoines,MATCH(E654,Antoine_Name,0),4)+(E662-32)*5/9)))*14.7/760,IF(E655="Crude Oil",EXP((2799/(E662+459.6)-2.227)*LOG10(INDEX(FX_Input,R$5,E$3*$Z$5+$AA$5))-(7261/(E662+459.6))+12.82),IF(E655="Refined Petroleum Stock",EXP((0.7553-(413/(E662+459.6)))*(INDEX(FX_Input,R$5,E$3*$Z$5+$AA$5-1)^0.5)*LOG10(INDEX(FX_Input,R$5,E$3*$Z$5+$AA$5))-(1.854-(1042/(E662+459.6)))*(INDEX(FX_Input,R$5,E$3*$Z$5+$AA$5-1)^0.5)+((2416/(E662+459.6)-2.013)*LOG10(INDEX(FX_Input,R$5,E$3*$Z$5+$AA$5)))-(8742/(E662+459.6))+15.64),EXP(INDEX(Antoines,MATCH(E654,Antoine_Name,0),2)-INDEX(Antoines,MATCH(E654,Antoine_Name,0),3)/(E662+459.6))))),0)</f>
        <v>4.8748667780818778E-3</v>
      </c>
      <c r="F665" cm="1">
        <f t="array" ref="F665">IFERROR(IF(F655="Chemical",(10^(INDEX(Antoines,MATCH(F654,Antoine_Name,0),2)-INDEX(Antoines,MATCH(F654,Antoine_Name,0),3)/(INDEX(Antoines,MATCH(F654,Antoine_Name,0),4)+(F662-32)*5/9)))*14.7/760,IF(F655="Crude Oil",EXP((2799/(F662+459.6)-2.227)*LOG10(INDEX(FX_Input,S$5,F$3*$Z$5+$AA$5))-(7261/(F662+459.6))+12.82),IF(F655="Refined Petroleum Stock",EXP((0.7553-(413/(F662+459.6)))*(INDEX(FX_Input,S$5,F$3*$Z$5+$AA$5-1)^0.5)*LOG10(INDEX(FX_Input,S$5,F$3*$Z$5+$AA$5))-(1.854-(1042/(F662+459.6)))*(INDEX(FX_Input,S$5,F$3*$Z$5+$AA$5-1)^0.5)+((2416/(F662+459.6)-2.013)*LOG10(INDEX(FX_Input,S$5,F$3*$Z$5+$AA$5)))-(8742/(F662+459.6))+15.64),EXP(INDEX(Antoines,MATCH(F654,Antoine_Name,0),2)-INDEX(Antoines,MATCH(F654,Antoine_Name,0),3)/(F662+459.6))))),0)</f>
        <v>5.119885034186122E-3</v>
      </c>
      <c r="G665" cm="1">
        <f t="array" ref="G665">IFERROR(IF(G655="Chemical",(10^(INDEX(Antoines,MATCH(G654,Antoine_Name,0),2)-INDEX(Antoines,MATCH(G654,Antoine_Name,0),3)/(INDEX(Antoines,MATCH(G654,Antoine_Name,0),4)+(G662-32)*5/9)))*14.7/760,IF(G655="Crude Oil",EXP((2799/(G662+459.6)-2.227)*LOG10(INDEX(FX_Input,T$5,G$3*$Z$5+$AA$5))-(7261/(G662+459.6))+12.82),IF(G655="Refined Petroleum Stock",EXP((0.7553-(413/(G662+459.6)))*(INDEX(FX_Input,T$5,G$3*$Z$5+$AA$5-1)^0.5)*LOG10(INDEX(FX_Input,T$5,G$3*$Z$5+$AA$5))-(1.854-(1042/(G662+459.6)))*(INDEX(FX_Input,T$5,G$3*$Z$5+$AA$5-1)^0.5)+((2416/(G662+459.6)-2.013)*LOG10(INDEX(FX_Input,T$5,G$3*$Z$5+$AA$5)))-(8742/(G662+459.6))+15.64),EXP(INDEX(Antoines,MATCH(G654,Antoine_Name,0),2)-INDEX(Antoines,MATCH(G654,Antoine_Name,0),3)/(G662+459.6))))),0)</f>
        <v>5.5846958573521795E-3</v>
      </c>
      <c r="H665" cm="1">
        <f t="array" ref="H665">IFERROR(IF(H655="Chemical",(10^(INDEX(Antoines,MATCH(H654,Antoine_Name,0),2)-INDEX(Antoines,MATCH(H654,Antoine_Name,0),3)/(INDEX(Antoines,MATCH(H654,Antoine_Name,0),4)+(H662-32)*5/9)))*14.7/760,IF(H655="Crude Oil",EXP((2799/(H662+459.6)-2.227)*LOG10(INDEX(FX_Input,U$5,H$3*$Z$5+$AA$5))-(7261/(H662+459.6))+12.82),IF(H655="Refined Petroleum Stock",EXP((0.7553-(413/(H662+459.6)))*(INDEX(FX_Input,U$5,H$3*$Z$5+$AA$5-1)^0.5)*LOG10(INDEX(FX_Input,U$5,H$3*$Z$5+$AA$5))-(1.854-(1042/(H662+459.6)))*(INDEX(FX_Input,U$5,H$3*$Z$5+$AA$5-1)^0.5)+((2416/(H662+459.6)-2.013)*LOG10(INDEX(FX_Input,U$5,H$3*$Z$5+$AA$5)))-(8742/(H662+459.6))+15.64),EXP(INDEX(Antoines,MATCH(H654,Antoine_Name,0),2)-INDEX(Antoines,MATCH(H654,Antoine_Name,0),3)/(H662+459.6))))),0)</f>
        <v>6.5274070972739821E-3</v>
      </c>
      <c r="I665" cm="1">
        <f t="array" ref="I665">IFERROR(IF(I655="Chemical",(10^(INDEX(Antoines,MATCH(I654,Antoine_Name,0),2)-INDEX(Antoines,MATCH(I654,Antoine_Name,0),3)/(INDEX(Antoines,MATCH(I654,Antoine_Name,0),4)+(I662-32)*5/9)))*14.7/760,IF(I655="Crude Oil",EXP((2799/(I662+459.6)-2.227)*LOG10(INDEX(FX_Input,V$5,I$3*$Z$5+$AA$5))-(7261/(I662+459.6))+12.82),IF(I655="Refined Petroleum Stock",EXP((0.7553-(413/(I662+459.6)))*(INDEX(FX_Input,V$5,I$3*$Z$5+$AA$5-1)^0.5)*LOG10(INDEX(FX_Input,V$5,I$3*$Z$5+$AA$5))-(1.854-(1042/(I662+459.6)))*(INDEX(FX_Input,V$5,I$3*$Z$5+$AA$5-1)^0.5)+((2416/(I662+459.6)-2.013)*LOG10(INDEX(FX_Input,V$5,I$3*$Z$5+$AA$5)))-(8742/(I662+459.6))+15.64),EXP(INDEX(Antoines,MATCH(I654,Antoine_Name,0),2)-INDEX(Antoines,MATCH(I654,Antoine_Name,0),3)/(I662+459.6))))),0)</f>
        <v>7.4199539958878279E-3</v>
      </c>
      <c r="J665" cm="1">
        <f t="array" ref="J665">IFERROR(IF(J655="Chemical",(10^(INDEX(Antoines,MATCH(J654,Antoine_Name,0),2)-INDEX(Antoines,MATCH(J654,Antoine_Name,0),3)/(INDEX(Antoines,MATCH(J654,Antoine_Name,0),4)+(J662-32)*5/9)))*14.7/760,IF(J655="Crude Oil",EXP((2799/(J662+459.6)-2.227)*LOG10(INDEX(FX_Input,W$5,J$3*$Z$5+$AA$5))-(7261/(J662+459.6))+12.82),IF(J655="Refined Petroleum Stock",EXP((0.7553-(413/(J662+459.6)))*(INDEX(FX_Input,W$5,J$3*$Z$5+$AA$5-1)^0.5)*LOG10(INDEX(FX_Input,W$5,J$3*$Z$5+$AA$5))-(1.854-(1042/(J662+459.6)))*(INDEX(FX_Input,W$5,J$3*$Z$5+$AA$5-1)^0.5)+((2416/(J662+459.6)-2.013)*LOG10(INDEX(FX_Input,W$5,J$3*$Z$5+$AA$5)))-(8742/(J662+459.6))+15.64),EXP(INDEX(Antoines,MATCH(J654,Antoine_Name,0),2)-INDEX(Antoines,MATCH(J654,Antoine_Name,0),3)/(J662+459.6))))),0)</f>
        <v>8.3358107202842254E-3</v>
      </c>
      <c r="K665" cm="1">
        <f t="array" ref="K665">IFERROR(IF(K655="Chemical",(10^(INDEX(Antoines,MATCH(K654,Antoine_Name,0),2)-INDEX(Antoines,MATCH(K654,Antoine_Name,0),3)/(INDEX(Antoines,MATCH(K654,Antoine_Name,0),4)+(K662-32)*5/9)))*14.7/760,IF(K655="Crude Oil",EXP((2799/(K662+459.6)-2.227)*LOG10(INDEX(FX_Input,X$5,K$3*$Z$5+$AA$5))-(7261/(K662+459.6))+12.82),IF(K655="Refined Petroleum Stock",EXP((0.7553-(413/(K662+459.6)))*(INDEX(FX_Input,X$5,K$3*$Z$5+$AA$5-1)^0.5)*LOG10(INDEX(FX_Input,X$5,K$3*$Z$5+$AA$5))-(1.854-(1042/(K662+459.6)))*(INDEX(FX_Input,X$5,K$3*$Z$5+$AA$5-1)^0.5)+((2416/(K662+459.6)-2.013)*LOG10(INDEX(FX_Input,X$5,K$3*$Z$5+$AA$5)))-(8742/(K662+459.6))+15.64),EXP(INDEX(Antoines,MATCH(K654,Antoine_Name,0),2)-INDEX(Antoines,MATCH(K654,Antoine_Name,0),3)/(K662+459.6))))),0)</f>
        <v>8.4605262729351115E-3</v>
      </c>
      <c r="L665" cm="1">
        <f t="array" ref="L665">IFERROR(IF(L655="Chemical",(10^(INDEX(Antoines,MATCH(L654,Antoine_Name,0),2)-INDEX(Antoines,MATCH(L654,Antoine_Name,0),3)/(INDEX(Antoines,MATCH(L654,Antoine_Name,0),4)+(L662-32)*5/9)))*14.7/760,IF(L655="Crude Oil",EXP((2799/(L662+459.6)-2.227)*LOG10(INDEX(FX_Input,Y$5,L$3*$Z$5+$AA$5))-(7261/(L662+459.6))+12.82),IF(L655="Refined Petroleum Stock",EXP((0.7553-(413/(L662+459.6)))*(INDEX(FX_Input,Y$5,L$3*$Z$5+$AA$5-1)^0.5)*LOG10(INDEX(FX_Input,Y$5,L$3*$Z$5+$AA$5))-(1.854-(1042/(L662+459.6)))*(INDEX(FX_Input,Y$5,L$3*$Z$5+$AA$5-1)^0.5)+((2416/(L662+459.6)-2.013)*LOG10(INDEX(FX_Input,Y$5,L$3*$Z$5+$AA$5)))-(8742/(L662+459.6))+15.64),EXP(INDEX(Antoines,MATCH(L654,Antoine_Name,0),2)-INDEX(Antoines,MATCH(L654,Antoine_Name,0),3)/(L662+459.6))))),0)</f>
        <v>7.8399882233967533E-3</v>
      </c>
      <c r="M665" cm="1">
        <f t="array" ref="M665">IFERROR(IF(M655="Chemical",(10^(INDEX(Antoines,MATCH(M654,Antoine_Name,0),2)-INDEX(Antoines,MATCH(M654,Antoine_Name,0),3)/(INDEX(Antoines,MATCH(M654,Antoine_Name,0),4)+(M662-32)*5/9)))*14.7/760,IF(M655="Crude Oil",EXP((2799/(M662+459.6)-2.227)*LOG10(INDEX(FX_Input,Z$5,M$3*$Z$5+$AA$5))-(7261/(M662+459.6))+12.82),IF(M655="Refined Petroleum Stock",EXP((0.7553-(413/(M662+459.6)))*(INDEX(FX_Input,Z$5,M$3*$Z$5+$AA$5-1)^0.5)*LOG10(INDEX(FX_Input,Z$5,M$3*$Z$5+$AA$5))-(1.854-(1042/(M662+459.6)))*(INDEX(FX_Input,Z$5,M$3*$Z$5+$AA$5-1)^0.5)+((2416/(M662+459.6)-2.013)*LOG10(INDEX(FX_Input,Z$5,M$3*$Z$5+$AA$5)))-(8742/(M662+459.6))+15.64),EXP(INDEX(Antoines,MATCH(M654,Antoine_Name,0),2)-INDEX(Antoines,MATCH(M654,Antoine_Name,0),3)/(M662+459.6))))),0)</f>
        <v>6.4173462075160911E-3</v>
      </c>
      <c r="N665" cm="1">
        <f t="array" ref="N665">IFERROR(IF(N655="Chemical",(10^(INDEX(Antoines,MATCH(N654,Antoine_Name,0),2)-INDEX(Antoines,MATCH(N654,Antoine_Name,0),3)/(INDEX(Antoines,MATCH(N654,Antoine_Name,0),4)+(N662-32)*5/9)))*14.7/760,IF(N655="Crude Oil",EXP((2799/(N662+459.6)-2.227)*LOG10(INDEX(FX_Input,AA$5,N$3*$Z$5+$AA$5))-(7261/(N662+459.6))+12.82),IF(N655="Refined Petroleum Stock",EXP((0.7553-(413/(N662+459.6)))*(INDEX(FX_Input,AA$5,N$3*$Z$5+$AA$5-1)^0.5)*LOG10(INDEX(FX_Input,AA$5,N$3*$Z$5+$AA$5))-(1.854-(1042/(N662+459.6)))*(INDEX(FX_Input,AA$5,N$3*$Z$5+$AA$5-1)^0.5)+((2416/(N662+459.6)-2.013)*LOG10(INDEX(FX_Input,AA$5,N$3*$Z$5+$AA$5)))-(8742/(N662+459.6))+15.64),EXP(INDEX(Antoines,MATCH(N654,Antoine_Name,0),2)-INDEX(Antoines,MATCH(N654,Antoine_Name,0),3)/(N662+459.6))))),0)</f>
        <v>5.3015226887581056E-3</v>
      </c>
      <c r="O665" cm="1">
        <f t="array" ref="O665">IFERROR(IF(O655="Chemical",(10^(INDEX(Antoines,MATCH(O654,Antoine_Name,0),2)-INDEX(Antoines,MATCH(O654,Antoine_Name,0),3)/(INDEX(Antoines,MATCH(O654,Antoine_Name,0),4)+(O662-32)*5/9)))*14.7/760,IF(O655="Crude Oil",EXP((2799/(O662+459.6)-2.227)*LOG10(INDEX(FX_Input,AB$5,O$3*$Z$5+$AA$5))-(7261/(O662+459.6))+12.82),IF(O655="Refined Petroleum Stock",EXP((0.7553-(413/(O662+459.6)))*(INDEX(FX_Input,AB$5,O$3*$Z$5+$AA$5-1)^0.5)*LOG10(INDEX(FX_Input,AB$5,O$3*$Z$5+$AA$5))-(1.854-(1042/(O662+459.6)))*(INDEX(FX_Input,AB$5,O$3*$Z$5+$AA$5-1)^0.5)+((2416/(O662+459.6)-2.013)*LOG10(INDEX(FX_Input,AB$5,O$3*$Z$5+$AA$5)))-(8742/(O662+459.6))+15.64),EXP(INDEX(Antoines,MATCH(O654,Antoine_Name,0),2)-INDEX(Antoines,MATCH(O654,Antoine_Name,0),3)/(O662+459.6))))),0)</f>
        <v>4.68970903600947E-3</v>
      </c>
    </row>
    <row r="666" spans="2:32" ht="17.149999999999999" x14ac:dyDescent="0.55000000000000004">
      <c r="B666" t="str">
        <f t="shared" si="2324"/>
        <v>Portland</v>
      </c>
      <c r="C666" t="s">
        <v>576</v>
      </c>
      <c r="D666">
        <f>D658*D665</f>
        <v>4.739577185808354E-3</v>
      </c>
      <c r="E666">
        <f t="shared" ref="E666" si="2325">E658*E665</f>
        <v>4.8748667780818778E-3</v>
      </c>
      <c r="F666">
        <f t="shared" ref="F666" si="2326">F658*F665</f>
        <v>5.119885034186122E-3</v>
      </c>
      <c r="G666">
        <f t="shared" ref="G666" si="2327">G658*G665</f>
        <v>5.5846958573521795E-3</v>
      </c>
      <c r="H666">
        <f t="shared" ref="H666" si="2328">H658*H665</f>
        <v>6.5274070972739821E-3</v>
      </c>
      <c r="I666">
        <f t="shared" ref="I666" si="2329">I658*I665</f>
        <v>7.4199539958878279E-3</v>
      </c>
      <c r="J666">
        <f t="shared" ref="J666" si="2330">J658*J665</f>
        <v>8.3358107202842254E-3</v>
      </c>
      <c r="K666">
        <f t="shared" ref="K666" si="2331">K658*K665</f>
        <v>8.4605262729351115E-3</v>
      </c>
      <c r="L666">
        <f t="shared" ref="L666" si="2332">L658*L665</f>
        <v>7.8399882233967533E-3</v>
      </c>
      <c r="M666">
        <f t="shared" ref="M666" si="2333">M658*M665</f>
        <v>6.4173462075160911E-3</v>
      </c>
      <c r="N666">
        <f t="shared" ref="N666" si="2334">N658*N665</f>
        <v>5.3015226887581056E-3</v>
      </c>
      <c r="O666">
        <f t="shared" ref="O666" si="2335">O658*O665</f>
        <v>4.68970903600947E-3</v>
      </c>
    </row>
    <row r="667" spans="2:32" ht="17.149999999999999" x14ac:dyDescent="0.55000000000000004">
      <c r="B667" t="str">
        <f t="shared" si="2324"/>
        <v>Portland</v>
      </c>
      <c r="C667" t="s">
        <v>575</v>
      </c>
      <c r="D667" cm="1">
        <f t="array" ref="D667">IFERROR(IF(D657="Chemical",(10^(INDEX(Antoines,MATCH(D656,Antoine_Name,0),2)-INDEX(Antoines,MATCH(D656,Antoine_Name,0),3)/(INDEX(Antoines,MATCH(D656,Antoine_Name,0),4)+(D662-32)*5/9)))*14.7/760,IF(D657="Crude Oil",EXP((2799/(D662+459.6)-2.227)*LOG10(INDEX(FX_Input,Q$5,D$3*$Z$5+$AA$5))-(7261/(D662+459.6))+12.82),IF(D657="Refined Petroleum Stock",EXP((0.7553-(413/(D662+459.6)))*(INDEX(FX_Input,Q$5,D$3*$Z$5+$AA$5-1)^0.5)*LOG10(INDEX(FX_Input,Q$5,D$3*$Z$5+$AA$5))-(1.854-(1042/(D662+459.6)))*(INDEX(FX_Input,Q$5,D$3*$Z$5+$AA$5-1)^0.5)+((2416/(D662+459.6)-2.013)*LOG10(INDEX(FX_Input,Q$5,D$3*$Z$5+$AA$5)))-(8742/(D662+459.6))+15.64),EXP(INDEX(Antoines,MATCH(D656,Antoine_Name,0),2)-INDEX(Antoines,MATCH(D656,Antoine_Name,0),3)/(D662+459.6))))),0)</f>
        <v>0</v>
      </c>
      <c r="E667" cm="1">
        <f t="array" ref="E667">IFERROR(IF(E657="Chemical",(10^(INDEX(Antoines,MATCH(E656,Antoine_Name,0),2)-INDEX(Antoines,MATCH(E656,Antoine_Name,0),3)/(INDEX(Antoines,MATCH(E656,Antoine_Name,0),4)+(E662-32)*5/9)))*14.7/760,IF(E657="Crude Oil",EXP((2799/(E662+459.6)-2.227)*LOG10(INDEX(FX_Input,R$5,E$3*$Z$5+$AA$5))-(7261/(E662+459.6))+12.82),IF(E657="Refined Petroleum Stock",EXP((0.7553-(413/(E662+459.6)))*(INDEX(FX_Input,R$5,E$3*$Z$5+$AA$5-1)^0.5)*LOG10(INDEX(FX_Input,R$5,E$3*$Z$5+$AA$5))-(1.854-(1042/(E662+459.6)))*(INDEX(FX_Input,R$5,E$3*$Z$5+$AA$5-1)^0.5)+((2416/(E662+459.6)-2.013)*LOG10(INDEX(FX_Input,R$5,E$3*$Z$5+$AA$5)))-(8742/(E662+459.6))+15.64),EXP(INDEX(Antoines,MATCH(E656,Antoine_Name,0),2)-INDEX(Antoines,MATCH(E656,Antoine_Name,0),3)/(E662+459.6))))),0)</f>
        <v>0</v>
      </c>
      <c r="F667" cm="1">
        <f t="array" ref="F667">IFERROR(IF(F657="Chemical",(10^(INDEX(Antoines,MATCH(F656,Antoine_Name,0),2)-INDEX(Antoines,MATCH(F656,Antoine_Name,0),3)/(INDEX(Antoines,MATCH(F656,Antoine_Name,0),4)+(F662-32)*5/9)))*14.7/760,IF(F657="Crude Oil",EXP((2799/(F662+459.6)-2.227)*LOG10(INDEX(FX_Input,S$5,F$3*$Z$5+$AA$5))-(7261/(F662+459.6))+12.82),IF(F657="Refined Petroleum Stock",EXP((0.7553-(413/(F662+459.6)))*(INDEX(FX_Input,S$5,F$3*$Z$5+$AA$5-1)^0.5)*LOG10(INDEX(FX_Input,S$5,F$3*$Z$5+$AA$5))-(1.854-(1042/(F662+459.6)))*(INDEX(FX_Input,S$5,F$3*$Z$5+$AA$5-1)^0.5)+((2416/(F662+459.6)-2.013)*LOG10(INDEX(FX_Input,S$5,F$3*$Z$5+$AA$5)))-(8742/(F662+459.6))+15.64),EXP(INDEX(Antoines,MATCH(F656,Antoine_Name,0),2)-INDEX(Antoines,MATCH(F656,Antoine_Name,0),3)/(F662+459.6))))),0)</f>
        <v>0</v>
      </c>
      <c r="G667" cm="1">
        <f t="array" ref="G667">IFERROR(IF(G657="Chemical",(10^(INDEX(Antoines,MATCH(G656,Antoine_Name,0),2)-INDEX(Antoines,MATCH(G656,Antoine_Name,0),3)/(INDEX(Antoines,MATCH(G656,Antoine_Name,0),4)+(G662-32)*5/9)))*14.7/760,IF(G657="Crude Oil",EXP((2799/(G662+459.6)-2.227)*LOG10(INDEX(FX_Input,T$5,G$3*$Z$5+$AA$5))-(7261/(G662+459.6))+12.82),IF(G657="Refined Petroleum Stock",EXP((0.7553-(413/(G662+459.6)))*(INDEX(FX_Input,T$5,G$3*$Z$5+$AA$5-1)^0.5)*LOG10(INDEX(FX_Input,T$5,G$3*$Z$5+$AA$5))-(1.854-(1042/(G662+459.6)))*(INDEX(FX_Input,T$5,G$3*$Z$5+$AA$5-1)^0.5)+((2416/(G662+459.6)-2.013)*LOG10(INDEX(FX_Input,T$5,G$3*$Z$5+$AA$5)))-(8742/(G662+459.6))+15.64),EXP(INDEX(Antoines,MATCH(G656,Antoine_Name,0),2)-INDEX(Antoines,MATCH(G656,Antoine_Name,0),3)/(G662+459.6))))),0)</f>
        <v>0</v>
      </c>
      <c r="H667" cm="1">
        <f t="array" ref="H667">IFERROR(IF(H657="Chemical",(10^(INDEX(Antoines,MATCH(H656,Antoine_Name,0),2)-INDEX(Antoines,MATCH(H656,Antoine_Name,0),3)/(INDEX(Antoines,MATCH(H656,Antoine_Name,0),4)+(H662-32)*5/9)))*14.7/760,IF(H657="Crude Oil",EXP((2799/(H662+459.6)-2.227)*LOG10(INDEX(FX_Input,U$5,H$3*$Z$5+$AA$5))-(7261/(H662+459.6))+12.82),IF(H657="Refined Petroleum Stock",EXP((0.7553-(413/(H662+459.6)))*(INDEX(FX_Input,U$5,H$3*$Z$5+$AA$5-1)^0.5)*LOG10(INDEX(FX_Input,U$5,H$3*$Z$5+$AA$5))-(1.854-(1042/(H662+459.6)))*(INDEX(FX_Input,U$5,H$3*$Z$5+$AA$5-1)^0.5)+((2416/(H662+459.6)-2.013)*LOG10(INDEX(FX_Input,U$5,H$3*$Z$5+$AA$5)))-(8742/(H662+459.6))+15.64),EXP(INDEX(Antoines,MATCH(H656,Antoine_Name,0),2)-INDEX(Antoines,MATCH(H656,Antoine_Name,0),3)/(H662+459.6))))),0)</f>
        <v>0</v>
      </c>
      <c r="I667" cm="1">
        <f t="array" ref="I667">IFERROR(IF(I657="Chemical",(10^(INDEX(Antoines,MATCH(I656,Antoine_Name,0),2)-INDEX(Antoines,MATCH(I656,Antoine_Name,0),3)/(INDEX(Antoines,MATCH(I656,Antoine_Name,0),4)+(I662-32)*5/9)))*14.7/760,IF(I657="Crude Oil",EXP((2799/(I662+459.6)-2.227)*LOG10(INDEX(FX_Input,V$5,I$3*$Z$5+$AA$5))-(7261/(I662+459.6))+12.82),IF(I657="Refined Petroleum Stock",EXP((0.7553-(413/(I662+459.6)))*(INDEX(FX_Input,V$5,I$3*$Z$5+$AA$5-1)^0.5)*LOG10(INDEX(FX_Input,V$5,I$3*$Z$5+$AA$5))-(1.854-(1042/(I662+459.6)))*(INDEX(FX_Input,V$5,I$3*$Z$5+$AA$5-1)^0.5)+((2416/(I662+459.6)-2.013)*LOG10(INDEX(FX_Input,V$5,I$3*$Z$5+$AA$5)))-(8742/(I662+459.6))+15.64),EXP(INDEX(Antoines,MATCH(I656,Antoine_Name,0),2)-INDEX(Antoines,MATCH(I656,Antoine_Name,0),3)/(I662+459.6))))),0)</f>
        <v>0</v>
      </c>
      <c r="J667" cm="1">
        <f t="array" ref="J667">IFERROR(IF(J657="Chemical",(10^(INDEX(Antoines,MATCH(J656,Antoine_Name,0),2)-INDEX(Antoines,MATCH(J656,Antoine_Name,0),3)/(INDEX(Antoines,MATCH(J656,Antoine_Name,0),4)+(J662-32)*5/9)))*14.7/760,IF(J657="Crude Oil",EXP((2799/(J662+459.6)-2.227)*LOG10(INDEX(FX_Input,W$5,J$3*$Z$5+$AA$5))-(7261/(J662+459.6))+12.82),IF(J657="Refined Petroleum Stock",EXP((0.7553-(413/(J662+459.6)))*(INDEX(FX_Input,W$5,J$3*$Z$5+$AA$5-1)^0.5)*LOG10(INDEX(FX_Input,W$5,J$3*$Z$5+$AA$5))-(1.854-(1042/(J662+459.6)))*(INDEX(FX_Input,W$5,J$3*$Z$5+$AA$5-1)^0.5)+((2416/(J662+459.6)-2.013)*LOG10(INDEX(FX_Input,W$5,J$3*$Z$5+$AA$5)))-(8742/(J662+459.6))+15.64),EXP(INDEX(Antoines,MATCH(J656,Antoine_Name,0),2)-INDEX(Antoines,MATCH(J656,Antoine_Name,0),3)/(J662+459.6))))),0)</f>
        <v>0</v>
      </c>
      <c r="K667" cm="1">
        <f t="array" ref="K667">IFERROR(IF(K657="Chemical",(10^(INDEX(Antoines,MATCH(K656,Antoine_Name,0),2)-INDEX(Antoines,MATCH(K656,Antoine_Name,0),3)/(INDEX(Antoines,MATCH(K656,Antoine_Name,0),4)+(K662-32)*5/9)))*14.7/760,IF(K657="Crude Oil",EXP((2799/(K662+459.6)-2.227)*LOG10(INDEX(FX_Input,X$5,K$3*$Z$5+$AA$5))-(7261/(K662+459.6))+12.82),IF(K657="Refined Petroleum Stock",EXP((0.7553-(413/(K662+459.6)))*(INDEX(FX_Input,X$5,K$3*$Z$5+$AA$5-1)^0.5)*LOG10(INDEX(FX_Input,X$5,K$3*$Z$5+$AA$5))-(1.854-(1042/(K662+459.6)))*(INDEX(FX_Input,X$5,K$3*$Z$5+$AA$5-1)^0.5)+((2416/(K662+459.6)-2.013)*LOG10(INDEX(FX_Input,X$5,K$3*$Z$5+$AA$5)))-(8742/(K662+459.6))+15.64),EXP(INDEX(Antoines,MATCH(K656,Antoine_Name,0),2)-INDEX(Antoines,MATCH(K656,Antoine_Name,0),3)/(K662+459.6))))),0)</f>
        <v>0</v>
      </c>
      <c r="L667" cm="1">
        <f t="array" ref="L667">IFERROR(IF(L657="Chemical",(10^(INDEX(Antoines,MATCH(L656,Antoine_Name,0),2)-INDEX(Antoines,MATCH(L656,Antoine_Name,0),3)/(INDEX(Antoines,MATCH(L656,Antoine_Name,0),4)+(L662-32)*5/9)))*14.7/760,IF(L657="Crude Oil",EXP((2799/(L662+459.6)-2.227)*LOG10(INDEX(FX_Input,Y$5,L$3*$Z$5+$AA$5))-(7261/(L662+459.6))+12.82),IF(L657="Refined Petroleum Stock",EXP((0.7553-(413/(L662+459.6)))*(INDEX(FX_Input,Y$5,L$3*$Z$5+$AA$5-1)^0.5)*LOG10(INDEX(FX_Input,Y$5,L$3*$Z$5+$AA$5))-(1.854-(1042/(L662+459.6)))*(INDEX(FX_Input,Y$5,L$3*$Z$5+$AA$5-1)^0.5)+((2416/(L662+459.6)-2.013)*LOG10(INDEX(FX_Input,Y$5,L$3*$Z$5+$AA$5)))-(8742/(L662+459.6))+15.64),EXP(INDEX(Antoines,MATCH(L656,Antoine_Name,0),2)-INDEX(Antoines,MATCH(L656,Antoine_Name,0),3)/(L662+459.6))))),0)</f>
        <v>0</v>
      </c>
      <c r="M667" cm="1">
        <f t="array" ref="M667">IFERROR(IF(M657="Chemical",(10^(INDEX(Antoines,MATCH(M656,Antoine_Name,0),2)-INDEX(Antoines,MATCH(M656,Antoine_Name,0),3)/(INDEX(Antoines,MATCH(M656,Antoine_Name,0),4)+(M662-32)*5/9)))*14.7/760,IF(M657="Crude Oil",EXP((2799/(M662+459.6)-2.227)*LOG10(INDEX(FX_Input,Z$5,M$3*$Z$5+$AA$5))-(7261/(M662+459.6))+12.82),IF(M657="Refined Petroleum Stock",EXP((0.7553-(413/(M662+459.6)))*(INDEX(FX_Input,Z$5,M$3*$Z$5+$AA$5-1)^0.5)*LOG10(INDEX(FX_Input,Z$5,M$3*$Z$5+$AA$5))-(1.854-(1042/(M662+459.6)))*(INDEX(FX_Input,Z$5,M$3*$Z$5+$AA$5-1)^0.5)+((2416/(M662+459.6)-2.013)*LOG10(INDEX(FX_Input,Z$5,M$3*$Z$5+$AA$5)))-(8742/(M662+459.6))+15.64),EXP(INDEX(Antoines,MATCH(M656,Antoine_Name,0),2)-INDEX(Antoines,MATCH(M656,Antoine_Name,0),3)/(M662+459.6))))),0)</f>
        <v>0</v>
      </c>
      <c r="N667" cm="1">
        <f t="array" ref="N667">IFERROR(IF(N657="Chemical",(10^(INDEX(Antoines,MATCH(N656,Antoine_Name,0),2)-INDEX(Antoines,MATCH(N656,Antoine_Name,0),3)/(INDEX(Antoines,MATCH(N656,Antoine_Name,0),4)+(N662-32)*5/9)))*14.7/760,IF(N657="Crude Oil",EXP((2799/(N662+459.6)-2.227)*LOG10(INDEX(FX_Input,AA$5,N$3*$Z$5+$AA$5))-(7261/(N662+459.6))+12.82),IF(N657="Refined Petroleum Stock",EXP((0.7553-(413/(N662+459.6)))*(INDEX(FX_Input,AA$5,N$3*$Z$5+$AA$5-1)^0.5)*LOG10(INDEX(FX_Input,AA$5,N$3*$Z$5+$AA$5))-(1.854-(1042/(N662+459.6)))*(INDEX(FX_Input,AA$5,N$3*$Z$5+$AA$5-1)^0.5)+((2416/(N662+459.6)-2.013)*LOG10(INDEX(FX_Input,AA$5,N$3*$Z$5+$AA$5)))-(8742/(N662+459.6))+15.64),EXP(INDEX(Antoines,MATCH(N656,Antoine_Name,0),2)-INDEX(Antoines,MATCH(N656,Antoine_Name,0),3)/(N662+459.6))))),0)</f>
        <v>0</v>
      </c>
      <c r="O667" cm="1">
        <f t="array" ref="O667">IFERROR(IF(O657="Chemical",(10^(INDEX(Antoines,MATCH(O656,Antoine_Name,0),2)-INDEX(Antoines,MATCH(O656,Antoine_Name,0),3)/(INDEX(Antoines,MATCH(O656,Antoine_Name,0),4)+(O662-32)*5/9)))*14.7/760,IF(O657="Crude Oil",EXP((2799/(O662+459.6)-2.227)*LOG10(INDEX(FX_Input,AB$5,O$3*$Z$5+$AA$5))-(7261/(O662+459.6))+12.82),IF(O657="Refined Petroleum Stock",EXP((0.7553-(413/(O662+459.6)))*(INDEX(FX_Input,AB$5,O$3*$Z$5+$AA$5-1)^0.5)*LOG10(INDEX(FX_Input,AB$5,O$3*$Z$5+$AA$5))-(1.854-(1042/(O662+459.6)))*(INDEX(FX_Input,AB$5,O$3*$Z$5+$AA$5-1)^0.5)+((2416/(O662+459.6)-2.013)*LOG10(INDEX(FX_Input,AB$5,O$3*$Z$5+$AA$5)))-(8742/(O662+459.6))+15.64),EXP(INDEX(Antoines,MATCH(O656,Antoine_Name,0),2)-INDEX(Antoines,MATCH(O656,Antoine_Name,0),3)/(O662+459.6))))),0)</f>
        <v>0</v>
      </c>
    </row>
    <row r="668" spans="2:32" ht="17.149999999999999" x14ac:dyDescent="0.55000000000000004">
      <c r="B668" t="str">
        <f t="shared" si="2324"/>
        <v>Portland</v>
      </c>
      <c r="C668" t="s">
        <v>577</v>
      </c>
      <c r="D668">
        <f>D667*D660</f>
        <v>0</v>
      </c>
      <c r="E668">
        <f t="shared" ref="E668" si="2336">E667*E660</f>
        <v>0</v>
      </c>
      <c r="F668">
        <f t="shared" ref="F668" si="2337">F667*F660</f>
        <v>0</v>
      </c>
      <c r="G668">
        <f t="shared" ref="G668" si="2338">G667*G660</f>
        <v>0</v>
      </c>
      <c r="H668">
        <f t="shared" ref="H668" si="2339">H667*H660</f>
        <v>0</v>
      </c>
      <c r="I668">
        <f t="shared" ref="I668" si="2340">I667*I660</f>
        <v>0</v>
      </c>
      <c r="J668">
        <f t="shared" ref="J668" si="2341">J667*J660</f>
        <v>0</v>
      </c>
      <c r="K668">
        <f t="shared" ref="K668" si="2342">K667*K660</f>
        <v>0</v>
      </c>
      <c r="L668">
        <f t="shared" ref="L668" si="2343">L667*L660</f>
        <v>0</v>
      </c>
      <c r="M668">
        <f t="shared" ref="M668" si="2344">M667*M660</f>
        <v>0</v>
      </c>
      <c r="N668">
        <f t="shared" ref="N668" si="2345">N667*N660</f>
        <v>0</v>
      </c>
      <c r="O668">
        <f t="shared" ref="O668" si="2346">O667*O660</f>
        <v>0</v>
      </c>
    </row>
    <row r="669" spans="2:32" ht="17.149999999999999" x14ac:dyDescent="0.55000000000000004">
      <c r="B669" t="str">
        <f t="shared" si="2324"/>
        <v>Portland</v>
      </c>
      <c r="C669" t="s">
        <v>578</v>
      </c>
      <c r="D669">
        <f>D668+D666</f>
        <v>4.739577185808354E-3</v>
      </c>
      <c r="E669">
        <f t="shared" ref="E669" si="2347">E668+E666</f>
        <v>4.8748667780818778E-3</v>
      </c>
      <c r="F669">
        <f t="shared" ref="F669" si="2348">F668+F666</f>
        <v>5.119885034186122E-3</v>
      </c>
      <c r="G669">
        <f t="shared" ref="G669" si="2349">G668+G666</f>
        <v>5.5846958573521795E-3</v>
      </c>
      <c r="H669">
        <f t="shared" ref="H669" si="2350">H668+H666</f>
        <v>6.5274070972739821E-3</v>
      </c>
      <c r="I669">
        <f t="shared" ref="I669" si="2351">I668+I666</f>
        <v>7.4199539958878279E-3</v>
      </c>
      <c r="J669">
        <f t="shared" ref="J669" si="2352">J668+J666</f>
        <v>8.3358107202842254E-3</v>
      </c>
      <c r="K669">
        <f t="shared" ref="K669" si="2353">K668+K666</f>
        <v>8.4605262729351115E-3</v>
      </c>
      <c r="L669">
        <f t="shared" ref="L669" si="2354">L668+L666</f>
        <v>7.8399882233967533E-3</v>
      </c>
      <c r="M669">
        <f t="shared" ref="M669" si="2355">M668+M666</f>
        <v>6.4173462075160911E-3</v>
      </c>
      <c r="N669">
        <f t="shared" ref="N669" si="2356">N668+N666</f>
        <v>5.3015226887581056E-3</v>
      </c>
      <c r="O669">
        <f t="shared" ref="O669" si="2357">O668+O666</f>
        <v>4.68970903600947E-3</v>
      </c>
    </row>
    <row r="670" spans="2:32" ht="17.149999999999999" x14ac:dyDescent="0.55000000000000004">
      <c r="B670" t="str">
        <f t="shared" si="2324"/>
        <v>Portland</v>
      </c>
      <c r="C670" t="s">
        <v>579</v>
      </c>
      <c r="D670" cm="1">
        <f t="array" ref="D670">IFERROR(IF(D655="Chemical",(10^(INDEX(Antoines,MATCH(D654,Antoine_Name,0),2)-INDEX(Antoines,MATCH(D654,Antoine_Name,0),3)/(INDEX(Antoines,MATCH(D654,Antoine_Name,0),4)+(D663-32)*5/9)))*14.7/760,IF(D655="Crude Oil",EXP((2799/(D663+459.6)-2.227)*LOG10(INDEX(FX_Input,Q$5,D$3*$Z$5+$AA$5))-(7261/(D663+459.6))+12.82),IF(D655="Refined Petroleum Stock",EXP((0.7553-(413/(D663+459.6)))*(INDEX(FX_Input,Q$5,D$3*$Z$5+$AA$5-1)^0.5)*LOG10(INDEX(FX_Input,Q$5,D$3*$Z$5+$AA$5))-(1.854-(1042/(D663+459.6)))*(INDEX(FX_Input,Q$5,D$3*$Z$5+$AA$5-1)^0.5)+((2416/(D663+459.6)-2.013)*LOG10(INDEX(FX_Input,Q$5,D$3*$Z$5+$AA$5)))-(8742/(D663+459.6))+15.64),EXP(INDEX(Antoines,MATCH(D654,Antoine_Name,0),2)-INDEX(Antoines,MATCH(D654,Antoine_Name,0),3)/(D663+459.6))))),0)</f>
        <v>4.739577185808354E-3</v>
      </c>
      <c r="E670" cm="1">
        <f t="array" ref="E670">IFERROR(IF(E655="Chemical",(10^(INDEX(Antoines,MATCH(E654,Antoine_Name,0),2)-INDEX(Antoines,MATCH(E654,Antoine_Name,0),3)/(INDEX(Antoines,MATCH(E654,Antoine_Name,0),4)+(E663-32)*5/9)))*14.7/760,IF(E655="Crude Oil",EXP((2799/(E663+459.6)-2.227)*LOG10(INDEX(FX_Input,R$5,E$3*$Z$5+$AA$5))-(7261/(E663+459.6))+12.82),IF(E655="Refined Petroleum Stock",EXP((0.7553-(413/(E663+459.6)))*(INDEX(FX_Input,R$5,E$3*$Z$5+$AA$5-1)^0.5)*LOG10(INDEX(FX_Input,R$5,E$3*$Z$5+$AA$5))-(1.854-(1042/(E663+459.6)))*(INDEX(FX_Input,R$5,E$3*$Z$5+$AA$5-1)^0.5)+((2416/(E663+459.6)-2.013)*LOG10(INDEX(FX_Input,R$5,E$3*$Z$5+$AA$5)))-(8742/(E663+459.6))+15.64),EXP(INDEX(Antoines,MATCH(E654,Antoine_Name,0),2)-INDEX(Antoines,MATCH(E654,Antoine_Name,0),3)/(E663+459.6))))),0)</f>
        <v>4.8748667780818778E-3</v>
      </c>
      <c r="F670" cm="1">
        <f t="array" ref="F670">IFERROR(IF(F655="Chemical",(10^(INDEX(Antoines,MATCH(F654,Antoine_Name,0),2)-INDEX(Antoines,MATCH(F654,Antoine_Name,0),3)/(INDEX(Antoines,MATCH(F654,Antoine_Name,0),4)+(F663-32)*5/9)))*14.7/760,IF(F655="Crude Oil",EXP((2799/(F663+459.6)-2.227)*LOG10(INDEX(FX_Input,S$5,F$3*$Z$5+$AA$5))-(7261/(F663+459.6))+12.82),IF(F655="Refined Petroleum Stock",EXP((0.7553-(413/(F663+459.6)))*(INDEX(FX_Input,S$5,F$3*$Z$5+$AA$5-1)^0.5)*LOG10(INDEX(FX_Input,S$5,F$3*$Z$5+$AA$5))-(1.854-(1042/(F663+459.6)))*(INDEX(FX_Input,S$5,F$3*$Z$5+$AA$5-1)^0.5)+((2416/(F663+459.6)-2.013)*LOG10(INDEX(FX_Input,S$5,F$3*$Z$5+$AA$5)))-(8742/(F663+459.6))+15.64),EXP(INDEX(Antoines,MATCH(F654,Antoine_Name,0),2)-INDEX(Antoines,MATCH(F654,Antoine_Name,0),3)/(F663+459.6))))),0)</f>
        <v>5.119885034186122E-3</v>
      </c>
      <c r="G670" cm="1">
        <f t="array" ref="G670">IFERROR(IF(G655="Chemical",(10^(INDEX(Antoines,MATCH(G654,Antoine_Name,0),2)-INDEX(Antoines,MATCH(G654,Antoine_Name,0),3)/(INDEX(Antoines,MATCH(G654,Antoine_Name,0),4)+(G663-32)*5/9)))*14.7/760,IF(G655="Crude Oil",EXP((2799/(G663+459.6)-2.227)*LOG10(INDEX(FX_Input,T$5,G$3*$Z$5+$AA$5))-(7261/(G663+459.6))+12.82),IF(G655="Refined Petroleum Stock",EXP((0.7553-(413/(G663+459.6)))*(INDEX(FX_Input,T$5,G$3*$Z$5+$AA$5-1)^0.5)*LOG10(INDEX(FX_Input,T$5,G$3*$Z$5+$AA$5))-(1.854-(1042/(G663+459.6)))*(INDEX(FX_Input,T$5,G$3*$Z$5+$AA$5-1)^0.5)+((2416/(G663+459.6)-2.013)*LOG10(INDEX(FX_Input,T$5,G$3*$Z$5+$AA$5)))-(8742/(G663+459.6))+15.64),EXP(INDEX(Antoines,MATCH(G654,Antoine_Name,0),2)-INDEX(Antoines,MATCH(G654,Antoine_Name,0),3)/(G663+459.6))))),0)</f>
        <v>5.5846958573521795E-3</v>
      </c>
      <c r="H670" cm="1">
        <f t="array" ref="H670">IFERROR(IF(H655="Chemical",(10^(INDEX(Antoines,MATCH(H654,Antoine_Name,0),2)-INDEX(Antoines,MATCH(H654,Antoine_Name,0),3)/(INDEX(Antoines,MATCH(H654,Antoine_Name,0),4)+(H663-32)*5/9)))*14.7/760,IF(H655="Crude Oil",EXP((2799/(H663+459.6)-2.227)*LOG10(INDEX(FX_Input,U$5,H$3*$Z$5+$AA$5))-(7261/(H663+459.6))+12.82),IF(H655="Refined Petroleum Stock",EXP((0.7553-(413/(H663+459.6)))*(INDEX(FX_Input,U$5,H$3*$Z$5+$AA$5-1)^0.5)*LOG10(INDEX(FX_Input,U$5,H$3*$Z$5+$AA$5))-(1.854-(1042/(H663+459.6)))*(INDEX(FX_Input,U$5,H$3*$Z$5+$AA$5-1)^0.5)+((2416/(H663+459.6)-2.013)*LOG10(INDEX(FX_Input,U$5,H$3*$Z$5+$AA$5)))-(8742/(H663+459.6))+15.64),EXP(INDEX(Antoines,MATCH(H654,Antoine_Name,0),2)-INDEX(Antoines,MATCH(H654,Antoine_Name,0),3)/(H663+459.6))))),0)</f>
        <v>6.5274070972739821E-3</v>
      </c>
      <c r="I670" cm="1">
        <f t="array" ref="I670">IFERROR(IF(I655="Chemical",(10^(INDEX(Antoines,MATCH(I654,Antoine_Name,0),2)-INDEX(Antoines,MATCH(I654,Antoine_Name,0),3)/(INDEX(Antoines,MATCH(I654,Antoine_Name,0),4)+(I663-32)*5/9)))*14.7/760,IF(I655="Crude Oil",EXP((2799/(I663+459.6)-2.227)*LOG10(INDEX(FX_Input,V$5,I$3*$Z$5+$AA$5))-(7261/(I663+459.6))+12.82),IF(I655="Refined Petroleum Stock",EXP((0.7553-(413/(I663+459.6)))*(INDEX(FX_Input,V$5,I$3*$Z$5+$AA$5-1)^0.5)*LOG10(INDEX(FX_Input,V$5,I$3*$Z$5+$AA$5))-(1.854-(1042/(I663+459.6)))*(INDEX(FX_Input,V$5,I$3*$Z$5+$AA$5-1)^0.5)+((2416/(I663+459.6)-2.013)*LOG10(INDEX(FX_Input,V$5,I$3*$Z$5+$AA$5)))-(8742/(I663+459.6))+15.64),EXP(INDEX(Antoines,MATCH(I654,Antoine_Name,0),2)-INDEX(Antoines,MATCH(I654,Antoine_Name,0),3)/(I663+459.6))))),0)</f>
        <v>7.4199539958878279E-3</v>
      </c>
      <c r="J670" cm="1">
        <f t="array" ref="J670">IFERROR(IF(J655="Chemical",(10^(INDEX(Antoines,MATCH(J654,Antoine_Name,0),2)-INDEX(Antoines,MATCH(J654,Antoine_Name,0),3)/(INDEX(Antoines,MATCH(J654,Antoine_Name,0),4)+(J663-32)*5/9)))*14.7/760,IF(J655="Crude Oil",EXP((2799/(J663+459.6)-2.227)*LOG10(INDEX(FX_Input,W$5,J$3*$Z$5+$AA$5))-(7261/(J663+459.6))+12.82),IF(J655="Refined Petroleum Stock",EXP((0.7553-(413/(J663+459.6)))*(INDEX(FX_Input,W$5,J$3*$Z$5+$AA$5-1)^0.5)*LOG10(INDEX(FX_Input,W$5,J$3*$Z$5+$AA$5))-(1.854-(1042/(J663+459.6)))*(INDEX(FX_Input,W$5,J$3*$Z$5+$AA$5-1)^0.5)+((2416/(J663+459.6)-2.013)*LOG10(INDEX(FX_Input,W$5,J$3*$Z$5+$AA$5)))-(8742/(J663+459.6))+15.64),EXP(INDEX(Antoines,MATCH(J654,Antoine_Name,0),2)-INDEX(Antoines,MATCH(J654,Antoine_Name,0),3)/(J663+459.6))))),0)</f>
        <v>8.3358107202842254E-3</v>
      </c>
      <c r="K670" cm="1">
        <f t="array" ref="K670">IFERROR(IF(K655="Chemical",(10^(INDEX(Antoines,MATCH(K654,Antoine_Name,0),2)-INDEX(Antoines,MATCH(K654,Antoine_Name,0),3)/(INDEX(Antoines,MATCH(K654,Antoine_Name,0),4)+(K663-32)*5/9)))*14.7/760,IF(K655="Crude Oil",EXP((2799/(K663+459.6)-2.227)*LOG10(INDEX(FX_Input,X$5,K$3*$Z$5+$AA$5))-(7261/(K663+459.6))+12.82),IF(K655="Refined Petroleum Stock",EXP((0.7553-(413/(K663+459.6)))*(INDEX(FX_Input,X$5,K$3*$Z$5+$AA$5-1)^0.5)*LOG10(INDEX(FX_Input,X$5,K$3*$Z$5+$AA$5))-(1.854-(1042/(K663+459.6)))*(INDEX(FX_Input,X$5,K$3*$Z$5+$AA$5-1)^0.5)+((2416/(K663+459.6)-2.013)*LOG10(INDEX(FX_Input,X$5,K$3*$Z$5+$AA$5)))-(8742/(K663+459.6))+15.64),EXP(INDEX(Antoines,MATCH(K654,Antoine_Name,0),2)-INDEX(Antoines,MATCH(K654,Antoine_Name,0),3)/(K663+459.6))))),0)</f>
        <v>8.4605262729351115E-3</v>
      </c>
      <c r="L670" cm="1">
        <f t="array" ref="L670">IFERROR(IF(L655="Chemical",(10^(INDEX(Antoines,MATCH(L654,Antoine_Name,0),2)-INDEX(Antoines,MATCH(L654,Antoine_Name,0),3)/(INDEX(Antoines,MATCH(L654,Antoine_Name,0),4)+(L663-32)*5/9)))*14.7/760,IF(L655="Crude Oil",EXP((2799/(L663+459.6)-2.227)*LOG10(INDEX(FX_Input,Y$5,L$3*$Z$5+$AA$5))-(7261/(L663+459.6))+12.82),IF(L655="Refined Petroleum Stock",EXP((0.7553-(413/(L663+459.6)))*(INDEX(FX_Input,Y$5,L$3*$Z$5+$AA$5-1)^0.5)*LOG10(INDEX(FX_Input,Y$5,L$3*$Z$5+$AA$5))-(1.854-(1042/(L663+459.6)))*(INDEX(FX_Input,Y$5,L$3*$Z$5+$AA$5-1)^0.5)+((2416/(L663+459.6)-2.013)*LOG10(INDEX(FX_Input,Y$5,L$3*$Z$5+$AA$5)))-(8742/(L663+459.6))+15.64),EXP(INDEX(Antoines,MATCH(L654,Antoine_Name,0),2)-INDEX(Antoines,MATCH(L654,Antoine_Name,0),3)/(L663+459.6))))),0)</f>
        <v>7.8399882233967533E-3</v>
      </c>
      <c r="M670" cm="1">
        <f t="array" ref="M670">IFERROR(IF(M655="Chemical",(10^(INDEX(Antoines,MATCH(M654,Antoine_Name,0),2)-INDEX(Antoines,MATCH(M654,Antoine_Name,0),3)/(INDEX(Antoines,MATCH(M654,Antoine_Name,0),4)+(M663-32)*5/9)))*14.7/760,IF(M655="Crude Oil",EXP((2799/(M663+459.6)-2.227)*LOG10(INDEX(FX_Input,Z$5,M$3*$Z$5+$AA$5))-(7261/(M663+459.6))+12.82),IF(M655="Refined Petroleum Stock",EXP((0.7553-(413/(M663+459.6)))*(INDEX(FX_Input,Z$5,M$3*$Z$5+$AA$5-1)^0.5)*LOG10(INDEX(FX_Input,Z$5,M$3*$Z$5+$AA$5))-(1.854-(1042/(M663+459.6)))*(INDEX(FX_Input,Z$5,M$3*$Z$5+$AA$5-1)^0.5)+((2416/(M663+459.6)-2.013)*LOG10(INDEX(FX_Input,Z$5,M$3*$Z$5+$AA$5)))-(8742/(M663+459.6))+15.64),EXP(INDEX(Antoines,MATCH(M654,Antoine_Name,0),2)-INDEX(Antoines,MATCH(M654,Antoine_Name,0),3)/(M663+459.6))))),0)</f>
        <v>6.4173462075160911E-3</v>
      </c>
      <c r="N670" cm="1">
        <f t="array" ref="N670">IFERROR(IF(N655="Chemical",(10^(INDEX(Antoines,MATCH(N654,Antoine_Name,0),2)-INDEX(Antoines,MATCH(N654,Antoine_Name,0),3)/(INDEX(Antoines,MATCH(N654,Antoine_Name,0),4)+(N663-32)*5/9)))*14.7/760,IF(N655="Crude Oil",EXP((2799/(N663+459.6)-2.227)*LOG10(INDEX(FX_Input,AA$5,N$3*$Z$5+$AA$5))-(7261/(N663+459.6))+12.82),IF(N655="Refined Petroleum Stock",EXP((0.7553-(413/(N663+459.6)))*(INDEX(FX_Input,AA$5,N$3*$Z$5+$AA$5-1)^0.5)*LOG10(INDEX(FX_Input,AA$5,N$3*$Z$5+$AA$5))-(1.854-(1042/(N663+459.6)))*(INDEX(FX_Input,AA$5,N$3*$Z$5+$AA$5-1)^0.5)+((2416/(N663+459.6)-2.013)*LOG10(INDEX(FX_Input,AA$5,N$3*$Z$5+$AA$5)))-(8742/(N663+459.6))+15.64),EXP(INDEX(Antoines,MATCH(N654,Antoine_Name,0),2)-INDEX(Antoines,MATCH(N654,Antoine_Name,0),3)/(N663+459.6))))),0)</f>
        <v>5.3015226887581056E-3</v>
      </c>
      <c r="O670" cm="1">
        <f t="array" ref="O670">IFERROR(IF(O655="Chemical",(10^(INDEX(Antoines,MATCH(O654,Antoine_Name,0),2)-INDEX(Antoines,MATCH(O654,Antoine_Name,0),3)/(INDEX(Antoines,MATCH(O654,Antoine_Name,0),4)+(O663-32)*5/9)))*14.7/760,IF(O655="Crude Oil",EXP((2799/(O663+459.6)-2.227)*LOG10(INDEX(FX_Input,AB$5,O$3*$Z$5+$AA$5))-(7261/(O663+459.6))+12.82),IF(O655="Refined Petroleum Stock",EXP((0.7553-(413/(O663+459.6)))*(INDEX(FX_Input,AB$5,O$3*$Z$5+$AA$5-1)^0.5)*LOG10(INDEX(FX_Input,AB$5,O$3*$Z$5+$AA$5))-(1.854-(1042/(O663+459.6)))*(INDEX(FX_Input,AB$5,O$3*$Z$5+$AA$5-1)^0.5)+((2416/(O663+459.6)-2.013)*LOG10(INDEX(FX_Input,AB$5,O$3*$Z$5+$AA$5)))-(8742/(O663+459.6))+15.64),EXP(INDEX(Antoines,MATCH(O654,Antoine_Name,0),2)-INDEX(Antoines,MATCH(O654,Antoine_Name,0),3)/(O663+459.6))))),0)</f>
        <v>4.68970903600947E-3</v>
      </c>
    </row>
    <row r="671" spans="2:32" ht="17.149999999999999" x14ac:dyDescent="0.55000000000000004">
      <c r="B671" t="str">
        <f t="shared" si="2324"/>
        <v>Portland</v>
      </c>
      <c r="C671" t="s">
        <v>580</v>
      </c>
      <c r="D671">
        <f>D670*D658</f>
        <v>4.739577185808354E-3</v>
      </c>
      <c r="E671">
        <f t="shared" ref="E671" si="2358">E670*E658</f>
        <v>4.8748667780818778E-3</v>
      </c>
      <c r="F671">
        <f t="shared" ref="F671" si="2359">F670*F658</f>
        <v>5.119885034186122E-3</v>
      </c>
      <c r="G671">
        <f t="shared" ref="G671" si="2360">G670*G658</f>
        <v>5.5846958573521795E-3</v>
      </c>
      <c r="H671">
        <f t="shared" ref="H671" si="2361">H670*H658</f>
        <v>6.5274070972739821E-3</v>
      </c>
      <c r="I671">
        <f t="shared" ref="I671" si="2362">I670*I658</f>
        <v>7.4199539958878279E-3</v>
      </c>
      <c r="J671">
        <f t="shared" ref="J671" si="2363">J670*J658</f>
        <v>8.3358107202842254E-3</v>
      </c>
      <c r="K671">
        <f t="shared" ref="K671" si="2364">K670*K658</f>
        <v>8.4605262729351115E-3</v>
      </c>
      <c r="L671">
        <f t="shared" ref="L671" si="2365">L670*L658</f>
        <v>7.8399882233967533E-3</v>
      </c>
      <c r="M671">
        <f t="shared" ref="M671" si="2366">M670*M658</f>
        <v>6.4173462075160911E-3</v>
      </c>
      <c r="N671">
        <f t="shared" ref="N671" si="2367">N670*N658</f>
        <v>5.3015226887581056E-3</v>
      </c>
      <c r="O671">
        <f t="shared" ref="O671" si="2368">O670*O658</f>
        <v>4.68970903600947E-3</v>
      </c>
    </row>
    <row r="672" spans="2:32" ht="17.149999999999999" x14ac:dyDescent="0.55000000000000004">
      <c r="B672" t="str">
        <f t="shared" si="2324"/>
        <v>Portland</v>
      </c>
      <c r="C672" t="s">
        <v>581</v>
      </c>
      <c r="D672" cm="1">
        <f t="array" ref="D672">IFERROR(IF(D657="Chemical",(10^(INDEX(Antoines,MATCH(D656,Antoine_Name,0),2)-INDEX(Antoines,MATCH(D656,Antoine_Name,0),3)/(INDEX(Antoines,MATCH(D656,Antoine_Name,0),4)+(D663-32)*5/9)))*14.7/760,IF(D657="Crude Oil",EXP((2799/(D663+459.6)-2.227)*LOG10(INDEX(FX_Input,Q$5,D$3*$Z$5+$AA$5))-(7261/(D663+459.6))+12.82),IF(D657="Refined Petroleum Stock",EXP((0.7553-(413/(D663+459.6)))*(INDEX(FX_Input,Q$5,D$3*$Z$5+$AA$5-1)^0.5)*LOG10(INDEX(FX_Input,Q$5,D$3*$Z$5+$AA$5))-(1.854-(1042/(D663+459.6)))*(INDEX(FX_Input,Q$5,D$3*$Z$5+$AA$5-1)^0.5)+((2416/(D663+459.6)-2.013)*LOG10(INDEX(FX_Input,Q$5,D$3*$Z$5+$AA$5)))-(8742/(D663+459.6))+15.64),EXP(INDEX(Antoines,MATCH(D656,Antoine_Name,0),2)-INDEX(Antoines,MATCH(D656,Antoine_Name,0),3)/(D663+459.6))))),0)</f>
        <v>0</v>
      </c>
      <c r="E672" cm="1">
        <f t="array" ref="E672">IFERROR(IF(E657="Chemical",(10^(INDEX(Antoines,MATCH(E656,Antoine_Name,0),2)-INDEX(Antoines,MATCH(E656,Antoine_Name,0),3)/(INDEX(Antoines,MATCH(E656,Antoine_Name,0),4)+(E663-32)*5/9)))*14.7/760,IF(E657="Crude Oil",EXP((2799/(E663+459.6)-2.227)*LOG10(INDEX(FX_Input,R$5,E$3*$Z$5+$AA$5))-(7261/(E663+459.6))+12.82),IF(E657="Refined Petroleum Stock",EXP((0.7553-(413/(E663+459.6)))*(INDEX(FX_Input,R$5,E$3*$Z$5+$AA$5-1)^0.5)*LOG10(INDEX(FX_Input,R$5,E$3*$Z$5+$AA$5))-(1.854-(1042/(E663+459.6)))*(INDEX(FX_Input,R$5,E$3*$Z$5+$AA$5-1)^0.5)+((2416/(E663+459.6)-2.013)*LOG10(INDEX(FX_Input,R$5,E$3*$Z$5+$AA$5)))-(8742/(E663+459.6))+15.64),EXP(INDEX(Antoines,MATCH(E656,Antoine_Name,0),2)-INDEX(Antoines,MATCH(E656,Antoine_Name,0),3)/(E663+459.6))))),0)</f>
        <v>0</v>
      </c>
      <c r="F672" cm="1">
        <f t="array" ref="F672">IFERROR(IF(F657="Chemical",(10^(INDEX(Antoines,MATCH(F656,Antoine_Name,0),2)-INDEX(Antoines,MATCH(F656,Antoine_Name,0),3)/(INDEX(Antoines,MATCH(F656,Antoine_Name,0),4)+(F663-32)*5/9)))*14.7/760,IF(F657="Crude Oil",EXP((2799/(F663+459.6)-2.227)*LOG10(INDEX(FX_Input,S$5,F$3*$Z$5+$AA$5))-(7261/(F663+459.6))+12.82),IF(F657="Refined Petroleum Stock",EXP((0.7553-(413/(F663+459.6)))*(INDEX(FX_Input,S$5,F$3*$Z$5+$AA$5-1)^0.5)*LOG10(INDEX(FX_Input,S$5,F$3*$Z$5+$AA$5))-(1.854-(1042/(F663+459.6)))*(INDEX(FX_Input,S$5,F$3*$Z$5+$AA$5-1)^0.5)+((2416/(F663+459.6)-2.013)*LOG10(INDEX(FX_Input,S$5,F$3*$Z$5+$AA$5)))-(8742/(F663+459.6))+15.64),EXP(INDEX(Antoines,MATCH(F656,Antoine_Name,0),2)-INDEX(Antoines,MATCH(F656,Antoine_Name,0),3)/(F663+459.6))))),0)</f>
        <v>0</v>
      </c>
      <c r="G672" cm="1">
        <f t="array" ref="G672">IFERROR(IF(G657="Chemical",(10^(INDEX(Antoines,MATCH(G656,Antoine_Name,0),2)-INDEX(Antoines,MATCH(G656,Antoine_Name,0),3)/(INDEX(Antoines,MATCH(G656,Antoine_Name,0),4)+(G663-32)*5/9)))*14.7/760,IF(G657="Crude Oil",EXP((2799/(G663+459.6)-2.227)*LOG10(INDEX(FX_Input,T$5,G$3*$Z$5+$AA$5))-(7261/(G663+459.6))+12.82),IF(G657="Refined Petroleum Stock",EXP((0.7553-(413/(G663+459.6)))*(INDEX(FX_Input,T$5,G$3*$Z$5+$AA$5-1)^0.5)*LOG10(INDEX(FX_Input,T$5,G$3*$Z$5+$AA$5))-(1.854-(1042/(G663+459.6)))*(INDEX(FX_Input,T$5,G$3*$Z$5+$AA$5-1)^0.5)+((2416/(G663+459.6)-2.013)*LOG10(INDEX(FX_Input,T$5,G$3*$Z$5+$AA$5)))-(8742/(G663+459.6))+15.64),EXP(INDEX(Antoines,MATCH(G656,Antoine_Name,0),2)-INDEX(Antoines,MATCH(G656,Antoine_Name,0),3)/(G663+459.6))))),0)</f>
        <v>0</v>
      </c>
      <c r="H672" cm="1">
        <f t="array" ref="H672">IFERROR(IF(H657="Chemical",(10^(INDEX(Antoines,MATCH(H656,Antoine_Name,0),2)-INDEX(Antoines,MATCH(H656,Antoine_Name,0),3)/(INDEX(Antoines,MATCH(H656,Antoine_Name,0),4)+(H663-32)*5/9)))*14.7/760,IF(H657="Crude Oil",EXP((2799/(H663+459.6)-2.227)*LOG10(INDEX(FX_Input,U$5,H$3*$Z$5+$AA$5))-(7261/(H663+459.6))+12.82),IF(H657="Refined Petroleum Stock",EXP((0.7553-(413/(H663+459.6)))*(INDEX(FX_Input,U$5,H$3*$Z$5+$AA$5-1)^0.5)*LOG10(INDEX(FX_Input,U$5,H$3*$Z$5+$AA$5))-(1.854-(1042/(H663+459.6)))*(INDEX(FX_Input,U$5,H$3*$Z$5+$AA$5-1)^0.5)+((2416/(H663+459.6)-2.013)*LOG10(INDEX(FX_Input,U$5,H$3*$Z$5+$AA$5)))-(8742/(H663+459.6))+15.64),EXP(INDEX(Antoines,MATCH(H656,Antoine_Name,0),2)-INDEX(Antoines,MATCH(H656,Antoine_Name,0),3)/(H663+459.6))))),0)</f>
        <v>0</v>
      </c>
      <c r="I672" cm="1">
        <f t="array" ref="I672">IFERROR(IF(I657="Chemical",(10^(INDEX(Antoines,MATCH(I656,Antoine_Name,0),2)-INDEX(Antoines,MATCH(I656,Antoine_Name,0),3)/(INDEX(Antoines,MATCH(I656,Antoine_Name,0),4)+(I663-32)*5/9)))*14.7/760,IF(I657="Crude Oil",EXP((2799/(I663+459.6)-2.227)*LOG10(INDEX(FX_Input,V$5,I$3*$Z$5+$AA$5))-(7261/(I663+459.6))+12.82),IF(I657="Refined Petroleum Stock",EXP((0.7553-(413/(I663+459.6)))*(INDEX(FX_Input,V$5,I$3*$Z$5+$AA$5-1)^0.5)*LOG10(INDEX(FX_Input,V$5,I$3*$Z$5+$AA$5))-(1.854-(1042/(I663+459.6)))*(INDEX(FX_Input,V$5,I$3*$Z$5+$AA$5-1)^0.5)+((2416/(I663+459.6)-2.013)*LOG10(INDEX(FX_Input,V$5,I$3*$Z$5+$AA$5)))-(8742/(I663+459.6))+15.64),EXP(INDEX(Antoines,MATCH(I656,Antoine_Name,0),2)-INDEX(Antoines,MATCH(I656,Antoine_Name,0),3)/(I663+459.6))))),0)</f>
        <v>0</v>
      </c>
      <c r="J672" cm="1">
        <f t="array" ref="J672">IFERROR(IF(J657="Chemical",(10^(INDEX(Antoines,MATCH(J656,Antoine_Name,0),2)-INDEX(Antoines,MATCH(J656,Antoine_Name,0),3)/(INDEX(Antoines,MATCH(J656,Antoine_Name,0),4)+(J663-32)*5/9)))*14.7/760,IF(J657="Crude Oil",EXP((2799/(J663+459.6)-2.227)*LOG10(INDEX(FX_Input,W$5,J$3*$Z$5+$AA$5))-(7261/(J663+459.6))+12.82),IF(J657="Refined Petroleum Stock",EXP((0.7553-(413/(J663+459.6)))*(INDEX(FX_Input,W$5,J$3*$Z$5+$AA$5-1)^0.5)*LOG10(INDEX(FX_Input,W$5,J$3*$Z$5+$AA$5))-(1.854-(1042/(J663+459.6)))*(INDEX(FX_Input,W$5,J$3*$Z$5+$AA$5-1)^0.5)+((2416/(J663+459.6)-2.013)*LOG10(INDEX(FX_Input,W$5,J$3*$Z$5+$AA$5)))-(8742/(J663+459.6))+15.64),EXP(INDEX(Antoines,MATCH(J656,Antoine_Name,0),2)-INDEX(Antoines,MATCH(J656,Antoine_Name,0),3)/(J663+459.6))))),0)</f>
        <v>0</v>
      </c>
      <c r="K672" cm="1">
        <f t="array" ref="K672">IFERROR(IF(K657="Chemical",(10^(INDEX(Antoines,MATCH(K656,Antoine_Name,0),2)-INDEX(Antoines,MATCH(K656,Antoine_Name,0),3)/(INDEX(Antoines,MATCH(K656,Antoine_Name,0),4)+(K663-32)*5/9)))*14.7/760,IF(K657="Crude Oil",EXP((2799/(K663+459.6)-2.227)*LOG10(INDEX(FX_Input,X$5,K$3*$Z$5+$AA$5))-(7261/(K663+459.6))+12.82),IF(K657="Refined Petroleum Stock",EXP((0.7553-(413/(K663+459.6)))*(INDEX(FX_Input,X$5,K$3*$Z$5+$AA$5-1)^0.5)*LOG10(INDEX(FX_Input,X$5,K$3*$Z$5+$AA$5))-(1.854-(1042/(K663+459.6)))*(INDEX(FX_Input,X$5,K$3*$Z$5+$AA$5-1)^0.5)+((2416/(K663+459.6)-2.013)*LOG10(INDEX(FX_Input,X$5,K$3*$Z$5+$AA$5)))-(8742/(K663+459.6))+15.64),EXP(INDEX(Antoines,MATCH(K656,Antoine_Name,0),2)-INDEX(Antoines,MATCH(K656,Antoine_Name,0),3)/(K663+459.6))))),0)</f>
        <v>0</v>
      </c>
      <c r="L672" cm="1">
        <f t="array" ref="L672">IFERROR(IF(L657="Chemical",(10^(INDEX(Antoines,MATCH(L656,Antoine_Name,0),2)-INDEX(Antoines,MATCH(L656,Antoine_Name,0),3)/(INDEX(Antoines,MATCH(L656,Antoine_Name,0),4)+(L663-32)*5/9)))*14.7/760,IF(L657="Crude Oil",EXP((2799/(L663+459.6)-2.227)*LOG10(INDEX(FX_Input,Y$5,L$3*$Z$5+$AA$5))-(7261/(L663+459.6))+12.82),IF(L657="Refined Petroleum Stock",EXP((0.7553-(413/(L663+459.6)))*(INDEX(FX_Input,Y$5,L$3*$Z$5+$AA$5-1)^0.5)*LOG10(INDEX(FX_Input,Y$5,L$3*$Z$5+$AA$5))-(1.854-(1042/(L663+459.6)))*(INDEX(FX_Input,Y$5,L$3*$Z$5+$AA$5-1)^0.5)+((2416/(L663+459.6)-2.013)*LOG10(INDEX(FX_Input,Y$5,L$3*$Z$5+$AA$5)))-(8742/(L663+459.6))+15.64),EXP(INDEX(Antoines,MATCH(L656,Antoine_Name,0),2)-INDEX(Antoines,MATCH(L656,Antoine_Name,0),3)/(L663+459.6))))),0)</f>
        <v>0</v>
      </c>
      <c r="M672" cm="1">
        <f t="array" ref="M672">IFERROR(IF(M657="Chemical",(10^(INDEX(Antoines,MATCH(M656,Antoine_Name,0),2)-INDEX(Antoines,MATCH(M656,Antoine_Name,0),3)/(INDEX(Antoines,MATCH(M656,Antoine_Name,0),4)+(M663-32)*5/9)))*14.7/760,IF(M657="Crude Oil",EXP((2799/(M663+459.6)-2.227)*LOG10(INDEX(FX_Input,Z$5,M$3*$Z$5+$AA$5))-(7261/(M663+459.6))+12.82),IF(M657="Refined Petroleum Stock",EXP((0.7553-(413/(M663+459.6)))*(INDEX(FX_Input,Z$5,M$3*$Z$5+$AA$5-1)^0.5)*LOG10(INDEX(FX_Input,Z$5,M$3*$Z$5+$AA$5))-(1.854-(1042/(M663+459.6)))*(INDEX(FX_Input,Z$5,M$3*$Z$5+$AA$5-1)^0.5)+((2416/(M663+459.6)-2.013)*LOG10(INDEX(FX_Input,Z$5,M$3*$Z$5+$AA$5)))-(8742/(M663+459.6))+15.64),EXP(INDEX(Antoines,MATCH(M656,Antoine_Name,0),2)-INDEX(Antoines,MATCH(M656,Antoine_Name,0),3)/(M663+459.6))))),0)</f>
        <v>0</v>
      </c>
      <c r="N672" cm="1">
        <f t="array" ref="N672">IFERROR(IF(N657="Chemical",(10^(INDEX(Antoines,MATCH(N656,Antoine_Name,0),2)-INDEX(Antoines,MATCH(N656,Antoine_Name,0),3)/(INDEX(Antoines,MATCH(N656,Antoine_Name,0),4)+(N663-32)*5/9)))*14.7/760,IF(N657="Crude Oil",EXP((2799/(N663+459.6)-2.227)*LOG10(INDEX(FX_Input,AA$5,N$3*$Z$5+$AA$5))-(7261/(N663+459.6))+12.82),IF(N657="Refined Petroleum Stock",EXP((0.7553-(413/(N663+459.6)))*(INDEX(FX_Input,AA$5,N$3*$Z$5+$AA$5-1)^0.5)*LOG10(INDEX(FX_Input,AA$5,N$3*$Z$5+$AA$5))-(1.854-(1042/(N663+459.6)))*(INDEX(FX_Input,AA$5,N$3*$Z$5+$AA$5-1)^0.5)+((2416/(N663+459.6)-2.013)*LOG10(INDEX(FX_Input,AA$5,N$3*$Z$5+$AA$5)))-(8742/(N663+459.6))+15.64),EXP(INDEX(Antoines,MATCH(N656,Antoine_Name,0),2)-INDEX(Antoines,MATCH(N656,Antoine_Name,0),3)/(N663+459.6))))),0)</f>
        <v>0</v>
      </c>
      <c r="O672" cm="1">
        <f t="array" ref="O672">IFERROR(IF(O657="Chemical",(10^(INDEX(Antoines,MATCH(O656,Antoine_Name,0),2)-INDEX(Antoines,MATCH(O656,Antoine_Name,0),3)/(INDEX(Antoines,MATCH(O656,Antoine_Name,0),4)+(O663-32)*5/9)))*14.7/760,IF(O657="Crude Oil",EXP((2799/(O663+459.6)-2.227)*LOG10(INDEX(FX_Input,AB$5,O$3*$Z$5+$AA$5))-(7261/(O663+459.6))+12.82),IF(O657="Refined Petroleum Stock",EXP((0.7553-(413/(O663+459.6)))*(INDEX(FX_Input,AB$5,O$3*$Z$5+$AA$5-1)^0.5)*LOG10(INDEX(FX_Input,AB$5,O$3*$Z$5+$AA$5))-(1.854-(1042/(O663+459.6)))*(INDEX(FX_Input,AB$5,O$3*$Z$5+$AA$5-1)^0.5)+((2416/(O663+459.6)-2.013)*LOG10(INDEX(FX_Input,AB$5,O$3*$Z$5+$AA$5)))-(8742/(O663+459.6))+15.64),EXP(INDEX(Antoines,MATCH(O656,Antoine_Name,0),2)-INDEX(Antoines,MATCH(O656,Antoine_Name,0),3)/(O663+459.6))))),0)</f>
        <v>0</v>
      </c>
    </row>
    <row r="673" spans="1:32" ht="17.149999999999999" x14ac:dyDescent="0.55000000000000004">
      <c r="B673" t="str">
        <f t="shared" si="2324"/>
        <v>Portland</v>
      </c>
      <c r="C673" t="s">
        <v>582</v>
      </c>
      <c r="D673">
        <f>D672*D660</f>
        <v>0</v>
      </c>
      <c r="E673">
        <f t="shared" ref="E673" si="2369">E672*E660</f>
        <v>0</v>
      </c>
      <c r="F673">
        <f t="shared" ref="F673" si="2370">F672*F660</f>
        <v>0</v>
      </c>
      <c r="G673">
        <f t="shared" ref="G673" si="2371">G672*G660</f>
        <v>0</v>
      </c>
      <c r="H673">
        <f t="shared" ref="H673" si="2372">H672*H660</f>
        <v>0</v>
      </c>
      <c r="I673">
        <f t="shared" ref="I673" si="2373">I672*I660</f>
        <v>0</v>
      </c>
      <c r="J673">
        <f t="shared" ref="J673" si="2374">J672*J660</f>
        <v>0</v>
      </c>
      <c r="K673">
        <f t="shared" ref="K673" si="2375">K672*K660</f>
        <v>0</v>
      </c>
      <c r="L673">
        <f t="shared" ref="L673" si="2376">L672*L660</f>
        <v>0</v>
      </c>
      <c r="M673">
        <f t="shared" ref="M673" si="2377">M672*M660</f>
        <v>0</v>
      </c>
      <c r="N673">
        <f t="shared" ref="N673" si="2378">N672*N660</f>
        <v>0</v>
      </c>
      <c r="O673">
        <f t="shared" ref="O673" si="2379">O672*O660</f>
        <v>0</v>
      </c>
    </row>
    <row r="674" spans="1:32" ht="17.149999999999999" x14ac:dyDescent="0.55000000000000004">
      <c r="B674" t="str">
        <f t="shared" si="2324"/>
        <v>Portland</v>
      </c>
      <c r="C674" t="s">
        <v>583</v>
      </c>
      <c r="D674">
        <f>D671+D673</f>
        <v>4.739577185808354E-3</v>
      </c>
      <c r="E674">
        <f t="shared" ref="E674" si="2380">E671+E673</f>
        <v>4.8748667780818778E-3</v>
      </c>
      <c r="F674">
        <f t="shared" ref="F674" si="2381">F671+F673</f>
        <v>5.119885034186122E-3</v>
      </c>
      <c r="G674">
        <f t="shared" ref="G674" si="2382">G671+G673</f>
        <v>5.5846958573521795E-3</v>
      </c>
      <c r="H674">
        <f t="shared" ref="H674" si="2383">H671+H673</f>
        <v>6.5274070972739821E-3</v>
      </c>
      <c r="I674">
        <f t="shared" ref="I674" si="2384">I671+I673</f>
        <v>7.4199539958878279E-3</v>
      </c>
      <c r="J674">
        <f t="shared" ref="J674" si="2385">J671+J673</f>
        <v>8.3358107202842254E-3</v>
      </c>
      <c r="K674">
        <f t="shared" ref="K674" si="2386">K671+K673</f>
        <v>8.4605262729351115E-3</v>
      </c>
      <c r="L674">
        <f t="shared" ref="L674" si="2387">L671+L673</f>
        <v>7.8399882233967533E-3</v>
      </c>
      <c r="M674">
        <f t="shared" ref="M674" si="2388">M671+M673</f>
        <v>6.4173462075160911E-3</v>
      </c>
      <c r="N674">
        <f t="shared" ref="N674" si="2389">N671+N673</f>
        <v>5.3015226887581056E-3</v>
      </c>
      <c r="O674">
        <f t="shared" ref="O674" si="2390">O671+O673</f>
        <v>4.68970903600947E-3</v>
      </c>
    </row>
    <row r="675" spans="1:32" ht="17.149999999999999" x14ac:dyDescent="0.55000000000000004">
      <c r="B675" t="str">
        <f t="shared" si="2324"/>
        <v>Portland</v>
      </c>
      <c r="C675" t="s">
        <v>1388</v>
      </c>
      <c r="D675" cm="1">
        <f t="array" ref="D675">IFERROR(IF(D655="Chemical",(10^(INDEX(Antoines,MATCH(D654,Antoine_Name,0),2)-INDEX(Antoines,MATCH(D654,Antoine_Name,0),3)/(INDEX(Antoines,MATCH(D654,Antoine_Name,0),4)+(D664-32)*5/9)))*14.7/760,IF(D655="Crude Oil",EXP((2799/(D664+459.6)-2.227)*LOG10(INDEX(FX_Input,Q$5,D$3*$Z$5+$AA$5))-(7261/(D664+459.6))+12.82),IF(D655="Refined Petroleum Stock",EXP((0.7553-(413/(D664+459.6)))*(INDEX(FX_Input,Q$5,D$3*$Z$5+$AA$5-1)^0.5)*LOG10(INDEX(FX_Input,Q$5,D$3*$Z$5+$AA$5))-(1.854-(1042/(D664+459.6)))*(INDEX(FX_Input,Q$5,D$3*$Z$5+$AA$5-1)^0.5)+((2416/(D664+459.6)-2.013)*LOG10(INDEX(FX_Input,Q$5,D$3*$Z$5+$AA$5)))-(8742/(D664+459.6))+15.64),EXP(INDEX(Antoines,MATCH(D654,Antoine_Name,0),2)-INDEX(Antoines,MATCH(D654,Antoine_Name,0),3)/(D664+459.6))))),0)</f>
        <v>4.739577185808354E-3</v>
      </c>
      <c r="E675" cm="1">
        <f t="array" ref="E675">IFERROR(IF(E655="Chemical",(10^(INDEX(Antoines,MATCH(E654,Antoine_Name,0),2)-INDEX(Antoines,MATCH(E654,Antoine_Name,0),3)/(INDEX(Antoines,MATCH(E654,Antoine_Name,0),4)+(E664-32)*5/9)))*14.7/760,IF(E655="Crude Oil",EXP((2799/(E664+459.6)-2.227)*LOG10(INDEX(FX_Input,R$5,E$3*$Z$5+$AA$5))-(7261/(E664+459.6))+12.82),IF(E655="Refined Petroleum Stock",EXP((0.7553-(413/(E664+459.6)))*(INDEX(FX_Input,R$5,E$3*$Z$5+$AA$5-1)^0.5)*LOG10(INDEX(FX_Input,R$5,E$3*$Z$5+$AA$5))-(1.854-(1042/(E664+459.6)))*(INDEX(FX_Input,R$5,E$3*$Z$5+$AA$5-1)^0.5)+((2416/(E664+459.6)-2.013)*LOG10(INDEX(FX_Input,R$5,E$3*$Z$5+$AA$5)))-(8742/(E664+459.6))+15.64),EXP(INDEX(Antoines,MATCH(E654,Antoine_Name,0),2)-INDEX(Antoines,MATCH(E654,Antoine_Name,0),3)/(E664+459.6))))),0)</f>
        <v>4.8748667780818778E-3</v>
      </c>
      <c r="F675" cm="1">
        <f t="array" ref="F675">IFERROR(IF(F655="Chemical",(10^(INDEX(Antoines,MATCH(F654,Antoine_Name,0),2)-INDEX(Antoines,MATCH(F654,Antoine_Name,0),3)/(INDEX(Antoines,MATCH(F654,Antoine_Name,0),4)+(F664-32)*5/9)))*14.7/760,IF(F655="Crude Oil",EXP((2799/(F664+459.6)-2.227)*LOG10(INDEX(FX_Input,S$5,F$3*$Z$5+$AA$5))-(7261/(F664+459.6))+12.82),IF(F655="Refined Petroleum Stock",EXP((0.7553-(413/(F664+459.6)))*(INDEX(FX_Input,S$5,F$3*$Z$5+$AA$5-1)^0.5)*LOG10(INDEX(FX_Input,S$5,F$3*$Z$5+$AA$5))-(1.854-(1042/(F664+459.6)))*(INDEX(FX_Input,S$5,F$3*$Z$5+$AA$5-1)^0.5)+((2416/(F664+459.6)-2.013)*LOG10(INDEX(FX_Input,S$5,F$3*$Z$5+$AA$5)))-(8742/(F664+459.6))+15.64),EXP(INDEX(Antoines,MATCH(F654,Antoine_Name,0),2)-INDEX(Antoines,MATCH(F654,Antoine_Name,0),3)/(F664+459.6))))),0)</f>
        <v>5.119885034186122E-3</v>
      </c>
      <c r="G675" cm="1">
        <f t="array" ref="G675">IFERROR(IF(G655="Chemical",(10^(INDEX(Antoines,MATCH(G654,Antoine_Name,0),2)-INDEX(Antoines,MATCH(G654,Antoine_Name,0),3)/(INDEX(Antoines,MATCH(G654,Antoine_Name,0),4)+(G664-32)*5/9)))*14.7/760,IF(G655="Crude Oil",EXP((2799/(G664+459.6)-2.227)*LOG10(INDEX(FX_Input,T$5,G$3*$Z$5+$AA$5))-(7261/(G664+459.6))+12.82),IF(G655="Refined Petroleum Stock",EXP((0.7553-(413/(G664+459.6)))*(INDEX(FX_Input,T$5,G$3*$Z$5+$AA$5-1)^0.5)*LOG10(INDEX(FX_Input,T$5,G$3*$Z$5+$AA$5))-(1.854-(1042/(G664+459.6)))*(INDEX(FX_Input,T$5,G$3*$Z$5+$AA$5-1)^0.5)+((2416/(G664+459.6)-2.013)*LOG10(INDEX(FX_Input,T$5,G$3*$Z$5+$AA$5)))-(8742/(G664+459.6))+15.64),EXP(INDEX(Antoines,MATCH(G654,Antoine_Name,0),2)-INDEX(Antoines,MATCH(G654,Antoine_Name,0),3)/(G664+459.6))))),0)</f>
        <v>5.5846958573521795E-3</v>
      </c>
      <c r="H675" cm="1">
        <f t="array" ref="H675">IFERROR(IF(H655="Chemical",(10^(INDEX(Antoines,MATCH(H654,Antoine_Name,0),2)-INDEX(Antoines,MATCH(H654,Antoine_Name,0),3)/(INDEX(Antoines,MATCH(H654,Antoine_Name,0),4)+(H664-32)*5/9)))*14.7/760,IF(H655="Crude Oil",EXP((2799/(H664+459.6)-2.227)*LOG10(INDEX(FX_Input,U$5,H$3*$Z$5+$AA$5))-(7261/(H664+459.6))+12.82),IF(H655="Refined Petroleum Stock",EXP((0.7553-(413/(H664+459.6)))*(INDEX(FX_Input,U$5,H$3*$Z$5+$AA$5-1)^0.5)*LOG10(INDEX(FX_Input,U$5,H$3*$Z$5+$AA$5))-(1.854-(1042/(H664+459.6)))*(INDEX(FX_Input,U$5,H$3*$Z$5+$AA$5-1)^0.5)+((2416/(H664+459.6)-2.013)*LOG10(INDEX(FX_Input,U$5,H$3*$Z$5+$AA$5)))-(8742/(H664+459.6))+15.64),EXP(INDEX(Antoines,MATCH(H654,Antoine_Name,0),2)-INDEX(Antoines,MATCH(H654,Antoine_Name,0),3)/(H664+459.6))))),0)</f>
        <v>6.5274070972739821E-3</v>
      </c>
      <c r="I675" cm="1">
        <f t="array" ref="I675">IFERROR(IF(I655="Chemical",(10^(INDEX(Antoines,MATCH(I654,Antoine_Name,0),2)-INDEX(Antoines,MATCH(I654,Antoine_Name,0),3)/(INDEX(Antoines,MATCH(I654,Antoine_Name,0),4)+(I664-32)*5/9)))*14.7/760,IF(I655="Crude Oil",EXP((2799/(I664+459.6)-2.227)*LOG10(INDEX(FX_Input,V$5,I$3*$Z$5+$AA$5))-(7261/(I664+459.6))+12.82),IF(I655="Refined Petroleum Stock",EXP((0.7553-(413/(I664+459.6)))*(INDEX(FX_Input,V$5,I$3*$Z$5+$AA$5-1)^0.5)*LOG10(INDEX(FX_Input,V$5,I$3*$Z$5+$AA$5))-(1.854-(1042/(I664+459.6)))*(INDEX(FX_Input,V$5,I$3*$Z$5+$AA$5-1)^0.5)+((2416/(I664+459.6)-2.013)*LOG10(INDEX(FX_Input,V$5,I$3*$Z$5+$AA$5)))-(8742/(I664+459.6))+15.64),EXP(INDEX(Antoines,MATCH(I654,Antoine_Name,0),2)-INDEX(Antoines,MATCH(I654,Antoine_Name,0),3)/(I664+459.6))))),0)</f>
        <v>7.4199539958878279E-3</v>
      </c>
      <c r="J675" cm="1">
        <f t="array" ref="J675">IFERROR(IF(J655="Chemical",(10^(INDEX(Antoines,MATCH(J654,Antoine_Name,0),2)-INDEX(Antoines,MATCH(J654,Antoine_Name,0),3)/(INDEX(Antoines,MATCH(J654,Antoine_Name,0),4)+(J664-32)*5/9)))*14.7/760,IF(J655="Crude Oil",EXP((2799/(J664+459.6)-2.227)*LOG10(INDEX(FX_Input,W$5,J$3*$Z$5+$AA$5))-(7261/(J664+459.6))+12.82),IF(J655="Refined Petroleum Stock",EXP((0.7553-(413/(J664+459.6)))*(INDEX(FX_Input,W$5,J$3*$Z$5+$AA$5-1)^0.5)*LOG10(INDEX(FX_Input,W$5,J$3*$Z$5+$AA$5))-(1.854-(1042/(J664+459.6)))*(INDEX(FX_Input,W$5,J$3*$Z$5+$AA$5-1)^0.5)+((2416/(J664+459.6)-2.013)*LOG10(INDEX(FX_Input,W$5,J$3*$Z$5+$AA$5)))-(8742/(J664+459.6))+15.64),EXP(INDEX(Antoines,MATCH(J654,Antoine_Name,0),2)-INDEX(Antoines,MATCH(J654,Antoine_Name,0),3)/(J664+459.6))))),0)</f>
        <v>8.3358107202842254E-3</v>
      </c>
      <c r="K675" cm="1">
        <f t="array" ref="K675">IFERROR(IF(K655="Chemical",(10^(INDEX(Antoines,MATCH(K654,Antoine_Name,0),2)-INDEX(Antoines,MATCH(K654,Antoine_Name,0),3)/(INDEX(Antoines,MATCH(K654,Antoine_Name,0),4)+(K664-32)*5/9)))*14.7/760,IF(K655="Crude Oil",EXP((2799/(K664+459.6)-2.227)*LOG10(INDEX(FX_Input,X$5,K$3*$Z$5+$AA$5))-(7261/(K664+459.6))+12.82),IF(K655="Refined Petroleum Stock",EXP((0.7553-(413/(K664+459.6)))*(INDEX(FX_Input,X$5,K$3*$Z$5+$AA$5-1)^0.5)*LOG10(INDEX(FX_Input,X$5,K$3*$Z$5+$AA$5))-(1.854-(1042/(K664+459.6)))*(INDEX(FX_Input,X$5,K$3*$Z$5+$AA$5-1)^0.5)+((2416/(K664+459.6)-2.013)*LOG10(INDEX(FX_Input,X$5,K$3*$Z$5+$AA$5)))-(8742/(K664+459.6))+15.64),EXP(INDEX(Antoines,MATCH(K654,Antoine_Name,0),2)-INDEX(Antoines,MATCH(K654,Antoine_Name,0),3)/(K664+459.6))))),0)</f>
        <v>8.4605262729351115E-3</v>
      </c>
      <c r="L675" cm="1">
        <f t="array" ref="L675">IFERROR(IF(L655="Chemical",(10^(INDEX(Antoines,MATCH(L654,Antoine_Name,0),2)-INDEX(Antoines,MATCH(L654,Antoine_Name,0),3)/(INDEX(Antoines,MATCH(L654,Antoine_Name,0),4)+(L664-32)*5/9)))*14.7/760,IF(L655="Crude Oil",EXP((2799/(L664+459.6)-2.227)*LOG10(INDEX(FX_Input,Y$5,L$3*$Z$5+$AA$5))-(7261/(L664+459.6))+12.82),IF(L655="Refined Petroleum Stock",EXP((0.7553-(413/(L664+459.6)))*(INDEX(FX_Input,Y$5,L$3*$Z$5+$AA$5-1)^0.5)*LOG10(INDEX(FX_Input,Y$5,L$3*$Z$5+$AA$5))-(1.854-(1042/(L664+459.6)))*(INDEX(FX_Input,Y$5,L$3*$Z$5+$AA$5-1)^0.5)+((2416/(L664+459.6)-2.013)*LOG10(INDEX(FX_Input,Y$5,L$3*$Z$5+$AA$5)))-(8742/(L664+459.6))+15.64),EXP(INDEX(Antoines,MATCH(L654,Antoine_Name,0),2)-INDEX(Antoines,MATCH(L654,Antoine_Name,0),3)/(L664+459.6))))),0)</f>
        <v>7.8399882233967533E-3</v>
      </c>
      <c r="M675" cm="1">
        <f t="array" ref="M675">IFERROR(IF(M655="Chemical",(10^(INDEX(Antoines,MATCH(M654,Antoine_Name,0),2)-INDEX(Antoines,MATCH(M654,Antoine_Name,0),3)/(INDEX(Antoines,MATCH(M654,Antoine_Name,0),4)+(M664-32)*5/9)))*14.7/760,IF(M655="Crude Oil",EXP((2799/(M664+459.6)-2.227)*LOG10(INDEX(FX_Input,Z$5,M$3*$Z$5+$AA$5))-(7261/(M664+459.6))+12.82),IF(M655="Refined Petroleum Stock",EXP((0.7553-(413/(M664+459.6)))*(INDEX(FX_Input,Z$5,M$3*$Z$5+$AA$5-1)^0.5)*LOG10(INDEX(FX_Input,Z$5,M$3*$Z$5+$AA$5))-(1.854-(1042/(M664+459.6)))*(INDEX(FX_Input,Z$5,M$3*$Z$5+$AA$5-1)^0.5)+((2416/(M664+459.6)-2.013)*LOG10(INDEX(FX_Input,Z$5,M$3*$Z$5+$AA$5)))-(8742/(M664+459.6))+15.64),EXP(INDEX(Antoines,MATCH(M654,Antoine_Name,0),2)-INDEX(Antoines,MATCH(M654,Antoine_Name,0),3)/(M664+459.6))))),0)</f>
        <v>6.4173462075160911E-3</v>
      </c>
      <c r="N675" cm="1">
        <f t="array" ref="N675">IFERROR(IF(N655="Chemical",(10^(INDEX(Antoines,MATCH(N654,Antoine_Name,0),2)-INDEX(Antoines,MATCH(N654,Antoine_Name,0),3)/(INDEX(Antoines,MATCH(N654,Antoine_Name,0),4)+(N664-32)*5/9)))*14.7/760,IF(N655="Crude Oil",EXP((2799/(N664+459.6)-2.227)*LOG10(INDEX(FX_Input,AA$5,N$3*$Z$5+$AA$5))-(7261/(N664+459.6))+12.82),IF(N655="Refined Petroleum Stock",EXP((0.7553-(413/(N664+459.6)))*(INDEX(FX_Input,AA$5,N$3*$Z$5+$AA$5-1)^0.5)*LOG10(INDEX(FX_Input,AA$5,N$3*$Z$5+$AA$5))-(1.854-(1042/(N664+459.6)))*(INDEX(FX_Input,AA$5,N$3*$Z$5+$AA$5-1)^0.5)+((2416/(N664+459.6)-2.013)*LOG10(INDEX(FX_Input,AA$5,N$3*$Z$5+$AA$5)))-(8742/(N664+459.6))+15.64),EXP(INDEX(Antoines,MATCH(N654,Antoine_Name,0),2)-INDEX(Antoines,MATCH(N654,Antoine_Name,0),3)/(N664+459.6))))),0)</f>
        <v>5.3015226887581056E-3</v>
      </c>
      <c r="O675" cm="1">
        <f t="array" ref="O675">IFERROR(IF(O655="Chemical",(10^(INDEX(Antoines,MATCH(O654,Antoine_Name,0),2)-INDEX(Antoines,MATCH(O654,Antoine_Name,0),3)/(INDEX(Antoines,MATCH(O654,Antoine_Name,0),4)+(O664-32)*5/9)))*14.7/760,IF(O655="Crude Oil",EXP((2799/(O664+459.6)-2.227)*LOG10(INDEX(FX_Input,AB$5,O$3*$Z$5+$AA$5))-(7261/(O664+459.6))+12.82),IF(O655="Refined Petroleum Stock",EXP((0.7553-(413/(O664+459.6)))*(INDEX(FX_Input,AB$5,O$3*$Z$5+$AA$5-1)^0.5)*LOG10(INDEX(FX_Input,AB$5,O$3*$Z$5+$AA$5))-(1.854-(1042/(O664+459.6)))*(INDEX(FX_Input,AB$5,O$3*$Z$5+$AA$5-1)^0.5)+((2416/(O664+459.6)-2.013)*LOG10(INDEX(FX_Input,AB$5,O$3*$Z$5+$AA$5)))-(8742/(O664+459.6))+15.64),EXP(INDEX(Antoines,MATCH(O654,Antoine_Name,0),2)-INDEX(Antoines,MATCH(O654,Antoine_Name,0),3)/(O664+459.6))))),0)</f>
        <v>4.68970903600947E-3</v>
      </c>
    </row>
    <row r="676" spans="1:32" ht="17.149999999999999" x14ac:dyDescent="0.55000000000000004">
      <c r="B676" t="str">
        <f t="shared" si="2324"/>
        <v>Portland</v>
      </c>
      <c r="C676" t="s">
        <v>1389</v>
      </c>
      <c r="D676">
        <f>D675*D658</f>
        <v>4.739577185808354E-3</v>
      </c>
      <c r="E676">
        <f t="shared" ref="E676" si="2391">E675*E658</f>
        <v>4.8748667780818778E-3</v>
      </c>
      <c r="F676">
        <f t="shared" ref="F676" si="2392">F675*F658</f>
        <v>5.119885034186122E-3</v>
      </c>
      <c r="G676">
        <f t="shared" ref="G676" si="2393">G675*G658</f>
        <v>5.5846958573521795E-3</v>
      </c>
      <c r="H676">
        <f t="shared" ref="H676" si="2394">H675*H658</f>
        <v>6.5274070972739821E-3</v>
      </c>
      <c r="I676">
        <f t="shared" ref="I676" si="2395">I675*I658</f>
        <v>7.4199539958878279E-3</v>
      </c>
      <c r="J676">
        <f t="shared" ref="J676" si="2396">J675*J658</f>
        <v>8.3358107202842254E-3</v>
      </c>
      <c r="K676">
        <f t="shared" ref="K676" si="2397">K675*K658</f>
        <v>8.4605262729351115E-3</v>
      </c>
      <c r="L676">
        <f t="shared" ref="L676" si="2398">L675*L658</f>
        <v>7.8399882233967533E-3</v>
      </c>
      <c r="M676">
        <f t="shared" ref="M676" si="2399">M675*M658</f>
        <v>6.4173462075160911E-3</v>
      </c>
      <c r="N676">
        <f t="shared" ref="N676" si="2400">N675*N658</f>
        <v>5.3015226887581056E-3</v>
      </c>
      <c r="O676">
        <f t="shared" ref="O676" si="2401">O675*O658</f>
        <v>4.68970903600947E-3</v>
      </c>
    </row>
    <row r="677" spans="1:32" ht="17.149999999999999" x14ac:dyDescent="0.55000000000000004">
      <c r="B677" t="str">
        <f t="shared" si="2324"/>
        <v>Portland</v>
      </c>
      <c r="C677" t="s">
        <v>1390</v>
      </c>
      <c r="D677" cm="1">
        <f t="array" ref="D677">IFERROR(IF(D657="Chemical",(10^(INDEX(Antoines,MATCH(D656,Antoine_Name,0),2)-INDEX(Antoines,MATCH(D656,Antoine_Name,0),3)/(INDEX(Antoines,MATCH(D656,Antoine_Name,0),4)+(D664-32)*5/9)))*14.7/760,IF(D657="Crude Oil",EXP((2799/(D664+459.6)-2.227)*LOG10(INDEX(FX_Input,Q$5,D$3*$Z$5+$AA$5))-(7261/(D664+459.6))+12.82),IF(D657="Refined Petroleum Stock",EXP((0.7553-(413/(D664+459.6)))*(INDEX(FX_Input,Q$5,D$3*$Z$5+$AA$5-1)^0.5)*LOG10(INDEX(FX_Input,Q$5,D$3*$Z$5+$AA$5))-(1.854-(1042/(D664+459.6)))*(INDEX(FX_Input,Q$5,D$3*$Z$5+$AA$5-1)^0.5)+((2416/(D664+459.6)-2.013)*LOG10(INDEX(FX_Input,Q$5,D$3*$Z$5+$AA$5)))-(8742/(D664+459.6))+15.64),EXP(INDEX(Antoines,MATCH(D656,Antoine_Name,0),2)-INDEX(Antoines,MATCH(D656,Antoine_Name,0),3)/(D664+459.6))))),0)</f>
        <v>0</v>
      </c>
      <c r="E677" cm="1">
        <f t="array" ref="E677">IFERROR(IF(E657="Chemical",(10^(INDEX(Antoines,MATCH(E656,Antoine_Name,0),2)-INDEX(Antoines,MATCH(E656,Antoine_Name,0),3)/(INDEX(Antoines,MATCH(E656,Antoine_Name,0),4)+(E664-32)*5/9)))*14.7/760,IF(E657="Crude Oil",EXP((2799/(E664+459.6)-2.227)*LOG10(INDEX(FX_Input,R$5,E$3*$Z$5+$AA$5))-(7261/(E664+459.6))+12.82),IF(E657="Refined Petroleum Stock",EXP((0.7553-(413/(E664+459.6)))*(INDEX(FX_Input,R$5,E$3*$Z$5+$AA$5-1)^0.5)*LOG10(INDEX(FX_Input,R$5,E$3*$Z$5+$AA$5))-(1.854-(1042/(E664+459.6)))*(INDEX(FX_Input,R$5,E$3*$Z$5+$AA$5-1)^0.5)+((2416/(E664+459.6)-2.013)*LOG10(INDEX(FX_Input,R$5,E$3*$Z$5+$AA$5)))-(8742/(E664+459.6))+15.64),EXP(INDEX(Antoines,MATCH(E656,Antoine_Name,0),2)-INDEX(Antoines,MATCH(E656,Antoine_Name,0),3)/(E664+459.6))))),0)</f>
        <v>0</v>
      </c>
      <c r="F677" cm="1">
        <f t="array" ref="F677">IFERROR(IF(F657="Chemical",(10^(INDEX(Antoines,MATCH(F656,Antoine_Name,0),2)-INDEX(Antoines,MATCH(F656,Antoine_Name,0),3)/(INDEX(Antoines,MATCH(F656,Antoine_Name,0),4)+(F664-32)*5/9)))*14.7/760,IF(F657="Crude Oil",EXP((2799/(F664+459.6)-2.227)*LOG10(INDEX(FX_Input,S$5,F$3*$Z$5+$AA$5))-(7261/(F664+459.6))+12.82),IF(F657="Refined Petroleum Stock",EXP((0.7553-(413/(F664+459.6)))*(INDEX(FX_Input,S$5,F$3*$Z$5+$AA$5-1)^0.5)*LOG10(INDEX(FX_Input,S$5,F$3*$Z$5+$AA$5))-(1.854-(1042/(F664+459.6)))*(INDEX(FX_Input,S$5,F$3*$Z$5+$AA$5-1)^0.5)+((2416/(F664+459.6)-2.013)*LOG10(INDEX(FX_Input,S$5,F$3*$Z$5+$AA$5)))-(8742/(F664+459.6))+15.64),EXP(INDEX(Antoines,MATCH(F656,Antoine_Name,0),2)-INDEX(Antoines,MATCH(F656,Antoine_Name,0),3)/(F664+459.6))))),0)</f>
        <v>0</v>
      </c>
      <c r="G677" cm="1">
        <f t="array" ref="G677">IFERROR(IF(G657="Chemical",(10^(INDEX(Antoines,MATCH(G656,Antoine_Name,0),2)-INDEX(Antoines,MATCH(G656,Antoine_Name,0),3)/(INDEX(Antoines,MATCH(G656,Antoine_Name,0),4)+(G664-32)*5/9)))*14.7/760,IF(G657="Crude Oil",EXP((2799/(G664+459.6)-2.227)*LOG10(INDEX(FX_Input,T$5,G$3*$Z$5+$AA$5))-(7261/(G664+459.6))+12.82),IF(G657="Refined Petroleum Stock",EXP((0.7553-(413/(G664+459.6)))*(INDEX(FX_Input,T$5,G$3*$Z$5+$AA$5-1)^0.5)*LOG10(INDEX(FX_Input,T$5,G$3*$Z$5+$AA$5))-(1.854-(1042/(G664+459.6)))*(INDEX(FX_Input,T$5,G$3*$Z$5+$AA$5-1)^0.5)+((2416/(G664+459.6)-2.013)*LOG10(INDEX(FX_Input,T$5,G$3*$Z$5+$AA$5)))-(8742/(G664+459.6))+15.64),EXP(INDEX(Antoines,MATCH(G656,Antoine_Name,0),2)-INDEX(Antoines,MATCH(G656,Antoine_Name,0),3)/(G664+459.6))))),0)</f>
        <v>0</v>
      </c>
      <c r="H677" cm="1">
        <f t="array" ref="H677">IFERROR(IF(H657="Chemical",(10^(INDEX(Antoines,MATCH(H656,Antoine_Name,0),2)-INDEX(Antoines,MATCH(H656,Antoine_Name,0),3)/(INDEX(Antoines,MATCH(H656,Antoine_Name,0),4)+(H664-32)*5/9)))*14.7/760,IF(H657="Crude Oil",EXP((2799/(H664+459.6)-2.227)*LOG10(INDEX(FX_Input,U$5,H$3*$Z$5+$AA$5))-(7261/(H664+459.6))+12.82),IF(H657="Refined Petroleum Stock",EXP((0.7553-(413/(H664+459.6)))*(INDEX(FX_Input,U$5,H$3*$Z$5+$AA$5-1)^0.5)*LOG10(INDEX(FX_Input,U$5,H$3*$Z$5+$AA$5))-(1.854-(1042/(H664+459.6)))*(INDEX(FX_Input,U$5,H$3*$Z$5+$AA$5-1)^0.5)+((2416/(H664+459.6)-2.013)*LOG10(INDEX(FX_Input,U$5,H$3*$Z$5+$AA$5)))-(8742/(H664+459.6))+15.64),EXP(INDEX(Antoines,MATCH(H656,Antoine_Name,0),2)-INDEX(Antoines,MATCH(H656,Antoine_Name,0),3)/(H664+459.6))))),0)</f>
        <v>0</v>
      </c>
      <c r="I677" cm="1">
        <f t="array" ref="I677">IFERROR(IF(I657="Chemical",(10^(INDEX(Antoines,MATCH(I656,Antoine_Name,0),2)-INDEX(Antoines,MATCH(I656,Antoine_Name,0),3)/(INDEX(Antoines,MATCH(I656,Antoine_Name,0),4)+(I664-32)*5/9)))*14.7/760,IF(I657="Crude Oil",EXP((2799/(I664+459.6)-2.227)*LOG10(INDEX(FX_Input,V$5,I$3*$Z$5+$AA$5))-(7261/(I664+459.6))+12.82),IF(I657="Refined Petroleum Stock",EXP((0.7553-(413/(I664+459.6)))*(INDEX(FX_Input,V$5,I$3*$Z$5+$AA$5-1)^0.5)*LOG10(INDEX(FX_Input,V$5,I$3*$Z$5+$AA$5))-(1.854-(1042/(I664+459.6)))*(INDEX(FX_Input,V$5,I$3*$Z$5+$AA$5-1)^0.5)+((2416/(I664+459.6)-2.013)*LOG10(INDEX(FX_Input,V$5,I$3*$Z$5+$AA$5)))-(8742/(I664+459.6))+15.64),EXP(INDEX(Antoines,MATCH(I656,Antoine_Name,0),2)-INDEX(Antoines,MATCH(I656,Antoine_Name,0),3)/(I664+459.6))))),0)</f>
        <v>0</v>
      </c>
      <c r="J677" cm="1">
        <f t="array" ref="J677">IFERROR(IF(J657="Chemical",(10^(INDEX(Antoines,MATCH(J656,Antoine_Name,0),2)-INDEX(Antoines,MATCH(J656,Antoine_Name,0),3)/(INDEX(Antoines,MATCH(J656,Antoine_Name,0),4)+(J664-32)*5/9)))*14.7/760,IF(J657="Crude Oil",EXP((2799/(J664+459.6)-2.227)*LOG10(INDEX(FX_Input,W$5,J$3*$Z$5+$AA$5))-(7261/(J664+459.6))+12.82),IF(J657="Refined Petroleum Stock",EXP((0.7553-(413/(J664+459.6)))*(INDEX(FX_Input,W$5,J$3*$Z$5+$AA$5-1)^0.5)*LOG10(INDEX(FX_Input,W$5,J$3*$Z$5+$AA$5))-(1.854-(1042/(J664+459.6)))*(INDEX(FX_Input,W$5,J$3*$Z$5+$AA$5-1)^0.5)+((2416/(J664+459.6)-2.013)*LOG10(INDEX(FX_Input,W$5,J$3*$Z$5+$AA$5)))-(8742/(J664+459.6))+15.64),EXP(INDEX(Antoines,MATCH(J656,Antoine_Name,0),2)-INDEX(Antoines,MATCH(J656,Antoine_Name,0),3)/(J664+459.6))))),0)</f>
        <v>0</v>
      </c>
      <c r="K677" cm="1">
        <f t="array" ref="K677">IFERROR(IF(K657="Chemical",(10^(INDEX(Antoines,MATCH(K656,Antoine_Name,0),2)-INDEX(Antoines,MATCH(K656,Antoine_Name,0),3)/(INDEX(Antoines,MATCH(K656,Antoine_Name,0),4)+(K664-32)*5/9)))*14.7/760,IF(K657="Crude Oil",EXP((2799/(K664+459.6)-2.227)*LOG10(INDEX(FX_Input,X$5,K$3*$Z$5+$AA$5))-(7261/(K664+459.6))+12.82),IF(K657="Refined Petroleum Stock",EXP((0.7553-(413/(K664+459.6)))*(INDEX(FX_Input,X$5,K$3*$Z$5+$AA$5-1)^0.5)*LOG10(INDEX(FX_Input,X$5,K$3*$Z$5+$AA$5))-(1.854-(1042/(K664+459.6)))*(INDEX(FX_Input,X$5,K$3*$Z$5+$AA$5-1)^0.5)+((2416/(K664+459.6)-2.013)*LOG10(INDEX(FX_Input,X$5,K$3*$Z$5+$AA$5)))-(8742/(K664+459.6))+15.64),EXP(INDEX(Antoines,MATCH(K656,Antoine_Name,0),2)-INDEX(Antoines,MATCH(K656,Antoine_Name,0),3)/(K664+459.6))))),0)</f>
        <v>0</v>
      </c>
      <c r="L677" cm="1">
        <f t="array" ref="L677">IFERROR(IF(L657="Chemical",(10^(INDEX(Antoines,MATCH(L656,Antoine_Name,0),2)-INDEX(Antoines,MATCH(L656,Antoine_Name,0),3)/(INDEX(Antoines,MATCH(L656,Antoine_Name,0),4)+(L664-32)*5/9)))*14.7/760,IF(L657="Crude Oil",EXP((2799/(L664+459.6)-2.227)*LOG10(INDEX(FX_Input,Y$5,L$3*$Z$5+$AA$5))-(7261/(L664+459.6))+12.82),IF(L657="Refined Petroleum Stock",EXP((0.7553-(413/(L664+459.6)))*(INDEX(FX_Input,Y$5,L$3*$Z$5+$AA$5-1)^0.5)*LOG10(INDEX(FX_Input,Y$5,L$3*$Z$5+$AA$5))-(1.854-(1042/(L664+459.6)))*(INDEX(FX_Input,Y$5,L$3*$Z$5+$AA$5-1)^0.5)+((2416/(L664+459.6)-2.013)*LOG10(INDEX(FX_Input,Y$5,L$3*$Z$5+$AA$5)))-(8742/(L664+459.6))+15.64),EXP(INDEX(Antoines,MATCH(L656,Antoine_Name,0),2)-INDEX(Antoines,MATCH(L656,Antoine_Name,0),3)/(L664+459.6))))),0)</f>
        <v>0</v>
      </c>
      <c r="M677" cm="1">
        <f t="array" ref="M677">IFERROR(IF(M657="Chemical",(10^(INDEX(Antoines,MATCH(M656,Antoine_Name,0),2)-INDEX(Antoines,MATCH(M656,Antoine_Name,0),3)/(INDEX(Antoines,MATCH(M656,Antoine_Name,0),4)+(M664-32)*5/9)))*14.7/760,IF(M657="Crude Oil",EXP((2799/(M664+459.6)-2.227)*LOG10(INDEX(FX_Input,Z$5,M$3*$Z$5+$AA$5))-(7261/(M664+459.6))+12.82),IF(M657="Refined Petroleum Stock",EXP((0.7553-(413/(M664+459.6)))*(INDEX(FX_Input,Z$5,M$3*$Z$5+$AA$5-1)^0.5)*LOG10(INDEX(FX_Input,Z$5,M$3*$Z$5+$AA$5))-(1.854-(1042/(M664+459.6)))*(INDEX(FX_Input,Z$5,M$3*$Z$5+$AA$5-1)^0.5)+((2416/(M664+459.6)-2.013)*LOG10(INDEX(FX_Input,Z$5,M$3*$Z$5+$AA$5)))-(8742/(M664+459.6))+15.64),EXP(INDEX(Antoines,MATCH(M656,Antoine_Name,0),2)-INDEX(Antoines,MATCH(M656,Antoine_Name,0),3)/(M664+459.6))))),0)</f>
        <v>0</v>
      </c>
      <c r="N677" cm="1">
        <f t="array" ref="N677">IFERROR(IF(N657="Chemical",(10^(INDEX(Antoines,MATCH(N656,Antoine_Name,0),2)-INDEX(Antoines,MATCH(N656,Antoine_Name,0),3)/(INDEX(Antoines,MATCH(N656,Antoine_Name,0),4)+(N664-32)*5/9)))*14.7/760,IF(N657="Crude Oil",EXP((2799/(N664+459.6)-2.227)*LOG10(INDEX(FX_Input,AA$5,N$3*$Z$5+$AA$5))-(7261/(N664+459.6))+12.82),IF(N657="Refined Petroleum Stock",EXP((0.7553-(413/(N664+459.6)))*(INDEX(FX_Input,AA$5,N$3*$Z$5+$AA$5-1)^0.5)*LOG10(INDEX(FX_Input,AA$5,N$3*$Z$5+$AA$5))-(1.854-(1042/(N664+459.6)))*(INDEX(FX_Input,AA$5,N$3*$Z$5+$AA$5-1)^0.5)+((2416/(N664+459.6)-2.013)*LOG10(INDEX(FX_Input,AA$5,N$3*$Z$5+$AA$5)))-(8742/(N664+459.6))+15.64),EXP(INDEX(Antoines,MATCH(N656,Antoine_Name,0),2)-INDEX(Antoines,MATCH(N656,Antoine_Name,0),3)/(N664+459.6))))),0)</f>
        <v>0</v>
      </c>
      <c r="O677" cm="1">
        <f t="array" ref="O677">IFERROR(IF(O657="Chemical",(10^(INDEX(Antoines,MATCH(O656,Antoine_Name,0),2)-INDEX(Antoines,MATCH(O656,Antoine_Name,0),3)/(INDEX(Antoines,MATCH(O656,Antoine_Name,0),4)+(O664-32)*5/9)))*14.7/760,IF(O657="Crude Oil",EXP((2799/(O664+459.6)-2.227)*LOG10(INDEX(FX_Input,AB$5,O$3*$Z$5+$AA$5))-(7261/(O664+459.6))+12.82),IF(O657="Refined Petroleum Stock",EXP((0.7553-(413/(O664+459.6)))*(INDEX(FX_Input,AB$5,O$3*$Z$5+$AA$5-1)^0.5)*LOG10(INDEX(FX_Input,AB$5,O$3*$Z$5+$AA$5))-(1.854-(1042/(O664+459.6)))*(INDEX(FX_Input,AB$5,O$3*$Z$5+$AA$5-1)^0.5)+((2416/(O664+459.6)-2.013)*LOG10(INDEX(FX_Input,AB$5,O$3*$Z$5+$AA$5)))-(8742/(O664+459.6))+15.64),EXP(INDEX(Antoines,MATCH(O656,Antoine_Name,0),2)-INDEX(Antoines,MATCH(O656,Antoine_Name,0),3)/(O664+459.6))))),0)</f>
        <v>0</v>
      </c>
    </row>
    <row r="678" spans="1:32" ht="17.149999999999999" x14ac:dyDescent="0.55000000000000004">
      <c r="B678" t="str">
        <f t="shared" si="2324"/>
        <v>Portland</v>
      </c>
      <c r="C678" t="s">
        <v>1391</v>
      </c>
      <c r="D678">
        <f>D677*D660</f>
        <v>0</v>
      </c>
      <c r="E678">
        <f t="shared" ref="E678" si="2402">E677*E660</f>
        <v>0</v>
      </c>
      <c r="F678">
        <f t="shared" ref="F678" si="2403">F677*F660</f>
        <v>0</v>
      </c>
      <c r="G678">
        <f t="shared" ref="G678" si="2404">G677*G660</f>
        <v>0</v>
      </c>
      <c r="H678">
        <f t="shared" ref="H678" si="2405">H677*H660</f>
        <v>0</v>
      </c>
      <c r="I678">
        <f t="shared" ref="I678" si="2406">I677*I660</f>
        <v>0</v>
      </c>
      <c r="J678">
        <f t="shared" ref="J678" si="2407">J677*J660</f>
        <v>0</v>
      </c>
      <c r="K678">
        <f t="shared" ref="K678" si="2408">K677*K660</f>
        <v>0</v>
      </c>
      <c r="L678">
        <f t="shared" ref="L678" si="2409">L677*L660</f>
        <v>0</v>
      </c>
      <c r="M678">
        <f t="shared" ref="M678" si="2410">M677*M660</f>
        <v>0</v>
      </c>
      <c r="N678">
        <f t="shared" ref="N678" si="2411">N677*N660</f>
        <v>0</v>
      </c>
      <c r="O678">
        <f t="shared" ref="O678" si="2412">O677*O660</f>
        <v>0</v>
      </c>
    </row>
    <row r="679" spans="1:32" ht="17.149999999999999" x14ac:dyDescent="0.55000000000000004">
      <c r="B679" t="str">
        <f t="shared" si="2324"/>
        <v>Portland</v>
      </c>
      <c r="C679" t="s">
        <v>1392</v>
      </c>
      <c r="D679">
        <f>D676+D678</f>
        <v>4.739577185808354E-3</v>
      </c>
      <c r="E679">
        <f t="shared" ref="E679" si="2413">E676+E678</f>
        <v>4.8748667780818778E-3</v>
      </c>
      <c r="F679">
        <f t="shared" ref="F679" si="2414">F676+F678</f>
        <v>5.119885034186122E-3</v>
      </c>
      <c r="G679">
        <f t="shared" ref="G679" si="2415">G676+G678</f>
        <v>5.5846958573521795E-3</v>
      </c>
      <c r="H679">
        <f t="shared" ref="H679" si="2416">H676+H678</f>
        <v>6.5274070972739821E-3</v>
      </c>
      <c r="I679">
        <f t="shared" ref="I679" si="2417">I676+I678</f>
        <v>7.4199539958878279E-3</v>
      </c>
      <c r="J679">
        <f t="shared" ref="J679" si="2418">J676+J678</f>
        <v>8.3358107202842254E-3</v>
      </c>
      <c r="K679">
        <f t="shared" ref="K679" si="2419">K676+K678</f>
        <v>8.4605262729351115E-3</v>
      </c>
      <c r="L679">
        <f t="shared" ref="L679" si="2420">L676+L678</f>
        <v>7.8399882233967533E-3</v>
      </c>
      <c r="M679">
        <f t="shared" ref="M679" si="2421">M676+M678</f>
        <v>6.4173462075160911E-3</v>
      </c>
      <c r="N679">
        <f t="shared" ref="N679" si="2422">N676+N678</f>
        <v>5.3015226887581056E-3</v>
      </c>
      <c r="O679">
        <f t="shared" ref="O679" si="2423">O676+O678</f>
        <v>4.68970903600947E-3</v>
      </c>
    </row>
    <row r="680" spans="1:32" ht="17.149999999999999" x14ac:dyDescent="0.55000000000000004">
      <c r="B680" t="str">
        <f>B674</f>
        <v>Portland</v>
      </c>
      <c r="C680" t="s">
        <v>584</v>
      </c>
      <c r="D680">
        <f>D676/D679</f>
        <v>1</v>
      </c>
      <c r="E680">
        <f t="shared" ref="E680" si="2424">E676/E679</f>
        <v>1</v>
      </c>
      <c r="F680">
        <f t="shared" ref="F680" si="2425">F676/F679</f>
        <v>1</v>
      </c>
      <c r="G680">
        <f t="shared" ref="G680" si="2426">G676/G679</f>
        <v>1</v>
      </c>
      <c r="H680">
        <f t="shared" ref="H680" si="2427">H676/H679</f>
        <v>1</v>
      </c>
      <c r="I680">
        <f t="shared" ref="I680" si="2428">I676/I679</f>
        <v>1</v>
      </c>
      <c r="J680">
        <f t="shared" ref="J680" si="2429">J676/J679</f>
        <v>1</v>
      </c>
      <c r="K680">
        <f t="shared" ref="K680" si="2430">K676/K679</f>
        <v>1</v>
      </c>
      <c r="L680">
        <f t="shared" ref="L680" si="2431">L676/L679</f>
        <v>1</v>
      </c>
      <c r="M680">
        <f t="shared" ref="M680" si="2432">M676/M679</f>
        <v>1</v>
      </c>
      <c r="N680">
        <f t="shared" ref="N680" si="2433">N676/N679</f>
        <v>1</v>
      </c>
      <c r="O680">
        <f t="shared" ref="O680" si="2434">O676/O679</f>
        <v>1</v>
      </c>
    </row>
    <row r="681" spans="1:32" ht="17.149999999999999" x14ac:dyDescent="0.55000000000000004">
      <c r="B681" t="str">
        <f>B675</f>
        <v>Portland</v>
      </c>
      <c r="C681" t="s">
        <v>585</v>
      </c>
      <c r="D681">
        <f t="shared" ref="D681:O681" si="2435">INDEX(Phys_Prop,MATCH(D654,Chem_List,0),3)</f>
        <v>130</v>
      </c>
      <c r="E681">
        <f t="shared" si="2435"/>
        <v>130</v>
      </c>
      <c r="F681">
        <f t="shared" si="2435"/>
        <v>130</v>
      </c>
      <c r="G681">
        <f t="shared" si="2435"/>
        <v>130</v>
      </c>
      <c r="H681">
        <f t="shared" si="2435"/>
        <v>130</v>
      </c>
      <c r="I681">
        <f t="shared" si="2435"/>
        <v>130</v>
      </c>
      <c r="J681">
        <f t="shared" si="2435"/>
        <v>130</v>
      </c>
      <c r="K681">
        <f t="shared" si="2435"/>
        <v>130</v>
      </c>
      <c r="L681">
        <f t="shared" si="2435"/>
        <v>130</v>
      </c>
      <c r="M681">
        <f t="shared" si="2435"/>
        <v>130</v>
      </c>
      <c r="N681">
        <f t="shared" si="2435"/>
        <v>130</v>
      </c>
      <c r="O681">
        <f t="shared" si="2435"/>
        <v>130</v>
      </c>
    </row>
    <row r="682" spans="1:32" ht="17.149999999999999" x14ac:dyDescent="0.55000000000000004">
      <c r="B682" t="str">
        <f>B681</f>
        <v>Portland</v>
      </c>
      <c r="C682" t="s">
        <v>586</v>
      </c>
      <c r="D682">
        <f>D678/D679</f>
        <v>0</v>
      </c>
      <c r="E682">
        <f t="shared" ref="E682:O682" si="2436">E678/E679</f>
        <v>0</v>
      </c>
      <c r="F682">
        <f t="shared" si="2436"/>
        <v>0</v>
      </c>
      <c r="G682">
        <f t="shared" si="2436"/>
        <v>0</v>
      </c>
      <c r="H682">
        <f t="shared" si="2436"/>
        <v>0</v>
      </c>
      <c r="I682">
        <f t="shared" si="2436"/>
        <v>0</v>
      </c>
      <c r="J682">
        <f t="shared" si="2436"/>
        <v>0</v>
      </c>
      <c r="K682">
        <f t="shared" si="2436"/>
        <v>0</v>
      </c>
      <c r="L682">
        <f t="shared" si="2436"/>
        <v>0</v>
      </c>
      <c r="M682">
        <f t="shared" si="2436"/>
        <v>0</v>
      </c>
      <c r="N682">
        <f t="shared" si="2436"/>
        <v>0</v>
      </c>
      <c r="O682">
        <f t="shared" si="2436"/>
        <v>0</v>
      </c>
    </row>
    <row r="683" spans="1:32" ht="17.149999999999999" x14ac:dyDescent="0.55000000000000004">
      <c r="B683" t="str">
        <f t="shared" si="2324"/>
        <v>Portland</v>
      </c>
      <c r="C683" t="s">
        <v>587</v>
      </c>
      <c r="D683">
        <f t="shared" ref="D683:O683" si="2437">IFERROR(INDEX(Phys_Prop,MATCH(D656,Chem_List,0),3),0)</f>
        <v>0</v>
      </c>
      <c r="E683">
        <f t="shared" si="2437"/>
        <v>0</v>
      </c>
      <c r="F683">
        <f t="shared" si="2437"/>
        <v>0</v>
      </c>
      <c r="G683">
        <f t="shared" si="2437"/>
        <v>0</v>
      </c>
      <c r="H683">
        <f t="shared" si="2437"/>
        <v>0</v>
      </c>
      <c r="I683">
        <f t="shared" si="2437"/>
        <v>0</v>
      </c>
      <c r="J683">
        <f t="shared" si="2437"/>
        <v>0</v>
      </c>
      <c r="K683">
        <f t="shared" si="2437"/>
        <v>0</v>
      </c>
      <c r="L683">
        <f t="shared" si="2437"/>
        <v>0</v>
      </c>
      <c r="M683">
        <f t="shared" si="2437"/>
        <v>0</v>
      </c>
      <c r="N683">
        <f t="shared" si="2437"/>
        <v>0</v>
      </c>
      <c r="O683">
        <f t="shared" si="2437"/>
        <v>0</v>
      </c>
    </row>
    <row r="684" spans="1:32" ht="17.149999999999999" x14ac:dyDescent="0.55000000000000004">
      <c r="A684" s="11"/>
      <c r="B684" s="11" t="str">
        <f t="shared" si="2324"/>
        <v>Portland</v>
      </c>
      <c r="C684" s="11" t="s">
        <v>588</v>
      </c>
      <c r="D684" s="11">
        <f>IFERROR(D680*D681+D682*D683,0)</f>
        <v>130</v>
      </c>
      <c r="E684" s="11">
        <f t="shared" ref="E684" si="2438">IFERROR(E680*E681+E682*E683,0)</f>
        <v>130</v>
      </c>
      <c r="F684" s="11">
        <f t="shared" ref="F684" si="2439">IFERROR(F680*F681+F682*F683,0)</f>
        <v>130</v>
      </c>
      <c r="G684" s="11">
        <f t="shared" ref="G684" si="2440">IFERROR(G680*G681+G682*G683,0)</f>
        <v>130</v>
      </c>
      <c r="H684" s="11">
        <f t="shared" ref="H684" si="2441">IFERROR(H680*H681+H682*H683,0)</f>
        <v>130</v>
      </c>
      <c r="I684" s="11">
        <f t="shared" ref="I684" si="2442">IFERROR(I680*I681+I682*I683,0)</f>
        <v>130</v>
      </c>
      <c r="J684" s="11">
        <f t="shared" ref="J684" si="2443">IFERROR(J680*J681+J682*J683,0)</f>
        <v>130</v>
      </c>
      <c r="K684" s="11">
        <f t="shared" ref="K684" si="2444">IFERROR(K680*K681+K682*K683,0)</f>
        <v>130</v>
      </c>
      <c r="L684" s="11">
        <f t="shared" ref="L684" si="2445">IFERROR(L680*L681+L682*L683,0)</f>
        <v>130</v>
      </c>
      <c r="M684" s="11">
        <f t="shared" ref="M684" si="2446">IFERROR(M680*M681+M682*M683,0)</f>
        <v>130</v>
      </c>
      <c r="N684" s="11">
        <f t="shared" ref="N684" si="2447">IFERROR(N680*N681+N682*N683,0)</f>
        <v>130</v>
      </c>
      <c r="O684" s="11">
        <f t="shared" ref="O684" si="2448">IFERROR(O680*O681+O682*O683,0)</f>
        <v>130</v>
      </c>
      <c r="P684" s="11"/>
      <c r="Q684" s="11"/>
      <c r="R684" s="11"/>
      <c r="S684" s="11"/>
      <c r="T684" s="11"/>
      <c r="U684" s="11"/>
      <c r="V684" s="11"/>
      <c r="W684" s="11"/>
      <c r="X684" s="11"/>
      <c r="Y684" s="11"/>
      <c r="Z684" s="11"/>
      <c r="AA684" s="11"/>
      <c r="AB684" s="11"/>
      <c r="AC684" s="11"/>
      <c r="AD684" s="11"/>
      <c r="AE684" s="11"/>
      <c r="AF684" s="11"/>
    </row>
    <row r="685" spans="1:32" ht="17.149999999999999" x14ac:dyDescent="0.55000000000000004">
      <c r="A685" t="str" cm="1">
        <f t="array" ref="A685">INDEX(FX_Input,$Q685,R$5)</f>
        <v>FX - 21</v>
      </c>
      <c r="B685" t="str" cm="1">
        <f t="array" ref="B685">INDEX(FX_Input,Q685,S685)</f>
        <v>Portland</v>
      </c>
      <c r="C685" t="s">
        <v>563</v>
      </c>
      <c r="D685">
        <v>14.7</v>
      </c>
      <c r="E685">
        <v>14.7</v>
      </c>
      <c r="F685">
        <v>14.7</v>
      </c>
      <c r="G685">
        <v>14.7</v>
      </c>
      <c r="H685">
        <v>14.7</v>
      </c>
      <c r="I685">
        <v>14.7</v>
      </c>
      <c r="J685">
        <v>14.7</v>
      </c>
      <c r="K685">
        <v>14.7</v>
      </c>
      <c r="L685">
        <v>14.7</v>
      </c>
      <c r="M685">
        <v>14.7</v>
      </c>
      <c r="N685">
        <v>14.7</v>
      </c>
      <c r="O685">
        <v>14.7</v>
      </c>
      <c r="Q685">
        <f>Q651+2</f>
        <v>41</v>
      </c>
      <c r="R685">
        <v>1</v>
      </c>
      <c r="S685">
        <v>3</v>
      </c>
      <c r="T685">
        <v>1</v>
      </c>
      <c r="U685">
        <v>19</v>
      </c>
      <c r="V685">
        <v>20</v>
      </c>
      <c r="W685">
        <v>25</v>
      </c>
      <c r="X685">
        <v>1</v>
      </c>
      <c r="Y685">
        <v>2</v>
      </c>
      <c r="Z685">
        <f>(W685-V685)/(Y685-X685)</f>
        <v>5</v>
      </c>
      <c r="AA685">
        <f>V685-Z685*X685</f>
        <v>15</v>
      </c>
      <c r="AD685">
        <f>AD651+14</f>
        <v>281</v>
      </c>
      <c r="AF685">
        <f>AF651+14</f>
        <v>281</v>
      </c>
    </row>
    <row r="686" spans="1:32" ht="17.149999999999999" x14ac:dyDescent="0.55000000000000004">
      <c r="B686" t="str">
        <f t="shared" ref="B686" si="2449">B685</f>
        <v>Portland</v>
      </c>
      <c r="C686" t="s">
        <v>564</v>
      </c>
      <c r="D686" cm="1">
        <f t="array" ref="D686">IF(ISBLANK(INDEX(FX_Input,$Q685,$AB686)),0.03,INDEX(FX_Input,Q685,AB686))</f>
        <v>0.03</v>
      </c>
      <c r="E686" cm="1">
        <f t="array" ref="E686">IF(ISBLANK(INDEX(FX_Input,$Q685,$AB686)),0.03,INDEX(FX_Input,R685,#REF!))</f>
        <v>0.03</v>
      </c>
      <c r="F686" cm="1">
        <f t="array" ref="F686">IF(ISBLANK(INDEX(FX_Input,$Q685,$AB686)),0.03,INDEX(FX_Input,S685,#REF!))</f>
        <v>0.03</v>
      </c>
      <c r="G686" cm="1">
        <f t="array" ref="G686">IF(ISBLANK(INDEX(FX_Input,$Q685,$AB686)),0.03,INDEX(FX_Input,AB685,#REF!))</f>
        <v>0.03</v>
      </c>
      <c r="H686" cm="1">
        <f t="array" ref="H686">IF(ISBLANK(INDEX(FX_Input,$Q685,$AB686)),0.03,INDEX(FX_Input,#REF!,#REF!))</f>
        <v>0.03</v>
      </c>
      <c r="I686" cm="1">
        <f t="array" ref="I686">IF(ISBLANK(INDEX(FX_Input,$Q685,$AB686)),0.03,INDEX(FX_Input,#REF!,#REF!))</f>
        <v>0.03</v>
      </c>
      <c r="J686" cm="1">
        <f t="array" ref="J686">IF(ISBLANK(INDEX(FX_Input,$Q685,$AB686)),0.03,INDEX(FX_Input,#REF!,#REF!))</f>
        <v>0.03</v>
      </c>
      <c r="K686" cm="1">
        <f t="array" ref="K686">IF(ISBLANK(INDEX(FX_Input,$Q685,$AB686)),0.03,INDEX(FX_Input,#REF!,AC686))</f>
        <v>0.03</v>
      </c>
      <c r="L686" cm="1">
        <f t="array" ref="L686">IF(ISBLANK(INDEX(FX_Input,$Q685,$AB686)),0.03,INDEX(FX_Input,#REF!,AD686))</f>
        <v>0.03</v>
      </c>
      <c r="M686" cm="1">
        <f t="array" ref="M686">IF(ISBLANK(INDEX(FX_Input,$Q685,$AB686)),0.03,INDEX(FX_Input,#REF!,#REF!))</f>
        <v>0.03</v>
      </c>
      <c r="N686" cm="1">
        <f t="array" ref="N686">IF(ISBLANK(INDEX(FX_Input,$Q685,$AB686)),0.03,INDEX(FX_Input,AC685,#REF!))</f>
        <v>0.03</v>
      </c>
      <c r="O686" cm="1">
        <f t="array" ref="O686">IF(ISBLANK(INDEX(FX_Input,$Q685,$AB686)),0.03,INDEX(FX_Input,AD685,#REF!))</f>
        <v>0.03</v>
      </c>
      <c r="AB686">
        <v>15</v>
      </c>
    </row>
    <row r="687" spans="1:32" ht="17.149999999999999" x14ac:dyDescent="0.55000000000000004">
      <c r="B687" t="str">
        <f>B686</f>
        <v>Portland</v>
      </c>
      <c r="C687" t="s">
        <v>565</v>
      </c>
      <c r="D687" cm="1">
        <f t="array" ref="D687">IF(ISBLANK(INDEX(FX_Input,$Q685,$AB687)),-0.03,INDEX(FX_Input,$Q685,$AB687))</f>
        <v>-0.03</v>
      </c>
      <c r="E687" cm="1">
        <f t="array" ref="E687">IF(ISBLANK(INDEX(FX_Input,$Q685,$AB687)),-0.03,INDEX(FX_Input,R685,#REF!))</f>
        <v>-0.03</v>
      </c>
      <c r="F687" cm="1">
        <f t="array" ref="F687">IF(ISBLANK(INDEX(FX_Input,$Q685,$AB687)),-0.03,INDEX(FX_Input,S685,#REF!))</f>
        <v>-0.03</v>
      </c>
      <c r="G687" cm="1">
        <f t="array" ref="G687">IF(ISBLANK(INDEX(FX_Input,$Q685,$AB687)),-0.03,INDEX(FX_Input,AB685,#REF!))</f>
        <v>-0.03</v>
      </c>
      <c r="H687" cm="1">
        <f t="array" ref="H687">IF(ISBLANK(INDEX(FX_Input,$Q685,$AB687)),-0.03,INDEX(FX_Input,#REF!,#REF!))</f>
        <v>-0.03</v>
      </c>
      <c r="I687" cm="1">
        <f t="array" ref="I687">IF(ISBLANK(INDEX(FX_Input,$Q685,$AB687)),-0.03,INDEX(FX_Input,#REF!,#REF!))</f>
        <v>-0.03</v>
      </c>
      <c r="J687" cm="1">
        <f t="array" ref="J687">IF(ISBLANK(INDEX(FX_Input,$Q685,$AB687)),-0.03,INDEX(FX_Input,#REF!,#REF!))</f>
        <v>-0.03</v>
      </c>
      <c r="K687" cm="1">
        <f t="array" ref="K687">IF(ISBLANK(INDEX(FX_Input,$Q685,$AB687)),-0.03,INDEX(FX_Input,#REF!,AC687))</f>
        <v>-0.03</v>
      </c>
      <c r="L687" cm="1">
        <f t="array" ref="L687">IF(ISBLANK(INDEX(FX_Input,$Q685,$AB687)),-0.03,INDEX(FX_Input,#REF!,AD687))</f>
        <v>-0.03</v>
      </c>
      <c r="M687" cm="1">
        <f t="array" ref="M687">IF(ISBLANK(INDEX(FX_Input,$Q685,$AB687)),-0.03,INDEX(FX_Input,#REF!,#REF!))</f>
        <v>-0.03</v>
      </c>
      <c r="N687" cm="1">
        <f t="array" ref="N687">IF(ISBLANK(INDEX(FX_Input,$Q685,$AB687)),-0.03,INDEX(FX_Input,AC685,#REF!))</f>
        <v>-0.03</v>
      </c>
      <c r="O687" cm="1">
        <f t="array" ref="O687">IF(ISBLANK(INDEX(FX_Input,$Q685,$AB687)),-0.03,INDEX(FX_Input,AD685,#REF!))</f>
        <v>-0.03</v>
      </c>
      <c r="AB687">
        <v>16</v>
      </c>
    </row>
    <row r="688" spans="1:32" x14ac:dyDescent="0.4">
      <c r="B688" t="str">
        <f t="shared" ref="B688:B689" si="2450">B687</f>
        <v>Portland</v>
      </c>
      <c r="C688" s="66" t="s">
        <v>567</v>
      </c>
      <c r="D688" t="str" cm="1">
        <f t="array" ref="D688">INDEX(FX_Multi,$AD688,D$3)</f>
        <v>Jet kerosene</v>
      </c>
      <c r="E688" t="str" cm="1">
        <f t="array" ref="E688">INDEX(FX_Multi,$AD688,E$3)</f>
        <v>Jet kerosene</v>
      </c>
      <c r="F688" t="str" cm="1">
        <f t="array" ref="F688">INDEX(FX_Multi,$AD688,F$3)</f>
        <v>Jet kerosene</v>
      </c>
      <c r="G688" t="str" cm="1">
        <f t="array" ref="G688">INDEX(FX_Multi,$AD688,G$3)</f>
        <v>Jet kerosene</v>
      </c>
      <c r="H688" t="str" cm="1">
        <f t="array" ref="H688">INDEX(FX_Multi,$AD688,H$3)</f>
        <v>Jet kerosene</v>
      </c>
      <c r="I688" t="str" cm="1">
        <f t="array" ref="I688">INDEX(FX_Multi,$AD688,I$3)</f>
        <v>Jet kerosene</v>
      </c>
      <c r="J688" t="str" cm="1">
        <f t="array" ref="J688">INDEX(FX_Multi,$AD688,J$3)</f>
        <v>Jet kerosene</v>
      </c>
      <c r="K688" t="str" cm="1">
        <f t="array" ref="K688">INDEX(FX_Multi,$AD688,K$3)</f>
        <v>Jet kerosene</v>
      </c>
      <c r="L688" t="str" cm="1">
        <f t="array" ref="L688">INDEX(FX_Multi,$AD688,L$3)</f>
        <v>Jet kerosene</v>
      </c>
      <c r="M688" t="str" cm="1">
        <f t="array" ref="M688">INDEX(FX_Multi,$AD688,M$3)</f>
        <v>Jet kerosene</v>
      </c>
      <c r="N688" t="str" cm="1">
        <f t="array" ref="N688">INDEX(FX_Multi,$AD688,N$3)</f>
        <v>Jet kerosene</v>
      </c>
      <c r="O688" t="str" cm="1">
        <f t="array" ref="O688">INDEX(FX_Multi,$AD688,O$3)</f>
        <v>Jet kerosene</v>
      </c>
      <c r="AC688">
        <v>1</v>
      </c>
      <c r="AD688">
        <f>AD685</f>
        <v>281</v>
      </c>
      <c r="AE688">
        <v>1</v>
      </c>
      <c r="AF688">
        <f>AF685</f>
        <v>281</v>
      </c>
    </row>
    <row r="689" spans="2:32" x14ac:dyDescent="0.4">
      <c r="B689" t="str">
        <f t="shared" si="2450"/>
        <v>Portland</v>
      </c>
      <c r="C689" s="66" t="s">
        <v>566</v>
      </c>
      <c r="D689" t="str" cm="1">
        <f t="array" ref="D689">INDEX(FX_Multi,$AD689,D$3)</f>
        <v>Select Pet Stock</v>
      </c>
      <c r="E689" t="str" cm="1">
        <f t="array" ref="E689">INDEX(FX_Multi,$AD689,E$3)</f>
        <v>Select Pet Stock</v>
      </c>
      <c r="F689" t="str" cm="1">
        <f t="array" ref="F689">INDEX(FX_Multi,$AD689,F$3)</f>
        <v>Select Pet Stock</v>
      </c>
      <c r="G689" t="str" cm="1">
        <f t="array" ref="G689">INDEX(FX_Multi,$AD689,G$3)</f>
        <v>Select Pet Stock</v>
      </c>
      <c r="H689" t="str" cm="1">
        <f t="array" ref="H689">INDEX(FX_Multi,$AD689,H$3)</f>
        <v>Select Pet Stock</v>
      </c>
      <c r="I689" t="str" cm="1">
        <f t="array" ref="I689">INDEX(FX_Multi,$AD689,I$3)</f>
        <v>Select Pet Stock</v>
      </c>
      <c r="J689" t="str" cm="1">
        <f t="array" ref="J689">INDEX(FX_Multi,$AD689,J$3)</f>
        <v>Select Pet Stock</v>
      </c>
      <c r="K689" t="str" cm="1">
        <f t="array" ref="K689">INDEX(FX_Multi,$AD689,K$3)</f>
        <v>Select Pet Stock</v>
      </c>
      <c r="L689" t="str" cm="1">
        <f t="array" ref="L689">INDEX(FX_Multi,$AD689,L$3)</f>
        <v>Select Pet Stock</v>
      </c>
      <c r="M689" t="str" cm="1">
        <f t="array" ref="M689">INDEX(FX_Multi,$AD689,M$3)</f>
        <v>Select Pet Stock</v>
      </c>
      <c r="N689" t="str" cm="1">
        <f t="array" ref="N689">INDEX(FX_Multi,$AD689,N$3)</f>
        <v>Select Pet Stock</v>
      </c>
      <c r="O689" t="str" cm="1">
        <f t="array" ref="O689">INDEX(FX_Multi,$AD689,O$3)</f>
        <v>Select Pet Stock</v>
      </c>
      <c r="AC689">
        <v>1</v>
      </c>
      <c r="AD689">
        <f>AD688+2</f>
        <v>283</v>
      </c>
      <c r="AE689">
        <v>1</v>
      </c>
      <c r="AF689">
        <f>AF688+3</f>
        <v>284</v>
      </c>
    </row>
    <row r="690" spans="2:32" x14ac:dyDescent="0.4">
      <c r="B690" t="str">
        <f>B686</f>
        <v>Portland</v>
      </c>
      <c r="C690" s="66" t="s">
        <v>568</v>
      </c>
      <c r="D690" cm="1">
        <f t="array" ref="D690">INDEX(FX_Multi,$AD690,D$3)</f>
        <v>0</v>
      </c>
      <c r="E690" cm="1">
        <f t="array" ref="E690">INDEX(FX_Multi,$AD690,E$3)</f>
        <v>0</v>
      </c>
      <c r="F690" cm="1">
        <f t="array" ref="F690">INDEX(FX_Multi,$AD690,F$3)</f>
        <v>0</v>
      </c>
      <c r="G690" cm="1">
        <f t="array" ref="G690">INDEX(FX_Multi,$AD690,G$3)</f>
        <v>0</v>
      </c>
      <c r="H690" cm="1">
        <f t="array" ref="H690">INDEX(FX_Multi,$AD690,H$3)</f>
        <v>0</v>
      </c>
      <c r="I690" cm="1">
        <f t="array" ref="I690">INDEX(FX_Multi,$AD690,I$3)</f>
        <v>0</v>
      </c>
      <c r="J690" cm="1">
        <f t="array" ref="J690">INDEX(FX_Multi,$AD690,J$3)</f>
        <v>0</v>
      </c>
      <c r="K690" cm="1">
        <f t="array" ref="K690">INDEX(FX_Multi,$AD690,K$3)</f>
        <v>0</v>
      </c>
      <c r="L690" cm="1">
        <f t="array" ref="L690">INDEX(FX_Multi,$AD690,L$3)</f>
        <v>0</v>
      </c>
      <c r="M690" cm="1">
        <f t="array" ref="M690">INDEX(FX_Multi,$AD690,M$3)</f>
        <v>0</v>
      </c>
      <c r="N690" cm="1">
        <f t="array" ref="N690">INDEX(FX_Multi,$AD690,N$3)</f>
        <v>0</v>
      </c>
      <c r="O690" cm="1">
        <f t="array" ref="O690">INDEX(FX_Multi,$AD690,O$3)</f>
        <v>0</v>
      </c>
      <c r="AC690">
        <v>1</v>
      </c>
      <c r="AD690">
        <f>AD689-1</f>
        <v>282</v>
      </c>
      <c r="AE690">
        <v>1</v>
      </c>
      <c r="AF690">
        <f>AF688+1</f>
        <v>282</v>
      </c>
    </row>
    <row r="691" spans="2:32" x14ac:dyDescent="0.4">
      <c r="B691" t="str">
        <f t="shared" ref="B691:B695" si="2451">B690</f>
        <v>Portland</v>
      </c>
      <c r="C691" s="66" t="s">
        <v>569</v>
      </c>
      <c r="D691" cm="1">
        <f t="array" ref="D691">INDEX(FX_Multi,$AD691,D$3)</f>
        <v>0</v>
      </c>
      <c r="E691" cm="1">
        <f t="array" ref="E691">INDEX(FX_Multi,$AD691,E$3)</f>
        <v>0</v>
      </c>
      <c r="F691" cm="1">
        <f t="array" ref="F691">INDEX(FX_Multi,$AD691,F$3)</f>
        <v>0</v>
      </c>
      <c r="G691" cm="1">
        <f t="array" ref="G691">INDEX(FX_Multi,$AD691,G$3)</f>
        <v>0</v>
      </c>
      <c r="H691" cm="1">
        <f t="array" ref="H691">INDEX(FX_Multi,$AD691,H$3)</f>
        <v>0</v>
      </c>
      <c r="I691" cm="1">
        <f t="array" ref="I691">INDEX(FX_Multi,$AD691,I$3)</f>
        <v>0</v>
      </c>
      <c r="J691" cm="1">
        <f t="array" ref="J691">INDEX(FX_Multi,$AD691,J$3)</f>
        <v>0</v>
      </c>
      <c r="K691" cm="1">
        <f t="array" ref="K691">INDEX(FX_Multi,$AD691,K$3)</f>
        <v>0</v>
      </c>
      <c r="L691" cm="1">
        <f t="array" ref="L691">INDEX(FX_Multi,$AD691,L$3)</f>
        <v>0</v>
      </c>
      <c r="M691" cm="1">
        <f t="array" ref="M691">INDEX(FX_Multi,$AD691,M$3)</f>
        <v>0</v>
      </c>
      <c r="N691" cm="1">
        <f t="array" ref="N691">INDEX(FX_Multi,$AD691,N$3)</f>
        <v>0</v>
      </c>
      <c r="O691" cm="1">
        <f t="array" ref="O691">INDEX(FX_Multi,$AD691,O$3)</f>
        <v>0</v>
      </c>
      <c r="AC691">
        <v>1</v>
      </c>
      <c r="AD691">
        <f>AD690+2</f>
        <v>284</v>
      </c>
      <c r="AE691">
        <v>1</v>
      </c>
      <c r="AF691">
        <f>AF689</f>
        <v>284</v>
      </c>
    </row>
    <row r="692" spans="2:32" ht="17.149999999999999" x14ac:dyDescent="0.55000000000000004">
      <c r="B692" t="str">
        <f t="shared" si="2451"/>
        <v>Portland</v>
      </c>
      <c r="C692" t="s">
        <v>570</v>
      </c>
      <c r="D692" cm="1">
        <f t="array" ref="D692">INDEX(FX_Multi,$AD692,D$3)</f>
        <v>1</v>
      </c>
      <c r="E692" cm="1">
        <f t="array" ref="E692">INDEX(FX_Multi,$AD692,E$3)</f>
        <v>1</v>
      </c>
      <c r="F692" cm="1">
        <f t="array" ref="F692">INDEX(FX_Multi,$AD692,F$3)</f>
        <v>1</v>
      </c>
      <c r="G692" cm="1">
        <f t="array" ref="G692">INDEX(FX_Multi,$AD692,G$3)</f>
        <v>1</v>
      </c>
      <c r="H692" cm="1">
        <f t="array" ref="H692">INDEX(FX_Multi,$AD692,H$3)</f>
        <v>1</v>
      </c>
      <c r="I692" cm="1">
        <f t="array" ref="I692">INDEX(FX_Multi,$AD692,I$3)</f>
        <v>1</v>
      </c>
      <c r="J692" cm="1">
        <f t="array" ref="J692">INDEX(FX_Multi,$AD692,J$3)</f>
        <v>1</v>
      </c>
      <c r="K692" cm="1">
        <f t="array" ref="K692">INDEX(FX_Multi,$AD692,K$3)</f>
        <v>1</v>
      </c>
      <c r="L692" cm="1">
        <f t="array" ref="L692">INDEX(FX_Multi,$AD692,L$3)</f>
        <v>1</v>
      </c>
      <c r="M692" cm="1">
        <f t="array" ref="M692">INDEX(FX_Multi,$AD692,M$3)</f>
        <v>1</v>
      </c>
      <c r="N692" cm="1">
        <f t="array" ref="N692">INDEX(FX_Multi,$AD692,N$3)</f>
        <v>1</v>
      </c>
      <c r="O692" cm="1">
        <f t="array" ref="O692">INDEX(FX_Multi,$AD692,O$3)</f>
        <v>1</v>
      </c>
      <c r="AC692">
        <v>1</v>
      </c>
      <c r="AD692">
        <f>AD691+6</f>
        <v>290</v>
      </c>
      <c r="AE692">
        <v>1</v>
      </c>
      <c r="AF692">
        <f>AF688+9</f>
        <v>290</v>
      </c>
    </row>
    <row r="693" spans="2:32" ht="17.149999999999999" x14ac:dyDescent="0.55000000000000004">
      <c r="B693" t="str">
        <f t="shared" si="2451"/>
        <v>Portland</v>
      </c>
      <c r="C693" t="s">
        <v>571</v>
      </c>
      <c r="D693" cm="1">
        <f t="array" ref="D693">INDEX(FX_Multi,$AD693,D$3)</f>
        <v>162</v>
      </c>
      <c r="E693" cm="1">
        <f t="array" ref="E693">INDEX(FX_Multi,$AD693,E$3)</f>
        <v>162</v>
      </c>
      <c r="F693" cm="1">
        <f t="array" ref="F693">INDEX(FX_Multi,$AD693,F$3)</f>
        <v>162</v>
      </c>
      <c r="G693" cm="1">
        <f t="array" ref="G693">INDEX(FX_Multi,$AD693,G$3)</f>
        <v>162</v>
      </c>
      <c r="H693" cm="1">
        <f t="array" ref="H693">INDEX(FX_Multi,$AD693,H$3)</f>
        <v>162</v>
      </c>
      <c r="I693" cm="1">
        <f t="array" ref="I693">INDEX(FX_Multi,$AD693,I$3)</f>
        <v>162</v>
      </c>
      <c r="J693" cm="1">
        <f t="array" ref="J693">INDEX(FX_Multi,$AD693,J$3)</f>
        <v>162</v>
      </c>
      <c r="K693" cm="1">
        <f t="array" ref="K693">INDEX(FX_Multi,$AD693,K$3)</f>
        <v>162</v>
      </c>
      <c r="L693" cm="1">
        <f t="array" ref="L693">INDEX(FX_Multi,$AD693,L$3)</f>
        <v>162</v>
      </c>
      <c r="M693" cm="1">
        <f t="array" ref="M693">INDEX(FX_Multi,$AD693,M$3)</f>
        <v>162</v>
      </c>
      <c r="N693" cm="1">
        <f t="array" ref="N693">INDEX(FX_Multi,$AD693,N$3)</f>
        <v>162</v>
      </c>
      <c r="O693" cm="1">
        <f t="array" ref="O693">INDEX(FX_Multi,$AD693,O$3)</f>
        <v>162</v>
      </c>
      <c r="AC693">
        <v>1</v>
      </c>
      <c r="AD693">
        <f>AD692-3</f>
        <v>287</v>
      </c>
      <c r="AE693">
        <v>1</v>
      </c>
      <c r="AF693">
        <f>AF688+6</f>
        <v>287</v>
      </c>
    </row>
    <row r="694" spans="2:32" ht="17.149999999999999" x14ac:dyDescent="0.55000000000000004">
      <c r="B694" t="str">
        <f t="shared" si="2451"/>
        <v>Portland</v>
      </c>
      <c r="C694" t="s">
        <v>572</v>
      </c>
      <c r="D694" cm="1">
        <f t="array" ref="D694">INDEX(FX_Multi,$AD694,D$3)</f>
        <v>0</v>
      </c>
      <c r="E694" cm="1">
        <f t="array" ref="E694">INDEX(FX_Multi,$AD694,E$3)</f>
        <v>0</v>
      </c>
      <c r="F694" cm="1">
        <f t="array" ref="F694">INDEX(FX_Multi,$AD694,F$3)</f>
        <v>0</v>
      </c>
      <c r="G694" cm="1">
        <f t="array" ref="G694">INDEX(FX_Multi,$AD694,G$3)</f>
        <v>0</v>
      </c>
      <c r="H694" cm="1">
        <f t="array" ref="H694">INDEX(FX_Multi,$AD694,H$3)</f>
        <v>0</v>
      </c>
      <c r="I694" cm="1">
        <f t="array" ref="I694">INDEX(FX_Multi,$AD694,I$3)</f>
        <v>0</v>
      </c>
      <c r="J694" cm="1">
        <f t="array" ref="J694">INDEX(FX_Multi,$AD694,J$3)</f>
        <v>0</v>
      </c>
      <c r="K694" cm="1">
        <f t="array" ref="K694">INDEX(FX_Multi,$AD694,K$3)</f>
        <v>0</v>
      </c>
      <c r="L694" cm="1">
        <f t="array" ref="L694">INDEX(FX_Multi,$AD694,L$3)</f>
        <v>0</v>
      </c>
      <c r="M694" cm="1">
        <f t="array" ref="M694">INDEX(FX_Multi,$AD694,M$3)</f>
        <v>0</v>
      </c>
      <c r="N694" cm="1">
        <f t="array" ref="N694">INDEX(FX_Multi,$AD694,N$3)</f>
        <v>0</v>
      </c>
      <c r="O694" cm="1">
        <f t="array" ref="O694">INDEX(FX_Multi,$AD694,O$3)</f>
        <v>0</v>
      </c>
      <c r="AC694">
        <v>1</v>
      </c>
      <c r="AD694">
        <f>AD693+4</f>
        <v>291</v>
      </c>
      <c r="AE694">
        <v>1</v>
      </c>
      <c r="AF694">
        <f>AF688+10</f>
        <v>291</v>
      </c>
    </row>
    <row r="695" spans="2:32" ht="17.149999999999999" x14ac:dyDescent="0.55000000000000004">
      <c r="B695" t="str">
        <f t="shared" si="2451"/>
        <v>Portland</v>
      </c>
      <c r="C695" t="s">
        <v>573</v>
      </c>
      <c r="D695" cm="1">
        <f t="array" ref="D695">INDEX(FX_Multi,$AD695,D$3)</f>
        <v>0</v>
      </c>
      <c r="E695" cm="1">
        <f t="array" ref="E695">INDEX(FX_Multi,$AD695,E$3)</f>
        <v>0</v>
      </c>
      <c r="F695" cm="1">
        <f t="array" ref="F695">INDEX(FX_Multi,$AD695,F$3)</f>
        <v>0</v>
      </c>
      <c r="G695" cm="1">
        <f t="array" ref="G695">INDEX(FX_Multi,$AD695,G$3)</f>
        <v>0</v>
      </c>
      <c r="H695" cm="1">
        <f t="array" ref="H695">INDEX(FX_Multi,$AD695,H$3)</f>
        <v>0</v>
      </c>
      <c r="I695" cm="1">
        <f t="array" ref="I695">INDEX(FX_Multi,$AD695,I$3)</f>
        <v>0</v>
      </c>
      <c r="J695" cm="1">
        <f t="array" ref="J695">INDEX(FX_Multi,$AD695,J$3)</f>
        <v>0</v>
      </c>
      <c r="K695" cm="1">
        <f t="array" ref="K695">INDEX(FX_Multi,$AD695,K$3)</f>
        <v>0</v>
      </c>
      <c r="L695" cm="1">
        <f t="array" ref="L695">INDEX(FX_Multi,$AD695,L$3)</f>
        <v>0</v>
      </c>
      <c r="M695" cm="1">
        <f t="array" ref="M695">INDEX(FX_Multi,$AD695,M$3)</f>
        <v>0</v>
      </c>
      <c r="N695" cm="1">
        <f t="array" ref="N695">INDEX(FX_Multi,$AD695,N$3)</f>
        <v>0</v>
      </c>
      <c r="O695" cm="1">
        <f t="array" ref="O695">INDEX(FX_Multi,$AD695,O$3)</f>
        <v>0</v>
      </c>
      <c r="AC695">
        <v>1</v>
      </c>
      <c r="AD695">
        <f>AD694-3</f>
        <v>288</v>
      </c>
      <c r="AE695">
        <v>1</v>
      </c>
      <c r="AF695">
        <f>AF688+7</f>
        <v>288</v>
      </c>
    </row>
    <row r="696" spans="2:32" ht="17.149999999999999" x14ac:dyDescent="0.55000000000000004">
      <c r="B696" t="str">
        <f>B691</f>
        <v>Portland</v>
      </c>
      <c r="C696" t="s">
        <v>526</v>
      </c>
      <c r="D696" cm="1">
        <f t="array" ref="D696">INDEX(FX_Temps,$AF696,D$3)</f>
        <v>43.899999999999977</v>
      </c>
      <c r="E696" cm="1">
        <f t="array" ref="E696">INDEX(FX_Temps,$AF696,E$3)</f>
        <v>44.700000000000045</v>
      </c>
      <c r="F696" cm="1">
        <f t="array" ref="F696">INDEX(FX_Temps,$AF696,F$3)</f>
        <v>46.100000000000023</v>
      </c>
      <c r="G696" cm="1">
        <f t="array" ref="G696">INDEX(FX_Temps,$AF696,G$3)</f>
        <v>48.599999999999966</v>
      </c>
      <c r="H696" cm="1">
        <f t="array" ref="H696">INDEX(FX_Temps,$AF696,H$3)</f>
        <v>53.149999999999977</v>
      </c>
      <c r="I696" cm="1">
        <f t="array" ref="I696">INDEX(FX_Temps,$AF696,I$3)</f>
        <v>56.950000000000045</v>
      </c>
      <c r="J696" cm="1">
        <f t="array" ref="J696">INDEX(FX_Temps,$AF696,J$3)</f>
        <v>60.449999999999932</v>
      </c>
      <c r="K696" cm="1">
        <f t="array" ref="K696">INDEX(FX_Temps,$AF696,K$3)</f>
        <v>60.899999999999977</v>
      </c>
      <c r="L696" cm="1">
        <f t="array" ref="L696">INDEX(FX_Temps,$AF696,L$3)</f>
        <v>58.600000000000023</v>
      </c>
      <c r="M696" cm="1">
        <f t="array" ref="M696">INDEX(FX_Temps,$AF696,M$3)</f>
        <v>52.649999999999977</v>
      </c>
      <c r="N696" cm="1">
        <f t="array" ref="N696">INDEX(FX_Temps,$AF696,N$3)</f>
        <v>47.100000000000023</v>
      </c>
      <c r="O696" cm="1">
        <f t="array" ref="O696">INDEX(FX_Temps,$AF696,O$3)</f>
        <v>43.600000000000023</v>
      </c>
      <c r="AE696">
        <v>1</v>
      </c>
      <c r="AF696">
        <f>AF688+10</f>
        <v>291</v>
      </c>
    </row>
    <row r="697" spans="2:32" ht="17.149999999999999" x14ac:dyDescent="0.55000000000000004">
      <c r="B697" t="str">
        <f t="shared" ref="B697:B718" si="2452">B696</f>
        <v>Portland</v>
      </c>
      <c r="C697" t="s">
        <v>527</v>
      </c>
      <c r="D697" cm="1">
        <f t="array" ref="D697">INDEX(FX_Temps,$AF697,D$3)</f>
        <v>43.899999999999977</v>
      </c>
      <c r="E697" cm="1">
        <f t="array" ref="E697">INDEX(FX_Temps,$AF697,E$3)</f>
        <v>44.700000000000045</v>
      </c>
      <c r="F697" cm="1">
        <f t="array" ref="F697">INDEX(FX_Temps,$AF697,F$3)</f>
        <v>46.100000000000023</v>
      </c>
      <c r="G697" cm="1">
        <f t="array" ref="G697">INDEX(FX_Temps,$AF697,G$3)</f>
        <v>48.599999999999966</v>
      </c>
      <c r="H697" cm="1">
        <f t="array" ref="H697">INDEX(FX_Temps,$AF697,H$3)</f>
        <v>53.149999999999977</v>
      </c>
      <c r="I697" cm="1">
        <f t="array" ref="I697">INDEX(FX_Temps,$AF697,I$3)</f>
        <v>56.950000000000045</v>
      </c>
      <c r="J697" cm="1">
        <f t="array" ref="J697">INDEX(FX_Temps,$AF697,J$3)</f>
        <v>60.449999999999932</v>
      </c>
      <c r="K697" cm="1">
        <f t="array" ref="K697">INDEX(FX_Temps,$AF697,K$3)</f>
        <v>60.899999999999977</v>
      </c>
      <c r="L697" cm="1">
        <f t="array" ref="L697">INDEX(FX_Temps,$AF697,L$3)</f>
        <v>58.600000000000023</v>
      </c>
      <c r="M697" cm="1">
        <f t="array" ref="M697">INDEX(FX_Temps,$AF697,M$3)</f>
        <v>52.649999999999977</v>
      </c>
      <c r="N697" cm="1">
        <f t="array" ref="N697">INDEX(FX_Temps,$AF697,N$3)</f>
        <v>47.100000000000023</v>
      </c>
      <c r="O697" cm="1">
        <f t="array" ref="O697">INDEX(FX_Temps,$AF697,O$3)</f>
        <v>43.600000000000023</v>
      </c>
      <c r="AE697">
        <f>AE696</f>
        <v>1</v>
      </c>
      <c r="AF697">
        <f>AF688+11</f>
        <v>292</v>
      </c>
    </row>
    <row r="698" spans="2:32" ht="17.149999999999999" x14ac:dyDescent="0.55000000000000004">
      <c r="B698" t="str">
        <f t="shared" si="2452"/>
        <v>Portland</v>
      </c>
      <c r="C698" t="s">
        <v>552</v>
      </c>
      <c r="D698" cm="1">
        <f t="array" ref="D698">INDEX(FX_Temps,$AF698,D$3)</f>
        <v>43.899999999999977</v>
      </c>
      <c r="E698" cm="1">
        <f t="array" ref="E698">INDEX(FX_Temps,$AF698,E$3)</f>
        <v>44.700000000000045</v>
      </c>
      <c r="F698" cm="1">
        <f t="array" ref="F698">INDEX(FX_Temps,$AF698,F$3)</f>
        <v>46.100000000000023</v>
      </c>
      <c r="G698" cm="1">
        <f t="array" ref="G698">INDEX(FX_Temps,$AF698,G$3)</f>
        <v>48.599999999999966</v>
      </c>
      <c r="H698" cm="1">
        <f t="array" ref="H698">INDEX(FX_Temps,$AF698,H$3)</f>
        <v>53.149999999999977</v>
      </c>
      <c r="I698" cm="1">
        <f t="array" ref="I698">INDEX(FX_Temps,$AF698,I$3)</f>
        <v>56.950000000000045</v>
      </c>
      <c r="J698" cm="1">
        <f t="array" ref="J698">INDEX(FX_Temps,$AF698,J$3)</f>
        <v>60.449999999999932</v>
      </c>
      <c r="K698" cm="1">
        <f t="array" ref="K698">INDEX(FX_Temps,$AF698,K$3)</f>
        <v>60.899999999999977</v>
      </c>
      <c r="L698" cm="1">
        <f t="array" ref="L698">INDEX(FX_Temps,$AF698,L$3)</f>
        <v>58.600000000000023</v>
      </c>
      <c r="M698" cm="1">
        <f t="array" ref="M698">INDEX(FX_Temps,$AF698,M$3)</f>
        <v>52.649999999999977</v>
      </c>
      <c r="N698" cm="1">
        <f t="array" ref="N698">INDEX(FX_Temps,$AF698,N$3)</f>
        <v>47.100000000000023</v>
      </c>
      <c r="O698" cm="1">
        <f t="array" ref="O698">INDEX(FX_Temps,$AF698,O$3)</f>
        <v>43.600000000000023</v>
      </c>
      <c r="AE698">
        <f>AE697</f>
        <v>1</v>
      </c>
      <c r="AF698">
        <f>AF688+13</f>
        <v>294</v>
      </c>
    </row>
    <row r="699" spans="2:32" ht="17.149999999999999" x14ac:dyDescent="0.55000000000000004">
      <c r="B699" t="str">
        <f t="shared" si="2452"/>
        <v>Portland</v>
      </c>
      <c r="C699" t="s">
        <v>574</v>
      </c>
      <c r="D699" s="20" cm="1">
        <f t="array" ref="D699">IFERROR(IF(D689="Chemical",(10^(INDEX(Antoines,MATCH(D688,Antoine_Name,0),2)-INDEX(Antoines,MATCH(D688,Antoine_Name,0),3)/(INDEX(Antoines,MATCH(D688,Antoine_Name,0),4)+(D696-32)*5/9)))*14.7/760,IF(D689="Crude Oil",EXP((2799/(D696+459.6)-2.227)*LOG10(INDEX(FX_Input,Q$5,D$3*$Z$5+$AA$5))-(7261/(D696+459.6))+12.82),IF(D689="Refined Petroleum Stock",EXP((0.7553-(413/(D696+459.6)))*(INDEX(FX_Input,Q$5,D$3*$Z$5+$AA$5-1)^0.5)*LOG10(INDEX(FX_Input,Q$5,D$3*$Z$5+$AA$5))-(1.854-(1042/(D696+459.6)))*(INDEX(FX_Input,Q$5,D$3*$Z$5+$AA$5-1)^0.5)+((2416/(D696+459.6)-2.013)*LOG10(INDEX(FX_Input,Q$5,D$3*$Z$5+$AA$5)))-(8742/(D696+459.6))+15.64),EXP(INDEX(Antoines,MATCH(D688,Antoine_Name,0),2)-INDEX(Antoines,MATCH(D688,Antoine_Name,0),3)/(D696+459.6))))),0)</f>
        <v>4.739577185808354E-3</v>
      </c>
      <c r="E699" cm="1">
        <f t="array" ref="E699">IFERROR(IF(E689="Chemical",(10^(INDEX(Antoines,MATCH(E688,Antoine_Name,0),2)-INDEX(Antoines,MATCH(E688,Antoine_Name,0),3)/(INDEX(Antoines,MATCH(E688,Antoine_Name,0),4)+(E696-32)*5/9)))*14.7/760,IF(E689="Crude Oil",EXP((2799/(E696+459.6)-2.227)*LOG10(INDEX(FX_Input,R$5,E$3*$Z$5+$AA$5))-(7261/(E696+459.6))+12.82),IF(E689="Refined Petroleum Stock",EXP((0.7553-(413/(E696+459.6)))*(INDEX(FX_Input,R$5,E$3*$Z$5+$AA$5-1)^0.5)*LOG10(INDEX(FX_Input,R$5,E$3*$Z$5+$AA$5))-(1.854-(1042/(E696+459.6)))*(INDEX(FX_Input,R$5,E$3*$Z$5+$AA$5-1)^0.5)+((2416/(E696+459.6)-2.013)*LOG10(INDEX(FX_Input,R$5,E$3*$Z$5+$AA$5)))-(8742/(E696+459.6))+15.64),EXP(INDEX(Antoines,MATCH(E688,Antoine_Name,0),2)-INDEX(Antoines,MATCH(E688,Antoine_Name,0),3)/(E696+459.6))))),0)</f>
        <v>4.8748667780818778E-3</v>
      </c>
      <c r="F699" cm="1">
        <f t="array" ref="F699">IFERROR(IF(F689="Chemical",(10^(INDEX(Antoines,MATCH(F688,Antoine_Name,0),2)-INDEX(Antoines,MATCH(F688,Antoine_Name,0),3)/(INDEX(Antoines,MATCH(F688,Antoine_Name,0),4)+(F696-32)*5/9)))*14.7/760,IF(F689="Crude Oil",EXP((2799/(F696+459.6)-2.227)*LOG10(INDEX(FX_Input,S$5,F$3*$Z$5+$AA$5))-(7261/(F696+459.6))+12.82),IF(F689="Refined Petroleum Stock",EXP((0.7553-(413/(F696+459.6)))*(INDEX(FX_Input,S$5,F$3*$Z$5+$AA$5-1)^0.5)*LOG10(INDEX(FX_Input,S$5,F$3*$Z$5+$AA$5))-(1.854-(1042/(F696+459.6)))*(INDEX(FX_Input,S$5,F$3*$Z$5+$AA$5-1)^0.5)+((2416/(F696+459.6)-2.013)*LOG10(INDEX(FX_Input,S$5,F$3*$Z$5+$AA$5)))-(8742/(F696+459.6))+15.64),EXP(INDEX(Antoines,MATCH(F688,Antoine_Name,0),2)-INDEX(Antoines,MATCH(F688,Antoine_Name,0),3)/(F696+459.6))))),0)</f>
        <v>5.119885034186122E-3</v>
      </c>
      <c r="G699" cm="1">
        <f t="array" ref="G699">IFERROR(IF(G689="Chemical",(10^(INDEX(Antoines,MATCH(G688,Antoine_Name,0),2)-INDEX(Antoines,MATCH(G688,Antoine_Name,0),3)/(INDEX(Antoines,MATCH(G688,Antoine_Name,0),4)+(G696-32)*5/9)))*14.7/760,IF(G689="Crude Oil",EXP((2799/(G696+459.6)-2.227)*LOG10(INDEX(FX_Input,T$5,G$3*$Z$5+$AA$5))-(7261/(G696+459.6))+12.82),IF(G689="Refined Petroleum Stock",EXP((0.7553-(413/(G696+459.6)))*(INDEX(FX_Input,T$5,G$3*$Z$5+$AA$5-1)^0.5)*LOG10(INDEX(FX_Input,T$5,G$3*$Z$5+$AA$5))-(1.854-(1042/(G696+459.6)))*(INDEX(FX_Input,T$5,G$3*$Z$5+$AA$5-1)^0.5)+((2416/(G696+459.6)-2.013)*LOG10(INDEX(FX_Input,T$5,G$3*$Z$5+$AA$5)))-(8742/(G696+459.6))+15.64),EXP(INDEX(Antoines,MATCH(G688,Antoine_Name,0),2)-INDEX(Antoines,MATCH(G688,Antoine_Name,0),3)/(G696+459.6))))),0)</f>
        <v>5.5846958573521795E-3</v>
      </c>
      <c r="H699" cm="1">
        <f t="array" ref="H699">IFERROR(IF(H689="Chemical",(10^(INDEX(Antoines,MATCH(H688,Antoine_Name,0),2)-INDEX(Antoines,MATCH(H688,Antoine_Name,0),3)/(INDEX(Antoines,MATCH(H688,Antoine_Name,0),4)+(H696-32)*5/9)))*14.7/760,IF(H689="Crude Oil",EXP((2799/(H696+459.6)-2.227)*LOG10(INDEX(FX_Input,U$5,H$3*$Z$5+$AA$5))-(7261/(H696+459.6))+12.82),IF(H689="Refined Petroleum Stock",EXP((0.7553-(413/(H696+459.6)))*(INDEX(FX_Input,U$5,H$3*$Z$5+$AA$5-1)^0.5)*LOG10(INDEX(FX_Input,U$5,H$3*$Z$5+$AA$5))-(1.854-(1042/(H696+459.6)))*(INDEX(FX_Input,U$5,H$3*$Z$5+$AA$5-1)^0.5)+((2416/(H696+459.6)-2.013)*LOG10(INDEX(FX_Input,U$5,H$3*$Z$5+$AA$5)))-(8742/(H696+459.6))+15.64),EXP(INDEX(Antoines,MATCH(H688,Antoine_Name,0),2)-INDEX(Antoines,MATCH(H688,Antoine_Name,0),3)/(H696+459.6))))),0)</f>
        <v>6.5274070972739821E-3</v>
      </c>
      <c r="I699" cm="1">
        <f t="array" ref="I699">IFERROR(IF(I689="Chemical",(10^(INDEX(Antoines,MATCH(I688,Antoine_Name,0),2)-INDEX(Antoines,MATCH(I688,Antoine_Name,0),3)/(INDEX(Antoines,MATCH(I688,Antoine_Name,0),4)+(I696-32)*5/9)))*14.7/760,IF(I689="Crude Oil",EXP((2799/(I696+459.6)-2.227)*LOG10(INDEX(FX_Input,V$5,I$3*$Z$5+$AA$5))-(7261/(I696+459.6))+12.82),IF(I689="Refined Petroleum Stock",EXP((0.7553-(413/(I696+459.6)))*(INDEX(FX_Input,V$5,I$3*$Z$5+$AA$5-1)^0.5)*LOG10(INDEX(FX_Input,V$5,I$3*$Z$5+$AA$5))-(1.854-(1042/(I696+459.6)))*(INDEX(FX_Input,V$5,I$3*$Z$5+$AA$5-1)^0.5)+((2416/(I696+459.6)-2.013)*LOG10(INDEX(FX_Input,V$5,I$3*$Z$5+$AA$5)))-(8742/(I696+459.6))+15.64),EXP(INDEX(Antoines,MATCH(I688,Antoine_Name,0),2)-INDEX(Antoines,MATCH(I688,Antoine_Name,0),3)/(I696+459.6))))),0)</f>
        <v>7.4199539958878279E-3</v>
      </c>
      <c r="J699" cm="1">
        <f t="array" ref="J699">IFERROR(IF(J689="Chemical",(10^(INDEX(Antoines,MATCH(J688,Antoine_Name,0),2)-INDEX(Antoines,MATCH(J688,Antoine_Name,0),3)/(INDEX(Antoines,MATCH(J688,Antoine_Name,0),4)+(J696-32)*5/9)))*14.7/760,IF(J689="Crude Oil",EXP((2799/(J696+459.6)-2.227)*LOG10(INDEX(FX_Input,W$5,J$3*$Z$5+$AA$5))-(7261/(J696+459.6))+12.82),IF(J689="Refined Petroleum Stock",EXP((0.7553-(413/(J696+459.6)))*(INDEX(FX_Input,W$5,J$3*$Z$5+$AA$5-1)^0.5)*LOG10(INDEX(FX_Input,W$5,J$3*$Z$5+$AA$5))-(1.854-(1042/(J696+459.6)))*(INDEX(FX_Input,W$5,J$3*$Z$5+$AA$5-1)^0.5)+((2416/(J696+459.6)-2.013)*LOG10(INDEX(FX_Input,W$5,J$3*$Z$5+$AA$5)))-(8742/(J696+459.6))+15.64),EXP(INDEX(Antoines,MATCH(J688,Antoine_Name,0),2)-INDEX(Antoines,MATCH(J688,Antoine_Name,0),3)/(J696+459.6))))),0)</f>
        <v>8.3358107202842254E-3</v>
      </c>
      <c r="K699" cm="1">
        <f t="array" ref="K699">IFERROR(IF(K689="Chemical",(10^(INDEX(Antoines,MATCH(K688,Antoine_Name,0),2)-INDEX(Antoines,MATCH(K688,Antoine_Name,0),3)/(INDEX(Antoines,MATCH(K688,Antoine_Name,0),4)+(K696-32)*5/9)))*14.7/760,IF(K689="Crude Oil",EXP((2799/(K696+459.6)-2.227)*LOG10(INDEX(FX_Input,X$5,K$3*$Z$5+$AA$5))-(7261/(K696+459.6))+12.82),IF(K689="Refined Petroleum Stock",EXP((0.7553-(413/(K696+459.6)))*(INDEX(FX_Input,X$5,K$3*$Z$5+$AA$5-1)^0.5)*LOG10(INDEX(FX_Input,X$5,K$3*$Z$5+$AA$5))-(1.854-(1042/(K696+459.6)))*(INDEX(FX_Input,X$5,K$3*$Z$5+$AA$5-1)^0.5)+((2416/(K696+459.6)-2.013)*LOG10(INDEX(FX_Input,X$5,K$3*$Z$5+$AA$5)))-(8742/(K696+459.6))+15.64),EXP(INDEX(Antoines,MATCH(K688,Antoine_Name,0),2)-INDEX(Antoines,MATCH(K688,Antoine_Name,0),3)/(K696+459.6))))),0)</f>
        <v>8.4605262729351115E-3</v>
      </c>
      <c r="L699" cm="1">
        <f t="array" ref="L699">IFERROR(IF(L689="Chemical",(10^(INDEX(Antoines,MATCH(L688,Antoine_Name,0),2)-INDEX(Antoines,MATCH(L688,Antoine_Name,0),3)/(INDEX(Antoines,MATCH(L688,Antoine_Name,0),4)+(L696-32)*5/9)))*14.7/760,IF(L689="Crude Oil",EXP((2799/(L696+459.6)-2.227)*LOG10(INDEX(FX_Input,Y$5,L$3*$Z$5+$AA$5))-(7261/(L696+459.6))+12.82),IF(L689="Refined Petroleum Stock",EXP((0.7553-(413/(L696+459.6)))*(INDEX(FX_Input,Y$5,L$3*$Z$5+$AA$5-1)^0.5)*LOG10(INDEX(FX_Input,Y$5,L$3*$Z$5+$AA$5))-(1.854-(1042/(L696+459.6)))*(INDEX(FX_Input,Y$5,L$3*$Z$5+$AA$5-1)^0.5)+((2416/(L696+459.6)-2.013)*LOG10(INDEX(FX_Input,Y$5,L$3*$Z$5+$AA$5)))-(8742/(L696+459.6))+15.64),EXP(INDEX(Antoines,MATCH(L688,Antoine_Name,0),2)-INDEX(Antoines,MATCH(L688,Antoine_Name,0),3)/(L696+459.6))))),0)</f>
        <v>7.8399882233967533E-3</v>
      </c>
      <c r="M699" cm="1">
        <f t="array" ref="M699">IFERROR(IF(M689="Chemical",(10^(INDEX(Antoines,MATCH(M688,Antoine_Name,0),2)-INDEX(Antoines,MATCH(M688,Antoine_Name,0),3)/(INDEX(Antoines,MATCH(M688,Antoine_Name,0),4)+(M696-32)*5/9)))*14.7/760,IF(M689="Crude Oil",EXP((2799/(M696+459.6)-2.227)*LOG10(INDEX(FX_Input,Z$5,M$3*$Z$5+$AA$5))-(7261/(M696+459.6))+12.82),IF(M689="Refined Petroleum Stock",EXP((0.7553-(413/(M696+459.6)))*(INDEX(FX_Input,Z$5,M$3*$Z$5+$AA$5-1)^0.5)*LOG10(INDEX(FX_Input,Z$5,M$3*$Z$5+$AA$5))-(1.854-(1042/(M696+459.6)))*(INDEX(FX_Input,Z$5,M$3*$Z$5+$AA$5-1)^0.5)+((2416/(M696+459.6)-2.013)*LOG10(INDEX(FX_Input,Z$5,M$3*$Z$5+$AA$5)))-(8742/(M696+459.6))+15.64),EXP(INDEX(Antoines,MATCH(M688,Antoine_Name,0),2)-INDEX(Antoines,MATCH(M688,Antoine_Name,0),3)/(M696+459.6))))),0)</f>
        <v>6.4173462075160911E-3</v>
      </c>
      <c r="N699" cm="1">
        <f t="array" ref="N699">IFERROR(IF(N689="Chemical",(10^(INDEX(Antoines,MATCH(N688,Antoine_Name,0),2)-INDEX(Antoines,MATCH(N688,Antoine_Name,0),3)/(INDEX(Antoines,MATCH(N688,Antoine_Name,0),4)+(N696-32)*5/9)))*14.7/760,IF(N689="Crude Oil",EXP((2799/(N696+459.6)-2.227)*LOG10(INDEX(FX_Input,AA$5,N$3*$Z$5+$AA$5))-(7261/(N696+459.6))+12.82),IF(N689="Refined Petroleum Stock",EXP((0.7553-(413/(N696+459.6)))*(INDEX(FX_Input,AA$5,N$3*$Z$5+$AA$5-1)^0.5)*LOG10(INDEX(FX_Input,AA$5,N$3*$Z$5+$AA$5))-(1.854-(1042/(N696+459.6)))*(INDEX(FX_Input,AA$5,N$3*$Z$5+$AA$5-1)^0.5)+((2416/(N696+459.6)-2.013)*LOG10(INDEX(FX_Input,AA$5,N$3*$Z$5+$AA$5)))-(8742/(N696+459.6))+15.64),EXP(INDEX(Antoines,MATCH(N688,Antoine_Name,0),2)-INDEX(Antoines,MATCH(N688,Antoine_Name,0),3)/(N696+459.6))))),0)</f>
        <v>5.3015226887581056E-3</v>
      </c>
      <c r="O699" cm="1">
        <f t="array" ref="O699">IFERROR(IF(O689="Chemical",(10^(INDEX(Antoines,MATCH(O688,Antoine_Name,0),2)-INDEX(Antoines,MATCH(O688,Antoine_Name,0),3)/(INDEX(Antoines,MATCH(O688,Antoine_Name,0),4)+(O696-32)*5/9)))*14.7/760,IF(O689="Crude Oil",EXP((2799/(O696+459.6)-2.227)*LOG10(INDEX(FX_Input,AB$5,O$3*$Z$5+$AA$5))-(7261/(O696+459.6))+12.82),IF(O689="Refined Petroleum Stock",EXP((0.7553-(413/(O696+459.6)))*(INDEX(FX_Input,AB$5,O$3*$Z$5+$AA$5-1)^0.5)*LOG10(INDEX(FX_Input,AB$5,O$3*$Z$5+$AA$5))-(1.854-(1042/(O696+459.6)))*(INDEX(FX_Input,AB$5,O$3*$Z$5+$AA$5-1)^0.5)+((2416/(O696+459.6)-2.013)*LOG10(INDEX(FX_Input,AB$5,O$3*$Z$5+$AA$5)))-(8742/(O696+459.6))+15.64),EXP(INDEX(Antoines,MATCH(O688,Antoine_Name,0),2)-INDEX(Antoines,MATCH(O688,Antoine_Name,0),3)/(O696+459.6))))),0)</f>
        <v>4.68970903600947E-3</v>
      </c>
    </row>
    <row r="700" spans="2:32" ht="17.149999999999999" x14ac:dyDescent="0.55000000000000004">
      <c r="B700" t="str">
        <f t="shared" si="2452"/>
        <v>Portland</v>
      </c>
      <c r="C700" t="s">
        <v>576</v>
      </c>
      <c r="D700">
        <f>D692*D699</f>
        <v>4.739577185808354E-3</v>
      </c>
      <c r="E700">
        <f t="shared" ref="E700" si="2453">E692*E699</f>
        <v>4.8748667780818778E-3</v>
      </c>
      <c r="F700">
        <f t="shared" ref="F700" si="2454">F692*F699</f>
        <v>5.119885034186122E-3</v>
      </c>
      <c r="G700">
        <f t="shared" ref="G700" si="2455">G692*G699</f>
        <v>5.5846958573521795E-3</v>
      </c>
      <c r="H700">
        <f t="shared" ref="H700" si="2456">H692*H699</f>
        <v>6.5274070972739821E-3</v>
      </c>
      <c r="I700">
        <f t="shared" ref="I700" si="2457">I692*I699</f>
        <v>7.4199539958878279E-3</v>
      </c>
      <c r="J700">
        <f t="shared" ref="J700" si="2458">J692*J699</f>
        <v>8.3358107202842254E-3</v>
      </c>
      <c r="K700">
        <f t="shared" ref="K700" si="2459">K692*K699</f>
        <v>8.4605262729351115E-3</v>
      </c>
      <c r="L700">
        <f t="shared" ref="L700" si="2460">L692*L699</f>
        <v>7.8399882233967533E-3</v>
      </c>
      <c r="M700">
        <f t="shared" ref="M700" si="2461">M692*M699</f>
        <v>6.4173462075160911E-3</v>
      </c>
      <c r="N700">
        <f t="shared" ref="N700" si="2462">N692*N699</f>
        <v>5.3015226887581056E-3</v>
      </c>
      <c r="O700">
        <f t="shared" ref="O700" si="2463">O692*O699</f>
        <v>4.68970903600947E-3</v>
      </c>
    </row>
    <row r="701" spans="2:32" ht="17.149999999999999" x14ac:dyDescent="0.55000000000000004">
      <c r="B701" t="str">
        <f t="shared" si="2452"/>
        <v>Portland</v>
      </c>
      <c r="C701" t="s">
        <v>575</v>
      </c>
      <c r="D701" cm="1">
        <f t="array" ref="D701">IFERROR(IF(D691="Chemical",(10^(INDEX(Antoines,MATCH(D690,Antoine_Name,0),2)-INDEX(Antoines,MATCH(D690,Antoine_Name,0),3)/(INDEX(Antoines,MATCH(D690,Antoine_Name,0),4)+(D696-32)*5/9)))*14.7/760,IF(D691="Crude Oil",EXP((2799/(D696+459.6)-2.227)*LOG10(INDEX(FX_Input,Q$5,D$3*$Z$5+$AA$5))-(7261/(D696+459.6))+12.82),IF(D691="Refined Petroleum Stock",EXP((0.7553-(413/(D696+459.6)))*(INDEX(FX_Input,Q$5,D$3*$Z$5+$AA$5-1)^0.5)*LOG10(INDEX(FX_Input,Q$5,D$3*$Z$5+$AA$5))-(1.854-(1042/(D696+459.6)))*(INDEX(FX_Input,Q$5,D$3*$Z$5+$AA$5-1)^0.5)+((2416/(D696+459.6)-2.013)*LOG10(INDEX(FX_Input,Q$5,D$3*$Z$5+$AA$5)))-(8742/(D696+459.6))+15.64),EXP(INDEX(Antoines,MATCH(D690,Antoine_Name,0),2)-INDEX(Antoines,MATCH(D690,Antoine_Name,0),3)/(D696+459.6))))),0)</f>
        <v>0</v>
      </c>
      <c r="E701" cm="1">
        <f t="array" ref="E701">IFERROR(IF(E691="Chemical",(10^(INDEX(Antoines,MATCH(E690,Antoine_Name,0),2)-INDEX(Antoines,MATCH(E690,Antoine_Name,0),3)/(INDEX(Antoines,MATCH(E690,Antoine_Name,0),4)+(E696-32)*5/9)))*14.7/760,IF(E691="Crude Oil",EXP((2799/(E696+459.6)-2.227)*LOG10(INDEX(FX_Input,R$5,E$3*$Z$5+$AA$5))-(7261/(E696+459.6))+12.82),IF(E691="Refined Petroleum Stock",EXP((0.7553-(413/(E696+459.6)))*(INDEX(FX_Input,R$5,E$3*$Z$5+$AA$5-1)^0.5)*LOG10(INDEX(FX_Input,R$5,E$3*$Z$5+$AA$5))-(1.854-(1042/(E696+459.6)))*(INDEX(FX_Input,R$5,E$3*$Z$5+$AA$5-1)^0.5)+((2416/(E696+459.6)-2.013)*LOG10(INDEX(FX_Input,R$5,E$3*$Z$5+$AA$5)))-(8742/(E696+459.6))+15.64),EXP(INDEX(Antoines,MATCH(E690,Antoine_Name,0),2)-INDEX(Antoines,MATCH(E690,Antoine_Name,0),3)/(E696+459.6))))),0)</f>
        <v>0</v>
      </c>
      <c r="F701" cm="1">
        <f t="array" ref="F701">IFERROR(IF(F691="Chemical",(10^(INDEX(Antoines,MATCH(F690,Antoine_Name,0),2)-INDEX(Antoines,MATCH(F690,Antoine_Name,0),3)/(INDEX(Antoines,MATCH(F690,Antoine_Name,0),4)+(F696-32)*5/9)))*14.7/760,IF(F691="Crude Oil",EXP((2799/(F696+459.6)-2.227)*LOG10(INDEX(FX_Input,S$5,F$3*$Z$5+$AA$5))-(7261/(F696+459.6))+12.82),IF(F691="Refined Petroleum Stock",EXP((0.7553-(413/(F696+459.6)))*(INDEX(FX_Input,S$5,F$3*$Z$5+$AA$5-1)^0.5)*LOG10(INDEX(FX_Input,S$5,F$3*$Z$5+$AA$5))-(1.854-(1042/(F696+459.6)))*(INDEX(FX_Input,S$5,F$3*$Z$5+$AA$5-1)^0.5)+((2416/(F696+459.6)-2.013)*LOG10(INDEX(FX_Input,S$5,F$3*$Z$5+$AA$5)))-(8742/(F696+459.6))+15.64),EXP(INDEX(Antoines,MATCH(F690,Antoine_Name,0),2)-INDEX(Antoines,MATCH(F690,Antoine_Name,0),3)/(F696+459.6))))),0)</f>
        <v>0</v>
      </c>
      <c r="G701" cm="1">
        <f t="array" ref="G701">IFERROR(IF(G691="Chemical",(10^(INDEX(Antoines,MATCH(G690,Antoine_Name,0),2)-INDEX(Antoines,MATCH(G690,Antoine_Name,0),3)/(INDEX(Antoines,MATCH(G690,Antoine_Name,0),4)+(G696-32)*5/9)))*14.7/760,IF(G691="Crude Oil",EXP((2799/(G696+459.6)-2.227)*LOG10(INDEX(FX_Input,T$5,G$3*$Z$5+$AA$5))-(7261/(G696+459.6))+12.82),IF(G691="Refined Petroleum Stock",EXP((0.7553-(413/(G696+459.6)))*(INDEX(FX_Input,T$5,G$3*$Z$5+$AA$5-1)^0.5)*LOG10(INDEX(FX_Input,T$5,G$3*$Z$5+$AA$5))-(1.854-(1042/(G696+459.6)))*(INDEX(FX_Input,T$5,G$3*$Z$5+$AA$5-1)^0.5)+((2416/(G696+459.6)-2.013)*LOG10(INDEX(FX_Input,T$5,G$3*$Z$5+$AA$5)))-(8742/(G696+459.6))+15.64),EXP(INDEX(Antoines,MATCH(G690,Antoine_Name,0),2)-INDEX(Antoines,MATCH(G690,Antoine_Name,0),3)/(G696+459.6))))),0)</f>
        <v>0</v>
      </c>
      <c r="H701" cm="1">
        <f t="array" ref="H701">IFERROR(IF(H691="Chemical",(10^(INDEX(Antoines,MATCH(H690,Antoine_Name,0),2)-INDEX(Antoines,MATCH(H690,Antoine_Name,0),3)/(INDEX(Antoines,MATCH(H690,Antoine_Name,0),4)+(H696-32)*5/9)))*14.7/760,IF(H691="Crude Oil",EXP((2799/(H696+459.6)-2.227)*LOG10(INDEX(FX_Input,U$5,H$3*$Z$5+$AA$5))-(7261/(H696+459.6))+12.82),IF(H691="Refined Petroleum Stock",EXP((0.7553-(413/(H696+459.6)))*(INDEX(FX_Input,U$5,H$3*$Z$5+$AA$5-1)^0.5)*LOG10(INDEX(FX_Input,U$5,H$3*$Z$5+$AA$5))-(1.854-(1042/(H696+459.6)))*(INDEX(FX_Input,U$5,H$3*$Z$5+$AA$5-1)^0.5)+((2416/(H696+459.6)-2.013)*LOG10(INDEX(FX_Input,U$5,H$3*$Z$5+$AA$5)))-(8742/(H696+459.6))+15.64),EXP(INDEX(Antoines,MATCH(H690,Antoine_Name,0),2)-INDEX(Antoines,MATCH(H690,Antoine_Name,0),3)/(H696+459.6))))),0)</f>
        <v>0</v>
      </c>
      <c r="I701" cm="1">
        <f t="array" ref="I701">IFERROR(IF(I691="Chemical",(10^(INDEX(Antoines,MATCH(I690,Antoine_Name,0),2)-INDEX(Antoines,MATCH(I690,Antoine_Name,0),3)/(INDEX(Antoines,MATCH(I690,Antoine_Name,0),4)+(I696-32)*5/9)))*14.7/760,IF(I691="Crude Oil",EXP((2799/(I696+459.6)-2.227)*LOG10(INDEX(FX_Input,V$5,I$3*$Z$5+$AA$5))-(7261/(I696+459.6))+12.82),IF(I691="Refined Petroleum Stock",EXP((0.7553-(413/(I696+459.6)))*(INDEX(FX_Input,V$5,I$3*$Z$5+$AA$5-1)^0.5)*LOG10(INDEX(FX_Input,V$5,I$3*$Z$5+$AA$5))-(1.854-(1042/(I696+459.6)))*(INDEX(FX_Input,V$5,I$3*$Z$5+$AA$5-1)^0.5)+((2416/(I696+459.6)-2.013)*LOG10(INDEX(FX_Input,V$5,I$3*$Z$5+$AA$5)))-(8742/(I696+459.6))+15.64),EXP(INDEX(Antoines,MATCH(I690,Antoine_Name,0),2)-INDEX(Antoines,MATCH(I690,Antoine_Name,0),3)/(I696+459.6))))),0)</f>
        <v>0</v>
      </c>
      <c r="J701" cm="1">
        <f t="array" ref="J701">IFERROR(IF(J691="Chemical",(10^(INDEX(Antoines,MATCH(J690,Antoine_Name,0),2)-INDEX(Antoines,MATCH(J690,Antoine_Name,0),3)/(INDEX(Antoines,MATCH(J690,Antoine_Name,0),4)+(J696-32)*5/9)))*14.7/760,IF(J691="Crude Oil",EXP((2799/(J696+459.6)-2.227)*LOG10(INDEX(FX_Input,W$5,J$3*$Z$5+$AA$5))-(7261/(J696+459.6))+12.82),IF(J691="Refined Petroleum Stock",EXP((0.7553-(413/(J696+459.6)))*(INDEX(FX_Input,W$5,J$3*$Z$5+$AA$5-1)^0.5)*LOG10(INDEX(FX_Input,W$5,J$3*$Z$5+$AA$5))-(1.854-(1042/(J696+459.6)))*(INDEX(FX_Input,W$5,J$3*$Z$5+$AA$5-1)^0.5)+((2416/(J696+459.6)-2.013)*LOG10(INDEX(FX_Input,W$5,J$3*$Z$5+$AA$5)))-(8742/(J696+459.6))+15.64),EXP(INDEX(Antoines,MATCH(J690,Antoine_Name,0),2)-INDEX(Antoines,MATCH(J690,Antoine_Name,0),3)/(J696+459.6))))),0)</f>
        <v>0</v>
      </c>
      <c r="K701" cm="1">
        <f t="array" ref="K701">IFERROR(IF(K691="Chemical",(10^(INDEX(Antoines,MATCH(K690,Antoine_Name,0),2)-INDEX(Antoines,MATCH(K690,Antoine_Name,0),3)/(INDEX(Antoines,MATCH(K690,Antoine_Name,0),4)+(K696-32)*5/9)))*14.7/760,IF(K691="Crude Oil",EXP((2799/(K696+459.6)-2.227)*LOG10(INDEX(FX_Input,X$5,K$3*$Z$5+$AA$5))-(7261/(K696+459.6))+12.82),IF(K691="Refined Petroleum Stock",EXP((0.7553-(413/(K696+459.6)))*(INDEX(FX_Input,X$5,K$3*$Z$5+$AA$5-1)^0.5)*LOG10(INDEX(FX_Input,X$5,K$3*$Z$5+$AA$5))-(1.854-(1042/(K696+459.6)))*(INDEX(FX_Input,X$5,K$3*$Z$5+$AA$5-1)^0.5)+((2416/(K696+459.6)-2.013)*LOG10(INDEX(FX_Input,X$5,K$3*$Z$5+$AA$5)))-(8742/(K696+459.6))+15.64),EXP(INDEX(Antoines,MATCH(K690,Antoine_Name,0),2)-INDEX(Antoines,MATCH(K690,Antoine_Name,0),3)/(K696+459.6))))),0)</f>
        <v>0</v>
      </c>
      <c r="L701" cm="1">
        <f t="array" ref="L701">IFERROR(IF(L691="Chemical",(10^(INDEX(Antoines,MATCH(L690,Antoine_Name,0),2)-INDEX(Antoines,MATCH(L690,Antoine_Name,0),3)/(INDEX(Antoines,MATCH(L690,Antoine_Name,0),4)+(L696-32)*5/9)))*14.7/760,IF(L691="Crude Oil",EXP((2799/(L696+459.6)-2.227)*LOG10(INDEX(FX_Input,Y$5,L$3*$Z$5+$AA$5))-(7261/(L696+459.6))+12.82),IF(L691="Refined Petroleum Stock",EXP((0.7553-(413/(L696+459.6)))*(INDEX(FX_Input,Y$5,L$3*$Z$5+$AA$5-1)^0.5)*LOG10(INDEX(FX_Input,Y$5,L$3*$Z$5+$AA$5))-(1.854-(1042/(L696+459.6)))*(INDEX(FX_Input,Y$5,L$3*$Z$5+$AA$5-1)^0.5)+((2416/(L696+459.6)-2.013)*LOG10(INDEX(FX_Input,Y$5,L$3*$Z$5+$AA$5)))-(8742/(L696+459.6))+15.64),EXP(INDEX(Antoines,MATCH(L690,Antoine_Name,0),2)-INDEX(Antoines,MATCH(L690,Antoine_Name,0),3)/(L696+459.6))))),0)</f>
        <v>0</v>
      </c>
      <c r="M701" cm="1">
        <f t="array" ref="M701">IFERROR(IF(M691="Chemical",(10^(INDEX(Antoines,MATCH(M690,Antoine_Name,0),2)-INDEX(Antoines,MATCH(M690,Antoine_Name,0),3)/(INDEX(Antoines,MATCH(M690,Antoine_Name,0),4)+(M696-32)*5/9)))*14.7/760,IF(M691="Crude Oil",EXP((2799/(M696+459.6)-2.227)*LOG10(INDEX(FX_Input,Z$5,M$3*$Z$5+$AA$5))-(7261/(M696+459.6))+12.82),IF(M691="Refined Petroleum Stock",EXP((0.7553-(413/(M696+459.6)))*(INDEX(FX_Input,Z$5,M$3*$Z$5+$AA$5-1)^0.5)*LOG10(INDEX(FX_Input,Z$5,M$3*$Z$5+$AA$5))-(1.854-(1042/(M696+459.6)))*(INDEX(FX_Input,Z$5,M$3*$Z$5+$AA$5-1)^0.5)+((2416/(M696+459.6)-2.013)*LOG10(INDEX(FX_Input,Z$5,M$3*$Z$5+$AA$5)))-(8742/(M696+459.6))+15.64),EXP(INDEX(Antoines,MATCH(M690,Antoine_Name,0),2)-INDEX(Antoines,MATCH(M690,Antoine_Name,0),3)/(M696+459.6))))),0)</f>
        <v>0</v>
      </c>
      <c r="N701" cm="1">
        <f t="array" ref="N701">IFERROR(IF(N691="Chemical",(10^(INDEX(Antoines,MATCH(N690,Antoine_Name,0),2)-INDEX(Antoines,MATCH(N690,Antoine_Name,0),3)/(INDEX(Antoines,MATCH(N690,Antoine_Name,0),4)+(N696-32)*5/9)))*14.7/760,IF(N691="Crude Oil",EXP((2799/(N696+459.6)-2.227)*LOG10(INDEX(FX_Input,AA$5,N$3*$Z$5+$AA$5))-(7261/(N696+459.6))+12.82),IF(N691="Refined Petroleum Stock",EXP((0.7553-(413/(N696+459.6)))*(INDEX(FX_Input,AA$5,N$3*$Z$5+$AA$5-1)^0.5)*LOG10(INDEX(FX_Input,AA$5,N$3*$Z$5+$AA$5))-(1.854-(1042/(N696+459.6)))*(INDEX(FX_Input,AA$5,N$3*$Z$5+$AA$5-1)^0.5)+((2416/(N696+459.6)-2.013)*LOG10(INDEX(FX_Input,AA$5,N$3*$Z$5+$AA$5)))-(8742/(N696+459.6))+15.64),EXP(INDEX(Antoines,MATCH(N690,Antoine_Name,0),2)-INDEX(Antoines,MATCH(N690,Antoine_Name,0),3)/(N696+459.6))))),0)</f>
        <v>0</v>
      </c>
      <c r="O701" cm="1">
        <f t="array" ref="O701">IFERROR(IF(O691="Chemical",(10^(INDEX(Antoines,MATCH(O690,Antoine_Name,0),2)-INDEX(Antoines,MATCH(O690,Antoine_Name,0),3)/(INDEX(Antoines,MATCH(O690,Antoine_Name,0),4)+(O696-32)*5/9)))*14.7/760,IF(O691="Crude Oil",EXP((2799/(O696+459.6)-2.227)*LOG10(INDEX(FX_Input,AB$5,O$3*$Z$5+$AA$5))-(7261/(O696+459.6))+12.82),IF(O691="Refined Petroleum Stock",EXP((0.7553-(413/(O696+459.6)))*(INDEX(FX_Input,AB$5,O$3*$Z$5+$AA$5-1)^0.5)*LOG10(INDEX(FX_Input,AB$5,O$3*$Z$5+$AA$5))-(1.854-(1042/(O696+459.6)))*(INDEX(FX_Input,AB$5,O$3*$Z$5+$AA$5-1)^0.5)+((2416/(O696+459.6)-2.013)*LOG10(INDEX(FX_Input,AB$5,O$3*$Z$5+$AA$5)))-(8742/(O696+459.6))+15.64),EXP(INDEX(Antoines,MATCH(O690,Antoine_Name,0),2)-INDEX(Antoines,MATCH(O690,Antoine_Name,0),3)/(O696+459.6))))),0)</f>
        <v>0</v>
      </c>
    </row>
    <row r="702" spans="2:32" ht="17.149999999999999" x14ac:dyDescent="0.55000000000000004">
      <c r="B702" t="str">
        <f t="shared" si="2452"/>
        <v>Portland</v>
      </c>
      <c r="C702" t="s">
        <v>577</v>
      </c>
      <c r="D702">
        <f>D701*D694</f>
        <v>0</v>
      </c>
      <c r="E702">
        <f t="shared" ref="E702" si="2464">E701*E694</f>
        <v>0</v>
      </c>
      <c r="F702">
        <f t="shared" ref="F702" si="2465">F701*F694</f>
        <v>0</v>
      </c>
      <c r="G702">
        <f t="shared" ref="G702" si="2466">G701*G694</f>
        <v>0</v>
      </c>
      <c r="H702">
        <f t="shared" ref="H702" si="2467">H701*H694</f>
        <v>0</v>
      </c>
      <c r="I702">
        <f t="shared" ref="I702" si="2468">I701*I694</f>
        <v>0</v>
      </c>
      <c r="J702">
        <f t="shared" ref="J702" si="2469">J701*J694</f>
        <v>0</v>
      </c>
      <c r="K702">
        <f t="shared" ref="K702" si="2470">K701*K694</f>
        <v>0</v>
      </c>
      <c r="L702">
        <f t="shared" ref="L702" si="2471">L701*L694</f>
        <v>0</v>
      </c>
      <c r="M702">
        <f t="shared" ref="M702" si="2472">M701*M694</f>
        <v>0</v>
      </c>
      <c r="N702">
        <f t="shared" ref="N702" si="2473">N701*N694</f>
        <v>0</v>
      </c>
      <c r="O702">
        <f t="shared" ref="O702" si="2474">O701*O694</f>
        <v>0</v>
      </c>
    </row>
    <row r="703" spans="2:32" ht="17.149999999999999" x14ac:dyDescent="0.55000000000000004">
      <c r="B703" t="str">
        <f t="shared" si="2452"/>
        <v>Portland</v>
      </c>
      <c r="C703" t="s">
        <v>578</v>
      </c>
      <c r="D703">
        <f>D702+D700</f>
        <v>4.739577185808354E-3</v>
      </c>
      <c r="E703">
        <f t="shared" ref="E703" si="2475">E702+E700</f>
        <v>4.8748667780818778E-3</v>
      </c>
      <c r="F703">
        <f t="shared" ref="F703" si="2476">F702+F700</f>
        <v>5.119885034186122E-3</v>
      </c>
      <c r="G703">
        <f t="shared" ref="G703" si="2477">G702+G700</f>
        <v>5.5846958573521795E-3</v>
      </c>
      <c r="H703">
        <f t="shared" ref="H703" si="2478">H702+H700</f>
        <v>6.5274070972739821E-3</v>
      </c>
      <c r="I703">
        <f t="shared" ref="I703" si="2479">I702+I700</f>
        <v>7.4199539958878279E-3</v>
      </c>
      <c r="J703">
        <f t="shared" ref="J703" si="2480">J702+J700</f>
        <v>8.3358107202842254E-3</v>
      </c>
      <c r="K703">
        <f t="shared" ref="K703" si="2481">K702+K700</f>
        <v>8.4605262729351115E-3</v>
      </c>
      <c r="L703">
        <f t="shared" ref="L703" si="2482">L702+L700</f>
        <v>7.8399882233967533E-3</v>
      </c>
      <c r="M703">
        <f t="shared" ref="M703" si="2483">M702+M700</f>
        <v>6.4173462075160911E-3</v>
      </c>
      <c r="N703">
        <f t="shared" ref="N703" si="2484">N702+N700</f>
        <v>5.3015226887581056E-3</v>
      </c>
      <c r="O703">
        <f t="shared" ref="O703" si="2485">O702+O700</f>
        <v>4.68970903600947E-3</v>
      </c>
    </row>
    <row r="704" spans="2:32" ht="17.149999999999999" x14ac:dyDescent="0.55000000000000004">
      <c r="B704" t="str">
        <f t="shared" si="2452"/>
        <v>Portland</v>
      </c>
      <c r="C704" t="s">
        <v>579</v>
      </c>
      <c r="D704" cm="1">
        <f t="array" ref="D704">IFERROR(IF(D689="Chemical",(10^(INDEX(Antoines,MATCH(D688,Antoine_Name,0),2)-INDEX(Antoines,MATCH(D688,Antoine_Name,0),3)/(INDEX(Antoines,MATCH(D688,Antoine_Name,0),4)+(D697-32)*5/9)))*14.7/760,IF(D689="Crude Oil",EXP((2799/(D697+459.6)-2.227)*LOG10(INDEX(FX_Input,Q$5,D$3*$Z$5+$AA$5))-(7261/(D697+459.6))+12.82),IF(D689="Refined Petroleum Stock",EXP((0.7553-(413/(D697+459.6)))*(INDEX(FX_Input,Q$5,D$3*$Z$5+$AA$5-1)^0.5)*LOG10(INDEX(FX_Input,Q$5,D$3*$Z$5+$AA$5))-(1.854-(1042/(D697+459.6)))*(INDEX(FX_Input,Q$5,D$3*$Z$5+$AA$5-1)^0.5)+((2416/(D697+459.6)-2.013)*LOG10(INDEX(FX_Input,Q$5,D$3*$Z$5+$AA$5)))-(8742/(D697+459.6))+15.64),EXP(INDEX(Antoines,MATCH(D688,Antoine_Name,0),2)-INDEX(Antoines,MATCH(D688,Antoine_Name,0),3)/(D697+459.6))))),0)</f>
        <v>4.739577185808354E-3</v>
      </c>
      <c r="E704" cm="1">
        <f t="array" ref="E704">IFERROR(IF(E689="Chemical",(10^(INDEX(Antoines,MATCH(E688,Antoine_Name,0),2)-INDEX(Antoines,MATCH(E688,Antoine_Name,0),3)/(INDEX(Antoines,MATCH(E688,Antoine_Name,0),4)+(E697-32)*5/9)))*14.7/760,IF(E689="Crude Oil",EXP((2799/(E697+459.6)-2.227)*LOG10(INDEX(FX_Input,R$5,E$3*$Z$5+$AA$5))-(7261/(E697+459.6))+12.82),IF(E689="Refined Petroleum Stock",EXP((0.7553-(413/(E697+459.6)))*(INDEX(FX_Input,R$5,E$3*$Z$5+$AA$5-1)^0.5)*LOG10(INDEX(FX_Input,R$5,E$3*$Z$5+$AA$5))-(1.854-(1042/(E697+459.6)))*(INDEX(FX_Input,R$5,E$3*$Z$5+$AA$5-1)^0.5)+((2416/(E697+459.6)-2.013)*LOG10(INDEX(FX_Input,R$5,E$3*$Z$5+$AA$5)))-(8742/(E697+459.6))+15.64),EXP(INDEX(Antoines,MATCH(E688,Antoine_Name,0),2)-INDEX(Antoines,MATCH(E688,Antoine_Name,0),3)/(E697+459.6))))),0)</f>
        <v>4.8748667780818778E-3</v>
      </c>
      <c r="F704" cm="1">
        <f t="array" ref="F704">IFERROR(IF(F689="Chemical",(10^(INDEX(Antoines,MATCH(F688,Antoine_Name,0),2)-INDEX(Antoines,MATCH(F688,Antoine_Name,0),3)/(INDEX(Antoines,MATCH(F688,Antoine_Name,0),4)+(F697-32)*5/9)))*14.7/760,IF(F689="Crude Oil",EXP((2799/(F697+459.6)-2.227)*LOG10(INDEX(FX_Input,S$5,F$3*$Z$5+$AA$5))-(7261/(F697+459.6))+12.82),IF(F689="Refined Petroleum Stock",EXP((0.7553-(413/(F697+459.6)))*(INDEX(FX_Input,S$5,F$3*$Z$5+$AA$5-1)^0.5)*LOG10(INDEX(FX_Input,S$5,F$3*$Z$5+$AA$5))-(1.854-(1042/(F697+459.6)))*(INDEX(FX_Input,S$5,F$3*$Z$5+$AA$5-1)^0.5)+((2416/(F697+459.6)-2.013)*LOG10(INDEX(FX_Input,S$5,F$3*$Z$5+$AA$5)))-(8742/(F697+459.6))+15.64),EXP(INDEX(Antoines,MATCH(F688,Antoine_Name,0),2)-INDEX(Antoines,MATCH(F688,Antoine_Name,0),3)/(F697+459.6))))),0)</f>
        <v>5.119885034186122E-3</v>
      </c>
      <c r="G704" cm="1">
        <f t="array" ref="G704">IFERROR(IF(G689="Chemical",(10^(INDEX(Antoines,MATCH(G688,Antoine_Name,0),2)-INDEX(Antoines,MATCH(G688,Antoine_Name,0),3)/(INDEX(Antoines,MATCH(G688,Antoine_Name,0),4)+(G697-32)*5/9)))*14.7/760,IF(G689="Crude Oil",EXP((2799/(G697+459.6)-2.227)*LOG10(INDEX(FX_Input,T$5,G$3*$Z$5+$AA$5))-(7261/(G697+459.6))+12.82),IF(G689="Refined Petroleum Stock",EXP((0.7553-(413/(G697+459.6)))*(INDEX(FX_Input,T$5,G$3*$Z$5+$AA$5-1)^0.5)*LOG10(INDEX(FX_Input,T$5,G$3*$Z$5+$AA$5))-(1.854-(1042/(G697+459.6)))*(INDEX(FX_Input,T$5,G$3*$Z$5+$AA$5-1)^0.5)+((2416/(G697+459.6)-2.013)*LOG10(INDEX(FX_Input,T$5,G$3*$Z$5+$AA$5)))-(8742/(G697+459.6))+15.64),EXP(INDEX(Antoines,MATCH(G688,Antoine_Name,0),2)-INDEX(Antoines,MATCH(G688,Antoine_Name,0),3)/(G697+459.6))))),0)</f>
        <v>5.5846958573521795E-3</v>
      </c>
      <c r="H704" cm="1">
        <f t="array" ref="H704">IFERROR(IF(H689="Chemical",(10^(INDEX(Antoines,MATCH(H688,Antoine_Name,0),2)-INDEX(Antoines,MATCH(H688,Antoine_Name,0),3)/(INDEX(Antoines,MATCH(H688,Antoine_Name,0),4)+(H697-32)*5/9)))*14.7/760,IF(H689="Crude Oil",EXP((2799/(H697+459.6)-2.227)*LOG10(INDEX(FX_Input,U$5,H$3*$Z$5+$AA$5))-(7261/(H697+459.6))+12.82),IF(H689="Refined Petroleum Stock",EXP((0.7553-(413/(H697+459.6)))*(INDEX(FX_Input,U$5,H$3*$Z$5+$AA$5-1)^0.5)*LOG10(INDEX(FX_Input,U$5,H$3*$Z$5+$AA$5))-(1.854-(1042/(H697+459.6)))*(INDEX(FX_Input,U$5,H$3*$Z$5+$AA$5-1)^0.5)+((2416/(H697+459.6)-2.013)*LOG10(INDEX(FX_Input,U$5,H$3*$Z$5+$AA$5)))-(8742/(H697+459.6))+15.64),EXP(INDEX(Antoines,MATCH(H688,Antoine_Name,0),2)-INDEX(Antoines,MATCH(H688,Antoine_Name,0),3)/(H697+459.6))))),0)</f>
        <v>6.5274070972739821E-3</v>
      </c>
      <c r="I704" cm="1">
        <f t="array" ref="I704">IFERROR(IF(I689="Chemical",(10^(INDEX(Antoines,MATCH(I688,Antoine_Name,0),2)-INDEX(Antoines,MATCH(I688,Antoine_Name,0),3)/(INDEX(Antoines,MATCH(I688,Antoine_Name,0),4)+(I697-32)*5/9)))*14.7/760,IF(I689="Crude Oil",EXP((2799/(I697+459.6)-2.227)*LOG10(INDEX(FX_Input,V$5,I$3*$Z$5+$AA$5))-(7261/(I697+459.6))+12.82),IF(I689="Refined Petroleum Stock",EXP((0.7553-(413/(I697+459.6)))*(INDEX(FX_Input,V$5,I$3*$Z$5+$AA$5-1)^0.5)*LOG10(INDEX(FX_Input,V$5,I$3*$Z$5+$AA$5))-(1.854-(1042/(I697+459.6)))*(INDEX(FX_Input,V$5,I$3*$Z$5+$AA$5-1)^0.5)+((2416/(I697+459.6)-2.013)*LOG10(INDEX(FX_Input,V$5,I$3*$Z$5+$AA$5)))-(8742/(I697+459.6))+15.64),EXP(INDEX(Antoines,MATCH(I688,Antoine_Name,0),2)-INDEX(Antoines,MATCH(I688,Antoine_Name,0),3)/(I697+459.6))))),0)</f>
        <v>7.4199539958878279E-3</v>
      </c>
      <c r="J704" cm="1">
        <f t="array" ref="J704">IFERROR(IF(J689="Chemical",(10^(INDEX(Antoines,MATCH(J688,Antoine_Name,0),2)-INDEX(Antoines,MATCH(J688,Antoine_Name,0),3)/(INDEX(Antoines,MATCH(J688,Antoine_Name,0),4)+(J697-32)*5/9)))*14.7/760,IF(J689="Crude Oil",EXP((2799/(J697+459.6)-2.227)*LOG10(INDEX(FX_Input,W$5,J$3*$Z$5+$AA$5))-(7261/(J697+459.6))+12.82),IF(J689="Refined Petroleum Stock",EXP((0.7553-(413/(J697+459.6)))*(INDEX(FX_Input,W$5,J$3*$Z$5+$AA$5-1)^0.5)*LOG10(INDEX(FX_Input,W$5,J$3*$Z$5+$AA$5))-(1.854-(1042/(J697+459.6)))*(INDEX(FX_Input,W$5,J$3*$Z$5+$AA$5-1)^0.5)+((2416/(J697+459.6)-2.013)*LOG10(INDEX(FX_Input,W$5,J$3*$Z$5+$AA$5)))-(8742/(J697+459.6))+15.64),EXP(INDEX(Antoines,MATCH(J688,Antoine_Name,0),2)-INDEX(Antoines,MATCH(J688,Antoine_Name,0),3)/(J697+459.6))))),0)</f>
        <v>8.3358107202842254E-3</v>
      </c>
      <c r="K704" cm="1">
        <f t="array" ref="K704">IFERROR(IF(K689="Chemical",(10^(INDEX(Antoines,MATCH(K688,Antoine_Name,0),2)-INDEX(Antoines,MATCH(K688,Antoine_Name,0),3)/(INDEX(Antoines,MATCH(K688,Antoine_Name,0),4)+(K697-32)*5/9)))*14.7/760,IF(K689="Crude Oil",EXP((2799/(K697+459.6)-2.227)*LOG10(INDEX(FX_Input,X$5,K$3*$Z$5+$AA$5))-(7261/(K697+459.6))+12.82),IF(K689="Refined Petroleum Stock",EXP((0.7553-(413/(K697+459.6)))*(INDEX(FX_Input,X$5,K$3*$Z$5+$AA$5-1)^0.5)*LOG10(INDEX(FX_Input,X$5,K$3*$Z$5+$AA$5))-(1.854-(1042/(K697+459.6)))*(INDEX(FX_Input,X$5,K$3*$Z$5+$AA$5-1)^0.5)+((2416/(K697+459.6)-2.013)*LOG10(INDEX(FX_Input,X$5,K$3*$Z$5+$AA$5)))-(8742/(K697+459.6))+15.64),EXP(INDEX(Antoines,MATCH(K688,Antoine_Name,0),2)-INDEX(Antoines,MATCH(K688,Antoine_Name,0),3)/(K697+459.6))))),0)</f>
        <v>8.4605262729351115E-3</v>
      </c>
      <c r="L704" cm="1">
        <f t="array" ref="L704">IFERROR(IF(L689="Chemical",(10^(INDEX(Antoines,MATCH(L688,Antoine_Name,0),2)-INDEX(Antoines,MATCH(L688,Antoine_Name,0),3)/(INDEX(Antoines,MATCH(L688,Antoine_Name,0),4)+(L697-32)*5/9)))*14.7/760,IF(L689="Crude Oil",EXP((2799/(L697+459.6)-2.227)*LOG10(INDEX(FX_Input,Y$5,L$3*$Z$5+$AA$5))-(7261/(L697+459.6))+12.82),IF(L689="Refined Petroleum Stock",EXP((0.7553-(413/(L697+459.6)))*(INDEX(FX_Input,Y$5,L$3*$Z$5+$AA$5-1)^0.5)*LOG10(INDEX(FX_Input,Y$5,L$3*$Z$5+$AA$5))-(1.854-(1042/(L697+459.6)))*(INDEX(FX_Input,Y$5,L$3*$Z$5+$AA$5-1)^0.5)+((2416/(L697+459.6)-2.013)*LOG10(INDEX(FX_Input,Y$5,L$3*$Z$5+$AA$5)))-(8742/(L697+459.6))+15.64),EXP(INDEX(Antoines,MATCH(L688,Antoine_Name,0),2)-INDEX(Antoines,MATCH(L688,Antoine_Name,0),3)/(L697+459.6))))),0)</f>
        <v>7.8399882233967533E-3</v>
      </c>
      <c r="M704" cm="1">
        <f t="array" ref="M704">IFERROR(IF(M689="Chemical",(10^(INDEX(Antoines,MATCH(M688,Antoine_Name,0),2)-INDEX(Antoines,MATCH(M688,Antoine_Name,0),3)/(INDEX(Antoines,MATCH(M688,Antoine_Name,0),4)+(M697-32)*5/9)))*14.7/760,IF(M689="Crude Oil",EXP((2799/(M697+459.6)-2.227)*LOG10(INDEX(FX_Input,Z$5,M$3*$Z$5+$AA$5))-(7261/(M697+459.6))+12.82),IF(M689="Refined Petroleum Stock",EXP((0.7553-(413/(M697+459.6)))*(INDEX(FX_Input,Z$5,M$3*$Z$5+$AA$5-1)^0.5)*LOG10(INDEX(FX_Input,Z$5,M$3*$Z$5+$AA$5))-(1.854-(1042/(M697+459.6)))*(INDEX(FX_Input,Z$5,M$3*$Z$5+$AA$5-1)^0.5)+((2416/(M697+459.6)-2.013)*LOG10(INDEX(FX_Input,Z$5,M$3*$Z$5+$AA$5)))-(8742/(M697+459.6))+15.64),EXP(INDEX(Antoines,MATCH(M688,Antoine_Name,0),2)-INDEX(Antoines,MATCH(M688,Antoine_Name,0),3)/(M697+459.6))))),0)</f>
        <v>6.4173462075160911E-3</v>
      </c>
      <c r="N704" cm="1">
        <f t="array" ref="N704">IFERROR(IF(N689="Chemical",(10^(INDEX(Antoines,MATCH(N688,Antoine_Name,0),2)-INDEX(Antoines,MATCH(N688,Antoine_Name,0),3)/(INDEX(Antoines,MATCH(N688,Antoine_Name,0),4)+(N697-32)*5/9)))*14.7/760,IF(N689="Crude Oil",EXP((2799/(N697+459.6)-2.227)*LOG10(INDEX(FX_Input,AA$5,N$3*$Z$5+$AA$5))-(7261/(N697+459.6))+12.82),IF(N689="Refined Petroleum Stock",EXP((0.7553-(413/(N697+459.6)))*(INDEX(FX_Input,AA$5,N$3*$Z$5+$AA$5-1)^0.5)*LOG10(INDEX(FX_Input,AA$5,N$3*$Z$5+$AA$5))-(1.854-(1042/(N697+459.6)))*(INDEX(FX_Input,AA$5,N$3*$Z$5+$AA$5-1)^0.5)+((2416/(N697+459.6)-2.013)*LOG10(INDEX(FX_Input,AA$5,N$3*$Z$5+$AA$5)))-(8742/(N697+459.6))+15.64),EXP(INDEX(Antoines,MATCH(N688,Antoine_Name,0),2)-INDEX(Antoines,MATCH(N688,Antoine_Name,0),3)/(N697+459.6))))),0)</f>
        <v>5.3015226887581056E-3</v>
      </c>
      <c r="O704" cm="1">
        <f t="array" ref="O704">IFERROR(IF(O689="Chemical",(10^(INDEX(Antoines,MATCH(O688,Antoine_Name,0),2)-INDEX(Antoines,MATCH(O688,Antoine_Name,0),3)/(INDEX(Antoines,MATCH(O688,Antoine_Name,0),4)+(O697-32)*5/9)))*14.7/760,IF(O689="Crude Oil",EXP((2799/(O697+459.6)-2.227)*LOG10(INDEX(FX_Input,AB$5,O$3*$Z$5+$AA$5))-(7261/(O697+459.6))+12.82),IF(O689="Refined Petroleum Stock",EXP((0.7553-(413/(O697+459.6)))*(INDEX(FX_Input,AB$5,O$3*$Z$5+$AA$5-1)^0.5)*LOG10(INDEX(FX_Input,AB$5,O$3*$Z$5+$AA$5))-(1.854-(1042/(O697+459.6)))*(INDEX(FX_Input,AB$5,O$3*$Z$5+$AA$5-1)^0.5)+((2416/(O697+459.6)-2.013)*LOG10(INDEX(FX_Input,AB$5,O$3*$Z$5+$AA$5)))-(8742/(O697+459.6))+15.64),EXP(INDEX(Antoines,MATCH(O688,Antoine_Name,0),2)-INDEX(Antoines,MATCH(O688,Antoine_Name,0),3)/(O697+459.6))))),0)</f>
        <v>4.68970903600947E-3</v>
      </c>
    </row>
    <row r="705" spans="1:32" ht="17.149999999999999" x14ac:dyDescent="0.55000000000000004">
      <c r="B705" t="str">
        <f t="shared" si="2452"/>
        <v>Portland</v>
      </c>
      <c r="C705" t="s">
        <v>580</v>
      </c>
      <c r="D705">
        <f>D704*D692</f>
        <v>4.739577185808354E-3</v>
      </c>
      <c r="E705">
        <f t="shared" ref="E705" si="2486">E704*E692</f>
        <v>4.8748667780818778E-3</v>
      </c>
      <c r="F705">
        <f t="shared" ref="F705" si="2487">F704*F692</f>
        <v>5.119885034186122E-3</v>
      </c>
      <c r="G705">
        <f t="shared" ref="G705" si="2488">G704*G692</f>
        <v>5.5846958573521795E-3</v>
      </c>
      <c r="H705">
        <f t="shared" ref="H705" si="2489">H704*H692</f>
        <v>6.5274070972739821E-3</v>
      </c>
      <c r="I705">
        <f t="shared" ref="I705" si="2490">I704*I692</f>
        <v>7.4199539958878279E-3</v>
      </c>
      <c r="J705">
        <f t="shared" ref="J705" si="2491">J704*J692</f>
        <v>8.3358107202842254E-3</v>
      </c>
      <c r="K705">
        <f t="shared" ref="K705" si="2492">K704*K692</f>
        <v>8.4605262729351115E-3</v>
      </c>
      <c r="L705">
        <f t="shared" ref="L705" si="2493">L704*L692</f>
        <v>7.8399882233967533E-3</v>
      </c>
      <c r="M705">
        <f t="shared" ref="M705" si="2494">M704*M692</f>
        <v>6.4173462075160911E-3</v>
      </c>
      <c r="N705">
        <f t="shared" ref="N705" si="2495">N704*N692</f>
        <v>5.3015226887581056E-3</v>
      </c>
      <c r="O705">
        <f t="shared" ref="O705" si="2496">O704*O692</f>
        <v>4.68970903600947E-3</v>
      </c>
    </row>
    <row r="706" spans="1:32" ht="17.149999999999999" x14ac:dyDescent="0.55000000000000004">
      <c r="B706" t="str">
        <f t="shared" si="2452"/>
        <v>Portland</v>
      </c>
      <c r="C706" t="s">
        <v>581</v>
      </c>
      <c r="D706" cm="1">
        <f t="array" ref="D706">IFERROR(IF(D691="Chemical",(10^(INDEX(Antoines,MATCH(D690,Antoine_Name,0),2)-INDEX(Antoines,MATCH(D690,Antoine_Name,0),3)/(INDEX(Antoines,MATCH(D690,Antoine_Name,0),4)+(D697-32)*5/9)))*14.7/760,IF(D691="Crude Oil",EXP((2799/(D697+459.6)-2.227)*LOG10(INDEX(FX_Input,Q$5,D$3*$Z$5+$AA$5))-(7261/(D697+459.6))+12.82),IF(D691="Refined Petroleum Stock",EXP((0.7553-(413/(D697+459.6)))*(INDEX(FX_Input,Q$5,D$3*$Z$5+$AA$5-1)^0.5)*LOG10(INDEX(FX_Input,Q$5,D$3*$Z$5+$AA$5))-(1.854-(1042/(D697+459.6)))*(INDEX(FX_Input,Q$5,D$3*$Z$5+$AA$5-1)^0.5)+((2416/(D697+459.6)-2.013)*LOG10(INDEX(FX_Input,Q$5,D$3*$Z$5+$AA$5)))-(8742/(D697+459.6))+15.64),EXP(INDEX(Antoines,MATCH(D690,Antoine_Name,0),2)-INDEX(Antoines,MATCH(D690,Antoine_Name,0),3)/(D697+459.6))))),0)</f>
        <v>0</v>
      </c>
      <c r="E706" cm="1">
        <f t="array" ref="E706">IFERROR(IF(E691="Chemical",(10^(INDEX(Antoines,MATCH(E690,Antoine_Name,0),2)-INDEX(Antoines,MATCH(E690,Antoine_Name,0),3)/(INDEX(Antoines,MATCH(E690,Antoine_Name,0),4)+(E697-32)*5/9)))*14.7/760,IF(E691="Crude Oil",EXP((2799/(E697+459.6)-2.227)*LOG10(INDEX(FX_Input,R$5,E$3*$Z$5+$AA$5))-(7261/(E697+459.6))+12.82),IF(E691="Refined Petroleum Stock",EXP((0.7553-(413/(E697+459.6)))*(INDEX(FX_Input,R$5,E$3*$Z$5+$AA$5-1)^0.5)*LOG10(INDEX(FX_Input,R$5,E$3*$Z$5+$AA$5))-(1.854-(1042/(E697+459.6)))*(INDEX(FX_Input,R$5,E$3*$Z$5+$AA$5-1)^0.5)+((2416/(E697+459.6)-2.013)*LOG10(INDEX(FX_Input,R$5,E$3*$Z$5+$AA$5)))-(8742/(E697+459.6))+15.64),EXP(INDEX(Antoines,MATCH(E690,Antoine_Name,0),2)-INDEX(Antoines,MATCH(E690,Antoine_Name,0),3)/(E697+459.6))))),0)</f>
        <v>0</v>
      </c>
      <c r="F706" cm="1">
        <f t="array" ref="F706">IFERROR(IF(F691="Chemical",(10^(INDEX(Antoines,MATCH(F690,Antoine_Name,0),2)-INDEX(Antoines,MATCH(F690,Antoine_Name,0),3)/(INDEX(Antoines,MATCH(F690,Antoine_Name,0),4)+(F697-32)*5/9)))*14.7/760,IF(F691="Crude Oil",EXP((2799/(F697+459.6)-2.227)*LOG10(INDEX(FX_Input,S$5,F$3*$Z$5+$AA$5))-(7261/(F697+459.6))+12.82),IF(F691="Refined Petroleum Stock",EXP((0.7553-(413/(F697+459.6)))*(INDEX(FX_Input,S$5,F$3*$Z$5+$AA$5-1)^0.5)*LOG10(INDEX(FX_Input,S$5,F$3*$Z$5+$AA$5))-(1.854-(1042/(F697+459.6)))*(INDEX(FX_Input,S$5,F$3*$Z$5+$AA$5-1)^0.5)+((2416/(F697+459.6)-2.013)*LOG10(INDEX(FX_Input,S$5,F$3*$Z$5+$AA$5)))-(8742/(F697+459.6))+15.64),EXP(INDEX(Antoines,MATCH(F690,Antoine_Name,0),2)-INDEX(Antoines,MATCH(F690,Antoine_Name,0),3)/(F697+459.6))))),0)</f>
        <v>0</v>
      </c>
      <c r="G706" cm="1">
        <f t="array" ref="G706">IFERROR(IF(G691="Chemical",(10^(INDEX(Antoines,MATCH(G690,Antoine_Name,0),2)-INDEX(Antoines,MATCH(G690,Antoine_Name,0),3)/(INDEX(Antoines,MATCH(G690,Antoine_Name,0),4)+(G697-32)*5/9)))*14.7/760,IF(G691="Crude Oil",EXP((2799/(G697+459.6)-2.227)*LOG10(INDEX(FX_Input,T$5,G$3*$Z$5+$AA$5))-(7261/(G697+459.6))+12.82),IF(G691="Refined Petroleum Stock",EXP((0.7553-(413/(G697+459.6)))*(INDEX(FX_Input,T$5,G$3*$Z$5+$AA$5-1)^0.5)*LOG10(INDEX(FX_Input,T$5,G$3*$Z$5+$AA$5))-(1.854-(1042/(G697+459.6)))*(INDEX(FX_Input,T$5,G$3*$Z$5+$AA$5-1)^0.5)+((2416/(G697+459.6)-2.013)*LOG10(INDEX(FX_Input,T$5,G$3*$Z$5+$AA$5)))-(8742/(G697+459.6))+15.64),EXP(INDEX(Antoines,MATCH(G690,Antoine_Name,0),2)-INDEX(Antoines,MATCH(G690,Antoine_Name,0),3)/(G697+459.6))))),0)</f>
        <v>0</v>
      </c>
      <c r="H706" cm="1">
        <f t="array" ref="H706">IFERROR(IF(H691="Chemical",(10^(INDEX(Antoines,MATCH(H690,Antoine_Name,0),2)-INDEX(Antoines,MATCH(H690,Antoine_Name,0),3)/(INDEX(Antoines,MATCH(H690,Antoine_Name,0),4)+(H697-32)*5/9)))*14.7/760,IF(H691="Crude Oil",EXP((2799/(H697+459.6)-2.227)*LOG10(INDEX(FX_Input,U$5,H$3*$Z$5+$AA$5))-(7261/(H697+459.6))+12.82),IF(H691="Refined Petroleum Stock",EXP((0.7553-(413/(H697+459.6)))*(INDEX(FX_Input,U$5,H$3*$Z$5+$AA$5-1)^0.5)*LOG10(INDEX(FX_Input,U$5,H$3*$Z$5+$AA$5))-(1.854-(1042/(H697+459.6)))*(INDEX(FX_Input,U$5,H$3*$Z$5+$AA$5-1)^0.5)+((2416/(H697+459.6)-2.013)*LOG10(INDEX(FX_Input,U$5,H$3*$Z$5+$AA$5)))-(8742/(H697+459.6))+15.64),EXP(INDEX(Antoines,MATCH(H690,Antoine_Name,0),2)-INDEX(Antoines,MATCH(H690,Antoine_Name,0),3)/(H697+459.6))))),0)</f>
        <v>0</v>
      </c>
      <c r="I706" cm="1">
        <f t="array" ref="I706">IFERROR(IF(I691="Chemical",(10^(INDEX(Antoines,MATCH(I690,Antoine_Name,0),2)-INDEX(Antoines,MATCH(I690,Antoine_Name,0),3)/(INDEX(Antoines,MATCH(I690,Antoine_Name,0),4)+(I697-32)*5/9)))*14.7/760,IF(I691="Crude Oil",EXP((2799/(I697+459.6)-2.227)*LOG10(INDEX(FX_Input,V$5,I$3*$Z$5+$AA$5))-(7261/(I697+459.6))+12.82),IF(I691="Refined Petroleum Stock",EXP((0.7553-(413/(I697+459.6)))*(INDEX(FX_Input,V$5,I$3*$Z$5+$AA$5-1)^0.5)*LOG10(INDEX(FX_Input,V$5,I$3*$Z$5+$AA$5))-(1.854-(1042/(I697+459.6)))*(INDEX(FX_Input,V$5,I$3*$Z$5+$AA$5-1)^0.5)+((2416/(I697+459.6)-2.013)*LOG10(INDEX(FX_Input,V$5,I$3*$Z$5+$AA$5)))-(8742/(I697+459.6))+15.64),EXP(INDEX(Antoines,MATCH(I690,Antoine_Name,0),2)-INDEX(Antoines,MATCH(I690,Antoine_Name,0),3)/(I697+459.6))))),0)</f>
        <v>0</v>
      </c>
      <c r="J706" cm="1">
        <f t="array" ref="J706">IFERROR(IF(J691="Chemical",(10^(INDEX(Antoines,MATCH(J690,Antoine_Name,0),2)-INDEX(Antoines,MATCH(J690,Antoine_Name,0),3)/(INDEX(Antoines,MATCH(J690,Antoine_Name,0),4)+(J697-32)*5/9)))*14.7/760,IF(J691="Crude Oil",EXP((2799/(J697+459.6)-2.227)*LOG10(INDEX(FX_Input,W$5,J$3*$Z$5+$AA$5))-(7261/(J697+459.6))+12.82),IF(J691="Refined Petroleum Stock",EXP((0.7553-(413/(J697+459.6)))*(INDEX(FX_Input,W$5,J$3*$Z$5+$AA$5-1)^0.5)*LOG10(INDEX(FX_Input,W$5,J$3*$Z$5+$AA$5))-(1.854-(1042/(J697+459.6)))*(INDEX(FX_Input,W$5,J$3*$Z$5+$AA$5-1)^0.5)+((2416/(J697+459.6)-2.013)*LOG10(INDEX(FX_Input,W$5,J$3*$Z$5+$AA$5)))-(8742/(J697+459.6))+15.64),EXP(INDEX(Antoines,MATCH(J690,Antoine_Name,0),2)-INDEX(Antoines,MATCH(J690,Antoine_Name,0),3)/(J697+459.6))))),0)</f>
        <v>0</v>
      </c>
      <c r="K706" cm="1">
        <f t="array" ref="K706">IFERROR(IF(K691="Chemical",(10^(INDEX(Antoines,MATCH(K690,Antoine_Name,0),2)-INDEX(Antoines,MATCH(K690,Antoine_Name,0),3)/(INDEX(Antoines,MATCH(K690,Antoine_Name,0),4)+(K697-32)*5/9)))*14.7/760,IF(K691="Crude Oil",EXP((2799/(K697+459.6)-2.227)*LOG10(INDEX(FX_Input,X$5,K$3*$Z$5+$AA$5))-(7261/(K697+459.6))+12.82),IF(K691="Refined Petroleum Stock",EXP((0.7553-(413/(K697+459.6)))*(INDEX(FX_Input,X$5,K$3*$Z$5+$AA$5-1)^0.5)*LOG10(INDEX(FX_Input,X$5,K$3*$Z$5+$AA$5))-(1.854-(1042/(K697+459.6)))*(INDEX(FX_Input,X$5,K$3*$Z$5+$AA$5-1)^0.5)+((2416/(K697+459.6)-2.013)*LOG10(INDEX(FX_Input,X$5,K$3*$Z$5+$AA$5)))-(8742/(K697+459.6))+15.64),EXP(INDEX(Antoines,MATCH(K690,Antoine_Name,0),2)-INDEX(Antoines,MATCH(K690,Antoine_Name,0),3)/(K697+459.6))))),0)</f>
        <v>0</v>
      </c>
      <c r="L706" cm="1">
        <f t="array" ref="L706">IFERROR(IF(L691="Chemical",(10^(INDEX(Antoines,MATCH(L690,Antoine_Name,0),2)-INDEX(Antoines,MATCH(L690,Antoine_Name,0),3)/(INDEX(Antoines,MATCH(L690,Antoine_Name,0),4)+(L697-32)*5/9)))*14.7/760,IF(L691="Crude Oil",EXP((2799/(L697+459.6)-2.227)*LOG10(INDEX(FX_Input,Y$5,L$3*$Z$5+$AA$5))-(7261/(L697+459.6))+12.82),IF(L691="Refined Petroleum Stock",EXP((0.7553-(413/(L697+459.6)))*(INDEX(FX_Input,Y$5,L$3*$Z$5+$AA$5-1)^0.5)*LOG10(INDEX(FX_Input,Y$5,L$3*$Z$5+$AA$5))-(1.854-(1042/(L697+459.6)))*(INDEX(FX_Input,Y$5,L$3*$Z$5+$AA$5-1)^0.5)+((2416/(L697+459.6)-2.013)*LOG10(INDEX(FX_Input,Y$5,L$3*$Z$5+$AA$5)))-(8742/(L697+459.6))+15.64),EXP(INDEX(Antoines,MATCH(L690,Antoine_Name,0),2)-INDEX(Antoines,MATCH(L690,Antoine_Name,0),3)/(L697+459.6))))),0)</f>
        <v>0</v>
      </c>
      <c r="M706" cm="1">
        <f t="array" ref="M706">IFERROR(IF(M691="Chemical",(10^(INDEX(Antoines,MATCH(M690,Antoine_Name,0),2)-INDEX(Antoines,MATCH(M690,Antoine_Name,0),3)/(INDEX(Antoines,MATCH(M690,Antoine_Name,0),4)+(M697-32)*5/9)))*14.7/760,IF(M691="Crude Oil",EXP((2799/(M697+459.6)-2.227)*LOG10(INDEX(FX_Input,Z$5,M$3*$Z$5+$AA$5))-(7261/(M697+459.6))+12.82),IF(M691="Refined Petroleum Stock",EXP((0.7553-(413/(M697+459.6)))*(INDEX(FX_Input,Z$5,M$3*$Z$5+$AA$5-1)^0.5)*LOG10(INDEX(FX_Input,Z$5,M$3*$Z$5+$AA$5))-(1.854-(1042/(M697+459.6)))*(INDEX(FX_Input,Z$5,M$3*$Z$5+$AA$5-1)^0.5)+((2416/(M697+459.6)-2.013)*LOG10(INDEX(FX_Input,Z$5,M$3*$Z$5+$AA$5)))-(8742/(M697+459.6))+15.64),EXP(INDEX(Antoines,MATCH(M690,Antoine_Name,0),2)-INDEX(Antoines,MATCH(M690,Antoine_Name,0),3)/(M697+459.6))))),0)</f>
        <v>0</v>
      </c>
      <c r="N706" cm="1">
        <f t="array" ref="N706">IFERROR(IF(N691="Chemical",(10^(INDEX(Antoines,MATCH(N690,Antoine_Name,0),2)-INDEX(Antoines,MATCH(N690,Antoine_Name,0),3)/(INDEX(Antoines,MATCH(N690,Antoine_Name,0),4)+(N697-32)*5/9)))*14.7/760,IF(N691="Crude Oil",EXP((2799/(N697+459.6)-2.227)*LOG10(INDEX(FX_Input,AA$5,N$3*$Z$5+$AA$5))-(7261/(N697+459.6))+12.82),IF(N691="Refined Petroleum Stock",EXP((0.7553-(413/(N697+459.6)))*(INDEX(FX_Input,AA$5,N$3*$Z$5+$AA$5-1)^0.5)*LOG10(INDEX(FX_Input,AA$5,N$3*$Z$5+$AA$5))-(1.854-(1042/(N697+459.6)))*(INDEX(FX_Input,AA$5,N$3*$Z$5+$AA$5-1)^0.5)+((2416/(N697+459.6)-2.013)*LOG10(INDEX(FX_Input,AA$5,N$3*$Z$5+$AA$5)))-(8742/(N697+459.6))+15.64),EXP(INDEX(Antoines,MATCH(N690,Antoine_Name,0),2)-INDEX(Antoines,MATCH(N690,Antoine_Name,0),3)/(N697+459.6))))),0)</f>
        <v>0</v>
      </c>
      <c r="O706" cm="1">
        <f t="array" ref="O706">IFERROR(IF(O691="Chemical",(10^(INDEX(Antoines,MATCH(O690,Antoine_Name,0),2)-INDEX(Antoines,MATCH(O690,Antoine_Name,0),3)/(INDEX(Antoines,MATCH(O690,Antoine_Name,0),4)+(O697-32)*5/9)))*14.7/760,IF(O691="Crude Oil",EXP((2799/(O697+459.6)-2.227)*LOG10(INDEX(FX_Input,AB$5,O$3*$Z$5+$AA$5))-(7261/(O697+459.6))+12.82),IF(O691="Refined Petroleum Stock",EXP((0.7553-(413/(O697+459.6)))*(INDEX(FX_Input,AB$5,O$3*$Z$5+$AA$5-1)^0.5)*LOG10(INDEX(FX_Input,AB$5,O$3*$Z$5+$AA$5))-(1.854-(1042/(O697+459.6)))*(INDEX(FX_Input,AB$5,O$3*$Z$5+$AA$5-1)^0.5)+((2416/(O697+459.6)-2.013)*LOG10(INDEX(FX_Input,AB$5,O$3*$Z$5+$AA$5)))-(8742/(O697+459.6))+15.64),EXP(INDEX(Antoines,MATCH(O690,Antoine_Name,0),2)-INDEX(Antoines,MATCH(O690,Antoine_Name,0),3)/(O697+459.6))))),0)</f>
        <v>0</v>
      </c>
    </row>
    <row r="707" spans="1:32" ht="17.149999999999999" x14ac:dyDescent="0.55000000000000004">
      <c r="B707" t="str">
        <f t="shared" si="2452"/>
        <v>Portland</v>
      </c>
      <c r="C707" t="s">
        <v>582</v>
      </c>
      <c r="D707">
        <f>D706*D694</f>
        <v>0</v>
      </c>
      <c r="E707">
        <f t="shared" ref="E707" si="2497">E706*E694</f>
        <v>0</v>
      </c>
      <c r="F707">
        <f t="shared" ref="F707" si="2498">F706*F694</f>
        <v>0</v>
      </c>
      <c r="G707">
        <f t="shared" ref="G707" si="2499">G706*G694</f>
        <v>0</v>
      </c>
      <c r="H707">
        <f t="shared" ref="H707" si="2500">H706*H694</f>
        <v>0</v>
      </c>
      <c r="I707">
        <f t="shared" ref="I707" si="2501">I706*I694</f>
        <v>0</v>
      </c>
      <c r="J707">
        <f t="shared" ref="J707" si="2502">J706*J694</f>
        <v>0</v>
      </c>
      <c r="K707">
        <f t="shared" ref="K707" si="2503">K706*K694</f>
        <v>0</v>
      </c>
      <c r="L707">
        <f t="shared" ref="L707" si="2504">L706*L694</f>
        <v>0</v>
      </c>
      <c r="M707">
        <f t="shared" ref="M707" si="2505">M706*M694</f>
        <v>0</v>
      </c>
      <c r="N707">
        <f t="shared" ref="N707" si="2506">N706*N694</f>
        <v>0</v>
      </c>
      <c r="O707">
        <f t="shared" ref="O707" si="2507">O706*O694</f>
        <v>0</v>
      </c>
    </row>
    <row r="708" spans="1:32" ht="17.149999999999999" x14ac:dyDescent="0.55000000000000004">
      <c r="B708" t="str">
        <f t="shared" si="2452"/>
        <v>Portland</v>
      </c>
      <c r="C708" t="s">
        <v>583</v>
      </c>
      <c r="D708">
        <f>D705+D707</f>
        <v>4.739577185808354E-3</v>
      </c>
      <c r="E708">
        <f t="shared" ref="E708" si="2508">E705+E707</f>
        <v>4.8748667780818778E-3</v>
      </c>
      <c r="F708">
        <f t="shared" ref="F708" si="2509">F705+F707</f>
        <v>5.119885034186122E-3</v>
      </c>
      <c r="G708">
        <f t="shared" ref="G708" si="2510">G705+G707</f>
        <v>5.5846958573521795E-3</v>
      </c>
      <c r="H708">
        <f t="shared" ref="H708" si="2511">H705+H707</f>
        <v>6.5274070972739821E-3</v>
      </c>
      <c r="I708">
        <f t="shared" ref="I708" si="2512">I705+I707</f>
        <v>7.4199539958878279E-3</v>
      </c>
      <c r="J708">
        <f t="shared" ref="J708" si="2513">J705+J707</f>
        <v>8.3358107202842254E-3</v>
      </c>
      <c r="K708">
        <f t="shared" ref="K708" si="2514">K705+K707</f>
        <v>8.4605262729351115E-3</v>
      </c>
      <c r="L708">
        <f t="shared" ref="L708" si="2515">L705+L707</f>
        <v>7.8399882233967533E-3</v>
      </c>
      <c r="M708">
        <f t="shared" ref="M708" si="2516">M705+M707</f>
        <v>6.4173462075160911E-3</v>
      </c>
      <c r="N708">
        <f t="shared" ref="N708" si="2517">N705+N707</f>
        <v>5.3015226887581056E-3</v>
      </c>
      <c r="O708">
        <f t="shared" ref="O708" si="2518">O705+O707</f>
        <v>4.68970903600947E-3</v>
      </c>
    </row>
    <row r="709" spans="1:32" ht="17.149999999999999" x14ac:dyDescent="0.55000000000000004">
      <c r="B709" t="str">
        <f t="shared" si="2452"/>
        <v>Portland</v>
      </c>
      <c r="C709" t="s">
        <v>1388</v>
      </c>
      <c r="D709" cm="1">
        <f t="array" ref="D709">IFERROR(IF(D689="Chemical",(10^(INDEX(Antoines,MATCH(D688,Antoine_Name,0),2)-INDEX(Antoines,MATCH(D688,Antoine_Name,0),3)/(INDEX(Antoines,MATCH(D688,Antoine_Name,0),4)+(D698-32)*5/9)))*14.7/760,IF(D689="Crude Oil",EXP((2799/(D698+459.6)-2.227)*LOG10(INDEX(FX_Input,Q$5,D$3*$Z$5+$AA$5))-(7261/(D698+459.6))+12.82),IF(D689="Refined Petroleum Stock",EXP((0.7553-(413/(D698+459.6)))*(INDEX(FX_Input,Q$5,D$3*$Z$5+$AA$5-1)^0.5)*LOG10(INDEX(FX_Input,Q$5,D$3*$Z$5+$AA$5))-(1.854-(1042/(D698+459.6)))*(INDEX(FX_Input,Q$5,D$3*$Z$5+$AA$5-1)^0.5)+((2416/(D698+459.6)-2.013)*LOG10(INDEX(FX_Input,Q$5,D$3*$Z$5+$AA$5)))-(8742/(D698+459.6))+15.64),EXP(INDEX(Antoines,MATCH(D688,Antoine_Name,0),2)-INDEX(Antoines,MATCH(D688,Antoine_Name,0),3)/(D698+459.6))))),0)</f>
        <v>4.739577185808354E-3</v>
      </c>
      <c r="E709" cm="1">
        <f t="array" ref="E709">IFERROR(IF(E689="Chemical",(10^(INDEX(Antoines,MATCH(E688,Antoine_Name,0),2)-INDEX(Antoines,MATCH(E688,Antoine_Name,0),3)/(INDEX(Antoines,MATCH(E688,Antoine_Name,0),4)+(E698-32)*5/9)))*14.7/760,IF(E689="Crude Oil",EXP((2799/(E698+459.6)-2.227)*LOG10(INDEX(FX_Input,R$5,E$3*$Z$5+$AA$5))-(7261/(E698+459.6))+12.82),IF(E689="Refined Petroleum Stock",EXP((0.7553-(413/(E698+459.6)))*(INDEX(FX_Input,R$5,E$3*$Z$5+$AA$5-1)^0.5)*LOG10(INDEX(FX_Input,R$5,E$3*$Z$5+$AA$5))-(1.854-(1042/(E698+459.6)))*(INDEX(FX_Input,R$5,E$3*$Z$5+$AA$5-1)^0.5)+((2416/(E698+459.6)-2.013)*LOG10(INDEX(FX_Input,R$5,E$3*$Z$5+$AA$5)))-(8742/(E698+459.6))+15.64),EXP(INDEX(Antoines,MATCH(E688,Antoine_Name,0),2)-INDEX(Antoines,MATCH(E688,Antoine_Name,0),3)/(E698+459.6))))),0)</f>
        <v>4.8748667780818778E-3</v>
      </c>
      <c r="F709" cm="1">
        <f t="array" ref="F709">IFERROR(IF(F689="Chemical",(10^(INDEX(Antoines,MATCH(F688,Antoine_Name,0),2)-INDEX(Antoines,MATCH(F688,Antoine_Name,0),3)/(INDEX(Antoines,MATCH(F688,Antoine_Name,0),4)+(F698-32)*5/9)))*14.7/760,IF(F689="Crude Oil",EXP((2799/(F698+459.6)-2.227)*LOG10(INDEX(FX_Input,S$5,F$3*$Z$5+$AA$5))-(7261/(F698+459.6))+12.82),IF(F689="Refined Petroleum Stock",EXP((0.7553-(413/(F698+459.6)))*(INDEX(FX_Input,S$5,F$3*$Z$5+$AA$5-1)^0.5)*LOG10(INDEX(FX_Input,S$5,F$3*$Z$5+$AA$5))-(1.854-(1042/(F698+459.6)))*(INDEX(FX_Input,S$5,F$3*$Z$5+$AA$5-1)^0.5)+((2416/(F698+459.6)-2.013)*LOG10(INDEX(FX_Input,S$5,F$3*$Z$5+$AA$5)))-(8742/(F698+459.6))+15.64),EXP(INDEX(Antoines,MATCH(F688,Antoine_Name,0),2)-INDEX(Antoines,MATCH(F688,Antoine_Name,0),3)/(F698+459.6))))),0)</f>
        <v>5.119885034186122E-3</v>
      </c>
      <c r="G709" cm="1">
        <f t="array" ref="G709">IFERROR(IF(G689="Chemical",(10^(INDEX(Antoines,MATCH(G688,Antoine_Name,0),2)-INDEX(Antoines,MATCH(G688,Antoine_Name,0),3)/(INDEX(Antoines,MATCH(G688,Antoine_Name,0),4)+(G698-32)*5/9)))*14.7/760,IF(G689="Crude Oil",EXP((2799/(G698+459.6)-2.227)*LOG10(INDEX(FX_Input,T$5,G$3*$Z$5+$AA$5))-(7261/(G698+459.6))+12.82),IF(G689="Refined Petroleum Stock",EXP((0.7553-(413/(G698+459.6)))*(INDEX(FX_Input,T$5,G$3*$Z$5+$AA$5-1)^0.5)*LOG10(INDEX(FX_Input,T$5,G$3*$Z$5+$AA$5))-(1.854-(1042/(G698+459.6)))*(INDEX(FX_Input,T$5,G$3*$Z$5+$AA$5-1)^0.5)+((2416/(G698+459.6)-2.013)*LOG10(INDEX(FX_Input,T$5,G$3*$Z$5+$AA$5)))-(8742/(G698+459.6))+15.64),EXP(INDEX(Antoines,MATCH(G688,Antoine_Name,0),2)-INDEX(Antoines,MATCH(G688,Antoine_Name,0),3)/(G698+459.6))))),0)</f>
        <v>5.5846958573521795E-3</v>
      </c>
      <c r="H709" cm="1">
        <f t="array" ref="H709">IFERROR(IF(H689="Chemical",(10^(INDEX(Antoines,MATCH(H688,Antoine_Name,0),2)-INDEX(Antoines,MATCH(H688,Antoine_Name,0),3)/(INDEX(Antoines,MATCH(H688,Antoine_Name,0),4)+(H698-32)*5/9)))*14.7/760,IF(H689="Crude Oil",EXP((2799/(H698+459.6)-2.227)*LOG10(INDEX(FX_Input,U$5,H$3*$Z$5+$AA$5))-(7261/(H698+459.6))+12.82),IF(H689="Refined Petroleum Stock",EXP((0.7553-(413/(H698+459.6)))*(INDEX(FX_Input,U$5,H$3*$Z$5+$AA$5-1)^0.5)*LOG10(INDEX(FX_Input,U$5,H$3*$Z$5+$AA$5))-(1.854-(1042/(H698+459.6)))*(INDEX(FX_Input,U$5,H$3*$Z$5+$AA$5-1)^0.5)+((2416/(H698+459.6)-2.013)*LOG10(INDEX(FX_Input,U$5,H$3*$Z$5+$AA$5)))-(8742/(H698+459.6))+15.64),EXP(INDEX(Antoines,MATCH(H688,Antoine_Name,0),2)-INDEX(Antoines,MATCH(H688,Antoine_Name,0),3)/(H698+459.6))))),0)</f>
        <v>6.5274070972739821E-3</v>
      </c>
      <c r="I709" cm="1">
        <f t="array" ref="I709">IFERROR(IF(I689="Chemical",(10^(INDEX(Antoines,MATCH(I688,Antoine_Name,0),2)-INDEX(Antoines,MATCH(I688,Antoine_Name,0),3)/(INDEX(Antoines,MATCH(I688,Antoine_Name,0),4)+(I698-32)*5/9)))*14.7/760,IF(I689="Crude Oil",EXP((2799/(I698+459.6)-2.227)*LOG10(INDEX(FX_Input,V$5,I$3*$Z$5+$AA$5))-(7261/(I698+459.6))+12.82),IF(I689="Refined Petroleum Stock",EXP((0.7553-(413/(I698+459.6)))*(INDEX(FX_Input,V$5,I$3*$Z$5+$AA$5-1)^0.5)*LOG10(INDEX(FX_Input,V$5,I$3*$Z$5+$AA$5))-(1.854-(1042/(I698+459.6)))*(INDEX(FX_Input,V$5,I$3*$Z$5+$AA$5-1)^0.5)+((2416/(I698+459.6)-2.013)*LOG10(INDEX(FX_Input,V$5,I$3*$Z$5+$AA$5)))-(8742/(I698+459.6))+15.64),EXP(INDEX(Antoines,MATCH(I688,Antoine_Name,0),2)-INDEX(Antoines,MATCH(I688,Antoine_Name,0),3)/(I698+459.6))))),0)</f>
        <v>7.4199539958878279E-3</v>
      </c>
      <c r="J709" cm="1">
        <f t="array" ref="J709">IFERROR(IF(J689="Chemical",(10^(INDEX(Antoines,MATCH(J688,Antoine_Name,0),2)-INDEX(Antoines,MATCH(J688,Antoine_Name,0),3)/(INDEX(Antoines,MATCH(J688,Antoine_Name,0),4)+(J698-32)*5/9)))*14.7/760,IF(J689="Crude Oil",EXP((2799/(J698+459.6)-2.227)*LOG10(INDEX(FX_Input,W$5,J$3*$Z$5+$AA$5))-(7261/(J698+459.6))+12.82),IF(J689="Refined Petroleum Stock",EXP((0.7553-(413/(J698+459.6)))*(INDEX(FX_Input,W$5,J$3*$Z$5+$AA$5-1)^0.5)*LOG10(INDEX(FX_Input,W$5,J$3*$Z$5+$AA$5))-(1.854-(1042/(J698+459.6)))*(INDEX(FX_Input,W$5,J$3*$Z$5+$AA$5-1)^0.5)+((2416/(J698+459.6)-2.013)*LOG10(INDEX(FX_Input,W$5,J$3*$Z$5+$AA$5)))-(8742/(J698+459.6))+15.64),EXP(INDEX(Antoines,MATCH(J688,Antoine_Name,0),2)-INDEX(Antoines,MATCH(J688,Antoine_Name,0),3)/(J698+459.6))))),0)</f>
        <v>8.3358107202842254E-3</v>
      </c>
      <c r="K709" cm="1">
        <f t="array" ref="K709">IFERROR(IF(K689="Chemical",(10^(INDEX(Antoines,MATCH(K688,Antoine_Name,0),2)-INDEX(Antoines,MATCH(K688,Antoine_Name,0),3)/(INDEX(Antoines,MATCH(K688,Antoine_Name,0),4)+(K698-32)*5/9)))*14.7/760,IF(K689="Crude Oil",EXP((2799/(K698+459.6)-2.227)*LOG10(INDEX(FX_Input,X$5,K$3*$Z$5+$AA$5))-(7261/(K698+459.6))+12.82),IF(K689="Refined Petroleum Stock",EXP((0.7553-(413/(K698+459.6)))*(INDEX(FX_Input,X$5,K$3*$Z$5+$AA$5-1)^0.5)*LOG10(INDEX(FX_Input,X$5,K$3*$Z$5+$AA$5))-(1.854-(1042/(K698+459.6)))*(INDEX(FX_Input,X$5,K$3*$Z$5+$AA$5-1)^0.5)+((2416/(K698+459.6)-2.013)*LOG10(INDEX(FX_Input,X$5,K$3*$Z$5+$AA$5)))-(8742/(K698+459.6))+15.64),EXP(INDEX(Antoines,MATCH(K688,Antoine_Name,0),2)-INDEX(Antoines,MATCH(K688,Antoine_Name,0),3)/(K698+459.6))))),0)</f>
        <v>8.4605262729351115E-3</v>
      </c>
      <c r="L709" cm="1">
        <f t="array" ref="L709">IFERROR(IF(L689="Chemical",(10^(INDEX(Antoines,MATCH(L688,Antoine_Name,0),2)-INDEX(Antoines,MATCH(L688,Antoine_Name,0),3)/(INDEX(Antoines,MATCH(L688,Antoine_Name,0),4)+(L698-32)*5/9)))*14.7/760,IF(L689="Crude Oil",EXP((2799/(L698+459.6)-2.227)*LOG10(INDEX(FX_Input,Y$5,L$3*$Z$5+$AA$5))-(7261/(L698+459.6))+12.82),IF(L689="Refined Petroleum Stock",EXP((0.7553-(413/(L698+459.6)))*(INDEX(FX_Input,Y$5,L$3*$Z$5+$AA$5-1)^0.5)*LOG10(INDEX(FX_Input,Y$5,L$3*$Z$5+$AA$5))-(1.854-(1042/(L698+459.6)))*(INDEX(FX_Input,Y$5,L$3*$Z$5+$AA$5-1)^0.5)+((2416/(L698+459.6)-2.013)*LOG10(INDEX(FX_Input,Y$5,L$3*$Z$5+$AA$5)))-(8742/(L698+459.6))+15.64),EXP(INDEX(Antoines,MATCH(L688,Antoine_Name,0),2)-INDEX(Antoines,MATCH(L688,Antoine_Name,0),3)/(L698+459.6))))),0)</f>
        <v>7.8399882233967533E-3</v>
      </c>
      <c r="M709" cm="1">
        <f t="array" ref="M709">IFERROR(IF(M689="Chemical",(10^(INDEX(Antoines,MATCH(M688,Antoine_Name,0),2)-INDEX(Antoines,MATCH(M688,Antoine_Name,0),3)/(INDEX(Antoines,MATCH(M688,Antoine_Name,0),4)+(M698-32)*5/9)))*14.7/760,IF(M689="Crude Oil",EXP((2799/(M698+459.6)-2.227)*LOG10(INDEX(FX_Input,Z$5,M$3*$Z$5+$AA$5))-(7261/(M698+459.6))+12.82),IF(M689="Refined Petroleum Stock",EXP((0.7553-(413/(M698+459.6)))*(INDEX(FX_Input,Z$5,M$3*$Z$5+$AA$5-1)^0.5)*LOG10(INDEX(FX_Input,Z$5,M$3*$Z$5+$AA$5))-(1.854-(1042/(M698+459.6)))*(INDEX(FX_Input,Z$5,M$3*$Z$5+$AA$5-1)^0.5)+((2416/(M698+459.6)-2.013)*LOG10(INDEX(FX_Input,Z$5,M$3*$Z$5+$AA$5)))-(8742/(M698+459.6))+15.64),EXP(INDEX(Antoines,MATCH(M688,Antoine_Name,0),2)-INDEX(Antoines,MATCH(M688,Antoine_Name,0),3)/(M698+459.6))))),0)</f>
        <v>6.4173462075160911E-3</v>
      </c>
      <c r="N709" cm="1">
        <f t="array" ref="N709">IFERROR(IF(N689="Chemical",(10^(INDEX(Antoines,MATCH(N688,Antoine_Name,0),2)-INDEX(Antoines,MATCH(N688,Antoine_Name,0),3)/(INDEX(Antoines,MATCH(N688,Antoine_Name,0),4)+(N698-32)*5/9)))*14.7/760,IF(N689="Crude Oil",EXP((2799/(N698+459.6)-2.227)*LOG10(INDEX(FX_Input,AA$5,N$3*$Z$5+$AA$5))-(7261/(N698+459.6))+12.82),IF(N689="Refined Petroleum Stock",EXP((0.7553-(413/(N698+459.6)))*(INDEX(FX_Input,AA$5,N$3*$Z$5+$AA$5-1)^0.5)*LOG10(INDEX(FX_Input,AA$5,N$3*$Z$5+$AA$5))-(1.854-(1042/(N698+459.6)))*(INDEX(FX_Input,AA$5,N$3*$Z$5+$AA$5-1)^0.5)+((2416/(N698+459.6)-2.013)*LOG10(INDEX(FX_Input,AA$5,N$3*$Z$5+$AA$5)))-(8742/(N698+459.6))+15.64),EXP(INDEX(Antoines,MATCH(N688,Antoine_Name,0),2)-INDEX(Antoines,MATCH(N688,Antoine_Name,0),3)/(N698+459.6))))),0)</f>
        <v>5.3015226887581056E-3</v>
      </c>
      <c r="O709" cm="1">
        <f t="array" ref="O709">IFERROR(IF(O689="Chemical",(10^(INDEX(Antoines,MATCH(O688,Antoine_Name,0),2)-INDEX(Antoines,MATCH(O688,Antoine_Name,0),3)/(INDEX(Antoines,MATCH(O688,Antoine_Name,0),4)+(O698-32)*5/9)))*14.7/760,IF(O689="Crude Oil",EXP((2799/(O698+459.6)-2.227)*LOG10(INDEX(FX_Input,AB$5,O$3*$Z$5+$AA$5))-(7261/(O698+459.6))+12.82),IF(O689="Refined Petroleum Stock",EXP((0.7553-(413/(O698+459.6)))*(INDEX(FX_Input,AB$5,O$3*$Z$5+$AA$5-1)^0.5)*LOG10(INDEX(FX_Input,AB$5,O$3*$Z$5+$AA$5))-(1.854-(1042/(O698+459.6)))*(INDEX(FX_Input,AB$5,O$3*$Z$5+$AA$5-1)^0.5)+((2416/(O698+459.6)-2.013)*LOG10(INDEX(FX_Input,AB$5,O$3*$Z$5+$AA$5)))-(8742/(O698+459.6))+15.64),EXP(INDEX(Antoines,MATCH(O688,Antoine_Name,0),2)-INDEX(Antoines,MATCH(O688,Antoine_Name,0),3)/(O698+459.6))))),0)</f>
        <v>4.68970903600947E-3</v>
      </c>
    </row>
    <row r="710" spans="1:32" ht="17.149999999999999" x14ac:dyDescent="0.55000000000000004">
      <c r="B710" t="str">
        <f t="shared" si="2452"/>
        <v>Portland</v>
      </c>
      <c r="C710" t="s">
        <v>1389</v>
      </c>
      <c r="D710">
        <f>D709*D692</f>
        <v>4.739577185808354E-3</v>
      </c>
      <c r="E710">
        <f t="shared" ref="E710" si="2519">E709*E692</f>
        <v>4.8748667780818778E-3</v>
      </c>
      <c r="F710">
        <f t="shared" ref="F710" si="2520">F709*F692</f>
        <v>5.119885034186122E-3</v>
      </c>
      <c r="G710">
        <f t="shared" ref="G710" si="2521">G709*G692</f>
        <v>5.5846958573521795E-3</v>
      </c>
      <c r="H710">
        <f t="shared" ref="H710" si="2522">H709*H692</f>
        <v>6.5274070972739821E-3</v>
      </c>
      <c r="I710">
        <f t="shared" ref="I710" si="2523">I709*I692</f>
        <v>7.4199539958878279E-3</v>
      </c>
      <c r="J710">
        <f t="shared" ref="J710" si="2524">J709*J692</f>
        <v>8.3358107202842254E-3</v>
      </c>
      <c r="K710">
        <f t="shared" ref="K710" si="2525">K709*K692</f>
        <v>8.4605262729351115E-3</v>
      </c>
      <c r="L710">
        <f t="shared" ref="L710" si="2526">L709*L692</f>
        <v>7.8399882233967533E-3</v>
      </c>
      <c r="M710">
        <f t="shared" ref="M710" si="2527">M709*M692</f>
        <v>6.4173462075160911E-3</v>
      </c>
      <c r="N710">
        <f t="shared" ref="N710" si="2528">N709*N692</f>
        <v>5.3015226887581056E-3</v>
      </c>
      <c r="O710">
        <f t="shared" ref="O710" si="2529">O709*O692</f>
        <v>4.68970903600947E-3</v>
      </c>
    </row>
    <row r="711" spans="1:32" ht="17.149999999999999" x14ac:dyDescent="0.55000000000000004">
      <c r="B711" t="str">
        <f t="shared" si="2452"/>
        <v>Portland</v>
      </c>
      <c r="C711" t="s">
        <v>1390</v>
      </c>
      <c r="D711" cm="1">
        <f t="array" ref="D711">IFERROR(IF(D691="Chemical",(10^(INDEX(Antoines,MATCH(D690,Antoine_Name,0),2)-INDEX(Antoines,MATCH(D690,Antoine_Name,0),3)/(INDEX(Antoines,MATCH(D690,Antoine_Name,0),4)+(D698-32)*5/9)))*14.7/760,IF(D691="Crude Oil",EXP((2799/(D698+459.6)-2.227)*LOG10(INDEX(FX_Input,Q$5,D$3*$Z$5+$AA$5))-(7261/(D698+459.6))+12.82),IF(D691="Refined Petroleum Stock",EXP((0.7553-(413/(D698+459.6)))*(INDEX(FX_Input,Q$5,D$3*$Z$5+$AA$5-1)^0.5)*LOG10(INDEX(FX_Input,Q$5,D$3*$Z$5+$AA$5))-(1.854-(1042/(D698+459.6)))*(INDEX(FX_Input,Q$5,D$3*$Z$5+$AA$5-1)^0.5)+((2416/(D698+459.6)-2.013)*LOG10(INDEX(FX_Input,Q$5,D$3*$Z$5+$AA$5)))-(8742/(D698+459.6))+15.64),EXP(INDEX(Antoines,MATCH(D690,Antoine_Name,0),2)-INDEX(Antoines,MATCH(D690,Antoine_Name,0),3)/(D698+459.6))))),0)</f>
        <v>0</v>
      </c>
      <c r="E711" cm="1">
        <f t="array" ref="E711">IFERROR(IF(E691="Chemical",(10^(INDEX(Antoines,MATCH(E690,Antoine_Name,0),2)-INDEX(Antoines,MATCH(E690,Antoine_Name,0),3)/(INDEX(Antoines,MATCH(E690,Antoine_Name,0),4)+(E698-32)*5/9)))*14.7/760,IF(E691="Crude Oil",EXP((2799/(E698+459.6)-2.227)*LOG10(INDEX(FX_Input,R$5,E$3*$Z$5+$AA$5))-(7261/(E698+459.6))+12.82),IF(E691="Refined Petroleum Stock",EXP((0.7553-(413/(E698+459.6)))*(INDEX(FX_Input,R$5,E$3*$Z$5+$AA$5-1)^0.5)*LOG10(INDEX(FX_Input,R$5,E$3*$Z$5+$AA$5))-(1.854-(1042/(E698+459.6)))*(INDEX(FX_Input,R$5,E$3*$Z$5+$AA$5-1)^0.5)+((2416/(E698+459.6)-2.013)*LOG10(INDEX(FX_Input,R$5,E$3*$Z$5+$AA$5)))-(8742/(E698+459.6))+15.64),EXP(INDEX(Antoines,MATCH(E690,Antoine_Name,0),2)-INDEX(Antoines,MATCH(E690,Antoine_Name,0),3)/(E698+459.6))))),0)</f>
        <v>0</v>
      </c>
      <c r="F711" cm="1">
        <f t="array" ref="F711">IFERROR(IF(F691="Chemical",(10^(INDEX(Antoines,MATCH(F690,Antoine_Name,0),2)-INDEX(Antoines,MATCH(F690,Antoine_Name,0),3)/(INDEX(Antoines,MATCH(F690,Antoine_Name,0),4)+(F698-32)*5/9)))*14.7/760,IF(F691="Crude Oil",EXP((2799/(F698+459.6)-2.227)*LOG10(INDEX(FX_Input,S$5,F$3*$Z$5+$AA$5))-(7261/(F698+459.6))+12.82),IF(F691="Refined Petroleum Stock",EXP((0.7553-(413/(F698+459.6)))*(INDEX(FX_Input,S$5,F$3*$Z$5+$AA$5-1)^0.5)*LOG10(INDEX(FX_Input,S$5,F$3*$Z$5+$AA$5))-(1.854-(1042/(F698+459.6)))*(INDEX(FX_Input,S$5,F$3*$Z$5+$AA$5-1)^0.5)+((2416/(F698+459.6)-2.013)*LOG10(INDEX(FX_Input,S$5,F$3*$Z$5+$AA$5)))-(8742/(F698+459.6))+15.64),EXP(INDEX(Antoines,MATCH(F690,Antoine_Name,0),2)-INDEX(Antoines,MATCH(F690,Antoine_Name,0),3)/(F698+459.6))))),0)</f>
        <v>0</v>
      </c>
      <c r="G711" cm="1">
        <f t="array" ref="G711">IFERROR(IF(G691="Chemical",(10^(INDEX(Antoines,MATCH(G690,Antoine_Name,0),2)-INDEX(Antoines,MATCH(G690,Antoine_Name,0),3)/(INDEX(Antoines,MATCH(G690,Antoine_Name,0),4)+(G698-32)*5/9)))*14.7/760,IF(G691="Crude Oil",EXP((2799/(G698+459.6)-2.227)*LOG10(INDEX(FX_Input,T$5,G$3*$Z$5+$AA$5))-(7261/(G698+459.6))+12.82),IF(G691="Refined Petroleum Stock",EXP((0.7553-(413/(G698+459.6)))*(INDEX(FX_Input,T$5,G$3*$Z$5+$AA$5-1)^0.5)*LOG10(INDEX(FX_Input,T$5,G$3*$Z$5+$AA$5))-(1.854-(1042/(G698+459.6)))*(INDEX(FX_Input,T$5,G$3*$Z$5+$AA$5-1)^0.5)+((2416/(G698+459.6)-2.013)*LOG10(INDEX(FX_Input,T$5,G$3*$Z$5+$AA$5)))-(8742/(G698+459.6))+15.64),EXP(INDEX(Antoines,MATCH(G690,Antoine_Name,0),2)-INDEX(Antoines,MATCH(G690,Antoine_Name,0),3)/(G698+459.6))))),0)</f>
        <v>0</v>
      </c>
      <c r="H711" cm="1">
        <f t="array" ref="H711">IFERROR(IF(H691="Chemical",(10^(INDEX(Antoines,MATCH(H690,Antoine_Name,0),2)-INDEX(Antoines,MATCH(H690,Antoine_Name,0),3)/(INDEX(Antoines,MATCH(H690,Antoine_Name,0),4)+(H698-32)*5/9)))*14.7/760,IF(H691="Crude Oil",EXP((2799/(H698+459.6)-2.227)*LOG10(INDEX(FX_Input,U$5,H$3*$Z$5+$AA$5))-(7261/(H698+459.6))+12.82),IF(H691="Refined Petroleum Stock",EXP((0.7553-(413/(H698+459.6)))*(INDEX(FX_Input,U$5,H$3*$Z$5+$AA$5-1)^0.5)*LOG10(INDEX(FX_Input,U$5,H$3*$Z$5+$AA$5))-(1.854-(1042/(H698+459.6)))*(INDEX(FX_Input,U$5,H$3*$Z$5+$AA$5-1)^0.5)+((2416/(H698+459.6)-2.013)*LOG10(INDEX(FX_Input,U$5,H$3*$Z$5+$AA$5)))-(8742/(H698+459.6))+15.64),EXP(INDEX(Antoines,MATCH(H690,Antoine_Name,0),2)-INDEX(Antoines,MATCH(H690,Antoine_Name,0),3)/(H698+459.6))))),0)</f>
        <v>0</v>
      </c>
      <c r="I711" cm="1">
        <f t="array" ref="I711">IFERROR(IF(I691="Chemical",(10^(INDEX(Antoines,MATCH(I690,Antoine_Name,0),2)-INDEX(Antoines,MATCH(I690,Antoine_Name,0),3)/(INDEX(Antoines,MATCH(I690,Antoine_Name,0),4)+(I698-32)*5/9)))*14.7/760,IF(I691="Crude Oil",EXP((2799/(I698+459.6)-2.227)*LOG10(INDEX(FX_Input,V$5,I$3*$Z$5+$AA$5))-(7261/(I698+459.6))+12.82),IF(I691="Refined Petroleum Stock",EXP((0.7553-(413/(I698+459.6)))*(INDEX(FX_Input,V$5,I$3*$Z$5+$AA$5-1)^0.5)*LOG10(INDEX(FX_Input,V$5,I$3*$Z$5+$AA$5))-(1.854-(1042/(I698+459.6)))*(INDEX(FX_Input,V$5,I$3*$Z$5+$AA$5-1)^0.5)+((2416/(I698+459.6)-2.013)*LOG10(INDEX(FX_Input,V$5,I$3*$Z$5+$AA$5)))-(8742/(I698+459.6))+15.64),EXP(INDEX(Antoines,MATCH(I690,Antoine_Name,0),2)-INDEX(Antoines,MATCH(I690,Antoine_Name,0),3)/(I698+459.6))))),0)</f>
        <v>0</v>
      </c>
      <c r="J711" cm="1">
        <f t="array" ref="J711">IFERROR(IF(J691="Chemical",(10^(INDEX(Antoines,MATCH(J690,Antoine_Name,0),2)-INDEX(Antoines,MATCH(J690,Antoine_Name,0),3)/(INDEX(Antoines,MATCH(J690,Antoine_Name,0),4)+(J698-32)*5/9)))*14.7/760,IF(J691="Crude Oil",EXP((2799/(J698+459.6)-2.227)*LOG10(INDEX(FX_Input,W$5,J$3*$Z$5+$AA$5))-(7261/(J698+459.6))+12.82),IF(J691="Refined Petroleum Stock",EXP((0.7553-(413/(J698+459.6)))*(INDEX(FX_Input,W$5,J$3*$Z$5+$AA$5-1)^0.5)*LOG10(INDEX(FX_Input,W$5,J$3*$Z$5+$AA$5))-(1.854-(1042/(J698+459.6)))*(INDEX(FX_Input,W$5,J$3*$Z$5+$AA$5-1)^0.5)+((2416/(J698+459.6)-2.013)*LOG10(INDEX(FX_Input,W$5,J$3*$Z$5+$AA$5)))-(8742/(J698+459.6))+15.64),EXP(INDEX(Antoines,MATCH(J690,Antoine_Name,0),2)-INDEX(Antoines,MATCH(J690,Antoine_Name,0),3)/(J698+459.6))))),0)</f>
        <v>0</v>
      </c>
      <c r="K711" cm="1">
        <f t="array" ref="K711">IFERROR(IF(K691="Chemical",(10^(INDEX(Antoines,MATCH(K690,Antoine_Name,0),2)-INDEX(Antoines,MATCH(K690,Antoine_Name,0),3)/(INDEX(Antoines,MATCH(K690,Antoine_Name,0),4)+(K698-32)*5/9)))*14.7/760,IF(K691="Crude Oil",EXP((2799/(K698+459.6)-2.227)*LOG10(INDEX(FX_Input,X$5,K$3*$Z$5+$AA$5))-(7261/(K698+459.6))+12.82),IF(K691="Refined Petroleum Stock",EXP((0.7553-(413/(K698+459.6)))*(INDEX(FX_Input,X$5,K$3*$Z$5+$AA$5-1)^0.5)*LOG10(INDEX(FX_Input,X$5,K$3*$Z$5+$AA$5))-(1.854-(1042/(K698+459.6)))*(INDEX(FX_Input,X$5,K$3*$Z$5+$AA$5-1)^0.5)+((2416/(K698+459.6)-2.013)*LOG10(INDEX(FX_Input,X$5,K$3*$Z$5+$AA$5)))-(8742/(K698+459.6))+15.64),EXP(INDEX(Antoines,MATCH(K690,Antoine_Name,0),2)-INDEX(Antoines,MATCH(K690,Antoine_Name,0),3)/(K698+459.6))))),0)</f>
        <v>0</v>
      </c>
      <c r="L711" cm="1">
        <f t="array" ref="L711">IFERROR(IF(L691="Chemical",(10^(INDEX(Antoines,MATCH(L690,Antoine_Name,0),2)-INDEX(Antoines,MATCH(L690,Antoine_Name,0),3)/(INDEX(Antoines,MATCH(L690,Antoine_Name,0),4)+(L698-32)*5/9)))*14.7/760,IF(L691="Crude Oil",EXP((2799/(L698+459.6)-2.227)*LOG10(INDEX(FX_Input,Y$5,L$3*$Z$5+$AA$5))-(7261/(L698+459.6))+12.82),IF(L691="Refined Petroleum Stock",EXP((0.7553-(413/(L698+459.6)))*(INDEX(FX_Input,Y$5,L$3*$Z$5+$AA$5-1)^0.5)*LOG10(INDEX(FX_Input,Y$5,L$3*$Z$5+$AA$5))-(1.854-(1042/(L698+459.6)))*(INDEX(FX_Input,Y$5,L$3*$Z$5+$AA$5-1)^0.5)+((2416/(L698+459.6)-2.013)*LOG10(INDEX(FX_Input,Y$5,L$3*$Z$5+$AA$5)))-(8742/(L698+459.6))+15.64),EXP(INDEX(Antoines,MATCH(L690,Antoine_Name,0),2)-INDEX(Antoines,MATCH(L690,Antoine_Name,0),3)/(L698+459.6))))),0)</f>
        <v>0</v>
      </c>
      <c r="M711" cm="1">
        <f t="array" ref="M711">IFERROR(IF(M691="Chemical",(10^(INDEX(Antoines,MATCH(M690,Antoine_Name,0),2)-INDEX(Antoines,MATCH(M690,Antoine_Name,0),3)/(INDEX(Antoines,MATCH(M690,Antoine_Name,0),4)+(M698-32)*5/9)))*14.7/760,IF(M691="Crude Oil",EXP((2799/(M698+459.6)-2.227)*LOG10(INDEX(FX_Input,Z$5,M$3*$Z$5+$AA$5))-(7261/(M698+459.6))+12.82),IF(M691="Refined Petroleum Stock",EXP((0.7553-(413/(M698+459.6)))*(INDEX(FX_Input,Z$5,M$3*$Z$5+$AA$5-1)^0.5)*LOG10(INDEX(FX_Input,Z$5,M$3*$Z$5+$AA$5))-(1.854-(1042/(M698+459.6)))*(INDEX(FX_Input,Z$5,M$3*$Z$5+$AA$5-1)^0.5)+((2416/(M698+459.6)-2.013)*LOG10(INDEX(FX_Input,Z$5,M$3*$Z$5+$AA$5)))-(8742/(M698+459.6))+15.64),EXP(INDEX(Antoines,MATCH(M690,Antoine_Name,0),2)-INDEX(Antoines,MATCH(M690,Antoine_Name,0),3)/(M698+459.6))))),0)</f>
        <v>0</v>
      </c>
      <c r="N711" cm="1">
        <f t="array" ref="N711">IFERROR(IF(N691="Chemical",(10^(INDEX(Antoines,MATCH(N690,Antoine_Name,0),2)-INDEX(Antoines,MATCH(N690,Antoine_Name,0),3)/(INDEX(Antoines,MATCH(N690,Antoine_Name,0),4)+(N698-32)*5/9)))*14.7/760,IF(N691="Crude Oil",EXP((2799/(N698+459.6)-2.227)*LOG10(INDEX(FX_Input,AA$5,N$3*$Z$5+$AA$5))-(7261/(N698+459.6))+12.82),IF(N691="Refined Petroleum Stock",EXP((0.7553-(413/(N698+459.6)))*(INDEX(FX_Input,AA$5,N$3*$Z$5+$AA$5-1)^0.5)*LOG10(INDEX(FX_Input,AA$5,N$3*$Z$5+$AA$5))-(1.854-(1042/(N698+459.6)))*(INDEX(FX_Input,AA$5,N$3*$Z$5+$AA$5-1)^0.5)+((2416/(N698+459.6)-2.013)*LOG10(INDEX(FX_Input,AA$5,N$3*$Z$5+$AA$5)))-(8742/(N698+459.6))+15.64),EXP(INDEX(Antoines,MATCH(N690,Antoine_Name,0),2)-INDEX(Antoines,MATCH(N690,Antoine_Name,0),3)/(N698+459.6))))),0)</f>
        <v>0</v>
      </c>
      <c r="O711" cm="1">
        <f t="array" ref="O711">IFERROR(IF(O691="Chemical",(10^(INDEX(Antoines,MATCH(O690,Antoine_Name,0),2)-INDEX(Antoines,MATCH(O690,Antoine_Name,0),3)/(INDEX(Antoines,MATCH(O690,Antoine_Name,0),4)+(O698-32)*5/9)))*14.7/760,IF(O691="Crude Oil",EXP((2799/(O698+459.6)-2.227)*LOG10(INDEX(FX_Input,AB$5,O$3*$Z$5+$AA$5))-(7261/(O698+459.6))+12.82),IF(O691="Refined Petroleum Stock",EXP((0.7553-(413/(O698+459.6)))*(INDEX(FX_Input,AB$5,O$3*$Z$5+$AA$5-1)^0.5)*LOG10(INDEX(FX_Input,AB$5,O$3*$Z$5+$AA$5))-(1.854-(1042/(O698+459.6)))*(INDEX(FX_Input,AB$5,O$3*$Z$5+$AA$5-1)^0.5)+((2416/(O698+459.6)-2.013)*LOG10(INDEX(FX_Input,AB$5,O$3*$Z$5+$AA$5)))-(8742/(O698+459.6))+15.64),EXP(INDEX(Antoines,MATCH(O690,Antoine_Name,0),2)-INDEX(Antoines,MATCH(O690,Antoine_Name,0),3)/(O698+459.6))))),0)</f>
        <v>0</v>
      </c>
    </row>
    <row r="712" spans="1:32" ht="17.149999999999999" x14ac:dyDescent="0.55000000000000004">
      <c r="B712" t="str">
        <f t="shared" si="2452"/>
        <v>Portland</v>
      </c>
      <c r="C712" t="s">
        <v>1391</v>
      </c>
      <c r="D712">
        <f>D711*D694</f>
        <v>0</v>
      </c>
      <c r="E712">
        <f t="shared" ref="E712" si="2530">E711*E694</f>
        <v>0</v>
      </c>
      <c r="F712">
        <f t="shared" ref="F712" si="2531">F711*F694</f>
        <v>0</v>
      </c>
      <c r="G712">
        <f t="shared" ref="G712" si="2532">G711*G694</f>
        <v>0</v>
      </c>
      <c r="H712">
        <f t="shared" ref="H712" si="2533">H711*H694</f>
        <v>0</v>
      </c>
      <c r="I712">
        <f t="shared" ref="I712" si="2534">I711*I694</f>
        <v>0</v>
      </c>
      <c r="J712">
        <f t="shared" ref="J712" si="2535">J711*J694</f>
        <v>0</v>
      </c>
      <c r="K712">
        <f t="shared" ref="K712" si="2536">K711*K694</f>
        <v>0</v>
      </c>
      <c r="L712">
        <f t="shared" ref="L712" si="2537">L711*L694</f>
        <v>0</v>
      </c>
      <c r="M712">
        <f t="shared" ref="M712" si="2538">M711*M694</f>
        <v>0</v>
      </c>
      <c r="N712">
        <f t="shared" ref="N712" si="2539">N711*N694</f>
        <v>0</v>
      </c>
      <c r="O712">
        <f t="shared" ref="O712" si="2540">O711*O694</f>
        <v>0</v>
      </c>
    </row>
    <row r="713" spans="1:32" ht="17.149999999999999" x14ac:dyDescent="0.55000000000000004">
      <c r="B713" t="str">
        <f t="shared" si="2452"/>
        <v>Portland</v>
      </c>
      <c r="C713" t="s">
        <v>1392</v>
      </c>
      <c r="D713">
        <f>D710+D712</f>
        <v>4.739577185808354E-3</v>
      </c>
      <c r="E713">
        <f t="shared" ref="E713" si="2541">E710+E712</f>
        <v>4.8748667780818778E-3</v>
      </c>
      <c r="F713">
        <f t="shared" ref="F713" si="2542">F710+F712</f>
        <v>5.119885034186122E-3</v>
      </c>
      <c r="G713">
        <f t="shared" ref="G713" si="2543">G710+G712</f>
        <v>5.5846958573521795E-3</v>
      </c>
      <c r="H713">
        <f t="shared" ref="H713" si="2544">H710+H712</f>
        <v>6.5274070972739821E-3</v>
      </c>
      <c r="I713">
        <f t="shared" ref="I713" si="2545">I710+I712</f>
        <v>7.4199539958878279E-3</v>
      </c>
      <c r="J713">
        <f t="shared" ref="J713" si="2546">J710+J712</f>
        <v>8.3358107202842254E-3</v>
      </c>
      <c r="K713">
        <f t="shared" ref="K713" si="2547">K710+K712</f>
        <v>8.4605262729351115E-3</v>
      </c>
      <c r="L713">
        <f t="shared" ref="L713" si="2548">L710+L712</f>
        <v>7.8399882233967533E-3</v>
      </c>
      <c r="M713">
        <f t="shared" ref="M713" si="2549">M710+M712</f>
        <v>6.4173462075160911E-3</v>
      </c>
      <c r="N713">
        <f t="shared" ref="N713" si="2550">N710+N712</f>
        <v>5.3015226887581056E-3</v>
      </c>
      <c r="O713">
        <f t="shared" ref="O713" si="2551">O710+O712</f>
        <v>4.68970903600947E-3</v>
      </c>
    </row>
    <row r="714" spans="1:32" ht="17.149999999999999" x14ac:dyDescent="0.55000000000000004">
      <c r="B714" t="str">
        <f>B708</f>
        <v>Portland</v>
      </c>
      <c r="C714" t="s">
        <v>584</v>
      </c>
      <c r="D714">
        <f>D710/D713</f>
        <v>1</v>
      </c>
      <c r="E714">
        <f t="shared" ref="E714" si="2552">E710/E713</f>
        <v>1</v>
      </c>
      <c r="F714">
        <f t="shared" ref="F714" si="2553">F710/F713</f>
        <v>1</v>
      </c>
      <c r="G714">
        <f t="shared" ref="G714" si="2554">G710/G713</f>
        <v>1</v>
      </c>
      <c r="H714">
        <f t="shared" ref="H714" si="2555">H710/H713</f>
        <v>1</v>
      </c>
      <c r="I714">
        <f t="shared" ref="I714" si="2556">I710/I713</f>
        <v>1</v>
      </c>
      <c r="J714">
        <f t="shared" ref="J714" si="2557">J710/J713</f>
        <v>1</v>
      </c>
      <c r="K714">
        <f t="shared" ref="K714" si="2558">K710/K713</f>
        <v>1</v>
      </c>
      <c r="L714">
        <f t="shared" ref="L714" si="2559">L710/L713</f>
        <v>1</v>
      </c>
      <c r="M714">
        <f t="shared" ref="M714" si="2560">M710/M713</f>
        <v>1</v>
      </c>
      <c r="N714">
        <f t="shared" ref="N714" si="2561">N710/N713</f>
        <v>1</v>
      </c>
      <c r="O714">
        <f t="shared" ref="O714" si="2562">O710/O713</f>
        <v>1</v>
      </c>
    </row>
    <row r="715" spans="1:32" ht="17.149999999999999" x14ac:dyDescent="0.55000000000000004">
      <c r="B715" t="str">
        <f>B709</f>
        <v>Portland</v>
      </c>
      <c r="C715" t="s">
        <v>585</v>
      </c>
      <c r="D715">
        <f t="shared" ref="D715:O715" si="2563">INDEX(Phys_Prop,MATCH(D688,Chem_List,0),3)</f>
        <v>130</v>
      </c>
      <c r="E715">
        <f t="shared" si="2563"/>
        <v>130</v>
      </c>
      <c r="F715">
        <f t="shared" si="2563"/>
        <v>130</v>
      </c>
      <c r="G715">
        <f t="shared" si="2563"/>
        <v>130</v>
      </c>
      <c r="H715">
        <f t="shared" si="2563"/>
        <v>130</v>
      </c>
      <c r="I715">
        <f t="shared" si="2563"/>
        <v>130</v>
      </c>
      <c r="J715">
        <f t="shared" si="2563"/>
        <v>130</v>
      </c>
      <c r="K715">
        <f t="shared" si="2563"/>
        <v>130</v>
      </c>
      <c r="L715">
        <f t="shared" si="2563"/>
        <v>130</v>
      </c>
      <c r="M715">
        <f t="shared" si="2563"/>
        <v>130</v>
      </c>
      <c r="N715">
        <f t="shared" si="2563"/>
        <v>130</v>
      </c>
      <c r="O715">
        <f t="shared" si="2563"/>
        <v>130</v>
      </c>
    </row>
    <row r="716" spans="1:32" ht="17.149999999999999" x14ac:dyDescent="0.55000000000000004">
      <c r="B716" t="str">
        <f>B715</f>
        <v>Portland</v>
      </c>
      <c r="C716" t="s">
        <v>586</v>
      </c>
      <c r="D716">
        <f>D712/D713</f>
        <v>0</v>
      </c>
      <c r="E716">
        <f t="shared" ref="E716:O716" si="2564">E712/E713</f>
        <v>0</v>
      </c>
      <c r="F716">
        <f t="shared" si="2564"/>
        <v>0</v>
      </c>
      <c r="G716">
        <f t="shared" si="2564"/>
        <v>0</v>
      </c>
      <c r="H716">
        <f t="shared" si="2564"/>
        <v>0</v>
      </c>
      <c r="I716">
        <f t="shared" si="2564"/>
        <v>0</v>
      </c>
      <c r="J716">
        <f t="shared" si="2564"/>
        <v>0</v>
      </c>
      <c r="K716">
        <f t="shared" si="2564"/>
        <v>0</v>
      </c>
      <c r="L716">
        <f t="shared" si="2564"/>
        <v>0</v>
      </c>
      <c r="M716">
        <f t="shared" si="2564"/>
        <v>0</v>
      </c>
      <c r="N716">
        <f t="shared" si="2564"/>
        <v>0</v>
      </c>
      <c r="O716">
        <f t="shared" si="2564"/>
        <v>0</v>
      </c>
    </row>
    <row r="717" spans="1:32" ht="17.149999999999999" x14ac:dyDescent="0.55000000000000004">
      <c r="B717" t="str">
        <f t="shared" si="2452"/>
        <v>Portland</v>
      </c>
      <c r="C717" t="s">
        <v>587</v>
      </c>
      <c r="D717">
        <f t="shared" ref="D717:O717" si="2565">IFERROR(INDEX(Phys_Prop,MATCH(D690,Chem_List,0),3),0)</f>
        <v>0</v>
      </c>
      <c r="E717">
        <f t="shared" si="2565"/>
        <v>0</v>
      </c>
      <c r="F717">
        <f t="shared" si="2565"/>
        <v>0</v>
      </c>
      <c r="G717">
        <f t="shared" si="2565"/>
        <v>0</v>
      </c>
      <c r="H717">
        <f t="shared" si="2565"/>
        <v>0</v>
      </c>
      <c r="I717">
        <f t="shared" si="2565"/>
        <v>0</v>
      </c>
      <c r="J717">
        <f t="shared" si="2565"/>
        <v>0</v>
      </c>
      <c r="K717">
        <f t="shared" si="2565"/>
        <v>0</v>
      </c>
      <c r="L717">
        <f t="shared" si="2565"/>
        <v>0</v>
      </c>
      <c r="M717">
        <f t="shared" si="2565"/>
        <v>0</v>
      </c>
      <c r="N717">
        <f t="shared" si="2565"/>
        <v>0</v>
      </c>
      <c r="O717">
        <f t="shared" si="2565"/>
        <v>0</v>
      </c>
    </row>
    <row r="718" spans="1:32" ht="17.149999999999999" x14ac:dyDescent="0.55000000000000004">
      <c r="A718" s="11"/>
      <c r="B718" s="11" t="str">
        <f t="shared" si="2452"/>
        <v>Portland</v>
      </c>
      <c r="C718" s="11" t="s">
        <v>588</v>
      </c>
      <c r="D718" s="11">
        <f>IFERROR(D714*D715+D716*D717,0)</f>
        <v>130</v>
      </c>
      <c r="E718" s="11">
        <f t="shared" ref="E718" si="2566">IFERROR(E714*E715+E716*E717,0)</f>
        <v>130</v>
      </c>
      <c r="F718" s="11">
        <f t="shared" ref="F718" si="2567">IFERROR(F714*F715+F716*F717,0)</f>
        <v>130</v>
      </c>
      <c r="G718" s="11">
        <f t="shared" ref="G718" si="2568">IFERROR(G714*G715+G716*G717,0)</f>
        <v>130</v>
      </c>
      <c r="H718" s="11">
        <f t="shared" ref="H718" si="2569">IFERROR(H714*H715+H716*H717,0)</f>
        <v>130</v>
      </c>
      <c r="I718" s="11">
        <f t="shared" ref="I718" si="2570">IFERROR(I714*I715+I716*I717,0)</f>
        <v>130</v>
      </c>
      <c r="J718" s="11">
        <f t="shared" ref="J718" si="2571">IFERROR(J714*J715+J716*J717,0)</f>
        <v>130</v>
      </c>
      <c r="K718" s="11">
        <f t="shared" ref="K718" si="2572">IFERROR(K714*K715+K716*K717,0)</f>
        <v>130</v>
      </c>
      <c r="L718" s="11">
        <f t="shared" ref="L718" si="2573">IFERROR(L714*L715+L716*L717,0)</f>
        <v>130</v>
      </c>
      <c r="M718" s="11">
        <f t="shared" ref="M718" si="2574">IFERROR(M714*M715+M716*M717,0)</f>
        <v>130</v>
      </c>
      <c r="N718" s="11">
        <f t="shared" ref="N718" si="2575">IFERROR(N714*N715+N716*N717,0)</f>
        <v>130</v>
      </c>
      <c r="O718" s="11">
        <f t="shared" ref="O718" si="2576">IFERROR(O714*O715+O716*O717,0)</f>
        <v>130</v>
      </c>
      <c r="P718" s="11"/>
      <c r="Q718" s="11"/>
      <c r="R718" s="11"/>
      <c r="S718" s="11"/>
      <c r="T718" s="11"/>
      <c r="U718" s="11"/>
      <c r="V718" s="11"/>
      <c r="W718" s="11"/>
      <c r="X718" s="11"/>
      <c r="Y718" s="11"/>
      <c r="Z718" s="11"/>
      <c r="AA718" s="11"/>
      <c r="AB718" s="11"/>
      <c r="AC718" s="11"/>
      <c r="AD718" s="11"/>
      <c r="AE718" s="11"/>
      <c r="AF718" s="11"/>
    </row>
    <row r="719" spans="1:32" ht="17.149999999999999" x14ac:dyDescent="0.55000000000000004">
      <c r="A719" t="str" cm="1">
        <f t="array" ref="A719">INDEX(FX_Input,$Q719,R$5)</f>
        <v>FX - 22</v>
      </c>
      <c r="B719" t="str" cm="1">
        <f t="array" ref="B719">INDEX(FX_Input,Q719,S719)</f>
        <v>Portland</v>
      </c>
      <c r="C719" t="s">
        <v>563</v>
      </c>
      <c r="D719">
        <v>14.7</v>
      </c>
      <c r="E719">
        <v>14.7</v>
      </c>
      <c r="F719">
        <v>14.7</v>
      </c>
      <c r="G719">
        <v>14.7</v>
      </c>
      <c r="H719">
        <v>14.7</v>
      </c>
      <c r="I719">
        <v>14.7</v>
      </c>
      <c r="J719">
        <v>14.7</v>
      </c>
      <c r="K719">
        <v>14.7</v>
      </c>
      <c r="L719">
        <v>14.7</v>
      </c>
      <c r="M719">
        <v>14.7</v>
      </c>
      <c r="N719">
        <v>14.7</v>
      </c>
      <c r="O719">
        <v>14.7</v>
      </c>
      <c r="Q719">
        <f>Q685+2</f>
        <v>43</v>
      </c>
      <c r="R719">
        <v>1</v>
      </c>
      <c r="S719">
        <v>3</v>
      </c>
      <c r="T719">
        <v>1</v>
      </c>
      <c r="U719">
        <v>19</v>
      </c>
      <c r="V719">
        <v>20</v>
      </c>
      <c r="W719">
        <v>25</v>
      </c>
      <c r="X719">
        <v>1</v>
      </c>
      <c r="Y719">
        <v>2</v>
      </c>
      <c r="Z719">
        <f>(W719-V719)/(Y719-X719)</f>
        <v>5</v>
      </c>
      <c r="AA719">
        <f>V719-Z719*X719</f>
        <v>15</v>
      </c>
      <c r="AD719">
        <f>AD685+14</f>
        <v>295</v>
      </c>
      <c r="AF719">
        <f>AF685+14</f>
        <v>295</v>
      </c>
    </row>
    <row r="720" spans="1:32" ht="17.149999999999999" x14ac:dyDescent="0.55000000000000004">
      <c r="B720" t="str">
        <f t="shared" ref="B720" si="2577">B719</f>
        <v>Portland</v>
      </c>
      <c r="C720" t="s">
        <v>564</v>
      </c>
      <c r="D720" cm="1">
        <f t="array" ref="D720">IF(ISBLANK(INDEX(FX_Input,$Q719,$AB720)),0.03,INDEX(FX_Input,Q719,AB720))</f>
        <v>0.03</v>
      </c>
      <c r="E720" cm="1">
        <f t="array" ref="E720">IF(ISBLANK(INDEX(FX_Input,$Q719,$AB720)),0.03,INDEX(FX_Input,R719,#REF!))</f>
        <v>0.03</v>
      </c>
      <c r="F720" cm="1">
        <f t="array" ref="F720">IF(ISBLANK(INDEX(FX_Input,$Q719,$AB720)),0.03,INDEX(FX_Input,S719,#REF!))</f>
        <v>0.03</v>
      </c>
      <c r="G720" cm="1">
        <f t="array" ref="G720">IF(ISBLANK(INDEX(FX_Input,$Q719,$AB720)),0.03,INDEX(FX_Input,AB719,#REF!))</f>
        <v>0.03</v>
      </c>
      <c r="H720" cm="1">
        <f t="array" ref="H720">IF(ISBLANK(INDEX(FX_Input,$Q719,$AB720)),0.03,INDEX(FX_Input,#REF!,#REF!))</f>
        <v>0.03</v>
      </c>
      <c r="I720" cm="1">
        <f t="array" ref="I720">IF(ISBLANK(INDEX(FX_Input,$Q719,$AB720)),0.03,INDEX(FX_Input,#REF!,#REF!))</f>
        <v>0.03</v>
      </c>
      <c r="J720" cm="1">
        <f t="array" ref="J720">IF(ISBLANK(INDEX(FX_Input,$Q719,$AB720)),0.03,INDEX(FX_Input,#REF!,#REF!))</f>
        <v>0.03</v>
      </c>
      <c r="K720" cm="1">
        <f t="array" ref="K720">IF(ISBLANK(INDEX(FX_Input,$Q719,$AB720)),0.03,INDEX(FX_Input,#REF!,AC720))</f>
        <v>0.03</v>
      </c>
      <c r="L720" cm="1">
        <f t="array" ref="L720">IF(ISBLANK(INDEX(FX_Input,$Q719,$AB720)),0.03,INDEX(FX_Input,#REF!,AD720))</f>
        <v>0.03</v>
      </c>
      <c r="M720" cm="1">
        <f t="array" ref="M720">IF(ISBLANK(INDEX(FX_Input,$Q719,$AB720)),0.03,INDEX(FX_Input,#REF!,#REF!))</f>
        <v>0.03</v>
      </c>
      <c r="N720" cm="1">
        <f t="array" ref="N720">IF(ISBLANK(INDEX(FX_Input,$Q719,$AB720)),0.03,INDEX(FX_Input,AC719,#REF!))</f>
        <v>0.03</v>
      </c>
      <c r="O720" cm="1">
        <f t="array" ref="O720">IF(ISBLANK(INDEX(FX_Input,$Q719,$AB720)),0.03,INDEX(FX_Input,AD719,#REF!))</f>
        <v>0.03</v>
      </c>
      <c r="AB720">
        <v>15</v>
      </c>
    </row>
    <row r="721" spans="2:32" ht="17.149999999999999" x14ac:dyDescent="0.55000000000000004">
      <c r="B721" t="str">
        <f>B720</f>
        <v>Portland</v>
      </c>
      <c r="C721" t="s">
        <v>565</v>
      </c>
      <c r="D721" cm="1">
        <f t="array" ref="D721">IF(ISBLANK(INDEX(FX_Input,$Q719,$AB721)),-0.03,INDEX(FX_Input,Q719,AB721))</f>
        <v>-0.03</v>
      </c>
      <c r="E721" cm="1">
        <f t="array" ref="E721">IF(ISBLANK(INDEX(FX_Input,$Q719,$AB721)),-0.03,INDEX(FX_Input,R719,#REF!))</f>
        <v>-0.03</v>
      </c>
      <c r="F721" cm="1">
        <f t="array" ref="F721">IF(ISBLANK(INDEX(FX_Input,$Q719,$AB721)),-0.03,INDEX(FX_Input,S719,#REF!))</f>
        <v>-0.03</v>
      </c>
      <c r="G721" cm="1">
        <f t="array" ref="G721">IF(ISBLANK(INDEX(FX_Input,$Q719,$AB721)),-0.03,INDEX(FX_Input,AB719,#REF!))</f>
        <v>-0.03</v>
      </c>
      <c r="H721" cm="1">
        <f t="array" ref="H721">IF(ISBLANK(INDEX(FX_Input,$Q719,$AB721)),-0.03,INDEX(FX_Input,#REF!,#REF!))</f>
        <v>-0.03</v>
      </c>
      <c r="I721" cm="1">
        <f t="array" ref="I721">IF(ISBLANK(INDEX(FX_Input,$Q719,$AB721)),-0.03,INDEX(FX_Input,#REF!,#REF!))</f>
        <v>-0.03</v>
      </c>
      <c r="J721" cm="1">
        <f t="array" ref="J721">IF(ISBLANK(INDEX(FX_Input,$Q719,$AB721)),-0.03,INDEX(FX_Input,#REF!,#REF!))</f>
        <v>-0.03</v>
      </c>
      <c r="K721" cm="1">
        <f t="array" ref="K721">IF(ISBLANK(INDEX(FX_Input,$Q719,$AB721)),-0.03,INDEX(FX_Input,#REF!,AC721))</f>
        <v>-0.03</v>
      </c>
      <c r="L721" cm="1">
        <f t="array" ref="L721">IF(ISBLANK(INDEX(FX_Input,$Q719,$AB721)),-0.03,INDEX(FX_Input,#REF!,AD721))</f>
        <v>-0.03</v>
      </c>
      <c r="M721" cm="1">
        <f t="array" ref="M721">IF(ISBLANK(INDEX(FX_Input,$Q719,$AB721)),-0.03,INDEX(FX_Input,#REF!,#REF!))</f>
        <v>-0.03</v>
      </c>
      <c r="N721" cm="1">
        <f t="array" ref="N721">IF(ISBLANK(INDEX(FX_Input,$Q719,$AB721)),-0.03,INDEX(FX_Input,AC719,#REF!))</f>
        <v>-0.03</v>
      </c>
      <c r="O721" cm="1">
        <f t="array" ref="O721">IF(ISBLANK(INDEX(FX_Input,$Q719,$AB721)),-0.03,INDEX(FX_Input,AD719,#REF!))</f>
        <v>-0.03</v>
      </c>
      <c r="AB721">
        <v>16</v>
      </c>
    </row>
    <row r="722" spans="2:32" x14ac:dyDescent="0.4">
      <c r="B722" t="str">
        <f t="shared" ref="B722:B723" si="2578">B721</f>
        <v>Portland</v>
      </c>
      <c r="C722" s="66" t="s">
        <v>567</v>
      </c>
      <c r="D722" t="str" cm="1">
        <f t="array" ref="D722">INDEX(FX_Multi,$AD722,D$3)</f>
        <v>Jet kerosene</v>
      </c>
      <c r="E722" t="str" cm="1">
        <f t="array" ref="E722">INDEX(FX_Multi,$AD722,E$3)</f>
        <v>Jet kerosene</v>
      </c>
      <c r="F722" t="str" cm="1">
        <f t="array" ref="F722">INDEX(FX_Multi,$AD722,F$3)</f>
        <v>Jet kerosene</v>
      </c>
      <c r="G722" t="str" cm="1">
        <f t="array" ref="G722">INDEX(FX_Multi,$AD722,G$3)</f>
        <v>Jet kerosene</v>
      </c>
      <c r="H722" t="str" cm="1">
        <f t="array" ref="H722">INDEX(FX_Multi,$AD722,H$3)</f>
        <v>Jet kerosene</v>
      </c>
      <c r="I722" t="str" cm="1">
        <f t="array" ref="I722">INDEX(FX_Multi,$AD722,I$3)</f>
        <v>Jet kerosene</v>
      </c>
      <c r="J722" t="str" cm="1">
        <f t="array" ref="J722">INDEX(FX_Multi,$AD722,J$3)</f>
        <v>Jet kerosene</v>
      </c>
      <c r="K722" t="str" cm="1">
        <f t="array" ref="K722">INDEX(FX_Multi,$AD722,K$3)</f>
        <v>Jet kerosene</v>
      </c>
      <c r="L722" t="str" cm="1">
        <f t="array" ref="L722">INDEX(FX_Multi,$AD722,L$3)</f>
        <v>Jet kerosene</v>
      </c>
      <c r="M722" t="str" cm="1">
        <f t="array" ref="M722">INDEX(FX_Multi,$AD722,M$3)</f>
        <v>Jet kerosene</v>
      </c>
      <c r="N722" t="str" cm="1">
        <f t="array" ref="N722">INDEX(FX_Multi,$AD722,N$3)</f>
        <v>Jet kerosene</v>
      </c>
      <c r="O722" t="str" cm="1">
        <f t="array" ref="O722">INDEX(FX_Multi,$AD722,O$3)</f>
        <v>Jet kerosene</v>
      </c>
      <c r="AC722">
        <v>1</v>
      </c>
      <c r="AD722">
        <f>AD719</f>
        <v>295</v>
      </c>
      <c r="AE722">
        <v>1</v>
      </c>
      <c r="AF722">
        <f>AF719</f>
        <v>295</v>
      </c>
    </row>
    <row r="723" spans="2:32" x14ac:dyDescent="0.4">
      <c r="B723" t="str">
        <f t="shared" si="2578"/>
        <v>Portland</v>
      </c>
      <c r="C723" s="66" t="s">
        <v>566</v>
      </c>
      <c r="D723" t="str" cm="1">
        <f t="array" ref="D723">INDEX(FX_Multi,$AD723,D$3)</f>
        <v>Select Pet Stock</v>
      </c>
      <c r="E723" t="str" cm="1">
        <f t="array" ref="E723">INDEX(FX_Multi,$AD723,E$3)</f>
        <v>Select Pet Stock</v>
      </c>
      <c r="F723" t="str" cm="1">
        <f t="array" ref="F723">INDEX(FX_Multi,$AD723,F$3)</f>
        <v>Select Pet Stock</v>
      </c>
      <c r="G723" t="str" cm="1">
        <f t="array" ref="G723">INDEX(FX_Multi,$AD723,G$3)</f>
        <v>Select Pet Stock</v>
      </c>
      <c r="H723" t="str" cm="1">
        <f t="array" ref="H723">INDEX(FX_Multi,$AD723,H$3)</f>
        <v>Select Pet Stock</v>
      </c>
      <c r="I723" t="str" cm="1">
        <f t="array" ref="I723">INDEX(FX_Multi,$AD723,I$3)</f>
        <v>Select Pet Stock</v>
      </c>
      <c r="J723" t="str" cm="1">
        <f t="array" ref="J723">INDEX(FX_Multi,$AD723,J$3)</f>
        <v>Select Pet Stock</v>
      </c>
      <c r="K723" t="str" cm="1">
        <f t="array" ref="K723">INDEX(FX_Multi,$AD723,K$3)</f>
        <v>Select Pet Stock</v>
      </c>
      <c r="L723" t="str" cm="1">
        <f t="array" ref="L723">INDEX(FX_Multi,$AD723,L$3)</f>
        <v>Select Pet Stock</v>
      </c>
      <c r="M723" t="str" cm="1">
        <f t="array" ref="M723">INDEX(FX_Multi,$AD723,M$3)</f>
        <v>Select Pet Stock</v>
      </c>
      <c r="N723" t="str" cm="1">
        <f t="array" ref="N723">INDEX(FX_Multi,$AD723,N$3)</f>
        <v>Select Pet Stock</v>
      </c>
      <c r="O723" t="str" cm="1">
        <f t="array" ref="O723">INDEX(FX_Multi,$AD723,O$3)</f>
        <v>Select Pet Stock</v>
      </c>
      <c r="AC723">
        <v>1</v>
      </c>
      <c r="AD723">
        <f>AD722+2</f>
        <v>297</v>
      </c>
      <c r="AE723">
        <v>1</v>
      </c>
      <c r="AF723">
        <f>AF722+3</f>
        <v>298</v>
      </c>
    </row>
    <row r="724" spans="2:32" x14ac:dyDescent="0.4">
      <c r="B724" t="str">
        <f>B720</f>
        <v>Portland</v>
      </c>
      <c r="C724" s="66" t="s">
        <v>568</v>
      </c>
      <c r="D724" cm="1">
        <f t="array" ref="D724">INDEX(FX_Multi,$AD724,D$3)</f>
        <v>0</v>
      </c>
      <c r="E724" cm="1">
        <f t="array" ref="E724">INDEX(FX_Multi,$AD724,E$3)</f>
        <v>0</v>
      </c>
      <c r="F724" cm="1">
        <f t="array" ref="F724">INDEX(FX_Multi,$AD724,F$3)</f>
        <v>0</v>
      </c>
      <c r="G724" cm="1">
        <f t="array" ref="G724">INDEX(FX_Multi,$AD724,G$3)</f>
        <v>0</v>
      </c>
      <c r="H724" cm="1">
        <f t="array" ref="H724">INDEX(FX_Multi,$AD724,H$3)</f>
        <v>0</v>
      </c>
      <c r="I724" cm="1">
        <f t="array" ref="I724">INDEX(FX_Multi,$AD724,I$3)</f>
        <v>0</v>
      </c>
      <c r="J724" cm="1">
        <f t="array" ref="J724">INDEX(FX_Multi,$AD724,J$3)</f>
        <v>0</v>
      </c>
      <c r="K724" cm="1">
        <f t="array" ref="K724">INDEX(FX_Multi,$AD724,K$3)</f>
        <v>0</v>
      </c>
      <c r="L724" cm="1">
        <f t="array" ref="L724">INDEX(FX_Multi,$AD724,L$3)</f>
        <v>0</v>
      </c>
      <c r="M724" cm="1">
        <f t="array" ref="M724">INDEX(FX_Multi,$AD724,M$3)</f>
        <v>0</v>
      </c>
      <c r="N724" cm="1">
        <f t="array" ref="N724">INDEX(FX_Multi,$AD724,N$3)</f>
        <v>0</v>
      </c>
      <c r="O724" cm="1">
        <f t="array" ref="O724">INDEX(FX_Multi,$AD724,O$3)</f>
        <v>0</v>
      </c>
      <c r="AC724">
        <v>1</v>
      </c>
      <c r="AD724">
        <f>AD723-1</f>
        <v>296</v>
      </c>
      <c r="AE724">
        <v>1</v>
      </c>
      <c r="AF724">
        <f>AF722+1</f>
        <v>296</v>
      </c>
    </row>
    <row r="725" spans="2:32" x14ac:dyDescent="0.4">
      <c r="B725" t="str">
        <f t="shared" ref="B725:B729" si="2579">B724</f>
        <v>Portland</v>
      </c>
      <c r="C725" s="66" t="s">
        <v>569</v>
      </c>
      <c r="D725" cm="1">
        <f t="array" ref="D725">INDEX(FX_Multi,$AD725,D$3)</f>
        <v>0</v>
      </c>
      <c r="E725" cm="1">
        <f t="array" ref="E725">INDEX(FX_Multi,$AD725,E$3)</f>
        <v>0</v>
      </c>
      <c r="F725" cm="1">
        <f t="array" ref="F725">INDEX(FX_Multi,$AD725,F$3)</f>
        <v>0</v>
      </c>
      <c r="G725" cm="1">
        <f t="array" ref="G725">INDEX(FX_Multi,$AD725,G$3)</f>
        <v>0</v>
      </c>
      <c r="H725" cm="1">
        <f t="array" ref="H725">INDEX(FX_Multi,$AD725,H$3)</f>
        <v>0</v>
      </c>
      <c r="I725" cm="1">
        <f t="array" ref="I725">INDEX(FX_Multi,$AD725,I$3)</f>
        <v>0</v>
      </c>
      <c r="J725" cm="1">
        <f t="array" ref="J725">INDEX(FX_Multi,$AD725,J$3)</f>
        <v>0</v>
      </c>
      <c r="K725" cm="1">
        <f t="array" ref="K725">INDEX(FX_Multi,$AD725,K$3)</f>
        <v>0</v>
      </c>
      <c r="L725" cm="1">
        <f t="array" ref="L725">INDEX(FX_Multi,$AD725,L$3)</f>
        <v>0</v>
      </c>
      <c r="M725" cm="1">
        <f t="array" ref="M725">INDEX(FX_Multi,$AD725,M$3)</f>
        <v>0</v>
      </c>
      <c r="N725" cm="1">
        <f t="array" ref="N725">INDEX(FX_Multi,$AD725,N$3)</f>
        <v>0</v>
      </c>
      <c r="O725" cm="1">
        <f t="array" ref="O725">INDEX(FX_Multi,$AD725,O$3)</f>
        <v>0</v>
      </c>
      <c r="AC725">
        <v>1</v>
      </c>
      <c r="AD725">
        <f>AD724+2</f>
        <v>298</v>
      </c>
      <c r="AE725">
        <v>1</v>
      </c>
      <c r="AF725">
        <f>AF723</f>
        <v>298</v>
      </c>
    </row>
    <row r="726" spans="2:32" ht="17.149999999999999" x14ac:dyDescent="0.55000000000000004">
      <c r="B726" t="str">
        <f t="shared" si="2579"/>
        <v>Portland</v>
      </c>
      <c r="C726" t="s">
        <v>570</v>
      </c>
      <c r="D726" cm="1">
        <f t="array" ref="D726">INDEX(FX_Multi,$AD726,D$3)</f>
        <v>1</v>
      </c>
      <c r="E726" cm="1">
        <f t="array" ref="E726">INDEX(FX_Multi,$AD726,E$3)</f>
        <v>1</v>
      </c>
      <c r="F726" cm="1">
        <f t="array" ref="F726">INDEX(FX_Multi,$AD726,F$3)</f>
        <v>1</v>
      </c>
      <c r="G726" cm="1">
        <f t="array" ref="G726">INDEX(FX_Multi,$AD726,G$3)</f>
        <v>1</v>
      </c>
      <c r="H726" cm="1">
        <f t="array" ref="H726">INDEX(FX_Multi,$AD726,H$3)</f>
        <v>1</v>
      </c>
      <c r="I726" cm="1">
        <f t="array" ref="I726">INDEX(FX_Multi,$AD726,I$3)</f>
        <v>1</v>
      </c>
      <c r="J726" cm="1">
        <f t="array" ref="J726">INDEX(FX_Multi,$AD726,J$3)</f>
        <v>1</v>
      </c>
      <c r="K726" cm="1">
        <f t="array" ref="K726">INDEX(FX_Multi,$AD726,K$3)</f>
        <v>1</v>
      </c>
      <c r="L726" cm="1">
        <f t="array" ref="L726">INDEX(FX_Multi,$AD726,L$3)</f>
        <v>1</v>
      </c>
      <c r="M726" cm="1">
        <f t="array" ref="M726">INDEX(FX_Multi,$AD726,M$3)</f>
        <v>1</v>
      </c>
      <c r="N726" cm="1">
        <f t="array" ref="N726">INDEX(FX_Multi,$AD726,N$3)</f>
        <v>1</v>
      </c>
      <c r="O726" cm="1">
        <f t="array" ref="O726">INDEX(FX_Multi,$AD726,O$3)</f>
        <v>1</v>
      </c>
      <c r="AC726">
        <v>1</v>
      </c>
      <c r="AD726">
        <f>AD725+6</f>
        <v>304</v>
      </c>
      <c r="AE726">
        <v>1</v>
      </c>
      <c r="AF726">
        <f>AF722+9</f>
        <v>304</v>
      </c>
    </row>
    <row r="727" spans="2:32" ht="17.149999999999999" x14ac:dyDescent="0.55000000000000004">
      <c r="B727" t="str">
        <f t="shared" si="2579"/>
        <v>Portland</v>
      </c>
      <c r="C727" t="s">
        <v>571</v>
      </c>
      <c r="D727" cm="1">
        <f t="array" ref="D727">INDEX(FX_Multi,$AD727,D$3)</f>
        <v>162</v>
      </c>
      <c r="E727" cm="1">
        <f t="array" ref="E727">INDEX(FX_Multi,$AD727,E$3)</f>
        <v>162</v>
      </c>
      <c r="F727" cm="1">
        <f t="array" ref="F727">INDEX(FX_Multi,$AD727,F$3)</f>
        <v>162</v>
      </c>
      <c r="G727" cm="1">
        <f t="array" ref="G727">INDEX(FX_Multi,$AD727,G$3)</f>
        <v>162</v>
      </c>
      <c r="H727" cm="1">
        <f t="array" ref="H727">INDEX(FX_Multi,$AD727,H$3)</f>
        <v>162</v>
      </c>
      <c r="I727" cm="1">
        <f t="array" ref="I727">INDEX(FX_Multi,$AD727,I$3)</f>
        <v>162</v>
      </c>
      <c r="J727" cm="1">
        <f t="array" ref="J727">INDEX(FX_Multi,$AD727,J$3)</f>
        <v>162</v>
      </c>
      <c r="K727" cm="1">
        <f t="array" ref="K727">INDEX(FX_Multi,$AD727,K$3)</f>
        <v>162</v>
      </c>
      <c r="L727" cm="1">
        <f t="array" ref="L727">INDEX(FX_Multi,$AD727,L$3)</f>
        <v>162</v>
      </c>
      <c r="M727" cm="1">
        <f t="array" ref="M727">INDEX(FX_Multi,$AD727,M$3)</f>
        <v>162</v>
      </c>
      <c r="N727" cm="1">
        <f t="array" ref="N727">INDEX(FX_Multi,$AD727,N$3)</f>
        <v>162</v>
      </c>
      <c r="O727" cm="1">
        <f t="array" ref="O727">INDEX(FX_Multi,$AD727,O$3)</f>
        <v>162</v>
      </c>
      <c r="AC727">
        <v>1</v>
      </c>
      <c r="AD727">
        <f>AD726-3</f>
        <v>301</v>
      </c>
      <c r="AE727">
        <v>1</v>
      </c>
      <c r="AF727">
        <f>AF722+6</f>
        <v>301</v>
      </c>
    </row>
    <row r="728" spans="2:32" ht="17.149999999999999" x14ac:dyDescent="0.55000000000000004">
      <c r="B728" t="str">
        <f t="shared" si="2579"/>
        <v>Portland</v>
      </c>
      <c r="C728" t="s">
        <v>572</v>
      </c>
      <c r="D728" cm="1">
        <f t="array" ref="D728">INDEX(FX_Multi,$AD728,D$3)</f>
        <v>0</v>
      </c>
      <c r="E728" cm="1">
        <f t="array" ref="E728">INDEX(FX_Multi,$AD728,E$3)</f>
        <v>0</v>
      </c>
      <c r="F728" cm="1">
        <f t="array" ref="F728">INDEX(FX_Multi,$AD728,F$3)</f>
        <v>0</v>
      </c>
      <c r="G728" cm="1">
        <f t="array" ref="G728">INDEX(FX_Multi,$AD728,G$3)</f>
        <v>0</v>
      </c>
      <c r="H728" cm="1">
        <f t="array" ref="H728">INDEX(FX_Multi,$AD728,H$3)</f>
        <v>0</v>
      </c>
      <c r="I728" cm="1">
        <f t="array" ref="I728">INDEX(FX_Multi,$AD728,I$3)</f>
        <v>0</v>
      </c>
      <c r="J728" cm="1">
        <f t="array" ref="J728">INDEX(FX_Multi,$AD728,J$3)</f>
        <v>0</v>
      </c>
      <c r="K728" cm="1">
        <f t="array" ref="K728">INDEX(FX_Multi,$AD728,K$3)</f>
        <v>0</v>
      </c>
      <c r="L728" cm="1">
        <f t="array" ref="L728">INDEX(FX_Multi,$AD728,L$3)</f>
        <v>0</v>
      </c>
      <c r="M728" cm="1">
        <f t="array" ref="M728">INDEX(FX_Multi,$AD728,M$3)</f>
        <v>0</v>
      </c>
      <c r="N728" cm="1">
        <f t="array" ref="N728">INDEX(FX_Multi,$AD728,N$3)</f>
        <v>0</v>
      </c>
      <c r="O728" cm="1">
        <f t="array" ref="O728">INDEX(FX_Multi,$AD728,O$3)</f>
        <v>0</v>
      </c>
      <c r="AC728">
        <v>1</v>
      </c>
      <c r="AD728">
        <f>AD727+4</f>
        <v>305</v>
      </c>
      <c r="AE728">
        <v>1</v>
      </c>
      <c r="AF728">
        <f>AF722+10</f>
        <v>305</v>
      </c>
    </row>
    <row r="729" spans="2:32" ht="17.149999999999999" x14ac:dyDescent="0.55000000000000004">
      <c r="B729" t="str">
        <f t="shared" si="2579"/>
        <v>Portland</v>
      </c>
      <c r="C729" t="s">
        <v>573</v>
      </c>
      <c r="D729" cm="1">
        <f t="array" ref="D729">INDEX(FX_Multi,$AD729,D$3)</f>
        <v>0</v>
      </c>
      <c r="E729" cm="1">
        <f t="array" ref="E729">INDEX(FX_Multi,$AD729,E$3)</f>
        <v>0</v>
      </c>
      <c r="F729" cm="1">
        <f t="array" ref="F729">INDEX(FX_Multi,$AD729,F$3)</f>
        <v>0</v>
      </c>
      <c r="G729" cm="1">
        <f t="array" ref="G729">INDEX(FX_Multi,$AD729,G$3)</f>
        <v>0</v>
      </c>
      <c r="H729" cm="1">
        <f t="array" ref="H729">INDEX(FX_Multi,$AD729,H$3)</f>
        <v>0</v>
      </c>
      <c r="I729" cm="1">
        <f t="array" ref="I729">INDEX(FX_Multi,$AD729,I$3)</f>
        <v>0</v>
      </c>
      <c r="J729" cm="1">
        <f t="array" ref="J729">INDEX(FX_Multi,$AD729,J$3)</f>
        <v>0</v>
      </c>
      <c r="K729" cm="1">
        <f t="array" ref="K729">INDEX(FX_Multi,$AD729,K$3)</f>
        <v>0</v>
      </c>
      <c r="L729" cm="1">
        <f t="array" ref="L729">INDEX(FX_Multi,$AD729,L$3)</f>
        <v>0</v>
      </c>
      <c r="M729" cm="1">
        <f t="array" ref="M729">INDEX(FX_Multi,$AD729,M$3)</f>
        <v>0</v>
      </c>
      <c r="N729" cm="1">
        <f t="array" ref="N729">INDEX(FX_Multi,$AD729,N$3)</f>
        <v>0</v>
      </c>
      <c r="O729" cm="1">
        <f t="array" ref="O729">INDEX(FX_Multi,$AD729,O$3)</f>
        <v>0</v>
      </c>
      <c r="AC729">
        <v>1</v>
      </c>
      <c r="AD729">
        <f>AD728-3</f>
        <v>302</v>
      </c>
      <c r="AE729">
        <v>1</v>
      </c>
      <c r="AF729">
        <f>AF722+7</f>
        <v>302</v>
      </c>
    </row>
    <row r="730" spans="2:32" ht="17.149999999999999" x14ac:dyDescent="0.55000000000000004">
      <c r="B730" t="str">
        <f>B725</f>
        <v>Portland</v>
      </c>
      <c r="C730" t="s">
        <v>526</v>
      </c>
      <c r="D730" cm="1">
        <f t="array" ref="D730">INDEX(FX_Temps,$AF730,D$3)</f>
        <v>43.899999999999977</v>
      </c>
      <c r="E730" cm="1">
        <f t="array" ref="E730">INDEX(FX_Temps,$AF730,E$3)</f>
        <v>44.700000000000045</v>
      </c>
      <c r="F730" cm="1">
        <f t="array" ref="F730">INDEX(FX_Temps,$AF730,F$3)</f>
        <v>46.100000000000023</v>
      </c>
      <c r="G730" cm="1">
        <f t="array" ref="G730">INDEX(FX_Temps,$AF730,G$3)</f>
        <v>48.599999999999966</v>
      </c>
      <c r="H730" cm="1">
        <f t="array" ref="H730">INDEX(FX_Temps,$AF730,H$3)</f>
        <v>53.149999999999977</v>
      </c>
      <c r="I730" cm="1">
        <f t="array" ref="I730">INDEX(FX_Temps,$AF730,I$3)</f>
        <v>56.950000000000045</v>
      </c>
      <c r="J730" cm="1">
        <f t="array" ref="J730">INDEX(FX_Temps,$AF730,J$3)</f>
        <v>60.449999999999932</v>
      </c>
      <c r="K730" cm="1">
        <f t="array" ref="K730">INDEX(FX_Temps,$AF730,K$3)</f>
        <v>60.899999999999977</v>
      </c>
      <c r="L730" cm="1">
        <f t="array" ref="L730">INDEX(FX_Temps,$AF730,L$3)</f>
        <v>58.600000000000023</v>
      </c>
      <c r="M730" cm="1">
        <f t="array" ref="M730">INDEX(FX_Temps,$AF730,M$3)</f>
        <v>52.649999999999977</v>
      </c>
      <c r="N730" cm="1">
        <f t="array" ref="N730">INDEX(FX_Temps,$AF730,N$3)</f>
        <v>47.100000000000023</v>
      </c>
      <c r="O730" cm="1">
        <f t="array" ref="O730">INDEX(FX_Temps,$AF730,O$3)</f>
        <v>43.600000000000023</v>
      </c>
      <c r="AE730">
        <v>1</v>
      </c>
      <c r="AF730">
        <f>AF722+10</f>
        <v>305</v>
      </c>
    </row>
    <row r="731" spans="2:32" ht="17.149999999999999" x14ac:dyDescent="0.55000000000000004">
      <c r="B731" t="str">
        <f t="shared" ref="B731:B752" si="2580">B730</f>
        <v>Portland</v>
      </c>
      <c r="C731" t="s">
        <v>527</v>
      </c>
      <c r="D731" cm="1">
        <f t="array" ref="D731">INDEX(FX_Temps,$AF731,D$3)</f>
        <v>43.899999999999977</v>
      </c>
      <c r="E731" cm="1">
        <f t="array" ref="E731">INDEX(FX_Temps,$AF731,E$3)</f>
        <v>44.700000000000045</v>
      </c>
      <c r="F731" cm="1">
        <f t="array" ref="F731">INDEX(FX_Temps,$AF731,F$3)</f>
        <v>46.100000000000023</v>
      </c>
      <c r="G731" cm="1">
        <f t="array" ref="G731">INDEX(FX_Temps,$AF731,G$3)</f>
        <v>48.599999999999966</v>
      </c>
      <c r="H731" cm="1">
        <f t="array" ref="H731">INDEX(FX_Temps,$AF731,H$3)</f>
        <v>53.149999999999977</v>
      </c>
      <c r="I731" cm="1">
        <f t="array" ref="I731">INDEX(FX_Temps,$AF731,I$3)</f>
        <v>56.950000000000045</v>
      </c>
      <c r="J731" cm="1">
        <f t="array" ref="J731">INDEX(FX_Temps,$AF731,J$3)</f>
        <v>60.449999999999932</v>
      </c>
      <c r="K731" cm="1">
        <f t="array" ref="K731">INDEX(FX_Temps,$AF731,K$3)</f>
        <v>60.899999999999977</v>
      </c>
      <c r="L731" cm="1">
        <f t="array" ref="L731">INDEX(FX_Temps,$AF731,L$3)</f>
        <v>58.600000000000023</v>
      </c>
      <c r="M731" cm="1">
        <f t="array" ref="M731">INDEX(FX_Temps,$AF731,M$3)</f>
        <v>52.649999999999977</v>
      </c>
      <c r="N731" cm="1">
        <f t="array" ref="N731">INDEX(FX_Temps,$AF731,N$3)</f>
        <v>47.100000000000023</v>
      </c>
      <c r="O731" cm="1">
        <f t="array" ref="O731">INDEX(FX_Temps,$AF731,O$3)</f>
        <v>43.600000000000023</v>
      </c>
      <c r="AE731">
        <f>AE730</f>
        <v>1</v>
      </c>
      <c r="AF731">
        <f>AF722+11</f>
        <v>306</v>
      </c>
    </row>
    <row r="732" spans="2:32" ht="17.149999999999999" x14ac:dyDescent="0.55000000000000004">
      <c r="B732" t="str">
        <f t="shared" si="2580"/>
        <v>Portland</v>
      </c>
      <c r="C732" t="s">
        <v>552</v>
      </c>
      <c r="D732" cm="1">
        <f t="array" ref="D732">INDEX(FX_Temps,$AF732,D$3)</f>
        <v>43.899999999999977</v>
      </c>
      <c r="E732" cm="1">
        <f t="array" ref="E732">INDEX(FX_Temps,$AF732,E$3)</f>
        <v>44.700000000000045</v>
      </c>
      <c r="F732" cm="1">
        <f t="array" ref="F732">INDEX(FX_Temps,$AF732,F$3)</f>
        <v>46.100000000000023</v>
      </c>
      <c r="G732" cm="1">
        <f t="array" ref="G732">INDEX(FX_Temps,$AF732,G$3)</f>
        <v>48.599999999999966</v>
      </c>
      <c r="H732" cm="1">
        <f t="array" ref="H732">INDEX(FX_Temps,$AF732,H$3)</f>
        <v>53.149999999999977</v>
      </c>
      <c r="I732" cm="1">
        <f t="array" ref="I732">INDEX(FX_Temps,$AF732,I$3)</f>
        <v>56.950000000000045</v>
      </c>
      <c r="J732" cm="1">
        <f t="array" ref="J732">INDEX(FX_Temps,$AF732,J$3)</f>
        <v>60.449999999999932</v>
      </c>
      <c r="K732" cm="1">
        <f t="array" ref="K732">INDEX(FX_Temps,$AF732,K$3)</f>
        <v>60.899999999999977</v>
      </c>
      <c r="L732" cm="1">
        <f t="array" ref="L732">INDEX(FX_Temps,$AF732,L$3)</f>
        <v>58.600000000000023</v>
      </c>
      <c r="M732" cm="1">
        <f t="array" ref="M732">INDEX(FX_Temps,$AF732,M$3)</f>
        <v>52.649999999999977</v>
      </c>
      <c r="N732" cm="1">
        <f t="array" ref="N732">INDEX(FX_Temps,$AF732,N$3)</f>
        <v>47.100000000000023</v>
      </c>
      <c r="O732" cm="1">
        <f t="array" ref="O732">INDEX(FX_Temps,$AF732,O$3)</f>
        <v>43.600000000000023</v>
      </c>
      <c r="AE732">
        <f>AE731</f>
        <v>1</v>
      </c>
      <c r="AF732">
        <f>AF722+13</f>
        <v>308</v>
      </c>
    </row>
    <row r="733" spans="2:32" ht="17.149999999999999" x14ac:dyDescent="0.55000000000000004">
      <c r="B733" t="str">
        <f t="shared" si="2580"/>
        <v>Portland</v>
      </c>
      <c r="C733" t="s">
        <v>574</v>
      </c>
      <c r="D733" cm="1">
        <f t="array" ref="D733">IFERROR(IF(D723="Chemical",(10^(INDEX(Antoines,MATCH(D722,Antoine_Name,0),2)-INDEX(Antoines,MATCH(D722,Antoine_Name,0),3)/(INDEX(Antoines,MATCH(D722,Antoine_Name,0),4)+(D730-32)*5/9)))*14.7/760,IF(D723="Crude Oil",EXP((2799/(D730+459.6)-2.227)*LOG10(INDEX(FX_Input,Q$5,D$3*$Z$5+$AA$5))-(7261/(D730+459.6))+12.82),IF(D723="Refined Petroleum Stock",EXP((0.7553-(413/(D730+459.6)))*(INDEX(FX_Input,Q$5,D$3*$Z$5+$AA$5-1)^0.5)*LOG10(INDEX(FX_Input,Q$5,D$3*$Z$5+$AA$5))-(1.854-(1042/(D730+459.6)))*(INDEX(FX_Input,Q$5,D$3*$Z$5+$AA$5-1)^0.5)+((2416/(D730+459.6)-2.013)*LOG10(INDEX(FX_Input,Q$5,D$3*$Z$5+$AA$5)))-(8742/(D730+459.6))+15.64),EXP(INDEX(Antoines,MATCH(D722,Antoine_Name,0),2)-INDEX(Antoines,MATCH(D722,Antoine_Name,0),3)/(D730+459.6))))),0)</f>
        <v>4.739577185808354E-3</v>
      </c>
      <c r="E733" cm="1">
        <f t="array" ref="E733">IFERROR(IF(E723="Chemical",(10^(INDEX(Antoines,MATCH(E722,Antoine_Name,0),2)-INDEX(Antoines,MATCH(E722,Antoine_Name,0),3)/(INDEX(Antoines,MATCH(E722,Antoine_Name,0),4)+(E730-32)*5/9)))*14.7/760,IF(E723="Crude Oil",EXP((2799/(E730+459.6)-2.227)*LOG10(INDEX(FX_Input,R$5,E$3*$Z$5+$AA$5))-(7261/(E730+459.6))+12.82),IF(E723="Refined Petroleum Stock",EXP((0.7553-(413/(E730+459.6)))*(INDEX(FX_Input,R$5,E$3*$Z$5+$AA$5-1)^0.5)*LOG10(INDEX(FX_Input,R$5,E$3*$Z$5+$AA$5))-(1.854-(1042/(E730+459.6)))*(INDEX(FX_Input,R$5,E$3*$Z$5+$AA$5-1)^0.5)+((2416/(E730+459.6)-2.013)*LOG10(INDEX(FX_Input,R$5,E$3*$Z$5+$AA$5)))-(8742/(E730+459.6))+15.64),EXP(INDEX(Antoines,MATCH(E722,Antoine_Name,0),2)-INDEX(Antoines,MATCH(E722,Antoine_Name,0),3)/(E730+459.6))))),0)</f>
        <v>4.8748667780818778E-3</v>
      </c>
      <c r="F733" cm="1">
        <f t="array" ref="F733">IFERROR(IF(F723="Chemical",(10^(INDEX(Antoines,MATCH(F722,Antoine_Name,0),2)-INDEX(Antoines,MATCH(F722,Antoine_Name,0),3)/(INDEX(Antoines,MATCH(F722,Antoine_Name,0),4)+(F730-32)*5/9)))*14.7/760,IF(F723="Crude Oil",EXP((2799/(F730+459.6)-2.227)*LOG10(INDEX(FX_Input,S$5,F$3*$Z$5+$AA$5))-(7261/(F730+459.6))+12.82),IF(F723="Refined Petroleum Stock",EXP((0.7553-(413/(F730+459.6)))*(INDEX(FX_Input,S$5,F$3*$Z$5+$AA$5-1)^0.5)*LOG10(INDEX(FX_Input,S$5,F$3*$Z$5+$AA$5))-(1.854-(1042/(F730+459.6)))*(INDEX(FX_Input,S$5,F$3*$Z$5+$AA$5-1)^0.5)+((2416/(F730+459.6)-2.013)*LOG10(INDEX(FX_Input,S$5,F$3*$Z$5+$AA$5)))-(8742/(F730+459.6))+15.64),EXP(INDEX(Antoines,MATCH(F722,Antoine_Name,0),2)-INDEX(Antoines,MATCH(F722,Antoine_Name,0),3)/(F730+459.6))))),0)</f>
        <v>5.119885034186122E-3</v>
      </c>
      <c r="G733" cm="1">
        <f t="array" ref="G733">IFERROR(IF(G723="Chemical",(10^(INDEX(Antoines,MATCH(G722,Antoine_Name,0),2)-INDEX(Antoines,MATCH(G722,Antoine_Name,0),3)/(INDEX(Antoines,MATCH(G722,Antoine_Name,0),4)+(G730-32)*5/9)))*14.7/760,IF(G723="Crude Oil",EXP((2799/(G730+459.6)-2.227)*LOG10(INDEX(FX_Input,T$5,G$3*$Z$5+$AA$5))-(7261/(G730+459.6))+12.82),IF(G723="Refined Petroleum Stock",EXP((0.7553-(413/(G730+459.6)))*(INDEX(FX_Input,T$5,G$3*$Z$5+$AA$5-1)^0.5)*LOG10(INDEX(FX_Input,T$5,G$3*$Z$5+$AA$5))-(1.854-(1042/(G730+459.6)))*(INDEX(FX_Input,T$5,G$3*$Z$5+$AA$5-1)^0.5)+((2416/(G730+459.6)-2.013)*LOG10(INDEX(FX_Input,T$5,G$3*$Z$5+$AA$5)))-(8742/(G730+459.6))+15.64),EXP(INDEX(Antoines,MATCH(G722,Antoine_Name,0),2)-INDEX(Antoines,MATCH(G722,Antoine_Name,0),3)/(G730+459.6))))),0)</f>
        <v>5.5846958573521795E-3</v>
      </c>
      <c r="H733" cm="1">
        <f t="array" ref="H733">IFERROR(IF(H723="Chemical",(10^(INDEX(Antoines,MATCH(H722,Antoine_Name,0),2)-INDEX(Antoines,MATCH(H722,Antoine_Name,0),3)/(INDEX(Antoines,MATCH(H722,Antoine_Name,0),4)+(H730-32)*5/9)))*14.7/760,IF(H723="Crude Oil",EXP((2799/(H730+459.6)-2.227)*LOG10(INDEX(FX_Input,U$5,H$3*$Z$5+$AA$5))-(7261/(H730+459.6))+12.82),IF(H723="Refined Petroleum Stock",EXP((0.7553-(413/(H730+459.6)))*(INDEX(FX_Input,U$5,H$3*$Z$5+$AA$5-1)^0.5)*LOG10(INDEX(FX_Input,U$5,H$3*$Z$5+$AA$5))-(1.854-(1042/(H730+459.6)))*(INDEX(FX_Input,U$5,H$3*$Z$5+$AA$5-1)^0.5)+((2416/(H730+459.6)-2.013)*LOG10(INDEX(FX_Input,U$5,H$3*$Z$5+$AA$5)))-(8742/(H730+459.6))+15.64),EXP(INDEX(Antoines,MATCH(H722,Antoine_Name,0),2)-INDEX(Antoines,MATCH(H722,Antoine_Name,0),3)/(H730+459.6))))),0)</f>
        <v>6.5274070972739821E-3</v>
      </c>
      <c r="I733" cm="1">
        <f t="array" ref="I733">IFERROR(IF(I723="Chemical",(10^(INDEX(Antoines,MATCH(I722,Antoine_Name,0),2)-INDEX(Antoines,MATCH(I722,Antoine_Name,0),3)/(INDEX(Antoines,MATCH(I722,Antoine_Name,0),4)+(I730-32)*5/9)))*14.7/760,IF(I723="Crude Oil",EXP((2799/(I730+459.6)-2.227)*LOG10(INDEX(FX_Input,V$5,I$3*$Z$5+$AA$5))-(7261/(I730+459.6))+12.82),IF(I723="Refined Petroleum Stock",EXP((0.7553-(413/(I730+459.6)))*(INDEX(FX_Input,V$5,I$3*$Z$5+$AA$5-1)^0.5)*LOG10(INDEX(FX_Input,V$5,I$3*$Z$5+$AA$5))-(1.854-(1042/(I730+459.6)))*(INDEX(FX_Input,V$5,I$3*$Z$5+$AA$5-1)^0.5)+((2416/(I730+459.6)-2.013)*LOG10(INDEX(FX_Input,V$5,I$3*$Z$5+$AA$5)))-(8742/(I730+459.6))+15.64),EXP(INDEX(Antoines,MATCH(I722,Antoine_Name,0),2)-INDEX(Antoines,MATCH(I722,Antoine_Name,0),3)/(I730+459.6))))),0)</f>
        <v>7.4199539958878279E-3</v>
      </c>
      <c r="J733" cm="1">
        <f t="array" ref="J733">IFERROR(IF(J723="Chemical",(10^(INDEX(Antoines,MATCH(J722,Antoine_Name,0),2)-INDEX(Antoines,MATCH(J722,Antoine_Name,0),3)/(INDEX(Antoines,MATCH(J722,Antoine_Name,0),4)+(J730-32)*5/9)))*14.7/760,IF(J723="Crude Oil",EXP((2799/(J730+459.6)-2.227)*LOG10(INDEX(FX_Input,W$5,J$3*$Z$5+$AA$5))-(7261/(J730+459.6))+12.82),IF(J723="Refined Petroleum Stock",EXP((0.7553-(413/(J730+459.6)))*(INDEX(FX_Input,W$5,J$3*$Z$5+$AA$5-1)^0.5)*LOG10(INDEX(FX_Input,W$5,J$3*$Z$5+$AA$5))-(1.854-(1042/(J730+459.6)))*(INDEX(FX_Input,W$5,J$3*$Z$5+$AA$5-1)^0.5)+((2416/(J730+459.6)-2.013)*LOG10(INDEX(FX_Input,W$5,J$3*$Z$5+$AA$5)))-(8742/(J730+459.6))+15.64),EXP(INDEX(Antoines,MATCH(J722,Antoine_Name,0),2)-INDEX(Antoines,MATCH(J722,Antoine_Name,0),3)/(J730+459.6))))),0)</f>
        <v>8.3358107202842254E-3</v>
      </c>
      <c r="K733" cm="1">
        <f t="array" ref="K733">IFERROR(IF(K723="Chemical",(10^(INDEX(Antoines,MATCH(K722,Antoine_Name,0),2)-INDEX(Antoines,MATCH(K722,Antoine_Name,0),3)/(INDEX(Antoines,MATCH(K722,Antoine_Name,0),4)+(K730-32)*5/9)))*14.7/760,IF(K723="Crude Oil",EXP((2799/(K730+459.6)-2.227)*LOG10(INDEX(FX_Input,X$5,K$3*$Z$5+$AA$5))-(7261/(K730+459.6))+12.82),IF(K723="Refined Petroleum Stock",EXP((0.7553-(413/(K730+459.6)))*(INDEX(FX_Input,X$5,K$3*$Z$5+$AA$5-1)^0.5)*LOG10(INDEX(FX_Input,X$5,K$3*$Z$5+$AA$5))-(1.854-(1042/(K730+459.6)))*(INDEX(FX_Input,X$5,K$3*$Z$5+$AA$5-1)^0.5)+((2416/(K730+459.6)-2.013)*LOG10(INDEX(FX_Input,X$5,K$3*$Z$5+$AA$5)))-(8742/(K730+459.6))+15.64),EXP(INDEX(Antoines,MATCH(K722,Antoine_Name,0),2)-INDEX(Antoines,MATCH(K722,Antoine_Name,0),3)/(K730+459.6))))),0)</f>
        <v>8.4605262729351115E-3</v>
      </c>
      <c r="L733" cm="1">
        <f t="array" ref="L733">IFERROR(IF(L723="Chemical",(10^(INDEX(Antoines,MATCH(L722,Antoine_Name,0),2)-INDEX(Antoines,MATCH(L722,Antoine_Name,0),3)/(INDEX(Antoines,MATCH(L722,Antoine_Name,0),4)+(L730-32)*5/9)))*14.7/760,IF(L723="Crude Oil",EXP((2799/(L730+459.6)-2.227)*LOG10(INDEX(FX_Input,Y$5,L$3*$Z$5+$AA$5))-(7261/(L730+459.6))+12.82),IF(L723="Refined Petroleum Stock",EXP((0.7553-(413/(L730+459.6)))*(INDEX(FX_Input,Y$5,L$3*$Z$5+$AA$5-1)^0.5)*LOG10(INDEX(FX_Input,Y$5,L$3*$Z$5+$AA$5))-(1.854-(1042/(L730+459.6)))*(INDEX(FX_Input,Y$5,L$3*$Z$5+$AA$5-1)^0.5)+((2416/(L730+459.6)-2.013)*LOG10(INDEX(FX_Input,Y$5,L$3*$Z$5+$AA$5)))-(8742/(L730+459.6))+15.64),EXP(INDEX(Antoines,MATCH(L722,Antoine_Name,0),2)-INDEX(Antoines,MATCH(L722,Antoine_Name,0),3)/(L730+459.6))))),0)</f>
        <v>7.8399882233967533E-3</v>
      </c>
      <c r="M733" cm="1">
        <f t="array" ref="M733">IFERROR(IF(M723="Chemical",(10^(INDEX(Antoines,MATCH(M722,Antoine_Name,0),2)-INDEX(Antoines,MATCH(M722,Antoine_Name,0),3)/(INDEX(Antoines,MATCH(M722,Antoine_Name,0),4)+(M730-32)*5/9)))*14.7/760,IF(M723="Crude Oil",EXP((2799/(M730+459.6)-2.227)*LOG10(INDEX(FX_Input,Z$5,M$3*$Z$5+$AA$5))-(7261/(M730+459.6))+12.82),IF(M723="Refined Petroleum Stock",EXP((0.7553-(413/(M730+459.6)))*(INDEX(FX_Input,Z$5,M$3*$Z$5+$AA$5-1)^0.5)*LOG10(INDEX(FX_Input,Z$5,M$3*$Z$5+$AA$5))-(1.854-(1042/(M730+459.6)))*(INDEX(FX_Input,Z$5,M$3*$Z$5+$AA$5-1)^0.5)+((2416/(M730+459.6)-2.013)*LOG10(INDEX(FX_Input,Z$5,M$3*$Z$5+$AA$5)))-(8742/(M730+459.6))+15.64),EXP(INDEX(Antoines,MATCH(M722,Antoine_Name,0),2)-INDEX(Antoines,MATCH(M722,Antoine_Name,0),3)/(M730+459.6))))),0)</f>
        <v>6.4173462075160911E-3</v>
      </c>
      <c r="N733" cm="1">
        <f t="array" ref="N733">IFERROR(IF(N723="Chemical",(10^(INDEX(Antoines,MATCH(N722,Antoine_Name,0),2)-INDEX(Antoines,MATCH(N722,Antoine_Name,0),3)/(INDEX(Antoines,MATCH(N722,Antoine_Name,0),4)+(N730-32)*5/9)))*14.7/760,IF(N723="Crude Oil",EXP((2799/(N730+459.6)-2.227)*LOG10(INDEX(FX_Input,AA$5,N$3*$Z$5+$AA$5))-(7261/(N730+459.6))+12.82),IF(N723="Refined Petroleum Stock",EXP((0.7553-(413/(N730+459.6)))*(INDEX(FX_Input,AA$5,N$3*$Z$5+$AA$5-1)^0.5)*LOG10(INDEX(FX_Input,AA$5,N$3*$Z$5+$AA$5))-(1.854-(1042/(N730+459.6)))*(INDEX(FX_Input,AA$5,N$3*$Z$5+$AA$5-1)^0.5)+((2416/(N730+459.6)-2.013)*LOG10(INDEX(FX_Input,AA$5,N$3*$Z$5+$AA$5)))-(8742/(N730+459.6))+15.64),EXP(INDEX(Antoines,MATCH(N722,Antoine_Name,0),2)-INDEX(Antoines,MATCH(N722,Antoine_Name,0),3)/(N730+459.6))))),0)</f>
        <v>5.3015226887581056E-3</v>
      </c>
      <c r="O733" cm="1">
        <f t="array" ref="O733">IFERROR(IF(O723="Chemical",(10^(INDEX(Antoines,MATCH(O722,Antoine_Name,0),2)-INDEX(Antoines,MATCH(O722,Antoine_Name,0),3)/(INDEX(Antoines,MATCH(O722,Antoine_Name,0),4)+(O730-32)*5/9)))*14.7/760,IF(O723="Crude Oil",EXP((2799/(O730+459.6)-2.227)*LOG10(INDEX(FX_Input,AB$5,O$3*$Z$5+$AA$5))-(7261/(O730+459.6))+12.82),IF(O723="Refined Petroleum Stock",EXP((0.7553-(413/(O730+459.6)))*(INDEX(FX_Input,AB$5,O$3*$Z$5+$AA$5-1)^0.5)*LOG10(INDEX(FX_Input,AB$5,O$3*$Z$5+$AA$5))-(1.854-(1042/(O730+459.6)))*(INDEX(FX_Input,AB$5,O$3*$Z$5+$AA$5-1)^0.5)+((2416/(O730+459.6)-2.013)*LOG10(INDEX(FX_Input,AB$5,O$3*$Z$5+$AA$5)))-(8742/(O730+459.6))+15.64),EXP(INDEX(Antoines,MATCH(O722,Antoine_Name,0),2)-INDEX(Antoines,MATCH(O722,Antoine_Name,0),3)/(O730+459.6))))),0)</f>
        <v>4.68970903600947E-3</v>
      </c>
    </row>
    <row r="734" spans="2:32" ht="17.149999999999999" x14ac:dyDescent="0.55000000000000004">
      <c r="B734" t="str">
        <f t="shared" si="2580"/>
        <v>Portland</v>
      </c>
      <c r="C734" t="s">
        <v>576</v>
      </c>
      <c r="D734">
        <f>D726*D733</f>
        <v>4.739577185808354E-3</v>
      </c>
      <c r="E734">
        <f t="shared" ref="E734" si="2581">E726*E733</f>
        <v>4.8748667780818778E-3</v>
      </c>
      <c r="F734">
        <f t="shared" ref="F734" si="2582">F726*F733</f>
        <v>5.119885034186122E-3</v>
      </c>
      <c r="G734">
        <f t="shared" ref="G734" si="2583">G726*G733</f>
        <v>5.5846958573521795E-3</v>
      </c>
      <c r="H734">
        <f t="shared" ref="H734" si="2584">H726*H733</f>
        <v>6.5274070972739821E-3</v>
      </c>
      <c r="I734">
        <f t="shared" ref="I734" si="2585">I726*I733</f>
        <v>7.4199539958878279E-3</v>
      </c>
      <c r="J734">
        <f t="shared" ref="J734" si="2586">J726*J733</f>
        <v>8.3358107202842254E-3</v>
      </c>
      <c r="K734">
        <f t="shared" ref="K734" si="2587">K726*K733</f>
        <v>8.4605262729351115E-3</v>
      </c>
      <c r="L734">
        <f t="shared" ref="L734" si="2588">L726*L733</f>
        <v>7.8399882233967533E-3</v>
      </c>
      <c r="M734">
        <f t="shared" ref="M734" si="2589">M726*M733</f>
        <v>6.4173462075160911E-3</v>
      </c>
      <c r="N734">
        <f t="shared" ref="N734" si="2590">N726*N733</f>
        <v>5.3015226887581056E-3</v>
      </c>
      <c r="O734">
        <f t="shared" ref="O734" si="2591">O726*O733</f>
        <v>4.68970903600947E-3</v>
      </c>
    </row>
    <row r="735" spans="2:32" ht="17.149999999999999" x14ac:dyDescent="0.55000000000000004">
      <c r="B735" t="str">
        <f t="shared" si="2580"/>
        <v>Portland</v>
      </c>
      <c r="C735" t="s">
        <v>575</v>
      </c>
      <c r="D735" cm="1">
        <f t="array" ref="D735">IFERROR(IF(D725="Chemical",(10^(INDEX(Antoines,MATCH(D724,Antoine_Name,0),2)-INDEX(Antoines,MATCH(D724,Antoine_Name,0),3)/(INDEX(Antoines,MATCH(D724,Antoine_Name,0),4)+(D730-32)*5/9)))*14.7/760,IF(D725="Crude Oil",EXP((2799/(D730+459.6)-2.227)*LOG10(INDEX(FX_Input,Q$5,D$3*$Z$5+$AA$5))-(7261/(D730+459.6))+12.82),IF(D725="Refined Petroleum Stock",EXP((0.7553-(413/(D730+459.6)))*(INDEX(FX_Input,Q$5,D$3*$Z$5+$AA$5-1)^0.5)*LOG10(INDEX(FX_Input,Q$5,D$3*$Z$5+$AA$5))-(1.854-(1042/(D730+459.6)))*(INDEX(FX_Input,Q$5,D$3*$Z$5+$AA$5-1)^0.5)+((2416/(D730+459.6)-2.013)*LOG10(INDEX(FX_Input,Q$5,D$3*$Z$5+$AA$5)))-(8742/(D730+459.6))+15.64),EXP(INDEX(Antoines,MATCH(D724,Antoine_Name,0),2)-INDEX(Antoines,MATCH(D724,Antoine_Name,0),3)/(D730+459.6))))),0)</f>
        <v>0</v>
      </c>
      <c r="E735" cm="1">
        <f t="array" ref="E735">IFERROR(IF(E725="Chemical",(10^(INDEX(Antoines,MATCH(E724,Antoine_Name,0),2)-INDEX(Antoines,MATCH(E724,Antoine_Name,0),3)/(INDEX(Antoines,MATCH(E724,Antoine_Name,0),4)+(E730-32)*5/9)))*14.7/760,IF(E725="Crude Oil",EXP((2799/(E730+459.6)-2.227)*LOG10(INDEX(FX_Input,R$5,E$3*$Z$5+$AA$5))-(7261/(E730+459.6))+12.82),IF(E725="Refined Petroleum Stock",EXP((0.7553-(413/(E730+459.6)))*(INDEX(FX_Input,R$5,E$3*$Z$5+$AA$5-1)^0.5)*LOG10(INDEX(FX_Input,R$5,E$3*$Z$5+$AA$5))-(1.854-(1042/(E730+459.6)))*(INDEX(FX_Input,R$5,E$3*$Z$5+$AA$5-1)^0.5)+((2416/(E730+459.6)-2.013)*LOG10(INDEX(FX_Input,R$5,E$3*$Z$5+$AA$5)))-(8742/(E730+459.6))+15.64),EXP(INDEX(Antoines,MATCH(E724,Antoine_Name,0),2)-INDEX(Antoines,MATCH(E724,Antoine_Name,0),3)/(E730+459.6))))),0)</f>
        <v>0</v>
      </c>
      <c r="F735" cm="1">
        <f t="array" ref="F735">IFERROR(IF(F725="Chemical",(10^(INDEX(Antoines,MATCH(F724,Antoine_Name,0),2)-INDEX(Antoines,MATCH(F724,Antoine_Name,0),3)/(INDEX(Antoines,MATCH(F724,Antoine_Name,0),4)+(F730-32)*5/9)))*14.7/760,IF(F725="Crude Oil",EXP((2799/(F730+459.6)-2.227)*LOG10(INDEX(FX_Input,S$5,F$3*$Z$5+$AA$5))-(7261/(F730+459.6))+12.82),IF(F725="Refined Petroleum Stock",EXP((0.7553-(413/(F730+459.6)))*(INDEX(FX_Input,S$5,F$3*$Z$5+$AA$5-1)^0.5)*LOG10(INDEX(FX_Input,S$5,F$3*$Z$5+$AA$5))-(1.854-(1042/(F730+459.6)))*(INDEX(FX_Input,S$5,F$3*$Z$5+$AA$5-1)^0.5)+((2416/(F730+459.6)-2.013)*LOG10(INDEX(FX_Input,S$5,F$3*$Z$5+$AA$5)))-(8742/(F730+459.6))+15.64),EXP(INDEX(Antoines,MATCH(F724,Antoine_Name,0),2)-INDEX(Antoines,MATCH(F724,Antoine_Name,0),3)/(F730+459.6))))),0)</f>
        <v>0</v>
      </c>
      <c r="G735" cm="1">
        <f t="array" ref="G735">IFERROR(IF(G725="Chemical",(10^(INDEX(Antoines,MATCH(G724,Antoine_Name,0),2)-INDEX(Antoines,MATCH(G724,Antoine_Name,0),3)/(INDEX(Antoines,MATCH(G724,Antoine_Name,0),4)+(G730-32)*5/9)))*14.7/760,IF(G725="Crude Oil",EXP((2799/(G730+459.6)-2.227)*LOG10(INDEX(FX_Input,T$5,G$3*$Z$5+$AA$5))-(7261/(G730+459.6))+12.82),IF(G725="Refined Petroleum Stock",EXP((0.7553-(413/(G730+459.6)))*(INDEX(FX_Input,T$5,G$3*$Z$5+$AA$5-1)^0.5)*LOG10(INDEX(FX_Input,T$5,G$3*$Z$5+$AA$5))-(1.854-(1042/(G730+459.6)))*(INDEX(FX_Input,T$5,G$3*$Z$5+$AA$5-1)^0.5)+((2416/(G730+459.6)-2.013)*LOG10(INDEX(FX_Input,T$5,G$3*$Z$5+$AA$5)))-(8742/(G730+459.6))+15.64),EXP(INDEX(Antoines,MATCH(G724,Antoine_Name,0),2)-INDEX(Antoines,MATCH(G724,Antoine_Name,0),3)/(G730+459.6))))),0)</f>
        <v>0</v>
      </c>
      <c r="H735" cm="1">
        <f t="array" ref="H735">IFERROR(IF(H725="Chemical",(10^(INDEX(Antoines,MATCH(H724,Antoine_Name,0),2)-INDEX(Antoines,MATCH(H724,Antoine_Name,0),3)/(INDEX(Antoines,MATCH(H724,Antoine_Name,0),4)+(H730-32)*5/9)))*14.7/760,IF(H725="Crude Oil",EXP((2799/(H730+459.6)-2.227)*LOG10(INDEX(FX_Input,U$5,H$3*$Z$5+$AA$5))-(7261/(H730+459.6))+12.82),IF(H725="Refined Petroleum Stock",EXP((0.7553-(413/(H730+459.6)))*(INDEX(FX_Input,U$5,H$3*$Z$5+$AA$5-1)^0.5)*LOG10(INDEX(FX_Input,U$5,H$3*$Z$5+$AA$5))-(1.854-(1042/(H730+459.6)))*(INDEX(FX_Input,U$5,H$3*$Z$5+$AA$5-1)^0.5)+((2416/(H730+459.6)-2.013)*LOG10(INDEX(FX_Input,U$5,H$3*$Z$5+$AA$5)))-(8742/(H730+459.6))+15.64),EXP(INDEX(Antoines,MATCH(H724,Antoine_Name,0),2)-INDEX(Antoines,MATCH(H724,Antoine_Name,0),3)/(H730+459.6))))),0)</f>
        <v>0</v>
      </c>
      <c r="I735" cm="1">
        <f t="array" ref="I735">IFERROR(IF(I725="Chemical",(10^(INDEX(Antoines,MATCH(I724,Antoine_Name,0),2)-INDEX(Antoines,MATCH(I724,Antoine_Name,0),3)/(INDEX(Antoines,MATCH(I724,Antoine_Name,0),4)+(I730-32)*5/9)))*14.7/760,IF(I725="Crude Oil",EXP((2799/(I730+459.6)-2.227)*LOG10(INDEX(FX_Input,V$5,I$3*$Z$5+$AA$5))-(7261/(I730+459.6))+12.82),IF(I725="Refined Petroleum Stock",EXP((0.7553-(413/(I730+459.6)))*(INDEX(FX_Input,V$5,I$3*$Z$5+$AA$5-1)^0.5)*LOG10(INDEX(FX_Input,V$5,I$3*$Z$5+$AA$5))-(1.854-(1042/(I730+459.6)))*(INDEX(FX_Input,V$5,I$3*$Z$5+$AA$5-1)^0.5)+((2416/(I730+459.6)-2.013)*LOG10(INDEX(FX_Input,V$5,I$3*$Z$5+$AA$5)))-(8742/(I730+459.6))+15.64),EXP(INDEX(Antoines,MATCH(I724,Antoine_Name,0),2)-INDEX(Antoines,MATCH(I724,Antoine_Name,0),3)/(I730+459.6))))),0)</f>
        <v>0</v>
      </c>
      <c r="J735" cm="1">
        <f t="array" ref="J735">IFERROR(IF(J725="Chemical",(10^(INDEX(Antoines,MATCH(J724,Antoine_Name,0),2)-INDEX(Antoines,MATCH(J724,Antoine_Name,0),3)/(INDEX(Antoines,MATCH(J724,Antoine_Name,0),4)+(J730-32)*5/9)))*14.7/760,IF(J725="Crude Oil",EXP((2799/(J730+459.6)-2.227)*LOG10(INDEX(FX_Input,W$5,J$3*$Z$5+$AA$5))-(7261/(J730+459.6))+12.82),IF(J725="Refined Petroleum Stock",EXP((0.7553-(413/(J730+459.6)))*(INDEX(FX_Input,W$5,J$3*$Z$5+$AA$5-1)^0.5)*LOG10(INDEX(FX_Input,W$5,J$3*$Z$5+$AA$5))-(1.854-(1042/(J730+459.6)))*(INDEX(FX_Input,W$5,J$3*$Z$5+$AA$5-1)^0.5)+((2416/(J730+459.6)-2.013)*LOG10(INDEX(FX_Input,W$5,J$3*$Z$5+$AA$5)))-(8742/(J730+459.6))+15.64),EXP(INDEX(Antoines,MATCH(J724,Antoine_Name,0),2)-INDEX(Antoines,MATCH(J724,Antoine_Name,0),3)/(J730+459.6))))),0)</f>
        <v>0</v>
      </c>
      <c r="K735" cm="1">
        <f t="array" ref="K735">IFERROR(IF(K725="Chemical",(10^(INDEX(Antoines,MATCH(K724,Antoine_Name,0),2)-INDEX(Antoines,MATCH(K724,Antoine_Name,0),3)/(INDEX(Antoines,MATCH(K724,Antoine_Name,0),4)+(K730-32)*5/9)))*14.7/760,IF(K725="Crude Oil",EXP((2799/(K730+459.6)-2.227)*LOG10(INDEX(FX_Input,X$5,K$3*$Z$5+$AA$5))-(7261/(K730+459.6))+12.82),IF(K725="Refined Petroleum Stock",EXP((0.7553-(413/(K730+459.6)))*(INDEX(FX_Input,X$5,K$3*$Z$5+$AA$5-1)^0.5)*LOG10(INDEX(FX_Input,X$5,K$3*$Z$5+$AA$5))-(1.854-(1042/(K730+459.6)))*(INDEX(FX_Input,X$5,K$3*$Z$5+$AA$5-1)^0.5)+((2416/(K730+459.6)-2.013)*LOG10(INDEX(FX_Input,X$5,K$3*$Z$5+$AA$5)))-(8742/(K730+459.6))+15.64),EXP(INDEX(Antoines,MATCH(K724,Antoine_Name,0),2)-INDEX(Antoines,MATCH(K724,Antoine_Name,0),3)/(K730+459.6))))),0)</f>
        <v>0</v>
      </c>
      <c r="L735" cm="1">
        <f t="array" ref="L735">IFERROR(IF(L725="Chemical",(10^(INDEX(Antoines,MATCH(L724,Antoine_Name,0),2)-INDEX(Antoines,MATCH(L724,Antoine_Name,0),3)/(INDEX(Antoines,MATCH(L724,Antoine_Name,0),4)+(L730-32)*5/9)))*14.7/760,IF(L725="Crude Oil",EXP((2799/(L730+459.6)-2.227)*LOG10(INDEX(FX_Input,Y$5,L$3*$Z$5+$AA$5))-(7261/(L730+459.6))+12.82),IF(L725="Refined Petroleum Stock",EXP((0.7553-(413/(L730+459.6)))*(INDEX(FX_Input,Y$5,L$3*$Z$5+$AA$5-1)^0.5)*LOG10(INDEX(FX_Input,Y$5,L$3*$Z$5+$AA$5))-(1.854-(1042/(L730+459.6)))*(INDEX(FX_Input,Y$5,L$3*$Z$5+$AA$5-1)^0.5)+((2416/(L730+459.6)-2.013)*LOG10(INDEX(FX_Input,Y$5,L$3*$Z$5+$AA$5)))-(8742/(L730+459.6))+15.64),EXP(INDEX(Antoines,MATCH(L724,Antoine_Name,0),2)-INDEX(Antoines,MATCH(L724,Antoine_Name,0),3)/(L730+459.6))))),0)</f>
        <v>0</v>
      </c>
      <c r="M735" cm="1">
        <f t="array" ref="M735">IFERROR(IF(M725="Chemical",(10^(INDEX(Antoines,MATCH(M724,Antoine_Name,0),2)-INDEX(Antoines,MATCH(M724,Antoine_Name,0),3)/(INDEX(Antoines,MATCH(M724,Antoine_Name,0),4)+(M730-32)*5/9)))*14.7/760,IF(M725="Crude Oil",EXP((2799/(M730+459.6)-2.227)*LOG10(INDEX(FX_Input,Z$5,M$3*$Z$5+$AA$5))-(7261/(M730+459.6))+12.82),IF(M725="Refined Petroleum Stock",EXP((0.7553-(413/(M730+459.6)))*(INDEX(FX_Input,Z$5,M$3*$Z$5+$AA$5-1)^0.5)*LOG10(INDEX(FX_Input,Z$5,M$3*$Z$5+$AA$5))-(1.854-(1042/(M730+459.6)))*(INDEX(FX_Input,Z$5,M$3*$Z$5+$AA$5-1)^0.5)+((2416/(M730+459.6)-2.013)*LOG10(INDEX(FX_Input,Z$5,M$3*$Z$5+$AA$5)))-(8742/(M730+459.6))+15.64),EXP(INDEX(Antoines,MATCH(M724,Antoine_Name,0),2)-INDEX(Antoines,MATCH(M724,Antoine_Name,0),3)/(M730+459.6))))),0)</f>
        <v>0</v>
      </c>
      <c r="N735" cm="1">
        <f t="array" ref="N735">IFERROR(IF(N725="Chemical",(10^(INDEX(Antoines,MATCH(N724,Antoine_Name,0),2)-INDEX(Antoines,MATCH(N724,Antoine_Name,0),3)/(INDEX(Antoines,MATCH(N724,Antoine_Name,0),4)+(N730-32)*5/9)))*14.7/760,IF(N725="Crude Oil",EXP((2799/(N730+459.6)-2.227)*LOG10(INDEX(FX_Input,AA$5,N$3*$Z$5+$AA$5))-(7261/(N730+459.6))+12.82),IF(N725="Refined Petroleum Stock",EXP((0.7553-(413/(N730+459.6)))*(INDEX(FX_Input,AA$5,N$3*$Z$5+$AA$5-1)^0.5)*LOG10(INDEX(FX_Input,AA$5,N$3*$Z$5+$AA$5))-(1.854-(1042/(N730+459.6)))*(INDEX(FX_Input,AA$5,N$3*$Z$5+$AA$5-1)^0.5)+((2416/(N730+459.6)-2.013)*LOG10(INDEX(FX_Input,AA$5,N$3*$Z$5+$AA$5)))-(8742/(N730+459.6))+15.64),EXP(INDEX(Antoines,MATCH(N724,Antoine_Name,0),2)-INDEX(Antoines,MATCH(N724,Antoine_Name,0),3)/(N730+459.6))))),0)</f>
        <v>0</v>
      </c>
      <c r="O735" cm="1">
        <f t="array" ref="O735">IFERROR(IF(O725="Chemical",(10^(INDEX(Antoines,MATCH(O724,Antoine_Name,0),2)-INDEX(Antoines,MATCH(O724,Antoine_Name,0),3)/(INDEX(Antoines,MATCH(O724,Antoine_Name,0),4)+(O730-32)*5/9)))*14.7/760,IF(O725="Crude Oil",EXP((2799/(O730+459.6)-2.227)*LOG10(INDEX(FX_Input,AB$5,O$3*$Z$5+$AA$5))-(7261/(O730+459.6))+12.82),IF(O725="Refined Petroleum Stock",EXP((0.7553-(413/(O730+459.6)))*(INDEX(FX_Input,AB$5,O$3*$Z$5+$AA$5-1)^0.5)*LOG10(INDEX(FX_Input,AB$5,O$3*$Z$5+$AA$5))-(1.854-(1042/(O730+459.6)))*(INDEX(FX_Input,AB$5,O$3*$Z$5+$AA$5-1)^0.5)+((2416/(O730+459.6)-2.013)*LOG10(INDEX(FX_Input,AB$5,O$3*$Z$5+$AA$5)))-(8742/(O730+459.6))+15.64),EXP(INDEX(Antoines,MATCH(O724,Antoine_Name,0),2)-INDEX(Antoines,MATCH(O724,Antoine_Name,0),3)/(O730+459.6))))),0)</f>
        <v>0</v>
      </c>
    </row>
    <row r="736" spans="2:32" ht="17.149999999999999" x14ac:dyDescent="0.55000000000000004">
      <c r="B736" t="str">
        <f t="shared" si="2580"/>
        <v>Portland</v>
      </c>
      <c r="C736" t="s">
        <v>577</v>
      </c>
      <c r="D736">
        <f>D735*D728</f>
        <v>0</v>
      </c>
      <c r="E736">
        <f t="shared" ref="E736" si="2592">E735*E728</f>
        <v>0</v>
      </c>
      <c r="F736">
        <f t="shared" ref="F736" si="2593">F735*F728</f>
        <v>0</v>
      </c>
      <c r="G736">
        <f t="shared" ref="G736" si="2594">G735*G728</f>
        <v>0</v>
      </c>
      <c r="H736">
        <f t="shared" ref="H736" si="2595">H735*H728</f>
        <v>0</v>
      </c>
      <c r="I736">
        <f t="shared" ref="I736" si="2596">I735*I728</f>
        <v>0</v>
      </c>
      <c r="J736">
        <f t="shared" ref="J736" si="2597">J735*J728</f>
        <v>0</v>
      </c>
      <c r="K736">
        <f t="shared" ref="K736" si="2598">K735*K728</f>
        <v>0</v>
      </c>
      <c r="L736">
        <f t="shared" ref="L736" si="2599">L735*L728</f>
        <v>0</v>
      </c>
      <c r="M736">
        <f t="shared" ref="M736" si="2600">M735*M728</f>
        <v>0</v>
      </c>
      <c r="N736">
        <f t="shared" ref="N736" si="2601">N735*N728</f>
        <v>0</v>
      </c>
      <c r="O736">
        <f t="shared" ref="O736" si="2602">O735*O728</f>
        <v>0</v>
      </c>
    </row>
    <row r="737" spans="1:32" ht="17.149999999999999" x14ac:dyDescent="0.55000000000000004">
      <c r="B737" t="str">
        <f t="shared" si="2580"/>
        <v>Portland</v>
      </c>
      <c r="C737" t="s">
        <v>578</v>
      </c>
      <c r="D737">
        <f>D736+D734</f>
        <v>4.739577185808354E-3</v>
      </c>
      <c r="E737">
        <f t="shared" ref="E737" si="2603">E736+E734</f>
        <v>4.8748667780818778E-3</v>
      </c>
      <c r="F737">
        <f t="shared" ref="F737" si="2604">F736+F734</f>
        <v>5.119885034186122E-3</v>
      </c>
      <c r="G737">
        <f t="shared" ref="G737" si="2605">G736+G734</f>
        <v>5.5846958573521795E-3</v>
      </c>
      <c r="H737">
        <f t="shared" ref="H737" si="2606">H736+H734</f>
        <v>6.5274070972739821E-3</v>
      </c>
      <c r="I737">
        <f t="shared" ref="I737" si="2607">I736+I734</f>
        <v>7.4199539958878279E-3</v>
      </c>
      <c r="J737">
        <f t="shared" ref="J737" si="2608">J736+J734</f>
        <v>8.3358107202842254E-3</v>
      </c>
      <c r="K737">
        <f t="shared" ref="K737" si="2609">K736+K734</f>
        <v>8.4605262729351115E-3</v>
      </c>
      <c r="L737">
        <f t="shared" ref="L737" si="2610">L736+L734</f>
        <v>7.8399882233967533E-3</v>
      </c>
      <c r="M737">
        <f t="shared" ref="M737" si="2611">M736+M734</f>
        <v>6.4173462075160911E-3</v>
      </c>
      <c r="N737">
        <f t="shared" ref="N737" si="2612">N736+N734</f>
        <v>5.3015226887581056E-3</v>
      </c>
      <c r="O737">
        <f t="shared" ref="O737" si="2613">O736+O734</f>
        <v>4.68970903600947E-3</v>
      </c>
    </row>
    <row r="738" spans="1:32" ht="17.149999999999999" x14ac:dyDescent="0.55000000000000004">
      <c r="B738" t="str">
        <f t="shared" si="2580"/>
        <v>Portland</v>
      </c>
      <c r="C738" t="s">
        <v>579</v>
      </c>
      <c r="D738" cm="1">
        <f t="array" ref="D738">IFERROR(IF(D723="Chemical",(10^(INDEX(Antoines,MATCH(D722,Antoine_Name,0),2)-INDEX(Antoines,MATCH(D722,Antoine_Name,0),3)/(INDEX(Antoines,MATCH(D722,Antoine_Name,0),4)+(D731-32)*5/9)))*14.7/760,IF(D723="Crude Oil",EXP((2799/(D731+459.6)-2.227)*LOG10(INDEX(FX_Input,Q$5,D$3*$Z$5+$AA$5))-(7261/(D731+459.6))+12.82),IF(D723="Refined Petroleum Stock",EXP((0.7553-(413/(D731+459.6)))*(INDEX(FX_Input,Q$5,D$3*$Z$5+$AA$5-1)^0.5)*LOG10(INDEX(FX_Input,Q$5,D$3*$Z$5+$AA$5))-(1.854-(1042/(D731+459.6)))*(INDEX(FX_Input,Q$5,D$3*$Z$5+$AA$5-1)^0.5)+((2416/(D731+459.6)-2.013)*LOG10(INDEX(FX_Input,Q$5,D$3*$Z$5+$AA$5)))-(8742/(D731+459.6))+15.64),EXP(INDEX(Antoines,MATCH(D722,Antoine_Name,0),2)-INDEX(Antoines,MATCH(D722,Antoine_Name,0),3)/(D731+459.6))))),0)</f>
        <v>4.739577185808354E-3</v>
      </c>
      <c r="E738" cm="1">
        <f t="array" ref="E738">IFERROR(IF(E723="Chemical",(10^(INDEX(Antoines,MATCH(E722,Antoine_Name,0),2)-INDEX(Antoines,MATCH(E722,Antoine_Name,0),3)/(INDEX(Antoines,MATCH(E722,Antoine_Name,0),4)+(E731-32)*5/9)))*14.7/760,IF(E723="Crude Oil",EXP((2799/(E731+459.6)-2.227)*LOG10(INDEX(FX_Input,R$5,E$3*$Z$5+$AA$5))-(7261/(E731+459.6))+12.82),IF(E723="Refined Petroleum Stock",EXP((0.7553-(413/(E731+459.6)))*(INDEX(FX_Input,R$5,E$3*$Z$5+$AA$5-1)^0.5)*LOG10(INDEX(FX_Input,R$5,E$3*$Z$5+$AA$5))-(1.854-(1042/(E731+459.6)))*(INDEX(FX_Input,R$5,E$3*$Z$5+$AA$5-1)^0.5)+((2416/(E731+459.6)-2.013)*LOG10(INDEX(FX_Input,R$5,E$3*$Z$5+$AA$5)))-(8742/(E731+459.6))+15.64),EXP(INDEX(Antoines,MATCH(E722,Antoine_Name,0),2)-INDEX(Antoines,MATCH(E722,Antoine_Name,0),3)/(E731+459.6))))),0)</f>
        <v>4.8748667780818778E-3</v>
      </c>
      <c r="F738" cm="1">
        <f t="array" ref="F738">IFERROR(IF(F723="Chemical",(10^(INDEX(Antoines,MATCH(F722,Antoine_Name,0),2)-INDEX(Antoines,MATCH(F722,Antoine_Name,0),3)/(INDEX(Antoines,MATCH(F722,Antoine_Name,0),4)+(F731-32)*5/9)))*14.7/760,IF(F723="Crude Oil",EXP((2799/(F731+459.6)-2.227)*LOG10(INDEX(FX_Input,S$5,F$3*$Z$5+$AA$5))-(7261/(F731+459.6))+12.82),IF(F723="Refined Petroleum Stock",EXP((0.7553-(413/(F731+459.6)))*(INDEX(FX_Input,S$5,F$3*$Z$5+$AA$5-1)^0.5)*LOG10(INDEX(FX_Input,S$5,F$3*$Z$5+$AA$5))-(1.854-(1042/(F731+459.6)))*(INDEX(FX_Input,S$5,F$3*$Z$5+$AA$5-1)^0.5)+((2416/(F731+459.6)-2.013)*LOG10(INDEX(FX_Input,S$5,F$3*$Z$5+$AA$5)))-(8742/(F731+459.6))+15.64),EXP(INDEX(Antoines,MATCH(F722,Antoine_Name,0),2)-INDEX(Antoines,MATCH(F722,Antoine_Name,0),3)/(F731+459.6))))),0)</f>
        <v>5.119885034186122E-3</v>
      </c>
      <c r="G738" cm="1">
        <f t="array" ref="G738">IFERROR(IF(G723="Chemical",(10^(INDEX(Antoines,MATCH(G722,Antoine_Name,0),2)-INDEX(Antoines,MATCH(G722,Antoine_Name,0),3)/(INDEX(Antoines,MATCH(G722,Antoine_Name,0),4)+(G731-32)*5/9)))*14.7/760,IF(G723="Crude Oil",EXP((2799/(G731+459.6)-2.227)*LOG10(INDEX(FX_Input,T$5,G$3*$Z$5+$AA$5))-(7261/(G731+459.6))+12.82),IF(G723="Refined Petroleum Stock",EXP((0.7553-(413/(G731+459.6)))*(INDEX(FX_Input,T$5,G$3*$Z$5+$AA$5-1)^0.5)*LOG10(INDEX(FX_Input,T$5,G$3*$Z$5+$AA$5))-(1.854-(1042/(G731+459.6)))*(INDEX(FX_Input,T$5,G$3*$Z$5+$AA$5-1)^0.5)+((2416/(G731+459.6)-2.013)*LOG10(INDEX(FX_Input,T$5,G$3*$Z$5+$AA$5)))-(8742/(G731+459.6))+15.64),EXP(INDEX(Antoines,MATCH(G722,Antoine_Name,0),2)-INDEX(Antoines,MATCH(G722,Antoine_Name,0),3)/(G731+459.6))))),0)</f>
        <v>5.5846958573521795E-3</v>
      </c>
      <c r="H738" cm="1">
        <f t="array" ref="H738">IFERROR(IF(H723="Chemical",(10^(INDEX(Antoines,MATCH(H722,Antoine_Name,0),2)-INDEX(Antoines,MATCH(H722,Antoine_Name,0),3)/(INDEX(Antoines,MATCH(H722,Antoine_Name,0),4)+(H731-32)*5/9)))*14.7/760,IF(H723="Crude Oil",EXP((2799/(H731+459.6)-2.227)*LOG10(INDEX(FX_Input,U$5,H$3*$Z$5+$AA$5))-(7261/(H731+459.6))+12.82),IF(H723="Refined Petroleum Stock",EXP((0.7553-(413/(H731+459.6)))*(INDEX(FX_Input,U$5,H$3*$Z$5+$AA$5-1)^0.5)*LOG10(INDEX(FX_Input,U$5,H$3*$Z$5+$AA$5))-(1.854-(1042/(H731+459.6)))*(INDEX(FX_Input,U$5,H$3*$Z$5+$AA$5-1)^0.5)+((2416/(H731+459.6)-2.013)*LOG10(INDEX(FX_Input,U$5,H$3*$Z$5+$AA$5)))-(8742/(H731+459.6))+15.64),EXP(INDEX(Antoines,MATCH(H722,Antoine_Name,0),2)-INDEX(Antoines,MATCH(H722,Antoine_Name,0),3)/(H731+459.6))))),0)</f>
        <v>6.5274070972739821E-3</v>
      </c>
      <c r="I738" cm="1">
        <f t="array" ref="I738">IFERROR(IF(I723="Chemical",(10^(INDEX(Antoines,MATCH(I722,Antoine_Name,0),2)-INDEX(Antoines,MATCH(I722,Antoine_Name,0),3)/(INDEX(Antoines,MATCH(I722,Antoine_Name,0),4)+(I731-32)*5/9)))*14.7/760,IF(I723="Crude Oil",EXP((2799/(I731+459.6)-2.227)*LOG10(INDEX(FX_Input,V$5,I$3*$Z$5+$AA$5))-(7261/(I731+459.6))+12.82),IF(I723="Refined Petroleum Stock",EXP((0.7553-(413/(I731+459.6)))*(INDEX(FX_Input,V$5,I$3*$Z$5+$AA$5-1)^0.5)*LOG10(INDEX(FX_Input,V$5,I$3*$Z$5+$AA$5))-(1.854-(1042/(I731+459.6)))*(INDEX(FX_Input,V$5,I$3*$Z$5+$AA$5-1)^0.5)+((2416/(I731+459.6)-2.013)*LOG10(INDEX(FX_Input,V$5,I$3*$Z$5+$AA$5)))-(8742/(I731+459.6))+15.64),EXP(INDEX(Antoines,MATCH(I722,Antoine_Name,0),2)-INDEX(Antoines,MATCH(I722,Antoine_Name,0),3)/(I731+459.6))))),0)</f>
        <v>7.4199539958878279E-3</v>
      </c>
      <c r="J738" cm="1">
        <f t="array" ref="J738">IFERROR(IF(J723="Chemical",(10^(INDEX(Antoines,MATCH(J722,Antoine_Name,0),2)-INDEX(Antoines,MATCH(J722,Antoine_Name,0),3)/(INDEX(Antoines,MATCH(J722,Antoine_Name,0),4)+(J731-32)*5/9)))*14.7/760,IF(J723="Crude Oil",EXP((2799/(J731+459.6)-2.227)*LOG10(INDEX(FX_Input,W$5,J$3*$Z$5+$AA$5))-(7261/(J731+459.6))+12.82),IF(J723="Refined Petroleum Stock",EXP((0.7553-(413/(J731+459.6)))*(INDEX(FX_Input,W$5,J$3*$Z$5+$AA$5-1)^0.5)*LOG10(INDEX(FX_Input,W$5,J$3*$Z$5+$AA$5))-(1.854-(1042/(J731+459.6)))*(INDEX(FX_Input,W$5,J$3*$Z$5+$AA$5-1)^0.5)+((2416/(J731+459.6)-2.013)*LOG10(INDEX(FX_Input,W$5,J$3*$Z$5+$AA$5)))-(8742/(J731+459.6))+15.64),EXP(INDEX(Antoines,MATCH(J722,Antoine_Name,0),2)-INDEX(Antoines,MATCH(J722,Antoine_Name,0),3)/(J731+459.6))))),0)</f>
        <v>8.3358107202842254E-3</v>
      </c>
      <c r="K738" cm="1">
        <f t="array" ref="K738">IFERROR(IF(K723="Chemical",(10^(INDEX(Antoines,MATCH(K722,Antoine_Name,0),2)-INDEX(Antoines,MATCH(K722,Antoine_Name,0),3)/(INDEX(Antoines,MATCH(K722,Antoine_Name,0),4)+(K731-32)*5/9)))*14.7/760,IF(K723="Crude Oil",EXP((2799/(K731+459.6)-2.227)*LOG10(INDEX(FX_Input,X$5,K$3*$Z$5+$AA$5))-(7261/(K731+459.6))+12.82),IF(K723="Refined Petroleum Stock",EXP((0.7553-(413/(K731+459.6)))*(INDEX(FX_Input,X$5,K$3*$Z$5+$AA$5-1)^0.5)*LOG10(INDEX(FX_Input,X$5,K$3*$Z$5+$AA$5))-(1.854-(1042/(K731+459.6)))*(INDEX(FX_Input,X$5,K$3*$Z$5+$AA$5-1)^0.5)+((2416/(K731+459.6)-2.013)*LOG10(INDEX(FX_Input,X$5,K$3*$Z$5+$AA$5)))-(8742/(K731+459.6))+15.64),EXP(INDEX(Antoines,MATCH(K722,Antoine_Name,0),2)-INDEX(Antoines,MATCH(K722,Antoine_Name,0),3)/(K731+459.6))))),0)</f>
        <v>8.4605262729351115E-3</v>
      </c>
      <c r="L738" cm="1">
        <f t="array" ref="L738">IFERROR(IF(L723="Chemical",(10^(INDEX(Antoines,MATCH(L722,Antoine_Name,0),2)-INDEX(Antoines,MATCH(L722,Antoine_Name,0),3)/(INDEX(Antoines,MATCH(L722,Antoine_Name,0),4)+(L731-32)*5/9)))*14.7/760,IF(L723="Crude Oil",EXP((2799/(L731+459.6)-2.227)*LOG10(INDEX(FX_Input,Y$5,L$3*$Z$5+$AA$5))-(7261/(L731+459.6))+12.82),IF(L723="Refined Petroleum Stock",EXP((0.7553-(413/(L731+459.6)))*(INDEX(FX_Input,Y$5,L$3*$Z$5+$AA$5-1)^0.5)*LOG10(INDEX(FX_Input,Y$5,L$3*$Z$5+$AA$5))-(1.854-(1042/(L731+459.6)))*(INDEX(FX_Input,Y$5,L$3*$Z$5+$AA$5-1)^0.5)+((2416/(L731+459.6)-2.013)*LOG10(INDEX(FX_Input,Y$5,L$3*$Z$5+$AA$5)))-(8742/(L731+459.6))+15.64),EXP(INDEX(Antoines,MATCH(L722,Antoine_Name,0),2)-INDEX(Antoines,MATCH(L722,Antoine_Name,0),3)/(L731+459.6))))),0)</f>
        <v>7.8399882233967533E-3</v>
      </c>
      <c r="M738" cm="1">
        <f t="array" ref="M738">IFERROR(IF(M723="Chemical",(10^(INDEX(Antoines,MATCH(M722,Antoine_Name,0),2)-INDEX(Antoines,MATCH(M722,Antoine_Name,0),3)/(INDEX(Antoines,MATCH(M722,Antoine_Name,0),4)+(M731-32)*5/9)))*14.7/760,IF(M723="Crude Oil",EXP((2799/(M731+459.6)-2.227)*LOG10(INDEX(FX_Input,Z$5,M$3*$Z$5+$AA$5))-(7261/(M731+459.6))+12.82),IF(M723="Refined Petroleum Stock",EXP((0.7553-(413/(M731+459.6)))*(INDEX(FX_Input,Z$5,M$3*$Z$5+$AA$5-1)^0.5)*LOG10(INDEX(FX_Input,Z$5,M$3*$Z$5+$AA$5))-(1.854-(1042/(M731+459.6)))*(INDEX(FX_Input,Z$5,M$3*$Z$5+$AA$5-1)^0.5)+((2416/(M731+459.6)-2.013)*LOG10(INDEX(FX_Input,Z$5,M$3*$Z$5+$AA$5)))-(8742/(M731+459.6))+15.64),EXP(INDEX(Antoines,MATCH(M722,Antoine_Name,0),2)-INDEX(Antoines,MATCH(M722,Antoine_Name,0),3)/(M731+459.6))))),0)</f>
        <v>6.4173462075160911E-3</v>
      </c>
      <c r="N738" cm="1">
        <f t="array" ref="N738">IFERROR(IF(N723="Chemical",(10^(INDEX(Antoines,MATCH(N722,Antoine_Name,0),2)-INDEX(Antoines,MATCH(N722,Antoine_Name,0),3)/(INDEX(Antoines,MATCH(N722,Antoine_Name,0),4)+(N731-32)*5/9)))*14.7/760,IF(N723="Crude Oil",EXP((2799/(N731+459.6)-2.227)*LOG10(INDEX(FX_Input,AA$5,N$3*$Z$5+$AA$5))-(7261/(N731+459.6))+12.82),IF(N723="Refined Petroleum Stock",EXP((0.7553-(413/(N731+459.6)))*(INDEX(FX_Input,AA$5,N$3*$Z$5+$AA$5-1)^0.5)*LOG10(INDEX(FX_Input,AA$5,N$3*$Z$5+$AA$5))-(1.854-(1042/(N731+459.6)))*(INDEX(FX_Input,AA$5,N$3*$Z$5+$AA$5-1)^0.5)+((2416/(N731+459.6)-2.013)*LOG10(INDEX(FX_Input,AA$5,N$3*$Z$5+$AA$5)))-(8742/(N731+459.6))+15.64),EXP(INDEX(Antoines,MATCH(N722,Antoine_Name,0),2)-INDEX(Antoines,MATCH(N722,Antoine_Name,0),3)/(N731+459.6))))),0)</f>
        <v>5.3015226887581056E-3</v>
      </c>
      <c r="O738" cm="1">
        <f t="array" ref="O738">IFERROR(IF(O723="Chemical",(10^(INDEX(Antoines,MATCH(O722,Antoine_Name,0),2)-INDEX(Antoines,MATCH(O722,Antoine_Name,0),3)/(INDEX(Antoines,MATCH(O722,Antoine_Name,0),4)+(O731-32)*5/9)))*14.7/760,IF(O723="Crude Oil",EXP((2799/(O731+459.6)-2.227)*LOG10(INDEX(FX_Input,AB$5,O$3*$Z$5+$AA$5))-(7261/(O731+459.6))+12.82),IF(O723="Refined Petroleum Stock",EXP((0.7553-(413/(O731+459.6)))*(INDEX(FX_Input,AB$5,O$3*$Z$5+$AA$5-1)^0.5)*LOG10(INDEX(FX_Input,AB$5,O$3*$Z$5+$AA$5))-(1.854-(1042/(O731+459.6)))*(INDEX(FX_Input,AB$5,O$3*$Z$5+$AA$5-1)^0.5)+((2416/(O731+459.6)-2.013)*LOG10(INDEX(FX_Input,AB$5,O$3*$Z$5+$AA$5)))-(8742/(O731+459.6))+15.64),EXP(INDEX(Antoines,MATCH(O722,Antoine_Name,0),2)-INDEX(Antoines,MATCH(O722,Antoine_Name,0),3)/(O731+459.6))))),0)</f>
        <v>4.68970903600947E-3</v>
      </c>
    </row>
    <row r="739" spans="1:32" ht="17.149999999999999" x14ac:dyDescent="0.55000000000000004">
      <c r="B739" t="str">
        <f t="shared" si="2580"/>
        <v>Portland</v>
      </c>
      <c r="C739" t="s">
        <v>580</v>
      </c>
      <c r="D739">
        <f>D738*D726</f>
        <v>4.739577185808354E-3</v>
      </c>
      <c r="E739">
        <f t="shared" ref="E739" si="2614">E738*E726</f>
        <v>4.8748667780818778E-3</v>
      </c>
      <c r="F739">
        <f t="shared" ref="F739" si="2615">F738*F726</f>
        <v>5.119885034186122E-3</v>
      </c>
      <c r="G739">
        <f t="shared" ref="G739" si="2616">G738*G726</f>
        <v>5.5846958573521795E-3</v>
      </c>
      <c r="H739">
        <f t="shared" ref="H739" si="2617">H738*H726</f>
        <v>6.5274070972739821E-3</v>
      </c>
      <c r="I739">
        <f t="shared" ref="I739" si="2618">I738*I726</f>
        <v>7.4199539958878279E-3</v>
      </c>
      <c r="J739">
        <f t="shared" ref="J739" si="2619">J738*J726</f>
        <v>8.3358107202842254E-3</v>
      </c>
      <c r="K739">
        <f t="shared" ref="K739" si="2620">K738*K726</f>
        <v>8.4605262729351115E-3</v>
      </c>
      <c r="L739">
        <f t="shared" ref="L739" si="2621">L738*L726</f>
        <v>7.8399882233967533E-3</v>
      </c>
      <c r="M739">
        <f t="shared" ref="M739" si="2622">M738*M726</f>
        <v>6.4173462075160911E-3</v>
      </c>
      <c r="N739">
        <f t="shared" ref="N739" si="2623">N738*N726</f>
        <v>5.3015226887581056E-3</v>
      </c>
      <c r="O739">
        <f t="shared" ref="O739" si="2624">O738*O726</f>
        <v>4.68970903600947E-3</v>
      </c>
    </row>
    <row r="740" spans="1:32" ht="17.149999999999999" x14ac:dyDescent="0.55000000000000004">
      <c r="B740" t="str">
        <f t="shared" si="2580"/>
        <v>Portland</v>
      </c>
      <c r="C740" t="s">
        <v>581</v>
      </c>
      <c r="D740" cm="1">
        <f t="array" ref="D740">IFERROR(IF(D725="Chemical",(10^(INDEX(Antoines,MATCH(D724,Antoine_Name,0),2)-INDEX(Antoines,MATCH(D724,Antoine_Name,0),3)/(INDEX(Antoines,MATCH(D724,Antoine_Name,0),4)+(D731-32)*5/9)))*14.7/760,IF(D725="Crude Oil",EXP((2799/(D731+459.6)-2.227)*LOG10(INDEX(FX_Input,Q$5,D$3*$Z$5+$AA$5))-(7261/(D731+459.6))+12.82),IF(D725="Refined Petroleum Stock",EXP((0.7553-(413/(D731+459.6)))*(INDEX(FX_Input,Q$5,D$3*$Z$5+$AA$5-1)^0.5)*LOG10(INDEX(FX_Input,Q$5,D$3*$Z$5+$AA$5))-(1.854-(1042/(D731+459.6)))*(INDEX(FX_Input,Q$5,D$3*$Z$5+$AA$5-1)^0.5)+((2416/(D731+459.6)-2.013)*LOG10(INDEX(FX_Input,Q$5,D$3*$Z$5+$AA$5)))-(8742/(D731+459.6))+15.64),EXP(INDEX(Antoines,MATCH(D724,Antoine_Name,0),2)-INDEX(Antoines,MATCH(D724,Antoine_Name,0),3)/(D731+459.6))))),0)</f>
        <v>0</v>
      </c>
      <c r="E740" cm="1">
        <f t="array" ref="E740">IFERROR(IF(E725="Chemical",(10^(INDEX(Antoines,MATCH(E724,Antoine_Name,0),2)-INDEX(Antoines,MATCH(E724,Antoine_Name,0),3)/(INDEX(Antoines,MATCH(E724,Antoine_Name,0),4)+(E731-32)*5/9)))*14.7/760,IF(E725="Crude Oil",EXP((2799/(E731+459.6)-2.227)*LOG10(INDEX(FX_Input,R$5,E$3*$Z$5+$AA$5))-(7261/(E731+459.6))+12.82),IF(E725="Refined Petroleum Stock",EXP((0.7553-(413/(E731+459.6)))*(INDEX(FX_Input,R$5,E$3*$Z$5+$AA$5-1)^0.5)*LOG10(INDEX(FX_Input,R$5,E$3*$Z$5+$AA$5))-(1.854-(1042/(E731+459.6)))*(INDEX(FX_Input,R$5,E$3*$Z$5+$AA$5-1)^0.5)+((2416/(E731+459.6)-2.013)*LOG10(INDEX(FX_Input,R$5,E$3*$Z$5+$AA$5)))-(8742/(E731+459.6))+15.64),EXP(INDEX(Antoines,MATCH(E724,Antoine_Name,0),2)-INDEX(Antoines,MATCH(E724,Antoine_Name,0),3)/(E731+459.6))))),0)</f>
        <v>0</v>
      </c>
      <c r="F740" cm="1">
        <f t="array" ref="F740">IFERROR(IF(F725="Chemical",(10^(INDEX(Antoines,MATCH(F724,Antoine_Name,0),2)-INDEX(Antoines,MATCH(F724,Antoine_Name,0),3)/(INDEX(Antoines,MATCH(F724,Antoine_Name,0),4)+(F731-32)*5/9)))*14.7/760,IF(F725="Crude Oil",EXP((2799/(F731+459.6)-2.227)*LOG10(INDEX(FX_Input,S$5,F$3*$Z$5+$AA$5))-(7261/(F731+459.6))+12.82),IF(F725="Refined Petroleum Stock",EXP((0.7553-(413/(F731+459.6)))*(INDEX(FX_Input,S$5,F$3*$Z$5+$AA$5-1)^0.5)*LOG10(INDEX(FX_Input,S$5,F$3*$Z$5+$AA$5))-(1.854-(1042/(F731+459.6)))*(INDEX(FX_Input,S$5,F$3*$Z$5+$AA$5-1)^0.5)+((2416/(F731+459.6)-2.013)*LOG10(INDEX(FX_Input,S$5,F$3*$Z$5+$AA$5)))-(8742/(F731+459.6))+15.64),EXP(INDEX(Antoines,MATCH(F724,Antoine_Name,0),2)-INDEX(Antoines,MATCH(F724,Antoine_Name,0),3)/(F731+459.6))))),0)</f>
        <v>0</v>
      </c>
      <c r="G740" cm="1">
        <f t="array" ref="G740">IFERROR(IF(G725="Chemical",(10^(INDEX(Antoines,MATCH(G724,Antoine_Name,0),2)-INDEX(Antoines,MATCH(G724,Antoine_Name,0),3)/(INDEX(Antoines,MATCH(G724,Antoine_Name,0),4)+(G731-32)*5/9)))*14.7/760,IF(G725="Crude Oil",EXP((2799/(G731+459.6)-2.227)*LOG10(INDEX(FX_Input,T$5,G$3*$Z$5+$AA$5))-(7261/(G731+459.6))+12.82),IF(G725="Refined Petroleum Stock",EXP((0.7553-(413/(G731+459.6)))*(INDEX(FX_Input,T$5,G$3*$Z$5+$AA$5-1)^0.5)*LOG10(INDEX(FX_Input,T$5,G$3*$Z$5+$AA$5))-(1.854-(1042/(G731+459.6)))*(INDEX(FX_Input,T$5,G$3*$Z$5+$AA$5-1)^0.5)+((2416/(G731+459.6)-2.013)*LOG10(INDEX(FX_Input,T$5,G$3*$Z$5+$AA$5)))-(8742/(G731+459.6))+15.64),EXP(INDEX(Antoines,MATCH(G724,Antoine_Name,0),2)-INDEX(Antoines,MATCH(G724,Antoine_Name,0),3)/(G731+459.6))))),0)</f>
        <v>0</v>
      </c>
      <c r="H740" cm="1">
        <f t="array" ref="H740">IFERROR(IF(H725="Chemical",(10^(INDEX(Antoines,MATCH(H724,Antoine_Name,0),2)-INDEX(Antoines,MATCH(H724,Antoine_Name,0),3)/(INDEX(Antoines,MATCH(H724,Antoine_Name,0),4)+(H731-32)*5/9)))*14.7/760,IF(H725="Crude Oil",EXP((2799/(H731+459.6)-2.227)*LOG10(INDEX(FX_Input,U$5,H$3*$Z$5+$AA$5))-(7261/(H731+459.6))+12.82),IF(H725="Refined Petroleum Stock",EXP((0.7553-(413/(H731+459.6)))*(INDEX(FX_Input,U$5,H$3*$Z$5+$AA$5-1)^0.5)*LOG10(INDEX(FX_Input,U$5,H$3*$Z$5+$AA$5))-(1.854-(1042/(H731+459.6)))*(INDEX(FX_Input,U$5,H$3*$Z$5+$AA$5-1)^0.5)+((2416/(H731+459.6)-2.013)*LOG10(INDEX(FX_Input,U$5,H$3*$Z$5+$AA$5)))-(8742/(H731+459.6))+15.64),EXP(INDEX(Antoines,MATCH(H724,Antoine_Name,0),2)-INDEX(Antoines,MATCH(H724,Antoine_Name,0),3)/(H731+459.6))))),0)</f>
        <v>0</v>
      </c>
      <c r="I740" cm="1">
        <f t="array" ref="I740">IFERROR(IF(I725="Chemical",(10^(INDEX(Antoines,MATCH(I724,Antoine_Name,0),2)-INDEX(Antoines,MATCH(I724,Antoine_Name,0),3)/(INDEX(Antoines,MATCH(I724,Antoine_Name,0),4)+(I731-32)*5/9)))*14.7/760,IF(I725="Crude Oil",EXP((2799/(I731+459.6)-2.227)*LOG10(INDEX(FX_Input,V$5,I$3*$Z$5+$AA$5))-(7261/(I731+459.6))+12.82),IF(I725="Refined Petroleum Stock",EXP((0.7553-(413/(I731+459.6)))*(INDEX(FX_Input,V$5,I$3*$Z$5+$AA$5-1)^0.5)*LOG10(INDEX(FX_Input,V$5,I$3*$Z$5+$AA$5))-(1.854-(1042/(I731+459.6)))*(INDEX(FX_Input,V$5,I$3*$Z$5+$AA$5-1)^0.5)+((2416/(I731+459.6)-2.013)*LOG10(INDEX(FX_Input,V$5,I$3*$Z$5+$AA$5)))-(8742/(I731+459.6))+15.64),EXP(INDEX(Antoines,MATCH(I724,Antoine_Name,0),2)-INDEX(Antoines,MATCH(I724,Antoine_Name,0),3)/(I731+459.6))))),0)</f>
        <v>0</v>
      </c>
      <c r="J740" cm="1">
        <f t="array" ref="J740">IFERROR(IF(J725="Chemical",(10^(INDEX(Antoines,MATCH(J724,Antoine_Name,0),2)-INDEX(Antoines,MATCH(J724,Antoine_Name,0),3)/(INDEX(Antoines,MATCH(J724,Antoine_Name,0),4)+(J731-32)*5/9)))*14.7/760,IF(J725="Crude Oil",EXP((2799/(J731+459.6)-2.227)*LOG10(INDEX(FX_Input,W$5,J$3*$Z$5+$AA$5))-(7261/(J731+459.6))+12.82),IF(J725="Refined Petroleum Stock",EXP((0.7553-(413/(J731+459.6)))*(INDEX(FX_Input,W$5,J$3*$Z$5+$AA$5-1)^0.5)*LOG10(INDEX(FX_Input,W$5,J$3*$Z$5+$AA$5))-(1.854-(1042/(J731+459.6)))*(INDEX(FX_Input,W$5,J$3*$Z$5+$AA$5-1)^0.5)+((2416/(J731+459.6)-2.013)*LOG10(INDEX(FX_Input,W$5,J$3*$Z$5+$AA$5)))-(8742/(J731+459.6))+15.64),EXP(INDEX(Antoines,MATCH(J724,Antoine_Name,0),2)-INDEX(Antoines,MATCH(J724,Antoine_Name,0),3)/(J731+459.6))))),0)</f>
        <v>0</v>
      </c>
      <c r="K740" cm="1">
        <f t="array" ref="K740">IFERROR(IF(K725="Chemical",(10^(INDEX(Antoines,MATCH(K724,Antoine_Name,0),2)-INDEX(Antoines,MATCH(K724,Antoine_Name,0),3)/(INDEX(Antoines,MATCH(K724,Antoine_Name,0),4)+(K731-32)*5/9)))*14.7/760,IF(K725="Crude Oil",EXP((2799/(K731+459.6)-2.227)*LOG10(INDEX(FX_Input,X$5,K$3*$Z$5+$AA$5))-(7261/(K731+459.6))+12.82),IF(K725="Refined Petroleum Stock",EXP((0.7553-(413/(K731+459.6)))*(INDEX(FX_Input,X$5,K$3*$Z$5+$AA$5-1)^0.5)*LOG10(INDEX(FX_Input,X$5,K$3*$Z$5+$AA$5))-(1.854-(1042/(K731+459.6)))*(INDEX(FX_Input,X$5,K$3*$Z$5+$AA$5-1)^0.5)+((2416/(K731+459.6)-2.013)*LOG10(INDEX(FX_Input,X$5,K$3*$Z$5+$AA$5)))-(8742/(K731+459.6))+15.64),EXP(INDEX(Antoines,MATCH(K724,Antoine_Name,0),2)-INDEX(Antoines,MATCH(K724,Antoine_Name,0),3)/(K731+459.6))))),0)</f>
        <v>0</v>
      </c>
      <c r="L740" cm="1">
        <f t="array" ref="L740">IFERROR(IF(L725="Chemical",(10^(INDEX(Antoines,MATCH(L724,Antoine_Name,0),2)-INDEX(Antoines,MATCH(L724,Antoine_Name,0),3)/(INDEX(Antoines,MATCH(L724,Antoine_Name,0),4)+(L731-32)*5/9)))*14.7/760,IF(L725="Crude Oil",EXP((2799/(L731+459.6)-2.227)*LOG10(INDEX(FX_Input,Y$5,L$3*$Z$5+$AA$5))-(7261/(L731+459.6))+12.82),IF(L725="Refined Petroleum Stock",EXP((0.7553-(413/(L731+459.6)))*(INDEX(FX_Input,Y$5,L$3*$Z$5+$AA$5-1)^0.5)*LOG10(INDEX(FX_Input,Y$5,L$3*$Z$5+$AA$5))-(1.854-(1042/(L731+459.6)))*(INDEX(FX_Input,Y$5,L$3*$Z$5+$AA$5-1)^0.5)+((2416/(L731+459.6)-2.013)*LOG10(INDEX(FX_Input,Y$5,L$3*$Z$5+$AA$5)))-(8742/(L731+459.6))+15.64),EXP(INDEX(Antoines,MATCH(L724,Antoine_Name,0),2)-INDEX(Antoines,MATCH(L724,Antoine_Name,0),3)/(L731+459.6))))),0)</f>
        <v>0</v>
      </c>
      <c r="M740" cm="1">
        <f t="array" ref="M740">IFERROR(IF(M725="Chemical",(10^(INDEX(Antoines,MATCH(M724,Antoine_Name,0),2)-INDEX(Antoines,MATCH(M724,Antoine_Name,0),3)/(INDEX(Antoines,MATCH(M724,Antoine_Name,0),4)+(M731-32)*5/9)))*14.7/760,IF(M725="Crude Oil",EXP((2799/(M731+459.6)-2.227)*LOG10(INDEX(FX_Input,Z$5,M$3*$Z$5+$AA$5))-(7261/(M731+459.6))+12.82),IF(M725="Refined Petroleum Stock",EXP((0.7553-(413/(M731+459.6)))*(INDEX(FX_Input,Z$5,M$3*$Z$5+$AA$5-1)^0.5)*LOG10(INDEX(FX_Input,Z$5,M$3*$Z$5+$AA$5))-(1.854-(1042/(M731+459.6)))*(INDEX(FX_Input,Z$5,M$3*$Z$5+$AA$5-1)^0.5)+((2416/(M731+459.6)-2.013)*LOG10(INDEX(FX_Input,Z$5,M$3*$Z$5+$AA$5)))-(8742/(M731+459.6))+15.64),EXP(INDEX(Antoines,MATCH(M724,Antoine_Name,0),2)-INDEX(Antoines,MATCH(M724,Antoine_Name,0),3)/(M731+459.6))))),0)</f>
        <v>0</v>
      </c>
      <c r="N740" cm="1">
        <f t="array" ref="N740">IFERROR(IF(N725="Chemical",(10^(INDEX(Antoines,MATCH(N724,Antoine_Name,0),2)-INDEX(Antoines,MATCH(N724,Antoine_Name,0),3)/(INDEX(Antoines,MATCH(N724,Antoine_Name,0),4)+(N731-32)*5/9)))*14.7/760,IF(N725="Crude Oil",EXP((2799/(N731+459.6)-2.227)*LOG10(INDEX(FX_Input,AA$5,N$3*$Z$5+$AA$5))-(7261/(N731+459.6))+12.82),IF(N725="Refined Petroleum Stock",EXP((0.7553-(413/(N731+459.6)))*(INDEX(FX_Input,AA$5,N$3*$Z$5+$AA$5-1)^0.5)*LOG10(INDEX(FX_Input,AA$5,N$3*$Z$5+$AA$5))-(1.854-(1042/(N731+459.6)))*(INDEX(FX_Input,AA$5,N$3*$Z$5+$AA$5-1)^0.5)+((2416/(N731+459.6)-2.013)*LOG10(INDEX(FX_Input,AA$5,N$3*$Z$5+$AA$5)))-(8742/(N731+459.6))+15.64),EXP(INDEX(Antoines,MATCH(N724,Antoine_Name,0),2)-INDEX(Antoines,MATCH(N724,Antoine_Name,0),3)/(N731+459.6))))),0)</f>
        <v>0</v>
      </c>
      <c r="O740" cm="1">
        <f t="array" ref="O740">IFERROR(IF(O725="Chemical",(10^(INDEX(Antoines,MATCH(O724,Antoine_Name,0),2)-INDEX(Antoines,MATCH(O724,Antoine_Name,0),3)/(INDEX(Antoines,MATCH(O724,Antoine_Name,0),4)+(O731-32)*5/9)))*14.7/760,IF(O725="Crude Oil",EXP((2799/(O731+459.6)-2.227)*LOG10(INDEX(FX_Input,AB$5,O$3*$Z$5+$AA$5))-(7261/(O731+459.6))+12.82),IF(O725="Refined Petroleum Stock",EXP((0.7553-(413/(O731+459.6)))*(INDEX(FX_Input,AB$5,O$3*$Z$5+$AA$5-1)^0.5)*LOG10(INDEX(FX_Input,AB$5,O$3*$Z$5+$AA$5))-(1.854-(1042/(O731+459.6)))*(INDEX(FX_Input,AB$5,O$3*$Z$5+$AA$5-1)^0.5)+((2416/(O731+459.6)-2.013)*LOG10(INDEX(FX_Input,AB$5,O$3*$Z$5+$AA$5)))-(8742/(O731+459.6))+15.64),EXP(INDEX(Antoines,MATCH(O724,Antoine_Name,0),2)-INDEX(Antoines,MATCH(O724,Antoine_Name,0),3)/(O731+459.6))))),0)</f>
        <v>0</v>
      </c>
    </row>
    <row r="741" spans="1:32" ht="17.149999999999999" x14ac:dyDescent="0.55000000000000004">
      <c r="B741" t="str">
        <f t="shared" si="2580"/>
        <v>Portland</v>
      </c>
      <c r="C741" t="s">
        <v>582</v>
      </c>
      <c r="D741">
        <f>D740*D728</f>
        <v>0</v>
      </c>
      <c r="E741">
        <f t="shared" ref="E741" si="2625">E740*E728</f>
        <v>0</v>
      </c>
      <c r="F741">
        <f t="shared" ref="F741" si="2626">F740*F728</f>
        <v>0</v>
      </c>
      <c r="G741">
        <f t="shared" ref="G741" si="2627">G740*G728</f>
        <v>0</v>
      </c>
      <c r="H741">
        <f t="shared" ref="H741" si="2628">H740*H728</f>
        <v>0</v>
      </c>
      <c r="I741">
        <f t="shared" ref="I741" si="2629">I740*I728</f>
        <v>0</v>
      </c>
      <c r="J741">
        <f t="shared" ref="J741" si="2630">J740*J728</f>
        <v>0</v>
      </c>
      <c r="K741">
        <f t="shared" ref="K741" si="2631">K740*K728</f>
        <v>0</v>
      </c>
      <c r="L741">
        <f t="shared" ref="L741" si="2632">L740*L728</f>
        <v>0</v>
      </c>
      <c r="M741">
        <f t="shared" ref="M741" si="2633">M740*M728</f>
        <v>0</v>
      </c>
      <c r="N741">
        <f t="shared" ref="N741" si="2634">N740*N728</f>
        <v>0</v>
      </c>
      <c r="O741">
        <f t="shared" ref="O741" si="2635">O740*O728</f>
        <v>0</v>
      </c>
    </row>
    <row r="742" spans="1:32" ht="17.149999999999999" x14ac:dyDescent="0.55000000000000004">
      <c r="B742" t="str">
        <f t="shared" si="2580"/>
        <v>Portland</v>
      </c>
      <c r="C742" t="s">
        <v>583</v>
      </c>
      <c r="D742">
        <f>D739+D741</f>
        <v>4.739577185808354E-3</v>
      </c>
      <c r="E742">
        <f t="shared" ref="E742" si="2636">E739+E741</f>
        <v>4.8748667780818778E-3</v>
      </c>
      <c r="F742">
        <f t="shared" ref="F742" si="2637">F739+F741</f>
        <v>5.119885034186122E-3</v>
      </c>
      <c r="G742">
        <f t="shared" ref="G742" si="2638">G739+G741</f>
        <v>5.5846958573521795E-3</v>
      </c>
      <c r="H742">
        <f t="shared" ref="H742" si="2639">H739+H741</f>
        <v>6.5274070972739821E-3</v>
      </c>
      <c r="I742">
        <f t="shared" ref="I742" si="2640">I739+I741</f>
        <v>7.4199539958878279E-3</v>
      </c>
      <c r="J742">
        <f t="shared" ref="J742" si="2641">J739+J741</f>
        <v>8.3358107202842254E-3</v>
      </c>
      <c r="K742">
        <f t="shared" ref="K742" si="2642">K739+K741</f>
        <v>8.4605262729351115E-3</v>
      </c>
      <c r="L742">
        <f t="shared" ref="L742" si="2643">L739+L741</f>
        <v>7.8399882233967533E-3</v>
      </c>
      <c r="M742">
        <f t="shared" ref="M742" si="2644">M739+M741</f>
        <v>6.4173462075160911E-3</v>
      </c>
      <c r="N742">
        <f t="shared" ref="N742" si="2645">N739+N741</f>
        <v>5.3015226887581056E-3</v>
      </c>
      <c r="O742">
        <f t="shared" ref="O742" si="2646">O739+O741</f>
        <v>4.68970903600947E-3</v>
      </c>
    </row>
    <row r="743" spans="1:32" ht="17.149999999999999" x14ac:dyDescent="0.55000000000000004">
      <c r="B743" t="str">
        <f t="shared" si="2580"/>
        <v>Portland</v>
      </c>
      <c r="C743" t="s">
        <v>1388</v>
      </c>
      <c r="D743" cm="1">
        <f t="array" ref="D743">IFERROR(IF(D723="Chemical",(10^(INDEX(Antoines,MATCH(D722,Antoine_Name,0),2)-INDEX(Antoines,MATCH(D722,Antoine_Name,0),3)/(INDEX(Antoines,MATCH(D722,Antoine_Name,0),4)+(D732-32)*5/9)))*14.7/760,IF(D723="Crude Oil",EXP((2799/(D732+459.6)-2.227)*LOG10(INDEX(FX_Input,Q$5,D$3*$Z$5+$AA$5))-(7261/(D732+459.6))+12.82),IF(D723="Refined Petroleum Stock",EXP((0.7553-(413/(D732+459.6)))*(INDEX(FX_Input,Q$5,D$3*$Z$5+$AA$5-1)^0.5)*LOG10(INDEX(FX_Input,Q$5,D$3*$Z$5+$AA$5))-(1.854-(1042/(D732+459.6)))*(INDEX(FX_Input,Q$5,D$3*$Z$5+$AA$5-1)^0.5)+((2416/(D732+459.6)-2.013)*LOG10(INDEX(FX_Input,Q$5,D$3*$Z$5+$AA$5)))-(8742/(D732+459.6))+15.64),EXP(INDEX(Antoines,MATCH(D722,Antoine_Name,0),2)-INDEX(Antoines,MATCH(D722,Antoine_Name,0),3)/(D732+459.6))))),0)</f>
        <v>4.739577185808354E-3</v>
      </c>
      <c r="E743" cm="1">
        <f t="array" ref="E743">IFERROR(IF(E723="Chemical",(10^(INDEX(Antoines,MATCH(E722,Antoine_Name,0),2)-INDEX(Antoines,MATCH(E722,Antoine_Name,0),3)/(INDEX(Antoines,MATCH(E722,Antoine_Name,0),4)+(E732-32)*5/9)))*14.7/760,IF(E723="Crude Oil",EXP((2799/(E732+459.6)-2.227)*LOG10(INDEX(FX_Input,R$5,E$3*$Z$5+$AA$5))-(7261/(E732+459.6))+12.82),IF(E723="Refined Petroleum Stock",EXP((0.7553-(413/(E732+459.6)))*(INDEX(FX_Input,R$5,E$3*$Z$5+$AA$5-1)^0.5)*LOG10(INDEX(FX_Input,R$5,E$3*$Z$5+$AA$5))-(1.854-(1042/(E732+459.6)))*(INDEX(FX_Input,R$5,E$3*$Z$5+$AA$5-1)^0.5)+((2416/(E732+459.6)-2.013)*LOG10(INDEX(FX_Input,R$5,E$3*$Z$5+$AA$5)))-(8742/(E732+459.6))+15.64),EXP(INDEX(Antoines,MATCH(E722,Antoine_Name,0),2)-INDEX(Antoines,MATCH(E722,Antoine_Name,0),3)/(E732+459.6))))),0)</f>
        <v>4.8748667780818778E-3</v>
      </c>
      <c r="F743" cm="1">
        <f t="array" ref="F743">IFERROR(IF(F723="Chemical",(10^(INDEX(Antoines,MATCH(F722,Antoine_Name,0),2)-INDEX(Antoines,MATCH(F722,Antoine_Name,0),3)/(INDEX(Antoines,MATCH(F722,Antoine_Name,0),4)+(F732-32)*5/9)))*14.7/760,IF(F723="Crude Oil",EXP((2799/(F732+459.6)-2.227)*LOG10(INDEX(FX_Input,S$5,F$3*$Z$5+$AA$5))-(7261/(F732+459.6))+12.82),IF(F723="Refined Petroleum Stock",EXP((0.7553-(413/(F732+459.6)))*(INDEX(FX_Input,S$5,F$3*$Z$5+$AA$5-1)^0.5)*LOG10(INDEX(FX_Input,S$5,F$3*$Z$5+$AA$5))-(1.854-(1042/(F732+459.6)))*(INDEX(FX_Input,S$5,F$3*$Z$5+$AA$5-1)^0.5)+((2416/(F732+459.6)-2.013)*LOG10(INDEX(FX_Input,S$5,F$3*$Z$5+$AA$5)))-(8742/(F732+459.6))+15.64),EXP(INDEX(Antoines,MATCH(F722,Antoine_Name,0),2)-INDEX(Antoines,MATCH(F722,Antoine_Name,0),3)/(F732+459.6))))),0)</f>
        <v>5.119885034186122E-3</v>
      </c>
      <c r="G743" cm="1">
        <f t="array" ref="G743">IFERROR(IF(G723="Chemical",(10^(INDEX(Antoines,MATCH(G722,Antoine_Name,0),2)-INDEX(Antoines,MATCH(G722,Antoine_Name,0),3)/(INDEX(Antoines,MATCH(G722,Antoine_Name,0),4)+(G732-32)*5/9)))*14.7/760,IF(G723="Crude Oil",EXP((2799/(G732+459.6)-2.227)*LOG10(INDEX(FX_Input,T$5,G$3*$Z$5+$AA$5))-(7261/(G732+459.6))+12.82),IF(G723="Refined Petroleum Stock",EXP((0.7553-(413/(G732+459.6)))*(INDEX(FX_Input,T$5,G$3*$Z$5+$AA$5-1)^0.5)*LOG10(INDEX(FX_Input,T$5,G$3*$Z$5+$AA$5))-(1.854-(1042/(G732+459.6)))*(INDEX(FX_Input,T$5,G$3*$Z$5+$AA$5-1)^0.5)+((2416/(G732+459.6)-2.013)*LOG10(INDEX(FX_Input,T$5,G$3*$Z$5+$AA$5)))-(8742/(G732+459.6))+15.64),EXP(INDEX(Antoines,MATCH(G722,Antoine_Name,0),2)-INDEX(Antoines,MATCH(G722,Antoine_Name,0),3)/(G732+459.6))))),0)</f>
        <v>5.5846958573521795E-3</v>
      </c>
      <c r="H743" cm="1">
        <f t="array" ref="H743">IFERROR(IF(H723="Chemical",(10^(INDEX(Antoines,MATCH(H722,Antoine_Name,0),2)-INDEX(Antoines,MATCH(H722,Antoine_Name,0),3)/(INDEX(Antoines,MATCH(H722,Antoine_Name,0),4)+(H732-32)*5/9)))*14.7/760,IF(H723="Crude Oil",EXP((2799/(H732+459.6)-2.227)*LOG10(INDEX(FX_Input,U$5,H$3*$Z$5+$AA$5))-(7261/(H732+459.6))+12.82),IF(H723="Refined Petroleum Stock",EXP((0.7553-(413/(H732+459.6)))*(INDEX(FX_Input,U$5,H$3*$Z$5+$AA$5-1)^0.5)*LOG10(INDEX(FX_Input,U$5,H$3*$Z$5+$AA$5))-(1.854-(1042/(H732+459.6)))*(INDEX(FX_Input,U$5,H$3*$Z$5+$AA$5-1)^0.5)+((2416/(H732+459.6)-2.013)*LOG10(INDEX(FX_Input,U$5,H$3*$Z$5+$AA$5)))-(8742/(H732+459.6))+15.64),EXP(INDEX(Antoines,MATCH(H722,Antoine_Name,0),2)-INDEX(Antoines,MATCH(H722,Antoine_Name,0),3)/(H732+459.6))))),0)</f>
        <v>6.5274070972739821E-3</v>
      </c>
      <c r="I743" cm="1">
        <f t="array" ref="I743">IFERROR(IF(I723="Chemical",(10^(INDEX(Antoines,MATCH(I722,Antoine_Name,0),2)-INDEX(Antoines,MATCH(I722,Antoine_Name,0),3)/(INDEX(Antoines,MATCH(I722,Antoine_Name,0),4)+(I732-32)*5/9)))*14.7/760,IF(I723="Crude Oil",EXP((2799/(I732+459.6)-2.227)*LOG10(INDEX(FX_Input,V$5,I$3*$Z$5+$AA$5))-(7261/(I732+459.6))+12.82),IF(I723="Refined Petroleum Stock",EXP((0.7553-(413/(I732+459.6)))*(INDEX(FX_Input,V$5,I$3*$Z$5+$AA$5-1)^0.5)*LOG10(INDEX(FX_Input,V$5,I$3*$Z$5+$AA$5))-(1.854-(1042/(I732+459.6)))*(INDEX(FX_Input,V$5,I$3*$Z$5+$AA$5-1)^0.5)+((2416/(I732+459.6)-2.013)*LOG10(INDEX(FX_Input,V$5,I$3*$Z$5+$AA$5)))-(8742/(I732+459.6))+15.64),EXP(INDEX(Antoines,MATCH(I722,Antoine_Name,0),2)-INDEX(Antoines,MATCH(I722,Antoine_Name,0),3)/(I732+459.6))))),0)</f>
        <v>7.4199539958878279E-3</v>
      </c>
      <c r="J743" cm="1">
        <f t="array" ref="J743">IFERROR(IF(J723="Chemical",(10^(INDEX(Antoines,MATCH(J722,Antoine_Name,0),2)-INDEX(Antoines,MATCH(J722,Antoine_Name,0),3)/(INDEX(Antoines,MATCH(J722,Antoine_Name,0),4)+(J732-32)*5/9)))*14.7/760,IF(J723="Crude Oil",EXP((2799/(J732+459.6)-2.227)*LOG10(INDEX(FX_Input,W$5,J$3*$Z$5+$AA$5))-(7261/(J732+459.6))+12.82),IF(J723="Refined Petroleum Stock",EXP((0.7553-(413/(J732+459.6)))*(INDEX(FX_Input,W$5,J$3*$Z$5+$AA$5-1)^0.5)*LOG10(INDEX(FX_Input,W$5,J$3*$Z$5+$AA$5))-(1.854-(1042/(J732+459.6)))*(INDEX(FX_Input,W$5,J$3*$Z$5+$AA$5-1)^0.5)+((2416/(J732+459.6)-2.013)*LOG10(INDEX(FX_Input,W$5,J$3*$Z$5+$AA$5)))-(8742/(J732+459.6))+15.64),EXP(INDEX(Antoines,MATCH(J722,Antoine_Name,0),2)-INDEX(Antoines,MATCH(J722,Antoine_Name,0),3)/(J732+459.6))))),0)</f>
        <v>8.3358107202842254E-3</v>
      </c>
      <c r="K743" cm="1">
        <f t="array" ref="K743">IFERROR(IF(K723="Chemical",(10^(INDEX(Antoines,MATCH(K722,Antoine_Name,0),2)-INDEX(Antoines,MATCH(K722,Antoine_Name,0),3)/(INDEX(Antoines,MATCH(K722,Antoine_Name,0),4)+(K732-32)*5/9)))*14.7/760,IF(K723="Crude Oil",EXP((2799/(K732+459.6)-2.227)*LOG10(INDEX(FX_Input,X$5,K$3*$Z$5+$AA$5))-(7261/(K732+459.6))+12.82),IF(K723="Refined Petroleum Stock",EXP((0.7553-(413/(K732+459.6)))*(INDEX(FX_Input,X$5,K$3*$Z$5+$AA$5-1)^0.5)*LOG10(INDEX(FX_Input,X$5,K$3*$Z$5+$AA$5))-(1.854-(1042/(K732+459.6)))*(INDEX(FX_Input,X$5,K$3*$Z$5+$AA$5-1)^0.5)+((2416/(K732+459.6)-2.013)*LOG10(INDEX(FX_Input,X$5,K$3*$Z$5+$AA$5)))-(8742/(K732+459.6))+15.64),EXP(INDEX(Antoines,MATCH(K722,Antoine_Name,0),2)-INDEX(Antoines,MATCH(K722,Antoine_Name,0),3)/(K732+459.6))))),0)</f>
        <v>8.4605262729351115E-3</v>
      </c>
      <c r="L743" cm="1">
        <f t="array" ref="L743">IFERROR(IF(L723="Chemical",(10^(INDEX(Antoines,MATCH(L722,Antoine_Name,0),2)-INDEX(Antoines,MATCH(L722,Antoine_Name,0),3)/(INDEX(Antoines,MATCH(L722,Antoine_Name,0),4)+(L732-32)*5/9)))*14.7/760,IF(L723="Crude Oil",EXP((2799/(L732+459.6)-2.227)*LOG10(INDEX(FX_Input,Y$5,L$3*$Z$5+$AA$5))-(7261/(L732+459.6))+12.82),IF(L723="Refined Petroleum Stock",EXP((0.7553-(413/(L732+459.6)))*(INDEX(FX_Input,Y$5,L$3*$Z$5+$AA$5-1)^0.5)*LOG10(INDEX(FX_Input,Y$5,L$3*$Z$5+$AA$5))-(1.854-(1042/(L732+459.6)))*(INDEX(FX_Input,Y$5,L$3*$Z$5+$AA$5-1)^0.5)+((2416/(L732+459.6)-2.013)*LOG10(INDEX(FX_Input,Y$5,L$3*$Z$5+$AA$5)))-(8742/(L732+459.6))+15.64),EXP(INDEX(Antoines,MATCH(L722,Antoine_Name,0),2)-INDEX(Antoines,MATCH(L722,Antoine_Name,0),3)/(L732+459.6))))),0)</f>
        <v>7.8399882233967533E-3</v>
      </c>
      <c r="M743" cm="1">
        <f t="array" ref="M743">IFERROR(IF(M723="Chemical",(10^(INDEX(Antoines,MATCH(M722,Antoine_Name,0),2)-INDEX(Antoines,MATCH(M722,Antoine_Name,0),3)/(INDEX(Antoines,MATCH(M722,Antoine_Name,0),4)+(M732-32)*5/9)))*14.7/760,IF(M723="Crude Oil",EXP((2799/(M732+459.6)-2.227)*LOG10(INDEX(FX_Input,Z$5,M$3*$Z$5+$AA$5))-(7261/(M732+459.6))+12.82),IF(M723="Refined Petroleum Stock",EXP((0.7553-(413/(M732+459.6)))*(INDEX(FX_Input,Z$5,M$3*$Z$5+$AA$5-1)^0.5)*LOG10(INDEX(FX_Input,Z$5,M$3*$Z$5+$AA$5))-(1.854-(1042/(M732+459.6)))*(INDEX(FX_Input,Z$5,M$3*$Z$5+$AA$5-1)^0.5)+((2416/(M732+459.6)-2.013)*LOG10(INDEX(FX_Input,Z$5,M$3*$Z$5+$AA$5)))-(8742/(M732+459.6))+15.64),EXP(INDEX(Antoines,MATCH(M722,Antoine_Name,0),2)-INDEX(Antoines,MATCH(M722,Antoine_Name,0),3)/(M732+459.6))))),0)</f>
        <v>6.4173462075160911E-3</v>
      </c>
      <c r="N743" cm="1">
        <f t="array" ref="N743">IFERROR(IF(N723="Chemical",(10^(INDEX(Antoines,MATCH(N722,Antoine_Name,0),2)-INDEX(Antoines,MATCH(N722,Antoine_Name,0),3)/(INDEX(Antoines,MATCH(N722,Antoine_Name,0),4)+(N732-32)*5/9)))*14.7/760,IF(N723="Crude Oil",EXP((2799/(N732+459.6)-2.227)*LOG10(INDEX(FX_Input,AA$5,N$3*$Z$5+$AA$5))-(7261/(N732+459.6))+12.82),IF(N723="Refined Petroleum Stock",EXP((0.7553-(413/(N732+459.6)))*(INDEX(FX_Input,AA$5,N$3*$Z$5+$AA$5-1)^0.5)*LOG10(INDEX(FX_Input,AA$5,N$3*$Z$5+$AA$5))-(1.854-(1042/(N732+459.6)))*(INDEX(FX_Input,AA$5,N$3*$Z$5+$AA$5-1)^0.5)+((2416/(N732+459.6)-2.013)*LOG10(INDEX(FX_Input,AA$5,N$3*$Z$5+$AA$5)))-(8742/(N732+459.6))+15.64),EXP(INDEX(Antoines,MATCH(N722,Antoine_Name,0),2)-INDEX(Antoines,MATCH(N722,Antoine_Name,0),3)/(N732+459.6))))),0)</f>
        <v>5.3015226887581056E-3</v>
      </c>
      <c r="O743" cm="1">
        <f t="array" ref="O743">IFERROR(IF(O723="Chemical",(10^(INDEX(Antoines,MATCH(O722,Antoine_Name,0),2)-INDEX(Antoines,MATCH(O722,Antoine_Name,0),3)/(INDEX(Antoines,MATCH(O722,Antoine_Name,0),4)+(O732-32)*5/9)))*14.7/760,IF(O723="Crude Oil",EXP((2799/(O732+459.6)-2.227)*LOG10(INDEX(FX_Input,AB$5,O$3*$Z$5+$AA$5))-(7261/(O732+459.6))+12.82),IF(O723="Refined Petroleum Stock",EXP((0.7553-(413/(O732+459.6)))*(INDEX(FX_Input,AB$5,O$3*$Z$5+$AA$5-1)^0.5)*LOG10(INDEX(FX_Input,AB$5,O$3*$Z$5+$AA$5))-(1.854-(1042/(O732+459.6)))*(INDEX(FX_Input,AB$5,O$3*$Z$5+$AA$5-1)^0.5)+((2416/(O732+459.6)-2.013)*LOG10(INDEX(FX_Input,AB$5,O$3*$Z$5+$AA$5)))-(8742/(O732+459.6))+15.64),EXP(INDEX(Antoines,MATCH(O722,Antoine_Name,0),2)-INDEX(Antoines,MATCH(O722,Antoine_Name,0),3)/(O732+459.6))))),0)</f>
        <v>4.68970903600947E-3</v>
      </c>
    </row>
    <row r="744" spans="1:32" ht="17.149999999999999" x14ac:dyDescent="0.55000000000000004">
      <c r="B744" t="str">
        <f t="shared" si="2580"/>
        <v>Portland</v>
      </c>
      <c r="C744" t="s">
        <v>1389</v>
      </c>
      <c r="D744">
        <f>D743*D726</f>
        <v>4.739577185808354E-3</v>
      </c>
      <c r="E744">
        <f t="shared" ref="E744" si="2647">E743*E726</f>
        <v>4.8748667780818778E-3</v>
      </c>
      <c r="F744">
        <f t="shared" ref="F744" si="2648">F743*F726</f>
        <v>5.119885034186122E-3</v>
      </c>
      <c r="G744">
        <f t="shared" ref="G744" si="2649">G743*G726</f>
        <v>5.5846958573521795E-3</v>
      </c>
      <c r="H744">
        <f t="shared" ref="H744" si="2650">H743*H726</f>
        <v>6.5274070972739821E-3</v>
      </c>
      <c r="I744">
        <f t="shared" ref="I744" si="2651">I743*I726</f>
        <v>7.4199539958878279E-3</v>
      </c>
      <c r="J744">
        <f t="shared" ref="J744" si="2652">J743*J726</f>
        <v>8.3358107202842254E-3</v>
      </c>
      <c r="K744">
        <f t="shared" ref="K744" si="2653">K743*K726</f>
        <v>8.4605262729351115E-3</v>
      </c>
      <c r="L744">
        <f t="shared" ref="L744" si="2654">L743*L726</f>
        <v>7.8399882233967533E-3</v>
      </c>
      <c r="M744">
        <f t="shared" ref="M744" si="2655">M743*M726</f>
        <v>6.4173462075160911E-3</v>
      </c>
      <c r="N744">
        <f t="shared" ref="N744" si="2656">N743*N726</f>
        <v>5.3015226887581056E-3</v>
      </c>
      <c r="O744">
        <f t="shared" ref="O744" si="2657">O743*O726</f>
        <v>4.68970903600947E-3</v>
      </c>
    </row>
    <row r="745" spans="1:32" ht="17.149999999999999" x14ac:dyDescent="0.55000000000000004">
      <c r="B745" t="str">
        <f t="shared" si="2580"/>
        <v>Portland</v>
      </c>
      <c r="C745" t="s">
        <v>1390</v>
      </c>
      <c r="D745" cm="1">
        <f t="array" ref="D745">IFERROR(IF(D725="Chemical",(10^(INDEX(Antoines,MATCH(D724,Antoine_Name,0),2)-INDEX(Antoines,MATCH(D724,Antoine_Name,0),3)/(INDEX(Antoines,MATCH(D724,Antoine_Name,0),4)+(D732-32)*5/9)))*14.7/760,IF(D725="Crude Oil",EXP((2799/(D732+459.6)-2.227)*LOG10(INDEX(FX_Input,Q$5,D$3*$Z$5+$AA$5))-(7261/(D732+459.6))+12.82),IF(D725="Refined Petroleum Stock",EXP((0.7553-(413/(D732+459.6)))*(INDEX(FX_Input,Q$5,D$3*$Z$5+$AA$5-1)^0.5)*LOG10(INDEX(FX_Input,Q$5,D$3*$Z$5+$AA$5))-(1.854-(1042/(D732+459.6)))*(INDEX(FX_Input,Q$5,D$3*$Z$5+$AA$5-1)^0.5)+((2416/(D732+459.6)-2.013)*LOG10(INDEX(FX_Input,Q$5,D$3*$Z$5+$AA$5)))-(8742/(D732+459.6))+15.64),EXP(INDEX(Antoines,MATCH(D724,Antoine_Name,0),2)-INDEX(Antoines,MATCH(D724,Antoine_Name,0),3)/(D732+459.6))))),0)</f>
        <v>0</v>
      </c>
      <c r="E745" cm="1">
        <f t="array" ref="E745">IFERROR(IF(E725="Chemical",(10^(INDEX(Antoines,MATCH(E724,Antoine_Name,0),2)-INDEX(Antoines,MATCH(E724,Antoine_Name,0),3)/(INDEX(Antoines,MATCH(E724,Antoine_Name,0),4)+(E732-32)*5/9)))*14.7/760,IF(E725="Crude Oil",EXP((2799/(E732+459.6)-2.227)*LOG10(INDEX(FX_Input,R$5,E$3*$Z$5+$AA$5))-(7261/(E732+459.6))+12.82),IF(E725="Refined Petroleum Stock",EXP((0.7553-(413/(E732+459.6)))*(INDEX(FX_Input,R$5,E$3*$Z$5+$AA$5-1)^0.5)*LOG10(INDEX(FX_Input,R$5,E$3*$Z$5+$AA$5))-(1.854-(1042/(E732+459.6)))*(INDEX(FX_Input,R$5,E$3*$Z$5+$AA$5-1)^0.5)+((2416/(E732+459.6)-2.013)*LOG10(INDEX(FX_Input,R$5,E$3*$Z$5+$AA$5)))-(8742/(E732+459.6))+15.64),EXP(INDEX(Antoines,MATCH(E724,Antoine_Name,0),2)-INDEX(Antoines,MATCH(E724,Antoine_Name,0),3)/(E732+459.6))))),0)</f>
        <v>0</v>
      </c>
      <c r="F745" cm="1">
        <f t="array" ref="F745">IFERROR(IF(F725="Chemical",(10^(INDEX(Antoines,MATCH(F724,Antoine_Name,0),2)-INDEX(Antoines,MATCH(F724,Antoine_Name,0),3)/(INDEX(Antoines,MATCH(F724,Antoine_Name,0),4)+(F732-32)*5/9)))*14.7/760,IF(F725="Crude Oil",EXP((2799/(F732+459.6)-2.227)*LOG10(INDEX(FX_Input,S$5,F$3*$Z$5+$AA$5))-(7261/(F732+459.6))+12.82),IF(F725="Refined Petroleum Stock",EXP((0.7553-(413/(F732+459.6)))*(INDEX(FX_Input,S$5,F$3*$Z$5+$AA$5-1)^0.5)*LOG10(INDEX(FX_Input,S$5,F$3*$Z$5+$AA$5))-(1.854-(1042/(F732+459.6)))*(INDEX(FX_Input,S$5,F$3*$Z$5+$AA$5-1)^0.5)+((2416/(F732+459.6)-2.013)*LOG10(INDEX(FX_Input,S$5,F$3*$Z$5+$AA$5)))-(8742/(F732+459.6))+15.64),EXP(INDEX(Antoines,MATCH(F724,Antoine_Name,0),2)-INDEX(Antoines,MATCH(F724,Antoine_Name,0),3)/(F732+459.6))))),0)</f>
        <v>0</v>
      </c>
      <c r="G745" cm="1">
        <f t="array" ref="G745">IFERROR(IF(G725="Chemical",(10^(INDEX(Antoines,MATCH(G724,Antoine_Name,0),2)-INDEX(Antoines,MATCH(G724,Antoine_Name,0),3)/(INDEX(Antoines,MATCH(G724,Antoine_Name,0),4)+(G732-32)*5/9)))*14.7/760,IF(G725="Crude Oil",EXP((2799/(G732+459.6)-2.227)*LOG10(INDEX(FX_Input,T$5,G$3*$Z$5+$AA$5))-(7261/(G732+459.6))+12.82),IF(G725="Refined Petroleum Stock",EXP((0.7553-(413/(G732+459.6)))*(INDEX(FX_Input,T$5,G$3*$Z$5+$AA$5-1)^0.5)*LOG10(INDEX(FX_Input,T$5,G$3*$Z$5+$AA$5))-(1.854-(1042/(G732+459.6)))*(INDEX(FX_Input,T$5,G$3*$Z$5+$AA$5-1)^0.5)+((2416/(G732+459.6)-2.013)*LOG10(INDEX(FX_Input,T$5,G$3*$Z$5+$AA$5)))-(8742/(G732+459.6))+15.64),EXP(INDEX(Antoines,MATCH(G724,Antoine_Name,0),2)-INDEX(Antoines,MATCH(G724,Antoine_Name,0),3)/(G732+459.6))))),0)</f>
        <v>0</v>
      </c>
      <c r="H745" cm="1">
        <f t="array" ref="H745">IFERROR(IF(H725="Chemical",(10^(INDEX(Antoines,MATCH(H724,Antoine_Name,0),2)-INDEX(Antoines,MATCH(H724,Antoine_Name,0),3)/(INDEX(Antoines,MATCH(H724,Antoine_Name,0),4)+(H732-32)*5/9)))*14.7/760,IF(H725="Crude Oil",EXP((2799/(H732+459.6)-2.227)*LOG10(INDEX(FX_Input,U$5,H$3*$Z$5+$AA$5))-(7261/(H732+459.6))+12.82),IF(H725="Refined Petroleum Stock",EXP((0.7553-(413/(H732+459.6)))*(INDEX(FX_Input,U$5,H$3*$Z$5+$AA$5-1)^0.5)*LOG10(INDEX(FX_Input,U$5,H$3*$Z$5+$AA$5))-(1.854-(1042/(H732+459.6)))*(INDEX(FX_Input,U$5,H$3*$Z$5+$AA$5-1)^0.5)+((2416/(H732+459.6)-2.013)*LOG10(INDEX(FX_Input,U$5,H$3*$Z$5+$AA$5)))-(8742/(H732+459.6))+15.64),EXP(INDEX(Antoines,MATCH(H724,Antoine_Name,0),2)-INDEX(Antoines,MATCH(H724,Antoine_Name,0),3)/(H732+459.6))))),0)</f>
        <v>0</v>
      </c>
      <c r="I745" cm="1">
        <f t="array" ref="I745">IFERROR(IF(I725="Chemical",(10^(INDEX(Antoines,MATCH(I724,Antoine_Name,0),2)-INDEX(Antoines,MATCH(I724,Antoine_Name,0),3)/(INDEX(Antoines,MATCH(I724,Antoine_Name,0),4)+(I732-32)*5/9)))*14.7/760,IF(I725="Crude Oil",EXP((2799/(I732+459.6)-2.227)*LOG10(INDEX(FX_Input,V$5,I$3*$Z$5+$AA$5))-(7261/(I732+459.6))+12.82),IF(I725="Refined Petroleum Stock",EXP((0.7553-(413/(I732+459.6)))*(INDEX(FX_Input,V$5,I$3*$Z$5+$AA$5-1)^0.5)*LOG10(INDEX(FX_Input,V$5,I$3*$Z$5+$AA$5))-(1.854-(1042/(I732+459.6)))*(INDEX(FX_Input,V$5,I$3*$Z$5+$AA$5-1)^0.5)+((2416/(I732+459.6)-2.013)*LOG10(INDEX(FX_Input,V$5,I$3*$Z$5+$AA$5)))-(8742/(I732+459.6))+15.64),EXP(INDEX(Antoines,MATCH(I724,Antoine_Name,0),2)-INDEX(Antoines,MATCH(I724,Antoine_Name,0),3)/(I732+459.6))))),0)</f>
        <v>0</v>
      </c>
      <c r="J745" cm="1">
        <f t="array" ref="J745">IFERROR(IF(J725="Chemical",(10^(INDEX(Antoines,MATCH(J724,Antoine_Name,0),2)-INDEX(Antoines,MATCH(J724,Antoine_Name,0),3)/(INDEX(Antoines,MATCH(J724,Antoine_Name,0),4)+(J732-32)*5/9)))*14.7/760,IF(J725="Crude Oil",EXP((2799/(J732+459.6)-2.227)*LOG10(INDEX(FX_Input,W$5,J$3*$Z$5+$AA$5))-(7261/(J732+459.6))+12.82),IF(J725="Refined Petroleum Stock",EXP((0.7553-(413/(J732+459.6)))*(INDEX(FX_Input,W$5,J$3*$Z$5+$AA$5-1)^0.5)*LOG10(INDEX(FX_Input,W$5,J$3*$Z$5+$AA$5))-(1.854-(1042/(J732+459.6)))*(INDEX(FX_Input,W$5,J$3*$Z$5+$AA$5-1)^0.5)+((2416/(J732+459.6)-2.013)*LOG10(INDEX(FX_Input,W$5,J$3*$Z$5+$AA$5)))-(8742/(J732+459.6))+15.64),EXP(INDEX(Antoines,MATCH(J724,Antoine_Name,0),2)-INDEX(Antoines,MATCH(J724,Antoine_Name,0),3)/(J732+459.6))))),0)</f>
        <v>0</v>
      </c>
      <c r="K745" cm="1">
        <f t="array" ref="K745">IFERROR(IF(K725="Chemical",(10^(INDEX(Antoines,MATCH(K724,Antoine_Name,0),2)-INDEX(Antoines,MATCH(K724,Antoine_Name,0),3)/(INDEX(Antoines,MATCH(K724,Antoine_Name,0),4)+(K732-32)*5/9)))*14.7/760,IF(K725="Crude Oil",EXP((2799/(K732+459.6)-2.227)*LOG10(INDEX(FX_Input,X$5,K$3*$Z$5+$AA$5))-(7261/(K732+459.6))+12.82),IF(K725="Refined Petroleum Stock",EXP((0.7553-(413/(K732+459.6)))*(INDEX(FX_Input,X$5,K$3*$Z$5+$AA$5-1)^0.5)*LOG10(INDEX(FX_Input,X$5,K$3*$Z$5+$AA$5))-(1.854-(1042/(K732+459.6)))*(INDEX(FX_Input,X$5,K$3*$Z$5+$AA$5-1)^0.5)+((2416/(K732+459.6)-2.013)*LOG10(INDEX(FX_Input,X$5,K$3*$Z$5+$AA$5)))-(8742/(K732+459.6))+15.64),EXP(INDEX(Antoines,MATCH(K724,Antoine_Name,0),2)-INDEX(Antoines,MATCH(K724,Antoine_Name,0),3)/(K732+459.6))))),0)</f>
        <v>0</v>
      </c>
      <c r="L745" cm="1">
        <f t="array" ref="L745">IFERROR(IF(L725="Chemical",(10^(INDEX(Antoines,MATCH(L724,Antoine_Name,0),2)-INDEX(Antoines,MATCH(L724,Antoine_Name,0),3)/(INDEX(Antoines,MATCH(L724,Antoine_Name,0),4)+(L732-32)*5/9)))*14.7/760,IF(L725="Crude Oil",EXP((2799/(L732+459.6)-2.227)*LOG10(INDEX(FX_Input,Y$5,L$3*$Z$5+$AA$5))-(7261/(L732+459.6))+12.82),IF(L725="Refined Petroleum Stock",EXP((0.7553-(413/(L732+459.6)))*(INDEX(FX_Input,Y$5,L$3*$Z$5+$AA$5-1)^0.5)*LOG10(INDEX(FX_Input,Y$5,L$3*$Z$5+$AA$5))-(1.854-(1042/(L732+459.6)))*(INDEX(FX_Input,Y$5,L$3*$Z$5+$AA$5-1)^0.5)+((2416/(L732+459.6)-2.013)*LOG10(INDEX(FX_Input,Y$5,L$3*$Z$5+$AA$5)))-(8742/(L732+459.6))+15.64),EXP(INDEX(Antoines,MATCH(L724,Antoine_Name,0),2)-INDEX(Antoines,MATCH(L724,Antoine_Name,0),3)/(L732+459.6))))),0)</f>
        <v>0</v>
      </c>
      <c r="M745" cm="1">
        <f t="array" ref="M745">IFERROR(IF(M725="Chemical",(10^(INDEX(Antoines,MATCH(M724,Antoine_Name,0),2)-INDEX(Antoines,MATCH(M724,Antoine_Name,0),3)/(INDEX(Antoines,MATCH(M724,Antoine_Name,0),4)+(M732-32)*5/9)))*14.7/760,IF(M725="Crude Oil",EXP((2799/(M732+459.6)-2.227)*LOG10(INDEX(FX_Input,Z$5,M$3*$Z$5+$AA$5))-(7261/(M732+459.6))+12.82),IF(M725="Refined Petroleum Stock",EXP((0.7553-(413/(M732+459.6)))*(INDEX(FX_Input,Z$5,M$3*$Z$5+$AA$5-1)^0.5)*LOG10(INDEX(FX_Input,Z$5,M$3*$Z$5+$AA$5))-(1.854-(1042/(M732+459.6)))*(INDEX(FX_Input,Z$5,M$3*$Z$5+$AA$5-1)^0.5)+((2416/(M732+459.6)-2.013)*LOG10(INDEX(FX_Input,Z$5,M$3*$Z$5+$AA$5)))-(8742/(M732+459.6))+15.64),EXP(INDEX(Antoines,MATCH(M724,Antoine_Name,0),2)-INDEX(Antoines,MATCH(M724,Antoine_Name,0),3)/(M732+459.6))))),0)</f>
        <v>0</v>
      </c>
      <c r="N745" cm="1">
        <f t="array" ref="N745">IFERROR(IF(N725="Chemical",(10^(INDEX(Antoines,MATCH(N724,Antoine_Name,0),2)-INDEX(Antoines,MATCH(N724,Antoine_Name,0),3)/(INDEX(Antoines,MATCH(N724,Antoine_Name,0),4)+(N732-32)*5/9)))*14.7/760,IF(N725="Crude Oil",EXP((2799/(N732+459.6)-2.227)*LOG10(INDEX(FX_Input,AA$5,N$3*$Z$5+$AA$5))-(7261/(N732+459.6))+12.82),IF(N725="Refined Petroleum Stock",EXP((0.7553-(413/(N732+459.6)))*(INDEX(FX_Input,AA$5,N$3*$Z$5+$AA$5-1)^0.5)*LOG10(INDEX(FX_Input,AA$5,N$3*$Z$5+$AA$5))-(1.854-(1042/(N732+459.6)))*(INDEX(FX_Input,AA$5,N$3*$Z$5+$AA$5-1)^0.5)+((2416/(N732+459.6)-2.013)*LOG10(INDEX(FX_Input,AA$5,N$3*$Z$5+$AA$5)))-(8742/(N732+459.6))+15.64),EXP(INDEX(Antoines,MATCH(N724,Antoine_Name,0),2)-INDEX(Antoines,MATCH(N724,Antoine_Name,0),3)/(N732+459.6))))),0)</f>
        <v>0</v>
      </c>
      <c r="O745" cm="1">
        <f t="array" ref="O745">IFERROR(IF(O725="Chemical",(10^(INDEX(Antoines,MATCH(O724,Antoine_Name,0),2)-INDEX(Antoines,MATCH(O724,Antoine_Name,0),3)/(INDEX(Antoines,MATCH(O724,Antoine_Name,0),4)+(O732-32)*5/9)))*14.7/760,IF(O725="Crude Oil",EXP((2799/(O732+459.6)-2.227)*LOG10(INDEX(FX_Input,AB$5,O$3*$Z$5+$AA$5))-(7261/(O732+459.6))+12.82),IF(O725="Refined Petroleum Stock",EXP((0.7553-(413/(O732+459.6)))*(INDEX(FX_Input,AB$5,O$3*$Z$5+$AA$5-1)^0.5)*LOG10(INDEX(FX_Input,AB$5,O$3*$Z$5+$AA$5))-(1.854-(1042/(O732+459.6)))*(INDEX(FX_Input,AB$5,O$3*$Z$5+$AA$5-1)^0.5)+((2416/(O732+459.6)-2.013)*LOG10(INDEX(FX_Input,AB$5,O$3*$Z$5+$AA$5)))-(8742/(O732+459.6))+15.64),EXP(INDEX(Antoines,MATCH(O724,Antoine_Name,0),2)-INDEX(Antoines,MATCH(O724,Antoine_Name,0),3)/(O732+459.6))))),0)</f>
        <v>0</v>
      </c>
    </row>
    <row r="746" spans="1:32" ht="17.149999999999999" x14ac:dyDescent="0.55000000000000004">
      <c r="B746" t="str">
        <f t="shared" si="2580"/>
        <v>Portland</v>
      </c>
      <c r="C746" t="s">
        <v>1391</v>
      </c>
      <c r="D746">
        <f>D745*D728</f>
        <v>0</v>
      </c>
      <c r="E746">
        <f t="shared" ref="E746" si="2658">E745*E728</f>
        <v>0</v>
      </c>
      <c r="F746">
        <f t="shared" ref="F746" si="2659">F745*F728</f>
        <v>0</v>
      </c>
      <c r="G746">
        <f t="shared" ref="G746" si="2660">G745*G728</f>
        <v>0</v>
      </c>
      <c r="H746">
        <f t="shared" ref="H746" si="2661">H745*H728</f>
        <v>0</v>
      </c>
      <c r="I746">
        <f t="shared" ref="I746" si="2662">I745*I728</f>
        <v>0</v>
      </c>
      <c r="J746">
        <f t="shared" ref="J746" si="2663">J745*J728</f>
        <v>0</v>
      </c>
      <c r="K746">
        <f t="shared" ref="K746" si="2664">K745*K728</f>
        <v>0</v>
      </c>
      <c r="L746">
        <f t="shared" ref="L746" si="2665">L745*L728</f>
        <v>0</v>
      </c>
      <c r="M746">
        <f t="shared" ref="M746" si="2666">M745*M728</f>
        <v>0</v>
      </c>
      <c r="N746">
        <f t="shared" ref="N746" si="2667">N745*N728</f>
        <v>0</v>
      </c>
      <c r="O746">
        <f t="shared" ref="O746" si="2668">O745*O728</f>
        <v>0</v>
      </c>
    </row>
    <row r="747" spans="1:32" ht="17.149999999999999" x14ac:dyDescent="0.55000000000000004">
      <c r="B747" t="str">
        <f t="shared" si="2580"/>
        <v>Portland</v>
      </c>
      <c r="C747" t="s">
        <v>1392</v>
      </c>
      <c r="D747">
        <f>D744+D746</f>
        <v>4.739577185808354E-3</v>
      </c>
      <c r="E747">
        <f t="shared" ref="E747" si="2669">E744+E746</f>
        <v>4.8748667780818778E-3</v>
      </c>
      <c r="F747">
        <f t="shared" ref="F747" si="2670">F744+F746</f>
        <v>5.119885034186122E-3</v>
      </c>
      <c r="G747">
        <f t="shared" ref="G747" si="2671">G744+G746</f>
        <v>5.5846958573521795E-3</v>
      </c>
      <c r="H747">
        <f t="shared" ref="H747" si="2672">H744+H746</f>
        <v>6.5274070972739821E-3</v>
      </c>
      <c r="I747">
        <f t="shared" ref="I747" si="2673">I744+I746</f>
        <v>7.4199539958878279E-3</v>
      </c>
      <c r="J747">
        <f t="shared" ref="J747" si="2674">J744+J746</f>
        <v>8.3358107202842254E-3</v>
      </c>
      <c r="K747">
        <f t="shared" ref="K747" si="2675">K744+K746</f>
        <v>8.4605262729351115E-3</v>
      </c>
      <c r="L747">
        <f t="shared" ref="L747" si="2676">L744+L746</f>
        <v>7.8399882233967533E-3</v>
      </c>
      <c r="M747">
        <f t="shared" ref="M747" si="2677">M744+M746</f>
        <v>6.4173462075160911E-3</v>
      </c>
      <c r="N747">
        <f t="shared" ref="N747" si="2678">N744+N746</f>
        <v>5.3015226887581056E-3</v>
      </c>
      <c r="O747">
        <f t="shared" ref="O747" si="2679">O744+O746</f>
        <v>4.68970903600947E-3</v>
      </c>
    </row>
    <row r="748" spans="1:32" ht="17.149999999999999" x14ac:dyDescent="0.55000000000000004">
      <c r="B748" t="str">
        <f>B742</f>
        <v>Portland</v>
      </c>
      <c r="C748" t="s">
        <v>584</v>
      </c>
      <c r="D748">
        <f>D744/D747</f>
        <v>1</v>
      </c>
      <c r="E748">
        <f t="shared" ref="E748" si="2680">E744/E747</f>
        <v>1</v>
      </c>
      <c r="F748">
        <f t="shared" ref="F748" si="2681">F744/F747</f>
        <v>1</v>
      </c>
      <c r="G748">
        <f t="shared" ref="G748" si="2682">G744/G747</f>
        <v>1</v>
      </c>
      <c r="H748">
        <f t="shared" ref="H748" si="2683">H744/H747</f>
        <v>1</v>
      </c>
      <c r="I748">
        <f t="shared" ref="I748" si="2684">I744/I747</f>
        <v>1</v>
      </c>
      <c r="J748">
        <f t="shared" ref="J748" si="2685">J744/J747</f>
        <v>1</v>
      </c>
      <c r="K748">
        <f t="shared" ref="K748" si="2686">K744/K747</f>
        <v>1</v>
      </c>
      <c r="L748">
        <f t="shared" ref="L748" si="2687">L744/L747</f>
        <v>1</v>
      </c>
      <c r="M748">
        <f t="shared" ref="M748" si="2688">M744/M747</f>
        <v>1</v>
      </c>
      <c r="N748">
        <f t="shared" ref="N748" si="2689">N744/N747</f>
        <v>1</v>
      </c>
      <c r="O748">
        <f t="shared" ref="O748" si="2690">O744/O747</f>
        <v>1</v>
      </c>
    </row>
    <row r="749" spans="1:32" ht="17.149999999999999" x14ac:dyDescent="0.55000000000000004">
      <c r="B749" t="str">
        <f>B743</f>
        <v>Portland</v>
      </c>
      <c r="C749" t="s">
        <v>585</v>
      </c>
      <c r="D749">
        <f t="shared" ref="D749:O749" si="2691">INDEX(Phys_Prop,MATCH(D722,Chem_List,0),3)</f>
        <v>130</v>
      </c>
      <c r="E749">
        <f t="shared" si="2691"/>
        <v>130</v>
      </c>
      <c r="F749">
        <f t="shared" si="2691"/>
        <v>130</v>
      </c>
      <c r="G749">
        <f t="shared" si="2691"/>
        <v>130</v>
      </c>
      <c r="H749">
        <f t="shared" si="2691"/>
        <v>130</v>
      </c>
      <c r="I749">
        <f t="shared" si="2691"/>
        <v>130</v>
      </c>
      <c r="J749">
        <f t="shared" si="2691"/>
        <v>130</v>
      </c>
      <c r="K749">
        <f t="shared" si="2691"/>
        <v>130</v>
      </c>
      <c r="L749">
        <f t="shared" si="2691"/>
        <v>130</v>
      </c>
      <c r="M749">
        <f t="shared" si="2691"/>
        <v>130</v>
      </c>
      <c r="N749">
        <f t="shared" si="2691"/>
        <v>130</v>
      </c>
      <c r="O749">
        <f t="shared" si="2691"/>
        <v>130</v>
      </c>
    </row>
    <row r="750" spans="1:32" ht="17.149999999999999" x14ac:dyDescent="0.55000000000000004">
      <c r="B750" t="str">
        <f>B749</f>
        <v>Portland</v>
      </c>
      <c r="C750" t="s">
        <v>586</v>
      </c>
      <c r="D750">
        <f>D746/D747</f>
        <v>0</v>
      </c>
      <c r="E750">
        <f t="shared" ref="E750:O750" si="2692">E746/E747</f>
        <v>0</v>
      </c>
      <c r="F750">
        <f t="shared" si="2692"/>
        <v>0</v>
      </c>
      <c r="G750">
        <f t="shared" si="2692"/>
        <v>0</v>
      </c>
      <c r="H750">
        <f t="shared" si="2692"/>
        <v>0</v>
      </c>
      <c r="I750">
        <f t="shared" si="2692"/>
        <v>0</v>
      </c>
      <c r="J750">
        <f t="shared" si="2692"/>
        <v>0</v>
      </c>
      <c r="K750">
        <f t="shared" si="2692"/>
        <v>0</v>
      </c>
      <c r="L750">
        <f t="shared" si="2692"/>
        <v>0</v>
      </c>
      <c r="M750">
        <f t="shared" si="2692"/>
        <v>0</v>
      </c>
      <c r="N750">
        <f t="shared" si="2692"/>
        <v>0</v>
      </c>
      <c r="O750">
        <f t="shared" si="2692"/>
        <v>0</v>
      </c>
    </row>
    <row r="751" spans="1:32" ht="17.149999999999999" x14ac:dyDescent="0.55000000000000004">
      <c r="B751" t="str">
        <f t="shared" si="2580"/>
        <v>Portland</v>
      </c>
      <c r="C751" t="s">
        <v>587</v>
      </c>
      <c r="D751">
        <f t="shared" ref="D751:O751" si="2693">IFERROR(INDEX(Phys_Prop,MATCH(D724,Chem_List,0),3),0)</f>
        <v>0</v>
      </c>
      <c r="E751">
        <f t="shared" si="2693"/>
        <v>0</v>
      </c>
      <c r="F751">
        <f t="shared" si="2693"/>
        <v>0</v>
      </c>
      <c r="G751">
        <f t="shared" si="2693"/>
        <v>0</v>
      </c>
      <c r="H751">
        <f t="shared" si="2693"/>
        <v>0</v>
      </c>
      <c r="I751">
        <f t="shared" si="2693"/>
        <v>0</v>
      </c>
      <c r="J751">
        <f t="shared" si="2693"/>
        <v>0</v>
      </c>
      <c r="K751">
        <f t="shared" si="2693"/>
        <v>0</v>
      </c>
      <c r="L751">
        <f t="shared" si="2693"/>
        <v>0</v>
      </c>
      <c r="M751">
        <f t="shared" si="2693"/>
        <v>0</v>
      </c>
      <c r="N751">
        <f t="shared" si="2693"/>
        <v>0</v>
      </c>
      <c r="O751">
        <f t="shared" si="2693"/>
        <v>0</v>
      </c>
    </row>
    <row r="752" spans="1:32" ht="17.149999999999999" x14ac:dyDescent="0.55000000000000004">
      <c r="A752" s="11"/>
      <c r="B752" s="11" t="str">
        <f t="shared" si="2580"/>
        <v>Portland</v>
      </c>
      <c r="C752" s="11" t="s">
        <v>588</v>
      </c>
      <c r="D752" s="11">
        <f>IFERROR(D748*D749+D750*D751,0)</f>
        <v>130</v>
      </c>
      <c r="E752" s="11">
        <f t="shared" ref="E752" si="2694">IFERROR(E748*E749+E750*E751,0)</f>
        <v>130</v>
      </c>
      <c r="F752" s="11">
        <f t="shared" ref="F752" si="2695">IFERROR(F748*F749+F750*F751,0)</f>
        <v>130</v>
      </c>
      <c r="G752" s="11">
        <f t="shared" ref="G752" si="2696">IFERROR(G748*G749+G750*G751,0)</f>
        <v>130</v>
      </c>
      <c r="H752" s="11">
        <f t="shared" ref="H752" si="2697">IFERROR(H748*H749+H750*H751,0)</f>
        <v>130</v>
      </c>
      <c r="I752" s="11">
        <f t="shared" ref="I752" si="2698">IFERROR(I748*I749+I750*I751,0)</f>
        <v>130</v>
      </c>
      <c r="J752" s="11">
        <f t="shared" ref="J752" si="2699">IFERROR(J748*J749+J750*J751,0)</f>
        <v>130</v>
      </c>
      <c r="K752" s="11">
        <f t="shared" ref="K752" si="2700">IFERROR(K748*K749+K750*K751,0)</f>
        <v>130</v>
      </c>
      <c r="L752" s="11">
        <f t="shared" ref="L752" si="2701">IFERROR(L748*L749+L750*L751,0)</f>
        <v>130</v>
      </c>
      <c r="M752" s="11">
        <f t="shared" ref="M752" si="2702">IFERROR(M748*M749+M750*M751,0)</f>
        <v>130</v>
      </c>
      <c r="N752" s="11">
        <f t="shared" ref="N752" si="2703">IFERROR(N748*N749+N750*N751,0)</f>
        <v>130</v>
      </c>
      <c r="O752" s="11">
        <f t="shared" ref="O752" si="2704">IFERROR(O748*O749+O750*O751,0)</f>
        <v>130</v>
      </c>
      <c r="P752" s="11"/>
      <c r="Q752" s="11"/>
      <c r="R752" s="11"/>
      <c r="S752" s="11"/>
      <c r="T752" s="11"/>
      <c r="U752" s="11"/>
      <c r="V752" s="11"/>
      <c r="W752" s="11"/>
      <c r="X752" s="11"/>
      <c r="Y752" s="11"/>
      <c r="Z752" s="11"/>
      <c r="AA752" s="11"/>
      <c r="AB752" s="11"/>
      <c r="AC752" s="11"/>
      <c r="AD752" s="11"/>
      <c r="AE752" s="11"/>
      <c r="AF752" s="11"/>
    </row>
    <row r="753" spans="1:32" ht="17.149999999999999" x14ac:dyDescent="0.55000000000000004">
      <c r="A753" t="str" cm="1">
        <f t="array" ref="A753">INDEX(FX_Input,$Q753,R$5)</f>
        <v>FX - 23</v>
      </c>
      <c r="B753" t="str" cm="1">
        <f t="array" ref="B753">INDEX(FX_Input,Q753,S753)</f>
        <v>Portland</v>
      </c>
      <c r="C753" t="s">
        <v>563</v>
      </c>
      <c r="D753">
        <v>14.7</v>
      </c>
      <c r="E753">
        <v>14.7</v>
      </c>
      <c r="F753">
        <v>14.7</v>
      </c>
      <c r="G753">
        <v>14.7</v>
      </c>
      <c r="H753">
        <v>14.7</v>
      </c>
      <c r="I753">
        <v>14.7</v>
      </c>
      <c r="J753">
        <v>14.7</v>
      </c>
      <c r="K753">
        <v>14.7</v>
      </c>
      <c r="L753">
        <v>14.7</v>
      </c>
      <c r="M753">
        <v>14.7</v>
      </c>
      <c r="N753">
        <v>14.7</v>
      </c>
      <c r="O753">
        <v>14.7</v>
      </c>
      <c r="Q753">
        <f>Q719+2</f>
        <v>45</v>
      </c>
      <c r="R753">
        <v>1</v>
      </c>
      <c r="S753">
        <v>3</v>
      </c>
      <c r="T753">
        <v>1</v>
      </c>
      <c r="U753">
        <v>19</v>
      </c>
      <c r="V753">
        <v>20</v>
      </c>
      <c r="W753">
        <v>25</v>
      </c>
      <c r="X753">
        <v>1</v>
      </c>
      <c r="Y753">
        <v>2</v>
      </c>
      <c r="Z753">
        <f>(W753-V753)/(Y753-X753)</f>
        <v>5</v>
      </c>
      <c r="AA753">
        <f>V753-Z753*X753</f>
        <v>15</v>
      </c>
      <c r="AD753">
        <f>AD719+14</f>
        <v>309</v>
      </c>
      <c r="AF753">
        <f>AF719+14</f>
        <v>309</v>
      </c>
    </row>
    <row r="754" spans="1:32" ht="17.149999999999999" x14ac:dyDescent="0.55000000000000004">
      <c r="B754" t="str">
        <f t="shared" ref="B754" si="2705">B753</f>
        <v>Portland</v>
      </c>
      <c r="C754" t="s">
        <v>564</v>
      </c>
      <c r="D754" cm="1">
        <f t="array" ref="D754">IF(ISBLANK(INDEX(FX_Input,$Q753,$AB754)),0.03,INDEX(FX_Input,Q753,AB754))</f>
        <v>0.03</v>
      </c>
      <c r="E754" cm="1">
        <f t="array" ref="E754">IF(ISBLANK(INDEX(FX_Input,$Q753,$AB754)),0.03,INDEX(FX_Input,R753,#REF!))</f>
        <v>0.03</v>
      </c>
      <c r="F754" cm="1">
        <f t="array" ref="F754">IF(ISBLANK(INDEX(FX_Input,$Q753,$AB754)),0.03,INDEX(FX_Input,S753,#REF!))</f>
        <v>0.03</v>
      </c>
      <c r="G754" cm="1">
        <f t="array" ref="G754">IF(ISBLANK(INDEX(FX_Input,$Q753,$AB754)),0.03,INDEX(FX_Input,AB753,#REF!))</f>
        <v>0.03</v>
      </c>
      <c r="H754" cm="1">
        <f t="array" ref="H754">IF(ISBLANK(INDEX(FX_Input,$Q753,$AB754)),0.03,INDEX(FX_Input,#REF!,#REF!))</f>
        <v>0.03</v>
      </c>
      <c r="I754" cm="1">
        <f t="array" ref="I754">IF(ISBLANK(INDEX(FX_Input,$Q753,$AB754)),0.03,INDEX(FX_Input,#REF!,#REF!))</f>
        <v>0.03</v>
      </c>
      <c r="J754" cm="1">
        <f t="array" ref="J754">IF(ISBLANK(INDEX(FX_Input,$Q753,$AB754)),0.03,INDEX(FX_Input,#REF!,#REF!))</f>
        <v>0.03</v>
      </c>
      <c r="K754" cm="1">
        <f t="array" ref="K754">IF(ISBLANK(INDEX(FX_Input,$Q753,$AB754)),0.03,INDEX(FX_Input,#REF!,AC754))</f>
        <v>0.03</v>
      </c>
      <c r="L754" cm="1">
        <f t="array" ref="L754">IF(ISBLANK(INDEX(FX_Input,$Q753,$AB754)),0.03,INDEX(FX_Input,#REF!,AD754))</f>
        <v>0.03</v>
      </c>
      <c r="M754" cm="1">
        <f t="array" ref="M754">IF(ISBLANK(INDEX(FX_Input,$Q753,$AB754)),0.03,INDEX(FX_Input,#REF!,#REF!))</f>
        <v>0.03</v>
      </c>
      <c r="N754" cm="1">
        <f t="array" ref="N754">IF(ISBLANK(INDEX(FX_Input,$Q753,$AB754)),0.03,INDEX(FX_Input,AC753,#REF!))</f>
        <v>0.03</v>
      </c>
      <c r="O754" cm="1">
        <f t="array" ref="O754">IF(ISBLANK(INDEX(FX_Input,$Q753,$AB754)),0.03,INDEX(FX_Input,AD753,#REF!))</f>
        <v>0.03</v>
      </c>
      <c r="AB754">
        <v>15</v>
      </c>
    </row>
    <row r="755" spans="1:32" ht="17.149999999999999" x14ac:dyDescent="0.55000000000000004">
      <c r="B755" t="str">
        <f>B754</f>
        <v>Portland</v>
      </c>
      <c r="C755" t="s">
        <v>565</v>
      </c>
      <c r="D755" cm="1">
        <f t="array" ref="D755">IF(ISBLANK(INDEX(FX_Input,$Q753,$AB755)),-0.03,INDEX(FX_Input,Q753,AB755))</f>
        <v>-0.03</v>
      </c>
      <c r="E755" cm="1">
        <f t="array" ref="E755">IF(ISBLANK(INDEX(FX_Input,$Q753,$AB755)),-0.03,INDEX(FX_Input,R753,#REF!))</f>
        <v>-0.03</v>
      </c>
      <c r="F755" cm="1">
        <f t="array" ref="F755">IF(ISBLANK(INDEX(FX_Input,$Q753,$AB755)),-0.03,INDEX(FX_Input,S753,#REF!))</f>
        <v>-0.03</v>
      </c>
      <c r="G755" cm="1">
        <f t="array" ref="G755">IF(ISBLANK(INDEX(FX_Input,$Q753,$AB755)),-0.03,INDEX(FX_Input,AB753,#REF!))</f>
        <v>-0.03</v>
      </c>
      <c r="H755" cm="1">
        <f t="array" ref="H755">IF(ISBLANK(INDEX(FX_Input,$Q753,$AB755)),-0.03,INDEX(FX_Input,#REF!,#REF!))</f>
        <v>-0.03</v>
      </c>
      <c r="I755" cm="1">
        <f t="array" ref="I755">IF(ISBLANK(INDEX(FX_Input,$Q753,$AB755)),-0.03,INDEX(FX_Input,#REF!,#REF!))</f>
        <v>-0.03</v>
      </c>
      <c r="J755" cm="1">
        <f t="array" ref="J755">IF(ISBLANK(INDEX(FX_Input,$Q753,$AB755)),-0.03,INDEX(FX_Input,#REF!,#REF!))</f>
        <v>-0.03</v>
      </c>
      <c r="K755" cm="1">
        <f t="array" ref="K755">IF(ISBLANK(INDEX(FX_Input,$Q753,$AB755)),-0.03,INDEX(FX_Input,#REF!,AC755))</f>
        <v>-0.03</v>
      </c>
      <c r="L755" cm="1">
        <f t="array" ref="L755">IF(ISBLANK(INDEX(FX_Input,$Q753,$AB755)),-0.03,INDEX(FX_Input,#REF!,AD755))</f>
        <v>-0.03</v>
      </c>
      <c r="M755" cm="1">
        <f t="array" ref="M755">IF(ISBLANK(INDEX(FX_Input,$Q753,$AB755)),-0.03,INDEX(FX_Input,#REF!,#REF!))</f>
        <v>-0.03</v>
      </c>
      <c r="N755" cm="1">
        <f t="array" ref="N755">IF(ISBLANK(INDEX(FX_Input,$Q753,$AB755)),-0.03,INDEX(FX_Input,AC753,#REF!))</f>
        <v>-0.03</v>
      </c>
      <c r="O755" cm="1">
        <f t="array" ref="O755">IF(ISBLANK(INDEX(FX_Input,$Q753,$AB755)),-0.03,INDEX(FX_Input,AD753,#REF!))</f>
        <v>-0.03</v>
      </c>
      <c r="AB755">
        <v>16</v>
      </c>
    </row>
    <row r="756" spans="1:32" x14ac:dyDescent="0.4">
      <c r="B756" t="str">
        <f t="shared" ref="B756:B757" si="2706">B755</f>
        <v>Portland</v>
      </c>
      <c r="C756" s="66" t="s">
        <v>567</v>
      </c>
      <c r="D756" t="str" cm="1">
        <f t="array" ref="D756">INDEX(FX_Multi,$AD756,D$3)</f>
        <v>Out of Service</v>
      </c>
      <c r="E756" t="str" cm="1">
        <f t="array" ref="E756">INDEX(FX_Multi,$AD756,E$3)</f>
        <v>Out of Service</v>
      </c>
      <c r="F756" t="str" cm="1">
        <f t="array" ref="F756">INDEX(FX_Multi,$AD756,F$3)</f>
        <v>Out of Service</v>
      </c>
      <c r="G756" t="str" cm="1">
        <f t="array" ref="G756">INDEX(FX_Multi,$AD756,G$3)</f>
        <v>Out of Service</v>
      </c>
      <c r="H756" t="str" cm="1">
        <f t="array" ref="H756">INDEX(FX_Multi,$AD756,H$3)</f>
        <v>Out of Service</v>
      </c>
      <c r="I756" t="str" cm="1">
        <f t="array" ref="I756">INDEX(FX_Multi,$AD756,I$3)</f>
        <v>Out of Service</v>
      </c>
      <c r="J756" t="str" cm="1">
        <f t="array" ref="J756">INDEX(FX_Multi,$AD756,J$3)</f>
        <v>Out of Service</v>
      </c>
      <c r="K756" t="str" cm="1">
        <f t="array" ref="K756">INDEX(FX_Multi,$AD756,K$3)</f>
        <v>Out of Service</v>
      </c>
      <c r="L756" t="str" cm="1">
        <f t="array" ref="L756">INDEX(FX_Multi,$AD756,L$3)</f>
        <v>Out of Service</v>
      </c>
      <c r="M756" t="str" cm="1">
        <f t="array" ref="M756">INDEX(FX_Multi,$AD756,M$3)</f>
        <v>Out of Service</v>
      </c>
      <c r="N756" t="str" cm="1">
        <f t="array" ref="N756">INDEX(FX_Multi,$AD756,N$3)</f>
        <v>Out of Service</v>
      </c>
      <c r="O756" t="str" cm="1">
        <f t="array" ref="O756">INDEX(FX_Multi,$AD756,O$3)</f>
        <v>Out of Service</v>
      </c>
      <c r="AC756">
        <v>1</v>
      </c>
      <c r="AD756">
        <f>AD753</f>
        <v>309</v>
      </c>
      <c r="AE756">
        <v>1</v>
      </c>
      <c r="AF756">
        <f>AF753</f>
        <v>309</v>
      </c>
    </row>
    <row r="757" spans="1:32" x14ac:dyDescent="0.4">
      <c r="B757" t="str">
        <f t="shared" si="2706"/>
        <v>Portland</v>
      </c>
      <c r="C757" s="66" t="s">
        <v>566</v>
      </c>
      <c r="D757" t="str" cm="1">
        <f t="array" ref="D757">INDEX(FX_Multi,$AD757,D$3)</f>
        <v>N/A</v>
      </c>
      <c r="E757" t="str" cm="1">
        <f t="array" ref="E757">INDEX(FX_Multi,$AD757,E$3)</f>
        <v>N/A</v>
      </c>
      <c r="F757" t="str" cm="1">
        <f t="array" ref="F757">INDEX(FX_Multi,$AD757,F$3)</f>
        <v>N/A</v>
      </c>
      <c r="G757" t="str" cm="1">
        <f t="array" ref="G757">INDEX(FX_Multi,$AD757,G$3)</f>
        <v>N/A</v>
      </c>
      <c r="H757" t="str" cm="1">
        <f t="array" ref="H757">INDEX(FX_Multi,$AD757,H$3)</f>
        <v>N/A</v>
      </c>
      <c r="I757" t="str" cm="1">
        <f t="array" ref="I757">INDEX(FX_Multi,$AD757,I$3)</f>
        <v>N/A</v>
      </c>
      <c r="J757" t="str" cm="1">
        <f t="array" ref="J757">INDEX(FX_Multi,$AD757,J$3)</f>
        <v>N/A</v>
      </c>
      <c r="K757" t="str" cm="1">
        <f t="array" ref="K757">INDEX(FX_Multi,$AD757,K$3)</f>
        <v>N/A</v>
      </c>
      <c r="L757" t="str" cm="1">
        <f t="array" ref="L757">INDEX(FX_Multi,$AD757,L$3)</f>
        <v>N/A</v>
      </c>
      <c r="M757" t="str" cm="1">
        <f t="array" ref="M757">INDEX(FX_Multi,$AD757,M$3)</f>
        <v>N/A</v>
      </c>
      <c r="N757" t="str" cm="1">
        <f t="array" ref="N757">INDEX(FX_Multi,$AD757,N$3)</f>
        <v>N/A</v>
      </c>
      <c r="O757" t="str" cm="1">
        <f t="array" ref="O757">INDEX(FX_Multi,$AD757,O$3)</f>
        <v>N/A</v>
      </c>
      <c r="AC757">
        <v>1</v>
      </c>
      <c r="AD757">
        <f>AD756+2</f>
        <v>311</v>
      </c>
      <c r="AE757">
        <v>1</v>
      </c>
      <c r="AF757">
        <f>AF756+3</f>
        <v>312</v>
      </c>
    </row>
    <row r="758" spans="1:32" x14ac:dyDescent="0.4">
      <c r="B758" t="str">
        <f>B754</f>
        <v>Portland</v>
      </c>
      <c r="C758" s="66" t="s">
        <v>568</v>
      </c>
      <c r="D758" cm="1">
        <f t="array" ref="D758">INDEX(FX_Multi,$AD758,D$3)</f>
        <v>0</v>
      </c>
      <c r="E758" cm="1">
        <f t="array" ref="E758">INDEX(FX_Multi,$AD758,E$3)</f>
        <v>0</v>
      </c>
      <c r="F758" cm="1">
        <f t="array" ref="F758">INDEX(FX_Multi,$AD758,F$3)</f>
        <v>0</v>
      </c>
      <c r="G758" cm="1">
        <f t="array" ref="G758">INDEX(FX_Multi,$AD758,G$3)</f>
        <v>0</v>
      </c>
      <c r="H758" cm="1">
        <f t="array" ref="H758">INDEX(FX_Multi,$AD758,H$3)</f>
        <v>0</v>
      </c>
      <c r="I758" cm="1">
        <f t="array" ref="I758">INDEX(FX_Multi,$AD758,I$3)</f>
        <v>0</v>
      </c>
      <c r="J758" cm="1">
        <f t="array" ref="J758">INDEX(FX_Multi,$AD758,J$3)</f>
        <v>0</v>
      </c>
      <c r="K758" cm="1">
        <f t="array" ref="K758">INDEX(FX_Multi,$AD758,K$3)</f>
        <v>0</v>
      </c>
      <c r="L758" cm="1">
        <f t="array" ref="L758">INDEX(FX_Multi,$AD758,L$3)</f>
        <v>0</v>
      </c>
      <c r="M758" cm="1">
        <f t="array" ref="M758">INDEX(FX_Multi,$AD758,M$3)</f>
        <v>0</v>
      </c>
      <c r="N758" cm="1">
        <f t="array" ref="N758">INDEX(FX_Multi,$AD758,N$3)</f>
        <v>0</v>
      </c>
      <c r="O758" cm="1">
        <f t="array" ref="O758">INDEX(FX_Multi,$AD758,O$3)</f>
        <v>0</v>
      </c>
      <c r="AC758">
        <v>1</v>
      </c>
      <c r="AD758">
        <f>AD757-1</f>
        <v>310</v>
      </c>
      <c r="AE758">
        <v>1</v>
      </c>
      <c r="AF758">
        <f>AF756+1</f>
        <v>310</v>
      </c>
    </row>
    <row r="759" spans="1:32" x14ac:dyDescent="0.4">
      <c r="B759" t="str">
        <f t="shared" ref="B759:B763" si="2707">B758</f>
        <v>Portland</v>
      </c>
      <c r="C759" s="66" t="s">
        <v>569</v>
      </c>
      <c r="D759" cm="1">
        <f t="array" ref="D759">INDEX(FX_Multi,$AD759,D$3)</f>
        <v>0</v>
      </c>
      <c r="E759" cm="1">
        <f t="array" ref="E759">INDEX(FX_Multi,$AD759,E$3)</f>
        <v>0</v>
      </c>
      <c r="F759" cm="1">
        <f t="array" ref="F759">INDEX(FX_Multi,$AD759,F$3)</f>
        <v>0</v>
      </c>
      <c r="G759" cm="1">
        <f t="array" ref="G759">INDEX(FX_Multi,$AD759,G$3)</f>
        <v>0</v>
      </c>
      <c r="H759" cm="1">
        <f t="array" ref="H759">INDEX(FX_Multi,$AD759,H$3)</f>
        <v>0</v>
      </c>
      <c r="I759" cm="1">
        <f t="array" ref="I759">INDEX(FX_Multi,$AD759,I$3)</f>
        <v>0</v>
      </c>
      <c r="J759" cm="1">
        <f t="array" ref="J759">INDEX(FX_Multi,$AD759,J$3)</f>
        <v>0</v>
      </c>
      <c r="K759" cm="1">
        <f t="array" ref="K759">INDEX(FX_Multi,$AD759,K$3)</f>
        <v>0</v>
      </c>
      <c r="L759" cm="1">
        <f t="array" ref="L759">INDEX(FX_Multi,$AD759,L$3)</f>
        <v>0</v>
      </c>
      <c r="M759" cm="1">
        <f t="array" ref="M759">INDEX(FX_Multi,$AD759,M$3)</f>
        <v>0</v>
      </c>
      <c r="N759" cm="1">
        <f t="array" ref="N759">INDEX(FX_Multi,$AD759,N$3)</f>
        <v>0</v>
      </c>
      <c r="O759" cm="1">
        <f t="array" ref="O759">INDEX(FX_Multi,$AD759,O$3)</f>
        <v>0</v>
      </c>
      <c r="AC759">
        <v>1</v>
      </c>
      <c r="AD759">
        <f>AD758+2</f>
        <v>312</v>
      </c>
      <c r="AE759">
        <v>1</v>
      </c>
      <c r="AF759">
        <f>AF757</f>
        <v>312</v>
      </c>
    </row>
    <row r="760" spans="1:32" ht="17.149999999999999" x14ac:dyDescent="0.55000000000000004">
      <c r="B760" t="str">
        <f t="shared" si="2707"/>
        <v>Portland</v>
      </c>
      <c r="C760" t="s">
        <v>570</v>
      </c>
      <c r="D760" cm="1">
        <f t="array" ref="D760">INDEX(FX_Multi,$AD760,D$3)</f>
        <v>1</v>
      </c>
      <c r="E760" cm="1">
        <f t="array" ref="E760">INDEX(FX_Multi,$AD760,E$3)</f>
        <v>1</v>
      </c>
      <c r="F760" cm="1">
        <f t="array" ref="F760">INDEX(FX_Multi,$AD760,F$3)</f>
        <v>1</v>
      </c>
      <c r="G760" cm="1">
        <f t="array" ref="G760">INDEX(FX_Multi,$AD760,G$3)</f>
        <v>1</v>
      </c>
      <c r="H760" cm="1">
        <f t="array" ref="H760">INDEX(FX_Multi,$AD760,H$3)</f>
        <v>1</v>
      </c>
      <c r="I760" cm="1">
        <f t="array" ref="I760">INDEX(FX_Multi,$AD760,I$3)</f>
        <v>1</v>
      </c>
      <c r="J760" cm="1">
        <f t="array" ref="J760">INDEX(FX_Multi,$AD760,J$3)</f>
        <v>1</v>
      </c>
      <c r="K760" cm="1">
        <f t="array" ref="K760">INDEX(FX_Multi,$AD760,K$3)</f>
        <v>1</v>
      </c>
      <c r="L760" cm="1">
        <f t="array" ref="L760">INDEX(FX_Multi,$AD760,L$3)</f>
        <v>1</v>
      </c>
      <c r="M760" cm="1">
        <f t="array" ref="M760">INDEX(FX_Multi,$AD760,M$3)</f>
        <v>1</v>
      </c>
      <c r="N760" cm="1">
        <f t="array" ref="N760">INDEX(FX_Multi,$AD760,N$3)</f>
        <v>1</v>
      </c>
      <c r="O760" cm="1">
        <f t="array" ref="O760">INDEX(FX_Multi,$AD760,O$3)</f>
        <v>1</v>
      </c>
      <c r="AC760">
        <v>1</v>
      </c>
      <c r="AD760">
        <f>AD759+6</f>
        <v>318</v>
      </c>
      <c r="AE760">
        <v>1</v>
      </c>
      <c r="AF760">
        <f>AF756+9</f>
        <v>318</v>
      </c>
    </row>
    <row r="761" spans="1:32" ht="17.149999999999999" x14ac:dyDescent="0.55000000000000004">
      <c r="B761" t="str">
        <f t="shared" si="2707"/>
        <v>Portland</v>
      </c>
      <c r="C761" t="s">
        <v>571</v>
      </c>
      <c r="D761" t="str" cm="1">
        <f t="array" ref="D761">INDEX(FX_Multi,$AD761,D$3)</f>
        <v>N/A</v>
      </c>
      <c r="E761" t="str" cm="1">
        <f t="array" ref="E761">INDEX(FX_Multi,$AD761,E$3)</f>
        <v>N/A</v>
      </c>
      <c r="F761" t="str" cm="1">
        <f t="array" ref="F761">INDEX(FX_Multi,$AD761,F$3)</f>
        <v>N/A</v>
      </c>
      <c r="G761" t="str" cm="1">
        <f t="array" ref="G761">INDEX(FX_Multi,$AD761,G$3)</f>
        <v>N/A</v>
      </c>
      <c r="H761" t="str" cm="1">
        <f t="array" ref="H761">INDEX(FX_Multi,$AD761,H$3)</f>
        <v>N/A</v>
      </c>
      <c r="I761" t="str" cm="1">
        <f t="array" ref="I761">INDEX(FX_Multi,$AD761,I$3)</f>
        <v>N/A</v>
      </c>
      <c r="J761" t="str" cm="1">
        <f t="array" ref="J761">INDEX(FX_Multi,$AD761,J$3)</f>
        <v>N/A</v>
      </c>
      <c r="K761" t="str" cm="1">
        <f t="array" ref="K761">INDEX(FX_Multi,$AD761,K$3)</f>
        <v>N/A</v>
      </c>
      <c r="L761" t="str" cm="1">
        <f t="array" ref="L761">INDEX(FX_Multi,$AD761,L$3)</f>
        <v>N/A</v>
      </c>
      <c r="M761" t="str" cm="1">
        <f t="array" ref="M761">INDEX(FX_Multi,$AD761,M$3)</f>
        <v>N/A</v>
      </c>
      <c r="N761" t="str" cm="1">
        <f t="array" ref="N761">INDEX(FX_Multi,$AD761,N$3)</f>
        <v>N/A</v>
      </c>
      <c r="O761" t="str" cm="1">
        <f t="array" ref="O761">INDEX(FX_Multi,$AD761,O$3)</f>
        <v>N/A</v>
      </c>
      <c r="AC761">
        <v>1</v>
      </c>
      <c r="AD761">
        <f>AD760-3</f>
        <v>315</v>
      </c>
      <c r="AE761">
        <v>1</v>
      </c>
      <c r="AF761">
        <f>AF756+6</f>
        <v>315</v>
      </c>
    </row>
    <row r="762" spans="1:32" ht="17.149999999999999" x14ac:dyDescent="0.55000000000000004">
      <c r="B762" t="str">
        <f t="shared" si="2707"/>
        <v>Portland</v>
      </c>
      <c r="C762" t="s">
        <v>572</v>
      </c>
      <c r="D762" cm="1">
        <f t="array" ref="D762">INDEX(FX_Multi,$AD762,D$3)</f>
        <v>0</v>
      </c>
      <c r="E762" cm="1">
        <f t="array" ref="E762">INDEX(FX_Multi,$AD762,E$3)</f>
        <v>0</v>
      </c>
      <c r="F762" cm="1">
        <f t="array" ref="F762">INDEX(FX_Multi,$AD762,F$3)</f>
        <v>0</v>
      </c>
      <c r="G762" cm="1">
        <f t="array" ref="G762">INDEX(FX_Multi,$AD762,G$3)</f>
        <v>0</v>
      </c>
      <c r="H762" cm="1">
        <f t="array" ref="H762">INDEX(FX_Multi,$AD762,H$3)</f>
        <v>0</v>
      </c>
      <c r="I762" cm="1">
        <f t="array" ref="I762">INDEX(FX_Multi,$AD762,I$3)</f>
        <v>0</v>
      </c>
      <c r="J762" cm="1">
        <f t="array" ref="J762">INDEX(FX_Multi,$AD762,J$3)</f>
        <v>0</v>
      </c>
      <c r="K762" cm="1">
        <f t="array" ref="K762">INDEX(FX_Multi,$AD762,K$3)</f>
        <v>0</v>
      </c>
      <c r="L762" cm="1">
        <f t="array" ref="L762">INDEX(FX_Multi,$AD762,L$3)</f>
        <v>0</v>
      </c>
      <c r="M762" cm="1">
        <f t="array" ref="M762">INDEX(FX_Multi,$AD762,M$3)</f>
        <v>0</v>
      </c>
      <c r="N762" cm="1">
        <f t="array" ref="N762">INDEX(FX_Multi,$AD762,N$3)</f>
        <v>0</v>
      </c>
      <c r="O762" cm="1">
        <f t="array" ref="O762">INDEX(FX_Multi,$AD762,O$3)</f>
        <v>0</v>
      </c>
      <c r="AC762">
        <v>1</v>
      </c>
      <c r="AD762">
        <f>AD761+4</f>
        <v>319</v>
      </c>
      <c r="AE762">
        <v>1</v>
      </c>
      <c r="AF762">
        <f>AF756+10</f>
        <v>319</v>
      </c>
    </row>
    <row r="763" spans="1:32" ht="17.149999999999999" x14ac:dyDescent="0.55000000000000004">
      <c r="B763" t="str">
        <f t="shared" si="2707"/>
        <v>Portland</v>
      </c>
      <c r="C763" t="s">
        <v>573</v>
      </c>
      <c r="D763" cm="1">
        <f t="array" ref="D763">INDEX(FX_Multi,$AD763,D$3)</f>
        <v>0</v>
      </c>
      <c r="E763" cm="1">
        <f t="array" ref="E763">INDEX(FX_Multi,$AD763,E$3)</f>
        <v>0</v>
      </c>
      <c r="F763" cm="1">
        <f t="array" ref="F763">INDEX(FX_Multi,$AD763,F$3)</f>
        <v>0</v>
      </c>
      <c r="G763" cm="1">
        <f t="array" ref="G763">INDEX(FX_Multi,$AD763,G$3)</f>
        <v>0</v>
      </c>
      <c r="H763" cm="1">
        <f t="array" ref="H763">INDEX(FX_Multi,$AD763,H$3)</f>
        <v>0</v>
      </c>
      <c r="I763" cm="1">
        <f t="array" ref="I763">INDEX(FX_Multi,$AD763,I$3)</f>
        <v>0</v>
      </c>
      <c r="J763" cm="1">
        <f t="array" ref="J763">INDEX(FX_Multi,$AD763,J$3)</f>
        <v>0</v>
      </c>
      <c r="K763" cm="1">
        <f t="array" ref="K763">INDEX(FX_Multi,$AD763,K$3)</f>
        <v>0</v>
      </c>
      <c r="L763" cm="1">
        <f t="array" ref="L763">INDEX(FX_Multi,$AD763,L$3)</f>
        <v>0</v>
      </c>
      <c r="M763" cm="1">
        <f t="array" ref="M763">INDEX(FX_Multi,$AD763,M$3)</f>
        <v>0</v>
      </c>
      <c r="N763" cm="1">
        <f t="array" ref="N763">INDEX(FX_Multi,$AD763,N$3)</f>
        <v>0</v>
      </c>
      <c r="O763" cm="1">
        <f t="array" ref="O763">INDEX(FX_Multi,$AD763,O$3)</f>
        <v>0</v>
      </c>
      <c r="AC763">
        <v>1</v>
      </c>
      <c r="AD763">
        <f>AD762-3</f>
        <v>316</v>
      </c>
      <c r="AE763">
        <v>1</v>
      </c>
      <c r="AF763">
        <f>AF756+7</f>
        <v>316</v>
      </c>
    </row>
    <row r="764" spans="1:32" ht="17.149999999999999" x14ac:dyDescent="0.55000000000000004">
      <c r="B764" t="str">
        <f>B759</f>
        <v>Portland</v>
      </c>
      <c r="C764" t="s">
        <v>526</v>
      </c>
      <c r="D764" cm="1">
        <f t="array" ref="D764">INDEX(FX_Temps,$AF764,D$3)</f>
        <v>43.899999999999977</v>
      </c>
      <c r="E764" cm="1">
        <f t="array" ref="E764">INDEX(FX_Temps,$AF764,E$3)</f>
        <v>44.700000000000045</v>
      </c>
      <c r="F764" cm="1">
        <f t="array" ref="F764">INDEX(FX_Temps,$AF764,F$3)</f>
        <v>46.100000000000023</v>
      </c>
      <c r="G764" cm="1">
        <f t="array" ref="G764">INDEX(FX_Temps,$AF764,G$3)</f>
        <v>48.599999999999966</v>
      </c>
      <c r="H764" cm="1">
        <f t="array" ref="H764">INDEX(FX_Temps,$AF764,H$3)</f>
        <v>53.149999999999977</v>
      </c>
      <c r="I764" cm="1">
        <f t="array" ref="I764">INDEX(FX_Temps,$AF764,I$3)</f>
        <v>56.950000000000045</v>
      </c>
      <c r="J764" cm="1">
        <f t="array" ref="J764">INDEX(FX_Temps,$AF764,J$3)</f>
        <v>60.449999999999932</v>
      </c>
      <c r="K764" cm="1">
        <f t="array" ref="K764">INDEX(FX_Temps,$AF764,K$3)</f>
        <v>60.899999999999977</v>
      </c>
      <c r="L764" cm="1">
        <f t="array" ref="L764">INDEX(FX_Temps,$AF764,L$3)</f>
        <v>58.600000000000023</v>
      </c>
      <c r="M764" cm="1">
        <f t="array" ref="M764">INDEX(FX_Temps,$AF764,M$3)</f>
        <v>52.649999999999977</v>
      </c>
      <c r="N764" cm="1">
        <f t="array" ref="N764">INDEX(FX_Temps,$AF764,N$3)</f>
        <v>47.100000000000023</v>
      </c>
      <c r="O764" cm="1">
        <f t="array" ref="O764">INDEX(FX_Temps,$AF764,O$3)</f>
        <v>43.600000000000023</v>
      </c>
      <c r="AE764">
        <v>1</v>
      </c>
      <c r="AF764">
        <f>AF756+10</f>
        <v>319</v>
      </c>
    </row>
    <row r="765" spans="1:32" ht="17.149999999999999" x14ac:dyDescent="0.55000000000000004">
      <c r="B765" t="str">
        <f t="shared" ref="B765:B786" si="2708">B764</f>
        <v>Portland</v>
      </c>
      <c r="C765" t="s">
        <v>527</v>
      </c>
      <c r="D765" cm="1">
        <f t="array" ref="D765">INDEX(FX_Temps,$AF765,D$3)</f>
        <v>43.899999999999977</v>
      </c>
      <c r="E765" cm="1">
        <f t="array" ref="E765">INDEX(FX_Temps,$AF765,E$3)</f>
        <v>44.700000000000045</v>
      </c>
      <c r="F765" cm="1">
        <f t="array" ref="F765">INDEX(FX_Temps,$AF765,F$3)</f>
        <v>46.100000000000023</v>
      </c>
      <c r="G765" cm="1">
        <f t="array" ref="G765">INDEX(FX_Temps,$AF765,G$3)</f>
        <v>48.599999999999966</v>
      </c>
      <c r="H765" cm="1">
        <f t="array" ref="H765">INDEX(FX_Temps,$AF765,H$3)</f>
        <v>53.149999999999977</v>
      </c>
      <c r="I765" cm="1">
        <f t="array" ref="I765">INDEX(FX_Temps,$AF765,I$3)</f>
        <v>56.950000000000045</v>
      </c>
      <c r="J765" cm="1">
        <f t="array" ref="J765">INDEX(FX_Temps,$AF765,J$3)</f>
        <v>60.449999999999932</v>
      </c>
      <c r="K765" cm="1">
        <f t="array" ref="K765">INDEX(FX_Temps,$AF765,K$3)</f>
        <v>60.899999999999977</v>
      </c>
      <c r="L765" cm="1">
        <f t="array" ref="L765">INDEX(FX_Temps,$AF765,L$3)</f>
        <v>58.600000000000023</v>
      </c>
      <c r="M765" cm="1">
        <f t="array" ref="M765">INDEX(FX_Temps,$AF765,M$3)</f>
        <v>52.649999999999977</v>
      </c>
      <c r="N765" cm="1">
        <f t="array" ref="N765">INDEX(FX_Temps,$AF765,N$3)</f>
        <v>47.100000000000023</v>
      </c>
      <c r="O765" cm="1">
        <f t="array" ref="O765">INDEX(FX_Temps,$AF765,O$3)</f>
        <v>43.600000000000023</v>
      </c>
      <c r="AE765">
        <f>AE764</f>
        <v>1</v>
      </c>
      <c r="AF765">
        <f>AF756+11</f>
        <v>320</v>
      </c>
    </row>
    <row r="766" spans="1:32" ht="17.149999999999999" x14ac:dyDescent="0.55000000000000004">
      <c r="B766" t="str">
        <f t="shared" si="2708"/>
        <v>Portland</v>
      </c>
      <c r="C766" t="s">
        <v>552</v>
      </c>
      <c r="D766" cm="1">
        <f t="array" ref="D766">INDEX(FX_Temps,$AF766,D$3)</f>
        <v>43.899999999999977</v>
      </c>
      <c r="E766" cm="1">
        <f t="array" ref="E766">INDEX(FX_Temps,$AF766,E$3)</f>
        <v>44.700000000000045</v>
      </c>
      <c r="F766" cm="1">
        <f t="array" ref="F766">INDEX(FX_Temps,$AF766,F$3)</f>
        <v>46.100000000000023</v>
      </c>
      <c r="G766" cm="1">
        <f t="array" ref="G766">INDEX(FX_Temps,$AF766,G$3)</f>
        <v>48.599999999999966</v>
      </c>
      <c r="H766" cm="1">
        <f t="array" ref="H766">INDEX(FX_Temps,$AF766,H$3)</f>
        <v>53.149999999999977</v>
      </c>
      <c r="I766" cm="1">
        <f t="array" ref="I766">INDEX(FX_Temps,$AF766,I$3)</f>
        <v>56.950000000000045</v>
      </c>
      <c r="J766" cm="1">
        <f t="array" ref="J766">INDEX(FX_Temps,$AF766,J$3)</f>
        <v>60.449999999999932</v>
      </c>
      <c r="K766" cm="1">
        <f t="array" ref="K766">INDEX(FX_Temps,$AF766,K$3)</f>
        <v>60.899999999999977</v>
      </c>
      <c r="L766" cm="1">
        <f t="array" ref="L766">INDEX(FX_Temps,$AF766,L$3)</f>
        <v>58.600000000000023</v>
      </c>
      <c r="M766" cm="1">
        <f t="array" ref="M766">INDEX(FX_Temps,$AF766,M$3)</f>
        <v>52.649999999999977</v>
      </c>
      <c r="N766" cm="1">
        <f t="array" ref="N766">INDEX(FX_Temps,$AF766,N$3)</f>
        <v>47.100000000000023</v>
      </c>
      <c r="O766" cm="1">
        <f t="array" ref="O766">INDEX(FX_Temps,$AF766,O$3)</f>
        <v>43.600000000000023</v>
      </c>
      <c r="AE766">
        <f>AE765</f>
        <v>1</v>
      </c>
      <c r="AF766">
        <f>AF756+13</f>
        <v>322</v>
      </c>
    </row>
    <row r="767" spans="1:32" ht="17.149999999999999" x14ac:dyDescent="0.55000000000000004">
      <c r="B767" t="str">
        <f t="shared" si="2708"/>
        <v>Portland</v>
      </c>
      <c r="C767" t="s">
        <v>574</v>
      </c>
      <c r="D767" cm="1">
        <f t="array" ref="D767">IFERROR(IF(D757="Chemical",(10^(INDEX(Antoines,MATCH(D756,Antoine_Name,0),2)-INDEX(Antoines,MATCH(D756,Antoine_Name,0),3)/(INDEX(Antoines,MATCH(D756,Antoine_Name,0),4)+(D764-32)*5/9)))*14.7/760,IF(D757="Crude Oil",EXP((2799/(D764+459.6)-2.227)*LOG10(INDEX(FX_Input,Q$5,D$3*$Z$5+$AA$5))-(7261/(D764+459.6))+12.82),IF(D757="Refined Petroleum Stock",EXP((0.7553-(413/(D764+459.6)))*(INDEX(FX_Input,Q$5,D$3*$Z$5+$AA$5-1)^0.5)*LOG10(INDEX(FX_Input,Q$5,D$3*$Z$5+$AA$5))-(1.854-(1042/(D764+459.6)))*(INDEX(FX_Input,Q$5,D$3*$Z$5+$AA$5-1)^0.5)+((2416/(D764+459.6)-2.013)*LOG10(INDEX(FX_Input,Q$5,D$3*$Z$5+$AA$5)))-(8742/(D764+459.6))+15.64),EXP(INDEX(Antoines,MATCH(D756,Antoine_Name,0),2)-INDEX(Antoines,MATCH(D756,Antoine_Name,0),3)/(D764+459.6))))),0)</f>
        <v>1</v>
      </c>
      <c r="E767" cm="1">
        <f t="array" ref="E767">IFERROR(IF(E757="Chemical",(10^(INDEX(Antoines,MATCH(E756,Antoine_Name,0),2)-INDEX(Antoines,MATCH(E756,Antoine_Name,0),3)/(INDEX(Antoines,MATCH(E756,Antoine_Name,0),4)+(E764-32)*5/9)))*14.7/760,IF(E757="Crude Oil",EXP((2799/(E764+459.6)-2.227)*LOG10(INDEX(FX_Input,R$5,E$3*$Z$5+$AA$5))-(7261/(E764+459.6))+12.82),IF(E757="Refined Petroleum Stock",EXP((0.7553-(413/(E764+459.6)))*(INDEX(FX_Input,R$5,E$3*$Z$5+$AA$5-1)^0.5)*LOG10(INDEX(FX_Input,R$5,E$3*$Z$5+$AA$5))-(1.854-(1042/(E764+459.6)))*(INDEX(FX_Input,R$5,E$3*$Z$5+$AA$5-1)^0.5)+((2416/(E764+459.6)-2.013)*LOG10(INDEX(FX_Input,R$5,E$3*$Z$5+$AA$5)))-(8742/(E764+459.6))+15.64),EXP(INDEX(Antoines,MATCH(E756,Antoine_Name,0),2)-INDEX(Antoines,MATCH(E756,Antoine_Name,0),3)/(E764+459.6))))),0)</f>
        <v>1</v>
      </c>
      <c r="F767" cm="1">
        <f t="array" ref="F767">IFERROR(IF(F757="Chemical",(10^(INDEX(Antoines,MATCH(F756,Antoine_Name,0),2)-INDEX(Antoines,MATCH(F756,Antoine_Name,0),3)/(INDEX(Antoines,MATCH(F756,Antoine_Name,0),4)+(F764-32)*5/9)))*14.7/760,IF(F757="Crude Oil",EXP((2799/(F764+459.6)-2.227)*LOG10(INDEX(FX_Input,S$5,F$3*$Z$5+$AA$5))-(7261/(F764+459.6))+12.82),IF(F757="Refined Petroleum Stock",EXP((0.7553-(413/(F764+459.6)))*(INDEX(FX_Input,S$5,F$3*$Z$5+$AA$5-1)^0.5)*LOG10(INDEX(FX_Input,S$5,F$3*$Z$5+$AA$5))-(1.854-(1042/(F764+459.6)))*(INDEX(FX_Input,S$5,F$3*$Z$5+$AA$5-1)^0.5)+((2416/(F764+459.6)-2.013)*LOG10(INDEX(FX_Input,S$5,F$3*$Z$5+$AA$5)))-(8742/(F764+459.6))+15.64),EXP(INDEX(Antoines,MATCH(F756,Antoine_Name,0),2)-INDEX(Antoines,MATCH(F756,Antoine_Name,0),3)/(F764+459.6))))),0)</f>
        <v>1</v>
      </c>
      <c r="G767" cm="1">
        <f t="array" ref="G767">IFERROR(IF(G757="Chemical",(10^(INDEX(Antoines,MATCH(G756,Antoine_Name,0),2)-INDEX(Antoines,MATCH(G756,Antoine_Name,0),3)/(INDEX(Antoines,MATCH(G756,Antoine_Name,0),4)+(G764-32)*5/9)))*14.7/760,IF(G757="Crude Oil",EXP((2799/(G764+459.6)-2.227)*LOG10(INDEX(FX_Input,T$5,G$3*$Z$5+$AA$5))-(7261/(G764+459.6))+12.82),IF(G757="Refined Petroleum Stock",EXP((0.7553-(413/(G764+459.6)))*(INDEX(FX_Input,T$5,G$3*$Z$5+$AA$5-1)^0.5)*LOG10(INDEX(FX_Input,T$5,G$3*$Z$5+$AA$5))-(1.854-(1042/(G764+459.6)))*(INDEX(FX_Input,T$5,G$3*$Z$5+$AA$5-1)^0.5)+((2416/(G764+459.6)-2.013)*LOG10(INDEX(FX_Input,T$5,G$3*$Z$5+$AA$5)))-(8742/(G764+459.6))+15.64),EXP(INDEX(Antoines,MATCH(G756,Antoine_Name,0),2)-INDEX(Antoines,MATCH(G756,Antoine_Name,0),3)/(G764+459.6))))),0)</f>
        <v>1</v>
      </c>
      <c r="H767" cm="1">
        <f t="array" ref="H767">IFERROR(IF(H757="Chemical",(10^(INDEX(Antoines,MATCH(H756,Antoine_Name,0),2)-INDEX(Antoines,MATCH(H756,Antoine_Name,0),3)/(INDEX(Antoines,MATCH(H756,Antoine_Name,0),4)+(H764-32)*5/9)))*14.7/760,IF(H757="Crude Oil",EXP((2799/(H764+459.6)-2.227)*LOG10(INDEX(FX_Input,U$5,H$3*$Z$5+$AA$5))-(7261/(H764+459.6))+12.82),IF(H757="Refined Petroleum Stock",EXP((0.7553-(413/(H764+459.6)))*(INDEX(FX_Input,U$5,H$3*$Z$5+$AA$5-1)^0.5)*LOG10(INDEX(FX_Input,U$5,H$3*$Z$5+$AA$5))-(1.854-(1042/(H764+459.6)))*(INDEX(FX_Input,U$5,H$3*$Z$5+$AA$5-1)^0.5)+((2416/(H764+459.6)-2.013)*LOG10(INDEX(FX_Input,U$5,H$3*$Z$5+$AA$5)))-(8742/(H764+459.6))+15.64),EXP(INDEX(Antoines,MATCH(H756,Antoine_Name,0),2)-INDEX(Antoines,MATCH(H756,Antoine_Name,0),3)/(H764+459.6))))),0)</f>
        <v>1</v>
      </c>
      <c r="I767" cm="1">
        <f t="array" ref="I767">IFERROR(IF(I757="Chemical",(10^(INDEX(Antoines,MATCH(I756,Antoine_Name,0),2)-INDEX(Antoines,MATCH(I756,Antoine_Name,0),3)/(INDEX(Antoines,MATCH(I756,Antoine_Name,0),4)+(I764-32)*5/9)))*14.7/760,IF(I757="Crude Oil",EXP((2799/(I764+459.6)-2.227)*LOG10(INDEX(FX_Input,V$5,I$3*$Z$5+$AA$5))-(7261/(I764+459.6))+12.82),IF(I757="Refined Petroleum Stock",EXP((0.7553-(413/(I764+459.6)))*(INDEX(FX_Input,V$5,I$3*$Z$5+$AA$5-1)^0.5)*LOG10(INDEX(FX_Input,V$5,I$3*$Z$5+$AA$5))-(1.854-(1042/(I764+459.6)))*(INDEX(FX_Input,V$5,I$3*$Z$5+$AA$5-1)^0.5)+((2416/(I764+459.6)-2.013)*LOG10(INDEX(FX_Input,V$5,I$3*$Z$5+$AA$5)))-(8742/(I764+459.6))+15.64),EXP(INDEX(Antoines,MATCH(I756,Antoine_Name,0),2)-INDEX(Antoines,MATCH(I756,Antoine_Name,0),3)/(I764+459.6))))),0)</f>
        <v>1</v>
      </c>
      <c r="J767" cm="1">
        <f t="array" ref="J767">IFERROR(IF(J757="Chemical",(10^(INDEX(Antoines,MATCH(J756,Antoine_Name,0),2)-INDEX(Antoines,MATCH(J756,Antoine_Name,0),3)/(INDEX(Antoines,MATCH(J756,Antoine_Name,0),4)+(J764-32)*5/9)))*14.7/760,IF(J757="Crude Oil",EXP((2799/(J764+459.6)-2.227)*LOG10(INDEX(FX_Input,W$5,J$3*$Z$5+$AA$5))-(7261/(J764+459.6))+12.82),IF(J757="Refined Petroleum Stock",EXP((0.7553-(413/(J764+459.6)))*(INDEX(FX_Input,W$5,J$3*$Z$5+$AA$5-1)^0.5)*LOG10(INDEX(FX_Input,W$5,J$3*$Z$5+$AA$5))-(1.854-(1042/(J764+459.6)))*(INDEX(FX_Input,W$5,J$3*$Z$5+$AA$5-1)^0.5)+((2416/(J764+459.6)-2.013)*LOG10(INDEX(FX_Input,W$5,J$3*$Z$5+$AA$5)))-(8742/(J764+459.6))+15.64),EXP(INDEX(Antoines,MATCH(J756,Antoine_Name,0),2)-INDEX(Antoines,MATCH(J756,Antoine_Name,0),3)/(J764+459.6))))),0)</f>
        <v>1</v>
      </c>
      <c r="K767" cm="1">
        <f t="array" ref="K767">IFERROR(IF(K757="Chemical",(10^(INDEX(Antoines,MATCH(K756,Antoine_Name,0),2)-INDEX(Antoines,MATCH(K756,Antoine_Name,0),3)/(INDEX(Antoines,MATCH(K756,Antoine_Name,0),4)+(K764-32)*5/9)))*14.7/760,IF(K757="Crude Oil",EXP((2799/(K764+459.6)-2.227)*LOG10(INDEX(FX_Input,X$5,K$3*$Z$5+$AA$5))-(7261/(K764+459.6))+12.82),IF(K757="Refined Petroleum Stock",EXP((0.7553-(413/(K764+459.6)))*(INDEX(FX_Input,X$5,K$3*$Z$5+$AA$5-1)^0.5)*LOG10(INDEX(FX_Input,X$5,K$3*$Z$5+$AA$5))-(1.854-(1042/(K764+459.6)))*(INDEX(FX_Input,X$5,K$3*$Z$5+$AA$5-1)^0.5)+((2416/(K764+459.6)-2.013)*LOG10(INDEX(FX_Input,X$5,K$3*$Z$5+$AA$5)))-(8742/(K764+459.6))+15.64),EXP(INDEX(Antoines,MATCH(K756,Antoine_Name,0),2)-INDEX(Antoines,MATCH(K756,Antoine_Name,0),3)/(K764+459.6))))),0)</f>
        <v>1</v>
      </c>
      <c r="L767" cm="1">
        <f t="array" ref="L767">IFERROR(IF(L757="Chemical",(10^(INDEX(Antoines,MATCH(L756,Antoine_Name,0),2)-INDEX(Antoines,MATCH(L756,Antoine_Name,0),3)/(INDEX(Antoines,MATCH(L756,Antoine_Name,0),4)+(L764-32)*5/9)))*14.7/760,IF(L757="Crude Oil",EXP((2799/(L764+459.6)-2.227)*LOG10(INDEX(FX_Input,Y$5,L$3*$Z$5+$AA$5))-(7261/(L764+459.6))+12.82),IF(L757="Refined Petroleum Stock",EXP((0.7553-(413/(L764+459.6)))*(INDEX(FX_Input,Y$5,L$3*$Z$5+$AA$5-1)^0.5)*LOG10(INDEX(FX_Input,Y$5,L$3*$Z$5+$AA$5))-(1.854-(1042/(L764+459.6)))*(INDEX(FX_Input,Y$5,L$3*$Z$5+$AA$5-1)^0.5)+((2416/(L764+459.6)-2.013)*LOG10(INDEX(FX_Input,Y$5,L$3*$Z$5+$AA$5)))-(8742/(L764+459.6))+15.64),EXP(INDEX(Antoines,MATCH(L756,Antoine_Name,0),2)-INDEX(Antoines,MATCH(L756,Antoine_Name,0),3)/(L764+459.6))))),0)</f>
        <v>1</v>
      </c>
      <c r="M767" cm="1">
        <f t="array" ref="M767">IFERROR(IF(M757="Chemical",(10^(INDEX(Antoines,MATCH(M756,Antoine_Name,0),2)-INDEX(Antoines,MATCH(M756,Antoine_Name,0),3)/(INDEX(Antoines,MATCH(M756,Antoine_Name,0),4)+(M764-32)*5/9)))*14.7/760,IF(M757="Crude Oil",EXP((2799/(M764+459.6)-2.227)*LOG10(INDEX(FX_Input,Z$5,M$3*$Z$5+$AA$5))-(7261/(M764+459.6))+12.82),IF(M757="Refined Petroleum Stock",EXP((0.7553-(413/(M764+459.6)))*(INDEX(FX_Input,Z$5,M$3*$Z$5+$AA$5-1)^0.5)*LOG10(INDEX(FX_Input,Z$5,M$3*$Z$5+$AA$5))-(1.854-(1042/(M764+459.6)))*(INDEX(FX_Input,Z$5,M$3*$Z$5+$AA$5-1)^0.5)+((2416/(M764+459.6)-2.013)*LOG10(INDEX(FX_Input,Z$5,M$3*$Z$5+$AA$5)))-(8742/(M764+459.6))+15.64),EXP(INDEX(Antoines,MATCH(M756,Antoine_Name,0),2)-INDEX(Antoines,MATCH(M756,Antoine_Name,0),3)/(M764+459.6))))),0)</f>
        <v>1</v>
      </c>
      <c r="N767" cm="1">
        <f t="array" ref="N767">IFERROR(IF(N757="Chemical",(10^(INDEX(Antoines,MATCH(N756,Antoine_Name,0),2)-INDEX(Antoines,MATCH(N756,Antoine_Name,0),3)/(INDEX(Antoines,MATCH(N756,Antoine_Name,0),4)+(N764-32)*5/9)))*14.7/760,IF(N757="Crude Oil",EXP((2799/(N764+459.6)-2.227)*LOG10(INDEX(FX_Input,AA$5,N$3*$Z$5+$AA$5))-(7261/(N764+459.6))+12.82),IF(N757="Refined Petroleum Stock",EXP((0.7553-(413/(N764+459.6)))*(INDEX(FX_Input,AA$5,N$3*$Z$5+$AA$5-1)^0.5)*LOG10(INDEX(FX_Input,AA$5,N$3*$Z$5+$AA$5))-(1.854-(1042/(N764+459.6)))*(INDEX(FX_Input,AA$5,N$3*$Z$5+$AA$5-1)^0.5)+((2416/(N764+459.6)-2.013)*LOG10(INDEX(FX_Input,AA$5,N$3*$Z$5+$AA$5)))-(8742/(N764+459.6))+15.64),EXP(INDEX(Antoines,MATCH(N756,Antoine_Name,0),2)-INDEX(Antoines,MATCH(N756,Antoine_Name,0),3)/(N764+459.6))))),0)</f>
        <v>1</v>
      </c>
      <c r="O767" cm="1">
        <f t="array" ref="O767">IFERROR(IF(O757="Chemical",(10^(INDEX(Antoines,MATCH(O756,Antoine_Name,0),2)-INDEX(Antoines,MATCH(O756,Antoine_Name,0),3)/(INDEX(Antoines,MATCH(O756,Antoine_Name,0),4)+(O764-32)*5/9)))*14.7/760,IF(O757="Crude Oil",EXP((2799/(O764+459.6)-2.227)*LOG10(INDEX(FX_Input,AB$5,O$3*$Z$5+$AA$5))-(7261/(O764+459.6))+12.82),IF(O757="Refined Petroleum Stock",EXP((0.7553-(413/(O764+459.6)))*(INDEX(FX_Input,AB$5,O$3*$Z$5+$AA$5-1)^0.5)*LOG10(INDEX(FX_Input,AB$5,O$3*$Z$5+$AA$5))-(1.854-(1042/(O764+459.6)))*(INDEX(FX_Input,AB$5,O$3*$Z$5+$AA$5-1)^0.5)+((2416/(O764+459.6)-2.013)*LOG10(INDEX(FX_Input,AB$5,O$3*$Z$5+$AA$5)))-(8742/(O764+459.6))+15.64),EXP(INDEX(Antoines,MATCH(O756,Antoine_Name,0),2)-INDEX(Antoines,MATCH(O756,Antoine_Name,0),3)/(O764+459.6))))),0)</f>
        <v>1</v>
      </c>
    </row>
    <row r="768" spans="1:32" ht="17.149999999999999" x14ac:dyDescent="0.55000000000000004">
      <c r="B768" t="str">
        <f t="shared" si="2708"/>
        <v>Portland</v>
      </c>
      <c r="C768" t="s">
        <v>576</v>
      </c>
      <c r="D768">
        <f>D760*D767</f>
        <v>1</v>
      </c>
      <c r="E768">
        <f t="shared" ref="E768" si="2709">E760*E767</f>
        <v>1</v>
      </c>
      <c r="F768">
        <f t="shared" ref="F768" si="2710">F760*F767</f>
        <v>1</v>
      </c>
      <c r="G768">
        <f t="shared" ref="G768" si="2711">G760*G767</f>
        <v>1</v>
      </c>
      <c r="H768">
        <f t="shared" ref="H768" si="2712">H760*H767</f>
        <v>1</v>
      </c>
      <c r="I768">
        <f t="shared" ref="I768" si="2713">I760*I767</f>
        <v>1</v>
      </c>
      <c r="J768">
        <f t="shared" ref="J768" si="2714">J760*J767</f>
        <v>1</v>
      </c>
      <c r="K768">
        <f t="shared" ref="K768" si="2715">K760*K767</f>
        <v>1</v>
      </c>
      <c r="L768">
        <f t="shared" ref="L768" si="2716">L760*L767</f>
        <v>1</v>
      </c>
      <c r="M768">
        <f t="shared" ref="M768" si="2717">M760*M767</f>
        <v>1</v>
      </c>
      <c r="N768">
        <f t="shared" ref="N768" si="2718">N760*N767</f>
        <v>1</v>
      </c>
      <c r="O768">
        <f t="shared" ref="O768" si="2719">O760*O767</f>
        <v>1</v>
      </c>
    </row>
    <row r="769" spans="2:15" ht="17.149999999999999" x14ac:dyDescent="0.55000000000000004">
      <c r="B769" t="str">
        <f t="shared" si="2708"/>
        <v>Portland</v>
      </c>
      <c r="C769" t="s">
        <v>575</v>
      </c>
      <c r="D769" cm="1">
        <f t="array" ref="D769">IFERROR(IF(D759="Chemical",(10^(INDEX(Antoines,MATCH(D758,Antoine_Name,0),2)-INDEX(Antoines,MATCH(D758,Antoine_Name,0),3)/(INDEX(Antoines,MATCH(D758,Antoine_Name,0),4)+(D764-32)*5/9)))*14.7/760,IF(D759="Crude Oil",EXP((2799/(D764+459.6)-2.227)*LOG10(INDEX(FX_Input,Q$5,D$3*$Z$5+$AA$5))-(7261/(D764+459.6))+12.82),IF(D759="Refined Petroleum Stock",EXP((0.7553-(413/(D764+459.6)))*(INDEX(FX_Input,Q$5,D$3*$Z$5+$AA$5-1)^0.5)*LOG10(INDEX(FX_Input,Q$5,D$3*$Z$5+$AA$5))-(1.854-(1042/(D764+459.6)))*(INDEX(FX_Input,Q$5,D$3*$Z$5+$AA$5-1)^0.5)+((2416/(D764+459.6)-2.013)*LOG10(INDEX(FX_Input,Q$5,D$3*$Z$5+$AA$5)))-(8742/(D764+459.6))+15.64),EXP(INDEX(Antoines,MATCH(D758,Antoine_Name,0),2)-INDEX(Antoines,MATCH(D758,Antoine_Name,0),3)/(D764+459.6))))),0)</f>
        <v>0</v>
      </c>
      <c r="E769" cm="1">
        <f t="array" ref="E769">IFERROR(IF(E759="Chemical",(10^(INDEX(Antoines,MATCH(E758,Antoine_Name,0),2)-INDEX(Antoines,MATCH(E758,Antoine_Name,0),3)/(INDEX(Antoines,MATCH(E758,Antoine_Name,0),4)+(E764-32)*5/9)))*14.7/760,IF(E759="Crude Oil",EXP((2799/(E764+459.6)-2.227)*LOG10(INDEX(FX_Input,R$5,E$3*$Z$5+$AA$5))-(7261/(E764+459.6))+12.82),IF(E759="Refined Petroleum Stock",EXP((0.7553-(413/(E764+459.6)))*(INDEX(FX_Input,R$5,E$3*$Z$5+$AA$5-1)^0.5)*LOG10(INDEX(FX_Input,R$5,E$3*$Z$5+$AA$5))-(1.854-(1042/(E764+459.6)))*(INDEX(FX_Input,R$5,E$3*$Z$5+$AA$5-1)^0.5)+((2416/(E764+459.6)-2.013)*LOG10(INDEX(FX_Input,R$5,E$3*$Z$5+$AA$5)))-(8742/(E764+459.6))+15.64),EXP(INDEX(Antoines,MATCH(E758,Antoine_Name,0),2)-INDEX(Antoines,MATCH(E758,Antoine_Name,0),3)/(E764+459.6))))),0)</f>
        <v>0</v>
      </c>
      <c r="F769" cm="1">
        <f t="array" ref="F769">IFERROR(IF(F759="Chemical",(10^(INDEX(Antoines,MATCH(F758,Antoine_Name,0),2)-INDEX(Antoines,MATCH(F758,Antoine_Name,0),3)/(INDEX(Antoines,MATCH(F758,Antoine_Name,0),4)+(F764-32)*5/9)))*14.7/760,IF(F759="Crude Oil",EXP((2799/(F764+459.6)-2.227)*LOG10(INDEX(FX_Input,S$5,F$3*$Z$5+$AA$5))-(7261/(F764+459.6))+12.82),IF(F759="Refined Petroleum Stock",EXP((0.7553-(413/(F764+459.6)))*(INDEX(FX_Input,S$5,F$3*$Z$5+$AA$5-1)^0.5)*LOG10(INDEX(FX_Input,S$5,F$3*$Z$5+$AA$5))-(1.854-(1042/(F764+459.6)))*(INDEX(FX_Input,S$5,F$3*$Z$5+$AA$5-1)^0.5)+((2416/(F764+459.6)-2.013)*LOG10(INDEX(FX_Input,S$5,F$3*$Z$5+$AA$5)))-(8742/(F764+459.6))+15.64),EXP(INDEX(Antoines,MATCH(F758,Antoine_Name,0),2)-INDEX(Antoines,MATCH(F758,Antoine_Name,0),3)/(F764+459.6))))),0)</f>
        <v>0</v>
      </c>
      <c r="G769" cm="1">
        <f t="array" ref="G769">IFERROR(IF(G759="Chemical",(10^(INDEX(Antoines,MATCH(G758,Antoine_Name,0),2)-INDEX(Antoines,MATCH(G758,Antoine_Name,0),3)/(INDEX(Antoines,MATCH(G758,Antoine_Name,0),4)+(G764-32)*5/9)))*14.7/760,IF(G759="Crude Oil",EXP((2799/(G764+459.6)-2.227)*LOG10(INDEX(FX_Input,T$5,G$3*$Z$5+$AA$5))-(7261/(G764+459.6))+12.82),IF(G759="Refined Petroleum Stock",EXP((0.7553-(413/(G764+459.6)))*(INDEX(FX_Input,T$5,G$3*$Z$5+$AA$5-1)^0.5)*LOG10(INDEX(FX_Input,T$5,G$3*$Z$5+$AA$5))-(1.854-(1042/(G764+459.6)))*(INDEX(FX_Input,T$5,G$3*$Z$5+$AA$5-1)^0.5)+((2416/(G764+459.6)-2.013)*LOG10(INDEX(FX_Input,T$5,G$3*$Z$5+$AA$5)))-(8742/(G764+459.6))+15.64),EXP(INDEX(Antoines,MATCH(G758,Antoine_Name,0),2)-INDEX(Antoines,MATCH(G758,Antoine_Name,0),3)/(G764+459.6))))),0)</f>
        <v>0</v>
      </c>
      <c r="H769" cm="1">
        <f t="array" ref="H769">IFERROR(IF(H759="Chemical",(10^(INDEX(Antoines,MATCH(H758,Antoine_Name,0),2)-INDEX(Antoines,MATCH(H758,Antoine_Name,0),3)/(INDEX(Antoines,MATCH(H758,Antoine_Name,0),4)+(H764-32)*5/9)))*14.7/760,IF(H759="Crude Oil",EXP((2799/(H764+459.6)-2.227)*LOG10(INDEX(FX_Input,U$5,H$3*$Z$5+$AA$5))-(7261/(H764+459.6))+12.82),IF(H759="Refined Petroleum Stock",EXP((0.7553-(413/(H764+459.6)))*(INDEX(FX_Input,U$5,H$3*$Z$5+$AA$5-1)^0.5)*LOG10(INDEX(FX_Input,U$5,H$3*$Z$5+$AA$5))-(1.854-(1042/(H764+459.6)))*(INDEX(FX_Input,U$5,H$3*$Z$5+$AA$5-1)^0.5)+((2416/(H764+459.6)-2.013)*LOG10(INDEX(FX_Input,U$5,H$3*$Z$5+$AA$5)))-(8742/(H764+459.6))+15.64),EXP(INDEX(Antoines,MATCH(H758,Antoine_Name,0),2)-INDEX(Antoines,MATCH(H758,Antoine_Name,0),3)/(H764+459.6))))),0)</f>
        <v>0</v>
      </c>
      <c r="I769" cm="1">
        <f t="array" ref="I769">IFERROR(IF(I759="Chemical",(10^(INDEX(Antoines,MATCH(I758,Antoine_Name,0),2)-INDEX(Antoines,MATCH(I758,Antoine_Name,0),3)/(INDEX(Antoines,MATCH(I758,Antoine_Name,0),4)+(I764-32)*5/9)))*14.7/760,IF(I759="Crude Oil",EXP((2799/(I764+459.6)-2.227)*LOG10(INDEX(FX_Input,V$5,I$3*$Z$5+$AA$5))-(7261/(I764+459.6))+12.82),IF(I759="Refined Petroleum Stock",EXP((0.7553-(413/(I764+459.6)))*(INDEX(FX_Input,V$5,I$3*$Z$5+$AA$5-1)^0.5)*LOG10(INDEX(FX_Input,V$5,I$3*$Z$5+$AA$5))-(1.854-(1042/(I764+459.6)))*(INDEX(FX_Input,V$5,I$3*$Z$5+$AA$5-1)^0.5)+((2416/(I764+459.6)-2.013)*LOG10(INDEX(FX_Input,V$5,I$3*$Z$5+$AA$5)))-(8742/(I764+459.6))+15.64),EXP(INDEX(Antoines,MATCH(I758,Antoine_Name,0),2)-INDEX(Antoines,MATCH(I758,Antoine_Name,0),3)/(I764+459.6))))),0)</f>
        <v>0</v>
      </c>
      <c r="J769" cm="1">
        <f t="array" ref="J769">IFERROR(IF(J759="Chemical",(10^(INDEX(Antoines,MATCH(J758,Antoine_Name,0),2)-INDEX(Antoines,MATCH(J758,Antoine_Name,0),3)/(INDEX(Antoines,MATCH(J758,Antoine_Name,0),4)+(J764-32)*5/9)))*14.7/760,IF(J759="Crude Oil",EXP((2799/(J764+459.6)-2.227)*LOG10(INDEX(FX_Input,W$5,J$3*$Z$5+$AA$5))-(7261/(J764+459.6))+12.82),IF(J759="Refined Petroleum Stock",EXP((0.7553-(413/(J764+459.6)))*(INDEX(FX_Input,W$5,J$3*$Z$5+$AA$5-1)^0.5)*LOG10(INDEX(FX_Input,W$5,J$3*$Z$5+$AA$5))-(1.854-(1042/(J764+459.6)))*(INDEX(FX_Input,W$5,J$3*$Z$5+$AA$5-1)^0.5)+((2416/(J764+459.6)-2.013)*LOG10(INDEX(FX_Input,W$5,J$3*$Z$5+$AA$5)))-(8742/(J764+459.6))+15.64),EXP(INDEX(Antoines,MATCH(J758,Antoine_Name,0),2)-INDEX(Antoines,MATCH(J758,Antoine_Name,0),3)/(J764+459.6))))),0)</f>
        <v>0</v>
      </c>
      <c r="K769" cm="1">
        <f t="array" ref="K769">IFERROR(IF(K759="Chemical",(10^(INDEX(Antoines,MATCH(K758,Antoine_Name,0),2)-INDEX(Antoines,MATCH(K758,Antoine_Name,0),3)/(INDEX(Antoines,MATCH(K758,Antoine_Name,0),4)+(K764-32)*5/9)))*14.7/760,IF(K759="Crude Oil",EXP((2799/(K764+459.6)-2.227)*LOG10(INDEX(FX_Input,X$5,K$3*$Z$5+$AA$5))-(7261/(K764+459.6))+12.82),IF(K759="Refined Petroleum Stock",EXP((0.7553-(413/(K764+459.6)))*(INDEX(FX_Input,X$5,K$3*$Z$5+$AA$5-1)^0.5)*LOG10(INDEX(FX_Input,X$5,K$3*$Z$5+$AA$5))-(1.854-(1042/(K764+459.6)))*(INDEX(FX_Input,X$5,K$3*$Z$5+$AA$5-1)^0.5)+((2416/(K764+459.6)-2.013)*LOG10(INDEX(FX_Input,X$5,K$3*$Z$5+$AA$5)))-(8742/(K764+459.6))+15.64),EXP(INDEX(Antoines,MATCH(K758,Antoine_Name,0),2)-INDEX(Antoines,MATCH(K758,Antoine_Name,0),3)/(K764+459.6))))),0)</f>
        <v>0</v>
      </c>
      <c r="L769" cm="1">
        <f t="array" ref="L769">IFERROR(IF(L759="Chemical",(10^(INDEX(Antoines,MATCH(L758,Antoine_Name,0),2)-INDEX(Antoines,MATCH(L758,Antoine_Name,0),3)/(INDEX(Antoines,MATCH(L758,Antoine_Name,0),4)+(L764-32)*5/9)))*14.7/760,IF(L759="Crude Oil",EXP((2799/(L764+459.6)-2.227)*LOG10(INDEX(FX_Input,Y$5,L$3*$Z$5+$AA$5))-(7261/(L764+459.6))+12.82),IF(L759="Refined Petroleum Stock",EXP((0.7553-(413/(L764+459.6)))*(INDEX(FX_Input,Y$5,L$3*$Z$5+$AA$5-1)^0.5)*LOG10(INDEX(FX_Input,Y$5,L$3*$Z$5+$AA$5))-(1.854-(1042/(L764+459.6)))*(INDEX(FX_Input,Y$5,L$3*$Z$5+$AA$5-1)^0.5)+((2416/(L764+459.6)-2.013)*LOG10(INDEX(FX_Input,Y$5,L$3*$Z$5+$AA$5)))-(8742/(L764+459.6))+15.64),EXP(INDEX(Antoines,MATCH(L758,Antoine_Name,0),2)-INDEX(Antoines,MATCH(L758,Antoine_Name,0),3)/(L764+459.6))))),0)</f>
        <v>0</v>
      </c>
      <c r="M769" cm="1">
        <f t="array" ref="M769">IFERROR(IF(M759="Chemical",(10^(INDEX(Antoines,MATCH(M758,Antoine_Name,0),2)-INDEX(Antoines,MATCH(M758,Antoine_Name,0),3)/(INDEX(Antoines,MATCH(M758,Antoine_Name,0),4)+(M764-32)*5/9)))*14.7/760,IF(M759="Crude Oil",EXP((2799/(M764+459.6)-2.227)*LOG10(INDEX(FX_Input,Z$5,M$3*$Z$5+$AA$5))-(7261/(M764+459.6))+12.82),IF(M759="Refined Petroleum Stock",EXP((0.7553-(413/(M764+459.6)))*(INDEX(FX_Input,Z$5,M$3*$Z$5+$AA$5-1)^0.5)*LOG10(INDEX(FX_Input,Z$5,M$3*$Z$5+$AA$5))-(1.854-(1042/(M764+459.6)))*(INDEX(FX_Input,Z$5,M$3*$Z$5+$AA$5-1)^0.5)+((2416/(M764+459.6)-2.013)*LOG10(INDEX(FX_Input,Z$5,M$3*$Z$5+$AA$5)))-(8742/(M764+459.6))+15.64),EXP(INDEX(Antoines,MATCH(M758,Antoine_Name,0),2)-INDEX(Antoines,MATCH(M758,Antoine_Name,0),3)/(M764+459.6))))),0)</f>
        <v>0</v>
      </c>
      <c r="N769" cm="1">
        <f t="array" ref="N769">IFERROR(IF(N759="Chemical",(10^(INDEX(Antoines,MATCH(N758,Antoine_Name,0),2)-INDEX(Antoines,MATCH(N758,Antoine_Name,0),3)/(INDEX(Antoines,MATCH(N758,Antoine_Name,0),4)+(N764-32)*5/9)))*14.7/760,IF(N759="Crude Oil",EXP((2799/(N764+459.6)-2.227)*LOG10(INDEX(FX_Input,AA$5,N$3*$Z$5+$AA$5))-(7261/(N764+459.6))+12.82),IF(N759="Refined Petroleum Stock",EXP((0.7553-(413/(N764+459.6)))*(INDEX(FX_Input,AA$5,N$3*$Z$5+$AA$5-1)^0.5)*LOG10(INDEX(FX_Input,AA$5,N$3*$Z$5+$AA$5))-(1.854-(1042/(N764+459.6)))*(INDEX(FX_Input,AA$5,N$3*$Z$5+$AA$5-1)^0.5)+((2416/(N764+459.6)-2.013)*LOG10(INDEX(FX_Input,AA$5,N$3*$Z$5+$AA$5)))-(8742/(N764+459.6))+15.64),EXP(INDEX(Antoines,MATCH(N758,Antoine_Name,0),2)-INDEX(Antoines,MATCH(N758,Antoine_Name,0),3)/(N764+459.6))))),0)</f>
        <v>0</v>
      </c>
      <c r="O769" cm="1">
        <f t="array" ref="O769">IFERROR(IF(O759="Chemical",(10^(INDEX(Antoines,MATCH(O758,Antoine_Name,0),2)-INDEX(Antoines,MATCH(O758,Antoine_Name,0),3)/(INDEX(Antoines,MATCH(O758,Antoine_Name,0),4)+(O764-32)*5/9)))*14.7/760,IF(O759="Crude Oil",EXP((2799/(O764+459.6)-2.227)*LOG10(INDEX(FX_Input,AB$5,O$3*$Z$5+$AA$5))-(7261/(O764+459.6))+12.82),IF(O759="Refined Petroleum Stock",EXP((0.7553-(413/(O764+459.6)))*(INDEX(FX_Input,AB$5,O$3*$Z$5+$AA$5-1)^0.5)*LOG10(INDEX(FX_Input,AB$5,O$3*$Z$5+$AA$5))-(1.854-(1042/(O764+459.6)))*(INDEX(FX_Input,AB$5,O$3*$Z$5+$AA$5-1)^0.5)+((2416/(O764+459.6)-2.013)*LOG10(INDEX(FX_Input,AB$5,O$3*$Z$5+$AA$5)))-(8742/(O764+459.6))+15.64),EXP(INDEX(Antoines,MATCH(O758,Antoine_Name,0),2)-INDEX(Antoines,MATCH(O758,Antoine_Name,0),3)/(O764+459.6))))),0)</f>
        <v>0</v>
      </c>
    </row>
    <row r="770" spans="2:15" ht="17.149999999999999" x14ac:dyDescent="0.55000000000000004">
      <c r="B770" t="str">
        <f t="shared" si="2708"/>
        <v>Portland</v>
      </c>
      <c r="C770" t="s">
        <v>577</v>
      </c>
      <c r="D770">
        <f>D769*D762</f>
        <v>0</v>
      </c>
      <c r="E770">
        <f t="shared" ref="E770" si="2720">E769*E762</f>
        <v>0</v>
      </c>
      <c r="F770">
        <f t="shared" ref="F770" si="2721">F769*F762</f>
        <v>0</v>
      </c>
      <c r="G770">
        <f t="shared" ref="G770" si="2722">G769*G762</f>
        <v>0</v>
      </c>
      <c r="H770">
        <f t="shared" ref="H770" si="2723">H769*H762</f>
        <v>0</v>
      </c>
      <c r="I770">
        <f t="shared" ref="I770" si="2724">I769*I762</f>
        <v>0</v>
      </c>
      <c r="J770">
        <f t="shared" ref="J770" si="2725">J769*J762</f>
        <v>0</v>
      </c>
      <c r="K770">
        <f t="shared" ref="K770" si="2726">K769*K762</f>
        <v>0</v>
      </c>
      <c r="L770">
        <f t="shared" ref="L770" si="2727">L769*L762</f>
        <v>0</v>
      </c>
      <c r="M770">
        <f t="shared" ref="M770" si="2728">M769*M762</f>
        <v>0</v>
      </c>
      <c r="N770">
        <f t="shared" ref="N770" si="2729">N769*N762</f>
        <v>0</v>
      </c>
      <c r="O770">
        <f t="shared" ref="O770" si="2730">O769*O762</f>
        <v>0</v>
      </c>
    </row>
    <row r="771" spans="2:15" ht="17.149999999999999" x14ac:dyDescent="0.55000000000000004">
      <c r="B771" t="str">
        <f t="shared" si="2708"/>
        <v>Portland</v>
      </c>
      <c r="C771" t="s">
        <v>578</v>
      </c>
      <c r="D771">
        <f>D770+D768</f>
        <v>1</v>
      </c>
      <c r="E771">
        <f t="shared" ref="E771" si="2731">E770+E768</f>
        <v>1</v>
      </c>
      <c r="F771">
        <f t="shared" ref="F771" si="2732">F770+F768</f>
        <v>1</v>
      </c>
      <c r="G771">
        <f t="shared" ref="G771" si="2733">G770+G768</f>
        <v>1</v>
      </c>
      <c r="H771">
        <f t="shared" ref="H771" si="2734">H770+H768</f>
        <v>1</v>
      </c>
      <c r="I771">
        <f t="shared" ref="I771" si="2735">I770+I768</f>
        <v>1</v>
      </c>
      <c r="J771">
        <f t="shared" ref="J771" si="2736">J770+J768</f>
        <v>1</v>
      </c>
      <c r="K771">
        <f t="shared" ref="K771" si="2737">K770+K768</f>
        <v>1</v>
      </c>
      <c r="L771">
        <f t="shared" ref="L771" si="2738">L770+L768</f>
        <v>1</v>
      </c>
      <c r="M771">
        <f t="shared" ref="M771" si="2739">M770+M768</f>
        <v>1</v>
      </c>
      <c r="N771">
        <f t="shared" ref="N771" si="2740">N770+N768</f>
        <v>1</v>
      </c>
      <c r="O771">
        <f t="shared" ref="O771" si="2741">O770+O768</f>
        <v>1</v>
      </c>
    </row>
    <row r="772" spans="2:15" ht="17.149999999999999" x14ac:dyDescent="0.55000000000000004">
      <c r="B772" t="str">
        <f t="shared" si="2708"/>
        <v>Portland</v>
      </c>
      <c r="C772" t="s">
        <v>579</v>
      </c>
      <c r="D772" cm="1">
        <f t="array" ref="D772">IFERROR(IF(D757="Chemical",(10^(INDEX(Antoines,MATCH(D756,Antoine_Name,0),2)-INDEX(Antoines,MATCH(D756,Antoine_Name,0),3)/(INDEX(Antoines,MATCH(D756,Antoine_Name,0),4)+(D765-32)*5/9)))*14.7/760,IF(D757="Crude Oil",EXP((2799/(D765+459.6)-2.227)*LOG10(INDEX(FX_Input,Q$5,D$3*$Z$5+$AA$5))-(7261/(D765+459.6))+12.82),IF(D757="Refined Petroleum Stock",EXP((0.7553-(413/(D765+459.6)))*(INDEX(FX_Input,Q$5,D$3*$Z$5+$AA$5-1)^0.5)*LOG10(INDEX(FX_Input,Q$5,D$3*$Z$5+$AA$5))-(1.854-(1042/(D765+459.6)))*(INDEX(FX_Input,Q$5,D$3*$Z$5+$AA$5-1)^0.5)+((2416/(D765+459.6)-2.013)*LOG10(INDEX(FX_Input,Q$5,D$3*$Z$5+$AA$5)))-(8742/(D765+459.6))+15.64),EXP(INDEX(Antoines,MATCH(D756,Antoine_Name,0),2)-INDEX(Antoines,MATCH(D756,Antoine_Name,0),3)/(D765+459.6))))),0)</f>
        <v>1</v>
      </c>
      <c r="E772" cm="1">
        <f t="array" ref="E772">IFERROR(IF(E757="Chemical",(10^(INDEX(Antoines,MATCH(E756,Antoine_Name,0),2)-INDEX(Antoines,MATCH(E756,Antoine_Name,0),3)/(INDEX(Antoines,MATCH(E756,Antoine_Name,0),4)+(E765-32)*5/9)))*14.7/760,IF(E757="Crude Oil",EXP((2799/(E765+459.6)-2.227)*LOG10(INDEX(FX_Input,R$5,E$3*$Z$5+$AA$5))-(7261/(E765+459.6))+12.82),IF(E757="Refined Petroleum Stock",EXP((0.7553-(413/(E765+459.6)))*(INDEX(FX_Input,R$5,E$3*$Z$5+$AA$5-1)^0.5)*LOG10(INDEX(FX_Input,R$5,E$3*$Z$5+$AA$5))-(1.854-(1042/(E765+459.6)))*(INDEX(FX_Input,R$5,E$3*$Z$5+$AA$5-1)^0.5)+((2416/(E765+459.6)-2.013)*LOG10(INDEX(FX_Input,R$5,E$3*$Z$5+$AA$5)))-(8742/(E765+459.6))+15.64),EXP(INDEX(Antoines,MATCH(E756,Antoine_Name,0),2)-INDEX(Antoines,MATCH(E756,Antoine_Name,0),3)/(E765+459.6))))),0)</f>
        <v>1</v>
      </c>
      <c r="F772" cm="1">
        <f t="array" ref="F772">IFERROR(IF(F757="Chemical",(10^(INDEX(Antoines,MATCH(F756,Antoine_Name,0),2)-INDEX(Antoines,MATCH(F756,Antoine_Name,0),3)/(INDEX(Antoines,MATCH(F756,Antoine_Name,0),4)+(F765-32)*5/9)))*14.7/760,IF(F757="Crude Oil",EXP((2799/(F765+459.6)-2.227)*LOG10(INDEX(FX_Input,S$5,F$3*$Z$5+$AA$5))-(7261/(F765+459.6))+12.82),IF(F757="Refined Petroleum Stock",EXP((0.7553-(413/(F765+459.6)))*(INDEX(FX_Input,S$5,F$3*$Z$5+$AA$5-1)^0.5)*LOG10(INDEX(FX_Input,S$5,F$3*$Z$5+$AA$5))-(1.854-(1042/(F765+459.6)))*(INDEX(FX_Input,S$5,F$3*$Z$5+$AA$5-1)^0.5)+((2416/(F765+459.6)-2.013)*LOG10(INDEX(FX_Input,S$5,F$3*$Z$5+$AA$5)))-(8742/(F765+459.6))+15.64),EXP(INDEX(Antoines,MATCH(F756,Antoine_Name,0),2)-INDEX(Antoines,MATCH(F756,Antoine_Name,0),3)/(F765+459.6))))),0)</f>
        <v>1</v>
      </c>
      <c r="G772" cm="1">
        <f t="array" ref="G772">IFERROR(IF(G757="Chemical",(10^(INDEX(Antoines,MATCH(G756,Antoine_Name,0),2)-INDEX(Antoines,MATCH(G756,Antoine_Name,0),3)/(INDEX(Antoines,MATCH(G756,Antoine_Name,0),4)+(G765-32)*5/9)))*14.7/760,IF(G757="Crude Oil",EXP((2799/(G765+459.6)-2.227)*LOG10(INDEX(FX_Input,T$5,G$3*$Z$5+$AA$5))-(7261/(G765+459.6))+12.82),IF(G757="Refined Petroleum Stock",EXP((0.7553-(413/(G765+459.6)))*(INDEX(FX_Input,T$5,G$3*$Z$5+$AA$5-1)^0.5)*LOG10(INDEX(FX_Input,T$5,G$3*$Z$5+$AA$5))-(1.854-(1042/(G765+459.6)))*(INDEX(FX_Input,T$5,G$3*$Z$5+$AA$5-1)^0.5)+((2416/(G765+459.6)-2.013)*LOG10(INDEX(FX_Input,T$5,G$3*$Z$5+$AA$5)))-(8742/(G765+459.6))+15.64),EXP(INDEX(Antoines,MATCH(G756,Antoine_Name,0),2)-INDEX(Antoines,MATCH(G756,Antoine_Name,0),3)/(G765+459.6))))),0)</f>
        <v>1</v>
      </c>
      <c r="H772" cm="1">
        <f t="array" ref="H772">IFERROR(IF(H757="Chemical",(10^(INDEX(Antoines,MATCH(H756,Antoine_Name,0),2)-INDEX(Antoines,MATCH(H756,Antoine_Name,0),3)/(INDEX(Antoines,MATCH(H756,Antoine_Name,0),4)+(H765-32)*5/9)))*14.7/760,IF(H757="Crude Oil",EXP((2799/(H765+459.6)-2.227)*LOG10(INDEX(FX_Input,U$5,H$3*$Z$5+$AA$5))-(7261/(H765+459.6))+12.82),IF(H757="Refined Petroleum Stock",EXP((0.7553-(413/(H765+459.6)))*(INDEX(FX_Input,U$5,H$3*$Z$5+$AA$5-1)^0.5)*LOG10(INDEX(FX_Input,U$5,H$3*$Z$5+$AA$5))-(1.854-(1042/(H765+459.6)))*(INDEX(FX_Input,U$5,H$3*$Z$5+$AA$5-1)^0.5)+((2416/(H765+459.6)-2.013)*LOG10(INDEX(FX_Input,U$5,H$3*$Z$5+$AA$5)))-(8742/(H765+459.6))+15.64),EXP(INDEX(Antoines,MATCH(H756,Antoine_Name,0),2)-INDEX(Antoines,MATCH(H756,Antoine_Name,0),3)/(H765+459.6))))),0)</f>
        <v>1</v>
      </c>
      <c r="I772" cm="1">
        <f t="array" ref="I772">IFERROR(IF(I757="Chemical",(10^(INDEX(Antoines,MATCH(I756,Antoine_Name,0),2)-INDEX(Antoines,MATCH(I756,Antoine_Name,0),3)/(INDEX(Antoines,MATCH(I756,Antoine_Name,0),4)+(I765-32)*5/9)))*14.7/760,IF(I757="Crude Oil",EXP((2799/(I765+459.6)-2.227)*LOG10(INDEX(FX_Input,V$5,I$3*$Z$5+$AA$5))-(7261/(I765+459.6))+12.82),IF(I757="Refined Petroleum Stock",EXP((0.7553-(413/(I765+459.6)))*(INDEX(FX_Input,V$5,I$3*$Z$5+$AA$5-1)^0.5)*LOG10(INDEX(FX_Input,V$5,I$3*$Z$5+$AA$5))-(1.854-(1042/(I765+459.6)))*(INDEX(FX_Input,V$5,I$3*$Z$5+$AA$5-1)^0.5)+((2416/(I765+459.6)-2.013)*LOG10(INDEX(FX_Input,V$5,I$3*$Z$5+$AA$5)))-(8742/(I765+459.6))+15.64),EXP(INDEX(Antoines,MATCH(I756,Antoine_Name,0),2)-INDEX(Antoines,MATCH(I756,Antoine_Name,0),3)/(I765+459.6))))),0)</f>
        <v>1</v>
      </c>
      <c r="J772" cm="1">
        <f t="array" ref="J772">IFERROR(IF(J757="Chemical",(10^(INDEX(Antoines,MATCH(J756,Antoine_Name,0),2)-INDEX(Antoines,MATCH(J756,Antoine_Name,0),3)/(INDEX(Antoines,MATCH(J756,Antoine_Name,0),4)+(J765-32)*5/9)))*14.7/760,IF(J757="Crude Oil",EXP((2799/(J765+459.6)-2.227)*LOG10(INDEX(FX_Input,W$5,J$3*$Z$5+$AA$5))-(7261/(J765+459.6))+12.82),IF(J757="Refined Petroleum Stock",EXP((0.7553-(413/(J765+459.6)))*(INDEX(FX_Input,W$5,J$3*$Z$5+$AA$5-1)^0.5)*LOG10(INDEX(FX_Input,W$5,J$3*$Z$5+$AA$5))-(1.854-(1042/(J765+459.6)))*(INDEX(FX_Input,W$5,J$3*$Z$5+$AA$5-1)^0.5)+((2416/(J765+459.6)-2.013)*LOG10(INDEX(FX_Input,W$5,J$3*$Z$5+$AA$5)))-(8742/(J765+459.6))+15.64),EXP(INDEX(Antoines,MATCH(J756,Antoine_Name,0),2)-INDEX(Antoines,MATCH(J756,Antoine_Name,0),3)/(J765+459.6))))),0)</f>
        <v>1</v>
      </c>
      <c r="K772" cm="1">
        <f t="array" ref="K772">IFERROR(IF(K757="Chemical",(10^(INDEX(Antoines,MATCH(K756,Antoine_Name,0),2)-INDEX(Antoines,MATCH(K756,Antoine_Name,0),3)/(INDEX(Antoines,MATCH(K756,Antoine_Name,0),4)+(K765-32)*5/9)))*14.7/760,IF(K757="Crude Oil",EXP((2799/(K765+459.6)-2.227)*LOG10(INDEX(FX_Input,X$5,K$3*$Z$5+$AA$5))-(7261/(K765+459.6))+12.82),IF(K757="Refined Petroleum Stock",EXP((0.7553-(413/(K765+459.6)))*(INDEX(FX_Input,X$5,K$3*$Z$5+$AA$5-1)^0.5)*LOG10(INDEX(FX_Input,X$5,K$3*$Z$5+$AA$5))-(1.854-(1042/(K765+459.6)))*(INDEX(FX_Input,X$5,K$3*$Z$5+$AA$5-1)^0.5)+((2416/(K765+459.6)-2.013)*LOG10(INDEX(FX_Input,X$5,K$3*$Z$5+$AA$5)))-(8742/(K765+459.6))+15.64),EXP(INDEX(Antoines,MATCH(K756,Antoine_Name,0),2)-INDEX(Antoines,MATCH(K756,Antoine_Name,0),3)/(K765+459.6))))),0)</f>
        <v>1</v>
      </c>
      <c r="L772" cm="1">
        <f t="array" ref="L772">IFERROR(IF(L757="Chemical",(10^(INDEX(Antoines,MATCH(L756,Antoine_Name,0),2)-INDEX(Antoines,MATCH(L756,Antoine_Name,0),3)/(INDEX(Antoines,MATCH(L756,Antoine_Name,0),4)+(L765-32)*5/9)))*14.7/760,IF(L757="Crude Oil",EXP((2799/(L765+459.6)-2.227)*LOG10(INDEX(FX_Input,Y$5,L$3*$Z$5+$AA$5))-(7261/(L765+459.6))+12.82),IF(L757="Refined Petroleum Stock",EXP((0.7553-(413/(L765+459.6)))*(INDEX(FX_Input,Y$5,L$3*$Z$5+$AA$5-1)^0.5)*LOG10(INDEX(FX_Input,Y$5,L$3*$Z$5+$AA$5))-(1.854-(1042/(L765+459.6)))*(INDEX(FX_Input,Y$5,L$3*$Z$5+$AA$5-1)^0.5)+((2416/(L765+459.6)-2.013)*LOG10(INDEX(FX_Input,Y$5,L$3*$Z$5+$AA$5)))-(8742/(L765+459.6))+15.64),EXP(INDEX(Antoines,MATCH(L756,Antoine_Name,0),2)-INDEX(Antoines,MATCH(L756,Antoine_Name,0),3)/(L765+459.6))))),0)</f>
        <v>1</v>
      </c>
      <c r="M772" cm="1">
        <f t="array" ref="M772">IFERROR(IF(M757="Chemical",(10^(INDEX(Antoines,MATCH(M756,Antoine_Name,0),2)-INDEX(Antoines,MATCH(M756,Antoine_Name,0),3)/(INDEX(Antoines,MATCH(M756,Antoine_Name,0),4)+(M765-32)*5/9)))*14.7/760,IF(M757="Crude Oil",EXP((2799/(M765+459.6)-2.227)*LOG10(INDEX(FX_Input,Z$5,M$3*$Z$5+$AA$5))-(7261/(M765+459.6))+12.82),IF(M757="Refined Petroleum Stock",EXP((0.7553-(413/(M765+459.6)))*(INDEX(FX_Input,Z$5,M$3*$Z$5+$AA$5-1)^0.5)*LOG10(INDEX(FX_Input,Z$5,M$3*$Z$5+$AA$5))-(1.854-(1042/(M765+459.6)))*(INDEX(FX_Input,Z$5,M$3*$Z$5+$AA$5-1)^0.5)+((2416/(M765+459.6)-2.013)*LOG10(INDEX(FX_Input,Z$5,M$3*$Z$5+$AA$5)))-(8742/(M765+459.6))+15.64),EXP(INDEX(Antoines,MATCH(M756,Antoine_Name,0),2)-INDEX(Antoines,MATCH(M756,Antoine_Name,0),3)/(M765+459.6))))),0)</f>
        <v>1</v>
      </c>
      <c r="N772" cm="1">
        <f t="array" ref="N772">IFERROR(IF(N757="Chemical",(10^(INDEX(Antoines,MATCH(N756,Antoine_Name,0),2)-INDEX(Antoines,MATCH(N756,Antoine_Name,0),3)/(INDEX(Antoines,MATCH(N756,Antoine_Name,0),4)+(N765-32)*5/9)))*14.7/760,IF(N757="Crude Oil",EXP((2799/(N765+459.6)-2.227)*LOG10(INDEX(FX_Input,AA$5,N$3*$Z$5+$AA$5))-(7261/(N765+459.6))+12.82),IF(N757="Refined Petroleum Stock",EXP((0.7553-(413/(N765+459.6)))*(INDEX(FX_Input,AA$5,N$3*$Z$5+$AA$5-1)^0.5)*LOG10(INDEX(FX_Input,AA$5,N$3*$Z$5+$AA$5))-(1.854-(1042/(N765+459.6)))*(INDEX(FX_Input,AA$5,N$3*$Z$5+$AA$5-1)^0.5)+((2416/(N765+459.6)-2.013)*LOG10(INDEX(FX_Input,AA$5,N$3*$Z$5+$AA$5)))-(8742/(N765+459.6))+15.64),EXP(INDEX(Antoines,MATCH(N756,Antoine_Name,0),2)-INDEX(Antoines,MATCH(N756,Antoine_Name,0),3)/(N765+459.6))))),0)</f>
        <v>1</v>
      </c>
      <c r="O772" cm="1">
        <f t="array" ref="O772">IFERROR(IF(O757="Chemical",(10^(INDEX(Antoines,MATCH(O756,Antoine_Name,0),2)-INDEX(Antoines,MATCH(O756,Antoine_Name,0),3)/(INDEX(Antoines,MATCH(O756,Antoine_Name,0),4)+(O765-32)*5/9)))*14.7/760,IF(O757="Crude Oil",EXP((2799/(O765+459.6)-2.227)*LOG10(INDEX(FX_Input,AB$5,O$3*$Z$5+$AA$5))-(7261/(O765+459.6))+12.82),IF(O757="Refined Petroleum Stock",EXP((0.7553-(413/(O765+459.6)))*(INDEX(FX_Input,AB$5,O$3*$Z$5+$AA$5-1)^0.5)*LOG10(INDEX(FX_Input,AB$5,O$3*$Z$5+$AA$5))-(1.854-(1042/(O765+459.6)))*(INDEX(FX_Input,AB$5,O$3*$Z$5+$AA$5-1)^0.5)+((2416/(O765+459.6)-2.013)*LOG10(INDEX(FX_Input,AB$5,O$3*$Z$5+$AA$5)))-(8742/(O765+459.6))+15.64),EXP(INDEX(Antoines,MATCH(O756,Antoine_Name,0),2)-INDEX(Antoines,MATCH(O756,Antoine_Name,0),3)/(O765+459.6))))),0)</f>
        <v>1</v>
      </c>
    </row>
    <row r="773" spans="2:15" ht="17.149999999999999" x14ac:dyDescent="0.55000000000000004">
      <c r="B773" t="str">
        <f t="shared" si="2708"/>
        <v>Portland</v>
      </c>
      <c r="C773" t="s">
        <v>580</v>
      </c>
      <c r="D773">
        <f>D772*D760</f>
        <v>1</v>
      </c>
      <c r="E773">
        <f t="shared" ref="E773" si="2742">E772*E760</f>
        <v>1</v>
      </c>
      <c r="F773">
        <f t="shared" ref="F773" si="2743">F772*F760</f>
        <v>1</v>
      </c>
      <c r="G773">
        <f t="shared" ref="G773" si="2744">G772*G760</f>
        <v>1</v>
      </c>
      <c r="H773">
        <f t="shared" ref="H773" si="2745">H772*H760</f>
        <v>1</v>
      </c>
      <c r="I773">
        <f t="shared" ref="I773" si="2746">I772*I760</f>
        <v>1</v>
      </c>
      <c r="J773">
        <f t="shared" ref="J773" si="2747">J772*J760</f>
        <v>1</v>
      </c>
      <c r="K773">
        <f t="shared" ref="K773" si="2748">K772*K760</f>
        <v>1</v>
      </c>
      <c r="L773">
        <f t="shared" ref="L773" si="2749">L772*L760</f>
        <v>1</v>
      </c>
      <c r="M773">
        <f t="shared" ref="M773" si="2750">M772*M760</f>
        <v>1</v>
      </c>
      <c r="N773">
        <f t="shared" ref="N773" si="2751">N772*N760</f>
        <v>1</v>
      </c>
      <c r="O773">
        <f t="shared" ref="O773" si="2752">O772*O760</f>
        <v>1</v>
      </c>
    </row>
    <row r="774" spans="2:15" ht="17.149999999999999" x14ac:dyDescent="0.55000000000000004">
      <c r="B774" t="str">
        <f t="shared" si="2708"/>
        <v>Portland</v>
      </c>
      <c r="C774" t="s">
        <v>581</v>
      </c>
      <c r="D774" cm="1">
        <f t="array" ref="D774">IFERROR(IF(D759="Chemical",(10^(INDEX(Antoines,MATCH(D758,Antoine_Name,0),2)-INDEX(Antoines,MATCH(D758,Antoine_Name,0),3)/(INDEX(Antoines,MATCH(D758,Antoine_Name,0),4)+(D765-32)*5/9)))*14.7/760,IF(D759="Crude Oil",EXP((2799/(D765+459.6)-2.227)*LOG10(INDEX(FX_Input,Q$5,D$3*$Z$5+$AA$5))-(7261/(D765+459.6))+12.82),IF(D759="Refined Petroleum Stock",EXP((0.7553-(413/(D765+459.6)))*(INDEX(FX_Input,Q$5,D$3*$Z$5+$AA$5-1)^0.5)*LOG10(INDEX(FX_Input,Q$5,D$3*$Z$5+$AA$5))-(1.854-(1042/(D765+459.6)))*(INDEX(FX_Input,Q$5,D$3*$Z$5+$AA$5-1)^0.5)+((2416/(D765+459.6)-2.013)*LOG10(INDEX(FX_Input,Q$5,D$3*$Z$5+$AA$5)))-(8742/(D765+459.6))+15.64),EXP(INDEX(Antoines,MATCH(D758,Antoine_Name,0),2)-INDEX(Antoines,MATCH(D758,Antoine_Name,0),3)/(D765+459.6))))),0)</f>
        <v>0</v>
      </c>
      <c r="E774" cm="1">
        <f t="array" ref="E774">IFERROR(IF(E759="Chemical",(10^(INDEX(Antoines,MATCH(E758,Antoine_Name,0),2)-INDEX(Antoines,MATCH(E758,Antoine_Name,0),3)/(INDEX(Antoines,MATCH(E758,Antoine_Name,0),4)+(E765-32)*5/9)))*14.7/760,IF(E759="Crude Oil",EXP((2799/(E765+459.6)-2.227)*LOG10(INDEX(FX_Input,R$5,E$3*$Z$5+$AA$5))-(7261/(E765+459.6))+12.82),IF(E759="Refined Petroleum Stock",EXP((0.7553-(413/(E765+459.6)))*(INDEX(FX_Input,R$5,E$3*$Z$5+$AA$5-1)^0.5)*LOG10(INDEX(FX_Input,R$5,E$3*$Z$5+$AA$5))-(1.854-(1042/(E765+459.6)))*(INDEX(FX_Input,R$5,E$3*$Z$5+$AA$5-1)^0.5)+((2416/(E765+459.6)-2.013)*LOG10(INDEX(FX_Input,R$5,E$3*$Z$5+$AA$5)))-(8742/(E765+459.6))+15.64),EXP(INDEX(Antoines,MATCH(E758,Antoine_Name,0),2)-INDEX(Antoines,MATCH(E758,Antoine_Name,0),3)/(E765+459.6))))),0)</f>
        <v>0</v>
      </c>
      <c r="F774" cm="1">
        <f t="array" ref="F774">IFERROR(IF(F759="Chemical",(10^(INDEX(Antoines,MATCH(F758,Antoine_Name,0),2)-INDEX(Antoines,MATCH(F758,Antoine_Name,0),3)/(INDEX(Antoines,MATCH(F758,Antoine_Name,0),4)+(F765-32)*5/9)))*14.7/760,IF(F759="Crude Oil",EXP((2799/(F765+459.6)-2.227)*LOG10(INDEX(FX_Input,S$5,F$3*$Z$5+$AA$5))-(7261/(F765+459.6))+12.82),IF(F759="Refined Petroleum Stock",EXP((0.7553-(413/(F765+459.6)))*(INDEX(FX_Input,S$5,F$3*$Z$5+$AA$5-1)^0.5)*LOG10(INDEX(FX_Input,S$5,F$3*$Z$5+$AA$5))-(1.854-(1042/(F765+459.6)))*(INDEX(FX_Input,S$5,F$3*$Z$5+$AA$5-1)^0.5)+((2416/(F765+459.6)-2.013)*LOG10(INDEX(FX_Input,S$5,F$3*$Z$5+$AA$5)))-(8742/(F765+459.6))+15.64),EXP(INDEX(Antoines,MATCH(F758,Antoine_Name,0),2)-INDEX(Antoines,MATCH(F758,Antoine_Name,0),3)/(F765+459.6))))),0)</f>
        <v>0</v>
      </c>
      <c r="G774" cm="1">
        <f t="array" ref="G774">IFERROR(IF(G759="Chemical",(10^(INDEX(Antoines,MATCH(G758,Antoine_Name,0),2)-INDEX(Antoines,MATCH(G758,Antoine_Name,0),3)/(INDEX(Antoines,MATCH(G758,Antoine_Name,0),4)+(G765-32)*5/9)))*14.7/760,IF(G759="Crude Oil",EXP((2799/(G765+459.6)-2.227)*LOG10(INDEX(FX_Input,T$5,G$3*$Z$5+$AA$5))-(7261/(G765+459.6))+12.82),IF(G759="Refined Petroleum Stock",EXP((0.7553-(413/(G765+459.6)))*(INDEX(FX_Input,T$5,G$3*$Z$5+$AA$5-1)^0.5)*LOG10(INDEX(FX_Input,T$5,G$3*$Z$5+$AA$5))-(1.854-(1042/(G765+459.6)))*(INDEX(FX_Input,T$5,G$3*$Z$5+$AA$5-1)^0.5)+((2416/(G765+459.6)-2.013)*LOG10(INDEX(FX_Input,T$5,G$3*$Z$5+$AA$5)))-(8742/(G765+459.6))+15.64),EXP(INDEX(Antoines,MATCH(G758,Antoine_Name,0),2)-INDEX(Antoines,MATCH(G758,Antoine_Name,0),3)/(G765+459.6))))),0)</f>
        <v>0</v>
      </c>
      <c r="H774" cm="1">
        <f t="array" ref="H774">IFERROR(IF(H759="Chemical",(10^(INDEX(Antoines,MATCH(H758,Antoine_Name,0),2)-INDEX(Antoines,MATCH(H758,Antoine_Name,0),3)/(INDEX(Antoines,MATCH(H758,Antoine_Name,0),4)+(H765-32)*5/9)))*14.7/760,IF(H759="Crude Oil",EXP((2799/(H765+459.6)-2.227)*LOG10(INDEX(FX_Input,U$5,H$3*$Z$5+$AA$5))-(7261/(H765+459.6))+12.82),IF(H759="Refined Petroleum Stock",EXP((0.7553-(413/(H765+459.6)))*(INDEX(FX_Input,U$5,H$3*$Z$5+$AA$5-1)^0.5)*LOG10(INDEX(FX_Input,U$5,H$3*$Z$5+$AA$5))-(1.854-(1042/(H765+459.6)))*(INDEX(FX_Input,U$5,H$3*$Z$5+$AA$5-1)^0.5)+((2416/(H765+459.6)-2.013)*LOG10(INDEX(FX_Input,U$5,H$3*$Z$5+$AA$5)))-(8742/(H765+459.6))+15.64),EXP(INDEX(Antoines,MATCH(H758,Antoine_Name,0),2)-INDEX(Antoines,MATCH(H758,Antoine_Name,0),3)/(H765+459.6))))),0)</f>
        <v>0</v>
      </c>
      <c r="I774" cm="1">
        <f t="array" ref="I774">IFERROR(IF(I759="Chemical",(10^(INDEX(Antoines,MATCH(I758,Antoine_Name,0),2)-INDEX(Antoines,MATCH(I758,Antoine_Name,0),3)/(INDEX(Antoines,MATCH(I758,Antoine_Name,0),4)+(I765-32)*5/9)))*14.7/760,IF(I759="Crude Oil",EXP((2799/(I765+459.6)-2.227)*LOG10(INDEX(FX_Input,V$5,I$3*$Z$5+$AA$5))-(7261/(I765+459.6))+12.82),IF(I759="Refined Petroleum Stock",EXP((0.7553-(413/(I765+459.6)))*(INDEX(FX_Input,V$5,I$3*$Z$5+$AA$5-1)^0.5)*LOG10(INDEX(FX_Input,V$5,I$3*$Z$5+$AA$5))-(1.854-(1042/(I765+459.6)))*(INDEX(FX_Input,V$5,I$3*$Z$5+$AA$5-1)^0.5)+((2416/(I765+459.6)-2.013)*LOG10(INDEX(FX_Input,V$5,I$3*$Z$5+$AA$5)))-(8742/(I765+459.6))+15.64),EXP(INDEX(Antoines,MATCH(I758,Antoine_Name,0),2)-INDEX(Antoines,MATCH(I758,Antoine_Name,0),3)/(I765+459.6))))),0)</f>
        <v>0</v>
      </c>
      <c r="J774" cm="1">
        <f t="array" ref="J774">IFERROR(IF(J759="Chemical",(10^(INDEX(Antoines,MATCH(J758,Antoine_Name,0),2)-INDEX(Antoines,MATCH(J758,Antoine_Name,0),3)/(INDEX(Antoines,MATCH(J758,Antoine_Name,0),4)+(J765-32)*5/9)))*14.7/760,IF(J759="Crude Oil",EXP((2799/(J765+459.6)-2.227)*LOG10(INDEX(FX_Input,W$5,J$3*$Z$5+$AA$5))-(7261/(J765+459.6))+12.82),IF(J759="Refined Petroleum Stock",EXP((0.7553-(413/(J765+459.6)))*(INDEX(FX_Input,W$5,J$3*$Z$5+$AA$5-1)^0.5)*LOG10(INDEX(FX_Input,W$5,J$3*$Z$5+$AA$5))-(1.854-(1042/(J765+459.6)))*(INDEX(FX_Input,W$5,J$3*$Z$5+$AA$5-1)^0.5)+((2416/(J765+459.6)-2.013)*LOG10(INDEX(FX_Input,W$5,J$3*$Z$5+$AA$5)))-(8742/(J765+459.6))+15.64),EXP(INDEX(Antoines,MATCH(J758,Antoine_Name,0),2)-INDEX(Antoines,MATCH(J758,Antoine_Name,0),3)/(J765+459.6))))),0)</f>
        <v>0</v>
      </c>
      <c r="K774" cm="1">
        <f t="array" ref="K774">IFERROR(IF(K759="Chemical",(10^(INDEX(Antoines,MATCH(K758,Antoine_Name,0),2)-INDEX(Antoines,MATCH(K758,Antoine_Name,0),3)/(INDEX(Antoines,MATCH(K758,Antoine_Name,0),4)+(K765-32)*5/9)))*14.7/760,IF(K759="Crude Oil",EXP((2799/(K765+459.6)-2.227)*LOG10(INDEX(FX_Input,X$5,K$3*$Z$5+$AA$5))-(7261/(K765+459.6))+12.82),IF(K759="Refined Petroleum Stock",EXP((0.7553-(413/(K765+459.6)))*(INDEX(FX_Input,X$5,K$3*$Z$5+$AA$5-1)^0.5)*LOG10(INDEX(FX_Input,X$5,K$3*$Z$5+$AA$5))-(1.854-(1042/(K765+459.6)))*(INDEX(FX_Input,X$5,K$3*$Z$5+$AA$5-1)^0.5)+((2416/(K765+459.6)-2.013)*LOG10(INDEX(FX_Input,X$5,K$3*$Z$5+$AA$5)))-(8742/(K765+459.6))+15.64),EXP(INDEX(Antoines,MATCH(K758,Antoine_Name,0),2)-INDEX(Antoines,MATCH(K758,Antoine_Name,0),3)/(K765+459.6))))),0)</f>
        <v>0</v>
      </c>
      <c r="L774" cm="1">
        <f t="array" ref="L774">IFERROR(IF(L759="Chemical",(10^(INDEX(Antoines,MATCH(L758,Antoine_Name,0),2)-INDEX(Antoines,MATCH(L758,Antoine_Name,0),3)/(INDEX(Antoines,MATCH(L758,Antoine_Name,0),4)+(L765-32)*5/9)))*14.7/760,IF(L759="Crude Oil",EXP((2799/(L765+459.6)-2.227)*LOG10(INDEX(FX_Input,Y$5,L$3*$Z$5+$AA$5))-(7261/(L765+459.6))+12.82),IF(L759="Refined Petroleum Stock",EXP((0.7553-(413/(L765+459.6)))*(INDEX(FX_Input,Y$5,L$3*$Z$5+$AA$5-1)^0.5)*LOG10(INDEX(FX_Input,Y$5,L$3*$Z$5+$AA$5))-(1.854-(1042/(L765+459.6)))*(INDEX(FX_Input,Y$5,L$3*$Z$5+$AA$5-1)^0.5)+((2416/(L765+459.6)-2.013)*LOG10(INDEX(FX_Input,Y$5,L$3*$Z$5+$AA$5)))-(8742/(L765+459.6))+15.64),EXP(INDEX(Antoines,MATCH(L758,Antoine_Name,0),2)-INDEX(Antoines,MATCH(L758,Antoine_Name,0),3)/(L765+459.6))))),0)</f>
        <v>0</v>
      </c>
      <c r="M774" cm="1">
        <f t="array" ref="M774">IFERROR(IF(M759="Chemical",(10^(INDEX(Antoines,MATCH(M758,Antoine_Name,0),2)-INDEX(Antoines,MATCH(M758,Antoine_Name,0),3)/(INDEX(Antoines,MATCH(M758,Antoine_Name,0),4)+(M765-32)*5/9)))*14.7/760,IF(M759="Crude Oil",EXP((2799/(M765+459.6)-2.227)*LOG10(INDEX(FX_Input,Z$5,M$3*$Z$5+$AA$5))-(7261/(M765+459.6))+12.82),IF(M759="Refined Petroleum Stock",EXP((0.7553-(413/(M765+459.6)))*(INDEX(FX_Input,Z$5,M$3*$Z$5+$AA$5-1)^0.5)*LOG10(INDEX(FX_Input,Z$5,M$3*$Z$5+$AA$5))-(1.854-(1042/(M765+459.6)))*(INDEX(FX_Input,Z$5,M$3*$Z$5+$AA$5-1)^0.5)+((2416/(M765+459.6)-2.013)*LOG10(INDEX(FX_Input,Z$5,M$3*$Z$5+$AA$5)))-(8742/(M765+459.6))+15.64),EXP(INDEX(Antoines,MATCH(M758,Antoine_Name,0),2)-INDEX(Antoines,MATCH(M758,Antoine_Name,0),3)/(M765+459.6))))),0)</f>
        <v>0</v>
      </c>
      <c r="N774" cm="1">
        <f t="array" ref="N774">IFERROR(IF(N759="Chemical",(10^(INDEX(Antoines,MATCH(N758,Antoine_Name,0),2)-INDEX(Antoines,MATCH(N758,Antoine_Name,0),3)/(INDEX(Antoines,MATCH(N758,Antoine_Name,0),4)+(N765-32)*5/9)))*14.7/760,IF(N759="Crude Oil",EXP((2799/(N765+459.6)-2.227)*LOG10(INDEX(FX_Input,AA$5,N$3*$Z$5+$AA$5))-(7261/(N765+459.6))+12.82),IF(N759="Refined Petroleum Stock",EXP((0.7553-(413/(N765+459.6)))*(INDEX(FX_Input,AA$5,N$3*$Z$5+$AA$5-1)^0.5)*LOG10(INDEX(FX_Input,AA$5,N$3*$Z$5+$AA$5))-(1.854-(1042/(N765+459.6)))*(INDEX(FX_Input,AA$5,N$3*$Z$5+$AA$5-1)^0.5)+((2416/(N765+459.6)-2.013)*LOG10(INDEX(FX_Input,AA$5,N$3*$Z$5+$AA$5)))-(8742/(N765+459.6))+15.64),EXP(INDEX(Antoines,MATCH(N758,Antoine_Name,0),2)-INDEX(Antoines,MATCH(N758,Antoine_Name,0),3)/(N765+459.6))))),0)</f>
        <v>0</v>
      </c>
      <c r="O774" cm="1">
        <f t="array" ref="O774">IFERROR(IF(O759="Chemical",(10^(INDEX(Antoines,MATCH(O758,Antoine_Name,0),2)-INDEX(Antoines,MATCH(O758,Antoine_Name,0),3)/(INDEX(Antoines,MATCH(O758,Antoine_Name,0),4)+(O765-32)*5/9)))*14.7/760,IF(O759="Crude Oil",EXP((2799/(O765+459.6)-2.227)*LOG10(INDEX(FX_Input,AB$5,O$3*$Z$5+$AA$5))-(7261/(O765+459.6))+12.82),IF(O759="Refined Petroleum Stock",EXP((0.7553-(413/(O765+459.6)))*(INDEX(FX_Input,AB$5,O$3*$Z$5+$AA$5-1)^0.5)*LOG10(INDEX(FX_Input,AB$5,O$3*$Z$5+$AA$5))-(1.854-(1042/(O765+459.6)))*(INDEX(FX_Input,AB$5,O$3*$Z$5+$AA$5-1)^0.5)+((2416/(O765+459.6)-2.013)*LOG10(INDEX(FX_Input,AB$5,O$3*$Z$5+$AA$5)))-(8742/(O765+459.6))+15.64),EXP(INDEX(Antoines,MATCH(O758,Antoine_Name,0),2)-INDEX(Antoines,MATCH(O758,Antoine_Name,0),3)/(O765+459.6))))),0)</f>
        <v>0</v>
      </c>
    </row>
    <row r="775" spans="2:15" ht="17.149999999999999" x14ac:dyDescent="0.55000000000000004">
      <c r="B775" t="str">
        <f t="shared" si="2708"/>
        <v>Portland</v>
      </c>
      <c r="C775" t="s">
        <v>582</v>
      </c>
      <c r="D775">
        <f>D774*D762</f>
        <v>0</v>
      </c>
      <c r="E775">
        <f t="shared" ref="E775" si="2753">E774*E762</f>
        <v>0</v>
      </c>
      <c r="F775">
        <f t="shared" ref="F775" si="2754">F774*F762</f>
        <v>0</v>
      </c>
      <c r="G775">
        <f t="shared" ref="G775" si="2755">G774*G762</f>
        <v>0</v>
      </c>
      <c r="H775">
        <f t="shared" ref="H775" si="2756">H774*H762</f>
        <v>0</v>
      </c>
      <c r="I775">
        <f t="shared" ref="I775" si="2757">I774*I762</f>
        <v>0</v>
      </c>
      <c r="J775">
        <f t="shared" ref="J775" si="2758">J774*J762</f>
        <v>0</v>
      </c>
      <c r="K775">
        <f t="shared" ref="K775" si="2759">K774*K762</f>
        <v>0</v>
      </c>
      <c r="L775">
        <f t="shared" ref="L775" si="2760">L774*L762</f>
        <v>0</v>
      </c>
      <c r="M775">
        <f t="shared" ref="M775" si="2761">M774*M762</f>
        <v>0</v>
      </c>
      <c r="N775">
        <f t="shared" ref="N775" si="2762">N774*N762</f>
        <v>0</v>
      </c>
      <c r="O775">
        <f t="shared" ref="O775" si="2763">O774*O762</f>
        <v>0</v>
      </c>
    </row>
    <row r="776" spans="2:15" ht="17.149999999999999" x14ac:dyDescent="0.55000000000000004">
      <c r="B776" t="str">
        <f t="shared" si="2708"/>
        <v>Portland</v>
      </c>
      <c r="C776" t="s">
        <v>583</v>
      </c>
      <c r="D776">
        <f>D773+D775</f>
        <v>1</v>
      </c>
      <c r="E776">
        <f t="shared" ref="E776" si="2764">E773+E775</f>
        <v>1</v>
      </c>
      <c r="F776">
        <f t="shared" ref="F776" si="2765">F773+F775</f>
        <v>1</v>
      </c>
      <c r="G776">
        <f t="shared" ref="G776" si="2766">G773+G775</f>
        <v>1</v>
      </c>
      <c r="H776">
        <f t="shared" ref="H776" si="2767">H773+H775</f>
        <v>1</v>
      </c>
      <c r="I776">
        <f t="shared" ref="I776" si="2768">I773+I775</f>
        <v>1</v>
      </c>
      <c r="J776">
        <f t="shared" ref="J776" si="2769">J773+J775</f>
        <v>1</v>
      </c>
      <c r="K776">
        <f t="shared" ref="K776" si="2770">K773+K775</f>
        <v>1</v>
      </c>
      <c r="L776">
        <f t="shared" ref="L776" si="2771">L773+L775</f>
        <v>1</v>
      </c>
      <c r="M776">
        <f t="shared" ref="M776" si="2772">M773+M775</f>
        <v>1</v>
      </c>
      <c r="N776">
        <f t="shared" ref="N776" si="2773">N773+N775</f>
        <v>1</v>
      </c>
      <c r="O776">
        <f t="shared" ref="O776" si="2774">O773+O775</f>
        <v>1</v>
      </c>
    </row>
    <row r="777" spans="2:15" ht="17.149999999999999" x14ac:dyDescent="0.55000000000000004">
      <c r="B777" t="str">
        <f t="shared" si="2708"/>
        <v>Portland</v>
      </c>
      <c r="C777" t="s">
        <v>1388</v>
      </c>
      <c r="D777" cm="1">
        <f t="array" ref="D777">IFERROR(IF(D757="Chemical",(10^(INDEX(Antoines,MATCH(D756,Antoine_Name,0),2)-INDEX(Antoines,MATCH(D756,Antoine_Name,0),3)/(INDEX(Antoines,MATCH(D756,Antoine_Name,0),4)+(D766-32)*5/9)))*14.7/760,IF(D757="Crude Oil",EXP((2799/(D766+459.6)-2.227)*LOG10(INDEX(FX_Input,Q$5,D$3*$Z$5+$AA$5))-(7261/(D766+459.6))+12.82),IF(D757="Refined Petroleum Stock",EXP((0.7553-(413/(D766+459.6)))*(INDEX(FX_Input,Q$5,D$3*$Z$5+$AA$5-1)^0.5)*LOG10(INDEX(FX_Input,Q$5,D$3*$Z$5+$AA$5))-(1.854-(1042/(D766+459.6)))*(INDEX(FX_Input,Q$5,D$3*$Z$5+$AA$5-1)^0.5)+((2416/(D766+459.6)-2.013)*LOG10(INDEX(FX_Input,Q$5,D$3*$Z$5+$AA$5)))-(8742/(D766+459.6))+15.64),EXP(INDEX(Antoines,MATCH(D756,Antoine_Name,0),2)-INDEX(Antoines,MATCH(D756,Antoine_Name,0),3)/(D766+459.6))))),0)</f>
        <v>1</v>
      </c>
      <c r="E777" cm="1">
        <f t="array" ref="E777">IFERROR(IF(E757="Chemical",(10^(INDEX(Antoines,MATCH(E756,Antoine_Name,0),2)-INDEX(Antoines,MATCH(E756,Antoine_Name,0),3)/(INDEX(Antoines,MATCH(E756,Antoine_Name,0),4)+(E766-32)*5/9)))*14.7/760,IF(E757="Crude Oil",EXP((2799/(E766+459.6)-2.227)*LOG10(INDEX(FX_Input,R$5,E$3*$Z$5+$AA$5))-(7261/(E766+459.6))+12.82),IF(E757="Refined Petroleum Stock",EXP((0.7553-(413/(E766+459.6)))*(INDEX(FX_Input,R$5,E$3*$Z$5+$AA$5-1)^0.5)*LOG10(INDEX(FX_Input,R$5,E$3*$Z$5+$AA$5))-(1.854-(1042/(E766+459.6)))*(INDEX(FX_Input,R$5,E$3*$Z$5+$AA$5-1)^0.5)+((2416/(E766+459.6)-2.013)*LOG10(INDEX(FX_Input,R$5,E$3*$Z$5+$AA$5)))-(8742/(E766+459.6))+15.64),EXP(INDEX(Antoines,MATCH(E756,Antoine_Name,0),2)-INDEX(Antoines,MATCH(E756,Antoine_Name,0),3)/(E766+459.6))))),0)</f>
        <v>1</v>
      </c>
      <c r="F777" cm="1">
        <f t="array" ref="F777">IFERROR(IF(F757="Chemical",(10^(INDEX(Antoines,MATCH(F756,Antoine_Name,0),2)-INDEX(Antoines,MATCH(F756,Antoine_Name,0),3)/(INDEX(Antoines,MATCH(F756,Antoine_Name,0),4)+(F766-32)*5/9)))*14.7/760,IF(F757="Crude Oil",EXP((2799/(F766+459.6)-2.227)*LOG10(INDEX(FX_Input,S$5,F$3*$Z$5+$AA$5))-(7261/(F766+459.6))+12.82),IF(F757="Refined Petroleum Stock",EXP((0.7553-(413/(F766+459.6)))*(INDEX(FX_Input,S$5,F$3*$Z$5+$AA$5-1)^0.5)*LOG10(INDEX(FX_Input,S$5,F$3*$Z$5+$AA$5))-(1.854-(1042/(F766+459.6)))*(INDEX(FX_Input,S$5,F$3*$Z$5+$AA$5-1)^0.5)+((2416/(F766+459.6)-2.013)*LOG10(INDEX(FX_Input,S$5,F$3*$Z$5+$AA$5)))-(8742/(F766+459.6))+15.64),EXP(INDEX(Antoines,MATCH(F756,Antoine_Name,0),2)-INDEX(Antoines,MATCH(F756,Antoine_Name,0),3)/(F766+459.6))))),0)</f>
        <v>1</v>
      </c>
      <c r="G777" cm="1">
        <f t="array" ref="G777">IFERROR(IF(G757="Chemical",(10^(INDEX(Antoines,MATCH(G756,Antoine_Name,0),2)-INDEX(Antoines,MATCH(G756,Antoine_Name,0),3)/(INDEX(Antoines,MATCH(G756,Antoine_Name,0),4)+(G766-32)*5/9)))*14.7/760,IF(G757="Crude Oil",EXP((2799/(G766+459.6)-2.227)*LOG10(INDEX(FX_Input,T$5,G$3*$Z$5+$AA$5))-(7261/(G766+459.6))+12.82),IF(G757="Refined Petroleum Stock",EXP((0.7553-(413/(G766+459.6)))*(INDEX(FX_Input,T$5,G$3*$Z$5+$AA$5-1)^0.5)*LOG10(INDEX(FX_Input,T$5,G$3*$Z$5+$AA$5))-(1.854-(1042/(G766+459.6)))*(INDEX(FX_Input,T$5,G$3*$Z$5+$AA$5-1)^0.5)+((2416/(G766+459.6)-2.013)*LOG10(INDEX(FX_Input,T$5,G$3*$Z$5+$AA$5)))-(8742/(G766+459.6))+15.64),EXP(INDEX(Antoines,MATCH(G756,Antoine_Name,0),2)-INDEX(Antoines,MATCH(G756,Antoine_Name,0),3)/(G766+459.6))))),0)</f>
        <v>1</v>
      </c>
      <c r="H777" cm="1">
        <f t="array" ref="H777">IFERROR(IF(H757="Chemical",(10^(INDEX(Antoines,MATCH(H756,Antoine_Name,0),2)-INDEX(Antoines,MATCH(H756,Antoine_Name,0),3)/(INDEX(Antoines,MATCH(H756,Antoine_Name,0),4)+(H766-32)*5/9)))*14.7/760,IF(H757="Crude Oil",EXP((2799/(H766+459.6)-2.227)*LOG10(INDEX(FX_Input,U$5,H$3*$Z$5+$AA$5))-(7261/(H766+459.6))+12.82),IF(H757="Refined Petroleum Stock",EXP((0.7553-(413/(H766+459.6)))*(INDEX(FX_Input,U$5,H$3*$Z$5+$AA$5-1)^0.5)*LOG10(INDEX(FX_Input,U$5,H$3*$Z$5+$AA$5))-(1.854-(1042/(H766+459.6)))*(INDEX(FX_Input,U$5,H$3*$Z$5+$AA$5-1)^0.5)+((2416/(H766+459.6)-2.013)*LOG10(INDEX(FX_Input,U$5,H$3*$Z$5+$AA$5)))-(8742/(H766+459.6))+15.64),EXP(INDEX(Antoines,MATCH(H756,Antoine_Name,0),2)-INDEX(Antoines,MATCH(H756,Antoine_Name,0),3)/(H766+459.6))))),0)</f>
        <v>1</v>
      </c>
      <c r="I777" cm="1">
        <f t="array" ref="I777">IFERROR(IF(I757="Chemical",(10^(INDEX(Antoines,MATCH(I756,Antoine_Name,0),2)-INDEX(Antoines,MATCH(I756,Antoine_Name,0),3)/(INDEX(Antoines,MATCH(I756,Antoine_Name,0),4)+(I766-32)*5/9)))*14.7/760,IF(I757="Crude Oil",EXP((2799/(I766+459.6)-2.227)*LOG10(INDEX(FX_Input,V$5,I$3*$Z$5+$AA$5))-(7261/(I766+459.6))+12.82),IF(I757="Refined Petroleum Stock",EXP((0.7553-(413/(I766+459.6)))*(INDEX(FX_Input,V$5,I$3*$Z$5+$AA$5-1)^0.5)*LOG10(INDEX(FX_Input,V$5,I$3*$Z$5+$AA$5))-(1.854-(1042/(I766+459.6)))*(INDEX(FX_Input,V$5,I$3*$Z$5+$AA$5-1)^0.5)+((2416/(I766+459.6)-2.013)*LOG10(INDEX(FX_Input,V$5,I$3*$Z$5+$AA$5)))-(8742/(I766+459.6))+15.64),EXP(INDEX(Antoines,MATCH(I756,Antoine_Name,0),2)-INDEX(Antoines,MATCH(I756,Antoine_Name,0),3)/(I766+459.6))))),0)</f>
        <v>1</v>
      </c>
      <c r="J777" cm="1">
        <f t="array" ref="J777">IFERROR(IF(J757="Chemical",(10^(INDEX(Antoines,MATCH(J756,Antoine_Name,0),2)-INDEX(Antoines,MATCH(J756,Antoine_Name,0),3)/(INDEX(Antoines,MATCH(J756,Antoine_Name,0),4)+(J766-32)*5/9)))*14.7/760,IF(J757="Crude Oil",EXP((2799/(J766+459.6)-2.227)*LOG10(INDEX(FX_Input,W$5,J$3*$Z$5+$AA$5))-(7261/(J766+459.6))+12.82),IF(J757="Refined Petroleum Stock",EXP((0.7553-(413/(J766+459.6)))*(INDEX(FX_Input,W$5,J$3*$Z$5+$AA$5-1)^0.5)*LOG10(INDEX(FX_Input,W$5,J$3*$Z$5+$AA$5))-(1.854-(1042/(J766+459.6)))*(INDEX(FX_Input,W$5,J$3*$Z$5+$AA$5-1)^0.5)+((2416/(J766+459.6)-2.013)*LOG10(INDEX(FX_Input,W$5,J$3*$Z$5+$AA$5)))-(8742/(J766+459.6))+15.64),EXP(INDEX(Antoines,MATCH(J756,Antoine_Name,0),2)-INDEX(Antoines,MATCH(J756,Antoine_Name,0),3)/(J766+459.6))))),0)</f>
        <v>1</v>
      </c>
      <c r="K777" cm="1">
        <f t="array" ref="K777">IFERROR(IF(K757="Chemical",(10^(INDEX(Antoines,MATCH(K756,Antoine_Name,0),2)-INDEX(Antoines,MATCH(K756,Antoine_Name,0),3)/(INDEX(Antoines,MATCH(K756,Antoine_Name,0),4)+(K766-32)*5/9)))*14.7/760,IF(K757="Crude Oil",EXP((2799/(K766+459.6)-2.227)*LOG10(INDEX(FX_Input,X$5,K$3*$Z$5+$AA$5))-(7261/(K766+459.6))+12.82),IF(K757="Refined Petroleum Stock",EXP((0.7553-(413/(K766+459.6)))*(INDEX(FX_Input,X$5,K$3*$Z$5+$AA$5-1)^0.5)*LOG10(INDEX(FX_Input,X$5,K$3*$Z$5+$AA$5))-(1.854-(1042/(K766+459.6)))*(INDEX(FX_Input,X$5,K$3*$Z$5+$AA$5-1)^0.5)+((2416/(K766+459.6)-2.013)*LOG10(INDEX(FX_Input,X$5,K$3*$Z$5+$AA$5)))-(8742/(K766+459.6))+15.64),EXP(INDEX(Antoines,MATCH(K756,Antoine_Name,0),2)-INDEX(Antoines,MATCH(K756,Antoine_Name,0),3)/(K766+459.6))))),0)</f>
        <v>1</v>
      </c>
      <c r="L777" cm="1">
        <f t="array" ref="L777">IFERROR(IF(L757="Chemical",(10^(INDEX(Antoines,MATCH(L756,Antoine_Name,0),2)-INDEX(Antoines,MATCH(L756,Antoine_Name,0),3)/(INDEX(Antoines,MATCH(L756,Antoine_Name,0),4)+(L766-32)*5/9)))*14.7/760,IF(L757="Crude Oil",EXP((2799/(L766+459.6)-2.227)*LOG10(INDEX(FX_Input,Y$5,L$3*$Z$5+$AA$5))-(7261/(L766+459.6))+12.82),IF(L757="Refined Petroleum Stock",EXP((0.7553-(413/(L766+459.6)))*(INDEX(FX_Input,Y$5,L$3*$Z$5+$AA$5-1)^0.5)*LOG10(INDEX(FX_Input,Y$5,L$3*$Z$5+$AA$5))-(1.854-(1042/(L766+459.6)))*(INDEX(FX_Input,Y$5,L$3*$Z$5+$AA$5-1)^0.5)+((2416/(L766+459.6)-2.013)*LOG10(INDEX(FX_Input,Y$5,L$3*$Z$5+$AA$5)))-(8742/(L766+459.6))+15.64),EXP(INDEX(Antoines,MATCH(L756,Antoine_Name,0),2)-INDEX(Antoines,MATCH(L756,Antoine_Name,0),3)/(L766+459.6))))),0)</f>
        <v>1</v>
      </c>
      <c r="M777" cm="1">
        <f t="array" ref="M777">IFERROR(IF(M757="Chemical",(10^(INDEX(Antoines,MATCH(M756,Antoine_Name,0),2)-INDEX(Antoines,MATCH(M756,Antoine_Name,0),3)/(INDEX(Antoines,MATCH(M756,Antoine_Name,0),4)+(M766-32)*5/9)))*14.7/760,IF(M757="Crude Oil",EXP((2799/(M766+459.6)-2.227)*LOG10(INDEX(FX_Input,Z$5,M$3*$Z$5+$AA$5))-(7261/(M766+459.6))+12.82),IF(M757="Refined Petroleum Stock",EXP((0.7553-(413/(M766+459.6)))*(INDEX(FX_Input,Z$5,M$3*$Z$5+$AA$5-1)^0.5)*LOG10(INDEX(FX_Input,Z$5,M$3*$Z$5+$AA$5))-(1.854-(1042/(M766+459.6)))*(INDEX(FX_Input,Z$5,M$3*$Z$5+$AA$5-1)^0.5)+((2416/(M766+459.6)-2.013)*LOG10(INDEX(FX_Input,Z$5,M$3*$Z$5+$AA$5)))-(8742/(M766+459.6))+15.64),EXP(INDEX(Antoines,MATCH(M756,Antoine_Name,0),2)-INDEX(Antoines,MATCH(M756,Antoine_Name,0),3)/(M766+459.6))))),0)</f>
        <v>1</v>
      </c>
      <c r="N777" cm="1">
        <f t="array" ref="N777">IFERROR(IF(N757="Chemical",(10^(INDEX(Antoines,MATCH(N756,Antoine_Name,0),2)-INDEX(Antoines,MATCH(N756,Antoine_Name,0),3)/(INDEX(Antoines,MATCH(N756,Antoine_Name,0),4)+(N766-32)*5/9)))*14.7/760,IF(N757="Crude Oil",EXP((2799/(N766+459.6)-2.227)*LOG10(INDEX(FX_Input,AA$5,N$3*$Z$5+$AA$5))-(7261/(N766+459.6))+12.82),IF(N757="Refined Petroleum Stock",EXP((0.7553-(413/(N766+459.6)))*(INDEX(FX_Input,AA$5,N$3*$Z$5+$AA$5-1)^0.5)*LOG10(INDEX(FX_Input,AA$5,N$3*$Z$5+$AA$5))-(1.854-(1042/(N766+459.6)))*(INDEX(FX_Input,AA$5,N$3*$Z$5+$AA$5-1)^0.5)+((2416/(N766+459.6)-2.013)*LOG10(INDEX(FX_Input,AA$5,N$3*$Z$5+$AA$5)))-(8742/(N766+459.6))+15.64),EXP(INDEX(Antoines,MATCH(N756,Antoine_Name,0),2)-INDEX(Antoines,MATCH(N756,Antoine_Name,0),3)/(N766+459.6))))),0)</f>
        <v>1</v>
      </c>
      <c r="O777" cm="1">
        <f t="array" ref="O777">IFERROR(IF(O757="Chemical",(10^(INDEX(Antoines,MATCH(O756,Antoine_Name,0),2)-INDEX(Antoines,MATCH(O756,Antoine_Name,0),3)/(INDEX(Antoines,MATCH(O756,Antoine_Name,0),4)+(O766-32)*5/9)))*14.7/760,IF(O757="Crude Oil",EXP((2799/(O766+459.6)-2.227)*LOG10(INDEX(FX_Input,AB$5,O$3*$Z$5+$AA$5))-(7261/(O766+459.6))+12.82),IF(O757="Refined Petroleum Stock",EXP((0.7553-(413/(O766+459.6)))*(INDEX(FX_Input,AB$5,O$3*$Z$5+$AA$5-1)^0.5)*LOG10(INDEX(FX_Input,AB$5,O$3*$Z$5+$AA$5))-(1.854-(1042/(O766+459.6)))*(INDEX(FX_Input,AB$5,O$3*$Z$5+$AA$5-1)^0.5)+((2416/(O766+459.6)-2.013)*LOG10(INDEX(FX_Input,AB$5,O$3*$Z$5+$AA$5)))-(8742/(O766+459.6))+15.64),EXP(INDEX(Antoines,MATCH(O756,Antoine_Name,0),2)-INDEX(Antoines,MATCH(O756,Antoine_Name,0),3)/(O766+459.6))))),0)</f>
        <v>1</v>
      </c>
    </row>
    <row r="778" spans="2:15" ht="17.149999999999999" x14ac:dyDescent="0.55000000000000004">
      <c r="B778" t="str">
        <f t="shared" si="2708"/>
        <v>Portland</v>
      </c>
      <c r="C778" t="s">
        <v>1389</v>
      </c>
      <c r="D778">
        <f>D777*D760</f>
        <v>1</v>
      </c>
      <c r="E778">
        <f t="shared" ref="E778" si="2775">E777*E760</f>
        <v>1</v>
      </c>
      <c r="F778">
        <f t="shared" ref="F778" si="2776">F777*F760</f>
        <v>1</v>
      </c>
      <c r="G778">
        <f t="shared" ref="G778" si="2777">G777*G760</f>
        <v>1</v>
      </c>
      <c r="H778">
        <f t="shared" ref="H778" si="2778">H777*H760</f>
        <v>1</v>
      </c>
      <c r="I778">
        <f t="shared" ref="I778" si="2779">I777*I760</f>
        <v>1</v>
      </c>
      <c r="J778">
        <f t="shared" ref="J778" si="2780">J777*J760</f>
        <v>1</v>
      </c>
      <c r="K778">
        <f t="shared" ref="K778" si="2781">K777*K760</f>
        <v>1</v>
      </c>
      <c r="L778">
        <f t="shared" ref="L778" si="2782">L777*L760</f>
        <v>1</v>
      </c>
      <c r="M778">
        <f t="shared" ref="M778" si="2783">M777*M760</f>
        <v>1</v>
      </c>
      <c r="N778">
        <f t="shared" ref="N778" si="2784">N777*N760</f>
        <v>1</v>
      </c>
      <c r="O778">
        <f t="shared" ref="O778" si="2785">O777*O760</f>
        <v>1</v>
      </c>
    </row>
    <row r="779" spans="2:15" ht="17.149999999999999" x14ac:dyDescent="0.55000000000000004">
      <c r="B779" t="str">
        <f t="shared" si="2708"/>
        <v>Portland</v>
      </c>
      <c r="C779" t="s">
        <v>1390</v>
      </c>
      <c r="D779" cm="1">
        <f t="array" ref="D779">IFERROR(IF(D759="Chemical",(10^(INDEX(Antoines,MATCH(D758,Antoine_Name,0),2)-INDEX(Antoines,MATCH(D758,Antoine_Name,0),3)/(INDEX(Antoines,MATCH(D758,Antoine_Name,0),4)+(D766-32)*5/9)))*14.7/760,IF(D759="Crude Oil",EXP((2799/(D766+459.6)-2.227)*LOG10(INDEX(FX_Input,Q$5,D$3*$Z$5+$AA$5))-(7261/(D766+459.6))+12.82),IF(D759="Refined Petroleum Stock",EXP((0.7553-(413/(D766+459.6)))*(INDEX(FX_Input,Q$5,D$3*$Z$5+$AA$5-1)^0.5)*LOG10(INDEX(FX_Input,Q$5,D$3*$Z$5+$AA$5))-(1.854-(1042/(D766+459.6)))*(INDEX(FX_Input,Q$5,D$3*$Z$5+$AA$5-1)^0.5)+((2416/(D766+459.6)-2.013)*LOG10(INDEX(FX_Input,Q$5,D$3*$Z$5+$AA$5)))-(8742/(D766+459.6))+15.64),EXP(INDEX(Antoines,MATCH(D758,Antoine_Name,0),2)-INDEX(Antoines,MATCH(D758,Antoine_Name,0),3)/(D766+459.6))))),0)</f>
        <v>0</v>
      </c>
      <c r="E779" cm="1">
        <f t="array" ref="E779">IFERROR(IF(E759="Chemical",(10^(INDEX(Antoines,MATCH(E758,Antoine_Name,0),2)-INDEX(Antoines,MATCH(E758,Antoine_Name,0),3)/(INDEX(Antoines,MATCH(E758,Antoine_Name,0),4)+(E766-32)*5/9)))*14.7/760,IF(E759="Crude Oil",EXP((2799/(E766+459.6)-2.227)*LOG10(INDEX(FX_Input,R$5,E$3*$Z$5+$AA$5))-(7261/(E766+459.6))+12.82),IF(E759="Refined Petroleum Stock",EXP((0.7553-(413/(E766+459.6)))*(INDEX(FX_Input,R$5,E$3*$Z$5+$AA$5-1)^0.5)*LOG10(INDEX(FX_Input,R$5,E$3*$Z$5+$AA$5))-(1.854-(1042/(E766+459.6)))*(INDEX(FX_Input,R$5,E$3*$Z$5+$AA$5-1)^0.5)+((2416/(E766+459.6)-2.013)*LOG10(INDEX(FX_Input,R$5,E$3*$Z$5+$AA$5)))-(8742/(E766+459.6))+15.64),EXP(INDEX(Antoines,MATCH(E758,Antoine_Name,0),2)-INDEX(Antoines,MATCH(E758,Antoine_Name,0),3)/(E766+459.6))))),0)</f>
        <v>0</v>
      </c>
      <c r="F779" cm="1">
        <f t="array" ref="F779">IFERROR(IF(F759="Chemical",(10^(INDEX(Antoines,MATCH(F758,Antoine_Name,0),2)-INDEX(Antoines,MATCH(F758,Antoine_Name,0),3)/(INDEX(Antoines,MATCH(F758,Antoine_Name,0),4)+(F766-32)*5/9)))*14.7/760,IF(F759="Crude Oil",EXP((2799/(F766+459.6)-2.227)*LOG10(INDEX(FX_Input,S$5,F$3*$Z$5+$AA$5))-(7261/(F766+459.6))+12.82),IF(F759="Refined Petroleum Stock",EXP((0.7553-(413/(F766+459.6)))*(INDEX(FX_Input,S$5,F$3*$Z$5+$AA$5-1)^0.5)*LOG10(INDEX(FX_Input,S$5,F$3*$Z$5+$AA$5))-(1.854-(1042/(F766+459.6)))*(INDEX(FX_Input,S$5,F$3*$Z$5+$AA$5-1)^0.5)+((2416/(F766+459.6)-2.013)*LOG10(INDEX(FX_Input,S$5,F$3*$Z$5+$AA$5)))-(8742/(F766+459.6))+15.64),EXP(INDEX(Antoines,MATCH(F758,Antoine_Name,0),2)-INDEX(Antoines,MATCH(F758,Antoine_Name,0),3)/(F766+459.6))))),0)</f>
        <v>0</v>
      </c>
      <c r="G779" cm="1">
        <f t="array" ref="G779">IFERROR(IF(G759="Chemical",(10^(INDEX(Antoines,MATCH(G758,Antoine_Name,0),2)-INDEX(Antoines,MATCH(G758,Antoine_Name,0),3)/(INDEX(Antoines,MATCH(G758,Antoine_Name,0),4)+(G766-32)*5/9)))*14.7/760,IF(G759="Crude Oil",EXP((2799/(G766+459.6)-2.227)*LOG10(INDEX(FX_Input,T$5,G$3*$Z$5+$AA$5))-(7261/(G766+459.6))+12.82),IF(G759="Refined Petroleum Stock",EXP((0.7553-(413/(G766+459.6)))*(INDEX(FX_Input,T$5,G$3*$Z$5+$AA$5-1)^0.5)*LOG10(INDEX(FX_Input,T$5,G$3*$Z$5+$AA$5))-(1.854-(1042/(G766+459.6)))*(INDEX(FX_Input,T$5,G$3*$Z$5+$AA$5-1)^0.5)+((2416/(G766+459.6)-2.013)*LOG10(INDEX(FX_Input,T$5,G$3*$Z$5+$AA$5)))-(8742/(G766+459.6))+15.64),EXP(INDEX(Antoines,MATCH(G758,Antoine_Name,0),2)-INDEX(Antoines,MATCH(G758,Antoine_Name,0),3)/(G766+459.6))))),0)</f>
        <v>0</v>
      </c>
      <c r="H779" cm="1">
        <f t="array" ref="H779">IFERROR(IF(H759="Chemical",(10^(INDEX(Antoines,MATCH(H758,Antoine_Name,0),2)-INDEX(Antoines,MATCH(H758,Antoine_Name,0),3)/(INDEX(Antoines,MATCH(H758,Antoine_Name,0),4)+(H766-32)*5/9)))*14.7/760,IF(H759="Crude Oil",EXP((2799/(H766+459.6)-2.227)*LOG10(INDEX(FX_Input,U$5,H$3*$Z$5+$AA$5))-(7261/(H766+459.6))+12.82),IF(H759="Refined Petroleum Stock",EXP((0.7553-(413/(H766+459.6)))*(INDEX(FX_Input,U$5,H$3*$Z$5+$AA$5-1)^0.5)*LOG10(INDEX(FX_Input,U$5,H$3*$Z$5+$AA$5))-(1.854-(1042/(H766+459.6)))*(INDEX(FX_Input,U$5,H$3*$Z$5+$AA$5-1)^0.5)+((2416/(H766+459.6)-2.013)*LOG10(INDEX(FX_Input,U$5,H$3*$Z$5+$AA$5)))-(8742/(H766+459.6))+15.64),EXP(INDEX(Antoines,MATCH(H758,Antoine_Name,0),2)-INDEX(Antoines,MATCH(H758,Antoine_Name,0),3)/(H766+459.6))))),0)</f>
        <v>0</v>
      </c>
      <c r="I779" cm="1">
        <f t="array" ref="I779">IFERROR(IF(I759="Chemical",(10^(INDEX(Antoines,MATCH(I758,Antoine_Name,0),2)-INDEX(Antoines,MATCH(I758,Antoine_Name,0),3)/(INDEX(Antoines,MATCH(I758,Antoine_Name,0),4)+(I766-32)*5/9)))*14.7/760,IF(I759="Crude Oil",EXP((2799/(I766+459.6)-2.227)*LOG10(INDEX(FX_Input,V$5,I$3*$Z$5+$AA$5))-(7261/(I766+459.6))+12.82),IF(I759="Refined Petroleum Stock",EXP((0.7553-(413/(I766+459.6)))*(INDEX(FX_Input,V$5,I$3*$Z$5+$AA$5-1)^0.5)*LOG10(INDEX(FX_Input,V$5,I$3*$Z$5+$AA$5))-(1.854-(1042/(I766+459.6)))*(INDEX(FX_Input,V$5,I$3*$Z$5+$AA$5-1)^0.5)+((2416/(I766+459.6)-2.013)*LOG10(INDEX(FX_Input,V$5,I$3*$Z$5+$AA$5)))-(8742/(I766+459.6))+15.64),EXP(INDEX(Antoines,MATCH(I758,Antoine_Name,0),2)-INDEX(Antoines,MATCH(I758,Antoine_Name,0),3)/(I766+459.6))))),0)</f>
        <v>0</v>
      </c>
      <c r="J779" cm="1">
        <f t="array" ref="J779">IFERROR(IF(J759="Chemical",(10^(INDEX(Antoines,MATCH(J758,Antoine_Name,0),2)-INDEX(Antoines,MATCH(J758,Antoine_Name,0),3)/(INDEX(Antoines,MATCH(J758,Antoine_Name,0),4)+(J766-32)*5/9)))*14.7/760,IF(J759="Crude Oil",EXP((2799/(J766+459.6)-2.227)*LOG10(INDEX(FX_Input,W$5,J$3*$Z$5+$AA$5))-(7261/(J766+459.6))+12.82),IF(J759="Refined Petroleum Stock",EXP((0.7553-(413/(J766+459.6)))*(INDEX(FX_Input,W$5,J$3*$Z$5+$AA$5-1)^0.5)*LOG10(INDEX(FX_Input,W$5,J$3*$Z$5+$AA$5))-(1.854-(1042/(J766+459.6)))*(INDEX(FX_Input,W$5,J$3*$Z$5+$AA$5-1)^0.5)+((2416/(J766+459.6)-2.013)*LOG10(INDEX(FX_Input,W$5,J$3*$Z$5+$AA$5)))-(8742/(J766+459.6))+15.64),EXP(INDEX(Antoines,MATCH(J758,Antoine_Name,0),2)-INDEX(Antoines,MATCH(J758,Antoine_Name,0),3)/(J766+459.6))))),0)</f>
        <v>0</v>
      </c>
      <c r="K779" cm="1">
        <f t="array" ref="K779">IFERROR(IF(K759="Chemical",(10^(INDEX(Antoines,MATCH(K758,Antoine_Name,0),2)-INDEX(Antoines,MATCH(K758,Antoine_Name,0),3)/(INDEX(Antoines,MATCH(K758,Antoine_Name,0),4)+(K766-32)*5/9)))*14.7/760,IF(K759="Crude Oil",EXP((2799/(K766+459.6)-2.227)*LOG10(INDEX(FX_Input,X$5,K$3*$Z$5+$AA$5))-(7261/(K766+459.6))+12.82),IF(K759="Refined Petroleum Stock",EXP((0.7553-(413/(K766+459.6)))*(INDEX(FX_Input,X$5,K$3*$Z$5+$AA$5-1)^0.5)*LOG10(INDEX(FX_Input,X$5,K$3*$Z$5+$AA$5))-(1.854-(1042/(K766+459.6)))*(INDEX(FX_Input,X$5,K$3*$Z$5+$AA$5-1)^0.5)+((2416/(K766+459.6)-2.013)*LOG10(INDEX(FX_Input,X$5,K$3*$Z$5+$AA$5)))-(8742/(K766+459.6))+15.64),EXP(INDEX(Antoines,MATCH(K758,Antoine_Name,0),2)-INDEX(Antoines,MATCH(K758,Antoine_Name,0),3)/(K766+459.6))))),0)</f>
        <v>0</v>
      </c>
      <c r="L779" cm="1">
        <f t="array" ref="L779">IFERROR(IF(L759="Chemical",(10^(INDEX(Antoines,MATCH(L758,Antoine_Name,0),2)-INDEX(Antoines,MATCH(L758,Antoine_Name,0),3)/(INDEX(Antoines,MATCH(L758,Antoine_Name,0),4)+(L766-32)*5/9)))*14.7/760,IF(L759="Crude Oil",EXP((2799/(L766+459.6)-2.227)*LOG10(INDEX(FX_Input,Y$5,L$3*$Z$5+$AA$5))-(7261/(L766+459.6))+12.82),IF(L759="Refined Petroleum Stock",EXP((0.7553-(413/(L766+459.6)))*(INDEX(FX_Input,Y$5,L$3*$Z$5+$AA$5-1)^0.5)*LOG10(INDEX(FX_Input,Y$5,L$3*$Z$5+$AA$5))-(1.854-(1042/(L766+459.6)))*(INDEX(FX_Input,Y$5,L$3*$Z$5+$AA$5-1)^0.5)+((2416/(L766+459.6)-2.013)*LOG10(INDEX(FX_Input,Y$5,L$3*$Z$5+$AA$5)))-(8742/(L766+459.6))+15.64),EXP(INDEX(Antoines,MATCH(L758,Antoine_Name,0),2)-INDEX(Antoines,MATCH(L758,Antoine_Name,0),3)/(L766+459.6))))),0)</f>
        <v>0</v>
      </c>
      <c r="M779" cm="1">
        <f t="array" ref="M779">IFERROR(IF(M759="Chemical",(10^(INDEX(Antoines,MATCH(M758,Antoine_Name,0),2)-INDEX(Antoines,MATCH(M758,Antoine_Name,0),3)/(INDEX(Antoines,MATCH(M758,Antoine_Name,0),4)+(M766-32)*5/9)))*14.7/760,IF(M759="Crude Oil",EXP((2799/(M766+459.6)-2.227)*LOG10(INDEX(FX_Input,Z$5,M$3*$Z$5+$AA$5))-(7261/(M766+459.6))+12.82),IF(M759="Refined Petroleum Stock",EXP((0.7553-(413/(M766+459.6)))*(INDEX(FX_Input,Z$5,M$3*$Z$5+$AA$5-1)^0.5)*LOG10(INDEX(FX_Input,Z$5,M$3*$Z$5+$AA$5))-(1.854-(1042/(M766+459.6)))*(INDEX(FX_Input,Z$5,M$3*$Z$5+$AA$5-1)^0.5)+((2416/(M766+459.6)-2.013)*LOG10(INDEX(FX_Input,Z$5,M$3*$Z$5+$AA$5)))-(8742/(M766+459.6))+15.64),EXP(INDEX(Antoines,MATCH(M758,Antoine_Name,0),2)-INDEX(Antoines,MATCH(M758,Antoine_Name,0),3)/(M766+459.6))))),0)</f>
        <v>0</v>
      </c>
      <c r="N779" cm="1">
        <f t="array" ref="N779">IFERROR(IF(N759="Chemical",(10^(INDEX(Antoines,MATCH(N758,Antoine_Name,0),2)-INDEX(Antoines,MATCH(N758,Antoine_Name,0),3)/(INDEX(Antoines,MATCH(N758,Antoine_Name,0),4)+(N766-32)*5/9)))*14.7/760,IF(N759="Crude Oil",EXP((2799/(N766+459.6)-2.227)*LOG10(INDEX(FX_Input,AA$5,N$3*$Z$5+$AA$5))-(7261/(N766+459.6))+12.82),IF(N759="Refined Petroleum Stock",EXP((0.7553-(413/(N766+459.6)))*(INDEX(FX_Input,AA$5,N$3*$Z$5+$AA$5-1)^0.5)*LOG10(INDEX(FX_Input,AA$5,N$3*$Z$5+$AA$5))-(1.854-(1042/(N766+459.6)))*(INDEX(FX_Input,AA$5,N$3*$Z$5+$AA$5-1)^0.5)+((2416/(N766+459.6)-2.013)*LOG10(INDEX(FX_Input,AA$5,N$3*$Z$5+$AA$5)))-(8742/(N766+459.6))+15.64),EXP(INDEX(Antoines,MATCH(N758,Antoine_Name,0),2)-INDEX(Antoines,MATCH(N758,Antoine_Name,0),3)/(N766+459.6))))),0)</f>
        <v>0</v>
      </c>
      <c r="O779" cm="1">
        <f t="array" ref="O779">IFERROR(IF(O759="Chemical",(10^(INDEX(Antoines,MATCH(O758,Antoine_Name,0),2)-INDEX(Antoines,MATCH(O758,Antoine_Name,0),3)/(INDEX(Antoines,MATCH(O758,Antoine_Name,0),4)+(O766-32)*5/9)))*14.7/760,IF(O759="Crude Oil",EXP((2799/(O766+459.6)-2.227)*LOG10(INDEX(FX_Input,AB$5,O$3*$Z$5+$AA$5))-(7261/(O766+459.6))+12.82),IF(O759="Refined Petroleum Stock",EXP((0.7553-(413/(O766+459.6)))*(INDEX(FX_Input,AB$5,O$3*$Z$5+$AA$5-1)^0.5)*LOG10(INDEX(FX_Input,AB$5,O$3*$Z$5+$AA$5))-(1.854-(1042/(O766+459.6)))*(INDEX(FX_Input,AB$5,O$3*$Z$5+$AA$5-1)^0.5)+((2416/(O766+459.6)-2.013)*LOG10(INDEX(FX_Input,AB$5,O$3*$Z$5+$AA$5)))-(8742/(O766+459.6))+15.64),EXP(INDEX(Antoines,MATCH(O758,Antoine_Name,0),2)-INDEX(Antoines,MATCH(O758,Antoine_Name,0),3)/(O766+459.6))))),0)</f>
        <v>0</v>
      </c>
    </row>
    <row r="780" spans="2:15" ht="17.149999999999999" x14ac:dyDescent="0.55000000000000004">
      <c r="B780" t="str">
        <f t="shared" si="2708"/>
        <v>Portland</v>
      </c>
      <c r="C780" t="s">
        <v>1391</v>
      </c>
      <c r="D780">
        <f>D779*D762</f>
        <v>0</v>
      </c>
      <c r="E780">
        <f t="shared" ref="E780" si="2786">E779*E762</f>
        <v>0</v>
      </c>
      <c r="F780">
        <f t="shared" ref="F780" si="2787">F779*F762</f>
        <v>0</v>
      </c>
      <c r="G780">
        <f t="shared" ref="G780" si="2788">G779*G762</f>
        <v>0</v>
      </c>
      <c r="H780">
        <f t="shared" ref="H780" si="2789">H779*H762</f>
        <v>0</v>
      </c>
      <c r="I780">
        <f t="shared" ref="I780" si="2790">I779*I762</f>
        <v>0</v>
      </c>
      <c r="J780">
        <f t="shared" ref="J780" si="2791">J779*J762</f>
        <v>0</v>
      </c>
      <c r="K780">
        <f t="shared" ref="K780" si="2792">K779*K762</f>
        <v>0</v>
      </c>
      <c r="L780">
        <f t="shared" ref="L780" si="2793">L779*L762</f>
        <v>0</v>
      </c>
      <c r="M780">
        <f t="shared" ref="M780" si="2794">M779*M762</f>
        <v>0</v>
      </c>
      <c r="N780">
        <f t="shared" ref="N780" si="2795">N779*N762</f>
        <v>0</v>
      </c>
      <c r="O780">
        <f t="shared" ref="O780" si="2796">O779*O762</f>
        <v>0</v>
      </c>
    </row>
    <row r="781" spans="2:15" ht="17.149999999999999" x14ac:dyDescent="0.55000000000000004">
      <c r="B781" t="str">
        <f t="shared" si="2708"/>
        <v>Portland</v>
      </c>
      <c r="C781" t="s">
        <v>1392</v>
      </c>
      <c r="D781">
        <f>D778+D780</f>
        <v>1</v>
      </c>
      <c r="E781">
        <f t="shared" ref="E781" si="2797">E778+E780</f>
        <v>1</v>
      </c>
      <c r="F781">
        <f t="shared" ref="F781" si="2798">F778+F780</f>
        <v>1</v>
      </c>
      <c r="G781">
        <f t="shared" ref="G781" si="2799">G778+G780</f>
        <v>1</v>
      </c>
      <c r="H781">
        <f t="shared" ref="H781" si="2800">H778+H780</f>
        <v>1</v>
      </c>
      <c r="I781">
        <f t="shared" ref="I781" si="2801">I778+I780</f>
        <v>1</v>
      </c>
      <c r="J781">
        <f t="shared" ref="J781" si="2802">J778+J780</f>
        <v>1</v>
      </c>
      <c r="K781">
        <f t="shared" ref="K781" si="2803">K778+K780</f>
        <v>1</v>
      </c>
      <c r="L781">
        <f t="shared" ref="L781" si="2804">L778+L780</f>
        <v>1</v>
      </c>
      <c r="M781">
        <f t="shared" ref="M781" si="2805">M778+M780</f>
        <v>1</v>
      </c>
      <c r="N781">
        <f t="shared" ref="N781" si="2806">N778+N780</f>
        <v>1</v>
      </c>
      <c r="O781">
        <f t="shared" ref="O781" si="2807">O778+O780</f>
        <v>1</v>
      </c>
    </row>
    <row r="782" spans="2:15" ht="17.149999999999999" x14ac:dyDescent="0.55000000000000004">
      <c r="B782" t="str">
        <f>B776</f>
        <v>Portland</v>
      </c>
      <c r="C782" t="s">
        <v>584</v>
      </c>
      <c r="D782">
        <f>D778/D781</f>
        <v>1</v>
      </c>
      <c r="E782">
        <f t="shared" ref="E782" si="2808">E778/E781</f>
        <v>1</v>
      </c>
      <c r="F782">
        <f t="shared" ref="F782" si="2809">F778/F781</f>
        <v>1</v>
      </c>
      <c r="G782">
        <f t="shared" ref="G782" si="2810">G778/G781</f>
        <v>1</v>
      </c>
      <c r="H782">
        <f t="shared" ref="H782" si="2811">H778/H781</f>
        <v>1</v>
      </c>
      <c r="I782">
        <f t="shared" ref="I782" si="2812">I778/I781</f>
        <v>1</v>
      </c>
      <c r="J782">
        <f t="shared" ref="J782" si="2813">J778/J781</f>
        <v>1</v>
      </c>
      <c r="K782">
        <f t="shared" ref="K782" si="2814">K778/K781</f>
        <v>1</v>
      </c>
      <c r="L782">
        <f t="shared" ref="L782" si="2815">L778/L781</f>
        <v>1</v>
      </c>
      <c r="M782">
        <f t="shared" ref="M782" si="2816">M778/M781</f>
        <v>1</v>
      </c>
      <c r="N782">
        <f t="shared" ref="N782" si="2817">N778/N781</f>
        <v>1</v>
      </c>
      <c r="O782">
        <f t="shared" ref="O782" si="2818">O778/O781</f>
        <v>1</v>
      </c>
    </row>
    <row r="783" spans="2:15" ht="17.149999999999999" x14ac:dyDescent="0.55000000000000004">
      <c r="B783" t="str">
        <f>B777</f>
        <v>Portland</v>
      </c>
      <c r="C783" t="s">
        <v>585</v>
      </c>
      <c r="D783" t="str">
        <f t="shared" ref="D783:O783" si="2819">INDEX(Phys_Prop,MATCH(D756,Chem_List,0),3)</f>
        <v>N/A</v>
      </c>
      <c r="E783" t="str">
        <f t="shared" si="2819"/>
        <v>N/A</v>
      </c>
      <c r="F783" t="str">
        <f t="shared" si="2819"/>
        <v>N/A</v>
      </c>
      <c r="G783" t="str">
        <f t="shared" si="2819"/>
        <v>N/A</v>
      </c>
      <c r="H783" t="str">
        <f t="shared" si="2819"/>
        <v>N/A</v>
      </c>
      <c r="I783" t="str">
        <f t="shared" si="2819"/>
        <v>N/A</v>
      </c>
      <c r="J783" t="str">
        <f t="shared" si="2819"/>
        <v>N/A</v>
      </c>
      <c r="K783" t="str">
        <f t="shared" si="2819"/>
        <v>N/A</v>
      </c>
      <c r="L783" t="str">
        <f t="shared" si="2819"/>
        <v>N/A</v>
      </c>
      <c r="M783" t="str">
        <f t="shared" si="2819"/>
        <v>N/A</v>
      </c>
      <c r="N783" t="str">
        <f t="shared" si="2819"/>
        <v>N/A</v>
      </c>
      <c r="O783" t="str">
        <f t="shared" si="2819"/>
        <v>N/A</v>
      </c>
    </row>
    <row r="784" spans="2:15" ht="17.149999999999999" x14ac:dyDescent="0.55000000000000004">
      <c r="B784" t="str">
        <f>B783</f>
        <v>Portland</v>
      </c>
      <c r="C784" t="s">
        <v>586</v>
      </c>
      <c r="D784">
        <f>D780/D781</f>
        <v>0</v>
      </c>
      <c r="E784">
        <f t="shared" ref="E784:O784" si="2820">E780/E781</f>
        <v>0</v>
      </c>
      <c r="F784">
        <f t="shared" si="2820"/>
        <v>0</v>
      </c>
      <c r="G784">
        <f t="shared" si="2820"/>
        <v>0</v>
      </c>
      <c r="H784">
        <f t="shared" si="2820"/>
        <v>0</v>
      </c>
      <c r="I784">
        <f t="shared" si="2820"/>
        <v>0</v>
      </c>
      <c r="J784">
        <f t="shared" si="2820"/>
        <v>0</v>
      </c>
      <c r="K784">
        <f t="shared" si="2820"/>
        <v>0</v>
      </c>
      <c r="L784">
        <f t="shared" si="2820"/>
        <v>0</v>
      </c>
      <c r="M784">
        <f t="shared" si="2820"/>
        <v>0</v>
      </c>
      <c r="N784">
        <f t="shared" si="2820"/>
        <v>0</v>
      </c>
      <c r="O784">
        <f t="shared" si="2820"/>
        <v>0</v>
      </c>
    </row>
    <row r="785" spans="1:32" ht="17.149999999999999" x14ac:dyDescent="0.55000000000000004">
      <c r="B785" t="str">
        <f t="shared" si="2708"/>
        <v>Portland</v>
      </c>
      <c r="C785" t="s">
        <v>587</v>
      </c>
      <c r="D785">
        <f t="shared" ref="D785:O785" si="2821">IFERROR(INDEX(Phys_Prop,MATCH(D758,Chem_List,0),3),0)</f>
        <v>0</v>
      </c>
      <c r="E785">
        <f t="shared" si="2821"/>
        <v>0</v>
      </c>
      <c r="F785">
        <f t="shared" si="2821"/>
        <v>0</v>
      </c>
      <c r="G785">
        <f t="shared" si="2821"/>
        <v>0</v>
      </c>
      <c r="H785">
        <f t="shared" si="2821"/>
        <v>0</v>
      </c>
      <c r="I785">
        <f t="shared" si="2821"/>
        <v>0</v>
      </c>
      <c r="J785">
        <f t="shared" si="2821"/>
        <v>0</v>
      </c>
      <c r="K785">
        <f t="shared" si="2821"/>
        <v>0</v>
      </c>
      <c r="L785">
        <f t="shared" si="2821"/>
        <v>0</v>
      </c>
      <c r="M785">
        <f t="shared" si="2821"/>
        <v>0</v>
      </c>
      <c r="N785">
        <f t="shared" si="2821"/>
        <v>0</v>
      </c>
      <c r="O785">
        <f t="shared" si="2821"/>
        <v>0</v>
      </c>
    </row>
    <row r="786" spans="1:32" ht="17.149999999999999" x14ac:dyDescent="0.55000000000000004">
      <c r="A786" s="11"/>
      <c r="B786" s="11" t="str">
        <f t="shared" si="2708"/>
        <v>Portland</v>
      </c>
      <c r="C786" s="11" t="s">
        <v>588</v>
      </c>
      <c r="D786" s="11">
        <f>IFERROR(D782*D783+D784*D785,0)</f>
        <v>0</v>
      </c>
      <c r="E786" s="11">
        <f t="shared" ref="E786" si="2822">IFERROR(E782*E783+E784*E785,0)</f>
        <v>0</v>
      </c>
      <c r="F786" s="11">
        <f t="shared" ref="F786" si="2823">IFERROR(F782*F783+F784*F785,0)</f>
        <v>0</v>
      </c>
      <c r="G786" s="11">
        <f t="shared" ref="G786" si="2824">IFERROR(G782*G783+G784*G785,0)</f>
        <v>0</v>
      </c>
      <c r="H786" s="11">
        <f t="shared" ref="H786" si="2825">IFERROR(H782*H783+H784*H785,0)</f>
        <v>0</v>
      </c>
      <c r="I786" s="11">
        <f t="shared" ref="I786" si="2826">IFERROR(I782*I783+I784*I785,0)</f>
        <v>0</v>
      </c>
      <c r="J786" s="11">
        <f t="shared" ref="J786" si="2827">IFERROR(J782*J783+J784*J785,0)</f>
        <v>0</v>
      </c>
      <c r="K786" s="11">
        <f t="shared" ref="K786" si="2828">IFERROR(K782*K783+K784*K785,0)</f>
        <v>0</v>
      </c>
      <c r="L786" s="11">
        <f t="shared" ref="L786" si="2829">IFERROR(L782*L783+L784*L785,0)</f>
        <v>0</v>
      </c>
      <c r="M786" s="11">
        <f t="shared" ref="M786" si="2830">IFERROR(M782*M783+M784*M785,0)</f>
        <v>0</v>
      </c>
      <c r="N786" s="11">
        <f t="shared" ref="N786" si="2831">IFERROR(N782*N783+N784*N785,0)</f>
        <v>0</v>
      </c>
      <c r="O786" s="11">
        <f t="shared" ref="O786" si="2832">IFERROR(O782*O783+O784*O785,0)</f>
        <v>0</v>
      </c>
      <c r="P786" s="11"/>
      <c r="Q786" s="11"/>
      <c r="R786" s="11"/>
      <c r="S786" s="11"/>
      <c r="T786" s="11"/>
      <c r="U786" s="11"/>
      <c r="V786" s="11"/>
      <c r="W786" s="11"/>
      <c r="X786" s="11"/>
      <c r="Y786" s="11"/>
      <c r="Z786" s="11"/>
      <c r="AA786" s="11"/>
      <c r="AB786" s="11"/>
      <c r="AC786" s="11"/>
      <c r="AD786" s="11"/>
      <c r="AE786" s="11"/>
      <c r="AF786" s="11"/>
    </row>
    <row r="787" spans="1:32" ht="17.149999999999999" x14ac:dyDescent="0.55000000000000004">
      <c r="A787" t="str" cm="1">
        <f t="array" ref="A787">INDEX(FX_Input,$Q787,R$5)</f>
        <v>FX - 24</v>
      </c>
      <c r="B787" t="str" cm="1">
        <f t="array" ref="B787">INDEX(FX_Input,Q787,S787)</f>
        <v>Portland</v>
      </c>
      <c r="C787" t="s">
        <v>563</v>
      </c>
      <c r="D787">
        <v>14.7</v>
      </c>
      <c r="E787">
        <v>14.7</v>
      </c>
      <c r="F787">
        <v>14.7</v>
      </c>
      <c r="G787">
        <v>14.7</v>
      </c>
      <c r="H787">
        <v>14.7</v>
      </c>
      <c r="I787">
        <v>14.7</v>
      </c>
      <c r="J787">
        <v>14.7</v>
      </c>
      <c r="K787">
        <v>14.7</v>
      </c>
      <c r="L787">
        <v>14.7</v>
      </c>
      <c r="M787">
        <v>14.7</v>
      </c>
      <c r="N787">
        <v>14.7</v>
      </c>
      <c r="O787">
        <v>14.7</v>
      </c>
      <c r="Q787">
        <f>Q753+2</f>
        <v>47</v>
      </c>
      <c r="R787">
        <v>1</v>
      </c>
      <c r="S787">
        <v>3</v>
      </c>
      <c r="T787">
        <v>1</v>
      </c>
      <c r="U787">
        <v>19</v>
      </c>
      <c r="V787">
        <v>20</v>
      </c>
      <c r="W787">
        <v>25</v>
      </c>
      <c r="X787">
        <v>1</v>
      </c>
      <c r="Y787">
        <v>2</v>
      </c>
      <c r="Z787">
        <f>(W787-V787)/(Y787-X787)</f>
        <v>5</v>
      </c>
      <c r="AA787">
        <f>V787-Z787*X787</f>
        <v>15</v>
      </c>
      <c r="AD787">
        <f>AD753+14</f>
        <v>323</v>
      </c>
      <c r="AF787">
        <f>AF753+14</f>
        <v>323</v>
      </c>
    </row>
    <row r="788" spans="1:32" ht="17.149999999999999" x14ac:dyDescent="0.55000000000000004">
      <c r="B788" t="str">
        <f t="shared" ref="B788" si="2833">B787</f>
        <v>Portland</v>
      </c>
      <c r="C788" t="s">
        <v>564</v>
      </c>
      <c r="D788" cm="1">
        <f t="array" ref="D788">IF(ISBLANK(INDEX(FX_Input,$Q787,$AB788)),0.03,INDEX(FX_Input,Q787,AB788))</f>
        <v>0.03</v>
      </c>
      <c r="E788" cm="1">
        <f t="array" ref="E788">IF(ISBLANK(INDEX(FX_Input,$Q787,$AB788)),0.03,INDEX(FX_Input,R787,#REF!))</f>
        <v>0.03</v>
      </c>
      <c r="F788" cm="1">
        <f t="array" ref="F788">IF(ISBLANK(INDEX(FX_Input,$Q787,$AB788)),0.03,INDEX(FX_Input,S787,#REF!))</f>
        <v>0.03</v>
      </c>
      <c r="G788" cm="1">
        <f t="array" ref="G788">IF(ISBLANK(INDEX(FX_Input,$Q787,$AB788)),0.03,INDEX(FX_Input,AB787,#REF!))</f>
        <v>0.03</v>
      </c>
      <c r="H788" cm="1">
        <f t="array" ref="H788">IF(ISBLANK(INDEX(FX_Input,$Q787,$AB788)),0.03,INDEX(FX_Input,#REF!,#REF!))</f>
        <v>0.03</v>
      </c>
      <c r="I788" cm="1">
        <f t="array" ref="I788">IF(ISBLANK(INDEX(FX_Input,$Q787,$AB788)),0.03,INDEX(FX_Input,#REF!,#REF!))</f>
        <v>0.03</v>
      </c>
      <c r="J788" cm="1">
        <f t="array" ref="J788">IF(ISBLANK(INDEX(FX_Input,$Q787,$AB788)),0.03,INDEX(FX_Input,#REF!,#REF!))</f>
        <v>0.03</v>
      </c>
      <c r="K788" cm="1">
        <f t="array" ref="K788">IF(ISBLANK(INDEX(FX_Input,$Q787,$AB788)),0.03,INDEX(FX_Input,#REF!,AC788))</f>
        <v>0.03</v>
      </c>
      <c r="L788" cm="1">
        <f t="array" ref="L788">IF(ISBLANK(INDEX(FX_Input,$Q787,$AB788)),0.03,INDEX(FX_Input,#REF!,AD788))</f>
        <v>0.03</v>
      </c>
      <c r="M788" cm="1">
        <f t="array" ref="M788">IF(ISBLANK(INDEX(FX_Input,$Q787,$AB788)),0.03,INDEX(FX_Input,#REF!,#REF!))</f>
        <v>0.03</v>
      </c>
      <c r="N788" cm="1">
        <f t="array" ref="N788">IF(ISBLANK(INDEX(FX_Input,$Q787,$AB788)),0.03,INDEX(FX_Input,AC787,#REF!))</f>
        <v>0.03</v>
      </c>
      <c r="O788" cm="1">
        <f t="array" ref="O788">IF(ISBLANK(INDEX(FX_Input,$Q787,$AB788)),0.03,INDEX(FX_Input,AD787,#REF!))</f>
        <v>0.03</v>
      </c>
      <c r="AB788">
        <v>15</v>
      </c>
    </row>
    <row r="789" spans="1:32" ht="17.149999999999999" x14ac:dyDescent="0.55000000000000004">
      <c r="B789" t="str">
        <f>B788</f>
        <v>Portland</v>
      </c>
      <c r="C789" t="s">
        <v>565</v>
      </c>
      <c r="D789" cm="1">
        <f t="array" ref="D789">IF(ISBLANK(INDEX(FX_Input,$Q787,$AB789)),-0.03,INDEX(FX_Input,Q787,AB789))</f>
        <v>-0.03</v>
      </c>
      <c r="E789" cm="1">
        <f t="array" ref="E789">IF(ISBLANK(INDEX(FX_Input,$Q787,$AB789)),-0.03,INDEX(FX_Input,R787,#REF!))</f>
        <v>-0.03</v>
      </c>
      <c r="F789" cm="1">
        <f t="array" ref="F789">IF(ISBLANK(INDEX(FX_Input,$Q787,$AB789)),-0.03,INDEX(FX_Input,S787,#REF!))</f>
        <v>-0.03</v>
      </c>
      <c r="G789" cm="1">
        <f t="array" ref="G789">IF(ISBLANK(INDEX(FX_Input,$Q787,$AB789)),-0.03,INDEX(FX_Input,AB787,#REF!))</f>
        <v>-0.03</v>
      </c>
      <c r="H789" cm="1">
        <f t="array" ref="H789">IF(ISBLANK(INDEX(FX_Input,$Q787,$AB789)),-0.03,INDEX(FX_Input,#REF!,#REF!))</f>
        <v>-0.03</v>
      </c>
      <c r="I789" cm="1">
        <f t="array" ref="I789">IF(ISBLANK(INDEX(FX_Input,$Q787,$AB789)),-0.03,INDEX(FX_Input,#REF!,#REF!))</f>
        <v>-0.03</v>
      </c>
      <c r="J789" cm="1">
        <f t="array" ref="J789">IF(ISBLANK(INDEX(FX_Input,$Q787,$AB789)),-0.03,INDEX(FX_Input,#REF!,#REF!))</f>
        <v>-0.03</v>
      </c>
      <c r="K789" cm="1">
        <f t="array" ref="K789">IF(ISBLANK(INDEX(FX_Input,$Q787,$AB789)),-0.03,INDEX(FX_Input,#REF!,AC789))</f>
        <v>-0.03</v>
      </c>
      <c r="L789" cm="1">
        <f t="array" ref="L789">IF(ISBLANK(INDEX(FX_Input,$Q787,$AB789)),-0.03,INDEX(FX_Input,#REF!,AD789))</f>
        <v>-0.03</v>
      </c>
      <c r="M789" cm="1">
        <f t="array" ref="M789">IF(ISBLANK(INDEX(FX_Input,$Q787,$AB789)),-0.03,INDEX(FX_Input,#REF!,#REF!))</f>
        <v>-0.03</v>
      </c>
      <c r="N789" cm="1">
        <f t="array" ref="N789">IF(ISBLANK(INDEX(FX_Input,$Q787,$AB789)),-0.03,INDEX(FX_Input,AC787,#REF!))</f>
        <v>-0.03</v>
      </c>
      <c r="O789" cm="1">
        <f t="array" ref="O789">IF(ISBLANK(INDEX(FX_Input,$Q787,$AB789)),-0.03,INDEX(FX_Input,AD787,#REF!))</f>
        <v>-0.03</v>
      </c>
      <c r="AB789">
        <v>16</v>
      </c>
    </row>
    <row r="790" spans="1:32" x14ac:dyDescent="0.4">
      <c r="B790" t="str">
        <f t="shared" ref="B790:B791" si="2834">B789</f>
        <v>Portland</v>
      </c>
      <c r="C790" s="66" t="s">
        <v>567</v>
      </c>
      <c r="D790" t="str" cm="1">
        <f t="array" ref="D790">INDEX(FX_Multi,$AD790,D$3)</f>
        <v>Out of Service</v>
      </c>
      <c r="E790" t="str" cm="1">
        <f t="array" ref="E790">INDEX(FX_Multi,$AD790,E$3)</f>
        <v>Out of Service</v>
      </c>
      <c r="F790" t="str" cm="1">
        <f t="array" ref="F790">INDEX(FX_Multi,$AD790,F$3)</f>
        <v>Out of Service</v>
      </c>
      <c r="G790" t="str" cm="1">
        <f t="array" ref="G790">INDEX(FX_Multi,$AD790,G$3)</f>
        <v>Out of Service</v>
      </c>
      <c r="H790" t="str" cm="1">
        <f t="array" ref="H790">INDEX(FX_Multi,$AD790,H$3)</f>
        <v>Out of Service</v>
      </c>
      <c r="I790" t="str" cm="1">
        <f t="array" ref="I790">INDEX(FX_Multi,$AD790,I$3)</f>
        <v>Out of Service</v>
      </c>
      <c r="J790" t="str" cm="1">
        <f t="array" ref="J790">INDEX(FX_Multi,$AD790,J$3)</f>
        <v>Out of Service</v>
      </c>
      <c r="K790" t="str" cm="1">
        <f t="array" ref="K790">INDEX(FX_Multi,$AD790,K$3)</f>
        <v>Out of Service</v>
      </c>
      <c r="L790" t="str" cm="1">
        <f t="array" ref="L790">INDEX(FX_Multi,$AD790,L$3)</f>
        <v>Out of Service</v>
      </c>
      <c r="M790" t="str" cm="1">
        <f t="array" ref="M790">INDEX(FX_Multi,$AD790,M$3)</f>
        <v>Out of Service</v>
      </c>
      <c r="N790" t="str" cm="1">
        <f t="array" ref="N790">INDEX(FX_Multi,$AD790,N$3)</f>
        <v>Out of Service</v>
      </c>
      <c r="O790" t="str" cm="1">
        <f t="array" ref="O790">INDEX(FX_Multi,$AD790,O$3)</f>
        <v>Out of Service</v>
      </c>
      <c r="AC790">
        <v>1</v>
      </c>
      <c r="AD790">
        <f>AD787</f>
        <v>323</v>
      </c>
      <c r="AE790">
        <v>1</v>
      </c>
      <c r="AF790">
        <f>AF787</f>
        <v>323</v>
      </c>
    </row>
    <row r="791" spans="1:32" x14ac:dyDescent="0.4">
      <c r="B791" t="str">
        <f t="shared" si="2834"/>
        <v>Portland</v>
      </c>
      <c r="C791" s="66" t="s">
        <v>566</v>
      </c>
      <c r="D791" t="str" cm="1">
        <f t="array" ref="D791">INDEX(FX_Multi,$AD791,D$3)</f>
        <v>N/A</v>
      </c>
      <c r="E791" t="str" cm="1">
        <f t="array" ref="E791">INDEX(FX_Multi,$AD791,E$3)</f>
        <v>N/A</v>
      </c>
      <c r="F791" t="str" cm="1">
        <f t="array" ref="F791">INDEX(FX_Multi,$AD791,F$3)</f>
        <v>N/A</v>
      </c>
      <c r="G791" t="str" cm="1">
        <f t="array" ref="G791">INDEX(FX_Multi,$AD791,G$3)</f>
        <v>N/A</v>
      </c>
      <c r="H791" t="str" cm="1">
        <f t="array" ref="H791">INDEX(FX_Multi,$AD791,H$3)</f>
        <v>N/A</v>
      </c>
      <c r="I791" t="str" cm="1">
        <f t="array" ref="I791">INDEX(FX_Multi,$AD791,I$3)</f>
        <v>N/A</v>
      </c>
      <c r="J791" t="str" cm="1">
        <f t="array" ref="J791">INDEX(FX_Multi,$AD791,J$3)</f>
        <v>N/A</v>
      </c>
      <c r="K791" t="str" cm="1">
        <f t="array" ref="K791">INDEX(FX_Multi,$AD791,K$3)</f>
        <v>N/A</v>
      </c>
      <c r="L791" t="str" cm="1">
        <f t="array" ref="L791">INDEX(FX_Multi,$AD791,L$3)</f>
        <v>N/A</v>
      </c>
      <c r="M791" t="str" cm="1">
        <f t="array" ref="M791">INDEX(FX_Multi,$AD791,M$3)</f>
        <v>N/A</v>
      </c>
      <c r="N791" t="str" cm="1">
        <f t="array" ref="N791">INDEX(FX_Multi,$AD791,N$3)</f>
        <v>N/A</v>
      </c>
      <c r="O791" t="str" cm="1">
        <f t="array" ref="O791">INDEX(FX_Multi,$AD791,O$3)</f>
        <v>N/A</v>
      </c>
      <c r="AC791">
        <v>1</v>
      </c>
      <c r="AD791">
        <f>AD790+2</f>
        <v>325</v>
      </c>
      <c r="AE791">
        <v>1</v>
      </c>
      <c r="AF791">
        <f>AF790+3</f>
        <v>326</v>
      </c>
    </row>
    <row r="792" spans="1:32" x14ac:dyDescent="0.4">
      <c r="B792" t="str">
        <f>B788</f>
        <v>Portland</v>
      </c>
      <c r="C792" s="66" t="s">
        <v>568</v>
      </c>
      <c r="D792" cm="1">
        <f t="array" ref="D792">INDEX(FX_Multi,$AD792,D$3)</f>
        <v>0</v>
      </c>
      <c r="E792" cm="1">
        <f t="array" ref="E792">INDEX(FX_Multi,$AD792,E$3)</f>
        <v>0</v>
      </c>
      <c r="F792" cm="1">
        <f t="array" ref="F792">INDEX(FX_Multi,$AD792,F$3)</f>
        <v>0</v>
      </c>
      <c r="G792" cm="1">
        <f t="array" ref="G792">INDEX(FX_Multi,$AD792,G$3)</f>
        <v>0</v>
      </c>
      <c r="H792" cm="1">
        <f t="array" ref="H792">INDEX(FX_Multi,$AD792,H$3)</f>
        <v>0</v>
      </c>
      <c r="I792" cm="1">
        <f t="array" ref="I792">INDEX(FX_Multi,$AD792,I$3)</f>
        <v>0</v>
      </c>
      <c r="J792" cm="1">
        <f t="array" ref="J792">INDEX(FX_Multi,$AD792,J$3)</f>
        <v>0</v>
      </c>
      <c r="K792" cm="1">
        <f t="array" ref="K792">INDEX(FX_Multi,$AD792,K$3)</f>
        <v>0</v>
      </c>
      <c r="L792" cm="1">
        <f t="array" ref="L792">INDEX(FX_Multi,$AD792,L$3)</f>
        <v>0</v>
      </c>
      <c r="M792" cm="1">
        <f t="array" ref="M792">INDEX(FX_Multi,$AD792,M$3)</f>
        <v>0</v>
      </c>
      <c r="N792" cm="1">
        <f t="array" ref="N792">INDEX(FX_Multi,$AD792,N$3)</f>
        <v>0</v>
      </c>
      <c r="O792" cm="1">
        <f t="array" ref="O792">INDEX(FX_Multi,$AD792,O$3)</f>
        <v>0</v>
      </c>
      <c r="AC792">
        <v>1</v>
      </c>
      <c r="AD792">
        <f>AD791-1</f>
        <v>324</v>
      </c>
      <c r="AE792">
        <v>1</v>
      </c>
      <c r="AF792">
        <f>AF790+1</f>
        <v>324</v>
      </c>
    </row>
    <row r="793" spans="1:32" x14ac:dyDescent="0.4">
      <c r="B793" t="str">
        <f t="shared" ref="B793:B797" si="2835">B792</f>
        <v>Portland</v>
      </c>
      <c r="C793" s="66" t="s">
        <v>569</v>
      </c>
      <c r="D793" cm="1">
        <f t="array" ref="D793">INDEX(FX_Multi,$AD793,D$3)</f>
        <v>0</v>
      </c>
      <c r="E793" cm="1">
        <f t="array" ref="E793">INDEX(FX_Multi,$AD793,E$3)</f>
        <v>0</v>
      </c>
      <c r="F793" cm="1">
        <f t="array" ref="F793">INDEX(FX_Multi,$AD793,F$3)</f>
        <v>0</v>
      </c>
      <c r="G793" cm="1">
        <f t="array" ref="G793">INDEX(FX_Multi,$AD793,G$3)</f>
        <v>0</v>
      </c>
      <c r="H793" cm="1">
        <f t="array" ref="H793">INDEX(FX_Multi,$AD793,H$3)</f>
        <v>0</v>
      </c>
      <c r="I793" cm="1">
        <f t="array" ref="I793">INDEX(FX_Multi,$AD793,I$3)</f>
        <v>0</v>
      </c>
      <c r="J793" cm="1">
        <f t="array" ref="J793">INDEX(FX_Multi,$AD793,J$3)</f>
        <v>0</v>
      </c>
      <c r="K793" cm="1">
        <f t="array" ref="K793">INDEX(FX_Multi,$AD793,K$3)</f>
        <v>0</v>
      </c>
      <c r="L793" cm="1">
        <f t="array" ref="L793">INDEX(FX_Multi,$AD793,L$3)</f>
        <v>0</v>
      </c>
      <c r="M793" cm="1">
        <f t="array" ref="M793">INDEX(FX_Multi,$AD793,M$3)</f>
        <v>0</v>
      </c>
      <c r="N793" cm="1">
        <f t="array" ref="N793">INDEX(FX_Multi,$AD793,N$3)</f>
        <v>0</v>
      </c>
      <c r="O793" cm="1">
        <f t="array" ref="O793">INDEX(FX_Multi,$AD793,O$3)</f>
        <v>0</v>
      </c>
      <c r="AC793">
        <v>1</v>
      </c>
      <c r="AD793">
        <f>AD792+2</f>
        <v>326</v>
      </c>
      <c r="AE793">
        <v>1</v>
      </c>
      <c r="AF793">
        <f>AF791</f>
        <v>326</v>
      </c>
    </row>
    <row r="794" spans="1:32" ht="17.149999999999999" x14ac:dyDescent="0.55000000000000004">
      <c r="B794" t="str">
        <f t="shared" si="2835"/>
        <v>Portland</v>
      </c>
      <c r="C794" t="s">
        <v>570</v>
      </c>
      <c r="D794" cm="1">
        <f t="array" ref="D794">INDEX(FX_Multi,$AD794,D$3)</f>
        <v>1</v>
      </c>
      <c r="E794" cm="1">
        <f t="array" ref="E794">INDEX(FX_Multi,$AD794,E$3)</f>
        <v>1</v>
      </c>
      <c r="F794" cm="1">
        <f t="array" ref="F794">INDEX(FX_Multi,$AD794,F$3)</f>
        <v>1</v>
      </c>
      <c r="G794" cm="1">
        <f t="array" ref="G794">INDEX(FX_Multi,$AD794,G$3)</f>
        <v>1</v>
      </c>
      <c r="H794" cm="1">
        <f t="array" ref="H794">INDEX(FX_Multi,$AD794,H$3)</f>
        <v>1</v>
      </c>
      <c r="I794" cm="1">
        <f t="array" ref="I794">INDEX(FX_Multi,$AD794,I$3)</f>
        <v>1</v>
      </c>
      <c r="J794" cm="1">
        <f t="array" ref="J794">INDEX(FX_Multi,$AD794,J$3)</f>
        <v>1</v>
      </c>
      <c r="K794" cm="1">
        <f t="array" ref="K794">INDEX(FX_Multi,$AD794,K$3)</f>
        <v>1</v>
      </c>
      <c r="L794" cm="1">
        <f t="array" ref="L794">INDEX(FX_Multi,$AD794,L$3)</f>
        <v>1</v>
      </c>
      <c r="M794" cm="1">
        <f t="array" ref="M794">INDEX(FX_Multi,$AD794,M$3)</f>
        <v>1</v>
      </c>
      <c r="N794" cm="1">
        <f t="array" ref="N794">INDEX(FX_Multi,$AD794,N$3)</f>
        <v>1</v>
      </c>
      <c r="O794" cm="1">
        <f t="array" ref="O794">INDEX(FX_Multi,$AD794,O$3)</f>
        <v>1</v>
      </c>
      <c r="AC794">
        <v>1</v>
      </c>
      <c r="AD794">
        <f>AD793+6</f>
        <v>332</v>
      </c>
      <c r="AE794">
        <v>1</v>
      </c>
      <c r="AF794">
        <f>AF790+9</f>
        <v>332</v>
      </c>
    </row>
    <row r="795" spans="1:32" ht="17.149999999999999" x14ac:dyDescent="0.55000000000000004">
      <c r="B795" t="str">
        <f t="shared" si="2835"/>
        <v>Portland</v>
      </c>
      <c r="C795" t="s">
        <v>571</v>
      </c>
      <c r="D795" t="str" cm="1">
        <f t="array" ref="D795">INDEX(FX_Multi,$AD795,D$3)</f>
        <v>N/A</v>
      </c>
      <c r="E795" t="str" cm="1">
        <f t="array" ref="E795">INDEX(FX_Multi,$AD795,E$3)</f>
        <v>N/A</v>
      </c>
      <c r="F795" t="str" cm="1">
        <f t="array" ref="F795">INDEX(FX_Multi,$AD795,F$3)</f>
        <v>N/A</v>
      </c>
      <c r="G795" t="str" cm="1">
        <f t="array" ref="G795">INDEX(FX_Multi,$AD795,G$3)</f>
        <v>N/A</v>
      </c>
      <c r="H795" t="str" cm="1">
        <f t="array" ref="H795">INDEX(FX_Multi,$AD795,H$3)</f>
        <v>N/A</v>
      </c>
      <c r="I795" t="str" cm="1">
        <f t="array" ref="I795">INDEX(FX_Multi,$AD795,I$3)</f>
        <v>N/A</v>
      </c>
      <c r="J795" t="str" cm="1">
        <f t="array" ref="J795">INDEX(FX_Multi,$AD795,J$3)</f>
        <v>N/A</v>
      </c>
      <c r="K795" t="str" cm="1">
        <f t="array" ref="K795">INDEX(FX_Multi,$AD795,K$3)</f>
        <v>N/A</v>
      </c>
      <c r="L795" t="str" cm="1">
        <f t="array" ref="L795">INDEX(FX_Multi,$AD795,L$3)</f>
        <v>N/A</v>
      </c>
      <c r="M795" t="str" cm="1">
        <f t="array" ref="M795">INDEX(FX_Multi,$AD795,M$3)</f>
        <v>N/A</v>
      </c>
      <c r="N795" t="str" cm="1">
        <f t="array" ref="N795">INDEX(FX_Multi,$AD795,N$3)</f>
        <v>N/A</v>
      </c>
      <c r="O795" t="str" cm="1">
        <f t="array" ref="O795">INDEX(FX_Multi,$AD795,O$3)</f>
        <v>N/A</v>
      </c>
      <c r="AC795">
        <v>1</v>
      </c>
      <c r="AD795">
        <f>AD794-3</f>
        <v>329</v>
      </c>
      <c r="AE795">
        <v>1</v>
      </c>
      <c r="AF795">
        <f>AF790+6</f>
        <v>329</v>
      </c>
    </row>
    <row r="796" spans="1:32" ht="17.149999999999999" x14ac:dyDescent="0.55000000000000004">
      <c r="B796" t="str">
        <f t="shared" si="2835"/>
        <v>Portland</v>
      </c>
      <c r="C796" t="s">
        <v>572</v>
      </c>
      <c r="D796" cm="1">
        <f t="array" ref="D796">INDEX(FX_Multi,$AD796,D$3)</f>
        <v>0</v>
      </c>
      <c r="E796" cm="1">
        <f t="array" ref="E796">INDEX(FX_Multi,$AD796,E$3)</f>
        <v>0</v>
      </c>
      <c r="F796" cm="1">
        <f t="array" ref="F796">INDEX(FX_Multi,$AD796,F$3)</f>
        <v>0</v>
      </c>
      <c r="G796" cm="1">
        <f t="array" ref="G796">INDEX(FX_Multi,$AD796,G$3)</f>
        <v>0</v>
      </c>
      <c r="H796" cm="1">
        <f t="array" ref="H796">INDEX(FX_Multi,$AD796,H$3)</f>
        <v>0</v>
      </c>
      <c r="I796" cm="1">
        <f t="array" ref="I796">INDEX(FX_Multi,$AD796,I$3)</f>
        <v>0</v>
      </c>
      <c r="J796" cm="1">
        <f t="array" ref="J796">INDEX(FX_Multi,$AD796,J$3)</f>
        <v>0</v>
      </c>
      <c r="K796" cm="1">
        <f t="array" ref="K796">INDEX(FX_Multi,$AD796,K$3)</f>
        <v>0</v>
      </c>
      <c r="L796" cm="1">
        <f t="array" ref="L796">INDEX(FX_Multi,$AD796,L$3)</f>
        <v>0</v>
      </c>
      <c r="M796" cm="1">
        <f t="array" ref="M796">INDEX(FX_Multi,$AD796,M$3)</f>
        <v>0</v>
      </c>
      <c r="N796" cm="1">
        <f t="array" ref="N796">INDEX(FX_Multi,$AD796,N$3)</f>
        <v>0</v>
      </c>
      <c r="O796" cm="1">
        <f t="array" ref="O796">INDEX(FX_Multi,$AD796,O$3)</f>
        <v>0</v>
      </c>
      <c r="AC796">
        <v>1</v>
      </c>
      <c r="AD796">
        <f>AD795+4</f>
        <v>333</v>
      </c>
      <c r="AE796">
        <v>1</v>
      </c>
      <c r="AF796">
        <f>AF790+10</f>
        <v>333</v>
      </c>
    </row>
    <row r="797" spans="1:32" ht="17.149999999999999" x14ac:dyDescent="0.55000000000000004">
      <c r="B797" t="str">
        <f t="shared" si="2835"/>
        <v>Portland</v>
      </c>
      <c r="C797" t="s">
        <v>573</v>
      </c>
      <c r="D797" cm="1">
        <f t="array" ref="D797">INDEX(FX_Multi,$AD797,D$3)</f>
        <v>0</v>
      </c>
      <c r="E797" cm="1">
        <f t="array" ref="E797">INDEX(FX_Multi,$AD797,E$3)</f>
        <v>0</v>
      </c>
      <c r="F797" cm="1">
        <f t="array" ref="F797">INDEX(FX_Multi,$AD797,F$3)</f>
        <v>0</v>
      </c>
      <c r="G797" cm="1">
        <f t="array" ref="G797">INDEX(FX_Multi,$AD797,G$3)</f>
        <v>0</v>
      </c>
      <c r="H797" cm="1">
        <f t="array" ref="H797">INDEX(FX_Multi,$AD797,H$3)</f>
        <v>0</v>
      </c>
      <c r="I797" cm="1">
        <f t="array" ref="I797">INDEX(FX_Multi,$AD797,I$3)</f>
        <v>0</v>
      </c>
      <c r="J797" cm="1">
        <f t="array" ref="J797">INDEX(FX_Multi,$AD797,J$3)</f>
        <v>0</v>
      </c>
      <c r="K797" cm="1">
        <f t="array" ref="K797">INDEX(FX_Multi,$AD797,K$3)</f>
        <v>0</v>
      </c>
      <c r="L797" cm="1">
        <f t="array" ref="L797">INDEX(FX_Multi,$AD797,L$3)</f>
        <v>0</v>
      </c>
      <c r="M797" cm="1">
        <f t="array" ref="M797">INDEX(FX_Multi,$AD797,M$3)</f>
        <v>0</v>
      </c>
      <c r="N797" cm="1">
        <f t="array" ref="N797">INDEX(FX_Multi,$AD797,N$3)</f>
        <v>0</v>
      </c>
      <c r="O797" cm="1">
        <f t="array" ref="O797">INDEX(FX_Multi,$AD797,O$3)</f>
        <v>0</v>
      </c>
      <c r="AC797">
        <v>1</v>
      </c>
      <c r="AD797">
        <f>AD796-3</f>
        <v>330</v>
      </c>
      <c r="AE797">
        <v>1</v>
      </c>
      <c r="AF797">
        <f>AF790+7</f>
        <v>330</v>
      </c>
    </row>
    <row r="798" spans="1:32" ht="17.149999999999999" x14ac:dyDescent="0.55000000000000004">
      <c r="B798" t="str">
        <f>B793</f>
        <v>Portland</v>
      </c>
      <c r="C798" t="s">
        <v>526</v>
      </c>
      <c r="D798" cm="1">
        <f t="array" ref="D798">INDEX(FX_Temps,$AF798,D$3)</f>
        <v>43.899999999999977</v>
      </c>
      <c r="E798" cm="1">
        <f t="array" ref="E798">INDEX(FX_Temps,$AF798,E$3)</f>
        <v>44.700000000000045</v>
      </c>
      <c r="F798" cm="1">
        <f t="array" ref="F798">INDEX(FX_Temps,$AF798,F$3)</f>
        <v>46.100000000000023</v>
      </c>
      <c r="G798" cm="1">
        <f t="array" ref="G798">INDEX(FX_Temps,$AF798,G$3)</f>
        <v>48.599999999999966</v>
      </c>
      <c r="H798" cm="1">
        <f t="array" ref="H798">INDEX(FX_Temps,$AF798,H$3)</f>
        <v>53.149999999999977</v>
      </c>
      <c r="I798" cm="1">
        <f t="array" ref="I798">INDEX(FX_Temps,$AF798,I$3)</f>
        <v>56.950000000000045</v>
      </c>
      <c r="J798" cm="1">
        <f t="array" ref="J798">INDEX(FX_Temps,$AF798,J$3)</f>
        <v>60.449999999999932</v>
      </c>
      <c r="K798" cm="1">
        <f t="array" ref="K798">INDEX(FX_Temps,$AF798,K$3)</f>
        <v>60.899999999999977</v>
      </c>
      <c r="L798" cm="1">
        <f t="array" ref="L798">INDEX(FX_Temps,$AF798,L$3)</f>
        <v>58.600000000000023</v>
      </c>
      <c r="M798" cm="1">
        <f t="array" ref="M798">INDEX(FX_Temps,$AF798,M$3)</f>
        <v>52.649999999999977</v>
      </c>
      <c r="N798" cm="1">
        <f t="array" ref="N798">INDEX(FX_Temps,$AF798,N$3)</f>
        <v>47.100000000000023</v>
      </c>
      <c r="O798" cm="1">
        <f t="array" ref="O798">INDEX(FX_Temps,$AF798,O$3)</f>
        <v>43.600000000000023</v>
      </c>
      <c r="AE798">
        <v>1</v>
      </c>
      <c r="AF798">
        <f>AF790+10</f>
        <v>333</v>
      </c>
    </row>
    <row r="799" spans="1:32" ht="17.149999999999999" x14ac:dyDescent="0.55000000000000004">
      <c r="B799" t="str">
        <f t="shared" ref="B799:B820" si="2836">B798</f>
        <v>Portland</v>
      </c>
      <c r="C799" t="s">
        <v>527</v>
      </c>
      <c r="D799" cm="1">
        <f t="array" ref="D799">INDEX(FX_Temps,$AF799,D$3)</f>
        <v>43.899999999999977</v>
      </c>
      <c r="E799" cm="1">
        <f t="array" ref="E799">INDEX(FX_Temps,$AF799,E$3)</f>
        <v>44.700000000000045</v>
      </c>
      <c r="F799" cm="1">
        <f t="array" ref="F799">INDEX(FX_Temps,$AF799,F$3)</f>
        <v>46.100000000000023</v>
      </c>
      <c r="G799" cm="1">
        <f t="array" ref="G799">INDEX(FX_Temps,$AF799,G$3)</f>
        <v>48.599999999999966</v>
      </c>
      <c r="H799" cm="1">
        <f t="array" ref="H799">INDEX(FX_Temps,$AF799,H$3)</f>
        <v>53.149999999999977</v>
      </c>
      <c r="I799" cm="1">
        <f t="array" ref="I799">INDEX(FX_Temps,$AF799,I$3)</f>
        <v>56.950000000000045</v>
      </c>
      <c r="J799" cm="1">
        <f t="array" ref="J799">INDEX(FX_Temps,$AF799,J$3)</f>
        <v>60.449999999999932</v>
      </c>
      <c r="K799" cm="1">
        <f t="array" ref="K799">INDEX(FX_Temps,$AF799,K$3)</f>
        <v>60.899999999999977</v>
      </c>
      <c r="L799" cm="1">
        <f t="array" ref="L799">INDEX(FX_Temps,$AF799,L$3)</f>
        <v>58.600000000000023</v>
      </c>
      <c r="M799" cm="1">
        <f t="array" ref="M799">INDEX(FX_Temps,$AF799,M$3)</f>
        <v>52.649999999999977</v>
      </c>
      <c r="N799" cm="1">
        <f t="array" ref="N799">INDEX(FX_Temps,$AF799,N$3)</f>
        <v>47.100000000000023</v>
      </c>
      <c r="O799" cm="1">
        <f t="array" ref="O799">INDEX(FX_Temps,$AF799,O$3)</f>
        <v>43.600000000000023</v>
      </c>
      <c r="AE799">
        <f>AE798</f>
        <v>1</v>
      </c>
      <c r="AF799">
        <f>AF790+11</f>
        <v>334</v>
      </c>
    </row>
    <row r="800" spans="1:32" ht="17.149999999999999" x14ac:dyDescent="0.55000000000000004">
      <c r="B800" t="str">
        <f t="shared" si="2836"/>
        <v>Portland</v>
      </c>
      <c r="C800" t="s">
        <v>552</v>
      </c>
      <c r="D800" cm="1">
        <f t="array" ref="D800">INDEX(FX_Temps,$AF800,D$3)</f>
        <v>43.899999999999977</v>
      </c>
      <c r="E800" cm="1">
        <f t="array" ref="E800">INDEX(FX_Temps,$AF800,E$3)</f>
        <v>44.700000000000045</v>
      </c>
      <c r="F800" cm="1">
        <f t="array" ref="F800">INDEX(FX_Temps,$AF800,F$3)</f>
        <v>46.100000000000023</v>
      </c>
      <c r="G800" cm="1">
        <f t="array" ref="G800">INDEX(FX_Temps,$AF800,G$3)</f>
        <v>48.599999999999966</v>
      </c>
      <c r="H800" cm="1">
        <f t="array" ref="H800">INDEX(FX_Temps,$AF800,H$3)</f>
        <v>53.149999999999977</v>
      </c>
      <c r="I800" cm="1">
        <f t="array" ref="I800">INDEX(FX_Temps,$AF800,I$3)</f>
        <v>56.950000000000045</v>
      </c>
      <c r="J800" cm="1">
        <f t="array" ref="J800">INDEX(FX_Temps,$AF800,J$3)</f>
        <v>60.449999999999932</v>
      </c>
      <c r="K800" cm="1">
        <f t="array" ref="K800">INDEX(FX_Temps,$AF800,K$3)</f>
        <v>60.899999999999977</v>
      </c>
      <c r="L800" cm="1">
        <f t="array" ref="L800">INDEX(FX_Temps,$AF800,L$3)</f>
        <v>58.600000000000023</v>
      </c>
      <c r="M800" cm="1">
        <f t="array" ref="M800">INDEX(FX_Temps,$AF800,M$3)</f>
        <v>52.649999999999977</v>
      </c>
      <c r="N800" cm="1">
        <f t="array" ref="N800">INDEX(FX_Temps,$AF800,N$3)</f>
        <v>47.100000000000023</v>
      </c>
      <c r="O800" cm="1">
        <f t="array" ref="O800">INDEX(FX_Temps,$AF800,O$3)</f>
        <v>43.600000000000023</v>
      </c>
      <c r="AE800">
        <f>AE799</f>
        <v>1</v>
      </c>
      <c r="AF800">
        <f>AF790+13</f>
        <v>336</v>
      </c>
    </row>
    <row r="801" spans="2:15" ht="17.149999999999999" x14ac:dyDescent="0.55000000000000004">
      <c r="B801" t="str">
        <f t="shared" si="2836"/>
        <v>Portland</v>
      </c>
      <c r="C801" t="s">
        <v>574</v>
      </c>
      <c r="D801" cm="1">
        <f t="array" ref="D801">IFERROR(IF(D791="Chemical",(10^(INDEX(Antoines,MATCH(D790,Antoine_Name,0),2)-INDEX(Antoines,MATCH(D790,Antoine_Name,0),3)/(INDEX(Antoines,MATCH(D790,Antoine_Name,0),4)+(D798-32)*5/9)))*14.7/760,IF(D791="Crude Oil",EXP((2799/(D798+459.6)-2.227)*LOG10(INDEX(FX_Input,Q$5,D$3*$Z$5+$AA$5))-(7261/(D798+459.6))+12.82),IF(D791="Refined Petroleum Stock",EXP((0.7553-(413/(D798+459.6)))*(INDEX(FX_Input,Q$5,D$3*$Z$5+$AA$5-1)^0.5)*LOG10(INDEX(FX_Input,Q$5,D$3*$Z$5+$AA$5))-(1.854-(1042/(D798+459.6)))*(INDEX(FX_Input,Q$5,D$3*$Z$5+$AA$5-1)^0.5)+((2416/(D798+459.6)-2.013)*LOG10(INDEX(FX_Input,Q$5,D$3*$Z$5+$AA$5)))-(8742/(D798+459.6))+15.64),EXP(INDEX(Antoines,MATCH(D790,Antoine_Name,0),2)-INDEX(Antoines,MATCH(D790,Antoine_Name,0),3)/(D798+459.6))))),0)</f>
        <v>1</v>
      </c>
      <c r="E801" cm="1">
        <f t="array" ref="E801">IFERROR(IF(E791="Chemical",(10^(INDEX(Antoines,MATCH(E790,Antoine_Name,0),2)-INDEX(Antoines,MATCH(E790,Antoine_Name,0),3)/(INDEX(Antoines,MATCH(E790,Antoine_Name,0),4)+(E798-32)*5/9)))*14.7/760,IF(E791="Crude Oil",EXP((2799/(E798+459.6)-2.227)*LOG10(INDEX(FX_Input,R$5,E$3*$Z$5+$AA$5))-(7261/(E798+459.6))+12.82),IF(E791="Refined Petroleum Stock",EXP((0.7553-(413/(E798+459.6)))*(INDEX(FX_Input,R$5,E$3*$Z$5+$AA$5-1)^0.5)*LOG10(INDEX(FX_Input,R$5,E$3*$Z$5+$AA$5))-(1.854-(1042/(E798+459.6)))*(INDEX(FX_Input,R$5,E$3*$Z$5+$AA$5-1)^0.5)+((2416/(E798+459.6)-2.013)*LOG10(INDEX(FX_Input,R$5,E$3*$Z$5+$AA$5)))-(8742/(E798+459.6))+15.64),EXP(INDEX(Antoines,MATCH(E790,Antoine_Name,0),2)-INDEX(Antoines,MATCH(E790,Antoine_Name,0),3)/(E798+459.6))))),0)</f>
        <v>1</v>
      </c>
      <c r="F801" cm="1">
        <f t="array" ref="F801">IFERROR(IF(F791="Chemical",(10^(INDEX(Antoines,MATCH(F790,Antoine_Name,0),2)-INDEX(Antoines,MATCH(F790,Antoine_Name,0),3)/(INDEX(Antoines,MATCH(F790,Antoine_Name,0),4)+(F798-32)*5/9)))*14.7/760,IF(F791="Crude Oil",EXP((2799/(F798+459.6)-2.227)*LOG10(INDEX(FX_Input,S$5,F$3*$Z$5+$AA$5))-(7261/(F798+459.6))+12.82),IF(F791="Refined Petroleum Stock",EXP((0.7553-(413/(F798+459.6)))*(INDEX(FX_Input,S$5,F$3*$Z$5+$AA$5-1)^0.5)*LOG10(INDEX(FX_Input,S$5,F$3*$Z$5+$AA$5))-(1.854-(1042/(F798+459.6)))*(INDEX(FX_Input,S$5,F$3*$Z$5+$AA$5-1)^0.5)+((2416/(F798+459.6)-2.013)*LOG10(INDEX(FX_Input,S$5,F$3*$Z$5+$AA$5)))-(8742/(F798+459.6))+15.64),EXP(INDEX(Antoines,MATCH(F790,Antoine_Name,0),2)-INDEX(Antoines,MATCH(F790,Antoine_Name,0),3)/(F798+459.6))))),0)</f>
        <v>1</v>
      </c>
      <c r="G801" cm="1">
        <f t="array" ref="G801">IFERROR(IF(G791="Chemical",(10^(INDEX(Antoines,MATCH(G790,Antoine_Name,0),2)-INDEX(Antoines,MATCH(G790,Antoine_Name,0),3)/(INDEX(Antoines,MATCH(G790,Antoine_Name,0),4)+(G798-32)*5/9)))*14.7/760,IF(G791="Crude Oil",EXP((2799/(G798+459.6)-2.227)*LOG10(INDEX(FX_Input,T$5,G$3*$Z$5+$AA$5))-(7261/(G798+459.6))+12.82),IF(G791="Refined Petroleum Stock",EXP((0.7553-(413/(G798+459.6)))*(INDEX(FX_Input,T$5,G$3*$Z$5+$AA$5-1)^0.5)*LOG10(INDEX(FX_Input,T$5,G$3*$Z$5+$AA$5))-(1.854-(1042/(G798+459.6)))*(INDEX(FX_Input,T$5,G$3*$Z$5+$AA$5-1)^0.5)+((2416/(G798+459.6)-2.013)*LOG10(INDEX(FX_Input,T$5,G$3*$Z$5+$AA$5)))-(8742/(G798+459.6))+15.64),EXP(INDEX(Antoines,MATCH(G790,Antoine_Name,0),2)-INDEX(Antoines,MATCH(G790,Antoine_Name,0),3)/(G798+459.6))))),0)</f>
        <v>1</v>
      </c>
      <c r="H801" cm="1">
        <f t="array" ref="H801">IFERROR(IF(H791="Chemical",(10^(INDEX(Antoines,MATCH(H790,Antoine_Name,0),2)-INDEX(Antoines,MATCH(H790,Antoine_Name,0),3)/(INDEX(Antoines,MATCH(H790,Antoine_Name,0),4)+(H798-32)*5/9)))*14.7/760,IF(H791="Crude Oil",EXP((2799/(H798+459.6)-2.227)*LOG10(INDEX(FX_Input,U$5,H$3*$Z$5+$AA$5))-(7261/(H798+459.6))+12.82),IF(H791="Refined Petroleum Stock",EXP((0.7553-(413/(H798+459.6)))*(INDEX(FX_Input,U$5,H$3*$Z$5+$AA$5-1)^0.5)*LOG10(INDEX(FX_Input,U$5,H$3*$Z$5+$AA$5))-(1.854-(1042/(H798+459.6)))*(INDEX(FX_Input,U$5,H$3*$Z$5+$AA$5-1)^0.5)+((2416/(H798+459.6)-2.013)*LOG10(INDEX(FX_Input,U$5,H$3*$Z$5+$AA$5)))-(8742/(H798+459.6))+15.64),EXP(INDEX(Antoines,MATCH(H790,Antoine_Name,0),2)-INDEX(Antoines,MATCH(H790,Antoine_Name,0),3)/(H798+459.6))))),0)</f>
        <v>1</v>
      </c>
      <c r="I801" cm="1">
        <f t="array" ref="I801">IFERROR(IF(I791="Chemical",(10^(INDEX(Antoines,MATCH(I790,Antoine_Name,0),2)-INDEX(Antoines,MATCH(I790,Antoine_Name,0),3)/(INDEX(Antoines,MATCH(I790,Antoine_Name,0),4)+(I798-32)*5/9)))*14.7/760,IF(I791="Crude Oil",EXP((2799/(I798+459.6)-2.227)*LOG10(INDEX(FX_Input,V$5,I$3*$Z$5+$AA$5))-(7261/(I798+459.6))+12.82),IF(I791="Refined Petroleum Stock",EXP((0.7553-(413/(I798+459.6)))*(INDEX(FX_Input,V$5,I$3*$Z$5+$AA$5-1)^0.5)*LOG10(INDEX(FX_Input,V$5,I$3*$Z$5+$AA$5))-(1.854-(1042/(I798+459.6)))*(INDEX(FX_Input,V$5,I$3*$Z$5+$AA$5-1)^0.5)+((2416/(I798+459.6)-2.013)*LOG10(INDEX(FX_Input,V$5,I$3*$Z$5+$AA$5)))-(8742/(I798+459.6))+15.64),EXP(INDEX(Antoines,MATCH(I790,Antoine_Name,0),2)-INDEX(Antoines,MATCH(I790,Antoine_Name,0),3)/(I798+459.6))))),0)</f>
        <v>1</v>
      </c>
      <c r="J801" cm="1">
        <f t="array" ref="J801">IFERROR(IF(J791="Chemical",(10^(INDEX(Antoines,MATCH(J790,Antoine_Name,0),2)-INDEX(Antoines,MATCH(J790,Antoine_Name,0),3)/(INDEX(Antoines,MATCH(J790,Antoine_Name,0),4)+(J798-32)*5/9)))*14.7/760,IF(J791="Crude Oil",EXP((2799/(J798+459.6)-2.227)*LOG10(INDEX(FX_Input,W$5,J$3*$Z$5+$AA$5))-(7261/(J798+459.6))+12.82),IF(J791="Refined Petroleum Stock",EXP((0.7553-(413/(J798+459.6)))*(INDEX(FX_Input,W$5,J$3*$Z$5+$AA$5-1)^0.5)*LOG10(INDEX(FX_Input,W$5,J$3*$Z$5+$AA$5))-(1.854-(1042/(J798+459.6)))*(INDEX(FX_Input,W$5,J$3*$Z$5+$AA$5-1)^0.5)+((2416/(J798+459.6)-2.013)*LOG10(INDEX(FX_Input,W$5,J$3*$Z$5+$AA$5)))-(8742/(J798+459.6))+15.64),EXP(INDEX(Antoines,MATCH(J790,Antoine_Name,0),2)-INDEX(Antoines,MATCH(J790,Antoine_Name,0),3)/(J798+459.6))))),0)</f>
        <v>1</v>
      </c>
      <c r="K801" cm="1">
        <f t="array" ref="K801">IFERROR(IF(K791="Chemical",(10^(INDEX(Antoines,MATCH(K790,Antoine_Name,0),2)-INDEX(Antoines,MATCH(K790,Antoine_Name,0),3)/(INDEX(Antoines,MATCH(K790,Antoine_Name,0),4)+(K798-32)*5/9)))*14.7/760,IF(K791="Crude Oil",EXP((2799/(K798+459.6)-2.227)*LOG10(INDEX(FX_Input,X$5,K$3*$Z$5+$AA$5))-(7261/(K798+459.6))+12.82),IF(K791="Refined Petroleum Stock",EXP((0.7553-(413/(K798+459.6)))*(INDEX(FX_Input,X$5,K$3*$Z$5+$AA$5-1)^0.5)*LOG10(INDEX(FX_Input,X$5,K$3*$Z$5+$AA$5))-(1.854-(1042/(K798+459.6)))*(INDEX(FX_Input,X$5,K$3*$Z$5+$AA$5-1)^0.5)+((2416/(K798+459.6)-2.013)*LOG10(INDEX(FX_Input,X$5,K$3*$Z$5+$AA$5)))-(8742/(K798+459.6))+15.64),EXP(INDEX(Antoines,MATCH(K790,Antoine_Name,0),2)-INDEX(Antoines,MATCH(K790,Antoine_Name,0),3)/(K798+459.6))))),0)</f>
        <v>1</v>
      </c>
      <c r="L801" cm="1">
        <f t="array" ref="L801">IFERROR(IF(L791="Chemical",(10^(INDEX(Antoines,MATCH(L790,Antoine_Name,0),2)-INDEX(Antoines,MATCH(L790,Antoine_Name,0),3)/(INDEX(Antoines,MATCH(L790,Antoine_Name,0),4)+(L798-32)*5/9)))*14.7/760,IF(L791="Crude Oil",EXP((2799/(L798+459.6)-2.227)*LOG10(INDEX(FX_Input,Y$5,L$3*$Z$5+$AA$5))-(7261/(L798+459.6))+12.82),IF(L791="Refined Petroleum Stock",EXP((0.7553-(413/(L798+459.6)))*(INDEX(FX_Input,Y$5,L$3*$Z$5+$AA$5-1)^0.5)*LOG10(INDEX(FX_Input,Y$5,L$3*$Z$5+$AA$5))-(1.854-(1042/(L798+459.6)))*(INDEX(FX_Input,Y$5,L$3*$Z$5+$AA$5-1)^0.5)+((2416/(L798+459.6)-2.013)*LOG10(INDEX(FX_Input,Y$5,L$3*$Z$5+$AA$5)))-(8742/(L798+459.6))+15.64),EXP(INDEX(Antoines,MATCH(L790,Antoine_Name,0),2)-INDEX(Antoines,MATCH(L790,Antoine_Name,0),3)/(L798+459.6))))),0)</f>
        <v>1</v>
      </c>
      <c r="M801" cm="1">
        <f t="array" ref="M801">IFERROR(IF(M791="Chemical",(10^(INDEX(Antoines,MATCH(M790,Antoine_Name,0),2)-INDEX(Antoines,MATCH(M790,Antoine_Name,0),3)/(INDEX(Antoines,MATCH(M790,Antoine_Name,0),4)+(M798-32)*5/9)))*14.7/760,IF(M791="Crude Oil",EXP((2799/(M798+459.6)-2.227)*LOG10(INDEX(FX_Input,Z$5,M$3*$Z$5+$AA$5))-(7261/(M798+459.6))+12.82),IF(M791="Refined Petroleum Stock",EXP((0.7553-(413/(M798+459.6)))*(INDEX(FX_Input,Z$5,M$3*$Z$5+$AA$5-1)^0.5)*LOG10(INDEX(FX_Input,Z$5,M$3*$Z$5+$AA$5))-(1.854-(1042/(M798+459.6)))*(INDEX(FX_Input,Z$5,M$3*$Z$5+$AA$5-1)^0.5)+((2416/(M798+459.6)-2.013)*LOG10(INDEX(FX_Input,Z$5,M$3*$Z$5+$AA$5)))-(8742/(M798+459.6))+15.64),EXP(INDEX(Antoines,MATCH(M790,Antoine_Name,0),2)-INDEX(Antoines,MATCH(M790,Antoine_Name,0),3)/(M798+459.6))))),0)</f>
        <v>1</v>
      </c>
      <c r="N801" cm="1">
        <f t="array" ref="N801">IFERROR(IF(N791="Chemical",(10^(INDEX(Antoines,MATCH(N790,Antoine_Name,0),2)-INDEX(Antoines,MATCH(N790,Antoine_Name,0),3)/(INDEX(Antoines,MATCH(N790,Antoine_Name,0),4)+(N798-32)*5/9)))*14.7/760,IF(N791="Crude Oil",EXP((2799/(N798+459.6)-2.227)*LOG10(INDEX(FX_Input,AA$5,N$3*$Z$5+$AA$5))-(7261/(N798+459.6))+12.82),IF(N791="Refined Petroleum Stock",EXP((0.7553-(413/(N798+459.6)))*(INDEX(FX_Input,AA$5,N$3*$Z$5+$AA$5-1)^0.5)*LOG10(INDEX(FX_Input,AA$5,N$3*$Z$5+$AA$5))-(1.854-(1042/(N798+459.6)))*(INDEX(FX_Input,AA$5,N$3*$Z$5+$AA$5-1)^0.5)+((2416/(N798+459.6)-2.013)*LOG10(INDEX(FX_Input,AA$5,N$3*$Z$5+$AA$5)))-(8742/(N798+459.6))+15.64),EXP(INDEX(Antoines,MATCH(N790,Antoine_Name,0),2)-INDEX(Antoines,MATCH(N790,Antoine_Name,0),3)/(N798+459.6))))),0)</f>
        <v>1</v>
      </c>
      <c r="O801" cm="1">
        <f t="array" ref="O801">IFERROR(IF(O791="Chemical",(10^(INDEX(Antoines,MATCH(O790,Antoine_Name,0),2)-INDEX(Antoines,MATCH(O790,Antoine_Name,0),3)/(INDEX(Antoines,MATCH(O790,Antoine_Name,0),4)+(O798-32)*5/9)))*14.7/760,IF(O791="Crude Oil",EXP((2799/(O798+459.6)-2.227)*LOG10(INDEX(FX_Input,AB$5,O$3*$Z$5+$AA$5))-(7261/(O798+459.6))+12.82),IF(O791="Refined Petroleum Stock",EXP((0.7553-(413/(O798+459.6)))*(INDEX(FX_Input,AB$5,O$3*$Z$5+$AA$5-1)^0.5)*LOG10(INDEX(FX_Input,AB$5,O$3*$Z$5+$AA$5))-(1.854-(1042/(O798+459.6)))*(INDEX(FX_Input,AB$5,O$3*$Z$5+$AA$5-1)^0.5)+((2416/(O798+459.6)-2.013)*LOG10(INDEX(FX_Input,AB$5,O$3*$Z$5+$AA$5)))-(8742/(O798+459.6))+15.64),EXP(INDEX(Antoines,MATCH(O790,Antoine_Name,0),2)-INDEX(Antoines,MATCH(O790,Antoine_Name,0),3)/(O798+459.6))))),0)</f>
        <v>1</v>
      </c>
    </row>
    <row r="802" spans="2:15" ht="17.149999999999999" x14ac:dyDescent="0.55000000000000004">
      <c r="B802" t="str">
        <f t="shared" si="2836"/>
        <v>Portland</v>
      </c>
      <c r="C802" t="s">
        <v>576</v>
      </c>
      <c r="D802">
        <f>D794*D801</f>
        <v>1</v>
      </c>
      <c r="E802">
        <f t="shared" ref="E802" si="2837">E794*E801</f>
        <v>1</v>
      </c>
      <c r="F802">
        <f t="shared" ref="F802" si="2838">F794*F801</f>
        <v>1</v>
      </c>
      <c r="G802">
        <f t="shared" ref="G802" si="2839">G794*G801</f>
        <v>1</v>
      </c>
      <c r="H802">
        <f t="shared" ref="H802" si="2840">H794*H801</f>
        <v>1</v>
      </c>
      <c r="I802">
        <f t="shared" ref="I802" si="2841">I794*I801</f>
        <v>1</v>
      </c>
      <c r="J802">
        <f t="shared" ref="J802" si="2842">J794*J801</f>
        <v>1</v>
      </c>
      <c r="K802">
        <f t="shared" ref="K802" si="2843">K794*K801</f>
        <v>1</v>
      </c>
      <c r="L802">
        <f t="shared" ref="L802" si="2844">L794*L801</f>
        <v>1</v>
      </c>
      <c r="M802">
        <f t="shared" ref="M802" si="2845">M794*M801</f>
        <v>1</v>
      </c>
      <c r="N802">
        <f t="shared" ref="N802" si="2846">N794*N801</f>
        <v>1</v>
      </c>
      <c r="O802">
        <f t="shared" ref="O802" si="2847">O794*O801</f>
        <v>1</v>
      </c>
    </row>
    <row r="803" spans="2:15" ht="17.149999999999999" x14ac:dyDescent="0.55000000000000004">
      <c r="B803" t="str">
        <f t="shared" si="2836"/>
        <v>Portland</v>
      </c>
      <c r="C803" t="s">
        <v>575</v>
      </c>
      <c r="D803" cm="1">
        <f t="array" ref="D803">IFERROR(IF(D793="Chemical",(10^(INDEX(Antoines,MATCH(D792,Antoine_Name,0),2)-INDEX(Antoines,MATCH(D792,Antoine_Name,0),3)/(INDEX(Antoines,MATCH(D792,Antoine_Name,0),4)+(D798-32)*5/9)))*14.7/760,IF(D793="Crude Oil",EXP((2799/(D798+459.6)-2.227)*LOG10(INDEX(FX_Input,Q$5,D$3*$Z$5+$AA$5))-(7261/(D798+459.6))+12.82),IF(D793="Refined Petroleum Stock",EXP((0.7553-(413/(D798+459.6)))*(INDEX(FX_Input,Q$5,D$3*$Z$5+$AA$5-1)^0.5)*LOG10(INDEX(FX_Input,Q$5,D$3*$Z$5+$AA$5))-(1.854-(1042/(D798+459.6)))*(INDEX(FX_Input,Q$5,D$3*$Z$5+$AA$5-1)^0.5)+((2416/(D798+459.6)-2.013)*LOG10(INDEX(FX_Input,Q$5,D$3*$Z$5+$AA$5)))-(8742/(D798+459.6))+15.64),EXP(INDEX(Antoines,MATCH(D792,Antoine_Name,0),2)-INDEX(Antoines,MATCH(D792,Antoine_Name,0),3)/(D798+459.6))))),0)</f>
        <v>0</v>
      </c>
      <c r="E803" cm="1">
        <f t="array" ref="E803">IFERROR(IF(E793="Chemical",(10^(INDEX(Antoines,MATCH(E792,Antoine_Name,0),2)-INDEX(Antoines,MATCH(E792,Antoine_Name,0),3)/(INDEX(Antoines,MATCH(E792,Antoine_Name,0),4)+(E798-32)*5/9)))*14.7/760,IF(E793="Crude Oil",EXP((2799/(E798+459.6)-2.227)*LOG10(INDEX(FX_Input,R$5,E$3*$Z$5+$AA$5))-(7261/(E798+459.6))+12.82),IF(E793="Refined Petroleum Stock",EXP((0.7553-(413/(E798+459.6)))*(INDEX(FX_Input,R$5,E$3*$Z$5+$AA$5-1)^0.5)*LOG10(INDEX(FX_Input,R$5,E$3*$Z$5+$AA$5))-(1.854-(1042/(E798+459.6)))*(INDEX(FX_Input,R$5,E$3*$Z$5+$AA$5-1)^0.5)+((2416/(E798+459.6)-2.013)*LOG10(INDEX(FX_Input,R$5,E$3*$Z$5+$AA$5)))-(8742/(E798+459.6))+15.64),EXP(INDEX(Antoines,MATCH(E792,Antoine_Name,0),2)-INDEX(Antoines,MATCH(E792,Antoine_Name,0),3)/(E798+459.6))))),0)</f>
        <v>0</v>
      </c>
      <c r="F803" cm="1">
        <f t="array" ref="F803">IFERROR(IF(F793="Chemical",(10^(INDEX(Antoines,MATCH(F792,Antoine_Name,0),2)-INDEX(Antoines,MATCH(F792,Antoine_Name,0),3)/(INDEX(Antoines,MATCH(F792,Antoine_Name,0),4)+(F798-32)*5/9)))*14.7/760,IF(F793="Crude Oil",EXP((2799/(F798+459.6)-2.227)*LOG10(INDEX(FX_Input,S$5,F$3*$Z$5+$AA$5))-(7261/(F798+459.6))+12.82),IF(F793="Refined Petroleum Stock",EXP((0.7553-(413/(F798+459.6)))*(INDEX(FX_Input,S$5,F$3*$Z$5+$AA$5-1)^0.5)*LOG10(INDEX(FX_Input,S$5,F$3*$Z$5+$AA$5))-(1.854-(1042/(F798+459.6)))*(INDEX(FX_Input,S$5,F$3*$Z$5+$AA$5-1)^0.5)+((2416/(F798+459.6)-2.013)*LOG10(INDEX(FX_Input,S$5,F$3*$Z$5+$AA$5)))-(8742/(F798+459.6))+15.64),EXP(INDEX(Antoines,MATCH(F792,Antoine_Name,0),2)-INDEX(Antoines,MATCH(F792,Antoine_Name,0),3)/(F798+459.6))))),0)</f>
        <v>0</v>
      </c>
      <c r="G803" cm="1">
        <f t="array" ref="G803">IFERROR(IF(G793="Chemical",(10^(INDEX(Antoines,MATCH(G792,Antoine_Name,0),2)-INDEX(Antoines,MATCH(G792,Antoine_Name,0),3)/(INDEX(Antoines,MATCH(G792,Antoine_Name,0),4)+(G798-32)*5/9)))*14.7/760,IF(G793="Crude Oil",EXP((2799/(G798+459.6)-2.227)*LOG10(INDEX(FX_Input,T$5,G$3*$Z$5+$AA$5))-(7261/(G798+459.6))+12.82),IF(G793="Refined Petroleum Stock",EXP((0.7553-(413/(G798+459.6)))*(INDEX(FX_Input,T$5,G$3*$Z$5+$AA$5-1)^0.5)*LOG10(INDEX(FX_Input,T$5,G$3*$Z$5+$AA$5))-(1.854-(1042/(G798+459.6)))*(INDEX(FX_Input,T$5,G$3*$Z$5+$AA$5-1)^0.5)+((2416/(G798+459.6)-2.013)*LOG10(INDEX(FX_Input,T$5,G$3*$Z$5+$AA$5)))-(8742/(G798+459.6))+15.64),EXP(INDEX(Antoines,MATCH(G792,Antoine_Name,0),2)-INDEX(Antoines,MATCH(G792,Antoine_Name,0),3)/(G798+459.6))))),0)</f>
        <v>0</v>
      </c>
      <c r="H803" cm="1">
        <f t="array" ref="H803">IFERROR(IF(H793="Chemical",(10^(INDEX(Antoines,MATCH(H792,Antoine_Name,0),2)-INDEX(Antoines,MATCH(H792,Antoine_Name,0),3)/(INDEX(Antoines,MATCH(H792,Antoine_Name,0),4)+(H798-32)*5/9)))*14.7/760,IF(H793="Crude Oil",EXP((2799/(H798+459.6)-2.227)*LOG10(INDEX(FX_Input,U$5,H$3*$Z$5+$AA$5))-(7261/(H798+459.6))+12.82),IF(H793="Refined Petroleum Stock",EXP((0.7553-(413/(H798+459.6)))*(INDEX(FX_Input,U$5,H$3*$Z$5+$AA$5-1)^0.5)*LOG10(INDEX(FX_Input,U$5,H$3*$Z$5+$AA$5))-(1.854-(1042/(H798+459.6)))*(INDEX(FX_Input,U$5,H$3*$Z$5+$AA$5-1)^0.5)+((2416/(H798+459.6)-2.013)*LOG10(INDEX(FX_Input,U$5,H$3*$Z$5+$AA$5)))-(8742/(H798+459.6))+15.64),EXP(INDEX(Antoines,MATCH(H792,Antoine_Name,0),2)-INDEX(Antoines,MATCH(H792,Antoine_Name,0),3)/(H798+459.6))))),0)</f>
        <v>0</v>
      </c>
      <c r="I803" cm="1">
        <f t="array" ref="I803">IFERROR(IF(I793="Chemical",(10^(INDEX(Antoines,MATCH(I792,Antoine_Name,0),2)-INDEX(Antoines,MATCH(I792,Antoine_Name,0),3)/(INDEX(Antoines,MATCH(I792,Antoine_Name,0),4)+(I798-32)*5/9)))*14.7/760,IF(I793="Crude Oil",EXP((2799/(I798+459.6)-2.227)*LOG10(INDEX(FX_Input,V$5,I$3*$Z$5+$AA$5))-(7261/(I798+459.6))+12.82),IF(I793="Refined Petroleum Stock",EXP((0.7553-(413/(I798+459.6)))*(INDEX(FX_Input,V$5,I$3*$Z$5+$AA$5-1)^0.5)*LOG10(INDEX(FX_Input,V$5,I$3*$Z$5+$AA$5))-(1.854-(1042/(I798+459.6)))*(INDEX(FX_Input,V$5,I$3*$Z$5+$AA$5-1)^0.5)+((2416/(I798+459.6)-2.013)*LOG10(INDEX(FX_Input,V$5,I$3*$Z$5+$AA$5)))-(8742/(I798+459.6))+15.64),EXP(INDEX(Antoines,MATCH(I792,Antoine_Name,0),2)-INDEX(Antoines,MATCH(I792,Antoine_Name,0),3)/(I798+459.6))))),0)</f>
        <v>0</v>
      </c>
      <c r="J803" cm="1">
        <f t="array" ref="J803">IFERROR(IF(J793="Chemical",(10^(INDEX(Antoines,MATCH(J792,Antoine_Name,0),2)-INDEX(Antoines,MATCH(J792,Antoine_Name,0),3)/(INDEX(Antoines,MATCH(J792,Antoine_Name,0),4)+(J798-32)*5/9)))*14.7/760,IF(J793="Crude Oil",EXP((2799/(J798+459.6)-2.227)*LOG10(INDEX(FX_Input,W$5,J$3*$Z$5+$AA$5))-(7261/(J798+459.6))+12.82),IF(J793="Refined Petroleum Stock",EXP((0.7553-(413/(J798+459.6)))*(INDEX(FX_Input,W$5,J$3*$Z$5+$AA$5-1)^0.5)*LOG10(INDEX(FX_Input,W$5,J$3*$Z$5+$AA$5))-(1.854-(1042/(J798+459.6)))*(INDEX(FX_Input,W$5,J$3*$Z$5+$AA$5-1)^0.5)+((2416/(J798+459.6)-2.013)*LOG10(INDEX(FX_Input,W$5,J$3*$Z$5+$AA$5)))-(8742/(J798+459.6))+15.64),EXP(INDEX(Antoines,MATCH(J792,Antoine_Name,0),2)-INDEX(Antoines,MATCH(J792,Antoine_Name,0),3)/(J798+459.6))))),0)</f>
        <v>0</v>
      </c>
      <c r="K803" cm="1">
        <f t="array" ref="K803">IFERROR(IF(K793="Chemical",(10^(INDEX(Antoines,MATCH(K792,Antoine_Name,0),2)-INDEX(Antoines,MATCH(K792,Antoine_Name,0),3)/(INDEX(Antoines,MATCH(K792,Antoine_Name,0),4)+(K798-32)*5/9)))*14.7/760,IF(K793="Crude Oil",EXP((2799/(K798+459.6)-2.227)*LOG10(INDEX(FX_Input,X$5,K$3*$Z$5+$AA$5))-(7261/(K798+459.6))+12.82),IF(K793="Refined Petroleum Stock",EXP((0.7553-(413/(K798+459.6)))*(INDEX(FX_Input,X$5,K$3*$Z$5+$AA$5-1)^0.5)*LOG10(INDEX(FX_Input,X$5,K$3*$Z$5+$AA$5))-(1.854-(1042/(K798+459.6)))*(INDEX(FX_Input,X$5,K$3*$Z$5+$AA$5-1)^0.5)+((2416/(K798+459.6)-2.013)*LOG10(INDEX(FX_Input,X$5,K$3*$Z$5+$AA$5)))-(8742/(K798+459.6))+15.64),EXP(INDEX(Antoines,MATCH(K792,Antoine_Name,0),2)-INDEX(Antoines,MATCH(K792,Antoine_Name,0),3)/(K798+459.6))))),0)</f>
        <v>0</v>
      </c>
      <c r="L803" cm="1">
        <f t="array" ref="L803">IFERROR(IF(L793="Chemical",(10^(INDEX(Antoines,MATCH(L792,Antoine_Name,0),2)-INDEX(Antoines,MATCH(L792,Antoine_Name,0),3)/(INDEX(Antoines,MATCH(L792,Antoine_Name,0),4)+(L798-32)*5/9)))*14.7/760,IF(L793="Crude Oil",EXP((2799/(L798+459.6)-2.227)*LOG10(INDEX(FX_Input,Y$5,L$3*$Z$5+$AA$5))-(7261/(L798+459.6))+12.82),IF(L793="Refined Petroleum Stock",EXP((0.7553-(413/(L798+459.6)))*(INDEX(FX_Input,Y$5,L$3*$Z$5+$AA$5-1)^0.5)*LOG10(INDEX(FX_Input,Y$5,L$3*$Z$5+$AA$5))-(1.854-(1042/(L798+459.6)))*(INDEX(FX_Input,Y$5,L$3*$Z$5+$AA$5-1)^0.5)+((2416/(L798+459.6)-2.013)*LOG10(INDEX(FX_Input,Y$5,L$3*$Z$5+$AA$5)))-(8742/(L798+459.6))+15.64),EXP(INDEX(Antoines,MATCH(L792,Antoine_Name,0),2)-INDEX(Antoines,MATCH(L792,Antoine_Name,0),3)/(L798+459.6))))),0)</f>
        <v>0</v>
      </c>
      <c r="M803" cm="1">
        <f t="array" ref="M803">IFERROR(IF(M793="Chemical",(10^(INDEX(Antoines,MATCH(M792,Antoine_Name,0),2)-INDEX(Antoines,MATCH(M792,Antoine_Name,0),3)/(INDEX(Antoines,MATCH(M792,Antoine_Name,0),4)+(M798-32)*5/9)))*14.7/760,IF(M793="Crude Oil",EXP((2799/(M798+459.6)-2.227)*LOG10(INDEX(FX_Input,Z$5,M$3*$Z$5+$AA$5))-(7261/(M798+459.6))+12.82),IF(M793="Refined Petroleum Stock",EXP((0.7553-(413/(M798+459.6)))*(INDEX(FX_Input,Z$5,M$3*$Z$5+$AA$5-1)^0.5)*LOG10(INDEX(FX_Input,Z$5,M$3*$Z$5+$AA$5))-(1.854-(1042/(M798+459.6)))*(INDEX(FX_Input,Z$5,M$3*$Z$5+$AA$5-1)^0.5)+((2416/(M798+459.6)-2.013)*LOG10(INDEX(FX_Input,Z$5,M$3*$Z$5+$AA$5)))-(8742/(M798+459.6))+15.64),EXP(INDEX(Antoines,MATCH(M792,Antoine_Name,0),2)-INDEX(Antoines,MATCH(M792,Antoine_Name,0),3)/(M798+459.6))))),0)</f>
        <v>0</v>
      </c>
      <c r="N803" cm="1">
        <f t="array" ref="N803">IFERROR(IF(N793="Chemical",(10^(INDEX(Antoines,MATCH(N792,Antoine_Name,0),2)-INDEX(Antoines,MATCH(N792,Antoine_Name,0),3)/(INDEX(Antoines,MATCH(N792,Antoine_Name,0),4)+(N798-32)*5/9)))*14.7/760,IF(N793="Crude Oil",EXP((2799/(N798+459.6)-2.227)*LOG10(INDEX(FX_Input,AA$5,N$3*$Z$5+$AA$5))-(7261/(N798+459.6))+12.82),IF(N793="Refined Petroleum Stock",EXP((0.7553-(413/(N798+459.6)))*(INDEX(FX_Input,AA$5,N$3*$Z$5+$AA$5-1)^0.5)*LOG10(INDEX(FX_Input,AA$5,N$3*$Z$5+$AA$5))-(1.854-(1042/(N798+459.6)))*(INDEX(FX_Input,AA$5,N$3*$Z$5+$AA$5-1)^0.5)+((2416/(N798+459.6)-2.013)*LOG10(INDEX(FX_Input,AA$5,N$3*$Z$5+$AA$5)))-(8742/(N798+459.6))+15.64),EXP(INDEX(Antoines,MATCH(N792,Antoine_Name,0),2)-INDEX(Antoines,MATCH(N792,Antoine_Name,0),3)/(N798+459.6))))),0)</f>
        <v>0</v>
      </c>
      <c r="O803" cm="1">
        <f t="array" ref="O803">IFERROR(IF(O793="Chemical",(10^(INDEX(Antoines,MATCH(O792,Antoine_Name,0),2)-INDEX(Antoines,MATCH(O792,Antoine_Name,0),3)/(INDEX(Antoines,MATCH(O792,Antoine_Name,0),4)+(O798-32)*5/9)))*14.7/760,IF(O793="Crude Oil",EXP((2799/(O798+459.6)-2.227)*LOG10(INDEX(FX_Input,AB$5,O$3*$Z$5+$AA$5))-(7261/(O798+459.6))+12.82),IF(O793="Refined Petroleum Stock",EXP((0.7553-(413/(O798+459.6)))*(INDEX(FX_Input,AB$5,O$3*$Z$5+$AA$5-1)^0.5)*LOG10(INDEX(FX_Input,AB$5,O$3*$Z$5+$AA$5))-(1.854-(1042/(O798+459.6)))*(INDEX(FX_Input,AB$5,O$3*$Z$5+$AA$5-1)^0.5)+((2416/(O798+459.6)-2.013)*LOG10(INDEX(FX_Input,AB$5,O$3*$Z$5+$AA$5)))-(8742/(O798+459.6))+15.64),EXP(INDEX(Antoines,MATCH(O792,Antoine_Name,0),2)-INDEX(Antoines,MATCH(O792,Antoine_Name,0),3)/(O798+459.6))))),0)</f>
        <v>0</v>
      </c>
    </row>
    <row r="804" spans="2:15" ht="17.149999999999999" x14ac:dyDescent="0.55000000000000004">
      <c r="B804" t="str">
        <f t="shared" si="2836"/>
        <v>Portland</v>
      </c>
      <c r="C804" t="s">
        <v>577</v>
      </c>
      <c r="D804">
        <f>D803*D796</f>
        <v>0</v>
      </c>
      <c r="E804">
        <f t="shared" ref="E804" si="2848">E803*E796</f>
        <v>0</v>
      </c>
      <c r="F804">
        <f t="shared" ref="F804" si="2849">F803*F796</f>
        <v>0</v>
      </c>
      <c r="G804">
        <f t="shared" ref="G804" si="2850">G803*G796</f>
        <v>0</v>
      </c>
      <c r="H804">
        <f t="shared" ref="H804" si="2851">H803*H796</f>
        <v>0</v>
      </c>
      <c r="I804">
        <f t="shared" ref="I804" si="2852">I803*I796</f>
        <v>0</v>
      </c>
      <c r="J804">
        <f t="shared" ref="J804" si="2853">J803*J796</f>
        <v>0</v>
      </c>
      <c r="K804">
        <f t="shared" ref="K804" si="2854">K803*K796</f>
        <v>0</v>
      </c>
      <c r="L804">
        <f t="shared" ref="L804" si="2855">L803*L796</f>
        <v>0</v>
      </c>
      <c r="M804">
        <f t="shared" ref="M804" si="2856">M803*M796</f>
        <v>0</v>
      </c>
      <c r="N804">
        <f t="shared" ref="N804" si="2857">N803*N796</f>
        <v>0</v>
      </c>
      <c r="O804">
        <f t="shared" ref="O804" si="2858">O803*O796</f>
        <v>0</v>
      </c>
    </row>
    <row r="805" spans="2:15" ht="17.149999999999999" x14ac:dyDescent="0.55000000000000004">
      <c r="B805" t="str">
        <f t="shared" si="2836"/>
        <v>Portland</v>
      </c>
      <c r="C805" t="s">
        <v>578</v>
      </c>
      <c r="D805">
        <f>D804+D802</f>
        <v>1</v>
      </c>
      <c r="E805">
        <f t="shared" ref="E805" si="2859">E804+E802</f>
        <v>1</v>
      </c>
      <c r="F805">
        <f t="shared" ref="F805" si="2860">F804+F802</f>
        <v>1</v>
      </c>
      <c r="G805">
        <f t="shared" ref="G805" si="2861">G804+G802</f>
        <v>1</v>
      </c>
      <c r="H805">
        <f t="shared" ref="H805" si="2862">H804+H802</f>
        <v>1</v>
      </c>
      <c r="I805">
        <f t="shared" ref="I805" si="2863">I804+I802</f>
        <v>1</v>
      </c>
      <c r="J805">
        <f t="shared" ref="J805" si="2864">J804+J802</f>
        <v>1</v>
      </c>
      <c r="K805">
        <f t="shared" ref="K805" si="2865">K804+K802</f>
        <v>1</v>
      </c>
      <c r="L805">
        <f t="shared" ref="L805" si="2866">L804+L802</f>
        <v>1</v>
      </c>
      <c r="M805">
        <f t="shared" ref="M805" si="2867">M804+M802</f>
        <v>1</v>
      </c>
      <c r="N805">
        <f t="shared" ref="N805" si="2868">N804+N802</f>
        <v>1</v>
      </c>
      <c r="O805">
        <f t="shared" ref="O805" si="2869">O804+O802</f>
        <v>1</v>
      </c>
    </row>
    <row r="806" spans="2:15" ht="17.149999999999999" x14ac:dyDescent="0.55000000000000004">
      <c r="B806" t="str">
        <f t="shared" si="2836"/>
        <v>Portland</v>
      </c>
      <c r="C806" t="s">
        <v>579</v>
      </c>
      <c r="D806" cm="1">
        <f t="array" ref="D806">IFERROR(IF(D791="Chemical",(10^(INDEX(Antoines,MATCH(D790,Antoine_Name,0),2)-INDEX(Antoines,MATCH(D790,Antoine_Name,0),3)/(INDEX(Antoines,MATCH(D790,Antoine_Name,0),4)+(D799-32)*5/9)))*14.7/760,IF(D791="Crude Oil",EXP((2799/(D799+459.6)-2.227)*LOG10(INDEX(FX_Input,Q$5,D$3*$Z$5+$AA$5))-(7261/(D799+459.6))+12.82),IF(D791="Refined Petroleum Stock",EXP((0.7553-(413/(D799+459.6)))*(INDEX(FX_Input,Q$5,D$3*$Z$5+$AA$5-1)^0.5)*LOG10(INDEX(FX_Input,Q$5,D$3*$Z$5+$AA$5))-(1.854-(1042/(D799+459.6)))*(INDEX(FX_Input,Q$5,D$3*$Z$5+$AA$5-1)^0.5)+((2416/(D799+459.6)-2.013)*LOG10(INDEX(FX_Input,Q$5,D$3*$Z$5+$AA$5)))-(8742/(D799+459.6))+15.64),EXP(INDEX(Antoines,MATCH(D790,Antoine_Name,0),2)-INDEX(Antoines,MATCH(D790,Antoine_Name,0),3)/(D799+459.6))))),0)</f>
        <v>1</v>
      </c>
      <c r="E806" cm="1">
        <f t="array" ref="E806">IFERROR(IF(E791="Chemical",(10^(INDEX(Antoines,MATCH(E790,Antoine_Name,0),2)-INDEX(Antoines,MATCH(E790,Antoine_Name,0),3)/(INDEX(Antoines,MATCH(E790,Antoine_Name,0),4)+(E799-32)*5/9)))*14.7/760,IF(E791="Crude Oil",EXP((2799/(E799+459.6)-2.227)*LOG10(INDEX(FX_Input,R$5,E$3*$Z$5+$AA$5))-(7261/(E799+459.6))+12.82),IF(E791="Refined Petroleum Stock",EXP((0.7553-(413/(E799+459.6)))*(INDEX(FX_Input,R$5,E$3*$Z$5+$AA$5-1)^0.5)*LOG10(INDEX(FX_Input,R$5,E$3*$Z$5+$AA$5))-(1.854-(1042/(E799+459.6)))*(INDEX(FX_Input,R$5,E$3*$Z$5+$AA$5-1)^0.5)+((2416/(E799+459.6)-2.013)*LOG10(INDEX(FX_Input,R$5,E$3*$Z$5+$AA$5)))-(8742/(E799+459.6))+15.64),EXP(INDEX(Antoines,MATCH(E790,Antoine_Name,0),2)-INDEX(Antoines,MATCH(E790,Antoine_Name,0),3)/(E799+459.6))))),0)</f>
        <v>1</v>
      </c>
      <c r="F806" cm="1">
        <f t="array" ref="F806">IFERROR(IF(F791="Chemical",(10^(INDEX(Antoines,MATCH(F790,Antoine_Name,0),2)-INDEX(Antoines,MATCH(F790,Antoine_Name,0),3)/(INDEX(Antoines,MATCH(F790,Antoine_Name,0),4)+(F799-32)*5/9)))*14.7/760,IF(F791="Crude Oil",EXP((2799/(F799+459.6)-2.227)*LOG10(INDEX(FX_Input,S$5,F$3*$Z$5+$AA$5))-(7261/(F799+459.6))+12.82),IF(F791="Refined Petroleum Stock",EXP((0.7553-(413/(F799+459.6)))*(INDEX(FX_Input,S$5,F$3*$Z$5+$AA$5-1)^0.5)*LOG10(INDEX(FX_Input,S$5,F$3*$Z$5+$AA$5))-(1.854-(1042/(F799+459.6)))*(INDEX(FX_Input,S$5,F$3*$Z$5+$AA$5-1)^0.5)+((2416/(F799+459.6)-2.013)*LOG10(INDEX(FX_Input,S$5,F$3*$Z$5+$AA$5)))-(8742/(F799+459.6))+15.64),EXP(INDEX(Antoines,MATCH(F790,Antoine_Name,0),2)-INDEX(Antoines,MATCH(F790,Antoine_Name,0),3)/(F799+459.6))))),0)</f>
        <v>1</v>
      </c>
      <c r="G806" cm="1">
        <f t="array" ref="G806">IFERROR(IF(G791="Chemical",(10^(INDEX(Antoines,MATCH(G790,Antoine_Name,0),2)-INDEX(Antoines,MATCH(G790,Antoine_Name,0),3)/(INDEX(Antoines,MATCH(G790,Antoine_Name,0),4)+(G799-32)*5/9)))*14.7/760,IF(G791="Crude Oil",EXP((2799/(G799+459.6)-2.227)*LOG10(INDEX(FX_Input,T$5,G$3*$Z$5+$AA$5))-(7261/(G799+459.6))+12.82),IF(G791="Refined Petroleum Stock",EXP((0.7553-(413/(G799+459.6)))*(INDEX(FX_Input,T$5,G$3*$Z$5+$AA$5-1)^0.5)*LOG10(INDEX(FX_Input,T$5,G$3*$Z$5+$AA$5))-(1.854-(1042/(G799+459.6)))*(INDEX(FX_Input,T$5,G$3*$Z$5+$AA$5-1)^0.5)+((2416/(G799+459.6)-2.013)*LOG10(INDEX(FX_Input,T$5,G$3*$Z$5+$AA$5)))-(8742/(G799+459.6))+15.64),EXP(INDEX(Antoines,MATCH(G790,Antoine_Name,0),2)-INDEX(Antoines,MATCH(G790,Antoine_Name,0),3)/(G799+459.6))))),0)</f>
        <v>1</v>
      </c>
      <c r="H806" cm="1">
        <f t="array" ref="H806">IFERROR(IF(H791="Chemical",(10^(INDEX(Antoines,MATCH(H790,Antoine_Name,0),2)-INDEX(Antoines,MATCH(H790,Antoine_Name,0),3)/(INDEX(Antoines,MATCH(H790,Antoine_Name,0),4)+(H799-32)*5/9)))*14.7/760,IF(H791="Crude Oil",EXP((2799/(H799+459.6)-2.227)*LOG10(INDEX(FX_Input,U$5,H$3*$Z$5+$AA$5))-(7261/(H799+459.6))+12.82),IF(H791="Refined Petroleum Stock",EXP((0.7553-(413/(H799+459.6)))*(INDEX(FX_Input,U$5,H$3*$Z$5+$AA$5-1)^0.5)*LOG10(INDEX(FX_Input,U$5,H$3*$Z$5+$AA$5))-(1.854-(1042/(H799+459.6)))*(INDEX(FX_Input,U$5,H$3*$Z$5+$AA$5-1)^0.5)+((2416/(H799+459.6)-2.013)*LOG10(INDEX(FX_Input,U$5,H$3*$Z$5+$AA$5)))-(8742/(H799+459.6))+15.64),EXP(INDEX(Antoines,MATCH(H790,Antoine_Name,0),2)-INDEX(Antoines,MATCH(H790,Antoine_Name,0),3)/(H799+459.6))))),0)</f>
        <v>1</v>
      </c>
      <c r="I806" cm="1">
        <f t="array" ref="I806">IFERROR(IF(I791="Chemical",(10^(INDEX(Antoines,MATCH(I790,Antoine_Name,0),2)-INDEX(Antoines,MATCH(I790,Antoine_Name,0),3)/(INDEX(Antoines,MATCH(I790,Antoine_Name,0),4)+(I799-32)*5/9)))*14.7/760,IF(I791="Crude Oil",EXP((2799/(I799+459.6)-2.227)*LOG10(INDEX(FX_Input,V$5,I$3*$Z$5+$AA$5))-(7261/(I799+459.6))+12.82),IF(I791="Refined Petroleum Stock",EXP((0.7553-(413/(I799+459.6)))*(INDEX(FX_Input,V$5,I$3*$Z$5+$AA$5-1)^0.5)*LOG10(INDEX(FX_Input,V$5,I$3*$Z$5+$AA$5))-(1.854-(1042/(I799+459.6)))*(INDEX(FX_Input,V$5,I$3*$Z$5+$AA$5-1)^0.5)+((2416/(I799+459.6)-2.013)*LOG10(INDEX(FX_Input,V$5,I$3*$Z$5+$AA$5)))-(8742/(I799+459.6))+15.64),EXP(INDEX(Antoines,MATCH(I790,Antoine_Name,0),2)-INDEX(Antoines,MATCH(I790,Antoine_Name,0),3)/(I799+459.6))))),0)</f>
        <v>1</v>
      </c>
      <c r="J806" cm="1">
        <f t="array" ref="J806">IFERROR(IF(J791="Chemical",(10^(INDEX(Antoines,MATCH(J790,Antoine_Name,0),2)-INDEX(Antoines,MATCH(J790,Antoine_Name,0),3)/(INDEX(Antoines,MATCH(J790,Antoine_Name,0),4)+(J799-32)*5/9)))*14.7/760,IF(J791="Crude Oil",EXP((2799/(J799+459.6)-2.227)*LOG10(INDEX(FX_Input,W$5,J$3*$Z$5+$AA$5))-(7261/(J799+459.6))+12.82),IF(J791="Refined Petroleum Stock",EXP((0.7553-(413/(J799+459.6)))*(INDEX(FX_Input,W$5,J$3*$Z$5+$AA$5-1)^0.5)*LOG10(INDEX(FX_Input,W$5,J$3*$Z$5+$AA$5))-(1.854-(1042/(J799+459.6)))*(INDEX(FX_Input,W$5,J$3*$Z$5+$AA$5-1)^0.5)+((2416/(J799+459.6)-2.013)*LOG10(INDEX(FX_Input,W$5,J$3*$Z$5+$AA$5)))-(8742/(J799+459.6))+15.64),EXP(INDEX(Antoines,MATCH(J790,Antoine_Name,0),2)-INDEX(Antoines,MATCH(J790,Antoine_Name,0),3)/(J799+459.6))))),0)</f>
        <v>1</v>
      </c>
      <c r="K806" cm="1">
        <f t="array" ref="K806">IFERROR(IF(K791="Chemical",(10^(INDEX(Antoines,MATCH(K790,Antoine_Name,0),2)-INDEX(Antoines,MATCH(K790,Antoine_Name,0),3)/(INDEX(Antoines,MATCH(K790,Antoine_Name,0),4)+(K799-32)*5/9)))*14.7/760,IF(K791="Crude Oil",EXP((2799/(K799+459.6)-2.227)*LOG10(INDEX(FX_Input,X$5,K$3*$Z$5+$AA$5))-(7261/(K799+459.6))+12.82),IF(K791="Refined Petroleum Stock",EXP((0.7553-(413/(K799+459.6)))*(INDEX(FX_Input,X$5,K$3*$Z$5+$AA$5-1)^0.5)*LOG10(INDEX(FX_Input,X$5,K$3*$Z$5+$AA$5))-(1.854-(1042/(K799+459.6)))*(INDEX(FX_Input,X$5,K$3*$Z$5+$AA$5-1)^0.5)+((2416/(K799+459.6)-2.013)*LOG10(INDEX(FX_Input,X$5,K$3*$Z$5+$AA$5)))-(8742/(K799+459.6))+15.64),EXP(INDEX(Antoines,MATCH(K790,Antoine_Name,0),2)-INDEX(Antoines,MATCH(K790,Antoine_Name,0),3)/(K799+459.6))))),0)</f>
        <v>1</v>
      </c>
      <c r="L806" cm="1">
        <f t="array" ref="L806">IFERROR(IF(L791="Chemical",(10^(INDEX(Antoines,MATCH(L790,Antoine_Name,0),2)-INDEX(Antoines,MATCH(L790,Antoine_Name,0),3)/(INDEX(Antoines,MATCH(L790,Antoine_Name,0),4)+(L799-32)*5/9)))*14.7/760,IF(L791="Crude Oil",EXP((2799/(L799+459.6)-2.227)*LOG10(INDEX(FX_Input,Y$5,L$3*$Z$5+$AA$5))-(7261/(L799+459.6))+12.82),IF(L791="Refined Petroleum Stock",EXP((0.7553-(413/(L799+459.6)))*(INDEX(FX_Input,Y$5,L$3*$Z$5+$AA$5-1)^0.5)*LOG10(INDEX(FX_Input,Y$5,L$3*$Z$5+$AA$5))-(1.854-(1042/(L799+459.6)))*(INDEX(FX_Input,Y$5,L$3*$Z$5+$AA$5-1)^0.5)+((2416/(L799+459.6)-2.013)*LOG10(INDEX(FX_Input,Y$5,L$3*$Z$5+$AA$5)))-(8742/(L799+459.6))+15.64),EXP(INDEX(Antoines,MATCH(L790,Antoine_Name,0),2)-INDEX(Antoines,MATCH(L790,Antoine_Name,0),3)/(L799+459.6))))),0)</f>
        <v>1</v>
      </c>
      <c r="M806" cm="1">
        <f t="array" ref="M806">IFERROR(IF(M791="Chemical",(10^(INDEX(Antoines,MATCH(M790,Antoine_Name,0),2)-INDEX(Antoines,MATCH(M790,Antoine_Name,0),3)/(INDEX(Antoines,MATCH(M790,Antoine_Name,0),4)+(M799-32)*5/9)))*14.7/760,IF(M791="Crude Oil",EXP((2799/(M799+459.6)-2.227)*LOG10(INDEX(FX_Input,Z$5,M$3*$Z$5+$AA$5))-(7261/(M799+459.6))+12.82),IF(M791="Refined Petroleum Stock",EXP((0.7553-(413/(M799+459.6)))*(INDEX(FX_Input,Z$5,M$3*$Z$5+$AA$5-1)^0.5)*LOG10(INDEX(FX_Input,Z$5,M$3*$Z$5+$AA$5))-(1.854-(1042/(M799+459.6)))*(INDEX(FX_Input,Z$5,M$3*$Z$5+$AA$5-1)^0.5)+((2416/(M799+459.6)-2.013)*LOG10(INDEX(FX_Input,Z$5,M$3*$Z$5+$AA$5)))-(8742/(M799+459.6))+15.64),EXP(INDEX(Antoines,MATCH(M790,Antoine_Name,0),2)-INDEX(Antoines,MATCH(M790,Antoine_Name,0),3)/(M799+459.6))))),0)</f>
        <v>1</v>
      </c>
      <c r="N806" cm="1">
        <f t="array" ref="N806">IFERROR(IF(N791="Chemical",(10^(INDEX(Antoines,MATCH(N790,Antoine_Name,0),2)-INDEX(Antoines,MATCH(N790,Antoine_Name,0),3)/(INDEX(Antoines,MATCH(N790,Antoine_Name,0),4)+(N799-32)*5/9)))*14.7/760,IF(N791="Crude Oil",EXP((2799/(N799+459.6)-2.227)*LOG10(INDEX(FX_Input,AA$5,N$3*$Z$5+$AA$5))-(7261/(N799+459.6))+12.82),IF(N791="Refined Petroleum Stock",EXP((0.7553-(413/(N799+459.6)))*(INDEX(FX_Input,AA$5,N$3*$Z$5+$AA$5-1)^0.5)*LOG10(INDEX(FX_Input,AA$5,N$3*$Z$5+$AA$5))-(1.854-(1042/(N799+459.6)))*(INDEX(FX_Input,AA$5,N$3*$Z$5+$AA$5-1)^0.5)+((2416/(N799+459.6)-2.013)*LOG10(INDEX(FX_Input,AA$5,N$3*$Z$5+$AA$5)))-(8742/(N799+459.6))+15.64),EXP(INDEX(Antoines,MATCH(N790,Antoine_Name,0),2)-INDEX(Antoines,MATCH(N790,Antoine_Name,0),3)/(N799+459.6))))),0)</f>
        <v>1</v>
      </c>
      <c r="O806" cm="1">
        <f t="array" ref="O806">IFERROR(IF(O791="Chemical",(10^(INDEX(Antoines,MATCH(O790,Antoine_Name,0),2)-INDEX(Antoines,MATCH(O790,Antoine_Name,0),3)/(INDEX(Antoines,MATCH(O790,Antoine_Name,0),4)+(O799-32)*5/9)))*14.7/760,IF(O791="Crude Oil",EXP((2799/(O799+459.6)-2.227)*LOG10(INDEX(FX_Input,AB$5,O$3*$Z$5+$AA$5))-(7261/(O799+459.6))+12.82),IF(O791="Refined Petroleum Stock",EXP((0.7553-(413/(O799+459.6)))*(INDEX(FX_Input,AB$5,O$3*$Z$5+$AA$5-1)^0.5)*LOG10(INDEX(FX_Input,AB$5,O$3*$Z$5+$AA$5))-(1.854-(1042/(O799+459.6)))*(INDEX(FX_Input,AB$5,O$3*$Z$5+$AA$5-1)^0.5)+((2416/(O799+459.6)-2.013)*LOG10(INDEX(FX_Input,AB$5,O$3*$Z$5+$AA$5)))-(8742/(O799+459.6))+15.64),EXP(INDEX(Antoines,MATCH(O790,Antoine_Name,0),2)-INDEX(Antoines,MATCH(O790,Antoine_Name,0),3)/(O799+459.6))))),0)</f>
        <v>1</v>
      </c>
    </row>
    <row r="807" spans="2:15" ht="17.149999999999999" x14ac:dyDescent="0.55000000000000004">
      <c r="B807" t="str">
        <f t="shared" si="2836"/>
        <v>Portland</v>
      </c>
      <c r="C807" t="s">
        <v>580</v>
      </c>
      <c r="D807">
        <f>D806*D794</f>
        <v>1</v>
      </c>
      <c r="E807">
        <f t="shared" ref="E807" si="2870">E806*E794</f>
        <v>1</v>
      </c>
      <c r="F807">
        <f t="shared" ref="F807" si="2871">F806*F794</f>
        <v>1</v>
      </c>
      <c r="G807">
        <f t="shared" ref="G807" si="2872">G806*G794</f>
        <v>1</v>
      </c>
      <c r="H807">
        <f t="shared" ref="H807" si="2873">H806*H794</f>
        <v>1</v>
      </c>
      <c r="I807">
        <f t="shared" ref="I807" si="2874">I806*I794</f>
        <v>1</v>
      </c>
      <c r="J807">
        <f t="shared" ref="J807" si="2875">J806*J794</f>
        <v>1</v>
      </c>
      <c r="K807">
        <f t="shared" ref="K807" si="2876">K806*K794</f>
        <v>1</v>
      </c>
      <c r="L807">
        <f t="shared" ref="L807" si="2877">L806*L794</f>
        <v>1</v>
      </c>
      <c r="M807">
        <f t="shared" ref="M807" si="2878">M806*M794</f>
        <v>1</v>
      </c>
      <c r="N807">
        <f t="shared" ref="N807" si="2879">N806*N794</f>
        <v>1</v>
      </c>
      <c r="O807">
        <f t="shared" ref="O807" si="2880">O806*O794</f>
        <v>1</v>
      </c>
    </row>
    <row r="808" spans="2:15" ht="17.149999999999999" x14ac:dyDescent="0.55000000000000004">
      <c r="B808" t="str">
        <f t="shared" si="2836"/>
        <v>Portland</v>
      </c>
      <c r="C808" t="s">
        <v>581</v>
      </c>
      <c r="D808" cm="1">
        <f t="array" ref="D808">IFERROR(IF(D793="Chemical",(10^(INDEX(Antoines,MATCH(D792,Antoine_Name,0),2)-INDEX(Antoines,MATCH(D792,Antoine_Name,0),3)/(INDEX(Antoines,MATCH(D792,Antoine_Name,0),4)+(D799-32)*5/9)))*14.7/760,IF(D793="Crude Oil",EXP((2799/(D799+459.6)-2.227)*LOG10(INDEX(FX_Input,Q$5,D$3*$Z$5+$AA$5))-(7261/(D799+459.6))+12.82),IF(D793="Refined Petroleum Stock",EXP((0.7553-(413/(D799+459.6)))*(INDEX(FX_Input,Q$5,D$3*$Z$5+$AA$5-1)^0.5)*LOG10(INDEX(FX_Input,Q$5,D$3*$Z$5+$AA$5))-(1.854-(1042/(D799+459.6)))*(INDEX(FX_Input,Q$5,D$3*$Z$5+$AA$5-1)^0.5)+((2416/(D799+459.6)-2.013)*LOG10(INDEX(FX_Input,Q$5,D$3*$Z$5+$AA$5)))-(8742/(D799+459.6))+15.64),EXP(INDEX(Antoines,MATCH(D792,Antoine_Name,0),2)-INDEX(Antoines,MATCH(D792,Antoine_Name,0),3)/(D799+459.6))))),0)</f>
        <v>0</v>
      </c>
      <c r="E808" cm="1">
        <f t="array" ref="E808">IFERROR(IF(E793="Chemical",(10^(INDEX(Antoines,MATCH(E792,Antoine_Name,0),2)-INDEX(Antoines,MATCH(E792,Antoine_Name,0),3)/(INDEX(Antoines,MATCH(E792,Antoine_Name,0),4)+(E799-32)*5/9)))*14.7/760,IF(E793="Crude Oil",EXP((2799/(E799+459.6)-2.227)*LOG10(INDEX(FX_Input,R$5,E$3*$Z$5+$AA$5))-(7261/(E799+459.6))+12.82),IF(E793="Refined Petroleum Stock",EXP((0.7553-(413/(E799+459.6)))*(INDEX(FX_Input,R$5,E$3*$Z$5+$AA$5-1)^0.5)*LOG10(INDEX(FX_Input,R$5,E$3*$Z$5+$AA$5))-(1.854-(1042/(E799+459.6)))*(INDEX(FX_Input,R$5,E$3*$Z$5+$AA$5-1)^0.5)+((2416/(E799+459.6)-2.013)*LOG10(INDEX(FX_Input,R$5,E$3*$Z$5+$AA$5)))-(8742/(E799+459.6))+15.64),EXP(INDEX(Antoines,MATCH(E792,Antoine_Name,0),2)-INDEX(Antoines,MATCH(E792,Antoine_Name,0),3)/(E799+459.6))))),0)</f>
        <v>0</v>
      </c>
      <c r="F808" cm="1">
        <f t="array" ref="F808">IFERROR(IF(F793="Chemical",(10^(INDEX(Antoines,MATCH(F792,Antoine_Name,0),2)-INDEX(Antoines,MATCH(F792,Antoine_Name,0),3)/(INDEX(Antoines,MATCH(F792,Antoine_Name,0),4)+(F799-32)*5/9)))*14.7/760,IF(F793="Crude Oil",EXP((2799/(F799+459.6)-2.227)*LOG10(INDEX(FX_Input,S$5,F$3*$Z$5+$AA$5))-(7261/(F799+459.6))+12.82),IF(F793="Refined Petroleum Stock",EXP((0.7553-(413/(F799+459.6)))*(INDEX(FX_Input,S$5,F$3*$Z$5+$AA$5-1)^0.5)*LOG10(INDEX(FX_Input,S$5,F$3*$Z$5+$AA$5))-(1.854-(1042/(F799+459.6)))*(INDEX(FX_Input,S$5,F$3*$Z$5+$AA$5-1)^0.5)+((2416/(F799+459.6)-2.013)*LOG10(INDEX(FX_Input,S$5,F$3*$Z$5+$AA$5)))-(8742/(F799+459.6))+15.64),EXP(INDEX(Antoines,MATCH(F792,Antoine_Name,0),2)-INDEX(Antoines,MATCH(F792,Antoine_Name,0),3)/(F799+459.6))))),0)</f>
        <v>0</v>
      </c>
      <c r="G808" cm="1">
        <f t="array" ref="G808">IFERROR(IF(G793="Chemical",(10^(INDEX(Antoines,MATCH(G792,Antoine_Name,0),2)-INDEX(Antoines,MATCH(G792,Antoine_Name,0),3)/(INDEX(Antoines,MATCH(G792,Antoine_Name,0),4)+(G799-32)*5/9)))*14.7/760,IF(G793="Crude Oil",EXP((2799/(G799+459.6)-2.227)*LOG10(INDEX(FX_Input,T$5,G$3*$Z$5+$AA$5))-(7261/(G799+459.6))+12.82),IF(G793="Refined Petroleum Stock",EXP((0.7553-(413/(G799+459.6)))*(INDEX(FX_Input,T$5,G$3*$Z$5+$AA$5-1)^0.5)*LOG10(INDEX(FX_Input,T$5,G$3*$Z$5+$AA$5))-(1.854-(1042/(G799+459.6)))*(INDEX(FX_Input,T$5,G$3*$Z$5+$AA$5-1)^0.5)+((2416/(G799+459.6)-2.013)*LOG10(INDEX(FX_Input,T$5,G$3*$Z$5+$AA$5)))-(8742/(G799+459.6))+15.64),EXP(INDEX(Antoines,MATCH(G792,Antoine_Name,0),2)-INDEX(Antoines,MATCH(G792,Antoine_Name,0),3)/(G799+459.6))))),0)</f>
        <v>0</v>
      </c>
      <c r="H808" cm="1">
        <f t="array" ref="H808">IFERROR(IF(H793="Chemical",(10^(INDEX(Antoines,MATCH(H792,Antoine_Name,0),2)-INDEX(Antoines,MATCH(H792,Antoine_Name,0),3)/(INDEX(Antoines,MATCH(H792,Antoine_Name,0),4)+(H799-32)*5/9)))*14.7/760,IF(H793="Crude Oil",EXP((2799/(H799+459.6)-2.227)*LOG10(INDEX(FX_Input,U$5,H$3*$Z$5+$AA$5))-(7261/(H799+459.6))+12.82),IF(H793="Refined Petroleum Stock",EXP((0.7553-(413/(H799+459.6)))*(INDEX(FX_Input,U$5,H$3*$Z$5+$AA$5-1)^0.5)*LOG10(INDEX(FX_Input,U$5,H$3*$Z$5+$AA$5))-(1.854-(1042/(H799+459.6)))*(INDEX(FX_Input,U$5,H$3*$Z$5+$AA$5-1)^0.5)+((2416/(H799+459.6)-2.013)*LOG10(INDEX(FX_Input,U$5,H$3*$Z$5+$AA$5)))-(8742/(H799+459.6))+15.64),EXP(INDEX(Antoines,MATCH(H792,Antoine_Name,0),2)-INDEX(Antoines,MATCH(H792,Antoine_Name,0),3)/(H799+459.6))))),0)</f>
        <v>0</v>
      </c>
      <c r="I808" cm="1">
        <f t="array" ref="I808">IFERROR(IF(I793="Chemical",(10^(INDEX(Antoines,MATCH(I792,Antoine_Name,0),2)-INDEX(Antoines,MATCH(I792,Antoine_Name,0),3)/(INDEX(Antoines,MATCH(I792,Antoine_Name,0),4)+(I799-32)*5/9)))*14.7/760,IF(I793="Crude Oil",EXP((2799/(I799+459.6)-2.227)*LOG10(INDEX(FX_Input,V$5,I$3*$Z$5+$AA$5))-(7261/(I799+459.6))+12.82),IF(I793="Refined Petroleum Stock",EXP((0.7553-(413/(I799+459.6)))*(INDEX(FX_Input,V$5,I$3*$Z$5+$AA$5-1)^0.5)*LOG10(INDEX(FX_Input,V$5,I$3*$Z$5+$AA$5))-(1.854-(1042/(I799+459.6)))*(INDEX(FX_Input,V$5,I$3*$Z$5+$AA$5-1)^0.5)+((2416/(I799+459.6)-2.013)*LOG10(INDEX(FX_Input,V$5,I$3*$Z$5+$AA$5)))-(8742/(I799+459.6))+15.64),EXP(INDEX(Antoines,MATCH(I792,Antoine_Name,0),2)-INDEX(Antoines,MATCH(I792,Antoine_Name,0),3)/(I799+459.6))))),0)</f>
        <v>0</v>
      </c>
      <c r="J808" cm="1">
        <f t="array" ref="J808">IFERROR(IF(J793="Chemical",(10^(INDEX(Antoines,MATCH(J792,Antoine_Name,0),2)-INDEX(Antoines,MATCH(J792,Antoine_Name,0),3)/(INDEX(Antoines,MATCH(J792,Antoine_Name,0),4)+(J799-32)*5/9)))*14.7/760,IF(J793="Crude Oil",EXP((2799/(J799+459.6)-2.227)*LOG10(INDEX(FX_Input,W$5,J$3*$Z$5+$AA$5))-(7261/(J799+459.6))+12.82),IF(J793="Refined Petroleum Stock",EXP((0.7553-(413/(J799+459.6)))*(INDEX(FX_Input,W$5,J$3*$Z$5+$AA$5-1)^0.5)*LOG10(INDEX(FX_Input,W$5,J$3*$Z$5+$AA$5))-(1.854-(1042/(J799+459.6)))*(INDEX(FX_Input,W$5,J$3*$Z$5+$AA$5-1)^0.5)+((2416/(J799+459.6)-2.013)*LOG10(INDEX(FX_Input,W$5,J$3*$Z$5+$AA$5)))-(8742/(J799+459.6))+15.64),EXP(INDEX(Antoines,MATCH(J792,Antoine_Name,0),2)-INDEX(Antoines,MATCH(J792,Antoine_Name,0),3)/(J799+459.6))))),0)</f>
        <v>0</v>
      </c>
      <c r="K808" cm="1">
        <f t="array" ref="K808">IFERROR(IF(K793="Chemical",(10^(INDEX(Antoines,MATCH(K792,Antoine_Name,0),2)-INDEX(Antoines,MATCH(K792,Antoine_Name,0),3)/(INDEX(Antoines,MATCH(K792,Antoine_Name,0),4)+(K799-32)*5/9)))*14.7/760,IF(K793="Crude Oil",EXP((2799/(K799+459.6)-2.227)*LOG10(INDEX(FX_Input,X$5,K$3*$Z$5+$AA$5))-(7261/(K799+459.6))+12.82),IF(K793="Refined Petroleum Stock",EXP((0.7553-(413/(K799+459.6)))*(INDEX(FX_Input,X$5,K$3*$Z$5+$AA$5-1)^0.5)*LOG10(INDEX(FX_Input,X$5,K$3*$Z$5+$AA$5))-(1.854-(1042/(K799+459.6)))*(INDEX(FX_Input,X$5,K$3*$Z$5+$AA$5-1)^0.5)+((2416/(K799+459.6)-2.013)*LOG10(INDEX(FX_Input,X$5,K$3*$Z$5+$AA$5)))-(8742/(K799+459.6))+15.64),EXP(INDEX(Antoines,MATCH(K792,Antoine_Name,0),2)-INDEX(Antoines,MATCH(K792,Antoine_Name,0),3)/(K799+459.6))))),0)</f>
        <v>0</v>
      </c>
      <c r="L808" cm="1">
        <f t="array" ref="L808">IFERROR(IF(L793="Chemical",(10^(INDEX(Antoines,MATCH(L792,Antoine_Name,0),2)-INDEX(Antoines,MATCH(L792,Antoine_Name,0),3)/(INDEX(Antoines,MATCH(L792,Antoine_Name,0),4)+(L799-32)*5/9)))*14.7/760,IF(L793="Crude Oil",EXP((2799/(L799+459.6)-2.227)*LOG10(INDEX(FX_Input,Y$5,L$3*$Z$5+$AA$5))-(7261/(L799+459.6))+12.82),IF(L793="Refined Petroleum Stock",EXP((0.7553-(413/(L799+459.6)))*(INDEX(FX_Input,Y$5,L$3*$Z$5+$AA$5-1)^0.5)*LOG10(INDEX(FX_Input,Y$5,L$3*$Z$5+$AA$5))-(1.854-(1042/(L799+459.6)))*(INDEX(FX_Input,Y$5,L$3*$Z$5+$AA$5-1)^0.5)+((2416/(L799+459.6)-2.013)*LOG10(INDEX(FX_Input,Y$5,L$3*$Z$5+$AA$5)))-(8742/(L799+459.6))+15.64),EXP(INDEX(Antoines,MATCH(L792,Antoine_Name,0),2)-INDEX(Antoines,MATCH(L792,Antoine_Name,0),3)/(L799+459.6))))),0)</f>
        <v>0</v>
      </c>
      <c r="M808" cm="1">
        <f t="array" ref="M808">IFERROR(IF(M793="Chemical",(10^(INDEX(Antoines,MATCH(M792,Antoine_Name,0),2)-INDEX(Antoines,MATCH(M792,Antoine_Name,0),3)/(INDEX(Antoines,MATCH(M792,Antoine_Name,0),4)+(M799-32)*5/9)))*14.7/760,IF(M793="Crude Oil",EXP((2799/(M799+459.6)-2.227)*LOG10(INDEX(FX_Input,Z$5,M$3*$Z$5+$AA$5))-(7261/(M799+459.6))+12.82),IF(M793="Refined Petroleum Stock",EXP((0.7553-(413/(M799+459.6)))*(INDEX(FX_Input,Z$5,M$3*$Z$5+$AA$5-1)^0.5)*LOG10(INDEX(FX_Input,Z$5,M$3*$Z$5+$AA$5))-(1.854-(1042/(M799+459.6)))*(INDEX(FX_Input,Z$5,M$3*$Z$5+$AA$5-1)^0.5)+((2416/(M799+459.6)-2.013)*LOG10(INDEX(FX_Input,Z$5,M$3*$Z$5+$AA$5)))-(8742/(M799+459.6))+15.64),EXP(INDEX(Antoines,MATCH(M792,Antoine_Name,0),2)-INDEX(Antoines,MATCH(M792,Antoine_Name,0),3)/(M799+459.6))))),0)</f>
        <v>0</v>
      </c>
      <c r="N808" cm="1">
        <f t="array" ref="N808">IFERROR(IF(N793="Chemical",(10^(INDEX(Antoines,MATCH(N792,Antoine_Name,0),2)-INDEX(Antoines,MATCH(N792,Antoine_Name,0),3)/(INDEX(Antoines,MATCH(N792,Antoine_Name,0),4)+(N799-32)*5/9)))*14.7/760,IF(N793="Crude Oil",EXP((2799/(N799+459.6)-2.227)*LOG10(INDEX(FX_Input,AA$5,N$3*$Z$5+$AA$5))-(7261/(N799+459.6))+12.82),IF(N793="Refined Petroleum Stock",EXP((0.7553-(413/(N799+459.6)))*(INDEX(FX_Input,AA$5,N$3*$Z$5+$AA$5-1)^0.5)*LOG10(INDEX(FX_Input,AA$5,N$3*$Z$5+$AA$5))-(1.854-(1042/(N799+459.6)))*(INDEX(FX_Input,AA$5,N$3*$Z$5+$AA$5-1)^0.5)+((2416/(N799+459.6)-2.013)*LOG10(INDEX(FX_Input,AA$5,N$3*$Z$5+$AA$5)))-(8742/(N799+459.6))+15.64),EXP(INDEX(Antoines,MATCH(N792,Antoine_Name,0),2)-INDEX(Antoines,MATCH(N792,Antoine_Name,0),3)/(N799+459.6))))),0)</f>
        <v>0</v>
      </c>
      <c r="O808" cm="1">
        <f t="array" ref="O808">IFERROR(IF(O793="Chemical",(10^(INDEX(Antoines,MATCH(O792,Antoine_Name,0),2)-INDEX(Antoines,MATCH(O792,Antoine_Name,0),3)/(INDEX(Antoines,MATCH(O792,Antoine_Name,0),4)+(O799-32)*5/9)))*14.7/760,IF(O793="Crude Oil",EXP((2799/(O799+459.6)-2.227)*LOG10(INDEX(FX_Input,AB$5,O$3*$Z$5+$AA$5))-(7261/(O799+459.6))+12.82),IF(O793="Refined Petroleum Stock",EXP((0.7553-(413/(O799+459.6)))*(INDEX(FX_Input,AB$5,O$3*$Z$5+$AA$5-1)^0.5)*LOG10(INDEX(FX_Input,AB$5,O$3*$Z$5+$AA$5))-(1.854-(1042/(O799+459.6)))*(INDEX(FX_Input,AB$5,O$3*$Z$5+$AA$5-1)^0.5)+((2416/(O799+459.6)-2.013)*LOG10(INDEX(FX_Input,AB$5,O$3*$Z$5+$AA$5)))-(8742/(O799+459.6))+15.64),EXP(INDEX(Antoines,MATCH(O792,Antoine_Name,0),2)-INDEX(Antoines,MATCH(O792,Antoine_Name,0),3)/(O799+459.6))))),0)</f>
        <v>0</v>
      </c>
    </row>
    <row r="809" spans="2:15" ht="17.149999999999999" x14ac:dyDescent="0.55000000000000004">
      <c r="B809" t="str">
        <f t="shared" si="2836"/>
        <v>Portland</v>
      </c>
      <c r="C809" t="s">
        <v>582</v>
      </c>
      <c r="D809">
        <f>D808*D796</f>
        <v>0</v>
      </c>
      <c r="E809">
        <f t="shared" ref="E809" si="2881">E808*E796</f>
        <v>0</v>
      </c>
      <c r="F809">
        <f t="shared" ref="F809" si="2882">F808*F796</f>
        <v>0</v>
      </c>
      <c r="G809">
        <f t="shared" ref="G809" si="2883">G808*G796</f>
        <v>0</v>
      </c>
      <c r="H809">
        <f t="shared" ref="H809" si="2884">H808*H796</f>
        <v>0</v>
      </c>
      <c r="I809">
        <f t="shared" ref="I809" si="2885">I808*I796</f>
        <v>0</v>
      </c>
      <c r="J809">
        <f t="shared" ref="J809" si="2886">J808*J796</f>
        <v>0</v>
      </c>
      <c r="K809">
        <f t="shared" ref="K809" si="2887">K808*K796</f>
        <v>0</v>
      </c>
      <c r="L809">
        <f t="shared" ref="L809" si="2888">L808*L796</f>
        <v>0</v>
      </c>
      <c r="M809">
        <f t="shared" ref="M809" si="2889">M808*M796</f>
        <v>0</v>
      </c>
      <c r="N809">
        <f t="shared" ref="N809" si="2890">N808*N796</f>
        <v>0</v>
      </c>
      <c r="O809">
        <f t="shared" ref="O809" si="2891">O808*O796</f>
        <v>0</v>
      </c>
    </row>
    <row r="810" spans="2:15" ht="17.149999999999999" x14ac:dyDescent="0.55000000000000004">
      <c r="B810" t="str">
        <f t="shared" si="2836"/>
        <v>Portland</v>
      </c>
      <c r="C810" t="s">
        <v>583</v>
      </c>
      <c r="D810">
        <f>D807+D809</f>
        <v>1</v>
      </c>
      <c r="E810">
        <f t="shared" ref="E810" si="2892">E807+E809</f>
        <v>1</v>
      </c>
      <c r="F810">
        <f t="shared" ref="F810" si="2893">F807+F809</f>
        <v>1</v>
      </c>
      <c r="G810">
        <f t="shared" ref="G810" si="2894">G807+G809</f>
        <v>1</v>
      </c>
      <c r="H810">
        <f t="shared" ref="H810" si="2895">H807+H809</f>
        <v>1</v>
      </c>
      <c r="I810">
        <f t="shared" ref="I810" si="2896">I807+I809</f>
        <v>1</v>
      </c>
      <c r="J810">
        <f t="shared" ref="J810" si="2897">J807+J809</f>
        <v>1</v>
      </c>
      <c r="K810">
        <f t="shared" ref="K810" si="2898">K807+K809</f>
        <v>1</v>
      </c>
      <c r="L810">
        <f t="shared" ref="L810" si="2899">L807+L809</f>
        <v>1</v>
      </c>
      <c r="M810">
        <f t="shared" ref="M810" si="2900">M807+M809</f>
        <v>1</v>
      </c>
      <c r="N810">
        <f t="shared" ref="N810" si="2901">N807+N809</f>
        <v>1</v>
      </c>
      <c r="O810">
        <f t="shared" ref="O810" si="2902">O807+O809</f>
        <v>1</v>
      </c>
    </row>
    <row r="811" spans="2:15" ht="17.149999999999999" x14ac:dyDescent="0.55000000000000004">
      <c r="B811" t="str">
        <f t="shared" si="2836"/>
        <v>Portland</v>
      </c>
      <c r="C811" t="s">
        <v>1388</v>
      </c>
      <c r="D811" cm="1">
        <f t="array" ref="D811">IFERROR(IF(D791="Chemical",(10^(INDEX(Antoines,MATCH(D790,Antoine_Name,0),2)-INDEX(Antoines,MATCH(D790,Antoine_Name,0),3)/(INDEX(Antoines,MATCH(D790,Antoine_Name,0),4)+(D800-32)*5/9)))*14.7/760,IF(D791="Crude Oil",EXP((2799/(D800+459.6)-2.227)*LOG10(INDEX(FX_Input,Q$5,D$3*$Z$5+$AA$5))-(7261/(D800+459.6))+12.82),IF(D791="Refined Petroleum Stock",EXP((0.7553-(413/(D800+459.6)))*(INDEX(FX_Input,Q$5,D$3*$Z$5+$AA$5-1)^0.5)*LOG10(INDEX(FX_Input,Q$5,D$3*$Z$5+$AA$5))-(1.854-(1042/(D800+459.6)))*(INDEX(FX_Input,Q$5,D$3*$Z$5+$AA$5-1)^0.5)+((2416/(D800+459.6)-2.013)*LOG10(INDEX(FX_Input,Q$5,D$3*$Z$5+$AA$5)))-(8742/(D800+459.6))+15.64),EXP(INDEX(Antoines,MATCH(D790,Antoine_Name,0),2)-INDEX(Antoines,MATCH(D790,Antoine_Name,0),3)/(D800+459.6))))),0)</f>
        <v>1</v>
      </c>
      <c r="E811" cm="1">
        <f t="array" ref="E811">IFERROR(IF(E791="Chemical",(10^(INDEX(Antoines,MATCH(E790,Antoine_Name,0),2)-INDEX(Antoines,MATCH(E790,Antoine_Name,0),3)/(INDEX(Antoines,MATCH(E790,Antoine_Name,0),4)+(E800-32)*5/9)))*14.7/760,IF(E791="Crude Oil",EXP((2799/(E800+459.6)-2.227)*LOG10(INDEX(FX_Input,R$5,E$3*$Z$5+$AA$5))-(7261/(E800+459.6))+12.82),IF(E791="Refined Petroleum Stock",EXP((0.7553-(413/(E800+459.6)))*(INDEX(FX_Input,R$5,E$3*$Z$5+$AA$5-1)^0.5)*LOG10(INDEX(FX_Input,R$5,E$3*$Z$5+$AA$5))-(1.854-(1042/(E800+459.6)))*(INDEX(FX_Input,R$5,E$3*$Z$5+$AA$5-1)^0.5)+((2416/(E800+459.6)-2.013)*LOG10(INDEX(FX_Input,R$5,E$3*$Z$5+$AA$5)))-(8742/(E800+459.6))+15.64),EXP(INDEX(Antoines,MATCH(E790,Antoine_Name,0),2)-INDEX(Antoines,MATCH(E790,Antoine_Name,0),3)/(E800+459.6))))),0)</f>
        <v>1</v>
      </c>
      <c r="F811" cm="1">
        <f t="array" ref="F811">IFERROR(IF(F791="Chemical",(10^(INDEX(Antoines,MATCH(F790,Antoine_Name,0),2)-INDEX(Antoines,MATCH(F790,Antoine_Name,0),3)/(INDEX(Antoines,MATCH(F790,Antoine_Name,0),4)+(F800-32)*5/9)))*14.7/760,IF(F791="Crude Oil",EXP((2799/(F800+459.6)-2.227)*LOG10(INDEX(FX_Input,S$5,F$3*$Z$5+$AA$5))-(7261/(F800+459.6))+12.82),IF(F791="Refined Petroleum Stock",EXP((0.7553-(413/(F800+459.6)))*(INDEX(FX_Input,S$5,F$3*$Z$5+$AA$5-1)^0.5)*LOG10(INDEX(FX_Input,S$5,F$3*$Z$5+$AA$5))-(1.854-(1042/(F800+459.6)))*(INDEX(FX_Input,S$5,F$3*$Z$5+$AA$5-1)^0.5)+((2416/(F800+459.6)-2.013)*LOG10(INDEX(FX_Input,S$5,F$3*$Z$5+$AA$5)))-(8742/(F800+459.6))+15.64),EXP(INDEX(Antoines,MATCH(F790,Antoine_Name,0),2)-INDEX(Antoines,MATCH(F790,Antoine_Name,0),3)/(F800+459.6))))),0)</f>
        <v>1</v>
      </c>
      <c r="G811" cm="1">
        <f t="array" ref="G811">IFERROR(IF(G791="Chemical",(10^(INDEX(Antoines,MATCH(G790,Antoine_Name,0),2)-INDEX(Antoines,MATCH(G790,Antoine_Name,0),3)/(INDEX(Antoines,MATCH(G790,Antoine_Name,0),4)+(G800-32)*5/9)))*14.7/760,IF(G791="Crude Oil",EXP((2799/(G800+459.6)-2.227)*LOG10(INDEX(FX_Input,T$5,G$3*$Z$5+$AA$5))-(7261/(G800+459.6))+12.82),IF(G791="Refined Petroleum Stock",EXP((0.7553-(413/(G800+459.6)))*(INDEX(FX_Input,T$5,G$3*$Z$5+$AA$5-1)^0.5)*LOG10(INDEX(FX_Input,T$5,G$3*$Z$5+$AA$5))-(1.854-(1042/(G800+459.6)))*(INDEX(FX_Input,T$5,G$3*$Z$5+$AA$5-1)^0.5)+((2416/(G800+459.6)-2.013)*LOG10(INDEX(FX_Input,T$5,G$3*$Z$5+$AA$5)))-(8742/(G800+459.6))+15.64),EXP(INDEX(Antoines,MATCH(G790,Antoine_Name,0),2)-INDEX(Antoines,MATCH(G790,Antoine_Name,0),3)/(G800+459.6))))),0)</f>
        <v>1</v>
      </c>
      <c r="H811" cm="1">
        <f t="array" ref="H811">IFERROR(IF(H791="Chemical",(10^(INDEX(Antoines,MATCH(H790,Antoine_Name,0),2)-INDEX(Antoines,MATCH(H790,Antoine_Name,0),3)/(INDEX(Antoines,MATCH(H790,Antoine_Name,0),4)+(H800-32)*5/9)))*14.7/760,IF(H791="Crude Oil",EXP((2799/(H800+459.6)-2.227)*LOG10(INDEX(FX_Input,U$5,H$3*$Z$5+$AA$5))-(7261/(H800+459.6))+12.82),IF(H791="Refined Petroleum Stock",EXP((0.7553-(413/(H800+459.6)))*(INDEX(FX_Input,U$5,H$3*$Z$5+$AA$5-1)^0.5)*LOG10(INDEX(FX_Input,U$5,H$3*$Z$5+$AA$5))-(1.854-(1042/(H800+459.6)))*(INDEX(FX_Input,U$5,H$3*$Z$5+$AA$5-1)^0.5)+((2416/(H800+459.6)-2.013)*LOG10(INDEX(FX_Input,U$5,H$3*$Z$5+$AA$5)))-(8742/(H800+459.6))+15.64),EXP(INDEX(Antoines,MATCH(H790,Antoine_Name,0),2)-INDEX(Antoines,MATCH(H790,Antoine_Name,0),3)/(H800+459.6))))),0)</f>
        <v>1</v>
      </c>
      <c r="I811" cm="1">
        <f t="array" ref="I811">IFERROR(IF(I791="Chemical",(10^(INDEX(Antoines,MATCH(I790,Antoine_Name,0),2)-INDEX(Antoines,MATCH(I790,Antoine_Name,0),3)/(INDEX(Antoines,MATCH(I790,Antoine_Name,0),4)+(I800-32)*5/9)))*14.7/760,IF(I791="Crude Oil",EXP((2799/(I800+459.6)-2.227)*LOG10(INDEX(FX_Input,V$5,I$3*$Z$5+$AA$5))-(7261/(I800+459.6))+12.82),IF(I791="Refined Petroleum Stock",EXP((0.7553-(413/(I800+459.6)))*(INDEX(FX_Input,V$5,I$3*$Z$5+$AA$5-1)^0.5)*LOG10(INDEX(FX_Input,V$5,I$3*$Z$5+$AA$5))-(1.854-(1042/(I800+459.6)))*(INDEX(FX_Input,V$5,I$3*$Z$5+$AA$5-1)^0.5)+((2416/(I800+459.6)-2.013)*LOG10(INDEX(FX_Input,V$5,I$3*$Z$5+$AA$5)))-(8742/(I800+459.6))+15.64),EXP(INDEX(Antoines,MATCH(I790,Antoine_Name,0),2)-INDEX(Antoines,MATCH(I790,Antoine_Name,0),3)/(I800+459.6))))),0)</f>
        <v>1</v>
      </c>
      <c r="J811" cm="1">
        <f t="array" ref="J811">IFERROR(IF(J791="Chemical",(10^(INDEX(Antoines,MATCH(J790,Antoine_Name,0),2)-INDEX(Antoines,MATCH(J790,Antoine_Name,0),3)/(INDEX(Antoines,MATCH(J790,Antoine_Name,0),4)+(J800-32)*5/9)))*14.7/760,IF(J791="Crude Oil",EXP((2799/(J800+459.6)-2.227)*LOG10(INDEX(FX_Input,W$5,J$3*$Z$5+$AA$5))-(7261/(J800+459.6))+12.82),IF(J791="Refined Petroleum Stock",EXP((0.7553-(413/(J800+459.6)))*(INDEX(FX_Input,W$5,J$3*$Z$5+$AA$5-1)^0.5)*LOG10(INDEX(FX_Input,W$5,J$3*$Z$5+$AA$5))-(1.854-(1042/(J800+459.6)))*(INDEX(FX_Input,W$5,J$3*$Z$5+$AA$5-1)^0.5)+((2416/(J800+459.6)-2.013)*LOG10(INDEX(FX_Input,W$5,J$3*$Z$5+$AA$5)))-(8742/(J800+459.6))+15.64),EXP(INDEX(Antoines,MATCH(J790,Antoine_Name,0),2)-INDEX(Antoines,MATCH(J790,Antoine_Name,0),3)/(J800+459.6))))),0)</f>
        <v>1</v>
      </c>
      <c r="K811" cm="1">
        <f t="array" ref="K811">IFERROR(IF(K791="Chemical",(10^(INDEX(Antoines,MATCH(K790,Antoine_Name,0),2)-INDEX(Antoines,MATCH(K790,Antoine_Name,0),3)/(INDEX(Antoines,MATCH(K790,Antoine_Name,0),4)+(K800-32)*5/9)))*14.7/760,IF(K791="Crude Oil",EXP((2799/(K800+459.6)-2.227)*LOG10(INDEX(FX_Input,X$5,K$3*$Z$5+$AA$5))-(7261/(K800+459.6))+12.82),IF(K791="Refined Petroleum Stock",EXP((0.7553-(413/(K800+459.6)))*(INDEX(FX_Input,X$5,K$3*$Z$5+$AA$5-1)^0.5)*LOG10(INDEX(FX_Input,X$5,K$3*$Z$5+$AA$5))-(1.854-(1042/(K800+459.6)))*(INDEX(FX_Input,X$5,K$3*$Z$5+$AA$5-1)^0.5)+((2416/(K800+459.6)-2.013)*LOG10(INDEX(FX_Input,X$5,K$3*$Z$5+$AA$5)))-(8742/(K800+459.6))+15.64),EXP(INDEX(Antoines,MATCH(K790,Antoine_Name,0),2)-INDEX(Antoines,MATCH(K790,Antoine_Name,0),3)/(K800+459.6))))),0)</f>
        <v>1</v>
      </c>
      <c r="L811" cm="1">
        <f t="array" ref="L811">IFERROR(IF(L791="Chemical",(10^(INDEX(Antoines,MATCH(L790,Antoine_Name,0),2)-INDEX(Antoines,MATCH(L790,Antoine_Name,0),3)/(INDEX(Antoines,MATCH(L790,Antoine_Name,0),4)+(L800-32)*5/9)))*14.7/760,IF(L791="Crude Oil",EXP((2799/(L800+459.6)-2.227)*LOG10(INDEX(FX_Input,Y$5,L$3*$Z$5+$AA$5))-(7261/(L800+459.6))+12.82),IF(L791="Refined Petroleum Stock",EXP((0.7553-(413/(L800+459.6)))*(INDEX(FX_Input,Y$5,L$3*$Z$5+$AA$5-1)^0.5)*LOG10(INDEX(FX_Input,Y$5,L$3*$Z$5+$AA$5))-(1.854-(1042/(L800+459.6)))*(INDEX(FX_Input,Y$5,L$3*$Z$5+$AA$5-1)^0.5)+((2416/(L800+459.6)-2.013)*LOG10(INDEX(FX_Input,Y$5,L$3*$Z$5+$AA$5)))-(8742/(L800+459.6))+15.64),EXP(INDEX(Antoines,MATCH(L790,Antoine_Name,0),2)-INDEX(Antoines,MATCH(L790,Antoine_Name,0),3)/(L800+459.6))))),0)</f>
        <v>1</v>
      </c>
      <c r="M811" cm="1">
        <f t="array" ref="M811">IFERROR(IF(M791="Chemical",(10^(INDEX(Antoines,MATCH(M790,Antoine_Name,0),2)-INDEX(Antoines,MATCH(M790,Antoine_Name,0),3)/(INDEX(Antoines,MATCH(M790,Antoine_Name,0),4)+(M800-32)*5/9)))*14.7/760,IF(M791="Crude Oil",EXP((2799/(M800+459.6)-2.227)*LOG10(INDEX(FX_Input,Z$5,M$3*$Z$5+$AA$5))-(7261/(M800+459.6))+12.82),IF(M791="Refined Petroleum Stock",EXP((0.7553-(413/(M800+459.6)))*(INDEX(FX_Input,Z$5,M$3*$Z$5+$AA$5-1)^0.5)*LOG10(INDEX(FX_Input,Z$5,M$3*$Z$5+$AA$5))-(1.854-(1042/(M800+459.6)))*(INDEX(FX_Input,Z$5,M$3*$Z$5+$AA$5-1)^0.5)+((2416/(M800+459.6)-2.013)*LOG10(INDEX(FX_Input,Z$5,M$3*$Z$5+$AA$5)))-(8742/(M800+459.6))+15.64),EXP(INDEX(Antoines,MATCH(M790,Antoine_Name,0),2)-INDEX(Antoines,MATCH(M790,Antoine_Name,0),3)/(M800+459.6))))),0)</f>
        <v>1</v>
      </c>
      <c r="N811" cm="1">
        <f t="array" ref="N811">IFERROR(IF(N791="Chemical",(10^(INDEX(Antoines,MATCH(N790,Antoine_Name,0),2)-INDEX(Antoines,MATCH(N790,Antoine_Name,0),3)/(INDEX(Antoines,MATCH(N790,Antoine_Name,0),4)+(N800-32)*5/9)))*14.7/760,IF(N791="Crude Oil",EXP((2799/(N800+459.6)-2.227)*LOG10(INDEX(FX_Input,AA$5,N$3*$Z$5+$AA$5))-(7261/(N800+459.6))+12.82),IF(N791="Refined Petroleum Stock",EXP((0.7553-(413/(N800+459.6)))*(INDEX(FX_Input,AA$5,N$3*$Z$5+$AA$5-1)^0.5)*LOG10(INDEX(FX_Input,AA$5,N$3*$Z$5+$AA$5))-(1.854-(1042/(N800+459.6)))*(INDEX(FX_Input,AA$5,N$3*$Z$5+$AA$5-1)^0.5)+((2416/(N800+459.6)-2.013)*LOG10(INDEX(FX_Input,AA$5,N$3*$Z$5+$AA$5)))-(8742/(N800+459.6))+15.64),EXP(INDEX(Antoines,MATCH(N790,Antoine_Name,0),2)-INDEX(Antoines,MATCH(N790,Antoine_Name,0),3)/(N800+459.6))))),0)</f>
        <v>1</v>
      </c>
      <c r="O811" cm="1">
        <f t="array" ref="O811">IFERROR(IF(O791="Chemical",(10^(INDEX(Antoines,MATCH(O790,Antoine_Name,0),2)-INDEX(Antoines,MATCH(O790,Antoine_Name,0),3)/(INDEX(Antoines,MATCH(O790,Antoine_Name,0),4)+(O800-32)*5/9)))*14.7/760,IF(O791="Crude Oil",EXP((2799/(O800+459.6)-2.227)*LOG10(INDEX(FX_Input,AB$5,O$3*$Z$5+$AA$5))-(7261/(O800+459.6))+12.82),IF(O791="Refined Petroleum Stock",EXP((0.7553-(413/(O800+459.6)))*(INDEX(FX_Input,AB$5,O$3*$Z$5+$AA$5-1)^0.5)*LOG10(INDEX(FX_Input,AB$5,O$3*$Z$5+$AA$5))-(1.854-(1042/(O800+459.6)))*(INDEX(FX_Input,AB$5,O$3*$Z$5+$AA$5-1)^0.5)+((2416/(O800+459.6)-2.013)*LOG10(INDEX(FX_Input,AB$5,O$3*$Z$5+$AA$5)))-(8742/(O800+459.6))+15.64),EXP(INDEX(Antoines,MATCH(O790,Antoine_Name,0),2)-INDEX(Antoines,MATCH(O790,Antoine_Name,0),3)/(O800+459.6))))),0)</f>
        <v>1</v>
      </c>
    </row>
    <row r="812" spans="2:15" ht="17.149999999999999" x14ac:dyDescent="0.55000000000000004">
      <c r="B812" t="str">
        <f t="shared" si="2836"/>
        <v>Portland</v>
      </c>
      <c r="C812" t="s">
        <v>1389</v>
      </c>
      <c r="D812">
        <f>D811*D794</f>
        <v>1</v>
      </c>
      <c r="E812">
        <f t="shared" ref="E812" si="2903">E811*E794</f>
        <v>1</v>
      </c>
      <c r="F812">
        <f t="shared" ref="F812" si="2904">F811*F794</f>
        <v>1</v>
      </c>
      <c r="G812">
        <f t="shared" ref="G812" si="2905">G811*G794</f>
        <v>1</v>
      </c>
      <c r="H812">
        <f t="shared" ref="H812" si="2906">H811*H794</f>
        <v>1</v>
      </c>
      <c r="I812">
        <f t="shared" ref="I812" si="2907">I811*I794</f>
        <v>1</v>
      </c>
      <c r="J812">
        <f t="shared" ref="J812" si="2908">J811*J794</f>
        <v>1</v>
      </c>
      <c r="K812">
        <f t="shared" ref="K812" si="2909">K811*K794</f>
        <v>1</v>
      </c>
      <c r="L812">
        <f t="shared" ref="L812" si="2910">L811*L794</f>
        <v>1</v>
      </c>
      <c r="M812">
        <f t="shared" ref="M812" si="2911">M811*M794</f>
        <v>1</v>
      </c>
      <c r="N812">
        <f t="shared" ref="N812" si="2912">N811*N794</f>
        <v>1</v>
      </c>
      <c r="O812">
        <f t="shared" ref="O812" si="2913">O811*O794</f>
        <v>1</v>
      </c>
    </row>
    <row r="813" spans="2:15" ht="17.149999999999999" x14ac:dyDescent="0.55000000000000004">
      <c r="B813" t="str">
        <f t="shared" si="2836"/>
        <v>Portland</v>
      </c>
      <c r="C813" t="s">
        <v>1390</v>
      </c>
      <c r="D813" cm="1">
        <f t="array" ref="D813">IFERROR(IF(D793="Chemical",(10^(INDEX(Antoines,MATCH(D792,Antoine_Name,0),2)-INDEX(Antoines,MATCH(D792,Antoine_Name,0),3)/(INDEX(Antoines,MATCH(D792,Antoine_Name,0),4)+(D800-32)*5/9)))*14.7/760,IF(D793="Crude Oil",EXP((2799/(D800+459.6)-2.227)*LOG10(INDEX(FX_Input,Q$5,D$3*$Z$5+$AA$5))-(7261/(D800+459.6))+12.82),IF(D793="Refined Petroleum Stock",EXP((0.7553-(413/(D800+459.6)))*(INDEX(FX_Input,Q$5,D$3*$Z$5+$AA$5-1)^0.5)*LOG10(INDEX(FX_Input,Q$5,D$3*$Z$5+$AA$5))-(1.854-(1042/(D800+459.6)))*(INDEX(FX_Input,Q$5,D$3*$Z$5+$AA$5-1)^0.5)+((2416/(D800+459.6)-2.013)*LOG10(INDEX(FX_Input,Q$5,D$3*$Z$5+$AA$5)))-(8742/(D800+459.6))+15.64),EXP(INDEX(Antoines,MATCH(D792,Antoine_Name,0),2)-INDEX(Antoines,MATCH(D792,Antoine_Name,0),3)/(D800+459.6))))),0)</f>
        <v>0</v>
      </c>
      <c r="E813" cm="1">
        <f t="array" ref="E813">IFERROR(IF(E793="Chemical",(10^(INDEX(Antoines,MATCH(E792,Antoine_Name,0),2)-INDEX(Antoines,MATCH(E792,Antoine_Name,0),3)/(INDEX(Antoines,MATCH(E792,Antoine_Name,0),4)+(E800-32)*5/9)))*14.7/760,IF(E793="Crude Oil",EXP((2799/(E800+459.6)-2.227)*LOG10(INDEX(FX_Input,R$5,E$3*$Z$5+$AA$5))-(7261/(E800+459.6))+12.82),IF(E793="Refined Petroleum Stock",EXP((0.7553-(413/(E800+459.6)))*(INDEX(FX_Input,R$5,E$3*$Z$5+$AA$5-1)^0.5)*LOG10(INDEX(FX_Input,R$5,E$3*$Z$5+$AA$5))-(1.854-(1042/(E800+459.6)))*(INDEX(FX_Input,R$5,E$3*$Z$5+$AA$5-1)^0.5)+((2416/(E800+459.6)-2.013)*LOG10(INDEX(FX_Input,R$5,E$3*$Z$5+$AA$5)))-(8742/(E800+459.6))+15.64),EXP(INDEX(Antoines,MATCH(E792,Antoine_Name,0),2)-INDEX(Antoines,MATCH(E792,Antoine_Name,0),3)/(E800+459.6))))),0)</f>
        <v>0</v>
      </c>
      <c r="F813" cm="1">
        <f t="array" ref="F813">IFERROR(IF(F793="Chemical",(10^(INDEX(Antoines,MATCH(F792,Antoine_Name,0),2)-INDEX(Antoines,MATCH(F792,Antoine_Name,0),3)/(INDEX(Antoines,MATCH(F792,Antoine_Name,0),4)+(F800-32)*5/9)))*14.7/760,IF(F793="Crude Oil",EXP((2799/(F800+459.6)-2.227)*LOG10(INDEX(FX_Input,S$5,F$3*$Z$5+$AA$5))-(7261/(F800+459.6))+12.82),IF(F793="Refined Petroleum Stock",EXP((0.7553-(413/(F800+459.6)))*(INDEX(FX_Input,S$5,F$3*$Z$5+$AA$5-1)^0.5)*LOG10(INDEX(FX_Input,S$5,F$3*$Z$5+$AA$5))-(1.854-(1042/(F800+459.6)))*(INDEX(FX_Input,S$5,F$3*$Z$5+$AA$5-1)^0.5)+((2416/(F800+459.6)-2.013)*LOG10(INDEX(FX_Input,S$5,F$3*$Z$5+$AA$5)))-(8742/(F800+459.6))+15.64),EXP(INDEX(Antoines,MATCH(F792,Antoine_Name,0),2)-INDEX(Antoines,MATCH(F792,Antoine_Name,0),3)/(F800+459.6))))),0)</f>
        <v>0</v>
      </c>
      <c r="G813" cm="1">
        <f t="array" ref="G813">IFERROR(IF(G793="Chemical",(10^(INDEX(Antoines,MATCH(G792,Antoine_Name,0),2)-INDEX(Antoines,MATCH(G792,Antoine_Name,0),3)/(INDEX(Antoines,MATCH(G792,Antoine_Name,0),4)+(G800-32)*5/9)))*14.7/760,IF(G793="Crude Oil",EXP((2799/(G800+459.6)-2.227)*LOG10(INDEX(FX_Input,T$5,G$3*$Z$5+$AA$5))-(7261/(G800+459.6))+12.82),IF(G793="Refined Petroleum Stock",EXP((0.7553-(413/(G800+459.6)))*(INDEX(FX_Input,T$5,G$3*$Z$5+$AA$5-1)^0.5)*LOG10(INDEX(FX_Input,T$5,G$3*$Z$5+$AA$5))-(1.854-(1042/(G800+459.6)))*(INDEX(FX_Input,T$5,G$3*$Z$5+$AA$5-1)^0.5)+((2416/(G800+459.6)-2.013)*LOG10(INDEX(FX_Input,T$5,G$3*$Z$5+$AA$5)))-(8742/(G800+459.6))+15.64),EXP(INDEX(Antoines,MATCH(G792,Antoine_Name,0),2)-INDEX(Antoines,MATCH(G792,Antoine_Name,0),3)/(G800+459.6))))),0)</f>
        <v>0</v>
      </c>
      <c r="H813" cm="1">
        <f t="array" ref="H813">IFERROR(IF(H793="Chemical",(10^(INDEX(Antoines,MATCH(H792,Antoine_Name,0),2)-INDEX(Antoines,MATCH(H792,Antoine_Name,0),3)/(INDEX(Antoines,MATCH(H792,Antoine_Name,0),4)+(H800-32)*5/9)))*14.7/760,IF(H793="Crude Oil",EXP((2799/(H800+459.6)-2.227)*LOG10(INDEX(FX_Input,U$5,H$3*$Z$5+$AA$5))-(7261/(H800+459.6))+12.82),IF(H793="Refined Petroleum Stock",EXP((0.7553-(413/(H800+459.6)))*(INDEX(FX_Input,U$5,H$3*$Z$5+$AA$5-1)^0.5)*LOG10(INDEX(FX_Input,U$5,H$3*$Z$5+$AA$5))-(1.854-(1042/(H800+459.6)))*(INDEX(FX_Input,U$5,H$3*$Z$5+$AA$5-1)^0.5)+((2416/(H800+459.6)-2.013)*LOG10(INDEX(FX_Input,U$5,H$3*$Z$5+$AA$5)))-(8742/(H800+459.6))+15.64),EXP(INDEX(Antoines,MATCH(H792,Antoine_Name,0),2)-INDEX(Antoines,MATCH(H792,Antoine_Name,0),3)/(H800+459.6))))),0)</f>
        <v>0</v>
      </c>
      <c r="I813" cm="1">
        <f t="array" ref="I813">IFERROR(IF(I793="Chemical",(10^(INDEX(Antoines,MATCH(I792,Antoine_Name,0),2)-INDEX(Antoines,MATCH(I792,Antoine_Name,0),3)/(INDEX(Antoines,MATCH(I792,Antoine_Name,0),4)+(I800-32)*5/9)))*14.7/760,IF(I793="Crude Oil",EXP((2799/(I800+459.6)-2.227)*LOG10(INDEX(FX_Input,V$5,I$3*$Z$5+$AA$5))-(7261/(I800+459.6))+12.82),IF(I793="Refined Petroleum Stock",EXP((0.7553-(413/(I800+459.6)))*(INDEX(FX_Input,V$5,I$3*$Z$5+$AA$5-1)^0.5)*LOG10(INDEX(FX_Input,V$5,I$3*$Z$5+$AA$5))-(1.854-(1042/(I800+459.6)))*(INDEX(FX_Input,V$5,I$3*$Z$5+$AA$5-1)^0.5)+((2416/(I800+459.6)-2.013)*LOG10(INDEX(FX_Input,V$5,I$3*$Z$5+$AA$5)))-(8742/(I800+459.6))+15.64),EXP(INDEX(Antoines,MATCH(I792,Antoine_Name,0),2)-INDEX(Antoines,MATCH(I792,Antoine_Name,0),3)/(I800+459.6))))),0)</f>
        <v>0</v>
      </c>
      <c r="J813" cm="1">
        <f t="array" ref="J813">IFERROR(IF(J793="Chemical",(10^(INDEX(Antoines,MATCH(J792,Antoine_Name,0),2)-INDEX(Antoines,MATCH(J792,Antoine_Name,0),3)/(INDEX(Antoines,MATCH(J792,Antoine_Name,0),4)+(J800-32)*5/9)))*14.7/760,IF(J793="Crude Oil",EXP((2799/(J800+459.6)-2.227)*LOG10(INDEX(FX_Input,W$5,J$3*$Z$5+$AA$5))-(7261/(J800+459.6))+12.82),IF(J793="Refined Petroleum Stock",EXP((0.7553-(413/(J800+459.6)))*(INDEX(FX_Input,W$5,J$3*$Z$5+$AA$5-1)^0.5)*LOG10(INDEX(FX_Input,W$5,J$3*$Z$5+$AA$5))-(1.854-(1042/(J800+459.6)))*(INDEX(FX_Input,W$5,J$3*$Z$5+$AA$5-1)^0.5)+((2416/(J800+459.6)-2.013)*LOG10(INDEX(FX_Input,W$5,J$3*$Z$5+$AA$5)))-(8742/(J800+459.6))+15.64),EXP(INDEX(Antoines,MATCH(J792,Antoine_Name,0),2)-INDEX(Antoines,MATCH(J792,Antoine_Name,0),3)/(J800+459.6))))),0)</f>
        <v>0</v>
      </c>
      <c r="K813" cm="1">
        <f t="array" ref="K813">IFERROR(IF(K793="Chemical",(10^(INDEX(Antoines,MATCH(K792,Antoine_Name,0),2)-INDEX(Antoines,MATCH(K792,Antoine_Name,0),3)/(INDEX(Antoines,MATCH(K792,Antoine_Name,0),4)+(K800-32)*5/9)))*14.7/760,IF(K793="Crude Oil",EXP((2799/(K800+459.6)-2.227)*LOG10(INDEX(FX_Input,X$5,K$3*$Z$5+$AA$5))-(7261/(K800+459.6))+12.82),IF(K793="Refined Petroleum Stock",EXP((0.7553-(413/(K800+459.6)))*(INDEX(FX_Input,X$5,K$3*$Z$5+$AA$5-1)^0.5)*LOG10(INDEX(FX_Input,X$5,K$3*$Z$5+$AA$5))-(1.854-(1042/(K800+459.6)))*(INDEX(FX_Input,X$5,K$3*$Z$5+$AA$5-1)^0.5)+((2416/(K800+459.6)-2.013)*LOG10(INDEX(FX_Input,X$5,K$3*$Z$5+$AA$5)))-(8742/(K800+459.6))+15.64),EXP(INDEX(Antoines,MATCH(K792,Antoine_Name,0),2)-INDEX(Antoines,MATCH(K792,Antoine_Name,0),3)/(K800+459.6))))),0)</f>
        <v>0</v>
      </c>
      <c r="L813" cm="1">
        <f t="array" ref="L813">IFERROR(IF(L793="Chemical",(10^(INDEX(Antoines,MATCH(L792,Antoine_Name,0),2)-INDEX(Antoines,MATCH(L792,Antoine_Name,0),3)/(INDEX(Antoines,MATCH(L792,Antoine_Name,0),4)+(L800-32)*5/9)))*14.7/760,IF(L793="Crude Oil",EXP((2799/(L800+459.6)-2.227)*LOG10(INDEX(FX_Input,Y$5,L$3*$Z$5+$AA$5))-(7261/(L800+459.6))+12.82),IF(L793="Refined Petroleum Stock",EXP((0.7553-(413/(L800+459.6)))*(INDEX(FX_Input,Y$5,L$3*$Z$5+$AA$5-1)^0.5)*LOG10(INDEX(FX_Input,Y$5,L$3*$Z$5+$AA$5))-(1.854-(1042/(L800+459.6)))*(INDEX(FX_Input,Y$5,L$3*$Z$5+$AA$5-1)^0.5)+((2416/(L800+459.6)-2.013)*LOG10(INDEX(FX_Input,Y$5,L$3*$Z$5+$AA$5)))-(8742/(L800+459.6))+15.64),EXP(INDEX(Antoines,MATCH(L792,Antoine_Name,0),2)-INDEX(Antoines,MATCH(L792,Antoine_Name,0),3)/(L800+459.6))))),0)</f>
        <v>0</v>
      </c>
      <c r="M813" cm="1">
        <f t="array" ref="M813">IFERROR(IF(M793="Chemical",(10^(INDEX(Antoines,MATCH(M792,Antoine_Name,0),2)-INDEX(Antoines,MATCH(M792,Antoine_Name,0),3)/(INDEX(Antoines,MATCH(M792,Antoine_Name,0),4)+(M800-32)*5/9)))*14.7/760,IF(M793="Crude Oil",EXP((2799/(M800+459.6)-2.227)*LOG10(INDEX(FX_Input,Z$5,M$3*$Z$5+$AA$5))-(7261/(M800+459.6))+12.82),IF(M793="Refined Petroleum Stock",EXP((0.7553-(413/(M800+459.6)))*(INDEX(FX_Input,Z$5,M$3*$Z$5+$AA$5-1)^0.5)*LOG10(INDEX(FX_Input,Z$5,M$3*$Z$5+$AA$5))-(1.854-(1042/(M800+459.6)))*(INDEX(FX_Input,Z$5,M$3*$Z$5+$AA$5-1)^0.5)+((2416/(M800+459.6)-2.013)*LOG10(INDEX(FX_Input,Z$5,M$3*$Z$5+$AA$5)))-(8742/(M800+459.6))+15.64),EXP(INDEX(Antoines,MATCH(M792,Antoine_Name,0),2)-INDEX(Antoines,MATCH(M792,Antoine_Name,0),3)/(M800+459.6))))),0)</f>
        <v>0</v>
      </c>
      <c r="N813" cm="1">
        <f t="array" ref="N813">IFERROR(IF(N793="Chemical",(10^(INDEX(Antoines,MATCH(N792,Antoine_Name,0),2)-INDEX(Antoines,MATCH(N792,Antoine_Name,0),3)/(INDEX(Antoines,MATCH(N792,Antoine_Name,0),4)+(N800-32)*5/9)))*14.7/760,IF(N793="Crude Oil",EXP((2799/(N800+459.6)-2.227)*LOG10(INDEX(FX_Input,AA$5,N$3*$Z$5+$AA$5))-(7261/(N800+459.6))+12.82),IF(N793="Refined Petroleum Stock",EXP((0.7553-(413/(N800+459.6)))*(INDEX(FX_Input,AA$5,N$3*$Z$5+$AA$5-1)^0.5)*LOG10(INDEX(FX_Input,AA$5,N$3*$Z$5+$AA$5))-(1.854-(1042/(N800+459.6)))*(INDEX(FX_Input,AA$5,N$3*$Z$5+$AA$5-1)^0.5)+((2416/(N800+459.6)-2.013)*LOG10(INDEX(FX_Input,AA$5,N$3*$Z$5+$AA$5)))-(8742/(N800+459.6))+15.64),EXP(INDEX(Antoines,MATCH(N792,Antoine_Name,0),2)-INDEX(Antoines,MATCH(N792,Antoine_Name,0),3)/(N800+459.6))))),0)</f>
        <v>0</v>
      </c>
      <c r="O813" cm="1">
        <f t="array" ref="O813">IFERROR(IF(O793="Chemical",(10^(INDEX(Antoines,MATCH(O792,Antoine_Name,0),2)-INDEX(Antoines,MATCH(O792,Antoine_Name,0),3)/(INDEX(Antoines,MATCH(O792,Antoine_Name,0),4)+(O800-32)*5/9)))*14.7/760,IF(O793="Crude Oil",EXP((2799/(O800+459.6)-2.227)*LOG10(INDEX(FX_Input,AB$5,O$3*$Z$5+$AA$5))-(7261/(O800+459.6))+12.82),IF(O793="Refined Petroleum Stock",EXP((0.7553-(413/(O800+459.6)))*(INDEX(FX_Input,AB$5,O$3*$Z$5+$AA$5-1)^0.5)*LOG10(INDEX(FX_Input,AB$5,O$3*$Z$5+$AA$5))-(1.854-(1042/(O800+459.6)))*(INDEX(FX_Input,AB$5,O$3*$Z$5+$AA$5-1)^0.5)+((2416/(O800+459.6)-2.013)*LOG10(INDEX(FX_Input,AB$5,O$3*$Z$5+$AA$5)))-(8742/(O800+459.6))+15.64),EXP(INDEX(Antoines,MATCH(O792,Antoine_Name,0),2)-INDEX(Antoines,MATCH(O792,Antoine_Name,0),3)/(O800+459.6))))),0)</f>
        <v>0</v>
      </c>
    </row>
    <row r="814" spans="2:15" ht="17.149999999999999" x14ac:dyDescent="0.55000000000000004">
      <c r="B814" t="str">
        <f t="shared" si="2836"/>
        <v>Portland</v>
      </c>
      <c r="C814" t="s">
        <v>1391</v>
      </c>
      <c r="D814">
        <f>D813*D796</f>
        <v>0</v>
      </c>
      <c r="E814">
        <f t="shared" ref="E814" si="2914">E813*E796</f>
        <v>0</v>
      </c>
      <c r="F814">
        <f t="shared" ref="F814" si="2915">F813*F796</f>
        <v>0</v>
      </c>
      <c r="G814">
        <f t="shared" ref="G814" si="2916">G813*G796</f>
        <v>0</v>
      </c>
      <c r="H814">
        <f t="shared" ref="H814" si="2917">H813*H796</f>
        <v>0</v>
      </c>
      <c r="I814">
        <f t="shared" ref="I814" si="2918">I813*I796</f>
        <v>0</v>
      </c>
      <c r="J814">
        <f t="shared" ref="J814" si="2919">J813*J796</f>
        <v>0</v>
      </c>
      <c r="K814">
        <f t="shared" ref="K814" si="2920">K813*K796</f>
        <v>0</v>
      </c>
      <c r="L814">
        <f t="shared" ref="L814" si="2921">L813*L796</f>
        <v>0</v>
      </c>
      <c r="M814">
        <f t="shared" ref="M814" si="2922">M813*M796</f>
        <v>0</v>
      </c>
      <c r="N814">
        <f t="shared" ref="N814" si="2923">N813*N796</f>
        <v>0</v>
      </c>
      <c r="O814">
        <f t="shared" ref="O814" si="2924">O813*O796</f>
        <v>0</v>
      </c>
    </row>
    <row r="815" spans="2:15" ht="17.149999999999999" x14ac:dyDescent="0.55000000000000004">
      <c r="B815" t="str">
        <f t="shared" si="2836"/>
        <v>Portland</v>
      </c>
      <c r="C815" t="s">
        <v>1392</v>
      </c>
      <c r="D815">
        <f>D812+D814</f>
        <v>1</v>
      </c>
      <c r="E815">
        <f t="shared" ref="E815" si="2925">E812+E814</f>
        <v>1</v>
      </c>
      <c r="F815">
        <f t="shared" ref="F815" si="2926">F812+F814</f>
        <v>1</v>
      </c>
      <c r="G815">
        <f t="shared" ref="G815" si="2927">G812+G814</f>
        <v>1</v>
      </c>
      <c r="H815">
        <f t="shared" ref="H815" si="2928">H812+H814</f>
        <v>1</v>
      </c>
      <c r="I815">
        <f t="shared" ref="I815" si="2929">I812+I814</f>
        <v>1</v>
      </c>
      <c r="J815">
        <f t="shared" ref="J815" si="2930">J812+J814</f>
        <v>1</v>
      </c>
      <c r="K815">
        <f t="shared" ref="K815" si="2931">K812+K814</f>
        <v>1</v>
      </c>
      <c r="L815">
        <f t="shared" ref="L815" si="2932">L812+L814</f>
        <v>1</v>
      </c>
      <c r="M815">
        <f t="shared" ref="M815" si="2933">M812+M814</f>
        <v>1</v>
      </c>
      <c r="N815">
        <f t="shared" ref="N815" si="2934">N812+N814</f>
        <v>1</v>
      </c>
      <c r="O815">
        <f t="shared" ref="O815" si="2935">O812+O814</f>
        <v>1</v>
      </c>
    </row>
    <row r="816" spans="2:15" ht="17.149999999999999" x14ac:dyDescent="0.55000000000000004">
      <c r="B816" t="str">
        <f>B810</f>
        <v>Portland</v>
      </c>
      <c r="C816" t="s">
        <v>584</v>
      </c>
      <c r="D816">
        <f>D812/D815</f>
        <v>1</v>
      </c>
      <c r="E816">
        <f t="shared" ref="E816" si="2936">E812/E815</f>
        <v>1</v>
      </c>
      <c r="F816">
        <f t="shared" ref="F816" si="2937">F812/F815</f>
        <v>1</v>
      </c>
      <c r="G816">
        <f t="shared" ref="G816" si="2938">G812/G815</f>
        <v>1</v>
      </c>
      <c r="H816">
        <f t="shared" ref="H816" si="2939">H812/H815</f>
        <v>1</v>
      </c>
      <c r="I816">
        <f t="shared" ref="I816" si="2940">I812/I815</f>
        <v>1</v>
      </c>
      <c r="J816">
        <f t="shared" ref="J816" si="2941">J812/J815</f>
        <v>1</v>
      </c>
      <c r="K816">
        <f t="shared" ref="K816" si="2942">K812/K815</f>
        <v>1</v>
      </c>
      <c r="L816">
        <f t="shared" ref="L816" si="2943">L812/L815</f>
        <v>1</v>
      </c>
      <c r="M816">
        <f t="shared" ref="M816" si="2944">M812/M815</f>
        <v>1</v>
      </c>
      <c r="N816">
        <f t="shared" ref="N816" si="2945">N812/N815</f>
        <v>1</v>
      </c>
      <c r="O816">
        <f t="shared" ref="O816" si="2946">O812/O815</f>
        <v>1</v>
      </c>
    </row>
    <row r="817" spans="1:32" ht="17.149999999999999" x14ac:dyDescent="0.55000000000000004">
      <c r="B817" t="str">
        <f>B811</f>
        <v>Portland</v>
      </c>
      <c r="C817" t="s">
        <v>585</v>
      </c>
      <c r="D817" t="str">
        <f t="shared" ref="D817:O817" si="2947">INDEX(Phys_Prop,MATCH(D790,Chem_List,0),3)</f>
        <v>N/A</v>
      </c>
      <c r="E817" t="str">
        <f t="shared" si="2947"/>
        <v>N/A</v>
      </c>
      <c r="F817" t="str">
        <f t="shared" si="2947"/>
        <v>N/A</v>
      </c>
      <c r="G817" t="str">
        <f t="shared" si="2947"/>
        <v>N/A</v>
      </c>
      <c r="H817" t="str">
        <f t="shared" si="2947"/>
        <v>N/A</v>
      </c>
      <c r="I817" t="str">
        <f t="shared" si="2947"/>
        <v>N/A</v>
      </c>
      <c r="J817" t="str">
        <f t="shared" si="2947"/>
        <v>N/A</v>
      </c>
      <c r="K817" t="str">
        <f t="shared" si="2947"/>
        <v>N/A</v>
      </c>
      <c r="L817" t="str">
        <f t="shared" si="2947"/>
        <v>N/A</v>
      </c>
      <c r="M817" t="str">
        <f t="shared" si="2947"/>
        <v>N/A</v>
      </c>
      <c r="N817" t="str">
        <f t="shared" si="2947"/>
        <v>N/A</v>
      </c>
      <c r="O817" t="str">
        <f t="shared" si="2947"/>
        <v>N/A</v>
      </c>
    </row>
    <row r="818" spans="1:32" ht="17.149999999999999" x14ac:dyDescent="0.55000000000000004">
      <c r="B818" t="str">
        <f>B817</f>
        <v>Portland</v>
      </c>
      <c r="C818" t="s">
        <v>586</v>
      </c>
      <c r="D818">
        <f>D814/D815</f>
        <v>0</v>
      </c>
      <c r="E818">
        <f t="shared" ref="E818:O818" si="2948">E814/E815</f>
        <v>0</v>
      </c>
      <c r="F818">
        <f t="shared" si="2948"/>
        <v>0</v>
      </c>
      <c r="G818">
        <f t="shared" si="2948"/>
        <v>0</v>
      </c>
      <c r="H818">
        <f t="shared" si="2948"/>
        <v>0</v>
      </c>
      <c r="I818">
        <f t="shared" si="2948"/>
        <v>0</v>
      </c>
      <c r="J818">
        <f t="shared" si="2948"/>
        <v>0</v>
      </c>
      <c r="K818">
        <f t="shared" si="2948"/>
        <v>0</v>
      </c>
      <c r="L818">
        <f t="shared" si="2948"/>
        <v>0</v>
      </c>
      <c r="M818">
        <f t="shared" si="2948"/>
        <v>0</v>
      </c>
      <c r="N818">
        <f t="shared" si="2948"/>
        <v>0</v>
      </c>
      <c r="O818">
        <f t="shared" si="2948"/>
        <v>0</v>
      </c>
    </row>
    <row r="819" spans="1:32" ht="17.149999999999999" x14ac:dyDescent="0.55000000000000004">
      <c r="B819" t="str">
        <f t="shared" si="2836"/>
        <v>Portland</v>
      </c>
      <c r="C819" t="s">
        <v>587</v>
      </c>
      <c r="D819">
        <f t="shared" ref="D819:O819" si="2949">IFERROR(INDEX(Phys_Prop,MATCH(D792,Chem_List,0),3),0)</f>
        <v>0</v>
      </c>
      <c r="E819">
        <f t="shared" si="2949"/>
        <v>0</v>
      </c>
      <c r="F819">
        <f t="shared" si="2949"/>
        <v>0</v>
      </c>
      <c r="G819">
        <f t="shared" si="2949"/>
        <v>0</v>
      </c>
      <c r="H819">
        <f t="shared" si="2949"/>
        <v>0</v>
      </c>
      <c r="I819">
        <f t="shared" si="2949"/>
        <v>0</v>
      </c>
      <c r="J819">
        <f t="shared" si="2949"/>
        <v>0</v>
      </c>
      <c r="K819">
        <f t="shared" si="2949"/>
        <v>0</v>
      </c>
      <c r="L819">
        <f t="shared" si="2949"/>
        <v>0</v>
      </c>
      <c r="M819">
        <f t="shared" si="2949"/>
        <v>0</v>
      </c>
      <c r="N819">
        <f t="shared" si="2949"/>
        <v>0</v>
      </c>
      <c r="O819">
        <f t="shared" si="2949"/>
        <v>0</v>
      </c>
    </row>
    <row r="820" spans="1:32" ht="17.149999999999999" x14ac:dyDescent="0.55000000000000004">
      <c r="A820" s="11"/>
      <c r="B820" s="11" t="str">
        <f t="shared" si="2836"/>
        <v>Portland</v>
      </c>
      <c r="C820" s="11" t="s">
        <v>588</v>
      </c>
      <c r="D820" s="11">
        <f>IFERROR(D816*D817+D818*D819,0)</f>
        <v>0</v>
      </c>
      <c r="E820" s="11">
        <f t="shared" ref="E820" si="2950">IFERROR(E816*E817+E818*E819,0)</f>
        <v>0</v>
      </c>
      <c r="F820" s="11">
        <f t="shared" ref="F820" si="2951">IFERROR(F816*F817+F818*F819,0)</f>
        <v>0</v>
      </c>
      <c r="G820" s="11">
        <f t="shared" ref="G820" si="2952">IFERROR(G816*G817+G818*G819,0)</f>
        <v>0</v>
      </c>
      <c r="H820" s="11">
        <f t="shared" ref="H820" si="2953">IFERROR(H816*H817+H818*H819,0)</f>
        <v>0</v>
      </c>
      <c r="I820" s="11">
        <f t="shared" ref="I820" si="2954">IFERROR(I816*I817+I818*I819,0)</f>
        <v>0</v>
      </c>
      <c r="J820" s="11">
        <f t="shared" ref="J820" si="2955">IFERROR(J816*J817+J818*J819,0)</f>
        <v>0</v>
      </c>
      <c r="K820" s="11">
        <f t="shared" ref="K820" si="2956">IFERROR(K816*K817+K818*K819,0)</f>
        <v>0</v>
      </c>
      <c r="L820" s="11">
        <f t="shared" ref="L820" si="2957">IFERROR(L816*L817+L818*L819,0)</f>
        <v>0</v>
      </c>
      <c r="M820" s="11">
        <f t="shared" ref="M820" si="2958">IFERROR(M816*M817+M818*M819,0)</f>
        <v>0</v>
      </c>
      <c r="N820" s="11">
        <f t="shared" ref="N820" si="2959">IFERROR(N816*N817+N818*N819,0)</f>
        <v>0</v>
      </c>
      <c r="O820" s="11">
        <f t="shared" ref="O820" si="2960">IFERROR(O816*O817+O818*O819,0)</f>
        <v>0</v>
      </c>
      <c r="P820" s="11"/>
      <c r="Q820" s="11"/>
      <c r="R820" s="11"/>
      <c r="S820" s="11"/>
      <c r="T820" s="11"/>
      <c r="U820" s="11"/>
      <c r="V820" s="11"/>
      <c r="W820" s="11"/>
      <c r="X820" s="11"/>
      <c r="Y820" s="11"/>
      <c r="Z820" s="11"/>
      <c r="AA820" s="11"/>
      <c r="AB820" s="11"/>
      <c r="AC820" s="11"/>
      <c r="AD820" s="11"/>
      <c r="AE820" s="11"/>
      <c r="AF820" s="11"/>
    </row>
    <row r="821" spans="1:32" ht="17.149999999999999" x14ac:dyDescent="0.55000000000000004">
      <c r="A821" t="str" cm="1">
        <f t="array" ref="A821">INDEX(FX_Input,$Q821,R$5)</f>
        <v>FX - 25</v>
      </c>
      <c r="B821" t="str" cm="1">
        <f t="array" ref="B821">INDEX(FX_Input,Q821,S821)</f>
        <v>Portland</v>
      </c>
      <c r="C821" t="s">
        <v>563</v>
      </c>
      <c r="D821">
        <v>14.7</v>
      </c>
      <c r="E821">
        <v>14.7</v>
      </c>
      <c r="F821">
        <v>14.7</v>
      </c>
      <c r="G821">
        <v>14.7</v>
      </c>
      <c r="H821">
        <v>14.7</v>
      </c>
      <c r="I821">
        <v>14.7</v>
      </c>
      <c r="J821">
        <v>14.7</v>
      </c>
      <c r="K821">
        <v>14.7</v>
      </c>
      <c r="L821">
        <v>14.7</v>
      </c>
      <c r="M821">
        <v>14.7</v>
      </c>
      <c r="N821">
        <v>14.7</v>
      </c>
      <c r="O821">
        <v>14.7</v>
      </c>
      <c r="Q821">
        <f>Q787+2</f>
        <v>49</v>
      </c>
      <c r="R821">
        <v>1</v>
      </c>
      <c r="S821">
        <v>3</v>
      </c>
      <c r="T821">
        <v>1</v>
      </c>
      <c r="U821">
        <v>19</v>
      </c>
      <c r="V821">
        <v>20</v>
      </c>
      <c r="W821">
        <v>25</v>
      </c>
      <c r="X821">
        <v>1</v>
      </c>
      <c r="Y821">
        <v>2</v>
      </c>
      <c r="Z821">
        <f>(W821-V821)/(Y821-X821)</f>
        <v>5</v>
      </c>
      <c r="AA821">
        <f>V821-Z821*X821</f>
        <v>15</v>
      </c>
      <c r="AD821">
        <f>AD787+14</f>
        <v>337</v>
      </c>
      <c r="AF821">
        <f>AF787+14</f>
        <v>337</v>
      </c>
    </row>
    <row r="822" spans="1:32" ht="17.149999999999999" x14ac:dyDescent="0.55000000000000004">
      <c r="B822" t="str">
        <f t="shared" ref="B822" si="2961">B821</f>
        <v>Portland</v>
      </c>
      <c r="C822" t="s">
        <v>564</v>
      </c>
      <c r="D822" cm="1">
        <f t="array" ref="D822">IF(ISBLANK(INDEX(FX_Input,$Q821,$AB822)),0.03,INDEX(FX_Input,Q821,AB822))</f>
        <v>0.03</v>
      </c>
      <c r="E822" cm="1">
        <f t="array" ref="E822">IF(ISBLANK(INDEX(FX_Input,$Q821,$AB822)),0.03,INDEX(FX_Input,R821,#REF!))</f>
        <v>0.03</v>
      </c>
      <c r="F822" cm="1">
        <f t="array" ref="F822">IF(ISBLANK(INDEX(FX_Input,$Q821,$AB822)),0.03,INDEX(FX_Input,S821,#REF!))</f>
        <v>0.03</v>
      </c>
      <c r="G822" cm="1">
        <f t="array" ref="G822">IF(ISBLANK(INDEX(FX_Input,$Q821,$AB822)),0.03,INDEX(FX_Input,AB821,#REF!))</f>
        <v>0.03</v>
      </c>
      <c r="H822" cm="1">
        <f t="array" ref="H822">IF(ISBLANK(INDEX(FX_Input,$Q821,$AB822)),0.03,INDEX(FX_Input,#REF!,#REF!))</f>
        <v>0.03</v>
      </c>
      <c r="I822" cm="1">
        <f t="array" ref="I822">IF(ISBLANK(INDEX(FX_Input,$Q821,$AB822)),0.03,INDEX(FX_Input,#REF!,#REF!))</f>
        <v>0.03</v>
      </c>
      <c r="J822" cm="1">
        <f t="array" ref="J822">IF(ISBLANK(INDEX(FX_Input,$Q821,$AB822)),0.03,INDEX(FX_Input,#REF!,#REF!))</f>
        <v>0.03</v>
      </c>
      <c r="K822" cm="1">
        <f t="array" ref="K822">IF(ISBLANK(INDEX(FX_Input,$Q821,$AB822)),0.03,INDEX(FX_Input,#REF!,AC822))</f>
        <v>0.03</v>
      </c>
      <c r="L822" cm="1">
        <f t="array" ref="L822">IF(ISBLANK(INDEX(FX_Input,$Q821,$AB822)),0.03,INDEX(FX_Input,#REF!,AD822))</f>
        <v>0.03</v>
      </c>
      <c r="M822" cm="1">
        <f t="array" ref="M822">IF(ISBLANK(INDEX(FX_Input,$Q821,$AB822)),0.03,INDEX(FX_Input,#REF!,#REF!))</f>
        <v>0.03</v>
      </c>
      <c r="N822" cm="1">
        <f t="array" ref="N822">IF(ISBLANK(INDEX(FX_Input,$Q821,$AB822)),0.03,INDEX(FX_Input,AC821,#REF!))</f>
        <v>0.03</v>
      </c>
      <c r="O822" cm="1">
        <f t="array" ref="O822">IF(ISBLANK(INDEX(FX_Input,$Q821,$AB822)),0.03,INDEX(FX_Input,AD821,#REF!))</f>
        <v>0.03</v>
      </c>
      <c r="AB822">
        <v>15</v>
      </c>
    </row>
    <row r="823" spans="1:32" ht="17.149999999999999" x14ac:dyDescent="0.55000000000000004">
      <c r="B823" t="str">
        <f>B822</f>
        <v>Portland</v>
      </c>
      <c r="C823" t="s">
        <v>565</v>
      </c>
      <c r="D823" cm="1">
        <f t="array" ref="D823">IF(ISBLANK(INDEX(FX_Input,$Q821,$AB823)),-0.03,INDEX(FX_Input,$Q821,$AB823))</f>
        <v>-0.03</v>
      </c>
      <c r="E823" cm="1">
        <f t="array" ref="E823">IF(ISBLANK(INDEX(FX_Input,$Q821,$AB823)),-0.03,INDEX(FX_Input,R821,#REF!))</f>
        <v>-0.03</v>
      </c>
      <c r="F823" cm="1">
        <f t="array" ref="F823">IF(ISBLANK(INDEX(FX_Input,$Q821,$AB823)),-0.03,INDEX(FX_Input,S821,#REF!))</f>
        <v>-0.03</v>
      </c>
      <c r="G823" cm="1">
        <f t="array" ref="G823">IF(ISBLANK(INDEX(FX_Input,$Q821,$AB823)),-0.03,INDEX(FX_Input,AB821,#REF!))</f>
        <v>-0.03</v>
      </c>
      <c r="H823" cm="1">
        <f t="array" ref="H823">IF(ISBLANK(INDEX(FX_Input,$Q821,$AB823)),-0.03,INDEX(FX_Input,#REF!,#REF!))</f>
        <v>-0.03</v>
      </c>
      <c r="I823" cm="1">
        <f t="array" ref="I823">IF(ISBLANK(INDEX(FX_Input,$Q821,$AB823)),-0.03,INDEX(FX_Input,#REF!,#REF!))</f>
        <v>-0.03</v>
      </c>
      <c r="J823" cm="1">
        <f t="array" ref="J823">IF(ISBLANK(INDEX(FX_Input,$Q821,$AB823)),-0.03,INDEX(FX_Input,#REF!,#REF!))</f>
        <v>-0.03</v>
      </c>
      <c r="K823" cm="1">
        <f t="array" ref="K823">IF(ISBLANK(INDEX(FX_Input,$Q821,$AB823)),-0.03,INDEX(FX_Input,#REF!,AC823))</f>
        <v>-0.03</v>
      </c>
      <c r="L823" cm="1">
        <f t="array" ref="L823">IF(ISBLANK(INDEX(FX_Input,$Q821,$AB823)),-0.03,INDEX(FX_Input,#REF!,AD823))</f>
        <v>-0.03</v>
      </c>
      <c r="M823" cm="1">
        <f t="array" ref="M823">IF(ISBLANK(INDEX(FX_Input,$Q821,$AB823)),-0.03,INDEX(FX_Input,#REF!,#REF!))</f>
        <v>-0.03</v>
      </c>
      <c r="N823" cm="1">
        <f t="array" ref="N823">IF(ISBLANK(INDEX(FX_Input,$Q821,$AB823)),-0.03,INDEX(FX_Input,AC821,#REF!))</f>
        <v>-0.03</v>
      </c>
      <c r="O823" cm="1">
        <f t="array" ref="O823">IF(ISBLANK(INDEX(FX_Input,$Q821,$AB823)),-0.03,INDEX(FX_Input,AD821,#REF!))</f>
        <v>-0.03</v>
      </c>
      <c r="AB823">
        <v>16</v>
      </c>
    </row>
    <row r="824" spans="1:32" x14ac:dyDescent="0.4">
      <c r="B824" t="str">
        <f t="shared" ref="B824:B825" si="2962">B823</f>
        <v>Portland</v>
      </c>
      <c r="C824" s="66" t="s">
        <v>567</v>
      </c>
      <c r="D824" t="str" cm="1">
        <f t="array" ref="D824">INDEX(FX_Multi,$AD824,D$3)</f>
        <v>Out of Service</v>
      </c>
      <c r="E824" t="str" cm="1">
        <f t="array" ref="E824">INDEX(FX_Multi,$AD824,E$3)</f>
        <v>Out of Service</v>
      </c>
      <c r="F824" t="str" cm="1">
        <f t="array" ref="F824">INDEX(FX_Multi,$AD824,F$3)</f>
        <v>Out of Service</v>
      </c>
      <c r="G824" t="str" cm="1">
        <f t="array" ref="G824">INDEX(FX_Multi,$AD824,G$3)</f>
        <v>Out of Service</v>
      </c>
      <c r="H824" t="str" cm="1">
        <f t="array" ref="H824">INDEX(FX_Multi,$AD824,H$3)</f>
        <v>Out of Service</v>
      </c>
      <c r="I824" t="str" cm="1">
        <f t="array" ref="I824">INDEX(FX_Multi,$AD824,I$3)</f>
        <v>Out of Service</v>
      </c>
      <c r="J824" t="str" cm="1">
        <f t="array" ref="J824">INDEX(FX_Multi,$AD824,J$3)</f>
        <v>Out of Service</v>
      </c>
      <c r="K824" t="str" cm="1">
        <f t="array" ref="K824">INDEX(FX_Multi,$AD824,K$3)</f>
        <v>Out of Service</v>
      </c>
      <c r="L824" t="str" cm="1">
        <f t="array" ref="L824">INDEX(FX_Multi,$AD824,L$3)</f>
        <v>Out of Service</v>
      </c>
      <c r="M824" t="str" cm="1">
        <f t="array" ref="M824">INDEX(FX_Multi,$AD824,M$3)</f>
        <v>Out of Service</v>
      </c>
      <c r="N824" t="str" cm="1">
        <f t="array" ref="N824">INDEX(FX_Multi,$AD824,N$3)</f>
        <v>Out of Service</v>
      </c>
      <c r="O824" t="str" cm="1">
        <f t="array" ref="O824">INDEX(FX_Multi,$AD824,O$3)</f>
        <v>Out of Service</v>
      </c>
      <c r="AC824">
        <v>1</v>
      </c>
      <c r="AD824">
        <f>AD821</f>
        <v>337</v>
      </c>
      <c r="AE824">
        <v>1</v>
      </c>
      <c r="AF824">
        <f>AF821</f>
        <v>337</v>
      </c>
    </row>
    <row r="825" spans="1:32" x14ac:dyDescent="0.4">
      <c r="B825" t="str">
        <f t="shared" si="2962"/>
        <v>Portland</v>
      </c>
      <c r="C825" s="66" t="s">
        <v>566</v>
      </c>
      <c r="D825" t="str" cm="1">
        <f t="array" ref="D825">INDEX(FX_Multi,$AD825,D$3)</f>
        <v>N/A</v>
      </c>
      <c r="E825" t="str" cm="1">
        <f t="array" ref="E825">INDEX(FX_Multi,$AD825,E$3)</f>
        <v>N/A</v>
      </c>
      <c r="F825" t="str" cm="1">
        <f t="array" ref="F825">INDEX(FX_Multi,$AD825,F$3)</f>
        <v>N/A</v>
      </c>
      <c r="G825" t="str" cm="1">
        <f t="array" ref="G825">INDEX(FX_Multi,$AD825,G$3)</f>
        <v>N/A</v>
      </c>
      <c r="H825" t="str" cm="1">
        <f t="array" ref="H825">INDEX(FX_Multi,$AD825,H$3)</f>
        <v>N/A</v>
      </c>
      <c r="I825" t="str" cm="1">
        <f t="array" ref="I825">INDEX(FX_Multi,$AD825,I$3)</f>
        <v>N/A</v>
      </c>
      <c r="J825" t="str" cm="1">
        <f t="array" ref="J825">INDEX(FX_Multi,$AD825,J$3)</f>
        <v>N/A</v>
      </c>
      <c r="K825" t="str" cm="1">
        <f t="array" ref="K825">INDEX(FX_Multi,$AD825,K$3)</f>
        <v>N/A</v>
      </c>
      <c r="L825" t="str" cm="1">
        <f t="array" ref="L825">INDEX(FX_Multi,$AD825,L$3)</f>
        <v>N/A</v>
      </c>
      <c r="M825" t="str" cm="1">
        <f t="array" ref="M825">INDEX(FX_Multi,$AD825,M$3)</f>
        <v>N/A</v>
      </c>
      <c r="N825" t="str" cm="1">
        <f t="array" ref="N825">INDEX(FX_Multi,$AD825,N$3)</f>
        <v>N/A</v>
      </c>
      <c r="O825" t="str" cm="1">
        <f t="array" ref="O825">INDEX(FX_Multi,$AD825,O$3)</f>
        <v>N/A</v>
      </c>
      <c r="AC825">
        <v>1</v>
      </c>
      <c r="AD825">
        <f>AD824+2</f>
        <v>339</v>
      </c>
      <c r="AE825">
        <v>1</v>
      </c>
      <c r="AF825">
        <f>AF824+3</f>
        <v>340</v>
      </c>
    </row>
    <row r="826" spans="1:32" x14ac:dyDescent="0.4">
      <c r="B826" t="str">
        <f>B822</f>
        <v>Portland</v>
      </c>
      <c r="C826" s="66" t="s">
        <v>568</v>
      </c>
      <c r="D826" cm="1">
        <f t="array" ref="D826">INDEX(FX_Multi,$AD826,D$3)</f>
        <v>0</v>
      </c>
      <c r="E826" cm="1">
        <f t="array" ref="E826">INDEX(FX_Multi,$AD826,E$3)</f>
        <v>0</v>
      </c>
      <c r="F826" cm="1">
        <f t="array" ref="F826">INDEX(FX_Multi,$AD826,F$3)</f>
        <v>0</v>
      </c>
      <c r="G826" cm="1">
        <f t="array" ref="G826">INDEX(FX_Multi,$AD826,G$3)</f>
        <v>0</v>
      </c>
      <c r="H826" cm="1">
        <f t="array" ref="H826">INDEX(FX_Multi,$AD826,H$3)</f>
        <v>0</v>
      </c>
      <c r="I826" cm="1">
        <f t="array" ref="I826">INDEX(FX_Multi,$AD826,I$3)</f>
        <v>0</v>
      </c>
      <c r="J826" cm="1">
        <f t="array" ref="J826">INDEX(FX_Multi,$AD826,J$3)</f>
        <v>0</v>
      </c>
      <c r="K826" cm="1">
        <f t="array" ref="K826">INDEX(FX_Multi,$AD826,K$3)</f>
        <v>0</v>
      </c>
      <c r="L826" cm="1">
        <f t="array" ref="L826">INDEX(FX_Multi,$AD826,L$3)</f>
        <v>0</v>
      </c>
      <c r="M826" cm="1">
        <f t="array" ref="M826">INDEX(FX_Multi,$AD826,M$3)</f>
        <v>0</v>
      </c>
      <c r="N826" cm="1">
        <f t="array" ref="N826">INDEX(FX_Multi,$AD826,N$3)</f>
        <v>0</v>
      </c>
      <c r="O826" cm="1">
        <f t="array" ref="O826">INDEX(FX_Multi,$AD826,O$3)</f>
        <v>0</v>
      </c>
      <c r="AC826">
        <v>1</v>
      </c>
      <c r="AD826">
        <f>AD825-1</f>
        <v>338</v>
      </c>
      <c r="AE826">
        <v>1</v>
      </c>
      <c r="AF826">
        <f>AF824+1</f>
        <v>338</v>
      </c>
    </row>
    <row r="827" spans="1:32" x14ac:dyDescent="0.4">
      <c r="B827" t="str">
        <f t="shared" ref="B827:B831" si="2963">B826</f>
        <v>Portland</v>
      </c>
      <c r="C827" s="66" t="s">
        <v>569</v>
      </c>
      <c r="D827" cm="1">
        <f t="array" ref="D827">INDEX(FX_Multi,$AD827,D$3)</f>
        <v>0</v>
      </c>
      <c r="E827" cm="1">
        <f t="array" ref="E827">INDEX(FX_Multi,$AD827,E$3)</f>
        <v>0</v>
      </c>
      <c r="F827" cm="1">
        <f t="array" ref="F827">INDEX(FX_Multi,$AD827,F$3)</f>
        <v>0</v>
      </c>
      <c r="G827" cm="1">
        <f t="array" ref="G827">INDEX(FX_Multi,$AD827,G$3)</f>
        <v>0</v>
      </c>
      <c r="H827" cm="1">
        <f t="array" ref="H827">INDEX(FX_Multi,$AD827,H$3)</f>
        <v>0</v>
      </c>
      <c r="I827" cm="1">
        <f t="array" ref="I827">INDEX(FX_Multi,$AD827,I$3)</f>
        <v>0</v>
      </c>
      <c r="J827" cm="1">
        <f t="array" ref="J827">INDEX(FX_Multi,$AD827,J$3)</f>
        <v>0</v>
      </c>
      <c r="K827" cm="1">
        <f t="array" ref="K827">INDEX(FX_Multi,$AD827,K$3)</f>
        <v>0</v>
      </c>
      <c r="L827" cm="1">
        <f t="array" ref="L827">INDEX(FX_Multi,$AD827,L$3)</f>
        <v>0</v>
      </c>
      <c r="M827" cm="1">
        <f t="array" ref="M827">INDEX(FX_Multi,$AD827,M$3)</f>
        <v>0</v>
      </c>
      <c r="N827" cm="1">
        <f t="array" ref="N827">INDEX(FX_Multi,$AD827,N$3)</f>
        <v>0</v>
      </c>
      <c r="O827" cm="1">
        <f t="array" ref="O827">INDEX(FX_Multi,$AD827,O$3)</f>
        <v>0</v>
      </c>
      <c r="AC827">
        <v>1</v>
      </c>
      <c r="AD827">
        <f>AD826+2</f>
        <v>340</v>
      </c>
      <c r="AE827">
        <v>1</v>
      </c>
      <c r="AF827">
        <f>AF825</f>
        <v>340</v>
      </c>
    </row>
    <row r="828" spans="1:32" ht="17.149999999999999" x14ac:dyDescent="0.55000000000000004">
      <c r="B828" t="str">
        <f t="shared" si="2963"/>
        <v>Portland</v>
      </c>
      <c r="C828" t="s">
        <v>570</v>
      </c>
      <c r="D828" cm="1">
        <f t="array" ref="D828">INDEX(FX_Multi,$AD828,D$3)</f>
        <v>1</v>
      </c>
      <c r="E828" cm="1">
        <f t="array" ref="E828">INDEX(FX_Multi,$AD828,E$3)</f>
        <v>1</v>
      </c>
      <c r="F828" cm="1">
        <f t="array" ref="F828">INDEX(FX_Multi,$AD828,F$3)</f>
        <v>1</v>
      </c>
      <c r="G828" cm="1">
        <f t="array" ref="G828">INDEX(FX_Multi,$AD828,G$3)</f>
        <v>1</v>
      </c>
      <c r="H828" cm="1">
        <f t="array" ref="H828">INDEX(FX_Multi,$AD828,H$3)</f>
        <v>1</v>
      </c>
      <c r="I828" cm="1">
        <f t="array" ref="I828">INDEX(FX_Multi,$AD828,I$3)</f>
        <v>1</v>
      </c>
      <c r="J828" cm="1">
        <f t="array" ref="J828">INDEX(FX_Multi,$AD828,J$3)</f>
        <v>1</v>
      </c>
      <c r="K828" cm="1">
        <f t="array" ref="K828">INDEX(FX_Multi,$AD828,K$3)</f>
        <v>1</v>
      </c>
      <c r="L828" cm="1">
        <f t="array" ref="L828">INDEX(FX_Multi,$AD828,L$3)</f>
        <v>1</v>
      </c>
      <c r="M828" cm="1">
        <f t="array" ref="M828">INDEX(FX_Multi,$AD828,M$3)</f>
        <v>1</v>
      </c>
      <c r="N828" cm="1">
        <f t="array" ref="N828">INDEX(FX_Multi,$AD828,N$3)</f>
        <v>1</v>
      </c>
      <c r="O828" cm="1">
        <f t="array" ref="O828">INDEX(FX_Multi,$AD828,O$3)</f>
        <v>1</v>
      </c>
      <c r="AC828">
        <v>1</v>
      </c>
      <c r="AD828">
        <f>AD827+6</f>
        <v>346</v>
      </c>
      <c r="AE828">
        <v>1</v>
      </c>
      <c r="AF828">
        <f>AF824+9</f>
        <v>346</v>
      </c>
    </row>
    <row r="829" spans="1:32" ht="17.149999999999999" x14ac:dyDescent="0.55000000000000004">
      <c r="B829" t="str">
        <f t="shared" si="2963"/>
        <v>Portland</v>
      </c>
      <c r="C829" t="s">
        <v>571</v>
      </c>
      <c r="D829" t="str" cm="1">
        <f t="array" ref="D829">INDEX(FX_Multi,$AD829,D$3)</f>
        <v>N/A</v>
      </c>
      <c r="E829" t="str" cm="1">
        <f t="array" ref="E829">INDEX(FX_Multi,$AD829,E$3)</f>
        <v>N/A</v>
      </c>
      <c r="F829" t="str" cm="1">
        <f t="array" ref="F829">INDEX(FX_Multi,$AD829,F$3)</f>
        <v>N/A</v>
      </c>
      <c r="G829" t="str" cm="1">
        <f t="array" ref="G829">INDEX(FX_Multi,$AD829,G$3)</f>
        <v>N/A</v>
      </c>
      <c r="H829" t="str" cm="1">
        <f t="array" ref="H829">INDEX(FX_Multi,$AD829,H$3)</f>
        <v>N/A</v>
      </c>
      <c r="I829" t="str" cm="1">
        <f t="array" ref="I829">INDEX(FX_Multi,$AD829,I$3)</f>
        <v>N/A</v>
      </c>
      <c r="J829" t="str" cm="1">
        <f t="array" ref="J829">INDEX(FX_Multi,$AD829,J$3)</f>
        <v>N/A</v>
      </c>
      <c r="K829" t="str" cm="1">
        <f t="array" ref="K829">INDEX(FX_Multi,$AD829,K$3)</f>
        <v>N/A</v>
      </c>
      <c r="L829" t="str" cm="1">
        <f t="array" ref="L829">INDEX(FX_Multi,$AD829,L$3)</f>
        <v>N/A</v>
      </c>
      <c r="M829" t="str" cm="1">
        <f t="array" ref="M829">INDEX(FX_Multi,$AD829,M$3)</f>
        <v>N/A</v>
      </c>
      <c r="N829" t="str" cm="1">
        <f t="array" ref="N829">INDEX(FX_Multi,$AD829,N$3)</f>
        <v>N/A</v>
      </c>
      <c r="O829" t="str" cm="1">
        <f t="array" ref="O829">INDEX(FX_Multi,$AD829,O$3)</f>
        <v>N/A</v>
      </c>
      <c r="AC829">
        <v>1</v>
      </c>
      <c r="AD829">
        <f>AD828-3</f>
        <v>343</v>
      </c>
      <c r="AE829">
        <v>1</v>
      </c>
      <c r="AF829">
        <f>AF824+6</f>
        <v>343</v>
      </c>
    </row>
    <row r="830" spans="1:32" ht="17.149999999999999" x14ac:dyDescent="0.55000000000000004">
      <c r="B830" t="str">
        <f t="shared" si="2963"/>
        <v>Portland</v>
      </c>
      <c r="C830" t="s">
        <v>572</v>
      </c>
      <c r="D830" cm="1">
        <f t="array" ref="D830">INDEX(FX_Multi,$AD830,D$3)</f>
        <v>0</v>
      </c>
      <c r="E830" cm="1">
        <f t="array" ref="E830">INDEX(FX_Multi,$AD830,E$3)</f>
        <v>0</v>
      </c>
      <c r="F830" cm="1">
        <f t="array" ref="F830">INDEX(FX_Multi,$AD830,F$3)</f>
        <v>0</v>
      </c>
      <c r="G830" cm="1">
        <f t="array" ref="G830">INDEX(FX_Multi,$AD830,G$3)</f>
        <v>0</v>
      </c>
      <c r="H830" cm="1">
        <f t="array" ref="H830">INDEX(FX_Multi,$AD830,H$3)</f>
        <v>0</v>
      </c>
      <c r="I830" cm="1">
        <f t="array" ref="I830">INDEX(FX_Multi,$AD830,I$3)</f>
        <v>0</v>
      </c>
      <c r="J830" cm="1">
        <f t="array" ref="J830">INDEX(FX_Multi,$AD830,J$3)</f>
        <v>0</v>
      </c>
      <c r="K830" cm="1">
        <f t="array" ref="K830">INDEX(FX_Multi,$AD830,K$3)</f>
        <v>0</v>
      </c>
      <c r="L830" cm="1">
        <f t="array" ref="L830">INDEX(FX_Multi,$AD830,L$3)</f>
        <v>0</v>
      </c>
      <c r="M830" cm="1">
        <f t="array" ref="M830">INDEX(FX_Multi,$AD830,M$3)</f>
        <v>0</v>
      </c>
      <c r="N830" cm="1">
        <f t="array" ref="N830">INDEX(FX_Multi,$AD830,N$3)</f>
        <v>0</v>
      </c>
      <c r="O830" cm="1">
        <f t="array" ref="O830">INDEX(FX_Multi,$AD830,O$3)</f>
        <v>0</v>
      </c>
      <c r="AC830">
        <v>1</v>
      </c>
      <c r="AD830">
        <f>AD829+4</f>
        <v>347</v>
      </c>
      <c r="AE830">
        <v>1</v>
      </c>
      <c r="AF830">
        <f>AF824+10</f>
        <v>347</v>
      </c>
    </row>
    <row r="831" spans="1:32" ht="17.149999999999999" x14ac:dyDescent="0.55000000000000004">
      <c r="B831" t="str">
        <f t="shared" si="2963"/>
        <v>Portland</v>
      </c>
      <c r="C831" t="s">
        <v>573</v>
      </c>
      <c r="D831" cm="1">
        <f t="array" ref="D831">INDEX(FX_Multi,$AD831,D$3)</f>
        <v>0</v>
      </c>
      <c r="E831" cm="1">
        <f t="array" ref="E831">INDEX(FX_Multi,$AD831,E$3)</f>
        <v>0</v>
      </c>
      <c r="F831" cm="1">
        <f t="array" ref="F831">INDEX(FX_Multi,$AD831,F$3)</f>
        <v>0</v>
      </c>
      <c r="G831" cm="1">
        <f t="array" ref="G831">INDEX(FX_Multi,$AD831,G$3)</f>
        <v>0</v>
      </c>
      <c r="H831" cm="1">
        <f t="array" ref="H831">INDEX(FX_Multi,$AD831,H$3)</f>
        <v>0</v>
      </c>
      <c r="I831" cm="1">
        <f t="array" ref="I831">INDEX(FX_Multi,$AD831,I$3)</f>
        <v>0</v>
      </c>
      <c r="J831" cm="1">
        <f t="array" ref="J831">INDEX(FX_Multi,$AD831,J$3)</f>
        <v>0</v>
      </c>
      <c r="K831" cm="1">
        <f t="array" ref="K831">INDEX(FX_Multi,$AD831,K$3)</f>
        <v>0</v>
      </c>
      <c r="L831" cm="1">
        <f t="array" ref="L831">INDEX(FX_Multi,$AD831,L$3)</f>
        <v>0</v>
      </c>
      <c r="M831" cm="1">
        <f t="array" ref="M831">INDEX(FX_Multi,$AD831,M$3)</f>
        <v>0</v>
      </c>
      <c r="N831" cm="1">
        <f t="array" ref="N831">INDEX(FX_Multi,$AD831,N$3)</f>
        <v>0</v>
      </c>
      <c r="O831" cm="1">
        <f t="array" ref="O831">INDEX(FX_Multi,$AD831,O$3)</f>
        <v>0</v>
      </c>
      <c r="AC831">
        <v>1</v>
      </c>
      <c r="AD831">
        <f>AD830-3</f>
        <v>344</v>
      </c>
      <c r="AE831">
        <v>1</v>
      </c>
      <c r="AF831">
        <f>AF824+7</f>
        <v>344</v>
      </c>
    </row>
    <row r="832" spans="1:32" ht="17.149999999999999" x14ac:dyDescent="0.55000000000000004">
      <c r="B832" t="str">
        <f>B827</f>
        <v>Portland</v>
      </c>
      <c r="C832" t="s">
        <v>526</v>
      </c>
      <c r="D832" cm="1">
        <f t="array" ref="D832">INDEX(FX_Temps,$AF832,D$3)</f>
        <v>43.899999999999977</v>
      </c>
      <c r="E832" cm="1">
        <f t="array" ref="E832">INDEX(FX_Temps,$AF832,E$3)</f>
        <v>44.700000000000045</v>
      </c>
      <c r="F832" cm="1">
        <f t="array" ref="F832">INDEX(FX_Temps,$AF832,F$3)</f>
        <v>46.100000000000023</v>
      </c>
      <c r="G832" cm="1">
        <f t="array" ref="G832">INDEX(FX_Temps,$AF832,G$3)</f>
        <v>48.599999999999966</v>
      </c>
      <c r="H832" cm="1">
        <f t="array" ref="H832">INDEX(FX_Temps,$AF832,H$3)</f>
        <v>53.149999999999977</v>
      </c>
      <c r="I832" cm="1">
        <f t="array" ref="I832">INDEX(FX_Temps,$AF832,I$3)</f>
        <v>56.950000000000045</v>
      </c>
      <c r="J832" cm="1">
        <f t="array" ref="J832">INDEX(FX_Temps,$AF832,J$3)</f>
        <v>60.449999999999932</v>
      </c>
      <c r="K832" cm="1">
        <f t="array" ref="K832">INDEX(FX_Temps,$AF832,K$3)</f>
        <v>60.899999999999977</v>
      </c>
      <c r="L832" cm="1">
        <f t="array" ref="L832">INDEX(FX_Temps,$AF832,L$3)</f>
        <v>58.600000000000023</v>
      </c>
      <c r="M832" cm="1">
        <f t="array" ref="M832">INDEX(FX_Temps,$AF832,M$3)</f>
        <v>52.649999999999977</v>
      </c>
      <c r="N832" cm="1">
        <f t="array" ref="N832">INDEX(FX_Temps,$AF832,N$3)</f>
        <v>47.100000000000023</v>
      </c>
      <c r="O832" cm="1">
        <f t="array" ref="O832">INDEX(FX_Temps,$AF832,O$3)</f>
        <v>43.600000000000023</v>
      </c>
      <c r="AE832">
        <v>1</v>
      </c>
      <c r="AF832">
        <f>AF824+10</f>
        <v>347</v>
      </c>
    </row>
    <row r="833" spans="2:32" ht="17.149999999999999" x14ac:dyDescent="0.55000000000000004">
      <c r="B833" t="str">
        <f t="shared" ref="B833:B854" si="2964">B832</f>
        <v>Portland</v>
      </c>
      <c r="C833" t="s">
        <v>527</v>
      </c>
      <c r="D833" cm="1">
        <f t="array" ref="D833">INDEX(FX_Temps,$AF833,D$3)</f>
        <v>43.899999999999977</v>
      </c>
      <c r="E833" cm="1">
        <f t="array" ref="E833">INDEX(FX_Temps,$AF833,E$3)</f>
        <v>44.700000000000045</v>
      </c>
      <c r="F833" cm="1">
        <f t="array" ref="F833">INDEX(FX_Temps,$AF833,F$3)</f>
        <v>46.100000000000023</v>
      </c>
      <c r="G833" cm="1">
        <f t="array" ref="G833">INDEX(FX_Temps,$AF833,G$3)</f>
        <v>48.599999999999966</v>
      </c>
      <c r="H833" cm="1">
        <f t="array" ref="H833">INDEX(FX_Temps,$AF833,H$3)</f>
        <v>53.149999999999977</v>
      </c>
      <c r="I833" cm="1">
        <f t="array" ref="I833">INDEX(FX_Temps,$AF833,I$3)</f>
        <v>56.950000000000045</v>
      </c>
      <c r="J833" cm="1">
        <f t="array" ref="J833">INDEX(FX_Temps,$AF833,J$3)</f>
        <v>60.449999999999932</v>
      </c>
      <c r="K833" cm="1">
        <f t="array" ref="K833">INDEX(FX_Temps,$AF833,K$3)</f>
        <v>60.899999999999977</v>
      </c>
      <c r="L833" cm="1">
        <f t="array" ref="L833">INDEX(FX_Temps,$AF833,L$3)</f>
        <v>58.600000000000023</v>
      </c>
      <c r="M833" cm="1">
        <f t="array" ref="M833">INDEX(FX_Temps,$AF833,M$3)</f>
        <v>52.649999999999977</v>
      </c>
      <c r="N833" cm="1">
        <f t="array" ref="N833">INDEX(FX_Temps,$AF833,N$3)</f>
        <v>47.100000000000023</v>
      </c>
      <c r="O833" cm="1">
        <f t="array" ref="O833">INDEX(FX_Temps,$AF833,O$3)</f>
        <v>43.600000000000023</v>
      </c>
      <c r="AE833">
        <f>AE832</f>
        <v>1</v>
      </c>
      <c r="AF833">
        <f>AF824+11</f>
        <v>348</v>
      </c>
    </row>
    <row r="834" spans="2:32" ht="17.149999999999999" x14ac:dyDescent="0.55000000000000004">
      <c r="B834" t="str">
        <f t="shared" si="2964"/>
        <v>Portland</v>
      </c>
      <c r="C834" t="s">
        <v>552</v>
      </c>
      <c r="D834" cm="1">
        <f t="array" ref="D834">INDEX(FX_Temps,$AF834,D$3)</f>
        <v>43.899999999999977</v>
      </c>
      <c r="E834" cm="1">
        <f t="array" ref="E834">INDEX(FX_Temps,$AF834,E$3)</f>
        <v>44.700000000000045</v>
      </c>
      <c r="F834" cm="1">
        <f t="array" ref="F834">INDEX(FX_Temps,$AF834,F$3)</f>
        <v>46.100000000000023</v>
      </c>
      <c r="G834" cm="1">
        <f t="array" ref="G834">INDEX(FX_Temps,$AF834,G$3)</f>
        <v>48.599999999999966</v>
      </c>
      <c r="H834" cm="1">
        <f t="array" ref="H834">INDEX(FX_Temps,$AF834,H$3)</f>
        <v>53.149999999999977</v>
      </c>
      <c r="I834" cm="1">
        <f t="array" ref="I834">INDEX(FX_Temps,$AF834,I$3)</f>
        <v>56.950000000000045</v>
      </c>
      <c r="J834" cm="1">
        <f t="array" ref="J834">INDEX(FX_Temps,$AF834,J$3)</f>
        <v>60.449999999999932</v>
      </c>
      <c r="K834" cm="1">
        <f t="array" ref="K834">INDEX(FX_Temps,$AF834,K$3)</f>
        <v>60.899999999999977</v>
      </c>
      <c r="L834" cm="1">
        <f t="array" ref="L834">INDEX(FX_Temps,$AF834,L$3)</f>
        <v>58.600000000000023</v>
      </c>
      <c r="M834" cm="1">
        <f t="array" ref="M834">INDEX(FX_Temps,$AF834,M$3)</f>
        <v>52.649999999999977</v>
      </c>
      <c r="N834" cm="1">
        <f t="array" ref="N834">INDEX(FX_Temps,$AF834,N$3)</f>
        <v>47.100000000000023</v>
      </c>
      <c r="O834" cm="1">
        <f t="array" ref="O834">INDEX(FX_Temps,$AF834,O$3)</f>
        <v>43.600000000000023</v>
      </c>
      <c r="AE834">
        <f>AE833</f>
        <v>1</v>
      </c>
      <c r="AF834">
        <f>AF824+13</f>
        <v>350</v>
      </c>
    </row>
    <row r="835" spans="2:32" ht="17.149999999999999" x14ac:dyDescent="0.55000000000000004">
      <c r="B835" t="str">
        <f t="shared" si="2964"/>
        <v>Portland</v>
      </c>
      <c r="C835" t="s">
        <v>574</v>
      </c>
      <c r="D835" s="20" cm="1">
        <f t="array" ref="D835">IFERROR(IF(D825="Chemical",(10^(INDEX(Antoines,MATCH(D824,Antoine_Name,0),2)-INDEX(Antoines,MATCH(D824,Antoine_Name,0),3)/(INDEX(Antoines,MATCH(D824,Antoine_Name,0),4)+(D832-32)*5/9)))*14.7/760,IF(D825="Crude Oil",EXP((2799/(D832+459.6)-2.227)*LOG10(INDEX(FX_Input,Q$5,D$3*$Z$5+$AA$5))-(7261/(D832+459.6))+12.82),IF(D825="Refined Petroleum Stock",EXP((0.7553-(413/(D832+459.6)))*(INDEX(FX_Input,Q$5,D$3*$Z$5+$AA$5-1)^0.5)*LOG10(INDEX(FX_Input,Q$5,D$3*$Z$5+$AA$5))-(1.854-(1042/(D832+459.6)))*(INDEX(FX_Input,Q$5,D$3*$Z$5+$AA$5-1)^0.5)+((2416/(D832+459.6)-2.013)*LOG10(INDEX(FX_Input,Q$5,D$3*$Z$5+$AA$5)))-(8742/(D832+459.6))+15.64),EXP(INDEX(Antoines,MATCH(D824,Antoine_Name,0),2)-INDEX(Antoines,MATCH(D824,Antoine_Name,0),3)/(D832+459.6))))),0)</f>
        <v>1</v>
      </c>
      <c r="E835" cm="1">
        <f t="array" ref="E835">IFERROR(IF(E825="Chemical",(10^(INDEX(Antoines,MATCH(E824,Antoine_Name,0),2)-INDEX(Antoines,MATCH(E824,Antoine_Name,0),3)/(INDEX(Antoines,MATCH(E824,Antoine_Name,0),4)+(E832-32)*5/9)))*14.7/760,IF(E825="Crude Oil",EXP((2799/(E832+459.6)-2.227)*LOG10(INDEX(FX_Input,R$5,E$3*$Z$5+$AA$5))-(7261/(E832+459.6))+12.82),IF(E825="Refined Petroleum Stock",EXP((0.7553-(413/(E832+459.6)))*(INDEX(FX_Input,R$5,E$3*$Z$5+$AA$5-1)^0.5)*LOG10(INDEX(FX_Input,R$5,E$3*$Z$5+$AA$5))-(1.854-(1042/(E832+459.6)))*(INDEX(FX_Input,R$5,E$3*$Z$5+$AA$5-1)^0.5)+((2416/(E832+459.6)-2.013)*LOG10(INDEX(FX_Input,R$5,E$3*$Z$5+$AA$5)))-(8742/(E832+459.6))+15.64),EXP(INDEX(Antoines,MATCH(E824,Antoine_Name,0),2)-INDEX(Antoines,MATCH(E824,Antoine_Name,0),3)/(E832+459.6))))),0)</f>
        <v>1</v>
      </c>
      <c r="F835" cm="1">
        <f t="array" ref="F835">IFERROR(IF(F825="Chemical",(10^(INDEX(Antoines,MATCH(F824,Antoine_Name,0),2)-INDEX(Antoines,MATCH(F824,Antoine_Name,0),3)/(INDEX(Antoines,MATCH(F824,Antoine_Name,0),4)+(F832-32)*5/9)))*14.7/760,IF(F825="Crude Oil",EXP((2799/(F832+459.6)-2.227)*LOG10(INDEX(FX_Input,S$5,F$3*$Z$5+$AA$5))-(7261/(F832+459.6))+12.82),IF(F825="Refined Petroleum Stock",EXP((0.7553-(413/(F832+459.6)))*(INDEX(FX_Input,S$5,F$3*$Z$5+$AA$5-1)^0.5)*LOG10(INDEX(FX_Input,S$5,F$3*$Z$5+$AA$5))-(1.854-(1042/(F832+459.6)))*(INDEX(FX_Input,S$5,F$3*$Z$5+$AA$5-1)^0.5)+((2416/(F832+459.6)-2.013)*LOG10(INDEX(FX_Input,S$5,F$3*$Z$5+$AA$5)))-(8742/(F832+459.6))+15.64),EXP(INDEX(Antoines,MATCH(F824,Antoine_Name,0),2)-INDEX(Antoines,MATCH(F824,Antoine_Name,0),3)/(F832+459.6))))),0)</f>
        <v>1</v>
      </c>
      <c r="G835" cm="1">
        <f t="array" ref="G835">IFERROR(IF(G825="Chemical",(10^(INDEX(Antoines,MATCH(G824,Antoine_Name,0),2)-INDEX(Antoines,MATCH(G824,Antoine_Name,0),3)/(INDEX(Antoines,MATCH(G824,Antoine_Name,0),4)+(G832-32)*5/9)))*14.7/760,IF(G825="Crude Oil",EXP((2799/(G832+459.6)-2.227)*LOG10(INDEX(FX_Input,T$5,G$3*$Z$5+$AA$5))-(7261/(G832+459.6))+12.82),IF(G825="Refined Petroleum Stock",EXP((0.7553-(413/(G832+459.6)))*(INDEX(FX_Input,T$5,G$3*$Z$5+$AA$5-1)^0.5)*LOG10(INDEX(FX_Input,T$5,G$3*$Z$5+$AA$5))-(1.854-(1042/(G832+459.6)))*(INDEX(FX_Input,T$5,G$3*$Z$5+$AA$5-1)^0.5)+((2416/(G832+459.6)-2.013)*LOG10(INDEX(FX_Input,T$5,G$3*$Z$5+$AA$5)))-(8742/(G832+459.6))+15.64),EXP(INDEX(Antoines,MATCH(G824,Antoine_Name,0),2)-INDEX(Antoines,MATCH(G824,Antoine_Name,0),3)/(G832+459.6))))),0)</f>
        <v>1</v>
      </c>
      <c r="H835" cm="1">
        <f t="array" ref="H835">IFERROR(IF(H825="Chemical",(10^(INDEX(Antoines,MATCH(H824,Antoine_Name,0),2)-INDEX(Antoines,MATCH(H824,Antoine_Name,0),3)/(INDEX(Antoines,MATCH(H824,Antoine_Name,0),4)+(H832-32)*5/9)))*14.7/760,IF(H825="Crude Oil",EXP((2799/(H832+459.6)-2.227)*LOG10(INDEX(FX_Input,U$5,H$3*$Z$5+$AA$5))-(7261/(H832+459.6))+12.82),IF(H825="Refined Petroleum Stock",EXP((0.7553-(413/(H832+459.6)))*(INDEX(FX_Input,U$5,H$3*$Z$5+$AA$5-1)^0.5)*LOG10(INDEX(FX_Input,U$5,H$3*$Z$5+$AA$5))-(1.854-(1042/(H832+459.6)))*(INDEX(FX_Input,U$5,H$3*$Z$5+$AA$5-1)^0.5)+((2416/(H832+459.6)-2.013)*LOG10(INDEX(FX_Input,U$5,H$3*$Z$5+$AA$5)))-(8742/(H832+459.6))+15.64),EXP(INDEX(Antoines,MATCH(H824,Antoine_Name,0),2)-INDEX(Antoines,MATCH(H824,Antoine_Name,0),3)/(H832+459.6))))),0)</f>
        <v>1</v>
      </c>
      <c r="I835" cm="1">
        <f t="array" ref="I835">IFERROR(IF(I825="Chemical",(10^(INDEX(Antoines,MATCH(I824,Antoine_Name,0),2)-INDEX(Antoines,MATCH(I824,Antoine_Name,0),3)/(INDEX(Antoines,MATCH(I824,Antoine_Name,0),4)+(I832-32)*5/9)))*14.7/760,IF(I825="Crude Oil",EXP((2799/(I832+459.6)-2.227)*LOG10(INDEX(FX_Input,V$5,I$3*$Z$5+$AA$5))-(7261/(I832+459.6))+12.82),IF(I825="Refined Petroleum Stock",EXP((0.7553-(413/(I832+459.6)))*(INDEX(FX_Input,V$5,I$3*$Z$5+$AA$5-1)^0.5)*LOG10(INDEX(FX_Input,V$5,I$3*$Z$5+$AA$5))-(1.854-(1042/(I832+459.6)))*(INDEX(FX_Input,V$5,I$3*$Z$5+$AA$5-1)^0.5)+((2416/(I832+459.6)-2.013)*LOG10(INDEX(FX_Input,V$5,I$3*$Z$5+$AA$5)))-(8742/(I832+459.6))+15.64),EXP(INDEX(Antoines,MATCH(I824,Antoine_Name,0),2)-INDEX(Antoines,MATCH(I824,Antoine_Name,0),3)/(I832+459.6))))),0)</f>
        <v>1</v>
      </c>
      <c r="J835" cm="1">
        <f t="array" ref="J835">IFERROR(IF(J825="Chemical",(10^(INDEX(Antoines,MATCH(J824,Antoine_Name,0),2)-INDEX(Antoines,MATCH(J824,Antoine_Name,0),3)/(INDEX(Antoines,MATCH(J824,Antoine_Name,0),4)+(J832-32)*5/9)))*14.7/760,IF(J825="Crude Oil",EXP((2799/(J832+459.6)-2.227)*LOG10(INDEX(FX_Input,W$5,J$3*$Z$5+$AA$5))-(7261/(J832+459.6))+12.82),IF(J825="Refined Petroleum Stock",EXP((0.7553-(413/(J832+459.6)))*(INDEX(FX_Input,W$5,J$3*$Z$5+$AA$5-1)^0.5)*LOG10(INDEX(FX_Input,W$5,J$3*$Z$5+$AA$5))-(1.854-(1042/(J832+459.6)))*(INDEX(FX_Input,W$5,J$3*$Z$5+$AA$5-1)^0.5)+((2416/(J832+459.6)-2.013)*LOG10(INDEX(FX_Input,W$5,J$3*$Z$5+$AA$5)))-(8742/(J832+459.6))+15.64),EXP(INDEX(Antoines,MATCH(J824,Antoine_Name,0),2)-INDEX(Antoines,MATCH(J824,Antoine_Name,0),3)/(J832+459.6))))),0)</f>
        <v>1</v>
      </c>
      <c r="K835" cm="1">
        <f t="array" ref="K835">IFERROR(IF(K825="Chemical",(10^(INDEX(Antoines,MATCH(K824,Antoine_Name,0),2)-INDEX(Antoines,MATCH(K824,Antoine_Name,0),3)/(INDEX(Antoines,MATCH(K824,Antoine_Name,0),4)+(K832-32)*5/9)))*14.7/760,IF(K825="Crude Oil",EXP((2799/(K832+459.6)-2.227)*LOG10(INDEX(FX_Input,X$5,K$3*$Z$5+$AA$5))-(7261/(K832+459.6))+12.82),IF(K825="Refined Petroleum Stock",EXP((0.7553-(413/(K832+459.6)))*(INDEX(FX_Input,X$5,K$3*$Z$5+$AA$5-1)^0.5)*LOG10(INDEX(FX_Input,X$5,K$3*$Z$5+$AA$5))-(1.854-(1042/(K832+459.6)))*(INDEX(FX_Input,X$5,K$3*$Z$5+$AA$5-1)^0.5)+((2416/(K832+459.6)-2.013)*LOG10(INDEX(FX_Input,X$5,K$3*$Z$5+$AA$5)))-(8742/(K832+459.6))+15.64),EXP(INDEX(Antoines,MATCH(K824,Antoine_Name,0),2)-INDEX(Antoines,MATCH(K824,Antoine_Name,0),3)/(K832+459.6))))),0)</f>
        <v>1</v>
      </c>
      <c r="L835" cm="1">
        <f t="array" ref="L835">IFERROR(IF(L825="Chemical",(10^(INDEX(Antoines,MATCH(L824,Antoine_Name,0),2)-INDEX(Antoines,MATCH(L824,Antoine_Name,0),3)/(INDEX(Antoines,MATCH(L824,Antoine_Name,0),4)+(L832-32)*5/9)))*14.7/760,IF(L825="Crude Oil",EXP((2799/(L832+459.6)-2.227)*LOG10(INDEX(FX_Input,Y$5,L$3*$Z$5+$AA$5))-(7261/(L832+459.6))+12.82),IF(L825="Refined Petroleum Stock",EXP((0.7553-(413/(L832+459.6)))*(INDEX(FX_Input,Y$5,L$3*$Z$5+$AA$5-1)^0.5)*LOG10(INDEX(FX_Input,Y$5,L$3*$Z$5+$AA$5))-(1.854-(1042/(L832+459.6)))*(INDEX(FX_Input,Y$5,L$3*$Z$5+$AA$5-1)^0.5)+((2416/(L832+459.6)-2.013)*LOG10(INDEX(FX_Input,Y$5,L$3*$Z$5+$AA$5)))-(8742/(L832+459.6))+15.64),EXP(INDEX(Antoines,MATCH(L824,Antoine_Name,0),2)-INDEX(Antoines,MATCH(L824,Antoine_Name,0),3)/(L832+459.6))))),0)</f>
        <v>1</v>
      </c>
      <c r="M835" cm="1">
        <f t="array" ref="M835">IFERROR(IF(M825="Chemical",(10^(INDEX(Antoines,MATCH(M824,Antoine_Name,0),2)-INDEX(Antoines,MATCH(M824,Antoine_Name,0),3)/(INDEX(Antoines,MATCH(M824,Antoine_Name,0),4)+(M832-32)*5/9)))*14.7/760,IF(M825="Crude Oil",EXP((2799/(M832+459.6)-2.227)*LOG10(INDEX(FX_Input,Z$5,M$3*$Z$5+$AA$5))-(7261/(M832+459.6))+12.82),IF(M825="Refined Petroleum Stock",EXP((0.7553-(413/(M832+459.6)))*(INDEX(FX_Input,Z$5,M$3*$Z$5+$AA$5-1)^0.5)*LOG10(INDEX(FX_Input,Z$5,M$3*$Z$5+$AA$5))-(1.854-(1042/(M832+459.6)))*(INDEX(FX_Input,Z$5,M$3*$Z$5+$AA$5-1)^0.5)+((2416/(M832+459.6)-2.013)*LOG10(INDEX(FX_Input,Z$5,M$3*$Z$5+$AA$5)))-(8742/(M832+459.6))+15.64),EXP(INDEX(Antoines,MATCH(M824,Antoine_Name,0),2)-INDEX(Antoines,MATCH(M824,Antoine_Name,0),3)/(M832+459.6))))),0)</f>
        <v>1</v>
      </c>
      <c r="N835" cm="1">
        <f t="array" ref="N835">IFERROR(IF(N825="Chemical",(10^(INDEX(Antoines,MATCH(N824,Antoine_Name,0),2)-INDEX(Antoines,MATCH(N824,Antoine_Name,0),3)/(INDEX(Antoines,MATCH(N824,Antoine_Name,0),4)+(N832-32)*5/9)))*14.7/760,IF(N825="Crude Oil",EXP((2799/(N832+459.6)-2.227)*LOG10(INDEX(FX_Input,AA$5,N$3*$Z$5+$AA$5))-(7261/(N832+459.6))+12.82),IF(N825="Refined Petroleum Stock",EXP((0.7553-(413/(N832+459.6)))*(INDEX(FX_Input,AA$5,N$3*$Z$5+$AA$5-1)^0.5)*LOG10(INDEX(FX_Input,AA$5,N$3*$Z$5+$AA$5))-(1.854-(1042/(N832+459.6)))*(INDEX(FX_Input,AA$5,N$3*$Z$5+$AA$5-1)^0.5)+((2416/(N832+459.6)-2.013)*LOG10(INDEX(FX_Input,AA$5,N$3*$Z$5+$AA$5)))-(8742/(N832+459.6))+15.64),EXP(INDEX(Antoines,MATCH(N824,Antoine_Name,0),2)-INDEX(Antoines,MATCH(N824,Antoine_Name,0),3)/(N832+459.6))))),0)</f>
        <v>1</v>
      </c>
      <c r="O835" cm="1">
        <f t="array" ref="O835">IFERROR(IF(O825="Chemical",(10^(INDEX(Antoines,MATCH(O824,Antoine_Name,0),2)-INDEX(Antoines,MATCH(O824,Antoine_Name,0),3)/(INDEX(Antoines,MATCH(O824,Antoine_Name,0),4)+(O832-32)*5/9)))*14.7/760,IF(O825="Crude Oil",EXP((2799/(O832+459.6)-2.227)*LOG10(INDEX(FX_Input,AB$5,O$3*$Z$5+$AA$5))-(7261/(O832+459.6))+12.82),IF(O825="Refined Petroleum Stock",EXP((0.7553-(413/(O832+459.6)))*(INDEX(FX_Input,AB$5,O$3*$Z$5+$AA$5-1)^0.5)*LOG10(INDEX(FX_Input,AB$5,O$3*$Z$5+$AA$5))-(1.854-(1042/(O832+459.6)))*(INDEX(FX_Input,AB$5,O$3*$Z$5+$AA$5-1)^0.5)+((2416/(O832+459.6)-2.013)*LOG10(INDEX(FX_Input,AB$5,O$3*$Z$5+$AA$5)))-(8742/(O832+459.6))+15.64),EXP(INDEX(Antoines,MATCH(O824,Antoine_Name,0),2)-INDEX(Antoines,MATCH(O824,Antoine_Name,0),3)/(O832+459.6))))),0)</f>
        <v>1</v>
      </c>
    </row>
    <row r="836" spans="2:32" ht="17.149999999999999" x14ac:dyDescent="0.55000000000000004">
      <c r="B836" t="str">
        <f t="shared" si="2964"/>
        <v>Portland</v>
      </c>
      <c r="C836" t="s">
        <v>576</v>
      </c>
      <c r="D836">
        <f>D828*D835</f>
        <v>1</v>
      </c>
      <c r="E836">
        <f t="shared" ref="E836" si="2965">E828*E835</f>
        <v>1</v>
      </c>
      <c r="F836">
        <f t="shared" ref="F836" si="2966">F828*F835</f>
        <v>1</v>
      </c>
      <c r="G836">
        <f t="shared" ref="G836" si="2967">G828*G835</f>
        <v>1</v>
      </c>
      <c r="H836">
        <f t="shared" ref="H836" si="2968">H828*H835</f>
        <v>1</v>
      </c>
      <c r="I836">
        <f t="shared" ref="I836" si="2969">I828*I835</f>
        <v>1</v>
      </c>
      <c r="J836">
        <f t="shared" ref="J836" si="2970">J828*J835</f>
        <v>1</v>
      </c>
      <c r="K836">
        <f t="shared" ref="K836" si="2971">K828*K835</f>
        <v>1</v>
      </c>
      <c r="L836">
        <f t="shared" ref="L836" si="2972">L828*L835</f>
        <v>1</v>
      </c>
      <c r="M836">
        <f t="shared" ref="M836" si="2973">M828*M835</f>
        <v>1</v>
      </c>
      <c r="N836">
        <f t="shared" ref="N836" si="2974">N828*N835</f>
        <v>1</v>
      </c>
      <c r="O836">
        <f t="shared" ref="O836" si="2975">O828*O835</f>
        <v>1</v>
      </c>
    </row>
    <row r="837" spans="2:32" ht="17.149999999999999" x14ac:dyDescent="0.55000000000000004">
      <c r="B837" t="str">
        <f t="shared" si="2964"/>
        <v>Portland</v>
      </c>
      <c r="C837" t="s">
        <v>575</v>
      </c>
      <c r="D837" cm="1">
        <f t="array" ref="D837">IFERROR(IF(D827="Chemical",(10^(INDEX(Antoines,MATCH(D826,Antoine_Name,0),2)-INDEX(Antoines,MATCH(D826,Antoine_Name,0),3)/(INDEX(Antoines,MATCH(D826,Antoine_Name,0),4)+(D832-32)*5/9)))*14.7/760,IF(D827="Crude Oil",EXP((2799/(D832+459.6)-2.227)*LOG10(INDEX(FX_Input,Q$5,D$3*$Z$5+$AA$5))-(7261/(D832+459.6))+12.82),IF(D827="Refined Petroleum Stock",EXP((0.7553-(413/(D832+459.6)))*(INDEX(FX_Input,Q$5,D$3*$Z$5+$AA$5-1)^0.5)*LOG10(INDEX(FX_Input,Q$5,D$3*$Z$5+$AA$5))-(1.854-(1042/(D832+459.6)))*(INDEX(FX_Input,Q$5,D$3*$Z$5+$AA$5-1)^0.5)+((2416/(D832+459.6)-2.013)*LOG10(INDEX(FX_Input,Q$5,D$3*$Z$5+$AA$5)))-(8742/(D832+459.6))+15.64),EXP(INDEX(Antoines,MATCH(D826,Antoine_Name,0),2)-INDEX(Antoines,MATCH(D826,Antoine_Name,0),3)/(D832+459.6))))),0)</f>
        <v>0</v>
      </c>
      <c r="E837" cm="1">
        <f t="array" ref="E837">IFERROR(IF(E827="Chemical",(10^(INDEX(Antoines,MATCH(E826,Antoine_Name,0),2)-INDEX(Antoines,MATCH(E826,Antoine_Name,0),3)/(INDEX(Antoines,MATCH(E826,Antoine_Name,0),4)+(E832-32)*5/9)))*14.7/760,IF(E827="Crude Oil",EXP((2799/(E832+459.6)-2.227)*LOG10(INDEX(FX_Input,R$5,E$3*$Z$5+$AA$5))-(7261/(E832+459.6))+12.82),IF(E827="Refined Petroleum Stock",EXP((0.7553-(413/(E832+459.6)))*(INDEX(FX_Input,R$5,E$3*$Z$5+$AA$5-1)^0.5)*LOG10(INDEX(FX_Input,R$5,E$3*$Z$5+$AA$5))-(1.854-(1042/(E832+459.6)))*(INDEX(FX_Input,R$5,E$3*$Z$5+$AA$5-1)^0.5)+((2416/(E832+459.6)-2.013)*LOG10(INDEX(FX_Input,R$5,E$3*$Z$5+$AA$5)))-(8742/(E832+459.6))+15.64),EXP(INDEX(Antoines,MATCH(E826,Antoine_Name,0),2)-INDEX(Antoines,MATCH(E826,Antoine_Name,0),3)/(E832+459.6))))),0)</f>
        <v>0</v>
      </c>
      <c r="F837" cm="1">
        <f t="array" ref="F837">IFERROR(IF(F827="Chemical",(10^(INDEX(Antoines,MATCH(F826,Antoine_Name,0),2)-INDEX(Antoines,MATCH(F826,Antoine_Name,0),3)/(INDEX(Antoines,MATCH(F826,Antoine_Name,0),4)+(F832-32)*5/9)))*14.7/760,IF(F827="Crude Oil",EXP((2799/(F832+459.6)-2.227)*LOG10(INDEX(FX_Input,S$5,F$3*$Z$5+$AA$5))-(7261/(F832+459.6))+12.82),IF(F827="Refined Petroleum Stock",EXP((0.7553-(413/(F832+459.6)))*(INDEX(FX_Input,S$5,F$3*$Z$5+$AA$5-1)^0.5)*LOG10(INDEX(FX_Input,S$5,F$3*$Z$5+$AA$5))-(1.854-(1042/(F832+459.6)))*(INDEX(FX_Input,S$5,F$3*$Z$5+$AA$5-1)^0.5)+((2416/(F832+459.6)-2.013)*LOG10(INDEX(FX_Input,S$5,F$3*$Z$5+$AA$5)))-(8742/(F832+459.6))+15.64),EXP(INDEX(Antoines,MATCH(F826,Antoine_Name,0),2)-INDEX(Antoines,MATCH(F826,Antoine_Name,0),3)/(F832+459.6))))),0)</f>
        <v>0</v>
      </c>
      <c r="G837" cm="1">
        <f t="array" ref="G837">IFERROR(IF(G827="Chemical",(10^(INDEX(Antoines,MATCH(G826,Antoine_Name,0),2)-INDEX(Antoines,MATCH(G826,Antoine_Name,0),3)/(INDEX(Antoines,MATCH(G826,Antoine_Name,0),4)+(G832-32)*5/9)))*14.7/760,IF(G827="Crude Oil",EXP((2799/(G832+459.6)-2.227)*LOG10(INDEX(FX_Input,T$5,G$3*$Z$5+$AA$5))-(7261/(G832+459.6))+12.82),IF(G827="Refined Petroleum Stock",EXP((0.7553-(413/(G832+459.6)))*(INDEX(FX_Input,T$5,G$3*$Z$5+$AA$5-1)^0.5)*LOG10(INDEX(FX_Input,T$5,G$3*$Z$5+$AA$5))-(1.854-(1042/(G832+459.6)))*(INDEX(FX_Input,T$5,G$3*$Z$5+$AA$5-1)^0.5)+((2416/(G832+459.6)-2.013)*LOG10(INDEX(FX_Input,T$5,G$3*$Z$5+$AA$5)))-(8742/(G832+459.6))+15.64),EXP(INDEX(Antoines,MATCH(G826,Antoine_Name,0),2)-INDEX(Antoines,MATCH(G826,Antoine_Name,0),3)/(G832+459.6))))),0)</f>
        <v>0</v>
      </c>
      <c r="H837" cm="1">
        <f t="array" ref="H837">IFERROR(IF(H827="Chemical",(10^(INDEX(Antoines,MATCH(H826,Antoine_Name,0),2)-INDEX(Antoines,MATCH(H826,Antoine_Name,0),3)/(INDEX(Antoines,MATCH(H826,Antoine_Name,0),4)+(H832-32)*5/9)))*14.7/760,IF(H827="Crude Oil",EXP((2799/(H832+459.6)-2.227)*LOG10(INDEX(FX_Input,U$5,H$3*$Z$5+$AA$5))-(7261/(H832+459.6))+12.82),IF(H827="Refined Petroleum Stock",EXP((0.7553-(413/(H832+459.6)))*(INDEX(FX_Input,U$5,H$3*$Z$5+$AA$5-1)^0.5)*LOG10(INDEX(FX_Input,U$5,H$3*$Z$5+$AA$5))-(1.854-(1042/(H832+459.6)))*(INDEX(FX_Input,U$5,H$3*$Z$5+$AA$5-1)^0.5)+((2416/(H832+459.6)-2.013)*LOG10(INDEX(FX_Input,U$5,H$3*$Z$5+$AA$5)))-(8742/(H832+459.6))+15.64),EXP(INDEX(Antoines,MATCH(H826,Antoine_Name,0),2)-INDEX(Antoines,MATCH(H826,Antoine_Name,0),3)/(H832+459.6))))),0)</f>
        <v>0</v>
      </c>
      <c r="I837" cm="1">
        <f t="array" ref="I837">IFERROR(IF(I827="Chemical",(10^(INDEX(Antoines,MATCH(I826,Antoine_Name,0),2)-INDEX(Antoines,MATCH(I826,Antoine_Name,0),3)/(INDEX(Antoines,MATCH(I826,Antoine_Name,0),4)+(I832-32)*5/9)))*14.7/760,IF(I827="Crude Oil",EXP((2799/(I832+459.6)-2.227)*LOG10(INDEX(FX_Input,V$5,I$3*$Z$5+$AA$5))-(7261/(I832+459.6))+12.82),IF(I827="Refined Petroleum Stock",EXP((0.7553-(413/(I832+459.6)))*(INDEX(FX_Input,V$5,I$3*$Z$5+$AA$5-1)^0.5)*LOG10(INDEX(FX_Input,V$5,I$3*$Z$5+$AA$5))-(1.854-(1042/(I832+459.6)))*(INDEX(FX_Input,V$5,I$3*$Z$5+$AA$5-1)^0.5)+((2416/(I832+459.6)-2.013)*LOG10(INDEX(FX_Input,V$5,I$3*$Z$5+$AA$5)))-(8742/(I832+459.6))+15.64),EXP(INDEX(Antoines,MATCH(I826,Antoine_Name,0),2)-INDEX(Antoines,MATCH(I826,Antoine_Name,0),3)/(I832+459.6))))),0)</f>
        <v>0</v>
      </c>
      <c r="J837" cm="1">
        <f t="array" ref="J837">IFERROR(IF(J827="Chemical",(10^(INDEX(Antoines,MATCH(J826,Antoine_Name,0),2)-INDEX(Antoines,MATCH(J826,Antoine_Name,0),3)/(INDEX(Antoines,MATCH(J826,Antoine_Name,0),4)+(J832-32)*5/9)))*14.7/760,IF(J827="Crude Oil",EXP((2799/(J832+459.6)-2.227)*LOG10(INDEX(FX_Input,W$5,J$3*$Z$5+$AA$5))-(7261/(J832+459.6))+12.82),IF(J827="Refined Petroleum Stock",EXP((0.7553-(413/(J832+459.6)))*(INDEX(FX_Input,W$5,J$3*$Z$5+$AA$5-1)^0.5)*LOG10(INDEX(FX_Input,W$5,J$3*$Z$5+$AA$5))-(1.854-(1042/(J832+459.6)))*(INDEX(FX_Input,W$5,J$3*$Z$5+$AA$5-1)^0.5)+((2416/(J832+459.6)-2.013)*LOG10(INDEX(FX_Input,W$5,J$3*$Z$5+$AA$5)))-(8742/(J832+459.6))+15.64),EXP(INDEX(Antoines,MATCH(J826,Antoine_Name,0),2)-INDEX(Antoines,MATCH(J826,Antoine_Name,0),3)/(J832+459.6))))),0)</f>
        <v>0</v>
      </c>
      <c r="K837" cm="1">
        <f t="array" ref="K837">IFERROR(IF(K827="Chemical",(10^(INDEX(Antoines,MATCH(K826,Antoine_Name,0),2)-INDEX(Antoines,MATCH(K826,Antoine_Name,0),3)/(INDEX(Antoines,MATCH(K826,Antoine_Name,0),4)+(K832-32)*5/9)))*14.7/760,IF(K827="Crude Oil",EXP((2799/(K832+459.6)-2.227)*LOG10(INDEX(FX_Input,X$5,K$3*$Z$5+$AA$5))-(7261/(K832+459.6))+12.82),IF(K827="Refined Petroleum Stock",EXP((0.7553-(413/(K832+459.6)))*(INDEX(FX_Input,X$5,K$3*$Z$5+$AA$5-1)^0.5)*LOG10(INDEX(FX_Input,X$5,K$3*$Z$5+$AA$5))-(1.854-(1042/(K832+459.6)))*(INDEX(FX_Input,X$5,K$3*$Z$5+$AA$5-1)^0.5)+((2416/(K832+459.6)-2.013)*LOG10(INDEX(FX_Input,X$5,K$3*$Z$5+$AA$5)))-(8742/(K832+459.6))+15.64),EXP(INDEX(Antoines,MATCH(K826,Antoine_Name,0),2)-INDEX(Antoines,MATCH(K826,Antoine_Name,0),3)/(K832+459.6))))),0)</f>
        <v>0</v>
      </c>
      <c r="L837" cm="1">
        <f t="array" ref="L837">IFERROR(IF(L827="Chemical",(10^(INDEX(Antoines,MATCH(L826,Antoine_Name,0),2)-INDEX(Antoines,MATCH(L826,Antoine_Name,0),3)/(INDEX(Antoines,MATCH(L826,Antoine_Name,0),4)+(L832-32)*5/9)))*14.7/760,IF(L827="Crude Oil",EXP((2799/(L832+459.6)-2.227)*LOG10(INDEX(FX_Input,Y$5,L$3*$Z$5+$AA$5))-(7261/(L832+459.6))+12.82),IF(L827="Refined Petroleum Stock",EXP((0.7553-(413/(L832+459.6)))*(INDEX(FX_Input,Y$5,L$3*$Z$5+$AA$5-1)^0.5)*LOG10(INDEX(FX_Input,Y$5,L$3*$Z$5+$AA$5))-(1.854-(1042/(L832+459.6)))*(INDEX(FX_Input,Y$5,L$3*$Z$5+$AA$5-1)^0.5)+((2416/(L832+459.6)-2.013)*LOG10(INDEX(FX_Input,Y$5,L$3*$Z$5+$AA$5)))-(8742/(L832+459.6))+15.64),EXP(INDEX(Antoines,MATCH(L826,Antoine_Name,0),2)-INDEX(Antoines,MATCH(L826,Antoine_Name,0),3)/(L832+459.6))))),0)</f>
        <v>0</v>
      </c>
      <c r="M837" cm="1">
        <f t="array" ref="M837">IFERROR(IF(M827="Chemical",(10^(INDEX(Antoines,MATCH(M826,Antoine_Name,0),2)-INDEX(Antoines,MATCH(M826,Antoine_Name,0),3)/(INDEX(Antoines,MATCH(M826,Antoine_Name,0),4)+(M832-32)*5/9)))*14.7/760,IF(M827="Crude Oil",EXP((2799/(M832+459.6)-2.227)*LOG10(INDEX(FX_Input,Z$5,M$3*$Z$5+$AA$5))-(7261/(M832+459.6))+12.82),IF(M827="Refined Petroleum Stock",EXP((0.7553-(413/(M832+459.6)))*(INDEX(FX_Input,Z$5,M$3*$Z$5+$AA$5-1)^0.5)*LOG10(INDEX(FX_Input,Z$5,M$3*$Z$5+$AA$5))-(1.854-(1042/(M832+459.6)))*(INDEX(FX_Input,Z$5,M$3*$Z$5+$AA$5-1)^0.5)+((2416/(M832+459.6)-2.013)*LOG10(INDEX(FX_Input,Z$5,M$3*$Z$5+$AA$5)))-(8742/(M832+459.6))+15.64),EXP(INDEX(Antoines,MATCH(M826,Antoine_Name,0),2)-INDEX(Antoines,MATCH(M826,Antoine_Name,0),3)/(M832+459.6))))),0)</f>
        <v>0</v>
      </c>
      <c r="N837" cm="1">
        <f t="array" ref="N837">IFERROR(IF(N827="Chemical",(10^(INDEX(Antoines,MATCH(N826,Antoine_Name,0),2)-INDEX(Antoines,MATCH(N826,Antoine_Name,0),3)/(INDEX(Antoines,MATCH(N826,Antoine_Name,0),4)+(N832-32)*5/9)))*14.7/760,IF(N827="Crude Oil",EXP((2799/(N832+459.6)-2.227)*LOG10(INDEX(FX_Input,AA$5,N$3*$Z$5+$AA$5))-(7261/(N832+459.6))+12.82),IF(N827="Refined Petroleum Stock",EXP((0.7553-(413/(N832+459.6)))*(INDEX(FX_Input,AA$5,N$3*$Z$5+$AA$5-1)^0.5)*LOG10(INDEX(FX_Input,AA$5,N$3*$Z$5+$AA$5))-(1.854-(1042/(N832+459.6)))*(INDEX(FX_Input,AA$5,N$3*$Z$5+$AA$5-1)^0.5)+((2416/(N832+459.6)-2.013)*LOG10(INDEX(FX_Input,AA$5,N$3*$Z$5+$AA$5)))-(8742/(N832+459.6))+15.64),EXP(INDEX(Antoines,MATCH(N826,Antoine_Name,0),2)-INDEX(Antoines,MATCH(N826,Antoine_Name,0),3)/(N832+459.6))))),0)</f>
        <v>0</v>
      </c>
      <c r="O837" cm="1">
        <f t="array" ref="O837">IFERROR(IF(O827="Chemical",(10^(INDEX(Antoines,MATCH(O826,Antoine_Name,0),2)-INDEX(Antoines,MATCH(O826,Antoine_Name,0),3)/(INDEX(Antoines,MATCH(O826,Antoine_Name,0),4)+(O832-32)*5/9)))*14.7/760,IF(O827="Crude Oil",EXP((2799/(O832+459.6)-2.227)*LOG10(INDEX(FX_Input,AB$5,O$3*$Z$5+$AA$5))-(7261/(O832+459.6))+12.82),IF(O827="Refined Petroleum Stock",EXP((0.7553-(413/(O832+459.6)))*(INDEX(FX_Input,AB$5,O$3*$Z$5+$AA$5-1)^0.5)*LOG10(INDEX(FX_Input,AB$5,O$3*$Z$5+$AA$5))-(1.854-(1042/(O832+459.6)))*(INDEX(FX_Input,AB$5,O$3*$Z$5+$AA$5-1)^0.5)+((2416/(O832+459.6)-2.013)*LOG10(INDEX(FX_Input,AB$5,O$3*$Z$5+$AA$5)))-(8742/(O832+459.6))+15.64),EXP(INDEX(Antoines,MATCH(O826,Antoine_Name,0),2)-INDEX(Antoines,MATCH(O826,Antoine_Name,0),3)/(O832+459.6))))),0)</f>
        <v>0</v>
      </c>
    </row>
    <row r="838" spans="2:32" ht="17.149999999999999" x14ac:dyDescent="0.55000000000000004">
      <c r="B838" t="str">
        <f t="shared" si="2964"/>
        <v>Portland</v>
      </c>
      <c r="C838" t="s">
        <v>577</v>
      </c>
      <c r="D838">
        <f>D837*D830</f>
        <v>0</v>
      </c>
      <c r="E838">
        <f t="shared" ref="E838" si="2976">E837*E830</f>
        <v>0</v>
      </c>
      <c r="F838">
        <f t="shared" ref="F838" si="2977">F837*F830</f>
        <v>0</v>
      </c>
      <c r="G838">
        <f t="shared" ref="G838" si="2978">G837*G830</f>
        <v>0</v>
      </c>
      <c r="H838">
        <f t="shared" ref="H838" si="2979">H837*H830</f>
        <v>0</v>
      </c>
      <c r="I838">
        <f t="shared" ref="I838" si="2980">I837*I830</f>
        <v>0</v>
      </c>
      <c r="J838">
        <f t="shared" ref="J838" si="2981">J837*J830</f>
        <v>0</v>
      </c>
      <c r="K838">
        <f t="shared" ref="K838" si="2982">K837*K830</f>
        <v>0</v>
      </c>
      <c r="L838">
        <f t="shared" ref="L838" si="2983">L837*L830</f>
        <v>0</v>
      </c>
      <c r="M838">
        <f t="shared" ref="M838" si="2984">M837*M830</f>
        <v>0</v>
      </c>
      <c r="N838">
        <f t="shared" ref="N838" si="2985">N837*N830</f>
        <v>0</v>
      </c>
      <c r="O838">
        <f t="shared" ref="O838" si="2986">O837*O830</f>
        <v>0</v>
      </c>
    </row>
    <row r="839" spans="2:32" ht="17.149999999999999" x14ac:dyDescent="0.55000000000000004">
      <c r="B839" t="str">
        <f t="shared" si="2964"/>
        <v>Portland</v>
      </c>
      <c r="C839" t="s">
        <v>578</v>
      </c>
      <c r="D839">
        <f>D838+D836</f>
        <v>1</v>
      </c>
      <c r="E839">
        <f t="shared" ref="E839" si="2987">E838+E836</f>
        <v>1</v>
      </c>
      <c r="F839">
        <f t="shared" ref="F839" si="2988">F838+F836</f>
        <v>1</v>
      </c>
      <c r="G839">
        <f t="shared" ref="G839" si="2989">G838+G836</f>
        <v>1</v>
      </c>
      <c r="H839">
        <f t="shared" ref="H839" si="2990">H838+H836</f>
        <v>1</v>
      </c>
      <c r="I839">
        <f t="shared" ref="I839" si="2991">I838+I836</f>
        <v>1</v>
      </c>
      <c r="J839">
        <f t="shared" ref="J839" si="2992">J838+J836</f>
        <v>1</v>
      </c>
      <c r="K839">
        <f t="shared" ref="K839" si="2993">K838+K836</f>
        <v>1</v>
      </c>
      <c r="L839">
        <f t="shared" ref="L839" si="2994">L838+L836</f>
        <v>1</v>
      </c>
      <c r="M839">
        <f t="shared" ref="M839" si="2995">M838+M836</f>
        <v>1</v>
      </c>
      <c r="N839">
        <f t="shared" ref="N839" si="2996">N838+N836</f>
        <v>1</v>
      </c>
      <c r="O839">
        <f t="shared" ref="O839" si="2997">O838+O836</f>
        <v>1</v>
      </c>
    </row>
    <row r="840" spans="2:32" ht="17.149999999999999" x14ac:dyDescent="0.55000000000000004">
      <c r="B840" t="str">
        <f t="shared" si="2964"/>
        <v>Portland</v>
      </c>
      <c r="C840" t="s">
        <v>579</v>
      </c>
      <c r="D840" cm="1">
        <f t="array" ref="D840">IFERROR(IF(D825="Chemical",(10^(INDEX(Antoines,MATCH(D824,Antoine_Name,0),2)-INDEX(Antoines,MATCH(D824,Antoine_Name,0),3)/(INDEX(Antoines,MATCH(D824,Antoine_Name,0),4)+(D833-32)*5/9)))*14.7/760,IF(D825="Crude Oil",EXP((2799/(D833+459.6)-2.227)*LOG10(INDEX(FX_Input,Q$5,D$3*$Z$5+$AA$5))-(7261/(D833+459.6))+12.82),IF(D825="Refined Petroleum Stock",EXP((0.7553-(413/(D833+459.6)))*(INDEX(FX_Input,Q$5,D$3*$Z$5+$AA$5-1)^0.5)*LOG10(INDEX(FX_Input,Q$5,D$3*$Z$5+$AA$5))-(1.854-(1042/(D833+459.6)))*(INDEX(FX_Input,Q$5,D$3*$Z$5+$AA$5-1)^0.5)+((2416/(D833+459.6)-2.013)*LOG10(INDEX(FX_Input,Q$5,D$3*$Z$5+$AA$5)))-(8742/(D833+459.6))+15.64),EXP(INDEX(Antoines,MATCH(D824,Antoine_Name,0),2)-INDEX(Antoines,MATCH(D824,Antoine_Name,0),3)/(D833+459.6))))),0)</f>
        <v>1</v>
      </c>
      <c r="E840" cm="1">
        <f t="array" ref="E840">IFERROR(IF(E825="Chemical",(10^(INDEX(Antoines,MATCH(E824,Antoine_Name,0),2)-INDEX(Antoines,MATCH(E824,Antoine_Name,0),3)/(INDEX(Antoines,MATCH(E824,Antoine_Name,0),4)+(E833-32)*5/9)))*14.7/760,IF(E825="Crude Oil",EXP((2799/(E833+459.6)-2.227)*LOG10(INDEX(FX_Input,R$5,E$3*$Z$5+$AA$5))-(7261/(E833+459.6))+12.82),IF(E825="Refined Petroleum Stock",EXP((0.7553-(413/(E833+459.6)))*(INDEX(FX_Input,R$5,E$3*$Z$5+$AA$5-1)^0.5)*LOG10(INDEX(FX_Input,R$5,E$3*$Z$5+$AA$5))-(1.854-(1042/(E833+459.6)))*(INDEX(FX_Input,R$5,E$3*$Z$5+$AA$5-1)^0.5)+((2416/(E833+459.6)-2.013)*LOG10(INDEX(FX_Input,R$5,E$3*$Z$5+$AA$5)))-(8742/(E833+459.6))+15.64),EXP(INDEX(Antoines,MATCH(E824,Antoine_Name,0),2)-INDEX(Antoines,MATCH(E824,Antoine_Name,0),3)/(E833+459.6))))),0)</f>
        <v>1</v>
      </c>
      <c r="F840" cm="1">
        <f t="array" ref="F840">IFERROR(IF(F825="Chemical",(10^(INDEX(Antoines,MATCH(F824,Antoine_Name,0),2)-INDEX(Antoines,MATCH(F824,Antoine_Name,0),3)/(INDEX(Antoines,MATCH(F824,Antoine_Name,0),4)+(F833-32)*5/9)))*14.7/760,IF(F825="Crude Oil",EXP((2799/(F833+459.6)-2.227)*LOG10(INDEX(FX_Input,S$5,F$3*$Z$5+$AA$5))-(7261/(F833+459.6))+12.82),IF(F825="Refined Petroleum Stock",EXP((0.7553-(413/(F833+459.6)))*(INDEX(FX_Input,S$5,F$3*$Z$5+$AA$5-1)^0.5)*LOG10(INDEX(FX_Input,S$5,F$3*$Z$5+$AA$5))-(1.854-(1042/(F833+459.6)))*(INDEX(FX_Input,S$5,F$3*$Z$5+$AA$5-1)^0.5)+((2416/(F833+459.6)-2.013)*LOG10(INDEX(FX_Input,S$5,F$3*$Z$5+$AA$5)))-(8742/(F833+459.6))+15.64),EXP(INDEX(Antoines,MATCH(F824,Antoine_Name,0),2)-INDEX(Antoines,MATCH(F824,Antoine_Name,0),3)/(F833+459.6))))),0)</f>
        <v>1</v>
      </c>
      <c r="G840" cm="1">
        <f t="array" ref="G840">IFERROR(IF(G825="Chemical",(10^(INDEX(Antoines,MATCH(G824,Antoine_Name,0),2)-INDEX(Antoines,MATCH(G824,Antoine_Name,0),3)/(INDEX(Antoines,MATCH(G824,Antoine_Name,0),4)+(G833-32)*5/9)))*14.7/760,IF(G825="Crude Oil",EXP((2799/(G833+459.6)-2.227)*LOG10(INDEX(FX_Input,T$5,G$3*$Z$5+$AA$5))-(7261/(G833+459.6))+12.82),IF(G825="Refined Petroleum Stock",EXP((0.7553-(413/(G833+459.6)))*(INDEX(FX_Input,T$5,G$3*$Z$5+$AA$5-1)^0.5)*LOG10(INDEX(FX_Input,T$5,G$3*$Z$5+$AA$5))-(1.854-(1042/(G833+459.6)))*(INDEX(FX_Input,T$5,G$3*$Z$5+$AA$5-1)^0.5)+((2416/(G833+459.6)-2.013)*LOG10(INDEX(FX_Input,T$5,G$3*$Z$5+$AA$5)))-(8742/(G833+459.6))+15.64),EXP(INDEX(Antoines,MATCH(G824,Antoine_Name,0),2)-INDEX(Antoines,MATCH(G824,Antoine_Name,0),3)/(G833+459.6))))),0)</f>
        <v>1</v>
      </c>
      <c r="H840" cm="1">
        <f t="array" ref="H840">IFERROR(IF(H825="Chemical",(10^(INDEX(Antoines,MATCH(H824,Antoine_Name,0),2)-INDEX(Antoines,MATCH(H824,Antoine_Name,0),3)/(INDEX(Antoines,MATCH(H824,Antoine_Name,0),4)+(H833-32)*5/9)))*14.7/760,IF(H825="Crude Oil",EXP((2799/(H833+459.6)-2.227)*LOG10(INDEX(FX_Input,U$5,H$3*$Z$5+$AA$5))-(7261/(H833+459.6))+12.82),IF(H825="Refined Petroleum Stock",EXP((0.7553-(413/(H833+459.6)))*(INDEX(FX_Input,U$5,H$3*$Z$5+$AA$5-1)^0.5)*LOG10(INDEX(FX_Input,U$5,H$3*$Z$5+$AA$5))-(1.854-(1042/(H833+459.6)))*(INDEX(FX_Input,U$5,H$3*$Z$5+$AA$5-1)^0.5)+((2416/(H833+459.6)-2.013)*LOG10(INDEX(FX_Input,U$5,H$3*$Z$5+$AA$5)))-(8742/(H833+459.6))+15.64),EXP(INDEX(Antoines,MATCH(H824,Antoine_Name,0),2)-INDEX(Antoines,MATCH(H824,Antoine_Name,0),3)/(H833+459.6))))),0)</f>
        <v>1</v>
      </c>
      <c r="I840" cm="1">
        <f t="array" ref="I840">IFERROR(IF(I825="Chemical",(10^(INDEX(Antoines,MATCH(I824,Antoine_Name,0),2)-INDEX(Antoines,MATCH(I824,Antoine_Name,0),3)/(INDEX(Antoines,MATCH(I824,Antoine_Name,0),4)+(I833-32)*5/9)))*14.7/760,IF(I825="Crude Oil",EXP((2799/(I833+459.6)-2.227)*LOG10(INDEX(FX_Input,V$5,I$3*$Z$5+$AA$5))-(7261/(I833+459.6))+12.82),IF(I825="Refined Petroleum Stock",EXP((0.7553-(413/(I833+459.6)))*(INDEX(FX_Input,V$5,I$3*$Z$5+$AA$5-1)^0.5)*LOG10(INDEX(FX_Input,V$5,I$3*$Z$5+$AA$5))-(1.854-(1042/(I833+459.6)))*(INDEX(FX_Input,V$5,I$3*$Z$5+$AA$5-1)^0.5)+((2416/(I833+459.6)-2.013)*LOG10(INDEX(FX_Input,V$5,I$3*$Z$5+$AA$5)))-(8742/(I833+459.6))+15.64),EXP(INDEX(Antoines,MATCH(I824,Antoine_Name,0),2)-INDEX(Antoines,MATCH(I824,Antoine_Name,0),3)/(I833+459.6))))),0)</f>
        <v>1</v>
      </c>
      <c r="J840" cm="1">
        <f t="array" ref="J840">IFERROR(IF(J825="Chemical",(10^(INDEX(Antoines,MATCH(J824,Antoine_Name,0),2)-INDEX(Antoines,MATCH(J824,Antoine_Name,0),3)/(INDEX(Antoines,MATCH(J824,Antoine_Name,0),4)+(J833-32)*5/9)))*14.7/760,IF(J825="Crude Oil",EXP((2799/(J833+459.6)-2.227)*LOG10(INDEX(FX_Input,W$5,J$3*$Z$5+$AA$5))-(7261/(J833+459.6))+12.82),IF(J825="Refined Petroleum Stock",EXP((0.7553-(413/(J833+459.6)))*(INDEX(FX_Input,W$5,J$3*$Z$5+$AA$5-1)^0.5)*LOG10(INDEX(FX_Input,W$5,J$3*$Z$5+$AA$5))-(1.854-(1042/(J833+459.6)))*(INDEX(FX_Input,W$5,J$3*$Z$5+$AA$5-1)^0.5)+((2416/(J833+459.6)-2.013)*LOG10(INDEX(FX_Input,W$5,J$3*$Z$5+$AA$5)))-(8742/(J833+459.6))+15.64),EXP(INDEX(Antoines,MATCH(J824,Antoine_Name,0),2)-INDEX(Antoines,MATCH(J824,Antoine_Name,0),3)/(J833+459.6))))),0)</f>
        <v>1</v>
      </c>
      <c r="K840" cm="1">
        <f t="array" ref="K840">IFERROR(IF(K825="Chemical",(10^(INDEX(Antoines,MATCH(K824,Antoine_Name,0),2)-INDEX(Antoines,MATCH(K824,Antoine_Name,0),3)/(INDEX(Antoines,MATCH(K824,Antoine_Name,0),4)+(K833-32)*5/9)))*14.7/760,IF(K825="Crude Oil",EXP((2799/(K833+459.6)-2.227)*LOG10(INDEX(FX_Input,X$5,K$3*$Z$5+$AA$5))-(7261/(K833+459.6))+12.82),IF(K825="Refined Petroleum Stock",EXP((0.7553-(413/(K833+459.6)))*(INDEX(FX_Input,X$5,K$3*$Z$5+$AA$5-1)^0.5)*LOG10(INDEX(FX_Input,X$5,K$3*$Z$5+$AA$5))-(1.854-(1042/(K833+459.6)))*(INDEX(FX_Input,X$5,K$3*$Z$5+$AA$5-1)^0.5)+((2416/(K833+459.6)-2.013)*LOG10(INDEX(FX_Input,X$5,K$3*$Z$5+$AA$5)))-(8742/(K833+459.6))+15.64),EXP(INDEX(Antoines,MATCH(K824,Antoine_Name,0),2)-INDEX(Antoines,MATCH(K824,Antoine_Name,0),3)/(K833+459.6))))),0)</f>
        <v>1</v>
      </c>
      <c r="L840" cm="1">
        <f t="array" ref="L840">IFERROR(IF(L825="Chemical",(10^(INDEX(Antoines,MATCH(L824,Antoine_Name,0),2)-INDEX(Antoines,MATCH(L824,Antoine_Name,0),3)/(INDEX(Antoines,MATCH(L824,Antoine_Name,0),4)+(L833-32)*5/9)))*14.7/760,IF(L825="Crude Oil",EXP((2799/(L833+459.6)-2.227)*LOG10(INDEX(FX_Input,Y$5,L$3*$Z$5+$AA$5))-(7261/(L833+459.6))+12.82),IF(L825="Refined Petroleum Stock",EXP((0.7553-(413/(L833+459.6)))*(INDEX(FX_Input,Y$5,L$3*$Z$5+$AA$5-1)^0.5)*LOG10(INDEX(FX_Input,Y$5,L$3*$Z$5+$AA$5))-(1.854-(1042/(L833+459.6)))*(INDEX(FX_Input,Y$5,L$3*$Z$5+$AA$5-1)^0.5)+((2416/(L833+459.6)-2.013)*LOG10(INDEX(FX_Input,Y$5,L$3*$Z$5+$AA$5)))-(8742/(L833+459.6))+15.64),EXP(INDEX(Antoines,MATCH(L824,Antoine_Name,0),2)-INDEX(Antoines,MATCH(L824,Antoine_Name,0),3)/(L833+459.6))))),0)</f>
        <v>1</v>
      </c>
      <c r="M840" cm="1">
        <f t="array" ref="M840">IFERROR(IF(M825="Chemical",(10^(INDEX(Antoines,MATCH(M824,Antoine_Name,0),2)-INDEX(Antoines,MATCH(M824,Antoine_Name,0),3)/(INDEX(Antoines,MATCH(M824,Antoine_Name,0),4)+(M833-32)*5/9)))*14.7/760,IF(M825="Crude Oil",EXP((2799/(M833+459.6)-2.227)*LOG10(INDEX(FX_Input,Z$5,M$3*$Z$5+$AA$5))-(7261/(M833+459.6))+12.82),IF(M825="Refined Petroleum Stock",EXP((0.7553-(413/(M833+459.6)))*(INDEX(FX_Input,Z$5,M$3*$Z$5+$AA$5-1)^0.5)*LOG10(INDEX(FX_Input,Z$5,M$3*$Z$5+$AA$5))-(1.854-(1042/(M833+459.6)))*(INDEX(FX_Input,Z$5,M$3*$Z$5+$AA$5-1)^0.5)+((2416/(M833+459.6)-2.013)*LOG10(INDEX(FX_Input,Z$5,M$3*$Z$5+$AA$5)))-(8742/(M833+459.6))+15.64),EXP(INDEX(Antoines,MATCH(M824,Antoine_Name,0),2)-INDEX(Antoines,MATCH(M824,Antoine_Name,0),3)/(M833+459.6))))),0)</f>
        <v>1</v>
      </c>
      <c r="N840" cm="1">
        <f t="array" ref="N840">IFERROR(IF(N825="Chemical",(10^(INDEX(Antoines,MATCH(N824,Antoine_Name,0),2)-INDEX(Antoines,MATCH(N824,Antoine_Name,0),3)/(INDEX(Antoines,MATCH(N824,Antoine_Name,0),4)+(N833-32)*5/9)))*14.7/760,IF(N825="Crude Oil",EXP((2799/(N833+459.6)-2.227)*LOG10(INDEX(FX_Input,AA$5,N$3*$Z$5+$AA$5))-(7261/(N833+459.6))+12.82),IF(N825="Refined Petroleum Stock",EXP((0.7553-(413/(N833+459.6)))*(INDEX(FX_Input,AA$5,N$3*$Z$5+$AA$5-1)^0.5)*LOG10(INDEX(FX_Input,AA$5,N$3*$Z$5+$AA$5))-(1.854-(1042/(N833+459.6)))*(INDEX(FX_Input,AA$5,N$3*$Z$5+$AA$5-1)^0.5)+((2416/(N833+459.6)-2.013)*LOG10(INDEX(FX_Input,AA$5,N$3*$Z$5+$AA$5)))-(8742/(N833+459.6))+15.64),EXP(INDEX(Antoines,MATCH(N824,Antoine_Name,0),2)-INDEX(Antoines,MATCH(N824,Antoine_Name,0),3)/(N833+459.6))))),0)</f>
        <v>1</v>
      </c>
      <c r="O840" cm="1">
        <f t="array" ref="O840">IFERROR(IF(O825="Chemical",(10^(INDEX(Antoines,MATCH(O824,Antoine_Name,0),2)-INDEX(Antoines,MATCH(O824,Antoine_Name,0),3)/(INDEX(Antoines,MATCH(O824,Antoine_Name,0),4)+(O833-32)*5/9)))*14.7/760,IF(O825="Crude Oil",EXP((2799/(O833+459.6)-2.227)*LOG10(INDEX(FX_Input,AB$5,O$3*$Z$5+$AA$5))-(7261/(O833+459.6))+12.82),IF(O825="Refined Petroleum Stock",EXP((0.7553-(413/(O833+459.6)))*(INDEX(FX_Input,AB$5,O$3*$Z$5+$AA$5-1)^0.5)*LOG10(INDEX(FX_Input,AB$5,O$3*$Z$5+$AA$5))-(1.854-(1042/(O833+459.6)))*(INDEX(FX_Input,AB$5,O$3*$Z$5+$AA$5-1)^0.5)+((2416/(O833+459.6)-2.013)*LOG10(INDEX(FX_Input,AB$5,O$3*$Z$5+$AA$5)))-(8742/(O833+459.6))+15.64),EXP(INDEX(Antoines,MATCH(O824,Antoine_Name,0),2)-INDEX(Antoines,MATCH(O824,Antoine_Name,0),3)/(O833+459.6))))),0)</f>
        <v>1</v>
      </c>
    </row>
    <row r="841" spans="2:32" ht="17.149999999999999" x14ac:dyDescent="0.55000000000000004">
      <c r="B841" t="str">
        <f t="shared" si="2964"/>
        <v>Portland</v>
      </c>
      <c r="C841" t="s">
        <v>580</v>
      </c>
      <c r="D841">
        <f>D840*D828</f>
        <v>1</v>
      </c>
      <c r="E841">
        <f t="shared" ref="E841" si="2998">E840*E828</f>
        <v>1</v>
      </c>
      <c r="F841">
        <f t="shared" ref="F841" si="2999">F840*F828</f>
        <v>1</v>
      </c>
      <c r="G841">
        <f t="shared" ref="G841" si="3000">G840*G828</f>
        <v>1</v>
      </c>
      <c r="H841">
        <f t="shared" ref="H841" si="3001">H840*H828</f>
        <v>1</v>
      </c>
      <c r="I841">
        <f t="shared" ref="I841" si="3002">I840*I828</f>
        <v>1</v>
      </c>
      <c r="J841">
        <f t="shared" ref="J841" si="3003">J840*J828</f>
        <v>1</v>
      </c>
      <c r="K841">
        <f t="shared" ref="K841" si="3004">K840*K828</f>
        <v>1</v>
      </c>
      <c r="L841">
        <f t="shared" ref="L841" si="3005">L840*L828</f>
        <v>1</v>
      </c>
      <c r="M841">
        <f t="shared" ref="M841" si="3006">M840*M828</f>
        <v>1</v>
      </c>
      <c r="N841">
        <f t="shared" ref="N841" si="3007">N840*N828</f>
        <v>1</v>
      </c>
      <c r="O841">
        <f t="shared" ref="O841" si="3008">O840*O828</f>
        <v>1</v>
      </c>
    </row>
    <row r="842" spans="2:32" ht="17.149999999999999" x14ac:dyDescent="0.55000000000000004">
      <c r="B842" t="str">
        <f t="shared" si="2964"/>
        <v>Portland</v>
      </c>
      <c r="C842" t="s">
        <v>581</v>
      </c>
      <c r="D842" cm="1">
        <f t="array" ref="D842">IFERROR(IF(D827="Chemical",(10^(INDEX(Antoines,MATCH(D826,Antoine_Name,0),2)-INDEX(Antoines,MATCH(D826,Antoine_Name,0),3)/(INDEX(Antoines,MATCH(D826,Antoine_Name,0),4)+(D833-32)*5/9)))*14.7/760,IF(D827="Crude Oil",EXP((2799/(D833+459.6)-2.227)*LOG10(INDEX(FX_Input,Q$5,D$3*$Z$5+$AA$5))-(7261/(D833+459.6))+12.82),IF(D827="Refined Petroleum Stock",EXP((0.7553-(413/(D833+459.6)))*(INDEX(FX_Input,Q$5,D$3*$Z$5+$AA$5-1)^0.5)*LOG10(INDEX(FX_Input,Q$5,D$3*$Z$5+$AA$5))-(1.854-(1042/(D833+459.6)))*(INDEX(FX_Input,Q$5,D$3*$Z$5+$AA$5-1)^0.5)+((2416/(D833+459.6)-2.013)*LOG10(INDEX(FX_Input,Q$5,D$3*$Z$5+$AA$5)))-(8742/(D833+459.6))+15.64),EXP(INDEX(Antoines,MATCH(D826,Antoine_Name,0),2)-INDEX(Antoines,MATCH(D826,Antoine_Name,0),3)/(D833+459.6))))),0)</f>
        <v>0</v>
      </c>
      <c r="E842" cm="1">
        <f t="array" ref="E842">IFERROR(IF(E827="Chemical",(10^(INDEX(Antoines,MATCH(E826,Antoine_Name,0),2)-INDEX(Antoines,MATCH(E826,Antoine_Name,0),3)/(INDEX(Antoines,MATCH(E826,Antoine_Name,0),4)+(E833-32)*5/9)))*14.7/760,IF(E827="Crude Oil",EXP((2799/(E833+459.6)-2.227)*LOG10(INDEX(FX_Input,R$5,E$3*$Z$5+$AA$5))-(7261/(E833+459.6))+12.82),IF(E827="Refined Petroleum Stock",EXP((0.7553-(413/(E833+459.6)))*(INDEX(FX_Input,R$5,E$3*$Z$5+$AA$5-1)^0.5)*LOG10(INDEX(FX_Input,R$5,E$3*$Z$5+$AA$5))-(1.854-(1042/(E833+459.6)))*(INDEX(FX_Input,R$5,E$3*$Z$5+$AA$5-1)^0.5)+((2416/(E833+459.6)-2.013)*LOG10(INDEX(FX_Input,R$5,E$3*$Z$5+$AA$5)))-(8742/(E833+459.6))+15.64),EXP(INDEX(Antoines,MATCH(E826,Antoine_Name,0),2)-INDEX(Antoines,MATCH(E826,Antoine_Name,0),3)/(E833+459.6))))),0)</f>
        <v>0</v>
      </c>
      <c r="F842" cm="1">
        <f t="array" ref="F842">IFERROR(IF(F827="Chemical",(10^(INDEX(Antoines,MATCH(F826,Antoine_Name,0),2)-INDEX(Antoines,MATCH(F826,Antoine_Name,0),3)/(INDEX(Antoines,MATCH(F826,Antoine_Name,0),4)+(F833-32)*5/9)))*14.7/760,IF(F827="Crude Oil",EXP((2799/(F833+459.6)-2.227)*LOG10(INDEX(FX_Input,S$5,F$3*$Z$5+$AA$5))-(7261/(F833+459.6))+12.82),IF(F827="Refined Petroleum Stock",EXP((0.7553-(413/(F833+459.6)))*(INDEX(FX_Input,S$5,F$3*$Z$5+$AA$5-1)^0.5)*LOG10(INDEX(FX_Input,S$5,F$3*$Z$5+$AA$5))-(1.854-(1042/(F833+459.6)))*(INDEX(FX_Input,S$5,F$3*$Z$5+$AA$5-1)^0.5)+((2416/(F833+459.6)-2.013)*LOG10(INDEX(FX_Input,S$5,F$3*$Z$5+$AA$5)))-(8742/(F833+459.6))+15.64),EXP(INDEX(Antoines,MATCH(F826,Antoine_Name,0),2)-INDEX(Antoines,MATCH(F826,Antoine_Name,0),3)/(F833+459.6))))),0)</f>
        <v>0</v>
      </c>
      <c r="G842" cm="1">
        <f t="array" ref="G842">IFERROR(IF(G827="Chemical",(10^(INDEX(Antoines,MATCH(G826,Antoine_Name,0),2)-INDEX(Antoines,MATCH(G826,Antoine_Name,0),3)/(INDEX(Antoines,MATCH(G826,Antoine_Name,0),4)+(G833-32)*5/9)))*14.7/760,IF(G827="Crude Oil",EXP((2799/(G833+459.6)-2.227)*LOG10(INDEX(FX_Input,T$5,G$3*$Z$5+$AA$5))-(7261/(G833+459.6))+12.82),IF(G827="Refined Petroleum Stock",EXP((0.7553-(413/(G833+459.6)))*(INDEX(FX_Input,T$5,G$3*$Z$5+$AA$5-1)^0.5)*LOG10(INDEX(FX_Input,T$5,G$3*$Z$5+$AA$5))-(1.854-(1042/(G833+459.6)))*(INDEX(FX_Input,T$5,G$3*$Z$5+$AA$5-1)^0.5)+((2416/(G833+459.6)-2.013)*LOG10(INDEX(FX_Input,T$5,G$3*$Z$5+$AA$5)))-(8742/(G833+459.6))+15.64),EXP(INDEX(Antoines,MATCH(G826,Antoine_Name,0),2)-INDEX(Antoines,MATCH(G826,Antoine_Name,0),3)/(G833+459.6))))),0)</f>
        <v>0</v>
      </c>
      <c r="H842" cm="1">
        <f t="array" ref="H842">IFERROR(IF(H827="Chemical",(10^(INDEX(Antoines,MATCH(H826,Antoine_Name,0),2)-INDEX(Antoines,MATCH(H826,Antoine_Name,0),3)/(INDEX(Antoines,MATCH(H826,Antoine_Name,0),4)+(H833-32)*5/9)))*14.7/760,IF(H827="Crude Oil",EXP((2799/(H833+459.6)-2.227)*LOG10(INDEX(FX_Input,U$5,H$3*$Z$5+$AA$5))-(7261/(H833+459.6))+12.82),IF(H827="Refined Petroleum Stock",EXP((0.7553-(413/(H833+459.6)))*(INDEX(FX_Input,U$5,H$3*$Z$5+$AA$5-1)^0.5)*LOG10(INDEX(FX_Input,U$5,H$3*$Z$5+$AA$5))-(1.854-(1042/(H833+459.6)))*(INDEX(FX_Input,U$5,H$3*$Z$5+$AA$5-1)^0.5)+((2416/(H833+459.6)-2.013)*LOG10(INDEX(FX_Input,U$5,H$3*$Z$5+$AA$5)))-(8742/(H833+459.6))+15.64),EXP(INDEX(Antoines,MATCH(H826,Antoine_Name,0),2)-INDEX(Antoines,MATCH(H826,Antoine_Name,0),3)/(H833+459.6))))),0)</f>
        <v>0</v>
      </c>
      <c r="I842" cm="1">
        <f t="array" ref="I842">IFERROR(IF(I827="Chemical",(10^(INDEX(Antoines,MATCH(I826,Antoine_Name,0),2)-INDEX(Antoines,MATCH(I826,Antoine_Name,0),3)/(INDEX(Antoines,MATCH(I826,Antoine_Name,0),4)+(I833-32)*5/9)))*14.7/760,IF(I827="Crude Oil",EXP((2799/(I833+459.6)-2.227)*LOG10(INDEX(FX_Input,V$5,I$3*$Z$5+$AA$5))-(7261/(I833+459.6))+12.82),IF(I827="Refined Petroleum Stock",EXP((0.7553-(413/(I833+459.6)))*(INDEX(FX_Input,V$5,I$3*$Z$5+$AA$5-1)^0.5)*LOG10(INDEX(FX_Input,V$5,I$3*$Z$5+$AA$5))-(1.854-(1042/(I833+459.6)))*(INDEX(FX_Input,V$5,I$3*$Z$5+$AA$5-1)^0.5)+((2416/(I833+459.6)-2.013)*LOG10(INDEX(FX_Input,V$5,I$3*$Z$5+$AA$5)))-(8742/(I833+459.6))+15.64),EXP(INDEX(Antoines,MATCH(I826,Antoine_Name,0),2)-INDEX(Antoines,MATCH(I826,Antoine_Name,0),3)/(I833+459.6))))),0)</f>
        <v>0</v>
      </c>
      <c r="J842" cm="1">
        <f t="array" ref="J842">IFERROR(IF(J827="Chemical",(10^(INDEX(Antoines,MATCH(J826,Antoine_Name,0),2)-INDEX(Antoines,MATCH(J826,Antoine_Name,0),3)/(INDEX(Antoines,MATCH(J826,Antoine_Name,0),4)+(J833-32)*5/9)))*14.7/760,IF(J827="Crude Oil",EXP((2799/(J833+459.6)-2.227)*LOG10(INDEX(FX_Input,W$5,J$3*$Z$5+$AA$5))-(7261/(J833+459.6))+12.82),IF(J827="Refined Petroleum Stock",EXP((0.7553-(413/(J833+459.6)))*(INDEX(FX_Input,W$5,J$3*$Z$5+$AA$5-1)^0.5)*LOG10(INDEX(FX_Input,W$5,J$3*$Z$5+$AA$5))-(1.854-(1042/(J833+459.6)))*(INDEX(FX_Input,W$5,J$3*$Z$5+$AA$5-1)^0.5)+((2416/(J833+459.6)-2.013)*LOG10(INDEX(FX_Input,W$5,J$3*$Z$5+$AA$5)))-(8742/(J833+459.6))+15.64),EXP(INDEX(Antoines,MATCH(J826,Antoine_Name,0),2)-INDEX(Antoines,MATCH(J826,Antoine_Name,0),3)/(J833+459.6))))),0)</f>
        <v>0</v>
      </c>
      <c r="K842" cm="1">
        <f t="array" ref="K842">IFERROR(IF(K827="Chemical",(10^(INDEX(Antoines,MATCH(K826,Antoine_Name,0),2)-INDEX(Antoines,MATCH(K826,Antoine_Name,0),3)/(INDEX(Antoines,MATCH(K826,Antoine_Name,0),4)+(K833-32)*5/9)))*14.7/760,IF(K827="Crude Oil",EXP((2799/(K833+459.6)-2.227)*LOG10(INDEX(FX_Input,X$5,K$3*$Z$5+$AA$5))-(7261/(K833+459.6))+12.82),IF(K827="Refined Petroleum Stock",EXP((0.7553-(413/(K833+459.6)))*(INDEX(FX_Input,X$5,K$3*$Z$5+$AA$5-1)^0.5)*LOG10(INDEX(FX_Input,X$5,K$3*$Z$5+$AA$5))-(1.854-(1042/(K833+459.6)))*(INDEX(FX_Input,X$5,K$3*$Z$5+$AA$5-1)^0.5)+((2416/(K833+459.6)-2.013)*LOG10(INDEX(FX_Input,X$5,K$3*$Z$5+$AA$5)))-(8742/(K833+459.6))+15.64),EXP(INDEX(Antoines,MATCH(K826,Antoine_Name,0),2)-INDEX(Antoines,MATCH(K826,Antoine_Name,0),3)/(K833+459.6))))),0)</f>
        <v>0</v>
      </c>
      <c r="L842" cm="1">
        <f t="array" ref="L842">IFERROR(IF(L827="Chemical",(10^(INDEX(Antoines,MATCH(L826,Antoine_Name,0),2)-INDEX(Antoines,MATCH(L826,Antoine_Name,0),3)/(INDEX(Antoines,MATCH(L826,Antoine_Name,0),4)+(L833-32)*5/9)))*14.7/760,IF(L827="Crude Oil",EXP((2799/(L833+459.6)-2.227)*LOG10(INDEX(FX_Input,Y$5,L$3*$Z$5+$AA$5))-(7261/(L833+459.6))+12.82),IF(L827="Refined Petroleum Stock",EXP((0.7553-(413/(L833+459.6)))*(INDEX(FX_Input,Y$5,L$3*$Z$5+$AA$5-1)^0.5)*LOG10(INDEX(FX_Input,Y$5,L$3*$Z$5+$AA$5))-(1.854-(1042/(L833+459.6)))*(INDEX(FX_Input,Y$5,L$3*$Z$5+$AA$5-1)^0.5)+((2416/(L833+459.6)-2.013)*LOG10(INDEX(FX_Input,Y$5,L$3*$Z$5+$AA$5)))-(8742/(L833+459.6))+15.64),EXP(INDEX(Antoines,MATCH(L826,Antoine_Name,0),2)-INDEX(Antoines,MATCH(L826,Antoine_Name,0),3)/(L833+459.6))))),0)</f>
        <v>0</v>
      </c>
      <c r="M842" cm="1">
        <f t="array" ref="M842">IFERROR(IF(M827="Chemical",(10^(INDEX(Antoines,MATCH(M826,Antoine_Name,0),2)-INDEX(Antoines,MATCH(M826,Antoine_Name,0),3)/(INDEX(Antoines,MATCH(M826,Antoine_Name,0),4)+(M833-32)*5/9)))*14.7/760,IF(M827="Crude Oil",EXP((2799/(M833+459.6)-2.227)*LOG10(INDEX(FX_Input,Z$5,M$3*$Z$5+$AA$5))-(7261/(M833+459.6))+12.82),IF(M827="Refined Petroleum Stock",EXP((0.7553-(413/(M833+459.6)))*(INDEX(FX_Input,Z$5,M$3*$Z$5+$AA$5-1)^0.5)*LOG10(INDEX(FX_Input,Z$5,M$3*$Z$5+$AA$5))-(1.854-(1042/(M833+459.6)))*(INDEX(FX_Input,Z$5,M$3*$Z$5+$AA$5-1)^0.5)+((2416/(M833+459.6)-2.013)*LOG10(INDEX(FX_Input,Z$5,M$3*$Z$5+$AA$5)))-(8742/(M833+459.6))+15.64),EXP(INDEX(Antoines,MATCH(M826,Antoine_Name,0),2)-INDEX(Antoines,MATCH(M826,Antoine_Name,0),3)/(M833+459.6))))),0)</f>
        <v>0</v>
      </c>
      <c r="N842" cm="1">
        <f t="array" ref="N842">IFERROR(IF(N827="Chemical",(10^(INDEX(Antoines,MATCH(N826,Antoine_Name,0),2)-INDEX(Antoines,MATCH(N826,Antoine_Name,0),3)/(INDEX(Antoines,MATCH(N826,Antoine_Name,0),4)+(N833-32)*5/9)))*14.7/760,IF(N827="Crude Oil",EXP((2799/(N833+459.6)-2.227)*LOG10(INDEX(FX_Input,AA$5,N$3*$Z$5+$AA$5))-(7261/(N833+459.6))+12.82),IF(N827="Refined Petroleum Stock",EXP((0.7553-(413/(N833+459.6)))*(INDEX(FX_Input,AA$5,N$3*$Z$5+$AA$5-1)^0.5)*LOG10(INDEX(FX_Input,AA$5,N$3*$Z$5+$AA$5))-(1.854-(1042/(N833+459.6)))*(INDEX(FX_Input,AA$5,N$3*$Z$5+$AA$5-1)^0.5)+((2416/(N833+459.6)-2.013)*LOG10(INDEX(FX_Input,AA$5,N$3*$Z$5+$AA$5)))-(8742/(N833+459.6))+15.64),EXP(INDEX(Antoines,MATCH(N826,Antoine_Name,0),2)-INDEX(Antoines,MATCH(N826,Antoine_Name,0),3)/(N833+459.6))))),0)</f>
        <v>0</v>
      </c>
      <c r="O842" cm="1">
        <f t="array" ref="O842">IFERROR(IF(O827="Chemical",(10^(INDEX(Antoines,MATCH(O826,Antoine_Name,0),2)-INDEX(Antoines,MATCH(O826,Antoine_Name,0),3)/(INDEX(Antoines,MATCH(O826,Antoine_Name,0),4)+(O833-32)*5/9)))*14.7/760,IF(O827="Crude Oil",EXP((2799/(O833+459.6)-2.227)*LOG10(INDEX(FX_Input,AB$5,O$3*$Z$5+$AA$5))-(7261/(O833+459.6))+12.82),IF(O827="Refined Petroleum Stock",EXP((0.7553-(413/(O833+459.6)))*(INDEX(FX_Input,AB$5,O$3*$Z$5+$AA$5-1)^0.5)*LOG10(INDEX(FX_Input,AB$5,O$3*$Z$5+$AA$5))-(1.854-(1042/(O833+459.6)))*(INDEX(FX_Input,AB$5,O$3*$Z$5+$AA$5-1)^0.5)+((2416/(O833+459.6)-2.013)*LOG10(INDEX(FX_Input,AB$5,O$3*$Z$5+$AA$5)))-(8742/(O833+459.6))+15.64),EXP(INDEX(Antoines,MATCH(O826,Antoine_Name,0),2)-INDEX(Antoines,MATCH(O826,Antoine_Name,0),3)/(O833+459.6))))),0)</f>
        <v>0</v>
      </c>
    </row>
    <row r="843" spans="2:32" ht="17.149999999999999" x14ac:dyDescent="0.55000000000000004">
      <c r="B843" t="str">
        <f t="shared" si="2964"/>
        <v>Portland</v>
      </c>
      <c r="C843" t="s">
        <v>582</v>
      </c>
      <c r="D843">
        <f>D842*D830</f>
        <v>0</v>
      </c>
      <c r="E843">
        <f t="shared" ref="E843" si="3009">E842*E830</f>
        <v>0</v>
      </c>
      <c r="F843">
        <f t="shared" ref="F843" si="3010">F842*F830</f>
        <v>0</v>
      </c>
      <c r="G843">
        <f t="shared" ref="G843" si="3011">G842*G830</f>
        <v>0</v>
      </c>
      <c r="H843">
        <f t="shared" ref="H843" si="3012">H842*H830</f>
        <v>0</v>
      </c>
      <c r="I843">
        <f t="shared" ref="I843" si="3013">I842*I830</f>
        <v>0</v>
      </c>
      <c r="J843">
        <f t="shared" ref="J843" si="3014">J842*J830</f>
        <v>0</v>
      </c>
      <c r="K843">
        <f t="shared" ref="K843" si="3015">K842*K830</f>
        <v>0</v>
      </c>
      <c r="L843">
        <f t="shared" ref="L843" si="3016">L842*L830</f>
        <v>0</v>
      </c>
      <c r="M843">
        <f t="shared" ref="M843" si="3017">M842*M830</f>
        <v>0</v>
      </c>
      <c r="N843">
        <f t="shared" ref="N843" si="3018">N842*N830</f>
        <v>0</v>
      </c>
      <c r="O843">
        <f t="shared" ref="O843" si="3019">O842*O830</f>
        <v>0</v>
      </c>
    </row>
    <row r="844" spans="2:32" ht="17.149999999999999" x14ac:dyDescent="0.55000000000000004">
      <c r="B844" t="str">
        <f t="shared" si="2964"/>
        <v>Portland</v>
      </c>
      <c r="C844" t="s">
        <v>583</v>
      </c>
      <c r="D844">
        <f>D841+D843</f>
        <v>1</v>
      </c>
      <c r="E844">
        <f t="shared" ref="E844" si="3020">E841+E843</f>
        <v>1</v>
      </c>
      <c r="F844">
        <f t="shared" ref="F844" si="3021">F841+F843</f>
        <v>1</v>
      </c>
      <c r="G844">
        <f t="shared" ref="G844" si="3022">G841+G843</f>
        <v>1</v>
      </c>
      <c r="H844">
        <f t="shared" ref="H844" si="3023">H841+H843</f>
        <v>1</v>
      </c>
      <c r="I844">
        <f t="shared" ref="I844" si="3024">I841+I843</f>
        <v>1</v>
      </c>
      <c r="J844">
        <f t="shared" ref="J844" si="3025">J841+J843</f>
        <v>1</v>
      </c>
      <c r="K844">
        <f t="shared" ref="K844" si="3026">K841+K843</f>
        <v>1</v>
      </c>
      <c r="L844">
        <f t="shared" ref="L844" si="3027">L841+L843</f>
        <v>1</v>
      </c>
      <c r="M844">
        <f t="shared" ref="M844" si="3028">M841+M843</f>
        <v>1</v>
      </c>
      <c r="N844">
        <f t="shared" ref="N844" si="3029">N841+N843</f>
        <v>1</v>
      </c>
      <c r="O844">
        <f t="shared" ref="O844" si="3030">O841+O843</f>
        <v>1</v>
      </c>
    </row>
    <row r="845" spans="2:32" ht="17.149999999999999" x14ac:dyDescent="0.55000000000000004">
      <c r="B845" t="str">
        <f t="shared" si="2964"/>
        <v>Portland</v>
      </c>
      <c r="C845" t="s">
        <v>1388</v>
      </c>
      <c r="D845" cm="1">
        <f t="array" ref="D845">IFERROR(IF(D825="Chemical",(10^(INDEX(Antoines,MATCH(D824,Antoine_Name,0),2)-INDEX(Antoines,MATCH(D824,Antoine_Name,0),3)/(INDEX(Antoines,MATCH(D824,Antoine_Name,0),4)+(D834-32)*5/9)))*14.7/760,IF(D825="Crude Oil",EXP((2799/(D834+459.6)-2.227)*LOG10(INDEX(FX_Input,Q$5,D$3*$Z$5+$AA$5))-(7261/(D834+459.6))+12.82),IF(D825="Refined Petroleum Stock",EXP((0.7553-(413/(D834+459.6)))*(INDEX(FX_Input,Q$5,D$3*$Z$5+$AA$5-1)^0.5)*LOG10(INDEX(FX_Input,Q$5,D$3*$Z$5+$AA$5))-(1.854-(1042/(D834+459.6)))*(INDEX(FX_Input,Q$5,D$3*$Z$5+$AA$5-1)^0.5)+((2416/(D834+459.6)-2.013)*LOG10(INDEX(FX_Input,Q$5,D$3*$Z$5+$AA$5)))-(8742/(D834+459.6))+15.64),EXP(INDEX(Antoines,MATCH(D824,Antoine_Name,0),2)-INDEX(Antoines,MATCH(D824,Antoine_Name,0),3)/(D834+459.6))))),0)</f>
        <v>1</v>
      </c>
      <c r="E845" cm="1">
        <f t="array" ref="E845">IFERROR(IF(E825="Chemical",(10^(INDEX(Antoines,MATCH(E824,Antoine_Name,0),2)-INDEX(Antoines,MATCH(E824,Antoine_Name,0),3)/(INDEX(Antoines,MATCH(E824,Antoine_Name,0),4)+(E834-32)*5/9)))*14.7/760,IF(E825="Crude Oil",EXP((2799/(E834+459.6)-2.227)*LOG10(INDEX(FX_Input,R$5,E$3*$Z$5+$AA$5))-(7261/(E834+459.6))+12.82),IF(E825="Refined Petroleum Stock",EXP((0.7553-(413/(E834+459.6)))*(INDEX(FX_Input,R$5,E$3*$Z$5+$AA$5-1)^0.5)*LOG10(INDEX(FX_Input,R$5,E$3*$Z$5+$AA$5))-(1.854-(1042/(E834+459.6)))*(INDEX(FX_Input,R$5,E$3*$Z$5+$AA$5-1)^0.5)+((2416/(E834+459.6)-2.013)*LOG10(INDEX(FX_Input,R$5,E$3*$Z$5+$AA$5)))-(8742/(E834+459.6))+15.64),EXP(INDEX(Antoines,MATCH(E824,Antoine_Name,0),2)-INDEX(Antoines,MATCH(E824,Antoine_Name,0),3)/(E834+459.6))))),0)</f>
        <v>1</v>
      </c>
      <c r="F845" cm="1">
        <f t="array" ref="F845">IFERROR(IF(F825="Chemical",(10^(INDEX(Antoines,MATCH(F824,Antoine_Name,0),2)-INDEX(Antoines,MATCH(F824,Antoine_Name,0),3)/(INDEX(Antoines,MATCH(F824,Antoine_Name,0),4)+(F834-32)*5/9)))*14.7/760,IF(F825="Crude Oil",EXP((2799/(F834+459.6)-2.227)*LOG10(INDEX(FX_Input,S$5,F$3*$Z$5+$AA$5))-(7261/(F834+459.6))+12.82),IF(F825="Refined Petroleum Stock",EXP((0.7553-(413/(F834+459.6)))*(INDEX(FX_Input,S$5,F$3*$Z$5+$AA$5-1)^0.5)*LOG10(INDEX(FX_Input,S$5,F$3*$Z$5+$AA$5))-(1.854-(1042/(F834+459.6)))*(INDEX(FX_Input,S$5,F$3*$Z$5+$AA$5-1)^0.5)+((2416/(F834+459.6)-2.013)*LOG10(INDEX(FX_Input,S$5,F$3*$Z$5+$AA$5)))-(8742/(F834+459.6))+15.64),EXP(INDEX(Antoines,MATCH(F824,Antoine_Name,0),2)-INDEX(Antoines,MATCH(F824,Antoine_Name,0),3)/(F834+459.6))))),0)</f>
        <v>1</v>
      </c>
      <c r="G845" cm="1">
        <f t="array" ref="G845">IFERROR(IF(G825="Chemical",(10^(INDEX(Antoines,MATCH(G824,Antoine_Name,0),2)-INDEX(Antoines,MATCH(G824,Antoine_Name,0),3)/(INDEX(Antoines,MATCH(G824,Antoine_Name,0),4)+(G834-32)*5/9)))*14.7/760,IF(G825="Crude Oil",EXP((2799/(G834+459.6)-2.227)*LOG10(INDEX(FX_Input,T$5,G$3*$Z$5+$AA$5))-(7261/(G834+459.6))+12.82),IF(G825="Refined Petroleum Stock",EXP((0.7553-(413/(G834+459.6)))*(INDEX(FX_Input,T$5,G$3*$Z$5+$AA$5-1)^0.5)*LOG10(INDEX(FX_Input,T$5,G$3*$Z$5+$AA$5))-(1.854-(1042/(G834+459.6)))*(INDEX(FX_Input,T$5,G$3*$Z$5+$AA$5-1)^0.5)+((2416/(G834+459.6)-2.013)*LOG10(INDEX(FX_Input,T$5,G$3*$Z$5+$AA$5)))-(8742/(G834+459.6))+15.64),EXP(INDEX(Antoines,MATCH(G824,Antoine_Name,0),2)-INDEX(Antoines,MATCH(G824,Antoine_Name,0),3)/(G834+459.6))))),0)</f>
        <v>1</v>
      </c>
      <c r="H845" cm="1">
        <f t="array" ref="H845">IFERROR(IF(H825="Chemical",(10^(INDEX(Antoines,MATCH(H824,Antoine_Name,0),2)-INDEX(Antoines,MATCH(H824,Antoine_Name,0),3)/(INDEX(Antoines,MATCH(H824,Antoine_Name,0),4)+(H834-32)*5/9)))*14.7/760,IF(H825="Crude Oil",EXP((2799/(H834+459.6)-2.227)*LOG10(INDEX(FX_Input,U$5,H$3*$Z$5+$AA$5))-(7261/(H834+459.6))+12.82),IF(H825="Refined Petroleum Stock",EXP((0.7553-(413/(H834+459.6)))*(INDEX(FX_Input,U$5,H$3*$Z$5+$AA$5-1)^0.5)*LOG10(INDEX(FX_Input,U$5,H$3*$Z$5+$AA$5))-(1.854-(1042/(H834+459.6)))*(INDEX(FX_Input,U$5,H$3*$Z$5+$AA$5-1)^0.5)+((2416/(H834+459.6)-2.013)*LOG10(INDEX(FX_Input,U$5,H$3*$Z$5+$AA$5)))-(8742/(H834+459.6))+15.64),EXP(INDEX(Antoines,MATCH(H824,Antoine_Name,0),2)-INDEX(Antoines,MATCH(H824,Antoine_Name,0),3)/(H834+459.6))))),0)</f>
        <v>1</v>
      </c>
      <c r="I845" cm="1">
        <f t="array" ref="I845">IFERROR(IF(I825="Chemical",(10^(INDEX(Antoines,MATCH(I824,Antoine_Name,0),2)-INDEX(Antoines,MATCH(I824,Antoine_Name,0),3)/(INDEX(Antoines,MATCH(I824,Antoine_Name,0),4)+(I834-32)*5/9)))*14.7/760,IF(I825="Crude Oil",EXP((2799/(I834+459.6)-2.227)*LOG10(INDEX(FX_Input,V$5,I$3*$Z$5+$AA$5))-(7261/(I834+459.6))+12.82),IF(I825="Refined Petroleum Stock",EXP((0.7553-(413/(I834+459.6)))*(INDEX(FX_Input,V$5,I$3*$Z$5+$AA$5-1)^0.5)*LOG10(INDEX(FX_Input,V$5,I$3*$Z$5+$AA$5))-(1.854-(1042/(I834+459.6)))*(INDEX(FX_Input,V$5,I$3*$Z$5+$AA$5-1)^0.5)+((2416/(I834+459.6)-2.013)*LOG10(INDEX(FX_Input,V$5,I$3*$Z$5+$AA$5)))-(8742/(I834+459.6))+15.64),EXP(INDEX(Antoines,MATCH(I824,Antoine_Name,0),2)-INDEX(Antoines,MATCH(I824,Antoine_Name,0),3)/(I834+459.6))))),0)</f>
        <v>1</v>
      </c>
      <c r="J845" cm="1">
        <f t="array" ref="J845">IFERROR(IF(J825="Chemical",(10^(INDEX(Antoines,MATCH(J824,Antoine_Name,0),2)-INDEX(Antoines,MATCH(J824,Antoine_Name,0),3)/(INDEX(Antoines,MATCH(J824,Antoine_Name,0),4)+(J834-32)*5/9)))*14.7/760,IF(J825="Crude Oil",EXP((2799/(J834+459.6)-2.227)*LOG10(INDEX(FX_Input,W$5,J$3*$Z$5+$AA$5))-(7261/(J834+459.6))+12.82),IF(J825="Refined Petroleum Stock",EXP((0.7553-(413/(J834+459.6)))*(INDEX(FX_Input,W$5,J$3*$Z$5+$AA$5-1)^0.5)*LOG10(INDEX(FX_Input,W$5,J$3*$Z$5+$AA$5))-(1.854-(1042/(J834+459.6)))*(INDEX(FX_Input,W$5,J$3*$Z$5+$AA$5-1)^0.5)+((2416/(J834+459.6)-2.013)*LOG10(INDEX(FX_Input,W$5,J$3*$Z$5+$AA$5)))-(8742/(J834+459.6))+15.64),EXP(INDEX(Antoines,MATCH(J824,Antoine_Name,0),2)-INDEX(Antoines,MATCH(J824,Antoine_Name,0),3)/(J834+459.6))))),0)</f>
        <v>1</v>
      </c>
      <c r="K845" cm="1">
        <f t="array" ref="K845">IFERROR(IF(K825="Chemical",(10^(INDEX(Antoines,MATCH(K824,Antoine_Name,0),2)-INDEX(Antoines,MATCH(K824,Antoine_Name,0),3)/(INDEX(Antoines,MATCH(K824,Antoine_Name,0),4)+(K834-32)*5/9)))*14.7/760,IF(K825="Crude Oil",EXP((2799/(K834+459.6)-2.227)*LOG10(INDEX(FX_Input,X$5,K$3*$Z$5+$AA$5))-(7261/(K834+459.6))+12.82),IF(K825="Refined Petroleum Stock",EXP((0.7553-(413/(K834+459.6)))*(INDEX(FX_Input,X$5,K$3*$Z$5+$AA$5-1)^0.5)*LOG10(INDEX(FX_Input,X$5,K$3*$Z$5+$AA$5))-(1.854-(1042/(K834+459.6)))*(INDEX(FX_Input,X$5,K$3*$Z$5+$AA$5-1)^0.5)+((2416/(K834+459.6)-2.013)*LOG10(INDEX(FX_Input,X$5,K$3*$Z$5+$AA$5)))-(8742/(K834+459.6))+15.64),EXP(INDEX(Antoines,MATCH(K824,Antoine_Name,0),2)-INDEX(Antoines,MATCH(K824,Antoine_Name,0),3)/(K834+459.6))))),0)</f>
        <v>1</v>
      </c>
      <c r="L845" cm="1">
        <f t="array" ref="L845">IFERROR(IF(L825="Chemical",(10^(INDEX(Antoines,MATCH(L824,Antoine_Name,0),2)-INDEX(Antoines,MATCH(L824,Antoine_Name,0),3)/(INDEX(Antoines,MATCH(L824,Antoine_Name,0),4)+(L834-32)*5/9)))*14.7/760,IF(L825="Crude Oil",EXP((2799/(L834+459.6)-2.227)*LOG10(INDEX(FX_Input,Y$5,L$3*$Z$5+$AA$5))-(7261/(L834+459.6))+12.82),IF(L825="Refined Petroleum Stock",EXP((0.7553-(413/(L834+459.6)))*(INDEX(FX_Input,Y$5,L$3*$Z$5+$AA$5-1)^0.5)*LOG10(INDEX(FX_Input,Y$5,L$3*$Z$5+$AA$5))-(1.854-(1042/(L834+459.6)))*(INDEX(FX_Input,Y$5,L$3*$Z$5+$AA$5-1)^0.5)+((2416/(L834+459.6)-2.013)*LOG10(INDEX(FX_Input,Y$5,L$3*$Z$5+$AA$5)))-(8742/(L834+459.6))+15.64),EXP(INDEX(Antoines,MATCH(L824,Antoine_Name,0),2)-INDEX(Antoines,MATCH(L824,Antoine_Name,0),3)/(L834+459.6))))),0)</f>
        <v>1</v>
      </c>
      <c r="M845" cm="1">
        <f t="array" ref="M845">IFERROR(IF(M825="Chemical",(10^(INDEX(Antoines,MATCH(M824,Antoine_Name,0),2)-INDEX(Antoines,MATCH(M824,Antoine_Name,0),3)/(INDEX(Antoines,MATCH(M824,Antoine_Name,0),4)+(M834-32)*5/9)))*14.7/760,IF(M825="Crude Oil",EXP((2799/(M834+459.6)-2.227)*LOG10(INDEX(FX_Input,Z$5,M$3*$Z$5+$AA$5))-(7261/(M834+459.6))+12.82),IF(M825="Refined Petroleum Stock",EXP((0.7553-(413/(M834+459.6)))*(INDEX(FX_Input,Z$5,M$3*$Z$5+$AA$5-1)^0.5)*LOG10(INDEX(FX_Input,Z$5,M$3*$Z$5+$AA$5))-(1.854-(1042/(M834+459.6)))*(INDEX(FX_Input,Z$5,M$3*$Z$5+$AA$5-1)^0.5)+((2416/(M834+459.6)-2.013)*LOG10(INDEX(FX_Input,Z$5,M$3*$Z$5+$AA$5)))-(8742/(M834+459.6))+15.64),EXP(INDEX(Antoines,MATCH(M824,Antoine_Name,0),2)-INDEX(Antoines,MATCH(M824,Antoine_Name,0),3)/(M834+459.6))))),0)</f>
        <v>1</v>
      </c>
      <c r="N845" cm="1">
        <f t="array" ref="N845">IFERROR(IF(N825="Chemical",(10^(INDEX(Antoines,MATCH(N824,Antoine_Name,0),2)-INDEX(Antoines,MATCH(N824,Antoine_Name,0),3)/(INDEX(Antoines,MATCH(N824,Antoine_Name,0),4)+(N834-32)*5/9)))*14.7/760,IF(N825="Crude Oil",EXP((2799/(N834+459.6)-2.227)*LOG10(INDEX(FX_Input,AA$5,N$3*$Z$5+$AA$5))-(7261/(N834+459.6))+12.82),IF(N825="Refined Petroleum Stock",EXP((0.7553-(413/(N834+459.6)))*(INDEX(FX_Input,AA$5,N$3*$Z$5+$AA$5-1)^0.5)*LOG10(INDEX(FX_Input,AA$5,N$3*$Z$5+$AA$5))-(1.854-(1042/(N834+459.6)))*(INDEX(FX_Input,AA$5,N$3*$Z$5+$AA$5-1)^0.5)+((2416/(N834+459.6)-2.013)*LOG10(INDEX(FX_Input,AA$5,N$3*$Z$5+$AA$5)))-(8742/(N834+459.6))+15.64),EXP(INDEX(Antoines,MATCH(N824,Antoine_Name,0),2)-INDEX(Antoines,MATCH(N824,Antoine_Name,0),3)/(N834+459.6))))),0)</f>
        <v>1</v>
      </c>
      <c r="O845" cm="1">
        <f t="array" ref="O845">IFERROR(IF(O825="Chemical",(10^(INDEX(Antoines,MATCH(O824,Antoine_Name,0),2)-INDEX(Antoines,MATCH(O824,Antoine_Name,0),3)/(INDEX(Antoines,MATCH(O824,Antoine_Name,0),4)+(O834-32)*5/9)))*14.7/760,IF(O825="Crude Oil",EXP((2799/(O834+459.6)-2.227)*LOG10(INDEX(FX_Input,AB$5,O$3*$Z$5+$AA$5))-(7261/(O834+459.6))+12.82),IF(O825="Refined Petroleum Stock",EXP((0.7553-(413/(O834+459.6)))*(INDEX(FX_Input,AB$5,O$3*$Z$5+$AA$5-1)^0.5)*LOG10(INDEX(FX_Input,AB$5,O$3*$Z$5+$AA$5))-(1.854-(1042/(O834+459.6)))*(INDEX(FX_Input,AB$5,O$3*$Z$5+$AA$5-1)^0.5)+((2416/(O834+459.6)-2.013)*LOG10(INDEX(FX_Input,AB$5,O$3*$Z$5+$AA$5)))-(8742/(O834+459.6))+15.64),EXP(INDEX(Antoines,MATCH(O824,Antoine_Name,0),2)-INDEX(Antoines,MATCH(O824,Antoine_Name,0),3)/(O834+459.6))))),0)</f>
        <v>1</v>
      </c>
    </row>
    <row r="846" spans="2:32" ht="17.149999999999999" x14ac:dyDescent="0.55000000000000004">
      <c r="B846" t="str">
        <f t="shared" si="2964"/>
        <v>Portland</v>
      </c>
      <c r="C846" t="s">
        <v>1389</v>
      </c>
      <c r="D846">
        <f>D845*D828</f>
        <v>1</v>
      </c>
      <c r="E846">
        <f t="shared" ref="E846" si="3031">E845*E828</f>
        <v>1</v>
      </c>
      <c r="F846">
        <f t="shared" ref="F846" si="3032">F845*F828</f>
        <v>1</v>
      </c>
      <c r="G846">
        <f t="shared" ref="G846" si="3033">G845*G828</f>
        <v>1</v>
      </c>
      <c r="H846">
        <f t="shared" ref="H846" si="3034">H845*H828</f>
        <v>1</v>
      </c>
      <c r="I846">
        <f t="shared" ref="I846" si="3035">I845*I828</f>
        <v>1</v>
      </c>
      <c r="J846">
        <f t="shared" ref="J846" si="3036">J845*J828</f>
        <v>1</v>
      </c>
      <c r="K846">
        <f t="shared" ref="K846" si="3037">K845*K828</f>
        <v>1</v>
      </c>
      <c r="L846">
        <f t="shared" ref="L846" si="3038">L845*L828</f>
        <v>1</v>
      </c>
      <c r="M846">
        <f t="shared" ref="M846" si="3039">M845*M828</f>
        <v>1</v>
      </c>
      <c r="N846">
        <f t="shared" ref="N846" si="3040">N845*N828</f>
        <v>1</v>
      </c>
      <c r="O846">
        <f t="shared" ref="O846" si="3041">O845*O828</f>
        <v>1</v>
      </c>
    </row>
    <row r="847" spans="2:32" ht="17.149999999999999" x14ac:dyDescent="0.55000000000000004">
      <c r="B847" t="str">
        <f t="shared" si="2964"/>
        <v>Portland</v>
      </c>
      <c r="C847" t="s">
        <v>1390</v>
      </c>
      <c r="D847" cm="1">
        <f t="array" ref="D847">IFERROR(IF(D827="Chemical",(10^(INDEX(Antoines,MATCH(D826,Antoine_Name,0),2)-INDEX(Antoines,MATCH(D826,Antoine_Name,0),3)/(INDEX(Antoines,MATCH(D826,Antoine_Name,0),4)+(D834-32)*5/9)))*14.7/760,IF(D827="Crude Oil",EXP((2799/(D834+459.6)-2.227)*LOG10(INDEX(FX_Input,Q$5,D$3*$Z$5+$AA$5))-(7261/(D834+459.6))+12.82),IF(D827="Refined Petroleum Stock",EXP((0.7553-(413/(D834+459.6)))*(INDEX(FX_Input,Q$5,D$3*$Z$5+$AA$5-1)^0.5)*LOG10(INDEX(FX_Input,Q$5,D$3*$Z$5+$AA$5))-(1.854-(1042/(D834+459.6)))*(INDEX(FX_Input,Q$5,D$3*$Z$5+$AA$5-1)^0.5)+((2416/(D834+459.6)-2.013)*LOG10(INDEX(FX_Input,Q$5,D$3*$Z$5+$AA$5)))-(8742/(D834+459.6))+15.64),EXP(INDEX(Antoines,MATCH(D826,Antoine_Name,0),2)-INDEX(Antoines,MATCH(D826,Antoine_Name,0),3)/(D834+459.6))))),0)</f>
        <v>0</v>
      </c>
      <c r="E847" cm="1">
        <f t="array" ref="E847">IFERROR(IF(E827="Chemical",(10^(INDEX(Antoines,MATCH(E826,Antoine_Name,0),2)-INDEX(Antoines,MATCH(E826,Antoine_Name,0),3)/(INDEX(Antoines,MATCH(E826,Antoine_Name,0),4)+(E834-32)*5/9)))*14.7/760,IF(E827="Crude Oil",EXP((2799/(E834+459.6)-2.227)*LOG10(INDEX(FX_Input,R$5,E$3*$Z$5+$AA$5))-(7261/(E834+459.6))+12.82),IF(E827="Refined Petroleum Stock",EXP((0.7553-(413/(E834+459.6)))*(INDEX(FX_Input,R$5,E$3*$Z$5+$AA$5-1)^0.5)*LOG10(INDEX(FX_Input,R$5,E$3*$Z$5+$AA$5))-(1.854-(1042/(E834+459.6)))*(INDEX(FX_Input,R$5,E$3*$Z$5+$AA$5-1)^0.5)+((2416/(E834+459.6)-2.013)*LOG10(INDEX(FX_Input,R$5,E$3*$Z$5+$AA$5)))-(8742/(E834+459.6))+15.64),EXP(INDEX(Antoines,MATCH(E826,Antoine_Name,0),2)-INDEX(Antoines,MATCH(E826,Antoine_Name,0),3)/(E834+459.6))))),0)</f>
        <v>0</v>
      </c>
      <c r="F847" cm="1">
        <f t="array" ref="F847">IFERROR(IF(F827="Chemical",(10^(INDEX(Antoines,MATCH(F826,Antoine_Name,0),2)-INDEX(Antoines,MATCH(F826,Antoine_Name,0),3)/(INDEX(Antoines,MATCH(F826,Antoine_Name,0),4)+(F834-32)*5/9)))*14.7/760,IF(F827="Crude Oil",EXP((2799/(F834+459.6)-2.227)*LOG10(INDEX(FX_Input,S$5,F$3*$Z$5+$AA$5))-(7261/(F834+459.6))+12.82),IF(F827="Refined Petroleum Stock",EXP((0.7553-(413/(F834+459.6)))*(INDEX(FX_Input,S$5,F$3*$Z$5+$AA$5-1)^0.5)*LOG10(INDEX(FX_Input,S$5,F$3*$Z$5+$AA$5))-(1.854-(1042/(F834+459.6)))*(INDEX(FX_Input,S$5,F$3*$Z$5+$AA$5-1)^0.5)+((2416/(F834+459.6)-2.013)*LOG10(INDEX(FX_Input,S$5,F$3*$Z$5+$AA$5)))-(8742/(F834+459.6))+15.64),EXP(INDEX(Antoines,MATCH(F826,Antoine_Name,0),2)-INDEX(Antoines,MATCH(F826,Antoine_Name,0),3)/(F834+459.6))))),0)</f>
        <v>0</v>
      </c>
      <c r="G847" cm="1">
        <f t="array" ref="G847">IFERROR(IF(G827="Chemical",(10^(INDEX(Antoines,MATCH(G826,Antoine_Name,0),2)-INDEX(Antoines,MATCH(G826,Antoine_Name,0),3)/(INDEX(Antoines,MATCH(G826,Antoine_Name,0),4)+(G834-32)*5/9)))*14.7/760,IF(G827="Crude Oil",EXP((2799/(G834+459.6)-2.227)*LOG10(INDEX(FX_Input,T$5,G$3*$Z$5+$AA$5))-(7261/(G834+459.6))+12.82),IF(G827="Refined Petroleum Stock",EXP((0.7553-(413/(G834+459.6)))*(INDEX(FX_Input,T$5,G$3*$Z$5+$AA$5-1)^0.5)*LOG10(INDEX(FX_Input,T$5,G$3*$Z$5+$AA$5))-(1.854-(1042/(G834+459.6)))*(INDEX(FX_Input,T$5,G$3*$Z$5+$AA$5-1)^0.5)+((2416/(G834+459.6)-2.013)*LOG10(INDEX(FX_Input,T$5,G$3*$Z$5+$AA$5)))-(8742/(G834+459.6))+15.64),EXP(INDEX(Antoines,MATCH(G826,Antoine_Name,0),2)-INDEX(Antoines,MATCH(G826,Antoine_Name,0),3)/(G834+459.6))))),0)</f>
        <v>0</v>
      </c>
      <c r="H847" cm="1">
        <f t="array" ref="H847">IFERROR(IF(H827="Chemical",(10^(INDEX(Antoines,MATCH(H826,Antoine_Name,0),2)-INDEX(Antoines,MATCH(H826,Antoine_Name,0),3)/(INDEX(Antoines,MATCH(H826,Antoine_Name,0),4)+(H834-32)*5/9)))*14.7/760,IF(H827="Crude Oil",EXP((2799/(H834+459.6)-2.227)*LOG10(INDEX(FX_Input,U$5,H$3*$Z$5+$AA$5))-(7261/(H834+459.6))+12.82),IF(H827="Refined Petroleum Stock",EXP((0.7553-(413/(H834+459.6)))*(INDEX(FX_Input,U$5,H$3*$Z$5+$AA$5-1)^0.5)*LOG10(INDEX(FX_Input,U$5,H$3*$Z$5+$AA$5))-(1.854-(1042/(H834+459.6)))*(INDEX(FX_Input,U$5,H$3*$Z$5+$AA$5-1)^0.5)+((2416/(H834+459.6)-2.013)*LOG10(INDEX(FX_Input,U$5,H$3*$Z$5+$AA$5)))-(8742/(H834+459.6))+15.64),EXP(INDEX(Antoines,MATCH(H826,Antoine_Name,0),2)-INDEX(Antoines,MATCH(H826,Antoine_Name,0),3)/(H834+459.6))))),0)</f>
        <v>0</v>
      </c>
      <c r="I847" cm="1">
        <f t="array" ref="I847">IFERROR(IF(I827="Chemical",(10^(INDEX(Antoines,MATCH(I826,Antoine_Name,0),2)-INDEX(Antoines,MATCH(I826,Antoine_Name,0),3)/(INDEX(Antoines,MATCH(I826,Antoine_Name,0),4)+(I834-32)*5/9)))*14.7/760,IF(I827="Crude Oil",EXP((2799/(I834+459.6)-2.227)*LOG10(INDEX(FX_Input,V$5,I$3*$Z$5+$AA$5))-(7261/(I834+459.6))+12.82),IF(I827="Refined Petroleum Stock",EXP((0.7553-(413/(I834+459.6)))*(INDEX(FX_Input,V$5,I$3*$Z$5+$AA$5-1)^0.5)*LOG10(INDEX(FX_Input,V$5,I$3*$Z$5+$AA$5))-(1.854-(1042/(I834+459.6)))*(INDEX(FX_Input,V$5,I$3*$Z$5+$AA$5-1)^0.5)+((2416/(I834+459.6)-2.013)*LOG10(INDEX(FX_Input,V$5,I$3*$Z$5+$AA$5)))-(8742/(I834+459.6))+15.64),EXP(INDEX(Antoines,MATCH(I826,Antoine_Name,0),2)-INDEX(Antoines,MATCH(I826,Antoine_Name,0),3)/(I834+459.6))))),0)</f>
        <v>0</v>
      </c>
      <c r="J847" cm="1">
        <f t="array" ref="J847">IFERROR(IF(J827="Chemical",(10^(INDEX(Antoines,MATCH(J826,Antoine_Name,0),2)-INDEX(Antoines,MATCH(J826,Antoine_Name,0),3)/(INDEX(Antoines,MATCH(J826,Antoine_Name,0),4)+(J834-32)*5/9)))*14.7/760,IF(J827="Crude Oil",EXP((2799/(J834+459.6)-2.227)*LOG10(INDEX(FX_Input,W$5,J$3*$Z$5+$AA$5))-(7261/(J834+459.6))+12.82),IF(J827="Refined Petroleum Stock",EXP((0.7553-(413/(J834+459.6)))*(INDEX(FX_Input,W$5,J$3*$Z$5+$AA$5-1)^0.5)*LOG10(INDEX(FX_Input,W$5,J$3*$Z$5+$AA$5))-(1.854-(1042/(J834+459.6)))*(INDEX(FX_Input,W$5,J$3*$Z$5+$AA$5-1)^0.5)+((2416/(J834+459.6)-2.013)*LOG10(INDEX(FX_Input,W$5,J$3*$Z$5+$AA$5)))-(8742/(J834+459.6))+15.64),EXP(INDEX(Antoines,MATCH(J826,Antoine_Name,0),2)-INDEX(Antoines,MATCH(J826,Antoine_Name,0),3)/(J834+459.6))))),0)</f>
        <v>0</v>
      </c>
      <c r="K847" cm="1">
        <f t="array" ref="K847">IFERROR(IF(K827="Chemical",(10^(INDEX(Antoines,MATCH(K826,Antoine_Name,0),2)-INDEX(Antoines,MATCH(K826,Antoine_Name,0),3)/(INDEX(Antoines,MATCH(K826,Antoine_Name,0),4)+(K834-32)*5/9)))*14.7/760,IF(K827="Crude Oil",EXP((2799/(K834+459.6)-2.227)*LOG10(INDEX(FX_Input,X$5,K$3*$Z$5+$AA$5))-(7261/(K834+459.6))+12.82),IF(K827="Refined Petroleum Stock",EXP((0.7553-(413/(K834+459.6)))*(INDEX(FX_Input,X$5,K$3*$Z$5+$AA$5-1)^0.5)*LOG10(INDEX(FX_Input,X$5,K$3*$Z$5+$AA$5))-(1.854-(1042/(K834+459.6)))*(INDEX(FX_Input,X$5,K$3*$Z$5+$AA$5-1)^0.5)+((2416/(K834+459.6)-2.013)*LOG10(INDEX(FX_Input,X$5,K$3*$Z$5+$AA$5)))-(8742/(K834+459.6))+15.64),EXP(INDEX(Antoines,MATCH(K826,Antoine_Name,0),2)-INDEX(Antoines,MATCH(K826,Antoine_Name,0),3)/(K834+459.6))))),0)</f>
        <v>0</v>
      </c>
      <c r="L847" cm="1">
        <f t="array" ref="L847">IFERROR(IF(L827="Chemical",(10^(INDEX(Antoines,MATCH(L826,Antoine_Name,0),2)-INDEX(Antoines,MATCH(L826,Antoine_Name,0),3)/(INDEX(Antoines,MATCH(L826,Antoine_Name,0),4)+(L834-32)*5/9)))*14.7/760,IF(L827="Crude Oil",EXP((2799/(L834+459.6)-2.227)*LOG10(INDEX(FX_Input,Y$5,L$3*$Z$5+$AA$5))-(7261/(L834+459.6))+12.82),IF(L827="Refined Petroleum Stock",EXP((0.7553-(413/(L834+459.6)))*(INDEX(FX_Input,Y$5,L$3*$Z$5+$AA$5-1)^0.5)*LOG10(INDEX(FX_Input,Y$5,L$3*$Z$5+$AA$5))-(1.854-(1042/(L834+459.6)))*(INDEX(FX_Input,Y$5,L$3*$Z$5+$AA$5-1)^0.5)+((2416/(L834+459.6)-2.013)*LOG10(INDEX(FX_Input,Y$5,L$3*$Z$5+$AA$5)))-(8742/(L834+459.6))+15.64),EXP(INDEX(Antoines,MATCH(L826,Antoine_Name,0),2)-INDEX(Antoines,MATCH(L826,Antoine_Name,0),3)/(L834+459.6))))),0)</f>
        <v>0</v>
      </c>
      <c r="M847" cm="1">
        <f t="array" ref="M847">IFERROR(IF(M827="Chemical",(10^(INDEX(Antoines,MATCH(M826,Antoine_Name,0),2)-INDEX(Antoines,MATCH(M826,Antoine_Name,0),3)/(INDEX(Antoines,MATCH(M826,Antoine_Name,0),4)+(M834-32)*5/9)))*14.7/760,IF(M827="Crude Oil",EXP((2799/(M834+459.6)-2.227)*LOG10(INDEX(FX_Input,Z$5,M$3*$Z$5+$AA$5))-(7261/(M834+459.6))+12.82),IF(M827="Refined Petroleum Stock",EXP((0.7553-(413/(M834+459.6)))*(INDEX(FX_Input,Z$5,M$3*$Z$5+$AA$5-1)^0.5)*LOG10(INDEX(FX_Input,Z$5,M$3*$Z$5+$AA$5))-(1.854-(1042/(M834+459.6)))*(INDEX(FX_Input,Z$5,M$3*$Z$5+$AA$5-1)^0.5)+((2416/(M834+459.6)-2.013)*LOG10(INDEX(FX_Input,Z$5,M$3*$Z$5+$AA$5)))-(8742/(M834+459.6))+15.64),EXP(INDEX(Antoines,MATCH(M826,Antoine_Name,0),2)-INDEX(Antoines,MATCH(M826,Antoine_Name,0),3)/(M834+459.6))))),0)</f>
        <v>0</v>
      </c>
      <c r="N847" cm="1">
        <f t="array" ref="N847">IFERROR(IF(N827="Chemical",(10^(INDEX(Antoines,MATCH(N826,Antoine_Name,0),2)-INDEX(Antoines,MATCH(N826,Antoine_Name,0),3)/(INDEX(Antoines,MATCH(N826,Antoine_Name,0),4)+(N834-32)*5/9)))*14.7/760,IF(N827="Crude Oil",EXP((2799/(N834+459.6)-2.227)*LOG10(INDEX(FX_Input,AA$5,N$3*$Z$5+$AA$5))-(7261/(N834+459.6))+12.82),IF(N827="Refined Petroleum Stock",EXP((0.7553-(413/(N834+459.6)))*(INDEX(FX_Input,AA$5,N$3*$Z$5+$AA$5-1)^0.5)*LOG10(INDEX(FX_Input,AA$5,N$3*$Z$5+$AA$5))-(1.854-(1042/(N834+459.6)))*(INDEX(FX_Input,AA$5,N$3*$Z$5+$AA$5-1)^0.5)+((2416/(N834+459.6)-2.013)*LOG10(INDEX(FX_Input,AA$5,N$3*$Z$5+$AA$5)))-(8742/(N834+459.6))+15.64),EXP(INDEX(Antoines,MATCH(N826,Antoine_Name,0),2)-INDEX(Antoines,MATCH(N826,Antoine_Name,0),3)/(N834+459.6))))),0)</f>
        <v>0</v>
      </c>
      <c r="O847" cm="1">
        <f t="array" ref="O847">IFERROR(IF(O827="Chemical",(10^(INDEX(Antoines,MATCH(O826,Antoine_Name,0),2)-INDEX(Antoines,MATCH(O826,Antoine_Name,0),3)/(INDEX(Antoines,MATCH(O826,Antoine_Name,0),4)+(O834-32)*5/9)))*14.7/760,IF(O827="Crude Oil",EXP((2799/(O834+459.6)-2.227)*LOG10(INDEX(FX_Input,AB$5,O$3*$Z$5+$AA$5))-(7261/(O834+459.6))+12.82),IF(O827="Refined Petroleum Stock",EXP((0.7553-(413/(O834+459.6)))*(INDEX(FX_Input,AB$5,O$3*$Z$5+$AA$5-1)^0.5)*LOG10(INDEX(FX_Input,AB$5,O$3*$Z$5+$AA$5))-(1.854-(1042/(O834+459.6)))*(INDEX(FX_Input,AB$5,O$3*$Z$5+$AA$5-1)^0.5)+((2416/(O834+459.6)-2.013)*LOG10(INDEX(FX_Input,AB$5,O$3*$Z$5+$AA$5)))-(8742/(O834+459.6))+15.64),EXP(INDEX(Antoines,MATCH(O826,Antoine_Name,0),2)-INDEX(Antoines,MATCH(O826,Antoine_Name,0),3)/(O834+459.6))))),0)</f>
        <v>0</v>
      </c>
    </row>
    <row r="848" spans="2:32" ht="17.149999999999999" x14ac:dyDescent="0.55000000000000004">
      <c r="B848" t="str">
        <f t="shared" si="2964"/>
        <v>Portland</v>
      </c>
      <c r="C848" t="s">
        <v>1391</v>
      </c>
      <c r="D848">
        <f>D847*D830</f>
        <v>0</v>
      </c>
      <c r="E848">
        <f t="shared" ref="E848" si="3042">E847*E830</f>
        <v>0</v>
      </c>
      <c r="F848">
        <f t="shared" ref="F848" si="3043">F847*F830</f>
        <v>0</v>
      </c>
      <c r="G848">
        <f t="shared" ref="G848" si="3044">G847*G830</f>
        <v>0</v>
      </c>
      <c r="H848">
        <f t="shared" ref="H848" si="3045">H847*H830</f>
        <v>0</v>
      </c>
      <c r="I848">
        <f t="shared" ref="I848" si="3046">I847*I830</f>
        <v>0</v>
      </c>
      <c r="J848">
        <f t="shared" ref="J848" si="3047">J847*J830</f>
        <v>0</v>
      </c>
      <c r="K848">
        <f t="shared" ref="K848" si="3048">K847*K830</f>
        <v>0</v>
      </c>
      <c r="L848">
        <f t="shared" ref="L848" si="3049">L847*L830</f>
        <v>0</v>
      </c>
      <c r="M848">
        <f t="shared" ref="M848" si="3050">M847*M830</f>
        <v>0</v>
      </c>
      <c r="N848">
        <f t="shared" ref="N848" si="3051">N847*N830</f>
        <v>0</v>
      </c>
      <c r="O848">
        <f t="shared" ref="O848" si="3052">O847*O830</f>
        <v>0</v>
      </c>
    </row>
    <row r="849" spans="1:32" ht="17.149999999999999" x14ac:dyDescent="0.55000000000000004">
      <c r="B849" t="str">
        <f t="shared" si="2964"/>
        <v>Portland</v>
      </c>
      <c r="C849" t="s">
        <v>1392</v>
      </c>
      <c r="D849">
        <f>D846+D848</f>
        <v>1</v>
      </c>
      <c r="E849">
        <f t="shared" ref="E849" si="3053">E846+E848</f>
        <v>1</v>
      </c>
      <c r="F849">
        <f t="shared" ref="F849" si="3054">F846+F848</f>
        <v>1</v>
      </c>
      <c r="G849">
        <f t="shared" ref="G849" si="3055">G846+G848</f>
        <v>1</v>
      </c>
      <c r="H849">
        <f t="shared" ref="H849" si="3056">H846+H848</f>
        <v>1</v>
      </c>
      <c r="I849">
        <f t="shared" ref="I849" si="3057">I846+I848</f>
        <v>1</v>
      </c>
      <c r="J849">
        <f t="shared" ref="J849" si="3058">J846+J848</f>
        <v>1</v>
      </c>
      <c r="K849">
        <f t="shared" ref="K849" si="3059">K846+K848</f>
        <v>1</v>
      </c>
      <c r="L849">
        <f t="shared" ref="L849" si="3060">L846+L848</f>
        <v>1</v>
      </c>
      <c r="M849">
        <f t="shared" ref="M849" si="3061">M846+M848</f>
        <v>1</v>
      </c>
      <c r="N849">
        <f t="shared" ref="N849" si="3062">N846+N848</f>
        <v>1</v>
      </c>
      <c r="O849">
        <f t="shared" ref="O849" si="3063">O846+O848</f>
        <v>1</v>
      </c>
    </row>
    <row r="850" spans="1:32" ht="17.149999999999999" x14ac:dyDescent="0.55000000000000004">
      <c r="B850" t="str">
        <f>B844</f>
        <v>Portland</v>
      </c>
      <c r="C850" t="s">
        <v>584</v>
      </c>
      <c r="D850">
        <f>D846/D849</f>
        <v>1</v>
      </c>
      <c r="E850">
        <f t="shared" ref="E850" si="3064">E846/E849</f>
        <v>1</v>
      </c>
      <c r="F850">
        <f t="shared" ref="F850" si="3065">F846/F849</f>
        <v>1</v>
      </c>
      <c r="G850">
        <f t="shared" ref="G850" si="3066">G846/G849</f>
        <v>1</v>
      </c>
      <c r="H850">
        <f t="shared" ref="H850" si="3067">H846/H849</f>
        <v>1</v>
      </c>
      <c r="I850">
        <f t="shared" ref="I850" si="3068">I846/I849</f>
        <v>1</v>
      </c>
      <c r="J850">
        <f t="shared" ref="J850" si="3069">J846/J849</f>
        <v>1</v>
      </c>
      <c r="K850">
        <f t="shared" ref="K850" si="3070">K846/K849</f>
        <v>1</v>
      </c>
      <c r="L850">
        <f t="shared" ref="L850" si="3071">L846/L849</f>
        <v>1</v>
      </c>
      <c r="M850">
        <f t="shared" ref="M850" si="3072">M846/M849</f>
        <v>1</v>
      </c>
      <c r="N850">
        <f t="shared" ref="N850" si="3073">N846/N849</f>
        <v>1</v>
      </c>
      <c r="O850">
        <f t="shared" ref="O850" si="3074">O846/O849</f>
        <v>1</v>
      </c>
    </row>
    <row r="851" spans="1:32" ht="17.149999999999999" x14ac:dyDescent="0.55000000000000004">
      <c r="B851" t="str">
        <f>B845</f>
        <v>Portland</v>
      </c>
      <c r="C851" t="s">
        <v>585</v>
      </c>
      <c r="D851" t="str">
        <f t="shared" ref="D851:O851" si="3075">INDEX(Phys_Prop,MATCH(D824,Chem_List,0),3)</f>
        <v>N/A</v>
      </c>
      <c r="E851" t="str">
        <f t="shared" si="3075"/>
        <v>N/A</v>
      </c>
      <c r="F851" t="str">
        <f t="shared" si="3075"/>
        <v>N/A</v>
      </c>
      <c r="G851" t="str">
        <f t="shared" si="3075"/>
        <v>N/A</v>
      </c>
      <c r="H851" t="str">
        <f t="shared" si="3075"/>
        <v>N/A</v>
      </c>
      <c r="I851" t="str">
        <f t="shared" si="3075"/>
        <v>N/A</v>
      </c>
      <c r="J851" t="str">
        <f t="shared" si="3075"/>
        <v>N/A</v>
      </c>
      <c r="K851" t="str">
        <f t="shared" si="3075"/>
        <v>N/A</v>
      </c>
      <c r="L851" t="str">
        <f t="shared" si="3075"/>
        <v>N/A</v>
      </c>
      <c r="M851" t="str">
        <f t="shared" si="3075"/>
        <v>N/A</v>
      </c>
      <c r="N851" t="str">
        <f t="shared" si="3075"/>
        <v>N/A</v>
      </c>
      <c r="O851" t="str">
        <f t="shared" si="3075"/>
        <v>N/A</v>
      </c>
    </row>
    <row r="852" spans="1:32" ht="17.149999999999999" x14ac:dyDescent="0.55000000000000004">
      <c r="B852" t="str">
        <f>B851</f>
        <v>Portland</v>
      </c>
      <c r="C852" t="s">
        <v>586</v>
      </c>
      <c r="D852">
        <f>D848/D849</f>
        <v>0</v>
      </c>
      <c r="E852">
        <f t="shared" ref="E852:O852" si="3076">E848/E849</f>
        <v>0</v>
      </c>
      <c r="F852">
        <f t="shared" si="3076"/>
        <v>0</v>
      </c>
      <c r="G852">
        <f t="shared" si="3076"/>
        <v>0</v>
      </c>
      <c r="H852">
        <f t="shared" si="3076"/>
        <v>0</v>
      </c>
      <c r="I852">
        <f t="shared" si="3076"/>
        <v>0</v>
      </c>
      <c r="J852">
        <f t="shared" si="3076"/>
        <v>0</v>
      </c>
      <c r="K852">
        <f t="shared" si="3076"/>
        <v>0</v>
      </c>
      <c r="L852">
        <f t="shared" si="3076"/>
        <v>0</v>
      </c>
      <c r="M852">
        <f t="shared" si="3076"/>
        <v>0</v>
      </c>
      <c r="N852">
        <f t="shared" si="3076"/>
        <v>0</v>
      </c>
      <c r="O852">
        <f t="shared" si="3076"/>
        <v>0</v>
      </c>
    </row>
    <row r="853" spans="1:32" ht="17.149999999999999" x14ac:dyDescent="0.55000000000000004">
      <c r="B853" t="str">
        <f t="shared" si="2964"/>
        <v>Portland</v>
      </c>
      <c r="C853" t="s">
        <v>587</v>
      </c>
      <c r="D853">
        <f t="shared" ref="D853:O853" si="3077">IFERROR(INDEX(Phys_Prop,MATCH(D826,Chem_List,0),3),0)</f>
        <v>0</v>
      </c>
      <c r="E853">
        <f t="shared" si="3077"/>
        <v>0</v>
      </c>
      <c r="F853">
        <f t="shared" si="3077"/>
        <v>0</v>
      </c>
      <c r="G853">
        <f t="shared" si="3077"/>
        <v>0</v>
      </c>
      <c r="H853">
        <f t="shared" si="3077"/>
        <v>0</v>
      </c>
      <c r="I853">
        <f t="shared" si="3077"/>
        <v>0</v>
      </c>
      <c r="J853">
        <f t="shared" si="3077"/>
        <v>0</v>
      </c>
      <c r="K853">
        <f t="shared" si="3077"/>
        <v>0</v>
      </c>
      <c r="L853">
        <f t="shared" si="3077"/>
        <v>0</v>
      </c>
      <c r="M853">
        <f t="shared" si="3077"/>
        <v>0</v>
      </c>
      <c r="N853">
        <f t="shared" si="3077"/>
        <v>0</v>
      </c>
      <c r="O853">
        <f t="shared" si="3077"/>
        <v>0</v>
      </c>
    </row>
    <row r="854" spans="1:32" ht="17.149999999999999" x14ac:dyDescent="0.55000000000000004">
      <c r="A854" s="11"/>
      <c r="B854" s="11" t="str">
        <f t="shared" si="2964"/>
        <v>Portland</v>
      </c>
      <c r="C854" s="11" t="s">
        <v>588</v>
      </c>
      <c r="D854" s="11">
        <f>IFERROR(D850*D851+D852*D853,0)</f>
        <v>0</v>
      </c>
      <c r="E854" s="11">
        <f t="shared" ref="E854" si="3078">IFERROR(E850*E851+E852*E853,0)</f>
        <v>0</v>
      </c>
      <c r="F854" s="11">
        <f t="shared" ref="F854" si="3079">IFERROR(F850*F851+F852*F853,0)</f>
        <v>0</v>
      </c>
      <c r="G854" s="11">
        <f t="shared" ref="G854" si="3080">IFERROR(G850*G851+G852*G853,0)</f>
        <v>0</v>
      </c>
      <c r="H854" s="11">
        <f t="shared" ref="H854" si="3081">IFERROR(H850*H851+H852*H853,0)</f>
        <v>0</v>
      </c>
      <c r="I854" s="11">
        <f t="shared" ref="I854" si="3082">IFERROR(I850*I851+I852*I853,0)</f>
        <v>0</v>
      </c>
      <c r="J854" s="11">
        <f t="shared" ref="J854" si="3083">IFERROR(J850*J851+J852*J853,0)</f>
        <v>0</v>
      </c>
      <c r="K854" s="11">
        <f t="shared" ref="K854" si="3084">IFERROR(K850*K851+K852*K853,0)</f>
        <v>0</v>
      </c>
      <c r="L854" s="11">
        <f t="shared" ref="L854" si="3085">IFERROR(L850*L851+L852*L853,0)</f>
        <v>0</v>
      </c>
      <c r="M854" s="11">
        <f t="shared" ref="M854" si="3086">IFERROR(M850*M851+M852*M853,0)</f>
        <v>0</v>
      </c>
      <c r="N854" s="11">
        <f t="shared" ref="N854" si="3087">IFERROR(N850*N851+N852*N853,0)</f>
        <v>0</v>
      </c>
      <c r="O854" s="11">
        <f t="shared" ref="O854" si="3088">IFERROR(O850*O851+O852*O853,0)</f>
        <v>0</v>
      </c>
      <c r="P854" s="11"/>
      <c r="Q854" s="11"/>
      <c r="R854" s="11"/>
      <c r="S854" s="11"/>
      <c r="T854" s="11"/>
      <c r="U854" s="11"/>
      <c r="V854" s="11"/>
      <c r="W854" s="11"/>
      <c r="X854" s="11"/>
      <c r="Y854" s="11"/>
      <c r="Z854" s="11"/>
      <c r="AA854" s="11"/>
      <c r="AB854" s="11"/>
      <c r="AC854" s="11"/>
      <c r="AD854" s="11"/>
      <c r="AE854" s="11"/>
      <c r="AF854" s="11"/>
    </row>
    <row r="855" spans="1:32" ht="17.149999999999999" x14ac:dyDescent="0.55000000000000004">
      <c r="A855" t="str" cm="1">
        <f t="array" ref="A855">INDEX(FX_Input,$Q855,R$5)</f>
        <v>FX - 26</v>
      </c>
      <c r="B855" t="str" cm="1">
        <f t="array" ref="B855">INDEX(FX_Input,Q855,S855)</f>
        <v>Portland</v>
      </c>
      <c r="C855" t="s">
        <v>563</v>
      </c>
      <c r="D855">
        <v>14.7</v>
      </c>
      <c r="E855">
        <v>14.7</v>
      </c>
      <c r="F855">
        <v>14.7</v>
      </c>
      <c r="G855">
        <v>14.7</v>
      </c>
      <c r="H855">
        <v>14.7</v>
      </c>
      <c r="I855">
        <v>14.7</v>
      </c>
      <c r="J855">
        <v>14.7</v>
      </c>
      <c r="K855">
        <v>14.7</v>
      </c>
      <c r="L855">
        <v>14.7</v>
      </c>
      <c r="M855">
        <v>14.7</v>
      </c>
      <c r="N855">
        <v>14.7</v>
      </c>
      <c r="O855">
        <v>14.7</v>
      </c>
      <c r="Q855">
        <f>Q821+2</f>
        <v>51</v>
      </c>
      <c r="R855">
        <v>1</v>
      </c>
      <c r="S855">
        <v>3</v>
      </c>
      <c r="T855">
        <v>1</v>
      </c>
      <c r="U855">
        <v>19</v>
      </c>
      <c r="V855">
        <v>20</v>
      </c>
      <c r="W855">
        <v>25</v>
      </c>
      <c r="X855">
        <v>1</v>
      </c>
      <c r="Y855">
        <v>2</v>
      </c>
      <c r="Z855">
        <f>(W855-V855)/(Y855-X855)</f>
        <v>5</v>
      </c>
      <c r="AA855">
        <f>V855-Z855*X855</f>
        <v>15</v>
      </c>
      <c r="AD855">
        <f>AD821+14</f>
        <v>351</v>
      </c>
      <c r="AF855">
        <f>AF821+14</f>
        <v>351</v>
      </c>
    </row>
    <row r="856" spans="1:32" ht="17.149999999999999" x14ac:dyDescent="0.55000000000000004">
      <c r="B856" t="str">
        <f t="shared" ref="B856" si="3089">B855</f>
        <v>Portland</v>
      </c>
      <c r="C856" t="s">
        <v>564</v>
      </c>
      <c r="D856" cm="1">
        <f t="array" ref="D856">IF(ISBLANK(INDEX(FX_Input,$Q855,$AB856)),0.03,INDEX(FX_Input,Q855,AB856))</f>
        <v>0.03</v>
      </c>
      <c r="E856" cm="1">
        <f t="array" ref="E856">IF(ISBLANK(INDEX(FX_Input,$Q855,$AB856)),0.03,INDEX(FX_Input,R855,#REF!))</f>
        <v>0.03</v>
      </c>
      <c r="F856" cm="1">
        <f t="array" ref="F856">IF(ISBLANK(INDEX(FX_Input,$Q855,$AB856)),0.03,INDEX(FX_Input,S855,#REF!))</f>
        <v>0.03</v>
      </c>
      <c r="G856" cm="1">
        <f t="array" ref="G856">IF(ISBLANK(INDEX(FX_Input,$Q855,$AB856)),0.03,INDEX(FX_Input,AB855,#REF!))</f>
        <v>0.03</v>
      </c>
      <c r="H856" cm="1">
        <f t="array" ref="H856">IF(ISBLANK(INDEX(FX_Input,$Q855,$AB856)),0.03,INDEX(FX_Input,#REF!,#REF!))</f>
        <v>0.03</v>
      </c>
      <c r="I856" cm="1">
        <f t="array" ref="I856">IF(ISBLANK(INDEX(FX_Input,$Q855,$AB856)),0.03,INDEX(FX_Input,#REF!,#REF!))</f>
        <v>0.03</v>
      </c>
      <c r="J856" cm="1">
        <f t="array" ref="J856">IF(ISBLANK(INDEX(FX_Input,$Q855,$AB856)),0.03,INDEX(FX_Input,#REF!,#REF!))</f>
        <v>0.03</v>
      </c>
      <c r="K856" cm="1">
        <f t="array" ref="K856">IF(ISBLANK(INDEX(FX_Input,$Q855,$AB856)),0.03,INDEX(FX_Input,#REF!,AC856))</f>
        <v>0.03</v>
      </c>
      <c r="L856" cm="1">
        <f t="array" ref="L856">IF(ISBLANK(INDEX(FX_Input,$Q855,$AB856)),0.03,INDEX(FX_Input,#REF!,AD856))</f>
        <v>0.03</v>
      </c>
      <c r="M856" cm="1">
        <f t="array" ref="M856">IF(ISBLANK(INDEX(FX_Input,$Q855,$AB856)),0.03,INDEX(FX_Input,#REF!,#REF!))</f>
        <v>0.03</v>
      </c>
      <c r="N856" cm="1">
        <f t="array" ref="N856">IF(ISBLANK(INDEX(FX_Input,$Q855,$AB856)),0.03,INDEX(FX_Input,AC855,#REF!))</f>
        <v>0.03</v>
      </c>
      <c r="O856" cm="1">
        <f t="array" ref="O856">IF(ISBLANK(INDEX(FX_Input,$Q855,$AB856)),0.03,INDEX(FX_Input,AD855,#REF!))</f>
        <v>0.03</v>
      </c>
      <c r="AB856">
        <v>15</v>
      </c>
    </row>
    <row r="857" spans="1:32" ht="17.149999999999999" x14ac:dyDescent="0.55000000000000004">
      <c r="B857" t="str">
        <f>B856</f>
        <v>Portland</v>
      </c>
      <c r="C857" t="s">
        <v>565</v>
      </c>
      <c r="D857" cm="1">
        <f t="array" ref="D857">IF(ISBLANK(INDEX(FX_Input,$Q855,$AB857)),-0.03,INDEX(FX_Input,Q855,AB857))</f>
        <v>-0.03</v>
      </c>
      <c r="E857" cm="1">
        <f t="array" ref="E857">IF(ISBLANK(INDEX(FX_Input,$Q855,$AB857)),-0.03,INDEX(FX_Input,R855,#REF!))</f>
        <v>-0.03</v>
      </c>
      <c r="F857" cm="1">
        <f t="array" ref="F857">IF(ISBLANK(INDEX(FX_Input,$Q855,$AB857)),-0.03,INDEX(FX_Input,S855,#REF!))</f>
        <v>-0.03</v>
      </c>
      <c r="G857" cm="1">
        <f t="array" ref="G857">IF(ISBLANK(INDEX(FX_Input,$Q855,$AB857)),-0.03,INDEX(FX_Input,AB855,#REF!))</f>
        <v>-0.03</v>
      </c>
      <c r="H857" cm="1">
        <f t="array" ref="H857">IF(ISBLANK(INDEX(FX_Input,$Q855,$AB857)),-0.03,INDEX(FX_Input,#REF!,#REF!))</f>
        <v>-0.03</v>
      </c>
      <c r="I857" cm="1">
        <f t="array" ref="I857">IF(ISBLANK(INDEX(FX_Input,$Q855,$AB857)),-0.03,INDEX(FX_Input,#REF!,#REF!))</f>
        <v>-0.03</v>
      </c>
      <c r="J857" cm="1">
        <f t="array" ref="J857">IF(ISBLANK(INDEX(FX_Input,$Q855,$AB857)),-0.03,INDEX(FX_Input,#REF!,#REF!))</f>
        <v>-0.03</v>
      </c>
      <c r="K857" cm="1">
        <f t="array" ref="K857">IF(ISBLANK(INDEX(FX_Input,$Q855,$AB857)),-0.03,INDEX(FX_Input,#REF!,AC857))</f>
        <v>-0.03</v>
      </c>
      <c r="L857" cm="1">
        <f t="array" ref="L857">IF(ISBLANK(INDEX(FX_Input,$Q855,$AB857)),-0.03,INDEX(FX_Input,#REF!,AD857))</f>
        <v>-0.03</v>
      </c>
      <c r="M857" cm="1">
        <f t="array" ref="M857">IF(ISBLANK(INDEX(FX_Input,$Q855,$AB857)),-0.03,INDEX(FX_Input,#REF!,#REF!))</f>
        <v>-0.03</v>
      </c>
      <c r="N857" cm="1">
        <f t="array" ref="N857">IF(ISBLANK(INDEX(FX_Input,$Q855,$AB857)),-0.03,INDEX(FX_Input,AC855,#REF!))</f>
        <v>-0.03</v>
      </c>
      <c r="O857" cm="1">
        <f t="array" ref="O857">IF(ISBLANK(INDEX(FX_Input,$Q855,$AB857)),-0.03,INDEX(FX_Input,AD855,#REF!))</f>
        <v>-0.03</v>
      </c>
      <c r="AB857">
        <v>16</v>
      </c>
    </row>
    <row r="858" spans="1:32" x14ac:dyDescent="0.4">
      <c r="B858" t="str">
        <f t="shared" ref="B858:B859" si="3090">B857</f>
        <v>Portland</v>
      </c>
      <c r="C858" s="66" t="s">
        <v>567</v>
      </c>
      <c r="D858" t="str" cm="1">
        <f t="array" ref="D858">INDEX(FX_Multi,$AD858,D$3)</f>
        <v>Out of Service</v>
      </c>
      <c r="E858" t="str" cm="1">
        <f t="array" ref="E858">INDEX(FX_Multi,$AD858,E$3)</f>
        <v>Out of Service</v>
      </c>
      <c r="F858" t="str" cm="1">
        <f t="array" ref="F858">INDEX(FX_Multi,$AD858,F$3)</f>
        <v>Out of Service</v>
      </c>
      <c r="G858" t="str" cm="1">
        <f t="array" ref="G858">INDEX(FX_Multi,$AD858,G$3)</f>
        <v>Out of Service</v>
      </c>
      <c r="H858" t="str" cm="1">
        <f t="array" ref="H858">INDEX(FX_Multi,$AD858,H$3)</f>
        <v>Out of Service</v>
      </c>
      <c r="I858" t="str" cm="1">
        <f t="array" ref="I858">INDEX(FX_Multi,$AD858,I$3)</f>
        <v>Out of Service</v>
      </c>
      <c r="J858" t="str" cm="1">
        <f t="array" ref="J858">INDEX(FX_Multi,$AD858,J$3)</f>
        <v>Out of Service</v>
      </c>
      <c r="K858" t="str" cm="1">
        <f t="array" ref="K858">INDEX(FX_Multi,$AD858,K$3)</f>
        <v>Out of Service</v>
      </c>
      <c r="L858" t="str" cm="1">
        <f t="array" ref="L858">INDEX(FX_Multi,$AD858,L$3)</f>
        <v>Out of Service</v>
      </c>
      <c r="M858" t="str" cm="1">
        <f t="array" ref="M858">INDEX(FX_Multi,$AD858,M$3)</f>
        <v>Out of Service</v>
      </c>
      <c r="N858" t="str" cm="1">
        <f t="array" ref="N858">INDEX(FX_Multi,$AD858,N$3)</f>
        <v>Out of Service</v>
      </c>
      <c r="O858" t="str" cm="1">
        <f t="array" ref="O858">INDEX(FX_Multi,$AD858,O$3)</f>
        <v>Out of Service</v>
      </c>
      <c r="AC858">
        <v>1</v>
      </c>
      <c r="AD858">
        <f>AD855</f>
        <v>351</v>
      </c>
      <c r="AE858">
        <v>1</v>
      </c>
      <c r="AF858">
        <f>AF855</f>
        <v>351</v>
      </c>
    </row>
    <row r="859" spans="1:32" x14ac:dyDescent="0.4">
      <c r="B859" t="str">
        <f t="shared" si="3090"/>
        <v>Portland</v>
      </c>
      <c r="C859" s="66" t="s">
        <v>566</v>
      </c>
      <c r="D859" t="str" cm="1">
        <f t="array" ref="D859">INDEX(FX_Multi,$AD859,D$3)</f>
        <v>N/A</v>
      </c>
      <c r="E859" t="str" cm="1">
        <f t="array" ref="E859">INDEX(FX_Multi,$AD859,E$3)</f>
        <v>N/A</v>
      </c>
      <c r="F859" t="str" cm="1">
        <f t="array" ref="F859">INDEX(FX_Multi,$AD859,F$3)</f>
        <v>N/A</v>
      </c>
      <c r="G859" t="str" cm="1">
        <f t="array" ref="G859">INDEX(FX_Multi,$AD859,G$3)</f>
        <v>N/A</v>
      </c>
      <c r="H859" t="str" cm="1">
        <f t="array" ref="H859">INDEX(FX_Multi,$AD859,H$3)</f>
        <v>N/A</v>
      </c>
      <c r="I859" t="str" cm="1">
        <f t="array" ref="I859">INDEX(FX_Multi,$AD859,I$3)</f>
        <v>N/A</v>
      </c>
      <c r="J859" t="str" cm="1">
        <f t="array" ref="J859">INDEX(FX_Multi,$AD859,J$3)</f>
        <v>N/A</v>
      </c>
      <c r="K859" t="str" cm="1">
        <f t="array" ref="K859">INDEX(FX_Multi,$AD859,K$3)</f>
        <v>N/A</v>
      </c>
      <c r="L859" t="str" cm="1">
        <f t="array" ref="L859">INDEX(FX_Multi,$AD859,L$3)</f>
        <v>N/A</v>
      </c>
      <c r="M859" t="str" cm="1">
        <f t="array" ref="M859">INDEX(FX_Multi,$AD859,M$3)</f>
        <v>N/A</v>
      </c>
      <c r="N859" t="str" cm="1">
        <f t="array" ref="N859">INDEX(FX_Multi,$AD859,N$3)</f>
        <v>N/A</v>
      </c>
      <c r="O859" t="str" cm="1">
        <f t="array" ref="O859">INDEX(FX_Multi,$AD859,O$3)</f>
        <v>N/A</v>
      </c>
      <c r="AC859">
        <v>1</v>
      </c>
      <c r="AD859">
        <f>AD858+2</f>
        <v>353</v>
      </c>
      <c r="AE859">
        <v>1</v>
      </c>
      <c r="AF859">
        <f>AF858+3</f>
        <v>354</v>
      </c>
    </row>
    <row r="860" spans="1:32" x14ac:dyDescent="0.4">
      <c r="B860" t="str">
        <f>B856</f>
        <v>Portland</v>
      </c>
      <c r="C860" s="66" t="s">
        <v>568</v>
      </c>
      <c r="D860" cm="1">
        <f t="array" ref="D860">INDEX(FX_Multi,$AD860,D$3)</f>
        <v>0</v>
      </c>
      <c r="E860" cm="1">
        <f t="array" ref="E860">INDEX(FX_Multi,$AD860,E$3)</f>
        <v>0</v>
      </c>
      <c r="F860" cm="1">
        <f t="array" ref="F860">INDEX(FX_Multi,$AD860,F$3)</f>
        <v>0</v>
      </c>
      <c r="G860" cm="1">
        <f t="array" ref="G860">INDEX(FX_Multi,$AD860,G$3)</f>
        <v>0</v>
      </c>
      <c r="H860" cm="1">
        <f t="array" ref="H860">INDEX(FX_Multi,$AD860,H$3)</f>
        <v>0</v>
      </c>
      <c r="I860" cm="1">
        <f t="array" ref="I860">INDEX(FX_Multi,$AD860,I$3)</f>
        <v>0</v>
      </c>
      <c r="J860" cm="1">
        <f t="array" ref="J860">INDEX(FX_Multi,$AD860,J$3)</f>
        <v>0</v>
      </c>
      <c r="K860" cm="1">
        <f t="array" ref="K860">INDEX(FX_Multi,$AD860,K$3)</f>
        <v>0</v>
      </c>
      <c r="L860" cm="1">
        <f t="array" ref="L860">INDEX(FX_Multi,$AD860,L$3)</f>
        <v>0</v>
      </c>
      <c r="M860" cm="1">
        <f t="array" ref="M860">INDEX(FX_Multi,$AD860,M$3)</f>
        <v>0</v>
      </c>
      <c r="N860" cm="1">
        <f t="array" ref="N860">INDEX(FX_Multi,$AD860,N$3)</f>
        <v>0</v>
      </c>
      <c r="O860" cm="1">
        <f t="array" ref="O860">INDEX(FX_Multi,$AD860,O$3)</f>
        <v>0</v>
      </c>
      <c r="AC860">
        <v>1</v>
      </c>
      <c r="AD860">
        <f>AD859-1</f>
        <v>352</v>
      </c>
      <c r="AE860">
        <v>1</v>
      </c>
      <c r="AF860">
        <f>AF858+1</f>
        <v>352</v>
      </c>
    </row>
    <row r="861" spans="1:32" x14ac:dyDescent="0.4">
      <c r="B861" t="str">
        <f t="shared" ref="B861:B865" si="3091">B860</f>
        <v>Portland</v>
      </c>
      <c r="C861" s="66" t="s">
        <v>569</v>
      </c>
      <c r="D861" cm="1">
        <f t="array" ref="D861">INDEX(FX_Multi,$AD861,D$3)</f>
        <v>0</v>
      </c>
      <c r="E861" cm="1">
        <f t="array" ref="E861">INDEX(FX_Multi,$AD861,E$3)</f>
        <v>0</v>
      </c>
      <c r="F861" cm="1">
        <f t="array" ref="F861">INDEX(FX_Multi,$AD861,F$3)</f>
        <v>0</v>
      </c>
      <c r="G861" cm="1">
        <f t="array" ref="G861">INDEX(FX_Multi,$AD861,G$3)</f>
        <v>0</v>
      </c>
      <c r="H861" cm="1">
        <f t="array" ref="H861">INDEX(FX_Multi,$AD861,H$3)</f>
        <v>0</v>
      </c>
      <c r="I861" cm="1">
        <f t="array" ref="I861">INDEX(FX_Multi,$AD861,I$3)</f>
        <v>0</v>
      </c>
      <c r="J861" cm="1">
        <f t="array" ref="J861">INDEX(FX_Multi,$AD861,J$3)</f>
        <v>0</v>
      </c>
      <c r="K861" cm="1">
        <f t="array" ref="K861">INDEX(FX_Multi,$AD861,K$3)</f>
        <v>0</v>
      </c>
      <c r="L861" cm="1">
        <f t="array" ref="L861">INDEX(FX_Multi,$AD861,L$3)</f>
        <v>0</v>
      </c>
      <c r="M861" cm="1">
        <f t="array" ref="M861">INDEX(FX_Multi,$AD861,M$3)</f>
        <v>0</v>
      </c>
      <c r="N861" cm="1">
        <f t="array" ref="N861">INDEX(FX_Multi,$AD861,N$3)</f>
        <v>0</v>
      </c>
      <c r="O861" cm="1">
        <f t="array" ref="O861">INDEX(FX_Multi,$AD861,O$3)</f>
        <v>0</v>
      </c>
      <c r="AC861">
        <v>1</v>
      </c>
      <c r="AD861">
        <f>AD860+2</f>
        <v>354</v>
      </c>
      <c r="AE861">
        <v>1</v>
      </c>
      <c r="AF861">
        <f>AF859</f>
        <v>354</v>
      </c>
    </row>
    <row r="862" spans="1:32" ht="17.149999999999999" x14ac:dyDescent="0.55000000000000004">
      <c r="B862" t="str">
        <f t="shared" si="3091"/>
        <v>Portland</v>
      </c>
      <c r="C862" t="s">
        <v>570</v>
      </c>
      <c r="D862" cm="1">
        <f t="array" ref="D862">INDEX(FX_Multi,$AD862,D$3)</f>
        <v>1</v>
      </c>
      <c r="E862" cm="1">
        <f t="array" ref="E862">INDEX(FX_Multi,$AD862,E$3)</f>
        <v>1</v>
      </c>
      <c r="F862" cm="1">
        <f t="array" ref="F862">INDEX(FX_Multi,$AD862,F$3)</f>
        <v>1</v>
      </c>
      <c r="G862" cm="1">
        <f t="array" ref="G862">INDEX(FX_Multi,$AD862,G$3)</f>
        <v>1</v>
      </c>
      <c r="H862" cm="1">
        <f t="array" ref="H862">INDEX(FX_Multi,$AD862,H$3)</f>
        <v>1</v>
      </c>
      <c r="I862" cm="1">
        <f t="array" ref="I862">INDEX(FX_Multi,$AD862,I$3)</f>
        <v>1</v>
      </c>
      <c r="J862" cm="1">
        <f t="array" ref="J862">INDEX(FX_Multi,$AD862,J$3)</f>
        <v>1</v>
      </c>
      <c r="K862" cm="1">
        <f t="array" ref="K862">INDEX(FX_Multi,$AD862,K$3)</f>
        <v>1</v>
      </c>
      <c r="L862" cm="1">
        <f t="array" ref="L862">INDEX(FX_Multi,$AD862,L$3)</f>
        <v>1</v>
      </c>
      <c r="M862" cm="1">
        <f t="array" ref="M862">INDEX(FX_Multi,$AD862,M$3)</f>
        <v>1</v>
      </c>
      <c r="N862" cm="1">
        <f t="array" ref="N862">INDEX(FX_Multi,$AD862,N$3)</f>
        <v>1</v>
      </c>
      <c r="O862" cm="1">
        <f t="array" ref="O862">INDEX(FX_Multi,$AD862,O$3)</f>
        <v>1</v>
      </c>
      <c r="AC862">
        <v>1</v>
      </c>
      <c r="AD862">
        <f>AD861+6</f>
        <v>360</v>
      </c>
      <c r="AE862">
        <v>1</v>
      </c>
      <c r="AF862">
        <f>AF858+9</f>
        <v>360</v>
      </c>
    </row>
    <row r="863" spans="1:32" ht="17.149999999999999" x14ac:dyDescent="0.55000000000000004">
      <c r="B863" t="str">
        <f t="shared" si="3091"/>
        <v>Portland</v>
      </c>
      <c r="C863" t="s">
        <v>571</v>
      </c>
      <c r="D863" t="str" cm="1">
        <f t="array" ref="D863">INDEX(FX_Multi,$AD863,D$3)</f>
        <v>N/A</v>
      </c>
      <c r="E863" t="str" cm="1">
        <f t="array" ref="E863">INDEX(FX_Multi,$AD863,E$3)</f>
        <v>N/A</v>
      </c>
      <c r="F863" t="str" cm="1">
        <f t="array" ref="F863">INDEX(FX_Multi,$AD863,F$3)</f>
        <v>N/A</v>
      </c>
      <c r="G863" t="str" cm="1">
        <f t="array" ref="G863">INDEX(FX_Multi,$AD863,G$3)</f>
        <v>N/A</v>
      </c>
      <c r="H863" t="str" cm="1">
        <f t="array" ref="H863">INDEX(FX_Multi,$AD863,H$3)</f>
        <v>N/A</v>
      </c>
      <c r="I863" t="str" cm="1">
        <f t="array" ref="I863">INDEX(FX_Multi,$AD863,I$3)</f>
        <v>N/A</v>
      </c>
      <c r="J863" t="str" cm="1">
        <f t="array" ref="J863">INDEX(FX_Multi,$AD863,J$3)</f>
        <v>N/A</v>
      </c>
      <c r="K863" t="str" cm="1">
        <f t="array" ref="K863">INDEX(FX_Multi,$AD863,K$3)</f>
        <v>N/A</v>
      </c>
      <c r="L863" t="str" cm="1">
        <f t="array" ref="L863">INDEX(FX_Multi,$AD863,L$3)</f>
        <v>N/A</v>
      </c>
      <c r="M863" t="str" cm="1">
        <f t="array" ref="M863">INDEX(FX_Multi,$AD863,M$3)</f>
        <v>N/A</v>
      </c>
      <c r="N863" t="str" cm="1">
        <f t="array" ref="N863">INDEX(FX_Multi,$AD863,N$3)</f>
        <v>N/A</v>
      </c>
      <c r="O863" t="str" cm="1">
        <f t="array" ref="O863">INDEX(FX_Multi,$AD863,O$3)</f>
        <v>N/A</v>
      </c>
      <c r="AC863">
        <v>1</v>
      </c>
      <c r="AD863">
        <f>AD862-3</f>
        <v>357</v>
      </c>
      <c r="AE863">
        <v>1</v>
      </c>
      <c r="AF863">
        <f>AF858+6</f>
        <v>357</v>
      </c>
    </row>
    <row r="864" spans="1:32" ht="17.149999999999999" x14ac:dyDescent="0.55000000000000004">
      <c r="B864" t="str">
        <f t="shared" si="3091"/>
        <v>Portland</v>
      </c>
      <c r="C864" t="s">
        <v>572</v>
      </c>
      <c r="D864" cm="1">
        <f t="array" ref="D864">INDEX(FX_Multi,$AD864,D$3)</f>
        <v>0</v>
      </c>
      <c r="E864" cm="1">
        <f t="array" ref="E864">INDEX(FX_Multi,$AD864,E$3)</f>
        <v>0</v>
      </c>
      <c r="F864" cm="1">
        <f t="array" ref="F864">INDEX(FX_Multi,$AD864,F$3)</f>
        <v>0</v>
      </c>
      <c r="G864" cm="1">
        <f t="array" ref="G864">INDEX(FX_Multi,$AD864,G$3)</f>
        <v>0</v>
      </c>
      <c r="H864" cm="1">
        <f t="array" ref="H864">INDEX(FX_Multi,$AD864,H$3)</f>
        <v>0</v>
      </c>
      <c r="I864" cm="1">
        <f t="array" ref="I864">INDEX(FX_Multi,$AD864,I$3)</f>
        <v>0</v>
      </c>
      <c r="J864" cm="1">
        <f t="array" ref="J864">INDEX(FX_Multi,$AD864,J$3)</f>
        <v>0</v>
      </c>
      <c r="K864" cm="1">
        <f t="array" ref="K864">INDEX(FX_Multi,$AD864,K$3)</f>
        <v>0</v>
      </c>
      <c r="L864" cm="1">
        <f t="array" ref="L864">INDEX(FX_Multi,$AD864,L$3)</f>
        <v>0</v>
      </c>
      <c r="M864" cm="1">
        <f t="array" ref="M864">INDEX(FX_Multi,$AD864,M$3)</f>
        <v>0</v>
      </c>
      <c r="N864" cm="1">
        <f t="array" ref="N864">INDEX(FX_Multi,$AD864,N$3)</f>
        <v>0</v>
      </c>
      <c r="O864" cm="1">
        <f t="array" ref="O864">INDEX(FX_Multi,$AD864,O$3)</f>
        <v>0</v>
      </c>
      <c r="AC864">
        <v>1</v>
      </c>
      <c r="AD864">
        <f>AD863+4</f>
        <v>361</v>
      </c>
      <c r="AE864">
        <v>1</v>
      </c>
      <c r="AF864">
        <f>AF858+10</f>
        <v>361</v>
      </c>
    </row>
    <row r="865" spans="2:32" ht="17.149999999999999" x14ac:dyDescent="0.55000000000000004">
      <c r="B865" t="str">
        <f t="shared" si="3091"/>
        <v>Portland</v>
      </c>
      <c r="C865" t="s">
        <v>573</v>
      </c>
      <c r="D865" cm="1">
        <f t="array" ref="D865">INDEX(FX_Multi,$AD865,D$3)</f>
        <v>0</v>
      </c>
      <c r="E865" cm="1">
        <f t="array" ref="E865">INDEX(FX_Multi,$AD865,E$3)</f>
        <v>0</v>
      </c>
      <c r="F865" cm="1">
        <f t="array" ref="F865">INDEX(FX_Multi,$AD865,F$3)</f>
        <v>0</v>
      </c>
      <c r="G865" cm="1">
        <f t="array" ref="G865">INDEX(FX_Multi,$AD865,G$3)</f>
        <v>0</v>
      </c>
      <c r="H865" cm="1">
        <f t="array" ref="H865">INDEX(FX_Multi,$AD865,H$3)</f>
        <v>0</v>
      </c>
      <c r="I865" cm="1">
        <f t="array" ref="I865">INDEX(FX_Multi,$AD865,I$3)</f>
        <v>0</v>
      </c>
      <c r="J865" cm="1">
        <f t="array" ref="J865">INDEX(FX_Multi,$AD865,J$3)</f>
        <v>0</v>
      </c>
      <c r="K865" cm="1">
        <f t="array" ref="K865">INDEX(FX_Multi,$AD865,K$3)</f>
        <v>0</v>
      </c>
      <c r="L865" cm="1">
        <f t="array" ref="L865">INDEX(FX_Multi,$AD865,L$3)</f>
        <v>0</v>
      </c>
      <c r="M865" cm="1">
        <f t="array" ref="M865">INDEX(FX_Multi,$AD865,M$3)</f>
        <v>0</v>
      </c>
      <c r="N865" cm="1">
        <f t="array" ref="N865">INDEX(FX_Multi,$AD865,N$3)</f>
        <v>0</v>
      </c>
      <c r="O865" cm="1">
        <f t="array" ref="O865">INDEX(FX_Multi,$AD865,O$3)</f>
        <v>0</v>
      </c>
      <c r="AC865">
        <v>1</v>
      </c>
      <c r="AD865">
        <f>AD864-3</f>
        <v>358</v>
      </c>
      <c r="AE865">
        <v>1</v>
      </c>
      <c r="AF865">
        <f>AF858+7</f>
        <v>358</v>
      </c>
    </row>
    <row r="866" spans="2:32" ht="17.149999999999999" x14ac:dyDescent="0.55000000000000004">
      <c r="B866" t="str">
        <f>B861</f>
        <v>Portland</v>
      </c>
      <c r="C866" t="s">
        <v>526</v>
      </c>
      <c r="D866" cm="1">
        <f t="array" ref="D866">INDEX(FX_Temps,$AF866,D$3)</f>
        <v>43.899999999999977</v>
      </c>
      <c r="E866" cm="1">
        <f t="array" ref="E866">INDEX(FX_Temps,$AF866,E$3)</f>
        <v>44.700000000000045</v>
      </c>
      <c r="F866" cm="1">
        <f t="array" ref="F866">INDEX(FX_Temps,$AF866,F$3)</f>
        <v>46.100000000000023</v>
      </c>
      <c r="G866" cm="1">
        <f t="array" ref="G866">INDEX(FX_Temps,$AF866,G$3)</f>
        <v>48.599999999999966</v>
      </c>
      <c r="H866" cm="1">
        <f t="array" ref="H866">INDEX(FX_Temps,$AF866,H$3)</f>
        <v>53.149999999999977</v>
      </c>
      <c r="I866" cm="1">
        <f t="array" ref="I866">INDEX(FX_Temps,$AF866,I$3)</f>
        <v>56.950000000000045</v>
      </c>
      <c r="J866" cm="1">
        <f t="array" ref="J866">INDEX(FX_Temps,$AF866,J$3)</f>
        <v>60.449999999999932</v>
      </c>
      <c r="K866" cm="1">
        <f t="array" ref="K866">INDEX(FX_Temps,$AF866,K$3)</f>
        <v>60.899999999999977</v>
      </c>
      <c r="L866" cm="1">
        <f t="array" ref="L866">INDEX(FX_Temps,$AF866,L$3)</f>
        <v>58.600000000000023</v>
      </c>
      <c r="M866" cm="1">
        <f t="array" ref="M866">INDEX(FX_Temps,$AF866,M$3)</f>
        <v>52.649999999999977</v>
      </c>
      <c r="N866" cm="1">
        <f t="array" ref="N866">INDEX(FX_Temps,$AF866,N$3)</f>
        <v>47.100000000000023</v>
      </c>
      <c r="O866" cm="1">
        <f t="array" ref="O866">INDEX(FX_Temps,$AF866,O$3)</f>
        <v>43.600000000000023</v>
      </c>
      <c r="AE866">
        <v>1</v>
      </c>
      <c r="AF866">
        <f>AF858+10</f>
        <v>361</v>
      </c>
    </row>
    <row r="867" spans="2:32" ht="17.149999999999999" x14ac:dyDescent="0.55000000000000004">
      <c r="B867" t="str">
        <f t="shared" ref="B867:B888" si="3092">B866</f>
        <v>Portland</v>
      </c>
      <c r="C867" t="s">
        <v>527</v>
      </c>
      <c r="D867" cm="1">
        <f t="array" ref="D867">INDEX(FX_Temps,$AF867,D$3)</f>
        <v>43.899999999999977</v>
      </c>
      <c r="E867" cm="1">
        <f t="array" ref="E867">INDEX(FX_Temps,$AF867,E$3)</f>
        <v>44.700000000000045</v>
      </c>
      <c r="F867" cm="1">
        <f t="array" ref="F867">INDEX(FX_Temps,$AF867,F$3)</f>
        <v>46.100000000000023</v>
      </c>
      <c r="G867" cm="1">
        <f t="array" ref="G867">INDEX(FX_Temps,$AF867,G$3)</f>
        <v>48.599999999999966</v>
      </c>
      <c r="H867" cm="1">
        <f t="array" ref="H867">INDEX(FX_Temps,$AF867,H$3)</f>
        <v>53.149999999999977</v>
      </c>
      <c r="I867" cm="1">
        <f t="array" ref="I867">INDEX(FX_Temps,$AF867,I$3)</f>
        <v>56.950000000000045</v>
      </c>
      <c r="J867" cm="1">
        <f t="array" ref="J867">INDEX(FX_Temps,$AF867,J$3)</f>
        <v>60.449999999999932</v>
      </c>
      <c r="K867" cm="1">
        <f t="array" ref="K867">INDEX(FX_Temps,$AF867,K$3)</f>
        <v>60.899999999999977</v>
      </c>
      <c r="L867" cm="1">
        <f t="array" ref="L867">INDEX(FX_Temps,$AF867,L$3)</f>
        <v>58.600000000000023</v>
      </c>
      <c r="M867" cm="1">
        <f t="array" ref="M867">INDEX(FX_Temps,$AF867,M$3)</f>
        <v>52.649999999999977</v>
      </c>
      <c r="N867" cm="1">
        <f t="array" ref="N867">INDEX(FX_Temps,$AF867,N$3)</f>
        <v>47.100000000000023</v>
      </c>
      <c r="O867" cm="1">
        <f t="array" ref="O867">INDEX(FX_Temps,$AF867,O$3)</f>
        <v>43.600000000000023</v>
      </c>
      <c r="AE867">
        <f>AE866</f>
        <v>1</v>
      </c>
      <c r="AF867">
        <f>AF858+11</f>
        <v>362</v>
      </c>
    </row>
    <row r="868" spans="2:32" ht="17.149999999999999" x14ac:dyDescent="0.55000000000000004">
      <c r="B868" t="str">
        <f t="shared" si="3092"/>
        <v>Portland</v>
      </c>
      <c r="C868" t="s">
        <v>552</v>
      </c>
      <c r="D868" cm="1">
        <f t="array" ref="D868">INDEX(FX_Temps,$AF868,D$3)</f>
        <v>43.899999999999977</v>
      </c>
      <c r="E868" cm="1">
        <f t="array" ref="E868">INDEX(FX_Temps,$AF868,E$3)</f>
        <v>44.700000000000045</v>
      </c>
      <c r="F868" cm="1">
        <f t="array" ref="F868">INDEX(FX_Temps,$AF868,F$3)</f>
        <v>46.100000000000023</v>
      </c>
      <c r="G868" cm="1">
        <f t="array" ref="G868">INDEX(FX_Temps,$AF868,G$3)</f>
        <v>48.599999999999966</v>
      </c>
      <c r="H868" cm="1">
        <f t="array" ref="H868">INDEX(FX_Temps,$AF868,H$3)</f>
        <v>53.149999999999977</v>
      </c>
      <c r="I868" cm="1">
        <f t="array" ref="I868">INDEX(FX_Temps,$AF868,I$3)</f>
        <v>56.950000000000045</v>
      </c>
      <c r="J868" cm="1">
        <f t="array" ref="J868">INDEX(FX_Temps,$AF868,J$3)</f>
        <v>60.449999999999932</v>
      </c>
      <c r="K868" cm="1">
        <f t="array" ref="K868">INDEX(FX_Temps,$AF868,K$3)</f>
        <v>60.899999999999977</v>
      </c>
      <c r="L868" cm="1">
        <f t="array" ref="L868">INDEX(FX_Temps,$AF868,L$3)</f>
        <v>58.600000000000023</v>
      </c>
      <c r="M868" cm="1">
        <f t="array" ref="M868">INDEX(FX_Temps,$AF868,M$3)</f>
        <v>52.649999999999977</v>
      </c>
      <c r="N868" cm="1">
        <f t="array" ref="N868">INDEX(FX_Temps,$AF868,N$3)</f>
        <v>47.100000000000023</v>
      </c>
      <c r="O868" cm="1">
        <f t="array" ref="O868">INDEX(FX_Temps,$AF868,O$3)</f>
        <v>43.600000000000023</v>
      </c>
      <c r="AE868">
        <f>AE867</f>
        <v>1</v>
      </c>
      <c r="AF868">
        <f>AF858+13</f>
        <v>364</v>
      </c>
    </row>
    <row r="869" spans="2:32" ht="17.149999999999999" x14ac:dyDescent="0.55000000000000004">
      <c r="B869" t="str">
        <f t="shared" si="3092"/>
        <v>Portland</v>
      </c>
      <c r="C869" t="s">
        <v>574</v>
      </c>
      <c r="D869" cm="1">
        <f t="array" ref="D869">IFERROR(IF(D859="Chemical",(10^(INDEX(Antoines,MATCH(D858,Antoine_Name,0),2)-INDEX(Antoines,MATCH(D858,Antoine_Name,0),3)/(INDEX(Antoines,MATCH(D858,Antoine_Name,0),4)+(D866-32)*5/9)))*14.7/760,IF(D859="Crude Oil",EXP((2799/(D866+459.6)-2.227)*LOG10(INDEX(FX_Input,Q$5,D$3*$Z$5+$AA$5))-(7261/(D866+459.6))+12.82),IF(D859="Refined Petroleum Stock",EXP((0.7553-(413/(D866+459.6)))*(INDEX(FX_Input,Q$5,D$3*$Z$5+$AA$5-1)^0.5)*LOG10(INDEX(FX_Input,Q$5,D$3*$Z$5+$AA$5))-(1.854-(1042/(D866+459.6)))*(INDEX(FX_Input,Q$5,D$3*$Z$5+$AA$5-1)^0.5)+((2416/(D866+459.6)-2.013)*LOG10(INDEX(FX_Input,Q$5,D$3*$Z$5+$AA$5)))-(8742/(D866+459.6))+15.64),EXP(INDEX(Antoines,MATCH(D858,Antoine_Name,0),2)-INDEX(Antoines,MATCH(D858,Antoine_Name,0),3)/(D866+459.6))))),0)</f>
        <v>1</v>
      </c>
      <c r="E869" cm="1">
        <f t="array" ref="E869">IFERROR(IF(E859="Chemical",(10^(INDEX(Antoines,MATCH(E858,Antoine_Name,0),2)-INDEX(Antoines,MATCH(E858,Antoine_Name,0),3)/(INDEX(Antoines,MATCH(E858,Antoine_Name,0),4)+(E866-32)*5/9)))*14.7/760,IF(E859="Crude Oil",EXP((2799/(E866+459.6)-2.227)*LOG10(INDEX(FX_Input,R$5,E$3*$Z$5+$AA$5))-(7261/(E866+459.6))+12.82),IF(E859="Refined Petroleum Stock",EXP((0.7553-(413/(E866+459.6)))*(INDEX(FX_Input,R$5,E$3*$Z$5+$AA$5-1)^0.5)*LOG10(INDEX(FX_Input,R$5,E$3*$Z$5+$AA$5))-(1.854-(1042/(E866+459.6)))*(INDEX(FX_Input,R$5,E$3*$Z$5+$AA$5-1)^0.5)+((2416/(E866+459.6)-2.013)*LOG10(INDEX(FX_Input,R$5,E$3*$Z$5+$AA$5)))-(8742/(E866+459.6))+15.64),EXP(INDEX(Antoines,MATCH(E858,Antoine_Name,0),2)-INDEX(Antoines,MATCH(E858,Antoine_Name,0),3)/(E866+459.6))))),0)</f>
        <v>1</v>
      </c>
      <c r="F869" cm="1">
        <f t="array" ref="F869">IFERROR(IF(F859="Chemical",(10^(INDEX(Antoines,MATCH(F858,Antoine_Name,0),2)-INDEX(Antoines,MATCH(F858,Antoine_Name,0),3)/(INDEX(Antoines,MATCH(F858,Antoine_Name,0),4)+(F866-32)*5/9)))*14.7/760,IF(F859="Crude Oil",EXP((2799/(F866+459.6)-2.227)*LOG10(INDEX(FX_Input,S$5,F$3*$Z$5+$AA$5))-(7261/(F866+459.6))+12.82),IF(F859="Refined Petroleum Stock",EXP((0.7553-(413/(F866+459.6)))*(INDEX(FX_Input,S$5,F$3*$Z$5+$AA$5-1)^0.5)*LOG10(INDEX(FX_Input,S$5,F$3*$Z$5+$AA$5))-(1.854-(1042/(F866+459.6)))*(INDEX(FX_Input,S$5,F$3*$Z$5+$AA$5-1)^0.5)+((2416/(F866+459.6)-2.013)*LOG10(INDEX(FX_Input,S$5,F$3*$Z$5+$AA$5)))-(8742/(F866+459.6))+15.64),EXP(INDEX(Antoines,MATCH(F858,Antoine_Name,0),2)-INDEX(Antoines,MATCH(F858,Antoine_Name,0),3)/(F866+459.6))))),0)</f>
        <v>1</v>
      </c>
      <c r="G869" cm="1">
        <f t="array" ref="G869">IFERROR(IF(G859="Chemical",(10^(INDEX(Antoines,MATCH(G858,Antoine_Name,0),2)-INDEX(Antoines,MATCH(G858,Antoine_Name,0),3)/(INDEX(Antoines,MATCH(G858,Antoine_Name,0),4)+(G866-32)*5/9)))*14.7/760,IF(G859="Crude Oil",EXP((2799/(G866+459.6)-2.227)*LOG10(INDEX(FX_Input,T$5,G$3*$Z$5+$AA$5))-(7261/(G866+459.6))+12.82),IF(G859="Refined Petroleum Stock",EXP((0.7553-(413/(G866+459.6)))*(INDEX(FX_Input,T$5,G$3*$Z$5+$AA$5-1)^0.5)*LOG10(INDEX(FX_Input,T$5,G$3*$Z$5+$AA$5))-(1.854-(1042/(G866+459.6)))*(INDEX(FX_Input,T$5,G$3*$Z$5+$AA$5-1)^0.5)+((2416/(G866+459.6)-2.013)*LOG10(INDEX(FX_Input,T$5,G$3*$Z$5+$AA$5)))-(8742/(G866+459.6))+15.64),EXP(INDEX(Antoines,MATCH(G858,Antoine_Name,0),2)-INDEX(Antoines,MATCH(G858,Antoine_Name,0),3)/(G866+459.6))))),0)</f>
        <v>1</v>
      </c>
      <c r="H869" cm="1">
        <f t="array" ref="H869">IFERROR(IF(H859="Chemical",(10^(INDEX(Antoines,MATCH(H858,Antoine_Name,0),2)-INDEX(Antoines,MATCH(H858,Antoine_Name,0),3)/(INDEX(Antoines,MATCH(H858,Antoine_Name,0),4)+(H866-32)*5/9)))*14.7/760,IF(H859="Crude Oil",EXP((2799/(H866+459.6)-2.227)*LOG10(INDEX(FX_Input,U$5,H$3*$Z$5+$AA$5))-(7261/(H866+459.6))+12.82),IF(H859="Refined Petroleum Stock",EXP((0.7553-(413/(H866+459.6)))*(INDEX(FX_Input,U$5,H$3*$Z$5+$AA$5-1)^0.5)*LOG10(INDEX(FX_Input,U$5,H$3*$Z$5+$AA$5))-(1.854-(1042/(H866+459.6)))*(INDEX(FX_Input,U$5,H$3*$Z$5+$AA$5-1)^0.5)+((2416/(H866+459.6)-2.013)*LOG10(INDEX(FX_Input,U$5,H$3*$Z$5+$AA$5)))-(8742/(H866+459.6))+15.64),EXP(INDEX(Antoines,MATCH(H858,Antoine_Name,0),2)-INDEX(Antoines,MATCH(H858,Antoine_Name,0),3)/(H866+459.6))))),0)</f>
        <v>1</v>
      </c>
      <c r="I869" cm="1">
        <f t="array" ref="I869">IFERROR(IF(I859="Chemical",(10^(INDEX(Antoines,MATCH(I858,Antoine_Name,0),2)-INDEX(Antoines,MATCH(I858,Antoine_Name,0),3)/(INDEX(Antoines,MATCH(I858,Antoine_Name,0),4)+(I866-32)*5/9)))*14.7/760,IF(I859="Crude Oil",EXP((2799/(I866+459.6)-2.227)*LOG10(INDEX(FX_Input,V$5,I$3*$Z$5+$AA$5))-(7261/(I866+459.6))+12.82),IF(I859="Refined Petroleum Stock",EXP((0.7553-(413/(I866+459.6)))*(INDEX(FX_Input,V$5,I$3*$Z$5+$AA$5-1)^0.5)*LOG10(INDEX(FX_Input,V$5,I$3*$Z$5+$AA$5))-(1.854-(1042/(I866+459.6)))*(INDEX(FX_Input,V$5,I$3*$Z$5+$AA$5-1)^0.5)+((2416/(I866+459.6)-2.013)*LOG10(INDEX(FX_Input,V$5,I$3*$Z$5+$AA$5)))-(8742/(I866+459.6))+15.64),EXP(INDEX(Antoines,MATCH(I858,Antoine_Name,0),2)-INDEX(Antoines,MATCH(I858,Antoine_Name,0),3)/(I866+459.6))))),0)</f>
        <v>1</v>
      </c>
      <c r="J869" cm="1">
        <f t="array" ref="J869">IFERROR(IF(J859="Chemical",(10^(INDEX(Antoines,MATCH(J858,Antoine_Name,0),2)-INDEX(Antoines,MATCH(J858,Antoine_Name,0),3)/(INDEX(Antoines,MATCH(J858,Antoine_Name,0),4)+(J866-32)*5/9)))*14.7/760,IF(J859="Crude Oil",EXP((2799/(J866+459.6)-2.227)*LOG10(INDEX(FX_Input,W$5,J$3*$Z$5+$AA$5))-(7261/(J866+459.6))+12.82),IF(J859="Refined Petroleum Stock",EXP((0.7553-(413/(J866+459.6)))*(INDEX(FX_Input,W$5,J$3*$Z$5+$AA$5-1)^0.5)*LOG10(INDEX(FX_Input,W$5,J$3*$Z$5+$AA$5))-(1.854-(1042/(J866+459.6)))*(INDEX(FX_Input,W$5,J$3*$Z$5+$AA$5-1)^0.5)+((2416/(J866+459.6)-2.013)*LOG10(INDEX(FX_Input,W$5,J$3*$Z$5+$AA$5)))-(8742/(J866+459.6))+15.64),EXP(INDEX(Antoines,MATCH(J858,Antoine_Name,0),2)-INDEX(Antoines,MATCH(J858,Antoine_Name,0),3)/(J866+459.6))))),0)</f>
        <v>1</v>
      </c>
      <c r="K869" cm="1">
        <f t="array" ref="K869">IFERROR(IF(K859="Chemical",(10^(INDEX(Antoines,MATCH(K858,Antoine_Name,0),2)-INDEX(Antoines,MATCH(K858,Antoine_Name,0),3)/(INDEX(Antoines,MATCH(K858,Antoine_Name,0),4)+(K866-32)*5/9)))*14.7/760,IF(K859="Crude Oil",EXP((2799/(K866+459.6)-2.227)*LOG10(INDEX(FX_Input,X$5,K$3*$Z$5+$AA$5))-(7261/(K866+459.6))+12.82),IF(K859="Refined Petroleum Stock",EXP((0.7553-(413/(K866+459.6)))*(INDEX(FX_Input,X$5,K$3*$Z$5+$AA$5-1)^0.5)*LOG10(INDEX(FX_Input,X$5,K$3*$Z$5+$AA$5))-(1.854-(1042/(K866+459.6)))*(INDEX(FX_Input,X$5,K$3*$Z$5+$AA$5-1)^0.5)+((2416/(K866+459.6)-2.013)*LOG10(INDEX(FX_Input,X$5,K$3*$Z$5+$AA$5)))-(8742/(K866+459.6))+15.64),EXP(INDEX(Antoines,MATCH(K858,Antoine_Name,0),2)-INDEX(Antoines,MATCH(K858,Antoine_Name,0),3)/(K866+459.6))))),0)</f>
        <v>1</v>
      </c>
      <c r="L869" cm="1">
        <f t="array" ref="L869">IFERROR(IF(L859="Chemical",(10^(INDEX(Antoines,MATCH(L858,Antoine_Name,0),2)-INDEX(Antoines,MATCH(L858,Antoine_Name,0),3)/(INDEX(Antoines,MATCH(L858,Antoine_Name,0),4)+(L866-32)*5/9)))*14.7/760,IF(L859="Crude Oil",EXP((2799/(L866+459.6)-2.227)*LOG10(INDEX(FX_Input,Y$5,L$3*$Z$5+$AA$5))-(7261/(L866+459.6))+12.82),IF(L859="Refined Petroleum Stock",EXP((0.7553-(413/(L866+459.6)))*(INDEX(FX_Input,Y$5,L$3*$Z$5+$AA$5-1)^0.5)*LOG10(INDEX(FX_Input,Y$5,L$3*$Z$5+$AA$5))-(1.854-(1042/(L866+459.6)))*(INDEX(FX_Input,Y$5,L$3*$Z$5+$AA$5-1)^0.5)+((2416/(L866+459.6)-2.013)*LOG10(INDEX(FX_Input,Y$5,L$3*$Z$5+$AA$5)))-(8742/(L866+459.6))+15.64),EXP(INDEX(Antoines,MATCH(L858,Antoine_Name,0),2)-INDEX(Antoines,MATCH(L858,Antoine_Name,0),3)/(L866+459.6))))),0)</f>
        <v>1</v>
      </c>
      <c r="M869" cm="1">
        <f t="array" ref="M869">IFERROR(IF(M859="Chemical",(10^(INDEX(Antoines,MATCH(M858,Antoine_Name,0),2)-INDEX(Antoines,MATCH(M858,Antoine_Name,0),3)/(INDEX(Antoines,MATCH(M858,Antoine_Name,0),4)+(M866-32)*5/9)))*14.7/760,IF(M859="Crude Oil",EXP((2799/(M866+459.6)-2.227)*LOG10(INDEX(FX_Input,Z$5,M$3*$Z$5+$AA$5))-(7261/(M866+459.6))+12.82),IF(M859="Refined Petroleum Stock",EXP((0.7553-(413/(M866+459.6)))*(INDEX(FX_Input,Z$5,M$3*$Z$5+$AA$5-1)^0.5)*LOG10(INDEX(FX_Input,Z$5,M$3*$Z$5+$AA$5))-(1.854-(1042/(M866+459.6)))*(INDEX(FX_Input,Z$5,M$3*$Z$5+$AA$5-1)^0.5)+((2416/(M866+459.6)-2.013)*LOG10(INDEX(FX_Input,Z$5,M$3*$Z$5+$AA$5)))-(8742/(M866+459.6))+15.64),EXP(INDEX(Antoines,MATCH(M858,Antoine_Name,0),2)-INDEX(Antoines,MATCH(M858,Antoine_Name,0),3)/(M866+459.6))))),0)</f>
        <v>1</v>
      </c>
      <c r="N869" cm="1">
        <f t="array" ref="N869">IFERROR(IF(N859="Chemical",(10^(INDEX(Antoines,MATCH(N858,Antoine_Name,0),2)-INDEX(Antoines,MATCH(N858,Antoine_Name,0),3)/(INDEX(Antoines,MATCH(N858,Antoine_Name,0),4)+(N866-32)*5/9)))*14.7/760,IF(N859="Crude Oil",EXP((2799/(N866+459.6)-2.227)*LOG10(INDEX(FX_Input,AA$5,N$3*$Z$5+$AA$5))-(7261/(N866+459.6))+12.82),IF(N859="Refined Petroleum Stock",EXP((0.7553-(413/(N866+459.6)))*(INDEX(FX_Input,AA$5,N$3*$Z$5+$AA$5-1)^0.5)*LOG10(INDEX(FX_Input,AA$5,N$3*$Z$5+$AA$5))-(1.854-(1042/(N866+459.6)))*(INDEX(FX_Input,AA$5,N$3*$Z$5+$AA$5-1)^0.5)+((2416/(N866+459.6)-2.013)*LOG10(INDEX(FX_Input,AA$5,N$3*$Z$5+$AA$5)))-(8742/(N866+459.6))+15.64),EXP(INDEX(Antoines,MATCH(N858,Antoine_Name,0),2)-INDEX(Antoines,MATCH(N858,Antoine_Name,0),3)/(N866+459.6))))),0)</f>
        <v>1</v>
      </c>
      <c r="O869" cm="1">
        <f t="array" ref="O869">IFERROR(IF(O859="Chemical",(10^(INDEX(Antoines,MATCH(O858,Antoine_Name,0),2)-INDEX(Antoines,MATCH(O858,Antoine_Name,0),3)/(INDEX(Antoines,MATCH(O858,Antoine_Name,0),4)+(O866-32)*5/9)))*14.7/760,IF(O859="Crude Oil",EXP((2799/(O866+459.6)-2.227)*LOG10(INDEX(FX_Input,AB$5,O$3*$Z$5+$AA$5))-(7261/(O866+459.6))+12.82),IF(O859="Refined Petroleum Stock",EXP((0.7553-(413/(O866+459.6)))*(INDEX(FX_Input,AB$5,O$3*$Z$5+$AA$5-1)^0.5)*LOG10(INDEX(FX_Input,AB$5,O$3*$Z$5+$AA$5))-(1.854-(1042/(O866+459.6)))*(INDEX(FX_Input,AB$5,O$3*$Z$5+$AA$5-1)^0.5)+((2416/(O866+459.6)-2.013)*LOG10(INDEX(FX_Input,AB$5,O$3*$Z$5+$AA$5)))-(8742/(O866+459.6))+15.64),EXP(INDEX(Antoines,MATCH(O858,Antoine_Name,0),2)-INDEX(Antoines,MATCH(O858,Antoine_Name,0),3)/(O866+459.6))))),0)</f>
        <v>1</v>
      </c>
    </row>
    <row r="870" spans="2:32" ht="17.149999999999999" x14ac:dyDescent="0.55000000000000004">
      <c r="B870" t="str">
        <f t="shared" si="3092"/>
        <v>Portland</v>
      </c>
      <c r="C870" t="s">
        <v>576</v>
      </c>
      <c r="D870">
        <f>D862*D869</f>
        <v>1</v>
      </c>
      <c r="E870">
        <f t="shared" ref="E870" si="3093">E862*E869</f>
        <v>1</v>
      </c>
      <c r="F870">
        <f t="shared" ref="F870" si="3094">F862*F869</f>
        <v>1</v>
      </c>
      <c r="G870">
        <f t="shared" ref="G870" si="3095">G862*G869</f>
        <v>1</v>
      </c>
      <c r="H870">
        <f t="shared" ref="H870" si="3096">H862*H869</f>
        <v>1</v>
      </c>
      <c r="I870">
        <f t="shared" ref="I870" si="3097">I862*I869</f>
        <v>1</v>
      </c>
      <c r="J870">
        <f t="shared" ref="J870" si="3098">J862*J869</f>
        <v>1</v>
      </c>
      <c r="K870">
        <f t="shared" ref="K870" si="3099">K862*K869</f>
        <v>1</v>
      </c>
      <c r="L870">
        <f t="shared" ref="L870" si="3100">L862*L869</f>
        <v>1</v>
      </c>
      <c r="M870">
        <f t="shared" ref="M870" si="3101">M862*M869</f>
        <v>1</v>
      </c>
      <c r="N870">
        <f t="shared" ref="N870" si="3102">N862*N869</f>
        <v>1</v>
      </c>
      <c r="O870">
        <f t="shared" ref="O870" si="3103">O862*O869</f>
        <v>1</v>
      </c>
    </row>
    <row r="871" spans="2:32" ht="17.149999999999999" x14ac:dyDescent="0.55000000000000004">
      <c r="B871" t="str">
        <f t="shared" si="3092"/>
        <v>Portland</v>
      </c>
      <c r="C871" t="s">
        <v>575</v>
      </c>
      <c r="D871" cm="1">
        <f t="array" ref="D871">IFERROR(IF(D861="Chemical",(10^(INDEX(Antoines,MATCH(D860,Antoine_Name,0),2)-INDEX(Antoines,MATCH(D860,Antoine_Name,0),3)/(INDEX(Antoines,MATCH(D860,Antoine_Name,0),4)+(D866-32)*5/9)))*14.7/760,IF(D861="Crude Oil",EXP((2799/(D866+459.6)-2.227)*LOG10(INDEX(FX_Input,Q$5,D$3*$Z$5+$AA$5))-(7261/(D866+459.6))+12.82),IF(D861="Refined Petroleum Stock",EXP((0.7553-(413/(D866+459.6)))*(INDEX(FX_Input,Q$5,D$3*$Z$5+$AA$5-1)^0.5)*LOG10(INDEX(FX_Input,Q$5,D$3*$Z$5+$AA$5))-(1.854-(1042/(D866+459.6)))*(INDEX(FX_Input,Q$5,D$3*$Z$5+$AA$5-1)^0.5)+((2416/(D866+459.6)-2.013)*LOG10(INDEX(FX_Input,Q$5,D$3*$Z$5+$AA$5)))-(8742/(D866+459.6))+15.64),EXP(INDEX(Antoines,MATCH(D860,Antoine_Name,0),2)-INDEX(Antoines,MATCH(D860,Antoine_Name,0),3)/(D866+459.6))))),0)</f>
        <v>0</v>
      </c>
      <c r="E871" cm="1">
        <f t="array" ref="E871">IFERROR(IF(E861="Chemical",(10^(INDEX(Antoines,MATCH(E860,Antoine_Name,0),2)-INDEX(Antoines,MATCH(E860,Antoine_Name,0),3)/(INDEX(Antoines,MATCH(E860,Antoine_Name,0),4)+(E866-32)*5/9)))*14.7/760,IF(E861="Crude Oil",EXP((2799/(E866+459.6)-2.227)*LOG10(INDEX(FX_Input,R$5,E$3*$Z$5+$AA$5))-(7261/(E866+459.6))+12.82),IF(E861="Refined Petroleum Stock",EXP((0.7553-(413/(E866+459.6)))*(INDEX(FX_Input,R$5,E$3*$Z$5+$AA$5-1)^0.5)*LOG10(INDEX(FX_Input,R$5,E$3*$Z$5+$AA$5))-(1.854-(1042/(E866+459.6)))*(INDEX(FX_Input,R$5,E$3*$Z$5+$AA$5-1)^0.5)+((2416/(E866+459.6)-2.013)*LOG10(INDEX(FX_Input,R$5,E$3*$Z$5+$AA$5)))-(8742/(E866+459.6))+15.64),EXP(INDEX(Antoines,MATCH(E860,Antoine_Name,0),2)-INDEX(Antoines,MATCH(E860,Antoine_Name,0),3)/(E866+459.6))))),0)</f>
        <v>0</v>
      </c>
      <c r="F871" cm="1">
        <f t="array" ref="F871">IFERROR(IF(F861="Chemical",(10^(INDEX(Antoines,MATCH(F860,Antoine_Name,0),2)-INDEX(Antoines,MATCH(F860,Antoine_Name,0),3)/(INDEX(Antoines,MATCH(F860,Antoine_Name,0),4)+(F866-32)*5/9)))*14.7/760,IF(F861="Crude Oil",EXP((2799/(F866+459.6)-2.227)*LOG10(INDEX(FX_Input,S$5,F$3*$Z$5+$AA$5))-(7261/(F866+459.6))+12.82),IF(F861="Refined Petroleum Stock",EXP((0.7553-(413/(F866+459.6)))*(INDEX(FX_Input,S$5,F$3*$Z$5+$AA$5-1)^0.5)*LOG10(INDEX(FX_Input,S$5,F$3*$Z$5+$AA$5))-(1.854-(1042/(F866+459.6)))*(INDEX(FX_Input,S$5,F$3*$Z$5+$AA$5-1)^0.5)+((2416/(F866+459.6)-2.013)*LOG10(INDEX(FX_Input,S$5,F$3*$Z$5+$AA$5)))-(8742/(F866+459.6))+15.64),EXP(INDEX(Antoines,MATCH(F860,Antoine_Name,0),2)-INDEX(Antoines,MATCH(F860,Antoine_Name,0),3)/(F866+459.6))))),0)</f>
        <v>0</v>
      </c>
      <c r="G871" cm="1">
        <f t="array" ref="G871">IFERROR(IF(G861="Chemical",(10^(INDEX(Antoines,MATCH(G860,Antoine_Name,0),2)-INDEX(Antoines,MATCH(G860,Antoine_Name,0),3)/(INDEX(Antoines,MATCH(G860,Antoine_Name,0),4)+(G866-32)*5/9)))*14.7/760,IF(G861="Crude Oil",EXP((2799/(G866+459.6)-2.227)*LOG10(INDEX(FX_Input,T$5,G$3*$Z$5+$AA$5))-(7261/(G866+459.6))+12.82),IF(G861="Refined Petroleum Stock",EXP((0.7553-(413/(G866+459.6)))*(INDEX(FX_Input,T$5,G$3*$Z$5+$AA$5-1)^0.5)*LOG10(INDEX(FX_Input,T$5,G$3*$Z$5+$AA$5))-(1.854-(1042/(G866+459.6)))*(INDEX(FX_Input,T$5,G$3*$Z$5+$AA$5-1)^0.5)+((2416/(G866+459.6)-2.013)*LOG10(INDEX(FX_Input,T$5,G$3*$Z$5+$AA$5)))-(8742/(G866+459.6))+15.64),EXP(INDEX(Antoines,MATCH(G860,Antoine_Name,0),2)-INDEX(Antoines,MATCH(G860,Antoine_Name,0),3)/(G866+459.6))))),0)</f>
        <v>0</v>
      </c>
      <c r="H871" cm="1">
        <f t="array" ref="H871">IFERROR(IF(H861="Chemical",(10^(INDEX(Antoines,MATCH(H860,Antoine_Name,0),2)-INDEX(Antoines,MATCH(H860,Antoine_Name,0),3)/(INDEX(Antoines,MATCH(H860,Antoine_Name,0),4)+(H866-32)*5/9)))*14.7/760,IF(H861="Crude Oil",EXP((2799/(H866+459.6)-2.227)*LOG10(INDEX(FX_Input,U$5,H$3*$Z$5+$AA$5))-(7261/(H866+459.6))+12.82),IF(H861="Refined Petroleum Stock",EXP((0.7553-(413/(H866+459.6)))*(INDEX(FX_Input,U$5,H$3*$Z$5+$AA$5-1)^0.5)*LOG10(INDEX(FX_Input,U$5,H$3*$Z$5+$AA$5))-(1.854-(1042/(H866+459.6)))*(INDEX(FX_Input,U$5,H$3*$Z$5+$AA$5-1)^0.5)+((2416/(H866+459.6)-2.013)*LOG10(INDEX(FX_Input,U$5,H$3*$Z$5+$AA$5)))-(8742/(H866+459.6))+15.64),EXP(INDEX(Antoines,MATCH(H860,Antoine_Name,0),2)-INDEX(Antoines,MATCH(H860,Antoine_Name,0),3)/(H866+459.6))))),0)</f>
        <v>0</v>
      </c>
      <c r="I871" cm="1">
        <f t="array" ref="I871">IFERROR(IF(I861="Chemical",(10^(INDEX(Antoines,MATCH(I860,Antoine_Name,0),2)-INDEX(Antoines,MATCH(I860,Antoine_Name,0),3)/(INDEX(Antoines,MATCH(I860,Antoine_Name,0),4)+(I866-32)*5/9)))*14.7/760,IF(I861="Crude Oil",EXP((2799/(I866+459.6)-2.227)*LOG10(INDEX(FX_Input,V$5,I$3*$Z$5+$AA$5))-(7261/(I866+459.6))+12.82),IF(I861="Refined Petroleum Stock",EXP((0.7553-(413/(I866+459.6)))*(INDEX(FX_Input,V$5,I$3*$Z$5+$AA$5-1)^0.5)*LOG10(INDEX(FX_Input,V$5,I$3*$Z$5+$AA$5))-(1.854-(1042/(I866+459.6)))*(INDEX(FX_Input,V$5,I$3*$Z$5+$AA$5-1)^0.5)+((2416/(I866+459.6)-2.013)*LOG10(INDEX(FX_Input,V$5,I$3*$Z$5+$AA$5)))-(8742/(I866+459.6))+15.64),EXP(INDEX(Antoines,MATCH(I860,Antoine_Name,0),2)-INDEX(Antoines,MATCH(I860,Antoine_Name,0),3)/(I866+459.6))))),0)</f>
        <v>0</v>
      </c>
      <c r="J871" cm="1">
        <f t="array" ref="J871">IFERROR(IF(J861="Chemical",(10^(INDEX(Antoines,MATCH(J860,Antoine_Name,0),2)-INDEX(Antoines,MATCH(J860,Antoine_Name,0),3)/(INDEX(Antoines,MATCH(J860,Antoine_Name,0),4)+(J866-32)*5/9)))*14.7/760,IF(J861="Crude Oil",EXP((2799/(J866+459.6)-2.227)*LOG10(INDEX(FX_Input,W$5,J$3*$Z$5+$AA$5))-(7261/(J866+459.6))+12.82),IF(J861="Refined Petroleum Stock",EXP((0.7553-(413/(J866+459.6)))*(INDEX(FX_Input,W$5,J$3*$Z$5+$AA$5-1)^0.5)*LOG10(INDEX(FX_Input,W$5,J$3*$Z$5+$AA$5))-(1.854-(1042/(J866+459.6)))*(INDEX(FX_Input,W$5,J$3*$Z$5+$AA$5-1)^0.5)+((2416/(J866+459.6)-2.013)*LOG10(INDEX(FX_Input,W$5,J$3*$Z$5+$AA$5)))-(8742/(J866+459.6))+15.64),EXP(INDEX(Antoines,MATCH(J860,Antoine_Name,0),2)-INDEX(Antoines,MATCH(J860,Antoine_Name,0),3)/(J866+459.6))))),0)</f>
        <v>0</v>
      </c>
      <c r="K871" cm="1">
        <f t="array" ref="K871">IFERROR(IF(K861="Chemical",(10^(INDEX(Antoines,MATCH(K860,Antoine_Name,0),2)-INDEX(Antoines,MATCH(K860,Antoine_Name,0),3)/(INDEX(Antoines,MATCH(K860,Antoine_Name,0),4)+(K866-32)*5/9)))*14.7/760,IF(K861="Crude Oil",EXP((2799/(K866+459.6)-2.227)*LOG10(INDEX(FX_Input,X$5,K$3*$Z$5+$AA$5))-(7261/(K866+459.6))+12.82),IF(K861="Refined Petroleum Stock",EXP((0.7553-(413/(K866+459.6)))*(INDEX(FX_Input,X$5,K$3*$Z$5+$AA$5-1)^0.5)*LOG10(INDEX(FX_Input,X$5,K$3*$Z$5+$AA$5))-(1.854-(1042/(K866+459.6)))*(INDEX(FX_Input,X$5,K$3*$Z$5+$AA$5-1)^0.5)+((2416/(K866+459.6)-2.013)*LOG10(INDEX(FX_Input,X$5,K$3*$Z$5+$AA$5)))-(8742/(K866+459.6))+15.64),EXP(INDEX(Antoines,MATCH(K860,Antoine_Name,0),2)-INDEX(Antoines,MATCH(K860,Antoine_Name,0),3)/(K866+459.6))))),0)</f>
        <v>0</v>
      </c>
      <c r="L871" cm="1">
        <f t="array" ref="L871">IFERROR(IF(L861="Chemical",(10^(INDEX(Antoines,MATCH(L860,Antoine_Name,0),2)-INDEX(Antoines,MATCH(L860,Antoine_Name,0),3)/(INDEX(Antoines,MATCH(L860,Antoine_Name,0),4)+(L866-32)*5/9)))*14.7/760,IF(L861="Crude Oil",EXP((2799/(L866+459.6)-2.227)*LOG10(INDEX(FX_Input,Y$5,L$3*$Z$5+$AA$5))-(7261/(L866+459.6))+12.82),IF(L861="Refined Petroleum Stock",EXP((0.7553-(413/(L866+459.6)))*(INDEX(FX_Input,Y$5,L$3*$Z$5+$AA$5-1)^0.5)*LOG10(INDEX(FX_Input,Y$5,L$3*$Z$5+$AA$5))-(1.854-(1042/(L866+459.6)))*(INDEX(FX_Input,Y$5,L$3*$Z$5+$AA$5-1)^0.5)+((2416/(L866+459.6)-2.013)*LOG10(INDEX(FX_Input,Y$5,L$3*$Z$5+$AA$5)))-(8742/(L866+459.6))+15.64),EXP(INDEX(Antoines,MATCH(L860,Antoine_Name,0),2)-INDEX(Antoines,MATCH(L860,Antoine_Name,0),3)/(L866+459.6))))),0)</f>
        <v>0</v>
      </c>
      <c r="M871" cm="1">
        <f t="array" ref="M871">IFERROR(IF(M861="Chemical",(10^(INDEX(Antoines,MATCH(M860,Antoine_Name,0),2)-INDEX(Antoines,MATCH(M860,Antoine_Name,0),3)/(INDEX(Antoines,MATCH(M860,Antoine_Name,0),4)+(M866-32)*5/9)))*14.7/760,IF(M861="Crude Oil",EXP((2799/(M866+459.6)-2.227)*LOG10(INDEX(FX_Input,Z$5,M$3*$Z$5+$AA$5))-(7261/(M866+459.6))+12.82),IF(M861="Refined Petroleum Stock",EXP((0.7553-(413/(M866+459.6)))*(INDEX(FX_Input,Z$5,M$3*$Z$5+$AA$5-1)^0.5)*LOG10(INDEX(FX_Input,Z$5,M$3*$Z$5+$AA$5))-(1.854-(1042/(M866+459.6)))*(INDEX(FX_Input,Z$5,M$3*$Z$5+$AA$5-1)^0.5)+((2416/(M866+459.6)-2.013)*LOG10(INDEX(FX_Input,Z$5,M$3*$Z$5+$AA$5)))-(8742/(M866+459.6))+15.64),EXP(INDEX(Antoines,MATCH(M860,Antoine_Name,0),2)-INDEX(Antoines,MATCH(M860,Antoine_Name,0),3)/(M866+459.6))))),0)</f>
        <v>0</v>
      </c>
      <c r="N871" cm="1">
        <f t="array" ref="N871">IFERROR(IF(N861="Chemical",(10^(INDEX(Antoines,MATCH(N860,Antoine_Name,0),2)-INDEX(Antoines,MATCH(N860,Antoine_Name,0),3)/(INDEX(Antoines,MATCH(N860,Antoine_Name,0),4)+(N866-32)*5/9)))*14.7/760,IF(N861="Crude Oil",EXP((2799/(N866+459.6)-2.227)*LOG10(INDEX(FX_Input,AA$5,N$3*$Z$5+$AA$5))-(7261/(N866+459.6))+12.82),IF(N861="Refined Petroleum Stock",EXP((0.7553-(413/(N866+459.6)))*(INDEX(FX_Input,AA$5,N$3*$Z$5+$AA$5-1)^0.5)*LOG10(INDEX(FX_Input,AA$5,N$3*$Z$5+$AA$5))-(1.854-(1042/(N866+459.6)))*(INDEX(FX_Input,AA$5,N$3*$Z$5+$AA$5-1)^0.5)+((2416/(N866+459.6)-2.013)*LOG10(INDEX(FX_Input,AA$5,N$3*$Z$5+$AA$5)))-(8742/(N866+459.6))+15.64),EXP(INDEX(Antoines,MATCH(N860,Antoine_Name,0),2)-INDEX(Antoines,MATCH(N860,Antoine_Name,0),3)/(N866+459.6))))),0)</f>
        <v>0</v>
      </c>
      <c r="O871" cm="1">
        <f t="array" ref="O871">IFERROR(IF(O861="Chemical",(10^(INDEX(Antoines,MATCH(O860,Antoine_Name,0),2)-INDEX(Antoines,MATCH(O860,Antoine_Name,0),3)/(INDEX(Antoines,MATCH(O860,Antoine_Name,0),4)+(O866-32)*5/9)))*14.7/760,IF(O861="Crude Oil",EXP((2799/(O866+459.6)-2.227)*LOG10(INDEX(FX_Input,AB$5,O$3*$Z$5+$AA$5))-(7261/(O866+459.6))+12.82),IF(O861="Refined Petroleum Stock",EXP((0.7553-(413/(O866+459.6)))*(INDEX(FX_Input,AB$5,O$3*$Z$5+$AA$5-1)^0.5)*LOG10(INDEX(FX_Input,AB$5,O$3*$Z$5+$AA$5))-(1.854-(1042/(O866+459.6)))*(INDEX(FX_Input,AB$5,O$3*$Z$5+$AA$5-1)^0.5)+((2416/(O866+459.6)-2.013)*LOG10(INDEX(FX_Input,AB$5,O$3*$Z$5+$AA$5)))-(8742/(O866+459.6))+15.64),EXP(INDEX(Antoines,MATCH(O860,Antoine_Name,0),2)-INDEX(Antoines,MATCH(O860,Antoine_Name,0),3)/(O866+459.6))))),0)</f>
        <v>0</v>
      </c>
    </row>
    <row r="872" spans="2:32" ht="17.149999999999999" x14ac:dyDescent="0.55000000000000004">
      <c r="B872" t="str">
        <f t="shared" si="3092"/>
        <v>Portland</v>
      </c>
      <c r="C872" t="s">
        <v>577</v>
      </c>
      <c r="D872">
        <f>D871*D864</f>
        <v>0</v>
      </c>
      <c r="E872">
        <f t="shared" ref="E872" si="3104">E871*E864</f>
        <v>0</v>
      </c>
      <c r="F872">
        <f t="shared" ref="F872" si="3105">F871*F864</f>
        <v>0</v>
      </c>
      <c r="G872">
        <f t="shared" ref="G872" si="3106">G871*G864</f>
        <v>0</v>
      </c>
      <c r="H872">
        <f t="shared" ref="H872" si="3107">H871*H864</f>
        <v>0</v>
      </c>
      <c r="I872">
        <f t="shared" ref="I872" si="3108">I871*I864</f>
        <v>0</v>
      </c>
      <c r="J872">
        <f t="shared" ref="J872" si="3109">J871*J864</f>
        <v>0</v>
      </c>
      <c r="K872">
        <f t="shared" ref="K872" si="3110">K871*K864</f>
        <v>0</v>
      </c>
      <c r="L872">
        <f t="shared" ref="L872" si="3111">L871*L864</f>
        <v>0</v>
      </c>
      <c r="M872">
        <f t="shared" ref="M872" si="3112">M871*M864</f>
        <v>0</v>
      </c>
      <c r="N872">
        <f t="shared" ref="N872" si="3113">N871*N864</f>
        <v>0</v>
      </c>
      <c r="O872">
        <f t="shared" ref="O872" si="3114">O871*O864</f>
        <v>0</v>
      </c>
    </row>
    <row r="873" spans="2:32" ht="17.149999999999999" x14ac:dyDescent="0.55000000000000004">
      <c r="B873" t="str">
        <f t="shared" si="3092"/>
        <v>Portland</v>
      </c>
      <c r="C873" t="s">
        <v>578</v>
      </c>
      <c r="D873">
        <f>D872+D870</f>
        <v>1</v>
      </c>
      <c r="E873">
        <f t="shared" ref="E873" si="3115">E872+E870</f>
        <v>1</v>
      </c>
      <c r="F873">
        <f t="shared" ref="F873" si="3116">F872+F870</f>
        <v>1</v>
      </c>
      <c r="G873">
        <f t="shared" ref="G873" si="3117">G872+G870</f>
        <v>1</v>
      </c>
      <c r="H873">
        <f t="shared" ref="H873" si="3118">H872+H870</f>
        <v>1</v>
      </c>
      <c r="I873">
        <f t="shared" ref="I873" si="3119">I872+I870</f>
        <v>1</v>
      </c>
      <c r="J873">
        <f t="shared" ref="J873" si="3120">J872+J870</f>
        <v>1</v>
      </c>
      <c r="K873">
        <f t="shared" ref="K873" si="3121">K872+K870</f>
        <v>1</v>
      </c>
      <c r="L873">
        <f t="shared" ref="L873" si="3122">L872+L870</f>
        <v>1</v>
      </c>
      <c r="M873">
        <f t="shared" ref="M873" si="3123">M872+M870</f>
        <v>1</v>
      </c>
      <c r="N873">
        <f t="shared" ref="N873" si="3124">N872+N870</f>
        <v>1</v>
      </c>
      <c r="O873">
        <f t="shared" ref="O873" si="3125">O872+O870</f>
        <v>1</v>
      </c>
    </row>
    <row r="874" spans="2:32" ht="17.149999999999999" x14ac:dyDescent="0.55000000000000004">
      <c r="B874" t="str">
        <f t="shared" si="3092"/>
        <v>Portland</v>
      </c>
      <c r="C874" t="s">
        <v>579</v>
      </c>
      <c r="D874" cm="1">
        <f t="array" ref="D874">IFERROR(IF(D859="Chemical",(10^(INDEX(Antoines,MATCH(D858,Antoine_Name,0),2)-INDEX(Antoines,MATCH(D858,Antoine_Name,0),3)/(INDEX(Antoines,MATCH(D858,Antoine_Name,0),4)+(D867-32)*5/9)))*14.7/760,IF(D859="Crude Oil",EXP((2799/(D867+459.6)-2.227)*LOG10(INDEX(FX_Input,Q$5,D$3*$Z$5+$AA$5))-(7261/(D867+459.6))+12.82),IF(D859="Refined Petroleum Stock",EXP((0.7553-(413/(D867+459.6)))*(INDEX(FX_Input,Q$5,D$3*$Z$5+$AA$5-1)^0.5)*LOG10(INDEX(FX_Input,Q$5,D$3*$Z$5+$AA$5))-(1.854-(1042/(D867+459.6)))*(INDEX(FX_Input,Q$5,D$3*$Z$5+$AA$5-1)^0.5)+((2416/(D867+459.6)-2.013)*LOG10(INDEX(FX_Input,Q$5,D$3*$Z$5+$AA$5)))-(8742/(D867+459.6))+15.64),EXP(INDEX(Antoines,MATCH(D858,Antoine_Name,0),2)-INDEX(Antoines,MATCH(D858,Antoine_Name,0),3)/(D867+459.6))))),0)</f>
        <v>1</v>
      </c>
      <c r="E874" cm="1">
        <f t="array" ref="E874">IFERROR(IF(E859="Chemical",(10^(INDEX(Antoines,MATCH(E858,Antoine_Name,0),2)-INDEX(Antoines,MATCH(E858,Antoine_Name,0),3)/(INDEX(Antoines,MATCH(E858,Antoine_Name,0),4)+(E867-32)*5/9)))*14.7/760,IF(E859="Crude Oil",EXP((2799/(E867+459.6)-2.227)*LOG10(INDEX(FX_Input,R$5,E$3*$Z$5+$AA$5))-(7261/(E867+459.6))+12.82),IF(E859="Refined Petroleum Stock",EXP((0.7553-(413/(E867+459.6)))*(INDEX(FX_Input,R$5,E$3*$Z$5+$AA$5-1)^0.5)*LOG10(INDEX(FX_Input,R$5,E$3*$Z$5+$AA$5))-(1.854-(1042/(E867+459.6)))*(INDEX(FX_Input,R$5,E$3*$Z$5+$AA$5-1)^0.5)+((2416/(E867+459.6)-2.013)*LOG10(INDEX(FX_Input,R$5,E$3*$Z$5+$AA$5)))-(8742/(E867+459.6))+15.64),EXP(INDEX(Antoines,MATCH(E858,Antoine_Name,0),2)-INDEX(Antoines,MATCH(E858,Antoine_Name,0),3)/(E867+459.6))))),0)</f>
        <v>1</v>
      </c>
      <c r="F874" cm="1">
        <f t="array" ref="F874">IFERROR(IF(F859="Chemical",(10^(INDEX(Antoines,MATCH(F858,Antoine_Name,0),2)-INDEX(Antoines,MATCH(F858,Antoine_Name,0),3)/(INDEX(Antoines,MATCH(F858,Antoine_Name,0),4)+(F867-32)*5/9)))*14.7/760,IF(F859="Crude Oil",EXP((2799/(F867+459.6)-2.227)*LOG10(INDEX(FX_Input,S$5,F$3*$Z$5+$AA$5))-(7261/(F867+459.6))+12.82),IF(F859="Refined Petroleum Stock",EXP((0.7553-(413/(F867+459.6)))*(INDEX(FX_Input,S$5,F$3*$Z$5+$AA$5-1)^0.5)*LOG10(INDEX(FX_Input,S$5,F$3*$Z$5+$AA$5))-(1.854-(1042/(F867+459.6)))*(INDEX(FX_Input,S$5,F$3*$Z$5+$AA$5-1)^0.5)+((2416/(F867+459.6)-2.013)*LOG10(INDEX(FX_Input,S$5,F$3*$Z$5+$AA$5)))-(8742/(F867+459.6))+15.64),EXP(INDEX(Antoines,MATCH(F858,Antoine_Name,0),2)-INDEX(Antoines,MATCH(F858,Antoine_Name,0),3)/(F867+459.6))))),0)</f>
        <v>1</v>
      </c>
      <c r="G874" cm="1">
        <f t="array" ref="G874">IFERROR(IF(G859="Chemical",(10^(INDEX(Antoines,MATCH(G858,Antoine_Name,0),2)-INDEX(Antoines,MATCH(G858,Antoine_Name,0),3)/(INDEX(Antoines,MATCH(G858,Antoine_Name,0),4)+(G867-32)*5/9)))*14.7/760,IF(G859="Crude Oil",EXP((2799/(G867+459.6)-2.227)*LOG10(INDEX(FX_Input,T$5,G$3*$Z$5+$AA$5))-(7261/(G867+459.6))+12.82),IF(G859="Refined Petroleum Stock",EXP((0.7553-(413/(G867+459.6)))*(INDEX(FX_Input,T$5,G$3*$Z$5+$AA$5-1)^0.5)*LOG10(INDEX(FX_Input,T$5,G$3*$Z$5+$AA$5))-(1.854-(1042/(G867+459.6)))*(INDEX(FX_Input,T$5,G$3*$Z$5+$AA$5-1)^0.5)+((2416/(G867+459.6)-2.013)*LOG10(INDEX(FX_Input,T$5,G$3*$Z$5+$AA$5)))-(8742/(G867+459.6))+15.64),EXP(INDEX(Antoines,MATCH(G858,Antoine_Name,0),2)-INDEX(Antoines,MATCH(G858,Antoine_Name,0),3)/(G867+459.6))))),0)</f>
        <v>1</v>
      </c>
      <c r="H874" cm="1">
        <f t="array" ref="H874">IFERROR(IF(H859="Chemical",(10^(INDEX(Antoines,MATCH(H858,Antoine_Name,0),2)-INDEX(Antoines,MATCH(H858,Antoine_Name,0),3)/(INDEX(Antoines,MATCH(H858,Antoine_Name,0),4)+(H867-32)*5/9)))*14.7/760,IF(H859="Crude Oil",EXP((2799/(H867+459.6)-2.227)*LOG10(INDEX(FX_Input,U$5,H$3*$Z$5+$AA$5))-(7261/(H867+459.6))+12.82),IF(H859="Refined Petroleum Stock",EXP((0.7553-(413/(H867+459.6)))*(INDEX(FX_Input,U$5,H$3*$Z$5+$AA$5-1)^0.5)*LOG10(INDEX(FX_Input,U$5,H$3*$Z$5+$AA$5))-(1.854-(1042/(H867+459.6)))*(INDEX(FX_Input,U$5,H$3*$Z$5+$AA$5-1)^0.5)+((2416/(H867+459.6)-2.013)*LOG10(INDEX(FX_Input,U$5,H$3*$Z$5+$AA$5)))-(8742/(H867+459.6))+15.64),EXP(INDEX(Antoines,MATCH(H858,Antoine_Name,0),2)-INDEX(Antoines,MATCH(H858,Antoine_Name,0),3)/(H867+459.6))))),0)</f>
        <v>1</v>
      </c>
      <c r="I874" cm="1">
        <f t="array" ref="I874">IFERROR(IF(I859="Chemical",(10^(INDEX(Antoines,MATCH(I858,Antoine_Name,0),2)-INDEX(Antoines,MATCH(I858,Antoine_Name,0),3)/(INDEX(Antoines,MATCH(I858,Antoine_Name,0),4)+(I867-32)*5/9)))*14.7/760,IF(I859="Crude Oil",EXP((2799/(I867+459.6)-2.227)*LOG10(INDEX(FX_Input,V$5,I$3*$Z$5+$AA$5))-(7261/(I867+459.6))+12.82),IF(I859="Refined Petroleum Stock",EXP((0.7553-(413/(I867+459.6)))*(INDEX(FX_Input,V$5,I$3*$Z$5+$AA$5-1)^0.5)*LOG10(INDEX(FX_Input,V$5,I$3*$Z$5+$AA$5))-(1.854-(1042/(I867+459.6)))*(INDEX(FX_Input,V$5,I$3*$Z$5+$AA$5-1)^0.5)+((2416/(I867+459.6)-2.013)*LOG10(INDEX(FX_Input,V$5,I$3*$Z$5+$AA$5)))-(8742/(I867+459.6))+15.64),EXP(INDEX(Antoines,MATCH(I858,Antoine_Name,0),2)-INDEX(Antoines,MATCH(I858,Antoine_Name,0),3)/(I867+459.6))))),0)</f>
        <v>1</v>
      </c>
      <c r="J874" cm="1">
        <f t="array" ref="J874">IFERROR(IF(J859="Chemical",(10^(INDEX(Antoines,MATCH(J858,Antoine_Name,0),2)-INDEX(Antoines,MATCH(J858,Antoine_Name,0),3)/(INDEX(Antoines,MATCH(J858,Antoine_Name,0),4)+(J867-32)*5/9)))*14.7/760,IF(J859="Crude Oil",EXP((2799/(J867+459.6)-2.227)*LOG10(INDEX(FX_Input,W$5,J$3*$Z$5+$AA$5))-(7261/(J867+459.6))+12.82),IF(J859="Refined Petroleum Stock",EXP((0.7553-(413/(J867+459.6)))*(INDEX(FX_Input,W$5,J$3*$Z$5+$AA$5-1)^0.5)*LOG10(INDEX(FX_Input,W$5,J$3*$Z$5+$AA$5))-(1.854-(1042/(J867+459.6)))*(INDEX(FX_Input,W$5,J$3*$Z$5+$AA$5-1)^0.5)+((2416/(J867+459.6)-2.013)*LOG10(INDEX(FX_Input,W$5,J$3*$Z$5+$AA$5)))-(8742/(J867+459.6))+15.64),EXP(INDEX(Antoines,MATCH(J858,Antoine_Name,0),2)-INDEX(Antoines,MATCH(J858,Antoine_Name,0),3)/(J867+459.6))))),0)</f>
        <v>1</v>
      </c>
      <c r="K874" cm="1">
        <f t="array" ref="K874">IFERROR(IF(K859="Chemical",(10^(INDEX(Antoines,MATCH(K858,Antoine_Name,0),2)-INDEX(Antoines,MATCH(K858,Antoine_Name,0),3)/(INDEX(Antoines,MATCH(K858,Antoine_Name,0),4)+(K867-32)*5/9)))*14.7/760,IF(K859="Crude Oil",EXP((2799/(K867+459.6)-2.227)*LOG10(INDEX(FX_Input,X$5,K$3*$Z$5+$AA$5))-(7261/(K867+459.6))+12.82),IF(K859="Refined Petroleum Stock",EXP((0.7553-(413/(K867+459.6)))*(INDEX(FX_Input,X$5,K$3*$Z$5+$AA$5-1)^0.5)*LOG10(INDEX(FX_Input,X$5,K$3*$Z$5+$AA$5))-(1.854-(1042/(K867+459.6)))*(INDEX(FX_Input,X$5,K$3*$Z$5+$AA$5-1)^0.5)+((2416/(K867+459.6)-2.013)*LOG10(INDEX(FX_Input,X$5,K$3*$Z$5+$AA$5)))-(8742/(K867+459.6))+15.64),EXP(INDEX(Antoines,MATCH(K858,Antoine_Name,0),2)-INDEX(Antoines,MATCH(K858,Antoine_Name,0),3)/(K867+459.6))))),0)</f>
        <v>1</v>
      </c>
      <c r="L874" cm="1">
        <f t="array" ref="L874">IFERROR(IF(L859="Chemical",(10^(INDEX(Antoines,MATCH(L858,Antoine_Name,0),2)-INDEX(Antoines,MATCH(L858,Antoine_Name,0),3)/(INDEX(Antoines,MATCH(L858,Antoine_Name,0),4)+(L867-32)*5/9)))*14.7/760,IF(L859="Crude Oil",EXP((2799/(L867+459.6)-2.227)*LOG10(INDEX(FX_Input,Y$5,L$3*$Z$5+$AA$5))-(7261/(L867+459.6))+12.82),IF(L859="Refined Petroleum Stock",EXP((0.7553-(413/(L867+459.6)))*(INDEX(FX_Input,Y$5,L$3*$Z$5+$AA$5-1)^0.5)*LOG10(INDEX(FX_Input,Y$5,L$3*$Z$5+$AA$5))-(1.854-(1042/(L867+459.6)))*(INDEX(FX_Input,Y$5,L$3*$Z$5+$AA$5-1)^0.5)+((2416/(L867+459.6)-2.013)*LOG10(INDEX(FX_Input,Y$5,L$3*$Z$5+$AA$5)))-(8742/(L867+459.6))+15.64),EXP(INDEX(Antoines,MATCH(L858,Antoine_Name,0),2)-INDEX(Antoines,MATCH(L858,Antoine_Name,0),3)/(L867+459.6))))),0)</f>
        <v>1</v>
      </c>
      <c r="M874" cm="1">
        <f t="array" ref="M874">IFERROR(IF(M859="Chemical",(10^(INDEX(Antoines,MATCH(M858,Antoine_Name,0),2)-INDEX(Antoines,MATCH(M858,Antoine_Name,0),3)/(INDEX(Antoines,MATCH(M858,Antoine_Name,0),4)+(M867-32)*5/9)))*14.7/760,IF(M859="Crude Oil",EXP((2799/(M867+459.6)-2.227)*LOG10(INDEX(FX_Input,Z$5,M$3*$Z$5+$AA$5))-(7261/(M867+459.6))+12.82),IF(M859="Refined Petroleum Stock",EXP((0.7553-(413/(M867+459.6)))*(INDEX(FX_Input,Z$5,M$3*$Z$5+$AA$5-1)^0.5)*LOG10(INDEX(FX_Input,Z$5,M$3*$Z$5+$AA$5))-(1.854-(1042/(M867+459.6)))*(INDEX(FX_Input,Z$5,M$3*$Z$5+$AA$5-1)^0.5)+((2416/(M867+459.6)-2.013)*LOG10(INDEX(FX_Input,Z$5,M$3*$Z$5+$AA$5)))-(8742/(M867+459.6))+15.64),EXP(INDEX(Antoines,MATCH(M858,Antoine_Name,0),2)-INDEX(Antoines,MATCH(M858,Antoine_Name,0),3)/(M867+459.6))))),0)</f>
        <v>1</v>
      </c>
      <c r="N874" cm="1">
        <f t="array" ref="N874">IFERROR(IF(N859="Chemical",(10^(INDEX(Antoines,MATCH(N858,Antoine_Name,0),2)-INDEX(Antoines,MATCH(N858,Antoine_Name,0),3)/(INDEX(Antoines,MATCH(N858,Antoine_Name,0),4)+(N867-32)*5/9)))*14.7/760,IF(N859="Crude Oil",EXP((2799/(N867+459.6)-2.227)*LOG10(INDEX(FX_Input,AA$5,N$3*$Z$5+$AA$5))-(7261/(N867+459.6))+12.82),IF(N859="Refined Petroleum Stock",EXP((0.7553-(413/(N867+459.6)))*(INDEX(FX_Input,AA$5,N$3*$Z$5+$AA$5-1)^0.5)*LOG10(INDEX(FX_Input,AA$5,N$3*$Z$5+$AA$5))-(1.854-(1042/(N867+459.6)))*(INDEX(FX_Input,AA$5,N$3*$Z$5+$AA$5-1)^0.5)+((2416/(N867+459.6)-2.013)*LOG10(INDEX(FX_Input,AA$5,N$3*$Z$5+$AA$5)))-(8742/(N867+459.6))+15.64),EXP(INDEX(Antoines,MATCH(N858,Antoine_Name,0),2)-INDEX(Antoines,MATCH(N858,Antoine_Name,0),3)/(N867+459.6))))),0)</f>
        <v>1</v>
      </c>
      <c r="O874" cm="1">
        <f t="array" ref="O874">IFERROR(IF(O859="Chemical",(10^(INDEX(Antoines,MATCH(O858,Antoine_Name,0),2)-INDEX(Antoines,MATCH(O858,Antoine_Name,0),3)/(INDEX(Antoines,MATCH(O858,Antoine_Name,0),4)+(O867-32)*5/9)))*14.7/760,IF(O859="Crude Oil",EXP((2799/(O867+459.6)-2.227)*LOG10(INDEX(FX_Input,AB$5,O$3*$Z$5+$AA$5))-(7261/(O867+459.6))+12.82),IF(O859="Refined Petroleum Stock",EXP((0.7553-(413/(O867+459.6)))*(INDEX(FX_Input,AB$5,O$3*$Z$5+$AA$5-1)^0.5)*LOG10(INDEX(FX_Input,AB$5,O$3*$Z$5+$AA$5))-(1.854-(1042/(O867+459.6)))*(INDEX(FX_Input,AB$5,O$3*$Z$5+$AA$5-1)^0.5)+((2416/(O867+459.6)-2.013)*LOG10(INDEX(FX_Input,AB$5,O$3*$Z$5+$AA$5)))-(8742/(O867+459.6))+15.64),EXP(INDEX(Antoines,MATCH(O858,Antoine_Name,0),2)-INDEX(Antoines,MATCH(O858,Antoine_Name,0),3)/(O867+459.6))))),0)</f>
        <v>1</v>
      </c>
    </row>
    <row r="875" spans="2:32" ht="17.149999999999999" x14ac:dyDescent="0.55000000000000004">
      <c r="B875" t="str">
        <f t="shared" si="3092"/>
        <v>Portland</v>
      </c>
      <c r="C875" t="s">
        <v>580</v>
      </c>
      <c r="D875">
        <f>D874*D862</f>
        <v>1</v>
      </c>
      <c r="E875">
        <f t="shared" ref="E875" si="3126">E874*E862</f>
        <v>1</v>
      </c>
      <c r="F875">
        <f t="shared" ref="F875" si="3127">F874*F862</f>
        <v>1</v>
      </c>
      <c r="G875">
        <f t="shared" ref="G875" si="3128">G874*G862</f>
        <v>1</v>
      </c>
      <c r="H875">
        <f t="shared" ref="H875" si="3129">H874*H862</f>
        <v>1</v>
      </c>
      <c r="I875">
        <f t="shared" ref="I875" si="3130">I874*I862</f>
        <v>1</v>
      </c>
      <c r="J875">
        <f t="shared" ref="J875" si="3131">J874*J862</f>
        <v>1</v>
      </c>
      <c r="K875">
        <f t="shared" ref="K875" si="3132">K874*K862</f>
        <v>1</v>
      </c>
      <c r="L875">
        <f t="shared" ref="L875" si="3133">L874*L862</f>
        <v>1</v>
      </c>
      <c r="M875">
        <f t="shared" ref="M875" si="3134">M874*M862</f>
        <v>1</v>
      </c>
      <c r="N875">
        <f t="shared" ref="N875" si="3135">N874*N862</f>
        <v>1</v>
      </c>
      <c r="O875">
        <f t="shared" ref="O875" si="3136">O874*O862</f>
        <v>1</v>
      </c>
    </row>
    <row r="876" spans="2:32" ht="17.149999999999999" x14ac:dyDescent="0.55000000000000004">
      <c r="B876" t="str">
        <f t="shared" si="3092"/>
        <v>Portland</v>
      </c>
      <c r="C876" t="s">
        <v>581</v>
      </c>
      <c r="D876" cm="1">
        <f t="array" ref="D876">IFERROR(IF(D861="Chemical",(10^(INDEX(Antoines,MATCH(D860,Antoine_Name,0),2)-INDEX(Antoines,MATCH(D860,Antoine_Name,0),3)/(INDEX(Antoines,MATCH(D860,Antoine_Name,0),4)+(D867-32)*5/9)))*14.7/760,IF(D861="Crude Oil",EXP((2799/(D867+459.6)-2.227)*LOG10(INDEX(FX_Input,Q$5,D$3*$Z$5+$AA$5))-(7261/(D867+459.6))+12.82),IF(D861="Refined Petroleum Stock",EXP((0.7553-(413/(D867+459.6)))*(INDEX(FX_Input,Q$5,D$3*$Z$5+$AA$5-1)^0.5)*LOG10(INDEX(FX_Input,Q$5,D$3*$Z$5+$AA$5))-(1.854-(1042/(D867+459.6)))*(INDEX(FX_Input,Q$5,D$3*$Z$5+$AA$5-1)^0.5)+((2416/(D867+459.6)-2.013)*LOG10(INDEX(FX_Input,Q$5,D$3*$Z$5+$AA$5)))-(8742/(D867+459.6))+15.64),EXP(INDEX(Antoines,MATCH(D860,Antoine_Name,0),2)-INDEX(Antoines,MATCH(D860,Antoine_Name,0),3)/(D867+459.6))))),0)</f>
        <v>0</v>
      </c>
      <c r="E876" cm="1">
        <f t="array" ref="E876">IFERROR(IF(E861="Chemical",(10^(INDEX(Antoines,MATCH(E860,Antoine_Name,0),2)-INDEX(Antoines,MATCH(E860,Antoine_Name,0),3)/(INDEX(Antoines,MATCH(E860,Antoine_Name,0),4)+(E867-32)*5/9)))*14.7/760,IF(E861="Crude Oil",EXP((2799/(E867+459.6)-2.227)*LOG10(INDEX(FX_Input,R$5,E$3*$Z$5+$AA$5))-(7261/(E867+459.6))+12.82),IF(E861="Refined Petroleum Stock",EXP((0.7553-(413/(E867+459.6)))*(INDEX(FX_Input,R$5,E$3*$Z$5+$AA$5-1)^0.5)*LOG10(INDEX(FX_Input,R$5,E$3*$Z$5+$AA$5))-(1.854-(1042/(E867+459.6)))*(INDEX(FX_Input,R$5,E$3*$Z$5+$AA$5-1)^0.5)+((2416/(E867+459.6)-2.013)*LOG10(INDEX(FX_Input,R$5,E$3*$Z$5+$AA$5)))-(8742/(E867+459.6))+15.64),EXP(INDEX(Antoines,MATCH(E860,Antoine_Name,0),2)-INDEX(Antoines,MATCH(E860,Antoine_Name,0),3)/(E867+459.6))))),0)</f>
        <v>0</v>
      </c>
      <c r="F876" cm="1">
        <f t="array" ref="F876">IFERROR(IF(F861="Chemical",(10^(INDEX(Antoines,MATCH(F860,Antoine_Name,0),2)-INDEX(Antoines,MATCH(F860,Antoine_Name,0),3)/(INDEX(Antoines,MATCH(F860,Antoine_Name,0),4)+(F867-32)*5/9)))*14.7/760,IF(F861="Crude Oil",EXP((2799/(F867+459.6)-2.227)*LOG10(INDEX(FX_Input,S$5,F$3*$Z$5+$AA$5))-(7261/(F867+459.6))+12.82),IF(F861="Refined Petroleum Stock",EXP((0.7553-(413/(F867+459.6)))*(INDEX(FX_Input,S$5,F$3*$Z$5+$AA$5-1)^0.5)*LOG10(INDEX(FX_Input,S$5,F$3*$Z$5+$AA$5))-(1.854-(1042/(F867+459.6)))*(INDEX(FX_Input,S$5,F$3*$Z$5+$AA$5-1)^0.5)+((2416/(F867+459.6)-2.013)*LOG10(INDEX(FX_Input,S$5,F$3*$Z$5+$AA$5)))-(8742/(F867+459.6))+15.64),EXP(INDEX(Antoines,MATCH(F860,Antoine_Name,0),2)-INDEX(Antoines,MATCH(F860,Antoine_Name,0),3)/(F867+459.6))))),0)</f>
        <v>0</v>
      </c>
      <c r="G876" cm="1">
        <f t="array" ref="G876">IFERROR(IF(G861="Chemical",(10^(INDEX(Antoines,MATCH(G860,Antoine_Name,0),2)-INDEX(Antoines,MATCH(G860,Antoine_Name,0),3)/(INDEX(Antoines,MATCH(G860,Antoine_Name,0),4)+(G867-32)*5/9)))*14.7/760,IF(G861="Crude Oil",EXP((2799/(G867+459.6)-2.227)*LOG10(INDEX(FX_Input,T$5,G$3*$Z$5+$AA$5))-(7261/(G867+459.6))+12.82),IF(G861="Refined Petroleum Stock",EXP((0.7553-(413/(G867+459.6)))*(INDEX(FX_Input,T$5,G$3*$Z$5+$AA$5-1)^0.5)*LOG10(INDEX(FX_Input,T$5,G$3*$Z$5+$AA$5))-(1.854-(1042/(G867+459.6)))*(INDEX(FX_Input,T$5,G$3*$Z$5+$AA$5-1)^0.5)+((2416/(G867+459.6)-2.013)*LOG10(INDEX(FX_Input,T$5,G$3*$Z$5+$AA$5)))-(8742/(G867+459.6))+15.64),EXP(INDEX(Antoines,MATCH(G860,Antoine_Name,0),2)-INDEX(Antoines,MATCH(G860,Antoine_Name,0),3)/(G867+459.6))))),0)</f>
        <v>0</v>
      </c>
      <c r="H876" cm="1">
        <f t="array" ref="H876">IFERROR(IF(H861="Chemical",(10^(INDEX(Antoines,MATCH(H860,Antoine_Name,0),2)-INDEX(Antoines,MATCH(H860,Antoine_Name,0),3)/(INDEX(Antoines,MATCH(H860,Antoine_Name,0),4)+(H867-32)*5/9)))*14.7/760,IF(H861="Crude Oil",EXP((2799/(H867+459.6)-2.227)*LOG10(INDEX(FX_Input,U$5,H$3*$Z$5+$AA$5))-(7261/(H867+459.6))+12.82),IF(H861="Refined Petroleum Stock",EXP((0.7553-(413/(H867+459.6)))*(INDEX(FX_Input,U$5,H$3*$Z$5+$AA$5-1)^0.5)*LOG10(INDEX(FX_Input,U$5,H$3*$Z$5+$AA$5))-(1.854-(1042/(H867+459.6)))*(INDEX(FX_Input,U$5,H$3*$Z$5+$AA$5-1)^0.5)+((2416/(H867+459.6)-2.013)*LOG10(INDEX(FX_Input,U$5,H$3*$Z$5+$AA$5)))-(8742/(H867+459.6))+15.64),EXP(INDEX(Antoines,MATCH(H860,Antoine_Name,0),2)-INDEX(Antoines,MATCH(H860,Antoine_Name,0),3)/(H867+459.6))))),0)</f>
        <v>0</v>
      </c>
      <c r="I876" cm="1">
        <f t="array" ref="I876">IFERROR(IF(I861="Chemical",(10^(INDEX(Antoines,MATCH(I860,Antoine_Name,0),2)-INDEX(Antoines,MATCH(I860,Antoine_Name,0),3)/(INDEX(Antoines,MATCH(I860,Antoine_Name,0),4)+(I867-32)*5/9)))*14.7/760,IF(I861="Crude Oil",EXP((2799/(I867+459.6)-2.227)*LOG10(INDEX(FX_Input,V$5,I$3*$Z$5+$AA$5))-(7261/(I867+459.6))+12.82),IF(I861="Refined Petroleum Stock",EXP((0.7553-(413/(I867+459.6)))*(INDEX(FX_Input,V$5,I$3*$Z$5+$AA$5-1)^0.5)*LOG10(INDEX(FX_Input,V$5,I$3*$Z$5+$AA$5))-(1.854-(1042/(I867+459.6)))*(INDEX(FX_Input,V$5,I$3*$Z$5+$AA$5-1)^0.5)+((2416/(I867+459.6)-2.013)*LOG10(INDEX(FX_Input,V$5,I$3*$Z$5+$AA$5)))-(8742/(I867+459.6))+15.64),EXP(INDEX(Antoines,MATCH(I860,Antoine_Name,0),2)-INDEX(Antoines,MATCH(I860,Antoine_Name,0),3)/(I867+459.6))))),0)</f>
        <v>0</v>
      </c>
      <c r="J876" cm="1">
        <f t="array" ref="J876">IFERROR(IF(J861="Chemical",(10^(INDEX(Antoines,MATCH(J860,Antoine_Name,0),2)-INDEX(Antoines,MATCH(J860,Antoine_Name,0),3)/(INDEX(Antoines,MATCH(J860,Antoine_Name,0),4)+(J867-32)*5/9)))*14.7/760,IF(J861="Crude Oil",EXP((2799/(J867+459.6)-2.227)*LOG10(INDEX(FX_Input,W$5,J$3*$Z$5+$AA$5))-(7261/(J867+459.6))+12.82),IF(J861="Refined Petroleum Stock",EXP((0.7553-(413/(J867+459.6)))*(INDEX(FX_Input,W$5,J$3*$Z$5+$AA$5-1)^0.5)*LOG10(INDEX(FX_Input,W$5,J$3*$Z$5+$AA$5))-(1.854-(1042/(J867+459.6)))*(INDEX(FX_Input,W$5,J$3*$Z$5+$AA$5-1)^0.5)+((2416/(J867+459.6)-2.013)*LOG10(INDEX(FX_Input,W$5,J$3*$Z$5+$AA$5)))-(8742/(J867+459.6))+15.64),EXP(INDEX(Antoines,MATCH(J860,Antoine_Name,0),2)-INDEX(Antoines,MATCH(J860,Antoine_Name,0),3)/(J867+459.6))))),0)</f>
        <v>0</v>
      </c>
      <c r="K876" cm="1">
        <f t="array" ref="K876">IFERROR(IF(K861="Chemical",(10^(INDEX(Antoines,MATCH(K860,Antoine_Name,0),2)-INDEX(Antoines,MATCH(K860,Antoine_Name,0),3)/(INDEX(Antoines,MATCH(K860,Antoine_Name,0),4)+(K867-32)*5/9)))*14.7/760,IF(K861="Crude Oil",EXP((2799/(K867+459.6)-2.227)*LOG10(INDEX(FX_Input,X$5,K$3*$Z$5+$AA$5))-(7261/(K867+459.6))+12.82),IF(K861="Refined Petroleum Stock",EXP((0.7553-(413/(K867+459.6)))*(INDEX(FX_Input,X$5,K$3*$Z$5+$AA$5-1)^0.5)*LOG10(INDEX(FX_Input,X$5,K$3*$Z$5+$AA$5))-(1.854-(1042/(K867+459.6)))*(INDEX(FX_Input,X$5,K$3*$Z$5+$AA$5-1)^0.5)+((2416/(K867+459.6)-2.013)*LOG10(INDEX(FX_Input,X$5,K$3*$Z$5+$AA$5)))-(8742/(K867+459.6))+15.64),EXP(INDEX(Antoines,MATCH(K860,Antoine_Name,0),2)-INDEX(Antoines,MATCH(K860,Antoine_Name,0),3)/(K867+459.6))))),0)</f>
        <v>0</v>
      </c>
      <c r="L876" cm="1">
        <f t="array" ref="L876">IFERROR(IF(L861="Chemical",(10^(INDEX(Antoines,MATCH(L860,Antoine_Name,0),2)-INDEX(Antoines,MATCH(L860,Antoine_Name,0),3)/(INDEX(Antoines,MATCH(L860,Antoine_Name,0),4)+(L867-32)*5/9)))*14.7/760,IF(L861="Crude Oil",EXP((2799/(L867+459.6)-2.227)*LOG10(INDEX(FX_Input,Y$5,L$3*$Z$5+$AA$5))-(7261/(L867+459.6))+12.82),IF(L861="Refined Petroleum Stock",EXP((0.7553-(413/(L867+459.6)))*(INDEX(FX_Input,Y$5,L$3*$Z$5+$AA$5-1)^0.5)*LOG10(INDEX(FX_Input,Y$5,L$3*$Z$5+$AA$5))-(1.854-(1042/(L867+459.6)))*(INDEX(FX_Input,Y$5,L$3*$Z$5+$AA$5-1)^0.5)+((2416/(L867+459.6)-2.013)*LOG10(INDEX(FX_Input,Y$5,L$3*$Z$5+$AA$5)))-(8742/(L867+459.6))+15.64),EXP(INDEX(Antoines,MATCH(L860,Antoine_Name,0),2)-INDEX(Antoines,MATCH(L860,Antoine_Name,0),3)/(L867+459.6))))),0)</f>
        <v>0</v>
      </c>
      <c r="M876" cm="1">
        <f t="array" ref="M876">IFERROR(IF(M861="Chemical",(10^(INDEX(Antoines,MATCH(M860,Antoine_Name,0),2)-INDEX(Antoines,MATCH(M860,Antoine_Name,0),3)/(INDEX(Antoines,MATCH(M860,Antoine_Name,0),4)+(M867-32)*5/9)))*14.7/760,IF(M861="Crude Oil",EXP((2799/(M867+459.6)-2.227)*LOG10(INDEX(FX_Input,Z$5,M$3*$Z$5+$AA$5))-(7261/(M867+459.6))+12.82),IF(M861="Refined Petroleum Stock",EXP((0.7553-(413/(M867+459.6)))*(INDEX(FX_Input,Z$5,M$3*$Z$5+$AA$5-1)^0.5)*LOG10(INDEX(FX_Input,Z$5,M$3*$Z$5+$AA$5))-(1.854-(1042/(M867+459.6)))*(INDEX(FX_Input,Z$5,M$3*$Z$5+$AA$5-1)^0.5)+((2416/(M867+459.6)-2.013)*LOG10(INDEX(FX_Input,Z$5,M$3*$Z$5+$AA$5)))-(8742/(M867+459.6))+15.64),EXP(INDEX(Antoines,MATCH(M860,Antoine_Name,0),2)-INDEX(Antoines,MATCH(M860,Antoine_Name,0),3)/(M867+459.6))))),0)</f>
        <v>0</v>
      </c>
      <c r="N876" cm="1">
        <f t="array" ref="N876">IFERROR(IF(N861="Chemical",(10^(INDEX(Antoines,MATCH(N860,Antoine_Name,0),2)-INDEX(Antoines,MATCH(N860,Antoine_Name,0),3)/(INDEX(Antoines,MATCH(N860,Antoine_Name,0),4)+(N867-32)*5/9)))*14.7/760,IF(N861="Crude Oil",EXP((2799/(N867+459.6)-2.227)*LOG10(INDEX(FX_Input,AA$5,N$3*$Z$5+$AA$5))-(7261/(N867+459.6))+12.82),IF(N861="Refined Petroleum Stock",EXP((0.7553-(413/(N867+459.6)))*(INDEX(FX_Input,AA$5,N$3*$Z$5+$AA$5-1)^0.5)*LOG10(INDEX(FX_Input,AA$5,N$3*$Z$5+$AA$5))-(1.854-(1042/(N867+459.6)))*(INDEX(FX_Input,AA$5,N$3*$Z$5+$AA$5-1)^0.5)+((2416/(N867+459.6)-2.013)*LOG10(INDEX(FX_Input,AA$5,N$3*$Z$5+$AA$5)))-(8742/(N867+459.6))+15.64),EXP(INDEX(Antoines,MATCH(N860,Antoine_Name,0),2)-INDEX(Antoines,MATCH(N860,Antoine_Name,0),3)/(N867+459.6))))),0)</f>
        <v>0</v>
      </c>
      <c r="O876" cm="1">
        <f t="array" ref="O876">IFERROR(IF(O861="Chemical",(10^(INDEX(Antoines,MATCH(O860,Antoine_Name,0),2)-INDEX(Antoines,MATCH(O860,Antoine_Name,0),3)/(INDEX(Antoines,MATCH(O860,Antoine_Name,0),4)+(O867-32)*5/9)))*14.7/760,IF(O861="Crude Oil",EXP((2799/(O867+459.6)-2.227)*LOG10(INDEX(FX_Input,AB$5,O$3*$Z$5+$AA$5))-(7261/(O867+459.6))+12.82),IF(O861="Refined Petroleum Stock",EXP((0.7553-(413/(O867+459.6)))*(INDEX(FX_Input,AB$5,O$3*$Z$5+$AA$5-1)^0.5)*LOG10(INDEX(FX_Input,AB$5,O$3*$Z$5+$AA$5))-(1.854-(1042/(O867+459.6)))*(INDEX(FX_Input,AB$5,O$3*$Z$5+$AA$5-1)^0.5)+((2416/(O867+459.6)-2.013)*LOG10(INDEX(FX_Input,AB$5,O$3*$Z$5+$AA$5)))-(8742/(O867+459.6))+15.64),EXP(INDEX(Antoines,MATCH(O860,Antoine_Name,0),2)-INDEX(Antoines,MATCH(O860,Antoine_Name,0),3)/(O867+459.6))))),0)</f>
        <v>0</v>
      </c>
    </row>
    <row r="877" spans="2:32" ht="17.149999999999999" x14ac:dyDescent="0.55000000000000004">
      <c r="B877" t="str">
        <f t="shared" si="3092"/>
        <v>Portland</v>
      </c>
      <c r="C877" t="s">
        <v>582</v>
      </c>
      <c r="D877">
        <f>D876*D864</f>
        <v>0</v>
      </c>
      <c r="E877">
        <f t="shared" ref="E877" si="3137">E876*E864</f>
        <v>0</v>
      </c>
      <c r="F877">
        <f t="shared" ref="F877" si="3138">F876*F864</f>
        <v>0</v>
      </c>
      <c r="G877">
        <f t="shared" ref="G877" si="3139">G876*G864</f>
        <v>0</v>
      </c>
      <c r="H877">
        <f t="shared" ref="H877" si="3140">H876*H864</f>
        <v>0</v>
      </c>
      <c r="I877">
        <f t="shared" ref="I877" si="3141">I876*I864</f>
        <v>0</v>
      </c>
      <c r="J877">
        <f t="shared" ref="J877" si="3142">J876*J864</f>
        <v>0</v>
      </c>
      <c r="K877">
        <f t="shared" ref="K877" si="3143">K876*K864</f>
        <v>0</v>
      </c>
      <c r="L877">
        <f t="shared" ref="L877" si="3144">L876*L864</f>
        <v>0</v>
      </c>
      <c r="M877">
        <f t="shared" ref="M877" si="3145">M876*M864</f>
        <v>0</v>
      </c>
      <c r="N877">
        <f t="shared" ref="N877" si="3146">N876*N864</f>
        <v>0</v>
      </c>
      <c r="O877">
        <f t="shared" ref="O877" si="3147">O876*O864</f>
        <v>0</v>
      </c>
    </row>
    <row r="878" spans="2:32" ht="17.149999999999999" x14ac:dyDescent="0.55000000000000004">
      <c r="B878" t="str">
        <f t="shared" si="3092"/>
        <v>Portland</v>
      </c>
      <c r="C878" t="s">
        <v>583</v>
      </c>
      <c r="D878">
        <f>D875+D877</f>
        <v>1</v>
      </c>
      <c r="E878">
        <f t="shared" ref="E878" si="3148">E875+E877</f>
        <v>1</v>
      </c>
      <c r="F878">
        <f t="shared" ref="F878" si="3149">F875+F877</f>
        <v>1</v>
      </c>
      <c r="G878">
        <f t="shared" ref="G878" si="3150">G875+G877</f>
        <v>1</v>
      </c>
      <c r="H878">
        <f t="shared" ref="H878" si="3151">H875+H877</f>
        <v>1</v>
      </c>
      <c r="I878">
        <f t="shared" ref="I878" si="3152">I875+I877</f>
        <v>1</v>
      </c>
      <c r="J878">
        <f t="shared" ref="J878" si="3153">J875+J877</f>
        <v>1</v>
      </c>
      <c r="K878">
        <f t="shared" ref="K878" si="3154">K875+K877</f>
        <v>1</v>
      </c>
      <c r="L878">
        <f t="shared" ref="L878" si="3155">L875+L877</f>
        <v>1</v>
      </c>
      <c r="M878">
        <f t="shared" ref="M878" si="3156">M875+M877</f>
        <v>1</v>
      </c>
      <c r="N878">
        <f t="shared" ref="N878" si="3157">N875+N877</f>
        <v>1</v>
      </c>
      <c r="O878">
        <f t="shared" ref="O878" si="3158">O875+O877</f>
        <v>1</v>
      </c>
    </row>
    <row r="879" spans="2:32" ht="17.149999999999999" x14ac:dyDescent="0.55000000000000004">
      <c r="B879" t="str">
        <f t="shared" si="3092"/>
        <v>Portland</v>
      </c>
      <c r="C879" t="s">
        <v>1388</v>
      </c>
      <c r="D879" cm="1">
        <f t="array" ref="D879">IFERROR(IF(D859="Chemical",(10^(INDEX(Antoines,MATCH(D858,Antoine_Name,0),2)-INDEX(Antoines,MATCH(D858,Antoine_Name,0),3)/(INDEX(Antoines,MATCH(D858,Antoine_Name,0),4)+(D868-32)*5/9)))*14.7/760,IF(D859="Crude Oil",EXP((2799/(D868+459.6)-2.227)*LOG10(INDEX(FX_Input,Q$5,D$3*$Z$5+$AA$5))-(7261/(D868+459.6))+12.82),IF(D859="Refined Petroleum Stock",EXP((0.7553-(413/(D868+459.6)))*(INDEX(FX_Input,Q$5,D$3*$Z$5+$AA$5-1)^0.5)*LOG10(INDEX(FX_Input,Q$5,D$3*$Z$5+$AA$5))-(1.854-(1042/(D868+459.6)))*(INDEX(FX_Input,Q$5,D$3*$Z$5+$AA$5-1)^0.5)+((2416/(D868+459.6)-2.013)*LOG10(INDEX(FX_Input,Q$5,D$3*$Z$5+$AA$5)))-(8742/(D868+459.6))+15.64),EXP(INDEX(Antoines,MATCH(D858,Antoine_Name,0),2)-INDEX(Antoines,MATCH(D858,Antoine_Name,0),3)/(D868+459.6))))),0)</f>
        <v>1</v>
      </c>
      <c r="E879" cm="1">
        <f t="array" ref="E879">IFERROR(IF(E859="Chemical",(10^(INDEX(Antoines,MATCH(E858,Antoine_Name,0),2)-INDEX(Antoines,MATCH(E858,Antoine_Name,0),3)/(INDEX(Antoines,MATCH(E858,Antoine_Name,0),4)+(E868-32)*5/9)))*14.7/760,IF(E859="Crude Oil",EXP((2799/(E868+459.6)-2.227)*LOG10(INDEX(FX_Input,R$5,E$3*$Z$5+$AA$5))-(7261/(E868+459.6))+12.82),IF(E859="Refined Petroleum Stock",EXP((0.7553-(413/(E868+459.6)))*(INDEX(FX_Input,R$5,E$3*$Z$5+$AA$5-1)^0.5)*LOG10(INDEX(FX_Input,R$5,E$3*$Z$5+$AA$5))-(1.854-(1042/(E868+459.6)))*(INDEX(FX_Input,R$5,E$3*$Z$5+$AA$5-1)^0.5)+((2416/(E868+459.6)-2.013)*LOG10(INDEX(FX_Input,R$5,E$3*$Z$5+$AA$5)))-(8742/(E868+459.6))+15.64),EXP(INDEX(Antoines,MATCH(E858,Antoine_Name,0),2)-INDEX(Antoines,MATCH(E858,Antoine_Name,0),3)/(E868+459.6))))),0)</f>
        <v>1</v>
      </c>
      <c r="F879" cm="1">
        <f t="array" ref="F879">IFERROR(IF(F859="Chemical",(10^(INDEX(Antoines,MATCH(F858,Antoine_Name,0),2)-INDEX(Antoines,MATCH(F858,Antoine_Name,0),3)/(INDEX(Antoines,MATCH(F858,Antoine_Name,0),4)+(F868-32)*5/9)))*14.7/760,IF(F859="Crude Oil",EXP((2799/(F868+459.6)-2.227)*LOG10(INDEX(FX_Input,S$5,F$3*$Z$5+$AA$5))-(7261/(F868+459.6))+12.82),IF(F859="Refined Petroleum Stock",EXP((0.7553-(413/(F868+459.6)))*(INDEX(FX_Input,S$5,F$3*$Z$5+$AA$5-1)^0.5)*LOG10(INDEX(FX_Input,S$5,F$3*$Z$5+$AA$5))-(1.854-(1042/(F868+459.6)))*(INDEX(FX_Input,S$5,F$3*$Z$5+$AA$5-1)^0.5)+((2416/(F868+459.6)-2.013)*LOG10(INDEX(FX_Input,S$5,F$3*$Z$5+$AA$5)))-(8742/(F868+459.6))+15.64),EXP(INDEX(Antoines,MATCH(F858,Antoine_Name,0),2)-INDEX(Antoines,MATCH(F858,Antoine_Name,0),3)/(F868+459.6))))),0)</f>
        <v>1</v>
      </c>
      <c r="G879" cm="1">
        <f t="array" ref="G879">IFERROR(IF(G859="Chemical",(10^(INDEX(Antoines,MATCH(G858,Antoine_Name,0),2)-INDEX(Antoines,MATCH(G858,Antoine_Name,0),3)/(INDEX(Antoines,MATCH(G858,Antoine_Name,0),4)+(G868-32)*5/9)))*14.7/760,IF(G859="Crude Oil",EXP((2799/(G868+459.6)-2.227)*LOG10(INDEX(FX_Input,T$5,G$3*$Z$5+$AA$5))-(7261/(G868+459.6))+12.82),IF(G859="Refined Petroleum Stock",EXP((0.7553-(413/(G868+459.6)))*(INDEX(FX_Input,T$5,G$3*$Z$5+$AA$5-1)^0.5)*LOG10(INDEX(FX_Input,T$5,G$3*$Z$5+$AA$5))-(1.854-(1042/(G868+459.6)))*(INDEX(FX_Input,T$5,G$3*$Z$5+$AA$5-1)^0.5)+((2416/(G868+459.6)-2.013)*LOG10(INDEX(FX_Input,T$5,G$3*$Z$5+$AA$5)))-(8742/(G868+459.6))+15.64),EXP(INDEX(Antoines,MATCH(G858,Antoine_Name,0),2)-INDEX(Antoines,MATCH(G858,Antoine_Name,0),3)/(G868+459.6))))),0)</f>
        <v>1</v>
      </c>
      <c r="H879" cm="1">
        <f t="array" ref="H879">IFERROR(IF(H859="Chemical",(10^(INDEX(Antoines,MATCH(H858,Antoine_Name,0),2)-INDEX(Antoines,MATCH(H858,Antoine_Name,0),3)/(INDEX(Antoines,MATCH(H858,Antoine_Name,0),4)+(H868-32)*5/9)))*14.7/760,IF(H859="Crude Oil",EXP((2799/(H868+459.6)-2.227)*LOG10(INDEX(FX_Input,U$5,H$3*$Z$5+$AA$5))-(7261/(H868+459.6))+12.82),IF(H859="Refined Petroleum Stock",EXP((0.7553-(413/(H868+459.6)))*(INDEX(FX_Input,U$5,H$3*$Z$5+$AA$5-1)^0.5)*LOG10(INDEX(FX_Input,U$5,H$3*$Z$5+$AA$5))-(1.854-(1042/(H868+459.6)))*(INDEX(FX_Input,U$5,H$3*$Z$5+$AA$5-1)^0.5)+((2416/(H868+459.6)-2.013)*LOG10(INDEX(FX_Input,U$5,H$3*$Z$5+$AA$5)))-(8742/(H868+459.6))+15.64),EXP(INDEX(Antoines,MATCH(H858,Antoine_Name,0),2)-INDEX(Antoines,MATCH(H858,Antoine_Name,0),3)/(H868+459.6))))),0)</f>
        <v>1</v>
      </c>
      <c r="I879" cm="1">
        <f t="array" ref="I879">IFERROR(IF(I859="Chemical",(10^(INDEX(Antoines,MATCH(I858,Antoine_Name,0),2)-INDEX(Antoines,MATCH(I858,Antoine_Name,0),3)/(INDEX(Antoines,MATCH(I858,Antoine_Name,0),4)+(I868-32)*5/9)))*14.7/760,IF(I859="Crude Oil",EXP((2799/(I868+459.6)-2.227)*LOG10(INDEX(FX_Input,V$5,I$3*$Z$5+$AA$5))-(7261/(I868+459.6))+12.82),IF(I859="Refined Petroleum Stock",EXP((0.7553-(413/(I868+459.6)))*(INDEX(FX_Input,V$5,I$3*$Z$5+$AA$5-1)^0.5)*LOG10(INDEX(FX_Input,V$5,I$3*$Z$5+$AA$5))-(1.854-(1042/(I868+459.6)))*(INDEX(FX_Input,V$5,I$3*$Z$5+$AA$5-1)^0.5)+((2416/(I868+459.6)-2.013)*LOG10(INDEX(FX_Input,V$5,I$3*$Z$5+$AA$5)))-(8742/(I868+459.6))+15.64),EXP(INDEX(Antoines,MATCH(I858,Antoine_Name,0),2)-INDEX(Antoines,MATCH(I858,Antoine_Name,0),3)/(I868+459.6))))),0)</f>
        <v>1</v>
      </c>
      <c r="J879" cm="1">
        <f t="array" ref="J879">IFERROR(IF(J859="Chemical",(10^(INDEX(Antoines,MATCH(J858,Antoine_Name,0),2)-INDEX(Antoines,MATCH(J858,Antoine_Name,0),3)/(INDEX(Antoines,MATCH(J858,Antoine_Name,0),4)+(J868-32)*5/9)))*14.7/760,IF(J859="Crude Oil",EXP((2799/(J868+459.6)-2.227)*LOG10(INDEX(FX_Input,W$5,J$3*$Z$5+$AA$5))-(7261/(J868+459.6))+12.82),IF(J859="Refined Petroleum Stock",EXP((0.7553-(413/(J868+459.6)))*(INDEX(FX_Input,W$5,J$3*$Z$5+$AA$5-1)^0.5)*LOG10(INDEX(FX_Input,W$5,J$3*$Z$5+$AA$5))-(1.854-(1042/(J868+459.6)))*(INDEX(FX_Input,W$5,J$3*$Z$5+$AA$5-1)^0.5)+((2416/(J868+459.6)-2.013)*LOG10(INDEX(FX_Input,W$5,J$3*$Z$5+$AA$5)))-(8742/(J868+459.6))+15.64),EXP(INDEX(Antoines,MATCH(J858,Antoine_Name,0),2)-INDEX(Antoines,MATCH(J858,Antoine_Name,0),3)/(J868+459.6))))),0)</f>
        <v>1</v>
      </c>
      <c r="K879" cm="1">
        <f t="array" ref="K879">IFERROR(IF(K859="Chemical",(10^(INDEX(Antoines,MATCH(K858,Antoine_Name,0),2)-INDEX(Antoines,MATCH(K858,Antoine_Name,0),3)/(INDEX(Antoines,MATCH(K858,Antoine_Name,0),4)+(K868-32)*5/9)))*14.7/760,IF(K859="Crude Oil",EXP((2799/(K868+459.6)-2.227)*LOG10(INDEX(FX_Input,X$5,K$3*$Z$5+$AA$5))-(7261/(K868+459.6))+12.82),IF(K859="Refined Petroleum Stock",EXP((0.7553-(413/(K868+459.6)))*(INDEX(FX_Input,X$5,K$3*$Z$5+$AA$5-1)^0.5)*LOG10(INDEX(FX_Input,X$5,K$3*$Z$5+$AA$5))-(1.854-(1042/(K868+459.6)))*(INDEX(FX_Input,X$5,K$3*$Z$5+$AA$5-1)^0.5)+((2416/(K868+459.6)-2.013)*LOG10(INDEX(FX_Input,X$5,K$3*$Z$5+$AA$5)))-(8742/(K868+459.6))+15.64),EXP(INDEX(Antoines,MATCH(K858,Antoine_Name,0),2)-INDEX(Antoines,MATCH(K858,Antoine_Name,0),3)/(K868+459.6))))),0)</f>
        <v>1</v>
      </c>
      <c r="L879" cm="1">
        <f t="array" ref="L879">IFERROR(IF(L859="Chemical",(10^(INDEX(Antoines,MATCH(L858,Antoine_Name,0),2)-INDEX(Antoines,MATCH(L858,Antoine_Name,0),3)/(INDEX(Antoines,MATCH(L858,Antoine_Name,0),4)+(L868-32)*5/9)))*14.7/760,IF(L859="Crude Oil",EXP((2799/(L868+459.6)-2.227)*LOG10(INDEX(FX_Input,Y$5,L$3*$Z$5+$AA$5))-(7261/(L868+459.6))+12.82),IF(L859="Refined Petroleum Stock",EXP((0.7553-(413/(L868+459.6)))*(INDEX(FX_Input,Y$5,L$3*$Z$5+$AA$5-1)^0.5)*LOG10(INDEX(FX_Input,Y$5,L$3*$Z$5+$AA$5))-(1.854-(1042/(L868+459.6)))*(INDEX(FX_Input,Y$5,L$3*$Z$5+$AA$5-1)^0.5)+((2416/(L868+459.6)-2.013)*LOG10(INDEX(FX_Input,Y$5,L$3*$Z$5+$AA$5)))-(8742/(L868+459.6))+15.64),EXP(INDEX(Antoines,MATCH(L858,Antoine_Name,0),2)-INDEX(Antoines,MATCH(L858,Antoine_Name,0),3)/(L868+459.6))))),0)</f>
        <v>1</v>
      </c>
      <c r="M879" cm="1">
        <f t="array" ref="M879">IFERROR(IF(M859="Chemical",(10^(INDEX(Antoines,MATCH(M858,Antoine_Name,0),2)-INDEX(Antoines,MATCH(M858,Antoine_Name,0),3)/(INDEX(Antoines,MATCH(M858,Antoine_Name,0),4)+(M868-32)*5/9)))*14.7/760,IF(M859="Crude Oil",EXP((2799/(M868+459.6)-2.227)*LOG10(INDEX(FX_Input,Z$5,M$3*$Z$5+$AA$5))-(7261/(M868+459.6))+12.82),IF(M859="Refined Petroleum Stock",EXP((0.7553-(413/(M868+459.6)))*(INDEX(FX_Input,Z$5,M$3*$Z$5+$AA$5-1)^0.5)*LOG10(INDEX(FX_Input,Z$5,M$3*$Z$5+$AA$5))-(1.854-(1042/(M868+459.6)))*(INDEX(FX_Input,Z$5,M$3*$Z$5+$AA$5-1)^0.5)+((2416/(M868+459.6)-2.013)*LOG10(INDEX(FX_Input,Z$5,M$3*$Z$5+$AA$5)))-(8742/(M868+459.6))+15.64),EXP(INDEX(Antoines,MATCH(M858,Antoine_Name,0),2)-INDEX(Antoines,MATCH(M858,Antoine_Name,0),3)/(M868+459.6))))),0)</f>
        <v>1</v>
      </c>
      <c r="N879" cm="1">
        <f t="array" ref="N879">IFERROR(IF(N859="Chemical",(10^(INDEX(Antoines,MATCH(N858,Antoine_Name,0),2)-INDEX(Antoines,MATCH(N858,Antoine_Name,0),3)/(INDEX(Antoines,MATCH(N858,Antoine_Name,0),4)+(N868-32)*5/9)))*14.7/760,IF(N859="Crude Oil",EXP((2799/(N868+459.6)-2.227)*LOG10(INDEX(FX_Input,AA$5,N$3*$Z$5+$AA$5))-(7261/(N868+459.6))+12.82),IF(N859="Refined Petroleum Stock",EXP((0.7553-(413/(N868+459.6)))*(INDEX(FX_Input,AA$5,N$3*$Z$5+$AA$5-1)^0.5)*LOG10(INDEX(FX_Input,AA$5,N$3*$Z$5+$AA$5))-(1.854-(1042/(N868+459.6)))*(INDEX(FX_Input,AA$5,N$3*$Z$5+$AA$5-1)^0.5)+((2416/(N868+459.6)-2.013)*LOG10(INDEX(FX_Input,AA$5,N$3*$Z$5+$AA$5)))-(8742/(N868+459.6))+15.64),EXP(INDEX(Antoines,MATCH(N858,Antoine_Name,0),2)-INDEX(Antoines,MATCH(N858,Antoine_Name,0),3)/(N868+459.6))))),0)</f>
        <v>1</v>
      </c>
      <c r="O879" cm="1">
        <f t="array" ref="O879">IFERROR(IF(O859="Chemical",(10^(INDEX(Antoines,MATCH(O858,Antoine_Name,0),2)-INDEX(Antoines,MATCH(O858,Antoine_Name,0),3)/(INDEX(Antoines,MATCH(O858,Antoine_Name,0),4)+(O868-32)*5/9)))*14.7/760,IF(O859="Crude Oil",EXP((2799/(O868+459.6)-2.227)*LOG10(INDEX(FX_Input,AB$5,O$3*$Z$5+$AA$5))-(7261/(O868+459.6))+12.82),IF(O859="Refined Petroleum Stock",EXP((0.7553-(413/(O868+459.6)))*(INDEX(FX_Input,AB$5,O$3*$Z$5+$AA$5-1)^0.5)*LOG10(INDEX(FX_Input,AB$5,O$3*$Z$5+$AA$5))-(1.854-(1042/(O868+459.6)))*(INDEX(FX_Input,AB$5,O$3*$Z$5+$AA$5-1)^0.5)+((2416/(O868+459.6)-2.013)*LOG10(INDEX(FX_Input,AB$5,O$3*$Z$5+$AA$5)))-(8742/(O868+459.6))+15.64),EXP(INDEX(Antoines,MATCH(O858,Antoine_Name,0),2)-INDEX(Antoines,MATCH(O858,Antoine_Name,0),3)/(O868+459.6))))),0)</f>
        <v>1</v>
      </c>
    </row>
    <row r="880" spans="2:32" ht="17.149999999999999" x14ac:dyDescent="0.55000000000000004">
      <c r="B880" t="str">
        <f t="shared" si="3092"/>
        <v>Portland</v>
      </c>
      <c r="C880" t="s">
        <v>1389</v>
      </c>
      <c r="D880">
        <f>D879*D862</f>
        <v>1</v>
      </c>
      <c r="E880">
        <f t="shared" ref="E880" si="3159">E879*E862</f>
        <v>1</v>
      </c>
      <c r="F880">
        <f t="shared" ref="F880" si="3160">F879*F862</f>
        <v>1</v>
      </c>
      <c r="G880">
        <f t="shared" ref="G880" si="3161">G879*G862</f>
        <v>1</v>
      </c>
      <c r="H880">
        <f t="shared" ref="H880" si="3162">H879*H862</f>
        <v>1</v>
      </c>
      <c r="I880">
        <f t="shared" ref="I880" si="3163">I879*I862</f>
        <v>1</v>
      </c>
      <c r="J880">
        <f t="shared" ref="J880" si="3164">J879*J862</f>
        <v>1</v>
      </c>
      <c r="K880">
        <f t="shared" ref="K880" si="3165">K879*K862</f>
        <v>1</v>
      </c>
      <c r="L880">
        <f t="shared" ref="L880" si="3166">L879*L862</f>
        <v>1</v>
      </c>
      <c r="M880">
        <f t="shared" ref="M880" si="3167">M879*M862</f>
        <v>1</v>
      </c>
      <c r="N880">
        <f t="shared" ref="N880" si="3168">N879*N862</f>
        <v>1</v>
      </c>
      <c r="O880">
        <f t="shared" ref="O880" si="3169">O879*O862</f>
        <v>1</v>
      </c>
    </row>
    <row r="881" spans="1:32" ht="17.149999999999999" x14ac:dyDescent="0.55000000000000004">
      <c r="B881" t="str">
        <f t="shared" si="3092"/>
        <v>Portland</v>
      </c>
      <c r="C881" t="s">
        <v>1390</v>
      </c>
      <c r="D881" cm="1">
        <f t="array" ref="D881">IFERROR(IF(D861="Chemical",(10^(INDEX(Antoines,MATCH(D860,Antoine_Name,0),2)-INDEX(Antoines,MATCH(D860,Antoine_Name,0),3)/(INDEX(Antoines,MATCH(D860,Antoine_Name,0),4)+(D868-32)*5/9)))*14.7/760,IF(D861="Crude Oil",EXP((2799/(D868+459.6)-2.227)*LOG10(INDEX(FX_Input,Q$5,D$3*$Z$5+$AA$5))-(7261/(D868+459.6))+12.82),IF(D861="Refined Petroleum Stock",EXP((0.7553-(413/(D868+459.6)))*(INDEX(FX_Input,Q$5,D$3*$Z$5+$AA$5-1)^0.5)*LOG10(INDEX(FX_Input,Q$5,D$3*$Z$5+$AA$5))-(1.854-(1042/(D868+459.6)))*(INDEX(FX_Input,Q$5,D$3*$Z$5+$AA$5-1)^0.5)+((2416/(D868+459.6)-2.013)*LOG10(INDEX(FX_Input,Q$5,D$3*$Z$5+$AA$5)))-(8742/(D868+459.6))+15.64),EXP(INDEX(Antoines,MATCH(D860,Antoine_Name,0),2)-INDEX(Antoines,MATCH(D860,Antoine_Name,0),3)/(D868+459.6))))),0)</f>
        <v>0</v>
      </c>
      <c r="E881" cm="1">
        <f t="array" ref="E881">IFERROR(IF(E861="Chemical",(10^(INDEX(Antoines,MATCH(E860,Antoine_Name,0),2)-INDEX(Antoines,MATCH(E860,Antoine_Name,0),3)/(INDEX(Antoines,MATCH(E860,Antoine_Name,0),4)+(E868-32)*5/9)))*14.7/760,IF(E861="Crude Oil",EXP((2799/(E868+459.6)-2.227)*LOG10(INDEX(FX_Input,R$5,E$3*$Z$5+$AA$5))-(7261/(E868+459.6))+12.82),IF(E861="Refined Petroleum Stock",EXP((0.7553-(413/(E868+459.6)))*(INDEX(FX_Input,R$5,E$3*$Z$5+$AA$5-1)^0.5)*LOG10(INDEX(FX_Input,R$5,E$3*$Z$5+$AA$5))-(1.854-(1042/(E868+459.6)))*(INDEX(FX_Input,R$5,E$3*$Z$5+$AA$5-1)^0.5)+((2416/(E868+459.6)-2.013)*LOG10(INDEX(FX_Input,R$5,E$3*$Z$5+$AA$5)))-(8742/(E868+459.6))+15.64),EXP(INDEX(Antoines,MATCH(E860,Antoine_Name,0),2)-INDEX(Antoines,MATCH(E860,Antoine_Name,0),3)/(E868+459.6))))),0)</f>
        <v>0</v>
      </c>
      <c r="F881" cm="1">
        <f t="array" ref="F881">IFERROR(IF(F861="Chemical",(10^(INDEX(Antoines,MATCH(F860,Antoine_Name,0),2)-INDEX(Antoines,MATCH(F860,Antoine_Name,0),3)/(INDEX(Antoines,MATCH(F860,Antoine_Name,0),4)+(F868-32)*5/9)))*14.7/760,IF(F861="Crude Oil",EXP((2799/(F868+459.6)-2.227)*LOG10(INDEX(FX_Input,S$5,F$3*$Z$5+$AA$5))-(7261/(F868+459.6))+12.82),IF(F861="Refined Petroleum Stock",EXP((0.7553-(413/(F868+459.6)))*(INDEX(FX_Input,S$5,F$3*$Z$5+$AA$5-1)^0.5)*LOG10(INDEX(FX_Input,S$5,F$3*$Z$5+$AA$5))-(1.854-(1042/(F868+459.6)))*(INDEX(FX_Input,S$5,F$3*$Z$5+$AA$5-1)^0.5)+((2416/(F868+459.6)-2.013)*LOG10(INDEX(FX_Input,S$5,F$3*$Z$5+$AA$5)))-(8742/(F868+459.6))+15.64),EXP(INDEX(Antoines,MATCH(F860,Antoine_Name,0),2)-INDEX(Antoines,MATCH(F860,Antoine_Name,0),3)/(F868+459.6))))),0)</f>
        <v>0</v>
      </c>
      <c r="G881" cm="1">
        <f t="array" ref="G881">IFERROR(IF(G861="Chemical",(10^(INDEX(Antoines,MATCH(G860,Antoine_Name,0),2)-INDEX(Antoines,MATCH(G860,Antoine_Name,0),3)/(INDEX(Antoines,MATCH(G860,Antoine_Name,0),4)+(G868-32)*5/9)))*14.7/760,IF(G861="Crude Oil",EXP((2799/(G868+459.6)-2.227)*LOG10(INDEX(FX_Input,T$5,G$3*$Z$5+$AA$5))-(7261/(G868+459.6))+12.82),IF(G861="Refined Petroleum Stock",EXP((0.7553-(413/(G868+459.6)))*(INDEX(FX_Input,T$5,G$3*$Z$5+$AA$5-1)^0.5)*LOG10(INDEX(FX_Input,T$5,G$3*$Z$5+$AA$5))-(1.854-(1042/(G868+459.6)))*(INDEX(FX_Input,T$5,G$3*$Z$5+$AA$5-1)^0.5)+((2416/(G868+459.6)-2.013)*LOG10(INDEX(FX_Input,T$5,G$3*$Z$5+$AA$5)))-(8742/(G868+459.6))+15.64),EXP(INDEX(Antoines,MATCH(G860,Antoine_Name,0),2)-INDEX(Antoines,MATCH(G860,Antoine_Name,0),3)/(G868+459.6))))),0)</f>
        <v>0</v>
      </c>
      <c r="H881" cm="1">
        <f t="array" ref="H881">IFERROR(IF(H861="Chemical",(10^(INDEX(Antoines,MATCH(H860,Antoine_Name,0),2)-INDEX(Antoines,MATCH(H860,Antoine_Name,0),3)/(INDEX(Antoines,MATCH(H860,Antoine_Name,0),4)+(H868-32)*5/9)))*14.7/760,IF(H861="Crude Oil",EXP((2799/(H868+459.6)-2.227)*LOG10(INDEX(FX_Input,U$5,H$3*$Z$5+$AA$5))-(7261/(H868+459.6))+12.82),IF(H861="Refined Petroleum Stock",EXP((0.7553-(413/(H868+459.6)))*(INDEX(FX_Input,U$5,H$3*$Z$5+$AA$5-1)^0.5)*LOG10(INDEX(FX_Input,U$5,H$3*$Z$5+$AA$5))-(1.854-(1042/(H868+459.6)))*(INDEX(FX_Input,U$5,H$3*$Z$5+$AA$5-1)^0.5)+((2416/(H868+459.6)-2.013)*LOG10(INDEX(FX_Input,U$5,H$3*$Z$5+$AA$5)))-(8742/(H868+459.6))+15.64),EXP(INDEX(Antoines,MATCH(H860,Antoine_Name,0),2)-INDEX(Antoines,MATCH(H860,Antoine_Name,0),3)/(H868+459.6))))),0)</f>
        <v>0</v>
      </c>
      <c r="I881" cm="1">
        <f t="array" ref="I881">IFERROR(IF(I861="Chemical",(10^(INDEX(Antoines,MATCH(I860,Antoine_Name,0),2)-INDEX(Antoines,MATCH(I860,Antoine_Name,0),3)/(INDEX(Antoines,MATCH(I860,Antoine_Name,0),4)+(I868-32)*5/9)))*14.7/760,IF(I861="Crude Oil",EXP((2799/(I868+459.6)-2.227)*LOG10(INDEX(FX_Input,V$5,I$3*$Z$5+$AA$5))-(7261/(I868+459.6))+12.82),IF(I861="Refined Petroleum Stock",EXP((0.7553-(413/(I868+459.6)))*(INDEX(FX_Input,V$5,I$3*$Z$5+$AA$5-1)^0.5)*LOG10(INDEX(FX_Input,V$5,I$3*$Z$5+$AA$5))-(1.854-(1042/(I868+459.6)))*(INDEX(FX_Input,V$5,I$3*$Z$5+$AA$5-1)^0.5)+((2416/(I868+459.6)-2.013)*LOG10(INDEX(FX_Input,V$5,I$3*$Z$5+$AA$5)))-(8742/(I868+459.6))+15.64),EXP(INDEX(Antoines,MATCH(I860,Antoine_Name,0),2)-INDEX(Antoines,MATCH(I860,Antoine_Name,0),3)/(I868+459.6))))),0)</f>
        <v>0</v>
      </c>
      <c r="J881" cm="1">
        <f t="array" ref="J881">IFERROR(IF(J861="Chemical",(10^(INDEX(Antoines,MATCH(J860,Antoine_Name,0),2)-INDEX(Antoines,MATCH(J860,Antoine_Name,0),3)/(INDEX(Antoines,MATCH(J860,Antoine_Name,0),4)+(J868-32)*5/9)))*14.7/760,IF(J861="Crude Oil",EXP((2799/(J868+459.6)-2.227)*LOG10(INDEX(FX_Input,W$5,J$3*$Z$5+$AA$5))-(7261/(J868+459.6))+12.82),IF(J861="Refined Petroleum Stock",EXP((0.7553-(413/(J868+459.6)))*(INDEX(FX_Input,W$5,J$3*$Z$5+$AA$5-1)^0.5)*LOG10(INDEX(FX_Input,W$5,J$3*$Z$5+$AA$5))-(1.854-(1042/(J868+459.6)))*(INDEX(FX_Input,W$5,J$3*$Z$5+$AA$5-1)^0.5)+((2416/(J868+459.6)-2.013)*LOG10(INDEX(FX_Input,W$5,J$3*$Z$5+$AA$5)))-(8742/(J868+459.6))+15.64),EXP(INDEX(Antoines,MATCH(J860,Antoine_Name,0),2)-INDEX(Antoines,MATCH(J860,Antoine_Name,0),3)/(J868+459.6))))),0)</f>
        <v>0</v>
      </c>
      <c r="K881" cm="1">
        <f t="array" ref="K881">IFERROR(IF(K861="Chemical",(10^(INDEX(Antoines,MATCH(K860,Antoine_Name,0),2)-INDEX(Antoines,MATCH(K860,Antoine_Name,0),3)/(INDEX(Antoines,MATCH(K860,Antoine_Name,0),4)+(K868-32)*5/9)))*14.7/760,IF(K861="Crude Oil",EXP((2799/(K868+459.6)-2.227)*LOG10(INDEX(FX_Input,X$5,K$3*$Z$5+$AA$5))-(7261/(K868+459.6))+12.82),IF(K861="Refined Petroleum Stock",EXP((0.7553-(413/(K868+459.6)))*(INDEX(FX_Input,X$5,K$3*$Z$5+$AA$5-1)^0.5)*LOG10(INDEX(FX_Input,X$5,K$3*$Z$5+$AA$5))-(1.854-(1042/(K868+459.6)))*(INDEX(FX_Input,X$5,K$3*$Z$5+$AA$5-1)^0.5)+((2416/(K868+459.6)-2.013)*LOG10(INDEX(FX_Input,X$5,K$3*$Z$5+$AA$5)))-(8742/(K868+459.6))+15.64),EXP(INDEX(Antoines,MATCH(K860,Antoine_Name,0),2)-INDEX(Antoines,MATCH(K860,Antoine_Name,0),3)/(K868+459.6))))),0)</f>
        <v>0</v>
      </c>
      <c r="L881" cm="1">
        <f t="array" ref="L881">IFERROR(IF(L861="Chemical",(10^(INDEX(Antoines,MATCH(L860,Antoine_Name,0),2)-INDEX(Antoines,MATCH(L860,Antoine_Name,0),3)/(INDEX(Antoines,MATCH(L860,Antoine_Name,0),4)+(L868-32)*5/9)))*14.7/760,IF(L861="Crude Oil",EXP((2799/(L868+459.6)-2.227)*LOG10(INDEX(FX_Input,Y$5,L$3*$Z$5+$AA$5))-(7261/(L868+459.6))+12.82),IF(L861="Refined Petroleum Stock",EXP((0.7553-(413/(L868+459.6)))*(INDEX(FX_Input,Y$5,L$3*$Z$5+$AA$5-1)^0.5)*LOG10(INDEX(FX_Input,Y$5,L$3*$Z$5+$AA$5))-(1.854-(1042/(L868+459.6)))*(INDEX(FX_Input,Y$5,L$3*$Z$5+$AA$5-1)^0.5)+((2416/(L868+459.6)-2.013)*LOG10(INDEX(FX_Input,Y$5,L$3*$Z$5+$AA$5)))-(8742/(L868+459.6))+15.64),EXP(INDEX(Antoines,MATCH(L860,Antoine_Name,0),2)-INDEX(Antoines,MATCH(L860,Antoine_Name,0),3)/(L868+459.6))))),0)</f>
        <v>0</v>
      </c>
      <c r="M881" cm="1">
        <f t="array" ref="M881">IFERROR(IF(M861="Chemical",(10^(INDEX(Antoines,MATCH(M860,Antoine_Name,0),2)-INDEX(Antoines,MATCH(M860,Antoine_Name,0),3)/(INDEX(Antoines,MATCH(M860,Antoine_Name,0),4)+(M868-32)*5/9)))*14.7/760,IF(M861="Crude Oil",EXP((2799/(M868+459.6)-2.227)*LOG10(INDEX(FX_Input,Z$5,M$3*$Z$5+$AA$5))-(7261/(M868+459.6))+12.82),IF(M861="Refined Petroleum Stock",EXP((0.7553-(413/(M868+459.6)))*(INDEX(FX_Input,Z$5,M$3*$Z$5+$AA$5-1)^0.5)*LOG10(INDEX(FX_Input,Z$5,M$3*$Z$5+$AA$5))-(1.854-(1042/(M868+459.6)))*(INDEX(FX_Input,Z$5,M$3*$Z$5+$AA$5-1)^0.5)+((2416/(M868+459.6)-2.013)*LOG10(INDEX(FX_Input,Z$5,M$3*$Z$5+$AA$5)))-(8742/(M868+459.6))+15.64),EXP(INDEX(Antoines,MATCH(M860,Antoine_Name,0),2)-INDEX(Antoines,MATCH(M860,Antoine_Name,0),3)/(M868+459.6))))),0)</f>
        <v>0</v>
      </c>
      <c r="N881" cm="1">
        <f t="array" ref="N881">IFERROR(IF(N861="Chemical",(10^(INDEX(Antoines,MATCH(N860,Antoine_Name,0),2)-INDEX(Antoines,MATCH(N860,Antoine_Name,0),3)/(INDEX(Antoines,MATCH(N860,Antoine_Name,0),4)+(N868-32)*5/9)))*14.7/760,IF(N861="Crude Oil",EXP((2799/(N868+459.6)-2.227)*LOG10(INDEX(FX_Input,AA$5,N$3*$Z$5+$AA$5))-(7261/(N868+459.6))+12.82),IF(N861="Refined Petroleum Stock",EXP((0.7553-(413/(N868+459.6)))*(INDEX(FX_Input,AA$5,N$3*$Z$5+$AA$5-1)^0.5)*LOG10(INDEX(FX_Input,AA$5,N$3*$Z$5+$AA$5))-(1.854-(1042/(N868+459.6)))*(INDEX(FX_Input,AA$5,N$3*$Z$5+$AA$5-1)^0.5)+((2416/(N868+459.6)-2.013)*LOG10(INDEX(FX_Input,AA$5,N$3*$Z$5+$AA$5)))-(8742/(N868+459.6))+15.64),EXP(INDEX(Antoines,MATCH(N860,Antoine_Name,0),2)-INDEX(Antoines,MATCH(N860,Antoine_Name,0),3)/(N868+459.6))))),0)</f>
        <v>0</v>
      </c>
      <c r="O881" cm="1">
        <f t="array" ref="O881">IFERROR(IF(O861="Chemical",(10^(INDEX(Antoines,MATCH(O860,Antoine_Name,0),2)-INDEX(Antoines,MATCH(O860,Antoine_Name,0),3)/(INDEX(Antoines,MATCH(O860,Antoine_Name,0),4)+(O868-32)*5/9)))*14.7/760,IF(O861="Crude Oil",EXP((2799/(O868+459.6)-2.227)*LOG10(INDEX(FX_Input,AB$5,O$3*$Z$5+$AA$5))-(7261/(O868+459.6))+12.82),IF(O861="Refined Petroleum Stock",EXP((0.7553-(413/(O868+459.6)))*(INDEX(FX_Input,AB$5,O$3*$Z$5+$AA$5-1)^0.5)*LOG10(INDEX(FX_Input,AB$5,O$3*$Z$5+$AA$5))-(1.854-(1042/(O868+459.6)))*(INDEX(FX_Input,AB$5,O$3*$Z$5+$AA$5-1)^0.5)+((2416/(O868+459.6)-2.013)*LOG10(INDEX(FX_Input,AB$5,O$3*$Z$5+$AA$5)))-(8742/(O868+459.6))+15.64),EXP(INDEX(Antoines,MATCH(O860,Antoine_Name,0),2)-INDEX(Antoines,MATCH(O860,Antoine_Name,0),3)/(O868+459.6))))),0)</f>
        <v>0</v>
      </c>
    </row>
    <row r="882" spans="1:32" ht="17.149999999999999" x14ac:dyDescent="0.55000000000000004">
      <c r="B882" t="str">
        <f t="shared" si="3092"/>
        <v>Portland</v>
      </c>
      <c r="C882" t="s">
        <v>1391</v>
      </c>
      <c r="D882">
        <f>D881*D864</f>
        <v>0</v>
      </c>
      <c r="E882">
        <f t="shared" ref="E882" si="3170">E881*E864</f>
        <v>0</v>
      </c>
      <c r="F882">
        <f t="shared" ref="F882" si="3171">F881*F864</f>
        <v>0</v>
      </c>
      <c r="G882">
        <f t="shared" ref="G882" si="3172">G881*G864</f>
        <v>0</v>
      </c>
      <c r="H882">
        <f t="shared" ref="H882" si="3173">H881*H864</f>
        <v>0</v>
      </c>
      <c r="I882">
        <f t="shared" ref="I882" si="3174">I881*I864</f>
        <v>0</v>
      </c>
      <c r="J882">
        <f t="shared" ref="J882" si="3175">J881*J864</f>
        <v>0</v>
      </c>
      <c r="K882">
        <f t="shared" ref="K882" si="3176">K881*K864</f>
        <v>0</v>
      </c>
      <c r="L882">
        <f t="shared" ref="L882" si="3177">L881*L864</f>
        <v>0</v>
      </c>
      <c r="M882">
        <f t="shared" ref="M882" si="3178">M881*M864</f>
        <v>0</v>
      </c>
      <c r="N882">
        <f t="shared" ref="N882" si="3179">N881*N864</f>
        <v>0</v>
      </c>
      <c r="O882">
        <f t="shared" ref="O882" si="3180">O881*O864</f>
        <v>0</v>
      </c>
    </row>
    <row r="883" spans="1:32" ht="17.149999999999999" x14ac:dyDescent="0.55000000000000004">
      <c r="B883" t="str">
        <f t="shared" si="3092"/>
        <v>Portland</v>
      </c>
      <c r="C883" t="s">
        <v>1392</v>
      </c>
      <c r="D883">
        <f>D880+D882</f>
        <v>1</v>
      </c>
      <c r="E883">
        <f t="shared" ref="E883" si="3181">E880+E882</f>
        <v>1</v>
      </c>
      <c r="F883">
        <f t="shared" ref="F883" si="3182">F880+F882</f>
        <v>1</v>
      </c>
      <c r="G883">
        <f t="shared" ref="G883" si="3183">G880+G882</f>
        <v>1</v>
      </c>
      <c r="H883">
        <f t="shared" ref="H883" si="3184">H880+H882</f>
        <v>1</v>
      </c>
      <c r="I883">
        <f t="shared" ref="I883" si="3185">I880+I882</f>
        <v>1</v>
      </c>
      <c r="J883">
        <f t="shared" ref="J883" si="3186">J880+J882</f>
        <v>1</v>
      </c>
      <c r="K883">
        <f t="shared" ref="K883" si="3187">K880+K882</f>
        <v>1</v>
      </c>
      <c r="L883">
        <f t="shared" ref="L883" si="3188">L880+L882</f>
        <v>1</v>
      </c>
      <c r="M883">
        <f t="shared" ref="M883" si="3189">M880+M882</f>
        <v>1</v>
      </c>
      <c r="N883">
        <f t="shared" ref="N883" si="3190">N880+N882</f>
        <v>1</v>
      </c>
      <c r="O883">
        <f t="shared" ref="O883" si="3191">O880+O882</f>
        <v>1</v>
      </c>
    </row>
    <row r="884" spans="1:32" ht="17.149999999999999" x14ac:dyDescent="0.55000000000000004">
      <c r="B884" t="str">
        <f>B878</f>
        <v>Portland</v>
      </c>
      <c r="C884" t="s">
        <v>584</v>
      </c>
      <c r="D884">
        <f>D880/D883</f>
        <v>1</v>
      </c>
      <c r="E884">
        <f t="shared" ref="E884" si="3192">E880/E883</f>
        <v>1</v>
      </c>
      <c r="F884">
        <f t="shared" ref="F884" si="3193">F880/F883</f>
        <v>1</v>
      </c>
      <c r="G884">
        <f t="shared" ref="G884" si="3194">G880/G883</f>
        <v>1</v>
      </c>
      <c r="H884">
        <f t="shared" ref="H884" si="3195">H880/H883</f>
        <v>1</v>
      </c>
      <c r="I884">
        <f t="shared" ref="I884" si="3196">I880/I883</f>
        <v>1</v>
      </c>
      <c r="J884">
        <f t="shared" ref="J884" si="3197">J880/J883</f>
        <v>1</v>
      </c>
      <c r="K884">
        <f t="shared" ref="K884" si="3198">K880/K883</f>
        <v>1</v>
      </c>
      <c r="L884">
        <f t="shared" ref="L884" si="3199">L880/L883</f>
        <v>1</v>
      </c>
      <c r="M884">
        <f t="shared" ref="M884" si="3200">M880/M883</f>
        <v>1</v>
      </c>
      <c r="N884">
        <f t="shared" ref="N884" si="3201">N880/N883</f>
        <v>1</v>
      </c>
      <c r="O884">
        <f t="shared" ref="O884" si="3202">O880/O883</f>
        <v>1</v>
      </c>
    </row>
    <row r="885" spans="1:32" ht="17.149999999999999" x14ac:dyDescent="0.55000000000000004">
      <c r="B885" t="str">
        <f>B879</f>
        <v>Portland</v>
      </c>
      <c r="C885" t="s">
        <v>585</v>
      </c>
      <c r="D885" t="str">
        <f t="shared" ref="D885:O885" si="3203">INDEX(Phys_Prop,MATCH(D858,Chem_List,0),3)</f>
        <v>N/A</v>
      </c>
      <c r="E885" t="str">
        <f t="shared" si="3203"/>
        <v>N/A</v>
      </c>
      <c r="F885" t="str">
        <f t="shared" si="3203"/>
        <v>N/A</v>
      </c>
      <c r="G885" t="str">
        <f t="shared" si="3203"/>
        <v>N/A</v>
      </c>
      <c r="H885" t="str">
        <f t="shared" si="3203"/>
        <v>N/A</v>
      </c>
      <c r="I885" t="str">
        <f t="shared" si="3203"/>
        <v>N/A</v>
      </c>
      <c r="J885" t="str">
        <f t="shared" si="3203"/>
        <v>N/A</v>
      </c>
      <c r="K885" t="str">
        <f t="shared" si="3203"/>
        <v>N/A</v>
      </c>
      <c r="L885" t="str">
        <f t="shared" si="3203"/>
        <v>N/A</v>
      </c>
      <c r="M885" t="str">
        <f t="shared" si="3203"/>
        <v>N/A</v>
      </c>
      <c r="N885" t="str">
        <f t="shared" si="3203"/>
        <v>N/A</v>
      </c>
      <c r="O885" t="str">
        <f t="shared" si="3203"/>
        <v>N/A</v>
      </c>
    </row>
    <row r="886" spans="1:32" ht="17.149999999999999" x14ac:dyDescent="0.55000000000000004">
      <c r="B886" t="str">
        <f>B885</f>
        <v>Portland</v>
      </c>
      <c r="C886" t="s">
        <v>586</v>
      </c>
      <c r="D886">
        <f>D882/D883</f>
        <v>0</v>
      </c>
      <c r="E886">
        <f t="shared" ref="E886:O886" si="3204">E882/E883</f>
        <v>0</v>
      </c>
      <c r="F886">
        <f t="shared" si="3204"/>
        <v>0</v>
      </c>
      <c r="G886">
        <f t="shared" si="3204"/>
        <v>0</v>
      </c>
      <c r="H886">
        <f t="shared" si="3204"/>
        <v>0</v>
      </c>
      <c r="I886">
        <f t="shared" si="3204"/>
        <v>0</v>
      </c>
      <c r="J886">
        <f t="shared" si="3204"/>
        <v>0</v>
      </c>
      <c r="K886">
        <f t="shared" si="3204"/>
        <v>0</v>
      </c>
      <c r="L886">
        <f t="shared" si="3204"/>
        <v>0</v>
      </c>
      <c r="M886">
        <f t="shared" si="3204"/>
        <v>0</v>
      </c>
      <c r="N886">
        <f t="shared" si="3204"/>
        <v>0</v>
      </c>
      <c r="O886">
        <f t="shared" si="3204"/>
        <v>0</v>
      </c>
    </row>
    <row r="887" spans="1:32" ht="17.149999999999999" x14ac:dyDescent="0.55000000000000004">
      <c r="B887" t="str">
        <f t="shared" si="3092"/>
        <v>Portland</v>
      </c>
      <c r="C887" t="s">
        <v>587</v>
      </c>
      <c r="D887">
        <f t="shared" ref="D887:O887" si="3205">IFERROR(INDEX(Phys_Prop,MATCH(D860,Chem_List,0),3),0)</f>
        <v>0</v>
      </c>
      <c r="E887">
        <f t="shared" si="3205"/>
        <v>0</v>
      </c>
      <c r="F887">
        <f t="shared" si="3205"/>
        <v>0</v>
      </c>
      <c r="G887">
        <f t="shared" si="3205"/>
        <v>0</v>
      </c>
      <c r="H887">
        <f t="shared" si="3205"/>
        <v>0</v>
      </c>
      <c r="I887">
        <f t="shared" si="3205"/>
        <v>0</v>
      </c>
      <c r="J887">
        <f t="shared" si="3205"/>
        <v>0</v>
      </c>
      <c r="K887">
        <f t="shared" si="3205"/>
        <v>0</v>
      </c>
      <c r="L887">
        <f t="shared" si="3205"/>
        <v>0</v>
      </c>
      <c r="M887">
        <f t="shared" si="3205"/>
        <v>0</v>
      </c>
      <c r="N887">
        <f t="shared" si="3205"/>
        <v>0</v>
      </c>
      <c r="O887">
        <f t="shared" si="3205"/>
        <v>0</v>
      </c>
    </row>
    <row r="888" spans="1:32" ht="17.149999999999999" x14ac:dyDescent="0.55000000000000004">
      <c r="A888" s="11"/>
      <c r="B888" s="11" t="str">
        <f t="shared" si="3092"/>
        <v>Portland</v>
      </c>
      <c r="C888" s="11" t="s">
        <v>588</v>
      </c>
      <c r="D888" s="11">
        <f>IFERROR(D884*D885+D886*D887,0)</f>
        <v>0</v>
      </c>
      <c r="E888" s="11">
        <f t="shared" ref="E888" si="3206">IFERROR(E884*E885+E886*E887,0)</f>
        <v>0</v>
      </c>
      <c r="F888" s="11">
        <f t="shared" ref="F888" si="3207">IFERROR(F884*F885+F886*F887,0)</f>
        <v>0</v>
      </c>
      <c r="G888" s="11">
        <f t="shared" ref="G888" si="3208">IFERROR(G884*G885+G886*G887,0)</f>
        <v>0</v>
      </c>
      <c r="H888" s="11">
        <f t="shared" ref="H888" si="3209">IFERROR(H884*H885+H886*H887,0)</f>
        <v>0</v>
      </c>
      <c r="I888" s="11">
        <f t="shared" ref="I888" si="3210">IFERROR(I884*I885+I886*I887,0)</f>
        <v>0</v>
      </c>
      <c r="J888" s="11">
        <f t="shared" ref="J888" si="3211">IFERROR(J884*J885+J886*J887,0)</f>
        <v>0</v>
      </c>
      <c r="K888" s="11">
        <f t="shared" ref="K888" si="3212">IFERROR(K884*K885+K886*K887,0)</f>
        <v>0</v>
      </c>
      <c r="L888" s="11">
        <f t="shared" ref="L888" si="3213">IFERROR(L884*L885+L886*L887,0)</f>
        <v>0</v>
      </c>
      <c r="M888" s="11">
        <f t="shared" ref="M888" si="3214">IFERROR(M884*M885+M886*M887,0)</f>
        <v>0</v>
      </c>
      <c r="N888" s="11">
        <f t="shared" ref="N888" si="3215">IFERROR(N884*N885+N886*N887,0)</f>
        <v>0</v>
      </c>
      <c r="O888" s="11">
        <f t="shared" ref="O888" si="3216">IFERROR(O884*O885+O886*O887,0)</f>
        <v>0</v>
      </c>
      <c r="P888" s="11"/>
      <c r="Q888" s="11"/>
      <c r="R888" s="11"/>
      <c r="S888" s="11"/>
      <c r="T888" s="11"/>
      <c r="U888" s="11"/>
      <c r="V888" s="11"/>
      <c r="W888" s="11"/>
      <c r="X888" s="11"/>
      <c r="Y888" s="11"/>
      <c r="Z888" s="11"/>
      <c r="AA888" s="11"/>
      <c r="AB888" s="11"/>
      <c r="AC888" s="11"/>
      <c r="AD888" s="11"/>
      <c r="AE888" s="11"/>
      <c r="AF888" s="11"/>
    </row>
    <row r="889" spans="1:32" ht="17.149999999999999" x14ac:dyDescent="0.55000000000000004">
      <c r="A889" t="str" cm="1">
        <f t="array" ref="A889">INDEX(FX_Input,$Q889,R$5)</f>
        <v>FX - 27</v>
      </c>
      <c r="B889" t="str" cm="1">
        <f t="array" ref="B889">INDEX(FX_Input,Q889,S889)</f>
        <v>Portland</v>
      </c>
      <c r="C889" t="s">
        <v>563</v>
      </c>
      <c r="D889">
        <v>14.7</v>
      </c>
      <c r="E889">
        <v>14.7</v>
      </c>
      <c r="F889">
        <v>14.7</v>
      </c>
      <c r="G889">
        <v>14.7</v>
      </c>
      <c r="H889">
        <v>14.7</v>
      </c>
      <c r="I889">
        <v>14.7</v>
      </c>
      <c r="J889">
        <v>14.7</v>
      </c>
      <c r="K889">
        <v>14.7</v>
      </c>
      <c r="L889">
        <v>14.7</v>
      </c>
      <c r="M889">
        <v>14.7</v>
      </c>
      <c r="N889">
        <v>14.7</v>
      </c>
      <c r="O889">
        <v>14.7</v>
      </c>
      <c r="Q889">
        <f>Q855+2</f>
        <v>53</v>
      </c>
      <c r="R889">
        <v>1</v>
      </c>
      <c r="S889">
        <v>3</v>
      </c>
      <c r="T889">
        <v>1</v>
      </c>
      <c r="U889">
        <v>19</v>
      </c>
      <c r="V889">
        <v>20</v>
      </c>
      <c r="W889">
        <v>25</v>
      </c>
      <c r="X889">
        <v>1</v>
      </c>
      <c r="Y889">
        <v>2</v>
      </c>
      <c r="Z889">
        <f>(W889-V889)/(Y889-X889)</f>
        <v>5</v>
      </c>
      <c r="AA889">
        <f>V889-Z889*X889</f>
        <v>15</v>
      </c>
      <c r="AD889">
        <f>AD855+14</f>
        <v>365</v>
      </c>
      <c r="AF889">
        <f>AF855+14</f>
        <v>365</v>
      </c>
    </row>
    <row r="890" spans="1:32" ht="17.149999999999999" x14ac:dyDescent="0.55000000000000004">
      <c r="B890" t="str">
        <f t="shared" ref="B890" si="3217">B889</f>
        <v>Portland</v>
      </c>
      <c r="C890" t="s">
        <v>564</v>
      </c>
      <c r="D890" cm="1">
        <f t="array" ref="D890">IF(ISBLANK(INDEX(FX_Input,$Q889,$AB890)),0.03,INDEX(FX_Input,Q889,AB890))</f>
        <v>0.03</v>
      </c>
      <c r="E890" cm="1">
        <f t="array" ref="E890">IF(ISBLANK(INDEX(FX_Input,$Q889,$AB890)),0.03,INDEX(FX_Input,R889,#REF!))</f>
        <v>0.03</v>
      </c>
      <c r="F890" cm="1">
        <f t="array" ref="F890">IF(ISBLANK(INDEX(FX_Input,$Q889,$AB890)),0.03,INDEX(FX_Input,S889,#REF!))</f>
        <v>0.03</v>
      </c>
      <c r="G890" cm="1">
        <f t="array" ref="G890">IF(ISBLANK(INDEX(FX_Input,$Q889,$AB890)),0.03,INDEX(FX_Input,AB889,#REF!))</f>
        <v>0.03</v>
      </c>
      <c r="H890" cm="1">
        <f t="array" ref="H890">IF(ISBLANK(INDEX(FX_Input,$Q889,$AB890)),0.03,INDEX(FX_Input,#REF!,#REF!))</f>
        <v>0.03</v>
      </c>
      <c r="I890" cm="1">
        <f t="array" ref="I890">IF(ISBLANK(INDEX(FX_Input,$Q889,$AB890)),0.03,INDEX(FX_Input,#REF!,#REF!))</f>
        <v>0.03</v>
      </c>
      <c r="J890" cm="1">
        <f t="array" ref="J890">IF(ISBLANK(INDEX(FX_Input,$Q889,$AB890)),0.03,INDEX(FX_Input,#REF!,#REF!))</f>
        <v>0.03</v>
      </c>
      <c r="K890" cm="1">
        <f t="array" ref="K890">IF(ISBLANK(INDEX(FX_Input,$Q889,$AB890)),0.03,INDEX(FX_Input,#REF!,AC890))</f>
        <v>0.03</v>
      </c>
      <c r="L890" cm="1">
        <f t="array" ref="L890">IF(ISBLANK(INDEX(FX_Input,$Q889,$AB890)),0.03,INDEX(FX_Input,#REF!,AD890))</f>
        <v>0.03</v>
      </c>
      <c r="M890" cm="1">
        <f t="array" ref="M890">IF(ISBLANK(INDEX(FX_Input,$Q889,$AB890)),0.03,INDEX(FX_Input,#REF!,#REF!))</f>
        <v>0.03</v>
      </c>
      <c r="N890" cm="1">
        <f t="array" ref="N890">IF(ISBLANK(INDEX(FX_Input,$Q889,$AB890)),0.03,INDEX(FX_Input,AC889,#REF!))</f>
        <v>0.03</v>
      </c>
      <c r="O890" cm="1">
        <f t="array" ref="O890">IF(ISBLANK(INDEX(FX_Input,$Q889,$AB890)),0.03,INDEX(FX_Input,AD889,#REF!))</f>
        <v>0.03</v>
      </c>
      <c r="AB890">
        <v>15</v>
      </c>
    </row>
    <row r="891" spans="1:32" ht="17.149999999999999" x14ac:dyDescent="0.55000000000000004">
      <c r="B891" t="str">
        <f>B890</f>
        <v>Portland</v>
      </c>
      <c r="C891" t="s">
        <v>565</v>
      </c>
      <c r="D891" cm="1">
        <f t="array" ref="D891">IF(ISBLANK(INDEX(FX_Input,$Q889,$AB891)),-0.03,INDEX(FX_Input,Q889,AB891))</f>
        <v>-0.03</v>
      </c>
      <c r="E891" cm="1">
        <f t="array" ref="E891">IF(ISBLANK(INDEX(FX_Input,$Q889,$AB891)),-0.03,INDEX(FX_Input,R889,#REF!))</f>
        <v>-0.03</v>
      </c>
      <c r="F891" cm="1">
        <f t="array" ref="F891">IF(ISBLANK(INDEX(FX_Input,$Q889,$AB891)),-0.03,INDEX(FX_Input,S889,#REF!))</f>
        <v>-0.03</v>
      </c>
      <c r="G891" cm="1">
        <f t="array" ref="G891">IF(ISBLANK(INDEX(FX_Input,$Q889,$AB891)),-0.03,INDEX(FX_Input,AB889,#REF!))</f>
        <v>-0.03</v>
      </c>
      <c r="H891" cm="1">
        <f t="array" ref="H891">IF(ISBLANK(INDEX(FX_Input,$Q889,$AB891)),-0.03,INDEX(FX_Input,#REF!,#REF!))</f>
        <v>-0.03</v>
      </c>
      <c r="I891" cm="1">
        <f t="array" ref="I891">IF(ISBLANK(INDEX(FX_Input,$Q889,$AB891)),-0.03,INDEX(FX_Input,#REF!,#REF!))</f>
        <v>-0.03</v>
      </c>
      <c r="J891" cm="1">
        <f t="array" ref="J891">IF(ISBLANK(INDEX(FX_Input,$Q889,$AB891)),-0.03,INDEX(FX_Input,#REF!,#REF!))</f>
        <v>-0.03</v>
      </c>
      <c r="K891" cm="1">
        <f t="array" ref="K891">IF(ISBLANK(INDEX(FX_Input,$Q889,$AB891)),-0.03,INDEX(FX_Input,#REF!,AC891))</f>
        <v>-0.03</v>
      </c>
      <c r="L891" cm="1">
        <f t="array" ref="L891">IF(ISBLANK(INDEX(FX_Input,$Q889,$AB891)),-0.03,INDEX(FX_Input,#REF!,AD891))</f>
        <v>-0.03</v>
      </c>
      <c r="M891" cm="1">
        <f t="array" ref="M891">IF(ISBLANK(INDEX(FX_Input,$Q889,$AB891)),-0.03,INDEX(FX_Input,#REF!,#REF!))</f>
        <v>-0.03</v>
      </c>
      <c r="N891" cm="1">
        <f t="array" ref="N891">IF(ISBLANK(INDEX(FX_Input,$Q889,$AB891)),-0.03,INDEX(FX_Input,AC889,#REF!))</f>
        <v>-0.03</v>
      </c>
      <c r="O891" cm="1">
        <f t="array" ref="O891">IF(ISBLANK(INDEX(FX_Input,$Q889,$AB891)),-0.03,INDEX(FX_Input,AD889,#REF!))</f>
        <v>-0.03</v>
      </c>
      <c r="AB891">
        <v>16</v>
      </c>
    </row>
    <row r="892" spans="1:32" x14ac:dyDescent="0.4">
      <c r="B892" t="str">
        <f t="shared" ref="B892:B893" si="3218">B891</f>
        <v>Portland</v>
      </c>
      <c r="C892" s="66" t="s">
        <v>567</v>
      </c>
      <c r="D892" t="str" cm="1">
        <f t="array" ref="D892">INDEX(FX_Multi,$AD892,D$3)</f>
        <v>Out of Service</v>
      </c>
      <c r="E892" t="str" cm="1">
        <f t="array" ref="E892">INDEX(FX_Multi,$AD892,E$3)</f>
        <v>Out of Service</v>
      </c>
      <c r="F892" t="str" cm="1">
        <f t="array" ref="F892">INDEX(FX_Multi,$AD892,F$3)</f>
        <v>Out of Service</v>
      </c>
      <c r="G892" t="str" cm="1">
        <f t="array" ref="G892">INDEX(FX_Multi,$AD892,G$3)</f>
        <v>Out of Service</v>
      </c>
      <c r="H892" t="str" cm="1">
        <f t="array" ref="H892">INDEX(FX_Multi,$AD892,H$3)</f>
        <v>Out of Service</v>
      </c>
      <c r="I892" t="str" cm="1">
        <f t="array" ref="I892">INDEX(FX_Multi,$AD892,I$3)</f>
        <v>Out of Service</v>
      </c>
      <c r="J892" t="str" cm="1">
        <f t="array" ref="J892">INDEX(FX_Multi,$AD892,J$3)</f>
        <v>Out of Service</v>
      </c>
      <c r="K892" t="str" cm="1">
        <f t="array" ref="K892">INDEX(FX_Multi,$AD892,K$3)</f>
        <v>Out of Service</v>
      </c>
      <c r="L892" t="str" cm="1">
        <f t="array" ref="L892">INDEX(FX_Multi,$AD892,L$3)</f>
        <v>Out of Service</v>
      </c>
      <c r="M892" t="str" cm="1">
        <f t="array" ref="M892">INDEX(FX_Multi,$AD892,M$3)</f>
        <v>Out of Service</v>
      </c>
      <c r="N892" t="str" cm="1">
        <f t="array" ref="N892">INDEX(FX_Multi,$AD892,N$3)</f>
        <v>Out of Service</v>
      </c>
      <c r="O892" t="str" cm="1">
        <f t="array" ref="O892">INDEX(FX_Multi,$AD892,O$3)</f>
        <v>Out of Service</v>
      </c>
      <c r="AC892">
        <v>1</v>
      </c>
      <c r="AD892">
        <f>AD889</f>
        <v>365</v>
      </c>
      <c r="AE892">
        <v>1</v>
      </c>
      <c r="AF892">
        <f>AF889</f>
        <v>365</v>
      </c>
    </row>
    <row r="893" spans="1:32" x14ac:dyDescent="0.4">
      <c r="B893" t="str">
        <f t="shared" si="3218"/>
        <v>Portland</v>
      </c>
      <c r="C893" s="66" t="s">
        <v>566</v>
      </c>
      <c r="D893" t="str" cm="1">
        <f t="array" ref="D893">INDEX(FX_Multi,$AD893,D$3)</f>
        <v>N/A</v>
      </c>
      <c r="E893" t="str" cm="1">
        <f t="array" ref="E893">INDEX(FX_Multi,$AD893,E$3)</f>
        <v>N/A</v>
      </c>
      <c r="F893" t="str" cm="1">
        <f t="array" ref="F893">INDEX(FX_Multi,$AD893,F$3)</f>
        <v>N/A</v>
      </c>
      <c r="G893" t="str" cm="1">
        <f t="array" ref="G893">INDEX(FX_Multi,$AD893,G$3)</f>
        <v>N/A</v>
      </c>
      <c r="H893" t="str" cm="1">
        <f t="array" ref="H893">INDEX(FX_Multi,$AD893,H$3)</f>
        <v>N/A</v>
      </c>
      <c r="I893" t="str" cm="1">
        <f t="array" ref="I893">INDEX(FX_Multi,$AD893,I$3)</f>
        <v>N/A</v>
      </c>
      <c r="J893" t="str" cm="1">
        <f t="array" ref="J893">INDEX(FX_Multi,$AD893,J$3)</f>
        <v>N/A</v>
      </c>
      <c r="K893" t="str" cm="1">
        <f t="array" ref="K893">INDEX(FX_Multi,$AD893,K$3)</f>
        <v>N/A</v>
      </c>
      <c r="L893" t="str" cm="1">
        <f t="array" ref="L893">INDEX(FX_Multi,$AD893,L$3)</f>
        <v>N/A</v>
      </c>
      <c r="M893" t="str" cm="1">
        <f t="array" ref="M893">INDEX(FX_Multi,$AD893,M$3)</f>
        <v>N/A</v>
      </c>
      <c r="N893" t="str" cm="1">
        <f t="array" ref="N893">INDEX(FX_Multi,$AD893,N$3)</f>
        <v>N/A</v>
      </c>
      <c r="O893" t="str" cm="1">
        <f t="array" ref="O893">INDEX(FX_Multi,$AD893,O$3)</f>
        <v>N/A</v>
      </c>
      <c r="AC893">
        <v>1</v>
      </c>
      <c r="AD893">
        <f>AD892+2</f>
        <v>367</v>
      </c>
      <c r="AE893">
        <v>1</v>
      </c>
      <c r="AF893">
        <f>AF892+3</f>
        <v>368</v>
      </c>
    </row>
    <row r="894" spans="1:32" x14ac:dyDescent="0.4">
      <c r="B894" t="str">
        <f>B890</f>
        <v>Portland</v>
      </c>
      <c r="C894" s="66" t="s">
        <v>568</v>
      </c>
      <c r="D894" cm="1">
        <f t="array" ref="D894">INDEX(FX_Multi,$AD894,D$3)</f>
        <v>0</v>
      </c>
      <c r="E894" cm="1">
        <f t="array" ref="E894">INDEX(FX_Multi,$AD894,E$3)</f>
        <v>0</v>
      </c>
      <c r="F894" cm="1">
        <f t="array" ref="F894">INDEX(FX_Multi,$AD894,F$3)</f>
        <v>0</v>
      </c>
      <c r="G894" cm="1">
        <f t="array" ref="G894">INDEX(FX_Multi,$AD894,G$3)</f>
        <v>0</v>
      </c>
      <c r="H894" cm="1">
        <f t="array" ref="H894">INDEX(FX_Multi,$AD894,H$3)</f>
        <v>0</v>
      </c>
      <c r="I894" cm="1">
        <f t="array" ref="I894">INDEX(FX_Multi,$AD894,I$3)</f>
        <v>0</v>
      </c>
      <c r="J894" cm="1">
        <f t="array" ref="J894">INDEX(FX_Multi,$AD894,J$3)</f>
        <v>0</v>
      </c>
      <c r="K894" cm="1">
        <f t="array" ref="K894">INDEX(FX_Multi,$AD894,K$3)</f>
        <v>0</v>
      </c>
      <c r="L894" cm="1">
        <f t="array" ref="L894">INDEX(FX_Multi,$AD894,L$3)</f>
        <v>0</v>
      </c>
      <c r="M894" cm="1">
        <f t="array" ref="M894">INDEX(FX_Multi,$AD894,M$3)</f>
        <v>0</v>
      </c>
      <c r="N894" cm="1">
        <f t="array" ref="N894">INDEX(FX_Multi,$AD894,N$3)</f>
        <v>0</v>
      </c>
      <c r="O894" cm="1">
        <f t="array" ref="O894">INDEX(FX_Multi,$AD894,O$3)</f>
        <v>0</v>
      </c>
      <c r="AC894">
        <v>1</v>
      </c>
      <c r="AD894">
        <f>AD893-1</f>
        <v>366</v>
      </c>
      <c r="AE894">
        <v>1</v>
      </c>
      <c r="AF894">
        <f>AF892+1</f>
        <v>366</v>
      </c>
    </row>
    <row r="895" spans="1:32" x14ac:dyDescent="0.4">
      <c r="B895" t="str">
        <f t="shared" ref="B895:B899" si="3219">B894</f>
        <v>Portland</v>
      </c>
      <c r="C895" s="66" t="s">
        <v>569</v>
      </c>
      <c r="D895" cm="1">
        <f t="array" ref="D895">INDEX(FX_Multi,$AD895,D$3)</f>
        <v>0</v>
      </c>
      <c r="E895" cm="1">
        <f t="array" ref="E895">INDEX(FX_Multi,$AD895,E$3)</f>
        <v>0</v>
      </c>
      <c r="F895" cm="1">
        <f t="array" ref="F895">INDEX(FX_Multi,$AD895,F$3)</f>
        <v>0</v>
      </c>
      <c r="G895" cm="1">
        <f t="array" ref="G895">INDEX(FX_Multi,$AD895,G$3)</f>
        <v>0</v>
      </c>
      <c r="H895" cm="1">
        <f t="array" ref="H895">INDEX(FX_Multi,$AD895,H$3)</f>
        <v>0</v>
      </c>
      <c r="I895" cm="1">
        <f t="array" ref="I895">INDEX(FX_Multi,$AD895,I$3)</f>
        <v>0</v>
      </c>
      <c r="J895" cm="1">
        <f t="array" ref="J895">INDEX(FX_Multi,$AD895,J$3)</f>
        <v>0</v>
      </c>
      <c r="K895" cm="1">
        <f t="array" ref="K895">INDEX(FX_Multi,$AD895,K$3)</f>
        <v>0</v>
      </c>
      <c r="L895" cm="1">
        <f t="array" ref="L895">INDEX(FX_Multi,$AD895,L$3)</f>
        <v>0</v>
      </c>
      <c r="M895" cm="1">
        <f t="array" ref="M895">INDEX(FX_Multi,$AD895,M$3)</f>
        <v>0</v>
      </c>
      <c r="N895" cm="1">
        <f t="array" ref="N895">INDEX(FX_Multi,$AD895,N$3)</f>
        <v>0</v>
      </c>
      <c r="O895" cm="1">
        <f t="array" ref="O895">INDEX(FX_Multi,$AD895,O$3)</f>
        <v>0</v>
      </c>
      <c r="AC895">
        <v>1</v>
      </c>
      <c r="AD895">
        <f>AD894+2</f>
        <v>368</v>
      </c>
      <c r="AE895">
        <v>1</v>
      </c>
      <c r="AF895">
        <f>AF893</f>
        <v>368</v>
      </c>
    </row>
    <row r="896" spans="1:32" ht="17.149999999999999" x14ac:dyDescent="0.55000000000000004">
      <c r="B896" t="str">
        <f t="shared" si="3219"/>
        <v>Portland</v>
      </c>
      <c r="C896" t="s">
        <v>570</v>
      </c>
      <c r="D896" cm="1">
        <f t="array" ref="D896">INDEX(FX_Multi,$AD896,D$3)</f>
        <v>1</v>
      </c>
      <c r="E896" cm="1">
        <f t="array" ref="E896">INDEX(FX_Multi,$AD896,E$3)</f>
        <v>1</v>
      </c>
      <c r="F896" cm="1">
        <f t="array" ref="F896">INDEX(FX_Multi,$AD896,F$3)</f>
        <v>1</v>
      </c>
      <c r="G896" cm="1">
        <f t="array" ref="G896">INDEX(FX_Multi,$AD896,G$3)</f>
        <v>1</v>
      </c>
      <c r="H896" cm="1">
        <f t="array" ref="H896">INDEX(FX_Multi,$AD896,H$3)</f>
        <v>1</v>
      </c>
      <c r="I896" cm="1">
        <f t="array" ref="I896">INDEX(FX_Multi,$AD896,I$3)</f>
        <v>1</v>
      </c>
      <c r="J896" cm="1">
        <f t="array" ref="J896">INDEX(FX_Multi,$AD896,J$3)</f>
        <v>1</v>
      </c>
      <c r="K896" cm="1">
        <f t="array" ref="K896">INDEX(FX_Multi,$AD896,K$3)</f>
        <v>1</v>
      </c>
      <c r="L896" cm="1">
        <f t="array" ref="L896">INDEX(FX_Multi,$AD896,L$3)</f>
        <v>1</v>
      </c>
      <c r="M896" cm="1">
        <f t="array" ref="M896">INDEX(FX_Multi,$AD896,M$3)</f>
        <v>1</v>
      </c>
      <c r="N896" cm="1">
        <f t="array" ref="N896">INDEX(FX_Multi,$AD896,N$3)</f>
        <v>1</v>
      </c>
      <c r="O896" cm="1">
        <f t="array" ref="O896">INDEX(FX_Multi,$AD896,O$3)</f>
        <v>1</v>
      </c>
      <c r="AC896">
        <v>1</v>
      </c>
      <c r="AD896">
        <f>AD895+6</f>
        <v>374</v>
      </c>
      <c r="AE896">
        <v>1</v>
      </c>
      <c r="AF896">
        <f>AF892+9</f>
        <v>374</v>
      </c>
    </row>
    <row r="897" spans="2:32" ht="17.149999999999999" x14ac:dyDescent="0.55000000000000004">
      <c r="B897" t="str">
        <f t="shared" si="3219"/>
        <v>Portland</v>
      </c>
      <c r="C897" t="s">
        <v>571</v>
      </c>
      <c r="D897" t="str" cm="1">
        <f t="array" ref="D897">INDEX(FX_Multi,$AD897,D$3)</f>
        <v>N/A</v>
      </c>
      <c r="E897" t="str" cm="1">
        <f t="array" ref="E897">INDEX(FX_Multi,$AD897,E$3)</f>
        <v>N/A</v>
      </c>
      <c r="F897" t="str" cm="1">
        <f t="array" ref="F897">INDEX(FX_Multi,$AD897,F$3)</f>
        <v>N/A</v>
      </c>
      <c r="G897" t="str" cm="1">
        <f t="array" ref="G897">INDEX(FX_Multi,$AD897,G$3)</f>
        <v>N/A</v>
      </c>
      <c r="H897" t="str" cm="1">
        <f t="array" ref="H897">INDEX(FX_Multi,$AD897,H$3)</f>
        <v>N/A</v>
      </c>
      <c r="I897" t="str" cm="1">
        <f t="array" ref="I897">INDEX(FX_Multi,$AD897,I$3)</f>
        <v>N/A</v>
      </c>
      <c r="J897" t="str" cm="1">
        <f t="array" ref="J897">INDEX(FX_Multi,$AD897,J$3)</f>
        <v>N/A</v>
      </c>
      <c r="K897" t="str" cm="1">
        <f t="array" ref="K897">INDEX(FX_Multi,$AD897,K$3)</f>
        <v>N/A</v>
      </c>
      <c r="L897" t="str" cm="1">
        <f t="array" ref="L897">INDEX(FX_Multi,$AD897,L$3)</f>
        <v>N/A</v>
      </c>
      <c r="M897" t="str" cm="1">
        <f t="array" ref="M897">INDEX(FX_Multi,$AD897,M$3)</f>
        <v>N/A</v>
      </c>
      <c r="N897" t="str" cm="1">
        <f t="array" ref="N897">INDEX(FX_Multi,$AD897,N$3)</f>
        <v>N/A</v>
      </c>
      <c r="O897" t="str" cm="1">
        <f t="array" ref="O897">INDEX(FX_Multi,$AD897,O$3)</f>
        <v>N/A</v>
      </c>
      <c r="AC897">
        <v>1</v>
      </c>
      <c r="AD897">
        <f>AD896-3</f>
        <v>371</v>
      </c>
      <c r="AE897">
        <v>1</v>
      </c>
      <c r="AF897">
        <f>AF892+6</f>
        <v>371</v>
      </c>
    </row>
    <row r="898" spans="2:32" ht="17.149999999999999" x14ac:dyDescent="0.55000000000000004">
      <c r="B898" t="str">
        <f t="shared" si="3219"/>
        <v>Portland</v>
      </c>
      <c r="C898" t="s">
        <v>572</v>
      </c>
      <c r="D898" cm="1">
        <f t="array" ref="D898">INDEX(FX_Multi,$AD898,D$3)</f>
        <v>0</v>
      </c>
      <c r="E898" cm="1">
        <f t="array" ref="E898">INDEX(FX_Multi,$AD898,E$3)</f>
        <v>0</v>
      </c>
      <c r="F898" cm="1">
        <f t="array" ref="F898">INDEX(FX_Multi,$AD898,F$3)</f>
        <v>0</v>
      </c>
      <c r="G898" cm="1">
        <f t="array" ref="G898">INDEX(FX_Multi,$AD898,G$3)</f>
        <v>0</v>
      </c>
      <c r="H898" cm="1">
        <f t="array" ref="H898">INDEX(FX_Multi,$AD898,H$3)</f>
        <v>0</v>
      </c>
      <c r="I898" cm="1">
        <f t="array" ref="I898">INDEX(FX_Multi,$AD898,I$3)</f>
        <v>0</v>
      </c>
      <c r="J898" cm="1">
        <f t="array" ref="J898">INDEX(FX_Multi,$AD898,J$3)</f>
        <v>0</v>
      </c>
      <c r="K898" cm="1">
        <f t="array" ref="K898">INDEX(FX_Multi,$AD898,K$3)</f>
        <v>0</v>
      </c>
      <c r="L898" cm="1">
        <f t="array" ref="L898">INDEX(FX_Multi,$AD898,L$3)</f>
        <v>0</v>
      </c>
      <c r="M898" cm="1">
        <f t="array" ref="M898">INDEX(FX_Multi,$AD898,M$3)</f>
        <v>0</v>
      </c>
      <c r="N898" cm="1">
        <f t="array" ref="N898">INDEX(FX_Multi,$AD898,N$3)</f>
        <v>0</v>
      </c>
      <c r="O898" cm="1">
        <f t="array" ref="O898">INDEX(FX_Multi,$AD898,O$3)</f>
        <v>0</v>
      </c>
      <c r="AC898">
        <v>1</v>
      </c>
      <c r="AD898">
        <f>AD897+4</f>
        <v>375</v>
      </c>
      <c r="AE898">
        <v>1</v>
      </c>
      <c r="AF898">
        <f>AF892+10</f>
        <v>375</v>
      </c>
    </row>
    <row r="899" spans="2:32" ht="17.149999999999999" x14ac:dyDescent="0.55000000000000004">
      <c r="B899" t="str">
        <f t="shared" si="3219"/>
        <v>Portland</v>
      </c>
      <c r="C899" t="s">
        <v>573</v>
      </c>
      <c r="D899" cm="1">
        <f t="array" ref="D899">INDEX(FX_Multi,$AD899,D$3)</f>
        <v>0</v>
      </c>
      <c r="E899" cm="1">
        <f t="array" ref="E899">INDEX(FX_Multi,$AD899,E$3)</f>
        <v>0</v>
      </c>
      <c r="F899" cm="1">
        <f t="array" ref="F899">INDEX(FX_Multi,$AD899,F$3)</f>
        <v>0</v>
      </c>
      <c r="G899" cm="1">
        <f t="array" ref="G899">INDEX(FX_Multi,$AD899,G$3)</f>
        <v>0</v>
      </c>
      <c r="H899" cm="1">
        <f t="array" ref="H899">INDEX(FX_Multi,$AD899,H$3)</f>
        <v>0</v>
      </c>
      <c r="I899" cm="1">
        <f t="array" ref="I899">INDEX(FX_Multi,$AD899,I$3)</f>
        <v>0</v>
      </c>
      <c r="J899" cm="1">
        <f t="array" ref="J899">INDEX(FX_Multi,$AD899,J$3)</f>
        <v>0</v>
      </c>
      <c r="K899" cm="1">
        <f t="array" ref="K899">INDEX(FX_Multi,$AD899,K$3)</f>
        <v>0</v>
      </c>
      <c r="L899" cm="1">
        <f t="array" ref="L899">INDEX(FX_Multi,$AD899,L$3)</f>
        <v>0</v>
      </c>
      <c r="M899" cm="1">
        <f t="array" ref="M899">INDEX(FX_Multi,$AD899,M$3)</f>
        <v>0</v>
      </c>
      <c r="N899" cm="1">
        <f t="array" ref="N899">INDEX(FX_Multi,$AD899,N$3)</f>
        <v>0</v>
      </c>
      <c r="O899" cm="1">
        <f t="array" ref="O899">INDEX(FX_Multi,$AD899,O$3)</f>
        <v>0</v>
      </c>
      <c r="AC899">
        <v>1</v>
      </c>
      <c r="AD899">
        <f>AD898-3</f>
        <v>372</v>
      </c>
      <c r="AE899">
        <v>1</v>
      </c>
      <c r="AF899">
        <f>AF892+7</f>
        <v>372</v>
      </c>
    </row>
    <row r="900" spans="2:32" ht="17.149999999999999" x14ac:dyDescent="0.55000000000000004">
      <c r="B900" t="str">
        <f>B895</f>
        <v>Portland</v>
      </c>
      <c r="C900" t="s">
        <v>526</v>
      </c>
      <c r="D900" cm="1">
        <f t="array" ref="D900">INDEX(FX_Temps,$AF900,D$3)</f>
        <v>43.899999999999977</v>
      </c>
      <c r="E900" cm="1">
        <f t="array" ref="E900">INDEX(FX_Temps,$AF900,E$3)</f>
        <v>44.700000000000045</v>
      </c>
      <c r="F900" cm="1">
        <f t="array" ref="F900">INDEX(FX_Temps,$AF900,F$3)</f>
        <v>46.100000000000023</v>
      </c>
      <c r="G900" cm="1">
        <f t="array" ref="G900">INDEX(FX_Temps,$AF900,G$3)</f>
        <v>48.599999999999966</v>
      </c>
      <c r="H900" cm="1">
        <f t="array" ref="H900">INDEX(FX_Temps,$AF900,H$3)</f>
        <v>53.149999999999977</v>
      </c>
      <c r="I900" cm="1">
        <f t="array" ref="I900">INDEX(FX_Temps,$AF900,I$3)</f>
        <v>56.950000000000045</v>
      </c>
      <c r="J900" cm="1">
        <f t="array" ref="J900">INDEX(FX_Temps,$AF900,J$3)</f>
        <v>60.449999999999932</v>
      </c>
      <c r="K900" cm="1">
        <f t="array" ref="K900">INDEX(FX_Temps,$AF900,K$3)</f>
        <v>60.899999999999977</v>
      </c>
      <c r="L900" cm="1">
        <f t="array" ref="L900">INDEX(FX_Temps,$AF900,L$3)</f>
        <v>58.600000000000023</v>
      </c>
      <c r="M900" cm="1">
        <f t="array" ref="M900">INDEX(FX_Temps,$AF900,M$3)</f>
        <v>52.649999999999977</v>
      </c>
      <c r="N900" cm="1">
        <f t="array" ref="N900">INDEX(FX_Temps,$AF900,N$3)</f>
        <v>47.100000000000023</v>
      </c>
      <c r="O900" cm="1">
        <f t="array" ref="O900">INDEX(FX_Temps,$AF900,O$3)</f>
        <v>43.600000000000023</v>
      </c>
      <c r="AE900">
        <v>1</v>
      </c>
      <c r="AF900">
        <f>AF892+10</f>
        <v>375</v>
      </c>
    </row>
    <row r="901" spans="2:32" ht="17.149999999999999" x14ac:dyDescent="0.55000000000000004">
      <c r="B901" t="str">
        <f t="shared" ref="B901:B922" si="3220">B900</f>
        <v>Portland</v>
      </c>
      <c r="C901" t="s">
        <v>527</v>
      </c>
      <c r="D901" cm="1">
        <f t="array" ref="D901">INDEX(FX_Temps,$AF901,D$3)</f>
        <v>43.899999999999977</v>
      </c>
      <c r="E901" cm="1">
        <f t="array" ref="E901">INDEX(FX_Temps,$AF901,E$3)</f>
        <v>44.700000000000045</v>
      </c>
      <c r="F901" cm="1">
        <f t="array" ref="F901">INDEX(FX_Temps,$AF901,F$3)</f>
        <v>46.100000000000023</v>
      </c>
      <c r="G901" cm="1">
        <f t="array" ref="G901">INDEX(FX_Temps,$AF901,G$3)</f>
        <v>48.599999999999966</v>
      </c>
      <c r="H901" cm="1">
        <f t="array" ref="H901">INDEX(FX_Temps,$AF901,H$3)</f>
        <v>53.149999999999977</v>
      </c>
      <c r="I901" cm="1">
        <f t="array" ref="I901">INDEX(FX_Temps,$AF901,I$3)</f>
        <v>56.950000000000045</v>
      </c>
      <c r="J901" cm="1">
        <f t="array" ref="J901">INDEX(FX_Temps,$AF901,J$3)</f>
        <v>60.449999999999932</v>
      </c>
      <c r="K901" cm="1">
        <f t="array" ref="K901">INDEX(FX_Temps,$AF901,K$3)</f>
        <v>60.899999999999977</v>
      </c>
      <c r="L901" cm="1">
        <f t="array" ref="L901">INDEX(FX_Temps,$AF901,L$3)</f>
        <v>58.600000000000023</v>
      </c>
      <c r="M901" cm="1">
        <f t="array" ref="M901">INDEX(FX_Temps,$AF901,M$3)</f>
        <v>52.649999999999977</v>
      </c>
      <c r="N901" cm="1">
        <f t="array" ref="N901">INDEX(FX_Temps,$AF901,N$3)</f>
        <v>47.100000000000023</v>
      </c>
      <c r="O901" cm="1">
        <f t="array" ref="O901">INDEX(FX_Temps,$AF901,O$3)</f>
        <v>43.600000000000023</v>
      </c>
      <c r="AE901">
        <f>AE900</f>
        <v>1</v>
      </c>
      <c r="AF901">
        <f>AF892+11</f>
        <v>376</v>
      </c>
    </row>
    <row r="902" spans="2:32" ht="17.149999999999999" x14ac:dyDescent="0.55000000000000004">
      <c r="B902" t="str">
        <f t="shared" si="3220"/>
        <v>Portland</v>
      </c>
      <c r="C902" t="s">
        <v>552</v>
      </c>
      <c r="D902" cm="1">
        <f t="array" ref="D902">INDEX(FX_Temps,$AF902,D$3)</f>
        <v>43.899999999999977</v>
      </c>
      <c r="E902" cm="1">
        <f t="array" ref="E902">INDEX(FX_Temps,$AF902,E$3)</f>
        <v>44.700000000000045</v>
      </c>
      <c r="F902" cm="1">
        <f t="array" ref="F902">INDEX(FX_Temps,$AF902,F$3)</f>
        <v>46.100000000000023</v>
      </c>
      <c r="G902" cm="1">
        <f t="array" ref="G902">INDEX(FX_Temps,$AF902,G$3)</f>
        <v>48.599999999999966</v>
      </c>
      <c r="H902" cm="1">
        <f t="array" ref="H902">INDEX(FX_Temps,$AF902,H$3)</f>
        <v>53.149999999999977</v>
      </c>
      <c r="I902" cm="1">
        <f t="array" ref="I902">INDEX(FX_Temps,$AF902,I$3)</f>
        <v>56.950000000000045</v>
      </c>
      <c r="J902" cm="1">
        <f t="array" ref="J902">INDEX(FX_Temps,$AF902,J$3)</f>
        <v>60.449999999999932</v>
      </c>
      <c r="K902" cm="1">
        <f t="array" ref="K902">INDEX(FX_Temps,$AF902,K$3)</f>
        <v>60.899999999999977</v>
      </c>
      <c r="L902" cm="1">
        <f t="array" ref="L902">INDEX(FX_Temps,$AF902,L$3)</f>
        <v>58.600000000000023</v>
      </c>
      <c r="M902" cm="1">
        <f t="array" ref="M902">INDEX(FX_Temps,$AF902,M$3)</f>
        <v>52.649999999999977</v>
      </c>
      <c r="N902" cm="1">
        <f t="array" ref="N902">INDEX(FX_Temps,$AF902,N$3)</f>
        <v>47.100000000000023</v>
      </c>
      <c r="O902" cm="1">
        <f t="array" ref="O902">INDEX(FX_Temps,$AF902,O$3)</f>
        <v>43.600000000000023</v>
      </c>
      <c r="AE902">
        <f>AE901</f>
        <v>1</v>
      </c>
      <c r="AF902">
        <f>AF892+13</f>
        <v>378</v>
      </c>
    </row>
    <row r="903" spans="2:32" ht="17.149999999999999" x14ac:dyDescent="0.55000000000000004">
      <c r="B903" t="str">
        <f t="shared" si="3220"/>
        <v>Portland</v>
      </c>
      <c r="C903" t="s">
        <v>574</v>
      </c>
      <c r="D903" cm="1">
        <f t="array" ref="D903">IFERROR(IF(D893="Chemical",(10^(INDEX(Antoines,MATCH(D892,Antoine_Name,0),2)-INDEX(Antoines,MATCH(D892,Antoine_Name,0),3)/(INDEX(Antoines,MATCH(D892,Antoine_Name,0),4)+(D900-32)*5/9)))*14.7/760,IF(D893="Crude Oil",EXP((2799/(D900+459.6)-2.227)*LOG10(INDEX(FX_Input,Q$5,D$3*$Z$5+$AA$5))-(7261/(D900+459.6))+12.82),IF(D893="Refined Petroleum Stock",EXP((0.7553-(413/(D900+459.6)))*(INDEX(FX_Input,Q$5,D$3*$Z$5+$AA$5-1)^0.5)*LOG10(INDEX(FX_Input,Q$5,D$3*$Z$5+$AA$5))-(1.854-(1042/(D900+459.6)))*(INDEX(FX_Input,Q$5,D$3*$Z$5+$AA$5-1)^0.5)+((2416/(D900+459.6)-2.013)*LOG10(INDEX(FX_Input,Q$5,D$3*$Z$5+$AA$5)))-(8742/(D900+459.6))+15.64),EXP(INDEX(Antoines,MATCH(D892,Antoine_Name,0),2)-INDEX(Antoines,MATCH(D892,Antoine_Name,0),3)/(D900+459.6))))),0)</f>
        <v>1</v>
      </c>
      <c r="E903" cm="1">
        <f t="array" ref="E903">IFERROR(IF(E893="Chemical",(10^(INDEX(Antoines,MATCH(E892,Antoine_Name,0),2)-INDEX(Antoines,MATCH(E892,Antoine_Name,0),3)/(INDEX(Antoines,MATCH(E892,Antoine_Name,0),4)+(E900-32)*5/9)))*14.7/760,IF(E893="Crude Oil",EXP((2799/(E900+459.6)-2.227)*LOG10(INDEX(FX_Input,R$5,E$3*$Z$5+$AA$5))-(7261/(E900+459.6))+12.82),IF(E893="Refined Petroleum Stock",EXP((0.7553-(413/(E900+459.6)))*(INDEX(FX_Input,R$5,E$3*$Z$5+$AA$5-1)^0.5)*LOG10(INDEX(FX_Input,R$5,E$3*$Z$5+$AA$5))-(1.854-(1042/(E900+459.6)))*(INDEX(FX_Input,R$5,E$3*$Z$5+$AA$5-1)^0.5)+((2416/(E900+459.6)-2.013)*LOG10(INDEX(FX_Input,R$5,E$3*$Z$5+$AA$5)))-(8742/(E900+459.6))+15.64),EXP(INDEX(Antoines,MATCH(E892,Antoine_Name,0),2)-INDEX(Antoines,MATCH(E892,Antoine_Name,0),3)/(E900+459.6))))),0)</f>
        <v>1</v>
      </c>
      <c r="F903" cm="1">
        <f t="array" ref="F903">IFERROR(IF(F893="Chemical",(10^(INDEX(Antoines,MATCH(F892,Antoine_Name,0),2)-INDEX(Antoines,MATCH(F892,Antoine_Name,0),3)/(INDEX(Antoines,MATCH(F892,Antoine_Name,0),4)+(F900-32)*5/9)))*14.7/760,IF(F893="Crude Oil",EXP((2799/(F900+459.6)-2.227)*LOG10(INDEX(FX_Input,S$5,F$3*$Z$5+$AA$5))-(7261/(F900+459.6))+12.82),IF(F893="Refined Petroleum Stock",EXP((0.7553-(413/(F900+459.6)))*(INDEX(FX_Input,S$5,F$3*$Z$5+$AA$5-1)^0.5)*LOG10(INDEX(FX_Input,S$5,F$3*$Z$5+$AA$5))-(1.854-(1042/(F900+459.6)))*(INDEX(FX_Input,S$5,F$3*$Z$5+$AA$5-1)^0.5)+((2416/(F900+459.6)-2.013)*LOG10(INDEX(FX_Input,S$5,F$3*$Z$5+$AA$5)))-(8742/(F900+459.6))+15.64),EXP(INDEX(Antoines,MATCH(F892,Antoine_Name,0),2)-INDEX(Antoines,MATCH(F892,Antoine_Name,0),3)/(F900+459.6))))),0)</f>
        <v>1</v>
      </c>
      <c r="G903" cm="1">
        <f t="array" ref="G903">IFERROR(IF(G893="Chemical",(10^(INDEX(Antoines,MATCH(G892,Antoine_Name,0),2)-INDEX(Antoines,MATCH(G892,Antoine_Name,0),3)/(INDEX(Antoines,MATCH(G892,Antoine_Name,0),4)+(G900-32)*5/9)))*14.7/760,IF(G893="Crude Oil",EXP((2799/(G900+459.6)-2.227)*LOG10(INDEX(FX_Input,T$5,G$3*$Z$5+$AA$5))-(7261/(G900+459.6))+12.82),IF(G893="Refined Petroleum Stock",EXP((0.7553-(413/(G900+459.6)))*(INDEX(FX_Input,T$5,G$3*$Z$5+$AA$5-1)^0.5)*LOG10(INDEX(FX_Input,T$5,G$3*$Z$5+$AA$5))-(1.854-(1042/(G900+459.6)))*(INDEX(FX_Input,T$5,G$3*$Z$5+$AA$5-1)^0.5)+((2416/(G900+459.6)-2.013)*LOG10(INDEX(FX_Input,T$5,G$3*$Z$5+$AA$5)))-(8742/(G900+459.6))+15.64),EXP(INDEX(Antoines,MATCH(G892,Antoine_Name,0),2)-INDEX(Antoines,MATCH(G892,Antoine_Name,0),3)/(G900+459.6))))),0)</f>
        <v>1</v>
      </c>
      <c r="H903" cm="1">
        <f t="array" ref="H903">IFERROR(IF(H893="Chemical",(10^(INDEX(Antoines,MATCH(H892,Antoine_Name,0),2)-INDEX(Antoines,MATCH(H892,Antoine_Name,0),3)/(INDEX(Antoines,MATCH(H892,Antoine_Name,0),4)+(H900-32)*5/9)))*14.7/760,IF(H893="Crude Oil",EXP((2799/(H900+459.6)-2.227)*LOG10(INDEX(FX_Input,U$5,H$3*$Z$5+$AA$5))-(7261/(H900+459.6))+12.82),IF(H893="Refined Petroleum Stock",EXP((0.7553-(413/(H900+459.6)))*(INDEX(FX_Input,U$5,H$3*$Z$5+$AA$5-1)^0.5)*LOG10(INDEX(FX_Input,U$5,H$3*$Z$5+$AA$5))-(1.854-(1042/(H900+459.6)))*(INDEX(FX_Input,U$5,H$3*$Z$5+$AA$5-1)^0.5)+((2416/(H900+459.6)-2.013)*LOG10(INDEX(FX_Input,U$5,H$3*$Z$5+$AA$5)))-(8742/(H900+459.6))+15.64),EXP(INDEX(Antoines,MATCH(H892,Antoine_Name,0),2)-INDEX(Antoines,MATCH(H892,Antoine_Name,0),3)/(H900+459.6))))),0)</f>
        <v>1</v>
      </c>
      <c r="I903" cm="1">
        <f t="array" ref="I903">IFERROR(IF(I893="Chemical",(10^(INDEX(Antoines,MATCH(I892,Antoine_Name,0),2)-INDEX(Antoines,MATCH(I892,Antoine_Name,0),3)/(INDEX(Antoines,MATCH(I892,Antoine_Name,0),4)+(I900-32)*5/9)))*14.7/760,IF(I893="Crude Oil",EXP((2799/(I900+459.6)-2.227)*LOG10(INDEX(FX_Input,V$5,I$3*$Z$5+$AA$5))-(7261/(I900+459.6))+12.82),IF(I893="Refined Petroleum Stock",EXP((0.7553-(413/(I900+459.6)))*(INDEX(FX_Input,V$5,I$3*$Z$5+$AA$5-1)^0.5)*LOG10(INDEX(FX_Input,V$5,I$3*$Z$5+$AA$5))-(1.854-(1042/(I900+459.6)))*(INDEX(FX_Input,V$5,I$3*$Z$5+$AA$5-1)^0.5)+((2416/(I900+459.6)-2.013)*LOG10(INDEX(FX_Input,V$5,I$3*$Z$5+$AA$5)))-(8742/(I900+459.6))+15.64),EXP(INDEX(Antoines,MATCH(I892,Antoine_Name,0),2)-INDEX(Antoines,MATCH(I892,Antoine_Name,0),3)/(I900+459.6))))),0)</f>
        <v>1</v>
      </c>
      <c r="J903" cm="1">
        <f t="array" ref="J903">IFERROR(IF(J893="Chemical",(10^(INDEX(Antoines,MATCH(J892,Antoine_Name,0),2)-INDEX(Antoines,MATCH(J892,Antoine_Name,0),3)/(INDEX(Antoines,MATCH(J892,Antoine_Name,0),4)+(J900-32)*5/9)))*14.7/760,IF(J893="Crude Oil",EXP((2799/(J900+459.6)-2.227)*LOG10(INDEX(FX_Input,W$5,J$3*$Z$5+$AA$5))-(7261/(J900+459.6))+12.82),IF(J893="Refined Petroleum Stock",EXP((0.7553-(413/(J900+459.6)))*(INDEX(FX_Input,W$5,J$3*$Z$5+$AA$5-1)^0.5)*LOG10(INDEX(FX_Input,W$5,J$3*$Z$5+$AA$5))-(1.854-(1042/(J900+459.6)))*(INDEX(FX_Input,W$5,J$3*$Z$5+$AA$5-1)^0.5)+((2416/(J900+459.6)-2.013)*LOG10(INDEX(FX_Input,W$5,J$3*$Z$5+$AA$5)))-(8742/(J900+459.6))+15.64),EXP(INDEX(Antoines,MATCH(J892,Antoine_Name,0),2)-INDEX(Antoines,MATCH(J892,Antoine_Name,0),3)/(J900+459.6))))),0)</f>
        <v>1</v>
      </c>
      <c r="K903" cm="1">
        <f t="array" ref="K903">IFERROR(IF(K893="Chemical",(10^(INDEX(Antoines,MATCH(K892,Antoine_Name,0),2)-INDEX(Antoines,MATCH(K892,Antoine_Name,0),3)/(INDEX(Antoines,MATCH(K892,Antoine_Name,0),4)+(K900-32)*5/9)))*14.7/760,IF(K893="Crude Oil",EXP((2799/(K900+459.6)-2.227)*LOG10(INDEX(FX_Input,X$5,K$3*$Z$5+$AA$5))-(7261/(K900+459.6))+12.82),IF(K893="Refined Petroleum Stock",EXP((0.7553-(413/(K900+459.6)))*(INDEX(FX_Input,X$5,K$3*$Z$5+$AA$5-1)^0.5)*LOG10(INDEX(FX_Input,X$5,K$3*$Z$5+$AA$5))-(1.854-(1042/(K900+459.6)))*(INDEX(FX_Input,X$5,K$3*$Z$5+$AA$5-1)^0.5)+((2416/(K900+459.6)-2.013)*LOG10(INDEX(FX_Input,X$5,K$3*$Z$5+$AA$5)))-(8742/(K900+459.6))+15.64),EXP(INDEX(Antoines,MATCH(K892,Antoine_Name,0),2)-INDEX(Antoines,MATCH(K892,Antoine_Name,0),3)/(K900+459.6))))),0)</f>
        <v>1</v>
      </c>
      <c r="L903" cm="1">
        <f t="array" ref="L903">IFERROR(IF(L893="Chemical",(10^(INDEX(Antoines,MATCH(L892,Antoine_Name,0),2)-INDEX(Antoines,MATCH(L892,Antoine_Name,0),3)/(INDEX(Antoines,MATCH(L892,Antoine_Name,0),4)+(L900-32)*5/9)))*14.7/760,IF(L893="Crude Oil",EXP((2799/(L900+459.6)-2.227)*LOG10(INDEX(FX_Input,Y$5,L$3*$Z$5+$AA$5))-(7261/(L900+459.6))+12.82),IF(L893="Refined Petroleum Stock",EXP((0.7553-(413/(L900+459.6)))*(INDEX(FX_Input,Y$5,L$3*$Z$5+$AA$5-1)^0.5)*LOG10(INDEX(FX_Input,Y$5,L$3*$Z$5+$AA$5))-(1.854-(1042/(L900+459.6)))*(INDEX(FX_Input,Y$5,L$3*$Z$5+$AA$5-1)^0.5)+((2416/(L900+459.6)-2.013)*LOG10(INDEX(FX_Input,Y$5,L$3*$Z$5+$AA$5)))-(8742/(L900+459.6))+15.64),EXP(INDEX(Antoines,MATCH(L892,Antoine_Name,0),2)-INDEX(Antoines,MATCH(L892,Antoine_Name,0),3)/(L900+459.6))))),0)</f>
        <v>1</v>
      </c>
      <c r="M903" cm="1">
        <f t="array" ref="M903">IFERROR(IF(M893="Chemical",(10^(INDEX(Antoines,MATCH(M892,Antoine_Name,0),2)-INDEX(Antoines,MATCH(M892,Antoine_Name,0),3)/(INDEX(Antoines,MATCH(M892,Antoine_Name,0),4)+(M900-32)*5/9)))*14.7/760,IF(M893="Crude Oil",EXP((2799/(M900+459.6)-2.227)*LOG10(INDEX(FX_Input,Z$5,M$3*$Z$5+$AA$5))-(7261/(M900+459.6))+12.82),IF(M893="Refined Petroleum Stock",EXP((0.7553-(413/(M900+459.6)))*(INDEX(FX_Input,Z$5,M$3*$Z$5+$AA$5-1)^0.5)*LOG10(INDEX(FX_Input,Z$5,M$3*$Z$5+$AA$5))-(1.854-(1042/(M900+459.6)))*(INDEX(FX_Input,Z$5,M$3*$Z$5+$AA$5-1)^0.5)+((2416/(M900+459.6)-2.013)*LOG10(INDEX(FX_Input,Z$5,M$3*$Z$5+$AA$5)))-(8742/(M900+459.6))+15.64),EXP(INDEX(Antoines,MATCH(M892,Antoine_Name,0),2)-INDEX(Antoines,MATCH(M892,Antoine_Name,0),3)/(M900+459.6))))),0)</f>
        <v>1</v>
      </c>
      <c r="N903" cm="1">
        <f t="array" ref="N903">IFERROR(IF(N893="Chemical",(10^(INDEX(Antoines,MATCH(N892,Antoine_Name,0),2)-INDEX(Antoines,MATCH(N892,Antoine_Name,0),3)/(INDEX(Antoines,MATCH(N892,Antoine_Name,0),4)+(N900-32)*5/9)))*14.7/760,IF(N893="Crude Oil",EXP((2799/(N900+459.6)-2.227)*LOG10(INDEX(FX_Input,AA$5,N$3*$Z$5+$AA$5))-(7261/(N900+459.6))+12.82),IF(N893="Refined Petroleum Stock",EXP((0.7553-(413/(N900+459.6)))*(INDEX(FX_Input,AA$5,N$3*$Z$5+$AA$5-1)^0.5)*LOG10(INDEX(FX_Input,AA$5,N$3*$Z$5+$AA$5))-(1.854-(1042/(N900+459.6)))*(INDEX(FX_Input,AA$5,N$3*$Z$5+$AA$5-1)^0.5)+((2416/(N900+459.6)-2.013)*LOG10(INDEX(FX_Input,AA$5,N$3*$Z$5+$AA$5)))-(8742/(N900+459.6))+15.64),EXP(INDEX(Antoines,MATCH(N892,Antoine_Name,0),2)-INDEX(Antoines,MATCH(N892,Antoine_Name,0),3)/(N900+459.6))))),0)</f>
        <v>1</v>
      </c>
      <c r="O903" cm="1">
        <f t="array" ref="O903">IFERROR(IF(O893="Chemical",(10^(INDEX(Antoines,MATCH(O892,Antoine_Name,0),2)-INDEX(Antoines,MATCH(O892,Antoine_Name,0),3)/(INDEX(Antoines,MATCH(O892,Antoine_Name,0),4)+(O900-32)*5/9)))*14.7/760,IF(O893="Crude Oil",EXP((2799/(O900+459.6)-2.227)*LOG10(INDEX(FX_Input,AB$5,O$3*$Z$5+$AA$5))-(7261/(O900+459.6))+12.82),IF(O893="Refined Petroleum Stock",EXP((0.7553-(413/(O900+459.6)))*(INDEX(FX_Input,AB$5,O$3*$Z$5+$AA$5-1)^0.5)*LOG10(INDEX(FX_Input,AB$5,O$3*$Z$5+$AA$5))-(1.854-(1042/(O900+459.6)))*(INDEX(FX_Input,AB$5,O$3*$Z$5+$AA$5-1)^0.5)+((2416/(O900+459.6)-2.013)*LOG10(INDEX(FX_Input,AB$5,O$3*$Z$5+$AA$5)))-(8742/(O900+459.6))+15.64),EXP(INDEX(Antoines,MATCH(O892,Antoine_Name,0),2)-INDEX(Antoines,MATCH(O892,Antoine_Name,0),3)/(O900+459.6))))),0)</f>
        <v>1</v>
      </c>
    </row>
    <row r="904" spans="2:32" ht="17.149999999999999" x14ac:dyDescent="0.55000000000000004">
      <c r="B904" t="str">
        <f t="shared" si="3220"/>
        <v>Portland</v>
      </c>
      <c r="C904" t="s">
        <v>576</v>
      </c>
      <c r="D904">
        <f>D896*D903</f>
        <v>1</v>
      </c>
      <c r="E904">
        <f t="shared" ref="E904" si="3221">E896*E903</f>
        <v>1</v>
      </c>
      <c r="F904">
        <f t="shared" ref="F904" si="3222">F896*F903</f>
        <v>1</v>
      </c>
      <c r="G904">
        <f t="shared" ref="G904" si="3223">G896*G903</f>
        <v>1</v>
      </c>
      <c r="H904">
        <f t="shared" ref="H904" si="3224">H896*H903</f>
        <v>1</v>
      </c>
      <c r="I904">
        <f t="shared" ref="I904" si="3225">I896*I903</f>
        <v>1</v>
      </c>
      <c r="J904">
        <f t="shared" ref="J904" si="3226">J896*J903</f>
        <v>1</v>
      </c>
      <c r="K904">
        <f t="shared" ref="K904" si="3227">K896*K903</f>
        <v>1</v>
      </c>
      <c r="L904">
        <f t="shared" ref="L904" si="3228">L896*L903</f>
        <v>1</v>
      </c>
      <c r="M904">
        <f t="shared" ref="M904" si="3229">M896*M903</f>
        <v>1</v>
      </c>
      <c r="N904">
        <f t="shared" ref="N904" si="3230">N896*N903</f>
        <v>1</v>
      </c>
      <c r="O904">
        <f t="shared" ref="O904" si="3231">O896*O903</f>
        <v>1</v>
      </c>
    </row>
    <row r="905" spans="2:32" ht="17.149999999999999" x14ac:dyDescent="0.55000000000000004">
      <c r="B905" t="str">
        <f t="shared" si="3220"/>
        <v>Portland</v>
      </c>
      <c r="C905" t="s">
        <v>575</v>
      </c>
      <c r="D905" cm="1">
        <f t="array" ref="D905">IFERROR(IF(D895="Chemical",(10^(INDEX(Antoines,MATCH(D894,Antoine_Name,0),2)-INDEX(Antoines,MATCH(D894,Antoine_Name,0),3)/(INDEX(Antoines,MATCH(D894,Antoine_Name,0),4)+(D900-32)*5/9)))*14.7/760,IF(D895="Crude Oil",EXP((2799/(D900+459.6)-2.227)*LOG10(INDEX(FX_Input,Q$5,D$3*$Z$5+$AA$5))-(7261/(D900+459.6))+12.82),IF(D895="Refined Petroleum Stock",EXP((0.7553-(413/(D900+459.6)))*(INDEX(FX_Input,Q$5,D$3*$Z$5+$AA$5-1)^0.5)*LOG10(INDEX(FX_Input,Q$5,D$3*$Z$5+$AA$5))-(1.854-(1042/(D900+459.6)))*(INDEX(FX_Input,Q$5,D$3*$Z$5+$AA$5-1)^0.5)+((2416/(D900+459.6)-2.013)*LOG10(INDEX(FX_Input,Q$5,D$3*$Z$5+$AA$5)))-(8742/(D900+459.6))+15.64),EXP(INDEX(Antoines,MATCH(D894,Antoine_Name,0),2)-INDEX(Antoines,MATCH(D894,Antoine_Name,0),3)/(D900+459.6))))),0)</f>
        <v>0</v>
      </c>
      <c r="E905" cm="1">
        <f t="array" ref="E905">IFERROR(IF(E895="Chemical",(10^(INDEX(Antoines,MATCH(E894,Antoine_Name,0),2)-INDEX(Antoines,MATCH(E894,Antoine_Name,0),3)/(INDEX(Antoines,MATCH(E894,Antoine_Name,0),4)+(E900-32)*5/9)))*14.7/760,IF(E895="Crude Oil",EXP((2799/(E900+459.6)-2.227)*LOG10(INDEX(FX_Input,R$5,E$3*$Z$5+$AA$5))-(7261/(E900+459.6))+12.82),IF(E895="Refined Petroleum Stock",EXP((0.7553-(413/(E900+459.6)))*(INDEX(FX_Input,R$5,E$3*$Z$5+$AA$5-1)^0.5)*LOG10(INDEX(FX_Input,R$5,E$3*$Z$5+$AA$5))-(1.854-(1042/(E900+459.6)))*(INDEX(FX_Input,R$5,E$3*$Z$5+$AA$5-1)^0.5)+((2416/(E900+459.6)-2.013)*LOG10(INDEX(FX_Input,R$5,E$3*$Z$5+$AA$5)))-(8742/(E900+459.6))+15.64),EXP(INDEX(Antoines,MATCH(E894,Antoine_Name,0),2)-INDEX(Antoines,MATCH(E894,Antoine_Name,0),3)/(E900+459.6))))),0)</f>
        <v>0</v>
      </c>
      <c r="F905" cm="1">
        <f t="array" ref="F905">IFERROR(IF(F895="Chemical",(10^(INDEX(Antoines,MATCH(F894,Antoine_Name,0),2)-INDEX(Antoines,MATCH(F894,Antoine_Name,0),3)/(INDEX(Antoines,MATCH(F894,Antoine_Name,0),4)+(F900-32)*5/9)))*14.7/760,IF(F895="Crude Oil",EXP((2799/(F900+459.6)-2.227)*LOG10(INDEX(FX_Input,S$5,F$3*$Z$5+$AA$5))-(7261/(F900+459.6))+12.82),IF(F895="Refined Petroleum Stock",EXP((0.7553-(413/(F900+459.6)))*(INDEX(FX_Input,S$5,F$3*$Z$5+$AA$5-1)^0.5)*LOG10(INDEX(FX_Input,S$5,F$3*$Z$5+$AA$5))-(1.854-(1042/(F900+459.6)))*(INDEX(FX_Input,S$5,F$3*$Z$5+$AA$5-1)^0.5)+((2416/(F900+459.6)-2.013)*LOG10(INDEX(FX_Input,S$5,F$3*$Z$5+$AA$5)))-(8742/(F900+459.6))+15.64),EXP(INDEX(Antoines,MATCH(F894,Antoine_Name,0),2)-INDEX(Antoines,MATCH(F894,Antoine_Name,0),3)/(F900+459.6))))),0)</f>
        <v>0</v>
      </c>
      <c r="G905" cm="1">
        <f t="array" ref="G905">IFERROR(IF(G895="Chemical",(10^(INDEX(Antoines,MATCH(G894,Antoine_Name,0),2)-INDEX(Antoines,MATCH(G894,Antoine_Name,0),3)/(INDEX(Antoines,MATCH(G894,Antoine_Name,0),4)+(G900-32)*5/9)))*14.7/760,IF(G895="Crude Oil",EXP((2799/(G900+459.6)-2.227)*LOG10(INDEX(FX_Input,T$5,G$3*$Z$5+$AA$5))-(7261/(G900+459.6))+12.82),IF(G895="Refined Petroleum Stock",EXP((0.7553-(413/(G900+459.6)))*(INDEX(FX_Input,T$5,G$3*$Z$5+$AA$5-1)^0.5)*LOG10(INDEX(FX_Input,T$5,G$3*$Z$5+$AA$5))-(1.854-(1042/(G900+459.6)))*(INDEX(FX_Input,T$5,G$3*$Z$5+$AA$5-1)^0.5)+((2416/(G900+459.6)-2.013)*LOG10(INDEX(FX_Input,T$5,G$3*$Z$5+$AA$5)))-(8742/(G900+459.6))+15.64),EXP(INDEX(Antoines,MATCH(G894,Antoine_Name,0),2)-INDEX(Antoines,MATCH(G894,Antoine_Name,0),3)/(G900+459.6))))),0)</f>
        <v>0</v>
      </c>
      <c r="H905" cm="1">
        <f t="array" ref="H905">IFERROR(IF(H895="Chemical",(10^(INDEX(Antoines,MATCH(H894,Antoine_Name,0),2)-INDEX(Antoines,MATCH(H894,Antoine_Name,0),3)/(INDEX(Antoines,MATCH(H894,Antoine_Name,0),4)+(H900-32)*5/9)))*14.7/760,IF(H895="Crude Oil",EXP((2799/(H900+459.6)-2.227)*LOG10(INDEX(FX_Input,U$5,H$3*$Z$5+$AA$5))-(7261/(H900+459.6))+12.82),IF(H895="Refined Petroleum Stock",EXP((0.7553-(413/(H900+459.6)))*(INDEX(FX_Input,U$5,H$3*$Z$5+$AA$5-1)^0.5)*LOG10(INDEX(FX_Input,U$5,H$3*$Z$5+$AA$5))-(1.854-(1042/(H900+459.6)))*(INDEX(FX_Input,U$5,H$3*$Z$5+$AA$5-1)^0.5)+((2416/(H900+459.6)-2.013)*LOG10(INDEX(FX_Input,U$5,H$3*$Z$5+$AA$5)))-(8742/(H900+459.6))+15.64),EXP(INDEX(Antoines,MATCH(H894,Antoine_Name,0),2)-INDEX(Antoines,MATCH(H894,Antoine_Name,0),3)/(H900+459.6))))),0)</f>
        <v>0</v>
      </c>
      <c r="I905" cm="1">
        <f t="array" ref="I905">IFERROR(IF(I895="Chemical",(10^(INDEX(Antoines,MATCH(I894,Antoine_Name,0),2)-INDEX(Antoines,MATCH(I894,Antoine_Name,0),3)/(INDEX(Antoines,MATCH(I894,Antoine_Name,0),4)+(I900-32)*5/9)))*14.7/760,IF(I895="Crude Oil",EXP((2799/(I900+459.6)-2.227)*LOG10(INDEX(FX_Input,V$5,I$3*$Z$5+$AA$5))-(7261/(I900+459.6))+12.82),IF(I895="Refined Petroleum Stock",EXP((0.7553-(413/(I900+459.6)))*(INDEX(FX_Input,V$5,I$3*$Z$5+$AA$5-1)^0.5)*LOG10(INDEX(FX_Input,V$5,I$3*$Z$5+$AA$5))-(1.854-(1042/(I900+459.6)))*(INDEX(FX_Input,V$5,I$3*$Z$5+$AA$5-1)^0.5)+((2416/(I900+459.6)-2.013)*LOG10(INDEX(FX_Input,V$5,I$3*$Z$5+$AA$5)))-(8742/(I900+459.6))+15.64),EXP(INDEX(Antoines,MATCH(I894,Antoine_Name,0),2)-INDEX(Antoines,MATCH(I894,Antoine_Name,0),3)/(I900+459.6))))),0)</f>
        <v>0</v>
      </c>
      <c r="J905" cm="1">
        <f t="array" ref="J905">IFERROR(IF(J895="Chemical",(10^(INDEX(Antoines,MATCH(J894,Antoine_Name,0),2)-INDEX(Antoines,MATCH(J894,Antoine_Name,0),3)/(INDEX(Antoines,MATCH(J894,Antoine_Name,0),4)+(J900-32)*5/9)))*14.7/760,IF(J895="Crude Oil",EXP((2799/(J900+459.6)-2.227)*LOG10(INDEX(FX_Input,W$5,J$3*$Z$5+$AA$5))-(7261/(J900+459.6))+12.82),IF(J895="Refined Petroleum Stock",EXP((0.7553-(413/(J900+459.6)))*(INDEX(FX_Input,W$5,J$3*$Z$5+$AA$5-1)^0.5)*LOG10(INDEX(FX_Input,W$5,J$3*$Z$5+$AA$5))-(1.854-(1042/(J900+459.6)))*(INDEX(FX_Input,W$5,J$3*$Z$5+$AA$5-1)^0.5)+((2416/(J900+459.6)-2.013)*LOG10(INDEX(FX_Input,W$5,J$3*$Z$5+$AA$5)))-(8742/(J900+459.6))+15.64),EXP(INDEX(Antoines,MATCH(J894,Antoine_Name,0),2)-INDEX(Antoines,MATCH(J894,Antoine_Name,0),3)/(J900+459.6))))),0)</f>
        <v>0</v>
      </c>
      <c r="K905" cm="1">
        <f t="array" ref="K905">IFERROR(IF(K895="Chemical",(10^(INDEX(Antoines,MATCH(K894,Antoine_Name,0),2)-INDEX(Antoines,MATCH(K894,Antoine_Name,0),3)/(INDEX(Antoines,MATCH(K894,Antoine_Name,0),4)+(K900-32)*5/9)))*14.7/760,IF(K895="Crude Oil",EXP((2799/(K900+459.6)-2.227)*LOG10(INDEX(FX_Input,X$5,K$3*$Z$5+$AA$5))-(7261/(K900+459.6))+12.82),IF(K895="Refined Petroleum Stock",EXP((0.7553-(413/(K900+459.6)))*(INDEX(FX_Input,X$5,K$3*$Z$5+$AA$5-1)^0.5)*LOG10(INDEX(FX_Input,X$5,K$3*$Z$5+$AA$5))-(1.854-(1042/(K900+459.6)))*(INDEX(FX_Input,X$5,K$3*$Z$5+$AA$5-1)^0.5)+((2416/(K900+459.6)-2.013)*LOG10(INDEX(FX_Input,X$5,K$3*$Z$5+$AA$5)))-(8742/(K900+459.6))+15.64),EXP(INDEX(Antoines,MATCH(K894,Antoine_Name,0),2)-INDEX(Antoines,MATCH(K894,Antoine_Name,0),3)/(K900+459.6))))),0)</f>
        <v>0</v>
      </c>
      <c r="L905" cm="1">
        <f t="array" ref="L905">IFERROR(IF(L895="Chemical",(10^(INDEX(Antoines,MATCH(L894,Antoine_Name,0),2)-INDEX(Antoines,MATCH(L894,Antoine_Name,0),3)/(INDEX(Antoines,MATCH(L894,Antoine_Name,0),4)+(L900-32)*5/9)))*14.7/760,IF(L895="Crude Oil",EXP((2799/(L900+459.6)-2.227)*LOG10(INDEX(FX_Input,Y$5,L$3*$Z$5+$AA$5))-(7261/(L900+459.6))+12.82),IF(L895="Refined Petroleum Stock",EXP((0.7553-(413/(L900+459.6)))*(INDEX(FX_Input,Y$5,L$3*$Z$5+$AA$5-1)^0.5)*LOG10(INDEX(FX_Input,Y$5,L$3*$Z$5+$AA$5))-(1.854-(1042/(L900+459.6)))*(INDEX(FX_Input,Y$5,L$3*$Z$5+$AA$5-1)^0.5)+((2416/(L900+459.6)-2.013)*LOG10(INDEX(FX_Input,Y$5,L$3*$Z$5+$AA$5)))-(8742/(L900+459.6))+15.64),EXP(INDEX(Antoines,MATCH(L894,Antoine_Name,0),2)-INDEX(Antoines,MATCH(L894,Antoine_Name,0),3)/(L900+459.6))))),0)</f>
        <v>0</v>
      </c>
      <c r="M905" cm="1">
        <f t="array" ref="M905">IFERROR(IF(M895="Chemical",(10^(INDEX(Antoines,MATCH(M894,Antoine_Name,0),2)-INDEX(Antoines,MATCH(M894,Antoine_Name,0),3)/(INDEX(Antoines,MATCH(M894,Antoine_Name,0),4)+(M900-32)*5/9)))*14.7/760,IF(M895="Crude Oil",EXP((2799/(M900+459.6)-2.227)*LOG10(INDEX(FX_Input,Z$5,M$3*$Z$5+$AA$5))-(7261/(M900+459.6))+12.82),IF(M895="Refined Petroleum Stock",EXP((0.7553-(413/(M900+459.6)))*(INDEX(FX_Input,Z$5,M$3*$Z$5+$AA$5-1)^0.5)*LOG10(INDEX(FX_Input,Z$5,M$3*$Z$5+$AA$5))-(1.854-(1042/(M900+459.6)))*(INDEX(FX_Input,Z$5,M$3*$Z$5+$AA$5-1)^0.5)+((2416/(M900+459.6)-2.013)*LOG10(INDEX(FX_Input,Z$5,M$3*$Z$5+$AA$5)))-(8742/(M900+459.6))+15.64),EXP(INDEX(Antoines,MATCH(M894,Antoine_Name,0),2)-INDEX(Antoines,MATCH(M894,Antoine_Name,0),3)/(M900+459.6))))),0)</f>
        <v>0</v>
      </c>
      <c r="N905" cm="1">
        <f t="array" ref="N905">IFERROR(IF(N895="Chemical",(10^(INDEX(Antoines,MATCH(N894,Antoine_Name,0),2)-INDEX(Antoines,MATCH(N894,Antoine_Name,0),3)/(INDEX(Antoines,MATCH(N894,Antoine_Name,0),4)+(N900-32)*5/9)))*14.7/760,IF(N895="Crude Oil",EXP((2799/(N900+459.6)-2.227)*LOG10(INDEX(FX_Input,AA$5,N$3*$Z$5+$AA$5))-(7261/(N900+459.6))+12.82),IF(N895="Refined Petroleum Stock",EXP((0.7553-(413/(N900+459.6)))*(INDEX(FX_Input,AA$5,N$3*$Z$5+$AA$5-1)^0.5)*LOG10(INDEX(FX_Input,AA$5,N$3*$Z$5+$AA$5))-(1.854-(1042/(N900+459.6)))*(INDEX(FX_Input,AA$5,N$3*$Z$5+$AA$5-1)^0.5)+((2416/(N900+459.6)-2.013)*LOG10(INDEX(FX_Input,AA$5,N$3*$Z$5+$AA$5)))-(8742/(N900+459.6))+15.64),EXP(INDEX(Antoines,MATCH(N894,Antoine_Name,0),2)-INDEX(Antoines,MATCH(N894,Antoine_Name,0),3)/(N900+459.6))))),0)</f>
        <v>0</v>
      </c>
      <c r="O905" cm="1">
        <f t="array" ref="O905">IFERROR(IF(O895="Chemical",(10^(INDEX(Antoines,MATCH(O894,Antoine_Name,0),2)-INDEX(Antoines,MATCH(O894,Antoine_Name,0),3)/(INDEX(Antoines,MATCH(O894,Antoine_Name,0),4)+(O900-32)*5/9)))*14.7/760,IF(O895="Crude Oil",EXP((2799/(O900+459.6)-2.227)*LOG10(INDEX(FX_Input,AB$5,O$3*$Z$5+$AA$5))-(7261/(O900+459.6))+12.82),IF(O895="Refined Petroleum Stock",EXP((0.7553-(413/(O900+459.6)))*(INDEX(FX_Input,AB$5,O$3*$Z$5+$AA$5-1)^0.5)*LOG10(INDEX(FX_Input,AB$5,O$3*$Z$5+$AA$5))-(1.854-(1042/(O900+459.6)))*(INDEX(FX_Input,AB$5,O$3*$Z$5+$AA$5-1)^0.5)+((2416/(O900+459.6)-2.013)*LOG10(INDEX(FX_Input,AB$5,O$3*$Z$5+$AA$5)))-(8742/(O900+459.6))+15.64),EXP(INDEX(Antoines,MATCH(O894,Antoine_Name,0),2)-INDEX(Antoines,MATCH(O894,Antoine_Name,0),3)/(O900+459.6))))),0)</f>
        <v>0</v>
      </c>
    </row>
    <row r="906" spans="2:32" ht="17.149999999999999" x14ac:dyDescent="0.55000000000000004">
      <c r="B906" t="str">
        <f t="shared" si="3220"/>
        <v>Portland</v>
      </c>
      <c r="C906" t="s">
        <v>577</v>
      </c>
      <c r="D906">
        <f>D905*D898</f>
        <v>0</v>
      </c>
      <c r="E906">
        <f t="shared" ref="E906" si="3232">E905*E898</f>
        <v>0</v>
      </c>
      <c r="F906">
        <f t="shared" ref="F906" si="3233">F905*F898</f>
        <v>0</v>
      </c>
      <c r="G906">
        <f t="shared" ref="G906" si="3234">G905*G898</f>
        <v>0</v>
      </c>
      <c r="H906">
        <f t="shared" ref="H906" si="3235">H905*H898</f>
        <v>0</v>
      </c>
      <c r="I906">
        <f t="shared" ref="I906" si="3236">I905*I898</f>
        <v>0</v>
      </c>
      <c r="J906">
        <f t="shared" ref="J906" si="3237">J905*J898</f>
        <v>0</v>
      </c>
      <c r="K906">
        <f t="shared" ref="K906" si="3238">K905*K898</f>
        <v>0</v>
      </c>
      <c r="L906">
        <f t="shared" ref="L906" si="3239">L905*L898</f>
        <v>0</v>
      </c>
      <c r="M906">
        <f t="shared" ref="M906" si="3240">M905*M898</f>
        <v>0</v>
      </c>
      <c r="N906">
        <f t="shared" ref="N906" si="3241">N905*N898</f>
        <v>0</v>
      </c>
      <c r="O906">
        <f t="shared" ref="O906" si="3242">O905*O898</f>
        <v>0</v>
      </c>
    </row>
    <row r="907" spans="2:32" ht="17.149999999999999" x14ac:dyDescent="0.55000000000000004">
      <c r="B907" t="str">
        <f t="shared" si="3220"/>
        <v>Portland</v>
      </c>
      <c r="C907" t="s">
        <v>578</v>
      </c>
      <c r="D907">
        <f>D906+D904</f>
        <v>1</v>
      </c>
      <c r="E907">
        <f t="shared" ref="E907" si="3243">E906+E904</f>
        <v>1</v>
      </c>
      <c r="F907">
        <f t="shared" ref="F907" si="3244">F906+F904</f>
        <v>1</v>
      </c>
      <c r="G907">
        <f t="shared" ref="G907" si="3245">G906+G904</f>
        <v>1</v>
      </c>
      <c r="H907">
        <f t="shared" ref="H907" si="3246">H906+H904</f>
        <v>1</v>
      </c>
      <c r="I907">
        <f t="shared" ref="I907" si="3247">I906+I904</f>
        <v>1</v>
      </c>
      <c r="J907">
        <f t="shared" ref="J907" si="3248">J906+J904</f>
        <v>1</v>
      </c>
      <c r="K907">
        <f t="shared" ref="K907" si="3249">K906+K904</f>
        <v>1</v>
      </c>
      <c r="L907">
        <f t="shared" ref="L907" si="3250">L906+L904</f>
        <v>1</v>
      </c>
      <c r="M907">
        <f t="shared" ref="M907" si="3251">M906+M904</f>
        <v>1</v>
      </c>
      <c r="N907">
        <f t="shared" ref="N907" si="3252">N906+N904</f>
        <v>1</v>
      </c>
      <c r="O907">
        <f t="shared" ref="O907" si="3253">O906+O904</f>
        <v>1</v>
      </c>
    </row>
    <row r="908" spans="2:32" ht="17.149999999999999" x14ac:dyDescent="0.55000000000000004">
      <c r="B908" t="str">
        <f t="shared" si="3220"/>
        <v>Portland</v>
      </c>
      <c r="C908" t="s">
        <v>579</v>
      </c>
      <c r="D908" cm="1">
        <f t="array" ref="D908">IFERROR(IF(D893="Chemical",(10^(INDEX(Antoines,MATCH(D892,Antoine_Name,0),2)-INDEX(Antoines,MATCH(D892,Antoine_Name,0),3)/(INDEX(Antoines,MATCH(D892,Antoine_Name,0),4)+(D901-32)*5/9)))*14.7/760,IF(D893="Crude Oil",EXP((2799/(D901+459.6)-2.227)*LOG10(INDEX(FX_Input,Q$5,D$3*$Z$5+$AA$5))-(7261/(D901+459.6))+12.82),IF(D893="Refined Petroleum Stock",EXP((0.7553-(413/(D901+459.6)))*(INDEX(FX_Input,Q$5,D$3*$Z$5+$AA$5-1)^0.5)*LOG10(INDEX(FX_Input,Q$5,D$3*$Z$5+$AA$5))-(1.854-(1042/(D901+459.6)))*(INDEX(FX_Input,Q$5,D$3*$Z$5+$AA$5-1)^0.5)+((2416/(D901+459.6)-2.013)*LOG10(INDEX(FX_Input,Q$5,D$3*$Z$5+$AA$5)))-(8742/(D901+459.6))+15.64),EXP(INDEX(Antoines,MATCH(D892,Antoine_Name,0),2)-INDEX(Antoines,MATCH(D892,Antoine_Name,0),3)/(D901+459.6))))),0)</f>
        <v>1</v>
      </c>
      <c r="E908" cm="1">
        <f t="array" ref="E908">IFERROR(IF(E893="Chemical",(10^(INDEX(Antoines,MATCH(E892,Antoine_Name,0),2)-INDEX(Antoines,MATCH(E892,Antoine_Name,0),3)/(INDEX(Antoines,MATCH(E892,Antoine_Name,0),4)+(E901-32)*5/9)))*14.7/760,IF(E893="Crude Oil",EXP((2799/(E901+459.6)-2.227)*LOG10(INDEX(FX_Input,R$5,E$3*$Z$5+$AA$5))-(7261/(E901+459.6))+12.82),IF(E893="Refined Petroleum Stock",EXP((0.7553-(413/(E901+459.6)))*(INDEX(FX_Input,R$5,E$3*$Z$5+$AA$5-1)^0.5)*LOG10(INDEX(FX_Input,R$5,E$3*$Z$5+$AA$5))-(1.854-(1042/(E901+459.6)))*(INDEX(FX_Input,R$5,E$3*$Z$5+$AA$5-1)^0.5)+((2416/(E901+459.6)-2.013)*LOG10(INDEX(FX_Input,R$5,E$3*$Z$5+$AA$5)))-(8742/(E901+459.6))+15.64),EXP(INDEX(Antoines,MATCH(E892,Antoine_Name,0),2)-INDEX(Antoines,MATCH(E892,Antoine_Name,0),3)/(E901+459.6))))),0)</f>
        <v>1</v>
      </c>
      <c r="F908" cm="1">
        <f t="array" ref="F908">IFERROR(IF(F893="Chemical",(10^(INDEX(Antoines,MATCH(F892,Antoine_Name,0),2)-INDEX(Antoines,MATCH(F892,Antoine_Name,0),3)/(INDEX(Antoines,MATCH(F892,Antoine_Name,0),4)+(F901-32)*5/9)))*14.7/760,IF(F893="Crude Oil",EXP((2799/(F901+459.6)-2.227)*LOG10(INDEX(FX_Input,S$5,F$3*$Z$5+$AA$5))-(7261/(F901+459.6))+12.82),IF(F893="Refined Petroleum Stock",EXP((0.7553-(413/(F901+459.6)))*(INDEX(FX_Input,S$5,F$3*$Z$5+$AA$5-1)^0.5)*LOG10(INDEX(FX_Input,S$5,F$3*$Z$5+$AA$5))-(1.854-(1042/(F901+459.6)))*(INDEX(FX_Input,S$5,F$3*$Z$5+$AA$5-1)^0.5)+((2416/(F901+459.6)-2.013)*LOG10(INDEX(FX_Input,S$5,F$3*$Z$5+$AA$5)))-(8742/(F901+459.6))+15.64),EXP(INDEX(Antoines,MATCH(F892,Antoine_Name,0),2)-INDEX(Antoines,MATCH(F892,Antoine_Name,0),3)/(F901+459.6))))),0)</f>
        <v>1</v>
      </c>
      <c r="G908" cm="1">
        <f t="array" ref="G908">IFERROR(IF(G893="Chemical",(10^(INDEX(Antoines,MATCH(G892,Antoine_Name,0),2)-INDEX(Antoines,MATCH(G892,Antoine_Name,0),3)/(INDEX(Antoines,MATCH(G892,Antoine_Name,0),4)+(G901-32)*5/9)))*14.7/760,IF(G893="Crude Oil",EXP((2799/(G901+459.6)-2.227)*LOG10(INDEX(FX_Input,T$5,G$3*$Z$5+$AA$5))-(7261/(G901+459.6))+12.82),IF(G893="Refined Petroleum Stock",EXP((0.7553-(413/(G901+459.6)))*(INDEX(FX_Input,T$5,G$3*$Z$5+$AA$5-1)^0.5)*LOG10(INDEX(FX_Input,T$5,G$3*$Z$5+$AA$5))-(1.854-(1042/(G901+459.6)))*(INDEX(FX_Input,T$5,G$3*$Z$5+$AA$5-1)^0.5)+((2416/(G901+459.6)-2.013)*LOG10(INDEX(FX_Input,T$5,G$3*$Z$5+$AA$5)))-(8742/(G901+459.6))+15.64),EXP(INDEX(Antoines,MATCH(G892,Antoine_Name,0),2)-INDEX(Antoines,MATCH(G892,Antoine_Name,0),3)/(G901+459.6))))),0)</f>
        <v>1</v>
      </c>
      <c r="H908" cm="1">
        <f t="array" ref="H908">IFERROR(IF(H893="Chemical",(10^(INDEX(Antoines,MATCH(H892,Antoine_Name,0),2)-INDEX(Antoines,MATCH(H892,Antoine_Name,0),3)/(INDEX(Antoines,MATCH(H892,Antoine_Name,0),4)+(H901-32)*5/9)))*14.7/760,IF(H893="Crude Oil",EXP((2799/(H901+459.6)-2.227)*LOG10(INDEX(FX_Input,U$5,H$3*$Z$5+$AA$5))-(7261/(H901+459.6))+12.82),IF(H893="Refined Petroleum Stock",EXP((0.7553-(413/(H901+459.6)))*(INDEX(FX_Input,U$5,H$3*$Z$5+$AA$5-1)^0.5)*LOG10(INDEX(FX_Input,U$5,H$3*$Z$5+$AA$5))-(1.854-(1042/(H901+459.6)))*(INDEX(FX_Input,U$5,H$3*$Z$5+$AA$5-1)^0.5)+((2416/(H901+459.6)-2.013)*LOG10(INDEX(FX_Input,U$5,H$3*$Z$5+$AA$5)))-(8742/(H901+459.6))+15.64),EXP(INDEX(Antoines,MATCH(H892,Antoine_Name,0),2)-INDEX(Antoines,MATCH(H892,Antoine_Name,0),3)/(H901+459.6))))),0)</f>
        <v>1</v>
      </c>
      <c r="I908" cm="1">
        <f t="array" ref="I908">IFERROR(IF(I893="Chemical",(10^(INDEX(Antoines,MATCH(I892,Antoine_Name,0),2)-INDEX(Antoines,MATCH(I892,Antoine_Name,0),3)/(INDEX(Antoines,MATCH(I892,Antoine_Name,0),4)+(I901-32)*5/9)))*14.7/760,IF(I893="Crude Oil",EXP((2799/(I901+459.6)-2.227)*LOG10(INDEX(FX_Input,V$5,I$3*$Z$5+$AA$5))-(7261/(I901+459.6))+12.82),IF(I893="Refined Petroleum Stock",EXP((0.7553-(413/(I901+459.6)))*(INDEX(FX_Input,V$5,I$3*$Z$5+$AA$5-1)^0.5)*LOG10(INDEX(FX_Input,V$5,I$3*$Z$5+$AA$5))-(1.854-(1042/(I901+459.6)))*(INDEX(FX_Input,V$5,I$3*$Z$5+$AA$5-1)^0.5)+((2416/(I901+459.6)-2.013)*LOG10(INDEX(FX_Input,V$5,I$3*$Z$5+$AA$5)))-(8742/(I901+459.6))+15.64),EXP(INDEX(Antoines,MATCH(I892,Antoine_Name,0),2)-INDEX(Antoines,MATCH(I892,Antoine_Name,0),3)/(I901+459.6))))),0)</f>
        <v>1</v>
      </c>
      <c r="J908" cm="1">
        <f t="array" ref="J908">IFERROR(IF(J893="Chemical",(10^(INDEX(Antoines,MATCH(J892,Antoine_Name,0),2)-INDEX(Antoines,MATCH(J892,Antoine_Name,0),3)/(INDEX(Antoines,MATCH(J892,Antoine_Name,0),4)+(J901-32)*5/9)))*14.7/760,IF(J893="Crude Oil",EXP((2799/(J901+459.6)-2.227)*LOG10(INDEX(FX_Input,W$5,J$3*$Z$5+$AA$5))-(7261/(J901+459.6))+12.82),IF(J893="Refined Petroleum Stock",EXP((0.7553-(413/(J901+459.6)))*(INDEX(FX_Input,W$5,J$3*$Z$5+$AA$5-1)^0.5)*LOG10(INDEX(FX_Input,W$5,J$3*$Z$5+$AA$5))-(1.854-(1042/(J901+459.6)))*(INDEX(FX_Input,W$5,J$3*$Z$5+$AA$5-1)^0.5)+((2416/(J901+459.6)-2.013)*LOG10(INDEX(FX_Input,W$5,J$3*$Z$5+$AA$5)))-(8742/(J901+459.6))+15.64),EXP(INDEX(Antoines,MATCH(J892,Antoine_Name,0),2)-INDEX(Antoines,MATCH(J892,Antoine_Name,0),3)/(J901+459.6))))),0)</f>
        <v>1</v>
      </c>
      <c r="K908" cm="1">
        <f t="array" ref="K908">IFERROR(IF(K893="Chemical",(10^(INDEX(Antoines,MATCH(K892,Antoine_Name,0),2)-INDEX(Antoines,MATCH(K892,Antoine_Name,0),3)/(INDEX(Antoines,MATCH(K892,Antoine_Name,0),4)+(K901-32)*5/9)))*14.7/760,IF(K893="Crude Oil",EXP((2799/(K901+459.6)-2.227)*LOG10(INDEX(FX_Input,X$5,K$3*$Z$5+$AA$5))-(7261/(K901+459.6))+12.82),IF(K893="Refined Petroleum Stock",EXP((0.7553-(413/(K901+459.6)))*(INDEX(FX_Input,X$5,K$3*$Z$5+$AA$5-1)^0.5)*LOG10(INDEX(FX_Input,X$5,K$3*$Z$5+$AA$5))-(1.854-(1042/(K901+459.6)))*(INDEX(FX_Input,X$5,K$3*$Z$5+$AA$5-1)^0.5)+((2416/(K901+459.6)-2.013)*LOG10(INDEX(FX_Input,X$5,K$3*$Z$5+$AA$5)))-(8742/(K901+459.6))+15.64),EXP(INDEX(Antoines,MATCH(K892,Antoine_Name,0),2)-INDEX(Antoines,MATCH(K892,Antoine_Name,0),3)/(K901+459.6))))),0)</f>
        <v>1</v>
      </c>
      <c r="L908" cm="1">
        <f t="array" ref="L908">IFERROR(IF(L893="Chemical",(10^(INDEX(Antoines,MATCH(L892,Antoine_Name,0),2)-INDEX(Antoines,MATCH(L892,Antoine_Name,0),3)/(INDEX(Antoines,MATCH(L892,Antoine_Name,0),4)+(L901-32)*5/9)))*14.7/760,IF(L893="Crude Oil",EXP((2799/(L901+459.6)-2.227)*LOG10(INDEX(FX_Input,Y$5,L$3*$Z$5+$AA$5))-(7261/(L901+459.6))+12.82),IF(L893="Refined Petroleum Stock",EXP((0.7553-(413/(L901+459.6)))*(INDEX(FX_Input,Y$5,L$3*$Z$5+$AA$5-1)^0.5)*LOG10(INDEX(FX_Input,Y$5,L$3*$Z$5+$AA$5))-(1.854-(1042/(L901+459.6)))*(INDEX(FX_Input,Y$5,L$3*$Z$5+$AA$5-1)^0.5)+((2416/(L901+459.6)-2.013)*LOG10(INDEX(FX_Input,Y$5,L$3*$Z$5+$AA$5)))-(8742/(L901+459.6))+15.64),EXP(INDEX(Antoines,MATCH(L892,Antoine_Name,0),2)-INDEX(Antoines,MATCH(L892,Antoine_Name,0),3)/(L901+459.6))))),0)</f>
        <v>1</v>
      </c>
      <c r="M908" cm="1">
        <f t="array" ref="M908">IFERROR(IF(M893="Chemical",(10^(INDEX(Antoines,MATCH(M892,Antoine_Name,0),2)-INDEX(Antoines,MATCH(M892,Antoine_Name,0),3)/(INDEX(Antoines,MATCH(M892,Antoine_Name,0),4)+(M901-32)*5/9)))*14.7/760,IF(M893="Crude Oil",EXP((2799/(M901+459.6)-2.227)*LOG10(INDEX(FX_Input,Z$5,M$3*$Z$5+$AA$5))-(7261/(M901+459.6))+12.82),IF(M893="Refined Petroleum Stock",EXP((0.7553-(413/(M901+459.6)))*(INDEX(FX_Input,Z$5,M$3*$Z$5+$AA$5-1)^0.5)*LOG10(INDEX(FX_Input,Z$5,M$3*$Z$5+$AA$5))-(1.854-(1042/(M901+459.6)))*(INDEX(FX_Input,Z$5,M$3*$Z$5+$AA$5-1)^0.5)+((2416/(M901+459.6)-2.013)*LOG10(INDEX(FX_Input,Z$5,M$3*$Z$5+$AA$5)))-(8742/(M901+459.6))+15.64),EXP(INDEX(Antoines,MATCH(M892,Antoine_Name,0),2)-INDEX(Antoines,MATCH(M892,Antoine_Name,0),3)/(M901+459.6))))),0)</f>
        <v>1</v>
      </c>
      <c r="N908" cm="1">
        <f t="array" ref="N908">IFERROR(IF(N893="Chemical",(10^(INDEX(Antoines,MATCH(N892,Antoine_Name,0),2)-INDEX(Antoines,MATCH(N892,Antoine_Name,0),3)/(INDEX(Antoines,MATCH(N892,Antoine_Name,0),4)+(N901-32)*5/9)))*14.7/760,IF(N893="Crude Oil",EXP((2799/(N901+459.6)-2.227)*LOG10(INDEX(FX_Input,AA$5,N$3*$Z$5+$AA$5))-(7261/(N901+459.6))+12.82),IF(N893="Refined Petroleum Stock",EXP((0.7553-(413/(N901+459.6)))*(INDEX(FX_Input,AA$5,N$3*$Z$5+$AA$5-1)^0.5)*LOG10(INDEX(FX_Input,AA$5,N$3*$Z$5+$AA$5))-(1.854-(1042/(N901+459.6)))*(INDEX(FX_Input,AA$5,N$3*$Z$5+$AA$5-1)^0.5)+((2416/(N901+459.6)-2.013)*LOG10(INDEX(FX_Input,AA$5,N$3*$Z$5+$AA$5)))-(8742/(N901+459.6))+15.64),EXP(INDEX(Antoines,MATCH(N892,Antoine_Name,0),2)-INDEX(Antoines,MATCH(N892,Antoine_Name,0),3)/(N901+459.6))))),0)</f>
        <v>1</v>
      </c>
      <c r="O908" cm="1">
        <f t="array" ref="O908">IFERROR(IF(O893="Chemical",(10^(INDEX(Antoines,MATCH(O892,Antoine_Name,0),2)-INDEX(Antoines,MATCH(O892,Antoine_Name,0),3)/(INDEX(Antoines,MATCH(O892,Antoine_Name,0),4)+(O901-32)*5/9)))*14.7/760,IF(O893="Crude Oil",EXP((2799/(O901+459.6)-2.227)*LOG10(INDEX(FX_Input,AB$5,O$3*$Z$5+$AA$5))-(7261/(O901+459.6))+12.82),IF(O893="Refined Petroleum Stock",EXP((0.7553-(413/(O901+459.6)))*(INDEX(FX_Input,AB$5,O$3*$Z$5+$AA$5-1)^0.5)*LOG10(INDEX(FX_Input,AB$5,O$3*$Z$5+$AA$5))-(1.854-(1042/(O901+459.6)))*(INDEX(FX_Input,AB$5,O$3*$Z$5+$AA$5-1)^0.5)+((2416/(O901+459.6)-2.013)*LOG10(INDEX(FX_Input,AB$5,O$3*$Z$5+$AA$5)))-(8742/(O901+459.6))+15.64),EXP(INDEX(Antoines,MATCH(O892,Antoine_Name,0),2)-INDEX(Antoines,MATCH(O892,Antoine_Name,0),3)/(O901+459.6))))),0)</f>
        <v>1</v>
      </c>
    </row>
    <row r="909" spans="2:32" ht="17.149999999999999" x14ac:dyDescent="0.55000000000000004">
      <c r="B909" t="str">
        <f t="shared" si="3220"/>
        <v>Portland</v>
      </c>
      <c r="C909" t="s">
        <v>580</v>
      </c>
      <c r="D909">
        <f>D908*D896</f>
        <v>1</v>
      </c>
      <c r="E909">
        <f t="shared" ref="E909" si="3254">E908*E896</f>
        <v>1</v>
      </c>
      <c r="F909">
        <f t="shared" ref="F909" si="3255">F908*F896</f>
        <v>1</v>
      </c>
      <c r="G909">
        <f t="shared" ref="G909" si="3256">G908*G896</f>
        <v>1</v>
      </c>
      <c r="H909">
        <f t="shared" ref="H909" si="3257">H908*H896</f>
        <v>1</v>
      </c>
      <c r="I909">
        <f t="shared" ref="I909" si="3258">I908*I896</f>
        <v>1</v>
      </c>
      <c r="J909">
        <f t="shared" ref="J909" si="3259">J908*J896</f>
        <v>1</v>
      </c>
      <c r="K909">
        <f t="shared" ref="K909" si="3260">K908*K896</f>
        <v>1</v>
      </c>
      <c r="L909">
        <f t="shared" ref="L909" si="3261">L908*L896</f>
        <v>1</v>
      </c>
      <c r="M909">
        <f t="shared" ref="M909" si="3262">M908*M896</f>
        <v>1</v>
      </c>
      <c r="N909">
        <f t="shared" ref="N909" si="3263">N908*N896</f>
        <v>1</v>
      </c>
      <c r="O909">
        <f t="shared" ref="O909" si="3264">O908*O896</f>
        <v>1</v>
      </c>
    </row>
    <row r="910" spans="2:32" ht="17.149999999999999" x14ac:dyDescent="0.55000000000000004">
      <c r="B910" t="str">
        <f t="shared" si="3220"/>
        <v>Portland</v>
      </c>
      <c r="C910" t="s">
        <v>581</v>
      </c>
      <c r="D910" cm="1">
        <f t="array" ref="D910">IFERROR(IF(D895="Chemical",(10^(INDEX(Antoines,MATCH(D894,Antoine_Name,0),2)-INDEX(Antoines,MATCH(D894,Antoine_Name,0),3)/(INDEX(Antoines,MATCH(D894,Antoine_Name,0),4)+(D901-32)*5/9)))*14.7/760,IF(D895="Crude Oil",EXP((2799/(D901+459.6)-2.227)*LOG10(INDEX(FX_Input,Q$5,D$3*$Z$5+$AA$5))-(7261/(D901+459.6))+12.82),IF(D895="Refined Petroleum Stock",EXP((0.7553-(413/(D901+459.6)))*(INDEX(FX_Input,Q$5,D$3*$Z$5+$AA$5-1)^0.5)*LOG10(INDEX(FX_Input,Q$5,D$3*$Z$5+$AA$5))-(1.854-(1042/(D901+459.6)))*(INDEX(FX_Input,Q$5,D$3*$Z$5+$AA$5-1)^0.5)+((2416/(D901+459.6)-2.013)*LOG10(INDEX(FX_Input,Q$5,D$3*$Z$5+$AA$5)))-(8742/(D901+459.6))+15.64),EXP(INDEX(Antoines,MATCH(D894,Antoine_Name,0),2)-INDEX(Antoines,MATCH(D894,Antoine_Name,0),3)/(D901+459.6))))),0)</f>
        <v>0</v>
      </c>
      <c r="E910" cm="1">
        <f t="array" ref="E910">IFERROR(IF(E895="Chemical",(10^(INDEX(Antoines,MATCH(E894,Antoine_Name,0),2)-INDEX(Antoines,MATCH(E894,Antoine_Name,0),3)/(INDEX(Antoines,MATCH(E894,Antoine_Name,0),4)+(E901-32)*5/9)))*14.7/760,IF(E895="Crude Oil",EXP((2799/(E901+459.6)-2.227)*LOG10(INDEX(FX_Input,R$5,E$3*$Z$5+$AA$5))-(7261/(E901+459.6))+12.82),IF(E895="Refined Petroleum Stock",EXP((0.7553-(413/(E901+459.6)))*(INDEX(FX_Input,R$5,E$3*$Z$5+$AA$5-1)^0.5)*LOG10(INDEX(FX_Input,R$5,E$3*$Z$5+$AA$5))-(1.854-(1042/(E901+459.6)))*(INDEX(FX_Input,R$5,E$3*$Z$5+$AA$5-1)^0.5)+((2416/(E901+459.6)-2.013)*LOG10(INDEX(FX_Input,R$5,E$3*$Z$5+$AA$5)))-(8742/(E901+459.6))+15.64),EXP(INDEX(Antoines,MATCH(E894,Antoine_Name,0),2)-INDEX(Antoines,MATCH(E894,Antoine_Name,0),3)/(E901+459.6))))),0)</f>
        <v>0</v>
      </c>
      <c r="F910" cm="1">
        <f t="array" ref="F910">IFERROR(IF(F895="Chemical",(10^(INDEX(Antoines,MATCH(F894,Antoine_Name,0),2)-INDEX(Antoines,MATCH(F894,Antoine_Name,0),3)/(INDEX(Antoines,MATCH(F894,Antoine_Name,0),4)+(F901-32)*5/9)))*14.7/760,IF(F895="Crude Oil",EXP((2799/(F901+459.6)-2.227)*LOG10(INDEX(FX_Input,S$5,F$3*$Z$5+$AA$5))-(7261/(F901+459.6))+12.82),IF(F895="Refined Petroleum Stock",EXP((0.7553-(413/(F901+459.6)))*(INDEX(FX_Input,S$5,F$3*$Z$5+$AA$5-1)^0.5)*LOG10(INDEX(FX_Input,S$5,F$3*$Z$5+$AA$5))-(1.854-(1042/(F901+459.6)))*(INDEX(FX_Input,S$5,F$3*$Z$5+$AA$5-1)^0.5)+((2416/(F901+459.6)-2.013)*LOG10(INDEX(FX_Input,S$5,F$3*$Z$5+$AA$5)))-(8742/(F901+459.6))+15.64),EXP(INDEX(Antoines,MATCH(F894,Antoine_Name,0),2)-INDEX(Antoines,MATCH(F894,Antoine_Name,0),3)/(F901+459.6))))),0)</f>
        <v>0</v>
      </c>
      <c r="G910" cm="1">
        <f t="array" ref="G910">IFERROR(IF(G895="Chemical",(10^(INDEX(Antoines,MATCH(G894,Antoine_Name,0),2)-INDEX(Antoines,MATCH(G894,Antoine_Name,0),3)/(INDEX(Antoines,MATCH(G894,Antoine_Name,0),4)+(G901-32)*5/9)))*14.7/760,IF(G895="Crude Oil",EXP((2799/(G901+459.6)-2.227)*LOG10(INDEX(FX_Input,T$5,G$3*$Z$5+$AA$5))-(7261/(G901+459.6))+12.82),IF(G895="Refined Petroleum Stock",EXP((0.7553-(413/(G901+459.6)))*(INDEX(FX_Input,T$5,G$3*$Z$5+$AA$5-1)^0.5)*LOG10(INDEX(FX_Input,T$5,G$3*$Z$5+$AA$5))-(1.854-(1042/(G901+459.6)))*(INDEX(FX_Input,T$5,G$3*$Z$5+$AA$5-1)^0.5)+((2416/(G901+459.6)-2.013)*LOG10(INDEX(FX_Input,T$5,G$3*$Z$5+$AA$5)))-(8742/(G901+459.6))+15.64),EXP(INDEX(Antoines,MATCH(G894,Antoine_Name,0),2)-INDEX(Antoines,MATCH(G894,Antoine_Name,0),3)/(G901+459.6))))),0)</f>
        <v>0</v>
      </c>
      <c r="H910" cm="1">
        <f t="array" ref="H910">IFERROR(IF(H895="Chemical",(10^(INDEX(Antoines,MATCH(H894,Antoine_Name,0),2)-INDEX(Antoines,MATCH(H894,Antoine_Name,0),3)/(INDEX(Antoines,MATCH(H894,Antoine_Name,0),4)+(H901-32)*5/9)))*14.7/760,IF(H895="Crude Oil",EXP((2799/(H901+459.6)-2.227)*LOG10(INDEX(FX_Input,U$5,H$3*$Z$5+$AA$5))-(7261/(H901+459.6))+12.82),IF(H895="Refined Petroleum Stock",EXP((0.7553-(413/(H901+459.6)))*(INDEX(FX_Input,U$5,H$3*$Z$5+$AA$5-1)^0.5)*LOG10(INDEX(FX_Input,U$5,H$3*$Z$5+$AA$5))-(1.854-(1042/(H901+459.6)))*(INDEX(FX_Input,U$5,H$3*$Z$5+$AA$5-1)^0.5)+((2416/(H901+459.6)-2.013)*LOG10(INDEX(FX_Input,U$5,H$3*$Z$5+$AA$5)))-(8742/(H901+459.6))+15.64),EXP(INDEX(Antoines,MATCH(H894,Antoine_Name,0),2)-INDEX(Antoines,MATCH(H894,Antoine_Name,0),3)/(H901+459.6))))),0)</f>
        <v>0</v>
      </c>
      <c r="I910" cm="1">
        <f t="array" ref="I910">IFERROR(IF(I895="Chemical",(10^(INDEX(Antoines,MATCH(I894,Antoine_Name,0),2)-INDEX(Antoines,MATCH(I894,Antoine_Name,0),3)/(INDEX(Antoines,MATCH(I894,Antoine_Name,0),4)+(I901-32)*5/9)))*14.7/760,IF(I895="Crude Oil",EXP((2799/(I901+459.6)-2.227)*LOG10(INDEX(FX_Input,V$5,I$3*$Z$5+$AA$5))-(7261/(I901+459.6))+12.82),IF(I895="Refined Petroleum Stock",EXP((0.7553-(413/(I901+459.6)))*(INDEX(FX_Input,V$5,I$3*$Z$5+$AA$5-1)^0.5)*LOG10(INDEX(FX_Input,V$5,I$3*$Z$5+$AA$5))-(1.854-(1042/(I901+459.6)))*(INDEX(FX_Input,V$5,I$3*$Z$5+$AA$5-1)^0.5)+((2416/(I901+459.6)-2.013)*LOG10(INDEX(FX_Input,V$5,I$3*$Z$5+$AA$5)))-(8742/(I901+459.6))+15.64),EXP(INDEX(Antoines,MATCH(I894,Antoine_Name,0),2)-INDEX(Antoines,MATCH(I894,Antoine_Name,0),3)/(I901+459.6))))),0)</f>
        <v>0</v>
      </c>
      <c r="J910" cm="1">
        <f t="array" ref="J910">IFERROR(IF(J895="Chemical",(10^(INDEX(Antoines,MATCH(J894,Antoine_Name,0),2)-INDEX(Antoines,MATCH(J894,Antoine_Name,0),3)/(INDEX(Antoines,MATCH(J894,Antoine_Name,0),4)+(J901-32)*5/9)))*14.7/760,IF(J895="Crude Oil",EXP((2799/(J901+459.6)-2.227)*LOG10(INDEX(FX_Input,W$5,J$3*$Z$5+$AA$5))-(7261/(J901+459.6))+12.82),IF(J895="Refined Petroleum Stock",EXP((0.7553-(413/(J901+459.6)))*(INDEX(FX_Input,W$5,J$3*$Z$5+$AA$5-1)^0.5)*LOG10(INDEX(FX_Input,W$5,J$3*$Z$5+$AA$5))-(1.854-(1042/(J901+459.6)))*(INDEX(FX_Input,W$5,J$3*$Z$5+$AA$5-1)^0.5)+((2416/(J901+459.6)-2.013)*LOG10(INDEX(FX_Input,W$5,J$3*$Z$5+$AA$5)))-(8742/(J901+459.6))+15.64),EXP(INDEX(Antoines,MATCH(J894,Antoine_Name,0),2)-INDEX(Antoines,MATCH(J894,Antoine_Name,0),3)/(J901+459.6))))),0)</f>
        <v>0</v>
      </c>
      <c r="K910" cm="1">
        <f t="array" ref="K910">IFERROR(IF(K895="Chemical",(10^(INDEX(Antoines,MATCH(K894,Antoine_Name,0),2)-INDEX(Antoines,MATCH(K894,Antoine_Name,0),3)/(INDEX(Antoines,MATCH(K894,Antoine_Name,0),4)+(K901-32)*5/9)))*14.7/760,IF(K895="Crude Oil",EXP((2799/(K901+459.6)-2.227)*LOG10(INDEX(FX_Input,X$5,K$3*$Z$5+$AA$5))-(7261/(K901+459.6))+12.82),IF(K895="Refined Petroleum Stock",EXP((0.7553-(413/(K901+459.6)))*(INDEX(FX_Input,X$5,K$3*$Z$5+$AA$5-1)^0.5)*LOG10(INDEX(FX_Input,X$5,K$3*$Z$5+$AA$5))-(1.854-(1042/(K901+459.6)))*(INDEX(FX_Input,X$5,K$3*$Z$5+$AA$5-1)^0.5)+((2416/(K901+459.6)-2.013)*LOG10(INDEX(FX_Input,X$5,K$3*$Z$5+$AA$5)))-(8742/(K901+459.6))+15.64),EXP(INDEX(Antoines,MATCH(K894,Antoine_Name,0),2)-INDEX(Antoines,MATCH(K894,Antoine_Name,0),3)/(K901+459.6))))),0)</f>
        <v>0</v>
      </c>
      <c r="L910" cm="1">
        <f t="array" ref="L910">IFERROR(IF(L895="Chemical",(10^(INDEX(Antoines,MATCH(L894,Antoine_Name,0),2)-INDEX(Antoines,MATCH(L894,Antoine_Name,0),3)/(INDEX(Antoines,MATCH(L894,Antoine_Name,0),4)+(L901-32)*5/9)))*14.7/760,IF(L895="Crude Oil",EXP((2799/(L901+459.6)-2.227)*LOG10(INDEX(FX_Input,Y$5,L$3*$Z$5+$AA$5))-(7261/(L901+459.6))+12.82),IF(L895="Refined Petroleum Stock",EXP((0.7553-(413/(L901+459.6)))*(INDEX(FX_Input,Y$5,L$3*$Z$5+$AA$5-1)^0.5)*LOG10(INDEX(FX_Input,Y$5,L$3*$Z$5+$AA$5))-(1.854-(1042/(L901+459.6)))*(INDEX(FX_Input,Y$5,L$3*$Z$5+$AA$5-1)^0.5)+((2416/(L901+459.6)-2.013)*LOG10(INDEX(FX_Input,Y$5,L$3*$Z$5+$AA$5)))-(8742/(L901+459.6))+15.64),EXP(INDEX(Antoines,MATCH(L894,Antoine_Name,0),2)-INDEX(Antoines,MATCH(L894,Antoine_Name,0),3)/(L901+459.6))))),0)</f>
        <v>0</v>
      </c>
      <c r="M910" cm="1">
        <f t="array" ref="M910">IFERROR(IF(M895="Chemical",(10^(INDEX(Antoines,MATCH(M894,Antoine_Name,0),2)-INDEX(Antoines,MATCH(M894,Antoine_Name,0),3)/(INDEX(Antoines,MATCH(M894,Antoine_Name,0),4)+(M901-32)*5/9)))*14.7/760,IF(M895="Crude Oil",EXP((2799/(M901+459.6)-2.227)*LOG10(INDEX(FX_Input,Z$5,M$3*$Z$5+$AA$5))-(7261/(M901+459.6))+12.82),IF(M895="Refined Petroleum Stock",EXP((0.7553-(413/(M901+459.6)))*(INDEX(FX_Input,Z$5,M$3*$Z$5+$AA$5-1)^0.5)*LOG10(INDEX(FX_Input,Z$5,M$3*$Z$5+$AA$5))-(1.854-(1042/(M901+459.6)))*(INDEX(FX_Input,Z$5,M$3*$Z$5+$AA$5-1)^0.5)+((2416/(M901+459.6)-2.013)*LOG10(INDEX(FX_Input,Z$5,M$3*$Z$5+$AA$5)))-(8742/(M901+459.6))+15.64),EXP(INDEX(Antoines,MATCH(M894,Antoine_Name,0),2)-INDEX(Antoines,MATCH(M894,Antoine_Name,0),3)/(M901+459.6))))),0)</f>
        <v>0</v>
      </c>
      <c r="N910" cm="1">
        <f t="array" ref="N910">IFERROR(IF(N895="Chemical",(10^(INDEX(Antoines,MATCH(N894,Antoine_Name,0),2)-INDEX(Antoines,MATCH(N894,Antoine_Name,0),3)/(INDEX(Antoines,MATCH(N894,Antoine_Name,0),4)+(N901-32)*5/9)))*14.7/760,IF(N895="Crude Oil",EXP((2799/(N901+459.6)-2.227)*LOG10(INDEX(FX_Input,AA$5,N$3*$Z$5+$AA$5))-(7261/(N901+459.6))+12.82),IF(N895="Refined Petroleum Stock",EXP((0.7553-(413/(N901+459.6)))*(INDEX(FX_Input,AA$5,N$3*$Z$5+$AA$5-1)^0.5)*LOG10(INDEX(FX_Input,AA$5,N$3*$Z$5+$AA$5))-(1.854-(1042/(N901+459.6)))*(INDEX(FX_Input,AA$5,N$3*$Z$5+$AA$5-1)^0.5)+((2416/(N901+459.6)-2.013)*LOG10(INDEX(FX_Input,AA$5,N$3*$Z$5+$AA$5)))-(8742/(N901+459.6))+15.64),EXP(INDEX(Antoines,MATCH(N894,Antoine_Name,0),2)-INDEX(Antoines,MATCH(N894,Antoine_Name,0),3)/(N901+459.6))))),0)</f>
        <v>0</v>
      </c>
      <c r="O910" cm="1">
        <f t="array" ref="O910">IFERROR(IF(O895="Chemical",(10^(INDEX(Antoines,MATCH(O894,Antoine_Name,0),2)-INDEX(Antoines,MATCH(O894,Antoine_Name,0),3)/(INDEX(Antoines,MATCH(O894,Antoine_Name,0),4)+(O901-32)*5/9)))*14.7/760,IF(O895="Crude Oil",EXP((2799/(O901+459.6)-2.227)*LOG10(INDEX(FX_Input,AB$5,O$3*$Z$5+$AA$5))-(7261/(O901+459.6))+12.82),IF(O895="Refined Petroleum Stock",EXP((0.7553-(413/(O901+459.6)))*(INDEX(FX_Input,AB$5,O$3*$Z$5+$AA$5-1)^0.5)*LOG10(INDEX(FX_Input,AB$5,O$3*$Z$5+$AA$5))-(1.854-(1042/(O901+459.6)))*(INDEX(FX_Input,AB$5,O$3*$Z$5+$AA$5-1)^0.5)+((2416/(O901+459.6)-2.013)*LOG10(INDEX(FX_Input,AB$5,O$3*$Z$5+$AA$5)))-(8742/(O901+459.6))+15.64),EXP(INDEX(Antoines,MATCH(O894,Antoine_Name,0),2)-INDEX(Antoines,MATCH(O894,Antoine_Name,0),3)/(O901+459.6))))),0)</f>
        <v>0</v>
      </c>
    </row>
    <row r="911" spans="2:32" ht="17.149999999999999" x14ac:dyDescent="0.55000000000000004">
      <c r="B911" t="str">
        <f t="shared" si="3220"/>
        <v>Portland</v>
      </c>
      <c r="C911" t="s">
        <v>582</v>
      </c>
      <c r="D911">
        <f>D910*D898</f>
        <v>0</v>
      </c>
      <c r="E911">
        <f t="shared" ref="E911" si="3265">E910*E898</f>
        <v>0</v>
      </c>
      <c r="F911">
        <f t="shared" ref="F911" si="3266">F910*F898</f>
        <v>0</v>
      </c>
      <c r="G911">
        <f t="shared" ref="G911" si="3267">G910*G898</f>
        <v>0</v>
      </c>
      <c r="H911">
        <f t="shared" ref="H911" si="3268">H910*H898</f>
        <v>0</v>
      </c>
      <c r="I911">
        <f t="shared" ref="I911" si="3269">I910*I898</f>
        <v>0</v>
      </c>
      <c r="J911">
        <f t="shared" ref="J911" si="3270">J910*J898</f>
        <v>0</v>
      </c>
      <c r="K911">
        <f t="shared" ref="K911" si="3271">K910*K898</f>
        <v>0</v>
      </c>
      <c r="L911">
        <f t="shared" ref="L911" si="3272">L910*L898</f>
        <v>0</v>
      </c>
      <c r="M911">
        <f t="shared" ref="M911" si="3273">M910*M898</f>
        <v>0</v>
      </c>
      <c r="N911">
        <f t="shared" ref="N911" si="3274">N910*N898</f>
        <v>0</v>
      </c>
      <c r="O911">
        <f t="shared" ref="O911" si="3275">O910*O898</f>
        <v>0</v>
      </c>
    </row>
    <row r="912" spans="2:32" ht="17.149999999999999" x14ac:dyDescent="0.55000000000000004">
      <c r="B912" t="str">
        <f t="shared" si="3220"/>
        <v>Portland</v>
      </c>
      <c r="C912" t="s">
        <v>583</v>
      </c>
      <c r="D912">
        <f>D909+D911</f>
        <v>1</v>
      </c>
      <c r="E912">
        <f t="shared" ref="E912" si="3276">E909+E911</f>
        <v>1</v>
      </c>
      <c r="F912">
        <f t="shared" ref="F912" si="3277">F909+F911</f>
        <v>1</v>
      </c>
      <c r="G912">
        <f t="shared" ref="G912" si="3278">G909+G911</f>
        <v>1</v>
      </c>
      <c r="H912">
        <f t="shared" ref="H912" si="3279">H909+H911</f>
        <v>1</v>
      </c>
      <c r="I912">
        <f t="shared" ref="I912" si="3280">I909+I911</f>
        <v>1</v>
      </c>
      <c r="J912">
        <f t="shared" ref="J912" si="3281">J909+J911</f>
        <v>1</v>
      </c>
      <c r="K912">
        <f t="shared" ref="K912" si="3282">K909+K911</f>
        <v>1</v>
      </c>
      <c r="L912">
        <f t="shared" ref="L912" si="3283">L909+L911</f>
        <v>1</v>
      </c>
      <c r="M912">
        <f t="shared" ref="M912" si="3284">M909+M911</f>
        <v>1</v>
      </c>
      <c r="N912">
        <f t="shared" ref="N912" si="3285">N909+N911</f>
        <v>1</v>
      </c>
      <c r="O912">
        <f t="shared" ref="O912" si="3286">O909+O911</f>
        <v>1</v>
      </c>
    </row>
    <row r="913" spans="1:32" ht="17.149999999999999" x14ac:dyDescent="0.55000000000000004">
      <c r="B913" t="str">
        <f t="shared" si="3220"/>
        <v>Portland</v>
      </c>
      <c r="C913" t="s">
        <v>1388</v>
      </c>
      <c r="D913" cm="1">
        <f t="array" ref="D913">IFERROR(IF(D893="Chemical",(10^(INDEX(Antoines,MATCH(D892,Antoine_Name,0),2)-INDEX(Antoines,MATCH(D892,Antoine_Name,0),3)/(INDEX(Antoines,MATCH(D892,Antoine_Name,0),4)+(D902-32)*5/9)))*14.7/760,IF(D893="Crude Oil",EXP((2799/(D902+459.6)-2.227)*LOG10(INDEX(FX_Input,Q$5,D$3*$Z$5+$AA$5))-(7261/(D902+459.6))+12.82),IF(D893="Refined Petroleum Stock",EXP((0.7553-(413/(D902+459.6)))*(INDEX(FX_Input,Q$5,D$3*$Z$5+$AA$5-1)^0.5)*LOG10(INDEX(FX_Input,Q$5,D$3*$Z$5+$AA$5))-(1.854-(1042/(D902+459.6)))*(INDEX(FX_Input,Q$5,D$3*$Z$5+$AA$5-1)^0.5)+((2416/(D902+459.6)-2.013)*LOG10(INDEX(FX_Input,Q$5,D$3*$Z$5+$AA$5)))-(8742/(D902+459.6))+15.64),EXP(INDEX(Antoines,MATCH(D892,Antoine_Name,0),2)-INDEX(Antoines,MATCH(D892,Antoine_Name,0),3)/(D902+459.6))))),0)</f>
        <v>1</v>
      </c>
      <c r="E913" cm="1">
        <f t="array" ref="E913">IFERROR(IF(E893="Chemical",(10^(INDEX(Antoines,MATCH(E892,Antoine_Name,0),2)-INDEX(Antoines,MATCH(E892,Antoine_Name,0),3)/(INDEX(Antoines,MATCH(E892,Antoine_Name,0),4)+(E902-32)*5/9)))*14.7/760,IF(E893="Crude Oil",EXP((2799/(E902+459.6)-2.227)*LOG10(INDEX(FX_Input,R$5,E$3*$Z$5+$AA$5))-(7261/(E902+459.6))+12.82),IF(E893="Refined Petroleum Stock",EXP((0.7553-(413/(E902+459.6)))*(INDEX(FX_Input,R$5,E$3*$Z$5+$AA$5-1)^0.5)*LOG10(INDEX(FX_Input,R$5,E$3*$Z$5+$AA$5))-(1.854-(1042/(E902+459.6)))*(INDEX(FX_Input,R$5,E$3*$Z$5+$AA$5-1)^0.5)+((2416/(E902+459.6)-2.013)*LOG10(INDEX(FX_Input,R$5,E$3*$Z$5+$AA$5)))-(8742/(E902+459.6))+15.64),EXP(INDEX(Antoines,MATCH(E892,Antoine_Name,0),2)-INDEX(Antoines,MATCH(E892,Antoine_Name,0),3)/(E902+459.6))))),0)</f>
        <v>1</v>
      </c>
      <c r="F913" cm="1">
        <f t="array" ref="F913">IFERROR(IF(F893="Chemical",(10^(INDEX(Antoines,MATCH(F892,Antoine_Name,0),2)-INDEX(Antoines,MATCH(F892,Antoine_Name,0),3)/(INDEX(Antoines,MATCH(F892,Antoine_Name,0),4)+(F902-32)*5/9)))*14.7/760,IF(F893="Crude Oil",EXP((2799/(F902+459.6)-2.227)*LOG10(INDEX(FX_Input,S$5,F$3*$Z$5+$AA$5))-(7261/(F902+459.6))+12.82),IF(F893="Refined Petroleum Stock",EXP((0.7553-(413/(F902+459.6)))*(INDEX(FX_Input,S$5,F$3*$Z$5+$AA$5-1)^0.5)*LOG10(INDEX(FX_Input,S$5,F$3*$Z$5+$AA$5))-(1.854-(1042/(F902+459.6)))*(INDEX(FX_Input,S$5,F$3*$Z$5+$AA$5-1)^0.5)+((2416/(F902+459.6)-2.013)*LOG10(INDEX(FX_Input,S$5,F$3*$Z$5+$AA$5)))-(8742/(F902+459.6))+15.64),EXP(INDEX(Antoines,MATCH(F892,Antoine_Name,0),2)-INDEX(Antoines,MATCH(F892,Antoine_Name,0),3)/(F902+459.6))))),0)</f>
        <v>1</v>
      </c>
      <c r="G913" cm="1">
        <f t="array" ref="G913">IFERROR(IF(G893="Chemical",(10^(INDEX(Antoines,MATCH(G892,Antoine_Name,0),2)-INDEX(Antoines,MATCH(G892,Antoine_Name,0),3)/(INDEX(Antoines,MATCH(G892,Antoine_Name,0),4)+(G902-32)*5/9)))*14.7/760,IF(G893="Crude Oil",EXP((2799/(G902+459.6)-2.227)*LOG10(INDEX(FX_Input,T$5,G$3*$Z$5+$AA$5))-(7261/(G902+459.6))+12.82),IF(G893="Refined Petroleum Stock",EXP((0.7553-(413/(G902+459.6)))*(INDEX(FX_Input,T$5,G$3*$Z$5+$AA$5-1)^0.5)*LOG10(INDEX(FX_Input,T$5,G$3*$Z$5+$AA$5))-(1.854-(1042/(G902+459.6)))*(INDEX(FX_Input,T$5,G$3*$Z$5+$AA$5-1)^0.5)+((2416/(G902+459.6)-2.013)*LOG10(INDEX(FX_Input,T$5,G$3*$Z$5+$AA$5)))-(8742/(G902+459.6))+15.64),EXP(INDEX(Antoines,MATCH(G892,Antoine_Name,0),2)-INDEX(Antoines,MATCH(G892,Antoine_Name,0),3)/(G902+459.6))))),0)</f>
        <v>1</v>
      </c>
      <c r="H913" cm="1">
        <f t="array" ref="H913">IFERROR(IF(H893="Chemical",(10^(INDEX(Antoines,MATCH(H892,Antoine_Name,0),2)-INDEX(Antoines,MATCH(H892,Antoine_Name,0),3)/(INDEX(Antoines,MATCH(H892,Antoine_Name,0),4)+(H902-32)*5/9)))*14.7/760,IF(H893="Crude Oil",EXP((2799/(H902+459.6)-2.227)*LOG10(INDEX(FX_Input,U$5,H$3*$Z$5+$AA$5))-(7261/(H902+459.6))+12.82),IF(H893="Refined Petroleum Stock",EXP((0.7553-(413/(H902+459.6)))*(INDEX(FX_Input,U$5,H$3*$Z$5+$AA$5-1)^0.5)*LOG10(INDEX(FX_Input,U$5,H$3*$Z$5+$AA$5))-(1.854-(1042/(H902+459.6)))*(INDEX(FX_Input,U$5,H$3*$Z$5+$AA$5-1)^0.5)+((2416/(H902+459.6)-2.013)*LOG10(INDEX(FX_Input,U$5,H$3*$Z$5+$AA$5)))-(8742/(H902+459.6))+15.64),EXP(INDEX(Antoines,MATCH(H892,Antoine_Name,0),2)-INDEX(Antoines,MATCH(H892,Antoine_Name,0),3)/(H902+459.6))))),0)</f>
        <v>1</v>
      </c>
      <c r="I913" cm="1">
        <f t="array" ref="I913">IFERROR(IF(I893="Chemical",(10^(INDEX(Antoines,MATCH(I892,Antoine_Name,0),2)-INDEX(Antoines,MATCH(I892,Antoine_Name,0),3)/(INDEX(Antoines,MATCH(I892,Antoine_Name,0),4)+(I902-32)*5/9)))*14.7/760,IF(I893="Crude Oil",EXP((2799/(I902+459.6)-2.227)*LOG10(INDEX(FX_Input,V$5,I$3*$Z$5+$AA$5))-(7261/(I902+459.6))+12.82),IF(I893="Refined Petroleum Stock",EXP((0.7553-(413/(I902+459.6)))*(INDEX(FX_Input,V$5,I$3*$Z$5+$AA$5-1)^0.5)*LOG10(INDEX(FX_Input,V$5,I$3*$Z$5+$AA$5))-(1.854-(1042/(I902+459.6)))*(INDEX(FX_Input,V$5,I$3*$Z$5+$AA$5-1)^0.5)+((2416/(I902+459.6)-2.013)*LOG10(INDEX(FX_Input,V$5,I$3*$Z$5+$AA$5)))-(8742/(I902+459.6))+15.64),EXP(INDEX(Antoines,MATCH(I892,Antoine_Name,0),2)-INDEX(Antoines,MATCH(I892,Antoine_Name,0),3)/(I902+459.6))))),0)</f>
        <v>1</v>
      </c>
      <c r="J913" cm="1">
        <f t="array" ref="J913">IFERROR(IF(J893="Chemical",(10^(INDEX(Antoines,MATCH(J892,Antoine_Name,0),2)-INDEX(Antoines,MATCH(J892,Antoine_Name,0),3)/(INDEX(Antoines,MATCH(J892,Antoine_Name,0),4)+(J902-32)*5/9)))*14.7/760,IF(J893="Crude Oil",EXP((2799/(J902+459.6)-2.227)*LOG10(INDEX(FX_Input,W$5,J$3*$Z$5+$AA$5))-(7261/(J902+459.6))+12.82),IF(J893="Refined Petroleum Stock",EXP((0.7553-(413/(J902+459.6)))*(INDEX(FX_Input,W$5,J$3*$Z$5+$AA$5-1)^0.5)*LOG10(INDEX(FX_Input,W$5,J$3*$Z$5+$AA$5))-(1.854-(1042/(J902+459.6)))*(INDEX(FX_Input,W$5,J$3*$Z$5+$AA$5-1)^0.5)+((2416/(J902+459.6)-2.013)*LOG10(INDEX(FX_Input,W$5,J$3*$Z$5+$AA$5)))-(8742/(J902+459.6))+15.64),EXP(INDEX(Antoines,MATCH(J892,Antoine_Name,0),2)-INDEX(Antoines,MATCH(J892,Antoine_Name,0),3)/(J902+459.6))))),0)</f>
        <v>1</v>
      </c>
      <c r="K913" cm="1">
        <f t="array" ref="K913">IFERROR(IF(K893="Chemical",(10^(INDEX(Antoines,MATCH(K892,Antoine_Name,0),2)-INDEX(Antoines,MATCH(K892,Antoine_Name,0),3)/(INDEX(Antoines,MATCH(K892,Antoine_Name,0),4)+(K902-32)*5/9)))*14.7/760,IF(K893="Crude Oil",EXP((2799/(K902+459.6)-2.227)*LOG10(INDEX(FX_Input,X$5,K$3*$Z$5+$AA$5))-(7261/(K902+459.6))+12.82),IF(K893="Refined Petroleum Stock",EXP((0.7553-(413/(K902+459.6)))*(INDEX(FX_Input,X$5,K$3*$Z$5+$AA$5-1)^0.5)*LOG10(INDEX(FX_Input,X$5,K$3*$Z$5+$AA$5))-(1.854-(1042/(K902+459.6)))*(INDEX(FX_Input,X$5,K$3*$Z$5+$AA$5-1)^0.5)+((2416/(K902+459.6)-2.013)*LOG10(INDEX(FX_Input,X$5,K$3*$Z$5+$AA$5)))-(8742/(K902+459.6))+15.64),EXP(INDEX(Antoines,MATCH(K892,Antoine_Name,0),2)-INDEX(Antoines,MATCH(K892,Antoine_Name,0),3)/(K902+459.6))))),0)</f>
        <v>1</v>
      </c>
      <c r="L913" cm="1">
        <f t="array" ref="L913">IFERROR(IF(L893="Chemical",(10^(INDEX(Antoines,MATCH(L892,Antoine_Name,0),2)-INDEX(Antoines,MATCH(L892,Antoine_Name,0),3)/(INDEX(Antoines,MATCH(L892,Antoine_Name,0),4)+(L902-32)*5/9)))*14.7/760,IF(L893="Crude Oil",EXP((2799/(L902+459.6)-2.227)*LOG10(INDEX(FX_Input,Y$5,L$3*$Z$5+$AA$5))-(7261/(L902+459.6))+12.82),IF(L893="Refined Petroleum Stock",EXP((0.7553-(413/(L902+459.6)))*(INDEX(FX_Input,Y$5,L$3*$Z$5+$AA$5-1)^0.5)*LOG10(INDEX(FX_Input,Y$5,L$3*$Z$5+$AA$5))-(1.854-(1042/(L902+459.6)))*(INDEX(FX_Input,Y$5,L$3*$Z$5+$AA$5-1)^0.5)+((2416/(L902+459.6)-2.013)*LOG10(INDEX(FX_Input,Y$5,L$3*$Z$5+$AA$5)))-(8742/(L902+459.6))+15.64),EXP(INDEX(Antoines,MATCH(L892,Antoine_Name,0),2)-INDEX(Antoines,MATCH(L892,Antoine_Name,0),3)/(L902+459.6))))),0)</f>
        <v>1</v>
      </c>
      <c r="M913" cm="1">
        <f t="array" ref="M913">IFERROR(IF(M893="Chemical",(10^(INDEX(Antoines,MATCH(M892,Antoine_Name,0),2)-INDEX(Antoines,MATCH(M892,Antoine_Name,0),3)/(INDEX(Antoines,MATCH(M892,Antoine_Name,0),4)+(M902-32)*5/9)))*14.7/760,IF(M893="Crude Oil",EXP((2799/(M902+459.6)-2.227)*LOG10(INDEX(FX_Input,Z$5,M$3*$Z$5+$AA$5))-(7261/(M902+459.6))+12.82),IF(M893="Refined Petroleum Stock",EXP((0.7553-(413/(M902+459.6)))*(INDEX(FX_Input,Z$5,M$3*$Z$5+$AA$5-1)^0.5)*LOG10(INDEX(FX_Input,Z$5,M$3*$Z$5+$AA$5))-(1.854-(1042/(M902+459.6)))*(INDEX(FX_Input,Z$5,M$3*$Z$5+$AA$5-1)^0.5)+((2416/(M902+459.6)-2.013)*LOG10(INDEX(FX_Input,Z$5,M$3*$Z$5+$AA$5)))-(8742/(M902+459.6))+15.64),EXP(INDEX(Antoines,MATCH(M892,Antoine_Name,0),2)-INDEX(Antoines,MATCH(M892,Antoine_Name,0),3)/(M902+459.6))))),0)</f>
        <v>1</v>
      </c>
      <c r="N913" cm="1">
        <f t="array" ref="N913">IFERROR(IF(N893="Chemical",(10^(INDEX(Antoines,MATCH(N892,Antoine_Name,0),2)-INDEX(Antoines,MATCH(N892,Antoine_Name,0),3)/(INDEX(Antoines,MATCH(N892,Antoine_Name,0),4)+(N902-32)*5/9)))*14.7/760,IF(N893="Crude Oil",EXP((2799/(N902+459.6)-2.227)*LOG10(INDEX(FX_Input,AA$5,N$3*$Z$5+$AA$5))-(7261/(N902+459.6))+12.82),IF(N893="Refined Petroleum Stock",EXP((0.7553-(413/(N902+459.6)))*(INDEX(FX_Input,AA$5,N$3*$Z$5+$AA$5-1)^0.5)*LOG10(INDEX(FX_Input,AA$5,N$3*$Z$5+$AA$5))-(1.854-(1042/(N902+459.6)))*(INDEX(FX_Input,AA$5,N$3*$Z$5+$AA$5-1)^0.5)+((2416/(N902+459.6)-2.013)*LOG10(INDEX(FX_Input,AA$5,N$3*$Z$5+$AA$5)))-(8742/(N902+459.6))+15.64),EXP(INDEX(Antoines,MATCH(N892,Antoine_Name,0),2)-INDEX(Antoines,MATCH(N892,Antoine_Name,0),3)/(N902+459.6))))),0)</f>
        <v>1</v>
      </c>
      <c r="O913" cm="1">
        <f t="array" ref="O913">IFERROR(IF(O893="Chemical",(10^(INDEX(Antoines,MATCH(O892,Antoine_Name,0),2)-INDEX(Antoines,MATCH(O892,Antoine_Name,0),3)/(INDEX(Antoines,MATCH(O892,Antoine_Name,0),4)+(O902-32)*5/9)))*14.7/760,IF(O893="Crude Oil",EXP((2799/(O902+459.6)-2.227)*LOG10(INDEX(FX_Input,AB$5,O$3*$Z$5+$AA$5))-(7261/(O902+459.6))+12.82),IF(O893="Refined Petroleum Stock",EXP((0.7553-(413/(O902+459.6)))*(INDEX(FX_Input,AB$5,O$3*$Z$5+$AA$5-1)^0.5)*LOG10(INDEX(FX_Input,AB$5,O$3*$Z$5+$AA$5))-(1.854-(1042/(O902+459.6)))*(INDEX(FX_Input,AB$5,O$3*$Z$5+$AA$5-1)^0.5)+((2416/(O902+459.6)-2.013)*LOG10(INDEX(FX_Input,AB$5,O$3*$Z$5+$AA$5)))-(8742/(O902+459.6))+15.64),EXP(INDEX(Antoines,MATCH(O892,Antoine_Name,0),2)-INDEX(Antoines,MATCH(O892,Antoine_Name,0),3)/(O902+459.6))))),0)</f>
        <v>1</v>
      </c>
    </row>
    <row r="914" spans="1:32" ht="17.149999999999999" x14ac:dyDescent="0.55000000000000004">
      <c r="B914" t="str">
        <f t="shared" si="3220"/>
        <v>Portland</v>
      </c>
      <c r="C914" t="s">
        <v>1389</v>
      </c>
      <c r="D914">
        <f>D913*D896</f>
        <v>1</v>
      </c>
      <c r="E914">
        <f t="shared" ref="E914" si="3287">E913*E896</f>
        <v>1</v>
      </c>
      <c r="F914">
        <f t="shared" ref="F914" si="3288">F913*F896</f>
        <v>1</v>
      </c>
      <c r="G914">
        <f t="shared" ref="G914" si="3289">G913*G896</f>
        <v>1</v>
      </c>
      <c r="H914">
        <f t="shared" ref="H914" si="3290">H913*H896</f>
        <v>1</v>
      </c>
      <c r="I914">
        <f t="shared" ref="I914" si="3291">I913*I896</f>
        <v>1</v>
      </c>
      <c r="J914">
        <f t="shared" ref="J914" si="3292">J913*J896</f>
        <v>1</v>
      </c>
      <c r="K914">
        <f t="shared" ref="K914" si="3293">K913*K896</f>
        <v>1</v>
      </c>
      <c r="L914">
        <f t="shared" ref="L914" si="3294">L913*L896</f>
        <v>1</v>
      </c>
      <c r="M914">
        <f t="shared" ref="M914" si="3295">M913*M896</f>
        <v>1</v>
      </c>
      <c r="N914">
        <f t="shared" ref="N914" si="3296">N913*N896</f>
        <v>1</v>
      </c>
      <c r="O914">
        <f t="shared" ref="O914" si="3297">O913*O896</f>
        <v>1</v>
      </c>
    </row>
    <row r="915" spans="1:32" ht="17.149999999999999" x14ac:dyDescent="0.55000000000000004">
      <c r="B915" t="str">
        <f t="shared" si="3220"/>
        <v>Portland</v>
      </c>
      <c r="C915" t="s">
        <v>1390</v>
      </c>
      <c r="D915" cm="1">
        <f t="array" ref="D915">IFERROR(IF(D895="Chemical",(10^(INDEX(Antoines,MATCH(D894,Antoine_Name,0),2)-INDEX(Antoines,MATCH(D894,Antoine_Name,0),3)/(INDEX(Antoines,MATCH(D894,Antoine_Name,0),4)+(D902-32)*5/9)))*14.7/760,IF(D895="Crude Oil",EXP((2799/(D902+459.6)-2.227)*LOG10(INDEX(FX_Input,Q$5,D$3*$Z$5+$AA$5))-(7261/(D902+459.6))+12.82),IF(D895="Refined Petroleum Stock",EXP((0.7553-(413/(D902+459.6)))*(INDEX(FX_Input,Q$5,D$3*$Z$5+$AA$5-1)^0.5)*LOG10(INDEX(FX_Input,Q$5,D$3*$Z$5+$AA$5))-(1.854-(1042/(D902+459.6)))*(INDEX(FX_Input,Q$5,D$3*$Z$5+$AA$5-1)^0.5)+((2416/(D902+459.6)-2.013)*LOG10(INDEX(FX_Input,Q$5,D$3*$Z$5+$AA$5)))-(8742/(D902+459.6))+15.64),EXP(INDEX(Antoines,MATCH(D894,Antoine_Name,0),2)-INDEX(Antoines,MATCH(D894,Antoine_Name,0),3)/(D902+459.6))))),0)</f>
        <v>0</v>
      </c>
      <c r="E915" cm="1">
        <f t="array" ref="E915">IFERROR(IF(E895="Chemical",(10^(INDEX(Antoines,MATCH(E894,Antoine_Name,0),2)-INDEX(Antoines,MATCH(E894,Antoine_Name,0),3)/(INDEX(Antoines,MATCH(E894,Antoine_Name,0),4)+(E902-32)*5/9)))*14.7/760,IF(E895="Crude Oil",EXP((2799/(E902+459.6)-2.227)*LOG10(INDEX(FX_Input,R$5,E$3*$Z$5+$AA$5))-(7261/(E902+459.6))+12.82),IF(E895="Refined Petroleum Stock",EXP((0.7553-(413/(E902+459.6)))*(INDEX(FX_Input,R$5,E$3*$Z$5+$AA$5-1)^0.5)*LOG10(INDEX(FX_Input,R$5,E$3*$Z$5+$AA$5))-(1.854-(1042/(E902+459.6)))*(INDEX(FX_Input,R$5,E$3*$Z$5+$AA$5-1)^0.5)+((2416/(E902+459.6)-2.013)*LOG10(INDEX(FX_Input,R$5,E$3*$Z$5+$AA$5)))-(8742/(E902+459.6))+15.64),EXP(INDEX(Antoines,MATCH(E894,Antoine_Name,0),2)-INDEX(Antoines,MATCH(E894,Antoine_Name,0),3)/(E902+459.6))))),0)</f>
        <v>0</v>
      </c>
      <c r="F915" cm="1">
        <f t="array" ref="F915">IFERROR(IF(F895="Chemical",(10^(INDEX(Antoines,MATCH(F894,Antoine_Name,0),2)-INDEX(Antoines,MATCH(F894,Antoine_Name,0),3)/(INDEX(Antoines,MATCH(F894,Antoine_Name,0),4)+(F902-32)*5/9)))*14.7/760,IF(F895="Crude Oil",EXP((2799/(F902+459.6)-2.227)*LOG10(INDEX(FX_Input,S$5,F$3*$Z$5+$AA$5))-(7261/(F902+459.6))+12.82),IF(F895="Refined Petroleum Stock",EXP((0.7553-(413/(F902+459.6)))*(INDEX(FX_Input,S$5,F$3*$Z$5+$AA$5-1)^0.5)*LOG10(INDEX(FX_Input,S$5,F$3*$Z$5+$AA$5))-(1.854-(1042/(F902+459.6)))*(INDEX(FX_Input,S$5,F$3*$Z$5+$AA$5-1)^0.5)+((2416/(F902+459.6)-2.013)*LOG10(INDEX(FX_Input,S$5,F$3*$Z$5+$AA$5)))-(8742/(F902+459.6))+15.64),EXP(INDEX(Antoines,MATCH(F894,Antoine_Name,0),2)-INDEX(Antoines,MATCH(F894,Antoine_Name,0),3)/(F902+459.6))))),0)</f>
        <v>0</v>
      </c>
      <c r="G915" cm="1">
        <f t="array" ref="G915">IFERROR(IF(G895="Chemical",(10^(INDEX(Antoines,MATCH(G894,Antoine_Name,0),2)-INDEX(Antoines,MATCH(G894,Antoine_Name,0),3)/(INDEX(Antoines,MATCH(G894,Antoine_Name,0),4)+(G902-32)*5/9)))*14.7/760,IF(G895="Crude Oil",EXP((2799/(G902+459.6)-2.227)*LOG10(INDEX(FX_Input,T$5,G$3*$Z$5+$AA$5))-(7261/(G902+459.6))+12.82),IF(G895="Refined Petroleum Stock",EXP((0.7553-(413/(G902+459.6)))*(INDEX(FX_Input,T$5,G$3*$Z$5+$AA$5-1)^0.5)*LOG10(INDEX(FX_Input,T$5,G$3*$Z$5+$AA$5))-(1.854-(1042/(G902+459.6)))*(INDEX(FX_Input,T$5,G$3*$Z$5+$AA$5-1)^0.5)+((2416/(G902+459.6)-2.013)*LOG10(INDEX(FX_Input,T$5,G$3*$Z$5+$AA$5)))-(8742/(G902+459.6))+15.64),EXP(INDEX(Antoines,MATCH(G894,Antoine_Name,0),2)-INDEX(Antoines,MATCH(G894,Antoine_Name,0),3)/(G902+459.6))))),0)</f>
        <v>0</v>
      </c>
      <c r="H915" cm="1">
        <f t="array" ref="H915">IFERROR(IF(H895="Chemical",(10^(INDEX(Antoines,MATCH(H894,Antoine_Name,0),2)-INDEX(Antoines,MATCH(H894,Antoine_Name,0),3)/(INDEX(Antoines,MATCH(H894,Antoine_Name,0),4)+(H902-32)*5/9)))*14.7/760,IF(H895="Crude Oil",EXP((2799/(H902+459.6)-2.227)*LOG10(INDEX(FX_Input,U$5,H$3*$Z$5+$AA$5))-(7261/(H902+459.6))+12.82),IF(H895="Refined Petroleum Stock",EXP((0.7553-(413/(H902+459.6)))*(INDEX(FX_Input,U$5,H$3*$Z$5+$AA$5-1)^0.5)*LOG10(INDEX(FX_Input,U$5,H$3*$Z$5+$AA$5))-(1.854-(1042/(H902+459.6)))*(INDEX(FX_Input,U$5,H$3*$Z$5+$AA$5-1)^0.5)+((2416/(H902+459.6)-2.013)*LOG10(INDEX(FX_Input,U$5,H$3*$Z$5+$AA$5)))-(8742/(H902+459.6))+15.64),EXP(INDEX(Antoines,MATCH(H894,Antoine_Name,0),2)-INDEX(Antoines,MATCH(H894,Antoine_Name,0),3)/(H902+459.6))))),0)</f>
        <v>0</v>
      </c>
      <c r="I915" cm="1">
        <f t="array" ref="I915">IFERROR(IF(I895="Chemical",(10^(INDEX(Antoines,MATCH(I894,Antoine_Name,0),2)-INDEX(Antoines,MATCH(I894,Antoine_Name,0),3)/(INDEX(Antoines,MATCH(I894,Antoine_Name,0),4)+(I902-32)*5/9)))*14.7/760,IF(I895="Crude Oil",EXP((2799/(I902+459.6)-2.227)*LOG10(INDEX(FX_Input,V$5,I$3*$Z$5+$AA$5))-(7261/(I902+459.6))+12.82),IF(I895="Refined Petroleum Stock",EXP((0.7553-(413/(I902+459.6)))*(INDEX(FX_Input,V$5,I$3*$Z$5+$AA$5-1)^0.5)*LOG10(INDEX(FX_Input,V$5,I$3*$Z$5+$AA$5))-(1.854-(1042/(I902+459.6)))*(INDEX(FX_Input,V$5,I$3*$Z$5+$AA$5-1)^0.5)+((2416/(I902+459.6)-2.013)*LOG10(INDEX(FX_Input,V$5,I$3*$Z$5+$AA$5)))-(8742/(I902+459.6))+15.64),EXP(INDEX(Antoines,MATCH(I894,Antoine_Name,0),2)-INDEX(Antoines,MATCH(I894,Antoine_Name,0),3)/(I902+459.6))))),0)</f>
        <v>0</v>
      </c>
      <c r="J915" cm="1">
        <f t="array" ref="J915">IFERROR(IF(J895="Chemical",(10^(INDEX(Antoines,MATCH(J894,Antoine_Name,0),2)-INDEX(Antoines,MATCH(J894,Antoine_Name,0),3)/(INDEX(Antoines,MATCH(J894,Antoine_Name,0),4)+(J902-32)*5/9)))*14.7/760,IF(J895="Crude Oil",EXP((2799/(J902+459.6)-2.227)*LOG10(INDEX(FX_Input,W$5,J$3*$Z$5+$AA$5))-(7261/(J902+459.6))+12.82),IF(J895="Refined Petroleum Stock",EXP((0.7553-(413/(J902+459.6)))*(INDEX(FX_Input,W$5,J$3*$Z$5+$AA$5-1)^0.5)*LOG10(INDEX(FX_Input,W$5,J$3*$Z$5+$AA$5))-(1.854-(1042/(J902+459.6)))*(INDEX(FX_Input,W$5,J$3*$Z$5+$AA$5-1)^0.5)+((2416/(J902+459.6)-2.013)*LOG10(INDEX(FX_Input,W$5,J$3*$Z$5+$AA$5)))-(8742/(J902+459.6))+15.64),EXP(INDEX(Antoines,MATCH(J894,Antoine_Name,0),2)-INDEX(Antoines,MATCH(J894,Antoine_Name,0),3)/(J902+459.6))))),0)</f>
        <v>0</v>
      </c>
      <c r="K915" cm="1">
        <f t="array" ref="K915">IFERROR(IF(K895="Chemical",(10^(INDEX(Antoines,MATCH(K894,Antoine_Name,0),2)-INDEX(Antoines,MATCH(K894,Antoine_Name,0),3)/(INDEX(Antoines,MATCH(K894,Antoine_Name,0),4)+(K902-32)*5/9)))*14.7/760,IF(K895="Crude Oil",EXP((2799/(K902+459.6)-2.227)*LOG10(INDEX(FX_Input,X$5,K$3*$Z$5+$AA$5))-(7261/(K902+459.6))+12.82),IF(K895="Refined Petroleum Stock",EXP((0.7553-(413/(K902+459.6)))*(INDEX(FX_Input,X$5,K$3*$Z$5+$AA$5-1)^0.5)*LOG10(INDEX(FX_Input,X$5,K$3*$Z$5+$AA$5))-(1.854-(1042/(K902+459.6)))*(INDEX(FX_Input,X$5,K$3*$Z$5+$AA$5-1)^0.5)+((2416/(K902+459.6)-2.013)*LOG10(INDEX(FX_Input,X$5,K$3*$Z$5+$AA$5)))-(8742/(K902+459.6))+15.64),EXP(INDEX(Antoines,MATCH(K894,Antoine_Name,0),2)-INDEX(Antoines,MATCH(K894,Antoine_Name,0),3)/(K902+459.6))))),0)</f>
        <v>0</v>
      </c>
      <c r="L915" cm="1">
        <f t="array" ref="L915">IFERROR(IF(L895="Chemical",(10^(INDEX(Antoines,MATCH(L894,Antoine_Name,0),2)-INDEX(Antoines,MATCH(L894,Antoine_Name,0),3)/(INDEX(Antoines,MATCH(L894,Antoine_Name,0),4)+(L902-32)*5/9)))*14.7/760,IF(L895="Crude Oil",EXP((2799/(L902+459.6)-2.227)*LOG10(INDEX(FX_Input,Y$5,L$3*$Z$5+$AA$5))-(7261/(L902+459.6))+12.82),IF(L895="Refined Petroleum Stock",EXP((0.7553-(413/(L902+459.6)))*(INDEX(FX_Input,Y$5,L$3*$Z$5+$AA$5-1)^0.5)*LOG10(INDEX(FX_Input,Y$5,L$3*$Z$5+$AA$5))-(1.854-(1042/(L902+459.6)))*(INDEX(FX_Input,Y$5,L$3*$Z$5+$AA$5-1)^0.5)+((2416/(L902+459.6)-2.013)*LOG10(INDEX(FX_Input,Y$5,L$3*$Z$5+$AA$5)))-(8742/(L902+459.6))+15.64),EXP(INDEX(Antoines,MATCH(L894,Antoine_Name,0),2)-INDEX(Antoines,MATCH(L894,Antoine_Name,0),3)/(L902+459.6))))),0)</f>
        <v>0</v>
      </c>
      <c r="M915" cm="1">
        <f t="array" ref="M915">IFERROR(IF(M895="Chemical",(10^(INDEX(Antoines,MATCH(M894,Antoine_Name,0),2)-INDEX(Antoines,MATCH(M894,Antoine_Name,0),3)/(INDEX(Antoines,MATCH(M894,Antoine_Name,0),4)+(M902-32)*5/9)))*14.7/760,IF(M895="Crude Oil",EXP((2799/(M902+459.6)-2.227)*LOG10(INDEX(FX_Input,Z$5,M$3*$Z$5+$AA$5))-(7261/(M902+459.6))+12.82),IF(M895="Refined Petroleum Stock",EXP((0.7553-(413/(M902+459.6)))*(INDEX(FX_Input,Z$5,M$3*$Z$5+$AA$5-1)^0.5)*LOG10(INDEX(FX_Input,Z$5,M$3*$Z$5+$AA$5))-(1.854-(1042/(M902+459.6)))*(INDEX(FX_Input,Z$5,M$3*$Z$5+$AA$5-1)^0.5)+((2416/(M902+459.6)-2.013)*LOG10(INDEX(FX_Input,Z$5,M$3*$Z$5+$AA$5)))-(8742/(M902+459.6))+15.64),EXP(INDEX(Antoines,MATCH(M894,Antoine_Name,0),2)-INDEX(Antoines,MATCH(M894,Antoine_Name,0),3)/(M902+459.6))))),0)</f>
        <v>0</v>
      </c>
      <c r="N915" cm="1">
        <f t="array" ref="N915">IFERROR(IF(N895="Chemical",(10^(INDEX(Antoines,MATCH(N894,Antoine_Name,0),2)-INDEX(Antoines,MATCH(N894,Antoine_Name,0),3)/(INDEX(Antoines,MATCH(N894,Antoine_Name,0),4)+(N902-32)*5/9)))*14.7/760,IF(N895="Crude Oil",EXP((2799/(N902+459.6)-2.227)*LOG10(INDEX(FX_Input,AA$5,N$3*$Z$5+$AA$5))-(7261/(N902+459.6))+12.82),IF(N895="Refined Petroleum Stock",EXP((0.7553-(413/(N902+459.6)))*(INDEX(FX_Input,AA$5,N$3*$Z$5+$AA$5-1)^0.5)*LOG10(INDEX(FX_Input,AA$5,N$3*$Z$5+$AA$5))-(1.854-(1042/(N902+459.6)))*(INDEX(FX_Input,AA$5,N$3*$Z$5+$AA$5-1)^0.5)+((2416/(N902+459.6)-2.013)*LOG10(INDEX(FX_Input,AA$5,N$3*$Z$5+$AA$5)))-(8742/(N902+459.6))+15.64),EXP(INDEX(Antoines,MATCH(N894,Antoine_Name,0),2)-INDEX(Antoines,MATCH(N894,Antoine_Name,0),3)/(N902+459.6))))),0)</f>
        <v>0</v>
      </c>
      <c r="O915" cm="1">
        <f t="array" ref="O915">IFERROR(IF(O895="Chemical",(10^(INDEX(Antoines,MATCH(O894,Antoine_Name,0),2)-INDEX(Antoines,MATCH(O894,Antoine_Name,0),3)/(INDEX(Antoines,MATCH(O894,Antoine_Name,0),4)+(O902-32)*5/9)))*14.7/760,IF(O895="Crude Oil",EXP((2799/(O902+459.6)-2.227)*LOG10(INDEX(FX_Input,AB$5,O$3*$Z$5+$AA$5))-(7261/(O902+459.6))+12.82),IF(O895="Refined Petroleum Stock",EXP((0.7553-(413/(O902+459.6)))*(INDEX(FX_Input,AB$5,O$3*$Z$5+$AA$5-1)^0.5)*LOG10(INDEX(FX_Input,AB$5,O$3*$Z$5+$AA$5))-(1.854-(1042/(O902+459.6)))*(INDEX(FX_Input,AB$5,O$3*$Z$5+$AA$5-1)^0.5)+((2416/(O902+459.6)-2.013)*LOG10(INDEX(FX_Input,AB$5,O$3*$Z$5+$AA$5)))-(8742/(O902+459.6))+15.64),EXP(INDEX(Antoines,MATCH(O894,Antoine_Name,0),2)-INDEX(Antoines,MATCH(O894,Antoine_Name,0),3)/(O902+459.6))))),0)</f>
        <v>0</v>
      </c>
    </row>
    <row r="916" spans="1:32" ht="17.149999999999999" x14ac:dyDescent="0.55000000000000004">
      <c r="B916" t="str">
        <f t="shared" si="3220"/>
        <v>Portland</v>
      </c>
      <c r="C916" t="s">
        <v>1391</v>
      </c>
      <c r="D916">
        <f>D915*D898</f>
        <v>0</v>
      </c>
      <c r="E916">
        <f t="shared" ref="E916" si="3298">E915*E898</f>
        <v>0</v>
      </c>
      <c r="F916">
        <f t="shared" ref="F916" si="3299">F915*F898</f>
        <v>0</v>
      </c>
      <c r="G916">
        <f t="shared" ref="G916" si="3300">G915*G898</f>
        <v>0</v>
      </c>
      <c r="H916">
        <f t="shared" ref="H916" si="3301">H915*H898</f>
        <v>0</v>
      </c>
      <c r="I916">
        <f t="shared" ref="I916" si="3302">I915*I898</f>
        <v>0</v>
      </c>
      <c r="J916">
        <f t="shared" ref="J916" si="3303">J915*J898</f>
        <v>0</v>
      </c>
      <c r="K916">
        <f t="shared" ref="K916" si="3304">K915*K898</f>
        <v>0</v>
      </c>
      <c r="L916">
        <f t="shared" ref="L916" si="3305">L915*L898</f>
        <v>0</v>
      </c>
      <c r="M916">
        <f t="shared" ref="M916" si="3306">M915*M898</f>
        <v>0</v>
      </c>
      <c r="N916">
        <f t="shared" ref="N916" si="3307">N915*N898</f>
        <v>0</v>
      </c>
      <c r="O916">
        <f t="shared" ref="O916" si="3308">O915*O898</f>
        <v>0</v>
      </c>
    </row>
    <row r="917" spans="1:32" ht="17.149999999999999" x14ac:dyDescent="0.55000000000000004">
      <c r="B917" t="str">
        <f t="shared" si="3220"/>
        <v>Portland</v>
      </c>
      <c r="C917" t="s">
        <v>1392</v>
      </c>
      <c r="D917">
        <f>D914+D916</f>
        <v>1</v>
      </c>
      <c r="E917">
        <f t="shared" ref="E917" si="3309">E914+E916</f>
        <v>1</v>
      </c>
      <c r="F917">
        <f t="shared" ref="F917" si="3310">F914+F916</f>
        <v>1</v>
      </c>
      <c r="G917">
        <f t="shared" ref="G917" si="3311">G914+G916</f>
        <v>1</v>
      </c>
      <c r="H917">
        <f t="shared" ref="H917" si="3312">H914+H916</f>
        <v>1</v>
      </c>
      <c r="I917">
        <f t="shared" ref="I917" si="3313">I914+I916</f>
        <v>1</v>
      </c>
      <c r="J917">
        <f t="shared" ref="J917" si="3314">J914+J916</f>
        <v>1</v>
      </c>
      <c r="K917">
        <f t="shared" ref="K917" si="3315">K914+K916</f>
        <v>1</v>
      </c>
      <c r="L917">
        <f t="shared" ref="L917" si="3316">L914+L916</f>
        <v>1</v>
      </c>
      <c r="M917">
        <f t="shared" ref="M917" si="3317">M914+M916</f>
        <v>1</v>
      </c>
      <c r="N917">
        <f t="shared" ref="N917" si="3318">N914+N916</f>
        <v>1</v>
      </c>
      <c r="O917">
        <f t="shared" ref="O917" si="3319">O914+O916</f>
        <v>1</v>
      </c>
    </row>
    <row r="918" spans="1:32" ht="17.149999999999999" x14ac:dyDescent="0.55000000000000004">
      <c r="B918" t="str">
        <f>B912</f>
        <v>Portland</v>
      </c>
      <c r="C918" t="s">
        <v>584</v>
      </c>
      <c r="D918">
        <f>D914/D917</f>
        <v>1</v>
      </c>
      <c r="E918">
        <f t="shared" ref="E918" si="3320">E914/E917</f>
        <v>1</v>
      </c>
      <c r="F918">
        <f t="shared" ref="F918" si="3321">F914/F917</f>
        <v>1</v>
      </c>
      <c r="G918">
        <f t="shared" ref="G918" si="3322">G914/G917</f>
        <v>1</v>
      </c>
      <c r="H918">
        <f t="shared" ref="H918" si="3323">H914/H917</f>
        <v>1</v>
      </c>
      <c r="I918">
        <f t="shared" ref="I918" si="3324">I914/I917</f>
        <v>1</v>
      </c>
      <c r="J918">
        <f t="shared" ref="J918" si="3325">J914/J917</f>
        <v>1</v>
      </c>
      <c r="K918">
        <f t="shared" ref="K918" si="3326">K914/K917</f>
        <v>1</v>
      </c>
      <c r="L918">
        <f t="shared" ref="L918" si="3327">L914/L917</f>
        <v>1</v>
      </c>
      <c r="M918">
        <f t="shared" ref="M918" si="3328">M914/M917</f>
        <v>1</v>
      </c>
      <c r="N918">
        <f t="shared" ref="N918" si="3329">N914/N917</f>
        <v>1</v>
      </c>
      <c r="O918">
        <f t="shared" ref="O918" si="3330">O914/O917</f>
        <v>1</v>
      </c>
    </row>
    <row r="919" spans="1:32" ht="17.149999999999999" x14ac:dyDescent="0.55000000000000004">
      <c r="B919" t="str">
        <f>B913</f>
        <v>Portland</v>
      </c>
      <c r="C919" t="s">
        <v>585</v>
      </c>
      <c r="D919" t="str">
        <f t="shared" ref="D919:O919" si="3331">INDEX(Phys_Prop,MATCH(D892,Chem_List,0),3)</f>
        <v>N/A</v>
      </c>
      <c r="E919" t="str">
        <f t="shared" si="3331"/>
        <v>N/A</v>
      </c>
      <c r="F919" t="str">
        <f t="shared" si="3331"/>
        <v>N/A</v>
      </c>
      <c r="G919" t="str">
        <f t="shared" si="3331"/>
        <v>N/A</v>
      </c>
      <c r="H919" t="str">
        <f t="shared" si="3331"/>
        <v>N/A</v>
      </c>
      <c r="I919" t="str">
        <f t="shared" si="3331"/>
        <v>N/A</v>
      </c>
      <c r="J919" t="str">
        <f t="shared" si="3331"/>
        <v>N/A</v>
      </c>
      <c r="K919" t="str">
        <f t="shared" si="3331"/>
        <v>N/A</v>
      </c>
      <c r="L919" t="str">
        <f t="shared" si="3331"/>
        <v>N/A</v>
      </c>
      <c r="M919" t="str">
        <f t="shared" si="3331"/>
        <v>N/A</v>
      </c>
      <c r="N919" t="str">
        <f t="shared" si="3331"/>
        <v>N/A</v>
      </c>
      <c r="O919" t="str">
        <f t="shared" si="3331"/>
        <v>N/A</v>
      </c>
    </row>
    <row r="920" spans="1:32" ht="17.149999999999999" x14ac:dyDescent="0.55000000000000004">
      <c r="B920" t="str">
        <f>B919</f>
        <v>Portland</v>
      </c>
      <c r="C920" t="s">
        <v>586</v>
      </c>
      <c r="D920">
        <f>D916/D917</f>
        <v>0</v>
      </c>
      <c r="E920">
        <f t="shared" ref="E920:O920" si="3332">E916/E917</f>
        <v>0</v>
      </c>
      <c r="F920">
        <f t="shared" si="3332"/>
        <v>0</v>
      </c>
      <c r="G920">
        <f t="shared" si="3332"/>
        <v>0</v>
      </c>
      <c r="H920">
        <f t="shared" si="3332"/>
        <v>0</v>
      </c>
      <c r="I920">
        <f t="shared" si="3332"/>
        <v>0</v>
      </c>
      <c r="J920">
        <f t="shared" si="3332"/>
        <v>0</v>
      </c>
      <c r="K920">
        <f t="shared" si="3332"/>
        <v>0</v>
      </c>
      <c r="L920">
        <f t="shared" si="3332"/>
        <v>0</v>
      </c>
      <c r="M920">
        <f t="shared" si="3332"/>
        <v>0</v>
      </c>
      <c r="N920">
        <f t="shared" si="3332"/>
        <v>0</v>
      </c>
      <c r="O920">
        <f t="shared" si="3332"/>
        <v>0</v>
      </c>
    </row>
    <row r="921" spans="1:32" ht="17.149999999999999" x14ac:dyDescent="0.55000000000000004">
      <c r="B921" t="str">
        <f t="shared" si="3220"/>
        <v>Portland</v>
      </c>
      <c r="C921" t="s">
        <v>587</v>
      </c>
      <c r="D921">
        <f t="shared" ref="D921:O921" si="3333">IFERROR(INDEX(Phys_Prop,MATCH(D894,Chem_List,0),3),0)</f>
        <v>0</v>
      </c>
      <c r="E921">
        <f t="shared" si="3333"/>
        <v>0</v>
      </c>
      <c r="F921">
        <f t="shared" si="3333"/>
        <v>0</v>
      </c>
      <c r="G921">
        <f t="shared" si="3333"/>
        <v>0</v>
      </c>
      <c r="H921">
        <f t="shared" si="3333"/>
        <v>0</v>
      </c>
      <c r="I921">
        <f t="shared" si="3333"/>
        <v>0</v>
      </c>
      <c r="J921">
        <f t="shared" si="3333"/>
        <v>0</v>
      </c>
      <c r="K921">
        <f t="shared" si="3333"/>
        <v>0</v>
      </c>
      <c r="L921">
        <f t="shared" si="3333"/>
        <v>0</v>
      </c>
      <c r="M921">
        <f t="shared" si="3333"/>
        <v>0</v>
      </c>
      <c r="N921">
        <f t="shared" si="3333"/>
        <v>0</v>
      </c>
      <c r="O921">
        <f t="shared" si="3333"/>
        <v>0</v>
      </c>
    </row>
    <row r="922" spans="1:32" ht="17.149999999999999" x14ac:dyDescent="0.55000000000000004">
      <c r="A922" s="11"/>
      <c r="B922" s="11" t="str">
        <f t="shared" si="3220"/>
        <v>Portland</v>
      </c>
      <c r="C922" s="11" t="s">
        <v>588</v>
      </c>
      <c r="D922" s="11">
        <f>IFERROR(D918*D919+D920*D921,0)</f>
        <v>0</v>
      </c>
      <c r="E922" s="11">
        <f t="shared" ref="E922" si="3334">IFERROR(E918*E919+E920*E921,0)</f>
        <v>0</v>
      </c>
      <c r="F922" s="11">
        <f t="shared" ref="F922" si="3335">IFERROR(F918*F919+F920*F921,0)</f>
        <v>0</v>
      </c>
      <c r="G922" s="11">
        <f t="shared" ref="G922" si="3336">IFERROR(G918*G919+G920*G921,0)</f>
        <v>0</v>
      </c>
      <c r="H922" s="11">
        <f t="shared" ref="H922" si="3337">IFERROR(H918*H919+H920*H921,0)</f>
        <v>0</v>
      </c>
      <c r="I922" s="11">
        <f t="shared" ref="I922" si="3338">IFERROR(I918*I919+I920*I921,0)</f>
        <v>0</v>
      </c>
      <c r="J922" s="11">
        <f t="shared" ref="J922" si="3339">IFERROR(J918*J919+J920*J921,0)</f>
        <v>0</v>
      </c>
      <c r="K922" s="11">
        <f t="shared" ref="K922" si="3340">IFERROR(K918*K919+K920*K921,0)</f>
        <v>0</v>
      </c>
      <c r="L922" s="11">
        <f t="shared" ref="L922" si="3341">IFERROR(L918*L919+L920*L921,0)</f>
        <v>0</v>
      </c>
      <c r="M922" s="11">
        <f t="shared" ref="M922" si="3342">IFERROR(M918*M919+M920*M921,0)</f>
        <v>0</v>
      </c>
      <c r="N922" s="11">
        <f t="shared" ref="N922" si="3343">IFERROR(N918*N919+N920*N921,0)</f>
        <v>0</v>
      </c>
      <c r="O922" s="11">
        <f t="shared" ref="O922" si="3344">IFERROR(O918*O919+O920*O921,0)</f>
        <v>0</v>
      </c>
      <c r="P922" s="11"/>
      <c r="Q922" s="11"/>
      <c r="R922" s="11"/>
      <c r="S922" s="11"/>
      <c r="T922" s="11"/>
      <c r="U922" s="11"/>
      <c r="V922" s="11"/>
      <c r="W922" s="11"/>
      <c r="X922" s="11"/>
      <c r="Y922" s="11"/>
      <c r="Z922" s="11"/>
      <c r="AA922" s="11"/>
      <c r="AB922" s="11"/>
      <c r="AC922" s="11"/>
      <c r="AD922" s="11"/>
      <c r="AE922" s="11"/>
      <c r="AF922" s="11"/>
    </row>
    <row r="923" spans="1:32" ht="17.149999999999999" x14ac:dyDescent="0.55000000000000004">
      <c r="A923" t="str" cm="1">
        <f t="array" ref="A923">INDEX(FX_Input,$Q923,R$5)</f>
        <v>FX - 28</v>
      </c>
      <c r="B923" t="str" cm="1">
        <f t="array" ref="B923">INDEX(FX_Input,Q923,S923)</f>
        <v>Portland</v>
      </c>
      <c r="C923" t="s">
        <v>563</v>
      </c>
      <c r="D923">
        <v>14.7</v>
      </c>
      <c r="E923">
        <v>14.7</v>
      </c>
      <c r="F923">
        <v>14.7</v>
      </c>
      <c r="G923">
        <v>14.7</v>
      </c>
      <c r="H923">
        <v>14.7</v>
      </c>
      <c r="I923">
        <v>14.7</v>
      </c>
      <c r="J923">
        <v>14.7</v>
      </c>
      <c r="K923">
        <v>14.7</v>
      </c>
      <c r="L923">
        <v>14.7</v>
      </c>
      <c r="M923">
        <v>14.7</v>
      </c>
      <c r="N923">
        <v>14.7</v>
      </c>
      <c r="O923">
        <v>14.7</v>
      </c>
      <c r="Q923">
        <f>Q889+2</f>
        <v>55</v>
      </c>
      <c r="R923">
        <v>1</v>
      </c>
      <c r="S923">
        <v>3</v>
      </c>
      <c r="T923">
        <v>1</v>
      </c>
      <c r="U923">
        <v>19</v>
      </c>
      <c r="V923">
        <v>20</v>
      </c>
      <c r="W923">
        <v>25</v>
      </c>
      <c r="X923">
        <v>1</v>
      </c>
      <c r="Y923">
        <v>2</v>
      </c>
      <c r="Z923">
        <f>(W923-V923)/(Y923-X923)</f>
        <v>5</v>
      </c>
      <c r="AA923">
        <f>V923-Z923*X923</f>
        <v>15</v>
      </c>
      <c r="AD923">
        <f>AD889+14</f>
        <v>379</v>
      </c>
      <c r="AF923">
        <f>AF889+14</f>
        <v>379</v>
      </c>
    </row>
    <row r="924" spans="1:32" ht="17.149999999999999" x14ac:dyDescent="0.55000000000000004">
      <c r="B924" t="str">
        <f t="shared" ref="B924" si="3345">B923</f>
        <v>Portland</v>
      </c>
      <c r="C924" t="s">
        <v>564</v>
      </c>
      <c r="D924" cm="1">
        <f t="array" ref="D924">IF(ISBLANK(INDEX(FX_Input,$Q923,$AB924)),0.03,INDEX(FX_Input,Q923,AB924))</f>
        <v>0.03</v>
      </c>
      <c r="E924" cm="1">
        <f t="array" ref="E924">IF(ISBLANK(INDEX(FX_Input,$Q923,$AB924)),0.03,INDEX(FX_Input,R923,#REF!))</f>
        <v>0.03</v>
      </c>
      <c r="F924" cm="1">
        <f t="array" ref="F924">IF(ISBLANK(INDEX(FX_Input,$Q923,$AB924)),0.03,INDEX(FX_Input,S923,#REF!))</f>
        <v>0.03</v>
      </c>
      <c r="G924" cm="1">
        <f t="array" ref="G924">IF(ISBLANK(INDEX(FX_Input,$Q923,$AB924)),0.03,INDEX(FX_Input,AB923,#REF!))</f>
        <v>0.03</v>
      </c>
      <c r="H924" cm="1">
        <f t="array" ref="H924">IF(ISBLANK(INDEX(FX_Input,$Q923,$AB924)),0.03,INDEX(FX_Input,#REF!,#REF!))</f>
        <v>0.03</v>
      </c>
      <c r="I924" cm="1">
        <f t="array" ref="I924">IF(ISBLANK(INDEX(FX_Input,$Q923,$AB924)),0.03,INDEX(FX_Input,#REF!,#REF!))</f>
        <v>0.03</v>
      </c>
      <c r="J924" cm="1">
        <f t="array" ref="J924">IF(ISBLANK(INDEX(FX_Input,$Q923,$AB924)),0.03,INDEX(FX_Input,#REF!,#REF!))</f>
        <v>0.03</v>
      </c>
      <c r="K924" cm="1">
        <f t="array" ref="K924">IF(ISBLANK(INDEX(FX_Input,$Q923,$AB924)),0.03,INDEX(FX_Input,#REF!,AC924))</f>
        <v>0.03</v>
      </c>
      <c r="L924" cm="1">
        <f t="array" ref="L924">IF(ISBLANK(INDEX(FX_Input,$Q923,$AB924)),0.03,INDEX(FX_Input,#REF!,AD924))</f>
        <v>0.03</v>
      </c>
      <c r="M924" cm="1">
        <f t="array" ref="M924">IF(ISBLANK(INDEX(FX_Input,$Q923,$AB924)),0.03,INDEX(FX_Input,#REF!,#REF!))</f>
        <v>0.03</v>
      </c>
      <c r="N924" cm="1">
        <f t="array" ref="N924">IF(ISBLANK(INDEX(FX_Input,$Q923,$AB924)),0.03,INDEX(FX_Input,AC923,#REF!))</f>
        <v>0.03</v>
      </c>
      <c r="O924" cm="1">
        <f t="array" ref="O924">IF(ISBLANK(INDEX(FX_Input,$Q923,$AB924)),0.03,INDEX(FX_Input,AD923,#REF!))</f>
        <v>0.03</v>
      </c>
      <c r="AB924">
        <v>15</v>
      </c>
    </row>
    <row r="925" spans="1:32" ht="17.149999999999999" x14ac:dyDescent="0.55000000000000004">
      <c r="B925" t="str">
        <f>B924</f>
        <v>Portland</v>
      </c>
      <c r="C925" t="s">
        <v>565</v>
      </c>
      <c r="D925" cm="1">
        <f t="array" ref="D925">IF(ISBLANK(INDEX(FX_Input,$Q923,$AB925)),-0.03,INDEX(FX_Input,Q923,AB925))</f>
        <v>-0.03</v>
      </c>
      <c r="E925" cm="1">
        <f t="array" ref="E925">IF(ISBLANK(INDEX(FX_Input,$Q923,$AB925)),-0.03,INDEX(FX_Input,R923,#REF!))</f>
        <v>-0.03</v>
      </c>
      <c r="F925" cm="1">
        <f t="array" ref="F925">IF(ISBLANK(INDEX(FX_Input,$Q923,$AB925)),-0.03,INDEX(FX_Input,S923,#REF!))</f>
        <v>-0.03</v>
      </c>
      <c r="G925" cm="1">
        <f t="array" ref="G925">IF(ISBLANK(INDEX(FX_Input,$Q923,$AB925)),-0.03,INDEX(FX_Input,AB923,#REF!))</f>
        <v>-0.03</v>
      </c>
      <c r="H925" cm="1">
        <f t="array" ref="H925">IF(ISBLANK(INDEX(FX_Input,$Q923,$AB925)),-0.03,INDEX(FX_Input,#REF!,#REF!))</f>
        <v>-0.03</v>
      </c>
      <c r="I925" cm="1">
        <f t="array" ref="I925">IF(ISBLANK(INDEX(FX_Input,$Q923,$AB925)),-0.03,INDEX(FX_Input,#REF!,#REF!))</f>
        <v>-0.03</v>
      </c>
      <c r="J925" cm="1">
        <f t="array" ref="J925">IF(ISBLANK(INDEX(FX_Input,$Q923,$AB925)),-0.03,INDEX(FX_Input,#REF!,#REF!))</f>
        <v>-0.03</v>
      </c>
      <c r="K925" cm="1">
        <f t="array" ref="K925">IF(ISBLANK(INDEX(FX_Input,$Q923,$AB925)),-0.03,INDEX(FX_Input,#REF!,AC925))</f>
        <v>-0.03</v>
      </c>
      <c r="L925" cm="1">
        <f t="array" ref="L925">IF(ISBLANK(INDEX(FX_Input,$Q923,$AB925)),-0.03,INDEX(FX_Input,#REF!,AD925))</f>
        <v>-0.03</v>
      </c>
      <c r="M925" cm="1">
        <f t="array" ref="M925">IF(ISBLANK(INDEX(FX_Input,$Q923,$AB925)),-0.03,INDEX(FX_Input,#REF!,#REF!))</f>
        <v>-0.03</v>
      </c>
      <c r="N925" cm="1">
        <f t="array" ref="N925">IF(ISBLANK(INDEX(FX_Input,$Q923,$AB925)),-0.03,INDEX(FX_Input,AC923,#REF!))</f>
        <v>-0.03</v>
      </c>
      <c r="O925" cm="1">
        <f t="array" ref="O925">IF(ISBLANK(INDEX(FX_Input,$Q923,$AB925)),-0.03,INDEX(FX_Input,AD923,#REF!))</f>
        <v>-0.03</v>
      </c>
      <c r="AB925">
        <v>16</v>
      </c>
    </row>
    <row r="926" spans="1:32" x14ac:dyDescent="0.4">
      <c r="B926" t="str">
        <f t="shared" ref="B926:B927" si="3346">B925</f>
        <v>Portland</v>
      </c>
      <c r="C926" s="66" t="s">
        <v>567</v>
      </c>
      <c r="D926" t="str" cm="1">
        <f t="array" ref="D926">INDEX(FX_Multi,$AD926,D$3)</f>
        <v>Out of Service</v>
      </c>
      <c r="E926" t="str" cm="1">
        <f t="array" ref="E926">INDEX(FX_Multi,$AD926,E$3)</f>
        <v>Out of Service</v>
      </c>
      <c r="F926" t="str" cm="1">
        <f t="array" ref="F926">INDEX(FX_Multi,$AD926,F$3)</f>
        <v>Out of Service</v>
      </c>
      <c r="G926" t="str" cm="1">
        <f t="array" ref="G926">INDEX(FX_Multi,$AD926,G$3)</f>
        <v>Out of Service</v>
      </c>
      <c r="H926" t="str" cm="1">
        <f t="array" ref="H926">INDEX(FX_Multi,$AD926,H$3)</f>
        <v>Out of Service</v>
      </c>
      <c r="I926" t="str" cm="1">
        <f t="array" ref="I926">INDEX(FX_Multi,$AD926,I$3)</f>
        <v>Out of Service</v>
      </c>
      <c r="J926" t="str" cm="1">
        <f t="array" ref="J926">INDEX(FX_Multi,$AD926,J$3)</f>
        <v>Out of Service</v>
      </c>
      <c r="K926" t="str" cm="1">
        <f t="array" ref="K926">INDEX(FX_Multi,$AD926,K$3)</f>
        <v>Out of Service</v>
      </c>
      <c r="L926" t="str" cm="1">
        <f t="array" ref="L926">INDEX(FX_Multi,$AD926,L$3)</f>
        <v>Out of Service</v>
      </c>
      <c r="M926" t="str" cm="1">
        <f t="array" ref="M926">INDEX(FX_Multi,$AD926,M$3)</f>
        <v>Out of Service</v>
      </c>
      <c r="N926" t="str" cm="1">
        <f t="array" ref="N926">INDEX(FX_Multi,$AD926,N$3)</f>
        <v>Out of Service</v>
      </c>
      <c r="O926" t="str" cm="1">
        <f t="array" ref="O926">INDEX(FX_Multi,$AD926,O$3)</f>
        <v>Out of Service</v>
      </c>
      <c r="AC926">
        <v>1</v>
      </c>
      <c r="AD926">
        <f>AD923</f>
        <v>379</v>
      </c>
      <c r="AE926">
        <v>1</v>
      </c>
      <c r="AF926">
        <f>AF923</f>
        <v>379</v>
      </c>
    </row>
    <row r="927" spans="1:32" x14ac:dyDescent="0.4">
      <c r="B927" t="str">
        <f t="shared" si="3346"/>
        <v>Portland</v>
      </c>
      <c r="C927" s="66" t="s">
        <v>566</v>
      </c>
      <c r="D927" t="str" cm="1">
        <f t="array" ref="D927">INDEX(FX_Multi,$AD927,D$3)</f>
        <v>N/A</v>
      </c>
      <c r="E927" t="str" cm="1">
        <f t="array" ref="E927">INDEX(FX_Multi,$AD927,E$3)</f>
        <v>N/A</v>
      </c>
      <c r="F927" t="str" cm="1">
        <f t="array" ref="F927">INDEX(FX_Multi,$AD927,F$3)</f>
        <v>N/A</v>
      </c>
      <c r="G927" t="str" cm="1">
        <f t="array" ref="G927">INDEX(FX_Multi,$AD927,G$3)</f>
        <v>N/A</v>
      </c>
      <c r="H927" t="str" cm="1">
        <f t="array" ref="H927">INDEX(FX_Multi,$AD927,H$3)</f>
        <v>N/A</v>
      </c>
      <c r="I927" t="str" cm="1">
        <f t="array" ref="I927">INDEX(FX_Multi,$AD927,I$3)</f>
        <v>N/A</v>
      </c>
      <c r="J927" t="str" cm="1">
        <f t="array" ref="J927">INDEX(FX_Multi,$AD927,J$3)</f>
        <v>N/A</v>
      </c>
      <c r="K927" t="str" cm="1">
        <f t="array" ref="K927">INDEX(FX_Multi,$AD927,K$3)</f>
        <v>N/A</v>
      </c>
      <c r="L927" t="str" cm="1">
        <f t="array" ref="L927">INDEX(FX_Multi,$AD927,L$3)</f>
        <v>N/A</v>
      </c>
      <c r="M927" t="str" cm="1">
        <f t="array" ref="M927">INDEX(FX_Multi,$AD927,M$3)</f>
        <v>N/A</v>
      </c>
      <c r="N927" t="str" cm="1">
        <f t="array" ref="N927">INDEX(FX_Multi,$AD927,N$3)</f>
        <v>N/A</v>
      </c>
      <c r="O927" t="str" cm="1">
        <f t="array" ref="O927">INDEX(FX_Multi,$AD927,O$3)</f>
        <v>N/A</v>
      </c>
      <c r="AC927">
        <v>1</v>
      </c>
      <c r="AD927">
        <f>AD926+2</f>
        <v>381</v>
      </c>
      <c r="AE927">
        <v>1</v>
      </c>
      <c r="AF927">
        <f>AF926+3</f>
        <v>382</v>
      </c>
    </row>
    <row r="928" spans="1:32" x14ac:dyDescent="0.4">
      <c r="B928" t="str">
        <f>B924</f>
        <v>Portland</v>
      </c>
      <c r="C928" s="66" t="s">
        <v>568</v>
      </c>
      <c r="D928" cm="1">
        <f t="array" ref="D928">INDEX(FX_Multi,$AD928,D$3)</f>
        <v>0</v>
      </c>
      <c r="E928" cm="1">
        <f t="array" ref="E928">INDEX(FX_Multi,$AD928,E$3)</f>
        <v>0</v>
      </c>
      <c r="F928" cm="1">
        <f t="array" ref="F928">INDEX(FX_Multi,$AD928,F$3)</f>
        <v>0</v>
      </c>
      <c r="G928" cm="1">
        <f t="array" ref="G928">INDEX(FX_Multi,$AD928,G$3)</f>
        <v>0</v>
      </c>
      <c r="H928" cm="1">
        <f t="array" ref="H928">INDEX(FX_Multi,$AD928,H$3)</f>
        <v>0</v>
      </c>
      <c r="I928" cm="1">
        <f t="array" ref="I928">INDEX(FX_Multi,$AD928,I$3)</f>
        <v>0</v>
      </c>
      <c r="J928" cm="1">
        <f t="array" ref="J928">INDEX(FX_Multi,$AD928,J$3)</f>
        <v>0</v>
      </c>
      <c r="K928" cm="1">
        <f t="array" ref="K928">INDEX(FX_Multi,$AD928,K$3)</f>
        <v>0</v>
      </c>
      <c r="L928" cm="1">
        <f t="array" ref="L928">INDEX(FX_Multi,$AD928,L$3)</f>
        <v>0</v>
      </c>
      <c r="M928" cm="1">
        <f t="array" ref="M928">INDEX(FX_Multi,$AD928,M$3)</f>
        <v>0</v>
      </c>
      <c r="N928" cm="1">
        <f t="array" ref="N928">INDEX(FX_Multi,$AD928,N$3)</f>
        <v>0</v>
      </c>
      <c r="O928" cm="1">
        <f t="array" ref="O928">INDEX(FX_Multi,$AD928,O$3)</f>
        <v>0</v>
      </c>
      <c r="AC928">
        <v>1</v>
      </c>
      <c r="AD928">
        <f>AD927-1</f>
        <v>380</v>
      </c>
      <c r="AE928">
        <v>1</v>
      </c>
      <c r="AF928">
        <f>AF926+1</f>
        <v>380</v>
      </c>
    </row>
    <row r="929" spans="2:32" x14ac:dyDescent="0.4">
      <c r="B929" t="str">
        <f t="shared" ref="B929:B933" si="3347">B928</f>
        <v>Portland</v>
      </c>
      <c r="C929" s="66" t="s">
        <v>569</v>
      </c>
      <c r="D929" cm="1">
        <f t="array" ref="D929">INDEX(FX_Multi,$AD929,D$3)</f>
        <v>0</v>
      </c>
      <c r="E929" cm="1">
        <f t="array" ref="E929">INDEX(FX_Multi,$AD929,E$3)</f>
        <v>0</v>
      </c>
      <c r="F929" cm="1">
        <f t="array" ref="F929">INDEX(FX_Multi,$AD929,F$3)</f>
        <v>0</v>
      </c>
      <c r="G929" cm="1">
        <f t="array" ref="G929">INDEX(FX_Multi,$AD929,G$3)</f>
        <v>0</v>
      </c>
      <c r="H929" cm="1">
        <f t="array" ref="H929">INDEX(FX_Multi,$AD929,H$3)</f>
        <v>0</v>
      </c>
      <c r="I929" cm="1">
        <f t="array" ref="I929">INDEX(FX_Multi,$AD929,I$3)</f>
        <v>0</v>
      </c>
      <c r="J929" cm="1">
        <f t="array" ref="J929">INDEX(FX_Multi,$AD929,J$3)</f>
        <v>0</v>
      </c>
      <c r="K929" cm="1">
        <f t="array" ref="K929">INDEX(FX_Multi,$AD929,K$3)</f>
        <v>0</v>
      </c>
      <c r="L929" cm="1">
        <f t="array" ref="L929">INDEX(FX_Multi,$AD929,L$3)</f>
        <v>0</v>
      </c>
      <c r="M929" cm="1">
        <f t="array" ref="M929">INDEX(FX_Multi,$AD929,M$3)</f>
        <v>0</v>
      </c>
      <c r="N929" cm="1">
        <f t="array" ref="N929">INDEX(FX_Multi,$AD929,N$3)</f>
        <v>0</v>
      </c>
      <c r="O929" cm="1">
        <f t="array" ref="O929">INDEX(FX_Multi,$AD929,O$3)</f>
        <v>0</v>
      </c>
      <c r="AC929">
        <v>1</v>
      </c>
      <c r="AD929">
        <f>AD928+2</f>
        <v>382</v>
      </c>
      <c r="AE929">
        <v>1</v>
      </c>
      <c r="AF929">
        <f>AF927</f>
        <v>382</v>
      </c>
    </row>
    <row r="930" spans="2:32" ht="17.149999999999999" x14ac:dyDescent="0.55000000000000004">
      <c r="B930" t="str">
        <f t="shared" si="3347"/>
        <v>Portland</v>
      </c>
      <c r="C930" t="s">
        <v>570</v>
      </c>
      <c r="D930" cm="1">
        <f t="array" ref="D930">INDEX(FX_Multi,$AD930,D$3)</f>
        <v>1</v>
      </c>
      <c r="E930" cm="1">
        <f t="array" ref="E930">INDEX(FX_Multi,$AD930,E$3)</f>
        <v>1</v>
      </c>
      <c r="F930" cm="1">
        <f t="array" ref="F930">INDEX(FX_Multi,$AD930,F$3)</f>
        <v>1</v>
      </c>
      <c r="G930" cm="1">
        <f t="array" ref="G930">INDEX(FX_Multi,$AD930,G$3)</f>
        <v>1</v>
      </c>
      <c r="H930" cm="1">
        <f t="array" ref="H930">INDEX(FX_Multi,$AD930,H$3)</f>
        <v>1</v>
      </c>
      <c r="I930" cm="1">
        <f t="array" ref="I930">INDEX(FX_Multi,$AD930,I$3)</f>
        <v>1</v>
      </c>
      <c r="J930" cm="1">
        <f t="array" ref="J930">INDEX(FX_Multi,$AD930,J$3)</f>
        <v>1</v>
      </c>
      <c r="K930" cm="1">
        <f t="array" ref="K930">INDEX(FX_Multi,$AD930,K$3)</f>
        <v>1</v>
      </c>
      <c r="L930" cm="1">
        <f t="array" ref="L930">INDEX(FX_Multi,$AD930,L$3)</f>
        <v>1</v>
      </c>
      <c r="M930" cm="1">
        <f t="array" ref="M930">INDEX(FX_Multi,$AD930,M$3)</f>
        <v>1</v>
      </c>
      <c r="N930" cm="1">
        <f t="array" ref="N930">INDEX(FX_Multi,$AD930,N$3)</f>
        <v>1</v>
      </c>
      <c r="O930" cm="1">
        <f t="array" ref="O930">INDEX(FX_Multi,$AD930,O$3)</f>
        <v>1</v>
      </c>
      <c r="AC930">
        <v>1</v>
      </c>
      <c r="AD930">
        <f>AD929+6</f>
        <v>388</v>
      </c>
      <c r="AE930">
        <v>1</v>
      </c>
      <c r="AF930">
        <f>AF926+9</f>
        <v>388</v>
      </c>
    </row>
    <row r="931" spans="2:32" ht="17.149999999999999" x14ac:dyDescent="0.55000000000000004">
      <c r="B931" t="str">
        <f t="shared" si="3347"/>
        <v>Portland</v>
      </c>
      <c r="C931" t="s">
        <v>571</v>
      </c>
      <c r="D931" t="str" cm="1">
        <f t="array" ref="D931">INDEX(FX_Multi,$AD931,D$3)</f>
        <v>N/A</v>
      </c>
      <c r="E931" t="str" cm="1">
        <f t="array" ref="E931">INDEX(FX_Multi,$AD931,E$3)</f>
        <v>N/A</v>
      </c>
      <c r="F931" t="str" cm="1">
        <f t="array" ref="F931">INDEX(FX_Multi,$AD931,F$3)</f>
        <v>N/A</v>
      </c>
      <c r="G931" t="str" cm="1">
        <f t="array" ref="G931">INDEX(FX_Multi,$AD931,G$3)</f>
        <v>N/A</v>
      </c>
      <c r="H931" t="str" cm="1">
        <f t="array" ref="H931">INDEX(FX_Multi,$AD931,H$3)</f>
        <v>N/A</v>
      </c>
      <c r="I931" t="str" cm="1">
        <f t="array" ref="I931">INDEX(FX_Multi,$AD931,I$3)</f>
        <v>N/A</v>
      </c>
      <c r="J931" t="str" cm="1">
        <f t="array" ref="J931">INDEX(FX_Multi,$AD931,J$3)</f>
        <v>N/A</v>
      </c>
      <c r="K931" t="str" cm="1">
        <f t="array" ref="K931">INDEX(FX_Multi,$AD931,K$3)</f>
        <v>N/A</v>
      </c>
      <c r="L931" t="str" cm="1">
        <f t="array" ref="L931">INDEX(FX_Multi,$AD931,L$3)</f>
        <v>N/A</v>
      </c>
      <c r="M931" t="str" cm="1">
        <f t="array" ref="M931">INDEX(FX_Multi,$AD931,M$3)</f>
        <v>N/A</v>
      </c>
      <c r="N931" t="str" cm="1">
        <f t="array" ref="N931">INDEX(FX_Multi,$AD931,N$3)</f>
        <v>N/A</v>
      </c>
      <c r="O931" t="str" cm="1">
        <f t="array" ref="O931">INDEX(FX_Multi,$AD931,O$3)</f>
        <v>N/A</v>
      </c>
      <c r="AC931">
        <v>1</v>
      </c>
      <c r="AD931">
        <f>AD930-3</f>
        <v>385</v>
      </c>
      <c r="AE931">
        <v>1</v>
      </c>
      <c r="AF931">
        <f>AF926+6</f>
        <v>385</v>
      </c>
    </row>
    <row r="932" spans="2:32" ht="17.149999999999999" x14ac:dyDescent="0.55000000000000004">
      <c r="B932" t="str">
        <f t="shared" si="3347"/>
        <v>Portland</v>
      </c>
      <c r="C932" t="s">
        <v>572</v>
      </c>
      <c r="D932" cm="1">
        <f t="array" ref="D932">INDEX(FX_Multi,$AD932,D$3)</f>
        <v>0</v>
      </c>
      <c r="E932" cm="1">
        <f t="array" ref="E932">INDEX(FX_Multi,$AD932,E$3)</f>
        <v>0</v>
      </c>
      <c r="F932" cm="1">
        <f t="array" ref="F932">INDEX(FX_Multi,$AD932,F$3)</f>
        <v>0</v>
      </c>
      <c r="G932" cm="1">
        <f t="array" ref="G932">INDEX(FX_Multi,$AD932,G$3)</f>
        <v>0</v>
      </c>
      <c r="H932" cm="1">
        <f t="array" ref="H932">INDEX(FX_Multi,$AD932,H$3)</f>
        <v>0</v>
      </c>
      <c r="I932" cm="1">
        <f t="array" ref="I932">INDEX(FX_Multi,$AD932,I$3)</f>
        <v>0</v>
      </c>
      <c r="J932" cm="1">
        <f t="array" ref="J932">INDEX(FX_Multi,$AD932,J$3)</f>
        <v>0</v>
      </c>
      <c r="K932" cm="1">
        <f t="array" ref="K932">INDEX(FX_Multi,$AD932,K$3)</f>
        <v>0</v>
      </c>
      <c r="L932" cm="1">
        <f t="array" ref="L932">INDEX(FX_Multi,$AD932,L$3)</f>
        <v>0</v>
      </c>
      <c r="M932" cm="1">
        <f t="array" ref="M932">INDEX(FX_Multi,$AD932,M$3)</f>
        <v>0</v>
      </c>
      <c r="N932" cm="1">
        <f t="array" ref="N932">INDEX(FX_Multi,$AD932,N$3)</f>
        <v>0</v>
      </c>
      <c r="O932" cm="1">
        <f t="array" ref="O932">INDEX(FX_Multi,$AD932,O$3)</f>
        <v>0</v>
      </c>
      <c r="AC932">
        <v>1</v>
      </c>
      <c r="AD932">
        <f>AD931+4</f>
        <v>389</v>
      </c>
      <c r="AE932">
        <v>1</v>
      </c>
      <c r="AF932">
        <f>AF926+10</f>
        <v>389</v>
      </c>
    </row>
    <row r="933" spans="2:32" ht="17.149999999999999" x14ac:dyDescent="0.55000000000000004">
      <c r="B933" t="str">
        <f t="shared" si="3347"/>
        <v>Portland</v>
      </c>
      <c r="C933" t="s">
        <v>573</v>
      </c>
      <c r="D933" cm="1">
        <f t="array" ref="D933">INDEX(FX_Multi,$AD933,D$3)</f>
        <v>0</v>
      </c>
      <c r="E933" cm="1">
        <f t="array" ref="E933">INDEX(FX_Multi,$AD933,E$3)</f>
        <v>0</v>
      </c>
      <c r="F933" cm="1">
        <f t="array" ref="F933">INDEX(FX_Multi,$AD933,F$3)</f>
        <v>0</v>
      </c>
      <c r="G933" cm="1">
        <f t="array" ref="G933">INDEX(FX_Multi,$AD933,G$3)</f>
        <v>0</v>
      </c>
      <c r="H933" cm="1">
        <f t="array" ref="H933">INDEX(FX_Multi,$AD933,H$3)</f>
        <v>0</v>
      </c>
      <c r="I933" cm="1">
        <f t="array" ref="I933">INDEX(FX_Multi,$AD933,I$3)</f>
        <v>0</v>
      </c>
      <c r="J933" cm="1">
        <f t="array" ref="J933">INDEX(FX_Multi,$AD933,J$3)</f>
        <v>0</v>
      </c>
      <c r="K933" cm="1">
        <f t="array" ref="K933">INDEX(FX_Multi,$AD933,K$3)</f>
        <v>0</v>
      </c>
      <c r="L933" cm="1">
        <f t="array" ref="L933">INDEX(FX_Multi,$AD933,L$3)</f>
        <v>0</v>
      </c>
      <c r="M933" cm="1">
        <f t="array" ref="M933">INDEX(FX_Multi,$AD933,M$3)</f>
        <v>0</v>
      </c>
      <c r="N933" cm="1">
        <f t="array" ref="N933">INDEX(FX_Multi,$AD933,N$3)</f>
        <v>0</v>
      </c>
      <c r="O933" cm="1">
        <f t="array" ref="O933">INDEX(FX_Multi,$AD933,O$3)</f>
        <v>0</v>
      </c>
      <c r="AC933">
        <v>1</v>
      </c>
      <c r="AD933">
        <f>AD932-3</f>
        <v>386</v>
      </c>
      <c r="AE933">
        <v>1</v>
      </c>
      <c r="AF933">
        <f>AF926+7</f>
        <v>386</v>
      </c>
    </row>
    <row r="934" spans="2:32" ht="17.149999999999999" x14ac:dyDescent="0.55000000000000004">
      <c r="B934" t="str">
        <f>B929</f>
        <v>Portland</v>
      </c>
      <c r="C934" t="s">
        <v>526</v>
      </c>
      <c r="D934" cm="1">
        <f t="array" ref="D934">INDEX(FX_Temps,$AF934,D$3)</f>
        <v>43.899999999999977</v>
      </c>
      <c r="E934" cm="1">
        <f t="array" ref="E934">INDEX(FX_Temps,$AF934,E$3)</f>
        <v>44.700000000000045</v>
      </c>
      <c r="F934" cm="1">
        <f t="array" ref="F934">INDEX(FX_Temps,$AF934,F$3)</f>
        <v>46.100000000000023</v>
      </c>
      <c r="G934" cm="1">
        <f t="array" ref="G934">INDEX(FX_Temps,$AF934,G$3)</f>
        <v>48.599999999999966</v>
      </c>
      <c r="H934" cm="1">
        <f t="array" ref="H934">INDEX(FX_Temps,$AF934,H$3)</f>
        <v>53.149999999999977</v>
      </c>
      <c r="I934" cm="1">
        <f t="array" ref="I934">INDEX(FX_Temps,$AF934,I$3)</f>
        <v>56.950000000000045</v>
      </c>
      <c r="J934" cm="1">
        <f t="array" ref="J934">INDEX(FX_Temps,$AF934,J$3)</f>
        <v>60.449999999999932</v>
      </c>
      <c r="K934" cm="1">
        <f t="array" ref="K934">INDEX(FX_Temps,$AF934,K$3)</f>
        <v>60.899999999999977</v>
      </c>
      <c r="L934" cm="1">
        <f t="array" ref="L934">INDEX(FX_Temps,$AF934,L$3)</f>
        <v>58.600000000000023</v>
      </c>
      <c r="M934" cm="1">
        <f t="array" ref="M934">INDEX(FX_Temps,$AF934,M$3)</f>
        <v>52.649999999999977</v>
      </c>
      <c r="N934" cm="1">
        <f t="array" ref="N934">INDEX(FX_Temps,$AF934,N$3)</f>
        <v>47.100000000000023</v>
      </c>
      <c r="O934" cm="1">
        <f t="array" ref="O934">INDEX(FX_Temps,$AF934,O$3)</f>
        <v>43.600000000000023</v>
      </c>
      <c r="AE934">
        <v>1</v>
      </c>
      <c r="AF934">
        <f>AF926+10</f>
        <v>389</v>
      </c>
    </row>
    <row r="935" spans="2:32" ht="17.149999999999999" x14ac:dyDescent="0.55000000000000004">
      <c r="B935" t="str">
        <f t="shared" ref="B935:B956" si="3348">B934</f>
        <v>Portland</v>
      </c>
      <c r="C935" t="s">
        <v>527</v>
      </c>
      <c r="D935" cm="1">
        <f t="array" ref="D935">INDEX(FX_Temps,$AF935,D$3)</f>
        <v>43.899999999999977</v>
      </c>
      <c r="E935" cm="1">
        <f t="array" ref="E935">INDEX(FX_Temps,$AF935,E$3)</f>
        <v>44.700000000000045</v>
      </c>
      <c r="F935" cm="1">
        <f t="array" ref="F935">INDEX(FX_Temps,$AF935,F$3)</f>
        <v>46.100000000000023</v>
      </c>
      <c r="G935" cm="1">
        <f t="array" ref="G935">INDEX(FX_Temps,$AF935,G$3)</f>
        <v>48.599999999999966</v>
      </c>
      <c r="H935" cm="1">
        <f t="array" ref="H935">INDEX(FX_Temps,$AF935,H$3)</f>
        <v>53.149999999999977</v>
      </c>
      <c r="I935" cm="1">
        <f t="array" ref="I935">INDEX(FX_Temps,$AF935,I$3)</f>
        <v>56.950000000000045</v>
      </c>
      <c r="J935" cm="1">
        <f t="array" ref="J935">INDEX(FX_Temps,$AF935,J$3)</f>
        <v>60.449999999999932</v>
      </c>
      <c r="K935" cm="1">
        <f t="array" ref="K935">INDEX(FX_Temps,$AF935,K$3)</f>
        <v>60.899999999999977</v>
      </c>
      <c r="L935" cm="1">
        <f t="array" ref="L935">INDEX(FX_Temps,$AF935,L$3)</f>
        <v>58.600000000000023</v>
      </c>
      <c r="M935" cm="1">
        <f t="array" ref="M935">INDEX(FX_Temps,$AF935,M$3)</f>
        <v>52.649999999999977</v>
      </c>
      <c r="N935" cm="1">
        <f t="array" ref="N935">INDEX(FX_Temps,$AF935,N$3)</f>
        <v>47.100000000000023</v>
      </c>
      <c r="O935" cm="1">
        <f t="array" ref="O935">INDEX(FX_Temps,$AF935,O$3)</f>
        <v>43.600000000000023</v>
      </c>
      <c r="AE935">
        <f>AE934</f>
        <v>1</v>
      </c>
      <c r="AF935">
        <f>AF926+11</f>
        <v>390</v>
      </c>
    </row>
    <row r="936" spans="2:32" ht="17.149999999999999" x14ac:dyDescent="0.55000000000000004">
      <c r="B936" t="str">
        <f t="shared" si="3348"/>
        <v>Portland</v>
      </c>
      <c r="C936" t="s">
        <v>552</v>
      </c>
      <c r="D936" cm="1">
        <f t="array" ref="D936">INDEX(FX_Temps,$AF936,D$3)</f>
        <v>43.899999999999977</v>
      </c>
      <c r="E936" cm="1">
        <f t="array" ref="E936">INDEX(FX_Temps,$AF936,E$3)</f>
        <v>44.700000000000045</v>
      </c>
      <c r="F936" cm="1">
        <f t="array" ref="F936">INDEX(FX_Temps,$AF936,F$3)</f>
        <v>46.100000000000023</v>
      </c>
      <c r="G936" cm="1">
        <f t="array" ref="G936">INDEX(FX_Temps,$AF936,G$3)</f>
        <v>48.599999999999966</v>
      </c>
      <c r="H936" cm="1">
        <f t="array" ref="H936">INDEX(FX_Temps,$AF936,H$3)</f>
        <v>53.149999999999977</v>
      </c>
      <c r="I936" cm="1">
        <f t="array" ref="I936">INDEX(FX_Temps,$AF936,I$3)</f>
        <v>56.950000000000045</v>
      </c>
      <c r="J936" cm="1">
        <f t="array" ref="J936">INDEX(FX_Temps,$AF936,J$3)</f>
        <v>60.449999999999932</v>
      </c>
      <c r="K936" cm="1">
        <f t="array" ref="K936">INDEX(FX_Temps,$AF936,K$3)</f>
        <v>60.899999999999977</v>
      </c>
      <c r="L936" cm="1">
        <f t="array" ref="L936">INDEX(FX_Temps,$AF936,L$3)</f>
        <v>58.600000000000023</v>
      </c>
      <c r="M936" cm="1">
        <f t="array" ref="M936">INDEX(FX_Temps,$AF936,M$3)</f>
        <v>52.649999999999977</v>
      </c>
      <c r="N936" cm="1">
        <f t="array" ref="N936">INDEX(FX_Temps,$AF936,N$3)</f>
        <v>47.100000000000023</v>
      </c>
      <c r="O936" cm="1">
        <f t="array" ref="O936">INDEX(FX_Temps,$AF936,O$3)</f>
        <v>43.600000000000023</v>
      </c>
      <c r="AE936">
        <f>AE935</f>
        <v>1</v>
      </c>
      <c r="AF936">
        <f>AF926+13</f>
        <v>392</v>
      </c>
    </row>
    <row r="937" spans="2:32" ht="17.149999999999999" x14ac:dyDescent="0.55000000000000004">
      <c r="B937" t="str">
        <f t="shared" si="3348"/>
        <v>Portland</v>
      </c>
      <c r="C937" t="s">
        <v>574</v>
      </c>
      <c r="D937" cm="1">
        <f t="array" ref="D937">IFERROR(IF(D927="Chemical",(10^(INDEX(Antoines,MATCH(D926,Antoine_Name,0),2)-INDEX(Antoines,MATCH(D926,Antoine_Name,0),3)/(INDEX(Antoines,MATCH(D926,Antoine_Name,0),4)+(D934-32)*5/9)))*14.7/760,IF(D927="Crude Oil",EXP((2799/(D934+459.6)-2.227)*LOG10(INDEX(FX_Input,Q$5,D$3*$Z$5+$AA$5))-(7261/(D934+459.6))+12.82),IF(D927="Refined Petroleum Stock",EXP((0.7553-(413/(D934+459.6)))*(INDEX(FX_Input,Q$5,D$3*$Z$5+$AA$5-1)^0.5)*LOG10(INDEX(FX_Input,Q$5,D$3*$Z$5+$AA$5))-(1.854-(1042/(D934+459.6)))*(INDEX(FX_Input,Q$5,D$3*$Z$5+$AA$5-1)^0.5)+((2416/(D934+459.6)-2.013)*LOG10(INDEX(FX_Input,Q$5,D$3*$Z$5+$AA$5)))-(8742/(D934+459.6))+15.64),EXP(INDEX(Antoines,MATCH(D926,Antoine_Name,0),2)-INDEX(Antoines,MATCH(D926,Antoine_Name,0),3)/(D934+459.6))))),0)</f>
        <v>1</v>
      </c>
      <c r="E937" cm="1">
        <f t="array" ref="E937">IFERROR(IF(E927="Chemical",(10^(INDEX(Antoines,MATCH(E926,Antoine_Name,0),2)-INDEX(Antoines,MATCH(E926,Antoine_Name,0),3)/(INDEX(Antoines,MATCH(E926,Antoine_Name,0),4)+(E934-32)*5/9)))*14.7/760,IF(E927="Crude Oil",EXP((2799/(E934+459.6)-2.227)*LOG10(INDEX(FX_Input,R$5,E$3*$Z$5+$AA$5))-(7261/(E934+459.6))+12.82),IF(E927="Refined Petroleum Stock",EXP((0.7553-(413/(E934+459.6)))*(INDEX(FX_Input,R$5,E$3*$Z$5+$AA$5-1)^0.5)*LOG10(INDEX(FX_Input,R$5,E$3*$Z$5+$AA$5))-(1.854-(1042/(E934+459.6)))*(INDEX(FX_Input,R$5,E$3*$Z$5+$AA$5-1)^0.5)+((2416/(E934+459.6)-2.013)*LOG10(INDEX(FX_Input,R$5,E$3*$Z$5+$AA$5)))-(8742/(E934+459.6))+15.64),EXP(INDEX(Antoines,MATCH(E926,Antoine_Name,0),2)-INDEX(Antoines,MATCH(E926,Antoine_Name,0),3)/(E934+459.6))))),0)</f>
        <v>1</v>
      </c>
      <c r="F937" cm="1">
        <f t="array" ref="F937">IFERROR(IF(F927="Chemical",(10^(INDEX(Antoines,MATCH(F926,Antoine_Name,0),2)-INDEX(Antoines,MATCH(F926,Antoine_Name,0),3)/(INDEX(Antoines,MATCH(F926,Antoine_Name,0),4)+(F934-32)*5/9)))*14.7/760,IF(F927="Crude Oil",EXP((2799/(F934+459.6)-2.227)*LOG10(INDEX(FX_Input,S$5,F$3*$Z$5+$AA$5))-(7261/(F934+459.6))+12.82),IF(F927="Refined Petroleum Stock",EXP((0.7553-(413/(F934+459.6)))*(INDEX(FX_Input,S$5,F$3*$Z$5+$AA$5-1)^0.5)*LOG10(INDEX(FX_Input,S$5,F$3*$Z$5+$AA$5))-(1.854-(1042/(F934+459.6)))*(INDEX(FX_Input,S$5,F$3*$Z$5+$AA$5-1)^0.5)+((2416/(F934+459.6)-2.013)*LOG10(INDEX(FX_Input,S$5,F$3*$Z$5+$AA$5)))-(8742/(F934+459.6))+15.64),EXP(INDEX(Antoines,MATCH(F926,Antoine_Name,0),2)-INDEX(Antoines,MATCH(F926,Antoine_Name,0),3)/(F934+459.6))))),0)</f>
        <v>1</v>
      </c>
      <c r="G937" cm="1">
        <f t="array" ref="G937">IFERROR(IF(G927="Chemical",(10^(INDEX(Antoines,MATCH(G926,Antoine_Name,0),2)-INDEX(Antoines,MATCH(G926,Antoine_Name,0),3)/(INDEX(Antoines,MATCH(G926,Antoine_Name,0),4)+(G934-32)*5/9)))*14.7/760,IF(G927="Crude Oil",EXP((2799/(G934+459.6)-2.227)*LOG10(INDEX(FX_Input,T$5,G$3*$Z$5+$AA$5))-(7261/(G934+459.6))+12.82),IF(G927="Refined Petroleum Stock",EXP((0.7553-(413/(G934+459.6)))*(INDEX(FX_Input,T$5,G$3*$Z$5+$AA$5-1)^0.5)*LOG10(INDEX(FX_Input,T$5,G$3*$Z$5+$AA$5))-(1.854-(1042/(G934+459.6)))*(INDEX(FX_Input,T$5,G$3*$Z$5+$AA$5-1)^0.5)+((2416/(G934+459.6)-2.013)*LOG10(INDEX(FX_Input,T$5,G$3*$Z$5+$AA$5)))-(8742/(G934+459.6))+15.64),EXP(INDEX(Antoines,MATCH(G926,Antoine_Name,0),2)-INDEX(Antoines,MATCH(G926,Antoine_Name,0),3)/(G934+459.6))))),0)</f>
        <v>1</v>
      </c>
      <c r="H937" cm="1">
        <f t="array" ref="H937">IFERROR(IF(H927="Chemical",(10^(INDEX(Antoines,MATCH(H926,Antoine_Name,0),2)-INDEX(Antoines,MATCH(H926,Antoine_Name,0),3)/(INDEX(Antoines,MATCH(H926,Antoine_Name,0),4)+(H934-32)*5/9)))*14.7/760,IF(H927="Crude Oil",EXP((2799/(H934+459.6)-2.227)*LOG10(INDEX(FX_Input,U$5,H$3*$Z$5+$AA$5))-(7261/(H934+459.6))+12.82),IF(H927="Refined Petroleum Stock",EXP((0.7553-(413/(H934+459.6)))*(INDEX(FX_Input,U$5,H$3*$Z$5+$AA$5-1)^0.5)*LOG10(INDEX(FX_Input,U$5,H$3*$Z$5+$AA$5))-(1.854-(1042/(H934+459.6)))*(INDEX(FX_Input,U$5,H$3*$Z$5+$AA$5-1)^0.5)+((2416/(H934+459.6)-2.013)*LOG10(INDEX(FX_Input,U$5,H$3*$Z$5+$AA$5)))-(8742/(H934+459.6))+15.64),EXP(INDEX(Antoines,MATCH(H926,Antoine_Name,0),2)-INDEX(Antoines,MATCH(H926,Antoine_Name,0),3)/(H934+459.6))))),0)</f>
        <v>1</v>
      </c>
      <c r="I937" cm="1">
        <f t="array" ref="I937">IFERROR(IF(I927="Chemical",(10^(INDEX(Antoines,MATCH(I926,Antoine_Name,0),2)-INDEX(Antoines,MATCH(I926,Antoine_Name,0),3)/(INDEX(Antoines,MATCH(I926,Antoine_Name,0),4)+(I934-32)*5/9)))*14.7/760,IF(I927="Crude Oil",EXP((2799/(I934+459.6)-2.227)*LOG10(INDEX(FX_Input,V$5,I$3*$Z$5+$AA$5))-(7261/(I934+459.6))+12.82),IF(I927="Refined Petroleum Stock",EXP((0.7553-(413/(I934+459.6)))*(INDEX(FX_Input,V$5,I$3*$Z$5+$AA$5-1)^0.5)*LOG10(INDEX(FX_Input,V$5,I$3*$Z$5+$AA$5))-(1.854-(1042/(I934+459.6)))*(INDEX(FX_Input,V$5,I$3*$Z$5+$AA$5-1)^0.5)+((2416/(I934+459.6)-2.013)*LOG10(INDEX(FX_Input,V$5,I$3*$Z$5+$AA$5)))-(8742/(I934+459.6))+15.64),EXP(INDEX(Antoines,MATCH(I926,Antoine_Name,0),2)-INDEX(Antoines,MATCH(I926,Antoine_Name,0),3)/(I934+459.6))))),0)</f>
        <v>1</v>
      </c>
      <c r="J937" cm="1">
        <f t="array" ref="J937">IFERROR(IF(J927="Chemical",(10^(INDEX(Antoines,MATCH(J926,Antoine_Name,0),2)-INDEX(Antoines,MATCH(J926,Antoine_Name,0),3)/(INDEX(Antoines,MATCH(J926,Antoine_Name,0),4)+(J934-32)*5/9)))*14.7/760,IF(J927="Crude Oil",EXP((2799/(J934+459.6)-2.227)*LOG10(INDEX(FX_Input,W$5,J$3*$Z$5+$AA$5))-(7261/(J934+459.6))+12.82),IF(J927="Refined Petroleum Stock",EXP((0.7553-(413/(J934+459.6)))*(INDEX(FX_Input,W$5,J$3*$Z$5+$AA$5-1)^0.5)*LOG10(INDEX(FX_Input,W$5,J$3*$Z$5+$AA$5))-(1.854-(1042/(J934+459.6)))*(INDEX(FX_Input,W$5,J$3*$Z$5+$AA$5-1)^0.5)+((2416/(J934+459.6)-2.013)*LOG10(INDEX(FX_Input,W$5,J$3*$Z$5+$AA$5)))-(8742/(J934+459.6))+15.64),EXP(INDEX(Antoines,MATCH(J926,Antoine_Name,0),2)-INDEX(Antoines,MATCH(J926,Antoine_Name,0),3)/(J934+459.6))))),0)</f>
        <v>1</v>
      </c>
      <c r="K937" cm="1">
        <f t="array" ref="K937">IFERROR(IF(K927="Chemical",(10^(INDEX(Antoines,MATCH(K926,Antoine_Name,0),2)-INDEX(Antoines,MATCH(K926,Antoine_Name,0),3)/(INDEX(Antoines,MATCH(K926,Antoine_Name,0),4)+(K934-32)*5/9)))*14.7/760,IF(K927="Crude Oil",EXP((2799/(K934+459.6)-2.227)*LOG10(INDEX(FX_Input,X$5,K$3*$Z$5+$AA$5))-(7261/(K934+459.6))+12.82),IF(K927="Refined Petroleum Stock",EXP((0.7553-(413/(K934+459.6)))*(INDEX(FX_Input,X$5,K$3*$Z$5+$AA$5-1)^0.5)*LOG10(INDEX(FX_Input,X$5,K$3*$Z$5+$AA$5))-(1.854-(1042/(K934+459.6)))*(INDEX(FX_Input,X$5,K$3*$Z$5+$AA$5-1)^0.5)+((2416/(K934+459.6)-2.013)*LOG10(INDEX(FX_Input,X$5,K$3*$Z$5+$AA$5)))-(8742/(K934+459.6))+15.64),EXP(INDEX(Antoines,MATCH(K926,Antoine_Name,0),2)-INDEX(Antoines,MATCH(K926,Antoine_Name,0),3)/(K934+459.6))))),0)</f>
        <v>1</v>
      </c>
      <c r="L937" cm="1">
        <f t="array" ref="L937">IFERROR(IF(L927="Chemical",(10^(INDEX(Antoines,MATCH(L926,Antoine_Name,0),2)-INDEX(Antoines,MATCH(L926,Antoine_Name,0),3)/(INDEX(Antoines,MATCH(L926,Antoine_Name,0),4)+(L934-32)*5/9)))*14.7/760,IF(L927="Crude Oil",EXP((2799/(L934+459.6)-2.227)*LOG10(INDEX(FX_Input,Y$5,L$3*$Z$5+$AA$5))-(7261/(L934+459.6))+12.82),IF(L927="Refined Petroleum Stock",EXP((0.7553-(413/(L934+459.6)))*(INDEX(FX_Input,Y$5,L$3*$Z$5+$AA$5-1)^0.5)*LOG10(INDEX(FX_Input,Y$5,L$3*$Z$5+$AA$5))-(1.854-(1042/(L934+459.6)))*(INDEX(FX_Input,Y$5,L$3*$Z$5+$AA$5-1)^0.5)+((2416/(L934+459.6)-2.013)*LOG10(INDEX(FX_Input,Y$5,L$3*$Z$5+$AA$5)))-(8742/(L934+459.6))+15.64),EXP(INDEX(Antoines,MATCH(L926,Antoine_Name,0),2)-INDEX(Antoines,MATCH(L926,Antoine_Name,0),3)/(L934+459.6))))),0)</f>
        <v>1</v>
      </c>
      <c r="M937" cm="1">
        <f t="array" ref="M937">IFERROR(IF(M927="Chemical",(10^(INDEX(Antoines,MATCH(M926,Antoine_Name,0),2)-INDEX(Antoines,MATCH(M926,Antoine_Name,0),3)/(INDEX(Antoines,MATCH(M926,Antoine_Name,0),4)+(M934-32)*5/9)))*14.7/760,IF(M927="Crude Oil",EXP((2799/(M934+459.6)-2.227)*LOG10(INDEX(FX_Input,Z$5,M$3*$Z$5+$AA$5))-(7261/(M934+459.6))+12.82),IF(M927="Refined Petroleum Stock",EXP((0.7553-(413/(M934+459.6)))*(INDEX(FX_Input,Z$5,M$3*$Z$5+$AA$5-1)^0.5)*LOG10(INDEX(FX_Input,Z$5,M$3*$Z$5+$AA$5))-(1.854-(1042/(M934+459.6)))*(INDEX(FX_Input,Z$5,M$3*$Z$5+$AA$5-1)^0.5)+((2416/(M934+459.6)-2.013)*LOG10(INDEX(FX_Input,Z$5,M$3*$Z$5+$AA$5)))-(8742/(M934+459.6))+15.64),EXP(INDEX(Antoines,MATCH(M926,Antoine_Name,0),2)-INDEX(Antoines,MATCH(M926,Antoine_Name,0),3)/(M934+459.6))))),0)</f>
        <v>1</v>
      </c>
      <c r="N937" cm="1">
        <f t="array" ref="N937">IFERROR(IF(N927="Chemical",(10^(INDEX(Antoines,MATCH(N926,Antoine_Name,0),2)-INDEX(Antoines,MATCH(N926,Antoine_Name,0),3)/(INDEX(Antoines,MATCH(N926,Antoine_Name,0),4)+(N934-32)*5/9)))*14.7/760,IF(N927="Crude Oil",EXP((2799/(N934+459.6)-2.227)*LOG10(INDEX(FX_Input,AA$5,N$3*$Z$5+$AA$5))-(7261/(N934+459.6))+12.82),IF(N927="Refined Petroleum Stock",EXP((0.7553-(413/(N934+459.6)))*(INDEX(FX_Input,AA$5,N$3*$Z$5+$AA$5-1)^0.5)*LOG10(INDEX(FX_Input,AA$5,N$3*$Z$5+$AA$5))-(1.854-(1042/(N934+459.6)))*(INDEX(FX_Input,AA$5,N$3*$Z$5+$AA$5-1)^0.5)+((2416/(N934+459.6)-2.013)*LOG10(INDEX(FX_Input,AA$5,N$3*$Z$5+$AA$5)))-(8742/(N934+459.6))+15.64),EXP(INDEX(Antoines,MATCH(N926,Antoine_Name,0),2)-INDEX(Antoines,MATCH(N926,Antoine_Name,0),3)/(N934+459.6))))),0)</f>
        <v>1</v>
      </c>
      <c r="O937" cm="1">
        <f t="array" ref="O937">IFERROR(IF(O927="Chemical",(10^(INDEX(Antoines,MATCH(O926,Antoine_Name,0),2)-INDEX(Antoines,MATCH(O926,Antoine_Name,0),3)/(INDEX(Antoines,MATCH(O926,Antoine_Name,0),4)+(O934-32)*5/9)))*14.7/760,IF(O927="Crude Oil",EXP((2799/(O934+459.6)-2.227)*LOG10(INDEX(FX_Input,AB$5,O$3*$Z$5+$AA$5))-(7261/(O934+459.6))+12.82),IF(O927="Refined Petroleum Stock",EXP((0.7553-(413/(O934+459.6)))*(INDEX(FX_Input,AB$5,O$3*$Z$5+$AA$5-1)^0.5)*LOG10(INDEX(FX_Input,AB$5,O$3*$Z$5+$AA$5))-(1.854-(1042/(O934+459.6)))*(INDEX(FX_Input,AB$5,O$3*$Z$5+$AA$5-1)^0.5)+((2416/(O934+459.6)-2.013)*LOG10(INDEX(FX_Input,AB$5,O$3*$Z$5+$AA$5)))-(8742/(O934+459.6))+15.64),EXP(INDEX(Antoines,MATCH(O926,Antoine_Name,0),2)-INDEX(Antoines,MATCH(O926,Antoine_Name,0),3)/(O934+459.6))))),0)</f>
        <v>1</v>
      </c>
    </row>
    <row r="938" spans="2:32" ht="17.149999999999999" x14ac:dyDescent="0.55000000000000004">
      <c r="B938" t="str">
        <f t="shared" si="3348"/>
        <v>Portland</v>
      </c>
      <c r="C938" t="s">
        <v>576</v>
      </c>
      <c r="D938">
        <f>D930*D937</f>
        <v>1</v>
      </c>
      <c r="E938">
        <f t="shared" ref="E938" si="3349">E930*E937</f>
        <v>1</v>
      </c>
      <c r="F938">
        <f t="shared" ref="F938" si="3350">F930*F937</f>
        <v>1</v>
      </c>
      <c r="G938">
        <f t="shared" ref="G938" si="3351">G930*G937</f>
        <v>1</v>
      </c>
      <c r="H938">
        <f t="shared" ref="H938" si="3352">H930*H937</f>
        <v>1</v>
      </c>
      <c r="I938">
        <f t="shared" ref="I938" si="3353">I930*I937</f>
        <v>1</v>
      </c>
      <c r="J938">
        <f t="shared" ref="J938" si="3354">J930*J937</f>
        <v>1</v>
      </c>
      <c r="K938">
        <f t="shared" ref="K938" si="3355">K930*K937</f>
        <v>1</v>
      </c>
      <c r="L938">
        <f t="shared" ref="L938" si="3356">L930*L937</f>
        <v>1</v>
      </c>
      <c r="M938">
        <f t="shared" ref="M938" si="3357">M930*M937</f>
        <v>1</v>
      </c>
      <c r="N938">
        <f t="shared" ref="N938" si="3358">N930*N937</f>
        <v>1</v>
      </c>
      <c r="O938">
        <f t="shared" ref="O938" si="3359">O930*O937</f>
        <v>1</v>
      </c>
    </row>
    <row r="939" spans="2:32" ht="17.149999999999999" x14ac:dyDescent="0.55000000000000004">
      <c r="B939" t="str">
        <f t="shared" si="3348"/>
        <v>Portland</v>
      </c>
      <c r="C939" t="s">
        <v>575</v>
      </c>
      <c r="D939" cm="1">
        <f t="array" ref="D939">IFERROR(IF(D929="Chemical",(10^(INDEX(Antoines,MATCH(D928,Antoine_Name,0),2)-INDEX(Antoines,MATCH(D928,Antoine_Name,0),3)/(INDEX(Antoines,MATCH(D928,Antoine_Name,0),4)+(D934-32)*5/9)))*14.7/760,IF(D929="Crude Oil",EXP((2799/(D934+459.6)-2.227)*LOG10(INDEX(FX_Input,Q$5,D$3*$Z$5+$AA$5))-(7261/(D934+459.6))+12.82),IF(D929="Refined Petroleum Stock",EXP((0.7553-(413/(D934+459.6)))*(INDEX(FX_Input,Q$5,D$3*$Z$5+$AA$5-1)^0.5)*LOG10(INDEX(FX_Input,Q$5,D$3*$Z$5+$AA$5))-(1.854-(1042/(D934+459.6)))*(INDEX(FX_Input,Q$5,D$3*$Z$5+$AA$5-1)^0.5)+((2416/(D934+459.6)-2.013)*LOG10(INDEX(FX_Input,Q$5,D$3*$Z$5+$AA$5)))-(8742/(D934+459.6))+15.64),EXP(INDEX(Antoines,MATCH(D928,Antoine_Name,0),2)-INDEX(Antoines,MATCH(D928,Antoine_Name,0),3)/(D934+459.6))))),0)</f>
        <v>0</v>
      </c>
      <c r="E939" cm="1">
        <f t="array" ref="E939">IFERROR(IF(E929="Chemical",(10^(INDEX(Antoines,MATCH(E928,Antoine_Name,0),2)-INDEX(Antoines,MATCH(E928,Antoine_Name,0),3)/(INDEX(Antoines,MATCH(E928,Antoine_Name,0),4)+(E934-32)*5/9)))*14.7/760,IF(E929="Crude Oil",EXP((2799/(E934+459.6)-2.227)*LOG10(INDEX(FX_Input,R$5,E$3*$Z$5+$AA$5))-(7261/(E934+459.6))+12.82),IF(E929="Refined Petroleum Stock",EXP((0.7553-(413/(E934+459.6)))*(INDEX(FX_Input,R$5,E$3*$Z$5+$AA$5-1)^0.5)*LOG10(INDEX(FX_Input,R$5,E$3*$Z$5+$AA$5))-(1.854-(1042/(E934+459.6)))*(INDEX(FX_Input,R$5,E$3*$Z$5+$AA$5-1)^0.5)+((2416/(E934+459.6)-2.013)*LOG10(INDEX(FX_Input,R$5,E$3*$Z$5+$AA$5)))-(8742/(E934+459.6))+15.64),EXP(INDEX(Antoines,MATCH(E928,Antoine_Name,0),2)-INDEX(Antoines,MATCH(E928,Antoine_Name,0),3)/(E934+459.6))))),0)</f>
        <v>0</v>
      </c>
      <c r="F939" cm="1">
        <f t="array" ref="F939">IFERROR(IF(F929="Chemical",(10^(INDEX(Antoines,MATCH(F928,Antoine_Name,0),2)-INDEX(Antoines,MATCH(F928,Antoine_Name,0),3)/(INDEX(Antoines,MATCH(F928,Antoine_Name,0),4)+(F934-32)*5/9)))*14.7/760,IF(F929="Crude Oil",EXP((2799/(F934+459.6)-2.227)*LOG10(INDEX(FX_Input,S$5,F$3*$Z$5+$AA$5))-(7261/(F934+459.6))+12.82),IF(F929="Refined Petroleum Stock",EXP((0.7553-(413/(F934+459.6)))*(INDEX(FX_Input,S$5,F$3*$Z$5+$AA$5-1)^0.5)*LOG10(INDEX(FX_Input,S$5,F$3*$Z$5+$AA$5))-(1.854-(1042/(F934+459.6)))*(INDEX(FX_Input,S$5,F$3*$Z$5+$AA$5-1)^0.5)+((2416/(F934+459.6)-2.013)*LOG10(INDEX(FX_Input,S$5,F$3*$Z$5+$AA$5)))-(8742/(F934+459.6))+15.64),EXP(INDEX(Antoines,MATCH(F928,Antoine_Name,0),2)-INDEX(Antoines,MATCH(F928,Antoine_Name,0),3)/(F934+459.6))))),0)</f>
        <v>0</v>
      </c>
      <c r="G939" cm="1">
        <f t="array" ref="G939">IFERROR(IF(G929="Chemical",(10^(INDEX(Antoines,MATCH(G928,Antoine_Name,0),2)-INDEX(Antoines,MATCH(G928,Antoine_Name,0),3)/(INDEX(Antoines,MATCH(G928,Antoine_Name,0),4)+(G934-32)*5/9)))*14.7/760,IF(G929="Crude Oil",EXP((2799/(G934+459.6)-2.227)*LOG10(INDEX(FX_Input,T$5,G$3*$Z$5+$AA$5))-(7261/(G934+459.6))+12.82),IF(G929="Refined Petroleum Stock",EXP((0.7553-(413/(G934+459.6)))*(INDEX(FX_Input,T$5,G$3*$Z$5+$AA$5-1)^0.5)*LOG10(INDEX(FX_Input,T$5,G$3*$Z$5+$AA$5))-(1.854-(1042/(G934+459.6)))*(INDEX(FX_Input,T$5,G$3*$Z$5+$AA$5-1)^0.5)+((2416/(G934+459.6)-2.013)*LOG10(INDEX(FX_Input,T$5,G$3*$Z$5+$AA$5)))-(8742/(G934+459.6))+15.64),EXP(INDEX(Antoines,MATCH(G928,Antoine_Name,0),2)-INDEX(Antoines,MATCH(G928,Antoine_Name,0),3)/(G934+459.6))))),0)</f>
        <v>0</v>
      </c>
      <c r="H939" cm="1">
        <f t="array" ref="H939">IFERROR(IF(H929="Chemical",(10^(INDEX(Antoines,MATCH(H928,Antoine_Name,0),2)-INDEX(Antoines,MATCH(H928,Antoine_Name,0),3)/(INDEX(Antoines,MATCH(H928,Antoine_Name,0),4)+(H934-32)*5/9)))*14.7/760,IF(H929="Crude Oil",EXP((2799/(H934+459.6)-2.227)*LOG10(INDEX(FX_Input,U$5,H$3*$Z$5+$AA$5))-(7261/(H934+459.6))+12.82),IF(H929="Refined Petroleum Stock",EXP((0.7553-(413/(H934+459.6)))*(INDEX(FX_Input,U$5,H$3*$Z$5+$AA$5-1)^0.5)*LOG10(INDEX(FX_Input,U$5,H$3*$Z$5+$AA$5))-(1.854-(1042/(H934+459.6)))*(INDEX(FX_Input,U$5,H$3*$Z$5+$AA$5-1)^0.5)+((2416/(H934+459.6)-2.013)*LOG10(INDEX(FX_Input,U$5,H$3*$Z$5+$AA$5)))-(8742/(H934+459.6))+15.64),EXP(INDEX(Antoines,MATCH(H928,Antoine_Name,0),2)-INDEX(Antoines,MATCH(H928,Antoine_Name,0),3)/(H934+459.6))))),0)</f>
        <v>0</v>
      </c>
      <c r="I939" cm="1">
        <f t="array" ref="I939">IFERROR(IF(I929="Chemical",(10^(INDEX(Antoines,MATCH(I928,Antoine_Name,0),2)-INDEX(Antoines,MATCH(I928,Antoine_Name,0),3)/(INDEX(Antoines,MATCH(I928,Antoine_Name,0),4)+(I934-32)*5/9)))*14.7/760,IF(I929="Crude Oil",EXP((2799/(I934+459.6)-2.227)*LOG10(INDEX(FX_Input,V$5,I$3*$Z$5+$AA$5))-(7261/(I934+459.6))+12.82),IF(I929="Refined Petroleum Stock",EXP((0.7553-(413/(I934+459.6)))*(INDEX(FX_Input,V$5,I$3*$Z$5+$AA$5-1)^0.5)*LOG10(INDEX(FX_Input,V$5,I$3*$Z$5+$AA$5))-(1.854-(1042/(I934+459.6)))*(INDEX(FX_Input,V$5,I$3*$Z$5+$AA$5-1)^0.5)+((2416/(I934+459.6)-2.013)*LOG10(INDEX(FX_Input,V$5,I$3*$Z$5+$AA$5)))-(8742/(I934+459.6))+15.64),EXP(INDEX(Antoines,MATCH(I928,Antoine_Name,0),2)-INDEX(Antoines,MATCH(I928,Antoine_Name,0),3)/(I934+459.6))))),0)</f>
        <v>0</v>
      </c>
      <c r="J939" cm="1">
        <f t="array" ref="J939">IFERROR(IF(J929="Chemical",(10^(INDEX(Antoines,MATCH(J928,Antoine_Name,0),2)-INDEX(Antoines,MATCH(J928,Antoine_Name,0),3)/(INDEX(Antoines,MATCH(J928,Antoine_Name,0),4)+(J934-32)*5/9)))*14.7/760,IF(J929="Crude Oil",EXP((2799/(J934+459.6)-2.227)*LOG10(INDEX(FX_Input,W$5,J$3*$Z$5+$AA$5))-(7261/(J934+459.6))+12.82),IF(J929="Refined Petroleum Stock",EXP((0.7553-(413/(J934+459.6)))*(INDEX(FX_Input,W$5,J$3*$Z$5+$AA$5-1)^0.5)*LOG10(INDEX(FX_Input,W$5,J$3*$Z$5+$AA$5))-(1.854-(1042/(J934+459.6)))*(INDEX(FX_Input,W$5,J$3*$Z$5+$AA$5-1)^0.5)+((2416/(J934+459.6)-2.013)*LOG10(INDEX(FX_Input,W$5,J$3*$Z$5+$AA$5)))-(8742/(J934+459.6))+15.64),EXP(INDEX(Antoines,MATCH(J928,Antoine_Name,0),2)-INDEX(Antoines,MATCH(J928,Antoine_Name,0),3)/(J934+459.6))))),0)</f>
        <v>0</v>
      </c>
      <c r="K939" cm="1">
        <f t="array" ref="K939">IFERROR(IF(K929="Chemical",(10^(INDEX(Antoines,MATCH(K928,Antoine_Name,0),2)-INDEX(Antoines,MATCH(K928,Antoine_Name,0),3)/(INDEX(Antoines,MATCH(K928,Antoine_Name,0),4)+(K934-32)*5/9)))*14.7/760,IF(K929="Crude Oil",EXP((2799/(K934+459.6)-2.227)*LOG10(INDEX(FX_Input,X$5,K$3*$Z$5+$AA$5))-(7261/(K934+459.6))+12.82),IF(K929="Refined Petroleum Stock",EXP((0.7553-(413/(K934+459.6)))*(INDEX(FX_Input,X$5,K$3*$Z$5+$AA$5-1)^0.5)*LOG10(INDEX(FX_Input,X$5,K$3*$Z$5+$AA$5))-(1.854-(1042/(K934+459.6)))*(INDEX(FX_Input,X$5,K$3*$Z$5+$AA$5-1)^0.5)+((2416/(K934+459.6)-2.013)*LOG10(INDEX(FX_Input,X$5,K$3*$Z$5+$AA$5)))-(8742/(K934+459.6))+15.64),EXP(INDEX(Antoines,MATCH(K928,Antoine_Name,0),2)-INDEX(Antoines,MATCH(K928,Antoine_Name,0),3)/(K934+459.6))))),0)</f>
        <v>0</v>
      </c>
      <c r="L939" cm="1">
        <f t="array" ref="L939">IFERROR(IF(L929="Chemical",(10^(INDEX(Antoines,MATCH(L928,Antoine_Name,0),2)-INDEX(Antoines,MATCH(L928,Antoine_Name,0),3)/(INDEX(Antoines,MATCH(L928,Antoine_Name,0),4)+(L934-32)*5/9)))*14.7/760,IF(L929="Crude Oil",EXP((2799/(L934+459.6)-2.227)*LOG10(INDEX(FX_Input,Y$5,L$3*$Z$5+$AA$5))-(7261/(L934+459.6))+12.82),IF(L929="Refined Petroleum Stock",EXP((0.7553-(413/(L934+459.6)))*(INDEX(FX_Input,Y$5,L$3*$Z$5+$AA$5-1)^0.5)*LOG10(INDEX(FX_Input,Y$5,L$3*$Z$5+$AA$5))-(1.854-(1042/(L934+459.6)))*(INDEX(FX_Input,Y$5,L$3*$Z$5+$AA$5-1)^0.5)+((2416/(L934+459.6)-2.013)*LOG10(INDEX(FX_Input,Y$5,L$3*$Z$5+$AA$5)))-(8742/(L934+459.6))+15.64),EXP(INDEX(Antoines,MATCH(L928,Antoine_Name,0),2)-INDEX(Antoines,MATCH(L928,Antoine_Name,0),3)/(L934+459.6))))),0)</f>
        <v>0</v>
      </c>
      <c r="M939" cm="1">
        <f t="array" ref="M939">IFERROR(IF(M929="Chemical",(10^(INDEX(Antoines,MATCH(M928,Antoine_Name,0),2)-INDEX(Antoines,MATCH(M928,Antoine_Name,0),3)/(INDEX(Antoines,MATCH(M928,Antoine_Name,0),4)+(M934-32)*5/9)))*14.7/760,IF(M929="Crude Oil",EXP((2799/(M934+459.6)-2.227)*LOG10(INDEX(FX_Input,Z$5,M$3*$Z$5+$AA$5))-(7261/(M934+459.6))+12.82),IF(M929="Refined Petroleum Stock",EXP((0.7553-(413/(M934+459.6)))*(INDEX(FX_Input,Z$5,M$3*$Z$5+$AA$5-1)^0.5)*LOG10(INDEX(FX_Input,Z$5,M$3*$Z$5+$AA$5))-(1.854-(1042/(M934+459.6)))*(INDEX(FX_Input,Z$5,M$3*$Z$5+$AA$5-1)^0.5)+((2416/(M934+459.6)-2.013)*LOG10(INDEX(FX_Input,Z$5,M$3*$Z$5+$AA$5)))-(8742/(M934+459.6))+15.64),EXP(INDEX(Antoines,MATCH(M928,Antoine_Name,0),2)-INDEX(Antoines,MATCH(M928,Antoine_Name,0),3)/(M934+459.6))))),0)</f>
        <v>0</v>
      </c>
      <c r="N939" cm="1">
        <f t="array" ref="N939">IFERROR(IF(N929="Chemical",(10^(INDEX(Antoines,MATCH(N928,Antoine_Name,0),2)-INDEX(Antoines,MATCH(N928,Antoine_Name,0),3)/(INDEX(Antoines,MATCH(N928,Antoine_Name,0),4)+(N934-32)*5/9)))*14.7/760,IF(N929="Crude Oil",EXP((2799/(N934+459.6)-2.227)*LOG10(INDEX(FX_Input,AA$5,N$3*$Z$5+$AA$5))-(7261/(N934+459.6))+12.82),IF(N929="Refined Petroleum Stock",EXP((0.7553-(413/(N934+459.6)))*(INDEX(FX_Input,AA$5,N$3*$Z$5+$AA$5-1)^0.5)*LOG10(INDEX(FX_Input,AA$5,N$3*$Z$5+$AA$5))-(1.854-(1042/(N934+459.6)))*(INDEX(FX_Input,AA$5,N$3*$Z$5+$AA$5-1)^0.5)+((2416/(N934+459.6)-2.013)*LOG10(INDEX(FX_Input,AA$5,N$3*$Z$5+$AA$5)))-(8742/(N934+459.6))+15.64),EXP(INDEX(Antoines,MATCH(N928,Antoine_Name,0),2)-INDEX(Antoines,MATCH(N928,Antoine_Name,0),3)/(N934+459.6))))),0)</f>
        <v>0</v>
      </c>
      <c r="O939" cm="1">
        <f t="array" ref="O939">IFERROR(IF(O929="Chemical",(10^(INDEX(Antoines,MATCH(O928,Antoine_Name,0),2)-INDEX(Antoines,MATCH(O928,Antoine_Name,0),3)/(INDEX(Antoines,MATCH(O928,Antoine_Name,0),4)+(O934-32)*5/9)))*14.7/760,IF(O929="Crude Oil",EXP((2799/(O934+459.6)-2.227)*LOG10(INDEX(FX_Input,AB$5,O$3*$Z$5+$AA$5))-(7261/(O934+459.6))+12.82),IF(O929="Refined Petroleum Stock",EXP((0.7553-(413/(O934+459.6)))*(INDEX(FX_Input,AB$5,O$3*$Z$5+$AA$5-1)^0.5)*LOG10(INDEX(FX_Input,AB$5,O$3*$Z$5+$AA$5))-(1.854-(1042/(O934+459.6)))*(INDEX(FX_Input,AB$5,O$3*$Z$5+$AA$5-1)^0.5)+((2416/(O934+459.6)-2.013)*LOG10(INDEX(FX_Input,AB$5,O$3*$Z$5+$AA$5)))-(8742/(O934+459.6))+15.64),EXP(INDEX(Antoines,MATCH(O928,Antoine_Name,0),2)-INDEX(Antoines,MATCH(O928,Antoine_Name,0),3)/(O934+459.6))))),0)</f>
        <v>0</v>
      </c>
    </row>
    <row r="940" spans="2:32" ht="17.149999999999999" x14ac:dyDescent="0.55000000000000004">
      <c r="B940" t="str">
        <f t="shared" si="3348"/>
        <v>Portland</v>
      </c>
      <c r="C940" t="s">
        <v>577</v>
      </c>
      <c r="D940">
        <f>D939*D932</f>
        <v>0</v>
      </c>
      <c r="E940">
        <f t="shared" ref="E940" si="3360">E939*E932</f>
        <v>0</v>
      </c>
      <c r="F940">
        <f t="shared" ref="F940" si="3361">F939*F932</f>
        <v>0</v>
      </c>
      <c r="G940">
        <f t="shared" ref="G940" si="3362">G939*G932</f>
        <v>0</v>
      </c>
      <c r="H940">
        <f t="shared" ref="H940" si="3363">H939*H932</f>
        <v>0</v>
      </c>
      <c r="I940">
        <f t="shared" ref="I940" si="3364">I939*I932</f>
        <v>0</v>
      </c>
      <c r="J940">
        <f t="shared" ref="J940" si="3365">J939*J932</f>
        <v>0</v>
      </c>
      <c r="K940">
        <f t="shared" ref="K940" si="3366">K939*K932</f>
        <v>0</v>
      </c>
      <c r="L940">
        <f t="shared" ref="L940" si="3367">L939*L932</f>
        <v>0</v>
      </c>
      <c r="M940">
        <f t="shared" ref="M940" si="3368">M939*M932</f>
        <v>0</v>
      </c>
      <c r="N940">
        <f t="shared" ref="N940" si="3369">N939*N932</f>
        <v>0</v>
      </c>
      <c r="O940">
        <f t="shared" ref="O940" si="3370">O939*O932</f>
        <v>0</v>
      </c>
    </row>
    <row r="941" spans="2:32" ht="17.149999999999999" x14ac:dyDescent="0.55000000000000004">
      <c r="B941" t="str">
        <f t="shared" si="3348"/>
        <v>Portland</v>
      </c>
      <c r="C941" t="s">
        <v>578</v>
      </c>
      <c r="D941">
        <f>D940+D938</f>
        <v>1</v>
      </c>
      <c r="E941">
        <f t="shared" ref="E941" si="3371">E940+E938</f>
        <v>1</v>
      </c>
      <c r="F941">
        <f t="shared" ref="F941" si="3372">F940+F938</f>
        <v>1</v>
      </c>
      <c r="G941">
        <f t="shared" ref="G941" si="3373">G940+G938</f>
        <v>1</v>
      </c>
      <c r="H941">
        <f t="shared" ref="H941" si="3374">H940+H938</f>
        <v>1</v>
      </c>
      <c r="I941">
        <f t="shared" ref="I941" si="3375">I940+I938</f>
        <v>1</v>
      </c>
      <c r="J941">
        <f t="shared" ref="J941" si="3376">J940+J938</f>
        <v>1</v>
      </c>
      <c r="K941">
        <f t="shared" ref="K941" si="3377">K940+K938</f>
        <v>1</v>
      </c>
      <c r="L941">
        <f t="shared" ref="L941" si="3378">L940+L938</f>
        <v>1</v>
      </c>
      <c r="M941">
        <f t="shared" ref="M941" si="3379">M940+M938</f>
        <v>1</v>
      </c>
      <c r="N941">
        <f t="shared" ref="N941" si="3380">N940+N938</f>
        <v>1</v>
      </c>
      <c r="O941">
        <f t="shared" ref="O941" si="3381">O940+O938</f>
        <v>1</v>
      </c>
    </row>
    <row r="942" spans="2:32" ht="17.149999999999999" x14ac:dyDescent="0.55000000000000004">
      <c r="B942" t="str">
        <f t="shared" si="3348"/>
        <v>Portland</v>
      </c>
      <c r="C942" t="s">
        <v>579</v>
      </c>
      <c r="D942" cm="1">
        <f t="array" ref="D942">IFERROR(IF(D927="Chemical",(10^(INDEX(Antoines,MATCH(D926,Antoine_Name,0),2)-INDEX(Antoines,MATCH(D926,Antoine_Name,0),3)/(INDEX(Antoines,MATCH(D926,Antoine_Name,0),4)+(D935-32)*5/9)))*14.7/760,IF(D927="Crude Oil",EXP((2799/(D935+459.6)-2.227)*LOG10(INDEX(FX_Input,Q$5,D$3*$Z$5+$AA$5))-(7261/(D935+459.6))+12.82),IF(D927="Refined Petroleum Stock",EXP((0.7553-(413/(D935+459.6)))*(INDEX(FX_Input,Q$5,D$3*$Z$5+$AA$5-1)^0.5)*LOG10(INDEX(FX_Input,Q$5,D$3*$Z$5+$AA$5))-(1.854-(1042/(D935+459.6)))*(INDEX(FX_Input,Q$5,D$3*$Z$5+$AA$5-1)^0.5)+((2416/(D935+459.6)-2.013)*LOG10(INDEX(FX_Input,Q$5,D$3*$Z$5+$AA$5)))-(8742/(D935+459.6))+15.64),EXP(INDEX(Antoines,MATCH(D926,Antoine_Name,0),2)-INDEX(Antoines,MATCH(D926,Antoine_Name,0),3)/(D935+459.6))))),0)</f>
        <v>1</v>
      </c>
      <c r="E942" cm="1">
        <f t="array" ref="E942">IFERROR(IF(E927="Chemical",(10^(INDEX(Antoines,MATCH(E926,Antoine_Name,0),2)-INDEX(Antoines,MATCH(E926,Antoine_Name,0),3)/(INDEX(Antoines,MATCH(E926,Antoine_Name,0),4)+(E935-32)*5/9)))*14.7/760,IF(E927="Crude Oil",EXP((2799/(E935+459.6)-2.227)*LOG10(INDEX(FX_Input,R$5,E$3*$Z$5+$AA$5))-(7261/(E935+459.6))+12.82),IF(E927="Refined Petroleum Stock",EXP((0.7553-(413/(E935+459.6)))*(INDEX(FX_Input,R$5,E$3*$Z$5+$AA$5-1)^0.5)*LOG10(INDEX(FX_Input,R$5,E$3*$Z$5+$AA$5))-(1.854-(1042/(E935+459.6)))*(INDEX(FX_Input,R$5,E$3*$Z$5+$AA$5-1)^0.5)+((2416/(E935+459.6)-2.013)*LOG10(INDEX(FX_Input,R$5,E$3*$Z$5+$AA$5)))-(8742/(E935+459.6))+15.64),EXP(INDEX(Antoines,MATCH(E926,Antoine_Name,0),2)-INDEX(Antoines,MATCH(E926,Antoine_Name,0),3)/(E935+459.6))))),0)</f>
        <v>1</v>
      </c>
      <c r="F942" cm="1">
        <f t="array" ref="F942">IFERROR(IF(F927="Chemical",(10^(INDEX(Antoines,MATCH(F926,Antoine_Name,0),2)-INDEX(Antoines,MATCH(F926,Antoine_Name,0),3)/(INDEX(Antoines,MATCH(F926,Antoine_Name,0),4)+(F935-32)*5/9)))*14.7/760,IF(F927="Crude Oil",EXP((2799/(F935+459.6)-2.227)*LOG10(INDEX(FX_Input,S$5,F$3*$Z$5+$AA$5))-(7261/(F935+459.6))+12.82),IF(F927="Refined Petroleum Stock",EXP((0.7553-(413/(F935+459.6)))*(INDEX(FX_Input,S$5,F$3*$Z$5+$AA$5-1)^0.5)*LOG10(INDEX(FX_Input,S$5,F$3*$Z$5+$AA$5))-(1.854-(1042/(F935+459.6)))*(INDEX(FX_Input,S$5,F$3*$Z$5+$AA$5-1)^0.5)+((2416/(F935+459.6)-2.013)*LOG10(INDEX(FX_Input,S$5,F$3*$Z$5+$AA$5)))-(8742/(F935+459.6))+15.64),EXP(INDEX(Antoines,MATCH(F926,Antoine_Name,0),2)-INDEX(Antoines,MATCH(F926,Antoine_Name,0),3)/(F935+459.6))))),0)</f>
        <v>1</v>
      </c>
      <c r="G942" cm="1">
        <f t="array" ref="G942">IFERROR(IF(G927="Chemical",(10^(INDEX(Antoines,MATCH(G926,Antoine_Name,0),2)-INDEX(Antoines,MATCH(G926,Antoine_Name,0),3)/(INDEX(Antoines,MATCH(G926,Antoine_Name,0),4)+(G935-32)*5/9)))*14.7/760,IF(G927="Crude Oil",EXP((2799/(G935+459.6)-2.227)*LOG10(INDEX(FX_Input,T$5,G$3*$Z$5+$AA$5))-(7261/(G935+459.6))+12.82),IF(G927="Refined Petroleum Stock",EXP((0.7553-(413/(G935+459.6)))*(INDEX(FX_Input,T$5,G$3*$Z$5+$AA$5-1)^0.5)*LOG10(INDEX(FX_Input,T$5,G$3*$Z$5+$AA$5))-(1.854-(1042/(G935+459.6)))*(INDEX(FX_Input,T$5,G$3*$Z$5+$AA$5-1)^0.5)+((2416/(G935+459.6)-2.013)*LOG10(INDEX(FX_Input,T$5,G$3*$Z$5+$AA$5)))-(8742/(G935+459.6))+15.64),EXP(INDEX(Antoines,MATCH(G926,Antoine_Name,0),2)-INDEX(Antoines,MATCH(G926,Antoine_Name,0),3)/(G935+459.6))))),0)</f>
        <v>1</v>
      </c>
      <c r="H942" cm="1">
        <f t="array" ref="H942">IFERROR(IF(H927="Chemical",(10^(INDEX(Antoines,MATCH(H926,Antoine_Name,0),2)-INDEX(Antoines,MATCH(H926,Antoine_Name,0),3)/(INDEX(Antoines,MATCH(H926,Antoine_Name,0),4)+(H935-32)*5/9)))*14.7/760,IF(H927="Crude Oil",EXP((2799/(H935+459.6)-2.227)*LOG10(INDEX(FX_Input,U$5,H$3*$Z$5+$AA$5))-(7261/(H935+459.6))+12.82),IF(H927="Refined Petroleum Stock",EXP((0.7553-(413/(H935+459.6)))*(INDEX(FX_Input,U$5,H$3*$Z$5+$AA$5-1)^0.5)*LOG10(INDEX(FX_Input,U$5,H$3*$Z$5+$AA$5))-(1.854-(1042/(H935+459.6)))*(INDEX(FX_Input,U$5,H$3*$Z$5+$AA$5-1)^0.5)+((2416/(H935+459.6)-2.013)*LOG10(INDEX(FX_Input,U$5,H$3*$Z$5+$AA$5)))-(8742/(H935+459.6))+15.64),EXP(INDEX(Antoines,MATCH(H926,Antoine_Name,0),2)-INDEX(Antoines,MATCH(H926,Antoine_Name,0),3)/(H935+459.6))))),0)</f>
        <v>1</v>
      </c>
      <c r="I942" cm="1">
        <f t="array" ref="I942">IFERROR(IF(I927="Chemical",(10^(INDEX(Antoines,MATCH(I926,Antoine_Name,0),2)-INDEX(Antoines,MATCH(I926,Antoine_Name,0),3)/(INDEX(Antoines,MATCH(I926,Antoine_Name,0),4)+(I935-32)*5/9)))*14.7/760,IF(I927="Crude Oil",EXP((2799/(I935+459.6)-2.227)*LOG10(INDEX(FX_Input,V$5,I$3*$Z$5+$AA$5))-(7261/(I935+459.6))+12.82),IF(I927="Refined Petroleum Stock",EXP((0.7553-(413/(I935+459.6)))*(INDEX(FX_Input,V$5,I$3*$Z$5+$AA$5-1)^0.5)*LOG10(INDEX(FX_Input,V$5,I$3*$Z$5+$AA$5))-(1.854-(1042/(I935+459.6)))*(INDEX(FX_Input,V$5,I$3*$Z$5+$AA$5-1)^0.5)+((2416/(I935+459.6)-2.013)*LOG10(INDEX(FX_Input,V$5,I$3*$Z$5+$AA$5)))-(8742/(I935+459.6))+15.64),EXP(INDEX(Antoines,MATCH(I926,Antoine_Name,0),2)-INDEX(Antoines,MATCH(I926,Antoine_Name,0),3)/(I935+459.6))))),0)</f>
        <v>1</v>
      </c>
      <c r="J942" cm="1">
        <f t="array" ref="J942">IFERROR(IF(J927="Chemical",(10^(INDEX(Antoines,MATCH(J926,Antoine_Name,0),2)-INDEX(Antoines,MATCH(J926,Antoine_Name,0),3)/(INDEX(Antoines,MATCH(J926,Antoine_Name,0),4)+(J935-32)*5/9)))*14.7/760,IF(J927="Crude Oil",EXP((2799/(J935+459.6)-2.227)*LOG10(INDEX(FX_Input,W$5,J$3*$Z$5+$AA$5))-(7261/(J935+459.6))+12.82),IF(J927="Refined Petroleum Stock",EXP((0.7553-(413/(J935+459.6)))*(INDEX(FX_Input,W$5,J$3*$Z$5+$AA$5-1)^0.5)*LOG10(INDEX(FX_Input,W$5,J$3*$Z$5+$AA$5))-(1.854-(1042/(J935+459.6)))*(INDEX(FX_Input,W$5,J$3*$Z$5+$AA$5-1)^0.5)+((2416/(J935+459.6)-2.013)*LOG10(INDEX(FX_Input,W$5,J$3*$Z$5+$AA$5)))-(8742/(J935+459.6))+15.64),EXP(INDEX(Antoines,MATCH(J926,Antoine_Name,0),2)-INDEX(Antoines,MATCH(J926,Antoine_Name,0),3)/(J935+459.6))))),0)</f>
        <v>1</v>
      </c>
      <c r="K942" cm="1">
        <f t="array" ref="K942">IFERROR(IF(K927="Chemical",(10^(INDEX(Antoines,MATCH(K926,Antoine_Name,0),2)-INDEX(Antoines,MATCH(K926,Antoine_Name,0),3)/(INDEX(Antoines,MATCH(K926,Antoine_Name,0),4)+(K935-32)*5/9)))*14.7/760,IF(K927="Crude Oil",EXP((2799/(K935+459.6)-2.227)*LOG10(INDEX(FX_Input,X$5,K$3*$Z$5+$AA$5))-(7261/(K935+459.6))+12.82),IF(K927="Refined Petroleum Stock",EXP((0.7553-(413/(K935+459.6)))*(INDEX(FX_Input,X$5,K$3*$Z$5+$AA$5-1)^0.5)*LOG10(INDEX(FX_Input,X$5,K$3*$Z$5+$AA$5))-(1.854-(1042/(K935+459.6)))*(INDEX(FX_Input,X$5,K$3*$Z$5+$AA$5-1)^0.5)+((2416/(K935+459.6)-2.013)*LOG10(INDEX(FX_Input,X$5,K$3*$Z$5+$AA$5)))-(8742/(K935+459.6))+15.64),EXP(INDEX(Antoines,MATCH(K926,Antoine_Name,0),2)-INDEX(Antoines,MATCH(K926,Antoine_Name,0),3)/(K935+459.6))))),0)</f>
        <v>1</v>
      </c>
      <c r="L942" cm="1">
        <f t="array" ref="L942">IFERROR(IF(L927="Chemical",(10^(INDEX(Antoines,MATCH(L926,Antoine_Name,0),2)-INDEX(Antoines,MATCH(L926,Antoine_Name,0),3)/(INDEX(Antoines,MATCH(L926,Antoine_Name,0),4)+(L935-32)*5/9)))*14.7/760,IF(L927="Crude Oil",EXP((2799/(L935+459.6)-2.227)*LOG10(INDEX(FX_Input,Y$5,L$3*$Z$5+$AA$5))-(7261/(L935+459.6))+12.82),IF(L927="Refined Petroleum Stock",EXP((0.7553-(413/(L935+459.6)))*(INDEX(FX_Input,Y$5,L$3*$Z$5+$AA$5-1)^0.5)*LOG10(INDEX(FX_Input,Y$5,L$3*$Z$5+$AA$5))-(1.854-(1042/(L935+459.6)))*(INDEX(FX_Input,Y$5,L$3*$Z$5+$AA$5-1)^0.5)+((2416/(L935+459.6)-2.013)*LOG10(INDEX(FX_Input,Y$5,L$3*$Z$5+$AA$5)))-(8742/(L935+459.6))+15.64),EXP(INDEX(Antoines,MATCH(L926,Antoine_Name,0),2)-INDEX(Antoines,MATCH(L926,Antoine_Name,0),3)/(L935+459.6))))),0)</f>
        <v>1</v>
      </c>
      <c r="M942" cm="1">
        <f t="array" ref="M942">IFERROR(IF(M927="Chemical",(10^(INDEX(Antoines,MATCH(M926,Antoine_Name,0),2)-INDEX(Antoines,MATCH(M926,Antoine_Name,0),3)/(INDEX(Antoines,MATCH(M926,Antoine_Name,0),4)+(M935-32)*5/9)))*14.7/760,IF(M927="Crude Oil",EXP((2799/(M935+459.6)-2.227)*LOG10(INDEX(FX_Input,Z$5,M$3*$Z$5+$AA$5))-(7261/(M935+459.6))+12.82),IF(M927="Refined Petroleum Stock",EXP((0.7553-(413/(M935+459.6)))*(INDEX(FX_Input,Z$5,M$3*$Z$5+$AA$5-1)^0.5)*LOG10(INDEX(FX_Input,Z$5,M$3*$Z$5+$AA$5))-(1.854-(1042/(M935+459.6)))*(INDEX(FX_Input,Z$5,M$3*$Z$5+$AA$5-1)^0.5)+((2416/(M935+459.6)-2.013)*LOG10(INDEX(FX_Input,Z$5,M$3*$Z$5+$AA$5)))-(8742/(M935+459.6))+15.64),EXP(INDEX(Antoines,MATCH(M926,Antoine_Name,0),2)-INDEX(Antoines,MATCH(M926,Antoine_Name,0),3)/(M935+459.6))))),0)</f>
        <v>1</v>
      </c>
      <c r="N942" cm="1">
        <f t="array" ref="N942">IFERROR(IF(N927="Chemical",(10^(INDEX(Antoines,MATCH(N926,Antoine_Name,0),2)-INDEX(Antoines,MATCH(N926,Antoine_Name,0),3)/(INDEX(Antoines,MATCH(N926,Antoine_Name,0),4)+(N935-32)*5/9)))*14.7/760,IF(N927="Crude Oil",EXP((2799/(N935+459.6)-2.227)*LOG10(INDEX(FX_Input,AA$5,N$3*$Z$5+$AA$5))-(7261/(N935+459.6))+12.82),IF(N927="Refined Petroleum Stock",EXP((0.7553-(413/(N935+459.6)))*(INDEX(FX_Input,AA$5,N$3*$Z$5+$AA$5-1)^0.5)*LOG10(INDEX(FX_Input,AA$5,N$3*$Z$5+$AA$5))-(1.854-(1042/(N935+459.6)))*(INDEX(FX_Input,AA$5,N$3*$Z$5+$AA$5-1)^0.5)+((2416/(N935+459.6)-2.013)*LOG10(INDEX(FX_Input,AA$5,N$3*$Z$5+$AA$5)))-(8742/(N935+459.6))+15.64),EXP(INDEX(Antoines,MATCH(N926,Antoine_Name,0),2)-INDEX(Antoines,MATCH(N926,Antoine_Name,0),3)/(N935+459.6))))),0)</f>
        <v>1</v>
      </c>
      <c r="O942" cm="1">
        <f t="array" ref="O942">IFERROR(IF(O927="Chemical",(10^(INDEX(Antoines,MATCH(O926,Antoine_Name,0),2)-INDEX(Antoines,MATCH(O926,Antoine_Name,0),3)/(INDEX(Antoines,MATCH(O926,Antoine_Name,0),4)+(O935-32)*5/9)))*14.7/760,IF(O927="Crude Oil",EXP((2799/(O935+459.6)-2.227)*LOG10(INDEX(FX_Input,AB$5,O$3*$Z$5+$AA$5))-(7261/(O935+459.6))+12.82),IF(O927="Refined Petroleum Stock",EXP((0.7553-(413/(O935+459.6)))*(INDEX(FX_Input,AB$5,O$3*$Z$5+$AA$5-1)^0.5)*LOG10(INDEX(FX_Input,AB$5,O$3*$Z$5+$AA$5))-(1.854-(1042/(O935+459.6)))*(INDEX(FX_Input,AB$5,O$3*$Z$5+$AA$5-1)^0.5)+((2416/(O935+459.6)-2.013)*LOG10(INDEX(FX_Input,AB$5,O$3*$Z$5+$AA$5)))-(8742/(O935+459.6))+15.64),EXP(INDEX(Antoines,MATCH(O926,Antoine_Name,0),2)-INDEX(Antoines,MATCH(O926,Antoine_Name,0),3)/(O935+459.6))))),0)</f>
        <v>1</v>
      </c>
    </row>
    <row r="943" spans="2:32" ht="17.149999999999999" x14ac:dyDescent="0.55000000000000004">
      <c r="B943" t="str">
        <f t="shared" si="3348"/>
        <v>Portland</v>
      </c>
      <c r="C943" t="s">
        <v>580</v>
      </c>
      <c r="D943">
        <f>D942*D930</f>
        <v>1</v>
      </c>
      <c r="E943">
        <f t="shared" ref="E943" si="3382">E942*E930</f>
        <v>1</v>
      </c>
      <c r="F943">
        <f t="shared" ref="F943" si="3383">F942*F930</f>
        <v>1</v>
      </c>
      <c r="G943">
        <f t="shared" ref="G943" si="3384">G942*G930</f>
        <v>1</v>
      </c>
      <c r="H943">
        <f t="shared" ref="H943" si="3385">H942*H930</f>
        <v>1</v>
      </c>
      <c r="I943">
        <f t="shared" ref="I943" si="3386">I942*I930</f>
        <v>1</v>
      </c>
      <c r="J943">
        <f t="shared" ref="J943" si="3387">J942*J930</f>
        <v>1</v>
      </c>
      <c r="K943">
        <f t="shared" ref="K943" si="3388">K942*K930</f>
        <v>1</v>
      </c>
      <c r="L943">
        <f t="shared" ref="L943" si="3389">L942*L930</f>
        <v>1</v>
      </c>
      <c r="M943">
        <f t="shared" ref="M943" si="3390">M942*M930</f>
        <v>1</v>
      </c>
      <c r="N943">
        <f t="shared" ref="N943" si="3391">N942*N930</f>
        <v>1</v>
      </c>
      <c r="O943">
        <f t="shared" ref="O943" si="3392">O942*O930</f>
        <v>1</v>
      </c>
    </row>
    <row r="944" spans="2:32" ht="17.149999999999999" x14ac:dyDescent="0.55000000000000004">
      <c r="B944" t="str">
        <f t="shared" si="3348"/>
        <v>Portland</v>
      </c>
      <c r="C944" t="s">
        <v>581</v>
      </c>
      <c r="D944" cm="1">
        <f t="array" ref="D944">IFERROR(IF(D929="Chemical",(10^(INDEX(Antoines,MATCH(D928,Antoine_Name,0),2)-INDEX(Antoines,MATCH(D928,Antoine_Name,0),3)/(INDEX(Antoines,MATCH(D928,Antoine_Name,0),4)+(D935-32)*5/9)))*14.7/760,IF(D929="Crude Oil",EXP((2799/(D935+459.6)-2.227)*LOG10(INDEX(FX_Input,Q$5,D$3*$Z$5+$AA$5))-(7261/(D935+459.6))+12.82),IF(D929="Refined Petroleum Stock",EXP((0.7553-(413/(D935+459.6)))*(INDEX(FX_Input,Q$5,D$3*$Z$5+$AA$5-1)^0.5)*LOG10(INDEX(FX_Input,Q$5,D$3*$Z$5+$AA$5))-(1.854-(1042/(D935+459.6)))*(INDEX(FX_Input,Q$5,D$3*$Z$5+$AA$5-1)^0.5)+((2416/(D935+459.6)-2.013)*LOG10(INDEX(FX_Input,Q$5,D$3*$Z$5+$AA$5)))-(8742/(D935+459.6))+15.64),EXP(INDEX(Antoines,MATCH(D928,Antoine_Name,0),2)-INDEX(Antoines,MATCH(D928,Antoine_Name,0),3)/(D935+459.6))))),0)</f>
        <v>0</v>
      </c>
      <c r="E944" cm="1">
        <f t="array" ref="E944">IFERROR(IF(E929="Chemical",(10^(INDEX(Antoines,MATCH(E928,Antoine_Name,0),2)-INDEX(Antoines,MATCH(E928,Antoine_Name,0),3)/(INDEX(Antoines,MATCH(E928,Antoine_Name,0),4)+(E935-32)*5/9)))*14.7/760,IF(E929="Crude Oil",EXP((2799/(E935+459.6)-2.227)*LOG10(INDEX(FX_Input,R$5,E$3*$Z$5+$AA$5))-(7261/(E935+459.6))+12.82),IF(E929="Refined Petroleum Stock",EXP((0.7553-(413/(E935+459.6)))*(INDEX(FX_Input,R$5,E$3*$Z$5+$AA$5-1)^0.5)*LOG10(INDEX(FX_Input,R$5,E$3*$Z$5+$AA$5))-(1.854-(1042/(E935+459.6)))*(INDEX(FX_Input,R$5,E$3*$Z$5+$AA$5-1)^0.5)+((2416/(E935+459.6)-2.013)*LOG10(INDEX(FX_Input,R$5,E$3*$Z$5+$AA$5)))-(8742/(E935+459.6))+15.64),EXP(INDEX(Antoines,MATCH(E928,Antoine_Name,0),2)-INDEX(Antoines,MATCH(E928,Antoine_Name,0),3)/(E935+459.6))))),0)</f>
        <v>0</v>
      </c>
      <c r="F944" cm="1">
        <f t="array" ref="F944">IFERROR(IF(F929="Chemical",(10^(INDEX(Antoines,MATCH(F928,Antoine_Name,0),2)-INDEX(Antoines,MATCH(F928,Antoine_Name,0),3)/(INDEX(Antoines,MATCH(F928,Antoine_Name,0),4)+(F935-32)*5/9)))*14.7/760,IF(F929="Crude Oil",EXP((2799/(F935+459.6)-2.227)*LOG10(INDEX(FX_Input,S$5,F$3*$Z$5+$AA$5))-(7261/(F935+459.6))+12.82),IF(F929="Refined Petroleum Stock",EXP((0.7553-(413/(F935+459.6)))*(INDEX(FX_Input,S$5,F$3*$Z$5+$AA$5-1)^0.5)*LOG10(INDEX(FX_Input,S$5,F$3*$Z$5+$AA$5))-(1.854-(1042/(F935+459.6)))*(INDEX(FX_Input,S$5,F$3*$Z$5+$AA$5-1)^0.5)+((2416/(F935+459.6)-2.013)*LOG10(INDEX(FX_Input,S$5,F$3*$Z$5+$AA$5)))-(8742/(F935+459.6))+15.64),EXP(INDEX(Antoines,MATCH(F928,Antoine_Name,0),2)-INDEX(Antoines,MATCH(F928,Antoine_Name,0),3)/(F935+459.6))))),0)</f>
        <v>0</v>
      </c>
      <c r="G944" cm="1">
        <f t="array" ref="G944">IFERROR(IF(G929="Chemical",(10^(INDEX(Antoines,MATCH(G928,Antoine_Name,0),2)-INDEX(Antoines,MATCH(G928,Antoine_Name,0),3)/(INDEX(Antoines,MATCH(G928,Antoine_Name,0),4)+(G935-32)*5/9)))*14.7/760,IF(G929="Crude Oil",EXP((2799/(G935+459.6)-2.227)*LOG10(INDEX(FX_Input,T$5,G$3*$Z$5+$AA$5))-(7261/(G935+459.6))+12.82),IF(G929="Refined Petroleum Stock",EXP((0.7553-(413/(G935+459.6)))*(INDEX(FX_Input,T$5,G$3*$Z$5+$AA$5-1)^0.5)*LOG10(INDEX(FX_Input,T$5,G$3*$Z$5+$AA$5))-(1.854-(1042/(G935+459.6)))*(INDEX(FX_Input,T$5,G$3*$Z$5+$AA$5-1)^0.5)+((2416/(G935+459.6)-2.013)*LOG10(INDEX(FX_Input,T$5,G$3*$Z$5+$AA$5)))-(8742/(G935+459.6))+15.64),EXP(INDEX(Antoines,MATCH(G928,Antoine_Name,0),2)-INDEX(Antoines,MATCH(G928,Antoine_Name,0),3)/(G935+459.6))))),0)</f>
        <v>0</v>
      </c>
      <c r="H944" cm="1">
        <f t="array" ref="H944">IFERROR(IF(H929="Chemical",(10^(INDEX(Antoines,MATCH(H928,Antoine_Name,0),2)-INDEX(Antoines,MATCH(H928,Antoine_Name,0),3)/(INDEX(Antoines,MATCH(H928,Antoine_Name,0),4)+(H935-32)*5/9)))*14.7/760,IF(H929="Crude Oil",EXP((2799/(H935+459.6)-2.227)*LOG10(INDEX(FX_Input,U$5,H$3*$Z$5+$AA$5))-(7261/(H935+459.6))+12.82),IF(H929="Refined Petroleum Stock",EXP((0.7553-(413/(H935+459.6)))*(INDEX(FX_Input,U$5,H$3*$Z$5+$AA$5-1)^0.5)*LOG10(INDEX(FX_Input,U$5,H$3*$Z$5+$AA$5))-(1.854-(1042/(H935+459.6)))*(INDEX(FX_Input,U$5,H$3*$Z$5+$AA$5-1)^0.5)+((2416/(H935+459.6)-2.013)*LOG10(INDEX(FX_Input,U$5,H$3*$Z$5+$AA$5)))-(8742/(H935+459.6))+15.64),EXP(INDEX(Antoines,MATCH(H928,Antoine_Name,0),2)-INDEX(Antoines,MATCH(H928,Antoine_Name,0),3)/(H935+459.6))))),0)</f>
        <v>0</v>
      </c>
      <c r="I944" cm="1">
        <f t="array" ref="I944">IFERROR(IF(I929="Chemical",(10^(INDEX(Antoines,MATCH(I928,Antoine_Name,0),2)-INDEX(Antoines,MATCH(I928,Antoine_Name,0),3)/(INDEX(Antoines,MATCH(I928,Antoine_Name,0),4)+(I935-32)*5/9)))*14.7/760,IF(I929="Crude Oil",EXP((2799/(I935+459.6)-2.227)*LOG10(INDEX(FX_Input,V$5,I$3*$Z$5+$AA$5))-(7261/(I935+459.6))+12.82),IF(I929="Refined Petroleum Stock",EXP((0.7553-(413/(I935+459.6)))*(INDEX(FX_Input,V$5,I$3*$Z$5+$AA$5-1)^0.5)*LOG10(INDEX(FX_Input,V$5,I$3*$Z$5+$AA$5))-(1.854-(1042/(I935+459.6)))*(INDEX(FX_Input,V$5,I$3*$Z$5+$AA$5-1)^0.5)+((2416/(I935+459.6)-2.013)*LOG10(INDEX(FX_Input,V$5,I$3*$Z$5+$AA$5)))-(8742/(I935+459.6))+15.64),EXP(INDEX(Antoines,MATCH(I928,Antoine_Name,0),2)-INDEX(Antoines,MATCH(I928,Antoine_Name,0),3)/(I935+459.6))))),0)</f>
        <v>0</v>
      </c>
      <c r="J944" cm="1">
        <f t="array" ref="J944">IFERROR(IF(J929="Chemical",(10^(INDEX(Antoines,MATCH(J928,Antoine_Name,0),2)-INDEX(Antoines,MATCH(J928,Antoine_Name,0),3)/(INDEX(Antoines,MATCH(J928,Antoine_Name,0),4)+(J935-32)*5/9)))*14.7/760,IF(J929="Crude Oil",EXP((2799/(J935+459.6)-2.227)*LOG10(INDEX(FX_Input,W$5,J$3*$Z$5+$AA$5))-(7261/(J935+459.6))+12.82),IF(J929="Refined Petroleum Stock",EXP((0.7553-(413/(J935+459.6)))*(INDEX(FX_Input,W$5,J$3*$Z$5+$AA$5-1)^0.5)*LOG10(INDEX(FX_Input,W$5,J$3*$Z$5+$AA$5))-(1.854-(1042/(J935+459.6)))*(INDEX(FX_Input,W$5,J$3*$Z$5+$AA$5-1)^0.5)+((2416/(J935+459.6)-2.013)*LOG10(INDEX(FX_Input,W$5,J$3*$Z$5+$AA$5)))-(8742/(J935+459.6))+15.64),EXP(INDEX(Antoines,MATCH(J928,Antoine_Name,0),2)-INDEX(Antoines,MATCH(J928,Antoine_Name,0),3)/(J935+459.6))))),0)</f>
        <v>0</v>
      </c>
      <c r="K944" cm="1">
        <f t="array" ref="K944">IFERROR(IF(K929="Chemical",(10^(INDEX(Antoines,MATCH(K928,Antoine_Name,0),2)-INDEX(Antoines,MATCH(K928,Antoine_Name,0),3)/(INDEX(Antoines,MATCH(K928,Antoine_Name,0),4)+(K935-32)*5/9)))*14.7/760,IF(K929="Crude Oil",EXP((2799/(K935+459.6)-2.227)*LOG10(INDEX(FX_Input,X$5,K$3*$Z$5+$AA$5))-(7261/(K935+459.6))+12.82),IF(K929="Refined Petroleum Stock",EXP((0.7553-(413/(K935+459.6)))*(INDEX(FX_Input,X$5,K$3*$Z$5+$AA$5-1)^0.5)*LOG10(INDEX(FX_Input,X$5,K$3*$Z$5+$AA$5))-(1.854-(1042/(K935+459.6)))*(INDEX(FX_Input,X$5,K$3*$Z$5+$AA$5-1)^0.5)+((2416/(K935+459.6)-2.013)*LOG10(INDEX(FX_Input,X$5,K$3*$Z$5+$AA$5)))-(8742/(K935+459.6))+15.64),EXP(INDEX(Antoines,MATCH(K928,Antoine_Name,0),2)-INDEX(Antoines,MATCH(K928,Antoine_Name,0),3)/(K935+459.6))))),0)</f>
        <v>0</v>
      </c>
      <c r="L944" cm="1">
        <f t="array" ref="L944">IFERROR(IF(L929="Chemical",(10^(INDEX(Antoines,MATCH(L928,Antoine_Name,0),2)-INDEX(Antoines,MATCH(L928,Antoine_Name,0),3)/(INDEX(Antoines,MATCH(L928,Antoine_Name,0),4)+(L935-32)*5/9)))*14.7/760,IF(L929="Crude Oil",EXP((2799/(L935+459.6)-2.227)*LOG10(INDEX(FX_Input,Y$5,L$3*$Z$5+$AA$5))-(7261/(L935+459.6))+12.82),IF(L929="Refined Petroleum Stock",EXP((0.7553-(413/(L935+459.6)))*(INDEX(FX_Input,Y$5,L$3*$Z$5+$AA$5-1)^0.5)*LOG10(INDEX(FX_Input,Y$5,L$3*$Z$5+$AA$5))-(1.854-(1042/(L935+459.6)))*(INDEX(FX_Input,Y$5,L$3*$Z$5+$AA$5-1)^0.5)+((2416/(L935+459.6)-2.013)*LOG10(INDEX(FX_Input,Y$5,L$3*$Z$5+$AA$5)))-(8742/(L935+459.6))+15.64),EXP(INDEX(Antoines,MATCH(L928,Antoine_Name,0),2)-INDEX(Antoines,MATCH(L928,Antoine_Name,0),3)/(L935+459.6))))),0)</f>
        <v>0</v>
      </c>
      <c r="M944" cm="1">
        <f t="array" ref="M944">IFERROR(IF(M929="Chemical",(10^(INDEX(Antoines,MATCH(M928,Antoine_Name,0),2)-INDEX(Antoines,MATCH(M928,Antoine_Name,0),3)/(INDEX(Antoines,MATCH(M928,Antoine_Name,0),4)+(M935-32)*5/9)))*14.7/760,IF(M929="Crude Oil",EXP((2799/(M935+459.6)-2.227)*LOG10(INDEX(FX_Input,Z$5,M$3*$Z$5+$AA$5))-(7261/(M935+459.6))+12.82),IF(M929="Refined Petroleum Stock",EXP((0.7553-(413/(M935+459.6)))*(INDEX(FX_Input,Z$5,M$3*$Z$5+$AA$5-1)^0.5)*LOG10(INDEX(FX_Input,Z$5,M$3*$Z$5+$AA$5))-(1.854-(1042/(M935+459.6)))*(INDEX(FX_Input,Z$5,M$3*$Z$5+$AA$5-1)^0.5)+((2416/(M935+459.6)-2.013)*LOG10(INDEX(FX_Input,Z$5,M$3*$Z$5+$AA$5)))-(8742/(M935+459.6))+15.64),EXP(INDEX(Antoines,MATCH(M928,Antoine_Name,0),2)-INDEX(Antoines,MATCH(M928,Antoine_Name,0),3)/(M935+459.6))))),0)</f>
        <v>0</v>
      </c>
      <c r="N944" cm="1">
        <f t="array" ref="N944">IFERROR(IF(N929="Chemical",(10^(INDEX(Antoines,MATCH(N928,Antoine_Name,0),2)-INDEX(Antoines,MATCH(N928,Antoine_Name,0),3)/(INDEX(Antoines,MATCH(N928,Antoine_Name,0),4)+(N935-32)*5/9)))*14.7/760,IF(N929="Crude Oil",EXP((2799/(N935+459.6)-2.227)*LOG10(INDEX(FX_Input,AA$5,N$3*$Z$5+$AA$5))-(7261/(N935+459.6))+12.82),IF(N929="Refined Petroleum Stock",EXP((0.7553-(413/(N935+459.6)))*(INDEX(FX_Input,AA$5,N$3*$Z$5+$AA$5-1)^0.5)*LOG10(INDEX(FX_Input,AA$5,N$3*$Z$5+$AA$5))-(1.854-(1042/(N935+459.6)))*(INDEX(FX_Input,AA$5,N$3*$Z$5+$AA$5-1)^0.5)+((2416/(N935+459.6)-2.013)*LOG10(INDEX(FX_Input,AA$5,N$3*$Z$5+$AA$5)))-(8742/(N935+459.6))+15.64),EXP(INDEX(Antoines,MATCH(N928,Antoine_Name,0),2)-INDEX(Antoines,MATCH(N928,Antoine_Name,0),3)/(N935+459.6))))),0)</f>
        <v>0</v>
      </c>
      <c r="O944" cm="1">
        <f t="array" ref="O944">IFERROR(IF(O929="Chemical",(10^(INDEX(Antoines,MATCH(O928,Antoine_Name,0),2)-INDEX(Antoines,MATCH(O928,Antoine_Name,0),3)/(INDEX(Antoines,MATCH(O928,Antoine_Name,0),4)+(O935-32)*5/9)))*14.7/760,IF(O929="Crude Oil",EXP((2799/(O935+459.6)-2.227)*LOG10(INDEX(FX_Input,AB$5,O$3*$Z$5+$AA$5))-(7261/(O935+459.6))+12.82),IF(O929="Refined Petroleum Stock",EXP((0.7553-(413/(O935+459.6)))*(INDEX(FX_Input,AB$5,O$3*$Z$5+$AA$5-1)^0.5)*LOG10(INDEX(FX_Input,AB$5,O$3*$Z$5+$AA$5))-(1.854-(1042/(O935+459.6)))*(INDEX(FX_Input,AB$5,O$3*$Z$5+$AA$5-1)^0.5)+((2416/(O935+459.6)-2.013)*LOG10(INDEX(FX_Input,AB$5,O$3*$Z$5+$AA$5)))-(8742/(O935+459.6))+15.64),EXP(INDEX(Antoines,MATCH(O928,Antoine_Name,0),2)-INDEX(Antoines,MATCH(O928,Antoine_Name,0),3)/(O935+459.6))))),0)</f>
        <v>0</v>
      </c>
    </row>
    <row r="945" spans="1:32" ht="17.149999999999999" x14ac:dyDescent="0.55000000000000004">
      <c r="B945" t="str">
        <f t="shared" si="3348"/>
        <v>Portland</v>
      </c>
      <c r="C945" t="s">
        <v>582</v>
      </c>
      <c r="D945">
        <f>D944*D932</f>
        <v>0</v>
      </c>
      <c r="E945">
        <f t="shared" ref="E945" si="3393">E944*E932</f>
        <v>0</v>
      </c>
      <c r="F945">
        <f t="shared" ref="F945" si="3394">F944*F932</f>
        <v>0</v>
      </c>
      <c r="G945">
        <f t="shared" ref="G945" si="3395">G944*G932</f>
        <v>0</v>
      </c>
      <c r="H945">
        <f t="shared" ref="H945" si="3396">H944*H932</f>
        <v>0</v>
      </c>
      <c r="I945">
        <f t="shared" ref="I945" si="3397">I944*I932</f>
        <v>0</v>
      </c>
      <c r="J945">
        <f t="shared" ref="J945" si="3398">J944*J932</f>
        <v>0</v>
      </c>
      <c r="K945">
        <f t="shared" ref="K945" si="3399">K944*K932</f>
        <v>0</v>
      </c>
      <c r="L945">
        <f t="shared" ref="L945" si="3400">L944*L932</f>
        <v>0</v>
      </c>
      <c r="M945">
        <f t="shared" ref="M945" si="3401">M944*M932</f>
        <v>0</v>
      </c>
      <c r="N945">
        <f t="shared" ref="N945" si="3402">N944*N932</f>
        <v>0</v>
      </c>
      <c r="O945">
        <f t="shared" ref="O945" si="3403">O944*O932</f>
        <v>0</v>
      </c>
    </row>
    <row r="946" spans="1:32" ht="17.149999999999999" x14ac:dyDescent="0.55000000000000004">
      <c r="B946" t="str">
        <f t="shared" si="3348"/>
        <v>Portland</v>
      </c>
      <c r="C946" t="s">
        <v>583</v>
      </c>
      <c r="D946">
        <f>D943+D945</f>
        <v>1</v>
      </c>
      <c r="E946">
        <f t="shared" ref="E946" si="3404">E943+E945</f>
        <v>1</v>
      </c>
      <c r="F946">
        <f t="shared" ref="F946" si="3405">F943+F945</f>
        <v>1</v>
      </c>
      <c r="G946">
        <f t="shared" ref="G946" si="3406">G943+G945</f>
        <v>1</v>
      </c>
      <c r="H946">
        <f t="shared" ref="H946" si="3407">H943+H945</f>
        <v>1</v>
      </c>
      <c r="I946">
        <f t="shared" ref="I946" si="3408">I943+I945</f>
        <v>1</v>
      </c>
      <c r="J946">
        <f t="shared" ref="J946" si="3409">J943+J945</f>
        <v>1</v>
      </c>
      <c r="K946">
        <f t="shared" ref="K946" si="3410">K943+K945</f>
        <v>1</v>
      </c>
      <c r="L946">
        <f t="shared" ref="L946" si="3411">L943+L945</f>
        <v>1</v>
      </c>
      <c r="M946">
        <f t="shared" ref="M946" si="3412">M943+M945</f>
        <v>1</v>
      </c>
      <c r="N946">
        <f t="shared" ref="N946" si="3413">N943+N945</f>
        <v>1</v>
      </c>
      <c r="O946">
        <f t="shared" ref="O946" si="3414">O943+O945</f>
        <v>1</v>
      </c>
    </row>
    <row r="947" spans="1:32" ht="17.149999999999999" x14ac:dyDescent="0.55000000000000004">
      <c r="B947" t="str">
        <f t="shared" si="3348"/>
        <v>Portland</v>
      </c>
      <c r="C947" t="s">
        <v>1388</v>
      </c>
      <c r="D947" cm="1">
        <f t="array" ref="D947">IFERROR(IF(D927="Chemical",(10^(INDEX(Antoines,MATCH(D926,Antoine_Name,0),2)-INDEX(Antoines,MATCH(D926,Antoine_Name,0),3)/(INDEX(Antoines,MATCH(D926,Antoine_Name,0),4)+(D936-32)*5/9)))*14.7/760,IF(D927="Crude Oil",EXP((2799/(D936+459.6)-2.227)*LOG10(INDEX(FX_Input,Q$5,D$3*$Z$5+$AA$5))-(7261/(D936+459.6))+12.82),IF(D927="Refined Petroleum Stock",EXP((0.7553-(413/(D936+459.6)))*(INDEX(FX_Input,Q$5,D$3*$Z$5+$AA$5-1)^0.5)*LOG10(INDEX(FX_Input,Q$5,D$3*$Z$5+$AA$5))-(1.854-(1042/(D936+459.6)))*(INDEX(FX_Input,Q$5,D$3*$Z$5+$AA$5-1)^0.5)+((2416/(D936+459.6)-2.013)*LOG10(INDEX(FX_Input,Q$5,D$3*$Z$5+$AA$5)))-(8742/(D936+459.6))+15.64),EXP(INDEX(Antoines,MATCH(D926,Antoine_Name,0),2)-INDEX(Antoines,MATCH(D926,Antoine_Name,0),3)/(D936+459.6))))),0)</f>
        <v>1</v>
      </c>
      <c r="E947" cm="1">
        <f t="array" ref="E947">IFERROR(IF(E927="Chemical",(10^(INDEX(Antoines,MATCH(E926,Antoine_Name,0),2)-INDEX(Antoines,MATCH(E926,Antoine_Name,0),3)/(INDEX(Antoines,MATCH(E926,Antoine_Name,0),4)+(E936-32)*5/9)))*14.7/760,IF(E927="Crude Oil",EXP((2799/(E936+459.6)-2.227)*LOG10(INDEX(FX_Input,R$5,E$3*$Z$5+$AA$5))-(7261/(E936+459.6))+12.82),IF(E927="Refined Petroleum Stock",EXP((0.7553-(413/(E936+459.6)))*(INDEX(FX_Input,R$5,E$3*$Z$5+$AA$5-1)^0.5)*LOG10(INDEX(FX_Input,R$5,E$3*$Z$5+$AA$5))-(1.854-(1042/(E936+459.6)))*(INDEX(FX_Input,R$5,E$3*$Z$5+$AA$5-1)^0.5)+((2416/(E936+459.6)-2.013)*LOG10(INDEX(FX_Input,R$5,E$3*$Z$5+$AA$5)))-(8742/(E936+459.6))+15.64),EXP(INDEX(Antoines,MATCH(E926,Antoine_Name,0),2)-INDEX(Antoines,MATCH(E926,Antoine_Name,0),3)/(E936+459.6))))),0)</f>
        <v>1</v>
      </c>
      <c r="F947" cm="1">
        <f t="array" ref="F947">IFERROR(IF(F927="Chemical",(10^(INDEX(Antoines,MATCH(F926,Antoine_Name,0),2)-INDEX(Antoines,MATCH(F926,Antoine_Name,0),3)/(INDEX(Antoines,MATCH(F926,Antoine_Name,0),4)+(F936-32)*5/9)))*14.7/760,IF(F927="Crude Oil",EXP((2799/(F936+459.6)-2.227)*LOG10(INDEX(FX_Input,S$5,F$3*$Z$5+$AA$5))-(7261/(F936+459.6))+12.82),IF(F927="Refined Petroleum Stock",EXP((0.7553-(413/(F936+459.6)))*(INDEX(FX_Input,S$5,F$3*$Z$5+$AA$5-1)^0.5)*LOG10(INDEX(FX_Input,S$5,F$3*$Z$5+$AA$5))-(1.854-(1042/(F936+459.6)))*(INDEX(FX_Input,S$5,F$3*$Z$5+$AA$5-1)^0.5)+((2416/(F936+459.6)-2.013)*LOG10(INDEX(FX_Input,S$5,F$3*$Z$5+$AA$5)))-(8742/(F936+459.6))+15.64),EXP(INDEX(Antoines,MATCH(F926,Antoine_Name,0),2)-INDEX(Antoines,MATCH(F926,Antoine_Name,0),3)/(F936+459.6))))),0)</f>
        <v>1</v>
      </c>
      <c r="G947" cm="1">
        <f t="array" ref="G947">IFERROR(IF(G927="Chemical",(10^(INDEX(Antoines,MATCH(G926,Antoine_Name,0),2)-INDEX(Antoines,MATCH(G926,Antoine_Name,0),3)/(INDEX(Antoines,MATCH(G926,Antoine_Name,0),4)+(G936-32)*5/9)))*14.7/760,IF(G927="Crude Oil",EXP((2799/(G936+459.6)-2.227)*LOG10(INDEX(FX_Input,T$5,G$3*$Z$5+$AA$5))-(7261/(G936+459.6))+12.82),IF(G927="Refined Petroleum Stock",EXP((0.7553-(413/(G936+459.6)))*(INDEX(FX_Input,T$5,G$3*$Z$5+$AA$5-1)^0.5)*LOG10(INDEX(FX_Input,T$5,G$3*$Z$5+$AA$5))-(1.854-(1042/(G936+459.6)))*(INDEX(FX_Input,T$5,G$3*$Z$5+$AA$5-1)^0.5)+((2416/(G936+459.6)-2.013)*LOG10(INDEX(FX_Input,T$5,G$3*$Z$5+$AA$5)))-(8742/(G936+459.6))+15.64),EXP(INDEX(Antoines,MATCH(G926,Antoine_Name,0),2)-INDEX(Antoines,MATCH(G926,Antoine_Name,0),3)/(G936+459.6))))),0)</f>
        <v>1</v>
      </c>
      <c r="H947" cm="1">
        <f t="array" ref="H947">IFERROR(IF(H927="Chemical",(10^(INDEX(Antoines,MATCH(H926,Antoine_Name,0),2)-INDEX(Antoines,MATCH(H926,Antoine_Name,0),3)/(INDEX(Antoines,MATCH(H926,Antoine_Name,0),4)+(H936-32)*5/9)))*14.7/760,IF(H927="Crude Oil",EXP((2799/(H936+459.6)-2.227)*LOG10(INDEX(FX_Input,U$5,H$3*$Z$5+$AA$5))-(7261/(H936+459.6))+12.82),IF(H927="Refined Petroleum Stock",EXP((0.7553-(413/(H936+459.6)))*(INDEX(FX_Input,U$5,H$3*$Z$5+$AA$5-1)^0.5)*LOG10(INDEX(FX_Input,U$5,H$3*$Z$5+$AA$5))-(1.854-(1042/(H936+459.6)))*(INDEX(FX_Input,U$5,H$3*$Z$5+$AA$5-1)^0.5)+((2416/(H936+459.6)-2.013)*LOG10(INDEX(FX_Input,U$5,H$3*$Z$5+$AA$5)))-(8742/(H936+459.6))+15.64),EXP(INDEX(Antoines,MATCH(H926,Antoine_Name,0),2)-INDEX(Antoines,MATCH(H926,Antoine_Name,0),3)/(H936+459.6))))),0)</f>
        <v>1</v>
      </c>
      <c r="I947" cm="1">
        <f t="array" ref="I947">IFERROR(IF(I927="Chemical",(10^(INDEX(Antoines,MATCH(I926,Antoine_Name,0),2)-INDEX(Antoines,MATCH(I926,Antoine_Name,0),3)/(INDEX(Antoines,MATCH(I926,Antoine_Name,0),4)+(I936-32)*5/9)))*14.7/760,IF(I927="Crude Oil",EXP((2799/(I936+459.6)-2.227)*LOG10(INDEX(FX_Input,V$5,I$3*$Z$5+$AA$5))-(7261/(I936+459.6))+12.82),IF(I927="Refined Petroleum Stock",EXP((0.7553-(413/(I936+459.6)))*(INDEX(FX_Input,V$5,I$3*$Z$5+$AA$5-1)^0.5)*LOG10(INDEX(FX_Input,V$5,I$3*$Z$5+$AA$5))-(1.854-(1042/(I936+459.6)))*(INDEX(FX_Input,V$5,I$3*$Z$5+$AA$5-1)^0.5)+((2416/(I936+459.6)-2.013)*LOG10(INDEX(FX_Input,V$5,I$3*$Z$5+$AA$5)))-(8742/(I936+459.6))+15.64),EXP(INDEX(Antoines,MATCH(I926,Antoine_Name,0),2)-INDEX(Antoines,MATCH(I926,Antoine_Name,0),3)/(I936+459.6))))),0)</f>
        <v>1</v>
      </c>
      <c r="J947" cm="1">
        <f t="array" ref="J947">IFERROR(IF(J927="Chemical",(10^(INDEX(Antoines,MATCH(J926,Antoine_Name,0),2)-INDEX(Antoines,MATCH(J926,Antoine_Name,0),3)/(INDEX(Antoines,MATCH(J926,Antoine_Name,0),4)+(J936-32)*5/9)))*14.7/760,IF(J927="Crude Oil",EXP((2799/(J936+459.6)-2.227)*LOG10(INDEX(FX_Input,W$5,J$3*$Z$5+$AA$5))-(7261/(J936+459.6))+12.82),IF(J927="Refined Petroleum Stock",EXP((0.7553-(413/(J936+459.6)))*(INDEX(FX_Input,W$5,J$3*$Z$5+$AA$5-1)^0.5)*LOG10(INDEX(FX_Input,W$5,J$3*$Z$5+$AA$5))-(1.854-(1042/(J936+459.6)))*(INDEX(FX_Input,W$5,J$3*$Z$5+$AA$5-1)^0.5)+((2416/(J936+459.6)-2.013)*LOG10(INDEX(FX_Input,W$5,J$3*$Z$5+$AA$5)))-(8742/(J936+459.6))+15.64),EXP(INDEX(Antoines,MATCH(J926,Antoine_Name,0),2)-INDEX(Antoines,MATCH(J926,Antoine_Name,0),3)/(J936+459.6))))),0)</f>
        <v>1</v>
      </c>
      <c r="K947" cm="1">
        <f t="array" ref="K947">IFERROR(IF(K927="Chemical",(10^(INDEX(Antoines,MATCH(K926,Antoine_Name,0),2)-INDEX(Antoines,MATCH(K926,Antoine_Name,0),3)/(INDEX(Antoines,MATCH(K926,Antoine_Name,0),4)+(K936-32)*5/9)))*14.7/760,IF(K927="Crude Oil",EXP((2799/(K936+459.6)-2.227)*LOG10(INDEX(FX_Input,X$5,K$3*$Z$5+$AA$5))-(7261/(K936+459.6))+12.82),IF(K927="Refined Petroleum Stock",EXP((0.7553-(413/(K936+459.6)))*(INDEX(FX_Input,X$5,K$3*$Z$5+$AA$5-1)^0.5)*LOG10(INDEX(FX_Input,X$5,K$3*$Z$5+$AA$5))-(1.854-(1042/(K936+459.6)))*(INDEX(FX_Input,X$5,K$3*$Z$5+$AA$5-1)^0.5)+((2416/(K936+459.6)-2.013)*LOG10(INDEX(FX_Input,X$5,K$3*$Z$5+$AA$5)))-(8742/(K936+459.6))+15.64),EXP(INDEX(Antoines,MATCH(K926,Antoine_Name,0),2)-INDEX(Antoines,MATCH(K926,Antoine_Name,0),3)/(K936+459.6))))),0)</f>
        <v>1</v>
      </c>
      <c r="L947" cm="1">
        <f t="array" ref="L947">IFERROR(IF(L927="Chemical",(10^(INDEX(Antoines,MATCH(L926,Antoine_Name,0),2)-INDEX(Antoines,MATCH(L926,Antoine_Name,0),3)/(INDEX(Antoines,MATCH(L926,Antoine_Name,0),4)+(L936-32)*5/9)))*14.7/760,IF(L927="Crude Oil",EXP((2799/(L936+459.6)-2.227)*LOG10(INDEX(FX_Input,Y$5,L$3*$Z$5+$AA$5))-(7261/(L936+459.6))+12.82),IF(L927="Refined Petroleum Stock",EXP((0.7553-(413/(L936+459.6)))*(INDEX(FX_Input,Y$5,L$3*$Z$5+$AA$5-1)^0.5)*LOG10(INDEX(FX_Input,Y$5,L$3*$Z$5+$AA$5))-(1.854-(1042/(L936+459.6)))*(INDEX(FX_Input,Y$5,L$3*$Z$5+$AA$5-1)^0.5)+((2416/(L936+459.6)-2.013)*LOG10(INDEX(FX_Input,Y$5,L$3*$Z$5+$AA$5)))-(8742/(L936+459.6))+15.64),EXP(INDEX(Antoines,MATCH(L926,Antoine_Name,0),2)-INDEX(Antoines,MATCH(L926,Antoine_Name,0),3)/(L936+459.6))))),0)</f>
        <v>1</v>
      </c>
      <c r="M947" cm="1">
        <f t="array" ref="M947">IFERROR(IF(M927="Chemical",(10^(INDEX(Antoines,MATCH(M926,Antoine_Name,0),2)-INDEX(Antoines,MATCH(M926,Antoine_Name,0),3)/(INDEX(Antoines,MATCH(M926,Antoine_Name,0),4)+(M936-32)*5/9)))*14.7/760,IF(M927="Crude Oil",EXP((2799/(M936+459.6)-2.227)*LOG10(INDEX(FX_Input,Z$5,M$3*$Z$5+$AA$5))-(7261/(M936+459.6))+12.82),IF(M927="Refined Petroleum Stock",EXP((0.7553-(413/(M936+459.6)))*(INDEX(FX_Input,Z$5,M$3*$Z$5+$AA$5-1)^0.5)*LOG10(INDEX(FX_Input,Z$5,M$3*$Z$5+$AA$5))-(1.854-(1042/(M936+459.6)))*(INDEX(FX_Input,Z$5,M$3*$Z$5+$AA$5-1)^0.5)+((2416/(M936+459.6)-2.013)*LOG10(INDEX(FX_Input,Z$5,M$3*$Z$5+$AA$5)))-(8742/(M936+459.6))+15.64),EXP(INDEX(Antoines,MATCH(M926,Antoine_Name,0),2)-INDEX(Antoines,MATCH(M926,Antoine_Name,0),3)/(M936+459.6))))),0)</f>
        <v>1</v>
      </c>
      <c r="N947" cm="1">
        <f t="array" ref="N947">IFERROR(IF(N927="Chemical",(10^(INDEX(Antoines,MATCH(N926,Antoine_Name,0),2)-INDEX(Antoines,MATCH(N926,Antoine_Name,0),3)/(INDEX(Antoines,MATCH(N926,Antoine_Name,0),4)+(N936-32)*5/9)))*14.7/760,IF(N927="Crude Oil",EXP((2799/(N936+459.6)-2.227)*LOG10(INDEX(FX_Input,AA$5,N$3*$Z$5+$AA$5))-(7261/(N936+459.6))+12.82),IF(N927="Refined Petroleum Stock",EXP((0.7553-(413/(N936+459.6)))*(INDEX(FX_Input,AA$5,N$3*$Z$5+$AA$5-1)^0.5)*LOG10(INDEX(FX_Input,AA$5,N$3*$Z$5+$AA$5))-(1.854-(1042/(N936+459.6)))*(INDEX(FX_Input,AA$5,N$3*$Z$5+$AA$5-1)^0.5)+((2416/(N936+459.6)-2.013)*LOG10(INDEX(FX_Input,AA$5,N$3*$Z$5+$AA$5)))-(8742/(N936+459.6))+15.64),EXP(INDEX(Antoines,MATCH(N926,Antoine_Name,0),2)-INDEX(Antoines,MATCH(N926,Antoine_Name,0),3)/(N936+459.6))))),0)</f>
        <v>1</v>
      </c>
      <c r="O947" cm="1">
        <f t="array" ref="O947">IFERROR(IF(O927="Chemical",(10^(INDEX(Antoines,MATCH(O926,Antoine_Name,0),2)-INDEX(Antoines,MATCH(O926,Antoine_Name,0),3)/(INDEX(Antoines,MATCH(O926,Antoine_Name,0),4)+(O936-32)*5/9)))*14.7/760,IF(O927="Crude Oil",EXP((2799/(O936+459.6)-2.227)*LOG10(INDEX(FX_Input,AB$5,O$3*$Z$5+$AA$5))-(7261/(O936+459.6))+12.82),IF(O927="Refined Petroleum Stock",EXP((0.7553-(413/(O936+459.6)))*(INDEX(FX_Input,AB$5,O$3*$Z$5+$AA$5-1)^0.5)*LOG10(INDEX(FX_Input,AB$5,O$3*$Z$5+$AA$5))-(1.854-(1042/(O936+459.6)))*(INDEX(FX_Input,AB$5,O$3*$Z$5+$AA$5-1)^0.5)+((2416/(O936+459.6)-2.013)*LOG10(INDEX(FX_Input,AB$5,O$3*$Z$5+$AA$5)))-(8742/(O936+459.6))+15.64),EXP(INDEX(Antoines,MATCH(O926,Antoine_Name,0),2)-INDEX(Antoines,MATCH(O926,Antoine_Name,0),3)/(O936+459.6))))),0)</f>
        <v>1</v>
      </c>
    </row>
    <row r="948" spans="1:32" ht="17.149999999999999" x14ac:dyDescent="0.55000000000000004">
      <c r="B948" t="str">
        <f t="shared" si="3348"/>
        <v>Portland</v>
      </c>
      <c r="C948" t="s">
        <v>1389</v>
      </c>
      <c r="D948">
        <f>D947*D930</f>
        <v>1</v>
      </c>
      <c r="E948">
        <f t="shared" ref="E948" si="3415">E947*E930</f>
        <v>1</v>
      </c>
      <c r="F948">
        <f t="shared" ref="F948" si="3416">F947*F930</f>
        <v>1</v>
      </c>
      <c r="G948">
        <f t="shared" ref="G948" si="3417">G947*G930</f>
        <v>1</v>
      </c>
      <c r="H948">
        <f t="shared" ref="H948" si="3418">H947*H930</f>
        <v>1</v>
      </c>
      <c r="I948">
        <f t="shared" ref="I948" si="3419">I947*I930</f>
        <v>1</v>
      </c>
      <c r="J948">
        <f t="shared" ref="J948" si="3420">J947*J930</f>
        <v>1</v>
      </c>
      <c r="K948">
        <f t="shared" ref="K948" si="3421">K947*K930</f>
        <v>1</v>
      </c>
      <c r="L948">
        <f t="shared" ref="L948" si="3422">L947*L930</f>
        <v>1</v>
      </c>
      <c r="M948">
        <f t="shared" ref="M948" si="3423">M947*M930</f>
        <v>1</v>
      </c>
      <c r="N948">
        <f t="shared" ref="N948" si="3424">N947*N930</f>
        <v>1</v>
      </c>
      <c r="O948">
        <f t="shared" ref="O948" si="3425">O947*O930</f>
        <v>1</v>
      </c>
    </row>
    <row r="949" spans="1:32" ht="17.149999999999999" x14ac:dyDescent="0.55000000000000004">
      <c r="B949" t="str">
        <f t="shared" si="3348"/>
        <v>Portland</v>
      </c>
      <c r="C949" t="s">
        <v>1390</v>
      </c>
      <c r="D949" cm="1">
        <f t="array" ref="D949">IFERROR(IF(D929="Chemical",(10^(INDEX(Antoines,MATCH(D928,Antoine_Name,0),2)-INDEX(Antoines,MATCH(D928,Antoine_Name,0),3)/(INDEX(Antoines,MATCH(D928,Antoine_Name,0),4)+(D936-32)*5/9)))*14.7/760,IF(D929="Crude Oil",EXP((2799/(D936+459.6)-2.227)*LOG10(INDEX(FX_Input,Q$5,D$3*$Z$5+$AA$5))-(7261/(D936+459.6))+12.82),IF(D929="Refined Petroleum Stock",EXP((0.7553-(413/(D936+459.6)))*(INDEX(FX_Input,Q$5,D$3*$Z$5+$AA$5-1)^0.5)*LOG10(INDEX(FX_Input,Q$5,D$3*$Z$5+$AA$5))-(1.854-(1042/(D936+459.6)))*(INDEX(FX_Input,Q$5,D$3*$Z$5+$AA$5-1)^0.5)+((2416/(D936+459.6)-2.013)*LOG10(INDEX(FX_Input,Q$5,D$3*$Z$5+$AA$5)))-(8742/(D936+459.6))+15.64),EXP(INDEX(Antoines,MATCH(D928,Antoine_Name,0),2)-INDEX(Antoines,MATCH(D928,Antoine_Name,0),3)/(D936+459.6))))),0)</f>
        <v>0</v>
      </c>
      <c r="E949" cm="1">
        <f t="array" ref="E949">IFERROR(IF(E929="Chemical",(10^(INDEX(Antoines,MATCH(E928,Antoine_Name,0),2)-INDEX(Antoines,MATCH(E928,Antoine_Name,0),3)/(INDEX(Antoines,MATCH(E928,Antoine_Name,0),4)+(E936-32)*5/9)))*14.7/760,IF(E929="Crude Oil",EXP((2799/(E936+459.6)-2.227)*LOG10(INDEX(FX_Input,R$5,E$3*$Z$5+$AA$5))-(7261/(E936+459.6))+12.82),IF(E929="Refined Petroleum Stock",EXP((0.7553-(413/(E936+459.6)))*(INDEX(FX_Input,R$5,E$3*$Z$5+$AA$5-1)^0.5)*LOG10(INDEX(FX_Input,R$5,E$3*$Z$5+$AA$5))-(1.854-(1042/(E936+459.6)))*(INDEX(FX_Input,R$5,E$3*$Z$5+$AA$5-1)^0.5)+((2416/(E936+459.6)-2.013)*LOG10(INDEX(FX_Input,R$5,E$3*$Z$5+$AA$5)))-(8742/(E936+459.6))+15.64),EXP(INDEX(Antoines,MATCH(E928,Antoine_Name,0),2)-INDEX(Antoines,MATCH(E928,Antoine_Name,0),3)/(E936+459.6))))),0)</f>
        <v>0</v>
      </c>
      <c r="F949" cm="1">
        <f t="array" ref="F949">IFERROR(IF(F929="Chemical",(10^(INDEX(Antoines,MATCH(F928,Antoine_Name,0),2)-INDEX(Antoines,MATCH(F928,Antoine_Name,0),3)/(INDEX(Antoines,MATCH(F928,Antoine_Name,0),4)+(F936-32)*5/9)))*14.7/760,IF(F929="Crude Oil",EXP((2799/(F936+459.6)-2.227)*LOG10(INDEX(FX_Input,S$5,F$3*$Z$5+$AA$5))-(7261/(F936+459.6))+12.82),IF(F929="Refined Petroleum Stock",EXP((0.7553-(413/(F936+459.6)))*(INDEX(FX_Input,S$5,F$3*$Z$5+$AA$5-1)^0.5)*LOG10(INDEX(FX_Input,S$5,F$3*$Z$5+$AA$5))-(1.854-(1042/(F936+459.6)))*(INDEX(FX_Input,S$5,F$3*$Z$5+$AA$5-1)^0.5)+((2416/(F936+459.6)-2.013)*LOG10(INDEX(FX_Input,S$5,F$3*$Z$5+$AA$5)))-(8742/(F936+459.6))+15.64),EXP(INDEX(Antoines,MATCH(F928,Antoine_Name,0),2)-INDEX(Antoines,MATCH(F928,Antoine_Name,0),3)/(F936+459.6))))),0)</f>
        <v>0</v>
      </c>
      <c r="G949" cm="1">
        <f t="array" ref="G949">IFERROR(IF(G929="Chemical",(10^(INDEX(Antoines,MATCH(G928,Antoine_Name,0),2)-INDEX(Antoines,MATCH(G928,Antoine_Name,0),3)/(INDEX(Antoines,MATCH(G928,Antoine_Name,0),4)+(G936-32)*5/9)))*14.7/760,IF(G929="Crude Oil",EXP((2799/(G936+459.6)-2.227)*LOG10(INDEX(FX_Input,T$5,G$3*$Z$5+$AA$5))-(7261/(G936+459.6))+12.82),IF(G929="Refined Petroleum Stock",EXP((0.7553-(413/(G936+459.6)))*(INDEX(FX_Input,T$5,G$3*$Z$5+$AA$5-1)^0.5)*LOG10(INDEX(FX_Input,T$5,G$3*$Z$5+$AA$5))-(1.854-(1042/(G936+459.6)))*(INDEX(FX_Input,T$5,G$3*$Z$5+$AA$5-1)^0.5)+((2416/(G936+459.6)-2.013)*LOG10(INDEX(FX_Input,T$5,G$3*$Z$5+$AA$5)))-(8742/(G936+459.6))+15.64),EXP(INDEX(Antoines,MATCH(G928,Antoine_Name,0),2)-INDEX(Antoines,MATCH(G928,Antoine_Name,0),3)/(G936+459.6))))),0)</f>
        <v>0</v>
      </c>
      <c r="H949" cm="1">
        <f t="array" ref="H949">IFERROR(IF(H929="Chemical",(10^(INDEX(Antoines,MATCH(H928,Antoine_Name,0),2)-INDEX(Antoines,MATCH(H928,Antoine_Name,0),3)/(INDEX(Antoines,MATCH(H928,Antoine_Name,0),4)+(H936-32)*5/9)))*14.7/760,IF(H929="Crude Oil",EXP((2799/(H936+459.6)-2.227)*LOG10(INDEX(FX_Input,U$5,H$3*$Z$5+$AA$5))-(7261/(H936+459.6))+12.82),IF(H929="Refined Petroleum Stock",EXP((0.7553-(413/(H936+459.6)))*(INDEX(FX_Input,U$5,H$3*$Z$5+$AA$5-1)^0.5)*LOG10(INDEX(FX_Input,U$5,H$3*$Z$5+$AA$5))-(1.854-(1042/(H936+459.6)))*(INDEX(FX_Input,U$5,H$3*$Z$5+$AA$5-1)^0.5)+((2416/(H936+459.6)-2.013)*LOG10(INDEX(FX_Input,U$5,H$3*$Z$5+$AA$5)))-(8742/(H936+459.6))+15.64),EXP(INDEX(Antoines,MATCH(H928,Antoine_Name,0),2)-INDEX(Antoines,MATCH(H928,Antoine_Name,0),3)/(H936+459.6))))),0)</f>
        <v>0</v>
      </c>
      <c r="I949" cm="1">
        <f t="array" ref="I949">IFERROR(IF(I929="Chemical",(10^(INDEX(Antoines,MATCH(I928,Antoine_Name,0),2)-INDEX(Antoines,MATCH(I928,Antoine_Name,0),3)/(INDEX(Antoines,MATCH(I928,Antoine_Name,0),4)+(I936-32)*5/9)))*14.7/760,IF(I929="Crude Oil",EXP((2799/(I936+459.6)-2.227)*LOG10(INDEX(FX_Input,V$5,I$3*$Z$5+$AA$5))-(7261/(I936+459.6))+12.82),IF(I929="Refined Petroleum Stock",EXP((0.7553-(413/(I936+459.6)))*(INDEX(FX_Input,V$5,I$3*$Z$5+$AA$5-1)^0.5)*LOG10(INDEX(FX_Input,V$5,I$3*$Z$5+$AA$5))-(1.854-(1042/(I936+459.6)))*(INDEX(FX_Input,V$5,I$3*$Z$5+$AA$5-1)^0.5)+((2416/(I936+459.6)-2.013)*LOG10(INDEX(FX_Input,V$5,I$3*$Z$5+$AA$5)))-(8742/(I936+459.6))+15.64),EXP(INDEX(Antoines,MATCH(I928,Antoine_Name,0),2)-INDEX(Antoines,MATCH(I928,Antoine_Name,0),3)/(I936+459.6))))),0)</f>
        <v>0</v>
      </c>
      <c r="J949" cm="1">
        <f t="array" ref="J949">IFERROR(IF(J929="Chemical",(10^(INDEX(Antoines,MATCH(J928,Antoine_Name,0),2)-INDEX(Antoines,MATCH(J928,Antoine_Name,0),3)/(INDEX(Antoines,MATCH(J928,Antoine_Name,0),4)+(J936-32)*5/9)))*14.7/760,IF(J929="Crude Oil",EXP((2799/(J936+459.6)-2.227)*LOG10(INDEX(FX_Input,W$5,J$3*$Z$5+$AA$5))-(7261/(J936+459.6))+12.82),IF(J929="Refined Petroleum Stock",EXP((0.7553-(413/(J936+459.6)))*(INDEX(FX_Input,W$5,J$3*$Z$5+$AA$5-1)^0.5)*LOG10(INDEX(FX_Input,W$5,J$3*$Z$5+$AA$5))-(1.854-(1042/(J936+459.6)))*(INDEX(FX_Input,W$5,J$3*$Z$5+$AA$5-1)^0.5)+((2416/(J936+459.6)-2.013)*LOG10(INDEX(FX_Input,W$5,J$3*$Z$5+$AA$5)))-(8742/(J936+459.6))+15.64),EXP(INDEX(Antoines,MATCH(J928,Antoine_Name,0),2)-INDEX(Antoines,MATCH(J928,Antoine_Name,0),3)/(J936+459.6))))),0)</f>
        <v>0</v>
      </c>
      <c r="K949" cm="1">
        <f t="array" ref="K949">IFERROR(IF(K929="Chemical",(10^(INDEX(Antoines,MATCH(K928,Antoine_Name,0),2)-INDEX(Antoines,MATCH(K928,Antoine_Name,0),3)/(INDEX(Antoines,MATCH(K928,Antoine_Name,0),4)+(K936-32)*5/9)))*14.7/760,IF(K929="Crude Oil",EXP((2799/(K936+459.6)-2.227)*LOG10(INDEX(FX_Input,X$5,K$3*$Z$5+$AA$5))-(7261/(K936+459.6))+12.82),IF(K929="Refined Petroleum Stock",EXP((0.7553-(413/(K936+459.6)))*(INDEX(FX_Input,X$5,K$3*$Z$5+$AA$5-1)^0.5)*LOG10(INDEX(FX_Input,X$5,K$3*$Z$5+$AA$5))-(1.854-(1042/(K936+459.6)))*(INDEX(FX_Input,X$5,K$3*$Z$5+$AA$5-1)^0.5)+((2416/(K936+459.6)-2.013)*LOG10(INDEX(FX_Input,X$5,K$3*$Z$5+$AA$5)))-(8742/(K936+459.6))+15.64),EXP(INDEX(Antoines,MATCH(K928,Antoine_Name,0),2)-INDEX(Antoines,MATCH(K928,Antoine_Name,0),3)/(K936+459.6))))),0)</f>
        <v>0</v>
      </c>
      <c r="L949" cm="1">
        <f t="array" ref="L949">IFERROR(IF(L929="Chemical",(10^(INDEX(Antoines,MATCH(L928,Antoine_Name,0),2)-INDEX(Antoines,MATCH(L928,Antoine_Name,0),3)/(INDEX(Antoines,MATCH(L928,Antoine_Name,0),4)+(L936-32)*5/9)))*14.7/760,IF(L929="Crude Oil",EXP((2799/(L936+459.6)-2.227)*LOG10(INDEX(FX_Input,Y$5,L$3*$Z$5+$AA$5))-(7261/(L936+459.6))+12.82),IF(L929="Refined Petroleum Stock",EXP((0.7553-(413/(L936+459.6)))*(INDEX(FX_Input,Y$5,L$3*$Z$5+$AA$5-1)^0.5)*LOG10(INDEX(FX_Input,Y$5,L$3*$Z$5+$AA$5))-(1.854-(1042/(L936+459.6)))*(INDEX(FX_Input,Y$5,L$3*$Z$5+$AA$5-1)^0.5)+((2416/(L936+459.6)-2.013)*LOG10(INDEX(FX_Input,Y$5,L$3*$Z$5+$AA$5)))-(8742/(L936+459.6))+15.64),EXP(INDEX(Antoines,MATCH(L928,Antoine_Name,0),2)-INDEX(Antoines,MATCH(L928,Antoine_Name,0),3)/(L936+459.6))))),0)</f>
        <v>0</v>
      </c>
      <c r="M949" cm="1">
        <f t="array" ref="M949">IFERROR(IF(M929="Chemical",(10^(INDEX(Antoines,MATCH(M928,Antoine_Name,0),2)-INDEX(Antoines,MATCH(M928,Antoine_Name,0),3)/(INDEX(Antoines,MATCH(M928,Antoine_Name,0),4)+(M936-32)*5/9)))*14.7/760,IF(M929="Crude Oil",EXP((2799/(M936+459.6)-2.227)*LOG10(INDEX(FX_Input,Z$5,M$3*$Z$5+$AA$5))-(7261/(M936+459.6))+12.82),IF(M929="Refined Petroleum Stock",EXP((0.7553-(413/(M936+459.6)))*(INDEX(FX_Input,Z$5,M$3*$Z$5+$AA$5-1)^0.5)*LOG10(INDEX(FX_Input,Z$5,M$3*$Z$5+$AA$5))-(1.854-(1042/(M936+459.6)))*(INDEX(FX_Input,Z$5,M$3*$Z$5+$AA$5-1)^0.5)+((2416/(M936+459.6)-2.013)*LOG10(INDEX(FX_Input,Z$5,M$3*$Z$5+$AA$5)))-(8742/(M936+459.6))+15.64),EXP(INDEX(Antoines,MATCH(M928,Antoine_Name,0),2)-INDEX(Antoines,MATCH(M928,Antoine_Name,0),3)/(M936+459.6))))),0)</f>
        <v>0</v>
      </c>
      <c r="N949" cm="1">
        <f t="array" ref="N949">IFERROR(IF(N929="Chemical",(10^(INDEX(Antoines,MATCH(N928,Antoine_Name,0),2)-INDEX(Antoines,MATCH(N928,Antoine_Name,0),3)/(INDEX(Antoines,MATCH(N928,Antoine_Name,0),4)+(N936-32)*5/9)))*14.7/760,IF(N929="Crude Oil",EXP((2799/(N936+459.6)-2.227)*LOG10(INDEX(FX_Input,AA$5,N$3*$Z$5+$AA$5))-(7261/(N936+459.6))+12.82),IF(N929="Refined Petroleum Stock",EXP((0.7553-(413/(N936+459.6)))*(INDEX(FX_Input,AA$5,N$3*$Z$5+$AA$5-1)^0.5)*LOG10(INDEX(FX_Input,AA$5,N$3*$Z$5+$AA$5))-(1.854-(1042/(N936+459.6)))*(INDEX(FX_Input,AA$5,N$3*$Z$5+$AA$5-1)^0.5)+((2416/(N936+459.6)-2.013)*LOG10(INDEX(FX_Input,AA$5,N$3*$Z$5+$AA$5)))-(8742/(N936+459.6))+15.64),EXP(INDEX(Antoines,MATCH(N928,Antoine_Name,0),2)-INDEX(Antoines,MATCH(N928,Antoine_Name,0),3)/(N936+459.6))))),0)</f>
        <v>0</v>
      </c>
      <c r="O949" cm="1">
        <f t="array" ref="O949">IFERROR(IF(O929="Chemical",(10^(INDEX(Antoines,MATCH(O928,Antoine_Name,0),2)-INDEX(Antoines,MATCH(O928,Antoine_Name,0),3)/(INDEX(Antoines,MATCH(O928,Antoine_Name,0),4)+(O936-32)*5/9)))*14.7/760,IF(O929="Crude Oil",EXP((2799/(O936+459.6)-2.227)*LOG10(INDEX(FX_Input,AB$5,O$3*$Z$5+$AA$5))-(7261/(O936+459.6))+12.82),IF(O929="Refined Petroleum Stock",EXP((0.7553-(413/(O936+459.6)))*(INDEX(FX_Input,AB$5,O$3*$Z$5+$AA$5-1)^0.5)*LOG10(INDEX(FX_Input,AB$5,O$3*$Z$5+$AA$5))-(1.854-(1042/(O936+459.6)))*(INDEX(FX_Input,AB$5,O$3*$Z$5+$AA$5-1)^0.5)+((2416/(O936+459.6)-2.013)*LOG10(INDEX(FX_Input,AB$5,O$3*$Z$5+$AA$5)))-(8742/(O936+459.6))+15.64),EXP(INDEX(Antoines,MATCH(O928,Antoine_Name,0),2)-INDEX(Antoines,MATCH(O928,Antoine_Name,0),3)/(O936+459.6))))),0)</f>
        <v>0</v>
      </c>
    </row>
    <row r="950" spans="1:32" ht="17.149999999999999" x14ac:dyDescent="0.55000000000000004">
      <c r="B950" t="str">
        <f t="shared" si="3348"/>
        <v>Portland</v>
      </c>
      <c r="C950" t="s">
        <v>1391</v>
      </c>
      <c r="D950">
        <f>D949*D932</f>
        <v>0</v>
      </c>
      <c r="E950">
        <f t="shared" ref="E950" si="3426">E949*E932</f>
        <v>0</v>
      </c>
      <c r="F950">
        <f t="shared" ref="F950" si="3427">F949*F932</f>
        <v>0</v>
      </c>
      <c r="G950">
        <f t="shared" ref="G950" si="3428">G949*G932</f>
        <v>0</v>
      </c>
      <c r="H950">
        <f t="shared" ref="H950" si="3429">H949*H932</f>
        <v>0</v>
      </c>
      <c r="I950">
        <f t="shared" ref="I950" si="3430">I949*I932</f>
        <v>0</v>
      </c>
      <c r="J950">
        <f t="shared" ref="J950" si="3431">J949*J932</f>
        <v>0</v>
      </c>
      <c r="K950">
        <f t="shared" ref="K950" si="3432">K949*K932</f>
        <v>0</v>
      </c>
      <c r="L950">
        <f t="shared" ref="L950" si="3433">L949*L932</f>
        <v>0</v>
      </c>
      <c r="M950">
        <f t="shared" ref="M950" si="3434">M949*M932</f>
        <v>0</v>
      </c>
      <c r="N950">
        <f t="shared" ref="N950" si="3435">N949*N932</f>
        <v>0</v>
      </c>
      <c r="O950">
        <f t="shared" ref="O950" si="3436">O949*O932</f>
        <v>0</v>
      </c>
    </row>
    <row r="951" spans="1:32" ht="17.149999999999999" x14ac:dyDescent="0.55000000000000004">
      <c r="B951" t="str">
        <f t="shared" si="3348"/>
        <v>Portland</v>
      </c>
      <c r="C951" t="s">
        <v>1392</v>
      </c>
      <c r="D951">
        <f>D948+D950</f>
        <v>1</v>
      </c>
      <c r="E951">
        <f t="shared" ref="E951" si="3437">E948+E950</f>
        <v>1</v>
      </c>
      <c r="F951">
        <f t="shared" ref="F951" si="3438">F948+F950</f>
        <v>1</v>
      </c>
      <c r="G951">
        <f t="shared" ref="G951" si="3439">G948+G950</f>
        <v>1</v>
      </c>
      <c r="H951">
        <f t="shared" ref="H951" si="3440">H948+H950</f>
        <v>1</v>
      </c>
      <c r="I951">
        <f t="shared" ref="I951" si="3441">I948+I950</f>
        <v>1</v>
      </c>
      <c r="J951">
        <f t="shared" ref="J951" si="3442">J948+J950</f>
        <v>1</v>
      </c>
      <c r="K951">
        <f t="shared" ref="K951" si="3443">K948+K950</f>
        <v>1</v>
      </c>
      <c r="L951">
        <f t="shared" ref="L951" si="3444">L948+L950</f>
        <v>1</v>
      </c>
      <c r="M951">
        <f t="shared" ref="M951" si="3445">M948+M950</f>
        <v>1</v>
      </c>
      <c r="N951">
        <f t="shared" ref="N951" si="3446">N948+N950</f>
        <v>1</v>
      </c>
      <c r="O951">
        <f t="shared" ref="O951" si="3447">O948+O950</f>
        <v>1</v>
      </c>
    </row>
    <row r="952" spans="1:32" ht="17.149999999999999" x14ac:dyDescent="0.55000000000000004">
      <c r="B952" t="str">
        <f>B946</f>
        <v>Portland</v>
      </c>
      <c r="C952" t="s">
        <v>584</v>
      </c>
      <c r="D952">
        <f>D948/D951</f>
        <v>1</v>
      </c>
      <c r="E952">
        <f t="shared" ref="E952" si="3448">E948/E951</f>
        <v>1</v>
      </c>
      <c r="F952">
        <f t="shared" ref="F952" si="3449">F948/F951</f>
        <v>1</v>
      </c>
      <c r="G952">
        <f t="shared" ref="G952" si="3450">G948/G951</f>
        <v>1</v>
      </c>
      <c r="H952">
        <f t="shared" ref="H952" si="3451">H948/H951</f>
        <v>1</v>
      </c>
      <c r="I952">
        <f t="shared" ref="I952" si="3452">I948/I951</f>
        <v>1</v>
      </c>
      <c r="J952">
        <f t="shared" ref="J952" si="3453">J948/J951</f>
        <v>1</v>
      </c>
      <c r="K952">
        <f t="shared" ref="K952" si="3454">K948/K951</f>
        <v>1</v>
      </c>
      <c r="L952">
        <f t="shared" ref="L952" si="3455">L948/L951</f>
        <v>1</v>
      </c>
      <c r="M952">
        <f t="shared" ref="M952" si="3456">M948/M951</f>
        <v>1</v>
      </c>
      <c r="N952">
        <f t="shared" ref="N952" si="3457">N948/N951</f>
        <v>1</v>
      </c>
      <c r="O952">
        <f t="shared" ref="O952" si="3458">O948/O951</f>
        <v>1</v>
      </c>
    </row>
    <row r="953" spans="1:32" ht="17.149999999999999" x14ac:dyDescent="0.55000000000000004">
      <c r="B953" t="str">
        <f>B947</f>
        <v>Portland</v>
      </c>
      <c r="C953" t="s">
        <v>585</v>
      </c>
      <c r="D953" t="str">
        <f t="shared" ref="D953:O953" si="3459">INDEX(Phys_Prop,MATCH(D926,Chem_List,0),3)</f>
        <v>N/A</v>
      </c>
      <c r="E953" t="str">
        <f t="shared" si="3459"/>
        <v>N/A</v>
      </c>
      <c r="F953" t="str">
        <f t="shared" si="3459"/>
        <v>N/A</v>
      </c>
      <c r="G953" t="str">
        <f t="shared" si="3459"/>
        <v>N/A</v>
      </c>
      <c r="H953" t="str">
        <f t="shared" si="3459"/>
        <v>N/A</v>
      </c>
      <c r="I953" t="str">
        <f t="shared" si="3459"/>
        <v>N/A</v>
      </c>
      <c r="J953" t="str">
        <f t="shared" si="3459"/>
        <v>N/A</v>
      </c>
      <c r="K953" t="str">
        <f t="shared" si="3459"/>
        <v>N/A</v>
      </c>
      <c r="L953" t="str">
        <f t="shared" si="3459"/>
        <v>N/A</v>
      </c>
      <c r="M953" t="str">
        <f t="shared" si="3459"/>
        <v>N/A</v>
      </c>
      <c r="N953" t="str">
        <f t="shared" si="3459"/>
        <v>N/A</v>
      </c>
      <c r="O953" t="str">
        <f t="shared" si="3459"/>
        <v>N/A</v>
      </c>
    </row>
    <row r="954" spans="1:32" ht="17.149999999999999" x14ac:dyDescent="0.55000000000000004">
      <c r="B954" t="str">
        <f>B953</f>
        <v>Portland</v>
      </c>
      <c r="C954" t="s">
        <v>586</v>
      </c>
      <c r="D954">
        <f>D950/D951</f>
        <v>0</v>
      </c>
      <c r="E954">
        <f t="shared" ref="E954:O954" si="3460">E950/E951</f>
        <v>0</v>
      </c>
      <c r="F954">
        <f t="shared" si="3460"/>
        <v>0</v>
      </c>
      <c r="G954">
        <f t="shared" si="3460"/>
        <v>0</v>
      </c>
      <c r="H954">
        <f t="shared" si="3460"/>
        <v>0</v>
      </c>
      <c r="I954">
        <f t="shared" si="3460"/>
        <v>0</v>
      </c>
      <c r="J954">
        <f t="shared" si="3460"/>
        <v>0</v>
      </c>
      <c r="K954">
        <f t="shared" si="3460"/>
        <v>0</v>
      </c>
      <c r="L954">
        <f t="shared" si="3460"/>
        <v>0</v>
      </c>
      <c r="M954">
        <f t="shared" si="3460"/>
        <v>0</v>
      </c>
      <c r="N954">
        <f t="shared" si="3460"/>
        <v>0</v>
      </c>
      <c r="O954">
        <f t="shared" si="3460"/>
        <v>0</v>
      </c>
    </row>
    <row r="955" spans="1:32" ht="17.149999999999999" x14ac:dyDescent="0.55000000000000004">
      <c r="B955" t="str">
        <f t="shared" si="3348"/>
        <v>Portland</v>
      </c>
      <c r="C955" t="s">
        <v>587</v>
      </c>
      <c r="D955">
        <f t="shared" ref="D955:O955" si="3461">IFERROR(INDEX(Phys_Prop,MATCH(D928,Chem_List,0),3),0)</f>
        <v>0</v>
      </c>
      <c r="E955">
        <f t="shared" si="3461"/>
        <v>0</v>
      </c>
      <c r="F955">
        <f t="shared" si="3461"/>
        <v>0</v>
      </c>
      <c r="G955">
        <f t="shared" si="3461"/>
        <v>0</v>
      </c>
      <c r="H955">
        <f t="shared" si="3461"/>
        <v>0</v>
      </c>
      <c r="I955">
        <f t="shared" si="3461"/>
        <v>0</v>
      </c>
      <c r="J955">
        <f t="shared" si="3461"/>
        <v>0</v>
      </c>
      <c r="K955">
        <f t="shared" si="3461"/>
        <v>0</v>
      </c>
      <c r="L955">
        <f t="shared" si="3461"/>
        <v>0</v>
      </c>
      <c r="M955">
        <f t="shared" si="3461"/>
        <v>0</v>
      </c>
      <c r="N955">
        <f t="shared" si="3461"/>
        <v>0</v>
      </c>
      <c r="O955">
        <f t="shared" si="3461"/>
        <v>0</v>
      </c>
    </row>
    <row r="956" spans="1:32" ht="17.149999999999999" x14ac:dyDescent="0.55000000000000004">
      <c r="A956" s="11"/>
      <c r="B956" s="11" t="str">
        <f t="shared" si="3348"/>
        <v>Portland</v>
      </c>
      <c r="C956" s="11" t="s">
        <v>588</v>
      </c>
      <c r="D956" s="11">
        <f>IFERROR(D952*D953+D954*D955,0)</f>
        <v>0</v>
      </c>
      <c r="E956" s="11">
        <f t="shared" ref="E956" si="3462">IFERROR(E952*E953+E954*E955,0)</f>
        <v>0</v>
      </c>
      <c r="F956" s="11">
        <f t="shared" ref="F956" si="3463">IFERROR(F952*F953+F954*F955,0)</f>
        <v>0</v>
      </c>
      <c r="G956" s="11">
        <f t="shared" ref="G956" si="3464">IFERROR(G952*G953+G954*G955,0)</f>
        <v>0</v>
      </c>
      <c r="H956" s="11">
        <f t="shared" ref="H956" si="3465">IFERROR(H952*H953+H954*H955,0)</f>
        <v>0</v>
      </c>
      <c r="I956" s="11">
        <f t="shared" ref="I956" si="3466">IFERROR(I952*I953+I954*I955,0)</f>
        <v>0</v>
      </c>
      <c r="J956" s="11">
        <f t="shared" ref="J956" si="3467">IFERROR(J952*J953+J954*J955,0)</f>
        <v>0</v>
      </c>
      <c r="K956" s="11">
        <f t="shared" ref="K956" si="3468">IFERROR(K952*K953+K954*K955,0)</f>
        <v>0</v>
      </c>
      <c r="L956" s="11">
        <f t="shared" ref="L956" si="3469">IFERROR(L952*L953+L954*L955,0)</f>
        <v>0</v>
      </c>
      <c r="M956" s="11">
        <f t="shared" ref="M956" si="3470">IFERROR(M952*M953+M954*M955,0)</f>
        <v>0</v>
      </c>
      <c r="N956" s="11">
        <f t="shared" ref="N956" si="3471">IFERROR(N952*N953+N954*N955,0)</f>
        <v>0</v>
      </c>
      <c r="O956" s="11">
        <f t="shared" ref="O956" si="3472">IFERROR(O952*O953+O954*O955,0)</f>
        <v>0</v>
      </c>
      <c r="P956" s="11"/>
      <c r="Q956" s="11"/>
      <c r="R956" s="11"/>
      <c r="S956" s="11"/>
      <c r="T956" s="11"/>
      <c r="U956" s="11"/>
      <c r="V956" s="11"/>
      <c r="W956" s="11"/>
      <c r="X956" s="11"/>
      <c r="Y956" s="11"/>
      <c r="Z956" s="11"/>
      <c r="AA956" s="11"/>
      <c r="AB956" s="11"/>
      <c r="AC956" s="11"/>
      <c r="AD956" s="11"/>
      <c r="AE956" s="11"/>
      <c r="AF956" s="11"/>
    </row>
    <row r="957" spans="1:32" ht="17.149999999999999" x14ac:dyDescent="0.55000000000000004">
      <c r="A957" t="str" cm="1">
        <f t="array" ref="A957">INDEX(FX_Input,$Q957,R$5)</f>
        <v>FX - 29</v>
      </c>
      <c r="B957" t="str" cm="1">
        <f t="array" ref="B957">INDEX(FX_Input,Q957,S957)</f>
        <v>Portland</v>
      </c>
      <c r="C957" t="s">
        <v>563</v>
      </c>
      <c r="D957">
        <v>14.7</v>
      </c>
      <c r="E957">
        <v>14.7</v>
      </c>
      <c r="F957">
        <v>14.7</v>
      </c>
      <c r="G957">
        <v>14.7</v>
      </c>
      <c r="H957">
        <v>14.7</v>
      </c>
      <c r="I957">
        <v>14.7</v>
      </c>
      <c r="J957">
        <v>14.7</v>
      </c>
      <c r="K957">
        <v>14.7</v>
      </c>
      <c r="L957">
        <v>14.7</v>
      </c>
      <c r="M957">
        <v>14.7</v>
      </c>
      <c r="N957">
        <v>14.7</v>
      </c>
      <c r="O957">
        <v>14.7</v>
      </c>
      <c r="Q957">
        <f>Q923+2</f>
        <v>57</v>
      </c>
      <c r="R957">
        <v>1</v>
      </c>
      <c r="S957">
        <v>3</v>
      </c>
      <c r="T957">
        <v>1</v>
      </c>
      <c r="U957">
        <v>19</v>
      </c>
      <c r="V957">
        <v>20</v>
      </c>
      <c r="W957">
        <v>25</v>
      </c>
      <c r="X957">
        <v>1</v>
      </c>
      <c r="Y957">
        <v>2</v>
      </c>
      <c r="Z957">
        <f>(W957-V957)/(Y957-X957)</f>
        <v>5</v>
      </c>
      <c r="AA957">
        <f>V957-Z957*X957</f>
        <v>15</v>
      </c>
      <c r="AD957">
        <f>AD923+14</f>
        <v>393</v>
      </c>
      <c r="AF957">
        <f>AF923+14</f>
        <v>393</v>
      </c>
    </row>
    <row r="958" spans="1:32" ht="17.149999999999999" x14ac:dyDescent="0.55000000000000004">
      <c r="B958" t="str">
        <f t="shared" ref="B958" si="3473">B957</f>
        <v>Portland</v>
      </c>
      <c r="C958" t="s">
        <v>564</v>
      </c>
      <c r="D958" cm="1">
        <f t="array" ref="D958">IF(ISBLANK(INDEX(FX_Input,$Q957,$AB958)),0.03,INDEX(FX_Input,Q957,AB958))</f>
        <v>0.03</v>
      </c>
      <c r="E958" cm="1">
        <f t="array" ref="E958">IF(ISBLANK(INDEX(FX_Input,$Q957,$AB958)),0.03,INDEX(FX_Input,R957,#REF!))</f>
        <v>0.03</v>
      </c>
      <c r="F958" cm="1">
        <f t="array" ref="F958">IF(ISBLANK(INDEX(FX_Input,$Q957,$AB958)),0.03,INDEX(FX_Input,S957,#REF!))</f>
        <v>0.03</v>
      </c>
      <c r="G958" cm="1">
        <f t="array" ref="G958">IF(ISBLANK(INDEX(FX_Input,$Q957,$AB958)),0.03,INDEX(FX_Input,AB957,#REF!))</f>
        <v>0.03</v>
      </c>
      <c r="H958" cm="1">
        <f t="array" ref="H958">IF(ISBLANK(INDEX(FX_Input,$Q957,$AB958)),0.03,INDEX(FX_Input,#REF!,#REF!))</f>
        <v>0.03</v>
      </c>
      <c r="I958" cm="1">
        <f t="array" ref="I958">IF(ISBLANK(INDEX(FX_Input,$Q957,$AB958)),0.03,INDEX(FX_Input,#REF!,#REF!))</f>
        <v>0.03</v>
      </c>
      <c r="J958" cm="1">
        <f t="array" ref="J958">IF(ISBLANK(INDEX(FX_Input,$Q957,$AB958)),0.03,INDEX(FX_Input,#REF!,#REF!))</f>
        <v>0.03</v>
      </c>
      <c r="K958" cm="1">
        <f t="array" ref="K958">IF(ISBLANK(INDEX(FX_Input,$Q957,$AB958)),0.03,INDEX(FX_Input,#REF!,AC958))</f>
        <v>0.03</v>
      </c>
      <c r="L958" cm="1">
        <f t="array" ref="L958">IF(ISBLANK(INDEX(FX_Input,$Q957,$AB958)),0.03,INDEX(FX_Input,#REF!,AD958))</f>
        <v>0.03</v>
      </c>
      <c r="M958" cm="1">
        <f t="array" ref="M958">IF(ISBLANK(INDEX(FX_Input,$Q957,$AB958)),0.03,INDEX(FX_Input,#REF!,#REF!))</f>
        <v>0.03</v>
      </c>
      <c r="N958" cm="1">
        <f t="array" ref="N958">IF(ISBLANK(INDEX(FX_Input,$Q957,$AB958)),0.03,INDEX(FX_Input,AC957,#REF!))</f>
        <v>0.03</v>
      </c>
      <c r="O958" cm="1">
        <f t="array" ref="O958">IF(ISBLANK(INDEX(FX_Input,$Q957,$AB958)),0.03,INDEX(FX_Input,AD957,#REF!))</f>
        <v>0.03</v>
      </c>
      <c r="AB958">
        <v>15</v>
      </c>
    </row>
    <row r="959" spans="1:32" ht="17.149999999999999" x14ac:dyDescent="0.55000000000000004">
      <c r="B959" t="str">
        <f>B958</f>
        <v>Portland</v>
      </c>
      <c r="C959" t="s">
        <v>565</v>
      </c>
      <c r="D959" cm="1">
        <f t="array" ref="D959">IF(ISBLANK(INDEX(FX_Input,$Q957,$AB959)),-0.03,INDEX(FX_Input,$Q957,$AB959))</f>
        <v>-0.03</v>
      </c>
      <c r="E959" cm="1">
        <f t="array" ref="E959">IF(ISBLANK(INDEX(FX_Input,$Q957,$AB959)),-0.03,INDEX(FX_Input,R957,#REF!))</f>
        <v>-0.03</v>
      </c>
      <c r="F959" cm="1">
        <f t="array" ref="F959">IF(ISBLANK(INDEX(FX_Input,$Q957,$AB959)),-0.03,INDEX(FX_Input,S957,#REF!))</f>
        <v>-0.03</v>
      </c>
      <c r="G959" cm="1">
        <f t="array" ref="G959">IF(ISBLANK(INDEX(FX_Input,$Q957,$AB959)),-0.03,INDEX(FX_Input,AB957,#REF!))</f>
        <v>-0.03</v>
      </c>
      <c r="H959" cm="1">
        <f t="array" ref="H959">IF(ISBLANK(INDEX(FX_Input,$Q957,$AB959)),-0.03,INDEX(FX_Input,#REF!,#REF!))</f>
        <v>-0.03</v>
      </c>
      <c r="I959" cm="1">
        <f t="array" ref="I959">IF(ISBLANK(INDEX(FX_Input,$Q957,$AB959)),-0.03,INDEX(FX_Input,#REF!,#REF!))</f>
        <v>-0.03</v>
      </c>
      <c r="J959" cm="1">
        <f t="array" ref="J959">IF(ISBLANK(INDEX(FX_Input,$Q957,$AB959)),-0.03,INDEX(FX_Input,#REF!,#REF!))</f>
        <v>-0.03</v>
      </c>
      <c r="K959" cm="1">
        <f t="array" ref="K959">IF(ISBLANK(INDEX(FX_Input,$Q957,$AB959)),-0.03,INDEX(FX_Input,#REF!,AC959))</f>
        <v>-0.03</v>
      </c>
      <c r="L959" cm="1">
        <f t="array" ref="L959">IF(ISBLANK(INDEX(FX_Input,$Q957,$AB959)),-0.03,INDEX(FX_Input,#REF!,AD959))</f>
        <v>-0.03</v>
      </c>
      <c r="M959" cm="1">
        <f t="array" ref="M959">IF(ISBLANK(INDEX(FX_Input,$Q957,$AB959)),-0.03,INDEX(FX_Input,#REF!,#REF!))</f>
        <v>-0.03</v>
      </c>
      <c r="N959" cm="1">
        <f t="array" ref="N959">IF(ISBLANK(INDEX(FX_Input,$Q957,$AB959)),-0.03,INDEX(FX_Input,AC957,#REF!))</f>
        <v>-0.03</v>
      </c>
      <c r="O959" cm="1">
        <f t="array" ref="O959">IF(ISBLANK(INDEX(FX_Input,$Q957,$AB959)),-0.03,INDEX(FX_Input,AD957,#REF!))</f>
        <v>-0.03</v>
      </c>
      <c r="AB959">
        <v>16</v>
      </c>
    </row>
    <row r="960" spans="1:32" x14ac:dyDescent="0.4">
      <c r="B960" t="str">
        <f t="shared" ref="B960:B961" si="3474">B959</f>
        <v>Portland</v>
      </c>
      <c r="C960" s="66" t="s">
        <v>567</v>
      </c>
      <c r="D960" t="str" cm="1">
        <f t="array" ref="D960">INDEX(FX_Multi,$AD960,D$3)</f>
        <v>Out of Service</v>
      </c>
      <c r="E960" t="str" cm="1">
        <f t="array" ref="E960">INDEX(FX_Multi,$AD960,E$3)</f>
        <v>Out of Service</v>
      </c>
      <c r="F960" t="str" cm="1">
        <f t="array" ref="F960">INDEX(FX_Multi,$AD960,F$3)</f>
        <v>Out of Service</v>
      </c>
      <c r="G960" t="str" cm="1">
        <f t="array" ref="G960">INDEX(FX_Multi,$AD960,G$3)</f>
        <v>Out of Service</v>
      </c>
      <c r="H960" t="str" cm="1">
        <f t="array" ref="H960">INDEX(FX_Multi,$AD960,H$3)</f>
        <v>Out of Service</v>
      </c>
      <c r="I960" t="str" cm="1">
        <f t="array" ref="I960">INDEX(FX_Multi,$AD960,I$3)</f>
        <v>Out of Service</v>
      </c>
      <c r="J960" t="str" cm="1">
        <f t="array" ref="J960">INDEX(FX_Multi,$AD960,J$3)</f>
        <v>Out of Service</v>
      </c>
      <c r="K960" t="str" cm="1">
        <f t="array" ref="K960">INDEX(FX_Multi,$AD960,K$3)</f>
        <v>Out of Service</v>
      </c>
      <c r="L960" t="str" cm="1">
        <f t="array" ref="L960">INDEX(FX_Multi,$AD960,L$3)</f>
        <v>Out of Service</v>
      </c>
      <c r="M960" t="str" cm="1">
        <f t="array" ref="M960">INDEX(FX_Multi,$AD960,M$3)</f>
        <v>Out of Service</v>
      </c>
      <c r="N960" t="str" cm="1">
        <f t="array" ref="N960">INDEX(FX_Multi,$AD960,N$3)</f>
        <v>Out of Service</v>
      </c>
      <c r="O960" t="str" cm="1">
        <f t="array" ref="O960">INDEX(FX_Multi,$AD960,O$3)</f>
        <v>Out of Service</v>
      </c>
      <c r="AC960">
        <v>1</v>
      </c>
      <c r="AD960">
        <f>AD957</f>
        <v>393</v>
      </c>
      <c r="AE960">
        <v>1</v>
      </c>
      <c r="AF960">
        <f>AF957</f>
        <v>393</v>
      </c>
    </row>
    <row r="961" spans="2:32" x14ac:dyDescent="0.4">
      <c r="B961" t="str">
        <f t="shared" si="3474"/>
        <v>Portland</v>
      </c>
      <c r="C961" s="66" t="s">
        <v>566</v>
      </c>
      <c r="D961" t="str" cm="1">
        <f t="array" ref="D961">INDEX(FX_Multi,$AD961,D$3)</f>
        <v>N/A</v>
      </c>
      <c r="E961" t="str" cm="1">
        <f t="array" ref="E961">INDEX(FX_Multi,$AD961,E$3)</f>
        <v>N/A</v>
      </c>
      <c r="F961" t="str" cm="1">
        <f t="array" ref="F961">INDEX(FX_Multi,$AD961,F$3)</f>
        <v>N/A</v>
      </c>
      <c r="G961" t="str" cm="1">
        <f t="array" ref="G961">INDEX(FX_Multi,$AD961,G$3)</f>
        <v>N/A</v>
      </c>
      <c r="H961" t="str" cm="1">
        <f t="array" ref="H961">INDEX(FX_Multi,$AD961,H$3)</f>
        <v>N/A</v>
      </c>
      <c r="I961" t="str" cm="1">
        <f t="array" ref="I961">INDEX(FX_Multi,$AD961,I$3)</f>
        <v>N/A</v>
      </c>
      <c r="J961" t="str" cm="1">
        <f t="array" ref="J961">INDEX(FX_Multi,$AD961,J$3)</f>
        <v>N/A</v>
      </c>
      <c r="K961" t="str" cm="1">
        <f t="array" ref="K961">INDEX(FX_Multi,$AD961,K$3)</f>
        <v>N/A</v>
      </c>
      <c r="L961" t="str" cm="1">
        <f t="array" ref="L961">INDEX(FX_Multi,$AD961,L$3)</f>
        <v>N/A</v>
      </c>
      <c r="M961" t="str" cm="1">
        <f t="array" ref="M961">INDEX(FX_Multi,$AD961,M$3)</f>
        <v>N/A</v>
      </c>
      <c r="N961" t="str" cm="1">
        <f t="array" ref="N961">INDEX(FX_Multi,$AD961,N$3)</f>
        <v>N/A</v>
      </c>
      <c r="O961" t="str" cm="1">
        <f t="array" ref="O961">INDEX(FX_Multi,$AD961,O$3)</f>
        <v>N/A</v>
      </c>
      <c r="AC961">
        <v>1</v>
      </c>
      <c r="AD961">
        <f>AD960+2</f>
        <v>395</v>
      </c>
      <c r="AE961">
        <v>1</v>
      </c>
      <c r="AF961">
        <f>AF960+3</f>
        <v>396</v>
      </c>
    </row>
    <row r="962" spans="2:32" x14ac:dyDescent="0.4">
      <c r="B962" t="str">
        <f>B958</f>
        <v>Portland</v>
      </c>
      <c r="C962" s="66" t="s">
        <v>568</v>
      </c>
      <c r="D962" cm="1">
        <f t="array" ref="D962">INDEX(FX_Multi,$AD962,D$3)</f>
        <v>0</v>
      </c>
      <c r="E962" cm="1">
        <f t="array" ref="E962">INDEX(FX_Multi,$AD962,E$3)</f>
        <v>0</v>
      </c>
      <c r="F962" cm="1">
        <f t="array" ref="F962">INDEX(FX_Multi,$AD962,F$3)</f>
        <v>0</v>
      </c>
      <c r="G962" cm="1">
        <f t="array" ref="G962">INDEX(FX_Multi,$AD962,G$3)</f>
        <v>0</v>
      </c>
      <c r="H962" cm="1">
        <f t="array" ref="H962">INDEX(FX_Multi,$AD962,H$3)</f>
        <v>0</v>
      </c>
      <c r="I962" cm="1">
        <f t="array" ref="I962">INDEX(FX_Multi,$AD962,I$3)</f>
        <v>0</v>
      </c>
      <c r="J962" cm="1">
        <f t="array" ref="J962">INDEX(FX_Multi,$AD962,J$3)</f>
        <v>0</v>
      </c>
      <c r="K962" cm="1">
        <f t="array" ref="K962">INDEX(FX_Multi,$AD962,K$3)</f>
        <v>0</v>
      </c>
      <c r="L962" cm="1">
        <f t="array" ref="L962">INDEX(FX_Multi,$AD962,L$3)</f>
        <v>0</v>
      </c>
      <c r="M962" cm="1">
        <f t="array" ref="M962">INDEX(FX_Multi,$AD962,M$3)</f>
        <v>0</v>
      </c>
      <c r="N962" cm="1">
        <f t="array" ref="N962">INDEX(FX_Multi,$AD962,N$3)</f>
        <v>0</v>
      </c>
      <c r="O962" cm="1">
        <f t="array" ref="O962">INDEX(FX_Multi,$AD962,O$3)</f>
        <v>0</v>
      </c>
      <c r="AC962">
        <v>1</v>
      </c>
      <c r="AD962">
        <f>AD961-1</f>
        <v>394</v>
      </c>
      <c r="AE962">
        <v>1</v>
      </c>
      <c r="AF962">
        <f>AF960+1</f>
        <v>394</v>
      </c>
    </row>
    <row r="963" spans="2:32" x14ac:dyDescent="0.4">
      <c r="B963" t="str">
        <f t="shared" ref="B963:B967" si="3475">B962</f>
        <v>Portland</v>
      </c>
      <c r="C963" s="66" t="s">
        <v>569</v>
      </c>
      <c r="D963" cm="1">
        <f t="array" ref="D963">INDEX(FX_Multi,$AD963,D$3)</f>
        <v>0</v>
      </c>
      <c r="E963" cm="1">
        <f t="array" ref="E963">INDEX(FX_Multi,$AD963,E$3)</f>
        <v>0</v>
      </c>
      <c r="F963" cm="1">
        <f t="array" ref="F963">INDEX(FX_Multi,$AD963,F$3)</f>
        <v>0</v>
      </c>
      <c r="G963" cm="1">
        <f t="array" ref="G963">INDEX(FX_Multi,$AD963,G$3)</f>
        <v>0</v>
      </c>
      <c r="H963" cm="1">
        <f t="array" ref="H963">INDEX(FX_Multi,$AD963,H$3)</f>
        <v>0</v>
      </c>
      <c r="I963" cm="1">
        <f t="array" ref="I963">INDEX(FX_Multi,$AD963,I$3)</f>
        <v>0</v>
      </c>
      <c r="J963" cm="1">
        <f t="array" ref="J963">INDEX(FX_Multi,$AD963,J$3)</f>
        <v>0</v>
      </c>
      <c r="K963" cm="1">
        <f t="array" ref="K963">INDEX(FX_Multi,$AD963,K$3)</f>
        <v>0</v>
      </c>
      <c r="L963" cm="1">
        <f t="array" ref="L963">INDEX(FX_Multi,$AD963,L$3)</f>
        <v>0</v>
      </c>
      <c r="M963" cm="1">
        <f t="array" ref="M963">INDEX(FX_Multi,$AD963,M$3)</f>
        <v>0</v>
      </c>
      <c r="N963" cm="1">
        <f t="array" ref="N963">INDEX(FX_Multi,$AD963,N$3)</f>
        <v>0</v>
      </c>
      <c r="O963" cm="1">
        <f t="array" ref="O963">INDEX(FX_Multi,$AD963,O$3)</f>
        <v>0</v>
      </c>
      <c r="AC963">
        <v>1</v>
      </c>
      <c r="AD963">
        <f>AD962+2</f>
        <v>396</v>
      </c>
      <c r="AE963">
        <v>1</v>
      </c>
      <c r="AF963">
        <f>AF961</f>
        <v>396</v>
      </c>
    </row>
    <row r="964" spans="2:32" ht="17.149999999999999" x14ac:dyDescent="0.55000000000000004">
      <c r="B964" t="str">
        <f t="shared" si="3475"/>
        <v>Portland</v>
      </c>
      <c r="C964" t="s">
        <v>570</v>
      </c>
      <c r="D964" cm="1">
        <f t="array" ref="D964">INDEX(FX_Multi,$AD964,D$3)</f>
        <v>1</v>
      </c>
      <c r="E964" cm="1">
        <f t="array" ref="E964">INDEX(FX_Multi,$AD964,E$3)</f>
        <v>1</v>
      </c>
      <c r="F964" cm="1">
        <f t="array" ref="F964">INDEX(FX_Multi,$AD964,F$3)</f>
        <v>1</v>
      </c>
      <c r="G964" cm="1">
        <f t="array" ref="G964">INDEX(FX_Multi,$AD964,G$3)</f>
        <v>1</v>
      </c>
      <c r="H964" cm="1">
        <f t="array" ref="H964">INDEX(FX_Multi,$AD964,H$3)</f>
        <v>1</v>
      </c>
      <c r="I964" cm="1">
        <f t="array" ref="I964">INDEX(FX_Multi,$AD964,I$3)</f>
        <v>1</v>
      </c>
      <c r="J964" cm="1">
        <f t="array" ref="J964">INDEX(FX_Multi,$AD964,J$3)</f>
        <v>1</v>
      </c>
      <c r="K964" cm="1">
        <f t="array" ref="K964">INDEX(FX_Multi,$AD964,K$3)</f>
        <v>1</v>
      </c>
      <c r="L964" cm="1">
        <f t="array" ref="L964">INDEX(FX_Multi,$AD964,L$3)</f>
        <v>1</v>
      </c>
      <c r="M964" cm="1">
        <f t="array" ref="M964">INDEX(FX_Multi,$AD964,M$3)</f>
        <v>1</v>
      </c>
      <c r="N964" cm="1">
        <f t="array" ref="N964">INDEX(FX_Multi,$AD964,N$3)</f>
        <v>1</v>
      </c>
      <c r="O964" cm="1">
        <f t="array" ref="O964">INDEX(FX_Multi,$AD964,O$3)</f>
        <v>1</v>
      </c>
      <c r="AC964">
        <v>1</v>
      </c>
      <c r="AD964">
        <f>AD963+6</f>
        <v>402</v>
      </c>
      <c r="AE964">
        <v>1</v>
      </c>
      <c r="AF964">
        <f>AF960+9</f>
        <v>402</v>
      </c>
    </row>
    <row r="965" spans="2:32" ht="17.149999999999999" x14ac:dyDescent="0.55000000000000004">
      <c r="B965" t="str">
        <f t="shared" si="3475"/>
        <v>Portland</v>
      </c>
      <c r="C965" t="s">
        <v>571</v>
      </c>
      <c r="D965" t="str" cm="1">
        <f t="array" ref="D965">INDEX(FX_Multi,$AD965,D$3)</f>
        <v>N/A</v>
      </c>
      <c r="E965" t="str" cm="1">
        <f t="array" ref="E965">INDEX(FX_Multi,$AD965,E$3)</f>
        <v>N/A</v>
      </c>
      <c r="F965" t="str" cm="1">
        <f t="array" ref="F965">INDEX(FX_Multi,$AD965,F$3)</f>
        <v>N/A</v>
      </c>
      <c r="G965" t="str" cm="1">
        <f t="array" ref="G965">INDEX(FX_Multi,$AD965,G$3)</f>
        <v>N/A</v>
      </c>
      <c r="H965" t="str" cm="1">
        <f t="array" ref="H965">INDEX(FX_Multi,$AD965,H$3)</f>
        <v>N/A</v>
      </c>
      <c r="I965" t="str" cm="1">
        <f t="array" ref="I965">INDEX(FX_Multi,$AD965,I$3)</f>
        <v>N/A</v>
      </c>
      <c r="J965" t="str" cm="1">
        <f t="array" ref="J965">INDEX(FX_Multi,$AD965,J$3)</f>
        <v>N/A</v>
      </c>
      <c r="K965" t="str" cm="1">
        <f t="array" ref="K965">INDEX(FX_Multi,$AD965,K$3)</f>
        <v>N/A</v>
      </c>
      <c r="L965" t="str" cm="1">
        <f t="array" ref="L965">INDEX(FX_Multi,$AD965,L$3)</f>
        <v>N/A</v>
      </c>
      <c r="M965" t="str" cm="1">
        <f t="array" ref="M965">INDEX(FX_Multi,$AD965,M$3)</f>
        <v>N/A</v>
      </c>
      <c r="N965" t="str" cm="1">
        <f t="array" ref="N965">INDEX(FX_Multi,$AD965,N$3)</f>
        <v>N/A</v>
      </c>
      <c r="O965" t="str" cm="1">
        <f t="array" ref="O965">INDEX(FX_Multi,$AD965,O$3)</f>
        <v>N/A</v>
      </c>
      <c r="AC965">
        <v>1</v>
      </c>
      <c r="AD965">
        <f>AD964-3</f>
        <v>399</v>
      </c>
      <c r="AE965">
        <v>1</v>
      </c>
      <c r="AF965">
        <f>AF960+6</f>
        <v>399</v>
      </c>
    </row>
    <row r="966" spans="2:32" ht="17.149999999999999" x14ac:dyDescent="0.55000000000000004">
      <c r="B966" t="str">
        <f t="shared" si="3475"/>
        <v>Portland</v>
      </c>
      <c r="C966" t="s">
        <v>572</v>
      </c>
      <c r="D966" cm="1">
        <f t="array" ref="D966">INDEX(FX_Multi,$AD966,D$3)</f>
        <v>0</v>
      </c>
      <c r="E966" cm="1">
        <f t="array" ref="E966">INDEX(FX_Multi,$AD966,E$3)</f>
        <v>0</v>
      </c>
      <c r="F966" cm="1">
        <f t="array" ref="F966">INDEX(FX_Multi,$AD966,F$3)</f>
        <v>0</v>
      </c>
      <c r="G966" cm="1">
        <f t="array" ref="G966">INDEX(FX_Multi,$AD966,G$3)</f>
        <v>0</v>
      </c>
      <c r="H966" cm="1">
        <f t="array" ref="H966">INDEX(FX_Multi,$AD966,H$3)</f>
        <v>0</v>
      </c>
      <c r="I966" cm="1">
        <f t="array" ref="I966">INDEX(FX_Multi,$AD966,I$3)</f>
        <v>0</v>
      </c>
      <c r="J966" cm="1">
        <f t="array" ref="J966">INDEX(FX_Multi,$AD966,J$3)</f>
        <v>0</v>
      </c>
      <c r="K966" cm="1">
        <f t="array" ref="K966">INDEX(FX_Multi,$AD966,K$3)</f>
        <v>0</v>
      </c>
      <c r="L966" cm="1">
        <f t="array" ref="L966">INDEX(FX_Multi,$AD966,L$3)</f>
        <v>0</v>
      </c>
      <c r="M966" cm="1">
        <f t="array" ref="M966">INDEX(FX_Multi,$AD966,M$3)</f>
        <v>0</v>
      </c>
      <c r="N966" cm="1">
        <f t="array" ref="N966">INDEX(FX_Multi,$AD966,N$3)</f>
        <v>0</v>
      </c>
      <c r="O966" cm="1">
        <f t="array" ref="O966">INDEX(FX_Multi,$AD966,O$3)</f>
        <v>0</v>
      </c>
      <c r="AC966">
        <v>1</v>
      </c>
      <c r="AD966">
        <f>AD965+4</f>
        <v>403</v>
      </c>
      <c r="AE966">
        <v>1</v>
      </c>
      <c r="AF966">
        <f>AF960+10</f>
        <v>403</v>
      </c>
    </row>
    <row r="967" spans="2:32" ht="17.149999999999999" x14ac:dyDescent="0.55000000000000004">
      <c r="B967" t="str">
        <f t="shared" si="3475"/>
        <v>Portland</v>
      </c>
      <c r="C967" t="s">
        <v>573</v>
      </c>
      <c r="D967" cm="1">
        <f t="array" ref="D967">INDEX(FX_Multi,$AD967,D$3)</f>
        <v>0</v>
      </c>
      <c r="E967" cm="1">
        <f t="array" ref="E967">INDEX(FX_Multi,$AD967,E$3)</f>
        <v>0</v>
      </c>
      <c r="F967" cm="1">
        <f t="array" ref="F967">INDEX(FX_Multi,$AD967,F$3)</f>
        <v>0</v>
      </c>
      <c r="G967" cm="1">
        <f t="array" ref="G967">INDEX(FX_Multi,$AD967,G$3)</f>
        <v>0</v>
      </c>
      <c r="H967" cm="1">
        <f t="array" ref="H967">INDEX(FX_Multi,$AD967,H$3)</f>
        <v>0</v>
      </c>
      <c r="I967" cm="1">
        <f t="array" ref="I967">INDEX(FX_Multi,$AD967,I$3)</f>
        <v>0</v>
      </c>
      <c r="J967" cm="1">
        <f t="array" ref="J967">INDEX(FX_Multi,$AD967,J$3)</f>
        <v>0</v>
      </c>
      <c r="K967" cm="1">
        <f t="array" ref="K967">INDEX(FX_Multi,$AD967,K$3)</f>
        <v>0</v>
      </c>
      <c r="L967" cm="1">
        <f t="array" ref="L967">INDEX(FX_Multi,$AD967,L$3)</f>
        <v>0</v>
      </c>
      <c r="M967" cm="1">
        <f t="array" ref="M967">INDEX(FX_Multi,$AD967,M$3)</f>
        <v>0</v>
      </c>
      <c r="N967" cm="1">
        <f t="array" ref="N967">INDEX(FX_Multi,$AD967,N$3)</f>
        <v>0</v>
      </c>
      <c r="O967" cm="1">
        <f t="array" ref="O967">INDEX(FX_Multi,$AD967,O$3)</f>
        <v>0</v>
      </c>
      <c r="AC967">
        <v>1</v>
      </c>
      <c r="AD967">
        <f>AD966-3</f>
        <v>400</v>
      </c>
      <c r="AE967">
        <v>1</v>
      </c>
      <c r="AF967">
        <f>AF960+7</f>
        <v>400</v>
      </c>
    </row>
    <row r="968" spans="2:32" ht="17.149999999999999" x14ac:dyDescent="0.55000000000000004">
      <c r="B968" t="str">
        <f>B963</f>
        <v>Portland</v>
      </c>
      <c r="C968" t="s">
        <v>526</v>
      </c>
      <c r="D968" cm="1">
        <f t="array" ref="D968">INDEX(FX_Temps,$AF968,D$3)</f>
        <v>43.899999999999977</v>
      </c>
      <c r="E968" cm="1">
        <f t="array" ref="E968">INDEX(FX_Temps,$AF968,E$3)</f>
        <v>44.700000000000045</v>
      </c>
      <c r="F968" cm="1">
        <f t="array" ref="F968">INDEX(FX_Temps,$AF968,F$3)</f>
        <v>46.100000000000023</v>
      </c>
      <c r="G968" cm="1">
        <f t="array" ref="G968">INDEX(FX_Temps,$AF968,G$3)</f>
        <v>48.599999999999966</v>
      </c>
      <c r="H968" cm="1">
        <f t="array" ref="H968">INDEX(FX_Temps,$AF968,H$3)</f>
        <v>53.149999999999977</v>
      </c>
      <c r="I968" cm="1">
        <f t="array" ref="I968">INDEX(FX_Temps,$AF968,I$3)</f>
        <v>56.950000000000045</v>
      </c>
      <c r="J968" cm="1">
        <f t="array" ref="J968">INDEX(FX_Temps,$AF968,J$3)</f>
        <v>60.449999999999932</v>
      </c>
      <c r="K968" cm="1">
        <f t="array" ref="K968">INDEX(FX_Temps,$AF968,K$3)</f>
        <v>60.899999999999977</v>
      </c>
      <c r="L968" cm="1">
        <f t="array" ref="L968">INDEX(FX_Temps,$AF968,L$3)</f>
        <v>58.600000000000023</v>
      </c>
      <c r="M968" cm="1">
        <f t="array" ref="M968">INDEX(FX_Temps,$AF968,M$3)</f>
        <v>52.649999999999977</v>
      </c>
      <c r="N968" cm="1">
        <f t="array" ref="N968">INDEX(FX_Temps,$AF968,N$3)</f>
        <v>47.100000000000023</v>
      </c>
      <c r="O968" cm="1">
        <f t="array" ref="O968">INDEX(FX_Temps,$AF968,O$3)</f>
        <v>43.600000000000023</v>
      </c>
      <c r="AE968">
        <v>1</v>
      </c>
      <c r="AF968">
        <f>AF960+10</f>
        <v>403</v>
      </c>
    </row>
    <row r="969" spans="2:32" ht="17.149999999999999" x14ac:dyDescent="0.55000000000000004">
      <c r="B969" t="str">
        <f t="shared" ref="B969:B990" si="3476">B968</f>
        <v>Portland</v>
      </c>
      <c r="C969" t="s">
        <v>527</v>
      </c>
      <c r="D969" cm="1">
        <f t="array" ref="D969">INDEX(FX_Temps,$AF969,D$3)</f>
        <v>43.899999999999977</v>
      </c>
      <c r="E969" cm="1">
        <f t="array" ref="E969">INDEX(FX_Temps,$AF969,E$3)</f>
        <v>44.700000000000045</v>
      </c>
      <c r="F969" cm="1">
        <f t="array" ref="F969">INDEX(FX_Temps,$AF969,F$3)</f>
        <v>46.100000000000023</v>
      </c>
      <c r="G969" cm="1">
        <f t="array" ref="G969">INDEX(FX_Temps,$AF969,G$3)</f>
        <v>48.599999999999966</v>
      </c>
      <c r="H969" cm="1">
        <f t="array" ref="H969">INDEX(FX_Temps,$AF969,H$3)</f>
        <v>53.149999999999977</v>
      </c>
      <c r="I969" cm="1">
        <f t="array" ref="I969">INDEX(FX_Temps,$AF969,I$3)</f>
        <v>56.950000000000045</v>
      </c>
      <c r="J969" cm="1">
        <f t="array" ref="J969">INDEX(FX_Temps,$AF969,J$3)</f>
        <v>60.449999999999932</v>
      </c>
      <c r="K969" cm="1">
        <f t="array" ref="K969">INDEX(FX_Temps,$AF969,K$3)</f>
        <v>60.899999999999977</v>
      </c>
      <c r="L969" cm="1">
        <f t="array" ref="L969">INDEX(FX_Temps,$AF969,L$3)</f>
        <v>58.600000000000023</v>
      </c>
      <c r="M969" cm="1">
        <f t="array" ref="M969">INDEX(FX_Temps,$AF969,M$3)</f>
        <v>52.649999999999977</v>
      </c>
      <c r="N969" cm="1">
        <f t="array" ref="N969">INDEX(FX_Temps,$AF969,N$3)</f>
        <v>47.100000000000023</v>
      </c>
      <c r="O969" cm="1">
        <f t="array" ref="O969">INDEX(FX_Temps,$AF969,O$3)</f>
        <v>43.600000000000023</v>
      </c>
      <c r="AE969">
        <f>AE968</f>
        <v>1</v>
      </c>
      <c r="AF969">
        <f>AF960+11</f>
        <v>404</v>
      </c>
    </row>
    <row r="970" spans="2:32" ht="17.149999999999999" x14ac:dyDescent="0.55000000000000004">
      <c r="B970" t="str">
        <f t="shared" si="3476"/>
        <v>Portland</v>
      </c>
      <c r="C970" t="s">
        <v>552</v>
      </c>
      <c r="D970" cm="1">
        <f t="array" ref="D970">INDEX(FX_Temps,$AF970,D$3)</f>
        <v>43.899999999999977</v>
      </c>
      <c r="E970" cm="1">
        <f t="array" ref="E970">INDEX(FX_Temps,$AF970,E$3)</f>
        <v>44.700000000000045</v>
      </c>
      <c r="F970" cm="1">
        <f t="array" ref="F970">INDEX(FX_Temps,$AF970,F$3)</f>
        <v>46.100000000000023</v>
      </c>
      <c r="G970" cm="1">
        <f t="array" ref="G970">INDEX(FX_Temps,$AF970,G$3)</f>
        <v>48.599999999999966</v>
      </c>
      <c r="H970" cm="1">
        <f t="array" ref="H970">INDEX(FX_Temps,$AF970,H$3)</f>
        <v>53.149999999999977</v>
      </c>
      <c r="I970" cm="1">
        <f t="array" ref="I970">INDEX(FX_Temps,$AF970,I$3)</f>
        <v>56.950000000000045</v>
      </c>
      <c r="J970" cm="1">
        <f t="array" ref="J970">INDEX(FX_Temps,$AF970,J$3)</f>
        <v>60.449999999999932</v>
      </c>
      <c r="K970" cm="1">
        <f t="array" ref="K970">INDEX(FX_Temps,$AF970,K$3)</f>
        <v>60.899999999999977</v>
      </c>
      <c r="L970" cm="1">
        <f t="array" ref="L970">INDEX(FX_Temps,$AF970,L$3)</f>
        <v>58.600000000000023</v>
      </c>
      <c r="M970" cm="1">
        <f t="array" ref="M970">INDEX(FX_Temps,$AF970,M$3)</f>
        <v>52.649999999999977</v>
      </c>
      <c r="N970" cm="1">
        <f t="array" ref="N970">INDEX(FX_Temps,$AF970,N$3)</f>
        <v>47.100000000000023</v>
      </c>
      <c r="O970" cm="1">
        <f t="array" ref="O970">INDEX(FX_Temps,$AF970,O$3)</f>
        <v>43.600000000000023</v>
      </c>
      <c r="AE970">
        <f>AE969</f>
        <v>1</v>
      </c>
      <c r="AF970">
        <f>AF960+13</f>
        <v>406</v>
      </c>
    </row>
    <row r="971" spans="2:32" ht="17.149999999999999" x14ac:dyDescent="0.55000000000000004">
      <c r="B971" t="str">
        <f t="shared" si="3476"/>
        <v>Portland</v>
      </c>
      <c r="C971" t="s">
        <v>574</v>
      </c>
      <c r="D971" s="20" cm="1">
        <f t="array" ref="D971">IFERROR(IF(D961="Chemical",(10^(INDEX(Antoines,MATCH(D960,Antoine_Name,0),2)-INDEX(Antoines,MATCH(D960,Antoine_Name,0),3)/(INDEX(Antoines,MATCH(D960,Antoine_Name,0),4)+(D968-32)*5/9)))*14.7/760,IF(D961="Crude Oil",EXP((2799/(D968+459.6)-2.227)*LOG10(INDEX(FX_Input,Q$5,D$3*$Z$5+$AA$5))-(7261/(D968+459.6))+12.82),IF(D961="Refined Petroleum Stock",EXP((0.7553-(413/(D968+459.6)))*(INDEX(FX_Input,Q$5,D$3*$Z$5+$AA$5-1)^0.5)*LOG10(INDEX(FX_Input,Q$5,D$3*$Z$5+$AA$5))-(1.854-(1042/(D968+459.6)))*(INDEX(FX_Input,Q$5,D$3*$Z$5+$AA$5-1)^0.5)+((2416/(D968+459.6)-2.013)*LOG10(INDEX(FX_Input,Q$5,D$3*$Z$5+$AA$5)))-(8742/(D968+459.6))+15.64),EXP(INDEX(Antoines,MATCH(D960,Antoine_Name,0),2)-INDEX(Antoines,MATCH(D960,Antoine_Name,0),3)/(D968+459.6))))),0)</f>
        <v>1</v>
      </c>
      <c r="E971" cm="1">
        <f t="array" ref="E971">IFERROR(IF(E961="Chemical",(10^(INDEX(Antoines,MATCH(E960,Antoine_Name,0),2)-INDEX(Antoines,MATCH(E960,Antoine_Name,0),3)/(INDEX(Antoines,MATCH(E960,Antoine_Name,0),4)+(E968-32)*5/9)))*14.7/760,IF(E961="Crude Oil",EXP((2799/(E968+459.6)-2.227)*LOG10(INDEX(FX_Input,R$5,E$3*$Z$5+$AA$5))-(7261/(E968+459.6))+12.82),IF(E961="Refined Petroleum Stock",EXP((0.7553-(413/(E968+459.6)))*(INDEX(FX_Input,R$5,E$3*$Z$5+$AA$5-1)^0.5)*LOG10(INDEX(FX_Input,R$5,E$3*$Z$5+$AA$5))-(1.854-(1042/(E968+459.6)))*(INDEX(FX_Input,R$5,E$3*$Z$5+$AA$5-1)^0.5)+((2416/(E968+459.6)-2.013)*LOG10(INDEX(FX_Input,R$5,E$3*$Z$5+$AA$5)))-(8742/(E968+459.6))+15.64),EXP(INDEX(Antoines,MATCH(E960,Antoine_Name,0),2)-INDEX(Antoines,MATCH(E960,Antoine_Name,0),3)/(E968+459.6))))),0)</f>
        <v>1</v>
      </c>
      <c r="F971" cm="1">
        <f t="array" ref="F971">IFERROR(IF(F961="Chemical",(10^(INDEX(Antoines,MATCH(F960,Antoine_Name,0),2)-INDEX(Antoines,MATCH(F960,Antoine_Name,0),3)/(INDEX(Antoines,MATCH(F960,Antoine_Name,0),4)+(F968-32)*5/9)))*14.7/760,IF(F961="Crude Oil",EXP((2799/(F968+459.6)-2.227)*LOG10(INDEX(FX_Input,S$5,F$3*$Z$5+$AA$5))-(7261/(F968+459.6))+12.82),IF(F961="Refined Petroleum Stock",EXP((0.7553-(413/(F968+459.6)))*(INDEX(FX_Input,S$5,F$3*$Z$5+$AA$5-1)^0.5)*LOG10(INDEX(FX_Input,S$5,F$3*$Z$5+$AA$5))-(1.854-(1042/(F968+459.6)))*(INDEX(FX_Input,S$5,F$3*$Z$5+$AA$5-1)^0.5)+((2416/(F968+459.6)-2.013)*LOG10(INDEX(FX_Input,S$5,F$3*$Z$5+$AA$5)))-(8742/(F968+459.6))+15.64),EXP(INDEX(Antoines,MATCH(F960,Antoine_Name,0),2)-INDEX(Antoines,MATCH(F960,Antoine_Name,0),3)/(F968+459.6))))),0)</f>
        <v>1</v>
      </c>
      <c r="G971" cm="1">
        <f t="array" ref="G971">IFERROR(IF(G961="Chemical",(10^(INDEX(Antoines,MATCH(G960,Antoine_Name,0),2)-INDEX(Antoines,MATCH(G960,Antoine_Name,0),3)/(INDEX(Antoines,MATCH(G960,Antoine_Name,0),4)+(G968-32)*5/9)))*14.7/760,IF(G961="Crude Oil",EXP((2799/(G968+459.6)-2.227)*LOG10(INDEX(FX_Input,T$5,G$3*$Z$5+$AA$5))-(7261/(G968+459.6))+12.82),IF(G961="Refined Petroleum Stock",EXP((0.7553-(413/(G968+459.6)))*(INDEX(FX_Input,T$5,G$3*$Z$5+$AA$5-1)^0.5)*LOG10(INDEX(FX_Input,T$5,G$3*$Z$5+$AA$5))-(1.854-(1042/(G968+459.6)))*(INDEX(FX_Input,T$5,G$3*$Z$5+$AA$5-1)^0.5)+((2416/(G968+459.6)-2.013)*LOG10(INDEX(FX_Input,T$5,G$3*$Z$5+$AA$5)))-(8742/(G968+459.6))+15.64),EXP(INDEX(Antoines,MATCH(G960,Antoine_Name,0),2)-INDEX(Antoines,MATCH(G960,Antoine_Name,0),3)/(G968+459.6))))),0)</f>
        <v>1</v>
      </c>
      <c r="H971" cm="1">
        <f t="array" ref="H971">IFERROR(IF(H961="Chemical",(10^(INDEX(Antoines,MATCH(H960,Antoine_Name,0),2)-INDEX(Antoines,MATCH(H960,Antoine_Name,0),3)/(INDEX(Antoines,MATCH(H960,Antoine_Name,0),4)+(H968-32)*5/9)))*14.7/760,IF(H961="Crude Oil",EXP((2799/(H968+459.6)-2.227)*LOG10(INDEX(FX_Input,U$5,H$3*$Z$5+$AA$5))-(7261/(H968+459.6))+12.82),IF(H961="Refined Petroleum Stock",EXP((0.7553-(413/(H968+459.6)))*(INDEX(FX_Input,U$5,H$3*$Z$5+$AA$5-1)^0.5)*LOG10(INDEX(FX_Input,U$5,H$3*$Z$5+$AA$5))-(1.854-(1042/(H968+459.6)))*(INDEX(FX_Input,U$5,H$3*$Z$5+$AA$5-1)^0.5)+((2416/(H968+459.6)-2.013)*LOG10(INDEX(FX_Input,U$5,H$3*$Z$5+$AA$5)))-(8742/(H968+459.6))+15.64),EXP(INDEX(Antoines,MATCH(H960,Antoine_Name,0),2)-INDEX(Antoines,MATCH(H960,Antoine_Name,0),3)/(H968+459.6))))),0)</f>
        <v>1</v>
      </c>
      <c r="I971" cm="1">
        <f t="array" ref="I971">IFERROR(IF(I961="Chemical",(10^(INDEX(Antoines,MATCH(I960,Antoine_Name,0),2)-INDEX(Antoines,MATCH(I960,Antoine_Name,0),3)/(INDEX(Antoines,MATCH(I960,Antoine_Name,0),4)+(I968-32)*5/9)))*14.7/760,IF(I961="Crude Oil",EXP((2799/(I968+459.6)-2.227)*LOG10(INDEX(FX_Input,V$5,I$3*$Z$5+$AA$5))-(7261/(I968+459.6))+12.82),IF(I961="Refined Petroleum Stock",EXP((0.7553-(413/(I968+459.6)))*(INDEX(FX_Input,V$5,I$3*$Z$5+$AA$5-1)^0.5)*LOG10(INDEX(FX_Input,V$5,I$3*$Z$5+$AA$5))-(1.854-(1042/(I968+459.6)))*(INDEX(FX_Input,V$5,I$3*$Z$5+$AA$5-1)^0.5)+((2416/(I968+459.6)-2.013)*LOG10(INDEX(FX_Input,V$5,I$3*$Z$5+$AA$5)))-(8742/(I968+459.6))+15.64),EXP(INDEX(Antoines,MATCH(I960,Antoine_Name,0),2)-INDEX(Antoines,MATCH(I960,Antoine_Name,0),3)/(I968+459.6))))),0)</f>
        <v>1</v>
      </c>
      <c r="J971" cm="1">
        <f t="array" ref="J971">IFERROR(IF(J961="Chemical",(10^(INDEX(Antoines,MATCH(J960,Antoine_Name,0),2)-INDEX(Antoines,MATCH(J960,Antoine_Name,0),3)/(INDEX(Antoines,MATCH(J960,Antoine_Name,0),4)+(J968-32)*5/9)))*14.7/760,IF(J961="Crude Oil",EXP((2799/(J968+459.6)-2.227)*LOG10(INDEX(FX_Input,W$5,J$3*$Z$5+$AA$5))-(7261/(J968+459.6))+12.82),IF(J961="Refined Petroleum Stock",EXP((0.7553-(413/(J968+459.6)))*(INDEX(FX_Input,W$5,J$3*$Z$5+$AA$5-1)^0.5)*LOG10(INDEX(FX_Input,W$5,J$3*$Z$5+$AA$5))-(1.854-(1042/(J968+459.6)))*(INDEX(FX_Input,W$5,J$3*$Z$5+$AA$5-1)^0.5)+((2416/(J968+459.6)-2.013)*LOG10(INDEX(FX_Input,W$5,J$3*$Z$5+$AA$5)))-(8742/(J968+459.6))+15.64),EXP(INDEX(Antoines,MATCH(J960,Antoine_Name,0),2)-INDEX(Antoines,MATCH(J960,Antoine_Name,0),3)/(J968+459.6))))),0)</f>
        <v>1</v>
      </c>
      <c r="K971" cm="1">
        <f t="array" ref="K971">IFERROR(IF(K961="Chemical",(10^(INDEX(Antoines,MATCH(K960,Antoine_Name,0),2)-INDEX(Antoines,MATCH(K960,Antoine_Name,0),3)/(INDEX(Antoines,MATCH(K960,Antoine_Name,0),4)+(K968-32)*5/9)))*14.7/760,IF(K961="Crude Oil",EXP((2799/(K968+459.6)-2.227)*LOG10(INDEX(FX_Input,X$5,K$3*$Z$5+$AA$5))-(7261/(K968+459.6))+12.82),IF(K961="Refined Petroleum Stock",EXP((0.7553-(413/(K968+459.6)))*(INDEX(FX_Input,X$5,K$3*$Z$5+$AA$5-1)^0.5)*LOG10(INDEX(FX_Input,X$5,K$3*$Z$5+$AA$5))-(1.854-(1042/(K968+459.6)))*(INDEX(FX_Input,X$5,K$3*$Z$5+$AA$5-1)^0.5)+((2416/(K968+459.6)-2.013)*LOG10(INDEX(FX_Input,X$5,K$3*$Z$5+$AA$5)))-(8742/(K968+459.6))+15.64),EXP(INDEX(Antoines,MATCH(K960,Antoine_Name,0),2)-INDEX(Antoines,MATCH(K960,Antoine_Name,0),3)/(K968+459.6))))),0)</f>
        <v>1</v>
      </c>
      <c r="L971" cm="1">
        <f t="array" ref="L971">IFERROR(IF(L961="Chemical",(10^(INDEX(Antoines,MATCH(L960,Antoine_Name,0),2)-INDEX(Antoines,MATCH(L960,Antoine_Name,0),3)/(INDEX(Antoines,MATCH(L960,Antoine_Name,0),4)+(L968-32)*5/9)))*14.7/760,IF(L961="Crude Oil",EXP((2799/(L968+459.6)-2.227)*LOG10(INDEX(FX_Input,Y$5,L$3*$Z$5+$AA$5))-(7261/(L968+459.6))+12.82),IF(L961="Refined Petroleum Stock",EXP((0.7553-(413/(L968+459.6)))*(INDEX(FX_Input,Y$5,L$3*$Z$5+$AA$5-1)^0.5)*LOG10(INDEX(FX_Input,Y$5,L$3*$Z$5+$AA$5))-(1.854-(1042/(L968+459.6)))*(INDEX(FX_Input,Y$5,L$3*$Z$5+$AA$5-1)^0.5)+((2416/(L968+459.6)-2.013)*LOG10(INDEX(FX_Input,Y$5,L$3*$Z$5+$AA$5)))-(8742/(L968+459.6))+15.64),EXP(INDEX(Antoines,MATCH(L960,Antoine_Name,0),2)-INDEX(Antoines,MATCH(L960,Antoine_Name,0),3)/(L968+459.6))))),0)</f>
        <v>1</v>
      </c>
      <c r="M971" cm="1">
        <f t="array" ref="M971">IFERROR(IF(M961="Chemical",(10^(INDEX(Antoines,MATCH(M960,Antoine_Name,0),2)-INDEX(Antoines,MATCH(M960,Antoine_Name,0),3)/(INDEX(Antoines,MATCH(M960,Antoine_Name,0),4)+(M968-32)*5/9)))*14.7/760,IF(M961="Crude Oil",EXP((2799/(M968+459.6)-2.227)*LOG10(INDEX(FX_Input,Z$5,M$3*$Z$5+$AA$5))-(7261/(M968+459.6))+12.82),IF(M961="Refined Petroleum Stock",EXP((0.7553-(413/(M968+459.6)))*(INDEX(FX_Input,Z$5,M$3*$Z$5+$AA$5-1)^0.5)*LOG10(INDEX(FX_Input,Z$5,M$3*$Z$5+$AA$5))-(1.854-(1042/(M968+459.6)))*(INDEX(FX_Input,Z$5,M$3*$Z$5+$AA$5-1)^0.5)+((2416/(M968+459.6)-2.013)*LOG10(INDEX(FX_Input,Z$5,M$3*$Z$5+$AA$5)))-(8742/(M968+459.6))+15.64),EXP(INDEX(Antoines,MATCH(M960,Antoine_Name,0),2)-INDEX(Antoines,MATCH(M960,Antoine_Name,0),3)/(M968+459.6))))),0)</f>
        <v>1</v>
      </c>
      <c r="N971" cm="1">
        <f t="array" ref="N971">IFERROR(IF(N961="Chemical",(10^(INDEX(Antoines,MATCH(N960,Antoine_Name,0),2)-INDEX(Antoines,MATCH(N960,Antoine_Name,0),3)/(INDEX(Antoines,MATCH(N960,Antoine_Name,0),4)+(N968-32)*5/9)))*14.7/760,IF(N961="Crude Oil",EXP((2799/(N968+459.6)-2.227)*LOG10(INDEX(FX_Input,AA$5,N$3*$Z$5+$AA$5))-(7261/(N968+459.6))+12.82),IF(N961="Refined Petroleum Stock",EXP((0.7553-(413/(N968+459.6)))*(INDEX(FX_Input,AA$5,N$3*$Z$5+$AA$5-1)^0.5)*LOG10(INDEX(FX_Input,AA$5,N$3*$Z$5+$AA$5))-(1.854-(1042/(N968+459.6)))*(INDEX(FX_Input,AA$5,N$3*$Z$5+$AA$5-1)^0.5)+((2416/(N968+459.6)-2.013)*LOG10(INDEX(FX_Input,AA$5,N$3*$Z$5+$AA$5)))-(8742/(N968+459.6))+15.64),EXP(INDEX(Antoines,MATCH(N960,Antoine_Name,0),2)-INDEX(Antoines,MATCH(N960,Antoine_Name,0),3)/(N968+459.6))))),0)</f>
        <v>1</v>
      </c>
      <c r="O971" cm="1">
        <f t="array" ref="O971">IFERROR(IF(O961="Chemical",(10^(INDEX(Antoines,MATCH(O960,Antoine_Name,0),2)-INDEX(Antoines,MATCH(O960,Antoine_Name,0),3)/(INDEX(Antoines,MATCH(O960,Antoine_Name,0),4)+(O968-32)*5/9)))*14.7/760,IF(O961="Crude Oil",EXP((2799/(O968+459.6)-2.227)*LOG10(INDEX(FX_Input,AB$5,O$3*$Z$5+$AA$5))-(7261/(O968+459.6))+12.82),IF(O961="Refined Petroleum Stock",EXP((0.7553-(413/(O968+459.6)))*(INDEX(FX_Input,AB$5,O$3*$Z$5+$AA$5-1)^0.5)*LOG10(INDEX(FX_Input,AB$5,O$3*$Z$5+$AA$5))-(1.854-(1042/(O968+459.6)))*(INDEX(FX_Input,AB$5,O$3*$Z$5+$AA$5-1)^0.5)+((2416/(O968+459.6)-2.013)*LOG10(INDEX(FX_Input,AB$5,O$3*$Z$5+$AA$5)))-(8742/(O968+459.6))+15.64),EXP(INDEX(Antoines,MATCH(O960,Antoine_Name,0),2)-INDEX(Antoines,MATCH(O960,Antoine_Name,0),3)/(O968+459.6))))),0)</f>
        <v>1</v>
      </c>
    </row>
    <row r="972" spans="2:32" ht="17.149999999999999" x14ac:dyDescent="0.55000000000000004">
      <c r="B972" t="str">
        <f t="shared" si="3476"/>
        <v>Portland</v>
      </c>
      <c r="C972" t="s">
        <v>576</v>
      </c>
      <c r="D972">
        <f>D964*D971</f>
        <v>1</v>
      </c>
      <c r="E972">
        <f t="shared" ref="E972" si="3477">E964*E971</f>
        <v>1</v>
      </c>
      <c r="F972">
        <f t="shared" ref="F972" si="3478">F964*F971</f>
        <v>1</v>
      </c>
      <c r="G972">
        <f t="shared" ref="G972" si="3479">G964*G971</f>
        <v>1</v>
      </c>
      <c r="H972">
        <f t="shared" ref="H972" si="3480">H964*H971</f>
        <v>1</v>
      </c>
      <c r="I972">
        <f t="shared" ref="I972" si="3481">I964*I971</f>
        <v>1</v>
      </c>
      <c r="J972">
        <f t="shared" ref="J972" si="3482">J964*J971</f>
        <v>1</v>
      </c>
      <c r="K972">
        <f t="shared" ref="K972" si="3483">K964*K971</f>
        <v>1</v>
      </c>
      <c r="L972">
        <f t="shared" ref="L972" si="3484">L964*L971</f>
        <v>1</v>
      </c>
      <c r="M972">
        <f t="shared" ref="M972" si="3485">M964*M971</f>
        <v>1</v>
      </c>
      <c r="N972">
        <f t="shared" ref="N972" si="3486">N964*N971</f>
        <v>1</v>
      </c>
      <c r="O972">
        <f t="shared" ref="O972" si="3487">O964*O971</f>
        <v>1</v>
      </c>
    </row>
    <row r="973" spans="2:32" ht="17.149999999999999" x14ac:dyDescent="0.55000000000000004">
      <c r="B973" t="str">
        <f t="shared" si="3476"/>
        <v>Portland</v>
      </c>
      <c r="C973" t="s">
        <v>575</v>
      </c>
      <c r="D973" cm="1">
        <f t="array" ref="D973">IFERROR(IF(D963="Chemical",(10^(INDEX(Antoines,MATCH(D962,Antoine_Name,0),2)-INDEX(Antoines,MATCH(D962,Antoine_Name,0),3)/(INDEX(Antoines,MATCH(D962,Antoine_Name,0),4)+(D968-32)*5/9)))*14.7/760,IF(D963="Crude Oil",EXP((2799/(D968+459.6)-2.227)*LOG10(INDEX(FX_Input,Q$5,D$3*$Z$5+$AA$5))-(7261/(D968+459.6))+12.82),IF(D963="Refined Petroleum Stock",EXP((0.7553-(413/(D968+459.6)))*(INDEX(FX_Input,Q$5,D$3*$Z$5+$AA$5-1)^0.5)*LOG10(INDEX(FX_Input,Q$5,D$3*$Z$5+$AA$5))-(1.854-(1042/(D968+459.6)))*(INDEX(FX_Input,Q$5,D$3*$Z$5+$AA$5-1)^0.5)+((2416/(D968+459.6)-2.013)*LOG10(INDEX(FX_Input,Q$5,D$3*$Z$5+$AA$5)))-(8742/(D968+459.6))+15.64),EXP(INDEX(Antoines,MATCH(D962,Antoine_Name,0),2)-INDEX(Antoines,MATCH(D962,Antoine_Name,0),3)/(D968+459.6))))),0)</f>
        <v>0</v>
      </c>
      <c r="E973" cm="1">
        <f t="array" ref="E973">IFERROR(IF(E963="Chemical",(10^(INDEX(Antoines,MATCH(E962,Antoine_Name,0),2)-INDEX(Antoines,MATCH(E962,Antoine_Name,0),3)/(INDEX(Antoines,MATCH(E962,Antoine_Name,0),4)+(E968-32)*5/9)))*14.7/760,IF(E963="Crude Oil",EXP((2799/(E968+459.6)-2.227)*LOG10(INDEX(FX_Input,R$5,E$3*$Z$5+$AA$5))-(7261/(E968+459.6))+12.82),IF(E963="Refined Petroleum Stock",EXP((0.7553-(413/(E968+459.6)))*(INDEX(FX_Input,R$5,E$3*$Z$5+$AA$5-1)^0.5)*LOG10(INDEX(FX_Input,R$5,E$3*$Z$5+$AA$5))-(1.854-(1042/(E968+459.6)))*(INDEX(FX_Input,R$5,E$3*$Z$5+$AA$5-1)^0.5)+((2416/(E968+459.6)-2.013)*LOG10(INDEX(FX_Input,R$5,E$3*$Z$5+$AA$5)))-(8742/(E968+459.6))+15.64),EXP(INDEX(Antoines,MATCH(E962,Antoine_Name,0),2)-INDEX(Antoines,MATCH(E962,Antoine_Name,0),3)/(E968+459.6))))),0)</f>
        <v>0</v>
      </c>
      <c r="F973" cm="1">
        <f t="array" ref="F973">IFERROR(IF(F963="Chemical",(10^(INDEX(Antoines,MATCH(F962,Antoine_Name,0),2)-INDEX(Antoines,MATCH(F962,Antoine_Name,0),3)/(INDEX(Antoines,MATCH(F962,Antoine_Name,0),4)+(F968-32)*5/9)))*14.7/760,IF(F963="Crude Oil",EXP((2799/(F968+459.6)-2.227)*LOG10(INDEX(FX_Input,S$5,F$3*$Z$5+$AA$5))-(7261/(F968+459.6))+12.82),IF(F963="Refined Petroleum Stock",EXP((0.7553-(413/(F968+459.6)))*(INDEX(FX_Input,S$5,F$3*$Z$5+$AA$5-1)^0.5)*LOG10(INDEX(FX_Input,S$5,F$3*$Z$5+$AA$5))-(1.854-(1042/(F968+459.6)))*(INDEX(FX_Input,S$5,F$3*$Z$5+$AA$5-1)^0.5)+((2416/(F968+459.6)-2.013)*LOG10(INDEX(FX_Input,S$5,F$3*$Z$5+$AA$5)))-(8742/(F968+459.6))+15.64),EXP(INDEX(Antoines,MATCH(F962,Antoine_Name,0),2)-INDEX(Antoines,MATCH(F962,Antoine_Name,0),3)/(F968+459.6))))),0)</f>
        <v>0</v>
      </c>
      <c r="G973" cm="1">
        <f t="array" ref="G973">IFERROR(IF(G963="Chemical",(10^(INDEX(Antoines,MATCH(G962,Antoine_Name,0),2)-INDEX(Antoines,MATCH(G962,Antoine_Name,0),3)/(INDEX(Antoines,MATCH(G962,Antoine_Name,0),4)+(G968-32)*5/9)))*14.7/760,IF(G963="Crude Oil",EXP((2799/(G968+459.6)-2.227)*LOG10(INDEX(FX_Input,T$5,G$3*$Z$5+$AA$5))-(7261/(G968+459.6))+12.82),IF(G963="Refined Petroleum Stock",EXP((0.7553-(413/(G968+459.6)))*(INDEX(FX_Input,T$5,G$3*$Z$5+$AA$5-1)^0.5)*LOG10(INDEX(FX_Input,T$5,G$3*$Z$5+$AA$5))-(1.854-(1042/(G968+459.6)))*(INDEX(FX_Input,T$5,G$3*$Z$5+$AA$5-1)^0.5)+((2416/(G968+459.6)-2.013)*LOG10(INDEX(FX_Input,T$5,G$3*$Z$5+$AA$5)))-(8742/(G968+459.6))+15.64),EXP(INDEX(Antoines,MATCH(G962,Antoine_Name,0),2)-INDEX(Antoines,MATCH(G962,Antoine_Name,0),3)/(G968+459.6))))),0)</f>
        <v>0</v>
      </c>
      <c r="H973" cm="1">
        <f t="array" ref="H973">IFERROR(IF(H963="Chemical",(10^(INDEX(Antoines,MATCH(H962,Antoine_Name,0),2)-INDEX(Antoines,MATCH(H962,Antoine_Name,0),3)/(INDEX(Antoines,MATCH(H962,Antoine_Name,0),4)+(H968-32)*5/9)))*14.7/760,IF(H963="Crude Oil",EXP((2799/(H968+459.6)-2.227)*LOG10(INDEX(FX_Input,U$5,H$3*$Z$5+$AA$5))-(7261/(H968+459.6))+12.82),IF(H963="Refined Petroleum Stock",EXP((0.7553-(413/(H968+459.6)))*(INDEX(FX_Input,U$5,H$3*$Z$5+$AA$5-1)^0.5)*LOG10(INDEX(FX_Input,U$5,H$3*$Z$5+$AA$5))-(1.854-(1042/(H968+459.6)))*(INDEX(FX_Input,U$5,H$3*$Z$5+$AA$5-1)^0.5)+((2416/(H968+459.6)-2.013)*LOG10(INDEX(FX_Input,U$5,H$3*$Z$5+$AA$5)))-(8742/(H968+459.6))+15.64),EXP(INDEX(Antoines,MATCH(H962,Antoine_Name,0),2)-INDEX(Antoines,MATCH(H962,Antoine_Name,0),3)/(H968+459.6))))),0)</f>
        <v>0</v>
      </c>
      <c r="I973" cm="1">
        <f t="array" ref="I973">IFERROR(IF(I963="Chemical",(10^(INDEX(Antoines,MATCH(I962,Antoine_Name,0),2)-INDEX(Antoines,MATCH(I962,Antoine_Name,0),3)/(INDEX(Antoines,MATCH(I962,Antoine_Name,0),4)+(I968-32)*5/9)))*14.7/760,IF(I963="Crude Oil",EXP((2799/(I968+459.6)-2.227)*LOG10(INDEX(FX_Input,V$5,I$3*$Z$5+$AA$5))-(7261/(I968+459.6))+12.82),IF(I963="Refined Petroleum Stock",EXP((0.7553-(413/(I968+459.6)))*(INDEX(FX_Input,V$5,I$3*$Z$5+$AA$5-1)^0.5)*LOG10(INDEX(FX_Input,V$5,I$3*$Z$5+$AA$5))-(1.854-(1042/(I968+459.6)))*(INDEX(FX_Input,V$5,I$3*$Z$5+$AA$5-1)^0.5)+((2416/(I968+459.6)-2.013)*LOG10(INDEX(FX_Input,V$5,I$3*$Z$5+$AA$5)))-(8742/(I968+459.6))+15.64),EXP(INDEX(Antoines,MATCH(I962,Antoine_Name,0),2)-INDEX(Antoines,MATCH(I962,Antoine_Name,0),3)/(I968+459.6))))),0)</f>
        <v>0</v>
      </c>
      <c r="J973" cm="1">
        <f t="array" ref="J973">IFERROR(IF(J963="Chemical",(10^(INDEX(Antoines,MATCH(J962,Antoine_Name,0),2)-INDEX(Antoines,MATCH(J962,Antoine_Name,0),3)/(INDEX(Antoines,MATCH(J962,Antoine_Name,0),4)+(J968-32)*5/9)))*14.7/760,IF(J963="Crude Oil",EXP((2799/(J968+459.6)-2.227)*LOG10(INDEX(FX_Input,W$5,J$3*$Z$5+$AA$5))-(7261/(J968+459.6))+12.82),IF(J963="Refined Petroleum Stock",EXP((0.7553-(413/(J968+459.6)))*(INDEX(FX_Input,W$5,J$3*$Z$5+$AA$5-1)^0.5)*LOG10(INDEX(FX_Input,W$5,J$3*$Z$5+$AA$5))-(1.854-(1042/(J968+459.6)))*(INDEX(FX_Input,W$5,J$3*$Z$5+$AA$5-1)^0.5)+((2416/(J968+459.6)-2.013)*LOG10(INDEX(FX_Input,W$5,J$3*$Z$5+$AA$5)))-(8742/(J968+459.6))+15.64),EXP(INDEX(Antoines,MATCH(J962,Antoine_Name,0),2)-INDEX(Antoines,MATCH(J962,Antoine_Name,0),3)/(J968+459.6))))),0)</f>
        <v>0</v>
      </c>
      <c r="K973" cm="1">
        <f t="array" ref="K973">IFERROR(IF(K963="Chemical",(10^(INDEX(Antoines,MATCH(K962,Antoine_Name,0),2)-INDEX(Antoines,MATCH(K962,Antoine_Name,0),3)/(INDEX(Antoines,MATCH(K962,Antoine_Name,0),4)+(K968-32)*5/9)))*14.7/760,IF(K963="Crude Oil",EXP((2799/(K968+459.6)-2.227)*LOG10(INDEX(FX_Input,X$5,K$3*$Z$5+$AA$5))-(7261/(K968+459.6))+12.82),IF(K963="Refined Petroleum Stock",EXP((0.7553-(413/(K968+459.6)))*(INDEX(FX_Input,X$5,K$3*$Z$5+$AA$5-1)^0.5)*LOG10(INDEX(FX_Input,X$5,K$3*$Z$5+$AA$5))-(1.854-(1042/(K968+459.6)))*(INDEX(FX_Input,X$5,K$3*$Z$5+$AA$5-1)^0.5)+((2416/(K968+459.6)-2.013)*LOG10(INDEX(FX_Input,X$5,K$3*$Z$5+$AA$5)))-(8742/(K968+459.6))+15.64),EXP(INDEX(Antoines,MATCH(K962,Antoine_Name,0),2)-INDEX(Antoines,MATCH(K962,Antoine_Name,0),3)/(K968+459.6))))),0)</f>
        <v>0</v>
      </c>
      <c r="L973" cm="1">
        <f t="array" ref="L973">IFERROR(IF(L963="Chemical",(10^(INDEX(Antoines,MATCH(L962,Antoine_Name,0),2)-INDEX(Antoines,MATCH(L962,Antoine_Name,0),3)/(INDEX(Antoines,MATCH(L962,Antoine_Name,0),4)+(L968-32)*5/9)))*14.7/760,IF(L963="Crude Oil",EXP((2799/(L968+459.6)-2.227)*LOG10(INDEX(FX_Input,Y$5,L$3*$Z$5+$AA$5))-(7261/(L968+459.6))+12.82),IF(L963="Refined Petroleum Stock",EXP((0.7553-(413/(L968+459.6)))*(INDEX(FX_Input,Y$5,L$3*$Z$5+$AA$5-1)^0.5)*LOG10(INDEX(FX_Input,Y$5,L$3*$Z$5+$AA$5))-(1.854-(1042/(L968+459.6)))*(INDEX(FX_Input,Y$5,L$3*$Z$5+$AA$5-1)^0.5)+((2416/(L968+459.6)-2.013)*LOG10(INDEX(FX_Input,Y$5,L$3*$Z$5+$AA$5)))-(8742/(L968+459.6))+15.64),EXP(INDEX(Antoines,MATCH(L962,Antoine_Name,0),2)-INDEX(Antoines,MATCH(L962,Antoine_Name,0),3)/(L968+459.6))))),0)</f>
        <v>0</v>
      </c>
      <c r="M973" cm="1">
        <f t="array" ref="M973">IFERROR(IF(M963="Chemical",(10^(INDEX(Antoines,MATCH(M962,Antoine_Name,0),2)-INDEX(Antoines,MATCH(M962,Antoine_Name,0),3)/(INDEX(Antoines,MATCH(M962,Antoine_Name,0),4)+(M968-32)*5/9)))*14.7/760,IF(M963="Crude Oil",EXP((2799/(M968+459.6)-2.227)*LOG10(INDEX(FX_Input,Z$5,M$3*$Z$5+$AA$5))-(7261/(M968+459.6))+12.82),IF(M963="Refined Petroleum Stock",EXP((0.7553-(413/(M968+459.6)))*(INDEX(FX_Input,Z$5,M$3*$Z$5+$AA$5-1)^0.5)*LOG10(INDEX(FX_Input,Z$5,M$3*$Z$5+$AA$5))-(1.854-(1042/(M968+459.6)))*(INDEX(FX_Input,Z$5,M$3*$Z$5+$AA$5-1)^0.5)+((2416/(M968+459.6)-2.013)*LOG10(INDEX(FX_Input,Z$5,M$3*$Z$5+$AA$5)))-(8742/(M968+459.6))+15.64),EXP(INDEX(Antoines,MATCH(M962,Antoine_Name,0),2)-INDEX(Antoines,MATCH(M962,Antoine_Name,0),3)/(M968+459.6))))),0)</f>
        <v>0</v>
      </c>
      <c r="N973" cm="1">
        <f t="array" ref="N973">IFERROR(IF(N963="Chemical",(10^(INDEX(Antoines,MATCH(N962,Antoine_Name,0),2)-INDEX(Antoines,MATCH(N962,Antoine_Name,0),3)/(INDEX(Antoines,MATCH(N962,Antoine_Name,0),4)+(N968-32)*5/9)))*14.7/760,IF(N963="Crude Oil",EXP((2799/(N968+459.6)-2.227)*LOG10(INDEX(FX_Input,AA$5,N$3*$Z$5+$AA$5))-(7261/(N968+459.6))+12.82),IF(N963="Refined Petroleum Stock",EXP((0.7553-(413/(N968+459.6)))*(INDEX(FX_Input,AA$5,N$3*$Z$5+$AA$5-1)^0.5)*LOG10(INDEX(FX_Input,AA$5,N$3*$Z$5+$AA$5))-(1.854-(1042/(N968+459.6)))*(INDEX(FX_Input,AA$5,N$3*$Z$5+$AA$5-1)^0.5)+((2416/(N968+459.6)-2.013)*LOG10(INDEX(FX_Input,AA$5,N$3*$Z$5+$AA$5)))-(8742/(N968+459.6))+15.64),EXP(INDEX(Antoines,MATCH(N962,Antoine_Name,0),2)-INDEX(Antoines,MATCH(N962,Antoine_Name,0),3)/(N968+459.6))))),0)</f>
        <v>0</v>
      </c>
      <c r="O973" cm="1">
        <f t="array" ref="O973">IFERROR(IF(O963="Chemical",(10^(INDEX(Antoines,MATCH(O962,Antoine_Name,0),2)-INDEX(Antoines,MATCH(O962,Antoine_Name,0),3)/(INDEX(Antoines,MATCH(O962,Antoine_Name,0),4)+(O968-32)*5/9)))*14.7/760,IF(O963="Crude Oil",EXP((2799/(O968+459.6)-2.227)*LOG10(INDEX(FX_Input,AB$5,O$3*$Z$5+$AA$5))-(7261/(O968+459.6))+12.82),IF(O963="Refined Petroleum Stock",EXP((0.7553-(413/(O968+459.6)))*(INDEX(FX_Input,AB$5,O$3*$Z$5+$AA$5-1)^0.5)*LOG10(INDEX(FX_Input,AB$5,O$3*$Z$5+$AA$5))-(1.854-(1042/(O968+459.6)))*(INDEX(FX_Input,AB$5,O$3*$Z$5+$AA$5-1)^0.5)+((2416/(O968+459.6)-2.013)*LOG10(INDEX(FX_Input,AB$5,O$3*$Z$5+$AA$5)))-(8742/(O968+459.6))+15.64),EXP(INDEX(Antoines,MATCH(O962,Antoine_Name,0),2)-INDEX(Antoines,MATCH(O962,Antoine_Name,0),3)/(O968+459.6))))),0)</f>
        <v>0</v>
      </c>
    </row>
    <row r="974" spans="2:32" ht="17.149999999999999" x14ac:dyDescent="0.55000000000000004">
      <c r="B974" t="str">
        <f t="shared" si="3476"/>
        <v>Portland</v>
      </c>
      <c r="C974" t="s">
        <v>577</v>
      </c>
      <c r="D974">
        <f>D973*D966</f>
        <v>0</v>
      </c>
      <c r="E974">
        <f t="shared" ref="E974" si="3488">E973*E966</f>
        <v>0</v>
      </c>
      <c r="F974">
        <f t="shared" ref="F974" si="3489">F973*F966</f>
        <v>0</v>
      </c>
      <c r="G974">
        <f t="shared" ref="G974" si="3490">G973*G966</f>
        <v>0</v>
      </c>
      <c r="H974">
        <f t="shared" ref="H974" si="3491">H973*H966</f>
        <v>0</v>
      </c>
      <c r="I974">
        <f t="shared" ref="I974" si="3492">I973*I966</f>
        <v>0</v>
      </c>
      <c r="J974">
        <f t="shared" ref="J974" si="3493">J973*J966</f>
        <v>0</v>
      </c>
      <c r="K974">
        <f t="shared" ref="K974" si="3494">K973*K966</f>
        <v>0</v>
      </c>
      <c r="L974">
        <f t="shared" ref="L974" si="3495">L973*L966</f>
        <v>0</v>
      </c>
      <c r="M974">
        <f t="shared" ref="M974" si="3496">M973*M966</f>
        <v>0</v>
      </c>
      <c r="N974">
        <f t="shared" ref="N974" si="3497">N973*N966</f>
        <v>0</v>
      </c>
      <c r="O974">
        <f t="shared" ref="O974" si="3498">O973*O966</f>
        <v>0</v>
      </c>
    </row>
    <row r="975" spans="2:32" ht="17.149999999999999" x14ac:dyDescent="0.55000000000000004">
      <c r="B975" t="str">
        <f t="shared" si="3476"/>
        <v>Portland</v>
      </c>
      <c r="C975" t="s">
        <v>578</v>
      </c>
      <c r="D975">
        <f>D974+D972</f>
        <v>1</v>
      </c>
      <c r="E975">
        <f t="shared" ref="E975" si="3499">E974+E972</f>
        <v>1</v>
      </c>
      <c r="F975">
        <f t="shared" ref="F975" si="3500">F974+F972</f>
        <v>1</v>
      </c>
      <c r="G975">
        <f t="shared" ref="G975" si="3501">G974+G972</f>
        <v>1</v>
      </c>
      <c r="H975">
        <f t="shared" ref="H975" si="3502">H974+H972</f>
        <v>1</v>
      </c>
      <c r="I975">
        <f t="shared" ref="I975" si="3503">I974+I972</f>
        <v>1</v>
      </c>
      <c r="J975">
        <f t="shared" ref="J975" si="3504">J974+J972</f>
        <v>1</v>
      </c>
      <c r="K975">
        <f t="shared" ref="K975" si="3505">K974+K972</f>
        <v>1</v>
      </c>
      <c r="L975">
        <f t="shared" ref="L975" si="3506">L974+L972</f>
        <v>1</v>
      </c>
      <c r="M975">
        <f t="shared" ref="M975" si="3507">M974+M972</f>
        <v>1</v>
      </c>
      <c r="N975">
        <f t="shared" ref="N975" si="3508">N974+N972</f>
        <v>1</v>
      </c>
      <c r="O975">
        <f t="shared" ref="O975" si="3509">O974+O972</f>
        <v>1</v>
      </c>
    </row>
    <row r="976" spans="2:32" ht="17.149999999999999" x14ac:dyDescent="0.55000000000000004">
      <c r="B976" t="str">
        <f t="shared" si="3476"/>
        <v>Portland</v>
      </c>
      <c r="C976" t="s">
        <v>579</v>
      </c>
      <c r="D976" cm="1">
        <f t="array" ref="D976">IFERROR(IF(D961="Chemical",(10^(INDEX(Antoines,MATCH(D960,Antoine_Name,0),2)-INDEX(Antoines,MATCH(D960,Antoine_Name,0),3)/(INDEX(Antoines,MATCH(D960,Antoine_Name,0),4)+(D969-32)*5/9)))*14.7/760,IF(D961="Crude Oil",EXP((2799/(D969+459.6)-2.227)*LOG10(INDEX(FX_Input,Q$5,D$3*$Z$5+$AA$5))-(7261/(D969+459.6))+12.82),IF(D961="Refined Petroleum Stock",EXP((0.7553-(413/(D969+459.6)))*(INDEX(FX_Input,Q$5,D$3*$Z$5+$AA$5-1)^0.5)*LOG10(INDEX(FX_Input,Q$5,D$3*$Z$5+$AA$5))-(1.854-(1042/(D969+459.6)))*(INDEX(FX_Input,Q$5,D$3*$Z$5+$AA$5-1)^0.5)+((2416/(D969+459.6)-2.013)*LOG10(INDEX(FX_Input,Q$5,D$3*$Z$5+$AA$5)))-(8742/(D969+459.6))+15.64),EXP(INDEX(Antoines,MATCH(D960,Antoine_Name,0),2)-INDEX(Antoines,MATCH(D960,Antoine_Name,0),3)/(D969+459.6))))),0)</f>
        <v>1</v>
      </c>
      <c r="E976" cm="1">
        <f t="array" ref="E976">IFERROR(IF(E961="Chemical",(10^(INDEX(Antoines,MATCH(E960,Antoine_Name,0),2)-INDEX(Antoines,MATCH(E960,Antoine_Name,0),3)/(INDEX(Antoines,MATCH(E960,Antoine_Name,0),4)+(E969-32)*5/9)))*14.7/760,IF(E961="Crude Oil",EXP((2799/(E969+459.6)-2.227)*LOG10(INDEX(FX_Input,R$5,E$3*$Z$5+$AA$5))-(7261/(E969+459.6))+12.82),IF(E961="Refined Petroleum Stock",EXP((0.7553-(413/(E969+459.6)))*(INDEX(FX_Input,R$5,E$3*$Z$5+$AA$5-1)^0.5)*LOG10(INDEX(FX_Input,R$5,E$3*$Z$5+$AA$5))-(1.854-(1042/(E969+459.6)))*(INDEX(FX_Input,R$5,E$3*$Z$5+$AA$5-1)^0.5)+((2416/(E969+459.6)-2.013)*LOG10(INDEX(FX_Input,R$5,E$3*$Z$5+$AA$5)))-(8742/(E969+459.6))+15.64),EXP(INDEX(Antoines,MATCH(E960,Antoine_Name,0),2)-INDEX(Antoines,MATCH(E960,Antoine_Name,0),3)/(E969+459.6))))),0)</f>
        <v>1</v>
      </c>
      <c r="F976" cm="1">
        <f t="array" ref="F976">IFERROR(IF(F961="Chemical",(10^(INDEX(Antoines,MATCH(F960,Antoine_Name,0),2)-INDEX(Antoines,MATCH(F960,Antoine_Name,0),3)/(INDEX(Antoines,MATCH(F960,Antoine_Name,0),4)+(F969-32)*5/9)))*14.7/760,IF(F961="Crude Oil",EXP((2799/(F969+459.6)-2.227)*LOG10(INDEX(FX_Input,S$5,F$3*$Z$5+$AA$5))-(7261/(F969+459.6))+12.82),IF(F961="Refined Petroleum Stock",EXP((0.7553-(413/(F969+459.6)))*(INDEX(FX_Input,S$5,F$3*$Z$5+$AA$5-1)^0.5)*LOG10(INDEX(FX_Input,S$5,F$3*$Z$5+$AA$5))-(1.854-(1042/(F969+459.6)))*(INDEX(FX_Input,S$5,F$3*$Z$5+$AA$5-1)^0.5)+((2416/(F969+459.6)-2.013)*LOG10(INDEX(FX_Input,S$5,F$3*$Z$5+$AA$5)))-(8742/(F969+459.6))+15.64),EXP(INDEX(Antoines,MATCH(F960,Antoine_Name,0),2)-INDEX(Antoines,MATCH(F960,Antoine_Name,0),3)/(F969+459.6))))),0)</f>
        <v>1</v>
      </c>
      <c r="G976" cm="1">
        <f t="array" ref="G976">IFERROR(IF(G961="Chemical",(10^(INDEX(Antoines,MATCH(G960,Antoine_Name,0),2)-INDEX(Antoines,MATCH(G960,Antoine_Name,0),3)/(INDEX(Antoines,MATCH(G960,Antoine_Name,0),4)+(G969-32)*5/9)))*14.7/760,IF(G961="Crude Oil",EXP((2799/(G969+459.6)-2.227)*LOG10(INDEX(FX_Input,T$5,G$3*$Z$5+$AA$5))-(7261/(G969+459.6))+12.82),IF(G961="Refined Petroleum Stock",EXP((0.7553-(413/(G969+459.6)))*(INDEX(FX_Input,T$5,G$3*$Z$5+$AA$5-1)^0.5)*LOG10(INDEX(FX_Input,T$5,G$3*$Z$5+$AA$5))-(1.854-(1042/(G969+459.6)))*(INDEX(FX_Input,T$5,G$3*$Z$5+$AA$5-1)^0.5)+((2416/(G969+459.6)-2.013)*LOG10(INDEX(FX_Input,T$5,G$3*$Z$5+$AA$5)))-(8742/(G969+459.6))+15.64),EXP(INDEX(Antoines,MATCH(G960,Antoine_Name,0),2)-INDEX(Antoines,MATCH(G960,Antoine_Name,0),3)/(G969+459.6))))),0)</f>
        <v>1</v>
      </c>
      <c r="H976" cm="1">
        <f t="array" ref="H976">IFERROR(IF(H961="Chemical",(10^(INDEX(Antoines,MATCH(H960,Antoine_Name,0),2)-INDEX(Antoines,MATCH(H960,Antoine_Name,0),3)/(INDEX(Antoines,MATCH(H960,Antoine_Name,0),4)+(H969-32)*5/9)))*14.7/760,IF(H961="Crude Oil",EXP((2799/(H969+459.6)-2.227)*LOG10(INDEX(FX_Input,U$5,H$3*$Z$5+$AA$5))-(7261/(H969+459.6))+12.82),IF(H961="Refined Petroleum Stock",EXP((0.7553-(413/(H969+459.6)))*(INDEX(FX_Input,U$5,H$3*$Z$5+$AA$5-1)^0.5)*LOG10(INDEX(FX_Input,U$5,H$3*$Z$5+$AA$5))-(1.854-(1042/(H969+459.6)))*(INDEX(FX_Input,U$5,H$3*$Z$5+$AA$5-1)^0.5)+((2416/(H969+459.6)-2.013)*LOG10(INDEX(FX_Input,U$5,H$3*$Z$5+$AA$5)))-(8742/(H969+459.6))+15.64),EXP(INDEX(Antoines,MATCH(H960,Antoine_Name,0),2)-INDEX(Antoines,MATCH(H960,Antoine_Name,0),3)/(H969+459.6))))),0)</f>
        <v>1</v>
      </c>
      <c r="I976" cm="1">
        <f t="array" ref="I976">IFERROR(IF(I961="Chemical",(10^(INDEX(Antoines,MATCH(I960,Antoine_Name,0),2)-INDEX(Antoines,MATCH(I960,Antoine_Name,0),3)/(INDEX(Antoines,MATCH(I960,Antoine_Name,0),4)+(I969-32)*5/9)))*14.7/760,IF(I961="Crude Oil",EXP((2799/(I969+459.6)-2.227)*LOG10(INDEX(FX_Input,V$5,I$3*$Z$5+$AA$5))-(7261/(I969+459.6))+12.82),IF(I961="Refined Petroleum Stock",EXP((0.7553-(413/(I969+459.6)))*(INDEX(FX_Input,V$5,I$3*$Z$5+$AA$5-1)^0.5)*LOG10(INDEX(FX_Input,V$5,I$3*$Z$5+$AA$5))-(1.854-(1042/(I969+459.6)))*(INDEX(FX_Input,V$5,I$3*$Z$5+$AA$5-1)^0.5)+((2416/(I969+459.6)-2.013)*LOG10(INDEX(FX_Input,V$5,I$3*$Z$5+$AA$5)))-(8742/(I969+459.6))+15.64),EXP(INDEX(Antoines,MATCH(I960,Antoine_Name,0),2)-INDEX(Antoines,MATCH(I960,Antoine_Name,0),3)/(I969+459.6))))),0)</f>
        <v>1</v>
      </c>
      <c r="J976" cm="1">
        <f t="array" ref="J976">IFERROR(IF(J961="Chemical",(10^(INDEX(Antoines,MATCH(J960,Antoine_Name,0),2)-INDEX(Antoines,MATCH(J960,Antoine_Name,0),3)/(INDEX(Antoines,MATCH(J960,Antoine_Name,0),4)+(J969-32)*5/9)))*14.7/760,IF(J961="Crude Oil",EXP((2799/(J969+459.6)-2.227)*LOG10(INDEX(FX_Input,W$5,J$3*$Z$5+$AA$5))-(7261/(J969+459.6))+12.82),IF(J961="Refined Petroleum Stock",EXP((0.7553-(413/(J969+459.6)))*(INDEX(FX_Input,W$5,J$3*$Z$5+$AA$5-1)^0.5)*LOG10(INDEX(FX_Input,W$5,J$3*$Z$5+$AA$5))-(1.854-(1042/(J969+459.6)))*(INDEX(FX_Input,W$5,J$3*$Z$5+$AA$5-1)^0.5)+((2416/(J969+459.6)-2.013)*LOG10(INDEX(FX_Input,W$5,J$3*$Z$5+$AA$5)))-(8742/(J969+459.6))+15.64),EXP(INDEX(Antoines,MATCH(J960,Antoine_Name,0),2)-INDEX(Antoines,MATCH(J960,Antoine_Name,0),3)/(J969+459.6))))),0)</f>
        <v>1</v>
      </c>
      <c r="K976" cm="1">
        <f t="array" ref="K976">IFERROR(IF(K961="Chemical",(10^(INDEX(Antoines,MATCH(K960,Antoine_Name,0),2)-INDEX(Antoines,MATCH(K960,Antoine_Name,0),3)/(INDEX(Antoines,MATCH(K960,Antoine_Name,0),4)+(K969-32)*5/9)))*14.7/760,IF(K961="Crude Oil",EXP((2799/(K969+459.6)-2.227)*LOG10(INDEX(FX_Input,X$5,K$3*$Z$5+$AA$5))-(7261/(K969+459.6))+12.82),IF(K961="Refined Petroleum Stock",EXP((0.7553-(413/(K969+459.6)))*(INDEX(FX_Input,X$5,K$3*$Z$5+$AA$5-1)^0.5)*LOG10(INDEX(FX_Input,X$5,K$3*$Z$5+$AA$5))-(1.854-(1042/(K969+459.6)))*(INDEX(FX_Input,X$5,K$3*$Z$5+$AA$5-1)^0.5)+((2416/(K969+459.6)-2.013)*LOG10(INDEX(FX_Input,X$5,K$3*$Z$5+$AA$5)))-(8742/(K969+459.6))+15.64),EXP(INDEX(Antoines,MATCH(K960,Antoine_Name,0),2)-INDEX(Antoines,MATCH(K960,Antoine_Name,0),3)/(K969+459.6))))),0)</f>
        <v>1</v>
      </c>
      <c r="L976" cm="1">
        <f t="array" ref="L976">IFERROR(IF(L961="Chemical",(10^(INDEX(Antoines,MATCH(L960,Antoine_Name,0),2)-INDEX(Antoines,MATCH(L960,Antoine_Name,0),3)/(INDEX(Antoines,MATCH(L960,Antoine_Name,0),4)+(L969-32)*5/9)))*14.7/760,IF(L961="Crude Oil",EXP((2799/(L969+459.6)-2.227)*LOG10(INDEX(FX_Input,Y$5,L$3*$Z$5+$AA$5))-(7261/(L969+459.6))+12.82),IF(L961="Refined Petroleum Stock",EXP((0.7553-(413/(L969+459.6)))*(INDEX(FX_Input,Y$5,L$3*$Z$5+$AA$5-1)^0.5)*LOG10(INDEX(FX_Input,Y$5,L$3*$Z$5+$AA$5))-(1.854-(1042/(L969+459.6)))*(INDEX(FX_Input,Y$5,L$3*$Z$5+$AA$5-1)^0.5)+((2416/(L969+459.6)-2.013)*LOG10(INDEX(FX_Input,Y$5,L$3*$Z$5+$AA$5)))-(8742/(L969+459.6))+15.64),EXP(INDEX(Antoines,MATCH(L960,Antoine_Name,0),2)-INDEX(Antoines,MATCH(L960,Antoine_Name,0),3)/(L969+459.6))))),0)</f>
        <v>1</v>
      </c>
      <c r="M976" cm="1">
        <f t="array" ref="M976">IFERROR(IF(M961="Chemical",(10^(INDEX(Antoines,MATCH(M960,Antoine_Name,0),2)-INDEX(Antoines,MATCH(M960,Antoine_Name,0),3)/(INDEX(Antoines,MATCH(M960,Antoine_Name,0),4)+(M969-32)*5/9)))*14.7/760,IF(M961="Crude Oil",EXP((2799/(M969+459.6)-2.227)*LOG10(INDEX(FX_Input,Z$5,M$3*$Z$5+$AA$5))-(7261/(M969+459.6))+12.82),IF(M961="Refined Petroleum Stock",EXP((0.7553-(413/(M969+459.6)))*(INDEX(FX_Input,Z$5,M$3*$Z$5+$AA$5-1)^0.5)*LOG10(INDEX(FX_Input,Z$5,M$3*$Z$5+$AA$5))-(1.854-(1042/(M969+459.6)))*(INDEX(FX_Input,Z$5,M$3*$Z$5+$AA$5-1)^0.5)+((2416/(M969+459.6)-2.013)*LOG10(INDEX(FX_Input,Z$5,M$3*$Z$5+$AA$5)))-(8742/(M969+459.6))+15.64),EXP(INDEX(Antoines,MATCH(M960,Antoine_Name,0),2)-INDEX(Antoines,MATCH(M960,Antoine_Name,0),3)/(M969+459.6))))),0)</f>
        <v>1</v>
      </c>
      <c r="N976" cm="1">
        <f t="array" ref="N976">IFERROR(IF(N961="Chemical",(10^(INDEX(Antoines,MATCH(N960,Antoine_Name,0),2)-INDEX(Antoines,MATCH(N960,Antoine_Name,0),3)/(INDEX(Antoines,MATCH(N960,Antoine_Name,0),4)+(N969-32)*5/9)))*14.7/760,IF(N961="Crude Oil",EXP((2799/(N969+459.6)-2.227)*LOG10(INDEX(FX_Input,AA$5,N$3*$Z$5+$AA$5))-(7261/(N969+459.6))+12.82),IF(N961="Refined Petroleum Stock",EXP((0.7553-(413/(N969+459.6)))*(INDEX(FX_Input,AA$5,N$3*$Z$5+$AA$5-1)^0.5)*LOG10(INDEX(FX_Input,AA$5,N$3*$Z$5+$AA$5))-(1.854-(1042/(N969+459.6)))*(INDEX(FX_Input,AA$5,N$3*$Z$5+$AA$5-1)^0.5)+((2416/(N969+459.6)-2.013)*LOG10(INDEX(FX_Input,AA$5,N$3*$Z$5+$AA$5)))-(8742/(N969+459.6))+15.64),EXP(INDEX(Antoines,MATCH(N960,Antoine_Name,0),2)-INDEX(Antoines,MATCH(N960,Antoine_Name,0),3)/(N969+459.6))))),0)</f>
        <v>1</v>
      </c>
      <c r="O976" cm="1">
        <f t="array" ref="O976">IFERROR(IF(O961="Chemical",(10^(INDEX(Antoines,MATCH(O960,Antoine_Name,0),2)-INDEX(Antoines,MATCH(O960,Antoine_Name,0),3)/(INDEX(Antoines,MATCH(O960,Antoine_Name,0),4)+(O969-32)*5/9)))*14.7/760,IF(O961="Crude Oil",EXP((2799/(O969+459.6)-2.227)*LOG10(INDEX(FX_Input,AB$5,O$3*$Z$5+$AA$5))-(7261/(O969+459.6))+12.82),IF(O961="Refined Petroleum Stock",EXP((0.7553-(413/(O969+459.6)))*(INDEX(FX_Input,AB$5,O$3*$Z$5+$AA$5-1)^0.5)*LOG10(INDEX(FX_Input,AB$5,O$3*$Z$5+$AA$5))-(1.854-(1042/(O969+459.6)))*(INDEX(FX_Input,AB$5,O$3*$Z$5+$AA$5-1)^0.5)+((2416/(O969+459.6)-2.013)*LOG10(INDEX(FX_Input,AB$5,O$3*$Z$5+$AA$5)))-(8742/(O969+459.6))+15.64),EXP(INDEX(Antoines,MATCH(O960,Antoine_Name,0),2)-INDEX(Antoines,MATCH(O960,Antoine_Name,0),3)/(O969+459.6))))),0)</f>
        <v>1</v>
      </c>
    </row>
    <row r="977" spans="1:32" ht="17.149999999999999" x14ac:dyDescent="0.55000000000000004">
      <c r="B977" t="str">
        <f t="shared" si="3476"/>
        <v>Portland</v>
      </c>
      <c r="C977" t="s">
        <v>580</v>
      </c>
      <c r="D977">
        <f>D976*D964</f>
        <v>1</v>
      </c>
      <c r="E977">
        <f t="shared" ref="E977" si="3510">E976*E964</f>
        <v>1</v>
      </c>
      <c r="F977">
        <f t="shared" ref="F977" si="3511">F976*F964</f>
        <v>1</v>
      </c>
      <c r="G977">
        <f t="shared" ref="G977" si="3512">G976*G964</f>
        <v>1</v>
      </c>
      <c r="H977">
        <f t="shared" ref="H977" si="3513">H976*H964</f>
        <v>1</v>
      </c>
      <c r="I977">
        <f t="shared" ref="I977" si="3514">I976*I964</f>
        <v>1</v>
      </c>
      <c r="J977">
        <f t="shared" ref="J977" si="3515">J976*J964</f>
        <v>1</v>
      </c>
      <c r="K977">
        <f t="shared" ref="K977" si="3516">K976*K964</f>
        <v>1</v>
      </c>
      <c r="L977">
        <f t="shared" ref="L977" si="3517">L976*L964</f>
        <v>1</v>
      </c>
      <c r="M977">
        <f t="shared" ref="M977" si="3518">M976*M964</f>
        <v>1</v>
      </c>
      <c r="N977">
        <f t="shared" ref="N977" si="3519">N976*N964</f>
        <v>1</v>
      </c>
      <c r="O977">
        <f t="shared" ref="O977" si="3520">O976*O964</f>
        <v>1</v>
      </c>
    </row>
    <row r="978" spans="1:32" ht="17.149999999999999" x14ac:dyDescent="0.55000000000000004">
      <c r="B978" t="str">
        <f t="shared" si="3476"/>
        <v>Portland</v>
      </c>
      <c r="C978" t="s">
        <v>581</v>
      </c>
      <c r="D978" cm="1">
        <f t="array" ref="D978">IFERROR(IF(D963="Chemical",(10^(INDEX(Antoines,MATCH(D962,Antoine_Name,0),2)-INDEX(Antoines,MATCH(D962,Antoine_Name,0),3)/(INDEX(Antoines,MATCH(D962,Antoine_Name,0),4)+(D969-32)*5/9)))*14.7/760,IF(D963="Crude Oil",EXP((2799/(D969+459.6)-2.227)*LOG10(INDEX(FX_Input,Q$5,D$3*$Z$5+$AA$5))-(7261/(D969+459.6))+12.82),IF(D963="Refined Petroleum Stock",EXP((0.7553-(413/(D969+459.6)))*(INDEX(FX_Input,Q$5,D$3*$Z$5+$AA$5-1)^0.5)*LOG10(INDEX(FX_Input,Q$5,D$3*$Z$5+$AA$5))-(1.854-(1042/(D969+459.6)))*(INDEX(FX_Input,Q$5,D$3*$Z$5+$AA$5-1)^0.5)+((2416/(D969+459.6)-2.013)*LOG10(INDEX(FX_Input,Q$5,D$3*$Z$5+$AA$5)))-(8742/(D969+459.6))+15.64),EXP(INDEX(Antoines,MATCH(D962,Antoine_Name,0),2)-INDEX(Antoines,MATCH(D962,Antoine_Name,0),3)/(D969+459.6))))),0)</f>
        <v>0</v>
      </c>
      <c r="E978" cm="1">
        <f t="array" ref="E978">IFERROR(IF(E963="Chemical",(10^(INDEX(Antoines,MATCH(E962,Antoine_Name,0),2)-INDEX(Antoines,MATCH(E962,Antoine_Name,0),3)/(INDEX(Antoines,MATCH(E962,Antoine_Name,0),4)+(E969-32)*5/9)))*14.7/760,IF(E963="Crude Oil",EXP((2799/(E969+459.6)-2.227)*LOG10(INDEX(FX_Input,R$5,E$3*$Z$5+$AA$5))-(7261/(E969+459.6))+12.82),IF(E963="Refined Petroleum Stock",EXP((0.7553-(413/(E969+459.6)))*(INDEX(FX_Input,R$5,E$3*$Z$5+$AA$5-1)^0.5)*LOG10(INDEX(FX_Input,R$5,E$3*$Z$5+$AA$5))-(1.854-(1042/(E969+459.6)))*(INDEX(FX_Input,R$5,E$3*$Z$5+$AA$5-1)^0.5)+((2416/(E969+459.6)-2.013)*LOG10(INDEX(FX_Input,R$5,E$3*$Z$5+$AA$5)))-(8742/(E969+459.6))+15.64),EXP(INDEX(Antoines,MATCH(E962,Antoine_Name,0),2)-INDEX(Antoines,MATCH(E962,Antoine_Name,0),3)/(E969+459.6))))),0)</f>
        <v>0</v>
      </c>
      <c r="F978" cm="1">
        <f t="array" ref="F978">IFERROR(IF(F963="Chemical",(10^(INDEX(Antoines,MATCH(F962,Antoine_Name,0),2)-INDEX(Antoines,MATCH(F962,Antoine_Name,0),3)/(INDEX(Antoines,MATCH(F962,Antoine_Name,0),4)+(F969-32)*5/9)))*14.7/760,IF(F963="Crude Oil",EXP((2799/(F969+459.6)-2.227)*LOG10(INDEX(FX_Input,S$5,F$3*$Z$5+$AA$5))-(7261/(F969+459.6))+12.82),IF(F963="Refined Petroleum Stock",EXP((0.7553-(413/(F969+459.6)))*(INDEX(FX_Input,S$5,F$3*$Z$5+$AA$5-1)^0.5)*LOG10(INDEX(FX_Input,S$5,F$3*$Z$5+$AA$5))-(1.854-(1042/(F969+459.6)))*(INDEX(FX_Input,S$5,F$3*$Z$5+$AA$5-1)^0.5)+((2416/(F969+459.6)-2.013)*LOG10(INDEX(FX_Input,S$5,F$3*$Z$5+$AA$5)))-(8742/(F969+459.6))+15.64),EXP(INDEX(Antoines,MATCH(F962,Antoine_Name,0),2)-INDEX(Antoines,MATCH(F962,Antoine_Name,0),3)/(F969+459.6))))),0)</f>
        <v>0</v>
      </c>
      <c r="G978" cm="1">
        <f t="array" ref="G978">IFERROR(IF(G963="Chemical",(10^(INDEX(Antoines,MATCH(G962,Antoine_Name,0),2)-INDEX(Antoines,MATCH(G962,Antoine_Name,0),3)/(INDEX(Antoines,MATCH(G962,Antoine_Name,0),4)+(G969-32)*5/9)))*14.7/760,IF(G963="Crude Oil",EXP((2799/(G969+459.6)-2.227)*LOG10(INDEX(FX_Input,T$5,G$3*$Z$5+$AA$5))-(7261/(G969+459.6))+12.82),IF(G963="Refined Petroleum Stock",EXP((0.7553-(413/(G969+459.6)))*(INDEX(FX_Input,T$5,G$3*$Z$5+$AA$5-1)^0.5)*LOG10(INDEX(FX_Input,T$5,G$3*$Z$5+$AA$5))-(1.854-(1042/(G969+459.6)))*(INDEX(FX_Input,T$5,G$3*$Z$5+$AA$5-1)^0.5)+((2416/(G969+459.6)-2.013)*LOG10(INDEX(FX_Input,T$5,G$3*$Z$5+$AA$5)))-(8742/(G969+459.6))+15.64),EXP(INDEX(Antoines,MATCH(G962,Antoine_Name,0),2)-INDEX(Antoines,MATCH(G962,Antoine_Name,0),3)/(G969+459.6))))),0)</f>
        <v>0</v>
      </c>
      <c r="H978" cm="1">
        <f t="array" ref="H978">IFERROR(IF(H963="Chemical",(10^(INDEX(Antoines,MATCH(H962,Antoine_Name,0),2)-INDEX(Antoines,MATCH(H962,Antoine_Name,0),3)/(INDEX(Antoines,MATCH(H962,Antoine_Name,0),4)+(H969-32)*5/9)))*14.7/760,IF(H963="Crude Oil",EXP((2799/(H969+459.6)-2.227)*LOG10(INDEX(FX_Input,U$5,H$3*$Z$5+$AA$5))-(7261/(H969+459.6))+12.82),IF(H963="Refined Petroleum Stock",EXP((0.7553-(413/(H969+459.6)))*(INDEX(FX_Input,U$5,H$3*$Z$5+$AA$5-1)^0.5)*LOG10(INDEX(FX_Input,U$5,H$3*$Z$5+$AA$5))-(1.854-(1042/(H969+459.6)))*(INDEX(FX_Input,U$5,H$3*$Z$5+$AA$5-1)^0.5)+((2416/(H969+459.6)-2.013)*LOG10(INDEX(FX_Input,U$5,H$3*$Z$5+$AA$5)))-(8742/(H969+459.6))+15.64),EXP(INDEX(Antoines,MATCH(H962,Antoine_Name,0),2)-INDEX(Antoines,MATCH(H962,Antoine_Name,0),3)/(H969+459.6))))),0)</f>
        <v>0</v>
      </c>
      <c r="I978" cm="1">
        <f t="array" ref="I978">IFERROR(IF(I963="Chemical",(10^(INDEX(Antoines,MATCH(I962,Antoine_Name,0),2)-INDEX(Antoines,MATCH(I962,Antoine_Name,0),3)/(INDEX(Antoines,MATCH(I962,Antoine_Name,0),4)+(I969-32)*5/9)))*14.7/760,IF(I963="Crude Oil",EXP((2799/(I969+459.6)-2.227)*LOG10(INDEX(FX_Input,V$5,I$3*$Z$5+$AA$5))-(7261/(I969+459.6))+12.82),IF(I963="Refined Petroleum Stock",EXP((0.7553-(413/(I969+459.6)))*(INDEX(FX_Input,V$5,I$3*$Z$5+$AA$5-1)^0.5)*LOG10(INDEX(FX_Input,V$5,I$3*$Z$5+$AA$5))-(1.854-(1042/(I969+459.6)))*(INDEX(FX_Input,V$5,I$3*$Z$5+$AA$5-1)^0.5)+((2416/(I969+459.6)-2.013)*LOG10(INDEX(FX_Input,V$5,I$3*$Z$5+$AA$5)))-(8742/(I969+459.6))+15.64),EXP(INDEX(Antoines,MATCH(I962,Antoine_Name,0),2)-INDEX(Antoines,MATCH(I962,Antoine_Name,0),3)/(I969+459.6))))),0)</f>
        <v>0</v>
      </c>
      <c r="J978" cm="1">
        <f t="array" ref="J978">IFERROR(IF(J963="Chemical",(10^(INDEX(Antoines,MATCH(J962,Antoine_Name,0),2)-INDEX(Antoines,MATCH(J962,Antoine_Name,0),3)/(INDEX(Antoines,MATCH(J962,Antoine_Name,0),4)+(J969-32)*5/9)))*14.7/760,IF(J963="Crude Oil",EXP((2799/(J969+459.6)-2.227)*LOG10(INDEX(FX_Input,W$5,J$3*$Z$5+$AA$5))-(7261/(J969+459.6))+12.82),IF(J963="Refined Petroleum Stock",EXP((0.7553-(413/(J969+459.6)))*(INDEX(FX_Input,W$5,J$3*$Z$5+$AA$5-1)^0.5)*LOG10(INDEX(FX_Input,W$5,J$3*$Z$5+$AA$5))-(1.854-(1042/(J969+459.6)))*(INDEX(FX_Input,W$5,J$3*$Z$5+$AA$5-1)^0.5)+((2416/(J969+459.6)-2.013)*LOG10(INDEX(FX_Input,W$5,J$3*$Z$5+$AA$5)))-(8742/(J969+459.6))+15.64),EXP(INDEX(Antoines,MATCH(J962,Antoine_Name,0),2)-INDEX(Antoines,MATCH(J962,Antoine_Name,0),3)/(J969+459.6))))),0)</f>
        <v>0</v>
      </c>
      <c r="K978" cm="1">
        <f t="array" ref="K978">IFERROR(IF(K963="Chemical",(10^(INDEX(Antoines,MATCH(K962,Antoine_Name,0),2)-INDEX(Antoines,MATCH(K962,Antoine_Name,0),3)/(INDEX(Antoines,MATCH(K962,Antoine_Name,0),4)+(K969-32)*5/9)))*14.7/760,IF(K963="Crude Oil",EXP((2799/(K969+459.6)-2.227)*LOG10(INDEX(FX_Input,X$5,K$3*$Z$5+$AA$5))-(7261/(K969+459.6))+12.82),IF(K963="Refined Petroleum Stock",EXP((0.7553-(413/(K969+459.6)))*(INDEX(FX_Input,X$5,K$3*$Z$5+$AA$5-1)^0.5)*LOG10(INDEX(FX_Input,X$5,K$3*$Z$5+$AA$5))-(1.854-(1042/(K969+459.6)))*(INDEX(FX_Input,X$5,K$3*$Z$5+$AA$5-1)^0.5)+((2416/(K969+459.6)-2.013)*LOG10(INDEX(FX_Input,X$5,K$3*$Z$5+$AA$5)))-(8742/(K969+459.6))+15.64),EXP(INDEX(Antoines,MATCH(K962,Antoine_Name,0),2)-INDEX(Antoines,MATCH(K962,Antoine_Name,0),3)/(K969+459.6))))),0)</f>
        <v>0</v>
      </c>
      <c r="L978" cm="1">
        <f t="array" ref="L978">IFERROR(IF(L963="Chemical",(10^(INDEX(Antoines,MATCH(L962,Antoine_Name,0),2)-INDEX(Antoines,MATCH(L962,Antoine_Name,0),3)/(INDEX(Antoines,MATCH(L962,Antoine_Name,0),4)+(L969-32)*5/9)))*14.7/760,IF(L963="Crude Oil",EXP((2799/(L969+459.6)-2.227)*LOG10(INDEX(FX_Input,Y$5,L$3*$Z$5+$AA$5))-(7261/(L969+459.6))+12.82),IF(L963="Refined Petroleum Stock",EXP((0.7553-(413/(L969+459.6)))*(INDEX(FX_Input,Y$5,L$3*$Z$5+$AA$5-1)^0.5)*LOG10(INDEX(FX_Input,Y$5,L$3*$Z$5+$AA$5))-(1.854-(1042/(L969+459.6)))*(INDEX(FX_Input,Y$5,L$3*$Z$5+$AA$5-1)^0.5)+((2416/(L969+459.6)-2.013)*LOG10(INDEX(FX_Input,Y$5,L$3*$Z$5+$AA$5)))-(8742/(L969+459.6))+15.64),EXP(INDEX(Antoines,MATCH(L962,Antoine_Name,0),2)-INDEX(Antoines,MATCH(L962,Antoine_Name,0),3)/(L969+459.6))))),0)</f>
        <v>0</v>
      </c>
      <c r="M978" cm="1">
        <f t="array" ref="M978">IFERROR(IF(M963="Chemical",(10^(INDEX(Antoines,MATCH(M962,Antoine_Name,0),2)-INDEX(Antoines,MATCH(M962,Antoine_Name,0),3)/(INDEX(Antoines,MATCH(M962,Antoine_Name,0),4)+(M969-32)*5/9)))*14.7/760,IF(M963="Crude Oil",EXP((2799/(M969+459.6)-2.227)*LOG10(INDEX(FX_Input,Z$5,M$3*$Z$5+$AA$5))-(7261/(M969+459.6))+12.82),IF(M963="Refined Petroleum Stock",EXP((0.7553-(413/(M969+459.6)))*(INDEX(FX_Input,Z$5,M$3*$Z$5+$AA$5-1)^0.5)*LOG10(INDEX(FX_Input,Z$5,M$3*$Z$5+$AA$5))-(1.854-(1042/(M969+459.6)))*(INDEX(FX_Input,Z$5,M$3*$Z$5+$AA$5-1)^0.5)+((2416/(M969+459.6)-2.013)*LOG10(INDEX(FX_Input,Z$5,M$3*$Z$5+$AA$5)))-(8742/(M969+459.6))+15.64),EXP(INDEX(Antoines,MATCH(M962,Antoine_Name,0),2)-INDEX(Antoines,MATCH(M962,Antoine_Name,0),3)/(M969+459.6))))),0)</f>
        <v>0</v>
      </c>
      <c r="N978" cm="1">
        <f t="array" ref="N978">IFERROR(IF(N963="Chemical",(10^(INDEX(Antoines,MATCH(N962,Antoine_Name,0),2)-INDEX(Antoines,MATCH(N962,Antoine_Name,0),3)/(INDEX(Antoines,MATCH(N962,Antoine_Name,0),4)+(N969-32)*5/9)))*14.7/760,IF(N963="Crude Oil",EXP((2799/(N969+459.6)-2.227)*LOG10(INDEX(FX_Input,AA$5,N$3*$Z$5+$AA$5))-(7261/(N969+459.6))+12.82),IF(N963="Refined Petroleum Stock",EXP((0.7553-(413/(N969+459.6)))*(INDEX(FX_Input,AA$5,N$3*$Z$5+$AA$5-1)^0.5)*LOG10(INDEX(FX_Input,AA$5,N$3*$Z$5+$AA$5))-(1.854-(1042/(N969+459.6)))*(INDEX(FX_Input,AA$5,N$3*$Z$5+$AA$5-1)^0.5)+((2416/(N969+459.6)-2.013)*LOG10(INDEX(FX_Input,AA$5,N$3*$Z$5+$AA$5)))-(8742/(N969+459.6))+15.64),EXP(INDEX(Antoines,MATCH(N962,Antoine_Name,0),2)-INDEX(Antoines,MATCH(N962,Antoine_Name,0),3)/(N969+459.6))))),0)</f>
        <v>0</v>
      </c>
      <c r="O978" cm="1">
        <f t="array" ref="O978">IFERROR(IF(O963="Chemical",(10^(INDEX(Antoines,MATCH(O962,Antoine_Name,0),2)-INDEX(Antoines,MATCH(O962,Antoine_Name,0),3)/(INDEX(Antoines,MATCH(O962,Antoine_Name,0),4)+(O969-32)*5/9)))*14.7/760,IF(O963="Crude Oil",EXP((2799/(O969+459.6)-2.227)*LOG10(INDEX(FX_Input,AB$5,O$3*$Z$5+$AA$5))-(7261/(O969+459.6))+12.82),IF(O963="Refined Petroleum Stock",EXP((0.7553-(413/(O969+459.6)))*(INDEX(FX_Input,AB$5,O$3*$Z$5+$AA$5-1)^0.5)*LOG10(INDEX(FX_Input,AB$5,O$3*$Z$5+$AA$5))-(1.854-(1042/(O969+459.6)))*(INDEX(FX_Input,AB$5,O$3*$Z$5+$AA$5-1)^0.5)+((2416/(O969+459.6)-2.013)*LOG10(INDEX(FX_Input,AB$5,O$3*$Z$5+$AA$5)))-(8742/(O969+459.6))+15.64),EXP(INDEX(Antoines,MATCH(O962,Antoine_Name,0),2)-INDEX(Antoines,MATCH(O962,Antoine_Name,0),3)/(O969+459.6))))),0)</f>
        <v>0</v>
      </c>
    </row>
    <row r="979" spans="1:32" ht="17.149999999999999" x14ac:dyDescent="0.55000000000000004">
      <c r="B979" t="str">
        <f t="shared" si="3476"/>
        <v>Portland</v>
      </c>
      <c r="C979" t="s">
        <v>582</v>
      </c>
      <c r="D979">
        <f>D978*D966</f>
        <v>0</v>
      </c>
      <c r="E979">
        <f t="shared" ref="E979" si="3521">E978*E966</f>
        <v>0</v>
      </c>
      <c r="F979">
        <f t="shared" ref="F979" si="3522">F978*F966</f>
        <v>0</v>
      </c>
      <c r="G979">
        <f t="shared" ref="G979" si="3523">G978*G966</f>
        <v>0</v>
      </c>
      <c r="H979">
        <f t="shared" ref="H979" si="3524">H978*H966</f>
        <v>0</v>
      </c>
      <c r="I979">
        <f t="shared" ref="I979" si="3525">I978*I966</f>
        <v>0</v>
      </c>
      <c r="J979">
        <f t="shared" ref="J979" si="3526">J978*J966</f>
        <v>0</v>
      </c>
      <c r="K979">
        <f t="shared" ref="K979" si="3527">K978*K966</f>
        <v>0</v>
      </c>
      <c r="L979">
        <f t="shared" ref="L979" si="3528">L978*L966</f>
        <v>0</v>
      </c>
      <c r="M979">
        <f t="shared" ref="M979" si="3529">M978*M966</f>
        <v>0</v>
      </c>
      <c r="N979">
        <f t="shared" ref="N979" si="3530">N978*N966</f>
        <v>0</v>
      </c>
      <c r="O979">
        <f t="shared" ref="O979" si="3531">O978*O966</f>
        <v>0</v>
      </c>
    </row>
    <row r="980" spans="1:32" ht="17.149999999999999" x14ac:dyDescent="0.55000000000000004">
      <c r="B980" t="str">
        <f t="shared" si="3476"/>
        <v>Portland</v>
      </c>
      <c r="C980" t="s">
        <v>583</v>
      </c>
      <c r="D980">
        <f>D977+D979</f>
        <v>1</v>
      </c>
      <c r="E980">
        <f t="shared" ref="E980" si="3532">E977+E979</f>
        <v>1</v>
      </c>
      <c r="F980">
        <f t="shared" ref="F980" si="3533">F977+F979</f>
        <v>1</v>
      </c>
      <c r="G980">
        <f t="shared" ref="G980" si="3534">G977+G979</f>
        <v>1</v>
      </c>
      <c r="H980">
        <f t="shared" ref="H980" si="3535">H977+H979</f>
        <v>1</v>
      </c>
      <c r="I980">
        <f t="shared" ref="I980" si="3536">I977+I979</f>
        <v>1</v>
      </c>
      <c r="J980">
        <f t="shared" ref="J980" si="3537">J977+J979</f>
        <v>1</v>
      </c>
      <c r="K980">
        <f t="shared" ref="K980" si="3538">K977+K979</f>
        <v>1</v>
      </c>
      <c r="L980">
        <f t="shared" ref="L980" si="3539">L977+L979</f>
        <v>1</v>
      </c>
      <c r="M980">
        <f t="shared" ref="M980" si="3540">M977+M979</f>
        <v>1</v>
      </c>
      <c r="N980">
        <f t="shared" ref="N980" si="3541">N977+N979</f>
        <v>1</v>
      </c>
      <c r="O980">
        <f t="shared" ref="O980" si="3542">O977+O979</f>
        <v>1</v>
      </c>
    </row>
    <row r="981" spans="1:32" ht="17.149999999999999" x14ac:dyDescent="0.55000000000000004">
      <c r="B981" t="str">
        <f t="shared" si="3476"/>
        <v>Portland</v>
      </c>
      <c r="C981" t="s">
        <v>1388</v>
      </c>
      <c r="D981" cm="1">
        <f t="array" ref="D981">IFERROR(IF(D961="Chemical",(10^(INDEX(Antoines,MATCH(D960,Antoine_Name,0),2)-INDEX(Antoines,MATCH(D960,Antoine_Name,0),3)/(INDEX(Antoines,MATCH(D960,Antoine_Name,0),4)+(D970-32)*5/9)))*14.7/760,IF(D961="Crude Oil",EXP((2799/(D970+459.6)-2.227)*LOG10(INDEX(FX_Input,Q$5,D$3*$Z$5+$AA$5))-(7261/(D970+459.6))+12.82),IF(D961="Refined Petroleum Stock",EXP((0.7553-(413/(D970+459.6)))*(INDEX(FX_Input,Q$5,D$3*$Z$5+$AA$5-1)^0.5)*LOG10(INDEX(FX_Input,Q$5,D$3*$Z$5+$AA$5))-(1.854-(1042/(D970+459.6)))*(INDEX(FX_Input,Q$5,D$3*$Z$5+$AA$5-1)^0.5)+((2416/(D970+459.6)-2.013)*LOG10(INDEX(FX_Input,Q$5,D$3*$Z$5+$AA$5)))-(8742/(D970+459.6))+15.64),EXP(INDEX(Antoines,MATCH(D960,Antoine_Name,0),2)-INDEX(Antoines,MATCH(D960,Antoine_Name,0),3)/(D970+459.6))))),0)</f>
        <v>1</v>
      </c>
      <c r="E981" cm="1">
        <f t="array" ref="E981">IFERROR(IF(E961="Chemical",(10^(INDEX(Antoines,MATCH(E960,Antoine_Name,0),2)-INDEX(Antoines,MATCH(E960,Antoine_Name,0),3)/(INDEX(Antoines,MATCH(E960,Antoine_Name,0),4)+(E970-32)*5/9)))*14.7/760,IF(E961="Crude Oil",EXP((2799/(E970+459.6)-2.227)*LOG10(INDEX(FX_Input,R$5,E$3*$Z$5+$AA$5))-(7261/(E970+459.6))+12.82),IF(E961="Refined Petroleum Stock",EXP((0.7553-(413/(E970+459.6)))*(INDEX(FX_Input,R$5,E$3*$Z$5+$AA$5-1)^0.5)*LOG10(INDEX(FX_Input,R$5,E$3*$Z$5+$AA$5))-(1.854-(1042/(E970+459.6)))*(INDEX(FX_Input,R$5,E$3*$Z$5+$AA$5-1)^0.5)+((2416/(E970+459.6)-2.013)*LOG10(INDEX(FX_Input,R$5,E$3*$Z$5+$AA$5)))-(8742/(E970+459.6))+15.64),EXP(INDEX(Antoines,MATCH(E960,Antoine_Name,0),2)-INDEX(Antoines,MATCH(E960,Antoine_Name,0),3)/(E970+459.6))))),0)</f>
        <v>1</v>
      </c>
      <c r="F981" cm="1">
        <f t="array" ref="F981">IFERROR(IF(F961="Chemical",(10^(INDEX(Antoines,MATCH(F960,Antoine_Name,0),2)-INDEX(Antoines,MATCH(F960,Antoine_Name,0),3)/(INDEX(Antoines,MATCH(F960,Antoine_Name,0),4)+(F970-32)*5/9)))*14.7/760,IF(F961="Crude Oil",EXP((2799/(F970+459.6)-2.227)*LOG10(INDEX(FX_Input,S$5,F$3*$Z$5+$AA$5))-(7261/(F970+459.6))+12.82),IF(F961="Refined Petroleum Stock",EXP((0.7553-(413/(F970+459.6)))*(INDEX(FX_Input,S$5,F$3*$Z$5+$AA$5-1)^0.5)*LOG10(INDEX(FX_Input,S$5,F$3*$Z$5+$AA$5))-(1.854-(1042/(F970+459.6)))*(INDEX(FX_Input,S$5,F$3*$Z$5+$AA$5-1)^0.5)+((2416/(F970+459.6)-2.013)*LOG10(INDEX(FX_Input,S$5,F$3*$Z$5+$AA$5)))-(8742/(F970+459.6))+15.64),EXP(INDEX(Antoines,MATCH(F960,Antoine_Name,0),2)-INDEX(Antoines,MATCH(F960,Antoine_Name,0),3)/(F970+459.6))))),0)</f>
        <v>1</v>
      </c>
      <c r="G981" cm="1">
        <f t="array" ref="G981">IFERROR(IF(G961="Chemical",(10^(INDEX(Antoines,MATCH(G960,Antoine_Name,0),2)-INDEX(Antoines,MATCH(G960,Antoine_Name,0),3)/(INDEX(Antoines,MATCH(G960,Antoine_Name,0),4)+(G970-32)*5/9)))*14.7/760,IF(G961="Crude Oil",EXP((2799/(G970+459.6)-2.227)*LOG10(INDEX(FX_Input,T$5,G$3*$Z$5+$AA$5))-(7261/(G970+459.6))+12.82),IF(G961="Refined Petroleum Stock",EXP((0.7553-(413/(G970+459.6)))*(INDEX(FX_Input,T$5,G$3*$Z$5+$AA$5-1)^0.5)*LOG10(INDEX(FX_Input,T$5,G$3*$Z$5+$AA$5))-(1.854-(1042/(G970+459.6)))*(INDEX(FX_Input,T$5,G$3*$Z$5+$AA$5-1)^0.5)+((2416/(G970+459.6)-2.013)*LOG10(INDEX(FX_Input,T$5,G$3*$Z$5+$AA$5)))-(8742/(G970+459.6))+15.64),EXP(INDEX(Antoines,MATCH(G960,Antoine_Name,0),2)-INDEX(Antoines,MATCH(G960,Antoine_Name,0),3)/(G970+459.6))))),0)</f>
        <v>1</v>
      </c>
      <c r="H981" cm="1">
        <f t="array" ref="H981">IFERROR(IF(H961="Chemical",(10^(INDEX(Antoines,MATCH(H960,Antoine_Name,0),2)-INDEX(Antoines,MATCH(H960,Antoine_Name,0),3)/(INDEX(Antoines,MATCH(H960,Antoine_Name,0),4)+(H970-32)*5/9)))*14.7/760,IF(H961="Crude Oil",EXP((2799/(H970+459.6)-2.227)*LOG10(INDEX(FX_Input,U$5,H$3*$Z$5+$AA$5))-(7261/(H970+459.6))+12.82),IF(H961="Refined Petroleum Stock",EXP((0.7553-(413/(H970+459.6)))*(INDEX(FX_Input,U$5,H$3*$Z$5+$AA$5-1)^0.5)*LOG10(INDEX(FX_Input,U$5,H$3*$Z$5+$AA$5))-(1.854-(1042/(H970+459.6)))*(INDEX(FX_Input,U$5,H$3*$Z$5+$AA$5-1)^0.5)+((2416/(H970+459.6)-2.013)*LOG10(INDEX(FX_Input,U$5,H$3*$Z$5+$AA$5)))-(8742/(H970+459.6))+15.64),EXP(INDEX(Antoines,MATCH(H960,Antoine_Name,0),2)-INDEX(Antoines,MATCH(H960,Antoine_Name,0),3)/(H970+459.6))))),0)</f>
        <v>1</v>
      </c>
      <c r="I981" cm="1">
        <f t="array" ref="I981">IFERROR(IF(I961="Chemical",(10^(INDEX(Antoines,MATCH(I960,Antoine_Name,0),2)-INDEX(Antoines,MATCH(I960,Antoine_Name,0),3)/(INDEX(Antoines,MATCH(I960,Antoine_Name,0),4)+(I970-32)*5/9)))*14.7/760,IF(I961="Crude Oil",EXP((2799/(I970+459.6)-2.227)*LOG10(INDEX(FX_Input,V$5,I$3*$Z$5+$AA$5))-(7261/(I970+459.6))+12.82),IF(I961="Refined Petroleum Stock",EXP((0.7553-(413/(I970+459.6)))*(INDEX(FX_Input,V$5,I$3*$Z$5+$AA$5-1)^0.5)*LOG10(INDEX(FX_Input,V$5,I$3*$Z$5+$AA$5))-(1.854-(1042/(I970+459.6)))*(INDEX(FX_Input,V$5,I$3*$Z$5+$AA$5-1)^0.5)+((2416/(I970+459.6)-2.013)*LOG10(INDEX(FX_Input,V$5,I$3*$Z$5+$AA$5)))-(8742/(I970+459.6))+15.64),EXP(INDEX(Antoines,MATCH(I960,Antoine_Name,0),2)-INDEX(Antoines,MATCH(I960,Antoine_Name,0),3)/(I970+459.6))))),0)</f>
        <v>1</v>
      </c>
      <c r="J981" cm="1">
        <f t="array" ref="J981">IFERROR(IF(J961="Chemical",(10^(INDEX(Antoines,MATCH(J960,Antoine_Name,0),2)-INDEX(Antoines,MATCH(J960,Antoine_Name,0),3)/(INDEX(Antoines,MATCH(J960,Antoine_Name,0),4)+(J970-32)*5/9)))*14.7/760,IF(J961="Crude Oil",EXP((2799/(J970+459.6)-2.227)*LOG10(INDEX(FX_Input,W$5,J$3*$Z$5+$AA$5))-(7261/(J970+459.6))+12.82),IF(J961="Refined Petroleum Stock",EXP((0.7553-(413/(J970+459.6)))*(INDEX(FX_Input,W$5,J$3*$Z$5+$AA$5-1)^0.5)*LOG10(INDEX(FX_Input,W$5,J$3*$Z$5+$AA$5))-(1.854-(1042/(J970+459.6)))*(INDEX(FX_Input,W$5,J$3*$Z$5+$AA$5-1)^0.5)+((2416/(J970+459.6)-2.013)*LOG10(INDEX(FX_Input,W$5,J$3*$Z$5+$AA$5)))-(8742/(J970+459.6))+15.64),EXP(INDEX(Antoines,MATCH(J960,Antoine_Name,0),2)-INDEX(Antoines,MATCH(J960,Antoine_Name,0),3)/(J970+459.6))))),0)</f>
        <v>1</v>
      </c>
      <c r="K981" cm="1">
        <f t="array" ref="K981">IFERROR(IF(K961="Chemical",(10^(INDEX(Antoines,MATCH(K960,Antoine_Name,0),2)-INDEX(Antoines,MATCH(K960,Antoine_Name,0),3)/(INDEX(Antoines,MATCH(K960,Antoine_Name,0),4)+(K970-32)*5/9)))*14.7/760,IF(K961="Crude Oil",EXP((2799/(K970+459.6)-2.227)*LOG10(INDEX(FX_Input,X$5,K$3*$Z$5+$AA$5))-(7261/(K970+459.6))+12.82),IF(K961="Refined Petroleum Stock",EXP((0.7553-(413/(K970+459.6)))*(INDEX(FX_Input,X$5,K$3*$Z$5+$AA$5-1)^0.5)*LOG10(INDEX(FX_Input,X$5,K$3*$Z$5+$AA$5))-(1.854-(1042/(K970+459.6)))*(INDEX(FX_Input,X$5,K$3*$Z$5+$AA$5-1)^0.5)+((2416/(K970+459.6)-2.013)*LOG10(INDEX(FX_Input,X$5,K$3*$Z$5+$AA$5)))-(8742/(K970+459.6))+15.64),EXP(INDEX(Antoines,MATCH(K960,Antoine_Name,0),2)-INDEX(Antoines,MATCH(K960,Antoine_Name,0),3)/(K970+459.6))))),0)</f>
        <v>1</v>
      </c>
      <c r="L981" cm="1">
        <f t="array" ref="L981">IFERROR(IF(L961="Chemical",(10^(INDEX(Antoines,MATCH(L960,Antoine_Name,0),2)-INDEX(Antoines,MATCH(L960,Antoine_Name,0),3)/(INDEX(Antoines,MATCH(L960,Antoine_Name,0),4)+(L970-32)*5/9)))*14.7/760,IF(L961="Crude Oil",EXP((2799/(L970+459.6)-2.227)*LOG10(INDEX(FX_Input,Y$5,L$3*$Z$5+$AA$5))-(7261/(L970+459.6))+12.82),IF(L961="Refined Petroleum Stock",EXP((0.7553-(413/(L970+459.6)))*(INDEX(FX_Input,Y$5,L$3*$Z$5+$AA$5-1)^0.5)*LOG10(INDEX(FX_Input,Y$5,L$3*$Z$5+$AA$5))-(1.854-(1042/(L970+459.6)))*(INDEX(FX_Input,Y$5,L$3*$Z$5+$AA$5-1)^0.5)+((2416/(L970+459.6)-2.013)*LOG10(INDEX(FX_Input,Y$5,L$3*$Z$5+$AA$5)))-(8742/(L970+459.6))+15.64),EXP(INDEX(Antoines,MATCH(L960,Antoine_Name,0),2)-INDEX(Antoines,MATCH(L960,Antoine_Name,0),3)/(L970+459.6))))),0)</f>
        <v>1</v>
      </c>
      <c r="M981" cm="1">
        <f t="array" ref="M981">IFERROR(IF(M961="Chemical",(10^(INDEX(Antoines,MATCH(M960,Antoine_Name,0),2)-INDEX(Antoines,MATCH(M960,Antoine_Name,0),3)/(INDEX(Antoines,MATCH(M960,Antoine_Name,0),4)+(M970-32)*5/9)))*14.7/760,IF(M961="Crude Oil",EXP((2799/(M970+459.6)-2.227)*LOG10(INDEX(FX_Input,Z$5,M$3*$Z$5+$AA$5))-(7261/(M970+459.6))+12.82),IF(M961="Refined Petroleum Stock",EXP((0.7553-(413/(M970+459.6)))*(INDEX(FX_Input,Z$5,M$3*$Z$5+$AA$5-1)^0.5)*LOG10(INDEX(FX_Input,Z$5,M$3*$Z$5+$AA$5))-(1.854-(1042/(M970+459.6)))*(INDEX(FX_Input,Z$5,M$3*$Z$5+$AA$5-1)^0.5)+((2416/(M970+459.6)-2.013)*LOG10(INDEX(FX_Input,Z$5,M$3*$Z$5+$AA$5)))-(8742/(M970+459.6))+15.64),EXP(INDEX(Antoines,MATCH(M960,Antoine_Name,0),2)-INDEX(Antoines,MATCH(M960,Antoine_Name,0),3)/(M970+459.6))))),0)</f>
        <v>1</v>
      </c>
      <c r="N981" cm="1">
        <f t="array" ref="N981">IFERROR(IF(N961="Chemical",(10^(INDEX(Antoines,MATCH(N960,Antoine_Name,0),2)-INDEX(Antoines,MATCH(N960,Antoine_Name,0),3)/(INDEX(Antoines,MATCH(N960,Antoine_Name,0),4)+(N970-32)*5/9)))*14.7/760,IF(N961="Crude Oil",EXP((2799/(N970+459.6)-2.227)*LOG10(INDEX(FX_Input,AA$5,N$3*$Z$5+$AA$5))-(7261/(N970+459.6))+12.82),IF(N961="Refined Petroleum Stock",EXP((0.7553-(413/(N970+459.6)))*(INDEX(FX_Input,AA$5,N$3*$Z$5+$AA$5-1)^0.5)*LOG10(INDEX(FX_Input,AA$5,N$3*$Z$5+$AA$5))-(1.854-(1042/(N970+459.6)))*(INDEX(FX_Input,AA$5,N$3*$Z$5+$AA$5-1)^0.5)+((2416/(N970+459.6)-2.013)*LOG10(INDEX(FX_Input,AA$5,N$3*$Z$5+$AA$5)))-(8742/(N970+459.6))+15.64),EXP(INDEX(Antoines,MATCH(N960,Antoine_Name,0),2)-INDEX(Antoines,MATCH(N960,Antoine_Name,0),3)/(N970+459.6))))),0)</f>
        <v>1</v>
      </c>
      <c r="O981" cm="1">
        <f t="array" ref="O981">IFERROR(IF(O961="Chemical",(10^(INDEX(Antoines,MATCH(O960,Antoine_Name,0),2)-INDEX(Antoines,MATCH(O960,Antoine_Name,0),3)/(INDEX(Antoines,MATCH(O960,Antoine_Name,0),4)+(O970-32)*5/9)))*14.7/760,IF(O961="Crude Oil",EXP((2799/(O970+459.6)-2.227)*LOG10(INDEX(FX_Input,AB$5,O$3*$Z$5+$AA$5))-(7261/(O970+459.6))+12.82),IF(O961="Refined Petroleum Stock",EXP((0.7553-(413/(O970+459.6)))*(INDEX(FX_Input,AB$5,O$3*$Z$5+$AA$5-1)^0.5)*LOG10(INDEX(FX_Input,AB$5,O$3*$Z$5+$AA$5))-(1.854-(1042/(O970+459.6)))*(INDEX(FX_Input,AB$5,O$3*$Z$5+$AA$5-1)^0.5)+((2416/(O970+459.6)-2.013)*LOG10(INDEX(FX_Input,AB$5,O$3*$Z$5+$AA$5)))-(8742/(O970+459.6))+15.64),EXP(INDEX(Antoines,MATCH(O960,Antoine_Name,0),2)-INDEX(Antoines,MATCH(O960,Antoine_Name,0),3)/(O970+459.6))))),0)</f>
        <v>1</v>
      </c>
    </row>
    <row r="982" spans="1:32" ht="17.149999999999999" x14ac:dyDescent="0.55000000000000004">
      <c r="B982" t="str">
        <f t="shared" si="3476"/>
        <v>Portland</v>
      </c>
      <c r="C982" t="s">
        <v>1389</v>
      </c>
      <c r="D982">
        <f>D981*D964</f>
        <v>1</v>
      </c>
      <c r="E982">
        <f t="shared" ref="E982" si="3543">E981*E964</f>
        <v>1</v>
      </c>
      <c r="F982">
        <f t="shared" ref="F982" si="3544">F981*F964</f>
        <v>1</v>
      </c>
      <c r="G982">
        <f t="shared" ref="G982" si="3545">G981*G964</f>
        <v>1</v>
      </c>
      <c r="H982">
        <f t="shared" ref="H982" si="3546">H981*H964</f>
        <v>1</v>
      </c>
      <c r="I982">
        <f t="shared" ref="I982" si="3547">I981*I964</f>
        <v>1</v>
      </c>
      <c r="J982">
        <f t="shared" ref="J982" si="3548">J981*J964</f>
        <v>1</v>
      </c>
      <c r="K982">
        <f t="shared" ref="K982" si="3549">K981*K964</f>
        <v>1</v>
      </c>
      <c r="L982">
        <f t="shared" ref="L982" si="3550">L981*L964</f>
        <v>1</v>
      </c>
      <c r="M982">
        <f t="shared" ref="M982" si="3551">M981*M964</f>
        <v>1</v>
      </c>
      <c r="N982">
        <f t="shared" ref="N982" si="3552">N981*N964</f>
        <v>1</v>
      </c>
      <c r="O982">
        <f t="shared" ref="O982" si="3553">O981*O964</f>
        <v>1</v>
      </c>
    </row>
    <row r="983" spans="1:32" ht="17.149999999999999" x14ac:dyDescent="0.55000000000000004">
      <c r="B983" t="str">
        <f t="shared" si="3476"/>
        <v>Portland</v>
      </c>
      <c r="C983" t="s">
        <v>1390</v>
      </c>
      <c r="D983" cm="1">
        <f t="array" ref="D983">IFERROR(IF(D963="Chemical",(10^(INDEX(Antoines,MATCH(D962,Antoine_Name,0),2)-INDEX(Antoines,MATCH(D962,Antoine_Name,0),3)/(INDEX(Antoines,MATCH(D962,Antoine_Name,0),4)+(D970-32)*5/9)))*14.7/760,IF(D963="Crude Oil",EXP((2799/(D970+459.6)-2.227)*LOG10(INDEX(FX_Input,Q$5,D$3*$Z$5+$AA$5))-(7261/(D970+459.6))+12.82),IF(D963="Refined Petroleum Stock",EXP((0.7553-(413/(D970+459.6)))*(INDEX(FX_Input,Q$5,D$3*$Z$5+$AA$5-1)^0.5)*LOG10(INDEX(FX_Input,Q$5,D$3*$Z$5+$AA$5))-(1.854-(1042/(D970+459.6)))*(INDEX(FX_Input,Q$5,D$3*$Z$5+$AA$5-1)^0.5)+((2416/(D970+459.6)-2.013)*LOG10(INDEX(FX_Input,Q$5,D$3*$Z$5+$AA$5)))-(8742/(D970+459.6))+15.64),EXP(INDEX(Antoines,MATCH(D962,Antoine_Name,0),2)-INDEX(Antoines,MATCH(D962,Antoine_Name,0),3)/(D970+459.6))))),0)</f>
        <v>0</v>
      </c>
      <c r="E983" cm="1">
        <f t="array" ref="E983">IFERROR(IF(E963="Chemical",(10^(INDEX(Antoines,MATCH(E962,Antoine_Name,0),2)-INDEX(Antoines,MATCH(E962,Antoine_Name,0),3)/(INDEX(Antoines,MATCH(E962,Antoine_Name,0),4)+(E970-32)*5/9)))*14.7/760,IF(E963="Crude Oil",EXP((2799/(E970+459.6)-2.227)*LOG10(INDEX(FX_Input,R$5,E$3*$Z$5+$AA$5))-(7261/(E970+459.6))+12.82),IF(E963="Refined Petroleum Stock",EXP((0.7553-(413/(E970+459.6)))*(INDEX(FX_Input,R$5,E$3*$Z$5+$AA$5-1)^0.5)*LOG10(INDEX(FX_Input,R$5,E$3*$Z$5+$AA$5))-(1.854-(1042/(E970+459.6)))*(INDEX(FX_Input,R$5,E$3*$Z$5+$AA$5-1)^0.5)+((2416/(E970+459.6)-2.013)*LOG10(INDEX(FX_Input,R$5,E$3*$Z$5+$AA$5)))-(8742/(E970+459.6))+15.64),EXP(INDEX(Antoines,MATCH(E962,Antoine_Name,0),2)-INDEX(Antoines,MATCH(E962,Antoine_Name,0),3)/(E970+459.6))))),0)</f>
        <v>0</v>
      </c>
      <c r="F983" cm="1">
        <f t="array" ref="F983">IFERROR(IF(F963="Chemical",(10^(INDEX(Antoines,MATCH(F962,Antoine_Name,0),2)-INDEX(Antoines,MATCH(F962,Antoine_Name,0),3)/(INDEX(Antoines,MATCH(F962,Antoine_Name,0),4)+(F970-32)*5/9)))*14.7/760,IF(F963="Crude Oil",EXP((2799/(F970+459.6)-2.227)*LOG10(INDEX(FX_Input,S$5,F$3*$Z$5+$AA$5))-(7261/(F970+459.6))+12.82),IF(F963="Refined Petroleum Stock",EXP((0.7553-(413/(F970+459.6)))*(INDEX(FX_Input,S$5,F$3*$Z$5+$AA$5-1)^0.5)*LOG10(INDEX(FX_Input,S$5,F$3*$Z$5+$AA$5))-(1.854-(1042/(F970+459.6)))*(INDEX(FX_Input,S$5,F$3*$Z$5+$AA$5-1)^0.5)+((2416/(F970+459.6)-2.013)*LOG10(INDEX(FX_Input,S$5,F$3*$Z$5+$AA$5)))-(8742/(F970+459.6))+15.64),EXP(INDEX(Antoines,MATCH(F962,Antoine_Name,0),2)-INDEX(Antoines,MATCH(F962,Antoine_Name,0),3)/(F970+459.6))))),0)</f>
        <v>0</v>
      </c>
      <c r="G983" cm="1">
        <f t="array" ref="G983">IFERROR(IF(G963="Chemical",(10^(INDEX(Antoines,MATCH(G962,Antoine_Name,0),2)-INDEX(Antoines,MATCH(G962,Antoine_Name,0),3)/(INDEX(Antoines,MATCH(G962,Antoine_Name,0),4)+(G970-32)*5/9)))*14.7/760,IF(G963="Crude Oil",EXP((2799/(G970+459.6)-2.227)*LOG10(INDEX(FX_Input,T$5,G$3*$Z$5+$AA$5))-(7261/(G970+459.6))+12.82),IF(G963="Refined Petroleum Stock",EXP((0.7553-(413/(G970+459.6)))*(INDEX(FX_Input,T$5,G$3*$Z$5+$AA$5-1)^0.5)*LOG10(INDEX(FX_Input,T$5,G$3*$Z$5+$AA$5))-(1.854-(1042/(G970+459.6)))*(INDEX(FX_Input,T$5,G$3*$Z$5+$AA$5-1)^0.5)+((2416/(G970+459.6)-2.013)*LOG10(INDEX(FX_Input,T$5,G$3*$Z$5+$AA$5)))-(8742/(G970+459.6))+15.64),EXP(INDEX(Antoines,MATCH(G962,Antoine_Name,0),2)-INDEX(Antoines,MATCH(G962,Antoine_Name,0),3)/(G970+459.6))))),0)</f>
        <v>0</v>
      </c>
      <c r="H983" cm="1">
        <f t="array" ref="H983">IFERROR(IF(H963="Chemical",(10^(INDEX(Antoines,MATCH(H962,Antoine_Name,0),2)-INDEX(Antoines,MATCH(H962,Antoine_Name,0),3)/(INDEX(Antoines,MATCH(H962,Antoine_Name,0),4)+(H970-32)*5/9)))*14.7/760,IF(H963="Crude Oil",EXP((2799/(H970+459.6)-2.227)*LOG10(INDEX(FX_Input,U$5,H$3*$Z$5+$AA$5))-(7261/(H970+459.6))+12.82),IF(H963="Refined Petroleum Stock",EXP((0.7553-(413/(H970+459.6)))*(INDEX(FX_Input,U$5,H$3*$Z$5+$AA$5-1)^0.5)*LOG10(INDEX(FX_Input,U$5,H$3*$Z$5+$AA$5))-(1.854-(1042/(H970+459.6)))*(INDEX(FX_Input,U$5,H$3*$Z$5+$AA$5-1)^0.5)+((2416/(H970+459.6)-2.013)*LOG10(INDEX(FX_Input,U$5,H$3*$Z$5+$AA$5)))-(8742/(H970+459.6))+15.64),EXP(INDEX(Antoines,MATCH(H962,Antoine_Name,0),2)-INDEX(Antoines,MATCH(H962,Antoine_Name,0),3)/(H970+459.6))))),0)</f>
        <v>0</v>
      </c>
      <c r="I983" cm="1">
        <f t="array" ref="I983">IFERROR(IF(I963="Chemical",(10^(INDEX(Antoines,MATCH(I962,Antoine_Name,0),2)-INDEX(Antoines,MATCH(I962,Antoine_Name,0),3)/(INDEX(Antoines,MATCH(I962,Antoine_Name,0),4)+(I970-32)*5/9)))*14.7/760,IF(I963="Crude Oil",EXP((2799/(I970+459.6)-2.227)*LOG10(INDEX(FX_Input,V$5,I$3*$Z$5+$AA$5))-(7261/(I970+459.6))+12.82),IF(I963="Refined Petroleum Stock",EXP((0.7553-(413/(I970+459.6)))*(INDEX(FX_Input,V$5,I$3*$Z$5+$AA$5-1)^0.5)*LOG10(INDEX(FX_Input,V$5,I$3*$Z$5+$AA$5))-(1.854-(1042/(I970+459.6)))*(INDEX(FX_Input,V$5,I$3*$Z$5+$AA$5-1)^0.5)+((2416/(I970+459.6)-2.013)*LOG10(INDEX(FX_Input,V$5,I$3*$Z$5+$AA$5)))-(8742/(I970+459.6))+15.64),EXP(INDEX(Antoines,MATCH(I962,Antoine_Name,0),2)-INDEX(Antoines,MATCH(I962,Antoine_Name,0),3)/(I970+459.6))))),0)</f>
        <v>0</v>
      </c>
      <c r="J983" cm="1">
        <f t="array" ref="J983">IFERROR(IF(J963="Chemical",(10^(INDEX(Antoines,MATCH(J962,Antoine_Name,0),2)-INDEX(Antoines,MATCH(J962,Antoine_Name,0),3)/(INDEX(Antoines,MATCH(J962,Antoine_Name,0),4)+(J970-32)*5/9)))*14.7/760,IF(J963="Crude Oil",EXP((2799/(J970+459.6)-2.227)*LOG10(INDEX(FX_Input,W$5,J$3*$Z$5+$AA$5))-(7261/(J970+459.6))+12.82),IF(J963="Refined Petroleum Stock",EXP((0.7553-(413/(J970+459.6)))*(INDEX(FX_Input,W$5,J$3*$Z$5+$AA$5-1)^0.5)*LOG10(INDEX(FX_Input,W$5,J$3*$Z$5+$AA$5))-(1.854-(1042/(J970+459.6)))*(INDEX(FX_Input,W$5,J$3*$Z$5+$AA$5-1)^0.5)+((2416/(J970+459.6)-2.013)*LOG10(INDEX(FX_Input,W$5,J$3*$Z$5+$AA$5)))-(8742/(J970+459.6))+15.64),EXP(INDEX(Antoines,MATCH(J962,Antoine_Name,0),2)-INDEX(Antoines,MATCH(J962,Antoine_Name,0),3)/(J970+459.6))))),0)</f>
        <v>0</v>
      </c>
      <c r="K983" cm="1">
        <f t="array" ref="K983">IFERROR(IF(K963="Chemical",(10^(INDEX(Antoines,MATCH(K962,Antoine_Name,0),2)-INDEX(Antoines,MATCH(K962,Antoine_Name,0),3)/(INDEX(Antoines,MATCH(K962,Antoine_Name,0),4)+(K970-32)*5/9)))*14.7/760,IF(K963="Crude Oil",EXP((2799/(K970+459.6)-2.227)*LOG10(INDEX(FX_Input,X$5,K$3*$Z$5+$AA$5))-(7261/(K970+459.6))+12.82),IF(K963="Refined Petroleum Stock",EXP((0.7553-(413/(K970+459.6)))*(INDEX(FX_Input,X$5,K$3*$Z$5+$AA$5-1)^0.5)*LOG10(INDEX(FX_Input,X$5,K$3*$Z$5+$AA$5))-(1.854-(1042/(K970+459.6)))*(INDEX(FX_Input,X$5,K$3*$Z$5+$AA$5-1)^0.5)+((2416/(K970+459.6)-2.013)*LOG10(INDEX(FX_Input,X$5,K$3*$Z$5+$AA$5)))-(8742/(K970+459.6))+15.64),EXP(INDEX(Antoines,MATCH(K962,Antoine_Name,0),2)-INDEX(Antoines,MATCH(K962,Antoine_Name,0),3)/(K970+459.6))))),0)</f>
        <v>0</v>
      </c>
      <c r="L983" cm="1">
        <f t="array" ref="L983">IFERROR(IF(L963="Chemical",(10^(INDEX(Antoines,MATCH(L962,Antoine_Name,0),2)-INDEX(Antoines,MATCH(L962,Antoine_Name,0),3)/(INDEX(Antoines,MATCH(L962,Antoine_Name,0),4)+(L970-32)*5/9)))*14.7/760,IF(L963="Crude Oil",EXP((2799/(L970+459.6)-2.227)*LOG10(INDEX(FX_Input,Y$5,L$3*$Z$5+$AA$5))-(7261/(L970+459.6))+12.82),IF(L963="Refined Petroleum Stock",EXP((0.7553-(413/(L970+459.6)))*(INDEX(FX_Input,Y$5,L$3*$Z$5+$AA$5-1)^0.5)*LOG10(INDEX(FX_Input,Y$5,L$3*$Z$5+$AA$5))-(1.854-(1042/(L970+459.6)))*(INDEX(FX_Input,Y$5,L$3*$Z$5+$AA$5-1)^0.5)+((2416/(L970+459.6)-2.013)*LOG10(INDEX(FX_Input,Y$5,L$3*$Z$5+$AA$5)))-(8742/(L970+459.6))+15.64),EXP(INDEX(Antoines,MATCH(L962,Antoine_Name,0),2)-INDEX(Antoines,MATCH(L962,Antoine_Name,0),3)/(L970+459.6))))),0)</f>
        <v>0</v>
      </c>
      <c r="M983" cm="1">
        <f t="array" ref="M983">IFERROR(IF(M963="Chemical",(10^(INDEX(Antoines,MATCH(M962,Antoine_Name,0),2)-INDEX(Antoines,MATCH(M962,Antoine_Name,0),3)/(INDEX(Antoines,MATCH(M962,Antoine_Name,0),4)+(M970-32)*5/9)))*14.7/760,IF(M963="Crude Oil",EXP((2799/(M970+459.6)-2.227)*LOG10(INDEX(FX_Input,Z$5,M$3*$Z$5+$AA$5))-(7261/(M970+459.6))+12.82),IF(M963="Refined Petroleum Stock",EXP((0.7553-(413/(M970+459.6)))*(INDEX(FX_Input,Z$5,M$3*$Z$5+$AA$5-1)^0.5)*LOG10(INDEX(FX_Input,Z$5,M$3*$Z$5+$AA$5))-(1.854-(1042/(M970+459.6)))*(INDEX(FX_Input,Z$5,M$3*$Z$5+$AA$5-1)^0.5)+((2416/(M970+459.6)-2.013)*LOG10(INDEX(FX_Input,Z$5,M$3*$Z$5+$AA$5)))-(8742/(M970+459.6))+15.64),EXP(INDEX(Antoines,MATCH(M962,Antoine_Name,0),2)-INDEX(Antoines,MATCH(M962,Antoine_Name,0),3)/(M970+459.6))))),0)</f>
        <v>0</v>
      </c>
      <c r="N983" cm="1">
        <f t="array" ref="N983">IFERROR(IF(N963="Chemical",(10^(INDEX(Antoines,MATCH(N962,Antoine_Name,0),2)-INDEX(Antoines,MATCH(N962,Antoine_Name,0),3)/(INDEX(Antoines,MATCH(N962,Antoine_Name,0),4)+(N970-32)*5/9)))*14.7/760,IF(N963="Crude Oil",EXP((2799/(N970+459.6)-2.227)*LOG10(INDEX(FX_Input,AA$5,N$3*$Z$5+$AA$5))-(7261/(N970+459.6))+12.82),IF(N963="Refined Petroleum Stock",EXP((0.7553-(413/(N970+459.6)))*(INDEX(FX_Input,AA$5,N$3*$Z$5+$AA$5-1)^0.5)*LOG10(INDEX(FX_Input,AA$5,N$3*$Z$5+$AA$5))-(1.854-(1042/(N970+459.6)))*(INDEX(FX_Input,AA$5,N$3*$Z$5+$AA$5-1)^0.5)+((2416/(N970+459.6)-2.013)*LOG10(INDEX(FX_Input,AA$5,N$3*$Z$5+$AA$5)))-(8742/(N970+459.6))+15.64),EXP(INDEX(Antoines,MATCH(N962,Antoine_Name,0),2)-INDEX(Antoines,MATCH(N962,Antoine_Name,0),3)/(N970+459.6))))),0)</f>
        <v>0</v>
      </c>
      <c r="O983" cm="1">
        <f t="array" ref="O983">IFERROR(IF(O963="Chemical",(10^(INDEX(Antoines,MATCH(O962,Antoine_Name,0),2)-INDEX(Antoines,MATCH(O962,Antoine_Name,0),3)/(INDEX(Antoines,MATCH(O962,Antoine_Name,0),4)+(O970-32)*5/9)))*14.7/760,IF(O963="Crude Oil",EXP((2799/(O970+459.6)-2.227)*LOG10(INDEX(FX_Input,AB$5,O$3*$Z$5+$AA$5))-(7261/(O970+459.6))+12.82),IF(O963="Refined Petroleum Stock",EXP((0.7553-(413/(O970+459.6)))*(INDEX(FX_Input,AB$5,O$3*$Z$5+$AA$5-1)^0.5)*LOG10(INDEX(FX_Input,AB$5,O$3*$Z$5+$AA$5))-(1.854-(1042/(O970+459.6)))*(INDEX(FX_Input,AB$5,O$3*$Z$5+$AA$5-1)^0.5)+((2416/(O970+459.6)-2.013)*LOG10(INDEX(FX_Input,AB$5,O$3*$Z$5+$AA$5)))-(8742/(O970+459.6))+15.64),EXP(INDEX(Antoines,MATCH(O962,Antoine_Name,0),2)-INDEX(Antoines,MATCH(O962,Antoine_Name,0),3)/(O970+459.6))))),0)</f>
        <v>0</v>
      </c>
    </row>
    <row r="984" spans="1:32" ht="17.149999999999999" x14ac:dyDescent="0.55000000000000004">
      <c r="B984" t="str">
        <f t="shared" si="3476"/>
        <v>Portland</v>
      </c>
      <c r="C984" t="s">
        <v>1391</v>
      </c>
      <c r="D984">
        <f>D983*D966</f>
        <v>0</v>
      </c>
      <c r="E984">
        <f t="shared" ref="E984" si="3554">E983*E966</f>
        <v>0</v>
      </c>
      <c r="F984">
        <f t="shared" ref="F984" si="3555">F983*F966</f>
        <v>0</v>
      </c>
      <c r="G984">
        <f t="shared" ref="G984" si="3556">G983*G966</f>
        <v>0</v>
      </c>
      <c r="H984">
        <f t="shared" ref="H984" si="3557">H983*H966</f>
        <v>0</v>
      </c>
      <c r="I984">
        <f t="shared" ref="I984" si="3558">I983*I966</f>
        <v>0</v>
      </c>
      <c r="J984">
        <f t="shared" ref="J984" si="3559">J983*J966</f>
        <v>0</v>
      </c>
      <c r="K984">
        <f t="shared" ref="K984" si="3560">K983*K966</f>
        <v>0</v>
      </c>
      <c r="L984">
        <f t="shared" ref="L984" si="3561">L983*L966</f>
        <v>0</v>
      </c>
      <c r="M984">
        <f t="shared" ref="M984" si="3562">M983*M966</f>
        <v>0</v>
      </c>
      <c r="N984">
        <f t="shared" ref="N984" si="3563">N983*N966</f>
        <v>0</v>
      </c>
      <c r="O984">
        <f t="shared" ref="O984" si="3564">O983*O966</f>
        <v>0</v>
      </c>
    </row>
    <row r="985" spans="1:32" ht="17.149999999999999" x14ac:dyDescent="0.55000000000000004">
      <c r="B985" t="str">
        <f t="shared" si="3476"/>
        <v>Portland</v>
      </c>
      <c r="C985" t="s">
        <v>1392</v>
      </c>
      <c r="D985">
        <f>D982+D984</f>
        <v>1</v>
      </c>
      <c r="E985">
        <f t="shared" ref="E985" si="3565">E982+E984</f>
        <v>1</v>
      </c>
      <c r="F985">
        <f t="shared" ref="F985" si="3566">F982+F984</f>
        <v>1</v>
      </c>
      <c r="G985">
        <f t="shared" ref="G985" si="3567">G982+G984</f>
        <v>1</v>
      </c>
      <c r="H985">
        <f t="shared" ref="H985" si="3568">H982+H984</f>
        <v>1</v>
      </c>
      <c r="I985">
        <f t="shared" ref="I985" si="3569">I982+I984</f>
        <v>1</v>
      </c>
      <c r="J985">
        <f t="shared" ref="J985" si="3570">J982+J984</f>
        <v>1</v>
      </c>
      <c r="K985">
        <f t="shared" ref="K985" si="3571">K982+K984</f>
        <v>1</v>
      </c>
      <c r="L985">
        <f t="shared" ref="L985" si="3572">L982+L984</f>
        <v>1</v>
      </c>
      <c r="M985">
        <f t="shared" ref="M985" si="3573">M982+M984</f>
        <v>1</v>
      </c>
      <c r="N985">
        <f t="shared" ref="N985" si="3574">N982+N984</f>
        <v>1</v>
      </c>
      <c r="O985">
        <f t="shared" ref="O985" si="3575">O982+O984</f>
        <v>1</v>
      </c>
    </row>
    <row r="986" spans="1:32" ht="17.149999999999999" x14ac:dyDescent="0.55000000000000004">
      <c r="B986" t="str">
        <f>B980</f>
        <v>Portland</v>
      </c>
      <c r="C986" t="s">
        <v>584</v>
      </c>
      <c r="D986">
        <f>D982/D985</f>
        <v>1</v>
      </c>
      <c r="E986">
        <f t="shared" ref="E986" si="3576">E982/E985</f>
        <v>1</v>
      </c>
      <c r="F986">
        <f t="shared" ref="F986" si="3577">F982/F985</f>
        <v>1</v>
      </c>
      <c r="G986">
        <f t="shared" ref="G986" si="3578">G982/G985</f>
        <v>1</v>
      </c>
      <c r="H986">
        <f t="shared" ref="H986" si="3579">H982/H985</f>
        <v>1</v>
      </c>
      <c r="I986">
        <f t="shared" ref="I986" si="3580">I982/I985</f>
        <v>1</v>
      </c>
      <c r="J986">
        <f t="shared" ref="J986" si="3581">J982/J985</f>
        <v>1</v>
      </c>
      <c r="K986">
        <f t="shared" ref="K986" si="3582">K982/K985</f>
        <v>1</v>
      </c>
      <c r="L986">
        <f t="shared" ref="L986" si="3583">L982/L985</f>
        <v>1</v>
      </c>
      <c r="M986">
        <f t="shared" ref="M986" si="3584">M982/M985</f>
        <v>1</v>
      </c>
      <c r="N986">
        <f t="shared" ref="N986" si="3585">N982/N985</f>
        <v>1</v>
      </c>
      <c r="O986">
        <f t="shared" ref="O986" si="3586">O982/O985</f>
        <v>1</v>
      </c>
    </row>
    <row r="987" spans="1:32" ht="17.149999999999999" x14ac:dyDescent="0.55000000000000004">
      <c r="B987" t="str">
        <f>B981</f>
        <v>Portland</v>
      </c>
      <c r="C987" t="s">
        <v>585</v>
      </c>
      <c r="D987" t="str">
        <f t="shared" ref="D987:O987" si="3587">INDEX(Phys_Prop,MATCH(D960,Chem_List,0),3)</f>
        <v>N/A</v>
      </c>
      <c r="E987" t="str">
        <f t="shared" si="3587"/>
        <v>N/A</v>
      </c>
      <c r="F987" t="str">
        <f t="shared" si="3587"/>
        <v>N/A</v>
      </c>
      <c r="G987" t="str">
        <f t="shared" si="3587"/>
        <v>N/A</v>
      </c>
      <c r="H987" t="str">
        <f t="shared" si="3587"/>
        <v>N/A</v>
      </c>
      <c r="I987" t="str">
        <f t="shared" si="3587"/>
        <v>N/A</v>
      </c>
      <c r="J987" t="str">
        <f t="shared" si="3587"/>
        <v>N/A</v>
      </c>
      <c r="K987" t="str">
        <f t="shared" si="3587"/>
        <v>N/A</v>
      </c>
      <c r="L987" t="str">
        <f t="shared" si="3587"/>
        <v>N/A</v>
      </c>
      <c r="M987" t="str">
        <f t="shared" si="3587"/>
        <v>N/A</v>
      </c>
      <c r="N987" t="str">
        <f t="shared" si="3587"/>
        <v>N/A</v>
      </c>
      <c r="O987" t="str">
        <f t="shared" si="3587"/>
        <v>N/A</v>
      </c>
    </row>
    <row r="988" spans="1:32" ht="17.149999999999999" x14ac:dyDescent="0.55000000000000004">
      <c r="B988" t="str">
        <f>B987</f>
        <v>Portland</v>
      </c>
      <c r="C988" t="s">
        <v>586</v>
      </c>
      <c r="D988">
        <f>D984/D985</f>
        <v>0</v>
      </c>
      <c r="E988">
        <f t="shared" ref="E988:O988" si="3588">E984/E985</f>
        <v>0</v>
      </c>
      <c r="F988">
        <f t="shared" si="3588"/>
        <v>0</v>
      </c>
      <c r="G988">
        <f t="shared" si="3588"/>
        <v>0</v>
      </c>
      <c r="H988">
        <f t="shared" si="3588"/>
        <v>0</v>
      </c>
      <c r="I988">
        <f t="shared" si="3588"/>
        <v>0</v>
      </c>
      <c r="J988">
        <f t="shared" si="3588"/>
        <v>0</v>
      </c>
      <c r="K988">
        <f t="shared" si="3588"/>
        <v>0</v>
      </c>
      <c r="L988">
        <f t="shared" si="3588"/>
        <v>0</v>
      </c>
      <c r="M988">
        <f t="shared" si="3588"/>
        <v>0</v>
      </c>
      <c r="N988">
        <f t="shared" si="3588"/>
        <v>0</v>
      </c>
      <c r="O988">
        <f t="shared" si="3588"/>
        <v>0</v>
      </c>
    </row>
    <row r="989" spans="1:32" ht="17.149999999999999" x14ac:dyDescent="0.55000000000000004">
      <c r="B989" t="str">
        <f t="shared" si="3476"/>
        <v>Portland</v>
      </c>
      <c r="C989" t="s">
        <v>587</v>
      </c>
      <c r="D989">
        <f t="shared" ref="D989:O989" si="3589">IFERROR(INDEX(Phys_Prop,MATCH(D962,Chem_List,0),3),0)</f>
        <v>0</v>
      </c>
      <c r="E989">
        <f t="shared" si="3589"/>
        <v>0</v>
      </c>
      <c r="F989">
        <f t="shared" si="3589"/>
        <v>0</v>
      </c>
      <c r="G989">
        <f t="shared" si="3589"/>
        <v>0</v>
      </c>
      <c r="H989">
        <f t="shared" si="3589"/>
        <v>0</v>
      </c>
      <c r="I989">
        <f t="shared" si="3589"/>
        <v>0</v>
      </c>
      <c r="J989">
        <f t="shared" si="3589"/>
        <v>0</v>
      </c>
      <c r="K989">
        <f t="shared" si="3589"/>
        <v>0</v>
      </c>
      <c r="L989">
        <f t="shared" si="3589"/>
        <v>0</v>
      </c>
      <c r="M989">
        <f t="shared" si="3589"/>
        <v>0</v>
      </c>
      <c r="N989">
        <f t="shared" si="3589"/>
        <v>0</v>
      </c>
      <c r="O989">
        <f t="shared" si="3589"/>
        <v>0</v>
      </c>
    </row>
    <row r="990" spans="1:32" ht="17.149999999999999" x14ac:dyDescent="0.55000000000000004">
      <c r="A990" s="11"/>
      <c r="B990" s="11" t="str">
        <f t="shared" si="3476"/>
        <v>Portland</v>
      </c>
      <c r="C990" s="11" t="s">
        <v>588</v>
      </c>
      <c r="D990" s="11">
        <f>IFERROR(D986*D987+D988*D989,0)</f>
        <v>0</v>
      </c>
      <c r="E990" s="11">
        <f t="shared" ref="E990" si="3590">IFERROR(E986*E987+E988*E989,0)</f>
        <v>0</v>
      </c>
      <c r="F990" s="11">
        <f t="shared" ref="F990" si="3591">IFERROR(F986*F987+F988*F989,0)</f>
        <v>0</v>
      </c>
      <c r="G990" s="11">
        <f t="shared" ref="G990" si="3592">IFERROR(G986*G987+G988*G989,0)</f>
        <v>0</v>
      </c>
      <c r="H990" s="11">
        <f t="shared" ref="H990" si="3593">IFERROR(H986*H987+H988*H989,0)</f>
        <v>0</v>
      </c>
      <c r="I990" s="11">
        <f t="shared" ref="I990" si="3594">IFERROR(I986*I987+I988*I989,0)</f>
        <v>0</v>
      </c>
      <c r="J990" s="11">
        <f t="shared" ref="J990" si="3595">IFERROR(J986*J987+J988*J989,0)</f>
        <v>0</v>
      </c>
      <c r="K990" s="11">
        <f t="shared" ref="K990" si="3596">IFERROR(K986*K987+K988*K989,0)</f>
        <v>0</v>
      </c>
      <c r="L990" s="11">
        <f t="shared" ref="L990" si="3597">IFERROR(L986*L987+L988*L989,0)</f>
        <v>0</v>
      </c>
      <c r="M990" s="11">
        <f t="shared" ref="M990" si="3598">IFERROR(M986*M987+M988*M989,0)</f>
        <v>0</v>
      </c>
      <c r="N990" s="11">
        <f t="shared" ref="N990" si="3599">IFERROR(N986*N987+N988*N989,0)</f>
        <v>0</v>
      </c>
      <c r="O990" s="11">
        <f t="shared" ref="O990" si="3600">IFERROR(O986*O987+O988*O989,0)</f>
        <v>0</v>
      </c>
      <c r="P990" s="11"/>
      <c r="Q990" s="11"/>
      <c r="R990" s="11"/>
      <c r="S990" s="11"/>
      <c r="T990" s="11"/>
      <c r="U990" s="11"/>
      <c r="V990" s="11"/>
      <c r="W990" s="11"/>
      <c r="X990" s="11"/>
      <c r="Y990" s="11"/>
      <c r="Z990" s="11"/>
      <c r="AA990" s="11"/>
      <c r="AB990" s="11"/>
      <c r="AC990" s="11"/>
      <c r="AD990" s="11"/>
      <c r="AE990" s="11"/>
      <c r="AF990" s="11"/>
    </row>
    <row r="991" spans="1:32" ht="17.149999999999999" x14ac:dyDescent="0.55000000000000004">
      <c r="A991" t="str" cm="1">
        <f t="array" ref="A991">INDEX(FX_Input,$Q991,R$5)</f>
        <v>FX - 30</v>
      </c>
      <c r="B991" t="str" cm="1">
        <f t="array" ref="B991">INDEX(FX_Input,Q991,S991)</f>
        <v>Portland</v>
      </c>
      <c r="C991" t="s">
        <v>563</v>
      </c>
      <c r="D991">
        <v>14.7</v>
      </c>
      <c r="E991">
        <v>14.7</v>
      </c>
      <c r="F991">
        <v>14.7</v>
      </c>
      <c r="G991">
        <v>14.7</v>
      </c>
      <c r="H991">
        <v>14.7</v>
      </c>
      <c r="I991">
        <v>14.7</v>
      </c>
      <c r="J991">
        <v>14.7</v>
      </c>
      <c r="K991">
        <v>14.7</v>
      </c>
      <c r="L991">
        <v>14.7</v>
      </c>
      <c r="M991">
        <v>14.7</v>
      </c>
      <c r="N991">
        <v>14.7</v>
      </c>
      <c r="O991">
        <v>14.7</v>
      </c>
      <c r="Q991">
        <f>Q957+2</f>
        <v>59</v>
      </c>
      <c r="R991">
        <v>1</v>
      </c>
      <c r="S991">
        <v>3</v>
      </c>
      <c r="T991">
        <v>1</v>
      </c>
      <c r="U991">
        <v>19</v>
      </c>
      <c r="V991">
        <v>20</v>
      </c>
      <c r="W991">
        <v>25</v>
      </c>
      <c r="X991">
        <v>1</v>
      </c>
      <c r="Y991">
        <v>2</v>
      </c>
      <c r="Z991">
        <f>(W991-V991)/(Y991-X991)</f>
        <v>5</v>
      </c>
      <c r="AA991">
        <f>V991-Z991*X991</f>
        <v>15</v>
      </c>
      <c r="AD991">
        <f>AD957+14</f>
        <v>407</v>
      </c>
      <c r="AF991">
        <f>AF957+14</f>
        <v>407</v>
      </c>
    </row>
    <row r="992" spans="1:32" ht="17.149999999999999" x14ac:dyDescent="0.55000000000000004">
      <c r="B992" t="str">
        <f t="shared" ref="B992" si="3601">B991</f>
        <v>Portland</v>
      </c>
      <c r="C992" t="s">
        <v>564</v>
      </c>
      <c r="D992" cm="1">
        <f t="array" ref="D992">IF(ISBLANK(INDEX(FX_Input,$Q991,$AB992)),0.03,INDEX(FX_Input,Q991,AB992))</f>
        <v>0.03</v>
      </c>
      <c r="E992" cm="1">
        <f t="array" ref="E992">IF(ISBLANK(INDEX(FX_Input,$Q991,$AB992)),0.03,INDEX(FX_Input,R991,#REF!))</f>
        <v>0.03</v>
      </c>
      <c r="F992" cm="1">
        <f t="array" ref="F992">IF(ISBLANK(INDEX(FX_Input,$Q991,$AB992)),0.03,INDEX(FX_Input,S991,#REF!))</f>
        <v>0.03</v>
      </c>
      <c r="G992" cm="1">
        <f t="array" ref="G992">IF(ISBLANK(INDEX(FX_Input,$Q991,$AB992)),0.03,INDEX(FX_Input,AB991,#REF!))</f>
        <v>0.03</v>
      </c>
      <c r="H992" cm="1">
        <f t="array" ref="H992">IF(ISBLANK(INDEX(FX_Input,$Q991,$AB992)),0.03,INDEX(FX_Input,#REF!,#REF!))</f>
        <v>0.03</v>
      </c>
      <c r="I992" cm="1">
        <f t="array" ref="I992">IF(ISBLANK(INDEX(FX_Input,$Q991,$AB992)),0.03,INDEX(FX_Input,#REF!,#REF!))</f>
        <v>0.03</v>
      </c>
      <c r="J992" cm="1">
        <f t="array" ref="J992">IF(ISBLANK(INDEX(FX_Input,$Q991,$AB992)),0.03,INDEX(FX_Input,#REF!,#REF!))</f>
        <v>0.03</v>
      </c>
      <c r="K992" cm="1">
        <f t="array" ref="K992">IF(ISBLANK(INDEX(FX_Input,$Q991,$AB992)),0.03,INDEX(FX_Input,#REF!,AC992))</f>
        <v>0.03</v>
      </c>
      <c r="L992" cm="1">
        <f t="array" ref="L992">IF(ISBLANK(INDEX(FX_Input,$Q991,$AB992)),0.03,INDEX(FX_Input,#REF!,AD992))</f>
        <v>0.03</v>
      </c>
      <c r="M992" cm="1">
        <f t="array" ref="M992">IF(ISBLANK(INDEX(FX_Input,$Q991,$AB992)),0.03,INDEX(FX_Input,#REF!,#REF!))</f>
        <v>0.03</v>
      </c>
      <c r="N992" cm="1">
        <f t="array" ref="N992">IF(ISBLANK(INDEX(FX_Input,$Q991,$AB992)),0.03,INDEX(FX_Input,AC991,#REF!))</f>
        <v>0.03</v>
      </c>
      <c r="O992" cm="1">
        <f t="array" ref="O992">IF(ISBLANK(INDEX(FX_Input,$Q991,$AB992)),0.03,INDEX(FX_Input,AD991,#REF!))</f>
        <v>0.03</v>
      </c>
      <c r="AB992">
        <v>15</v>
      </c>
    </row>
    <row r="993" spans="2:32" ht="17.149999999999999" x14ac:dyDescent="0.55000000000000004">
      <c r="B993" t="str">
        <f>B992</f>
        <v>Portland</v>
      </c>
      <c r="C993" t="s">
        <v>565</v>
      </c>
      <c r="D993" cm="1">
        <f t="array" ref="D993">IF(ISBLANK(INDEX(FX_Input,$Q991,$AB993)),-0.03,INDEX(FX_Input,Q991,AB993))</f>
        <v>-0.03</v>
      </c>
      <c r="E993" cm="1">
        <f t="array" ref="E993">IF(ISBLANK(INDEX(FX_Input,$Q991,$AB993)),-0.03,INDEX(FX_Input,R991,#REF!))</f>
        <v>-0.03</v>
      </c>
      <c r="F993" cm="1">
        <f t="array" ref="F993">IF(ISBLANK(INDEX(FX_Input,$Q991,$AB993)),-0.03,INDEX(FX_Input,S991,#REF!))</f>
        <v>-0.03</v>
      </c>
      <c r="G993" cm="1">
        <f t="array" ref="G993">IF(ISBLANK(INDEX(FX_Input,$Q991,$AB993)),-0.03,INDEX(FX_Input,AB991,#REF!))</f>
        <v>-0.03</v>
      </c>
      <c r="H993" cm="1">
        <f t="array" ref="H993">IF(ISBLANK(INDEX(FX_Input,$Q991,$AB993)),-0.03,INDEX(FX_Input,#REF!,#REF!))</f>
        <v>-0.03</v>
      </c>
      <c r="I993" cm="1">
        <f t="array" ref="I993">IF(ISBLANK(INDEX(FX_Input,$Q991,$AB993)),-0.03,INDEX(FX_Input,#REF!,#REF!))</f>
        <v>-0.03</v>
      </c>
      <c r="J993" cm="1">
        <f t="array" ref="J993">IF(ISBLANK(INDEX(FX_Input,$Q991,$AB993)),-0.03,INDEX(FX_Input,#REF!,#REF!))</f>
        <v>-0.03</v>
      </c>
      <c r="K993" cm="1">
        <f t="array" ref="K993">IF(ISBLANK(INDEX(FX_Input,$Q991,$AB993)),-0.03,INDEX(FX_Input,#REF!,AC993))</f>
        <v>-0.03</v>
      </c>
      <c r="L993" cm="1">
        <f t="array" ref="L993">IF(ISBLANK(INDEX(FX_Input,$Q991,$AB993)),-0.03,INDEX(FX_Input,#REF!,AD993))</f>
        <v>-0.03</v>
      </c>
      <c r="M993" cm="1">
        <f t="array" ref="M993">IF(ISBLANK(INDEX(FX_Input,$Q991,$AB993)),-0.03,INDEX(FX_Input,#REF!,#REF!))</f>
        <v>-0.03</v>
      </c>
      <c r="N993" cm="1">
        <f t="array" ref="N993">IF(ISBLANK(INDEX(FX_Input,$Q991,$AB993)),-0.03,INDEX(FX_Input,AC991,#REF!))</f>
        <v>-0.03</v>
      </c>
      <c r="O993" cm="1">
        <f t="array" ref="O993">IF(ISBLANK(INDEX(FX_Input,$Q991,$AB993)),-0.03,INDEX(FX_Input,AD991,#REF!))</f>
        <v>-0.03</v>
      </c>
      <c r="AB993">
        <v>16</v>
      </c>
    </row>
    <row r="994" spans="2:32" x14ac:dyDescent="0.4">
      <c r="B994" t="str">
        <f t="shared" ref="B994:B995" si="3602">B993</f>
        <v>Portland</v>
      </c>
      <c r="C994" s="66" t="s">
        <v>567</v>
      </c>
      <c r="D994" t="str" cm="1">
        <f t="array" ref="D994">INDEX(FX_Multi,$AD994,D$3)</f>
        <v>Out of Service</v>
      </c>
      <c r="E994" t="str" cm="1">
        <f t="array" ref="E994">INDEX(FX_Multi,$AD994,E$3)</f>
        <v>Out of Service</v>
      </c>
      <c r="F994" t="str" cm="1">
        <f t="array" ref="F994">INDEX(FX_Multi,$AD994,F$3)</f>
        <v>Out of Service</v>
      </c>
      <c r="G994" t="str" cm="1">
        <f t="array" ref="G994">INDEX(FX_Multi,$AD994,G$3)</f>
        <v>Out of Service</v>
      </c>
      <c r="H994" t="str" cm="1">
        <f t="array" ref="H994">INDEX(FX_Multi,$AD994,H$3)</f>
        <v>Out of Service</v>
      </c>
      <c r="I994" t="str" cm="1">
        <f t="array" ref="I994">INDEX(FX_Multi,$AD994,I$3)</f>
        <v>Out of Service</v>
      </c>
      <c r="J994" t="str" cm="1">
        <f t="array" ref="J994">INDEX(FX_Multi,$AD994,J$3)</f>
        <v>Out of Service</v>
      </c>
      <c r="K994" t="str" cm="1">
        <f t="array" ref="K994">INDEX(FX_Multi,$AD994,K$3)</f>
        <v>Out of Service</v>
      </c>
      <c r="L994" t="str" cm="1">
        <f t="array" ref="L994">INDEX(FX_Multi,$AD994,L$3)</f>
        <v>Out of Service</v>
      </c>
      <c r="M994" t="str" cm="1">
        <f t="array" ref="M994">INDEX(FX_Multi,$AD994,M$3)</f>
        <v>Out of Service</v>
      </c>
      <c r="N994" t="str" cm="1">
        <f t="array" ref="N994">INDEX(FX_Multi,$AD994,N$3)</f>
        <v>Out of Service</v>
      </c>
      <c r="O994" t="str" cm="1">
        <f t="array" ref="O994">INDEX(FX_Multi,$AD994,O$3)</f>
        <v>Out of Service</v>
      </c>
      <c r="AC994">
        <v>1</v>
      </c>
      <c r="AD994">
        <f>AD991</f>
        <v>407</v>
      </c>
      <c r="AE994">
        <v>1</v>
      </c>
      <c r="AF994">
        <f>AF991</f>
        <v>407</v>
      </c>
    </row>
    <row r="995" spans="2:32" x14ac:dyDescent="0.4">
      <c r="B995" t="str">
        <f t="shared" si="3602"/>
        <v>Portland</v>
      </c>
      <c r="C995" s="66" t="s">
        <v>566</v>
      </c>
      <c r="D995" t="str" cm="1">
        <f t="array" ref="D995">INDEX(FX_Multi,$AD995,D$3)</f>
        <v>N/A</v>
      </c>
      <c r="E995" t="str" cm="1">
        <f t="array" ref="E995">INDEX(FX_Multi,$AD995,E$3)</f>
        <v>N/A</v>
      </c>
      <c r="F995" t="str" cm="1">
        <f t="array" ref="F995">INDEX(FX_Multi,$AD995,F$3)</f>
        <v>N/A</v>
      </c>
      <c r="G995" t="str" cm="1">
        <f t="array" ref="G995">INDEX(FX_Multi,$AD995,G$3)</f>
        <v>N/A</v>
      </c>
      <c r="H995" t="str" cm="1">
        <f t="array" ref="H995">INDEX(FX_Multi,$AD995,H$3)</f>
        <v>N/A</v>
      </c>
      <c r="I995" t="str" cm="1">
        <f t="array" ref="I995">INDEX(FX_Multi,$AD995,I$3)</f>
        <v>N/A</v>
      </c>
      <c r="J995" t="str" cm="1">
        <f t="array" ref="J995">INDEX(FX_Multi,$AD995,J$3)</f>
        <v>N/A</v>
      </c>
      <c r="K995" t="str" cm="1">
        <f t="array" ref="K995">INDEX(FX_Multi,$AD995,K$3)</f>
        <v>N/A</v>
      </c>
      <c r="L995" t="str" cm="1">
        <f t="array" ref="L995">INDEX(FX_Multi,$AD995,L$3)</f>
        <v>N/A</v>
      </c>
      <c r="M995" t="str" cm="1">
        <f t="array" ref="M995">INDEX(FX_Multi,$AD995,M$3)</f>
        <v>N/A</v>
      </c>
      <c r="N995" t="str" cm="1">
        <f t="array" ref="N995">INDEX(FX_Multi,$AD995,N$3)</f>
        <v>N/A</v>
      </c>
      <c r="O995" t="str" cm="1">
        <f t="array" ref="O995">INDEX(FX_Multi,$AD995,O$3)</f>
        <v>N/A</v>
      </c>
      <c r="AC995">
        <v>1</v>
      </c>
      <c r="AD995">
        <f>AD994+2</f>
        <v>409</v>
      </c>
      <c r="AE995">
        <v>1</v>
      </c>
      <c r="AF995">
        <f>AF994+3</f>
        <v>410</v>
      </c>
    </row>
    <row r="996" spans="2:32" x14ac:dyDescent="0.4">
      <c r="B996" t="str">
        <f>B992</f>
        <v>Portland</v>
      </c>
      <c r="C996" s="66" t="s">
        <v>568</v>
      </c>
      <c r="D996" cm="1">
        <f t="array" ref="D996">INDEX(FX_Multi,$AD996,D$3)</f>
        <v>0</v>
      </c>
      <c r="E996" cm="1">
        <f t="array" ref="E996">INDEX(FX_Multi,$AD996,E$3)</f>
        <v>0</v>
      </c>
      <c r="F996" cm="1">
        <f t="array" ref="F996">INDEX(FX_Multi,$AD996,F$3)</f>
        <v>0</v>
      </c>
      <c r="G996" cm="1">
        <f t="array" ref="G996">INDEX(FX_Multi,$AD996,G$3)</f>
        <v>0</v>
      </c>
      <c r="H996" cm="1">
        <f t="array" ref="H996">INDEX(FX_Multi,$AD996,H$3)</f>
        <v>0</v>
      </c>
      <c r="I996" cm="1">
        <f t="array" ref="I996">INDEX(FX_Multi,$AD996,I$3)</f>
        <v>0</v>
      </c>
      <c r="J996" cm="1">
        <f t="array" ref="J996">INDEX(FX_Multi,$AD996,J$3)</f>
        <v>0</v>
      </c>
      <c r="K996" cm="1">
        <f t="array" ref="K996">INDEX(FX_Multi,$AD996,K$3)</f>
        <v>0</v>
      </c>
      <c r="L996" cm="1">
        <f t="array" ref="L996">INDEX(FX_Multi,$AD996,L$3)</f>
        <v>0</v>
      </c>
      <c r="M996" cm="1">
        <f t="array" ref="M996">INDEX(FX_Multi,$AD996,M$3)</f>
        <v>0</v>
      </c>
      <c r="N996" cm="1">
        <f t="array" ref="N996">INDEX(FX_Multi,$AD996,N$3)</f>
        <v>0</v>
      </c>
      <c r="O996" cm="1">
        <f t="array" ref="O996">INDEX(FX_Multi,$AD996,O$3)</f>
        <v>0</v>
      </c>
      <c r="AC996">
        <v>1</v>
      </c>
      <c r="AD996">
        <f>AD995-1</f>
        <v>408</v>
      </c>
      <c r="AE996">
        <v>1</v>
      </c>
      <c r="AF996">
        <f>AF994+1</f>
        <v>408</v>
      </c>
    </row>
    <row r="997" spans="2:32" x14ac:dyDescent="0.4">
      <c r="B997" t="str">
        <f t="shared" ref="B997:B1001" si="3603">B996</f>
        <v>Portland</v>
      </c>
      <c r="C997" s="66" t="s">
        <v>569</v>
      </c>
      <c r="D997" cm="1">
        <f t="array" ref="D997">INDEX(FX_Multi,$AD997,D$3)</f>
        <v>0</v>
      </c>
      <c r="E997" cm="1">
        <f t="array" ref="E997">INDEX(FX_Multi,$AD997,E$3)</f>
        <v>0</v>
      </c>
      <c r="F997" cm="1">
        <f t="array" ref="F997">INDEX(FX_Multi,$AD997,F$3)</f>
        <v>0</v>
      </c>
      <c r="G997" cm="1">
        <f t="array" ref="G997">INDEX(FX_Multi,$AD997,G$3)</f>
        <v>0</v>
      </c>
      <c r="H997" cm="1">
        <f t="array" ref="H997">INDEX(FX_Multi,$AD997,H$3)</f>
        <v>0</v>
      </c>
      <c r="I997" cm="1">
        <f t="array" ref="I997">INDEX(FX_Multi,$AD997,I$3)</f>
        <v>0</v>
      </c>
      <c r="J997" cm="1">
        <f t="array" ref="J997">INDEX(FX_Multi,$AD997,J$3)</f>
        <v>0</v>
      </c>
      <c r="K997" cm="1">
        <f t="array" ref="K997">INDEX(FX_Multi,$AD997,K$3)</f>
        <v>0</v>
      </c>
      <c r="L997" cm="1">
        <f t="array" ref="L997">INDEX(FX_Multi,$AD997,L$3)</f>
        <v>0</v>
      </c>
      <c r="M997" cm="1">
        <f t="array" ref="M997">INDEX(FX_Multi,$AD997,M$3)</f>
        <v>0</v>
      </c>
      <c r="N997" cm="1">
        <f t="array" ref="N997">INDEX(FX_Multi,$AD997,N$3)</f>
        <v>0</v>
      </c>
      <c r="O997" cm="1">
        <f t="array" ref="O997">INDEX(FX_Multi,$AD997,O$3)</f>
        <v>0</v>
      </c>
      <c r="AC997">
        <v>1</v>
      </c>
      <c r="AD997">
        <f>AD996+2</f>
        <v>410</v>
      </c>
      <c r="AE997">
        <v>1</v>
      </c>
      <c r="AF997">
        <f>AF995</f>
        <v>410</v>
      </c>
    </row>
    <row r="998" spans="2:32" ht="17.149999999999999" x14ac:dyDescent="0.55000000000000004">
      <c r="B998" t="str">
        <f t="shared" si="3603"/>
        <v>Portland</v>
      </c>
      <c r="C998" t="s">
        <v>570</v>
      </c>
      <c r="D998" cm="1">
        <f t="array" ref="D998">INDEX(FX_Multi,$AD998,D$3)</f>
        <v>1</v>
      </c>
      <c r="E998" cm="1">
        <f t="array" ref="E998">INDEX(FX_Multi,$AD998,E$3)</f>
        <v>1</v>
      </c>
      <c r="F998" cm="1">
        <f t="array" ref="F998">INDEX(FX_Multi,$AD998,F$3)</f>
        <v>1</v>
      </c>
      <c r="G998" cm="1">
        <f t="array" ref="G998">INDEX(FX_Multi,$AD998,G$3)</f>
        <v>1</v>
      </c>
      <c r="H998" cm="1">
        <f t="array" ref="H998">INDEX(FX_Multi,$AD998,H$3)</f>
        <v>1</v>
      </c>
      <c r="I998" cm="1">
        <f t="array" ref="I998">INDEX(FX_Multi,$AD998,I$3)</f>
        <v>1</v>
      </c>
      <c r="J998" cm="1">
        <f t="array" ref="J998">INDEX(FX_Multi,$AD998,J$3)</f>
        <v>1</v>
      </c>
      <c r="K998" cm="1">
        <f t="array" ref="K998">INDEX(FX_Multi,$AD998,K$3)</f>
        <v>1</v>
      </c>
      <c r="L998" cm="1">
        <f t="array" ref="L998">INDEX(FX_Multi,$AD998,L$3)</f>
        <v>1</v>
      </c>
      <c r="M998" cm="1">
        <f t="array" ref="M998">INDEX(FX_Multi,$AD998,M$3)</f>
        <v>1</v>
      </c>
      <c r="N998" cm="1">
        <f t="array" ref="N998">INDEX(FX_Multi,$AD998,N$3)</f>
        <v>1</v>
      </c>
      <c r="O998" cm="1">
        <f t="array" ref="O998">INDEX(FX_Multi,$AD998,O$3)</f>
        <v>1</v>
      </c>
      <c r="AC998">
        <v>1</v>
      </c>
      <c r="AD998">
        <f>AD997+6</f>
        <v>416</v>
      </c>
      <c r="AE998">
        <v>1</v>
      </c>
      <c r="AF998">
        <f>AF994+9</f>
        <v>416</v>
      </c>
    </row>
    <row r="999" spans="2:32" ht="17.149999999999999" x14ac:dyDescent="0.55000000000000004">
      <c r="B999" t="str">
        <f t="shared" si="3603"/>
        <v>Portland</v>
      </c>
      <c r="C999" t="s">
        <v>571</v>
      </c>
      <c r="D999" t="str" cm="1">
        <f t="array" ref="D999">INDEX(FX_Multi,$AD999,D$3)</f>
        <v>N/A</v>
      </c>
      <c r="E999" t="str" cm="1">
        <f t="array" ref="E999">INDEX(FX_Multi,$AD999,E$3)</f>
        <v>N/A</v>
      </c>
      <c r="F999" t="str" cm="1">
        <f t="array" ref="F999">INDEX(FX_Multi,$AD999,F$3)</f>
        <v>N/A</v>
      </c>
      <c r="G999" t="str" cm="1">
        <f t="array" ref="G999">INDEX(FX_Multi,$AD999,G$3)</f>
        <v>N/A</v>
      </c>
      <c r="H999" t="str" cm="1">
        <f t="array" ref="H999">INDEX(FX_Multi,$AD999,H$3)</f>
        <v>N/A</v>
      </c>
      <c r="I999" t="str" cm="1">
        <f t="array" ref="I999">INDEX(FX_Multi,$AD999,I$3)</f>
        <v>N/A</v>
      </c>
      <c r="J999" t="str" cm="1">
        <f t="array" ref="J999">INDEX(FX_Multi,$AD999,J$3)</f>
        <v>N/A</v>
      </c>
      <c r="K999" t="str" cm="1">
        <f t="array" ref="K999">INDEX(FX_Multi,$AD999,K$3)</f>
        <v>N/A</v>
      </c>
      <c r="L999" t="str" cm="1">
        <f t="array" ref="L999">INDEX(FX_Multi,$AD999,L$3)</f>
        <v>N/A</v>
      </c>
      <c r="M999" t="str" cm="1">
        <f t="array" ref="M999">INDEX(FX_Multi,$AD999,M$3)</f>
        <v>N/A</v>
      </c>
      <c r="N999" t="str" cm="1">
        <f t="array" ref="N999">INDEX(FX_Multi,$AD999,N$3)</f>
        <v>N/A</v>
      </c>
      <c r="O999" t="str" cm="1">
        <f t="array" ref="O999">INDEX(FX_Multi,$AD999,O$3)</f>
        <v>N/A</v>
      </c>
      <c r="AC999">
        <v>1</v>
      </c>
      <c r="AD999">
        <f>AD998-3</f>
        <v>413</v>
      </c>
      <c r="AE999">
        <v>1</v>
      </c>
      <c r="AF999">
        <f>AF994+6</f>
        <v>413</v>
      </c>
    </row>
    <row r="1000" spans="2:32" ht="17.149999999999999" x14ac:dyDescent="0.55000000000000004">
      <c r="B1000" t="str">
        <f t="shared" si="3603"/>
        <v>Portland</v>
      </c>
      <c r="C1000" t="s">
        <v>572</v>
      </c>
      <c r="D1000" cm="1">
        <f t="array" ref="D1000">INDEX(FX_Multi,$AD1000,D$3)</f>
        <v>0</v>
      </c>
      <c r="E1000" cm="1">
        <f t="array" ref="E1000">INDEX(FX_Multi,$AD1000,E$3)</f>
        <v>0</v>
      </c>
      <c r="F1000" cm="1">
        <f t="array" ref="F1000">INDEX(FX_Multi,$AD1000,F$3)</f>
        <v>0</v>
      </c>
      <c r="G1000" cm="1">
        <f t="array" ref="G1000">INDEX(FX_Multi,$AD1000,G$3)</f>
        <v>0</v>
      </c>
      <c r="H1000" cm="1">
        <f t="array" ref="H1000">INDEX(FX_Multi,$AD1000,H$3)</f>
        <v>0</v>
      </c>
      <c r="I1000" cm="1">
        <f t="array" ref="I1000">INDEX(FX_Multi,$AD1000,I$3)</f>
        <v>0</v>
      </c>
      <c r="J1000" cm="1">
        <f t="array" ref="J1000">INDEX(FX_Multi,$AD1000,J$3)</f>
        <v>0</v>
      </c>
      <c r="K1000" cm="1">
        <f t="array" ref="K1000">INDEX(FX_Multi,$AD1000,K$3)</f>
        <v>0</v>
      </c>
      <c r="L1000" cm="1">
        <f t="array" ref="L1000">INDEX(FX_Multi,$AD1000,L$3)</f>
        <v>0</v>
      </c>
      <c r="M1000" cm="1">
        <f t="array" ref="M1000">INDEX(FX_Multi,$AD1000,M$3)</f>
        <v>0</v>
      </c>
      <c r="N1000" cm="1">
        <f t="array" ref="N1000">INDEX(FX_Multi,$AD1000,N$3)</f>
        <v>0</v>
      </c>
      <c r="O1000" cm="1">
        <f t="array" ref="O1000">INDEX(FX_Multi,$AD1000,O$3)</f>
        <v>0</v>
      </c>
      <c r="AC1000">
        <v>1</v>
      </c>
      <c r="AD1000">
        <f>AD999+4</f>
        <v>417</v>
      </c>
      <c r="AE1000">
        <v>1</v>
      </c>
      <c r="AF1000">
        <f>AF994+10</f>
        <v>417</v>
      </c>
    </row>
    <row r="1001" spans="2:32" ht="17.149999999999999" x14ac:dyDescent="0.55000000000000004">
      <c r="B1001" t="str">
        <f t="shared" si="3603"/>
        <v>Portland</v>
      </c>
      <c r="C1001" t="s">
        <v>573</v>
      </c>
      <c r="D1001" cm="1">
        <f t="array" ref="D1001">INDEX(FX_Multi,$AD1001,D$3)</f>
        <v>0</v>
      </c>
      <c r="E1001" cm="1">
        <f t="array" ref="E1001">INDEX(FX_Multi,$AD1001,E$3)</f>
        <v>0</v>
      </c>
      <c r="F1001" cm="1">
        <f t="array" ref="F1001">INDEX(FX_Multi,$AD1001,F$3)</f>
        <v>0</v>
      </c>
      <c r="G1001" cm="1">
        <f t="array" ref="G1001">INDEX(FX_Multi,$AD1001,G$3)</f>
        <v>0</v>
      </c>
      <c r="H1001" cm="1">
        <f t="array" ref="H1001">INDEX(FX_Multi,$AD1001,H$3)</f>
        <v>0</v>
      </c>
      <c r="I1001" cm="1">
        <f t="array" ref="I1001">INDEX(FX_Multi,$AD1001,I$3)</f>
        <v>0</v>
      </c>
      <c r="J1001" cm="1">
        <f t="array" ref="J1001">INDEX(FX_Multi,$AD1001,J$3)</f>
        <v>0</v>
      </c>
      <c r="K1001" cm="1">
        <f t="array" ref="K1001">INDEX(FX_Multi,$AD1001,K$3)</f>
        <v>0</v>
      </c>
      <c r="L1001" cm="1">
        <f t="array" ref="L1001">INDEX(FX_Multi,$AD1001,L$3)</f>
        <v>0</v>
      </c>
      <c r="M1001" cm="1">
        <f t="array" ref="M1001">INDEX(FX_Multi,$AD1001,M$3)</f>
        <v>0</v>
      </c>
      <c r="N1001" cm="1">
        <f t="array" ref="N1001">INDEX(FX_Multi,$AD1001,N$3)</f>
        <v>0</v>
      </c>
      <c r="O1001" cm="1">
        <f t="array" ref="O1001">INDEX(FX_Multi,$AD1001,O$3)</f>
        <v>0</v>
      </c>
      <c r="AC1001">
        <v>1</v>
      </c>
      <c r="AD1001">
        <f>AD1000-3</f>
        <v>414</v>
      </c>
      <c r="AE1001">
        <v>1</v>
      </c>
      <c r="AF1001">
        <f>AF994+7</f>
        <v>414</v>
      </c>
    </row>
    <row r="1002" spans="2:32" ht="17.149999999999999" x14ac:dyDescent="0.55000000000000004">
      <c r="B1002" t="str">
        <f>B997</f>
        <v>Portland</v>
      </c>
      <c r="C1002" t="s">
        <v>526</v>
      </c>
      <c r="D1002" cm="1">
        <f t="array" ref="D1002">INDEX(FX_Temps,$AF1002,D$3)</f>
        <v>43.899999999999977</v>
      </c>
      <c r="E1002" cm="1">
        <f t="array" ref="E1002">INDEX(FX_Temps,$AF1002,E$3)</f>
        <v>44.700000000000045</v>
      </c>
      <c r="F1002" cm="1">
        <f t="array" ref="F1002">INDEX(FX_Temps,$AF1002,F$3)</f>
        <v>46.100000000000023</v>
      </c>
      <c r="G1002" cm="1">
        <f t="array" ref="G1002">INDEX(FX_Temps,$AF1002,G$3)</f>
        <v>48.599999999999966</v>
      </c>
      <c r="H1002" cm="1">
        <f t="array" ref="H1002">INDEX(FX_Temps,$AF1002,H$3)</f>
        <v>53.149999999999977</v>
      </c>
      <c r="I1002" cm="1">
        <f t="array" ref="I1002">INDEX(FX_Temps,$AF1002,I$3)</f>
        <v>56.950000000000045</v>
      </c>
      <c r="J1002" cm="1">
        <f t="array" ref="J1002">INDEX(FX_Temps,$AF1002,J$3)</f>
        <v>60.449999999999932</v>
      </c>
      <c r="K1002" cm="1">
        <f t="array" ref="K1002">INDEX(FX_Temps,$AF1002,K$3)</f>
        <v>60.899999999999977</v>
      </c>
      <c r="L1002" cm="1">
        <f t="array" ref="L1002">INDEX(FX_Temps,$AF1002,L$3)</f>
        <v>58.600000000000023</v>
      </c>
      <c r="M1002" cm="1">
        <f t="array" ref="M1002">INDEX(FX_Temps,$AF1002,M$3)</f>
        <v>52.649999999999977</v>
      </c>
      <c r="N1002" cm="1">
        <f t="array" ref="N1002">INDEX(FX_Temps,$AF1002,N$3)</f>
        <v>47.100000000000023</v>
      </c>
      <c r="O1002" cm="1">
        <f t="array" ref="O1002">INDEX(FX_Temps,$AF1002,O$3)</f>
        <v>43.600000000000023</v>
      </c>
      <c r="AE1002">
        <v>1</v>
      </c>
      <c r="AF1002">
        <f>AF994+10</f>
        <v>417</v>
      </c>
    </row>
    <row r="1003" spans="2:32" ht="17.149999999999999" x14ac:dyDescent="0.55000000000000004">
      <c r="B1003" t="str">
        <f t="shared" ref="B1003:B1024" si="3604">B1002</f>
        <v>Portland</v>
      </c>
      <c r="C1003" t="s">
        <v>527</v>
      </c>
      <c r="D1003" cm="1">
        <f t="array" ref="D1003">INDEX(FX_Temps,$AF1003,D$3)</f>
        <v>43.899999999999977</v>
      </c>
      <c r="E1003" cm="1">
        <f t="array" ref="E1003">INDEX(FX_Temps,$AF1003,E$3)</f>
        <v>44.700000000000045</v>
      </c>
      <c r="F1003" cm="1">
        <f t="array" ref="F1003">INDEX(FX_Temps,$AF1003,F$3)</f>
        <v>46.100000000000023</v>
      </c>
      <c r="G1003" cm="1">
        <f t="array" ref="G1003">INDEX(FX_Temps,$AF1003,G$3)</f>
        <v>48.599999999999966</v>
      </c>
      <c r="H1003" cm="1">
        <f t="array" ref="H1003">INDEX(FX_Temps,$AF1003,H$3)</f>
        <v>53.149999999999977</v>
      </c>
      <c r="I1003" cm="1">
        <f t="array" ref="I1003">INDEX(FX_Temps,$AF1003,I$3)</f>
        <v>56.950000000000045</v>
      </c>
      <c r="J1003" cm="1">
        <f t="array" ref="J1003">INDEX(FX_Temps,$AF1003,J$3)</f>
        <v>60.449999999999932</v>
      </c>
      <c r="K1003" cm="1">
        <f t="array" ref="K1003">INDEX(FX_Temps,$AF1003,K$3)</f>
        <v>60.899999999999977</v>
      </c>
      <c r="L1003" cm="1">
        <f t="array" ref="L1003">INDEX(FX_Temps,$AF1003,L$3)</f>
        <v>58.600000000000023</v>
      </c>
      <c r="M1003" cm="1">
        <f t="array" ref="M1003">INDEX(FX_Temps,$AF1003,M$3)</f>
        <v>52.649999999999977</v>
      </c>
      <c r="N1003" cm="1">
        <f t="array" ref="N1003">INDEX(FX_Temps,$AF1003,N$3)</f>
        <v>47.100000000000023</v>
      </c>
      <c r="O1003" cm="1">
        <f t="array" ref="O1003">INDEX(FX_Temps,$AF1003,O$3)</f>
        <v>43.600000000000023</v>
      </c>
      <c r="AE1003">
        <f>AE1002</f>
        <v>1</v>
      </c>
      <c r="AF1003">
        <f>AF994+11</f>
        <v>418</v>
      </c>
    </row>
    <row r="1004" spans="2:32" ht="17.149999999999999" x14ac:dyDescent="0.55000000000000004">
      <c r="B1004" t="str">
        <f t="shared" si="3604"/>
        <v>Portland</v>
      </c>
      <c r="C1004" t="s">
        <v>552</v>
      </c>
      <c r="D1004" cm="1">
        <f t="array" ref="D1004">INDEX(FX_Temps,$AF1004,D$3)</f>
        <v>43.899999999999977</v>
      </c>
      <c r="E1004" cm="1">
        <f t="array" ref="E1004">INDEX(FX_Temps,$AF1004,E$3)</f>
        <v>44.700000000000045</v>
      </c>
      <c r="F1004" cm="1">
        <f t="array" ref="F1004">INDEX(FX_Temps,$AF1004,F$3)</f>
        <v>46.100000000000023</v>
      </c>
      <c r="G1004" cm="1">
        <f t="array" ref="G1004">INDEX(FX_Temps,$AF1004,G$3)</f>
        <v>48.599999999999966</v>
      </c>
      <c r="H1004" cm="1">
        <f t="array" ref="H1004">INDEX(FX_Temps,$AF1004,H$3)</f>
        <v>53.149999999999977</v>
      </c>
      <c r="I1004" cm="1">
        <f t="array" ref="I1004">INDEX(FX_Temps,$AF1004,I$3)</f>
        <v>56.950000000000045</v>
      </c>
      <c r="J1004" cm="1">
        <f t="array" ref="J1004">INDEX(FX_Temps,$AF1004,J$3)</f>
        <v>60.449999999999932</v>
      </c>
      <c r="K1004" cm="1">
        <f t="array" ref="K1004">INDEX(FX_Temps,$AF1004,K$3)</f>
        <v>60.899999999999977</v>
      </c>
      <c r="L1004" cm="1">
        <f t="array" ref="L1004">INDEX(FX_Temps,$AF1004,L$3)</f>
        <v>58.600000000000023</v>
      </c>
      <c r="M1004" cm="1">
        <f t="array" ref="M1004">INDEX(FX_Temps,$AF1004,M$3)</f>
        <v>52.649999999999977</v>
      </c>
      <c r="N1004" cm="1">
        <f t="array" ref="N1004">INDEX(FX_Temps,$AF1004,N$3)</f>
        <v>47.100000000000023</v>
      </c>
      <c r="O1004" cm="1">
        <f t="array" ref="O1004">INDEX(FX_Temps,$AF1004,O$3)</f>
        <v>43.600000000000023</v>
      </c>
      <c r="AE1004">
        <f>AE1003</f>
        <v>1</v>
      </c>
      <c r="AF1004">
        <f>AF994+13</f>
        <v>420</v>
      </c>
    </row>
    <row r="1005" spans="2:32" ht="17.149999999999999" x14ac:dyDescent="0.55000000000000004">
      <c r="B1005" t="str">
        <f t="shared" si="3604"/>
        <v>Portland</v>
      </c>
      <c r="C1005" t="s">
        <v>574</v>
      </c>
      <c r="D1005" cm="1">
        <f t="array" ref="D1005">IFERROR(IF(D995="Chemical",(10^(INDEX(Antoines,MATCH(D994,Antoine_Name,0),2)-INDEX(Antoines,MATCH(D994,Antoine_Name,0),3)/(INDEX(Antoines,MATCH(D994,Antoine_Name,0),4)+(D1002-32)*5/9)))*14.7/760,IF(D995="Crude Oil",EXP((2799/(D1002+459.6)-2.227)*LOG10(INDEX(FX_Input,Q$5,D$3*$Z$5+$AA$5))-(7261/(D1002+459.6))+12.82),IF(D995="Refined Petroleum Stock",EXP((0.7553-(413/(D1002+459.6)))*(INDEX(FX_Input,Q$5,D$3*$Z$5+$AA$5-1)^0.5)*LOG10(INDEX(FX_Input,Q$5,D$3*$Z$5+$AA$5))-(1.854-(1042/(D1002+459.6)))*(INDEX(FX_Input,Q$5,D$3*$Z$5+$AA$5-1)^0.5)+((2416/(D1002+459.6)-2.013)*LOG10(INDEX(FX_Input,Q$5,D$3*$Z$5+$AA$5)))-(8742/(D1002+459.6))+15.64),EXP(INDEX(Antoines,MATCH(D994,Antoine_Name,0),2)-INDEX(Antoines,MATCH(D994,Antoine_Name,0),3)/(D1002+459.6))))),0)</f>
        <v>1</v>
      </c>
      <c r="E1005" cm="1">
        <f t="array" ref="E1005">IFERROR(IF(E995="Chemical",(10^(INDEX(Antoines,MATCH(E994,Antoine_Name,0),2)-INDEX(Antoines,MATCH(E994,Antoine_Name,0),3)/(INDEX(Antoines,MATCH(E994,Antoine_Name,0),4)+(E1002-32)*5/9)))*14.7/760,IF(E995="Crude Oil",EXP((2799/(E1002+459.6)-2.227)*LOG10(INDEX(FX_Input,R$5,E$3*$Z$5+$AA$5))-(7261/(E1002+459.6))+12.82),IF(E995="Refined Petroleum Stock",EXP((0.7553-(413/(E1002+459.6)))*(INDEX(FX_Input,R$5,E$3*$Z$5+$AA$5-1)^0.5)*LOG10(INDEX(FX_Input,R$5,E$3*$Z$5+$AA$5))-(1.854-(1042/(E1002+459.6)))*(INDEX(FX_Input,R$5,E$3*$Z$5+$AA$5-1)^0.5)+((2416/(E1002+459.6)-2.013)*LOG10(INDEX(FX_Input,R$5,E$3*$Z$5+$AA$5)))-(8742/(E1002+459.6))+15.64),EXP(INDEX(Antoines,MATCH(E994,Antoine_Name,0),2)-INDEX(Antoines,MATCH(E994,Antoine_Name,0),3)/(E1002+459.6))))),0)</f>
        <v>1</v>
      </c>
      <c r="F1005" cm="1">
        <f t="array" ref="F1005">IFERROR(IF(F995="Chemical",(10^(INDEX(Antoines,MATCH(F994,Antoine_Name,0),2)-INDEX(Antoines,MATCH(F994,Antoine_Name,0),3)/(INDEX(Antoines,MATCH(F994,Antoine_Name,0),4)+(F1002-32)*5/9)))*14.7/760,IF(F995="Crude Oil",EXP((2799/(F1002+459.6)-2.227)*LOG10(INDEX(FX_Input,S$5,F$3*$Z$5+$AA$5))-(7261/(F1002+459.6))+12.82),IF(F995="Refined Petroleum Stock",EXP((0.7553-(413/(F1002+459.6)))*(INDEX(FX_Input,S$5,F$3*$Z$5+$AA$5-1)^0.5)*LOG10(INDEX(FX_Input,S$5,F$3*$Z$5+$AA$5))-(1.854-(1042/(F1002+459.6)))*(INDEX(FX_Input,S$5,F$3*$Z$5+$AA$5-1)^0.5)+((2416/(F1002+459.6)-2.013)*LOG10(INDEX(FX_Input,S$5,F$3*$Z$5+$AA$5)))-(8742/(F1002+459.6))+15.64),EXP(INDEX(Antoines,MATCH(F994,Antoine_Name,0),2)-INDEX(Antoines,MATCH(F994,Antoine_Name,0),3)/(F1002+459.6))))),0)</f>
        <v>1</v>
      </c>
      <c r="G1005" cm="1">
        <f t="array" ref="G1005">IFERROR(IF(G995="Chemical",(10^(INDEX(Antoines,MATCH(G994,Antoine_Name,0),2)-INDEX(Antoines,MATCH(G994,Antoine_Name,0),3)/(INDEX(Antoines,MATCH(G994,Antoine_Name,0),4)+(G1002-32)*5/9)))*14.7/760,IF(G995="Crude Oil",EXP((2799/(G1002+459.6)-2.227)*LOG10(INDEX(FX_Input,T$5,G$3*$Z$5+$AA$5))-(7261/(G1002+459.6))+12.82),IF(G995="Refined Petroleum Stock",EXP((0.7553-(413/(G1002+459.6)))*(INDEX(FX_Input,T$5,G$3*$Z$5+$AA$5-1)^0.5)*LOG10(INDEX(FX_Input,T$5,G$3*$Z$5+$AA$5))-(1.854-(1042/(G1002+459.6)))*(INDEX(FX_Input,T$5,G$3*$Z$5+$AA$5-1)^0.5)+((2416/(G1002+459.6)-2.013)*LOG10(INDEX(FX_Input,T$5,G$3*$Z$5+$AA$5)))-(8742/(G1002+459.6))+15.64),EXP(INDEX(Antoines,MATCH(G994,Antoine_Name,0),2)-INDEX(Antoines,MATCH(G994,Antoine_Name,0),3)/(G1002+459.6))))),0)</f>
        <v>1</v>
      </c>
      <c r="H1005" cm="1">
        <f t="array" ref="H1005">IFERROR(IF(H995="Chemical",(10^(INDEX(Antoines,MATCH(H994,Antoine_Name,0),2)-INDEX(Antoines,MATCH(H994,Antoine_Name,0),3)/(INDEX(Antoines,MATCH(H994,Antoine_Name,0),4)+(H1002-32)*5/9)))*14.7/760,IF(H995="Crude Oil",EXP((2799/(H1002+459.6)-2.227)*LOG10(INDEX(FX_Input,U$5,H$3*$Z$5+$AA$5))-(7261/(H1002+459.6))+12.82),IF(H995="Refined Petroleum Stock",EXP((0.7553-(413/(H1002+459.6)))*(INDEX(FX_Input,U$5,H$3*$Z$5+$AA$5-1)^0.5)*LOG10(INDEX(FX_Input,U$5,H$3*$Z$5+$AA$5))-(1.854-(1042/(H1002+459.6)))*(INDEX(FX_Input,U$5,H$3*$Z$5+$AA$5-1)^0.5)+((2416/(H1002+459.6)-2.013)*LOG10(INDEX(FX_Input,U$5,H$3*$Z$5+$AA$5)))-(8742/(H1002+459.6))+15.64),EXP(INDEX(Antoines,MATCH(H994,Antoine_Name,0),2)-INDEX(Antoines,MATCH(H994,Antoine_Name,0),3)/(H1002+459.6))))),0)</f>
        <v>1</v>
      </c>
      <c r="I1005" cm="1">
        <f t="array" ref="I1005">IFERROR(IF(I995="Chemical",(10^(INDEX(Antoines,MATCH(I994,Antoine_Name,0),2)-INDEX(Antoines,MATCH(I994,Antoine_Name,0),3)/(INDEX(Antoines,MATCH(I994,Antoine_Name,0),4)+(I1002-32)*5/9)))*14.7/760,IF(I995="Crude Oil",EXP((2799/(I1002+459.6)-2.227)*LOG10(INDEX(FX_Input,V$5,I$3*$Z$5+$AA$5))-(7261/(I1002+459.6))+12.82),IF(I995="Refined Petroleum Stock",EXP((0.7553-(413/(I1002+459.6)))*(INDEX(FX_Input,V$5,I$3*$Z$5+$AA$5-1)^0.5)*LOG10(INDEX(FX_Input,V$5,I$3*$Z$5+$AA$5))-(1.854-(1042/(I1002+459.6)))*(INDEX(FX_Input,V$5,I$3*$Z$5+$AA$5-1)^0.5)+((2416/(I1002+459.6)-2.013)*LOG10(INDEX(FX_Input,V$5,I$3*$Z$5+$AA$5)))-(8742/(I1002+459.6))+15.64),EXP(INDEX(Antoines,MATCH(I994,Antoine_Name,0),2)-INDEX(Antoines,MATCH(I994,Antoine_Name,0),3)/(I1002+459.6))))),0)</f>
        <v>1</v>
      </c>
      <c r="J1005" cm="1">
        <f t="array" ref="J1005">IFERROR(IF(J995="Chemical",(10^(INDEX(Antoines,MATCH(J994,Antoine_Name,0),2)-INDEX(Antoines,MATCH(J994,Antoine_Name,0),3)/(INDEX(Antoines,MATCH(J994,Antoine_Name,0),4)+(J1002-32)*5/9)))*14.7/760,IF(J995="Crude Oil",EXP((2799/(J1002+459.6)-2.227)*LOG10(INDEX(FX_Input,W$5,J$3*$Z$5+$AA$5))-(7261/(J1002+459.6))+12.82),IF(J995="Refined Petroleum Stock",EXP((0.7553-(413/(J1002+459.6)))*(INDEX(FX_Input,W$5,J$3*$Z$5+$AA$5-1)^0.5)*LOG10(INDEX(FX_Input,W$5,J$3*$Z$5+$AA$5))-(1.854-(1042/(J1002+459.6)))*(INDEX(FX_Input,W$5,J$3*$Z$5+$AA$5-1)^0.5)+((2416/(J1002+459.6)-2.013)*LOG10(INDEX(FX_Input,W$5,J$3*$Z$5+$AA$5)))-(8742/(J1002+459.6))+15.64),EXP(INDEX(Antoines,MATCH(J994,Antoine_Name,0),2)-INDEX(Antoines,MATCH(J994,Antoine_Name,0),3)/(J1002+459.6))))),0)</f>
        <v>1</v>
      </c>
      <c r="K1005" cm="1">
        <f t="array" ref="K1005">IFERROR(IF(K995="Chemical",(10^(INDEX(Antoines,MATCH(K994,Antoine_Name,0),2)-INDEX(Antoines,MATCH(K994,Antoine_Name,0),3)/(INDEX(Antoines,MATCH(K994,Antoine_Name,0),4)+(K1002-32)*5/9)))*14.7/760,IF(K995="Crude Oil",EXP((2799/(K1002+459.6)-2.227)*LOG10(INDEX(FX_Input,X$5,K$3*$Z$5+$AA$5))-(7261/(K1002+459.6))+12.82),IF(K995="Refined Petroleum Stock",EXP((0.7553-(413/(K1002+459.6)))*(INDEX(FX_Input,X$5,K$3*$Z$5+$AA$5-1)^0.5)*LOG10(INDEX(FX_Input,X$5,K$3*$Z$5+$AA$5))-(1.854-(1042/(K1002+459.6)))*(INDEX(FX_Input,X$5,K$3*$Z$5+$AA$5-1)^0.5)+((2416/(K1002+459.6)-2.013)*LOG10(INDEX(FX_Input,X$5,K$3*$Z$5+$AA$5)))-(8742/(K1002+459.6))+15.64),EXP(INDEX(Antoines,MATCH(K994,Antoine_Name,0),2)-INDEX(Antoines,MATCH(K994,Antoine_Name,0),3)/(K1002+459.6))))),0)</f>
        <v>1</v>
      </c>
      <c r="L1005" cm="1">
        <f t="array" ref="L1005">IFERROR(IF(L995="Chemical",(10^(INDEX(Antoines,MATCH(L994,Antoine_Name,0),2)-INDEX(Antoines,MATCH(L994,Antoine_Name,0),3)/(INDEX(Antoines,MATCH(L994,Antoine_Name,0),4)+(L1002-32)*5/9)))*14.7/760,IF(L995="Crude Oil",EXP((2799/(L1002+459.6)-2.227)*LOG10(INDEX(FX_Input,Y$5,L$3*$Z$5+$AA$5))-(7261/(L1002+459.6))+12.82),IF(L995="Refined Petroleum Stock",EXP((0.7553-(413/(L1002+459.6)))*(INDEX(FX_Input,Y$5,L$3*$Z$5+$AA$5-1)^0.5)*LOG10(INDEX(FX_Input,Y$5,L$3*$Z$5+$AA$5))-(1.854-(1042/(L1002+459.6)))*(INDEX(FX_Input,Y$5,L$3*$Z$5+$AA$5-1)^0.5)+((2416/(L1002+459.6)-2.013)*LOG10(INDEX(FX_Input,Y$5,L$3*$Z$5+$AA$5)))-(8742/(L1002+459.6))+15.64),EXP(INDEX(Antoines,MATCH(L994,Antoine_Name,0),2)-INDEX(Antoines,MATCH(L994,Antoine_Name,0),3)/(L1002+459.6))))),0)</f>
        <v>1</v>
      </c>
      <c r="M1005" cm="1">
        <f t="array" ref="M1005">IFERROR(IF(M995="Chemical",(10^(INDEX(Antoines,MATCH(M994,Antoine_Name,0),2)-INDEX(Antoines,MATCH(M994,Antoine_Name,0),3)/(INDEX(Antoines,MATCH(M994,Antoine_Name,0),4)+(M1002-32)*5/9)))*14.7/760,IF(M995="Crude Oil",EXP((2799/(M1002+459.6)-2.227)*LOG10(INDEX(FX_Input,Z$5,M$3*$Z$5+$AA$5))-(7261/(M1002+459.6))+12.82),IF(M995="Refined Petroleum Stock",EXP((0.7553-(413/(M1002+459.6)))*(INDEX(FX_Input,Z$5,M$3*$Z$5+$AA$5-1)^0.5)*LOG10(INDEX(FX_Input,Z$5,M$3*$Z$5+$AA$5))-(1.854-(1042/(M1002+459.6)))*(INDEX(FX_Input,Z$5,M$3*$Z$5+$AA$5-1)^0.5)+((2416/(M1002+459.6)-2.013)*LOG10(INDEX(FX_Input,Z$5,M$3*$Z$5+$AA$5)))-(8742/(M1002+459.6))+15.64),EXP(INDEX(Antoines,MATCH(M994,Antoine_Name,0),2)-INDEX(Antoines,MATCH(M994,Antoine_Name,0),3)/(M1002+459.6))))),0)</f>
        <v>1</v>
      </c>
      <c r="N1005" cm="1">
        <f t="array" ref="N1005">IFERROR(IF(N995="Chemical",(10^(INDEX(Antoines,MATCH(N994,Antoine_Name,0),2)-INDEX(Antoines,MATCH(N994,Antoine_Name,0),3)/(INDEX(Antoines,MATCH(N994,Antoine_Name,0),4)+(N1002-32)*5/9)))*14.7/760,IF(N995="Crude Oil",EXP((2799/(N1002+459.6)-2.227)*LOG10(INDEX(FX_Input,AA$5,N$3*$Z$5+$AA$5))-(7261/(N1002+459.6))+12.82),IF(N995="Refined Petroleum Stock",EXP((0.7553-(413/(N1002+459.6)))*(INDEX(FX_Input,AA$5,N$3*$Z$5+$AA$5-1)^0.5)*LOG10(INDEX(FX_Input,AA$5,N$3*$Z$5+$AA$5))-(1.854-(1042/(N1002+459.6)))*(INDEX(FX_Input,AA$5,N$3*$Z$5+$AA$5-1)^0.5)+((2416/(N1002+459.6)-2.013)*LOG10(INDEX(FX_Input,AA$5,N$3*$Z$5+$AA$5)))-(8742/(N1002+459.6))+15.64),EXP(INDEX(Antoines,MATCH(N994,Antoine_Name,0),2)-INDEX(Antoines,MATCH(N994,Antoine_Name,0),3)/(N1002+459.6))))),0)</f>
        <v>1</v>
      </c>
      <c r="O1005" cm="1">
        <f t="array" ref="O1005">IFERROR(IF(O995="Chemical",(10^(INDEX(Antoines,MATCH(O994,Antoine_Name,0),2)-INDEX(Antoines,MATCH(O994,Antoine_Name,0),3)/(INDEX(Antoines,MATCH(O994,Antoine_Name,0),4)+(O1002-32)*5/9)))*14.7/760,IF(O995="Crude Oil",EXP((2799/(O1002+459.6)-2.227)*LOG10(INDEX(FX_Input,AB$5,O$3*$Z$5+$AA$5))-(7261/(O1002+459.6))+12.82),IF(O995="Refined Petroleum Stock",EXP((0.7553-(413/(O1002+459.6)))*(INDEX(FX_Input,AB$5,O$3*$Z$5+$AA$5-1)^0.5)*LOG10(INDEX(FX_Input,AB$5,O$3*$Z$5+$AA$5))-(1.854-(1042/(O1002+459.6)))*(INDEX(FX_Input,AB$5,O$3*$Z$5+$AA$5-1)^0.5)+((2416/(O1002+459.6)-2.013)*LOG10(INDEX(FX_Input,AB$5,O$3*$Z$5+$AA$5)))-(8742/(O1002+459.6))+15.64),EXP(INDEX(Antoines,MATCH(O994,Antoine_Name,0),2)-INDEX(Antoines,MATCH(O994,Antoine_Name,0),3)/(O1002+459.6))))),0)</f>
        <v>1</v>
      </c>
    </row>
    <row r="1006" spans="2:32" ht="17.149999999999999" x14ac:dyDescent="0.55000000000000004">
      <c r="B1006" t="str">
        <f t="shared" si="3604"/>
        <v>Portland</v>
      </c>
      <c r="C1006" t="s">
        <v>576</v>
      </c>
      <c r="D1006">
        <f>D998*D1005</f>
        <v>1</v>
      </c>
      <c r="E1006">
        <f t="shared" ref="E1006" si="3605">E998*E1005</f>
        <v>1</v>
      </c>
      <c r="F1006">
        <f t="shared" ref="F1006" si="3606">F998*F1005</f>
        <v>1</v>
      </c>
      <c r="G1006">
        <f t="shared" ref="G1006" si="3607">G998*G1005</f>
        <v>1</v>
      </c>
      <c r="H1006">
        <f t="shared" ref="H1006" si="3608">H998*H1005</f>
        <v>1</v>
      </c>
      <c r="I1006">
        <f t="shared" ref="I1006" si="3609">I998*I1005</f>
        <v>1</v>
      </c>
      <c r="J1006">
        <f t="shared" ref="J1006" si="3610">J998*J1005</f>
        <v>1</v>
      </c>
      <c r="K1006">
        <f t="shared" ref="K1006" si="3611">K998*K1005</f>
        <v>1</v>
      </c>
      <c r="L1006">
        <f t="shared" ref="L1006" si="3612">L998*L1005</f>
        <v>1</v>
      </c>
      <c r="M1006">
        <f t="shared" ref="M1006" si="3613">M998*M1005</f>
        <v>1</v>
      </c>
      <c r="N1006">
        <f t="shared" ref="N1006" si="3614">N998*N1005</f>
        <v>1</v>
      </c>
      <c r="O1006">
        <f t="shared" ref="O1006" si="3615">O998*O1005</f>
        <v>1</v>
      </c>
    </row>
    <row r="1007" spans="2:32" ht="17.149999999999999" x14ac:dyDescent="0.55000000000000004">
      <c r="B1007" t="str">
        <f t="shared" si="3604"/>
        <v>Portland</v>
      </c>
      <c r="C1007" t="s">
        <v>575</v>
      </c>
      <c r="D1007" cm="1">
        <f t="array" ref="D1007">IFERROR(IF(D997="Chemical",(10^(INDEX(Antoines,MATCH(D996,Antoine_Name,0),2)-INDEX(Antoines,MATCH(D996,Antoine_Name,0),3)/(INDEX(Antoines,MATCH(D996,Antoine_Name,0),4)+(D1002-32)*5/9)))*14.7/760,IF(D997="Crude Oil",EXP((2799/(D1002+459.6)-2.227)*LOG10(INDEX(FX_Input,Q$5,D$3*$Z$5+$AA$5))-(7261/(D1002+459.6))+12.82),IF(D997="Refined Petroleum Stock",EXP((0.7553-(413/(D1002+459.6)))*(INDEX(FX_Input,Q$5,D$3*$Z$5+$AA$5-1)^0.5)*LOG10(INDEX(FX_Input,Q$5,D$3*$Z$5+$AA$5))-(1.854-(1042/(D1002+459.6)))*(INDEX(FX_Input,Q$5,D$3*$Z$5+$AA$5-1)^0.5)+((2416/(D1002+459.6)-2.013)*LOG10(INDEX(FX_Input,Q$5,D$3*$Z$5+$AA$5)))-(8742/(D1002+459.6))+15.64),EXP(INDEX(Antoines,MATCH(D996,Antoine_Name,0),2)-INDEX(Antoines,MATCH(D996,Antoine_Name,0),3)/(D1002+459.6))))),0)</f>
        <v>0</v>
      </c>
      <c r="E1007" cm="1">
        <f t="array" ref="E1007">IFERROR(IF(E997="Chemical",(10^(INDEX(Antoines,MATCH(E996,Antoine_Name,0),2)-INDEX(Antoines,MATCH(E996,Antoine_Name,0),3)/(INDEX(Antoines,MATCH(E996,Antoine_Name,0),4)+(E1002-32)*5/9)))*14.7/760,IF(E997="Crude Oil",EXP((2799/(E1002+459.6)-2.227)*LOG10(INDEX(FX_Input,R$5,E$3*$Z$5+$AA$5))-(7261/(E1002+459.6))+12.82),IF(E997="Refined Petroleum Stock",EXP((0.7553-(413/(E1002+459.6)))*(INDEX(FX_Input,R$5,E$3*$Z$5+$AA$5-1)^0.5)*LOG10(INDEX(FX_Input,R$5,E$3*$Z$5+$AA$5))-(1.854-(1042/(E1002+459.6)))*(INDEX(FX_Input,R$5,E$3*$Z$5+$AA$5-1)^0.5)+((2416/(E1002+459.6)-2.013)*LOG10(INDEX(FX_Input,R$5,E$3*$Z$5+$AA$5)))-(8742/(E1002+459.6))+15.64),EXP(INDEX(Antoines,MATCH(E996,Antoine_Name,0),2)-INDEX(Antoines,MATCH(E996,Antoine_Name,0),3)/(E1002+459.6))))),0)</f>
        <v>0</v>
      </c>
      <c r="F1007" cm="1">
        <f t="array" ref="F1007">IFERROR(IF(F997="Chemical",(10^(INDEX(Antoines,MATCH(F996,Antoine_Name,0),2)-INDEX(Antoines,MATCH(F996,Antoine_Name,0),3)/(INDEX(Antoines,MATCH(F996,Antoine_Name,0),4)+(F1002-32)*5/9)))*14.7/760,IF(F997="Crude Oil",EXP((2799/(F1002+459.6)-2.227)*LOG10(INDEX(FX_Input,S$5,F$3*$Z$5+$AA$5))-(7261/(F1002+459.6))+12.82),IF(F997="Refined Petroleum Stock",EXP((0.7553-(413/(F1002+459.6)))*(INDEX(FX_Input,S$5,F$3*$Z$5+$AA$5-1)^0.5)*LOG10(INDEX(FX_Input,S$5,F$3*$Z$5+$AA$5))-(1.854-(1042/(F1002+459.6)))*(INDEX(FX_Input,S$5,F$3*$Z$5+$AA$5-1)^0.5)+((2416/(F1002+459.6)-2.013)*LOG10(INDEX(FX_Input,S$5,F$3*$Z$5+$AA$5)))-(8742/(F1002+459.6))+15.64),EXP(INDEX(Antoines,MATCH(F996,Antoine_Name,0),2)-INDEX(Antoines,MATCH(F996,Antoine_Name,0),3)/(F1002+459.6))))),0)</f>
        <v>0</v>
      </c>
      <c r="G1007" cm="1">
        <f t="array" ref="G1007">IFERROR(IF(G997="Chemical",(10^(INDEX(Antoines,MATCH(G996,Antoine_Name,0),2)-INDEX(Antoines,MATCH(G996,Antoine_Name,0),3)/(INDEX(Antoines,MATCH(G996,Antoine_Name,0),4)+(G1002-32)*5/9)))*14.7/760,IF(G997="Crude Oil",EXP((2799/(G1002+459.6)-2.227)*LOG10(INDEX(FX_Input,T$5,G$3*$Z$5+$AA$5))-(7261/(G1002+459.6))+12.82),IF(G997="Refined Petroleum Stock",EXP((0.7553-(413/(G1002+459.6)))*(INDEX(FX_Input,T$5,G$3*$Z$5+$AA$5-1)^0.5)*LOG10(INDEX(FX_Input,T$5,G$3*$Z$5+$AA$5))-(1.854-(1042/(G1002+459.6)))*(INDEX(FX_Input,T$5,G$3*$Z$5+$AA$5-1)^0.5)+((2416/(G1002+459.6)-2.013)*LOG10(INDEX(FX_Input,T$5,G$3*$Z$5+$AA$5)))-(8742/(G1002+459.6))+15.64),EXP(INDEX(Antoines,MATCH(G996,Antoine_Name,0),2)-INDEX(Antoines,MATCH(G996,Antoine_Name,0),3)/(G1002+459.6))))),0)</f>
        <v>0</v>
      </c>
      <c r="H1007" cm="1">
        <f t="array" ref="H1007">IFERROR(IF(H997="Chemical",(10^(INDEX(Antoines,MATCH(H996,Antoine_Name,0),2)-INDEX(Antoines,MATCH(H996,Antoine_Name,0),3)/(INDEX(Antoines,MATCH(H996,Antoine_Name,0),4)+(H1002-32)*5/9)))*14.7/760,IF(H997="Crude Oil",EXP((2799/(H1002+459.6)-2.227)*LOG10(INDEX(FX_Input,U$5,H$3*$Z$5+$AA$5))-(7261/(H1002+459.6))+12.82),IF(H997="Refined Petroleum Stock",EXP((0.7553-(413/(H1002+459.6)))*(INDEX(FX_Input,U$5,H$3*$Z$5+$AA$5-1)^0.5)*LOG10(INDEX(FX_Input,U$5,H$3*$Z$5+$AA$5))-(1.854-(1042/(H1002+459.6)))*(INDEX(FX_Input,U$5,H$3*$Z$5+$AA$5-1)^0.5)+((2416/(H1002+459.6)-2.013)*LOG10(INDEX(FX_Input,U$5,H$3*$Z$5+$AA$5)))-(8742/(H1002+459.6))+15.64),EXP(INDEX(Antoines,MATCH(H996,Antoine_Name,0),2)-INDEX(Antoines,MATCH(H996,Antoine_Name,0),3)/(H1002+459.6))))),0)</f>
        <v>0</v>
      </c>
      <c r="I1007" cm="1">
        <f t="array" ref="I1007">IFERROR(IF(I997="Chemical",(10^(INDEX(Antoines,MATCH(I996,Antoine_Name,0),2)-INDEX(Antoines,MATCH(I996,Antoine_Name,0),3)/(INDEX(Antoines,MATCH(I996,Antoine_Name,0),4)+(I1002-32)*5/9)))*14.7/760,IF(I997="Crude Oil",EXP((2799/(I1002+459.6)-2.227)*LOG10(INDEX(FX_Input,V$5,I$3*$Z$5+$AA$5))-(7261/(I1002+459.6))+12.82),IF(I997="Refined Petroleum Stock",EXP((0.7553-(413/(I1002+459.6)))*(INDEX(FX_Input,V$5,I$3*$Z$5+$AA$5-1)^0.5)*LOG10(INDEX(FX_Input,V$5,I$3*$Z$5+$AA$5))-(1.854-(1042/(I1002+459.6)))*(INDEX(FX_Input,V$5,I$3*$Z$5+$AA$5-1)^0.5)+((2416/(I1002+459.6)-2.013)*LOG10(INDEX(FX_Input,V$5,I$3*$Z$5+$AA$5)))-(8742/(I1002+459.6))+15.64),EXP(INDEX(Antoines,MATCH(I996,Antoine_Name,0),2)-INDEX(Antoines,MATCH(I996,Antoine_Name,0),3)/(I1002+459.6))))),0)</f>
        <v>0</v>
      </c>
      <c r="J1007" cm="1">
        <f t="array" ref="J1007">IFERROR(IF(J997="Chemical",(10^(INDEX(Antoines,MATCH(J996,Antoine_Name,0),2)-INDEX(Antoines,MATCH(J996,Antoine_Name,0),3)/(INDEX(Antoines,MATCH(J996,Antoine_Name,0),4)+(J1002-32)*5/9)))*14.7/760,IF(J997="Crude Oil",EXP((2799/(J1002+459.6)-2.227)*LOG10(INDEX(FX_Input,W$5,J$3*$Z$5+$AA$5))-(7261/(J1002+459.6))+12.82),IF(J997="Refined Petroleum Stock",EXP((0.7553-(413/(J1002+459.6)))*(INDEX(FX_Input,W$5,J$3*$Z$5+$AA$5-1)^0.5)*LOG10(INDEX(FX_Input,W$5,J$3*$Z$5+$AA$5))-(1.854-(1042/(J1002+459.6)))*(INDEX(FX_Input,W$5,J$3*$Z$5+$AA$5-1)^0.5)+((2416/(J1002+459.6)-2.013)*LOG10(INDEX(FX_Input,W$5,J$3*$Z$5+$AA$5)))-(8742/(J1002+459.6))+15.64),EXP(INDEX(Antoines,MATCH(J996,Antoine_Name,0),2)-INDEX(Antoines,MATCH(J996,Antoine_Name,0),3)/(J1002+459.6))))),0)</f>
        <v>0</v>
      </c>
      <c r="K1007" cm="1">
        <f t="array" ref="K1007">IFERROR(IF(K997="Chemical",(10^(INDEX(Antoines,MATCH(K996,Antoine_Name,0),2)-INDEX(Antoines,MATCH(K996,Antoine_Name,0),3)/(INDEX(Antoines,MATCH(K996,Antoine_Name,0),4)+(K1002-32)*5/9)))*14.7/760,IF(K997="Crude Oil",EXP((2799/(K1002+459.6)-2.227)*LOG10(INDEX(FX_Input,X$5,K$3*$Z$5+$AA$5))-(7261/(K1002+459.6))+12.82),IF(K997="Refined Petroleum Stock",EXP((0.7553-(413/(K1002+459.6)))*(INDEX(FX_Input,X$5,K$3*$Z$5+$AA$5-1)^0.5)*LOG10(INDEX(FX_Input,X$5,K$3*$Z$5+$AA$5))-(1.854-(1042/(K1002+459.6)))*(INDEX(FX_Input,X$5,K$3*$Z$5+$AA$5-1)^0.5)+((2416/(K1002+459.6)-2.013)*LOG10(INDEX(FX_Input,X$5,K$3*$Z$5+$AA$5)))-(8742/(K1002+459.6))+15.64),EXP(INDEX(Antoines,MATCH(K996,Antoine_Name,0),2)-INDEX(Antoines,MATCH(K996,Antoine_Name,0),3)/(K1002+459.6))))),0)</f>
        <v>0</v>
      </c>
      <c r="L1007" cm="1">
        <f t="array" ref="L1007">IFERROR(IF(L997="Chemical",(10^(INDEX(Antoines,MATCH(L996,Antoine_Name,0),2)-INDEX(Antoines,MATCH(L996,Antoine_Name,0),3)/(INDEX(Antoines,MATCH(L996,Antoine_Name,0),4)+(L1002-32)*5/9)))*14.7/760,IF(L997="Crude Oil",EXP((2799/(L1002+459.6)-2.227)*LOG10(INDEX(FX_Input,Y$5,L$3*$Z$5+$AA$5))-(7261/(L1002+459.6))+12.82),IF(L997="Refined Petroleum Stock",EXP((0.7553-(413/(L1002+459.6)))*(INDEX(FX_Input,Y$5,L$3*$Z$5+$AA$5-1)^0.5)*LOG10(INDEX(FX_Input,Y$5,L$3*$Z$5+$AA$5))-(1.854-(1042/(L1002+459.6)))*(INDEX(FX_Input,Y$5,L$3*$Z$5+$AA$5-1)^0.5)+((2416/(L1002+459.6)-2.013)*LOG10(INDEX(FX_Input,Y$5,L$3*$Z$5+$AA$5)))-(8742/(L1002+459.6))+15.64),EXP(INDEX(Antoines,MATCH(L996,Antoine_Name,0),2)-INDEX(Antoines,MATCH(L996,Antoine_Name,0),3)/(L1002+459.6))))),0)</f>
        <v>0</v>
      </c>
      <c r="M1007" cm="1">
        <f t="array" ref="M1007">IFERROR(IF(M997="Chemical",(10^(INDEX(Antoines,MATCH(M996,Antoine_Name,0),2)-INDEX(Antoines,MATCH(M996,Antoine_Name,0),3)/(INDEX(Antoines,MATCH(M996,Antoine_Name,0),4)+(M1002-32)*5/9)))*14.7/760,IF(M997="Crude Oil",EXP((2799/(M1002+459.6)-2.227)*LOG10(INDEX(FX_Input,Z$5,M$3*$Z$5+$AA$5))-(7261/(M1002+459.6))+12.82),IF(M997="Refined Petroleum Stock",EXP((0.7553-(413/(M1002+459.6)))*(INDEX(FX_Input,Z$5,M$3*$Z$5+$AA$5-1)^0.5)*LOG10(INDEX(FX_Input,Z$5,M$3*$Z$5+$AA$5))-(1.854-(1042/(M1002+459.6)))*(INDEX(FX_Input,Z$5,M$3*$Z$5+$AA$5-1)^0.5)+((2416/(M1002+459.6)-2.013)*LOG10(INDEX(FX_Input,Z$5,M$3*$Z$5+$AA$5)))-(8742/(M1002+459.6))+15.64),EXP(INDEX(Antoines,MATCH(M996,Antoine_Name,0),2)-INDEX(Antoines,MATCH(M996,Antoine_Name,0),3)/(M1002+459.6))))),0)</f>
        <v>0</v>
      </c>
      <c r="N1007" cm="1">
        <f t="array" ref="N1007">IFERROR(IF(N997="Chemical",(10^(INDEX(Antoines,MATCH(N996,Antoine_Name,0),2)-INDEX(Antoines,MATCH(N996,Antoine_Name,0),3)/(INDEX(Antoines,MATCH(N996,Antoine_Name,0),4)+(N1002-32)*5/9)))*14.7/760,IF(N997="Crude Oil",EXP((2799/(N1002+459.6)-2.227)*LOG10(INDEX(FX_Input,AA$5,N$3*$Z$5+$AA$5))-(7261/(N1002+459.6))+12.82),IF(N997="Refined Petroleum Stock",EXP((0.7553-(413/(N1002+459.6)))*(INDEX(FX_Input,AA$5,N$3*$Z$5+$AA$5-1)^0.5)*LOG10(INDEX(FX_Input,AA$5,N$3*$Z$5+$AA$5))-(1.854-(1042/(N1002+459.6)))*(INDEX(FX_Input,AA$5,N$3*$Z$5+$AA$5-1)^0.5)+((2416/(N1002+459.6)-2.013)*LOG10(INDEX(FX_Input,AA$5,N$3*$Z$5+$AA$5)))-(8742/(N1002+459.6))+15.64),EXP(INDEX(Antoines,MATCH(N996,Antoine_Name,0),2)-INDEX(Antoines,MATCH(N996,Antoine_Name,0),3)/(N1002+459.6))))),0)</f>
        <v>0</v>
      </c>
      <c r="O1007" cm="1">
        <f t="array" ref="O1007">IFERROR(IF(O997="Chemical",(10^(INDEX(Antoines,MATCH(O996,Antoine_Name,0),2)-INDEX(Antoines,MATCH(O996,Antoine_Name,0),3)/(INDEX(Antoines,MATCH(O996,Antoine_Name,0),4)+(O1002-32)*5/9)))*14.7/760,IF(O997="Crude Oil",EXP((2799/(O1002+459.6)-2.227)*LOG10(INDEX(FX_Input,AB$5,O$3*$Z$5+$AA$5))-(7261/(O1002+459.6))+12.82),IF(O997="Refined Petroleum Stock",EXP((0.7553-(413/(O1002+459.6)))*(INDEX(FX_Input,AB$5,O$3*$Z$5+$AA$5-1)^0.5)*LOG10(INDEX(FX_Input,AB$5,O$3*$Z$5+$AA$5))-(1.854-(1042/(O1002+459.6)))*(INDEX(FX_Input,AB$5,O$3*$Z$5+$AA$5-1)^0.5)+((2416/(O1002+459.6)-2.013)*LOG10(INDEX(FX_Input,AB$5,O$3*$Z$5+$AA$5)))-(8742/(O1002+459.6))+15.64),EXP(INDEX(Antoines,MATCH(O996,Antoine_Name,0),2)-INDEX(Antoines,MATCH(O996,Antoine_Name,0),3)/(O1002+459.6))))),0)</f>
        <v>0</v>
      </c>
    </row>
    <row r="1008" spans="2:32" ht="17.149999999999999" x14ac:dyDescent="0.55000000000000004">
      <c r="B1008" t="str">
        <f t="shared" si="3604"/>
        <v>Portland</v>
      </c>
      <c r="C1008" t="s">
        <v>577</v>
      </c>
      <c r="D1008">
        <f>D1007*D1000</f>
        <v>0</v>
      </c>
      <c r="E1008">
        <f t="shared" ref="E1008" si="3616">E1007*E1000</f>
        <v>0</v>
      </c>
      <c r="F1008">
        <f t="shared" ref="F1008" si="3617">F1007*F1000</f>
        <v>0</v>
      </c>
      <c r="G1008">
        <f t="shared" ref="G1008" si="3618">G1007*G1000</f>
        <v>0</v>
      </c>
      <c r="H1008">
        <f t="shared" ref="H1008" si="3619">H1007*H1000</f>
        <v>0</v>
      </c>
      <c r="I1008">
        <f t="shared" ref="I1008" si="3620">I1007*I1000</f>
        <v>0</v>
      </c>
      <c r="J1008">
        <f t="shared" ref="J1008" si="3621">J1007*J1000</f>
        <v>0</v>
      </c>
      <c r="K1008">
        <f t="shared" ref="K1008" si="3622">K1007*K1000</f>
        <v>0</v>
      </c>
      <c r="L1008">
        <f t="shared" ref="L1008" si="3623">L1007*L1000</f>
        <v>0</v>
      </c>
      <c r="M1008">
        <f t="shared" ref="M1008" si="3624">M1007*M1000</f>
        <v>0</v>
      </c>
      <c r="N1008">
        <f t="shared" ref="N1008" si="3625">N1007*N1000</f>
        <v>0</v>
      </c>
      <c r="O1008">
        <f t="shared" ref="O1008" si="3626">O1007*O1000</f>
        <v>0</v>
      </c>
    </row>
    <row r="1009" spans="1:32" ht="17.149999999999999" x14ac:dyDescent="0.55000000000000004">
      <c r="B1009" t="str">
        <f t="shared" si="3604"/>
        <v>Portland</v>
      </c>
      <c r="C1009" t="s">
        <v>578</v>
      </c>
      <c r="D1009">
        <f>D1008+D1006</f>
        <v>1</v>
      </c>
      <c r="E1009">
        <f t="shared" ref="E1009" si="3627">E1008+E1006</f>
        <v>1</v>
      </c>
      <c r="F1009">
        <f t="shared" ref="F1009" si="3628">F1008+F1006</f>
        <v>1</v>
      </c>
      <c r="G1009">
        <f t="shared" ref="G1009" si="3629">G1008+G1006</f>
        <v>1</v>
      </c>
      <c r="H1009">
        <f t="shared" ref="H1009" si="3630">H1008+H1006</f>
        <v>1</v>
      </c>
      <c r="I1009">
        <f t="shared" ref="I1009" si="3631">I1008+I1006</f>
        <v>1</v>
      </c>
      <c r="J1009">
        <f t="shared" ref="J1009" si="3632">J1008+J1006</f>
        <v>1</v>
      </c>
      <c r="K1009">
        <f t="shared" ref="K1009" si="3633">K1008+K1006</f>
        <v>1</v>
      </c>
      <c r="L1009">
        <f t="shared" ref="L1009" si="3634">L1008+L1006</f>
        <v>1</v>
      </c>
      <c r="M1009">
        <f t="shared" ref="M1009" si="3635">M1008+M1006</f>
        <v>1</v>
      </c>
      <c r="N1009">
        <f t="shared" ref="N1009" si="3636">N1008+N1006</f>
        <v>1</v>
      </c>
      <c r="O1009">
        <f t="shared" ref="O1009" si="3637">O1008+O1006</f>
        <v>1</v>
      </c>
    </row>
    <row r="1010" spans="1:32" ht="17.149999999999999" x14ac:dyDescent="0.55000000000000004">
      <c r="B1010" t="str">
        <f t="shared" si="3604"/>
        <v>Portland</v>
      </c>
      <c r="C1010" t="s">
        <v>579</v>
      </c>
      <c r="D1010" cm="1">
        <f t="array" ref="D1010">IFERROR(IF(D995="Chemical",(10^(INDEX(Antoines,MATCH(D994,Antoine_Name,0),2)-INDEX(Antoines,MATCH(D994,Antoine_Name,0),3)/(INDEX(Antoines,MATCH(D994,Antoine_Name,0),4)+(D1003-32)*5/9)))*14.7/760,IF(D995="Crude Oil",EXP((2799/(D1003+459.6)-2.227)*LOG10(INDEX(FX_Input,Q$5,D$3*$Z$5+$AA$5))-(7261/(D1003+459.6))+12.82),IF(D995="Refined Petroleum Stock",EXP((0.7553-(413/(D1003+459.6)))*(INDEX(FX_Input,Q$5,D$3*$Z$5+$AA$5-1)^0.5)*LOG10(INDEX(FX_Input,Q$5,D$3*$Z$5+$AA$5))-(1.854-(1042/(D1003+459.6)))*(INDEX(FX_Input,Q$5,D$3*$Z$5+$AA$5-1)^0.5)+((2416/(D1003+459.6)-2.013)*LOG10(INDEX(FX_Input,Q$5,D$3*$Z$5+$AA$5)))-(8742/(D1003+459.6))+15.64),EXP(INDEX(Antoines,MATCH(D994,Antoine_Name,0),2)-INDEX(Antoines,MATCH(D994,Antoine_Name,0),3)/(D1003+459.6))))),0)</f>
        <v>1</v>
      </c>
      <c r="E1010" cm="1">
        <f t="array" ref="E1010">IFERROR(IF(E995="Chemical",(10^(INDEX(Antoines,MATCH(E994,Antoine_Name,0),2)-INDEX(Antoines,MATCH(E994,Antoine_Name,0),3)/(INDEX(Antoines,MATCH(E994,Antoine_Name,0),4)+(E1003-32)*5/9)))*14.7/760,IF(E995="Crude Oil",EXP((2799/(E1003+459.6)-2.227)*LOG10(INDEX(FX_Input,R$5,E$3*$Z$5+$AA$5))-(7261/(E1003+459.6))+12.82),IF(E995="Refined Petroleum Stock",EXP((0.7553-(413/(E1003+459.6)))*(INDEX(FX_Input,R$5,E$3*$Z$5+$AA$5-1)^0.5)*LOG10(INDEX(FX_Input,R$5,E$3*$Z$5+$AA$5))-(1.854-(1042/(E1003+459.6)))*(INDEX(FX_Input,R$5,E$3*$Z$5+$AA$5-1)^0.5)+((2416/(E1003+459.6)-2.013)*LOG10(INDEX(FX_Input,R$5,E$3*$Z$5+$AA$5)))-(8742/(E1003+459.6))+15.64),EXP(INDEX(Antoines,MATCH(E994,Antoine_Name,0),2)-INDEX(Antoines,MATCH(E994,Antoine_Name,0),3)/(E1003+459.6))))),0)</f>
        <v>1</v>
      </c>
      <c r="F1010" cm="1">
        <f t="array" ref="F1010">IFERROR(IF(F995="Chemical",(10^(INDEX(Antoines,MATCH(F994,Antoine_Name,0),2)-INDEX(Antoines,MATCH(F994,Antoine_Name,0),3)/(INDEX(Antoines,MATCH(F994,Antoine_Name,0),4)+(F1003-32)*5/9)))*14.7/760,IF(F995="Crude Oil",EXP((2799/(F1003+459.6)-2.227)*LOG10(INDEX(FX_Input,S$5,F$3*$Z$5+$AA$5))-(7261/(F1003+459.6))+12.82),IF(F995="Refined Petroleum Stock",EXP((0.7553-(413/(F1003+459.6)))*(INDEX(FX_Input,S$5,F$3*$Z$5+$AA$5-1)^0.5)*LOG10(INDEX(FX_Input,S$5,F$3*$Z$5+$AA$5))-(1.854-(1042/(F1003+459.6)))*(INDEX(FX_Input,S$5,F$3*$Z$5+$AA$5-1)^0.5)+((2416/(F1003+459.6)-2.013)*LOG10(INDEX(FX_Input,S$5,F$3*$Z$5+$AA$5)))-(8742/(F1003+459.6))+15.64),EXP(INDEX(Antoines,MATCH(F994,Antoine_Name,0),2)-INDEX(Antoines,MATCH(F994,Antoine_Name,0),3)/(F1003+459.6))))),0)</f>
        <v>1</v>
      </c>
      <c r="G1010" cm="1">
        <f t="array" ref="G1010">IFERROR(IF(G995="Chemical",(10^(INDEX(Antoines,MATCH(G994,Antoine_Name,0),2)-INDEX(Antoines,MATCH(G994,Antoine_Name,0),3)/(INDEX(Antoines,MATCH(G994,Antoine_Name,0),4)+(G1003-32)*5/9)))*14.7/760,IF(G995="Crude Oil",EXP((2799/(G1003+459.6)-2.227)*LOG10(INDEX(FX_Input,T$5,G$3*$Z$5+$AA$5))-(7261/(G1003+459.6))+12.82),IF(G995="Refined Petroleum Stock",EXP((0.7553-(413/(G1003+459.6)))*(INDEX(FX_Input,T$5,G$3*$Z$5+$AA$5-1)^0.5)*LOG10(INDEX(FX_Input,T$5,G$3*$Z$5+$AA$5))-(1.854-(1042/(G1003+459.6)))*(INDEX(FX_Input,T$5,G$3*$Z$5+$AA$5-1)^0.5)+((2416/(G1003+459.6)-2.013)*LOG10(INDEX(FX_Input,T$5,G$3*$Z$5+$AA$5)))-(8742/(G1003+459.6))+15.64),EXP(INDEX(Antoines,MATCH(G994,Antoine_Name,0),2)-INDEX(Antoines,MATCH(G994,Antoine_Name,0),3)/(G1003+459.6))))),0)</f>
        <v>1</v>
      </c>
      <c r="H1010" cm="1">
        <f t="array" ref="H1010">IFERROR(IF(H995="Chemical",(10^(INDEX(Antoines,MATCH(H994,Antoine_Name,0),2)-INDEX(Antoines,MATCH(H994,Antoine_Name,0),3)/(INDEX(Antoines,MATCH(H994,Antoine_Name,0),4)+(H1003-32)*5/9)))*14.7/760,IF(H995="Crude Oil",EXP((2799/(H1003+459.6)-2.227)*LOG10(INDEX(FX_Input,U$5,H$3*$Z$5+$AA$5))-(7261/(H1003+459.6))+12.82),IF(H995="Refined Petroleum Stock",EXP((0.7553-(413/(H1003+459.6)))*(INDEX(FX_Input,U$5,H$3*$Z$5+$AA$5-1)^0.5)*LOG10(INDEX(FX_Input,U$5,H$3*$Z$5+$AA$5))-(1.854-(1042/(H1003+459.6)))*(INDEX(FX_Input,U$5,H$3*$Z$5+$AA$5-1)^0.5)+((2416/(H1003+459.6)-2.013)*LOG10(INDEX(FX_Input,U$5,H$3*$Z$5+$AA$5)))-(8742/(H1003+459.6))+15.64),EXP(INDEX(Antoines,MATCH(H994,Antoine_Name,0),2)-INDEX(Antoines,MATCH(H994,Antoine_Name,0),3)/(H1003+459.6))))),0)</f>
        <v>1</v>
      </c>
      <c r="I1010" cm="1">
        <f t="array" ref="I1010">IFERROR(IF(I995="Chemical",(10^(INDEX(Antoines,MATCH(I994,Antoine_Name,0),2)-INDEX(Antoines,MATCH(I994,Antoine_Name,0),3)/(INDEX(Antoines,MATCH(I994,Antoine_Name,0),4)+(I1003-32)*5/9)))*14.7/760,IF(I995="Crude Oil",EXP((2799/(I1003+459.6)-2.227)*LOG10(INDEX(FX_Input,V$5,I$3*$Z$5+$AA$5))-(7261/(I1003+459.6))+12.82),IF(I995="Refined Petroleum Stock",EXP((0.7553-(413/(I1003+459.6)))*(INDEX(FX_Input,V$5,I$3*$Z$5+$AA$5-1)^0.5)*LOG10(INDEX(FX_Input,V$5,I$3*$Z$5+$AA$5))-(1.854-(1042/(I1003+459.6)))*(INDEX(FX_Input,V$5,I$3*$Z$5+$AA$5-1)^0.5)+((2416/(I1003+459.6)-2.013)*LOG10(INDEX(FX_Input,V$5,I$3*$Z$5+$AA$5)))-(8742/(I1003+459.6))+15.64),EXP(INDEX(Antoines,MATCH(I994,Antoine_Name,0),2)-INDEX(Antoines,MATCH(I994,Antoine_Name,0),3)/(I1003+459.6))))),0)</f>
        <v>1</v>
      </c>
      <c r="J1010" cm="1">
        <f t="array" ref="J1010">IFERROR(IF(J995="Chemical",(10^(INDEX(Antoines,MATCH(J994,Antoine_Name,0),2)-INDEX(Antoines,MATCH(J994,Antoine_Name,0),3)/(INDEX(Antoines,MATCH(J994,Antoine_Name,0),4)+(J1003-32)*5/9)))*14.7/760,IF(J995="Crude Oil",EXP((2799/(J1003+459.6)-2.227)*LOG10(INDEX(FX_Input,W$5,J$3*$Z$5+$AA$5))-(7261/(J1003+459.6))+12.82),IF(J995="Refined Petroleum Stock",EXP((0.7553-(413/(J1003+459.6)))*(INDEX(FX_Input,W$5,J$3*$Z$5+$AA$5-1)^0.5)*LOG10(INDEX(FX_Input,W$5,J$3*$Z$5+$AA$5))-(1.854-(1042/(J1003+459.6)))*(INDEX(FX_Input,W$5,J$3*$Z$5+$AA$5-1)^0.5)+((2416/(J1003+459.6)-2.013)*LOG10(INDEX(FX_Input,W$5,J$3*$Z$5+$AA$5)))-(8742/(J1003+459.6))+15.64),EXP(INDEX(Antoines,MATCH(J994,Antoine_Name,0),2)-INDEX(Antoines,MATCH(J994,Antoine_Name,0),3)/(J1003+459.6))))),0)</f>
        <v>1</v>
      </c>
      <c r="K1010" cm="1">
        <f t="array" ref="K1010">IFERROR(IF(K995="Chemical",(10^(INDEX(Antoines,MATCH(K994,Antoine_Name,0),2)-INDEX(Antoines,MATCH(K994,Antoine_Name,0),3)/(INDEX(Antoines,MATCH(K994,Antoine_Name,0),4)+(K1003-32)*5/9)))*14.7/760,IF(K995="Crude Oil",EXP((2799/(K1003+459.6)-2.227)*LOG10(INDEX(FX_Input,X$5,K$3*$Z$5+$AA$5))-(7261/(K1003+459.6))+12.82),IF(K995="Refined Petroleum Stock",EXP((0.7553-(413/(K1003+459.6)))*(INDEX(FX_Input,X$5,K$3*$Z$5+$AA$5-1)^0.5)*LOG10(INDEX(FX_Input,X$5,K$3*$Z$5+$AA$5))-(1.854-(1042/(K1003+459.6)))*(INDEX(FX_Input,X$5,K$3*$Z$5+$AA$5-1)^0.5)+((2416/(K1003+459.6)-2.013)*LOG10(INDEX(FX_Input,X$5,K$3*$Z$5+$AA$5)))-(8742/(K1003+459.6))+15.64),EXP(INDEX(Antoines,MATCH(K994,Antoine_Name,0),2)-INDEX(Antoines,MATCH(K994,Antoine_Name,0),3)/(K1003+459.6))))),0)</f>
        <v>1</v>
      </c>
      <c r="L1010" cm="1">
        <f t="array" ref="L1010">IFERROR(IF(L995="Chemical",(10^(INDEX(Antoines,MATCH(L994,Antoine_Name,0),2)-INDEX(Antoines,MATCH(L994,Antoine_Name,0),3)/(INDEX(Antoines,MATCH(L994,Antoine_Name,0),4)+(L1003-32)*5/9)))*14.7/760,IF(L995="Crude Oil",EXP((2799/(L1003+459.6)-2.227)*LOG10(INDEX(FX_Input,Y$5,L$3*$Z$5+$AA$5))-(7261/(L1003+459.6))+12.82),IF(L995="Refined Petroleum Stock",EXP((0.7553-(413/(L1003+459.6)))*(INDEX(FX_Input,Y$5,L$3*$Z$5+$AA$5-1)^0.5)*LOG10(INDEX(FX_Input,Y$5,L$3*$Z$5+$AA$5))-(1.854-(1042/(L1003+459.6)))*(INDEX(FX_Input,Y$5,L$3*$Z$5+$AA$5-1)^0.5)+((2416/(L1003+459.6)-2.013)*LOG10(INDEX(FX_Input,Y$5,L$3*$Z$5+$AA$5)))-(8742/(L1003+459.6))+15.64),EXP(INDEX(Antoines,MATCH(L994,Antoine_Name,0),2)-INDEX(Antoines,MATCH(L994,Antoine_Name,0),3)/(L1003+459.6))))),0)</f>
        <v>1</v>
      </c>
      <c r="M1010" cm="1">
        <f t="array" ref="M1010">IFERROR(IF(M995="Chemical",(10^(INDEX(Antoines,MATCH(M994,Antoine_Name,0),2)-INDEX(Antoines,MATCH(M994,Antoine_Name,0),3)/(INDEX(Antoines,MATCH(M994,Antoine_Name,0),4)+(M1003-32)*5/9)))*14.7/760,IF(M995="Crude Oil",EXP((2799/(M1003+459.6)-2.227)*LOG10(INDEX(FX_Input,Z$5,M$3*$Z$5+$AA$5))-(7261/(M1003+459.6))+12.82),IF(M995="Refined Petroleum Stock",EXP((0.7553-(413/(M1003+459.6)))*(INDEX(FX_Input,Z$5,M$3*$Z$5+$AA$5-1)^0.5)*LOG10(INDEX(FX_Input,Z$5,M$3*$Z$5+$AA$5))-(1.854-(1042/(M1003+459.6)))*(INDEX(FX_Input,Z$5,M$3*$Z$5+$AA$5-1)^0.5)+((2416/(M1003+459.6)-2.013)*LOG10(INDEX(FX_Input,Z$5,M$3*$Z$5+$AA$5)))-(8742/(M1003+459.6))+15.64),EXP(INDEX(Antoines,MATCH(M994,Antoine_Name,0),2)-INDEX(Antoines,MATCH(M994,Antoine_Name,0),3)/(M1003+459.6))))),0)</f>
        <v>1</v>
      </c>
      <c r="N1010" cm="1">
        <f t="array" ref="N1010">IFERROR(IF(N995="Chemical",(10^(INDEX(Antoines,MATCH(N994,Antoine_Name,0),2)-INDEX(Antoines,MATCH(N994,Antoine_Name,0),3)/(INDEX(Antoines,MATCH(N994,Antoine_Name,0),4)+(N1003-32)*5/9)))*14.7/760,IF(N995="Crude Oil",EXP((2799/(N1003+459.6)-2.227)*LOG10(INDEX(FX_Input,AA$5,N$3*$Z$5+$AA$5))-(7261/(N1003+459.6))+12.82),IF(N995="Refined Petroleum Stock",EXP((0.7553-(413/(N1003+459.6)))*(INDEX(FX_Input,AA$5,N$3*$Z$5+$AA$5-1)^0.5)*LOG10(INDEX(FX_Input,AA$5,N$3*$Z$5+$AA$5))-(1.854-(1042/(N1003+459.6)))*(INDEX(FX_Input,AA$5,N$3*$Z$5+$AA$5-1)^0.5)+((2416/(N1003+459.6)-2.013)*LOG10(INDEX(FX_Input,AA$5,N$3*$Z$5+$AA$5)))-(8742/(N1003+459.6))+15.64),EXP(INDEX(Antoines,MATCH(N994,Antoine_Name,0),2)-INDEX(Antoines,MATCH(N994,Antoine_Name,0),3)/(N1003+459.6))))),0)</f>
        <v>1</v>
      </c>
      <c r="O1010" cm="1">
        <f t="array" ref="O1010">IFERROR(IF(O995="Chemical",(10^(INDEX(Antoines,MATCH(O994,Antoine_Name,0),2)-INDEX(Antoines,MATCH(O994,Antoine_Name,0),3)/(INDEX(Antoines,MATCH(O994,Antoine_Name,0),4)+(O1003-32)*5/9)))*14.7/760,IF(O995="Crude Oil",EXP((2799/(O1003+459.6)-2.227)*LOG10(INDEX(FX_Input,AB$5,O$3*$Z$5+$AA$5))-(7261/(O1003+459.6))+12.82),IF(O995="Refined Petroleum Stock",EXP((0.7553-(413/(O1003+459.6)))*(INDEX(FX_Input,AB$5,O$3*$Z$5+$AA$5-1)^0.5)*LOG10(INDEX(FX_Input,AB$5,O$3*$Z$5+$AA$5))-(1.854-(1042/(O1003+459.6)))*(INDEX(FX_Input,AB$5,O$3*$Z$5+$AA$5-1)^0.5)+((2416/(O1003+459.6)-2.013)*LOG10(INDEX(FX_Input,AB$5,O$3*$Z$5+$AA$5)))-(8742/(O1003+459.6))+15.64),EXP(INDEX(Antoines,MATCH(O994,Antoine_Name,0),2)-INDEX(Antoines,MATCH(O994,Antoine_Name,0),3)/(O1003+459.6))))),0)</f>
        <v>1</v>
      </c>
    </row>
    <row r="1011" spans="1:32" ht="17.149999999999999" x14ac:dyDescent="0.55000000000000004">
      <c r="B1011" t="str">
        <f t="shared" si="3604"/>
        <v>Portland</v>
      </c>
      <c r="C1011" t="s">
        <v>580</v>
      </c>
      <c r="D1011">
        <f>D1010*D998</f>
        <v>1</v>
      </c>
      <c r="E1011">
        <f t="shared" ref="E1011" si="3638">E1010*E998</f>
        <v>1</v>
      </c>
      <c r="F1011">
        <f t="shared" ref="F1011" si="3639">F1010*F998</f>
        <v>1</v>
      </c>
      <c r="G1011">
        <f t="shared" ref="G1011" si="3640">G1010*G998</f>
        <v>1</v>
      </c>
      <c r="H1011">
        <f t="shared" ref="H1011" si="3641">H1010*H998</f>
        <v>1</v>
      </c>
      <c r="I1011">
        <f t="shared" ref="I1011" si="3642">I1010*I998</f>
        <v>1</v>
      </c>
      <c r="J1011">
        <f t="shared" ref="J1011" si="3643">J1010*J998</f>
        <v>1</v>
      </c>
      <c r="K1011">
        <f t="shared" ref="K1011" si="3644">K1010*K998</f>
        <v>1</v>
      </c>
      <c r="L1011">
        <f t="shared" ref="L1011" si="3645">L1010*L998</f>
        <v>1</v>
      </c>
      <c r="M1011">
        <f t="shared" ref="M1011" si="3646">M1010*M998</f>
        <v>1</v>
      </c>
      <c r="N1011">
        <f t="shared" ref="N1011" si="3647">N1010*N998</f>
        <v>1</v>
      </c>
      <c r="O1011">
        <f t="shared" ref="O1011" si="3648">O1010*O998</f>
        <v>1</v>
      </c>
    </row>
    <row r="1012" spans="1:32" ht="17.149999999999999" x14ac:dyDescent="0.55000000000000004">
      <c r="B1012" t="str">
        <f t="shared" si="3604"/>
        <v>Portland</v>
      </c>
      <c r="C1012" t="s">
        <v>581</v>
      </c>
      <c r="D1012" cm="1">
        <f t="array" ref="D1012">IFERROR(IF(D997="Chemical",(10^(INDEX(Antoines,MATCH(D996,Antoine_Name,0),2)-INDEX(Antoines,MATCH(D996,Antoine_Name,0),3)/(INDEX(Antoines,MATCH(D996,Antoine_Name,0),4)+(D1003-32)*5/9)))*14.7/760,IF(D997="Crude Oil",EXP((2799/(D1003+459.6)-2.227)*LOG10(INDEX(FX_Input,Q$5,D$3*$Z$5+$AA$5))-(7261/(D1003+459.6))+12.82),IF(D997="Refined Petroleum Stock",EXP((0.7553-(413/(D1003+459.6)))*(INDEX(FX_Input,Q$5,D$3*$Z$5+$AA$5-1)^0.5)*LOG10(INDEX(FX_Input,Q$5,D$3*$Z$5+$AA$5))-(1.854-(1042/(D1003+459.6)))*(INDEX(FX_Input,Q$5,D$3*$Z$5+$AA$5-1)^0.5)+((2416/(D1003+459.6)-2.013)*LOG10(INDEX(FX_Input,Q$5,D$3*$Z$5+$AA$5)))-(8742/(D1003+459.6))+15.64),EXP(INDEX(Antoines,MATCH(D996,Antoine_Name,0),2)-INDEX(Antoines,MATCH(D996,Antoine_Name,0),3)/(D1003+459.6))))),0)</f>
        <v>0</v>
      </c>
      <c r="E1012" cm="1">
        <f t="array" ref="E1012">IFERROR(IF(E997="Chemical",(10^(INDEX(Antoines,MATCH(E996,Antoine_Name,0),2)-INDEX(Antoines,MATCH(E996,Antoine_Name,0),3)/(INDEX(Antoines,MATCH(E996,Antoine_Name,0),4)+(E1003-32)*5/9)))*14.7/760,IF(E997="Crude Oil",EXP((2799/(E1003+459.6)-2.227)*LOG10(INDEX(FX_Input,R$5,E$3*$Z$5+$AA$5))-(7261/(E1003+459.6))+12.82),IF(E997="Refined Petroleum Stock",EXP((0.7553-(413/(E1003+459.6)))*(INDEX(FX_Input,R$5,E$3*$Z$5+$AA$5-1)^0.5)*LOG10(INDEX(FX_Input,R$5,E$3*$Z$5+$AA$5))-(1.854-(1042/(E1003+459.6)))*(INDEX(FX_Input,R$5,E$3*$Z$5+$AA$5-1)^0.5)+((2416/(E1003+459.6)-2.013)*LOG10(INDEX(FX_Input,R$5,E$3*$Z$5+$AA$5)))-(8742/(E1003+459.6))+15.64),EXP(INDEX(Antoines,MATCH(E996,Antoine_Name,0),2)-INDEX(Antoines,MATCH(E996,Antoine_Name,0),3)/(E1003+459.6))))),0)</f>
        <v>0</v>
      </c>
      <c r="F1012" cm="1">
        <f t="array" ref="F1012">IFERROR(IF(F997="Chemical",(10^(INDEX(Antoines,MATCH(F996,Antoine_Name,0),2)-INDEX(Antoines,MATCH(F996,Antoine_Name,0),3)/(INDEX(Antoines,MATCH(F996,Antoine_Name,0),4)+(F1003-32)*5/9)))*14.7/760,IF(F997="Crude Oil",EXP((2799/(F1003+459.6)-2.227)*LOG10(INDEX(FX_Input,S$5,F$3*$Z$5+$AA$5))-(7261/(F1003+459.6))+12.82),IF(F997="Refined Petroleum Stock",EXP((0.7553-(413/(F1003+459.6)))*(INDEX(FX_Input,S$5,F$3*$Z$5+$AA$5-1)^0.5)*LOG10(INDEX(FX_Input,S$5,F$3*$Z$5+$AA$5))-(1.854-(1042/(F1003+459.6)))*(INDEX(FX_Input,S$5,F$3*$Z$5+$AA$5-1)^0.5)+((2416/(F1003+459.6)-2.013)*LOG10(INDEX(FX_Input,S$5,F$3*$Z$5+$AA$5)))-(8742/(F1003+459.6))+15.64),EXP(INDEX(Antoines,MATCH(F996,Antoine_Name,0),2)-INDEX(Antoines,MATCH(F996,Antoine_Name,0),3)/(F1003+459.6))))),0)</f>
        <v>0</v>
      </c>
      <c r="G1012" cm="1">
        <f t="array" ref="G1012">IFERROR(IF(G997="Chemical",(10^(INDEX(Antoines,MATCH(G996,Antoine_Name,0),2)-INDEX(Antoines,MATCH(G996,Antoine_Name,0),3)/(INDEX(Antoines,MATCH(G996,Antoine_Name,0),4)+(G1003-32)*5/9)))*14.7/760,IF(G997="Crude Oil",EXP((2799/(G1003+459.6)-2.227)*LOG10(INDEX(FX_Input,T$5,G$3*$Z$5+$AA$5))-(7261/(G1003+459.6))+12.82),IF(G997="Refined Petroleum Stock",EXP((0.7553-(413/(G1003+459.6)))*(INDEX(FX_Input,T$5,G$3*$Z$5+$AA$5-1)^0.5)*LOG10(INDEX(FX_Input,T$5,G$3*$Z$5+$AA$5))-(1.854-(1042/(G1003+459.6)))*(INDEX(FX_Input,T$5,G$3*$Z$5+$AA$5-1)^0.5)+((2416/(G1003+459.6)-2.013)*LOG10(INDEX(FX_Input,T$5,G$3*$Z$5+$AA$5)))-(8742/(G1003+459.6))+15.64),EXP(INDEX(Antoines,MATCH(G996,Antoine_Name,0),2)-INDEX(Antoines,MATCH(G996,Antoine_Name,0),3)/(G1003+459.6))))),0)</f>
        <v>0</v>
      </c>
      <c r="H1012" cm="1">
        <f t="array" ref="H1012">IFERROR(IF(H997="Chemical",(10^(INDEX(Antoines,MATCH(H996,Antoine_Name,0),2)-INDEX(Antoines,MATCH(H996,Antoine_Name,0),3)/(INDEX(Antoines,MATCH(H996,Antoine_Name,0),4)+(H1003-32)*5/9)))*14.7/760,IF(H997="Crude Oil",EXP((2799/(H1003+459.6)-2.227)*LOG10(INDEX(FX_Input,U$5,H$3*$Z$5+$AA$5))-(7261/(H1003+459.6))+12.82),IF(H997="Refined Petroleum Stock",EXP((0.7553-(413/(H1003+459.6)))*(INDEX(FX_Input,U$5,H$3*$Z$5+$AA$5-1)^0.5)*LOG10(INDEX(FX_Input,U$5,H$3*$Z$5+$AA$5))-(1.854-(1042/(H1003+459.6)))*(INDEX(FX_Input,U$5,H$3*$Z$5+$AA$5-1)^0.5)+((2416/(H1003+459.6)-2.013)*LOG10(INDEX(FX_Input,U$5,H$3*$Z$5+$AA$5)))-(8742/(H1003+459.6))+15.64),EXP(INDEX(Antoines,MATCH(H996,Antoine_Name,0),2)-INDEX(Antoines,MATCH(H996,Antoine_Name,0),3)/(H1003+459.6))))),0)</f>
        <v>0</v>
      </c>
      <c r="I1012" cm="1">
        <f t="array" ref="I1012">IFERROR(IF(I997="Chemical",(10^(INDEX(Antoines,MATCH(I996,Antoine_Name,0),2)-INDEX(Antoines,MATCH(I996,Antoine_Name,0),3)/(INDEX(Antoines,MATCH(I996,Antoine_Name,0),4)+(I1003-32)*5/9)))*14.7/760,IF(I997="Crude Oil",EXP((2799/(I1003+459.6)-2.227)*LOG10(INDEX(FX_Input,V$5,I$3*$Z$5+$AA$5))-(7261/(I1003+459.6))+12.82),IF(I997="Refined Petroleum Stock",EXP((0.7553-(413/(I1003+459.6)))*(INDEX(FX_Input,V$5,I$3*$Z$5+$AA$5-1)^0.5)*LOG10(INDEX(FX_Input,V$5,I$3*$Z$5+$AA$5))-(1.854-(1042/(I1003+459.6)))*(INDEX(FX_Input,V$5,I$3*$Z$5+$AA$5-1)^0.5)+((2416/(I1003+459.6)-2.013)*LOG10(INDEX(FX_Input,V$5,I$3*$Z$5+$AA$5)))-(8742/(I1003+459.6))+15.64),EXP(INDEX(Antoines,MATCH(I996,Antoine_Name,0),2)-INDEX(Antoines,MATCH(I996,Antoine_Name,0),3)/(I1003+459.6))))),0)</f>
        <v>0</v>
      </c>
      <c r="J1012" cm="1">
        <f t="array" ref="J1012">IFERROR(IF(J997="Chemical",(10^(INDEX(Antoines,MATCH(J996,Antoine_Name,0),2)-INDEX(Antoines,MATCH(J996,Antoine_Name,0),3)/(INDEX(Antoines,MATCH(J996,Antoine_Name,0),4)+(J1003-32)*5/9)))*14.7/760,IF(J997="Crude Oil",EXP((2799/(J1003+459.6)-2.227)*LOG10(INDEX(FX_Input,W$5,J$3*$Z$5+$AA$5))-(7261/(J1003+459.6))+12.82),IF(J997="Refined Petroleum Stock",EXP((0.7553-(413/(J1003+459.6)))*(INDEX(FX_Input,W$5,J$3*$Z$5+$AA$5-1)^0.5)*LOG10(INDEX(FX_Input,W$5,J$3*$Z$5+$AA$5))-(1.854-(1042/(J1003+459.6)))*(INDEX(FX_Input,W$5,J$3*$Z$5+$AA$5-1)^0.5)+((2416/(J1003+459.6)-2.013)*LOG10(INDEX(FX_Input,W$5,J$3*$Z$5+$AA$5)))-(8742/(J1003+459.6))+15.64),EXP(INDEX(Antoines,MATCH(J996,Antoine_Name,0),2)-INDEX(Antoines,MATCH(J996,Antoine_Name,0),3)/(J1003+459.6))))),0)</f>
        <v>0</v>
      </c>
      <c r="K1012" cm="1">
        <f t="array" ref="K1012">IFERROR(IF(K997="Chemical",(10^(INDEX(Antoines,MATCH(K996,Antoine_Name,0),2)-INDEX(Antoines,MATCH(K996,Antoine_Name,0),3)/(INDEX(Antoines,MATCH(K996,Antoine_Name,0),4)+(K1003-32)*5/9)))*14.7/760,IF(K997="Crude Oil",EXP((2799/(K1003+459.6)-2.227)*LOG10(INDEX(FX_Input,X$5,K$3*$Z$5+$AA$5))-(7261/(K1003+459.6))+12.82),IF(K997="Refined Petroleum Stock",EXP((0.7553-(413/(K1003+459.6)))*(INDEX(FX_Input,X$5,K$3*$Z$5+$AA$5-1)^0.5)*LOG10(INDEX(FX_Input,X$5,K$3*$Z$5+$AA$5))-(1.854-(1042/(K1003+459.6)))*(INDEX(FX_Input,X$5,K$3*$Z$5+$AA$5-1)^0.5)+((2416/(K1003+459.6)-2.013)*LOG10(INDEX(FX_Input,X$5,K$3*$Z$5+$AA$5)))-(8742/(K1003+459.6))+15.64),EXP(INDEX(Antoines,MATCH(K996,Antoine_Name,0),2)-INDEX(Antoines,MATCH(K996,Antoine_Name,0),3)/(K1003+459.6))))),0)</f>
        <v>0</v>
      </c>
      <c r="L1012" cm="1">
        <f t="array" ref="L1012">IFERROR(IF(L997="Chemical",(10^(INDEX(Antoines,MATCH(L996,Antoine_Name,0),2)-INDEX(Antoines,MATCH(L996,Antoine_Name,0),3)/(INDEX(Antoines,MATCH(L996,Antoine_Name,0),4)+(L1003-32)*5/9)))*14.7/760,IF(L997="Crude Oil",EXP((2799/(L1003+459.6)-2.227)*LOG10(INDEX(FX_Input,Y$5,L$3*$Z$5+$AA$5))-(7261/(L1003+459.6))+12.82),IF(L997="Refined Petroleum Stock",EXP((0.7553-(413/(L1003+459.6)))*(INDEX(FX_Input,Y$5,L$3*$Z$5+$AA$5-1)^0.5)*LOG10(INDEX(FX_Input,Y$5,L$3*$Z$5+$AA$5))-(1.854-(1042/(L1003+459.6)))*(INDEX(FX_Input,Y$5,L$3*$Z$5+$AA$5-1)^0.5)+((2416/(L1003+459.6)-2.013)*LOG10(INDEX(FX_Input,Y$5,L$3*$Z$5+$AA$5)))-(8742/(L1003+459.6))+15.64),EXP(INDEX(Antoines,MATCH(L996,Antoine_Name,0),2)-INDEX(Antoines,MATCH(L996,Antoine_Name,0),3)/(L1003+459.6))))),0)</f>
        <v>0</v>
      </c>
      <c r="M1012" cm="1">
        <f t="array" ref="M1012">IFERROR(IF(M997="Chemical",(10^(INDEX(Antoines,MATCH(M996,Antoine_Name,0),2)-INDEX(Antoines,MATCH(M996,Antoine_Name,0),3)/(INDEX(Antoines,MATCH(M996,Antoine_Name,0),4)+(M1003-32)*5/9)))*14.7/760,IF(M997="Crude Oil",EXP((2799/(M1003+459.6)-2.227)*LOG10(INDEX(FX_Input,Z$5,M$3*$Z$5+$AA$5))-(7261/(M1003+459.6))+12.82),IF(M997="Refined Petroleum Stock",EXP((0.7553-(413/(M1003+459.6)))*(INDEX(FX_Input,Z$5,M$3*$Z$5+$AA$5-1)^0.5)*LOG10(INDEX(FX_Input,Z$5,M$3*$Z$5+$AA$5))-(1.854-(1042/(M1003+459.6)))*(INDEX(FX_Input,Z$5,M$3*$Z$5+$AA$5-1)^0.5)+((2416/(M1003+459.6)-2.013)*LOG10(INDEX(FX_Input,Z$5,M$3*$Z$5+$AA$5)))-(8742/(M1003+459.6))+15.64),EXP(INDEX(Antoines,MATCH(M996,Antoine_Name,0),2)-INDEX(Antoines,MATCH(M996,Antoine_Name,0),3)/(M1003+459.6))))),0)</f>
        <v>0</v>
      </c>
      <c r="N1012" cm="1">
        <f t="array" ref="N1012">IFERROR(IF(N997="Chemical",(10^(INDEX(Antoines,MATCH(N996,Antoine_Name,0),2)-INDEX(Antoines,MATCH(N996,Antoine_Name,0),3)/(INDEX(Antoines,MATCH(N996,Antoine_Name,0),4)+(N1003-32)*5/9)))*14.7/760,IF(N997="Crude Oil",EXP((2799/(N1003+459.6)-2.227)*LOG10(INDEX(FX_Input,AA$5,N$3*$Z$5+$AA$5))-(7261/(N1003+459.6))+12.82),IF(N997="Refined Petroleum Stock",EXP((0.7553-(413/(N1003+459.6)))*(INDEX(FX_Input,AA$5,N$3*$Z$5+$AA$5-1)^0.5)*LOG10(INDEX(FX_Input,AA$5,N$3*$Z$5+$AA$5))-(1.854-(1042/(N1003+459.6)))*(INDEX(FX_Input,AA$5,N$3*$Z$5+$AA$5-1)^0.5)+((2416/(N1003+459.6)-2.013)*LOG10(INDEX(FX_Input,AA$5,N$3*$Z$5+$AA$5)))-(8742/(N1003+459.6))+15.64),EXP(INDEX(Antoines,MATCH(N996,Antoine_Name,0),2)-INDEX(Antoines,MATCH(N996,Antoine_Name,0),3)/(N1003+459.6))))),0)</f>
        <v>0</v>
      </c>
      <c r="O1012" cm="1">
        <f t="array" ref="O1012">IFERROR(IF(O997="Chemical",(10^(INDEX(Antoines,MATCH(O996,Antoine_Name,0),2)-INDEX(Antoines,MATCH(O996,Antoine_Name,0),3)/(INDEX(Antoines,MATCH(O996,Antoine_Name,0),4)+(O1003-32)*5/9)))*14.7/760,IF(O997="Crude Oil",EXP((2799/(O1003+459.6)-2.227)*LOG10(INDEX(FX_Input,AB$5,O$3*$Z$5+$AA$5))-(7261/(O1003+459.6))+12.82),IF(O997="Refined Petroleum Stock",EXP((0.7553-(413/(O1003+459.6)))*(INDEX(FX_Input,AB$5,O$3*$Z$5+$AA$5-1)^0.5)*LOG10(INDEX(FX_Input,AB$5,O$3*$Z$5+$AA$5))-(1.854-(1042/(O1003+459.6)))*(INDEX(FX_Input,AB$5,O$3*$Z$5+$AA$5-1)^0.5)+((2416/(O1003+459.6)-2.013)*LOG10(INDEX(FX_Input,AB$5,O$3*$Z$5+$AA$5)))-(8742/(O1003+459.6))+15.64),EXP(INDEX(Antoines,MATCH(O996,Antoine_Name,0),2)-INDEX(Antoines,MATCH(O996,Antoine_Name,0),3)/(O1003+459.6))))),0)</f>
        <v>0</v>
      </c>
    </row>
    <row r="1013" spans="1:32" ht="17.149999999999999" x14ac:dyDescent="0.55000000000000004">
      <c r="B1013" t="str">
        <f t="shared" si="3604"/>
        <v>Portland</v>
      </c>
      <c r="C1013" t="s">
        <v>582</v>
      </c>
      <c r="D1013">
        <f>D1012*D1000</f>
        <v>0</v>
      </c>
      <c r="E1013">
        <f t="shared" ref="E1013" si="3649">E1012*E1000</f>
        <v>0</v>
      </c>
      <c r="F1013">
        <f t="shared" ref="F1013" si="3650">F1012*F1000</f>
        <v>0</v>
      </c>
      <c r="G1013">
        <f t="shared" ref="G1013" si="3651">G1012*G1000</f>
        <v>0</v>
      </c>
      <c r="H1013">
        <f t="shared" ref="H1013" si="3652">H1012*H1000</f>
        <v>0</v>
      </c>
      <c r="I1013">
        <f t="shared" ref="I1013" si="3653">I1012*I1000</f>
        <v>0</v>
      </c>
      <c r="J1013">
        <f t="shared" ref="J1013" si="3654">J1012*J1000</f>
        <v>0</v>
      </c>
      <c r="K1013">
        <f t="shared" ref="K1013" si="3655">K1012*K1000</f>
        <v>0</v>
      </c>
      <c r="L1013">
        <f t="shared" ref="L1013" si="3656">L1012*L1000</f>
        <v>0</v>
      </c>
      <c r="M1013">
        <f t="shared" ref="M1013" si="3657">M1012*M1000</f>
        <v>0</v>
      </c>
      <c r="N1013">
        <f t="shared" ref="N1013" si="3658">N1012*N1000</f>
        <v>0</v>
      </c>
      <c r="O1013">
        <f t="shared" ref="O1013" si="3659">O1012*O1000</f>
        <v>0</v>
      </c>
    </row>
    <row r="1014" spans="1:32" ht="17.149999999999999" x14ac:dyDescent="0.55000000000000004">
      <c r="B1014" t="str">
        <f t="shared" si="3604"/>
        <v>Portland</v>
      </c>
      <c r="C1014" t="s">
        <v>583</v>
      </c>
      <c r="D1014">
        <f>D1011+D1013</f>
        <v>1</v>
      </c>
      <c r="E1014">
        <f t="shared" ref="E1014" si="3660">E1011+E1013</f>
        <v>1</v>
      </c>
      <c r="F1014">
        <f t="shared" ref="F1014" si="3661">F1011+F1013</f>
        <v>1</v>
      </c>
      <c r="G1014">
        <f t="shared" ref="G1014" si="3662">G1011+G1013</f>
        <v>1</v>
      </c>
      <c r="H1014">
        <f t="shared" ref="H1014" si="3663">H1011+H1013</f>
        <v>1</v>
      </c>
      <c r="I1014">
        <f t="shared" ref="I1014" si="3664">I1011+I1013</f>
        <v>1</v>
      </c>
      <c r="J1014">
        <f t="shared" ref="J1014" si="3665">J1011+J1013</f>
        <v>1</v>
      </c>
      <c r="K1014">
        <f t="shared" ref="K1014" si="3666">K1011+K1013</f>
        <v>1</v>
      </c>
      <c r="L1014">
        <f t="shared" ref="L1014" si="3667">L1011+L1013</f>
        <v>1</v>
      </c>
      <c r="M1014">
        <f t="shared" ref="M1014" si="3668">M1011+M1013</f>
        <v>1</v>
      </c>
      <c r="N1014">
        <f t="shared" ref="N1014" si="3669">N1011+N1013</f>
        <v>1</v>
      </c>
      <c r="O1014">
        <f t="shared" ref="O1014" si="3670">O1011+O1013</f>
        <v>1</v>
      </c>
    </row>
    <row r="1015" spans="1:32" ht="17.149999999999999" x14ac:dyDescent="0.55000000000000004">
      <c r="B1015" t="str">
        <f t="shared" si="3604"/>
        <v>Portland</v>
      </c>
      <c r="C1015" t="s">
        <v>1388</v>
      </c>
      <c r="D1015" cm="1">
        <f t="array" ref="D1015">IFERROR(IF(D995="Chemical",(10^(INDEX(Antoines,MATCH(D994,Antoine_Name,0),2)-INDEX(Antoines,MATCH(D994,Antoine_Name,0),3)/(INDEX(Antoines,MATCH(D994,Antoine_Name,0),4)+(D1004-32)*5/9)))*14.7/760,IF(D995="Crude Oil",EXP((2799/(D1004+459.6)-2.227)*LOG10(INDEX(FX_Input,Q$5,D$3*$Z$5+$AA$5))-(7261/(D1004+459.6))+12.82),IF(D995="Refined Petroleum Stock",EXP((0.7553-(413/(D1004+459.6)))*(INDEX(FX_Input,Q$5,D$3*$Z$5+$AA$5-1)^0.5)*LOG10(INDEX(FX_Input,Q$5,D$3*$Z$5+$AA$5))-(1.854-(1042/(D1004+459.6)))*(INDEX(FX_Input,Q$5,D$3*$Z$5+$AA$5-1)^0.5)+((2416/(D1004+459.6)-2.013)*LOG10(INDEX(FX_Input,Q$5,D$3*$Z$5+$AA$5)))-(8742/(D1004+459.6))+15.64),EXP(INDEX(Antoines,MATCH(D994,Antoine_Name,0),2)-INDEX(Antoines,MATCH(D994,Antoine_Name,0),3)/(D1004+459.6))))),0)</f>
        <v>1</v>
      </c>
      <c r="E1015" cm="1">
        <f t="array" ref="E1015">IFERROR(IF(E995="Chemical",(10^(INDEX(Antoines,MATCH(E994,Antoine_Name,0),2)-INDEX(Antoines,MATCH(E994,Antoine_Name,0),3)/(INDEX(Antoines,MATCH(E994,Antoine_Name,0),4)+(E1004-32)*5/9)))*14.7/760,IF(E995="Crude Oil",EXP((2799/(E1004+459.6)-2.227)*LOG10(INDEX(FX_Input,R$5,E$3*$Z$5+$AA$5))-(7261/(E1004+459.6))+12.82),IF(E995="Refined Petroleum Stock",EXP((0.7553-(413/(E1004+459.6)))*(INDEX(FX_Input,R$5,E$3*$Z$5+$AA$5-1)^0.5)*LOG10(INDEX(FX_Input,R$5,E$3*$Z$5+$AA$5))-(1.854-(1042/(E1004+459.6)))*(INDEX(FX_Input,R$5,E$3*$Z$5+$AA$5-1)^0.5)+((2416/(E1004+459.6)-2.013)*LOG10(INDEX(FX_Input,R$5,E$3*$Z$5+$AA$5)))-(8742/(E1004+459.6))+15.64),EXP(INDEX(Antoines,MATCH(E994,Antoine_Name,0),2)-INDEX(Antoines,MATCH(E994,Antoine_Name,0),3)/(E1004+459.6))))),0)</f>
        <v>1</v>
      </c>
      <c r="F1015" cm="1">
        <f t="array" ref="F1015">IFERROR(IF(F995="Chemical",(10^(INDEX(Antoines,MATCH(F994,Antoine_Name,0),2)-INDEX(Antoines,MATCH(F994,Antoine_Name,0),3)/(INDEX(Antoines,MATCH(F994,Antoine_Name,0),4)+(F1004-32)*5/9)))*14.7/760,IF(F995="Crude Oil",EXP((2799/(F1004+459.6)-2.227)*LOG10(INDEX(FX_Input,S$5,F$3*$Z$5+$AA$5))-(7261/(F1004+459.6))+12.82),IF(F995="Refined Petroleum Stock",EXP((0.7553-(413/(F1004+459.6)))*(INDEX(FX_Input,S$5,F$3*$Z$5+$AA$5-1)^0.5)*LOG10(INDEX(FX_Input,S$5,F$3*$Z$5+$AA$5))-(1.854-(1042/(F1004+459.6)))*(INDEX(FX_Input,S$5,F$3*$Z$5+$AA$5-1)^0.5)+((2416/(F1004+459.6)-2.013)*LOG10(INDEX(FX_Input,S$5,F$3*$Z$5+$AA$5)))-(8742/(F1004+459.6))+15.64),EXP(INDEX(Antoines,MATCH(F994,Antoine_Name,0),2)-INDEX(Antoines,MATCH(F994,Antoine_Name,0),3)/(F1004+459.6))))),0)</f>
        <v>1</v>
      </c>
      <c r="G1015" cm="1">
        <f t="array" ref="G1015">IFERROR(IF(G995="Chemical",(10^(INDEX(Antoines,MATCH(G994,Antoine_Name,0),2)-INDEX(Antoines,MATCH(G994,Antoine_Name,0),3)/(INDEX(Antoines,MATCH(G994,Antoine_Name,0),4)+(G1004-32)*5/9)))*14.7/760,IF(G995="Crude Oil",EXP((2799/(G1004+459.6)-2.227)*LOG10(INDEX(FX_Input,T$5,G$3*$Z$5+$AA$5))-(7261/(G1004+459.6))+12.82),IF(G995="Refined Petroleum Stock",EXP((0.7553-(413/(G1004+459.6)))*(INDEX(FX_Input,T$5,G$3*$Z$5+$AA$5-1)^0.5)*LOG10(INDEX(FX_Input,T$5,G$3*$Z$5+$AA$5))-(1.854-(1042/(G1004+459.6)))*(INDEX(FX_Input,T$5,G$3*$Z$5+$AA$5-1)^0.5)+((2416/(G1004+459.6)-2.013)*LOG10(INDEX(FX_Input,T$5,G$3*$Z$5+$AA$5)))-(8742/(G1004+459.6))+15.64),EXP(INDEX(Antoines,MATCH(G994,Antoine_Name,0),2)-INDEX(Antoines,MATCH(G994,Antoine_Name,0),3)/(G1004+459.6))))),0)</f>
        <v>1</v>
      </c>
      <c r="H1015" cm="1">
        <f t="array" ref="H1015">IFERROR(IF(H995="Chemical",(10^(INDEX(Antoines,MATCH(H994,Antoine_Name,0),2)-INDEX(Antoines,MATCH(H994,Antoine_Name,0),3)/(INDEX(Antoines,MATCH(H994,Antoine_Name,0),4)+(H1004-32)*5/9)))*14.7/760,IF(H995="Crude Oil",EXP((2799/(H1004+459.6)-2.227)*LOG10(INDEX(FX_Input,U$5,H$3*$Z$5+$AA$5))-(7261/(H1004+459.6))+12.82),IF(H995="Refined Petroleum Stock",EXP((0.7553-(413/(H1004+459.6)))*(INDEX(FX_Input,U$5,H$3*$Z$5+$AA$5-1)^0.5)*LOG10(INDEX(FX_Input,U$5,H$3*$Z$5+$AA$5))-(1.854-(1042/(H1004+459.6)))*(INDEX(FX_Input,U$5,H$3*$Z$5+$AA$5-1)^0.5)+((2416/(H1004+459.6)-2.013)*LOG10(INDEX(FX_Input,U$5,H$3*$Z$5+$AA$5)))-(8742/(H1004+459.6))+15.64),EXP(INDEX(Antoines,MATCH(H994,Antoine_Name,0),2)-INDEX(Antoines,MATCH(H994,Antoine_Name,0),3)/(H1004+459.6))))),0)</f>
        <v>1</v>
      </c>
      <c r="I1015" cm="1">
        <f t="array" ref="I1015">IFERROR(IF(I995="Chemical",(10^(INDEX(Antoines,MATCH(I994,Antoine_Name,0),2)-INDEX(Antoines,MATCH(I994,Antoine_Name,0),3)/(INDEX(Antoines,MATCH(I994,Antoine_Name,0),4)+(I1004-32)*5/9)))*14.7/760,IF(I995="Crude Oil",EXP((2799/(I1004+459.6)-2.227)*LOG10(INDEX(FX_Input,V$5,I$3*$Z$5+$AA$5))-(7261/(I1004+459.6))+12.82),IF(I995="Refined Petroleum Stock",EXP((0.7553-(413/(I1004+459.6)))*(INDEX(FX_Input,V$5,I$3*$Z$5+$AA$5-1)^0.5)*LOG10(INDEX(FX_Input,V$5,I$3*$Z$5+$AA$5))-(1.854-(1042/(I1004+459.6)))*(INDEX(FX_Input,V$5,I$3*$Z$5+$AA$5-1)^0.5)+((2416/(I1004+459.6)-2.013)*LOG10(INDEX(FX_Input,V$5,I$3*$Z$5+$AA$5)))-(8742/(I1004+459.6))+15.64),EXP(INDEX(Antoines,MATCH(I994,Antoine_Name,0),2)-INDEX(Antoines,MATCH(I994,Antoine_Name,0),3)/(I1004+459.6))))),0)</f>
        <v>1</v>
      </c>
      <c r="J1015" cm="1">
        <f t="array" ref="J1015">IFERROR(IF(J995="Chemical",(10^(INDEX(Antoines,MATCH(J994,Antoine_Name,0),2)-INDEX(Antoines,MATCH(J994,Antoine_Name,0),3)/(INDEX(Antoines,MATCH(J994,Antoine_Name,0),4)+(J1004-32)*5/9)))*14.7/760,IF(J995="Crude Oil",EXP((2799/(J1004+459.6)-2.227)*LOG10(INDEX(FX_Input,W$5,J$3*$Z$5+$AA$5))-(7261/(J1004+459.6))+12.82),IF(J995="Refined Petroleum Stock",EXP((0.7553-(413/(J1004+459.6)))*(INDEX(FX_Input,W$5,J$3*$Z$5+$AA$5-1)^0.5)*LOG10(INDEX(FX_Input,W$5,J$3*$Z$5+$AA$5))-(1.854-(1042/(J1004+459.6)))*(INDEX(FX_Input,W$5,J$3*$Z$5+$AA$5-1)^0.5)+((2416/(J1004+459.6)-2.013)*LOG10(INDEX(FX_Input,W$5,J$3*$Z$5+$AA$5)))-(8742/(J1004+459.6))+15.64),EXP(INDEX(Antoines,MATCH(J994,Antoine_Name,0),2)-INDEX(Antoines,MATCH(J994,Antoine_Name,0),3)/(J1004+459.6))))),0)</f>
        <v>1</v>
      </c>
      <c r="K1015" cm="1">
        <f t="array" ref="K1015">IFERROR(IF(K995="Chemical",(10^(INDEX(Antoines,MATCH(K994,Antoine_Name,0),2)-INDEX(Antoines,MATCH(K994,Antoine_Name,0),3)/(INDEX(Antoines,MATCH(K994,Antoine_Name,0),4)+(K1004-32)*5/9)))*14.7/760,IF(K995="Crude Oil",EXP((2799/(K1004+459.6)-2.227)*LOG10(INDEX(FX_Input,X$5,K$3*$Z$5+$AA$5))-(7261/(K1004+459.6))+12.82),IF(K995="Refined Petroleum Stock",EXP((0.7553-(413/(K1004+459.6)))*(INDEX(FX_Input,X$5,K$3*$Z$5+$AA$5-1)^0.5)*LOG10(INDEX(FX_Input,X$5,K$3*$Z$5+$AA$5))-(1.854-(1042/(K1004+459.6)))*(INDEX(FX_Input,X$5,K$3*$Z$5+$AA$5-1)^0.5)+((2416/(K1004+459.6)-2.013)*LOG10(INDEX(FX_Input,X$5,K$3*$Z$5+$AA$5)))-(8742/(K1004+459.6))+15.64),EXP(INDEX(Antoines,MATCH(K994,Antoine_Name,0),2)-INDEX(Antoines,MATCH(K994,Antoine_Name,0),3)/(K1004+459.6))))),0)</f>
        <v>1</v>
      </c>
      <c r="L1015" cm="1">
        <f t="array" ref="L1015">IFERROR(IF(L995="Chemical",(10^(INDEX(Antoines,MATCH(L994,Antoine_Name,0),2)-INDEX(Antoines,MATCH(L994,Antoine_Name,0),3)/(INDEX(Antoines,MATCH(L994,Antoine_Name,0),4)+(L1004-32)*5/9)))*14.7/760,IF(L995="Crude Oil",EXP((2799/(L1004+459.6)-2.227)*LOG10(INDEX(FX_Input,Y$5,L$3*$Z$5+$AA$5))-(7261/(L1004+459.6))+12.82),IF(L995="Refined Petroleum Stock",EXP((0.7553-(413/(L1004+459.6)))*(INDEX(FX_Input,Y$5,L$3*$Z$5+$AA$5-1)^0.5)*LOG10(INDEX(FX_Input,Y$5,L$3*$Z$5+$AA$5))-(1.854-(1042/(L1004+459.6)))*(INDEX(FX_Input,Y$5,L$3*$Z$5+$AA$5-1)^0.5)+((2416/(L1004+459.6)-2.013)*LOG10(INDEX(FX_Input,Y$5,L$3*$Z$5+$AA$5)))-(8742/(L1004+459.6))+15.64),EXP(INDEX(Antoines,MATCH(L994,Antoine_Name,0),2)-INDEX(Antoines,MATCH(L994,Antoine_Name,0),3)/(L1004+459.6))))),0)</f>
        <v>1</v>
      </c>
      <c r="M1015" cm="1">
        <f t="array" ref="M1015">IFERROR(IF(M995="Chemical",(10^(INDEX(Antoines,MATCH(M994,Antoine_Name,0),2)-INDEX(Antoines,MATCH(M994,Antoine_Name,0),3)/(INDEX(Antoines,MATCH(M994,Antoine_Name,0),4)+(M1004-32)*5/9)))*14.7/760,IF(M995="Crude Oil",EXP((2799/(M1004+459.6)-2.227)*LOG10(INDEX(FX_Input,Z$5,M$3*$Z$5+$AA$5))-(7261/(M1004+459.6))+12.82),IF(M995="Refined Petroleum Stock",EXP((0.7553-(413/(M1004+459.6)))*(INDEX(FX_Input,Z$5,M$3*$Z$5+$AA$5-1)^0.5)*LOG10(INDEX(FX_Input,Z$5,M$3*$Z$5+$AA$5))-(1.854-(1042/(M1004+459.6)))*(INDEX(FX_Input,Z$5,M$3*$Z$5+$AA$5-1)^0.5)+((2416/(M1004+459.6)-2.013)*LOG10(INDEX(FX_Input,Z$5,M$3*$Z$5+$AA$5)))-(8742/(M1004+459.6))+15.64),EXP(INDEX(Antoines,MATCH(M994,Antoine_Name,0),2)-INDEX(Antoines,MATCH(M994,Antoine_Name,0),3)/(M1004+459.6))))),0)</f>
        <v>1</v>
      </c>
      <c r="N1015" cm="1">
        <f t="array" ref="N1015">IFERROR(IF(N995="Chemical",(10^(INDEX(Antoines,MATCH(N994,Antoine_Name,0),2)-INDEX(Antoines,MATCH(N994,Antoine_Name,0),3)/(INDEX(Antoines,MATCH(N994,Antoine_Name,0),4)+(N1004-32)*5/9)))*14.7/760,IF(N995="Crude Oil",EXP((2799/(N1004+459.6)-2.227)*LOG10(INDEX(FX_Input,AA$5,N$3*$Z$5+$AA$5))-(7261/(N1004+459.6))+12.82),IF(N995="Refined Petroleum Stock",EXP((0.7553-(413/(N1004+459.6)))*(INDEX(FX_Input,AA$5,N$3*$Z$5+$AA$5-1)^0.5)*LOG10(INDEX(FX_Input,AA$5,N$3*$Z$5+$AA$5))-(1.854-(1042/(N1004+459.6)))*(INDEX(FX_Input,AA$5,N$3*$Z$5+$AA$5-1)^0.5)+((2416/(N1004+459.6)-2.013)*LOG10(INDEX(FX_Input,AA$5,N$3*$Z$5+$AA$5)))-(8742/(N1004+459.6))+15.64),EXP(INDEX(Antoines,MATCH(N994,Antoine_Name,0),2)-INDEX(Antoines,MATCH(N994,Antoine_Name,0),3)/(N1004+459.6))))),0)</f>
        <v>1</v>
      </c>
      <c r="O1015" cm="1">
        <f t="array" ref="O1015">IFERROR(IF(O995="Chemical",(10^(INDEX(Antoines,MATCH(O994,Antoine_Name,0),2)-INDEX(Antoines,MATCH(O994,Antoine_Name,0),3)/(INDEX(Antoines,MATCH(O994,Antoine_Name,0),4)+(O1004-32)*5/9)))*14.7/760,IF(O995="Crude Oil",EXP((2799/(O1004+459.6)-2.227)*LOG10(INDEX(FX_Input,AB$5,O$3*$Z$5+$AA$5))-(7261/(O1004+459.6))+12.82),IF(O995="Refined Petroleum Stock",EXP((0.7553-(413/(O1004+459.6)))*(INDEX(FX_Input,AB$5,O$3*$Z$5+$AA$5-1)^0.5)*LOG10(INDEX(FX_Input,AB$5,O$3*$Z$5+$AA$5))-(1.854-(1042/(O1004+459.6)))*(INDEX(FX_Input,AB$5,O$3*$Z$5+$AA$5-1)^0.5)+((2416/(O1004+459.6)-2.013)*LOG10(INDEX(FX_Input,AB$5,O$3*$Z$5+$AA$5)))-(8742/(O1004+459.6))+15.64),EXP(INDEX(Antoines,MATCH(O994,Antoine_Name,0),2)-INDEX(Antoines,MATCH(O994,Antoine_Name,0),3)/(O1004+459.6))))),0)</f>
        <v>1</v>
      </c>
    </row>
    <row r="1016" spans="1:32" ht="17.149999999999999" x14ac:dyDescent="0.55000000000000004">
      <c r="B1016" t="str">
        <f t="shared" si="3604"/>
        <v>Portland</v>
      </c>
      <c r="C1016" t="s">
        <v>1389</v>
      </c>
      <c r="D1016">
        <f>D1015*D998</f>
        <v>1</v>
      </c>
      <c r="E1016">
        <f t="shared" ref="E1016" si="3671">E1015*E998</f>
        <v>1</v>
      </c>
      <c r="F1016">
        <f t="shared" ref="F1016" si="3672">F1015*F998</f>
        <v>1</v>
      </c>
      <c r="G1016">
        <f t="shared" ref="G1016" si="3673">G1015*G998</f>
        <v>1</v>
      </c>
      <c r="H1016">
        <f t="shared" ref="H1016" si="3674">H1015*H998</f>
        <v>1</v>
      </c>
      <c r="I1016">
        <f t="shared" ref="I1016" si="3675">I1015*I998</f>
        <v>1</v>
      </c>
      <c r="J1016">
        <f t="shared" ref="J1016" si="3676">J1015*J998</f>
        <v>1</v>
      </c>
      <c r="K1016">
        <f t="shared" ref="K1016" si="3677">K1015*K998</f>
        <v>1</v>
      </c>
      <c r="L1016">
        <f t="shared" ref="L1016" si="3678">L1015*L998</f>
        <v>1</v>
      </c>
      <c r="M1016">
        <f t="shared" ref="M1016" si="3679">M1015*M998</f>
        <v>1</v>
      </c>
      <c r="N1016">
        <f t="shared" ref="N1016" si="3680">N1015*N998</f>
        <v>1</v>
      </c>
      <c r="O1016">
        <f t="shared" ref="O1016" si="3681">O1015*O998</f>
        <v>1</v>
      </c>
    </row>
    <row r="1017" spans="1:32" ht="17.149999999999999" x14ac:dyDescent="0.55000000000000004">
      <c r="B1017" t="str">
        <f t="shared" si="3604"/>
        <v>Portland</v>
      </c>
      <c r="C1017" t="s">
        <v>1390</v>
      </c>
      <c r="D1017" cm="1">
        <f t="array" ref="D1017">IFERROR(IF(D997="Chemical",(10^(INDEX(Antoines,MATCH(D996,Antoine_Name,0),2)-INDEX(Antoines,MATCH(D996,Antoine_Name,0),3)/(INDEX(Antoines,MATCH(D996,Antoine_Name,0),4)+(D1004-32)*5/9)))*14.7/760,IF(D997="Crude Oil",EXP((2799/(D1004+459.6)-2.227)*LOG10(INDEX(FX_Input,Q$5,D$3*$Z$5+$AA$5))-(7261/(D1004+459.6))+12.82),IF(D997="Refined Petroleum Stock",EXP((0.7553-(413/(D1004+459.6)))*(INDEX(FX_Input,Q$5,D$3*$Z$5+$AA$5-1)^0.5)*LOG10(INDEX(FX_Input,Q$5,D$3*$Z$5+$AA$5))-(1.854-(1042/(D1004+459.6)))*(INDEX(FX_Input,Q$5,D$3*$Z$5+$AA$5-1)^0.5)+((2416/(D1004+459.6)-2.013)*LOG10(INDEX(FX_Input,Q$5,D$3*$Z$5+$AA$5)))-(8742/(D1004+459.6))+15.64),EXP(INDEX(Antoines,MATCH(D996,Antoine_Name,0),2)-INDEX(Antoines,MATCH(D996,Antoine_Name,0),3)/(D1004+459.6))))),0)</f>
        <v>0</v>
      </c>
      <c r="E1017" cm="1">
        <f t="array" ref="E1017">IFERROR(IF(E997="Chemical",(10^(INDEX(Antoines,MATCH(E996,Antoine_Name,0),2)-INDEX(Antoines,MATCH(E996,Antoine_Name,0),3)/(INDEX(Antoines,MATCH(E996,Antoine_Name,0),4)+(E1004-32)*5/9)))*14.7/760,IF(E997="Crude Oil",EXP((2799/(E1004+459.6)-2.227)*LOG10(INDEX(FX_Input,R$5,E$3*$Z$5+$AA$5))-(7261/(E1004+459.6))+12.82),IF(E997="Refined Petroleum Stock",EXP((0.7553-(413/(E1004+459.6)))*(INDEX(FX_Input,R$5,E$3*$Z$5+$AA$5-1)^0.5)*LOG10(INDEX(FX_Input,R$5,E$3*$Z$5+$AA$5))-(1.854-(1042/(E1004+459.6)))*(INDEX(FX_Input,R$5,E$3*$Z$5+$AA$5-1)^0.5)+((2416/(E1004+459.6)-2.013)*LOG10(INDEX(FX_Input,R$5,E$3*$Z$5+$AA$5)))-(8742/(E1004+459.6))+15.64),EXP(INDEX(Antoines,MATCH(E996,Antoine_Name,0),2)-INDEX(Antoines,MATCH(E996,Antoine_Name,0),3)/(E1004+459.6))))),0)</f>
        <v>0</v>
      </c>
      <c r="F1017" cm="1">
        <f t="array" ref="F1017">IFERROR(IF(F997="Chemical",(10^(INDEX(Antoines,MATCH(F996,Antoine_Name,0),2)-INDEX(Antoines,MATCH(F996,Antoine_Name,0),3)/(INDEX(Antoines,MATCH(F996,Antoine_Name,0),4)+(F1004-32)*5/9)))*14.7/760,IF(F997="Crude Oil",EXP((2799/(F1004+459.6)-2.227)*LOG10(INDEX(FX_Input,S$5,F$3*$Z$5+$AA$5))-(7261/(F1004+459.6))+12.82),IF(F997="Refined Petroleum Stock",EXP((0.7553-(413/(F1004+459.6)))*(INDEX(FX_Input,S$5,F$3*$Z$5+$AA$5-1)^0.5)*LOG10(INDEX(FX_Input,S$5,F$3*$Z$5+$AA$5))-(1.854-(1042/(F1004+459.6)))*(INDEX(FX_Input,S$5,F$3*$Z$5+$AA$5-1)^0.5)+((2416/(F1004+459.6)-2.013)*LOG10(INDEX(FX_Input,S$5,F$3*$Z$5+$AA$5)))-(8742/(F1004+459.6))+15.64),EXP(INDEX(Antoines,MATCH(F996,Antoine_Name,0),2)-INDEX(Antoines,MATCH(F996,Antoine_Name,0),3)/(F1004+459.6))))),0)</f>
        <v>0</v>
      </c>
      <c r="G1017" cm="1">
        <f t="array" ref="G1017">IFERROR(IF(G997="Chemical",(10^(INDEX(Antoines,MATCH(G996,Antoine_Name,0),2)-INDEX(Antoines,MATCH(G996,Antoine_Name,0),3)/(INDEX(Antoines,MATCH(G996,Antoine_Name,0),4)+(G1004-32)*5/9)))*14.7/760,IF(G997="Crude Oil",EXP((2799/(G1004+459.6)-2.227)*LOG10(INDEX(FX_Input,T$5,G$3*$Z$5+$AA$5))-(7261/(G1004+459.6))+12.82),IF(G997="Refined Petroleum Stock",EXP((0.7553-(413/(G1004+459.6)))*(INDEX(FX_Input,T$5,G$3*$Z$5+$AA$5-1)^0.5)*LOG10(INDEX(FX_Input,T$5,G$3*$Z$5+$AA$5))-(1.854-(1042/(G1004+459.6)))*(INDEX(FX_Input,T$5,G$3*$Z$5+$AA$5-1)^0.5)+((2416/(G1004+459.6)-2.013)*LOG10(INDEX(FX_Input,T$5,G$3*$Z$5+$AA$5)))-(8742/(G1004+459.6))+15.64),EXP(INDEX(Antoines,MATCH(G996,Antoine_Name,0),2)-INDEX(Antoines,MATCH(G996,Antoine_Name,0),3)/(G1004+459.6))))),0)</f>
        <v>0</v>
      </c>
      <c r="H1017" cm="1">
        <f t="array" ref="H1017">IFERROR(IF(H997="Chemical",(10^(INDEX(Antoines,MATCH(H996,Antoine_Name,0),2)-INDEX(Antoines,MATCH(H996,Antoine_Name,0),3)/(INDEX(Antoines,MATCH(H996,Antoine_Name,0),4)+(H1004-32)*5/9)))*14.7/760,IF(H997="Crude Oil",EXP((2799/(H1004+459.6)-2.227)*LOG10(INDEX(FX_Input,U$5,H$3*$Z$5+$AA$5))-(7261/(H1004+459.6))+12.82),IF(H997="Refined Petroleum Stock",EXP((0.7553-(413/(H1004+459.6)))*(INDEX(FX_Input,U$5,H$3*$Z$5+$AA$5-1)^0.5)*LOG10(INDEX(FX_Input,U$5,H$3*$Z$5+$AA$5))-(1.854-(1042/(H1004+459.6)))*(INDEX(FX_Input,U$5,H$3*$Z$5+$AA$5-1)^0.5)+((2416/(H1004+459.6)-2.013)*LOG10(INDEX(FX_Input,U$5,H$3*$Z$5+$AA$5)))-(8742/(H1004+459.6))+15.64),EXP(INDEX(Antoines,MATCH(H996,Antoine_Name,0),2)-INDEX(Antoines,MATCH(H996,Antoine_Name,0),3)/(H1004+459.6))))),0)</f>
        <v>0</v>
      </c>
      <c r="I1017" cm="1">
        <f t="array" ref="I1017">IFERROR(IF(I997="Chemical",(10^(INDEX(Antoines,MATCH(I996,Antoine_Name,0),2)-INDEX(Antoines,MATCH(I996,Antoine_Name,0),3)/(INDEX(Antoines,MATCH(I996,Antoine_Name,0),4)+(I1004-32)*5/9)))*14.7/760,IF(I997="Crude Oil",EXP((2799/(I1004+459.6)-2.227)*LOG10(INDEX(FX_Input,V$5,I$3*$Z$5+$AA$5))-(7261/(I1004+459.6))+12.82),IF(I997="Refined Petroleum Stock",EXP((0.7553-(413/(I1004+459.6)))*(INDEX(FX_Input,V$5,I$3*$Z$5+$AA$5-1)^0.5)*LOG10(INDEX(FX_Input,V$5,I$3*$Z$5+$AA$5))-(1.854-(1042/(I1004+459.6)))*(INDEX(FX_Input,V$5,I$3*$Z$5+$AA$5-1)^0.5)+((2416/(I1004+459.6)-2.013)*LOG10(INDEX(FX_Input,V$5,I$3*$Z$5+$AA$5)))-(8742/(I1004+459.6))+15.64),EXP(INDEX(Antoines,MATCH(I996,Antoine_Name,0),2)-INDEX(Antoines,MATCH(I996,Antoine_Name,0),3)/(I1004+459.6))))),0)</f>
        <v>0</v>
      </c>
      <c r="J1017" cm="1">
        <f t="array" ref="J1017">IFERROR(IF(J997="Chemical",(10^(INDEX(Antoines,MATCH(J996,Antoine_Name,0),2)-INDEX(Antoines,MATCH(J996,Antoine_Name,0),3)/(INDEX(Antoines,MATCH(J996,Antoine_Name,0),4)+(J1004-32)*5/9)))*14.7/760,IF(J997="Crude Oil",EXP((2799/(J1004+459.6)-2.227)*LOG10(INDEX(FX_Input,W$5,J$3*$Z$5+$AA$5))-(7261/(J1004+459.6))+12.82),IF(J997="Refined Petroleum Stock",EXP((0.7553-(413/(J1004+459.6)))*(INDEX(FX_Input,W$5,J$3*$Z$5+$AA$5-1)^0.5)*LOG10(INDEX(FX_Input,W$5,J$3*$Z$5+$AA$5))-(1.854-(1042/(J1004+459.6)))*(INDEX(FX_Input,W$5,J$3*$Z$5+$AA$5-1)^0.5)+((2416/(J1004+459.6)-2.013)*LOG10(INDEX(FX_Input,W$5,J$3*$Z$5+$AA$5)))-(8742/(J1004+459.6))+15.64),EXP(INDEX(Antoines,MATCH(J996,Antoine_Name,0),2)-INDEX(Antoines,MATCH(J996,Antoine_Name,0),3)/(J1004+459.6))))),0)</f>
        <v>0</v>
      </c>
      <c r="K1017" cm="1">
        <f t="array" ref="K1017">IFERROR(IF(K997="Chemical",(10^(INDEX(Antoines,MATCH(K996,Antoine_Name,0),2)-INDEX(Antoines,MATCH(K996,Antoine_Name,0),3)/(INDEX(Antoines,MATCH(K996,Antoine_Name,0),4)+(K1004-32)*5/9)))*14.7/760,IF(K997="Crude Oil",EXP((2799/(K1004+459.6)-2.227)*LOG10(INDEX(FX_Input,X$5,K$3*$Z$5+$AA$5))-(7261/(K1004+459.6))+12.82),IF(K997="Refined Petroleum Stock",EXP((0.7553-(413/(K1004+459.6)))*(INDEX(FX_Input,X$5,K$3*$Z$5+$AA$5-1)^0.5)*LOG10(INDEX(FX_Input,X$5,K$3*$Z$5+$AA$5))-(1.854-(1042/(K1004+459.6)))*(INDEX(FX_Input,X$5,K$3*$Z$5+$AA$5-1)^0.5)+((2416/(K1004+459.6)-2.013)*LOG10(INDEX(FX_Input,X$5,K$3*$Z$5+$AA$5)))-(8742/(K1004+459.6))+15.64),EXP(INDEX(Antoines,MATCH(K996,Antoine_Name,0),2)-INDEX(Antoines,MATCH(K996,Antoine_Name,0),3)/(K1004+459.6))))),0)</f>
        <v>0</v>
      </c>
      <c r="L1017" cm="1">
        <f t="array" ref="L1017">IFERROR(IF(L997="Chemical",(10^(INDEX(Antoines,MATCH(L996,Antoine_Name,0),2)-INDEX(Antoines,MATCH(L996,Antoine_Name,0),3)/(INDEX(Antoines,MATCH(L996,Antoine_Name,0),4)+(L1004-32)*5/9)))*14.7/760,IF(L997="Crude Oil",EXP((2799/(L1004+459.6)-2.227)*LOG10(INDEX(FX_Input,Y$5,L$3*$Z$5+$AA$5))-(7261/(L1004+459.6))+12.82),IF(L997="Refined Petroleum Stock",EXP((0.7553-(413/(L1004+459.6)))*(INDEX(FX_Input,Y$5,L$3*$Z$5+$AA$5-1)^0.5)*LOG10(INDEX(FX_Input,Y$5,L$3*$Z$5+$AA$5))-(1.854-(1042/(L1004+459.6)))*(INDEX(FX_Input,Y$5,L$3*$Z$5+$AA$5-1)^0.5)+((2416/(L1004+459.6)-2.013)*LOG10(INDEX(FX_Input,Y$5,L$3*$Z$5+$AA$5)))-(8742/(L1004+459.6))+15.64),EXP(INDEX(Antoines,MATCH(L996,Antoine_Name,0),2)-INDEX(Antoines,MATCH(L996,Antoine_Name,0),3)/(L1004+459.6))))),0)</f>
        <v>0</v>
      </c>
      <c r="M1017" cm="1">
        <f t="array" ref="M1017">IFERROR(IF(M997="Chemical",(10^(INDEX(Antoines,MATCH(M996,Antoine_Name,0),2)-INDEX(Antoines,MATCH(M996,Antoine_Name,0),3)/(INDEX(Antoines,MATCH(M996,Antoine_Name,0),4)+(M1004-32)*5/9)))*14.7/760,IF(M997="Crude Oil",EXP((2799/(M1004+459.6)-2.227)*LOG10(INDEX(FX_Input,Z$5,M$3*$Z$5+$AA$5))-(7261/(M1004+459.6))+12.82),IF(M997="Refined Petroleum Stock",EXP((0.7553-(413/(M1004+459.6)))*(INDEX(FX_Input,Z$5,M$3*$Z$5+$AA$5-1)^0.5)*LOG10(INDEX(FX_Input,Z$5,M$3*$Z$5+$AA$5))-(1.854-(1042/(M1004+459.6)))*(INDEX(FX_Input,Z$5,M$3*$Z$5+$AA$5-1)^0.5)+((2416/(M1004+459.6)-2.013)*LOG10(INDEX(FX_Input,Z$5,M$3*$Z$5+$AA$5)))-(8742/(M1004+459.6))+15.64),EXP(INDEX(Antoines,MATCH(M996,Antoine_Name,0),2)-INDEX(Antoines,MATCH(M996,Antoine_Name,0),3)/(M1004+459.6))))),0)</f>
        <v>0</v>
      </c>
      <c r="N1017" cm="1">
        <f t="array" ref="N1017">IFERROR(IF(N997="Chemical",(10^(INDEX(Antoines,MATCH(N996,Antoine_Name,0),2)-INDEX(Antoines,MATCH(N996,Antoine_Name,0),3)/(INDEX(Antoines,MATCH(N996,Antoine_Name,0),4)+(N1004-32)*5/9)))*14.7/760,IF(N997="Crude Oil",EXP((2799/(N1004+459.6)-2.227)*LOG10(INDEX(FX_Input,AA$5,N$3*$Z$5+$AA$5))-(7261/(N1004+459.6))+12.82),IF(N997="Refined Petroleum Stock",EXP((0.7553-(413/(N1004+459.6)))*(INDEX(FX_Input,AA$5,N$3*$Z$5+$AA$5-1)^0.5)*LOG10(INDEX(FX_Input,AA$5,N$3*$Z$5+$AA$5))-(1.854-(1042/(N1004+459.6)))*(INDEX(FX_Input,AA$5,N$3*$Z$5+$AA$5-1)^0.5)+((2416/(N1004+459.6)-2.013)*LOG10(INDEX(FX_Input,AA$5,N$3*$Z$5+$AA$5)))-(8742/(N1004+459.6))+15.64),EXP(INDEX(Antoines,MATCH(N996,Antoine_Name,0),2)-INDEX(Antoines,MATCH(N996,Antoine_Name,0),3)/(N1004+459.6))))),0)</f>
        <v>0</v>
      </c>
      <c r="O1017" cm="1">
        <f t="array" ref="O1017">IFERROR(IF(O997="Chemical",(10^(INDEX(Antoines,MATCH(O996,Antoine_Name,0),2)-INDEX(Antoines,MATCH(O996,Antoine_Name,0),3)/(INDEX(Antoines,MATCH(O996,Antoine_Name,0),4)+(O1004-32)*5/9)))*14.7/760,IF(O997="Crude Oil",EXP((2799/(O1004+459.6)-2.227)*LOG10(INDEX(FX_Input,AB$5,O$3*$Z$5+$AA$5))-(7261/(O1004+459.6))+12.82),IF(O997="Refined Petroleum Stock",EXP((0.7553-(413/(O1004+459.6)))*(INDEX(FX_Input,AB$5,O$3*$Z$5+$AA$5-1)^0.5)*LOG10(INDEX(FX_Input,AB$5,O$3*$Z$5+$AA$5))-(1.854-(1042/(O1004+459.6)))*(INDEX(FX_Input,AB$5,O$3*$Z$5+$AA$5-1)^0.5)+((2416/(O1004+459.6)-2.013)*LOG10(INDEX(FX_Input,AB$5,O$3*$Z$5+$AA$5)))-(8742/(O1004+459.6))+15.64),EXP(INDEX(Antoines,MATCH(O996,Antoine_Name,0),2)-INDEX(Antoines,MATCH(O996,Antoine_Name,0),3)/(O1004+459.6))))),0)</f>
        <v>0</v>
      </c>
    </row>
    <row r="1018" spans="1:32" ht="17.149999999999999" x14ac:dyDescent="0.55000000000000004">
      <c r="B1018" t="str">
        <f t="shared" si="3604"/>
        <v>Portland</v>
      </c>
      <c r="C1018" t="s">
        <v>1391</v>
      </c>
      <c r="D1018">
        <f>D1017*D1000</f>
        <v>0</v>
      </c>
      <c r="E1018">
        <f t="shared" ref="E1018" si="3682">E1017*E1000</f>
        <v>0</v>
      </c>
      <c r="F1018">
        <f t="shared" ref="F1018" si="3683">F1017*F1000</f>
        <v>0</v>
      </c>
      <c r="G1018">
        <f t="shared" ref="G1018" si="3684">G1017*G1000</f>
        <v>0</v>
      </c>
      <c r="H1018">
        <f t="shared" ref="H1018" si="3685">H1017*H1000</f>
        <v>0</v>
      </c>
      <c r="I1018">
        <f t="shared" ref="I1018" si="3686">I1017*I1000</f>
        <v>0</v>
      </c>
      <c r="J1018">
        <f t="shared" ref="J1018" si="3687">J1017*J1000</f>
        <v>0</v>
      </c>
      <c r="K1018">
        <f t="shared" ref="K1018" si="3688">K1017*K1000</f>
        <v>0</v>
      </c>
      <c r="L1018">
        <f t="shared" ref="L1018" si="3689">L1017*L1000</f>
        <v>0</v>
      </c>
      <c r="M1018">
        <f t="shared" ref="M1018" si="3690">M1017*M1000</f>
        <v>0</v>
      </c>
      <c r="N1018">
        <f t="shared" ref="N1018" si="3691">N1017*N1000</f>
        <v>0</v>
      </c>
      <c r="O1018">
        <f t="shared" ref="O1018" si="3692">O1017*O1000</f>
        <v>0</v>
      </c>
    </row>
    <row r="1019" spans="1:32" ht="17.149999999999999" x14ac:dyDescent="0.55000000000000004">
      <c r="B1019" t="str">
        <f t="shared" si="3604"/>
        <v>Portland</v>
      </c>
      <c r="C1019" t="s">
        <v>1392</v>
      </c>
      <c r="D1019">
        <f>D1016+D1018</f>
        <v>1</v>
      </c>
      <c r="E1019">
        <f t="shared" ref="E1019" si="3693">E1016+E1018</f>
        <v>1</v>
      </c>
      <c r="F1019">
        <f t="shared" ref="F1019" si="3694">F1016+F1018</f>
        <v>1</v>
      </c>
      <c r="G1019">
        <f t="shared" ref="G1019" si="3695">G1016+G1018</f>
        <v>1</v>
      </c>
      <c r="H1019">
        <f t="shared" ref="H1019" si="3696">H1016+H1018</f>
        <v>1</v>
      </c>
      <c r="I1019">
        <f t="shared" ref="I1019" si="3697">I1016+I1018</f>
        <v>1</v>
      </c>
      <c r="J1019">
        <f t="shared" ref="J1019" si="3698">J1016+J1018</f>
        <v>1</v>
      </c>
      <c r="K1019">
        <f t="shared" ref="K1019" si="3699">K1016+K1018</f>
        <v>1</v>
      </c>
      <c r="L1019">
        <f t="shared" ref="L1019" si="3700">L1016+L1018</f>
        <v>1</v>
      </c>
      <c r="M1019">
        <f t="shared" ref="M1019" si="3701">M1016+M1018</f>
        <v>1</v>
      </c>
      <c r="N1019">
        <f t="shared" ref="N1019" si="3702">N1016+N1018</f>
        <v>1</v>
      </c>
      <c r="O1019">
        <f t="shared" ref="O1019" si="3703">O1016+O1018</f>
        <v>1</v>
      </c>
    </row>
    <row r="1020" spans="1:32" ht="17.149999999999999" x14ac:dyDescent="0.55000000000000004">
      <c r="B1020" t="str">
        <f>B1014</f>
        <v>Portland</v>
      </c>
      <c r="C1020" t="s">
        <v>584</v>
      </c>
      <c r="D1020">
        <f>D1016/D1019</f>
        <v>1</v>
      </c>
      <c r="E1020">
        <f t="shared" ref="E1020" si="3704">E1016/E1019</f>
        <v>1</v>
      </c>
      <c r="F1020">
        <f t="shared" ref="F1020" si="3705">F1016/F1019</f>
        <v>1</v>
      </c>
      <c r="G1020">
        <f t="shared" ref="G1020" si="3706">G1016/G1019</f>
        <v>1</v>
      </c>
      <c r="H1020">
        <f t="shared" ref="H1020" si="3707">H1016/H1019</f>
        <v>1</v>
      </c>
      <c r="I1020">
        <f t="shared" ref="I1020" si="3708">I1016/I1019</f>
        <v>1</v>
      </c>
      <c r="J1020">
        <f t="shared" ref="J1020" si="3709">J1016/J1019</f>
        <v>1</v>
      </c>
      <c r="K1020">
        <f t="shared" ref="K1020" si="3710">K1016/K1019</f>
        <v>1</v>
      </c>
      <c r="L1020">
        <f t="shared" ref="L1020" si="3711">L1016/L1019</f>
        <v>1</v>
      </c>
      <c r="M1020">
        <f t="shared" ref="M1020" si="3712">M1016/M1019</f>
        <v>1</v>
      </c>
      <c r="N1020">
        <f t="shared" ref="N1020" si="3713">N1016/N1019</f>
        <v>1</v>
      </c>
      <c r="O1020">
        <f t="shared" ref="O1020" si="3714">O1016/O1019</f>
        <v>1</v>
      </c>
    </row>
    <row r="1021" spans="1:32" ht="17.149999999999999" x14ac:dyDescent="0.55000000000000004">
      <c r="B1021" t="str">
        <f>B1015</f>
        <v>Portland</v>
      </c>
      <c r="C1021" t="s">
        <v>585</v>
      </c>
      <c r="D1021" t="str">
        <f t="shared" ref="D1021:O1021" si="3715">INDEX(Phys_Prop,MATCH(D994,Chem_List,0),3)</f>
        <v>N/A</v>
      </c>
      <c r="E1021" t="str">
        <f t="shared" si="3715"/>
        <v>N/A</v>
      </c>
      <c r="F1021" t="str">
        <f t="shared" si="3715"/>
        <v>N/A</v>
      </c>
      <c r="G1021" t="str">
        <f t="shared" si="3715"/>
        <v>N/A</v>
      </c>
      <c r="H1021" t="str">
        <f t="shared" si="3715"/>
        <v>N/A</v>
      </c>
      <c r="I1021" t="str">
        <f t="shared" si="3715"/>
        <v>N/A</v>
      </c>
      <c r="J1021" t="str">
        <f t="shared" si="3715"/>
        <v>N/A</v>
      </c>
      <c r="K1021" t="str">
        <f t="shared" si="3715"/>
        <v>N/A</v>
      </c>
      <c r="L1021" t="str">
        <f t="shared" si="3715"/>
        <v>N/A</v>
      </c>
      <c r="M1021" t="str">
        <f t="shared" si="3715"/>
        <v>N/A</v>
      </c>
      <c r="N1021" t="str">
        <f t="shared" si="3715"/>
        <v>N/A</v>
      </c>
      <c r="O1021" t="str">
        <f t="shared" si="3715"/>
        <v>N/A</v>
      </c>
    </row>
    <row r="1022" spans="1:32" ht="17.149999999999999" x14ac:dyDescent="0.55000000000000004">
      <c r="B1022" t="str">
        <f>B1021</f>
        <v>Portland</v>
      </c>
      <c r="C1022" t="s">
        <v>586</v>
      </c>
      <c r="D1022">
        <f>D1018/D1019</f>
        <v>0</v>
      </c>
      <c r="E1022">
        <f t="shared" ref="E1022:O1022" si="3716">E1018/E1019</f>
        <v>0</v>
      </c>
      <c r="F1022">
        <f t="shared" si="3716"/>
        <v>0</v>
      </c>
      <c r="G1022">
        <f t="shared" si="3716"/>
        <v>0</v>
      </c>
      <c r="H1022">
        <f t="shared" si="3716"/>
        <v>0</v>
      </c>
      <c r="I1022">
        <f t="shared" si="3716"/>
        <v>0</v>
      </c>
      <c r="J1022">
        <f t="shared" si="3716"/>
        <v>0</v>
      </c>
      <c r="K1022">
        <f t="shared" si="3716"/>
        <v>0</v>
      </c>
      <c r="L1022">
        <f t="shared" si="3716"/>
        <v>0</v>
      </c>
      <c r="M1022">
        <f t="shared" si="3716"/>
        <v>0</v>
      </c>
      <c r="N1022">
        <f t="shared" si="3716"/>
        <v>0</v>
      </c>
      <c r="O1022">
        <f t="shared" si="3716"/>
        <v>0</v>
      </c>
    </row>
    <row r="1023" spans="1:32" ht="17.149999999999999" x14ac:dyDescent="0.55000000000000004">
      <c r="B1023" t="str">
        <f t="shared" si="3604"/>
        <v>Portland</v>
      </c>
      <c r="C1023" t="s">
        <v>587</v>
      </c>
      <c r="D1023">
        <f t="shared" ref="D1023:O1023" si="3717">IFERROR(INDEX(Phys_Prop,MATCH(D996,Chem_List,0),3),0)</f>
        <v>0</v>
      </c>
      <c r="E1023">
        <f t="shared" si="3717"/>
        <v>0</v>
      </c>
      <c r="F1023">
        <f t="shared" si="3717"/>
        <v>0</v>
      </c>
      <c r="G1023">
        <f t="shared" si="3717"/>
        <v>0</v>
      </c>
      <c r="H1023">
        <f t="shared" si="3717"/>
        <v>0</v>
      </c>
      <c r="I1023">
        <f t="shared" si="3717"/>
        <v>0</v>
      </c>
      <c r="J1023">
        <f t="shared" si="3717"/>
        <v>0</v>
      </c>
      <c r="K1023">
        <f t="shared" si="3717"/>
        <v>0</v>
      </c>
      <c r="L1023">
        <f t="shared" si="3717"/>
        <v>0</v>
      </c>
      <c r="M1023">
        <f t="shared" si="3717"/>
        <v>0</v>
      </c>
      <c r="N1023">
        <f t="shared" si="3717"/>
        <v>0</v>
      </c>
      <c r="O1023">
        <f t="shared" si="3717"/>
        <v>0</v>
      </c>
    </row>
    <row r="1024" spans="1:32" ht="17.149999999999999" x14ac:dyDescent="0.55000000000000004">
      <c r="A1024" s="11"/>
      <c r="B1024" s="11" t="str">
        <f t="shared" si="3604"/>
        <v>Portland</v>
      </c>
      <c r="C1024" s="11" t="s">
        <v>588</v>
      </c>
      <c r="D1024" s="11">
        <f>IFERROR(D1020*D1021+D1022*D1023,0)</f>
        <v>0</v>
      </c>
      <c r="E1024" s="11">
        <f t="shared" ref="E1024" si="3718">IFERROR(E1020*E1021+E1022*E1023,0)</f>
        <v>0</v>
      </c>
      <c r="F1024" s="11">
        <f t="shared" ref="F1024" si="3719">IFERROR(F1020*F1021+F1022*F1023,0)</f>
        <v>0</v>
      </c>
      <c r="G1024" s="11">
        <f t="shared" ref="G1024" si="3720">IFERROR(G1020*G1021+G1022*G1023,0)</f>
        <v>0</v>
      </c>
      <c r="H1024" s="11">
        <f t="shared" ref="H1024" si="3721">IFERROR(H1020*H1021+H1022*H1023,0)</f>
        <v>0</v>
      </c>
      <c r="I1024" s="11">
        <f t="shared" ref="I1024" si="3722">IFERROR(I1020*I1021+I1022*I1023,0)</f>
        <v>0</v>
      </c>
      <c r="J1024" s="11">
        <f t="shared" ref="J1024" si="3723">IFERROR(J1020*J1021+J1022*J1023,0)</f>
        <v>0</v>
      </c>
      <c r="K1024" s="11">
        <f t="shared" ref="K1024" si="3724">IFERROR(K1020*K1021+K1022*K1023,0)</f>
        <v>0</v>
      </c>
      <c r="L1024" s="11">
        <f t="shared" ref="L1024" si="3725">IFERROR(L1020*L1021+L1022*L1023,0)</f>
        <v>0</v>
      </c>
      <c r="M1024" s="11">
        <f t="shared" ref="M1024" si="3726">IFERROR(M1020*M1021+M1022*M1023,0)</f>
        <v>0</v>
      </c>
      <c r="N1024" s="11">
        <f t="shared" ref="N1024" si="3727">IFERROR(N1020*N1021+N1022*N1023,0)</f>
        <v>0</v>
      </c>
      <c r="O1024" s="11">
        <f t="shared" ref="O1024" si="3728">IFERROR(O1020*O1021+O1022*O1023,0)</f>
        <v>0</v>
      </c>
      <c r="P1024" s="11"/>
      <c r="Q1024" s="11"/>
      <c r="R1024" s="11"/>
      <c r="S1024" s="11"/>
      <c r="T1024" s="11"/>
      <c r="U1024" s="11"/>
      <c r="V1024" s="11"/>
      <c r="W1024" s="11"/>
      <c r="X1024" s="11"/>
      <c r="Y1024" s="11"/>
      <c r="Z1024" s="11"/>
      <c r="AA1024" s="11"/>
      <c r="AB1024" s="11"/>
      <c r="AC1024" s="11"/>
      <c r="AD1024" s="11"/>
      <c r="AE1024" s="11"/>
      <c r="AF1024" s="11"/>
    </row>
    <row r="1025" spans="1:32" ht="17.149999999999999" x14ac:dyDescent="0.55000000000000004">
      <c r="A1025" t="str" cm="1">
        <f t="array" ref="A1025">INDEX(FX_Input,$Q1025,R$5)</f>
        <v>FX - 31</v>
      </c>
      <c r="B1025" t="str" cm="1">
        <f t="array" ref="B1025">INDEX(FX_Input,Q1025,S1025)</f>
        <v>Portland</v>
      </c>
      <c r="C1025" t="s">
        <v>563</v>
      </c>
      <c r="D1025">
        <v>14.7</v>
      </c>
      <c r="E1025">
        <v>14.7</v>
      </c>
      <c r="F1025">
        <v>14.7</v>
      </c>
      <c r="G1025">
        <v>14.7</v>
      </c>
      <c r="H1025">
        <v>14.7</v>
      </c>
      <c r="I1025">
        <v>14.7</v>
      </c>
      <c r="J1025">
        <v>14.7</v>
      </c>
      <c r="K1025">
        <v>14.7</v>
      </c>
      <c r="L1025">
        <v>14.7</v>
      </c>
      <c r="M1025">
        <v>14.7</v>
      </c>
      <c r="N1025">
        <v>14.7</v>
      </c>
      <c r="O1025">
        <v>14.7</v>
      </c>
      <c r="Q1025">
        <f>Q991+2</f>
        <v>61</v>
      </c>
      <c r="R1025">
        <v>1</v>
      </c>
      <c r="S1025">
        <v>3</v>
      </c>
      <c r="T1025">
        <v>1</v>
      </c>
      <c r="U1025">
        <v>19</v>
      </c>
      <c r="V1025">
        <v>20</v>
      </c>
      <c r="W1025">
        <v>25</v>
      </c>
      <c r="X1025">
        <v>1</v>
      </c>
      <c r="Y1025">
        <v>2</v>
      </c>
      <c r="Z1025">
        <f>(W1025-V1025)/(Y1025-X1025)</f>
        <v>5</v>
      </c>
      <c r="AA1025">
        <f>V1025-Z1025*X1025</f>
        <v>15</v>
      </c>
      <c r="AD1025">
        <f>AD991+14</f>
        <v>421</v>
      </c>
      <c r="AF1025">
        <f>AF991+14</f>
        <v>421</v>
      </c>
    </row>
    <row r="1026" spans="1:32" ht="17.149999999999999" x14ac:dyDescent="0.55000000000000004">
      <c r="B1026" t="str">
        <f t="shared" ref="B1026" si="3729">B1025</f>
        <v>Portland</v>
      </c>
      <c r="C1026" t="s">
        <v>564</v>
      </c>
      <c r="D1026" cm="1">
        <f t="array" ref="D1026">IF(ISBLANK(INDEX(FX_Input,$Q1025,$AB1026)),0.03,INDEX(FX_Input,Q1025,AB1026))</f>
        <v>0.03</v>
      </c>
      <c r="E1026" cm="1">
        <f t="array" ref="E1026">IF(ISBLANK(INDEX(FX_Input,$Q1025,$AB1026)),0.03,INDEX(FX_Input,R1025,#REF!))</f>
        <v>0.03</v>
      </c>
      <c r="F1026" cm="1">
        <f t="array" ref="F1026">IF(ISBLANK(INDEX(FX_Input,$Q1025,$AB1026)),0.03,INDEX(FX_Input,S1025,#REF!))</f>
        <v>0.03</v>
      </c>
      <c r="G1026" cm="1">
        <f t="array" ref="G1026">IF(ISBLANK(INDEX(FX_Input,$Q1025,$AB1026)),0.03,INDEX(FX_Input,AB1025,#REF!))</f>
        <v>0.03</v>
      </c>
      <c r="H1026" cm="1">
        <f t="array" ref="H1026">IF(ISBLANK(INDEX(FX_Input,$Q1025,$AB1026)),0.03,INDEX(FX_Input,#REF!,#REF!))</f>
        <v>0.03</v>
      </c>
      <c r="I1026" cm="1">
        <f t="array" ref="I1026">IF(ISBLANK(INDEX(FX_Input,$Q1025,$AB1026)),0.03,INDEX(FX_Input,#REF!,#REF!))</f>
        <v>0.03</v>
      </c>
      <c r="J1026" cm="1">
        <f t="array" ref="J1026">IF(ISBLANK(INDEX(FX_Input,$Q1025,$AB1026)),0.03,INDEX(FX_Input,#REF!,#REF!))</f>
        <v>0.03</v>
      </c>
      <c r="K1026" cm="1">
        <f t="array" ref="K1026">IF(ISBLANK(INDEX(FX_Input,$Q1025,$AB1026)),0.03,INDEX(FX_Input,#REF!,AC1026))</f>
        <v>0.03</v>
      </c>
      <c r="L1026" cm="1">
        <f t="array" ref="L1026">IF(ISBLANK(INDEX(FX_Input,$Q1025,$AB1026)),0.03,INDEX(FX_Input,#REF!,AD1026))</f>
        <v>0.03</v>
      </c>
      <c r="M1026" cm="1">
        <f t="array" ref="M1026">IF(ISBLANK(INDEX(FX_Input,$Q1025,$AB1026)),0.03,INDEX(FX_Input,#REF!,#REF!))</f>
        <v>0.03</v>
      </c>
      <c r="N1026" cm="1">
        <f t="array" ref="N1026">IF(ISBLANK(INDEX(FX_Input,$Q1025,$AB1026)),0.03,INDEX(FX_Input,AC1025,#REF!))</f>
        <v>0.03</v>
      </c>
      <c r="O1026" cm="1">
        <f t="array" ref="O1026">IF(ISBLANK(INDEX(FX_Input,$Q1025,$AB1026)),0.03,INDEX(FX_Input,AD1025,#REF!))</f>
        <v>0.03</v>
      </c>
      <c r="AB1026">
        <v>15</v>
      </c>
    </row>
    <row r="1027" spans="1:32" ht="17.149999999999999" x14ac:dyDescent="0.55000000000000004">
      <c r="B1027" t="str">
        <f>B1026</f>
        <v>Portland</v>
      </c>
      <c r="C1027" t="s">
        <v>565</v>
      </c>
      <c r="D1027" cm="1">
        <f t="array" ref="D1027">IF(ISBLANK(INDEX(FX_Input,$Q1025,$AB1027)),-0.03,INDEX(FX_Input,Q1025,AB1027))</f>
        <v>-0.03</v>
      </c>
      <c r="E1027" cm="1">
        <f t="array" ref="E1027">IF(ISBLANK(INDEX(FX_Input,$Q1025,$AB1027)),-0.03,INDEX(FX_Input,R1025,#REF!))</f>
        <v>-0.03</v>
      </c>
      <c r="F1027" cm="1">
        <f t="array" ref="F1027">IF(ISBLANK(INDEX(FX_Input,$Q1025,$AB1027)),-0.03,INDEX(FX_Input,S1025,#REF!))</f>
        <v>-0.03</v>
      </c>
      <c r="G1027" cm="1">
        <f t="array" ref="G1027">IF(ISBLANK(INDEX(FX_Input,$Q1025,$AB1027)),-0.03,INDEX(FX_Input,AB1025,#REF!))</f>
        <v>-0.03</v>
      </c>
      <c r="H1027" cm="1">
        <f t="array" ref="H1027">IF(ISBLANK(INDEX(FX_Input,$Q1025,$AB1027)),-0.03,INDEX(FX_Input,#REF!,#REF!))</f>
        <v>-0.03</v>
      </c>
      <c r="I1027" cm="1">
        <f t="array" ref="I1027">IF(ISBLANK(INDEX(FX_Input,$Q1025,$AB1027)),-0.03,INDEX(FX_Input,#REF!,#REF!))</f>
        <v>-0.03</v>
      </c>
      <c r="J1027" cm="1">
        <f t="array" ref="J1027">IF(ISBLANK(INDEX(FX_Input,$Q1025,$AB1027)),-0.03,INDEX(FX_Input,#REF!,#REF!))</f>
        <v>-0.03</v>
      </c>
      <c r="K1027" cm="1">
        <f t="array" ref="K1027">IF(ISBLANK(INDEX(FX_Input,$Q1025,$AB1027)),-0.03,INDEX(FX_Input,#REF!,AC1027))</f>
        <v>-0.03</v>
      </c>
      <c r="L1027" cm="1">
        <f t="array" ref="L1027">IF(ISBLANK(INDEX(FX_Input,$Q1025,$AB1027)),-0.03,INDEX(FX_Input,#REF!,AD1027))</f>
        <v>-0.03</v>
      </c>
      <c r="M1027" cm="1">
        <f t="array" ref="M1027">IF(ISBLANK(INDEX(FX_Input,$Q1025,$AB1027)),-0.03,INDEX(FX_Input,#REF!,#REF!))</f>
        <v>-0.03</v>
      </c>
      <c r="N1027" cm="1">
        <f t="array" ref="N1027">IF(ISBLANK(INDEX(FX_Input,$Q1025,$AB1027)),-0.03,INDEX(FX_Input,AC1025,#REF!))</f>
        <v>-0.03</v>
      </c>
      <c r="O1027" cm="1">
        <f t="array" ref="O1027">IF(ISBLANK(INDEX(FX_Input,$Q1025,$AB1027)),-0.03,INDEX(FX_Input,AD1025,#REF!))</f>
        <v>-0.03</v>
      </c>
      <c r="AB1027">
        <v>16</v>
      </c>
    </row>
    <row r="1028" spans="1:32" x14ac:dyDescent="0.4">
      <c r="B1028" t="str">
        <f t="shared" ref="B1028:B1029" si="3730">B1027</f>
        <v>Portland</v>
      </c>
      <c r="C1028" s="66" t="s">
        <v>567</v>
      </c>
      <c r="D1028" t="str" cm="1">
        <f t="array" ref="D1028">INDEX(FX_Multi,$AD1028,D$3)</f>
        <v>Out of Service</v>
      </c>
      <c r="E1028" t="str" cm="1">
        <f t="array" ref="E1028">INDEX(FX_Multi,$AD1028,E$3)</f>
        <v>Out of Service</v>
      </c>
      <c r="F1028" t="str" cm="1">
        <f t="array" ref="F1028">INDEX(FX_Multi,$AD1028,F$3)</f>
        <v>Out of Service</v>
      </c>
      <c r="G1028" t="str" cm="1">
        <f t="array" ref="G1028">INDEX(FX_Multi,$AD1028,G$3)</f>
        <v>Out of Service</v>
      </c>
      <c r="H1028" t="str" cm="1">
        <f t="array" ref="H1028">INDEX(FX_Multi,$AD1028,H$3)</f>
        <v>Out of Service</v>
      </c>
      <c r="I1028" t="str" cm="1">
        <f t="array" ref="I1028">INDEX(FX_Multi,$AD1028,I$3)</f>
        <v>Out of Service</v>
      </c>
      <c r="J1028" t="str" cm="1">
        <f t="array" ref="J1028">INDEX(FX_Multi,$AD1028,J$3)</f>
        <v>Out of Service</v>
      </c>
      <c r="K1028" t="str" cm="1">
        <f t="array" ref="K1028">INDEX(FX_Multi,$AD1028,K$3)</f>
        <v>Out of Service</v>
      </c>
      <c r="L1028" t="str" cm="1">
        <f t="array" ref="L1028">INDEX(FX_Multi,$AD1028,L$3)</f>
        <v>Out of Service</v>
      </c>
      <c r="M1028" t="str" cm="1">
        <f t="array" ref="M1028">INDEX(FX_Multi,$AD1028,M$3)</f>
        <v>Out of Service</v>
      </c>
      <c r="N1028" t="str" cm="1">
        <f t="array" ref="N1028">INDEX(FX_Multi,$AD1028,N$3)</f>
        <v>Out of Service</v>
      </c>
      <c r="O1028" t="str" cm="1">
        <f t="array" ref="O1028">INDEX(FX_Multi,$AD1028,O$3)</f>
        <v>Out of Service</v>
      </c>
      <c r="AC1028">
        <v>1</v>
      </c>
      <c r="AD1028">
        <f>AD1025</f>
        <v>421</v>
      </c>
      <c r="AE1028">
        <v>1</v>
      </c>
      <c r="AF1028">
        <f>AF1025</f>
        <v>421</v>
      </c>
    </row>
    <row r="1029" spans="1:32" x14ac:dyDescent="0.4">
      <c r="B1029" t="str">
        <f t="shared" si="3730"/>
        <v>Portland</v>
      </c>
      <c r="C1029" s="66" t="s">
        <v>566</v>
      </c>
      <c r="D1029" t="str" cm="1">
        <f t="array" ref="D1029">INDEX(FX_Multi,$AD1029,D$3)</f>
        <v>N/A</v>
      </c>
      <c r="E1029" t="str" cm="1">
        <f t="array" ref="E1029">INDEX(FX_Multi,$AD1029,E$3)</f>
        <v>N/A</v>
      </c>
      <c r="F1029" t="str" cm="1">
        <f t="array" ref="F1029">INDEX(FX_Multi,$AD1029,F$3)</f>
        <v>N/A</v>
      </c>
      <c r="G1029" t="str" cm="1">
        <f t="array" ref="G1029">INDEX(FX_Multi,$AD1029,G$3)</f>
        <v>N/A</v>
      </c>
      <c r="H1029" t="str" cm="1">
        <f t="array" ref="H1029">INDEX(FX_Multi,$AD1029,H$3)</f>
        <v>N/A</v>
      </c>
      <c r="I1029" t="str" cm="1">
        <f t="array" ref="I1029">INDEX(FX_Multi,$AD1029,I$3)</f>
        <v>N/A</v>
      </c>
      <c r="J1029" t="str" cm="1">
        <f t="array" ref="J1029">INDEX(FX_Multi,$AD1029,J$3)</f>
        <v>N/A</v>
      </c>
      <c r="K1029" t="str" cm="1">
        <f t="array" ref="K1029">INDEX(FX_Multi,$AD1029,K$3)</f>
        <v>N/A</v>
      </c>
      <c r="L1029" t="str" cm="1">
        <f t="array" ref="L1029">INDEX(FX_Multi,$AD1029,L$3)</f>
        <v>N/A</v>
      </c>
      <c r="M1029" t="str" cm="1">
        <f t="array" ref="M1029">INDEX(FX_Multi,$AD1029,M$3)</f>
        <v>N/A</v>
      </c>
      <c r="N1029" t="str" cm="1">
        <f t="array" ref="N1029">INDEX(FX_Multi,$AD1029,N$3)</f>
        <v>N/A</v>
      </c>
      <c r="O1029" t="str" cm="1">
        <f t="array" ref="O1029">INDEX(FX_Multi,$AD1029,O$3)</f>
        <v>N/A</v>
      </c>
      <c r="AC1029">
        <v>1</v>
      </c>
      <c r="AD1029">
        <f>AD1028+2</f>
        <v>423</v>
      </c>
      <c r="AE1029">
        <v>1</v>
      </c>
      <c r="AF1029">
        <f>AF1028+3</f>
        <v>424</v>
      </c>
    </row>
    <row r="1030" spans="1:32" x14ac:dyDescent="0.4">
      <c r="B1030" t="str">
        <f>B1026</f>
        <v>Portland</v>
      </c>
      <c r="C1030" s="66" t="s">
        <v>568</v>
      </c>
      <c r="D1030" cm="1">
        <f t="array" ref="D1030">INDEX(FX_Multi,$AD1030,D$3)</f>
        <v>0</v>
      </c>
      <c r="E1030" cm="1">
        <f t="array" ref="E1030">INDEX(FX_Multi,$AD1030,E$3)</f>
        <v>0</v>
      </c>
      <c r="F1030" cm="1">
        <f t="array" ref="F1030">INDEX(FX_Multi,$AD1030,F$3)</f>
        <v>0</v>
      </c>
      <c r="G1030" cm="1">
        <f t="array" ref="G1030">INDEX(FX_Multi,$AD1030,G$3)</f>
        <v>0</v>
      </c>
      <c r="H1030" cm="1">
        <f t="array" ref="H1030">INDEX(FX_Multi,$AD1030,H$3)</f>
        <v>0</v>
      </c>
      <c r="I1030" cm="1">
        <f t="array" ref="I1030">INDEX(FX_Multi,$AD1030,I$3)</f>
        <v>0</v>
      </c>
      <c r="J1030" cm="1">
        <f t="array" ref="J1030">INDEX(FX_Multi,$AD1030,J$3)</f>
        <v>0</v>
      </c>
      <c r="K1030" cm="1">
        <f t="array" ref="K1030">INDEX(FX_Multi,$AD1030,K$3)</f>
        <v>0</v>
      </c>
      <c r="L1030" cm="1">
        <f t="array" ref="L1030">INDEX(FX_Multi,$AD1030,L$3)</f>
        <v>0</v>
      </c>
      <c r="M1030" cm="1">
        <f t="array" ref="M1030">INDEX(FX_Multi,$AD1030,M$3)</f>
        <v>0</v>
      </c>
      <c r="N1030" cm="1">
        <f t="array" ref="N1030">INDEX(FX_Multi,$AD1030,N$3)</f>
        <v>0</v>
      </c>
      <c r="O1030" cm="1">
        <f t="array" ref="O1030">INDEX(FX_Multi,$AD1030,O$3)</f>
        <v>0</v>
      </c>
      <c r="AC1030">
        <v>1</v>
      </c>
      <c r="AD1030">
        <f>AD1029-1</f>
        <v>422</v>
      </c>
      <c r="AE1030">
        <v>1</v>
      </c>
      <c r="AF1030">
        <f>AF1028+1</f>
        <v>422</v>
      </c>
    </row>
    <row r="1031" spans="1:32" x14ac:dyDescent="0.4">
      <c r="B1031" t="str">
        <f t="shared" ref="B1031:B1035" si="3731">B1030</f>
        <v>Portland</v>
      </c>
      <c r="C1031" s="66" t="s">
        <v>569</v>
      </c>
      <c r="D1031" cm="1">
        <f t="array" ref="D1031">INDEX(FX_Multi,$AD1031,D$3)</f>
        <v>0</v>
      </c>
      <c r="E1031" cm="1">
        <f t="array" ref="E1031">INDEX(FX_Multi,$AD1031,E$3)</f>
        <v>0</v>
      </c>
      <c r="F1031" cm="1">
        <f t="array" ref="F1031">INDEX(FX_Multi,$AD1031,F$3)</f>
        <v>0</v>
      </c>
      <c r="G1031" cm="1">
        <f t="array" ref="G1031">INDEX(FX_Multi,$AD1031,G$3)</f>
        <v>0</v>
      </c>
      <c r="H1031" cm="1">
        <f t="array" ref="H1031">INDEX(FX_Multi,$AD1031,H$3)</f>
        <v>0</v>
      </c>
      <c r="I1031" cm="1">
        <f t="array" ref="I1031">INDEX(FX_Multi,$AD1031,I$3)</f>
        <v>0</v>
      </c>
      <c r="J1031" cm="1">
        <f t="array" ref="J1031">INDEX(FX_Multi,$AD1031,J$3)</f>
        <v>0</v>
      </c>
      <c r="K1031" cm="1">
        <f t="array" ref="K1031">INDEX(FX_Multi,$AD1031,K$3)</f>
        <v>0</v>
      </c>
      <c r="L1031" cm="1">
        <f t="array" ref="L1031">INDEX(FX_Multi,$AD1031,L$3)</f>
        <v>0</v>
      </c>
      <c r="M1031" cm="1">
        <f t="array" ref="M1031">INDEX(FX_Multi,$AD1031,M$3)</f>
        <v>0</v>
      </c>
      <c r="N1031" cm="1">
        <f t="array" ref="N1031">INDEX(FX_Multi,$AD1031,N$3)</f>
        <v>0</v>
      </c>
      <c r="O1031" cm="1">
        <f t="array" ref="O1031">INDEX(FX_Multi,$AD1031,O$3)</f>
        <v>0</v>
      </c>
      <c r="AC1031">
        <v>1</v>
      </c>
      <c r="AD1031">
        <f>AD1030+2</f>
        <v>424</v>
      </c>
      <c r="AE1031">
        <v>1</v>
      </c>
      <c r="AF1031">
        <f>AF1029</f>
        <v>424</v>
      </c>
    </row>
    <row r="1032" spans="1:32" ht="17.149999999999999" x14ac:dyDescent="0.55000000000000004">
      <c r="B1032" t="str">
        <f t="shared" si="3731"/>
        <v>Portland</v>
      </c>
      <c r="C1032" t="s">
        <v>570</v>
      </c>
      <c r="D1032" cm="1">
        <f t="array" ref="D1032">INDEX(FX_Multi,$AD1032,D$3)</f>
        <v>1</v>
      </c>
      <c r="E1032" cm="1">
        <f t="array" ref="E1032">INDEX(FX_Multi,$AD1032,E$3)</f>
        <v>1</v>
      </c>
      <c r="F1032" cm="1">
        <f t="array" ref="F1032">INDEX(FX_Multi,$AD1032,F$3)</f>
        <v>1</v>
      </c>
      <c r="G1032" cm="1">
        <f t="array" ref="G1032">INDEX(FX_Multi,$AD1032,G$3)</f>
        <v>1</v>
      </c>
      <c r="H1032" cm="1">
        <f t="array" ref="H1032">INDEX(FX_Multi,$AD1032,H$3)</f>
        <v>1</v>
      </c>
      <c r="I1032" cm="1">
        <f t="array" ref="I1032">INDEX(FX_Multi,$AD1032,I$3)</f>
        <v>1</v>
      </c>
      <c r="J1032" cm="1">
        <f t="array" ref="J1032">INDEX(FX_Multi,$AD1032,J$3)</f>
        <v>1</v>
      </c>
      <c r="K1032" cm="1">
        <f t="array" ref="K1032">INDEX(FX_Multi,$AD1032,K$3)</f>
        <v>1</v>
      </c>
      <c r="L1032" cm="1">
        <f t="array" ref="L1032">INDEX(FX_Multi,$AD1032,L$3)</f>
        <v>1</v>
      </c>
      <c r="M1032" cm="1">
        <f t="array" ref="M1032">INDEX(FX_Multi,$AD1032,M$3)</f>
        <v>1</v>
      </c>
      <c r="N1032" cm="1">
        <f t="array" ref="N1032">INDEX(FX_Multi,$AD1032,N$3)</f>
        <v>1</v>
      </c>
      <c r="O1032" cm="1">
        <f t="array" ref="O1032">INDEX(FX_Multi,$AD1032,O$3)</f>
        <v>1</v>
      </c>
      <c r="AC1032">
        <v>1</v>
      </c>
      <c r="AD1032">
        <f>AD1031+6</f>
        <v>430</v>
      </c>
      <c r="AE1032">
        <v>1</v>
      </c>
      <c r="AF1032">
        <f>AF1028+9</f>
        <v>430</v>
      </c>
    </row>
    <row r="1033" spans="1:32" ht="17.149999999999999" x14ac:dyDescent="0.55000000000000004">
      <c r="B1033" t="str">
        <f t="shared" si="3731"/>
        <v>Portland</v>
      </c>
      <c r="C1033" t="s">
        <v>571</v>
      </c>
      <c r="D1033" t="str" cm="1">
        <f t="array" ref="D1033">INDEX(FX_Multi,$AD1033,D$3)</f>
        <v>N/A</v>
      </c>
      <c r="E1033" t="str" cm="1">
        <f t="array" ref="E1033">INDEX(FX_Multi,$AD1033,E$3)</f>
        <v>N/A</v>
      </c>
      <c r="F1033" t="str" cm="1">
        <f t="array" ref="F1033">INDEX(FX_Multi,$AD1033,F$3)</f>
        <v>N/A</v>
      </c>
      <c r="G1033" t="str" cm="1">
        <f t="array" ref="G1033">INDEX(FX_Multi,$AD1033,G$3)</f>
        <v>N/A</v>
      </c>
      <c r="H1033" t="str" cm="1">
        <f t="array" ref="H1033">INDEX(FX_Multi,$AD1033,H$3)</f>
        <v>N/A</v>
      </c>
      <c r="I1033" t="str" cm="1">
        <f t="array" ref="I1033">INDEX(FX_Multi,$AD1033,I$3)</f>
        <v>N/A</v>
      </c>
      <c r="J1033" t="str" cm="1">
        <f t="array" ref="J1033">INDEX(FX_Multi,$AD1033,J$3)</f>
        <v>N/A</v>
      </c>
      <c r="K1033" t="str" cm="1">
        <f t="array" ref="K1033">INDEX(FX_Multi,$AD1033,K$3)</f>
        <v>N/A</v>
      </c>
      <c r="L1033" t="str" cm="1">
        <f t="array" ref="L1033">INDEX(FX_Multi,$AD1033,L$3)</f>
        <v>N/A</v>
      </c>
      <c r="M1033" t="str" cm="1">
        <f t="array" ref="M1033">INDEX(FX_Multi,$AD1033,M$3)</f>
        <v>N/A</v>
      </c>
      <c r="N1033" t="str" cm="1">
        <f t="array" ref="N1033">INDEX(FX_Multi,$AD1033,N$3)</f>
        <v>N/A</v>
      </c>
      <c r="O1033" t="str" cm="1">
        <f t="array" ref="O1033">INDEX(FX_Multi,$AD1033,O$3)</f>
        <v>N/A</v>
      </c>
      <c r="AC1033">
        <v>1</v>
      </c>
      <c r="AD1033">
        <f>AD1032-3</f>
        <v>427</v>
      </c>
      <c r="AE1033">
        <v>1</v>
      </c>
      <c r="AF1033">
        <f>AF1028+6</f>
        <v>427</v>
      </c>
    </row>
    <row r="1034" spans="1:32" ht="17.149999999999999" x14ac:dyDescent="0.55000000000000004">
      <c r="B1034" t="str">
        <f t="shared" si="3731"/>
        <v>Portland</v>
      </c>
      <c r="C1034" t="s">
        <v>572</v>
      </c>
      <c r="D1034" cm="1">
        <f t="array" ref="D1034">INDEX(FX_Multi,$AD1034,D$3)</f>
        <v>0</v>
      </c>
      <c r="E1034" cm="1">
        <f t="array" ref="E1034">INDEX(FX_Multi,$AD1034,E$3)</f>
        <v>0</v>
      </c>
      <c r="F1034" cm="1">
        <f t="array" ref="F1034">INDEX(FX_Multi,$AD1034,F$3)</f>
        <v>0</v>
      </c>
      <c r="G1034" cm="1">
        <f t="array" ref="G1034">INDEX(FX_Multi,$AD1034,G$3)</f>
        <v>0</v>
      </c>
      <c r="H1034" cm="1">
        <f t="array" ref="H1034">INDEX(FX_Multi,$AD1034,H$3)</f>
        <v>0</v>
      </c>
      <c r="I1034" cm="1">
        <f t="array" ref="I1034">INDEX(FX_Multi,$AD1034,I$3)</f>
        <v>0</v>
      </c>
      <c r="J1034" cm="1">
        <f t="array" ref="J1034">INDEX(FX_Multi,$AD1034,J$3)</f>
        <v>0</v>
      </c>
      <c r="K1034" cm="1">
        <f t="array" ref="K1034">INDEX(FX_Multi,$AD1034,K$3)</f>
        <v>0</v>
      </c>
      <c r="L1034" cm="1">
        <f t="array" ref="L1034">INDEX(FX_Multi,$AD1034,L$3)</f>
        <v>0</v>
      </c>
      <c r="M1034" cm="1">
        <f t="array" ref="M1034">INDEX(FX_Multi,$AD1034,M$3)</f>
        <v>0</v>
      </c>
      <c r="N1034" cm="1">
        <f t="array" ref="N1034">INDEX(FX_Multi,$AD1034,N$3)</f>
        <v>0</v>
      </c>
      <c r="O1034" cm="1">
        <f t="array" ref="O1034">INDEX(FX_Multi,$AD1034,O$3)</f>
        <v>0</v>
      </c>
      <c r="AC1034">
        <v>1</v>
      </c>
      <c r="AD1034">
        <f>AD1033+4</f>
        <v>431</v>
      </c>
      <c r="AE1034">
        <v>1</v>
      </c>
      <c r="AF1034">
        <f>AF1028+10</f>
        <v>431</v>
      </c>
    </row>
    <row r="1035" spans="1:32" ht="17.149999999999999" x14ac:dyDescent="0.55000000000000004">
      <c r="B1035" t="str">
        <f t="shared" si="3731"/>
        <v>Portland</v>
      </c>
      <c r="C1035" t="s">
        <v>573</v>
      </c>
      <c r="D1035" cm="1">
        <f t="array" ref="D1035">INDEX(FX_Multi,$AD1035,D$3)</f>
        <v>0</v>
      </c>
      <c r="E1035" cm="1">
        <f t="array" ref="E1035">INDEX(FX_Multi,$AD1035,E$3)</f>
        <v>0</v>
      </c>
      <c r="F1035" cm="1">
        <f t="array" ref="F1035">INDEX(FX_Multi,$AD1035,F$3)</f>
        <v>0</v>
      </c>
      <c r="G1035" cm="1">
        <f t="array" ref="G1035">INDEX(FX_Multi,$AD1035,G$3)</f>
        <v>0</v>
      </c>
      <c r="H1035" cm="1">
        <f t="array" ref="H1035">INDEX(FX_Multi,$AD1035,H$3)</f>
        <v>0</v>
      </c>
      <c r="I1035" cm="1">
        <f t="array" ref="I1035">INDEX(FX_Multi,$AD1035,I$3)</f>
        <v>0</v>
      </c>
      <c r="J1035" cm="1">
        <f t="array" ref="J1035">INDEX(FX_Multi,$AD1035,J$3)</f>
        <v>0</v>
      </c>
      <c r="K1035" cm="1">
        <f t="array" ref="K1035">INDEX(FX_Multi,$AD1035,K$3)</f>
        <v>0</v>
      </c>
      <c r="L1035" cm="1">
        <f t="array" ref="L1035">INDEX(FX_Multi,$AD1035,L$3)</f>
        <v>0</v>
      </c>
      <c r="M1035" cm="1">
        <f t="array" ref="M1035">INDEX(FX_Multi,$AD1035,M$3)</f>
        <v>0</v>
      </c>
      <c r="N1035" cm="1">
        <f t="array" ref="N1035">INDEX(FX_Multi,$AD1035,N$3)</f>
        <v>0</v>
      </c>
      <c r="O1035" cm="1">
        <f t="array" ref="O1035">INDEX(FX_Multi,$AD1035,O$3)</f>
        <v>0</v>
      </c>
      <c r="AC1035">
        <v>1</v>
      </c>
      <c r="AD1035">
        <f>AD1034-3</f>
        <v>428</v>
      </c>
      <c r="AE1035">
        <v>1</v>
      </c>
      <c r="AF1035">
        <f>AF1028+7</f>
        <v>428</v>
      </c>
    </row>
    <row r="1036" spans="1:32" ht="17.149999999999999" x14ac:dyDescent="0.55000000000000004">
      <c r="B1036" t="str">
        <f>B1031</f>
        <v>Portland</v>
      </c>
      <c r="C1036" t="s">
        <v>526</v>
      </c>
      <c r="D1036" cm="1">
        <f t="array" ref="D1036">INDEX(FX_Temps,$AF1036,D$3)</f>
        <v>43.899999999999977</v>
      </c>
      <c r="E1036" cm="1">
        <f t="array" ref="E1036">INDEX(FX_Temps,$AF1036,E$3)</f>
        <v>44.700000000000045</v>
      </c>
      <c r="F1036" cm="1">
        <f t="array" ref="F1036">INDEX(FX_Temps,$AF1036,F$3)</f>
        <v>46.100000000000023</v>
      </c>
      <c r="G1036" cm="1">
        <f t="array" ref="G1036">INDEX(FX_Temps,$AF1036,G$3)</f>
        <v>48.599999999999966</v>
      </c>
      <c r="H1036" cm="1">
        <f t="array" ref="H1036">INDEX(FX_Temps,$AF1036,H$3)</f>
        <v>53.149999999999977</v>
      </c>
      <c r="I1036" cm="1">
        <f t="array" ref="I1036">INDEX(FX_Temps,$AF1036,I$3)</f>
        <v>56.950000000000045</v>
      </c>
      <c r="J1036" cm="1">
        <f t="array" ref="J1036">INDEX(FX_Temps,$AF1036,J$3)</f>
        <v>60.449999999999932</v>
      </c>
      <c r="K1036" cm="1">
        <f t="array" ref="K1036">INDEX(FX_Temps,$AF1036,K$3)</f>
        <v>60.899999999999977</v>
      </c>
      <c r="L1036" cm="1">
        <f t="array" ref="L1036">INDEX(FX_Temps,$AF1036,L$3)</f>
        <v>58.600000000000023</v>
      </c>
      <c r="M1036" cm="1">
        <f t="array" ref="M1036">INDEX(FX_Temps,$AF1036,M$3)</f>
        <v>52.649999999999977</v>
      </c>
      <c r="N1036" cm="1">
        <f t="array" ref="N1036">INDEX(FX_Temps,$AF1036,N$3)</f>
        <v>47.100000000000023</v>
      </c>
      <c r="O1036" cm="1">
        <f t="array" ref="O1036">INDEX(FX_Temps,$AF1036,O$3)</f>
        <v>43.600000000000023</v>
      </c>
      <c r="AE1036">
        <v>1</v>
      </c>
      <c r="AF1036">
        <f>AF1028+10</f>
        <v>431</v>
      </c>
    </row>
    <row r="1037" spans="1:32" ht="17.149999999999999" x14ac:dyDescent="0.55000000000000004">
      <c r="B1037" t="str">
        <f t="shared" ref="B1037:B1058" si="3732">B1036</f>
        <v>Portland</v>
      </c>
      <c r="C1037" t="s">
        <v>527</v>
      </c>
      <c r="D1037" cm="1">
        <f t="array" ref="D1037">INDEX(FX_Temps,$AF1037,D$3)</f>
        <v>43.899999999999977</v>
      </c>
      <c r="E1037" cm="1">
        <f t="array" ref="E1037">INDEX(FX_Temps,$AF1037,E$3)</f>
        <v>44.700000000000045</v>
      </c>
      <c r="F1037" cm="1">
        <f t="array" ref="F1037">INDEX(FX_Temps,$AF1037,F$3)</f>
        <v>46.100000000000023</v>
      </c>
      <c r="G1037" cm="1">
        <f t="array" ref="G1037">INDEX(FX_Temps,$AF1037,G$3)</f>
        <v>48.599999999999966</v>
      </c>
      <c r="H1037" cm="1">
        <f t="array" ref="H1037">INDEX(FX_Temps,$AF1037,H$3)</f>
        <v>53.149999999999977</v>
      </c>
      <c r="I1037" cm="1">
        <f t="array" ref="I1037">INDEX(FX_Temps,$AF1037,I$3)</f>
        <v>56.950000000000045</v>
      </c>
      <c r="J1037" cm="1">
        <f t="array" ref="J1037">INDEX(FX_Temps,$AF1037,J$3)</f>
        <v>60.449999999999932</v>
      </c>
      <c r="K1037" cm="1">
        <f t="array" ref="K1037">INDEX(FX_Temps,$AF1037,K$3)</f>
        <v>60.899999999999977</v>
      </c>
      <c r="L1037" cm="1">
        <f t="array" ref="L1037">INDEX(FX_Temps,$AF1037,L$3)</f>
        <v>58.600000000000023</v>
      </c>
      <c r="M1037" cm="1">
        <f t="array" ref="M1037">INDEX(FX_Temps,$AF1037,M$3)</f>
        <v>52.649999999999977</v>
      </c>
      <c r="N1037" cm="1">
        <f t="array" ref="N1037">INDEX(FX_Temps,$AF1037,N$3)</f>
        <v>47.100000000000023</v>
      </c>
      <c r="O1037" cm="1">
        <f t="array" ref="O1037">INDEX(FX_Temps,$AF1037,O$3)</f>
        <v>43.600000000000023</v>
      </c>
      <c r="AE1037">
        <f>AE1036</f>
        <v>1</v>
      </c>
      <c r="AF1037">
        <f>AF1028+11</f>
        <v>432</v>
      </c>
    </row>
    <row r="1038" spans="1:32" ht="17.149999999999999" x14ac:dyDescent="0.55000000000000004">
      <c r="B1038" t="str">
        <f t="shared" si="3732"/>
        <v>Portland</v>
      </c>
      <c r="C1038" t="s">
        <v>552</v>
      </c>
      <c r="D1038" cm="1">
        <f t="array" ref="D1038">INDEX(FX_Temps,$AF1038,D$3)</f>
        <v>43.899999999999977</v>
      </c>
      <c r="E1038" cm="1">
        <f t="array" ref="E1038">INDEX(FX_Temps,$AF1038,E$3)</f>
        <v>44.700000000000045</v>
      </c>
      <c r="F1038" cm="1">
        <f t="array" ref="F1038">INDEX(FX_Temps,$AF1038,F$3)</f>
        <v>46.100000000000023</v>
      </c>
      <c r="G1038" cm="1">
        <f t="array" ref="G1038">INDEX(FX_Temps,$AF1038,G$3)</f>
        <v>48.599999999999966</v>
      </c>
      <c r="H1038" cm="1">
        <f t="array" ref="H1038">INDEX(FX_Temps,$AF1038,H$3)</f>
        <v>53.149999999999977</v>
      </c>
      <c r="I1038" cm="1">
        <f t="array" ref="I1038">INDEX(FX_Temps,$AF1038,I$3)</f>
        <v>56.950000000000045</v>
      </c>
      <c r="J1038" cm="1">
        <f t="array" ref="J1038">INDEX(FX_Temps,$AF1038,J$3)</f>
        <v>60.449999999999932</v>
      </c>
      <c r="K1038" cm="1">
        <f t="array" ref="K1038">INDEX(FX_Temps,$AF1038,K$3)</f>
        <v>60.899999999999977</v>
      </c>
      <c r="L1038" cm="1">
        <f t="array" ref="L1038">INDEX(FX_Temps,$AF1038,L$3)</f>
        <v>58.600000000000023</v>
      </c>
      <c r="M1038" cm="1">
        <f t="array" ref="M1038">INDEX(FX_Temps,$AF1038,M$3)</f>
        <v>52.649999999999977</v>
      </c>
      <c r="N1038" cm="1">
        <f t="array" ref="N1038">INDEX(FX_Temps,$AF1038,N$3)</f>
        <v>47.100000000000023</v>
      </c>
      <c r="O1038" cm="1">
        <f t="array" ref="O1038">INDEX(FX_Temps,$AF1038,O$3)</f>
        <v>43.600000000000023</v>
      </c>
      <c r="AE1038">
        <f>AE1037</f>
        <v>1</v>
      </c>
      <c r="AF1038">
        <f>AF1028+13</f>
        <v>434</v>
      </c>
    </row>
    <row r="1039" spans="1:32" ht="17.149999999999999" x14ac:dyDescent="0.55000000000000004">
      <c r="B1039" t="str">
        <f t="shared" si="3732"/>
        <v>Portland</v>
      </c>
      <c r="C1039" t="s">
        <v>574</v>
      </c>
      <c r="D1039" cm="1">
        <f t="array" ref="D1039">IFERROR(IF(D1029="Chemical",(10^(INDEX(Antoines,MATCH(D1028,Antoine_Name,0),2)-INDEX(Antoines,MATCH(D1028,Antoine_Name,0),3)/(INDEX(Antoines,MATCH(D1028,Antoine_Name,0),4)+(D1036-32)*5/9)))*14.7/760,IF(D1029="Crude Oil",EXP((2799/(D1036+459.6)-2.227)*LOG10(INDEX(FX_Input,Q$5,D$3*$Z$5+$AA$5))-(7261/(D1036+459.6))+12.82),IF(D1029="Refined Petroleum Stock",EXP((0.7553-(413/(D1036+459.6)))*(INDEX(FX_Input,Q$5,D$3*$Z$5+$AA$5-1)^0.5)*LOG10(INDEX(FX_Input,Q$5,D$3*$Z$5+$AA$5))-(1.854-(1042/(D1036+459.6)))*(INDEX(FX_Input,Q$5,D$3*$Z$5+$AA$5-1)^0.5)+((2416/(D1036+459.6)-2.013)*LOG10(INDEX(FX_Input,Q$5,D$3*$Z$5+$AA$5)))-(8742/(D1036+459.6))+15.64),EXP(INDEX(Antoines,MATCH(D1028,Antoine_Name,0),2)-INDEX(Antoines,MATCH(D1028,Antoine_Name,0),3)/(D1036+459.6))))),0)</f>
        <v>1</v>
      </c>
      <c r="E1039" cm="1">
        <f t="array" ref="E1039">IFERROR(IF(E1029="Chemical",(10^(INDEX(Antoines,MATCH(E1028,Antoine_Name,0),2)-INDEX(Antoines,MATCH(E1028,Antoine_Name,0),3)/(INDEX(Antoines,MATCH(E1028,Antoine_Name,0),4)+(E1036-32)*5/9)))*14.7/760,IF(E1029="Crude Oil",EXP((2799/(E1036+459.6)-2.227)*LOG10(INDEX(FX_Input,R$5,E$3*$Z$5+$AA$5))-(7261/(E1036+459.6))+12.82),IF(E1029="Refined Petroleum Stock",EXP((0.7553-(413/(E1036+459.6)))*(INDEX(FX_Input,R$5,E$3*$Z$5+$AA$5-1)^0.5)*LOG10(INDEX(FX_Input,R$5,E$3*$Z$5+$AA$5))-(1.854-(1042/(E1036+459.6)))*(INDEX(FX_Input,R$5,E$3*$Z$5+$AA$5-1)^0.5)+((2416/(E1036+459.6)-2.013)*LOG10(INDEX(FX_Input,R$5,E$3*$Z$5+$AA$5)))-(8742/(E1036+459.6))+15.64),EXP(INDEX(Antoines,MATCH(E1028,Antoine_Name,0),2)-INDEX(Antoines,MATCH(E1028,Antoine_Name,0),3)/(E1036+459.6))))),0)</f>
        <v>1</v>
      </c>
      <c r="F1039" cm="1">
        <f t="array" ref="F1039">IFERROR(IF(F1029="Chemical",(10^(INDEX(Antoines,MATCH(F1028,Antoine_Name,0),2)-INDEX(Antoines,MATCH(F1028,Antoine_Name,0),3)/(INDEX(Antoines,MATCH(F1028,Antoine_Name,0),4)+(F1036-32)*5/9)))*14.7/760,IF(F1029="Crude Oil",EXP((2799/(F1036+459.6)-2.227)*LOG10(INDEX(FX_Input,S$5,F$3*$Z$5+$AA$5))-(7261/(F1036+459.6))+12.82),IF(F1029="Refined Petroleum Stock",EXP((0.7553-(413/(F1036+459.6)))*(INDEX(FX_Input,S$5,F$3*$Z$5+$AA$5-1)^0.5)*LOG10(INDEX(FX_Input,S$5,F$3*$Z$5+$AA$5))-(1.854-(1042/(F1036+459.6)))*(INDEX(FX_Input,S$5,F$3*$Z$5+$AA$5-1)^0.5)+((2416/(F1036+459.6)-2.013)*LOG10(INDEX(FX_Input,S$5,F$3*$Z$5+$AA$5)))-(8742/(F1036+459.6))+15.64),EXP(INDEX(Antoines,MATCH(F1028,Antoine_Name,0),2)-INDEX(Antoines,MATCH(F1028,Antoine_Name,0),3)/(F1036+459.6))))),0)</f>
        <v>1</v>
      </c>
      <c r="G1039" cm="1">
        <f t="array" ref="G1039">IFERROR(IF(G1029="Chemical",(10^(INDEX(Antoines,MATCH(G1028,Antoine_Name,0),2)-INDEX(Antoines,MATCH(G1028,Antoine_Name,0),3)/(INDEX(Antoines,MATCH(G1028,Antoine_Name,0),4)+(G1036-32)*5/9)))*14.7/760,IF(G1029="Crude Oil",EXP((2799/(G1036+459.6)-2.227)*LOG10(INDEX(FX_Input,T$5,G$3*$Z$5+$AA$5))-(7261/(G1036+459.6))+12.82),IF(G1029="Refined Petroleum Stock",EXP((0.7553-(413/(G1036+459.6)))*(INDEX(FX_Input,T$5,G$3*$Z$5+$AA$5-1)^0.5)*LOG10(INDEX(FX_Input,T$5,G$3*$Z$5+$AA$5))-(1.854-(1042/(G1036+459.6)))*(INDEX(FX_Input,T$5,G$3*$Z$5+$AA$5-1)^0.5)+((2416/(G1036+459.6)-2.013)*LOG10(INDEX(FX_Input,T$5,G$3*$Z$5+$AA$5)))-(8742/(G1036+459.6))+15.64),EXP(INDEX(Antoines,MATCH(G1028,Antoine_Name,0),2)-INDEX(Antoines,MATCH(G1028,Antoine_Name,0),3)/(G1036+459.6))))),0)</f>
        <v>1</v>
      </c>
      <c r="H1039" cm="1">
        <f t="array" ref="H1039">IFERROR(IF(H1029="Chemical",(10^(INDEX(Antoines,MATCH(H1028,Antoine_Name,0),2)-INDEX(Antoines,MATCH(H1028,Antoine_Name,0),3)/(INDEX(Antoines,MATCH(H1028,Antoine_Name,0),4)+(H1036-32)*5/9)))*14.7/760,IF(H1029="Crude Oil",EXP((2799/(H1036+459.6)-2.227)*LOG10(INDEX(FX_Input,U$5,H$3*$Z$5+$AA$5))-(7261/(H1036+459.6))+12.82),IF(H1029="Refined Petroleum Stock",EXP((0.7553-(413/(H1036+459.6)))*(INDEX(FX_Input,U$5,H$3*$Z$5+$AA$5-1)^0.5)*LOG10(INDEX(FX_Input,U$5,H$3*$Z$5+$AA$5))-(1.854-(1042/(H1036+459.6)))*(INDEX(FX_Input,U$5,H$3*$Z$5+$AA$5-1)^0.5)+((2416/(H1036+459.6)-2.013)*LOG10(INDEX(FX_Input,U$5,H$3*$Z$5+$AA$5)))-(8742/(H1036+459.6))+15.64),EXP(INDEX(Antoines,MATCH(H1028,Antoine_Name,0),2)-INDEX(Antoines,MATCH(H1028,Antoine_Name,0),3)/(H1036+459.6))))),0)</f>
        <v>1</v>
      </c>
      <c r="I1039" cm="1">
        <f t="array" ref="I1039">IFERROR(IF(I1029="Chemical",(10^(INDEX(Antoines,MATCH(I1028,Antoine_Name,0),2)-INDEX(Antoines,MATCH(I1028,Antoine_Name,0),3)/(INDEX(Antoines,MATCH(I1028,Antoine_Name,0),4)+(I1036-32)*5/9)))*14.7/760,IF(I1029="Crude Oil",EXP((2799/(I1036+459.6)-2.227)*LOG10(INDEX(FX_Input,V$5,I$3*$Z$5+$AA$5))-(7261/(I1036+459.6))+12.82),IF(I1029="Refined Petroleum Stock",EXP((0.7553-(413/(I1036+459.6)))*(INDEX(FX_Input,V$5,I$3*$Z$5+$AA$5-1)^0.5)*LOG10(INDEX(FX_Input,V$5,I$3*$Z$5+$AA$5))-(1.854-(1042/(I1036+459.6)))*(INDEX(FX_Input,V$5,I$3*$Z$5+$AA$5-1)^0.5)+((2416/(I1036+459.6)-2.013)*LOG10(INDEX(FX_Input,V$5,I$3*$Z$5+$AA$5)))-(8742/(I1036+459.6))+15.64),EXP(INDEX(Antoines,MATCH(I1028,Antoine_Name,0),2)-INDEX(Antoines,MATCH(I1028,Antoine_Name,0),3)/(I1036+459.6))))),0)</f>
        <v>1</v>
      </c>
      <c r="J1039" cm="1">
        <f t="array" ref="J1039">IFERROR(IF(J1029="Chemical",(10^(INDEX(Antoines,MATCH(J1028,Antoine_Name,0),2)-INDEX(Antoines,MATCH(J1028,Antoine_Name,0),3)/(INDEX(Antoines,MATCH(J1028,Antoine_Name,0),4)+(J1036-32)*5/9)))*14.7/760,IF(J1029="Crude Oil",EXP((2799/(J1036+459.6)-2.227)*LOG10(INDEX(FX_Input,W$5,J$3*$Z$5+$AA$5))-(7261/(J1036+459.6))+12.82),IF(J1029="Refined Petroleum Stock",EXP((0.7553-(413/(J1036+459.6)))*(INDEX(FX_Input,W$5,J$3*$Z$5+$AA$5-1)^0.5)*LOG10(INDEX(FX_Input,W$5,J$3*$Z$5+$AA$5))-(1.854-(1042/(J1036+459.6)))*(INDEX(FX_Input,W$5,J$3*$Z$5+$AA$5-1)^0.5)+((2416/(J1036+459.6)-2.013)*LOG10(INDEX(FX_Input,W$5,J$3*$Z$5+$AA$5)))-(8742/(J1036+459.6))+15.64),EXP(INDEX(Antoines,MATCH(J1028,Antoine_Name,0),2)-INDEX(Antoines,MATCH(J1028,Antoine_Name,0),3)/(J1036+459.6))))),0)</f>
        <v>1</v>
      </c>
      <c r="K1039" cm="1">
        <f t="array" ref="K1039">IFERROR(IF(K1029="Chemical",(10^(INDEX(Antoines,MATCH(K1028,Antoine_Name,0),2)-INDEX(Antoines,MATCH(K1028,Antoine_Name,0),3)/(INDEX(Antoines,MATCH(K1028,Antoine_Name,0),4)+(K1036-32)*5/9)))*14.7/760,IF(K1029="Crude Oil",EXP((2799/(K1036+459.6)-2.227)*LOG10(INDEX(FX_Input,X$5,K$3*$Z$5+$AA$5))-(7261/(K1036+459.6))+12.82),IF(K1029="Refined Petroleum Stock",EXP((0.7553-(413/(K1036+459.6)))*(INDEX(FX_Input,X$5,K$3*$Z$5+$AA$5-1)^0.5)*LOG10(INDEX(FX_Input,X$5,K$3*$Z$5+$AA$5))-(1.854-(1042/(K1036+459.6)))*(INDEX(FX_Input,X$5,K$3*$Z$5+$AA$5-1)^0.5)+((2416/(K1036+459.6)-2.013)*LOG10(INDEX(FX_Input,X$5,K$3*$Z$5+$AA$5)))-(8742/(K1036+459.6))+15.64),EXP(INDEX(Antoines,MATCH(K1028,Antoine_Name,0),2)-INDEX(Antoines,MATCH(K1028,Antoine_Name,0),3)/(K1036+459.6))))),0)</f>
        <v>1</v>
      </c>
      <c r="L1039" cm="1">
        <f t="array" ref="L1039">IFERROR(IF(L1029="Chemical",(10^(INDEX(Antoines,MATCH(L1028,Antoine_Name,0),2)-INDEX(Antoines,MATCH(L1028,Antoine_Name,0),3)/(INDEX(Antoines,MATCH(L1028,Antoine_Name,0),4)+(L1036-32)*5/9)))*14.7/760,IF(L1029="Crude Oil",EXP((2799/(L1036+459.6)-2.227)*LOG10(INDEX(FX_Input,Y$5,L$3*$Z$5+$AA$5))-(7261/(L1036+459.6))+12.82),IF(L1029="Refined Petroleum Stock",EXP((0.7553-(413/(L1036+459.6)))*(INDEX(FX_Input,Y$5,L$3*$Z$5+$AA$5-1)^0.5)*LOG10(INDEX(FX_Input,Y$5,L$3*$Z$5+$AA$5))-(1.854-(1042/(L1036+459.6)))*(INDEX(FX_Input,Y$5,L$3*$Z$5+$AA$5-1)^0.5)+((2416/(L1036+459.6)-2.013)*LOG10(INDEX(FX_Input,Y$5,L$3*$Z$5+$AA$5)))-(8742/(L1036+459.6))+15.64),EXP(INDEX(Antoines,MATCH(L1028,Antoine_Name,0),2)-INDEX(Antoines,MATCH(L1028,Antoine_Name,0),3)/(L1036+459.6))))),0)</f>
        <v>1</v>
      </c>
      <c r="M1039" cm="1">
        <f t="array" ref="M1039">IFERROR(IF(M1029="Chemical",(10^(INDEX(Antoines,MATCH(M1028,Antoine_Name,0),2)-INDEX(Antoines,MATCH(M1028,Antoine_Name,0),3)/(INDEX(Antoines,MATCH(M1028,Antoine_Name,0),4)+(M1036-32)*5/9)))*14.7/760,IF(M1029="Crude Oil",EXP((2799/(M1036+459.6)-2.227)*LOG10(INDEX(FX_Input,Z$5,M$3*$Z$5+$AA$5))-(7261/(M1036+459.6))+12.82),IF(M1029="Refined Petroleum Stock",EXP((0.7553-(413/(M1036+459.6)))*(INDEX(FX_Input,Z$5,M$3*$Z$5+$AA$5-1)^0.5)*LOG10(INDEX(FX_Input,Z$5,M$3*$Z$5+$AA$5))-(1.854-(1042/(M1036+459.6)))*(INDEX(FX_Input,Z$5,M$3*$Z$5+$AA$5-1)^0.5)+((2416/(M1036+459.6)-2.013)*LOG10(INDEX(FX_Input,Z$5,M$3*$Z$5+$AA$5)))-(8742/(M1036+459.6))+15.64),EXP(INDEX(Antoines,MATCH(M1028,Antoine_Name,0),2)-INDEX(Antoines,MATCH(M1028,Antoine_Name,0),3)/(M1036+459.6))))),0)</f>
        <v>1</v>
      </c>
      <c r="N1039" cm="1">
        <f t="array" ref="N1039">IFERROR(IF(N1029="Chemical",(10^(INDEX(Antoines,MATCH(N1028,Antoine_Name,0),2)-INDEX(Antoines,MATCH(N1028,Antoine_Name,0),3)/(INDEX(Antoines,MATCH(N1028,Antoine_Name,0),4)+(N1036-32)*5/9)))*14.7/760,IF(N1029="Crude Oil",EXP((2799/(N1036+459.6)-2.227)*LOG10(INDEX(FX_Input,AA$5,N$3*$Z$5+$AA$5))-(7261/(N1036+459.6))+12.82),IF(N1029="Refined Petroleum Stock",EXP((0.7553-(413/(N1036+459.6)))*(INDEX(FX_Input,AA$5,N$3*$Z$5+$AA$5-1)^0.5)*LOG10(INDEX(FX_Input,AA$5,N$3*$Z$5+$AA$5))-(1.854-(1042/(N1036+459.6)))*(INDEX(FX_Input,AA$5,N$3*$Z$5+$AA$5-1)^0.5)+((2416/(N1036+459.6)-2.013)*LOG10(INDEX(FX_Input,AA$5,N$3*$Z$5+$AA$5)))-(8742/(N1036+459.6))+15.64),EXP(INDEX(Antoines,MATCH(N1028,Antoine_Name,0),2)-INDEX(Antoines,MATCH(N1028,Antoine_Name,0),3)/(N1036+459.6))))),0)</f>
        <v>1</v>
      </c>
      <c r="O1039" cm="1">
        <f t="array" ref="O1039">IFERROR(IF(O1029="Chemical",(10^(INDEX(Antoines,MATCH(O1028,Antoine_Name,0),2)-INDEX(Antoines,MATCH(O1028,Antoine_Name,0),3)/(INDEX(Antoines,MATCH(O1028,Antoine_Name,0),4)+(O1036-32)*5/9)))*14.7/760,IF(O1029="Crude Oil",EXP((2799/(O1036+459.6)-2.227)*LOG10(INDEX(FX_Input,AB$5,O$3*$Z$5+$AA$5))-(7261/(O1036+459.6))+12.82),IF(O1029="Refined Petroleum Stock",EXP((0.7553-(413/(O1036+459.6)))*(INDEX(FX_Input,AB$5,O$3*$Z$5+$AA$5-1)^0.5)*LOG10(INDEX(FX_Input,AB$5,O$3*$Z$5+$AA$5))-(1.854-(1042/(O1036+459.6)))*(INDEX(FX_Input,AB$5,O$3*$Z$5+$AA$5-1)^0.5)+((2416/(O1036+459.6)-2.013)*LOG10(INDEX(FX_Input,AB$5,O$3*$Z$5+$AA$5)))-(8742/(O1036+459.6))+15.64),EXP(INDEX(Antoines,MATCH(O1028,Antoine_Name,0),2)-INDEX(Antoines,MATCH(O1028,Antoine_Name,0),3)/(O1036+459.6))))),0)</f>
        <v>1</v>
      </c>
    </row>
    <row r="1040" spans="1:32" ht="17.149999999999999" x14ac:dyDescent="0.55000000000000004">
      <c r="B1040" t="str">
        <f t="shared" si="3732"/>
        <v>Portland</v>
      </c>
      <c r="C1040" t="s">
        <v>576</v>
      </c>
      <c r="D1040">
        <f>D1032*D1039</f>
        <v>1</v>
      </c>
      <c r="E1040">
        <f t="shared" ref="E1040" si="3733">E1032*E1039</f>
        <v>1</v>
      </c>
      <c r="F1040">
        <f t="shared" ref="F1040" si="3734">F1032*F1039</f>
        <v>1</v>
      </c>
      <c r="G1040">
        <f t="shared" ref="G1040" si="3735">G1032*G1039</f>
        <v>1</v>
      </c>
      <c r="H1040">
        <f t="shared" ref="H1040" si="3736">H1032*H1039</f>
        <v>1</v>
      </c>
      <c r="I1040">
        <f t="shared" ref="I1040" si="3737">I1032*I1039</f>
        <v>1</v>
      </c>
      <c r="J1040">
        <f t="shared" ref="J1040" si="3738">J1032*J1039</f>
        <v>1</v>
      </c>
      <c r="K1040">
        <f t="shared" ref="K1040" si="3739">K1032*K1039</f>
        <v>1</v>
      </c>
      <c r="L1040">
        <f t="shared" ref="L1040" si="3740">L1032*L1039</f>
        <v>1</v>
      </c>
      <c r="M1040">
        <f t="shared" ref="M1040" si="3741">M1032*M1039</f>
        <v>1</v>
      </c>
      <c r="N1040">
        <f t="shared" ref="N1040" si="3742">N1032*N1039</f>
        <v>1</v>
      </c>
      <c r="O1040">
        <f t="shared" ref="O1040" si="3743">O1032*O1039</f>
        <v>1</v>
      </c>
    </row>
    <row r="1041" spans="2:15" ht="17.149999999999999" x14ac:dyDescent="0.55000000000000004">
      <c r="B1041" t="str">
        <f t="shared" si="3732"/>
        <v>Portland</v>
      </c>
      <c r="C1041" t="s">
        <v>575</v>
      </c>
      <c r="D1041" cm="1">
        <f t="array" ref="D1041">IFERROR(IF(D1031="Chemical",(10^(INDEX(Antoines,MATCH(D1030,Antoine_Name,0),2)-INDEX(Antoines,MATCH(D1030,Antoine_Name,0),3)/(INDEX(Antoines,MATCH(D1030,Antoine_Name,0),4)+(D1036-32)*5/9)))*14.7/760,IF(D1031="Crude Oil",EXP((2799/(D1036+459.6)-2.227)*LOG10(INDEX(FX_Input,Q$5,D$3*$Z$5+$AA$5))-(7261/(D1036+459.6))+12.82),IF(D1031="Refined Petroleum Stock",EXP((0.7553-(413/(D1036+459.6)))*(INDEX(FX_Input,Q$5,D$3*$Z$5+$AA$5-1)^0.5)*LOG10(INDEX(FX_Input,Q$5,D$3*$Z$5+$AA$5))-(1.854-(1042/(D1036+459.6)))*(INDEX(FX_Input,Q$5,D$3*$Z$5+$AA$5-1)^0.5)+((2416/(D1036+459.6)-2.013)*LOG10(INDEX(FX_Input,Q$5,D$3*$Z$5+$AA$5)))-(8742/(D1036+459.6))+15.64),EXP(INDEX(Antoines,MATCH(D1030,Antoine_Name,0),2)-INDEX(Antoines,MATCH(D1030,Antoine_Name,0),3)/(D1036+459.6))))),0)</f>
        <v>0</v>
      </c>
      <c r="E1041" cm="1">
        <f t="array" ref="E1041">IFERROR(IF(E1031="Chemical",(10^(INDEX(Antoines,MATCH(E1030,Antoine_Name,0),2)-INDEX(Antoines,MATCH(E1030,Antoine_Name,0),3)/(INDEX(Antoines,MATCH(E1030,Antoine_Name,0),4)+(E1036-32)*5/9)))*14.7/760,IF(E1031="Crude Oil",EXP((2799/(E1036+459.6)-2.227)*LOG10(INDEX(FX_Input,R$5,E$3*$Z$5+$AA$5))-(7261/(E1036+459.6))+12.82),IF(E1031="Refined Petroleum Stock",EXP((0.7553-(413/(E1036+459.6)))*(INDEX(FX_Input,R$5,E$3*$Z$5+$AA$5-1)^0.5)*LOG10(INDEX(FX_Input,R$5,E$3*$Z$5+$AA$5))-(1.854-(1042/(E1036+459.6)))*(INDEX(FX_Input,R$5,E$3*$Z$5+$AA$5-1)^0.5)+((2416/(E1036+459.6)-2.013)*LOG10(INDEX(FX_Input,R$5,E$3*$Z$5+$AA$5)))-(8742/(E1036+459.6))+15.64),EXP(INDEX(Antoines,MATCH(E1030,Antoine_Name,0),2)-INDEX(Antoines,MATCH(E1030,Antoine_Name,0),3)/(E1036+459.6))))),0)</f>
        <v>0</v>
      </c>
      <c r="F1041" cm="1">
        <f t="array" ref="F1041">IFERROR(IF(F1031="Chemical",(10^(INDEX(Antoines,MATCH(F1030,Antoine_Name,0),2)-INDEX(Antoines,MATCH(F1030,Antoine_Name,0),3)/(INDEX(Antoines,MATCH(F1030,Antoine_Name,0),4)+(F1036-32)*5/9)))*14.7/760,IF(F1031="Crude Oil",EXP((2799/(F1036+459.6)-2.227)*LOG10(INDEX(FX_Input,S$5,F$3*$Z$5+$AA$5))-(7261/(F1036+459.6))+12.82),IF(F1031="Refined Petroleum Stock",EXP((0.7553-(413/(F1036+459.6)))*(INDEX(FX_Input,S$5,F$3*$Z$5+$AA$5-1)^0.5)*LOG10(INDEX(FX_Input,S$5,F$3*$Z$5+$AA$5))-(1.854-(1042/(F1036+459.6)))*(INDEX(FX_Input,S$5,F$3*$Z$5+$AA$5-1)^0.5)+((2416/(F1036+459.6)-2.013)*LOG10(INDEX(FX_Input,S$5,F$3*$Z$5+$AA$5)))-(8742/(F1036+459.6))+15.64),EXP(INDEX(Antoines,MATCH(F1030,Antoine_Name,0),2)-INDEX(Antoines,MATCH(F1030,Antoine_Name,0),3)/(F1036+459.6))))),0)</f>
        <v>0</v>
      </c>
      <c r="G1041" cm="1">
        <f t="array" ref="G1041">IFERROR(IF(G1031="Chemical",(10^(INDEX(Antoines,MATCH(G1030,Antoine_Name,0),2)-INDEX(Antoines,MATCH(G1030,Antoine_Name,0),3)/(INDEX(Antoines,MATCH(G1030,Antoine_Name,0),4)+(G1036-32)*5/9)))*14.7/760,IF(G1031="Crude Oil",EXP((2799/(G1036+459.6)-2.227)*LOG10(INDEX(FX_Input,T$5,G$3*$Z$5+$AA$5))-(7261/(G1036+459.6))+12.82),IF(G1031="Refined Petroleum Stock",EXP((0.7553-(413/(G1036+459.6)))*(INDEX(FX_Input,T$5,G$3*$Z$5+$AA$5-1)^0.5)*LOG10(INDEX(FX_Input,T$5,G$3*$Z$5+$AA$5))-(1.854-(1042/(G1036+459.6)))*(INDEX(FX_Input,T$5,G$3*$Z$5+$AA$5-1)^0.5)+((2416/(G1036+459.6)-2.013)*LOG10(INDEX(FX_Input,T$5,G$3*$Z$5+$AA$5)))-(8742/(G1036+459.6))+15.64),EXP(INDEX(Antoines,MATCH(G1030,Antoine_Name,0),2)-INDEX(Antoines,MATCH(G1030,Antoine_Name,0),3)/(G1036+459.6))))),0)</f>
        <v>0</v>
      </c>
      <c r="H1041" cm="1">
        <f t="array" ref="H1041">IFERROR(IF(H1031="Chemical",(10^(INDEX(Antoines,MATCH(H1030,Antoine_Name,0),2)-INDEX(Antoines,MATCH(H1030,Antoine_Name,0),3)/(INDEX(Antoines,MATCH(H1030,Antoine_Name,0),4)+(H1036-32)*5/9)))*14.7/760,IF(H1031="Crude Oil",EXP((2799/(H1036+459.6)-2.227)*LOG10(INDEX(FX_Input,U$5,H$3*$Z$5+$AA$5))-(7261/(H1036+459.6))+12.82),IF(H1031="Refined Petroleum Stock",EXP((0.7553-(413/(H1036+459.6)))*(INDEX(FX_Input,U$5,H$3*$Z$5+$AA$5-1)^0.5)*LOG10(INDEX(FX_Input,U$5,H$3*$Z$5+$AA$5))-(1.854-(1042/(H1036+459.6)))*(INDEX(FX_Input,U$5,H$3*$Z$5+$AA$5-1)^0.5)+((2416/(H1036+459.6)-2.013)*LOG10(INDEX(FX_Input,U$5,H$3*$Z$5+$AA$5)))-(8742/(H1036+459.6))+15.64),EXP(INDEX(Antoines,MATCH(H1030,Antoine_Name,0),2)-INDEX(Antoines,MATCH(H1030,Antoine_Name,0),3)/(H1036+459.6))))),0)</f>
        <v>0</v>
      </c>
      <c r="I1041" cm="1">
        <f t="array" ref="I1041">IFERROR(IF(I1031="Chemical",(10^(INDEX(Antoines,MATCH(I1030,Antoine_Name,0),2)-INDEX(Antoines,MATCH(I1030,Antoine_Name,0),3)/(INDEX(Antoines,MATCH(I1030,Antoine_Name,0),4)+(I1036-32)*5/9)))*14.7/760,IF(I1031="Crude Oil",EXP((2799/(I1036+459.6)-2.227)*LOG10(INDEX(FX_Input,V$5,I$3*$Z$5+$AA$5))-(7261/(I1036+459.6))+12.82),IF(I1031="Refined Petroleum Stock",EXP((0.7553-(413/(I1036+459.6)))*(INDEX(FX_Input,V$5,I$3*$Z$5+$AA$5-1)^0.5)*LOG10(INDEX(FX_Input,V$5,I$3*$Z$5+$AA$5))-(1.854-(1042/(I1036+459.6)))*(INDEX(FX_Input,V$5,I$3*$Z$5+$AA$5-1)^0.5)+((2416/(I1036+459.6)-2.013)*LOG10(INDEX(FX_Input,V$5,I$3*$Z$5+$AA$5)))-(8742/(I1036+459.6))+15.64),EXP(INDEX(Antoines,MATCH(I1030,Antoine_Name,0),2)-INDEX(Antoines,MATCH(I1030,Antoine_Name,0),3)/(I1036+459.6))))),0)</f>
        <v>0</v>
      </c>
      <c r="J1041" cm="1">
        <f t="array" ref="J1041">IFERROR(IF(J1031="Chemical",(10^(INDEX(Antoines,MATCH(J1030,Antoine_Name,0),2)-INDEX(Antoines,MATCH(J1030,Antoine_Name,0),3)/(INDEX(Antoines,MATCH(J1030,Antoine_Name,0),4)+(J1036-32)*5/9)))*14.7/760,IF(J1031="Crude Oil",EXP((2799/(J1036+459.6)-2.227)*LOG10(INDEX(FX_Input,W$5,J$3*$Z$5+$AA$5))-(7261/(J1036+459.6))+12.82),IF(J1031="Refined Petroleum Stock",EXP((0.7553-(413/(J1036+459.6)))*(INDEX(FX_Input,W$5,J$3*$Z$5+$AA$5-1)^0.5)*LOG10(INDEX(FX_Input,W$5,J$3*$Z$5+$AA$5))-(1.854-(1042/(J1036+459.6)))*(INDEX(FX_Input,W$5,J$3*$Z$5+$AA$5-1)^0.5)+((2416/(J1036+459.6)-2.013)*LOG10(INDEX(FX_Input,W$5,J$3*$Z$5+$AA$5)))-(8742/(J1036+459.6))+15.64),EXP(INDEX(Antoines,MATCH(J1030,Antoine_Name,0),2)-INDEX(Antoines,MATCH(J1030,Antoine_Name,0),3)/(J1036+459.6))))),0)</f>
        <v>0</v>
      </c>
      <c r="K1041" cm="1">
        <f t="array" ref="K1041">IFERROR(IF(K1031="Chemical",(10^(INDEX(Antoines,MATCH(K1030,Antoine_Name,0),2)-INDEX(Antoines,MATCH(K1030,Antoine_Name,0),3)/(INDEX(Antoines,MATCH(K1030,Antoine_Name,0),4)+(K1036-32)*5/9)))*14.7/760,IF(K1031="Crude Oil",EXP((2799/(K1036+459.6)-2.227)*LOG10(INDEX(FX_Input,X$5,K$3*$Z$5+$AA$5))-(7261/(K1036+459.6))+12.82),IF(K1031="Refined Petroleum Stock",EXP((0.7553-(413/(K1036+459.6)))*(INDEX(FX_Input,X$5,K$3*$Z$5+$AA$5-1)^0.5)*LOG10(INDEX(FX_Input,X$5,K$3*$Z$5+$AA$5))-(1.854-(1042/(K1036+459.6)))*(INDEX(FX_Input,X$5,K$3*$Z$5+$AA$5-1)^0.5)+((2416/(K1036+459.6)-2.013)*LOG10(INDEX(FX_Input,X$5,K$3*$Z$5+$AA$5)))-(8742/(K1036+459.6))+15.64),EXP(INDEX(Antoines,MATCH(K1030,Antoine_Name,0),2)-INDEX(Antoines,MATCH(K1030,Antoine_Name,0),3)/(K1036+459.6))))),0)</f>
        <v>0</v>
      </c>
      <c r="L1041" cm="1">
        <f t="array" ref="L1041">IFERROR(IF(L1031="Chemical",(10^(INDEX(Antoines,MATCH(L1030,Antoine_Name,0),2)-INDEX(Antoines,MATCH(L1030,Antoine_Name,0),3)/(INDEX(Antoines,MATCH(L1030,Antoine_Name,0),4)+(L1036-32)*5/9)))*14.7/760,IF(L1031="Crude Oil",EXP((2799/(L1036+459.6)-2.227)*LOG10(INDEX(FX_Input,Y$5,L$3*$Z$5+$AA$5))-(7261/(L1036+459.6))+12.82),IF(L1031="Refined Petroleum Stock",EXP((0.7553-(413/(L1036+459.6)))*(INDEX(FX_Input,Y$5,L$3*$Z$5+$AA$5-1)^0.5)*LOG10(INDEX(FX_Input,Y$5,L$3*$Z$5+$AA$5))-(1.854-(1042/(L1036+459.6)))*(INDEX(FX_Input,Y$5,L$3*$Z$5+$AA$5-1)^0.5)+((2416/(L1036+459.6)-2.013)*LOG10(INDEX(FX_Input,Y$5,L$3*$Z$5+$AA$5)))-(8742/(L1036+459.6))+15.64),EXP(INDEX(Antoines,MATCH(L1030,Antoine_Name,0),2)-INDEX(Antoines,MATCH(L1030,Antoine_Name,0),3)/(L1036+459.6))))),0)</f>
        <v>0</v>
      </c>
      <c r="M1041" cm="1">
        <f t="array" ref="M1041">IFERROR(IF(M1031="Chemical",(10^(INDEX(Antoines,MATCH(M1030,Antoine_Name,0),2)-INDEX(Antoines,MATCH(M1030,Antoine_Name,0),3)/(INDEX(Antoines,MATCH(M1030,Antoine_Name,0),4)+(M1036-32)*5/9)))*14.7/760,IF(M1031="Crude Oil",EXP((2799/(M1036+459.6)-2.227)*LOG10(INDEX(FX_Input,Z$5,M$3*$Z$5+$AA$5))-(7261/(M1036+459.6))+12.82),IF(M1031="Refined Petroleum Stock",EXP((0.7553-(413/(M1036+459.6)))*(INDEX(FX_Input,Z$5,M$3*$Z$5+$AA$5-1)^0.5)*LOG10(INDEX(FX_Input,Z$5,M$3*$Z$5+$AA$5))-(1.854-(1042/(M1036+459.6)))*(INDEX(FX_Input,Z$5,M$3*$Z$5+$AA$5-1)^0.5)+((2416/(M1036+459.6)-2.013)*LOG10(INDEX(FX_Input,Z$5,M$3*$Z$5+$AA$5)))-(8742/(M1036+459.6))+15.64),EXP(INDEX(Antoines,MATCH(M1030,Antoine_Name,0),2)-INDEX(Antoines,MATCH(M1030,Antoine_Name,0),3)/(M1036+459.6))))),0)</f>
        <v>0</v>
      </c>
      <c r="N1041" cm="1">
        <f t="array" ref="N1041">IFERROR(IF(N1031="Chemical",(10^(INDEX(Antoines,MATCH(N1030,Antoine_Name,0),2)-INDEX(Antoines,MATCH(N1030,Antoine_Name,0),3)/(INDEX(Antoines,MATCH(N1030,Antoine_Name,0),4)+(N1036-32)*5/9)))*14.7/760,IF(N1031="Crude Oil",EXP((2799/(N1036+459.6)-2.227)*LOG10(INDEX(FX_Input,AA$5,N$3*$Z$5+$AA$5))-(7261/(N1036+459.6))+12.82),IF(N1031="Refined Petroleum Stock",EXP((0.7553-(413/(N1036+459.6)))*(INDEX(FX_Input,AA$5,N$3*$Z$5+$AA$5-1)^0.5)*LOG10(INDEX(FX_Input,AA$5,N$3*$Z$5+$AA$5))-(1.854-(1042/(N1036+459.6)))*(INDEX(FX_Input,AA$5,N$3*$Z$5+$AA$5-1)^0.5)+((2416/(N1036+459.6)-2.013)*LOG10(INDEX(FX_Input,AA$5,N$3*$Z$5+$AA$5)))-(8742/(N1036+459.6))+15.64),EXP(INDEX(Antoines,MATCH(N1030,Antoine_Name,0),2)-INDEX(Antoines,MATCH(N1030,Antoine_Name,0),3)/(N1036+459.6))))),0)</f>
        <v>0</v>
      </c>
      <c r="O1041" cm="1">
        <f t="array" ref="O1041">IFERROR(IF(O1031="Chemical",(10^(INDEX(Antoines,MATCH(O1030,Antoine_Name,0),2)-INDEX(Antoines,MATCH(O1030,Antoine_Name,0),3)/(INDEX(Antoines,MATCH(O1030,Antoine_Name,0),4)+(O1036-32)*5/9)))*14.7/760,IF(O1031="Crude Oil",EXP((2799/(O1036+459.6)-2.227)*LOG10(INDEX(FX_Input,AB$5,O$3*$Z$5+$AA$5))-(7261/(O1036+459.6))+12.82),IF(O1031="Refined Petroleum Stock",EXP((0.7553-(413/(O1036+459.6)))*(INDEX(FX_Input,AB$5,O$3*$Z$5+$AA$5-1)^0.5)*LOG10(INDEX(FX_Input,AB$5,O$3*$Z$5+$AA$5))-(1.854-(1042/(O1036+459.6)))*(INDEX(FX_Input,AB$5,O$3*$Z$5+$AA$5-1)^0.5)+((2416/(O1036+459.6)-2.013)*LOG10(INDEX(FX_Input,AB$5,O$3*$Z$5+$AA$5)))-(8742/(O1036+459.6))+15.64),EXP(INDEX(Antoines,MATCH(O1030,Antoine_Name,0),2)-INDEX(Antoines,MATCH(O1030,Antoine_Name,0),3)/(O1036+459.6))))),0)</f>
        <v>0</v>
      </c>
    </row>
    <row r="1042" spans="2:15" ht="17.149999999999999" x14ac:dyDescent="0.55000000000000004">
      <c r="B1042" t="str">
        <f t="shared" si="3732"/>
        <v>Portland</v>
      </c>
      <c r="C1042" t="s">
        <v>577</v>
      </c>
      <c r="D1042">
        <f>D1041*D1034</f>
        <v>0</v>
      </c>
      <c r="E1042">
        <f t="shared" ref="E1042" si="3744">E1041*E1034</f>
        <v>0</v>
      </c>
      <c r="F1042">
        <f t="shared" ref="F1042" si="3745">F1041*F1034</f>
        <v>0</v>
      </c>
      <c r="G1042">
        <f t="shared" ref="G1042" si="3746">G1041*G1034</f>
        <v>0</v>
      </c>
      <c r="H1042">
        <f t="shared" ref="H1042" si="3747">H1041*H1034</f>
        <v>0</v>
      </c>
      <c r="I1042">
        <f t="shared" ref="I1042" si="3748">I1041*I1034</f>
        <v>0</v>
      </c>
      <c r="J1042">
        <f t="shared" ref="J1042" si="3749">J1041*J1034</f>
        <v>0</v>
      </c>
      <c r="K1042">
        <f t="shared" ref="K1042" si="3750">K1041*K1034</f>
        <v>0</v>
      </c>
      <c r="L1042">
        <f t="shared" ref="L1042" si="3751">L1041*L1034</f>
        <v>0</v>
      </c>
      <c r="M1042">
        <f t="shared" ref="M1042" si="3752">M1041*M1034</f>
        <v>0</v>
      </c>
      <c r="N1042">
        <f t="shared" ref="N1042" si="3753">N1041*N1034</f>
        <v>0</v>
      </c>
      <c r="O1042">
        <f t="shared" ref="O1042" si="3754">O1041*O1034</f>
        <v>0</v>
      </c>
    </row>
    <row r="1043" spans="2:15" ht="17.149999999999999" x14ac:dyDescent="0.55000000000000004">
      <c r="B1043" t="str">
        <f t="shared" si="3732"/>
        <v>Portland</v>
      </c>
      <c r="C1043" t="s">
        <v>578</v>
      </c>
      <c r="D1043">
        <f>D1042+D1040</f>
        <v>1</v>
      </c>
      <c r="E1043">
        <f t="shared" ref="E1043" si="3755">E1042+E1040</f>
        <v>1</v>
      </c>
      <c r="F1043">
        <f t="shared" ref="F1043" si="3756">F1042+F1040</f>
        <v>1</v>
      </c>
      <c r="G1043">
        <f t="shared" ref="G1043" si="3757">G1042+G1040</f>
        <v>1</v>
      </c>
      <c r="H1043">
        <f t="shared" ref="H1043" si="3758">H1042+H1040</f>
        <v>1</v>
      </c>
      <c r="I1043">
        <f t="shared" ref="I1043" si="3759">I1042+I1040</f>
        <v>1</v>
      </c>
      <c r="J1043">
        <f t="shared" ref="J1043" si="3760">J1042+J1040</f>
        <v>1</v>
      </c>
      <c r="K1043">
        <f t="shared" ref="K1043" si="3761">K1042+K1040</f>
        <v>1</v>
      </c>
      <c r="L1043">
        <f t="shared" ref="L1043" si="3762">L1042+L1040</f>
        <v>1</v>
      </c>
      <c r="M1043">
        <f t="shared" ref="M1043" si="3763">M1042+M1040</f>
        <v>1</v>
      </c>
      <c r="N1043">
        <f t="shared" ref="N1043" si="3764">N1042+N1040</f>
        <v>1</v>
      </c>
      <c r="O1043">
        <f t="shared" ref="O1043" si="3765">O1042+O1040</f>
        <v>1</v>
      </c>
    </row>
    <row r="1044" spans="2:15" ht="17.149999999999999" x14ac:dyDescent="0.55000000000000004">
      <c r="B1044" t="str">
        <f t="shared" si="3732"/>
        <v>Portland</v>
      </c>
      <c r="C1044" t="s">
        <v>579</v>
      </c>
      <c r="D1044" cm="1">
        <f t="array" ref="D1044">IFERROR(IF(D1029="Chemical",(10^(INDEX(Antoines,MATCH(D1028,Antoine_Name,0),2)-INDEX(Antoines,MATCH(D1028,Antoine_Name,0),3)/(INDEX(Antoines,MATCH(D1028,Antoine_Name,0),4)+(D1037-32)*5/9)))*14.7/760,IF(D1029="Crude Oil",EXP((2799/(D1037+459.6)-2.227)*LOG10(INDEX(FX_Input,Q$5,D$3*$Z$5+$AA$5))-(7261/(D1037+459.6))+12.82),IF(D1029="Refined Petroleum Stock",EXP((0.7553-(413/(D1037+459.6)))*(INDEX(FX_Input,Q$5,D$3*$Z$5+$AA$5-1)^0.5)*LOG10(INDEX(FX_Input,Q$5,D$3*$Z$5+$AA$5))-(1.854-(1042/(D1037+459.6)))*(INDEX(FX_Input,Q$5,D$3*$Z$5+$AA$5-1)^0.5)+((2416/(D1037+459.6)-2.013)*LOG10(INDEX(FX_Input,Q$5,D$3*$Z$5+$AA$5)))-(8742/(D1037+459.6))+15.64),EXP(INDEX(Antoines,MATCH(D1028,Antoine_Name,0),2)-INDEX(Antoines,MATCH(D1028,Antoine_Name,0),3)/(D1037+459.6))))),0)</f>
        <v>1</v>
      </c>
      <c r="E1044" cm="1">
        <f t="array" ref="E1044">IFERROR(IF(E1029="Chemical",(10^(INDEX(Antoines,MATCH(E1028,Antoine_Name,0),2)-INDEX(Antoines,MATCH(E1028,Antoine_Name,0),3)/(INDEX(Antoines,MATCH(E1028,Antoine_Name,0),4)+(E1037-32)*5/9)))*14.7/760,IF(E1029="Crude Oil",EXP((2799/(E1037+459.6)-2.227)*LOG10(INDEX(FX_Input,R$5,E$3*$Z$5+$AA$5))-(7261/(E1037+459.6))+12.82),IF(E1029="Refined Petroleum Stock",EXP((0.7553-(413/(E1037+459.6)))*(INDEX(FX_Input,R$5,E$3*$Z$5+$AA$5-1)^0.5)*LOG10(INDEX(FX_Input,R$5,E$3*$Z$5+$AA$5))-(1.854-(1042/(E1037+459.6)))*(INDEX(FX_Input,R$5,E$3*$Z$5+$AA$5-1)^0.5)+((2416/(E1037+459.6)-2.013)*LOG10(INDEX(FX_Input,R$5,E$3*$Z$5+$AA$5)))-(8742/(E1037+459.6))+15.64),EXP(INDEX(Antoines,MATCH(E1028,Antoine_Name,0),2)-INDEX(Antoines,MATCH(E1028,Antoine_Name,0),3)/(E1037+459.6))))),0)</f>
        <v>1</v>
      </c>
      <c r="F1044" cm="1">
        <f t="array" ref="F1044">IFERROR(IF(F1029="Chemical",(10^(INDEX(Antoines,MATCH(F1028,Antoine_Name,0),2)-INDEX(Antoines,MATCH(F1028,Antoine_Name,0),3)/(INDEX(Antoines,MATCH(F1028,Antoine_Name,0),4)+(F1037-32)*5/9)))*14.7/760,IF(F1029="Crude Oil",EXP((2799/(F1037+459.6)-2.227)*LOG10(INDEX(FX_Input,S$5,F$3*$Z$5+$AA$5))-(7261/(F1037+459.6))+12.82),IF(F1029="Refined Petroleum Stock",EXP((0.7553-(413/(F1037+459.6)))*(INDEX(FX_Input,S$5,F$3*$Z$5+$AA$5-1)^0.5)*LOG10(INDEX(FX_Input,S$5,F$3*$Z$5+$AA$5))-(1.854-(1042/(F1037+459.6)))*(INDEX(FX_Input,S$5,F$3*$Z$5+$AA$5-1)^0.5)+((2416/(F1037+459.6)-2.013)*LOG10(INDEX(FX_Input,S$5,F$3*$Z$5+$AA$5)))-(8742/(F1037+459.6))+15.64),EXP(INDEX(Antoines,MATCH(F1028,Antoine_Name,0),2)-INDEX(Antoines,MATCH(F1028,Antoine_Name,0),3)/(F1037+459.6))))),0)</f>
        <v>1</v>
      </c>
      <c r="G1044" cm="1">
        <f t="array" ref="G1044">IFERROR(IF(G1029="Chemical",(10^(INDEX(Antoines,MATCH(G1028,Antoine_Name,0),2)-INDEX(Antoines,MATCH(G1028,Antoine_Name,0),3)/(INDEX(Antoines,MATCH(G1028,Antoine_Name,0),4)+(G1037-32)*5/9)))*14.7/760,IF(G1029="Crude Oil",EXP((2799/(G1037+459.6)-2.227)*LOG10(INDEX(FX_Input,T$5,G$3*$Z$5+$AA$5))-(7261/(G1037+459.6))+12.82),IF(G1029="Refined Petroleum Stock",EXP((0.7553-(413/(G1037+459.6)))*(INDEX(FX_Input,T$5,G$3*$Z$5+$AA$5-1)^0.5)*LOG10(INDEX(FX_Input,T$5,G$3*$Z$5+$AA$5))-(1.854-(1042/(G1037+459.6)))*(INDEX(FX_Input,T$5,G$3*$Z$5+$AA$5-1)^0.5)+((2416/(G1037+459.6)-2.013)*LOG10(INDEX(FX_Input,T$5,G$3*$Z$5+$AA$5)))-(8742/(G1037+459.6))+15.64),EXP(INDEX(Antoines,MATCH(G1028,Antoine_Name,0),2)-INDEX(Antoines,MATCH(G1028,Antoine_Name,0),3)/(G1037+459.6))))),0)</f>
        <v>1</v>
      </c>
      <c r="H1044" cm="1">
        <f t="array" ref="H1044">IFERROR(IF(H1029="Chemical",(10^(INDEX(Antoines,MATCH(H1028,Antoine_Name,0),2)-INDEX(Antoines,MATCH(H1028,Antoine_Name,0),3)/(INDEX(Antoines,MATCH(H1028,Antoine_Name,0),4)+(H1037-32)*5/9)))*14.7/760,IF(H1029="Crude Oil",EXP((2799/(H1037+459.6)-2.227)*LOG10(INDEX(FX_Input,U$5,H$3*$Z$5+$AA$5))-(7261/(H1037+459.6))+12.82),IF(H1029="Refined Petroleum Stock",EXP((0.7553-(413/(H1037+459.6)))*(INDEX(FX_Input,U$5,H$3*$Z$5+$AA$5-1)^0.5)*LOG10(INDEX(FX_Input,U$5,H$3*$Z$5+$AA$5))-(1.854-(1042/(H1037+459.6)))*(INDEX(FX_Input,U$5,H$3*$Z$5+$AA$5-1)^0.5)+((2416/(H1037+459.6)-2.013)*LOG10(INDEX(FX_Input,U$5,H$3*$Z$5+$AA$5)))-(8742/(H1037+459.6))+15.64),EXP(INDEX(Antoines,MATCH(H1028,Antoine_Name,0),2)-INDEX(Antoines,MATCH(H1028,Antoine_Name,0),3)/(H1037+459.6))))),0)</f>
        <v>1</v>
      </c>
      <c r="I1044" cm="1">
        <f t="array" ref="I1044">IFERROR(IF(I1029="Chemical",(10^(INDEX(Antoines,MATCH(I1028,Antoine_Name,0),2)-INDEX(Antoines,MATCH(I1028,Antoine_Name,0),3)/(INDEX(Antoines,MATCH(I1028,Antoine_Name,0),4)+(I1037-32)*5/9)))*14.7/760,IF(I1029="Crude Oil",EXP((2799/(I1037+459.6)-2.227)*LOG10(INDEX(FX_Input,V$5,I$3*$Z$5+$AA$5))-(7261/(I1037+459.6))+12.82),IF(I1029="Refined Petroleum Stock",EXP((0.7553-(413/(I1037+459.6)))*(INDEX(FX_Input,V$5,I$3*$Z$5+$AA$5-1)^0.5)*LOG10(INDEX(FX_Input,V$5,I$3*$Z$5+$AA$5))-(1.854-(1042/(I1037+459.6)))*(INDEX(FX_Input,V$5,I$3*$Z$5+$AA$5-1)^0.5)+((2416/(I1037+459.6)-2.013)*LOG10(INDEX(FX_Input,V$5,I$3*$Z$5+$AA$5)))-(8742/(I1037+459.6))+15.64),EXP(INDEX(Antoines,MATCH(I1028,Antoine_Name,0),2)-INDEX(Antoines,MATCH(I1028,Antoine_Name,0),3)/(I1037+459.6))))),0)</f>
        <v>1</v>
      </c>
      <c r="J1044" cm="1">
        <f t="array" ref="J1044">IFERROR(IF(J1029="Chemical",(10^(INDEX(Antoines,MATCH(J1028,Antoine_Name,0),2)-INDEX(Antoines,MATCH(J1028,Antoine_Name,0),3)/(INDEX(Antoines,MATCH(J1028,Antoine_Name,0),4)+(J1037-32)*5/9)))*14.7/760,IF(J1029="Crude Oil",EXP((2799/(J1037+459.6)-2.227)*LOG10(INDEX(FX_Input,W$5,J$3*$Z$5+$AA$5))-(7261/(J1037+459.6))+12.82),IF(J1029="Refined Petroleum Stock",EXP((0.7553-(413/(J1037+459.6)))*(INDEX(FX_Input,W$5,J$3*$Z$5+$AA$5-1)^0.5)*LOG10(INDEX(FX_Input,W$5,J$3*$Z$5+$AA$5))-(1.854-(1042/(J1037+459.6)))*(INDEX(FX_Input,W$5,J$3*$Z$5+$AA$5-1)^0.5)+((2416/(J1037+459.6)-2.013)*LOG10(INDEX(FX_Input,W$5,J$3*$Z$5+$AA$5)))-(8742/(J1037+459.6))+15.64),EXP(INDEX(Antoines,MATCH(J1028,Antoine_Name,0),2)-INDEX(Antoines,MATCH(J1028,Antoine_Name,0),3)/(J1037+459.6))))),0)</f>
        <v>1</v>
      </c>
      <c r="K1044" cm="1">
        <f t="array" ref="K1044">IFERROR(IF(K1029="Chemical",(10^(INDEX(Antoines,MATCH(K1028,Antoine_Name,0),2)-INDEX(Antoines,MATCH(K1028,Antoine_Name,0),3)/(INDEX(Antoines,MATCH(K1028,Antoine_Name,0),4)+(K1037-32)*5/9)))*14.7/760,IF(K1029="Crude Oil",EXP((2799/(K1037+459.6)-2.227)*LOG10(INDEX(FX_Input,X$5,K$3*$Z$5+$AA$5))-(7261/(K1037+459.6))+12.82),IF(K1029="Refined Petroleum Stock",EXP((0.7553-(413/(K1037+459.6)))*(INDEX(FX_Input,X$5,K$3*$Z$5+$AA$5-1)^0.5)*LOG10(INDEX(FX_Input,X$5,K$3*$Z$5+$AA$5))-(1.854-(1042/(K1037+459.6)))*(INDEX(FX_Input,X$5,K$3*$Z$5+$AA$5-1)^0.5)+((2416/(K1037+459.6)-2.013)*LOG10(INDEX(FX_Input,X$5,K$3*$Z$5+$AA$5)))-(8742/(K1037+459.6))+15.64),EXP(INDEX(Antoines,MATCH(K1028,Antoine_Name,0),2)-INDEX(Antoines,MATCH(K1028,Antoine_Name,0),3)/(K1037+459.6))))),0)</f>
        <v>1</v>
      </c>
      <c r="L1044" cm="1">
        <f t="array" ref="L1044">IFERROR(IF(L1029="Chemical",(10^(INDEX(Antoines,MATCH(L1028,Antoine_Name,0),2)-INDEX(Antoines,MATCH(L1028,Antoine_Name,0),3)/(INDEX(Antoines,MATCH(L1028,Antoine_Name,0),4)+(L1037-32)*5/9)))*14.7/760,IF(L1029="Crude Oil",EXP((2799/(L1037+459.6)-2.227)*LOG10(INDEX(FX_Input,Y$5,L$3*$Z$5+$AA$5))-(7261/(L1037+459.6))+12.82),IF(L1029="Refined Petroleum Stock",EXP((0.7553-(413/(L1037+459.6)))*(INDEX(FX_Input,Y$5,L$3*$Z$5+$AA$5-1)^0.5)*LOG10(INDEX(FX_Input,Y$5,L$3*$Z$5+$AA$5))-(1.854-(1042/(L1037+459.6)))*(INDEX(FX_Input,Y$5,L$3*$Z$5+$AA$5-1)^0.5)+((2416/(L1037+459.6)-2.013)*LOG10(INDEX(FX_Input,Y$5,L$3*$Z$5+$AA$5)))-(8742/(L1037+459.6))+15.64),EXP(INDEX(Antoines,MATCH(L1028,Antoine_Name,0),2)-INDEX(Antoines,MATCH(L1028,Antoine_Name,0),3)/(L1037+459.6))))),0)</f>
        <v>1</v>
      </c>
      <c r="M1044" cm="1">
        <f t="array" ref="M1044">IFERROR(IF(M1029="Chemical",(10^(INDEX(Antoines,MATCH(M1028,Antoine_Name,0),2)-INDEX(Antoines,MATCH(M1028,Antoine_Name,0),3)/(INDEX(Antoines,MATCH(M1028,Antoine_Name,0),4)+(M1037-32)*5/9)))*14.7/760,IF(M1029="Crude Oil",EXP((2799/(M1037+459.6)-2.227)*LOG10(INDEX(FX_Input,Z$5,M$3*$Z$5+$AA$5))-(7261/(M1037+459.6))+12.82),IF(M1029="Refined Petroleum Stock",EXP((0.7553-(413/(M1037+459.6)))*(INDEX(FX_Input,Z$5,M$3*$Z$5+$AA$5-1)^0.5)*LOG10(INDEX(FX_Input,Z$5,M$3*$Z$5+$AA$5))-(1.854-(1042/(M1037+459.6)))*(INDEX(FX_Input,Z$5,M$3*$Z$5+$AA$5-1)^0.5)+((2416/(M1037+459.6)-2.013)*LOG10(INDEX(FX_Input,Z$5,M$3*$Z$5+$AA$5)))-(8742/(M1037+459.6))+15.64),EXP(INDEX(Antoines,MATCH(M1028,Antoine_Name,0),2)-INDEX(Antoines,MATCH(M1028,Antoine_Name,0),3)/(M1037+459.6))))),0)</f>
        <v>1</v>
      </c>
      <c r="N1044" cm="1">
        <f t="array" ref="N1044">IFERROR(IF(N1029="Chemical",(10^(INDEX(Antoines,MATCH(N1028,Antoine_Name,0),2)-INDEX(Antoines,MATCH(N1028,Antoine_Name,0),3)/(INDEX(Antoines,MATCH(N1028,Antoine_Name,0),4)+(N1037-32)*5/9)))*14.7/760,IF(N1029="Crude Oil",EXP((2799/(N1037+459.6)-2.227)*LOG10(INDEX(FX_Input,AA$5,N$3*$Z$5+$AA$5))-(7261/(N1037+459.6))+12.82),IF(N1029="Refined Petroleum Stock",EXP((0.7553-(413/(N1037+459.6)))*(INDEX(FX_Input,AA$5,N$3*$Z$5+$AA$5-1)^0.5)*LOG10(INDEX(FX_Input,AA$5,N$3*$Z$5+$AA$5))-(1.854-(1042/(N1037+459.6)))*(INDEX(FX_Input,AA$5,N$3*$Z$5+$AA$5-1)^0.5)+((2416/(N1037+459.6)-2.013)*LOG10(INDEX(FX_Input,AA$5,N$3*$Z$5+$AA$5)))-(8742/(N1037+459.6))+15.64),EXP(INDEX(Antoines,MATCH(N1028,Antoine_Name,0),2)-INDEX(Antoines,MATCH(N1028,Antoine_Name,0),3)/(N1037+459.6))))),0)</f>
        <v>1</v>
      </c>
      <c r="O1044" cm="1">
        <f t="array" ref="O1044">IFERROR(IF(O1029="Chemical",(10^(INDEX(Antoines,MATCH(O1028,Antoine_Name,0),2)-INDEX(Antoines,MATCH(O1028,Antoine_Name,0),3)/(INDEX(Antoines,MATCH(O1028,Antoine_Name,0),4)+(O1037-32)*5/9)))*14.7/760,IF(O1029="Crude Oil",EXP((2799/(O1037+459.6)-2.227)*LOG10(INDEX(FX_Input,AB$5,O$3*$Z$5+$AA$5))-(7261/(O1037+459.6))+12.82),IF(O1029="Refined Petroleum Stock",EXP((0.7553-(413/(O1037+459.6)))*(INDEX(FX_Input,AB$5,O$3*$Z$5+$AA$5-1)^0.5)*LOG10(INDEX(FX_Input,AB$5,O$3*$Z$5+$AA$5))-(1.854-(1042/(O1037+459.6)))*(INDEX(FX_Input,AB$5,O$3*$Z$5+$AA$5-1)^0.5)+((2416/(O1037+459.6)-2.013)*LOG10(INDEX(FX_Input,AB$5,O$3*$Z$5+$AA$5)))-(8742/(O1037+459.6))+15.64),EXP(INDEX(Antoines,MATCH(O1028,Antoine_Name,0),2)-INDEX(Antoines,MATCH(O1028,Antoine_Name,0),3)/(O1037+459.6))))),0)</f>
        <v>1</v>
      </c>
    </row>
    <row r="1045" spans="2:15" ht="17.149999999999999" x14ac:dyDescent="0.55000000000000004">
      <c r="B1045" t="str">
        <f t="shared" si="3732"/>
        <v>Portland</v>
      </c>
      <c r="C1045" t="s">
        <v>580</v>
      </c>
      <c r="D1045">
        <f>D1044*D1032</f>
        <v>1</v>
      </c>
      <c r="E1045">
        <f t="shared" ref="E1045" si="3766">E1044*E1032</f>
        <v>1</v>
      </c>
      <c r="F1045">
        <f t="shared" ref="F1045" si="3767">F1044*F1032</f>
        <v>1</v>
      </c>
      <c r="G1045">
        <f t="shared" ref="G1045" si="3768">G1044*G1032</f>
        <v>1</v>
      </c>
      <c r="H1045">
        <f t="shared" ref="H1045" si="3769">H1044*H1032</f>
        <v>1</v>
      </c>
      <c r="I1045">
        <f t="shared" ref="I1045" si="3770">I1044*I1032</f>
        <v>1</v>
      </c>
      <c r="J1045">
        <f t="shared" ref="J1045" si="3771">J1044*J1032</f>
        <v>1</v>
      </c>
      <c r="K1045">
        <f t="shared" ref="K1045" si="3772">K1044*K1032</f>
        <v>1</v>
      </c>
      <c r="L1045">
        <f t="shared" ref="L1045" si="3773">L1044*L1032</f>
        <v>1</v>
      </c>
      <c r="M1045">
        <f t="shared" ref="M1045" si="3774">M1044*M1032</f>
        <v>1</v>
      </c>
      <c r="N1045">
        <f t="shared" ref="N1045" si="3775">N1044*N1032</f>
        <v>1</v>
      </c>
      <c r="O1045">
        <f t="shared" ref="O1045" si="3776">O1044*O1032</f>
        <v>1</v>
      </c>
    </row>
    <row r="1046" spans="2:15" ht="17.149999999999999" x14ac:dyDescent="0.55000000000000004">
      <c r="B1046" t="str">
        <f t="shared" si="3732"/>
        <v>Portland</v>
      </c>
      <c r="C1046" t="s">
        <v>581</v>
      </c>
      <c r="D1046" cm="1">
        <f t="array" ref="D1046">IFERROR(IF(D1031="Chemical",(10^(INDEX(Antoines,MATCH(D1030,Antoine_Name,0),2)-INDEX(Antoines,MATCH(D1030,Antoine_Name,0),3)/(INDEX(Antoines,MATCH(D1030,Antoine_Name,0),4)+(D1037-32)*5/9)))*14.7/760,IF(D1031="Crude Oil",EXP((2799/(D1037+459.6)-2.227)*LOG10(INDEX(FX_Input,Q$5,D$3*$Z$5+$AA$5))-(7261/(D1037+459.6))+12.82),IF(D1031="Refined Petroleum Stock",EXP((0.7553-(413/(D1037+459.6)))*(INDEX(FX_Input,Q$5,D$3*$Z$5+$AA$5-1)^0.5)*LOG10(INDEX(FX_Input,Q$5,D$3*$Z$5+$AA$5))-(1.854-(1042/(D1037+459.6)))*(INDEX(FX_Input,Q$5,D$3*$Z$5+$AA$5-1)^0.5)+((2416/(D1037+459.6)-2.013)*LOG10(INDEX(FX_Input,Q$5,D$3*$Z$5+$AA$5)))-(8742/(D1037+459.6))+15.64),EXP(INDEX(Antoines,MATCH(D1030,Antoine_Name,0),2)-INDEX(Antoines,MATCH(D1030,Antoine_Name,0),3)/(D1037+459.6))))),0)</f>
        <v>0</v>
      </c>
      <c r="E1046" cm="1">
        <f t="array" ref="E1046">IFERROR(IF(E1031="Chemical",(10^(INDEX(Antoines,MATCH(E1030,Antoine_Name,0),2)-INDEX(Antoines,MATCH(E1030,Antoine_Name,0),3)/(INDEX(Antoines,MATCH(E1030,Antoine_Name,0),4)+(E1037-32)*5/9)))*14.7/760,IF(E1031="Crude Oil",EXP((2799/(E1037+459.6)-2.227)*LOG10(INDEX(FX_Input,R$5,E$3*$Z$5+$AA$5))-(7261/(E1037+459.6))+12.82),IF(E1031="Refined Petroleum Stock",EXP((0.7553-(413/(E1037+459.6)))*(INDEX(FX_Input,R$5,E$3*$Z$5+$AA$5-1)^0.5)*LOG10(INDEX(FX_Input,R$5,E$3*$Z$5+$AA$5))-(1.854-(1042/(E1037+459.6)))*(INDEX(FX_Input,R$5,E$3*$Z$5+$AA$5-1)^0.5)+((2416/(E1037+459.6)-2.013)*LOG10(INDEX(FX_Input,R$5,E$3*$Z$5+$AA$5)))-(8742/(E1037+459.6))+15.64),EXP(INDEX(Antoines,MATCH(E1030,Antoine_Name,0),2)-INDEX(Antoines,MATCH(E1030,Antoine_Name,0),3)/(E1037+459.6))))),0)</f>
        <v>0</v>
      </c>
      <c r="F1046" cm="1">
        <f t="array" ref="F1046">IFERROR(IF(F1031="Chemical",(10^(INDEX(Antoines,MATCH(F1030,Antoine_Name,0),2)-INDEX(Antoines,MATCH(F1030,Antoine_Name,0),3)/(INDEX(Antoines,MATCH(F1030,Antoine_Name,0),4)+(F1037-32)*5/9)))*14.7/760,IF(F1031="Crude Oil",EXP((2799/(F1037+459.6)-2.227)*LOG10(INDEX(FX_Input,S$5,F$3*$Z$5+$AA$5))-(7261/(F1037+459.6))+12.82),IF(F1031="Refined Petroleum Stock",EXP((0.7553-(413/(F1037+459.6)))*(INDEX(FX_Input,S$5,F$3*$Z$5+$AA$5-1)^0.5)*LOG10(INDEX(FX_Input,S$5,F$3*$Z$5+$AA$5))-(1.854-(1042/(F1037+459.6)))*(INDEX(FX_Input,S$5,F$3*$Z$5+$AA$5-1)^0.5)+((2416/(F1037+459.6)-2.013)*LOG10(INDEX(FX_Input,S$5,F$3*$Z$5+$AA$5)))-(8742/(F1037+459.6))+15.64),EXP(INDEX(Antoines,MATCH(F1030,Antoine_Name,0),2)-INDEX(Antoines,MATCH(F1030,Antoine_Name,0),3)/(F1037+459.6))))),0)</f>
        <v>0</v>
      </c>
      <c r="G1046" cm="1">
        <f t="array" ref="G1046">IFERROR(IF(G1031="Chemical",(10^(INDEX(Antoines,MATCH(G1030,Antoine_Name,0),2)-INDEX(Antoines,MATCH(G1030,Antoine_Name,0),3)/(INDEX(Antoines,MATCH(G1030,Antoine_Name,0),4)+(G1037-32)*5/9)))*14.7/760,IF(G1031="Crude Oil",EXP((2799/(G1037+459.6)-2.227)*LOG10(INDEX(FX_Input,T$5,G$3*$Z$5+$AA$5))-(7261/(G1037+459.6))+12.82),IF(G1031="Refined Petroleum Stock",EXP((0.7553-(413/(G1037+459.6)))*(INDEX(FX_Input,T$5,G$3*$Z$5+$AA$5-1)^0.5)*LOG10(INDEX(FX_Input,T$5,G$3*$Z$5+$AA$5))-(1.854-(1042/(G1037+459.6)))*(INDEX(FX_Input,T$5,G$3*$Z$5+$AA$5-1)^0.5)+((2416/(G1037+459.6)-2.013)*LOG10(INDEX(FX_Input,T$5,G$3*$Z$5+$AA$5)))-(8742/(G1037+459.6))+15.64),EXP(INDEX(Antoines,MATCH(G1030,Antoine_Name,0),2)-INDEX(Antoines,MATCH(G1030,Antoine_Name,0),3)/(G1037+459.6))))),0)</f>
        <v>0</v>
      </c>
      <c r="H1046" cm="1">
        <f t="array" ref="H1046">IFERROR(IF(H1031="Chemical",(10^(INDEX(Antoines,MATCH(H1030,Antoine_Name,0),2)-INDEX(Antoines,MATCH(H1030,Antoine_Name,0),3)/(INDEX(Antoines,MATCH(H1030,Antoine_Name,0),4)+(H1037-32)*5/9)))*14.7/760,IF(H1031="Crude Oil",EXP((2799/(H1037+459.6)-2.227)*LOG10(INDEX(FX_Input,U$5,H$3*$Z$5+$AA$5))-(7261/(H1037+459.6))+12.82),IF(H1031="Refined Petroleum Stock",EXP((0.7553-(413/(H1037+459.6)))*(INDEX(FX_Input,U$5,H$3*$Z$5+$AA$5-1)^0.5)*LOG10(INDEX(FX_Input,U$5,H$3*$Z$5+$AA$5))-(1.854-(1042/(H1037+459.6)))*(INDEX(FX_Input,U$5,H$3*$Z$5+$AA$5-1)^0.5)+((2416/(H1037+459.6)-2.013)*LOG10(INDEX(FX_Input,U$5,H$3*$Z$5+$AA$5)))-(8742/(H1037+459.6))+15.64),EXP(INDEX(Antoines,MATCH(H1030,Antoine_Name,0),2)-INDEX(Antoines,MATCH(H1030,Antoine_Name,0),3)/(H1037+459.6))))),0)</f>
        <v>0</v>
      </c>
      <c r="I1046" cm="1">
        <f t="array" ref="I1046">IFERROR(IF(I1031="Chemical",(10^(INDEX(Antoines,MATCH(I1030,Antoine_Name,0),2)-INDEX(Antoines,MATCH(I1030,Antoine_Name,0),3)/(INDEX(Antoines,MATCH(I1030,Antoine_Name,0),4)+(I1037-32)*5/9)))*14.7/760,IF(I1031="Crude Oil",EXP((2799/(I1037+459.6)-2.227)*LOG10(INDEX(FX_Input,V$5,I$3*$Z$5+$AA$5))-(7261/(I1037+459.6))+12.82),IF(I1031="Refined Petroleum Stock",EXP((0.7553-(413/(I1037+459.6)))*(INDEX(FX_Input,V$5,I$3*$Z$5+$AA$5-1)^0.5)*LOG10(INDEX(FX_Input,V$5,I$3*$Z$5+$AA$5))-(1.854-(1042/(I1037+459.6)))*(INDEX(FX_Input,V$5,I$3*$Z$5+$AA$5-1)^0.5)+((2416/(I1037+459.6)-2.013)*LOG10(INDEX(FX_Input,V$5,I$3*$Z$5+$AA$5)))-(8742/(I1037+459.6))+15.64),EXP(INDEX(Antoines,MATCH(I1030,Antoine_Name,0),2)-INDEX(Antoines,MATCH(I1030,Antoine_Name,0),3)/(I1037+459.6))))),0)</f>
        <v>0</v>
      </c>
      <c r="J1046" cm="1">
        <f t="array" ref="J1046">IFERROR(IF(J1031="Chemical",(10^(INDEX(Antoines,MATCH(J1030,Antoine_Name,0),2)-INDEX(Antoines,MATCH(J1030,Antoine_Name,0),3)/(INDEX(Antoines,MATCH(J1030,Antoine_Name,0),4)+(J1037-32)*5/9)))*14.7/760,IF(J1031="Crude Oil",EXP((2799/(J1037+459.6)-2.227)*LOG10(INDEX(FX_Input,W$5,J$3*$Z$5+$AA$5))-(7261/(J1037+459.6))+12.82),IF(J1031="Refined Petroleum Stock",EXP((0.7553-(413/(J1037+459.6)))*(INDEX(FX_Input,W$5,J$3*$Z$5+$AA$5-1)^0.5)*LOG10(INDEX(FX_Input,W$5,J$3*$Z$5+$AA$5))-(1.854-(1042/(J1037+459.6)))*(INDEX(FX_Input,W$5,J$3*$Z$5+$AA$5-1)^0.5)+((2416/(J1037+459.6)-2.013)*LOG10(INDEX(FX_Input,W$5,J$3*$Z$5+$AA$5)))-(8742/(J1037+459.6))+15.64),EXP(INDEX(Antoines,MATCH(J1030,Antoine_Name,0),2)-INDEX(Antoines,MATCH(J1030,Antoine_Name,0),3)/(J1037+459.6))))),0)</f>
        <v>0</v>
      </c>
      <c r="K1046" cm="1">
        <f t="array" ref="K1046">IFERROR(IF(K1031="Chemical",(10^(INDEX(Antoines,MATCH(K1030,Antoine_Name,0),2)-INDEX(Antoines,MATCH(K1030,Antoine_Name,0),3)/(INDEX(Antoines,MATCH(K1030,Antoine_Name,0),4)+(K1037-32)*5/9)))*14.7/760,IF(K1031="Crude Oil",EXP((2799/(K1037+459.6)-2.227)*LOG10(INDEX(FX_Input,X$5,K$3*$Z$5+$AA$5))-(7261/(K1037+459.6))+12.82),IF(K1031="Refined Petroleum Stock",EXP((0.7553-(413/(K1037+459.6)))*(INDEX(FX_Input,X$5,K$3*$Z$5+$AA$5-1)^0.5)*LOG10(INDEX(FX_Input,X$5,K$3*$Z$5+$AA$5))-(1.854-(1042/(K1037+459.6)))*(INDEX(FX_Input,X$5,K$3*$Z$5+$AA$5-1)^0.5)+((2416/(K1037+459.6)-2.013)*LOG10(INDEX(FX_Input,X$5,K$3*$Z$5+$AA$5)))-(8742/(K1037+459.6))+15.64),EXP(INDEX(Antoines,MATCH(K1030,Antoine_Name,0),2)-INDEX(Antoines,MATCH(K1030,Antoine_Name,0),3)/(K1037+459.6))))),0)</f>
        <v>0</v>
      </c>
      <c r="L1046" cm="1">
        <f t="array" ref="L1046">IFERROR(IF(L1031="Chemical",(10^(INDEX(Antoines,MATCH(L1030,Antoine_Name,0),2)-INDEX(Antoines,MATCH(L1030,Antoine_Name,0),3)/(INDEX(Antoines,MATCH(L1030,Antoine_Name,0),4)+(L1037-32)*5/9)))*14.7/760,IF(L1031="Crude Oil",EXP((2799/(L1037+459.6)-2.227)*LOG10(INDEX(FX_Input,Y$5,L$3*$Z$5+$AA$5))-(7261/(L1037+459.6))+12.82),IF(L1031="Refined Petroleum Stock",EXP((0.7553-(413/(L1037+459.6)))*(INDEX(FX_Input,Y$5,L$3*$Z$5+$AA$5-1)^0.5)*LOG10(INDEX(FX_Input,Y$5,L$3*$Z$5+$AA$5))-(1.854-(1042/(L1037+459.6)))*(INDEX(FX_Input,Y$5,L$3*$Z$5+$AA$5-1)^0.5)+((2416/(L1037+459.6)-2.013)*LOG10(INDEX(FX_Input,Y$5,L$3*$Z$5+$AA$5)))-(8742/(L1037+459.6))+15.64),EXP(INDEX(Antoines,MATCH(L1030,Antoine_Name,0),2)-INDEX(Antoines,MATCH(L1030,Antoine_Name,0),3)/(L1037+459.6))))),0)</f>
        <v>0</v>
      </c>
      <c r="M1046" cm="1">
        <f t="array" ref="M1046">IFERROR(IF(M1031="Chemical",(10^(INDEX(Antoines,MATCH(M1030,Antoine_Name,0),2)-INDEX(Antoines,MATCH(M1030,Antoine_Name,0),3)/(INDEX(Antoines,MATCH(M1030,Antoine_Name,0),4)+(M1037-32)*5/9)))*14.7/760,IF(M1031="Crude Oil",EXP((2799/(M1037+459.6)-2.227)*LOG10(INDEX(FX_Input,Z$5,M$3*$Z$5+$AA$5))-(7261/(M1037+459.6))+12.82),IF(M1031="Refined Petroleum Stock",EXP((0.7553-(413/(M1037+459.6)))*(INDEX(FX_Input,Z$5,M$3*$Z$5+$AA$5-1)^0.5)*LOG10(INDEX(FX_Input,Z$5,M$3*$Z$5+$AA$5))-(1.854-(1042/(M1037+459.6)))*(INDEX(FX_Input,Z$5,M$3*$Z$5+$AA$5-1)^0.5)+((2416/(M1037+459.6)-2.013)*LOG10(INDEX(FX_Input,Z$5,M$3*$Z$5+$AA$5)))-(8742/(M1037+459.6))+15.64),EXP(INDEX(Antoines,MATCH(M1030,Antoine_Name,0),2)-INDEX(Antoines,MATCH(M1030,Antoine_Name,0),3)/(M1037+459.6))))),0)</f>
        <v>0</v>
      </c>
      <c r="N1046" cm="1">
        <f t="array" ref="N1046">IFERROR(IF(N1031="Chemical",(10^(INDEX(Antoines,MATCH(N1030,Antoine_Name,0),2)-INDEX(Antoines,MATCH(N1030,Antoine_Name,0),3)/(INDEX(Antoines,MATCH(N1030,Antoine_Name,0),4)+(N1037-32)*5/9)))*14.7/760,IF(N1031="Crude Oil",EXP((2799/(N1037+459.6)-2.227)*LOG10(INDEX(FX_Input,AA$5,N$3*$Z$5+$AA$5))-(7261/(N1037+459.6))+12.82),IF(N1031="Refined Petroleum Stock",EXP((0.7553-(413/(N1037+459.6)))*(INDEX(FX_Input,AA$5,N$3*$Z$5+$AA$5-1)^0.5)*LOG10(INDEX(FX_Input,AA$5,N$3*$Z$5+$AA$5))-(1.854-(1042/(N1037+459.6)))*(INDEX(FX_Input,AA$5,N$3*$Z$5+$AA$5-1)^0.5)+((2416/(N1037+459.6)-2.013)*LOG10(INDEX(FX_Input,AA$5,N$3*$Z$5+$AA$5)))-(8742/(N1037+459.6))+15.64),EXP(INDEX(Antoines,MATCH(N1030,Antoine_Name,0),2)-INDEX(Antoines,MATCH(N1030,Antoine_Name,0),3)/(N1037+459.6))))),0)</f>
        <v>0</v>
      </c>
      <c r="O1046" cm="1">
        <f t="array" ref="O1046">IFERROR(IF(O1031="Chemical",(10^(INDEX(Antoines,MATCH(O1030,Antoine_Name,0),2)-INDEX(Antoines,MATCH(O1030,Antoine_Name,0),3)/(INDEX(Antoines,MATCH(O1030,Antoine_Name,0),4)+(O1037-32)*5/9)))*14.7/760,IF(O1031="Crude Oil",EXP((2799/(O1037+459.6)-2.227)*LOG10(INDEX(FX_Input,AB$5,O$3*$Z$5+$AA$5))-(7261/(O1037+459.6))+12.82),IF(O1031="Refined Petroleum Stock",EXP((0.7553-(413/(O1037+459.6)))*(INDEX(FX_Input,AB$5,O$3*$Z$5+$AA$5-1)^0.5)*LOG10(INDEX(FX_Input,AB$5,O$3*$Z$5+$AA$5))-(1.854-(1042/(O1037+459.6)))*(INDEX(FX_Input,AB$5,O$3*$Z$5+$AA$5-1)^0.5)+((2416/(O1037+459.6)-2.013)*LOG10(INDEX(FX_Input,AB$5,O$3*$Z$5+$AA$5)))-(8742/(O1037+459.6))+15.64),EXP(INDEX(Antoines,MATCH(O1030,Antoine_Name,0),2)-INDEX(Antoines,MATCH(O1030,Antoine_Name,0),3)/(O1037+459.6))))),0)</f>
        <v>0</v>
      </c>
    </row>
    <row r="1047" spans="2:15" ht="17.149999999999999" x14ac:dyDescent="0.55000000000000004">
      <c r="B1047" t="str">
        <f t="shared" si="3732"/>
        <v>Portland</v>
      </c>
      <c r="C1047" t="s">
        <v>582</v>
      </c>
      <c r="D1047">
        <f>D1046*D1034</f>
        <v>0</v>
      </c>
      <c r="E1047">
        <f t="shared" ref="E1047" si="3777">E1046*E1034</f>
        <v>0</v>
      </c>
      <c r="F1047">
        <f t="shared" ref="F1047" si="3778">F1046*F1034</f>
        <v>0</v>
      </c>
      <c r="G1047">
        <f t="shared" ref="G1047" si="3779">G1046*G1034</f>
        <v>0</v>
      </c>
      <c r="H1047">
        <f t="shared" ref="H1047" si="3780">H1046*H1034</f>
        <v>0</v>
      </c>
      <c r="I1047">
        <f t="shared" ref="I1047" si="3781">I1046*I1034</f>
        <v>0</v>
      </c>
      <c r="J1047">
        <f t="shared" ref="J1047" si="3782">J1046*J1034</f>
        <v>0</v>
      </c>
      <c r="K1047">
        <f t="shared" ref="K1047" si="3783">K1046*K1034</f>
        <v>0</v>
      </c>
      <c r="L1047">
        <f t="shared" ref="L1047" si="3784">L1046*L1034</f>
        <v>0</v>
      </c>
      <c r="M1047">
        <f t="shared" ref="M1047" si="3785">M1046*M1034</f>
        <v>0</v>
      </c>
      <c r="N1047">
        <f t="shared" ref="N1047" si="3786">N1046*N1034</f>
        <v>0</v>
      </c>
      <c r="O1047">
        <f t="shared" ref="O1047" si="3787">O1046*O1034</f>
        <v>0</v>
      </c>
    </row>
    <row r="1048" spans="2:15" ht="17.149999999999999" x14ac:dyDescent="0.55000000000000004">
      <c r="B1048" t="str">
        <f t="shared" si="3732"/>
        <v>Portland</v>
      </c>
      <c r="C1048" t="s">
        <v>583</v>
      </c>
      <c r="D1048">
        <f>D1045+D1047</f>
        <v>1</v>
      </c>
      <c r="E1048">
        <f t="shared" ref="E1048" si="3788">E1045+E1047</f>
        <v>1</v>
      </c>
      <c r="F1048">
        <f t="shared" ref="F1048" si="3789">F1045+F1047</f>
        <v>1</v>
      </c>
      <c r="G1048">
        <f t="shared" ref="G1048" si="3790">G1045+G1047</f>
        <v>1</v>
      </c>
      <c r="H1048">
        <f t="shared" ref="H1048" si="3791">H1045+H1047</f>
        <v>1</v>
      </c>
      <c r="I1048">
        <f t="shared" ref="I1048" si="3792">I1045+I1047</f>
        <v>1</v>
      </c>
      <c r="J1048">
        <f t="shared" ref="J1048" si="3793">J1045+J1047</f>
        <v>1</v>
      </c>
      <c r="K1048">
        <f t="shared" ref="K1048" si="3794">K1045+K1047</f>
        <v>1</v>
      </c>
      <c r="L1048">
        <f t="shared" ref="L1048" si="3795">L1045+L1047</f>
        <v>1</v>
      </c>
      <c r="M1048">
        <f t="shared" ref="M1048" si="3796">M1045+M1047</f>
        <v>1</v>
      </c>
      <c r="N1048">
        <f t="shared" ref="N1048" si="3797">N1045+N1047</f>
        <v>1</v>
      </c>
      <c r="O1048">
        <f t="shared" ref="O1048" si="3798">O1045+O1047</f>
        <v>1</v>
      </c>
    </row>
    <row r="1049" spans="2:15" ht="17.149999999999999" x14ac:dyDescent="0.55000000000000004">
      <c r="B1049" t="str">
        <f t="shared" si="3732"/>
        <v>Portland</v>
      </c>
      <c r="C1049" t="s">
        <v>1388</v>
      </c>
      <c r="D1049" cm="1">
        <f t="array" ref="D1049">IFERROR(IF(D1029="Chemical",(10^(INDEX(Antoines,MATCH(D1028,Antoine_Name,0),2)-INDEX(Antoines,MATCH(D1028,Antoine_Name,0),3)/(INDEX(Antoines,MATCH(D1028,Antoine_Name,0),4)+(D1038-32)*5/9)))*14.7/760,IF(D1029="Crude Oil",EXP((2799/(D1038+459.6)-2.227)*LOG10(INDEX(FX_Input,Q$5,D$3*$Z$5+$AA$5))-(7261/(D1038+459.6))+12.82),IF(D1029="Refined Petroleum Stock",EXP((0.7553-(413/(D1038+459.6)))*(INDEX(FX_Input,Q$5,D$3*$Z$5+$AA$5-1)^0.5)*LOG10(INDEX(FX_Input,Q$5,D$3*$Z$5+$AA$5))-(1.854-(1042/(D1038+459.6)))*(INDEX(FX_Input,Q$5,D$3*$Z$5+$AA$5-1)^0.5)+((2416/(D1038+459.6)-2.013)*LOG10(INDEX(FX_Input,Q$5,D$3*$Z$5+$AA$5)))-(8742/(D1038+459.6))+15.64),EXP(INDEX(Antoines,MATCH(D1028,Antoine_Name,0),2)-INDEX(Antoines,MATCH(D1028,Antoine_Name,0),3)/(D1038+459.6))))),0)</f>
        <v>1</v>
      </c>
      <c r="E1049" cm="1">
        <f t="array" ref="E1049">IFERROR(IF(E1029="Chemical",(10^(INDEX(Antoines,MATCH(E1028,Antoine_Name,0),2)-INDEX(Antoines,MATCH(E1028,Antoine_Name,0),3)/(INDEX(Antoines,MATCH(E1028,Antoine_Name,0),4)+(E1038-32)*5/9)))*14.7/760,IF(E1029="Crude Oil",EXP((2799/(E1038+459.6)-2.227)*LOG10(INDEX(FX_Input,R$5,E$3*$Z$5+$AA$5))-(7261/(E1038+459.6))+12.82),IF(E1029="Refined Petroleum Stock",EXP((0.7553-(413/(E1038+459.6)))*(INDEX(FX_Input,R$5,E$3*$Z$5+$AA$5-1)^0.5)*LOG10(INDEX(FX_Input,R$5,E$3*$Z$5+$AA$5))-(1.854-(1042/(E1038+459.6)))*(INDEX(FX_Input,R$5,E$3*$Z$5+$AA$5-1)^0.5)+((2416/(E1038+459.6)-2.013)*LOG10(INDEX(FX_Input,R$5,E$3*$Z$5+$AA$5)))-(8742/(E1038+459.6))+15.64),EXP(INDEX(Antoines,MATCH(E1028,Antoine_Name,0),2)-INDEX(Antoines,MATCH(E1028,Antoine_Name,0),3)/(E1038+459.6))))),0)</f>
        <v>1</v>
      </c>
      <c r="F1049" cm="1">
        <f t="array" ref="F1049">IFERROR(IF(F1029="Chemical",(10^(INDEX(Antoines,MATCH(F1028,Antoine_Name,0),2)-INDEX(Antoines,MATCH(F1028,Antoine_Name,0),3)/(INDEX(Antoines,MATCH(F1028,Antoine_Name,0),4)+(F1038-32)*5/9)))*14.7/760,IF(F1029="Crude Oil",EXP((2799/(F1038+459.6)-2.227)*LOG10(INDEX(FX_Input,S$5,F$3*$Z$5+$AA$5))-(7261/(F1038+459.6))+12.82),IF(F1029="Refined Petroleum Stock",EXP((0.7553-(413/(F1038+459.6)))*(INDEX(FX_Input,S$5,F$3*$Z$5+$AA$5-1)^0.5)*LOG10(INDEX(FX_Input,S$5,F$3*$Z$5+$AA$5))-(1.854-(1042/(F1038+459.6)))*(INDEX(FX_Input,S$5,F$3*$Z$5+$AA$5-1)^0.5)+((2416/(F1038+459.6)-2.013)*LOG10(INDEX(FX_Input,S$5,F$3*$Z$5+$AA$5)))-(8742/(F1038+459.6))+15.64),EXP(INDEX(Antoines,MATCH(F1028,Antoine_Name,0),2)-INDEX(Antoines,MATCH(F1028,Antoine_Name,0),3)/(F1038+459.6))))),0)</f>
        <v>1</v>
      </c>
      <c r="G1049" cm="1">
        <f t="array" ref="G1049">IFERROR(IF(G1029="Chemical",(10^(INDEX(Antoines,MATCH(G1028,Antoine_Name,0),2)-INDEX(Antoines,MATCH(G1028,Antoine_Name,0),3)/(INDEX(Antoines,MATCH(G1028,Antoine_Name,0),4)+(G1038-32)*5/9)))*14.7/760,IF(G1029="Crude Oil",EXP((2799/(G1038+459.6)-2.227)*LOG10(INDEX(FX_Input,T$5,G$3*$Z$5+$AA$5))-(7261/(G1038+459.6))+12.82),IF(G1029="Refined Petroleum Stock",EXP((0.7553-(413/(G1038+459.6)))*(INDEX(FX_Input,T$5,G$3*$Z$5+$AA$5-1)^0.5)*LOG10(INDEX(FX_Input,T$5,G$3*$Z$5+$AA$5))-(1.854-(1042/(G1038+459.6)))*(INDEX(FX_Input,T$5,G$3*$Z$5+$AA$5-1)^0.5)+((2416/(G1038+459.6)-2.013)*LOG10(INDEX(FX_Input,T$5,G$3*$Z$5+$AA$5)))-(8742/(G1038+459.6))+15.64),EXP(INDEX(Antoines,MATCH(G1028,Antoine_Name,0),2)-INDEX(Antoines,MATCH(G1028,Antoine_Name,0),3)/(G1038+459.6))))),0)</f>
        <v>1</v>
      </c>
      <c r="H1049" cm="1">
        <f t="array" ref="H1049">IFERROR(IF(H1029="Chemical",(10^(INDEX(Antoines,MATCH(H1028,Antoine_Name,0),2)-INDEX(Antoines,MATCH(H1028,Antoine_Name,0),3)/(INDEX(Antoines,MATCH(H1028,Antoine_Name,0),4)+(H1038-32)*5/9)))*14.7/760,IF(H1029="Crude Oil",EXP((2799/(H1038+459.6)-2.227)*LOG10(INDEX(FX_Input,U$5,H$3*$Z$5+$AA$5))-(7261/(H1038+459.6))+12.82),IF(H1029="Refined Petroleum Stock",EXP((0.7553-(413/(H1038+459.6)))*(INDEX(FX_Input,U$5,H$3*$Z$5+$AA$5-1)^0.5)*LOG10(INDEX(FX_Input,U$5,H$3*$Z$5+$AA$5))-(1.854-(1042/(H1038+459.6)))*(INDEX(FX_Input,U$5,H$3*$Z$5+$AA$5-1)^0.5)+((2416/(H1038+459.6)-2.013)*LOG10(INDEX(FX_Input,U$5,H$3*$Z$5+$AA$5)))-(8742/(H1038+459.6))+15.64),EXP(INDEX(Antoines,MATCH(H1028,Antoine_Name,0),2)-INDEX(Antoines,MATCH(H1028,Antoine_Name,0),3)/(H1038+459.6))))),0)</f>
        <v>1</v>
      </c>
      <c r="I1049" cm="1">
        <f t="array" ref="I1049">IFERROR(IF(I1029="Chemical",(10^(INDEX(Antoines,MATCH(I1028,Antoine_Name,0),2)-INDEX(Antoines,MATCH(I1028,Antoine_Name,0),3)/(INDEX(Antoines,MATCH(I1028,Antoine_Name,0),4)+(I1038-32)*5/9)))*14.7/760,IF(I1029="Crude Oil",EXP((2799/(I1038+459.6)-2.227)*LOG10(INDEX(FX_Input,V$5,I$3*$Z$5+$AA$5))-(7261/(I1038+459.6))+12.82),IF(I1029="Refined Petroleum Stock",EXP((0.7553-(413/(I1038+459.6)))*(INDEX(FX_Input,V$5,I$3*$Z$5+$AA$5-1)^0.5)*LOG10(INDEX(FX_Input,V$5,I$3*$Z$5+$AA$5))-(1.854-(1042/(I1038+459.6)))*(INDEX(FX_Input,V$5,I$3*$Z$5+$AA$5-1)^0.5)+((2416/(I1038+459.6)-2.013)*LOG10(INDEX(FX_Input,V$5,I$3*$Z$5+$AA$5)))-(8742/(I1038+459.6))+15.64),EXP(INDEX(Antoines,MATCH(I1028,Antoine_Name,0),2)-INDEX(Antoines,MATCH(I1028,Antoine_Name,0),3)/(I1038+459.6))))),0)</f>
        <v>1</v>
      </c>
      <c r="J1049" cm="1">
        <f t="array" ref="J1049">IFERROR(IF(J1029="Chemical",(10^(INDEX(Antoines,MATCH(J1028,Antoine_Name,0),2)-INDEX(Antoines,MATCH(J1028,Antoine_Name,0),3)/(INDEX(Antoines,MATCH(J1028,Antoine_Name,0),4)+(J1038-32)*5/9)))*14.7/760,IF(J1029="Crude Oil",EXP((2799/(J1038+459.6)-2.227)*LOG10(INDEX(FX_Input,W$5,J$3*$Z$5+$AA$5))-(7261/(J1038+459.6))+12.82),IF(J1029="Refined Petroleum Stock",EXP((0.7553-(413/(J1038+459.6)))*(INDEX(FX_Input,W$5,J$3*$Z$5+$AA$5-1)^0.5)*LOG10(INDEX(FX_Input,W$5,J$3*$Z$5+$AA$5))-(1.854-(1042/(J1038+459.6)))*(INDEX(FX_Input,W$5,J$3*$Z$5+$AA$5-1)^0.5)+((2416/(J1038+459.6)-2.013)*LOG10(INDEX(FX_Input,W$5,J$3*$Z$5+$AA$5)))-(8742/(J1038+459.6))+15.64),EXP(INDEX(Antoines,MATCH(J1028,Antoine_Name,0),2)-INDEX(Antoines,MATCH(J1028,Antoine_Name,0),3)/(J1038+459.6))))),0)</f>
        <v>1</v>
      </c>
      <c r="K1049" cm="1">
        <f t="array" ref="K1049">IFERROR(IF(K1029="Chemical",(10^(INDEX(Antoines,MATCH(K1028,Antoine_Name,0),2)-INDEX(Antoines,MATCH(K1028,Antoine_Name,0),3)/(INDEX(Antoines,MATCH(K1028,Antoine_Name,0),4)+(K1038-32)*5/9)))*14.7/760,IF(K1029="Crude Oil",EXP((2799/(K1038+459.6)-2.227)*LOG10(INDEX(FX_Input,X$5,K$3*$Z$5+$AA$5))-(7261/(K1038+459.6))+12.82),IF(K1029="Refined Petroleum Stock",EXP((0.7553-(413/(K1038+459.6)))*(INDEX(FX_Input,X$5,K$3*$Z$5+$AA$5-1)^0.5)*LOG10(INDEX(FX_Input,X$5,K$3*$Z$5+$AA$5))-(1.854-(1042/(K1038+459.6)))*(INDEX(FX_Input,X$5,K$3*$Z$5+$AA$5-1)^0.5)+((2416/(K1038+459.6)-2.013)*LOG10(INDEX(FX_Input,X$5,K$3*$Z$5+$AA$5)))-(8742/(K1038+459.6))+15.64),EXP(INDEX(Antoines,MATCH(K1028,Antoine_Name,0),2)-INDEX(Antoines,MATCH(K1028,Antoine_Name,0),3)/(K1038+459.6))))),0)</f>
        <v>1</v>
      </c>
      <c r="L1049" cm="1">
        <f t="array" ref="L1049">IFERROR(IF(L1029="Chemical",(10^(INDEX(Antoines,MATCH(L1028,Antoine_Name,0),2)-INDEX(Antoines,MATCH(L1028,Antoine_Name,0),3)/(INDEX(Antoines,MATCH(L1028,Antoine_Name,0),4)+(L1038-32)*5/9)))*14.7/760,IF(L1029="Crude Oil",EXP((2799/(L1038+459.6)-2.227)*LOG10(INDEX(FX_Input,Y$5,L$3*$Z$5+$AA$5))-(7261/(L1038+459.6))+12.82),IF(L1029="Refined Petroleum Stock",EXP((0.7553-(413/(L1038+459.6)))*(INDEX(FX_Input,Y$5,L$3*$Z$5+$AA$5-1)^0.5)*LOG10(INDEX(FX_Input,Y$5,L$3*$Z$5+$AA$5))-(1.854-(1042/(L1038+459.6)))*(INDEX(FX_Input,Y$5,L$3*$Z$5+$AA$5-1)^0.5)+((2416/(L1038+459.6)-2.013)*LOG10(INDEX(FX_Input,Y$5,L$3*$Z$5+$AA$5)))-(8742/(L1038+459.6))+15.64),EXP(INDEX(Antoines,MATCH(L1028,Antoine_Name,0),2)-INDEX(Antoines,MATCH(L1028,Antoine_Name,0),3)/(L1038+459.6))))),0)</f>
        <v>1</v>
      </c>
      <c r="M1049" cm="1">
        <f t="array" ref="M1049">IFERROR(IF(M1029="Chemical",(10^(INDEX(Antoines,MATCH(M1028,Antoine_Name,0),2)-INDEX(Antoines,MATCH(M1028,Antoine_Name,0),3)/(INDEX(Antoines,MATCH(M1028,Antoine_Name,0),4)+(M1038-32)*5/9)))*14.7/760,IF(M1029="Crude Oil",EXP((2799/(M1038+459.6)-2.227)*LOG10(INDEX(FX_Input,Z$5,M$3*$Z$5+$AA$5))-(7261/(M1038+459.6))+12.82),IF(M1029="Refined Petroleum Stock",EXP((0.7553-(413/(M1038+459.6)))*(INDEX(FX_Input,Z$5,M$3*$Z$5+$AA$5-1)^0.5)*LOG10(INDEX(FX_Input,Z$5,M$3*$Z$5+$AA$5))-(1.854-(1042/(M1038+459.6)))*(INDEX(FX_Input,Z$5,M$3*$Z$5+$AA$5-1)^0.5)+((2416/(M1038+459.6)-2.013)*LOG10(INDEX(FX_Input,Z$5,M$3*$Z$5+$AA$5)))-(8742/(M1038+459.6))+15.64),EXP(INDEX(Antoines,MATCH(M1028,Antoine_Name,0),2)-INDEX(Antoines,MATCH(M1028,Antoine_Name,0),3)/(M1038+459.6))))),0)</f>
        <v>1</v>
      </c>
      <c r="N1049" cm="1">
        <f t="array" ref="N1049">IFERROR(IF(N1029="Chemical",(10^(INDEX(Antoines,MATCH(N1028,Antoine_Name,0),2)-INDEX(Antoines,MATCH(N1028,Antoine_Name,0),3)/(INDEX(Antoines,MATCH(N1028,Antoine_Name,0),4)+(N1038-32)*5/9)))*14.7/760,IF(N1029="Crude Oil",EXP((2799/(N1038+459.6)-2.227)*LOG10(INDEX(FX_Input,AA$5,N$3*$Z$5+$AA$5))-(7261/(N1038+459.6))+12.82),IF(N1029="Refined Petroleum Stock",EXP((0.7553-(413/(N1038+459.6)))*(INDEX(FX_Input,AA$5,N$3*$Z$5+$AA$5-1)^0.5)*LOG10(INDEX(FX_Input,AA$5,N$3*$Z$5+$AA$5))-(1.854-(1042/(N1038+459.6)))*(INDEX(FX_Input,AA$5,N$3*$Z$5+$AA$5-1)^0.5)+((2416/(N1038+459.6)-2.013)*LOG10(INDEX(FX_Input,AA$5,N$3*$Z$5+$AA$5)))-(8742/(N1038+459.6))+15.64),EXP(INDEX(Antoines,MATCH(N1028,Antoine_Name,0),2)-INDEX(Antoines,MATCH(N1028,Antoine_Name,0),3)/(N1038+459.6))))),0)</f>
        <v>1</v>
      </c>
      <c r="O1049" cm="1">
        <f t="array" ref="O1049">IFERROR(IF(O1029="Chemical",(10^(INDEX(Antoines,MATCH(O1028,Antoine_Name,0),2)-INDEX(Antoines,MATCH(O1028,Antoine_Name,0),3)/(INDEX(Antoines,MATCH(O1028,Antoine_Name,0),4)+(O1038-32)*5/9)))*14.7/760,IF(O1029="Crude Oil",EXP((2799/(O1038+459.6)-2.227)*LOG10(INDEX(FX_Input,AB$5,O$3*$Z$5+$AA$5))-(7261/(O1038+459.6))+12.82),IF(O1029="Refined Petroleum Stock",EXP((0.7553-(413/(O1038+459.6)))*(INDEX(FX_Input,AB$5,O$3*$Z$5+$AA$5-1)^0.5)*LOG10(INDEX(FX_Input,AB$5,O$3*$Z$5+$AA$5))-(1.854-(1042/(O1038+459.6)))*(INDEX(FX_Input,AB$5,O$3*$Z$5+$AA$5-1)^0.5)+((2416/(O1038+459.6)-2.013)*LOG10(INDEX(FX_Input,AB$5,O$3*$Z$5+$AA$5)))-(8742/(O1038+459.6))+15.64),EXP(INDEX(Antoines,MATCH(O1028,Antoine_Name,0),2)-INDEX(Antoines,MATCH(O1028,Antoine_Name,0),3)/(O1038+459.6))))),0)</f>
        <v>1</v>
      </c>
    </row>
    <row r="1050" spans="2:15" ht="17.149999999999999" x14ac:dyDescent="0.55000000000000004">
      <c r="B1050" t="str">
        <f t="shared" si="3732"/>
        <v>Portland</v>
      </c>
      <c r="C1050" t="s">
        <v>1389</v>
      </c>
      <c r="D1050">
        <f>D1049*D1032</f>
        <v>1</v>
      </c>
      <c r="E1050">
        <f t="shared" ref="E1050" si="3799">E1049*E1032</f>
        <v>1</v>
      </c>
      <c r="F1050">
        <f t="shared" ref="F1050" si="3800">F1049*F1032</f>
        <v>1</v>
      </c>
      <c r="G1050">
        <f t="shared" ref="G1050" si="3801">G1049*G1032</f>
        <v>1</v>
      </c>
      <c r="H1050">
        <f t="shared" ref="H1050" si="3802">H1049*H1032</f>
        <v>1</v>
      </c>
      <c r="I1050">
        <f t="shared" ref="I1050" si="3803">I1049*I1032</f>
        <v>1</v>
      </c>
      <c r="J1050">
        <f t="shared" ref="J1050" si="3804">J1049*J1032</f>
        <v>1</v>
      </c>
      <c r="K1050">
        <f t="shared" ref="K1050" si="3805">K1049*K1032</f>
        <v>1</v>
      </c>
      <c r="L1050">
        <f t="shared" ref="L1050" si="3806">L1049*L1032</f>
        <v>1</v>
      </c>
      <c r="M1050">
        <f t="shared" ref="M1050" si="3807">M1049*M1032</f>
        <v>1</v>
      </c>
      <c r="N1050">
        <f t="shared" ref="N1050" si="3808">N1049*N1032</f>
        <v>1</v>
      </c>
      <c r="O1050">
        <f t="shared" ref="O1050" si="3809">O1049*O1032</f>
        <v>1</v>
      </c>
    </row>
    <row r="1051" spans="2:15" ht="17.149999999999999" x14ac:dyDescent="0.55000000000000004">
      <c r="B1051" t="str">
        <f t="shared" si="3732"/>
        <v>Portland</v>
      </c>
      <c r="C1051" t="s">
        <v>1390</v>
      </c>
      <c r="D1051" cm="1">
        <f t="array" ref="D1051">IFERROR(IF(D1031="Chemical",(10^(INDEX(Antoines,MATCH(D1030,Antoine_Name,0),2)-INDEX(Antoines,MATCH(D1030,Antoine_Name,0),3)/(INDEX(Antoines,MATCH(D1030,Antoine_Name,0),4)+(D1038-32)*5/9)))*14.7/760,IF(D1031="Crude Oil",EXP((2799/(D1038+459.6)-2.227)*LOG10(INDEX(FX_Input,Q$5,D$3*$Z$5+$AA$5))-(7261/(D1038+459.6))+12.82),IF(D1031="Refined Petroleum Stock",EXP((0.7553-(413/(D1038+459.6)))*(INDEX(FX_Input,Q$5,D$3*$Z$5+$AA$5-1)^0.5)*LOG10(INDEX(FX_Input,Q$5,D$3*$Z$5+$AA$5))-(1.854-(1042/(D1038+459.6)))*(INDEX(FX_Input,Q$5,D$3*$Z$5+$AA$5-1)^0.5)+((2416/(D1038+459.6)-2.013)*LOG10(INDEX(FX_Input,Q$5,D$3*$Z$5+$AA$5)))-(8742/(D1038+459.6))+15.64),EXP(INDEX(Antoines,MATCH(D1030,Antoine_Name,0),2)-INDEX(Antoines,MATCH(D1030,Antoine_Name,0),3)/(D1038+459.6))))),0)</f>
        <v>0</v>
      </c>
      <c r="E1051" cm="1">
        <f t="array" ref="E1051">IFERROR(IF(E1031="Chemical",(10^(INDEX(Antoines,MATCH(E1030,Antoine_Name,0),2)-INDEX(Antoines,MATCH(E1030,Antoine_Name,0),3)/(INDEX(Antoines,MATCH(E1030,Antoine_Name,0),4)+(E1038-32)*5/9)))*14.7/760,IF(E1031="Crude Oil",EXP((2799/(E1038+459.6)-2.227)*LOG10(INDEX(FX_Input,R$5,E$3*$Z$5+$AA$5))-(7261/(E1038+459.6))+12.82),IF(E1031="Refined Petroleum Stock",EXP((0.7553-(413/(E1038+459.6)))*(INDEX(FX_Input,R$5,E$3*$Z$5+$AA$5-1)^0.5)*LOG10(INDEX(FX_Input,R$5,E$3*$Z$5+$AA$5))-(1.854-(1042/(E1038+459.6)))*(INDEX(FX_Input,R$5,E$3*$Z$5+$AA$5-1)^0.5)+((2416/(E1038+459.6)-2.013)*LOG10(INDEX(FX_Input,R$5,E$3*$Z$5+$AA$5)))-(8742/(E1038+459.6))+15.64),EXP(INDEX(Antoines,MATCH(E1030,Antoine_Name,0),2)-INDEX(Antoines,MATCH(E1030,Antoine_Name,0),3)/(E1038+459.6))))),0)</f>
        <v>0</v>
      </c>
      <c r="F1051" cm="1">
        <f t="array" ref="F1051">IFERROR(IF(F1031="Chemical",(10^(INDEX(Antoines,MATCH(F1030,Antoine_Name,0),2)-INDEX(Antoines,MATCH(F1030,Antoine_Name,0),3)/(INDEX(Antoines,MATCH(F1030,Antoine_Name,0),4)+(F1038-32)*5/9)))*14.7/760,IF(F1031="Crude Oil",EXP((2799/(F1038+459.6)-2.227)*LOG10(INDEX(FX_Input,S$5,F$3*$Z$5+$AA$5))-(7261/(F1038+459.6))+12.82),IF(F1031="Refined Petroleum Stock",EXP((0.7553-(413/(F1038+459.6)))*(INDEX(FX_Input,S$5,F$3*$Z$5+$AA$5-1)^0.5)*LOG10(INDEX(FX_Input,S$5,F$3*$Z$5+$AA$5))-(1.854-(1042/(F1038+459.6)))*(INDEX(FX_Input,S$5,F$3*$Z$5+$AA$5-1)^0.5)+((2416/(F1038+459.6)-2.013)*LOG10(INDEX(FX_Input,S$5,F$3*$Z$5+$AA$5)))-(8742/(F1038+459.6))+15.64),EXP(INDEX(Antoines,MATCH(F1030,Antoine_Name,0),2)-INDEX(Antoines,MATCH(F1030,Antoine_Name,0),3)/(F1038+459.6))))),0)</f>
        <v>0</v>
      </c>
      <c r="G1051" cm="1">
        <f t="array" ref="G1051">IFERROR(IF(G1031="Chemical",(10^(INDEX(Antoines,MATCH(G1030,Antoine_Name,0),2)-INDEX(Antoines,MATCH(G1030,Antoine_Name,0),3)/(INDEX(Antoines,MATCH(G1030,Antoine_Name,0),4)+(G1038-32)*5/9)))*14.7/760,IF(G1031="Crude Oil",EXP((2799/(G1038+459.6)-2.227)*LOG10(INDEX(FX_Input,T$5,G$3*$Z$5+$AA$5))-(7261/(G1038+459.6))+12.82),IF(G1031="Refined Petroleum Stock",EXP((0.7553-(413/(G1038+459.6)))*(INDEX(FX_Input,T$5,G$3*$Z$5+$AA$5-1)^0.5)*LOG10(INDEX(FX_Input,T$5,G$3*$Z$5+$AA$5))-(1.854-(1042/(G1038+459.6)))*(INDEX(FX_Input,T$5,G$3*$Z$5+$AA$5-1)^0.5)+((2416/(G1038+459.6)-2.013)*LOG10(INDEX(FX_Input,T$5,G$3*$Z$5+$AA$5)))-(8742/(G1038+459.6))+15.64),EXP(INDEX(Antoines,MATCH(G1030,Antoine_Name,0),2)-INDEX(Antoines,MATCH(G1030,Antoine_Name,0),3)/(G1038+459.6))))),0)</f>
        <v>0</v>
      </c>
      <c r="H1051" cm="1">
        <f t="array" ref="H1051">IFERROR(IF(H1031="Chemical",(10^(INDEX(Antoines,MATCH(H1030,Antoine_Name,0),2)-INDEX(Antoines,MATCH(H1030,Antoine_Name,0),3)/(INDEX(Antoines,MATCH(H1030,Antoine_Name,0),4)+(H1038-32)*5/9)))*14.7/760,IF(H1031="Crude Oil",EXP((2799/(H1038+459.6)-2.227)*LOG10(INDEX(FX_Input,U$5,H$3*$Z$5+$AA$5))-(7261/(H1038+459.6))+12.82),IF(H1031="Refined Petroleum Stock",EXP((0.7553-(413/(H1038+459.6)))*(INDEX(FX_Input,U$5,H$3*$Z$5+$AA$5-1)^0.5)*LOG10(INDEX(FX_Input,U$5,H$3*$Z$5+$AA$5))-(1.854-(1042/(H1038+459.6)))*(INDEX(FX_Input,U$5,H$3*$Z$5+$AA$5-1)^0.5)+((2416/(H1038+459.6)-2.013)*LOG10(INDEX(FX_Input,U$5,H$3*$Z$5+$AA$5)))-(8742/(H1038+459.6))+15.64),EXP(INDEX(Antoines,MATCH(H1030,Antoine_Name,0),2)-INDEX(Antoines,MATCH(H1030,Antoine_Name,0),3)/(H1038+459.6))))),0)</f>
        <v>0</v>
      </c>
      <c r="I1051" cm="1">
        <f t="array" ref="I1051">IFERROR(IF(I1031="Chemical",(10^(INDEX(Antoines,MATCH(I1030,Antoine_Name,0),2)-INDEX(Antoines,MATCH(I1030,Antoine_Name,0),3)/(INDEX(Antoines,MATCH(I1030,Antoine_Name,0),4)+(I1038-32)*5/9)))*14.7/760,IF(I1031="Crude Oil",EXP((2799/(I1038+459.6)-2.227)*LOG10(INDEX(FX_Input,V$5,I$3*$Z$5+$AA$5))-(7261/(I1038+459.6))+12.82),IF(I1031="Refined Petroleum Stock",EXP((0.7553-(413/(I1038+459.6)))*(INDEX(FX_Input,V$5,I$3*$Z$5+$AA$5-1)^0.5)*LOG10(INDEX(FX_Input,V$5,I$3*$Z$5+$AA$5))-(1.854-(1042/(I1038+459.6)))*(INDEX(FX_Input,V$5,I$3*$Z$5+$AA$5-1)^0.5)+((2416/(I1038+459.6)-2.013)*LOG10(INDEX(FX_Input,V$5,I$3*$Z$5+$AA$5)))-(8742/(I1038+459.6))+15.64),EXP(INDEX(Antoines,MATCH(I1030,Antoine_Name,0),2)-INDEX(Antoines,MATCH(I1030,Antoine_Name,0),3)/(I1038+459.6))))),0)</f>
        <v>0</v>
      </c>
      <c r="J1051" cm="1">
        <f t="array" ref="J1051">IFERROR(IF(J1031="Chemical",(10^(INDEX(Antoines,MATCH(J1030,Antoine_Name,0),2)-INDEX(Antoines,MATCH(J1030,Antoine_Name,0),3)/(INDEX(Antoines,MATCH(J1030,Antoine_Name,0),4)+(J1038-32)*5/9)))*14.7/760,IF(J1031="Crude Oil",EXP((2799/(J1038+459.6)-2.227)*LOG10(INDEX(FX_Input,W$5,J$3*$Z$5+$AA$5))-(7261/(J1038+459.6))+12.82),IF(J1031="Refined Petroleum Stock",EXP((0.7553-(413/(J1038+459.6)))*(INDEX(FX_Input,W$5,J$3*$Z$5+$AA$5-1)^0.5)*LOG10(INDEX(FX_Input,W$5,J$3*$Z$5+$AA$5))-(1.854-(1042/(J1038+459.6)))*(INDEX(FX_Input,W$5,J$3*$Z$5+$AA$5-1)^0.5)+((2416/(J1038+459.6)-2.013)*LOG10(INDEX(FX_Input,W$5,J$3*$Z$5+$AA$5)))-(8742/(J1038+459.6))+15.64),EXP(INDEX(Antoines,MATCH(J1030,Antoine_Name,0),2)-INDEX(Antoines,MATCH(J1030,Antoine_Name,0),3)/(J1038+459.6))))),0)</f>
        <v>0</v>
      </c>
      <c r="K1051" cm="1">
        <f t="array" ref="K1051">IFERROR(IF(K1031="Chemical",(10^(INDEX(Antoines,MATCH(K1030,Antoine_Name,0),2)-INDEX(Antoines,MATCH(K1030,Antoine_Name,0),3)/(INDEX(Antoines,MATCH(K1030,Antoine_Name,0),4)+(K1038-32)*5/9)))*14.7/760,IF(K1031="Crude Oil",EXP((2799/(K1038+459.6)-2.227)*LOG10(INDEX(FX_Input,X$5,K$3*$Z$5+$AA$5))-(7261/(K1038+459.6))+12.82),IF(K1031="Refined Petroleum Stock",EXP((0.7553-(413/(K1038+459.6)))*(INDEX(FX_Input,X$5,K$3*$Z$5+$AA$5-1)^0.5)*LOG10(INDEX(FX_Input,X$5,K$3*$Z$5+$AA$5))-(1.854-(1042/(K1038+459.6)))*(INDEX(FX_Input,X$5,K$3*$Z$5+$AA$5-1)^0.5)+((2416/(K1038+459.6)-2.013)*LOG10(INDEX(FX_Input,X$5,K$3*$Z$5+$AA$5)))-(8742/(K1038+459.6))+15.64),EXP(INDEX(Antoines,MATCH(K1030,Antoine_Name,0),2)-INDEX(Antoines,MATCH(K1030,Antoine_Name,0),3)/(K1038+459.6))))),0)</f>
        <v>0</v>
      </c>
      <c r="L1051" cm="1">
        <f t="array" ref="L1051">IFERROR(IF(L1031="Chemical",(10^(INDEX(Antoines,MATCH(L1030,Antoine_Name,0),2)-INDEX(Antoines,MATCH(L1030,Antoine_Name,0),3)/(INDEX(Antoines,MATCH(L1030,Antoine_Name,0),4)+(L1038-32)*5/9)))*14.7/760,IF(L1031="Crude Oil",EXP((2799/(L1038+459.6)-2.227)*LOG10(INDEX(FX_Input,Y$5,L$3*$Z$5+$AA$5))-(7261/(L1038+459.6))+12.82),IF(L1031="Refined Petroleum Stock",EXP((0.7553-(413/(L1038+459.6)))*(INDEX(FX_Input,Y$5,L$3*$Z$5+$AA$5-1)^0.5)*LOG10(INDEX(FX_Input,Y$5,L$3*$Z$5+$AA$5))-(1.854-(1042/(L1038+459.6)))*(INDEX(FX_Input,Y$5,L$3*$Z$5+$AA$5-1)^0.5)+((2416/(L1038+459.6)-2.013)*LOG10(INDEX(FX_Input,Y$5,L$3*$Z$5+$AA$5)))-(8742/(L1038+459.6))+15.64),EXP(INDEX(Antoines,MATCH(L1030,Antoine_Name,0),2)-INDEX(Antoines,MATCH(L1030,Antoine_Name,0),3)/(L1038+459.6))))),0)</f>
        <v>0</v>
      </c>
      <c r="M1051" cm="1">
        <f t="array" ref="M1051">IFERROR(IF(M1031="Chemical",(10^(INDEX(Antoines,MATCH(M1030,Antoine_Name,0),2)-INDEX(Antoines,MATCH(M1030,Antoine_Name,0),3)/(INDEX(Antoines,MATCH(M1030,Antoine_Name,0),4)+(M1038-32)*5/9)))*14.7/760,IF(M1031="Crude Oil",EXP((2799/(M1038+459.6)-2.227)*LOG10(INDEX(FX_Input,Z$5,M$3*$Z$5+$AA$5))-(7261/(M1038+459.6))+12.82),IF(M1031="Refined Petroleum Stock",EXP((0.7553-(413/(M1038+459.6)))*(INDEX(FX_Input,Z$5,M$3*$Z$5+$AA$5-1)^0.5)*LOG10(INDEX(FX_Input,Z$5,M$3*$Z$5+$AA$5))-(1.854-(1042/(M1038+459.6)))*(INDEX(FX_Input,Z$5,M$3*$Z$5+$AA$5-1)^0.5)+((2416/(M1038+459.6)-2.013)*LOG10(INDEX(FX_Input,Z$5,M$3*$Z$5+$AA$5)))-(8742/(M1038+459.6))+15.64),EXP(INDEX(Antoines,MATCH(M1030,Antoine_Name,0),2)-INDEX(Antoines,MATCH(M1030,Antoine_Name,0),3)/(M1038+459.6))))),0)</f>
        <v>0</v>
      </c>
      <c r="N1051" cm="1">
        <f t="array" ref="N1051">IFERROR(IF(N1031="Chemical",(10^(INDEX(Antoines,MATCH(N1030,Antoine_Name,0),2)-INDEX(Antoines,MATCH(N1030,Antoine_Name,0),3)/(INDEX(Antoines,MATCH(N1030,Antoine_Name,0),4)+(N1038-32)*5/9)))*14.7/760,IF(N1031="Crude Oil",EXP((2799/(N1038+459.6)-2.227)*LOG10(INDEX(FX_Input,AA$5,N$3*$Z$5+$AA$5))-(7261/(N1038+459.6))+12.82),IF(N1031="Refined Petroleum Stock",EXP((0.7553-(413/(N1038+459.6)))*(INDEX(FX_Input,AA$5,N$3*$Z$5+$AA$5-1)^0.5)*LOG10(INDEX(FX_Input,AA$5,N$3*$Z$5+$AA$5))-(1.854-(1042/(N1038+459.6)))*(INDEX(FX_Input,AA$5,N$3*$Z$5+$AA$5-1)^0.5)+((2416/(N1038+459.6)-2.013)*LOG10(INDEX(FX_Input,AA$5,N$3*$Z$5+$AA$5)))-(8742/(N1038+459.6))+15.64),EXP(INDEX(Antoines,MATCH(N1030,Antoine_Name,0),2)-INDEX(Antoines,MATCH(N1030,Antoine_Name,0),3)/(N1038+459.6))))),0)</f>
        <v>0</v>
      </c>
      <c r="O1051" cm="1">
        <f t="array" ref="O1051">IFERROR(IF(O1031="Chemical",(10^(INDEX(Antoines,MATCH(O1030,Antoine_Name,0),2)-INDEX(Antoines,MATCH(O1030,Antoine_Name,0),3)/(INDEX(Antoines,MATCH(O1030,Antoine_Name,0),4)+(O1038-32)*5/9)))*14.7/760,IF(O1031="Crude Oil",EXP((2799/(O1038+459.6)-2.227)*LOG10(INDEX(FX_Input,AB$5,O$3*$Z$5+$AA$5))-(7261/(O1038+459.6))+12.82),IF(O1031="Refined Petroleum Stock",EXP((0.7553-(413/(O1038+459.6)))*(INDEX(FX_Input,AB$5,O$3*$Z$5+$AA$5-1)^0.5)*LOG10(INDEX(FX_Input,AB$5,O$3*$Z$5+$AA$5))-(1.854-(1042/(O1038+459.6)))*(INDEX(FX_Input,AB$5,O$3*$Z$5+$AA$5-1)^0.5)+((2416/(O1038+459.6)-2.013)*LOG10(INDEX(FX_Input,AB$5,O$3*$Z$5+$AA$5)))-(8742/(O1038+459.6))+15.64),EXP(INDEX(Antoines,MATCH(O1030,Antoine_Name,0),2)-INDEX(Antoines,MATCH(O1030,Antoine_Name,0),3)/(O1038+459.6))))),0)</f>
        <v>0</v>
      </c>
    </row>
    <row r="1052" spans="2:15" ht="17.149999999999999" x14ac:dyDescent="0.55000000000000004">
      <c r="B1052" t="str">
        <f t="shared" si="3732"/>
        <v>Portland</v>
      </c>
      <c r="C1052" t="s">
        <v>1391</v>
      </c>
      <c r="D1052">
        <f>D1051*D1034</f>
        <v>0</v>
      </c>
      <c r="E1052">
        <f t="shared" ref="E1052" si="3810">E1051*E1034</f>
        <v>0</v>
      </c>
      <c r="F1052">
        <f t="shared" ref="F1052" si="3811">F1051*F1034</f>
        <v>0</v>
      </c>
      <c r="G1052">
        <f t="shared" ref="G1052" si="3812">G1051*G1034</f>
        <v>0</v>
      </c>
      <c r="H1052">
        <f t="shared" ref="H1052" si="3813">H1051*H1034</f>
        <v>0</v>
      </c>
      <c r="I1052">
        <f t="shared" ref="I1052" si="3814">I1051*I1034</f>
        <v>0</v>
      </c>
      <c r="J1052">
        <f t="shared" ref="J1052" si="3815">J1051*J1034</f>
        <v>0</v>
      </c>
      <c r="K1052">
        <f t="shared" ref="K1052" si="3816">K1051*K1034</f>
        <v>0</v>
      </c>
      <c r="L1052">
        <f t="shared" ref="L1052" si="3817">L1051*L1034</f>
        <v>0</v>
      </c>
      <c r="M1052">
        <f t="shared" ref="M1052" si="3818">M1051*M1034</f>
        <v>0</v>
      </c>
      <c r="N1052">
        <f t="shared" ref="N1052" si="3819">N1051*N1034</f>
        <v>0</v>
      </c>
      <c r="O1052">
        <f t="shared" ref="O1052" si="3820">O1051*O1034</f>
        <v>0</v>
      </c>
    </row>
    <row r="1053" spans="2:15" ht="17.149999999999999" x14ac:dyDescent="0.55000000000000004">
      <c r="B1053" t="str">
        <f t="shared" si="3732"/>
        <v>Portland</v>
      </c>
      <c r="C1053" t="s">
        <v>1392</v>
      </c>
      <c r="D1053">
        <f>D1050+D1052</f>
        <v>1</v>
      </c>
      <c r="E1053">
        <f t="shared" ref="E1053" si="3821">E1050+E1052</f>
        <v>1</v>
      </c>
      <c r="F1053">
        <f t="shared" ref="F1053" si="3822">F1050+F1052</f>
        <v>1</v>
      </c>
      <c r="G1053">
        <f t="shared" ref="G1053" si="3823">G1050+G1052</f>
        <v>1</v>
      </c>
      <c r="H1053">
        <f t="shared" ref="H1053" si="3824">H1050+H1052</f>
        <v>1</v>
      </c>
      <c r="I1053">
        <f t="shared" ref="I1053" si="3825">I1050+I1052</f>
        <v>1</v>
      </c>
      <c r="J1053">
        <f t="shared" ref="J1053" si="3826">J1050+J1052</f>
        <v>1</v>
      </c>
      <c r="K1053">
        <f t="shared" ref="K1053" si="3827">K1050+K1052</f>
        <v>1</v>
      </c>
      <c r="L1053">
        <f t="shared" ref="L1053" si="3828">L1050+L1052</f>
        <v>1</v>
      </c>
      <c r="M1053">
        <f t="shared" ref="M1053" si="3829">M1050+M1052</f>
        <v>1</v>
      </c>
      <c r="N1053">
        <f t="shared" ref="N1053" si="3830">N1050+N1052</f>
        <v>1</v>
      </c>
      <c r="O1053">
        <f t="shared" ref="O1053" si="3831">O1050+O1052</f>
        <v>1</v>
      </c>
    </row>
    <row r="1054" spans="2:15" ht="17.149999999999999" x14ac:dyDescent="0.55000000000000004">
      <c r="B1054" t="str">
        <f>B1048</f>
        <v>Portland</v>
      </c>
      <c r="C1054" t="s">
        <v>584</v>
      </c>
      <c r="D1054">
        <f>D1050/D1053</f>
        <v>1</v>
      </c>
      <c r="E1054">
        <f t="shared" ref="E1054" si="3832">E1050/E1053</f>
        <v>1</v>
      </c>
      <c r="F1054">
        <f t="shared" ref="F1054" si="3833">F1050/F1053</f>
        <v>1</v>
      </c>
      <c r="G1054">
        <f t="shared" ref="G1054" si="3834">G1050/G1053</f>
        <v>1</v>
      </c>
      <c r="H1054">
        <f t="shared" ref="H1054" si="3835">H1050/H1053</f>
        <v>1</v>
      </c>
      <c r="I1054">
        <f t="shared" ref="I1054" si="3836">I1050/I1053</f>
        <v>1</v>
      </c>
      <c r="J1054">
        <f t="shared" ref="J1054" si="3837">J1050/J1053</f>
        <v>1</v>
      </c>
      <c r="K1054">
        <f t="shared" ref="K1054" si="3838">K1050/K1053</f>
        <v>1</v>
      </c>
      <c r="L1054">
        <f t="shared" ref="L1054" si="3839">L1050/L1053</f>
        <v>1</v>
      </c>
      <c r="M1054">
        <f t="shared" ref="M1054" si="3840">M1050/M1053</f>
        <v>1</v>
      </c>
      <c r="N1054">
        <f t="shared" ref="N1054" si="3841">N1050/N1053</f>
        <v>1</v>
      </c>
      <c r="O1054">
        <f t="shared" ref="O1054" si="3842">O1050/O1053</f>
        <v>1</v>
      </c>
    </row>
    <row r="1055" spans="2:15" ht="17.149999999999999" x14ac:dyDescent="0.55000000000000004">
      <c r="B1055" t="str">
        <f>B1049</f>
        <v>Portland</v>
      </c>
      <c r="C1055" t="s">
        <v>585</v>
      </c>
      <c r="D1055" t="str">
        <f t="shared" ref="D1055:O1055" si="3843">INDEX(Phys_Prop,MATCH(D1028,Chem_List,0),3)</f>
        <v>N/A</v>
      </c>
      <c r="E1055" t="str">
        <f t="shared" si="3843"/>
        <v>N/A</v>
      </c>
      <c r="F1055" t="str">
        <f t="shared" si="3843"/>
        <v>N/A</v>
      </c>
      <c r="G1055" t="str">
        <f t="shared" si="3843"/>
        <v>N/A</v>
      </c>
      <c r="H1055" t="str">
        <f t="shared" si="3843"/>
        <v>N/A</v>
      </c>
      <c r="I1055" t="str">
        <f t="shared" si="3843"/>
        <v>N/A</v>
      </c>
      <c r="J1055" t="str">
        <f t="shared" si="3843"/>
        <v>N/A</v>
      </c>
      <c r="K1055" t="str">
        <f t="shared" si="3843"/>
        <v>N/A</v>
      </c>
      <c r="L1055" t="str">
        <f t="shared" si="3843"/>
        <v>N/A</v>
      </c>
      <c r="M1055" t="str">
        <f t="shared" si="3843"/>
        <v>N/A</v>
      </c>
      <c r="N1055" t="str">
        <f t="shared" si="3843"/>
        <v>N/A</v>
      </c>
      <c r="O1055" t="str">
        <f t="shared" si="3843"/>
        <v>N/A</v>
      </c>
    </row>
    <row r="1056" spans="2:15" ht="17.149999999999999" x14ac:dyDescent="0.55000000000000004">
      <c r="B1056" t="str">
        <f>B1055</f>
        <v>Portland</v>
      </c>
      <c r="C1056" t="s">
        <v>586</v>
      </c>
      <c r="D1056">
        <f>D1052/D1053</f>
        <v>0</v>
      </c>
      <c r="E1056">
        <f t="shared" ref="E1056:O1056" si="3844">E1052/E1053</f>
        <v>0</v>
      </c>
      <c r="F1056">
        <f t="shared" si="3844"/>
        <v>0</v>
      </c>
      <c r="G1056">
        <f t="shared" si="3844"/>
        <v>0</v>
      </c>
      <c r="H1056">
        <f t="shared" si="3844"/>
        <v>0</v>
      </c>
      <c r="I1056">
        <f t="shared" si="3844"/>
        <v>0</v>
      </c>
      <c r="J1056">
        <f t="shared" si="3844"/>
        <v>0</v>
      </c>
      <c r="K1056">
        <f t="shared" si="3844"/>
        <v>0</v>
      </c>
      <c r="L1056">
        <f t="shared" si="3844"/>
        <v>0</v>
      </c>
      <c r="M1056">
        <f t="shared" si="3844"/>
        <v>0</v>
      </c>
      <c r="N1056">
        <f t="shared" si="3844"/>
        <v>0</v>
      </c>
      <c r="O1056">
        <f t="shared" si="3844"/>
        <v>0</v>
      </c>
    </row>
    <row r="1057" spans="1:32" ht="17.149999999999999" x14ac:dyDescent="0.55000000000000004">
      <c r="B1057" t="str">
        <f t="shared" si="3732"/>
        <v>Portland</v>
      </c>
      <c r="C1057" t="s">
        <v>587</v>
      </c>
      <c r="D1057">
        <f t="shared" ref="D1057:O1057" si="3845">IFERROR(INDEX(Phys_Prop,MATCH(D1030,Chem_List,0),3),0)</f>
        <v>0</v>
      </c>
      <c r="E1057">
        <f t="shared" si="3845"/>
        <v>0</v>
      </c>
      <c r="F1057">
        <f t="shared" si="3845"/>
        <v>0</v>
      </c>
      <c r="G1057">
        <f t="shared" si="3845"/>
        <v>0</v>
      </c>
      <c r="H1057">
        <f t="shared" si="3845"/>
        <v>0</v>
      </c>
      <c r="I1057">
        <f t="shared" si="3845"/>
        <v>0</v>
      </c>
      <c r="J1057">
        <f t="shared" si="3845"/>
        <v>0</v>
      </c>
      <c r="K1057">
        <f t="shared" si="3845"/>
        <v>0</v>
      </c>
      <c r="L1057">
        <f t="shared" si="3845"/>
        <v>0</v>
      </c>
      <c r="M1057">
        <f t="shared" si="3845"/>
        <v>0</v>
      </c>
      <c r="N1057">
        <f t="shared" si="3845"/>
        <v>0</v>
      </c>
      <c r="O1057">
        <f t="shared" si="3845"/>
        <v>0</v>
      </c>
    </row>
    <row r="1058" spans="1:32" ht="17.149999999999999" x14ac:dyDescent="0.55000000000000004">
      <c r="A1058" s="11"/>
      <c r="B1058" s="11" t="str">
        <f t="shared" si="3732"/>
        <v>Portland</v>
      </c>
      <c r="C1058" s="11" t="s">
        <v>588</v>
      </c>
      <c r="D1058" s="11">
        <f>IFERROR(D1054*D1055+D1056*D1057,0)</f>
        <v>0</v>
      </c>
      <c r="E1058" s="11">
        <f t="shared" ref="E1058" si="3846">IFERROR(E1054*E1055+E1056*E1057,0)</f>
        <v>0</v>
      </c>
      <c r="F1058" s="11">
        <f t="shared" ref="F1058" si="3847">IFERROR(F1054*F1055+F1056*F1057,0)</f>
        <v>0</v>
      </c>
      <c r="G1058" s="11">
        <f t="shared" ref="G1058" si="3848">IFERROR(G1054*G1055+G1056*G1057,0)</f>
        <v>0</v>
      </c>
      <c r="H1058" s="11">
        <f t="shared" ref="H1058" si="3849">IFERROR(H1054*H1055+H1056*H1057,0)</f>
        <v>0</v>
      </c>
      <c r="I1058" s="11">
        <f t="shared" ref="I1058" si="3850">IFERROR(I1054*I1055+I1056*I1057,0)</f>
        <v>0</v>
      </c>
      <c r="J1058" s="11">
        <f t="shared" ref="J1058" si="3851">IFERROR(J1054*J1055+J1056*J1057,0)</f>
        <v>0</v>
      </c>
      <c r="K1058" s="11">
        <f t="shared" ref="K1058" si="3852">IFERROR(K1054*K1055+K1056*K1057,0)</f>
        <v>0</v>
      </c>
      <c r="L1058" s="11">
        <f t="shared" ref="L1058" si="3853">IFERROR(L1054*L1055+L1056*L1057,0)</f>
        <v>0</v>
      </c>
      <c r="M1058" s="11">
        <f t="shared" ref="M1058" si="3854">IFERROR(M1054*M1055+M1056*M1057,0)</f>
        <v>0</v>
      </c>
      <c r="N1058" s="11">
        <f t="shared" ref="N1058" si="3855">IFERROR(N1054*N1055+N1056*N1057,0)</f>
        <v>0</v>
      </c>
      <c r="O1058" s="11">
        <f t="shared" ref="O1058" si="3856">IFERROR(O1054*O1055+O1056*O1057,0)</f>
        <v>0</v>
      </c>
      <c r="P1058" s="11"/>
      <c r="Q1058" s="11"/>
      <c r="R1058" s="11"/>
      <c r="S1058" s="11"/>
      <c r="T1058" s="11"/>
      <c r="U1058" s="11"/>
      <c r="V1058" s="11"/>
      <c r="W1058" s="11"/>
      <c r="X1058" s="11"/>
      <c r="Y1058" s="11"/>
      <c r="Z1058" s="11"/>
      <c r="AA1058" s="11"/>
      <c r="AB1058" s="11"/>
      <c r="AC1058" s="11"/>
      <c r="AD1058" s="11"/>
      <c r="AE1058" s="11"/>
      <c r="AF1058" s="11"/>
    </row>
    <row r="1059" spans="1:32" ht="17.149999999999999" x14ac:dyDescent="0.55000000000000004">
      <c r="A1059" t="str" cm="1">
        <f t="array" ref="A1059">INDEX(FX_Input,$Q1059,R$5)</f>
        <v>FX - 32</v>
      </c>
      <c r="B1059" t="str" cm="1">
        <f t="array" ref="B1059">INDEX(FX_Input,Q1059,S1059)</f>
        <v>Portland</v>
      </c>
      <c r="C1059" t="s">
        <v>563</v>
      </c>
      <c r="D1059">
        <v>14.7</v>
      </c>
      <c r="E1059">
        <v>14.7</v>
      </c>
      <c r="F1059">
        <v>14.7</v>
      </c>
      <c r="G1059">
        <v>14.7</v>
      </c>
      <c r="H1059">
        <v>14.7</v>
      </c>
      <c r="I1059">
        <v>14.7</v>
      </c>
      <c r="J1059">
        <v>14.7</v>
      </c>
      <c r="K1059">
        <v>14.7</v>
      </c>
      <c r="L1059">
        <v>14.7</v>
      </c>
      <c r="M1059">
        <v>14.7</v>
      </c>
      <c r="N1059">
        <v>14.7</v>
      </c>
      <c r="O1059">
        <v>14.7</v>
      </c>
      <c r="Q1059">
        <f>Q1025+2</f>
        <v>63</v>
      </c>
      <c r="R1059">
        <v>1</v>
      </c>
      <c r="S1059">
        <v>3</v>
      </c>
      <c r="T1059">
        <v>1</v>
      </c>
      <c r="U1059">
        <v>19</v>
      </c>
      <c r="V1059">
        <v>20</v>
      </c>
      <c r="W1059">
        <v>25</v>
      </c>
      <c r="X1059">
        <v>1</v>
      </c>
      <c r="Y1059">
        <v>2</v>
      </c>
      <c r="Z1059">
        <f>(W1059-V1059)/(Y1059-X1059)</f>
        <v>5</v>
      </c>
      <c r="AA1059">
        <f>V1059-Z1059*X1059</f>
        <v>15</v>
      </c>
      <c r="AD1059">
        <f>AD1025+14</f>
        <v>435</v>
      </c>
      <c r="AF1059">
        <f>AF1025+14</f>
        <v>435</v>
      </c>
    </row>
    <row r="1060" spans="1:32" ht="17.149999999999999" x14ac:dyDescent="0.55000000000000004">
      <c r="B1060" t="str">
        <f t="shared" ref="B1060" si="3857">B1059</f>
        <v>Portland</v>
      </c>
      <c r="C1060" t="s">
        <v>564</v>
      </c>
      <c r="D1060" cm="1">
        <f t="array" ref="D1060">IF(ISBLANK(INDEX(FX_Input,$Q1059,$AB1060)),0.03,INDEX(FX_Input,Q1059,AB1060))</f>
        <v>0.03</v>
      </c>
      <c r="E1060" cm="1">
        <f t="array" ref="E1060">IF(ISBLANK(INDEX(FX_Input,$Q1059,$AB1060)),0.03,INDEX(FX_Input,R1059,#REF!))</f>
        <v>0.03</v>
      </c>
      <c r="F1060" cm="1">
        <f t="array" ref="F1060">IF(ISBLANK(INDEX(FX_Input,$Q1059,$AB1060)),0.03,INDEX(FX_Input,S1059,#REF!))</f>
        <v>0.03</v>
      </c>
      <c r="G1060" cm="1">
        <f t="array" ref="G1060">IF(ISBLANK(INDEX(FX_Input,$Q1059,$AB1060)),0.03,INDEX(FX_Input,AB1059,#REF!))</f>
        <v>0.03</v>
      </c>
      <c r="H1060" cm="1">
        <f t="array" ref="H1060">IF(ISBLANK(INDEX(FX_Input,$Q1059,$AB1060)),0.03,INDEX(FX_Input,#REF!,#REF!))</f>
        <v>0.03</v>
      </c>
      <c r="I1060" cm="1">
        <f t="array" ref="I1060">IF(ISBLANK(INDEX(FX_Input,$Q1059,$AB1060)),0.03,INDEX(FX_Input,#REF!,#REF!))</f>
        <v>0.03</v>
      </c>
      <c r="J1060" cm="1">
        <f t="array" ref="J1060">IF(ISBLANK(INDEX(FX_Input,$Q1059,$AB1060)),0.03,INDEX(FX_Input,#REF!,#REF!))</f>
        <v>0.03</v>
      </c>
      <c r="K1060" cm="1">
        <f t="array" ref="K1060">IF(ISBLANK(INDEX(FX_Input,$Q1059,$AB1060)),0.03,INDEX(FX_Input,#REF!,AC1060))</f>
        <v>0.03</v>
      </c>
      <c r="L1060" cm="1">
        <f t="array" ref="L1060">IF(ISBLANK(INDEX(FX_Input,$Q1059,$AB1060)),0.03,INDEX(FX_Input,#REF!,AD1060))</f>
        <v>0.03</v>
      </c>
      <c r="M1060" cm="1">
        <f t="array" ref="M1060">IF(ISBLANK(INDEX(FX_Input,$Q1059,$AB1060)),0.03,INDEX(FX_Input,#REF!,#REF!))</f>
        <v>0.03</v>
      </c>
      <c r="N1060" cm="1">
        <f t="array" ref="N1060">IF(ISBLANK(INDEX(FX_Input,$Q1059,$AB1060)),0.03,INDEX(FX_Input,AC1059,#REF!))</f>
        <v>0.03</v>
      </c>
      <c r="O1060" cm="1">
        <f t="array" ref="O1060">IF(ISBLANK(INDEX(FX_Input,$Q1059,$AB1060)),0.03,INDEX(FX_Input,AD1059,#REF!))</f>
        <v>0.03</v>
      </c>
      <c r="AB1060">
        <v>15</v>
      </c>
    </row>
    <row r="1061" spans="1:32" ht="17.149999999999999" x14ac:dyDescent="0.55000000000000004">
      <c r="B1061" t="str">
        <f>B1060</f>
        <v>Portland</v>
      </c>
      <c r="C1061" t="s">
        <v>565</v>
      </c>
      <c r="D1061" cm="1">
        <f t="array" ref="D1061">IF(ISBLANK(INDEX(FX_Input,$Q1059,$AB1061)),-0.03,INDEX(FX_Input,Q1059,AB1061))</f>
        <v>-0.03</v>
      </c>
      <c r="E1061" cm="1">
        <f t="array" ref="E1061">IF(ISBLANK(INDEX(FX_Input,$Q1059,$AB1061)),-0.03,INDEX(FX_Input,R1059,#REF!))</f>
        <v>-0.03</v>
      </c>
      <c r="F1061" cm="1">
        <f t="array" ref="F1061">IF(ISBLANK(INDEX(FX_Input,$Q1059,$AB1061)),-0.03,INDEX(FX_Input,S1059,#REF!))</f>
        <v>-0.03</v>
      </c>
      <c r="G1061" cm="1">
        <f t="array" ref="G1061">IF(ISBLANK(INDEX(FX_Input,$Q1059,$AB1061)),-0.03,INDEX(FX_Input,AB1059,#REF!))</f>
        <v>-0.03</v>
      </c>
      <c r="H1061" cm="1">
        <f t="array" ref="H1061">IF(ISBLANK(INDEX(FX_Input,$Q1059,$AB1061)),-0.03,INDEX(FX_Input,#REF!,#REF!))</f>
        <v>-0.03</v>
      </c>
      <c r="I1061" cm="1">
        <f t="array" ref="I1061">IF(ISBLANK(INDEX(FX_Input,$Q1059,$AB1061)),-0.03,INDEX(FX_Input,#REF!,#REF!))</f>
        <v>-0.03</v>
      </c>
      <c r="J1061" cm="1">
        <f t="array" ref="J1061">IF(ISBLANK(INDEX(FX_Input,$Q1059,$AB1061)),-0.03,INDEX(FX_Input,#REF!,#REF!))</f>
        <v>-0.03</v>
      </c>
      <c r="K1061" cm="1">
        <f t="array" ref="K1061">IF(ISBLANK(INDEX(FX_Input,$Q1059,$AB1061)),-0.03,INDEX(FX_Input,#REF!,AC1061))</f>
        <v>-0.03</v>
      </c>
      <c r="L1061" cm="1">
        <f t="array" ref="L1061">IF(ISBLANK(INDEX(FX_Input,$Q1059,$AB1061)),-0.03,INDEX(FX_Input,#REF!,AD1061))</f>
        <v>-0.03</v>
      </c>
      <c r="M1061" cm="1">
        <f t="array" ref="M1061">IF(ISBLANK(INDEX(FX_Input,$Q1059,$AB1061)),-0.03,INDEX(FX_Input,#REF!,#REF!))</f>
        <v>-0.03</v>
      </c>
      <c r="N1061" cm="1">
        <f t="array" ref="N1061">IF(ISBLANK(INDEX(FX_Input,$Q1059,$AB1061)),-0.03,INDEX(FX_Input,AC1059,#REF!))</f>
        <v>-0.03</v>
      </c>
      <c r="O1061" cm="1">
        <f t="array" ref="O1061">IF(ISBLANK(INDEX(FX_Input,$Q1059,$AB1061)),-0.03,INDEX(FX_Input,AD1059,#REF!))</f>
        <v>-0.03</v>
      </c>
      <c r="AB1061">
        <v>16</v>
      </c>
    </row>
    <row r="1062" spans="1:32" x14ac:dyDescent="0.4">
      <c r="B1062" t="str">
        <f t="shared" ref="B1062:B1063" si="3858">B1061</f>
        <v>Portland</v>
      </c>
      <c r="C1062" s="66" t="s">
        <v>567</v>
      </c>
      <c r="D1062" t="str" cm="1">
        <f t="array" ref="D1062">INDEX(FX_Multi,$AD1062,D$3)</f>
        <v>Out of Service</v>
      </c>
      <c r="E1062" t="str" cm="1">
        <f t="array" ref="E1062">INDEX(FX_Multi,$AD1062,E$3)</f>
        <v>Out of Service</v>
      </c>
      <c r="F1062" t="str" cm="1">
        <f t="array" ref="F1062">INDEX(FX_Multi,$AD1062,F$3)</f>
        <v>Out of Service</v>
      </c>
      <c r="G1062" t="str" cm="1">
        <f t="array" ref="G1062">INDEX(FX_Multi,$AD1062,G$3)</f>
        <v>Out of Service</v>
      </c>
      <c r="H1062" t="str" cm="1">
        <f t="array" ref="H1062">INDEX(FX_Multi,$AD1062,H$3)</f>
        <v>Out of Service</v>
      </c>
      <c r="I1062" t="str" cm="1">
        <f t="array" ref="I1062">INDEX(FX_Multi,$AD1062,I$3)</f>
        <v>Out of Service</v>
      </c>
      <c r="J1062" t="str" cm="1">
        <f t="array" ref="J1062">INDEX(FX_Multi,$AD1062,J$3)</f>
        <v>Out of Service</v>
      </c>
      <c r="K1062" t="str" cm="1">
        <f t="array" ref="K1062">INDEX(FX_Multi,$AD1062,K$3)</f>
        <v>Out of Service</v>
      </c>
      <c r="L1062" t="str" cm="1">
        <f t="array" ref="L1062">INDEX(FX_Multi,$AD1062,L$3)</f>
        <v>Out of Service</v>
      </c>
      <c r="M1062" t="str" cm="1">
        <f t="array" ref="M1062">INDEX(FX_Multi,$AD1062,M$3)</f>
        <v>Out of Service</v>
      </c>
      <c r="N1062" t="str" cm="1">
        <f t="array" ref="N1062">INDEX(FX_Multi,$AD1062,N$3)</f>
        <v>Out of Service</v>
      </c>
      <c r="O1062" t="str" cm="1">
        <f t="array" ref="O1062">INDEX(FX_Multi,$AD1062,O$3)</f>
        <v>Out of Service</v>
      </c>
      <c r="AC1062">
        <v>1</v>
      </c>
      <c r="AD1062">
        <f>AD1059</f>
        <v>435</v>
      </c>
      <c r="AE1062">
        <v>1</v>
      </c>
      <c r="AF1062">
        <f>AF1059</f>
        <v>435</v>
      </c>
    </row>
    <row r="1063" spans="1:32" x14ac:dyDescent="0.4">
      <c r="B1063" t="str">
        <f t="shared" si="3858"/>
        <v>Portland</v>
      </c>
      <c r="C1063" s="66" t="s">
        <v>566</v>
      </c>
      <c r="D1063" t="str" cm="1">
        <f t="array" ref="D1063">INDEX(FX_Multi,$AD1063,D$3)</f>
        <v>N/A</v>
      </c>
      <c r="E1063" t="str" cm="1">
        <f t="array" ref="E1063">INDEX(FX_Multi,$AD1063,E$3)</f>
        <v>N/A</v>
      </c>
      <c r="F1063" t="str" cm="1">
        <f t="array" ref="F1063">INDEX(FX_Multi,$AD1063,F$3)</f>
        <v>N/A</v>
      </c>
      <c r="G1063" t="str" cm="1">
        <f t="array" ref="G1063">INDEX(FX_Multi,$AD1063,G$3)</f>
        <v>N/A</v>
      </c>
      <c r="H1063" t="str" cm="1">
        <f t="array" ref="H1063">INDEX(FX_Multi,$AD1063,H$3)</f>
        <v>N/A</v>
      </c>
      <c r="I1063" t="str" cm="1">
        <f t="array" ref="I1063">INDEX(FX_Multi,$AD1063,I$3)</f>
        <v>N/A</v>
      </c>
      <c r="J1063" t="str" cm="1">
        <f t="array" ref="J1063">INDEX(FX_Multi,$AD1063,J$3)</f>
        <v>N/A</v>
      </c>
      <c r="K1063" t="str" cm="1">
        <f t="array" ref="K1063">INDEX(FX_Multi,$AD1063,K$3)</f>
        <v>N/A</v>
      </c>
      <c r="L1063" t="str" cm="1">
        <f t="array" ref="L1063">INDEX(FX_Multi,$AD1063,L$3)</f>
        <v>N/A</v>
      </c>
      <c r="M1063" t="str" cm="1">
        <f t="array" ref="M1063">INDEX(FX_Multi,$AD1063,M$3)</f>
        <v>N/A</v>
      </c>
      <c r="N1063" t="str" cm="1">
        <f t="array" ref="N1063">INDEX(FX_Multi,$AD1063,N$3)</f>
        <v>N/A</v>
      </c>
      <c r="O1063" t="str" cm="1">
        <f t="array" ref="O1063">INDEX(FX_Multi,$AD1063,O$3)</f>
        <v>N/A</v>
      </c>
      <c r="AC1063">
        <v>1</v>
      </c>
      <c r="AD1063">
        <f>AD1062+2</f>
        <v>437</v>
      </c>
      <c r="AE1063">
        <v>1</v>
      </c>
      <c r="AF1063">
        <f>AF1062+3</f>
        <v>438</v>
      </c>
    </row>
    <row r="1064" spans="1:32" x14ac:dyDescent="0.4">
      <c r="B1064" t="str">
        <f>B1060</f>
        <v>Portland</v>
      </c>
      <c r="C1064" s="66" t="s">
        <v>568</v>
      </c>
      <c r="D1064" cm="1">
        <f t="array" ref="D1064">INDEX(FX_Multi,$AD1064,D$3)</f>
        <v>0</v>
      </c>
      <c r="E1064" cm="1">
        <f t="array" ref="E1064">INDEX(FX_Multi,$AD1064,E$3)</f>
        <v>0</v>
      </c>
      <c r="F1064" cm="1">
        <f t="array" ref="F1064">INDEX(FX_Multi,$AD1064,F$3)</f>
        <v>0</v>
      </c>
      <c r="G1064" cm="1">
        <f t="array" ref="G1064">INDEX(FX_Multi,$AD1064,G$3)</f>
        <v>0</v>
      </c>
      <c r="H1064" cm="1">
        <f t="array" ref="H1064">INDEX(FX_Multi,$AD1064,H$3)</f>
        <v>0</v>
      </c>
      <c r="I1064" cm="1">
        <f t="array" ref="I1064">INDEX(FX_Multi,$AD1064,I$3)</f>
        <v>0</v>
      </c>
      <c r="J1064" cm="1">
        <f t="array" ref="J1064">INDEX(FX_Multi,$AD1064,J$3)</f>
        <v>0</v>
      </c>
      <c r="K1064" cm="1">
        <f t="array" ref="K1064">INDEX(FX_Multi,$AD1064,K$3)</f>
        <v>0</v>
      </c>
      <c r="L1064" cm="1">
        <f t="array" ref="L1064">INDEX(FX_Multi,$AD1064,L$3)</f>
        <v>0</v>
      </c>
      <c r="M1064" cm="1">
        <f t="array" ref="M1064">INDEX(FX_Multi,$AD1064,M$3)</f>
        <v>0</v>
      </c>
      <c r="N1064" cm="1">
        <f t="array" ref="N1064">INDEX(FX_Multi,$AD1064,N$3)</f>
        <v>0</v>
      </c>
      <c r="O1064" cm="1">
        <f t="array" ref="O1064">INDEX(FX_Multi,$AD1064,O$3)</f>
        <v>0</v>
      </c>
      <c r="AC1064">
        <v>1</v>
      </c>
      <c r="AD1064">
        <f>AD1063-1</f>
        <v>436</v>
      </c>
      <c r="AE1064">
        <v>1</v>
      </c>
      <c r="AF1064">
        <f>AF1062+1</f>
        <v>436</v>
      </c>
    </row>
    <row r="1065" spans="1:32" x14ac:dyDescent="0.4">
      <c r="B1065" t="str">
        <f t="shared" ref="B1065:B1069" si="3859">B1064</f>
        <v>Portland</v>
      </c>
      <c r="C1065" s="66" t="s">
        <v>569</v>
      </c>
      <c r="D1065" cm="1">
        <f t="array" ref="D1065">INDEX(FX_Multi,$AD1065,D$3)</f>
        <v>0</v>
      </c>
      <c r="E1065" cm="1">
        <f t="array" ref="E1065">INDEX(FX_Multi,$AD1065,E$3)</f>
        <v>0</v>
      </c>
      <c r="F1065" cm="1">
        <f t="array" ref="F1065">INDEX(FX_Multi,$AD1065,F$3)</f>
        <v>0</v>
      </c>
      <c r="G1065" cm="1">
        <f t="array" ref="G1065">INDEX(FX_Multi,$AD1065,G$3)</f>
        <v>0</v>
      </c>
      <c r="H1065" cm="1">
        <f t="array" ref="H1065">INDEX(FX_Multi,$AD1065,H$3)</f>
        <v>0</v>
      </c>
      <c r="I1065" cm="1">
        <f t="array" ref="I1065">INDEX(FX_Multi,$AD1065,I$3)</f>
        <v>0</v>
      </c>
      <c r="J1065" cm="1">
        <f t="array" ref="J1065">INDEX(FX_Multi,$AD1065,J$3)</f>
        <v>0</v>
      </c>
      <c r="K1065" cm="1">
        <f t="array" ref="K1065">INDEX(FX_Multi,$AD1065,K$3)</f>
        <v>0</v>
      </c>
      <c r="L1065" cm="1">
        <f t="array" ref="L1065">INDEX(FX_Multi,$AD1065,L$3)</f>
        <v>0</v>
      </c>
      <c r="M1065" cm="1">
        <f t="array" ref="M1065">INDEX(FX_Multi,$AD1065,M$3)</f>
        <v>0</v>
      </c>
      <c r="N1065" cm="1">
        <f t="array" ref="N1065">INDEX(FX_Multi,$AD1065,N$3)</f>
        <v>0</v>
      </c>
      <c r="O1065" cm="1">
        <f t="array" ref="O1065">INDEX(FX_Multi,$AD1065,O$3)</f>
        <v>0</v>
      </c>
      <c r="AC1065">
        <v>1</v>
      </c>
      <c r="AD1065">
        <f>AD1064+2</f>
        <v>438</v>
      </c>
      <c r="AE1065">
        <v>1</v>
      </c>
      <c r="AF1065">
        <f>AF1063</f>
        <v>438</v>
      </c>
    </row>
    <row r="1066" spans="1:32" ht="17.149999999999999" x14ac:dyDescent="0.55000000000000004">
      <c r="B1066" t="str">
        <f t="shared" si="3859"/>
        <v>Portland</v>
      </c>
      <c r="C1066" t="s">
        <v>570</v>
      </c>
      <c r="D1066" cm="1">
        <f t="array" ref="D1066">INDEX(FX_Multi,$AD1066,D$3)</f>
        <v>1</v>
      </c>
      <c r="E1066" cm="1">
        <f t="array" ref="E1066">INDEX(FX_Multi,$AD1066,E$3)</f>
        <v>1</v>
      </c>
      <c r="F1066" cm="1">
        <f t="array" ref="F1066">INDEX(FX_Multi,$AD1066,F$3)</f>
        <v>1</v>
      </c>
      <c r="G1066" cm="1">
        <f t="array" ref="G1066">INDEX(FX_Multi,$AD1066,G$3)</f>
        <v>1</v>
      </c>
      <c r="H1066" cm="1">
        <f t="array" ref="H1066">INDEX(FX_Multi,$AD1066,H$3)</f>
        <v>1</v>
      </c>
      <c r="I1066" cm="1">
        <f t="array" ref="I1066">INDEX(FX_Multi,$AD1066,I$3)</f>
        <v>1</v>
      </c>
      <c r="J1066" cm="1">
        <f t="array" ref="J1066">INDEX(FX_Multi,$AD1066,J$3)</f>
        <v>1</v>
      </c>
      <c r="K1066" cm="1">
        <f t="array" ref="K1066">INDEX(FX_Multi,$AD1066,K$3)</f>
        <v>1</v>
      </c>
      <c r="L1066" cm="1">
        <f t="array" ref="L1066">INDEX(FX_Multi,$AD1066,L$3)</f>
        <v>1</v>
      </c>
      <c r="M1066" cm="1">
        <f t="array" ref="M1066">INDEX(FX_Multi,$AD1066,M$3)</f>
        <v>1</v>
      </c>
      <c r="N1066" cm="1">
        <f t="array" ref="N1066">INDEX(FX_Multi,$AD1066,N$3)</f>
        <v>1</v>
      </c>
      <c r="O1066" cm="1">
        <f t="array" ref="O1066">INDEX(FX_Multi,$AD1066,O$3)</f>
        <v>1</v>
      </c>
      <c r="AC1066">
        <v>1</v>
      </c>
      <c r="AD1066">
        <f>AD1065+6</f>
        <v>444</v>
      </c>
      <c r="AE1066">
        <v>1</v>
      </c>
      <c r="AF1066">
        <f>AF1062+9</f>
        <v>444</v>
      </c>
    </row>
    <row r="1067" spans="1:32" ht="17.149999999999999" x14ac:dyDescent="0.55000000000000004">
      <c r="B1067" t="str">
        <f t="shared" si="3859"/>
        <v>Portland</v>
      </c>
      <c r="C1067" t="s">
        <v>571</v>
      </c>
      <c r="D1067" t="str" cm="1">
        <f t="array" ref="D1067">INDEX(FX_Multi,$AD1067,D$3)</f>
        <v>N/A</v>
      </c>
      <c r="E1067" t="str" cm="1">
        <f t="array" ref="E1067">INDEX(FX_Multi,$AD1067,E$3)</f>
        <v>N/A</v>
      </c>
      <c r="F1067" t="str" cm="1">
        <f t="array" ref="F1067">INDEX(FX_Multi,$AD1067,F$3)</f>
        <v>N/A</v>
      </c>
      <c r="G1067" t="str" cm="1">
        <f t="array" ref="G1067">INDEX(FX_Multi,$AD1067,G$3)</f>
        <v>N/A</v>
      </c>
      <c r="H1067" t="str" cm="1">
        <f t="array" ref="H1067">INDEX(FX_Multi,$AD1067,H$3)</f>
        <v>N/A</v>
      </c>
      <c r="I1067" t="str" cm="1">
        <f t="array" ref="I1067">INDEX(FX_Multi,$AD1067,I$3)</f>
        <v>N/A</v>
      </c>
      <c r="J1067" t="str" cm="1">
        <f t="array" ref="J1067">INDEX(FX_Multi,$AD1067,J$3)</f>
        <v>N/A</v>
      </c>
      <c r="K1067" t="str" cm="1">
        <f t="array" ref="K1067">INDEX(FX_Multi,$AD1067,K$3)</f>
        <v>N/A</v>
      </c>
      <c r="L1067" t="str" cm="1">
        <f t="array" ref="L1067">INDEX(FX_Multi,$AD1067,L$3)</f>
        <v>N/A</v>
      </c>
      <c r="M1067" t="str" cm="1">
        <f t="array" ref="M1067">INDEX(FX_Multi,$AD1067,M$3)</f>
        <v>N/A</v>
      </c>
      <c r="N1067" t="str" cm="1">
        <f t="array" ref="N1067">INDEX(FX_Multi,$AD1067,N$3)</f>
        <v>N/A</v>
      </c>
      <c r="O1067" t="str" cm="1">
        <f t="array" ref="O1067">INDEX(FX_Multi,$AD1067,O$3)</f>
        <v>N/A</v>
      </c>
      <c r="AC1067">
        <v>1</v>
      </c>
      <c r="AD1067">
        <f>AD1066-3</f>
        <v>441</v>
      </c>
      <c r="AE1067">
        <v>1</v>
      </c>
      <c r="AF1067">
        <f>AF1062+6</f>
        <v>441</v>
      </c>
    </row>
    <row r="1068" spans="1:32" ht="17.149999999999999" x14ac:dyDescent="0.55000000000000004">
      <c r="B1068" t="str">
        <f t="shared" si="3859"/>
        <v>Portland</v>
      </c>
      <c r="C1068" t="s">
        <v>572</v>
      </c>
      <c r="D1068" cm="1">
        <f t="array" ref="D1068">INDEX(FX_Multi,$AD1068,D$3)</f>
        <v>0</v>
      </c>
      <c r="E1068" cm="1">
        <f t="array" ref="E1068">INDEX(FX_Multi,$AD1068,E$3)</f>
        <v>0</v>
      </c>
      <c r="F1068" cm="1">
        <f t="array" ref="F1068">INDEX(FX_Multi,$AD1068,F$3)</f>
        <v>0</v>
      </c>
      <c r="G1068" cm="1">
        <f t="array" ref="G1068">INDEX(FX_Multi,$AD1068,G$3)</f>
        <v>0</v>
      </c>
      <c r="H1068" cm="1">
        <f t="array" ref="H1068">INDEX(FX_Multi,$AD1068,H$3)</f>
        <v>0</v>
      </c>
      <c r="I1068" cm="1">
        <f t="array" ref="I1068">INDEX(FX_Multi,$AD1068,I$3)</f>
        <v>0</v>
      </c>
      <c r="J1068" cm="1">
        <f t="array" ref="J1068">INDEX(FX_Multi,$AD1068,J$3)</f>
        <v>0</v>
      </c>
      <c r="K1068" cm="1">
        <f t="array" ref="K1068">INDEX(FX_Multi,$AD1068,K$3)</f>
        <v>0</v>
      </c>
      <c r="L1068" cm="1">
        <f t="array" ref="L1068">INDEX(FX_Multi,$AD1068,L$3)</f>
        <v>0</v>
      </c>
      <c r="M1068" cm="1">
        <f t="array" ref="M1068">INDEX(FX_Multi,$AD1068,M$3)</f>
        <v>0</v>
      </c>
      <c r="N1068" cm="1">
        <f t="array" ref="N1068">INDEX(FX_Multi,$AD1068,N$3)</f>
        <v>0</v>
      </c>
      <c r="O1068" cm="1">
        <f t="array" ref="O1068">INDEX(FX_Multi,$AD1068,O$3)</f>
        <v>0</v>
      </c>
      <c r="AC1068">
        <v>1</v>
      </c>
      <c r="AD1068">
        <f>AD1067+4</f>
        <v>445</v>
      </c>
      <c r="AE1068">
        <v>1</v>
      </c>
      <c r="AF1068">
        <f>AF1062+10</f>
        <v>445</v>
      </c>
    </row>
    <row r="1069" spans="1:32" ht="17.149999999999999" x14ac:dyDescent="0.55000000000000004">
      <c r="B1069" t="str">
        <f t="shared" si="3859"/>
        <v>Portland</v>
      </c>
      <c r="C1069" t="s">
        <v>573</v>
      </c>
      <c r="D1069" cm="1">
        <f t="array" ref="D1069">INDEX(FX_Multi,$AD1069,D$3)</f>
        <v>0</v>
      </c>
      <c r="E1069" cm="1">
        <f t="array" ref="E1069">INDEX(FX_Multi,$AD1069,E$3)</f>
        <v>0</v>
      </c>
      <c r="F1069" cm="1">
        <f t="array" ref="F1069">INDEX(FX_Multi,$AD1069,F$3)</f>
        <v>0</v>
      </c>
      <c r="G1069" cm="1">
        <f t="array" ref="G1069">INDEX(FX_Multi,$AD1069,G$3)</f>
        <v>0</v>
      </c>
      <c r="H1069" cm="1">
        <f t="array" ref="H1069">INDEX(FX_Multi,$AD1069,H$3)</f>
        <v>0</v>
      </c>
      <c r="I1069" cm="1">
        <f t="array" ref="I1069">INDEX(FX_Multi,$AD1069,I$3)</f>
        <v>0</v>
      </c>
      <c r="J1069" cm="1">
        <f t="array" ref="J1069">INDEX(FX_Multi,$AD1069,J$3)</f>
        <v>0</v>
      </c>
      <c r="K1069" cm="1">
        <f t="array" ref="K1069">INDEX(FX_Multi,$AD1069,K$3)</f>
        <v>0</v>
      </c>
      <c r="L1069" cm="1">
        <f t="array" ref="L1069">INDEX(FX_Multi,$AD1069,L$3)</f>
        <v>0</v>
      </c>
      <c r="M1069" cm="1">
        <f t="array" ref="M1069">INDEX(FX_Multi,$AD1069,M$3)</f>
        <v>0</v>
      </c>
      <c r="N1069" cm="1">
        <f t="array" ref="N1069">INDEX(FX_Multi,$AD1069,N$3)</f>
        <v>0</v>
      </c>
      <c r="O1069" cm="1">
        <f t="array" ref="O1069">INDEX(FX_Multi,$AD1069,O$3)</f>
        <v>0</v>
      </c>
      <c r="AC1069">
        <v>1</v>
      </c>
      <c r="AD1069">
        <f>AD1068-3</f>
        <v>442</v>
      </c>
      <c r="AE1069">
        <v>1</v>
      </c>
      <c r="AF1069">
        <f>AF1062+7</f>
        <v>442</v>
      </c>
    </row>
    <row r="1070" spans="1:32" ht="17.149999999999999" x14ac:dyDescent="0.55000000000000004">
      <c r="B1070" t="str">
        <f>B1065</f>
        <v>Portland</v>
      </c>
      <c r="C1070" t="s">
        <v>526</v>
      </c>
      <c r="D1070" cm="1">
        <f t="array" ref="D1070">INDEX(FX_Temps,$AF1070,D$3)</f>
        <v>43.899999999999977</v>
      </c>
      <c r="E1070" cm="1">
        <f t="array" ref="E1070">INDEX(FX_Temps,$AF1070,E$3)</f>
        <v>44.700000000000045</v>
      </c>
      <c r="F1070" cm="1">
        <f t="array" ref="F1070">INDEX(FX_Temps,$AF1070,F$3)</f>
        <v>46.100000000000023</v>
      </c>
      <c r="G1070" cm="1">
        <f t="array" ref="G1070">INDEX(FX_Temps,$AF1070,G$3)</f>
        <v>48.599999999999966</v>
      </c>
      <c r="H1070" cm="1">
        <f t="array" ref="H1070">INDEX(FX_Temps,$AF1070,H$3)</f>
        <v>53.149999999999977</v>
      </c>
      <c r="I1070" cm="1">
        <f t="array" ref="I1070">INDEX(FX_Temps,$AF1070,I$3)</f>
        <v>56.950000000000045</v>
      </c>
      <c r="J1070" cm="1">
        <f t="array" ref="J1070">INDEX(FX_Temps,$AF1070,J$3)</f>
        <v>60.449999999999932</v>
      </c>
      <c r="K1070" cm="1">
        <f t="array" ref="K1070">INDEX(FX_Temps,$AF1070,K$3)</f>
        <v>60.899999999999977</v>
      </c>
      <c r="L1070" cm="1">
        <f t="array" ref="L1070">INDEX(FX_Temps,$AF1070,L$3)</f>
        <v>58.600000000000023</v>
      </c>
      <c r="M1070" cm="1">
        <f t="array" ref="M1070">INDEX(FX_Temps,$AF1070,M$3)</f>
        <v>52.649999999999977</v>
      </c>
      <c r="N1070" cm="1">
        <f t="array" ref="N1070">INDEX(FX_Temps,$AF1070,N$3)</f>
        <v>47.100000000000023</v>
      </c>
      <c r="O1070" cm="1">
        <f t="array" ref="O1070">INDEX(FX_Temps,$AF1070,O$3)</f>
        <v>43.600000000000023</v>
      </c>
      <c r="AE1070">
        <v>1</v>
      </c>
      <c r="AF1070">
        <f>AF1062+10</f>
        <v>445</v>
      </c>
    </row>
    <row r="1071" spans="1:32" ht="17.149999999999999" x14ac:dyDescent="0.55000000000000004">
      <c r="B1071" t="str">
        <f t="shared" ref="B1071:B1092" si="3860">B1070</f>
        <v>Portland</v>
      </c>
      <c r="C1071" t="s">
        <v>527</v>
      </c>
      <c r="D1071" cm="1">
        <f t="array" ref="D1071">INDEX(FX_Temps,$AF1071,D$3)</f>
        <v>43.899999999999977</v>
      </c>
      <c r="E1071" cm="1">
        <f t="array" ref="E1071">INDEX(FX_Temps,$AF1071,E$3)</f>
        <v>44.700000000000045</v>
      </c>
      <c r="F1071" cm="1">
        <f t="array" ref="F1071">INDEX(FX_Temps,$AF1071,F$3)</f>
        <v>46.100000000000023</v>
      </c>
      <c r="G1071" cm="1">
        <f t="array" ref="G1071">INDEX(FX_Temps,$AF1071,G$3)</f>
        <v>48.599999999999966</v>
      </c>
      <c r="H1071" cm="1">
        <f t="array" ref="H1071">INDEX(FX_Temps,$AF1071,H$3)</f>
        <v>53.149999999999977</v>
      </c>
      <c r="I1071" cm="1">
        <f t="array" ref="I1071">INDEX(FX_Temps,$AF1071,I$3)</f>
        <v>56.950000000000045</v>
      </c>
      <c r="J1071" cm="1">
        <f t="array" ref="J1071">INDEX(FX_Temps,$AF1071,J$3)</f>
        <v>60.449999999999932</v>
      </c>
      <c r="K1071" cm="1">
        <f t="array" ref="K1071">INDEX(FX_Temps,$AF1071,K$3)</f>
        <v>60.899999999999977</v>
      </c>
      <c r="L1071" cm="1">
        <f t="array" ref="L1071">INDEX(FX_Temps,$AF1071,L$3)</f>
        <v>58.600000000000023</v>
      </c>
      <c r="M1071" cm="1">
        <f t="array" ref="M1071">INDEX(FX_Temps,$AF1071,M$3)</f>
        <v>52.649999999999977</v>
      </c>
      <c r="N1071" cm="1">
        <f t="array" ref="N1071">INDEX(FX_Temps,$AF1071,N$3)</f>
        <v>47.100000000000023</v>
      </c>
      <c r="O1071" cm="1">
        <f t="array" ref="O1071">INDEX(FX_Temps,$AF1071,O$3)</f>
        <v>43.600000000000023</v>
      </c>
      <c r="AE1071">
        <f>AE1070</f>
        <v>1</v>
      </c>
      <c r="AF1071">
        <f>AF1062+11</f>
        <v>446</v>
      </c>
    </row>
    <row r="1072" spans="1:32" ht="17.149999999999999" x14ac:dyDescent="0.55000000000000004">
      <c r="B1072" t="str">
        <f t="shared" si="3860"/>
        <v>Portland</v>
      </c>
      <c r="C1072" t="s">
        <v>552</v>
      </c>
      <c r="D1072" cm="1">
        <f t="array" ref="D1072">INDEX(FX_Temps,$AF1072,D$3)</f>
        <v>43.899999999999977</v>
      </c>
      <c r="E1072" cm="1">
        <f t="array" ref="E1072">INDEX(FX_Temps,$AF1072,E$3)</f>
        <v>44.700000000000045</v>
      </c>
      <c r="F1072" cm="1">
        <f t="array" ref="F1072">INDEX(FX_Temps,$AF1072,F$3)</f>
        <v>46.100000000000023</v>
      </c>
      <c r="G1072" cm="1">
        <f t="array" ref="G1072">INDEX(FX_Temps,$AF1072,G$3)</f>
        <v>48.599999999999966</v>
      </c>
      <c r="H1072" cm="1">
        <f t="array" ref="H1072">INDEX(FX_Temps,$AF1072,H$3)</f>
        <v>53.149999999999977</v>
      </c>
      <c r="I1072" cm="1">
        <f t="array" ref="I1072">INDEX(FX_Temps,$AF1072,I$3)</f>
        <v>56.950000000000045</v>
      </c>
      <c r="J1072" cm="1">
        <f t="array" ref="J1072">INDEX(FX_Temps,$AF1072,J$3)</f>
        <v>60.449999999999932</v>
      </c>
      <c r="K1072" cm="1">
        <f t="array" ref="K1072">INDEX(FX_Temps,$AF1072,K$3)</f>
        <v>60.899999999999977</v>
      </c>
      <c r="L1072" cm="1">
        <f t="array" ref="L1072">INDEX(FX_Temps,$AF1072,L$3)</f>
        <v>58.600000000000023</v>
      </c>
      <c r="M1072" cm="1">
        <f t="array" ref="M1072">INDEX(FX_Temps,$AF1072,M$3)</f>
        <v>52.649999999999977</v>
      </c>
      <c r="N1072" cm="1">
        <f t="array" ref="N1072">INDEX(FX_Temps,$AF1072,N$3)</f>
        <v>47.100000000000023</v>
      </c>
      <c r="O1072" cm="1">
        <f t="array" ref="O1072">INDEX(FX_Temps,$AF1072,O$3)</f>
        <v>43.600000000000023</v>
      </c>
      <c r="AE1072">
        <f>AE1071</f>
        <v>1</v>
      </c>
      <c r="AF1072">
        <f>AF1062+13</f>
        <v>448</v>
      </c>
    </row>
    <row r="1073" spans="2:15" ht="17.149999999999999" x14ac:dyDescent="0.55000000000000004">
      <c r="B1073" t="str">
        <f t="shared" si="3860"/>
        <v>Portland</v>
      </c>
      <c r="C1073" t="s">
        <v>574</v>
      </c>
      <c r="D1073" cm="1">
        <f t="array" ref="D1073">IFERROR(IF(D1063="Chemical",(10^(INDEX(Antoines,MATCH(D1062,Antoine_Name,0),2)-INDEX(Antoines,MATCH(D1062,Antoine_Name,0),3)/(INDEX(Antoines,MATCH(D1062,Antoine_Name,0),4)+(D1070-32)*5/9)))*14.7/760,IF(D1063="Crude Oil",EXP((2799/(D1070+459.6)-2.227)*LOG10(INDEX(FX_Input,Q$5,D$3*$Z$5+$AA$5))-(7261/(D1070+459.6))+12.82),IF(D1063="Refined Petroleum Stock",EXP((0.7553-(413/(D1070+459.6)))*(INDEX(FX_Input,Q$5,D$3*$Z$5+$AA$5-1)^0.5)*LOG10(INDEX(FX_Input,Q$5,D$3*$Z$5+$AA$5))-(1.854-(1042/(D1070+459.6)))*(INDEX(FX_Input,Q$5,D$3*$Z$5+$AA$5-1)^0.5)+((2416/(D1070+459.6)-2.013)*LOG10(INDEX(FX_Input,Q$5,D$3*$Z$5+$AA$5)))-(8742/(D1070+459.6))+15.64),EXP(INDEX(Antoines,MATCH(D1062,Antoine_Name,0),2)-INDEX(Antoines,MATCH(D1062,Antoine_Name,0),3)/(D1070+459.6))))),0)</f>
        <v>1</v>
      </c>
      <c r="E1073" cm="1">
        <f t="array" ref="E1073">IFERROR(IF(E1063="Chemical",(10^(INDEX(Antoines,MATCH(E1062,Antoine_Name,0),2)-INDEX(Antoines,MATCH(E1062,Antoine_Name,0),3)/(INDEX(Antoines,MATCH(E1062,Antoine_Name,0),4)+(E1070-32)*5/9)))*14.7/760,IF(E1063="Crude Oil",EXP((2799/(E1070+459.6)-2.227)*LOG10(INDEX(FX_Input,R$5,E$3*$Z$5+$AA$5))-(7261/(E1070+459.6))+12.82),IF(E1063="Refined Petroleum Stock",EXP((0.7553-(413/(E1070+459.6)))*(INDEX(FX_Input,R$5,E$3*$Z$5+$AA$5-1)^0.5)*LOG10(INDEX(FX_Input,R$5,E$3*$Z$5+$AA$5))-(1.854-(1042/(E1070+459.6)))*(INDEX(FX_Input,R$5,E$3*$Z$5+$AA$5-1)^0.5)+((2416/(E1070+459.6)-2.013)*LOG10(INDEX(FX_Input,R$5,E$3*$Z$5+$AA$5)))-(8742/(E1070+459.6))+15.64),EXP(INDEX(Antoines,MATCH(E1062,Antoine_Name,0),2)-INDEX(Antoines,MATCH(E1062,Antoine_Name,0),3)/(E1070+459.6))))),0)</f>
        <v>1</v>
      </c>
      <c r="F1073" cm="1">
        <f t="array" ref="F1073">IFERROR(IF(F1063="Chemical",(10^(INDEX(Antoines,MATCH(F1062,Antoine_Name,0),2)-INDEX(Antoines,MATCH(F1062,Antoine_Name,0),3)/(INDEX(Antoines,MATCH(F1062,Antoine_Name,0),4)+(F1070-32)*5/9)))*14.7/760,IF(F1063="Crude Oil",EXP((2799/(F1070+459.6)-2.227)*LOG10(INDEX(FX_Input,S$5,F$3*$Z$5+$AA$5))-(7261/(F1070+459.6))+12.82),IF(F1063="Refined Petroleum Stock",EXP((0.7553-(413/(F1070+459.6)))*(INDEX(FX_Input,S$5,F$3*$Z$5+$AA$5-1)^0.5)*LOG10(INDEX(FX_Input,S$5,F$3*$Z$5+$AA$5))-(1.854-(1042/(F1070+459.6)))*(INDEX(FX_Input,S$5,F$3*$Z$5+$AA$5-1)^0.5)+((2416/(F1070+459.6)-2.013)*LOG10(INDEX(FX_Input,S$5,F$3*$Z$5+$AA$5)))-(8742/(F1070+459.6))+15.64),EXP(INDEX(Antoines,MATCH(F1062,Antoine_Name,0),2)-INDEX(Antoines,MATCH(F1062,Antoine_Name,0),3)/(F1070+459.6))))),0)</f>
        <v>1</v>
      </c>
      <c r="G1073" cm="1">
        <f t="array" ref="G1073">IFERROR(IF(G1063="Chemical",(10^(INDEX(Antoines,MATCH(G1062,Antoine_Name,0),2)-INDEX(Antoines,MATCH(G1062,Antoine_Name,0),3)/(INDEX(Antoines,MATCH(G1062,Antoine_Name,0),4)+(G1070-32)*5/9)))*14.7/760,IF(G1063="Crude Oil",EXP((2799/(G1070+459.6)-2.227)*LOG10(INDEX(FX_Input,T$5,G$3*$Z$5+$AA$5))-(7261/(G1070+459.6))+12.82),IF(G1063="Refined Petroleum Stock",EXP((0.7553-(413/(G1070+459.6)))*(INDEX(FX_Input,T$5,G$3*$Z$5+$AA$5-1)^0.5)*LOG10(INDEX(FX_Input,T$5,G$3*$Z$5+$AA$5))-(1.854-(1042/(G1070+459.6)))*(INDEX(FX_Input,T$5,G$3*$Z$5+$AA$5-1)^0.5)+((2416/(G1070+459.6)-2.013)*LOG10(INDEX(FX_Input,T$5,G$3*$Z$5+$AA$5)))-(8742/(G1070+459.6))+15.64),EXP(INDEX(Antoines,MATCH(G1062,Antoine_Name,0),2)-INDEX(Antoines,MATCH(G1062,Antoine_Name,0),3)/(G1070+459.6))))),0)</f>
        <v>1</v>
      </c>
      <c r="H1073" cm="1">
        <f t="array" ref="H1073">IFERROR(IF(H1063="Chemical",(10^(INDEX(Antoines,MATCH(H1062,Antoine_Name,0),2)-INDEX(Antoines,MATCH(H1062,Antoine_Name,0),3)/(INDEX(Antoines,MATCH(H1062,Antoine_Name,0),4)+(H1070-32)*5/9)))*14.7/760,IF(H1063="Crude Oil",EXP((2799/(H1070+459.6)-2.227)*LOG10(INDEX(FX_Input,U$5,H$3*$Z$5+$AA$5))-(7261/(H1070+459.6))+12.82),IF(H1063="Refined Petroleum Stock",EXP((0.7553-(413/(H1070+459.6)))*(INDEX(FX_Input,U$5,H$3*$Z$5+$AA$5-1)^0.5)*LOG10(INDEX(FX_Input,U$5,H$3*$Z$5+$AA$5))-(1.854-(1042/(H1070+459.6)))*(INDEX(FX_Input,U$5,H$3*$Z$5+$AA$5-1)^0.5)+((2416/(H1070+459.6)-2.013)*LOG10(INDEX(FX_Input,U$5,H$3*$Z$5+$AA$5)))-(8742/(H1070+459.6))+15.64),EXP(INDEX(Antoines,MATCH(H1062,Antoine_Name,0),2)-INDEX(Antoines,MATCH(H1062,Antoine_Name,0),3)/(H1070+459.6))))),0)</f>
        <v>1</v>
      </c>
      <c r="I1073" cm="1">
        <f t="array" ref="I1073">IFERROR(IF(I1063="Chemical",(10^(INDEX(Antoines,MATCH(I1062,Antoine_Name,0),2)-INDEX(Antoines,MATCH(I1062,Antoine_Name,0),3)/(INDEX(Antoines,MATCH(I1062,Antoine_Name,0),4)+(I1070-32)*5/9)))*14.7/760,IF(I1063="Crude Oil",EXP((2799/(I1070+459.6)-2.227)*LOG10(INDEX(FX_Input,V$5,I$3*$Z$5+$AA$5))-(7261/(I1070+459.6))+12.82),IF(I1063="Refined Petroleum Stock",EXP((0.7553-(413/(I1070+459.6)))*(INDEX(FX_Input,V$5,I$3*$Z$5+$AA$5-1)^0.5)*LOG10(INDEX(FX_Input,V$5,I$3*$Z$5+$AA$5))-(1.854-(1042/(I1070+459.6)))*(INDEX(FX_Input,V$5,I$3*$Z$5+$AA$5-1)^0.5)+((2416/(I1070+459.6)-2.013)*LOG10(INDEX(FX_Input,V$5,I$3*$Z$5+$AA$5)))-(8742/(I1070+459.6))+15.64),EXP(INDEX(Antoines,MATCH(I1062,Antoine_Name,0),2)-INDEX(Antoines,MATCH(I1062,Antoine_Name,0),3)/(I1070+459.6))))),0)</f>
        <v>1</v>
      </c>
      <c r="J1073" cm="1">
        <f t="array" ref="J1073">IFERROR(IF(J1063="Chemical",(10^(INDEX(Antoines,MATCH(J1062,Antoine_Name,0),2)-INDEX(Antoines,MATCH(J1062,Antoine_Name,0),3)/(INDEX(Antoines,MATCH(J1062,Antoine_Name,0),4)+(J1070-32)*5/9)))*14.7/760,IF(J1063="Crude Oil",EXP((2799/(J1070+459.6)-2.227)*LOG10(INDEX(FX_Input,W$5,J$3*$Z$5+$AA$5))-(7261/(J1070+459.6))+12.82),IF(J1063="Refined Petroleum Stock",EXP((0.7553-(413/(J1070+459.6)))*(INDEX(FX_Input,W$5,J$3*$Z$5+$AA$5-1)^0.5)*LOG10(INDEX(FX_Input,W$5,J$3*$Z$5+$AA$5))-(1.854-(1042/(J1070+459.6)))*(INDEX(FX_Input,W$5,J$3*$Z$5+$AA$5-1)^0.5)+((2416/(J1070+459.6)-2.013)*LOG10(INDEX(FX_Input,W$5,J$3*$Z$5+$AA$5)))-(8742/(J1070+459.6))+15.64),EXP(INDEX(Antoines,MATCH(J1062,Antoine_Name,0),2)-INDEX(Antoines,MATCH(J1062,Antoine_Name,0),3)/(J1070+459.6))))),0)</f>
        <v>1</v>
      </c>
      <c r="K1073" cm="1">
        <f t="array" ref="K1073">IFERROR(IF(K1063="Chemical",(10^(INDEX(Antoines,MATCH(K1062,Antoine_Name,0),2)-INDEX(Antoines,MATCH(K1062,Antoine_Name,0),3)/(INDEX(Antoines,MATCH(K1062,Antoine_Name,0),4)+(K1070-32)*5/9)))*14.7/760,IF(K1063="Crude Oil",EXP((2799/(K1070+459.6)-2.227)*LOG10(INDEX(FX_Input,X$5,K$3*$Z$5+$AA$5))-(7261/(K1070+459.6))+12.82),IF(K1063="Refined Petroleum Stock",EXP((0.7553-(413/(K1070+459.6)))*(INDEX(FX_Input,X$5,K$3*$Z$5+$AA$5-1)^0.5)*LOG10(INDEX(FX_Input,X$5,K$3*$Z$5+$AA$5))-(1.854-(1042/(K1070+459.6)))*(INDEX(FX_Input,X$5,K$3*$Z$5+$AA$5-1)^0.5)+((2416/(K1070+459.6)-2.013)*LOG10(INDEX(FX_Input,X$5,K$3*$Z$5+$AA$5)))-(8742/(K1070+459.6))+15.64),EXP(INDEX(Antoines,MATCH(K1062,Antoine_Name,0),2)-INDEX(Antoines,MATCH(K1062,Antoine_Name,0),3)/(K1070+459.6))))),0)</f>
        <v>1</v>
      </c>
      <c r="L1073" cm="1">
        <f t="array" ref="L1073">IFERROR(IF(L1063="Chemical",(10^(INDEX(Antoines,MATCH(L1062,Antoine_Name,0),2)-INDEX(Antoines,MATCH(L1062,Antoine_Name,0),3)/(INDEX(Antoines,MATCH(L1062,Antoine_Name,0),4)+(L1070-32)*5/9)))*14.7/760,IF(L1063="Crude Oil",EXP((2799/(L1070+459.6)-2.227)*LOG10(INDEX(FX_Input,Y$5,L$3*$Z$5+$AA$5))-(7261/(L1070+459.6))+12.82),IF(L1063="Refined Petroleum Stock",EXP((0.7553-(413/(L1070+459.6)))*(INDEX(FX_Input,Y$5,L$3*$Z$5+$AA$5-1)^0.5)*LOG10(INDEX(FX_Input,Y$5,L$3*$Z$5+$AA$5))-(1.854-(1042/(L1070+459.6)))*(INDEX(FX_Input,Y$5,L$3*$Z$5+$AA$5-1)^0.5)+((2416/(L1070+459.6)-2.013)*LOG10(INDEX(FX_Input,Y$5,L$3*$Z$5+$AA$5)))-(8742/(L1070+459.6))+15.64),EXP(INDEX(Antoines,MATCH(L1062,Antoine_Name,0),2)-INDEX(Antoines,MATCH(L1062,Antoine_Name,0),3)/(L1070+459.6))))),0)</f>
        <v>1</v>
      </c>
      <c r="M1073" cm="1">
        <f t="array" ref="M1073">IFERROR(IF(M1063="Chemical",(10^(INDEX(Antoines,MATCH(M1062,Antoine_Name,0),2)-INDEX(Antoines,MATCH(M1062,Antoine_Name,0),3)/(INDEX(Antoines,MATCH(M1062,Antoine_Name,0),4)+(M1070-32)*5/9)))*14.7/760,IF(M1063="Crude Oil",EXP((2799/(M1070+459.6)-2.227)*LOG10(INDEX(FX_Input,Z$5,M$3*$Z$5+$AA$5))-(7261/(M1070+459.6))+12.82),IF(M1063="Refined Petroleum Stock",EXP((0.7553-(413/(M1070+459.6)))*(INDEX(FX_Input,Z$5,M$3*$Z$5+$AA$5-1)^0.5)*LOG10(INDEX(FX_Input,Z$5,M$3*$Z$5+$AA$5))-(1.854-(1042/(M1070+459.6)))*(INDEX(FX_Input,Z$5,M$3*$Z$5+$AA$5-1)^0.5)+((2416/(M1070+459.6)-2.013)*LOG10(INDEX(FX_Input,Z$5,M$3*$Z$5+$AA$5)))-(8742/(M1070+459.6))+15.64),EXP(INDEX(Antoines,MATCH(M1062,Antoine_Name,0),2)-INDEX(Antoines,MATCH(M1062,Antoine_Name,0),3)/(M1070+459.6))))),0)</f>
        <v>1</v>
      </c>
      <c r="N1073" cm="1">
        <f t="array" ref="N1073">IFERROR(IF(N1063="Chemical",(10^(INDEX(Antoines,MATCH(N1062,Antoine_Name,0),2)-INDEX(Antoines,MATCH(N1062,Antoine_Name,0),3)/(INDEX(Antoines,MATCH(N1062,Antoine_Name,0),4)+(N1070-32)*5/9)))*14.7/760,IF(N1063="Crude Oil",EXP((2799/(N1070+459.6)-2.227)*LOG10(INDEX(FX_Input,AA$5,N$3*$Z$5+$AA$5))-(7261/(N1070+459.6))+12.82),IF(N1063="Refined Petroleum Stock",EXP((0.7553-(413/(N1070+459.6)))*(INDEX(FX_Input,AA$5,N$3*$Z$5+$AA$5-1)^0.5)*LOG10(INDEX(FX_Input,AA$5,N$3*$Z$5+$AA$5))-(1.854-(1042/(N1070+459.6)))*(INDEX(FX_Input,AA$5,N$3*$Z$5+$AA$5-1)^0.5)+((2416/(N1070+459.6)-2.013)*LOG10(INDEX(FX_Input,AA$5,N$3*$Z$5+$AA$5)))-(8742/(N1070+459.6))+15.64),EXP(INDEX(Antoines,MATCH(N1062,Antoine_Name,0),2)-INDEX(Antoines,MATCH(N1062,Antoine_Name,0),3)/(N1070+459.6))))),0)</f>
        <v>1</v>
      </c>
      <c r="O1073" cm="1">
        <f t="array" ref="O1073">IFERROR(IF(O1063="Chemical",(10^(INDEX(Antoines,MATCH(O1062,Antoine_Name,0),2)-INDEX(Antoines,MATCH(O1062,Antoine_Name,0),3)/(INDEX(Antoines,MATCH(O1062,Antoine_Name,0),4)+(O1070-32)*5/9)))*14.7/760,IF(O1063="Crude Oil",EXP((2799/(O1070+459.6)-2.227)*LOG10(INDEX(FX_Input,AB$5,O$3*$Z$5+$AA$5))-(7261/(O1070+459.6))+12.82),IF(O1063="Refined Petroleum Stock",EXP((0.7553-(413/(O1070+459.6)))*(INDEX(FX_Input,AB$5,O$3*$Z$5+$AA$5-1)^0.5)*LOG10(INDEX(FX_Input,AB$5,O$3*$Z$5+$AA$5))-(1.854-(1042/(O1070+459.6)))*(INDEX(FX_Input,AB$5,O$3*$Z$5+$AA$5-1)^0.5)+((2416/(O1070+459.6)-2.013)*LOG10(INDEX(FX_Input,AB$5,O$3*$Z$5+$AA$5)))-(8742/(O1070+459.6))+15.64),EXP(INDEX(Antoines,MATCH(O1062,Antoine_Name,0),2)-INDEX(Antoines,MATCH(O1062,Antoine_Name,0),3)/(O1070+459.6))))),0)</f>
        <v>1</v>
      </c>
    </row>
    <row r="1074" spans="2:15" ht="17.149999999999999" x14ac:dyDescent="0.55000000000000004">
      <c r="B1074" t="str">
        <f t="shared" si="3860"/>
        <v>Portland</v>
      </c>
      <c r="C1074" t="s">
        <v>576</v>
      </c>
      <c r="D1074">
        <f>D1066*D1073</f>
        <v>1</v>
      </c>
      <c r="E1074">
        <f t="shared" ref="E1074" si="3861">E1066*E1073</f>
        <v>1</v>
      </c>
      <c r="F1074">
        <f t="shared" ref="F1074" si="3862">F1066*F1073</f>
        <v>1</v>
      </c>
      <c r="G1074">
        <f t="shared" ref="G1074" si="3863">G1066*G1073</f>
        <v>1</v>
      </c>
      <c r="H1074">
        <f t="shared" ref="H1074" si="3864">H1066*H1073</f>
        <v>1</v>
      </c>
      <c r="I1074">
        <f t="shared" ref="I1074" si="3865">I1066*I1073</f>
        <v>1</v>
      </c>
      <c r="J1074">
        <f t="shared" ref="J1074" si="3866">J1066*J1073</f>
        <v>1</v>
      </c>
      <c r="K1074">
        <f t="shared" ref="K1074" si="3867">K1066*K1073</f>
        <v>1</v>
      </c>
      <c r="L1074">
        <f t="shared" ref="L1074" si="3868">L1066*L1073</f>
        <v>1</v>
      </c>
      <c r="M1074">
        <f t="shared" ref="M1074" si="3869">M1066*M1073</f>
        <v>1</v>
      </c>
      <c r="N1074">
        <f t="shared" ref="N1074" si="3870">N1066*N1073</f>
        <v>1</v>
      </c>
      <c r="O1074">
        <f t="shared" ref="O1074" si="3871">O1066*O1073</f>
        <v>1</v>
      </c>
    </row>
    <row r="1075" spans="2:15" ht="17.149999999999999" x14ac:dyDescent="0.55000000000000004">
      <c r="B1075" t="str">
        <f t="shared" si="3860"/>
        <v>Portland</v>
      </c>
      <c r="C1075" t="s">
        <v>575</v>
      </c>
      <c r="D1075" cm="1">
        <f t="array" ref="D1075">IFERROR(IF(D1065="Chemical",(10^(INDEX(Antoines,MATCH(D1064,Antoine_Name,0),2)-INDEX(Antoines,MATCH(D1064,Antoine_Name,0),3)/(INDEX(Antoines,MATCH(D1064,Antoine_Name,0),4)+(D1070-32)*5/9)))*14.7/760,IF(D1065="Crude Oil",EXP((2799/(D1070+459.6)-2.227)*LOG10(INDEX(FX_Input,Q$5,D$3*$Z$5+$AA$5))-(7261/(D1070+459.6))+12.82),IF(D1065="Refined Petroleum Stock",EXP((0.7553-(413/(D1070+459.6)))*(INDEX(FX_Input,Q$5,D$3*$Z$5+$AA$5-1)^0.5)*LOG10(INDEX(FX_Input,Q$5,D$3*$Z$5+$AA$5))-(1.854-(1042/(D1070+459.6)))*(INDEX(FX_Input,Q$5,D$3*$Z$5+$AA$5-1)^0.5)+((2416/(D1070+459.6)-2.013)*LOG10(INDEX(FX_Input,Q$5,D$3*$Z$5+$AA$5)))-(8742/(D1070+459.6))+15.64),EXP(INDEX(Antoines,MATCH(D1064,Antoine_Name,0),2)-INDEX(Antoines,MATCH(D1064,Antoine_Name,0),3)/(D1070+459.6))))),0)</f>
        <v>0</v>
      </c>
      <c r="E1075" cm="1">
        <f t="array" ref="E1075">IFERROR(IF(E1065="Chemical",(10^(INDEX(Antoines,MATCH(E1064,Antoine_Name,0),2)-INDEX(Antoines,MATCH(E1064,Antoine_Name,0),3)/(INDEX(Antoines,MATCH(E1064,Antoine_Name,0),4)+(E1070-32)*5/9)))*14.7/760,IF(E1065="Crude Oil",EXP((2799/(E1070+459.6)-2.227)*LOG10(INDEX(FX_Input,R$5,E$3*$Z$5+$AA$5))-(7261/(E1070+459.6))+12.82),IF(E1065="Refined Petroleum Stock",EXP((0.7553-(413/(E1070+459.6)))*(INDEX(FX_Input,R$5,E$3*$Z$5+$AA$5-1)^0.5)*LOG10(INDEX(FX_Input,R$5,E$3*$Z$5+$AA$5))-(1.854-(1042/(E1070+459.6)))*(INDEX(FX_Input,R$5,E$3*$Z$5+$AA$5-1)^0.5)+((2416/(E1070+459.6)-2.013)*LOG10(INDEX(FX_Input,R$5,E$3*$Z$5+$AA$5)))-(8742/(E1070+459.6))+15.64),EXP(INDEX(Antoines,MATCH(E1064,Antoine_Name,0),2)-INDEX(Antoines,MATCH(E1064,Antoine_Name,0),3)/(E1070+459.6))))),0)</f>
        <v>0</v>
      </c>
      <c r="F1075" cm="1">
        <f t="array" ref="F1075">IFERROR(IF(F1065="Chemical",(10^(INDEX(Antoines,MATCH(F1064,Antoine_Name,0),2)-INDEX(Antoines,MATCH(F1064,Antoine_Name,0),3)/(INDEX(Antoines,MATCH(F1064,Antoine_Name,0),4)+(F1070-32)*5/9)))*14.7/760,IF(F1065="Crude Oil",EXP((2799/(F1070+459.6)-2.227)*LOG10(INDEX(FX_Input,S$5,F$3*$Z$5+$AA$5))-(7261/(F1070+459.6))+12.82),IF(F1065="Refined Petroleum Stock",EXP((0.7553-(413/(F1070+459.6)))*(INDEX(FX_Input,S$5,F$3*$Z$5+$AA$5-1)^0.5)*LOG10(INDEX(FX_Input,S$5,F$3*$Z$5+$AA$5))-(1.854-(1042/(F1070+459.6)))*(INDEX(FX_Input,S$5,F$3*$Z$5+$AA$5-1)^0.5)+((2416/(F1070+459.6)-2.013)*LOG10(INDEX(FX_Input,S$5,F$3*$Z$5+$AA$5)))-(8742/(F1070+459.6))+15.64),EXP(INDEX(Antoines,MATCH(F1064,Antoine_Name,0),2)-INDEX(Antoines,MATCH(F1064,Antoine_Name,0),3)/(F1070+459.6))))),0)</f>
        <v>0</v>
      </c>
      <c r="G1075" cm="1">
        <f t="array" ref="G1075">IFERROR(IF(G1065="Chemical",(10^(INDEX(Antoines,MATCH(G1064,Antoine_Name,0),2)-INDEX(Antoines,MATCH(G1064,Antoine_Name,0),3)/(INDEX(Antoines,MATCH(G1064,Antoine_Name,0),4)+(G1070-32)*5/9)))*14.7/760,IF(G1065="Crude Oil",EXP((2799/(G1070+459.6)-2.227)*LOG10(INDEX(FX_Input,T$5,G$3*$Z$5+$AA$5))-(7261/(G1070+459.6))+12.82),IF(G1065="Refined Petroleum Stock",EXP((0.7553-(413/(G1070+459.6)))*(INDEX(FX_Input,T$5,G$3*$Z$5+$AA$5-1)^0.5)*LOG10(INDEX(FX_Input,T$5,G$3*$Z$5+$AA$5))-(1.854-(1042/(G1070+459.6)))*(INDEX(FX_Input,T$5,G$3*$Z$5+$AA$5-1)^0.5)+((2416/(G1070+459.6)-2.013)*LOG10(INDEX(FX_Input,T$5,G$3*$Z$5+$AA$5)))-(8742/(G1070+459.6))+15.64),EXP(INDEX(Antoines,MATCH(G1064,Antoine_Name,0),2)-INDEX(Antoines,MATCH(G1064,Antoine_Name,0),3)/(G1070+459.6))))),0)</f>
        <v>0</v>
      </c>
      <c r="H1075" cm="1">
        <f t="array" ref="H1075">IFERROR(IF(H1065="Chemical",(10^(INDEX(Antoines,MATCH(H1064,Antoine_Name,0),2)-INDEX(Antoines,MATCH(H1064,Antoine_Name,0),3)/(INDEX(Antoines,MATCH(H1064,Antoine_Name,0),4)+(H1070-32)*5/9)))*14.7/760,IF(H1065="Crude Oil",EXP((2799/(H1070+459.6)-2.227)*LOG10(INDEX(FX_Input,U$5,H$3*$Z$5+$AA$5))-(7261/(H1070+459.6))+12.82),IF(H1065="Refined Petroleum Stock",EXP((0.7553-(413/(H1070+459.6)))*(INDEX(FX_Input,U$5,H$3*$Z$5+$AA$5-1)^0.5)*LOG10(INDEX(FX_Input,U$5,H$3*$Z$5+$AA$5))-(1.854-(1042/(H1070+459.6)))*(INDEX(FX_Input,U$5,H$3*$Z$5+$AA$5-1)^0.5)+((2416/(H1070+459.6)-2.013)*LOG10(INDEX(FX_Input,U$5,H$3*$Z$5+$AA$5)))-(8742/(H1070+459.6))+15.64),EXP(INDEX(Antoines,MATCH(H1064,Antoine_Name,0),2)-INDEX(Antoines,MATCH(H1064,Antoine_Name,0),3)/(H1070+459.6))))),0)</f>
        <v>0</v>
      </c>
      <c r="I1075" cm="1">
        <f t="array" ref="I1075">IFERROR(IF(I1065="Chemical",(10^(INDEX(Antoines,MATCH(I1064,Antoine_Name,0),2)-INDEX(Antoines,MATCH(I1064,Antoine_Name,0),3)/(INDEX(Antoines,MATCH(I1064,Antoine_Name,0),4)+(I1070-32)*5/9)))*14.7/760,IF(I1065="Crude Oil",EXP((2799/(I1070+459.6)-2.227)*LOG10(INDEX(FX_Input,V$5,I$3*$Z$5+$AA$5))-(7261/(I1070+459.6))+12.82),IF(I1065="Refined Petroleum Stock",EXP((0.7553-(413/(I1070+459.6)))*(INDEX(FX_Input,V$5,I$3*$Z$5+$AA$5-1)^0.5)*LOG10(INDEX(FX_Input,V$5,I$3*$Z$5+$AA$5))-(1.854-(1042/(I1070+459.6)))*(INDEX(FX_Input,V$5,I$3*$Z$5+$AA$5-1)^0.5)+((2416/(I1070+459.6)-2.013)*LOG10(INDEX(FX_Input,V$5,I$3*$Z$5+$AA$5)))-(8742/(I1070+459.6))+15.64),EXP(INDEX(Antoines,MATCH(I1064,Antoine_Name,0),2)-INDEX(Antoines,MATCH(I1064,Antoine_Name,0),3)/(I1070+459.6))))),0)</f>
        <v>0</v>
      </c>
      <c r="J1075" cm="1">
        <f t="array" ref="J1075">IFERROR(IF(J1065="Chemical",(10^(INDEX(Antoines,MATCH(J1064,Antoine_Name,0),2)-INDEX(Antoines,MATCH(J1064,Antoine_Name,0),3)/(INDEX(Antoines,MATCH(J1064,Antoine_Name,0),4)+(J1070-32)*5/9)))*14.7/760,IF(J1065="Crude Oil",EXP((2799/(J1070+459.6)-2.227)*LOG10(INDEX(FX_Input,W$5,J$3*$Z$5+$AA$5))-(7261/(J1070+459.6))+12.82),IF(J1065="Refined Petroleum Stock",EXP((0.7553-(413/(J1070+459.6)))*(INDEX(FX_Input,W$5,J$3*$Z$5+$AA$5-1)^0.5)*LOG10(INDEX(FX_Input,W$5,J$3*$Z$5+$AA$5))-(1.854-(1042/(J1070+459.6)))*(INDEX(FX_Input,W$5,J$3*$Z$5+$AA$5-1)^0.5)+((2416/(J1070+459.6)-2.013)*LOG10(INDEX(FX_Input,W$5,J$3*$Z$5+$AA$5)))-(8742/(J1070+459.6))+15.64),EXP(INDEX(Antoines,MATCH(J1064,Antoine_Name,0),2)-INDEX(Antoines,MATCH(J1064,Antoine_Name,0),3)/(J1070+459.6))))),0)</f>
        <v>0</v>
      </c>
      <c r="K1075" cm="1">
        <f t="array" ref="K1075">IFERROR(IF(K1065="Chemical",(10^(INDEX(Antoines,MATCH(K1064,Antoine_Name,0),2)-INDEX(Antoines,MATCH(K1064,Antoine_Name,0),3)/(INDEX(Antoines,MATCH(K1064,Antoine_Name,0),4)+(K1070-32)*5/9)))*14.7/760,IF(K1065="Crude Oil",EXP((2799/(K1070+459.6)-2.227)*LOG10(INDEX(FX_Input,X$5,K$3*$Z$5+$AA$5))-(7261/(K1070+459.6))+12.82),IF(K1065="Refined Petroleum Stock",EXP((0.7553-(413/(K1070+459.6)))*(INDEX(FX_Input,X$5,K$3*$Z$5+$AA$5-1)^0.5)*LOG10(INDEX(FX_Input,X$5,K$3*$Z$5+$AA$5))-(1.854-(1042/(K1070+459.6)))*(INDEX(FX_Input,X$5,K$3*$Z$5+$AA$5-1)^0.5)+((2416/(K1070+459.6)-2.013)*LOG10(INDEX(FX_Input,X$5,K$3*$Z$5+$AA$5)))-(8742/(K1070+459.6))+15.64),EXP(INDEX(Antoines,MATCH(K1064,Antoine_Name,0),2)-INDEX(Antoines,MATCH(K1064,Antoine_Name,0),3)/(K1070+459.6))))),0)</f>
        <v>0</v>
      </c>
      <c r="L1075" cm="1">
        <f t="array" ref="L1075">IFERROR(IF(L1065="Chemical",(10^(INDEX(Antoines,MATCH(L1064,Antoine_Name,0),2)-INDEX(Antoines,MATCH(L1064,Antoine_Name,0),3)/(INDEX(Antoines,MATCH(L1064,Antoine_Name,0),4)+(L1070-32)*5/9)))*14.7/760,IF(L1065="Crude Oil",EXP((2799/(L1070+459.6)-2.227)*LOG10(INDEX(FX_Input,Y$5,L$3*$Z$5+$AA$5))-(7261/(L1070+459.6))+12.82),IF(L1065="Refined Petroleum Stock",EXP((0.7553-(413/(L1070+459.6)))*(INDEX(FX_Input,Y$5,L$3*$Z$5+$AA$5-1)^0.5)*LOG10(INDEX(FX_Input,Y$5,L$3*$Z$5+$AA$5))-(1.854-(1042/(L1070+459.6)))*(INDEX(FX_Input,Y$5,L$3*$Z$5+$AA$5-1)^0.5)+((2416/(L1070+459.6)-2.013)*LOG10(INDEX(FX_Input,Y$5,L$3*$Z$5+$AA$5)))-(8742/(L1070+459.6))+15.64),EXP(INDEX(Antoines,MATCH(L1064,Antoine_Name,0),2)-INDEX(Antoines,MATCH(L1064,Antoine_Name,0),3)/(L1070+459.6))))),0)</f>
        <v>0</v>
      </c>
      <c r="M1075" cm="1">
        <f t="array" ref="M1075">IFERROR(IF(M1065="Chemical",(10^(INDEX(Antoines,MATCH(M1064,Antoine_Name,0),2)-INDEX(Antoines,MATCH(M1064,Antoine_Name,0),3)/(INDEX(Antoines,MATCH(M1064,Antoine_Name,0),4)+(M1070-32)*5/9)))*14.7/760,IF(M1065="Crude Oil",EXP((2799/(M1070+459.6)-2.227)*LOG10(INDEX(FX_Input,Z$5,M$3*$Z$5+$AA$5))-(7261/(M1070+459.6))+12.82),IF(M1065="Refined Petroleum Stock",EXP((0.7553-(413/(M1070+459.6)))*(INDEX(FX_Input,Z$5,M$3*$Z$5+$AA$5-1)^0.5)*LOG10(INDEX(FX_Input,Z$5,M$3*$Z$5+$AA$5))-(1.854-(1042/(M1070+459.6)))*(INDEX(FX_Input,Z$5,M$3*$Z$5+$AA$5-1)^0.5)+((2416/(M1070+459.6)-2.013)*LOG10(INDEX(FX_Input,Z$5,M$3*$Z$5+$AA$5)))-(8742/(M1070+459.6))+15.64),EXP(INDEX(Antoines,MATCH(M1064,Antoine_Name,0),2)-INDEX(Antoines,MATCH(M1064,Antoine_Name,0),3)/(M1070+459.6))))),0)</f>
        <v>0</v>
      </c>
      <c r="N1075" cm="1">
        <f t="array" ref="N1075">IFERROR(IF(N1065="Chemical",(10^(INDEX(Antoines,MATCH(N1064,Antoine_Name,0),2)-INDEX(Antoines,MATCH(N1064,Antoine_Name,0),3)/(INDEX(Antoines,MATCH(N1064,Antoine_Name,0),4)+(N1070-32)*5/9)))*14.7/760,IF(N1065="Crude Oil",EXP((2799/(N1070+459.6)-2.227)*LOG10(INDEX(FX_Input,AA$5,N$3*$Z$5+$AA$5))-(7261/(N1070+459.6))+12.82),IF(N1065="Refined Petroleum Stock",EXP((0.7553-(413/(N1070+459.6)))*(INDEX(FX_Input,AA$5,N$3*$Z$5+$AA$5-1)^0.5)*LOG10(INDEX(FX_Input,AA$5,N$3*$Z$5+$AA$5))-(1.854-(1042/(N1070+459.6)))*(INDEX(FX_Input,AA$5,N$3*$Z$5+$AA$5-1)^0.5)+((2416/(N1070+459.6)-2.013)*LOG10(INDEX(FX_Input,AA$5,N$3*$Z$5+$AA$5)))-(8742/(N1070+459.6))+15.64),EXP(INDEX(Antoines,MATCH(N1064,Antoine_Name,0),2)-INDEX(Antoines,MATCH(N1064,Antoine_Name,0),3)/(N1070+459.6))))),0)</f>
        <v>0</v>
      </c>
      <c r="O1075" cm="1">
        <f t="array" ref="O1075">IFERROR(IF(O1065="Chemical",(10^(INDEX(Antoines,MATCH(O1064,Antoine_Name,0),2)-INDEX(Antoines,MATCH(O1064,Antoine_Name,0),3)/(INDEX(Antoines,MATCH(O1064,Antoine_Name,0),4)+(O1070-32)*5/9)))*14.7/760,IF(O1065="Crude Oil",EXP((2799/(O1070+459.6)-2.227)*LOG10(INDEX(FX_Input,AB$5,O$3*$Z$5+$AA$5))-(7261/(O1070+459.6))+12.82),IF(O1065="Refined Petroleum Stock",EXP((0.7553-(413/(O1070+459.6)))*(INDEX(FX_Input,AB$5,O$3*$Z$5+$AA$5-1)^0.5)*LOG10(INDEX(FX_Input,AB$5,O$3*$Z$5+$AA$5))-(1.854-(1042/(O1070+459.6)))*(INDEX(FX_Input,AB$5,O$3*$Z$5+$AA$5-1)^0.5)+((2416/(O1070+459.6)-2.013)*LOG10(INDEX(FX_Input,AB$5,O$3*$Z$5+$AA$5)))-(8742/(O1070+459.6))+15.64),EXP(INDEX(Antoines,MATCH(O1064,Antoine_Name,0),2)-INDEX(Antoines,MATCH(O1064,Antoine_Name,0),3)/(O1070+459.6))))),0)</f>
        <v>0</v>
      </c>
    </row>
    <row r="1076" spans="2:15" ht="17.149999999999999" x14ac:dyDescent="0.55000000000000004">
      <c r="B1076" t="str">
        <f t="shared" si="3860"/>
        <v>Portland</v>
      </c>
      <c r="C1076" t="s">
        <v>577</v>
      </c>
      <c r="D1076">
        <f>D1075*D1068</f>
        <v>0</v>
      </c>
      <c r="E1076">
        <f t="shared" ref="E1076" si="3872">E1075*E1068</f>
        <v>0</v>
      </c>
      <c r="F1076">
        <f t="shared" ref="F1076" si="3873">F1075*F1068</f>
        <v>0</v>
      </c>
      <c r="G1076">
        <f t="shared" ref="G1076" si="3874">G1075*G1068</f>
        <v>0</v>
      </c>
      <c r="H1076">
        <f t="shared" ref="H1076" si="3875">H1075*H1068</f>
        <v>0</v>
      </c>
      <c r="I1076">
        <f t="shared" ref="I1076" si="3876">I1075*I1068</f>
        <v>0</v>
      </c>
      <c r="J1076">
        <f t="shared" ref="J1076" si="3877">J1075*J1068</f>
        <v>0</v>
      </c>
      <c r="K1076">
        <f t="shared" ref="K1076" si="3878">K1075*K1068</f>
        <v>0</v>
      </c>
      <c r="L1076">
        <f t="shared" ref="L1076" si="3879">L1075*L1068</f>
        <v>0</v>
      </c>
      <c r="M1076">
        <f t="shared" ref="M1076" si="3880">M1075*M1068</f>
        <v>0</v>
      </c>
      <c r="N1076">
        <f t="shared" ref="N1076" si="3881">N1075*N1068</f>
        <v>0</v>
      </c>
      <c r="O1076">
        <f t="shared" ref="O1076" si="3882">O1075*O1068</f>
        <v>0</v>
      </c>
    </row>
    <row r="1077" spans="2:15" ht="17.149999999999999" x14ac:dyDescent="0.55000000000000004">
      <c r="B1077" t="str">
        <f t="shared" si="3860"/>
        <v>Portland</v>
      </c>
      <c r="C1077" t="s">
        <v>578</v>
      </c>
      <c r="D1077">
        <f>D1076+D1074</f>
        <v>1</v>
      </c>
      <c r="E1077">
        <f t="shared" ref="E1077" si="3883">E1076+E1074</f>
        <v>1</v>
      </c>
      <c r="F1077">
        <f t="shared" ref="F1077" si="3884">F1076+F1074</f>
        <v>1</v>
      </c>
      <c r="G1077">
        <f t="shared" ref="G1077" si="3885">G1076+G1074</f>
        <v>1</v>
      </c>
      <c r="H1077">
        <f t="shared" ref="H1077" si="3886">H1076+H1074</f>
        <v>1</v>
      </c>
      <c r="I1077">
        <f t="shared" ref="I1077" si="3887">I1076+I1074</f>
        <v>1</v>
      </c>
      <c r="J1077">
        <f t="shared" ref="J1077" si="3888">J1076+J1074</f>
        <v>1</v>
      </c>
      <c r="K1077">
        <f t="shared" ref="K1077" si="3889">K1076+K1074</f>
        <v>1</v>
      </c>
      <c r="L1077">
        <f t="shared" ref="L1077" si="3890">L1076+L1074</f>
        <v>1</v>
      </c>
      <c r="M1077">
        <f t="shared" ref="M1077" si="3891">M1076+M1074</f>
        <v>1</v>
      </c>
      <c r="N1077">
        <f t="shared" ref="N1077" si="3892">N1076+N1074</f>
        <v>1</v>
      </c>
      <c r="O1077">
        <f t="shared" ref="O1077" si="3893">O1076+O1074</f>
        <v>1</v>
      </c>
    </row>
    <row r="1078" spans="2:15" ht="17.149999999999999" x14ac:dyDescent="0.55000000000000004">
      <c r="B1078" t="str">
        <f t="shared" si="3860"/>
        <v>Portland</v>
      </c>
      <c r="C1078" t="s">
        <v>579</v>
      </c>
      <c r="D1078" cm="1">
        <f t="array" ref="D1078">IFERROR(IF(D1063="Chemical",(10^(INDEX(Antoines,MATCH(D1062,Antoine_Name,0),2)-INDEX(Antoines,MATCH(D1062,Antoine_Name,0),3)/(INDEX(Antoines,MATCH(D1062,Antoine_Name,0),4)+(D1071-32)*5/9)))*14.7/760,IF(D1063="Crude Oil",EXP((2799/(D1071+459.6)-2.227)*LOG10(INDEX(FX_Input,Q$5,D$3*$Z$5+$AA$5))-(7261/(D1071+459.6))+12.82),IF(D1063="Refined Petroleum Stock",EXP((0.7553-(413/(D1071+459.6)))*(INDEX(FX_Input,Q$5,D$3*$Z$5+$AA$5-1)^0.5)*LOG10(INDEX(FX_Input,Q$5,D$3*$Z$5+$AA$5))-(1.854-(1042/(D1071+459.6)))*(INDEX(FX_Input,Q$5,D$3*$Z$5+$AA$5-1)^0.5)+((2416/(D1071+459.6)-2.013)*LOG10(INDEX(FX_Input,Q$5,D$3*$Z$5+$AA$5)))-(8742/(D1071+459.6))+15.64),EXP(INDEX(Antoines,MATCH(D1062,Antoine_Name,0),2)-INDEX(Antoines,MATCH(D1062,Antoine_Name,0),3)/(D1071+459.6))))),0)</f>
        <v>1</v>
      </c>
      <c r="E1078" cm="1">
        <f t="array" ref="E1078">IFERROR(IF(E1063="Chemical",(10^(INDEX(Antoines,MATCH(E1062,Antoine_Name,0),2)-INDEX(Antoines,MATCH(E1062,Antoine_Name,0),3)/(INDEX(Antoines,MATCH(E1062,Antoine_Name,0),4)+(E1071-32)*5/9)))*14.7/760,IF(E1063="Crude Oil",EXP((2799/(E1071+459.6)-2.227)*LOG10(INDEX(FX_Input,R$5,E$3*$Z$5+$AA$5))-(7261/(E1071+459.6))+12.82),IF(E1063="Refined Petroleum Stock",EXP((0.7553-(413/(E1071+459.6)))*(INDEX(FX_Input,R$5,E$3*$Z$5+$AA$5-1)^0.5)*LOG10(INDEX(FX_Input,R$5,E$3*$Z$5+$AA$5))-(1.854-(1042/(E1071+459.6)))*(INDEX(FX_Input,R$5,E$3*$Z$5+$AA$5-1)^0.5)+((2416/(E1071+459.6)-2.013)*LOG10(INDEX(FX_Input,R$5,E$3*$Z$5+$AA$5)))-(8742/(E1071+459.6))+15.64),EXP(INDEX(Antoines,MATCH(E1062,Antoine_Name,0),2)-INDEX(Antoines,MATCH(E1062,Antoine_Name,0),3)/(E1071+459.6))))),0)</f>
        <v>1</v>
      </c>
      <c r="F1078" cm="1">
        <f t="array" ref="F1078">IFERROR(IF(F1063="Chemical",(10^(INDEX(Antoines,MATCH(F1062,Antoine_Name,0),2)-INDEX(Antoines,MATCH(F1062,Antoine_Name,0),3)/(INDEX(Antoines,MATCH(F1062,Antoine_Name,0),4)+(F1071-32)*5/9)))*14.7/760,IF(F1063="Crude Oil",EXP((2799/(F1071+459.6)-2.227)*LOG10(INDEX(FX_Input,S$5,F$3*$Z$5+$AA$5))-(7261/(F1071+459.6))+12.82),IF(F1063="Refined Petroleum Stock",EXP((0.7553-(413/(F1071+459.6)))*(INDEX(FX_Input,S$5,F$3*$Z$5+$AA$5-1)^0.5)*LOG10(INDEX(FX_Input,S$5,F$3*$Z$5+$AA$5))-(1.854-(1042/(F1071+459.6)))*(INDEX(FX_Input,S$5,F$3*$Z$5+$AA$5-1)^0.5)+((2416/(F1071+459.6)-2.013)*LOG10(INDEX(FX_Input,S$5,F$3*$Z$5+$AA$5)))-(8742/(F1071+459.6))+15.64),EXP(INDEX(Antoines,MATCH(F1062,Antoine_Name,0),2)-INDEX(Antoines,MATCH(F1062,Antoine_Name,0),3)/(F1071+459.6))))),0)</f>
        <v>1</v>
      </c>
      <c r="G1078" cm="1">
        <f t="array" ref="G1078">IFERROR(IF(G1063="Chemical",(10^(INDEX(Antoines,MATCH(G1062,Antoine_Name,0),2)-INDEX(Antoines,MATCH(G1062,Antoine_Name,0),3)/(INDEX(Antoines,MATCH(G1062,Antoine_Name,0),4)+(G1071-32)*5/9)))*14.7/760,IF(G1063="Crude Oil",EXP((2799/(G1071+459.6)-2.227)*LOG10(INDEX(FX_Input,T$5,G$3*$Z$5+$AA$5))-(7261/(G1071+459.6))+12.82),IF(G1063="Refined Petroleum Stock",EXP((0.7553-(413/(G1071+459.6)))*(INDEX(FX_Input,T$5,G$3*$Z$5+$AA$5-1)^0.5)*LOG10(INDEX(FX_Input,T$5,G$3*$Z$5+$AA$5))-(1.854-(1042/(G1071+459.6)))*(INDEX(FX_Input,T$5,G$3*$Z$5+$AA$5-1)^0.5)+((2416/(G1071+459.6)-2.013)*LOG10(INDEX(FX_Input,T$5,G$3*$Z$5+$AA$5)))-(8742/(G1071+459.6))+15.64),EXP(INDEX(Antoines,MATCH(G1062,Antoine_Name,0),2)-INDEX(Antoines,MATCH(G1062,Antoine_Name,0),3)/(G1071+459.6))))),0)</f>
        <v>1</v>
      </c>
      <c r="H1078" cm="1">
        <f t="array" ref="H1078">IFERROR(IF(H1063="Chemical",(10^(INDEX(Antoines,MATCH(H1062,Antoine_Name,0),2)-INDEX(Antoines,MATCH(H1062,Antoine_Name,0),3)/(INDEX(Antoines,MATCH(H1062,Antoine_Name,0),4)+(H1071-32)*5/9)))*14.7/760,IF(H1063="Crude Oil",EXP((2799/(H1071+459.6)-2.227)*LOG10(INDEX(FX_Input,U$5,H$3*$Z$5+$AA$5))-(7261/(H1071+459.6))+12.82),IF(H1063="Refined Petroleum Stock",EXP((0.7553-(413/(H1071+459.6)))*(INDEX(FX_Input,U$5,H$3*$Z$5+$AA$5-1)^0.5)*LOG10(INDEX(FX_Input,U$5,H$3*$Z$5+$AA$5))-(1.854-(1042/(H1071+459.6)))*(INDEX(FX_Input,U$5,H$3*$Z$5+$AA$5-1)^0.5)+((2416/(H1071+459.6)-2.013)*LOG10(INDEX(FX_Input,U$5,H$3*$Z$5+$AA$5)))-(8742/(H1071+459.6))+15.64),EXP(INDEX(Antoines,MATCH(H1062,Antoine_Name,0),2)-INDEX(Antoines,MATCH(H1062,Antoine_Name,0),3)/(H1071+459.6))))),0)</f>
        <v>1</v>
      </c>
      <c r="I1078" cm="1">
        <f t="array" ref="I1078">IFERROR(IF(I1063="Chemical",(10^(INDEX(Antoines,MATCH(I1062,Antoine_Name,0),2)-INDEX(Antoines,MATCH(I1062,Antoine_Name,0),3)/(INDEX(Antoines,MATCH(I1062,Antoine_Name,0),4)+(I1071-32)*5/9)))*14.7/760,IF(I1063="Crude Oil",EXP((2799/(I1071+459.6)-2.227)*LOG10(INDEX(FX_Input,V$5,I$3*$Z$5+$AA$5))-(7261/(I1071+459.6))+12.82),IF(I1063="Refined Petroleum Stock",EXP((0.7553-(413/(I1071+459.6)))*(INDEX(FX_Input,V$5,I$3*$Z$5+$AA$5-1)^0.5)*LOG10(INDEX(FX_Input,V$5,I$3*$Z$5+$AA$5))-(1.854-(1042/(I1071+459.6)))*(INDEX(FX_Input,V$5,I$3*$Z$5+$AA$5-1)^0.5)+((2416/(I1071+459.6)-2.013)*LOG10(INDEX(FX_Input,V$5,I$3*$Z$5+$AA$5)))-(8742/(I1071+459.6))+15.64),EXP(INDEX(Antoines,MATCH(I1062,Antoine_Name,0),2)-INDEX(Antoines,MATCH(I1062,Antoine_Name,0),3)/(I1071+459.6))))),0)</f>
        <v>1</v>
      </c>
      <c r="J1078" cm="1">
        <f t="array" ref="J1078">IFERROR(IF(J1063="Chemical",(10^(INDEX(Antoines,MATCH(J1062,Antoine_Name,0),2)-INDEX(Antoines,MATCH(J1062,Antoine_Name,0),3)/(INDEX(Antoines,MATCH(J1062,Antoine_Name,0),4)+(J1071-32)*5/9)))*14.7/760,IF(J1063="Crude Oil",EXP((2799/(J1071+459.6)-2.227)*LOG10(INDEX(FX_Input,W$5,J$3*$Z$5+$AA$5))-(7261/(J1071+459.6))+12.82),IF(J1063="Refined Petroleum Stock",EXP((0.7553-(413/(J1071+459.6)))*(INDEX(FX_Input,W$5,J$3*$Z$5+$AA$5-1)^0.5)*LOG10(INDEX(FX_Input,W$5,J$3*$Z$5+$AA$5))-(1.854-(1042/(J1071+459.6)))*(INDEX(FX_Input,W$5,J$3*$Z$5+$AA$5-1)^0.5)+((2416/(J1071+459.6)-2.013)*LOG10(INDEX(FX_Input,W$5,J$3*$Z$5+$AA$5)))-(8742/(J1071+459.6))+15.64),EXP(INDEX(Antoines,MATCH(J1062,Antoine_Name,0),2)-INDEX(Antoines,MATCH(J1062,Antoine_Name,0),3)/(J1071+459.6))))),0)</f>
        <v>1</v>
      </c>
      <c r="K1078" cm="1">
        <f t="array" ref="K1078">IFERROR(IF(K1063="Chemical",(10^(INDEX(Antoines,MATCH(K1062,Antoine_Name,0),2)-INDEX(Antoines,MATCH(K1062,Antoine_Name,0),3)/(INDEX(Antoines,MATCH(K1062,Antoine_Name,0),4)+(K1071-32)*5/9)))*14.7/760,IF(K1063="Crude Oil",EXP((2799/(K1071+459.6)-2.227)*LOG10(INDEX(FX_Input,X$5,K$3*$Z$5+$AA$5))-(7261/(K1071+459.6))+12.82),IF(K1063="Refined Petroleum Stock",EXP((0.7553-(413/(K1071+459.6)))*(INDEX(FX_Input,X$5,K$3*$Z$5+$AA$5-1)^0.5)*LOG10(INDEX(FX_Input,X$5,K$3*$Z$5+$AA$5))-(1.854-(1042/(K1071+459.6)))*(INDEX(FX_Input,X$5,K$3*$Z$5+$AA$5-1)^0.5)+((2416/(K1071+459.6)-2.013)*LOG10(INDEX(FX_Input,X$5,K$3*$Z$5+$AA$5)))-(8742/(K1071+459.6))+15.64),EXP(INDEX(Antoines,MATCH(K1062,Antoine_Name,0),2)-INDEX(Antoines,MATCH(K1062,Antoine_Name,0),3)/(K1071+459.6))))),0)</f>
        <v>1</v>
      </c>
      <c r="L1078" cm="1">
        <f t="array" ref="L1078">IFERROR(IF(L1063="Chemical",(10^(INDEX(Antoines,MATCH(L1062,Antoine_Name,0),2)-INDEX(Antoines,MATCH(L1062,Antoine_Name,0),3)/(INDEX(Antoines,MATCH(L1062,Antoine_Name,0),4)+(L1071-32)*5/9)))*14.7/760,IF(L1063="Crude Oil",EXP((2799/(L1071+459.6)-2.227)*LOG10(INDEX(FX_Input,Y$5,L$3*$Z$5+$AA$5))-(7261/(L1071+459.6))+12.82),IF(L1063="Refined Petroleum Stock",EXP((0.7553-(413/(L1071+459.6)))*(INDEX(FX_Input,Y$5,L$3*$Z$5+$AA$5-1)^0.5)*LOG10(INDEX(FX_Input,Y$5,L$3*$Z$5+$AA$5))-(1.854-(1042/(L1071+459.6)))*(INDEX(FX_Input,Y$5,L$3*$Z$5+$AA$5-1)^0.5)+((2416/(L1071+459.6)-2.013)*LOG10(INDEX(FX_Input,Y$5,L$3*$Z$5+$AA$5)))-(8742/(L1071+459.6))+15.64),EXP(INDEX(Antoines,MATCH(L1062,Antoine_Name,0),2)-INDEX(Antoines,MATCH(L1062,Antoine_Name,0),3)/(L1071+459.6))))),0)</f>
        <v>1</v>
      </c>
      <c r="M1078" cm="1">
        <f t="array" ref="M1078">IFERROR(IF(M1063="Chemical",(10^(INDEX(Antoines,MATCH(M1062,Antoine_Name,0),2)-INDEX(Antoines,MATCH(M1062,Antoine_Name,0),3)/(INDEX(Antoines,MATCH(M1062,Antoine_Name,0),4)+(M1071-32)*5/9)))*14.7/760,IF(M1063="Crude Oil",EXP((2799/(M1071+459.6)-2.227)*LOG10(INDEX(FX_Input,Z$5,M$3*$Z$5+$AA$5))-(7261/(M1071+459.6))+12.82),IF(M1063="Refined Petroleum Stock",EXP((0.7553-(413/(M1071+459.6)))*(INDEX(FX_Input,Z$5,M$3*$Z$5+$AA$5-1)^0.5)*LOG10(INDEX(FX_Input,Z$5,M$3*$Z$5+$AA$5))-(1.854-(1042/(M1071+459.6)))*(INDEX(FX_Input,Z$5,M$3*$Z$5+$AA$5-1)^0.5)+((2416/(M1071+459.6)-2.013)*LOG10(INDEX(FX_Input,Z$5,M$3*$Z$5+$AA$5)))-(8742/(M1071+459.6))+15.64),EXP(INDEX(Antoines,MATCH(M1062,Antoine_Name,0),2)-INDEX(Antoines,MATCH(M1062,Antoine_Name,0),3)/(M1071+459.6))))),0)</f>
        <v>1</v>
      </c>
      <c r="N1078" cm="1">
        <f t="array" ref="N1078">IFERROR(IF(N1063="Chemical",(10^(INDEX(Antoines,MATCH(N1062,Antoine_Name,0),2)-INDEX(Antoines,MATCH(N1062,Antoine_Name,0),3)/(INDEX(Antoines,MATCH(N1062,Antoine_Name,0),4)+(N1071-32)*5/9)))*14.7/760,IF(N1063="Crude Oil",EXP((2799/(N1071+459.6)-2.227)*LOG10(INDEX(FX_Input,AA$5,N$3*$Z$5+$AA$5))-(7261/(N1071+459.6))+12.82),IF(N1063="Refined Petroleum Stock",EXP((0.7553-(413/(N1071+459.6)))*(INDEX(FX_Input,AA$5,N$3*$Z$5+$AA$5-1)^0.5)*LOG10(INDEX(FX_Input,AA$5,N$3*$Z$5+$AA$5))-(1.854-(1042/(N1071+459.6)))*(INDEX(FX_Input,AA$5,N$3*$Z$5+$AA$5-1)^0.5)+((2416/(N1071+459.6)-2.013)*LOG10(INDEX(FX_Input,AA$5,N$3*$Z$5+$AA$5)))-(8742/(N1071+459.6))+15.64),EXP(INDEX(Antoines,MATCH(N1062,Antoine_Name,0),2)-INDEX(Antoines,MATCH(N1062,Antoine_Name,0),3)/(N1071+459.6))))),0)</f>
        <v>1</v>
      </c>
      <c r="O1078" cm="1">
        <f t="array" ref="O1078">IFERROR(IF(O1063="Chemical",(10^(INDEX(Antoines,MATCH(O1062,Antoine_Name,0),2)-INDEX(Antoines,MATCH(O1062,Antoine_Name,0),3)/(INDEX(Antoines,MATCH(O1062,Antoine_Name,0),4)+(O1071-32)*5/9)))*14.7/760,IF(O1063="Crude Oil",EXP((2799/(O1071+459.6)-2.227)*LOG10(INDEX(FX_Input,AB$5,O$3*$Z$5+$AA$5))-(7261/(O1071+459.6))+12.82),IF(O1063="Refined Petroleum Stock",EXP((0.7553-(413/(O1071+459.6)))*(INDEX(FX_Input,AB$5,O$3*$Z$5+$AA$5-1)^0.5)*LOG10(INDEX(FX_Input,AB$5,O$3*$Z$5+$AA$5))-(1.854-(1042/(O1071+459.6)))*(INDEX(FX_Input,AB$5,O$3*$Z$5+$AA$5-1)^0.5)+((2416/(O1071+459.6)-2.013)*LOG10(INDEX(FX_Input,AB$5,O$3*$Z$5+$AA$5)))-(8742/(O1071+459.6))+15.64),EXP(INDEX(Antoines,MATCH(O1062,Antoine_Name,0),2)-INDEX(Antoines,MATCH(O1062,Antoine_Name,0),3)/(O1071+459.6))))),0)</f>
        <v>1</v>
      </c>
    </row>
    <row r="1079" spans="2:15" ht="17.149999999999999" x14ac:dyDescent="0.55000000000000004">
      <c r="B1079" t="str">
        <f t="shared" si="3860"/>
        <v>Portland</v>
      </c>
      <c r="C1079" t="s">
        <v>580</v>
      </c>
      <c r="D1079">
        <f>D1078*D1066</f>
        <v>1</v>
      </c>
      <c r="E1079">
        <f t="shared" ref="E1079" si="3894">E1078*E1066</f>
        <v>1</v>
      </c>
      <c r="F1079">
        <f t="shared" ref="F1079" si="3895">F1078*F1066</f>
        <v>1</v>
      </c>
      <c r="G1079">
        <f t="shared" ref="G1079" si="3896">G1078*G1066</f>
        <v>1</v>
      </c>
      <c r="H1079">
        <f t="shared" ref="H1079" si="3897">H1078*H1066</f>
        <v>1</v>
      </c>
      <c r="I1079">
        <f t="shared" ref="I1079" si="3898">I1078*I1066</f>
        <v>1</v>
      </c>
      <c r="J1079">
        <f t="shared" ref="J1079" si="3899">J1078*J1066</f>
        <v>1</v>
      </c>
      <c r="K1079">
        <f t="shared" ref="K1079" si="3900">K1078*K1066</f>
        <v>1</v>
      </c>
      <c r="L1079">
        <f t="shared" ref="L1079" si="3901">L1078*L1066</f>
        <v>1</v>
      </c>
      <c r="M1079">
        <f t="shared" ref="M1079" si="3902">M1078*M1066</f>
        <v>1</v>
      </c>
      <c r="N1079">
        <f t="shared" ref="N1079" si="3903">N1078*N1066</f>
        <v>1</v>
      </c>
      <c r="O1079">
        <f t="shared" ref="O1079" si="3904">O1078*O1066</f>
        <v>1</v>
      </c>
    </row>
    <row r="1080" spans="2:15" ht="17.149999999999999" x14ac:dyDescent="0.55000000000000004">
      <c r="B1080" t="str">
        <f t="shared" si="3860"/>
        <v>Portland</v>
      </c>
      <c r="C1080" t="s">
        <v>581</v>
      </c>
      <c r="D1080" cm="1">
        <f t="array" ref="D1080">IFERROR(IF(D1065="Chemical",(10^(INDEX(Antoines,MATCH(D1064,Antoine_Name,0),2)-INDEX(Antoines,MATCH(D1064,Antoine_Name,0),3)/(INDEX(Antoines,MATCH(D1064,Antoine_Name,0),4)+(D1071-32)*5/9)))*14.7/760,IF(D1065="Crude Oil",EXP((2799/(D1071+459.6)-2.227)*LOG10(INDEX(FX_Input,Q$5,D$3*$Z$5+$AA$5))-(7261/(D1071+459.6))+12.82),IF(D1065="Refined Petroleum Stock",EXP((0.7553-(413/(D1071+459.6)))*(INDEX(FX_Input,Q$5,D$3*$Z$5+$AA$5-1)^0.5)*LOG10(INDEX(FX_Input,Q$5,D$3*$Z$5+$AA$5))-(1.854-(1042/(D1071+459.6)))*(INDEX(FX_Input,Q$5,D$3*$Z$5+$AA$5-1)^0.5)+((2416/(D1071+459.6)-2.013)*LOG10(INDEX(FX_Input,Q$5,D$3*$Z$5+$AA$5)))-(8742/(D1071+459.6))+15.64),EXP(INDEX(Antoines,MATCH(D1064,Antoine_Name,0),2)-INDEX(Antoines,MATCH(D1064,Antoine_Name,0),3)/(D1071+459.6))))),0)</f>
        <v>0</v>
      </c>
      <c r="E1080" cm="1">
        <f t="array" ref="E1080">IFERROR(IF(E1065="Chemical",(10^(INDEX(Antoines,MATCH(E1064,Antoine_Name,0),2)-INDEX(Antoines,MATCH(E1064,Antoine_Name,0),3)/(INDEX(Antoines,MATCH(E1064,Antoine_Name,0),4)+(E1071-32)*5/9)))*14.7/760,IF(E1065="Crude Oil",EXP((2799/(E1071+459.6)-2.227)*LOG10(INDEX(FX_Input,R$5,E$3*$Z$5+$AA$5))-(7261/(E1071+459.6))+12.82),IF(E1065="Refined Petroleum Stock",EXP((0.7553-(413/(E1071+459.6)))*(INDEX(FX_Input,R$5,E$3*$Z$5+$AA$5-1)^0.5)*LOG10(INDEX(FX_Input,R$5,E$3*$Z$5+$AA$5))-(1.854-(1042/(E1071+459.6)))*(INDEX(FX_Input,R$5,E$3*$Z$5+$AA$5-1)^0.5)+((2416/(E1071+459.6)-2.013)*LOG10(INDEX(FX_Input,R$5,E$3*$Z$5+$AA$5)))-(8742/(E1071+459.6))+15.64),EXP(INDEX(Antoines,MATCH(E1064,Antoine_Name,0),2)-INDEX(Antoines,MATCH(E1064,Antoine_Name,0),3)/(E1071+459.6))))),0)</f>
        <v>0</v>
      </c>
      <c r="F1080" cm="1">
        <f t="array" ref="F1080">IFERROR(IF(F1065="Chemical",(10^(INDEX(Antoines,MATCH(F1064,Antoine_Name,0),2)-INDEX(Antoines,MATCH(F1064,Antoine_Name,0),3)/(INDEX(Antoines,MATCH(F1064,Antoine_Name,0),4)+(F1071-32)*5/9)))*14.7/760,IF(F1065="Crude Oil",EXP((2799/(F1071+459.6)-2.227)*LOG10(INDEX(FX_Input,S$5,F$3*$Z$5+$AA$5))-(7261/(F1071+459.6))+12.82),IF(F1065="Refined Petroleum Stock",EXP((0.7553-(413/(F1071+459.6)))*(INDEX(FX_Input,S$5,F$3*$Z$5+$AA$5-1)^0.5)*LOG10(INDEX(FX_Input,S$5,F$3*$Z$5+$AA$5))-(1.854-(1042/(F1071+459.6)))*(INDEX(FX_Input,S$5,F$3*$Z$5+$AA$5-1)^0.5)+((2416/(F1071+459.6)-2.013)*LOG10(INDEX(FX_Input,S$5,F$3*$Z$5+$AA$5)))-(8742/(F1071+459.6))+15.64),EXP(INDEX(Antoines,MATCH(F1064,Antoine_Name,0),2)-INDEX(Antoines,MATCH(F1064,Antoine_Name,0),3)/(F1071+459.6))))),0)</f>
        <v>0</v>
      </c>
      <c r="G1080" cm="1">
        <f t="array" ref="G1080">IFERROR(IF(G1065="Chemical",(10^(INDEX(Antoines,MATCH(G1064,Antoine_Name,0),2)-INDEX(Antoines,MATCH(G1064,Antoine_Name,0),3)/(INDEX(Antoines,MATCH(G1064,Antoine_Name,0),4)+(G1071-32)*5/9)))*14.7/760,IF(G1065="Crude Oil",EXP((2799/(G1071+459.6)-2.227)*LOG10(INDEX(FX_Input,T$5,G$3*$Z$5+$AA$5))-(7261/(G1071+459.6))+12.82),IF(G1065="Refined Petroleum Stock",EXP((0.7553-(413/(G1071+459.6)))*(INDEX(FX_Input,T$5,G$3*$Z$5+$AA$5-1)^0.5)*LOG10(INDEX(FX_Input,T$5,G$3*$Z$5+$AA$5))-(1.854-(1042/(G1071+459.6)))*(INDEX(FX_Input,T$5,G$3*$Z$5+$AA$5-1)^0.5)+((2416/(G1071+459.6)-2.013)*LOG10(INDEX(FX_Input,T$5,G$3*$Z$5+$AA$5)))-(8742/(G1071+459.6))+15.64),EXP(INDEX(Antoines,MATCH(G1064,Antoine_Name,0),2)-INDEX(Antoines,MATCH(G1064,Antoine_Name,0),3)/(G1071+459.6))))),0)</f>
        <v>0</v>
      </c>
      <c r="H1080" cm="1">
        <f t="array" ref="H1080">IFERROR(IF(H1065="Chemical",(10^(INDEX(Antoines,MATCH(H1064,Antoine_Name,0),2)-INDEX(Antoines,MATCH(H1064,Antoine_Name,0),3)/(INDEX(Antoines,MATCH(H1064,Antoine_Name,0),4)+(H1071-32)*5/9)))*14.7/760,IF(H1065="Crude Oil",EXP((2799/(H1071+459.6)-2.227)*LOG10(INDEX(FX_Input,U$5,H$3*$Z$5+$AA$5))-(7261/(H1071+459.6))+12.82),IF(H1065="Refined Petroleum Stock",EXP((0.7553-(413/(H1071+459.6)))*(INDEX(FX_Input,U$5,H$3*$Z$5+$AA$5-1)^0.5)*LOG10(INDEX(FX_Input,U$5,H$3*$Z$5+$AA$5))-(1.854-(1042/(H1071+459.6)))*(INDEX(FX_Input,U$5,H$3*$Z$5+$AA$5-1)^0.5)+((2416/(H1071+459.6)-2.013)*LOG10(INDEX(FX_Input,U$5,H$3*$Z$5+$AA$5)))-(8742/(H1071+459.6))+15.64),EXP(INDEX(Antoines,MATCH(H1064,Antoine_Name,0),2)-INDEX(Antoines,MATCH(H1064,Antoine_Name,0),3)/(H1071+459.6))))),0)</f>
        <v>0</v>
      </c>
      <c r="I1080" cm="1">
        <f t="array" ref="I1080">IFERROR(IF(I1065="Chemical",(10^(INDEX(Antoines,MATCH(I1064,Antoine_Name,0),2)-INDEX(Antoines,MATCH(I1064,Antoine_Name,0),3)/(INDEX(Antoines,MATCH(I1064,Antoine_Name,0),4)+(I1071-32)*5/9)))*14.7/760,IF(I1065="Crude Oil",EXP((2799/(I1071+459.6)-2.227)*LOG10(INDEX(FX_Input,V$5,I$3*$Z$5+$AA$5))-(7261/(I1071+459.6))+12.82),IF(I1065="Refined Petroleum Stock",EXP((0.7553-(413/(I1071+459.6)))*(INDEX(FX_Input,V$5,I$3*$Z$5+$AA$5-1)^0.5)*LOG10(INDEX(FX_Input,V$5,I$3*$Z$5+$AA$5))-(1.854-(1042/(I1071+459.6)))*(INDEX(FX_Input,V$5,I$3*$Z$5+$AA$5-1)^0.5)+((2416/(I1071+459.6)-2.013)*LOG10(INDEX(FX_Input,V$5,I$3*$Z$5+$AA$5)))-(8742/(I1071+459.6))+15.64),EXP(INDEX(Antoines,MATCH(I1064,Antoine_Name,0),2)-INDEX(Antoines,MATCH(I1064,Antoine_Name,0),3)/(I1071+459.6))))),0)</f>
        <v>0</v>
      </c>
      <c r="J1080" cm="1">
        <f t="array" ref="J1080">IFERROR(IF(J1065="Chemical",(10^(INDEX(Antoines,MATCH(J1064,Antoine_Name,0),2)-INDEX(Antoines,MATCH(J1064,Antoine_Name,0),3)/(INDEX(Antoines,MATCH(J1064,Antoine_Name,0),4)+(J1071-32)*5/9)))*14.7/760,IF(J1065="Crude Oil",EXP((2799/(J1071+459.6)-2.227)*LOG10(INDEX(FX_Input,W$5,J$3*$Z$5+$AA$5))-(7261/(J1071+459.6))+12.82),IF(J1065="Refined Petroleum Stock",EXP((0.7553-(413/(J1071+459.6)))*(INDEX(FX_Input,W$5,J$3*$Z$5+$AA$5-1)^0.5)*LOG10(INDEX(FX_Input,W$5,J$3*$Z$5+$AA$5))-(1.854-(1042/(J1071+459.6)))*(INDEX(FX_Input,W$5,J$3*$Z$5+$AA$5-1)^0.5)+((2416/(J1071+459.6)-2.013)*LOG10(INDEX(FX_Input,W$5,J$3*$Z$5+$AA$5)))-(8742/(J1071+459.6))+15.64),EXP(INDEX(Antoines,MATCH(J1064,Antoine_Name,0),2)-INDEX(Antoines,MATCH(J1064,Antoine_Name,0),3)/(J1071+459.6))))),0)</f>
        <v>0</v>
      </c>
      <c r="K1080" cm="1">
        <f t="array" ref="K1080">IFERROR(IF(K1065="Chemical",(10^(INDEX(Antoines,MATCH(K1064,Antoine_Name,0),2)-INDEX(Antoines,MATCH(K1064,Antoine_Name,0),3)/(INDEX(Antoines,MATCH(K1064,Antoine_Name,0),4)+(K1071-32)*5/9)))*14.7/760,IF(K1065="Crude Oil",EXP((2799/(K1071+459.6)-2.227)*LOG10(INDEX(FX_Input,X$5,K$3*$Z$5+$AA$5))-(7261/(K1071+459.6))+12.82),IF(K1065="Refined Petroleum Stock",EXP((0.7553-(413/(K1071+459.6)))*(INDEX(FX_Input,X$5,K$3*$Z$5+$AA$5-1)^0.5)*LOG10(INDEX(FX_Input,X$5,K$3*$Z$5+$AA$5))-(1.854-(1042/(K1071+459.6)))*(INDEX(FX_Input,X$5,K$3*$Z$5+$AA$5-1)^0.5)+((2416/(K1071+459.6)-2.013)*LOG10(INDEX(FX_Input,X$5,K$3*$Z$5+$AA$5)))-(8742/(K1071+459.6))+15.64),EXP(INDEX(Antoines,MATCH(K1064,Antoine_Name,0),2)-INDEX(Antoines,MATCH(K1064,Antoine_Name,0),3)/(K1071+459.6))))),0)</f>
        <v>0</v>
      </c>
      <c r="L1080" cm="1">
        <f t="array" ref="L1080">IFERROR(IF(L1065="Chemical",(10^(INDEX(Antoines,MATCH(L1064,Antoine_Name,0),2)-INDEX(Antoines,MATCH(L1064,Antoine_Name,0),3)/(INDEX(Antoines,MATCH(L1064,Antoine_Name,0),4)+(L1071-32)*5/9)))*14.7/760,IF(L1065="Crude Oil",EXP((2799/(L1071+459.6)-2.227)*LOG10(INDEX(FX_Input,Y$5,L$3*$Z$5+$AA$5))-(7261/(L1071+459.6))+12.82),IF(L1065="Refined Petroleum Stock",EXP((0.7553-(413/(L1071+459.6)))*(INDEX(FX_Input,Y$5,L$3*$Z$5+$AA$5-1)^0.5)*LOG10(INDEX(FX_Input,Y$5,L$3*$Z$5+$AA$5))-(1.854-(1042/(L1071+459.6)))*(INDEX(FX_Input,Y$5,L$3*$Z$5+$AA$5-1)^0.5)+((2416/(L1071+459.6)-2.013)*LOG10(INDEX(FX_Input,Y$5,L$3*$Z$5+$AA$5)))-(8742/(L1071+459.6))+15.64),EXP(INDEX(Antoines,MATCH(L1064,Antoine_Name,0),2)-INDEX(Antoines,MATCH(L1064,Antoine_Name,0),3)/(L1071+459.6))))),0)</f>
        <v>0</v>
      </c>
      <c r="M1080" cm="1">
        <f t="array" ref="M1080">IFERROR(IF(M1065="Chemical",(10^(INDEX(Antoines,MATCH(M1064,Antoine_Name,0),2)-INDEX(Antoines,MATCH(M1064,Antoine_Name,0),3)/(INDEX(Antoines,MATCH(M1064,Antoine_Name,0),4)+(M1071-32)*5/9)))*14.7/760,IF(M1065="Crude Oil",EXP((2799/(M1071+459.6)-2.227)*LOG10(INDEX(FX_Input,Z$5,M$3*$Z$5+$AA$5))-(7261/(M1071+459.6))+12.82),IF(M1065="Refined Petroleum Stock",EXP((0.7553-(413/(M1071+459.6)))*(INDEX(FX_Input,Z$5,M$3*$Z$5+$AA$5-1)^0.5)*LOG10(INDEX(FX_Input,Z$5,M$3*$Z$5+$AA$5))-(1.854-(1042/(M1071+459.6)))*(INDEX(FX_Input,Z$5,M$3*$Z$5+$AA$5-1)^0.5)+((2416/(M1071+459.6)-2.013)*LOG10(INDEX(FX_Input,Z$5,M$3*$Z$5+$AA$5)))-(8742/(M1071+459.6))+15.64),EXP(INDEX(Antoines,MATCH(M1064,Antoine_Name,0),2)-INDEX(Antoines,MATCH(M1064,Antoine_Name,0),3)/(M1071+459.6))))),0)</f>
        <v>0</v>
      </c>
      <c r="N1080" cm="1">
        <f t="array" ref="N1080">IFERROR(IF(N1065="Chemical",(10^(INDEX(Antoines,MATCH(N1064,Antoine_Name,0),2)-INDEX(Antoines,MATCH(N1064,Antoine_Name,0),3)/(INDEX(Antoines,MATCH(N1064,Antoine_Name,0),4)+(N1071-32)*5/9)))*14.7/760,IF(N1065="Crude Oil",EXP((2799/(N1071+459.6)-2.227)*LOG10(INDEX(FX_Input,AA$5,N$3*$Z$5+$AA$5))-(7261/(N1071+459.6))+12.82),IF(N1065="Refined Petroleum Stock",EXP((0.7553-(413/(N1071+459.6)))*(INDEX(FX_Input,AA$5,N$3*$Z$5+$AA$5-1)^0.5)*LOG10(INDEX(FX_Input,AA$5,N$3*$Z$5+$AA$5))-(1.854-(1042/(N1071+459.6)))*(INDEX(FX_Input,AA$5,N$3*$Z$5+$AA$5-1)^0.5)+((2416/(N1071+459.6)-2.013)*LOG10(INDEX(FX_Input,AA$5,N$3*$Z$5+$AA$5)))-(8742/(N1071+459.6))+15.64),EXP(INDEX(Antoines,MATCH(N1064,Antoine_Name,0),2)-INDEX(Antoines,MATCH(N1064,Antoine_Name,0),3)/(N1071+459.6))))),0)</f>
        <v>0</v>
      </c>
      <c r="O1080" cm="1">
        <f t="array" ref="O1080">IFERROR(IF(O1065="Chemical",(10^(INDEX(Antoines,MATCH(O1064,Antoine_Name,0),2)-INDEX(Antoines,MATCH(O1064,Antoine_Name,0),3)/(INDEX(Antoines,MATCH(O1064,Antoine_Name,0),4)+(O1071-32)*5/9)))*14.7/760,IF(O1065="Crude Oil",EXP((2799/(O1071+459.6)-2.227)*LOG10(INDEX(FX_Input,AB$5,O$3*$Z$5+$AA$5))-(7261/(O1071+459.6))+12.82),IF(O1065="Refined Petroleum Stock",EXP((0.7553-(413/(O1071+459.6)))*(INDEX(FX_Input,AB$5,O$3*$Z$5+$AA$5-1)^0.5)*LOG10(INDEX(FX_Input,AB$5,O$3*$Z$5+$AA$5))-(1.854-(1042/(O1071+459.6)))*(INDEX(FX_Input,AB$5,O$3*$Z$5+$AA$5-1)^0.5)+((2416/(O1071+459.6)-2.013)*LOG10(INDEX(FX_Input,AB$5,O$3*$Z$5+$AA$5)))-(8742/(O1071+459.6))+15.64),EXP(INDEX(Antoines,MATCH(O1064,Antoine_Name,0),2)-INDEX(Antoines,MATCH(O1064,Antoine_Name,0),3)/(O1071+459.6))))),0)</f>
        <v>0</v>
      </c>
    </row>
    <row r="1081" spans="2:15" ht="17.149999999999999" x14ac:dyDescent="0.55000000000000004">
      <c r="B1081" t="str">
        <f t="shared" si="3860"/>
        <v>Portland</v>
      </c>
      <c r="C1081" t="s">
        <v>582</v>
      </c>
      <c r="D1081">
        <f>D1080*D1068</f>
        <v>0</v>
      </c>
      <c r="E1081">
        <f t="shared" ref="E1081" si="3905">E1080*E1068</f>
        <v>0</v>
      </c>
      <c r="F1081">
        <f t="shared" ref="F1081" si="3906">F1080*F1068</f>
        <v>0</v>
      </c>
      <c r="G1081">
        <f t="shared" ref="G1081" si="3907">G1080*G1068</f>
        <v>0</v>
      </c>
      <c r="H1081">
        <f t="shared" ref="H1081" si="3908">H1080*H1068</f>
        <v>0</v>
      </c>
      <c r="I1081">
        <f t="shared" ref="I1081" si="3909">I1080*I1068</f>
        <v>0</v>
      </c>
      <c r="J1081">
        <f t="shared" ref="J1081" si="3910">J1080*J1068</f>
        <v>0</v>
      </c>
      <c r="K1081">
        <f t="shared" ref="K1081" si="3911">K1080*K1068</f>
        <v>0</v>
      </c>
      <c r="L1081">
        <f t="shared" ref="L1081" si="3912">L1080*L1068</f>
        <v>0</v>
      </c>
      <c r="M1081">
        <f t="shared" ref="M1081" si="3913">M1080*M1068</f>
        <v>0</v>
      </c>
      <c r="N1081">
        <f t="shared" ref="N1081" si="3914">N1080*N1068</f>
        <v>0</v>
      </c>
      <c r="O1081">
        <f t="shared" ref="O1081" si="3915">O1080*O1068</f>
        <v>0</v>
      </c>
    </row>
    <row r="1082" spans="2:15" ht="17.149999999999999" x14ac:dyDescent="0.55000000000000004">
      <c r="B1082" t="str">
        <f t="shared" si="3860"/>
        <v>Portland</v>
      </c>
      <c r="C1082" t="s">
        <v>583</v>
      </c>
      <c r="D1082">
        <f>D1079+D1081</f>
        <v>1</v>
      </c>
      <c r="E1082">
        <f t="shared" ref="E1082" si="3916">E1079+E1081</f>
        <v>1</v>
      </c>
      <c r="F1082">
        <f t="shared" ref="F1082" si="3917">F1079+F1081</f>
        <v>1</v>
      </c>
      <c r="G1082">
        <f t="shared" ref="G1082" si="3918">G1079+G1081</f>
        <v>1</v>
      </c>
      <c r="H1082">
        <f t="shared" ref="H1082" si="3919">H1079+H1081</f>
        <v>1</v>
      </c>
      <c r="I1082">
        <f t="shared" ref="I1082" si="3920">I1079+I1081</f>
        <v>1</v>
      </c>
      <c r="J1082">
        <f t="shared" ref="J1082" si="3921">J1079+J1081</f>
        <v>1</v>
      </c>
      <c r="K1082">
        <f t="shared" ref="K1082" si="3922">K1079+K1081</f>
        <v>1</v>
      </c>
      <c r="L1082">
        <f t="shared" ref="L1082" si="3923">L1079+L1081</f>
        <v>1</v>
      </c>
      <c r="M1082">
        <f t="shared" ref="M1082" si="3924">M1079+M1081</f>
        <v>1</v>
      </c>
      <c r="N1082">
        <f t="shared" ref="N1082" si="3925">N1079+N1081</f>
        <v>1</v>
      </c>
      <c r="O1082">
        <f t="shared" ref="O1082" si="3926">O1079+O1081</f>
        <v>1</v>
      </c>
    </row>
    <row r="1083" spans="2:15" ht="17.149999999999999" x14ac:dyDescent="0.55000000000000004">
      <c r="B1083" t="str">
        <f t="shared" si="3860"/>
        <v>Portland</v>
      </c>
      <c r="C1083" t="s">
        <v>1388</v>
      </c>
      <c r="D1083" cm="1">
        <f t="array" ref="D1083">IFERROR(IF(D1063="Chemical",(10^(INDEX(Antoines,MATCH(D1062,Antoine_Name,0),2)-INDEX(Antoines,MATCH(D1062,Antoine_Name,0),3)/(INDEX(Antoines,MATCH(D1062,Antoine_Name,0),4)+(D1072-32)*5/9)))*14.7/760,IF(D1063="Crude Oil",EXP((2799/(D1072+459.6)-2.227)*LOG10(INDEX(FX_Input,Q$5,D$3*$Z$5+$AA$5))-(7261/(D1072+459.6))+12.82),IF(D1063="Refined Petroleum Stock",EXP((0.7553-(413/(D1072+459.6)))*(INDEX(FX_Input,Q$5,D$3*$Z$5+$AA$5-1)^0.5)*LOG10(INDEX(FX_Input,Q$5,D$3*$Z$5+$AA$5))-(1.854-(1042/(D1072+459.6)))*(INDEX(FX_Input,Q$5,D$3*$Z$5+$AA$5-1)^0.5)+((2416/(D1072+459.6)-2.013)*LOG10(INDEX(FX_Input,Q$5,D$3*$Z$5+$AA$5)))-(8742/(D1072+459.6))+15.64),EXP(INDEX(Antoines,MATCH(D1062,Antoine_Name,0),2)-INDEX(Antoines,MATCH(D1062,Antoine_Name,0),3)/(D1072+459.6))))),0)</f>
        <v>1</v>
      </c>
      <c r="E1083" cm="1">
        <f t="array" ref="E1083">IFERROR(IF(E1063="Chemical",(10^(INDEX(Antoines,MATCH(E1062,Antoine_Name,0),2)-INDEX(Antoines,MATCH(E1062,Antoine_Name,0),3)/(INDEX(Antoines,MATCH(E1062,Antoine_Name,0),4)+(E1072-32)*5/9)))*14.7/760,IF(E1063="Crude Oil",EXP((2799/(E1072+459.6)-2.227)*LOG10(INDEX(FX_Input,R$5,E$3*$Z$5+$AA$5))-(7261/(E1072+459.6))+12.82),IF(E1063="Refined Petroleum Stock",EXP((0.7553-(413/(E1072+459.6)))*(INDEX(FX_Input,R$5,E$3*$Z$5+$AA$5-1)^0.5)*LOG10(INDEX(FX_Input,R$5,E$3*$Z$5+$AA$5))-(1.854-(1042/(E1072+459.6)))*(INDEX(FX_Input,R$5,E$3*$Z$5+$AA$5-1)^0.5)+((2416/(E1072+459.6)-2.013)*LOG10(INDEX(FX_Input,R$5,E$3*$Z$5+$AA$5)))-(8742/(E1072+459.6))+15.64),EXP(INDEX(Antoines,MATCH(E1062,Antoine_Name,0),2)-INDEX(Antoines,MATCH(E1062,Antoine_Name,0),3)/(E1072+459.6))))),0)</f>
        <v>1</v>
      </c>
      <c r="F1083" cm="1">
        <f t="array" ref="F1083">IFERROR(IF(F1063="Chemical",(10^(INDEX(Antoines,MATCH(F1062,Antoine_Name,0),2)-INDEX(Antoines,MATCH(F1062,Antoine_Name,0),3)/(INDEX(Antoines,MATCH(F1062,Antoine_Name,0),4)+(F1072-32)*5/9)))*14.7/760,IF(F1063="Crude Oil",EXP((2799/(F1072+459.6)-2.227)*LOG10(INDEX(FX_Input,S$5,F$3*$Z$5+$AA$5))-(7261/(F1072+459.6))+12.82),IF(F1063="Refined Petroleum Stock",EXP((0.7553-(413/(F1072+459.6)))*(INDEX(FX_Input,S$5,F$3*$Z$5+$AA$5-1)^0.5)*LOG10(INDEX(FX_Input,S$5,F$3*$Z$5+$AA$5))-(1.854-(1042/(F1072+459.6)))*(INDEX(FX_Input,S$5,F$3*$Z$5+$AA$5-1)^0.5)+((2416/(F1072+459.6)-2.013)*LOG10(INDEX(FX_Input,S$5,F$3*$Z$5+$AA$5)))-(8742/(F1072+459.6))+15.64),EXP(INDEX(Antoines,MATCH(F1062,Antoine_Name,0),2)-INDEX(Antoines,MATCH(F1062,Antoine_Name,0),3)/(F1072+459.6))))),0)</f>
        <v>1</v>
      </c>
      <c r="G1083" cm="1">
        <f t="array" ref="G1083">IFERROR(IF(G1063="Chemical",(10^(INDEX(Antoines,MATCH(G1062,Antoine_Name,0),2)-INDEX(Antoines,MATCH(G1062,Antoine_Name,0),3)/(INDEX(Antoines,MATCH(G1062,Antoine_Name,0),4)+(G1072-32)*5/9)))*14.7/760,IF(G1063="Crude Oil",EXP((2799/(G1072+459.6)-2.227)*LOG10(INDEX(FX_Input,T$5,G$3*$Z$5+$AA$5))-(7261/(G1072+459.6))+12.82),IF(G1063="Refined Petroleum Stock",EXP((0.7553-(413/(G1072+459.6)))*(INDEX(FX_Input,T$5,G$3*$Z$5+$AA$5-1)^0.5)*LOG10(INDEX(FX_Input,T$5,G$3*$Z$5+$AA$5))-(1.854-(1042/(G1072+459.6)))*(INDEX(FX_Input,T$5,G$3*$Z$5+$AA$5-1)^0.5)+((2416/(G1072+459.6)-2.013)*LOG10(INDEX(FX_Input,T$5,G$3*$Z$5+$AA$5)))-(8742/(G1072+459.6))+15.64),EXP(INDEX(Antoines,MATCH(G1062,Antoine_Name,0),2)-INDEX(Antoines,MATCH(G1062,Antoine_Name,0),3)/(G1072+459.6))))),0)</f>
        <v>1</v>
      </c>
      <c r="H1083" cm="1">
        <f t="array" ref="H1083">IFERROR(IF(H1063="Chemical",(10^(INDEX(Antoines,MATCH(H1062,Antoine_Name,0),2)-INDEX(Antoines,MATCH(H1062,Antoine_Name,0),3)/(INDEX(Antoines,MATCH(H1062,Antoine_Name,0),4)+(H1072-32)*5/9)))*14.7/760,IF(H1063="Crude Oil",EXP((2799/(H1072+459.6)-2.227)*LOG10(INDEX(FX_Input,U$5,H$3*$Z$5+$AA$5))-(7261/(H1072+459.6))+12.82),IF(H1063="Refined Petroleum Stock",EXP((0.7553-(413/(H1072+459.6)))*(INDEX(FX_Input,U$5,H$3*$Z$5+$AA$5-1)^0.5)*LOG10(INDEX(FX_Input,U$5,H$3*$Z$5+$AA$5))-(1.854-(1042/(H1072+459.6)))*(INDEX(FX_Input,U$5,H$3*$Z$5+$AA$5-1)^0.5)+((2416/(H1072+459.6)-2.013)*LOG10(INDEX(FX_Input,U$5,H$3*$Z$5+$AA$5)))-(8742/(H1072+459.6))+15.64),EXP(INDEX(Antoines,MATCH(H1062,Antoine_Name,0),2)-INDEX(Antoines,MATCH(H1062,Antoine_Name,0),3)/(H1072+459.6))))),0)</f>
        <v>1</v>
      </c>
      <c r="I1083" cm="1">
        <f t="array" ref="I1083">IFERROR(IF(I1063="Chemical",(10^(INDEX(Antoines,MATCH(I1062,Antoine_Name,0),2)-INDEX(Antoines,MATCH(I1062,Antoine_Name,0),3)/(INDEX(Antoines,MATCH(I1062,Antoine_Name,0),4)+(I1072-32)*5/9)))*14.7/760,IF(I1063="Crude Oil",EXP((2799/(I1072+459.6)-2.227)*LOG10(INDEX(FX_Input,V$5,I$3*$Z$5+$AA$5))-(7261/(I1072+459.6))+12.82),IF(I1063="Refined Petroleum Stock",EXP((0.7553-(413/(I1072+459.6)))*(INDEX(FX_Input,V$5,I$3*$Z$5+$AA$5-1)^0.5)*LOG10(INDEX(FX_Input,V$5,I$3*$Z$5+$AA$5))-(1.854-(1042/(I1072+459.6)))*(INDEX(FX_Input,V$5,I$3*$Z$5+$AA$5-1)^0.5)+((2416/(I1072+459.6)-2.013)*LOG10(INDEX(FX_Input,V$5,I$3*$Z$5+$AA$5)))-(8742/(I1072+459.6))+15.64),EXP(INDEX(Antoines,MATCH(I1062,Antoine_Name,0),2)-INDEX(Antoines,MATCH(I1062,Antoine_Name,0),3)/(I1072+459.6))))),0)</f>
        <v>1</v>
      </c>
      <c r="J1083" cm="1">
        <f t="array" ref="J1083">IFERROR(IF(J1063="Chemical",(10^(INDEX(Antoines,MATCH(J1062,Antoine_Name,0),2)-INDEX(Antoines,MATCH(J1062,Antoine_Name,0),3)/(INDEX(Antoines,MATCH(J1062,Antoine_Name,0),4)+(J1072-32)*5/9)))*14.7/760,IF(J1063="Crude Oil",EXP((2799/(J1072+459.6)-2.227)*LOG10(INDEX(FX_Input,W$5,J$3*$Z$5+$AA$5))-(7261/(J1072+459.6))+12.82),IF(J1063="Refined Petroleum Stock",EXP((0.7553-(413/(J1072+459.6)))*(INDEX(FX_Input,W$5,J$3*$Z$5+$AA$5-1)^0.5)*LOG10(INDEX(FX_Input,W$5,J$3*$Z$5+$AA$5))-(1.854-(1042/(J1072+459.6)))*(INDEX(FX_Input,W$5,J$3*$Z$5+$AA$5-1)^0.5)+((2416/(J1072+459.6)-2.013)*LOG10(INDEX(FX_Input,W$5,J$3*$Z$5+$AA$5)))-(8742/(J1072+459.6))+15.64),EXP(INDEX(Antoines,MATCH(J1062,Antoine_Name,0),2)-INDEX(Antoines,MATCH(J1062,Antoine_Name,0),3)/(J1072+459.6))))),0)</f>
        <v>1</v>
      </c>
      <c r="K1083" cm="1">
        <f t="array" ref="K1083">IFERROR(IF(K1063="Chemical",(10^(INDEX(Antoines,MATCH(K1062,Antoine_Name,0),2)-INDEX(Antoines,MATCH(K1062,Antoine_Name,0),3)/(INDEX(Antoines,MATCH(K1062,Antoine_Name,0),4)+(K1072-32)*5/9)))*14.7/760,IF(K1063="Crude Oil",EXP((2799/(K1072+459.6)-2.227)*LOG10(INDEX(FX_Input,X$5,K$3*$Z$5+$AA$5))-(7261/(K1072+459.6))+12.82),IF(K1063="Refined Petroleum Stock",EXP((0.7553-(413/(K1072+459.6)))*(INDEX(FX_Input,X$5,K$3*$Z$5+$AA$5-1)^0.5)*LOG10(INDEX(FX_Input,X$5,K$3*$Z$5+$AA$5))-(1.854-(1042/(K1072+459.6)))*(INDEX(FX_Input,X$5,K$3*$Z$5+$AA$5-1)^0.5)+((2416/(K1072+459.6)-2.013)*LOG10(INDEX(FX_Input,X$5,K$3*$Z$5+$AA$5)))-(8742/(K1072+459.6))+15.64),EXP(INDEX(Antoines,MATCH(K1062,Antoine_Name,0),2)-INDEX(Antoines,MATCH(K1062,Antoine_Name,0),3)/(K1072+459.6))))),0)</f>
        <v>1</v>
      </c>
      <c r="L1083" cm="1">
        <f t="array" ref="L1083">IFERROR(IF(L1063="Chemical",(10^(INDEX(Antoines,MATCH(L1062,Antoine_Name,0),2)-INDEX(Antoines,MATCH(L1062,Antoine_Name,0),3)/(INDEX(Antoines,MATCH(L1062,Antoine_Name,0),4)+(L1072-32)*5/9)))*14.7/760,IF(L1063="Crude Oil",EXP((2799/(L1072+459.6)-2.227)*LOG10(INDEX(FX_Input,Y$5,L$3*$Z$5+$AA$5))-(7261/(L1072+459.6))+12.82),IF(L1063="Refined Petroleum Stock",EXP((0.7553-(413/(L1072+459.6)))*(INDEX(FX_Input,Y$5,L$3*$Z$5+$AA$5-1)^0.5)*LOG10(INDEX(FX_Input,Y$5,L$3*$Z$5+$AA$5))-(1.854-(1042/(L1072+459.6)))*(INDEX(FX_Input,Y$5,L$3*$Z$5+$AA$5-1)^0.5)+((2416/(L1072+459.6)-2.013)*LOG10(INDEX(FX_Input,Y$5,L$3*$Z$5+$AA$5)))-(8742/(L1072+459.6))+15.64),EXP(INDEX(Antoines,MATCH(L1062,Antoine_Name,0),2)-INDEX(Antoines,MATCH(L1062,Antoine_Name,0),3)/(L1072+459.6))))),0)</f>
        <v>1</v>
      </c>
      <c r="M1083" cm="1">
        <f t="array" ref="M1083">IFERROR(IF(M1063="Chemical",(10^(INDEX(Antoines,MATCH(M1062,Antoine_Name,0),2)-INDEX(Antoines,MATCH(M1062,Antoine_Name,0),3)/(INDEX(Antoines,MATCH(M1062,Antoine_Name,0),4)+(M1072-32)*5/9)))*14.7/760,IF(M1063="Crude Oil",EXP((2799/(M1072+459.6)-2.227)*LOG10(INDEX(FX_Input,Z$5,M$3*$Z$5+$AA$5))-(7261/(M1072+459.6))+12.82),IF(M1063="Refined Petroleum Stock",EXP((0.7553-(413/(M1072+459.6)))*(INDEX(FX_Input,Z$5,M$3*$Z$5+$AA$5-1)^0.5)*LOG10(INDEX(FX_Input,Z$5,M$3*$Z$5+$AA$5))-(1.854-(1042/(M1072+459.6)))*(INDEX(FX_Input,Z$5,M$3*$Z$5+$AA$5-1)^0.5)+((2416/(M1072+459.6)-2.013)*LOG10(INDEX(FX_Input,Z$5,M$3*$Z$5+$AA$5)))-(8742/(M1072+459.6))+15.64),EXP(INDEX(Antoines,MATCH(M1062,Antoine_Name,0),2)-INDEX(Antoines,MATCH(M1062,Antoine_Name,0),3)/(M1072+459.6))))),0)</f>
        <v>1</v>
      </c>
      <c r="N1083" cm="1">
        <f t="array" ref="N1083">IFERROR(IF(N1063="Chemical",(10^(INDEX(Antoines,MATCH(N1062,Antoine_Name,0),2)-INDEX(Antoines,MATCH(N1062,Antoine_Name,0),3)/(INDEX(Antoines,MATCH(N1062,Antoine_Name,0),4)+(N1072-32)*5/9)))*14.7/760,IF(N1063="Crude Oil",EXP((2799/(N1072+459.6)-2.227)*LOG10(INDEX(FX_Input,AA$5,N$3*$Z$5+$AA$5))-(7261/(N1072+459.6))+12.82),IF(N1063="Refined Petroleum Stock",EXP((0.7553-(413/(N1072+459.6)))*(INDEX(FX_Input,AA$5,N$3*$Z$5+$AA$5-1)^0.5)*LOG10(INDEX(FX_Input,AA$5,N$3*$Z$5+$AA$5))-(1.854-(1042/(N1072+459.6)))*(INDEX(FX_Input,AA$5,N$3*$Z$5+$AA$5-1)^0.5)+((2416/(N1072+459.6)-2.013)*LOG10(INDEX(FX_Input,AA$5,N$3*$Z$5+$AA$5)))-(8742/(N1072+459.6))+15.64),EXP(INDEX(Antoines,MATCH(N1062,Antoine_Name,0),2)-INDEX(Antoines,MATCH(N1062,Antoine_Name,0),3)/(N1072+459.6))))),0)</f>
        <v>1</v>
      </c>
      <c r="O1083" cm="1">
        <f t="array" ref="O1083">IFERROR(IF(O1063="Chemical",(10^(INDEX(Antoines,MATCH(O1062,Antoine_Name,0),2)-INDEX(Antoines,MATCH(O1062,Antoine_Name,0),3)/(INDEX(Antoines,MATCH(O1062,Antoine_Name,0),4)+(O1072-32)*5/9)))*14.7/760,IF(O1063="Crude Oil",EXP((2799/(O1072+459.6)-2.227)*LOG10(INDEX(FX_Input,AB$5,O$3*$Z$5+$AA$5))-(7261/(O1072+459.6))+12.82),IF(O1063="Refined Petroleum Stock",EXP((0.7553-(413/(O1072+459.6)))*(INDEX(FX_Input,AB$5,O$3*$Z$5+$AA$5-1)^0.5)*LOG10(INDEX(FX_Input,AB$5,O$3*$Z$5+$AA$5))-(1.854-(1042/(O1072+459.6)))*(INDEX(FX_Input,AB$5,O$3*$Z$5+$AA$5-1)^0.5)+((2416/(O1072+459.6)-2.013)*LOG10(INDEX(FX_Input,AB$5,O$3*$Z$5+$AA$5)))-(8742/(O1072+459.6))+15.64),EXP(INDEX(Antoines,MATCH(O1062,Antoine_Name,0),2)-INDEX(Antoines,MATCH(O1062,Antoine_Name,0),3)/(O1072+459.6))))),0)</f>
        <v>1</v>
      </c>
    </row>
    <row r="1084" spans="2:15" ht="17.149999999999999" x14ac:dyDescent="0.55000000000000004">
      <c r="B1084" t="str">
        <f t="shared" si="3860"/>
        <v>Portland</v>
      </c>
      <c r="C1084" t="s">
        <v>1389</v>
      </c>
      <c r="D1084">
        <f>D1083*D1066</f>
        <v>1</v>
      </c>
      <c r="E1084">
        <f t="shared" ref="E1084" si="3927">E1083*E1066</f>
        <v>1</v>
      </c>
      <c r="F1084">
        <f t="shared" ref="F1084" si="3928">F1083*F1066</f>
        <v>1</v>
      </c>
      <c r="G1084">
        <f t="shared" ref="G1084" si="3929">G1083*G1066</f>
        <v>1</v>
      </c>
      <c r="H1084">
        <f t="shared" ref="H1084" si="3930">H1083*H1066</f>
        <v>1</v>
      </c>
      <c r="I1084">
        <f t="shared" ref="I1084" si="3931">I1083*I1066</f>
        <v>1</v>
      </c>
      <c r="J1084">
        <f t="shared" ref="J1084" si="3932">J1083*J1066</f>
        <v>1</v>
      </c>
      <c r="K1084">
        <f t="shared" ref="K1084" si="3933">K1083*K1066</f>
        <v>1</v>
      </c>
      <c r="L1084">
        <f t="shared" ref="L1084" si="3934">L1083*L1066</f>
        <v>1</v>
      </c>
      <c r="M1084">
        <f t="shared" ref="M1084" si="3935">M1083*M1066</f>
        <v>1</v>
      </c>
      <c r="N1084">
        <f t="shared" ref="N1084" si="3936">N1083*N1066</f>
        <v>1</v>
      </c>
      <c r="O1084">
        <f t="shared" ref="O1084" si="3937">O1083*O1066</f>
        <v>1</v>
      </c>
    </row>
    <row r="1085" spans="2:15" ht="17.149999999999999" x14ac:dyDescent="0.55000000000000004">
      <c r="B1085" t="str">
        <f t="shared" si="3860"/>
        <v>Portland</v>
      </c>
      <c r="C1085" t="s">
        <v>1390</v>
      </c>
      <c r="D1085" cm="1">
        <f t="array" ref="D1085">IFERROR(IF(D1065="Chemical",(10^(INDEX(Antoines,MATCH(D1064,Antoine_Name,0),2)-INDEX(Antoines,MATCH(D1064,Antoine_Name,0),3)/(INDEX(Antoines,MATCH(D1064,Antoine_Name,0),4)+(D1072-32)*5/9)))*14.7/760,IF(D1065="Crude Oil",EXP((2799/(D1072+459.6)-2.227)*LOG10(INDEX(FX_Input,Q$5,D$3*$Z$5+$AA$5))-(7261/(D1072+459.6))+12.82),IF(D1065="Refined Petroleum Stock",EXP((0.7553-(413/(D1072+459.6)))*(INDEX(FX_Input,Q$5,D$3*$Z$5+$AA$5-1)^0.5)*LOG10(INDEX(FX_Input,Q$5,D$3*$Z$5+$AA$5))-(1.854-(1042/(D1072+459.6)))*(INDEX(FX_Input,Q$5,D$3*$Z$5+$AA$5-1)^0.5)+((2416/(D1072+459.6)-2.013)*LOG10(INDEX(FX_Input,Q$5,D$3*$Z$5+$AA$5)))-(8742/(D1072+459.6))+15.64),EXP(INDEX(Antoines,MATCH(D1064,Antoine_Name,0),2)-INDEX(Antoines,MATCH(D1064,Antoine_Name,0),3)/(D1072+459.6))))),0)</f>
        <v>0</v>
      </c>
      <c r="E1085" cm="1">
        <f t="array" ref="E1085">IFERROR(IF(E1065="Chemical",(10^(INDEX(Antoines,MATCH(E1064,Antoine_Name,0),2)-INDEX(Antoines,MATCH(E1064,Antoine_Name,0),3)/(INDEX(Antoines,MATCH(E1064,Antoine_Name,0),4)+(E1072-32)*5/9)))*14.7/760,IF(E1065="Crude Oil",EXP((2799/(E1072+459.6)-2.227)*LOG10(INDEX(FX_Input,R$5,E$3*$Z$5+$AA$5))-(7261/(E1072+459.6))+12.82),IF(E1065="Refined Petroleum Stock",EXP((0.7553-(413/(E1072+459.6)))*(INDEX(FX_Input,R$5,E$3*$Z$5+$AA$5-1)^0.5)*LOG10(INDEX(FX_Input,R$5,E$3*$Z$5+$AA$5))-(1.854-(1042/(E1072+459.6)))*(INDEX(FX_Input,R$5,E$3*$Z$5+$AA$5-1)^0.5)+((2416/(E1072+459.6)-2.013)*LOG10(INDEX(FX_Input,R$5,E$3*$Z$5+$AA$5)))-(8742/(E1072+459.6))+15.64),EXP(INDEX(Antoines,MATCH(E1064,Antoine_Name,0),2)-INDEX(Antoines,MATCH(E1064,Antoine_Name,0),3)/(E1072+459.6))))),0)</f>
        <v>0</v>
      </c>
      <c r="F1085" cm="1">
        <f t="array" ref="F1085">IFERROR(IF(F1065="Chemical",(10^(INDEX(Antoines,MATCH(F1064,Antoine_Name,0),2)-INDEX(Antoines,MATCH(F1064,Antoine_Name,0),3)/(INDEX(Antoines,MATCH(F1064,Antoine_Name,0),4)+(F1072-32)*5/9)))*14.7/760,IF(F1065="Crude Oil",EXP((2799/(F1072+459.6)-2.227)*LOG10(INDEX(FX_Input,S$5,F$3*$Z$5+$AA$5))-(7261/(F1072+459.6))+12.82),IF(F1065="Refined Petroleum Stock",EXP((0.7553-(413/(F1072+459.6)))*(INDEX(FX_Input,S$5,F$3*$Z$5+$AA$5-1)^0.5)*LOG10(INDEX(FX_Input,S$5,F$3*$Z$5+$AA$5))-(1.854-(1042/(F1072+459.6)))*(INDEX(FX_Input,S$5,F$3*$Z$5+$AA$5-1)^0.5)+((2416/(F1072+459.6)-2.013)*LOG10(INDEX(FX_Input,S$5,F$3*$Z$5+$AA$5)))-(8742/(F1072+459.6))+15.64),EXP(INDEX(Antoines,MATCH(F1064,Antoine_Name,0),2)-INDEX(Antoines,MATCH(F1064,Antoine_Name,0),3)/(F1072+459.6))))),0)</f>
        <v>0</v>
      </c>
      <c r="G1085" cm="1">
        <f t="array" ref="G1085">IFERROR(IF(G1065="Chemical",(10^(INDEX(Antoines,MATCH(G1064,Antoine_Name,0),2)-INDEX(Antoines,MATCH(G1064,Antoine_Name,0),3)/(INDEX(Antoines,MATCH(G1064,Antoine_Name,0),4)+(G1072-32)*5/9)))*14.7/760,IF(G1065="Crude Oil",EXP((2799/(G1072+459.6)-2.227)*LOG10(INDEX(FX_Input,T$5,G$3*$Z$5+$AA$5))-(7261/(G1072+459.6))+12.82),IF(G1065="Refined Petroleum Stock",EXP((0.7553-(413/(G1072+459.6)))*(INDEX(FX_Input,T$5,G$3*$Z$5+$AA$5-1)^0.5)*LOG10(INDEX(FX_Input,T$5,G$3*$Z$5+$AA$5))-(1.854-(1042/(G1072+459.6)))*(INDEX(FX_Input,T$5,G$3*$Z$5+$AA$5-1)^0.5)+((2416/(G1072+459.6)-2.013)*LOG10(INDEX(FX_Input,T$5,G$3*$Z$5+$AA$5)))-(8742/(G1072+459.6))+15.64),EXP(INDEX(Antoines,MATCH(G1064,Antoine_Name,0),2)-INDEX(Antoines,MATCH(G1064,Antoine_Name,0),3)/(G1072+459.6))))),0)</f>
        <v>0</v>
      </c>
      <c r="H1085" cm="1">
        <f t="array" ref="H1085">IFERROR(IF(H1065="Chemical",(10^(INDEX(Antoines,MATCH(H1064,Antoine_Name,0),2)-INDEX(Antoines,MATCH(H1064,Antoine_Name,0),3)/(INDEX(Antoines,MATCH(H1064,Antoine_Name,0),4)+(H1072-32)*5/9)))*14.7/760,IF(H1065="Crude Oil",EXP((2799/(H1072+459.6)-2.227)*LOG10(INDEX(FX_Input,U$5,H$3*$Z$5+$AA$5))-(7261/(H1072+459.6))+12.82),IF(H1065="Refined Petroleum Stock",EXP((0.7553-(413/(H1072+459.6)))*(INDEX(FX_Input,U$5,H$3*$Z$5+$AA$5-1)^0.5)*LOG10(INDEX(FX_Input,U$5,H$3*$Z$5+$AA$5))-(1.854-(1042/(H1072+459.6)))*(INDEX(FX_Input,U$5,H$3*$Z$5+$AA$5-1)^0.5)+((2416/(H1072+459.6)-2.013)*LOG10(INDEX(FX_Input,U$5,H$3*$Z$5+$AA$5)))-(8742/(H1072+459.6))+15.64),EXP(INDEX(Antoines,MATCH(H1064,Antoine_Name,0),2)-INDEX(Antoines,MATCH(H1064,Antoine_Name,0),3)/(H1072+459.6))))),0)</f>
        <v>0</v>
      </c>
      <c r="I1085" cm="1">
        <f t="array" ref="I1085">IFERROR(IF(I1065="Chemical",(10^(INDEX(Antoines,MATCH(I1064,Antoine_Name,0),2)-INDEX(Antoines,MATCH(I1064,Antoine_Name,0),3)/(INDEX(Antoines,MATCH(I1064,Antoine_Name,0),4)+(I1072-32)*5/9)))*14.7/760,IF(I1065="Crude Oil",EXP((2799/(I1072+459.6)-2.227)*LOG10(INDEX(FX_Input,V$5,I$3*$Z$5+$AA$5))-(7261/(I1072+459.6))+12.82),IF(I1065="Refined Petroleum Stock",EXP((0.7553-(413/(I1072+459.6)))*(INDEX(FX_Input,V$5,I$3*$Z$5+$AA$5-1)^0.5)*LOG10(INDEX(FX_Input,V$5,I$3*$Z$5+$AA$5))-(1.854-(1042/(I1072+459.6)))*(INDEX(FX_Input,V$5,I$3*$Z$5+$AA$5-1)^0.5)+((2416/(I1072+459.6)-2.013)*LOG10(INDEX(FX_Input,V$5,I$3*$Z$5+$AA$5)))-(8742/(I1072+459.6))+15.64),EXP(INDEX(Antoines,MATCH(I1064,Antoine_Name,0),2)-INDEX(Antoines,MATCH(I1064,Antoine_Name,0),3)/(I1072+459.6))))),0)</f>
        <v>0</v>
      </c>
      <c r="J1085" cm="1">
        <f t="array" ref="J1085">IFERROR(IF(J1065="Chemical",(10^(INDEX(Antoines,MATCH(J1064,Antoine_Name,0),2)-INDEX(Antoines,MATCH(J1064,Antoine_Name,0),3)/(INDEX(Antoines,MATCH(J1064,Antoine_Name,0),4)+(J1072-32)*5/9)))*14.7/760,IF(J1065="Crude Oil",EXP((2799/(J1072+459.6)-2.227)*LOG10(INDEX(FX_Input,W$5,J$3*$Z$5+$AA$5))-(7261/(J1072+459.6))+12.82),IF(J1065="Refined Petroleum Stock",EXP((0.7553-(413/(J1072+459.6)))*(INDEX(FX_Input,W$5,J$3*$Z$5+$AA$5-1)^0.5)*LOG10(INDEX(FX_Input,W$5,J$3*$Z$5+$AA$5))-(1.854-(1042/(J1072+459.6)))*(INDEX(FX_Input,W$5,J$3*$Z$5+$AA$5-1)^0.5)+((2416/(J1072+459.6)-2.013)*LOG10(INDEX(FX_Input,W$5,J$3*$Z$5+$AA$5)))-(8742/(J1072+459.6))+15.64),EXP(INDEX(Antoines,MATCH(J1064,Antoine_Name,0),2)-INDEX(Antoines,MATCH(J1064,Antoine_Name,0),3)/(J1072+459.6))))),0)</f>
        <v>0</v>
      </c>
      <c r="K1085" cm="1">
        <f t="array" ref="K1085">IFERROR(IF(K1065="Chemical",(10^(INDEX(Antoines,MATCH(K1064,Antoine_Name,0),2)-INDEX(Antoines,MATCH(K1064,Antoine_Name,0),3)/(INDEX(Antoines,MATCH(K1064,Antoine_Name,0),4)+(K1072-32)*5/9)))*14.7/760,IF(K1065="Crude Oil",EXP((2799/(K1072+459.6)-2.227)*LOG10(INDEX(FX_Input,X$5,K$3*$Z$5+$AA$5))-(7261/(K1072+459.6))+12.82),IF(K1065="Refined Petroleum Stock",EXP((0.7553-(413/(K1072+459.6)))*(INDEX(FX_Input,X$5,K$3*$Z$5+$AA$5-1)^0.5)*LOG10(INDEX(FX_Input,X$5,K$3*$Z$5+$AA$5))-(1.854-(1042/(K1072+459.6)))*(INDEX(FX_Input,X$5,K$3*$Z$5+$AA$5-1)^0.5)+((2416/(K1072+459.6)-2.013)*LOG10(INDEX(FX_Input,X$5,K$3*$Z$5+$AA$5)))-(8742/(K1072+459.6))+15.64),EXP(INDEX(Antoines,MATCH(K1064,Antoine_Name,0),2)-INDEX(Antoines,MATCH(K1064,Antoine_Name,0),3)/(K1072+459.6))))),0)</f>
        <v>0</v>
      </c>
      <c r="L1085" cm="1">
        <f t="array" ref="L1085">IFERROR(IF(L1065="Chemical",(10^(INDEX(Antoines,MATCH(L1064,Antoine_Name,0),2)-INDEX(Antoines,MATCH(L1064,Antoine_Name,0),3)/(INDEX(Antoines,MATCH(L1064,Antoine_Name,0),4)+(L1072-32)*5/9)))*14.7/760,IF(L1065="Crude Oil",EXP((2799/(L1072+459.6)-2.227)*LOG10(INDEX(FX_Input,Y$5,L$3*$Z$5+$AA$5))-(7261/(L1072+459.6))+12.82),IF(L1065="Refined Petroleum Stock",EXP((0.7553-(413/(L1072+459.6)))*(INDEX(FX_Input,Y$5,L$3*$Z$5+$AA$5-1)^0.5)*LOG10(INDEX(FX_Input,Y$5,L$3*$Z$5+$AA$5))-(1.854-(1042/(L1072+459.6)))*(INDEX(FX_Input,Y$5,L$3*$Z$5+$AA$5-1)^0.5)+((2416/(L1072+459.6)-2.013)*LOG10(INDEX(FX_Input,Y$5,L$3*$Z$5+$AA$5)))-(8742/(L1072+459.6))+15.64),EXP(INDEX(Antoines,MATCH(L1064,Antoine_Name,0),2)-INDEX(Antoines,MATCH(L1064,Antoine_Name,0),3)/(L1072+459.6))))),0)</f>
        <v>0</v>
      </c>
      <c r="M1085" cm="1">
        <f t="array" ref="M1085">IFERROR(IF(M1065="Chemical",(10^(INDEX(Antoines,MATCH(M1064,Antoine_Name,0),2)-INDEX(Antoines,MATCH(M1064,Antoine_Name,0),3)/(INDEX(Antoines,MATCH(M1064,Antoine_Name,0),4)+(M1072-32)*5/9)))*14.7/760,IF(M1065="Crude Oil",EXP((2799/(M1072+459.6)-2.227)*LOG10(INDEX(FX_Input,Z$5,M$3*$Z$5+$AA$5))-(7261/(M1072+459.6))+12.82),IF(M1065="Refined Petroleum Stock",EXP((0.7553-(413/(M1072+459.6)))*(INDEX(FX_Input,Z$5,M$3*$Z$5+$AA$5-1)^0.5)*LOG10(INDEX(FX_Input,Z$5,M$3*$Z$5+$AA$5))-(1.854-(1042/(M1072+459.6)))*(INDEX(FX_Input,Z$5,M$3*$Z$5+$AA$5-1)^0.5)+((2416/(M1072+459.6)-2.013)*LOG10(INDEX(FX_Input,Z$5,M$3*$Z$5+$AA$5)))-(8742/(M1072+459.6))+15.64),EXP(INDEX(Antoines,MATCH(M1064,Antoine_Name,0),2)-INDEX(Antoines,MATCH(M1064,Antoine_Name,0),3)/(M1072+459.6))))),0)</f>
        <v>0</v>
      </c>
      <c r="N1085" cm="1">
        <f t="array" ref="N1085">IFERROR(IF(N1065="Chemical",(10^(INDEX(Antoines,MATCH(N1064,Antoine_Name,0),2)-INDEX(Antoines,MATCH(N1064,Antoine_Name,0),3)/(INDEX(Antoines,MATCH(N1064,Antoine_Name,0),4)+(N1072-32)*5/9)))*14.7/760,IF(N1065="Crude Oil",EXP((2799/(N1072+459.6)-2.227)*LOG10(INDEX(FX_Input,AA$5,N$3*$Z$5+$AA$5))-(7261/(N1072+459.6))+12.82),IF(N1065="Refined Petroleum Stock",EXP((0.7553-(413/(N1072+459.6)))*(INDEX(FX_Input,AA$5,N$3*$Z$5+$AA$5-1)^0.5)*LOG10(INDEX(FX_Input,AA$5,N$3*$Z$5+$AA$5))-(1.854-(1042/(N1072+459.6)))*(INDEX(FX_Input,AA$5,N$3*$Z$5+$AA$5-1)^0.5)+((2416/(N1072+459.6)-2.013)*LOG10(INDEX(FX_Input,AA$5,N$3*$Z$5+$AA$5)))-(8742/(N1072+459.6))+15.64),EXP(INDEX(Antoines,MATCH(N1064,Antoine_Name,0),2)-INDEX(Antoines,MATCH(N1064,Antoine_Name,0),3)/(N1072+459.6))))),0)</f>
        <v>0</v>
      </c>
      <c r="O1085" cm="1">
        <f t="array" ref="O1085">IFERROR(IF(O1065="Chemical",(10^(INDEX(Antoines,MATCH(O1064,Antoine_Name,0),2)-INDEX(Antoines,MATCH(O1064,Antoine_Name,0),3)/(INDEX(Antoines,MATCH(O1064,Antoine_Name,0),4)+(O1072-32)*5/9)))*14.7/760,IF(O1065="Crude Oil",EXP((2799/(O1072+459.6)-2.227)*LOG10(INDEX(FX_Input,AB$5,O$3*$Z$5+$AA$5))-(7261/(O1072+459.6))+12.82),IF(O1065="Refined Petroleum Stock",EXP((0.7553-(413/(O1072+459.6)))*(INDEX(FX_Input,AB$5,O$3*$Z$5+$AA$5-1)^0.5)*LOG10(INDEX(FX_Input,AB$5,O$3*$Z$5+$AA$5))-(1.854-(1042/(O1072+459.6)))*(INDEX(FX_Input,AB$5,O$3*$Z$5+$AA$5-1)^0.5)+((2416/(O1072+459.6)-2.013)*LOG10(INDEX(FX_Input,AB$5,O$3*$Z$5+$AA$5)))-(8742/(O1072+459.6))+15.64),EXP(INDEX(Antoines,MATCH(O1064,Antoine_Name,0),2)-INDEX(Antoines,MATCH(O1064,Antoine_Name,0),3)/(O1072+459.6))))),0)</f>
        <v>0</v>
      </c>
    </row>
    <row r="1086" spans="2:15" ht="17.149999999999999" x14ac:dyDescent="0.55000000000000004">
      <c r="B1086" t="str">
        <f t="shared" si="3860"/>
        <v>Portland</v>
      </c>
      <c r="C1086" t="s">
        <v>1391</v>
      </c>
      <c r="D1086">
        <f>D1085*D1068</f>
        <v>0</v>
      </c>
      <c r="E1086">
        <f t="shared" ref="E1086" si="3938">E1085*E1068</f>
        <v>0</v>
      </c>
      <c r="F1086">
        <f t="shared" ref="F1086" si="3939">F1085*F1068</f>
        <v>0</v>
      </c>
      <c r="G1086">
        <f t="shared" ref="G1086" si="3940">G1085*G1068</f>
        <v>0</v>
      </c>
      <c r="H1086">
        <f t="shared" ref="H1086" si="3941">H1085*H1068</f>
        <v>0</v>
      </c>
      <c r="I1086">
        <f t="shared" ref="I1086" si="3942">I1085*I1068</f>
        <v>0</v>
      </c>
      <c r="J1086">
        <f t="shared" ref="J1086" si="3943">J1085*J1068</f>
        <v>0</v>
      </c>
      <c r="K1086">
        <f t="shared" ref="K1086" si="3944">K1085*K1068</f>
        <v>0</v>
      </c>
      <c r="L1086">
        <f t="shared" ref="L1086" si="3945">L1085*L1068</f>
        <v>0</v>
      </c>
      <c r="M1086">
        <f t="shared" ref="M1086" si="3946">M1085*M1068</f>
        <v>0</v>
      </c>
      <c r="N1086">
        <f t="shared" ref="N1086" si="3947">N1085*N1068</f>
        <v>0</v>
      </c>
      <c r="O1086">
        <f t="shared" ref="O1086" si="3948">O1085*O1068</f>
        <v>0</v>
      </c>
    </row>
    <row r="1087" spans="2:15" ht="17.149999999999999" x14ac:dyDescent="0.55000000000000004">
      <c r="B1087" t="str">
        <f t="shared" si="3860"/>
        <v>Portland</v>
      </c>
      <c r="C1087" t="s">
        <v>1392</v>
      </c>
      <c r="D1087">
        <f>D1084+D1086</f>
        <v>1</v>
      </c>
      <c r="E1087">
        <f t="shared" ref="E1087" si="3949">E1084+E1086</f>
        <v>1</v>
      </c>
      <c r="F1087">
        <f t="shared" ref="F1087" si="3950">F1084+F1086</f>
        <v>1</v>
      </c>
      <c r="G1087">
        <f t="shared" ref="G1087" si="3951">G1084+G1086</f>
        <v>1</v>
      </c>
      <c r="H1087">
        <f t="shared" ref="H1087" si="3952">H1084+H1086</f>
        <v>1</v>
      </c>
      <c r="I1087">
        <f t="shared" ref="I1087" si="3953">I1084+I1086</f>
        <v>1</v>
      </c>
      <c r="J1087">
        <f t="shared" ref="J1087" si="3954">J1084+J1086</f>
        <v>1</v>
      </c>
      <c r="K1087">
        <f t="shared" ref="K1087" si="3955">K1084+K1086</f>
        <v>1</v>
      </c>
      <c r="L1087">
        <f t="shared" ref="L1087" si="3956">L1084+L1086</f>
        <v>1</v>
      </c>
      <c r="M1087">
        <f t="shared" ref="M1087" si="3957">M1084+M1086</f>
        <v>1</v>
      </c>
      <c r="N1087">
        <f t="shared" ref="N1087" si="3958">N1084+N1086</f>
        <v>1</v>
      </c>
      <c r="O1087">
        <f t="shared" ref="O1087" si="3959">O1084+O1086</f>
        <v>1</v>
      </c>
    </row>
    <row r="1088" spans="2:15" ht="17.149999999999999" x14ac:dyDescent="0.55000000000000004">
      <c r="B1088" t="str">
        <f>B1082</f>
        <v>Portland</v>
      </c>
      <c r="C1088" t="s">
        <v>584</v>
      </c>
      <c r="D1088">
        <f>D1084/D1087</f>
        <v>1</v>
      </c>
      <c r="E1088">
        <f t="shared" ref="E1088" si="3960">E1084/E1087</f>
        <v>1</v>
      </c>
      <c r="F1088">
        <f t="shared" ref="F1088" si="3961">F1084/F1087</f>
        <v>1</v>
      </c>
      <c r="G1088">
        <f t="shared" ref="G1088" si="3962">G1084/G1087</f>
        <v>1</v>
      </c>
      <c r="H1088">
        <f t="shared" ref="H1088" si="3963">H1084/H1087</f>
        <v>1</v>
      </c>
      <c r="I1088">
        <f t="shared" ref="I1088" si="3964">I1084/I1087</f>
        <v>1</v>
      </c>
      <c r="J1088">
        <f t="shared" ref="J1088" si="3965">J1084/J1087</f>
        <v>1</v>
      </c>
      <c r="K1088">
        <f t="shared" ref="K1088" si="3966">K1084/K1087</f>
        <v>1</v>
      </c>
      <c r="L1088">
        <f t="shared" ref="L1088" si="3967">L1084/L1087</f>
        <v>1</v>
      </c>
      <c r="M1088">
        <f t="shared" ref="M1088" si="3968">M1084/M1087</f>
        <v>1</v>
      </c>
      <c r="N1088">
        <f t="shared" ref="N1088" si="3969">N1084/N1087</f>
        <v>1</v>
      </c>
      <c r="O1088">
        <f t="shared" ref="O1088" si="3970">O1084/O1087</f>
        <v>1</v>
      </c>
    </row>
    <row r="1089" spans="1:32" ht="17.149999999999999" x14ac:dyDescent="0.55000000000000004">
      <c r="B1089" t="str">
        <f>B1083</f>
        <v>Portland</v>
      </c>
      <c r="C1089" t="s">
        <v>585</v>
      </c>
      <c r="D1089" t="str">
        <f t="shared" ref="D1089:O1089" si="3971">INDEX(Phys_Prop,MATCH(D1062,Chem_List,0),3)</f>
        <v>N/A</v>
      </c>
      <c r="E1089" t="str">
        <f t="shared" si="3971"/>
        <v>N/A</v>
      </c>
      <c r="F1089" t="str">
        <f t="shared" si="3971"/>
        <v>N/A</v>
      </c>
      <c r="G1089" t="str">
        <f t="shared" si="3971"/>
        <v>N/A</v>
      </c>
      <c r="H1089" t="str">
        <f t="shared" si="3971"/>
        <v>N/A</v>
      </c>
      <c r="I1089" t="str">
        <f t="shared" si="3971"/>
        <v>N/A</v>
      </c>
      <c r="J1089" t="str">
        <f t="shared" si="3971"/>
        <v>N/A</v>
      </c>
      <c r="K1089" t="str">
        <f t="shared" si="3971"/>
        <v>N/A</v>
      </c>
      <c r="L1089" t="str">
        <f t="shared" si="3971"/>
        <v>N/A</v>
      </c>
      <c r="M1089" t="str">
        <f t="shared" si="3971"/>
        <v>N/A</v>
      </c>
      <c r="N1089" t="str">
        <f t="shared" si="3971"/>
        <v>N/A</v>
      </c>
      <c r="O1089" t="str">
        <f t="shared" si="3971"/>
        <v>N/A</v>
      </c>
    </row>
    <row r="1090" spans="1:32" ht="17.149999999999999" x14ac:dyDescent="0.55000000000000004">
      <c r="B1090" t="str">
        <f>B1089</f>
        <v>Portland</v>
      </c>
      <c r="C1090" t="s">
        <v>586</v>
      </c>
      <c r="D1090">
        <f>D1086/D1087</f>
        <v>0</v>
      </c>
      <c r="E1090">
        <f t="shared" ref="E1090:O1090" si="3972">E1086/E1087</f>
        <v>0</v>
      </c>
      <c r="F1090">
        <f t="shared" si="3972"/>
        <v>0</v>
      </c>
      <c r="G1090">
        <f t="shared" si="3972"/>
        <v>0</v>
      </c>
      <c r="H1090">
        <f t="shared" si="3972"/>
        <v>0</v>
      </c>
      <c r="I1090">
        <f t="shared" si="3972"/>
        <v>0</v>
      </c>
      <c r="J1090">
        <f t="shared" si="3972"/>
        <v>0</v>
      </c>
      <c r="K1090">
        <f t="shared" si="3972"/>
        <v>0</v>
      </c>
      <c r="L1090">
        <f t="shared" si="3972"/>
        <v>0</v>
      </c>
      <c r="M1090">
        <f t="shared" si="3972"/>
        <v>0</v>
      </c>
      <c r="N1090">
        <f t="shared" si="3972"/>
        <v>0</v>
      </c>
      <c r="O1090">
        <f t="shared" si="3972"/>
        <v>0</v>
      </c>
    </row>
    <row r="1091" spans="1:32" ht="17.149999999999999" x14ac:dyDescent="0.55000000000000004">
      <c r="B1091" t="str">
        <f t="shared" si="3860"/>
        <v>Portland</v>
      </c>
      <c r="C1091" t="s">
        <v>587</v>
      </c>
      <c r="D1091">
        <f t="shared" ref="D1091:O1091" si="3973">IFERROR(INDEX(Phys_Prop,MATCH(D1064,Chem_List,0),3),0)</f>
        <v>0</v>
      </c>
      <c r="E1091">
        <f t="shared" si="3973"/>
        <v>0</v>
      </c>
      <c r="F1091">
        <f t="shared" si="3973"/>
        <v>0</v>
      </c>
      <c r="G1091">
        <f t="shared" si="3973"/>
        <v>0</v>
      </c>
      <c r="H1091">
        <f t="shared" si="3973"/>
        <v>0</v>
      </c>
      <c r="I1091">
        <f t="shared" si="3973"/>
        <v>0</v>
      </c>
      <c r="J1091">
        <f t="shared" si="3973"/>
        <v>0</v>
      </c>
      <c r="K1091">
        <f t="shared" si="3973"/>
        <v>0</v>
      </c>
      <c r="L1091">
        <f t="shared" si="3973"/>
        <v>0</v>
      </c>
      <c r="M1091">
        <f t="shared" si="3973"/>
        <v>0</v>
      </c>
      <c r="N1091">
        <f t="shared" si="3973"/>
        <v>0</v>
      </c>
      <c r="O1091">
        <f t="shared" si="3973"/>
        <v>0</v>
      </c>
    </row>
    <row r="1092" spans="1:32" ht="17.149999999999999" x14ac:dyDescent="0.55000000000000004">
      <c r="A1092" s="11"/>
      <c r="B1092" s="11" t="str">
        <f t="shared" si="3860"/>
        <v>Portland</v>
      </c>
      <c r="C1092" s="11" t="s">
        <v>588</v>
      </c>
      <c r="D1092" s="11">
        <f>IFERROR(D1088*D1089+D1090*D1091,0)</f>
        <v>0</v>
      </c>
      <c r="E1092" s="11">
        <f t="shared" ref="E1092" si="3974">IFERROR(E1088*E1089+E1090*E1091,0)</f>
        <v>0</v>
      </c>
      <c r="F1092" s="11">
        <f t="shared" ref="F1092" si="3975">IFERROR(F1088*F1089+F1090*F1091,0)</f>
        <v>0</v>
      </c>
      <c r="G1092" s="11">
        <f t="shared" ref="G1092" si="3976">IFERROR(G1088*G1089+G1090*G1091,0)</f>
        <v>0</v>
      </c>
      <c r="H1092" s="11">
        <f t="shared" ref="H1092" si="3977">IFERROR(H1088*H1089+H1090*H1091,0)</f>
        <v>0</v>
      </c>
      <c r="I1092" s="11">
        <f t="shared" ref="I1092" si="3978">IFERROR(I1088*I1089+I1090*I1091,0)</f>
        <v>0</v>
      </c>
      <c r="J1092" s="11">
        <f t="shared" ref="J1092" si="3979">IFERROR(J1088*J1089+J1090*J1091,0)</f>
        <v>0</v>
      </c>
      <c r="K1092" s="11">
        <f t="shared" ref="K1092" si="3980">IFERROR(K1088*K1089+K1090*K1091,0)</f>
        <v>0</v>
      </c>
      <c r="L1092" s="11">
        <f t="shared" ref="L1092" si="3981">IFERROR(L1088*L1089+L1090*L1091,0)</f>
        <v>0</v>
      </c>
      <c r="M1092" s="11">
        <f t="shared" ref="M1092" si="3982">IFERROR(M1088*M1089+M1090*M1091,0)</f>
        <v>0</v>
      </c>
      <c r="N1092" s="11">
        <f t="shared" ref="N1092" si="3983">IFERROR(N1088*N1089+N1090*N1091,0)</f>
        <v>0</v>
      </c>
      <c r="O1092" s="11">
        <f t="shared" ref="O1092" si="3984">IFERROR(O1088*O1089+O1090*O1091,0)</f>
        <v>0</v>
      </c>
      <c r="P1092" s="11"/>
      <c r="Q1092" s="11"/>
      <c r="R1092" s="11"/>
      <c r="S1092" s="11"/>
      <c r="T1092" s="11"/>
      <c r="U1092" s="11"/>
      <c r="V1092" s="11"/>
      <c r="W1092" s="11"/>
      <c r="X1092" s="11"/>
      <c r="Y1092" s="11"/>
      <c r="Z1092" s="11"/>
      <c r="AA1092" s="11"/>
      <c r="AB1092" s="11"/>
      <c r="AC1092" s="11"/>
      <c r="AD1092" s="11"/>
      <c r="AE1092" s="11"/>
      <c r="AF1092" s="11"/>
    </row>
    <row r="1093" spans="1:32" ht="17.149999999999999" x14ac:dyDescent="0.55000000000000004">
      <c r="A1093" t="str" cm="1">
        <f t="array" ref="A1093">INDEX(FX_Input,$Q1093,R$5)</f>
        <v>FX - 33</v>
      </c>
      <c r="B1093" t="str" cm="1">
        <f t="array" ref="B1093">INDEX(FX_Input,Q1093,S1093)</f>
        <v>Portland</v>
      </c>
      <c r="C1093" t="s">
        <v>563</v>
      </c>
      <c r="D1093">
        <v>14.7</v>
      </c>
      <c r="E1093">
        <v>14.7</v>
      </c>
      <c r="F1093">
        <v>14.7</v>
      </c>
      <c r="G1093">
        <v>14.7</v>
      </c>
      <c r="H1093">
        <v>14.7</v>
      </c>
      <c r="I1093">
        <v>14.7</v>
      </c>
      <c r="J1093">
        <v>14.7</v>
      </c>
      <c r="K1093">
        <v>14.7</v>
      </c>
      <c r="L1093">
        <v>14.7</v>
      </c>
      <c r="M1093">
        <v>14.7</v>
      </c>
      <c r="N1093">
        <v>14.7</v>
      </c>
      <c r="O1093">
        <v>14.7</v>
      </c>
      <c r="Q1093">
        <f>Q1059+2</f>
        <v>65</v>
      </c>
      <c r="R1093">
        <v>1</v>
      </c>
      <c r="S1093">
        <v>3</v>
      </c>
      <c r="T1093">
        <v>1</v>
      </c>
      <c r="U1093">
        <v>19</v>
      </c>
      <c r="V1093">
        <v>20</v>
      </c>
      <c r="W1093">
        <v>25</v>
      </c>
      <c r="X1093">
        <v>1</v>
      </c>
      <c r="Y1093">
        <v>2</v>
      </c>
      <c r="Z1093">
        <f>(W1093-V1093)/(Y1093-X1093)</f>
        <v>5</v>
      </c>
      <c r="AA1093">
        <f>V1093-Z1093*X1093</f>
        <v>15</v>
      </c>
      <c r="AD1093">
        <f>AD1059+14</f>
        <v>449</v>
      </c>
      <c r="AF1093">
        <f>AF1059+14</f>
        <v>449</v>
      </c>
    </row>
    <row r="1094" spans="1:32" ht="17.149999999999999" x14ac:dyDescent="0.55000000000000004">
      <c r="B1094" t="str">
        <f t="shared" ref="B1094" si="3985">B1093</f>
        <v>Portland</v>
      </c>
      <c r="C1094" t="s">
        <v>564</v>
      </c>
      <c r="D1094" cm="1">
        <f t="array" ref="D1094">IF(ISBLANK(INDEX(FX_Input,$Q1093,$AB1094)),0.03,INDEX(FX_Input,Q1093,AB1094))</f>
        <v>0.03</v>
      </c>
      <c r="E1094" cm="1">
        <f t="array" ref="E1094">IF(ISBLANK(INDEX(FX_Input,$Q1093,$AB1094)),0.03,INDEX(FX_Input,R1093,#REF!))</f>
        <v>0.03</v>
      </c>
      <c r="F1094" cm="1">
        <f t="array" ref="F1094">IF(ISBLANK(INDEX(FX_Input,$Q1093,$AB1094)),0.03,INDEX(FX_Input,S1093,#REF!))</f>
        <v>0.03</v>
      </c>
      <c r="G1094" cm="1">
        <f t="array" ref="G1094">IF(ISBLANK(INDEX(FX_Input,$Q1093,$AB1094)),0.03,INDEX(FX_Input,AB1093,#REF!))</f>
        <v>0.03</v>
      </c>
      <c r="H1094" cm="1">
        <f t="array" ref="H1094">IF(ISBLANK(INDEX(FX_Input,$Q1093,$AB1094)),0.03,INDEX(FX_Input,#REF!,#REF!))</f>
        <v>0.03</v>
      </c>
      <c r="I1094" cm="1">
        <f t="array" ref="I1094">IF(ISBLANK(INDEX(FX_Input,$Q1093,$AB1094)),0.03,INDEX(FX_Input,#REF!,#REF!))</f>
        <v>0.03</v>
      </c>
      <c r="J1094" cm="1">
        <f t="array" ref="J1094">IF(ISBLANK(INDEX(FX_Input,$Q1093,$AB1094)),0.03,INDEX(FX_Input,#REF!,#REF!))</f>
        <v>0.03</v>
      </c>
      <c r="K1094" cm="1">
        <f t="array" ref="K1094">IF(ISBLANK(INDEX(FX_Input,$Q1093,$AB1094)),0.03,INDEX(FX_Input,#REF!,AC1094))</f>
        <v>0.03</v>
      </c>
      <c r="L1094" cm="1">
        <f t="array" ref="L1094">IF(ISBLANK(INDEX(FX_Input,$Q1093,$AB1094)),0.03,INDEX(FX_Input,#REF!,AD1094))</f>
        <v>0.03</v>
      </c>
      <c r="M1094" cm="1">
        <f t="array" ref="M1094">IF(ISBLANK(INDEX(FX_Input,$Q1093,$AB1094)),0.03,INDEX(FX_Input,#REF!,#REF!))</f>
        <v>0.03</v>
      </c>
      <c r="N1094" cm="1">
        <f t="array" ref="N1094">IF(ISBLANK(INDEX(FX_Input,$Q1093,$AB1094)),0.03,INDEX(FX_Input,AC1093,#REF!))</f>
        <v>0.03</v>
      </c>
      <c r="O1094" cm="1">
        <f t="array" ref="O1094">IF(ISBLANK(INDEX(FX_Input,$Q1093,$AB1094)),0.03,INDEX(FX_Input,AD1093,#REF!))</f>
        <v>0.03</v>
      </c>
      <c r="AB1094">
        <v>15</v>
      </c>
    </row>
    <row r="1095" spans="1:32" ht="17.149999999999999" x14ac:dyDescent="0.55000000000000004">
      <c r="B1095" t="str">
        <f>B1094</f>
        <v>Portland</v>
      </c>
      <c r="C1095" t="s">
        <v>565</v>
      </c>
      <c r="D1095" cm="1">
        <f t="array" ref="D1095">IF(ISBLANK(INDEX(FX_Input,$Q1093,$AB1095)),-0.03,INDEX(FX_Input,$Q1093,$AB1095))</f>
        <v>-0.03</v>
      </c>
      <c r="E1095" cm="1">
        <f t="array" ref="E1095">IF(ISBLANK(INDEX(FX_Input,$Q1093,$AB1095)),-0.03,INDEX(FX_Input,R1093,#REF!))</f>
        <v>-0.03</v>
      </c>
      <c r="F1095" cm="1">
        <f t="array" ref="F1095">IF(ISBLANK(INDEX(FX_Input,$Q1093,$AB1095)),-0.03,INDEX(FX_Input,S1093,#REF!))</f>
        <v>-0.03</v>
      </c>
      <c r="G1095" cm="1">
        <f t="array" ref="G1095">IF(ISBLANK(INDEX(FX_Input,$Q1093,$AB1095)),-0.03,INDEX(FX_Input,AB1093,#REF!))</f>
        <v>-0.03</v>
      </c>
      <c r="H1095" cm="1">
        <f t="array" ref="H1095">IF(ISBLANK(INDEX(FX_Input,$Q1093,$AB1095)),-0.03,INDEX(FX_Input,#REF!,#REF!))</f>
        <v>-0.03</v>
      </c>
      <c r="I1095" cm="1">
        <f t="array" ref="I1095">IF(ISBLANK(INDEX(FX_Input,$Q1093,$AB1095)),-0.03,INDEX(FX_Input,#REF!,#REF!))</f>
        <v>-0.03</v>
      </c>
      <c r="J1095" cm="1">
        <f t="array" ref="J1095">IF(ISBLANK(INDEX(FX_Input,$Q1093,$AB1095)),-0.03,INDEX(FX_Input,#REF!,#REF!))</f>
        <v>-0.03</v>
      </c>
      <c r="K1095" cm="1">
        <f t="array" ref="K1095">IF(ISBLANK(INDEX(FX_Input,$Q1093,$AB1095)),-0.03,INDEX(FX_Input,#REF!,AC1095))</f>
        <v>-0.03</v>
      </c>
      <c r="L1095" cm="1">
        <f t="array" ref="L1095">IF(ISBLANK(INDEX(FX_Input,$Q1093,$AB1095)),-0.03,INDEX(FX_Input,#REF!,AD1095))</f>
        <v>-0.03</v>
      </c>
      <c r="M1095" cm="1">
        <f t="array" ref="M1095">IF(ISBLANK(INDEX(FX_Input,$Q1093,$AB1095)),-0.03,INDEX(FX_Input,#REF!,#REF!))</f>
        <v>-0.03</v>
      </c>
      <c r="N1095" cm="1">
        <f t="array" ref="N1095">IF(ISBLANK(INDEX(FX_Input,$Q1093,$AB1095)),-0.03,INDEX(FX_Input,AC1093,#REF!))</f>
        <v>-0.03</v>
      </c>
      <c r="O1095" cm="1">
        <f t="array" ref="O1095">IF(ISBLANK(INDEX(FX_Input,$Q1093,$AB1095)),-0.03,INDEX(FX_Input,AD1093,#REF!))</f>
        <v>-0.03</v>
      </c>
      <c r="AB1095">
        <v>16</v>
      </c>
    </row>
    <row r="1096" spans="1:32" x14ac:dyDescent="0.4">
      <c r="B1096" t="str">
        <f t="shared" ref="B1096:B1097" si="3986">B1095</f>
        <v>Portland</v>
      </c>
      <c r="C1096" s="66" t="s">
        <v>567</v>
      </c>
      <c r="D1096" t="str" cm="1">
        <f t="array" ref="D1096">INDEX(FX_Multi,$AD1096,D$3)</f>
        <v>Out of Service</v>
      </c>
      <c r="E1096" t="str" cm="1">
        <f t="array" ref="E1096">INDEX(FX_Multi,$AD1096,E$3)</f>
        <v>Out of Service</v>
      </c>
      <c r="F1096" t="str" cm="1">
        <f t="array" ref="F1096">INDEX(FX_Multi,$AD1096,F$3)</f>
        <v>Out of Service</v>
      </c>
      <c r="G1096" t="str" cm="1">
        <f t="array" ref="G1096">INDEX(FX_Multi,$AD1096,G$3)</f>
        <v>Out of Service</v>
      </c>
      <c r="H1096" t="str" cm="1">
        <f t="array" ref="H1096">INDEX(FX_Multi,$AD1096,H$3)</f>
        <v>Out of Service</v>
      </c>
      <c r="I1096" t="str" cm="1">
        <f t="array" ref="I1096">INDEX(FX_Multi,$AD1096,I$3)</f>
        <v>Out of Service</v>
      </c>
      <c r="J1096" t="str" cm="1">
        <f t="array" ref="J1096">INDEX(FX_Multi,$AD1096,J$3)</f>
        <v>Out of Service</v>
      </c>
      <c r="K1096" t="str" cm="1">
        <f t="array" ref="K1096">INDEX(FX_Multi,$AD1096,K$3)</f>
        <v>Out of Service</v>
      </c>
      <c r="L1096" t="str" cm="1">
        <f t="array" ref="L1096">INDEX(FX_Multi,$AD1096,L$3)</f>
        <v>Out of Service</v>
      </c>
      <c r="M1096" t="str" cm="1">
        <f t="array" ref="M1096">INDEX(FX_Multi,$AD1096,M$3)</f>
        <v>Out of Service</v>
      </c>
      <c r="N1096" t="str" cm="1">
        <f t="array" ref="N1096">INDEX(FX_Multi,$AD1096,N$3)</f>
        <v>Out of Service</v>
      </c>
      <c r="O1096" t="str" cm="1">
        <f t="array" ref="O1096">INDEX(FX_Multi,$AD1096,O$3)</f>
        <v>Out of Service</v>
      </c>
      <c r="AC1096">
        <v>1</v>
      </c>
      <c r="AD1096">
        <f>AD1093</f>
        <v>449</v>
      </c>
      <c r="AE1096">
        <v>1</v>
      </c>
      <c r="AF1096">
        <f>AF1093</f>
        <v>449</v>
      </c>
    </row>
    <row r="1097" spans="1:32" x14ac:dyDescent="0.4">
      <c r="B1097" t="str">
        <f t="shared" si="3986"/>
        <v>Portland</v>
      </c>
      <c r="C1097" s="66" t="s">
        <v>566</v>
      </c>
      <c r="D1097" t="str" cm="1">
        <f t="array" ref="D1097">INDEX(FX_Multi,$AD1097,D$3)</f>
        <v>N/A</v>
      </c>
      <c r="E1097" t="str" cm="1">
        <f t="array" ref="E1097">INDEX(FX_Multi,$AD1097,E$3)</f>
        <v>N/A</v>
      </c>
      <c r="F1097" t="str" cm="1">
        <f t="array" ref="F1097">INDEX(FX_Multi,$AD1097,F$3)</f>
        <v>N/A</v>
      </c>
      <c r="G1097" t="str" cm="1">
        <f t="array" ref="G1097">INDEX(FX_Multi,$AD1097,G$3)</f>
        <v>N/A</v>
      </c>
      <c r="H1097" t="str" cm="1">
        <f t="array" ref="H1097">INDEX(FX_Multi,$AD1097,H$3)</f>
        <v>N/A</v>
      </c>
      <c r="I1097" t="str" cm="1">
        <f t="array" ref="I1097">INDEX(FX_Multi,$AD1097,I$3)</f>
        <v>N/A</v>
      </c>
      <c r="J1097" t="str" cm="1">
        <f t="array" ref="J1097">INDEX(FX_Multi,$AD1097,J$3)</f>
        <v>N/A</v>
      </c>
      <c r="K1097" t="str" cm="1">
        <f t="array" ref="K1097">INDEX(FX_Multi,$AD1097,K$3)</f>
        <v>N/A</v>
      </c>
      <c r="L1097" t="str" cm="1">
        <f t="array" ref="L1097">INDEX(FX_Multi,$AD1097,L$3)</f>
        <v>N/A</v>
      </c>
      <c r="M1097" t="str" cm="1">
        <f t="array" ref="M1097">INDEX(FX_Multi,$AD1097,M$3)</f>
        <v>N/A</v>
      </c>
      <c r="N1097" t="str" cm="1">
        <f t="array" ref="N1097">INDEX(FX_Multi,$AD1097,N$3)</f>
        <v>N/A</v>
      </c>
      <c r="O1097" t="str" cm="1">
        <f t="array" ref="O1097">INDEX(FX_Multi,$AD1097,O$3)</f>
        <v>N/A</v>
      </c>
      <c r="AC1097">
        <v>1</v>
      </c>
      <c r="AD1097">
        <f>AD1096+2</f>
        <v>451</v>
      </c>
      <c r="AE1097">
        <v>1</v>
      </c>
      <c r="AF1097">
        <f>AF1096+3</f>
        <v>452</v>
      </c>
    </row>
    <row r="1098" spans="1:32" x14ac:dyDescent="0.4">
      <c r="B1098" t="str">
        <f>B1094</f>
        <v>Portland</v>
      </c>
      <c r="C1098" s="66" t="s">
        <v>568</v>
      </c>
      <c r="D1098" cm="1">
        <f t="array" ref="D1098">INDEX(FX_Multi,$AD1098,D$3)</f>
        <v>0</v>
      </c>
      <c r="E1098" cm="1">
        <f t="array" ref="E1098">INDEX(FX_Multi,$AD1098,E$3)</f>
        <v>0</v>
      </c>
      <c r="F1098" cm="1">
        <f t="array" ref="F1098">INDEX(FX_Multi,$AD1098,F$3)</f>
        <v>0</v>
      </c>
      <c r="G1098" cm="1">
        <f t="array" ref="G1098">INDEX(FX_Multi,$AD1098,G$3)</f>
        <v>0</v>
      </c>
      <c r="H1098" cm="1">
        <f t="array" ref="H1098">INDEX(FX_Multi,$AD1098,H$3)</f>
        <v>0</v>
      </c>
      <c r="I1098" cm="1">
        <f t="array" ref="I1098">INDEX(FX_Multi,$AD1098,I$3)</f>
        <v>0</v>
      </c>
      <c r="J1098" cm="1">
        <f t="array" ref="J1098">INDEX(FX_Multi,$AD1098,J$3)</f>
        <v>0</v>
      </c>
      <c r="K1098" cm="1">
        <f t="array" ref="K1098">INDEX(FX_Multi,$AD1098,K$3)</f>
        <v>0</v>
      </c>
      <c r="L1098" cm="1">
        <f t="array" ref="L1098">INDEX(FX_Multi,$AD1098,L$3)</f>
        <v>0</v>
      </c>
      <c r="M1098" cm="1">
        <f t="array" ref="M1098">INDEX(FX_Multi,$AD1098,M$3)</f>
        <v>0</v>
      </c>
      <c r="N1098" cm="1">
        <f t="array" ref="N1098">INDEX(FX_Multi,$AD1098,N$3)</f>
        <v>0</v>
      </c>
      <c r="O1098" cm="1">
        <f t="array" ref="O1098">INDEX(FX_Multi,$AD1098,O$3)</f>
        <v>0</v>
      </c>
      <c r="AC1098">
        <v>1</v>
      </c>
      <c r="AD1098">
        <f>AD1097-1</f>
        <v>450</v>
      </c>
      <c r="AE1098">
        <v>1</v>
      </c>
      <c r="AF1098">
        <f>AF1096+1</f>
        <v>450</v>
      </c>
    </row>
    <row r="1099" spans="1:32" x14ac:dyDescent="0.4">
      <c r="B1099" t="str">
        <f t="shared" ref="B1099:B1103" si="3987">B1098</f>
        <v>Portland</v>
      </c>
      <c r="C1099" s="66" t="s">
        <v>569</v>
      </c>
      <c r="D1099" cm="1">
        <f t="array" ref="D1099">INDEX(FX_Multi,$AD1099,D$3)</f>
        <v>0</v>
      </c>
      <c r="E1099" cm="1">
        <f t="array" ref="E1099">INDEX(FX_Multi,$AD1099,E$3)</f>
        <v>0</v>
      </c>
      <c r="F1099" cm="1">
        <f t="array" ref="F1099">INDEX(FX_Multi,$AD1099,F$3)</f>
        <v>0</v>
      </c>
      <c r="G1099" cm="1">
        <f t="array" ref="G1099">INDEX(FX_Multi,$AD1099,G$3)</f>
        <v>0</v>
      </c>
      <c r="H1099" cm="1">
        <f t="array" ref="H1099">INDEX(FX_Multi,$AD1099,H$3)</f>
        <v>0</v>
      </c>
      <c r="I1099" cm="1">
        <f t="array" ref="I1099">INDEX(FX_Multi,$AD1099,I$3)</f>
        <v>0</v>
      </c>
      <c r="J1099" cm="1">
        <f t="array" ref="J1099">INDEX(FX_Multi,$AD1099,J$3)</f>
        <v>0</v>
      </c>
      <c r="K1099" cm="1">
        <f t="array" ref="K1099">INDEX(FX_Multi,$AD1099,K$3)</f>
        <v>0</v>
      </c>
      <c r="L1099" cm="1">
        <f t="array" ref="L1099">INDEX(FX_Multi,$AD1099,L$3)</f>
        <v>0</v>
      </c>
      <c r="M1099" cm="1">
        <f t="array" ref="M1099">INDEX(FX_Multi,$AD1099,M$3)</f>
        <v>0</v>
      </c>
      <c r="N1099" cm="1">
        <f t="array" ref="N1099">INDEX(FX_Multi,$AD1099,N$3)</f>
        <v>0</v>
      </c>
      <c r="O1099" cm="1">
        <f t="array" ref="O1099">INDEX(FX_Multi,$AD1099,O$3)</f>
        <v>0</v>
      </c>
      <c r="AC1099">
        <v>1</v>
      </c>
      <c r="AD1099">
        <f>AD1098+2</f>
        <v>452</v>
      </c>
      <c r="AE1099">
        <v>1</v>
      </c>
      <c r="AF1099">
        <f>AF1097</f>
        <v>452</v>
      </c>
    </row>
    <row r="1100" spans="1:32" ht="17.149999999999999" x14ac:dyDescent="0.55000000000000004">
      <c r="B1100" t="str">
        <f t="shared" si="3987"/>
        <v>Portland</v>
      </c>
      <c r="C1100" t="s">
        <v>570</v>
      </c>
      <c r="D1100" cm="1">
        <f t="array" ref="D1100">INDEX(FX_Multi,$AD1100,D$3)</f>
        <v>1</v>
      </c>
      <c r="E1100" cm="1">
        <f t="array" ref="E1100">INDEX(FX_Multi,$AD1100,E$3)</f>
        <v>1</v>
      </c>
      <c r="F1100" cm="1">
        <f t="array" ref="F1100">INDEX(FX_Multi,$AD1100,F$3)</f>
        <v>1</v>
      </c>
      <c r="G1100" cm="1">
        <f t="array" ref="G1100">INDEX(FX_Multi,$AD1100,G$3)</f>
        <v>1</v>
      </c>
      <c r="H1100" cm="1">
        <f t="array" ref="H1100">INDEX(FX_Multi,$AD1100,H$3)</f>
        <v>1</v>
      </c>
      <c r="I1100" cm="1">
        <f t="array" ref="I1100">INDEX(FX_Multi,$AD1100,I$3)</f>
        <v>1</v>
      </c>
      <c r="J1100" cm="1">
        <f t="array" ref="J1100">INDEX(FX_Multi,$AD1100,J$3)</f>
        <v>1</v>
      </c>
      <c r="K1100" cm="1">
        <f t="array" ref="K1100">INDEX(FX_Multi,$AD1100,K$3)</f>
        <v>1</v>
      </c>
      <c r="L1100" cm="1">
        <f t="array" ref="L1100">INDEX(FX_Multi,$AD1100,L$3)</f>
        <v>1</v>
      </c>
      <c r="M1100" cm="1">
        <f t="array" ref="M1100">INDEX(FX_Multi,$AD1100,M$3)</f>
        <v>1</v>
      </c>
      <c r="N1100" cm="1">
        <f t="array" ref="N1100">INDEX(FX_Multi,$AD1100,N$3)</f>
        <v>1</v>
      </c>
      <c r="O1100" cm="1">
        <f t="array" ref="O1100">INDEX(FX_Multi,$AD1100,O$3)</f>
        <v>1</v>
      </c>
      <c r="AC1100">
        <v>1</v>
      </c>
      <c r="AD1100">
        <f>AD1099+6</f>
        <v>458</v>
      </c>
      <c r="AE1100">
        <v>1</v>
      </c>
      <c r="AF1100">
        <f>AF1096+9</f>
        <v>458</v>
      </c>
    </row>
    <row r="1101" spans="1:32" ht="17.149999999999999" x14ac:dyDescent="0.55000000000000004">
      <c r="B1101" t="str">
        <f t="shared" si="3987"/>
        <v>Portland</v>
      </c>
      <c r="C1101" t="s">
        <v>571</v>
      </c>
      <c r="D1101" t="str" cm="1">
        <f t="array" ref="D1101">INDEX(FX_Multi,$AD1101,D$3)</f>
        <v>N/A</v>
      </c>
      <c r="E1101" t="str" cm="1">
        <f t="array" ref="E1101">INDEX(FX_Multi,$AD1101,E$3)</f>
        <v>N/A</v>
      </c>
      <c r="F1101" t="str" cm="1">
        <f t="array" ref="F1101">INDEX(FX_Multi,$AD1101,F$3)</f>
        <v>N/A</v>
      </c>
      <c r="G1101" t="str" cm="1">
        <f t="array" ref="G1101">INDEX(FX_Multi,$AD1101,G$3)</f>
        <v>N/A</v>
      </c>
      <c r="H1101" t="str" cm="1">
        <f t="array" ref="H1101">INDEX(FX_Multi,$AD1101,H$3)</f>
        <v>N/A</v>
      </c>
      <c r="I1101" t="str" cm="1">
        <f t="array" ref="I1101">INDEX(FX_Multi,$AD1101,I$3)</f>
        <v>N/A</v>
      </c>
      <c r="J1101" t="str" cm="1">
        <f t="array" ref="J1101">INDEX(FX_Multi,$AD1101,J$3)</f>
        <v>N/A</v>
      </c>
      <c r="K1101" t="str" cm="1">
        <f t="array" ref="K1101">INDEX(FX_Multi,$AD1101,K$3)</f>
        <v>N/A</v>
      </c>
      <c r="L1101" t="str" cm="1">
        <f t="array" ref="L1101">INDEX(FX_Multi,$AD1101,L$3)</f>
        <v>N/A</v>
      </c>
      <c r="M1101" t="str" cm="1">
        <f t="array" ref="M1101">INDEX(FX_Multi,$AD1101,M$3)</f>
        <v>N/A</v>
      </c>
      <c r="N1101" t="str" cm="1">
        <f t="array" ref="N1101">INDEX(FX_Multi,$AD1101,N$3)</f>
        <v>N/A</v>
      </c>
      <c r="O1101" t="str" cm="1">
        <f t="array" ref="O1101">INDEX(FX_Multi,$AD1101,O$3)</f>
        <v>N/A</v>
      </c>
      <c r="AC1101">
        <v>1</v>
      </c>
      <c r="AD1101">
        <f>AD1100-3</f>
        <v>455</v>
      </c>
      <c r="AE1101">
        <v>1</v>
      </c>
      <c r="AF1101">
        <f>AF1096+6</f>
        <v>455</v>
      </c>
    </row>
    <row r="1102" spans="1:32" ht="17.149999999999999" x14ac:dyDescent="0.55000000000000004">
      <c r="B1102" t="str">
        <f t="shared" si="3987"/>
        <v>Portland</v>
      </c>
      <c r="C1102" t="s">
        <v>572</v>
      </c>
      <c r="D1102" cm="1">
        <f t="array" ref="D1102">INDEX(FX_Multi,$AD1102,D$3)</f>
        <v>0</v>
      </c>
      <c r="E1102" cm="1">
        <f t="array" ref="E1102">INDEX(FX_Multi,$AD1102,E$3)</f>
        <v>0</v>
      </c>
      <c r="F1102" cm="1">
        <f t="array" ref="F1102">INDEX(FX_Multi,$AD1102,F$3)</f>
        <v>0</v>
      </c>
      <c r="G1102" cm="1">
        <f t="array" ref="G1102">INDEX(FX_Multi,$AD1102,G$3)</f>
        <v>0</v>
      </c>
      <c r="H1102" cm="1">
        <f t="array" ref="H1102">INDEX(FX_Multi,$AD1102,H$3)</f>
        <v>0</v>
      </c>
      <c r="I1102" cm="1">
        <f t="array" ref="I1102">INDEX(FX_Multi,$AD1102,I$3)</f>
        <v>0</v>
      </c>
      <c r="J1102" cm="1">
        <f t="array" ref="J1102">INDEX(FX_Multi,$AD1102,J$3)</f>
        <v>0</v>
      </c>
      <c r="K1102" cm="1">
        <f t="array" ref="K1102">INDEX(FX_Multi,$AD1102,K$3)</f>
        <v>0</v>
      </c>
      <c r="L1102" cm="1">
        <f t="array" ref="L1102">INDEX(FX_Multi,$AD1102,L$3)</f>
        <v>0</v>
      </c>
      <c r="M1102" cm="1">
        <f t="array" ref="M1102">INDEX(FX_Multi,$AD1102,M$3)</f>
        <v>0</v>
      </c>
      <c r="N1102" cm="1">
        <f t="array" ref="N1102">INDEX(FX_Multi,$AD1102,N$3)</f>
        <v>0</v>
      </c>
      <c r="O1102" cm="1">
        <f t="array" ref="O1102">INDEX(FX_Multi,$AD1102,O$3)</f>
        <v>0</v>
      </c>
      <c r="AC1102">
        <v>1</v>
      </c>
      <c r="AD1102">
        <f>AD1101+4</f>
        <v>459</v>
      </c>
      <c r="AE1102">
        <v>1</v>
      </c>
      <c r="AF1102">
        <f>AF1096+10</f>
        <v>459</v>
      </c>
    </row>
    <row r="1103" spans="1:32" ht="17.149999999999999" x14ac:dyDescent="0.55000000000000004">
      <c r="B1103" t="str">
        <f t="shared" si="3987"/>
        <v>Portland</v>
      </c>
      <c r="C1103" t="s">
        <v>573</v>
      </c>
      <c r="D1103" cm="1">
        <f t="array" ref="D1103">INDEX(FX_Multi,$AD1103,D$3)</f>
        <v>0</v>
      </c>
      <c r="E1103" cm="1">
        <f t="array" ref="E1103">INDEX(FX_Multi,$AD1103,E$3)</f>
        <v>0</v>
      </c>
      <c r="F1103" cm="1">
        <f t="array" ref="F1103">INDEX(FX_Multi,$AD1103,F$3)</f>
        <v>0</v>
      </c>
      <c r="G1103" cm="1">
        <f t="array" ref="G1103">INDEX(FX_Multi,$AD1103,G$3)</f>
        <v>0</v>
      </c>
      <c r="H1103" cm="1">
        <f t="array" ref="H1103">INDEX(FX_Multi,$AD1103,H$3)</f>
        <v>0</v>
      </c>
      <c r="I1103" cm="1">
        <f t="array" ref="I1103">INDEX(FX_Multi,$AD1103,I$3)</f>
        <v>0</v>
      </c>
      <c r="J1103" cm="1">
        <f t="array" ref="J1103">INDEX(FX_Multi,$AD1103,J$3)</f>
        <v>0</v>
      </c>
      <c r="K1103" cm="1">
        <f t="array" ref="K1103">INDEX(FX_Multi,$AD1103,K$3)</f>
        <v>0</v>
      </c>
      <c r="L1103" cm="1">
        <f t="array" ref="L1103">INDEX(FX_Multi,$AD1103,L$3)</f>
        <v>0</v>
      </c>
      <c r="M1103" cm="1">
        <f t="array" ref="M1103">INDEX(FX_Multi,$AD1103,M$3)</f>
        <v>0</v>
      </c>
      <c r="N1103" cm="1">
        <f t="array" ref="N1103">INDEX(FX_Multi,$AD1103,N$3)</f>
        <v>0</v>
      </c>
      <c r="O1103" cm="1">
        <f t="array" ref="O1103">INDEX(FX_Multi,$AD1103,O$3)</f>
        <v>0</v>
      </c>
      <c r="AC1103">
        <v>1</v>
      </c>
      <c r="AD1103">
        <f>AD1102-3</f>
        <v>456</v>
      </c>
      <c r="AE1103">
        <v>1</v>
      </c>
      <c r="AF1103">
        <f>AF1096+7</f>
        <v>456</v>
      </c>
    </row>
    <row r="1104" spans="1:32" ht="17.149999999999999" x14ac:dyDescent="0.55000000000000004">
      <c r="B1104" t="str">
        <f>B1099</f>
        <v>Portland</v>
      </c>
      <c r="C1104" t="s">
        <v>526</v>
      </c>
      <c r="D1104" cm="1">
        <f t="array" ref="D1104">INDEX(FX_Temps,$AF1104,D$3)</f>
        <v>43.899999999999977</v>
      </c>
      <c r="E1104" cm="1">
        <f t="array" ref="E1104">INDEX(FX_Temps,$AF1104,E$3)</f>
        <v>44.700000000000045</v>
      </c>
      <c r="F1104" cm="1">
        <f t="array" ref="F1104">INDEX(FX_Temps,$AF1104,F$3)</f>
        <v>46.100000000000023</v>
      </c>
      <c r="G1104" cm="1">
        <f t="array" ref="G1104">INDEX(FX_Temps,$AF1104,G$3)</f>
        <v>48.599999999999966</v>
      </c>
      <c r="H1104" cm="1">
        <f t="array" ref="H1104">INDEX(FX_Temps,$AF1104,H$3)</f>
        <v>53.149999999999977</v>
      </c>
      <c r="I1104" cm="1">
        <f t="array" ref="I1104">INDEX(FX_Temps,$AF1104,I$3)</f>
        <v>56.950000000000045</v>
      </c>
      <c r="J1104" cm="1">
        <f t="array" ref="J1104">INDEX(FX_Temps,$AF1104,J$3)</f>
        <v>60.449999999999932</v>
      </c>
      <c r="K1104" cm="1">
        <f t="array" ref="K1104">INDEX(FX_Temps,$AF1104,K$3)</f>
        <v>60.899999999999977</v>
      </c>
      <c r="L1104" cm="1">
        <f t="array" ref="L1104">INDEX(FX_Temps,$AF1104,L$3)</f>
        <v>58.600000000000023</v>
      </c>
      <c r="M1104" cm="1">
        <f t="array" ref="M1104">INDEX(FX_Temps,$AF1104,M$3)</f>
        <v>52.649999999999977</v>
      </c>
      <c r="N1104" cm="1">
        <f t="array" ref="N1104">INDEX(FX_Temps,$AF1104,N$3)</f>
        <v>47.100000000000023</v>
      </c>
      <c r="O1104" cm="1">
        <f t="array" ref="O1104">INDEX(FX_Temps,$AF1104,O$3)</f>
        <v>43.600000000000023</v>
      </c>
      <c r="AE1104">
        <v>1</v>
      </c>
      <c r="AF1104">
        <f>AF1096+10</f>
        <v>459</v>
      </c>
    </row>
    <row r="1105" spans="2:32" ht="17.149999999999999" x14ac:dyDescent="0.55000000000000004">
      <c r="B1105" t="str">
        <f t="shared" ref="B1105:B1126" si="3988">B1104</f>
        <v>Portland</v>
      </c>
      <c r="C1105" t="s">
        <v>527</v>
      </c>
      <c r="D1105" cm="1">
        <f t="array" ref="D1105">INDEX(FX_Temps,$AF1105,D$3)</f>
        <v>43.899999999999977</v>
      </c>
      <c r="E1105" cm="1">
        <f t="array" ref="E1105">INDEX(FX_Temps,$AF1105,E$3)</f>
        <v>44.700000000000045</v>
      </c>
      <c r="F1105" cm="1">
        <f t="array" ref="F1105">INDEX(FX_Temps,$AF1105,F$3)</f>
        <v>46.100000000000023</v>
      </c>
      <c r="G1105" cm="1">
        <f t="array" ref="G1105">INDEX(FX_Temps,$AF1105,G$3)</f>
        <v>48.599999999999966</v>
      </c>
      <c r="H1105" cm="1">
        <f t="array" ref="H1105">INDEX(FX_Temps,$AF1105,H$3)</f>
        <v>53.149999999999977</v>
      </c>
      <c r="I1105" cm="1">
        <f t="array" ref="I1105">INDEX(FX_Temps,$AF1105,I$3)</f>
        <v>56.950000000000045</v>
      </c>
      <c r="J1105" cm="1">
        <f t="array" ref="J1105">INDEX(FX_Temps,$AF1105,J$3)</f>
        <v>60.449999999999932</v>
      </c>
      <c r="K1105" cm="1">
        <f t="array" ref="K1105">INDEX(FX_Temps,$AF1105,K$3)</f>
        <v>60.899999999999977</v>
      </c>
      <c r="L1105" cm="1">
        <f t="array" ref="L1105">INDEX(FX_Temps,$AF1105,L$3)</f>
        <v>58.600000000000023</v>
      </c>
      <c r="M1105" cm="1">
        <f t="array" ref="M1105">INDEX(FX_Temps,$AF1105,M$3)</f>
        <v>52.649999999999977</v>
      </c>
      <c r="N1105" cm="1">
        <f t="array" ref="N1105">INDEX(FX_Temps,$AF1105,N$3)</f>
        <v>47.100000000000023</v>
      </c>
      <c r="O1105" cm="1">
        <f t="array" ref="O1105">INDEX(FX_Temps,$AF1105,O$3)</f>
        <v>43.600000000000023</v>
      </c>
      <c r="AE1105">
        <f>AE1104</f>
        <v>1</v>
      </c>
      <c r="AF1105">
        <f>AF1096+11</f>
        <v>460</v>
      </c>
    </row>
    <row r="1106" spans="2:32" ht="17.149999999999999" x14ac:dyDescent="0.55000000000000004">
      <c r="B1106" t="str">
        <f t="shared" si="3988"/>
        <v>Portland</v>
      </c>
      <c r="C1106" t="s">
        <v>552</v>
      </c>
      <c r="D1106" cm="1">
        <f t="array" ref="D1106">INDEX(FX_Temps,$AF1106,D$3)</f>
        <v>43.899999999999977</v>
      </c>
      <c r="E1106" cm="1">
        <f t="array" ref="E1106">INDEX(FX_Temps,$AF1106,E$3)</f>
        <v>44.700000000000045</v>
      </c>
      <c r="F1106" cm="1">
        <f t="array" ref="F1106">INDEX(FX_Temps,$AF1106,F$3)</f>
        <v>46.100000000000023</v>
      </c>
      <c r="G1106" cm="1">
        <f t="array" ref="G1106">INDEX(FX_Temps,$AF1106,G$3)</f>
        <v>48.599999999999966</v>
      </c>
      <c r="H1106" cm="1">
        <f t="array" ref="H1106">INDEX(FX_Temps,$AF1106,H$3)</f>
        <v>53.149999999999977</v>
      </c>
      <c r="I1106" cm="1">
        <f t="array" ref="I1106">INDEX(FX_Temps,$AF1106,I$3)</f>
        <v>56.950000000000045</v>
      </c>
      <c r="J1106" cm="1">
        <f t="array" ref="J1106">INDEX(FX_Temps,$AF1106,J$3)</f>
        <v>60.449999999999932</v>
      </c>
      <c r="K1106" cm="1">
        <f t="array" ref="K1106">INDEX(FX_Temps,$AF1106,K$3)</f>
        <v>60.899999999999977</v>
      </c>
      <c r="L1106" cm="1">
        <f t="array" ref="L1106">INDEX(FX_Temps,$AF1106,L$3)</f>
        <v>58.600000000000023</v>
      </c>
      <c r="M1106" cm="1">
        <f t="array" ref="M1106">INDEX(FX_Temps,$AF1106,M$3)</f>
        <v>52.649999999999977</v>
      </c>
      <c r="N1106" cm="1">
        <f t="array" ref="N1106">INDEX(FX_Temps,$AF1106,N$3)</f>
        <v>47.100000000000023</v>
      </c>
      <c r="O1106" cm="1">
        <f t="array" ref="O1106">INDEX(FX_Temps,$AF1106,O$3)</f>
        <v>43.600000000000023</v>
      </c>
      <c r="AE1106">
        <f>AE1105</f>
        <v>1</v>
      </c>
      <c r="AF1106">
        <f>AF1096+13</f>
        <v>462</v>
      </c>
    </row>
    <row r="1107" spans="2:32" ht="17.149999999999999" x14ac:dyDescent="0.55000000000000004">
      <c r="B1107" t="str">
        <f t="shared" si="3988"/>
        <v>Portland</v>
      </c>
      <c r="C1107" t="s">
        <v>574</v>
      </c>
      <c r="D1107" s="20" cm="1">
        <f t="array" ref="D1107">IFERROR(IF(D1097="Chemical",(10^(INDEX(Antoines,MATCH(D1096,Antoine_Name,0),2)-INDEX(Antoines,MATCH(D1096,Antoine_Name,0),3)/(INDEX(Antoines,MATCH(D1096,Antoine_Name,0),4)+(D1104-32)*5/9)))*14.7/760,IF(D1097="Crude Oil",EXP((2799/(D1104+459.6)-2.227)*LOG10(INDEX(FX_Input,Q$5,D$3*$Z$5+$AA$5))-(7261/(D1104+459.6))+12.82),IF(D1097="Refined Petroleum Stock",EXP((0.7553-(413/(D1104+459.6)))*(INDEX(FX_Input,Q$5,D$3*$Z$5+$AA$5-1)^0.5)*LOG10(INDEX(FX_Input,Q$5,D$3*$Z$5+$AA$5))-(1.854-(1042/(D1104+459.6)))*(INDEX(FX_Input,Q$5,D$3*$Z$5+$AA$5-1)^0.5)+((2416/(D1104+459.6)-2.013)*LOG10(INDEX(FX_Input,Q$5,D$3*$Z$5+$AA$5)))-(8742/(D1104+459.6))+15.64),EXP(INDEX(Antoines,MATCH(D1096,Antoine_Name,0),2)-INDEX(Antoines,MATCH(D1096,Antoine_Name,0),3)/(D1104+459.6))))),0)</f>
        <v>1</v>
      </c>
      <c r="E1107" cm="1">
        <f t="array" ref="E1107">IFERROR(IF(E1097="Chemical",(10^(INDEX(Antoines,MATCH(E1096,Antoine_Name,0),2)-INDEX(Antoines,MATCH(E1096,Antoine_Name,0),3)/(INDEX(Antoines,MATCH(E1096,Antoine_Name,0),4)+(E1104-32)*5/9)))*14.7/760,IF(E1097="Crude Oil",EXP((2799/(E1104+459.6)-2.227)*LOG10(INDEX(FX_Input,R$5,E$3*$Z$5+$AA$5))-(7261/(E1104+459.6))+12.82),IF(E1097="Refined Petroleum Stock",EXP((0.7553-(413/(E1104+459.6)))*(INDEX(FX_Input,R$5,E$3*$Z$5+$AA$5-1)^0.5)*LOG10(INDEX(FX_Input,R$5,E$3*$Z$5+$AA$5))-(1.854-(1042/(E1104+459.6)))*(INDEX(FX_Input,R$5,E$3*$Z$5+$AA$5-1)^0.5)+((2416/(E1104+459.6)-2.013)*LOG10(INDEX(FX_Input,R$5,E$3*$Z$5+$AA$5)))-(8742/(E1104+459.6))+15.64),EXP(INDEX(Antoines,MATCH(E1096,Antoine_Name,0),2)-INDEX(Antoines,MATCH(E1096,Antoine_Name,0),3)/(E1104+459.6))))),0)</f>
        <v>1</v>
      </c>
      <c r="F1107" cm="1">
        <f t="array" ref="F1107">IFERROR(IF(F1097="Chemical",(10^(INDEX(Antoines,MATCH(F1096,Antoine_Name,0),2)-INDEX(Antoines,MATCH(F1096,Antoine_Name,0),3)/(INDEX(Antoines,MATCH(F1096,Antoine_Name,0),4)+(F1104-32)*5/9)))*14.7/760,IF(F1097="Crude Oil",EXP((2799/(F1104+459.6)-2.227)*LOG10(INDEX(FX_Input,S$5,F$3*$Z$5+$AA$5))-(7261/(F1104+459.6))+12.82),IF(F1097="Refined Petroleum Stock",EXP((0.7553-(413/(F1104+459.6)))*(INDEX(FX_Input,S$5,F$3*$Z$5+$AA$5-1)^0.5)*LOG10(INDEX(FX_Input,S$5,F$3*$Z$5+$AA$5))-(1.854-(1042/(F1104+459.6)))*(INDEX(FX_Input,S$5,F$3*$Z$5+$AA$5-1)^0.5)+((2416/(F1104+459.6)-2.013)*LOG10(INDEX(FX_Input,S$5,F$3*$Z$5+$AA$5)))-(8742/(F1104+459.6))+15.64),EXP(INDEX(Antoines,MATCH(F1096,Antoine_Name,0),2)-INDEX(Antoines,MATCH(F1096,Antoine_Name,0),3)/(F1104+459.6))))),0)</f>
        <v>1</v>
      </c>
      <c r="G1107" cm="1">
        <f t="array" ref="G1107">IFERROR(IF(G1097="Chemical",(10^(INDEX(Antoines,MATCH(G1096,Antoine_Name,0),2)-INDEX(Antoines,MATCH(G1096,Antoine_Name,0),3)/(INDEX(Antoines,MATCH(G1096,Antoine_Name,0),4)+(G1104-32)*5/9)))*14.7/760,IF(G1097="Crude Oil",EXP((2799/(G1104+459.6)-2.227)*LOG10(INDEX(FX_Input,T$5,G$3*$Z$5+$AA$5))-(7261/(G1104+459.6))+12.82),IF(G1097="Refined Petroleum Stock",EXP((0.7553-(413/(G1104+459.6)))*(INDEX(FX_Input,T$5,G$3*$Z$5+$AA$5-1)^0.5)*LOG10(INDEX(FX_Input,T$5,G$3*$Z$5+$AA$5))-(1.854-(1042/(G1104+459.6)))*(INDEX(FX_Input,T$5,G$3*$Z$5+$AA$5-1)^0.5)+((2416/(G1104+459.6)-2.013)*LOG10(INDEX(FX_Input,T$5,G$3*$Z$5+$AA$5)))-(8742/(G1104+459.6))+15.64),EXP(INDEX(Antoines,MATCH(G1096,Antoine_Name,0),2)-INDEX(Antoines,MATCH(G1096,Antoine_Name,0),3)/(G1104+459.6))))),0)</f>
        <v>1</v>
      </c>
      <c r="H1107" cm="1">
        <f t="array" ref="H1107">IFERROR(IF(H1097="Chemical",(10^(INDEX(Antoines,MATCH(H1096,Antoine_Name,0),2)-INDEX(Antoines,MATCH(H1096,Antoine_Name,0),3)/(INDEX(Antoines,MATCH(H1096,Antoine_Name,0),4)+(H1104-32)*5/9)))*14.7/760,IF(H1097="Crude Oil",EXP((2799/(H1104+459.6)-2.227)*LOG10(INDEX(FX_Input,U$5,H$3*$Z$5+$AA$5))-(7261/(H1104+459.6))+12.82),IF(H1097="Refined Petroleum Stock",EXP((0.7553-(413/(H1104+459.6)))*(INDEX(FX_Input,U$5,H$3*$Z$5+$AA$5-1)^0.5)*LOG10(INDEX(FX_Input,U$5,H$3*$Z$5+$AA$5))-(1.854-(1042/(H1104+459.6)))*(INDEX(FX_Input,U$5,H$3*$Z$5+$AA$5-1)^0.5)+((2416/(H1104+459.6)-2.013)*LOG10(INDEX(FX_Input,U$5,H$3*$Z$5+$AA$5)))-(8742/(H1104+459.6))+15.64),EXP(INDEX(Antoines,MATCH(H1096,Antoine_Name,0),2)-INDEX(Antoines,MATCH(H1096,Antoine_Name,0),3)/(H1104+459.6))))),0)</f>
        <v>1</v>
      </c>
      <c r="I1107" cm="1">
        <f t="array" ref="I1107">IFERROR(IF(I1097="Chemical",(10^(INDEX(Antoines,MATCH(I1096,Antoine_Name,0),2)-INDEX(Antoines,MATCH(I1096,Antoine_Name,0),3)/(INDEX(Antoines,MATCH(I1096,Antoine_Name,0),4)+(I1104-32)*5/9)))*14.7/760,IF(I1097="Crude Oil",EXP((2799/(I1104+459.6)-2.227)*LOG10(INDEX(FX_Input,V$5,I$3*$Z$5+$AA$5))-(7261/(I1104+459.6))+12.82),IF(I1097="Refined Petroleum Stock",EXP((0.7553-(413/(I1104+459.6)))*(INDEX(FX_Input,V$5,I$3*$Z$5+$AA$5-1)^0.5)*LOG10(INDEX(FX_Input,V$5,I$3*$Z$5+$AA$5))-(1.854-(1042/(I1104+459.6)))*(INDEX(FX_Input,V$5,I$3*$Z$5+$AA$5-1)^0.5)+((2416/(I1104+459.6)-2.013)*LOG10(INDEX(FX_Input,V$5,I$3*$Z$5+$AA$5)))-(8742/(I1104+459.6))+15.64),EXP(INDEX(Antoines,MATCH(I1096,Antoine_Name,0),2)-INDEX(Antoines,MATCH(I1096,Antoine_Name,0),3)/(I1104+459.6))))),0)</f>
        <v>1</v>
      </c>
      <c r="J1107" cm="1">
        <f t="array" ref="J1107">IFERROR(IF(J1097="Chemical",(10^(INDEX(Antoines,MATCH(J1096,Antoine_Name,0),2)-INDEX(Antoines,MATCH(J1096,Antoine_Name,0),3)/(INDEX(Antoines,MATCH(J1096,Antoine_Name,0),4)+(J1104-32)*5/9)))*14.7/760,IF(J1097="Crude Oil",EXP((2799/(J1104+459.6)-2.227)*LOG10(INDEX(FX_Input,W$5,J$3*$Z$5+$AA$5))-(7261/(J1104+459.6))+12.82),IF(J1097="Refined Petroleum Stock",EXP((0.7553-(413/(J1104+459.6)))*(INDEX(FX_Input,W$5,J$3*$Z$5+$AA$5-1)^0.5)*LOG10(INDEX(FX_Input,W$5,J$3*$Z$5+$AA$5))-(1.854-(1042/(J1104+459.6)))*(INDEX(FX_Input,W$5,J$3*$Z$5+$AA$5-1)^0.5)+((2416/(J1104+459.6)-2.013)*LOG10(INDEX(FX_Input,W$5,J$3*$Z$5+$AA$5)))-(8742/(J1104+459.6))+15.64),EXP(INDEX(Antoines,MATCH(J1096,Antoine_Name,0),2)-INDEX(Antoines,MATCH(J1096,Antoine_Name,0),3)/(J1104+459.6))))),0)</f>
        <v>1</v>
      </c>
      <c r="K1107" cm="1">
        <f t="array" ref="K1107">IFERROR(IF(K1097="Chemical",(10^(INDEX(Antoines,MATCH(K1096,Antoine_Name,0),2)-INDEX(Antoines,MATCH(K1096,Antoine_Name,0),3)/(INDEX(Antoines,MATCH(K1096,Antoine_Name,0),4)+(K1104-32)*5/9)))*14.7/760,IF(K1097="Crude Oil",EXP((2799/(K1104+459.6)-2.227)*LOG10(INDEX(FX_Input,X$5,K$3*$Z$5+$AA$5))-(7261/(K1104+459.6))+12.82),IF(K1097="Refined Petroleum Stock",EXP((0.7553-(413/(K1104+459.6)))*(INDEX(FX_Input,X$5,K$3*$Z$5+$AA$5-1)^0.5)*LOG10(INDEX(FX_Input,X$5,K$3*$Z$5+$AA$5))-(1.854-(1042/(K1104+459.6)))*(INDEX(FX_Input,X$5,K$3*$Z$5+$AA$5-1)^0.5)+((2416/(K1104+459.6)-2.013)*LOG10(INDEX(FX_Input,X$5,K$3*$Z$5+$AA$5)))-(8742/(K1104+459.6))+15.64),EXP(INDEX(Antoines,MATCH(K1096,Antoine_Name,0),2)-INDEX(Antoines,MATCH(K1096,Antoine_Name,0),3)/(K1104+459.6))))),0)</f>
        <v>1</v>
      </c>
      <c r="L1107" cm="1">
        <f t="array" ref="L1107">IFERROR(IF(L1097="Chemical",(10^(INDEX(Antoines,MATCH(L1096,Antoine_Name,0),2)-INDEX(Antoines,MATCH(L1096,Antoine_Name,0),3)/(INDEX(Antoines,MATCH(L1096,Antoine_Name,0),4)+(L1104-32)*5/9)))*14.7/760,IF(L1097="Crude Oil",EXP((2799/(L1104+459.6)-2.227)*LOG10(INDEX(FX_Input,Y$5,L$3*$Z$5+$AA$5))-(7261/(L1104+459.6))+12.82),IF(L1097="Refined Petroleum Stock",EXP((0.7553-(413/(L1104+459.6)))*(INDEX(FX_Input,Y$5,L$3*$Z$5+$AA$5-1)^0.5)*LOG10(INDEX(FX_Input,Y$5,L$3*$Z$5+$AA$5))-(1.854-(1042/(L1104+459.6)))*(INDEX(FX_Input,Y$5,L$3*$Z$5+$AA$5-1)^0.5)+((2416/(L1104+459.6)-2.013)*LOG10(INDEX(FX_Input,Y$5,L$3*$Z$5+$AA$5)))-(8742/(L1104+459.6))+15.64),EXP(INDEX(Antoines,MATCH(L1096,Antoine_Name,0),2)-INDEX(Antoines,MATCH(L1096,Antoine_Name,0),3)/(L1104+459.6))))),0)</f>
        <v>1</v>
      </c>
      <c r="M1107" cm="1">
        <f t="array" ref="M1107">IFERROR(IF(M1097="Chemical",(10^(INDEX(Antoines,MATCH(M1096,Antoine_Name,0),2)-INDEX(Antoines,MATCH(M1096,Antoine_Name,0),3)/(INDEX(Antoines,MATCH(M1096,Antoine_Name,0),4)+(M1104-32)*5/9)))*14.7/760,IF(M1097="Crude Oil",EXP((2799/(M1104+459.6)-2.227)*LOG10(INDEX(FX_Input,Z$5,M$3*$Z$5+$AA$5))-(7261/(M1104+459.6))+12.82),IF(M1097="Refined Petroleum Stock",EXP((0.7553-(413/(M1104+459.6)))*(INDEX(FX_Input,Z$5,M$3*$Z$5+$AA$5-1)^0.5)*LOG10(INDEX(FX_Input,Z$5,M$3*$Z$5+$AA$5))-(1.854-(1042/(M1104+459.6)))*(INDEX(FX_Input,Z$5,M$3*$Z$5+$AA$5-1)^0.5)+((2416/(M1104+459.6)-2.013)*LOG10(INDEX(FX_Input,Z$5,M$3*$Z$5+$AA$5)))-(8742/(M1104+459.6))+15.64),EXP(INDEX(Antoines,MATCH(M1096,Antoine_Name,0),2)-INDEX(Antoines,MATCH(M1096,Antoine_Name,0),3)/(M1104+459.6))))),0)</f>
        <v>1</v>
      </c>
      <c r="N1107" cm="1">
        <f t="array" ref="N1107">IFERROR(IF(N1097="Chemical",(10^(INDEX(Antoines,MATCH(N1096,Antoine_Name,0),2)-INDEX(Antoines,MATCH(N1096,Antoine_Name,0),3)/(INDEX(Antoines,MATCH(N1096,Antoine_Name,0),4)+(N1104-32)*5/9)))*14.7/760,IF(N1097="Crude Oil",EXP((2799/(N1104+459.6)-2.227)*LOG10(INDEX(FX_Input,AA$5,N$3*$Z$5+$AA$5))-(7261/(N1104+459.6))+12.82),IF(N1097="Refined Petroleum Stock",EXP((0.7553-(413/(N1104+459.6)))*(INDEX(FX_Input,AA$5,N$3*$Z$5+$AA$5-1)^0.5)*LOG10(INDEX(FX_Input,AA$5,N$3*$Z$5+$AA$5))-(1.854-(1042/(N1104+459.6)))*(INDEX(FX_Input,AA$5,N$3*$Z$5+$AA$5-1)^0.5)+((2416/(N1104+459.6)-2.013)*LOG10(INDEX(FX_Input,AA$5,N$3*$Z$5+$AA$5)))-(8742/(N1104+459.6))+15.64),EXP(INDEX(Antoines,MATCH(N1096,Antoine_Name,0),2)-INDEX(Antoines,MATCH(N1096,Antoine_Name,0),3)/(N1104+459.6))))),0)</f>
        <v>1</v>
      </c>
      <c r="O1107" cm="1">
        <f t="array" ref="O1107">IFERROR(IF(O1097="Chemical",(10^(INDEX(Antoines,MATCH(O1096,Antoine_Name,0),2)-INDEX(Antoines,MATCH(O1096,Antoine_Name,0),3)/(INDEX(Antoines,MATCH(O1096,Antoine_Name,0),4)+(O1104-32)*5/9)))*14.7/760,IF(O1097="Crude Oil",EXP((2799/(O1104+459.6)-2.227)*LOG10(INDEX(FX_Input,AB$5,O$3*$Z$5+$AA$5))-(7261/(O1104+459.6))+12.82),IF(O1097="Refined Petroleum Stock",EXP((0.7553-(413/(O1104+459.6)))*(INDEX(FX_Input,AB$5,O$3*$Z$5+$AA$5-1)^0.5)*LOG10(INDEX(FX_Input,AB$5,O$3*$Z$5+$AA$5))-(1.854-(1042/(O1104+459.6)))*(INDEX(FX_Input,AB$5,O$3*$Z$5+$AA$5-1)^0.5)+((2416/(O1104+459.6)-2.013)*LOG10(INDEX(FX_Input,AB$5,O$3*$Z$5+$AA$5)))-(8742/(O1104+459.6))+15.64),EXP(INDEX(Antoines,MATCH(O1096,Antoine_Name,0),2)-INDEX(Antoines,MATCH(O1096,Antoine_Name,0),3)/(O1104+459.6))))),0)</f>
        <v>1</v>
      </c>
    </row>
    <row r="1108" spans="2:32" ht="17.149999999999999" x14ac:dyDescent="0.55000000000000004">
      <c r="B1108" t="str">
        <f t="shared" si="3988"/>
        <v>Portland</v>
      </c>
      <c r="C1108" t="s">
        <v>576</v>
      </c>
      <c r="D1108">
        <f>D1100*D1107</f>
        <v>1</v>
      </c>
      <c r="E1108">
        <f t="shared" ref="E1108" si="3989">E1100*E1107</f>
        <v>1</v>
      </c>
      <c r="F1108">
        <f t="shared" ref="F1108" si="3990">F1100*F1107</f>
        <v>1</v>
      </c>
      <c r="G1108">
        <f t="shared" ref="G1108" si="3991">G1100*G1107</f>
        <v>1</v>
      </c>
      <c r="H1108">
        <f t="shared" ref="H1108" si="3992">H1100*H1107</f>
        <v>1</v>
      </c>
      <c r="I1108">
        <f t="shared" ref="I1108" si="3993">I1100*I1107</f>
        <v>1</v>
      </c>
      <c r="J1108">
        <f t="shared" ref="J1108" si="3994">J1100*J1107</f>
        <v>1</v>
      </c>
      <c r="K1108">
        <f t="shared" ref="K1108" si="3995">K1100*K1107</f>
        <v>1</v>
      </c>
      <c r="L1108">
        <f t="shared" ref="L1108" si="3996">L1100*L1107</f>
        <v>1</v>
      </c>
      <c r="M1108">
        <f t="shared" ref="M1108" si="3997">M1100*M1107</f>
        <v>1</v>
      </c>
      <c r="N1108">
        <f t="shared" ref="N1108" si="3998">N1100*N1107</f>
        <v>1</v>
      </c>
      <c r="O1108">
        <f t="shared" ref="O1108" si="3999">O1100*O1107</f>
        <v>1</v>
      </c>
    </row>
    <row r="1109" spans="2:32" ht="17.149999999999999" x14ac:dyDescent="0.55000000000000004">
      <c r="B1109" t="str">
        <f t="shared" si="3988"/>
        <v>Portland</v>
      </c>
      <c r="C1109" t="s">
        <v>575</v>
      </c>
      <c r="D1109" cm="1">
        <f t="array" ref="D1109">IFERROR(IF(D1099="Chemical",(10^(INDEX(Antoines,MATCH(D1098,Antoine_Name,0),2)-INDEX(Antoines,MATCH(D1098,Antoine_Name,0),3)/(INDEX(Antoines,MATCH(D1098,Antoine_Name,0),4)+(D1104-32)*5/9)))*14.7/760,IF(D1099="Crude Oil",EXP((2799/(D1104+459.6)-2.227)*LOG10(INDEX(FX_Input,Q$5,D$3*$Z$5+$AA$5))-(7261/(D1104+459.6))+12.82),IF(D1099="Refined Petroleum Stock",EXP((0.7553-(413/(D1104+459.6)))*(INDEX(FX_Input,Q$5,D$3*$Z$5+$AA$5-1)^0.5)*LOG10(INDEX(FX_Input,Q$5,D$3*$Z$5+$AA$5))-(1.854-(1042/(D1104+459.6)))*(INDEX(FX_Input,Q$5,D$3*$Z$5+$AA$5-1)^0.5)+((2416/(D1104+459.6)-2.013)*LOG10(INDEX(FX_Input,Q$5,D$3*$Z$5+$AA$5)))-(8742/(D1104+459.6))+15.64),EXP(INDEX(Antoines,MATCH(D1098,Antoine_Name,0),2)-INDEX(Antoines,MATCH(D1098,Antoine_Name,0),3)/(D1104+459.6))))),0)</f>
        <v>0</v>
      </c>
      <c r="E1109" cm="1">
        <f t="array" ref="E1109">IFERROR(IF(E1099="Chemical",(10^(INDEX(Antoines,MATCH(E1098,Antoine_Name,0),2)-INDEX(Antoines,MATCH(E1098,Antoine_Name,0),3)/(INDEX(Antoines,MATCH(E1098,Antoine_Name,0),4)+(E1104-32)*5/9)))*14.7/760,IF(E1099="Crude Oil",EXP((2799/(E1104+459.6)-2.227)*LOG10(INDEX(FX_Input,R$5,E$3*$Z$5+$AA$5))-(7261/(E1104+459.6))+12.82),IF(E1099="Refined Petroleum Stock",EXP((0.7553-(413/(E1104+459.6)))*(INDEX(FX_Input,R$5,E$3*$Z$5+$AA$5-1)^0.5)*LOG10(INDEX(FX_Input,R$5,E$3*$Z$5+$AA$5))-(1.854-(1042/(E1104+459.6)))*(INDEX(FX_Input,R$5,E$3*$Z$5+$AA$5-1)^0.5)+((2416/(E1104+459.6)-2.013)*LOG10(INDEX(FX_Input,R$5,E$3*$Z$5+$AA$5)))-(8742/(E1104+459.6))+15.64),EXP(INDEX(Antoines,MATCH(E1098,Antoine_Name,0),2)-INDEX(Antoines,MATCH(E1098,Antoine_Name,0),3)/(E1104+459.6))))),0)</f>
        <v>0</v>
      </c>
      <c r="F1109" cm="1">
        <f t="array" ref="F1109">IFERROR(IF(F1099="Chemical",(10^(INDEX(Antoines,MATCH(F1098,Antoine_Name,0),2)-INDEX(Antoines,MATCH(F1098,Antoine_Name,0),3)/(INDEX(Antoines,MATCH(F1098,Antoine_Name,0),4)+(F1104-32)*5/9)))*14.7/760,IF(F1099="Crude Oil",EXP((2799/(F1104+459.6)-2.227)*LOG10(INDEX(FX_Input,S$5,F$3*$Z$5+$AA$5))-(7261/(F1104+459.6))+12.82),IF(F1099="Refined Petroleum Stock",EXP((0.7553-(413/(F1104+459.6)))*(INDEX(FX_Input,S$5,F$3*$Z$5+$AA$5-1)^0.5)*LOG10(INDEX(FX_Input,S$5,F$3*$Z$5+$AA$5))-(1.854-(1042/(F1104+459.6)))*(INDEX(FX_Input,S$5,F$3*$Z$5+$AA$5-1)^0.5)+((2416/(F1104+459.6)-2.013)*LOG10(INDEX(FX_Input,S$5,F$3*$Z$5+$AA$5)))-(8742/(F1104+459.6))+15.64),EXP(INDEX(Antoines,MATCH(F1098,Antoine_Name,0),2)-INDEX(Antoines,MATCH(F1098,Antoine_Name,0),3)/(F1104+459.6))))),0)</f>
        <v>0</v>
      </c>
      <c r="G1109" cm="1">
        <f t="array" ref="G1109">IFERROR(IF(G1099="Chemical",(10^(INDEX(Antoines,MATCH(G1098,Antoine_Name,0),2)-INDEX(Antoines,MATCH(G1098,Antoine_Name,0),3)/(INDEX(Antoines,MATCH(G1098,Antoine_Name,0),4)+(G1104-32)*5/9)))*14.7/760,IF(G1099="Crude Oil",EXP((2799/(G1104+459.6)-2.227)*LOG10(INDEX(FX_Input,T$5,G$3*$Z$5+$AA$5))-(7261/(G1104+459.6))+12.82),IF(G1099="Refined Petroleum Stock",EXP((0.7553-(413/(G1104+459.6)))*(INDEX(FX_Input,T$5,G$3*$Z$5+$AA$5-1)^0.5)*LOG10(INDEX(FX_Input,T$5,G$3*$Z$5+$AA$5))-(1.854-(1042/(G1104+459.6)))*(INDEX(FX_Input,T$5,G$3*$Z$5+$AA$5-1)^0.5)+((2416/(G1104+459.6)-2.013)*LOG10(INDEX(FX_Input,T$5,G$3*$Z$5+$AA$5)))-(8742/(G1104+459.6))+15.64),EXP(INDEX(Antoines,MATCH(G1098,Antoine_Name,0),2)-INDEX(Antoines,MATCH(G1098,Antoine_Name,0),3)/(G1104+459.6))))),0)</f>
        <v>0</v>
      </c>
      <c r="H1109" cm="1">
        <f t="array" ref="H1109">IFERROR(IF(H1099="Chemical",(10^(INDEX(Antoines,MATCH(H1098,Antoine_Name,0),2)-INDEX(Antoines,MATCH(H1098,Antoine_Name,0),3)/(INDEX(Antoines,MATCH(H1098,Antoine_Name,0),4)+(H1104-32)*5/9)))*14.7/760,IF(H1099="Crude Oil",EXP((2799/(H1104+459.6)-2.227)*LOG10(INDEX(FX_Input,U$5,H$3*$Z$5+$AA$5))-(7261/(H1104+459.6))+12.82),IF(H1099="Refined Petroleum Stock",EXP((0.7553-(413/(H1104+459.6)))*(INDEX(FX_Input,U$5,H$3*$Z$5+$AA$5-1)^0.5)*LOG10(INDEX(FX_Input,U$5,H$3*$Z$5+$AA$5))-(1.854-(1042/(H1104+459.6)))*(INDEX(FX_Input,U$5,H$3*$Z$5+$AA$5-1)^0.5)+((2416/(H1104+459.6)-2.013)*LOG10(INDEX(FX_Input,U$5,H$3*$Z$5+$AA$5)))-(8742/(H1104+459.6))+15.64),EXP(INDEX(Antoines,MATCH(H1098,Antoine_Name,0),2)-INDEX(Antoines,MATCH(H1098,Antoine_Name,0),3)/(H1104+459.6))))),0)</f>
        <v>0</v>
      </c>
      <c r="I1109" cm="1">
        <f t="array" ref="I1109">IFERROR(IF(I1099="Chemical",(10^(INDEX(Antoines,MATCH(I1098,Antoine_Name,0),2)-INDEX(Antoines,MATCH(I1098,Antoine_Name,0),3)/(INDEX(Antoines,MATCH(I1098,Antoine_Name,0),4)+(I1104-32)*5/9)))*14.7/760,IF(I1099="Crude Oil",EXP((2799/(I1104+459.6)-2.227)*LOG10(INDEX(FX_Input,V$5,I$3*$Z$5+$AA$5))-(7261/(I1104+459.6))+12.82),IF(I1099="Refined Petroleum Stock",EXP((0.7553-(413/(I1104+459.6)))*(INDEX(FX_Input,V$5,I$3*$Z$5+$AA$5-1)^0.5)*LOG10(INDEX(FX_Input,V$5,I$3*$Z$5+$AA$5))-(1.854-(1042/(I1104+459.6)))*(INDEX(FX_Input,V$5,I$3*$Z$5+$AA$5-1)^0.5)+((2416/(I1104+459.6)-2.013)*LOG10(INDEX(FX_Input,V$5,I$3*$Z$5+$AA$5)))-(8742/(I1104+459.6))+15.64),EXP(INDEX(Antoines,MATCH(I1098,Antoine_Name,0),2)-INDEX(Antoines,MATCH(I1098,Antoine_Name,0),3)/(I1104+459.6))))),0)</f>
        <v>0</v>
      </c>
      <c r="J1109" cm="1">
        <f t="array" ref="J1109">IFERROR(IF(J1099="Chemical",(10^(INDEX(Antoines,MATCH(J1098,Antoine_Name,0),2)-INDEX(Antoines,MATCH(J1098,Antoine_Name,0),3)/(INDEX(Antoines,MATCH(J1098,Antoine_Name,0),4)+(J1104-32)*5/9)))*14.7/760,IF(J1099="Crude Oil",EXP((2799/(J1104+459.6)-2.227)*LOG10(INDEX(FX_Input,W$5,J$3*$Z$5+$AA$5))-(7261/(J1104+459.6))+12.82),IF(J1099="Refined Petroleum Stock",EXP((0.7553-(413/(J1104+459.6)))*(INDEX(FX_Input,W$5,J$3*$Z$5+$AA$5-1)^0.5)*LOG10(INDEX(FX_Input,W$5,J$3*$Z$5+$AA$5))-(1.854-(1042/(J1104+459.6)))*(INDEX(FX_Input,W$5,J$3*$Z$5+$AA$5-1)^0.5)+((2416/(J1104+459.6)-2.013)*LOG10(INDEX(FX_Input,W$5,J$3*$Z$5+$AA$5)))-(8742/(J1104+459.6))+15.64),EXP(INDEX(Antoines,MATCH(J1098,Antoine_Name,0),2)-INDEX(Antoines,MATCH(J1098,Antoine_Name,0),3)/(J1104+459.6))))),0)</f>
        <v>0</v>
      </c>
      <c r="K1109" cm="1">
        <f t="array" ref="K1109">IFERROR(IF(K1099="Chemical",(10^(INDEX(Antoines,MATCH(K1098,Antoine_Name,0),2)-INDEX(Antoines,MATCH(K1098,Antoine_Name,0),3)/(INDEX(Antoines,MATCH(K1098,Antoine_Name,0),4)+(K1104-32)*5/9)))*14.7/760,IF(K1099="Crude Oil",EXP((2799/(K1104+459.6)-2.227)*LOG10(INDEX(FX_Input,X$5,K$3*$Z$5+$AA$5))-(7261/(K1104+459.6))+12.82),IF(K1099="Refined Petroleum Stock",EXP((0.7553-(413/(K1104+459.6)))*(INDEX(FX_Input,X$5,K$3*$Z$5+$AA$5-1)^0.5)*LOG10(INDEX(FX_Input,X$5,K$3*$Z$5+$AA$5))-(1.854-(1042/(K1104+459.6)))*(INDEX(FX_Input,X$5,K$3*$Z$5+$AA$5-1)^0.5)+((2416/(K1104+459.6)-2.013)*LOG10(INDEX(FX_Input,X$5,K$3*$Z$5+$AA$5)))-(8742/(K1104+459.6))+15.64),EXP(INDEX(Antoines,MATCH(K1098,Antoine_Name,0),2)-INDEX(Antoines,MATCH(K1098,Antoine_Name,0),3)/(K1104+459.6))))),0)</f>
        <v>0</v>
      </c>
      <c r="L1109" cm="1">
        <f t="array" ref="L1109">IFERROR(IF(L1099="Chemical",(10^(INDEX(Antoines,MATCH(L1098,Antoine_Name,0),2)-INDEX(Antoines,MATCH(L1098,Antoine_Name,0),3)/(INDEX(Antoines,MATCH(L1098,Antoine_Name,0),4)+(L1104-32)*5/9)))*14.7/760,IF(L1099="Crude Oil",EXP((2799/(L1104+459.6)-2.227)*LOG10(INDEX(FX_Input,Y$5,L$3*$Z$5+$AA$5))-(7261/(L1104+459.6))+12.82),IF(L1099="Refined Petroleum Stock",EXP((0.7553-(413/(L1104+459.6)))*(INDEX(FX_Input,Y$5,L$3*$Z$5+$AA$5-1)^0.5)*LOG10(INDEX(FX_Input,Y$5,L$3*$Z$5+$AA$5))-(1.854-(1042/(L1104+459.6)))*(INDEX(FX_Input,Y$5,L$3*$Z$5+$AA$5-1)^0.5)+((2416/(L1104+459.6)-2.013)*LOG10(INDEX(FX_Input,Y$5,L$3*$Z$5+$AA$5)))-(8742/(L1104+459.6))+15.64),EXP(INDEX(Antoines,MATCH(L1098,Antoine_Name,0),2)-INDEX(Antoines,MATCH(L1098,Antoine_Name,0),3)/(L1104+459.6))))),0)</f>
        <v>0</v>
      </c>
      <c r="M1109" cm="1">
        <f t="array" ref="M1109">IFERROR(IF(M1099="Chemical",(10^(INDEX(Antoines,MATCH(M1098,Antoine_Name,0),2)-INDEX(Antoines,MATCH(M1098,Antoine_Name,0),3)/(INDEX(Antoines,MATCH(M1098,Antoine_Name,0),4)+(M1104-32)*5/9)))*14.7/760,IF(M1099="Crude Oil",EXP((2799/(M1104+459.6)-2.227)*LOG10(INDEX(FX_Input,Z$5,M$3*$Z$5+$AA$5))-(7261/(M1104+459.6))+12.82),IF(M1099="Refined Petroleum Stock",EXP((0.7553-(413/(M1104+459.6)))*(INDEX(FX_Input,Z$5,M$3*$Z$5+$AA$5-1)^0.5)*LOG10(INDEX(FX_Input,Z$5,M$3*$Z$5+$AA$5))-(1.854-(1042/(M1104+459.6)))*(INDEX(FX_Input,Z$5,M$3*$Z$5+$AA$5-1)^0.5)+((2416/(M1104+459.6)-2.013)*LOG10(INDEX(FX_Input,Z$5,M$3*$Z$5+$AA$5)))-(8742/(M1104+459.6))+15.64),EXP(INDEX(Antoines,MATCH(M1098,Antoine_Name,0),2)-INDEX(Antoines,MATCH(M1098,Antoine_Name,0),3)/(M1104+459.6))))),0)</f>
        <v>0</v>
      </c>
      <c r="N1109" cm="1">
        <f t="array" ref="N1109">IFERROR(IF(N1099="Chemical",(10^(INDEX(Antoines,MATCH(N1098,Antoine_Name,0),2)-INDEX(Antoines,MATCH(N1098,Antoine_Name,0),3)/(INDEX(Antoines,MATCH(N1098,Antoine_Name,0),4)+(N1104-32)*5/9)))*14.7/760,IF(N1099="Crude Oil",EXP((2799/(N1104+459.6)-2.227)*LOG10(INDEX(FX_Input,AA$5,N$3*$Z$5+$AA$5))-(7261/(N1104+459.6))+12.82),IF(N1099="Refined Petroleum Stock",EXP((0.7553-(413/(N1104+459.6)))*(INDEX(FX_Input,AA$5,N$3*$Z$5+$AA$5-1)^0.5)*LOG10(INDEX(FX_Input,AA$5,N$3*$Z$5+$AA$5))-(1.854-(1042/(N1104+459.6)))*(INDEX(FX_Input,AA$5,N$3*$Z$5+$AA$5-1)^0.5)+((2416/(N1104+459.6)-2.013)*LOG10(INDEX(FX_Input,AA$5,N$3*$Z$5+$AA$5)))-(8742/(N1104+459.6))+15.64),EXP(INDEX(Antoines,MATCH(N1098,Antoine_Name,0),2)-INDEX(Antoines,MATCH(N1098,Antoine_Name,0),3)/(N1104+459.6))))),0)</f>
        <v>0</v>
      </c>
      <c r="O1109" cm="1">
        <f t="array" ref="O1109">IFERROR(IF(O1099="Chemical",(10^(INDEX(Antoines,MATCH(O1098,Antoine_Name,0),2)-INDEX(Antoines,MATCH(O1098,Antoine_Name,0),3)/(INDEX(Antoines,MATCH(O1098,Antoine_Name,0),4)+(O1104-32)*5/9)))*14.7/760,IF(O1099="Crude Oil",EXP((2799/(O1104+459.6)-2.227)*LOG10(INDEX(FX_Input,AB$5,O$3*$Z$5+$AA$5))-(7261/(O1104+459.6))+12.82),IF(O1099="Refined Petroleum Stock",EXP((0.7553-(413/(O1104+459.6)))*(INDEX(FX_Input,AB$5,O$3*$Z$5+$AA$5-1)^0.5)*LOG10(INDEX(FX_Input,AB$5,O$3*$Z$5+$AA$5))-(1.854-(1042/(O1104+459.6)))*(INDEX(FX_Input,AB$5,O$3*$Z$5+$AA$5-1)^0.5)+((2416/(O1104+459.6)-2.013)*LOG10(INDEX(FX_Input,AB$5,O$3*$Z$5+$AA$5)))-(8742/(O1104+459.6))+15.64),EXP(INDEX(Antoines,MATCH(O1098,Antoine_Name,0),2)-INDEX(Antoines,MATCH(O1098,Antoine_Name,0),3)/(O1104+459.6))))),0)</f>
        <v>0</v>
      </c>
    </row>
    <row r="1110" spans="2:32" ht="17.149999999999999" x14ac:dyDescent="0.55000000000000004">
      <c r="B1110" t="str">
        <f t="shared" si="3988"/>
        <v>Portland</v>
      </c>
      <c r="C1110" t="s">
        <v>577</v>
      </c>
      <c r="D1110">
        <f>D1109*D1102</f>
        <v>0</v>
      </c>
      <c r="E1110">
        <f t="shared" ref="E1110" si="4000">E1109*E1102</f>
        <v>0</v>
      </c>
      <c r="F1110">
        <f t="shared" ref="F1110" si="4001">F1109*F1102</f>
        <v>0</v>
      </c>
      <c r="G1110">
        <f t="shared" ref="G1110" si="4002">G1109*G1102</f>
        <v>0</v>
      </c>
      <c r="H1110">
        <f t="shared" ref="H1110" si="4003">H1109*H1102</f>
        <v>0</v>
      </c>
      <c r="I1110">
        <f t="shared" ref="I1110" si="4004">I1109*I1102</f>
        <v>0</v>
      </c>
      <c r="J1110">
        <f t="shared" ref="J1110" si="4005">J1109*J1102</f>
        <v>0</v>
      </c>
      <c r="K1110">
        <f t="shared" ref="K1110" si="4006">K1109*K1102</f>
        <v>0</v>
      </c>
      <c r="L1110">
        <f t="shared" ref="L1110" si="4007">L1109*L1102</f>
        <v>0</v>
      </c>
      <c r="M1110">
        <f t="shared" ref="M1110" si="4008">M1109*M1102</f>
        <v>0</v>
      </c>
      <c r="N1110">
        <f t="shared" ref="N1110" si="4009">N1109*N1102</f>
        <v>0</v>
      </c>
      <c r="O1110">
        <f t="shared" ref="O1110" si="4010">O1109*O1102</f>
        <v>0</v>
      </c>
    </row>
    <row r="1111" spans="2:32" ht="17.149999999999999" x14ac:dyDescent="0.55000000000000004">
      <c r="B1111" t="str">
        <f t="shared" si="3988"/>
        <v>Portland</v>
      </c>
      <c r="C1111" t="s">
        <v>578</v>
      </c>
      <c r="D1111">
        <f>D1110+D1108</f>
        <v>1</v>
      </c>
      <c r="E1111">
        <f t="shared" ref="E1111" si="4011">E1110+E1108</f>
        <v>1</v>
      </c>
      <c r="F1111">
        <f t="shared" ref="F1111" si="4012">F1110+F1108</f>
        <v>1</v>
      </c>
      <c r="G1111">
        <f t="shared" ref="G1111" si="4013">G1110+G1108</f>
        <v>1</v>
      </c>
      <c r="H1111">
        <f t="shared" ref="H1111" si="4014">H1110+H1108</f>
        <v>1</v>
      </c>
      <c r="I1111">
        <f t="shared" ref="I1111" si="4015">I1110+I1108</f>
        <v>1</v>
      </c>
      <c r="J1111">
        <f t="shared" ref="J1111" si="4016">J1110+J1108</f>
        <v>1</v>
      </c>
      <c r="K1111">
        <f t="shared" ref="K1111" si="4017">K1110+K1108</f>
        <v>1</v>
      </c>
      <c r="L1111">
        <f t="shared" ref="L1111" si="4018">L1110+L1108</f>
        <v>1</v>
      </c>
      <c r="M1111">
        <f t="shared" ref="M1111" si="4019">M1110+M1108</f>
        <v>1</v>
      </c>
      <c r="N1111">
        <f t="shared" ref="N1111" si="4020">N1110+N1108</f>
        <v>1</v>
      </c>
      <c r="O1111">
        <f t="shared" ref="O1111" si="4021">O1110+O1108</f>
        <v>1</v>
      </c>
    </row>
    <row r="1112" spans="2:32" ht="17.149999999999999" x14ac:dyDescent="0.55000000000000004">
      <c r="B1112" t="str">
        <f t="shared" si="3988"/>
        <v>Portland</v>
      </c>
      <c r="C1112" t="s">
        <v>579</v>
      </c>
      <c r="D1112" cm="1">
        <f t="array" ref="D1112">IFERROR(IF(D1097="Chemical",(10^(INDEX(Antoines,MATCH(D1096,Antoine_Name,0),2)-INDEX(Antoines,MATCH(D1096,Antoine_Name,0),3)/(INDEX(Antoines,MATCH(D1096,Antoine_Name,0),4)+(D1105-32)*5/9)))*14.7/760,IF(D1097="Crude Oil",EXP((2799/(D1105+459.6)-2.227)*LOG10(INDEX(FX_Input,Q$5,D$3*$Z$5+$AA$5))-(7261/(D1105+459.6))+12.82),IF(D1097="Refined Petroleum Stock",EXP((0.7553-(413/(D1105+459.6)))*(INDEX(FX_Input,Q$5,D$3*$Z$5+$AA$5-1)^0.5)*LOG10(INDEX(FX_Input,Q$5,D$3*$Z$5+$AA$5))-(1.854-(1042/(D1105+459.6)))*(INDEX(FX_Input,Q$5,D$3*$Z$5+$AA$5-1)^0.5)+((2416/(D1105+459.6)-2.013)*LOG10(INDEX(FX_Input,Q$5,D$3*$Z$5+$AA$5)))-(8742/(D1105+459.6))+15.64),EXP(INDEX(Antoines,MATCH(D1096,Antoine_Name,0),2)-INDEX(Antoines,MATCH(D1096,Antoine_Name,0),3)/(D1105+459.6))))),0)</f>
        <v>1</v>
      </c>
      <c r="E1112" cm="1">
        <f t="array" ref="E1112">IFERROR(IF(E1097="Chemical",(10^(INDEX(Antoines,MATCH(E1096,Antoine_Name,0),2)-INDEX(Antoines,MATCH(E1096,Antoine_Name,0),3)/(INDEX(Antoines,MATCH(E1096,Antoine_Name,0),4)+(E1105-32)*5/9)))*14.7/760,IF(E1097="Crude Oil",EXP((2799/(E1105+459.6)-2.227)*LOG10(INDEX(FX_Input,R$5,E$3*$Z$5+$AA$5))-(7261/(E1105+459.6))+12.82),IF(E1097="Refined Petroleum Stock",EXP((0.7553-(413/(E1105+459.6)))*(INDEX(FX_Input,R$5,E$3*$Z$5+$AA$5-1)^0.5)*LOG10(INDEX(FX_Input,R$5,E$3*$Z$5+$AA$5))-(1.854-(1042/(E1105+459.6)))*(INDEX(FX_Input,R$5,E$3*$Z$5+$AA$5-1)^0.5)+((2416/(E1105+459.6)-2.013)*LOG10(INDEX(FX_Input,R$5,E$3*$Z$5+$AA$5)))-(8742/(E1105+459.6))+15.64),EXP(INDEX(Antoines,MATCH(E1096,Antoine_Name,0),2)-INDEX(Antoines,MATCH(E1096,Antoine_Name,0),3)/(E1105+459.6))))),0)</f>
        <v>1</v>
      </c>
      <c r="F1112" cm="1">
        <f t="array" ref="F1112">IFERROR(IF(F1097="Chemical",(10^(INDEX(Antoines,MATCH(F1096,Antoine_Name,0),2)-INDEX(Antoines,MATCH(F1096,Antoine_Name,0),3)/(INDEX(Antoines,MATCH(F1096,Antoine_Name,0),4)+(F1105-32)*5/9)))*14.7/760,IF(F1097="Crude Oil",EXP((2799/(F1105+459.6)-2.227)*LOG10(INDEX(FX_Input,S$5,F$3*$Z$5+$AA$5))-(7261/(F1105+459.6))+12.82),IF(F1097="Refined Petroleum Stock",EXP((0.7553-(413/(F1105+459.6)))*(INDEX(FX_Input,S$5,F$3*$Z$5+$AA$5-1)^0.5)*LOG10(INDEX(FX_Input,S$5,F$3*$Z$5+$AA$5))-(1.854-(1042/(F1105+459.6)))*(INDEX(FX_Input,S$5,F$3*$Z$5+$AA$5-1)^0.5)+((2416/(F1105+459.6)-2.013)*LOG10(INDEX(FX_Input,S$5,F$3*$Z$5+$AA$5)))-(8742/(F1105+459.6))+15.64),EXP(INDEX(Antoines,MATCH(F1096,Antoine_Name,0),2)-INDEX(Antoines,MATCH(F1096,Antoine_Name,0),3)/(F1105+459.6))))),0)</f>
        <v>1</v>
      </c>
      <c r="G1112" cm="1">
        <f t="array" ref="G1112">IFERROR(IF(G1097="Chemical",(10^(INDEX(Antoines,MATCH(G1096,Antoine_Name,0),2)-INDEX(Antoines,MATCH(G1096,Antoine_Name,0),3)/(INDEX(Antoines,MATCH(G1096,Antoine_Name,0),4)+(G1105-32)*5/9)))*14.7/760,IF(G1097="Crude Oil",EXP((2799/(G1105+459.6)-2.227)*LOG10(INDEX(FX_Input,T$5,G$3*$Z$5+$AA$5))-(7261/(G1105+459.6))+12.82),IF(G1097="Refined Petroleum Stock",EXP((0.7553-(413/(G1105+459.6)))*(INDEX(FX_Input,T$5,G$3*$Z$5+$AA$5-1)^0.5)*LOG10(INDEX(FX_Input,T$5,G$3*$Z$5+$AA$5))-(1.854-(1042/(G1105+459.6)))*(INDEX(FX_Input,T$5,G$3*$Z$5+$AA$5-1)^0.5)+((2416/(G1105+459.6)-2.013)*LOG10(INDEX(FX_Input,T$5,G$3*$Z$5+$AA$5)))-(8742/(G1105+459.6))+15.64),EXP(INDEX(Antoines,MATCH(G1096,Antoine_Name,0),2)-INDEX(Antoines,MATCH(G1096,Antoine_Name,0),3)/(G1105+459.6))))),0)</f>
        <v>1</v>
      </c>
      <c r="H1112" cm="1">
        <f t="array" ref="H1112">IFERROR(IF(H1097="Chemical",(10^(INDEX(Antoines,MATCH(H1096,Antoine_Name,0),2)-INDEX(Antoines,MATCH(H1096,Antoine_Name,0),3)/(INDEX(Antoines,MATCH(H1096,Antoine_Name,0),4)+(H1105-32)*5/9)))*14.7/760,IF(H1097="Crude Oil",EXP((2799/(H1105+459.6)-2.227)*LOG10(INDEX(FX_Input,U$5,H$3*$Z$5+$AA$5))-(7261/(H1105+459.6))+12.82),IF(H1097="Refined Petroleum Stock",EXP((0.7553-(413/(H1105+459.6)))*(INDEX(FX_Input,U$5,H$3*$Z$5+$AA$5-1)^0.5)*LOG10(INDEX(FX_Input,U$5,H$3*$Z$5+$AA$5))-(1.854-(1042/(H1105+459.6)))*(INDEX(FX_Input,U$5,H$3*$Z$5+$AA$5-1)^0.5)+((2416/(H1105+459.6)-2.013)*LOG10(INDEX(FX_Input,U$5,H$3*$Z$5+$AA$5)))-(8742/(H1105+459.6))+15.64),EXP(INDEX(Antoines,MATCH(H1096,Antoine_Name,0),2)-INDEX(Antoines,MATCH(H1096,Antoine_Name,0),3)/(H1105+459.6))))),0)</f>
        <v>1</v>
      </c>
      <c r="I1112" cm="1">
        <f t="array" ref="I1112">IFERROR(IF(I1097="Chemical",(10^(INDEX(Antoines,MATCH(I1096,Antoine_Name,0),2)-INDEX(Antoines,MATCH(I1096,Antoine_Name,0),3)/(INDEX(Antoines,MATCH(I1096,Antoine_Name,0),4)+(I1105-32)*5/9)))*14.7/760,IF(I1097="Crude Oil",EXP((2799/(I1105+459.6)-2.227)*LOG10(INDEX(FX_Input,V$5,I$3*$Z$5+$AA$5))-(7261/(I1105+459.6))+12.82),IF(I1097="Refined Petroleum Stock",EXP((0.7553-(413/(I1105+459.6)))*(INDEX(FX_Input,V$5,I$3*$Z$5+$AA$5-1)^0.5)*LOG10(INDEX(FX_Input,V$5,I$3*$Z$5+$AA$5))-(1.854-(1042/(I1105+459.6)))*(INDEX(FX_Input,V$5,I$3*$Z$5+$AA$5-1)^0.5)+((2416/(I1105+459.6)-2.013)*LOG10(INDEX(FX_Input,V$5,I$3*$Z$5+$AA$5)))-(8742/(I1105+459.6))+15.64),EXP(INDEX(Antoines,MATCH(I1096,Antoine_Name,0),2)-INDEX(Antoines,MATCH(I1096,Antoine_Name,0),3)/(I1105+459.6))))),0)</f>
        <v>1</v>
      </c>
      <c r="J1112" cm="1">
        <f t="array" ref="J1112">IFERROR(IF(J1097="Chemical",(10^(INDEX(Antoines,MATCH(J1096,Antoine_Name,0),2)-INDEX(Antoines,MATCH(J1096,Antoine_Name,0),3)/(INDEX(Antoines,MATCH(J1096,Antoine_Name,0),4)+(J1105-32)*5/9)))*14.7/760,IF(J1097="Crude Oil",EXP((2799/(J1105+459.6)-2.227)*LOG10(INDEX(FX_Input,W$5,J$3*$Z$5+$AA$5))-(7261/(J1105+459.6))+12.82),IF(J1097="Refined Petroleum Stock",EXP((0.7553-(413/(J1105+459.6)))*(INDEX(FX_Input,W$5,J$3*$Z$5+$AA$5-1)^0.5)*LOG10(INDEX(FX_Input,W$5,J$3*$Z$5+$AA$5))-(1.854-(1042/(J1105+459.6)))*(INDEX(FX_Input,W$5,J$3*$Z$5+$AA$5-1)^0.5)+((2416/(J1105+459.6)-2.013)*LOG10(INDEX(FX_Input,W$5,J$3*$Z$5+$AA$5)))-(8742/(J1105+459.6))+15.64),EXP(INDEX(Antoines,MATCH(J1096,Antoine_Name,0),2)-INDEX(Antoines,MATCH(J1096,Antoine_Name,0),3)/(J1105+459.6))))),0)</f>
        <v>1</v>
      </c>
      <c r="K1112" cm="1">
        <f t="array" ref="K1112">IFERROR(IF(K1097="Chemical",(10^(INDEX(Antoines,MATCH(K1096,Antoine_Name,0),2)-INDEX(Antoines,MATCH(K1096,Antoine_Name,0),3)/(INDEX(Antoines,MATCH(K1096,Antoine_Name,0),4)+(K1105-32)*5/9)))*14.7/760,IF(K1097="Crude Oil",EXP((2799/(K1105+459.6)-2.227)*LOG10(INDEX(FX_Input,X$5,K$3*$Z$5+$AA$5))-(7261/(K1105+459.6))+12.82),IF(K1097="Refined Petroleum Stock",EXP((0.7553-(413/(K1105+459.6)))*(INDEX(FX_Input,X$5,K$3*$Z$5+$AA$5-1)^0.5)*LOG10(INDEX(FX_Input,X$5,K$3*$Z$5+$AA$5))-(1.854-(1042/(K1105+459.6)))*(INDEX(FX_Input,X$5,K$3*$Z$5+$AA$5-1)^0.5)+((2416/(K1105+459.6)-2.013)*LOG10(INDEX(FX_Input,X$5,K$3*$Z$5+$AA$5)))-(8742/(K1105+459.6))+15.64),EXP(INDEX(Antoines,MATCH(K1096,Antoine_Name,0),2)-INDEX(Antoines,MATCH(K1096,Antoine_Name,0),3)/(K1105+459.6))))),0)</f>
        <v>1</v>
      </c>
      <c r="L1112" cm="1">
        <f t="array" ref="L1112">IFERROR(IF(L1097="Chemical",(10^(INDEX(Antoines,MATCH(L1096,Antoine_Name,0),2)-INDEX(Antoines,MATCH(L1096,Antoine_Name,0),3)/(INDEX(Antoines,MATCH(L1096,Antoine_Name,0),4)+(L1105-32)*5/9)))*14.7/760,IF(L1097="Crude Oil",EXP((2799/(L1105+459.6)-2.227)*LOG10(INDEX(FX_Input,Y$5,L$3*$Z$5+$AA$5))-(7261/(L1105+459.6))+12.82),IF(L1097="Refined Petroleum Stock",EXP((0.7553-(413/(L1105+459.6)))*(INDEX(FX_Input,Y$5,L$3*$Z$5+$AA$5-1)^0.5)*LOG10(INDEX(FX_Input,Y$5,L$3*$Z$5+$AA$5))-(1.854-(1042/(L1105+459.6)))*(INDEX(FX_Input,Y$5,L$3*$Z$5+$AA$5-1)^0.5)+((2416/(L1105+459.6)-2.013)*LOG10(INDEX(FX_Input,Y$5,L$3*$Z$5+$AA$5)))-(8742/(L1105+459.6))+15.64),EXP(INDEX(Antoines,MATCH(L1096,Antoine_Name,0),2)-INDEX(Antoines,MATCH(L1096,Antoine_Name,0),3)/(L1105+459.6))))),0)</f>
        <v>1</v>
      </c>
      <c r="M1112" cm="1">
        <f t="array" ref="M1112">IFERROR(IF(M1097="Chemical",(10^(INDEX(Antoines,MATCH(M1096,Antoine_Name,0),2)-INDEX(Antoines,MATCH(M1096,Antoine_Name,0),3)/(INDEX(Antoines,MATCH(M1096,Antoine_Name,0),4)+(M1105-32)*5/9)))*14.7/760,IF(M1097="Crude Oil",EXP((2799/(M1105+459.6)-2.227)*LOG10(INDEX(FX_Input,Z$5,M$3*$Z$5+$AA$5))-(7261/(M1105+459.6))+12.82),IF(M1097="Refined Petroleum Stock",EXP((0.7553-(413/(M1105+459.6)))*(INDEX(FX_Input,Z$5,M$3*$Z$5+$AA$5-1)^0.5)*LOG10(INDEX(FX_Input,Z$5,M$3*$Z$5+$AA$5))-(1.854-(1042/(M1105+459.6)))*(INDEX(FX_Input,Z$5,M$3*$Z$5+$AA$5-1)^0.5)+((2416/(M1105+459.6)-2.013)*LOG10(INDEX(FX_Input,Z$5,M$3*$Z$5+$AA$5)))-(8742/(M1105+459.6))+15.64),EXP(INDEX(Antoines,MATCH(M1096,Antoine_Name,0),2)-INDEX(Antoines,MATCH(M1096,Antoine_Name,0),3)/(M1105+459.6))))),0)</f>
        <v>1</v>
      </c>
      <c r="N1112" cm="1">
        <f t="array" ref="N1112">IFERROR(IF(N1097="Chemical",(10^(INDEX(Antoines,MATCH(N1096,Antoine_Name,0),2)-INDEX(Antoines,MATCH(N1096,Antoine_Name,0),3)/(INDEX(Antoines,MATCH(N1096,Antoine_Name,0),4)+(N1105-32)*5/9)))*14.7/760,IF(N1097="Crude Oil",EXP((2799/(N1105+459.6)-2.227)*LOG10(INDEX(FX_Input,AA$5,N$3*$Z$5+$AA$5))-(7261/(N1105+459.6))+12.82),IF(N1097="Refined Petroleum Stock",EXP((0.7553-(413/(N1105+459.6)))*(INDEX(FX_Input,AA$5,N$3*$Z$5+$AA$5-1)^0.5)*LOG10(INDEX(FX_Input,AA$5,N$3*$Z$5+$AA$5))-(1.854-(1042/(N1105+459.6)))*(INDEX(FX_Input,AA$5,N$3*$Z$5+$AA$5-1)^0.5)+((2416/(N1105+459.6)-2.013)*LOG10(INDEX(FX_Input,AA$5,N$3*$Z$5+$AA$5)))-(8742/(N1105+459.6))+15.64),EXP(INDEX(Antoines,MATCH(N1096,Antoine_Name,0),2)-INDEX(Antoines,MATCH(N1096,Antoine_Name,0),3)/(N1105+459.6))))),0)</f>
        <v>1</v>
      </c>
      <c r="O1112" cm="1">
        <f t="array" ref="O1112">IFERROR(IF(O1097="Chemical",(10^(INDEX(Antoines,MATCH(O1096,Antoine_Name,0),2)-INDEX(Antoines,MATCH(O1096,Antoine_Name,0),3)/(INDEX(Antoines,MATCH(O1096,Antoine_Name,0),4)+(O1105-32)*5/9)))*14.7/760,IF(O1097="Crude Oil",EXP((2799/(O1105+459.6)-2.227)*LOG10(INDEX(FX_Input,AB$5,O$3*$Z$5+$AA$5))-(7261/(O1105+459.6))+12.82),IF(O1097="Refined Petroleum Stock",EXP((0.7553-(413/(O1105+459.6)))*(INDEX(FX_Input,AB$5,O$3*$Z$5+$AA$5-1)^0.5)*LOG10(INDEX(FX_Input,AB$5,O$3*$Z$5+$AA$5))-(1.854-(1042/(O1105+459.6)))*(INDEX(FX_Input,AB$5,O$3*$Z$5+$AA$5-1)^0.5)+((2416/(O1105+459.6)-2.013)*LOG10(INDEX(FX_Input,AB$5,O$3*$Z$5+$AA$5)))-(8742/(O1105+459.6))+15.64),EXP(INDEX(Antoines,MATCH(O1096,Antoine_Name,0),2)-INDEX(Antoines,MATCH(O1096,Antoine_Name,0),3)/(O1105+459.6))))),0)</f>
        <v>1</v>
      </c>
    </row>
    <row r="1113" spans="2:32" ht="17.149999999999999" x14ac:dyDescent="0.55000000000000004">
      <c r="B1113" t="str">
        <f t="shared" si="3988"/>
        <v>Portland</v>
      </c>
      <c r="C1113" t="s">
        <v>580</v>
      </c>
      <c r="D1113">
        <f>D1112*D1100</f>
        <v>1</v>
      </c>
      <c r="E1113">
        <f t="shared" ref="E1113" si="4022">E1112*E1100</f>
        <v>1</v>
      </c>
      <c r="F1113">
        <f t="shared" ref="F1113" si="4023">F1112*F1100</f>
        <v>1</v>
      </c>
      <c r="G1113">
        <f t="shared" ref="G1113" si="4024">G1112*G1100</f>
        <v>1</v>
      </c>
      <c r="H1113">
        <f t="shared" ref="H1113" si="4025">H1112*H1100</f>
        <v>1</v>
      </c>
      <c r="I1113">
        <f t="shared" ref="I1113" si="4026">I1112*I1100</f>
        <v>1</v>
      </c>
      <c r="J1113">
        <f t="shared" ref="J1113" si="4027">J1112*J1100</f>
        <v>1</v>
      </c>
      <c r="K1113">
        <f t="shared" ref="K1113" si="4028">K1112*K1100</f>
        <v>1</v>
      </c>
      <c r="L1113">
        <f t="shared" ref="L1113" si="4029">L1112*L1100</f>
        <v>1</v>
      </c>
      <c r="M1113">
        <f t="shared" ref="M1113" si="4030">M1112*M1100</f>
        <v>1</v>
      </c>
      <c r="N1113">
        <f t="shared" ref="N1113" si="4031">N1112*N1100</f>
        <v>1</v>
      </c>
      <c r="O1113">
        <f t="shared" ref="O1113" si="4032">O1112*O1100</f>
        <v>1</v>
      </c>
    </row>
    <row r="1114" spans="2:32" ht="17.149999999999999" x14ac:dyDescent="0.55000000000000004">
      <c r="B1114" t="str">
        <f t="shared" si="3988"/>
        <v>Portland</v>
      </c>
      <c r="C1114" t="s">
        <v>581</v>
      </c>
      <c r="D1114" cm="1">
        <f t="array" ref="D1114">IFERROR(IF(D1099="Chemical",(10^(INDEX(Antoines,MATCH(D1098,Antoine_Name,0),2)-INDEX(Antoines,MATCH(D1098,Antoine_Name,0),3)/(INDEX(Antoines,MATCH(D1098,Antoine_Name,0),4)+(D1105-32)*5/9)))*14.7/760,IF(D1099="Crude Oil",EXP((2799/(D1105+459.6)-2.227)*LOG10(INDEX(FX_Input,Q$5,D$3*$Z$5+$AA$5))-(7261/(D1105+459.6))+12.82),IF(D1099="Refined Petroleum Stock",EXP((0.7553-(413/(D1105+459.6)))*(INDEX(FX_Input,Q$5,D$3*$Z$5+$AA$5-1)^0.5)*LOG10(INDEX(FX_Input,Q$5,D$3*$Z$5+$AA$5))-(1.854-(1042/(D1105+459.6)))*(INDEX(FX_Input,Q$5,D$3*$Z$5+$AA$5-1)^0.5)+((2416/(D1105+459.6)-2.013)*LOG10(INDEX(FX_Input,Q$5,D$3*$Z$5+$AA$5)))-(8742/(D1105+459.6))+15.64),EXP(INDEX(Antoines,MATCH(D1098,Antoine_Name,0),2)-INDEX(Antoines,MATCH(D1098,Antoine_Name,0),3)/(D1105+459.6))))),0)</f>
        <v>0</v>
      </c>
      <c r="E1114" cm="1">
        <f t="array" ref="E1114">IFERROR(IF(E1099="Chemical",(10^(INDEX(Antoines,MATCH(E1098,Antoine_Name,0),2)-INDEX(Antoines,MATCH(E1098,Antoine_Name,0),3)/(INDEX(Antoines,MATCH(E1098,Antoine_Name,0),4)+(E1105-32)*5/9)))*14.7/760,IF(E1099="Crude Oil",EXP((2799/(E1105+459.6)-2.227)*LOG10(INDEX(FX_Input,R$5,E$3*$Z$5+$AA$5))-(7261/(E1105+459.6))+12.82),IF(E1099="Refined Petroleum Stock",EXP((0.7553-(413/(E1105+459.6)))*(INDEX(FX_Input,R$5,E$3*$Z$5+$AA$5-1)^0.5)*LOG10(INDEX(FX_Input,R$5,E$3*$Z$5+$AA$5))-(1.854-(1042/(E1105+459.6)))*(INDEX(FX_Input,R$5,E$3*$Z$5+$AA$5-1)^0.5)+((2416/(E1105+459.6)-2.013)*LOG10(INDEX(FX_Input,R$5,E$3*$Z$5+$AA$5)))-(8742/(E1105+459.6))+15.64),EXP(INDEX(Antoines,MATCH(E1098,Antoine_Name,0),2)-INDEX(Antoines,MATCH(E1098,Antoine_Name,0),3)/(E1105+459.6))))),0)</f>
        <v>0</v>
      </c>
      <c r="F1114" cm="1">
        <f t="array" ref="F1114">IFERROR(IF(F1099="Chemical",(10^(INDEX(Antoines,MATCH(F1098,Antoine_Name,0),2)-INDEX(Antoines,MATCH(F1098,Antoine_Name,0),3)/(INDEX(Antoines,MATCH(F1098,Antoine_Name,0),4)+(F1105-32)*5/9)))*14.7/760,IF(F1099="Crude Oil",EXP((2799/(F1105+459.6)-2.227)*LOG10(INDEX(FX_Input,S$5,F$3*$Z$5+$AA$5))-(7261/(F1105+459.6))+12.82),IF(F1099="Refined Petroleum Stock",EXP((0.7553-(413/(F1105+459.6)))*(INDEX(FX_Input,S$5,F$3*$Z$5+$AA$5-1)^0.5)*LOG10(INDEX(FX_Input,S$5,F$3*$Z$5+$AA$5))-(1.854-(1042/(F1105+459.6)))*(INDEX(FX_Input,S$5,F$3*$Z$5+$AA$5-1)^0.5)+((2416/(F1105+459.6)-2.013)*LOG10(INDEX(FX_Input,S$5,F$3*$Z$5+$AA$5)))-(8742/(F1105+459.6))+15.64),EXP(INDEX(Antoines,MATCH(F1098,Antoine_Name,0),2)-INDEX(Antoines,MATCH(F1098,Antoine_Name,0),3)/(F1105+459.6))))),0)</f>
        <v>0</v>
      </c>
      <c r="G1114" cm="1">
        <f t="array" ref="G1114">IFERROR(IF(G1099="Chemical",(10^(INDEX(Antoines,MATCH(G1098,Antoine_Name,0),2)-INDEX(Antoines,MATCH(G1098,Antoine_Name,0),3)/(INDEX(Antoines,MATCH(G1098,Antoine_Name,0),4)+(G1105-32)*5/9)))*14.7/760,IF(G1099="Crude Oil",EXP((2799/(G1105+459.6)-2.227)*LOG10(INDEX(FX_Input,T$5,G$3*$Z$5+$AA$5))-(7261/(G1105+459.6))+12.82),IF(G1099="Refined Petroleum Stock",EXP((0.7553-(413/(G1105+459.6)))*(INDEX(FX_Input,T$5,G$3*$Z$5+$AA$5-1)^0.5)*LOG10(INDEX(FX_Input,T$5,G$3*$Z$5+$AA$5))-(1.854-(1042/(G1105+459.6)))*(INDEX(FX_Input,T$5,G$3*$Z$5+$AA$5-1)^0.5)+((2416/(G1105+459.6)-2.013)*LOG10(INDEX(FX_Input,T$5,G$3*$Z$5+$AA$5)))-(8742/(G1105+459.6))+15.64),EXP(INDEX(Antoines,MATCH(G1098,Antoine_Name,0),2)-INDEX(Antoines,MATCH(G1098,Antoine_Name,0),3)/(G1105+459.6))))),0)</f>
        <v>0</v>
      </c>
      <c r="H1114" cm="1">
        <f t="array" ref="H1114">IFERROR(IF(H1099="Chemical",(10^(INDEX(Antoines,MATCH(H1098,Antoine_Name,0),2)-INDEX(Antoines,MATCH(H1098,Antoine_Name,0),3)/(INDEX(Antoines,MATCH(H1098,Antoine_Name,0),4)+(H1105-32)*5/9)))*14.7/760,IF(H1099="Crude Oil",EXP((2799/(H1105+459.6)-2.227)*LOG10(INDEX(FX_Input,U$5,H$3*$Z$5+$AA$5))-(7261/(H1105+459.6))+12.82),IF(H1099="Refined Petroleum Stock",EXP((0.7553-(413/(H1105+459.6)))*(INDEX(FX_Input,U$5,H$3*$Z$5+$AA$5-1)^0.5)*LOG10(INDEX(FX_Input,U$5,H$3*$Z$5+$AA$5))-(1.854-(1042/(H1105+459.6)))*(INDEX(FX_Input,U$5,H$3*$Z$5+$AA$5-1)^0.5)+((2416/(H1105+459.6)-2.013)*LOG10(INDEX(FX_Input,U$5,H$3*$Z$5+$AA$5)))-(8742/(H1105+459.6))+15.64),EXP(INDEX(Antoines,MATCH(H1098,Antoine_Name,0),2)-INDEX(Antoines,MATCH(H1098,Antoine_Name,0),3)/(H1105+459.6))))),0)</f>
        <v>0</v>
      </c>
      <c r="I1114" cm="1">
        <f t="array" ref="I1114">IFERROR(IF(I1099="Chemical",(10^(INDEX(Antoines,MATCH(I1098,Antoine_Name,0),2)-INDEX(Antoines,MATCH(I1098,Antoine_Name,0),3)/(INDEX(Antoines,MATCH(I1098,Antoine_Name,0),4)+(I1105-32)*5/9)))*14.7/760,IF(I1099="Crude Oil",EXP((2799/(I1105+459.6)-2.227)*LOG10(INDEX(FX_Input,V$5,I$3*$Z$5+$AA$5))-(7261/(I1105+459.6))+12.82),IF(I1099="Refined Petroleum Stock",EXP((0.7553-(413/(I1105+459.6)))*(INDEX(FX_Input,V$5,I$3*$Z$5+$AA$5-1)^0.5)*LOG10(INDEX(FX_Input,V$5,I$3*$Z$5+$AA$5))-(1.854-(1042/(I1105+459.6)))*(INDEX(FX_Input,V$5,I$3*$Z$5+$AA$5-1)^0.5)+((2416/(I1105+459.6)-2.013)*LOG10(INDEX(FX_Input,V$5,I$3*$Z$5+$AA$5)))-(8742/(I1105+459.6))+15.64),EXP(INDEX(Antoines,MATCH(I1098,Antoine_Name,0),2)-INDEX(Antoines,MATCH(I1098,Antoine_Name,0),3)/(I1105+459.6))))),0)</f>
        <v>0</v>
      </c>
      <c r="J1114" cm="1">
        <f t="array" ref="J1114">IFERROR(IF(J1099="Chemical",(10^(INDEX(Antoines,MATCH(J1098,Antoine_Name,0),2)-INDEX(Antoines,MATCH(J1098,Antoine_Name,0),3)/(INDEX(Antoines,MATCH(J1098,Antoine_Name,0),4)+(J1105-32)*5/9)))*14.7/760,IF(J1099="Crude Oil",EXP((2799/(J1105+459.6)-2.227)*LOG10(INDEX(FX_Input,W$5,J$3*$Z$5+$AA$5))-(7261/(J1105+459.6))+12.82),IF(J1099="Refined Petroleum Stock",EXP((0.7553-(413/(J1105+459.6)))*(INDEX(FX_Input,W$5,J$3*$Z$5+$AA$5-1)^0.5)*LOG10(INDEX(FX_Input,W$5,J$3*$Z$5+$AA$5))-(1.854-(1042/(J1105+459.6)))*(INDEX(FX_Input,W$5,J$3*$Z$5+$AA$5-1)^0.5)+((2416/(J1105+459.6)-2.013)*LOG10(INDEX(FX_Input,W$5,J$3*$Z$5+$AA$5)))-(8742/(J1105+459.6))+15.64),EXP(INDEX(Antoines,MATCH(J1098,Antoine_Name,0),2)-INDEX(Antoines,MATCH(J1098,Antoine_Name,0),3)/(J1105+459.6))))),0)</f>
        <v>0</v>
      </c>
      <c r="K1114" cm="1">
        <f t="array" ref="K1114">IFERROR(IF(K1099="Chemical",(10^(INDEX(Antoines,MATCH(K1098,Antoine_Name,0),2)-INDEX(Antoines,MATCH(K1098,Antoine_Name,0),3)/(INDEX(Antoines,MATCH(K1098,Antoine_Name,0),4)+(K1105-32)*5/9)))*14.7/760,IF(K1099="Crude Oil",EXP((2799/(K1105+459.6)-2.227)*LOG10(INDEX(FX_Input,X$5,K$3*$Z$5+$AA$5))-(7261/(K1105+459.6))+12.82),IF(K1099="Refined Petroleum Stock",EXP((0.7553-(413/(K1105+459.6)))*(INDEX(FX_Input,X$5,K$3*$Z$5+$AA$5-1)^0.5)*LOG10(INDEX(FX_Input,X$5,K$3*$Z$5+$AA$5))-(1.854-(1042/(K1105+459.6)))*(INDEX(FX_Input,X$5,K$3*$Z$5+$AA$5-1)^0.5)+((2416/(K1105+459.6)-2.013)*LOG10(INDEX(FX_Input,X$5,K$3*$Z$5+$AA$5)))-(8742/(K1105+459.6))+15.64),EXP(INDEX(Antoines,MATCH(K1098,Antoine_Name,0),2)-INDEX(Antoines,MATCH(K1098,Antoine_Name,0),3)/(K1105+459.6))))),0)</f>
        <v>0</v>
      </c>
      <c r="L1114" cm="1">
        <f t="array" ref="L1114">IFERROR(IF(L1099="Chemical",(10^(INDEX(Antoines,MATCH(L1098,Antoine_Name,0),2)-INDEX(Antoines,MATCH(L1098,Antoine_Name,0),3)/(INDEX(Antoines,MATCH(L1098,Antoine_Name,0),4)+(L1105-32)*5/9)))*14.7/760,IF(L1099="Crude Oil",EXP((2799/(L1105+459.6)-2.227)*LOG10(INDEX(FX_Input,Y$5,L$3*$Z$5+$AA$5))-(7261/(L1105+459.6))+12.82),IF(L1099="Refined Petroleum Stock",EXP((0.7553-(413/(L1105+459.6)))*(INDEX(FX_Input,Y$5,L$3*$Z$5+$AA$5-1)^0.5)*LOG10(INDEX(FX_Input,Y$5,L$3*$Z$5+$AA$5))-(1.854-(1042/(L1105+459.6)))*(INDEX(FX_Input,Y$5,L$3*$Z$5+$AA$5-1)^0.5)+((2416/(L1105+459.6)-2.013)*LOG10(INDEX(FX_Input,Y$5,L$3*$Z$5+$AA$5)))-(8742/(L1105+459.6))+15.64),EXP(INDEX(Antoines,MATCH(L1098,Antoine_Name,0),2)-INDEX(Antoines,MATCH(L1098,Antoine_Name,0),3)/(L1105+459.6))))),0)</f>
        <v>0</v>
      </c>
      <c r="M1114" cm="1">
        <f t="array" ref="M1114">IFERROR(IF(M1099="Chemical",(10^(INDEX(Antoines,MATCH(M1098,Antoine_Name,0),2)-INDEX(Antoines,MATCH(M1098,Antoine_Name,0),3)/(INDEX(Antoines,MATCH(M1098,Antoine_Name,0),4)+(M1105-32)*5/9)))*14.7/760,IF(M1099="Crude Oil",EXP((2799/(M1105+459.6)-2.227)*LOG10(INDEX(FX_Input,Z$5,M$3*$Z$5+$AA$5))-(7261/(M1105+459.6))+12.82),IF(M1099="Refined Petroleum Stock",EXP((0.7553-(413/(M1105+459.6)))*(INDEX(FX_Input,Z$5,M$3*$Z$5+$AA$5-1)^0.5)*LOG10(INDEX(FX_Input,Z$5,M$3*$Z$5+$AA$5))-(1.854-(1042/(M1105+459.6)))*(INDEX(FX_Input,Z$5,M$3*$Z$5+$AA$5-1)^0.5)+((2416/(M1105+459.6)-2.013)*LOG10(INDEX(FX_Input,Z$5,M$3*$Z$5+$AA$5)))-(8742/(M1105+459.6))+15.64),EXP(INDEX(Antoines,MATCH(M1098,Antoine_Name,0),2)-INDEX(Antoines,MATCH(M1098,Antoine_Name,0),3)/(M1105+459.6))))),0)</f>
        <v>0</v>
      </c>
      <c r="N1114" cm="1">
        <f t="array" ref="N1114">IFERROR(IF(N1099="Chemical",(10^(INDEX(Antoines,MATCH(N1098,Antoine_Name,0),2)-INDEX(Antoines,MATCH(N1098,Antoine_Name,0),3)/(INDEX(Antoines,MATCH(N1098,Antoine_Name,0),4)+(N1105-32)*5/9)))*14.7/760,IF(N1099="Crude Oil",EXP((2799/(N1105+459.6)-2.227)*LOG10(INDEX(FX_Input,AA$5,N$3*$Z$5+$AA$5))-(7261/(N1105+459.6))+12.82),IF(N1099="Refined Petroleum Stock",EXP((0.7553-(413/(N1105+459.6)))*(INDEX(FX_Input,AA$5,N$3*$Z$5+$AA$5-1)^0.5)*LOG10(INDEX(FX_Input,AA$5,N$3*$Z$5+$AA$5))-(1.854-(1042/(N1105+459.6)))*(INDEX(FX_Input,AA$5,N$3*$Z$5+$AA$5-1)^0.5)+((2416/(N1105+459.6)-2.013)*LOG10(INDEX(FX_Input,AA$5,N$3*$Z$5+$AA$5)))-(8742/(N1105+459.6))+15.64),EXP(INDEX(Antoines,MATCH(N1098,Antoine_Name,0),2)-INDEX(Antoines,MATCH(N1098,Antoine_Name,0),3)/(N1105+459.6))))),0)</f>
        <v>0</v>
      </c>
      <c r="O1114" cm="1">
        <f t="array" ref="O1114">IFERROR(IF(O1099="Chemical",(10^(INDEX(Antoines,MATCH(O1098,Antoine_Name,0),2)-INDEX(Antoines,MATCH(O1098,Antoine_Name,0),3)/(INDEX(Antoines,MATCH(O1098,Antoine_Name,0),4)+(O1105-32)*5/9)))*14.7/760,IF(O1099="Crude Oil",EXP((2799/(O1105+459.6)-2.227)*LOG10(INDEX(FX_Input,AB$5,O$3*$Z$5+$AA$5))-(7261/(O1105+459.6))+12.82),IF(O1099="Refined Petroleum Stock",EXP((0.7553-(413/(O1105+459.6)))*(INDEX(FX_Input,AB$5,O$3*$Z$5+$AA$5-1)^0.5)*LOG10(INDEX(FX_Input,AB$5,O$3*$Z$5+$AA$5))-(1.854-(1042/(O1105+459.6)))*(INDEX(FX_Input,AB$5,O$3*$Z$5+$AA$5-1)^0.5)+((2416/(O1105+459.6)-2.013)*LOG10(INDEX(FX_Input,AB$5,O$3*$Z$5+$AA$5)))-(8742/(O1105+459.6))+15.64),EXP(INDEX(Antoines,MATCH(O1098,Antoine_Name,0),2)-INDEX(Antoines,MATCH(O1098,Antoine_Name,0),3)/(O1105+459.6))))),0)</f>
        <v>0</v>
      </c>
    </row>
    <row r="1115" spans="2:32" ht="17.149999999999999" x14ac:dyDescent="0.55000000000000004">
      <c r="B1115" t="str">
        <f t="shared" si="3988"/>
        <v>Portland</v>
      </c>
      <c r="C1115" t="s">
        <v>582</v>
      </c>
      <c r="D1115">
        <f>D1114*D1102</f>
        <v>0</v>
      </c>
      <c r="E1115">
        <f t="shared" ref="E1115" si="4033">E1114*E1102</f>
        <v>0</v>
      </c>
      <c r="F1115">
        <f t="shared" ref="F1115" si="4034">F1114*F1102</f>
        <v>0</v>
      </c>
      <c r="G1115">
        <f t="shared" ref="G1115" si="4035">G1114*G1102</f>
        <v>0</v>
      </c>
      <c r="H1115">
        <f t="shared" ref="H1115" si="4036">H1114*H1102</f>
        <v>0</v>
      </c>
      <c r="I1115">
        <f t="shared" ref="I1115" si="4037">I1114*I1102</f>
        <v>0</v>
      </c>
      <c r="J1115">
        <f t="shared" ref="J1115" si="4038">J1114*J1102</f>
        <v>0</v>
      </c>
      <c r="K1115">
        <f t="shared" ref="K1115" si="4039">K1114*K1102</f>
        <v>0</v>
      </c>
      <c r="L1115">
        <f t="shared" ref="L1115" si="4040">L1114*L1102</f>
        <v>0</v>
      </c>
      <c r="M1115">
        <f t="shared" ref="M1115" si="4041">M1114*M1102</f>
        <v>0</v>
      </c>
      <c r="N1115">
        <f t="shared" ref="N1115" si="4042">N1114*N1102</f>
        <v>0</v>
      </c>
      <c r="O1115">
        <f t="shared" ref="O1115" si="4043">O1114*O1102</f>
        <v>0</v>
      </c>
    </row>
    <row r="1116" spans="2:32" ht="17.149999999999999" x14ac:dyDescent="0.55000000000000004">
      <c r="B1116" t="str">
        <f t="shared" si="3988"/>
        <v>Portland</v>
      </c>
      <c r="C1116" t="s">
        <v>583</v>
      </c>
      <c r="D1116">
        <f>D1113+D1115</f>
        <v>1</v>
      </c>
      <c r="E1116">
        <f t="shared" ref="E1116" si="4044">E1113+E1115</f>
        <v>1</v>
      </c>
      <c r="F1116">
        <f t="shared" ref="F1116" si="4045">F1113+F1115</f>
        <v>1</v>
      </c>
      <c r="G1116">
        <f t="shared" ref="G1116" si="4046">G1113+G1115</f>
        <v>1</v>
      </c>
      <c r="H1116">
        <f t="shared" ref="H1116" si="4047">H1113+H1115</f>
        <v>1</v>
      </c>
      <c r="I1116">
        <f t="shared" ref="I1116" si="4048">I1113+I1115</f>
        <v>1</v>
      </c>
      <c r="J1116">
        <f t="shared" ref="J1116" si="4049">J1113+J1115</f>
        <v>1</v>
      </c>
      <c r="K1116">
        <f t="shared" ref="K1116" si="4050">K1113+K1115</f>
        <v>1</v>
      </c>
      <c r="L1116">
        <f t="shared" ref="L1116" si="4051">L1113+L1115</f>
        <v>1</v>
      </c>
      <c r="M1116">
        <f t="shared" ref="M1116" si="4052">M1113+M1115</f>
        <v>1</v>
      </c>
      <c r="N1116">
        <f t="shared" ref="N1116" si="4053">N1113+N1115</f>
        <v>1</v>
      </c>
      <c r="O1116">
        <f t="shared" ref="O1116" si="4054">O1113+O1115</f>
        <v>1</v>
      </c>
    </row>
    <row r="1117" spans="2:32" ht="17.149999999999999" x14ac:dyDescent="0.55000000000000004">
      <c r="B1117" t="str">
        <f t="shared" si="3988"/>
        <v>Portland</v>
      </c>
      <c r="C1117" t="s">
        <v>1388</v>
      </c>
      <c r="D1117" cm="1">
        <f t="array" ref="D1117">IFERROR(IF(D1097="Chemical",(10^(INDEX(Antoines,MATCH(D1096,Antoine_Name,0),2)-INDEX(Antoines,MATCH(D1096,Antoine_Name,0),3)/(INDEX(Antoines,MATCH(D1096,Antoine_Name,0),4)+(D1106-32)*5/9)))*14.7/760,IF(D1097="Crude Oil",EXP((2799/(D1106+459.6)-2.227)*LOG10(INDEX(FX_Input,Q$5,D$3*$Z$5+$AA$5))-(7261/(D1106+459.6))+12.82),IF(D1097="Refined Petroleum Stock",EXP((0.7553-(413/(D1106+459.6)))*(INDEX(FX_Input,Q$5,D$3*$Z$5+$AA$5-1)^0.5)*LOG10(INDEX(FX_Input,Q$5,D$3*$Z$5+$AA$5))-(1.854-(1042/(D1106+459.6)))*(INDEX(FX_Input,Q$5,D$3*$Z$5+$AA$5-1)^0.5)+((2416/(D1106+459.6)-2.013)*LOG10(INDEX(FX_Input,Q$5,D$3*$Z$5+$AA$5)))-(8742/(D1106+459.6))+15.64),EXP(INDEX(Antoines,MATCH(D1096,Antoine_Name,0),2)-INDEX(Antoines,MATCH(D1096,Antoine_Name,0),3)/(D1106+459.6))))),0)</f>
        <v>1</v>
      </c>
      <c r="E1117" cm="1">
        <f t="array" ref="E1117">IFERROR(IF(E1097="Chemical",(10^(INDEX(Antoines,MATCH(E1096,Antoine_Name,0),2)-INDEX(Antoines,MATCH(E1096,Antoine_Name,0),3)/(INDEX(Antoines,MATCH(E1096,Antoine_Name,0),4)+(E1106-32)*5/9)))*14.7/760,IF(E1097="Crude Oil",EXP((2799/(E1106+459.6)-2.227)*LOG10(INDEX(FX_Input,R$5,E$3*$Z$5+$AA$5))-(7261/(E1106+459.6))+12.82),IF(E1097="Refined Petroleum Stock",EXP((0.7553-(413/(E1106+459.6)))*(INDEX(FX_Input,R$5,E$3*$Z$5+$AA$5-1)^0.5)*LOG10(INDEX(FX_Input,R$5,E$3*$Z$5+$AA$5))-(1.854-(1042/(E1106+459.6)))*(INDEX(FX_Input,R$5,E$3*$Z$5+$AA$5-1)^0.5)+((2416/(E1106+459.6)-2.013)*LOG10(INDEX(FX_Input,R$5,E$3*$Z$5+$AA$5)))-(8742/(E1106+459.6))+15.64),EXP(INDEX(Antoines,MATCH(E1096,Antoine_Name,0),2)-INDEX(Antoines,MATCH(E1096,Antoine_Name,0),3)/(E1106+459.6))))),0)</f>
        <v>1</v>
      </c>
      <c r="F1117" cm="1">
        <f t="array" ref="F1117">IFERROR(IF(F1097="Chemical",(10^(INDEX(Antoines,MATCH(F1096,Antoine_Name,0),2)-INDEX(Antoines,MATCH(F1096,Antoine_Name,0),3)/(INDEX(Antoines,MATCH(F1096,Antoine_Name,0),4)+(F1106-32)*5/9)))*14.7/760,IF(F1097="Crude Oil",EXP((2799/(F1106+459.6)-2.227)*LOG10(INDEX(FX_Input,S$5,F$3*$Z$5+$AA$5))-(7261/(F1106+459.6))+12.82),IF(F1097="Refined Petroleum Stock",EXP((0.7553-(413/(F1106+459.6)))*(INDEX(FX_Input,S$5,F$3*$Z$5+$AA$5-1)^0.5)*LOG10(INDEX(FX_Input,S$5,F$3*$Z$5+$AA$5))-(1.854-(1042/(F1106+459.6)))*(INDEX(FX_Input,S$5,F$3*$Z$5+$AA$5-1)^0.5)+((2416/(F1106+459.6)-2.013)*LOG10(INDEX(FX_Input,S$5,F$3*$Z$5+$AA$5)))-(8742/(F1106+459.6))+15.64),EXP(INDEX(Antoines,MATCH(F1096,Antoine_Name,0),2)-INDEX(Antoines,MATCH(F1096,Antoine_Name,0),3)/(F1106+459.6))))),0)</f>
        <v>1</v>
      </c>
      <c r="G1117" cm="1">
        <f t="array" ref="G1117">IFERROR(IF(G1097="Chemical",(10^(INDEX(Antoines,MATCH(G1096,Antoine_Name,0),2)-INDEX(Antoines,MATCH(G1096,Antoine_Name,0),3)/(INDEX(Antoines,MATCH(G1096,Antoine_Name,0),4)+(G1106-32)*5/9)))*14.7/760,IF(G1097="Crude Oil",EXP((2799/(G1106+459.6)-2.227)*LOG10(INDEX(FX_Input,T$5,G$3*$Z$5+$AA$5))-(7261/(G1106+459.6))+12.82),IF(G1097="Refined Petroleum Stock",EXP((0.7553-(413/(G1106+459.6)))*(INDEX(FX_Input,T$5,G$3*$Z$5+$AA$5-1)^0.5)*LOG10(INDEX(FX_Input,T$5,G$3*$Z$5+$AA$5))-(1.854-(1042/(G1106+459.6)))*(INDEX(FX_Input,T$5,G$3*$Z$5+$AA$5-1)^0.5)+((2416/(G1106+459.6)-2.013)*LOG10(INDEX(FX_Input,T$5,G$3*$Z$5+$AA$5)))-(8742/(G1106+459.6))+15.64),EXP(INDEX(Antoines,MATCH(G1096,Antoine_Name,0),2)-INDEX(Antoines,MATCH(G1096,Antoine_Name,0),3)/(G1106+459.6))))),0)</f>
        <v>1</v>
      </c>
      <c r="H1117" cm="1">
        <f t="array" ref="H1117">IFERROR(IF(H1097="Chemical",(10^(INDEX(Antoines,MATCH(H1096,Antoine_Name,0),2)-INDEX(Antoines,MATCH(H1096,Antoine_Name,0),3)/(INDEX(Antoines,MATCH(H1096,Antoine_Name,0),4)+(H1106-32)*5/9)))*14.7/760,IF(H1097="Crude Oil",EXP((2799/(H1106+459.6)-2.227)*LOG10(INDEX(FX_Input,U$5,H$3*$Z$5+$AA$5))-(7261/(H1106+459.6))+12.82),IF(H1097="Refined Petroleum Stock",EXP((0.7553-(413/(H1106+459.6)))*(INDEX(FX_Input,U$5,H$3*$Z$5+$AA$5-1)^0.5)*LOG10(INDEX(FX_Input,U$5,H$3*$Z$5+$AA$5))-(1.854-(1042/(H1106+459.6)))*(INDEX(FX_Input,U$5,H$3*$Z$5+$AA$5-1)^0.5)+((2416/(H1106+459.6)-2.013)*LOG10(INDEX(FX_Input,U$5,H$3*$Z$5+$AA$5)))-(8742/(H1106+459.6))+15.64),EXP(INDEX(Antoines,MATCH(H1096,Antoine_Name,0),2)-INDEX(Antoines,MATCH(H1096,Antoine_Name,0),3)/(H1106+459.6))))),0)</f>
        <v>1</v>
      </c>
      <c r="I1117" cm="1">
        <f t="array" ref="I1117">IFERROR(IF(I1097="Chemical",(10^(INDEX(Antoines,MATCH(I1096,Antoine_Name,0),2)-INDEX(Antoines,MATCH(I1096,Antoine_Name,0),3)/(INDEX(Antoines,MATCH(I1096,Antoine_Name,0),4)+(I1106-32)*5/9)))*14.7/760,IF(I1097="Crude Oil",EXP((2799/(I1106+459.6)-2.227)*LOG10(INDEX(FX_Input,V$5,I$3*$Z$5+$AA$5))-(7261/(I1106+459.6))+12.82),IF(I1097="Refined Petroleum Stock",EXP((0.7553-(413/(I1106+459.6)))*(INDEX(FX_Input,V$5,I$3*$Z$5+$AA$5-1)^0.5)*LOG10(INDEX(FX_Input,V$5,I$3*$Z$5+$AA$5))-(1.854-(1042/(I1106+459.6)))*(INDEX(FX_Input,V$5,I$3*$Z$5+$AA$5-1)^0.5)+((2416/(I1106+459.6)-2.013)*LOG10(INDEX(FX_Input,V$5,I$3*$Z$5+$AA$5)))-(8742/(I1106+459.6))+15.64),EXP(INDEX(Antoines,MATCH(I1096,Antoine_Name,0),2)-INDEX(Antoines,MATCH(I1096,Antoine_Name,0),3)/(I1106+459.6))))),0)</f>
        <v>1</v>
      </c>
      <c r="J1117" cm="1">
        <f t="array" ref="J1117">IFERROR(IF(J1097="Chemical",(10^(INDEX(Antoines,MATCH(J1096,Antoine_Name,0),2)-INDEX(Antoines,MATCH(J1096,Antoine_Name,0),3)/(INDEX(Antoines,MATCH(J1096,Antoine_Name,0),4)+(J1106-32)*5/9)))*14.7/760,IF(J1097="Crude Oil",EXP((2799/(J1106+459.6)-2.227)*LOG10(INDEX(FX_Input,W$5,J$3*$Z$5+$AA$5))-(7261/(J1106+459.6))+12.82),IF(J1097="Refined Petroleum Stock",EXP((0.7553-(413/(J1106+459.6)))*(INDEX(FX_Input,W$5,J$3*$Z$5+$AA$5-1)^0.5)*LOG10(INDEX(FX_Input,W$5,J$3*$Z$5+$AA$5))-(1.854-(1042/(J1106+459.6)))*(INDEX(FX_Input,W$5,J$3*$Z$5+$AA$5-1)^0.5)+((2416/(J1106+459.6)-2.013)*LOG10(INDEX(FX_Input,W$5,J$3*$Z$5+$AA$5)))-(8742/(J1106+459.6))+15.64),EXP(INDEX(Antoines,MATCH(J1096,Antoine_Name,0),2)-INDEX(Antoines,MATCH(J1096,Antoine_Name,0),3)/(J1106+459.6))))),0)</f>
        <v>1</v>
      </c>
      <c r="K1117" cm="1">
        <f t="array" ref="K1117">IFERROR(IF(K1097="Chemical",(10^(INDEX(Antoines,MATCH(K1096,Antoine_Name,0),2)-INDEX(Antoines,MATCH(K1096,Antoine_Name,0),3)/(INDEX(Antoines,MATCH(K1096,Antoine_Name,0),4)+(K1106-32)*5/9)))*14.7/760,IF(K1097="Crude Oil",EXP((2799/(K1106+459.6)-2.227)*LOG10(INDEX(FX_Input,X$5,K$3*$Z$5+$AA$5))-(7261/(K1106+459.6))+12.82),IF(K1097="Refined Petroleum Stock",EXP((0.7553-(413/(K1106+459.6)))*(INDEX(FX_Input,X$5,K$3*$Z$5+$AA$5-1)^0.5)*LOG10(INDEX(FX_Input,X$5,K$3*$Z$5+$AA$5))-(1.854-(1042/(K1106+459.6)))*(INDEX(FX_Input,X$5,K$3*$Z$5+$AA$5-1)^0.5)+((2416/(K1106+459.6)-2.013)*LOG10(INDEX(FX_Input,X$5,K$3*$Z$5+$AA$5)))-(8742/(K1106+459.6))+15.64),EXP(INDEX(Antoines,MATCH(K1096,Antoine_Name,0),2)-INDEX(Antoines,MATCH(K1096,Antoine_Name,0),3)/(K1106+459.6))))),0)</f>
        <v>1</v>
      </c>
      <c r="L1117" cm="1">
        <f t="array" ref="L1117">IFERROR(IF(L1097="Chemical",(10^(INDEX(Antoines,MATCH(L1096,Antoine_Name,0),2)-INDEX(Antoines,MATCH(L1096,Antoine_Name,0),3)/(INDEX(Antoines,MATCH(L1096,Antoine_Name,0),4)+(L1106-32)*5/9)))*14.7/760,IF(L1097="Crude Oil",EXP((2799/(L1106+459.6)-2.227)*LOG10(INDEX(FX_Input,Y$5,L$3*$Z$5+$AA$5))-(7261/(L1106+459.6))+12.82),IF(L1097="Refined Petroleum Stock",EXP((0.7553-(413/(L1106+459.6)))*(INDEX(FX_Input,Y$5,L$3*$Z$5+$AA$5-1)^0.5)*LOG10(INDEX(FX_Input,Y$5,L$3*$Z$5+$AA$5))-(1.854-(1042/(L1106+459.6)))*(INDEX(FX_Input,Y$5,L$3*$Z$5+$AA$5-1)^0.5)+((2416/(L1106+459.6)-2.013)*LOG10(INDEX(FX_Input,Y$5,L$3*$Z$5+$AA$5)))-(8742/(L1106+459.6))+15.64),EXP(INDEX(Antoines,MATCH(L1096,Antoine_Name,0),2)-INDEX(Antoines,MATCH(L1096,Antoine_Name,0),3)/(L1106+459.6))))),0)</f>
        <v>1</v>
      </c>
      <c r="M1117" cm="1">
        <f t="array" ref="M1117">IFERROR(IF(M1097="Chemical",(10^(INDEX(Antoines,MATCH(M1096,Antoine_Name,0),2)-INDEX(Antoines,MATCH(M1096,Antoine_Name,0),3)/(INDEX(Antoines,MATCH(M1096,Antoine_Name,0),4)+(M1106-32)*5/9)))*14.7/760,IF(M1097="Crude Oil",EXP((2799/(M1106+459.6)-2.227)*LOG10(INDEX(FX_Input,Z$5,M$3*$Z$5+$AA$5))-(7261/(M1106+459.6))+12.82),IF(M1097="Refined Petroleum Stock",EXP((0.7553-(413/(M1106+459.6)))*(INDEX(FX_Input,Z$5,M$3*$Z$5+$AA$5-1)^0.5)*LOG10(INDEX(FX_Input,Z$5,M$3*$Z$5+$AA$5))-(1.854-(1042/(M1106+459.6)))*(INDEX(FX_Input,Z$5,M$3*$Z$5+$AA$5-1)^0.5)+((2416/(M1106+459.6)-2.013)*LOG10(INDEX(FX_Input,Z$5,M$3*$Z$5+$AA$5)))-(8742/(M1106+459.6))+15.64),EXP(INDEX(Antoines,MATCH(M1096,Antoine_Name,0),2)-INDEX(Antoines,MATCH(M1096,Antoine_Name,0),3)/(M1106+459.6))))),0)</f>
        <v>1</v>
      </c>
      <c r="N1117" cm="1">
        <f t="array" ref="N1117">IFERROR(IF(N1097="Chemical",(10^(INDEX(Antoines,MATCH(N1096,Antoine_Name,0),2)-INDEX(Antoines,MATCH(N1096,Antoine_Name,0),3)/(INDEX(Antoines,MATCH(N1096,Antoine_Name,0),4)+(N1106-32)*5/9)))*14.7/760,IF(N1097="Crude Oil",EXP((2799/(N1106+459.6)-2.227)*LOG10(INDEX(FX_Input,AA$5,N$3*$Z$5+$AA$5))-(7261/(N1106+459.6))+12.82),IF(N1097="Refined Petroleum Stock",EXP((0.7553-(413/(N1106+459.6)))*(INDEX(FX_Input,AA$5,N$3*$Z$5+$AA$5-1)^0.5)*LOG10(INDEX(FX_Input,AA$5,N$3*$Z$5+$AA$5))-(1.854-(1042/(N1106+459.6)))*(INDEX(FX_Input,AA$5,N$3*$Z$5+$AA$5-1)^0.5)+((2416/(N1106+459.6)-2.013)*LOG10(INDEX(FX_Input,AA$5,N$3*$Z$5+$AA$5)))-(8742/(N1106+459.6))+15.64),EXP(INDEX(Antoines,MATCH(N1096,Antoine_Name,0),2)-INDEX(Antoines,MATCH(N1096,Antoine_Name,0),3)/(N1106+459.6))))),0)</f>
        <v>1</v>
      </c>
      <c r="O1117" cm="1">
        <f t="array" ref="O1117">IFERROR(IF(O1097="Chemical",(10^(INDEX(Antoines,MATCH(O1096,Antoine_Name,0),2)-INDEX(Antoines,MATCH(O1096,Antoine_Name,0),3)/(INDEX(Antoines,MATCH(O1096,Antoine_Name,0),4)+(O1106-32)*5/9)))*14.7/760,IF(O1097="Crude Oil",EXP((2799/(O1106+459.6)-2.227)*LOG10(INDEX(FX_Input,AB$5,O$3*$Z$5+$AA$5))-(7261/(O1106+459.6))+12.82),IF(O1097="Refined Petroleum Stock",EXP((0.7553-(413/(O1106+459.6)))*(INDEX(FX_Input,AB$5,O$3*$Z$5+$AA$5-1)^0.5)*LOG10(INDEX(FX_Input,AB$5,O$3*$Z$5+$AA$5))-(1.854-(1042/(O1106+459.6)))*(INDEX(FX_Input,AB$5,O$3*$Z$5+$AA$5-1)^0.5)+((2416/(O1106+459.6)-2.013)*LOG10(INDEX(FX_Input,AB$5,O$3*$Z$5+$AA$5)))-(8742/(O1106+459.6))+15.64),EXP(INDEX(Antoines,MATCH(O1096,Antoine_Name,0),2)-INDEX(Antoines,MATCH(O1096,Antoine_Name,0),3)/(O1106+459.6))))),0)</f>
        <v>1</v>
      </c>
    </row>
    <row r="1118" spans="2:32" ht="17.149999999999999" x14ac:dyDescent="0.55000000000000004">
      <c r="B1118" t="str">
        <f t="shared" si="3988"/>
        <v>Portland</v>
      </c>
      <c r="C1118" t="s">
        <v>1389</v>
      </c>
      <c r="D1118">
        <f>D1117*D1100</f>
        <v>1</v>
      </c>
      <c r="E1118">
        <f t="shared" ref="E1118" si="4055">E1117*E1100</f>
        <v>1</v>
      </c>
      <c r="F1118">
        <f t="shared" ref="F1118" si="4056">F1117*F1100</f>
        <v>1</v>
      </c>
      <c r="G1118">
        <f t="shared" ref="G1118" si="4057">G1117*G1100</f>
        <v>1</v>
      </c>
      <c r="H1118">
        <f t="shared" ref="H1118" si="4058">H1117*H1100</f>
        <v>1</v>
      </c>
      <c r="I1118">
        <f t="shared" ref="I1118" si="4059">I1117*I1100</f>
        <v>1</v>
      </c>
      <c r="J1118">
        <f t="shared" ref="J1118" si="4060">J1117*J1100</f>
        <v>1</v>
      </c>
      <c r="K1118">
        <f t="shared" ref="K1118" si="4061">K1117*K1100</f>
        <v>1</v>
      </c>
      <c r="L1118">
        <f t="shared" ref="L1118" si="4062">L1117*L1100</f>
        <v>1</v>
      </c>
      <c r="M1118">
        <f t="shared" ref="M1118" si="4063">M1117*M1100</f>
        <v>1</v>
      </c>
      <c r="N1118">
        <f t="shared" ref="N1118" si="4064">N1117*N1100</f>
        <v>1</v>
      </c>
      <c r="O1118">
        <f t="shared" ref="O1118" si="4065">O1117*O1100</f>
        <v>1</v>
      </c>
    </row>
    <row r="1119" spans="2:32" ht="17.149999999999999" x14ac:dyDescent="0.55000000000000004">
      <c r="B1119" t="str">
        <f t="shared" si="3988"/>
        <v>Portland</v>
      </c>
      <c r="C1119" t="s">
        <v>1390</v>
      </c>
      <c r="D1119" cm="1">
        <f t="array" ref="D1119">IFERROR(IF(D1099="Chemical",(10^(INDEX(Antoines,MATCH(D1098,Antoine_Name,0),2)-INDEX(Antoines,MATCH(D1098,Antoine_Name,0),3)/(INDEX(Antoines,MATCH(D1098,Antoine_Name,0),4)+(D1106-32)*5/9)))*14.7/760,IF(D1099="Crude Oil",EXP((2799/(D1106+459.6)-2.227)*LOG10(INDEX(FX_Input,Q$5,D$3*$Z$5+$AA$5))-(7261/(D1106+459.6))+12.82),IF(D1099="Refined Petroleum Stock",EXP((0.7553-(413/(D1106+459.6)))*(INDEX(FX_Input,Q$5,D$3*$Z$5+$AA$5-1)^0.5)*LOG10(INDEX(FX_Input,Q$5,D$3*$Z$5+$AA$5))-(1.854-(1042/(D1106+459.6)))*(INDEX(FX_Input,Q$5,D$3*$Z$5+$AA$5-1)^0.5)+((2416/(D1106+459.6)-2.013)*LOG10(INDEX(FX_Input,Q$5,D$3*$Z$5+$AA$5)))-(8742/(D1106+459.6))+15.64),EXP(INDEX(Antoines,MATCH(D1098,Antoine_Name,0),2)-INDEX(Antoines,MATCH(D1098,Antoine_Name,0),3)/(D1106+459.6))))),0)</f>
        <v>0</v>
      </c>
      <c r="E1119" cm="1">
        <f t="array" ref="E1119">IFERROR(IF(E1099="Chemical",(10^(INDEX(Antoines,MATCH(E1098,Antoine_Name,0),2)-INDEX(Antoines,MATCH(E1098,Antoine_Name,0),3)/(INDEX(Antoines,MATCH(E1098,Antoine_Name,0),4)+(E1106-32)*5/9)))*14.7/760,IF(E1099="Crude Oil",EXP((2799/(E1106+459.6)-2.227)*LOG10(INDEX(FX_Input,R$5,E$3*$Z$5+$AA$5))-(7261/(E1106+459.6))+12.82),IF(E1099="Refined Petroleum Stock",EXP((0.7553-(413/(E1106+459.6)))*(INDEX(FX_Input,R$5,E$3*$Z$5+$AA$5-1)^0.5)*LOG10(INDEX(FX_Input,R$5,E$3*$Z$5+$AA$5))-(1.854-(1042/(E1106+459.6)))*(INDEX(FX_Input,R$5,E$3*$Z$5+$AA$5-1)^0.5)+((2416/(E1106+459.6)-2.013)*LOG10(INDEX(FX_Input,R$5,E$3*$Z$5+$AA$5)))-(8742/(E1106+459.6))+15.64),EXP(INDEX(Antoines,MATCH(E1098,Antoine_Name,0),2)-INDEX(Antoines,MATCH(E1098,Antoine_Name,0),3)/(E1106+459.6))))),0)</f>
        <v>0</v>
      </c>
      <c r="F1119" cm="1">
        <f t="array" ref="F1119">IFERROR(IF(F1099="Chemical",(10^(INDEX(Antoines,MATCH(F1098,Antoine_Name,0),2)-INDEX(Antoines,MATCH(F1098,Antoine_Name,0),3)/(INDEX(Antoines,MATCH(F1098,Antoine_Name,0),4)+(F1106-32)*5/9)))*14.7/760,IF(F1099="Crude Oil",EXP((2799/(F1106+459.6)-2.227)*LOG10(INDEX(FX_Input,S$5,F$3*$Z$5+$AA$5))-(7261/(F1106+459.6))+12.82),IF(F1099="Refined Petroleum Stock",EXP((0.7553-(413/(F1106+459.6)))*(INDEX(FX_Input,S$5,F$3*$Z$5+$AA$5-1)^0.5)*LOG10(INDEX(FX_Input,S$5,F$3*$Z$5+$AA$5))-(1.854-(1042/(F1106+459.6)))*(INDEX(FX_Input,S$5,F$3*$Z$5+$AA$5-1)^0.5)+((2416/(F1106+459.6)-2.013)*LOG10(INDEX(FX_Input,S$5,F$3*$Z$5+$AA$5)))-(8742/(F1106+459.6))+15.64),EXP(INDEX(Antoines,MATCH(F1098,Antoine_Name,0),2)-INDEX(Antoines,MATCH(F1098,Antoine_Name,0),3)/(F1106+459.6))))),0)</f>
        <v>0</v>
      </c>
      <c r="G1119" cm="1">
        <f t="array" ref="G1119">IFERROR(IF(G1099="Chemical",(10^(INDEX(Antoines,MATCH(G1098,Antoine_Name,0),2)-INDEX(Antoines,MATCH(G1098,Antoine_Name,0),3)/(INDEX(Antoines,MATCH(G1098,Antoine_Name,0),4)+(G1106-32)*5/9)))*14.7/760,IF(G1099="Crude Oil",EXP((2799/(G1106+459.6)-2.227)*LOG10(INDEX(FX_Input,T$5,G$3*$Z$5+$AA$5))-(7261/(G1106+459.6))+12.82),IF(G1099="Refined Petroleum Stock",EXP((0.7553-(413/(G1106+459.6)))*(INDEX(FX_Input,T$5,G$3*$Z$5+$AA$5-1)^0.5)*LOG10(INDEX(FX_Input,T$5,G$3*$Z$5+$AA$5))-(1.854-(1042/(G1106+459.6)))*(INDEX(FX_Input,T$5,G$3*$Z$5+$AA$5-1)^0.5)+((2416/(G1106+459.6)-2.013)*LOG10(INDEX(FX_Input,T$5,G$3*$Z$5+$AA$5)))-(8742/(G1106+459.6))+15.64),EXP(INDEX(Antoines,MATCH(G1098,Antoine_Name,0),2)-INDEX(Antoines,MATCH(G1098,Antoine_Name,0),3)/(G1106+459.6))))),0)</f>
        <v>0</v>
      </c>
      <c r="H1119" cm="1">
        <f t="array" ref="H1119">IFERROR(IF(H1099="Chemical",(10^(INDEX(Antoines,MATCH(H1098,Antoine_Name,0),2)-INDEX(Antoines,MATCH(H1098,Antoine_Name,0),3)/(INDEX(Antoines,MATCH(H1098,Antoine_Name,0),4)+(H1106-32)*5/9)))*14.7/760,IF(H1099="Crude Oil",EXP((2799/(H1106+459.6)-2.227)*LOG10(INDEX(FX_Input,U$5,H$3*$Z$5+$AA$5))-(7261/(H1106+459.6))+12.82),IF(H1099="Refined Petroleum Stock",EXP((0.7553-(413/(H1106+459.6)))*(INDEX(FX_Input,U$5,H$3*$Z$5+$AA$5-1)^0.5)*LOG10(INDEX(FX_Input,U$5,H$3*$Z$5+$AA$5))-(1.854-(1042/(H1106+459.6)))*(INDEX(FX_Input,U$5,H$3*$Z$5+$AA$5-1)^0.5)+((2416/(H1106+459.6)-2.013)*LOG10(INDEX(FX_Input,U$5,H$3*$Z$5+$AA$5)))-(8742/(H1106+459.6))+15.64),EXP(INDEX(Antoines,MATCH(H1098,Antoine_Name,0),2)-INDEX(Antoines,MATCH(H1098,Antoine_Name,0),3)/(H1106+459.6))))),0)</f>
        <v>0</v>
      </c>
      <c r="I1119" cm="1">
        <f t="array" ref="I1119">IFERROR(IF(I1099="Chemical",(10^(INDEX(Antoines,MATCH(I1098,Antoine_Name,0),2)-INDEX(Antoines,MATCH(I1098,Antoine_Name,0),3)/(INDEX(Antoines,MATCH(I1098,Antoine_Name,0),4)+(I1106-32)*5/9)))*14.7/760,IF(I1099="Crude Oil",EXP((2799/(I1106+459.6)-2.227)*LOG10(INDEX(FX_Input,V$5,I$3*$Z$5+$AA$5))-(7261/(I1106+459.6))+12.82),IF(I1099="Refined Petroleum Stock",EXP((0.7553-(413/(I1106+459.6)))*(INDEX(FX_Input,V$5,I$3*$Z$5+$AA$5-1)^0.5)*LOG10(INDEX(FX_Input,V$5,I$3*$Z$5+$AA$5))-(1.854-(1042/(I1106+459.6)))*(INDEX(FX_Input,V$5,I$3*$Z$5+$AA$5-1)^0.5)+((2416/(I1106+459.6)-2.013)*LOG10(INDEX(FX_Input,V$5,I$3*$Z$5+$AA$5)))-(8742/(I1106+459.6))+15.64),EXP(INDEX(Antoines,MATCH(I1098,Antoine_Name,0),2)-INDEX(Antoines,MATCH(I1098,Antoine_Name,0),3)/(I1106+459.6))))),0)</f>
        <v>0</v>
      </c>
      <c r="J1119" cm="1">
        <f t="array" ref="J1119">IFERROR(IF(J1099="Chemical",(10^(INDEX(Antoines,MATCH(J1098,Antoine_Name,0),2)-INDEX(Antoines,MATCH(J1098,Antoine_Name,0),3)/(INDEX(Antoines,MATCH(J1098,Antoine_Name,0),4)+(J1106-32)*5/9)))*14.7/760,IF(J1099="Crude Oil",EXP((2799/(J1106+459.6)-2.227)*LOG10(INDEX(FX_Input,W$5,J$3*$Z$5+$AA$5))-(7261/(J1106+459.6))+12.82),IF(J1099="Refined Petroleum Stock",EXP((0.7553-(413/(J1106+459.6)))*(INDEX(FX_Input,W$5,J$3*$Z$5+$AA$5-1)^0.5)*LOG10(INDEX(FX_Input,W$5,J$3*$Z$5+$AA$5))-(1.854-(1042/(J1106+459.6)))*(INDEX(FX_Input,W$5,J$3*$Z$5+$AA$5-1)^0.5)+((2416/(J1106+459.6)-2.013)*LOG10(INDEX(FX_Input,W$5,J$3*$Z$5+$AA$5)))-(8742/(J1106+459.6))+15.64),EXP(INDEX(Antoines,MATCH(J1098,Antoine_Name,0),2)-INDEX(Antoines,MATCH(J1098,Antoine_Name,0),3)/(J1106+459.6))))),0)</f>
        <v>0</v>
      </c>
      <c r="K1119" cm="1">
        <f t="array" ref="K1119">IFERROR(IF(K1099="Chemical",(10^(INDEX(Antoines,MATCH(K1098,Antoine_Name,0),2)-INDEX(Antoines,MATCH(K1098,Antoine_Name,0),3)/(INDEX(Antoines,MATCH(K1098,Antoine_Name,0),4)+(K1106-32)*5/9)))*14.7/760,IF(K1099="Crude Oil",EXP((2799/(K1106+459.6)-2.227)*LOG10(INDEX(FX_Input,X$5,K$3*$Z$5+$AA$5))-(7261/(K1106+459.6))+12.82),IF(K1099="Refined Petroleum Stock",EXP((0.7553-(413/(K1106+459.6)))*(INDEX(FX_Input,X$5,K$3*$Z$5+$AA$5-1)^0.5)*LOG10(INDEX(FX_Input,X$5,K$3*$Z$5+$AA$5))-(1.854-(1042/(K1106+459.6)))*(INDEX(FX_Input,X$5,K$3*$Z$5+$AA$5-1)^0.5)+((2416/(K1106+459.6)-2.013)*LOG10(INDEX(FX_Input,X$5,K$3*$Z$5+$AA$5)))-(8742/(K1106+459.6))+15.64),EXP(INDEX(Antoines,MATCH(K1098,Antoine_Name,0),2)-INDEX(Antoines,MATCH(K1098,Antoine_Name,0),3)/(K1106+459.6))))),0)</f>
        <v>0</v>
      </c>
      <c r="L1119" cm="1">
        <f t="array" ref="L1119">IFERROR(IF(L1099="Chemical",(10^(INDEX(Antoines,MATCH(L1098,Antoine_Name,0),2)-INDEX(Antoines,MATCH(L1098,Antoine_Name,0),3)/(INDEX(Antoines,MATCH(L1098,Antoine_Name,0),4)+(L1106-32)*5/9)))*14.7/760,IF(L1099="Crude Oil",EXP((2799/(L1106+459.6)-2.227)*LOG10(INDEX(FX_Input,Y$5,L$3*$Z$5+$AA$5))-(7261/(L1106+459.6))+12.82),IF(L1099="Refined Petroleum Stock",EXP((0.7553-(413/(L1106+459.6)))*(INDEX(FX_Input,Y$5,L$3*$Z$5+$AA$5-1)^0.5)*LOG10(INDEX(FX_Input,Y$5,L$3*$Z$5+$AA$5))-(1.854-(1042/(L1106+459.6)))*(INDEX(FX_Input,Y$5,L$3*$Z$5+$AA$5-1)^0.5)+((2416/(L1106+459.6)-2.013)*LOG10(INDEX(FX_Input,Y$5,L$3*$Z$5+$AA$5)))-(8742/(L1106+459.6))+15.64),EXP(INDEX(Antoines,MATCH(L1098,Antoine_Name,0),2)-INDEX(Antoines,MATCH(L1098,Antoine_Name,0),3)/(L1106+459.6))))),0)</f>
        <v>0</v>
      </c>
      <c r="M1119" cm="1">
        <f t="array" ref="M1119">IFERROR(IF(M1099="Chemical",(10^(INDEX(Antoines,MATCH(M1098,Antoine_Name,0),2)-INDEX(Antoines,MATCH(M1098,Antoine_Name,0),3)/(INDEX(Antoines,MATCH(M1098,Antoine_Name,0),4)+(M1106-32)*5/9)))*14.7/760,IF(M1099="Crude Oil",EXP((2799/(M1106+459.6)-2.227)*LOG10(INDEX(FX_Input,Z$5,M$3*$Z$5+$AA$5))-(7261/(M1106+459.6))+12.82),IF(M1099="Refined Petroleum Stock",EXP((0.7553-(413/(M1106+459.6)))*(INDEX(FX_Input,Z$5,M$3*$Z$5+$AA$5-1)^0.5)*LOG10(INDEX(FX_Input,Z$5,M$3*$Z$5+$AA$5))-(1.854-(1042/(M1106+459.6)))*(INDEX(FX_Input,Z$5,M$3*$Z$5+$AA$5-1)^0.5)+((2416/(M1106+459.6)-2.013)*LOG10(INDEX(FX_Input,Z$5,M$3*$Z$5+$AA$5)))-(8742/(M1106+459.6))+15.64),EXP(INDEX(Antoines,MATCH(M1098,Antoine_Name,0),2)-INDEX(Antoines,MATCH(M1098,Antoine_Name,0),3)/(M1106+459.6))))),0)</f>
        <v>0</v>
      </c>
      <c r="N1119" cm="1">
        <f t="array" ref="N1119">IFERROR(IF(N1099="Chemical",(10^(INDEX(Antoines,MATCH(N1098,Antoine_Name,0),2)-INDEX(Antoines,MATCH(N1098,Antoine_Name,0),3)/(INDEX(Antoines,MATCH(N1098,Antoine_Name,0),4)+(N1106-32)*5/9)))*14.7/760,IF(N1099="Crude Oil",EXP((2799/(N1106+459.6)-2.227)*LOG10(INDEX(FX_Input,AA$5,N$3*$Z$5+$AA$5))-(7261/(N1106+459.6))+12.82),IF(N1099="Refined Petroleum Stock",EXP((0.7553-(413/(N1106+459.6)))*(INDEX(FX_Input,AA$5,N$3*$Z$5+$AA$5-1)^0.5)*LOG10(INDEX(FX_Input,AA$5,N$3*$Z$5+$AA$5))-(1.854-(1042/(N1106+459.6)))*(INDEX(FX_Input,AA$5,N$3*$Z$5+$AA$5-1)^0.5)+((2416/(N1106+459.6)-2.013)*LOG10(INDEX(FX_Input,AA$5,N$3*$Z$5+$AA$5)))-(8742/(N1106+459.6))+15.64),EXP(INDEX(Antoines,MATCH(N1098,Antoine_Name,0),2)-INDEX(Antoines,MATCH(N1098,Antoine_Name,0),3)/(N1106+459.6))))),0)</f>
        <v>0</v>
      </c>
      <c r="O1119" cm="1">
        <f t="array" ref="O1119">IFERROR(IF(O1099="Chemical",(10^(INDEX(Antoines,MATCH(O1098,Antoine_Name,0),2)-INDEX(Antoines,MATCH(O1098,Antoine_Name,0),3)/(INDEX(Antoines,MATCH(O1098,Antoine_Name,0),4)+(O1106-32)*5/9)))*14.7/760,IF(O1099="Crude Oil",EXP((2799/(O1106+459.6)-2.227)*LOG10(INDEX(FX_Input,AB$5,O$3*$Z$5+$AA$5))-(7261/(O1106+459.6))+12.82),IF(O1099="Refined Petroleum Stock",EXP((0.7553-(413/(O1106+459.6)))*(INDEX(FX_Input,AB$5,O$3*$Z$5+$AA$5-1)^0.5)*LOG10(INDEX(FX_Input,AB$5,O$3*$Z$5+$AA$5))-(1.854-(1042/(O1106+459.6)))*(INDEX(FX_Input,AB$5,O$3*$Z$5+$AA$5-1)^0.5)+((2416/(O1106+459.6)-2.013)*LOG10(INDEX(FX_Input,AB$5,O$3*$Z$5+$AA$5)))-(8742/(O1106+459.6))+15.64),EXP(INDEX(Antoines,MATCH(O1098,Antoine_Name,0),2)-INDEX(Antoines,MATCH(O1098,Antoine_Name,0),3)/(O1106+459.6))))),0)</f>
        <v>0</v>
      </c>
    </row>
    <row r="1120" spans="2:32" ht="17.149999999999999" x14ac:dyDescent="0.55000000000000004">
      <c r="B1120" t="str">
        <f t="shared" si="3988"/>
        <v>Portland</v>
      </c>
      <c r="C1120" t="s">
        <v>1391</v>
      </c>
      <c r="D1120">
        <f>D1119*D1102</f>
        <v>0</v>
      </c>
      <c r="E1120">
        <f t="shared" ref="E1120" si="4066">E1119*E1102</f>
        <v>0</v>
      </c>
      <c r="F1120">
        <f t="shared" ref="F1120" si="4067">F1119*F1102</f>
        <v>0</v>
      </c>
      <c r="G1120">
        <f t="shared" ref="G1120" si="4068">G1119*G1102</f>
        <v>0</v>
      </c>
      <c r="H1120">
        <f t="shared" ref="H1120" si="4069">H1119*H1102</f>
        <v>0</v>
      </c>
      <c r="I1120">
        <f t="shared" ref="I1120" si="4070">I1119*I1102</f>
        <v>0</v>
      </c>
      <c r="J1120">
        <f t="shared" ref="J1120" si="4071">J1119*J1102</f>
        <v>0</v>
      </c>
      <c r="K1120">
        <f t="shared" ref="K1120" si="4072">K1119*K1102</f>
        <v>0</v>
      </c>
      <c r="L1120">
        <f t="shared" ref="L1120" si="4073">L1119*L1102</f>
        <v>0</v>
      </c>
      <c r="M1120">
        <f t="shared" ref="M1120" si="4074">M1119*M1102</f>
        <v>0</v>
      </c>
      <c r="N1120">
        <f t="shared" ref="N1120" si="4075">N1119*N1102</f>
        <v>0</v>
      </c>
      <c r="O1120">
        <f t="shared" ref="O1120" si="4076">O1119*O1102</f>
        <v>0</v>
      </c>
    </row>
    <row r="1121" spans="1:32" ht="17.149999999999999" x14ac:dyDescent="0.55000000000000004">
      <c r="B1121" t="str">
        <f t="shared" si="3988"/>
        <v>Portland</v>
      </c>
      <c r="C1121" t="s">
        <v>1392</v>
      </c>
      <c r="D1121">
        <f>D1118+D1120</f>
        <v>1</v>
      </c>
      <c r="E1121">
        <f t="shared" ref="E1121" si="4077">E1118+E1120</f>
        <v>1</v>
      </c>
      <c r="F1121">
        <f t="shared" ref="F1121" si="4078">F1118+F1120</f>
        <v>1</v>
      </c>
      <c r="G1121">
        <f t="shared" ref="G1121" si="4079">G1118+G1120</f>
        <v>1</v>
      </c>
      <c r="H1121">
        <f t="shared" ref="H1121" si="4080">H1118+H1120</f>
        <v>1</v>
      </c>
      <c r="I1121">
        <f t="shared" ref="I1121" si="4081">I1118+I1120</f>
        <v>1</v>
      </c>
      <c r="J1121">
        <f t="shared" ref="J1121" si="4082">J1118+J1120</f>
        <v>1</v>
      </c>
      <c r="K1121">
        <f t="shared" ref="K1121" si="4083">K1118+K1120</f>
        <v>1</v>
      </c>
      <c r="L1121">
        <f t="shared" ref="L1121" si="4084">L1118+L1120</f>
        <v>1</v>
      </c>
      <c r="M1121">
        <f t="shared" ref="M1121" si="4085">M1118+M1120</f>
        <v>1</v>
      </c>
      <c r="N1121">
        <f t="shared" ref="N1121" si="4086">N1118+N1120</f>
        <v>1</v>
      </c>
      <c r="O1121">
        <f t="shared" ref="O1121" si="4087">O1118+O1120</f>
        <v>1</v>
      </c>
    </row>
    <row r="1122" spans="1:32" ht="17.149999999999999" x14ac:dyDescent="0.55000000000000004">
      <c r="B1122" t="str">
        <f>B1116</f>
        <v>Portland</v>
      </c>
      <c r="C1122" t="s">
        <v>584</v>
      </c>
      <c r="D1122">
        <f>D1118/D1121</f>
        <v>1</v>
      </c>
      <c r="E1122">
        <f t="shared" ref="E1122" si="4088">E1118/E1121</f>
        <v>1</v>
      </c>
      <c r="F1122">
        <f t="shared" ref="F1122" si="4089">F1118/F1121</f>
        <v>1</v>
      </c>
      <c r="G1122">
        <f t="shared" ref="G1122" si="4090">G1118/G1121</f>
        <v>1</v>
      </c>
      <c r="H1122">
        <f t="shared" ref="H1122" si="4091">H1118/H1121</f>
        <v>1</v>
      </c>
      <c r="I1122">
        <f t="shared" ref="I1122" si="4092">I1118/I1121</f>
        <v>1</v>
      </c>
      <c r="J1122">
        <f t="shared" ref="J1122" si="4093">J1118/J1121</f>
        <v>1</v>
      </c>
      <c r="K1122">
        <f t="shared" ref="K1122" si="4094">K1118/K1121</f>
        <v>1</v>
      </c>
      <c r="L1122">
        <f t="shared" ref="L1122" si="4095">L1118/L1121</f>
        <v>1</v>
      </c>
      <c r="M1122">
        <f t="shared" ref="M1122" si="4096">M1118/M1121</f>
        <v>1</v>
      </c>
      <c r="N1122">
        <f t="shared" ref="N1122" si="4097">N1118/N1121</f>
        <v>1</v>
      </c>
      <c r="O1122">
        <f t="shared" ref="O1122" si="4098">O1118/O1121</f>
        <v>1</v>
      </c>
    </row>
    <row r="1123" spans="1:32" ht="17.149999999999999" x14ac:dyDescent="0.55000000000000004">
      <c r="B1123" t="str">
        <f>B1117</f>
        <v>Portland</v>
      </c>
      <c r="C1123" t="s">
        <v>585</v>
      </c>
      <c r="D1123" t="str">
        <f t="shared" ref="D1123:O1123" si="4099">INDEX(Phys_Prop,MATCH(D1096,Chem_List,0),3)</f>
        <v>N/A</v>
      </c>
      <c r="E1123" t="str">
        <f t="shared" si="4099"/>
        <v>N/A</v>
      </c>
      <c r="F1123" t="str">
        <f t="shared" si="4099"/>
        <v>N/A</v>
      </c>
      <c r="G1123" t="str">
        <f t="shared" si="4099"/>
        <v>N/A</v>
      </c>
      <c r="H1123" t="str">
        <f t="shared" si="4099"/>
        <v>N/A</v>
      </c>
      <c r="I1123" t="str">
        <f t="shared" si="4099"/>
        <v>N/A</v>
      </c>
      <c r="J1123" t="str">
        <f t="shared" si="4099"/>
        <v>N/A</v>
      </c>
      <c r="K1123" t="str">
        <f t="shared" si="4099"/>
        <v>N/A</v>
      </c>
      <c r="L1123" t="str">
        <f t="shared" si="4099"/>
        <v>N/A</v>
      </c>
      <c r="M1123" t="str">
        <f t="shared" si="4099"/>
        <v>N/A</v>
      </c>
      <c r="N1123" t="str">
        <f t="shared" si="4099"/>
        <v>N/A</v>
      </c>
      <c r="O1123" t="str">
        <f t="shared" si="4099"/>
        <v>N/A</v>
      </c>
    </row>
    <row r="1124" spans="1:32" ht="17.149999999999999" x14ac:dyDescent="0.55000000000000004">
      <c r="B1124" t="str">
        <f>B1123</f>
        <v>Portland</v>
      </c>
      <c r="C1124" t="s">
        <v>586</v>
      </c>
      <c r="D1124">
        <f>D1120/D1121</f>
        <v>0</v>
      </c>
      <c r="E1124">
        <f t="shared" ref="E1124:O1124" si="4100">E1120/E1121</f>
        <v>0</v>
      </c>
      <c r="F1124">
        <f t="shared" si="4100"/>
        <v>0</v>
      </c>
      <c r="G1124">
        <f t="shared" si="4100"/>
        <v>0</v>
      </c>
      <c r="H1124">
        <f t="shared" si="4100"/>
        <v>0</v>
      </c>
      <c r="I1124">
        <f t="shared" si="4100"/>
        <v>0</v>
      </c>
      <c r="J1124">
        <f t="shared" si="4100"/>
        <v>0</v>
      </c>
      <c r="K1124">
        <f t="shared" si="4100"/>
        <v>0</v>
      </c>
      <c r="L1124">
        <f t="shared" si="4100"/>
        <v>0</v>
      </c>
      <c r="M1124">
        <f t="shared" si="4100"/>
        <v>0</v>
      </c>
      <c r="N1124">
        <f t="shared" si="4100"/>
        <v>0</v>
      </c>
      <c r="O1124">
        <f t="shared" si="4100"/>
        <v>0</v>
      </c>
    </row>
    <row r="1125" spans="1:32" ht="17.149999999999999" x14ac:dyDescent="0.55000000000000004">
      <c r="B1125" t="str">
        <f t="shared" si="3988"/>
        <v>Portland</v>
      </c>
      <c r="C1125" t="s">
        <v>587</v>
      </c>
      <c r="D1125">
        <f t="shared" ref="D1125:O1125" si="4101">IFERROR(INDEX(Phys_Prop,MATCH(D1098,Chem_List,0),3),0)</f>
        <v>0</v>
      </c>
      <c r="E1125">
        <f t="shared" si="4101"/>
        <v>0</v>
      </c>
      <c r="F1125">
        <f t="shared" si="4101"/>
        <v>0</v>
      </c>
      <c r="G1125">
        <f t="shared" si="4101"/>
        <v>0</v>
      </c>
      <c r="H1125">
        <f t="shared" si="4101"/>
        <v>0</v>
      </c>
      <c r="I1125">
        <f t="shared" si="4101"/>
        <v>0</v>
      </c>
      <c r="J1125">
        <f t="shared" si="4101"/>
        <v>0</v>
      </c>
      <c r="K1125">
        <f t="shared" si="4101"/>
        <v>0</v>
      </c>
      <c r="L1125">
        <f t="shared" si="4101"/>
        <v>0</v>
      </c>
      <c r="M1125">
        <f t="shared" si="4101"/>
        <v>0</v>
      </c>
      <c r="N1125">
        <f t="shared" si="4101"/>
        <v>0</v>
      </c>
      <c r="O1125">
        <f t="shared" si="4101"/>
        <v>0</v>
      </c>
    </row>
    <row r="1126" spans="1:32" ht="17.149999999999999" x14ac:dyDescent="0.55000000000000004">
      <c r="A1126" s="11"/>
      <c r="B1126" s="11" t="str">
        <f t="shared" si="3988"/>
        <v>Portland</v>
      </c>
      <c r="C1126" s="11" t="s">
        <v>588</v>
      </c>
      <c r="D1126" s="11">
        <f>IFERROR(D1122*D1123+D1124*D1125,0)</f>
        <v>0</v>
      </c>
      <c r="E1126" s="11">
        <f t="shared" ref="E1126" si="4102">IFERROR(E1122*E1123+E1124*E1125,0)</f>
        <v>0</v>
      </c>
      <c r="F1126" s="11">
        <f t="shared" ref="F1126" si="4103">IFERROR(F1122*F1123+F1124*F1125,0)</f>
        <v>0</v>
      </c>
      <c r="G1126" s="11">
        <f t="shared" ref="G1126" si="4104">IFERROR(G1122*G1123+G1124*G1125,0)</f>
        <v>0</v>
      </c>
      <c r="H1126" s="11">
        <f t="shared" ref="H1126" si="4105">IFERROR(H1122*H1123+H1124*H1125,0)</f>
        <v>0</v>
      </c>
      <c r="I1126" s="11">
        <f t="shared" ref="I1126" si="4106">IFERROR(I1122*I1123+I1124*I1125,0)</f>
        <v>0</v>
      </c>
      <c r="J1126" s="11">
        <f t="shared" ref="J1126" si="4107">IFERROR(J1122*J1123+J1124*J1125,0)</f>
        <v>0</v>
      </c>
      <c r="K1126" s="11">
        <f t="shared" ref="K1126" si="4108">IFERROR(K1122*K1123+K1124*K1125,0)</f>
        <v>0</v>
      </c>
      <c r="L1126" s="11">
        <f t="shared" ref="L1126" si="4109">IFERROR(L1122*L1123+L1124*L1125,0)</f>
        <v>0</v>
      </c>
      <c r="M1126" s="11">
        <f t="shared" ref="M1126" si="4110">IFERROR(M1122*M1123+M1124*M1125,0)</f>
        <v>0</v>
      </c>
      <c r="N1126" s="11">
        <f t="shared" ref="N1126" si="4111">IFERROR(N1122*N1123+N1124*N1125,0)</f>
        <v>0</v>
      </c>
      <c r="O1126" s="11">
        <f t="shared" ref="O1126" si="4112">IFERROR(O1122*O1123+O1124*O1125,0)</f>
        <v>0</v>
      </c>
      <c r="P1126" s="11"/>
      <c r="Q1126" s="11"/>
      <c r="R1126" s="11"/>
      <c r="S1126" s="11"/>
      <c r="T1126" s="11"/>
      <c r="U1126" s="11"/>
      <c r="V1126" s="11"/>
      <c r="W1126" s="11"/>
      <c r="X1126" s="11"/>
      <c r="Y1126" s="11"/>
      <c r="Z1126" s="11"/>
      <c r="AA1126" s="11"/>
      <c r="AB1126" s="11"/>
      <c r="AC1126" s="11"/>
      <c r="AD1126" s="11"/>
      <c r="AE1126" s="11"/>
      <c r="AF1126" s="11"/>
    </row>
    <row r="1127" spans="1:32" ht="17.149999999999999" x14ac:dyDescent="0.55000000000000004">
      <c r="A1127" t="str" cm="1">
        <f t="array" ref="A1127">INDEX(FX_Input,$Q1127,R$5)</f>
        <v>FX - 34</v>
      </c>
      <c r="B1127" t="str" cm="1">
        <f t="array" ref="B1127">INDEX(FX_Input,Q1127,S1127)</f>
        <v>Portland</v>
      </c>
      <c r="C1127" t="s">
        <v>563</v>
      </c>
      <c r="D1127">
        <v>14.7</v>
      </c>
      <c r="E1127">
        <v>14.7</v>
      </c>
      <c r="F1127">
        <v>14.7</v>
      </c>
      <c r="G1127">
        <v>14.7</v>
      </c>
      <c r="H1127">
        <v>14.7</v>
      </c>
      <c r="I1127">
        <v>14.7</v>
      </c>
      <c r="J1127">
        <v>14.7</v>
      </c>
      <c r="K1127">
        <v>14.7</v>
      </c>
      <c r="L1127">
        <v>14.7</v>
      </c>
      <c r="M1127">
        <v>14.7</v>
      </c>
      <c r="N1127">
        <v>14.7</v>
      </c>
      <c r="O1127">
        <v>14.7</v>
      </c>
      <c r="Q1127">
        <f>Q1093+2</f>
        <v>67</v>
      </c>
      <c r="R1127">
        <v>1</v>
      </c>
      <c r="S1127">
        <v>3</v>
      </c>
      <c r="T1127">
        <v>1</v>
      </c>
      <c r="U1127">
        <v>19</v>
      </c>
      <c r="V1127">
        <v>20</v>
      </c>
      <c r="W1127">
        <v>25</v>
      </c>
      <c r="X1127">
        <v>1</v>
      </c>
      <c r="Y1127">
        <v>2</v>
      </c>
      <c r="Z1127">
        <f>(W1127-V1127)/(Y1127-X1127)</f>
        <v>5</v>
      </c>
      <c r="AA1127">
        <f>V1127-Z1127*X1127</f>
        <v>15</v>
      </c>
      <c r="AD1127">
        <f>AD1093+14</f>
        <v>463</v>
      </c>
      <c r="AF1127">
        <f>AF1093+14</f>
        <v>463</v>
      </c>
    </row>
    <row r="1128" spans="1:32" ht="17.149999999999999" x14ac:dyDescent="0.55000000000000004">
      <c r="B1128" t="str">
        <f t="shared" ref="B1128" si="4113">B1127</f>
        <v>Portland</v>
      </c>
      <c r="C1128" t="s">
        <v>564</v>
      </c>
      <c r="D1128" cm="1">
        <f t="array" ref="D1128">IF(ISBLANK(INDEX(FX_Input,$Q1127,$AB1128)),0.03,INDEX(FX_Input,Q1127,AB1128))</f>
        <v>0.03</v>
      </c>
      <c r="E1128" cm="1">
        <f t="array" ref="E1128">IF(ISBLANK(INDEX(FX_Input,$Q1127,$AB1128)),0.03,INDEX(FX_Input,R1127,#REF!))</f>
        <v>0.03</v>
      </c>
      <c r="F1128" cm="1">
        <f t="array" ref="F1128">IF(ISBLANK(INDEX(FX_Input,$Q1127,$AB1128)),0.03,INDEX(FX_Input,S1127,#REF!))</f>
        <v>0.03</v>
      </c>
      <c r="G1128" cm="1">
        <f t="array" ref="G1128">IF(ISBLANK(INDEX(FX_Input,$Q1127,$AB1128)),0.03,INDEX(FX_Input,AB1127,#REF!))</f>
        <v>0.03</v>
      </c>
      <c r="H1128" cm="1">
        <f t="array" ref="H1128">IF(ISBLANK(INDEX(FX_Input,$Q1127,$AB1128)),0.03,INDEX(FX_Input,#REF!,#REF!))</f>
        <v>0.03</v>
      </c>
      <c r="I1128" cm="1">
        <f t="array" ref="I1128">IF(ISBLANK(INDEX(FX_Input,$Q1127,$AB1128)),0.03,INDEX(FX_Input,#REF!,#REF!))</f>
        <v>0.03</v>
      </c>
      <c r="J1128" cm="1">
        <f t="array" ref="J1128">IF(ISBLANK(INDEX(FX_Input,$Q1127,$AB1128)),0.03,INDEX(FX_Input,#REF!,#REF!))</f>
        <v>0.03</v>
      </c>
      <c r="K1128" cm="1">
        <f t="array" ref="K1128">IF(ISBLANK(INDEX(FX_Input,$Q1127,$AB1128)),0.03,INDEX(FX_Input,#REF!,AC1128))</f>
        <v>0.03</v>
      </c>
      <c r="L1128" cm="1">
        <f t="array" ref="L1128">IF(ISBLANK(INDEX(FX_Input,$Q1127,$AB1128)),0.03,INDEX(FX_Input,#REF!,AD1128))</f>
        <v>0.03</v>
      </c>
      <c r="M1128" cm="1">
        <f t="array" ref="M1128">IF(ISBLANK(INDEX(FX_Input,$Q1127,$AB1128)),0.03,INDEX(FX_Input,#REF!,#REF!))</f>
        <v>0.03</v>
      </c>
      <c r="N1128" cm="1">
        <f t="array" ref="N1128">IF(ISBLANK(INDEX(FX_Input,$Q1127,$AB1128)),0.03,INDEX(FX_Input,AC1127,#REF!))</f>
        <v>0.03</v>
      </c>
      <c r="O1128" cm="1">
        <f t="array" ref="O1128">IF(ISBLANK(INDEX(FX_Input,$Q1127,$AB1128)),0.03,INDEX(FX_Input,AD1127,#REF!))</f>
        <v>0.03</v>
      </c>
      <c r="AB1128">
        <v>15</v>
      </c>
    </row>
    <row r="1129" spans="1:32" ht="17.149999999999999" x14ac:dyDescent="0.55000000000000004">
      <c r="B1129" t="str">
        <f>B1128</f>
        <v>Portland</v>
      </c>
      <c r="C1129" t="s">
        <v>565</v>
      </c>
      <c r="D1129" cm="1">
        <f t="array" ref="D1129">IF(ISBLANK(INDEX(FX_Input,$Q1127,$AB1129)),-0.03,INDEX(FX_Input,Q1127,AB1129))</f>
        <v>-0.03</v>
      </c>
      <c r="E1129" cm="1">
        <f t="array" ref="E1129">IF(ISBLANK(INDEX(FX_Input,$Q1127,$AB1129)),-0.03,INDEX(FX_Input,R1127,#REF!))</f>
        <v>-0.03</v>
      </c>
      <c r="F1129" cm="1">
        <f t="array" ref="F1129">IF(ISBLANK(INDEX(FX_Input,$Q1127,$AB1129)),-0.03,INDEX(FX_Input,S1127,#REF!))</f>
        <v>-0.03</v>
      </c>
      <c r="G1129" cm="1">
        <f t="array" ref="G1129">IF(ISBLANK(INDEX(FX_Input,$Q1127,$AB1129)),-0.03,INDEX(FX_Input,AB1127,#REF!))</f>
        <v>-0.03</v>
      </c>
      <c r="H1129" cm="1">
        <f t="array" ref="H1129">IF(ISBLANK(INDEX(FX_Input,$Q1127,$AB1129)),-0.03,INDEX(FX_Input,#REF!,#REF!))</f>
        <v>-0.03</v>
      </c>
      <c r="I1129" cm="1">
        <f t="array" ref="I1129">IF(ISBLANK(INDEX(FX_Input,$Q1127,$AB1129)),-0.03,INDEX(FX_Input,#REF!,#REF!))</f>
        <v>-0.03</v>
      </c>
      <c r="J1129" cm="1">
        <f t="array" ref="J1129">IF(ISBLANK(INDEX(FX_Input,$Q1127,$AB1129)),-0.03,INDEX(FX_Input,#REF!,#REF!))</f>
        <v>-0.03</v>
      </c>
      <c r="K1129" cm="1">
        <f t="array" ref="K1129">IF(ISBLANK(INDEX(FX_Input,$Q1127,$AB1129)),-0.03,INDEX(FX_Input,#REF!,AC1129))</f>
        <v>-0.03</v>
      </c>
      <c r="L1129" cm="1">
        <f t="array" ref="L1129">IF(ISBLANK(INDEX(FX_Input,$Q1127,$AB1129)),-0.03,INDEX(FX_Input,#REF!,AD1129))</f>
        <v>-0.03</v>
      </c>
      <c r="M1129" cm="1">
        <f t="array" ref="M1129">IF(ISBLANK(INDEX(FX_Input,$Q1127,$AB1129)),-0.03,INDEX(FX_Input,#REF!,#REF!))</f>
        <v>-0.03</v>
      </c>
      <c r="N1129" cm="1">
        <f t="array" ref="N1129">IF(ISBLANK(INDEX(FX_Input,$Q1127,$AB1129)),-0.03,INDEX(FX_Input,AC1127,#REF!))</f>
        <v>-0.03</v>
      </c>
      <c r="O1129" cm="1">
        <f t="array" ref="O1129">IF(ISBLANK(INDEX(FX_Input,$Q1127,$AB1129)),-0.03,INDEX(FX_Input,AD1127,#REF!))</f>
        <v>-0.03</v>
      </c>
      <c r="AB1129">
        <v>16</v>
      </c>
    </row>
    <row r="1130" spans="1:32" x14ac:dyDescent="0.4">
      <c r="B1130" t="str">
        <f t="shared" ref="B1130:B1131" si="4114">B1129</f>
        <v>Portland</v>
      </c>
      <c r="C1130" s="66" t="s">
        <v>567</v>
      </c>
      <c r="D1130" t="str" cm="1">
        <f t="array" ref="D1130">INDEX(FX_Multi,$AD1130,D$3)</f>
        <v>Out of Service</v>
      </c>
      <c r="E1130" t="str" cm="1">
        <f t="array" ref="E1130">INDEX(FX_Multi,$AD1130,E$3)</f>
        <v>Out of Service</v>
      </c>
      <c r="F1130" t="str" cm="1">
        <f t="array" ref="F1130">INDEX(FX_Multi,$AD1130,F$3)</f>
        <v>Out of Service</v>
      </c>
      <c r="G1130" t="str" cm="1">
        <f t="array" ref="G1130">INDEX(FX_Multi,$AD1130,G$3)</f>
        <v>Out of Service</v>
      </c>
      <c r="H1130" t="str" cm="1">
        <f t="array" ref="H1130">INDEX(FX_Multi,$AD1130,H$3)</f>
        <v>Out of Service</v>
      </c>
      <c r="I1130" t="str" cm="1">
        <f t="array" ref="I1130">INDEX(FX_Multi,$AD1130,I$3)</f>
        <v>Out of Service</v>
      </c>
      <c r="J1130" t="str" cm="1">
        <f t="array" ref="J1130">INDEX(FX_Multi,$AD1130,J$3)</f>
        <v>Out of Service</v>
      </c>
      <c r="K1130" t="str" cm="1">
        <f t="array" ref="K1130">INDEX(FX_Multi,$AD1130,K$3)</f>
        <v>Out of Service</v>
      </c>
      <c r="L1130" t="str" cm="1">
        <f t="array" ref="L1130">INDEX(FX_Multi,$AD1130,L$3)</f>
        <v>Out of Service</v>
      </c>
      <c r="M1130" t="str" cm="1">
        <f t="array" ref="M1130">INDEX(FX_Multi,$AD1130,M$3)</f>
        <v>Out of Service</v>
      </c>
      <c r="N1130" t="str" cm="1">
        <f t="array" ref="N1130">INDEX(FX_Multi,$AD1130,N$3)</f>
        <v>Out of Service</v>
      </c>
      <c r="O1130" t="str" cm="1">
        <f t="array" ref="O1130">INDEX(FX_Multi,$AD1130,O$3)</f>
        <v>Out of Service</v>
      </c>
      <c r="AC1130">
        <v>1</v>
      </c>
      <c r="AD1130">
        <f>AD1127</f>
        <v>463</v>
      </c>
      <c r="AE1130">
        <v>1</v>
      </c>
      <c r="AF1130">
        <f>AF1127</f>
        <v>463</v>
      </c>
    </row>
    <row r="1131" spans="1:32" x14ac:dyDescent="0.4">
      <c r="B1131" t="str">
        <f t="shared" si="4114"/>
        <v>Portland</v>
      </c>
      <c r="C1131" s="66" t="s">
        <v>566</v>
      </c>
      <c r="D1131" t="str" cm="1">
        <f t="array" ref="D1131">INDEX(FX_Multi,$AD1131,D$3)</f>
        <v>N/A</v>
      </c>
      <c r="E1131" t="str" cm="1">
        <f t="array" ref="E1131">INDEX(FX_Multi,$AD1131,E$3)</f>
        <v>N/A</v>
      </c>
      <c r="F1131" t="str" cm="1">
        <f t="array" ref="F1131">INDEX(FX_Multi,$AD1131,F$3)</f>
        <v>N/A</v>
      </c>
      <c r="G1131" t="str" cm="1">
        <f t="array" ref="G1131">INDEX(FX_Multi,$AD1131,G$3)</f>
        <v>N/A</v>
      </c>
      <c r="H1131" t="str" cm="1">
        <f t="array" ref="H1131">INDEX(FX_Multi,$AD1131,H$3)</f>
        <v>N/A</v>
      </c>
      <c r="I1131" t="str" cm="1">
        <f t="array" ref="I1131">INDEX(FX_Multi,$AD1131,I$3)</f>
        <v>N/A</v>
      </c>
      <c r="J1131" t="str" cm="1">
        <f t="array" ref="J1131">INDEX(FX_Multi,$AD1131,J$3)</f>
        <v>N/A</v>
      </c>
      <c r="K1131" t="str" cm="1">
        <f t="array" ref="K1131">INDEX(FX_Multi,$AD1131,K$3)</f>
        <v>N/A</v>
      </c>
      <c r="L1131" t="str" cm="1">
        <f t="array" ref="L1131">INDEX(FX_Multi,$AD1131,L$3)</f>
        <v>N/A</v>
      </c>
      <c r="M1131" t="str" cm="1">
        <f t="array" ref="M1131">INDEX(FX_Multi,$AD1131,M$3)</f>
        <v>N/A</v>
      </c>
      <c r="N1131" t="str" cm="1">
        <f t="array" ref="N1131">INDEX(FX_Multi,$AD1131,N$3)</f>
        <v>N/A</v>
      </c>
      <c r="O1131" t="str" cm="1">
        <f t="array" ref="O1131">INDEX(FX_Multi,$AD1131,O$3)</f>
        <v>N/A</v>
      </c>
      <c r="AC1131">
        <v>1</v>
      </c>
      <c r="AD1131">
        <f>AD1130+2</f>
        <v>465</v>
      </c>
      <c r="AE1131">
        <v>1</v>
      </c>
      <c r="AF1131">
        <f>AF1130+3</f>
        <v>466</v>
      </c>
    </row>
    <row r="1132" spans="1:32" x14ac:dyDescent="0.4">
      <c r="B1132" t="str">
        <f>B1128</f>
        <v>Portland</v>
      </c>
      <c r="C1132" s="66" t="s">
        <v>568</v>
      </c>
      <c r="D1132" cm="1">
        <f t="array" ref="D1132">INDEX(FX_Multi,$AD1132,D$3)</f>
        <v>0</v>
      </c>
      <c r="E1132" cm="1">
        <f t="array" ref="E1132">INDEX(FX_Multi,$AD1132,E$3)</f>
        <v>0</v>
      </c>
      <c r="F1132" cm="1">
        <f t="array" ref="F1132">INDEX(FX_Multi,$AD1132,F$3)</f>
        <v>0</v>
      </c>
      <c r="G1132" cm="1">
        <f t="array" ref="G1132">INDEX(FX_Multi,$AD1132,G$3)</f>
        <v>0</v>
      </c>
      <c r="H1132" cm="1">
        <f t="array" ref="H1132">INDEX(FX_Multi,$AD1132,H$3)</f>
        <v>0</v>
      </c>
      <c r="I1132" cm="1">
        <f t="array" ref="I1132">INDEX(FX_Multi,$AD1132,I$3)</f>
        <v>0</v>
      </c>
      <c r="J1132" cm="1">
        <f t="array" ref="J1132">INDEX(FX_Multi,$AD1132,J$3)</f>
        <v>0</v>
      </c>
      <c r="K1132" cm="1">
        <f t="array" ref="K1132">INDEX(FX_Multi,$AD1132,K$3)</f>
        <v>0</v>
      </c>
      <c r="L1132" cm="1">
        <f t="array" ref="L1132">INDEX(FX_Multi,$AD1132,L$3)</f>
        <v>0</v>
      </c>
      <c r="M1132" cm="1">
        <f t="array" ref="M1132">INDEX(FX_Multi,$AD1132,M$3)</f>
        <v>0</v>
      </c>
      <c r="N1132" cm="1">
        <f t="array" ref="N1132">INDEX(FX_Multi,$AD1132,N$3)</f>
        <v>0</v>
      </c>
      <c r="O1132" cm="1">
        <f t="array" ref="O1132">INDEX(FX_Multi,$AD1132,O$3)</f>
        <v>0</v>
      </c>
      <c r="AC1132">
        <v>1</v>
      </c>
      <c r="AD1132">
        <f>AD1131-1</f>
        <v>464</v>
      </c>
      <c r="AE1132">
        <v>1</v>
      </c>
      <c r="AF1132">
        <f>AF1130+1</f>
        <v>464</v>
      </c>
    </row>
    <row r="1133" spans="1:32" x14ac:dyDescent="0.4">
      <c r="B1133" t="str">
        <f t="shared" ref="B1133:B1137" si="4115">B1132</f>
        <v>Portland</v>
      </c>
      <c r="C1133" s="66" t="s">
        <v>569</v>
      </c>
      <c r="D1133" cm="1">
        <f t="array" ref="D1133">INDEX(FX_Multi,$AD1133,D$3)</f>
        <v>0</v>
      </c>
      <c r="E1133" cm="1">
        <f t="array" ref="E1133">INDEX(FX_Multi,$AD1133,E$3)</f>
        <v>0</v>
      </c>
      <c r="F1133" cm="1">
        <f t="array" ref="F1133">INDEX(FX_Multi,$AD1133,F$3)</f>
        <v>0</v>
      </c>
      <c r="G1133" cm="1">
        <f t="array" ref="G1133">INDEX(FX_Multi,$AD1133,G$3)</f>
        <v>0</v>
      </c>
      <c r="H1133" cm="1">
        <f t="array" ref="H1133">INDEX(FX_Multi,$AD1133,H$3)</f>
        <v>0</v>
      </c>
      <c r="I1133" cm="1">
        <f t="array" ref="I1133">INDEX(FX_Multi,$AD1133,I$3)</f>
        <v>0</v>
      </c>
      <c r="J1133" cm="1">
        <f t="array" ref="J1133">INDEX(FX_Multi,$AD1133,J$3)</f>
        <v>0</v>
      </c>
      <c r="K1133" cm="1">
        <f t="array" ref="K1133">INDEX(FX_Multi,$AD1133,K$3)</f>
        <v>0</v>
      </c>
      <c r="L1133" cm="1">
        <f t="array" ref="L1133">INDEX(FX_Multi,$AD1133,L$3)</f>
        <v>0</v>
      </c>
      <c r="M1133" cm="1">
        <f t="array" ref="M1133">INDEX(FX_Multi,$AD1133,M$3)</f>
        <v>0</v>
      </c>
      <c r="N1133" cm="1">
        <f t="array" ref="N1133">INDEX(FX_Multi,$AD1133,N$3)</f>
        <v>0</v>
      </c>
      <c r="O1133" cm="1">
        <f t="array" ref="O1133">INDEX(FX_Multi,$AD1133,O$3)</f>
        <v>0</v>
      </c>
      <c r="AC1133">
        <v>1</v>
      </c>
      <c r="AD1133">
        <f>AD1132+2</f>
        <v>466</v>
      </c>
      <c r="AE1133">
        <v>1</v>
      </c>
      <c r="AF1133">
        <f>AF1131</f>
        <v>466</v>
      </c>
    </row>
    <row r="1134" spans="1:32" ht="17.149999999999999" x14ac:dyDescent="0.55000000000000004">
      <c r="B1134" t="str">
        <f t="shared" si="4115"/>
        <v>Portland</v>
      </c>
      <c r="C1134" t="s">
        <v>570</v>
      </c>
      <c r="D1134" cm="1">
        <f t="array" ref="D1134">INDEX(FX_Multi,$AD1134,D$3)</f>
        <v>1</v>
      </c>
      <c r="E1134" cm="1">
        <f t="array" ref="E1134">INDEX(FX_Multi,$AD1134,E$3)</f>
        <v>1</v>
      </c>
      <c r="F1134" cm="1">
        <f t="array" ref="F1134">INDEX(FX_Multi,$AD1134,F$3)</f>
        <v>1</v>
      </c>
      <c r="G1134" cm="1">
        <f t="array" ref="G1134">INDEX(FX_Multi,$AD1134,G$3)</f>
        <v>1</v>
      </c>
      <c r="H1134" cm="1">
        <f t="array" ref="H1134">INDEX(FX_Multi,$AD1134,H$3)</f>
        <v>1</v>
      </c>
      <c r="I1134" cm="1">
        <f t="array" ref="I1134">INDEX(FX_Multi,$AD1134,I$3)</f>
        <v>1</v>
      </c>
      <c r="J1134" cm="1">
        <f t="array" ref="J1134">INDEX(FX_Multi,$AD1134,J$3)</f>
        <v>1</v>
      </c>
      <c r="K1134" cm="1">
        <f t="array" ref="K1134">INDEX(FX_Multi,$AD1134,K$3)</f>
        <v>1</v>
      </c>
      <c r="L1134" cm="1">
        <f t="array" ref="L1134">INDEX(FX_Multi,$AD1134,L$3)</f>
        <v>1</v>
      </c>
      <c r="M1134" cm="1">
        <f t="array" ref="M1134">INDEX(FX_Multi,$AD1134,M$3)</f>
        <v>1</v>
      </c>
      <c r="N1134" cm="1">
        <f t="array" ref="N1134">INDEX(FX_Multi,$AD1134,N$3)</f>
        <v>1</v>
      </c>
      <c r="O1134" cm="1">
        <f t="array" ref="O1134">INDEX(FX_Multi,$AD1134,O$3)</f>
        <v>1</v>
      </c>
      <c r="AC1134">
        <v>1</v>
      </c>
      <c r="AD1134">
        <f>AD1133+6</f>
        <v>472</v>
      </c>
      <c r="AE1134">
        <v>1</v>
      </c>
      <c r="AF1134">
        <f>AF1130+9</f>
        <v>472</v>
      </c>
    </row>
    <row r="1135" spans="1:32" ht="17.149999999999999" x14ac:dyDescent="0.55000000000000004">
      <c r="B1135" t="str">
        <f t="shared" si="4115"/>
        <v>Portland</v>
      </c>
      <c r="C1135" t="s">
        <v>571</v>
      </c>
      <c r="D1135" t="str" cm="1">
        <f t="array" ref="D1135">INDEX(FX_Multi,$AD1135,D$3)</f>
        <v>N/A</v>
      </c>
      <c r="E1135" t="str" cm="1">
        <f t="array" ref="E1135">INDEX(FX_Multi,$AD1135,E$3)</f>
        <v>N/A</v>
      </c>
      <c r="F1135" t="str" cm="1">
        <f t="array" ref="F1135">INDEX(FX_Multi,$AD1135,F$3)</f>
        <v>N/A</v>
      </c>
      <c r="G1135" t="str" cm="1">
        <f t="array" ref="G1135">INDEX(FX_Multi,$AD1135,G$3)</f>
        <v>N/A</v>
      </c>
      <c r="H1135" t="str" cm="1">
        <f t="array" ref="H1135">INDEX(FX_Multi,$AD1135,H$3)</f>
        <v>N/A</v>
      </c>
      <c r="I1135" t="str" cm="1">
        <f t="array" ref="I1135">INDEX(FX_Multi,$AD1135,I$3)</f>
        <v>N/A</v>
      </c>
      <c r="J1135" t="str" cm="1">
        <f t="array" ref="J1135">INDEX(FX_Multi,$AD1135,J$3)</f>
        <v>N/A</v>
      </c>
      <c r="K1135" t="str" cm="1">
        <f t="array" ref="K1135">INDEX(FX_Multi,$AD1135,K$3)</f>
        <v>N/A</v>
      </c>
      <c r="L1135" t="str" cm="1">
        <f t="array" ref="L1135">INDEX(FX_Multi,$AD1135,L$3)</f>
        <v>N/A</v>
      </c>
      <c r="M1135" t="str" cm="1">
        <f t="array" ref="M1135">INDEX(FX_Multi,$AD1135,M$3)</f>
        <v>N/A</v>
      </c>
      <c r="N1135" t="str" cm="1">
        <f t="array" ref="N1135">INDEX(FX_Multi,$AD1135,N$3)</f>
        <v>N/A</v>
      </c>
      <c r="O1135" t="str" cm="1">
        <f t="array" ref="O1135">INDEX(FX_Multi,$AD1135,O$3)</f>
        <v>N/A</v>
      </c>
      <c r="AC1135">
        <v>1</v>
      </c>
      <c r="AD1135">
        <f>AD1134-3</f>
        <v>469</v>
      </c>
      <c r="AE1135">
        <v>1</v>
      </c>
      <c r="AF1135">
        <f>AF1130+6</f>
        <v>469</v>
      </c>
    </row>
    <row r="1136" spans="1:32" ht="17.149999999999999" x14ac:dyDescent="0.55000000000000004">
      <c r="B1136" t="str">
        <f t="shared" si="4115"/>
        <v>Portland</v>
      </c>
      <c r="C1136" t="s">
        <v>572</v>
      </c>
      <c r="D1136" cm="1">
        <f t="array" ref="D1136">INDEX(FX_Multi,$AD1136,D$3)</f>
        <v>0</v>
      </c>
      <c r="E1136" cm="1">
        <f t="array" ref="E1136">INDEX(FX_Multi,$AD1136,E$3)</f>
        <v>0</v>
      </c>
      <c r="F1136" cm="1">
        <f t="array" ref="F1136">INDEX(FX_Multi,$AD1136,F$3)</f>
        <v>0</v>
      </c>
      <c r="G1136" cm="1">
        <f t="array" ref="G1136">INDEX(FX_Multi,$AD1136,G$3)</f>
        <v>0</v>
      </c>
      <c r="H1136" cm="1">
        <f t="array" ref="H1136">INDEX(FX_Multi,$AD1136,H$3)</f>
        <v>0</v>
      </c>
      <c r="I1136" cm="1">
        <f t="array" ref="I1136">INDEX(FX_Multi,$AD1136,I$3)</f>
        <v>0</v>
      </c>
      <c r="J1136" cm="1">
        <f t="array" ref="J1136">INDEX(FX_Multi,$AD1136,J$3)</f>
        <v>0</v>
      </c>
      <c r="K1136" cm="1">
        <f t="array" ref="K1136">INDEX(FX_Multi,$AD1136,K$3)</f>
        <v>0</v>
      </c>
      <c r="L1136" cm="1">
        <f t="array" ref="L1136">INDEX(FX_Multi,$AD1136,L$3)</f>
        <v>0</v>
      </c>
      <c r="M1136" cm="1">
        <f t="array" ref="M1136">INDEX(FX_Multi,$AD1136,M$3)</f>
        <v>0</v>
      </c>
      <c r="N1136" cm="1">
        <f t="array" ref="N1136">INDEX(FX_Multi,$AD1136,N$3)</f>
        <v>0</v>
      </c>
      <c r="O1136" cm="1">
        <f t="array" ref="O1136">INDEX(FX_Multi,$AD1136,O$3)</f>
        <v>0</v>
      </c>
      <c r="AC1136">
        <v>1</v>
      </c>
      <c r="AD1136">
        <f>AD1135+4</f>
        <v>473</v>
      </c>
      <c r="AE1136">
        <v>1</v>
      </c>
      <c r="AF1136">
        <f>AF1130+10</f>
        <v>473</v>
      </c>
    </row>
    <row r="1137" spans="2:32" ht="17.149999999999999" x14ac:dyDescent="0.55000000000000004">
      <c r="B1137" t="str">
        <f t="shared" si="4115"/>
        <v>Portland</v>
      </c>
      <c r="C1137" t="s">
        <v>573</v>
      </c>
      <c r="D1137" cm="1">
        <f t="array" ref="D1137">INDEX(FX_Multi,$AD1137,D$3)</f>
        <v>0</v>
      </c>
      <c r="E1137" cm="1">
        <f t="array" ref="E1137">INDEX(FX_Multi,$AD1137,E$3)</f>
        <v>0</v>
      </c>
      <c r="F1137" cm="1">
        <f t="array" ref="F1137">INDEX(FX_Multi,$AD1137,F$3)</f>
        <v>0</v>
      </c>
      <c r="G1137" cm="1">
        <f t="array" ref="G1137">INDEX(FX_Multi,$AD1137,G$3)</f>
        <v>0</v>
      </c>
      <c r="H1137" cm="1">
        <f t="array" ref="H1137">INDEX(FX_Multi,$AD1137,H$3)</f>
        <v>0</v>
      </c>
      <c r="I1137" cm="1">
        <f t="array" ref="I1137">INDEX(FX_Multi,$AD1137,I$3)</f>
        <v>0</v>
      </c>
      <c r="J1137" cm="1">
        <f t="array" ref="J1137">INDEX(FX_Multi,$AD1137,J$3)</f>
        <v>0</v>
      </c>
      <c r="K1137" cm="1">
        <f t="array" ref="K1137">INDEX(FX_Multi,$AD1137,K$3)</f>
        <v>0</v>
      </c>
      <c r="L1137" cm="1">
        <f t="array" ref="L1137">INDEX(FX_Multi,$AD1137,L$3)</f>
        <v>0</v>
      </c>
      <c r="M1137" cm="1">
        <f t="array" ref="M1137">INDEX(FX_Multi,$AD1137,M$3)</f>
        <v>0</v>
      </c>
      <c r="N1137" cm="1">
        <f t="array" ref="N1137">INDEX(FX_Multi,$AD1137,N$3)</f>
        <v>0</v>
      </c>
      <c r="O1137" cm="1">
        <f t="array" ref="O1137">INDEX(FX_Multi,$AD1137,O$3)</f>
        <v>0</v>
      </c>
      <c r="AC1137">
        <v>1</v>
      </c>
      <c r="AD1137">
        <f>AD1136-3</f>
        <v>470</v>
      </c>
      <c r="AE1137">
        <v>1</v>
      </c>
      <c r="AF1137">
        <f>AF1130+7</f>
        <v>470</v>
      </c>
    </row>
    <row r="1138" spans="2:32" ht="17.149999999999999" x14ac:dyDescent="0.55000000000000004">
      <c r="B1138" t="str">
        <f>B1133</f>
        <v>Portland</v>
      </c>
      <c r="C1138" t="s">
        <v>526</v>
      </c>
      <c r="D1138" cm="1">
        <f t="array" ref="D1138">INDEX(FX_Temps,$AF1138,D$3)</f>
        <v>43.899999999999977</v>
      </c>
      <c r="E1138" cm="1">
        <f t="array" ref="E1138">INDEX(FX_Temps,$AF1138,E$3)</f>
        <v>44.700000000000045</v>
      </c>
      <c r="F1138" cm="1">
        <f t="array" ref="F1138">INDEX(FX_Temps,$AF1138,F$3)</f>
        <v>46.100000000000023</v>
      </c>
      <c r="G1138" cm="1">
        <f t="array" ref="G1138">INDEX(FX_Temps,$AF1138,G$3)</f>
        <v>48.599999999999966</v>
      </c>
      <c r="H1138" cm="1">
        <f t="array" ref="H1138">INDEX(FX_Temps,$AF1138,H$3)</f>
        <v>53.149999999999977</v>
      </c>
      <c r="I1138" cm="1">
        <f t="array" ref="I1138">INDEX(FX_Temps,$AF1138,I$3)</f>
        <v>56.950000000000045</v>
      </c>
      <c r="J1138" cm="1">
        <f t="array" ref="J1138">INDEX(FX_Temps,$AF1138,J$3)</f>
        <v>60.449999999999932</v>
      </c>
      <c r="K1138" cm="1">
        <f t="array" ref="K1138">INDEX(FX_Temps,$AF1138,K$3)</f>
        <v>60.899999999999977</v>
      </c>
      <c r="L1138" cm="1">
        <f t="array" ref="L1138">INDEX(FX_Temps,$AF1138,L$3)</f>
        <v>58.600000000000023</v>
      </c>
      <c r="M1138" cm="1">
        <f t="array" ref="M1138">INDEX(FX_Temps,$AF1138,M$3)</f>
        <v>52.649999999999977</v>
      </c>
      <c r="N1138" cm="1">
        <f t="array" ref="N1138">INDEX(FX_Temps,$AF1138,N$3)</f>
        <v>47.100000000000023</v>
      </c>
      <c r="O1138" cm="1">
        <f t="array" ref="O1138">INDEX(FX_Temps,$AF1138,O$3)</f>
        <v>43.600000000000023</v>
      </c>
      <c r="AE1138">
        <v>1</v>
      </c>
      <c r="AF1138">
        <f>AF1130+10</f>
        <v>473</v>
      </c>
    </row>
    <row r="1139" spans="2:32" ht="17.149999999999999" x14ac:dyDescent="0.55000000000000004">
      <c r="B1139" t="str">
        <f t="shared" ref="B1139:B1160" si="4116">B1138</f>
        <v>Portland</v>
      </c>
      <c r="C1139" t="s">
        <v>527</v>
      </c>
      <c r="D1139" cm="1">
        <f t="array" ref="D1139">INDEX(FX_Temps,$AF1139,D$3)</f>
        <v>43.899999999999977</v>
      </c>
      <c r="E1139" cm="1">
        <f t="array" ref="E1139">INDEX(FX_Temps,$AF1139,E$3)</f>
        <v>44.700000000000045</v>
      </c>
      <c r="F1139" cm="1">
        <f t="array" ref="F1139">INDEX(FX_Temps,$AF1139,F$3)</f>
        <v>46.100000000000023</v>
      </c>
      <c r="G1139" cm="1">
        <f t="array" ref="G1139">INDEX(FX_Temps,$AF1139,G$3)</f>
        <v>48.599999999999966</v>
      </c>
      <c r="H1139" cm="1">
        <f t="array" ref="H1139">INDEX(FX_Temps,$AF1139,H$3)</f>
        <v>53.149999999999977</v>
      </c>
      <c r="I1139" cm="1">
        <f t="array" ref="I1139">INDEX(FX_Temps,$AF1139,I$3)</f>
        <v>56.950000000000045</v>
      </c>
      <c r="J1139" cm="1">
        <f t="array" ref="J1139">INDEX(FX_Temps,$AF1139,J$3)</f>
        <v>60.449999999999932</v>
      </c>
      <c r="K1139" cm="1">
        <f t="array" ref="K1139">INDEX(FX_Temps,$AF1139,K$3)</f>
        <v>60.899999999999977</v>
      </c>
      <c r="L1139" cm="1">
        <f t="array" ref="L1139">INDEX(FX_Temps,$AF1139,L$3)</f>
        <v>58.600000000000023</v>
      </c>
      <c r="M1139" cm="1">
        <f t="array" ref="M1139">INDEX(FX_Temps,$AF1139,M$3)</f>
        <v>52.649999999999977</v>
      </c>
      <c r="N1139" cm="1">
        <f t="array" ref="N1139">INDEX(FX_Temps,$AF1139,N$3)</f>
        <v>47.100000000000023</v>
      </c>
      <c r="O1139" cm="1">
        <f t="array" ref="O1139">INDEX(FX_Temps,$AF1139,O$3)</f>
        <v>43.600000000000023</v>
      </c>
      <c r="AE1139">
        <f>AE1138</f>
        <v>1</v>
      </c>
      <c r="AF1139">
        <f>AF1130+11</f>
        <v>474</v>
      </c>
    </row>
    <row r="1140" spans="2:32" ht="17.149999999999999" x14ac:dyDescent="0.55000000000000004">
      <c r="B1140" t="str">
        <f t="shared" si="4116"/>
        <v>Portland</v>
      </c>
      <c r="C1140" t="s">
        <v>552</v>
      </c>
      <c r="D1140" cm="1">
        <f t="array" ref="D1140">INDEX(FX_Temps,$AF1140,D$3)</f>
        <v>43.899999999999977</v>
      </c>
      <c r="E1140" cm="1">
        <f t="array" ref="E1140">INDEX(FX_Temps,$AF1140,E$3)</f>
        <v>44.700000000000045</v>
      </c>
      <c r="F1140" cm="1">
        <f t="array" ref="F1140">INDEX(FX_Temps,$AF1140,F$3)</f>
        <v>46.100000000000023</v>
      </c>
      <c r="G1140" cm="1">
        <f t="array" ref="G1140">INDEX(FX_Temps,$AF1140,G$3)</f>
        <v>48.599999999999966</v>
      </c>
      <c r="H1140" cm="1">
        <f t="array" ref="H1140">INDEX(FX_Temps,$AF1140,H$3)</f>
        <v>53.149999999999977</v>
      </c>
      <c r="I1140" cm="1">
        <f t="array" ref="I1140">INDEX(FX_Temps,$AF1140,I$3)</f>
        <v>56.950000000000045</v>
      </c>
      <c r="J1140" cm="1">
        <f t="array" ref="J1140">INDEX(FX_Temps,$AF1140,J$3)</f>
        <v>60.449999999999932</v>
      </c>
      <c r="K1140" cm="1">
        <f t="array" ref="K1140">INDEX(FX_Temps,$AF1140,K$3)</f>
        <v>60.899999999999977</v>
      </c>
      <c r="L1140" cm="1">
        <f t="array" ref="L1140">INDEX(FX_Temps,$AF1140,L$3)</f>
        <v>58.600000000000023</v>
      </c>
      <c r="M1140" cm="1">
        <f t="array" ref="M1140">INDEX(FX_Temps,$AF1140,M$3)</f>
        <v>52.649999999999977</v>
      </c>
      <c r="N1140" cm="1">
        <f t="array" ref="N1140">INDEX(FX_Temps,$AF1140,N$3)</f>
        <v>47.100000000000023</v>
      </c>
      <c r="O1140" cm="1">
        <f t="array" ref="O1140">INDEX(FX_Temps,$AF1140,O$3)</f>
        <v>43.600000000000023</v>
      </c>
      <c r="AE1140">
        <f>AE1139</f>
        <v>1</v>
      </c>
      <c r="AF1140">
        <f>AF1130+13</f>
        <v>476</v>
      </c>
    </row>
    <row r="1141" spans="2:32" ht="17.149999999999999" x14ac:dyDescent="0.55000000000000004">
      <c r="B1141" t="str">
        <f t="shared" si="4116"/>
        <v>Portland</v>
      </c>
      <c r="C1141" t="s">
        <v>574</v>
      </c>
      <c r="D1141" cm="1">
        <f t="array" ref="D1141">IFERROR(IF(D1131="Chemical",(10^(INDEX(Antoines,MATCH(D1130,Antoine_Name,0),2)-INDEX(Antoines,MATCH(D1130,Antoine_Name,0),3)/(INDEX(Antoines,MATCH(D1130,Antoine_Name,0),4)+(D1138-32)*5/9)))*14.7/760,IF(D1131="Crude Oil",EXP((2799/(D1138+459.6)-2.227)*LOG10(INDEX(FX_Input,Q$5,D$3*$Z$5+$AA$5))-(7261/(D1138+459.6))+12.82),IF(D1131="Refined Petroleum Stock",EXP((0.7553-(413/(D1138+459.6)))*(INDEX(FX_Input,Q$5,D$3*$Z$5+$AA$5-1)^0.5)*LOG10(INDEX(FX_Input,Q$5,D$3*$Z$5+$AA$5))-(1.854-(1042/(D1138+459.6)))*(INDEX(FX_Input,Q$5,D$3*$Z$5+$AA$5-1)^0.5)+((2416/(D1138+459.6)-2.013)*LOG10(INDEX(FX_Input,Q$5,D$3*$Z$5+$AA$5)))-(8742/(D1138+459.6))+15.64),EXP(INDEX(Antoines,MATCH(D1130,Antoine_Name,0),2)-INDEX(Antoines,MATCH(D1130,Antoine_Name,0),3)/(D1138+459.6))))),0)</f>
        <v>1</v>
      </c>
      <c r="E1141" cm="1">
        <f t="array" ref="E1141">IFERROR(IF(E1131="Chemical",(10^(INDEX(Antoines,MATCH(E1130,Antoine_Name,0),2)-INDEX(Antoines,MATCH(E1130,Antoine_Name,0),3)/(INDEX(Antoines,MATCH(E1130,Antoine_Name,0),4)+(E1138-32)*5/9)))*14.7/760,IF(E1131="Crude Oil",EXP((2799/(E1138+459.6)-2.227)*LOG10(INDEX(FX_Input,R$5,E$3*$Z$5+$AA$5))-(7261/(E1138+459.6))+12.82),IF(E1131="Refined Petroleum Stock",EXP((0.7553-(413/(E1138+459.6)))*(INDEX(FX_Input,R$5,E$3*$Z$5+$AA$5-1)^0.5)*LOG10(INDEX(FX_Input,R$5,E$3*$Z$5+$AA$5))-(1.854-(1042/(E1138+459.6)))*(INDEX(FX_Input,R$5,E$3*$Z$5+$AA$5-1)^0.5)+((2416/(E1138+459.6)-2.013)*LOG10(INDEX(FX_Input,R$5,E$3*$Z$5+$AA$5)))-(8742/(E1138+459.6))+15.64),EXP(INDEX(Antoines,MATCH(E1130,Antoine_Name,0),2)-INDEX(Antoines,MATCH(E1130,Antoine_Name,0),3)/(E1138+459.6))))),0)</f>
        <v>1</v>
      </c>
      <c r="F1141" cm="1">
        <f t="array" ref="F1141">IFERROR(IF(F1131="Chemical",(10^(INDEX(Antoines,MATCH(F1130,Antoine_Name,0),2)-INDEX(Antoines,MATCH(F1130,Antoine_Name,0),3)/(INDEX(Antoines,MATCH(F1130,Antoine_Name,0),4)+(F1138-32)*5/9)))*14.7/760,IF(F1131="Crude Oil",EXP((2799/(F1138+459.6)-2.227)*LOG10(INDEX(FX_Input,S$5,F$3*$Z$5+$AA$5))-(7261/(F1138+459.6))+12.82),IF(F1131="Refined Petroleum Stock",EXP((0.7553-(413/(F1138+459.6)))*(INDEX(FX_Input,S$5,F$3*$Z$5+$AA$5-1)^0.5)*LOG10(INDEX(FX_Input,S$5,F$3*$Z$5+$AA$5))-(1.854-(1042/(F1138+459.6)))*(INDEX(FX_Input,S$5,F$3*$Z$5+$AA$5-1)^0.5)+((2416/(F1138+459.6)-2.013)*LOG10(INDEX(FX_Input,S$5,F$3*$Z$5+$AA$5)))-(8742/(F1138+459.6))+15.64),EXP(INDEX(Antoines,MATCH(F1130,Antoine_Name,0),2)-INDEX(Antoines,MATCH(F1130,Antoine_Name,0),3)/(F1138+459.6))))),0)</f>
        <v>1</v>
      </c>
      <c r="G1141" cm="1">
        <f t="array" ref="G1141">IFERROR(IF(G1131="Chemical",(10^(INDEX(Antoines,MATCH(G1130,Antoine_Name,0),2)-INDEX(Antoines,MATCH(G1130,Antoine_Name,0),3)/(INDEX(Antoines,MATCH(G1130,Antoine_Name,0),4)+(G1138-32)*5/9)))*14.7/760,IF(G1131="Crude Oil",EXP((2799/(G1138+459.6)-2.227)*LOG10(INDEX(FX_Input,T$5,G$3*$Z$5+$AA$5))-(7261/(G1138+459.6))+12.82),IF(G1131="Refined Petroleum Stock",EXP((0.7553-(413/(G1138+459.6)))*(INDEX(FX_Input,T$5,G$3*$Z$5+$AA$5-1)^0.5)*LOG10(INDEX(FX_Input,T$5,G$3*$Z$5+$AA$5))-(1.854-(1042/(G1138+459.6)))*(INDEX(FX_Input,T$5,G$3*$Z$5+$AA$5-1)^0.5)+((2416/(G1138+459.6)-2.013)*LOG10(INDEX(FX_Input,T$5,G$3*$Z$5+$AA$5)))-(8742/(G1138+459.6))+15.64),EXP(INDEX(Antoines,MATCH(G1130,Antoine_Name,0),2)-INDEX(Antoines,MATCH(G1130,Antoine_Name,0),3)/(G1138+459.6))))),0)</f>
        <v>1</v>
      </c>
      <c r="H1141" cm="1">
        <f t="array" ref="H1141">IFERROR(IF(H1131="Chemical",(10^(INDEX(Antoines,MATCH(H1130,Antoine_Name,0),2)-INDEX(Antoines,MATCH(H1130,Antoine_Name,0),3)/(INDEX(Antoines,MATCH(H1130,Antoine_Name,0),4)+(H1138-32)*5/9)))*14.7/760,IF(H1131="Crude Oil",EXP((2799/(H1138+459.6)-2.227)*LOG10(INDEX(FX_Input,U$5,H$3*$Z$5+$AA$5))-(7261/(H1138+459.6))+12.82),IF(H1131="Refined Petroleum Stock",EXP((0.7553-(413/(H1138+459.6)))*(INDEX(FX_Input,U$5,H$3*$Z$5+$AA$5-1)^0.5)*LOG10(INDEX(FX_Input,U$5,H$3*$Z$5+$AA$5))-(1.854-(1042/(H1138+459.6)))*(INDEX(FX_Input,U$5,H$3*$Z$5+$AA$5-1)^0.5)+((2416/(H1138+459.6)-2.013)*LOG10(INDEX(FX_Input,U$5,H$3*$Z$5+$AA$5)))-(8742/(H1138+459.6))+15.64),EXP(INDEX(Antoines,MATCH(H1130,Antoine_Name,0),2)-INDEX(Antoines,MATCH(H1130,Antoine_Name,0),3)/(H1138+459.6))))),0)</f>
        <v>1</v>
      </c>
      <c r="I1141" cm="1">
        <f t="array" ref="I1141">IFERROR(IF(I1131="Chemical",(10^(INDEX(Antoines,MATCH(I1130,Antoine_Name,0),2)-INDEX(Antoines,MATCH(I1130,Antoine_Name,0),3)/(INDEX(Antoines,MATCH(I1130,Antoine_Name,0),4)+(I1138-32)*5/9)))*14.7/760,IF(I1131="Crude Oil",EXP((2799/(I1138+459.6)-2.227)*LOG10(INDEX(FX_Input,V$5,I$3*$Z$5+$AA$5))-(7261/(I1138+459.6))+12.82),IF(I1131="Refined Petroleum Stock",EXP((0.7553-(413/(I1138+459.6)))*(INDEX(FX_Input,V$5,I$3*$Z$5+$AA$5-1)^0.5)*LOG10(INDEX(FX_Input,V$5,I$3*$Z$5+$AA$5))-(1.854-(1042/(I1138+459.6)))*(INDEX(FX_Input,V$5,I$3*$Z$5+$AA$5-1)^0.5)+((2416/(I1138+459.6)-2.013)*LOG10(INDEX(FX_Input,V$5,I$3*$Z$5+$AA$5)))-(8742/(I1138+459.6))+15.64),EXP(INDEX(Antoines,MATCH(I1130,Antoine_Name,0),2)-INDEX(Antoines,MATCH(I1130,Antoine_Name,0),3)/(I1138+459.6))))),0)</f>
        <v>1</v>
      </c>
      <c r="J1141" cm="1">
        <f t="array" ref="J1141">IFERROR(IF(J1131="Chemical",(10^(INDEX(Antoines,MATCH(J1130,Antoine_Name,0),2)-INDEX(Antoines,MATCH(J1130,Antoine_Name,0),3)/(INDEX(Antoines,MATCH(J1130,Antoine_Name,0),4)+(J1138-32)*5/9)))*14.7/760,IF(J1131="Crude Oil",EXP((2799/(J1138+459.6)-2.227)*LOG10(INDEX(FX_Input,W$5,J$3*$Z$5+$AA$5))-(7261/(J1138+459.6))+12.82),IF(J1131="Refined Petroleum Stock",EXP((0.7553-(413/(J1138+459.6)))*(INDEX(FX_Input,W$5,J$3*$Z$5+$AA$5-1)^0.5)*LOG10(INDEX(FX_Input,W$5,J$3*$Z$5+$AA$5))-(1.854-(1042/(J1138+459.6)))*(INDEX(FX_Input,W$5,J$3*$Z$5+$AA$5-1)^0.5)+((2416/(J1138+459.6)-2.013)*LOG10(INDEX(FX_Input,W$5,J$3*$Z$5+$AA$5)))-(8742/(J1138+459.6))+15.64),EXP(INDEX(Antoines,MATCH(J1130,Antoine_Name,0),2)-INDEX(Antoines,MATCH(J1130,Antoine_Name,0),3)/(J1138+459.6))))),0)</f>
        <v>1</v>
      </c>
      <c r="K1141" cm="1">
        <f t="array" ref="K1141">IFERROR(IF(K1131="Chemical",(10^(INDEX(Antoines,MATCH(K1130,Antoine_Name,0),2)-INDEX(Antoines,MATCH(K1130,Antoine_Name,0),3)/(INDEX(Antoines,MATCH(K1130,Antoine_Name,0),4)+(K1138-32)*5/9)))*14.7/760,IF(K1131="Crude Oil",EXP((2799/(K1138+459.6)-2.227)*LOG10(INDEX(FX_Input,X$5,K$3*$Z$5+$AA$5))-(7261/(K1138+459.6))+12.82),IF(K1131="Refined Petroleum Stock",EXP((0.7553-(413/(K1138+459.6)))*(INDEX(FX_Input,X$5,K$3*$Z$5+$AA$5-1)^0.5)*LOG10(INDEX(FX_Input,X$5,K$3*$Z$5+$AA$5))-(1.854-(1042/(K1138+459.6)))*(INDEX(FX_Input,X$5,K$3*$Z$5+$AA$5-1)^0.5)+((2416/(K1138+459.6)-2.013)*LOG10(INDEX(FX_Input,X$5,K$3*$Z$5+$AA$5)))-(8742/(K1138+459.6))+15.64),EXP(INDEX(Antoines,MATCH(K1130,Antoine_Name,0),2)-INDEX(Antoines,MATCH(K1130,Antoine_Name,0),3)/(K1138+459.6))))),0)</f>
        <v>1</v>
      </c>
      <c r="L1141" cm="1">
        <f t="array" ref="L1141">IFERROR(IF(L1131="Chemical",(10^(INDEX(Antoines,MATCH(L1130,Antoine_Name,0),2)-INDEX(Antoines,MATCH(L1130,Antoine_Name,0),3)/(INDEX(Antoines,MATCH(L1130,Antoine_Name,0),4)+(L1138-32)*5/9)))*14.7/760,IF(L1131="Crude Oil",EXP((2799/(L1138+459.6)-2.227)*LOG10(INDEX(FX_Input,Y$5,L$3*$Z$5+$AA$5))-(7261/(L1138+459.6))+12.82),IF(L1131="Refined Petroleum Stock",EXP((0.7553-(413/(L1138+459.6)))*(INDEX(FX_Input,Y$5,L$3*$Z$5+$AA$5-1)^0.5)*LOG10(INDEX(FX_Input,Y$5,L$3*$Z$5+$AA$5))-(1.854-(1042/(L1138+459.6)))*(INDEX(FX_Input,Y$5,L$3*$Z$5+$AA$5-1)^0.5)+((2416/(L1138+459.6)-2.013)*LOG10(INDEX(FX_Input,Y$5,L$3*$Z$5+$AA$5)))-(8742/(L1138+459.6))+15.64),EXP(INDEX(Antoines,MATCH(L1130,Antoine_Name,0),2)-INDEX(Antoines,MATCH(L1130,Antoine_Name,0),3)/(L1138+459.6))))),0)</f>
        <v>1</v>
      </c>
      <c r="M1141" cm="1">
        <f t="array" ref="M1141">IFERROR(IF(M1131="Chemical",(10^(INDEX(Antoines,MATCH(M1130,Antoine_Name,0),2)-INDEX(Antoines,MATCH(M1130,Antoine_Name,0),3)/(INDEX(Antoines,MATCH(M1130,Antoine_Name,0),4)+(M1138-32)*5/9)))*14.7/760,IF(M1131="Crude Oil",EXP((2799/(M1138+459.6)-2.227)*LOG10(INDEX(FX_Input,Z$5,M$3*$Z$5+$AA$5))-(7261/(M1138+459.6))+12.82),IF(M1131="Refined Petroleum Stock",EXP((0.7553-(413/(M1138+459.6)))*(INDEX(FX_Input,Z$5,M$3*$Z$5+$AA$5-1)^0.5)*LOG10(INDEX(FX_Input,Z$5,M$3*$Z$5+$AA$5))-(1.854-(1042/(M1138+459.6)))*(INDEX(FX_Input,Z$5,M$3*$Z$5+$AA$5-1)^0.5)+((2416/(M1138+459.6)-2.013)*LOG10(INDEX(FX_Input,Z$5,M$3*$Z$5+$AA$5)))-(8742/(M1138+459.6))+15.64),EXP(INDEX(Antoines,MATCH(M1130,Antoine_Name,0),2)-INDEX(Antoines,MATCH(M1130,Antoine_Name,0),3)/(M1138+459.6))))),0)</f>
        <v>1</v>
      </c>
      <c r="N1141" cm="1">
        <f t="array" ref="N1141">IFERROR(IF(N1131="Chemical",(10^(INDEX(Antoines,MATCH(N1130,Antoine_Name,0),2)-INDEX(Antoines,MATCH(N1130,Antoine_Name,0),3)/(INDEX(Antoines,MATCH(N1130,Antoine_Name,0),4)+(N1138-32)*5/9)))*14.7/760,IF(N1131="Crude Oil",EXP((2799/(N1138+459.6)-2.227)*LOG10(INDEX(FX_Input,AA$5,N$3*$Z$5+$AA$5))-(7261/(N1138+459.6))+12.82),IF(N1131="Refined Petroleum Stock",EXP((0.7553-(413/(N1138+459.6)))*(INDEX(FX_Input,AA$5,N$3*$Z$5+$AA$5-1)^0.5)*LOG10(INDEX(FX_Input,AA$5,N$3*$Z$5+$AA$5))-(1.854-(1042/(N1138+459.6)))*(INDEX(FX_Input,AA$5,N$3*$Z$5+$AA$5-1)^0.5)+((2416/(N1138+459.6)-2.013)*LOG10(INDEX(FX_Input,AA$5,N$3*$Z$5+$AA$5)))-(8742/(N1138+459.6))+15.64),EXP(INDEX(Antoines,MATCH(N1130,Antoine_Name,0),2)-INDEX(Antoines,MATCH(N1130,Antoine_Name,0),3)/(N1138+459.6))))),0)</f>
        <v>1</v>
      </c>
      <c r="O1141" cm="1">
        <f t="array" ref="O1141">IFERROR(IF(O1131="Chemical",(10^(INDEX(Antoines,MATCH(O1130,Antoine_Name,0),2)-INDEX(Antoines,MATCH(O1130,Antoine_Name,0),3)/(INDEX(Antoines,MATCH(O1130,Antoine_Name,0),4)+(O1138-32)*5/9)))*14.7/760,IF(O1131="Crude Oil",EXP((2799/(O1138+459.6)-2.227)*LOG10(INDEX(FX_Input,AB$5,O$3*$Z$5+$AA$5))-(7261/(O1138+459.6))+12.82),IF(O1131="Refined Petroleum Stock",EXP((0.7553-(413/(O1138+459.6)))*(INDEX(FX_Input,AB$5,O$3*$Z$5+$AA$5-1)^0.5)*LOG10(INDEX(FX_Input,AB$5,O$3*$Z$5+$AA$5))-(1.854-(1042/(O1138+459.6)))*(INDEX(FX_Input,AB$5,O$3*$Z$5+$AA$5-1)^0.5)+((2416/(O1138+459.6)-2.013)*LOG10(INDEX(FX_Input,AB$5,O$3*$Z$5+$AA$5)))-(8742/(O1138+459.6))+15.64),EXP(INDEX(Antoines,MATCH(O1130,Antoine_Name,0),2)-INDEX(Antoines,MATCH(O1130,Antoine_Name,0),3)/(O1138+459.6))))),0)</f>
        <v>1</v>
      </c>
    </row>
    <row r="1142" spans="2:32" ht="17.149999999999999" x14ac:dyDescent="0.55000000000000004">
      <c r="B1142" t="str">
        <f t="shared" si="4116"/>
        <v>Portland</v>
      </c>
      <c r="C1142" t="s">
        <v>576</v>
      </c>
      <c r="D1142">
        <f>D1134*D1141</f>
        <v>1</v>
      </c>
      <c r="E1142">
        <f t="shared" ref="E1142" si="4117">E1134*E1141</f>
        <v>1</v>
      </c>
      <c r="F1142">
        <f t="shared" ref="F1142" si="4118">F1134*F1141</f>
        <v>1</v>
      </c>
      <c r="G1142">
        <f t="shared" ref="G1142" si="4119">G1134*G1141</f>
        <v>1</v>
      </c>
      <c r="H1142">
        <f t="shared" ref="H1142" si="4120">H1134*H1141</f>
        <v>1</v>
      </c>
      <c r="I1142">
        <f t="shared" ref="I1142" si="4121">I1134*I1141</f>
        <v>1</v>
      </c>
      <c r="J1142">
        <f t="shared" ref="J1142" si="4122">J1134*J1141</f>
        <v>1</v>
      </c>
      <c r="K1142">
        <f t="shared" ref="K1142" si="4123">K1134*K1141</f>
        <v>1</v>
      </c>
      <c r="L1142">
        <f t="shared" ref="L1142" si="4124">L1134*L1141</f>
        <v>1</v>
      </c>
      <c r="M1142">
        <f t="shared" ref="M1142" si="4125">M1134*M1141</f>
        <v>1</v>
      </c>
      <c r="N1142">
        <f t="shared" ref="N1142" si="4126">N1134*N1141</f>
        <v>1</v>
      </c>
      <c r="O1142">
        <f t="shared" ref="O1142" si="4127">O1134*O1141</f>
        <v>1</v>
      </c>
    </row>
    <row r="1143" spans="2:32" ht="17.149999999999999" x14ac:dyDescent="0.55000000000000004">
      <c r="B1143" t="str">
        <f t="shared" si="4116"/>
        <v>Portland</v>
      </c>
      <c r="C1143" t="s">
        <v>575</v>
      </c>
      <c r="D1143" cm="1">
        <f t="array" ref="D1143">IFERROR(IF(D1133="Chemical",(10^(INDEX(Antoines,MATCH(D1132,Antoine_Name,0),2)-INDEX(Antoines,MATCH(D1132,Antoine_Name,0),3)/(INDEX(Antoines,MATCH(D1132,Antoine_Name,0),4)+(D1138-32)*5/9)))*14.7/760,IF(D1133="Crude Oil",EXP((2799/(D1138+459.6)-2.227)*LOG10(INDEX(FX_Input,Q$5,D$3*$Z$5+$AA$5))-(7261/(D1138+459.6))+12.82),IF(D1133="Refined Petroleum Stock",EXP((0.7553-(413/(D1138+459.6)))*(INDEX(FX_Input,Q$5,D$3*$Z$5+$AA$5-1)^0.5)*LOG10(INDEX(FX_Input,Q$5,D$3*$Z$5+$AA$5))-(1.854-(1042/(D1138+459.6)))*(INDEX(FX_Input,Q$5,D$3*$Z$5+$AA$5-1)^0.5)+((2416/(D1138+459.6)-2.013)*LOG10(INDEX(FX_Input,Q$5,D$3*$Z$5+$AA$5)))-(8742/(D1138+459.6))+15.64),EXP(INDEX(Antoines,MATCH(D1132,Antoine_Name,0),2)-INDEX(Antoines,MATCH(D1132,Antoine_Name,0),3)/(D1138+459.6))))),0)</f>
        <v>0</v>
      </c>
      <c r="E1143" cm="1">
        <f t="array" ref="E1143">IFERROR(IF(E1133="Chemical",(10^(INDEX(Antoines,MATCH(E1132,Antoine_Name,0),2)-INDEX(Antoines,MATCH(E1132,Antoine_Name,0),3)/(INDEX(Antoines,MATCH(E1132,Antoine_Name,0),4)+(E1138-32)*5/9)))*14.7/760,IF(E1133="Crude Oil",EXP((2799/(E1138+459.6)-2.227)*LOG10(INDEX(FX_Input,R$5,E$3*$Z$5+$AA$5))-(7261/(E1138+459.6))+12.82),IF(E1133="Refined Petroleum Stock",EXP((0.7553-(413/(E1138+459.6)))*(INDEX(FX_Input,R$5,E$3*$Z$5+$AA$5-1)^0.5)*LOG10(INDEX(FX_Input,R$5,E$3*$Z$5+$AA$5))-(1.854-(1042/(E1138+459.6)))*(INDEX(FX_Input,R$5,E$3*$Z$5+$AA$5-1)^0.5)+((2416/(E1138+459.6)-2.013)*LOG10(INDEX(FX_Input,R$5,E$3*$Z$5+$AA$5)))-(8742/(E1138+459.6))+15.64),EXP(INDEX(Antoines,MATCH(E1132,Antoine_Name,0),2)-INDEX(Antoines,MATCH(E1132,Antoine_Name,0),3)/(E1138+459.6))))),0)</f>
        <v>0</v>
      </c>
      <c r="F1143" cm="1">
        <f t="array" ref="F1143">IFERROR(IF(F1133="Chemical",(10^(INDEX(Antoines,MATCH(F1132,Antoine_Name,0),2)-INDEX(Antoines,MATCH(F1132,Antoine_Name,0),3)/(INDEX(Antoines,MATCH(F1132,Antoine_Name,0),4)+(F1138-32)*5/9)))*14.7/760,IF(F1133="Crude Oil",EXP((2799/(F1138+459.6)-2.227)*LOG10(INDEX(FX_Input,S$5,F$3*$Z$5+$AA$5))-(7261/(F1138+459.6))+12.82),IF(F1133="Refined Petroleum Stock",EXP((0.7553-(413/(F1138+459.6)))*(INDEX(FX_Input,S$5,F$3*$Z$5+$AA$5-1)^0.5)*LOG10(INDEX(FX_Input,S$5,F$3*$Z$5+$AA$5))-(1.854-(1042/(F1138+459.6)))*(INDEX(FX_Input,S$5,F$3*$Z$5+$AA$5-1)^0.5)+((2416/(F1138+459.6)-2.013)*LOG10(INDEX(FX_Input,S$5,F$3*$Z$5+$AA$5)))-(8742/(F1138+459.6))+15.64),EXP(INDEX(Antoines,MATCH(F1132,Antoine_Name,0),2)-INDEX(Antoines,MATCH(F1132,Antoine_Name,0),3)/(F1138+459.6))))),0)</f>
        <v>0</v>
      </c>
      <c r="G1143" cm="1">
        <f t="array" ref="G1143">IFERROR(IF(G1133="Chemical",(10^(INDEX(Antoines,MATCH(G1132,Antoine_Name,0),2)-INDEX(Antoines,MATCH(G1132,Antoine_Name,0),3)/(INDEX(Antoines,MATCH(G1132,Antoine_Name,0),4)+(G1138-32)*5/9)))*14.7/760,IF(G1133="Crude Oil",EXP((2799/(G1138+459.6)-2.227)*LOG10(INDEX(FX_Input,T$5,G$3*$Z$5+$AA$5))-(7261/(G1138+459.6))+12.82),IF(G1133="Refined Petroleum Stock",EXP((0.7553-(413/(G1138+459.6)))*(INDEX(FX_Input,T$5,G$3*$Z$5+$AA$5-1)^0.5)*LOG10(INDEX(FX_Input,T$5,G$3*$Z$5+$AA$5))-(1.854-(1042/(G1138+459.6)))*(INDEX(FX_Input,T$5,G$3*$Z$5+$AA$5-1)^0.5)+((2416/(G1138+459.6)-2.013)*LOG10(INDEX(FX_Input,T$5,G$3*$Z$5+$AA$5)))-(8742/(G1138+459.6))+15.64),EXP(INDEX(Antoines,MATCH(G1132,Antoine_Name,0),2)-INDEX(Antoines,MATCH(G1132,Antoine_Name,0),3)/(G1138+459.6))))),0)</f>
        <v>0</v>
      </c>
      <c r="H1143" cm="1">
        <f t="array" ref="H1143">IFERROR(IF(H1133="Chemical",(10^(INDEX(Antoines,MATCH(H1132,Antoine_Name,0),2)-INDEX(Antoines,MATCH(H1132,Antoine_Name,0),3)/(INDEX(Antoines,MATCH(H1132,Antoine_Name,0),4)+(H1138-32)*5/9)))*14.7/760,IF(H1133="Crude Oil",EXP((2799/(H1138+459.6)-2.227)*LOG10(INDEX(FX_Input,U$5,H$3*$Z$5+$AA$5))-(7261/(H1138+459.6))+12.82),IF(H1133="Refined Petroleum Stock",EXP((0.7553-(413/(H1138+459.6)))*(INDEX(FX_Input,U$5,H$3*$Z$5+$AA$5-1)^0.5)*LOG10(INDEX(FX_Input,U$5,H$3*$Z$5+$AA$5))-(1.854-(1042/(H1138+459.6)))*(INDEX(FX_Input,U$5,H$3*$Z$5+$AA$5-1)^0.5)+((2416/(H1138+459.6)-2.013)*LOG10(INDEX(FX_Input,U$5,H$3*$Z$5+$AA$5)))-(8742/(H1138+459.6))+15.64),EXP(INDEX(Antoines,MATCH(H1132,Antoine_Name,0),2)-INDEX(Antoines,MATCH(H1132,Antoine_Name,0),3)/(H1138+459.6))))),0)</f>
        <v>0</v>
      </c>
      <c r="I1143" cm="1">
        <f t="array" ref="I1143">IFERROR(IF(I1133="Chemical",(10^(INDEX(Antoines,MATCH(I1132,Antoine_Name,0),2)-INDEX(Antoines,MATCH(I1132,Antoine_Name,0),3)/(INDEX(Antoines,MATCH(I1132,Antoine_Name,0),4)+(I1138-32)*5/9)))*14.7/760,IF(I1133="Crude Oil",EXP((2799/(I1138+459.6)-2.227)*LOG10(INDEX(FX_Input,V$5,I$3*$Z$5+$AA$5))-(7261/(I1138+459.6))+12.82),IF(I1133="Refined Petroleum Stock",EXP((0.7553-(413/(I1138+459.6)))*(INDEX(FX_Input,V$5,I$3*$Z$5+$AA$5-1)^0.5)*LOG10(INDEX(FX_Input,V$5,I$3*$Z$5+$AA$5))-(1.854-(1042/(I1138+459.6)))*(INDEX(FX_Input,V$5,I$3*$Z$5+$AA$5-1)^0.5)+((2416/(I1138+459.6)-2.013)*LOG10(INDEX(FX_Input,V$5,I$3*$Z$5+$AA$5)))-(8742/(I1138+459.6))+15.64),EXP(INDEX(Antoines,MATCH(I1132,Antoine_Name,0),2)-INDEX(Antoines,MATCH(I1132,Antoine_Name,0),3)/(I1138+459.6))))),0)</f>
        <v>0</v>
      </c>
      <c r="J1143" cm="1">
        <f t="array" ref="J1143">IFERROR(IF(J1133="Chemical",(10^(INDEX(Antoines,MATCH(J1132,Antoine_Name,0),2)-INDEX(Antoines,MATCH(J1132,Antoine_Name,0),3)/(INDEX(Antoines,MATCH(J1132,Antoine_Name,0),4)+(J1138-32)*5/9)))*14.7/760,IF(J1133="Crude Oil",EXP((2799/(J1138+459.6)-2.227)*LOG10(INDEX(FX_Input,W$5,J$3*$Z$5+$AA$5))-(7261/(J1138+459.6))+12.82),IF(J1133="Refined Petroleum Stock",EXP((0.7553-(413/(J1138+459.6)))*(INDEX(FX_Input,W$5,J$3*$Z$5+$AA$5-1)^0.5)*LOG10(INDEX(FX_Input,W$5,J$3*$Z$5+$AA$5))-(1.854-(1042/(J1138+459.6)))*(INDEX(FX_Input,W$5,J$3*$Z$5+$AA$5-1)^0.5)+((2416/(J1138+459.6)-2.013)*LOG10(INDEX(FX_Input,W$5,J$3*$Z$5+$AA$5)))-(8742/(J1138+459.6))+15.64),EXP(INDEX(Antoines,MATCH(J1132,Antoine_Name,0),2)-INDEX(Antoines,MATCH(J1132,Antoine_Name,0),3)/(J1138+459.6))))),0)</f>
        <v>0</v>
      </c>
      <c r="K1143" cm="1">
        <f t="array" ref="K1143">IFERROR(IF(K1133="Chemical",(10^(INDEX(Antoines,MATCH(K1132,Antoine_Name,0),2)-INDEX(Antoines,MATCH(K1132,Antoine_Name,0),3)/(INDEX(Antoines,MATCH(K1132,Antoine_Name,0),4)+(K1138-32)*5/9)))*14.7/760,IF(K1133="Crude Oil",EXP((2799/(K1138+459.6)-2.227)*LOG10(INDEX(FX_Input,X$5,K$3*$Z$5+$AA$5))-(7261/(K1138+459.6))+12.82),IF(K1133="Refined Petroleum Stock",EXP((0.7553-(413/(K1138+459.6)))*(INDEX(FX_Input,X$5,K$3*$Z$5+$AA$5-1)^0.5)*LOG10(INDEX(FX_Input,X$5,K$3*$Z$5+$AA$5))-(1.854-(1042/(K1138+459.6)))*(INDEX(FX_Input,X$5,K$3*$Z$5+$AA$5-1)^0.5)+((2416/(K1138+459.6)-2.013)*LOG10(INDEX(FX_Input,X$5,K$3*$Z$5+$AA$5)))-(8742/(K1138+459.6))+15.64),EXP(INDEX(Antoines,MATCH(K1132,Antoine_Name,0),2)-INDEX(Antoines,MATCH(K1132,Antoine_Name,0),3)/(K1138+459.6))))),0)</f>
        <v>0</v>
      </c>
      <c r="L1143" cm="1">
        <f t="array" ref="L1143">IFERROR(IF(L1133="Chemical",(10^(INDEX(Antoines,MATCH(L1132,Antoine_Name,0),2)-INDEX(Antoines,MATCH(L1132,Antoine_Name,0),3)/(INDEX(Antoines,MATCH(L1132,Antoine_Name,0),4)+(L1138-32)*5/9)))*14.7/760,IF(L1133="Crude Oil",EXP((2799/(L1138+459.6)-2.227)*LOG10(INDEX(FX_Input,Y$5,L$3*$Z$5+$AA$5))-(7261/(L1138+459.6))+12.82),IF(L1133="Refined Petroleum Stock",EXP((0.7553-(413/(L1138+459.6)))*(INDEX(FX_Input,Y$5,L$3*$Z$5+$AA$5-1)^0.5)*LOG10(INDEX(FX_Input,Y$5,L$3*$Z$5+$AA$5))-(1.854-(1042/(L1138+459.6)))*(INDEX(FX_Input,Y$5,L$3*$Z$5+$AA$5-1)^0.5)+((2416/(L1138+459.6)-2.013)*LOG10(INDEX(FX_Input,Y$5,L$3*$Z$5+$AA$5)))-(8742/(L1138+459.6))+15.64),EXP(INDEX(Antoines,MATCH(L1132,Antoine_Name,0),2)-INDEX(Antoines,MATCH(L1132,Antoine_Name,0),3)/(L1138+459.6))))),0)</f>
        <v>0</v>
      </c>
      <c r="M1143" cm="1">
        <f t="array" ref="M1143">IFERROR(IF(M1133="Chemical",(10^(INDEX(Antoines,MATCH(M1132,Antoine_Name,0),2)-INDEX(Antoines,MATCH(M1132,Antoine_Name,0),3)/(INDEX(Antoines,MATCH(M1132,Antoine_Name,0),4)+(M1138-32)*5/9)))*14.7/760,IF(M1133="Crude Oil",EXP((2799/(M1138+459.6)-2.227)*LOG10(INDEX(FX_Input,Z$5,M$3*$Z$5+$AA$5))-(7261/(M1138+459.6))+12.82),IF(M1133="Refined Petroleum Stock",EXP((0.7553-(413/(M1138+459.6)))*(INDEX(FX_Input,Z$5,M$3*$Z$5+$AA$5-1)^0.5)*LOG10(INDEX(FX_Input,Z$5,M$3*$Z$5+$AA$5))-(1.854-(1042/(M1138+459.6)))*(INDEX(FX_Input,Z$5,M$3*$Z$5+$AA$5-1)^0.5)+((2416/(M1138+459.6)-2.013)*LOG10(INDEX(FX_Input,Z$5,M$3*$Z$5+$AA$5)))-(8742/(M1138+459.6))+15.64),EXP(INDEX(Antoines,MATCH(M1132,Antoine_Name,0),2)-INDEX(Antoines,MATCH(M1132,Antoine_Name,0),3)/(M1138+459.6))))),0)</f>
        <v>0</v>
      </c>
      <c r="N1143" cm="1">
        <f t="array" ref="N1143">IFERROR(IF(N1133="Chemical",(10^(INDEX(Antoines,MATCH(N1132,Antoine_Name,0),2)-INDEX(Antoines,MATCH(N1132,Antoine_Name,0),3)/(INDEX(Antoines,MATCH(N1132,Antoine_Name,0),4)+(N1138-32)*5/9)))*14.7/760,IF(N1133="Crude Oil",EXP((2799/(N1138+459.6)-2.227)*LOG10(INDEX(FX_Input,AA$5,N$3*$Z$5+$AA$5))-(7261/(N1138+459.6))+12.82),IF(N1133="Refined Petroleum Stock",EXP((0.7553-(413/(N1138+459.6)))*(INDEX(FX_Input,AA$5,N$3*$Z$5+$AA$5-1)^0.5)*LOG10(INDEX(FX_Input,AA$5,N$3*$Z$5+$AA$5))-(1.854-(1042/(N1138+459.6)))*(INDEX(FX_Input,AA$5,N$3*$Z$5+$AA$5-1)^0.5)+((2416/(N1138+459.6)-2.013)*LOG10(INDEX(FX_Input,AA$5,N$3*$Z$5+$AA$5)))-(8742/(N1138+459.6))+15.64),EXP(INDEX(Antoines,MATCH(N1132,Antoine_Name,0),2)-INDEX(Antoines,MATCH(N1132,Antoine_Name,0),3)/(N1138+459.6))))),0)</f>
        <v>0</v>
      </c>
      <c r="O1143" cm="1">
        <f t="array" ref="O1143">IFERROR(IF(O1133="Chemical",(10^(INDEX(Antoines,MATCH(O1132,Antoine_Name,0),2)-INDEX(Antoines,MATCH(O1132,Antoine_Name,0),3)/(INDEX(Antoines,MATCH(O1132,Antoine_Name,0),4)+(O1138-32)*5/9)))*14.7/760,IF(O1133="Crude Oil",EXP((2799/(O1138+459.6)-2.227)*LOG10(INDEX(FX_Input,AB$5,O$3*$Z$5+$AA$5))-(7261/(O1138+459.6))+12.82),IF(O1133="Refined Petroleum Stock",EXP((0.7553-(413/(O1138+459.6)))*(INDEX(FX_Input,AB$5,O$3*$Z$5+$AA$5-1)^0.5)*LOG10(INDEX(FX_Input,AB$5,O$3*$Z$5+$AA$5))-(1.854-(1042/(O1138+459.6)))*(INDEX(FX_Input,AB$5,O$3*$Z$5+$AA$5-1)^0.5)+((2416/(O1138+459.6)-2.013)*LOG10(INDEX(FX_Input,AB$5,O$3*$Z$5+$AA$5)))-(8742/(O1138+459.6))+15.64),EXP(INDEX(Antoines,MATCH(O1132,Antoine_Name,0),2)-INDEX(Antoines,MATCH(O1132,Antoine_Name,0),3)/(O1138+459.6))))),0)</f>
        <v>0</v>
      </c>
    </row>
    <row r="1144" spans="2:32" ht="17.149999999999999" x14ac:dyDescent="0.55000000000000004">
      <c r="B1144" t="str">
        <f t="shared" si="4116"/>
        <v>Portland</v>
      </c>
      <c r="C1144" t="s">
        <v>577</v>
      </c>
      <c r="D1144">
        <f>D1143*D1136</f>
        <v>0</v>
      </c>
      <c r="E1144">
        <f t="shared" ref="E1144" si="4128">E1143*E1136</f>
        <v>0</v>
      </c>
      <c r="F1144">
        <f t="shared" ref="F1144" si="4129">F1143*F1136</f>
        <v>0</v>
      </c>
      <c r="G1144">
        <f t="shared" ref="G1144" si="4130">G1143*G1136</f>
        <v>0</v>
      </c>
      <c r="H1144">
        <f t="shared" ref="H1144" si="4131">H1143*H1136</f>
        <v>0</v>
      </c>
      <c r="I1144">
        <f t="shared" ref="I1144" si="4132">I1143*I1136</f>
        <v>0</v>
      </c>
      <c r="J1144">
        <f t="shared" ref="J1144" si="4133">J1143*J1136</f>
        <v>0</v>
      </c>
      <c r="K1144">
        <f t="shared" ref="K1144" si="4134">K1143*K1136</f>
        <v>0</v>
      </c>
      <c r="L1144">
        <f t="shared" ref="L1144" si="4135">L1143*L1136</f>
        <v>0</v>
      </c>
      <c r="M1144">
        <f t="shared" ref="M1144" si="4136">M1143*M1136</f>
        <v>0</v>
      </c>
      <c r="N1144">
        <f t="shared" ref="N1144" si="4137">N1143*N1136</f>
        <v>0</v>
      </c>
      <c r="O1144">
        <f t="shared" ref="O1144" si="4138">O1143*O1136</f>
        <v>0</v>
      </c>
    </row>
    <row r="1145" spans="2:32" ht="17.149999999999999" x14ac:dyDescent="0.55000000000000004">
      <c r="B1145" t="str">
        <f t="shared" si="4116"/>
        <v>Portland</v>
      </c>
      <c r="C1145" t="s">
        <v>578</v>
      </c>
      <c r="D1145">
        <f>D1144+D1142</f>
        <v>1</v>
      </c>
      <c r="E1145">
        <f t="shared" ref="E1145" si="4139">E1144+E1142</f>
        <v>1</v>
      </c>
      <c r="F1145">
        <f t="shared" ref="F1145" si="4140">F1144+F1142</f>
        <v>1</v>
      </c>
      <c r="G1145">
        <f t="shared" ref="G1145" si="4141">G1144+G1142</f>
        <v>1</v>
      </c>
      <c r="H1145">
        <f t="shared" ref="H1145" si="4142">H1144+H1142</f>
        <v>1</v>
      </c>
      <c r="I1145">
        <f t="shared" ref="I1145" si="4143">I1144+I1142</f>
        <v>1</v>
      </c>
      <c r="J1145">
        <f t="shared" ref="J1145" si="4144">J1144+J1142</f>
        <v>1</v>
      </c>
      <c r="K1145">
        <f t="shared" ref="K1145" si="4145">K1144+K1142</f>
        <v>1</v>
      </c>
      <c r="L1145">
        <f t="shared" ref="L1145" si="4146">L1144+L1142</f>
        <v>1</v>
      </c>
      <c r="M1145">
        <f t="shared" ref="M1145" si="4147">M1144+M1142</f>
        <v>1</v>
      </c>
      <c r="N1145">
        <f t="shared" ref="N1145" si="4148">N1144+N1142</f>
        <v>1</v>
      </c>
      <c r="O1145">
        <f t="shared" ref="O1145" si="4149">O1144+O1142</f>
        <v>1</v>
      </c>
    </row>
    <row r="1146" spans="2:32" ht="17.149999999999999" x14ac:dyDescent="0.55000000000000004">
      <c r="B1146" t="str">
        <f t="shared" si="4116"/>
        <v>Portland</v>
      </c>
      <c r="C1146" t="s">
        <v>579</v>
      </c>
      <c r="D1146" cm="1">
        <f t="array" ref="D1146">IFERROR(IF(D1131="Chemical",(10^(INDEX(Antoines,MATCH(D1130,Antoine_Name,0),2)-INDEX(Antoines,MATCH(D1130,Antoine_Name,0),3)/(INDEX(Antoines,MATCH(D1130,Antoine_Name,0),4)+(D1139-32)*5/9)))*14.7/760,IF(D1131="Crude Oil",EXP((2799/(D1139+459.6)-2.227)*LOG10(INDEX(FX_Input,Q$5,D$3*$Z$5+$AA$5))-(7261/(D1139+459.6))+12.82),IF(D1131="Refined Petroleum Stock",EXP((0.7553-(413/(D1139+459.6)))*(INDEX(FX_Input,Q$5,D$3*$Z$5+$AA$5-1)^0.5)*LOG10(INDEX(FX_Input,Q$5,D$3*$Z$5+$AA$5))-(1.854-(1042/(D1139+459.6)))*(INDEX(FX_Input,Q$5,D$3*$Z$5+$AA$5-1)^0.5)+((2416/(D1139+459.6)-2.013)*LOG10(INDEX(FX_Input,Q$5,D$3*$Z$5+$AA$5)))-(8742/(D1139+459.6))+15.64),EXP(INDEX(Antoines,MATCH(D1130,Antoine_Name,0),2)-INDEX(Antoines,MATCH(D1130,Antoine_Name,0),3)/(D1139+459.6))))),0)</f>
        <v>1</v>
      </c>
      <c r="E1146" cm="1">
        <f t="array" ref="E1146">IFERROR(IF(E1131="Chemical",(10^(INDEX(Antoines,MATCH(E1130,Antoine_Name,0),2)-INDEX(Antoines,MATCH(E1130,Antoine_Name,0),3)/(INDEX(Antoines,MATCH(E1130,Antoine_Name,0),4)+(E1139-32)*5/9)))*14.7/760,IF(E1131="Crude Oil",EXP((2799/(E1139+459.6)-2.227)*LOG10(INDEX(FX_Input,R$5,E$3*$Z$5+$AA$5))-(7261/(E1139+459.6))+12.82),IF(E1131="Refined Petroleum Stock",EXP((0.7553-(413/(E1139+459.6)))*(INDEX(FX_Input,R$5,E$3*$Z$5+$AA$5-1)^0.5)*LOG10(INDEX(FX_Input,R$5,E$3*$Z$5+$AA$5))-(1.854-(1042/(E1139+459.6)))*(INDEX(FX_Input,R$5,E$3*$Z$5+$AA$5-1)^0.5)+((2416/(E1139+459.6)-2.013)*LOG10(INDEX(FX_Input,R$5,E$3*$Z$5+$AA$5)))-(8742/(E1139+459.6))+15.64),EXP(INDEX(Antoines,MATCH(E1130,Antoine_Name,0),2)-INDEX(Antoines,MATCH(E1130,Antoine_Name,0),3)/(E1139+459.6))))),0)</f>
        <v>1</v>
      </c>
      <c r="F1146" cm="1">
        <f t="array" ref="F1146">IFERROR(IF(F1131="Chemical",(10^(INDEX(Antoines,MATCH(F1130,Antoine_Name,0),2)-INDEX(Antoines,MATCH(F1130,Antoine_Name,0),3)/(INDEX(Antoines,MATCH(F1130,Antoine_Name,0),4)+(F1139-32)*5/9)))*14.7/760,IF(F1131="Crude Oil",EXP((2799/(F1139+459.6)-2.227)*LOG10(INDEX(FX_Input,S$5,F$3*$Z$5+$AA$5))-(7261/(F1139+459.6))+12.82),IF(F1131="Refined Petroleum Stock",EXP((0.7553-(413/(F1139+459.6)))*(INDEX(FX_Input,S$5,F$3*$Z$5+$AA$5-1)^0.5)*LOG10(INDEX(FX_Input,S$5,F$3*$Z$5+$AA$5))-(1.854-(1042/(F1139+459.6)))*(INDEX(FX_Input,S$5,F$3*$Z$5+$AA$5-1)^0.5)+((2416/(F1139+459.6)-2.013)*LOG10(INDEX(FX_Input,S$5,F$3*$Z$5+$AA$5)))-(8742/(F1139+459.6))+15.64),EXP(INDEX(Antoines,MATCH(F1130,Antoine_Name,0),2)-INDEX(Antoines,MATCH(F1130,Antoine_Name,0),3)/(F1139+459.6))))),0)</f>
        <v>1</v>
      </c>
      <c r="G1146" cm="1">
        <f t="array" ref="G1146">IFERROR(IF(G1131="Chemical",(10^(INDEX(Antoines,MATCH(G1130,Antoine_Name,0),2)-INDEX(Antoines,MATCH(G1130,Antoine_Name,0),3)/(INDEX(Antoines,MATCH(G1130,Antoine_Name,0),4)+(G1139-32)*5/9)))*14.7/760,IF(G1131="Crude Oil",EXP((2799/(G1139+459.6)-2.227)*LOG10(INDEX(FX_Input,T$5,G$3*$Z$5+$AA$5))-(7261/(G1139+459.6))+12.82),IF(G1131="Refined Petroleum Stock",EXP((0.7553-(413/(G1139+459.6)))*(INDEX(FX_Input,T$5,G$3*$Z$5+$AA$5-1)^0.5)*LOG10(INDEX(FX_Input,T$5,G$3*$Z$5+$AA$5))-(1.854-(1042/(G1139+459.6)))*(INDEX(FX_Input,T$5,G$3*$Z$5+$AA$5-1)^0.5)+((2416/(G1139+459.6)-2.013)*LOG10(INDEX(FX_Input,T$5,G$3*$Z$5+$AA$5)))-(8742/(G1139+459.6))+15.64),EXP(INDEX(Antoines,MATCH(G1130,Antoine_Name,0),2)-INDEX(Antoines,MATCH(G1130,Antoine_Name,0),3)/(G1139+459.6))))),0)</f>
        <v>1</v>
      </c>
      <c r="H1146" cm="1">
        <f t="array" ref="H1146">IFERROR(IF(H1131="Chemical",(10^(INDEX(Antoines,MATCH(H1130,Antoine_Name,0),2)-INDEX(Antoines,MATCH(H1130,Antoine_Name,0),3)/(INDEX(Antoines,MATCH(H1130,Antoine_Name,0),4)+(H1139-32)*5/9)))*14.7/760,IF(H1131="Crude Oil",EXP((2799/(H1139+459.6)-2.227)*LOG10(INDEX(FX_Input,U$5,H$3*$Z$5+$AA$5))-(7261/(H1139+459.6))+12.82),IF(H1131="Refined Petroleum Stock",EXP((0.7553-(413/(H1139+459.6)))*(INDEX(FX_Input,U$5,H$3*$Z$5+$AA$5-1)^0.5)*LOG10(INDEX(FX_Input,U$5,H$3*$Z$5+$AA$5))-(1.854-(1042/(H1139+459.6)))*(INDEX(FX_Input,U$5,H$3*$Z$5+$AA$5-1)^0.5)+((2416/(H1139+459.6)-2.013)*LOG10(INDEX(FX_Input,U$5,H$3*$Z$5+$AA$5)))-(8742/(H1139+459.6))+15.64),EXP(INDEX(Antoines,MATCH(H1130,Antoine_Name,0),2)-INDEX(Antoines,MATCH(H1130,Antoine_Name,0),3)/(H1139+459.6))))),0)</f>
        <v>1</v>
      </c>
      <c r="I1146" cm="1">
        <f t="array" ref="I1146">IFERROR(IF(I1131="Chemical",(10^(INDEX(Antoines,MATCH(I1130,Antoine_Name,0),2)-INDEX(Antoines,MATCH(I1130,Antoine_Name,0),3)/(INDEX(Antoines,MATCH(I1130,Antoine_Name,0),4)+(I1139-32)*5/9)))*14.7/760,IF(I1131="Crude Oil",EXP((2799/(I1139+459.6)-2.227)*LOG10(INDEX(FX_Input,V$5,I$3*$Z$5+$AA$5))-(7261/(I1139+459.6))+12.82),IF(I1131="Refined Petroleum Stock",EXP((0.7553-(413/(I1139+459.6)))*(INDEX(FX_Input,V$5,I$3*$Z$5+$AA$5-1)^0.5)*LOG10(INDEX(FX_Input,V$5,I$3*$Z$5+$AA$5))-(1.854-(1042/(I1139+459.6)))*(INDEX(FX_Input,V$5,I$3*$Z$5+$AA$5-1)^0.5)+((2416/(I1139+459.6)-2.013)*LOG10(INDEX(FX_Input,V$5,I$3*$Z$5+$AA$5)))-(8742/(I1139+459.6))+15.64),EXP(INDEX(Antoines,MATCH(I1130,Antoine_Name,0),2)-INDEX(Antoines,MATCH(I1130,Antoine_Name,0),3)/(I1139+459.6))))),0)</f>
        <v>1</v>
      </c>
      <c r="J1146" cm="1">
        <f t="array" ref="J1146">IFERROR(IF(J1131="Chemical",(10^(INDEX(Antoines,MATCH(J1130,Antoine_Name,0),2)-INDEX(Antoines,MATCH(J1130,Antoine_Name,0),3)/(INDEX(Antoines,MATCH(J1130,Antoine_Name,0),4)+(J1139-32)*5/9)))*14.7/760,IF(J1131="Crude Oil",EXP((2799/(J1139+459.6)-2.227)*LOG10(INDEX(FX_Input,W$5,J$3*$Z$5+$AA$5))-(7261/(J1139+459.6))+12.82),IF(J1131="Refined Petroleum Stock",EXP((0.7553-(413/(J1139+459.6)))*(INDEX(FX_Input,W$5,J$3*$Z$5+$AA$5-1)^0.5)*LOG10(INDEX(FX_Input,W$5,J$3*$Z$5+$AA$5))-(1.854-(1042/(J1139+459.6)))*(INDEX(FX_Input,W$5,J$3*$Z$5+$AA$5-1)^0.5)+((2416/(J1139+459.6)-2.013)*LOG10(INDEX(FX_Input,W$5,J$3*$Z$5+$AA$5)))-(8742/(J1139+459.6))+15.64),EXP(INDEX(Antoines,MATCH(J1130,Antoine_Name,0),2)-INDEX(Antoines,MATCH(J1130,Antoine_Name,0),3)/(J1139+459.6))))),0)</f>
        <v>1</v>
      </c>
      <c r="K1146" cm="1">
        <f t="array" ref="K1146">IFERROR(IF(K1131="Chemical",(10^(INDEX(Antoines,MATCH(K1130,Antoine_Name,0),2)-INDEX(Antoines,MATCH(K1130,Antoine_Name,0),3)/(INDEX(Antoines,MATCH(K1130,Antoine_Name,0),4)+(K1139-32)*5/9)))*14.7/760,IF(K1131="Crude Oil",EXP((2799/(K1139+459.6)-2.227)*LOG10(INDEX(FX_Input,X$5,K$3*$Z$5+$AA$5))-(7261/(K1139+459.6))+12.82),IF(K1131="Refined Petroleum Stock",EXP((0.7553-(413/(K1139+459.6)))*(INDEX(FX_Input,X$5,K$3*$Z$5+$AA$5-1)^0.5)*LOG10(INDEX(FX_Input,X$5,K$3*$Z$5+$AA$5))-(1.854-(1042/(K1139+459.6)))*(INDEX(FX_Input,X$5,K$3*$Z$5+$AA$5-1)^0.5)+((2416/(K1139+459.6)-2.013)*LOG10(INDEX(FX_Input,X$5,K$3*$Z$5+$AA$5)))-(8742/(K1139+459.6))+15.64),EXP(INDEX(Antoines,MATCH(K1130,Antoine_Name,0),2)-INDEX(Antoines,MATCH(K1130,Antoine_Name,0),3)/(K1139+459.6))))),0)</f>
        <v>1</v>
      </c>
      <c r="L1146" cm="1">
        <f t="array" ref="L1146">IFERROR(IF(L1131="Chemical",(10^(INDEX(Antoines,MATCH(L1130,Antoine_Name,0),2)-INDEX(Antoines,MATCH(L1130,Antoine_Name,0),3)/(INDEX(Antoines,MATCH(L1130,Antoine_Name,0),4)+(L1139-32)*5/9)))*14.7/760,IF(L1131="Crude Oil",EXP((2799/(L1139+459.6)-2.227)*LOG10(INDEX(FX_Input,Y$5,L$3*$Z$5+$AA$5))-(7261/(L1139+459.6))+12.82),IF(L1131="Refined Petroleum Stock",EXP((0.7553-(413/(L1139+459.6)))*(INDEX(FX_Input,Y$5,L$3*$Z$5+$AA$5-1)^0.5)*LOG10(INDEX(FX_Input,Y$5,L$3*$Z$5+$AA$5))-(1.854-(1042/(L1139+459.6)))*(INDEX(FX_Input,Y$5,L$3*$Z$5+$AA$5-1)^0.5)+((2416/(L1139+459.6)-2.013)*LOG10(INDEX(FX_Input,Y$5,L$3*$Z$5+$AA$5)))-(8742/(L1139+459.6))+15.64),EXP(INDEX(Antoines,MATCH(L1130,Antoine_Name,0),2)-INDEX(Antoines,MATCH(L1130,Antoine_Name,0),3)/(L1139+459.6))))),0)</f>
        <v>1</v>
      </c>
      <c r="M1146" cm="1">
        <f t="array" ref="M1146">IFERROR(IF(M1131="Chemical",(10^(INDEX(Antoines,MATCH(M1130,Antoine_Name,0),2)-INDEX(Antoines,MATCH(M1130,Antoine_Name,0),3)/(INDEX(Antoines,MATCH(M1130,Antoine_Name,0),4)+(M1139-32)*5/9)))*14.7/760,IF(M1131="Crude Oil",EXP((2799/(M1139+459.6)-2.227)*LOG10(INDEX(FX_Input,Z$5,M$3*$Z$5+$AA$5))-(7261/(M1139+459.6))+12.82),IF(M1131="Refined Petroleum Stock",EXP((0.7553-(413/(M1139+459.6)))*(INDEX(FX_Input,Z$5,M$3*$Z$5+$AA$5-1)^0.5)*LOG10(INDEX(FX_Input,Z$5,M$3*$Z$5+$AA$5))-(1.854-(1042/(M1139+459.6)))*(INDEX(FX_Input,Z$5,M$3*$Z$5+$AA$5-1)^0.5)+((2416/(M1139+459.6)-2.013)*LOG10(INDEX(FX_Input,Z$5,M$3*$Z$5+$AA$5)))-(8742/(M1139+459.6))+15.64),EXP(INDEX(Antoines,MATCH(M1130,Antoine_Name,0),2)-INDEX(Antoines,MATCH(M1130,Antoine_Name,0),3)/(M1139+459.6))))),0)</f>
        <v>1</v>
      </c>
      <c r="N1146" cm="1">
        <f t="array" ref="N1146">IFERROR(IF(N1131="Chemical",(10^(INDEX(Antoines,MATCH(N1130,Antoine_Name,0),2)-INDEX(Antoines,MATCH(N1130,Antoine_Name,0),3)/(INDEX(Antoines,MATCH(N1130,Antoine_Name,0),4)+(N1139-32)*5/9)))*14.7/760,IF(N1131="Crude Oil",EXP((2799/(N1139+459.6)-2.227)*LOG10(INDEX(FX_Input,AA$5,N$3*$Z$5+$AA$5))-(7261/(N1139+459.6))+12.82),IF(N1131="Refined Petroleum Stock",EXP((0.7553-(413/(N1139+459.6)))*(INDEX(FX_Input,AA$5,N$3*$Z$5+$AA$5-1)^0.5)*LOG10(INDEX(FX_Input,AA$5,N$3*$Z$5+$AA$5))-(1.854-(1042/(N1139+459.6)))*(INDEX(FX_Input,AA$5,N$3*$Z$5+$AA$5-1)^0.5)+((2416/(N1139+459.6)-2.013)*LOG10(INDEX(FX_Input,AA$5,N$3*$Z$5+$AA$5)))-(8742/(N1139+459.6))+15.64),EXP(INDEX(Antoines,MATCH(N1130,Antoine_Name,0),2)-INDEX(Antoines,MATCH(N1130,Antoine_Name,0),3)/(N1139+459.6))))),0)</f>
        <v>1</v>
      </c>
      <c r="O1146" cm="1">
        <f t="array" ref="O1146">IFERROR(IF(O1131="Chemical",(10^(INDEX(Antoines,MATCH(O1130,Antoine_Name,0),2)-INDEX(Antoines,MATCH(O1130,Antoine_Name,0),3)/(INDEX(Antoines,MATCH(O1130,Antoine_Name,0),4)+(O1139-32)*5/9)))*14.7/760,IF(O1131="Crude Oil",EXP((2799/(O1139+459.6)-2.227)*LOG10(INDEX(FX_Input,AB$5,O$3*$Z$5+$AA$5))-(7261/(O1139+459.6))+12.82),IF(O1131="Refined Petroleum Stock",EXP((0.7553-(413/(O1139+459.6)))*(INDEX(FX_Input,AB$5,O$3*$Z$5+$AA$5-1)^0.5)*LOG10(INDEX(FX_Input,AB$5,O$3*$Z$5+$AA$5))-(1.854-(1042/(O1139+459.6)))*(INDEX(FX_Input,AB$5,O$3*$Z$5+$AA$5-1)^0.5)+((2416/(O1139+459.6)-2.013)*LOG10(INDEX(FX_Input,AB$5,O$3*$Z$5+$AA$5)))-(8742/(O1139+459.6))+15.64),EXP(INDEX(Antoines,MATCH(O1130,Antoine_Name,0),2)-INDEX(Antoines,MATCH(O1130,Antoine_Name,0),3)/(O1139+459.6))))),0)</f>
        <v>1</v>
      </c>
    </row>
    <row r="1147" spans="2:32" ht="17.149999999999999" x14ac:dyDescent="0.55000000000000004">
      <c r="B1147" t="str">
        <f t="shared" si="4116"/>
        <v>Portland</v>
      </c>
      <c r="C1147" t="s">
        <v>580</v>
      </c>
      <c r="D1147">
        <f>D1146*D1134</f>
        <v>1</v>
      </c>
      <c r="E1147">
        <f t="shared" ref="E1147" si="4150">E1146*E1134</f>
        <v>1</v>
      </c>
      <c r="F1147">
        <f t="shared" ref="F1147" si="4151">F1146*F1134</f>
        <v>1</v>
      </c>
      <c r="G1147">
        <f t="shared" ref="G1147" si="4152">G1146*G1134</f>
        <v>1</v>
      </c>
      <c r="H1147">
        <f t="shared" ref="H1147" si="4153">H1146*H1134</f>
        <v>1</v>
      </c>
      <c r="I1147">
        <f t="shared" ref="I1147" si="4154">I1146*I1134</f>
        <v>1</v>
      </c>
      <c r="J1147">
        <f t="shared" ref="J1147" si="4155">J1146*J1134</f>
        <v>1</v>
      </c>
      <c r="K1147">
        <f t="shared" ref="K1147" si="4156">K1146*K1134</f>
        <v>1</v>
      </c>
      <c r="L1147">
        <f t="shared" ref="L1147" si="4157">L1146*L1134</f>
        <v>1</v>
      </c>
      <c r="M1147">
        <f t="shared" ref="M1147" si="4158">M1146*M1134</f>
        <v>1</v>
      </c>
      <c r="N1147">
        <f t="shared" ref="N1147" si="4159">N1146*N1134</f>
        <v>1</v>
      </c>
      <c r="O1147">
        <f t="shared" ref="O1147" si="4160">O1146*O1134</f>
        <v>1</v>
      </c>
    </row>
    <row r="1148" spans="2:32" ht="17.149999999999999" x14ac:dyDescent="0.55000000000000004">
      <c r="B1148" t="str">
        <f t="shared" si="4116"/>
        <v>Portland</v>
      </c>
      <c r="C1148" t="s">
        <v>581</v>
      </c>
      <c r="D1148" cm="1">
        <f t="array" ref="D1148">IFERROR(IF(D1133="Chemical",(10^(INDEX(Antoines,MATCH(D1132,Antoine_Name,0),2)-INDEX(Antoines,MATCH(D1132,Antoine_Name,0),3)/(INDEX(Antoines,MATCH(D1132,Antoine_Name,0),4)+(D1139-32)*5/9)))*14.7/760,IF(D1133="Crude Oil",EXP((2799/(D1139+459.6)-2.227)*LOG10(INDEX(FX_Input,Q$5,D$3*$Z$5+$AA$5))-(7261/(D1139+459.6))+12.82),IF(D1133="Refined Petroleum Stock",EXP((0.7553-(413/(D1139+459.6)))*(INDEX(FX_Input,Q$5,D$3*$Z$5+$AA$5-1)^0.5)*LOG10(INDEX(FX_Input,Q$5,D$3*$Z$5+$AA$5))-(1.854-(1042/(D1139+459.6)))*(INDEX(FX_Input,Q$5,D$3*$Z$5+$AA$5-1)^0.5)+((2416/(D1139+459.6)-2.013)*LOG10(INDEX(FX_Input,Q$5,D$3*$Z$5+$AA$5)))-(8742/(D1139+459.6))+15.64),EXP(INDEX(Antoines,MATCH(D1132,Antoine_Name,0),2)-INDEX(Antoines,MATCH(D1132,Antoine_Name,0),3)/(D1139+459.6))))),0)</f>
        <v>0</v>
      </c>
      <c r="E1148" cm="1">
        <f t="array" ref="E1148">IFERROR(IF(E1133="Chemical",(10^(INDEX(Antoines,MATCH(E1132,Antoine_Name,0),2)-INDEX(Antoines,MATCH(E1132,Antoine_Name,0),3)/(INDEX(Antoines,MATCH(E1132,Antoine_Name,0),4)+(E1139-32)*5/9)))*14.7/760,IF(E1133="Crude Oil",EXP((2799/(E1139+459.6)-2.227)*LOG10(INDEX(FX_Input,R$5,E$3*$Z$5+$AA$5))-(7261/(E1139+459.6))+12.82),IF(E1133="Refined Petroleum Stock",EXP((0.7553-(413/(E1139+459.6)))*(INDEX(FX_Input,R$5,E$3*$Z$5+$AA$5-1)^0.5)*LOG10(INDEX(FX_Input,R$5,E$3*$Z$5+$AA$5))-(1.854-(1042/(E1139+459.6)))*(INDEX(FX_Input,R$5,E$3*$Z$5+$AA$5-1)^0.5)+((2416/(E1139+459.6)-2.013)*LOG10(INDEX(FX_Input,R$5,E$3*$Z$5+$AA$5)))-(8742/(E1139+459.6))+15.64),EXP(INDEX(Antoines,MATCH(E1132,Antoine_Name,0),2)-INDEX(Antoines,MATCH(E1132,Antoine_Name,0),3)/(E1139+459.6))))),0)</f>
        <v>0</v>
      </c>
      <c r="F1148" cm="1">
        <f t="array" ref="F1148">IFERROR(IF(F1133="Chemical",(10^(INDEX(Antoines,MATCH(F1132,Antoine_Name,0),2)-INDEX(Antoines,MATCH(F1132,Antoine_Name,0),3)/(INDEX(Antoines,MATCH(F1132,Antoine_Name,0),4)+(F1139-32)*5/9)))*14.7/760,IF(F1133="Crude Oil",EXP((2799/(F1139+459.6)-2.227)*LOG10(INDEX(FX_Input,S$5,F$3*$Z$5+$AA$5))-(7261/(F1139+459.6))+12.82),IF(F1133="Refined Petroleum Stock",EXP((0.7553-(413/(F1139+459.6)))*(INDEX(FX_Input,S$5,F$3*$Z$5+$AA$5-1)^0.5)*LOG10(INDEX(FX_Input,S$5,F$3*$Z$5+$AA$5))-(1.854-(1042/(F1139+459.6)))*(INDEX(FX_Input,S$5,F$3*$Z$5+$AA$5-1)^0.5)+((2416/(F1139+459.6)-2.013)*LOG10(INDEX(FX_Input,S$5,F$3*$Z$5+$AA$5)))-(8742/(F1139+459.6))+15.64),EXP(INDEX(Antoines,MATCH(F1132,Antoine_Name,0),2)-INDEX(Antoines,MATCH(F1132,Antoine_Name,0),3)/(F1139+459.6))))),0)</f>
        <v>0</v>
      </c>
      <c r="G1148" cm="1">
        <f t="array" ref="G1148">IFERROR(IF(G1133="Chemical",(10^(INDEX(Antoines,MATCH(G1132,Antoine_Name,0),2)-INDEX(Antoines,MATCH(G1132,Antoine_Name,0),3)/(INDEX(Antoines,MATCH(G1132,Antoine_Name,0),4)+(G1139-32)*5/9)))*14.7/760,IF(G1133="Crude Oil",EXP((2799/(G1139+459.6)-2.227)*LOG10(INDEX(FX_Input,T$5,G$3*$Z$5+$AA$5))-(7261/(G1139+459.6))+12.82),IF(G1133="Refined Petroleum Stock",EXP((0.7553-(413/(G1139+459.6)))*(INDEX(FX_Input,T$5,G$3*$Z$5+$AA$5-1)^0.5)*LOG10(INDEX(FX_Input,T$5,G$3*$Z$5+$AA$5))-(1.854-(1042/(G1139+459.6)))*(INDEX(FX_Input,T$5,G$3*$Z$5+$AA$5-1)^0.5)+((2416/(G1139+459.6)-2.013)*LOG10(INDEX(FX_Input,T$5,G$3*$Z$5+$AA$5)))-(8742/(G1139+459.6))+15.64),EXP(INDEX(Antoines,MATCH(G1132,Antoine_Name,0),2)-INDEX(Antoines,MATCH(G1132,Antoine_Name,0),3)/(G1139+459.6))))),0)</f>
        <v>0</v>
      </c>
      <c r="H1148" cm="1">
        <f t="array" ref="H1148">IFERROR(IF(H1133="Chemical",(10^(INDEX(Antoines,MATCH(H1132,Antoine_Name,0),2)-INDEX(Antoines,MATCH(H1132,Antoine_Name,0),3)/(INDEX(Antoines,MATCH(H1132,Antoine_Name,0),4)+(H1139-32)*5/9)))*14.7/760,IF(H1133="Crude Oil",EXP((2799/(H1139+459.6)-2.227)*LOG10(INDEX(FX_Input,U$5,H$3*$Z$5+$AA$5))-(7261/(H1139+459.6))+12.82),IF(H1133="Refined Petroleum Stock",EXP((0.7553-(413/(H1139+459.6)))*(INDEX(FX_Input,U$5,H$3*$Z$5+$AA$5-1)^0.5)*LOG10(INDEX(FX_Input,U$5,H$3*$Z$5+$AA$5))-(1.854-(1042/(H1139+459.6)))*(INDEX(FX_Input,U$5,H$3*$Z$5+$AA$5-1)^0.5)+((2416/(H1139+459.6)-2.013)*LOG10(INDEX(FX_Input,U$5,H$3*$Z$5+$AA$5)))-(8742/(H1139+459.6))+15.64),EXP(INDEX(Antoines,MATCH(H1132,Antoine_Name,0),2)-INDEX(Antoines,MATCH(H1132,Antoine_Name,0),3)/(H1139+459.6))))),0)</f>
        <v>0</v>
      </c>
      <c r="I1148" cm="1">
        <f t="array" ref="I1148">IFERROR(IF(I1133="Chemical",(10^(INDEX(Antoines,MATCH(I1132,Antoine_Name,0),2)-INDEX(Antoines,MATCH(I1132,Antoine_Name,0),3)/(INDEX(Antoines,MATCH(I1132,Antoine_Name,0),4)+(I1139-32)*5/9)))*14.7/760,IF(I1133="Crude Oil",EXP((2799/(I1139+459.6)-2.227)*LOG10(INDEX(FX_Input,V$5,I$3*$Z$5+$AA$5))-(7261/(I1139+459.6))+12.82),IF(I1133="Refined Petroleum Stock",EXP((0.7553-(413/(I1139+459.6)))*(INDEX(FX_Input,V$5,I$3*$Z$5+$AA$5-1)^0.5)*LOG10(INDEX(FX_Input,V$5,I$3*$Z$5+$AA$5))-(1.854-(1042/(I1139+459.6)))*(INDEX(FX_Input,V$5,I$3*$Z$5+$AA$5-1)^0.5)+((2416/(I1139+459.6)-2.013)*LOG10(INDEX(FX_Input,V$5,I$3*$Z$5+$AA$5)))-(8742/(I1139+459.6))+15.64),EXP(INDEX(Antoines,MATCH(I1132,Antoine_Name,0),2)-INDEX(Antoines,MATCH(I1132,Antoine_Name,0),3)/(I1139+459.6))))),0)</f>
        <v>0</v>
      </c>
      <c r="J1148" cm="1">
        <f t="array" ref="J1148">IFERROR(IF(J1133="Chemical",(10^(INDEX(Antoines,MATCH(J1132,Antoine_Name,0),2)-INDEX(Antoines,MATCH(J1132,Antoine_Name,0),3)/(INDEX(Antoines,MATCH(J1132,Antoine_Name,0),4)+(J1139-32)*5/9)))*14.7/760,IF(J1133="Crude Oil",EXP((2799/(J1139+459.6)-2.227)*LOG10(INDEX(FX_Input,W$5,J$3*$Z$5+$AA$5))-(7261/(J1139+459.6))+12.82),IF(J1133="Refined Petroleum Stock",EXP((0.7553-(413/(J1139+459.6)))*(INDEX(FX_Input,W$5,J$3*$Z$5+$AA$5-1)^0.5)*LOG10(INDEX(FX_Input,W$5,J$3*$Z$5+$AA$5))-(1.854-(1042/(J1139+459.6)))*(INDEX(FX_Input,W$5,J$3*$Z$5+$AA$5-1)^0.5)+((2416/(J1139+459.6)-2.013)*LOG10(INDEX(FX_Input,W$5,J$3*$Z$5+$AA$5)))-(8742/(J1139+459.6))+15.64),EXP(INDEX(Antoines,MATCH(J1132,Antoine_Name,0),2)-INDEX(Antoines,MATCH(J1132,Antoine_Name,0),3)/(J1139+459.6))))),0)</f>
        <v>0</v>
      </c>
      <c r="K1148" cm="1">
        <f t="array" ref="K1148">IFERROR(IF(K1133="Chemical",(10^(INDEX(Antoines,MATCH(K1132,Antoine_Name,0),2)-INDEX(Antoines,MATCH(K1132,Antoine_Name,0),3)/(INDEX(Antoines,MATCH(K1132,Antoine_Name,0),4)+(K1139-32)*5/9)))*14.7/760,IF(K1133="Crude Oil",EXP((2799/(K1139+459.6)-2.227)*LOG10(INDEX(FX_Input,X$5,K$3*$Z$5+$AA$5))-(7261/(K1139+459.6))+12.82),IF(K1133="Refined Petroleum Stock",EXP((0.7553-(413/(K1139+459.6)))*(INDEX(FX_Input,X$5,K$3*$Z$5+$AA$5-1)^0.5)*LOG10(INDEX(FX_Input,X$5,K$3*$Z$5+$AA$5))-(1.854-(1042/(K1139+459.6)))*(INDEX(FX_Input,X$5,K$3*$Z$5+$AA$5-1)^0.5)+((2416/(K1139+459.6)-2.013)*LOG10(INDEX(FX_Input,X$5,K$3*$Z$5+$AA$5)))-(8742/(K1139+459.6))+15.64),EXP(INDEX(Antoines,MATCH(K1132,Antoine_Name,0),2)-INDEX(Antoines,MATCH(K1132,Antoine_Name,0),3)/(K1139+459.6))))),0)</f>
        <v>0</v>
      </c>
      <c r="L1148" cm="1">
        <f t="array" ref="L1148">IFERROR(IF(L1133="Chemical",(10^(INDEX(Antoines,MATCH(L1132,Antoine_Name,0),2)-INDEX(Antoines,MATCH(L1132,Antoine_Name,0),3)/(INDEX(Antoines,MATCH(L1132,Antoine_Name,0),4)+(L1139-32)*5/9)))*14.7/760,IF(L1133="Crude Oil",EXP((2799/(L1139+459.6)-2.227)*LOG10(INDEX(FX_Input,Y$5,L$3*$Z$5+$AA$5))-(7261/(L1139+459.6))+12.82),IF(L1133="Refined Petroleum Stock",EXP((0.7553-(413/(L1139+459.6)))*(INDEX(FX_Input,Y$5,L$3*$Z$5+$AA$5-1)^0.5)*LOG10(INDEX(FX_Input,Y$5,L$3*$Z$5+$AA$5))-(1.854-(1042/(L1139+459.6)))*(INDEX(FX_Input,Y$5,L$3*$Z$5+$AA$5-1)^0.5)+((2416/(L1139+459.6)-2.013)*LOG10(INDEX(FX_Input,Y$5,L$3*$Z$5+$AA$5)))-(8742/(L1139+459.6))+15.64),EXP(INDEX(Antoines,MATCH(L1132,Antoine_Name,0),2)-INDEX(Antoines,MATCH(L1132,Antoine_Name,0),3)/(L1139+459.6))))),0)</f>
        <v>0</v>
      </c>
      <c r="M1148" cm="1">
        <f t="array" ref="M1148">IFERROR(IF(M1133="Chemical",(10^(INDEX(Antoines,MATCH(M1132,Antoine_Name,0),2)-INDEX(Antoines,MATCH(M1132,Antoine_Name,0),3)/(INDEX(Antoines,MATCH(M1132,Antoine_Name,0),4)+(M1139-32)*5/9)))*14.7/760,IF(M1133="Crude Oil",EXP((2799/(M1139+459.6)-2.227)*LOG10(INDEX(FX_Input,Z$5,M$3*$Z$5+$AA$5))-(7261/(M1139+459.6))+12.82),IF(M1133="Refined Petroleum Stock",EXP((0.7553-(413/(M1139+459.6)))*(INDEX(FX_Input,Z$5,M$3*$Z$5+$AA$5-1)^0.5)*LOG10(INDEX(FX_Input,Z$5,M$3*$Z$5+$AA$5))-(1.854-(1042/(M1139+459.6)))*(INDEX(FX_Input,Z$5,M$3*$Z$5+$AA$5-1)^0.5)+((2416/(M1139+459.6)-2.013)*LOG10(INDEX(FX_Input,Z$5,M$3*$Z$5+$AA$5)))-(8742/(M1139+459.6))+15.64),EXP(INDEX(Antoines,MATCH(M1132,Antoine_Name,0),2)-INDEX(Antoines,MATCH(M1132,Antoine_Name,0),3)/(M1139+459.6))))),0)</f>
        <v>0</v>
      </c>
      <c r="N1148" cm="1">
        <f t="array" ref="N1148">IFERROR(IF(N1133="Chemical",(10^(INDEX(Antoines,MATCH(N1132,Antoine_Name,0),2)-INDEX(Antoines,MATCH(N1132,Antoine_Name,0),3)/(INDEX(Antoines,MATCH(N1132,Antoine_Name,0),4)+(N1139-32)*5/9)))*14.7/760,IF(N1133="Crude Oil",EXP((2799/(N1139+459.6)-2.227)*LOG10(INDEX(FX_Input,AA$5,N$3*$Z$5+$AA$5))-(7261/(N1139+459.6))+12.82),IF(N1133="Refined Petroleum Stock",EXP((0.7553-(413/(N1139+459.6)))*(INDEX(FX_Input,AA$5,N$3*$Z$5+$AA$5-1)^0.5)*LOG10(INDEX(FX_Input,AA$5,N$3*$Z$5+$AA$5))-(1.854-(1042/(N1139+459.6)))*(INDEX(FX_Input,AA$5,N$3*$Z$5+$AA$5-1)^0.5)+((2416/(N1139+459.6)-2.013)*LOG10(INDEX(FX_Input,AA$5,N$3*$Z$5+$AA$5)))-(8742/(N1139+459.6))+15.64),EXP(INDEX(Antoines,MATCH(N1132,Antoine_Name,0),2)-INDEX(Antoines,MATCH(N1132,Antoine_Name,0),3)/(N1139+459.6))))),0)</f>
        <v>0</v>
      </c>
      <c r="O1148" cm="1">
        <f t="array" ref="O1148">IFERROR(IF(O1133="Chemical",(10^(INDEX(Antoines,MATCH(O1132,Antoine_Name,0),2)-INDEX(Antoines,MATCH(O1132,Antoine_Name,0),3)/(INDEX(Antoines,MATCH(O1132,Antoine_Name,0),4)+(O1139-32)*5/9)))*14.7/760,IF(O1133="Crude Oil",EXP((2799/(O1139+459.6)-2.227)*LOG10(INDEX(FX_Input,AB$5,O$3*$Z$5+$AA$5))-(7261/(O1139+459.6))+12.82),IF(O1133="Refined Petroleum Stock",EXP((0.7553-(413/(O1139+459.6)))*(INDEX(FX_Input,AB$5,O$3*$Z$5+$AA$5-1)^0.5)*LOG10(INDEX(FX_Input,AB$5,O$3*$Z$5+$AA$5))-(1.854-(1042/(O1139+459.6)))*(INDEX(FX_Input,AB$5,O$3*$Z$5+$AA$5-1)^0.5)+((2416/(O1139+459.6)-2.013)*LOG10(INDEX(FX_Input,AB$5,O$3*$Z$5+$AA$5)))-(8742/(O1139+459.6))+15.64),EXP(INDEX(Antoines,MATCH(O1132,Antoine_Name,0),2)-INDEX(Antoines,MATCH(O1132,Antoine_Name,0),3)/(O1139+459.6))))),0)</f>
        <v>0</v>
      </c>
    </row>
    <row r="1149" spans="2:32" ht="17.149999999999999" x14ac:dyDescent="0.55000000000000004">
      <c r="B1149" t="str">
        <f t="shared" si="4116"/>
        <v>Portland</v>
      </c>
      <c r="C1149" t="s">
        <v>582</v>
      </c>
      <c r="D1149">
        <f>D1148*D1136</f>
        <v>0</v>
      </c>
      <c r="E1149">
        <f t="shared" ref="E1149" si="4161">E1148*E1136</f>
        <v>0</v>
      </c>
      <c r="F1149">
        <f t="shared" ref="F1149" si="4162">F1148*F1136</f>
        <v>0</v>
      </c>
      <c r="G1149">
        <f t="shared" ref="G1149" si="4163">G1148*G1136</f>
        <v>0</v>
      </c>
      <c r="H1149">
        <f t="shared" ref="H1149" si="4164">H1148*H1136</f>
        <v>0</v>
      </c>
      <c r="I1149">
        <f t="shared" ref="I1149" si="4165">I1148*I1136</f>
        <v>0</v>
      </c>
      <c r="J1149">
        <f t="shared" ref="J1149" si="4166">J1148*J1136</f>
        <v>0</v>
      </c>
      <c r="K1149">
        <f t="shared" ref="K1149" si="4167">K1148*K1136</f>
        <v>0</v>
      </c>
      <c r="L1149">
        <f t="shared" ref="L1149" si="4168">L1148*L1136</f>
        <v>0</v>
      </c>
      <c r="M1149">
        <f t="shared" ref="M1149" si="4169">M1148*M1136</f>
        <v>0</v>
      </c>
      <c r="N1149">
        <f t="shared" ref="N1149" si="4170">N1148*N1136</f>
        <v>0</v>
      </c>
      <c r="O1149">
        <f t="shared" ref="O1149" si="4171">O1148*O1136</f>
        <v>0</v>
      </c>
    </row>
    <row r="1150" spans="2:32" ht="17.149999999999999" x14ac:dyDescent="0.55000000000000004">
      <c r="B1150" t="str">
        <f t="shared" si="4116"/>
        <v>Portland</v>
      </c>
      <c r="C1150" t="s">
        <v>583</v>
      </c>
      <c r="D1150">
        <f>D1147+D1149</f>
        <v>1</v>
      </c>
      <c r="E1150">
        <f t="shared" ref="E1150" si="4172">E1147+E1149</f>
        <v>1</v>
      </c>
      <c r="F1150">
        <f t="shared" ref="F1150" si="4173">F1147+F1149</f>
        <v>1</v>
      </c>
      <c r="G1150">
        <f t="shared" ref="G1150" si="4174">G1147+G1149</f>
        <v>1</v>
      </c>
      <c r="H1150">
        <f t="shared" ref="H1150" si="4175">H1147+H1149</f>
        <v>1</v>
      </c>
      <c r="I1150">
        <f t="shared" ref="I1150" si="4176">I1147+I1149</f>
        <v>1</v>
      </c>
      <c r="J1150">
        <f t="shared" ref="J1150" si="4177">J1147+J1149</f>
        <v>1</v>
      </c>
      <c r="K1150">
        <f t="shared" ref="K1150" si="4178">K1147+K1149</f>
        <v>1</v>
      </c>
      <c r="L1150">
        <f t="shared" ref="L1150" si="4179">L1147+L1149</f>
        <v>1</v>
      </c>
      <c r="M1150">
        <f t="shared" ref="M1150" si="4180">M1147+M1149</f>
        <v>1</v>
      </c>
      <c r="N1150">
        <f t="shared" ref="N1150" si="4181">N1147+N1149</f>
        <v>1</v>
      </c>
      <c r="O1150">
        <f t="shared" ref="O1150" si="4182">O1147+O1149</f>
        <v>1</v>
      </c>
    </row>
    <row r="1151" spans="2:32" ht="17.149999999999999" x14ac:dyDescent="0.55000000000000004">
      <c r="B1151" t="str">
        <f t="shared" si="4116"/>
        <v>Portland</v>
      </c>
      <c r="C1151" t="s">
        <v>1388</v>
      </c>
      <c r="D1151" cm="1">
        <f t="array" ref="D1151">IFERROR(IF(D1131="Chemical",(10^(INDEX(Antoines,MATCH(D1130,Antoine_Name,0),2)-INDEX(Antoines,MATCH(D1130,Antoine_Name,0),3)/(INDEX(Antoines,MATCH(D1130,Antoine_Name,0),4)+(D1140-32)*5/9)))*14.7/760,IF(D1131="Crude Oil",EXP((2799/(D1140+459.6)-2.227)*LOG10(INDEX(FX_Input,Q$5,D$3*$Z$5+$AA$5))-(7261/(D1140+459.6))+12.82),IF(D1131="Refined Petroleum Stock",EXP((0.7553-(413/(D1140+459.6)))*(INDEX(FX_Input,Q$5,D$3*$Z$5+$AA$5-1)^0.5)*LOG10(INDEX(FX_Input,Q$5,D$3*$Z$5+$AA$5))-(1.854-(1042/(D1140+459.6)))*(INDEX(FX_Input,Q$5,D$3*$Z$5+$AA$5-1)^0.5)+((2416/(D1140+459.6)-2.013)*LOG10(INDEX(FX_Input,Q$5,D$3*$Z$5+$AA$5)))-(8742/(D1140+459.6))+15.64),EXP(INDEX(Antoines,MATCH(D1130,Antoine_Name,0),2)-INDEX(Antoines,MATCH(D1130,Antoine_Name,0),3)/(D1140+459.6))))),0)</f>
        <v>1</v>
      </c>
      <c r="E1151" cm="1">
        <f t="array" ref="E1151">IFERROR(IF(E1131="Chemical",(10^(INDEX(Antoines,MATCH(E1130,Antoine_Name,0),2)-INDEX(Antoines,MATCH(E1130,Antoine_Name,0),3)/(INDEX(Antoines,MATCH(E1130,Antoine_Name,0),4)+(E1140-32)*5/9)))*14.7/760,IF(E1131="Crude Oil",EXP((2799/(E1140+459.6)-2.227)*LOG10(INDEX(FX_Input,R$5,E$3*$Z$5+$AA$5))-(7261/(E1140+459.6))+12.82),IF(E1131="Refined Petroleum Stock",EXP((0.7553-(413/(E1140+459.6)))*(INDEX(FX_Input,R$5,E$3*$Z$5+$AA$5-1)^0.5)*LOG10(INDEX(FX_Input,R$5,E$3*$Z$5+$AA$5))-(1.854-(1042/(E1140+459.6)))*(INDEX(FX_Input,R$5,E$3*$Z$5+$AA$5-1)^0.5)+((2416/(E1140+459.6)-2.013)*LOG10(INDEX(FX_Input,R$5,E$3*$Z$5+$AA$5)))-(8742/(E1140+459.6))+15.64),EXP(INDEX(Antoines,MATCH(E1130,Antoine_Name,0),2)-INDEX(Antoines,MATCH(E1130,Antoine_Name,0),3)/(E1140+459.6))))),0)</f>
        <v>1</v>
      </c>
      <c r="F1151" cm="1">
        <f t="array" ref="F1151">IFERROR(IF(F1131="Chemical",(10^(INDEX(Antoines,MATCH(F1130,Antoine_Name,0),2)-INDEX(Antoines,MATCH(F1130,Antoine_Name,0),3)/(INDEX(Antoines,MATCH(F1130,Antoine_Name,0),4)+(F1140-32)*5/9)))*14.7/760,IF(F1131="Crude Oil",EXP((2799/(F1140+459.6)-2.227)*LOG10(INDEX(FX_Input,S$5,F$3*$Z$5+$AA$5))-(7261/(F1140+459.6))+12.82),IF(F1131="Refined Petroleum Stock",EXP((0.7553-(413/(F1140+459.6)))*(INDEX(FX_Input,S$5,F$3*$Z$5+$AA$5-1)^0.5)*LOG10(INDEX(FX_Input,S$5,F$3*$Z$5+$AA$5))-(1.854-(1042/(F1140+459.6)))*(INDEX(FX_Input,S$5,F$3*$Z$5+$AA$5-1)^0.5)+((2416/(F1140+459.6)-2.013)*LOG10(INDEX(FX_Input,S$5,F$3*$Z$5+$AA$5)))-(8742/(F1140+459.6))+15.64),EXP(INDEX(Antoines,MATCH(F1130,Antoine_Name,0),2)-INDEX(Antoines,MATCH(F1130,Antoine_Name,0),3)/(F1140+459.6))))),0)</f>
        <v>1</v>
      </c>
      <c r="G1151" cm="1">
        <f t="array" ref="G1151">IFERROR(IF(G1131="Chemical",(10^(INDEX(Antoines,MATCH(G1130,Antoine_Name,0),2)-INDEX(Antoines,MATCH(G1130,Antoine_Name,0),3)/(INDEX(Antoines,MATCH(G1130,Antoine_Name,0),4)+(G1140-32)*5/9)))*14.7/760,IF(G1131="Crude Oil",EXP((2799/(G1140+459.6)-2.227)*LOG10(INDEX(FX_Input,T$5,G$3*$Z$5+$AA$5))-(7261/(G1140+459.6))+12.82),IF(G1131="Refined Petroleum Stock",EXP((0.7553-(413/(G1140+459.6)))*(INDEX(FX_Input,T$5,G$3*$Z$5+$AA$5-1)^0.5)*LOG10(INDEX(FX_Input,T$5,G$3*$Z$5+$AA$5))-(1.854-(1042/(G1140+459.6)))*(INDEX(FX_Input,T$5,G$3*$Z$5+$AA$5-1)^0.5)+((2416/(G1140+459.6)-2.013)*LOG10(INDEX(FX_Input,T$5,G$3*$Z$5+$AA$5)))-(8742/(G1140+459.6))+15.64),EXP(INDEX(Antoines,MATCH(G1130,Antoine_Name,0),2)-INDEX(Antoines,MATCH(G1130,Antoine_Name,0),3)/(G1140+459.6))))),0)</f>
        <v>1</v>
      </c>
      <c r="H1151" cm="1">
        <f t="array" ref="H1151">IFERROR(IF(H1131="Chemical",(10^(INDEX(Antoines,MATCH(H1130,Antoine_Name,0),2)-INDEX(Antoines,MATCH(H1130,Antoine_Name,0),3)/(INDEX(Antoines,MATCH(H1130,Antoine_Name,0),4)+(H1140-32)*5/9)))*14.7/760,IF(H1131="Crude Oil",EXP((2799/(H1140+459.6)-2.227)*LOG10(INDEX(FX_Input,U$5,H$3*$Z$5+$AA$5))-(7261/(H1140+459.6))+12.82),IF(H1131="Refined Petroleum Stock",EXP((0.7553-(413/(H1140+459.6)))*(INDEX(FX_Input,U$5,H$3*$Z$5+$AA$5-1)^0.5)*LOG10(INDEX(FX_Input,U$5,H$3*$Z$5+$AA$5))-(1.854-(1042/(H1140+459.6)))*(INDEX(FX_Input,U$5,H$3*$Z$5+$AA$5-1)^0.5)+((2416/(H1140+459.6)-2.013)*LOG10(INDEX(FX_Input,U$5,H$3*$Z$5+$AA$5)))-(8742/(H1140+459.6))+15.64),EXP(INDEX(Antoines,MATCH(H1130,Antoine_Name,0),2)-INDEX(Antoines,MATCH(H1130,Antoine_Name,0),3)/(H1140+459.6))))),0)</f>
        <v>1</v>
      </c>
      <c r="I1151" cm="1">
        <f t="array" ref="I1151">IFERROR(IF(I1131="Chemical",(10^(INDEX(Antoines,MATCH(I1130,Antoine_Name,0),2)-INDEX(Antoines,MATCH(I1130,Antoine_Name,0),3)/(INDEX(Antoines,MATCH(I1130,Antoine_Name,0),4)+(I1140-32)*5/9)))*14.7/760,IF(I1131="Crude Oil",EXP((2799/(I1140+459.6)-2.227)*LOG10(INDEX(FX_Input,V$5,I$3*$Z$5+$AA$5))-(7261/(I1140+459.6))+12.82),IF(I1131="Refined Petroleum Stock",EXP((0.7553-(413/(I1140+459.6)))*(INDEX(FX_Input,V$5,I$3*$Z$5+$AA$5-1)^0.5)*LOG10(INDEX(FX_Input,V$5,I$3*$Z$5+$AA$5))-(1.854-(1042/(I1140+459.6)))*(INDEX(FX_Input,V$5,I$3*$Z$5+$AA$5-1)^0.5)+((2416/(I1140+459.6)-2.013)*LOG10(INDEX(FX_Input,V$5,I$3*$Z$5+$AA$5)))-(8742/(I1140+459.6))+15.64),EXP(INDEX(Antoines,MATCH(I1130,Antoine_Name,0),2)-INDEX(Antoines,MATCH(I1130,Antoine_Name,0),3)/(I1140+459.6))))),0)</f>
        <v>1</v>
      </c>
      <c r="J1151" cm="1">
        <f t="array" ref="J1151">IFERROR(IF(J1131="Chemical",(10^(INDEX(Antoines,MATCH(J1130,Antoine_Name,0),2)-INDEX(Antoines,MATCH(J1130,Antoine_Name,0),3)/(INDEX(Antoines,MATCH(J1130,Antoine_Name,0),4)+(J1140-32)*5/9)))*14.7/760,IF(J1131="Crude Oil",EXP((2799/(J1140+459.6)-2.227)*LOG10(INDEX(FX_Input,W$5,J$3*$Z$5+$AA$5))-(7261/(J1140+459.6))+12.82),IF(J1131="Refined Petroleum Stock",EXP((0.7553-(413/(J1140+459.6)))*(INDEX(FX_Input,W$5,J$3*$Z$5+$AA$5-1)^0.5)*LOG10(INDEX(FX_Input,W$5,J$3*$Z$5+$AA$5))-(1.854-(1042/(J1140+459.6)))*(INDEX(FX_Input,W$5,J$3*$Z$5+$AA$5-1)^0.5)+((2416/(J1140+459.6)-2.013)*LOG10(INDEX(FX_Input,W$5,J$3*$Z$5+$AA$5)))-(8742/(J1140+459.6))+15.64),EXP(INDEX(Antoines,MATCH(J1130,Antoine_Name,0),2)-INDEX(Antoines,MATCH(J1130,Antoine_Name,0),3)/(J1140+459.6))))),0)</f>
        <v>1</v>
      </c>
      <c r="K1151" cm="1">
        <f t="array" ref="K1151">IFERROR(IF(K1131="Chemical",(10^(INDEX(Antoines,MATCH(K1130,Antoine_Name,0),2)-INDEX(Antoines,MATCH(K1130,Antoine_Name,0),3)/(INDEX(Antoines,MATCH(K1130,Antoine_Name,0),4)+(K1140-32)*5/9)))*14.7/760,IF(K1131="Crude Oil",EXP((2799/(K1140+459.6)-2.227)*LOG10(INDEX(FX_Input,X$5,K$3*$Z$5+$AA$5))-(7261/(K1140+459.6))+12.82),IF(K1131="Refined Petroleum Stock",EXP((0.7553-(413/(K1140+459.6)))*(INDEX(FX_Input,X$5,K$3*$Z$5+$AA$5-1)^0.5)*LOG10(INDEX(FX_Input,X$5,K$3*$Z$5+$AA$5))-(1.854-(1042/(K1140+459.6)))*(INDEX(FX_Input,X$5,K$3*$Z$5+$AA$5-1)^0.5)+((2416/(K1140+459.6)-2.013)*LOG10(INDEX(FX_Input,X$5,K$3*$Z$5+$AA$5)))-(8742/(K1140+459.6))+15.64),EXP(INDEX(Antoines,MATCH(K1130,Antoine_Name,0),2)-INDEX(Antoines,MATCH(K1130,Antoine_Name,0),3)/(K1140+459.6))))),0)</f>
        <v>1</v>
      </c>
      <c r="L1151" cm="1">
        <f t="array" ref="L1151">IFERROR(IF(L1131="Chemical",(10^(INDEX(Antoines,MATCH(L1130,Antoine_Name,0),2)-INDEX(Antoines,MATCH(L1130,Antoine_Name,0),3)/(INDEX(Antoines,MATCH(L1130,Antoine_Name,0),4)+(L1140-32)*5/9)))*14.7/760,IF(L1131="Crude Oil",EXP((2799/(L1140+459.6)-2.227)*LOG10(INDEX(FX_Input,Y$5,L$3*$Z$5+$AA$5))-(7261/(L1140+459.6))+12.82),IF(L1131="Refined Petroleum Stock",EXP((0.7553-(413/(L1140+459.6)))*(INDEX(FX_Input,Y$5,L$3*$Z$5+$AA$5-1)^0.5)*LOG10(INDEX(FX_Input,Y$5,L$3*$Z$5+$AA$5))-(1.854-(1042/(L1140+459.6)))*(INDEX(FX_Input,Y$5,L$3*$Z$5+$AA$5-1)^0.5)+((2416/(L1140+459.6)-2.013)*LOG10(INDEX(FX_Input,Y$5,L$3*$Z$5+$AA$5)))-(8742/(L1140+459.6))+15.64),EXP(INDEX(Antoines,MATCH(L1130,Antoine_Name,0),2)-INDEX(Antoines,MATCH(L1130,Antoine_Name,0),3)/(L1140+459.6))))),0)</f>
        <v>1</v>
      </c>
      <c r="M1151" cm="1">
        <f t="array" ref="M1151">IFERROR(IF(M1131="Chemical",(10^(INDEX(Antoines,MATCH(M1130,Antoine_Name,0),2)-INDEX(Antoines,MATCH(M1130,Antoine_Name,0),3)/(INDEX(Antoines,MATCH(M1130,Antoine_Name,0),4)+(M1140-32)*5/9)))*14.7/760,IF(M1131="Crude Oil",EXP((2799/(M1140+459.6)-2.227)*LOG10(INDEX(FX_Input,Z$5,M$3*$Z$5+$AA$5))-(7261/(M1140+459.6))+12.82),IF(M1131="Refined Petroleum Stock",EXP((0.7553-(413/(M1140+459.6)))*(INDEX(FX_Input,Z$5,M$3*$Z$5+$AA$5-1)^0.5)*LOG10(INDEX(FX_Input,Z$5,M$3*$Z$5+$AA$5))-(1.854-(1042/(M1140+459.6)))*(INDEX(FX_Input,Z$5,M$3*$Z$5+$AA$5-1)^0.5)+((2416/(M1140+459.6)-2.013)*LOG10(INDEX(FX_Input,Z$5,M$3*$Z$5+$AA$5)))-(8742/(M1140+459.6))+15.64),EXP(INDEX(Antoines,MATCH(M1130,Antoine_Name,0),2)-INDEX(Antoines,MATCH(M1130,Antoine_Name,0),3)/(M1140+459.6))))),0)</f>
        <v>1</v>
      </c>
      <c r="N1151" cm="1">
        <f t="array" ref="N1151">IFERROR(IF(N1131="Chemical",(10^(INDEX(Antoines,MATCH(N1130,Antoine_Name,0),2)-INDEX(Antoines,MATCH(N1130,Antoine_Name,0),3)/(INDEX(Antoines,MATCH(N1130,Antoine_Name,0),4)+(N1140-32)*5/9)))*14.7/760,IF(N1131="Crude Oil",EXP((2799/(N1140+459.6)-2.227)*LOG10(INDEX(FX_Input,AA$5,N$3*$Z$5+$AA$5))-(7261/(N1140+459.6))+12.82),IF(N1131="Refined Petroleum Stock",EXP((0.7553-(413/(N1140+459.6)))*(INDEX(FX_Input,AA$5,N$3*$Z$5+$AA$5-1)^0.5)*LOG10(INDEX(FX_Input,AA$5,N$3*$Z$5+$AA$5))-(1.854-(1042/(N1140+459.6)))*(INDEX(FX_Input,AA$5,N$3*$Z$5+$AA$5-1)^0.5)+((2416/(N1140+459.6)-2.013)*LOG10(INDEX(FX_Input,AA$5,N$3*$Z$5+$AA$5)))-(8742/(N1140+459.6))+15.64),EXP(INDEX(Antoines,MATCH(N1130,Antoine_Name,0),2)-INDEX(Antoines,MATCH(N1130,Antoine_Name,0),3)/(N1140+459.6))))),0)</f>
        <v>1</v>
      </c>
      <c r="O1151" cm="1">
        <f t="array" ref="O1151">IFERROR(IF(O1131="Chemical",(10^(INDEX(Antoines,MATCH(O1130,Antoine_Name,0),2)-INDEX(Antoines,MATCH(O1130,Antoine_Name,0),3)/(INDEX(Antoines,MATCH(O1130,Antoine_Name,0),4)+(O1140-32)*5/9)))*14.7/760,IF(O1131="Crude Oil",EXP((2799/(O1140+459.6)-2.227)*LOG10(INDEX(FX_Input,AB$5,O$3*$Z$5+$AA$5))-(7261/(O1140+459.6))+12.82),IF(O1131="Refined Petroleum Stock",EXP((0.7553-(413/(O1140+459.6)))*(INDEX(FX_Input,AB$5,O$3*$Z$5+$AA$5-1)^0.5)*LOG10(INDEX(FX_Input,AB$5,O$3*$Z$5+$AA$5))-(1.854-(1042/(O1140+459.6)))*(INDEX(FX_Input,AB$5,O$3*$Z$5+$AA$5-1)^0.5)+((2416/(O1140+459.6)-2.013)*LOG10(INDEX(FX_Input,AB$5,O$3*$Z$5+$AA$5)))-(8742/(O1140+459.6))+15.64),EXP(INDEX(Antoines,MATCH(O1130,Antoine_Name,0),2)-INDEX(Antoines,MATCH(O1130,Antoine_Name,0),3)/(O1140+459.6))))),0)</f>
        <v>1</v>
      </c>
    </row>
    <row r="1152" spans="2:32" ht="17.149999999999999" x14ac:dyDescent="0.55000000000000004">
      <c r="B1152" t="str">
        <f t="shared" si="4116"/>
        <v>Portland</v>
      </c>
      <c r="C1152" t="s">
        <v>1389</v>
      </c>
      <c r="D1152">
        <f>D1151*D1134</f>
        <v>1</v>
      </c>
      <c r="E1152">
        <f t="shared" ref="E1152" si="4183">E1151*E1134</f>
        <v>1</v>
      </c>
      <c r="F1152">
        <f t="shared" ref="F1152" si="4184">F1151*F1134</f>
        <v>1</v>
      </c>
      <c r="G1152">
        <f t="shared" ref="G1152" si="4185">G1151*G1134</f>
        <v>1</v>
      </c>
      <c r="H1152">
        <f t="shared" ref="H1152" si="4186">H1151*H1134</f>
        <v>1</v>
      </c>
      <c r="I1152">
        <f t="shared" ref="I1152" si="4187">I1151*I1134</f>
        <v>1</v>
      </c>
      <c r="J1152">
        <f t="shared" ref="J1152" si="4188">J1151*J1134</f>
        <v>1</v>
      </c>
      <c r="K1152">
        <f t="shared" ref="K1152" si="4189">K1151*K1134</f>
        <v>1</v>
      </c>
      <c r="L1152">
        <f t="shared" ref="L1152" si="4190">L1151*L1134</f>
        <v>1</v>
      </c>
      <c r="M1152">
        <f t="shared" ref="M1152" si="4191">M1151*M1134</f>
        <v>1</v>
      </c>
      <c r="N1152">
        <f t="shared" ref="N1152" si="4192">N1151*N1134</f>
        <v>1</v>
      </c>
      <c r="O1152">
        <f t="shared" ref="O1152" si="4193">O1151*O1134</f>
        <v>1</v>
      </c>
    </row>
    <row r="1153" spans="1:32" ht="17.149999999999999" x14ac:dyDescent="0.55000000000000004">
      <c r="B1153" t="str">
        <f t="shared" si="4116"/>
        <v>Portland</v>
      </c>
      <c r="C1153" t="s">
        <v>1390</v>
      </c>
      <c r="D1153" cm="1">
        <f t="array" ref="D1153">IFERROR(IF(D1133="Chemical",(10^(INDEX(Antoines,MATCH(D1132,Antoine_Name,0),2)-INDEX(Antoines,MATCH(D1132,Antoine_Name,0),3)/(INDEX(Antoines,MATCH(D1132,Antoine_Name,0),4)+(D1140-32)*5/9)))*14.7/760,IF(D1133="Crude Oil",EXP((2799/(D1140+459.6)-2.227)*LOG10(INDEX(FX_Input,Q$5,D$3*$Z$5+$AA$5))-(7261/(D1140+459.6))+12.82),IF(D1133="Refined Petroleum Stock",EXP((0.7553-(413/(D1140+459.6)))*(INDEX(FX_Input,Q$5,D$3*$Z$5+$AA$5-1)^0.5)*LOG10(INDEX(FX_Input,Q$5,D$3*$Z$5+$AA$5))-(1.854-(1042/(D1140+459.6)))*(INDEX(FX_Input,Q$5,D$3*$Z$5+$AA$5-1)^0.5)+((2416/(D1140+459.6)-2.013)*LOG10(INDEX(FX_Input,Q$5,D$3*$Z$5+$AA$5)))-(8742/(D1140+459.6))+15.64),EXP(INDEX(Antoines,MATCH(D1132,Antoine_Name,0),2)-INDEX(Antoines,MATCH(D1132,Antoine_Name,0),3)/(D1140+459.6))))),0)</f>
        <v>0</v>
      </c>
      <c r="E1153" cm="1">
        <f t="array" ref="E1153">IFERROR(IF(E1133="Chemical",(10^(INDEX(Antoines,MATCH(E1132,Antoine_Name,0),2)-INDEX(Antoines,MATCH(E1132,Antoine_Name,0),3)/(INDEX(Antoines,MATCH(E1132,Antoine_Name,0),4)+(E1140-32)*5/9)))*14.7/760,IF(E1133="Crude Oil",EXP((2799/(E1140+459.6)-2.227)*LOG10(INDEX(FX_Input,R$5,E$3*$Z$5+$AA$5))-(7261/(E1140+459.6))+12.82),IF(E1133="Refined Petroleum Stock",EXP((0.7553-(413/(E1140+459.6)))*(INDEX(FX_Input,R$5,E$3*$Z$5+$AA$5-1)^0.5)*LOG10(INDEX(FX_Input,R$5,E$3*$Z$5+$AA$5))-(1.854-(1042/(E1140+459.6)))*(INDEX(FX_Input,R$5,E$3*$Z$5+$AA$5-1)^0.5)+((2416/(E1140+459.6)-2.013)*LOG10(INDEX(FX_Input,R$5,E$3*$Z$5+$AA$5)))-(8742/(E1140+459.6))+15.64),EXP(INDEX(Antoines,MATCH(E1132,Antoine_Name,0),2)-INDEX(Antoines,MATCH(E1132,Antoine_Name,0),3)/(E1140+459.6))))),0)</f>
        <v>0</v>
      </c>
      <c r="F1153" cm="1">
        <f t="array" ref="F1153">IFERROR(IF(F1133="Chemical",(10^(INDEX(Antoines,MATCH(F1132,Antoine_Name,0),2)-INDEX(Antoines,MATCH(F1132,Antoine_Name,0),3)/(INDEX(Antoines,MATCH(F1132,Antoine_Name,0),4)+(F1140-32)*5/9)))*14.7/760,IF(F1133="Crude Oil",EXP((2799/(F1140+459.6)-2.227)*LOG10(INDEX(FX_Input,S$5,F$3*$Z$5+$AA$5))-(7261/(F1140+459.6))+12.82),IF(F1133="Refined Petroleum Stock",EXP((0.7553-(413/(F1140+459.6)))*(INDEX(FX_Input,S$5,F$3*$Z$5+$AA$5-1)^0.5)*LOG10(INDEX(FX_Input,S$5,F$3*$Z$5+$AA$5))-(1.854-(1042/(F1140+459.6)))*(INDEX(FX_Input,S$5,F$3*$Z$5+$AA$5-1)^0.5)+((2416/(F1140+459.6)-2.013)*LOG10(INDEX(FX_Input,S$5,F$3*$Z$5+$AA$5)))-(8742/(F1140+459.6))+15.64),EXP(INDEX(Antoines,MATCH(F1132,Antoine_Name,0),2)-INDEX(Antoines,MATCH(F1132,Antoine_Name,0),3)/(F1140+459.6))))),0)</f>
        <v>0</v>
      </c>
      <c r="G1153" cm="1">
        <f t="array" ref="G1153">IFERROR(IF(G1133="Chemical",(10^(INDEX(Antoines,MATCH(G1132,Antoine_Name,0),2)-INDEX(Antoines,MATCH(G1132,Antoine_Name,0),3)/(INDEX(Antoines,MATCH(G1132,Antoine_Name,0),4)+(G1140-32)*5/9)))*14.7/760,IF(G1133="Crude Oil",EXP((2799/(G1140+459.6)-2.227)*LOG10(INDEX(FX_Input,T$5,G$3*$Z$5+$AA$5))-(7261/(G1140+459.6))+12.82),IF(G1133="Refined Petroleum Stock",EXP((0.7553-(413/(G1140+459.6)))*(INDEX(FX_Input,T$5,G$3*$Z$5+$AA$5-1)^0.5)*LOG10(INDEX(FX_Input,T$5,G$3*$Z$5+$AA$5))-(1.854-(1042/(G1140+459.6)))*(INDEX(FX_Input,T$5,G$3*$Z$5+$AA$5-1)^0.5)+((2416/(G1140+459.6)-2.013)*LOG10(INDEX(FX_Input,T$5,G$3*$Z$5+$AA$5)))-(8742/(G1140+459.6))+15.64),EXP(INDEX(Antoines,MATCH(G1132,Antoine_Name,0),2)-INDEX(Antoines,MATCH(G1132,Antoine_Name,0),3)/(G1140+459.6))))),0)</f>
        <v>0</v>
      </c>
      <c r="H1153" cm="1">
        <f t="array" ref="H1153">IFERROR(IF(H1133="Chemical",(10^(INDEX(Antoines,MATCH(H1132,Antoine_Name,0),2)-INDEX(Antoines,MATCH(H1132,Antoine_Name,0),3)/(INDEX(Antoines,MATCH(H1132,Antoine_Name,0),4)+(H1140-32)*5/9)))*14.7/760,IF(H1133="Crude Oil",EXP((2799/(H1140+459.6)-2.227)*LOG10(INDEX(FX_Input,U$5,H$3*$Z$5+$AA$5))-(7261/(H1140+459.6))+12.82),IF(H1133="Refined Petroleum Stock",EXP((0.7553-(413/(H1140+459.6)))*(INDEX(FX_Input,U$5,H$3*$Z$5+$AA$5-1)^0.5)*LOG10(INDEX(FX_Input,U$5,H$3*$Z$5+$AA$5))-(1.854-(1042/(H1140+459.6)))*(INDEX(FX_Input,U$5,H$3*$Z$5+$AA$5-1)^0.5)+((2416/(H1140+459.6)-2.013)*LOG10(INDEX(FX_Input,U$5,H$3*$Z$5+$AA$5)))-(8742/(H1140+459.6))+15.64),EXP(INDEX(Antoines,MATCH(H1132,Antoine_Name,0),2)-INDEX(Antoines,MATCH(H1132,Antoine_Name,0),3)/(H1140+459.6))))),0)</f>
        <v>0</v>
      </c>
      <c r="I1153" cm="1">
        <f t="array" ref="I1153">IFERROR(IF(I1133="Chemical",(10^(INDEX(Antoines,MATCH(I1132,Antoine_Name,0),2)-INDEX(Antoines,MATCH(I1132,Antoine_Name,0),3)/(INDEX(Antoines,MATCH(I1132,Antoine_Name,0),4)+(I1140-32)*5/9)))*14.7/760,IF(I1133="Crude Oil",EXP((2799/(I1140+459.6)-2.227)*LOG10(INDEX(FX_Input,V$5,I$3*$Z$5+$AA$5))-(7261/(I1140+459.6))+12.82),IF(I1133="Refined Petroleum Stock",EXP((0.7553-(413/(I1140+459.6)))*(INDEX(FX_Input,V$5,I$3*$Z$5+$AA$5-1)^0.5)*LOG10(INDEX(FX_Input,V$5,I$3*$Z$5+$AA$5))-(1.854-(1042/(I1140+459.6)))*(INDEX(FX_Input,V$5,I$3*$Z$5+$AA$5-1)^0.5)+((2416/(I1140+459.6)-2.013)*LOG10(INDEX(FX_Input,V$5,I$3*$Z$5+$AA$5)))-(8742/(I1140+459.6))+15.64),EXP(INDEX(Antoines,MATCH(I1132,Antoine_Name,0),2)-INDEX(Antoines,MATCH(I1132,Antoine_Name,0),3)/(I1140+459.6))))),0)</f>
        <v>0</v>
      </c>
      <c r="J1153" cm="1">
        <f t="array" ref="J1153">IFERROR(IF(J1133="Chemical",(10^(INDEX(Antoines,MATCH(J1132,Antoine_Name,0),2)-INDEX(Antoines,MATCH(J1132,Antoine_Name,0),3)/(INDEX(Antoines,MATCH(J1132,Antoine_Name,0),4)+(J1140-32)*5/9)))*14.7/760,IF(J1133="Crude Oil",EXP((2799/(J1140+459.6)-2.227)*LOG10(INDEX(FX_Input,W$5,J$3*$Z$5+$AA$5))-(7261/(J1140+459.6))+12.82),IF(J1133="Refined Petroleum Stock",EXP((0.7553-(413/(J1140+459.6)))*(INDEX(FX_Input,W$5,J$3*$Z$5+$AA$5-1)^0.5)*LOG10(INDEX(FX_Input,W$5,J$3*$Z$5+$AA$5))-(1.854-(1042/(J1140+459.6)))*(INDEX(FX_Input,W$5,J$3*$Z$5+$AA$5-1)^0.5)+((2416/(J1140+459.6)-2.013)*LOG10(INDEX(FX_Input,W$5,J$3*$Z$5+$AA$5)))-(8742/(J1140+459.6))+15.64),EXP(INDEX(Antoines,MATCH(J1132,Antoine_Name,0),2)-INDEX(Antoines,MATCH(J1132,Antoine_Name,0),3)/(J1140+459.6))))),0)</f>
        <v>0</v>
      </c>
      <c r="K1153" cm="1">
        <f t="array" ref="K1153">IFERROR(IF(K1133="Chemical",(10^(INDEX(Antoines,MATCH(K1132,Antoine_Name,0),2)-INDEX(Antoines,MATCH(K1132,Antoine_Name,0),3)/(INDEX(Antoines,MATCH(K1132,Antoine_Name,0),4)+(K1140-32)*5/9)))*14.7/760,IF(K1133="Crude Oil",EXP((2799/(K1140+459.6)-2.227)*LOG10(INDEX(FX_Input,X$5,K$3*$Z$5+$AA$5))-(7261/(K1140+459.6))+12.82),IF(K1133="Refined Petroleum Stock",EXP((0.7553-(413/(K1140+459.6)))*(INDEX(FX_Input,X$5,K$3*$Z$5+$AA$5-1)^0.5)*LOG10(INDEX(FX_Input,X$5,K$3*$Z$5+$AA$5))-(1.854-(1042/(K1140+459.6)))*(INDEX(FX_Input,X$5,K$3*$Z$5+$AA$5-1)^0.5)+((2416/(K1140+459.6)-2.013)*LOG10(INDEX(FX_Input,X$5,K$3*$Z$5+$AA$5)))-(8742/(K1140+459.6))+15.64),EXP(INDEX(Antoines,MATCH(K1132,Antoine_Name,0),2)-INDEX(Antoines,MATCH(K1132,Antoine_Name,0),3)/(K1140+459.6))))),0)</f>
        <v>0</v>
      </c>
      <c r="L1153" cm="1">
        <f t="array" ref="L1153">IFERROR(IF(L1133="Chemical",(10^(INDEX(Antoines,MATCH(L1132,Antoine_Name,0),2)-INDEX(Antoines,MATCH(L1132,Antoine_Name,0),3)/(INDEX(Antoines,MATCH(L1132,Antoine_Name,0),4)+(L1140-32)*5/9)))*14.7/760,IF(L1133="Crude Oil",EXP((2799/(L1140+459.6)-2.227)*LOG10(INDEX(FX_Input,Y$5,L$3*$Z$5+$AA$5))-(7261/(L1140+459.6))+12.82),IF(L1133="Refined Petroleum Stock",EXP((0.7553-(413/(L1140+459.6)))*(INDEX(FX_Input,Y$5,L$3*$Z$5+$AA$5-1)^0.5)*LOG10(INDEX(FX_Input,Y$5,L$3*$Z$5+$AA$5))-(1.854-(1042/(L1140+459.6)))*(INDEX(FX_Input,Y$5,L$3*$Z$5+$AA$5-1)^0.5)+((2416/(L1140+459.6)-2.013)*LOG10(INDEX(FX_Input,Y$5,L$3*$Z$5+$AA$5)))-(8742/(L1140+459.6))+15.64),EXP(INDEX(Antoines,MATCH(L1132,Antoine_Name,0),2)-INDEX(Antoines,MATCH(L1132,Antoine_Name,0),3)/(L1140+459.6))))),0)</f>
        <v>0</v>
      </c>
      <c r="M1153" cm="1">
        <f t="array" ref="M1153">IFERROR(IF(M1133="Chemical",(10^(INDEX(Antoines,MATCH(M1132,Antoine_Name,0),2)-INDEX(Antoines,MATCH(M1132,Antoine_Name,0),3)/(INDEX(Antoines,MATCH(M1132,Antoine_Name,0),4)+(M1140-32)*5/9)))*14.7/760,IF(M1133="Crude Oil",EXP((2799/(M1140+459.6)-2.227)*LOG10(INDEX(FX_Input,Z$5,M$3*$Z$5+$AA$5))-(7261/(M1140+459.6))+12.82),IF(M1133="Refined Petroleum Stock",EXP((0.7553-(413/(M1140+459.6)))*(INDEX(FX_Input,Z$5,M$3*$Z$5+$AA$5-1)^0.5)*LOG10(INDEX(FX_Input,Z$5,M$3*$Z$5+$AA$5))-(1.854-(1042/(M1140+459.6)))*(INDEX(FX_Input,Z$5,M$3*$Z$5+$AA$5-1)^0.5)+((2416/(M1140+459.6)-2.013)*LOG10(INDEX(FX_Input,Z$5,M$3*$Z$5+$AA$5)))-(8742/(M1140+459.6))+15.64),EXP(INDEX(Antoines,MATCH(M1132,Antoine_Name,0),2)-INDEX(Antoines,MATCH(M1132,Antoine_Name,0),3)/(M1140+459.6))))),0)</f>
        <v>0</v>
      </c>
      <c r="N1153" cm="1">
        <f t="array" ref="N1153">IFERROR(IF(N1133="Chemical",(10^(INDEX(Antoines,MATCH(N1132,Antoine_Name,0),2)-INDEX(Antoines,MATCH(N1132,Antoine_Name,0),3)/(INDEX(Antoines,MATCH(N1132,Antoine_Name,0),4)+(N1140-32)*5/9)))*14.7/760,IF(N1133="Crude Oil",EXP((2799/(N1140+459.6)-2.227)*LOG10(INDEX(FX_Input,AA$5,N$3*$Z$5+$AA$5))-(7261/(N1140+459.6))+12.82),IF(N1133="Refined Petroleum Stock",EXP((0.7553-(413/(N1140+459.6)))*(INDEX(FX_Input,AA$5,N$3*$Z$5+$AA$5-1)^0.5)*LOG10(INDEX(FX_Input,AA$5,N$3*$Z$5+$AA$5))-(1.854-(1042/(N1140+459.6)))*(INDEX(FX_Input,AA$5,N$3*$Z$5+$AA$5-1)^0.5)+((2416/(N1140+459.6)-2.013)*LOG10(INDEX(FX_Input,AA$5,N$3*$Z$5+$AA$5)))-(8742/(N1140+459.6))+15.64),EXP(INDEX(Antoines,MATCH(N1132,Antoine_Name,0),2)-INDEX(Antoines,MATCH(N1132,Antoine_Name,0),3)/(N1140+459.6))))),0)</f>
        <v>0</v>
      </c>
      <c r="O1153" cm="1">
        <f t="array" ref="O1153">IFERROR(IF(O1133="Chemical",(10^(INDEX(Antoines,MATCH(O1132,Antoine_Name,0),2)-INDEX(Antoines,MATCH(O1132,Antoine_Name,0),3)/(INDEX(Antoines,MATCH(O1132,Antoine_Name,0),4)+(O1140-32)*5/9)))*14.7/760,IF(O1133="Crude Oil",EXP((2799/(O1140+459.6)-2.227)*LOG10(INDEX(FX_Input,AB$5,O$3*$Z$5+$AA$5))-(7261/(O1140+459.6))+12.82),IF(O1133="Refined Petroleum Stock",EXP((0.7553-(413/(O1140+459.6)))*(INDEX(FX_Input,AB$5,O$3*$Z$5+$AA$5-1)^0.5)*LOG10(INDEX(FX_Input,AB$5,O$3*$Z$5+$AA$5))-(1.854-(1042/(O1140+459.6)))*(INDEX(FX_Input,AB$5,O$3*$Z$5+$AA$5-1)^0.5)+((2416/(O1140+459.6)-2.013)*LOG10(INDEX(FX_Input,AB$5,O$3*$Z$5+$AA$5)))-(8742/(O1140+459.6))+15.64),EXP(INDEX(Antoines,MATCH(O1132,Antoine_Name,0),2)-INDEX(Antoines,MATCH(O1132,Antoine_Name,0),3)/(O1140+459.6))))),0)</f>
        <v>0</v>
      </c>
    </row>
    <row r="1154" spans="1:32" ht="17.149999999999999" x14ac:dyDescent="0.55000000000000004">
      <c r="B1154" t="str">
        <f t="shared" si="4116"/>
        <v>Portland</v>
      </c>
      <c r="C1154" t="s">
        <v>1391</v>
      </c>
      <c r="D1154">
        <f>D1153*D1136</f>
        <v>0</v>
      </c>
      <c r="E1154">
        <f t="shared" ref="E1154" si="4194">E1153*E1136</f>
        <v>0</v>
      </c>
      <c r="F1154">
        <f t="shared" ref="F1154" si="4195">F1153*F1136</f>
        <v>0</v>
      </c>
      <c r="G1154">
        <f t="shared" ref="G1154" si="4196">G1153*G1136</f>
        <v>0</v>
      </c>
      <c r="H1154">
        <f t="shared" ref="H1154" si="4197">H1153*H1136</f>
        <v>0</v>
      </c>
      <c r="I1154">
        <f t="shared" ref="I1154" si="4198">I1153*I1136</f>
        <v>0</v>
      </c>
      <c r="J1154">
        <f t="shared" ref="J1154" si="4199">J1153*J1136</f>
        <v>0</v>
      </c>
      <c r="K1154">
        <f t="shared" ref="K1154" si="4200">K1153*K1136</f>
        <v>0</v>
      </c>
      <c r="L1154">
        <f t="shared" ref="L1154" si="4201">L1153*L1136</f>
        <v>0</v>
      </c>
      <c r="M1154">
        <f t="shared" ref="M1154" si="4202">M1153*M1136</f>
        <v>0</v>
      </c>
      <c r="N1154">
        <f t="shared" ref="N1154" si="4203">N1153*N1136</f>
        <v>0</v>
      </c>
      <c r="O1154">
        <f t="shared" ref="O1154" si="4204">O1153*O1136</f>
        <v>0</v>
      </c>
    </row>
    <row r="1155" spans="1:32" ht="17.149999999999999" x14ac:dyDescent="0.55000000000000004">
      <c r="B1155" t="str">
        <f t="shared" si="4116"/>
        <v>Portland</v>
      </c>
      <c r="C1155" t="s">
        <v>1392</v>
      </c>
      <c r="D1155">
        <f>D1152+D1154</f>
        <v>1</v>
      </c>
      <c r="E1155">
        <f t="shared" ref="E1155" si="4205">E1152+E1154</f>
        <v>1</v>
      </c>
      <c r="F1155">
        <f t="shared" ref="F1155" si="4206">F1152+F1154</f>
        <v>1</v>
      </c>
      <c r="G1155">
        <f t="shared" ref="G1155" si="4207">G1152+G1154</f>
        <v>1</v>
      </c>
      <c r="H1155">
        <f t="shared" ref="H1155" si="4208">H1152+H1154</f>
        <v>1</v>
      </c>
      <c r="I1155">
        <f t="shared" ref="I1155" si="4209">I1152+I1154</f>
        <v>1</v>
      </c>
      <c r="J1155">
        <f t="shared" ref="J1155" si="4210">J1152+J1154</f>
        <v>1</v>
      </c>
      <c r="K1155">
        <f t="shared" ref="K1155" si="4211">K1152+K1154</f>
        <v>1</v>
      </c>
      <c r="L1155">
        <f t="shared" ref="L1155" si="4212">L1152+L1154</f>
        <v>1</v>
      </c>
      <c r="M1155">
        <f t="shared" ref="M1155" si="4213">M1152+M1154</f>
        <v>1</v>
      </c>
      <c r="N1155">
        <f t="shared" ref="N1155" si="4214">N1152+N1154</f>
        <v>1</v>
      </c>
      <c r="O1155">
        <f t="shared" ref="O1155" si="4215">O1152+O1154</f>
        <v>1</v>
      </c>
    </row>
    <row r="1156" spans="1:32" ht="17.149999999999999" x14ac:dyDescent="0.55000000000000004">
      <c r="B1156" t="str">
        <f>B1150</f>
        <v>Portland</v>
      </c>
      <c r="C1156" t="s">
        <v>584</v>
      </c>
      <c r="D1156">
        <f>D1152/D1155</f>
        <v>1</v>
      </c>
      <c r="E1156">
        <f t="shared" ref="E1156" si="4216">E1152/E1155</f>
        <v>1</v>
      </c>
      <c r="F1156">
        <f t="shared" ref="F1156" si="4217">F1152/F1155</f>
        <v>1</v>
      </c>
      <c r="G1156">
        <f t="shared" ref="G1156" si="4218">G1152/G1155</f>
        <v>1</v>
      </c>
      <c r="H1156">
        <f t="shared" ref="H1156" si="4219">H1152/H1155</f>
        <v>1</v>
      </c>
      <c r="I1156">
        <f t="shared" ref="I1156" si="4220">I1152/I1155</f>
        <v>1</v>
      </c>
      <c r="J1156">
        <f t="shared" ref="J1156" si="4221">J1152/J1155</f>
        <v>1</v>
      </c>
      <c r="K1156">
        <f t="shared" ref="K1156" si="4222">K1152/K1155</f>
        <v>1</v>
      </c>
      <c r="L1156">
        <f t="shared" ref="L1156" si="4223">L1152/L1155</f>
        <v>1</v>
      </c>
      <c r="M1156">
        <f t="shared" ref="M1156" si="4224">M1152/M1155</f>
        <v>1</v>
      </c>
      <c r="N1156">
        <f t="shared" ref="N1156" si="4225">N1152/N1155</f>
        <v>1</v>
      </c>
      <c r="O1156">
        <f t="shared" ref="O1156" si="4226">O1152/O1155</f>
        <v>1</v>
      </c>
    </row>
    <row r="1157" spans="1:32" ht="17.149999999999999" x14ac:dyDescent="0.55000000000000004">
      <c r="B1157" t="str">
        <f>B1151</f>
        <v>Portland</v>
      </c>
      <c r="C1157" t="s">
        <v>585</v>
      </c>
      <c r="D1157" t="str">
        <f t="shared" ref="D1157:O1157" si="4227">INDEX(Phys_Prop,MATCH(D1130,Chem_List,0),3)</f>
        <v>N/A</v>
      </c>
      <c r="E1157" t="str">
        <f t="shared" si="4227"/>
        <v>N/A</v>
      </c>
      <c r="F1157" t="str">
        <f t="shared" si="4227"/>
        <v>N/A</v>
      </c>
      <c r="G1157" t="str">
        <f t="shared" si="4227"/>
        <v>N/A</v>
      </c>
      <c r="H1157" t="str">
        <f t="shared" si="4227"/>
        <v>N/A</v>
      </c>
      <c r="I1157" t="str">
        <f t="shared" si="4227"/>
        <v>N/A</v>
      </c>
      <c r="J1157" t="str">
        <f t="shared" si="4227"/>
        <v>N/A</v>
      </c>
      <c r="K1157" t="str">
        <f t="shared" si="4227"/>
        <v>N/A</v>
      </c>
      <c r="L1157" t="str">
        <f t="shared" si="4227"/>
        <v>N/A</v>
      </c>
      <c r="M1157" t="str">
        <f t="shared" si="4227"/>
        <v>N/A</v>
      </c>
      <c r="N1157" t="str">
        <f t="shared" si="4227"/>
        <v>N/A</v>
      </c>
      <c r="O1157" t="str">
        <f t="shared" si="4227"/>
        <v>N/A</v>
      </c>
    </row>
    <row r="1158" spans="1:32" ht="17.149999999999999" x14ac:dyDescent="0.55000000000000004">
      <c r="B1158" t="str">
        <f>B1157</f>
        <v>Portland</v>
      </c>
      <c r="C1158" t="s">
        <v>586</v>
      </c>
      <c r="D1158">
        <f>D1154/D1155</f>
        <v>0</v>
      </c>
      <c r="E1158">
        <f t="shared" ref="E1158:O1158" si="4228">E1154/E1155</f>
        <v>0</v>
      </c>
      <c r="F1158">
        <f t="shared" si="4228"/>
        <v>0</v>
      </c>
      <c r="G1158">
        <f t="shared" si="4228"/>
        <v>0</v>
      </c>
      <c r="H1158">
        <f t="shared" si="4228"/>
        <v>0</v>
      </c>
      <c r="I1158">
        <f t="shared" si="4228"/>
        <v>0</v>
      </c>
      <c r="J1158">
        <f t="shared" si="4228"/>
        <v>0</v>
      </c>
      <c r="K1158">
        <f t="shared" si="4228"/>
        <v>0</v>
      </c>
      <c r="L1158">
        <f t="shared" si="4228"/>
        <v>0</v>
      </c>
      <c r="M1158">
        <f t="shared" si="4228"/>
        <v>0</v>
      </c>
      <c r="N1158">
        <f t="shared" si="4228"/>
        <v>0</v>
      </c>
      <c r="O1158">
        <f t="shared" si="4228"/>
        <v>0</v>
      </c>
    </row>
    <row r="1159" spans="1:32" ht="17.149999999999999" x14ac:dyDescent="0.55000000000000004">
      <c r="B1159" t="str">
        <f t="shared" si="4116"/>
        <v>Portland</v>
      </c>
      <c r="C1159" t="s">
        <v>587</v>
      </c>
      <c r="D1159">
        <f t="shared" ref="D1159:O1159" si="4229">IFERROR(INDEX(Phys_Prop,MATCH(D1132,Chem_List,0),3),0)</f>
        <v>0</v>
      </c>
      <c r="E1159">
        <f t="shared" si="4229"/>
        <v>0</v>
      </c>
      <c r="F1159">
        <f t="shared" si="4229"/>
        <v>0</v>
      </c>
      <c r="G1159">
        <f t="shared" si="4229"/>
        <v>0</v>
      </c>
      <c r="H1159">
        <f t="shared" si="4229"/>
        <v>0</v>
      </c>
      <c r="I1159">
        <f t="shared" si="4229"/>
        <v>0</v>
      </c>
      <c r="J1159">
        <f t="shared" si="4229"/>
        <v>0</v>
      </c>
      <c r="K1159">
        <f t="shared" si="4229"/>
        <v>0</v>
      </c>
      <c r="L1159">
        <f t="shared" si="4229"/>
        <v>0</v>
      </c>
      <c r="M1159">
        <f t="shared" si="4229"/>
        <v>0</v>
      </c>
      <c r="N1159">
        <f t="shared" si="4229"/>
        <v>0</v>
      </c>
      <c r="O1159">
        <f t="shared" si="4229"/>
        <v>0</v>
      </c>
    </row>
    <row r="1160" spans="1:32" ht="17.149999999999999" x14ac:dyDescent="0.55000000000000004">
      <c r="A1160" s="11"/>
      <c r="B1160" s="11" t="str">
        <f t="shared" si="4116"/>
        <v>Portland</v>
      </c>
      <c r="C1160" s="11" t="s">
        <v>588</v>
      </c>
      <c r="D1160" s="11">
        <f>IFERROR(D1156*D1157+D1158*D1159,0)</f>
        <v>0</v>
      </c>
      <c r="E1160" s="11">
        <f t="shared" ref="E1160" si="4230">IFERROR(E1156*E1157+E1158*E1159,0)</f>
        <v>0</v>
      </c>
      <c r="F1160" s="11">
        <f t="shared" ref="F1160" si="4231">IFERROR(F1156*F1157+F1158*F1159,0)</f>
        <v>0</v>
      </c>
      <c r="G1160" s="11">
        <f t="shared" ref="G1160" si="4232">IFERROR(G1156*G1157+G1158*G1159,0)</f>
        <v>0</v>
      </c>
      <c r="H1160" s="11">
        <f t="shared" ref="H1160" si="4233">IFERROR(H1156*H1157+H1158*H1159,0)</f>
        <v>0</v>
      </c>
      <c r="I1160" s="11">
        <f t="shared" ref="I1160" si="4234">IFERROR(I1156*I1157+I1158*I1159,0)</f>
        <v>0</v>
      </c>
      <c r="J1160" s="11">
        <f t="shared" ref="J1160" si="4235">IFERROR(J1156*J1157+J1158*J1159,0)</f>
        <v>0</v>
      </c>
      <c r="K1160" s="11">
        <f t="shared" ref="K1160" si="4236">IFERROR(K1156*K1157+K1158*K1159,0)</f>
        <v>0</v>
      </c>
      <c r="L1160" s="11">
        <f t="shared" ref="L1160" si="4237">IFERROR(L1156*L1157+L1158*L1159,0)</f>
        <v>0</v>
      </c>
      <c r="M1160" s="11">
        <f t="shared" ref="M1160" si="4238">IFERROR(M1156*M1157+M1158*M1159,0)</f>
        <v>0</v>
      </c>
      <c r="N1160" s="11">
        <f t="shared" ref="N1160" si="4239">IFERROR(N1156*N1157+N1158*N1159,0)</f>
        <v>0</v>
      </c>
      <c r="O1160" s="11">
        <f t="shared" ref="O1160" si="4240">IFERROR(O1156*O1157+O1158*O1159,0)</f>
        <v>0</v>
      </c>
      <c r="P1160" s="11"/>
      <c r="Q1160" s="11"/>
      <c r="R1160" s="11"/>
      <c r="S1160" s="11"/>
      <c r="T1160" s="11"/>
      <c r="U1160" s="11"/>
      <c r="V1160" s="11"/>
      <c r="W1160" s="11"/>
      <c r="X1160" s="11"/>
      <c r="Y1160" s="11"/>
      <c r="Z1160" s="11"/>
      <c r="AA1160" s="11"/>
      <c r="AB1160" s="11"/>
      <c r="AC1160" s="11"/>
      <c r="AD1160" s="11"/>
      <c r="AE1160" s="11"/>
      <c r="AF1160" s="11"/>
    </row>
    <row r="1161" spans="1:32" ht="17.149999999999999" x14ac:dyDescent="0.55000000000000004">
      <c r="A1161" t="str" cm="1">
        <f t="array" ref="A1161">INDEX(FX_Input,$Q1161,R$5)</f>
        <v>FX - 35</v>
      </c>
      <c r="B1161" t="str" cm="1">
        <f t="array" ref="B1161">INDEX(FX_Input,Q1161,S1161)</f>
        <v>Portland</v>
      </c>
      <c r="C1161" t="s">
        <v>563</v>
      </c>
      <c r="D1161">
        <v>14.7</v>
      </c>
      <c r="E1161">
        <v>14.7</v>
      </c>
      <c r="F1161">
        <v>14.7</v>
      </c>
      <c r="G1161">
        <v>14.7</v>
      </c>
      <c r="H1161">
        <v>14.7</v>
      </c>
      <c r="I1161">
        <v>14.7</v>
      </c>
      <c r="J1161">
        <v>14.7</v>
      </c>
      <c r="K1161">
        <v>14.7</v>
      </c>
      <c r="L1161">
        <v>14.7</v>
      </c>
      <c r="M1161">
        <v>14.7</v>
      </c>
      <c r="N1161">
        <v>14.7</v>
      </c>
      <c r="O1161">
        <v>14.7</v>
      </c>
      <c r="Q1161">
        <f>Q1127+2</f>
        <v>69</v>
      </c>
      <c r="R1161">
        <v>1</v>
      </c>
      <c r="S1161">
        <v>3</v>
      </c>
      <c r="T1161">
        <v>1</v>
      </c>
      <c r="U1161">
        <v>19</v>
      </c>
      <c r="V1161">
        <v>20</v>
      </c>
      <c r="W1161">
        <v>25</v>
      </c>
      <c r="X1161">
        <v>1</v>
      </c>
      <c r="Y1161">
        <v>2</v>
      </c>
      <c r="Z1161">
        <f>(W1161-V1161)/(Y1161-X1161)</f>
        <v>5</v>
      </c>
      <c r="AA1161">
        <f>V1161-Z1161*X1161</f>
        <v>15</v>
      </c>
      <c r="AD1161">
        <f>AD1127+14</f>
        <v>477</v>
      </c>
      <c r="AF1161">
        <f>AF1127+14</f>
        <v>477</v>
      </c>
    </row>
    <row r="1162" spans="1:32" ht="17.149999999999999" x14ac:dyDescent="0.55000000000000004">
      <c r="B1162" t="str">
        <f t="shared" ref="B1162" si="4241">B1161</f>
        <v>Portland</v>
      </c>
      <c r="C1162" t="s">
        <v>564</v>
      </c>
      <c r="D1162" cm="1">
        <f t="array" ref="D1162">IF(ISBLANK(INDEX(FX_Input,$Q1161,$AB1162)),0.03,INDEX(FX_Input,Q1161,AB1162))</f>
        <v>0.03</v>
      </c>
      <c r="E1162" cm="1">
        <f t="array" ref="E1162">IF(ISBLANK(INDEX(FX_Input,$Q1161,$AB1162)),0.03,INDEX(FX_Input,R1161,#REF!))</f>
        <v>0.03</v>
      </c>
      <c r="F1162" cm="1">
        <f t="array" ref="F1162">IF(ISBLANK(INDEX(FX_Input,$Q1161,$AB1162)),0.03,INDEX(FX_Input,S1161,#REF!))</f>
        <v>0.03</v>
      </c>
      <c r="G1162" cm="1">
        <f t="array" ref="G1162">IF(ISBLANK(INDEX(FX_Input,$Q1161,$AB1162)),0.03,INDEX(FX_Input,AB1161,#REF!))</f>
        <v>0.03</v>
      </c>
      <c r="H1162" cm="1">
        <f t="array" ref="H1162">IF(ISBLANK(INDEX(FX_Input,$Q1161,$AB1162)),0.03,INDEX(FX_Input,#REF!,#REF!))</f>
        <v>0.03</v>
      </c>
      <c r="I1162" cm="1">
        <f t="array" ref="I1162">IF(ISBLANK(INDEX(FX_Input,$Q1161,$AB1162)),0.03,INDEX(FX_Input,#REF!,#REF!))</f>
        <v>0.03</v>
      </c>
      <c r="J1162" cm="1">
        <f t="array" ref="J1162">IF(ISBLANK(INDEX(FX_Input,$Q1161,$AB1162)),0.03,INDEX(FX_Input,#REF!,#REF!))</f>
        <v>0.03</v>
      </c>
      <c r="K1162" cm="1">
        <f t="array" ref="K1162">IF(ISBLANK(INDEX(FX_Input,$Q1161,$AB1162)),0.03,INDEX(FX_Input,#REF!,AC1162))</f>
        <v>0.03</v>
      </c>
      <c r="L1162" cm="1">
        <f t="array" ref="L1162">IF(ISBLANK(INDEX(FX_Input,$Q1161,$AB1162)),0.03,INDEX(FX_Input,#REF!,AD1162))</f>
        <v>0.03</v>
      </c>
      <c r="M1162" cm="1">
        <f t="array" ref="M1162">IF(ISBLANK(INDEX(FX_Input,$Q1161,$AB1162)),0.03,INDEX(FX_Input,#REF!,#REF!))</f>
        <v>0.03</v>
      </c>
      <c r="N1162" cm="1">
        <f t="array" ref="N1162">IF(ISBLANK(INDEX(FX_Input,$Q1161,$AB1162)),0.03,INDEX(FX_Input,AC1161,#REF!))</f>
        <v>0.03</v>
      </c>
      <c r="O1162" cm="1">
        <f t="array" ref="O1162">IF(ISBLANK(INDEX(FX_Input,$Q1161,$AB1162)),0.03,INDEX(FX_Input,AD1161,#REF!))</f>
        <v>0.03</v>
      </c>
      <c r="AB1162">
        <v>15</v>
      </c>
    </row>
    <row r="1163" spans="1:32" ht="17.149999999999999" x14ac:dyDescent="0.55000000000000004">
      <c r="B1163" t="str">
        <f>B1162</f>
        <v>Portland</v>
      </c>
      <c r="C1163" t="s">
        <v>565</v>
      </c>
      <c r="D1163" cm="1">
        <f t="array" ref="D1163">IF(ISBLANK(INDEX(FX_Input,$Q1161,$AB1163)),-0.03,INDEX(FX_Input,Q1161,AB1163))</f>
        <v>-0.03</v>
      </c>
      <c r="E1163" cm="1">
        <f t="array" ref="E1163">IF(ISBLANK(INDEX(FX_Input,$Q1161,$AB1163)),-0.03,INDEX(FX_Input,R1161,#REF!))</f>
        <v>-0.03</v>
      </c>
      <c r="F1163" cm="1">
        <f t="array" ref="F1163">IF(ISBLANK(INDEX(FX_Input,$Q1161,$AB1163)),-0.03,INDEX(FX_Input,S1161,#REF!))</f>
        <v>-0.03</v>
      </c>
      <c r="G1163" cm="1">
        <f t="array" ref="G1163">IF(ISBLANK(INDEX(FX_Input,$Q1161,$AB1163)),-0.03,INDEX(FX_Input,AB1161,#REF!))</f>
        <v>-0.03</v>
      </c>
      <c r="H1163" cm="1">
        <f t="array" ref="H1163">IF(ISBLANK(INDEX(FX_Input,$Q1161,$AB1163)),-0.03,INDEX(FX_Input,#REF!,#REF!))</f>
        <v>-0.03</v>
      </c>
      <c r="I1163" cm="1">
        <f t="array" ref="I1163">IF(ISBLANK(INDEX(FX_Input,$Q1161,$AB1163)),-0.03,INDEX(FX_Input,#REF!,#REF!))</f>
        <v>-0.03</v>
      </c>
      <c r="J1163" cm="1">
        <f t="array" ref="J1163">IF(ISBLANK(INDEX(FX_Input,$Q1161,$AB1163)),-0.03,INDEX(FX_Input,#REF!,#REF!))</f>
        <v>-0.03</v>
      </c>
      <c r="K1163" cm="1">
        <f t="array" ref="K1163">IF(ISBLANK(INDEX(FX_Input,$Q1161,$AB1163)),-0.03,INDEX(FX_Input,#REF!,AC1163))</f>
        <v>-0.03</v>
      </c>
      <c r="L1163" cm="1">
        <f t="array" ref="L1163">IF(ISBLANK(INDEX(FX_Input,$Q1161,$AB1163)),-0.03,INDEX(FX_Input,#REF!,AD1163))</f>
        <v>-0.03</v>
      </c>
      <c r="M1163" cm="1">
        <f t="array" ref="M1163">IF(ISBLANK(INDEX(FX_Input,$Q1161,$AB1163)),-0.03,INDEX(FX_Input,#REF!,#REF!))</f>
        <v>-0.03</v>
      </c>
      <c r="N1163" cm="1">
        <f t="array" ref="N1163">IF(ISBLANK(INDEX(FX_Input,$Q1161,$AB1163)),-0.03,INDEX(FX_Input,AC1161,#REF!))</f>
        <v>-0.03</v>
      </c>
      <c r="O1163" cm="1">
        <f t="array" ref="O1163">IF(ISBLANK(INDEX(FX_Input,$Q1161,$AB1163)),-0.03,INDEX(FX_Input,AD1161,#REF!))</f>
        <v>-0.03</v>
      </c>
      <c r="AB1163">
        <v>16</v>
      </c>
    </row>
    <row r="1164" spans="1:32" x14ac:dyDescent="0.4">
      <c r="B1164" t="str">
        <f t="shared" ref="B1164:B1165" si="4242">B1163</f>
        <v>Portland</v>
      </c>
      <c r="C1164" s="66" t="s">
        <v>567</v>
      </c>
      <c r="D1164" t="str" cm="1">
        <f t="array" ref="D1164">INDEX(FX_Multi,$AD1164,D$3)</f>
        <v>Out of Service</v>
      </c>
      <c r="E1164" t="str" cm="1">
        <f t="array" ref="E1164">INDEX(FX_Multi,$AD1164,E$3)</f>
        <v>Out of Service</v>
      </c>
      <c r="F1164" t="str" cm="1">
        <f t="array" ref="F1164">INDEX(FX_Multi,$AD1164,F$3)</f>
        <v>Out of Service</v>
      </c>
      <c r="G1164" t="str" cm="1">
        <f t="array" ref="G1164">INDEX(FX_Multi,$AD1164,G$3)</f>
        <v>Out of Service</v>
      </c>
      <c r="H1164" t="str" cm="1">
        <f t="array" ref="H1164">INDEX(FX_Multi,$AD1164,H$3)</f>
        <v>Out of Service</v>
      </c>
      <c r="I1164" t="str" cm="1">
        <f t="array" ref="I1164">INDEX(FX_Multi,$AD1164,I$3)</f>
        <v>Out of Service</v>
      </c>
      <c r="J1164" t="str" cm="1">
        <f t="array" ref="J1164">INDEX(FX_Multi,$AD1164,J$3)</f>
        <v>Out of Service</v>
      </c>
      <c r="K1164" t="str" cm="1">
        <f t="array" ref="K1164">INDEX(FX_Multi,$AD1164,K$3)</f>
        <v>Out of Service</v>
      </c>
      <c r="L1164" t="str" cm="1">
        <f t="array" ref="L1164">INDEX(FX_Multi,$AD1164,L$3)</f>
        <v>Out of Service</v>
      </c>
      <c r="M1164" t="str" cm="1">
        <f t="array" ref="M1164">INDEX(FX_Multi,$AD1164,M$3)</f>
        <v>Out of Service</v>
      </c>
      <c r="N1164" t="str" cm="1">
        <f t="array" ref="N1164">INDEX(FX_Multi,$AD1164,N$3)</f>
        <v>Out of Service</v>
      </c>
      <c r="O1164" t="str" cm="1">
        <f t="array" ref="O1164">INDEX(FX_Multi,$AD1164,O$3)</f>
        <v>Out of Service</v>
      </c>
      <c r="AC1164">
        <v>1</v>
      </c>
      <c r="AD1164">
        <f>AD1161</f>
        <v>477</v>
      </c>
      <c r="AE1164">
        <v>1</v>
      </c>
      <c r="AF1164">
        <f>AF1161</f>
        <v>477</v>
      </c>
    </row>
    <row r="1165" spans="1:32" x14ac:dyDescent="0.4">
      <c r="B1165" t="str">
        <f t="shared" si="4242"/>
        <v>Portland</v>
      </c>
      <c r="C1165" s="66" t="s">
        <v>566</v>
      </c>
      <c r="D1165" t="str" cm="1">
        <f t="array" ref="D1165">INDEX(FX_Multi,$AD1165,D$3)</f>
        <v>N/A</v>
      </c>
      <c r="E1165" t="str" cm="1">
        <f t="array" ref="E1165">INDEX(FX_Multi,$AD1165,E$3)</f>
        <v>N/A</v>
      </c>
      <c r="F1165" t="str" cm="1">
        <f t="array" ref="F1165">INDEX(FX_Multi,$AD1165,F$3)</f>
        <v>N/A</v>
      </c>
      <c r="G1165" t="str" cm="1">
        <f t="array" ref="G1165">INDEX(FX_Multi,$AD1165,G$3)</f>
        <v>N/A</v>
      </c>
      <c r="H1165" t="str" cm="1">
        <f t="array" ref="H1165">INDEX(FX_Multi,$AD1165,H$3)</f>
        <v>N/A</v>
      </c>
      <c r="I1165" t="str" cm="1">
        <f t="array" ref="I1165">INDEX(FX_Multi,$AD1165,I$3)</f>
        <v>N/A</v>
      </c>
      <c r="J1165" t="str" cm="1">
        <f t="array" ref="J1165">INDEX(FX_Multi,$AD1165,J$3)</f>
        <v>N/A</v>
      </c>
      <c r="K1165" t="str" cm="1">
        <f t="array" ref="K1165">INDEX(FX_Multi,$AD1165,K$3)</f>
        <v>N/A</v>
      </c>
      <c r="L1165" t="str" cm="1">
        <f t="array" ref="L1165">INDEX(FX_Multi,$AD1165,L$3)</f>
        <v>N/A</v>
      </c>
      <c r="M1165" t="str" cm="1">
        <f t="array" ref="M1165">INDEX(FX_Multi,$AD1165,M$3)</f>
        <v>N/A</v>
      </c>
      <c r="N1165" t="str" cm="1">
        <f t="array" ref="N1165">INDEX(FX_Multi,$AD1165,N$3)</f>
        <v>N/A</v>
      </c>
      <c r="O1165" t="str" cm="1">
        <f t="array" ref="O1165">INDEX(FX_Multi,$AD1165,O$3)</f>
        <v>N/A</v>
      </c>
      <c r="AC1165">
        <v>1</v>
      </c>
      <c r="AD1165">
        <f>AD1164+2</f>
        <v>479</v>
      </c>
      <c r="AE1165">
        <v>1</v>
      </c>
      <c r="AF1165">
        <f>AF1164+3</f>
        <v>480</v>
      </c>
    </row>
    <row r="1166" spans="1:32" x14ac:dyDescent="0.4">
      <c r="B1166" t="str">
        <f>B1162</f>
        <v>Portland</v>
      </c>
      <c r="C1166" s="66" t="s">
        <v>568</v>
      </c>
      <c r="D1166" cm="1">
        <f t="array" ref="D1166">INDEX(FX_Multi,$AD1166,D$3)</f>
        <v>0</v>
      </c>
      <c r="E1166" cm="1">
        <f t="array" ref="E1166">INDEX(FX_Multi,$AD1166,E$3)</f>
        <v>0</v>
      </c>
      <c r="F1166" cm="1">
        <f t="array" ref="F1166">INDEX(FX_Multi,$AD1166,F$3)</f>
        <v>0</v>
      </c>
      <c r="G1166" cm="1">
        <f t="array" ref="G1166">INDEX(FX_Multi,$AD1166,G$3)</f>
        <v>0</v>
      </c>
      <c r="H1166" cm="1">
        <f t="array" ref="H1166">INDEX(FX_Multi,$AD1166,H$3)</f>
        <v>0</v>
      </c>
      <c r="I1166" cm="1">
        <f t="array" ref="I1166">INDEX(FX_Multi,$AD1166,I$3)</f>
        <v>0</v>
      </c>
      <c r="J1166" cm="1">
        <f t="array" ref="J1166">INDEX(FX_Multi,$AD1166,J$3)</f>
        <v>0</v>
      </c>
      <c r="K1166" cm="1">
        <f t="array" ref="K1166">INDEX(FX_Multi,$AD1166,K$3)</f>
        <v>0</v>
      </c>
      <c r="L1166" cm="1">
        <f t="array" ref="L1166">INDEX(FX_Multi,$AD1166,L$3)</f>
        <v>0</v>
      </c>
      <c r="M1166" cm="1">
        <f t="array" ref="M1166">INDEX(FX_Multi,$AD1166,M$3)</f>
        <v>0</v>
      </c>
      <c r="N1166" cm="1">
        <f t="array" ref="N1166">INDEX(FX_Multi,$AD1166,N$3)</f>
        <v>0</v>
      </c>
      <c r="O1166" cm="1">
        <f t="array" ref="O1166">INDEX(FX_Multi,$AD1166,O$3)</f>
        <v>0</v>
      </c>
      <c r="AC1166">
        <v>1</v>
      </c>
      <c r="AD1166">
        <f>AD1165-1</f>
        <v>478</v>
      </c>
      <c r="AE1166">
        <v>1</v>
      </c>
      <c r="AF1166">
        <f>AF1164+1</f>
        <v>478</v>
      </c>
    </row>
    <row r="1167" spans="1:32" x14ac:dyDescent="0.4">
      <c r="B1167" t="str">
        <f t="shared" ref="B1167:B1171" si="4243">B1166</f>
        <v>Portland</v>
      </c>
      <c r="C1167" s="66" t="s">
        <v>569</v>
      </c>
      <c r="D1167" cm="1">
        <f t="array" ref="D1167">INDEX(FX_Multi,$AD1167,D$3)</f>
        <v>0</v>
      </c>
      <c r="E1167" cm="1">
        <f t="array" ref="E1167">INDEX(FX_Multi,$AD1167,E$3)</f>
        <v>0</v>
      </c>
      <c r="F1167" cm="1">
        <f t="array" ref="F1167">INDEX(FX_Multi,$AD1167,F$3)</f>
        <v>0</v>
      </c>
      <c r="G1167" cm="1">
        <f t="array" ref="G1167">INDEX(FX_Multi,$AD1167,G$3)</f>
        <v>0</v>
      </c>
      <c r="H1167" cm="1">
        <f t="array" ref="H1167">INDEX(FX_Multi,$AD1167,H$3)</f>
        <v>0</v>
      </c>
      <c r="I1167" cm="1">
        <f t="array" ref="I1167">INDEX(FX_Multi,$AD1167,I$3)</f>
        <v>0</v>
      </c>
      <c r="J1167" cm="1">
        <f t="array" ref="J1167">INDEX(FX_Multi,$AD1167,J$3)</f>
        <v>0</v>
      </c>
      <c r="K1167" cm="1">
        <f t="array" ref="K1167">INDEX(FX_Multi,$AD1167,K$3)</f>
        <v>0</v>
      </c>
      <c r="L1167" cm="1">
        <f t="array" ref="L1167">INDEX(FX_Multi,$AD1167,L$3)</f>
        <v>0</v>
      </c>
      <c r="M1167" cm="1">
        <f t="array" ref="M1167">INDEX(FX_Multi,$AD1167,M$3)</f>
        <v>0</v>
      </c>
      <c r="N1167" cm="1">
        <f t="array" ref="N1167">INDEX(FX_Multi,$AD1167,N$3)</f>
        <v>0</v>
      </c>
      <c r="O1167" cm="1">
        <f t="array" ref="O1167">INDEX(FX_Multi,$AD1167,O$3)</f>
        <v>0</v>
      </c>
      <c r="AC1167">
        <v>1</v>
      </c>
      <c r="AD1167">
        <f>AD1166+2</f>
        <v>480</v>
      </c>
      <c r="AE1167">
        <v>1</v>
      </c>
      <c r="AF1167">
        <f>AF1165</f>
        <v>480</v>
      </c>
    </row>
    <row r="1168" spans="1:32" ht="17.149999999999999" x14ac:dyDescent="0.55000000000000004">
      <c r="B1168" t="str">
        <f t="shared" si="4243"/>
        <v>Portland</v>
      </c>
      <c r="C1168" t="s">
        <v>570</v>
      </c>
      <c r="D1168" cm="1">
        <f t="array" ref="D1168">INDEX(FX_Multi,$AD1168,D$3)</f>
        <v>1</v>
      </c>
      <c r="E1168" cm="1">
        <f t="array" ref="E1168">INDEX(FX_Multi,$AD1168,E$3)</f>
        <v>1</v>
      </c>
      <c r="F1168" cm="1">
        <f t="array" ref="F1168">INDEX(FX_Multi,$AD1168,F$3)</f>
        <v>1</v>
      </c>
      <c r="G1168" cm="1">
        <f t="array" ref="G1168">INDEX(FX_Multi,$AD1168,G$3)</f>
        <v>1</v>
      </c>
      <c r="H1168" cm="1">
        <f t="array" ref="H1168">INDEX(FX_Multi,$AD1168,H$3)</f>
        <v>1</v>
      </c>
      <c r="I1168" cm="1">
        <f t="array" ref="I1168">INDEX(FX_Multi,$AD1168,I$3)</f>
        <v>1</v>
      </c>
      <c r="J1168" cm="1">
        <f t="array" ref="J1168">INDEX(FX_Multi,$AD1168,J$3)</f>
        <v>1</v>
      </c>
      <c r="K1168" cm="1">
        <f t="array" ref="K1168">INDEX(FX_Multi,$AD1168,K$3)</f>
        <v>1</v>
      </c>
      <c r="L1168" cm="1">
        <f t="array" ref="L1168">INDEX(FX_Multi,$AD1168,L$3)</f>
        <v>1</v>
      </c>
      <c r="M1168" cm="1">
        <f t="array" ref="M1168">INDEX(FX_Multi,$AD1168,M$3)</f>
        <v>1</v>
      </c>
      <c r="N1168" cm="1">
        <f t="array" ref="N1168">INDEX(FX_Multi,$AD1168,N$3)</f>
        <v>1</v>
      </c>
      <c r="O1168" cm="1">
        <f t="array" ref="O1168">INDEX(FX_Multi,$AD1168,O$3)</f>
        <v>1</v>
      </c>
      <c r="AC1168">
        <v>1</v>
      </c>
      <c r="AD1168">
        <f>AD1167+6</f>
        <v>486</v>
      </c>
      <c r="AE1168">
        <v>1</v>
      </c>
      <c r="AF1168">
        <f>AF1164+9</f>
        <v>486</v>
      </c>
    </row>
    <row r="1169" spans="2:32" ht="17.149999999999999" x14ac:dyDescent="0.55000000000000004">
      <c r="B1169" t="str">
        <f t="shared" si="4243"/>
        <v>Portland</v>
      </c>
      <c r="C1169" t="s">
        <v>571</v>
      </c>
      <c r="D1169" t="str" cm="1">
        <f t="array" ref="D1169">INDEX(FX_Multi,$AD1169,D$3)</f>
        <v>N/A</v>
      </c>
      <c r="E1169" t="str" cm="1">
        <f t="array" ref="E1169">INDEX(FX_Multi,$AD1169,E$3)</f>
        <v>N/A</v>
      </c>
      <c r="F1169" t="str" cm="1">
        <f t="array" ref="F1169">INDEX(FX_Multi,$AD1169,F$3)</f>
        <v>N/A</v>
      </c>
      <c r="G1169" t="str" cm="1">
        <f t="array" ref="G1169">INDEX(FX_Multi,$AD1169,G$3)</f>
        <v>N/A</v>
      </c>
      <c r="H1169" t="str" cm="1">
        <f t="array" ref="H1169">INDEX(FX_Multi,$AD1169,H$3)</f>
        <v>N/A</v>
      </c>
      <c r="I1169" t="str" cm="1">
        <f t="array" ref="I1169">INDEX(FX_Multi,$AD1169,I$3)</f>
        <v>N/A</v>
      </c>
      <c r="J1169" t="str" cm="1">
        <f t="array" ref="J1169">INDEX(FX_Multi,$AD1169,J$3)</f>
        <v>N/A</v>
      </c>
      <c r="K1169" t="str" cm="1">
        <f t="array" ref="K1169">INDEX(FX_Multi,$AD1169,K$3)</f>
        <v>N/A</v>
      </c>
      <c r="L1169" t="str" cm="1">
        <f t="array" ref="L1169">INDEX(FX_Multi,$AD1169,L$3)</f>
        <v>N/A</v>
      </c>
      <c r="M1169" t="str" cm="1">
        <f t="array" ref="M1169">INDEX(FX_Multi,$AD1169,M$3)</f>
        <v>N/A</v>
      </c>
      <c r="N1169" t="str" cm="1">
        <f t="array" ref="N1169">INDEX(FX_Multi,$AD1169,N$3)</f>
        <v>N/A</v>
      </c>
      <c r="O1169" t="str" cm="1">
        <f t="array" ref="O1169">INDEX(FX_Multi,$AD1169,O$3)</f>
        <v>N/A</v>
      </c>
      <c r="AC1169">
        <v>1</v>
      </c>
      <c r="AD1169">
        <f>AD1168-3</f>
        <v>483</v>
      </c>
      <c r="AE1169">
        <v>1</v>
      </c>
      <c r="AF1169">
        <f>AF1164+6</f>
        <v>483</v>
      </c>
    </row>
    <row r="1170" spans="2:32" ht="17.149999999999999" x14ac:dyDescent="0.55000000000000004">
      <c r="B1170" t="str">
        <f t="shared" si="4243"/>
        <v>Portland</v>
      </c>
      <c r="C1170" t="s">
        <v>572</v>
      </c>
      <c r="D1170" cm="1">
        <f t="array" ref="D1170">INDEX(FX_Multi,$AD1170,D$3)</f>
        <v>0</v>
      </c>
      <c r="E1170" cm="1">
        <f t="array" ref="E1170">INDEX(FX_Multi,$AD1170,E$3)</f>
        <v>0</v>
      </c>
      <c r="F1170" cm="1">
        <f t="array" ref="F1170">INDEX(FX_Multi,$AD1170,F$3)</f>
        <v>0</v>
      </c>
      <c r="G1170" cm="1">
        <f t="array" ref="G1170">INDEX(FX_Multi,$AD1170,G$3)</f>
        <v>0</v>
      </c>
      <c r="H1170" cm="1">
        <f t="array" ref="H1170">INDEX(FX_Multi,$AD1170,H$3)</f>
        <v>0</v>
      </c>
      <c r="I1170" cm="1">
        <f t="array" ref="I1170">INDEX(FX_Multi,$AD1170,I$3)</f>
        <v>0</v>
      </c>
      <c r="J1170" cm="1">
        <f t="array" ref="J1170">INDEX(FX_Multi,$AD1170,J$3)</f>
        <v>0</v>
      </c>
      <c r="K1170" cm="1">
        <f t="array" ref="K1170">INDEX(FX_Multi,$AD1170,K$3)</f>
        <v>0</v>
      </c>
      <c r="L1170" cm="1">
        <f t="array" ref="L1170">INDEX(FX_Multi,$AD1170,L$3)</f>
        <v>0</v>
      </c>
      <c r="M1170" cm="1">
        <f t="array" ref="M1170">INDEX(FX_Multi,$AD1170,M$3)</f>
        <v>0</v>
      </c>
      <c r="N1170" cm="1">
        <f t="array" ref="N1170">INDEX(FX_Multi,$AD1170,N$3)</f>
        <v>0</v>
      </c>
      <c r="O1170" cm="1">
        <f t="array" ref="O1170">INDEX(FX_Multi,$AD1170,O$3)</f>
        <v>0</v>
      </c>
      <c r="AC1170">
        <v>1</v>
      </c>
      <c r="AD1170">
        <f>AD1169+4</f>
        <v>487</v>
      </c>
      <c r="AE1170">
        <v>1</v>
      </c>
      <c r="AF1170">
        <f>AF1164+10</f>
        <v>487</v>
      </c>
    </row>
    <row r="1171" spans="2:32" ht="17.149999999999999" x14ac:dyDescent="0.55000000000000004">
      <c r="B1171" t="str">
        <f t="shared" si="4243"/>
        <v>Portland</v>
      </c>
      <c r="C1171" t="s">
        <v>573</v>
      </c>
      <c r="D1171" cm="1">
        <f t="array" ref="D1171">INDEX(FX_Multi,$AD1171,D$3)</f>
        <v>0</v>
      </c>
      <c r="E1171" cm="1">
        <f t="array" ref="E1171">INDEX(FX_Multi,$AD1171,E$3)</f>
        <v>0</v>
      </c>
      <c r="F1171" cm="1">
        <f t="array" ref="F1171">INDEX(FX_Multi,$AD1171,F$3)</f>
        <v>0</v>
      </c>
      <c r="G1171" cm="1">
        <f t="array" ref="G1171">INDEX(FX_Multi,$AD1171,G$3)</f>
        <v>0</v>
      </c>
      <c r="H1171" cm="1">
        <f t="array" ref="H1171">INDEX(FX_Multi,$AD1171,H$3)</f>
        <v>0</v>
      </c>
      <c r="I1171" cm="1">
        <f t="array" ref="I1171">INDEX(FX_Multi,$AD1171,I$3)</f>
        <v>0</v>
      </c>
      <c r="J1171" cm="1">
        <f t="array" ref="J1171">INDEX(FX_Multi,$AD1171,J$3)</f>
        <v>0</v>
      </c>
      <c r="K1171" cm="1">
        <f t="array" ref="K1171">INDEX(FX_Multi,$AD1171,K$3)</f>
        <v>0</v>
      </c>
      <c r="L1171" cm="1">
        <f t="array" ref="L1171">INDEX(FX_Multi,$AD1171,L$3)</f>
        <v>0</v>
      </c>
      <c r="M1171" cm="1">
        <f t="array" ref="M1171">INDEX(FX_Multi,$AD1171,M$3)</f>
        <v>0</v>
      </c>
      <c r="N1171" cm="1">
        <f t="array" ref="N1171">INDEX(FX_Multi,$AD1171,N$3)</f>
        <v>0</v>
      </c>
      <c r="O1171" cm="1">
        <f t="array" ref="O1171">INDEX(FX_Multi,$AD1171,O$3)</f>
        <v>0</v>
      </c>
      <c r="AC1171">
        <v>1</v>
      </c>
      <c r="AD1171">
        <f>AD1170-3</f>
        <v>484</v>
      </c>
      <c r="AE1171">
        <v>1</v>
      </c>
      <c r="AF1171">
        <f>AF1164+7</f>
        <v>484</v>
      </c>
    </row>
    <row r="1172" spans="2:32" ht="17.149999999999999" x14ac:dyDescent="0.55000000000000004">
      <c r="B1172" t="str">
        <f>B1167</f>
        <v>Portland</v>
      </c>
      <c r="C1172" t="s">
        <v>526</v>
      </c>
      <c r="D1172" cm="1">
        <f t="array" ref="D1172">INDEX(FX_Temps,$AF1172,D$3)</f>
        <v>43.899999999999977</v>
      </c>
      <c r="E1172" cm="1">
        <f t="array" ref="E1172">INDEX(FX_Temps,$AF1172,E$3)</f>
        <v>44.700000000000045</v>
      </c>
      <c r="F1172" cm="1">
        <f t="array" ref="F1172">INDEX(FX_Temps,$AF1172,F$3)</f>
        <v>46.100000000000023</v>
      </c>
      <c r="G1172" cm="1">
        <f t="array" ref="G1172">INDEX(FX_Temps,$AF1172,G$3)</f>
        <v>48.599999999999966</v>
      </c>
      <c r="H1172" cm="1">
        <f t="array" ref="H1172">INDEX(FX_Temps,$AF1172,H$3)</f>
        <v>53.149999999999977</v>
      </c>
      <c r="I1172" cm="1">
        <f t="array" ref="I1172">INDEX(FX_Temps,$AF1172,I$3)</f>
        <v>56.950000000000045</v>
      </c>
      <c r="J1172" cm="1">
        <f t="array" ref="J1172">INDEX(FX_Temps,$AF1172,J$3)</f>
        <v>60.449999999999932</v>
      </c>
      <c r="K1172" cm="1">
        <f t="array" ref="K1172">INDEX(FX_Temps,$AF1172,K$3)</f>
        <v>60.899999999999977</v>
      </c>
      <c r="L1172" cm="1">
        <f t="array" ref="L1172">INDEX(FX_Temps,$AF1172,L$3)</f>
        <v>58.600000000000023</v>
      </c>
      <c r="M1172" cm="1">
        <f t="array" ref="M1172">INDEX(FX_Temps,$AF1172,M$3)</f>
        <v>52.649999999999977</v>
      </c>
      <c r="N1172" cm="1">
        <f t="array" ref="N1172">INDEX(FX_Temps,$AF1172,N$3)</f>
        <v>47.100000000000023</v>
      </c>
      <c r="O1172" cm="1">
        <f t="array" ref="O1172">INDEX(FX_Temps,$AF1172,O$3)</f>
        <v>43.600000000000023</v>
      </c>
      <c r="AE1172">
        <v>1</v>
      </c>
      <c r="AF1172">
        <f>AF1164+10</f>
        <v>487</v>
      </c>
    </row>
    <row r="1173" spans="2:32" ht="17.149999999999999" x14ac:dyDescent="0.55000000000000004">
      <c r="B1173" t="str">
        <f t="shared" ref="B1173:B1194" si="4244">B1172</f>
        <v>Portland</v>
      </c>
      <c r="C1173" t="s">
        <v>527</v>
      </c>
      <c r="D1173" cm="1">
        <f t="array" ref="D1173">INDEX(FX_Temps,$AF1173,D$3)</f>
        <v>43.899999999999977</v>
      </c>
      <c r="E1173" cm="1">
        <f t="array" ref="E1173">INDEX(FX_Temps,$AF1173,E$3)</f>
        <v>44.700000000000045</v>
      </c>
      <c r="F1173" cm="1">
        <f t="array" ref="F1173">INDEX(FX_Temps,$AF1173,F$3)</f>
        <v>46.100000000000023</v>
      </c>
      <c r="G1173" cm="1">
        <f t="array" ref="G1173">INDEX(FX_Temps,$AF1173,G$3)</f>
        <v>48.599999999999966</v>
      </c>
      <c r="H1173" cm="1">
        <f t="array" ref="H1173">INDEX(FX_Temps,$AF1173,H$3)</f>
        <v>53.149999999999977</v>
      </c>
      <c r="I1173" cm="1">
        <f t="array" ref="I1173">INDEX(FX_Temps,$AF1173,I$3)</f>
        <v>56.950000000000045</v>
      </c>
      <c r="J1173" cm="1">
        <f t="array" ref="J1173">INDEX(FX_Temps,$AF1173,J$3)</f>
        <v>60.449999999999932</v>
      </c>
      <c r="K1173" cm="1">
        <f t="array" ref="K1173">INDEX(FX_Temps,$AF1173,K$3)</f>
        <v>60.899999999999977</v>
      </c>
      <c r="L1173" cm="1">
        <f t="array" ref="L1173">INDEX(FX_Temps,$AF1173,L$3)</f>
        <v>58.600000000000023</v>
      </c>
      <c r="M1173" cm="1">
        <f t="array" ref="M1173">INDEX(FX_Temps,$AF1173,M$3)</f>
        <v>52.649999999999977</v>
      </c>
      <c r="N1173" cm="1">
        <f t="array" ref="N1173">INDEX(FX_Temps,$AF1173,N$3)</f>
        <v>47.100000000000023</v>
      </c>
      <c r="O1173" cm="1">
        <f t="array" ref="O1173">INDEX(FX_Temps,$AF1173,O$3)</f>
        <v>43.600000000000023</v>
      </c>
      <c r="AE1173">
        <f>AE1172</f>
        <v>1</v>
      </c>
      <c r="AF1173">
        <f>AF1164+11</f>
        <v>488</v>
      </c>
    </row>
    <row r="1174" spans="2:32" ht="17.149999999999999" x14ac:dyDescent="0.55000000000000004">
      <c r="B1174" t="str">
        <f t="shared" si="4244"/>
        <v>Portland</v>
      </c>
      <c r="C1174" t="s">
        <v>552</v>
      </c>
      <c r="D1174" cm="1">
        <f t="array" ref="D1174">INDEX(FX_Temps,$AF1174,D$3)</f>
        <v>43.899999999999977</v>
      </c>
      <c r="E1174" cm="1">
        <f t="array" ref="E1174">INDEX(FX_Temps,$AF1174,E$3)</f>
        <v>44.700000000000045</v>
      </c>
      <c r="F1174" cm="1">
        <f t="array" ref="F1174">INDEX(FX_Temps,$AF1174,F$3)</f>
        <v>46.100000000000023</v>
      </c>
      <c r="G1174" cm="1">
        <f t="array" ref="G1174">INDEX(FX_Temps,$AF1174,G$3)</f>
        <v>48.599999999999966</v>
      </c>
      <c r="H1174" cm="1">
        <f t="array" ref="H1174">INDEX(FX_Temps,$AF1174,H$3)</f>
        <v>53.149999999999977</v>
      </c>
      <c r="I1174" cm="1">
        <f t="array" ref="I1174">INDEX(FX_Temps,$AF1174,I$3)</f>
        <v>56.950000000000045</v>
      </c>
      <c r="J1174" cm="1">
        <f t="array" ref="J1174">INDEX(FX_Temps,$AF1174,J$3)</f>
        <v>60.449999999999932</v>
      </c>
      <c r="K1174" cm="1">
        <f t="array" ref="K1174">INDEX(FX_Temps,$AF1174,K$3)</f>
        <v>60.899999999999977</v>
      </c>
      <c r="L1174" cm="1">
        <f t="array" ref="L1174">INDEX(FX_Temps,$AF1174,L$3)</f>
        <v>58.600000000000023</v>
      </c>
      <c r="M1174" cm="1">
        <f t="array" ref="M1174">INDEX(FX_Temps,$AF1174,M$3)</f>
        <v>52.649999999999977</v>
      </c>
      <c r="N1174" cm="1">
        <f t="array" ref="N1174">INDEX(FX_Temps,$AF1174,N$3)</f>
        <v>47.100000000000023</v>
      </c>
      <c r="O1174" cm="1">
        <f t="array" ref="O1174">INDEX(FX_Temps,$AF1174,O$3)</f>
        <v>43.600000000000023</v>
      </c>
      <c r="AE1174">
        <f>AE1173</f>
        <v>1</v>
      </c>
      <c r="AF1174">
        <f>AF1164+13</f>
        <v>490</v>
      </c>
    </row>
    <row r="1175" spans="2:32" ht="17.149999999999999" x14ac:dyDescent="0.55000000000000004">
      <c r="B1175" t="str">
        <f t="shared" si="4244"/>
        <v>Portland</v>
      </c>
      <c r="C1175" t="s">
        <v>574</v>
      </c>
      <c r="D1175" cm="1">
        <f t="array" ref="D1175">IFERROR(IF(D1165="Chemical",(10^(INDEX(Antoines,MATCH(D1164,Antoine_Name,0),2)-INDEX(Antoines,MATCH(D1164,Antoine_Name,0),3)/(INDEX(Antoines,MATCH(D1164,Antoine_Name,0),4)+(D1172-32)*5/9)))*14.7/760,IF(D1165="Crude Oil",EXP((2799/(D1172+459.6)-2.227)*LOG10(INDEX(FX_Input,Q$5,D$3*$Z$5+$AA$5))-(7261/(D1172+459.6))+12.82),IF(D1165="Refined Petroleum Stock",EXP((0.7553-(413/(D1172+459.6)))*(INDEX(FX_Input,Q$5,D$3*$Z$5+$AA$5-1)^0.5)*LOG10(INDEX(FX_Input,Q$5,D$3*$Z$5+$AA$5))-(1.854-(1042/(D1172+459.6)))*(INDEX(FX_Input,Q$5,D$3*$Z$5+$AA$5-1)^0.5)+((2416/(D1172+459.6)-2.013)*LOG10(INDEX(FX_Input,Q$5,D$3*$Z$5+$AA$5)))-(8742/(D1172+459.6))+15.64),EXP(INDEX(Antoines,MATCH(D1164,Antoine_Name,0),2)-INDEX(Antoines,MATCH(D1164,Antoine_Name,0),3)/(D1172+459.6))))),0)</f>
        <v>1</v>
      </c>
      <c r="E1175" cm="1">
        <f t="array" ref="E1175">IFERROR(IF(E1165="Chemical",(10^(INDEX(Antoines,MATCH(E1164,Antoine_Name,0),2)-INDEX(Antoines,MATCH(E1164,Antoine_Name,0),3)/(INDEX(Antoines,MATCH(E1164,Antoine_Name,0),4)+(E1172-32)*5/9)))*14.7/760,IF(E1165="Crude Oil",EXP((2799/(E1172+459.6)-2.227)*LOG10(INDEX(FX_Input,R$5,E$3*$Z$5+$AA$5))-(7261/(E1172+459.6))+12.82),IF(E1165="Refined Petroleum Stock",EXP((0.7553-(413/(E1172+459.6)))*(INDEX(FX_Input,R$5,E$3*$Z$5+$AA$5-1)^0.5)*LOG10(INDEX(FX_Input,R$5,E$3*$Z$5+$AA$5))-(1.854-(1042/(E1172+459.6)))*(INDEX(FX_Input,R$5,E$3*$Z$5+$AA$5-1)^0.5)+((2416/(E1172+459.6)-2.013)*LOG10(INDEX(FX_Input,R$5,E$3*$Z$5+$AA$5)))-(8742/(E1172+459.6))+15.64),EXP(INDEX(Antoines,MATCH(E1164,Antoine_Name,0),2)-INDEX(Antoines,MATCH(E1164,Antoine_Name,0),3)/(E1172+459.6))))),0)</f>
        <v>1</v>
      </c>
      <c r="F1175" cm="1">
        <f t="array" ref="F1175">IFERROR(IF(F1165="Chemical",(10^(INDEX(Antoines,MATCH(F1164,Antoine_Name,0),2)-INDEX(Antoines,MATCH(F1164,Antoine_Name,0),3)/(INDEX(Antoines,MATCH(F1164,Antoine_Name,0),4)+(F1172-32)*5/9)))*14.7/760,IF(F1165="Crude Oil",EXP((2799/(F1172+459.6)-2.227)*LOG10(INDEX(FX_Input,S$5,F$3*$Z$5+$AA$5))-(7261/(F1172+459.6))+12.82),IF(F1165="Refined Petroleum Stock",EXP((0.7553-(413/(F1172+459.6)))*(INDEX(FX_Input,S$5,F$3*$Z$5+$AA$5-1)^0.5)*LOG10(INDEX(FX_Input,S$5,F$3*$Z$5+$AA$5))-(1.854-(1042/(F1172+459.6)))*(INDEX(FX_Input,S$5,F$3*$Z$5+$AA$5-1)^0.5)+((2416/(F1172+459.6)-2.013)*LOG10(INDEX(FX_Input,S$5,F$3*$Z$5+$AA$5)))-(8742/(F1172+459.6))+15.64),EXP(INDEX(Antoines,MATCH(F1164,Antoine_Name,0),2)-INDEX(Antoines,MATCH(F1164,Antoine_Name,0),3)/(F1172+459.6))))),0)</f>
        <v>1</v>
      </c>
      <c r="G1175" cm="1">
        <f t="array" ref="G1175">IFERROR(IF(G1165="Chemical",(10^(INDEX(Antoines,MATCH(G1164,Antoine_Name,0),2)-INDEX(Antoines,MATCH(G1164,Antoine_Name,0),3)/(INDEX(Antoines,MATCH(G1164,Antoine_Name,0),4)+(G1172-32)*5/9)))*14.7/760,IF(G1165="Crude Oil",EXP((2799/(G1172+459.6)-2.227)*LOG10(INDEX(FX_Input,T$5,G$3*$Z$5+$AA$5))-(7261/(G1172+459.6))+12.82),IF(G1165="Refined Petroleum Stock",EXP((0.7553-(413/(G1172+459.6)))*(INDEX(FX_Input,T$5,G$3*$Z$5+$AA$5-1)^0.5)*LOG10(INDEX(FX_Input,T$5,G$3*$Z$5+$AA$5))-(1.854-(1042/(G1172+459.6)))*(INDEX(FX_Input,T$5,G$3*$Z$5+$AA$5-1)^0.5)+((2416/(G1172+459.6)-2.013)*LOG10(INDEX(FX_Input,T$5,G$3*$Z$5+$AA$5)))-(8742/(G1172+459.6))+15.64),EXP(INDEX(Antoines,MATCH(G1164,Antoine_Name,0),2)-INDEX(Antoines,MATCH(G1164,Antoine_Name,0),3)/(G1172+459.6))))),0)</f>
        <v>1</v>
      </c>
      <c r="H1175" cm="1">
        <f t="array" ref="H1175">IFERROR(IF(H1165="Chemical",(10^(INDEX(Antoines,MATCH(H1164,Antoine_Name,0),2)-INDEX(Antoines,MATCH(H1164,Antoine_Name,0),3)/(INDEX(Antoines,MATCH(H1164,Antoine_Name,0),4)+(H1172-32)*5/9)))*14.7/760,IF(H1165="Crude Oil",EXP((2799/(H1172+459.6)-2.227)*LOG10(INDEX(FX_Input,U$5,H$3*$Z$5+$AA$5))-(7261/(H1172+459.6))+12.82),IF(H1165="Refined Petroleum Stock",EXP((0.7553-(413/(H1172+459.6)))*(INDEX(FX_Input,U$5,H$3*$Z$5+$AA$5-1)^0.5)*LOG10(INDEX(FX_Input,U$5,H$3*$Z$5+$AA$5))-(1.854-(1042/(H1172+459.6)))*(INDEX(FX_Input,U$5,H$3*$Z$5+$AA$5-1)^0.5)+((2416/(H1172+459.6)-2.013)*LOG10(INDEX(FX_Input,U$5,H$3*$Z$5+$AA$5)))-(8742/(H1172+459.6))+15.64),EXP(INDEX(Antoines,MATCH(H1164,Antoine_Name,0),2)-INDEX(Antoines,MATCH(H1164,Antoine_Name,0),3)/(H1172+459.6))))),0)</f>
        <v>1</v>
      </c>
      <c r="I1175" cm="1">
        <f t="array" ref="I1175">IFERROR(IF(I1165="Chemical",(10^(INDEX(Antoines,MATCH(I1164,Antoine_Name,0),2)-INDEX(Antoines,MATCH(I1164,Antoine_Name,0),3)/(INDEX(Antoines,MATCH(I1164,Antoine_Name,0),4)+(I1172-32)*5/9)))*14.7/760,IF(I1165="Crude Oil",EXP((2799/(I1172+459.6)-2.227)*LOG10(INDEX(FX_Input,V$5,I$3*$Z$5+$AA$5))-(7261/(I1172+459.6))+12.82),IF(I1165="Refined Petroleum Stock",EXP((0.7553-(413/(I1172+459.6)))*(INDEX(FX_Input,V$5,I$3*$Z$5+$AA$5-1)^0.5)*LOG10(INDEX(FX_Input,V$5,I$3*$Z$5+$AA$5))-(1.854-(1042/(I1172+459.6)))*(INDEX(FX_Input,V$5,I$3*$Z$5+$AA$5-1)^0.5)+((2416/(I1172+459.6)-2.013)*LOG10(INDEX(FX_Input,V$5,I$3*$Z$5+$AA$5)))-(8742/(I1172+459.6))+15.64),EXP(INDEX(Antoines,MATCH(I1164,Antoine_Name,0),2)-INDEX(Antoines,MATCH(I1164,Antoine_Name,0),3)/(I1172+459.6))))),0)</f>
        <v>1</v>
      </c>
      <c r="J1175" cm="1">
        <f t="array" ref="J1175">IFERROR(IF(J1165="Chemical",(10^(INDEX(Antoines,MATCH(J1164,Antoine_Name,0),2)-INDEX(Antoines,MATCH(J1164,Antoine_Name,0),3)/(INDEX(Antoines,MATCH(J1164,Antoine_Name,0),4)+(J1172-32)*5/9)))*14.7/760,IF(J1165="Crude Oil",EXP((2799/(J1172+459.6)-2.227)*LOG10(INDEX(FX_Input,W$5,J$3*$Z$5+$AA$5))-(7261/(J1172+459.6))+12.82),IF(J1165="Refined Petroleum Stock",EXP((0.7553-(413/(J1172+459.6)))*(INDEX(FX_Input,W$5,J$3*$Z$5+$AA$5-1)^0.5)*LOG10(INDEX(FX_Input,W$5,J$3*$Z$5+$AA$5))-(1.854-(1042/(J1172+459.6)))*(INDEX(FX_Input,W$5,J$3*$Z$5+$AA$5-1)^0.5)+((2416/(J1172+459.6)-2.013)*LOG10(INDEX(FX_Input,W$5,J$3*$Z$5+$AA$5)))-(8742/(J1172+459.6))+15.64),EXP(INDEX(Antoines,MATCH(J1164,Antoine_Name,0),2)-INDEX(Antoines,MATCH(J1164,Antoine_Name,0),3)/(J1172+459.6))))),0)</f>
        <v>1</v>
      </c>
      <c r="K1175" cm="1">
        <f t="array" ref="K1175">IFERROR(IF(K1165="Chemical",(10^(INDEX(Antoines,MATCH(K1164,Antoine_Name,0),2)-INDEX(Antoines,MATCH(K1164,Antoine_Name,0),3)/(INDEX(Antoines,MATCH(K1164,Antoine_Name,0),4)+(K1172-32)*5/9)))*14.7/760,IF(K1165="Crude Oil",EXP((2799/(K1172+459.6)-2.227)*LOG10(INDEX(FX_Input,X$5,K$3*$Z$5+$AA$5))-(7261/(K1172+459.6))+12.82),IF(K1165="Refined Petroleum Stock",EXP((0.7553-(413/(K1172+459.6)))*(INDEX(FX_Input,X$5,K$3*$Z$5+$AA$5-1)^0.5)*LOG10(INDEX(FX_Input,X$5,K$3*$Z$5+$AA$5))-(1.854-(1042/(K1172+459.6)))*(INDEX(FX_Input,X$5,K$3*$Z$5+$AA$5-1)^0.5)+((2416/(K1172+459.6)-2.013)*LOG10(INDEX(FX_Input,X$5,K$3*$Z$5+$AA$5)))-(8742/(K1172+459.6))+15.64),EXP(INDEX(Antoines,MATCH(K1164,Antoine_Name,0),2)-INDEX(Antoines,MATCH(K1164,Antoine_Name,0),3)/(K1172+459.6))))),0)</f>
        <v>1</v>
      </c>
      <c r="L1175" cm="1">
        <f t="array" ref="L1175">IFERROR(IF(L1165="Chemical",(10^(INDEX(Antoines,MATCH(L1164,Antoine_Name,0),2)-INDEX(Antoines,MATCH(L1164,Antoine_Name,0),3)/(INDEX(Antoines,MATCH(L1164,Antoine_Name,0),4)+(L1172-32)*5/9)))*14.7/760,IF(L1165="Crude Oil",EXP((2799/(L1172+459.6)-2.227)*LOG10(INDEX(FX_Input,Y$5,L$3*$Z$5+$AA$5))-(7261/(L1172+459.6))+12.82),IF(L1165="Refined Petroleum Stock",EXP((0.7553-(413/(L1172+459.6)))*(INDEX(FX_Input,Y$5,L$3*$Z$5+$AA$5-1)^0.5)*LOG10(INDEX(FX_Input,Y$5,L$3*$Z$5+$AA$5))-(1.854-(1042/(L1172+459.6)))*(INDEX(FX_Input,Y$5,L$3*$Z$5+$AA$5-1)^0.5)+((2416/(L1172+459.6)-2.013)*LOG10(INDEX(FX_Input,Y$5,L$3*$Z$5+$AA$5)))-(8742/(L1172+459.6))+15.64),EXP(INDEX(Antoines,MATCH(L1164,Antoine_Name,0),2)-INDEX(Antoines,MATCH(L1164,Antoine_Name,0),3)/(L1172+459.6))))),0)</f>
        <v>1</v>
      </c>
      <c r="M1175" cm="1">
        <f t="array" ref="M1175">IFERROR(IF(M1165="Chemical",(10^(INDEX(Antoines,MATCH(M1164,Antoine_Name,0),2)-INDEX(Antoines,MATCH(M1164,Antoine_Name,0),3)/(INDEX(Antoines,MATCH(M1164,Antoine_Name,0),4)+(M1172-32)*5/9)))*14.7/760,IF(M1165="Crude Oil",EXP((2799/(M1172+459.6)-2.227)*LOG10(INDEX(FX_Input,Z$5,M$3*$Z$5+$AA$5))-(7261/(M1172+459.6))+12.82),IF(M1165="Refined Petroleum Stock",EXP((0.7553-(413/(M1172+459.6)))*(INDEX(FX_Input,Z$5,M$3*$Z$5+$AA$5-1)^0.5)*LOG10(INDEX(FX_Input,Z$5,M$3*$Z$5+$AA$5))-(1.854-(1042/(M1172+459.6)))*(INDEX(FX_Input,Z$5,M$3*$Z$5+$AA$5-1)^0.5)+((2416/(M1172+459.6)-2.013)*LOG10(INDEX(FX_Input,Z$5,M$3*$Z$5+$AA$5)))-(8742/(M1172+459.6))+15.64),EXP(INDEX(Antoines,MATCH(M1164,Antoine_Name,0),2)-INDEX(Antoines,MATCH(M1164,Antoine_Name,0),3)/(M1172+459.6))))),0)</f>
        <v>1</v>
      </c>
      <c r="N1175" cm="1">
        <f t="array" ref="N1175">IFERROR(IF(N1165="Chemical",(10^(INDEX(Antoines,MATCH(N1164,Antoine_Name,0),2)-INDEX(Antoines,MATCH(N1164,Antoine_Name,0),3)/(INDEX(Antoines,MATCH(N1164,Antoine_Name,0),4)+(N1172-32)*5/9)))*14.7/760,IF(N1165="Crude Oil",EXP((2799/(N1172+459.6)-2.227)*LOG10(INDEX(FX_Input,AA$5,N$3*$Z$5+$AA$5))-(7261/(N1172+459.6))+12.82),IF(N1165="Refined Petroleum Stock",EXP((0.7553-(413/(N1172+459.6)))*(INDEX(FX_Input,AA$5,N$3*$Z$5+$AA$5-1)^0.5)*LOG10(INDEX(FX_Input,AA$5,N$3*$Z$5+$AA$5))-(1.854-(1042/(N1172+459.6)))*(INDEX(FX_Input,AA$5,N$3*$Z$5+$AA$5-1)^0.5)+((2416/(N1172+459.6)-2.013)*LOG10(INDEX(FX_Input,AA$5,N$3*$Z$5+$AA$5)))-(8742/(N1172+459.6))+15.64),EXP(INDEX(Antoines,MATCH(N1164,Antoine_Name,0),2)-INDEX(Antoines,MATCH(N1164,Antoine_Name,0),3)/(N1172+459.6))))),0)</f>
        <v>1</v>
      </c>
      <c r="O1175" cm="1">
        <f t="array" ref="O1175">IFERROR(IF(O1165="Chemical",(10^(INDEX(Antoines,MATCH(O1164,Antoine_Name,0),2)-INDEX(Antoines,MATCH(O1164,Antoine_Name,0),3)/(INDEX(Antoines,MATCH(O1164,Antoine_Name,0),4)+(O1172-32)*5/9)))*14.7/760,IF(O1165="Crude Oil",EXP((2799/(O1172+459.6)-2.227)*LOG10(INDEX(FX_Input,AB$5,O$3*$Z$5+$AA$5))-(7261/(O1172+459.6))+12.82),IF(O1165="Refined Petroleum Stock",EXP((0.7553-(413/(O1172+459.6)))*(INDEX(FX_Input,AB$5,O$3*$Z$5+$AA$5-1)^0.5)*LOG10(INDEX(FX_Input,AB$5,O$3*$Z$5+$AA$5))-(1.854-(1042/(O1172+459.6)))*(INDEX(FX_Input,AB$5,O$3*$Z$5+$AA$5-1)^0.5)+((2416/(O1172+459.6)-2.013)*LOG10(INDEX(FX_Input,AB$5,O$3*$Z$5+$AA$5)))-(8742/(O1172+459.6))+15.64),EXP(INDEX(Antoines,MATCH(O1164,Antoine_Name,0),2)-INDEX(Antoines,MATCH(O1164,Antoine_Name,0),3)/(O1172+459.6))))),0)</f>
        <v>1</v>
      </c>
    </row>
    <row r="1176" spans="2:32" ht="17.149999999999999" x14ac:dyDescent="0.55000000000000004">
      <c r="B1176" t="str">
        <f t="shared" si="4244"/>
        <v>Portland</v>
      </c>
      <c r="C1176" t="s">
        <v>576</v>
      </c>
      <c r="D1176">
        <f>D1168*D1175</f>
        <v>1</v>
      </c>
      <c r="E1176">
        <f t="shared" ref="E1176" si="4245">E1168*E1175</f>
        <v>1</v>
      </c>
      <c r="F1176">
        <f t="shared" ref="F1176" si="4246">F1168*F1175</f>
        <v>1</v>
      </c>
      <c r="G1176">
        <f t="shared" ref="G1176" si="4247">G1168*G1175</f>
        <v>1</v>
      </c>
      <c r="H1176">
        <f t="shared" ref="H1176" si="4248">H1168*H1175</f>
        <v>1</v>
      </c>
      <c r="I1176">
        <f t="shared" ref="I1176" si="4249">I1168*I1175</f>
        <v>1</v>
      </c>
      <c r="J1176">
        <f t="shared" ref="J1176" si="4250">J1168*J1175</f>
        <v>1</v>
      </c>
      <c r="K1176">
        <f t="shared" ref="K1176" si="4251">K1168*K1175</f>
        <v>1</v>
      </c>
      <c r="L1176">
        <f t="shared" ref="L1176" si="4252">L1168*L1175</f>
        <v>1</v>
      </c>
      <c r="M1176">
        <f t="shared" ref="M1176" si="4253">M1168*M1175</f>
        <v>1</v>
      </c>
      <c r="N1176">
        <f t="shared" ref="N1176" si="4254">N1168*N1175</f>
        <v>1</v>
      </c>
      <c r="O1176">
        <f t="shared" ref="O1176" si="4255">O1168*O1175</f>
        <v>1</v>
      </c>
    </row>
    <row r="1177" spans="2:32" ht="17.149999999999999" x14ac:dyDescent="0.55000000000000004">
      <c r="B1177" t="str">
        <f t="shared" si="4244"/>
        <v>Portland</v>
      </c>
      <c r="C1177" t="s">
        <v>575</v>
      </c>
      <c r="D1177" cm="1">
        <f t="array" ref="D1177">IFERROR(IF(D1167="Chemical",(10^(INDEX(Antoines,MATCH(D1166,Antoine_Name,0),2)-INDEX(Antoines,MATCH(D1166,Antoine_Name,0),3)/(INDEX(Antoines,MATCH(D1166,Antoine_Name,0),4)+(D1172-32)*5/9)))*14.7/760,IF(D1167="Crude Oil",EXP((2799/(D1172+459.6)-2.227)*LOG10(INDEX(FX_Input,Q$5,D$3*$Z$5+$AA$5))-(7261/(D1172+459.6))+12.82),IF(D1167="Refined Petroleum Stock",EXP((0.7553-(413/(D1172+459.6)))*(INDEX(FX_Input,Q$5,D$3*$Z$5+$AA$5-1)^0.5)*LOG10(INDEX(FX_Input,Q$5,D$3*$Z$5+$AA$5))-(1.854-(1042/(D1172+459.6)))*(INDEX(FX_Input,Q$5,D$3*$Z$5+$AA$5-1)^0.5)+((2416/(D1172+459.6)-2.013)*LOG10(INDEX(FX_Input,Q$5,D$3*$Z$5+$AA$5)))-(8742/(D1172+459.6))+15.64),EXP(INDEX(Antoines,MATCH(D1166,Antoine_Name,0),2)-INDEX(Antoines,MATCH(D1166,Antoine_Name,0),3)/(D1172+459.6))))),0)</f>
        <v>0</v>
      </c>
      <c r="E1177" cm="1">
        <f t="array" ref="E1177">IFERROR(IF(E1167="Chemical",(10^(INDEX(Antoines,MATCH(E1166,Antoine_Name,0),2)-INDEX(Antoines,MATCH(E1166,Antoine_Name,0),3)/(INDEX(Antoines,MATCH(E1166,Antoine_Name,0),4)+(E1172-32)*5/9)))*14.7/760,IF(E1167="Crude Oil",EXP((2799/(E1172+459.6)-2.227)*LOG10(INDEX(FX_Input,R$5,E$3*$Z$5+$AA$5))-(7261/(E1172+459.6))+12.82),IF(E1167="Refined Petroleum Stock",EXP((0.7553-(413/(E1172+459.6)))*(INDEX(FX_Input,R$5,E$3*$Z$5+$AA$5-1)^0.5)*LOG10(INDEX(FX_Input,R$5,E$3*$Z$5+$AA$5))-(1.854-(1042/(E1172+459.6)))*(INDEX(FX_Input,R$5,E$3*$Z$5+$AA$5-1)^0.5)+((2416/(E1172+459.6)-2.013)*LOG10(INDEX(FX_Input,R$5,E$3*$Z$5+$AA$5)))-(8742/(E1172+459.6))+15.64),EXP(INDEX(Antoines,MATCH(E1166,Antoine_Name,0),2)-INDEX(Antoines,MATCH(E1166,Antoine_Name,0),3)/(E1172+459.6))))),0)</f>
        <v>0</v>
      </c>
      <c r="F1177" cm="1">
        <f t="array" ref="F1177">IFERROR(IF(F1167="Chemical",(10^(INDEX(Antoines,MATCH(F1166,Antoine_Name,0),2)-INDEX(Antoines,MATCH(F1166,Antoine_Name,0),3)/(INDEX(Antoines,MATCH(F1166,Antoine_Name,0),4)+(F1172-32)*5/9)))*14.7/760,IF(F1167="Crude Oil",EXP((2799/(F1172+459.6)-2.227)*LOG10(INDEX(FX_Input,S$5,F$3*$Z$5+$AA$5))-(7261/(F1172+459.6))+12.82),IF(F1167="Refined Petroleum Stock",EXP((0.7553-(413/(F1172+459.6)))*(INDEX(FX_Input,S$5,F$3*$Z$5+$AA$5-1)^0.5)*LOG10(INDEX(FX_Input,S$5,F$3*$Z$5+$AA$5))-(1.854-(1042/(F1172+459.6)))*(INDEX(FX_Input,S$5,F$3*$Z$5+$AA$5-1)^0.5)+((2416/(F1172+459.6)-2.013)*LOG10(INDEX(FX_Input,S$5,F$3*$Z$5+$AA$5)))-(8742/(F1172+459.6))+15.64),EXP(INDEX(Antoines,MATCH(F1166,Antoine_Name,0),2)-INDEX(Antoines,MATCH(F1166,Antoine_Name,0),3)/(F1172+459.6))))),0)</f>
        <v>0</v>
      </c>
      <c r="G1177" cm="1">
        <f t="array" ref="G1177">IFERROR(IF(G1167="Chemical",(10^(INDEX(Antoines,MATCH(G1166,Antoine_Name,0),2)-INDEX(Antoines,MATCH(G1166,Antoine_Name,0),3)/(INDEX(Antoines,MATCH(G1166,Antoine_Name,0),4)+(G1172-32)*5/9)))*14.7/760,IF(G1167="Crude Oil",EXP((2799/(G1172+459.6)-2.227)*LOG10(INDEX(FX_Input,T$5,G$3*$Z$5+$AA$5))-(7261/(G1172+459.6))+12.82),IF(G1167="Refined Petroleum Stock",EXP((0.7553-(413/(G1172+459.6)))*(INDEX(FX_Input,T$5,G$3*$Z$5+$AA$5-1)^0.5)*LOG10(INDEX(FX_Input,T$5,G$3*$Z$5+$AA$5))-(1.854-(1042/(G1172+459.6)))*(INDEX(FX_Input,T$5,G$3*$Z$5+$AA$5-1)^0.5)+((2416/(G1172+459.6)-2.013)*LOG10(INDEX(FX_Input,T$5,G$3*$Z$5+$AA$5)))-(8742/(G1172+459.6))+15.64),EXP(INDEX(Antoines,MATCH(G1166,Antoine_Name,0),2)-INDEX(Antoines,MATCH(G1166,Antoine_Name,0),3)/(G1172+459.6))))),0)</f>
        <v>0</v>
      </c>
      <c r="H1177" cm="1">
        <f t="array" ref="H1177">IFERROR(IF(H1167="Chemical",(10^(INDEX(Antoines,MATCH(H1166,Antoine_Name,0),2)-INDEX(Antoines,MATCH(H1166,Antoine_Name,0),3)/(INDEX(Antoines,MATCH(H1166,Antoine_Name,0),4)+(H1172-32)*5/9)))*14.7/760,IF(H1167="Crude Oil",EXP((2799/(H1172+459.6)-2.227)*LOG10(INDEX(FX_Input,U$5,H$3*$Z$5+$AA$5))-(7261/(H1172+459.6))+12.82),IF(H1167="Refined Petroleum Stock",EXP((0.7553-(413/(H1172+459.6)))*(INDEX(FX_Input,U$5,H$3*$Z$5+$AA$5-1)^0.5)*LOG10(INDEX(FX_Input,U$5,H$3*$Z$5+$AA$5))-(1.854-(1042/(H1172+459.6)))*(INDEX(FX_Input,U$5,H$3*$Z$5+$AA$5-1)^0.5)+((2416/(H1172+459.6)-2.013)*LOG10(INDEX(FX_Input,U$5,H$3*$Z$5+$AA$5)))-(8742/(H1172+459.6))+15.64),EXP(INDEX(Antoines,MATCH(H1166,Antoine_Name,0),2)-INDEX(Antoines,MATCH(H1166,Antoine_Name,0),3)/(H1172+459.6))))),0)</f>
        <v>0</v>
      </c>
      <c r="I1177" cm="1">
        <f t="array" ref="I1177">IFERROR(IF(I1167="Chemical",(10^(INDEX(Antoines,MATCH(I1166,Antoine_Name,0),2)-INDEX(Antoines,MATCH(I1166,Antoine_Name,0),3)/(INDEX(Antoines,MATCH(I1166,Antoine_Name,0),4)+(I1172-32)*5/9)))*14.7/760,IF(I1167="Crude Oil",EXP((2799/(I1172+459.6)-2.227)*LOG10(INDEX(FX_Input,V$5,I$3*$Z$5+$AA$5))-(7261/(I1172+459.6))+12.82),IF(I1167="Refined Petroleum Stock",EXP((0.7553-(413/(I1172+459.6)))*(INDEX(FX_Input,V$5,I$3*$Z$5+$AA$5-1)^0.5)*LOG10(INDEX(FX_Input,V$5,I$3*$Z$5+$AA$5))-(1.854-(1042/(I1172+459.6)))*(INDEX(FX_Input,V$5,I$3*$Z$5+$AA$5-1)^0.5)+((2416/(I1172+459.6)-2.013)*LOG10(INDEX(FX_Input,V$5,I$3*$Z$5+$AA$5)))-(8742/(I1172+459.6))+15.64),EXP(INDEX(Antoines,MATCH(I1166,Antoine_Name,0),2)-INDEX(Antoines,MATCH(I1166,Antoine_Name,0),3)/(I1172+459.6))))),0)</f>
        <v>0</v>
      </c>
      <c r="J1177" cm="1">
        <f t="array" ref="J1177">IFERROR(IF(J1167="Chemical",(10^(INDEX(Antoines,MATCH(J1166,Antoine_Name,0),2)-INDEX(Antoines,MATCH(J1166,Antoine_Name,0),3)/(INDEX(Antoines,MATCH(J1166,Antoine_Name,0),4)+(J1172-32)*5/9)))*14.7/760,IF(J1167="Crude Oil",EXP((2799/(J1172+459.6)-2.227)*LOG10(INDEX(FX_Input,W$5,J$3*$Z$5+$AA$5))-(7261/(J1172+459.6))+12.82),IF(J1167="Refined Petroleum Stock",EXP((0.7553-(413/(J1172+459.6)))*(INDEX(FX_Input,W$5,J$3*$Z$5+$AA$5-1)^0.5)*LOG10(INDEX(FX_Input,W$5,J$3*$Z$5+$AA$5))-(1.854-(1042/(J1172+459.6)))*(INDEX(FX_Input,W$5,J$3*$Z$5+$AA$5-1)^0.5)+((2416/(J1172+459.6)-2.013)*LOG10(INDEX(FX_Input,W$5,J$3*$Z$5+$AA$5)))-(8742/(J1172+459.6))+15.64),EXP(INDEX(Antoines,MATCH(J1166,Antoine_Name,0),2)-INDEX(Antoines,MATCH(J1166,Antoine_Name,0),3)/(J1172+459.6))))),0)</f>
        <v>0</v>
      </c>
      <c r="K1177" cm="1">
        <f t="array" ref="K1177">IFERROR(IF(K1167="Chemical",(10^(INDEX(Antoines,MATCH(K1166,Antoine_Name,0),2)-INDEX(Antoines,MATCH(K1166,Antoine_Name,0),3)/(INDEX(Antoines,MATCH(K1166,Antoine_Name,0),4)+(K1172-32)*5/9)))*14.7/760,IF(K1167="Crude Oil",EXP((2799/(K1172+459.6)-2.227)*LOG10(INDEX(FX_Input,X$5,K$3*$Z$5+$AA$5))-(7261/(K1172+459.6))+12.82),IF(K1167="Refined Petroleum Stock",EXP((0.7553-(413/(K1172+459.6)))*(INDEX(FX_Input,X$5,K$3*$Z$5+$AA$5-1)^0.5)*LOG10(INDEX(FX_Input,X$5,K$3*$Z$5+$AA$5))-(1.854-(1042/(K1172+459.6)))*(INDEX(FX_Input,X$5,K$3*$Z$5+$AA$5-1)^0.5)+((2416/(K1172+459.6)-2.013)*LOG10(INDEX(FX_Input,X$5,K$3*$Z$5+$AA$5)))-(8742/(K1172+459.6))+15.64),EXP(INDEX(Antoines,MATCH(K1166,Antoine_Name,0),2)-INDEX(Antoines,MATCH(K1166,Antoine_Name,0),3)/(K1172+459.6))))),0)</f>
        <v>0</v>
      </c>
      <c r="L1177" cm="1">
        <f t="array" ref="L1177">IFERROR(IF(L1167="Chemical",(10^(INDEX(Antoines,MATCH(L1166,Antoine_Name,0),2)-INDEX(Antoines,MATCH(L1166,Antoine_Name,0),3)/(INDEX(Antoines,MATCH(L1166,Antoine_Name,0),4)+(L1172-32)*5/9)))*14.7/760,IF(L1167="Crude Oil",EXP((2799/(L1172+459.6)-2.227)*LOG10(INDEX(FX_Input,Y$5,L$3*$Z$5+$AA$5))-(7261/(L1172+459.6))+12.82),IF(L1167="Refined Petroleum Stock",EXP((0.7553-(413/(L1172+459.6)))*(INDEX(FX_Input,Y$5,L$3*$Z$5+$AA$5-1)^0.5)*LOG10(INDEX(FX_Input,Y$5,L$3*$Z$5+$AA$5))-(1.854-(1042/(L1172+459.6)))*(INDEX(FX_Input,Y$5,L$3*$Z$5+$AA$5-1)^0.5)+((2416/(L1172+459.6)-2.013)*LOG10(INDEX(FX_Input,Y$5,L$3*$Z$5+$AA$5)))-(8742/(L1172+459.6))+15.64),EXP(INDEX(Antoines,MATCH(L1166,Antoine_Name,0),2)-INDEX(Antoines,MATCH(L1166,Antoine_Name,0),3)/(L1172+459.6))))),0)</f>
        <v>0</v>
      </c>
      <c r="M1177" cm="1">
        <f t="array" ref="M1177">IFERROR(IF(M1167="Chemical",(10^(INDEX(Antoines,MATCH(M1166,Antoine_Name,0),2)-INDEX(Antoines,MATCH(M1166,Antoine_Name,0),3)/(INDEX(Antoines,MATCH(M1166,Antoine_Name,0),4)+(M1172-32)*5/9)))*14.7/760,IF(M1167="Crude Oil",EXP((2799/(M1172+459.6)-2.227)*LOG10(INDEX(FX_Input,Z$5,M$3*$Z$5+$AA$5))-(7261/(M1172+459.6))+12.82),IF(M1167="Refined Petroleum Stock",EXP((0.7553-(413/(M1172+459.6)))*(INDEX(FX_Input,Z$5,M$3*$Z$5+$AA$5-1)^0.5)*LOG10(INDEX(FX_Input,Z$5,M$3*$Z$5+$AA$5))-(1.854-(1042/(M1172+459.6)))*(INDEX(FX_Input,Z$5,M$3*$Z$5+$AA$5-1)^0.5)+((2416/(M1172+459.6)-2.013)*LOG10(INDEX(FX_Input,Z$5,M$3*$Z$5+$AA$5)))-(8742/(M1172+459.6))+15.64),EXP(INDEX(Antoines,MATCH(M1166,Antoine_Name,0),2)-INDEX(Antoines,MATCH(M1166,Antoine_Name,0),3)/(M1172+459.6))))),0)</f>
        <v>0</v>
      </c>
      <c r="N1177" cm="1">
        <f t="array" ref="N1177">IFERROR(IF(N1167="Chemical",(10^(INDEX(Antoines,MATCH(N1166,Antoine_Name,0),2)-INDEX(Antoines,MATCH(N1166,Antoine_Name,0),3)/(INDEX(Antoines,MATCH(N1166,Antoine_Name,0),4)+(N1172-32)*5/9)))*14.7/760,IF(N1167="Crude Oil",EXP((2799/(N1172+459.6)-2.227)*LOG10(INDEX(FX_Input,AA$5,N$3*$Z$5+$AA$5))-(7261/(N1172+459.6))+12.82),IF(N1167="Refined Petroleum Stock",EXP((0.7553-(413/(N1172+459.6)))*(INDEX(FX_Input,AA$5,N$3*$Z$5+$AA$5-1)^0.5)*LOG10(INDEX(FX_Input,AA$5,N$3*$Z$5+$AA$5))-(1.854-(1042/(N1172+459.6)))*(INDEX(FX_Input,AA$5,N$3*$Z$5+$AA$5-1)^0.5)+((2416/(N1172+459.6)-2.013)*LOG10(INDEX(FX_Input,AA$5,N$3*$Z$5+$AA$5)))-(8742/(N1172+459.6))+15.64),EXP(INDEX(Antoines,MATCH(N1166,Antoine_Name,0),2)-INDEX(Antoines,MATCH(N1166,Antoine_Name,0),3)/(N1172+459.6))))),0)</f>
        <v>0</v>
      </c>
      <c r="O1177" cm="1">
        <f t="array" ref="O1177">IFERROR(IF(O1167="Chemical",(10^(INDEX(Antoines,MATCH(O1166,Antoine_Name,0),2)-INDEX(Antoines,MATCH(O1166,Antoine_Name,0),3)/(INDEX(Antoines,MATCH(O1166,Antoine_Name,0),4)+(O1172-32)*5/9)))*14.7/760,IF(O1167="Crude Oil",EXP((2799/(O1172+459.6)-2.227)*LOG10(INDEX(FX_Input,AB$5,O$3*$Z$5+$AA$5))-(7261/(O1172+459.6))+12.82),IF(O1167="Refined Petroleum Stock",EXP((0.7553-(413/(O1172+459.6)))*(INDEX(FX_Input,AB$5,O$3*$Z$5+$AA$5-1)^0.5)*LOG10(INDEX(FX_Input,AB$5,O$3*$Z$5+$AA$5))-(1.854-(1042/(O1172+459.6)))*(INDEX(FX_Input,AB$5,O$3*$Z$5+$AA$5-1)^0.5)+((2416/(O1172+459.6)-2.013)*LOG10(INDEX(FX_Input,AB$5,O$3*$Z$5+$AA$5)))-(8742/(O1172+459.6))+15.64),EXP(INDEX(Antoines,MATCH(O1166,Antoine_Name,0),2)-INDEX(Antoines,MATCH(O1166,Antoine_Name,0),3)/(O1172+459.6))))),0)</f>
        <v>0</v>
      </c>
    </row>
    <row r="1178" spans="2:32" ht="17.149999999999999" x14ac:dyDescent="0.55000000000000004">
      <c r="B1178" t="str">
        <f t="shared" si="4244"/>
        <v>Portland</v>
      </c>
      <c r="C1178" t="s">
        <v>577</v>
      </c>
      <c r="D1178">
        <f>D1177*D1170</f>
        <v>0</v>
      </c>
      <c r="E1178">
        <f t="shared" ref="E1178" si="4256">E1177*E1170</f>
        <v>0</v>
      </c>
      <c r="F1178">
        <f t="shared" ref="F1178" si="4257">F1177*F1170</f>
        <v>0</v>
      </c>
      <c r="G1178">
        <f t="shared" ref="G1178" si="4258">G1177*G1170</f>
        <v>0</v>
      </c>
      <c r="H1178">
        <f t="shared" ref="H1178" si="4259">H1177*H1170</f>
        <v>0</v>
      </c>
      <c r="I1178">
        <f t="shared" ref="I1178" si="4260">I1177*I1170</f>
        <v>0</v>
      </c>
      <c r="J1178">
        <f t="shared" ref="J1178" si="4261">J1177*J1170</f>
        <v>0</v>
      </c>
      <c r="K1178">
        <f t="shared" ref="K1178" si="4262">K1177*K1170</f>
        <v>0</v>
      </c>
      <c r="L1178">
        <f t="shared" ref="L1178" si="4263">L1177*L1170</f>
        <v>0</v>
      </c>
      <c r="M1178">
        <f t="shared" ref="M1178" si="4264">M1177*M1170</f>
        <v>0</v>
      </c>
      <c r="N1178">
        <f t="shared" ref="N1178" si="4265">N1177*N1170</f>
        <v>0</v>
      </c>
      <c r="O1178">
        <f t="shared" ref="O1178" si="4266">O1177*O1170</f>
        <v>0</v>
      </c>
    </row>
    <row r="1179" spans="2:32" ht="17.149999999999999" x14ac:dyDescent="0.55000000000000004">
      <c r="B1179" t="str">
        <f t="shared" si="4244"/>
        <v>Portland</v>
      </c>
      <c r="C1179" t="s">
        <v>578</v>
      </c>
      <c r="D1179">
        <f>D1178+D1176</f>
        <v>1</v>
      </c>
      <c r="E1179">
        <f t="shared" ref="E1179" si="4267">E1178+E1176</f>
        <v>1</v>
      </c>
      <c r="F1179">
        <f t="shared" ref="F1179" si="4268">F1178+F1176</f>
        <v>1</v>
      </c>
      <c r="G1179">
        <f t="shared" ref="G1179" si="4269">G1178+G1176</f>
        <v>1</v>
      </c>
      <c r="H1179">
        <f t="shared" ref="H1179" si="4270">H1178+H1176</f>
        <v>1</v>
      </c>
      <c r="I1179">
        <f t="shared" ref="I1179" si="4271">I1178+I1176</f>
        <v>1</v>
      </c>
      <c r="J1179">
        <f t="shared" ref="J1179" si="4272">J1178+J1176</f>
        <v>1</v>
      </c>
      <c r="K1179">
        <f t="shared" ref="K1179" si="4273">K1178+K1176</f>
        <v>1</v>
      </c>
      <c r="L1179">
        <f t="shared" ref="L1179" si="4274">L1178+L1176</f>
        <v>1</v>
      </c>
      <c r="M1179">
        <f t="shared" ref="M1179" si="4275">M1178+M1176</f>
        <v>1</v>
      </c>
      <c r="N1179">
        <f t="shared" ref="N1179" si="4276">N1178+N1176</f>
        <v>1</v>
      </c>
      <c r="O1179">
        <f t="shared" ref="O1179" si="4277">O1178+O1176</f>
        <v>1</v>
      </c>
    </row>
    <row r="1180" spans="2:32" ht="17.149999999999999" x14ac:dyDescent="0.55000000000000004">
      <c r="B1180" t="str">
        <f t="shared" si="4244"/>
        <v>Portland</v>
      </c>
      <c r="C1180" t="s">
        <v>579</v>
      </c>
      <c r="D1180" cm="1">
        <f t="array" ref="D1180">IFERROR(IF(D1165="Chemical",(10^(INDEX(Antoines,MATCH(D1164,Antoine_Name,0),2)-INDEX(Antoines,MATCH(D1164,Antoine_Name,0),3)/(INDEX(Antoines,MATCH(D1164,Antoine_Name,0),4)+(D1173-32)*5/9)))*14.7/760,IF(D1165="Crude Oil",EXP((2799/(D1173+459.6)-2.227)*LOG10(INDEX(FX_Input,Q$5,D$3*$Z$5+$AA$5))-(7261/(D1173+459.6))+12.82),IF(D1165="Refined Petroleum Stock",EXP((0.7553-(413/(D1173+459.6)))*(INDEX(FX_Input,Q$5,D$3*$Z$5+$AA$5-1)^0.5)*LOG10(INDEX(FX_Input,Q$5,D$3*$Z$5+$AA$5))-(1.854-(1042/(D1173+459.6)))*(INDEX(FX_Input,Q$5,D$3*$Z$5+$AA$5-1)^0.5)+((2416/(D1173+459.6)-2.013)*LOG10(INDEX(FX_Input,Q$5,D$3*$Z$5+$AA$5)))-(8742/(D1173+459.6))+15.64),EXP(INDEX(Antoines,MATCH(D1164,Antoine_Name,0),2)-INDEX(Antoines,MATCH(D1164,Antoine_Name,0),3)/(D1173+459.6))))),0)</f>
        <v>1</v>
      </c>
      <c r="E1180" cm="1">
        <f t="array" ref="E1180">IFERROR(IF(E1165="Chemical",(10^(INDEX(Antoines,MATCH(E1164,Antoine_Name,0),2)-INDEX(Antoines,MATCH(E1164,Antoine_Name,0),3)/(INDEX(Antoines,MATCH(E1164,Antoine_Name,0),4)+(E1173-32)*5/9)))*14.7/760,IF(E1165="Crude Oil",EXP((2799/(E1173+459.6)-2.227)*LOG10(INDEX(FX_Input,R$5,E$3*$Z$5+$AA$5))-(7261/(E1173+459.6))+12.82),IF(E1165="Refined Petroleum Stock",EXP((0.7553-(413/(E1173+459.6)))*(INDEX(FX_Input,R$5,E$3*$Z$5+$AA$5-1)^0.5)*LOG10(INDEX(FX_Input,R$5,E$3*$Z$5+$AA$5))-(1.854-(1042/(E1173+459.6)))*(INDEX(FX_Input,R$5,E$3*$Z$5+$AA$5-1)^0.5)+((2416/(E1173+459.6)-2.013)*LOG10(INDEX(FX_Input,R$5,E$3*$Z$5+$AA$5)))-(8742/(E1173+459.6))+15.64),EXP(INDEX(Antoines,MATCH(E1164,Antoine_Name,0),2)-INDEX(Antoines,MATCH(E1164,Antoine_Name,0),3)/(E1173+459.6))))),0)</f>
        <v>1</v>
      </c>
      <c r="F1180" cm="1">
        <f t="array" ref="F1180">IFERROR(IF(F1165="Chemical",(10^(INDEX(Antoines,MATCH(F1164,Antoine_Name,0),2)-INDEX(Antoines,MATCH(F1164,Antoine_Name,0),3)/(INDEX(Antoines,MATCH(F1164,Antoine_Name,0),4)+(F1173-32)*5/9)))*14.7/760,IF(F1165="Crude Oil",EXP((2799/(F1173+459.6)-2.227)*LOG10(INDEX(FX_Input,S$5,F$3*$Z$5+$AA$5))-(7261/(F1173+459.6))+12.82),IF(F1165="Refined Petroleum Stock",EXP((0.7553-(413/(F1173+459.6)))*(INDEX(FX_Input,S$5,F$3*$Z$5+$AA$5-1)^0.5)*LOG10(INDEX(FX_Input,S$5,F$3*$Z$5+$AA$5))-(1.854-(1042/(F1173+459.6)))*(INDEX(FX_Input,S$5,F$3*$Z$5+$AA$5-1)^0.5)+((2416/(F1173+459.6)-2.013)*LOG10(INDEX(FX_Input,S$5,F$3*$Z$5+$AA$5)))-(8742/(F1173+459.6))+15.64),EXP(INDEX(Antoines,MATCH(F1164,Antoine_Name,0),2)-INDEX(Antoines,MATCH(F1164,Antoine_Name,0),3)/(F1173+459.6))))),0)</f>
        <v>1</v>
      </c>
      <c r="G1180" cm="1">
        <f t="array" ref="G1180">IFERROR(IF(G1165="Chemical",(10^(INDEX(Antoines,MATCH(G1164,Antoine_Name,0),2)-INDEX(Antoines,MATCH(G1164,Antoine_Name,0),3)/(INDEX(Antoines,MATCH(G1164,Antoine_Name,0),4)+(G1173-32)*5/9)))*14.7/760,IF(G1165="Crude Oil",EXP((2799/(G1173+459.6)-2.227)*LOG10(INDEX(FX_Input,T$5,G$3*$Z$5+$AA$5))-(7261/(G1173+459.6))+12.82),IF(G1165="Refined Petroleum Stock",EXP((0.7553-(413/(G1173+459.6)))*(INDEX(FX_Input,T$5,G$3*$Z$5+$AA$5-1)^0.5)*LOG10(INDEX(FX_Input,T$5,G$3*$Z$5+$AA$5))-(1.854-(1042/(G1173+459.6)))*(INDEX(FX_Input,T$5,G$3*$Z$5+$AA$5-1)^0.5)+((2416/(G1173+459.6)-2.013)*LOG10(INDEX(FX_Input,T$5,G$3*$Z$5+$AA$5)))-(8742/(G1173+459.6))+15.64),EXP(INDEX(Antoines,MATCH(G1164,Antoine_Name,0),2)-INDEX(Antoines,MATCH(G1164,Antoine_Name,0),3)/(G1173+459.6))))),0)</f>
        <v>1</v>
      </c>
      <c r="H1180" cm="1">
        <f t="array" ref="H1180">IFERROR(IF(H1165="Chemical",(10^(INDEX(Antoines,MATCH(H1164,Antoine_Name,0),2)-INDEX(Antoines,MATCH(H1164,Antoine_Name,0),3)/(INDEX(Antoines,MATCH(H1164,Antoine_Name,0),4)+(H1173-32)*5/9)))*14.7/760,IF(H1165="Crude Oil",EXP((2799/(H1173+459.6)-2.227)*LOG10(INDEX(FX_Input,U$5,H$3*$Z$5+$AA$5))-(7261/(H1173+459.6))+12.82),IF(H1165="Refined Petroleum Stock",EXP((0.7553-(413/(H1173+459.6)))*(INDEX(FX_Input,U$5,H$3*$Z$5+$AA$5-1)^0.5)*LOG10(INDEX(FX_Input,U$5,H$3*$Z$5+$AA$5))-(1.854-(1042/(H1173+459.6)))*(INDEX(FX_Input,U$5,H$3*$Z$5+$AA$5-1)^0.5)+((2416/(H1173+459.6)-2.013)*LOG10(INDEX(FX_Input,U$5,H$3*$Z$5+$AA$5)))-(8742/(H1173+459.6))+15.64),EXP(INDEX(Antoines,MATCH(H1164,Antoine_Name,0),2)-INDEX(Antoines,MATCH(H1164,Antoine_Name,0),3)/(H1173+459.6))))),0)</f>
        <v>1</v>
      </c>
      <c r="I1180" cm="1">
        <f t="array" ref="I1180">IFERROR(IF(I1165="Chemical",(10^(INDEX(Antoines,MATCH(I1164,Antoine_Name,0),2)-INDEX(Antoines,MATCH(I1164,Antoine_Name,0),3)/(INDEX(Antoines,MATCH(I1164,Antoine_Name,0),4)+(I1173-32)*5/9)))*14.7/760,IF(I1165="Crude Oil",EXP((2799/(I1173+459.6)-2.227)*LOG10(INDEX(FX_Input,V$5,I$3*$Z$5+$AA$5))-(7261/(I1173+459.6))+12.82),IF(I1165="Refined Petroleum Stock",EXP((0.7553-(413/(I1173+459.6)))*(INDEX(FX_Input,V$5,I$3*$Z$5+$AA$5-1)^0.5)*LOG10(INDEX(FX_Input,V$5,I$3*$Z$5+$AA$5))-(1.854-(1042/(I1173+459.6)))*(INDEX(FX_Input,V$5,I$3*$Z$5+$AA$5-1)^0.5)+((2416/(I1173+459.6)-2.013)*LOG10(INDEX(FX_Input,V$5,I$3*$Z$5+$AA$5)))-(8742/(I1173+459.6))+15.64),EXP(INDEX(Antoines,MATCH(I1164,Antoine_Name,0),2)-INDEX(Antoines,MATCH(I1164,Antoine_Name,0),3)/(I1173+459.6))))),0)</f>
        <v>1</v>
      </c>
      <c r="J1180" cm="1">
        <f t="array" ref="J1180">IFERROR(IF(J1165="Chemical",(10^(INDEX(Antoines,MATCH(J1164,Antoine_Name,0),2)-INDEX(Antoines,MATCH(J1164,Antoine_Name,0),3)/(INDEX(Antoines,MATCH(J1164,Antoine_Name,0),4)+(J1173-32)*5/9)))*14.7/760,IF(J1165="Crude Oil",EXP((2799/(J1173+459.6)-2.227)*LOG10(INDEX(FX_Input,W$5,J$3*$Z$5+$AA$5))-(7261/(J1173+459.6))+12.82),IF(J1165="Refined Petroleum Stock",EXP((0.7553-(413/(J1173+459.6)))*(INDEX(FX_Input,W$5,J$3*$Z$5+$AA$5-1)^0.5)*LOG10(INDEX(FX_Input,W$5,J$3*$Z$5+$AA$5))-(1.854-(1042/(J1173+459.6)))*(INDEX(FX_Input,W$5,J$3*$Z$5+$AA$5-1)^0.5)+((2416/(J1173+459.6)-2.013)*LOG10(INDEX(FX_Input,W$5,J$3*$Z$5+$AA$5)))-(8742/(J1173+459.6))+15.64),EXP(INDEX(Antoines,MATCH(J1164,Antoine_Name,0),2)-INDEX(Antoines,MATCH(J1164,Antoine_Name,0),3)/(J1173+459.6))))),0)</f>
        <v>1</v>
      </c>
      <c r="K1180" cm="1">
        <f t="array" ref="K1180">IFERROR(IF(K1165="Chemical",(10^(INDEX(Antoines,MATCH(K1164,Antoine_Name,0),2)-INDEX(Antoines,MATCH(K1164,Antoine_Name,0),3)/(INDEX(Antoines,MATCH(K1164,Antoine_Name,0),4)+(K1173-32)*5/9)))*14.7/760,IF(K1165="Crude Oil",EXP((2799/(K1173+459.6)-2.227)*LOG10(INDEX(FX_Input,X$5,K$3*$Z$5+$AA$5))-(7261/(K1173+459.6))+12.82),IF(K1165="Refined Petroleum Stock",EXP((0.7553-(413/(K1173+459.6)))*(INDEX(FX_Input,X$5,K$3*$Z$5+$AA$5-1)^0.5)*LOG10(INDEX(FX_Input,X$5,K$3*$Z$5+$AA$5))-(1.854-(1042/(K1173+459.6)))*(INDEX(FX_Input,X$5,K$3*$Z$5+$AA$5-1)^0.5)+((2416/(K1173+459.6)-2.013)*LOG10(INDEX(FX_Input,X$5,K$3*$Z$5+$AA$5)))-(8742/(K1173+459.6))+15.64),EXP(INDEX(Antoines,MATCH(K1164,Antoine_Name,0),2)-INDEX(Antoines,MATCH(K1164,Antoine_Name,0),3)/(K1173+459.6))))),0)</f>
        <v>1</v>
      </c>
      <c r="L1180" cm="1">
        <f t="array" ref="L1180">IFERROR(IF(L1165="Chemical",(10^(INDEX(Antoines,MATCH(L1164,Antoine_Name,0),2)-INDEX(Antoines,MATCH(L1164,Antoine_Name,0),3)/(INDEX(Antoines,MATCH(L1164,Antoine_Name,0),4)+(L1173-32)*5/9)))*14.7/760,IF(L1165="Crude Oil",EXP((2799/(L1173+459.6)-2.227)*LOG10(INDEX(FX_Input,Y$5,L$3*$Z$5+$AA$5))-(7261/(L1173+459.6))+12.82),IF(L1165="Refined Petroleum Stock",EXP((0.7553-(413/(L1173+459.6)))*(INDEX(FX_Input,Y$5,L$3*$Z$5+$AA$5-1)^0.5)*LOG10(INDEX(FX_Input,Y$5,L$3*$Z$5+$AA$5))-(1.854-(1042/(L1173+459.6)))*(INDEX(FX_Input,Y$5,L$3*$Z$5+$AA$5-1)^0.5)+((2416/(L1173+459.6)-2.013)*LOG10(INDEX(FX_Input,Y$5,L$3*$Z$5+$AA$5)))-(8742/(L1173+459.6))+15.64),EXP(INDEX(Antoines,MATCH(L1164,Antoine_Name,0),2)-INDEX(Antoines,MATCH(L1164,Antoine_Name,0),3)/(L1173+459.6))))),0)</f>
        <v>1</v>
      </c>
      <c r="M1180" cm="1">
        <f t="array" ref="M1180">IFERROR(IF(M1165="Chemical",(10^(INDEX(Antoines,MATCH(M1164,Antoine_Name,0),2)-INDEX(Antoines,MATCH(M1164,Antoine_Name,0),3)/(INDEX(Antoines,MATCH(M1164,Antoine_Name,0),4)+(M1173-32)*5/9)))*14.7/760,IF(M1165="Crude Oil",EXP((2799/(M1173+459.6)-2.227)*LOG10(INDEX(FX_Input,Z$5,M$3*$Z$5+$AA$5))-(7261/(M1173+459.6))+12.82),IF(M1165="Refined Petroleum Stock",EXP((0.7553-(413/(M1173+459.6)))*(INDEX(FX_Input,Z$5,M$3*$Z$5+$AA$5-1)^0.5)*LOG10(INDEX(FX_Input,Z$5,M$3*$Z$5+$AA$5))-(1.854-(1042/(M1173+459.6)))*(INDEX(FX_Input,Z$5,M$3*$Z$5+$AA$5-1)^0.5)+((2416/(M1173+459.6)-2.013)*LOG10(INDEX(FX_Input,Z$5,M$3*$Z$5+$AA$5)))-(8742/(M1173+459.6))+15.64),EXP(INDEX(Antoines,MATCH(M1164,Antoine_Name,0),2)-INDEX(Antoines,MATCH(M1164,Antoine_Name,0),3)/(M1173+459.6))))),0)</f>
        <v>1</v>
      </c>
      <c r="N1180" cm="1">
        <f t="array" ref="N1180">IFERROR(IF(N1165="Chemical",(10^(INDEX(Antoines,MATCH(N1164,Antoine_Name,0),2)-INDEX(Antoines,MATCH(N1164,Antoine_Name,0),3)/(INDEX(Antoines,MATCH(N1164,Antoine_Name,0),4)+(N1173-32)*5/9)))*14.7/760,IF(N1165="Crude Oil",EXP((2799/(N1173+459.6)-2.227)*LOG10(INDEX(FX_Input,AA$5,N$3*$Z$5+$AA$5))-(7261/(N1173+459.6))+12.82),IF(N1165="Refined Petroleum Stock",EXP((0.7553-(413/(N1173+459.6)))*(INDEX(FX_Input,AA$5,N$3*$Z$5+$AA$5-1)^0.5)*LOG10(INDEX(FX_Input,AA$5,N$3*$Z$5+$AA$5))-(1.854-(1042/(N1173+459.6)))*(INDEX(FX_Input,AA$5,N$3*$Z$5+$AA$5-1)^0.5)+((2416/(N1173+459.6)-2.013)*LOG10(INDEX(FX_Input,AA$5,N$3*$Z$5+$AA$5)))-(8742/(N1173+459.6))+15.64),EXP(INDEX(Antoines,MATCH(N1164,Antoine_Name,0),2)-INDEX(Antoines,MATCH(N1164,Antoine_Name,0),3)/(N1173+459.6))))),0)</f>
        <v>1</v>
      </c>
      <c r="O1180" cm="1">
        <f t="array" ref="O1180">IFERROR(IF(O1165="Chemical",(10^(INDEX(Antoines,MATCH(O1164,Antoine_Name,0),2)-INDEX(Antoines,MATCH(O1164,Antoine_Name,0),3)/(INDEX(Antoines,MATCH(O1164,Antoine_Name,0),4)+(O1173-32)*5/9)))*14.7/760,IF(O1165="Crude Oil",EXP((2799/(O1173+459.6)-2.227)*LOG10(INDEX(FX_Input,AB$5,O$3*$Z$5+$AA$5))-(7261/(O1173+459.6))+12.82),IF(O1165="Refined Petroleum Stock",EXP((0.7553-(413/(O1173+459.6)))*(INDEX(FX_Input,AB$5,O$3*$Z$5+$AA$5-1)^0.5)*LOG10(INDEX(FX_Input,AB$5,O$3*$Z$5+$AA$5))-(1.854-(1042/(O1173+459.6)))*(INDEX(FX_Input,AB$5,O$3*$Z$5+$AA$5-1)^0.5)+((2416/(O1173+459.6)-2.013)*LOG10(INDEX(FX_Input,AB$5,O$3*$Z$5+$AA$5)))-(8742/(O1173+459.6))+15.64),EXP(INDEX(Antoines,MATCH(O1164,Antoine_Name,0),2)-INDEX(Antoines,MATCH(O1164,Antoine_Name,0),3)/(O1173+459.6))))),0)</f>
        <v>1</v>
      </c>
    </row>
    <row r="1181" spans="2:32" ht="17.149999999999999" x14ac:dyDescent="0.55000000000000004">
      <c r="B1181" t="str">
        <f t="shared" si="4244"/>
        <v>Portland</v>
      </c>
      <c r="C1181" t="s">
        <v>580</v>
      </c>
      <c r="D1181">
        <f>D1180*D1168</f>
        <v>1</v>
      </c>
      <c r="E1181">
        <f t="shared" ref="E1181" si="4278">E1180*E1168</f>
        <v>1</v>
      </c>
      <c r="F1181">
        <f t="shared" ref="F1181" si="4279">F1180*F1168</f>
        <v>1</v>
      </c>
      <c r="G1181">
        <f t="shared" ref="G1181" si="4280">G1180*G1168</f>
        <v>1</v>
      </c>
      <c r="H1181">
        <f t="shared" ref="H1181" si="4281">H1180*H1168</f>
        <v>1</v>
      </c>
      <c r="I1181">
        <f t="shared" ref="I1181" si="4282">I1180*I1168</f>
        <v>1</v>
      </c>
      <c r="J1181">
        <f t="shared" ref="J1181" si="4283">J1180*J1168</f>
        <v>1</v>
      </c>
      <c r="K1181">
        <f t="shared" ref="K1181" si="4284">K1180*K1168</f>
        <v>1</v>
      </c>
      <c r="L1181">
        <f t="shared" ref="L1181" si="4285">L1180*L1168</f>
        <v>1</v>
      </c>
      <c r="M1181">
        <f t="shared" ref="M1181" si="4286">M1180*M1168</f>
        <v>1</v>
      </c>
      <c r="N1181">
        <f t="shared" ref="N1181" si="4287">N1180*N1168</f>
        <v>1</v>
      </c>
      <c r="O1181">
        <f t="shared" ref="O1181" si="4288">O1180*O1168</f>
        <v>1</v>
      </c>
    </row>
    <row r="1182" spans="2:32" ht="17.149999999999999" x14ac:dyDescent="0.55000000000000004">
      <c r="B1182" t="str">
        <f t="shared" si="4244"/>
        <v>Portland</v>
      </c>
      <c r="C1182" t="s">
        <v>581</v>
      </c>
      <c r="D1182" cm="1">
        <f t="array" ref="D1182">IFERROR(IF(D1167="Chemical",(10^(INDEX(Antoines,MATCH(D1166,Antoine_Name,0),2)-INDEX(Antoines,MATCH(D1166,Antoine_Name,0),3)/(INDEX(Antoines,MATCH(D1166,Antoine_Name,0),4)+(D1173-32)*5/9)))*14.7/760,IF(D1167="Crude Oil",EXP((2799/(D1173+459.6)-2.227)*LOG10(INDEX(FX_Input,Q$5,D$3*$Z$5+$AA$5))-(7261/(D1173+459.6))+12.82),IF(D1167="Refined Petroleum Stock",EXP((0.7553-(413/(D1173+459.6)))*(INDEX(FX_Input,Q$5,D$3*$Z$5+$AA$5-1)^0.5)*LOG10(INDEX(FX_Input,Q$5,D$3*$Z$5+$AA$5))-(1.854-(1042/(D1173+459.6)))*(INDEX(FX_Input,Q$5,D$3*$Z$5+$AA$5-1)^0.5)+((2416/(D1173+459.6)-2.013)*LOG10(INDEX(FX_Input,Q$5,D$3*$Z$5+$AA$5)))-(8742/(D1173+459.6))+15.64),EXP(INDEX(Antoines,MATCH(D1166,Antoine_Name,0),2)-INDEX(Antoines,MATCH(D1166,Antoine_Name,0),3)/(D1173+459.6))))),0)</f>
        <v>0</v>
      </c>
      <c r="E1182" cm="1">
        <f t="array" ref="E1182">IFERROR(IF(E1167="Chemical",(10^(INDEX(Antoines,MATCH(E1166,Antoine_Name,0),2)-INDEX(Antoines,MATCH(E1166,Antoine_Name,0),3)/(INDEX(Antoines,MATCH(E1166,Antoine_Name,0),4)+(E1173-32)*5/9)))*14.7/760,IF(E1167="Crude Oil",EXP((2799/(E1173+459.6)-2.227)*LOG10(INDEX(FX_Input,R$5,E$3*$Z$5+$AA$5))-(7261/(E1173+459.6))+12.82),IF(E1167="Refined Petroleum Stock",EXP((0.7553-(413/(E1173+459.6)))*(INDEX(FX_Input,R$5,E$3*$Z$5+$AA$5-1)^0.5)*LOG10(INDEX(FX_Input,R$5,E$3*$Z$5+$AA$5))-(1.854-(1042/(E1173+459.6)))*(INDEX(FX_Input,R$5,E$3*$Z$5+$AA$5-1)^0.5)+((2416/(E1173+459.6)-2.013)*LOG10(INDEX(FX_Input,R$5,E$3*$Z$5+$AA$5)))-(8742/(E1173+459.6))+15.64),EXP(INDEX(Antoines,MATCH(E1166,Antoine_Name,0),2)-INDEX(Antoines,MATCH(E1166,Antoine_Name,0),3)/(E1173+459.6))))),0)</f>
        <v>0</v>
      </c>
      <c r="F1182" cm="1">
        <f t="array" ref="F1182">IFERROR(IF(F1167="Chemical",(10^(INDEX(Antoines,MATCH(F1166,Antoine_Name,0),2)-INDEX(Antoines,MATCH(F1166,Antoine_Name,0),3)/(INDEX(Antoines,MATCH(F1166,Antoine_Name,0),4)+(F1173-32)*5/9)))*14.7/760,IF(F1167="Crude Oil",EXP((2799/(F1173+459.6)-2.227)*LOG10(INDEX(FX_Input,S$5,F$3*$Z$5+$AA$5))-(7261/(F1173+459.6))+12.82),IF(F1167="Refined Petroleum Stock",EXP((0.7553-(413/(F1173+459.6)))*(INDEX(FX_Input,S$5,F$3*$Z$5+$AA$5-1)^0.5)*LOG10(INDEX(FX_Input,S$5,F$3*$Z$5+$AA$5))-(1.854-(1042/(F1173+459.6)))*(INDEX(FX_Input,S$5,F$3*$Z$5+$AA$5-1)^0.5)+((2416/(F1173+459.6)-2.013)*LOG10(INDEX(FX_Input,S$5,F$3*$Z$5+$AA$5)))-(8742/(F1173+459.6))+15.64),EXP(INDEX(Antoines,MATCH(F1166,Antoine_Name,0),2)-INDEX(Antoines,MATCH(F1166,Antoine_Name,0),3)/(F1173+459.6))))),0)</f>
        <v>0</v>
      </c>
      <c r="G1182" cm="1">
        <f t="array" ref="G1182">IFERROR(IF(G1167="Chemical",(10^(INDEX(Antoines,MATCH(G1166,Antoine_Name,0),2)-INDEX(Antoines,MATCH(G1166,Antoine_Name,0),3)/(INDEX(Antoines,MATCH(G1166,Antoine_Name,0),4)+(G1173-32)*5/9)))*14.7/760,IF(G1167="Crude Oil",EXP((2799/(G1173+459.6)-2.227)*LOG10(INDEX(FX_Input,T$5,G$3*$Z$5+$AA$5))-(7261/(G1173+459.6))+12.82),IF(G1167="Refined Petroleum Stock",EXP((0.7553-(413/(G1173+459.6)))*(INDEX(FX_Input,T$5,G$3*$Z$5+$AA$5-1)^0.5)*LOG10(INDEX(FX_Input,T$5,G$3*$Z$5+$AA$5))-(1.854-(1042/(G1173+459.6)))*(INDEX(FX_Input,T$5,G$3*$Z$5+$AA$5-1)^0.5)+((2416/(G1173+459.6)-2.013)*LOG10(INDEX(FX_Input,T$5,G$3*$Z$5+$AA$5)))-(8742/(G1173+459.6))+15.64),EXP(INDEX(Antoines,MATCH(G1166,Antoine_Name,0),2)-INDEX(Antoines,MATCH(G1166,Antoine_Name,0),3)/(G1173+459.6))))),0)</f>
        <v>0</v>
      </c>
      <c r="H1182" cm="1">
        <f t="array" ref="H1182">IFERROR(IF(H1167="Chemical",(10^(INDEX(Antoines,MATCH(H1166,Antoine_Name,0),2)-INDEX(Antoines,MATCH(H1166,Antoine_Name,0),3)/(INDEX(Antoines,MATCH(H1166,Antoine_Name,0),4)+(H1173-32)*5/9)))*14.7/760,IF(H1167="Crude Oil",EXP((2799/(H1173+459.6)-2.227)*LOG10(INDEX(FX_Input,U$5,H$3*$Z$5+$AA$5))-(7261/(H1173+459.6))+12.82),IF(H1167="Refined Petroleum Stock",EXP((0.7553-(413/(H1173+459.6)))*(INDEX(FX_Input,U$5,H$3*$Z$5+$AA$5-1)^0.5)*LOG10(INDEX(FX_Input,U$5,H$3*$Z$5+$AA$5))-(1.854-(1042/(H1173+459.6)))*(INDEX(FX_Input,U$5,H$3*$Z$5+$AA$5-1)^0.5)+((2416/(H1173+459.6)-2.013)*LOG10(INDEX(FX_Input,U$5,H$3*$Z$5+$AA$5)))-(8742/(H1173+459.6))+15.64),EXP(INDEX(Antoines,MATCH(H1166,Antoine_Name,0),2)-INDEX(Antoines,MATCH(H1166,Antoine_Name,0),3)/(H1173+459.6))))),0)</f>
        <v>0</v>
      </c>
      <c r="I1182" cm="1">
        <f t="array" ref="I1182">IFERROR(IF(I1167="Chemical",(10^(INDEX(Antoines,MATCH(I1166,Antoine_Name,0),2)-INDEX(Antoines,MATCH(I1166,Antoine_Name,0),3)/(INDEX(Antoines,MATCH(I1166,Antoine_Name,0),4)+(I1173-32)*5/9)))*14.7/760,IF(I1167="Crude Oil",EXP((2799/(I1173+459.6)-2.227)*LOG10(INDEX(FX_Input,V$5,I$3*$Z$5+$AA$5))-(7261/(I1173+459.6))+12.82),IF(I1167="Refined Petroleum Stock",EXP((0.7553-(413/(I1173+459.6)))*(INDEX(FX_Input,V$5,I$3*$Z$5+$AA$5-1)^0.5)*LOG10(INDEX(FX_Input,V$5,I$3*$Z$5+$AA$5))-(1.854-(1042/(I1173+459.6)))*(INDEX(FX_Input,V$5,I$3*$Z$5+$AA$5-1)^0.5)+((2416/(I1173+459.6)-2.013)*LOG10(INDEX(FX_Input,V$5,I$3*$Z$5+$AA$5)))-(8742/(I1173+459.6))+15.64),EXP(INDEX(Antoines,MATCH(I1166,Antoine_Name,0),2)-INDEX(Antoines,MATCH(I1166,Antoine_Name,0),3)/(I1173+459.6))))),0)</f>
        <v>0</v>
      </c>
      <c r="J1182" cm="1">
        <f t="array" ref="J1182">IFERROR(IF(J1167="Chemical",(10^(INDEX(Antoines,MATCH(J1166,Antoine_Name,0),2)-INDEX(Antoines,MATCH(J1166,Antoine_Name,0),3)/(INDEX(Antoines,MATCH(J1166,Antoine_Name,0),4)+(J1173-32)*5/9)))*14.7/760,IF(J1167="Crude Oil",EXP((2799/(J1173+459.6)-2.227)*LOG10(INDEX(FX_Input,W$5,J$3*$Z$5+$AA$5))-(7261/(J1173+459.6))+12.82),IF(J1167="Refined Petroleum Stock",EXP((0.7553-(413/(J1173+459.6)))*(INDEX(FX_Input,W$5,J$3*$Z$5+$AA$5-1)^0.5)*LOG10(INDEX(FX_Input,W$5,J$3*$Z$5+$AA$5))-(1.854-(1042/(J1173+459.6)))*(INDEX(FX_Input,W$5,J$3*$Z$5+$AA$5-1)^0.5)+((2416/(J1173+459.6)-2.013)*LOG10(INDEX(FX_Input,W$5,J$3*$Z$5+$AA$5)))-(8742/(J1173+459.6))+15.64),EXP(INDEX(Antoines,MATCH(J1166,Antoine_Name,0),2)-INDEX(Antoines,MATCH(J1166,Antoine_Name,0),3)/(J1173+459.6))))),0)</f>
        <v>0</v>
      </c>
      <c r="K1182" cm="1">
        <f t="array" ref="K1182">IFERROR(IF(K1167="Chemical",(10^(INDEX(Antoines,MATCH(K1166,Antoine_Name,0),2)-INDEX(Antoines,MATCH(K1166,Antoine_Name,0),3)/(INDEX(Antoines,MATCH(K1166,Antoine_Name,0),4)+(K1173-32)*5/9)))*14.7/760,IF(K1167="Crude Oil",EXP((2799/(K1173+459.6)-2.227)*LOG10(INDEX(FX_Input,X$5,K$3*$Z$5+$AA$5))-(7261/(K1173+459.6))+12.82),IF(K1167="Refined Petroleum Stock",EXP((0.7553-(413/(K1173+459.6)))*(INDEX(FX_Input,X$5,K$3*$Z$5+$AA$5-1)^0.5)*LOG10(INDEX(FX_Input,X$5,K$3*$Z$5+$AA$5))-(1.854-(1042/(K1173+459.6)))*(INDEX(FX_Input,X$5,K$3*$Z$5+$AA$5-1)^0.5)+((2416/(K1173+459.6)-2.013)*LOG10(INDEX(FX_Input,X$5,K$3*$Z$5+$AA$5)))-(8742/(K1173+459.6))+15.64),EXP(INDEX(Antoines,MATCH(K1166,Antoine_Name,0),2)-INDEX(Antoines,MATCH(K1166,Antoine_Name,0),3)/(K1173+459.6))))),0)</f>
        <v>0</v>
      </c>
      <c r="L1182" cm="1">
        <f t="array" ref="L1182">IFERROR(IF(L1167="Chemical",(10^(INDEX(Antoines,MATCH(L1166,Antoine_Name,0),2)-INDEX(Antoines,MATCH(L1166,Antoine_Name,0),3)/(INDEX(Antoines,MATCH(L1166,Antoine_Name,0),4)+(L1173-32)*5/9)))*14.7/760,IF(L1167="Crude Oil",EXP((2799/(L1173+459.6)-2.227)*LOG10(INDEX(FX_Input,Y$5,L$3*$Z$5+$AA$5))-(7261/(L1173+459.6))+12.82),IF(L1167="Refined Petroleum Stock",EXP((0.7553-(413/(L1173+459.6)))*(INDEX(FX_Input,Y$5,L$3*$Z$5+$AA$5-1)^0.5)*LOG10(INDEX(FX_Input,Y$5,L$3*$Z$5+$AA$5))-(1.854-(1042/(L1173+459.6)))*(INDEX(FX_Input,Y$5,L$3*$Z$5+$AA$5-1)^0.5)+((2416/(L1173+459.6)-2.013)*LOG10(INDEX(FX_Input,Y$5,L$3*$Z$5+$AA$5)))-(8742/(L1173+459.6))+15.64),EXP(INDEX(Antoines,MATCH(L1166,Antoine_Name,0),2)-INDEX(Antoines,MATCH(L1166,Antoine_Name,0),3)/(L1173+459.6))))),0)</f>
        <v>0</v>
      </c>
      <c r="M1182" cm="1">
        <f t="array" ref="M1182">IFERROR(IF(M1167="Chemical",(10^(INDEX(Antoines,MATCH(M1166,Antoine_Name,0),2)-INDEX(Antoines,MATCH(M1166,Antoine_Name,0),3)/(INDEX(Antoines,MATCH(M1166,Antoine_Name,0),4)+(M1173-32)*5/9)))*14.7/760,IF(M1167="Crude Oil",EXP((2799/(M1173+459.6)-2.227)*LOG10(INDEX(FX_Input,Z$5,M$3*$Z$5+$AA$5))-(7261/(M1173+459.6))+12.82),IF(M1167="Refined Petroleum Stock",EXP((0.7553-(413/(M1173+459.6)))*(INDEX(FX_Input,Z$5,M$3*$Z$5+$AA$5-1)^0.5)*LOG10(INDEX(FX_Input,Z$5,M$3*$Z$5+$AA$5))-(1.854-(1042/(M1173+459.6)))*(INDEX(FX_Input,Z$5,M$3*$Z$5+$AA$5-1)^0.5)+((2416/(M1173+459.6)-2.013)*LOG10(INDEX(FX_Input,Z$5,M$3*$Z$5+$AA$5)))-(8742/(M1173+459.6))+15.64),EXP(INDEX(Antoines,MATCH(M1166,Antoine_Name,0),2)-INDEX(Antoines,MATCH(M1166,Antoine_Name,0),3)/(M1173+459.6))))),0)</f>
        <v>0</v>
      </c>
      <c r="N1182" cm="1">
        <f t="array" ref="N1182">IFERROR(IF(N1167="Chemical",(10^(INDEX(Antoines,MATCH(N1166,Antoine_Name,0),2)-INDEX(Antoines,MATCH(N1166,Antoine_Name,0),3)/(INDEX(Antoines,MATCH(N1166,Antoine_Name,0),4)+(N1173-32)*5/9)))*14.7/760,IF(N1167="Crude Oil",EXP((2799/(N1173+459.6)-2.227)*LOG10(INDEX(FX_Input,AA$5,N$3*$Z$5+$AA$5))-(7261/(N1173+459.6))+12.82),IF(N1167="Refined Petroleum Stock",EXP((0.7553-(413/(N1173+459.6)))*(INDEX(FX_Input,AA$5,N$3*$Z$5+$AA$5-1)^0.5)*LOG10(INDEX(FX_Input,AA$5,N$3*$Z$5+$AA$5))-(1.854-(1042/(N1173+459.6)))*(INDEX(FX_Input,AA$5,N$3*$Z$5+$AA$5-1)^0.5)+((2416/(N1173+459.6)-2.013)*LOG10(INDEX(FX_Input,AA$5,N$3*$Z$5+$AA$5)))-(8742/(N1173+459.6))+15.64),EXP(INDEX(Antoines,MATCH(N1166,Antoine_Name,0),2)-INDEX(Antoines,MATCH(N1166,Antoine_Name,0),3)/(N1173+459.6))))),0)</f>
        <v>0</v>
      </c>
      <c r="O1182" cm="1">
        <f t="array" ref="O1182">IFERROR(IF(O1167="Chemical",(10^(INDEX(Antoines,MATCH(O1166,Antoine_Name,0),2)-INDEX(Antoines,MATCH(O1166,Antoine_Name,0),3)/(INDEX(Antoines,MATCH(O1166,Antoine_Name,0),4)+(O1173-32)*5/9)))*14.7/760,IF(O1167="Crude Oil",EXP((2799/(O1173+459.6)-2.227)*LOG10(INDEX(FX_Input,AB$5,O$3*$Z$5+$AA$5))-(7261/(O1173+459.6))+12.82),IF(O1167="Refined Petroleum Stock",EXP((0.7553-(413/(O1173+459.6)))*(INDEX(FX_Input,AB$5,O$3*$Z$5+$AA$5-1)^0.5)*LOG10(INDEX(FX_Input,AB$5,O$3*$Z$5+$AA$5))-(1.854-(1042/(O1173+459.6)))*(INDEX(FX_Input,AB$5,O$3*$Z$5+$AA$5-1)^0.5)+((2416/(O1173+459.6)-2.013)*LOG10(INDEX(FX_Input,AB$5,O$3*$Z$5+$AA$5)))-(8742/(O1173+459.6))+15.64),EXP(INDEX(Antoines,MATCH(O1166,Antoine_Name,0),2)-INDEX(Antoines,MATCH(O1166,Antoine_Name,0),3)/(O1173+459.6))))),0)</f>
        <v>0</v>
      </c>
    </row>
    <row r="1183" spans="2:32" ht="17.149999999999999" x14ac:dyDescent="0.55000000000000004">
      <c r="B1183" t="str">
        <f t="shared" si="4244"/>
        <v>Portland</v>
      </c>
      <c r="C1183" t="s">
        <v>582</v>
      </c>
      <c r="D1183">
        <f>D1182*D1170</f>
        <v>0</v>
      </c>
      <c r="E1183">
        <f t="shared" ref="E1183" si="4289">E1182*E1170</f>
        <v>0</v>
      </c>
      <c r="F1183">
        <f t="shared" ref="F1183" si="4290">F1182*F1170</f>
        <v>0</v>
      </c>
      <c r="G1183">
        <f t="shared" ref="G1183" si="4291">G1182*G1170</f>
        <v>0</v>
      </c>
      <c r="H1183">
        <f t="shared" ref="H1183" si="4292">H1182*H1170</f>
        <v>0</v>
      </c>
      <c r="I1183">
        <f t="shared" ref="I1183" si="4293">I1182*I1170</f>
        <v>0</v>
      </c>
      <c r="J1183">
        <f t="shared" ref="J1183" si="4294">J1182*J1170</f>
        <v>0</v>
      </c>
      <c r="K1183">
        <f t="shared" ref="K1183" si="4295">K1182*K1170</f>
        <v>0</v>
      </c>
      <c r="L1183">
        <f t="shared" ref="L1183" si="4296">L1182*L1170</f>
        <v>0</v>
      </c>
      <c r="M1183">
        <f t="shared" ref="M1183" si="4297">M1182*M1170</f>
        <v>0</v>
      </c>
      <c r="N1183">
        <f t="shared" ref="N1183" si="4298">N1182*N1170</f>
        <v>0</v>
      </c>
      <c r="O1183">
        <f t="shared" ref="O1183" si="4299">O1182*O1170</f>
        <v>0</v>
      </c>
    </row>
    <row r="1184" spans="2:32" ht="17.149999999999999" x14ac:dyDescent="0.55000000000000004">
      <c r="B1184" t="str">
        <f t="shared" si="4244"/>
        <v>Portland</v>
      </c>
      <c r="C1184" t="s">
        <v>583</v>
      </c>
      <c r="D1184">
        <f>D1181+D1183</f>
        <v>1</v>
      </c>
      <c r="E1184">
        <f t="shared" ref="E1184" si="4300">E1181+E1183</f>
        <v>1</v>
      </c>
      <c r="F1184">
        <f t="shared" ref="F1184" si="4301">F1181+F1183</f>
        <v>1</v>
      </c>
      <c r="G1184">
        <f t="shared" ref="G1184" si="4302">G1181+G1183</f>
        <v>1</v>
      </c>
      <c r="H1184">
        <f t="shared" ref="H1184" si="4303">H1181+H1183</f>
        <v>1</v>
      </c>
      <c r="I1184">
        <f t="shared" ref="I1184" si="4304">I1181+I1183</f>
        <v>1</v>
      </c>
      <c r="J1184">
        <f t="shared" ref="J1184" si="4305">J1181+J1183</f>
        <v>1</v>
      </c>
      <c r="K1184">
        <f t="shared" ref="K1184" si="4306">K1181+K1183</f>
        <v>1</v>
      </c>
      <c r="L1184">
        <f t="shared" ref="L1184" si="4307">L1181+L1183</f>
        <v>1</v>
      </c>
      <c r="M1184">
        <f t="shared" ref="M1184" si="4308">M1181+M1183</f>
        <v>1</v>
      </c>
      <c r="N1184">
        <f t="shared" ref="N1184" si="4309">N1181+N1183</f>
        <v>1</v>
      </c>
      <c r="O1184">
        <f t="shared" ref="O1184" si="4310">O1181+O1183</f>
        <v>1</v>
      </c>
    </row>
    <row r="1185" spans="1:32" ht="17.149999999999999" x14ac:dyDescent="0.55000000000000004">
      <c r="B1185" t="str">
        <f t="shared" si="4244"/>
        <v>Portland</v>
      </c>
      <c r="C1185" t="s">
        <v>1388</v>
      </c>
      <c r="D1185" cm="1">
        <f t="array" ref="D1185">IFERROR(IF(D1165="Chemical",(10^(INDEX(Antoines,MATCH(D1164,Antoine_Name,0),2)-INDEX(Antoines,MATCH(D1164,Antoine_Name,0),3)/(INDEX(Antoines,MATCH(D1164,Antoine_Name,0),4)+(D1174-32)*5/9)))*14.7/760,IF(D1165="Crude Oil",EXP((2799/(D1174+459.6)-2.227)*LOG10(INDEX(FX_Input,Q$5,D$3*$Z$5+$AA$5))-(7261/(D1174+459.6))+12.82),IF(D1165="Refined Petroleum Stock",EXP((0.7553-(413/(D1174+459.6)))*(INDEX(FX_Input,Q$5,D$3*$Z$5+$AA$5-1)^0.5)*LOG10(INDEX(FX_Input,Q$5,D$3*$Z$5+$AA$5))-(1.854-(1042/(D1174+459.6)))*(INDEX(FX_Input,Q$5,D$3*$Z$5+$AA$5-1)^0.5)+((2416/(D1174+459.6)-2.013)*LOG10(INDEX(FX_Input,Q$5,D$3*$Z$5+$AA$5)))-(8742/(D1174+459.6))+15.64),EXP(INDEX(Antoines,MATCH(D1164,Antoine_Name,0),2)-INDEX(Antoines,MATCH(D1164,Antoine_Name,0),3)/(D1174+459.6))))),0)</f>
        <v>1</v>
      </c>
      <c r="E1185" cm="1">
        <f t="array" ref="E1185">IFERROR(IF(E1165="Chemical",(10^(INDEX(Antoines,MATCH(E1164,Antoine_Name,0),2)-INDEX(Antoines,MATCH(E1164,Antoine_Name,0),3)/(INDEX(Antoines,MATCH(E1164,Antoine_Name,0),4)+(E1174-32)*5/9)))*14.7/760,IF(E1165="Crude Oil",EXP((2799/(E1174+459.6)-2.227)*LOG10(INDEX(FX_Input,R$5,E$3*$Z$5+$AA$5))-(7261/(E1174+459.6))+12.82),IF(E1165="Refined Petroleum Stock",EXP((0.7553-(413/(E1174+459.6)))*(INDEX(FX_Input,R$5,E$3*$Z$5+$AA$5-1)^0.5)*LOG10(INDEX(FX_Input,R$5,E$3*$Z$5+$AA$5))-(1.854-(1042/(E1174+459.6)))*(INDEX(FX_Input,R$5,E$3*$Z$5+$AA$5-1)^0.5)+((2416/(E1174+459.6)-2.013)*LOG10(INDEX(FX_Input,R$5,E$3*$Z$5+$AA$5)))-(8742/(E1174+459.6))+15.64),EXP(INDEX(Antoines,MATCH(E1164,Antoine_Name,0),2)-INDEX(Antoines,MATCH(E1164,Antoine_Name,0),3)/(E1174+459.6))))),0)</f>
        <v>1</v>
      </c>
      <c r="F1185" cm="1">
        <f t="array" ref="F1185">IFERROR(IF(F1165="Chemical",(10^(INDEX(Antoines,MATCH(F1164,Antoine_Name,0),2)-INDEX(Antoines,MATCH(F1164,Antoine_Name,0),3)/(INDEX(Antoines,MATCH(F1164,Antoine_Name,0),4)+(F1174-32)*5/9)))*14.7/760,IF(F1165="Crude Oil",EXP((2799/(F1174+459.6)-2.227)*LOG10(INDEX(FX_Input,S$5,F$3*$Z$5+$AA$5))-(7261/(F1174+459.6))+12.82),IF(F1165="Refined Petroleum Stock",EXP((0.7553-(413/(F1174+459.6)))*(INDEX(FX_Input,S$5,F$3*$Z$5+$AA$5-1)^0.5)*LOG10(INDEX(FX_Input,S$5,F$3*$Z$5+$AA$5))-(1.854-(1042/(F1174+459.6)))*(INDEX(FX_Input,S$5,F$3*$Z$5+$AA$5-1)^0.5)+((2416/(F1174+459.6)-2.013)*LOG10(INDEX(FX_Input,S$5,F$3*$Z$5+$AA$5)))-(8742/(F1174+459.6))+15.64),EXP(INDEX(Antoines,MATCH(F1164,Antoine_Name,0),2)-INDEX(Antoines,MATCH(F1164,Antoine_Name,0),3)/(F1174+459.6))))),0)</f>
        <v>1</v>
      </c>
      <c r="G1185" cm="1">
        <f t="array" ref="G1185">IFERROR(IF(G1165="Chemical",(10^(INDEX(Antoines,MATCH(G1164,Antoine_Name,0),2)-INDEX(Antoines,MATCH(G1164,Antoine_Name,0),3)/(INDEX(Antoines,MATCH(G1164,Antoine_Name,0),4)+(G1174-32)*5/9)))*14.7/760,IF(G1165="Crude Oil",EXP((2799/(G1174+459.6)-2.227)*LOG10(INDEX(FX_Input,T$5,G$3*$Z$5+$AA$5))-(7261/(G1174+459.6))+12.82),IF(G1165="Refined Petroleum Stock",EXP((0.7553-(413/(G1174+459.6)))*(INDEX(FX_Input,T$5,G$3*$Z$5+$AA$5-1)^0.5)*LOG10(INDEX(FX_Input,T$5,G$3*$Z$5+$AA$5))-(1.854-(1042/(G1174+459.6)))*(INDEX(FX_Input,T$5,G$3*$Z$5+$AA$5-1)^0.5)+((2416/(G1174+459.6)-2.013)*LOG10(INDEX(FX_Input,T$5,G$3*$Z$5+$AA$5)))-(8742/(G1174+459.6))+15.64),EXP(INDEX(Antoines,MATCH(G1164,Antoine_Name,0),2)-INDEX(Antoines,MATCH(G1164,Antoine_Name,0),3)/(G1174+459.6))))),0)</f>
        <v>1</v>
      </c>
      <c r="H1185" cm="1">
        <f t="array" ref="H1185">IFERROR(IF(H1165="Chemical",(10^(INDEX(Antoines,MATCH(H1164,Antoine_Name,0),2)-INDEX(Antoines,MATCH(H1164,Antoine_Name,0),3)/(INDEX(Antoines,MATCH(H1164,Antoine_Name,0),4)+(H1174-32)*5/9)))*14.7/760,IF(H1165="Crude Oil",EXP((2799/(H1174+459.6)-2.227)*LOG10(INDEX(FX_Input,U$5,H$3*$Z$5+$AA$5))-(7261/(H1174+459.6))+12.82),IF(H1165="Refined Petroleum Stock",EXP((0.7553-(413/(H1174+459.6)))*(INDEX(FX_Input,U$5,H$3*$Z$5+$AA$5-1)^0.5)*LOG10(INDEX(FX_Input,U$5,H$3*$Z$5+$AA$5))-(1.854-(1042/(H1174+459.6)))*(INDEX(FX_Input,U$5,H$3*$Z$5+$AA$5-1)^0.5)+((2416/(H1174+459.6)-2.013)*LOG10(INDEX(FX_Input,U$5,H$3*$Z$5+$AA$5)))-(8742/(H1174+459.6))+15.64),EXP(INDEX(Antoines,MATCH(H1164,Antoine_Name,0),2)-INDEX(Antoines,MATCH(H1164,Antoine_Name,0),3)/(H1174+459.6))))),0)</f>
        <v>1</v>
      </c>
      <c r="I1185" cm="1">
        <f t="array" ref="I1185">IFERROR(IF(I1165="Chemical",(10^(INDEX(Antoines,MATCH(I1164,Antoine_Name,0),2)-INDEX(Antoines,MATCH(I1164,Antoine_Name,0),3)/(INDEX(Antoines,MATCH(I1164,Antoine_Name,0),4)+(I1174-32)*5/9)))*14.7/760,IF(I1165="Crude Oil",EXP((2799/(I1174+459.6)-2.227)*LOG10(INDEX(FX_Input,V$5,I$3*$Z$5+$AA$5))-(7261/(I1174+459.6))+12.82),IF(I1165="Refined Petroleum Stock",EXP((0.7553-(413/(I1174+459.6)))*(INDEX(FX_Input,V$5,I$3*$Z$5+$AA$5-1)^0.5)*LOG10(INDEX(FX_Input,V$5,I$3*$Z$5+$AA$5))-(1.854-(1042/(I1174+459.6)))*(INDEX(FX_Input,V$5,I$3*$Z$5+$AA$5-1)^0.5)+((2416/(I1174+459.6)-2.013)*LOG10(INDEX(FX_Input,V$5,I$3*$Z$5+$AA$5)))-(8742/(I1174+459.6))+15.64),EXP(INDEX(Antoines,MATCH(I1164,Antoine_Name,0),2)-INDEX(Antoines,MATCH(I1164,Antoine_Name,0),3)/(I1174+459.6))))),0)</f>
        <v>1</v>
      </c>
      <c r="J1185" cm="1">
        <f t="array" ref="J1185">IFERROR(IF(J1165="Chemical",(10^(INDEX(Antoines,MATCH(J1164,Antoine_Name,0),2)-INDEX(Antoines,MATCH(J1164,Antoine_Name,0),3)/(INDEX(Antoines,MATCH(J1164,Antoine_Name,0),4)+(J1174-32)*5/9)))*14.7/760,IF(J1165="Crude Oil",EXP((2799/(J1174+459.6)-2.227)*LOG10(INDEX(FX_Input,W$5,J$3*$Z$5+$AA$5))-(7261/(J1174+459.6))+12.82),IF(J1165="Refined Petroleum Stock",EXP((0.7553-(413/(J1174+459.6)))*(INDEX(FX_Input,W$5,J$3*$Z$5+$AA$5-1)^0.5)*LOG10(INDEX(FX_Input,W$5,J$3*$Z$5+$AA$5))-(1.854-(1042/(J1174+459.6)))*(INDEX(FX_Input,W$5,J$3*$Z$5+$AA$5-1)^0.5)+((2416/(J1174+459.6)-2.013)*LOG10(INDEX(FX_Input,W$5,J$3*$Z$5+$AA$5)))-(8742/(J1174+459.6))+15.64),EXP(INDEX(Antoines,MATCH(J1164,Antoine_Name,0),2)-INDEX(Antoines,MATCH(J1164,Antoine_Name,0),3)/(J1174+459.6))))),0)</f>
        <v>1</v>
      </c>
      <c r="K1185" cm="1">
        <f t="array" ref="K1185">IFERROR(IF(K1165="Chemical",(10^(INDEX(Antoines,MATCH(K1164,Antoine_Name,0),2)-INDEX(Antoines,MATCH(K1164,Antoine_Name,0),3)/(INDEX(Antoines,MATCH(K1164,Antoine_Name,0),4)+(K1174-32)*5/9)))*14.7/760,IF(K1165="Crude Oil",EXP((2799/(K1174+459.6)-2.227)*LOG10(INDEX(FX_Input,X$5,K$3*$Z$5+$AA$5))-(7261/(K1174+459.6))+12.82),IF(K1165="Refined Petroleum Stock",EXP((0.7553-(413/(K1174+459.6)))*(INDEX(FX_Input,X$5,K$3*$Z$5+$AA$5-1)^0.5)*LOG10(INDEX(FX_Input,X$5,K$3*$Z$5+$AA$5))-(1.854-(1042/(K1174+459.6)))*(INDEX(FX_Input,X$5,K$3*$Z$5+$AA$5-1)^0.5)+((2416/(K1174+459.6)-2.013)*LOG10(INDEX(FX_Input,X$5,K$3*$Z$5+$AA$5)))-(8742/(K1174+459.6))+15.64),EXP(INDEX(Antoines,MATCH(K1164,Antoine_Name,0),2)-INDEX(Antoines,MATCH(K1164,Antoine_Name,0),3)/(K1174+459.6))))),0)</f>
        <v>1</v>
      </c>
      <c r="L1185" cm="1">
        <f t="array" ref="L1185">IFERROR(IF(L1165="Chemical",(10^(INDEX(Antoines,MATCH(L1164,Antoine_Name,0),2)-INDEX(Antoines,MATCH(L1164,Antoine_Name,0),3)/(INDEX(Antoines,MATCH(L1164,Antoine_Name,0),4)+(L1174-32)*5/9)))*14.7/760,IF(L1165="Crude Oil",EXP((2799/(L1174+459.6)-2.227)*LOG10(INDEX(FX_Input,Y$5,L$3*$Z$5+$AA$5))-(7261/(L1174+459.6))+12.82),IF(L1165="Refined Petroleum Stock",EXP((0.7553-(413/(L1174+459.6)))*(INDEX(FX_Input,Y$5,L$3*$Z$5+$AA$5-1)^0.5)*LOG10(INDEX(FX_Input,Y$5,L$3*$Z$5+$AA$5))-(1.854-(1042/(L1174+459.6)))*(INDEX(FX_Input,Y$5,L$3*$Z$5+$AA$5-1)^0.5)+((2416/(L1174+459.6)-2.013)*LOG10(INDEX(FX_Input,Y$5,L$3*$Z$5+$AA$5)))-(8742/(L1174+459.6))+15.64),EXP(INDEX(Antoines,MATCH(L1164,Antoine_Name,0),2)-INDEX(Antoines,MATCH(L1164,Antoine_Name,0),3)/(L1174+459.6))))),0)</f>
        <v>1</v>
      </c>
      <c r="M1185" cm="1">
        <f t="array" ref="M1185">IFERROR(IF(M1165="Chemical",(10^(INDEX(Antoines,MATCH(M1164,Antoine_Name,0),2)-INDEX(Antoines,MATCH(M1164,Antoine_Name,0),3)/(INDEX(Antoines,MATCH(M1164,Antoine_Name,0),4)+(M1174-32)*5/9)))*14.7/760,IF(M1165="Crude Oil",EXP((2799/(M1174+459.6)-2.227)*LOG10(INDEX(FX_Input,Z$5,M$3*$Z$5+$AA$5))-(7261/(M1174+459.6))+12.82),IF(M1165="Refined Petroleum Stock",EXP((0.7553-(413/(M1174+459.6)))*(INDEX(FX_Input,Z$5,M$3*$Z$5+$AA$5-1)^0.5)*LOG10(INDEX(FX_Input,Z$5,M$3*$Z$5+$AA$5))-(1.854-(1042/(M1174+459.6)))*(INDEX(FX_Input,Z$5,M$3*$Z$5+$AA$5-1)^0.5)+((2416/(M1174+459.6)-2.013)*LOG10(INDEX(FX_Input,Z$5,M$3*$Z$5+$AA$5)))-(8742/(M1174+459.6))+15.64),EXP(INDEX(Antoines,MATCH(M1164,Antoine_Name,0),2)-INDEX(Antoines,MATCH(M1164,Antoine_Name,0),3)/(M1174+459.6))))),0)</f>
        <v>1</v>
      </c>
      <c r="N1185" cm="1">
        <f t="array" ref="N1185">IFERROR(IF(N1165="Chemical",(10^(INDEX(Antoines,MATCH(N1164,Antoine_Name,0),2)-INDEX(Antoines,MATCH(N1164,Antoine_Name,0),3)/(INDEX(Antoines,MATCH(N1164,Antoine_Name,0),4)+(N1174-32)*5/9)))*14.7/760,IF(N1165="Crude Oil",EXP((2799/(N1174+459.6)-2.227)*LOG10(INDEX(FX_Input,AA$5,N$3*$Z$5+$AA$5))-(7261/(N1174+459.6))+12.82),IF(N1165="Refined Petroleum Stock",EXP((0.7553-(413/(N1174+459.6)))*(INDEX(FX_Input,AA$5,N$3*$Z$5+$AA$5-1)^0.5)*LOG10(INDEX(FX_Input,AA$5,N$3*$Z$5+$AA$5))-(1.854-(1042/(N1174+459.6)))*(INDEX(FX_Input,AA$5,N$3*$Z$5+$AA$5-1)^0.5)+((2416/(N1174+459.6)-2.013)*LOG10(INDEX(FX_Input,AA$5,N$3*$Z$5+$AA$5)))-(8742/(N1174+459.6))+15.64),EXP(INDEX(Antoines,MATCH(N1164,Antoine_Name,0),2)-INDEX(Antoines,MATCH(N1164,Antoine_Name,0),3)/(N1174+459.6))))),0)</f>
        <v>1</v>
      </c>
      <c r="O1185" cm="1">
        <f t="array" ref="O1185">IFERROR(IF(O1165="Chemical",(10^(INDEX(Antoines,MATCH(O1164,Antoine_Name,0),2)-INDEX(Antoines,MATCH(O1164,Antoine_Name,0),3)/(INDEX(Antoines,MATCH(O1164,Antoine_Name,0),4)+(O1174-32)*5/9)))*14.7/760,IF(O1165="Crude Oil",EXP((2799/(O1174+459.6)-2.227)*LOG10(INDEX(FX_Input,AB$5,O$3*$Z$5+$AA$5))-(7261/(O1174+459.6))+12.82),IF(O1165="Refined Petroleum Stock",EXP((0.7553-(413/(O1174+459.6)))*(INDEX(FX_Input,AB$5,O$3*$Z$5+$AA$5-1)^0.5)*LOG10(INDEX(FX_Input,AB$5,O$3*$Z$5+$AA$5))-(1.854-(1042/(O1174+459.6)))*(INDEX(FX_Input,AB$5,O$3*$Z$5+$AA$5-1)^0.5)+((2416/(O1174+459.6)-2.013)*LOG10(INDEX(FX_Input,AB$5,O$3*$Z$5+$AA$5)))-(8742/(O1174+459.6))+15.64),EXP(INDEX(Antoines,MATCH(O1164,Antoine_Name,0),2)-INDEX(Antoines,MATCH(O1164,Antoine_Name,0),3)/(O1174+459.6))))),0)</f>
        <v>1</v>
      </c>
    </row>
    <row r="1186" spans="1:32" ht="17.149999999999999" x14ac:dyDescent="0.55000000000000004">
      <c r="B1186" t="str">
        <f t="shared" si="4244"/>
        <v>Portland</v>
      </c>
      <c r="C1186" t="s">
        <v>1389</v>
      </c>
      <c r="D1186">
        <f>D1185*D1168</f>
        <v>1</v>
      </c>
      <c r="E1186">
        <f t="shared" ref="E1186" si="4311">E1185*E1168</f>
        <v>1</v>
      </c>
      <c r="F1186">
        <f t="shared" ref="F1186" si="4312">F1185*F1168</f>
        <v>1</v>
      </c>
      <c r="G1186">
        <f t="shared" ref="G1186" si="4313">G1185*G1168</f>
        <v>1</v>
      </c>
      <c r="H1186">
        <f t="shared" ref="H1186" si="4314">H1185*H1168</f>
        <v>1</v>
      </c>
      <c r="I1186">
        <f t="shared" ref="I1186" si="4315">I1185*I1168</f>
        <v>1</v>
      </c>
      <c r="J1186">
        <f t="shared" ref="J1186" si="4316">J1185*J1168</f>
        <v>1</v>
      </c>
      <c r="K1186">
        <f t="shared" ref="K1186" si="4317">K1185*K1168</f>
        <v>1</v>
      </c>
      <c r="L1186">
        <f t="shared" ref="L1186" si="4318">L1185*L1168</f>
        <v>1</v>
      </c>
      <c r="M1186">
        <f t="shared" ref="M1186" si="4319">M1185*M1168</f>
        <v>1</v>
      </c>
      <c r="N1186">
        <f t="shared" ref="N1186" si="4320">N1185*N1168</f>
        <v>1</v>
      </c>
      <c r="O1186">
        <f t="shared" ref="O1186" si="4321">O1185*O1168</f>
        <v>1</v>
      </c>
    </row>
    <row r="1187" spans="1:32" ht="17.149999999999999" x14ac:dyDescent="0.55000000000000004">
      <c r="B1187" t="str">
        <f t="shared" si="4244"/>
        <v>Portland</v>
      </c>
      <c r="C1187" t="s">
        <v>1390</v>
      </c>
      <c r="D1187" cm="1">
        <f t="array" ref="D1187">IFERROR(IF(D1167="Chemical",(10^(INDEX(Antoines,MATCH(D1166,Antoine_Name,0),2)-INDEX(Antoines,MATCH(D1166,Antoine_Name,0),3)/(INDEX(Antoines,MATCH(D1166,Antoine_Name,0),4)+(D1174-32)*5/9)))*14.7/760,IF(D1167="Crude Oil",EXP((2799/(D1174+459.6)-2.227)*LOG10(INDEX(FX_Input,Q$5,D$3*$Z$5+$AA$5))-(7261/(D1174+459.6))+12.82),IF(D1167="Refined Petroleum Stock",EXP((0.7553-(413/(D1174+459.6)))*(INDEX(FX_Input,Q$5,D$3*$Z$5+$AA$5-1)^0.5)*LOG10(INDEX(FX_Input,Q$5,D$3*$Z$5+$AA$5))-(1.854-(1042/(D1174+459.6)))*(INDEX(FX_Input,Q$5,D$3*$Z$5+$AA$5-1)^0.5)+((2416/(D1174+459.6)-2.013)*LOG10(INDEX(FX_Input,Q$5,D$3*$Z$5+$AA$5)))-(8742/(D1174+459.6))+15.64),EXP(INDEX(Antoines,MATCH(D1166,Antoine_Name,0),2)-INDEX(Antoines,MATCH(D1166,Antoine_Name,0),3)/(D1174+459.6))))),0)</f>
        <v>0</v>
      </c>
      <c r="E1187" cm="1">
        <f t="array" ref="E1187">IFERROR(IF(E1167="Chemical",(10^(INDEX(Antoines,MATCH(E1166,Antoine_Name,0),2)-INDEX(Antoines,MATCH(E1166,Antoine_Name,0),3)/(INDEX(Antoines,MATCH(E1166,Antoine_Name,0),4)+(E1174-32)*5/9)))*14.7/760,IF(E1167="Crude Oil",EXP((2799/(E1174+459.6)-2.227)*LOG10(INDEX(FX_Input,R$5,E$3*$Z$5+$AA$5))-(7261/(E1174+459.6))+12.82),IF(E1167="Refined Petroleum Stock",EXP((0.7553-(413/(E1174+459.6)))*(INDEX(FX_Input,R$5,E$3*$Z$5+$AA$5-1)^0.5)*LOG10(INDEX(FX_Input,R$5,E$3*$Z$5+$AA$5))-(1.854-(1042/(E1174+459.6)))*(INDEX(FX_Input,R$5,E$3*$Z$5+$AA$5-1)^0.5)+((2416/(E1174+459.6)-2.013)*LOG10(INDEX(FX_Input,R$5,E$3*$Z$5+$AA$5)))-(8742/(E1174+459.6))+15.64),EXP(INDEX(Antoines,MATCH(E1166,Antoine_Name,0),2)-INDEX(Antoines,MATCH(E1166,Antoine_Name,0),3)/(E1174+459.6))))),0)</f>
        <v>0</v>
      </c>
      <c r="F1187" cm="1">
        <f t="array" ref="F1187">IFERROR(IF(F1167="Chemical",(10^(INDEX(Antoines,MATCH(F1166,Antoine_Name,0),2)-INDEX(Antoines,MATCH(F1166,Antoine_Name,0),3)/(INDEX(Antoines,MATCH(F1166,Antoine_Name,0),4)+(F1174-32)*5/9)))*14.7/760,IF(F1167="Crude Oil",EXP((2799/(F1174+459.6)-2.227)*LOG10(INDEX(FX_Input,S$5,F$3*$Z$5+$AA$5))-(7261/(F1174+459.6))+12.82),IF(F1167="Refined Petroleum Stock",EXP((0.7553-(413/(F1174+459.6)))*(INDEX(FX_Input,S$5,F$3*$Z$5+$AA$5-1)^0.5)*LOG10(INDEX(FX_Input,S$5,F$3*$Z$5+$AA$5))-(1.854-(1042/(F1174+459.6)))*(INDEX(FX_Input,S$5,F$3*$Z$5+$AA$5-1)^0.5)+((2416/(F1174+459.6)-2.013)*LOG10(INDEX(FX_Input,S$5,F$3*$Z$5+$AA$5)))-(8742/(F1174+459.6))+15.64),EXP(INDEX(Antoines,MATCH(F1166,Antoine_Name,0),2)-INDEX(Antoines,MATCH(F1166,Antoine_Name,0),3)/(F1174+459.6))))),0)</f>
        <v>0</v>
      </c>
      <c r="G1187" cm="1">
        <f t="array" ref="G1187">IFERROR(IF(G1167="Chemical",(10^(INDEX(Antoines,MATCH(G1166,Antoine_Name,0),2)-INDEX(Antoines,MATCH(G1166,Antoine_Name,0),3)/(INDEX(Antoines,MATCH(G1166,Antoine_Name,0),4)+(G1174-32)*5/9)))*14.7/760,IF(G1167="Crude Oil",EXP((2799/(G1174+459.6)-2.227)*LOG10(INDEX(FX_Input,T$5,G$3*$Z$5+$AA$5))-(7261/(G1174+459.6))+12.82),IF(G1167="Refined Petroleum Stock",EXP((0.7553-(413/(G1174+459.6)))*(INDEX(FX_Input,T$5,G$3*$Z$5+$AA$5-1)^0.5)*LOG10(INDEX(FX_Input,T$5,G$3*$Z$5+$AA$5))-(1.854-(1042/(G1174+459.6)))*(INDEX(FX_Input,T$5,G$3*$Z$5+$AA$5-1)^0.5)+((2416/(G1174+459.6)-2.013)*LOG10(INDEX(FX_Input,T$5,G$3*$Z$5+$AA$5)))-(8742/(G1174+459.6))+15.64),EXP(INDEX(Antoines,MATCH(G1166,Antoine_Name,0),2)-INDEX(Antoines,MATCH(G1166,Antoine_Name,0),3)/(G1174+459.6))))),0)</f>
        <v>0</v>
      </c>
      <c r="H1187" cm="1">
        <f t="array" ref="H1187">IFERROR(IF(H1167="Chemical",(10^(INDEX(Antoines,MATCH(H1166,Antoine_Name,0),2)-INDEX(Antoines,MATCH(H1166,Antoine_Name,0),3)/(INDEX(Antoines,MATCH(H1166,Antoine_Name,0),4)+(H1174-32)*5/9)))*14.7/760,IF(H1167="Crude Oil",EXP((2799/(H1174+459.6)-2.227)*LOG10(INDEX(FX_Input,U$5,H$3*$Z$5+$AA$5))-(7261/(H1174+459.6))+12.82),IF(H1167="Refined Petroleum Stock",EXP((0.7553-(413/(H1174+459.6)))*(INDEX(FX_Input,U$5,H$3*$Z$5+$AA$5-1)^0.5)*LOG10(INDEX(FX_Input,U$5,H$3*$Z$5+$AA$5))-(1.854-(1042/(H1174+459.6)))*(INDEX(FX_Input,U$5,H$3*$Z$5+$AA$5-1)^0.5)+((2416/(H1174+459.6)-2.013)*LOG10(INDEX(FX_Input,U$5,H$3*$Z$5+$AA$5)))-(8742/(H1174+459.6))+15.64),EXP(INDEX(Antoines,MATCH(H1166,Antoine_Name,0),2)-INDEX(Antoines,MATCH(H1166,Antoine_Name,0),3)/(H1174+459.6))))),0)</f>
        <v>0</v>
      </c>
      <c r="I1187" cm="1">
        <f t="array" ref="I1187">IFERROR(IF(I1167="Chemical",(10^(INDEX(Antoines,MATCH(I1166,Antoine_Name,0),2)-INDEX(Antoines,MATCH(I1166,Antoine_Name,0),3)/(INDEX(Antoines,MATCH(I1166,Antoine_Name,0),4)+(I1174-32)*5/9)))*14.7/760,IF(I1167="Crude Oil",EXP((2799/(I1174+459.6)-2.227)*LOG10(INDEX(FX_Input,V$5,I$3*$Z$5+$AA$5))-(7261/(I1174+459.6))+12.82),IF(I1167="Refined Petroleum Stock",EXP((0.7553-(413/(I1174+459.6)))*(INDEX(FX_Input,V$5,I$3*$Z$5+$AA$5-1)^0.5)*LOG10(INDEX(FX_Input,V$5,I$3*$Z$5+$AA$5))-(1.854-(1042/(I1174+459.6)))*(INDEX(FX_Input,V$5,I$3*$Z$5+$AA$5-1)^0.5)+((2416/(I1174+459.6)-2.013)*LOG10(INDEX(FX_Input,V$5,I$3*$Z$5+$AA$5)))-(8742/(I1174+459.6))+15.64),EXP(INDEX(Antoines,MATCH(I1166,Antoine_Name,0),2)-INDEX(Antoines,MATCH(I1166,Antoine_Name,0),3)/(I1174+459.6))))),0)</f>
        <v>0</v>
      </c>
      <c r="J1187" cm="1">
        <f t="array" ref="J1187">IFERROR(IF(J1167="Chemical",(10^(INDEX(Antoines,MATCH(J1166,Antoine_Name,0),2)-INDEX(Antoines,MATCH(J1166,Antoine_Name,0),3)/(INDEX(Antoines,MATCH(J1166,Antoine_Name,0),4)+(J1174-32)*5/9)))*14.7/760,IF(J1167="Crude Oil",EXP((2799/(J1174+459.6)-2.227)*LOG10(INDEX(FX_Input,W$5,J$3*$Z$5+$AA$5))-(7261/(J1174+459.6))+12.82),IF(J1167="Refined Petroleum Stock",EXP((0.7553-(413/(J1174+459.6)))*(INDEX(FX_Input,W$5,J$3*$Z$5+$AA$5-1)^0.5)*LOG10(INDEX(FX_Input,W$5,J$3*$Z$5+$AA$5))-(1.854-(1042/(J1174+459.6)))*(INDEX(FX_Input,W$5,J$3*$Z$5+$AA$5-1)^0.5)+((2416/(J1174+459.6)-2.013)*LOG10(INDEX(FX_Input,W$5,J$3*$Z$5+$AA$5)))-(8742/(J1174+459.6))+15.64),EXP(INDEX(Antoines,MATCH(J1166,Antoine_Name,0),2)-INDEX(Antoines,MATCH(J1166,Antoine_Name,0),3)/(J1174+459.6))))),0)</f>
        <v>0</v>
      </c>
      <c r="K1187" cm="1">
        <f t="array" ref="K1187">IFERROR(IF(K1167="Chemical",(10^(INDEX(Antoines,MATCH(K1166,Antoine_Name,0),2)-INDEX(Antoines,MATCH(K1166,Antoine_Name,0),3)/(INDEX(Antoines,MATCH(K1166,Antoine_Name,0),4)+(K1174-32)*5/9)))*14.7/760,IF(K1167="Crude Oil",EXP((2799/(K1174+459.6)-2.227)*LOG10(INDEX(FX_Input,X$5,K$3*$Z$5+$AA$5))-(7261/(K1174+459.6))+12.82),IF(K1167="Refined Petroleum Stock",EXP((0.7553-(413/(K1174+459.6)))*(INDEX(FX_Input,X$5,K$3*$Z$5+$AA$5-1)^0.5)*LOG10(INDEX(FX_Input,X$5,K$3*$Z$5+$AA$5))-(1.854-(1042/(K1174+459.6)))*(INDEX(FX_Input,X$5,K$3*$Z$5+$AA$5-1)^0.5)+((2416/(K1174+459.6)-2.013)*LOG10(INDEX(FX_Input,X$5,K$3*$Z$5+$AA$5)))-(8742/(K1174+459.6))+15.64),EXP(INDEX(Antoines,MATCH(K1166,Antoine_Name,0),2)-INDEX(Antoines,MATCH(K1166,Antoine_Name,0),3)/(K1174+459.6))))),0)</f>
        <v>0</v>
      </c>
      <c r="L1187" cm="1">
        <f t="array" ref="L1187">IFERROR(IF(L1167="Chemical",(10^(INDEX(Antoines,MATCH(L1166,Antoine_Name,0),2)-INDEX(Antoines,MATCH(L1166,Antoine_Name,0),3)/(INDEX(Antoines,MATCH(L1166,Antoine_Name,0),4)+(L1174-32)*5/9)))*14.7/760,IF(L1167="Crude Oil",EXP((2799/(L1174+459.6)-2.227)*LOG10(INDEX(FX_Input,Y$5,L$3*$Z$5+$AA$5))-(7261/(L1174+459.6))+12.82),IF(L1167="Refined Petroleum Stock",EXP((0.7553-(413/(L1174+459.6)))*(INDEX(FX_Input,Y$5,L$3*$Z$5+$AA$5-1)^0.5)*LOG10(INDEX(FX_Input,Y$5,L$3*$Z$5+$AA$5))-(1.854-(1042/(L1174+459.6)))*(INDEX(FX_Input,Y$5,L$3*$Z$5+$AA$5-1)^0.5)+((2416/(L1174+459.6)-2.013)*LOG10(INDEX(FX_Input,Y$5,L$3*$Z$5+$AA$5)))-(8742/(L1174+459.6))+15.64),EXP(INDEX(Antoines,MATCH(L1166,Antoine_Name,0),2)-INDEX(Antoines,MATCH(L1166,Antoine_Name,0),3)/(L1174+459.6))))),0)</f>
        <v>0</v>
      </c>
      <c r="M1187" cm="1">
        <f t="array" ref="M1187">IFERROR(IF(M1167="Chemical",(10^(INDEX(Antoines,MATCH(M1166,Antoine_Name,0),2)-INDEX(Antoines,MATCH(M1166,Antoine_Name,0),3)/(INDEX(Antoines,MATCH(M1166,Antoine_Name,0),4)+(M1174-32)*5/9)))*14.7/760,IF(M1167="Crude Oil",EXP((2799/(M1174+459.6)-2.227)*LOG10(INDEX(FX_Input,Z$5,M$3*$Z$5+$AA$5))-(7261/(M1174+459.6))+12.82),IF(M1167="Refined Petroleum Stock",EXP((0.7553-(413/(M1174+459.6)))*(INDEX(FX_Input,Z$5,M$3*$Z$5+$AA$5-1)^0.5)*LOG10(INDEX(FX_Input,Z$5,M$3*$Z$5+$AA$5))-(1.854-(1042/(M1174+459.6)))*(INDEX(FX_Input,Z$5,M$3*$Z$5+$AA$5-1)^0.5)+((2416/(M1174+459.6)-2.013)*LOG10(INDEX(FX_Input,Z$5,M$3*$Z$5+$AA$5)))-(8742/(M1174+459.6))+15.64),EXP(INDEX(Antoines,MATCH(M1166,Antoine_Name,0),2)-INDEX(Antoines,MATCH(M1166,Antoine_Name,0),3)/(M1174+459.6))))),0)</f>
        <v>0</v>
      </c>
      <c r="N1187" cm="1">
        <f t="array" ref="N1187">IFERROR(IF(N1167="Chemical",(10^(INDEX(Antoines,MATCH(N1166,Antoine_Name,0),2)-INDEX(Antoines,MATCH(N1166,Antoine_Name,0),3)/(INDEX(Antoines,MATCH(N1166,Antoine_Name,0),4)+(N1174-32)*5/9)))*14.7/760,IF(N1167="Crude Oil",EXP((2799/(N1174+459.6)-2.227)*LOG10(INDEX(FX_Input,AA$5,N$3*$Z$5+$AA$5))-(7261/(N1174+459.6))+12.82),IF(N1167="Refined Petroleum Stock",EXP((0.7553-(413/(N1174+459.6)))*(INDEX(FX_Input,AA$5,N$3*$Z$5+$AA$5-1)^0.5)*LOG10(INDEX(FX_Input,AA$5,N$3*$Z$5+$AA$5))-(1.854-(1042/(N1174+459.6)))*(INDEX(FX_Input,AA$5,N$3*$Z$5+$AA$5-1)^0.5)+((2416/(N1174+459.6)-2.013)*LOG10(INDEX(FX_Input,AA$5,N$3*$Z$5+$AA$5)))-(8742/(N1174+459.6))+15.64),EXP(INDEX(Antoines,MATCH(N1166,Antoine_Name,0),2)-INDEX(Antoines,MATCH(N1166,Antoine_Name,0),3)/(N1174+459.6))))),0)</f>
        <v>0</v>
      </c>
      <c r="O1187" cm="1">
        <f t="array" ref="O1187">IFERROR(IF(O1167="Chemical",(10^(INDEX(Antoines,MATCH(O1166,Antoine_Name,0),2)-INDEX(Antoines,MATCH(O1166,Antoine_Name,0),3)/(INDEX(Antoines,MATCH(O1166,Antoine_Name,0),4)+(O1174-32)*5/9)))*14.7/760,IF(O1167="Crude Oil",EXP((2799/(O1174+459.6)-2.227)*LOG10(INDEX(FX_Input,AB$5,O$3*$Z$5+$AA$5))-(7261/(O1174+459.6))+12.82),IF(O1167="Refined Petroleum Stock",EXP((0.7553-(413/(O1174+459.6)))*(INDEX(FX_Input,AB$5,O$3*$Z$5+$AA$5-1)^0.5)*LOG10(INDEX(FX_Input,AB$5,O$3*$Z$5+$AA$5))-(1.854-(1042/(O1174+459.6)))*(INDEX(FX_Input,AB$5,O$3*$Z$5+$AA$5-1)^0.5)+((2416/(O1174+459.6)-2.013)*LOG10(INDEX(FX_Input,AB$5,O$3*$Z$5+$AA$5)))-(8742/(O1174+459.6))+15.64),EXP(INDEX(Antoines,MATCH(O1166,Antoine_Name,0),2)-INDEX(Antoines,MATCH(O1166,Antoine_Name,0),3)/(O1174+459.6))))),0)</f>
        <v>0</v>
      </c>
    </row>
    <row r="1188" spans="1:32" ht="17.149999999999999" x14ac:dyDescent="0.55000000000000004">
      <c r="B1188" t="str">
        <f t="shared" si="4244"/>
        <v>Portland</v>
      </c>
      <c r="C1188" t="s">
        <v>1391</v>
      </c>
      <c r="D1188">
        <f>D1187*D1170</f>
        <v>0</v>
      </c>
      <c r="E1188">
        <f t="shared" ref="E1188" si="4322">E1187*E1170</f>
        <v>0</v>
      </c>
      <c r="F1188">
        <f t="shared" ref="F1188" si="4323">F1187*F1170</f>
        <v>0</v>
      </c>
      <c r="G1188">
        <f t="shared" ref="G1188" si="4324">G1187*G1170</f>
        <v>0</v>
      </c>
      <c r="H1188">
        <f t="shared" ref="H1188" si="4325">H1187*H1170</f>
        <v>0</v>
      </c>
      <c r="I1188">
        <f t="shared" ref="I1188" si="4326">I1187*I1170</f>
        <v>0</v>
      </c>
      <c r="J1188">
        <f t="shared" ref="J1188" si="4327">J1187*J1170</f>
        <v>0</v>
      </c>
      <c r="K1188">
        <f t="shared" ref="K1188" si="4328">K1187*K1170</f>
        <v>0</v>
      </c>
      <c r="L1188">
        <f t="shared" ref="L1188" si="4329">L1187*L1170</f>
        <v>0</v>
      </c>
      <c r="M1188">
        <f t="shared" ref="M1188" si="4330">M1187*M1170</f>
        <v>0</v>
      </c>
      <c r="N1188">
        <f t="shared" ref="N1188" si="4331">N1187*N1170</f>
        <v>0</v>
      </c>
      <c r="O1188">
        <f t="shared" ref="O1188" si="4332">O1187*O1170</f>
        <v>0</v>
      </c>
    </row>
    <row r="1189" spans="1:32" ht="17.149999999999999" x14ac:dyDescent="0.55000000000000004">
      <c r="B1189" t="str">
        <f t="shared" si="4244"/>
        <v>Portland</v>
      </c>
      <c r="C1189" t="s">
        <v>1392</v>
      </c>
      <c r="D1189">
        <f>D1186+D1188</f>
        <v>1</v>
      </c>
      <c r="E1189">
        <f t="shared" ref="E1189" si="4333">E1186+E1188</f>
        <v>1</v>
      </c>
      <c r="F1189">
        <f t="shared" ref="F1189" si="4334">F1186+F1188</f>
        <v>1</v>
      </c>
      <c r="G1189">
        <f t="shared" ref="G1189" si="4335">G1186+G1188</f>
        <v>1</v>
      </c>
      <c r="H1189">
        <f t="shared" ref="H1189" si="4336">H1186+H1188</f>
        <v>1</v>
      </c>
      <c r="I1189">
        <f t="shared" ref="I1189" si="4337">I1186+I1188</f>
        <v>1</v>
      </c>
      <c r="J1189">
        <f t="shared" ref="J1189" si="4338">J1186+J1188</f>
        <v>1</v>
      </c>
      <c r="K1189">
        <f t="shared" ref="K1189" si="4339">K1186+K1188</f>
        <v>1</v>
      </c>
      <c r="L1189">
        <f t="shared" ref="L1189" si="4340">L1186+L1188</f>
        <v>1</v>
      </c>
      <c r="M1189">
        <f t="shared" ref="M1189" si="4341">M1186+M1188</f>
        <v>1</v>
      </c>
      <c r="N1189">
        <f t="shared" ref="N1189" si="4342">N1186+N1188</f>
        <v>1</v>
      </c>
      <c r="O1189">
        <f t="shared" ref="O1189" si="4343">O1186+O1188</f>
        <v>1</v>
      </c>
    </row>
    <row r="1190" spans="1:32" ht="17.149999999999999" x14ac:dyDescent="0.55000000000000004">
      <c r="B1190" t="str">
        <f>B1184</f>
        <v>Portland</v>
      </c>
      <c r="C1190" t="s">
        <v>584</v>
      </c>
      <c r="D1190">
        <f>D1186/D1189</f>
        <v>1</v>
      </c>
      <c r="E1190">
        <f t="shared" ref="E1190" si="4344">E1186/E1189</f>
        <v>1</v>
      </c>
      <c r="F1190">
        <f t="shared" ref="F1190" si="4345">F1186/F1189</f>
        <v>1</v>
      </c>
      <c r="G1190">
        <f t="shared" ref="G1190" si="4346">G1186/G1189</f>
        <v>1</v>
      </c>
      <c r="H1190">
        <f t="shared" ref="H1190" si="4347">H1186/H1189</f>
        <v>1</v>
      </c>
      <c r="I1190">
        <f t="shared" ref="I1190" si="4348">I1186/I1189</f>
        <v>1</v>
      </c>
      <c r="J1190">
        <f t="shared" ref="J1190" si="4349">J1186/J1189</f>
        <v>1</v>
      </c>
      <c r="K1190">
        <f t="shared" ref="K1190" si="4350">K1186/K1189</f>
        <v>1</v>
      </c>
      <c r="L1190">
        <f t="shared" ref="L1190" si="4351">L1186/L1189</f>
        <v>1</v>
      </c>
      <c r="M1190">
        <f t="shared" ref="M1190" si="4352">M1186/M1189</f>
        <v>1</v>
      </c>
      <c r="N1190">
        <f t="shared" ref="N1190" si="4353">N1186/N1189</f>
        <v>1</v>
      </c>
      <c r="O1190">
        <f t="shared" ref="O1190" si="4354">O1186/O1189</f>
        <v>1</v>
      </c>
    </row>
    <row r="1191" spans="1:32" ht="17.149999999999999" x14ac:dyDescent="0.55000000000000004">
      <c r="B1191" t="str">
        <f>B1185</f>
        <v>Portland</v>
      </c>
      <c r="C1191" t="s">
        <v>585</v>
      </c>
      <c r="D1191" t="str">
        <f t="shared" ref="D1191:O1191" si="4355">INDEX(Phys_Prop,MATCH(D1164,Chem_List,0),3)</f>
        <v>N/A</v>
      </c>
      <c r="E1191" t="str">
        <f t="shared" si="4355"/>
        <v>N/A</v>
      </c>
      <c r="F1191" t="str">
        <f t="shared" si="4355"/>
        <v>N/A</v>
      </c>
      <c r="G1191" t="str">
        <f t="shared" si="4355"/>
        <v>N/A</v>
      </c>
      <c r="H1191" t="str">
        <f t="shared" si="4355"/>
        <v>N/A</v>
      </c>
      <c r="I1191" t="str">
        <f t="shared" si="4355"/>
        <v>N/A</v>
      </c>
      <c r="J1191" t="str">
        <f t="shared" si="4355"/>
        <v>N/A</v>
      </c>
      <c r="K1191" t="str">
        <f t="shared" si="4355"/>
        <v>N/A</v>
      </c>
      <c r="L1191" t="str">
        <f t="shared" si="4355"/>
        <v>N/A</v>
      </c>
      <c r="M1191" t="str">
        <f t="shared" si="4355"/>
        <v>N/A</v>
      </c>
      <c r="N1191" t="str">
        <f t="shared" si="4355"/>
        <v>N/A</v>
      </c>
      <c r="O1191" t="str">
        <f t="shared" si="4355"/>
        <v>N/A</v>
      </c>
    </row>
    <row r="1192" spans="1:32" ht="17.149999999999999" x14ac:dyDescent="0.55000000000000004">
      <c r="B1192" t="str">
        <f>B1191</f>
        <v>Portland</v>
      </c>
      <c r="C1192" t="s">
        <v>586</v>
      </c>
      <c r="D1192">
        <f>D1188/D1189</f>
        <v>0</v>
      </c>
      <c r="E1192">
        <f t="shared" ref="E1192:O1192" si="4356">E1188/E1189</f>
        <v>0</v>
      </c>
      <c r="F1192">
        <f t="shared" si="4356"/>
        <v>0</v>
      </c>
      <c r="G1192">
        <f t="shared" si="4356"/>
        <v>0</v>
      </c>
      <c r="H1192">
        <f t="shared" si="4356"/>
        <v>0</v>
      </c>
      <c r="I1192">
        <f t="shared" si="4356"/>
        <v>0</v>
      </c>
      <c r="J1192">
        <f t="shared" si="4356"/>
        <v>0</v>
      </c>
      <c r="K1192">
        <f t="shared" si="4356"/>
        <v>0</v>
      </c>
      <c r="L1192">
        <f t="shared" si="4356"/>
        <v>0</v>
      </c>
      <c r="M1192">
        <f t="shared" si="4356"/>
        <v>0</v>
      </c>
      <c r="N1192">
        <f t="shared" si="4356"/>
        <v>0</v>
      </c>
      <c r="O1192">
        <f t="shared" si="4356"/>
        <v>0</v>
      </c>
    </row>
    <row r="1193" spans="1:32" ht="17.149999999999999" x14ac:dyDescent="0.55000000000000004">
      <c r="B1193" t="str">
        <f t="shared" si="4244"/>
        <v>Portland</v>
      </c>
      <c r="C1193" t="s">
        <v>587</v>
      </c>
      <c r="D1193">
        <f t="shared" ref="D1193:O1193" si="4357">IFERROR(INDEX(Phys_Prop,MATCH(D1166,Chem_List,0),3),0)</f>
        <v>0</v>
      </c>
      <c r="E1193">
        <f t="shared" si="4357"/>
        <v>0</v>
      </c>
      <c r="F1193">
        <f t="shared" si="4357"/>
        <v>0</v>
      </c>
      <c r="G1193">
        <f t="shared" si="4357"/>
        <v>0</v>
      </c>
      <c r="H1193">
        <f t="shared" si="4357"/>
        <v>0</v>
      </c>
      <c r="I1193">
        <f t="shared" si="4357"/>
        <v>0</v>
      </c>
      <c r="J1193">
        <f t="shared" si="4357"/>
        <v>0</v>
      </c>
      <c r="K1193">
        <f t="shared" si="4357"/>
        <v>0</v>
      </c>
      <c r="L1193">
        <f t="shared" si="4357"/>
        <v>0</v>
      </c>
      <c r="M1193">
        <f t="shared" si="4357"/>
        <v>0</v>
      </c>
      <c r="N1193">
        <f t="shared" si="4357"/>
        <v>0</v>
      </c>
      <c r="O1193">
        <f t="shared" si="4357"/>
        <v>0</v>
      </c>
    </row>
    <row r="1194" spans="1:32" ht="17.149999999999999" x14ac:dyDescent="0.55000000000000004">
      <c r="A1194" s="11"/>
      <c r="B1194" s="11" t="str">
        <f t="shared" si="4244"/>
        <v>Portland</v>
      </c>
      <c r="C1194" s="11" t="s">
        <v>588</v>
      </c>
      <c r="D1194" s="11">
        <f>IFERROR(D1190*D1191+D1192*D1193,0)</f>
        <v>0</v>
      </c>
      <c r="E1194" s="11">
        <f t="shared" ref="E1194" si="4358">IFERROR(E1190*E1191+E1192*E1193,0)</f>
        <v>0</v>
      </c>
      <c r="F1194" s="11">
        <f t="shared" ref="F1194" si="4359">IFERROR(F1190*F1191+F1192*F1193,0)</f>
        <v>0</v>
      </c>
      <c r="G1194" s="11">
        <f t="shared" ref="G1194" si="4360">IFERROR(G1190*G1191+G1192*G1193,0)</f>
        <v>0</v>
      </c>
      <c r="H1194" s="11">
        <f t="shared" ref="H1194" si="4361">IFERROR(H1190*H1191+H1192*H1193,0)</f>
        <v>0</v>
      </c>
      <c r="I1194" s="11">
        <f t="shared" ref="I1194" si="4362">IFERROR(I1190*I1191+I1192*I1193,0)</f>
        <v>0</v>
      </c>
      <c r="J1194" s="11">
        <f t="shared" ref="J1194" si="4363">IFERROR(J1190*J1191+J1192*J1193,0)</f>
        <v>0</v>
      </c>
      <c r="K1194" s="11">
        <f t="shared" ref="K1194" si="4364">IFERROR(K1190*K1191+K1192*K1193,0)</f>
        <v>0</v>
      </c>
      <c r="L1194" s="11">
        <f t="shared" ref="L1194" si="4365">IFERROR(L1190*L1191+L1192*L1193,0)</f>
        <v>0</v>
      </c>
      <c r="M1194" s="11">
        <f t="shared" ref="M1194" si="4366">IFERROR(M1190*M1191+M1192*M1193,0)</f>
        <v>0</v>
      </c>
      <c r="N1194" s="11">
        <f t="shared" ref="N1194" si="4367">IFERROR(N1190*N1191+N1192*N1193,0)</f>
        <v>0</v>
      </c>
      <c r="O1194" s="11">
        <f t="shared" ref="O1194" si="4368">IFERROR(O1190*O1191+O1192*O1193,0)</f>
        <v>0</v>
      </c>
      <c r="P1194" s="11"/>
      <c r="Q1194" s="11"/>
      <c r="R1194" s="11"/>
      <c r="S1194" s="11"/>
      <c r="T1194" s="11"/>
      <c r="U1194" s="11"/>
      <c r="V1194" s="11"/>
      <c r="W1194" s="11"/>
      <c r="X1194" s="11"/>
      <c r="Y1194" s="11"/>
      <c r="Z1194" s="11"/>
      <c r="AA1194" s="11"/>
      <c r="AB1194" s="11"/>
      <c r="AC1194" s="11"/>
      <c r="AD1194" s="11"/>
      <c r="AE1194" s="11"/>
      <c r="AF1194" s="11"/>
    </row>
    <row r="1195" spans="1:32" ht="17.149999999999999" x14ac:dyDescent="0.55000000000000004">
      <c r="A1195" t="str" cm="1">
        <f t="array" ref="A1195">INDEX(FX_Input,$Q1195,R$5)</f>
        <v>FX - 36</v>
      </c>
      <c r="B1195" t="str" cm="1">
        <f t="array" ref="B1195">INDEX(FX_Input,Q1195,S1195)</f>
        <v>Portland</v>
      </c>
      <c r="C1195" t="s">
        <v>563</v>
      </c>
      <c r="D1195">
        <v>14.7</v>
      </c>
      <c r="E1195">
        <v>14.7</v>
      </c>
      <c r="F1195">
        <v>14.7</v>
      </c>
      <c r="G1195">
        <v>14.7</v>
      </c>
      <c r="H1195">
        <v>14.7</v>
      </c>
      <c r="I1195">
        <v>14.7</v>
      </c>
      <c r="J1195">
        <v>14.7</v>
      </c>
      <c r="K1195">
        <v>14.7</v>
      </c>
      <c r="L1195">
        <v>14.7</v>
      </c>
      <c r="M1195">
        <v>14.7</v>
      </c>
      <c r="N1195">
        <v>14.7</v>
      </c>
      <c r="O1195">
        <v>14.7</v>
      </c>
      <c r="Q1195">
        <f>Q1161+2</f>
        <v>71</v>
      </c>
      <c r="R1195">
        <v>1</v>
      </c>
      <c r="S1195">
        <v>3</v>
      </c>
      <c r="T1195">
        <v>1</v>
      </c>
      <c r="U1195">
        <v>19</v>
      </c>
      <c r="V1195">
        <v>20</v>
      </c>
      <c r="W1195">
        <v>25</v>
      </c>
      <c r="X1195">
        <v>1</v>
      </c>
      <c r="Y1195">
        <v>2</v>
      </c>
      <c r="Z1195">
        <f>(W1195-V1195)/(Y1195-X1195)</f>
        <v>5</v>
      </c>
      <c r="AA1195">
        <f>V1195-Z1195*X1195</f>
        <v>15</v>
      </c>
      <c r="AD1195">
        <f>AD1161+14</f>
        <v>491</v>
      </c>
      <c r="AF1195">
        <f>AF1161+14</f>
        <v>491</v>
      </c>
    </row>
    <row r="1196" spans="1:32" ht="17.149999999999999" x14ac:dyDescent="0.55000000000000004">
      <c r="B1196" t="str">
        <f t="shared" ref="B1196" si="4369">B1195</f>
        <v>Portland</v>
      </c>
      <c r="C1196" t="s">
        <v>564</v>
      </c>
      <c r="D1196" cm="1">
        <f t="array" ref="D1196">IF(ISBLANK(INDEX(FX_Input,$Q1195,$AB1196)),0.03,INDEX(FX_Input,Q1195,AB1196))</f>
        <v>0.03</v>
      </c>
      <c r="E1196" cm="1">
        <f t="array" ref="E1196">IF(ISBLANK(INDEX(FX_Input,$Q1195,$AB1196)),0.03,INDEX(FX_Input,R1195,#REF!))</f>
        <v>0.03</v>
      </c>
      <c r="F1196" cm="1">
        <f t="array" ref="F1196">IF(ISBLANK(INDEX(FX_Input,$Q1195,$AB1196)),0.03,INDEX(FX_Input,S1195,#REF!))</f>
        <v>0.03</v>
      </c>
      <c r="G1196" cm="1">
        <f t="array" ref="G1196">IF(ISBLANK(INDEX(FX_Input,$Q1195,$AB1196)),0.03,INDEX(FX_Input,AB1195,#REF!))</f>
        <v>0.03</v>
      </c>
      <c r="H1196" cm="1">
        <f t="array" ref="H1196">IF(ISBLANK(INDEX(FX_Input,$Q1195,$AB1196)),0.03,INDEX(FX_Input,#REF!,#REF!))</f>
        <v>0.03</v>
      </c>
      <c r="I1196" cm="1">
        <f t="array" ref="I1196">IF(ISBLANK(INDEX(FX_Input,$Q1195,$AB1196)),0.03,INDEX(FX_Input,#REF!,#REF!))</f>
        <v>0.03</v>
      </c>
      <c r="J1196" cm="1">
        <f t="array" ref="J1196">IF(ISBLANK(INDEX(FX_Input,$Q1195,$AB1196)),0.03,INDEX(FX_Input,#REF!,#REF!))</f>
        <v>0.03</v>
      </c>
      <c r="K1196" cm="1">
        <f t="array" ref="K1196">IF(ISBLANK(INDEX(FX_Input,$Q1195,$AB1196)),0.03,INDEX(FX_Input,#REF!,AC1196))</f>
        <v>0.03</v>
      </c>
      <c r="L1196" cm="1">
        <f t="array" ref="L1196">IF(ISBLANK(INDEX(FX_Input,$Q1195,$AB1196)),0.03,INDEX(FX_Input,#REF!,AD1196))</f>
        <v>0.03</v>
      </c>
      <c r="M1196" cm="1">
        <f t="array" ref="M1196">IF(ISBLANK(INDEX(FX_Input,$Q1195,$AB1196)),0.03,INDEX(FX_Input,#REF!,#REF!))</f>
        <v>0.03</v>
      </c>
      <c r="N1196" cm="1">
        <f t="array" ref="N1196">IF(ISBLANK(INDEX(FX_Input,$Q1195,$AB1196)),0.03,INDEX(FX_Input,AC1195,#REF!))</f>
        <v>0.03</v>
      </c>
      <c r="O1196" cm="1">
        <f t="array" ref="O1196">IF(ISBLANK(INDEX(FX_Input,$Q1195,$AB1196)),0.03,INDEX(FX_Input,AD1195,#REF!))</f>
        <v>0.03</v>
      </c>
      <c r="AB1196">
        <v>15</v>
      </c>
    </row>
    <row r="1197" spans="1:32" ht="17.149999999999999" x14ac:dyDescent="0.55000000000000004">
      <c r="B1197" t="str">
        <f>B1196</f>
        <v>Portland</v>
      </c>
      <c r="C1197" t="s">
        <v>565</v>
      </c>
      <c r="D1197" cm="1">
        <f t="array" ref="D1197">IF(ISBLANK(INDEX(FX_Input,$Q1195,$AB1197)),-0.03,INDEX(FX_Input,Q1195,AB1197))</f>
        <v>-0.03</v>
      </c>
      <c r="E1197" cm="1">
        <f t="array" ref="E1197">IF(ISBLANK(INDEX(FX_Input,$Q1195,$AB1197)),-0.03,INDEX(FX_Input,R1195,#REF!))</f>
        <v>-0.03</v>
      </c>
      <c r="F1197" cm="1">
        <f t="array" ref="F1197">IF(ISBLANK(INDEX(FX_Input,$Q1195,$AB1197)),-0.03,INDEX(FX_Input,S1195,#REF!))</f>
        <v>-0.03</v>
      </c>
      <c r="G1197" cm="1">
        <f t="array" ref="G1197">IF(ISBLANK(INDEX(FX_Input,$Q1195,$AB1197)),-0.03,INDEX(FX_Input,AB1195,#REF!))</f>
        <v>-0.03</v>
      </c>
      <c r="H1197" cm="1">
        <f t="array" ref="H1197">IF(ISBLANK(INDEX(FX_Input,$Q1195,$AB1197)),-0.03,INDEX(FX_Input,#REF!,#REF!))</f>
        <v>-0.03</v>
      </c>
      <c r="I1197" cm="1">
        <f t="array" ref="I1197">IF(ISBLANK(INDEX(FX_Input,$Q1195,$AB1197)),-0.03,INDEX(FX_Input,#REF!,#REF!))</f>
        <v>-0.03</v>
      </c>
      <c r="J1197" cm="1">
        <f t="array" ref="J1197">IF(ISBLANK(INDEX(FX_Input,$Q1195,$AB1197)),-0.03,INDEX(FX_Input,#REF!,#REF!))</f>
        <v>-0.03</v>
      </c>
      <c r="K1197" cm="1">
        <f t="array" ref="K1197">IF(ISBLANK(INDEX(FX_Input,$Q1195,$AB1197)),-0.03,INDEX(FX_Input,#REF!,AC1197))</f>
        <v>-0.03</v>
      </c>
      <c r="L1197" cm="1">
        <f t="array" ref="L1197">IF(ISBLANK(INDEX(FX_Input,$Q1195,$AB1197)),-0.03,INDEX(FX_Input,#REF!,AD1197))</f>
        <v>-0.03</v>
      </c>
      <c r="M1197" cm="1">
        <f t="array" ref="M1197">IF(ISBLANK(INDEX(FX_Input,$Q1195,$AB1197)),-0.03,INDEX(FX_Input,#REF!,#REF!))</f>
        <v>-0.03</v>
      </c>
      <c r="N1197" cm="1">
        <f t="array" ref="N1197">IF(ISBLANK(INDEX(FX_Input,$Q1195,$AB1197)),-0.03,INDEX(FX_Input,AC1195,#REF!))</f>
        <v>-0.03</v>
      </c>
      <c r="O1197" cm="1">
        <f t="array" ref="O1197">IF(ISBLANK(INDEX(FX_Input,$Q1195,$AB1197)),-0.03,INDEX(FX_Input,AD1195,#REF!))</f>
        <v>-0.03</v>
      </c>
      <c r="AB1197">
        <v>16</v>
      </c>
    </row>
    <row r="1198" spans="1:32" x14ac:dyDescent="0.4">
      <c r="B1198" t="str">
        <f t="shared" ref="B1198:B1199" si="4370">B1197</f>
        <v>Portland</v>
      </c>
      <c r="C1198" s="66" t="s">
        <v>567</v>
      </c>
      <c r="D1198" t="str" cm="1">
        <f t="array" ref="D1198">INDEX(FX_Multi,$AD1198,D$3)</f>
        <v>Out of Service</v>
      </c>
      <c r="E1198" t="str" cm="1">
        <f t="array" ref="E1198">INDEX(FX_Multi,$AD1198,E$3)</f>
        <v>Out of Service</v>
      </c>
      <c r="F1198" t="str" cm="1">
        <f t="array" ref="F1198">INDEX(FX_Multi,$AD1198,F$3)</f>
        <v>Out of Service</v>
      </c>
      <c r="G1198" t="str" cm="1">
        <f t="array" ref="G1198">INDEX(FX_Multi,$AD1198,G$3)</f>
        <v>Out of Service</v>
      </c>
      <c r="H1198" t="str" cm="1">
        <f t="array" ref="H1198">INDEX(FX_Multi,$AD1198,H$3)</f>
        <v>Out of Service</v>
      </c>
      <c r="I1198" t="str" cm="1">
        <f t="array" ref="I1198">INDEX(FX_Multi,$AD1198,I$3)</f>
        <v>Out of Service</v>
      </c>
      <c r="J1198" t="str" cm="1">
        <f t="array" ref="J1198">INDEX(FX_Multi,$AD1198,J$3)</f>
        <v>Out of Service</v>
      </c>
      <c r="K1198" t="str" cm="1">
        <f t="array" ref="K1198">INDEX(FX_Multi,$AD1198,K$3)</f>
        <v>Out of Service</v>
      </c>
      <c r="L1198" t="str" cm="1">
        <f t="array" ref="L1198">INDEX(FX_Multi,$AD1198,L$3)</f>
        <v>Out of Service</v>
      </c>
      <c r="M1198" t="str" cm="1">
        <f t="array" ref="M1198">INDEX(FX_Multi,$AD1198,M$3)</f>
        <v>Out of Service</v>
      </c>
      <c r="N1198" t="str" cm="1">
        <f t="array" ref="N1198">INDEX(FX_Multi,$AD1198,N$3)</f>
        <v>Out of Service</v>
      </c>
      <c r="O1198" t="str" cm="1">
        <f t="array" ref="O1198">INDEX(FX_Multi,$AD1198,O$3)</f>
        <v>Out of Service</v>
      </c>
      <c r="AC1198">
        <v>1</v>
      </c>
      <c r="AD1198">
        <f>AD1195</f>
        <v>491</v>
      </c>
      <c r="AE1198">
        <v>1</v>
      </c>
      <c r="AF1198">
        <f>AF1195</f>
        <v>491</v>
      </c>
    </row>
    <row r="1199" spans="1:32" x14ac:dyDescent="0.4">
      <c r="B1199" t="str">
        <f t="shared" si="4370"/>
        <v>Portland</v>
      </c>
      <c r="C1199" s="66" t="s">
        <v>566</v>
      </c>
      <c r="D1199" t="str" cm="1">
        <f t="array" ref="D1199">INDEX(FX_Multi,$AD1199,D$3)</f>
        <v>N/A</v>
      </c>
      <c r="E1199" t="str" cm="1">
        <f t="array" ref="E1199">INDEX(FX_Multi,$AD1199,E$3)</f>
        <v>N/A</v>
      </c>
      <c r="F1199" t="str" cm="1">
        <f t="array" ref="F1199">INDEX(FX_Multi,$AD1199,F$3)</f>
        <v>N/A</v>
      </c>
      <c r="G1199" t="str" cm="1">
        <f t="array" ref="G1199">INDEX(FX_Multi,$AD1199,G$3)</f>
        <v>N/A</v>
      </c>
      <c r="H1199" t="str" cm="1">
        <f t="array" ref="H1199">INDEX(FX_Multi,$AD1199,H$3)</f>
        <v>N/A</v>
      </c>
      <c r="I1199" t="str" cm="1">
        <f t="array" ref="I1199">INDEX(FX_Multi,$AD1199,I$3)</f>
        <v>N/A</v>
      </c>
      <c r="J1199" t="str" cm="1">
        <f t="array" ref="J1199">INDEX(FX_Multi,$AD1199,J$3)</f>
        <v>N/A</v>
      </c>
      <c r="K1199" t="str" cm="1">
        <f t="array" ref="K1199">INDEX(FX_Multi,$AD1199,K$3)</f>
        <v>N/A</v>
      </c>
      <c r="L1199" t="str" cm="1">
        <f t="array" ref="L1199">INDEX(FX_Multi,$AD1199,L$3)</f>
        <v>N/A</v>
      </c>
      <c r="M1199" t="str" cm="1">
        <f t="array" ref="M1199">INDEX(FX_Multi,$AD1199,M$3)</f>
        <v>N/A</v>
      </c>
      <c r="N1199" t="str" cm="1">
        <f t="array" ref="N1199">INDEX(FX_Multi,$AD1199,N$3)</f>
        <v>N/A</v>
      </c>
      <c r="O1199" t="str" cm="1">
        <f t="array" ref="O1199">INDEX(FX_Multi,$AD1199,O$3)</f>
        <v>N/A</v>
      </c>
      <c r="AC1199">
        <v>1</v>
      </c>
      <c r="AD1199">
        <f>AD1198+2</f>
        <v>493</v>
      </c>
      <c r="AE1199">
        <v>1</v>
      </c>
      <c r="AF1199">
        <f>AF1198+3</f>
        <v>494</v>
      </c>
    </row>
    <row r="1200" spans="1:32" x14ac:dyDescent="0.4">
      <c r="B1200" t="str">
        <f>B1196</f>
        <v>Portland</v>
      </c>
      <c r="C1200" s="66" t="s">
        <v>568</v>
      </c>
      <c r="D1200" cm="1">
        <f t="array" ref="D1200">INDEX(FX_Multi,$AD1200,D$3)</f>
        <v>0</v>
      </c>
      <c r="E1200" cm="1">
        <f t="array" ref="E1200">INDEX(FX_Multi,$AD1200,E$3)</f>
        <v>0</v>
      </c>
      <c r="F1200" cm="1">
        <f t="array" ref="F1200">INDEX(FX_Multi,$AD1200,F$3)</f>
        <v>0</v>
      </c>
      <c r="G1200" cm="1">
        <f t="array" ref="G1200">INDEX(FX_Multi,$AD1200,G$3)</f>
        <v>0</v>
      </c>
      <c r="H1200" cm="1">
        <f t="array" ref="H1200">INDEX(FX_Multi,$AD1200,H$3)</f>
        <v>0</v>
      </c>
      <c r="I1200" cm="1">
        <f t="array" ref="I1200">INDEX(FX_Multi,$AD1200,I$3)</f>
        <v>0</v>
      </c>
      <c r="J1200" cm="1">
        <f t="array" ref="J1200">INDEX(FX_Multi,$AD1200,J$3)</f>
        <v>0</v>
      </c>
      <c r="K1200" cm="1">
        <f t="array" ref="K1200">INDEX(FX_Multi,$AD1200,K$3)</f>
        <v>0</v>
      </c>
      <c r="L1200" cm="1">
        <f t="array" ref="L1200">INDEX(FX_Multi,$AD1200,L$3)</f>
        <v>0</v>
      </c>
      <c r="M1200" cm="1">
        <f t="array" ref="M1200">INDEX(FX_Multi,$AD1200,M$3)</f>
        <v>0</v>
      </c>
      <c r="N1200" cm="1">
        <f t="array" ref="N1200">INDEX(FX_Multi,$AD1200,N$3)</f>
        <v>0</v>
      </c>
      <c r="O1200" cm="1">
        <f t="array" ref="O1200">INDEX(FX_Multi,$AD1200,O$3)</f>
        <v>0</v>
      </c>
      <c r="AC1200">
        <v>1</v>
      </c>
      <c r="AD1200">
        <f>AD1199-1</f>
        <v>492</v>
      </c>
      <c r="AE1200">
        <v>1</v>
      </c>
      <c r="AF1200">
        <f>AF1198+1</f>
        <v>492</v>
      </c>
    </row>
    <row r="1201" spans="2:32" x14ac:dyDescent="0.4">
      <c r="B1201" t="str">
        <f t="shared" ref="B1201:B1205" si="4371">B1200</f>
        <v>Portland</v>
      </c>
      <c r="C1201" s="66" t="s">
        <v>569</v>
      </c>
      <c r="D1201" cm="1">
        <f t="array" ref="D1201">INDEX(FX_Multi,$AD1201,D$3)</f>
        <v>0</v>
      </c>
      <c r="E1201" cm="1">
        <f t="array" ref="E1201">INDEX(FX_Multi,$AD1201,E$3)</f>
        <v>0</v>
      </c>
      <c r="F1201" cm="1">
        <f t="array" ref="F1201">INDEX(FX_Multi,$AD1201,F$3)</f>
        <v>0</v>
      </c>
      <c r="G1201" cm="1">
        <f t="array" ref="G1201">INDEX(FX_Multi,$AD1201,G$3)</f>
        <v>0</v>
      </c>
      <c r="H1201" cm="1">
        <f t="array" ref="H1201">INDEX(FX_Multi,$AD1201,H$3)</f>
        <v>0</v>
      </c>
      <c r="I1201" cm="1">
        <f t="array" ref="I1201">INDEX(FX_Multi,$AD1201,I$3)</f>
        <v>0</v>
      </c>
      <c r="J1201" cm="1">
        <f t="array" ref="J1201">INDEX(FX_Multi,$AD1201,J$3)</f>
        <v>0</v>
      </c>
      <c r="K1201" cm="1">
        <f t="array" ref="K1201">INDEX(FX_Multi,$AD1201,K$3)</f>
        <v>0</v>
      </c>
      <c r="L1201" cm="1">
        <f t="array" ref="L1201">INDEX(FX_Multi,$AD1201,L$3)</f>
        <v>0</v>
      </c>
      <c r="M1201" cm="1">
        <f t="array" ref="M1201">INDEX(FX_Multi,$AD1201,M$3)</f>
        <v>0</v>
      </c>
      <c r="N1201" cm="1">
        <f t="array" ref="N1201">INDEX(FX_Multi,$AD1201,N$3)</f>
        <v>0</v>
      </c>
      <c r="O1201" cm="1">
        <f t="array" ref="O1201">INDEX(FX_Multi,$AD1201,O$3)</f>
        <v>0</v>
      </c>
      <c r="AC1201">
        <v>1</v>
      </c>
      <c r="AD1201">
        <f>AD1200+2</f>
        <v>494</v>
      </c>
      <c r="AE1201">
        <v>1</v>
      </c>
      <c r="AF1201">
        <f>AF1199</f>
        <v>494</v>
      </c>
    </row>
    <row r="1202" spans="2:32" ht="17.149999999999999" x14ac:dyDescent="0.55000000000000004">
      <c r="B1202" t="str">
        <f t="shared" si="4371"/>
        <v>Portland</v>
      </c>
      <c r="C1202" t="s">
        <v>570</v>
      </c>
      <c r="D1202" cm="1">
        <f t="array" ref="D1202">INDEX(FX_Multi,$AD1202,D$3)</f>
        <v>1</v>
      </c>
      <c r="E1202" cm="1">
        <f t="array" ref="E1202">INDEX(FX_Multi,$AD1202,E$3)</f>
        <v>1</v>
      </c>
      <c r="F1202" cm="1">
        <f t="array" ref="F1202">INDEX(FX_Multi,$AD1202,F$3)</f>
        <v>1</v>
      </c>
      <c r="G1202" cm="1">
        <f t="array" ref="G1202">INDEX(FX_Multi,$AD1202,G$3)</f>
        <v>1</v>
      </c>
      <c r="H1202" cm="1">
        <f t="array" ref="H1202">INDEX(FX_Multi,$AD1202,H$3)</f>
        <v>1</v>
      </c>
      <c r="I1202" cm="1">
        <f t="array" ref="I1202">INDEX(FX_Multi,$AD1202,I$3)</f>
        <v>1</v>
      </c>
      <c r="J1202" cm="1">
        <f t="array" ref="J1202">INDEX(FX_Multi,$AD1202,J$3)</f>
        <v>1</v>
      </c>
      <c r="K1202" cm="1">
        <f t="array" ref="K1202">INDEX(FX_Multi,$AD1202,K$3)</f>
        <v>1</v>
      </c>
      <c r="L1202" cm="1">
        <f t="array" ref="L1202">INDEX(FX_Multi,$AD1202,L$3)</f>
        <v>1</v>
      </c>
      <c r="M1202" cm="1">
        <f t="array" ref="M1202">INDEX(FX_Multi,$AD1202,M$3)</f>
        <v>1</v>
      </c>
      <c r="N1202" cm="1">
        <f t="array" ref="N1202">INDEX(FX_Multi,$AD1202,N$3)</f>
        <v>1</v>
      </c>
      <c r="O1202" cm="1">
        <f t="array" ref="O1202">INDEX(FX_Multi,$AD1202,O$3)</f>
        <v>1</v>
      </c>
      <c r="AC1202">
        <v>1</v>
      </c>
      <c r="AD1202">
        <f>AD1201+6</f>
        <v>500</v>
      </c>
      <c r="AE1202">
        <v>1</v>
      </c>
      <c r="AF1202">
        <f>AF1198+9</f>
        <v>500</v>
      </c>
    </row>
    <row r="1203" spans="2:32" ht="17.149999999999999" x14ac:dyDescent="0.55000000000000004">
      <c r="B1203" t="str">
        <f t="shared" si="4371"/>
        <v>Portland</v>
      </c>
      <c r="C1203" t="s">
        <v>571</v>
      </c>
      <c r="D1203" t="str" cm="1">
        <f t="array" ref="D1203">INDEX(FX_Multi,$AD1203,D$3)</f>
        <v>N/A</v>
      </c>
      <c r="E1203" t="str" cm="1">
        <f t="array" ref="E1203">INDEX(FX_Multi,$AD1203,E$3)</f>
        <v>N/A</v>
      </c>
      <c r="F1203" t="str" cm="1">
        <f t="array" ref="F1203">INDEX(FX_Multi,$AD1203,F$3)</f>
        <v>N/A</v>
      </c>
      <c r="G1203" t="str" cm="1">
        <f t="array" ref="G1203">INDEX(FX_Multi,$AD1203,G$3)</f>
        <v>N/A</v>
      </c>
      <c r="H1203" t="str" cm="1">
        <f t="array" ref="H1203">INDEX(FX_Multi,$AD1203,H$3)</f>
        <v>N/A</v>
      </c>
      <c r="I1203" t="str" cm="1">
        <f t="array" ref="I1203">INDEX(FX_Multi,$AD1203,I$3)</f>
        <v>N/A</v>
      </c>
      <c r="J1203" t="str" cm="1">
        <f t="array" ref="J1203">INDEX(FX_Multi,$AD1203,J$3)</f>
        <v>N/A</v>
      </c>
      <c r="K1203" t="str" cm="1">
        <f t="array" ref="K1203">INDEX(FX_Multi,$AD1203,K$3)</f>
        <v>N/A</v>
      </c>
      <c r="L1203" t="str" cm="1">
        <f t="array" ref="L1203">INDEX(FX_Multi,$AD1203,L$3)</f>
        <v>N/A</v>
      </c>
      <c r="M1203" t="str" cm="1">
        <f t="array" ref="M1203">INDEX(FX_Multi,$AD1203,M$3)</f>
        <v>N/A</v>
      </c>
      <c r="N1203" t="str" cm="1">
        <f t="array" ref="N1203">INDEX(FX_Multi,$AD1203,N$3)</f>
        <v>N/A</v>
      </c>
      <c r="O1203" t="str" cm="1">
        <f t="array" ref="O1203">INDEX(FX_Multi,$AD1203,O$3)</f>
        <v>N/A</v>
      </c>
      <c r="AC1203">
        <v>1</v>
      </c>
      <c r="AD1203">
        <f>AD1202-3</f>
        <v>497</v>
      </c>
      <c r="AE1203">
        <v>1</v>
      </c>
      <c r="AF1203">
        <f>AF1198+6</f>
        <v>497</v>
      </c>
    </row>
    <row r="1204" spans="2:32" ht="17.149999999999999" x14ac:dyDescent="0.55000000000000004">
      <c r="B1204" t="str">
        <f t="shared" si="4371"/>
        <v>Portland</v>
      </c>
      <c r="C1204" t="s">
        <v>572</v>
      </c>
      <c r="D1204" cm="1">
        <f t="array" ref="D1204">INDEX(FX_Multi,$AD1204,D$3)</f>
        <v>0</v>
      </c>
      <c r="E1204" cm="1">
        <f t="array" ref="E1204">INDEX(FX_Multi,$AD1204,E$3)</f>
        <v>0</v>
      </c>
      <c r="F1204" cm="1">
        <f t="array" ref="F1204">INDEX(FX_Multi,$AD1204,F$3)</f>
        <v>0</v>
      </c>
      <c r="G1204" cm="1">
        <f t="array" ref="G1204">INDEX(FX_Multi,$AD1204,G$3)</f>
        <v>0</v>
      </c>
      <c r="H1204" cm="1">
        <f t="array" ref="H1204">INDEX(FX_Multi,$AD1204,H$3)</f>
        <v>0</v>
      </c>
      <c r="I1204" cm="1">
        <f t="array" ref="I1204">INDEX(FX_Multi,$AD1204,I$3)</f>
        <v>0</v>
      </c>
      <c r="J1204" cm="1">
        <f t="array" ref="J1204">INDEX(FX_Multi,$AD1204,J$3)</f>
        <v>0</v>
      </c>
      <c r="K1204" cm="1">
        <f t="array" ref="K1204">INDEX(FX_Multi,$AD1204,K$3)</f>
        <v>0</v>
      </c>
      <c r="L1204" cm="1">
        <f t="array" ref="L1204">INDEX(FX_Multi,$AD1204,L$3)</f>
        <v>0</v>
      </c>
      <c r="M1204" cm="1">
        <f t="array" ref="M1204">INDEX(FX_Multi,$AD1204,M$3)</f>
        <v>0</v>
      </c>
      <c r="N1204" cm="1">
        <f t="array" ref="N1204">INDEX(FX_Multi,$AD1204,N$3)</f>
        <v>0</v>
      </c>
      <c r="O1204" cm="1">
        <f t="array" ref="O1204">INDEX(FX_Multi,$AD1204,O$3)</f>
        <v>0</v>
      </c>
      <c r="AC1204">
        <v>1</v>
      </c>
      <c r="AD1204">
        <f>AD1203+4</f>
        <v>501</v>
      </c>
      <c r="AE1204">
        <v>1</v>
      </c>
      <c r="AF1204">
        <f>AF1198+10</f>
        <v>501</v>
      </c>
    </row>
    <row r="1205" spans="2:32" ht="17.149999999999999" x14ac:dyDescent="0.55000000000000004">
      <c r="B1205" t="str">
        <f t="shared" si="4371"/>
        <v>Portland</v>
      </c>
      <c r="C1205" t="s">
        <v>573</v>
      </c>
      <c r="D1205" cm="1">
        <f t="array" ref="D1205">INDEX(FX_Multi,$AD1205,D$3)</f>
        <v>0</v>
      </c>
      <c r="E1205" cm="1">
        <f t="array" ref="E1205">INDEX(FX_Multi,$AD1205,E$3)</f>
        <v>0</v>
      </c>
      <c r="F1205" cm="1">
        <f t="array" ref="F1205">INDEX(FX_Multi,$AD1205,F$3)</f>
        <v>0</v>
      </c>
      <c r="G1205" cm="1">
        <f t="array" ref="G1205">INDEX(FX_Multi,$AD1205,G$3)</f>
        <v>0</v>
      </c>
      <c r="H1205" cm="1">
        <f t="array" ref="H1205">INDEX(FX_Multi,$AD1205,H$3)</f>
        <v>0</v>
      </c>
      <c r="I1205" cm="1">
        <f t="array" ref="I1205">INDEX(FX_Multi,$AD1205,I$3)</f>
        <v>0</v>
      </c>
      <c r="J1205" cm="1">
        <f t="array" ref="J1205">INDEX(FX_Multi,$AD1205,J$3)</f>
        <v>0</v>
      </c>
      <c r="K1205" cm="1">
        <f t="array" ref="K1205">INDEX(FX_Multi,$AD1205,K$3)</f>
        <v>0</v>
      </c>
      <c r="L1205" cm="1">
        <f t="array" ref="L1205">INDEX(FX_Multi,$AD1205,L$3)</f>
        <v>0</v>
      </c>
      <c r="M1205" cm="1">
        <f t="array" ref="M1205">INDEX(FX_Multi,$AD1205,M$3)</f>
        <v>0</v>
      </c>
      <c r="N1205" cm="1">
        <f t="array" ref="N1205">INDEX(FX_Multi,$AD1205,N$3)</f>
        <v>0</v>
      </c>
      <c r="O1205" cm="1">
        <f t="array" ref="O1205">INDEX(FX_Multi,$AD1205,O$3)</f>
        <v>0</v>
      </c>
      <c r="AC1205">
        <v>1</v>
      </c>
      <c r="AD1205">
        <f>AD1204-3</f>
        <v>498</v>
      </c>
      <c r="AE1205">
        <v>1</v>
      </c>
      <c r="AF1205">
        <f>AF1198+7</f>
        <v>498</v>
      </c>
    </row>
    <row r="1206" spans="2:32" ht="17.149999999999999" x14ac:dyDescent="0.55000000000000004">
      <c r="B1206" t="str">
        <f>B1201</f>
        <v>Portland</v>
      </c>
      <c r="C1206" t="s">
        <v>526</v>
      </c>
      <c r="D1206" cm="1">
        <f t="array" ref="D1206">INDEX(FX_Temps,$AF1206,D$3)</f>
        <v>43.899999999999977</v>
      </c>
      <c r="E1206" cm="1">
        <f t="array" ref="E1206">INDEX(FX_Temps,$AF1206,E$3)</f>
        <v>44.700000000000045</v>
      </c>
      <c r="F1206" cm="1">
        <f t="array" ref="F1206">INDEX(FX_Temps,$AF1206,F$3)</f>
        <v>46.100000000000023</v>
      </c>
      <c r="G1206" cm="1">
        <f t="array" ref="G1206">INDEX(FX_Temps,$AF1206,G$3)</f>
        <v>48.599999999999966</v>
      </c>
      <c r="H1206" cm="1">
        <f t="array" ref="H1206">INDEX(FX_Temps,$AF1206,H$3)</f>
        <v>53.149999999999977</v>
      </c>
      <c r="I1206" cm="1">
        <f t="array" ref="I1206">INDEX(FX_Temps,$AF1206,I$3)</f>
        <v>56.950000000000045</v>
      </c>
      <c r="J1206" cm="1">
        <f t="array" ref="J1206">INDEX(FX_Temps,$AF1206,J$3)</f>
        <v>60.449999999999932</v>
      </c>
      <c r="K1206" cm="1">
        <f t="array" ref="K1206">INDEX(FX_Temps,$AF1206,K$3)</f>
        <v>60.899999999999977</v>
      </c>
      <c r="L1206" cm="1">
        <f t="array" ref="L1206">INDEX(FX_Temps,$AF1206,L$3)</f>
        <v>58.600000000000023</v>
      </c>
      <c r="M1206" cm="1">
        <f t="array" ref="M1206">INDEX(FX_Temps,$AF1206,M$3)</f>
        <v>52.649999999999977</v>
      </c>
      <c r="N1206" cm="1">
        <f t="array" ref="N1206">INDEX(FX_Temps,$AF1206,N$3)</f>
        <v>47.100000000000023</v>
      </c>
      <c r="O1206" cm="1">
        <f t="array" ref="O1206">INDEX(FX_Temps,$AF1206,O$3)</f>
        <v>43.600000000000023</v>
      </c>
      <c r="AE1206">
        <v>1</v>
      </c>
      <c r="AF1206">
        <f>AF1198+10</f>
        <v>501</v>
      </c>
    </row>
    <row r="1207" spans="2:32" ht="17.149999999999999" x14ac:dyDescent="0.55000000000000004">
      <c r="B1207" t="str">
        <f t="shared" ref="B1207:B1228" si="4372">B1206</f>
        <v>Portland</v>
      </c>
      <c r="C1207" t="s">
        <v>527</v>
      </c>
      <c r="D1207" cm="1">
        <f t="array" ref="D1207">INDEX(FX_Temps,$AF1207,D$3)</f>
        <v>43.899999999999977</v>
      </c>
      <c r="E1207" cm="1">
        <f t="array" ref="E1207">INDEX(FX_Temps,$AF1207,E$3)</f>
        <v>44.700000000000045</v>
      </c>
      <c r="F1207" cm="1">
        <f t="array" ref="F1207">INDEX(FX_Temps,$AF1207,F$3)</f>
        <v>46.100000000000023</v>
      </c>
      <c r="G1207" cm="1">
        <f t="array" ref="G1207">INDEX(FX_Temps,$AF1207,G$3)</f>
        <v>48.599999999999966</v>
      </c>
      <c r="H1207" cm="1">
        <f t="array" ref="H1207">INDEX(FX_Temps,$AF1207,H$3)</f>
        <v>53.149999999999977</v>
      </c>
      <c r="I1207" cm="1">
        <f t="array" ref="I1207">INDEX(FX_Temps,$AF1207,I$3)</f>
        <v>56.950000000000045</v>
      </c>
      <c r="J1207" cm="1">
        <f t="array" ref="J1207">INDEX(FX_Temps,$AF1207,J$3)</f>
        <v>60.449999999999932</v>
      </c>
      <c r="K1207" cm="1">
        <f t="array" ref="K1207">INDEX(FX_Temps,$AF1207,K$3)</f>
        <v>60.899999999999977</v>
      </c>
      <c r="L1207" cm="1">
        <f t="array" ref="L1207">INDEX(FX_Temps,$AF1207,L$3)</f>
        <v>58.600000000000023</v>
      </c>
      <c r="M1207" cm="1">
        <f t="array" ref="M1207">INDEX(FX_Temps,$AF1207,M$3)</f>
        <v>52.649999999999977</v>
      </c>
      <c r="N1207" cm="1">
        <f t="array" ref="N1207">INDEX(FX_Temps,$AF1207,N$3)</f>
        <v>47.100000000000023</v>
      </c>
      <c r="O1207" cm="1">
        <f t="array" ref="O1207">INDEX(FX_Temps,$AF1207,O$3)</f>
        <v>43.600000000000023</v>
      </c>
      <c r="AE1207">
        <f>AE1206</f>
        <v>1</v>
      </c>
      <c r="AF1207">
        <f>AF1198+11</f>
        <v>502</v>
      </c>
    </row>
    <row r="1208" spans="2:32" ht="17.149999999999999" x14ac:dyDescent="0.55000000000000004">
      <c r="B1208" t="str">
        <f t="shared" si="4372"/>
        <v>Portland</v>
      </c>
      <c r="C1208" t="s">
        <v>552</v>
      </c>
      <c r="D1208" cm="1">
        <f t="array" ref="D1208">INDEX(FX_Temps,$AF1208,D$3)</f>
        <v>43.899999999999977</v>
      </c>
      <c r="E1208" cm="1">
        <f t="array" ref="E1208">INDEX(FX_Temps,$AF1208,E$3)</f>
        <v>44.700000000000045</v>
      </c>
      <c r="F1208" cm="1">
        <f t="array" ref="F1208">INDEX(FX_Temps,$AF1208,F$3)</f>
        <v>46.100000000000023</v>
      </c>
      <c r="G1208" cm="1">
        <f t="array" ref="G1208">INDEX(FX_Temps,$AF1208,G$3)</f>
        <v>48.599999999999966</v>
      </c>
      <c r="H1208" cm="1">
        <f t="array" ref="H1208">INDEX(FX_Temps,$AF1208,H$3)</f>
        <v>53.149999999999977</v>
      </c>
      <c r="I1208" cm="1">
        <f t="array" ref="I1208">INDEX(FX_Temps,$AF1208,I$3)</f>
        <v>56.950000000000045</v>
      </c>
      <c r="J1208" cm="1">
        <f t="array" ref="J1208">INDEX(FX_Temps,$AF1208,J$3)</f>
        <v>60.449999999999932</v>
      </c>
      <c r="K1208" cm="1">
        <f t="array" ref="K1208">INDEX(FX_Temps,$AF1208,K$3)</f>
        <v>60.899999999999977</v>
      </c>
      <c r="L1208" cm="1">
        <f t="array" ref="L1208">INDEX(FX_Temps,$AF1208,L$3)</f>
        <v>58.600000000000023</v>
      </c>
      <c r="M1208" cm="1">
        <f t="array" ref="M1208">INDEX(FX_Temps,$AF1208,M$3)</f>
        <v>52.649999999999977</v>
      </c>
      <c r="N1208" cm="1">
        <f t="array" ref="N1208">INDEX(FX_Temps,$AF1208,N$3)</f>
        <v>47.100000000000023</v>
      </c>
      <c r="O1208" cm="1">
        <f t="array" ref="O1208">INDEX(FX_Temps,$AF1208,O$3)</f>
        <v>43.600000000000023</v>
      </c>
      <c r="AE1208">
        <f>AE1207</f>
        <v>1</v>
      </c>
      <c r="AF1208">
        <f>AF1198+13</f>
        <v>504</v>
      </c>
    </row>
    <row r="1209" spans="2:32" ht="17.149999999999999" x14ac:dyDescent="0.55000000000000004">
      <c r="B1209" t="str">
        <f t="shared" si="4372"/>
        <v>Portland</v>
      </c>
      <c r="C1209" t="s">
        <v>574</v>
      </c>
      <c r="D1209" cm="1">
        <f t="array" ref="D1209">IFERROR(IF(D1199="Chemical",(10^(INDEX(Antoines,MATCH(D1198,Antoine_Name,0),2)-INDEX(Antoines,MATCH(D1198,Antoine_Name,0),3)/(INDEX(Antoines,MATCH(D1198,Antoine_Name,0),4)+(D1206-32)*5/9)))*14.7/760,IF(D1199="Crude Oil",EXP((2799/(D1206+459.6)-2.227)*LOG10(INDEX(FX_Input,Q$5,D$3*$Z$5+$AA$5))-(7261/(D1206+459.6))+12.82),IF(D1199="Refined Petroleum Stock",EXP((0.7553-(413/(D1206+459.6)))*(INDEX(FX_Input,Q$5,D$3*$Z$5+$AA$5-1)^0.5)*LOG10(INDEX(FX_Input,Q$5,D$3*$Z$5+$AA$5))-(1.854-(1042/(D1206+459.6)))*(INDEX(FX_Input,Q$5,D$3*$Z$5+$AA$5-1)^0.5)+((2416/(D1206+459.6)-2.013)*LOG10(INDEX(FX_Input,Q$5,D$3*$Z$5+$AA$5)))-(8742/(D1206+459.6))+15.64),EXP(INDEX(Antoines,MATCH(D1198,Antoine_Name,0),2)-INDEX(Antoines,MATCH(D1198,Antoine_Name,0),3)/(D1206+459.6))))),0)</f>
        <v>1</v>
      </c>
      <c r="E1209" cm="1">
        <f t="array" ref="E1209">IFERROR(IF(E1199="Chemical",(10^(INDEX(Antoines,MATCH(E1198,Antoine_Name,0),2)-INDEX(Antoines,MATCH(E1198,Antoine_Name,0),3)/(INDEX(Antoines,MATCH(E1198,Antoine_Name,0),4)+(E1206-32)*5/9)))*14.7/760,IF(E1199="Crude Oil",EXP((2799/(E1206+459.6)-2.227)*LOG10(INDEX(FX_Input,R$5,E$3*$Z$5+$AA$5))-(7261/(E1206+459.6))+12.82),IF(E1199="Refined Petroleum Stock",EXP((0.7553-(413/(E1206+459.6)))*(INDEX(FX_Input,R$5,E$3*$Z$5+$AA$5-1)^0.5)*LOG10(INDEX(FX_Input,R$5,E$3*$Z$5+$AA$5))-(1.854-(1042/(E1206+459.6)))*(INDEX(FX_Input,R$5,E$3*$Z$5+$AA$5-1)^0.5)+((2416/(E1206+459.6)-2.013)*LOG10(INDEX(FX_Input,R$5,E$3*$Z$5+$AA$5)))-(8742/(E1206+459.6))+15.64),EXP(INDEX(Antoines,MATCH(E1198,Antoine_Name,0),2)-INDEX(Antoines,MATCH(E1198,Antoine_Name,0),3)/(E1206+459.6))))),0)</f>
        <v>1</v>
      </c>
      <c r="F1209" cm="1">
        <f t="array" ref="F1209">IFERROR(IF(F1199="Chemical",(10^(INDEX(Antoines,MATCH(F1198,Antoine_Name,0),2)-INDEX(Antoines,MATCH(F1198,Antoine_Name,0),3)/(INDEX(Antoines,MATCH(F1198,Antoine_Name,0),4)+(F1206-32)*5/9)))*14.7/760,IF(F1199="Crude Oil",EXP((2799/(F1206+459.6)-2.227)*LOG10(INDEX(FX_Input,S$5,F$3*$Z$5+$AA$5))-(7261/(F1206+459.6))+12.82),IF(F1199="Refined Petroleum Stock",EXP((0.7553-(413/(F1206+459.6)))*(INDEX(FX_Input,S$5,F$3*$Z$5+$AA$5-1)^0.5)*LOG10(INDEX(FX_Input,S$5,F$3*$Z$5+$AA$5))-(1.854-(1042/(F1206+459.6)))*(INDEX(FX_Input,S$5,F$3*$Z$5+$AA$5-1)^0.5)+((2416/(F1206+459.6)-2.013)*LOG10(INDEX(FX_Input,S$5,F$3*$Z$5+$AA$5)))-(8742/(F1206+459.6))+15.64),EXP(INDEX(Antoines,MATCH(F1198,Antoine_Name,0),2)-INDEX(Antoines,MATCH(F1198,Antoine_Name,0),3)/(F1206+459.6))))),0)</f>
        <v>1</v>
      </c>
      <c r="G1209" cm="1">
        <f t="array" ref="G1209">IFERROR(IF(G1199="Chemical",(10^(INDEX(Antoines,MATCH(G1198,Antoine_Name,0),2)-INDEX(Antoines,MATCH(G1198,Antoine_Name,0),3)/(INDEX(Antoines,MATCH(G1198,Antoine_Name,0),4)+(G1206-32)*5/9)))*14.7/760,IF(G1199="Crude Oil",EXP((2799/(G1206+459.6)-2.227)*LOG10(INDEX(FX_Input,T$5,G$3*$Z$5+$AA$5))-(7261/(G1206+459.6))+12.82),IF(G1199="Refined Petroleum Stock",EXP((0.7553-(413/(G1206+459.6)))*(INDEX(FX_Input,T$5,G$3*$Z$5+$AA$5-1)^0.5)*LOG10(INDEX(FX_Input,T$5,G$3*$Z$5+$AA$5))-(1.854-(1042/(G1206+459.6)))*(INDEX(FX_Input,T$5,G$3*$Z$5+$AA$5-1)^0.5)+((2416/(G1206+459.6)-2.013)*LOG10(INDEX(FX_Input,T$5,G$3*$Z$5+$AA$5)))-(8742/(G1206+459.6))+15.64),EXP(INDEX(Antoines,MATCH(G1198,Antoine_Name,0),2)-INDEX(Antoines,MATCH(G1198,Antoine_Name,0),3)/(G1206+459.6))))),0)</f>
        <v>1</v>
      </c>
      <c r="H1209" cm="1">
        <f t="array" ref="H1209">IFERROR(IF(H1199="Chemical",(10^(INDEX(Antoines,MATCH(H1198,Antoine_Name,0),2)-INDEX(Antoines,MATCH(H1198,Antoine_Name,0),3)/(INDEX(Antoines,MATCH(H1198,Antoine_Name,0),4)+(H1206-32)*5/9)))*14.7/760,IF(H1199="Crude Oil",EXP((2799/(H1206+459.6)-2.227)*LOG10(INDEX(FX_Input,U$5,H$3*$Z$5+$AA$5))-(7261/(H1206+459.6))+12.82),IF(H1199="Refined Petroleum Stock",EXP((0.7553-(413/(H1206+459.6)))*(INDEX(FX_Input,U$5,H$3*$Z$5+$AA$5-1)^0.5)*LOG10(INDEX(FX_Input,U$5,H$3*$Z$5+$AA$5))-(1.854-(1042/(H1206+459.6)))*(INDEX(FX_Input,U$5,H$3*$Z$5+$AA$5-1)^0.5)+((2416/(H1206+459.6)-2.013)*LOG10(INDEX(FX_Input,U$5,H$3*$Z$5+$AA$5)))-(8742/(H1206+459.6))+15.64),EXP(INDEX(Antoines,MATCH(H1198,Antoine_Name,0),2)-INDEX(Antoines,MATCH(H1198,Antoine_Name,0),3)/(H1206+459.6))))),0)</f>
        <v>1</v>
      </c>
      <c r="I1209" cm="1">
        <f t="array" ref="I1209">IFERROR(IF(I1199="Chemical",(10^(INDEX(Antoines,MATCH(I1198,Antoine_Name,0),2)-INDEX(Antoines,MATCH(I1198,Antoine_Name,0),3)/(INDEX(Antoines,MATCH(I1198,Antoine_Name,0),4)+(I1206-32)*5/9)))*14.7/760,IF(I1199="Crude Oil",EXP((2799/(I1206+459.6)-2.227)*LOG10(INDEX(FX_Input,V$5,I$3*$Z$5+$AA$5))-(7261/(I1206+459.6))+12.82),IF(I1199="Refined Petroleum Stock",EXP((0.7553-(413/(I1206+459.6)))*(INDEX(FX_Input,V$5,I$3*$Z$5+$AA$5-1)^0.5)*LOG10(INDEX(FX_Input,V$5,I$3*$Z$5+$AA$5))-(1.854-(1042/(I1206+459.6)))*(INDEX(FX_Input,V$5,I$3*$Z$5+$AA$5-1)^0.5)+((2416/(I1206+459.6)-2.013)*LOG10(INDEX(FX_Input,V$5,I$3*$Z$5+$AA$5)))-(8742/(I1206+459.6))+15.64),EXP(INDEX(Antoines,MATCH(I1198,Antoine_Name,0),2)-INDEX(Antoines,MATCH(I1198,Antoine_Name,0),3)/(I1206+459.6))))),0)</f>
        <v>1</v>
      </c>
      <c r="J1209" cm="1">
        <f t="array" ref="J1209">IFERROR(IF(J1199="Chemical",(10^(INDEX(Antoines,MATCH(J1198,Antoine_Name,0),2)-INDEX(Antoines,MATCH(J1198,Antoine_Name,0),3)/(INDEX(Antoines,MATCH(J1198,Antoine_Name,0),4)+(J1206-32)*5/9)))*14.7/760,IF(J1199="Crude Oil",EXP((2799/(J1206+459.6)-2.227)*LOG10(INDEX(FX_Input,W$5,J$3*$Z$5+$AA$5))-(7261/(J1206+459.6))+12.82),IF(J1199="Refined Petroleum Stock",EXP((0.7553-(413/(J1206+459.6)))*(INDEX(FX_Input,W$5,J$3*$Z$5+$AA$5-1)^0.5)*LOG10(INDEX(FX_Input,W$5,J$3*$Z$5+$AA$5))-(1.854-(1042/(J1206+459.6)))*(INDEX(FX_Input,W$5,J$3*$Z$5+$AA$5-1)^0.5)+((2416/(J1206+459.6)-2.013)*LOG10(INDEX(FX_Input,W$5,J$3*$Z$5+$AA$5)))-(8742/(J1206+459.6))+15.64),EXP(INDEX(Antoines,MATCH(J1198,Antoine_Name,0),2)-INDEX(Antoines,MATCH(J1198,Antoine_Name,0),3)/(J1206+459.6))))),0)</f>
        <v>1</v>
      </c>
      <c r="K1209" cm="1">
        <f t="array" ref="K1209">IFERROR(IF(K1199="Chemical",(10^(INDEX(Antoines,MATCH(K1198,Antoine_Name,0),2)-INDEX(Antoines,MATCH(K1198,Antoine_Name,0),3)/(INDEX(Antoines,MATCH(K1198,Antoine_Name,0),4)+(K1206-32)*5/9)))*14.7/760,IF(K1199="Crude Oil",EXP((2799/(K1206+459.6)-2.227)*LOG10(INDEX(FX_Input,X$5,K$3*$Z$5+$AA$5))-(7261/(K1206+459.6))+12.82),IF(K1199="Refined Petroleum Stock",EXP((0.7553-(413/(K1206+459.6)))*(INDEX(FX_Input,X$5,K$3*$Z$5+$AA$5-1)^0.5)*LOG10(INDEX(FX_Input,X$5,K$3*$Z$5+$AA$5))-(1.854-(1042/(K1206+459.6)))*(INDEX(FX_Input,X$5,K$3*$Z$5+$AA$5-1)^0.5)+((2416/(K1206+459.6)-2.013)*LOG10(INDEX(FX_Input,X$5,K$3*$Z$5+$AA$5)))-(8742/(K1206+459.6))+15.64),EXP(INDEX(Antoines,MATCH(K1198,Antoine_Name,0),2)-INDEX(Antoines,MATCH(K1198,Antoine_Name,0),3)/(K1206+459.6))))),0)</f>
        <v>1</v>
      </c>
      <c r="L1209" cm="1">
        <f t="array" ref="L1209">IFERROR(IF(L1199="Chemical",(10^(INDEX(Antoines,MATCH(L1198,Antoine_Name,0),2)-INDEX(Antoines,MATCH(L1198,Antoine_Name,0),3)/(INDEX(Antoines,MATCH(L1198,Antoine_Name,0),4)+(L1206-32)*5/9)))*14.7/760,IF(L1199="Crude Oil",EXP((2799/(L1206+459.6)-2.227)*LOG10(INDEX(FX_Input,Y$5,L$3*$Z$5+$AA$5))-(7261/(L1206+459.6))+12.82),IF(L1199="Refined Petroleum Stock",EXP((0.7553-(413/(L1206+459.6)))*(INDEX(FX_Input,Y$5,L$3*$Z$5+$AA$5-1)^0.5)*LOG10(INDEX(FX_Input,Y$5,L$3*$Z$5+$AA$5))-(1.854-(1042/(L1206+459.6)))*(INDEX(FX_Input,Y$5,L$3*$Z$5+$AA$5-1)^0.5)+((2416/(L1206+459.6)-2.013)*LOG10(INDEX(FX_Input,Y$5,L$3*$Z$5+$AA$5)))-(8742/(L1206+459.6))+15.64),EXP(INDEX(Antoines,MATCH(L1198,Antoine_Name,0),2)-INDEX(Antoines,MATCH(L1198,Antoine_Name,0),3)/(L1206+459.6))))),0)</f>
        <v>1</v>
      </c>
      <c r="M1209" cm="1">
        <f t="array" ref="M1209">IFERROR(IF(M1199="Chemical",(10^(INDEX(Antoines,MATCH(M1198,Antoine_Name,0),2)-INDEX(Antoines,MATCH(M1198,Antoine_Name,0),3)/(INDEX(Antoines,MATCH(M1198,Antoine_Name,0),4)+(M1206-32)*5/9)))*14.7/760,IF(M1199="Crude Oil",EXP((2799/(M1206+459.6)-2.227)*LOG10(INDEX(FX_Input,Z$5,M$3*$Z$5+$AA$5))-(7261/(M1206+459.6))+12.82),IF(M1199="Refined Petroleum Stock",EXP((0.7553-(413/(M1206+459.6)))*(INDEX(FX_Input,Z$5,M$3*$Z$5+$AA$5-1)^0.5)*LOG10(INDEX(FX_Input,Z$5,M$3*$Z$5+$AA$5))-(1.854-(1042/(M1206+459.6)))*(INDEX(FX_Input,Z$5,M$3*$Z$5+$AA$5-1)^0.5)+((2416/(M1206+459.6)-2.013)*LOG10(INDEX(FX_Input,Z$5,M$3*$Z$5+$AA$5)))-(8742/(M1206+459.6))+15.64),EXP(INDEX(Antoines,MATCH(M1198,Antoine_Name,0),2)-INDEX(Antoines,MATCH(M1198,Antoine_Name,0),3)/(M1206+459.6))))),0)</f>
        <v>1</v>
      </c>
      <c r="N1209" cm="1">
        <f t="array" ref="N1209">IFERROR(IF(N1199="Chemical",(10^(INDEX(Antoines,MATCH(N1198,Antoine_Name,0),2)-INDEX(Antoines,MATCH(N1198,Antoine_Name,0),3)/(INDEX(Antoines,MATCH(N1198,Antoine_Name,0),4)+(N1206-32)*5/9)))*14.7/760,IF(N1199="Crude Oil",EXP((2799/(N1206+459.6)-2.227)*LOG10(INDEX(FX_Input,AA$5,N$3*$Z$5+$AA$5))-(7261/(N1206+459.6))+12.82),IF(N1199="Refined Petroleum Stock",EXP((0.7553-(413/(N1206+459.6)))*(INDEX(FX_Input,AA$5,N$3*$Z$5+$AA$5-1)^0.5)*LOG10(INDEX(FX_Input,AA$5,N$3*$Z$5+$AA$5))-(1.854-(1042/(N1206+459.6)))*(INDEX(FX_Input,AA$5,N$3*$Z$5+$AA$5-1)^0.5)+((2416/(N1206+459.6)-2.013)*LOG10(INDEX(FX_Input,AA$5,N$3*$Z$5+$AA$5)))-(8742/(N1206+459.6))+15.64),EXP(INDEX(Antoines,MATCH(N1198,Antoine_Name,0),2)-INDEX(Antoines,MATCH(N1198,Antoine_Name,0),3)/(N1206+459.6))))),0)</f>
        <v>1</v>
      </c>
      <c r="O1209" cm="1">
        <f t="array" ref="O1209">IFERROR(IF(O1199="Chemical",(10^(INDEX(Antoines,MATCH(O1198,Antoine_Name,0),2)-INDEX(Antoines,MATCH(O1198,Antoine_Name,0),3)/(INDEX(Antoines,MATCH(O1198,Antoine_Name,0),4)+(O1206-32)*5/9)))*14.7/760,IF(O1199="Crude Oil",EXP((2799/(O1206+459.6)-2.227)*LOG10(INDEX(FX_Input,AB$5,O$3*$Z$5+$AA$5))-(7261/(O1206+459.6))+12.82),IF(O1199="Refined Petroleum Stock",EXP((0.7553-(413/(O1206+459.6)))*(INDEX(FX_Input,AB$5,O$3*$Z$5+$AA$5-1)^0.5)*LOG10(INDEX(FX_Input,AB$5,O$3*$Z$5+$AA$5))-(1.854-(1042/(O1206+459.6)))*(INDEX(FX_Input,AB$5,O$3*$Z$5+$AA$5-1)^0.5)+((2416/(O1206+459.6)-2.013)*LOG10(INDEX(FX_Input,AB$5,O$3*$Z$5+$AA$5)))-(8742/(O1206+459.6))+15.64),EXP(INDEX(Antoines,MATCH(O1198,Antoine_Name,0),2)-INDEX(Antoines,MATCH(O1198,Antoine_Name,0),3)/(O1206+459.6))))),0)</f>
        <v>1</v>
      </c>
    </row>
    <row r="1210" spans="2:32" ht="17.149999999999999" x14ac:dyDescent="0.55000000000000004">
      <c r="B1210" t="str">
        <f t="shared" si="4372"/>
        <v>Portland</v>
      </c>
      <c r="C1210" t="s">
        <v>576</v>
      </c>
      <c r="D1210">
        <f>D1202*D1209</f>
        <v>1</v>
      </c>
      <c r="E1210">
        <f t="shared" ref="E1210" si="4373">E1202*E1209</f>
        <v>1</v>
      </c>
      <c r="F1210">
        <f t="shared" ref="F1210" si="4374">F1202*F1209</f>
        <v>1</v>
      </c>
      <c r="G1210">
        <f t="shared" ref="G1210" si="4375">G1202*G1209</f>
        <v>1</v>
      </c>
      <c r="H1210">
        <f t="shared" ref="H1210" si="4376">H1202*H1209</f>
        <v>1</v>
      </c>
      <c r="I1210">
        <f t="shared" ref="I1210" si="4377">I1202*I1209</f>
        <v>1</v>
      </c>
      <c r="J1210">
        <f t="shared" ref="J1210" si="4378">J1202*J1209</f>
        <v>1</v>
      </c>
      <c r="K1210">
        <f t="shared" ref="K1210" si="4379">K1202*K1209</f>
        <v>1</v>
      </c>
      <c r="L1210">
        <f t="shared" ref="L1210" si="4380">L1202*L1209</f>
        <v>1</v>
      </c>
      <c r="M1210">
        <f t="shared" ref="M1210" si="4381">M1202*M1209</f>
        <v>1</v>
      </c>
      <c r="N1210">
        <f t="shared" ref="N1210" si="4382">N1202*N1209</f>
        <v>1</v>
      </c>
      <c r="O1210">
        <f t="shared" ref="O1210" si="4383">O1202*O1209</f>
        <v>1</v>
      </c>
    </row>
    <row r="1211" spans="2:32" ht="17.149999999999999" x14ac:dyDescent="0.55000000000000004">
      <c r="B1211" t="str">
        <f t="shared" si="4372"/>
        <v>Portland</v>
      </c>
      <c r="C1211" t="s">
        <v>575</v>
      </c>
      <c r="D1211" cm="1">
        <f t="array" ref="D1211">IFERROR(IF(D1201="Chemical",(10^(INDEX(Antoines,MATCH(D1200,Antoine_Name,0),2)-INDEX(Antoines,MATCH(D1200,Antoine_Name,0),3)/(INDEX(Antoines,MATCH(D1200,Antoine_Name,0),4)+(D1206-32)*5/9)))*14.7/760,IF(D1201="Crude Oil",EXP((2799/(D1206+459.6)-2.227)*LOG10(INDEX(FX_Input,Q$5,D$3*$Z$5+$AA$5))-(7261/(D1206+459.6))+12.82),IF(D1201="Refined Petroleum Stock",EXP((0.7553-(413/(D1206+459.6)))*(INDEX(FX_Input,Q$5,D$3*$Z$5+$AA$5-1)^0.5)*LOG10(INDEX(FX_Input,Q$5,D$3*$Z$5+$AA$5))-(1.854-(1042/(D1206+459.6)))*(INDEX(FX_Input,Q$5,D$3*$Z$5+$AA$5-1)^0.5)+((2416/(D1206+459.6)-2.013)*LOG10(INDEX(FX_Input,Q$5,D$3*$Z$5+$AA$5)))-(8742/(D1206+459.6))+15.64),EXP(INDEX(Antoines,MATCH(D1200,Antoine_Name,0),2)-INDEX(Antoines,MATCH(D1200,Antoine_Name,0),3)/(D1206+459.6))))),0)</f>
        <v>0</v>
      </c>
      <c r="E1211" cm="1">
        <f t="array" ref="E1211">IFERROR(IF(E1201="Chemical",(10^(INDEX(Antoines,MATCH(E1200,Antoine_Name,0),2)-INDEX(Antoines,MATCH(E1200,Antoine_Name,0),3)/(INDEX(Antoines,MATCH(E1200,Antoine_Name,0),4)+(E1206-32)*5/9)))*14.7/760,IF(E1201="Crude Oil",EXP((2799/(E1206+459.6)-2.227)*LOG10(INDEX(FX_Input,R$5,E$3*$Z$5+$AA$5))-(7261/(E1206+459.6))+12.82),IF(E1201="Refined Petroleum Stock",EXP((0.7553-(413/(E1206+459.6)))*(INDEX(FX_Input,R$5,E$3*$Z$5+$AA$5-1)^0.5)*LOG10(INDEX(FX_Input,R$5,E$3*$Z$5+$AA$5))-(1.854-(1042/(E1206+459.6)))*(INDEX(FX_Input,R$5,E$3*$Z$5+$AA$5-1)^0.5)+((2416/(E1206+459.6)-2.013)*LOG10(INDEX(FX_Input,R$5,E$3*$Z$5+$AA$5)))-(8742/(E1206+459.6))+15.64),EXP(INDEX(Antoines,MATCH(E1200,Antoine_Name,0),2)-INDEX(Antoines,MATCH(E1200,Antoine_Name,0),3)/(E1206+459.6))))),0)</f>
        <v>0</v>
      </c>
      <c r="F1211" cm="1">
        <f t="array" ref="F1211">IFERROR(IF(F1201="Chemical",(10^(INDEX(Antoines,MATCH(F1200,Antoine_Name,0),2)-INDEX(Antoines,MATCH(F1200,Antoine_Name,0),3)/(INDEX(Antoines,MATCH(F1200,Antoine_Name,0),4)+(F1206-32)*5/9)))*14.7/760,IF(F1201="Crude Oil",EXP((2799/(F1206+459.6)-2.227)*LOG10(INDEX(FX_Input,S$5,F$3*$Z$5+$AA$5))-(7261/(F1206+459.6))+12.82),IF(F1201="Refined Petroleum Stock",EXP((0.7553-(413/(F1206+459.6)))*(INDEX(FX_Input,S$5,F$3*$Z$5+$AA$5-1)^0.5)*LOG10(INDEX(FX_Input,S$5,F$3*$Z$5+$AA$5))-(1.854-(1042/(F1206+459.6)))*(INDEX(FX_Input,S$5,F$3*$Z$5+$AA$5-1)^0.5)+((2416/(F1206+459.6)-2.013)*LOG10(INDEX(FX_Input,S$5,F$3*$Z$5+$AA$5)))-(8742/(F1206+459.6))+15.64),EXP(INDEX(Antoines,MATCH(F1200,Antoine_Name,0),2)-INDEX(Antoines,MATCH(F1200,Antoine_Name,0),3)/(F1206+459.6))))),0)</f>
        <v>0</v>
      </c>
      <c r="G1211" cm="1">
        <f t="array" ref="G1211">IFERROR(IF(G1201="Chemical",(10^(INDEX(Antoines,MATCH(G1200,Antoine_Name,0),2)-INDEX(Antoines,MATCH(G1200,Antoine_Name,0),3)/(INDEX(Antoines,MATCH(G1200,Antoine_Name,0),4)+(G1206-32)*5/9)))*14.7/760,IF(G1201="Crude Oil",EXP((2799/(G1206+459.6)-2.227)*LOG10(INDEX(FX_Input,T$5,G$3*$Z$5+$AA$5))-(7261/(G1206+459.6))+12.82),IF(G1201="Refined Petroleum Stock",EXP((0.7553-(413/(G1206+459.6)))*(INDEX(FX_Input,T$5,G$3*$Z$5+$AA$5-1)^0.5)*LOG10(INDEX(FX_Input,T$5,G$3*$Z$5+$AA$5))-(1.854-(1042/(G1206+459.6)))*(INDEX(FX_Input,T$5,G$3*$Z$5+$AA$5-1)^0.5)+((2416/(G1206+459.6)-2.013)*LOG10(INDEX(FX_Input,T$5,G$3*$Z$5+$AA$5)))-(8742/(G1206+459.6))+15.64),EXP(INDEX(Antoines,MATCH(G1200,Antoine_Name,0),2)-INDEX(Antoines,MATCH(G1200,Antoine_Name,0),3)/(G1206+459.6))))),0)</f>
        <v>0</v>
      </c>
      <c r="H1211" cm="1">
        <f t="array" ref="H1211">IFERROR(IF(H1201="Chemical",(10^(INDEX(Antoines,MATCH(H1200,Antoine_Name,0),2)-INDEX(Antoines,MATCH(H1200,Antoine_Name,0),3)/(INDEX(Antoines,MATCH(H1200,Antoine_Name,0),4)+(H1206-32)*5/9)))*14.7/760,IF(H1201="Crude Oil",EXP((2799/(H1206+459.6)-2.227)*LOG10(INDEX(FX_Input,U$5,H$3*$Z$5+$AA$5))-(7261/(H1206+459.6))+12.82),IF(H1201="Refined Petroleum Stock",EXP((0.7553-(413/(H1206+459.6)))*(INDEX(FX_Input,U$5,H$3*$Z$5+$AA$5-1)^0.5)*LOG10(INDEX(FX_Input,U$5,H$3*$Z$5+$AA$5))-(1.854-(1042/(H1206+459.6)))*(INDEX(FX_Input,U$5,H$3*$Z$5+$AA$5-1)^0.5)+((2416/(H1206+459.6)-2.013)*LOG10(INDEX(FX_Input,U$5,H$3*$Z$5+$AA$5)))-(8742/(H1206+459.6))+15.64),EXP(INDEX(Antoines,MATCH(H1200,Antoine_Name,0),2)-INDEX(Antoines,MATCH(H1200,Antoine_Name,0),3)/(H1206+459.6))))),0)</f>
        <v>0</v>
      </c>
      <c r="I1211" cm="1">
        <f t="array" ref="I1211">IFERROR(IF(I1201="Chemical",(10^(INDEX(Antoines,MATCH(I1200,Antoine_Name,0),2)-INDEX(Antoines,MATCH(I1200,Antoine_Name,0),3)/(INDEX(Antoines,MATCH(I1200,Antoine_Name,0),4)+(I1206-32)*5/9)))*14.7/760,IF(I1201="Crude Oil",EXP((2799/(I1206+459.6)-2.227)*LOG10(INDEX(FX_Input,V$5,I$3*$Z$5+$AA$5))-(7261/(I1206+459.6))+12.82),IF(I1201="Refined Petroleum Stock",EXP((0.7553-(413/(I1206+459.6)))*(INDEX(FX_Input,V$5,I$3*$Z$5+$AA$5-1)^0.5)*LOG10(INDEX(FX_Input,V$5,I$3*$Z$5+$AA$5))-(1.854-(1042/(I1206+459.6)))*(INDEX(FX_Input,V$5,I$3*$Z$5+$AA$5-1)^0.5)+((2416/(I1206+459.6)-2.013)*LOG10(INDEX(FX_Input,V$5,I$3*$Z$5+$AA$5)))-(8742/(I1206+459.6))+15.64),EXP(INDEX(Antoines,MATCH(I1200,Antoine_Name,0),2)-INDEX(Antoines,MATCH(I1200,Antoine_Name,0),3)/(I1206+459.6))))),0)</f>
        <v>0</v>
      </c>
      <c r="J1211" cm="1">
        <f t="array" ref="J1211">IFERROR(IF(J1201="Chemical",(10^(INDEX(Antoines,MATCH(J1200,Antoine_Name,0),2)-INDEX(Antoines,MATCH(J1200,Antoine_Name,0),3)/(INDEX(Antoines,MATCH(J1200,Antoine_Name,0),4)+(J1206-32)*5/9)))*14.7/760,IF(J1201="Crude Oil",EXP((2799/(J1206+459.6)-2.227)*LOG10(INDEX(FX_Input,W$5,J$3*$Z$5+$AA$5))-(7261/(J1206+459.6))+12.82),IF(J1201="Refined Petroleum Stock",EXP((0.7553-(413/(J1206+459.6)))*(INDEX(FX_Input,W$5,J$3*$Z$5+$AA$5-1)^0.5)*LOG10(INDEX(FX_Input,W$5,J$3*$Z$5+$AA$5))-(1.854-(1042/(J1206+459.6)))*(INDEX(FX_Input,W$5,J$3*$Z$5+$AA$5-1)^0.5)+((2416/(J1206+459.6)-2.013)*LOG10(INDEX(FX_Input,W$5,J$3*$Z$5+$AA$5)))-(8742/(J1206+459.6))+15.64),EXP(INDEX(Antoines,MATCH(J1200,Antoine_Name,0),2)-INDEX(Antoines,MATCH(J1200,Antoine_Name,0),3)/(J1206+459.6))))),0)</f>
        <v>0</v>
      </c>
      <c r="K1211" cm="1">
        <f t="array" ref="K1211">IFERROR(IF(K1201="Chemical",(10^(INDEX(Antoines,MATCH(K1200,Antoine_Name,0),2)-INDEX(Antoines,MATCH(K1200,Antoine_Name,0),3)/(INDEX(Antoines,MATCH(K1200,Antoine_Name,0),4)+(K1206-32)*5/9)))*14.7/760,IF(K1201="Crude Oil",EXP((2799/(K1206+459.6)-2.227)*LOG10(INDEX(FX_Input,X$5,K$3*$Z$5+$AA$5))-(7261/(K1206+459.6))+12.82),IF(K1201="Refined Petroleum Stock",EXP((0.7553-(413/(K1206+459.6)))*(INDEX(FX_Input,X$5,K$3*$Z$5+$AA$5-1)^0.5)*LOG10(INDEX(FX_Input,X$5,K$3*$Z$5+$AA$5))-(1.854-(1042/(K1206+459.6)))*(INDEX(FX_Input,X$5,K$3*$Z$5+$AA$5-1)^0.5)+((2416/(K1206+459.6)-2.013)*LOG10(INDEX(FX_Input,X$5,K$3*$Z$5+$AA$5)))-(8742/(K1206+459.6))+15.64),EXP(INDEX(Antoines,MATCH(K1200,Antoine_Name,0),2)-INDEX(Antoines,MATCH(K1200,Antoine_Name,0),3)/(K1206+459.6))))),0)</f>
        <v>0</v>
      </c>
      <c r="L1211" cm="1">
        <f t="array" ref="L1211">IFERROR(IF(L1201="Chemical",(10^(INDEX(Antoines,MATCH(L1200,Antoine_Name,0),2)-INDEX(Antoines,MATCH(L1200,Antoine_Name,0),3)/(INDEX(Antoines,MATCH(L1200,Antoine_Name,0),4)+(L1206-32)*5/9)))*14.7/760,IF(L1201="Crude Oil",EXP((2799/(L1206+459.6)-2.227)*LOG10(INDEX(FX_Input,Y$5,L$3*$Z$5+$AA$5))-(7261/(L1206+459.6))+12.82),IF(L1201="Refined Petroleum Stock",EXP((0.7553-(413/(L1206+459.6)))*(INDEX(FX_Input,Y$5,L$3*$Z$5+$AA$5-1)^0.5)*LOG10(INDEX(FX_Input,Y$5,L$3*$Z$5+$AA$5))-(1.854-(1042/(L1206+459.6)))*(INDEX(FX_Input,Y$5,L$3*$Z$5+$AA$5-1)^0.5)+((2416/(L1206+459.6)-2.013)*LOG10(INDEX(FX_Input,Y$5,L$3*$Z$5+$AA$5)))-(8742/(L1206+459.6))+15.64),EXP(INDEX(Antoines,MATCH(L1200,Antoine_Name,0),2)-INDEX(Antoines,MATCH(L1200,Antoine_Name,0),3)/(L1206+459.6))))),0)</f>
        <v>0</v>
      </c>
      <c r="M1211" cm="1">
        <f t="array" ref="M1211">IFERROR(IF(M1201="Chemical",(10^(INDEX(Antoines,MATCH(M1200,Antoine_Name,0),2)-INDEX(Antoines,MATCH(M1200,Antoine_Name,0),3)/(INDEX(Antoines,MATCH(M1200,Antoine_Name,0),4)+(M1206-32)*5/9)))*14.7/760,IF(M1201="Crude Oil",EXP((2799/(M1206+459.6)-2.227)*LOG10(INDEX(FX_Input,Z$5,M$3*$Z$5+$AA$5))-(7261/(M1206+459.6))+12.82),IF(M1201="Refined Petroleum Stock",EXP((0.7553-(413/(M1206+459.6)))*(INDEX(FX_Input,Z$5,M$3*$Z$5+$AA$5-1)^0.5)*LOG10(INDEX(FX_Input,Z$5,M$3*$Z$5+$AA$5))-(1.854-(1042/(M1206+459.6)))*(INDEX(FX_Input,Z$5,M$3*$Z$5+$AA$5-1)^0.5)+((2416/(M1206+459.6)-2.013)*LOG10(INDEX(FX_Input,Z$5,M$3*$Z$5+$AA$5)))-(8742/(M1206+459.6))+15.64),EXP(INDEX(Antoines,MATCH(M1200,Antoine_Name,0),2)-INDEX(Antoines,MATCH(M1200,Antoine_Name,0),3)/(M1206+459.6))))),0)</f>
        <v>0</v>
      </c>
      <c r="N1211" cm="1">
        <f t="array" ref="N1211">IFERROR(IF(N1201="Chemical",(10^(INDEX(Antoines,MATCH(N1200,Antoine_Name,0),2)-INDEX(Antoines,MATCH(N1200,Antoine_Name,0),3)/(INDEX(Antoines,MATCH(N1200,Antoine_Name,0),4)+(N1206-32)*5/9)))*14.7/760,IF(N1201="Crude Oil",EXP((2799/(N1206+459.6)-2.227)*LOG10(INDEX(FX_Input,AA$5,N$3*$Z$5+$AA$5))-(7261/(N1206+459.6))+12.82),IF(N1201="Refined Petroleum Stock",EXP((0.7553-(413/(N1206+459.6)))*(INDEX(FX_Input,AA$5,N$3*$Z$5+$AA$5-1)^0.5)*LOG10(INDEX(FX_Input,AA$5,N$3*$Z$5+$AA$5))-(1.854-(1042/(N1206+459.6)))*(INDEX(FX_Input,AA$5,N$3*$Z$5+$AA$5-1)^0.5)+((2416/(N1206+459.6)-2.013)*LOG10(INDEX(FX_Input,AA$5,N$3*$Z$5+$AA$5)))-(8742/(N1206+459.6))+15.64),EXP(INDEX(Antoines,MATCH(N1200,Antoine_Name,0),2)-INDEX(Antoines,MATCH(N1200,Antoine_Name,0),3)/(N1206+459.6))))),0)</f>
        <v>0</v>
      </c>
      <c r="O1211" cm="1">
        <f t="array" ref="O1211">IFERROR(IF(O1201="Chemical",(10^(INDEX(Antoines,MATCH(O1200,Antoine_Name,0),2)-INDEX(Antoines,MATCH(O1200,Antoine_Name,0),3)/(INDEX(Antoines,MATCH(O1200,Antoine_Name,0),4)+(O1206-32)*5/9)))*14.7/760,IF(O1201="Crude Oil",EXP((2799/(O1206+459.6)-2.227)*LOG10(INDEX(FX_Input,AB$5,O$3*$Z$5+$AA$5))-(7261/(O1206+459.6))+12.82),IF(O1201="Refined Petroleum Stock",EXP((0.7553-(413/(O1206+459.6)))*(INDEX(FX_Input,AB$5,O$3*$Z$5+$AA$5-1)^0.5)*LOG10(INDEX(FX_Input,AB$5,O$3*$Z$5+$AA$5))-(1.854-(1042/(O1206+459.6)))*(INDEX(FX_Input,AB$5,O$3*$Z$5+$AA$5-1)^0.5)+((2416/(O1206+459.6)-2.013)*LOG10(INDEX(FX_Input,AB$5,O$3*$Z$5+$AA$5)))-(8742/(O1206+459.6))+15.64),EXP(INDEX(Antoines,MATCH(O1200,Antoine_Name,0),2)-INDEX(Antoines,MATCH(O1200,Antoine_Name,0),3)/(O1206+459.6))))),0)</f>
        <v>0</v>
      </c>
    </row>
    <row r="1212" spans="2:32" ht="17.149999999999999" x14ac:dyDescent="0.55000000000000004">
      <c r="B1212" t="str">
        <f t="shared" si="4372"/>
        <v>Portland</v>
      </c>
      <c r="C1212" t="s">
        <v>577</v>
      </c>
      <c r="D1212">
        <f>D1211*D1204</f>
        <v>0</v>
      </c>
      <c r="E1212">
        <f t="shared" ref="E1212" si="4384">E1211*E1204</f>
        <v>0</v>
      </c>
      <c r="F1212">
        <f t="shared" ref="F1212" si="4385">F1211*F1204</f>
        <v>0</v>
      </c>
      <c r="G1212">
        <f t="shared" ref="G1212" si="4386">G1211*G1204</f>
        <v>0</v>
      </c>
      <c r="H1212">
        <f t="shared" ref="H1212" si="4387">H1211*H1204</f>
        <v>0</v>
      </c>
      <c r="I1212">
        <f t="shared" ref="I1212" si="4388">I1211*I1204</f>
        <v>0</v>
      </c>
      <c r="J1212">
        <f t="shared" ref="J1212" si="4389">J1211*J1204</f>
        <v>0</v>
      </c>
      <c r="K1212">
        <f t="shared" ref="K1212" si="4390">K1211*K1204</f>
        <v>0</v>
      </c>
      <c r="L1212">
        <f t="shared" ref="L1212" si="4391">L1211*L1204</f>
        <v>0</v>
      </c>
      <c r="M1212">
        <f t="shared" ref="M1212" si="4392">M1211*M1204</f>
        <v>0</v>
      </c>
      <c r="N1212">
        <f t="shared" ref="N1212" si="4393">N1211*N1204</f>
        <v>0</v>
      </c>
      <c r="O1212">
        <f t="shared" ref="O1212" si="4394">O1211*O1204</f>
        <v>0</v>
      </c>
    </row>
    <row r="1213" spans="2:32" ht="17.149999999999999" x14ac:dyDescent="0.55000000000000004">
      <c r="B1213" t="str">
        <f t="shared" si="4372"/>
        <v>Portland</v>
      </c>
      <c r="C1213" t="s">
        <v>578</v>
      </c>
      <c r="D1213">
        <f>D1212+D1210</f>
        <v>1</v>
      </c>
      <c r="E1213">
        <f t="shared" ref="E1213" si="4395">E1212+E1210</f>
        <v>1</v>
      </c>
      <c r="F1213">
        <f t="shared" ref="F1213" si="4396">F1212+F1210</f>
        <v>1</v>
      </c>
      <c r="G1213">
        <f t="shared" ref="G1213" si="4397">G1212+G1210</f>
        <v>1</v>
      </c>
      <c r="H1213">
        <f t="shared" ref="H1213" si="4398">H1212+H1210</f>
        <v>1</v>
      </c>
      <c r="I1213">
        <f t="shared" ref="I1213" si="4399">I1212+I1210</f>
        <v>1</v>
      </c>
      <c r="J1213">
        <f t="shared" ref="J1213" si="4400">J1212+J1210</f>
        <v>1</v>
      </c>
      <c r="K1213">
        <f t="shared" ref="K1213" si="4401">K1212+K1210</f>
        <v>1</v>
      </c>
      <c r="L1213">
        <f t="shared" ref="L1213" si="4402">L1212+L1210</f>
        <v>1</v>
      </c>
      <c r="M1213">
        <f t="shared" ref="M1213" si="4403">M1212+M1210</f>
        <v>1</v>
      </c>
      <c r="N1213">
        <f t="shared" ref="N1213" si="4404">N1212+N1210</f>
        <v>1</v>
      </c>
      <c r="O1213">
        <f t="shared" ref="O1213" si="4405">O1212+O1210</f>
        <v>1</v>
      </c>
    </row>
    <row r="1214" spans="2:32" ht="17.149999999999999" x14ac:dyDescent="0.55000000000000004">
      <c r="B1214" t="str">
        <f t="shared" si="4372"/>
        <v>Portland</v>
      </c>
      <c r="C1214" t="s">
        <v>579</v>
      </c>
      <c r="D1214" cm="1">
        <f t="array" ref="D1214">IFERROR(IF(D1199="Chemical",(10^(INDEX(Antoines,MATCH(D1198,Antoine_Name,0),2)-INDEX(Antoines,MATCH(D1198,Antoine_Name,0),3)/(INDEX(Antoines,MATCH(D1198,Antoine_Name,0),4)+(D1207-32)*5/9)))*14.7/760,IF(D1199="Crude Oil",EXP((2799/(D1207+459.6)-2.227)*LOG10(INDEX(FX_Input,Q$5,D$3*$Z$5+$AA$5))-(7261/(D1207+459.6))+12.82),IF(D1199="Refined Petroleum Stock",EXP((0.7553-(413/(D1207+459.6)))*(INDEX(FX_Input,Q$5,D$3*$Z$5+$AA$5-1)^0.5)*LOG10(INDEX(FX_Input,Q$5,D$3*$Z$5+$AA$5))-(1.854-(1042/(D1207+459.6)))*(INDEX(FX_Input,Q$5,D$3*$Z$5+$AA$5-1)^0.5)+((2416/(D1207+459.6)-2.013)*LOG10(INDEX(FX_Input,Q$5,D$3*$Z$5+$AA$5)))-(8742/(D1207+459.6))+15.64),EXP(INDEX(Antoines,MATCH(D1198,Antoine_Name,0),2)-INDEX(Antoines,MATCH(D1198,Antoine_Name,0),3)/(D1207+459.6))))),0)</f>
        <v>1</v>
      </c>
      <c r="E1214" cm="1">
        <f t="array" ref="E1214">IFERROR(IF(E1199="Chemical",(10^(INDEX(Antoines,MATCH(E1198,Antoine_Name,0),2)-INDEX(Antoines,MATCH(E1198,Antoine_Name,0),3)/(INDEX(Antoines,MATCH(E1198,Antoine_Name,0),4)+(E1207-32)*5/9)))*14.7/760,IF(E1199="Crude Oil",EXP((2799/(E1207+459.6)-2.227)*LOG10(INDEX(FX_Input,R$5,E$3*$Z$5+$AA$5))-(7261/(E1207+459.6))+12.82),IF(E1199="Refined Petroleum Stock",EXP((0.7553-(413/(E1207+459.6)))*(INDEX(FX_Input,R$5,E$3*$Z$5+$AA$5-1)^0.5)*LOG10(INDEX(FX_Input,R$5,E$3*$Z$5+$AA$5))-(1.854-(1042/(E1207+459.6)))*(INDEX(FX_Input,R$5,E$3*$Z$5+$AA$5-1)^0.5)+((2416/(E1207+459.6)-2.013)*LOG10(INDEX(FX_Input,R$5,E$3*$Z$5+$AA$5)))-(8742/(E1207+459.6))+15.64),EXP(INDEX(Antoines,MATCH(E1198,Antoine_Name,0),2)-INDEX(Antoines,MATCH(E1198,Antoine_Name,0),3)/(E1207+459.6))))),0)</f>
        <v>1</v>
      </c>
      <c r="F1214" cm="1">
        <f t="array" ref="F1214">IFERROR(IF(F1199="Chemical",(10^(INDEX(Antoines,MATCH(F1198,Antoine_Name,0),2)-INDEX(Antoines,MATCH(F1198,Antoine_Name,0),3)/(INDEX(Antoines,MATCH(F1198,Antoine_Name,0),4)+(F1207-32)*5/9)))*14.7/760,IF(F1199="Crude Oil",EXP((2799/(F1207+459.6)-2.227)*LOG10(INDEX(FX_Input,S$5,F$3*$Z$5+$AA$5))-(7261/(F1207+459.6))+12.82),IF(F1199="Refined Petroleum Stock",EXP((0.7553-(413/(F1207+459.6)))*(INDEX(FX_Input,S$5,F$3*$Z$5+$AA$5-1)^0.5)*LOG10(INDEX(FX_Input,S$5,F$3*$Z$5+$AA$5))-(1.854-(1042/(F1207+459.6)))*(INDEX(FX_Input,S$5,F$3*$Z$5+$AA$5-1)^0.5)+((2416/(F1207+459.6)-2.013)*LOG10(INDEX(FX_Input,S$5,F$3*$Z$5+$AA$5)))-(8742/(F1207+459.6))+15.64),EXP(INDEX(Antoines,MATCH(F1198,Antoine_Name,0),2)-INDEX(Antoines,MATCH(F1198,Antoine_Name,0),3)/(F1207+459.6))))),0)</f>
        <v>1</v>
      </c>
      <c r="G1214" cm="1">
        <f t="array" ref="G1214">IFERROR(IF(G1199="Chemical",(10^(INDEX(Antoines,MATCH(G1198,Antoine_Name,0),2)-INDEX(Antoines,MATCH(G1198,Antoine_Name,0),3)/(INDEX(Antoines,MATCH(G1198,Antoine_Name,0),4)+(G1207-32)*5/9)))*14.7/760,IF(G1199="Crude Oil",EXP((2799/(G1207+459.6)-2.227)*LOG10(INDEX(FX_Input,T$5,G$3*$Z$5+$AA$5))-(7261/(G1207+459.6))+12.82),IF(G1199="Refined Petroleum Stock",EXP((0.7553-(413/(G1207+459.6)))*(INDEX(FX_Input,T$5,G$3*$Z$5+$AA$5-1)^0.5)*LOG10(INDEX(FX_Input,T$5,G$3*$Z$5+$AA$5))-(1.854-(1042/(G1207+459.6)))*(INDEX(FX_Input,T$5,G$3*$Z$5+$AA$5-1)^0.5)+((2416/(G1207+459.6)-2.013)*LOG10(INDEX(FX_Input,T$5,G$3*$Z$5+$AA$5)))-(8742/(G1207+459.6))+15.64),EXP(INDEX(Antoines,MATCH(G1198,Antoine_Name,0),2)-INDEX(Antoines,MATCH(G1198,Antoine_Name,0),3)/(G1207+459.6))))),0)</f>
        <v>1</v>
      </c>
      <c r="H1214" cm="1">
        <f t="array" ref="H1214">IFERROR(IF(H1199="Chemical",(10^(INDEX(Antoines,MATCH(H1198,Antoine_Name,0),2)-INDEX(Antoines,MATCH(H1198,Antoine_Name,0),3)/(INDEX(Antoines,MATCH(H1198,Antoine_Name,0),4)+(H1207-32)*5/9)))*14.7/760,IF(H1199="Crude Oil",EXP((2799/(H1207+459.6)-2.227)*LOG10(INDEX(FX_Input,U$5,H$3*$Z$5+$AA$5))-(7261/(H1207+459.6))+12.82),IF(H1199="Refined Petroleum Stock",EXP((0.7553-(413/(H1207+459.6)))*(INDEX(FX_Input,U$5,H$3*$Z$5+$AA$5-1)^0.5)*LOG10(INDEX(FX_Input,U$5,H$3*$Z$5+$AA$5))-(1.854-(1042/(H1207+459.6)))*(INDEX(FX_Input,U$5,H$3*$Z$5+$AA$5-1)^0.5)+((2416/(H1207+459.6)-2.013)*LOG10(INDEX(FX_Input,U$5,H$3*$Z$5+$AA$5)))-(8742/(H1207+459.6))+15.64),EXP(INDEX(Antoines,MATCH(H1198,Antoine_Name,0),2)-INDEX(Antoines,MATCH(H1198,Antoine_Name,0),3)/(H1207+459.6))))),0)</f>
        <v>1</v>
      </c>
      <c r="I1214" cm="1">
        <f t="array" ref="I1214">IFERROR(IF(I1199="Chemical",(10^(INDEX(Antoines,MATCH(I1198,Antoine_Name,0),2)-INDEX(Antoines,MATCH(I1198,Antoine_Name,0),3)/(INDEX(Antoines,MATCH(I1198,Antoine_Name,0),4)+(I1207-32)*5/9)))*14.7/760,IF(I1199="Crude Oil",EXP((2799/(I1207+459.6)-2.227)*LOG10(INDEX(FX_Input,V$5,I$3*$Z$5+$AA$5))-(7261/(I1207+459.6))+12.82),IF(I1199="Refined Petroleum Stock",EXP((0.7553-(413/(I1207+459.6)))*(INDEX(FX_Input,V$5,I$3*$Z$5+$AA$5-1)^0.5)*LOG10(INDEX(FX_Input,V$5,I$3*$Z$5+$AA$5))-(1.854-(1042/(I1207+459.6)))*(INDEX(FX_Input,V$5,I$3*$Z$5+$AA$5-1)^0.5)+((2416/(I1207+459.6)-2.013)*LOG10(INDEX(FX_Input,V$5,I$3*$Z$5+$AA$5)))-(8742/(I1207+459.6))+15.64),EXP(INDEX(Antoines,MATCH(I1198,Antoine_Name,0),2)-INDEX(Antoines,MATCH(I1198,Antoine_Name,0),3)/(I1207+459.6))))),0)</f>
        <v>1</v>
      </c>
      <c r="J1214" cm="1">
        <f t="array" ref="J1214">IFERROR(IF(J1199="Chemical",(10^(INDEX(Antoines,MATCH(J1198,Antoine_Name,0),2)-INDEX(Antoines,MATCH(J1198,Antoine_Name,0),3)/(INDEX(Antoines,MATCH(J1198,Antoine_Name,0),4)+(J1207-32)*5/9)))*14.7/760,IF(J1199="Crude Oil",EXP((2799/(J1207+459.6)-2.227)*LOG10(INDEX(FX_Input,W$5,J$3*$Z$5+$AA$5))-(7261/(J1207+459.6))+12.82),IF(J1199="Refined Petroleum Stock",EXP((0.7553-(413/(J1207+459.6)))*(INDEX(FX_Input,W$5,J$3*$Z$5+$AA$5-1)^0.5)*LOG10(INDEX(FX_Input,W$5,J$3*$Z$5+$AA$5))-(1.854-(1042/(J1207+459.6)))*(INDEX(FX_Input,W$5,J$3*$Z$5+$AA$5-1)^0.5)+((2416/(J1207+459.6)-2.013)*LOG10(INDEX(FX_Input,W$5,J$3*$Z$5+$AA$5)))-(8742/(J1207+459.6))+15.64),EXP(INDEX(Antoines,MATCH(J1198,Antoine_Name,0),2)-INDEX(Antoines,MATCH(J1198,Antoine_Name,0),3)/(J1207+459.6))))),0)</f>
        <v>1</v>
      </c>
      <c r="K1214" cm="1">
        <f t="array" ref="K1214">IFERROR(IF(K1199="Chemical",(10^(INDEX(Antoines,MATCH(K1198,Antoine_Name,0),2)-INDEX(Antoines,MATCH(K1198,Antoine_Name,0),3)/(INDEX(Antoines,MATCH(K1198,Antoine_Name,0),4)+(K1207-32)*5/9)))*14.7/760,IF(K1199="Crude Oil",EXP((2799/(K1207+459.6)-2.227)*LOG10(INDEX(FX_Input,X$5,K$3*$Z$5+$AA$5))-(7261/(K1207+459.6))+12.82),IF(K1199="Refined Petroleum Stock",EXP((0.7553-(413/(K1207+459.6)))*(INDEX(FX_Input,X$5,K$3*$Z$5+$AA$5-1)^0.5)*LOG10(INDEX(FX_Input,X$5,K$3*$Z$5+$AA$5))-(1.854-(1042/(K1207+459.6)))*(INDEX(FX_Input,X$5,K$3*$Z$5+$AA$5-1)^0.5)+((2416/(K1207+459.6)-2.013)*LOG10(INDEX(FX_Input,X$5,K$3*$Z$5+$AA$5)))-(8742/(K1207+459.6))+15.64),EXP(INDEX(Antoines,MATCH(K1198,Antoine_Name,0),2)-INDEX(Antoines,MATCH(K1198,Antoine_Name,0),3)/(K1207+459.6))))),0)</f>
        <v>1</v>
      </c>
      <c r="L1214" cm="1">
        <f t="array" ref="L1214">IFERROR(IF(L1199="Chemical",(10^(INDEX(Antoines,MATCH(L1198,Antoine_Name,0),2)-INDEX(Antoines,MATCH(L1198,Antoine_Name,0),3)/(INDEX(Antoines,MATCH(L1198,Antoine_Name,0),4)+(L1207-32)*5/9)))*14.7/760,IF(L1199="Crude Oil",EXP((2799/(L1207+459.6)-2.227)*LOG10(INDEX(FX_Input,Y$5,L$3*$Z$5+$AA$5))-(7261/(L1207+459.6))+12.82),IF(L1199="Refined Petroleum Stock",EXP((0.7553-(413/(L1207+459.6)))*(INDEX(FX_Input,Y$5,L$3*$Z$5+$AA$5-1)^0.5)*LOG10(INDEX(FX_Input,Y$5,L$3*$Z$5+$AA$5))-(1.854-(1042/(L1207+459.6)))*(INDEX(FX_Input,Y$5,L$3*$Z$5+$AA$5-1)^0.5)+((2416/(L1207+459.6)-2.013)*LOG10(INDEX(FX_Input,Y$5,L$3*$Z$5+$AA$5)))-(8742/(L1207+459.6))+15.64),EXP(INDEX(Antoines,MATCH(L1198,Antoine_Name,0),2)-INDEX(Antoines,MATCH(L1198,Antoine_Name,0),3)/(L1207+459.6))))),0)</f>
        <v>1</v>
      </c>
      <c r="M1214" cm="1">
        <f t="array" ref="M1214">IFERROR(IF(M1199="Chemical",(10^(INDEX(Antoines,MATCH(M1198,Antoine_Name,0),2)-INDEX(Antoines,MATCH(M1198,Antoine_Name,0),3)/(INDEX(Antoines,MATCH(M1198,Antoine_Name,0),4)+(M1207-32)*5/9)))*14.7/760,IF(M1199="Crude Oil",EXP((2799/(M1207+459.6)-2.227)*LOG10(INDEX(FX_Input,Z$5,M$3*$Z$5+$AA$5))-(7261/(M1207+459.6))+12.82),IF(M1199="Refined Petroleum Stock",EXP((0.7553-(413/(M1207+459.6)))*(INDEX(FX_Input,Z$5,M$3*$Z$5+$AA$5-1)^0.5)*LOG10(INDEX(FX_Input,Z$5,M$3*$Z$5+$AA$5))-(1.854-(1042/(M1207+459.6)))*(INDEX(FX_Input,Z$5,M$3*$Z$5+$AA$5-1)^0.5)+((2416/(M1207+459.6)-2.013)*LOG10(INDEX(FX_Input,Z$5,M$3*$Z$5+$AA$5)))-(8742/(M1207+459.6))+15.64),EXP(INDEX(Antoines,MATCH(M1198,Antoine_Name,0),2)-INDEX(Antoines,MATCH(M1198,Antoine_Name,0),3)/(M1207+459.6))))),0)</f>
        <v>1</v>
      </c>
      <c r="N1214" cm="1">
        <f t="array" ref="N1214">IFERROR(IF(N1199="Chemical",(10^(INDEX(Antoines,MATCH(N1198,Antoine_Name,0),2)-INDEX(Antoines,MATCH(N1198,Antoine_Name,0),3)/(INDEX(Antoines,MATCH(N1198,Antoine_Name,0),4)+(N1207-32)*5/9)))*14.7/760,IF(N1199="Crude Oil",EXP((2799/(N1207+459.6)-2.227)*LOG10(INDEX(FX_Input,AA$5,N$3*$Z$5+$AA$5))-(7261/(N1207+459.6))+12.82),IF(N1199="Refined Petroleum Stock",EXP((0.7553-(413/(N1207+459.6)))*(INDEX(FX_Input,AA$5,N$3*$Z$5+$AA$5-1)^0.5)*LOG10(INDEX(FX_Input,AA$5,N$3*$Z$5+$AA$5))-(1.854-(1042/(N1207+459.6)))*(INDEX(FX_Input,AA$5,N$3*$Z$5+$AA$5-1)^0.5)+((2416/(N1207+459.6)-2.013)*LOG10(INDEX(FX_Input,AA$5,N$3*$Z$5+$AA$5)))-(8742/(N1207+459.6))+15.64),EXP(INDEX(Antoines,MATCH(N1198,Antoine_Name,0),2)-INDEX(Antoines,MATCH(N1198,Antoine_Name,0),3)/(N1207+459.6))))),0)</f>
        <v>1</v>
      </c>
      <c r="O1214" cm="1">
        <f t="array" ref="O1214">IFERROR(IF(O1199="Chemical",(10^(INDEX(Antoines,MATCH(O1198,Antoine_Name,0),2)-INDEX(Antoines,MATCH(O1198,Antoine_Name,0),3)/(INDEX(Antoines,MATCH(O1198,Antoine_Name,0),4)+(O1207-32)*5/9)))*14.7/760,IF(O1199="Crude Oil",EXP((2799/(O1207+459.6)-2.227)*LOG10(INDEX(FX_Input,AB$5,O$3*$Z$5+$AA$5))-(7261/(O1207+459.6))+12.82),IF(O1199="Refined Petroleum Stock",EXP((0.7553-(413/(O1207+459.6)))*(INDEX(FX_Input,AB$5,O$3*$Z$5+$AA$5-1)^0.5)*LOG10(INDEX(FX_Input,AB$5,O$3*$Z$5+$AA$5))-(1.854-(1042/(O1207+459.6)))*(INDEX(FX_Input,AB$5,O$3*$Z$5+$AA$5-1)^0.5)+((2416/(O1207+459.6)-2.013)*LOG10(INDEX(FX_Input,AB$5,O$3*$Z$5+$AA$5)))-(8742/(O1207+459.6))+15.64),EXP(INDEX(Antoines,MATCH(O1198,Antoine_Name,0),2)-INDEX(Antoines,MATCH(O1198,Antoine_Name,0),3)/(O1207+459.6))))),0)</f>
        <v>1</v>
      </c>
    </row>
    <row r="1215" spans="2:32" ht="17.149999999999999" x14ac:dyDescent="0.55000000000000004">
      <c r="B1215" t="str">
        <f t="shared" si="4372"/>
        <v>Portland</v>
      </c>
      <c r="C1215" t="s">
        <v>580</v>
      </c>
      <c r="D1215">
        <f>D1214*D1202</f>
        <v>1</v>
      </c>
      <c r="E1215">
        <f t="shared" ref="E1215" si="4406">E1214*E1202</f>
        <v>1</v>
      </c>
      <c r="F1215">
        <f t="shared" ref="F1215" si="4407">F1214*F1202</f>
        <v>1</v>
      </c>
      <c r="G1215">
        <f t="shared" ref="G1215" si="4408">G1214*G1202</f>
        <v>1</v>
      </c>
      <c r="H1215">
        <f t="shared" ref="H1215" si="4409">H1214*H1202</f>
        <v>1</v>
      </c>
      <c r="I1215">
        <f t="shared" ref="I1215" si="4410">I1214*I1202</f>
        <v>1</v>
      </c>
      <c r="J1215">
        <f t="shared" ref="J1215" si="4411">J1214*J1202</f>
        <v>1</v>
      </c>
      <c r="K1215">
        <f t="shared" ref="K1215" si="4412">K1214*K1202</f>
        <v>1</v>
      </c>
      <c r="L1215">
        <f t="shared" ref="L1215" si="4413">L1214*L1202</f>
        <v>1</v>
      </c>
      <c r="M1215">
        <f t="shared" ref="M1215" si="4414">M1214*M1202</f>
        <v>1</v>
      </c>
      <c r="N1215">
        <f t="shared" ref="N1215" si="4415">N1214*N1202</f>
        <v>1</v>
      </c>
      <c r="O1215">
        <f t="shared" ref="O1215" si="4416">O1214*O1202</f>
        <v>1</v>
      </c>
    </row>
    <row r="1216" spans="2:32" ht="17.149999999999999" x14ac:dyDescent="0.55000000000000004">
      <c r="B1216" t="str">
        <f t="shared" si="4372"/>
        <v>Portland</v>
      </c>
      <c r="C1216" t="s">
        <v>581</v>
      </c>
      <c r="D1216" cm="1">
        <f t="array" ref="D1216">IFERROR(IF(D1201="Chemical",(10^(INDEX(Antoines,MATCH(D1200,Antoine_Name,0),2)-INDEX(Antoines,MATCH(D1200,Antoine_Name,0),3)/(INDEX(Antoines,MATCH(D1200,Antoine_Name,0),4)+(D1207-32)*5/9)))*14.7/760,IF(D1201="Crude Oil",EXP((2799/(D1207+459.6)-2.227)*LOG10(INDEX(FX_Input,Q$5,D$3*$Z$5+$AA$5))-(7261/(D1207+459.6))+12.82),IF(D1201="Refined Petroleum Stock",EXP((0.7553-(413/(D1207+459.6)))*(INDEX(FX_Input,Q$5,D$3*$Z$5+$AA$5-1)^0.5)*LOG10(INDEX(FX_Input,Q$5,D$3*$Z$5+$AA$5))-(1.854-(1042/(D1207+459.6)))*(INDEX(FX_Input,Q$5,D$3*$Z$5+$AA$5-1)^0.5)+((2416/(D1207+459.6)-2.013)*LOG10(INDEX(FX_Input,Q$5,D$3*$Z$5+$AA$5)))-(8742/(D1207+459.6))+15.64),EXP(INDEX(Antoines,MATCH(D1200,Antoine_Name,0),2)-INDEX(Antoines,MATCH(D1200,Antoine_Name,0),3)/(D1207+459.6))))),0)</f>
        <v>0</v>
      </c>
      <c r="E1216" cm="1">
        <f t="array" ref="E1216">IFERROR(IF(E1201="Chemical",(10^(INDEX(Antoines,MATCH(E1200,Antoine_Name,0),2)-INDEX(Antoines,MATCH(E1200,Antoine_Name,0),3)/(INDEX(Antoines,MATCH(E1200,Antoine_Name,0),4)+(E1207-32)*5/9)))*14.7/760,IF(E1201="Crude Oil",EXP((2799/(E1207+459.6)-2.227)*LOG10(INDEX(FX_Input,R$5,E$3*$Z$5+$AA$5))-(7261/(E1207+459.6))+12.82),IF(E1201="Refined Petroleum Stock",EXP((0.7553-(413/(E1207+459.6)))*(INDEX(FX_Input,R$5,E$3*$Z$5+$AA$5-1)^0.5)*LOG10(INDEX(FX_Input,R$5,E$3*$Z$5+$AA$5))-(1.854-(1042/(E1207+459.6)))*(INDEX(FX_Input,R$5,E$3*$Z$5+$AA$5-1)^0.5)+((2416/(E1207+459.6)-2.013)*LOG10(INDEX(FX_Input,R$5,E$3*$Z$5+$AA$5)))-(8742/(E1207+459.6))+15.64),EXP(INDEX(Antoines,MATCH(E1200,Antoine_Name,0),2)-INDEX(Antoines,MATCH(E1200,Antoine_Name,0),3)/(E1207+459.6))))),0)</f>
        <v>0</v>
      </c>
      <c r="F1216" cm="1">
        <f t="array" ref="F1216">IFERROR(IF(F1201="Chemical",(10^(INDEX(Antoines,MATCH(F1200,Antoine_Name,0),2)-INDEX(Antoines,MATCH(F1200,Antoine_Name,0),3)/(INDEX(Antoines,MATCH(F1200,Antoine_Name,0),4)+(F1207-32)*5/9)))*14.7/760,IF(F1201="Crude Oil",EXP((2799/(F1207+459.6)-2.227)*LOG10(INDEX(FX_Input,S$5,F$3*$Z$5+$AA$5))-(7261/(F1207+459.6))+12.82),IF(F1201="Refined Petroleum Stock",EXP((0.7553-(413/(F1207+459.6)))*(INDEX(FX_Input,S$5,F$3*$Z$5+$AA$5-1)^0.5)*LOG10(INDEX(FX_Input,S$5,F$3*$Z$5+$AA$5))-(1.854-(1042/(F1207+459.6)))*(INDEX(FX_Input,S$5,F$3*$Z$5+$AA$5-1)^0.5)+((2416/(F1207+459.6)-2.013)*LOG10(INDEX(FX_Input,S$5,F$3*$Z$5+$AA$5)))-(8742/(F1207+459.6))+15.64),EXP(INDEX(Antoines,MATCH(F1200,Antoine_Name,0),2)-INDEX(Antoines,MATCH(F1200,Antoine_Name,0),3)/(F1207+459.6))))),0)</f>
        <v>0</v>
      </c>
      <c r="G1216" cm="1">
        <f t="array" ref="G1216">IFERROR(IF(G1201="Chemical",(10^(INDEX(Antoines,MATCH(G1200,Antoine_Name,0),2)-INDEX(Antoines,MATCH(G1200,Antoine_Name,0),3)/(INDEX(Antoines,MATCH(G1200,Antoine_Name,0),4)+(G1207-32)*5/9)))*14.7/760,IF(G1201="Crude Oil",EXP((2799/(G1207+459.6)-2.227)*LOG10(INDEX(FX_Input,T$5,G$3*$Z$5+$AA$5))-(7261/(G1207+459.6))+12.82),IF(G1201="Refined Petroleum Stock",EXP((0.7553-(413/(G1207+459.6)))*(INDEX(FX_Input,T$5,G$3*$Z$5+$AA$5-1)^0.5)*LOG10(INDEX(FX_Input,T$5,G$3*$Z$5+$AA$5))-(1.854-(1042/(G1207+459.6)))*(INDEX(FX_Input,T$5,G$3*$Z$5+$AA$5-1)^0.5)+((2416/(G1207+459.6)-2.013)*LOG10(INDEX(FX_Input,T$5,G$3*$Z$5+$AA$5)))-(8742/(G1207+459.6))+15.64),EXP(INDEX(Antoines,MATCH(G1200,Antoine_Name,0),2)-INDEX(Antoines,MATCH(G1200,Antoine_Name,0),3)/(G1207+459.6))))),0)</f>
        <v>0</v>
      </c>
      <c r="H1216" cm="1">
        <f t="array" ref="H1216">IFERROR(IF(H1201="Chemical",(10^(INDEX(Antoines,MATCH(H1200,Antoine_Name,0),2)-INDEX(Antoines,MATCH(H1200,Antoine_Name,0),3)/(INDEX(Antoines,MATCH(H1200,Antoine_Name,0),4)+(H1207-32)*5/9)))*14.7/760,IF(H1201="Crude Oil",EXP((2799/(H1207+459.6)-2.227)*LOG10(INDEX(FX_Input,U$5,H$3*$Z$5+$AA$5))-(7261/(H1207+459.6))+12.82),IF(H1201="Refined Petroleum Stock",EXP((0.7553-(413/(H1207+459.6)))*(INDEX(FX_Input,U$5,H$3*$Z$5+$AA$5-1)^0.5)*LOG10(INDEX(FX_Input,U$5,H$3*$Z$5+$AA$5))-(1.854-(1042/(H1207+459.6)))*(INDEX(FX_Input,U$5,H$3*$Z$5+$AA$5-1)^0.5)+((2416/(H1207+459.6)-2.013)*LOG10(INDEX(FX_Input,U$5,H$3*$Z$5+$AA$5)))-(8742/(H1207+459.6))+15.64),EXP(INDEX(Antoines,MATCH(H1200,Antoine_Name,0),2)-INDEX(Antoines,MATCH(H1200,Antoine_Name,0),3)/(H1207+459.6))))),0)</f>
        <v>0</v>
      </c>
      <c r="I1216" cm="1">
        <f t="array" ref="I1216">IFERROR(IF(I1201="Chemical",(10^(INDEX(Antoines,MATCH(I1200,Antoine_Name,0),2)-INDEX(Antoines,MATCH(I1200,Antoine_Name,0),3)/(INDEX(Antoines,MATCH(I1200,Antoine_Name,0),4)+(I1207-32)*5/9)))*14.7/760,IF(I1201="Crude Oil",EXP((2799/(I1207+459.6)-2.227)*LOG10(INDEX(FX_Input,V$5,I$3*$Z$5+$AA$5))-(7261/(I1207+459.6))+12.82),IF(I1201="Refined Petroleum Stock",EXP((0.7553-(413/(I1207+459.6)))*(INDEX(FX_Input,V$5,I$3*$Z$5+$AA$5-1)^0.5)*LOG10(INDEX(FX_Input,V$5,I$3*$Z$5+$AA$5))-(1.854-(1042/(I1207+459.6)))*(INDEX(FX_Input,V$5,I$3*$Z$5+$AA$5-1)^0.5)+((2416/(I1207+459.6)-2.013)*LOG10(INDEX(FX_Input,V$5,I$3*$Z$5+$AA$5)))-(8742/(I1207+459.6))+15.64),EXP(INDEX(Antoines,MATCH(I1200,Antoine_Name,0),2)-INDEX(Antoines,MATCH(I1200,Antoine_Name,0),3)/(I1207+459.6))))),0)</f>
        <v>0</v>
      </c>
      <c r="J1216" cm="1">
        <f t="array" ref="J1216">IFERROR(IF(J1201="Chemical",(10^(INDEX(Antoines,MATCH(J1200,Antoine_Name,0),2)-INDEX(Antoines,MATCH(J1200,Antoine_Name,0),3)/(INDEX(Antoines,MATCH(J1200,Antoine_Name,0),4)+(J1207-32)*5/9)))*14.7/760,IF(J1201="Crude Oil",EXP((2799/(J1207+459.6)-2.227)*LOG10(INDEX(FX_Input,W$5,J$3*$Z$5+$AA$5))-(7261/(J1207+459.6))+12.82),IF(J1201="Refined Petroleum Stock",EXP((0.7553-(413/(J1207+459.6)))*(INDEX(FX_Input,W$5,J$3*$Z$5+$AA$5-1)^0.5)*LOG10(INDEX(FX_Input,W$5,J$3*$Z$5+$AA$5))-(1.854-(1042/(J1207+459.6)))*(INDEX(FX_Input,W$5,J$3*$Z$5+$AA$5-1)^0.5)+((2416/(J1207+459.6)-2.013)*LOG10(INDEX(FX_Input,W$5,J$3*$Z$5+$AA$5)))-(8742/(J1207+459.6))+15.64),EXP(INDEX(Antoines,MATCH(J1200,Antoine_Name,0),2)-INDEX(Antoines,MATCH(J1200,Antoine_Name,0),3)/(J1207+459.6))))),0)</f>
        <v>0</v>
      </c>
      <c r="K1216" cm="1">
        <f t="array" ref="K1216">IFERROR(IF(K1201="Chemical",(10^(INDEX(Antoines,MATCH(K1200,Antoine_Name,0),2)-INDEX(Antoines,MATCH(K1200,Antoine_Name,0),3)/(INDEX(Antoines,MATCH(K1200,Antoine_Name,0),4)+(K1207-32)*5/9)))*14.7/760,IF(K1201="Crude Oil",EXP((2799/(K1207+459.6)-2.227)*LOG10(INDEX(FX_Input,X$5,K$3*$Z$5+$AA$5))-(7261/(K1207+459.6))+12.82),IF(K1201="Refined Petroleum Stock",EXP((0.7553-(413/(K1207+459.6)))*(INDEX(FX_Input,X$5,K$3*$Z$5+$AA$5-1)^0.5)*LOG10(INDEX(FX_Input,X$5,K$3*$Z$5+$AA$5))-(1.854-(1042/(K1207+459.6)))*(INDEX(FX_Input,X$5,K$3*$Z$5+$AA$5-1)^0.5)+((2416/(K1207+459.6)-2.013)*LOG10(INDEX(FX_Input,X$5,K$3*$Z$5+$AA$5)))-(8742/(K1207+459.6))+15.64),EXP(INDEX(Antoines,MATCH(K1200,Antoine_Name,0),2)-INDEX(Antoines,MATCH(K1200,Antoine_Name,0),3)/(K1207+459.6))))),0)</f>
        <v>0</v>
      </c>
      <c r="L1216" cm="1">
        <f t="array" ref="L1216">IFERROR(IF(L1201="Chemical",(10^(INDEX(Antoines,MATCH(L1200,Antoine_Name,0),2)-INDEX(Antoines,MATCH(L1200,Antoine_Name,0),3)/(INDEX(Antoines,MATCH(L1200,Antoine_Name,0),4)+(L1207-32)*5/9)))*14.7/760,IF(L1201="Crude Oil",EXP((2799/(L1207+459.6)-2.227)*LOG10(INDEX(FX_Input,Y$5,L$3*$Z$5+$AA$5))-(7261/(L1207+459.6))+12.82),IF(L1201="Refined Petroleum Stock",EXP((0.7553-(413/(L1207+459.6)))*(INDEX(FX_Input,Y$5,L$3*$Z$5+$AA$5-1)^0.5)*LOG10(INDEX(FX_Input,Y$5,L$3*$Z$5+$AA$5))-(1.854-(1042/(L1207+459.6)))*(INDEX(FX_Input,Y$5,L$3*$Z$5+$AA$5-1)^0.5)+((2416/(L1207+459.6)-2.013)*LOG10(INDEX(FX_Input,Y$5,L$3*$Z$5+$AA$5)))-(8742/(L1207+459.6))+15.64),EXP(INDEX(Antoines,MATCH(L1200,Antoine_Name,0),2)-INDEX(Antoines,MATCH(L1200,Antoine_Name,0),3)/(L1207+459.6))))),0)</f>
        <v>0</v>
      </c>
      <c r="M1216" cm="1">
        <f t="array" ref="M1216">IFERROR(IF(M1201="Chemical",(10^(INDEX(Antoines,MATCH(M1200,Antoine_Name,0),2)-INDEX(Antoines,MATCH(M1200,Antoine_Name,0),3)/(INDEX(Antoines,MATCH(M1200,Antoine_Name,0),4)+(M1207-32)*5/9)))*14.7/760,IF(M1201="Crude Oil",EXP((2799/(M1207+459.6)-2.227)*LOG10(INDEX(FX_Input,Z$5,M$3*$Z$5+$AA$5))-(7261/(M1207+459.6))+12.82),IF(M1201="Refined Petroleum Stock",EXP((0.7553-(413/(M1207+459.6)))*(INDEX(FX_Input,Z$5,M$3*$Z$5+$AA$5-1)^0.5)*LOG10(INDEX(FX_Input,Z$5,M$3*$Z$5+$AA$5))-(1.854-(1042/(M1207+459.6)))*(INDEX(FX_Input,Z$5,M$3*$Z$5+$AA$5-1)^0.5)+((2416/(M1207+459.6)-2.013)*LOG10(INDEX(FX_Input,Z$5,M$3*$Z$5+$AA$5)))-(8742/(M1207+459.6))+15.64),EXP(INDEX(Antoines,MATCH(M1200,Antoine_Name,0),2)-INDEX(Antoines,MATCH(M1200,Antoine_Name,0),3)/(M1207+459.6))))),0)</f>
        <v>0</v>
      </c>
      <c r="N1216" cm="1">
        <f t="array" ref="N1216">IFERROR(IF(N1201="Chemical",(10^(INDEX(Antoines,MATCH(N1200,Antoine_Name,0),2)-INDEX(Antoines,MATCH(N1200,Antoine_Name,0),3)/(INDEX(Antoines,MATCH(N1200,Antoine_Name,0),4)+(N1207-32)*5/9)))*14.7/760,IF(N1201="Crude Oil",EXP((2799/(N1207+459.6)-2.227)*LOG10(INDEX(FX_Input,AA$5,N$3*$Z$5+$AA$5))-(7261/(N1207+459.6))+12.82),IF(N1201="Refined Petroleum Stock",EXP((0.7553-(413/(N1207+459.6)))*(INDEX(FX_Input,AA$5,N$3*$Z$5+$AA$5-1)^0.5)*LOG10(INDEX(FX_Input,AA$5,N$3*$Z$5+$AA$5))-(1.854-(1042/(N1207+459.6)))*(INDEX(FX_Input,AA$5,N$3*$Z$5+$AA$5-1)^0.5)+((2416/(N1207+459.6)-2.013)*LOG10(INDEX(FX_Input,AA$5,N$3*$Z$5+$AA$5)))-(8742/(N1207+459.6))+15.64),EXP(INDEX(Antoines,MATCH(N1200,Antoine_Name,0),2)-INDEX(Antoines,MATCH(N1200,Antoine_Name,0),3)/(N1207+459.6))))),0)</f>
        <v>0</v>
      </c>
      <c r="O1216" cm="1">
        <f t="array" ref="O1216">IFERROR(IF(O1201="Chemical",(10^(INDEX(Antoines,MATCH(O1200,Antoine_Name,0),2)-INDEX(Antoines,MATCH(O1200,Antoine_Name,0),3)/(INDEX(Antoines,MATCH(O1200,Antoine_Name,0),4)+(O1207-32)*5/9)))*14.7/760,IF(O1201="Crude Oil",EXP((2799/(O1207+459.6)-2.227)*LOG10(INDEX(FX_Input,AB$5,O$3*$Z$5+$AA$5))-(7261/(O1207+459.6))+12.82),IF(O1201="Refined Petroleum Stock",EXP((0.7553-(413/(O1207+459.6)))*(INDEX(FX_Input,AB$5,O$3*$Z$5+$AA$5-1)^0.5)*LOG10(INDEX(FX_Input,AB$5,O$3*$Z$5+$AA$5))-(1.854-(1042/(O1207+459.6)))*(INDEX(FX_Input,AB$5,O$3*$Z$5+$AA$5-1)^0.5)+((2416/(O1207+459.6)-2.013)*LOG10(INDEX(FX_Input,AB$5,O$3*$Z$5+$AA$5)))-(8742/(O1207+459.6))+15.64),EXP(INDEX(Antoines,MATCH(O1200,Antoine_Name,0),2)-INDEX(Antoines,MATCH(O1200,Antoine_Name,0),3)/(O1207+459.6))))),0)</f>
        <v>0</v>
      </c>
    </row>
    <row r="1217" spans="1:32" ht="17.149999999999999" x14ac:dyDescent="0.55000000000000004">
      <c r="B1217" t="str">
        <f t="shared" si="4372"/>
        <v>Portland</v>
      </c>
      <c r="C1217" t="s">
        <v>582</v>
      </c>
      <c r="D1217">
        <f>D1216*D1204</f>
        <v>0</v>
      </c>
      <c r="E1217">
        <f t="shared" ref="E1217" si="4417">E1216*E1204</f>
        <v>0</v>
      </c>
      <c r="F1217">
        <f t="shared" ref="F1217" si="4418">F1216*F1204</f>
        <v>0</v>
      </c>
      <c r="G1217">
        <f t="shared" ref="G1217" si="4419">G1216*G1204</f>
        <v>0</v>
      </c>
      <c r="H1217">
        <f t="shared" ref="H1217" si="4420">H1216*H1204</f>
        <v>0</v>
      </c>
      <c r="I1217">
        <f t="shared" ref="I1217" si="4421">I1216*I1204</f>
        <v>0</v>
      </c>
      <c r="J1217">
        <f t="shared" ref="J1217" si="4422">J1216*J1204</f>
        <v>0</v>
      </c>
      <c r="K1217">
        <f t="shared" ref="K1217" si="4423">K1216*K1204</f>
        <v>0</v>
      </c>
      <c r="L1217">
        <f t="shared" ref="L1217" si="4424">L1216*L1204</f>
        <v>0</v>
      </c>
      <c r="M1217">
        <f t="shared" ref="M1217" si="4425">M1216*M1204</f>
        <v>0</v>
      </c>
      <c r="N1217">
        <f t="shared" ref="N1217" si="4426">N1216*N1204</f>
        <v>0</v>
      </c>
      <c r="O1217">
        <f t="shared" ref="O1217" si="4427">O1216*O1204</f>
        <v>0</v>
      </c>
    </row>
    <row r="1218" spans="1:32" ht="17.149999999999999" x14ac:dyDescent="0.55000000000000004">
      <c r="B1218" t="str">
        <f t="shared" si="4372"/>
        <v>Portland</v>
      </c>
      <c r="C1218" t="s">
        <v>583</v>
      </c>
      <c r="D1218">
        <f>D1215+D1217</f>
        <v>1</v>
      </c>
      <c r="E1218">
        <f t="shared" ref="E1218" si="4428">E1215+E1217</f>
        <v>1</v>
      </c>
      <c r="F1218">
        <f t="shared" ref="F1218" si="4429">F1215+F1217</f>
        <v>1</v>
      </c>
      <c r="G1218">
        <f t="shared" ref="G1218" si="4430">G1215+G1217</f>
        <v>1</v>
      </c>
      <c r="H1218">
        <f t="shared" ref="H1218" si="4431">H1215+H1217</f>
        <v>1</v>
      </c>
      <c r="I1218">
        <f t="shared" ref="I1218" si="4432">I1215+I1217</f>
        <v>1</v>
      </c>
      <c r="J1218">
        <f t="shared" ref="J1218" si="4433">J1215+J1217</f>
        <v>1</v>
      </c>
      <c r="K1218">
        <f t="shared" ref="K1218" si="4434">K1215+K1217</f>
        <v>1</v>
      </c>
      <c r="L1218">
        <f t="shared" ref="L1218" si="4435">L1215+L1217</f>
        <v>1</v>
      </c>
      <c r="M1218">
        <f t="shared" ref="M1218" si="4436">M1215+M1217</f>
        <v>1</v>
      </c>
      <c r="N1218">
        <f t="shared" ref="N1218" si="4437">N1215+N1217</f>
        <v>1</v>
      </c>
      <c r="O1218">
        <f t="shared" ref="O1218" si="4438">O1215+O1217</f>
        <v>1</v>
      </c>
    </row>
    <row r="1219" spans="1:32" ht="17.149999999999999" x14ac:dyDescent="0.55000000000000004">
      <c r="B1219" t="str">
        <f t="shared" si="4372"/>
        <v>Portland</v>
      </c>
      <c r="C1219" t="s">
        <v>1388</v>
      </c>
      <c r="D1219" cm="1">
        <f t="array" ref="D1219">IFERROR(IF(D1199="Chemical",(10^(INDEX(Antoines,MATCH(D1198,Antoine_Name,0),2)-INDEX(Antoines,MATCH(D1198,Antoine_Name,0),3)/(INDEX(Antoines,MATCH(D1198,Antoine_Name,0),4)+(D1208-32)*5/9)))*14.7/760,IF(D1199="Crude Oil",EXP((2799/(D1208+459.6)-2.227)*LOG10(INDEX(FX_Input,Q$5,D$3*$Z$5+$AA$5))-(7261/(D1208+459.6))+12.82),IF(D1199="Refined Petroleum Stock",EXP((0.7553-(413/(D1208+459.6)))*(INDEX(FX_Input,Q$5,D$3*$Z$5+$AA$5-1)^0.5)*LOG10(INDEX(FX_Input,Q$5,D$3*$Z$5+$AA$5))-(1.854-(1042/(D1208+459.6)))*(INDEX(FX_Input,Q$5,D$3*$Z$5+$AA$5-1)^0.5)+((2416/(D1208+459.6)-2.013)*LOG10(INDEX(FX_Input,Q$5,D$3*$Z$5+$AA$5)))-(8742/(D1208+459.6))+15.64),EXP(INDEX(Antoines,MATCH(D1198,Antoine_Name,0),2)-INDEX(Antoines,MATCH(D1198,Antoine_Name,0),3)/(D1208+459.6))))),0)</f>
        <v>1</v>
      </c>
      <c r="E1219" cm="1">
        <f t="array" ref="E1219">IFERROR(IF(E1199="Chemical",(10^(INDEX(Antoines,MATCH(E1198,Antoine_Name,0),2)-INDEX(Antoines,MATCH(E1198,Antoine_Name,0),3)/(INDEX(Antoines,MATCH(E1198,Antoine_Name,0),4)+(E1208-32)*5/9)))*14.7/760,IF(E1199="Crude Oil",EXP((2799/(E1208+459.6)-2.227)*LOG10(INDEX(FX_Input,R$5,E$3*$Z$5+$AA$5))-(7261/(E1208+459.6))+12.82),IF(E1199="Refined Petroleum Stock",EXP((0.7553-(413/(E1208+459.6)))*(INDEX(FX_Input,R$5,E$3*$Z$5+$AA$5-1)^0.5)*LOG10(INDEX(FX_Input,R$5,E$3*$Z$5+$AA$5))-(1.854-(1042/(E1208+459.6)))*(INDEX(FX_Input,R$5,E$3*$Z$5+$AA$5-1)^0.5)+((2416/(E1208+459.6)-2.013)*LOG10(INDEX(FX_Input,R$5,E$3*$Z$5+$AA$5)))-(8742/(E1208+459.6))+15.64),EXP(INDEX(Antoines,MATCH(E1198,Antoine_Name,0),2)-INDEX(Antoines,MATCH(E1198,Antoine_Name,0),3)/(E1208+459.6))))),0)</f>
        <v>1</v>
      </c>
      <c r="F1219" cm="1">
        <f t="array" ref="F1219">IFERROR(IF(F1199="Chemical",(10^(INDEX(Antoines,MATCH(F1198,Antoine_Name,0),2)-INDEX(Antoines,MATCH(F1198,Antoine_Name,0),3)/(INDEX(Antoines,MATCH(F1198,Antoine_Name,0),4)+(F1208-32)*5/9)))*14.7/760,IF(F1199="Crude Oil",EXP((2799/(F1208+459.6)-2.227)*LOG10(INDEX(FX_Input,S$5,F$3*$Z$5+$AA$5))-(7261/(F1208+459.6))+12.82),IF(F1199="Refined Petroleum Stock",EXP((0.7553-(413/(F1208+459.6)))*(INDEX(FX_Input,S$5,F$3*$Z$5+$AA$5-1)^0.5)*LOG10(INDEX(FX_Input,S$5,F$3*$Z$5+$AA$5))-(1.854-(1042/(F1208+459.6)))*(INDEX(FX_Input,S$5,F$3*$Z$5+$AA$5-1)^0.5)+((2416/(F1208+459.6)-2.013)*LOG10(INDEX(FX_Input,S$5,F$3*$Z$5+$AA$5)))-(8742/(F1208+459.6))+15.64),EXP(INDEX(Antoines,MATCH(F1198,Antoine_Name,0),2)-INDEX(Antoines,MATCH(F1198,Antoine_Name,0),3)/(F1208+459.6))))),0)</f>
        <v>1</v>
      </c>
      <c r="G1219" cm="1">
        <f t="array" ref="G1219">IFERROR(IF(G1199="Chemical",(10^(INDEX(Antoines,MATCH(G1198,Antoine_Name,0),2)-INDEX(Antoines,MATCH(G1198,Antoine_Name,0),3)/(INDEX(Antoines,MATCH(G1198,Antoine_Name,0),4)+(G1208-32)*5/9)))*14.7/760,IF(G1199="Crude Oil",EXP((2799/(G1208+459.6)-2.227)*LOG10(INDEX(FX_Input,T$5,G$3*$Z$5+$AA$5))-(7261/(G1208+459.6))+12.82),IF(G1199="Refined Petroleum Stock",EXP((0.7553-(413/(G1208+459.6)))*(INDEX(FX_Input,T$5,G$3*$Z$5+$AA$5-1)^0.5)*LOG10(INDEX(FX_Input,T$5,G$3*$Z$5+$AA$5))-(1.854-(1042/(G1208+459.6)))*(INDEX(FX_Input,T$5,G$3*$Z$5+$AA$5-1)^0.5)+((2416/(G1208+459.6)-2.013)*LOG10(INDEX(FX_Input,T$5,G$3*$Z$5+$AA$5)))-(8742/(G1208+459.6))+15.64),EXP(INDEX(Antoines,MATCH(G1198,Antoine_Name,0),2)-INDEX(Antoines,MATCH(G1198,Antoine_Name,0),3)/(G1208+459.6))))),0)</f>
        <v>1</v>
      </c>
      <c r="H1219" cm="1">
        <f t="array" ref="H1219">IFERROR(IF(H1199="Chemical",(10^(INDEX(Antoines,MATCH(H1198,Antoine_Name,0),2)-INDEX(Antoines,MATCH(H1198,Antoine_Name,0),3)/(INDEX(Antoines,MATCH(H1198,Antoine_Name,0),4)+(H1208-32)*5/9)))*14.7/760,IF(H1199="Crude Oil",EXP((2799/(H1208+459.6)-2.227)*LOG10(INDEX(FX_Input,U$5,H$3*$Z$5+$AA$5))-(7261/(H1208+459.6))+12.82),IF(H1199="Refined Petroleum Stock",EXP((0.7553-(413/(H1208+459.6)))*(INDEX(FX_Input,U$5,H$3*$Z$5+$AA$5-1)^0.5)*LOG10(INDEX(FX_Input,U$5,H$3*$Z$5+$AA$5))-(1.854-(1042/(H1208+459.6)))*(INDEX(FX_Input,U$5,H$3*$Z$5+$AA$5-1)^0.5)+((2416/(H1208+459.6)-2.013)*LOG10(INDEX(FX_Input,U$5,H$3*$Z$5+$AA$5)))-(8742/(H1208+459.6))+15.64),EXP(INDEX(Antoines,MATCH(H1198,Antoine_Name,0),2)-INDEX(Antoines,MATCH(H1198,Antoine_Name,0),3)/(H1208+459.6))))),0)</f>
        <v>1</v>
      </c>
      <c r="I1219" cm="1">
        <f t="array" ref="I1219">IFERROR(IF(I1199="Chemical",(10^(INDEX(Antoines,MATCH(I1198,Antoine_Name,0),2)-INDEX(Antoines,MATCH(I1198,Antoine_Name,0),3)/(INDEX(Antoines,MATCH(I1198,Antoine_Name,0),4)+(I1208-32)*5/9)))*14.7/760,IF(I1199="Crude Oil",EXP((2799/(I1208+459.6)-2.227)*LOG10(INDEX(FX_Input,V$5,I$3*$Z$5+$AA$5))-(7261/(I1208+459.6))+12.82),IF(I1199="Refined Petroleum Stock",EXP((0.7553-(413/(I1208+459.6)))*(INDEX(FX_Input,V$5,I$3*$Z$5+$AA$5-1)^0.5)*LOG10(INDEX(FX_Input,V$5,I$3*$Z$5+$AA$5))-(1.854-(1042/(I1208+459.6)))*(INDEX(FX_Input,V$5,I$3*$Z$5+$AA$5-1)^0.5)+((2416/(I1208+459.6)-2.013)*LOG10(INDEX(FX_Input,V$5,I$3*$Z$5+$AA$5)))-(8742/(I1208+459.6))+15.64),EXP(INDEX(Antoines,MATCH(I1198,Antoine_Name,0),2)-INDEX(Antoines,MATCH(I1198,Antoine_Name,0),3)/(I1208+459.6))))),0)</f>
        <v>1</v>
      </c>
      <c r="J1219" cm="1">
        <f t="array" ref="J1219">IFERROR(IF(J1199="Chemical",(10^(INDEX(Antoines,MATCH(J1198,Antoine_Name,0),2)-INDEX(Antoines,MATCH(J1198,Antoine_Name,0),3)/(INDEX(Antoines,MATCH(J1198,Antoine_Name,0),4)+(J1208-32)*5/9)))*14.7/760,IF(J1199="Crude Oil",EXP((2799/(J1208+459.6)-2.227)*LOG10(INDEX(FX_Input,W$5,J$3*$Z$5+$AA$5))-(7261/(J1208+459.6))+12.82),IF(J1199="Refined Petroleum Stock",EXP((0.7553-(413/(J1208+459.6)))*(INDEX(FX_Input,W$5,J$3*$Z$5+$AA$5-1)^0.5)*LOG10(INDEX(FX_Input,W$5,J$3*$Z$5+$AA$5))-(1.854-(1042/(J1208+459.6)))*(INDEX(FX_Input,W$5,J$3*$Z$5+$AA$5-1)^0.5)+((2416/(J1208+459.6)-2.013)*LOG10(INDEX(FX_Input,W$5,J$3*$Z$5+$AA$5)))-(8742/(J1208+459.6))+15.64),EXP(INDEX(Antoines,MATCH(J1198,Antoine_Name,0),2)-INDEX(Antoines,MATCH(J1198,Antoine_Name,0),3)/(J1208+459.6))))),0)</f>
        <v>1</v>
      </c>
      <c r="K1219" cm="1">
        <f t="array" ref="K1219">IFERROR(IF(K1199="Chemical",(10^(INDEX(Antoines,MATCH(K1198,Antoine_Name,0),2)-INDEX(Antoines,MATCH(K1198,Antoine_Name,0),3)/(INDEX(Antoines,MATCH(K1198,Antoine_Name,0),4)+(K1208-32)*5/9)))*14.7/760,IF(K1199="Crude Oil",EXP((2799/(K1208+459.6)-2.227)*LOG10(INDEX(FX_Input,X$5,K$3*$Z$5+$AA$5))-(7261/(K1208+459.6))+12.82),IF(K1199="Refined Petroleum Stock",EXP((0.7553-(413/(K1208+459.6)))*(INDEX(FX_Input,X$5,K$3*$Z$5+$AA$5-1)^0.5)*LOG10(INDEX(FX_Input,X$5,K$3*$Z$5+$AA$5))-(1.854-(1042/(K1208+459.6)))*(INDEX(FX_Input,X$5,K$3*$Z$5+$AA$5-1)^0.5)+((2416/(K1208+459.6)-2.013)*LOG10(INDEX(FX_Input,X$5,K$3*$Z$5+$AA$5)))-(8742/(K1208+459.6))+15.64),EXP(INDEX(Antoines,MATCH(K1198,Antoine_Name,0),2)-INDEX(Antoines,MATCH(K1198,Antoine_Name,0),3)/(K1208+459.6))))),0)</f>
        <v>1</v>
      </c>
      <c r="L1219" cm="1">
        <f t="array" ref="L1219">IFERROR(IF(L1199="Chemical",(10^(INDEX(Antoines,MATCH(L1198,Antoine_Name,0),2)-INDEX(Antoines,MATCH(L1198,Antoine_Name,0),3)/(INDEX(Antoines,MATCH(L1198,Antoine_Name,0),4)+(L1208-32)*5/9)))*14.7/760,IF(L1199="Crude Oil",EXP((2799/(L1208+459.6)-2.227)*LOG10(INDEX(FX_Input,Y$5,L$3*$Z$5+$AA$5))-(7261/(L1208+459.6))+12.82),IF(L1199="Refined Petroleum Stock",EXP((0.7553-(413/(L1208+459.6)))*(INDEX(FX_Input,Y$5,L$3*$Z$5+$AA$5-1)^0.5)*LOG10(INDEX(FX_Input,Y$5,L$3*$Z$5+$AA$5))-(1.854-(1042/(L1208+459.6)))*(INDEX(FX_Input,Y$5,L$3*$Z$5+$AA$5-1)^0.5)+((2416/(L1208+459.6)-2.013)*LOG10(INDEX(FX_Input,Y$5,L$3*$Z$5+$AA$5)))-(8742/(L1208+459.6))+15.64),EXP(INDEX(Antoines,MATCH(L1198,Antoine_Name,0),2)-INDEX(Antoines,MATCH(L1198,Antoine_Name,0),3)/(L1208+459.6))))),0)</f>
        <v>1</v>
      </c>
      <c r="M1219" cm="1">
        <f t="array" ref="M1219">IFERROR(IF(M1199="Chemical",(10^(INDEX(Antoines,MATCH(M1198,Antoine_Name,0),2)-INDEX(Antoines,MATCH(M1198,Antoine_Name,0),3)/(INDEX(Antoines,MATCH(M1198,Antoine_Name,0),4)+(M1208-32)*5/9)))*14.7/760,IF(M1199="Crude Oil",EXP((2799/(M1208+459.6)-2.227)*LOG10(INDEX(FX_Input,Z$5,M$3*$Z$5+$AA$5))-(7261/(M1208+459.6))+12.82),IF(M1199="Refined Petroleum Stock",EXP((0.7553-(413/(M1208+459.6)))*(INDEX(FX_Input,Z$5,M$3*$Z$5+$AA$5-1)^0.5)*LOG10(INDEX(FX_Input,Z$5,M$3*$Z$5+$AA$5))-(1.854-(1042/(M1208+459.6)))*(INDEX(FX_Input,Z$5,M$3*$Z$5+$AA$5-1)^0.5)+((2416/(M1208+459.6)-2.013)*LOG10(INDEX(FX_Input,Z$5,M$3*$Z$5+$AA$5)))-(8742/(M1208+459.6))+15.64),EXP(INDEX(Antoines,MATCH(M1198,Antoine_Name,0),2)-INDEX(Antoines,MATCH(M1198,Antoine_Name,0),3)/(M1208+459.6))))),0)</f>
        <v>1</v>
      </c>
      <c r="N1219" cm="1">
        <f t="array" ref="N1219">IFERROR(IF(N1199="Chemical",(10^(INDEX(Antoines,MATCH(N1198,Antoine_Name,0),2)-INDEX(Antoines,MATCH(N1198,Antoine_Name,0),3)/(INDEX(Antoines,MATCH(N1198,Antoine_Name,0),4)+(N1208-32)*5/9)))*14.7/760,IF(N1199="Crude Oil",EXP((2799/(N1208+459.6)-2.227)*LOG10(INDEX(FX_Input,AA$5,N$3*$Z$5+$AA$5))-(7261/(N1208+459.6))+12.82),IF(N1199="Refined Petroleum Stock",EXP((0.7553-(413/(N1208+459.6)))*(INDEX(FX_Input,AA$5,N$3*$Z$5+$AA$5-1)^0.5)*LOG10(INDEX(FX_Input,AA$5,N$3*$Z$5+$AA$5))-(1.854-(1042/(N1208+459.6)))*(INDEX(FX_Input,AA$5,N$3*$Z$5+$AA$5-1)^0.5)+((2416/(N1208+459.6)-2.013)*LOG10(INDEX(FX_Input,AA$5,N$3*$Z$5+$AA$5)))-(8742/(N1208+459.6))+15.64),EXP(INDEX(Antoines,MATCH(N1198,Antoine_Name,0),2)-INDEX(Antoines,MATCH(N1198,Antoine_Name,0),3)/(N1208+459.6))))),0)</f>
        <v>1</v>
      </c>
      <c r="O1219" cm="1">
        <f t="array" ref="O1219">IFERROR(IF(O1199="Chemical",(10^(INDEX(Antoines,MATCH(O1198,Antoine_Name,0),2)-INDEX(Antoines,MATCH(O1198,Antoine_Name,0),3)/(INDEX(Antoines,MATCH(O1198,Antoine_Name,0),4)+(O1208-32)*5/9)))*14.7/760,IF(O1199="Crude Oil",EXP((2799/(O1208+459.6)-2.227)*LOG10(INDEX(FX_Input,AB$5,O$3*$Z$5+$AA$5))-(7261/(O1208+459.6))+12.82),IF(O1199="Refined Petroleum Stock",EXP((0.7553-(413/(O1208+459.6)))*(INDEX(FX_Input,AB$5,O$3*$Z$5+$AA$5-1)^0.5)*LOG10(INDEX(FX_Input,AB$5,O$3*$Z$5+$AA$5))-(1.854-(1042/(O1208+459.6)))*(INDEX(FX_Input,AB$5,O$3*$Z$5+$AA$5-1)^0.5)+((2416/(O1208+459.6)-2.013)*LOG10(INDEX(FX_Input,AB$5,O$3*$Z$5+$AA$5)))-(8742/(O1208+459.6))+15.64),EXP(INDEX(Antoines,MATCH(O1198,Antoine_Name,0),2)-INDEX(Antoines,MATCH(O1198,Antoine_Name,0),3)/(O1208+459.6))))),0)</f>
        <v>1</v>
      </c>
    </row>
    <row r="1220" spans="1:32" ht="17.149999999999999" x14ac:dyDescent="0.55000000000000004">
      <c r="B1220" t="str">
        <f t="shared" si="4372"/>
        <v>Portland</v>
      </c>
      <c r="C1220" t="s">
        <v>1389</v>
      </c>
      <c r="D1220">
        <f>D1219*D1202</f>
        <v>1</v>
      </c>
      <c r="E1220">
        <f t="shared" ref="E1220" si="4439">E1219*E1202</f>
        <v>1</v>
      </c>
      <c r="F1220">
        <f t="shared" ref="F1220" si="4440">F1219*F1202</f>
        <v>1</v>
      </c>
      <c r="G1220">
        <f t="shared" ref="G1220" si="4441">G1219*G1202</f>
        <v>1</v>
      </c>
      <c r="H1220">
        <f t="shared" ref="H1220" si="4442">H1219*H1202</f>
        <v>1</v>
      </c>
      <c r="I1220">
        <f t="shared" ref="I1220" si="4443">I1219*I1202</f>
        <v>1</v>
      </c>
      <c r="J1220">
        <f t="shared" ref="J1220" si="4444">J1219*J1202</f>
        <v>1</v>
      </c>
      <c r="K1220">
        <f t="shared" ref="K1220" si="4445">K1219*K1202</f>
        <v>1</v>
      </c>
      <c r="L1220">
        <f t="shared" ref="L1220" si="4446">L1219*L1202</f>
        <v>1</v>
      </c>
      <c r="M1220">
        <f t="shared" ref="M1220" si="4447">M1219*M1202</f>
        <v>1</v>
      </c>
      <c r="N1220">
        <f t="shared" ref="N1220" si="4448">N1219*N1202</f>
        <v>1</v>
      </c>
      <c r="O1220">
        <f t="shared" ref="O1220" si="4449">O1219*O1202</f>
        <v>1</v>
      </c>
    </row>
    <row r="1221" spans="1:32" ht="17.149999999999999" x14ac:dyDescent="0.55000000000000004">
      <c r="B1221" t="str">
        <f t="shared" si="4372"/>
        <v>Portland</v>
      </c>
      <c r="C1221" t="s">
        <v>1390</v>
      </c>
      <c r="D1221" cm="1">
        <f t="array" ref="D1221">IFERROR(IF(D1201="Chemical",(10^(INDEX(Antoines,MATCH(D1200,Antoine_Name,0),2)-INDEX(Antoines,MATCH(D1200,Antoine_Name,0),3)/(INDEX(Antoines,MATCH(D1200,Antoine_Name,0),4)+(D1208-32)*5/9)))*14.7/760,IF(D1201="Crude Oil",EXP((2799/(D1208+459.6)-2.227)*LOG10(INDEX(FX_Input,Q$5,D$3*$Z$5+$AA$5))-(7261/(D1208+459.6))+12.82),IF(D1201="Refined Petroleum Stock",EXP((0.7553-(413/(D1208+459.6)))*(INDEX(FX_Input,Q$5,D$3*$Z$5+$AA$5-1)^0.5)*LOG10(INDEX(FX_Input,Q$5,D$3*$Z$5+$AA$5))-(1.854-(1042/(D1208+459.6)))*(INDEX(FX_Input,Q$5,D$3*$Z$5+$AA$5-1)^0.5)+((2416/(D1208+459.6)-2.013)*LOG10(INDEX(FX_Input,Q$5,D$3*$Z$5+$AA$5)))-(8742/(D1208+459.6))+15.64),EXP(INDEX(Antoines,MATCH(D1200,Antoine_Name,0),2)-INDEX(Antoines,MATCH(D1200,Antoine_Name,0),3)/(D1208+459.6))))),0)</f>
        <v>0</v>
      </c>
      <c r="E1221" cm="1">
        <f t="array" ref="E1221">IFERROR(IF(E1201="Chemical",(10^(INDEX(Antoines,MATCH(E1200,Antoine_Name,0),2)-INDEX(Antoines,MATCH(E1200,Antoine_Name,0),3)/(INDEX(Antoines,MATCH(E1200,Antoine_Name,0),4)+(E1208-32)*5/9)))*14.7/760,IF(E1201="Crude Oil",EXP((2799/(E1208+459.6)-2.227)*LOG10(INDEX(FX_Input,R$5,E$3*$Z$5+$AA$5))-(7261/(E1208+459.6))+12.82),IF(E1201="Refined Petroleum Stock",EXP((0.7553-(413/(E1208+459.6)))*(INDEX(FX_Input,R$5,E$3*$Z$5+$AA$5-1)^0.5)*LOG10(INDEX(FX_Input,R$5,E$3*$Z$5+$AA$5))-(1.854-(1042/(E1208+459.6)))*(INDEX(FX_Input,R$5,E$3*$Z$5+$AA$5-1)^0.5)+((2416/(E1208+459.6)-2.013)*LOG10(INDEX(FX_Input,R$5,E$3*$Z$5+$AA$5)))-(8742/(E1208+459.6))+15.64),EXP(INDEX(Antoines,MATCH(E1200,Antoine_Name,0),2)-INDEX(Antoines,MATCH(E1200,Antoine_Name,0),3)/(E1208+459.6))))),0)</f>
        <v>0</v>
      </c>
      <c r="F1221" cm="1">
        <f t="array" ref="F1221">IFERROR(IF(F1201="Chemical",(10^(INDEX(Antoines,MATCH(F1200,Antoine_Name,0),2)-INDEX(Antoines,MATCH(F1200,Antoine_Name,0),3)/(INDEX(Antoines,MATCH(F1200,Antoine_Name,0),4)+(F1208-32)*5/9)))*14.7/760,IF(F1201="Crude Oil",EXP((2799/(F1208+459.6)-2.227)*LOG10(INDEX(FX_Input,S$5,F$3*$Z$5+$AA$5))-(7261/(F1208+459.6))+12.82),IF(F1201="Refined Petroleum Stock",EXP((0.7553-(413/(F1208+459.6)))*(INDEX(FX_Input,S$5,F$3*$Z$5+$AA$5-1)^0.5)*LOG10(INDEX(FX_Input,S$5,F$3*$Z$5+$AA$5))-(1.854-(1042/(F1208+459.6)))*(INDEX(FX_Input,S$5,F$3*$Z$5+$AA$5-1)^0.5)+((2416/(F1208+459.6)-2.013)*LOG10(INDEX(FX_Input,S$5,F$3*$Z$5+$AA$5)))-(8742/(F1208+459.6))+15.64),EXP(INDEX(Antoines,MATCH(F1200,Antoine_Name,0),2)-INDEX(Antoines,MATCH(F1200,Antoine_Name,0),3)/(F1208+459.6))))),0)</f>
        <v>0</v>
      </c>
      <c r="G1221" cm="1">
        <f t="array" ref="G1221">IFERROR(IF(G1201="Chemical",(10^(INDEX(Antoines,MATCH(G1200,Antoine_Name,0),2)-INDEX(Antoines,MATCH(G1200,Antoine_Name,0),3)/(INDEX(Antoines,MATCH(G1200,Antoine_Name,0),4)+(G1208-32)*5/9)))*14.7/760,IF(G1201="Crude Oil",EXP((2799/(G1208+459.6)-2.227)*LOG10(INDEX(FX_Input,T$5,G$3*$Z$5+$AA$5))-(7261/(G1208+459.6))+12.82),IF(G1201="Refined Petroleum Stock",EXP((0.7553-(413/(G1208+459.6)))*(INDEX(FX_Input,T$5,G$3*$Z$5+$AA$5-1)^0.5)*LOG10(INDEX(FX_Input,T$5,G$3*$Z$5+$AA$5))-(1.854-(1042/(G1208+459.6)))*(INDEX(FX_Input,T$5,G$3*$Z$5+$AA$5-1)^0.5)+((2416/(G1208+459.6)-2.013)*LOG10(INDEX(FX_Input,T$5,G$3*$Z$5+$AA$5)))-(8742/(G1208+459.6))+15.64),EXP(INDEX(Antoines,MATCH(G1200,Antoine_Name,0),2)-INDEX(Antoines,MATCH(G1200,Antoine_Name,0),3)/(G1208+459.6))))),0)</f>
        <v>0</v>
      </c>
      <c r="H1221" cm="1">
        <f t="array" ref="H1221">IFERROR(IF(H1201="Chemical",(10^(INDEX(Antoines,MATCH(H1200,Antoine_Name,0),2)-INDEX(Antoines,MATCH(H1200,Antoine_Name,0),3)/(INDEX(Antoines,MATCH(H1200,Antoine_Name,0),4)+(H1208-32)*5/9)))*14.7/760,IF(H1201="Crude Oil",EXP((2799/(H1208+459.6)-2.227)*LOG10(INDEX(FX_Input,U$5,H$3*$Z$5+$AA$5))-(7261/(H1208+459.6))+12.82),IF(H1201="Refined Petroleum Stock",EXP((0.7553-(413/(H1208+459.6)))*(INDEX(FX_Input,U$5,H$3*$Z$5+$AA$5-1)^0.5)*LOG10(INDEX(FX_Input,U$5,H$3*$Z$5+$AA$5))-(1.854-(1042/(H1208+459.6)))*(INDEX(FX_Input,U$5,H$3*$Z$5+$AA$5-1)^0.5)+((2416/(H1208+459.6)-2.013)*LOG10(INDEX(FX_Input,U$5,H$3*$Z$5+$AA$5)))-(8742/(H1208+459.6))+15.64),EXP(INDEX(Antoines,MATCH(H1200,Antoine_Name,0),2)-INDEX(Antoines,MATCH(H1200,Antoine_Name,0),3)/(H1208+459.6))))),0)</f>
        <v>0</v>
      </c>
      <c r="I1221" cm="1">
        <f t="array" ref="I1221">IFERROR(IF(I1201="Chemical",(10^(INDEX(Antoines,MATCH(I1200,Antoine_Name,0),2)-INDEX(Antoines,MATCH(I1200,Antoine_Name,0),3)/(INDEX(Antoines,MATCH(I1200,Antoine_Name,0),4)+(I1208-32)*5/9)))*14.7/760,IF(I1201="Crude Oil",EXP((2799/(I1208+459.6)-2.227)*LOG10(INDEX(FX_Input,V$5,I$3*$Z$5+$AA$5))-(7261/(I1208+459.6))+12.82),IF(I1201="Refined Petroleum Stock",EXP((0.7553-(413/(I1208+459.6)))*(INDEX(FX_Input,V$5,I$3*$Z$5+$AA$5-1)^0.5)*LOG10(INDEX(FX_Input,V$5,I$3*$Z$5+$AA$5))-(1.854-(1042/(I1208+459.6)))*(INDEX(FX_Input,V$5,I$3*$Z$5+$AA$5-1)^0.5)+((2416/(I1208+459.6)-2.013)*LOG10(INDEX(FX_Input,V$5,I$3*$Z$5+$AA$5)))-(8742/(I1208+459.6))+15.64),EXP(INDEX(Antoines,MATCH(I1200,Antoine_Name,0),2)-INDEX(Antoines,MATCH(I1200,Antoine_Name,0),3)/(I1208+459.6))))),0)</f>
        <v>0</v>
      </c>
      <c r="J1221" cm="1">
        <f t="array" ref="J1221">IFERROR(IF(J1201="Chemical",(10^(INDEX(Antoines,MATCH(J1200,Antoine_Name,0),2)-INDEX(Antoines,MATCH(J1200,Antoine_Name,0),3)/(INDEX(Antoines,MATCH(J1200,Antoine_Name,0),4)+(J1208-32)*5/9)))*14.7/760,IF(J1201="Crude Oil",EXP((2799/(J1208+459.6)-2.227)*LOG10(INDEX(FX_Input,W$5,J$3*$Z$5+$AA$5))-(7261/(J1208+459.6))+12.82),IF(J1201="Refined Petroleum Stock",EXP((0.7553-(413/(J1208+459.6)))*(INDEX(FX_Input,W$5,J$3*$Z$5+$AA$5-1)^0.5)*LOG10(INDEX(FX_Input,W$5,J$3*$Z$5+$AA$5))-(1.854-(1042/(J1208+459.6)))*(INDEX(FX_Input,W$5,J$3*$Z$5+$AA$5-1)^0.5)+((2416/(J1208+459.6)-2.013)*LOG10(INDEX(FX_Input,W$5,J$3*$Z$5+$AA$5)))-(8742/(J1208+459.6))+15.64),EXP(INDEX(Antoines,MATCH(J1200,Antoine_Name,0),2)-INDEX(Antoines,MATCH(J1200,Antoine_Name,0),3)/(J1208+459.6))))),0)</f>
        <v>0</v>
      </c>
      <c r="K1221" cm="1">
        <f t="array" ref="K1221">IFERROR(IF(K1201="Chemical",(10^(INDEX(Antoines,MATCH(K1200,Antoine_Name,0),2)-INDEX(Antoines,MATCH(K1200,Antoine_Name,0),3)/(INDEX(Antoines,MATCH(K1200,Antoine_Name,0),4)+(K1208-32)*5/9)))*14.7/760,IF(K1201="Crude Oil",EXP((2799/(K1208+459.6)-2.227)*LOG10(INDEX(FX_Input,X$5,K$3*$Z$5+$AA$5))-(7261/(K1208+459.6))+12.82),IF(K1201="Refined Petroleum Stock",EXP((0.7553-(413/(K1208+459.6)))*(INDEX(FX_Input,X$5,K$3*$Z$5+$AA$5-1)^0.5)*LOG10(INDEX(FX_Input,X$5,K$3*$Z$5+$AA$5))-(1.854-(1042/(K1208+459.6)))*(INDEX(FX_Input,X$5,K$3*$Z$5+$AA$5-1)^0.5)+((2416/(K1208+459.6)-2.013)*LOG10(INDEX(FX_Input,X$5,K$3*$Z$5+$AA$5)))-(8742/(K1208+459.6))+15.64),EXP(INDEX(Antoines,MATCH(K1200,Antoine_Name,0),2)-INDEX(Antoines,MATCH(K1200,Antoine_Name,0),3)/(K1208+459.6))))),0)</f>
        <v>0</v>
      </c>
      <c r="L1221" cm="1">
        <f t="array" ref="L1221">IFERROR(IF(L1201="Chemical",(10^(INDEX(Antoines,MATCH(L1200,Antoine_Name,0),2)-INDEX(Antoines,MATCH(L1200,Antoine_Name,0),3)/(INDEX(Antoines,MATCH(L1200,Antoine_Name,0),4)+(L1208-32)*5/9)))*14.7/760,IF(L1201="Crude Oil",EXP((2799/(L1208+459.6)-2.227)*LOG10(INDEX(FX_Input,Y$5,L$3*$Z$5+$AA$5))-(7261/(L1208+459.6))+12.82),IF(L1201="Refined Petroleum Stock",EXP((0.7553-(413/(L1208+459.6)))*(INDEX(FX_Input,Y$5,L$3*$Z$5+$AA$5-1)^0.5)*LOG10(INDEX(FX_Input,Y$5,L$3*$Z$5+$AA$5))-(1.854-(1042/(L1208+459.6)))*(INDEX(FX_Input,Y$5,L$3*$Z$5+$AA$5-1)^0.5)+((2416/(L1208+459.6)-2.013)*LOG10(INDEX(FX_Input,Y$5,L$3*$Z$5+$AA$5)))-(8742/(L1208+459.6))+15.64),EXP(INDEX(Antoines,MATCH(L1200,Antoine_Name,0),2)-INDEX(Antoines,MATCH(L1200,Antoine_Name,0),3)/(L1208+459.6))))),0)</f>
        <v>0</v>
      </c>
      <c r="M1221" cm="1">
        <f t="array" ref="M1221">IFERROR(IF(M1201="Chemical",(10^(INDEX(Antoines,MATCH(M1200,Antoine_Name,0),2)-INDEX(Antoines,MATCH(M1200,Antoine_Name,0),3)/(INDEX(Antoines,MATCH(M1200,Antoine_Name,0),4)+(M1208-32)*5/9)))*14.7/760,IF(M1201="Crude Oil",EXP((2799/(M1208+459.6)-2.227)*LOG10(INDEX(FX_Input,Z$5,M$3*$Z$5+$AA$5))-(7261/(M1208+459.6))+12.82),IF(M1201="Refined Petroleum Stock",EXP((0.7553-(413/(M1208+459.6)))*(INDEX(FX_Input,Z$5,M$3*$Z$5+$AA$5-1)^0.5)*LOG10(INDEX(FX_Input,Z$5,M$3*$Z$5+$AA$5))-(1.854-(1042/(M1208+459.6)))*(INDEX(FX_Input,Z$5,M$3*$Z$5+$AA$5-1)^0.5)+((2416/(M1208+459.6)-2.013)*LOG10(INDEX(FX_Input,Z$5,M$3*$Z$5+$AA$5)))-(8742/(M1208+459.6))+15.64),EXP(INDEX(Antoines,MATCH(M1200,Antoine_Name,0),2)-INDEX(Antoines,MATCH(M1200,Antoine_Name,0),3)/(M1208+459.6))))),0)</f>
        <v>0</v>
      </c>
      <c r="N1221" cm="1">
        <f t="array" ref="N1221">IFERROR(IF(N1201="Chemical",(10^(INDEX(Antoines,MATCH(N1200,Antoine_Name,0),2)-INDEX(Antoines,MATCH(N1200,Antoine_Name,0),3)/(INDEX(Antoines,MATCH(N1200,Antoine_Name,0),4)+(N1208-32)*5/9)))*14.7/760,IF(N1201="Crude Oil",EXP((2799/(N1208+459.6)-2.227)*LOG10(INDEX(FX_Input,AA$5,N$3*$Z$5+$AA$5))-(7261/(N1208+459.6))+12.82),IF(N1201="Refined Petroleum Stock",EXP((0.7553-(413/(N1208+459.6)))*(INDEX(FX_Input,AA$5,N$3*$Z$5+$AA$5-1)^0.5)*LOG10(INDEX(FX_Input,AA$5,N$3*$Z$5+$AA$5))-(1.854-(1042/(N1208+459.6)))*(INDEX(FX_Input,AA$5,N$3*$Z$5+$AA$5-1)^0.5)+((2416/(N1208+459.6)-2.013)*LOG10(INDEX(FX_Input,AA$5,N$3*$Z$5+$AA$5)))-(8742/(N1208+459.6))+15.64),EXP(INDEX(Antoines,MATCH(N1200,Antoine_Name,0),2)-INDEX(Antoines,MATCH(N1200,Antoine_Name,0),3)/(N1208+459.6))))),0)</f>
        <v>0</v>
      </c>
      <c r="O1221" cm="1">
        <f t="array" ref="O1221">IFERROR(IF(O1201="Chemical",(10^(INDEX(Antoines,MATCH(O1200,Antoine_Name,0),2)-INDEX(Antoines,MATCH(O1200,Antoine_Name,0),3)/(INDEX(Antoines,MATCH(O1200,Antoine_Name,0),4)+(O1208-32)*5/9)))*14.7/760,IF(O1201="Crude Oil",EXP((2799/(O1208+459.6)-2.227)*LOG10(INDEX(FX_Input,AB$5,O$3*$Z$5+$AA$5))-(7261/(O1208+459.6))+12.82),IF(O1201="Refined Petroleum Stock",EXP((0.7553-(413/(O1208+459.6)))*(INDEX(FX_Input,AB$5,O$3*$Z$5+$AA$5-1)^0.5)*LOG10(INDEX(FX_Input,AB$5,O$3*$Z$5+$AA$5))-(1.854-(1042/(O1208+459.6)))*(INDEX(FX_Input,AB$5,O$3*$Z$5+$AA$5-1)^0.5)+((2416/(O1208+459.6)-2.013)*LOG10(INDEX(FX_Input,AB$5,O$3*$Z$5+$AA$5)))-(8742/(O1208+459.6))+15.64),EXP(INDEX(Antoines,MATCH(O1200,Antoine_Name,0),2)-INDEX(Antoines,MATCH(O1200,Antoine_Name,0),3)/(O1208+459.6))))),0)</f>
        <v>0</v>
      </c>
    </row>
    <row r="1222" spans="1:32" ht="17.149999999999999" x14ac:dyDescent="0.55000000000000004">
      <c r="B1222" t="str">
        <f t="shared" si="4372"/>
        <v>Portland</v>
      </c>
      <c r="C1222" t="s">
        <v>1391</v>
      </c>
      <c r="D1222">
        <f>D1221*D1204</f>
        <v>0</v>
      </c>
      <c r="E1222">
        <f t="shared" ref="E1222" si="4450">E1221*E1204</f>
        <v>0</v>
      </c>
      <c r="F1222">
        <f t="shared" ref="F1222" si="4451">F1221*F1204</f>
        <v>0</v>
      </c>
      <c r="G1222">
        <f t="shared" ref="G1222" si="4452">G1221*G1204</f>
        <v>0</v>
      </c>
      <c r="H1222">
        <f t="shared" ref="H1222" si="4453">H1221*H1204</f>
        <v>0</v>
      </c>
      <c r="I1222">
        <f t="shared" ref="I1222" si="4454">I1221*I1204</f>
        <v>0</v>
      </c>
      <c r="J1222">
        <f t="shared" ref="J1222" si="4455">J1221*J1204</f>
        <v>0</v>
      </c>
      <c r="K1222">
        <f t="shared" ref="K1222" si="4456">K1221*K1204</f>
        <v>0</v>
      </c>
      <c r="L1222">
        <f t="shared" ref="L1222" si="4457">L1221*L1204</f>
        <v>0</v>
      </c>
      <c r="M1222">
        <f t="shared" ref="M1222" si="4458">M1221*M1204</f>
        <v>0</v>
      </c>
      <c r="N1222">
        <f t="shared" ref="N1222" si="4459">N1221*N1204</f>
        <v>0</v>
      </c>
      <c r="O1222">
        <f t="shared" ref="O1222" si="4460">O1221*O1204</f>
        <v>0</v>
      </c>
    </row>
    <row r="1223" spans="1:32" ht="17.149999999999999" x14ac:dyDescent="0.55000000000000004">
      <c r="B1223" t="str">
        <f t="shared" si="4372"/>
        <v>Portland</v>
      </c>
      <c r="C1223" t="s">
        <v>1392</v>
      </c>
      <c r="D1223">
        <f>D1220+D1222</f>
        <v>1</v>
      </c>
      <c r="E1223">
        <f t="shared" ref="E1223" si="4461">E1220+E1222</f>
        <v>1</v>
      </c>
      <c r="F1223">
        <f t="shared" ref="F1223" si="4462">F1220+F1222</f>
        <v>1</v>
      </c>
      <c r="G1223">
        <f t="shared" ref="G1223" si="4463">G1220+G1222</f>
        <v>1</v>
      </c>
      <c r="H1223">
        <f t="shared" ref="H1223" si="4464">H1220+H1222</f>
        <v>1</v>
      </c>
      <c r="I1223">
        <f t="shared" ref="I1223" si="4465">I1220+I1222</f>
        <v>1</v>
      </c>
      <c r="J1223">
        <f t="shared" ref="J1223" si="4466">J1220+J1222</f>
        <v>1</v>
      </c>
      <c r="K1223">
        <f t="shared" ref="K1223" si="4467">K1220+K1222</f>
        <v>1</v>
      </c>
      <c r="L1223">
        <f t="shared" ref="L1223" si="4468">L1220+L1222</f>
        <v>1</v>
      </c>
      <c r="M1223">
        <f t="shared" ref="M1223" si="4469">M1220+M1222</f>
        <v>1</v>
      </c>
      <c r="N1223">
        <f t="shared" ref="N1223" si="4470">N1220+N1222</f>
        <v>1</v>
      </c>
      <c r="O1223">
        <f t="shared" ref="O1223" si="4471">O1220+O1222</f>
        <v>1</v>
      </c>
    </row>
    <row r="1224" spans="1:32" ht="17.149999999999999" x14ac:dyDescent="0.55000000000000004">
      <c r="B1224" t="str">
        <f>B1218</f>
        <v>Portland</v>
      </c>
      <c r="C1224" t="s">
        <v>584</v>
      </c>
      <c r="D1224">
        <f>D1220/D1223</f>
        <v>1</v>
      </c>
      <c r="E1224">
        <f t="shared" ref="E1224" si="4472">E1220/E1223</f>
        <v>1</v>
      </c>
      <c r="F1224">
        <f t="shared" ref="F1224" si="4473">F1220/F1223</f>
        <v>1</v>
      </c>
      <c r="G1224">
        <f t="shared" ref="G1224" si="4474">G1220/G1223</f>
        <v>1</v>
      </c>
      <c r="H1224">
        <f t="shared" ref="H1224" si="4475">H1220/H1223</f>
        <v>1</v>
      </c>
      <c r="I1224">
        <f t="shared" ref="I1224" si="4476">I1220/I1223</f>
        <v>1</v>
      </c>
      <c r="J1224">
        <f t="shared" ref="J1224" si="4477">J1220/J1223</f>
        <v>1</v>
      </c>
      <c r="K1224">
        <f t="shared" ref="K1224" si="4478">K1220/K1223</f>
        <v>1</v>
      </c>
      <c r="L1224">
        <f t="shared" ref="L1224" si="4479">L1220/L1223</f>
        <v>1</v>
      </c>
      <c r="M1224">
        <f t="shared" ref="M1224" si="4480">M1220/M1223</f>
        <v>1</v>
      </c>
      <c r="N1224">
        <f t="shared" ref="N1224" si="4481">N1220/N1223</f>
        <v>1</v>
      </c>
      <c r="O1224">
        <f t="shared" ref="O1224" si="4482">O1220/O1223</f>
        <v>1</v>
      </c>
    </row>
    <row r="1225" spans="1:32" ht="17.149999999999999" x14ac:dyDescent="0.55000000000000004">
      <c r="B1225" t="str">
        <f>B1219</f>
        <v>Portland</v>
      </c>
      <c r="C1225" t="s">
        <v>585</v>
      </c>
      <c r="D1225" t="str">
        <f t="shared" ref="D1225:O1225" si="4483">INDEX(Phys_Prop,MATCH(D1198,Chem_List,0),3)</f>
        <v>N/A</v>
      </c>
      <c r="E1225" t="str">
        <f t="shared" si="4483"/>
        <v>N/A</v>
      </c>
      <c r="F1225" t="str">
        <f t="shared" si="4483"/>
        <v>N/A</v>
      </c>
      <c r="G1225" t="str">
        <f t="shared" si="4483"/>
        <v>N/A</v>
      </c>
      <c r="H1225" t="str">
        <f t="shared" si="4483"/>
        <v>N/A</v>
      </c>
      <c r="I1225" t="str">
        <f t="shared" si="4483"/>
        <v>N/A</v>
      </c>
      <c r="J1225" t="str">
        <f t="shared" si="4483"/>
        <v>N/A</v>
      </c>
      <c r="K1225" t="str">
        <f t="shared" si="4483"/>
        <v>N/A</v>
      </c>
      <c r="L1225" t="str">
        <f t="shared" si="4483"/>
        <v>N/A</v>
      </c>
      <c r="M1225" t="str">
        <f t="shared" si="4483"/>
        <v>N/A</v>
      </c>
      <c r="N1225" t="str">
        <f t="shared" si="4483"/>
        <v>N/A</v>
      </c>
      <c r="O1225" t="str">
        <f t="shared" si="4483"/>
        <v>N/A</v>
      </c>
    </row>
    <row r="1226" spans="1:32" ht="17.149999999999999" x14ac:dyDescent="0.55000000000000004">
      <c r="B1226" t="str">
        <f>B1225</f>
        <v>Portland</v>
      </c>
      <c r="C1226" t="s">
        <v>586</v>
      </c>
      <c r="D1226">
        <f>D1222/D1223</f>
        <v>0</v>
      </c>
      <c r="E1226">
        <f t="shared" ref="E1226:O1226" si="4484">E1222/E1223</f>
        <v>0</v>
      </c>
      <c r="F1226">
        <f t="shared" si="4484"/>
        <v>0</v>
      </c>
      <c r="G1226">
        <f t="shared" si="4484"/>
        <v>0</v>
      </c>
      <c r="H1226">
        <f t="shared" si="4484"/>
        <v>0</v>
      </c>
      <c r="I1226">
        <f t="shared" si="4484"/>
        <v>0</v>
      </c>
      <c r="J1226">
        <f t="shared" si="4484"/>
        <v>0</v>
      </c>
      <c r="K1226">
        <f t="shared" si="4484"/>
        <v>0</v>
      </c>
      <c r="L1226">
        <f t="shared" si="4484"/>
        <v>0</v>
      </c>
      <c r="M1226">
        <f t="shared" si="4484"/>
        <v>0</v>
      </c>
      <c r="N1226">
        <f t="shared" si="4484"/>
        <v>0</v>
      </c>
      <c r="O1226">
        <f t="shared" si="4484"/>
        <v>0</v>
      </c>
    </row>
    <row r="1227" spans="1:32" ht="17.149999999999999" x14ac:dyDescent="0.55000000000000004">
      <c r="B1227" t="str">
        <f t="shared" si="4372"/>
        <v>Portland</v>
      </c>
      <c r="C1227" t="s">
        <v>587</v>
      </c>
      <c r="D1227">
        <f t="shared" ref="D1227:O1227" si="4485">IFERROR(INDEX(Phys_Prop,MATCH(D1200,Chem_List,0),3),0)</f>
        <v>0</v>
      </c>
      <c r="E1227">
        <f t="shared" si="4485"/>
        <v>0</v>
      </c>
      <c r="F1227">
        <f t="shared" si="4485"/>
        <v>0</v>
      </c>
      <c r="G1227">
        <f t="shared" si="4485"/>
        <v>0</v>
      </c>
      <c r="H1227">
        <f t="shared" si="4485"/>
        <v>0</v>
      </c>
      <c r="I1227">
        <f t="shared" si="4485"/>
        <v>0</v>
      </c>
      <c r="J1227">
        <f t="shared" si="4485"/>
        <v>0</v>
      </c>
      <c r="K1227">
        <f t="shared" si="4485"/>
        <v>0</v>
      </c>
      <c r="L1227">
        <f t="shared" si="4485"/>
        <v>0</v>
      </c>
      <c r="M1227">
        <f t="shared" si="4485"/>
        <v>0</v>
      </c>
      <c r="N1227">
        <f t="shared" si="4485"/>
        <v>0</v>
      </c>
      <c r="O1227">
        <f t="shared" si="4485"/>
        <v>0</v>
      </c>
    </row>
    <row r="1228" spans="1:32" ht="17.149999999999999" x14ac:dyDescent="0.55000000000000004">
      <c r="A1228" s="11"/>
      <c r="B1228" s="11" t="str">
        <f t="shared" si="4372"/>
        <v>Portland</v>
      </c>
      <c r="C1228" s="11" t="s">
        <v>588</v>
      </c>
      <c r="D1228" s="11">
        <f>IFERROR(D1224*D1225+D1226*D1227,0)</f>
        <v>0</v>
      </c>
      <c r="E1228" s="11">
        <f t="shared" ref="E1228" si="4486">IFERROR(E1224*E1225+E1226*E1227,0)</f>
        <v>0</v>
      </c>
      <c r="F1228" s="11">
        <f t="shared" ref="F1228" si="4487">IFERROR(F1224*F1225+F1226*F1227,0)</f>
        <v>0</v>
      </c>
      <c r="G1228" s="11">
        <f t="shared" ref="G1228" si="4488">IFERROR(G1224*G1225+G1226*G1227,0)</f>
        <v>0</v>
      </c>
      <c r="H1228" s="11">
        <f t="shared" ref="H1228" si="4489">IFERROR(H1224*H1225+H1226*H1227,0)</f>
        <v>0</v>
      </c>
      <c r="I1228" s="11">
        <f t="shared" ref="I1228" si="4490">IFERROR(I1224*I1225+I1226*I1227,0)</f>
        <v>0</v>
      </c>
      <c r="J1228" s="11">
        <f t="shared" ref="J1228" si="4491">IFERROR(J1224*J1225+J1226*J1227,0)</f>
        <v>0</v>
      </c>
      <c r="K1228" s="11">
        <f t="shared" ref="K1228" si="4492">IFERROR(K1224*K1225+K1226*K1227,0)</f>
        <v>0</v>
      </c>
      <c r="L1228" s="11">
        <f t="shared" ref="L1228" si="4493">IFERROR(L1224*L1225+L1226*L1227,0)</f>
        <v>0</v>
      </c>
      <c r="M1228" s="11">
        <f t="shared" ref="M1228" si="4494">IFERROR(M1224*M1225+M1226*M1227,0)</f>
        <v>0</v>
      </c>
      <c r="N1228" s="11">
        <f t="shared" ref="N1228" si="4495">IFERROR(N1224*N1225+N1226*N1227,0)</f>
        <v>0</v>
      </c>
      <c r="O1228" s="11">
        <f t="shared" ref="O1228" si="4496">IFERROR(O1224*O1225+O1226*O1227,0)</f>
        <v>0</v>
      </c>
      <c r="P1228" s="11"/>
      <c r="Q1228" s="11"/>
      <c r="R1228" s="11"/>
      <c r="S1228" s="11"/>
      <c r="T1228" s="11"/>
      <c r="U1228" s="11"/>
      <c r="V1228" s="11"/>
      <c r="W1228" s="11"/>
      <c r="X1228" s="11"/>
      <c r="Y1228" s="11"/>
      <c r="Z1228" s="11"/>
      <c r="AA1228" s="11"/>
      <c r="AB1228" s="11"/>
      <c r="AC1228" s="11"/>
      <c r="AD1228" s="11"/>
      <c r="AE1228" s="11"/>
      <c r="AF1228" s="11"/>
    </row>
    <row r="1229" spans="1:32" ht="17.149999999999999" x14ac:dyDescent="0.55000000000000004">
      <c r="A1229" t="str" cm="1">
        <f t="array" ref="A1229">INDEX(FX_Input,$Q1229,R$5)</f>
        <v>FX - 37</v>
      </c>
      <c r="B1229" t="str" cm="1">
        <f t="array" ref="B1229">INDEX(FX_Input,Q1229,S1229)</f>
        <v>Portland</v>
      </c>
      <c r="C1229" t="s">
        <v>563</v>
      </c>
      <c r="D1229">
        <v>14.7</v>
      </c>
      <c r="E1229">
        <v>14.7</v>
      </c>
      <c r="F1229">
        <v>14.7</v>
      </c>
      <c r="G1229">
        <v>14.7</v>
      </c>
      <c r="H1229">
        <v>14.7</v>
      </c>
      <c r="I1229">
        <v>14.7</v>
      </c>
      <c r="J1229">
        <v>14.7</v>
      </c>
      <c r="K1229">
        <v>14.7</v>
      </c>
      <c r="L1229">
        <v>14.7</v>
      </c>
      <c r="M1229">
        <v>14.7</v>
      </c>
      <c r="N1229">
        <v>14.7</v>
      </c>
      <c r="O1229">
        <v>14.7</v>
      </c>
      <c r="Q1229">
        <f>Q1195+2</f>
        <v>73</v>
      </c>
      <c r="R1229">
        <v>1</v>
      </c>
      <c r="S1229">
        <v>3</v>
      </c>
      <c r="T1229">
        <v>1</v>
      </c>
      <c r="U1229">
        <v>19</v>
      </c>
      <c r="V1229">
        <v>20</v>
      </c>
      <c r="W1229">
        <v>25</v>
      </c>
      <c r="X1229">
        <v>1</v>
      </c>
      <c r="Y1229">
        <v>2</v>
      </c>
      <c r="Z1229">
        <f>(W1229-V1229)/(Y1229-X1229)</f>
        <v>5</v>
      </c>
      <c r="AA1229">
        <f>V1229-Z1229*X1229</f>
        <v>15</v>
      </c>
      <c r="AD1229">
        <f>AD1195+14</f>
        <v>505</v>
      </c>
      <c r="AF1229">
        <f>AF1195+14</f>
        <v>505</v>
      </c>
    </row>
    <row r="1230" spans="1:32" ht="17.149999999999999" x14ac:dyDescent="0.55000000000000004">
      <c r="B1230" t="str">
        <f t="shared" ref="B1230" si="4497">B1229</f>
        <v>Portland</v>
      </c>
      <c r="C1230" t="s">
        <v>564</v>
      </c>
      <c r="D1230" cm="1">
        <f t="array" ref="D1230">IF(ISBLANK(INDEX(FX_Input,$Q1229,$AB1230)),0.03,INDEX(FX_Input,Q1229,AB1230))</f>
        <v>0.03</v>
      </c>
      <c r="E1230" cm="1">
        <f t="array" ref="E1230">IF(ISBLANK(INDEX(FX_Input,$Q1229,$AB1230)),0.03,INDEX(FX_Input,R1229,#REF!))</f>
        <v>0.03</v>
      </c>
      <c r="F1230" cm="1">
        <f t="array" ref="F1230">IF(ISBLANK(INDEX(FX_Input,$Q1229,$AB1230)),0.03,INDEX(FX_Input,S1229,#REF!))</f>
        <v>0.03</v>
      </c>
      <c r="G1230" cm="1">
        <f t="array" ref="G1230">IF(ISBLANK(INDEX(FX_Input,$Q1229,$AB1230)),0.03,INDEX(FX_Input,AB1229,#REF!))</f>
        <v>0.03</v>
      </c>
      <c r="H1230" cm="1">
        <f t="array" ref="H1230">IF(ISBLANK(INDEX(FX_Input,$Q1229,$AB1230)),0.03,INDEX(FX_Input,#REF!,#REF!))</f>
        <v>0.03</v>
      </c>
      <c r="I1230" cm="1">
        <f t="array" ref="I1230">IF(ISBLANK(INDEX(FX_Input,$Q1229,$AB1230)),0.03,INDEX(FX_Input,#REF!,#REF!))</f>
        <v>0.03</v>
      </c>
      <c r="J1230" cm="1">
        <f t="array" ref="J1230">IF(ISBLANK(INDEX(FX_Input,$Q1229,$AB1230)),0.03,INDEX(FX_Input,#REF!,#REF!))</f>
        <v>0.03</v>
      </c>
      <c r="K1230" cm="1">
        <f t="array" ref="K1230">IF(ISBLANK(INDEX(FX_Input,$Q1229,$AB1230)),0.03,INDEX(FX_Input,#REF!,AC1230))</f>
        <v>0.03</v>
      </c>
      <c r="L1230" cm="1">
        <f t="array" ref="L1230">IF(ISBLANK(INDEX(FX_Input,$Q1229,$AB1230)),0.03,INDEX(FX_Input,#REF!,AD1230))</f>
        <v>0.03</v>
      </c>
      <c r="M1230" cm="1">
        <f t="array" ref="M1230">IF(ISBLANK(INDEX(FX_Input,$Q1229,$AB1230)),0.03,INDEX(FX_Input,#REF!,#REF!))</f>
        <v>0.03</v>
      </c>
      <c r="N1230" cm="1">
        <f t="array" ref="N1230">IF(ISBLANK(INDEX(FX_Input,$Q1229,$AB1230)),0.03,INDEX(FX_Input,AC1229,#REF!))</f>
        <v>0.03</v>
      </c>
      <c r="O1230" cm="1">
        <f t="array" ref="O1230">IF(ISBLANK(INDEX(FX_Input,$Q1229,$AB1230)),0.03,INDEX(FX_Input,AD1229,#REF!))</f>
        <v>0.03</v>
      </c>
      <c r="AB1230">
        <v>15</v>
      </c>
    </row>
    <row r="1231" spans="1:32" ht="17.149999999999999" x14ac:dyDescent="0.55000000000000004">
      <c r="B1231" t="str">
        <f>B1230</f>
        <v>Portland</v>
      </c>
      <c r="C1231" t="s">
        <v>565</v>
      </c>
      <c r="D1231" cm="1">
        <f t="array" ref="D1231">IF(ISBLANK(INDEX(FX_Input,$Q1229,$AB1231)),-0.03,INDEX(FX_Input,$Q1229,$AB1231))</f>
        <v>-0.03</v>
      </c>
      <c r="E1231" cm="1">
        <f t="array" ref="E1231">IF(ISBLANK(INDEX(FX_Input,$Q1229,$AB1231)),-0.03,INDEX(FX_Input,R1229,#REF!))</f>
        <v>-0.03</v>
      </c>
      <c r="F1231" cm="1">
        <f t="array" ref="F1231">IF(ISBLANK(INDEX(FX_Input,$Q1229,$AB1231)),-0.03,INDEX(FX_Input,S1229,#REF!))</f>
        <v>-0.03</v>
      </c>
      <c r="G1231" cm="1">
        <f t="array" ref="G1231">IF(ISBLANK(INDEX(FX_Input,$Q1229,$AB1231)),-0.03,INDEX(FX_Input,AB1229,#REF!))</f>
        <v>-0.03</v>
      </c>
      <c r="H1231" cm="1">
        <f t="array" ref="H1231">IF(ISBLANK(INDEX(FX_Input,$Q1229,$AB1231)),-0.03,INDEX(FX_Input,#REF!,#REF!))</f>
        <v>-0.03</v>
      </c>
      <c r="I1231" cm="1">
        <f t="array" ref="I1231">IF(ISBLANK(INDEX(FX_Input,$Q1229,$AB1231)),-0.03,INDEX(FX_Input,#REF!,#REF!))</f>
        <v>-0.03</v>
      </c>
      <c r="J1231" cm="1">
        <f t="array" ref="J1231">IF(ISBLANK(INDEX(FX_Input,$Q1229,$AB1231)),-0.03,INDEX(FX_Input,#REF!,#REF!))</f>
        <v>-0.03</v>
      </c>
      <c r="K1231" cm="1">
        <f t="array" ref="K1231">IF(ISBLANK(INDEX(FX_Input,$Q1229,$AB1231)),-0.03,INDEX(FX_Input,#REF!,AC1231))</f>
        <v>-0.03</v>
      </c>
      <c r="L1231" cm="1">
        <f t="array" ref="L1231">IF(ISBLANK(INDEX(FX_Input,$Q1229,$AB1231)),-0.03,INDEX(FX_Input,#REF!,AD1231))</f>
        <v>-0.03</v>
      </c>
      <c r="M1231" cm="1">
        <f t="array" ref="M1231">IF(ISBLANK(INDEX(FX_Input,$Q1229,$AB1231)),-0.03,INDEX(FX_Input,#REF!,#REF!))</f>
        <v>-0.03</v>
      </c>
      <c r="N1231" cm="1">
        <f t="array" ref="N1231">IF(ISBLANK(INDEX(FX_Input,$Q1229,$AB1231)),-0.03,INDEX(FX_Input,AC1229,#REF!))</f>
        <v>-0.03</v>
      </c>
      <c r="O1231" cm="1">
        <f t="array" ref="O1231">IF(ISBLANK(INDEX(FX_Input,$Q1229,$AB1231)),-0.03,INDEX(FX_Input,AD1229,#REF!))</f>
        <v>-0.03</v>
      </c>
      <c r="AB1231">
        <v>16</v>
      </c>
    </row>
    <row r="1232" spans="1:32" x14ac:dyDescent="0.4">
      <c r="B1232" t="str">
        <f t="shared" ref="B1232:B1233" si="4498">B1231</f>
        <v>Portland</v>
      </c>
      <c r="C1232" s="66" t="s">
        <v>567</v>
      </c>
      <c r="D1232" t="str" cm="1">
        <f t="array" ref="D1232">INDEX(FX_Multi,$AD1232,D$3)</f>
        <v>Out of Service</v>
      </c>
      <c r="E1232" t="str" cm="1">
        <f t="array" ref="E1232">INDEX(FX_Multi,$AD1232,E$3)</f>
        <v>Out of Service</v>
      </c>
      <c r="F1232" t="str" cm="1">
        <f t="array" ref="F1232">INDEX(FX_Multi,$AD1232,F$3)</f>
        <v>Out of Service</v>
      </c>
      <c r="G1232" t="str" cm="1">
        <f t="array" ref="G1232">INDEX(FX_Multi,$AD1232,G$3)</f>
        <v>Out of Service</v>
      </c>
      <c r="H1232" t="str" cm="1">
        <f t="array" ref="H1232">INDEX(FX_Multi,$AD1232,H$3)</f>
        <v>Out of Service</v>
      </c>
      <c r="I1232" t="str" cm="1">
        <f t="array" ref="I1232">INDEX(FX_Multi,$AD1232,I$3)</f>
        <v>Out of Service</v>
      </c>
      <c r="J1232" t="str" cm="1">
        <f t="array" ref="J1232">INDEX(FX_Multi,$AD1232,J$3)</f>
        <v>Out of Service</v>
      </c>
      <c r="K1232" t="str" cm="1">
        <f t="array" ref="K1232">INDEX(FX_Multi,$AD1232,K$3)</f>
        <v>Out of Service</v>
      </c>
      <c r="L1232" t="str" cm="1">
        <f t="array" ref="L1232">INDEX(FX_Multi,$AD1232,L$3)</f>
        <v>Out of Service</v>
      </c>
      <c r="M1232" t="str" cm="1">
        <f t="array" ref="M1232">INDEX(FX_Multi,$AD1232,M$3)</f>
        <v>Out of Service</v>
      </c>
      <c r="N1232" t="str" cm="1">
        <f t="array" ref="N1232">INDEX(FX_Multi,$AD1232,N$3)</f>
        <v>Out of Service</v>
      </c>
      <c r="O1232" t="str" cm="1">
        <f t="array" ref="O1232">INDEX(FX_Multi,$AD1232,O$3)</f>
        <v>Out of Service</v>
      </c>
      <c r="AC1232">
        <v>1</v>
      </c>
      <c r="AD1232">
        <f>AD1229</f>
        <v>505</v>
      </c>
      <c r="AE1232">
        <v>1</v>
      </c>
      <c r="AF1232">
        <f>AF1229</f>
        <v>505</v>
      </c>
    </row>
    <row r="1233" spans="2:32" x14ac:dyDescent="0.4">
      <c r="B1233" t="str">
        <f t="shared" si="4498"/>
        <v>Portland</v>
      </c>
      <c r="C1233" s="66" t="s">
        <v>566</v>
      </c>
      <c r="D1233" t="str" cm="1">
        <f t="array" ref="D1233">INDEX(FX_Multi,$AD1233,D$3)</f>
        <v>N/A</v>
      </c>
      <c r="E1233" t="str" cm="1">
        <f t="array" ref="E1233">INDEX(FX_Multi,$AD1233,E$3)</f>
        <v>N/A</v>
      </c>
      <c r="F1233" t="str" cm="1">
        <f t="array" ref="F1233">INDEX(FX_Multi,$AD1233,F$3)</f>
        <v>N/A</v>
      </c>
      <c r="G1233" t="str" cm="1">
        <f t="array" ref="G1233">INDEX(FX_Multi,$AD1233,G$3)</f>
        <v>N/A</v>
      </c>
      <c r="H1233" t="str" cm="1">
        <f t="array" ref="H1233">INDEX(FX_Multi,$AD1233,H$3)</f>
        <v>N/A</v>
      </c>
      <c r="I1233" t="str" cm="1">
        <f t="array" ref="I1233">INDEX(FX_Multi,$AD1233,I$3)</f>
        <v>N/A</v>
      </c>
      <c r="J1233" t="str" cm="1">
        <f t="array" ref="J1233">INDEX(FX_Multi,$AD1233,J$3)</f>
        <v>N/A</v>
      </c>
      <c r="K1233" t="str" cm="1">
        <f t="array" ref="K1233">INDEX(FX_Multi,$AD1233,K$3)</f>
        <v>N/A</v>
      </c>
      <c r="L1233" t="str" cm="1">
        <f t="array" ref="L1233">INDEX(FX_Multi,$AD1233,L$3)</f>
        <v>N/A</v>
      </c>
      <c r="M1233" t="str" cm="1">
        <f t="array" ref="M1233">INDEX(FX_Multi,$AD1233,M$3)</f>
        <v>N/A</v>
      </c>
      <c r="N1233" t="str" cm="1">
        <f t="array" ref="N1233">INDEX(FX_Multi,$AD1233,N$3)</f>
        <v>N/A</v>
      </c>
      <c r="O1233" t="str" cm="1">
        <f t="array" ref="O1233">INDEX(FX_Multi,$AD1233,O$3)</f>
        <v>N/A</v>
      </c>
      <c r="AC1233">
        <v>1</v>
      </c>
      <c r="AD1233">
        <f>AD1232+2</f>
        <v>507</v>
      </c>
      <c r="AE1233">
        <v>1</v>
      </c>
      <c r="AF1233">
        <f>AF1232+3</f>
        <v>508</v>
      </c>
    </row>
    <row r="1234" spans="2:32" x14ac:dyDescent="0.4">
      <c r="B1234" t="str">
        <f>B1230</f>
        <v>Portland</v>
      </c>
      <c r="C1234" s="66" t="s">
        <v>568</v>
      </c>
      <c r="D1234" cm="1">
        <f t="array" ref="D1234">INDEX(FX_Multi,$AD1234,D$3)</f>
        <v>0</v>
      </c>
      <c r="E1234" cm="1">
        <f t="array" ref="E1234">INDEX(FX_Multi,$AD1234,E$3)</f>
        <v>0</v>
      </c>
      <c r="F1234" cm="1">
        <f t="array" ref="F1234">INDEX(FX_Multi,$AD1234,F$3)</f>
        <v>0</v>
      </c>
      <c r="G1234" cm="1">
        <f t="array" ref="G1234">INDEX(FX_Multi,$AD1234,G$3)</f>
        <v>0</v>
      </c>
      <c r="H1234" cm="1">
        <f t="array" ref="H1234">INDEX(FX_Multi,$AD1234,H$3)</f>
        <v>0</v>
      </c>
      <c r="I1234" cm="1">
        <f t="array" ref="I1234">INDEX(FX_Multi,$AD1234,I$3)</f>
        <v>0</v>
      </c>
      <c r="J1234" cm="1">
        <f t="array" ref="J1234">INDEX(FX_Multi,$AD1234,J$3)</f>
        <v>0</v>
      </c>
      <c r="K1234" cm="1">
        <f t="array" ref="K1234">INDEX(FX_Multi,$AD1234,K$3)</f>
        <v>0</v>
      </c>
      <c r="L1234" cm="1">
        <f t="array" ref="L1234">INDEX(FX_Multi,$AD1234,L$3)</f>
        <v>0</v>
      </c>
      <c r="M1234" cm="1">
        <f t="array" ref="M1234">INDEX(FX_Multi,$AD1234,M$3)</f>
        <v>0</v>
      </c>
      <c r="N1234" cm="1">
        <f t="array" ref="N1234">INDEX(FX_Multi,$AD1234,N$3)</f>
        <v>0</v>
      </c>
      <c r="O1234" cm="1">
        <f t="array" ref="O1234">INDEX(FX_Multi,$AD1234,O$3)</f>
        <v>0</v>
      </c>
      <c r="AC1234">
        <v>1</v>
      </c>
      <c r="AD1234">
        <f>AD1233-1</f>
        <v>506</v>
      </c>
      <c r="AE1234">
        <v>1</v>
      </c>
      <c r="AF1234">
        <f>AF1232+1</f>
        <v>506</v>
      </c>
    </row>
    <row r="1235" spans="2:32" x14ac:dyDescent="0.4">
      <c r="B1235" t="str">
        <f t="shared" ref="B1235:B1239" si="4499">B1234</f>
        <v>Portland</v>
      </c>
      <c r="C1235" s="66" t="s">
        <v>569</v>
      </c>
      <c r="D1235" cm="1">
        <f t="array" ref="D1235">INDEX(FX_Multi,$AD1235,D$3)</f>
        <v>0</v>
      </c>
      <c r="E1235" cm="1">
        <f t="array" ref="E1235">INDEX(FX_Multi,$AD1235,E$3)</f>
        <v>0</v>
      </c>
      <c r="F1235" cm="1">
        <f t="array" ref="F1235">INDEX(FX_Multi,$AD1235,F$3)</f>
        <v>0</v>
      </c>
      <c r="G1235" cm="1">
        <f t="array" ref="G1235">INDEX(FX_Multi,$AD1235,G$3)</f>
        <v>0</v>
      </c>
      <c r="H1235" cm="1">
        <f t="array" ref="H1235">INDEX(FX_Multi,$AD1235,H$3)</f>
        <v>0</v>
      </c>
      <c r="I1235" cm="1">
        <f t="array" ref="I1235">INDEX(FX_Multi,$AD1235,I$3)</f>
        <v>0</v>
      </c>
      <c r="J1235" cm="1">
        <f t="array" ref="J1235">INDEX(FX_Multi,$AD1235,J$3)</f>
        <v>0</v>
      </c>
      <c r="K1235" cm="1">
        <f t="array" ref="K1235">INDEX(FX_Multi,$AD1235,K$3)</f>
        <v>0</v>
      </c>
      <c r="L1235" cm="1">
        <f t="array" ref="L1235">INDEX(FX_Multi,$AD1235,L$3)</f>
        <v>0</v>
      </c>
      <c r="M1235" cm="1">
        <f t="array" ref="M1235">INDEX(FX_Multi,$AD1235,M$3)</f>
        <v>0</v>
      </c>
      <c r="N1235" cm="1">
        <f t="array" ref="N1235">INDEX(FX_Multi,$AD1235,N$3)</f>
        <v>0</v>
      </c>
      <c r="O1235" cm="1">
        <f t="array" ref="O1235">INDEX(FX_Multi,$AD1235,O$3)</f>
        <v>0</v>
      </c>
      <c r="AC1235">
        <v>1</v>
      </c>
      <c r="AD1235">
        <f>AD1234+2</f>
        <v>508</v>
      </c>
      <c r="AE1235">
        <v>1</v>
      </c>
      <c r="AF1235">
        <f>AF1233</f>
        <v>508</v>
      </c>
    </row>
    <row r="1236" spans="2:32" ht="17.149999999999999" x14ac:dyDescent="0.55000000000000004">
      <c r="B1236" t="str">
        <f t="shared" si="4499"/>
        <v>Portland</v>
      </c>
      <c r="C1236" t="s">
        <v>570</v>
      </c>
      <c r="D1236" cm="1">
        <f t="array" ref="D1236">INDEX(FX_Multi,$AD1236,D$3)</f>
        <v>1</v>
      </c>
      <c r="E1236" cm="1">
        <f t="array" ref="E1236">INDEX(FX_Multi,$AD1236,E$3)</f>
        <v>1</v>
      </c>
      <c r="F1236" cm="1">
        <f t="array" ref="F1236">INDEX(FX_Multi,$AD1236,F$3)</f>
        <v>1</v>
      </c>
      <c r="G1236" cm="1">
        <f t="array" ref="G1236">INDEX(FX_Multi,$AD1236,G$3)</f>
        <v>1</v>
      </c>
      <c r="H1236" cm="1">
        <f t="array" ref="H1236">INDEX(FX_Multi,$AD1236,H$3)</f>
        <v>1</v>
      </c>
      <c r="I1236" cm="1">
        <f t="array" ref="I1236">INDEX(FX_Multi,$AD1236,I$3)</f>
        <v>1</v>
      </c>
      <c r="J1236" cm="1">
        <f t="array" ref="J1236">INDEX(FX_Multi,$AD1236,J$3)</f>
        <v>1</v>
      </c>
      <c r="K1236" cm="1">
        <f t="array" ref="K1236">INDEX(FX_Multi,$AD1236,K$3)</f>
        <v>1</v>
      </c>
      <c r="L1236" cm="1">
        <f t="array" ref="L1236">INDEX(FX_Multi,$AD1236,L$3)</f>
        <v>1</v>
      </c>
      <c r="M1236" cm="1">
        <f t="array" ref="M1236">INDEX(FX_Multi,$AD1236,M$3)</f>
        <v>1</v>
      </c>
      <c r="N1236" cm="1">
        <f t="array" ref="N1236">INDEX(FX_Multi,$AD1236,N$3)</f>
        <v>1</v>
      </c>
      <c r="O1236" cm="1">
        <f t="array" ref="O1236">INDEX(FX_Multi,$AD1236,O$3)</f>
        <v>1</v>
      </c>
      <c r="AC1236">
        <v>1</v>
      </c>
      <c r="AD1236">
        <f>AD1235+6</f>
        <v>514</v>
      </c>
      <c r="AE1236">
        <v>1</v>
      </c>
      <c r="AF1236">
        <f>AF1232+9</f>
        <v>514</v>
      </c>
    </row>
    <row r="1237" spans="2:32" ht="17.149999999999999" x14ac:dyDescent="0.55000000000000004">
      <c r="B1237" t="str">
        <f t="shared" si="4499"/>
        <v>Portland</v>
      </c>
      <c r="C1237" t="s">
        <v>571</v>
      </c>
      <c r="D1237" t="str" cm="1">
        <f t="array" ref="D1237">INDEX(FX_Multi,$AD1237,D$3)</f>
        <v>N/A</v>
      </c>
      <c r="E1237" t="str" cm="1">
        <f t="array" ref="E1237">INDEX(FX_Multi,$AD1237,E$3)</f>
        <v>N/A</v>
      </c>
      <c r="F1237" t="str" cm="1">
        <f t="array" ref="F1237">INDEX(FX_Multi,$AD1237,F$3)</f>
        <v>N/A</v>
      </c>
      <c r="G1237" t="str" cm="1">
        <f t="array" ref="G1237">INDEX(FX_Multi,$AD1237,G$3)</f>
        <v>N/A</v>
      </c>
      <c r="H1237" t="str" cm="1">
        <f t="array" ref="H1237">INDEX(FX_Multi,$AD1237,H$3)</f>
        <v>N/A</v>
      </c>
      <c r="I1237" t="str" cm="1">
        <f t="array" ref="I1237">INDEX(FX_Multi,$AD1237,I$3)</f>
        <v>N/A</v>
      </c>
      <c r="J1237" t="str" cm="1">
        <f t="array" ref="J1237">INDEX(FX_Multi,$AD1237,J$3)</f>
        <v>N/A</v>
      </c>
      <c r="K1237" t="str" cm="1">
        <f t="array" ref="K1237">INDEX(FX_Multi,$AD1237,K$3)</f>
        <v>N/A</v>
      </c>
      <c r="L1237" t="str" cm="1">
        <f t="array" ref="L1237">INDEX(FX_Multi,$AD1237,L$3)</f>
        <v>N/A</v>
      </c>
      <c r="M1237" t="str" cm="1">
        <f t="array" ref="M1237">INDEX(FX_Multi,$AD1237,M$3)</f>
        <v>N/A</v>
      </c>
      <c r="N1237" t="str" cm="1">
        <f t="array" ref="N1237">INDEX(FX_Multi,$AD1237,N$3)</f>
        <v>N/A</v>
      </c>
      <c r="O1237" t="str" cm="1">
        <f t="array" ref="O1237">INDEX(FX_Multi,$AD1237,O$3)</f>
        <v>N/A</v>
      </c>
      <c r="AC1237">
        <v>1</v>
      </c>
      <c r="AD1237">
        <f>AD1236-3</f>
        <v>511</v>
      </c>
      <c r="AE1237">
        <v>1</v>
      </c>
      <c r="AF1237">
        <f>AF1232+6</f>
        <v>511</v>
      </c>
    </row>
    <row r="1238" spans="2:32" ht="17.149999999999999" x14ac:dyDescent="0.55000000000000004">
      <c r="B1238" t="str">
        <f t="shared" si="4499"/>
        <v>Portland</v>
      </c>
      <c r="C1238" t="s">
        <v>572</v>
      </c>
      <c r="D1238" cm="1">
        <f t="array" ref="D1238">INDEX(FX_Multi,$AD1238,D$3)</f>
        <v>0</v>
      </c>
      <c r="E1238" cm="1">
        <f t="array" ref="E1238">INDEX(FX_Multi,$AD1238,E$3)</f>
        <v>0</v>
      </c>
      <c r="F1238" cm="1">
        <f t="array" ref="F1238">INDEX(FX_Multi,$AD1238,F$3)</f>
        <v>0</v>
      </c>
      <c r="G1238" cm="1">
        <f t="array" ref="G1238">INDEX(FX_Multi,$AD1238,G$3)</f>
        <v>0</v>
      </c>
      <c r="H1238" cm="1">
        <f t="array" ref="H1238">INDEX(FX_Multi,$AD1238,H$3)</f>
        <v>0</v>
      </c>
      <c r="I1238" cm="1">
        <f t="array" ref="I1238">INDEX(FX_Multi,$AD1238,I$3)</f>
        <v>0</v>
      </c>
      <c r="J1238" cm="1">
        <f t="array" ref="J1238">INDEX(FX_Multi,$AD1238,J$3)</f>
        <v>0</v>
      </c>
      <c r="K1238" cm="1">
        <f t="array" ref="K1238">INDEX(FX_Multi,$AD1238,K$3)</f>
        <v>0</v>
      </c>
      <c r="L1238" cm="1">
        <f t="array" ref="L1238">INDEX(FX_Multi,$AD1238,L$3)</f>
        <v>0</v>
      </c>
      <c r="M1238" cm="1">
        <f t="array" ref="M1238">INDEX(FX_Multi,$AD1238,M$3)</f>
        <v>0</v>
      </c>
      <c r="N1238" cm="1">
        <f t="array" ref="N1238">INDEX(FX_Multi,$AD1238,N$3)</f>
        <v>0</v>
      </c>
      <c r="O1238" cm="1">
        <f t="array" ref="O1238">INDEX(FX_Multi,$AD1238,O$3)</f>
        <v>0</v>
      </c>
      <c r="AC1238">
        <v>1</v>
      </c>
      <c r="AD1238">
        <f>AD1237+4</f>
        <v>515</v>
      </c>
      <c r="AE1238">
        <v>1</v>
      </c>
      <c r="AF1238">
        <f>AF1232+10</f>
        <v>515</v>
      </c>
    </row>
    <row r="1239" spans="2:32" ht="17.149999999999999" x14ac:dyDescent="0.55000000000000004">
      <c r="B1239" t="str">
        <f t="shared" si="4499"/>
        <v>Portland</v>
      </c>
      <c r="C1239" t="s">
        <v>573</v>
      </c>
      <c r="D1239" cm="1">
        <f t="array" ref="D1239">INDEX(FX_Multi,$AD1239,D$3)</f>
        <v>0</v>
      </c>
      <c r="E1239" cm="1">
        <f t="array" ref="E1239">INDEX(FX_Multi,$AD1239,E$3)</f>
        <v>0</v>
      </c>
      <c r="F1239" cm="1">
        <f t="array" ref="F1239">INDEX(FX_Multi,$AD1239,F$3)</f>
        <v>0</v>
      </c>
      <c r="G1239" cm="1">
        <f t="array" ref="G1239">INDEX(FX_Multi,$AD1239,G$3)</f>
        <v>0</v>
      </c>
      <c r="H1239" cm="1">
        <f t="array" ref="H1239">INDEX(FX_Multi,$AD1239,H$3)</f>
        <v>0</v>
      </c>
      <c r="I1239" cm="1">
        <f t="array" ref="I1239">INDEX(FX_Multi,$AD1239,I$3)</f>
        <v>0</v>
      </c>
      <c r="J1239" cm="1">
        <f t="array" ref="J1239">INDEX(FX_Multi,$AD1239,J$3)</f>
        <v>0</v>
      </c>
      <c r="K1239" cm="1">
        <f t="array" ref="K1239">INDEX(FX_Multi,$AD1239,K$3)</f>
        <v>0</v>
      </c>
      <c r="L1239" cm="1">
        <f t="array" ref="L1239">INDEX(FX_Multi,$AD1239,L$3)</f>
        <v>0</v>
      </c>
      <c r="M1239" cm="1">
        <f t="array" ref="M1239">INDEX(FX_Multi,$AD1239,M$3)</f>
        <v>0</v>
      </c>
      <c r="N1239" cm="1">
        <f t="array" ref="N1239">INDEX(FX_Multi,$AD1239,N$3)</f>
        <v>0</v>
      </c>
      <c r="O1239" cm="1">
        <f t="array" ref="O1239">INDEX(FX_Multi,$AD1239,O$3)</f>
        <v>0</v>
      </c>
      <c r="AC1239">
        <v>1</v>
      </c>
      <c r="AD1239">
        <f>AD1238-3</f>
        <v>512</v>
      </c>
      <c r="AE1239">
        <v>1</v>
      </c>
      <c r="AF1239">
        <f>AF1232+7</f>
        <v>512</v>
      </c>
    </row>
    <row r="1240" spans="2:32" ht="17.149999999999999" x14ac:dyDescent="0.55000000000000004">
      <c r="B1240" t="str">
        <f>B1235</f>
        <v>Portland</v>
      </c>
      <c r="C1240" t="s">
        <v>526</v>
      </c>
      <c r="D1240" cm="1">
        <f t="array" ref="D1240">INDEX(FX_Temps,$AF1240,D$3)</f>
        <v>43.899999999999977</v>
      </c>
      <c r="E1240" cm="1">
        <f t="array" ref="E1240">INDEX(FX_Temps,$AF1240,E$3)</f>
        <v>44.700000000000045</v>
      </c>
      <c r="F1240" cm="1">
        <f t="array" ref="F1240">INDEX(FX_Temps,$AF1240,F$3)</f>
        <v>46.100000000000023</v>
      </c>
      <c r="G1240" cm="1">
        <f t="array" ref="G1240">INDEX(FX_Temps,$AF1240,G$3)</f>
        <v>48.599999999999966</v>
      </c>
      <c r="H1240" cm="1">
        <f t="array" ref="H1240">INDEX(FX_Temps,$AF1240,H$3)</f>
        <v>53.149999999999977</v>
      </c>
      <c r="I1240" cm="1">
        <f t="array" ref="I1240">INDEX(FX_Temps,$AF1240,I$3)</f>
        <v>56.950000000000045</v>
      </c>
      <c r="J1240" cm="1">
        <f t="array" ref="J1240">INDEX(FX_Temps,$AF1240,J$3)</f>
        <v>60.449999999999932</v>
      </c>
      <c r="K1240" cm="1">
        <f t="array" ref="K1240">INDEX(FX_Temps,$AF1240,K$3)</f>
        <v>60.899999999999977</v>
      </c>
      <c r="L1240" cm="1">
        <f t="array" ref="L1240">INDEX(FX_Temps,$AF1240,L$3)</f>
        <v>58.600000000000023</v>
      </c>
      <c r="M1240" cm="1">
        <f t="array" ref="M1240">INDEX(FX_Temps,$AF1240,M$3)</f>
        <v>52.649999999999977</v>
      </c>
      <c r="N1240" cm="1">
        <f t="array" ref="N1240">INDEX(FX_Temps,$AF1240,N$3)</f>
        <v>47.100000000000023</v>
      </c>
      <c r="O1240" cm="1">
        <f t="array" ref="O1240">INDEX(FX_Temps,$AF1240,O$3)</f>
        <v>43.600000000000023</v>
      </c>
      <c r="AE1240">
        <v>1</v>
      </c>
      <c r="AF1240">
        <f>AF1232+10</f>
        <v>515</v>
      </c>
    </row>
    <row r="1241" spans="2:32" ht="17.149999999999999" x14ac:dyDescent="0.55000000000000004">
      <c r="B1241" t="str">
        <f t="shared" ref="B1241:B1262" si="4500">B1240</f>
        <v>Portland</v>
      </c>
      <c r="C1241" t="s">
        <v>527</v>
      </c>
      <c r="D1241" cm="1">
        <f t="array" ref="D1241">INDEX(FX_Temps,$AF1241,D$3)</f>
        <v>43.899999999999977</v>
      </c>
      <c r="E1241" cm="1">
        <f t="array" ref="E1241">INDEX(FX_Temps,$AF1241,E$3)</f>
        <v>44.700000000000045</v>
      </c>
      <c r="F1241" cm="1">
        <f t="array" ref="F1241">INDEX(FX_Temps,$AF1241,F$3)</f>
        <v>46.100000000000023</v>
      </c>
      <c r="G1241" cm="1">
        <f t="array" ref="G1241">INDEX(FX_Temps,$AF1241,G$3)</f>
        <v>48.599999999999966</v>
      </c>
      <c r="H1241" cm="1">
        <f t="array" ref="H1241">INDEX(FX_Temps,$AF1241,H$3)</f>
        <v>53.149999999999977</v>
      </c>
      <c r="I1241" cm="1">
        <f t="array" ref="I1241">INDEX(FX_Temps,$AF1241,I$3)</f>
        <v>56.950000000000045</v>
      </c>
      <c r="J1241" cm="1">
        <f t="array" ref="J1241">INDEX(FX_Temps,$AF1241,J$3)</f>
        <v>60.449999999999932</v>
      </c>
      <c r="K1241" cm="1">
        <f t="array" ref="K1241">INDEX(FX_Temps,$AF1241,K$3)</f>
        <v>60.899999999999977</v>
      </c>
      <c r="L1241" cm="1">
        <f t="array" ref="L1241">INDEX(FX_Temps,$AF1241,L$3)</f>
        <v>58.600000000000023</v>
      </c>
      <c r="M1241" cm="1">
        <f t="array" ref="M1241">INDEX(FX_Temps,$AF1241,M$3)</f>
        <v>52.649999999999977</v>
      </c>
      <c r="N1241" cm="1">
        <f t="array" ref="N1241">INDEX(FX_Temps,$AF1241,N$3)</f>
        <v>47.100000000000023</v>
      </c>
      <c r="O1241" cm="1">
        <f t="array" ref="O1241">INDEX(FX_Temps,$AF1241,O$3)</f>
        <v>43.600000000000023</v>
      </c>
      <c r="AE1241">
        <f>AE1240</f>
        <v>1</v>
      </c>
      <c r="AF1241">
        <f>AF1232+11</f>
        <v>516</v>
      </c>
    </row>
    <row r="1242" spans="2:32" ht="17.149999999999999" x14ac:dyDescent="0.55000000000000004">
      <c r="B1242" t="str">
        <f t="shared" si="4500"/>
        <v>Portland</v>
      </c>
      <c r="C1242" t="s">
        <v>552</v>
      </c>
      <c r="D1242" cm="1">
        <f t="array" ref="D1242">INDEX(FX_Temps,$AF1242,D$3)</f>
        <v>43.899999999999977</v>
      </c>
      <c r="E1242" cm="1">
        <f t="array" ref="E1242">INDEX(FX_Temps,$AF1242,E$3)</f>
        <v>44.700000000000045</v>
      </c>
      <c r="F1242" cm="1">
        <f t="array" ref="F1242">INDEX(FX_Temps,$AF1242,F$3)</f>
        <v>46.100000000000023</v>
      </c>
      <c r="G1242" cm="1">
        <f t="array" ref="G1242">INDEX(FX_Temps,$AF1242,G$3)</f>
        <v>48.599999999999966</v>
      </c>
      <c r="H1242" cm="1">
        <f t="array" ref="H1242">INDEX(FX_Temps,$AF1242,H$3)</f>
        <v>53.149999999999977</v>
      </c>
      <c r="I1242" cm="1">
        <f t="array" ref="I1242">INDEX(FX_Temps,$AF1242,I$3)</f>
        <v>56.950000000000045</v>
      </c>
      <c r="J1242" cm="1">
        <f t="array" ref="J1242">INDEX(FX_Temps,$AF1242,J$3)</f>
        <v>60.449999999999932</v>
      </c>
      <c r="K1242" cm="1">
        <f t="array" ref="K1242">INDEX(FX_Temps,$AF1242,K$3)</f>
        <v>60.899999999999977</v>
      </c>
      <c r="L1242" cm="1">
        <f t="array" ref="L1242">INDEX(FX_Temps,$AF1242,L$3)</f>
        <v>58.600000000000023</v>
      </c>
      <c r="M1242" cm="1">
        <f t="array" ref="M1242">INDEX(FX_Temps,$AF1242,M$3)</f>
        <v>52.649999999999977</v>
      </c>
      <c r="N1242" cm="1">
        <f t="array" ref="N1242">INDEX(FX_Temps,$AF1242,N$3)</f>
        <v>47.100000000000023</v>
      </c>
      <c r="O1242" cm="1">
        <f t="array" ref="O1242">INDEX(FX_Temps,$AF1242,O$3)</f>
        <v>43.600000000000023</v>
      </c>
      <c r="AE1242">
        <f>AE1241</f>
        <v>1</v>
      </c>
      <c r="AF1242">
        <f>AF1232+13</f>
        <v>518</v>
      </c>
    </row>
    <row r="1243" spans="2:32" ht="17.149999999999999" x14ac:dyDescent="0.55000000000000004">
      <c r="B1243" t="str">
        <f t="shared" si="4500"/>
        <v>Portland</v>
      </c>
      <c r="C1243" t="s">
        <v>574</v>
      </c>
      <c r="D1243" s="20" cm="1">
        <f t="array" ref="D1243">IFERROR(IF(D1233="Chemical",(10^(INDEX(Antoines,MATCH(D1232,Antoine_Name,0),2)-INDEX(Antoines,MATCH(D1232,Antoine_Name,0),3)/(INDEX(Antoines,MATCH(D1232,Antoine_Name,0),4)+(D1240-32)*5/9)))*14.7/760,IF(D1233="Crude Oil",EXP((2799/(D1240+459.6)-2.227)*LOG10(INDEX(FX_Input,Q$5,D$3*$Z$5+$AA$5))-(7261/(D1240+459.6))+12.82),IF(D1233="Refined Petroleum Stock",EXP((0.7553-(413/(D1240+459.6)))*(INDEX(FX_Input,Q$5,D$3*$Z$5+$AA$5-1)^0.5)*LOG10(INDEX(FX_Input,Q$5,D$3*$Z$5+$AA$5))-(1.854-(1042/(D1240+459.6)))*(INDEX(FX_Input,Q$5,D$3*$Z$5+$AA$5-1)^0.5)+((2416/(D1240+459.6)-2.013)*LOG10(INDEX(FX_Input,Q$5,D$3*$Z$5+$AA$5)))-(8742/(D1240+459.6))+15.64),EXP(INDEX(Antoines,MATCH(D1232,Antoine_Name,0),2)-INDEX(Antoines,MATCH(D1232,Antoine_Name,0),3)/(D1240+459.6))))),0)</f>
        <v>1</v>
      </c>
      <c r="E1243" cm="1">
        <f t="array" ref="E1243">IFERROR(IF(E1233="Chemical",(10^(INDEX(Antoines,MATCH(E1232,Antoine_Name,0),2)-INDEX(Antoines,MATCH(E1232,Antoine_Name,0),3)/(INDEX(Antoines,MATCH(E1232,Antoine_Name,0),4)+(E1240-32)*5/9)))*14.7/760,IF(E1233="Crude Oil",EXP((2799/(E1240+459.6)-2.227)*LOG10(INDEX(FX_Input,R$5,E$3*$Z$5+$AA$5))-(7261/(E1240+459.6))+12.82),IF(E1233="Refined Petroleum Stock",EXP((0.7553-(413/(E1240+459.6)))*(INDEX(FX_Input,R$5,E$3*$Z$5+$AA$5-1)^0.5)*LOG10(INDEX(FX_Input,R$5,E$3*$Z$5+$AA$5))-(1.854-(1042/(E1240+459.6)))*(INDEX(FX_Input,R$5,E$3*$Z$5+$AA$5-1)^0.5)+((2416/(E1240+459.6)-2.013)*LOG10(INDEX(FX_Input,R$5,E$3*$Z$5+$AA$5)))-(8742/(E1240+459.6))+15.64),EXP(INDEX(Antoines,MATCH(E1232,Antoine_Name,0),2)-INDEX(Antoines,MATCH(E1232,Antoine_Name,0),3)/(E1240+459.6))))),0)</f>
        <v>1</v>
      </c>
      <c r="F1243" cm="1">
        <f t="array" ref="F1243">IFERROR(IF(F1233="Chemical",(10^(INDEX(Antoines,MATCH(F1232,Antoine_Name,0),2)-INDEX(Antoines,MATCH(F1232,Antoine_Name,0),3)/(INDEX(Antoines,MATCH(F1232,Antoine_Name,0),4)+(F1240-32)*5/9)))*14.7/760,IF(F1233="Crude Oil",EXP((2799/(F1240+459.6)-2.227)*LOG10(INDEX(FX_Input,S$5,F$3*$Z$5+$AA$5))-(7261/(F1240+459.6))+12.82),IF(F1233="Refined Petroleum Stock",EXP((0.7553-(413/(F1240+459.6)))*(INDEX(FX_Input,S$5,F$3*$Z$5+$AA$5-1)^0.5)*LOG10(INDEX(FX_Input,S$5,F$3*$Z$5+$AA$5))-(1.854-(1042/(F1240+459.6)))*(INDEX(FX_Input,S$5,F$3*$Z$5+$AA$5-1)^0.5)+((2416/(F1240+459.6)-2.013)*LOG10(INDEX(FX_Input,S$5,F$3*$Z$5+$AA$5)))-(8742/(F1240+459.6))+15.64),EXP(INDEX(Antoines,MATCH(F1232,Antoine_Name,0),2)-INDEX(Antoines,MATCH(F1232,Antoine_Name,0),3)/(F1240+459.6))))),0)</f>
        <v>1</v>
      </c>
      <c r="G1243" cm="1">
        <f t="array" ref="G1243">IFERROR(IF(G1233="Chemical",(10^(INDEX(Antoines,MATCH(G1232,Antoine_Name,0),2)-INDEX(Antoines,MATCH(G1232,Antoine_Name,0),3)/(INDEX(Antoines,MATCH(G1232,Antoine_Name,0),4)+(G1240-32)*5/9)))*14.7/760,IF(G1233="Crude Oil",EXP((2799/(G1240+459.6)-2.227)*LOG10(INDEX(FX_Input,T$5,G$3*$Z$5+$AA$5))-(7261/(G1240+459.6))+12.82),IF(G1233="Refined Petroleum Stock",EXP((0.7553-(413/(G1240+459.6)))*(INDEX(FX_Input,T$5,G$3*$Z$5+$AA$5-1)^0.5)*LOG10(INDEX(FX_Input,T$5,G$3*$Z$5+$AA$5))-(1.854-(1042/(G1240+459.6)))*(INDEX(FX_Input,T$5,G$3*$Z$5+$AA$5-1)^0.5)+((2416/(G1240+459.6)-2.013)*LOG10(INDEX(FX_Input,T$5,G$3*$Z$5+$AA$5)))-(8742/(G1240+459.6))+15.64),EXP(INDEX(Antoines,MATCH(G1232,Antoine_Name,0),2)-INDEX(Antoines,MATCH(G1232,Antoine_Name,0),3)/(G1240+459.6))))),0)</f>
        <v>1</v>
      </c>
      <c r="H1243" cm="1">
        <f t="array" ref="H1243">IFERROR(IF(H1233="Chemical",(10^(INDEX(Antoines,MATCH(H1232,Antoine_Name,0),2)-INDEX(Antoines,MATCH(H1232,Antoine_Name,0),3)/(INDEX(Antoines,MATCH(H1232,Antoine_Name,0),4)+(H1240-32)*5/9)))*14.7/760,IF(H1233="Crude Oil",EXP((2799/(H1240+459.6)-2.227)*LOG10(INDEX(FX_Input,U$5,H$3*$Z$5+$AA$5))-(7261/(H1240+459.6))+12.82),IF(H1233="Refined Petroleum Stock",EXP((0.7553-(413/(H1240+459.6)))*(INDEX(FX_Input,U$5,H$3*$Z$5+$AA$5-1)^0.5)*LOG10(INDEX(FX_Input,U$5,H$3*$Z$5+$AA$5))-(1.854-(1042/(H1240+459.6)))*(INDEX(FX_Input,U$5,H$3*$Z$5+$AA$5-1)^0.5)+((2416/(H1240+459.6)-2.013)*LOG10(INDEX(FX_Input,U$5,H$3*$Z$5+$AA$5)))-(8742/(H1240+459.6))+15.64),EXP(INDEX(Antoines,MATCH(H1232,Antoine_Name,0),2)-INDEX(Antoines,MATCH(H1232,Antoine_Name,0),3)/(H1240+459.6))))),0)</f>
        <v>1</v>
      </c>
      <c r="I1243" cm="1">
        <f t="array" ref="I1243">IFERROR(IF(I1233="Chemical",(10^(INDEX(Antoines,MATCH(I1232,Antoine_Name,0),2)-INDEX(Antoines,MATCH(I1232,Antoine_Name,0),3)/(INDEX(Antoines,MATCH(I1232,Antoine_Name,0),4)+(I1240-32)*5/9)))*14.7/760,IF(I1233="Crude Oil",EXP((2799/(I1240+459.6)-2.227)*LOG10(INDEX(FX_Input,V$5,I$3*$Z$5+$AA$5))-(7261/(I1240+459.6))+12.82),IF(I1233="Refined Petroleum Stock",EXP((0.7553-(413/(I1240+459.6)))*(INDEX(FX_Input,V$5,I$3*$Z$5+$AA$5-1)^0.5)*LOG10(INDEX(FX_Input,V$5,I$3*$Z$5+$AA$5))-(1.854-(1042/(I1240+459.6)))*(INDEX(FX_Input,V$5,I$3*$Z$5+$AA$5-1)^0.5)+((2416/(I1240+459.6)-2.013)*LOG10(INDEX(FX_Input,V$5,I$3*$Z$5+$AA$5)))-(8742/(I1240+459.6))+15.64),EXP(INDEX(Antoines,MATCH(I1232,Antoine_Name,0),2)-INDEX(Antoines,MATCH(I1232,Antoine_Name,0),3)/(I1240+459.6))))),0)</f>
        <v>1</v>
      </c>
      <c r="J1243" cm="1">
        <f t="array" ref="J1243">IFERROR(IF(J1233="Chemical",(10^(INDEX(Antoines,MATCH(J1232,Antoine_Name,0),2)-INDEX(Antoines,MATCH(J1232,Antoine_Name,0),3)/(INDEX(Antoines,MATCH(J1232,Antoine_Name,0),4)+(J1240-32)*5/9)))*14.7/760,IF(J1233="Crude Oil",EXP((2799/(J1240+459.6)-2.227)*LOG10(INDEX(FX_Input,W$5,J$3*$Z$5+$AA$5))-(7261/(J1240+459.6))+12.82),IF(J1233="Refined Petroleum Stock",EXP((0.7553-(413/(J1240+459.6)))*(INDEX(FX_Input,W$5,J$3*$Z$5+$AA$5-1)^0.5)*LOG10(INDEX(FX_Input,W$5,J$3*$Z$5+$AA$5))-(1.854-(1042/(J1240+459.6)))*(INDEX(FX_Input,W$5,J$3*$Z$5+$AA$5-1)^0.5)+((2416/(J1240+459.6)-2.013)*LOG10(INDEX(FX_Input,W$5,J$3*$Z$5+$AA$5)))-(8742/(J1240+459.6))+15.64),EXP(INDEX(Antoines,MATCH(J1232,Antoine_Name,0),2)-INDEX(Antoines,MATCH(J1232,Antoine_Name,0),3)/(J1240+459.6))))),0)</f>
        <v>1</v>
      </c>
      <c r="K1243" cm="1">
        <f t="array" ref="K1243">IFERROR(IF(K1233="Chemical",(10^(INDEX(Antoines,MATCH(K1232,Antoine_Name,0),2)-INDEX(Antoines,MATCH(K1232,Antoine_Name,0),3)/(INDEX(Antoines,MATCH(K1232,Antoine_Name,0),4)+(K1240-32)*5/9)))*14.7/760,IF(K1233="Crude Oil",EXP((2799/(K1240+459.6)-2.227)*LOG10(INDEX(FX_Input,X$5,K$3*$Z$5+$AA$5))-(7261/(K1240+459.6))+12.82),IF(K1233="Refined Petroleum Stock",EXP((0.7553-(413/(K1240+459.6)))*(INDEX(FX_Input,X$5,K$3*$Z$5+$AA$5-1)^0.5)*LOG10(INDEX(FX_Input,X$5,K$3*$Z$5+$AA$5))-(1.854-(1042/(K1240+459.6)))*(INDEX(FX_Input,X$5,K$3*$Z$5+$AA$5-1)^0.5)+((2416/(K1240+459.6)-2.013)*LOG10(INDEX(FX_Input,X$5,K$3*$Z$5+$AA$5)))-(8742/(K1240+459.6))+15.64),EXP(INDEX(Antoines,MATCH(K1232,Antoine_Name,0),2)-INDEX(Antoines,MATCH(K1232,Antoine_Name,0),3)/(K1240+459.6))))),0)</f>
        <v>1</v>
      </c>
      <c r="L1243" cm="1">
        <f t="array" ref="L1243">IFERROR(IF(L1233="Chemical",(10^(INDEX(Antoines,MATCH(L1232,Antoine_Name,0),2)-INDEX(Antoines,MATCH(L1232,Antoine_Name,0),3)/(INDEX(Antoines,MATCH(L1232,Antoine_Name,0),4)+(L1240-32)*5/9)))*14.7/760,IF(L1233="Crude Oil",EXP((2799/(L1240+459.6)-2.227)*LOG10(INDEX(FX_Input,Y$5,L$3*$Z$5+$AA$5))-(7261/(L1240+459.6))+12.82),IF(L1233="Refined Petroleum Stock",EXP((0.7553-(413/(L1240+459.6)))*(INDEX(FX_Input,Y$5,L$3*$Z$5+$AA$5-1)^0.5)*LOG10(INDEX(FX_Input,Y$5,L$3*$Z$5+$AA$5))-(1.854-(1042/(L1240+459.6)))*(INDEX(FX_Input,Y$5,L$3*$Z$5+$AA$5-1)^0.5)+((2416/(L1240+459.6)-2.013)*LOG10(INDEX(FX_Input,Y$5,L$3*$Z$5+$AA$5)))-(8742/(L1240+459.6))+15.64),EXP(INDEX(Antoines,MATCH(L1232,Antoine_Name,0),2)-INDEX(Antoines,MATCH(L1232,Antoine_Name,0),3)/(L1240+459.6))))),0)</f>
        <v>1</v>
      </c>
      <c r="M1243" cm="1">
        <f t="array" ref="M1243">IFERROR(IF(M1233="Chemical",(10^(INDEX(Antoines,MATCH(M1232,Antoine_Name,0),2)-INDEX(Antoines,MATCH(M1232,Antoine_Name,0),3)/(INDEX(Antoines,MATCH(M1232,Antoine_Name,0),4)+(M1240-32)*5/9)))*14.7/760,IF(M1233="Crude Oil",EXP((2799/(M1240+459.6)-2.227)*LOG10(INDEX(FX_Input,Z$5,M$3*$Z$5+$AA$5))-(7261/(M1240+459.6))+12.82),IF(M1233="Refined Petroleum Stock",EXP((0.7553-(413/(M1240+459.6)))*(INDEX(FX_Input,Z$5,M$3*$Z$5+$AA$5-1)^0.5)*LOG10(INDEX(FX_Input,Z$5,M$3*$Z$5+$AA$5))-(1.854-(1042/(M1240+459.6)))*(INDEX(FX_Input,Z$5,M$3*$Z$5+$AA$5-1)^0.5)+((2416/(M1240+459.6)-2.013)*LOG10(INDEX(FX_Input,Z$5,M$3*$Z$5+$AA$5)))-(8742/(M1240+459.6))+15.64),EXP(INDEX(Antoines,MATCH(M1232,Antoine_Name,0),2)-INDEX(Antoines,MATCH(M1232,Antoine_Name,0),3)/(M1240+459.6))))),0)</f>
        <v>1</v>
      </c>
      <c r="N1243" cm="1">
        <f t="array" ref="N1243">IFERROR(IF(N1233="Chemical",(10^(INDEX(Antoines,MATCH(N1232,Antoine_Name,0),2)-INDEX(Antoines,MATCH(N1232,Antoine_Name,0),3)/(INDEX(Antoines,MATCH(N1232,Antoine_Name,0),4)+(N1240-32)*5/9)))*14.7/760,IF(N1233="Crude Oil",EXP((2799/(N1240+459.6)-2.227)*LOG10(INDEX(FX_Input,AA$5,N$3*$Z$5+$AA$5))-(7261/(N1240+459.6))+12.82),IF(N1233="Refined Petroleum Stock",EXP((0.7553-(413/(N1240+459.6)))*(INDEX(FX_Input,AA$5,N$3*$Z$5+$AA$5-1)^0.5)*LOG10(INDEX(FX_Input,AA$5,N$3*$Z$5+$AA$5))-(1.854-(1042/(N1240+459.6)))*(INDEX(FX_Input,AA$5,N$3*$Z$5+$AA$5-1)^0.5)+((2416/(N1240+459.6)-2.013)*LOG10(INDEX(FX_Input,AA$5,N$3*$Z$5+$AA$5)))-(8742/(N1240+459.6))+15.64),EXP(INDEX(Antoines,MATCH(N1232,Antoine_Name,0),2)-INDEX(Antoines,MATCH(N1232,Antoine_Name,0),3)/(N1240+459.6))))),0)</f>
        <v>1</v>
      </c>
      <c r="O1243" cm="1">
        <f t="array" ref="O1243">IFERROR(IF(O1233="Chemical",(10^(INDEX(Antoines,MATCH(O1232,Antoine_Name,0),2)-INDEX(Antoines,MATCH(O1232,Antoine_Name,0),3)/(INDEX(Antoines,MATCH(O1232,Antoine_Name,0),4)+(O1240-32)*5/9)))*14.7/760,IF(O1233="Crude Oil",EXP((2799/(O1240+459.6)-2.227)*LOG10(INDEX(FX_Input,AB$5,O$3*$Z$5+$AA$5))-(7261/(O1240+459.6))+12.82),IF(O1233="Refined Petroleum Stock",EXP((0.7553-(413/(O1240+459.6)))*(INDEX(FX_Input,AB$5,O$3*$Z$5+$AA$5-1)^0.5)*LOG10(INDEX(FX_Input,AB$5,O$3*$Z$5+$AA$5))-(1.854-(1042/(O1240+459.6)))*(INDEX(FX_Input,AB$5,O$3*$Z$5+$AA$5-1)^0.5)+((2416/(O1240+459.6)-2.013)*LOG10(INDEX(FX_Input,AB$5,O$3*$Z$5+$AA$5)))-(8742/(O1240+459.6))+15.64),EXP(INDEX(Antoines,MATCH(O1232,Antoine_Name,0),2)-INDEX(Antoines,MATCH(O1232,Antoine_Name,0),3)/(O1240+459.6))))),0)</f>
        <v>1</v>
      </c>
    </row>
    <row r="1244" spans="2:32" ht="17.149999999999999" x14ac:dyDescent="0.55000000000000004">
      <c r="B1244" t="str">
        <f t="shared" si="4500"/>
        <v>Portland</v>
      </c>
      <c r="C1244" t="s">
        <v>576</v>
      </c>
      <c r="D1244">
        <f>D1236*D1243</f>
        <v>1</v>
      </c>
      <c r="E1244">
        <f t="shared" ref="E1244" si="4501">E1236*E1243</f>
        <v>1</v>
      </c>
      <c r="F1244">
        <f t="shared" ref="F1244" si="4502">F1236*F1243</f>
        <v>1</v>
      </c>
      <c r="G1244">
        <f t="shared" ref="G1244" si="4503">G1236*G1243</f>
        <v>1</v>
      </c>
      <c r="H1244">
        <f t="shared" ref="H1244" si="4504">H1236*H1243</f>
        <v>1</v>
      </c>
      <c r="I1244">
        <f t="shared" ref="I1244" si="4505">I1236*I1243</f>
        <v>1</v>
      </c>
      <c r="J1244">
        <f t="shared" ref="J1244" si="4506">J1236*J1243</f>
        <v>1</v>
      </c>
      <c r="K1244">
        <f t="shared" ref="K1244" si="4507">K1236*K1243</f>
        <v>1</v>
      </c>
      <c r="L1244">
        <f t="shared" ref="L1244" si="4508">L1236*L1243</f>
        <v>1</v>
      </c>
      <c r="M1244">
        <f t="shared" ref="M1244" si="4509">M1236*M1243</f>
        <v>1</v>
      </c>
      <c r="N1244">
        <f t="shared" ref="N1244" si="4510">N1236*N1243</f>
        <v>1</v>
      </c>
      <c r="O1244">
        <f t="shared" ref="O1244" si="4511">O1236*O1243</f>
        <v>1</v>
      </c>
    </row>
    <row r="1245" spans="2:32" ht="17.149999999999999" x14ac:dyDescent="0.55000000000000004">
      <c r="B1245" t="str">
        <f t="shared" si="4500"/>
        <v>Portland</v>
      </c>
      <c r="C1245" t="s">
        <v>575</v>
      </c>
      <c r="D1245" cm="1">
        <f t="array" ref="D1245">IFERROR(IF(D1235="Chemical",(10^(INDEX(Antoines,MATCH(D1234,Antoine_Name,0),2)-INDEX(Antoines,MATCH(D1234,Antoine_Name,0),3)/(INDEX(Antoines,MATCH(D1234,Antoine_Name,0),4)+(D1240-32)*5/9)))*14.7/760,IF(D1235="Crude Oil",EXP((2799/(D1240+459.6)-2.227)*LOG10(INDEX(FX_Input,Q$5,D$3*$Z$5+$AA$5))-(7261/(D1240+459.6))+12.82),IF(D1235="Refined Petroleum Stock",EXP((0.7553-(413/(D1240+459.6)))*(INDEX(FX_Input,Q$5,D$3*$Z$5+$AA$5-1)^0.5)*LOG10(INDEX(FX_Input,Q$5,D$3*$Z$5+$AA$5))-(1.854-(1042/(D1240+459.6)))*(INDEX(FX_Input,Q$5,D$3*$Z$5+$AA$5-1)^0.5)+((2416/(D1240+459.6)-2.013)*LOG10(INDEX(FX_Input,Q$5,D$3*$Z$5+$AA$5)))-(8742/(D1240+459.6))+15.64),EXP(INDEX(Antoines,MATCH(D1234,Antoine_Name,0),2)-INDEX(Antoines,MATCH(D1234,Antoine_Name,0),3)/(D1240+459.6))))),0)</f>
        <v>0</v>
      </c>
      <c r="E1245" cm="1">
        <f t="array" ref="E1245">IFERROR(IF(E1235="Chemical",(10^(INDEX(Antoines,MATCH(E1234,Antoine_Name,0),2)-INDEX(Antoines,MATCH(E1234,Antoine_Name,0),3)/(INDEX(Antoines,MATCH(E1234,Antoine_Name,0),4)+(E1240-32)*5/9)))*14.7/760,IF(E1235="Crude Oil",EXP((2799/(E1240+459.6)-2.227)*LOG10(INDEX(FX_Input,R$5,E$3*$Z$5+$AA$5))-(7261/(E1240+459.6))+12.82),IF(E1235="Refined Petroleum Stock",EXP((0.7553-(413/(E1240+459.6)))*(INDEX(FX_Input,R$5,E$3*$Z$5+$AA$5-1)^0.5)*LOG10(INDEX(FX_Input,R$5,E$3*$Z$5+$AA$5))-(1.854-(1042/(E1240+459.6)))*(INDEX(FX_Input,R$5,E$3*$Z$5+$AA$5-1)^0.5)+((2416/(E1240+459.6)-2.013)*LOG10(INDEX(FX_Input,R$5,E$3*$Z$5+$AA$5)))-(8742/(E1240+459.6))+15.64),EXP(INDEX(Antoines,MATCH(E1234,Antoine_Name,0),2)-INDEX(Antoines,MATCH(E1234,Antoine_Name,0),3)/(E1240+459.6))))),0)</f>
        <v>0</v>
      </c>
      <c r="F1245" cm="1">
        <f t="array" ref="F1245">IFERROR(IF(F1235="Chemical",(10^(INDEX(Antoines,MATCH(F1234,Antoine_Name,0),2)-INDEX(Antoines,MATCH(F1234,Antoine_Name,0),3)/(INDEX(Antoines,MATCH(F1234,Antoine_Name,0),4)+(F1240-32)*5/9)))*14.7/760,IF(F1235="Crude Oil",EXP((2799/(F1240+459.6)-2.227)*LOG10(INDEX(FX_Input,S$5,F$3*$Z$5+$AA$5))-(7261/(F1240+459.6))+12.82),IF(F1235="Refined Petroleum Stock",EXP((0.7553-(413/(F1240+459.6)))*(INDEX(FX_Input,S$5,F$3*$Z$5+$AA$5-1)^0.5)*LOG10(INDEX(FX_Input,S$5,F$3*$Z$5+$AA$5))-(1.854-(1042/(F1240+459.6)))*(INDEX(FX_Input,S$5,F$3*$Z$5+$AA$5-1)^0.5)+((2416/(F1240+459.6)-2.013)*LOG10(INDEX(FX_Input,S$5,F$3*$Z$5+$AA$5)))-(8742/(F1240+459.6))+15.64),EXP(INDEX(Antoines,MATCH(F1234,Antoine_Name,0),2)-INDEX(Antoines,MATCH(F1234,Antoine_Name,0),3)/(F1240+459.6))))),0)</f>
        <v>0</v>
      </c>
      <c r="G1245" cm="1">
        <f t="array" ref="G1245">IFERROR(IF(G1235="Chemical",(10^(INDEX(Antoines,MATCH(G1234,Antoine_Name,0),2)-INDEX(Antoines,MATCH(G1234,Antoine_Name,0),3)/(INDEX(Antoines,MATCH(G1234,Antoine_Name,0),4)+(G1240-32)*5/9)))*14.7/760,IF(G1235="Crude Oil",EXP((2799/(G1240+459.6)-2.227)*LOG10(INDEX(FX_Input,T$5,G$3*$Z$5+$AA$5))-(7261/(G1240+459.6))+12.82),IF(G1235="Refined Petroleum Stock",EXP((0.7553-(413/(G1240+459.6)))*(INDEX(FX_Input,T$5,G$3*$Z$5+$AA$5-1)^0.5)*LOG10(INDEX(FX_Input,T$5,G$3*$Z$5+$AA$5))-(1.854-(1042/(G1240+459.6)))*(INDEX(FX_Input,T$5,G$3*$Z$5+$AA$5-1)^0.5)+((2416/(G1240+459.6)-2.013)*LOG10(INDEX(FX_Input,T$5,G$3*$Z$5+$AA$5)))-(8742/(G1240+459.6))+15.64),EXP(INDEX(Antoines,MATCH(G1234,Antoine_Name,0),2)-INDEX(Antoines,MATCH(G1234,Antoine_Name,0),3)/(G1240+459.6))))),0)</f>
        <v>0</v>
      </c>
      <c r="H1245" cm="1">
        <f t="array" ref="H1245">IFERROR(IF(H1235="Chemical",(10^(INDEX(Antoines,MATCH(H1234,Antoine_Name,0),2)-INDEX(Antoines,MATCH(H1234,Antoine_Name,0),3)/(INDEX(Antoines,MATCH(H1234,Antoine_Name,0),4)+(H1240-32)*5/9)))*14.7/760,IF(H1235="Crude Oil",EXP((2799/(H1240+459.6)-2.227)*LOG10(INDEX(FX_Input,U$5,H$3*$Z$5+$AA$5))-(7261/(H1240+459.6))+12.82),IF(H1235="Refined Petroleum Stock",EXP((0.7553-(413/(H1240+459.6)))*(INDEX(FX_Input,U$5,H$3*$Z$5+$AA$5-1)^0.5)*LOG10(INDEX(FX_Input,U$5,H$3*$Z$5+$AA$5))-(1.854-(1042/(H1240+459.6)))*(INDEX(FX_Input,U$5,H$3*$Z$5+$AA$5-1)^0.5)+((2416/(H1240+459.6)-2.013)*LOG10(INDEX(FX_Input,U$5,H$3*$Z$5+$AA$5)))-(8742/(H1240+459.6))+15.64),EXP(INDEX(Antoines,MATCH(H1234,Antoine_Name,0),2)-INDEX(Antoines,MATCH(H1234,Antoine_Name,0),3)/(H1240+459.6))))),0)</f>
        <v>0</v>
      </c>
      <c r="I1245" cm="1">
        <f t="array" ref="I1245">IFERROR(IF(I1235="Chemical",(10^(INDEX(Antoines,MATCH(I1234,Antoine_Name,0),2)-INDEX(Antoines,MATCH(I1234,Antoine_Name,0),3)/(INDEX(Antoines,MATCH(I1234,Antoine_Name,0),4)+(I1240-32)*5/9)))*14.7/760,IF(I1235="Crude Oil",EXP((2799/(I1240+459.6)-2.227)*LOG10(INDEX(FX_Input,V$5,I$3*$Z$5+$AA$5))-(7261/(I1240+459.6))+12.82),IF(I1235="Refined Petroleum Stock",EXP((0.7553-(413/(I1240+459.6)))*(INDEX(FX_Input,V$5,I$3*$Z$5+$AA$5-1)^0.5)*LOG10(INDEX(FX_Input,V$5,I$3*$Z$5+$AA$5))-(1.854-(1042/(I1240+459.6)))*(INDEX(FX_Input,V$5,I$3*$Z$5+$AA$5-1)^0.5)+((2416/(I1240+459.6)-2.013)*LOG10(INDEX(FX_Input,V$5,I$3*$Z$5+$AA$5)))-(8742/(I1240+459.6))+15.64),EXP(INDEX(Antoines,MATCH(I1234,Antoine_Name,0),2)-INDEX(Antoines,MATCH(I1234,Antoine_Name,0),3)/(I1240+459.6))))),0)</f>
        <v>0</v>
      </c>
      <c r="J1245" cm="1">
        <f t="array" ref="J1245">IFERROR(IF(J1235="Chemical",(10^(INDEX(Antoines,MATCH(J1234,Antoine_Name,0),2)-INDEX(Antoines,MATCH(J1234,Antoine_Name,0),3)/(INDEX(Antoines,MATCH(J1234,Antoine_Name,0),4)+(J1240-32)*5/9)))*14.7/760,IF(J1235="Crude Oil",EXP((2799/(J1240+459.6)-2.227)*LOG10(INDEX(FX_Input,W$5,J$3*$Z$5+$AA$5))-(7261/(J1240+459.6))+12.82),IF(J1235="Refined Petroleum Stock",EXP((0.7553-(413/(J1240+459.6)))*(INDEX(FX_Input,W$5,J$3*$Z$5+$AA$5-1)^0.5)*LOG10(INDEX(FX_Input,W$5,J$3*$Z$5+$AA$5))-(1.854-(1042/(J1240+459.6)))*(INDEX(FX_Input,W$5,J$3*$Z$5+$AA$5-1)^0.5)+((2416/(J1240+459.6)-2.013)*LOG10(INDEX(FX_Input,W$5,J$3*$Z$5+$AA$5)))-(8742/(J1240+459.6))+15.64),EXP(INDEX(Antoines,MATCH(J1234,Antoine_Name,0),2)-INDEX(Antoines,MATCH(J1234,Antoine_Name,0),3)/(J1240+459.6))))),0)</f>
        <v>0</v>
      </c>
      <c r="K1245" cm="1">
        <f t="array" ref="K1245">IFERROR(IF(K1235="Chemical",(10^(INDEX(Antoines,MATCH(K1234,Antoine_Name,0),2)-INDEX(Antoines,MATCH(K1234,Antoine_Name,0),3)/(INDEX(Antoines,MATCH(K1234,Antoine_Name,0),4)+(K1240-32)*5/9)))*14.7/760,IF(K1235="Crude Oil",EXP((2799/(K1240+459.6)-2.227)*LOG10(INDEX(FX_Input,X$5,K$3*$Z$5+$AA$5))-(7261/(K1240+459.6))+12.82),IF(K1235="Refined Petroleum Stock",EXP((0.7553-(413/(K1240+459.6)))*(INDEX(FX_Input,X$5,K$3*$Z$5+$AA$5-1)^0.5)*LOG10(INDEX(FX_Input,X$5,K$3*$Z$5+$AA$5))-(1.854-(1042/(K1240+459.6)))*(INDEX(FX_Input,X$5,K$3*$Z$5+$AA$5-1)^0.5)+((2416/(K1240+459.6)-2.013)*LOG10(INDEX(FX_Input,X$5,K$3*$Z$5+$AA$5)))-(8742/(K1240+459.6))+15.64),EXP(INDEX(Antoines,MATCH(K1234,Antoine_Name,0),2)-INDEX(Antoines,MATCH(K1234,Antoine_Name,0),3)/(K1240+459.6))))),0)</f>
        <v>0</v>
      </c>
      <c r="L1245" cm="1">
        <f t="array" ref="L1245">IFERROR(IF(L1235="Chemical",(10^(INDEX(Antoines,MATCH(L1234,Antoine_Name,0),2)-INDEX(Antoines,MATCH(L1234,Antoine_Name,0),3)/(INDEX(Antoines,MATCH(L1234,Antoine_Name,0),4)+(L1240-32)*5/9)))*14.7/760,IF(L1235="Crude Oil",EXP((2799/(L1240+459.6)-2.227)*LOG10(INDEX(FX_Input,Y$5,L$3*$Z$5+$AA$5))-(7261/(L1240+459.6))+12.82),IF(L1235="Refined Petroleum Stock",EXP((0.7553-(413/(L1240+459.6)))*(INDEX(FX_Input,Y$5,L$3*$Z$5+$AA$5-1)^0.5)*LOG10(INDEX(FX_Input,Y$5,L$3*$Z$5+$AA$5))-(1.854-(1042/(L1240+459.6)))*(INDEX(FX_Input,Y$5,L$3*$Z$5+$AA$5-1)^0.5)+((2416/(L1240+459.6)-2.013)*LOG10(INDEX(FX_Input,Y$5,L$3*$Z$5+$AA$5)))-(8742/(L1240+459.6))+15.64),EXP(INDEX(Antoines,MATCH(L1234,Antoine_Name,0),2)-INDEX(Antoines,MATCH(L1234,Antoine_Name,0),3)/(L1240+459.6))))),0)</f>
        <v>0</v>
      </c>
      <c r="M1245" cm="1">
        <f t="array" ref="M1245">IFERROR(IF(M1235="Chemical",(10^(INDEX(Antoines,MATCH(M1234,Antoine_Name,0),2)-INDEX(Antoines,MATCH(M1234,Antoine_Name,0),3)/(INDEX(Antoines,MATCH(M1234,Antoine_Name,0),4)+(M1240-32)*5/9)))*14.7/760,IF(M1235="Crude Oil",EXP((2799/(M1240+459.6)-2.227)*LOG10(INDEX(FX_Input,Z$5,M$3*$Z$5+$AA$5))-(7261/(M1240+459.6))+12.82),IF(M1235="Refined Petroleum Stock",EXP((0.7553-(413/(M1240+459.6)))*(INDEX(FX_Input,Z$5,M$3*$Z$5+$AA$5-1)^0.5)*LOG10(INDEX(FX_Input,Z$5,M$3*$Z$5+$AA$5))-(1.854-(1042/(M1240+459.6)))*(INDEX(FX_Input,Z$5,M$3*$Z$5+$AA$5-1)^0.5)+((2416/(M1240+459.6)-2.013)*LOG10(INDEX(FX_Input,Z$5,M$3*$Z$5+$AA$5)))-(8742/(M1240+459.6))+15.64),EXP(INDEX(Antoines,MATCH(M1234,Antoine_Name,0),2)-INDEX(Antoines,MATCH(M1234,Antoine_Name,0),3)/(M1240+459.6))))),0)</f>
        <v>0</v>
      </c>
      <c r="N1245" cm="1">
        <f t="array" ref="N1245">IFERROR(IF(N1235="Chemical",(10^(INDEX(Antoines,MATCH(N1234,Antoine_Name,0),2)-INDEX(Antoines,MATCH(N1234,Antoine_Name,0),3)/(INDEX(Antoines,MATCH(N1234,Antoine_Name,0),4)+(N1240-32)*5/9)))*14.7/760,IF(N1235="Crude Oil",EXP((2799/(N1240+459.6)-2.227)*LOG10(INDEX(FX_Input,AA$5,N$3*$Z$5+$AA$5))-(7261/(N1240+459.6))+12.82),IF(N1235="Refined Petroleum Stock",EXP((0.7553-(413/(N1240+459.6)))*(INDEX(FX_Input,AA$5,N$3*$Z$5+$AA$5-1)^0.5)*LOG10(INDEX(FX_Input,AA$5,N$3*$Z$5+$AA$5))-(1.854-(1042/(N1240+459.6)))*(INDEX(FX_Input,AA$5,N$3*$Z$5+$AA$5-1)^0.5)+((2416/(N1240+459.6)-2.013)*LOG10(INDEX(FX_Input,AA$5,N$3*$Z$5+$AA$5)))-(8742/(N1240+459.6))+15.64),EXP(INDEX(Antoines,MATCH(N1234,Antoine_Name,0),2)-INDEX(Antoines,MATCH(N1234,Antoine_Name,0),3)/(N1240+459.6))))),0)</f>
        <v>0</v>
      </c>
      <c r="O1245" cm="1">
        <f t="array" ref="O1245">IFERROR(IF(O1235="Chemical",(10^(INDEX(Antoines,MATCH(O1234,Antoine_Name,0),2)-INDEX(Antoines,MATCH(O1234,Antoine_Name,0),3)/(INDEX(Antoines,MATCH(O1234,Antoine_Name,0),4)+(O1240-32)*5/9)))*14.7/760,IF(O1235="Crude Oil",EXP((2799/(O1240+459.6)-2.227)*LOG10(INDEX(FX_Input,AB$5,O$3*$Z$5+$AA$5))-(7261/(O1240+459.6))+12.82),IF(O1235="Refined Petroleum Stock",EXP((0.7553-(413/(O1240+459.6)))*(INDEX(FX_Input,AB$5,O$3*$Z$5+$AA$5-1)^0.5)*LOG10(INDEX(FX_Input,AB$5,O$3*$Z$5+$AA$5))-(1.854-(1042/(O1240+459.6)))*(INDEX(FX_Input,AB$5,O$3*$Z$5+$AA$5-1)^0.5)+((2416/(O1240+459.6)-2.013)*LOG10(INDEX(FX_Input,AB$5,O$3*$Z$5+$AA$5)))-(8742/(O1240+459.6))+15.64),EXP(INDEX(Antoines,MATCH(O1234,Antoine_Name,0),2)-INDEX(Antoines,MATCH(O1234,Antoine_Name,0),3)/(O1240+459.6))))),0)</f>
        <v>0</v>
      </c>
    </row>
    <row r="1246" spans="2:32" ht="17.149999999999999" x14ac:dyDescent="0.55000000000000004">
      <c r="B1246" t="str">
        <f t="shared" si="4500"/>
        <v>Portland</v>
      </c>
      <c r="C1246" t="s">
        <v>577</v>
      </c>
      <c r="D1246">
        <f>D1245*D1238</f>
        <v>0</v>
      </c>
      <c r="E1246">
        <f t="shared" ref="E1246" si="4512">E1245*E1238</f>
        <v>0</v>
      </c>
      <c r="F1246">
        <f t="shared" ref="F1246" si="4513">F1245*F1238</f>
        <v>0</v>
      </c>
      <c r="G1246">
        <f t="shared" ref="G1246" si="4514">G1245*G1238</f>
        <v>0</v>
      </c>
      <c r="H1246">
        <f t="shared" ref="H1246" si="4515">H1245*H1238</f>
        <v>0</v>
      </c>
      <c r="I1246">
        <f t="shared" ref="I1246" si="4516">I1245*I1238</f>
        <v>0</v>
      </c>
      <c r="J1246">
        <f t="shared" ref="J1246" si="4517">J1245*J1238</f>
        <v>0</v>
      </c>
      <c r="K1246">
        <f t="shared" ref="K1246" si="4518">K1245*K1238</f>
        <v>0</v>
      </c>
      <c r="L1246">
        <f t="shared" ref="L1246" si="4519">L1245*L1238</f>
        <v>0</v>
      </c>
      <c r="M1246">
        <f t="shared" ref="M1246" si="4520">M1245*M1238</f>
        <v>0</v>
      </c>
      <c r="N1246">
        <f t="shared" ref="N1246" si="4521">N1245*N1238</f>
        <v>0</v>
      </c>
      <c r="O1246">
        <f t="shared" ref="O1246" si="4522">O1245*O1238</f>
        <v>0</v>
      </c>
    </row>
    <row r="1247" spans="2:32" ht="17.149999999999999" x14ac:dyDescent="0.55000000000000004">
      <c r="B1247" t="str">
        <f t="shared" si="4500"/>
        <v>Portland</v>
      </c>
      <c r="C1247" t="s">
        <v>578</v>
      </c>
      <c r="D1247">
        <f>D1246+D1244</f>
        <v>1</v>
      </c>
      <c r="E1247">
        <f t="shared" ref="E1247" si="4523">E1246+E1244</f>
        <v>1</v>
      </c>
      <c r="F1247">
        <f t="shared" ref="F1247" si="4524">F1246+F1244</f>
        <v>1</v>
      </c>
      <c r="G1247">
        <f t="shared" ref="G1247" si="4525">G1246+G1244</f>
        <v>1</v>
      </c>
      <c r="H1247">
        <f t="shared" ref="H1247" si="4526">H1246+H1244</f>
        <v>1</v>
      </c>
      <c r="I1247">
        <f t="shared" ref="I1247" si="4527">I1246+I1244</f>
        <v>1</v>
      </c>
      <c r="J1247">
        <f t="shared" ref="J1247" si="4528">J1246+J1244</f>
        <v>1</v>
      </c>
      <c r="K1247">
        <f t="shared" ref="K1247" si="4529">K1246+K1244</f>
        <v>1</v>
      </c>
      <c r="L1247">
        <f t="shared" ref="L1247" si="4530">L1246+L1244</f>
        <v>1</v>
      </c>
      <c r="M1247">
        <f t="shared" ref="M1247" si="4531">M1246+M1244</f>
        <v>1</v>
      </c>
      <c r="N1247">
        <f t="shared" ref="N1247" si="4532">N1246+N1244</f>
        <v>1</v>
      </c>
      <c r="O1247">
        <f t="shared" ref="O1247" si="4533">O1246+O1244</f>
        <v>1</v>
      </c>
    </row>
    <row r="1248" spans="2:32" ht="17.149999999999999" x14ac:dyDescent="0.55000000000000004">
      <c r="B1248" t="str">
        <f t="shared" si="4500"/>
        <v>Portland</v>
      </c>
      <c r="C1248" t="s">
        <v>579</v>
      </c>
      <c r="D1248" cm="1">
        <f t="array" ref="D1248">IFERROR(IF(D1233="Chemical",(10^(INDEX(Antoines,MATCH(D1232,Antoine_Name,0),2)-INDEX(Antoines,MATCH(D1232,Antoine_Name,0),3)/(INDEX(Antoines,MATCH(D1232,Antoine_Name,0),4)+(D1241-32)*5/9)))*14.7/760,IF(D1233="Crude Oil",EXP((2799/(D1241+459.6)-2.227)*LOG10(INDEX(FX_Input,Q$5,D$3*$Z$5+$AA$5))-(7261/(D1241+459.6))+12.82),IF(D1233="Refined Petroleum Stock",EXP((0.7553-(413/(D1241+459.6)))*(INDEX(FX_Input,Q$5,D$3*$Z$5+$AA$5-1)^0.5)*LOG10(INDEX(FX_Input,Q$5,D$3*$Z$5+$AA$5))-(1.854-(1042/(D1241+459.6)))*(INDEX(FX_Input,Q$5,D$3*$Z$5+$AA$5-1)^0.5)+((2416/(D1241+459.6)-2.013)*LOG10(INDEX(FX_Input,Q$5,D$3*$Z$5+$AA$5)))-(8742/(D1241+459.6))+15.64),EXP(INDEX(Antoines,MATCH(D1232,Antoine_Name,0),2)-INDEX(Antoines,MATCH(D1232,Antoine_Name,0),3)/(D1241+459.6))))),0)</f>
        <v>1</v>
      </c>
      <c r="E1248" cm="1">
        <f t="array" ref="E1248">IFERROR(IF(E1233="Chemical",(10^(INDEX(Antoines,MATCH(E1232,Antoine_Name,0),2)-INDEX(Antoines,MATCH(E1232,Antoine_Name,0),3)/(INDEX(Antoines,MATCH(E1232,Antoine_Name,0),4)+(E1241-32)*5/9)))*14.7/760,IF(E1233="Crude Oil",EXP((2799/(E1241+459.6)-2.227)*LOG10(INDEX(FX_Input,R$5,E$3*$Z$5+$AA$5))-(7261/(E1241+459.6))+12.82),IF(E1233="Refined Petroleum Stock",EXP((0.7553-(413/(E1241+459.6)))*(INDEX(FX_Input,R$5,E$3*$Z$5+$AA$5-1)^0.5)*LOG10(INDEX(FX_Input,R$5,E$3*$Z$5+$AA$5))-(1.854-(1042/(E1241+459.6)))*(INDEX(FX_Input,R$5,E$3*$Z$5+$AA$5-1)^0.5)+((2416/(E1241+459.6)-2.013)*LOG10(INDEX(FX_Input,R$5,E$3*$Z$5+$AA$5)))-(8742/(E1241+459.6))+15.64),EXP(INDEX(Antoines,MATCH(E1232,Antoine_Name,0),2)-INDEX(Antoines,MATCH(E1232,Antoine_Name,0),3)/(E1241+459.6))))),0)</f>
        <v>1</v>
      </c>
      <c r="F1248" cm="1">
        <f t="array" ref="F1248">IFERROR(IF(F1233="Chemical",(10^(INDEX(Antoines,MATCH(F1232,Antoine_Name,0),2)-INDEX(Antoines,MATCH(F1232,Antoine_Name,0),3)/(INDEX(Antoines,MATCH(F1232,Antoine_Name,0),4)+(F1241-32)*5/9)))*14.7/760,IF(F1233="Crude Oil",EXP((2799/(F1241+459.6)-2.227)*LOG10(INDEX(FX_Input,S$5,F$3*$Z$5+$AA$5))-(7261/(F1241+459.6))+12.82),IF(F1233="Refined Petroleum Stock",EXP((0.7553-(413/(F1241+459.6)))*(INDEX(FX_Input,S$5,F$3*$Z$5+$AA$5-1)^0.5)*LOG10(INDEX(FX_Input,S$5,F$3*$Z$5+$AA$5))-(1.854-(1042/(F1241+459.6)))*(INDEX(FX_Input,S$5,F$3*$Z$5+$AA$5-1)^0.5)+((2416/(F1241+459.6)-2.013)*LOG10(INDEX(FX_Input,S$5,F$3*$Z$5+$AA$5)))-(8742/(F1241+459.6))+15.64),EXP(INDEX(Antoines,MATCH(F1232,Antoine_Name,0),2)-INDEX(Antoines,MATCH(F1232,Antoine_Name,0),3)/(F1241+459.6))))),0)</f>
        <v>1</v>
      </c>
      <c r="G1248" cm="1">
        <f t="array" ref="G1248">IFERROR(IF(G1233="Chemical",(10^(INDEX(Antoines,MATCH(G1232,Antoine_Name,0),2)-INDEX(Antoines,MATCH(G1232,Antoine_Name,0),3)/(INDEX(Antoines,MATCH(G1232,Antoine_Name,0),4)+(G1241-32)*5/9)))*14.7/760,IF(G1233="Crude Oil",EXP((2799/(G1241+459.6)-2.227)*LOG10(INDEX(FX_Input,T$5,G$3*$Z$5+$AA$5))-(7261/(G1241+459.6))+12.82),IF(G1233="Refined Petroleum Stock",EXP((0.7553-(413/(G1241+459.6)))*(INDEX(FX_Input,T$5,G$3*$Z$5+$AA$5-1)^0.5)*LOG10(INDEX(FX_Input,T$5,G$3*$Z$5+$AA$5))-(1.854-(1042/(G1241+459.6)))*(INDEX(FX_Input,T$5,G$3*$Z$5+$AA$5-1)^0.5)+((2416/(G1241+459.6)-2.013)*LOG10(INDEX(FX_Input,T$5,G$3*$Z$5+$AA$5)))-(8742/(G1241+459.6))+15.64),EXP(INDEX(Antoines,MATCH(G1232,Antoine_Name,0),2)-INDEX(Antoines,MATCH(G1232,Antoine_Name,0),3)/(G1241+459.6))))),0)</f>
        <v>1</v>
      </c>
      <c r="H1248" cm="1">
        <f t="array" ref="H1248">IFERROR(IF(H1233="Chemical",(10^(INDEX(Antoines,MATCH(H1232,Antoine_Name,0),2)-INDEX(Antoines,MATCH(H1232,Antoine_Name,0),3)/(INDEX(Antoines,MATCH(H1232,Antoine_Name,0),4)+(H1241-32)*5/9)))*14.7/760,IF(H1233="Crude Oil",EXP((2799/(H1241+459.6)-2.227)*LOG10(INDEX(FX_Input,U$5,H$3*$Z$5+$AA$5))-(7261/(H1241+459.6))+12.82),IF(H1233="Refined Petroleum Stock",EXP((0.7553-(413/(H1241+459.6)))*(INDEX(FX_Input,U$5,H$3*$Z$5+$AA$5-1)^0.5)*LOG10(INDEX(FX_Input,U$5,H$3*$Z$5+$AA$5))-(1.854-(1042/(H1241+459.6)))*(INDEX(FX_Input,U$5,H$3*$Z$5+$AA$5-1)^0.5)+((2416/(H1241+459.6)-2.013)*LOG10(INDEX(FX_Input,U$5,H$3*$Z$5+$AA$5)))-(8742/(H1241+459.6))+15.64),EXP(INDEX(Antoines,MATCH(H1232,Antoine_Name,0),2)-INDEX(Antoines,MATCH(H1232,Antoine_Name,0),3)/(H1241+459.6))))),0)</f>
        <v>1</v>
      </c>
      <c r="I1248" cm="1">
        <f t="array" ref="I1248">IFERROR(IF(I1233="Chemical",(10^(INDEX(Antoines,MATCH(I1232,Antoine_Name,0),2)-INDEX(Antoines,MATCH(I1232,Antoine_Name,0),3)/(INDEX(Antoines,MATCH(I1232,Antoine_Name,0),4)+(I1241-32)*5/9)))*14.7/760,IF(I1233="Crude Oil",EXP((2799/(I1241+459.6)-2.227)*LOG10(INDEX(FX_Input,V$5,I$3*$Z$5+$AA$5))-(7261/(I1241+459.6))+12.82),IF(I1233="Refined Petroleum Stock",EXP((0.7553-(413/(I1241+459.6)))*(INDEX(FX_Input,V$5,I$3*$Z$5+$AA$5-1)^0.5)*LOG10(INDEX(FX_Input,V$5,I$3*$Z$5+$AA$5))-(1.854-(1042/(I1241+459.6)))*(INDEX(FX_Input,V$5,I$3*$Z$5+$AA$5-1)^0.5)+((2416/(I1241+459.6)-2.013)*LOG10(INDEX(FX_Input,V$5,I$3*$Z$5+$AA$5)))-(8742/(I1241+459.6))+15.64),EXP(INDEX(Antoines,MATCH(I1232,Antoine_Name,0),2)-INDEX(Antoines,MATCH(I1232,Antoine_Name,0),3)/(I1241+459.6))))),0)</f>
        <v>1</v>
      </c>
      <c r="J1248" cm="1">
        <f t="array" ref="J1248">IFERROR(IF(J1233="Chemical",(10^(INDEX(Antoines,MATCH(J1232,Antoine_Name,0),2)-INDEX(Antoines,MATCH(J1232,Antoine_Name,0),3)/(INDEX(Antoines,MATCH(J1232,Antoine_Name,0),4)+(J1241-32)*5/9)))*14.7/760,IF(J1233="Crude Oil",EXP((2799/(J1241+459.6)-2.227)*LOG10(INDEX(FX_Input,W$5,J$3*$Z$5+$AA$5))-(7261/(J1241+459.6))+12.82),IF(J1233="Refined Petroleum Stock",EXP((0.7553-(413/(J1241+459.6)))*(INDEX(FX_Input,W$5,J$3*$Z$5+$AA$5-1)^0.5)*LOG10(INDEX(FX_Input,W$5,J$3*$Z$5+$AA$5))-(1.854-(1042/(J1241+459.6)))*(INDEX(FX_Input,W$5,J$3*$Z$5+$AA$5-1)^0.5)+((2416/(J1241+459.6)-2.013)*LOG10(INDEX(FX_Input,W$5,J$3*$Z$5+$AA$5)))-(8742/(J1241+459.6))+15.64),EXP(INDEX(Antoines,MATCH(J1232,Antoine_Name,0),2)-INDEX(Antoines,MATCH(J1232,Antoine_Name,0),3)/(J1241+459.6))))),0)</f>
        <v>1</v>
      </c>
      <c r="K1248" cm="1">
        <f t="array" ref="K1248">IFERROR(IF(K1233="Chemical",(10^(INDEX(Antoines,MATCH(K1232,Antoine_Name,0),2)-INDEX(Antoines,MATCH(K1232,Antoine_Name,0),3)/(INDEX(Antoines,MATCH(K1232,Antoine_Name,0),4)+(K1241-32)*5/9)))*14.7/760,IF(K1233="Crude Oil",EXP((2799/(K1241+459.6)-2.227)*LOG10(INDEX(FX_Input,X$5,K$3*$Z$5+$AA$5))-(7261/(K1241+459.6))+12.82),IF(K1233="Refined Petroleum Stock",EXP((0.7553-(413/(K1241+459.6)))*(INDEX(FX_Input,X$5,K$3*$Z$5+$AA$5-1)^0.5)*LOG10(INDEX(FX_Input,X$5,K$3*$Z$5+$AA$5))-(1.854-(1042/(K1241+459.6)))*(INDEX(FX_Input,X$5,K$3*$Z$5+$AA$5-1)^0.5)+((2416/(K1241+459.6)-2.013)*LOG10(INDEX(FX_Input,X$5,K$3*$Z$5+$AA$5)))-(8742/(K1241+459.6))+15.64),EXP(INDEX(Antoines,MATCH(K1232,Antoine_Name,0),2)-INDEX(Antoines,MATCH(K1232,Antoine_Name,0),3)/(K1241+459.6))))),0)</f>
        <v>1</v>
      </c>
      <c r="L1248" cm="1">
        <f t="array" ref="L1248">IFERROR(IF(L1233="Chemical",(10^(INDEX(Antoines,MATCH(L1232,Antoine_Name,0),2)-INDEX(Antoines,MATCH(L1232,Antoine_Name,0),3)/(INDEX(Antoines,MATCH(L1232,Antoine_Name,0),4)+(L1241-32)*5/9)))*14.7/760,IF(L1233="Crude Oil",EXP((2799/(L1241+459.6)-2.227)*LOG10(INDEX(FX_Input,Y$5,L$3*$Z$5+$AA$5))-(7261/(L1241+459.6))+12.82),IF(L1233="Refined Petroleum Stock",EXP((0.7553-(413/(L1241+459.6)))*(INDEX(FX_Input,Y$5,L$3*$Z$5+$AA$5-1)^0.5)*LOG10(INDEX(FX_Input,Y$5,L$3*$Z$5+$AA$5))-(1.854-(1042/(L1241+459.6)))*(INDEX(FX_Input,Y$5,L$3*$Z$5+$AA$5-1)^0.5)+((2416/(L1241+459.6)-2.013)*LOG10(INDEX(FX_Input,Y$5,L$3*$Z$5+$AA$5)))-(8742/(L1241+459.6))+15.64),EXP(INDEX(Antoines,MATCH(L1232,Antoine_Name,0),2)-INDEX(Antoines,MATCH(L1232,Antoine_Name,0),3)/(L1241+459.6))))),0)</f>
        <v>1</v>
      </c>
      <c r="M1248" cm="1">
        <f t="array" ref="M1248">IFERROR(IF(M1233="Chemical",(10^(INDEX(Antoines,MATCH(M1232,Antoine_Name,0),2)-INDEX(Antoines,MATCH(M1232,Antoine_Name,0),3)/(INDEX(Antoines,MATCH(M1232,Antoine_Name,0),4)+(M1241-32)*5/9)))*14.7/760,IF(M1233="Crude Oil",EXP((2799/(M1241+459.6)-2.227)*LOG10(INDEX(FX_Input,Z$5,M$3*$Z$5+$AA$5))-(7261/(M1241+459.6))+12.82),IF(M1233="Refined Petroleum Stock",EXP((0.7553-(413/(M1241+459.6)))*(INDEX(FX_Input,Z$5,M$3*$Z$5+$AA$5-1)^0.5)*LOG10(INDEX(FX_Input,Z$5,M$3*$Z$5+$AA$5))-(1.854-(1042/(M1241+459.6)))*(INDEX(FX_Input,Z$5,M$3*$Z$5+$AA$5-1)^0.5)+((2416/(M1241+459.6)-2.013)*LOG10(INDEX(FX_Input,Z$5,M$3*$Z$5+$AA$5)))-(8742/(M1241+459.6))+15.64),EXP(INDEX(Antoines,MATCH(M1232,Antoine_Name,0),2)-INDEX(Antoines,MATCH(M1232,Antoine_Name,0),3)/(M1241+459.6))))),0)</f>
        <v>1</v>
      </c>
      <c r="N1248" cm="1">
        <f t="array" ref="N1248">IFERROR(IF(N1233="Chemical",(10^(INDEX(Antoines,MATCH(N1232,Antoine_Name,0),2)-INDEX(Antoines,MATCH(N1232,Antoine_Name,0),3)/(INDEX(Antoines,MATCH(N1232,Antoine_Name,0),4)+(N1241-32)*5/9)))*14.7/760,IF(N1233="Crude Oil",EXP((2799/(N1241+459.6)-2.227)*LOG10(INDEX(FX_Input,AA$5,N$3*$Z$5+$AA$5))-(7261/(N1241+459.6))+12.82),IF(N1233="Refined Petroleum Stock",EXP((0.7553-(413/(N1241+459.6)))*(INDEX(FX_Input,AA$5,N$3*$Z$5+$AA$5-1)^0.5)*LOG10(INDEX(FX_Input,AA$5,N$3*$Z$5+$AA$5))-(1.854-(1042/(N1241+459.6)))*(INDEX(FX_Input,AA$5,N$3*$Z$5+$AA$5-1)^0.5)+((2416/(N1241+459.6)-2.013)*LOG10(INDEX(FX_Input,AA$5,N$3*$Z$5+$AA$5)))-(8742/(N1241+459.6))+15.64),EXP(INDEX(Antoines,MATCH(N1232,Antoine_Name,0),2)-INDEX(Antoines,MATCH(N1232,Antoine_Name,0),3)/(N1241+459.6))))),0)</f>
        <v>1</v>
      </c>
      <c r="O1248" cm="1">
        <f t="array" ref="O1248">IFERROR(IF(O1233="Chemical",(10^(INDEX(Antoines,MATCH(O1232,Antoine_Name,0),2)-INDEX(Antoines,MATCH(O1232,Antoine_Name,0),3)/(INDEX(Antoines,MATCH(O1232,Antoine_Name,0),4)+(O1241-32)*5/9)))*14.7/760,IF(O1233="Crude Oil",EXP((2799/(O1241+459.6)-2.227)*LOG10(INDEX(FX_Input,AB$5,O$3*$Z$5+$AA$5))-(7261/(O1241+459.6))+12.82),IF(O1233="Refined Petroleum Stock",EXP((0.7553-(413/(O1241+459.6)))*(INDEX(FX_Input,AB$5,O$3*$Z$5+$AA$5-1)^0.5)*LOG10(INDEX(FX_Input,AB$5,O$3*$Z$5+$AA$5))-(1.854-(1042/(O1241+459.6)))*(INDEX(FX_Input,AB$5,O$3*$Z$5+$AA$5-1)^0.5)+((2416/(O1241+459.6)-2.013)*LOG10(INDEX(FX_Input,AB$5,O$3*$Z$5+$AA$5)))-(8742/(O1241+459.6))+15.64),EXP(INDEX(Antoines,MATCH(O1232,Antoine_Name,0),2)-INDEX(Antoines,MATCH(O1232,Antoine_Name,0),3)/(O1241+459.6))))),0)</f>
        <v>1</v>
      </c>
    </row>
    <row r="1249" spans="1:32" ht="17.149999999999999" x14ac:dyDescent="0.55000000000000004">
      <c r="B1249" t="str">
        <f t="shared" si="4500"/>
        <v>Portland</v>
      </c>
      <c r="C1249" t="s">
        <v>580</v>
      </c>
      <c r="D1249">
        <f>D1248*D1236</f>
        <v>1</v>
      </c>
      <c r="E1249">
        <f t="shared" ref="E1249" si="4534">E1248*E1236</f>
        <v>1</v>
      </c>
      <c r="F1249">
        <f t="shared" ref="F1249" si="4535">F1248*F1236</f>
        <v>1</v>
      </c>
      <c r="G1249">
        <f t="shared" ref="G1249" si="4536">G1248*G1236</f>
        <v>1</v>
      </c>
      <c r="H1249">
        <f t="shared" ref="H1249" si="4537">H1248*H1236</f>
        <v>1</v>
      </c>
      <c r="I1249">
        <f t="shared" ref="I1249" si="4538">I1248*I1236</f>
        <v>1</v>
      </c>
      <c r="J1249">
        <f t="shared" ref="J1249" si="4539">J1248*J1236</f>
        <v>1</v>
      </c>
      <c r="K1249">
        <f t="shared" ref="K1249" si="4540">K1248*K1236</f>
        <v>1</v>
      </c>
      <c r="L1249">
        <f t="shared" ref="L1249" si="4541">L1248*L1236</f>
        <v>1</v>
      </c>
      <c r="M1249">
        <f t="shared" ref="M1249" si="4542">M1248*M1236</f>
        <v>1</v>
      </c>
      <c r="N1249">
        <f t="shared" ref="N1249" si="4543">N1248*N1236</f>
        <v>1</v>
      </c>
      <c r="O1249">
        <f t="shared" ref="O1249" si="4544">O1248*O1236</f>
        <v>1</v>
      </c>
    </row>
    <row r="1250" spans="1:32" ht="17.149999999999999" x14ac:dyDescent="0.55000000000000004">
      <c r="B1250" t="str">
        <f t="shared" si="4500"/>
        <v>Portland</v>
      </c>
      <c r="C1250" t="s">
        <v>581</v>
      </c>
      <c r="D1250" cm="1">
        <f t="array" ref="D1250">IFERROR(IF(D1235="Chemical",(10^(INDEX(Antoines,MATCH(D1234,Antoine_Name,0),2)-INDEX(Antoines,MATCH(D1234,Antoine_Name,0),3)/(INDEX(Antoines,MATCH(D1234,Antoine_Name,0),4)+(D1241-32)*5/9)))*14.7/760,IF(D1235="Crude Oil",EXP((2799/(D1241+459.6)-2.227)*LOG10(INDEX(FX_Input,Q$5,D$3*$Z$5+$AA$5))-(7261/(D1241+459.6))+12.82),IF(D1235="Refined Petroleum Stock",EXP((0.7553-(413/(D1241+459.6)))*(INDEX(FX_Input,Q$5,D$3*$Z$5+$AA$5-1)^0.5)*LOG10(INDEX(FX_Input,Q$5,D$3*$Z$5+$AA$5))-(1.854-(1042/(D1241+459.6)))*(INDEX(FX_Input,Q$5,D$3*$Z$5+$AA$5-1)^0.5)+((2416/(D1241+459.6)-2.013)*LOG10(INDEX(FX_Input,Q$5,D$3*$Z$5+$AA$5)))-(8742/(D1241+459.6))+15.64),EXP(INDEX(Antoines,MATCH(D1234,Antoine_Name,0),2)-INDEX(Antoines,MATCH(D1234,Antoine_Name,0),3)/(D1241+459.6))))),0)</f>
        <v>0</v>
      </c>
      <c r="E1250" cm="1">
        <f t="array" ref="E1250">IFERROR(IF(E1235="Chemical",(10^(INDEX(Antoines,MATCH(E1234,Antoine_Name,0),2)-INDEX(Antoines,MATCH(E1234,Antoine_Name,0),3)/(INDEX(Antoines,MATCH(E1234,Antoine_Name,0),4)+(E1241-32)*5/9)))*14.7/760,IF(E1235="Crude Oil",EXP((2799/(E1241+459.6)-2.227)*LOG10(INDEX(FX_Input,R$5,E$3*$Z$5+$AA$5))-(7261/(E1241+459.6))+12.82),IF(E1235="Refined Petroleum Stock",EXP((0.7553-(413/(E1241+459.6)))*(INDEX(FX_Input,R$5,E$3*$Z$5+$AA$5-1)^0.5)*LOG10(INDEX(FX_Input,R$5,E$3*$Z$5+$AA$5))-(1.854-(1042/(E1241+459.6)))*(INDEX(FX_Input,R$5,E$3*$Z$5+$AA$5-1)^0.5)+((2416/(E1241+459.6)-2.013)*LOG10(INDEX(FX_Input,R$5,E$3*$Z$5+$AA$5)))-(8742/(E1241+459.6))+15.64),EXP(INDEX(Antoines,MATCH(E1234,Antoine_Name,0),2)-INDEX(Antoines,MATCH(E1234,Antoine_Name,0),3)/(E1241+459.6))))),0)</f>
        <v>0</v>
      </c>
      <c r="F1250" cm="1">
        <f t="array" ref="F1250">IFERROR(IF(F1235="Chemical",(10^(INDEX(Antoines,MATCH(F1234,Antoine_Name,0),2)-INDEX(Antoines,MATCH(F1234,Antoine_Name,0),3)/(INDEX(Antoines,MATCH(F1234,Antoine_Name,0),4)+(F1241-32)*5/9)))*14.7/760,IF(F1235="Crude Oil",EXP((2799/(F1241+459.6)-2.227)*LOG10(INDEX(FX_Input,S$5,F$3*$Z$5+$AA$5))-(7261/(F1241+459.6))+12.82),IF(F1235="Refined Petroleum Stock",EXP((0.7553-(413/(F1241+459.6)))*(INDEX(FX_Input,S$5,F$3*$Z$5+$AA$5-1)^0.5)*LOG10(INDEX(FX_Input,S$5,F$3*$Z$5+$AA$5))-(1.854-(1042/(F1241+459.6)))*(INDEX(FX_Input,S$5,F$3*$Z$5+$AA$5-1)^0.5)+((2416/(F1241+459.6)-2.013)*LOG10(INDEX(FX_Input,S$5,F$3*$Z$5+$AA$5)))-(8742/(F1241+459.6))+15.64),EXP(INDEX(Antoines,MATCH(F1234,Antoine_Name,0),2)-INDEX(Antoines,MATCH(F1234,Antoine_Name,0),3)/(F1241+459.6))))),0)</f>
        <v>0</v>
      </c>
      <c r="G1250" cm="1">
        <f t="array" ref="G1250">IFERROR(IF(G1235="Chemical",(10^(INDEX(Antoines,MATCH(G1234,Antoine_Name,0),2)-INDEX(Antoines,MATCH(G1234,Antoine_Name,0),3)/(INDEX(Antoines,MATCH(G1234,Antoine_Name,0),4)+(G1241-32)*5/9)))*14.7/760,IF(G1235="Crude Oil",EXP((2799/(G1241+459.6)-2.227)*LOG10(INDEX(FX_Input,T$5,G$3*$Z$5+$AA$5))-(7261/(G1241+459.6))+12.82),IF(G1235="Refined Petroleum Stock",EXP((0.7553-(413/(G1241+459.6)))*(INDEX(FX_Input,T$5,G$3*$Z$5+$AA$5-1)^0.5)*LOG10(INDEX(FX_Input,T$5,G$3*$Z$5+$AA$5))-(1.854-(1042/(G1241+459.6)))*(INDEX(FX_Input,T$5,G$3*$Z$5+$AA$5-1)^0.5)+((2416/(G1241+459.6)-2.013)*LOG10(INDEX(FX_Input,T$5,G$3*$Z$5+$AA$5)))-(8742/(G1241+459.6))+15.64),EXP(INDEX(Antoines,MATCH(G1234,Antoine_Name,0),2)-INDEX(Antoines,MATCH(G1234,Antoine_Name,0),3)/(G1241+459.6))))),0)</f>
        <v>0</v>
      </c>
      <c r="H1250" cm="1">
        <f t="array" ref="H1250">IFERROR(IF(H1235="Chemical",(10^(INDEX(Antoines,MATCH(H1234,Antoine_Name,0),2)-INDEX(Antoines,MATCH(H1234,Antoine_Name,0),3)/(INDEX(Antoines,MATCH(H1234,Antoine_Name,0),4)+(H1241-32)*5/9)))*14.7/760,IF(H1235="Crude Oil",EXP((2799/(H1241+459.6)-2.227)*LOG10(INDEX(FX_Input,U$5,H$3*$Z$5+$AA$5))-(7261/(H1241+459.6))+12.82),IF(H1235="Refined Petroleum Stock",EXP((0.7553-(413/(H1241+459.6)))*(INDEX(FX_Input,U$5,H$3*$Z$5+$AA$5-1)^0.5)*LOG10(INDEX(FX_Input,U$5,H$3*$Z$5+$AA$5))-(1.854-(1042/(H1241+459.6)))*(INDEX(FX_Input,U$5,H$3*$Z$5+$AA$5-1)^0.5)+((2416/(H1241+459.6)-2.013)*LOG10(INDEX(FX_Input,U$5,H$3*$Z$5+$AA$5)))-(8742/(H1241+459.6))+15.64),EXP(INDEX(Antoines,MATCH(H1234,Antoine_Name,0),2)-INDEX(Antoines,MATCH(H1234,Antoine_Name,0),3)/(H1241+459.6))))),0)</f>
        <v>0</v>
      </c>
      <c r="I1250" cm="1">
        <f t="array" ref="I1250">IFERROR(IF(I1235="Chemical",(10^(INDEX(Antoines,MATCH(I1234,Antoine_Name,0),2)-INDEX(Antoines,MATCH(I1234,Antoine_Name,0),3)/(INDEX(Antoines,MATCH(I1234,Antoine_Name,0),4)+(I1241-32)*5/9)))*14.7/760,IF(I1235="Crude Oil",EXP((2799/(I1241+459.6)-2.227)*LOG10(INDEX(FX_Input,V$5,I$3*$Z$5+$AA$5))-(7261/(I1241+459.6))+12.82),IF(I1235="Refined Petroleum Stock",EXP((0.7553-(413/(I1241+459.6)))*(INDEX(FX_Input,V$5,I$3*$Z$5+$AA$5-1)^0.5)*LOG10(INDEX(FX_Input,V$5,I$3*$Z$5+$AA$5))-(1.854-(1042/(I1241+459.6)))*(INDEX(FX_Input,V$5,I$3*$Z$5+$AA$5-1)^0.5)+((2416/(I1241+459.6)-2.013)*LOG10(INDEX(FX_Input,V$5,I$3*$Z$5+$AA$5)))-(8742/(I1241+459.6))+15.64),EXP(INDEX(Antoines,MATCH(I1234,Antoine_Name,0),2)-INDEX(Antoines,MATCH(I1234,Antoine_Name,0),3)/(I1241+459.6))))),0)</f>
        <v>0</v>
      </c>
      <c r="J1250" cm="1">
        <f t="array" ref="J1250">IFERROR(IF(J1235="Chemical",(10^(INDEX(Antoines,MATCH(J1234,Antoine_Name,0),2)-INDEX(Antoines,MATCH(J1234,Antoine_Name,0),3)/(INDEX(Antoines,MATCH(J1234,Antoine_Name,0),4)+(J1241-32)*5/9)))*14.7/760,IF(J1235="Crude Oil",EXP((2799/(J1241+459.6)-2.227)*LOG10(INDEX(FX_Input,W$5,J$3*$Z$5+$AA$5))-(7261/(J1241+459.6))+12.82),IF(J1235="Refined Petroleum Stock",EXP((0.7553-(413/(J1241+459.6)))*(INDEX(FX_Input,W$5,J$3*$Z$5+$AA$5-1)^0.5)*LOG10(INDEX(FX_Input,W$5,J$3*$Z$5+$AA$5))-(1.854-(1042/(J1241+459.6)))*(INDEX(FX_Input,W$5,J$3*$Z$5+$AA$5-1)^0.5)+((2416/(J1241+459.6)-2.013)*LOG10(INDEX(FX_Input,W$5,J$3*$Z$5+$AA$5)))-(8742/(J1241+459.6))+15.64),EXP(INDEX(Antoines,MATCH(J1234,Antoine_Name,0),2)-INDEX(Antoines,MATCH(J1234,Antoine_Name,0),3)/(J1241+459.6))))),0)</f>
        <v>0</v>
      </c>
      <c r="K1250" cm="1">
        <f t="array" ref="K1250">IFERROR(IF(K1235="Chemical",(10^(INDEX(Antoines,MATCH(K1234,Antoine_Name,0),2)-INDEX(Antoines,MATCH(K1234,Antoine_Name,0),3)/(INDEX(Antoines,MATCH(K1234,Antoine_Name,0),4)+(K1241-32)*5/9)))*14.7/760,IF(K1235="Crude Oil",EXP((2799/(K1241+459.6)-2.227)*LOG10(INDEX(FX_Input,X$5,K$3*$Z$5+$AA$5))-(7261/(K1241+459.6))+12.82),IF(K1235="Refined Petroleum Stock",EXP((0.7553-(413/(K1241+459.6)))*(INDEX(FX_Input,X$5,K$3*$Z$5+$AA$5-1)^0.5)*LOG10(INDEX(FX_Input,X$5,K$3*$Z$5+$AA$5))-(1.854-(1042/(K1241+459.6)))*(INDEX(FX_Input,X$5,K$3*$Z$5+$AA$5-1)^0.5)+((2416/(K1241+459.6)-2.013)*LOG10(INDEX(FX_Input,X$5,K$3*$Z$5+$AA$5)))-(8742/(K1241+459.6))+15.64),EXP(INDEX(Antoines,MATCH(K1234,Antoine_Name,0),2)-INDEX(Antoines,MATCH(K1234,Antoine_Name,0),3)/(K1241+459.6))))),0)</f>
        <v>0</v>
      </c>
      <c r="L1250" cm="1">
        <f t="array" ref="L1250">IFERROR(IF(L1235="Chemical",(10^(INDEX(Antoines,MATCH(L1234,Antoine_Name,0),2)-INDEX(Antoines,MATCH(L1234,Antoine_Name,0),3)/(INDEX(Antoines,MATCH(L1234,Antoine_Name,0),4)+(L1241-32)*5/9)))*14.7/760,IF(L1235="Crude Oil",EXP((2799/(L1241+459.6)-2.227)*LOG10(INDEX(FX_Input,Y$5,L$3*$Z$5+$AA$5))-(7261/(L1241+459.6))+12.82),IF(L1235="Refined Petroleum Stock",EXP((0.7553-(413/(L1241+459.6)))*(INDEX(FX_Input,Y$5,L$3*$Z$5+$AA$5-1)^0.5)*LOG10(INDEX(FX_Input,Y$5,L$3*$Z$5+$AA$5))-(1.854-(1042/(L1241+459.6)))*(INDEX(FX_Input,Y$5,L$3*$Z$5+$AA$5-1)^0.5)+((2416/(L1241+459.6)-2.013)*LOG10(INDEX(FX_Input,Y$5,L$3*$Z$5+$AA$5)))-(8742/(L1241+459.6))+15.64),EXP(INDEX(Antoines,MATCH(L1234,Antoine_Name,0),2)-INDEX(Antoines,MATCH(L1234,Antoine_Name,0),3)/(L1241+459.6))))),0)</f>
        <v>0</v>
      </c>
      <c r="M1250" cm="1">
        <f t="array" ref="M1250">IFERROR(IF(M1235="Chemical",(10^(INDEX(Antoines,MATCH(M1234,Antoine_Name,0),2)-INDEX(Antoines,MATCH(M1234,Antoine_Name,0),3)/(INDEX(Antoines,MATCH(M1234,Antoine_Name,0),4)+(M1241-32)*5/9)))*14.7/760,IF(M1235="Crude Oil",EXP((2799/(M1241+459.6)-2.227)*LOG10(INDEX(FX_Input,Z$5,M$3*$Z$5+$AA$5))-(7261/(M1241+459.6))+12.82),IF(M1235="Refined Petroleum Stock",EXP((0.7553-(413/(M1241+459.6)))*(INDEX(FX_Input,Z$5,M$3*$Z$5+$AA$5-1)^0.5)*LOG10(INDEX(FX_Input,Z$5,M$3*$Z$5+$AA$5))-(1.854-(1042/(M1241+459.6)))*(INDEX(FX_Input,Z$5,M$3*$Z$5+$AA$5-1)^0.5)+((2416/(M1241+459.6)-2.013)*LOG10(INDEX(FX_Input,Z$5,M$3*$Z$5+$AA$5)))-(8742/(M1241+459.6))+15.64),EXP(INDEX(Antoines,MATCH(M1234,Antoine_Name,0),2)-INDEX(Antoines,MATCH(M1234,Antoine_Name,0),3)/(M1241+459.6))))),0)</f>
        <v>0</v>
      </c>
      <c r="N1250" cm="1">
        <f t="array" ref="N1250">IFERROR(IF(N1235="Chemical",(10^(INDEX(Antoines,MATCH(N1234,Antoine_Name,0),2)-INDEX(Antoines,MATCH(N1234,Antoine_Name,0),3)/(INDEX(Antoines,MATCH(N1234,Antoine_Name,0),4)+(N1241-32)*5/9)))*14.7/760,IF(N1235="Crude Oil",EXP((2799/(N1241+459.6)-2.227)*LOG10(INDEX(FX_Input,AA$5,N$3*$Z$5+$AA$5))-(7261/(N1241+459.6))+12.82),IF(N1235="Refined Petroleum Stock",EXP((0.7553-(413/(N1241+459.6)))*(INDEX(FX_Input,AA$5,N$3*$Z$5+$AA$5-1)^0.5)*LOG10(INDEX(FX_Input,AA$5,N$3*$Z$5+$AA$5))-(1.854-(1042/(N1241+459.6)))*(INDEX(FX_Input,AA$5,N$3*$Z$5+$AA$5-1)^0.5)+((2416/(N1241+459.6)-2.013)*LOG10(INDEX(FX_Input,AA$5,N$3*$Z$5+$AA$5)))-(8742/(N1241+459.6))+15.64),EXP(INDEX(Antoines,MATCH(N1234,Antoine_Name,0),2)-INDEX(Antoines,MATCH(N1234,Antoine_Name,0),3)/(N1241+459.6))))),0)</f>
        <v>0</v>
      </c>
      <c r="O1250" cm="1">
        <f t="array" ref="O1250">IFERROR(IF(O1235="Chemical",(10^(INDEX(Antoines,MATCH(O1234,Antoine_Name,0),2)-INDEX(Antoines,MATCH(O1234,Antoine_Name,0),3)/(INDEX(Antoines,MATCH(O1234,Antoine_Name,0),4)+(O1241-32)*5/9)))*14.7/760,IF(O1235="Crude Oil",EXP((2799/(O1241+459.6)-2.227)*LOG10(INDEX(FX_Input,AB$5,O$3*$Z$5+$AA$5))-(7261/(O1241+459.6))+12.82),IF(O1235="Refined Petroleum Stock",EXP((0.7553-(413/(O1241+459.6)))*(INDEX(FX_Input,AB$5,O$3*$Z$5+$AA$5-1)^0.5)*LOG10(INDEX(FX_Input,AB$5,O$3*$Z$5+$AA$5))-(1.854-(1042/(O1241+459.6)))*(INDEX(FX_Input,AB$5,O$3*$Z$5+$AA$5-1)^0.5)+((2416/(O1241+459.6)-2.013)*LOG10(INDEX(FX_Input,AB$5,O$3*$Z$5+$AA$5)))-(8742/(O1241+459.6))+15.64),EXP(INDEX(Antoines,MATCH(O1234,Antoine_Name,0),2)-INDEX(Antoines,MATCH(O1234,Antoine_Name,0),3)/(O1241+459.6))))),0)</f>
        <v>0</v>
      </c>
    </row>
    <row r="1251" spans="1:32" ht="17.149999999999999" x14ac:dyDescent="0.55000000000000004">
      <c r="B1251" t="str">
        <f t="shared" si="4500"/>
        <v>Portland</v>
      </c>
      <c r="C1251" t="s">
        <v>582</v>
      </c>
      <c r="D1251">
        <f>D1250*D1238</f>
        <v>0</v>
      </c>
      <c r="E1251">
        <f t="shared" ref="E1251" si="4545">E1250*E1238</f>
        <v>0</v>
      </c>
      <c r="F1251">
        <f t="shared" ref="F1251" si="4546">F1250*F1238</f>
        <v>0</v>
      </c>
      <c r="G1251">
        <f t="shared" ref="G1251" si="4547">G1250*G1238</f>
        <v>0</v>
      </c>
      <c r="H1251">
        <f t="shared" ref="H1251" si="4548">H1250*H1238</f>
        <v>0</v>
      </c>
      <c r="I1251">
        <f t="shared" ref="I1251" si="4549">I1250*I1238</f>
        <v>0</v>
      </c>
      <c r="J1251">
        <f t="shared" ref="J1251" si="4550">J1250*J1238</f>
        <v>0</v>
      </c>
      <c r="K1251">
        <f t="shared" ref="K1251" si="4551">K1250*K1238</f>
        <v>0</v>
      </c>
      <c r="L1251">
        <f t="shared" ref="L1251" si="4552">L1250*L1238</f>
        <v>0</v>
      </c>
      <c r="M1251">
        <f t="shared" ref="M1251" si="4553">M1250*M1238</f>
        <v>0</v>
      </c>
      <c r="N1251">
        <f t="shared" ref="N1251" si="4554">N1250*N1238</f>
        <v>0</v>
      </c>
      <c r="O1251">
        <f t="shared" ref="O1251" si="4555">O1250*O1238</f>
        <v>0</v>
      </c>
    </row>
    <row r="1252" spans="1:32" ht="17.149999999999999" x14ac:dyDescent="0.55000000000000004">
      <c r="B1252" t="str">
        <f t="shared" si="4500"/>
        <v>Portland</v>
      </c>
      <c r="C1252" t="s">
        <v>583</v>
      </c>
      <c r="D1252">
        <f>D1249+D1251</f>
        <v>1</v>
      </c>
      <c r="E1252">
        <f t="shared" ref="E1252" si="4556">E1249+E1251</f>
        <v>1</v>
      </c>
      <c r="F1252">
        <f t="shared" ref="F1252" si="4557">F1249+F1251</f>
        <v>1</v>
      </c>
      <c r="G1252">
        <f t="shared" ref="G1252" si="4558">G1249+G1251</f>
        <v>1</v>
      </c>
      <c r="H1252">
        <f t="shared" ref="H1252" si="4559">H1249+H1251</f>
        <v>1</v>
      </c>
      <c r="I1252">
        <f t="shared" ref="I1252" si="4560">I1249+I1251</f>
        <v>1</v>
      </c>
      <c r="J1252">
        <f t="shared" ref="J1252" si="4561">J1249+J1251</f>
        <v>1</v>
      </c>
      <c r="K1252">
        <f t="shared" ref="K1252" si="4562">K1249+K1251</f>
        <v>1</v>
      </c>
      <c r="L1252">
        <f t="shared" ref="L1252" si="4563">L1249+L1251</f>
        <v>1</v>
      </c>
      <c r="M1252">
        <f t="shared" ref="M1252" si="4564">M1249+M1251</f>
        <v>1</v>
      </c>
      <c r="N1252">
        <f t="shared" ref="N1252" si="4565">N1249+N1251</f>
        <v>1</v>
      </c>
      <c r="O1252">
        <f t="shared" ref="O1252" si="4566">O1249+O1251</f>
        <v>1</v>
      </c>
    </row>
    <row r="1253" spans="1:32" ht="17.149999999999999" x14ac:dyDescent="0.55000000000000004">
      <c r="B1253" t="str">
        <f t="shared" si="4500"/>
        <v>Portland</v>
      </c>
      <c r="C1253" t="s">
        <v>1388</v>
      </c>
      <c r="D1253" cm="1">
        <f t="array" ref="D1253">IFERROR(IF(D1233="Chemical",(10^(INDEX(Antoines,MATCH(D1232,Antoine_Name,0),2)-INDEX(Antoines,MATCH(D1232,Antoine_Name,0),3)/(INDEX(Antoines,MATCH(D1232,Antoine_Name,0),4)+(D1242-32)*5/9)))*14.7/760,IF(D1233="Crude Oil",EXP((2799/(D1242+459.6)-2.227)*LOG10(INDEX(FX_Input,Q$5,D$3*$Z$5+$AA$5))-(7261/(D1242+459.6))+12.82),IF(D1233="Refined Petroleum Stock",EXP((0.7553-(413/(D1242+459.6)))*(INDEX(FX_Input,Q$5,D$3*$Z$5+$AA$5-1)^0.5)*LOG10(INDEX(FX_Input,Q$5,D$3*$Z$5+$AA$5))-(1.854-(1042/(D1242+459.6)))*(INDEX(FX_Input,Q$5,D$3*$Z$5+$AA$5-1)^0.5)+((2416/(D1242+459.6)-2.013)*LOG10(INDEX(FX_Input,Q$5,D$3*$Z$5+$AA$5)))-(8742/(D1242+459.6))+15.64),EXP(INDEX(Antoines,MATCH(D1232,Antoine_Name,0),2)-INDEX(Antoines,MATCH(D1232,Antoine_Name,0),3)/(D1242+459.6))))),0)</f>
        <v>1</v>
      </c>
      <c r="E1253" cm="1">
        <f t="array" ref="E1253">IFERROR(IF(E1233="Chemical",(10^(INDEX(Antoines,MATCH(E1232,Antoine_Name,0),2)-INDEX(Antoines,MATCH(E1232,Antoine_Name,0),3)/(INDEX(Antoines,MATCH(E1232,Antoine_Name,0),4)+(E1242-32)*5/9)))*14.7/760,IF(E1233="Crude Oil",EXP((2799/(E1242+459.6)-2.227)*LOG10(INDEX(FX_Input,R$5,E$3*$Z$5+$AA$5))-(7261/(E1242+459.6))+12.82),IF(E1233="Refined Petroleum Stock",EXP((0.7553-(413/(E1242+459.6)))*(INDEX(FX_Input,R$5,E$3*$Z$5+$AA$5-1)^0.5)*LOG10(INDEX(FX_Input,R$5,E$3*$Z$5+$AA$5))-(1.854-(1042/(E1242+459.6)))*(INDEX(FX_Input,R$5,E$3*$Z$5+$AA$5-1)^0.5)+((2416/(E1242+459.6)-2.013)*LOG10(INDEX(FX_Input,R$5,E$3*$Z$5+$AA$5)))-(8742/(E1242+459.6))+15.64),EXP(INDEX(Antoines,MATCH(E1232,Antoine_Name,0),2)-INDEX(Antoines,MATCH(E1232,Antoine_Name,0),3)/(E1242+459.6))))),0)</f>
        <v>1</v>
      </c>
      <c r="F1253" cm="1">
        <f t="array" ref="F1253">IFERROR(IF(F1233="Chemical",(10^(INDEX(Antoines,MATCH(F1232,Antoine_Name,0),2)-INDEX(Antoines,MATCH(F1232,Antoine_Name,0),3)/(INDEX(Antoines,MATCH(F1232,Antoine_Name,0),4)+(F1242-32)*5/9)))*14.7/760,IF(F1233="Crude Oil",EXP((2799/(F1242+459.6)-2.227)*LOG10(INDEX(FX_Input,S$5,F$3*$Z$5+$AA$5))-(7261/(F1242+459.6))+12.82),IF(F1233="Refined Petroleum Stock",EXP((0.7553-(413/(F1242+459.6)))*(INDEX(FX_Input,S$5,F$3*$Z$5+$AA$5-1)^0.5)*LOG10(INDEX(FX_Input,S$5,F$3*$Z$5+$AA$5))-(1.854-(1042/(F1242+459.6)))*(INDEX(FX_Input,S$5,F$3*$Z$5+$AA$5-1)^0.5)+((2416/(F1242+459.6)-2.013)*LOG10(INDEX(FX_Input,S$5,F$3*$Z$5+$AA$5)))-(8742/(F1242+459.6))+15.64),EXP(INDEX(Antoines,MATCH(F1232,Antoine_Name,0),2)-INDEX(Antoines,MATCH(F1232,Antoine_Name,0),3)/(F1242+459.6))))),0)</f>
        <v>1</v>
      </c>
      <c r="G1253" cm="1">
        <f t="array" ref="G1253">IFERROR(IF(G1233="Chemical",(10^(INDEX(Antoines,MATCH(G1232,Antoine_Name,0),2)-INDEX(Antoines,MATCH(G1232,Antoine_Name,0),3)/(INDEX(Antoines,MATCH(G1232,Antoine_Name,0),4)+(G1242-32)*5/9)))*14.7/760,IF(G1233="Crude Oil",EXP((2799/(G1242+459.6)-2.227)*LOG10(INDEX(FX_Input,T$5,G$3*$Z$5+$AA$5))-(7261/(G1242+459.6))+12.82),IF(G1233="Refined Petroleum Stock",EXP((0.7553-(413/(G1242+459.6)))*(INDEX(FX_Input,T$5,G$3*$Z$5+$AA$5-1)^0.5)*LOG10(INDEX(FX_Input,T$5,G$3*$Z$5+$AA$5))-(1.854-(1042/(G1242+459.6)))*(INDEX(FX_Input,T$5,G$3*$Z$5+$AA$5-1)^0.5)+((2416/(G1242+459.6)-2.013)*LOG10(INDEX(FX_Input,T$5,G$3*$Z$5+$AA$5)))-(8742/(G1242+459.6))+15.64),EXP(INDEX(Antoines,MATCH(G1232,Antoine_Name,0),2)-INDEX(Antoines,MATCH(G1232,Antoine_Name,0),3)/(G1242+459.6))))),0)</f>
        <v>1</v>
      </c>
      <c r="H1253" cm="1">
        <f t="array" ref="H1253">IFERROR(IF(H1233="Chemical",(10^(INDEX(Antoines,MATCH(H1232,Antoine_Name,0),2)-INDEX(Antoines,MATCH(H1232,Antoine_Name,0),3)/(INDEX(Antoines,MATCH(H1232,Antoine_Name,0),4)+(H1242-32)*5/9)))*14.7/760,IF(H1233="Crude Oil",EXP((2799/(H1242+459.6)-2.227)*LOG10(INDEX(FX_Input,U$5,H$3*$Z$5+$AA$5))-(7261/(H1242+459.6))+12.82),IF(H1233="Refined Petroleum Stock",EXP((0.7553-(413/(H1242+459.6)))*(INDEX(FX_Input,U$5,H$3*$Z$5+$AA$5-1)^0.5)*LOG10(INDEX(FX_Input,U$5,H$3*$Z$5+$AA$5))-(1.854-(1042/(H1242+459.6)))*(INDEX(FX_Input,U$5,H$3*$Z$5+$AA$5-1)^0.5)+((2416/(H1242+459.6)-2.013)*LOG10(INDEX(FX_Input,U$5,H$3*$Z$5+$AA$5)))-(8742/(H1242+459.6))+15.64),EXP(INDEX(Antoines,MATCH(H1232,Antoine_Name,0),2)-INDEX(Antoines,MATCH(H1232,Antoine_Name,0),3)/(H1242+459.6))))),0)</f>
        <v>1</v>
      </c>
      <c r="I1253" cm="1">
        <f t="array" ref="I1253">IFERROR(IF(I1233="Chemical",(10^(INDEX(Antoines,MATCH(I1232,Antoine_Name,0),2)-INDEX(Antoines,MATCH(I1232,Antoine_Name,0),3)/(INDEX(Antoines,MATCH(I1232,Antoine_Name,0),4)+(I1242-32)*5/9)))*14.7/760,IF(I1233="Crude Oil",EXP((2799/(I1242+459.6)-2.227)*LOG10(INDEX(FX_Input,V$5,I$3*$Z$5+$AA$5))-(7261/(I1242+459.6))+12.82),IF(I1233="Refined Petroleum Stock",EXP((0.7553-(413/(I1242+459.6)))*(INDEX(FX_Input,V$5,I$3*$Z$5+$AA$5-1)^0.5)*LOG10(INDEX(FX_Input,V$5,I$3*$Z$5+$AA$5))-(1.854-(1042/(I1242+459.6)))*(INDEX(FX_Input,V$5,I$3*$Z$5+$AA$5-1)^0.5)+((2416/(I1242+459.6)-2.013)*LOG10(INDEX(FX_Input,V$5,I$3*$Z$5+$AA$5)))-(8742/(I1242+459.6))+15.64),EXP(INDEX(Antoines,MATCH(I1232,Antoine_Name,0),2)-INDEX(Antoines,MATCH(I1232,Antoine_Name,0),3)/(I1242+459.6))))),0)</f>
        <v>1</v>
      </c>
      <c r="J1253" cm="1">
        <f t="array" ref="J1253">IFERROR(IF(J1233="Chemical",(10^(INDEX(Antoines,MATCH(J1232,Antoine_Name,0),2)-INDEX(Antoines,MATCH(J1232,Antoine_Name,0),3)/(INDEX(Antoines,MATCH(J1232,Antoine_Name,0),4)+(J1242-32)*5/9)))*14.7/760,IF(J1233="Crude Oil",EXP((2799/(J1242+459.6)-2.227)*LOG10(INDEX(FX_Input,W$5,J$3*$Z$5+$AA$5))-(7261/(J1242+459.6))+12.82),IF(J1233="Refined Petroleum Stock",EXP((0.7553-(413/(J1242+459.6)))*(INDEX(FX_Input,W$5,J$3*$Z$5+$AA$5-1)^0.5)*LOG10(INDEX(FX_Input,W$5,J$3*$Z$5+$AA$5))-(1.854-(1042/(J1242+459.6)))*(INDEX(FX_Input,W$5,J$3*$Z$5+$AA$5-1)^0.5)+((2416/(J1242+459.6)-2.013)*LOG10(INDEX(FX_Input,W$5,J$3*$Z$5+$AA$5)))-(8742/(J1242+459.6))+15.64),EXP(INDEX(Antoines,MATCH(J1232,Antoine_Name,0),2)-INDEX(Antoines,MATCH(J1232,Antoine_Name,0),3)/(J1242+459.6))))),0)</f>
        <v>1</v>
      </c>
      <c r="K1253" cm="1">
        <f t="array" ref="K1253">IFERROR(IF(K1233="Chemical",(10^(INDEX(Antoines,MATCH(K1232,Antoine_Name,0),2)-INDEX(Antoines,MATCH(K1232,Antoine_Name,0),3)/(INDEX(Antoines,MATCH(K1232,Antoine_Name,0),4)+(K1242-32)*5/9)))*14.7/760,IF(K1233="Crude Oil",EXP((2799/(K1242+459.6)-2.227)*LOG10(INDEX(FX_Input,X$5,K$3*$Z$5+$AA$5))-(7261/(K1242+459.6))+12.82),IF(K1233="Refined Petroleum Stock",EXP((0.7553-(413/(K1242+459.6)))*(INDEX(FX_Input,X$5,K$3*$Z$5+$AA$5-1)^0.5)*LOG10(INDEX(FX_Input,X$5,K$3*$Z$5+$AA$5))-(1.854-(1042/(K1242+459.6)))*(INDEX(FX_Input,X$5,K$3*$Z$5+$AA$5-1)^0.5)+((2416/(K1242+459.6)-2.013)*LOG10(INDEX(FX_Input,X$5,K$3*$Z$5+$AA$5)))-(8742/(K1242+459.6))+15.64),EXP(INDEX(Antoines,MATCH(K1232,Antoine_Name,0),2)-INDEX(Antoines,MATCH(K1232,Antoine_Name,0),3)/(K1242+459.6))))),0)</f>
        <v>1</v>
      </c>
      <c r="L1253" cm="1">
        <f t="array" ref="L1253">IFERROR(IF(L1233="Chemical",(10^(INDEX(Antoines,MATCH(L1232,Antoine_Name,0),2)-INDEX(Antoines,MATCH(L1232,Antoine_Name,0),3)/(INDEX(Antoines,MATCH(L1232,Antoine_Name,0),4)+(L1242-32)*5/9)))*14.7/760,IF(L1233="Crude Oil",EXP((2799/(L1242+459.6)-2.227)*LOG10(INDEX(FX_Input,Y$5,L$3*$Z$5+$AA$5))-(7261/(L1242+459.6))+12.82),IF(L1233="Refined Petroleum Stock",EXP((0.7553-(413/(L1242+459.6)))*(INDEX(FX_Input,Y$5,L$3*$Z$5+$AA$5-1)^0.5)*LOG10(INDEX(FX_Input,Y$5,L$3*$Z$5+$AA$5))-(1.854-(1042/(L1242+459.6)))*(INDEX(FX_Input,Y$5,L$3*$Z$5+$AA$5-1)^0.5)+((2416/(L1242+459.6)-2.013)*LOG10(INDEX(FX_Input,Y$5,L$3*$Z$5+$AA$5)))-(8742/(L1242+459.6))+15.64),EXP(INDEX(Antoines,MATCH(L1232,Antoine_Name,0),2)-INDEX(Antoines,MATCH(L1232,Antoine_Name,0),3)/(L1242+459.6))))),0)</f>
        <v>1</v>
      </c>
      <c r="M1253" cm="1">
        <f t="array" ref="M1253">IFERROR(IF(M1233="Chemical",(10^(INDEX(Antoines,MATCH(M1232,Antoine_Name,0),2)-INDEX(Antoines,MATCH(M1232,Antoine_Name,0),3)/(INDEX(Antoines,MATCH(M1232,Antoine_Name,0),4)+(M1242-32)*5/9)))*14.7/760,IF(M1233="Crude Oil",EXP((2799/(M1242+459.6)-2.227)*LOG10(INDEX(FX_Input,Z$5,M$3*$Z$5+$AA$5))-(7261/(M1242+459.6))+12.82),IF(M1233="Refined Petroleum Stock",EXP((0.7553-(413/(M1242+459.6)))*(INDEX(FX_Input,Z$5,M$3*$Z$5+$AA$5-1)^0.5)*LOG10(INDEX(FX_Input,Z$5,M$3*$Z$5+$AA$5))-(1.854-(1042/(M1242+459.6)))*(INDEX(FX_Input,Z$5,M$3*$Z$5+$AA$5-1)^0.5)+((2416/(M1242+459.6)-2.013)*LOG10(INDEX(FX_Input,Z$5,M$3*$Z$5+$AA$5)))-(8742/(M1242+459.6))+15.64),EXP(INDEX(Antoines,MATCH(M1232,Antoine_Name,0),2)-INDEX(Antoines,MATCH(M1232,Antoine_Name,0),3)/(M1242+459.6))))),0)</f>
        <v>1</v>
      </c>
      <c r="N1253" cm="1">
        <f t="array" ref="N1253">IFERROR(IF(N1233="Chemical",(10^(INDEX(Antoines,MATCH(N1232,Antoine_Name,0),2)-INDEX(Antoines,MATCH(N1232,Antoine_Name,0),3)/(INDEX(Antoines,MATCH(N1232,Antoine_Name,0),4)+(N1242-32)*5/9)))*14.7/760,IF(N1233="Crude Oil",EXP((2799/(N1242+459.6)-2.227)*LOG10(INDEX(FX_Input,AA$5,N$3*$Z$5+$AA$5))-(7261/(N1242+459.6))+12.82),IF(N1233="Refined Petroleum Stock",EXP((0.7553-(413/(N1242+459.6)))*(INDEX(FX_Input,AA$5,N$3*$Z$5+$AA$5-1)^0.5)*LOG10(INDEX(FX_Input,AA$5,N$3*$Z$5+$AA$5))-(1.854-(1042/(N1242+459.6)))*(INDEX(FX_Input,AA$5,N$3*$Z$5+$AA$5-1)^0.5)+((2416/(N1242+459.6)-2.013)*LOG10(INDEX(FX_Input,AA$5,N$3*$Z$5+$AA$5)))-(8742/(N1242+459.6))+15.64),EXP(INDEX(Antoines,MATCH(N1232,Antoine_Name,0),2)-INDEX(Antoines,MATCH(N1232,Antoine_Name,0),3)/(N1242+459.6))))),0)</f>
        <v>1</v>
      </c>
      <c r="O1253" cm="1">
        <f t="array" ref="O1253">IFERROR(IF(O1233="Chemical",(10^(INDEX(Antoines,MATCH(O1232,Antoine_Name,0),2)-INDEX(Antoines,MATCH(O1232,Antoine_Name,0),3)/(INDEX(Antoines,MATCH(O1232,Antoine_Name,0),4)+(O1242-32)*5/9)))*14.7/760,IF(O1233="Crude Oil",EXP((2799/(O1242+459.6)-2.227)*LOG10(INDEX(FX_Input,AB$5,O$3*$Z$5+$AA$5))-(7261/(O1242+459.6))+12.82),IF(O1233="Refined Petroleum Stock",EXP((0.7553-(413/(O1242+459.6)))*(INDEX(FX_Input,AB$5,O$3*$Z$5+$AA$5-1)^0.5)*LOG10(INDEX(FX_Input,AB$5,O$3*$Z$5+$AA$5))-(1.854-(1042/(O1242+459.6)))*(INDEX(FX_Input,AB$5,O$3*$Z$5+$AA$5-1)^0.5)+((2416/(O1242+459.6)-2.013)*LOG10(INDEX(FX_Input,AB$5,O$3*$Z$5+$AA$5)))-(8742/(O1242+459.6))+15.64),EXP(INDEX(Antoines,MATCH(O1232,Antoine_Name,0),2)-INDEX(Antoines,MATCH(O1232,Antoine_Name,0),3)/(O1242+459.6))))),0)</f>
        <v>1</v>
      </c>
    </row>
    <row r="1254" spans="1:32" ht="17.149999999999999" x14ac:dyDescent="0.55000000000000004">
      <c r="B1254" t="str">
        <f t="shared" si="4500"/>
        <v>Portland</v>
      </c>
      <c r="C1254" t="s">
        <v>1389</v>
      </c>
      <c r="D1254">
        <f>D1253*D1236</f>
        <v>1</v>
      </c>
      <c r="E1254">
        <f t="shared" ref="E1254" si="4567">E1253*E1236</f>
        <v>1</v>
      </c>
      <c r="F1254">
        <f t="shared" ref="F1254" si="4568">F1253*F1236</f>
        <v>1</v>
      </c>
      <c r="G1254">
        <f t="shared" ref="G1254" si="4569">G1253*G1236</f>
        <v>1</v>
      </c>
      <c r="H1254">
        <f t="shared" ref="H1254" si="4570">H1253*H1236</f>
        <v>1</v>
      </c>
      <c r="I1254">
        <f t="shared" ref="I1254" si="4571">I1253*I1236</f>
        <v>1</v>
      </c>
      <c r="J1254">
        <f t="shared" ref="J1254" si="4572">J1253*J1236</f>
        <v>1</v>
      </c>
      <c r="K1254">
        <f t="shared" ref="K1254" si="4573">K1253*K1236</f>
        <v>1</v>
      </c>
      <c r="L1254">
        <f t="shared" ref="L1254" si="4574">L1253*L1236</f>
        <v>1</v>
      </c>
      <c r="M1254">
        <f t="shared" ref="M1254" si="4575">M1253*M1236</f>
        <v>1</v>
      </c>
      <c r="N1254">
        <f t="shared" ref="N1254" si="4576">N1253*N1236</f>
        <v>1</v>
      </c>
      <c r="O1254">
        <f t="shared" ref="O1254" si="4577">O1253*O1236</f>
        <v>1</v>
      </c>
    </row>
    <row r="1255" spans="1:32" ht="17.149999999999999" x14ac:dyDescent="0.55000000000000004">
      <c r="B1255" t="str">
        <f t="shared" si="4500"/>
        <v>Portland</v>
      </c>
      <c r="C1255" t="s">
        <v>1390</v>
      </c>
      <c r="D1255" cm="1">
        <f t="array" ref="D1255">IFERROR(IF(D1235="Chemical",(10^(INDEX(Antoines,MATCH(D1234,Antoine_Name,0),2)-INDEX(Antoines,MATCH(D1234,Antoine_Name,0),3)/(INDEX(Antoines,MATCH(D1234,Antoine_Name,0),4)+(D1242-32)*5/9)))*14.7/760,IF(D1235="Crude Oil",EXP((2799/(D1242+459.6)-2.227)*LOG10(INDEX(FX_Input,Q$5,D$3*$Z$5+$AA$5))-(7261/(D1242+459.6))+12.82),IF(D1235="Refined Petroleum Stock",EXP((0.7553-(413/(D1242+459.6)))*(INDEX(FX_Input,Q$5,D$3*$Z$5+$AA$5-1)^0.5)*LOG10(INDEX(FX_Input,Q$5,D$3*$Z$5+$AA$5))-(1.854-(1042/(D1242+459.6)))*(INDEX(FX_Input,Q$5,D$3*$Z$5+$AA$5-1)^0.5)+((2416/(D1242+459.6)-2.013)*LOG10(INDEX(FX_Input,Q$5,D$3*$Z$5+$AA$5)))-(8742/(D1242+459.6))+15.64),EXP(INDEX(Antoines,MATCH(D1234,Antoine_Name,0),2)-INDEX(Antoines,MATCH(D1234,Antoine_Name,0),3)/(D1242+459.6))))),0)</f>
        <v>0</v>
      </c>
      <c r="E1255" cm="1">
        <f t="array" ref="E1255">IFERROR(IF(E1235="Chemical",(10^(INDEX(Antoines,MATCH(E1234,Antoine_Name,0),2)-INDEX(Antoines,MATCH(E1234,Antoine_Name,0),3)/(INDEX(Antoines,MATCH(E1234,Antoine_Name,0),4)+(E1242-32)*5/9)))*14.7/760,IF(E1235="Crude Oil",EXP((2799/(E1242+459.6)-2.227)*LOG10(INDEX(FX_Input,R$5,E$3*$Z$5+$AA$5))-(7261/(E1242+459.6))+12.82),IF(E1235="Refined Petroleum Stock",EXP((0.7553-(413/(E1242+459.6)))*(INDEX(FX_Input,R$5,E$3*$Z$5+$AA$5-1)^0.5)*LOG10(INDEX(FX_Input,R$5,E$3*$Z$5+$AA$5))-(1.854-(1042/(E1242+459.6)))*(INDEX(FX_Input,R$5,E$3*$Z$5+$AA$5-1)^0.5)+((2416/(E1242+459.6)-2.013)*LOG10(INDEX(FX_Input,R$5,E$3*$Z$5+$AA$5)))-(8742/(E1242+459.6))+15.64),EXP(INDEX(Antoines,MATCH(E1234,Antoine_Name,0),2)-INDEX(Antoines,MATCH(E1234,Antoine_Name,0),3)/(E1242+459.6))))),0)</f>
        <v>0</v>
      </c>
      <c r="F1255" cm="1">
        <f t="array" ref="F1255">IFERROR(IF(F1235="Chemical",(10^(INDEX(Antoines,MATCH(F1234,Antoine_Name,0),2)-INDEX(Antoines,MATCH(F1234,Antoine_Name,0),3)/(INDEX(Antoines,MATCH(F1234,Antoine_Name,0),4)+(F1242-32)*5/9)))*14.7/760,IF(F1235="Crude Oil",EXP((2799/(F1242+459.6)-2.227)*LOG10(INDEX(FX_Input,S$5,F$3*$Z$5+$AA$5))-(7261/(F1242+459.6))+12.82),IF(F1235="Refined Petroleum Stock",EXP((0.7553-(413/(F1242+459.6)))*(INDEX(FX_Input,S$5,F$3*$Z$5+$AA$5-1)^0.5)*LOG10(INDEX(FX_Input,S$5,F$3*$Z$5+$AA$5))-(1.854-(1042/(F1242+459.6)))*(INDEX(FX_Input,S$5,F$3*$Z$5+$AA$5-1)^0.5)+((2416/(F1242+459.6)-2.013)*LOG10(INDEX(FX_Input,S$5,F$3*$Z$5+$AA$5)))-(8742/(F1242+459.6))+15.64),EXP(INDEX(Antoines,MATCH(F1234,Antoine_Name,0),2)-INDEX(Antoines,MATCH(F1234,Antoine_Name,0),3)/(F1242+459.6))))),0)</f>
        <v>0</v>
      </c>
      <c r="G1255" cm="1">
        <f t="array" ref="G1255">IFERROR(IF(G1235="Chemical",(10^(INDEX(Antoines,MATCH(G1234,Antoine_Name,0),2)-INDEX(Antoines,MATCH(G1234,Antoine_Name,0),3)/(INDEX(Antoines,MATCH(G1234,Antoine_Name,0),4)+(G1242-32)*5/9)))*14.7/760,IF(G1235="Crude Oil",EXP((2799/(G1242+459.6)-2.227)*LOG10(INDEX(FX_Input,T$5,G$3*$Z$5+$AA$5))-(7261/(G1242+459.6))+12.82),IF(G1235="Refined Petroleum Stock",EXP((0.7553-(413/(G1242+459.6)))*(INDEX(FX_Input,T$5,G$3*$Z$5+$AA$5-1)^0.5)*LOG10(INDEX(FX_Input,T$5,G$3*$Z$5+$AA$5))-(1.854-(1042/(G1242+459.6)))*(INDEX(FX_Input,T$5,G$3*$Z$5+$AA$5-1)^0.5)+((2416/(G1242+459.6)-2.013)*LOG10(INDEX(FX_Input,T$5,G$3*$Z$5+$AA$5)))-(8742/(G1242+459.6))+15.64),EXP(INDEX(Antoines,MATCH(G1234,Antoine_Name,0),2)-INDEX(Antoines,MATCH(G1234,Antoine_Name,0),3)/(G1242+459.6))))),0)</f>
        <v>0</v>
      </c>
      <c r="H1255" cm="1">
        <f t="array" ref="H1255">IFERROR(IF(H1235="Chemical",(10^(INDEX(Antoines,MATCH(H1234,Antoine_Name,0),2)-INDEX(Antoines,MATCH(H1234,Antoine_Name,0),3)/(INDEX(Antoines,MATCH(H1234,Antoine_Name,0),4)+(H1242-32)*5/9)))*14.7/760,IF(H1235="Crude Oil",EXP((2799/(H1242+459.6)-2.227)*LOG10(INDEX(FX_Input,U$5,H$3*$Z$5+$AA$5))-(7261/(H1242+459.6))+12.82),IF(H1235="Refined Petroleum Stock",EXP((0.7553-(413/(H1242+459.6)))*(INDEX(FX_Input,U$5,H$3*$Z$5+$AA$5-1)^0.5)*LOG10(INDEX(FX_Input,U$5,H$3*$Z$5+$AA$5))-(1.854-(1042/(H1242+459.6)))*(INDEX(FX_Input,U$5,H$3*$Z$5+$AA$5-1)^0.5)+((2416/(H1242+459.6)-2.013)*LOG10(INDEX(FX_Input,U$5,H$3*$Z$5+$AA$5)))-(8742/(H1242+459.6))+15.64),EXP(INDEX(Antoines,MATCH(H1234,Antoine_Name,0),2)-INDEX(Antoines,MATCH(H1234,Antoine_Name,0),3)/(H1242+459.6))))),0)</f>
        <v>0</v>
      </c>
      <c r="I1255" cm="1">
        <f t="array" ref="I1255">IFERROR(IF(I1235="Chemical",(10^(INDEX(Antoines,MATCH(I1234,Antoine_Name,0),2)-INDEX(Antoines,MATCH(I1234,Antoine_Name,0),3)/(INDEX(Antoines,MATCH(I1234,Antoine_Name,0),4)+(I1242-32)*5/9)))*14.7/760,IF(I1235="Crude Oil",EXP((2799/(I1242+459.6)-2.227)*LOG10(INDEX(FX_Input,V$5,I$3*$Z$5+$AA$5))-(7261/(I1242+459.6))+12.82),IF(I1235="Refined Petroleum Stock",EXP((0.7553-(413/(I1242+459.6)))*(INDEX(FX_Input,V$5,I$3*$Z$5+$AA$5-1)^0.5)*LOG10(INDEX(FX_Input,V$5,I$3*$Z$5+$AA$5))-(1.854-(1042/(I1242+459.6)))*(INDEX(FX_Input,V$5,I$3*$Z$5+$AA$5-1)^0.5)+((2416/(I1242+459.6)-2.013)*LOG10(INDEX(FX_Input,V$5,I$3*$Z$5+$AA$5)))-(8742/(I1242+459.6))+15.64),EXP(INDEX(Antoines,MATCH(I1234,Antoine_Name,0),2)-INDEX(Antoines,MATCH(I1234,Antoine_Name,0),3)/(I1242+459.6))))),0)</f>
        <v>0</v>
      </c>
      <c r="J1255" cm="1">
        <f t="array" ref="J1255">IFERROR(IF(J1235="Chemical",(10^(INDEX(Antoines,MATCH(J1234,Antoine_Name,0),2)-INDEX(Antoines,MATCH(J1234,Antoine_Name,0),3)/(INDEX(Antoines,MATCH(J1234,Antoine_Name,0),4)+(J1242-32)*5/9)))*14.7/760,IF(J1235="Crude Oil",EXP((2799/(J1242+459.6)-2.227)*LOG10(INDEX(FX_Input,W$5,J$3*$Z$5+$AA$5))-(7261/(J1242+459.6))+12.82),IF(J1235="Refined Petroleum Stock",EXP((0.7553-(413/(J1242+459.6)))*(INDEX(FX_Input,W$5,J$3*$Z$5+$AA$5-1)^0.5)*LOG10(INDEX(FX_Input,W$5,J$3*$Z$5+$AA$5))-(1.854-(1042/(J1242+459.6)))*(INDEX(FX_Input,W$5,J$3*$Z$5+$AA$5-1)^0.5)+((2416/(J1242+459.6)-2.013)*LOG10(INDEX(FX_Input,W$5,J$3*$Z$5+$AA$5)))-(8742/(J1242+459.6))+15.64),EXP(INDEX(Antoines,MATCH(J1234,Antoine_Name,0),2)-INDEX(Antoines,MATCH(J1234,Antoine_Name,0),3)/(J1242+459.6))))),0)</f>
        <v>0</v>
      </c>
      <c r="K1255" cm="1">
        <f t="array" ref="K1255">IFERROR(IF(K1235="Chemical",(10^(INDEX(Antoines,MATCH(K1234,Antoine_Name,0),2)-INDEX(Antoines,MATCH(K1234,Antoine_Name,0),3)/(INDEX(Antoines,MATCH(K1234,Antoine_Name,0),4)+(K1242-32)*5/9)))*14.7/760,IF(K1235="Crude Oil",EXP((2799/(K1242+459.6)-2.227)*LOG10(INDEX(FX_Input,X$5,K$3*$Z$5+$AA$5))-(7261/(K1242+459.6))+12.82),IF(K1235="Refined Petroleum Stock",EXP((0.7553-(413/(K1242+459.6)))*(INDEX(FX_Input,X$5,K$3*$Z$5+$AA$5-1)^0.5)*LOG10(INDEX(FX_Input,X$5,K$3*$Z$5+$AA$5))-(1.854-(1042/(K1242+459.6)))*(INDEX(FX_Input,X$5,K$3*$Z$5+$AA$5-1)^0.5)+((2416/(K1242+459.6)-2.013)*LOG10(INDEX(FX_Input,X$5,K$3*$Z$5+$AA$5)))-(8742/(K1242+459.6))+15.64),EXP(INDEX(Antoines,MATCH(K1234,Antoine_Name,0),2)-INDEX(Antoines,MATCH(K1234,Antoine_Name,0),3)/(K1242+459.6))))),0)</f>
        <v>0</v>
      </c>
      <c r="L1255" cm="1">
        <f t="array" ref="L1255">IFERROR(IF(L1235="Chemical",(10^(INDEX(Antoines,MATCH(L1234,Antoine_Name,0),2)-INDEX(Antoines,MATCH(L1234,Antoine_Name,0),3)/(INDEX(Antoines,MATCH(L1234,Antoine_Name,0),4)+(L1242-32)*5/9)))*14.7/760,IF(L1235="Crude Oil",EXP((2799/(L1242+459.6)-2.227)*LOG10(INDEX(FX_Input,Y$5,L$3*$Z$5+$AA$5))-(7261/(L1242+459.6))+12.82),IF(L1235="Refined Petroleum Stock",EXP((0.7553-(413/(L1242+459.6)))*(INDEX(FX_Input,Y$5,L$3*$Z$5+$AA$5-1)^0.5)*LOG10(INDEX(FX_Input,Y$5,L$3*$Z$5+$AA$5))-(1.854-(1042/(L1242+459.6)))*(INDEX(FX_Input,Y$5,L$3*$Z$5+$AA$5-1)^0.5)+((2416/(L1242+459.6)-2.013)*LOG10(INDEX(FX_Input,Y$5,L$3*$Z$5+$AA$5)))-(8742/(L1242+459.6))+15.64),EXP(INDEX(Antoines,MATCH(L1234,Antoine_Name,0),2)-INDEX(Antoines,MATCH(L1234,Antoine_Name,0),3)/(L1242+459.6))))),0)</f>
        <v>0</v>
      </c>
      <c r="M1255" cm="1">
        <f t="array" ref="M1255">IFERROR(IF(M1235="Chemical",(10^(INDEX(Antoines,MATCH(M1234,Antoine_Name,0),2)-INDEX(Antoines,MATCH(M1234,Antoine_Name,0),3)/(INDEX(Antoines,MATCH(M1234,Antoine_Name,0),4)+(M1242-32)*5/9)))*14.7/760,IF(M1235="Crude Oil",EXP((2799/(M1242+459.6)-2.227)*LOG10(INDEX(FX_Input,Z$5,M$3*$Z$5+$AA$5))-(7261/(M1242+459.6))+12.82),IF(M1235="Refined Petroleum Stock",EXP((0.7553-(413/(M1242+459.6)))*(INDEX(FX_Input,Z$5,M$3*$Z$5+$AA$5-1)^0.5)*LOG10(INDEX(FX_Input,Z$5,M$3*$Z$5+$AA$5))-(1.854-(1042/(M1242+459.6)))*(INDEX(FX_Input,Z$5,M$3*$Z$5+$AA$5-1)^0.5)+((2416/(M1242+459.6)-2.013)*LOG10(INDEX(FX_Input,Z$5,M$3*$Z$5+$AA$5)))-(8742/(M1242+459.6))+15.64),EXP(INDEX(Antoines,MATCH(M1234,Antoine_Name,0),2)-INDEX(Antoines,MATCH(M1234,Antoine_Name,0),3)/(M1242+459.6))))),0)</f>
        <v>0</v>
      </c>
      <c r="N1255" cm="1">
        <f t="array" ref="N1255">IFERROR(IF(N1235="Chemical",(10^(INDEX(Antoines,MATCH(N1234,Antoine_Name,0),2)-INDEX(Antoines,MATCH(N1234,Antoine_Name,0),3)/(INDEX(Antoines,MATCH(N1234,Antoine_Name,0),4)+(N1242-32)*5/9)))*14.7/760,IF(N1235="Crude Oil",EXP((2799/(N1242+459.6)-2.227)*LOG10(INDEX(FX_Input,AA$5,N$3*$Z$5+$AA$5))-(7261/(N1242+459.6))+12.82),IF(N1235="Refined Petroleum Stock",EXP((0.7553-(413/(N1242+459.6)))*(INDEX(FX_Input,AA$5,N$3*$Z$5+$AA$5-1)^0.5)*LOG10(INDEX(FX_Input,AA$5,N$3*$Z$5+$AA$5))-(1.854-(1042/(N1242+459.6)))*(INDEX(FX_Input,AA$5,N$3*$Z$5+$AA$5-1)^0.5)+((2416/(N1242+459.6)-2.013)*LOG10(INDEX(FX_Input,AA$5,N$3*$Z$5+$AA$5)))-(8742/(N1242+459.6))+15.64),EXP(INDEX(Antoines,MATCH(N1234,Antoine_Name,0),2)-INDEX(Antoines,MATCH(N1234,Antoine_Name,0),3)/(N1242+459.6))))),0)</f>
        <v>0</v>
      </c>
      <c r="O1255" cm="1">
        <f t="array" ref="O1255">IFERROR(IF(O1235="Chemical",(10^(INDEX(Antoines,MATCH(O1234,Antoine_Name,0),2)-INDEX(Antoines,MATCH(O1234,Antoine_Name,0),3)/(INDEX(Antoines,MATCH(O1234,Antoine_Name,0),4)+(O1242-32)*5/9)))*14.7/760,IF(O1235="Crude Oil",EXP((2799/(O1242+459.6)-2.227)*LOG10(INDEX(FX_Input,AB$5,O$3*$Z$5+$AA$5))-(7261/(O1242+459.6))+12.82),IF(O1235="Refined Petroleum Stock",EXP((0.7553-(413/(O1242+459.6)))*(INDEX(FX_Input,AB$5,O$3*$Z$5+$AA$5-1)^0.5)*LOG10(INDEX(FX_Input,AB$5,O$3*$Z$5+$AA$5))-(1.854-(1042/(O1242+459.6)))*(INDEX(FX_Input,AB$5,O$3*$Z$5+$AA$5-1)^0.5)+((2416/(O1242+459.6)-2.013)*LOG10(INDEX(FX_Input,AB$5,O$3*$Z$5+$AA$5)))-(8742/(O1242+459.6))+15.64),EXP(INDEX(Antoines,MATCH(O1234,Antoine_Name,0),2)-INDEX(Antoines,MATCH(O1234,Antoine_Name,0),3)/(O1242+459.6))))),0)</f>
        <v>0</v>
      </c>
    </row>
    <row r="1256" spans="1:32" ht="17.149999999999999" x14ac:dyDescent="0.55000000000000004">
      <c r="B1256" t="str">
        <f t="shared" si="4500"/>
        <v>Portland</v>
      </c>
      <c r="C1256" t="s">
        <v>1391</v>
      </c>
      <c r="D1256">
        <f>D1255*D1238</f>
        <v>0</v>
      </c>
      <c r="E1256">
        <f t="shared" ref="E1256" si="4578">E1255*E1238</f>
        <v>0</v>
      </c>
      <c r="F1256">
        <f t="shared" ref="F1256" si="4579">F1255*F1238</f>
        <v>0</v>
      </c>
      <c r="G1256">
        <f t="shared" ref="G1256" si="4580">G1255*G1238</f>
        <v>0</v>
      </c>
      <c r="H1256">
        <f t="shared" ref="H1256" si="4581">H1255*H1238</f>
        <v>0</v>
      </c>
      <c r="I1256">
        <f t="shared" ref="I1256" si="4582">I1255*I1238</f>
        <v>0</v>
      </c>
      <c r="J1256">
        <f t="shared" ref="J1256" si="4583">J1255*J1238</f>
        <v>0</v>
      </c>
      <c r="K1256">
        <f t="shared" ref="K1256" si="4584">K1255*K1238</f>
        <v>0</v>
      </c>
      <c r="L1256">
        <f t="shared" ref="L1256" si="4585">L1255*L1238</f>
        <v>0</v>
      </c>
      <c r="M1256">
        <f t="shared" ref="M1256" si="4586">M1255*M1238</f>
        <v>0</v>
      </c>
      <c r="N1256">
        <f t="shared" ref="N1256" si="4587">N1255*N1238</f>
        <v>0</v>
      </c>
      <c r="O1256">
        <f t="shared" ref="O1256" si="4588">O1255*O1238</f>
        <v>0</v>
      </c>
    </row>
    <row r="1257" spans="1:32" ht="17.149999999999999" x14ac:dyDescent="0.55000000000000004">
      <c r="B1257" t="str">
        <f t="shared" si="4500"/>
        <v>Portland</v>
      </c>
      <c r="C1257" t="s">
        <v>1392</v>
      </c>
      <c r="D1257">
        <f>D1254+D1256</f>
        <v>1</v>
      </c>
      <c r="E1257">
        <f t="shared" ref="E1257" si="4589">E1254+E1256</f>
        <v>1</v>
      </c>
      <c r="F1257">
        <f t="shared" ref="F1257" si="4590">F1254+F1256</f>
        <v>1</v>
      </c>
      <c r="G1257">
        <f t="shared" ref="G1257" si="4591">G1254+G1256</f>
        <v>1</v>
      </c>
      <c r="H1257">
        <f t="shared" ref="H1257" si="4592">H1254+H1256</f>
        <v>1</v>
      </c>
      <c r="I1257">
        <f t="shared" ref="I1257" si="4593">I1254+I1256</f>
        <v>1</v>
      </c>
      <c r="J1257">
        <f t="shared" ref="J1257" si="4594">J1254+J1256</f>
        <v>1</v>
      </c>
      <c r="K1257">
        <f t="shared" ref="K1257" si="4595">K1254+K1256</f>
        <v>1</v>
      </c>
      <c r="L1257">
        <f t="shared" ref="L1257" si="4596">L1254+L1256</f>
        <v>1</v>
      </c>
      <c r="M1257">
        <f t="shared" ref="M1257" si="4597">M1254+M1256</f>
        <v>1</v>
      </c>
      <c r="N1257">
        <f t="shared" ref="N1257" si="4598">N1254+N1256</f>
        <v>1</v>
      </c>
      <c r="O1257">
        <f t="shared" ref="O1257" si="4599">O1254+O1256</f>
        <v>1</v>
      </c>
    </row>
    <row r="1258" spans="1:32" ht="17.149999999999999" x14ac:dyDescent="0.55000000000000004">
      <c r="B1258" t="str">
        <f>B1252</f>
        <v>Portland</v>
      </c>
      <c r="C1258" t="s">
        <v>584</v>
      </c>
      <c r="D1258">
        <f>D1254/D1257</f>
        <v>1</v>
      </c>
      <c r="E1258">
        <f t="shared" ref="E1258" si="4600">E1254/E1257</f>
        <v>1</v>
      </c>
      <c r="F1258">
        <f t="shared" ref="F1258" si="4601">F1254/F1257</f>
        <v>1</v>
      </c>
      <c r="G1258">
        <f t="shared" ref="G1258" si="4602">G1254/G1257</f>
        <v>1</v>
      </c>
      <c r="H1258">
        <f t="shared" ref="H1258" si="4603">H1254/H1257</f>
        <v>1</v>
      </c>
      <c r="I1258">
        <f t="shared" ref="I1258" si="4604">I1254/I1257</f>
        <v>1</v>
      </c>
      <c r="J1258">
        <f t="shared" ref="J1258" si="4605">J1254/J1257</f>
        <v>1</v>
      </c>
      <c r="K1258">
        <f t="shared" ref="K1258" si="4606">K1254/K1257</f>
        <v>1</v>
      </c>
      <c r="L1258">
        <f t="shared" ref="L1258" si="4607">L1254/L1257</f>
        <v>1</v>
      </c>
      <c r="M1258">
        <f t="shared" ref="M1258" si="4608">M1254/M1257</f>
        <v>1</v>
      </c>
      <c r="N1258">
        <f t="shared" ref="N1258" si="4609">N1254/N1257</f>
        <v>1</v>
      </c>
      <c r="O1258">
        <f t="shared" ref="O1258" si="4610">O1254/O1257</f>
        <v>1</v>
      </c>
    </row>
    <row r="1259" spans="1:32" ht="17.149999999999999" x14ac:dyDescent="0.55000000000000004">
      <c r="B1259" t="str">
        <f>B1253</f>
        <v>Portland</v>
      </c>
      <c r="C1259" t="s">
        <v>585</v>
      </c>
      <c r="D1259" t="str">
        <f t="shared" ref="D1259:O1259" si="4611">INDEX(Phys_Prop,MATCH(D1232,Chem_List,0),3)</f>
        <v>N/A</v>
      </c>
      <c r="E1259" t="str">
        <f t="shared" si="4611"/>
        <v>N/A</v>
      </c>
      <c r="F1259" t="str">
        <f t="shared" si="4611"/>
        <v>N/A</v>
      </c>
      <c r="G1259" t="str">
        <f t="shared" si="4611"/>
        <v>N/A</v>
      </c>
      <c r="H1259" t="str">
        <f t="shared" si="4611"/>
        <v>N/A</v>
      </c>
      <c r="I1259" t="str">
        <f t="shared" si="4611"/>
        <v>N/A</v>
      </c>
      <c r="J1259" t="str">
        <f t="shared" si="4611"/>
        <v>N/A</v>
      </c>
      <c r="K1259" t="str">
        <f t="shared" si="4611"/>
        <v>N/A</v>
      </c>
      <c r="L1259" t="str">
        <f t="shared" si="4611"/>
        <v>N/A</v>
      </c>
      <c r="M1259" t="str">
        <f t="shared" si="4611"/>
        <v>N/A</v>
      </c>
      <c r="N1259" t="str">
        <f t="shared" si="4611"/>
        <v>N/A</v>
      </c>
      <c r="O1259" t="str">
        <f t="shared" si="4611"/>
        <v>N/A</v>
      </c>
    </row>
    <row r="1260" spans="1:32" ht="17.149999999999999" x14ac:dyDescent="0.55000000000000004">
      <c r="B1260" t="str">
        <f>B1259</f>
        <v>Portland</v>
      </c>
      <c r="C1260" t="s">
        <v>586</v>
      </c>
      <c r="D1260">
        <f>D1256/D1257</f>
        <v>0</v>
      </c>
      <c r="E1260">
        <f t="shared" ref="E1260:O1260" si="4612">E1256/E1257</f>
        <v>0</v>
      </c>
      <c r="F1260">
        <f t="shared" si="4612"/>
        <v>0</v>
      </c>
      <c r="G1260">
        <f t="shared" si="4612"/>
        <v>0</v>
      </c>
      <c r="H1260">
        <f t="shared" si="4612"/>
        <v>0</v>
      </c>
      <c r="I1260">
        <f t="shared" si="4612"/>
        <v>0</v>
      </c>
      <c r="J1260">
        <f t="shared" si="4612"/>
        <v>0</v>
      </c>
      <c r="K1260">
        <f t="shared" si="4612"/>
        <v>0</v>
      </c>
      <c r="L1260">
        <f t="shared" si="4612"/>
        <v>0</v>
      </c>
      <c r="M1260">
        <f t="shared" si="4612"/>
        <v>0</v>
      </c>
      <c r="N1260">
        <f t="shared" si="4612"/>
        <v>0</v>
      </c>
      <c r="O1260">
        <f t="shared" si="4612"/>
        <v>0</v>
      </c>
    </row>
    <row r="1261" spans="1:32" ht="17.149999999999999" x14ac:dyDescent="0.55000000000000004">
      <c r="B1261" t="str">
        <f t="shared" si="4500"/>
        <v>Portland</v>
      </c>
      <c r="C1261" t="s">
        <v>587</v>
      </c>
      <c r="D1261">
        <f t="shared" ref="D1261:O1261" si="4613">IFERROR(INDEX(Phys_Prop,MATCH(D1234,Chem_List,0),3),0)</f>
        <v>0</v>
      </c>
      <c r="E1261">
        <f t="shared" si="4613"/>
        <v>0</v>
      </c>
      <c r="F1261">
        <f t="shared" si="4613"/>
        <v>0</v>
      </c>
      <c r="G1261">
        <f t="shared" si="4613"/>
        <v>0</v>
      </c>
      <c r="H1261">
        <f t="shared" si="4613"/>
        <v>0</v>
      </c>
      <c r="I1261">
        <f t="shared" si="4613"/>
        <v>0</v>
      </c>
      <c r="J1261">
        <f t="shared" si="4613"/>
        <v>0</v>
      </c>
      <c r="K1261">
        <f t="shared" si="4613"/>
        <v>0</v>
      </c>
      <c r="L1261">
        <f t="shared" si="4613"/>
        <v>0</v>
      </c>
      <c r="M1261">
        <f t="shared" si="4613"/>
        <v>0</v>
      </c>
      <c r="N1261">
        <f t="shared" si="4613"/>
        <v>0</v>
      </c>
      <c r="O1261">
        <f t="shared" si="4613"/>
        <v>0</v>
      </c>
    </row>
    <row r="1262" spans="1:32" ht="17.149999999999999" x14ac:dyDescent="0.55000000000000004">
      <c r="A1262" s="11"/>
      <c r="B1262" s="11" t="str">
        <f t="shared" si="4500"/>
        <v>Portland</v>
      </c>
      <c r="C1262" s="11" t="s">
        <v>588</v>
      </c>
      <c r="D1262" s="11">
        <f>IFERROR(D1258*D1259+D1260*D1261,0)</f>
        <v>0</v>
      </c>
      <c r="E1262" s="11">
        <f t="shared" ref="E1262" si="4614">IFERROR(E1258*E1259+E1260*E1261,0)</f>
        <v>0</v>
      </c>
      <c r="F1262" s="11">
        <f t="shared" ref="F1262" si="4615">IFERROR(F1258*F1259+F1260*F1261,0)</f>
        <v>0</v>
      </c>
      <c r="G1262" s="11">
        <f t="shared" ref="G1262" si="4616">IFERROR(G1258*G1259+G1260*G1261,0)</f>
        <v>0</v>
      </c>
      <c r="H1262" s="11">
        <f t="shared" ref="H1262" si="4617">IFERROR(H1258*H1259+H1260*H1261,0)</f>
        <v>0</v>
      </c>
      <c r="I1262" s="11">
        <f t="shared" ref="I1262" si="4618">IFERROR(I1258*I1259+I1260*I1261,0)</f>
        <v>0</v>
      </c>
      <c r="J1262" s="11">
        <f t="shared" ref="J1262" si="4619">IFERROR(J1258*J1259+J1260*J1261,0)</f>
        <v>0</v>
      </c>
      <c r="K1262" s="11">
        <f t="shared" ref="K1262" si="4620">IFERROR(K1258*K1259+K1260*K1261,0)</f>
        <v>0</v>
      </c>
      <c r="L1262" s="11">
        <f t="shared" ref="L1262" si="4621">IFERROR(L1258*L1259+L1260*L1261,0)</f>
        <v>0</v>
      </c>
      <c r="M1262" s="11">
        <f t="shared" ref="M1262" si="4622">IFERROR(M1258*M1259+M1260*M1261,0)</f>
        <v>0</v>
      </c>
      <c r="N1262" s="11">
        <f t="shared" ref="N1262" si="4623">IFERROR(N1258*N1259+N1260*N1261,0)</f>
        <v>0</v>
      </c>
      <c r="O1262" s="11">
        <f t="shared" ref="O1262" si="4624">IFERROR(O1258*O1259+O1260*O1261,0)</f>
        <v>0</v>
      </c>
      <c r="P1262" s="11"/>
      <c r="Q1262" s="11"/>
      <c r="R1262" s="11"/>
      <c r="S1262" s="11"/>
      <c r="T1262" s="11"/>
      <c r="U1262" s="11"/>
      <c r="V1262" s="11"/>
      <c r="W1262" s="11"/>
      <c r="X1262" s="11"/>
      <c r="Y1262" s="11"/>
      <c r="Z1262" s="11"/>
      <c r="AA1262" s="11"/>
      <c r="AB1262" s="11"/>
      <c r="AC1262" s="11"/>
      <c r="AD1262" s="11"/>
      <c r="AE1262" s="11"/>
      <c r="AF1262" s="11"/>
    </row>
    <row r="1263" spans="1:32" ht="17.149999999999999" x14ac:dyDescent="0.55000000000000004">
      <c r="A1263" t="str" cm="1">
        <f t="array" ref="A1263">INDEX(FX_Input,$Q1263,R$5)</f>
        <v>FX - 38</v>
      </c>
      <c r="B1263" t="str" cm="1">
        <f t="array" ref="B1263">INDEX(FX_Input,Q1263,S1263)</f>
        <v>Portland</v>
      </c>
      <c r="C1263" t="s">
        <v>563</v>
      </c>
      <c r="D1263">
        <v>14.7</v>
      </c>
      <c r="E1263">
        <v>14.7</v>
      </c>
      <c r="F1263">
        <v>14.7</v>
      </c>
      <c r="G1263">
        <v>14.7</v>
      </c>
      <c r="H1263">
        <v>14.7</v>
      </c>
      <c r="I1263">
        <v>14.7</v>
      </c>
      <c r="J1263">
        <v>14.7</v>
      </c>
      <c r="K1263">
        <v>14.7</v>
      </c>
      <c r="L1263">
        <v>14.7</v>
      </c>
      <c r="M1263">
        <v>14.7</v>
      </c>
      <c r="N1263">
        <v>14.7</v>
      </c>
      <c r="O1263">
        <v>14.7</v>
      </c>
      <c r="Q1263">
        <f>Q1229+2</f>
        <v>75</v>
      </c>
      <c r="R1263">
        <v>1</v>
      </c>
      <c r="S1263">
        <v>3</v>
      </c>
      <c r="T1263">
        <v>1</v>
      </c>
      <c r="U1263">
        <v>19</v>
      </c>
      <c r="V1263">
        <v>20</v>
      </c>
      <c r="W1263">
        <v>25</v>
      </c>
      <c r="X1263">
        <v>1</v>
      </c>
      <c r="Y1263">
        <v>2</v>
      </c>
      <c r="Z1263">
        <f>(W1263-V1263)/(Y1263-X1263)</f>
        <v>5</v>
      </c>
      <c r="AA1263">
        <f>V1263-Z1263*X1263</f>
        <v>15</v>
      </c>
      <c r="AD1263">
        <f>AD1229+14</f>
        <v>519</v>
      </c>
      <c r="AF1263">
        <f>AF1229+14</f>
        <v>519</v>
      </c>
    </row>
    <row r="1264" spans="1:32" ht="17.149999999999999" x14ac:dyDescent="0.55000000000000004">
      <c r="B1264" t="str">
        <f t="shared" ref="B1264" si="4625">B1263</f>
        <v>Portland</v>
      </c>
      <c r="C1264" t="s">
        <v>564</v>
      </c>
      <c r="D1264" cm="1">
        <f t="array" ref="D1264">IF(ISBLANK(INDEX(FX_Input,$Q1263,$AB1264)),0.03,INDEX(FX_Input,Q1263,AB1264))</f>
        <v>0.03</v>
      </c>
      <c r="E1264" cm="1">
        <f t="array" ref="E1264">IF(ISBLANK(INDEX(FX_Input,$Q1263,$AB1264)),0.03,INDEX(FX_Input,R1263,#REF!))</f>
        <v>0.03</v>
      </c>
      <c r="F1264" cm="1">
        <f t="array" ref="F1264">IF(ISBLANK(INDEX(FX_Input,$Q1263,$AB1264)),0.03,INDEX(FX_Input,S1263,#REF!))</f>
        <v>0.03</v>
      </c>
      <c r="G1264" cm="1">
        <f t="array" ref="G1264">IF(ISBLANK(INDEX(FX_Input,$Q1263,$AB1264)),0.03,INDEX(FX_Input,AB1263,#REF!))</f>
        <v>0.03</v>
      </c>
      <c r="H1264" cm="1">
        <f t="array" ref="H1264">IF(ISBLANK(INDEX(FX_Input,$Q1263,$AB1264)),0.03,INDEX(FX_Input,#REF!,#REF!))</f>
        <v>0.03</v>
      </c>
      <c r="I1264" cm="1">
        <f t="array" ref="I1264">IF(ISBLANK(INDEX(FX_Input,$Q1263,$AB1264)),0.03,INDEX(FX_Input,#REF!,#REF!))</f>
        <v>0.03</v>
      </c>
      <c r="J1264" cm="1">
        <f t="array" ref="J1264">IF(ISBLANK(INDEX(FX_Input,$Q1263,$AB1264)),0.03,INDEX(FX_Input,#REF!,#REF!))</f>
        <v>0.03</v>
      </c>
      <c r="K1264" cm="1">
        <f t="array" ref="K1264">IF(ISBLANK(INDEX(FX_Input,$Q1263,$AB1264)),0.03,INDEX(FX_Input,#REF!,AC1264))</f>
        <v>0.03</v>
      </c>
      <c r="L1264" cm="1">
        <f t="array" ref="L1264">IF(ISBLANK(INDEX(FX_Input,$Q1263,$AB1264)),0.03,INDEX(FX_Input,#REF!,AD1264))</f>
        <v>0.03</v>
      </c>
      <c r="M1264" cm="1">
        <f t="array" ref="M1264">IF(ISBLANK(INDEX(FX_Input,$Q1263,$AB1264)),0.03,INDEX(FX_Input,#REF!,#REF!))</f>
        <v>0.03</v>
      </c>
      <c r="N1264" cm="1">
        <f t="array" ref="N1264">IF(ISBLANK(INDEX(FX_Input,$Q1263,$AB1264)),0.03,INDEX(FX_Input,AC1263,#REF!))</f>
        <v>0.03</v>
      </c>
      <c r="O1264" cm="1">
        <f t="array" ref="O1264">IF(ISBLANK(INDEX(FX_Input,$Q1263,$AB1264)),0.03,INDEX(FX_Input,AD1263,#REF!))</f>
        <v>0.03</v>
      </c>
      <c r="AB1264">
        <v>15</v>
      </c>
    </row>
    <row r="1265" spans="2:32" ht="17.149999999999999" x14ac:dyDescent="0.55000000000000004">
      <c r="B1265" t="str">
        <f>B1264</f>
        <v>Portland</v>
      </c>
      <c r="C1265" t="s">
        <v>565</v>
      </c>
      <c r="D1265" cm="1">
        <f t="array" ref="D1265">IF(ISBLANK(INDEX(FX_Input,$Q1263,$AB1265)),-0.03,INDEX(FX_Input,Q1263,AB1265))</f>
        <v>-0.03</v>
      </c>
      <c r="E1265" cm="1">
        <f t="array" ref="E1265">IF(ISBLANK(INDEX(FX_Input,$Q1263,$AB1265)),-0.03,INDEX(FX_Input,R1263,#REF!))</f>
        <v>-0.03</v>
      </c>
      <c r="F1265" cm="1">
        <f t="array" ref="F1265">IF(ISBLANK(INDEX(FX_Input,$Q1263,$AB1265)),-0.03,INDEX(FX_Input,S1263,#REF!))</f>
        <v>-0.03</v>
      </c>
      <c r="G1265" cm="1">
        <f t="array" ref="G1265">IF(ISBLANK(INDEX(FX_Input,$Q1263,$AB1265)),-0.03,INDEX(FX_Input,AB1263,#REF!))</f>
        <v>-0.03</v>
      </c>
      <c r="H1265" cm="1">
        <f t="array" ref="H1265">IF(ISBLANK(INDEX(FX_Input,$Q1263,$AB1265)),-0.03,INDEX(FX_Input,#REF!,#REF!))</f>
        <v>-0.03</v>
      </c>
      <c r="I1265" cm="1">
        <f t="array" ref="I1265">IF(ISBLANK(INDEX(FX_Input,$Q1263,$AB1265)),-0.03,INDEX(FX_Input,#REF!,#REF!))</f>
        <v>-0.03</v>
      </c>
      <c r="J1265" cm="1">
        <f t="array" ref="J1265">IF(ISBLANK(INDEX(FX_Input,$Q1263,$AB1265)),-0.03,INDEX(FX_Input,#REF!,#REF!))</f>
        <v>-0.03</v>
      </c>
      <c r="K1265" cm="1">
        <f t="array" ref="K1265">IF(ISBLANK(INDEX(FX_Input,$Q1263,$AB1265)),-0.03,INDEX(FX_Input,#REF!,AC1265))</f>
        <v>-0.03</v>
      </c>
      <c r="L1265" cm="1">
        <f t="array" ref="L1265">IF(ISBLANK(INDEX(FX_Input,$Q1263,$AB1265)),-0.03,INDEX(FX_Input,#REF!,AD1265))</f>
        <v>-0.03</v>
      </c>
      <c r="M1265" cm="1">
        <f t="array" ref="M1265">IF(ISBLANK(INDEX(FX_Input,$Q1263,$AB1265)),-0.03,INDEX(FX_Input,#REF!,#REF!))</f>
        <v>-0.03</v>
      </c>
      <c r="N1265" cm="1">
        <f t="array" ref="N1265">IF(ISBLANK(INDEX(FX_Input,$Q1263,$AB1265)),-0.03,INDEX(FX_Input,AC1263,#REF!))</f>
        <v>-0.03</v>
      </c>
      <c r="O1265" cm="1">
        <f t="array" ref="O1265">IF(ISBLANK(INDEX(FX_Input,$Q1263,$AB1265)),-0.03,INDEX(FX_Input,AD1263,#REF!))</f>
        <v>-0.03</v>
      </c>
      <c r="AB1265">
        <v>16</v>
      </c>
    </row>
    <row r="1266" spans="2:32" x14ac:dyDescent="0.4">
      <c r="B1266" t="str">
        <f t="shared" ref="B1266:B1267" si="4626">B1265</f>
        <v>Portland</v>
      </c>
      <c r="C1266" s="66" t="s">
        <v>567</v>
      </c>
      <c r="D1266" t="str" cm="1">
        <f t="array" ref="D1266">INDEX(FX_Multi,$AD1266,D$3)</f>
        <v>Jet kerosene</v>
      </c>
      <c r="E1266" t="str" cm="1">
        <f t="array" ref="E1266">INDEX(FX_Multi,$AD1266,E$3)</f>
        <v>Jet kerosene</v>
      </c>
      <c r="F1266" t="str" cm="1">
        <f t="array" ref="F1266">INDEX(FX_Multi,$AD1266,F$3)</f>
        <v>Jet kerosene</v>
      </c>
      <c r="G1266" t="str" cm="1">
        <f t="array" ref="G1266">INDEX(FX_Multi,$AD1266,G$3)</f>
        <v>Jet kerosene</v>
      </c>
      <c r="H1266" t="str" cm="1">
        <f t="array" ref="H1266">INDEX(FX_Multi,$AD1266,H$3)</f>
        <v>Jet kerosene</v>
      </c>
      <c r="I1266" t="str" cm="1">
        <f t="array" ref="I1266">INDEX(FX_Multi,$AD1266,I$3)</f>
        <v>Jet kerosene</v>
      </c>
      <c r="J1266" t="str" cm="1">
        <f t="array" ref="J1266">INDEX(FX_Multi,$AD1266,J$3)</f>
        <v>Jet kerosene</v>
      </c>
      <c r="K1266" t="str" cm="1">
        <f t="array" ref="K1266">INDEX(FX_Multi,$AD1266,K$3)</f>
        <v>Jet kerosene</v>
      </c>
      <c r="L1266" t="str" cm="1">
        <f t="array" ref="L1266">INDEX(FX_Multi,$AD1266,L$3)</f>
        <v>Jet kerosene</v>
      </c>
      <c r="M1266" t="str" cm="1">
        <f t="array" ref="M1266">INDEX(FX_Multi,$AD1266,M$3)</f>
        <v>Jet kerosene</v>
      </c>
      <c r="N1266" t="str" cm="1">
        <f t="array" ref="N1266">INDEX(FX_Multi,$AD1266,N$3)</f>
        <v>Jet kerosene</v>
      </c>
      <c r="O1266" t="str" cm="1">
        <f t="array" ref="O1266">INDEX(FX_Multi,$AD1266,O$3)</f>
        <v>Jet kerosene</v>
      </c>
      <c r="AC1266">
        <v>1</v>
      </c>
      <c r="AD1266">
        <f>AD1263</f>
        <v>519</v>
      </c>
      <c r="AE1266">
        <v>1</v>
      </c>
      <c r="AF1266">
        <f>AF1263</f>
        <v>519</v>
      </c>
    </row>
    <row r="1267" spans="2:32" x14ac:dyDescent="0.4">
      <c r="B1267" t="str">
        <f t="shared" si="4626"/>
        <v>Portland</v>
      </c>
      <c r="C1267" s="66" t="s">
        <v>566</v>
      </c>
      <c r="D1267" t="str" cm="1">
        <f t="array" ref="D1267">INDEX(FX_Multi,$AD1267,D$3)</f>
        <v>Select Pet Stock</v>
      </c>
      <c r="E1267" t="str" cm="1">
        <f t="array" ref="E1267">INDEX(FX_Multi,$AD1267,E$3)</f>
        <v>Select Pet Stock</v>
      </c>
      <c r="F1267" t="str" cm="1">
        <f t="array" ref="F1267">INDEX(FX_Multi,$AD1267,F$3)</f>
        <v>Select Pet Stock</v>
      </c>
      <c r="G1267" t="str" cm="1">
        <f t="array" ref="G1267">INDEX(FX_Multi,$AD1267,G$3)</f>
        <v>Select Pet Stock</v>
      </c>
      <c r="H1267" t="str" cm="1">
        <f t="array" ref="H1267">INDEX(FX_Multi,$AD1267,H$3)</f>
        <v>Select Pet Stock</v>
      </c>
      <c r="I1267" t="str" cm="1">
        <f t="array" ref="I1267">INDEX(FX_Multi,$AD1267,I$3)</f>
        <v>Select Pet Stock</v>
      </c>
      <c r="J1267" t="str" cm="1">
        <f t="array" ref="J1267">INDEX(FX_Multi,$AD1267,J$3)</f>
        <v>Select Pet Stock</v>
      </c>
      <c r="K1267" t="str" cm="1">
        <f t="array" ref="K1267">INDEX(FX_Multi,$AD1267,K$3)</f>
        <v>Select Pet Stock</v>
      </c>
      <c r="L1267" t="str" cm="1">
        <f t="array" ref="L1267">INDEX(FX_Multi,$AD1267,L$3)</f>
        <v>Select Pet Stock</v>
      </c>
      <c r="M1267" t="str" cm="1">
        <f t="array" ref="M1267">INDEX(FX_Multi,$AD1267,M$3)</f>
        <v>Select Pet Stock</v>
      </c>
      <c r="N1267" t="str" cm="1">
        <f t="array" ref="N1267">INDEX(FX_Multi,$AD1267,N$3)</f>
        <v>Select Pet Stock</v>
      </c>
      <c r="O1267" t="str" cm="1">
        <f t="array" ref="O1267">INDEX(FX_Multi,$AD1267,O$3)</f>
        <v>Select Pet Stock</v>
      </c>
      <c r="AC1267">
        <v>1</v>
      </c>
      <c r="AD1267">
        <f>AD1266+2</f>
        <v>521</v>
      </c>
      <c r="AE1267">
        <v>1</v>
      </c>
      <c r="AF1267">
        <f>AF1266+3</f>
        <v>522</v>
      </c>
    </row>
    <row r="1268" spans="2:32" x14ac:dyDescent="0.4">
      <c r="B1268" t="str">
        <f>B1264</f>
        <v>Portland</v>
      </c>
      <c r="C1268" s="66" t="s">
        <v>568</v>
      </c>
      <c r="D1268" cm="1">
        <f t="array" ref="D1268">INDEX(FX_Multi,$AD1268,D$3)</f>
        <v>0</v>
      </c>
      <c r="E1268" cm="1">
        <f t="array" ref="E1268">INDEX(FX_Multi,$AD1268,E$3)</f>
        <v>0</v>
      </c>
      <c r="F1268" cm="1">
        <f t="array" ref="F1268">INDEX(FX_Multi,$AD1268,F$3)</f>
        <v>0</v>
      </c>
      <c r="G1268" cm="1">
        <f t="array" ref="G1268">INDEX(FX_Multi,$AD1268,G$3)</f>
        <v>0</v>
      </c>
      <c r="H1268" cm="1">
        <f t="array" ref="H1268">INDEX(FX_Multi,$AD1268,H$3)</f>
        <v>0</v>
      </c>
      <c r="I1268" cm="1">
        <f t="array" ref="I1268">INDEX(FX_Multi,$AD1268,I$3)</f>
        <v>0</v>
      </c>
      <c r="J1268" cm="1">
        <f t="array" ref="J1268">INDEX(FX_Multi,$AD1268,J$3)</f>
        <v>0</v>
      </c>
      <c r="K1268" cm="1">
        <f t="array" ref="K1268">INDEX(FX_Multi,$AD1268,K$3)</f>
        <v>0</v>
      </c>
      <c r="L1268" cm="1">
        <f t="array" ref="L1268">INDEX(FX_Multi,$AD1268,L$3)</f>
        <v>0</v>
      </c>
      <c r="M1268" cm="1">
        <f t="array" ref="M1268">INDEX(FX_Multi,$AD1268,M$3)</f>
        <v>0</v>
      </c>
      <c r="N1268" cm="1">
        <f t="array" ref="N1268">INDEX(FX_Multi,$AD1268,N$3)</f>
        <v>0</v>
      </c>
      <c r="O1268" cm="1">
        <f t="array" ref="O1268">INDEX(FX_Multi,$AD1268,O$3)</f>
        <v>0</v>
      </c>
      <c r="AC1268">
        <v>1</v>
      </c>
      <c r="AD1268">
        <f>AD1267-1</f>
        <v>520</v>
      </c>
      <c r="AE1268">
        <v>1</v>
      </c>
      <c r="AF1268">
        <f>AF1266+1</f>
        <v>520</v>
      </c>
    </row>
    <row r="1269" spans="2:32" x14ac:dyDescent="0.4">
      <c r="B1269" t="str">
        <f t="shared" ref="B1269:B1273" si="4627">B1268</f>
        <v>Portland</v>
      </c>
      <c r="C1269" s="66" t="s">
        <v>569</v>
      </c>
      <c r="D1269" cm="1">
        <f t="array" ref="D1269">INDEX(FX_Multi,$AD1269,D$3)</f>
        <v>0</v>
      </c>
      <c r="E1269" cm="1">
        <f t="array" ref="E1269">INDEX(FX_Multi,$AD1269,E$3)</f>
        <v>0</v>
      </c>
      <c r="F1269" cm="1">
        <f t="array" ref="F1269">INDEX(FX_Multi,$AD1269,F$3)</f>
        <v>0</v>
      </c>
      <c r="G1269" cm="1">
        <f t="array" ref="G1269">INDEX(FX_Multi,$AD1269,G$3)</f>
        <v>0</v>
      </c>
      <c r="H1269" cm="1">
        <f t="array" ref="H1269">INDEX(FX_Multi,$AD1269,H$3)</f>
        <v>0</v>
      </c>
      <c r="I1269" cm="1">
        <f t="array" ref="I1269">INDEX(FX_Multi,$AD1269,I$3)</f>
        <v>0</v>
      </c>
      <c r="J1269" cm="1">
        <f t="array" ref="J1269">INDEX(FX_Multi,$AD1269,J$3)</f>
        <v>0</v>
      </c>
      <c r="K1269" cm="1">
        <f t="array" ref="K1269">INDEX(FX_Multi,$AD1269,K$3)</f>
        <v>0</v>
      </c>
      <c r="L1269" cm="1">
        <f t="array" ref="L1269">INDEX(FX_Multi,$AD1269,L$3)</f>
        <v>0</v>
      </c>
      <c r="M1269" cm="1">
        <f t="array" ref="M1269">INDEX(FX_Multi,$AD1269,M$3)</f>
        <v>0</v>
      </c>
      <c r="N1269" cm="1">
        <f t="array" ref="N1269">INDEX(FX_Multi,$AD1269,N$3)</f>
        <v>0</v>
      </c>
      <c r="O1269" cm="1">
        <f t="array" ref="O1269">INDEX(FX_Multi,$AD1269,O$3)</f>
        <v>0</v>
      </c>
      <c r="AC1269">
        <v>1</v>
      </c>
      <c r="AD1269">
        <f>AD1268+2</f>
        <v>522</v>
      </c>
      <c r="AE1269">
        <v>1</v>
      </c>
      <c r="AF1269">
        <f>AF1267</f>
        <v>522</v>
      </c>
    </row>
    <row r="1270" spans="2:32" ht="17.149999999999999" x14ac:dyDescent="0.55000000000000004">
      <c r="B1270" t="str">
        <f t="shared" si="4627"/>
        <v>Portland</v>
      </c>
      <c r="C1270" t="s">
        <v>570</v>
      </c>
      <c r="D1270" cm="1">
        <f t="array" ref="D1270">INDEX(FX_Multi,$AD1270,D$3)</f>
        <v>1</v>
      </c>
      <c r="E1270" cm="1">
        <f t="array" ref="E1270">INDEX(FX_Multi,$AD1270,E$3)</f>
        <v>1</v>
      </c>
      <c r="F1270" cm="1">
        <f t="array" ref="F1270">INDEX(FX_Multi,$AD1270,F$3)</f>
        <v>1</v>
      </c>
      <c r="G1270" cm="1">
        <f t="array" ref="G1270">INDEX(FX_Multi,$AD1270,G$3)</f>
        <v>1</v>
      </c>
      <c r="H1270" cm="1">
        <f t="array" ref="H1270">INDEX(FX_Multi,$AD1270,H$3)</f>
        <v>1</v>
      </c>
      <c r="I1270" cm="1">
        <f t="array" ref="I1270">INDEX(FX_Multi,$AD1270,I$3)</f>
        <v>1</v>
      </c>
      <c r="J1270" cm="1">
        <f t="array" ref="J1270">INDEX(FX_Multi,$AD1270,J$3)</f>
        <v>1</v>
      </c>
      <c r="K1270" cm="1">
        <f t="array" ref="K1270">INDEX(FX_Multi,$AD1270,K$3)</f>
        <v>1</v>
      </c>
      <c r="L1270" cm="1">
        <f t="array" ref="L1270">INDEX(FX_Multi,$AD1270,L$3)</f>
        <v>1</v>
      </c>
      <c r="M1270" cm="1">
        <f t="array" ref="M1270">INDEX(FX_Multi,$AD1270,M$3)</f>
        <v>1</v>
      </c>
      <c r="N1270" cm="1">
        <f t="array" ref="N1270">INDEX(FX_Multi,$AD1270,N$3)</f>
        <v>1</v>
      </c>
      <c r="O1270" cm="1">
        <f t="array" ref="O1270">INDEX(FX_Multi,$AD1270,O$3)</f>
        <v>1</v>
      </c>
      <c r="AC1270">
        <v>1</v>
      </c>
      <c r="AD1270">
        <f>AD1269+6</f>
        <v>528</v>
      </c>
      <c r="AE1270">
        <v>1</v>
      </c>
      <c r="AF1270">
        <f>AF1266+9</f>
        <v>528</v>
      </c>
    </row>
    <row r="1271" spans="2:32" ht="17.149999999999999" x14ac:dyDescent="0.55000000000000004">
      <c r="B1271" t="str">
        <f t="shared" si="4627"/>
        <v>Portland</v>
      </c>
      <c r="C1271" t="s">
        <v>571</v>
      </c>
      <c r="D1271" cm="1">
        <f t="array" ref="D1271">INDEX(FX_Multi,$AD1271,D$3)</f>
        <v>162</v>
      </c>
      <c r="E1271" cm="1">
        <f t="array" ref="E1271">INDEX(FX_Multi,$AD1271,E$3)</f>
        <v>162</v>
      </c>
      <c r="F1271" cm="1">
        <f t="array" ref="F1271">INDEX(FX_Multi,$AD1271,F$3)</f>
        <v>162</v>
      </c>
      <c r="G1271" cm="1">
        <f t="array" ref="G1271">INDEX(FX_Multi,$AD1271,G$3)</f>
        <v>162</v>
      </c>
      <c r="H1271" cm="1">
        <f t="array" ref="H1271">INDEX(FX_Multi,$AD1271,H$3)</f>
        <v>162</v>
      </c>
      <c r="I1271" cm="1">
        <f t="array" ref="I1271">INDEX(FX_Multi,$AD1271,I$3)</f>
        <v>162</v>
      </c>
      <c r="J1271" cm="1">
        <f t="array" ref="J1271">INDEX(FX_Multi,$AD1271,J$3)</f>
        <v>162</v>
      </c>
      <c r="K1271" cm="1">
        <f t="array" ref="K1271">INDEX(FX_Multi,$AD1271,K$3)</f>
        <v>162</v>
      </c>
      <c r="L1271" cm="1">
        <f t="array" ref="L1271">INDEX(FX_Multi,$AD1271,L$3)</f>
        <v>162</v>
      </c>
      <c r="M1271" cm="1">
        <f t="array" ref="M1271">INDEX(FX_Multi,$AD1271,M$3)</f>
        <v>162</v>
      </c>
      <c r="N1271" cm="1">
        <f t="array" ref="N1271">INDEX(FX_Multi,$AD1271,N$3)</f>
        <v>162</v>
      </c>
      <c r="O1271" cm="1">
        <f t="array" ref="O1271">INDEX(FX_Multi,$AD1271,O$3)</f>
        <v>162</v>
      </c>
      <c r="AC1271">
        <v>1</v>
      </c>
      <c r="AD1271">
        <f>AD1270-3</f>
        <v>525</v>
      </c>
      <c r="AE1271">
        <v>1</v>
      </c>
      <c r="AF1271">
        <f>AF1266+6</f>
        <v>525</v>
      </c>
    </row>
    <row r="1272" spans="2:32" ht="17.149999999999999" x14ac:dyDescent="0.55000000000000004">
      <c r="B1272" t="str">
        <f t="shared" si="4627"/>
        <v>Portland</v>
      </c>
      <c r="C1272" t="s">
        <v>572</v>
      </c>
      <c r="D1272" cm="1">
        <f t="array" ref="D1272">INDEX(FX_Multi,$AD1272,D$3)</f>
        <v>0</v>
      </c>
      <c r="E1272" cm="1">
        <f t="array" ref="E1272">INDEX(FX_Multi,$AD1272,E$3)</f>
        <v>0</v>
      </c>
      <c r="F1272" cm="1">
        <f t="array" ref="F1272">INDEX(FX_Multi,$AD1272,F$3)</f>
        <v>0</v>
      </c>
      <c r="G1272" cm="1">
        <f t="array" ref="G1272">INDEX(FX_Multi,$AD1272,G$3)</f>
        <v>0</v>
      </c>
      <c r="H1272" cm="1">
        <f t="array" ref="H1272">INDEX(FX_Multi,$AD1272,H$3)</f>
        <v>0</v>
      </c>
      <c r="I1272" cm="1">
        <f t="array" ref="I1272">INDEX(FX_Multi,$AD1272,I$3)</f>
        <v>0</v>
      </c>
      <c r="J1272" cm="1">
        <f t="array" ref="J1272">INDEX(FX_Multi,$AD1272,J$3)</f>
        <v>0</v>
      </c>
      <c r="K1272" cm="1">
        <f t="array" ref="K1272">INDEX(FX_Multi,$AD1272,K$3)</f>
        <v>0</v>
      </c>
      <c r="L1272" cm="1">
        <f t="array" ref="L1272">INDEX(FX_Multi,$AD1272,L$3)</f>
        <v>0</v>
      </c>
      <c r="M1272" cm="1">
        <f t="array" ref="M1272">INDEX(FX_Multi,$AD1272,M$3)</f>
        <v>0</v>
      </c>
      <c r="N1272" cm="1">
        <f t="array" ref="N1272">INDEX(FX_Multi,$AD1272,N$3)</f>
        <v>0</v>
      </c>
      <c r="O1272" cm="1">
        <f t="array" ref="O1272">INDEX(FX_Multi,$AD1272,O$3)</f>
        <v>0</v>
      </c>
      <c r="AC1272">
        <v>1</v>
      </c>
      <c r="AD1272">
        <f>AD1271+4</f>
        <v>529</v>
      </c>
      <c r="AE1272">
        <v>1</v>
      </c>
      <c r="AF1272">
        <f>AF1266+10</f>
        <v>529</v>
      </c>
    </row>
    <row r="1273" spans="2:32" ht="17.149999999999999" x14ac:dyDescent="0.55000000000000004">
      <c r="B1273" t="str">
        <f t="shared" si="4627"/>
        <v>Portland</v>
      </c>
      <c r="C1273" t="s">
        <v>573</v>
      </c>
      <c r="D1273" cm="1">
        <f t="array" ref="D1273">INDEX(FX_Multi,$AD1273,D$3)</f>
        <v>0</v>
      </c>
      <c r="E1273" cm="1">
        <f t="array" ref="E1273">INDEX(FX_Multi,$AD1273,E$3)</f>
        <v>0</v>
      </c>
      <c r="F1273" cm="1">
        <f t="array" ref="F1273">INDEX(FX_Multi,$AD1273,F$3)</f>
        <v>0</v>
      </c>
      <c r="G1273" cm="1">
        <f t="array" ref="G1273">INDEX(FX_Multi,$AD1273,G$3)</f>
        <v>0</v>
      </c>
      <c r="H1273" cm="1">
        <f t="array" ref="H1273">INDEX(FX_Multi,$AD1273,H$3)</f>
        <v>0</v>
      </c>
      <c r="I1273" cm="1">
        <f t="array" ref="I1273">INDEX(FX_Multi,$AD1273,I$3)</f>
        <v>0</v>
      </c>
      <c r="J1273" cm="1">
        <f t="array" ref="J1273">INDEX(FX_Multi,$AD1273,J$3)</f>
        <v>0</v>
      </c>
      <c r="K1273" cm="1">
        <f t="array" ref="K1273">INDEX(FX_Multi,$AD1273,K$3)</f>
        <v>0</v>
      </c>
      <c r="L1273" cm="1">
        <f t="array" ref="L1273">INDEX(FX_Multi,$AD1273,L$3)</f>
        <v>0</v>
      </c>
      <c r="M1273" cm="1">
        <f t="array" ref="M1273">INDEX(FX_Multi,$AD1273,M$3)</f>
        <v>0</v>
      </c>
      <c r="N1273" cm="1">
        <f t="array" ref="N1273">INDEX(FX_Multi,$AD1273,N$3)</f>
        <v>0</v>
      </c>
      <c r="O1273" cm="1">
        <f t="array" ref="O1273">INDEX(FX_Multi,$AD1273,O$3)</f>
        <v>0</v>
      </c>
      <c r="AC1273">
        <v>1</v>
      </c>
      <c r="AD1273">
        <f>AD1272-3</f>
        <v>526</v>
      </c>
      <c r="AE1273">
        <v>1</v>
      </c>
      <c r="AF1273">
        <f>AF1266+7</f>
        <v>526</v>
      </c>
    </row>
    <row r="1274" spans="2:32" ht="17.149999999999999" x14ac:dyDescent="0.55000000000000004">
      <c r="B1274" t="str">
        <f>B1269</f>
        <v>Portland</v>
      </c>
      <c r="C1274" t="s">
        <v>526</v>
      </c>
      <c r="D1274" cm="1">
        <f t="array" ref="D1274">INDEX(FX_Temps,$AF1274,D$3)</f>
        <v>43.899999999999977</v>
      </c>
      <c r="E1274" cm="1">
        <f t="array" ref="E1274">INDEX(FX_Temps,$AF1274,E$3)</f>
        <v>44.700000000000045</v>
      </c>
      <c r="F1274" cm="1">
        <f t="array" ref="F1274">INDEX(FX_Temps,$AF1274,F$3)</f>
        <v>46.100000000000023</v>
      </c>
      <c r="G1274" cm="1">
        <f t="array" ref="G1274">INDEX(FX_Temps,$AF1274,G$3)</f>
        <v>48.599999999999966</v>
      </c>
      <c r="H1274" cm="1">
        <f t="array" ref="H1274">INDEX(FX_Temps,$AF1274,H$3)</f>
        <v>53.149999999999977</v>
      </c>
      <c r="I1274" cm="1">
        <f t="array" ref="I1274">INDEX(FX_Temps,$AF1274,I$3)</f>
        <v>56.950000000000045</v>
      </c>
      <c r="J1274" cm="1">
        <f t="array" ref="J1274">INDEX(FX_Temps,$AF1274,J$3)</f>
        <v>60.449999999999932</v>
      </c>
      <c r="K1274" cm="1">
        <f t="array" ref="K1274">INDEX(FX_Temps,$AF1274,K$3)</f>
        <v>60.899999999999977</v>
      </c>
      <c r="L1274" cm="1">
        <f t="array" ref="L1274">INDEX(FX_Temps,$AF1274,L$3)</f>
        <v>58.600000000000023</v>
      </c>
      <c r="M1274" cm="1">
        <f t="array" ref="M1274">INDEX(FX_Temps,$AF1274,M$3)</f>
        <v>52.649999999999977</v>
      </c>
      <c r="N1274" cm="1">
        <f t="array" ref="N1274">INDEX(FX_Temps,$AF1274,N$3)</f>
        <v>47.100000000000023</v>
      </c>
      <c r="O1274" cm="1">
        <f t="array" ref="O1274">INDEX(FX_Temps,$AF1274,O$3)</f>
        <v>43.600000000000023</v>
      </c>
      <c r="AE1274">
        <v>1</v>
      </c>
      <c r="AF1274">
        <f>AF1266+10</f>
        <v>529</v>
      </c>
    </row>
    <row r="1275" spans="2:32" ht="17.149999999999999" x14ac:dyDescent="0.55000000000000004">
      <c r="B1275" t="str">
        <f t="shared" ref="B1275:B1296" si="4628">B1274</f>
        <v>Portland</v>
      </c>
      <c r="C1275" t="s">
        <v>527</v>
      </c>
      <c r="D1275" cm="1">
        <f t="array" ref="D1275">INDEX(FX_Temps,$AF1275,D$3)</f>
        <v>43.899999999999977</v>
      </c>
      <c r="E1275" cm="1">
        <f t="array" ref="E1275">INDEX(FX_Temps,$AF1275,E$3)</f>
        <v>44.700000000000045</v>
      </c>
      <c r="F1275" cm="1">
        <f t="array" ref="F1275">INDEX(FX_Temps,$AF1275,F$3)</f>
        <v>46.100000000000023</v>
      </c>
      <c r="G1275" cm="1">
        <f t="array" ref="G1275">INDEX(FX_Temps,$AF1275,G$3)</f>
        <v>48.599999999999966</v>
      </c>
      <c r="H1275" cm="1">
        <f t="array" ref="H1275">INDEX(FX_Temps,$AF1275,H$3)</f>
        <v>53.149999999999977</v>
      </c>
      <c r="I1275" cm="1">
        <f t="array" ref="I1275">INDEX(FX_Temps,$AF1275,I$3)</f>
        <v>56.950000000000045</v>
      </c>
      <c r="J1275" cm="1">
        <f t="array" ref="J1275">INDEX(FX_Temps,$AF1275,J$3)</f>
        <v>60.449999999999932</v>
      </c>
      <c r="K1275" cm="1">
        <f t="array" ref="K1275">INDEX(FX_Temps,$AF1275,K$3)</f>
        <v>60.899999999999977</v>
      </c>
      <c r="L1275" cm="1">
        <f t="array" ref="L1275">INDEX(FX_Temps,$AF1275,L$3)</f>
        <v>58.600000000000023</v>
      </c>
      <c r="M1275" cm="1">
        <f t="array" ref="M1275">INDEX(FX_Temps,$AF1275,M$3)</f>
        <v>52.649999999999977</v>
      </c>
      <c r="N1275" cm="1">
        <f t="array" ref="N1275">INDEX(FX_Temps,$AF1275,N$3)</f>
        <v>47.100000000000023</v>
      </c>
      <c r="O1275" cm="1">
        <f t="array" ref="O1275">INDEX(FX_Temps,$AF1275,O$3)</f>
        <v>43.600000000000023</v>
      </c>
      <c r="AE1275">
        <f>AE1274</f>
        <v>1</v>
      </c>
      <c r="AF1275">
        <f>AF1266+11</f>
        <v>530</v>
      </c>
    </row>
    <row r="1276" spans="2:32" ht="17.149999999999999" x14ac:dyDescent="0.55000000000000004">
      <c r="B1276" t="str">
        <f t="shared" si="4628"/>
        <v>Portland</v>
      </c>
      <c r="C1276" t="s">
        <v>552</v>
      </c>
      <c r="D1276" cm="1">
        <f t="array" ref="D1276">INDEX(FX_Temps,$AF1276,D$3)</f>
        <v>43.899999999999977</v>
      </c>
      <c r="E1276" cm="1">
        <f t="array" ref="E1276">INDEX(FX_Temps,$AF1276,E$3)</f>
        <v>44.700000000000045</v>
      </c>
      <c r="F1276" cm="1">
        <f t="array" ref="F1276">INDEX(FX_Temps,$AF1276,F$3)</f>
        <v>46.100000000000023</v>
      </c>
      <c r="G1276" cm="1">
        <f t="array" ref="G1276">INDEX(FX_Temps,$AF1276,G$3)</f>
        <v>48.599999999999966</v>
      </c>
      <c r="H1276" cm="1">
        <f t="array" ref="H1276">INDEX(FX_Temps,$AF1276,H$3)</f>
        <v>53.149999999999977</v>
      </c>
      <c r="I1276" cm="1">
        <f t="array" ref="I1276">INDEX(FX_Temps,$AF1276,I$3)</f>
        <v>56.950000000000045</v>
      </c>
      <c r="J1276" cm="1">
        <f t="array" ref="J1276">INDEX(FX_Temps,$AF1276,J$3)</f>
        <v>60.449999999999932</v>
      </c>
      <c r="K1276" cm="1">
        <f t="array" ref="K1276">INDEX(FX_Temps,$AF1276,K$3)</f>
        <v>60.899999999999977</v>
      </c>
      <c r="L1276" cm="1">
        <f t="array" ref="L1276">INDEX(FX_Temps,$AF1276,L$3)</f>
        <v>58.600000000000023</v>
      </c>
      <c r="M1276" cm="1">
        <f t="array" ref="M1276">INDEX(FX_Temps,$AF1276,M$3)</f>
        <v>52.649999999999977</v>
      </c>
      <c r="N1276" cm="1">
        <f t="array" ref="N1276">INDEX(FX_Temps,$AF1276,N$3)</f>
        <v>47.100000000000023</v>
      </c>
      <c r="O1276" cm="1">
        <f t="array" ref="O1276">INDEX(FX_Temps,$AF1276,O$3)</f>
        <v>43.600000000000023</v>
      </c>
      <c r="AE1276">
        <f>AE1275</f>
        <v>1</v>
      </c>
      <c r="AF1276">
        <f>AF1266+13</f>
        <v>532</v>
      </c>
    </row>
    <row r="1277" spans="2:32" ht="17.149999999999999" x14ac:dyDescent="0.55000000000000004">
      <c r="B1277" t="str">
        <f t="shared" si="4628"/>
        <v>Portland</v>
      </c>
      <c r="C1277" t="s">
        <v>574</v>
      </c>
      <c r="D1277" cm="1">
        <f t="array" ref="D1277">IFERROR(IF(D1267="Chemical",(10^(INDEX(Antoines,MATCH(D1266,Antoine_Name,0),2)-INDEX(Antoines,MATCH(D1266,Antoine_Name,0),3)/(INDEX(Antoines,MATCH(D1266,Antoine_Name,0),4)+(D1274-32)*5/9)))*14.7/760,IF(D1267="Crude Oil",EXP((2799/(D1274+459.6)-2.227)*LOG10(INDEX(FX_Input,Q$5,D$3*$Z$5+$AA$5))-(7261/(D1274+459.6))+12.82),IF(D1267="Refined Petroleum Stock",EXP((0.7553-(413/(D1274+459.6)))*(INDEX(FX_Input,Q$5,D$3*$Z$5+$AA$5-1)^0.5)*LOG10(INDEX(FX_Input,Q$5,D$3*$Z$5+$AA$5))-(1.854-(1042/(D1274+459.6)))*(INDEX(FX_Input,Q$5,D$3*$Z$5+$AA$5-1)^0.5)+((2416/(D1274+459.6)-2.013)*LOG10(INDEX(FX_Input,Q$5,D$3*$Z$5+$AA$5)))-(8742/(D1274+459.6))+15.64),EXP(INDEX(Antoines,MATCH(D1266,Antoine_Name,0),2)-INDEX(Antoines,MATCH(D1266,Antoine_Name,0),3)/(D1274+459.6))))),0)</f>
        <v>4.739577185808354E-3</v>
      </c>
      <c r="E1277" cm="1">
        <f t="array" ref="E1277">IFERROR(IF(E1267="Chemical",(10^(INDEX(Antoines,MATCH(E1266,Antoine_Name,0),2)-INDEX(Antoines,MATCH(E1266,Antoine_Name,0),3)/(INDEX(Antoines,MATCH(E1266,Antoine_Name,0),4)+(E1274-32)*5/9)))*14.7/760,IF(E1267="Crude Oil",EXP((2799/(E1274+459.6)-2.227)*LOG10(INDEX(FX_Input,R$5,E$3*$Z$5+$AA$5))-(7261/(E1274+459.6))+12.82),IF(E1267="Refined Petroleum Stock",EXP((0.7553-(413/(E1274+459.6)))*(INDEX(FX_Input,R$5,E$3*$Z$5+$AA$5-1)^0.5)*LOG10(INDEX(FX_Input,R$5,E$3*$Z$5+$AA$5))-(1.854-(1042/(E1274+459.6)))*(INDEX(FX_Input,R$5,E$3*$Z$5+$AA$5-1)^0.5)+((2416/(E1274+459.6)-2.013)*LOG10(INDEX(FX_Input,R$5,E$3*$Z$5+$AA$5)))-(8742/(E1274+459.6))+15.64),EXP(INDEX(Antoines,MATCH(E1266,Antoine_Name,0),2)-INDEX(Antoines,MATCH(E1266,Antoine_Name,0),3)/(E1274+459.6))))),0)</f>
        <v>4.8748667780818778E-3</v>
      </c>
      <c r="F1277" cm="1">
        <f t="array" ref="F1277">IFERROR(IF(F1267="Chemical",(10^(INDEX(Antoines,MATCH(F1266,Antoine_Name,0),2)-INDEX(Antoines,MATCH(F1266,Antoine_Name,0),3)/(INDEX(Antoines,MATCH(F1266,Antoine_Name,0),4)+(F1274-32)*5/9)))*14.7/760,IF(F1267="Crude Oil",EXP((2799/(F1274+459.6)-2.227)*LOG10(INDEX(FX_Input,S$5,F$3*$Z$5+$AA$5))-(7261/(F1274+459.6))+12.82),IF(F1267="Refined Petroleum Stock",EXP((0.7553-(413/(F1274+459.6)))*(INDEX(FX_Input,S$5,F$3*$Z$5+$AA$5-1)^0.5)*LOG10(INDEX(FX_Input,S$5,F$3*$Z$5+$AA$5))-(1.854-(1042/(F1274+459.6)))*(INDEX(FX_Input,S$5,F$3*$Z$5+$AA$5-1)^0.5)+((2416/(F1274+459.6)-2.013)*LOG10(INDEX(FX_Input,S$5,F$3*$Z$5+$AA$5)))-(8742/(F1274+459.6))+15.64),EXP(INDEX(Antoines,MATCH(F1266,Antoine_Name,0),2)-INDEX(Antoines,MATCH(F1266,Antoine_Name,0),3)/(F1274+459.6))))),0)</f>
        <v>5.119885034186122E-3</v>
      </c>
      <c r="G1277" cm="1">
        <f t="array" ref="G1277">IFERROR(IF(G1267="Chemical",(10^(INDEX(Antoines,MATCH(G1266,Antoine_Name,0),2)-INDEX(Antoines,MATCH(G1266,Antoine_Name,0),3)/(INDEX(Antoines,MATCH(G1266,Antoine_Name,0),4)+(G1274-32)*5/9)))*14.7/760,IF(G1267="Crude Oil",EXP((2799/(G1274+459.6)-2.227)*LOG10(INDEX(FX_Input,T$5,G$3*$Z$5+$AA$5))-(7261/(G1274+459.6))+12.82),IF(G1267="Refined Petroleum Stock",EXP((0.7553-(413/(G1274+459.6)))*(INDEX(FX_Input,T$5,G$3*$Z$5+$AA$5-1)^0.5)*LOG10(INDEX(FX_Input,T$5,G$3*$Z$5+$AA$5))-(1.854-(1042/(G1274+459.6)))*(INDEX(FX_Input,T$5,G$3*$Z$5+$AA$5-1)^0.5)+((2416/(G1274+459.6)-2.013)*LOG10(INDEX(FX_Input,T$5,G$3*$Z$5+$AA$5)))-(8742/(G1274+459.6))+15.64),EXP(INDEX(Antoines,MATCH(G1266,Antoine_Name,0),2)-INDEX(Antoines,MATCH(G1266,Antoine_Name,0),3)/(G1274+459.6))))),0)</f>
        <v>5.5846958573521795E-3</v>
      </c>
      <c r="H1277" cm="1">
        <f t="array" ref="H1277">IFERROR(IF(H1267="Chemical",(10^(INDEX(Antoines,MATCH(H1266,Antoine_Name,0),2)-INDEX(Antoines,MATCH(H1266,Antoine_Name,0),3)/(INDEX(Antoines,MATCH(H1266,Antoine_Name,0),4)+(H1274-32)*5/9)))*14.7/760,IF(H1267="Crude Oil",EXP((2799/(H1274+459.6)-2.227)*LOG10(INDEX(FX_Input,U$5,H$3*$Z$5+$AA$5))-(7261/(H1274+459.6))+12.82),IF(H1267="Refined Petroleum Stock",EXP((0.7553-(413/(H1274+459.6)))*(INDEX(FX_Input,U$5,H$3*$Z$5+$AA$5-1)^0.5)*LOG10(INDEX(FX_Input,U$5,H$3*$Z$5+$AA$5))-(1.854-(1042/(H1274+459.6)))*(INDEX(FX_Input,U$5,H$3*$Z$5+$AA$5-1)^0.5)+((2416/(H1274+459.6)-2.013)*LOG10(INDEX(FX_Input,U$5,H$3*$Z$5+$AA$5)))-(8742/(H1274+459.6))+15.64),EXP(INDEX(Antoines,MATCH(H1266,Antoine_Name,0),2)-INDEX(Antoines,MATCH(H1266,Antoine_Name,0),3)/(H1274+459.6))))),0)</f>
        <v>6.5274070972739821E-3</v>
      </c>
      <c r="I1277" cm="1">
        <f t="array" ref="I1277">IFERROR(IF(I1267="Chemical",(10^(INDEX(Antoines,MATCH(I1266,Antoine_Name,0),2)-INDEX(Antoines,MATCH(I1266,Antoine_Name,0),3)/(INDEX(Antoines,MATCH(I1266,Antoine_Name,0),4)+(I1274-32)*5/9)))*14.7/760,IF(I1267="Crude Oil",EXP((2799/(I1274+459.6)-2.227)*LOG10(INDEX(FX_Input,V$5,I$3*$Z$5+$AA$5))-(7261/(I1274+459.6))+12.82),IF(I1267="Refined Petroleum Stock",EXP((0.7553-(413/(I1274+459.6)))*(INDEX(FX_Input,V$5,I$3*$Z$5+$AA$5-1)^0.5)*LOG10(INDEX(FX_Input,V$5,I$3*$Z$5+$AA$5))-(1.854-(1042/(I1274+459.6)))*(INDEX(FX_Input,V$5,I$3*$Z$5+$AA$5-1)^0.5)+((2416/(I1274+459.6)-2.013)*LOG10(INDEX(FX_Input,V$5,I$3*$Z$5+$AA$5)))-(8742/(I1274+459.6))+15.64),EXP(INDEX(Antoines,MATCH(I1266,Antoine_Name,0),2)-INDEX(Antoines,MATCH(I1266,Antoine_Name,0),3)/(I1274+459.6))))),0)</f>
        <v>7.4199539958878279E-3</v>
      </c>
      <c r="J1277" cm="1">
        <f t="array" ref="J1277">IFERROR(IF(J1267="Chemical",(10^(INDEX(Antoines,MATCH(J1266,Antoine_Name,0),2)-INDEX(Antoines,MATCH(J1266,Antoine_Name,0),3)/(INDEX(Antoines,MATCH(J1266,Antoine_Name,0),4)+(J1274-32)*5/9)))*14.7/760,IF(J1267="Crude Oil",EXP((2799/(J1274+459.6)-2.227)*LOG10(INDEX(FX_Input,W$5,J$3*$Z$5+$AA$5))-(7261/(J1274+459.6))+12.82),IF(J1267="Refined Petroleum Stock",EXP((0.7553-(413/(J1274+459.6)))*(INDEX(FX_Input,W$5,J$3*$Z$5+$AA$5-1)^0.5)*LOG10(INDEX(FX_Input,W$5,J$3*$Z$5+$AA$5))-(1.854-(1042/(J1274+459.6)))*(INDEX(FX_Input,W$5,J$3*$Z$5+$AA$5-1)^0.5)+((2416/(J1274+459.6)-2.013)*LOG10(INDEX(FX_Input,W$5,J$3*$Z$5+$AA$5)))-(8742/(J1274+459.6))+15.64),EXP(INDEX(Antoines,MATCH(J1266,Antoine_Name,0),2)-INDEX(Antoines,MATCH(J1266,Antoine_Name,0),3)/(J1274+459.6))))),0)</f>
        <v>8.3358107202842254E-3</v>
      </c>
      <c r="K1277" cm="1">
        <f t="array" ref="K1277">IFERROR(IF(K1267="Chemical",(10^(INDEX(Antoines,MATCH(K1266,Antoine_Name,0),2)-INDEX(Antoines,MATCH(K1266,Antoine_Name,0),3)/(INDEX(Antoines,MATCH(K1266,Antoine_Name,0),4)+(K1274-32)*5/9)))*14.7/760,IF(K1267="Crude Oil",EXP((2799/(K1274+459.6)-2.227)*LOG10(INDEX(FX_Input,X$5,K$3*$Z$5+$AA$5))-(7261/(K1274+459.6))+12.82),IF(K1267="Refined Petroleum Stock",EXP((0.7553-(413/(K1274+459.6)))*(INDEX(FX_Input,X$5,K$3*$Z$5+$AA$5-1)^0.5)*LOG10(INDEX(FX_Input,X$5,K$3*$Z$5+$AA$5))-(1.854-(1042/(K1274+459.6)))*(INDEX(FX_Input,X$5,K$3*$Z$5+$AA$5-1)^0.5)+((2416/(K1274+459.6)-2.013)*LOG10(INDEX(FX_Input,X$5,K$3*$Z$5+$AA$5)))-(8742/(K1274+459.6))+15.64),EXP(INDEX(Antoines,MATCH(K1266,Antoine_Name,0),2)-INDEX(Antoines,MATCH(K1266,Antoine_Name,0),3)/(K1274+459.6))))),0)</f>
        <v>8.4605262729351115E-3</v>
      </c>
      <c r="L1277" cm="1">
        <f t="array" ref="L1277">IFERROR(IF(L1267="Chemical",(10^(INDEX(Antoines,MATCH(L1266,Antoine_Name,0),2)-INDEX(Antoines,MATCH(L1266,Antoine_Name,0),3)/(INDEX(Antoines,MATCH(L1266,Antoine_Name,0),4)+(L1274-32)*5/9)))*14.7/760,IF(L1267="Crude Oil",EXP((2799/(L1274+459.6)-2.227)*LOG10(INDEX(FX_Input,Y$5,L$3*$Z$5+$AA$5))-(7261/(L1274+459.6))+12.82),IF(L1267="Refined Petroleum Stock",EXP((0.7553-(413/(L1274+459.6)))*(INDEX(FX_Input,Y$5,L$3*$Z$5+$AA$5-1)^0.5)*LOG10(INDEX(FX_Input,Y$5,L$3*$Z$5+$AA$5))-(1.854-(1042/(L1274+459.6)))*(INDEX(FX_Input,Y$5,L$3*$Z$5+$AA$5-1)^0.5)+((2416/(L1274+459.6)-2.013)*LOG10(INDEX(FX_Input,Y$5,L$3*$Z$5+$AA$5)))-(8742/(L1274+459.6))+15.64),EXP(INDEX(Antoines,MATCH(L1266,Antoine_Name,0),2)-INDEX(Antoines,MATCH(L1266,Antoine_Name,0),3)/(L1274+459.6))))),0)</f>
        <v>7.8399882233967533E-3</v>
      </c>
      <c r="M1277" cm="1">
        <f t="array" ref="M1277">IFERROR(IF(M1267="Chemical",(10^(INDEX(Antoines,MATCH(M1266,Antoine_Name,0),2)-INDEX(Antoines,MATCH(M1266,Antoine_Name,0),3)/(INDEX(Antoines,MATCH(M1266,Antoine_Name,0),4)+(M1274-32)*5/9)))*14.7/760,IF(M1267="Crude Oil",EXP((2799/(M1274+459.6)-2.227)*LOG10(INDEX(FX_Input,Z$5,M$3*$Z$5+$AA$5))-(7261/(M1274+459.6))+12.82),IF(M1267="Refined Petroleum Stock",EXP((0.7553-(413/(M1274+459.6)))*(INDEX(FX_Input,Z$5,M$3*$Z$5+$AA$5-1)^0.5)*LOG10(INDEX(FX_Input,Z$5,M$3*$Z$5+$AA$5))-(1.854-(1042/(M1274+459.6)))*(INDEX(FX_Input,Z$5,M$3*$Z$5+$AA$5-1)^0.5)+((2416/(M1274+459.6)-2.013)*LOG10(INDEX(FX_Input,Z$5,M$3*$Z$5+$AA$5)))-(8742/(M1274+459.6))+15.64),EXP(INDEX(Antoines,MATCH(M1266,Antoine_Name,0),2)-INDEX(Antoines,MATCH(M1266,Antoine_Name,0),3)/(M1274+459.6))))),0)</f>
        <v>6.4173462075160911E-3</v>
      </c>
      <c r="N1277" cm="1">
        <f t="array" ref="N1277">IFERROR(IF(N1267="Chemical",(10^(INDEX(Antoines,MATCH(N1266,Antoine_Name,0),2)-INDEX(Antoines,MATCH(N1266,Antoine_Name,0),3)/(INDEX(Antoines,MATCH(N1266,Antoine_Name,0),4)+(N1274-32)*5/9)))*14.7/760,IF(N1267="Crude Oil",EXP((2799/(N1274+459.6)-2.227)*LOG10(INDEX(FX_Input,AA$5,N$3*$Z$5+$AA$5))-(7261/(N1274+459.6))+12.82),IF(N1267="Refined Petroleum Stock",EXP((0.7553-(413/(N1274+459.6)))*(INDEX(FX_Input,AA$5,N$3*$Z$5+$AA$5-1)^0.5)*LOG10(INDEX(FX_Input,AA$5,N$3*$Z$5+$AA$5))-(1.854-(1042/(N1274+459.6)))*(INDEX(FX_Input,AA$5,N$3*$Z$5+$AA$5-1)^0.5)+((2416/(N1274+459.6)-2.013)*LOG10(INDEX(FX_Input,AA$5,N$3*$Z$5+$AA$5)))-(8742/(N1274+459.6))+15.64),EXP(INDEX(Antoines,MATCH(N1266,Antoine_Name,0),2)-INDEX(Antoines,MATCH(N1266,Antoine_Name,0),3)/(N1274+459.6))))),0)</f>
        <v>5.3015226887581056E-3</v>
      </c>
      <c r="O1277" cm="1">
        <f t="array" ref="O1277">IFERROR(IF(O1267="Chemical",(10^(INDEX(Antoines,MATCH(O1266,Antoine_Name,0),2)-INDEX(Antoines,MATCH(O1266,Antoine_Name,0),3)/(INDEX(Antoines,MATCH(O1266,Antoine_Name,0),4)+(O1274-32)*5/9)))*14.7/760,IF(O1267="Crude Oil",EXP((2799/(O1274+459.6)-2.227)*LOG10(INDEX(FX_Input,AB$5,O$3*$Z$5+$AA$5))-(7261/(O1274+459.6))+12.82),IF(O1267="Refined Petroleum Stock",EXP((0.7553-(413/(O1274+459.6)))*(INDEX(FX_Input,AB$5,O$3*$Z$5+$AA$5-1)^0.5)*LOG10(INDEX(FX_Input,AB$5,O$3*$Z$5+$AA$5))-(1.854-(1042/(O1274+459.6)))*(INDEX(FX_Input,AB$5,O$3*$Z$5+$AA$5-1)^0.5)+((2416/(O1274+459.6)-2.013)*LOG10(INDEX(FX_Input,AB$5,O$3*$Z$5+$AA$5)))-(8742/(O1274+459.6))+15.64),EXP(INDEX(Antoines,MATCH(O1266,Antoine_Name,0),2)-INDEX(Antoines,MATCH(O1266,Antoine_Name,0),3)/(O1274+459.6))))),0)</f>
        <v>4.68970903600947E-3</v>
      </c>
    </row>
    <row r="1278" spans="2:32" ht="17.149999999999999" x14ac:dyDescent="0.55000000000000004">
      <c r="B1278" t="str">
        <f t="shared" si="4628"/>
        <v>Portland</v>
      </c>
      <c r="C1278" t="s">
        <v>576</v>
      </c>
      <c r="D1278">
        <f>D1270*D1277</f>
        <v>4.739577185808354E-3</v>
      </c>
      <c r="E1278">
        <f t="shared" ref="E1278" si="4629">E1270*E1277</f>
        <v>4.8748667780818778E-3</v>
      </c>
      <c r="F1278">
        <f t="shared" ref="F1278" si="4630">F1270*F1277</f>
        <v>5.119885034186122E-3</v>
      </c>
      <c r="G1278">
        <f t="shared" ref="G1278" si="4631">G1270*G1277</f>
        <v>5.5846958573521795E-3</v>
      </c>
      <c r="H1278">
        <f t="shared" ref="H1278" si="4632">H1270*H1277</f>
        <v>6.5274070972739821E-3</v>
      </c>
      <c r="I1278">
        <f t="shared" ref="I1278" si="4633">I1270*I1277</f>
        <v>7.4199539958878279E-3</v>
      </c>
      <c r="J1278">
        <f t="shared" ref="J1278" si="4634">J1270*J1277</f>
        <v>8.3358107202842254E-3</v>
      </c>
      <c r="K1278">
        <f t="shared" ref="K1278" si="4635">K1270*K1277</f>
        <v>8.4605262729351115E-3</v>
      </c>
      <c r="L1278">
        <f t="shared" ref="L1278" si="4636">L1270*L1277</f>
        <v>7.8399882233967533E-3</v>
      </c>
      <c r="M1278">
        <f t="shared" ref="M1278" si="4637">M1270*M1277</f>
        <v>6.4173462075160911E-3</v>
      </c>
      <c r="N1278">
        <f t="shared" ref="N1278" si="4638">N1270*N1277</f>
        <v>5.3015226887581056E-3</v>
      </c>
      <c r="O1278">
        <f t="shared" ref="O1278" si="4639">O1270*O1277</f>
        <v>4.68970903600947E-3</v>
      </c>
    </row>
    <row r="1279" spans="2:32" ht="17.149999999999999" x14ac:dyDescent="0.55000000000000004">
      <c r="B1279" t="str">
        <f t="shared" si="4628"/>
        <v>Portland</v>
      </c>
      <c r="C1279" t="s">
        <v>575</v>
      </c>
      <c r="D1279" cm="1">
        <f t="array" ref="D1279">IFERROR(IF(D1269="Chemical",(10^(INDEX(Antoines,MATCH(D1268,Antoine_Name,0),2)-INDEX(Antoines,MATCH(D1268,Antoine_Name,0),3)/(INDEX(Antoines,MATCH(D1268,Antoine_Name,0),4)+(D1274-32)*5/9)))*14.7/760,IF(D1269="Crude Oil",EXP((2799/(D1274+459.6)-2.227)*LOG10(INDEX(FX_Input,Q$5,D$3*$Z$5+$AA$5))-(7261/(D1274+459.6))+12.82),IF(D1269="Refined Petroleum Stock",EXP((0.7553-(413/(D1274+459.6)))*(INDEX(FX_Input,Q$5,D$3*$Z$5+$AA$5-1)^0.5)*LOG10(INDEX(FX_Input,Q$5,D$3*$Z$5+$AA$5))-(1.854-(1042/(D1274+459.6)))*(INDEX(FX_Input,Q$5,D$3*$Z$5+$AA$5-1)^0.5)+((2416/(D1274+459.6)-2.013)*LOG10(INDEX(FX_Input,Q$5,D$3*$Z$5+$AA$5)))-(8742/(D1274+459.6))+15.64),EXP(INDEX(Antoines,MATCH(D1268,Antoine_Name,0),2)-INDEX(Antoines,MATCH(D1268,Antoine_Name,0),3)/(D1274+459.6))))),0)</f>
        <v>0</v>
      </c>
      <c r="E1279" cm="1">
        <f t="array" ref="E1279">IFERROR(IF(E1269="Chemical",(10^(INDEX(Antoines,MATCH(E1268,Antoine_Name,0),2)-INDEX(Antoines,MATCH(E1268,Antoine_Name,0),3)/(INDEX(Antoines,MATCH(E1268,Antoine_Name,0),4)+(E1274-32)*5/9)))*14.7/760,IF(E1269="Crude Oil",EXP((2799/(E1274+459.6)-2.227)*LOG10(INDEX(FX_Input,R$5,E$3*$Z$5+$AA$5))-(7261/(E1274+459.6))+12.82),IF(E1269="Refined Petroleum Stock",EXP((0.7553-(413/(E1274+459.6)))*(INDEX(FX_Input,R$5,E$3*$Z$5+$AA$5-1)^0.5)*LOG10(INDEX(FX_Input,R$5,E$3*$Z$5+$AA$5))-(1.854-(1042/(E1274+459.6)))*(INDEX(FX_Input,R$5,E$3*$Z$5+$AA$5-1)^0.5)+((2416/(E1274+459.6)-2.013)*LOG10(INDEX(FX_Input,R$5,E$3*$Z$5+$AA$5)))-(8742/(E1274+459.6))+15.64),EXP(INDEX(Antoines,MATCH(E1268,Antoine_Name,0),2)-INDEX(Antoines,MATCH(E1268,Antoine_Name,0),3)/(E1274+459.6))))),0)</f>
        <v>0</v>
      </c>
      <c r="F1279" cm="1">
        <f t="array" ref="F1279">IFERROR(IF(F1269="Chemical",(10^(INDEX(Antoines,MATCH(F1268,Antoine_Name,0),2)-INDEX(Antoines,MATCH(F1268,Antoine_Name,0),3)/(INDEX(Antoines,MATCH(F1268,Antoine_Name,0),4)+(F1274-32)*5/9)))*14.7/760,IF(F1269="Crude Oil",EXP((2799/(F1274+459.6)-2.227)*LOG10(INDEX(FX_Input,S$5,F$3*$Z$5+$AA$5))-(7261/(F1274+459.6))+12.82),IF(F1269="Refined Petroleum Stock",EXP((0.7553-(413/(F1274+459.6)))*(INDEX(FX_Input,S$5,F$3*$Z$5+$AA$5-1)^0.5)*LOG10(INDEX(FX_Input,S$5,F$3*$Z$5+$AA$5))-(1.854-(1042/(F1274+459.6)))*(INDEX(FX_Input,S$5,F$3*$Z$5+$AA$5-1)^0.5)+((2416/(F1274+459.6)-2.013)*LOG10(INDEX(FX_Input,S$5,F$3*$Z$5+$AA$5)))-(8742/(F1274+459.6))+15.64),EXP(INDEX(Antoines,MATCH(F1268,Antoine_Name,0),2)-INDEX(Antoines,MATCH(F1268,Antoine_Name,0),3)/(F1274+459.6))))),0)</f>
        <v>0</v>
      </c>
      <c r="G1279" cm="1">
        <f t="array" ref="G1279">IFERROR(IF(G1269="Chemical",(10^(INDEX(Antoines,MATCH(G1268,Antoine_Name,0),2)-INDEX(Antoines,MATCH(G1268,Antoine_Name,0),3)/(INDEX(Antoines,MATCH(G1268,Antoine_Name,0),4)+(G1274-32)*5/9)))*14.7/760,IF(G1269="Crude Oil",EXP((2799/(G1274+459.6)-2.227)*LOG10(INDEX(FX_Input,T$5,G$3*$Z$5+$AA$5))-(7261/(G1274+459.6))+12.82),IF(G1269="Refined Petroleum Stock",EXP((0.7553-(413/(G1274+459.6)))*(INDEX(FX_Input,T$5,G$3*$Z$5+$AA$5-1)^0.5)*LOG10(INDEX(FX_Input,T$5,G$3*$Z$5+$AA$5))-(1.854-(1042/(G1274+459.6)))*(INDEX(FX_Input,T$5,G$3*$Z$5+$AA$5-1)^0.5)+((2416/(G1274+459.6)-2.013)*LOG10(INDEX(FX_Input,T$5,G$3*$Z$5+$AA$5)))-(8742/(G1274+459.6))+15.64),EXP(INDEX(Antoines,MATCH(G1268,Antoine_Name,0),2)-INDEX(Antoines,MATCH(G1268,Antoine_Name,0),3)/(G1274+459.6))))),0)</f>
        <v>0</v>
      </c>
      <c r="H1279" cm="1">
        <f t="array" ref="H1279">IFERROR(IF(H1269="Chemical",(10^(INDEX(Antoines,MATCH(H1268,Antoine_Name,0),2)-INDEX(Antoines,MATCH(H1268,Antoine_Name,0),3)/(INDEX(Antoines,MATCH(H1268,Antoine_Name,0),4)+(H1274-32)*5/9)))*14.7/760,IF(H1269="Crude Oil",EXP((2799/(H1274+459.6)-2.227)*LOG10(INDEX(FX_Input,U$5,H$3*$Z$5+$AA$5))-(7261/(H1274+459.6))+12.82),IF(H1269="Refined Petroleum Stock",EXP((0.7553-(413/(H1274+459.6)))*(INDEX(FX_Input,U$5,H$3*$Z$5+$AA$5-1)^0.5)*LOG10(INDEX(FX_Input,U$5,H$3*$Z$5+$AA$5))-(1.854-(1042/(H1274+459.6)))*(INDEX(FX_Input,U$5,H$3*$Z$5+$AA$5-1)^0.5)+((2416/(H1274+459.6)-2.013)*LOG10(INDEX(FX_Input,U$5,H$3*$Z$5+$AA$5)))-(8742/(H1274+459.6))+15.64),EXP(INDEX(Antoines,MATCH(H1268,Antoine_Name,0),2)-INDEX(Antoines,MATCH(H1268,Antoine_Name,0),3)/(H1274+459.6))))),0)</f>
        <v>0</v>
      </c>
      <c r="I1279" cm="1">
        <f t="array" ref="I1279">IFERROR(IF(I1269="Chemical",(10^(INDEX(Antoines,MATCH(I1268,Antoine_Name,0),2)-INDEX(Antoines,MATCH(I1268,Antoine_Name,0),3)/(INDEX(Antoines,MATCH(I1268,Antoine_Name,0),4)+(I1274-32)*5/9)))*14.7/760,IF(I1269="Crude Oil",EXP((2799/(I1274+459.6)-2.227)*LOG10(INDEX(FX_Input,V$5,I$3*$Z$5+$AA$5))-(7261/(I1274+459.6))+12.82),IF(I1269="Refined Petroleum Stock",EXP((0.7553-(413/(I1274+459.6)))*(INDEX(FX_Input,V$5,I$3*$Z$5+$AA$5-1)^0.5)*LOG10(INDEX(FX_Input,V$5,I$3*$Z$5+$AA$5))-(1.854-(1042/(I1274+459.6)))*(INDEX(FX_Input,V$5,I$3*$Z$5+$AA$5-1)^0.5)+((2416/(I1274+459.6)-2.013)*LOG10(INDEX(FX_Input,V$5,I$3*$Z$5+$AA$5)))-(8742/(I1274+459.6))+15.64),EXP(INDEX(Antoines,MATCH(I1268,Antoine_Name,0),2)-INDEX(Antoines,MATCH(I1268,Antoine_Name,0),3)/(I1274+459.6))))),0)</f>
        <v>0</v>
      </c>
      <c r="J1279" cm="1">
        <f t="array" ref="J1279">IFERROR(IF(J1269="Chemical",(10^(INDEX(Antoines,MATCH(J1268,Antoine_Name,0),2)-INDEX(Antoines,MATCH(J1268,Antoine_Name,0),3)/(INDEX(Antoines,MATCH(J1268,Antoine_Name,0),4)+(J1274-32)*5/9)))*14.7/760,IF(J1269="Crude Oil",EXP((2799/(J1274+459.6)-2.227)*LOG10(INDEX(FX_Input,W$5,J$3*$Z$5+$AA$5))-(7261/(J1274+459.6))+12.82),IF(J1269="Refined Petroleum Stock",EXP((0.7553-(413/(J1274+459.6)))*(INDEX(FX_Input,W$5,J$3*$Z$5+$AA$5-1)^0.5)*LOG10(INDEX(FX_Input,W$5,J$3*$Z$5+$AA$5))-(1.854-(1042/(J1274+459.6)))*(INDEX(FX_Input,W$5,J$3*$Z$5+$AA$5-1)^0.5)+((2416/(J1274+459.6)-2.013)*LOG10(INDEX(FX_Input,W$5,J$3*$Z$5+$AA$5)))-(8742/(J1274+459.6))+15.64),EXP(INDEX(Antoines,MATCH(J1268,Antoine_Name,0),2)-INDEX(Antoines,MATCH(J1268,Antoine_Name,0),3)/(J1274+459.6))))),0)</f>
        <v>0</v>
      </c>
      <c r="K1279" cm="1">
        <f t="array" ref="K1279">IFERROR(IF(K1269="Chemical",(10^(INDEX(Antoines,MATCH(K1268,Antoine_Name,0),2)-INDEX(Antoines,MATCH(K1268,Antoine_Name,0),3)/(INDEX(Antoines,MATCH(K1268,Antoine_Name,0),4)+(K1274-32)*5/9)))*14.7/760,IF(K1269="Crude Oil",EXP((2799/(K1274+459.6)-2.227)*LOG10(INDEX(FX_Input,X$5,K$3*$Z$5+$AA$5))-(7261/(K1274+459.6))+12.82),IF(K1269="Refined Petroleum Stock",EXP((0.7553-(413/(K1274+459.6)))*(INDEX(FX_Input,X$5,K$3*$Z$5+$AA$5-1)^0.5)*LOG10(INDEX(FX_Input,X$5,K$3*$Z$5+$AA$5))-(1.854-(1042/(K1274+459.6)))*(INDEX(FX_Input,X$5,K$3*$Z$5+$AA$5-1)^0.5)+((2416/(K1274+459.6)-2.013)*LOG10(INDEX(FX_Input,X$5,K$3*$Z$5+$AA$5)))-(8742/(K1274+459.6))+15.64),EXP(INDEX(Antoines,MATCH(K1268,Antoine_Name,0),2)-INDEX(Antoines,MATCH(K1268,Antoine_Name,0),3)/(K1274+459.6))))),0)</f>
        <v>0</v>
      </c>
      <c r="L1279" cm="1">
        <f t="array" ref="L1279">IFERROR(IF(L1269="Chemical",(10^(INDEX(Antoines,MATCH(L1268,Antoine_Name,0),2)-INDEX(Antoines,MATCH(L1268,Antoine_Name,0),3)/(INDEX(Antoines,MATCH(L1268,Antoine_Name,0),4)+(L1274-32)*5/9)))*14.7/760,IF(L1269="Crude Oil",EXP((2799/(L1274+459.6)-2.227)*LOG10(INDEX(FX_Input,Y$5,L$3*$Z$5+$AA$5))-(7261/(L1274+459.6))+12.82),IF(L1269="Refined Petroleum Stock",EXP((0.7553-(413/(L1274+459.6)))*(INDEX(FX_Input,Y$5,L$3*$Z$5+$AA$5-1)^0.5)*LOG10(INDEX(FX_Input,Y$5,L$3*$Z$5+$AA$5))-(1.854-(1042/(L1274+459.6)))*(INDEX(FX_Input,Y$5,L$3*$Z$5+$AA$5-1)^0.5)+((2416/(L1274+459.6)-2.013)*LOG10(INDEX(FX_Input,Y$5,L$3*$Z$5+$AA$5)))-(8742/(L1274+459.6))+15.64),EXP(INDEX(Antoines,MATCH(L1268,Antoine_Name,0),2)-INDEX(Antoines,MATCH(L1268,Antoine_Name,0),3)/(L1274+459.6))))),0)</f>
        <v>0</v>
      </c>
      <c r="M1279" cm="1">
        <f t="array" ref="M1279">IFERROR(IF(M1269="Chemical",(10^(INDEX(Antoines,MATCH(M1268,Antoine_Name,0),2)-INDEX(Antoines,MATCH(M1268,Antoine_Name,0),3)/(INDEX(Antoines,MATCH(M1268,Antoine_Name,0),4)+(M1274-32)*5/9)))*14.7/760,IF(M1269="Crude Oil",EXP((2799/(M1274+459.6)-2.227)*LOG10(INDEX(FX_Input,Z$5,M$3*$Z$5+$AA$5))-(7261/(M1274+459.6))+12.82),IF(M1269="Refined Petroleum Stock",EXP((0.7553-(413/(M1274+459.6)))*(INDEX(FX_Input,Z$5,M$3*$Z$5+$AA$5-1)^0.5)*LOG10(INDEX(FX_Input,Z$5,M$3*$Z$5+$AA$5))-(1.854-(1042/(M1274+459.6)))*(INDEX(FX_Input,Z$5,M$3*$Z$5+$AA$5-1)^0.5)+((2416/(M1274+459.6)-2.013)*LOG10(INDEX(FX_Input,Z$5,M$3*$Z$5+$AA$5)))-(8742/(M1274+459.6))+15.64),EXP(INDEX(Antoines,MATCH(M1268,Antoine_Name,0),2)-INDEX(Antoines,MATCH(M1268,Antoine_Name,0),3)/(M1274+459.6))))),0)</f>
        <v>0</v>
      </c>
      <c r="N1279" cm="1">
        <f t="array" ref="N1279">IFERROR(IF(N1269="Chemical",(10^(INDEX(Antoines,MATCH(N1268,Antoine_Name,0),2)-INDEX(Antoines,MATCH(N1268,Antoine_Name,0),3)/(INDEX(Antoines,MATCH(N1268,Antoine_Name,0),4)+(N1274-32)*5/9)))*14.7/760,IF(N1269="Crude Oil",EXP((2799/(N1274+459.6)-2.227)*LOG10(INDEX(FX_Input,AA$5,N$3*$Z$5+$AA$5))-(7261/(N1274+459.6))+12.82),IF(N1269="Refined Petroleum Stock",EXP((0.7553-(413/(N1274+459.6)))*(INDEX(FX_Input,AA$5,N$3*$Z$5+$AA$5-1)^0.5)*LOG10(INDEX(FX_Input,AA$5,N$3*$Z$5+$AA$5))-(1.854-(1042/(N1274+459.6)))*(INDEX(FX_Input,AA$5,N$3*$Z$5+$AA$5-1)^0.5)+((2416/(N1274+459.6)-2.013)*LOG10(INDEX(FX_Input,AA$5,N$3*$Z$5+$AA$5)))-(8742/(N1274+459.6))+15.64),EXP(INDEX(Antoines,MATCH(N1268,Antoine_Name,0),2)-INDEX(Antoines,MATCH(N1268,Antoine_Name,0),3)/(N1274+459.6))))),0)</f>
        <v>0</v>
      </c>
      <c r="O1279" cm="1">
        <f t="array" ref="O1279">IFERROR(IF(O1269="Chemical",(10^(INDEX(Antoines,MATCH(O1268,Antoine_Name,0),2)-INDEX(Antoines,MATCH(O1268,Antoine_Name,0),3)/(INDEX(Antoines,MATCH(O1268,Antoine_Name,0),4)+(O1274-32)*5/9)))*14.7/760,IF(O1269="Crude Oil",EXP((2799/(O1274+459.6)-2.227)*LOG10(INDEX(FX_Input,AB$5,O$3*$Z$5+$AA$5))-(7261/(O1274+459.6))+12.82),IF(O1269="Refined Petroleum Stock",EXP((0.7553-(413/(O1274+459.6)))*(INDEX(FX_Input,AB$5,O$3*$Z$5+$AA$5-1)^0.5)*LOG10(INDEX(FX_Input,AB$5,O$3*$Z$5+$AA$5))-(1.854-(1042/(O1274+459.6)))*(INDEX(FX_Input,AB$5,O$3*$Z$5+$AA$5-1)^0.5)+((2416/(O1274+459.6)-2.013)*LOG10(INDEX(FX_Input,AB$5,O$3*$Z$5+$AA$5)))-(8742/(O1274+459.6))+15.64),EXP(INDEX(Antoines,MATCH(O1268,Antoine_Name,0),2)-INDEX(Antoines,MATCH(O1268,Antoine_Name,0),3)/(O1274+459.6))))),0)</f>
        <v>0</v>
      </c>
    </row>
    <row r="1280" spans="2:32" ht="17.149999999999999" x14ac:dyDescent="0.55000000000000004">
      <c r="B1280" t="str">
        <f t="shared" si="4628"/>
        <v>Portland</v>
      </c>
      <c r="C1280" t="s">
        <v>577</v>
      </c>
      <c r="D1280">
        <f>D1279*D1272</f>
        <v>0</v>
      </c>
      <c r="E1280">
        <f t="shared" ref="E1280" si="4640">E1279*E1272</f>
        <v>0</v>
      </c>
      <c r="F1280">
        <f t="shared" ref="F1280" si="4641">F1279*F1272</f>
        <v>0</v>
      </c>
      <c r="G1280">
        <f t="shared" ref="G1280" si="4642">G1279*G1272</f>
        <v>0</v>
      </c>
      <c r="H1280">
        <f t="shared" ref="H1280" si="4643">H1279*H1272</f>
        <v>0</v>
      </c>
      <c r="I1280">
        <f t="shared" ref="I1280" si="4644">I1279*I1272</f>
        <v>0</v>
      </c>
      <c r="J1280">
        <f t="shared" ref="J1280" si="4645">J1279*J1272</f>
        <v>0</v>
      </c>
      <c r="K1280">
        <f t="shared" ref="K1280" si="4646">K1279*K1272</f>
        <v>0</v>
      </c>
      <c r="L1280">
        <f t="shared" ref="L1280" si="4647">L1279*L1272</f>
        <v>0</v>
      </c>
      <c r="M1280">
        <f t="shared" ref="M1280" si="4648">M1279*M1272</f>
        <v>0</v>
      </c>
      <c r="N1280">
        <f t="shared" ref="N1280" si="4649">N1279*N1272</f>
        <v>0</v>
      </c>
      <c r="O1280">
        <f t="shared" ref="O1280" si="4650">O1279*O1272</f>
        <v>0</v>
      </c>
    </row>
    <row r="1281" spans="1:32" ht="17.149999999999999" x14ac:dyDescent="0.55000000000000004">
      <c r="B1281" t="str">
        <f t="shared" si="4628"/>
        <v>Portland</v>
      </c>
      <c r="C1281" t="s">
        <v>578</v>
      </c>
      <c r="D1281">
        <f>D1280+D1278</f>
        <v>4.739577185808354E-3</v>
      </c>
      <c r="E1281">
        <f t="shared" ref="E1281" si="4651">E1280+E1278</f>
        <v>4.8748667780818778E-3</v>
      </c>
      <c r="F1281">
        <f t="shared" ref="F1281" si="4652">F1280+F1278</f>
        <v>5.119885034186122E-3</v>
      </c>
      <c r="G1281">
        <f t="shared" ref="G1281" si="4653">G1280+G1278</f>
        <v>5.5846958573521795E-3</v>
      </c>
      <c r="H1281">
        <f t="shared" ref="H1281" si="4654">H1280+H1278</f>
        <v>6.5274070972739821E-3</v>
      </c>
      <c r="I1281">
        <f t="shared" ref="I1281" si="4655">I1280+I1278</f>
        <v>7.4199539958878279E-3</v>
      </c>
      <c r="J1281">
        <f t="shared" ref="J1281" si="4656">J1280+J1278</f>
        <v>8.3358107202842254E-3</v>
      </c>
      <c r="K1281">
        <f t="shared" ref="K1281" si="4657">K1280+K1278</f>
        <v>8.4605262729351115E-3</v>
      </c>
      <c r="L1281">
        <f t="shared" ref="L1281" si="4658">L1280+L1278</f>
        <v>7.8399882233967533E-3</v>
      </c>
      <c r="M1281">
        <f t="shared" ref="M1281" si="4659">M1280+M1278</f>
        <v>6.4173462075160911E-3</v>
      </c>
      <c r="N1281">
        <f t="shared" ref="N1281" si="4660">N1280+N1278</f>
        <v>5.3015226887581056E-3</v>
      </c>
      <c r="O1281">
        <f t="shared" ref="O1281" si="4661">O1280+O1278</f>
        <v>4.68970903600947E-3</v>
      </c>
    </row>
    <row r="1282" spans="1:32" ht="17.149999999999999" x14ac:dyDescent="0.55000000000000004">
      <c r="B1282" t="str">
        <f t="shared" si="4628"/>
        <v>Portland</v>
      </c>
      <c r="C1282" t="s">
        <v>579</v>
      </c>
      <c r="D1282" cm="1">
        <f t="array" ref="D1282">IFERROR(IF(D1267="Chemical",(10^(INDEX(Antoines,MATCH(D1266,Antoine_Name,0),2)-INDEX(Antoines,MATCH(D1266,Antoine_Name,0),3)/(INDEX(Antoines,MATCH(D1266,Antoine_Name,0),4)+(D1275-32)*5/9)))*14.7/760,IF(D1267="Crude Oil",EXP((2799/(D1275+459.6)-2.227)*LOG10(INDEX(FX_Input,Q$5,D$3*$Z$5+$AA$5))-(7261/(D1275+459.6))+12.82),IF(D1267="Refined Petroleum Stock",EXP((0.7553-(413/(D1275+459.6)))*(INDEX(FX_Input,Q$5,D$3*$Z$5+$AA$5-1)^0.5)*LOG10(INDEX(FX_Input,Q$5,D$3*$Z$5+$AA$5))-(1.854-(1042/(D1275+459.6)))*(INDEX(FX_Input,Q$5,D$3*$Z$5+$AA$5-1)^0.5)+((2416/(D1275+459.6)-2.013)*LOG10(INDEX(FX_Input,Q$5,D$3*$Z$5+$AA$5)))-(8742/(D1275+459.6))+15.64),EXP(INDEX(Antoines,MATCH(D1266,Antoine_Name,0),2)-INDEX(Antoines,MATCH(D1266,Antoine_Name,0),3)/(D1275+459.6))))),0)</f>
        <v>4.739577185808354E-3</v>
      </c>
      <c r="E1282" cm="1">
        <f t="array" ref="E1282">IFERROR(IF(E1267="Chemical",(10^(INDEX(Antoines,MATCH(E1266,Antoine_Name,0),2)-INDEX(Antoines,MATCH(E1266,Antoine_Name,0),3)/(INDEX(Antoines,MATCH(E1266,Antoine_Name,0),4)+(E1275-32)*5/9)))*14.7/760,IF(E1267="Crude Oil",EXP((2799/(E1275+459.6)-2.227)*LOG10(INDEX(FX_Input,R$5,E$3*$Z$5+$AA$5))-(7261/(E1275+459.6))+12.82),IF(E1267="Refined Petroleum Stock",EXP((0.7553-(413/(E1275+459.6)))*(INDEX(FX_Input,R$5,E$3*$Z$5+$AA$5-1)^0.5)*LOG10(INDEX(FX_Input,R$5,E$3*$Z$5+$AA$5))-(1.854-(1042/(E1275+459.6)))*(INDEX(FX_Input,R$5,E$3*$Z$5+$AA$5-1)^0.5)+((2416/(E1275+459.6)-2.013)*LOG10(INDEX(FX_Input,R$5,E$3*$Z$5+$AA$5)))-(8742/(E1275+459.6))+15.64),EXP(INDEX(Antoines,MATCH(E1266,Antoine_Name,0),2)-INDEX(Antoines,MATCH(E1266,Antoine_Name,0),3)/(E1275+459.6))))),0)</f>
        <v>4.8748667780818778E-3</v>
      </c>
      <c r="F1282" cm="1">
        <f t="array" ref="F1282">IFERROR(IF(F1267="Chemical",(10^(INDEX(Antoines,MATCH(F1266,Antoine_Name,0),2)-INDEX(Antoines,MATCH(F1266,Antoine_Name,0),3)/(INDEX(Antoines,MATCH(F1266,Antoine_Name,0),4)+(F1275-32)*5/9)))*14.7/760,IF(F1267="Crude Oil",EXP((2799/(F1275+459.6)-2.227)*LOG10(INDEX(FX_Input,S$5,F$3*$Z$5+$AA$5))-(7261/(F1275+459.6))+12.82),IF(F1267="Refined Petroleum Stock",EXP((0.7553-(413/(F1275+459.6)))*(INDEX(FX_Input,S$5,F$3*$Z$5+$AA$5-1)^0.5)*LOG10(INDEX(FX_Input,S$5,F$3*$Z$5+$AA$5))-(1.854-(1042/(F1275+459.6)))*(INDEX(FX_Input,S$5,F$3*$Z$5+$AA$5-1)^0.5)+((2416/(F1275+459.6)-2.013)*LOG10(INDEX(FX_Input,S$5,F$3*$Z$5+$AA$5)))-(8742/(F1275+459.6))+15.64),EXP(INDEX(Antoines,MATCH(F1266,Antoine_Name,0),2)-INDEX(Antoines,MATCH(F1266,Antoine_Name,0),3)/(F1275+459.6))))),0)</f>
        <v>5.119885034186122E-3</v>
      </c>
      <c r="G1282" cm="1">
        <f t="array" ref="G1282">IFERROR(IF(G1267="Chemical",(10^(INDEX(Antoines,MATCH(G1266,Antoine_Name,0),2)-INDEX(Antoines,MATCH(G1266,Antoine_Name,0),3)/(INDEX(Antoines,MATCH(G1266,Antoine_Name,0),4)+(G1275-32)*5/9)))*14.7/760,IF(G1267="Crude Oil",EXP((2799/(G1275+459.6)-2.227)*LOG10(INDEX(FX_Input,T$5,G$3*$Z$5+$AA$5))-(7261/(G1275+459.6))+12.82),IF(G1267="Refined Petroleum Stock",EXP((0.7553-(413/(G1275+459.6)))*(INDEX(FX_Input,T$5,G$3*$Z$5+$AA$5-1)^0.5)*LOG10(INDEX(FX_Input,T$5,G$3*$Z$5+$AA$5))-(1.854-(1042/(G1275+459.6)))*(INDEX(FX_Input,T$5,G$3*$Z$5+$AA$5-1)^0.5)+((2416/(G1275+459.6)-2.013)*LOG10(INDEX(FX_Input,T$5,G$3*$Z$5+$AA$5)))-(8742/(G1275+459.6))+15.64),EXP(INDEX(Antoines,MATCH(G1266,Antoine_Name,0),2)-INDEX(Antoines,MATCH(G1266,Antoine_Name,0),3)/(G1275+459.6))))),0)</f>
        <v>5.5846958573521795E-3</v>
      </c>
      <c r="H1282" cm="1">
        <f t="array" ref="H1282">IFERROR(IF(H1267="Chemical",(10^(INDEX(Antoines,MATCH(H1266,Antoine_Name,0),2)-INDEX(Antoines,MATCH(H1266,Antoine_Name,0),3)/(INDEX(Antoines,MATCH(H1266,Antoine_Name,0),4)+(H1275-32)*5/9)))*14.7/760,IF(H1267="Crude Oil",EXP((2799/(H1275+459.6)-2.227)*LOG10(INDEX(FX_Input,U$5,H$3*$Z$5+$AA$5))-(7261/(H1275+459.6))+12.82),IF(H1267="Refined Petroleum Stock",EXP((0.7553-(413/(H1275+459.6)))*(INDEX(FX_Input,U$5,H$3*$Z$5+$AA$5-1)^0.5)*LOG10(INDEX(FX_Input,U$5,H$3*$Z$5+$AA$5))-(1.854-(1042/(H1275+459.6)))*(INDEX(FX_Input,U$5,H$3*$Z$5+$AA$5-1)^0.5)+((2416/(H1275+459.6)-2.013)*LOG10(INDEX(FX_Input,U$5,H$3*$Z$5+$AA$5)))-(8742/(H1275+459.6))+15.64),EXP(INDEX(Antoines,MATCH(H1266,Antoine_Name,0),2)-INDEX(Antoines,MATCH(H1266,Antoine_Name,0),3)/(H1275+459.6))))),0)</f>
        <v>6.5274070972739821E-3</v>
      </c>
      <c r="I1282" cm="1">
        <f t="array" ref="I1282">IFERROR(IF(I1267="Chemical",(10^(INDEX(Antoines,MATCH(I1266,Antoine_Name,0),2)-INDEX(Antoines,MATCH(I1266,Antoine_Name,0),3)/(INDEX(Antoines,MATCH(I1266,Antoine_Name,0),4)+(I1275-32)*5/9)))*14.7/760,IF(I1267="Crude Oil",EXP((2799/(I1275+459.6)-2.227)*LOG10(INDEX(FX_Input,V$5,I$3*$Z$5+$AA$5))-(7261/(I1275+459.6))+12.82),IF(I1267="Refined Petroleum Stock",EXP((0.7553-(413/(I1275+459.6)))*(INDEX(FX_Input,V$5,I$3*$Z$5+$AA$5-1)^0.5)*LOG10(INDEX(FX_Input,V$5,I$3*$Z$5+$AA$5))-(1.854-(1042/(I1275+459.6)))*(INDEX(FX_Input,V$5,I$3*$Z$5+$AA$5-1)^0.5)+((2416/(I1275+459.6)-2.013)*LOG10(INDEX(FX_Input,V$5,I$3*$Z$5+$AA$5)))-(8742/(I1275+459.6))+15.64),EXP(INDEX(Antoines,MATCH(I1266,Antoine_Name,0),2)-INDEX(Antoines,MATCH(I1266,Antoine_Name,0),3)/(I1275+459.6))))),0)</f>
        <v>7.4199539958878279E-3</v>
      </c>
      <c r="J1282" cm="1">
        <f t="array" ref="J1282">IFERROR(IF(J1267="Chemical",(10^(INDEX(Antoines,MATCH(J1266,Antoine_Name,0),2)-INDEX(Antoines,MATCH(J1266,Antoine_Name,0),3)/(INDEX(Antoines,MATCH(J1266,Antoine_Name,0),4)+(J1275-32)*5/9)))*14.7/760,IF(J1267="Crude Oil",EXP((2799/(J1275+459.6)-2.227)*LOG10(INDEX(FX_Input,W$5,J$3*$Z$5+$AA$5))-(7261/(J1275+459.6))+12.82),IF(J1267="Refined Petroleum Stock",EXP((0.7553-(413/(J1275+459.6)))*(INDEX(FX_Input,W$5,J$3*$Z$5+$AA$5-1)^0.5)*LOG10(INDEX(FX_Input,W$5,J$3*$Z$5+$AA$5))-(1.854-(1042/(J1275+459.6)))*(INDEX(FX_Input,W$5,J$3*$Z$5+$AA$5-1)^0.5)+((2416/(J1275+459.6)-2.013)*LOG10(INDEX(FX_Input,W$5,J$3*$Z$5+$AA$5)))-(8742/(J1275+459.6))+15.64),EXP(INDEX(Antoines,MATCH(J1266,Antoine_Name,0),2)-INDEX(Antoines,MATCH(J1266,Antoine_Name,0),3)/(J1275+459.6))))),0)</f>
        <v>8.3358107202842254E-3</v>
      </c>
      <c r="K1282" cm="1">
        <f t="array" ref="K1282">IFERROR(IF(K1267="Chemical",(10^(INDEX(Antoines,MATCH(K1266,Antoine_Name,0),2)-INDEX(Antoines,MATCH(K1266,Antoine_Name,0),3)/(INDEX(Antoines,MATCH(K1266,Antoine_Name,0),4)+(K1275-32)*5/9)))*14.7/760,IF(K1267="Crude Oil",EXP((2799/(K1275+459.6)-2.227)*LOG10(INDEX(FX_Input,X$5,K$3*$Z$5+$AA$5))-(7261/(K1275+459.6))+12.82),IF(K1267="Refined Petroleum Stock",EXP((0.7553-(413/(K1275+459.6)))*(INDEX(FX_Input,X$5,K$3*$Z$5+$AA$5-1)^0.5)*LOG10(INDEX(FX_Input,X$5,K$3*$Z$5+$AA$5))-(1.854-(1042/(K1275+459.6)))*(INDEX(FX_Input,X$5,K$3*$Z$5+$AA$5-1)^0.5)+((2416/(K1275+459.6)-2.013)*LOG10(INDEX(FX_Input,X$5,K$3*$Z$5+$AA$5)))-(8742/(K1275+459.6))+15.64),EXP(INDEX(Antoines,MATCH(K1266,Antoine_Name,0),2)-INDEX(Antoines,MATCH(K1266,Antoine_Name,0),3)/(K1275+459.6))))),0)</f>
        <v>8.4605262729351115E-3</v>
      </c>
      <c r="L1282" cm="1">
        <f t="array" ref="L1282">IFERROR(IF(L1267="Chemical",(10^(INDEX(Antoines,MATCH(L1266,Antoine_Name,0),2)-INDEX(Antoines,MATCH(L1266,Antoine_Name,0),3)/(INDEX(Antoines,MATCH(L1266,Antoine_Name,0),4)+(L1275-32)*5/9)))*14.7/760,IF(L1267="Crude Oil",EXP((2799/(L1275+459.6)-2.227)*LOG10(INDEX(FX_Input,Y$5,L$3*$Z$5+$AA$5))-(7261/(L1275+459.6))+12.82),IF(L1267="Refined Petroleum Stock",EXP((0.7553-(413/(L1275+459.6)))*(INDEX(FX_Input,Y$5,L$3*$Z$5+$AA$5-1)^0.5)*LOG10(INDEX(FX_Input,Y$5,L$3*$Z$5+$AA$5))-(1.854-(1042/(L1275+459.6)))*(INDEX(FX_Input,Y$5,L$3*$Z$5+$AA$5-1)^0.5)+((2416/(L1275+459.6)-2.013)*LOG10(INDEX(FX_Input,Y$5,L$3*$Z$5+$AA$5)))-(8742/(L1275+459.6))+15.64),EXP(INDEX(Antoines,MATCH(L1266,Antoine_Name,0),2)-INDEX(Antoines,MATCH(L1266,Antoine_Name,0),3)/(L1275+459.6))))),0)</f>
        <v>7.8399882233967533E-3</v>
      </c>
      <c r="M1282" cm="1">
        <f t="array" ref="M1282">IFERROR(IF(M1267="Chemical",(10^(INDEX(Antoines,MATCH(M1266,Antoine_Name,0),2)-INDEX(Antoines,MATCH(M1266,Antoine_Name,0),3)/(INDEX(Antoines,MATCH(M1266,Antoine_Name,0),4)+(M1275-32)*5/9)))*14.7/760,IF(M1267="Crude Oil",EXP((2799/(M1275+459.6)-2.227)*LOG10(INDEX(FX_Input,Z$5,M$3*$Z$5+$AA$5))-(7261/(M1275+459.6))+12.82),IF(M1267="Refined Petroleum Stock",EXP((0.7553-(413/(M1275+459.6)))*(INDEX(FX_Input,Z$5,M$3*$Z$5+$AA$5-1)^0.5)*LOG10(INDEX(FX_Input,Z$5,M$3*$Z$5+$AA$5))-(1.854-(1042/(M1275+459.6)))*(INDEX(FX_Input,Z$5,M$3*$Z$5+$AA$5-1)^0.5)+((2416/(M1275+459.6)-2.013)*LOG10(INDEX(FX_Input,Z$5,M$3*$Z$5+$AA$5)))-(8742/(M1275+459.6))+15.64),EXP(INDEX(Antoines,MATCH(M1266,Antoine_Name,0),2)-INDEX(Antoines,MATCH(M1266,Antoine_Name,0),3)/(M1275+459.6))))),0)</f>
        <v>6.4173462075160911E-3</v>
      </c>
      <c r="N1282" cm="1">
        <f t="array" ref="N1282">IFERROR(IF(N1267="Chemical",(10^(INDEX(Antoines,MATCH(N1266,Antoine_Name,0),2)-INDEX(Antoines,MATCH(N1266,Antoine_Name,0),3)/(INDEX(Antoines,MATCH(N1266,Antoine_Name,0),4)+(N1275-32)*5/9)))*14.7/760,IF(N1267="Crude Oil",EXP((2799/(N1275+459.6)-2.227)*LOG10(INDEX(FX_Input,AA$5,N$3*$Z$5+$AA$5))-(7261/(N1275+459.6))+12.82),IF(N1267="Refined Petroleum Stock",EXP((0.7553-(413/(N1275+459.6)))*(INDEX(FX_Input,AA$5,N$3*$Z$5+$AA$5-1)^0.5)*LOG10(INDEX(FX_Input,AA$5,N$3*$Z$5+$AA$5))-(1.854-(1042/(N1275+459.6)))*(INDEX(FX_Input,AA$5,N$3*$Z$5+$AA$5-1)^0.5)+((2416/(N1275+459.6)-2.013)*LOG10(INDEX(FX_Input,AA$5,N$3*$Z$5+$AA$5)))-(8742/(N1275+459.6))+15.64),EXP(INDEX(Antoines,MATCH(N1266,Antoine_Name,0),2)-INDEX(Antoines,MATCH(N1266,Antoine_Name,0),3)/(N1275+459.6))))),0)</f>
        <v>5.3015226887581056E-3</v>
      </c>
      <c r="O1282" cm="1">
        <f t="array" ref="O1282">IFERROR(IF(O1267="Chemical",(10^(INDEX(Antoines,MATCH(O1266,Antoine_Name,0),2)-INDEX(Antoines,MATCH(O1266,Antoine_Name,0),3)/(INDEX(Antoines,MATCH(O1266,Antoine_Name,0),4)+(O1275-32)*5/9)))*14.7/760,IF(O1267="Crude Oil",EXP((2799/(O1275+459.6)-2.227)*LOG10(INDEX(FX_Input,AB$5,O$3*$Z$5+$AA$5))-(7261/(O1275+459.6))+12.82),IF(O1267="Refined Petroleum Stock",EXP((0.7553-(413/(O1275+459.6)))*(INDEX(FX_Input,AB$5,O$3*$Z$5+$AA$5-1)^0.5)*LOG10(INDEX(FX_Input,AB$5,O$3*$Z$5+$AA$5))-(1.854-(1042/(O1275+459.6)))*(INDEX(FX_Input,AB$5,O$3*$Z$5+$AA$5-1)^0.5)+((2416/(O1275+459.6)-2.013)*LOG10(INDEX(FX_Input,AB$5,O$3*$Z$5+$AA$5)))-(8742/(O1275+459.6))+15.64),EXP(INDEX(Antoines,MATCH(O1266,Antoine_Name,0),2)-INDEX(Antoines,MATCH(O1266,Antoine_Name,0),3)/(O1275+459.6))))),0)</f>
        <v>4.68970903600947E-3</v>
      </c>
    </row>
    <row r="1283" spans="1:32" ht="17.149999999999999" x14ac:dyDescent="0.55000000000000004">
      <c r="B1283" t="str">
        <f t="shared" si="4628"/>
        <v>Portland</v>
      </c>
      <c r="C1283" t="s">
        <v>580</v>
      </c>
      <c r="D1283">
        <f>D1282*D1270</f>
        <v>4.739577185808354E-3</v>
      </c>
      <c r="E1283">
        <f t="shared" ref="E1283" si="4662">E1282*E1270</f>
        <v>4.8748667780818778E-3</v>
      </c>
      <c r="F1283">
        <f t="shared" ref="F1283" si="4663">F1282*F1270</f>
        <v>5.119885034186122E-3</v>
      </c>
      <c r="G1283">
        <f t="shared" ref="G1283" si="4664">G1282*G1270</f>
        <v>5.5846958573521795E-3</v>
      </c>
      <c r="H1283">
        <f t="shared" ref="H1283" si="4665">H1282*H1270</f>
        <v>6.5274070972739821E-3</v>
      </c>
      <c r="I1283">
        <f t="shared" ref="I1283" si="4666">I1282*I1270</f>
        <v>7.4199539958878279E-3</v>
      </c>
      <c r="J1283">
        <f t="shared" ref="J1283" si="4667">J1282*J1270</f>
        <v>8.3358107202842254E-3</v>
      </c>
      <c r="K1283">
        <f t="shared" ref="K1283" si="4668">K1282*K1270</f>
        <v>8.4605262729351115E-3</v>
      </c>
      <c r="L1283">
        <f t="shared" ref="L1283" si="4669">L1282*L1270</f>
        <v>7.8399882233967533E-3</v>
      </c>
      <c r="M1283">
        <f t="shared" ref="M1283" si="4670">M1282*M1270</f>
        <v>6.4173462075160911E-3</v>
      </c>
      <c r="N1283">
        <f t="shared" ref="N1283" si="4671">N1282*N1270</f>
        <v>5.3015226887581056E-3</v>
      </c>
      <c r="O1283">
        <f t="shared" ref="O1283" si="4672">O1282*O1270</f>
        <v>4.68970903600947E-3</v>
      </c>
    </row>
    <row r="1284" spans="1:32" ht="17.149999999999999" x14ac:dyDescent="0.55000000000000004">
      <c r="B1284" t="str">
        <f t="shared" si="4628"/>
        <v>Portland</v>
      </c>
      <c r="C1284" t="s">
        <v>581</v>
      </c>
      <c r="D1284" cm="1">
        <f t="array" ref="D1284">IFERROR(IF(D1269="Chemical",(10^(INDEX(Antoines,MATCH(D1268,Antoine_Name,0),2)-INDEX(Antoines,MATCH(D1268,Antoine_Name,0),3)/(INDEX(Antoines,MATCH(D1268,Antoine_Name,0),4)+(D1275-32)*5/9)))*14.7/760,IF(D1269="Crude Oil",EXP((2799/(D1275+459.6)-2.227)*LOG10(INDEX(FX_Input,Q$5,D$3*$Z$5+$AA$5))-(7261/(D1275+459.6))+12.82),IF(D1269="Refined Petroleum Stock",EXP((0.7553-(413/(D1275+459.6)))*(INDEX(FX_Input,Q$5,D$3*$Z$5+$AA$5-1)^0.5)*LOG10(INDEX(FX_Input,Q$5,D$3*$Z$5+$AA$5))-(1.854-(1042/(D1275+459.6)))*(INDEX(FX_Input,Q$5,D$3*$Z$5+$AA$5-1)^0.5)+((2416/(D1275+459.6)-2.013)*LOG10(INDEX(FX_Input,Q$5,D$3*$Z$5+$AA$5)))-(8742/(D1275+459.6))+15.64),EXP(INDEX(Antoines,MATCH(D1268,Antoine_Name,0),2)-INDEX(Antoines,MATCH(D1268,Antoine_Name,0),3)/(D1275+459.6))))),0)</f>
        <v>0</v>
      </c>
      <c r="E1284" cm="1">
        <f t="array" ref="E1284">IFERROR(IF(E1269="Chemical",(10^(INDEX(Antoines,MATCH(E1268,Antoine_Name,0),2)-INDEX(Antoines,MATCH(E1268,Antoine_Name,0),3)/(INDEX(Antoines,MATCH(E1268,Antoine_Name,0),4)+(E1275-32)*5/9)))*14.7/760,IF(E1269="Crude Oil",EXP((2799/(E1275+459.6)-2.227)*LOG10(INDEX(FX_Input,R$5,E$3*$Z$5+$AA$5))-(7261/(E1275+459.6))+12.82),IF(E1269="Refined Petroleum Stock",EXP((0.7553-(413/(E1275+459.6)))*(INDEX(FX_Input,R$5,E$3*$Z$5+$AA$5-1)^0.5)*LOG10(INDEX(FX_Input,R$5,E$3*$Z$5+$AA$5))-(1.854-(1042/(E1275+459.6)))*(INDEX(FX_Input,R$5,E$3*$Z$5+$AA$5-1)^0.5)+((2416/(E1275+459.6)-2.013)*LOG10(INDEX(FX_Input,R$5,E$3*$Z$5+$AA$5)))-(8742/(E1275+459.6))+15.64),EXP(INDEX(Antoines,MATCH(E1268,Antoine_Name,0),2)-INDEX(Antoines,MATCH(E1268,Antoine_Name,0),3)/(E1275+459.6))))),0)</f>
        <v>0</v>
      </c>
      <c r="F1284" cm="1">
        <f t="array" ref="F1284">IFERROR(IF(F1269="Chemical",(10^(INDEX(Antoines,MATCH(F1268,Antoine_Name,0),2)-INDEX(Antoines,MATCH(F1268,Antoine_Name,0),3)/(INDEX(Antoines,MATCH(F1268,Antoine_Name,0),4)+(F1275-32)*5/9)))*14.7/760,IF(F1269="Crude Oil",EXP((2799/(F1275+459.6)-2.227)*LOG10(INDEX(FX_Input,S$5,F$3*$Z$5+$AA$5))-(7261/(F1275+459.6))+12.82),IF(F1269="Refined Petroleum Stock",EXP((0.7553-(413/(F1275+459.6)))*(INDEX(FX_Input,S$5,F$3*$Z$5+$AA$5-1)^0.5)*LOG10(INDEX(FX_Input,S$5,F$3*$Z$5+$AA$5))-(1.854-(1042/(F1275+459.6)))*(INDEX(FX_Input,S$5,F$3*$Z$5+$AA$5-1)^0.5)+((2416/(F1275+459.6)-2.013)*LOG10(INDEX(FX_Input,S$5,F$3*$Z$5+$AA$5)))-(8742/(F1275+459.6))+15.64),EXP(INDEX(Antoines,MATCH(F1268,Antoine_Name,0),2)-INDEX(Antoines,MATCH(F1268,Antoine_Name,0),3)/(F1275+459.6))))),0)</f>
        <v>0</v>
      </c>
      <c r="G1284" cm="1">
        <f t="array" ref="G1284">IFERROR(IF(G1269="Chemical",(10^(INDEX(Antoines,MATCH(G1268,Antoine_Name,0),2)-INDEX(Antoines,MATCH(G1268,Antoine_Name,0),3)/(INDEX(Antoines,MATCH(G1268,Antoine_Name,0),4)+(G1275-32)*5/9)))*14.7/760,IF(G1269="Crude Oil",EXP((2799/(G1275+459.6)-2.227)*LOG10(INDEX(FX_Input,T$5,G$3*$Z$5+$AA$5))-(7261/(G1275+459.6))+12.82),IF(G1269="Refined Petroleum Stock",EXP((0.7553-(413/(G1275+459.6)))*(INDEX(FX_Input,T$5,G$3*$Z$5+$AA$5-1)^0.5)*LOG10(INDEX(FX_Input,T$5,G$3*$Z$5+$AA$5))-(1.854-(1042/(G1275+459.6)))*(INDEX(FX_Input,T$5,G$3*$Z$5+$AA$5-1)^0.5)+((2416/(G1275+459.6)-2.013)*LOG10(INDEX(FX_Input,T$5,G$3*$Z$5+$AA$5)))-(8742/(G1275+459.6))+15.64),EXP(INDEX(Antoines,MATCH(G1268,Antoine_Name,0),2)-INDEX(Antoines,MATCH(G1268,Antoine_Name,0),3)/(G1275+459.6))))),0)</f>
        <v>0</v>
      </c>
      <c r="H1284" cm="1">
        <f t="array" ref="H1284">IFERROR(IF(H1269="Chemical",(10^(INDEX(Antoines,MATCH(H1268,Antoine_Name,0),2)-INDEX(Antoines,MATCH(H1268,Antoine_Name,0),3)/(INDEX(Antoines,MATCH(H1268,Antoine_Name,0),4)+(H1275-32)*5/9)))*14.7/760,IF(H1269="Crude Oil",EXP((2799/(H1275+459.6)-2.227)*LOG10(INDEX(FX_Input,U$5,H$3*$Z$5+$AA$5))-(7261/(H1275+459.6))+12.82),IF(H1269="Refined Petroleum Stock",EXP((0.7553-(413/(H1275+459.6)))*(INDEX(FX_Input,U$5,H$3*$Z$5+$AA$5-1)^0.5)*LOG10(INDEX(FX_Input,U$5,H$3*$Z$5+$AA$5))-(1.854-(1042/(H1275+459.6)))*(INDEX(FX_Input,U$5,H$3*$Z$5+$AA$5-1)^0.5)+((2416/(H1275+459.6)-2.013)*LOG10(INDEX(FX_Input,U$5,H$3*$Z$5+$AA$5)))-(8742/(H1275+459.6))+15.64),EXP(INDEX(Antoines,MATCH(H1268,Antoine_Name,0),2)-INDEX(Antoines,MATCH(H1268,Antoine_Name,0),3)/(H1275+459.6))))),0)</f>
        <v>0</v>
      </c>
      <c r="I1284" cm="1">
        <f t="array" ref="I1284">IFERROR(IF(I1269="Chemical",(10^(INDEX(Antoines,MATCH(I1268,Antoine_Name,0),2)-INDEX(Antoines,MATCH(I1268,Antoine_Name,0),3)/(INDEX(Antoines,MATCH(I1268,Antoine_Name,0),4)+(I1275-32)*5/9)))*14.7/760,IF(I1269="Crude Oil",EXP((2799/(I1275+459.6)-2.227)*LOG10(INDEX(FX_Input,V$5,I$3*$Z$5+$AA$5))-(7261/(I1275+459.6))+12.82),IF(I1269="Refined Petroleum Stock",EXP((0.7553-(413/(I1275+459.6)))*(INDEX(FX_Input,V$5,I$3*$Z$5+$AA$5-1)^0.5)*LOG10(INDEX(FX_Input,V$5,I$3*$Z$5+$AA$5))-(1.854-(1042/(I1275+459.6)))*(INDEX(FX_Input,V$5,I$3*$Z$5+$AA$5-1)^0.5)+((2416/(I1275+459.6)-2.013)*LOG10(INDEX(FX_Input,V$5,I$3*$Z$5+$AA$5)))-(8742/(I1275+459.6))+15.64),EXP(INDEX(Antoines,MATCH(I1268,Antoine_Name,0),2)-INDEX(Antoines,MATCH(I1268,Antoine_Name,0),3)/(I1275+459.6))))),0)</f>
        <v>0</v>
      </c>
      <c r="J1284" cm="1">
        <f t="array" ref="J1284">IFERROR(IF(J1269="Chemical",(10^(INDEX(Antoines,MATCH(J1268,Antoine_Name,0),2)-INDEX(Antoines,MATCH(J1268,Antoine_Name,0),3)/(INDEX(Antoines,MATCH(J1268,Antoine_Name,0),4)+(J1275-32)*5/9)))*14.7/760,IF(J1269="Crude Oil",EXP((2799/(J1275+459.6)-2.227)*LOG10(INDEX(FX_Input,W$5,J$3*$Z$5+$AA$5))-(7261/(J1275+459.6))+12.82),IF(J1269="Refined Petroleum Stock",EXP((0.7553-(413/(J1275+459.6)))*(INDEX(FX_Input,W$5,J$3*$Z$5+$AA$5-1)^0.5)*LOG10(INDEX(FX_Input,W$5,J$3*$Z$5+$AA$5))-(1.854-(1042/(J1275+459.6)))*(INDEX(FX_Input,W$5,J$3*$Z$5+$AA$5-1)^0.5)+((2416/(J1275+459.6)-2.013)*LOG10(INDEX(FX_Input,W$5,J$3*$Z$5+$AA$5)))-(8742/(J1275+459.6))+15.64),EXP(INDEX(Antoines,MATCH(J1268,Antoine_Name,0),2)-INDEX(Antoines,MATCH(J1268,Antoine_Name,0),3)/(J1275+459.6))))),0)</f>
        <v>0</v>
      </c>
      <c r="K1284" cm="1">
        <f t="array" ref="K1284">IFERROR(IF(K1269="Chemical",(10^(INDEX(Antoines,MATCH(K1268,Antoine_Name,0),2)-INDEX(Antoines,MATCH(K1268,Antoine_Name,0),3)/(INDEX(Antoines,MATCH(K1268,Antoine_Name,0),4)+(K1275-32)*5/9)))*14.7/760,IF(K1269="Crude Oil",EXP((2799/(K1275+459.6)-2.227)*LOG10(INDEX(FX_Input,X$5,K$3*$Z$5+$AA$5))-(7261/(K1275+459.6))+12.82),IF(K1269="Refined Petroleum Stock",EXP((0.7553-(413/(K1275+459.6)))*(INDEX(FX_Input,X$5,K$3*$Z$5+$AA$5-1)^0.5)*LOG10(INDEX(FX_Input,X$5,K$3*$Z$5+$AA$5))-(1.854-(1042/(K1275+459.6)))*(INDEX(FX_Input,X$5,K$3*$Z$5+$AA$5-1)^0.5)+((2416/(K1275+459.6)-2.013)*LOG10(INDEX(FX_Input,X$5,K$3*$Z$5+$AA$5)))-(8742/(K1275+459.6))+15.64),EXP(INDEX(Antoines,MATCH(K1268,Antoine_Name,0),2)-INDEX(Antoines,MATCH(K1268,Antoine_Name,0),3)/(K1275+459.6))))),0)</f>
        <v>0</v>
      </c>
      <c r="L1284" cm="1">
        <f t="array" ref="L1284">IFERROR(IF(L1269="Chemical",(10^(INDEX(Antoines,MATCH(L1268,Antoine_Name,0),2)-INDEX(Antoines,MATCH(L1268,Antoine_Name,0),3)/(INDEX(Antoines,MATCH(L1268,Antoine_Name,0),4)+(L1275-32)*5/9)))*14.7/760,IF(L1269="Crude Oil",EXP((2799/(L1275+459.6)-2.227)*LOG10(INDEX(FX_Input,Y$5,L$3*$Z$5+$AA$5))-(7261/(L1275+459.6))+12.82),IF(L1269="Refined Petroleum Stock",EXP((0.7553-(413/(L1275+459.6)))*(INDEX(FX_Input,Y$5,L$3*$Z$5+$AA$5-1)^0.5)*LOG10(INDEX(FX_Input,Y$5,L$3*$Z$5+$AA$5))-(1.854-(1042/(L1275+459.6)))*(INDEX(FX_Input,Y$5,L$3*$Z$5+$AA$5-1)^0.5)+((2416/(L1275+459.6)-2.013)*LOG10(INDEX(FX_Input,Y$5,L$3*$Z$5+$AA$5)))-(8742/(L1275+459.6))+15.64),EXP(INDEX(Antoines,MATCH(L1268,Antoine_Name,0),2)-INDEX(Antoines,MATCH(L1268,Antoine_Name,0),3)/(L1275+459.6))))),0)</f>
        <v>0</v>
      </c>
      <c r="M1284" cm="1">
        <f t="array" ref="M1284">IFERROR(IF(M1269="Chemical",(10^(INDEX(Antoines,MATCH(M1268,Antoine_Name,0),2)-INDEX(Antoines,MATCH(M1268,Antoine_Name,0),3)/(INDEX(Antoines,MATCH(M1268,Antoine_Name,0),4)+(M1275-32)*5/9)))*14.7/760,IF(M1269="Crude Oil",EXP((2799/(M1275+459.6)-2.227)*LOG10(INDEX(FX_Input,Z$5,M$3*$Z$5+$AA$5))-(7261/(M1275+459.6))+12.82),IF(M1269="Refined Petroleum Stock",EXP((0.7553-(413/(M1275+459.6)))*(INDEX(FX_Input,Z$5,M$3*$Z$5+$AA$5-1)^0.5)*LOG10(INDEX(FX_Input,Z$5,M$3*$Z$5+$AA$5))-(1.854-(1042/(M1275+459.6)))*(INDEX(FX_Input,Z$5,M$3*$Z$5+$AA$5-1)^0.5)+((2416/(M1275+459.6)-2.013)*LOG10(INDEX(FX_Input,Z$5,M$3*$Z$5+$AA$5)))-(8742/(M1275+459.6))+15.64),EXP(INDEX(Antoines,MATCH(M1268,Antoine_Name,0),2)-INDEX(Antoines,MATCH(M1268,Antoine_Name,0),3)/(M1275+459.6))))),0)</f>
        <v>0</v>
      </c>
      <c r="N1284" cm="1">
        <f t="array" ref="N1284">IFERROR(IF(N1269="Chemical",(10^(INDEX(Antoines,MATCH(N1268,Antoine_Name,0),2)-INDEX(Antoines,MATCH(N1268,Antoine_Name,0),3)/(INDEX(Antoines,MATCH(N1268,Antoine_Name,0),4)+(N1275-32)*5/9)))*14.7/760,IF(N1269="Crude Oil",EXP((2799/(N1275+459.6)-2.227)*LOG10(INDEX(FX_Input,AA$5,N$3*$Z$5+$AA$5))-(7261/(N1275+459.6))+12.82),IF(N1269="Refined Petroleum Stock",EXP((0.7553-(413/(N1275+459.6)))*(INDEX(FX_Input,AA$5,N$3*$Z$5+$AA$5-1)^0.5)*LOG10(INDEX(FX_Input,AA$5,N$3*$Z$5+$AA$5))-(1.854-(1042/(N1275+459.6)))*(INDEX(FX_Input,AA$5,N$3*$Z$5+$AA$5-1)^0.5)+((2416/(N1275+459.6)-2.013)*LOG10(INDEX(FX_Input,AA$5,N$3*$Z$5+$AA$5)))-(8742/(N1275+459.6))+15.64),EXP(INDEX(Antoines,MATCH(N1268,Antoine_Name,0),2)-INDEX(Antoines,MATCH(N1268,Antoine_Name,0),3)/(N1275+459.6))))),0)</f>
        <v>0</v>
      </c>
      <c r="O1284" cm="1">
        <f t="array" ref="O1284">IFERROR(IF(O1269="Chemical",(10^(INDEX(Antoines,MATCH(O1268,Antoine_Name,0),2)-INDEX(Antoines,MATCH(O1268,Antoine_Name,0),3)/(INDEX(Antoines,MATCH(O1268,Antoine_Name,0),4)+(O1275-32)*5/9)))*14.7/760,IF(O1269="Crude Oil",EXP((2799/(O1275+459.6)-2.227)*LOG10(INDEX(FX_Input,AB$5,O$3*$Z$5+$AA$5))-(7261/(O1275+459.6))+12.82),IF(O1269="Refined Petroleum Stock",EXP((0.7553-(413/(O1275+459.6)))*(INDEX(FX_Input,AB$5,O$3*$Z$5+$AA$5-1)^0.5)*LOG10(INDEX(FX_Input,AB$5,O$3*$Z$5+$AA$5))-(1.854-(1042/(O1275+459.6)))*(INDEX(FX_Input,AB$5,O$3*$Z$5+$AA$5-1)^0.5)+((2416/(O1275+459.6)-2.013)*LOG10(INDEX(FX_Input,AB$5,O$3*$Z$5+$AA$5)))-(8742/(O1275+459.6))+15.64),EXP(INDEX(Antoines,MATCH(O1268,Antoine_Name,0),2)-INDEX(Antoines,MATCH(O1268,Antoine_Name,0),3)/(O1275+459.6))))),0)</f>
        <v>0</v>
      </c>
    </row>
    <row r="1285" spans="1:32" ht="17.149999999999999" x14ac:dyDescent="0.55000000000000004">
      <c r="B1285" t="str">
        <f t="shared" si="4628"/>
        <v>Portland</v>
      </c>
      <c r="C1285" t="s">
        <v>582</v>
      </c>
      <c r="D1285">
        <f>D1284*D1272</f>
        <v>0</v>
      </c>
      <c r="E1285">
        <f t="shared" ref="E1285" si="4673">E1284*E1272</f>
        <v>0</v>
      </c>
      <c r="F1285">
        <f t="shared" ref="F1285" si="4674">F1284*F1272</f>
        <v>0</v>
      </c>
      <c r="G1285">
        <f t="shared" ref="G1285" si="4675">G1284*G1272</f>
        <v>0</v>
      </c>
      <c r="H1285">
        <f t="shared" ref="H1285" si="4676">H1284*H1272</f>
        <v>0</v>
      </c>
      <c r="I1285">
        <f t="shared" ref="I1285" si="4677">I1284*I1272</f>
        <v>0</v>
      </c>
      <c r="J1285">
        <f t="shared" ref="J1285" si="4678">J1284*J1272</f>
        <v>0</v>
      </c>
      <c r="K1285">
        <f t="shared" ref="K1285" si="4679">K1284*K1272</f>
        <v>0</v>
      </c>
      <c r="L1285">
        <f t="shared" ref="L1285" si="4680">L1284*L1272</f>
        <v>0</v>
      </c>
      <c r="M1285">
        <f t="shared" ref="M1285" si="4681">M1284*M1272</f>
        <v>0</v>
      </c>
      <c r="N1285">
        <f t="shared" ref="N1285" si="4682">N1284*N1272</f>
        <v>0</v>
      </c>
      <c r="O1285">
        <f t="shared" ref="O1285" si="4683">O1284*O1272</f>
        <v>0</v>
      </c>
    </row>
    <row r="1286" spans="1:32" ht="17.149999999999999" x14ac:dyDescent="0.55000000000000004">
      <c r="B1286" t="str">
        <f t="shared" si="4628"/>
        <v>Portland</v>
      </c>
      <c r="C1286" t="s">
        <v>583</v>
      </c>
      <c r="D1286">
        <f>D1283+D1285</f>
        <v>4.739577185808354E-3</v>
      </c>
      <c r="E1286">
        <f t="shared" ref="E1286" si="4684">E1283+E1285</f>
        <v>4.8748667780818778E-3</v>
      </c>
      <c r="F1286">
        <f t="shared" ref="F1286" si="4685">F1283+F1285</f>
        <v>5.119885034186122E-3</v>
      </c>
      <c r="G1286">
        <f t="shared" ref="G1286" si="4686">G1283+G1285</f>
        <v>5.5846958573521795E-3</v>
      </c>
      <c r="H1286">
        <f t="shared" ref="H1286" si="4687">H1283+H1285</f>
        <v>6.5274070972739821E-3</v>
      </c>
      <c r="I1286">
        <f t="shared" ref="I1286" si="4688">I1283+I1285</f>
        <v>7.4199539958878279E-3</v>
      </c>
      <c r="J1286">
        <f t="shared" ref="J1286" si="4689">J1283+J1285</f>
        <v>8.3358107202842254E-3</v>
      </c>
      <c r="K1286">
        <f t="shared" ref="K1286" si="4690">K1283+K1285</f>
        <v>8.4605262729351115E-3</v>
      </c>
      <c r="L1286">
        <f t="shared" ref="L1286" si="4691">L1283+L1285</f>
        <v>7.8399882233967533E-3</v>
      </c>
      <c r="M1286">
        <f t="shared" ref="M1286" si="4692">M1283+M1285</f>
        <v>6.4173462075160911E-3</v>
      </c>
      <c r="N1286">
        <f t="shared" ref="N1286" si="4693">N1283+N1285</f>
        <v>5.3015226887581056E-3</v>
      </c>
      <c r="O1286">
        <f t="shared" ref="O1286" si="4694">O1283+O1285</f>
        <v>4.68970903600947E-3</v>
      </c>
    </row>
    <row r="1287" spans="1:32" ht="17.149999999999999" x14ac:dyDescent="0.55000000000000004">
      <c r="B1287" t="str">
        <f t="shared" si="4628"/>
        <v>Portland</v>
      </c>
      <c r="C1287" t="s">
        <v>1388</v>
      </c>
      <c r="D1287" cm="1">
        <f t="array" ref="D1287">IFERROR(IF(D1267="Chemical",(10^(INDEX(Antoines,MATCH(D1266,Antoine_Name,0),2)-INDEX(Antoines,MATCH(D1266,Antoine_Name,0),3)/(INDEX(Antoines,MATCH(D1266,Antoine_Name,0),4)+(D1276-32)*5/9)))*14.7/760,IF(D1267="Crude Oil",EXP((2799/(D1276+459.6)-2.227)*LOG10(INDEX(FX_Input,Q$5,D$3*$Z$5+$AA$5))-(7261/(D1276+459.6))+12.82),IF(D1267="Refined Petroleum Stock",EXP((0.7553-(413/(D1276+459.6)))*(INDEX(FX_Input,Q$5,D$3*$Z$5+$AA$5-1)^0.5)*LOG10(INDEX(FX_Input,Q$5,D$3*$Z$5+$AA$5))-(1.854-(1042/(D1276+459.6)))*(INDEX(FX_Input,Q$5,D$3*$Z$5+$AA$5-1)^0.5)+((2416/(D1276+459.6)-2.013)*LOG10(INDEX(FX_Input,Q$5,D$3*$Z$5+$AA$5)))-(8742/(D1276+459.6))+15.64),EXP(INDEX(Antoines,MATCH(D1266,Antoine_Name,0),2)-INDEX(Antoines,MATCH(D1266,Antoine_Name,0),3)/(D1276+459.6))))),0)</f>
        <v>4.739577185808354E-3</v>
      </c>
      <c r="E1287" cm="1">
        <f t="array" ref="E1287">IFERROR(IF(E1267="Chemical",(10^(INDEX(Antoines,MATCH(E1266,Antoine_Name,0),2)-INDEX(Antoines,MATCH(E1266,Antoine_Name,0),3)/(INDEX(Antoines,MATCH(E1266,Antoine_Name,0),4)+(E1276-32)*5/9)))*14.7/760,IF(E1267="Crude Oil",EXP((2799/(E1276+459.6)-2.227)*LOG10(INDEX(FX_Input,R$5,E$3*$Z$5+$AA$5))-(7261/(E1276+459.6))+12.82),IF(E1267="Refined Petroleum Stock",EXP((0.7553-(413/(E1276+459.6)))*(INDEX(FX_Input,R$5,E$3*$Z$5+$AA$5-1)^0.5)*LOG10(INDEX(FX_Input,R$5,E$3*$Z$5+$AA$5))-(1.854-(1042/(E1276+459.6)))*(INDEX(FX_Input,R$5,E$3*$Z$5+$AA$5-1)^0.5)+((2416/(E1276+459.6)-2.013)*LOG10(INDEX(FX_Input,R$5,E$3*$Z$5+$AA$5)))-(8742/(E1276+459.6))+15.64),EXP(INDEX(Antoines,MATCH(E1266,Antoine_Name,0),2)-INDEX(Antoines,MATCH(E1266,Antoine_Name,0),3)/(E1276+459.6))))),0)</f>
        <v>4.8748667780818778E-3</v>
      </c>
      <c r="F1287" cm="1">
        <f t="array" ref="F1287">IFERROR(IF(F1267="Chemical",(10^(INDEX(Antoines,MATCH(F1266,Antoine_Name,0),2)-INDEX(Antoines,MATCH(F1266,Antoine_Name,0),3)/(INDEX(Antoines,MATCH(F1266,Antoine_Name,0),4)+(F1276-32)*5/9)))*14.7/760,IF(F1267="Crude Oil",EXP((2799/(F1276+459.6)-2.227)*LOG10(INDEX(FX_Input,S$5,F$3*$Z$5+$AA$5))-(7261/(F1276+459.6))+12.82),IF(F1267="Refined Petroleum Stock",EXP((0.7553-(413/(F1276+459.6)))*(INDEX(FX_Input,S$5,F$3*$Z$5+$AA$5-1)^0.5)*LOG10(INDEX(FX_Input,S$5,F$3*$Z$5+$AA$5))-(1.854-(1042/(F1276+459.6)))*(INDEX(FX_Input,S$5,F$3*$Z$5+$AA$5-1)^0.5)+((2416/(F1276+459.6)-2.013)*LOG10(INDEX(FX_Input,S$5,F$3*$Z$5+$AA$5)))-(8742/(F1276+459.6))+15.64),EXP(INDEX(Antoines,MATCH(F1266,Antoine_Name,0),2)-INDEX(Antoines,MATCH(F1266,Antoine_Name,0),3)/(F1276+459.6))))),0)</f>
        <v>5.119885034186122E-3</v>
      </c>
      <c r="G1287" cm="1">
        <f t="array" ref="G1287">IFERROR(IF(G1267="Chemical",(10^(INDEX(Antoines,MATCH(G1266,Antoine_Name,0),2)-INDEX(Antoines,MATCH(G1266,Antoine_Name,0),3)/(INDEX(Antoines,MATCH(G1266,Antoine_Name,0),4)+(G1276-32)*5/9)))*14.7/760,IF(G1267="Crude Oil",EXP((2799/(G1276+459.6)-2.227)*LOG10(INDEX(FX_Input,T$5,G$3*$Z$5+$AA$5))-(7261/(G1276+459.6))+12.82),IF(G1267="Refined Petroleum Stock",EXP((0.7553-(413/(G1276+459.6)))*(INDEX(FX_Input,T$5,G$3*$Z$5+$AA$5-1)^0.5)*LOG10(INDEX(FX_Input,T$5,G$3*$Z$5+$AA$5))-(1.854-(1042/(G1276+459.6)))*(INDEX(FX_Input,T$5,G$3*$Z$5+$AA$5-1)^0.5)+((2416/(G1276+459.6)-2.013)*LOG10(INDEX(FX_Input,T$5,G$3*$Z$5+$AA$5)))-(8742/(G1276+459.6))+15.64),EXP(INDEX(Antoines,MATCH(G1266,Antoine_Name,0),2)-INDEX(Antoines,MATCH(G1266,Antoine_Name,0),3)/(G1276+459.6))))),0)</f>
        <v>5.5846958573521795E-3</v>
      </c>
      <c r="H1287" cm="1">
        <f t="array" ref="H1287">IFERROR(IF(H1267="Chemical",(10^(INDEX(Antoines,MATCH(H1266,Antoine_Name,0),2)-INDEX(Antoines,MATCH(H1266,Antoine_Name,0),3)/(INDEX(Antoines,MATCH(H1266,Antoine_Name,0),4)+(H1276-32)*5/9)))*14.7/760,IF(H1267="Crude Oil",EXP((2799/(H1276+459.6)-2.227)*LOG10(INDEX(FX_Input,U$5,H$3*$Z$5+$AA$5))-(7261/(H1276+459.6))+12.82),IF(H1267="Refined Petroleum Stock",EXP((0.7553-(413/(H1276+459.6)))*(INDEX(FX_Input,U$5,H$3*$Z$5+$AA$5-1)^0.5)*LOG10(INDEX(FX_Input,U$5,H$3*$Z$5+$AA$5))-(1.854-(1042/(H1276+459.6)))*(INDEX(FX_Input,U$5,H$3*$Z$5+$AA$5-1)^0.5)+((2416/(H1276+459.6)-2.013)*LOG10(INDEX(FX_Input,U$5,H$3*$Z$5+$AA$5)))-(8742/(H1276+459.6))+15.64),EXP(INDEX(Antoines,MATCH(H1266,Antoine_Name,0),2)-INDEX(Antoines,MATCH(H1266,Antoine_Name,0),3)/(H1276+459.6))))),0)</f>
        <v>6.5274070972739821E-3</v>
      </c>
      <c r="I1287" cm="1">
        <f t="array" ref="I1287">IFERROR(IF(I1267="Chemical",(10^(INDEX(Antoines,MATCH(I1266,Antoine_Name,0),2)-INDEX(Antoines,MATCH(I1266,Antoine_Name,0),3)/(INDEX(Antoines,MATCH(I1266,Antoine_Name,0),4)+(I1276-32)*5/9)))*14.7/760,IF(I1267="Crude Oil",EXP((2799/(I1276+459.6)-2.227)*LOG10(INDEX(FX_Input,V$5,I$3*$Z$5+$AA$5))-(7261/(I1276+459.6))+12.82),IF(I1267="Refined Petroleum Stock",EXP((0.7553-(413/(I1276+459.6)))*(INDEX(FX_Input,V$5,I$3*$Z$5+$AA$5-1)^0.5)*LOG10(INDEX(FX_Input,V$5,I$3*$Z$5+$AA$5))-(1.854-(1042/(I1276+459.6)))*(INDEX(FX_Input,V$5,I$3*$Z$5+$AA$5-1)^0.5)+((2416/(I1276+459.6)-2.013)*LOG10(INDEX(FX_Input,V$5,I$3*$Z$5+$AA$5)))-(8742/(I1276+459.6))+15.64),EXP(INDEX(Antoines,MATCH(I1266,Antoine_Name,0),2)-INDEX(Antoines,MATCH(I1266,Antoine_Name,0),3)/(I1276+459.6))))),0)</f>
        <v>7.4199539958878279E-3</v>
      </c>
      <c r="J1287" cm="1">
        <f t="array" ref="J1287">IFERROR(IF(J1267="Chemical",(10^(INDEX(Antoines,MATCH(J1266,Antoine_Name,0),2)-INDEX(Antoines,MATCH(J1266,Antoine_Name,0),3)/(INDEX(Antoines,MATCH(J1266,Antoine_Name,0),4)+(J1276-32)*5/9)))*14.7/760,IF(J1267="Crude Oil",EXP((2799/(J1276+459.6)-2.227)*LOG10(INDEX(FX_Input,W$5,J$3*$Z$5+$AA$5))-(7261/(J1276+459.6))+12.82),IF(J1267="Refined Petroleum Stock",EXP((0.7553-(413/(J1276+459.6)))*(INDEX(FX_Input,W$5,J$3*$Z$5+$AA$5-1)^0.5)*LOG10(INDEX(FX_Input,W$5,J$3*$Z$5+$AA$5))-(1.854-(1042/(J1276+459.6)))*(INDEX(FX_Input,W$5,J$3*$Z$5+$AA$5-1)^0.5)+((2416/(J1276+459.6)-2.013)*LOG10(INDEX(FX_Input,W$5,J$3*$Z$5+$AA$5)))-(8742/(J1276+459.6))+15.64),EXP(INDEX(Antoines,MATCH(J1266,Antoine_Name,0),2)-INDEX(Antoines,MATCH(J1266,Antoine_Name,0),3)/(J1276+459.6))))),0)</f>
        <v>8.3358107202842254E-3</v>
      </c>
      <c r="K1287" cm="1">
        <f t="array" ref="K1287">IFERROR(IF(K1267="Chemical",(10^(INDEX(Antoines,MATCH(K1266,Antoine_Name,0),2)-INDEX(Antoines,MATCH(K1266,Antoine_Name,0),3)/(INDEX(Antoines,MATCH(K1266,Antoine_Name,0),4)+(K1276-32)*5/9)))*14.7/760,IF(K1267="Crude Oil",EXP((2799/(K1276+459.6)-2.227)*LOG10(INDEX(FX_Input,X$5,K$3*$Z$5+$AA$5))-(7261/(K1276+459.6))+12.82),IF(K1267="Refined Petroleum Stock",EXP((0.7553-(413/(K1276+459.6)))*(INDEX(FX_Input,X$5,K$3*$Z$5+$AA$5-1)^0.5)*LOG10(INDEX(FX_Input,X$5,K$3*$Z$5+$AA$5))-(1.854-(1042/(K1276+459.6)))*(INDEX(FX_Input,X$5,K$3*$Z$5+$AA$5-1)^0.5)+((2416/(K1276+459.6)-2.013)*LOG10(INDEX(FX_Input,X$5,K$3*$Z$5+$AA$5)))-(8742/(K1276+459.6))+15.64),EXP(INDEX(Antoines,MATCH(K1266,Antoine_Name,0),2)-INDEX(Antoines,MATCH(K1266,Antoine_Name,0),3)/(K1276+459.6))))),0)</f>
        <v>8.4605262729351115E-3</v>
      </c>
      <c r="L1287" cm="1">
        <f t="array" ref="L1287">IFERROR(IF(L1267="Chemical",(10^(INDEX(Antoines,MATCH(L1266,Antoine_Name,0),2)-INDEX(Antoines,MATCH(L1266,Antoine_Name,0),3)/(INDEX(Antoines,MATCH(L1266,Antoine_Name,0),4)+(L1276-32)*5/9)))*14.7/760,IF(L1267="Crude Oil",EXP((2799/(L1276+459.6)-2.227)*LOG10(INDEX(FX_Input,Y$5,L$3*$Z$5+$AA$5))-(7261/(L1276+459.6))+12.82),IF(L1267="Refined Petroleum Stock",EXP((0.7553-(413/(L1276+459.6)))*(INDEX(FX_Input,Y$5,L$3*$Z$5+$AA$5-1)^0.5)*LOG10(INDEX(FX_Input,Y$5,L$3*$Z$5+$AA$5))-(1.854-(1042/(L1276+459.6)))*(INDEX(FX_Input,Y$5,L$3*$Z$5+$AA$5-1)^0.5)+((2416/(L1276+459.6)-2.013)*LOG10(INDEX(FX_Input,Y$5,L$3*$Z$5+$AA$5)))-(8742/(L1276+459.6))+15.64),EXP(INDEX(Antoines,MATCH(L1266,Antoine_Name,0),2)-INDEX(Antoines,MATCH(L1266,Antoine_Name,0),3)/(L1276+459.6))))),0)</f>
        <v>7.8399882233967533E-3</v>
      </c>
      <c r="M1287" cm="1">
        <f t="array" ref="M1287">IFERROR(IF(M1267="Chemical",(10^(INDEX(Antoines,MATCH(M1266,Antoine_Name,0),2)-INDEX(Antoines,MATCH(M1266,Antoine_Name,0),3)/(INDEX(Antoines,MATCH(M1266,Antoine_Name,0),4)+(M1276-32)*5/9)))*14.7/760,IF(M1267="Crude Oil",EXP((2799/(M1276+459.6)-2.227)*LOG10(INDEX(FX_Input,Z$5,M$3*$Z$5+$AA$5))-(7261/(M1276+459.6))+12.82),IF(M1267="Refined Petroleum Stock",EXP((0.7553-(413/(M1276+459.6)))*(INDEX(FX_Input,Z$5,M$3*$Z$5+$AA$5-1)^0.5)*LOG10(INDEX(FX_Input,Z$5,M$3*$Z$5+$AA$5))-(1.854-(1042/(M1276+459.6)))*(INDEX(FX_Input,Z$5,M$3*$Z$5+$AA$5-1)^0.5)+((2416/(M1276+459.6)-2.013)*LOG10(INDEX(FX_Input,Z$5,M$3*$Z$5+$AA$5)))-(8742/(M1276+459.6))+15.64),EXP(INDEX(Antoines,MATCH(M1266,Antoine_Name,0),2)-INDEX(Antoines,MATCH(M1266,Antoine_Name,0),3)/(M1276+459.6))))),0)</f>
        <v>6.4173462075160911E-3</v>
      </c>
      <c r="N1287" cm="1">
        <f t="array" ref="N1287">IFERROR(IF(N1267="Chemical",(10^(INDEX(Antoines,MATCH(N1266,Antoine_Name,0),2)-INDEX(Antoines,MATCH(N1266,Antoine_Name,0),3)/(INDEX(Antoines,MATCH(N1266,Antoine_Name,0),4)+(N1276-32)*5/9)))*14.7/760,IF(N1267="Crude Oil",EXP((2799/(N1276+459.6)-2.227)*LOG10(INDEX(FX_Input,AA$5,N$3*$Z$5+$AA$5))-(7261/(N1276+459.6))+12.82),IF(N1267="Refined Petroleum Stock",EXP((0.7553-(413/(N1276+459.6)))*(INDEX(FX_Input,AA$5,N$3*$Z$5+$AA$5-1)^0.5)*LOG10(INDEX(FX_Input,AA$5,N$3*$Z$5+$AA$5))-(1.854-(1042/(N1276+459.6)))*(INDEX(FX_Input,AA$5,N$3*$Z$5+$AA$5-1)^0.5)+((2416/(N1276+459.6)-2.013)*LOG10(INDEX(FX_Input,AA$5,N$3*$Z$5+$AA$5)))-(8742/(N1276+459.6))+15.64),EXP(INDEX(Antoines,MATCH(N1266,Antoine_Name,0),2)-INDEX(Antoines,MATCH(N1266,Antoine_Name,0),3)/(N1276+459.6))))),0)</f>
        <v>5.3015226887581056E-3</v>
      </c>
      <c r="O1287" cm="1">
        <f t="array" ref="O1287">IFERROR(IF(O1267="Chemical",(10^(INDEX(Antoines,MATCH(O1266,Antoine_Name,0),2)-INDEX(Antoines,MATCH(O1266,Antoine_Name,0),3)/(INDEX(Antoines,MATCH(O1266,Antoine_Name,0),4)+(O1276-32)*5/9)))*14.7/760,IF(O1267="Crude Oil",EXP((2799/(O1276+459.6)-2.227)*LOG10(INDEX(FX_Input,AB$5,O$3*$Z$5+$AA$5))-(7261/(O1276+459.6))+12.82),IF(O1267="Refined Petroleum Stock",EXP((0.7553-(413/(O1276+459.6)))*(INDEX(FX_Input,AB$5,O$3*$Z$5+$AA$5-1)^0.5)*LOG10(INDEX(FX_Input,AB$5,O$3*$Z$5+$AA$5))-(1.854-(1042/(O1276+459.6)))*(INDEX(FX_Input,AB$5,O$3*$Z$5+$AA$5-1)^0.5)+((2416/(O1276+459.6)-2.013)*LOG10(INDEX(FX_Input,AB$5,O$3*$Z$5+$AA$5)))-(8742/(O1276+459.6))+15.64),EXP(INDEX(Antoines,MATCH(O1266,Antoine_Name,0),2)-INDEX(Antoines,MATCH(O1266,Antoine_Name,0),3)/(O1276+459.6))))),0)</f>
        <v>4.68970903600947E-3</v>
      </c>
    </row>
    <row r="1288" spans="1:32" ht="17.149999999999999" x14ac:dyDescent="0.55000000000000004">
      <c r="B1288" t="str">
        <f t="shared" si="4628"/>
        <v>Portland</v>
      </c>
      <c r="C1288" t="s">
        <v>1389</v>
      </c>
      <c r="D1288">
        <f>D1287*D1270</f>
        <v>4.739577185808354E-3</v>
      </c>
      <c r="E1288">
        <f t="shared" ref="E1288" si="4695">E1287*E1270</f>
        <v>4.8748667780818778E-3</v>
      </c>
      <c r="F1288">
        <f t="shared" ref="F1288" si="4696">F1287*F1270</f>
        <v>5.119885034186122E-3</v>
      </c>
      <c r="G1288">
        <f t="shared" ref="G1288" si="4697">G1287*G1270</f>
        <v>5.5846958573521795E-3</v>
      </c>
      <c r="H1288">
        <f t="shared" ref="H1288" si="4698">H1287*H1270</f>
        <v>6.5274070972739821E-3</v>
      </c>
      <c r="I1288">
        <f t="shared" ref="I1288" si="4699">I1287*I1270</f>
        <v>7.4199539958878279E-3</v>
      </c>
      <c r="J1288">
        <f t="shared" ref="J1288" si="4700">J1287*J1270</f>
        <v>8.3358107202842254E-3</v>
      </c>
      <c r="K1288">
        <f t="shared" ref="K1288" si="4701">K1287*K1270</f>
        <v>8.4605262729351115E-3</v>
      </c>
      <c r="L1288">
        <f t="shared" ref="L1288" si="4702">L1287*L1270</f>
        <v>7.8399882233967533E-3</v>
      </c>
      <c r="M1288">
        <f t="shared" ref="M1288" si="4703">M1287*M1270</f>
        <v>6.4173462075160911E-3</v>
      </c>
      <c r="N1288">
        <f t="shared" ref="N1288" si="4704">N1287*N1270</f>
        <v>5.3015226887581056E-3</v>
      </c>
      <c r="O1288">
        <f t="shared" ref="O1288" si="4705">O1287*O1270</f>
        <v>4.68970903600947E-3</v>
      </c>
    </row>
    <row r="1289" spans="1:32" ht="17.149999999999999" x14ac:dyDescent="0.55000000000000004">
      <c r="B1289" t="str">
        <f t="shared" si="4628"/>
        <v>Portland</v>
      </c>
      <c r="C1289" t="s">
        <v>1390</v>
      </c>
      <c r="D1289" cm="1">
        <f t="array" ref="D1289">IFERROR(IF(D1269="Chemical",(10^(INDEX(Antoines,MATCH(D1268,Antoine_Name,0),2)-INDEX(Antoines,MATCH(D1268,Antoine_Name,0),3)/(INDEX(Antoines,MATCH(D1268,Antoine_Name,0),4)+(D1276-32)*5/9)))*14.7/760,IF(D1269="Crude Oil",EXP((2799/(D1276+459.6)-2.227)*LOG10(INDEX(FX_Input,Q$5,D$3*$Z$5+$AA$5))-(7261/(D1276+459.6))+12.82),IF(D1269="Refined Petroleum Stock",EXP((0.7553-(413/(D1276+459.6)))*(INDEX(FX_Input,Q$5,D$3*$Z$5+$AA$5-1)^0.5)*LOG10(INDEX(FX_Input,Q$5,D$3*$Z$5+$AA$5))-(1.854-(1042/(D1276+459.6)))*(INDEX(FX_Input,Q$5,D$3*$Z$5+$AA$5-1)^0.5)+((2416/(D1276+459.6)-2.013)*LOG10(INDEX(FX_Input,Q$5,D$3*$Z$5+$AA$5)))-(8742/(D1276+459.6))+15.64),EXP(INDEX(Antoines,MATCH(D1268,Antoine_Name,0),2)-INDEX(Antoines,MATCH(D1268,Antoine_Name,0),3)/(D1276+459.6))))),0)</f>
        <v>0</v>
      </c>
      <c r="E1289" cm="1">
        <f t="array" ref="E1289">IFERROR(IF(E1269="Chemical",(10^(INDEX(Antoines,MATCH(E1268,Antoine_Name,0),2)-INDEX(Antoines,MATCH(E1268,Antoine_Name,0),3)/(INDEX(Antoines,MATCH(E1268,Antoine_Name,0),4)+(E1276-32)*5/9)))*14.7/760,IF(E1269="Crude Oil",EXP((2799/(E1276+459.6)-2.227)*LOG10(INDEX(FX_Input,R$5,E$3*$Z$5+$AA$5))-(7261/(E1276+459.6))+12.82),IF(E1269="Refined Petroleum Stock",EXP((0.7553-(413/(E1276+459.6)))*(INDEX(FX_Input,R$5,E$3*$Z$5+$AA$5-1)^0.5)*LOG10(INDEX(FX_Input,R$5,E$3*$Z$5+$AA$5))-(1.854-(1042/(E1276+459.6)))*(INDEX(FX_Input,R$5,E$3*$Z$5+$AA$5-1)^0.5)+((2416/(E1276+459.6)-2.013)*LOG10(INDEX(FX_Input,R$5,E$3*$Z$5+$AA$5)))-(8742/(E1276+459.6))+15.64),EXP(INDEX(Antoines,MATCH(E1268,Antoine_Name,0),2)-INDEX(Antoines,MATCH(E1268,Antoine_Name,0),3)/(E1276+459.6))))),0)</f>
        <v>0</v>
      </c>
      <c r="F1289" cm="1">
        <f t="array" ref="F1289">IFERROR(IF(F1269="Chemical",(10^(INDEX(Antoines,MATCH(F1268,Antoine_Name,0),2)-INDEX(Antoines,MATCH(F1268,Antoine_Name,0),3)/(INDEX(Antoines,MATCH(F1268,Antoine_Name,0),4)+(F1276-32)*5/9)))*14.7/760,IF(F1269="Crude Oil",EXP((2799/(F1276+459.6)-2.227)*LOG10(INDEX(FX_Input,S$5,F$3*$Z$5+$AA$5))-(7261/(F1276+459.6))+12.82),IF(F1269="Refined Petroleum Stock",EXP((0.7553-(413/(F1276+459.6)))*(INDEX(FX_Input,S$5,F$3*$Z$5+$AA$5-1)^0.5)*LOG10(INDEX(FX_Input,S$5,F$3*$Z$5+$AA$5))-(1.854-(1042/(F1276+459.6)))*(INDEX(FX_Input,S$5,F$3*$Z$5+$AA$5-1)^0.5)+((2416/(F1276+459.6)-2.013)*LOG10(INDEX(FX_Input,S$5,F$3*$Z$5+$AA$5)))-(8742/(F1276+459.6))+15.64),EXP(INDEX(Antoines,MATCH(F1268,Antoine_Name,0),2)-INDEX(Antoines,MATCH(F1268,Antoine_Name,0),3)/(F1276+459.6))))),0)</f>
        <v>0</v>
      </c>
      <c r="G1289" cm="1">
        <f t="array" ref="G1289">IFERROR(IF(G1269="Chemical",(10^(INDEX(Antoines,MATCH(G1268,Antoine_Name,0),2)-INDEX(Antoines,MATCH(G1268,Antoine_Name,0),3)/(INDEX(Antoines,MATCH(G1268,Antoine_Name,0),4)+(G1276-32)*5/9)))*14.7/760,IF(G1269="Crude Oil",EXP((2799/(G1276+459.6)-2.227)*LOG10(INDEX(FX_Input,T$5,G$3*$Z$5+$AA$5))-(7261/(G1276+459.6))+12.82),IF(G1269="Refined Petroleum Stock",EXP((0.7553-(413/(G1276+459.6)))*(INDEX(FX_Input,T$5,G$3*$Z$5+$AA$5-1)^0.5)*LOG10(INDEX(FX_Input,T$5,G$3*$Z$5+$AA$5))-(1.854-(1042/(G1276+459.6)))*(INDEX(FX_Input,T$5,G$3*$Z$5+$AA$5-1)^0.5)+((2416/(G1276+459.6)-2.013)*LOG10(INDEX(FX_Input,T$5,G$3*$Z$5+$AA$5)))-(8742/(G1276+459.6))+15.64),EXP(INDEX(Antoines,MATCH(G1268,Antoine_Name,0),2)-INDEX(Antoines,MATCH(G1268,Antoine_Name,0),3)/(G1276+459.6))))),0)</f>
        <v>0</v>
      </c>
      <c r="H1289" cm="1">
        <f t="array" ref="H1289">IFERROR(IF(H1269="Chemical",(10^(INDEX(Antoines,MATCH(H1268,Antoine_Name,0),2)-INDEX(Antoines,MATCH(H1268,Antoine_Name,0),3)/(INDEX(Antoines,MATCH(H1268,Antoine_Name,0),4)+(H1276-32)*5/9)))*14.7/760,IF(H1269="Crude Oil",EXP((2799/(H1276+459.6)-2.227)*LOG10(INDEX(FX_Input,U$5,H$3*$Z$5+$AA$5))-(7261/(H1276+459.6))+12.82),IF(H1269="Refined Petroleum Stock",EXP((0.7553-(413/(H1276+459.6)))*(INDEX(FX_Input,U$5,H$3*$Z$5+$AA$5-1)^0.5)*LOG10(INDEX(FX_Input,U$5,H$3*$Z$5+$AA$5))-(1.854-(1042/(H1276+459.6)))*(INDEX(FX_Input,U$5,H$3*$Z$5+$AA$5-1)^0.5)+((2416/(H1276+459.6)-2.013)*LOG10(INDEX(FX_Input,U$5,H$3*$Z$5+$AA$5)))-(8742/(H1276+459.6))+15.64),EXP(INDEX(Antoines,MATCH(H1268,Antoine_Name,0),2)-INDEX(Antoines,MATCH(H1268,Antoine_Name,0),3)/(H1276+459.6))))),0)</f>
        <v>0</v>
      </c>
      <c r="I1289" cm="1">
        <f t="array" ref="I1289">IFERROR(IF(I1269="Chemical",(10^(INDEX(Antoines,MATCH(I1268,Antoine_Name,0),2)-INDEX(Antoines,MATCH(I1268,Antoine_Name,0),3)/(INDEX(Antoines,MATCH(I1268,Antoine_Name,0),4)+(I1276-32)*5/9)))*14.7/760,IF(I1269="Crude Oil",EXP((2799/(I1276+459.6)-2.227)*LOG10(INDEX(FX_Input,V$5,I$3*$Z$5+$AA$5))-(7261/(I1276+459.6))+12.82),IF(I1269="Refined Petroleum Stock",EXP((0.7553-(413/(I1276+459.6)))*(INDEX(FX_Input,V$5,I$3*$Z$5+$AA$5-1)^0.5)*LOG10(INDEX(FX_Input,V$5,I$3*$Z$5+$AA$5))-(1.854-(1042/(I1276+459.6)))*(INDEX(FX_Input,V$5,I$3*$Z$5+$AA$5-1)^0.5)+((2416/(I1276+459.6)-2.013)*LOG10(INDEX(FX_Input,V$5,I$3*$Z$5+$AA$5)))-(8742/(I1276+459.6))+15.64),EXP(INDEX(Antoines,MATCH(I1268,Antoine_Name,0),2)-INDEX(Antoines,MATCH(I1268,Antoine_Name,0),3)/(I1276+459.6))))),0)</f>
        <v>0</v>
      </c>
      <c r="J1289" cm="1">
        <f t="array" ref="J1289">IFERROR(IF(J1269="Chemical",(10^(INDEX(Antoines,MATCH(J1268,Antoine_Name,0),2)-INDEX(Antoines,MATCH(J1268,Antoine_Name,0),3)/(INDEX(Antoines,MATCH(J1268,Antoine_Name,0),4)+(J1276-32)*5/9)))*14.7/760,IF(J1269="Crude Oil",EXP((2799/(J1276+459.6)-2.227)*LOG10(INDEX(FX_Input,W$5,J$3*$Z$5+$AA$5))-(7261/(J1276+459.6))+12.82),IF(J1269="Refined Petroleum Stock",EXP((0.7553-(413/(J1276+459.6)))*(INDEX(FX_Input,W$5,J$3*$Z$5+$AA$5-1)^0.5)*LOG10(INDEX(FX_Input,W$5,J$3*$Z$5+$AA$5))-(1.854-(1042/(J1276+459.6)))*(INDEX(FX_Input,W$5,J$3*$Z$5+$AA$5-1)^0.5)+((2416/(J1276+459.6)-2.013)*LOG10(INDEX(FX_Input,W$5,J$3*$Z$5+$AA$5)))-(8742/(J1276+459.6))+15.64),EXP(INDEX(Antoines,MATCH(J1268,Antoine_Name,0),2)-INDEX(Antoines,MATCH(J1268,Antoine_Name,0),3)/(J1276+459.6))))),0)</f>
        <v>0</v>
      </c>
      <c r="K1289" cm="1">
        <f t="array" ref="K1289">IFERROR(IF(K1269="Chemical",(10^(INDEX(Antoines,MATCH(K1268,Antoine_Name,0),2)-INDEX(Antoines,MATCH(K1268,Antoine_Name,0),3)/(INDEX(Antoines,MATCH(K1268,Antoine_Name,0),4)+(K1276-32)*5/9)))*14.7/760,IF(K1269="Crude Oil",EXP((2799/(K1276+459.6)-2.227)*LOG10(INDEX(FX_Input,X$5,K$3*$Z$5+$AA$5))-(7261/(K1276+459.6))+12.82),IF(K1269="Refined Petroleum Stock",EXP((0.7553-(413/(K1276+459.6)))*(INDEX(FX_Input,X$5,K$3*$Z$5+$AA$5-1)^0.5)*LOG10(INDEX(FX_Input,X$5,K$3*$Z$5+$AA$5))-(1.854-(1042/(K1276+459.6)))*(INDEX(FX_Input,X$5,K$3*$Z$5+$AA$5-1)^0.5)+((2416/(K1276+459.6)-2.013)*LOG10(INDEX(FX_Input,X$5,K$3*$Z$5+$AA$5)))-(8742/(K1276+459.6))+15.64),EXP(INDEX(Antoines,MATCH(K1268,Antoine_Name,0),2)-INDEX(Antoines,MATCH(K1268,Antoine_Name,0),3)/(K1276+459.6))))),0)</f>
        <v>0</v>
      </c>
      <c r="L1289" cm="1">
        <f t="array" ref="L1289">IFERROR(IF(L1269="Chemical",(10^(INDEX(Antoines,MATCH(L1268,Antoine_Name,0),2)-INDEX(Antoines,MATCH(L1268,Antoine_Name,0),3)/(INDEX(Antoines,MATCH(L1268,Antoine_Name,0),4)+(L1276-32)*5/9)))*14.7/760,IF(L1269="Crude Oil",EXP((2799/(L1276+459.6)-2.227)*LOG10(INDEX(FX_Input,Y$5,L$3*$Z$5+$AA$5))-(7261/(L1276+459.6))+12.82),IF(L1269="Refined Petroleum Stock",EXP((0.7553-(413/(L1276+459.6)))*(INDEX(FX_Input,Y$5,L$3*$Z$5+$AA$5-1)^0.5)*LOG10(INDEX(FX_Input,Y$5,L$3*$Z$5+$AA$5))-(1.854-(1042/(L1276+459.6)))*(INDEX(FX_Input,Y$5,L$3*$Z$5+$AA$5-1)^0.5)+((2416/(L1276+459.6)-2.013)*LOG10(INDEX(FX_Input,Y$5,L$3*$Z$5+$AA$5)))-(8742/(L1276+459.6))+15.64),EXP(INDEX(Antoines,MATCH(L1268,Antoine_Name,0),2)-INDEX(Antoines,MATCH(L1268,Antoine_Name,0),3)/(L1276+459.6))))),0)</f>
        <v>0</v>
      </c>
      <c r="M1289" cm="1">
        <f t="array" ref="M1289">IFERROR(IF(M1269="Chemical",(10^(INDEX(Antoines,MATCH(M1268,Antoine_Name,0),2)-INDEX(Antoines,MATCH(M1268,Antoine_Name,0),3)/(INDEX(Antoines,MATCH(M1268,Antoine_Name,0),4)+(M1276-32)*5/9)))*14.7/760,IF(M1269="Crude Oil",EXP((2799/(M1276+459.6)-2.227)*LOG10(INDEX(FX_Input,Z$5,M$3*$Z$5+$AA$5))-(7261/(M1276+459.6))+12.82),IF(M1269="Refined Petroleum Stock",EXP((0.7553-(413/(M1276+459.6)))*(INDEX(FX_Input,Z$5,M$3*$Z$5+$AA$5-1)^0.5)*LOG10(INDEX(FX_Input,Z$5,M$3*$Z$5+$AA$5))-(1.854-(1042/(M1276+459.6)))*(INDEX(FX_Input,Z$5,M$3*$Z$5+$AA$5-1)^0.5)+((2416/(M1276+459.6)-2.013)*LOG10(INDEX(FX_Input,Z$5,M$3*$Z$5+$AA$5)))-(8742/(M1276+459.6))+15.64),EXP(INDEX(Antoines,MATCH(M1268,Antoine_Name,0),2)-INDEX(Antoines,MATCH(M1268,Antoine_Name,0),3)/(M1276+459.6))))),0)</f>
        <v>0</v>
      </c>
      <c r="N1289" cm="1">
        <f t="array" ref="N1289">IFERROR(IF(N1269="Chemical",(10^(INDEX(Antoines,MATCH(N1268,Antoine_Name,0),2)-INDEX(Antoines,MATCH(N1268,Antoine_Name,0),3)/(INDEX(Antoines,MATCH(N1268,Antoine_Name,0),4)+(N1276-32)*5/9)))*14.7/760,IF(N1269="Crude Oil",EXP((2799/(N1276+459.6)-2.227)*LOG10(INDEX(FX_Input,AA$5,N$3*$Z$5+$AA$5))-(7261/(N1276+459.6))+12.82),IF(N1269="Refined Petroleum Stock",EXP((0.7553-(413/(N1276+459.6)))*(INDEX(FX_Input,AA$5,N$3*$Z$5+$AA$5-1)^0.5)*LOG10(INDEX(FX_Input,AA$5,N$3*$Z$5+$AA$5))-(1.854-(1042/(N1276+459.6)))*(INDEX(FX_Input,AA$5,N$3*$Z$5+$AA$5-1)^0.5)+((2416/(N1276+459.6)-2.013)*LOG10(INDEX(FX_Input,AA$5,N$3*$Z$5+$AA$5)))-(8742/(N1276+459.6))+15.64),EXP(INDEX(Antoines,MATCH(N1268,Antoine_Name,0),2)-INDEX(Antoines,MATCH(N1268,Antoine_Name,0),3)/(N1276+459.6))))),0)</f>
        <v>0</v>
      </c>
      <c r="O1289" cm="1">
        <f t="array" ref="O1289">IFERROR(IF(O1269="Chemical",(10^(INDEX(Antoines,MATCH(O1268,Antoine_Name,0),2)-INDEX(Antoines,MATCH(O1268,Antoine_Name,0),3)/(INDEX(Antoines,MATCH(O1268,Antoine_Name,0),4)+(O1276-32)*5/9)))*14.7/760,IF(O1269="Crude Oil",EXP((2799/(O1276+459.6)-2.227)*LOG10(INDEX(FX_Input,AB$5,O$3*$Z$5+$AA$5))-(7261/(O1276+459.6))+12.82),IF(O1269="Refined Petroleum Stock",EXP((0.7553-(413/(O1276+459.6)))*(INDEX(FX_Input,AB$5,O$3*$Z$5+$AA$5-1)^0.5)*LOG10(INDEX(FX_Input,AB$5,O$3*$Z$5+$AA$5))-(1.854-(1042/(O1276+459.6)))*(INDEX(FX_Input,AB$5,O$3*$Z$5+$AA$5-1)^0.5)+((2416/(O1276+459.6)-2.013)*LOG10(INDEX(FX_Input,AB$5,O$3*$Z$5+$AA$5)))-(8742/(O1276+459.6))+15.64),EXP(INDEX(Antoines,MATCH(O1268,Antoine_Name,0),2)-INDEX(Antoines,MATCH(O1268,Antoine_Name,0),3)/(O1276+459.6))))),0)</f>
        <v>0</v>
      </c>
    </row>
    <row r="1290" spans="1:32" ht="17.149999999999999" x14ac:dyDescent="0.55000000000000004">
      <c r="B1290" t="str">
        <f t="shared" si="4628"/>
        <v>Portland</v>
      </c>
      <c r="C1290" t="s">
        <v>1391</v>
      </c>
      <c r="D1290">
        <f>D1289*D1272</f>
        <v>0</v>
      </c>
      <c r="E1290">
        <f t="shared" ref="E1290" si="4706">E1289*E1272</f>
        <v>0</v>
      </c>
      <c r="F1290">
        <f t="shared" ref="F1290" si="4707">F1289*F1272</f>
        <v>0</v>
      </c>
      <c r="G1290">
        <f t="shared" ref="G1290" si="4708">G1289*G1272</f>
        <v>0</v>
      </c>
      <c r="H1290">
        <f t="shared" ref="H1290" si="4709">H1289*H1272</f>
        <v>0</v>
      </c>
      <c r="I1290">
        <f t="shared" ref="I1290" si="4710">I1289*I1272</f>
        <v>0</v>
      </c>
      <c r="J1290">
        <f t="shared" ref="J1290" si="4711">J1289*J1272</f>
        <v>0</v>
      </c>
      <c r="K1290">
        <f t="shared" ref="K1290" si="4712">K1289*K1272</f>
        <v>0</v>
      </c>
      <c r="L1290">
        <f t="shared" ref="L1290" si="4713">L1289*L1272</f>
        <v>0</v>
      </c>
      <c r="M1290">
        <f t="shared" ref="M1290" si="4714">M1289*M1272</f>
        <v>0</v>
      </c>
      <c r="N1290">
        <f t="shared" ref="N1290" si="4715">N1289*N1272</f>
        <v>0</v>
      </c>
      <c r="O1290">
        <f t="shared" ref="O1290" si="4716">O1289*O1272</f>
        <v>0</v>
      </c>
    </row>
    <row r="1291" spans="1:32" ht="17.149999999999999" x14ac:dyDescent="0.55000000000000004">
      <c r="B1291" t="str">
        <f t="shared" si="4628"/>
        <v>Portland</v>
      </c>
      <c r="C1291" t="s">
        <v>1392</v>
      </c>
      <c r="D1291">
        <f>D1288+D1290</f>
        <v>4.739577185808354E-3</v>
      </c>
      <c r="E1291">
        <f t="shared" ref="E1291" si="4717">E1288+E1290</f>
        <v>4.8748667780818778E-3</v>
      </c>
      <c r="F1291">
        <f t="shared" ref="F1291" si="4718">F1288+F1290</f>
        <v>5.119885034186122E-3</v>
      </c>
      <c r="G1291">
        <f t="shared" ref="G1291" si="4719">G1288+G1290</f>
        <v>5.5846958573521795E-3</v>
      </c>
      <c r="H1291">
        <f t="shared" ref="H1291" si="4720">H1288+H1290</f>
        <v>6.5274070972739821E-3</v>
      </c>
      <c r="I1291">
        <f t="shared" ref="I1291" si="4721">I1288+I1290</f>
        <v>7.4199539958878279E-3</v>
      </c>
      <c r="J1291">
        <f t="shared" ref="J1291" si="4722">J1288+J1290</f>
        <v>8.3358107202842254E-3</v>
      </c>
      <c r="K1291">
        <f t="shared" ref="K1291" si="4723">K1288+K1290</f>
        <v>8.4605262729351115E-3</v>
      </c>
      <c r="L1291">
        <f t="shared" ref="L1291" si="4724">L1288+L1290</f>
        <v>7.8399882233967533E-3</v>
      </c>
      <c r="M1291">
        <f t="shared" ref="M1291" si="4725">M1288+M1290</f>
        <v>6.4173462075160911E-3</v>
      </c>
      <c r="N1291">
        <f t="shared" ref="N1291" si="4726">N1288+N1290</f>
        <v>5.3015226887581056E-3</v>
      </c>
      <c r="O1291">
        <f t="shared" ref="O1291" si="4727">O1288+O1290</f>
        <v>4.68970903600947E-3</v>
      </c>
    </row>
    <row r="1292" spans="1:32" ht="17.149999999999999" x14ac:dyDescent="0.55000000000000004">
      <c r="B1292" t="str">
        <f>B1286</f>
        <v>Portland</v>
      </c>
      <c r="C1292" t="s">
        <v>584</v>
      </c>
      <c r="D1292">
        <f>D1288/D1291</f>
        <v>1</v>
      </c>
      <c r="E1292">
        <f t="shared" ref="E1292" si="4728">E1288/E1291</f>
        <v>1</v>
      </c>
      <c r="F1292">
        <f t="shared" ref="F1292" si="4729">F1288/F1291</f>
        <v>1</v>
      </c>
      <c r="G1292">
        <f t="shared" ref="G1292" si="4730">G1288/G1291</f>
        <v>1</v>
      </c>
      <c r="H1292">
        <f t="shared" ref="H1292" si="4731">H1288/H1291</f>
        <v>1</v>
      </c>
      <c r="I1292">
        <f t="shared" ref="I1292" si="4732">I1288/I1291</f>
        <v>1</v>
      </c>
      <c r="J1292">
        <f t="shared" ref="J1292" si="4733">J1288/J1291</f>
        <v>1</v>
      </c>
      <c r="K1292">
        <f t="shared" ref="K1292" si="4734">K1288/K1291</f>
        <v>1</v>
      </c>
      <c r="L1292">
        <f t="shared" ref="L1292" si="4735">L1288/L1291</f>
        <v>1</v>
      </c>
      <c r="M1292">
        <f t="shared" ref="M1292" si="4736">M1288/M1291</f>
        <v>1</v>
      </c>
      <c r="N1292">
        <f t="shared" ref="N1292" si="4737">N1288/N1291</f>
        <v>1</v>
      </c>
      <c r="O1292">
        <f t="shared" ref="O1292" si="4738">O1288/O1291</f>
        <v>1</v>
      </c>
    </row>
    <row r="1293" spans="1:32" ht="17.149999999999999" x14ac:dyDescent="0.55000000000000004">
      <c r="B1293" t="str">
        <f>B1287</f>
        <v>Portland</v>
      </c>
      <c r="C1293" t="s">
        <v>585</v>
      </c>
      <c r="D1293">
        <f t="shared" ref="D1293:O1293" si="4739">INDEX(Phys_Prop,MATCH(D1266,Chem_List,0),3)</f>
        <v>130</v>
      </c>
      <c r="E1293">
        <f t="shared" si="4739"/>
        <v>130</v>
      </c>
      <c r="F1293">
        <f t="shared" si="4739"/>
        <v>130</v>
      </c>
      <c r="G1293">
        <f t="shared" si="4739"/>
        <v>130</v>
      </c>
      <c r="H1293">
        <f t="shared" si="4739"/>
        <v>130</v>
      </c>
      <c r="I1293">
        <f t="shared" si="4739"/>
        <v>130</v>
      </c>
      <c r="J1293">
        <f t="shared" si="4739"/>
        <v>130</v>
      </c>
      <c r="K1293">
        <f t="shared" si="4739"/>
        <v>130</v>
      </c>
      <c r="L1293">
        <f t="shared" si="4739"/>
        <v>130</v>
      </c>
      <c r="M1293">
        <f t="shared" si="4739"/>
        <v>130</v>
      </c>
      <c r="N1293">
        <f t="shared" si="4739"/>
        <v>130</v>
      </c>
      <c r="O1293">
        <f t="shared" si="4739"/>
        <v>130</v>
      </c>
    </row>
    <row r="1294" spans="1:32" ht="17.149999999999999" x14ac:dyDescent="0.55000000000000004">
      <c r="B1294" t="str">
        <f>B1293</f>
        <v>Portland</v>
      </c>
      <c r="C1294" t="s">
        <v>586</v>
      </c>
      <c r="D1294">
        <f>D1290/D1291</f>
        <v>0</v>
      </c>
      <c r="E1294">
        <f t="shared" ref="E1294:O1294" si="4740">E1290/E1291</f>
        <v>0</v>
      </c>
      <c r="F1294">
        <f t="shared" si="4740"/>
        <v>0</v>
      </c>
      <c r="G1294">
        <f t="shared" si="4740"/>
        <v>0</v>
      </c>
      <c r="H1294">
        <f t="shared" si="4740"/>
        <v>0</v>
      </c>
      <c r="I1294">
        <f t="shared" si="4740"/>
        <v>0</v>
      </c>
      <c r="J1294">
        <f t="shared" si="4740"/>
        <v>0</v>
      </c>
      <c r="K1294">
        <f t="shared" si="4740"/>
        <v>0</v>
      </c>
      <c r="L1294">
        <f t="shared" si="4740"/>
        <v>0</v>
      </c>
      <c r="M1294">
        <f t="shared" si="4740"/>
        <v>0</v>
      </c>
      <c r="N1294">
        <f t="shared" si="4740"/>
        <v>0</v>
      </c>
      <c r="O1294">
        <f t="shared" si="4740"/>
        <v>0</v>
      </c>
    </row>
    <row r="1295" spans="1:32" ht="17.149999999999999" x14ac:dyDescent="0.55000000000000004">
      <c r="B1295" t="str">
        <f t="shared" si="4628"/>
        <v>Portland</v>
      </c>
      <c r="C1295" t="s">
        <v>587</v>
      </c>
      <c r="D1295">
        <f t="shared" ref="D1295:O1295" si="4741">IFERROR(INDEX(Phys_Prop,MATCH(D1268,Chem_List,0),3),0)</f>
        <v>0</v>
      </c>
      <c r="E1295">
        <f t="shared" si="4741"/>
        <v>0</v>
      </c>
      <c r="F1295">
        <f t="shared" si="4741"/>
        <v>0</v>
      </c>
      <c r="G1295">
        <f t="shared" si="4741"/>
        <v>0</v>
      </c>
      <c r="H1295">
        <f t="shared" si="4741"/>
        <v>0</v>
      </c>
      <c r="I1295">
        <f t="shared" si="4741"/>
        <v>0</v>
      </c>
      <c r="J1295">
        <f t="shared" si="4741"/>
        <v>0</v>
      </c>
      <c r="K1295">
        <f t="shared" si="4741"/>
        <v>0</v>
      </c>
      <c r="L1295">
        <f t="shared" si="4741"/>
        <v>0</v>
      </c>
      <c r="M1295">
        <f t="shared" si="4741"/>
        <v>0</v>
      </c>
      <c r="N1295">
        <f t="shared" si="4741"/>
        <v>0</v>
      </c>
      <c r="O1295">
        <f t="shared" si="4741"/>
        <v>0</v>
      </c>
    </row>
    <row r="1296" spans="1:32" ht="17.149999999999999" x14ac:dyDescent="0.55000000000000004">
      <c r="A1296" s="11"/>
      <c r="B1296" s="11" t="str">
        <f t="shared" si="4628"/>
        <v>Portland</v>
      </c>
      <c r="C1296" s="11" t="s">
        <v>588</v>
      </c>
      <c r="D1296" s="11">
        <f>IFERROR(D1292*D1293+D1294*D1295,0)</f>
        <v>130</v>
      </c>
      <c r="E1296" s="11">
        <f t="shared" ref="E1296" si="4742">IFERROR(E1292*E1293+E1294*E1295,0)</f>
        <v>130</v>
      </c>
      <c r="F1296" s="11">
        <f t="shared" ref="F1296" si="4743">IFERROR(F1292*F1293+F1294*F1295,0)</f>
        <v>130</v>
      </c>
      <c r="G1296" s="11">
        <f t="shared" ref="G1296" si="4744">IFERROR(G1292*G1293+G1294*G1295,0)</f>
        <v>130</v>
      </c>
      <c r="H1296" s="11">
        <f t="shared" ref="H1296" si="4745">IFERROR(H1292*H1293+H1294*H1295,0)</f>
        <v>130</v>
      </c>
      <c r="I1296" s="11">
        <f t="shared" ref="I1296" si="4746">IFERROR(I1292*I1293+I1294*I1295,0)</f>
        <v>130</v>
      </c>
      <c r="J1296" s="11">
        <f t="shared" ref="J1296" si="4747">IFERROR(J1292*J1293+J1294*J1295,0)</f>
        <v>130</v>
      </c>
      <c r="K1296" s="11">
        <f t="shared" ref="K1296" si="4748">IFERROR(K1292*K1293+K1294*K1295,0)</f>
        <v>130</v>
      </c>
      <c r="L1296" s="11">
        <f t="shared" ref="L1296" si="4749">IFERROR(L1292*L1293+L1294*L1295,0)</f>
        <v>130</v>
      </c>
      <c r="M1296" s="11">
        <f t="shared" ref="M1296" si="4750">IFERROR(M1292*M1293+M1294*M1295,0)</f>
        <v>130</v>
      </c>
      <c r="N1296" s="11">
        <f t="shared" ref="N1296" si="4751">IFERROR(N1292*N1293+N1294*N1295,0)</f>
        <v>130</v>
      </c>
      <c r="O1296" s="11">
        <f t="shared" ref="O1296" si="4752">IFERROR(O1292*O1293+O1294*O1295,0)</f>
        <v>130</v>
      </c>
      <c r="P1296" s="11"/>
      <c r="Q1296" s="11"/>
      <c r="R1296" s="11"/>
      <c r="S1296" s="11"/>
      <c r="T1296" s="11"/>
      <c r="U1296" s="11"/>
      <c r="V1296" s="11"/>
      <c r="W1296" s="11"/>
      <c r="X1296" s="11"/>
      <c r="Y1296" s="11"/>
      <c r="Z1296" s="11"/>
      <c r="AA1296" s="11"/>
      <c r="AB1296" s="11"/>
      <c r="AC1296" s="11"/>
      <c r="AD1296" s="11"/>
      <c r="AE1296" s="11"/>
      <c r="AF1296" s="11"/>
    </row>
    <row r="1297" spans="1:32" ht="17.149999999999999" x14ac:dyDescent="0.55000000000000004">
      <c r="A1297" t="str" cm="1">
        <f t="array" ref="A1297">INDEX(FX_Input,$Q1297,R$5)</f>
        <v>FX - 39</v>
      </c>
      <c r="B1297" t="str" cm="1">
        <f t="array" ref="B1297">INDEX(FX_Input,Q1297,S1297)</f>
        <v>Portland</v>
      </c>
      <c r="C1297" t="s">
        <v>563</v>
      </c>
      <c r="D1297">
        <v>14.7</v>
      </c>
      <c r="E1297">
        <v>14.7</v>
      </c>
      <c r="F1297">
        <v>14.7</v>
      </c>
      <c r="G1297">
        <v>14.7</v>
      </c>
      <c r="H1297">
        <v>14.7</v>
      </c>
      <c r="I1297">
        <v>14.7</v>
      </c>
      <c r="J1297">
        <v>14.7</v>
      </c>
      <c r="K1297">
        <v>14.7</v>
      </c>
      <c r="L1297">
        <v>14.7</v>
      </c>
      <c r="M1297">
        <v>14.7</v>
      </c>
      <c r="N1297">
        <v>14.7</v>
      </c>
      <c r="O1297">
        <v>14.7</v>
      </c>
      <c r="Q1297">
        <f>Q1263+2</f>
        <v>77</v>
      </c>
      <c r="R1297">
        <v>1</v>
      </c>
      <c r="S1297">
        <v>3</v>
      </c>
      <c r="T1297">
        <v>1</v>
      </c>
      <c r="U1297">
        <v>19</v>
      </c>
      <c r="V1297">
        <v>20</v>
      </c>
      <c r="W1297">
        <v>25</v>
      </c>
      <c r="X1297">
        <v>1</v>
      </c>
      <c r="Y1297">
        <v>2</v>
      </c>
      <c r="Z1297">
        <f>(W1297-V1297)/(Y1297-X1297)</f>
        <v>5</v>
      </c>
      <c r="AA1297">
        <f>V1297-Z1297*X1297</f>
        <v>15</v>
      </c>
      <c r="AD1297">
        <f>AD1263+14</f>
        <v>533</v>
      </c>
      <c r="AF1297">
        <f>AF1263+14</f>
        <v>533</v>
      </c>
    </row>
    <row r="1298" spans="1:32" ht="17.149999999999999" x14ac:dyDescent="0.55000000000000004">
      <c r="B1298" t="str">
        <f t="shared" ref="B1298" si="4753">B1297</f>
        <v>Portland</v>
      </c>
      <c r="C1298" t="s">
        <v>564</v>
      </c>
      <c r="D1298" cm="1">
        <f t="array" ref="D1298">IF(ISBLANK(INDEX(FX_Input,$Q1297,$AB1298)),0.03,INDEX(FX_Input,Q1297,AB1298))</f>
        <v>0.03</v>
      </c>
      <c r="E1298" cm="1">
        <f t="array" ref="E1298">IF(ISBLANK(INDEX(FX_Input,$Q1297,$AB1298)),0.03,INDEX(FX_Input,R1297,#REF!))</f>
        <v>0.03</v>
      </c>
      <c r="F1298" cm="1">
        <f t="array" ref="F1298">IF(ISBLANK(INDEX(FX_Input,$Q1297,$AB1298)),0.03,INDEX(FX_Input,S1297,#REF!))</f>
        <v>0.03</v>
      </c>
      <c r="G1298" cm="1">
        <f t="array" ref="G1298">IF(ISBLANK(INDEX(FX_Input,$Q1297,$AB1298)),0.03,INDEX(FX_Input,AB1297,#REF!))</f>
        <v>0.03</v>
      </c>
      <c r="H1298" cm="1">
        <f t="array" ref="H1298">IF(ISBLANK(INDEX(FX_Input,$Q1297,$AB1298)),0.03,INDEX(FX_Input,#REF!,#REF!))</f>
        <v>0.03</v>
      </c>
      <c r="I1298" cm="1">
        <f t="array" ref="I1298">IF(ISBLANK(INDEX(FX_Input,$Q1297,$AB1298)),0.03,INDEX(FX_Input,#REF!,#REF!))</f>
        <v>0.03</v>
      </c>
      <c r="J1298" cm="1">
        <f t="array" ref="J1298">IF(ISBLANK(INDEX(FX_Input,$Q1297,$AB1298)),0.03,INDEX(FX_Input,#REF!,#REF!))</f>
        <v>0.03</v>
      </c>
      <c r="K1298" cm="1">
        <f t="array" ref="K1298">IF(ISBLANK(INDEX(FX_Input,$Q1297,$AB1298)),0.03,INDEX(FX_Input,#REF!,AC1298))</f>
        <v>0.03</v>
      </c>
      <c r="L1298" cm="1">
        <f t="array" ref="L1298">IF(ISBLANK(INDEX(FX_Input,$Q1297,$AB1298)),0.03,INDEX(FX_Input,#REF!,AD1298))</f>
        <v>0.03</v>
      </c>
      <c r="M1298" cm="1">
        <f t="array" ref="M1298">IF(ISBLANK(INDEX(FX_Input,$Q1297,$AB1298)),0.03,INDEX(FX_Input,#REF!,#REF!))</f>
        <v>0.03</v>
      </c>
      <c r="N1298" cm="1">
        <f t="array" ref="N1298">IF(ISBLANK(INDEX(FX_Input,$Q1297,$AB1298)),0.03,INDEX(FX_Input,AC1297,#REF!))</f>
        <v>0.03</v>
      </c>
      <c r="O1298" cm="1">
        <f t="array" ref="O1298">IF(ISBLANK(INDEX(FX_Input,$Q1297,$AB1298)),0.03,INDEX(FX_Input,AD1297,#REF!))</f>
        <v>0.03</v>
      </c>
      <c r="AB1298">
        <v>15</v>
      </c>
    </row>
    <row r="1299" spans="1:32" ht="17.149999999999999" x14ac:dyDescent="0.55000000000000004">
      <c r="B1299" t="str">
        <f>B1298</f>
        <v>Portland</v>
      </c>
      <c r="C1299" t="s">
        <v>565</v>
      </c>
      <c r="D1299" cm="1">
        <f t="array" ref="D1299">IF(ISBLANK(INDEX(FX_Input,$Q1297,$AB1299)),-0.03,INDEX(FX_Input,Q1297,AB1299))</f>
        <v>-0.03</v>
      </c>
      <c r="E1299" cm="1">
        <f t="array" ref="E1299">IF(ISBLANK(INDEX(FX_Input,$Q1297,$AB1299)),-0.03,INDEX(FX_Input,R1297,#REF!))</f>
        <v>-0.03</v>
      </c>
      <c r="F1299" cm="1">
        <f t="array" ref="F1299">IF(ISBLANK(INDEX(FX_Input,$Q1297,$AB1299)),-0.03,INDEX(FX_Input,S1297,#REF!))</f>
        <v>-0.03</v>
      </c>
      <c r="G1299" cm="1">
        <f t="array" ref="G1299">IF(ISBLANK(INDEX(FX_Input,$Q1297,$AB1299)),-0.03,INDEX(FX_Input,AB1297,#REF!))</f>
        <v>-0.03</v>
      </c>
      <c r="H1299" cm="1">
        <f t="array" ref="H1299">IF(ISBLANK(INDEX(FX_Input,$Q1297,$AB1299)),-0.03,INDEX(FX_Input,#REF!,#REF!))</f>
        <v>-0.03</v>
      </c>
      <c r="I1299" cm="1">
        <f t="array" ref="I1299">IF(ISBLANK(INDEX(FX_Input,$Q1297,$AB1299)),-0.03,INDEX(FX_Input,#REF!,#REF!))</f>
        <v>-0.03</v>
      </c>
      <c r="J1299" cm="1">
        <f t="array" ref="J1299">IF(ISBLANK(INDEX(FX_Input,$Q1297,$AB1299)),-0.03,INDEX(FX_Input,#REF!,#REF!))</f>
        <v>-0.03</v>
      </c>
      <c r="K1299" cm="1">
        <f t="array" ref="K1299">IF(ISBLANK(INDEX(FX_Input,$Q1297,$AB1299)),-0.03,INDEX(FX_Input,#REF!,AC1299))</f>
        <v>-0.03</v>
      </c>
      <c r="L1299" cm="1">
        <f t="array" ref="L1299">IF(ISBLANK(INDEX(FX_Input,$Q1297,$AB1299)),-0.03,INDEX(FX_Input,#REF!,AD1299))</f>
        <v>-0.03</v>
      </c>
      <c r="M1299" cm="1">
        <f t="array" ref="M1299">IF(ISBLANK(INDEX(FX_Input,$Q1297,$AB1299)),-0.03,INDEX(FX_Input,#REF!,#REF!))</f>
        <v>-0.03</v>
      </c>
      <c r="N1299" cm="1">
        <f t="array" ref="N1299">IF(ISBLANK(INDEX(FX_Input,$Q1297,$AB1299)),-0.03,INDEX(FX_Input,AC1297,#REF!))</f>
        <v>-0.03</v>
      </c>
      <c r="O1299" cm="1">
        <f t="array" ref="O1299">IF(ISBLANK(INDEX(FX_Input,$Q1297,$AB1299)),-0.03,INDEX(FX_Input,AD1297,#REF!))</f>
        <v>-0.03</v>
      </c>
      <c r="AB1299">
        <v>16</v>
      </c>
    </row>
    <row r="1300" spans="1:32" x14ac:dyDescent="0.4">
      <c r="B1300" t="str">
        <f t="shared" ref="B1300:B1301" si="4754">B1299</f>
        <v>Portland</v>
      </c>
      <c r="C1300" s="66" t="s">
        <v>567</v>
      </c>
      <c r="D1300" t="str" cm="1">
        <f t="array" ref="D1300">INDEX(FX_Multi,$AD1300,D$3)</f>
        <v>Jet kerosene</v>
      </c>
      <c r="E1300" t="str" cm="1">
        <f t="array" ref="E1300">INDEX(FX_Multi,$AD1300,E$3)</f>
        <v>Jet kerosene</v>
      </c>
      <c r="F1300" t="str" cm="1">
        <f t="array" ref="F1300">INDEX(FX_Multi,$AD1300,F$3)</f>
        <v>Jet kerosene</v>
      </c>
      <c r="G1300" t="str" cm="1">
        <f t="array" ref="G1300">INDEX(FX_Multi,$AD1300,G$3)</f>
        <v>Jet kerosene</v>
      </c>
      <c r="H1300" t="str" cm="1">
        <f t="array" ref="H1300">INDEX(FX_Multi,$AD1300,H$3)</f>
        <v>Jet kerosene</v>
      </c>
      <c r="I1300" t="str" cm="1">
        <f t="array" ref="I1300">INDEX(FX_Multi,$AD1300,I$3)</f>
        <v>Jet kerosene</v>
      </c>
      <c r="J1300" t="str" cm="1">
        <f t="array" ref="J1300">INDEX(FX_Multi,$AD1300,J$3)</f>
        <v>Jet kerosene</v>
      </c>
      <c r="K1300" t="str" cm="1">
        <f t="array" ref="K1300">INDEX(FX_Multi,$AD1300,K$3)</f>
        <v>Jet kerosene</v>
      </c>
      <c r="L1300" t="str" cm="1">
        <f t="array" ref="L1300">INDEX(FX_Multi,$AD1300,L$3)</f>
        <v>Jet kerosene</v>
      </c>
      <c r="M1300" t="str" cm="1">
        <f t="array" ref="M1300">INDEX(FX_Multi,$AD1300,M$3)</f>
        <v>Jet kerosene</v>
      </c>
      <c r="N1300" t="str" cm="1">
        <f t="array" ref="N1300">INDEX(FX_Multi,$AD1300,N$3)</f>
        <v>Jet kerosene</v>
      </c>
      <c r="O1300" t="str" cm="1">
        <f t="array" ref="O1300">INDEX(FX_Multi,$AD1300,O$3)</f>
        <v>Jet kerosene</v>
      </c>
      <c r="AC1300">
        <v>1</v>
      </c>
      <c r="AD1300">
        <f>AD1297</f>
        <v>533</v>
      </c>
      <c r="AE1300">
        <v>1</v>
      </c>
      <c r="AF1300">
        <f>AF1297</f>
        <v>533</v>
      </c>
    </row>
    <row r="1301" spans="1:32" x14ac:dyDescent="0.4">
      <c r="B1301" t="str">
        <f t="shared" si="4754"/>
        <v>Portland</v>
      </c>
      <c r="C1301" s="66" t="s">
        <v>566</v>
      </c>
      <c r="D1301" t="str" cm="1">
        <f t="array" ref="D1301">INDEX(FX_Multi,$AD1301,D$3)</f>
        <v>Select Pet Stock</v>
      </c>
      <c r="E1301" t="str" cm="1">
        <f t="array" ref="E1301">INDEX(FX_Multi,$AD1301,E$3)</f>
        <v>Select Pet Stock</v>
      </c>
      <c r="F1301" t="str" cm="1">
        <f t="array" ref="F1301">INDEX(FX_Multi,$AD1301,F$3)</f>
        <v>Select Pet Stock</v>
      </c>
      <c r="G1301" t="str" cm="1">
        <f t="array" ref="G1301">INDEX(FX_Multi,$AD1301,G$3)</f>
        <v>Select Pet Stock</v>
      </c>
      <c r="H1301" t="str" cm="1">
        <f t="array" ref="H1301">INDEX(FX_Multi,$AD1301,H$3)</f>
        <v>Select Pet Stock</v>
      </c>
      <c r="I1301" t="str" cm="1">
        <f t="array" ref="I1301">INDEX(FX_Multi,$AD1301,I$3)</f>
        <v>Select Pet Stock</v>
      </c>
      <c r="J1301" t="str" cm="1">
        <f t="array" ref="J1301">INDEX(FX_Multi,$AD1301,J$3)</f>
        <v>Select Pet Stock</v>
      </c>
      <c r="K1301" t="str" cm="1">
        <f t="array" ref="K1301">INDEX(FX_Multi,$AD1301,K$3)</f>
        <v>Select Pet Stock</v>
      </c>
      <c r="L1301" t="str" cm="1">
        <f t="array" ref="L1301">INDEX(FX_Multi,$AD1301,L$3)</f>
        <v>Select Pet Stock</v>
      </c>
      <c r="M1301" t="str" cm="1">
        <f t="array" ref="M1301">INDEX(FX_Multi,$AD1301,M$3)</f>
        <v>Select Pet Stock</v>
      </c>
      <c r="N1301" t="str" cm="1">
        <f t="array" ref="N1301">INDEX(FX_Multi,$AD1301,N$3)</f>
        <v>Select Pet Stock</v>
      </c>
      <c r="O1301" t="str" cm="1">
        <f t="array" ref="O1301">INDEX(FX_Multi,$AD1301,O$3)</f>
        <v>Select Pet Stock</v>
      </c>
      <c r="AC1301">
        <v>1</v>
      </c>
      <c r="AD1301">
        <f>AD1300+2</f>
        <v>535</v>
      </c>
      <c r="AE1301">
        <v>1</v>
      </c>
      <c r="AF1301">
        <f>AF1300+3</f>
        <v>536</v>
      </c>
    </row>
    <row r="1302" spans="1:32" x14ac:dyDescent="0.4">
      <c r="B1302" t="str">
        <f>B1298</f>
        <v>Portland</v>
      </c>
      <c r="C1302" s="66" t="s">
        <v>568</v>
      </c>
      <c r="D1302" cm="1">
        <f t="array" ref="D1302">INDEX(FX_Multi,$AD1302,D$3)</f>
        <v>0</v>
      </c>
      <c r="E1302" cm="1">
        <f t="array" ref="E1302">INDEX(FX_Multi,$AD1302,E$3)</f>
        <v>0</v>
      </c>
      <c r="F1302" cm="1">
        <f t="array" ref="F1302">INDEX(FX_Multi,$AD1302,F$3)</f>
        <v>0</v>
      </c>
      <c r="G1302" cm="1">
        <f t="array" ref="G1302">INDEX(FX_Multi,$AD1302,G$3)</f>
        <v>0</v>
      </c>
      <c r="H1302" cm="1">
        <f t="array" ref="H1302">INDEX(FX_Multi,$AD1302,H$3)</f>
        <v>0</v>
      </c>
      <c r="I1302" cm="1">
        <f t="array" ref="I1302">INDEX(FX_Multi,$AD1302,I$3)</f>
        <v>0</v>
      </c>
      <c r="J1302" cm="1">
        <f t="array" ref="J1302">INDEX(FX_Multi,$AD1302,J$3)</f>
        <v>0</v>
      </c>
      <c r="K1302" cm="1">
        <f t="array" ref="K1302">INDEX(FX_Multi,$AD1302,K$3)</f>
        <v>0</v>
      </c>
      <c r="L1302" cm="1">
        <f t="array" ref="L1302">INDEX(FX_Multi,$AD1302,L$3)</f>
        <v>0</v>
      </c>
      <c r="M1302" cm="1">
        <f t="array" ref="M1302">INDEX(FX_Multi,$AD1302,M$3)</f>
        <v>0</v>
      </c>
      <c r="N1302" cm="1">
        <f t="array" ref="N1302">INDEX(FX_Multi,$AD1302,N$3)</f>
        <v>0</v>
      </c>
      <c r="O1302" cm="1">
        <f t="array" ref="O1302">INDEX(FX_Multi,$AD1302,O$3)</f>
        <v>0</v>
      </c>
      <c r="AC1302">
        <v>1</v>
      </c>
      <c r="AD1302">
        <f>AD1301-1</f>
        <v>534</v>
      </c>
      <c r="AE1302">
        <v>1</v>
      </c>
      <c r="AF1302">
        <f>AF1300+1</f>
        <v>534</v>
      </c>
    </row>
    <row r="1303" spans="1:32" x14ac:dyDescent="0.4">
      <c r="B1303" t="str">
        <f t="shared" ref="B1303:B1307" si="4755">B1302</f>
        <v>Portland</v>
      </c>
      <c r="C1303" s="66" t="s">
        <v>569</v>
      </c>
      <c r="D1303" cm="1">
        <f t="array" ref="D1303">INDEX(FX_Multi,$AD1303,D$3)</f>
        <v>0</v>
      </c>
      <c r="E1303" cm="1">
        <f t="array" ref="E1303">INDEX(FX_Multi,$AD1303,E$3)</f>
        <v>0</v>
      </c>
      <c r="F1303" cm="1">
        <f t="array" ref="F1303">INDEX(FX_Multi,$AD1303,F$3)</f>
        <v>0</v>
      </c>
      <c r="G1303" cm="1">
        <f t="array" ref="G1303">INDEX(FX_Multi,$AD1303,G$3)</f>
        <v>0</v>
      </c>
      <c r="H1303" cm="1">
        <f t="array" ref="H1303">INDEX(FX_Multi,$AD1303,H$3)</f>
        <v>0</v>
      </c>
      <c r="I1303" cm="1">
        <f t="array" ref="I1303">INDEX(FX_Multi,$AD1303,I$3)</f>
        <v>0</v>
      </c>
      <c r="J1303" cm="1">
        <f t="array" ref="J1303">INDEX(FX_Multi,$AD1303,J$3)</f>
        <v>0</v>
      </c>
      <c r="K1303" cm="1">
        <f t="array" ref="K1303">INDEX(FX_Multi,$AD1303,K$3)</f>
        <v>0</v>
      </c>
      <c r="L1303" cm="1">
        <f t="array" ref="L1303">INDEX(FX_Multi,$AD1303,L$3)</f>
        <v>0</v>
      </c>
      <c r="M1303" cm="1">
        <f t="array" ref="M1303">INDEX(FX_Multi,$AD1303,M$3)</f>
        <v>0</v>
      </c>
      <c r="N1303" cm="1">
        <f t="array" ref="N1303">INDEX(FX_Multi,$AD1303,N$3)</f>
        <v>0</v>
      </c>
      <c r="O1303" cm="1">
        <f t="array" ref="O1303">INDEX(FX_Multi,$AD1303,O$3)</f>
        <v>0</v>
      </c>
      <c r="AC1303">
        <v>1</v>
      </c>
      <c r="AD1303">
        <f>AD1302+2</f>
        <v>536</v>
      </c>
      <c r="AE1303">
        <v>1</v>
      </c>
      <c r="AF1303">
        <f>AF1301</f>
        <v>536</v>
      </c>
    </row>
    <row r="1304" spans="1:32" ht="17.149999999999999" x14ac:dyDescent="0.55000000000000004">
      <c r="B1304" t="str">
        <f t="shared" si="4755"/>
        <v>Portland</v>
      </c>
      <c r="C1304" t="s">
        <v>570</v>
      </c>
      <c r="D1304" cm="1">
        <f t="array" ref="D1304">INDEX(FX_Multi,$AD1304,D$3)</f>
        <v>1</v>
      </c>
      <c r="E1304" cm="1">
        <f t="array" ref="E1304">INDEX(FX_Multi,$AD1304,E$3)</f>
        <v>1</v>
      </c>
      <c r="F1304" cm="1">
        <f t="array" ref="F1304">INDEX(FX_Multi,$AD1304,F$3)</f>
        <v>1</v>
      </c>
      <c r="G1304" cm="1">
        <f t="array" ref="G1304">INDEX(FX_Multi,$AD1304,G$3)</f>
        <v>1</v>
      </c>
      <c r="H1304" cm="1">
        <f t="array" ref="H1304">INDEX(FX_Multi,$AD1304,H$3)</f>
        <v>1</v>
      </c>
      <c r="I1304" cm="1">
        <f t="array" ref="I1304">INDEX(FX_Multi,$AD1304,I$3)</f>
        <v>1</v>
      </c>
      <c r="J1304" cm="1">
        <f t="array" ref="J1304">INDEX(FX_Multi,$AD1304,J$3)</f>
        <v>1</v>
      </c>
      <c r="K1304" cm="1">
        <f t="array" ref="K1304">INDEX(FX_Multi,$AD1304,K$3)</f>
        <v>1</v>
      </c>
      <c r="L1304" cm="1">
        <f t="array" ref="L1304">INDEX(FX_Multi,$AD1304,L$3)</f>
        <v>1</v>
      </c>
      <c r="M1304" cm="1">
        <f t="array" ref="M1304">INDEX(FX_Multi,$AD1304,M$3)</f>
        <v>1</v>
      </c>
      <c r="N1304" cm="1">
        <f t="array" ref="N1304">INDEX(FX_Multi,$AD1304,N$3)</f>
        <v>1</v>
      </c>
      <c r="O1304" cm="1">
        <f t="array" ref="O1304">INDEX(FX_Multi,$AD1304,O$3)</f>
        <v>1</v>
      </c>
      <c r="AC1304">
        <v>1</v>
      </c>
      <c r="AD1304">
        <f>AD1303+6</f>
        <v>542</v>
      </c>
      <c r="AE1304">
        <v>1</v>
      </c>
      <c r="AF1304">
        <f>AF1300+9</f>
        <v>542</v>
      </c>
    </row>
    <row r="1305" spans="1:32" ht="17.149999999999999" x14ac:dyDescent="0.55000000000000004">
      <c r="B1305" t="str">
        <f t="shared" si="4755"/>
        <v>Portland</v>
      </c>
      <c r="C1305" t="s">
        <v>571</v>
      </c>
      <c r="D1305" cm="1">
        <f t="array" ref="D1305">INDEX(FX_Multi,$AD1305,D$3)</f>
        <v>162</v>
      </c>
      <c r="E1305" cm="1">
        <f t="array" ref="E1305">INDEX(FX_Multi,$AD1305,E$3)</f>
        <v>162</v>
      </c>
      <c r="F1305" cm="1">
        <f t="array" ref="F1305">INDEX(FX_Multi,$AD1305,F$3)</f>
        <v>162</v>
      </c>
      <c r="G1305" cm="1">
        <f t="array" ref="G1305">INDEX(FX_Multi,$AD1305,G$3)</f>
        <v>162</v>
      </c>
      <c r="H1305" cm="1">
        <f t="array" ref="H1305">INDEX(FX_Multi,$AD1305,H$3)</f>
        <v>162</v>
      </c>
      <c r="I1305" cm="1">
        <f t="array" ref="I1305">INDEX(FX_Multi,$AD1305,I$3)</f>
        <v>162</v>
      </c>
      <c r="J1305" cm="1">
        <f t="array" ref="J1305">INDEX(FX_Multi,$AD1305,J$3)</f>
        <v>162</v>
      </c>
      <c r="K1305" cm="1">
        <f t="array" ref="K1305">INDEX(FX_Multi,$AD1305,K$3)</f>
        <v>162</v>
      </c>
      <c r="L1305" cm="1">
        <f t="array" ref="L1305">INDEX(FX_Multi,$AD1305,L$3)</f>
        <v>162</v>
      </c>
      <c r="M1305" cm="1">
        <f t="array" ref="M1305">INDEX(FX_Multi,$AD1305,M$3)</f>
        <v>162</v>
      </c>
      <c r="N1305" cm="1">
        <f t="array" ref="N1305">INDEX(FX_Multi,$AD1305,N$3)</f>
        <v>162</v>
      </c>
      <c r="O1305" cm="1">
        <f t="array" ref="O1305">INDEX(FX_Multi,$AD1305,O$3)</f>
        <v>162</v>
      </c>
      <c r="AC1305">
        <v>1</v>
      </c>
      <c r="AD1305">
        <f>AD1304-3</f>
        <v>539</v>
      </c>
      <c r="AE1305">
        <v>1</v>
      </c>
      <c r="AF1305">
        <f>AF1300+6</f>
        <v>539</v>
      </c>
    </row>
    <row r="1306" spans="1:32" ht="17.149999999999999" x14ac:dyDescent="0.55000000000000004">
      <c r="B1306" t="str">
        <f t="shared" si="4755"/>
        <v>Portland</v>
      </c>
      <c r="C1306" t="s">
        <v>572</v>
      </c>
      <c r="D1306" cm="1">
        <f t="array" ref="D1306">INDEX(FX_Multi,$AD1306,D$3)</f>
        <v>0</v>
      </c>
      <c r="E1306" cm="1">
        <f t="array" ref="E1306">INDEX(FX_Multi,$AD1306,E$3)</f>
        <v>0</v>
      </c>
      <c r="F1306" cm="1">
        <f t="array" ref="F1306">INDEX(FX_Multi,$AD1306,F$3)</f>
        <v>0</v>
      </c>
      <c r="G1306" cm="1">
        <f t="array" ref="G1306">INDEX(FX_Multi,$AD1306,G$3)</f>
        <v>0</v>
      </c>
      <c r="H1306" cm="1">
        <f t="array" ref="H1306">INDEX(FX_Multi,$AD1306,H$3)</f>
        <v>0</v>
      </c>
      <c r="I1306" cm="1">
        <f t="array" ref="I1306">INDEX(FX_Multi,$AD1306,I$3)</f>
        <v>0</v>
      </c>
      <c r="J1306" cm="1">
        <f t="array" ref="J1306">INDEX(FX_Multi,$AD1306,J$3)</f>
        <v>0</v>
      </c>
      <c r="K1306" cm="1">
        <f t="array" ref="K1306">INDEX(FX_Multi,$AD1306,K$3)</f>
        <v>0</v>
      </c>
      <c r="L1306" cm="1">
        <f t="array" ref="L1306">INDEX(FX_Multi,$AD1306,L$3)</f>
        <v>0</v>
      </c>
      <c r="M1306" cm="1">
        <f t="array" ref="M1306">INDEX(FX_Multi,$AD1306,M$3)</f>
        <v>0</v>
      </c>
      <c r="N1306" cm="1">
        <f t="array" ref="N1306">INDEX(FX_Multi,$AD1306,N$3)</f>
        <v>0</v>
      </c>
      <c r="O1306" cm="1">
        <f t="array" ref="O1306">INDEX(FX_Multi,$AD1306,O$3)</f>
        <v>0</v>
      </c>
      <c r="AC1306">
        <v>1</v>
      </c>
      <c r="AD1306">
        <f>AD1305+4</f>
        <v>543</v>
      </c>
      <c r="AE1306">
        <v>1</v>
      </c>
      <c r="AF1306">
        <f>AF1300+10</f>
        <v>543</v>
      </c>
    </row>
    <row r="1307" spans="1:32" ht="17.149999999999999" x14ac:dyDescent="0.55000000000000004">
      <c r="B1307" t="str">
        <f t="shared" si="4755"/>
        <v>Portland</v>
      </c>
      <c r="C1307" t="s">
        <v>573</v>
      </c>
      <c r="D1307" cm="1">
        <f t="array" ref="D1307">INDEX(FX_Multi,$AD1307,D$3)</f>
        <v>0</v>
      </c>
      <c r="E1307" cm="1">
        <f t="array" ref="E1307">INDEX(FX_Multi,$AD1307,E$3)</f>
        <v>0</v>
      </c>
      <c r="F1307" cm="1">
        <f t="array" ref="F1307">INDEX(FX_Multi,$AD1307,F$3)</f>
        <v>0</v>
      </c>
      <c r="G1307" cm="1">
        <f t="array" ref="G1307">INDEX(FX_Multi,$AD1307,G$3)</f>
        <v>0</v>
      </c>
      <c r="H1307" cm="1">
        <f t="array" ref="H1307">INDEX(FX_Multi,$AD1307,H$3)</f>
        <v>0</v>
      </c>
      <c r="I1307" cm="1">
        <f t="array" ref="I1307">INDEX(FX_Multi,$AD1307,I$3)</f>
        <v>0</v>
      </c>
      <c r="J1307" cm="1">
        <f t="array" ref="J1307">INDEX(FX_Multi,$AD1307,J$3)</f>
        <v>0</v>
      </c>
      <c r="K1307" cm="1">
        <f t="array" ref="K1307">INDEX(FX_Multi,$AD1307,K$3)</f>
        <v>0</v>
      </c>
      <c r="L1307" cm="1">
        <f t="array" ref="L1307">INDEX(FX_Multi,$AD1307,L$3)</f>
        <v>0</v>
      </c>
      <c r="M1307" cm="1">
        <f t="array" ref="M1307">INDEX(FX_Multi,$AD1307,M$3)</f>
        <v>0</v>
      </c>
      <c r="N1307" cm="1">
        <f t="array" ref="N1307">INDEX(FX_Multi,$AD1307,N$3)</f>
        <v>0</v>
      </c>
      <c r="O1307" cm="1">
        <f t="array" ref="O1307">INDEX(FX_Multi,$AD1307,O$3)</f>
        <v>0</v>
      </c>
      <c r="AC1307">
        <v>1</v>
      </c>
      <c r="AD1307">
        <f>AD1306-3</f>
        <v>540</v>
      </c>
      <c r="AE1307">
        <v>1</v>
      </c>
      <c r="AF1307">
        <f>AF1300+7</f>
        <v>540</v>
      </c>
    </row>
    <row r="1308" spans="1:32" ht="17.149999999999999" x14ac:dyDescent="0.55000000000000004">
      <c r="B1308" t="str">
        <f>B1303</f>
        <v>Portland</v>
      </c>
      <c r="C1308" t="s">
        <v>526</v>
      </c>
      <c r="D1308" cm="1">
        <f t="array" ref="D1308">INDEX(FX_Temps,$AF1308,D$3)</f>
        <v>43.899999999999977</v>
      </c>
      <c r="E1308" cm="1">
        <f t="array" ref="E1308">INDEX(FX_Temps,$AF1308,E$3)</f>
        <v>44.700000000000045</v>
      </c>
      <c r="F1308" cm="1">
        <f t="array" ref="F1308">INDEX(FX_Temps,$AF1308,F$3)</f>
        <v>46.100000000000023</v>
      </c>
      <c r="G1308" cm="1">
        <f t="array" ref="G1308">INDEX(FX_Temps,$AF1308,G$3)</f>
        <v>48.599999999999966</v>
      </c>
      <c r="H1308" cm="1">
        <f t="array" ref="H1308">INDEX(FX_Temps,$AF1308,H$3)</f>
        <v>53.149999999999977</v>
      </c>
      <c r="I1308" cm="1">
        <f t="array" ref="I1308">INDEX(FX_Temps,$AF1308,I$3)</f>
        <v>56.950000000000045</v>
      </c>
      <c r="J1308" cm="1">
        <f t="array" ref="J1308">INDEX(FX_Temps,$AF1308,J$3)</f>
        <v>60.449999999999932</v>
      </c>
      <c r="K1308" cm="1">
        <f t="array" ref="K1308">INDEX(FX_Temps,$AF1308,K$3)</f>
        <v>60.899999999999977</v>
      </c>
      <c r="L1308" cm="1">
        <f t="array" ref="L1308">INDEX(FX_Temps,$AF1308,L$3)</f>
        <v>58.600000000000023</v>
      </c>
      <c r="M1308" cm="1">
        <f t="array" ref="M1308">INDEX(FX_Temps,$AF1308,M$3)</f>
        <v>52.649999999999977</v>
      </c>
      <c r="N1308" cm="1">
        <f t="array" ref="N1308">INDEX(FX_Temps,$AF1308,N$3)</f>
        <v>47.100000000000023</v>
      </c>
      <c r="O1308" cm="1">
        <f t="array" ref="O1308">INDEX(FX_Temps,$AF1308,O$3)</f>
        <v>43.600000000000023</v>
      </c>
      <c r="AE1308">
        <v>1</v>
      </c>
      <c r="AF1308">
        <f>AF1300+10</f>
        <v>543</v>
      </c>
    </row>
    <row r="1309" spans="1:32" ht="17.149999999999999" x14ac:dyDescent="0.55000000000000004">
      <c r="B1309" t="str">
        <f t="shared" ref="B1309:B1330" si="4756">B1308</f>
        <v>Portland</v>
      </c>
      <c r="C1309" t="s">
        <v>527</v>
      </c>
      <c r="D1309" cm="1">
        <f t="array" ref="D1309">INDEX(FX_Temps,$AF1309,D$3)</f>
        <v>43.899999999999977</v>
      </c>
      <c r="E1309" cm="1">
        <f t="array" ref="E1309">INDEX(FX_Temps,$AF1309,E$3)</f>
        <v>44.700000000000045</v>
      </c>
      <c r="F1309" cm="1">
        <f t="array" ref="F1309">INDEX(FX_Temps,$AF1309,F$3)</f>
        <v>46.100000000000023</v>
      </c>
      <c r="G1309" cm="1">
        <f t="array" ref="G1309">INDEX(FX_Temps,$AF1309,G$3)</f>
        <v>48.599999999999966</v>
      </c>
      <c r="H1309" cm="1">
        <f t="array" ref="H1309">INDEX(FX_Temps,$AF1309,H$3)</f>
        <v>53.149999999999977</v>
      </c>
      <c r="I1309" cm="1">
        <f t="array" ref="I1309">INDEX(FX_Temps,$AF1309,I$3)</f>
        <v>56.950000000000045</v>
      </c>
      <c r="J1309" cm="1">
        <f t="array" ref="J1309">INDEX(FX_Temps,$AF1309,J$3)</f>
        <v>60.449999999999932</v>
      </c>
      <c r="K1309" cm="1">
        <f t="array" ref="K1309">INDEX(FX_Temps,$AF1309,K$3)</f>
        <v>60.899999999999977</v>
      </c>
      <c r="L1309" cm="1">
        <f t="array" ref="L1309">INDEX(FX_Temps,$AF1309,L$3)</f>
        <v>58.600000000000023</v>
      </c>
      <c r="M1309" cm="1">
        <f t="array" ref="M1309">INDEX(FX_Temps,$AF1309,M$3)</f>
        <v>52.649999999999977</v>
      </c>
      <c r="N1309" cm="1">
        <f t="array" ref="N1309">INDEX(FX_Temps,$AF1309,N$3)</f>
        <v>47.100000000000023</v>
      </c>
      <c r="O1309" cm="1">
        <f t="array" ref="O1309">INDEX(FX_Temps,$AF1309,O$3)</f>
        <v>43.600000000000023</v>
      </c>
      <c r="AE1309">
        <f>AE1308</f>
        <v>1</v>
      </c>
      <c r="AF1309">
        <f>AF1300+11</f>
        <v>544</v>
      </c>
    </row>
    <row r="1310" spans="1:32" ht="17.149999999999999" x14ac:dyDescent="0.55000000000000004">
      <c r="B1310" t="str">
        <f t="shared" si="4756"/>
        <v>Portland</v>
      </c>
      <c r="C1310" t="s">
        <v>552</v>
      </c>
      <c r="D1310" cm="1">
        <f t="array" ref="D1310">INDEX(FX_Temps,$AF1310,D$3)</f>
        <v>43.899999999999977</v>
      </c>
      <c r="E1310" cm="1">
        <f t="array" ref="E1310">INDEX(FX_Temps,$AF1310,E$3)</f>
        <v>44.700000000000045</v>
      </c>
      <c r="F1310" cm="1">
        <f t="array" ref="F1310">INDEX(FX_Temps,$AF1310,F$3)</f>
        <v>46.100000000000023</v>
      </c>
      <c r="G1310" cm="1">
        <f t="array" ref="G1310">INDEX(FX_Temps,$AF1310,G$3)</f>
        <v>48.599999999999966</v>
      </c>
      <c r="H1310" cm="1">
        <f t="array" ref="H1310">INDEX(FX_Temps,$AF1310,H$3)</f>
        <v>53.149999999999977</v>
      </c>
      <c r="I1310" cm="1">
        <f t="array" ref="I1310">INDEX(FX_Temps,$AF1310,I$3)</f>
        <v>56.950000000000045</v>
      </c>
      <c r="J1310" cm="1">
        <f t="array" ref="J1310">INDEX(FX_Temps,$AF1310,J$3)</f>
        <v>60.449999999999932</v>
      </c>
      <c r="K1310" cm="1">
        <f t="array" ref="K1310">INDEX(FX_Temps,$AF1310,K$3)</f>
        <v>60.899999999999977</v>
      </c>
      <c r="L1310" cm="1">
        <f t="array" ref="L1310">INDEX(FX_Temps,$AF1310,L$3)</f>
        <v>58.600000000000023</v>
      </c>
      <c r="M1310" cm="1">
        <f t="array" ref="M1310">INDEX(FX_Temps,$AF1310,M$3)</f>
        <v>52.649999999999977</v>
      </c>
      <c r="N1310" cm="1">
        <f t="array" ref="N1310">INDEX(FX_Temps,$AF1310,N$3)</f>
        <v>47.100000000000023</v>
      </c>
      <c r="O1310" cm="1">
        <f t="array" ref="O1310">INDEX(FX_Temps,$AF1310,O$3)</f>
        <v>43.600000000000023</v>
      </c>
      <c r="AE1310">
        <f>AE1309</f>
        <v>1</v>
      </c>
      <c r="AF1310">
        <f>AF1300+13</f>
        <v>546</v>
      </c>
    </row>
    <row r="1311" spans="1:32" ht="17.149999999999999" x14ac:dyDescent="0.55000000000000004">
      <c r="B1311" t="str">
        <f t="shared" si="4756"/>
        <v>Portland</v>
      </c>
      <c r="C1311" t="s">
        <v>574</v>
      </c>
      <c r="D1311" cm="1">
        <f t="array" ref="D1311">IFERROR(IF(D1301="Chemical",(10^(INDEX(Antoines,MATCH(D1300,Antoine_Name,0),2)-INDEX(Antoines,MATCH(D1300,Antoine_Name,0),3)/(INDEX(Antoines,MATCH(D1300,Antoine_Name,0),4)+(D1308-32)*5/9)))*14.7/760,IF(D1301="Crude Oil",EXP((2799/(D1308+459.6)-2.227)*LOG10(INDEX(FX_Input,Q$5,D$3*$Z$5+$AA$5))-(7261/(D1308+459.6))+12.82),IF(D1301="Refined Petroleum Stock",EXP((0.7553-(413/(D1308+459.6)))*(INDEX(FX_Input,Q$5,D$3*$Z$5+$AA$5-1)^0.5)*LOG10(INDEX(FX_Input,Q$5,D$3*$Z$5+$AA$5))-(1.854-(1042/(D1308+459.6)))*(INDEX(FX_Input,Q$5,D$3*$Z$5+$AA$5-1)^0.5)+((2416/(D1308+459.6)-2.013)*LOG10(INDEX(FX_Input,Q$5,D$3*$Z$5+$AA$5)))-(8742/(D1308+459.6))+15.64),EXP(INDEX(Antoines,MATCH(D1300,Antoine_Name,0),2)-INDEX(Antoines,MATCH(D1300,Antoine_Name,0),3)/(D1308+459.6))))),0)</f>
        <v>4.739577185808354E-3</v>
      </c>
      <c r="E1311" cm="1">
        <f t="array" ref="E1311">IFERROR(IF(E1301="Chemical",(10^(INDEX(Antoines,MATCH(E1300,Antoine_Name,0),2)-INDEX(Antoines,MATCH(E1300,Antoine_Name,0),3)/(INDEX(Antoines,MATCH(E1300,Antoine_Name,0),4)+(E1308-32)*5/9)))*14.7/760,IF(E1301="Crude Oil",EXP((2799/(E1308+459.6)-2.227)*LOG10(INDEX(FX_Input,R$5,E$3*$Z$5+$AA$5))-(7261/(E1308+459.6))+12.82),IF(E1301="Refined Petroleum Stock",EXP((0.7553-(413/(E1308+459.6)))*(INDEX(FX_Input,R$5,E$3*$Z$5+$AA$5-1)^0.5)*LOG10(INDEX(FX_Input,R$5,E$3*$Z$5+$AA$5))-(1.854-(1042/(E1308+459.6)))*(INDEX(FX_Input,R$5,E$3*$Z$5+$AA$5-1)^0.5)+((2416/(E1308+459.6)-2.013)*LOG10(INDEX(FX_Input,R$5,E$3*$Z$5+$AA$5)))-(8742/(E1308+459.6))+15.64),EXP(INDEX(Antoines,MATCH(E1300,Antoine_Name,0),2)-INDEX(Antoines,MATCH(E1300,Antoine_Name,0),3)/(E1308+459.6))))),0)</f>
        <v>4.8748667780818778E-3</v>
      </c>
      <c r="F1311" cm="1">
        <f t="array" ref="F1311">IFERROR(IF(F1301="Chemical",(10^(INDEX(Antoines,MATCH(F1300,Antoine_Name,0),2)-INDEX(Antoines,MATCH(F1300,Antoine_Name,0),3)/(INDEX(Antoines,MATCH(F1300,Antoine_Name,0),4)+(F1308-32)*5/9)))*14.7/760,IF(F1301="Crude Oil",EXP((2799/(F1308+459.6)-2.227)*LOG10(INDEX(FX_Input,S$5,F$3*$Z$5+$AA$5))-(7261/(F1308+459.6))+12.82),IF(F1301="Refined Petroleum Stock",EXP((0.7553-(413/(F1308+459.6)))*(INDEX(FX_Input,S$5,F$3*$Z$5+$AA$5-1)^0.5)*LOG10(INDEX(FX_Input,S$5,F$3*$Z$5+$AA$5))-(1.854-(1042/(F1308+459.6)))*(INDEX(FX_Input,S$5,F$3*$Z$5+$AA$5-1)^0.5)+((2416/(F1308+459.6)-2.013)*LOG10(INDEX(FX_Input,S$5,F$3*$Z$5+$AA$5)))-(8742/(F1308+459.6))+15.64),EXP(INDEX(Antoines,MATCH(F1300,Antoine_Name,0),2)-INDEX(Antoines,MATCH(F1300,Antoine_Name,0),3)/(F1308+459.6))))),0)</f>
        <v>5.119885034186122E-3</v>
      </c>
      <c r="G1311" cm="1">
        <f t="array" ref="G1311">IFERROR(IF(G1301="Chemical",(10^(INDEX(Antoines,MATCH(G1300,Antoine_Name,0),2)-INDEX(Antoines,MATCH(G1300,Antoine_Name,0),3)/(INDEX(Antoines,MATCH(G1300,Antoine_Name,0),4)+(G1308-32)*5/9)))*14.7/760,IF(G1301="Crude Oil",EXP((2799/(G1308+459.6)-2.227)*LOG10(INDEX(FX_Input,T$5,G$3*$Z$5+$AA$5))-(7261/(G1308+459.6))+12.82),IF(G1301="Refined Petroleum Stock",EXP((0.7553-(413/(G1308+459.6)))*(INDEX(FX_Input,T$5,G$3*$Z$5+$AA$5-1)^0.5)*LOG10(INDEX(FX_Input,T$5,G$3*$Z$5+$AA$5))-(1.854-(1042/(G1308+459.6)))*(INDEX(FX_Input,T$5,G$3*$Z$5+$AA$5-1)^0.5)+((2416/(G1308+459.6)-2.013)*LOG10(INDEX(FX_Input,T$5,G$3*$Z$5+$AA$5)))-(8742/(G1308+459.6))+15.64),EXP(INDEX(Antoines,MATCH(G1300,Antoine_Name,0),2)-INDEX(Antoines,MATCH(G1300,Antoine_Name,0),3)/(G1308+459.6))))),0)</f>
        <v>5.5846958573521795E-3</v>
      </c>
      <c r="H1311" cm="1">
        <f t="array" ref="H1311">IFERROR(IF(H1301="Chemical",(10^(INDEX(Antoines,MATCH(H1300,Antoine_Name,0),2)-INDEX(Antoines,MATCH(H1300,Antoine_Name,0),3)/(INDEX(Antoines,MATCH(H1300,Antoine_Name,0),4)+(H1308-32)*5/9)))*14.7/760,IF(H1301="Crude Oil",EXP((2799/(H1308+459.6)-2.227)*LOG10(INDEX(FX_Input,U$5,H$3*$Z$5+$AA$5))-(7261/(H1308+459.6))+12.82),IF(H1301="Refined Petroleum Stock",EXP((0.7553-(413/(H1308+459.6)))*(INDEX(FX_Input,U$5,H$3*$Z$5+$AA$5-1)^0.5)*LOG10(INDEX(FX_Input,U$5,H$3*$Z$5+$AA$5))-(1.854-(1042/(H1308+459.6)))*(INDEX(FX_Input,U$5,H$3*$Z$5+$AA$5-1)^0.5)+((2416/(H1308+459.6)-2.013)*LOG10(INDEX(FX_Input,U$5,H$3*$Z$5+$AA$5)))-(8742/(H1308+459.6))+15.64),EXP(INDEX(Antoines,MATCH(H1300,Antoine_Name,0),2)-INDEX(Antoines,MATCH(H1300,Antoine_Name,0),3)/(H1308+459.6))))),0)</f>
        <v>6.5274070972739821E-3</v>
      </c>
      <c r="I1311" cm="1">
        <f t="array" ref="I1311">IFERROR(IF(I1301="Chemical",(10^(INDEX(Antoines,MATCH(I1300,Antoine_Name,0),2)-INDEX(Antoines,MATCH(I1300,Antoine_Name,0),3)/(INDEX(Antoines,MATCH(I1300,Antoine_Name,0),4)+(I1308-32)*5/9)))*14.7/760,IF(I1301="Crude Oil",EXP((2799/(I1308+459.6)-2.227)*LOG10(INDEX(FX_Input,V$5,I$3*$Z$5+$AA$5))-(7261/(I1308+459.6))+12.82),IF(I1301="Refined Petroleum Stock",EXP((0.7553-(413/(I1308+459.6)))*(INDEX(FX_Input,V$5,I$3*$Z$5+$AA$5-1)^0.5)*LOG10(INDEX(FX_Input,V$5,I$3*$Z$5+$AA$5))-(1.854-(1042/(I1308+459.6)))*(INDEX(FX_Input,V$5,I$3*$Z$5+$AA$5-1)^0.5)+((2416/(I1308+459.6)-2.013)*LOG10(INDEX(FX_Input,V$5,I$3*$Z$5+$AA$5)))-(8742/(I1308+459.6))+15.64),EXP(INDEX(Antoines,MATCH(I1300,Antoine_Name,0),2)-INDEX(Antoines,MATCH(I1300,Antoine_Name,0),3)/(I1308+459.6))))),0)</f>
        <v>7.4199539958878279E-3</v>
      </c>
      <c r="J1311" cm="1">
        <f t="array" ref="J1311">IFERROR(IF(J1301="Chemical",(10^(INDEX(Antoines,MATCH(J1300,Antoine_Name,0),2)-INDEX(Antoines,MATCH(J1300,Antoine_Name,0),3)/(INDEX(Antoines,MATCH(J1300,Antoine_Name,0),4)+(J1308-32)*5/9)))*14.7/760,IF(J1301="Crude Oil",EXP((2799/(J1308+459.6)-2.227)*LOG10(INDEX(FX_Input,W$5,J$3*$Z$5+$AA$5))-(7261/(J1308+459.6))+12.82),IF(J1301="Refined Petroleum Stock",EXP((0.7553-(413/(J1308+459.6)))*(INDEX(FX_Input,W$5,J$3*$Z$5+$AA$5-1)^0.5)*LOG10(INDEX(FX_Input,W$5,J$3*$Z$5+$AA$5))-(1.854-(1042/(J1308+459.6)))*(INDEX(FX_Input,W$5,J$3*$Z$5+$AA$5-1)^0.5)+((2416/(J1308+459.6)-2.013)*LOG10(INDEX(FX_Input,W$5,J$3*$Z$5+$AA$5)))-(8742/(J1308+459.6))+15.64),EXP(INDEX(Antoines,MATCH(J1300,Antoine_Name,0),2)-INDEX(Antoines,MATCH(J1300,Antoine_Name,0),3)/(J1308+459.6))))),0)</f>
        <v>8.3358107202842254E-3</v>
      </c>
      <c r="K1311" cm="1">
        <f t="array" ref="K1311">IFERROR(IF(K1301="Chemical",(10^(INDEX(Antoines,MATCH(K1300,Antoine_Name,0),2)-INDEX(Antoines,MATCH(K1300,Antoine_Name,0),3)/(INDEX(Antoines,MATCH(K1300,Antoine_Name,0),4)+(K1308-32)*5/9)))*14.7/760,IF(K1301="Crude Oil",EXP((2799/(K1308+459.6)-2.227)*LOG10(INDEX(FX_Input,X$5,K$3*$Z$5+$AA$5))-(7261/(K1308+459.6))+12.82),IF(K1301="Refined Petroleum Stock",EXP((0.7553-(413/(K1308+459.6)))*(INDEX(FX_Input,X$5,K$3*$Z$5+$AA$5-1)^0.5)*LOG10(INDEX(FX_Input,X$5,K$3*$Z$5+$AA$5))-(1.854-(1042/(K1308+459.6)))*(INDEX(FX_Input,X$5,K$3*$Z$5+$AA$5-1)^0.5)+((2416/(K1308+459.6)-2.013)*LOG10(INDEX(FX_Input,X$5,K$3*$Z$5+$AA$5)))-(8742/(K1308+459.6))+15.64),EXP(INDEX(Antoines,MATCH(K1300,Antoine_Name,0),2)-INDEX(Antoines,MATCH(K1300,Antoine_Name,0),3)/(K1308+459.6))))),0)</f>
        <v>8.4605262729351115E-3</v>
      </c>
      <c r="L1311" cm="1">
        <f t="array" ref="L1311">IFERROR(IF(L1301="Chemical",(10^(INDEX(Antoines,MATCH(L1300,Antoine_Name,0),2)-INDEX(Antoines,MATCH(L1300,Antoine_Name,0),3)/(INDEX(Antoines,MATCH(L1300,Antoine_Name,0),4)+(L1308-32)*5/9)))*14.7/760,IF(L1301="Crude Oil",EXP((2799/(L1308+459.6)-2.227)*LOG10(INDEX(FX_Input,Y$5,L$3*$Z$5+$AA$5))-(7261/(L1308+459.6))+12.82),IF(L1301="Refined Petroleum Stock",EXP((0.7553-(413/(L1308+459.6)))*(INDEX(FX_Input,Y$5,L$3*$Z$5+$AA$5-1)^0.5)*LOG10(INDEX(FX_Input,Y$5,L$3*$Z$5+$AA$5))-(1.854-(1042/(L1308+459.6)))*(INDEX(FX_Input,Y$5,L$3*$Z$5+$AA$5-1)^0.5)+((2416/(L1308+459.6)-2.013)*LOG10(INDEX(FX_Input,Y$5,L$3*$Z$5+$AA$5)))-(8742/(L1308+459.6))+15.64),EXP(INDEX(Antoines,MATCH(L1300,Antoine_Name,0),2)-INDEX(Antoines,MATCH(L1300,Antoine_Name,0),3)/(L1308+459.6))))),0)</f>
        <v>7.8399882233967533E-3</v>
      </c>
      <c r="M1311" cm="1">
        <f t="array" ref="M1311">IFERROR(IF(M1301="Chemical",(10^(INDEX(Antoines,MATCH(M1300,Antoine_Name,0),2)-INDEX(Antoines,MATCH(M1300,Antoine_Name,0),3)/(INDEX(Antoines,MATCH(M1300,Antoine_Name,0),4)+(M1308-32)*5/9)))*14.7/760,IF(M1301="Crude Oil",EXP((2799/(M1308+459.6)-2.227)*LOG10(INDEX(FX_Input,Z$5,M$3*$Z$5+$AA$5))-(7261/(M1308+459.6))+12.82),IF(M1301="Refined Petroleum Stock",EXP((0.7553-(413/(M1308+459.6)))*(INDEX(FX_Input,Z$5,M$3*$Z$5+$AA$5-1)^0.5)*LOG10(INDEX(FX_Input,Z$5,M$3*$Z$5+$AA$5))-(1.854-(1042/(M1308+459.6)))*(INDEX(FX_Input,Z$5,M$3*$Z$5+$AA$5-1)^0.5)+((2416/(M1308+459.6)-2.013)*LOG10(INDEX(FX_Input,Z$5,M$3*$Z$5+$AA$5)))-(8742/(M1308+459.6))+15.64),EXP(INDEX(Antoines,MATCH(M1300,Antoine_Name,0),2)-INDEX(Antoines,MATCH(M1300,Antoine_Name,0),3)/(M1308+459.6))))),0)</f>
        <v>6.4173462075160911E-3</v>
      </c>
      <c r="N1311" cm="1">
        <f t="array" ref="N1311">IFERROR(IF(N1301="Chemical",(10^(INDEX(Antoines,MATCH(N1300,Antoine_Name,0),2)-INDEX(Antoines,MATCH(N1300,Antoine_Name,0),3)/(INDEX(Antoines,MATCH(N1300,Antoine_Name,0),4)+(N1308-32)*5/9)))*14.7/760,IF(N1301="Crude Oil",EXP((2799/(N1308+459.6)-2.227)*LOG10(INDEX(FX_Input,AA$5,N$3*$Z$5+$AA$5))-(7261/(N1308+459.6))+12.82),IF(N1301="Refined Petroleum Stock",EXP((0.7553-(413/(N1308+459.6)))*(INDEX(FX_Input,AA$5,N$3*$Z$5+$AA$5-1)^0.5)*LOG10(INDEX(FX_Input,AA$5,N$3*$Z$5+$AA$5))-(1.854-(1042/(N1308+459.6)))*(INDEX(FX_Input,AA$5,N$3*$Z$5+$AA$5-1)^0.5)+((2416/(N1308+459.6)-2.013)*LOG10(INDEX(FX_Input,AA$5,N$3*$Z$5+$AA$5)))-(8742/(N1308+459.6))+15.64),EXP(INDEX(Antoines,MATCH(N1300,Antoine_Name,0),2)-INDEX(Antoines,MATCH(N1300,Antoine_Name,0),3)/(N1308+459.6))))),0)</f>
        <v>5.3015226887581056E-3</v>
      </c>
      <c r="O1311" cm="1">
        <f t="array" ref="O1311">IFERROR(IF(O1301="Chemical",(10^(INDEX(Antoines,MATCH(O1300,Antoine_Name,0),2)-INDEX(Antoines,MATCH(O1300,Antoine_Name,0),3)/(INDEX(Antoines,MATCH(O1300,Antoine_Name,0),4)+(O1308-32)*5/9)))*14.7/760,IF(O1301="Crude Oil",EXP((2799/(O1308+459.6)-2.227)*LOG10(INDEX(FX_Input,AB$5,O$3*$Z$5+$AA$5))-(7261/(O1308+459.6))+12.82),IF(O1301="Refined Petroleum Stock",EXP((0.7553-(413/(O1308+459.6)))*(INDEX(FX_Input,AB$5,O$3*$Z$5+$AA$5-1)^0.5)*LOG10(INDEX(FX_Input,AB$5,O$3*$Z$5+$AA$5))-(1.854-(1042/(O1308+459.6)))*(INDEX(FX_Input,AB$5,O$3*$Z$5+$AA$5-1)^0.5)+((2416/(O1308+459.6)-2.013)*LOG10(INDEX(FX_Input,AB$5,O$3*$Z$5+$AA$5)))-(8742/(O1308+459.6))+15.64),EXP(INDEX(Antoines,MATCH(O1300,Antoine_Name,0),2)-INDEX(Antoines,MATCH(O1300,Antoine_Name,0),3)/(O1308+459.6))))),0)</f>
        <v>4.68970903600947E-3</v>
      </c>
    </row>
    <row r="1312" spans="1:32" ht="17.149999999999999" x14ac:dyDescent="0.55000000000000004">
      <c r="B1312" t="str">
        <f t="shared" si="4756"/>
        <v>Portland</v>
      </c>
      <c r="C1312" t="s">
        <v>576</v>
      </c>
      <c r="D1312">
        <f>D1304*D1311</f>
        <v>4.739577185808354E-3</v>
      </c>
      <c r="E1312">
        <f t="shared" ref="E1312" si="4757">E1304*E1311</f>
        <v>4.8748667780818778E-3</v>
      </c>
      <c r="F1312">
        <f t="shared" ref="F1312" si="4758">F1304*F1311</f>
        <v>5.119885034186122E-3</v>
      </c>
      <c r="G1312">
        <f t="shared" ref="G1312" si="4759">G1304*G1311</f>
        <v>5.5846958573521795E-3</v>
      </c>
      <c r="H1312">
        <f t="shared" ref="H1312" si="4760">H1304*H1311</f>
        <v>6.5274070972739821E-3</v>
      </c>
      <c r="I1312">
        <f t="shared" ref="I1312" si="4761">I1304*I1311</f>
        <v>7.4199539958878279E-3</v>
      </c>
      <c r="J1312">
        <f t="shared" ref="J1312" si="4762">J1304*J1311</f>
        <v>8.3358107202842254E-3</v>
      </c>
      <c r="K1312">
        <f t="shared" ref="K1312" si="4763">K1304*K1311</f>
        <v>8.4605262729351115E-3</v>
      </c>
      <c r="L1312">
        <f t="shared" ref="L1312" si="4764">L1304*L1311</f>
        <v>7.8399882233967533E-3</v>
      </c>
      <c r="M1312">
        <f t="shared" ref="M1312" si="4765">M1304*M1311</f>
        <v>6.4173462075160911E-3</v>
      </c>
      <c r="N1312">
        <f t="shared" ref="N1312" si="4766">N1304*N1311</f>
        <v>5.3015226887581056E-3</v>
      </c>
      <c r="O1312">
        <f t="shared" ref="O1312" si="4767">O1304*O1311</f>
        <v>4.68970903600947E-3</v>
      </c>
    </row>
    <row r="1313" spans="2:15" ht="17.149999999999999" x14ac:dyDescent="0.55000000000000004">
      <c r="B1313" t="str">
        <f t="shared" si="4756"/>
        <v>Portland</v>
      </c>
      <c r="C1313" t="s">
        <v>575</v>
      </c>
      <c r="D1313" cm="1">
        <f t="array" ref="D1313">IFERROR(IF(D1303="Chemical",(10^(INDEX(Antoines,MATCH(D1302,Antoine_Name,0),2)-INDEX(Antoines,MATCH(D1302,Antoine_Name,0),3)/(INDEX(Antoines,MATCH(D1302,Antoine_Name,0),4)+(D1308-32)*5/9)))*14.7/760,IF(D1303="Crude Oil",EXP((2799/(D1308+459.6)-2.227)*LOG10(INDEX(FX_Input,Q$5,D$3*$Z$5+$AA$5))-(7261/(D1308+459.6))+12.82),IF(D1303="Refined Petroleum Stock",EXP((0.7553-(413/(D1308+459.6)))*(INDEX(FX_Input,Q$5,D$3*$Z$5+$AA$5-1)^0.5)*LOG10(INDEX(FX_Input,Q$5,D$3*$Z$5+$AA$5))-(1.854-(1042/(D1308+459.6)))*(INDEX(FX_Input,Q$5,D$3*$Z$5+$AA$5-1)^0.5)+((2416/(D1308+459.6)-2.013)*LOG10(INDEX(FX_Input,Q$5,D$3*$Z$5+$AA$5)))-(8742/(D1308+459.6))+15.64),EXP(INDEX(Antoines,MATCH(D1302,Antoine_Name,0),2)-INDEX(Antoines,MATCH(D1302,Antoine_Name,0),3)/(D1308+459.6))))),0)</f>
        <v>0</v>
      </c>
      <c r="E1313" cm="1">
        <f t="array" ref="E1313">IFERROR(IF(E1303="Chemical",(10^(INDEX(Antoines,MATCH(E1302,Antoine_Name,0),2)-INDEX(Antoines,MATCH(E1302,Antoine_Name,0),3)/(INDEX(Antoines,MATCH(E1302,Antoine_Name,0),4)+(E1308-32)*5/9)))*14.7/760,IF(E1303="Crude Oil",EXP((2799/(E1308+459.6)-2.227)*LOG10(INDEX(FX_Input,R$5,E$3*$Z$5+$AA$5))-(7261/(E1308+459.6))+12.82),IF(E1303="Refined Petroleum Stock",EXP((0.7553-(413/(E1308+459.6)))*(INDEX(FX_Input,R$5,E$3*$Z$5+$AA$5-1)^0.5)*LOG10(INDEX(FX_Input,R$5,E$3*$Z$5+$AA$5))-(1.854-(1042/(E1308+459.6)))*(INDEX(FX_Input,R$5,E$3*$Z$5+$AA$5-1)^0.5)+((2416/(E1308+459.6)-2.013)*LOG10(INDEX(FX_Input,R$5,E$3*$Z$5+$AA$5)))-(8742/(E1308+459.6))+15.64),EXP(INDEX(Antoines,MATCH(E1302,Antoine_Name,0),2)-INDEX(Antoines,MATCH(E1302,Antoine_Name,0),3)/(E1308+459.6))))),0)</f>
        <v>0</v>
      </c>
      <c r="F1313" cm="1">
        <f t="array" ref="F1313">IFERROR(IF(F1303="Chemical",(10^(INDEX(Antoines,MATCH(F1302,Antoine_Name,0),2)-INDEX(Antoines,MATCH(F1302,Antoine_Name,0),3)/(INDEX(Antoines,MATCH(F1302,Antoine_Name,0),4)+(F1308-32)*5/9)))*14.7/760,IF(F1303="Crude Oil",EXP((2799/(F1308+459.6)-2.227)*LOG10(INDEX(FX_Input,S$5,F$3*$Z$5+$AA$5))-(7261/(F1308+459.6))+12.82),IF(F1303="Refined Petroleum Stock",EXP((0.7553-(413/(F1308+459.6)))*(INDEX(FX_Input,S$5,F$3*$Z$5+$AA$5-1)^0.5)*LOG10(INDEX(FX_Input,S$5,F$3*$Z$5+$AA$5))-(1.854-(1042/(F1308+459.6)))*(INDEX(FX_Input,S$5,F$3*$Z$5+$AA$5-1)^0.5)+((2416/(F1308+459.6)-2.013)*LOG10(INDEX(FX_Input,S$5,F$3*$Z$5+$AA$5)))-(8742/(F1308+459.6))+15.64),EXP(INDEX(Antoines,MATCH(F1302,Antoine_Name,0),2)-INDEX(Antoines,MATCH(F1302,Antoine_Name,0),3)/(F1308+459.6))))),0)</f>
        <v>0</v>
      </c>
      <c r="G1313" cm="1">
        <f t="array" ref="G1313">IFERROR(IF(G1303="Chemical",(10^(INDEX(Antoines,MATCH(G1302,Antoine_Name,0),2)-INDEX(Antoines,MATCH(G1302,Antoine_Name,0),3)/(INDEX(Antoines,MATCH(G1302,Antoine_Name,0),4)+(G1308-32)*5/9)))*14.7/760,IF(G1303="Crude Oil",EXP((2799/(G1308+459.6)-2.227)*LOG10(INDEX(FX_Input,T$5,G$3*$Z$5+$AA$5))-(7261/(G1308+459.6))+12.82),IF(G1303="Refined Petroleum Stock",EXP((0.7553-(413/(G1308+459.6)))*(INDEX(FX_Input,T$5,G$3*$Z$5+$AA$5-1)^0.5)*LOG10(INDEX(FX_Input,T$5,G$3*$Z$5+$AA$5))-(1.854-(1042/(G1308+459.6)))*(INDEX(FX_Input,T$5,G$3*$Z$5+$AA$5-1)^0.5)+((2416/(G1308+459.6)-2.013)*LOG10(INDEX(FX_Input,T$5,G$3*$Z$5+$AA$5)))-(8742/(G1308+459.6))+15.64),EXP(INDEX(Antoines,MATCH(G1302,Antoine_Name,0),2)-INDEX(Antoines,MATCH(G1302,Antoine_Name,0),3)/(G1308+459.6))))),0)</f>
        <v>0</v>
      </c>
      <c r="H1313" cm="1">
        <f t="array" ref="H1313">IFERROR(IF(H1303="Chemical",(10^(INDEX(Antoines,MATCH(H1302,Antoine_Name,0),2)-INDEX(Antoines,MATCH(H1302,Antoine_Name,0),3)/(INDEX(Antoines,MATCH(H1302,Antoine_Name,0),4)+(H1308-32)*5/9)))*14.7/760,IF(H1303="Crude Oil",EXP((2799/(H1308+459.6)-2.227)*LOG10(INDEX(FX_Input,U$5,H$3*$Z$5+$AA$5))-(7261/(H1308+459.6))+12.82),IF(H1303="Refined Petroleum Stock",EXP((0.7553-(413/(H1308+459.6)))*(INDEX(FX_Input,U$5,H$3*$Z$5+$AA$5-1)^0.5)*LOG10(INDEX(FX_Input,U$5,H$3*$Z$5+$AA$5))-(1.854-(1042/(H1308+459.6)))*(INDEX(FX_Input,U$5,H$3*$Z$5+$AA$5-1)^0.5)+((2416/(H1308+459.6)-2.013)*LOG10(INDEX(FX_Input,U$5,H$3*$Z$5+$AA$5)))-(8742/(H1308+459.6))+15.64),EXP(INDEX(Antoines,MATCH(H1302,Antoine_Name,0),2)-INDEX(Antoines,MATCH(H1302,Antoine_Name,0),3)/(H1308+459.6))))),0)</f>
        <v>0</v>
      </c>
      <c r="I1313" cm="1">
        <f t="array" ref="I1313">IFERROR(IF(I1303="Chemical",(10^(INDEX(Antoines,MATCH(I1302,Antoine_Name,0),2)-INDEX(Antoines,MATCH(I1302,Antoine_Name,0),3)/(INDEX(Antoines,MATCH(I1302,Antoine_Name,0),4)+(I1308-32)*5/9)))*14.7/760,IF(I1303="Crude Oil",EXP((2799/(I1308+459.6)-2.227)*LOG10(INDEX(FX_Input,V$5,I$3*$Z$5+$AA$5))-(7261/(I1308+459.6))+12.82),IF(I1303="Refined Petroleum Stock",EXP((0.7553-(413/(I1308+459.6)))*(INDEX(FX_Input,V$5,I$3*$Z$5+$AA$5-1)^0.5)*LOG10(INDEX(FX_Input,V$5,I$3*$Z$5+$AA$5))-(1.854-(1042/(I1308+459.6)))*(INDEX(FX_Input,V$5,I$3*$Z$5+$AA$5-1)^0.5)+((2416/(I1308+459.6)-2.013)*LOG10(INDEX(FX_Input,V$5,I$3*$Z$5+$AA$5)))-(8742/(I1308+459.6))+15.64),EXP(INDEX(Antoines,MATCH(I1302,Antoine_Name,0),2)-INDEX(Antoines,MATCH(I1302,Antoine_Name,0),3)/(I1308+459.6))))),0)</f>
        <v>0</v>
      </c>
      <c r="J1313" cm="1">
        <f t="array" ref="J1313">IFERROR(IF(J1303="Chemical",(10^(INDEX(Antoines,MATCH(J1302,Antoine_Name,0),2)-INDEX(Antoines,MATCH(J1302,Antoine_Name,0),3)/(INDEX(Antoines,MATCH(J1302,Antoine_Name,0),4)+(J1308-32)*5/9)))*14.7/760,IF(J1303="Crude Oil",EXP((2799/(J1308+459.6)-2.227)*LOG10(INDEX(FX_Input,W$5,J$3*$Z$5+$AA$5))-(7261/(J1308+459.6))+12.82),IF(J1303="Refined Petroleum Stock",EXP((0.7553-(413/(J1308+459.6)))*(INDEX(FX_Input,W$5,J$3*$Z$5+$AA$5-1)^0.5)*LOG10(INDEX(FX_Input,W$5,J$3*$Z$5+$AA$5))-(1.854-(1042/(J1308+459.6)))*(INDEX(FX_Input,W$5,J$3*$Z$5+$AA$5-1)^0.5)+((2416/(J1308+459.6)-2.013)*LOG10(INDEX(FX_Input,W$5,J$3*$Z$5+$AA$5)))-(8742/(J1308+459.6))+15.64),EXP(INDEX(Antoines,MATCH(J1302,Antoine_Name,0),2)-INDEX(Antoines,MATCH(J1302,Antoine_Name,0),3)/(J1308+459.6))))),0)</f>
        <v>0</v>
      </c>
      <c r="K1313" cm="1">
        <f t="array" ref="K1313">IFERROR(IF(K1303="Chemical",(10^(INDEX(Antoines,MATCH(K1302,Antoine_Name,0),2)-INDEX(Antoines,MATCH(K1302,Antoine_Name,0),3)/(INDEX(Antoines,MATCH(K1302,Antoine_Name,0),4)+(K1308-32)*5/9)))*14.7/760,IF(K1303="Crude Oil",EXP((2799/(K1308+459.6)-2.227)*LOG10(INDEX(FX_Input,X$5,K$3*$Z$5+$AA$5))-(7261/(K1308+459.6))+12.82),IF(K1303="Refined Petroleum Stock",EXP((0.7553-(413/(K1308+459.6)))*(INDEX(FX_Input,X$5,K$3*$Z$5+$AA$5-1)^0.5)*LOG10(INDEX(FX_Input,X$5,K$3*$Z$5+$AA$5))-(1.854-(1042/(K1308+459.6)))*(INDEX(FX_Input,X$5,K$3*$Z$5+$AA$5-1)^0.5)+((2416/(K1308+459.6)-2.013)*LOG10(INDEX(FX_Input,X$5,K$3*$Z$5+$AA$5)))-(8742/(K1308+459.6))+15.64),EXP(INDEX(Antoines,MATCH(K1302,Antoine_Name,0),2)-INDEX(Antoines,MATCH(K1302,Antoine_Name,0),3)/(K1308+459.6))))),0)</f>
        <v>0</v>
      </c>
      <c r="L1313" cm="1">
        <f t="array" ref="L1313">IFERROR(IF(L1303="Chemical",(10^(INDEX(Antoines,MATCH(L1302,Antoine_Name,0),2)-INDEX(Antoines,MATCH(L1302,Antoine_Name,0),3)/(INDEX(Antoines,MATCH(L1302,Antoine_Name,0),4)+(L1308-32)*5/9)))*14.7/760,IF(L1303="Crude Oil",EXP((2799/(L1308+459.6)-2.227)*LOG10(INDEX(FX_Input,Y$5,L$3*$Z$5+$AA$5))-(7261/(L1308+459.6))+12.82),IF(L1303="Refined Petroleum Stock",EXP((0.7553-(413/(L1308+459.6)))*(INDEX(FX_Input,Y$5,L$3*$Z$5+$AA$5-1)^0.5)*LOG10(INDEX(FX_Input,Y$5,L$3*$Z$5+$AA$5))-(1.854-(1042/(L1308+459.6)))*(INDEX(FX_Input,Y$5,L$3*$Z$5+$AA$5-1)^0.5)+((2416/(L1308+459.6)-2.013)*LOG10(INDEX(FX_Input,Y$5,L$3*$Z$5+$AA$5)))-(8742/(L1308+459.6))+15.64),EXP(INDEX(Antoines,MATCH(L1302,Antoine_Name,0),2)-INDEX(Antoines,MATCH(L1302,Antoine_Name,0),3)/(L1308+459.6))))),0)</f>
        <v>0</v>
      </c>
      <c r="M1313" cm="1">
        <f t="array" ref="M1313">IFERROR(IF(M1303="Chemical",(10^(INDEX(Antoines,MATCH(M1302,Antoine_Name,0),2)-INDEX(Antoines,MATCH(M1302,Antoine_Name,0),3)/(INDEX(Antoines,MATCH(M1302,Antoine_Name,0),4)+(M1308-32)*5/9)))*14.7/760,IF(M1303="Crude Oil",EXP((2799/(M1308+459.6)-2.227)*LOG10(INDEX(FX_Input,Z$5,M$3*$Z$5+$AA$5))-(7261/(M1308+459.6))+12.82),IF(M1303="Refined Petroleum Stock",EXP((0.7553-(413/(M1308+459.6)))*(INDEX(FX_Input,Z$5,M$3*$Z$5+$AA$5-1)^0.5)*LOG10(INDEX(FX_Input,Z$5,M$3*$Z$5+$AA$5))-(1.854-(1042/(M1308+459.6)))*(INDEX(FX_Input,Z$5,M$3*$Z$5+$AA$5-1)^0.5)+((2416/(M1308+459.6)-2.013)*LOG10(INDEX(FX_Input,Z$5,M$3*$Z$5+$AA$5)))-(8742/(M1308+459.6))+15.64),EXP(INDEX(Antoines,MATCH(M1302,Antoine_Name,0),2)-INDEX(Antoines,MATCH(M1302,Antoine_Name,0),3)/(M1308+459.6))))),0)</f>
        <v>0</v>
      </c>
      <c r="N1313" cm="1">
        <f t="array" ref="N1313">IFERROR(IF(N1303="Chemical",(10^(INDEX(Antoines,MATCH(N1302,Antoine_Name,0),2)-INDEX(Antoines,MATCH(N1302,Antoine_Name,0),3)/(INDEX(Antoines,MATCH(N1302,Antoine_Name,0),4)+(N1308-32)*5/9)))*14.7/760,IF(N1303="Crude Oil",EXP((2799/(N1308+459.6)-2.227)*LOG10(INDEX(FX_Input,AA$5,N$3*$Z$5+$AA$5))-(7261/(N1308+459.6))+12.82),IF(N1303="Refined Petroleum Stock",EXP((0.7553-(413/(N1308+459.6)))*(INDEX(FX_Input,AA$5,N$3*$Z$5+$AA$5-1)^0.5)*LOG10(INDEX(FX_Input,AA$5,N$3*$Z$5+$AA$5))-(1.854-(1042/(N1308+459.6)))*(INDEX(FX_Input,AA$5,N$3*$Z$5+$AA$5-1)^0.5)+((2416/(N1308+459.6)-2.013)*LOG10(INDEX(FX_Input,AA$5,N$3*$Z$5+$AA$5)))-(8742/(N1308+459.6))+15.64),EXP(INDEX(Antoines,MATCH(N1302,Antoine_Name,0),2)-INDEX(Antoines,MATCH(N1302,Antoine_Name,0),3)/(N1308+459.6))))),0)</f>
        <v>0</v>
      </c>
      <c r="O1313" cm="1">
        <f t="array" ref="O1313">IFERROR(IF(O1303="Chemical",(10^(INDEX(Antoines,MATCH(O1302,Antoine_Name,0),2)-INDEX(Antoines,MATCH(O1302,Antoine_Name,0),3)/(INDEX(Antoines,MATCH(O1302,Antoine_Name,0),4)+(O1308-32)*5/9)))*14.7/760,IF(O1303="Crude Oil",EXP((2799/(O1308+459.6)-2.227)*LOG10(INDEX(FX_Input,AB$5,O$3*$Z$5+$AA$5))-(7261/(O1308+459.6))+12.82),IF(O1303="Refined Petroleum Stock",EXP((0.7553-(413/(O1308+459.6)))*(INDEX(FX_Input,AB$5,O$3*$Z$5+$AA$5-1)^0.5)*LOG10(INDEX(FX_Input,AB$5,O$3*$Z$5+$AA$5))-(1.854-(1042/(O1308+459.6)))*(INDEX(FX_Input,AB$5,O$3*$Z$5+$AA$5-1)^0.5)+((2416/(O1308+459.6)-2.013)*LOG10(INDEX(FX_Input,AB$5,O$3*$Z$5+$AA$5)))-(8742/(O1308+459.6))+15.64),EXP(INDEX(Antoines,MATCH(O1302,Antoine_Name,0),2)-INDEX(Antoines,MATCH(O1302,Antoine_Name,0),3)/(O1308+459.6))))),0)</f>
        <v>0</v>
      </c>
    </row>
    <row r="1314" spans="2:15" ht="17.149999999999999" x14ac:dyDescent="0.55000000000000004">
      <c r="B1314" t="str">
        <f t="shared" si="4756"/>
        <v>Portland</v>
      </c>
      <c r="C1314" t="s">
        <v>577</v>
      </c>
      <c r="D1314">
        <f>D1313*D1306</f>
        <v>0</v>
      </c>
      <c r="E1314">
        <f t="shared" ref="E1314" si="4768">E1313*E1306</f>
        <v>0</v>
      </c>
      <c r="F1314">
        <f t="shared" ref="F1314" si="4769">F1313*F1306</f>
        <v>0</v>
      </c>
      <c r="G1314">
        <f t="shared" ref="G1314" si="4770">G1313*G1306</f>
        <v>0</v>
      </c>
      <c r="H1314">
        <f t="shared" ref="H1314" si="4771">H1313*H1306</f>
        <v>0</v>
      </c>
      <c r="I1314">
        <f t="shared" ref="I1314" si="4772">I1313*I1306</f>
        <v>0</v>
      </c>
      <c r="J1314">
        <f t="shared" ref="J1314" si="4773">J1313*J1306</f>
        <v>0</v>
      </c>
      <c r="K1314">
        <f t="shared" ref="K1314" si="4774">K1313*K1306</f>
        <v>0</v>
      </c>
      <c r="L1314">
        <f t="shared" ref="L1314" si="4775">L1313*L1306</f>
        <v>0</v>
      </c>
      <c r="M1314">
        <f t="shared" ref="M1314" si="4776">M1313*M1306</f>
        <v>0</v>
      </c>
      <c r="N1314">
        <f t="shared" ref="N1314" si="4777">N1313*N1306</f>
        <v>0</v>
      </c>
      <c r="O1314">
        <f t="shared" ref="O1314" si="4778">O1313*O1306</f>
        <v>0</v>
      </c>
    </row>
    <row r="1315" spans="2:15" ht="17.149999999999999" x14ac:dyDescent="0.55000000000000004">
      <c r="B1315" t="str">
        <f t="shared" si="4756"/>
        <v>Portland</v>
      </c>
      <c r="C1315" t="s">
        <v>578</v>
      </c>
      <c r="D1315">
        <f>D1314+D1312</f>
        <v>4.739577185808354E-3</v>
      </c>
      <c r="E1315">
        <f t="shared" ref="E1315" si="4779">E1314+E1312</f>
        <v>4.8748667780818778E-3</v>
      </c>
      <c r="F1315">
        <f t="shared" ref="F1315" si="4780">F1314+F1312</f>
        <v>5.119885034186122E-3</v>
      </c>
      <c r="G1315">
        <f t="shared" ref="G1315" si="4781">G1314+G1312</f>
        <v>5.5846958573521795E-3</v>
      </c>
      <c r="H1315">
        <f t="shared" ref="H1315" si="4782">H1314+H1312</f>
        <v>6.5274070972739821E-3</v>
      </c>
      <c r="I1315">
        <f t="shared" ref="I1315" si="4783">I1314+I1312</f>
        <v>7.4199539958878279E-3</v>
      </c>
      <c r="J1315">
        <f t="shared" ref="J1315" si="4784">J1314+J1312</f>
        <v>8.3358107202842254E-3</v>
      </c>
      <c r="K1315">
        <f t="shared" ref="K1315" si="4785">K1314+K1312</f>
        <v>8.4605262729351115E-3</v>
      </c>
      <c r="L1315">
        <f t="shared" ref="L1315" si="4786">L1314+L1312</f>
        <v>7.8399882233967533E-3</v>
      </c>
      <c r="M1315">
        <f t="shared" ref="M1315" si="4787">M1314+M1312</f>
        <v>6.4173462075160911E-3</v>
      </c>
      <c r="N1315">
        <f t="shared" ref="N1315" si="4788">N1314+N1312</f>
        <v>5.3015226887581056E-3</v>
      </c>
      <c r="O1315">
        <f t="shared" ref="O1315" si="4789">O1314+O1312</f>
        <v>4.68970903600947E-3</v>
      </c>
    </row>
    <row r="1316" spans="2:15" ht="17.149999999999999" x14ac:dyDescent="0.55000000000000004">
      <c r="B1316" t="str">
        <f t="shared" si="4756"/>
        <v>Portland</v>
      </c>
      <c r="C1316" t="s">
        <v>579</v>
      </c>
      <c r="D1316" cm="1">
        <f t="array" ref="D1316">IFERROR(IF(D1301="Chemical",(10^(INDEX(Antoines,MATCH(D1300,Antoine_Name,0),2)-INDEX(Antoines,MATCH(D1300,Antoine_Name,0),3)/(INDEX(Antoines,MATCH(D1300,Antoine_Name,0),4)+(D1309-32)*5/9)))*14.7/760,IF(D1301="Crude Oil",EXP((2799/(D1309+459.6)-2.227)*LOG10(INDEX(FX_Input,Q$5,D$3*$Z$5+$AA$5))-(7261/(D1309+459.6))+12.82),IF(D1301="Refined Petroleum Stock",EXP((0.7553-(413/(D1309+459.6)))*(INDEX(FX_Input,Q$5,D$3*$Z$5+$AA$5-1)^0.5)*LOG10(INDEX(FX_Input,Q$5,D$3*$Z$5+$AA$5))-(1.854-(1042/(D1309+459.6)))*(INDEX(FX_Input,Q$5,D$3*$Z$5+$AA$5-1)^0.5)+((2416/(D1309+459.6)-2.013)*LOG10(INDEX(FX_Input,Q$5,D$3*$Z$5+$AA$5)))-(8742/(D1309+459.6))+15.64),EXP(INDEX(Antoines,MATCH(D1300,Antoine_Name,0),2)-INDEX(Antoines,MATCH(D1300,Antoine_Name,0),3)/(D1309+459.6))))),0)</f>
        <v>4.739577185808354E-3</v>
      </c>
      <c r="E1316" cm="1">
        <f t="array" ref="E1316">IFERROR(IF(E1301="Chemical",(10^(INDEX(Antoines,MATCH(E1300,Antoine_Name,0),2)-INDEX(Antoines,MATCH(E1300,Antoine_Name,0),3)/(INDEX(Antoines,MATCH(E1300,Antoine_Name,0),4)+(E1309-32)*5/9)))*14.7/760,IF(E1301="Crude Oil",EXP((2799/(E1309+459.6)-2.227)*LOG10(INDEX(FX_Input,R$5,E$3*$Z$5+$AA$5))-(7261/(E1309+459.6))+12.82),IF(E1301="Refined Petroleum Stock",EXP((0.7553-(413/(E1309+459.6)))*(INDEX(FX_Input,R$5,E$3*$Z$5+$AA$5-1)^0.5)*LOG10(INDEX(FX_Input,R$5,E$3*$Z$5+$AA$5))-(1.854-(1042/(E1309+459.6)))*(INDEX(FX_Input,R$5,E$3*$Z$5+$AA$5-1)^0.5)+((2416/(E1309+459.6)-2.013)*LOG10(INDEX(FX_Input,R$5,E$3*$Z$5+$AA$5)))-(8742/(E1309+459.6))+15.64),EXP(INDEX(Antoines,MATCH(E1300,Antoine_Name,0),2)-INDEX(Antoines,MATCH(E1300,Antoine_Name,0),3)/(E1309+459.6))))),0)</f>
        <v>4.8748667780818778E-3</v>
      </c>
      <c r="F1316" cm="1">
        <f t="array" ref="F1316">IFERROR(IF(F1301="Chemical",(10^(INDEX(Antoines,MATCH(F1300,Antoine_Name,0),2)-INDEX(Antoines,MATCH(F1300,Antoine_Name,0),3)/(INDEX(Antoines,MATCH(F1300,Antoine_Name,0),4)+(F1309-32)*5/9)))*14.7/760,IF(F1301="Crude Oil",EXP((2799/(F1309+459.6)-2.227)*LOG10(INDEX(FX_Input,S$5,F$3*$Z$5+$AA$5))-(7261/(F1309+459.6))+12.82),IF(F1301="Refined Petroleum Stock",EXP((0.7553-(413/(F1309+459.6)))*(INDEX(FX_Input,S$5,F$3*$Z$5+$AA$5-1)^0.5)*LOG10(INDEX(FX_Input,S$5,F$3*$Z$5+$AA$5))-(1.854-(1042/(F1309+459.6)))*(INDEX(FX_Input,S$5,F$3*$Z$5+$AA$5-1)^0.5)+((2416/(F1309+459.6)-2.013)*LOG10(INDEX(FX_Input,S$5,F$3*$Z$5+$AA$5)))-(8742/(F1309+459.6))+15.64),EXP(INDEX(Antoines,MATCH(F1300,Antoine_Name,0),2)-INDEX(Antoines,MATCH(F1300,Antoine_Name,0),3)/(F1309+459.6))))),0)</f>
        <v>5.119885034186122E-3</v>
      </c>
      <c r="G1316" cm="1">
        <f t="array" ref="G1316">IFERROR(IF(G1301="Chemical",(10^(INDEX(Antoines,MATCH(G1300,Antoine_Name,0),2)-INDEX(Antoines,MATCH(G1300,Antoine_Name,0),3)/(INDEX(Antoines,MATCH(G1300,Antoine_Name,0),4)+(G1309-32)*5/9)))*14.7/760,IF(G1301="Crude Oil",EXP((2799/(G1309+459.6)-2.227)*LOG10(INDEX(FX_Input,T$5,G$3*$Z$5+$AA$5))-(7261/(G1309+459.6))+12.82),IF(G1301="Refined Petroleum Stock",EXP((0.7553-(413/(G1309+459.6)))*(INDEX(FX_Input,T$5,G$3*$Z$5+$AA$5-1)^0.5)*LOG10(INDEX(FX_Input,T$5,G$3*$Z$5+$AA$5))-(1.854-(1042/(G1309+459.6)))*(INDEX(FX_Input,T$5,G$3*$Z$5+$AA$5-1)^0.5)+((2416/(G1309+459.6)-2.013)*LOG10(INDEX(FX_Input,T$5,G$3*$Z$5+$AA$5)))-(8742/(G1309+459.6))+15.64),EXP(INDEX(Antoines,MATCH(G1300,Antoine_Name,0),2)-INDEX(Antoines,MATCH(G1300,Antoine_Name,0),3)/(G1309+459.6))))),0)</f>
        <v>5.5846958573521795E-3</v>
      </c>
      <c r="H1316" cm="1">
        <f t="array" ref="H1316">IFERROR(IF(H1301="Chemical",(10^(INDEX(Antoines,MATCH(H1300,Antoine_Name,0),2)-INDEX(Antoines,MATCH(H1300,Antoine_Name,0),3)/(INDEX(Antoines,MATCH(H1300,Antoine_Name,0),4)+(H1309-32)*5/9)))*14.7/760,IF(H1301="Crude Oil",EXP((2799/(H1309+459.6)-2.227)*LOG10(INDEX(FX_Input,U$5,H$3*$Z$5+$AA$5))-(7261/(H1309+459.6))+12.82),IF(H1301="Refined Petroleum Stock",EXP((0.7553-(413/(H1309+459.6)))*(INDEX(FX_Input,U$5,H$3*$Z$5+$AA$5-1)^0.5)*LOG10(INDEX(FX_Input,U$5,H$3*$Z$5+$AA$5))-(1.854-(1042/(H1309+459.6)))*(INDEX(FX_Input,U$5,H$3*$Z$5+$AA$5-1)^0.5)+((2416/(H1309+459.6)-2.013)*LOG10(INDEX(FX_Input,U$5,H$3*$Z$5+$AA$5)))-(8742/(H1309+459.6))+15.64),EXP(INDEX(Antoines,MATCH(H1300,Antoine_Name,0),2)-INDEX(Antoines,MATCH(H1300,Antoine_Name,0),3)/(H1309+459.6))))),0)</f>
        <v>6.5274070972739821E-3</v>
      </c>
      <c r="I1316" cm="1">
        <f t="array" ref="I1316">IFERROR(IF(I1301="Chemical",(10^(INDEX(Antoines,MATCH(I1300,Antoine_Name,0),2)-INDEX(Antoines,MATCH(I1300,Antoine_Name,0),3)/(INDEX(Antoines,MATCH(I1300,Antoine_Name,0),4)+(I1309-32)*5/9)))*14.7/760,IF(I1301="Crude Oil",EXP((2799/(I1309+459.6)-2.227)*LOG10(INDEX(FX_Input,V$5,I$3*$Z$5+$AA$5))-(7261/(I1309+459.6))+12.82),IF(I1301="Refined Petroleum Stock",EXP((0.7553-(413/(I1309+459.6)))*(INDEX(FX_Input,V$5,I$3*$Z$5+$AA$5-1)^0.5)*LOG10(INDEX(FX_Input,V$5,I$3*$Z$5+$AA$5))-(1.854-(1042/(I1309+459.6)))*(INDEX(FX_Input,V$5,I$3*$Z$5+$AA$5-1)^0.5)+((2416/(I1309+459.6)-2.013)*LOG10(INDEX(FX_Input,V$5,I$3*$Z$5+$AA$5)))-(8742/(I1309+459.6))+15.64),EXP(INDEX(Antoines,MATCH(I1300,Antoine_Name,0),2)-INDEX(Antoines,MATCH(I1300,Antoine_Name,0),3)/(I1309+459.6))))),0)</f>
        <v>7.4199539958878279E-3</v>
      </c>
      <c r="J1316" cm="1">
        <f t="array" ref="J1316">IFERROR(IF(J1301="Chemical",(10^(INDEX(Antoines,MATCH(J1300,Antoine_Name,0),2)-INDEX(Antoines,MATCH(J1300,Antoine_Name,0),3)/(INDEX(Antoines,MATCH(J1300,Antoine_Name,0),4)+(J1309-32)*5/9)))*14.7/760,IF(J1301="Crude Oil",EXP((2799/(J1309+459.6)-2.227)*LOG10(INDEX(FX_Input,W$5,J$3*$Z$5+$AA$5))-(7261/(J1309+459.6))+12.82),IF(J1301="Refined Petroleum Stock",EXP((0.7553-(413/(J1309+459.6)))*(INDEX(FX_Input,W$5,J$3*$Z$5+$AA$5-1)^0.5)*LOG10(INDEX(FX_Input,W$5,J$3*$Z$5+$AA$5))-(1.854-(1042/(J1309+459.6)))*(INDEX(FX_Input,W$5,J$3*$Z$5+$AA$5-1)^0.5)+((2416/(J1309+459.6)-2.013)*LOG10(INDEX(FX_Input,W$5,J$3*$Z$5+$AA$5)))-(8742/(J1309+459.6))+15.64),EXP(INDEX(Antoines,MATCH(J1300,Antoine_Name,0),2)-INDEX(Antoines,MATCH(J1300,Antoine_Name,0),3)/(J1309+459.6))))),0)</f>
        <v>8.3358107202842254E-3</v>
      </c>
      <c r="K1316" cm="1">
        <f t="array" ref="K1316">IFERROR(IF(K1301="Chemical",(10^(INDEX(Antoines,MATCH(K1300,Antoine_Name,0),2)-INDEX(Antoines,MATCH(K1300,Antoine_Name,0),3)/(INDEX(Antoines,MATCH(K1300,Antoine_Name,0),4)+(K1309-32)*5/9)))*14.7/760,IF(K1301="Crude Oil",EXP((2799/(K1309+459.6)-2.227)*LOG10(INDEX(FX_Input,X$5,K$3*$Z$5+$AA$5))-(7261/(K1309+459.6))+12.82),IF(K1301="Refined Petroleum Stock",EXP((0.7553-(413/(K1309+459.6)))*(INDEX(FX_Input,X$5,K$3*$Z$5+$AA$5-1)^0.5)*LOG10(INDEX(FX_Input,X$5,K$3*$Z$5+$AA$5))-(1.854-(1042/(K1309+459.6)))*(INDEX(FX_Input,X$5,K$3*$Z$5+$AA$5-1)^0.5)+((2416/(K1309+459.6)-2.013)*LOG10(INDEX(FX_Input,X$5,K$3*$Z$5+$AA$5)))-(8742/(K1309+459.6))+15.64),EXP(INDEX(Antoines,MATCH(K1300,Antoine_Name,0),2)-INDEX(Antoines,MATCH(K1300,Antoine_Name,0),3)/(K1309+459.6))))),0)</f>
        <v>8.4605262729351115E-3</v>
      </c>
      <c r="L1316" cm="1">
        <f t="array" ref="L1316">IFERROR(IF(L1301="Chemical",(10^(INDEX(Antoines,MATCH(L1300,Antoine_Name,0),2)-INDEX(Antoines,MATCH(L1300,Antoine_Name,0),3)/(INDEX(Antoines,MATCH(L1300,Antoine_Name,0),4)+(L1309-32)*5/9)))*14.7/760,IF(L1301="Crude Oil",EXP((2799/(L1309+459.6)-2.227)*LOG10(INDEX(FX_Input,Y$5,L$3*$Z$5+$AA$5))-(7261/(L1309+459.6))+12.82),IF(L1301="Refined Petroleum Stock",EXP((0.7553-(413/(L1309+459.6)))*(INDEX(FX_Input,Y$5,L$3*$Z$5+$AA$5-1)^0.5)*LOG10(INDEX(FX_Input,Y$5,L$3*$Z$5+$AA$5))-(1.854-(1042/(L1309+459.6)))*(INDEX(FX_Input,Y$5,L$3*$Z$5+$AA$5-1)^0.5)+((2416/(L1309+459.6)-2.013)*LOG10(INDEX(FX_Input,Y$5,L$3*$Z$5+$AA$5)))-(8742/(L1309+459.6))+15.64),EXP(INDEX(Antoines,MATCH(L1300,Antoine_Name,0),2)-INDEX(Antoines,MATCH(L1300,Antoine_Name,0),3)/(L1309+459.6))))),0)</f>
        <v>7.8399882233967533E-3</v>
      </c>
      <c r="M1316" cm="1">
        <f t="array" ref="M1316">IFERROR(IF(M1301="Chemical",(10^(INDEX(Antoines,MATCH(M1300,Antoine_Name,0),2)-INDEX(Antoines,MATCH(M1300,Antoine_Name,0),3)/(INDEX(Antoines,MATCH(M1300,Antoine_Name,0),4)+(M1309-32)*5/9)))*14.7/760,IF(M1301="Crude Oil",EXP((2799/(M1309+459.6)-2.227)*LOG10(INDEX(FX_Input,Z$5,M$3*$Z$5+$AA$5))-(7261/(M1309+459.6))+12.82),IF(M1301="Refined Petroleum Stock",EXP((0.7553-(413/(M1309+459.6)))*(INDEX(FX_Input,Z$5,M$3*$Z$5+$AA$5-1)^0.5)*LOG10(INDEX(FX_Input,Z$5,M$3*$Z$5+$AA$5))-(1.854-(1042/(M1309+459.6)))*(INDEX(FX_Input,Z$5,M$3*$Z$5+$AA$5-1)^0.5)+((2416/(M1309+459.6)-2.013)*LOG10(INDEX(FX_Input,Z$5,M$3*$Z$5+$AA$5)))-(8742/(M1309+459.6))+15.64),EXP(INDEX(Antoines,MATCH(M1300,Antoine_Name,0),2)-INDEX(Antoines,MATCH(M1300,Antoine_Name,0),3)/(M1309+459.6))))),0)</f>
        <v>6.4173462075160911E-3</v>
      </c>
      <c r="N1316" cm="1">
        <f t="array" ref="N1316">IFERROR(IF(N1301="Chemical",(10^(INDEX(Antoines,MATCH(N1300,Antoine_Name,0),2)-INDEX(Antoines,MATCH(N1300,Antoine_Name,0),3)/(INDEX(Antoines,MATCH(N1300,Antoine_Name,0),4)+(N1309-32)*5/9)))*14.7/760,IF(N1301="Crude Oil",EXP((2799/(N1309+459.6)-2.227)*LOG10(INDEX(FX_Input,AA$5,N$3*$Z$5+$AA$5))-(7261/(N1309+459.6))+12.82),IF(N1301="Refined Petroleum Stock",EXP((0.7553-(413/(N1309+459.6)))*(INDEX(FX_Input,AA$5,N$3*$Z$5+$AA$5-1)^0.5)*LOG10(INDEX(FX_Input,AA$5,N$3*$Z$5+$AA$5))-(1.854-(1042/(N1309+459.6)))*(INDEX(FX_Input,AA$5,N$3*$Z$5+$AA$5-1)^0.5)+((2416/(N1309+459.6)-2.013)*LOG10(INDEX(FX_Input,AA$5,N$3*$Z$5+$AA$5)))-(8742/(N1309+459.6))+15.64),EXP(INDEX(Antoines,MATCH(N1300,Antoine_Name,0),2)-INDEX(Antoines,MATCH(N1300,Antoine_Name,0),3)/(N1309+459.6))))),0)</f>
        <v>5.3015226887581056E-3</v>
      </c>
      <c r="O1316" cm="1">
        <f t="array" ref="O1316">IFERROR(IF(O1301="Chemical",(10^(INDEX(Antoines,MATCH(O1300,Antoine_Name,0),2)-INDEX(Antoines,MATCH(O1300,Antoine_Name,0),3)/(INDEX(Antoines,MATCH(O1300,Antoine_Name,0),4)+(O1309-32)*5/9)))*14.7/760,IF(O1301="Crude Oil",EXP((2799/(O1309+459.6)-2.227)*LOG10(INDEX(FX_Input,AB$5,O$3*$Z$5+$AA$5))-(7261/(O1309+459.6))+12.82),IF(O1301="Refined Petroleum Stock",EXP((0.7553-(413/(O1309+459.6)))*(INDEX(FX_Input,AB$5,O$3*$Z$5+$AA$5-1)^0.5)*LOG10(INDEX(FX_Input,AB$5,O$3*$Z$5+$AA$5))-(1.854-(1042/(O1309+459.6)))*(INDEX(FX_Input,AB$5,O$3*$Z$5+$AA$5-1)^0.5)+((2416/(O1309+459.6)-2.013)*LOG10(INDEX(FX_Input,AB$5,O$3*$Z$5+$AA$5)))-(8742/(O1309+459.6))+15.64),EXP(INDEX(Antoines,MATCH(O1300,Antoine_Name,0),2)-INDEX(Antoines,MATCH(O1300,Antoine_Name,0),3)/(O1309+459.6))))),0)</f>
        <v>4.68970903600947E-3</v>
      </c>
    </row>
    <row r="1317" spans="2:15" ht="17.149999999999999" x14ac:dyDescent="0.55000000000000004">
      <c r="B1317" t="str">
        <f t="shared" si="4756"/>
        <v>Portland</v>
      </c>
      <c r="C1317" t="s">
        <v>580</v>
      </c>
      <c r="D1317">
        <f>D1316*D1304</f>
        <v>4.739577185808354E-3</v>
      </c>
      <c r="E1317">
        <f t="shared" ref="E1317" si="4790">E1316*E1304</f>
        <v>4.8748667780818778E-3</v>
      </c>
      <c r="F1317">
        <f t="shared" ref="F1317" si="4791">F1316*F1304</f>
        <v>5.119885034186122E-3</v>
      </c>
      <c r="G1317">
        <f t="shared" ref="G1317" si="4792">G1316*G1304</f>
        <v>5.5846958573521795E-3</v>
      </c>
      <c r="H1317">
        <f t="shared" ref="H1317" si="4793">H1316*H1304</f>
        <v>6.5274070972739821E-3</v>
      </c>
      <c r="I1317">
        <f t="shared" ref="I1317" si="4794">I1316*I1304</f>
        <v>7.4199539958878279E-3</v>
      </c>
      <c r="J1317">
        <f t="shared" ref="J1317" si="4795">J1316*J1304</f>
        <v>8.3358107202842254E-3</v>
      </c>
      <c r="K1317">
        <f t="shared" ref="K1317" si="4796">K1316*K1304</f>
        <v>8.4605262729351115E-3</v>
      </c>
      <c r="L1317">
        <f t="shared" ref="L1317" si="4797">L1316*L1304</f>
        <v>7.8399882233967533E-3</v>
      </c>
      <c r="M1317">
        <f t="shared" ref="M1317" si="4798">M1316*M1304</f>
        <v>6.4173462075160911E-3</v>
      </c>
      <c r="N1317">
        <f t="shared" ref="N1317" si="4799">N1316*N1304</f>
        <v>5.3015226887581056E-3</v>
      </c>
      <c r="O1317">
        <f t="shared" ref="O1317" si="4800">O1316*O1304</f>
        <v>4.68970903600947E-3</v>
      </c>
    </row>
    <row r="1318" spans="2:15" ht="17.149999999999999" x14ac:dyDescent="0.55000000000000004">
      <c r="B1318" t="str">
        <f t="shared" si="4756"/>
        <v>Portland</v>
      </c>
      <c r="C1318" t="s">
        <v>581</v>
      </c>
      <c r="D1318" cm="1">
        <f t="array" ref="D1318">IFERROR(IF(D1303="Chemical",(10^(INDEX(Antoines,MATCH(D1302,Antoine_Name,0),2)-INDEX(Antoines,MATCH(D1302,Antoine_Name,0),3)/(INDEX(Antoines,MATCH(D1302,Antoine_Name,0),4)+(D1309-32)*5/9)))*14.7/760,IF(D1303="Crude Oil",EXP((2799/(D1309+459.6)-2.227)*LOG10(INDEX(FX_Input,Q$5,D$3*$Z$5+$AA$5))-(7261/(D1309+459.6))+12.82),IF(D1303="Refined Petroleum Stock",EXP((0.7553-(413/(D1309+459.6)))*(INDEX(FX_Input,Q$5,D$3*$Z$5+$AA$5-1)^0.5)*LOG10(INDEX(FX_Input,Q$5,D$3*$Z$5+$AA$5))-(1.854-(1042/(D1309+459.6)))*(INDEX(FX_Input,Q$5,D$3*$Z$5+$AA$5-1)^0.5)+((2416/(D1309+459.6)-2.013)*LOG10(INDEX(FX_Input,Q$5,D$3*$Z$5+$AA$5)))-(8742/(D1309+459.6))+15.64),EXP(INDEX(Antoines,MATCH(D1302,Antoine_Name,0),2)-INDEX(Antoines,MATCH(D1302,Antoine_Name,0),3)/(D1309+459.6))))),0)</f>
        <v>0</v>
      </c>
      <c r="E1318" cm="1">
        <f t="array" ref="E1318">IFERROR(IF(E1303="Chemical",(10^(INDEX(Antoines,MATCH(E1302,Antoine_Name,0),2)-INDEX(Antoines,MATCH(E1302,Antoine_Name,0),3)/(INDEX(Antoines,MATCH(E1302,Antoine_Name,0),4)+(E1309-32)*5/9)))*14.7/760,IF(E1303="Crude Oil",EXP((2799/(E1309+459.6)-2.227)*LOG10(INDEX(FX_Input,R$5,E$3*$Z$5+$AA$5))-(7261/(E1309+459.6))+12.82),IF(E1303="Refined Petroleum Stock",EXP((0.7553-(413/(E1309+459.6)))*(INDEX(FX_Input,R$5,E$3*$Z$5+$AA$5-1)^0.5)*LOG10(INDEX(FX_Input,R$5,E$3*$Z$5+$AA$5))-(1.854-(1042/(E1309+459.6)))*(INDEX(FX_Input,R$5,E$3*$Z$5+$AA$5-1)^0.5)+((2416/(E1309+459.6)-2.013)*LOG10(INDEX(FX_Input,R$5,E$3*$Z$5+$AA$5)))-(8742/(E1309+459.6))+15.64),EXP(INDEX(Antoines,MATCH(E1302,Antoine_Name,0),2)-INDEX(Antoines,MATCH(E1302,Antoine_Name,0),3)/(E1309+459.6))))),0)</f>
        <v>0</v>
      </c>
      <c r="F1318" cm="1">
        <f t="array" ref="F1318">IFERROR(IF(F1303="Chemical",(10^(INDEX(Antoines,MATCH(F1302,Antoine_Name,0),2)-INDEX(Antoines,MATCH(F1302,Antoine_Name,0),3)/(INDEX(Antoines,MATCH(F1302,Antoine_Name,0),4)+(F1309-32)*5/9)))*14.7/760,IF(F1303="Crude Oil",EXP((2799/(F1309+459.6)-2.227)*LOG10(INDEX(FX_Input,S$5,F$3*$Z$5+$AA$5))-(7261/(F1309+459.6))+12.82),IF(F1303="Refined Petroleum Stock",EXP((0.7553-(413/(F1309+459.6)))*(INDEX(FX_Input,S$5,F$3*$Z$5+$AA$5-1)^0.5)*LOG10(INDEX(FX_Input,S$5,F$3*$Z$5+$AA$5))-(1.854-(1042/(F1309+459.6)))*(INDEX(FX_Input,S$5,F$3*$Z$5+$AA$5-1)^0.5)+((2416/(F1309+459.6)-2.013)*LOG10(INDEX(FX_Input,S$5,F$3*$Z$5+$AA$5)))-(8742/(F1309+459.6))+15.64),EXP(INDEX(Antoines,MATCH(F1302,Antoine_Name,0),2)-INDEX(Antoines,MATCH(F1302,Antoine_Name,0),3)/(F1309+459.6))))),0)</f>
        <v>0</v>
      </c>
      <c r="G1318" cm="1">
        <f t="array" ref="G1318">IFERROR(IF(G1303="Chemical",(10^(INDEX(Antoines,MATCH(G1302,Antoine_Name,0),2)-INDEX(Antoines,MATCH(G1302,Antoine_Name,0),3)/(INDEX(Antoines,MATCH(G1302,Antoine_Name,0),4)+(G1309-32)*5/9)))*14.7/760,IF(G1303="Crude Oil",EXP((2799/(G1309+459.6)-2.227)*LOG10(INDEX(FX_Input,T$5,G$3*$Z$5+$AA$5))-(7261/(G1309+459.6))+12.82),IF(G1303="Refined Petroleum Stock",EXP((0.7553-(413/(G1309+459.6)))*(INDEX(FX_Input,T$5,G$3*$Z$5+$AA$5-1)^0.5)*LOG10(INDEX(FX_Input,T$5,G$3*$Z$5+$AA$5))-(1.854-(1042/(G1309+459.6)))*(INDEX(FX_Input,T$5,G$3*$Z$5+$AA$5-1)^0.5)+((2416/(G1309+459.6)-2.013)*LOG10(INDEX(FX_Input,T$5,G$3*$Z$5+$AA$5)))-(8742/(G1309+459.6))+15.64),EXP(INDEX(Antoines,MATCH(G1302,Antoine_Name,0),2)-INDEX(Antoines,MATCH(G1302,Antoine_Name,0),3)/(G1309+459.6))))),0)</f>
        <v>0</v>
      </c>
      <c r="H1318" cm="1">
        <f t="array" ref="H1318">IFERROR(IF(H1303="Chemical",(10^(INDEX(Antoines,MATCH(H1302,Antoine_Name,0),2)-INDEX(Antoines,MATCH(H1302,Antoine_Name,0),3)/(INDEX(Antoines,MATCH(H1302,Antoine_Name,0),4)+(H1309-32)*5/9)))*14.7/760,IF(H1303="Crude Oil",EXP((2799/(H1309+459.6)-2.227)*LOG10(INDEX(FX_Input,U$5,H$3*$Z$5+$AA$5))-(7261/(H1309+459.6))+12.82),IF(H1303="Refined Petroleum Stock",EXP((0.7553-(413/(H1309+459.6)))*(INDEX(FX_Input,U$5,H$3*$Z$5+$AA$5-1)^0.5)*LOG10(INDEX(FX_Input,U$5,H$3*$Z$5+$AA$5))-(1.854-(1042/(H1309+459.6)))*(INDEX(FX_Input,U$5,H$3*$Z$5+$AA$5-1)^0.5)+((2416/(H1309+459.6)-2.013)*LOG10(INDEX(FX_Input,U$5,H$3*$Z$5+$AA$5)))-(8742/(H1309+459.6))+15.64),EXP(INDEX(Antoines,MATCH(H1302,Antoine_Name,0),2)-INDEX(Antoines,MATCH(H1302,Antoine_Name,0),3)/(H1309+459.6))))),0)</f>
        <v>0</v>
      </c>
      <c r="I1318" cm="1">
        <f t="array" ref="I1318">IFERROR(IF(I1303="Chemical",(10^(INDEX(Antoines,MATCH(I1302,Antoine_Name,0),2)-INDEX(Antoines,MATCH(I1302,Antoine_Name,0),3)/(INDEX(Antoines,MATCH(I1302,Antoine_Name,0),4)+(I1309-32)*5/9)))*14.7/760,IF(I1303="Crude Oil",EXP((2799/(I1309+459.6)-2.227)*LOG10(INDEX(FX_Input,V$5,I$3*$Z$5+$AA$5))-(7261/(I1309+459.6))+12.82),IF(I1303="Refined Petroleum Stock",EXP((0.7553-(413/(I1309+459.6)))*(INDEX(FX_Input,V$5,I$3*$Z$5+$AA$5-1)^0.5)*LOG10(INDEX(FX_Input,V$5,I$3*$Z$5+$AA$5))-(1.854-(1042/(I1309+459.6)))*(INDEX(FX_Input,V$5,I$3*$Z$5+$AA$5-1)^0.5)+((2416/(I1309+459.6)-2.013)*LOG10(INDEX(FX_Input,V$5,I$3*$Z$5+$AA$5)))-(8742/(I1309+459.6))+15.64),EXP(INDEX(Antoines,MATCH(I1302,Antoine_Name,0),2)-INDEX(Antoines,MATCH(I1302,Antoine_Name,0),3)/(I1309+459.6))))),0)</f>
        <v>0</v>
      </c>
      <c r="J1318" cm="1">
        <f t="array" ref="J1318">IFERROR(IF(J1303="Chemical",(10^(INDEX(Antoines,MATCH(J1302,Antoine_Name,0),2)-INDEX(Antoines,MATCH(J1302,Antoine_Name,0),3)/(INDEX(Antoines,MATCH(J1302,Antoine_Name,0),4)+(J1309-32)*5/9)))*14.7/760,IF(J1303="Crude Oil",EXP((2799/(J1309+459.6)-2.227)*LOG10(INDEX(FX_Input,W$5,J$3*$Z$5+$AA$5))-(7261/(J1309+459.6))+12.82),IF(J1303="Refined Petroleum Stock",EXP((0.7553-(413/(J1309+459.6)))*(INDEX(FX_Input,W$5,J$3*$Z$5+$AA$5-1)^0.5)*LOG10(INDEX(FX_Input,W$5,J$3*$Z$5+$AA$5))-(1.854-(1042/(J1309+459.6)))*(INDEX(FX_Input,W$5,J$3*$Z$5+$AA$5-1)^0.5)+((2416/(J1309+459.6)-2.013)*LOG10(INDEX(FX_Input,W$5,J$3*$Z$5+$AA$5)))-(8742/(J1309+459.6))+15.64),EXP(INDEX(Antoines,MATCH(J1302,Antoine_Name,0),2)-INDEX(Antoines,MATCH(J1302,Antoine_Name,0),3)/(J1309+459.6))))),0)</f>
        <v>0</v>
      </c>
      <c r="K1318" cm="1">
        <f t="array" ref="K1318">IFERROR(IF(K1303="Chemical",(10^(INDEX(Antoines,MATCH(K1302,Antoine_Name,0),2)-INDEX(Antoines,MATCH(K1302,Antoine_Name,0),3)/(INDEX(Antoines,MATCH(K1302,Antoine_Name,0),4)+(K1309-32)*5/9)))*14.7/760,IF(K1303="Crude Oil",EXP((2799/(K1309+459.6)-2.227)*LOG10(INDEX(FX_Input,X$5,K$3*$Z$5+$AA$5))-(7261/(K1309+459.6))+12.82),IF(K1303="Refined Petroleum Stock",EXP((0.7553-(413/(K1309+459.6)))*(INDEX(FX_Input,X$5,K$3*$Z$5+$AA$5-1)^0.5)*LOG10(INDEX(FX_Input,X$5,K$3*$Z$5+$AA$5))-(1.854-(1042/(K1309+459.6)))*(INDEX(FX_Input,X$5,K$3*$Z$5+$AA$5-1)^0.5)+((2416/(K1309+459.6)-2.013)*LOG10(INDEX(FX_Input,X$5,K$3*$Z$5+$AA$5)))-(8742/(K1309+459.6))+15.64),EXP(INDEX(Antoines,MATCH(K1302,Antoine_Name,0),2)-INDEX(Antoines,MATCH(K1302,Antoine_Name,0),3)/(K1309+459.6))))),0)</f>
        <v>0</v>
      </c>
      <c r="L1318" cm="1">
        <f t="array" ref="L1318">IFERROR(IF(L1303="Chemical",(10^(INDEX(Antoines,MATCH(L1302,Antoine_Name,0),2)-INDEX(Antoines,MATCH(L1302,Antoine_Name,0),3)/(INDEX(Antoines,MATCH(L1302,Antoine_Name,0),4)+(L1309-32)*5/9)))*14.7/760,IF(L1303="Crude Oil",EXP((2799/(L1309+459.6)-2.227)*LOG10(INDEX(FX_Input,Y$5,L$3*$Z$5+$AA$5))-(7261/(L1309+459.6))+12.82),IF(L1303="Refined Petroleum Stock",EXP((0.7553-(413/(L1309+459.6)))*(INDEX(FX_Input,Y$5,L$3*$Z$5+$AA$5-1)^0.5)*LOG10(INDEX(FX_Input,Y$5,L$3*$Z$5+$AA$5))-(1.854-(1042/(L1309+459.6)))*(INDEX(FX_Input,Y$5,L$3*$Z$5+$AA$5-1)^0.5)+((2416/(L1309+459.6)-2.013)*LOG10(INDEX(FX_Input,Y$5,L$3*$Z$5+$AA$5)))-(8742/(L1309+459.6))+15.64),EXP(INDEX(Antoines,MATCH(L1302,Antoine_Name,0),2)-INDEX(Antoines,MATCH(L1302,Antoine_Name,0),3)/(L1309+459.6))))),0)</f>
        <v>0</v>
      </c>
      <c r="M1318" cm="1">
        <f t="array" ref="M1318">IFERROR(IF(M1303="Chemical",(10^(INDEX(Antoines,MATCH(M1302,Antoine_Name,0),2)-INDEX(Antoines,MATCH(M1302,Antoine_Name,0),3)/(INDEX(Antoines,MATCH(M1302,Antoine_Name,0),4)+(M1309-32)*5/9)))*14.7/760,IF(M1303="Crude Oil",EXP((2799/(M1309+459.6)-2.227)*LOG10(INDEX(FX_Input,Z$5,M$3*$Z$5+$AA$5))-(7261/(M1309+459.6))+12.82),IF(M1303="Refined Petroleum Stock",EXP((0.7553-(413/(M1309+459.6)))*(INDEX(FX_Input,Z$5,M$3*$Z$5+$AA$5-1)^0.5)*LOG10(INDEX(FX_Input,Z$5,M$3*$Z$5+$AA$5))-(1.854-(1042/(M1309+459.6)))*(INDEX(FX_Input,Z$5,M$3*$Z$5+$AA$5-1)^0.5)+((2416/(M1309+459.6)-2.013)*LOG10(INDEX(FX_Input,Z$5,M$3*$Z$5+$AA$5)))-(8742/(M1309+459.6))+15.64),EXP(INDEX(Antoines,MATCH(M1302,Antoine_Name,0),2)-INDEX(Antoines,MATCH(M1302,Antoine_Name,0),3)/(M1309+459.6))))),0)</f>
        <v>0</v>
      </c>
      <c r="N1318" cm="1">
        <f t="array" ref="N1318">IFERROR(IF(N1303="Chemical",(10^(INDEX(Antoines,MATCH(N1302,Antoine_Name,0),2)-INDEX(Antoines,MATCH(N1302,Antoine_Name,0),3)/(INDEX(Antoines,MATCH(N1302,Antoine_Name,0),4)+(N1309-32)*5/9)))*14.7/760,IF(N1303="Crude Oil",EXP((2799/(N1309+459.6)-2.227)*LOG10(INDEX(FX_Input,AA$5,N$3*$Z$5+$AA$5))-(7261/(N1309+459.6))+12.82),IF(N1303="Refined Petroleum Stock",EXP((0.7553-(413/(N1309+459.6)))*(INDEX(FX_Input,AA$5,N$3*$Z$5+$AA$5-1)^0.5)*LOG10(INDEX(FX_Input,AA$5,N$3*$Z$5+$AA$5))-(1.854-(1042/(N1309+459.6)))*(INDEX(FX_Input,AA$5,N$3*$Z$5+$AA$5-1)^0.5)+((2416/(N1309+459.6)-2.013)*LOG10(INDEX(FX_Input,AA$5,N$3*$Z$5+$AA$5)))-(8742/(N1309+459.6))+15.64),EXP(INDEX(Antoines,MATCH(N1302,Antoine_Name,0),2)-INDEX(Antoines,MATCH(N1302,Antoine_Name,0),3)/(N1309+459.6))))),0)</f>
        <v>0</v>
      </c>
      <c r="O1318" cm="1">
        <f t="array" ref="O1318">IFERROR(IF(O1303="Chemical",(10^(INDEX(Antoines,MATCH(O1302,Antoine_Name,0),2)-INDEX(Antoines,MATCH(O1302,Antoine_Name,0),3)/(INDEX(Antoines,MATCH(O1302,Antoine_Name,0),4)+(O1309-32)*5/9)))*14.7/760,IF(O1303="Crude Oil",EXP((2799/(O1309+459.6)-2.227)*LOG10(INDEX(FX_Input,AB$5,O$3*$Z$5+$AA$5))-(7261/(O1309+459.6))+12.82),IF(O1303="Refined Petroleum Stock",EXP((0.7553-(413/(O1309+459.6)))*(INDEX(FX_Input,AB$5,O$3*$Z$5+$AA$5-1)^0.5)*LOG10(INDEX(FX_Input,AB$5,O$3*$Z$5+$AA$5))-(1.854-(1042/(O1309+459.6)))*(INDEX(FX_Input,AB$5,O$3*$Z$5+$AA$5-1)^0.5)+((2416/(O1309+459.6)-2.013)*LOG10(INDEX(FX_Input,AB$5,O$3*$Z$5+$AA$5)))-(8742/(O1309+459.6))+15.64),EXP(INDEX(Antoines,MATCH(O1302,Antoine_Name,0),2)-INDEX(Antoines,MATCH(O1302,Antoine_Name,0),3)/(O1309+459.6))))),0)</f>
        <v>0</v>
      </c>
    </row>
    <row r="1319" spans="2:15" ht="17.149999999999999" x14ac:dyDescent="0.55000000000000004">
      <c r="B1319" t="str">
        <f t="shared" si="4756"/>
        <v>Portland</v>
      </c>
      <c r="C1319" t="s">
        <v>582</v>
      </c>
      <c r="D1319">
        <f>D1318*D1306</f>
        <v>0</v>
      </c>
      <c r="E1319">
        <f t="shared" ref="E1319" si="4801">E1318*E1306</f>
        <v>0</v>
      </c>
      <c r="F1319">
        <f t="shared" ref="F1319" si="4802">F1318*F1306</f>
        <v>0</v>
      </c>
      <c r="G1319">
        <f t="shared" ref="G1319" si="4803">G1318*G1306</f>
        <v>0</v>
      </c>
      <c r="H1319">
        <f t="shared" ref="H1319" si="4804">H1318*H1306</f>
        <v>0</v>
      </c>
      <c r="I1319">
        <f t="shared" ref="I1319" si="4805">I1318*I1306</f>
        <v>0</v>
      </c>
      <c r="J1319">
        <f t="shared" ref="J1319" si="4806">J1318*J1306</f>
        <v>0</v>
      </c>
      <c r="K1319">
        <f t="shared" ref="K1319" si="4807">K1318*K1306</f>
        <v>0</v>
      </c>
      <c r="L1319">
        <f t="shared" ref="L1319" si="4808">L1318*L1306</f>
        <v>0</v>
      </c>
      <c r="M1319">
        <f t="shared" ref="M1319" si="4809">M1318*M1306</f>
        <v>0</v>
      </c>
      <c r="N1319">
        <f t="shared" ref="N1319" si="4810">N1318*N1306</f>
        <v>0</v>
      </c>
      <c r="O1319">
        <f t="shared" ref="O1319" si="4811">O1318*O1306</f>
        <v>0</v>
      </c>
    </row>
    <row r="1320" spans="2:15" ht="17.149999999999999" x14ac:dyDescent="0.55000000000000004">
      <c r="B1320" t="str">
        <f t="shared" si="4756"/>
        <v>Portland</v>
      </c>
      <c r="C1320" t="s">
        <v>583</v>
      </c>
      <c r="D1320">
        <f>D1317+D1319</f>
        <v>4.739577185808354E-3</v>
      </c>
      <c r="E1320">
        <f t="shared" ref="E1320" si="4812">E1317+E1319</f>
        <v>4.8748667780818778E-3</v>
      </c>
      <c r="F1320">
        <f t="shared" ref="F1320" si="4813">F1317+F1319</f>
        <v>5.119885034186122E-3</v>
      </c>
      <c r="G1320">
        <f t="shared" ref="G1320" si="4814">G1317+G1319</f>
        <v>5.5846958573521795E-3</v>
      </c>
      <c r="H1320">
        <f t="shared" ref="H1320" si="4815">H1317+H1319</f>
        <v>6.5274070972739821E-3</v>
      </c>
      <c r="I1320">
        <f t="shared" ref="I1320" si="4816">I1317+I1319</f>
        <v>7.4199539958878279E-3</v>
      </c>
      <c r="J1320">
        <f t="shared" ref="J1320" si="4817">J1317+J1319</f>
        <v>8.3358107202842254E-3</v>
      </c>
      <c r="K1320">
        <f t="shared" ref="K1320" si="4818">K1317+K1319</f>
        <v>8.4605262729351115E-3</v>
      </c>
      <c r="L1320">
        <f t="shared" ref="L1320" si="4819">L1317+L1319</f>
        <v>7.8399882233967533E-3</v>
      </c>
      <c r="M1320">
        <f t="shared" ref="M1320" si="4820">M1317+M1319</f>
        <v>6.4173462075160911E-3</v>
      </c>
      <c r="N1320">
        <f t="shared" ref="N1320" si="4821">N1317+N1319</f>
        <v>5.3015226887581056E-3</v>
      </c>
      <c r="O1320">
        <f t="shared" ref="O1320" si="4822">O1317+O1319</f>
        <v>4.68970903600947E-3</v>
      </c>
    </row>
    <row r="1321" spans="2:15" ht="17.149999999999999" x14ac:dyDescent="0.55000000000000004">
      <c r="B1321" t="str">
        <f t="shared" si="4756"/>
        <v>Portland</v>
      </c>
      <c r="C1321" t="s">
        <v>1388</v>
      </c>
      <c r="D1321" cm="1">
        <f t="array" ref="D1321">IFERROR(IF(D1301="Chemical",(10^(INDEX(Antoines,MATCH(D1300,Antoine_Name,0),2)-INDEX(Antoines,MATCH(D1300,Antoine_Name,0),3)/(INDEX(Antoines,MATCH(D1300,Antoine_Name,0),4)+(D1310-32)*5/9)))*14.7/760,IF(D1301="Crude Oil",EXP((2799/(D1310+459.6)-2.227)*LOG10(INDEX(FX_Input,Q$5,D$3*$Z$5+$AA$5))-(7261/(D1310+459.6))+12.82),IF(D1301="Refined Petroleum Stock",EXP((0.7553-(413/(D1310+459.6)))*(INDEX(FX_Input,Q$5,D$3*$Z$5+$AA$5-1)^0.5)*LOG10(INDEX(FX_Input,Q$5,D$3*$Z$5+$AA$5))-(1.854-(1042/(D1310+459.6)))*(INDEX(FX_Input,Q$5,D$3*$Z$5+$AA$5-1)^0.5)+((2416/(D1310+459.6)-2.013)*LOG10(INDEX(FX_Input,Q$5,D$3*$Z$5+$AA$5)))-(8742/(D1310+459.6))+15.64),EXP(INDEX(Antoines,MATCH(D1300,Antoine_Name,0),2)-INDEX(Antoines,MATCH(D1300,Antoine_Name,0),3)/(D1310+459.6))))),0)</f>
        <v>4.739577185808354E-3</v>
      </c>
      <c r="E1321" cm="1">
        <f t="array" ref="E1321">IFERROR(IF(E1301="Chemical",(10^(INDEX(Antoines,MATCH(E1300,Antoine_Name,0),2)-INDEX(Antoines,MATCH(E1300,Antoine_Name,0),3)/(INDEX(Antoines,MATCH(E1300,Antoine_Name,0),4)+(E1310-32)*5/9)))*14.7/760,IF(E1301="Crude Oil",EXP((2799/(E1310+459.6)-2.227)*LOG10(INDEX(FX_Input,R$5,E$3*$Z$5+$AA$5))-(7261/(E1310+459.6))+12.82),IF(E1301="Refined Petroleum Stock",EXP((0.7553-(413/(E1310+459.6)))*(INDEX(FX_Input,R$5,E$3*$Z$5+$AA$5-1)^0.5)*LOG10(INDEX(FX_Input,R$5,E$3*$Z$5+$AA$5))-(1.854-(1042/(E1310+459.6)))*(INDEX(FX_Input,R$5,E$3*$Z$5+$AA$5-1)^0.5)+((2416/(E1310+459.6)-2.013)*LOG10(INDEX(FX_Input,R$5,E$3*$Z$5+$AA$5)))-(8742/(E1310+459.6))+15.64),EXP(INDEX(Antoines,MATCH(E1300,Antoine_Name,0),2)-INDEX(Antoines,MATCH(E1300,Antoine_Name,0),3)/(E1310+459.6))))),0)</f>
        <v>4.8748667780818778E-3</v>
      </c>
      <c r="F1321" cm="1">
        <f t="array" ref="F1321">IFERROR(IF(F1301="Chemical",(10^(INDEX(Antoines,MATCH(F1300,Antoine_Name,0),2)-INDEX(Antoines,MATCH(F1300,Antoine_Name,0),3)/(INDEX(Antoines,MATCH(F1300,Antoine_Name,0),4)+(F1310-32)*5/9)))*14.7/760,IF(F1301="Crude Oil",EXP((2799/(F1310+459.6)-2.227)*LOG10(INDEX(FX_Input,S$5,F$3*$Z$5+$AA$5))-(7261/(F1310+459.6))+12.82),IF(F1301="Refined Petroleum Stock",EXP((0.7553-(413/(F1310+459.6)))*(INDEX(FX_Input,S$5,F$3*$Z$5+$AA$5-1)^0.5)*LOG10(INDEX(FX_Input,S$5,F$3*$Z$5+$AA$5))-(1.854-(1042/(F1310+459.6)))*(INDEX(FX_Input,S$5,F$3*$Z$5+$AA$5-1)^0.5)+((2416/(F1310+459.6)-2.013)*LOG10(INDEX(FX_Input,S$5,F$3*$Z$5+$AA$5)))-(8742/(F1310+459.6))+15.64),EXP(INDEX(Antoines,MATCH(F1300,Antoine_Name,0),2)-INDEX(Antoines,MATCH(F1300,Antoine_Name,0),3)/(F1310+459.6))))),0)</f>
        <v>5.119885034186122E-3</v>
      </c>
      <c r="G1321" cm="1">
        <f t="array" ref="G1321">IFERROR(IF(G1301="Chemical",(10^(INDEX(Antoines,MATCH(G1300,Antoine_Name,0),2)-INDEX(Antoines,MATCH(G1300,Antoine_Name,0),3)/(INDEX(Antoines,MATCH(G1300,Antoine_Name,0),4)+(G1310-32)*5/9)))*14.7/760,IF(G1301="Crude Oil",EXP((2799/(G1310+459.6)-2.227)*LOG10(INDEX(FX_Input,T$5,G$3*$Z$5+$AA$5))-(7261/(G1310+459.6))+12.82),IF(G1301="Refined Petroleum Stock",EXP((0.7553-(413/(G1310+459.6)))*(INDEX(FX_Input,T$5,G$3*$Z$5+$AA$5-1)^0.5)*LOG10(INDEX(FX_Input,T$5,G$3*$Z$5+$AA$5))-(1.854-(1042/(G1310+459.6)))*(INDEX(FX_Input,T$5,G$3*$Z$5+$AA$5-1)^0.5)+((2416/(G1310+459.6)-2.013)*LOG10(INDEX(FX_Input,T$5,G$3*$Z$5+$AA$5)))-(8742/(G1310+459.6))+15.64),EXP(INDEX(Antoines,MATCH(G1300,Antoine_Name,0),2)-INDEX(Antoines,MATCH(G1300,Antoine_Name,0),3)/(G1310+459.6))))),0)</f>
        <v>5.5846958573521795E-3</v>
      </c>
      <c r="H1321" cm="1">
        <f t="array" ref="H1321">IFERROR(IF(H1301="Chemical",(10^(INDEX(Antoines,MATCH(H1300,Antoine_Name,0),2)-INDEX(Antoines,MATCH(H1300,Antoine_Name,0),3)/(INDEX(Antoines,MATCH(H1300,Antoine_Name,0),4)+(H1310-32)*5/9)))*14.7/760,IF(H1301="Crude Oil",EXP((2799/(H1310+459.6)-2.227)*LOG10(INDEX(FX_Input,U$5,H$3*$Z$5+$AA$5))-(7261/(H1310+459.6))+12.82),IF(H1301="Refined Petroleum Stock",EXP((0.7553-(413/(H1310+459.6)))*(INDEX(FX_Input,U$5,H$3*$Z$5+$AA$5-1)^0.5)*LOG10(INDEX(FX_Input,U$5,H$3*$Z$5+$AA$5))-(1.854-(1042/(H1310+459.6)))*(INDEX(FX_Input,U$5,H$3*$Z$5+$AA$5-1)^0.5)+((2416/(H1310+459.6)-2.013)*LOG10(INDEX(FX_Input,U$5,H$3*$Z$5+$AA$5)))-(8742/(H1310+459.6))+15.64),EXP(INDEX(Antoines,MATCH(H1300,Antoine_Name,0),2)-INDEX(Antoines,MATCH(H1300,Antoine_Name,0),3)/(H1310+459.6))))),0)</f>
        <v>6.5274070972739821E-3</v>
      </c>
      <c r="I1321" cm="1">
        <f t="array" ref="I1321">IFERROR(IF(I1301="Chemical",(10^(INDEX(Antoines,MATCH(I1300,Antoine_Name,0),2)-INDEX(Antoines,MATCH(I1300,Antoine_Name,0),3)/(INDEX(Antoines,MATCH(I1300,Antoine_Name,0),4)+(I1310-32)*5/9)))*14.7/760,IF(I1301="Crude Oil",EXP((2799/(I1310+459.6)-2.227)*LOG10(INDEX(FX_Input,V$5,I$3*$Z$5+$AA$5))-(7261/(I1310+459.6))+12.82),IF(I1301="Refined Petroleum Stock",EXP((0.7553-(413/(I1310+459.6)))*(INDEX(FX_Input,V$5,I$3*$Z$5+$AA$5-1)^0.5)*LOG10(INDEX(FX_Input,V$5,I$3*$Z$5+$AA$5))-(1.854-(1042/(I1310+459.6)))*(INDEX(FX_Input,V$5,I$3*$Z$5+$AA$5-1)^0.5)+((2416/(I1310+459.6)-2.013)*LOG10(INDEX(FX_Input,V$5,I$3*$Z$5+$AA$5)))-(8742/(I1310+459.6))+15.64),EXP(INDEX(Antoines,MATCH(I1300,Antoine_Name,0),2)-INDEX(Antoines,MATCH(I1300,Antoine_Name,0),3)/(I1310+459.6))))),0)</f>
        <v>7.4199539958878279E-3</v>
      </c>
      <c r="J1321" cm="1">
        <f t="array" ref="J1321">IFERROR(IF(J1301="Chemical",(10^(INDEX(Antoines,MATCH(J1300,Antoine_Name,0),2)-INDEX(Antoines,MATCH(J1300,Antoine_Name,0),3)/(INDEX(Antoines,MATCH(J1300,Antoine_Name,0),4)+(J1310-32)*5/9)))*14.7/760,IF(J1301="Crude Oil",EXP((2799/(J1310+459.6)-2.227)*LOG10(INDEX(FX_Input,W$5,J$3*$Z$5+$AA$5))-(7261/(J1310+459.6))+12.82),IF(J1301="Refined Petroleum Stock",EXP((0.7553-(413/(J1310+459.6)))*(INDEX(FX_Input,W$5,J$3*$Z$5+$AA$5-1)^0.5)*LOG10(INDEX(FX_Input,W$5,J$3*$Z$5+$AA$5))-(1.854-(1042/(J1310+459.6)))*(INDEX(FX_Input,W$5,J$3*$Z$5+$AA$5-1)^0.5)+((2416/(J1310+459.6)-2.013)*LOG10(INDEX(FX_Input,W$5,J$3*$Z$5+$AA$5)))-(8742/(J1310+459.6))+15.64),EXP(INDEX(Antoines,MATCH(J1300,Antoine_Name,0),2)-INDEX(Antoines,MATCH(J1300,Antoine_Name,0),3)/(J1310+459.6))))),0)</f>
        <v>8.3358107202842254E-3</v>
      </c>
      <c r="K1321" cm="1">
        <f t="array" ref="K1321">IFERROR(IF(K1301="Chemical",(10^(INDEX(Antoines,MATCH(K1300,Antoine_Name,0),2)-INDEX(Antoines,MATCH(K1300,Antoine_Name,0),3)/(INDEX(Antoines,MATCH(K1300,Antoine_Name,0),4)+(K1310-32)*5/9)))*14.7/760,IF(K1301="Crude Oil",EXP((2799/(K1310+459.6)-2.227)*LOG10(INDEX(FX_Input,X$5,K$3*$Z$5+$AA$5))-(7261/(K1310+459.6))+12.82),IF(K1301="Refined Petroleum Stock",EXP((0.7553-(413/(K1310+459.6)))*(INDEX(FX_Input,X$5,K$3*$Z$5+$AA$5-1)^0.5)*LOG10(INDEX(FX_Input,X$5,K$3*$Z$5+$AA$5))-(1.854-(1042/(K1310+459.6)))*(INDEX(FX_Input,X$5,K$3*$Z$5+$AA$5-1)^0.5)+((2416/(K1310+459.6)-2.013)*LOG10(INDEX(FX_Input,X$5,K$3*$Z$5+$AA$5)))-(8742/(K1310+459.6))+15.64),EXP(INDEX(Antoines,MATCH(K1300,Antoine_Name,0),2)-INDEX(Antoines,MATCH(K1300,Antoine_Name,0),3)/(K1310+459.6))))),0)</f>
        <v>8.4605262729351115E-3</v>
      </c>
      <c r="L1321" cm="1">
        <f t="array" ref="L1321">IFERROR(IF(L1301="Chemical",(10^(INDEX(Antoines,MATCH(L1300,Antoine_Name,0),2)-INDEX(Antoines,MATCH(L1300,Antoine_Name,0),3)/(INDEX(Antoines,MATCH(L1300,Antoine_Name,0),4)+(L1310-32)*5/9)))*14.7/760,IF(L1301="Crude Oil",EXP((2799/(L1310+459.6)-2.227)*LOG10(INDEX(FX_Input,Y$5,L$3*$Z$5+$AA$5))-(7261/(L1310+459.6))+12.82),IF(L1301="Refined Petroleum Stock",EXP((0.7553-(413/(L1310+459.6)))*(INDEX(FX_Input,Y$5,L$3*$Z$5+$AA$5-1)^0.5)*LOG10(INDEX(FX_Input,Y$5,L$3*$Z$5+$AA$5))-(1.854-(1042/(L1310+459.6)))*(INDEX(FX_Input,Y$5,L$3*$Z$5+$AA$5-1)^0.5)+((2416/(L1310+459.6)-2.013)*LOG10(INDEX(FX_Input,Y$5,L$3*$Z$5+$AA$5)))-(8742/(L1310+459.6))+15.64),EXP(INDEX(Antoines,MATCH(L1300,Antoine_Name,0),2)-INDEX(Antoines,MATCH(L1300,Antoine_Name,0),3)/(L1310+459.6))))),0)</f>
        <v>7.8399882233967533E-3</v>
      </c>
      <c r="M1321" cm="1">
        <f t="array" ref="M1321">IFERROR(IF(M1301="Chemical",(10^(INDEX(Antoines,MATCH(M1300,Antoine_Name,0),2)-INDEX(Antoines,MATCH(M1300,Antoine_Name,0),3)/(INDEX(Antoines,MATCH(M1300,Antoine_Name,0),4)+(M1310-32)*5/9)))*14.7/760,IF(M1301="Crude Oil",EXP((2799/(M1310+459.6)-2.227)*LOG10(INDEX(FX_Input,Z$5,M$3*$Z$5+$AA$5))-(7261/(M1310+459.6))+12.82),IF(M1301="Refined Petroleum Stock",EXP((0.7553-(413/(M1310+459.6)))*(INDEX(FX_Input,Z$5,M$3*$Z$5+$AA$5-1)^0.5)*LOG10(INDEX(FX_Input,Z$5,M$3*$Z$5+$AA$5))-(1.854-(1042/(M1310+459.6)))*(INDEX(FX_Input,Z$5,M$3*$Z$5+$AA$5-1)^0.5)+((2416/(M1310+459.6)-2.013)*LOG10(INDEX(FX_Input,Z$5,M$3*$Z$5+$AA$5)))-(8742/(M1310+459.6))+15.64),EXP(INDEX(Antoines,MATCH(M1300,Antoine_Name,0),2)-INDEX(Antoines,MATCH(M1300,Antoine_Name,0),3)/(M1310+459.6))))),0)</f>
        <v>6.4173462075160911E-3</v>
      </c>
      <c r="N1321" cm="1">
        <f t="array" ref="N1321">IFERROR(IF(N1301="Chemical",(10^(INDEX(Antoines,MATCH(N1300,Antoine_Name,0),2)-INDEX(Antoines,MATCH(N1300,Antoine_Name,0),3)/(INDEX(Antoines,MATCH(N1300,Antoine_Name,0),4)+(N1310-32)*5/9)))*14.7/760,IF(N1301="Crude Oil",EXP((2799/(N1310+459.6)-2.227)*LOG10(INDEX(FX_Input,AA$5,N$3*$Z$5+$AA$5))-(7261/(N1310+459.6))+12.82),IF(N1301="Refined Petroleum Stock",EXP((0.7553-(413/(N1310+459.6)))*(INDEX(FX_Input,AA$5,N$3*$Z$5+$AA$5-1)^0.5)*LOG10(INDEX(FX_Input,AA$5,N$3*$Z$5+$AA$5))-(1.854-(1042/(N1310+459.6)))*(INDEX(FX_Input,AA$5,N$3*$Z$5+$AA$5-1)^0.5)+((2416/(N1310+459.6)-2.013)*LOG10(INDEX(FX_Input,AA$5,N$3*$Z$5+$AA$5)))-(8742/(N1310+459.6))+15.64),EXP(INDEX(Antoines,MATCH(N1300,Antoine_Name,0),2)-INDEX(Antoines,MATCH(N1300,Antoine_Name,0),3)/(N1310+459.6))))),0)</f>
        <v>5.3015226887581056E-3</v>
      </c>
      <c r="O1321" cm="1">
        <f t="array" ref="O1321">IFERROR(IF(O1301="Chemical",(10^(INDEX(Antoines,MATCH(O1300,Antoine_Name,0),2)-INDEX(Antoines,MATCH(O1300,Antoine_Name,0),3)/(INDEX(Antoines,MATCH(O1300,Antoine_Name,0),4)+(O1310-32)*5/9)))*14.7/760,IF(O1301="Crude Oil",EXP((2799/(O1310+459.6)-2.227)*LOG10(INDEX(FX_Input,AB$5,O$3*$Z$5+$AA$5))-(7261/(O1310+459.6))+12.82),IF(O1301="Refined Petroleum Stock",EXP((0.7553-(413/(O1310+459.6)))*(INDEX(FX_Input,AB$5,O$3*$Z$5+$AA$5-1)^0.5)*LOG10(INDEX(FX_Input,AB$5,O$3*$Z$5+$AA$5))-(1.854-(1042/(O1310+459.6)))*(INDEX(FX_Input,AB$5,O$3*$Z$5+$AA$5-1)^0.5)+((2416/(O1310+459.6)-2.013)*LOG10(INDEX(FX_Input,AB$5,O$3*$Z$5+$AA$5)))-(8742/(O1310+459.6))+15.64),EXP(INDEX(Antoines,MATCH(O1300,Antoine_Name,0),2)-INDEX(Antoines,MATCH(O1300,Antoine_Name,0),3)/(O1310+459.6))))),0)</f>
        <v>4.68970903600947E-3</v>
      </c>
    </row>
    <row r="1322" spans="2:15" ht="17.149999999999999" x14ac:dyDescent="0.55000000000000004">
      <c r="B1322" t="str">
        <f t="shared" si="4756"/>
        <v>Portland</v>
      </c>
      <c r="C1322" t="s">
        <v>1389</v>
      </c>
      <c r="D1322">
        <f>D1321*D1304</f>
        <v>4.739577185808354E-3</v>
      </c>
      <c r="E1322">
        <f t="shared" ref="E1322" si="4823">E1321*E1304</f>
        <v>4.8748667780818778E-3</v>
      </c>
      <c r="F1322">
        <f t="shared" ref="F1322" si="4824">F1321*F1304</f>
        <v>5.119885034186122E-3</v>
      </c>
      <c r="G1322">
        <f t="shared" ref="G1322" si="4825">G1321*G1304</f>
        <v>5.5846958573521795E-3</v>
      </c>
      <c r="H1322">
        <f t="shared" ref="H1322" si="4826">H1321*H1304</f>
        <v>6.5274070972739821E-3</v>
      </c>
      <c r="I1322">
        <f t="shared" ref="I1322" si="4827">I1321*I1304</f>
        <v>7.4199539958878279E-3</v>
      </c>
      <c r="J1322">
        <f t="shared" ref="J1322" si="4828">J1321*J1304</f>
        <v>8.3358107202842254E-3</v>
      </c>
      <c r="K1322">
        <f t="shared" ref="K1322" si="4829">K1321*K1304</f>
        <v>8.4605262729351115E-3</v>
      </c>
      <c r="L1322">
        <f t="shared" ref="L1322" si="4830">L1321*L1304</f>
        <v>7.8399882233967533E-3</v>
      </c>
      <c r="M1322">
        <f t="shared" ref="M1322" si="4831">M1321*M1304</f>
        <v>6.4173462075160911E-3</v>
      </c>
      <c r="N1322">
        <f t="shared" ref="N1322" si="4832">N1321*N1304</f>
        <v>5.3015226887581056E-3</v>
      </c>
      <c r="O1322">
        <f t="shared" ref="O1322" si="4833">O1321*O1304</f>
        <v>4.68970903600947E-3</v>
      </c>
    </row>
    <row r="1323" spans="2:15" ht="17.149999999999999" x14ac:dyDescent="0.55000000000000004">
      <c r="B1323" t="str">
        <f t="shared" si="4756"/>
        <v>Portland</v>
      </c>
      <c r="C1323" t="s">
        <v>1390</v>
      </c>
      <c r="D1323" cm="1">
        <f t="array" ref="D1323">IFERROR(IF(D1303="Chemical",(10^(INDEX(Antoines,MATCH(D1302,Antoine_Name,0),2)-INDEX(Antoines,MATCH(D1302,Antoine_Name,0),3)/(INDEX(Antoines,MATCH(D1302,Antoine_Name,0),4)+(D1310-32)*5/9)))*14.7/760,IF(D1303="Crude Oil",EXP((2799/(D1310+459.6)-2.227)*LOG10(INDEX(FX_Input,Q$5,D$3*$Z$5+$AA$5))-(7261/(D1310+459.6))+12.82),IF(D1303="Refined Petroleum Stock",EXP((0.7553-(413/(D1310+459.6)))*(INDEX(FX_Input,Q$5,D$3*$Z$5+$AA$5-1)^0.5)*LOG10(INDEX(FX_Input,Q$5,D$3*$Z$5+$AA$5))-(1.854-(1042/(D1310+459.6)))*(INDEX(FX_Input,Q$5,D$3*$Z$5+$AA$5-1)^0.5)+((2416/(D1310+459.6)-2.013)*LOG10(INDEX(FX_Input,Q$5,D$3*$Z$5+$AA$5)))-(8742/(D1310+459.6))+15.64),EXP(INDEX(Antoines,MATCH(D1302,Antoine_Name,0),2)-INDEX(Antoines,MATCH(D1302,Antoine_Name,0),3)/(D1310+459.6))))),0)</f>
        <v>0</v>
      </c>
      <c r="E1323" cm="1">
        <f t="array" ref="E1323">IFERROR(IF(E1303="Chemical",(10^(INDEX(Antoines,MATCH(E1302,Antoine_Name,0),2)-INDEX(Antoines,MATCH(E1302,Antoine_Name,0),3)/(INDEX(Antoines,MATCH(E1302,Antoine_Name,0),4)+(E1310-32)*5/9)))*14.7/760,IF(E1303="Crude Oil",EXP((2799/(E1310+459.6)-2.227)*LOG10(INDEX(FX_Input,R$5,E$3*$Z$5+$AA$5))-(7261/(E1310+459.6))+12.82),IF(E1303="Refined Petroleum Stock",EXP((0.7553-(413/(E1310+459.6)))*(INDEX(FX_Input,R$5,E$3*$Z$5+$AA$5-1)^0.5)*LOG10(INDEX(FX_Input,R$5,E$3*$Z$5+$AA$5))-(1.854-(1042/(E1310+459.6)))*(INDEX(FX_Input,R$5,E$3*$Z$5+$AA$5-1)^0.5)+((2416/(E1310+459.6)-2.013)*LOG10(INDEX(FX_Input,R$5,E$3*$Z$5+$AA$5)))-(8742/(E1310+459.6))+15.64),EXP(INDEX(Antoines,MATCH(E1302,Antoine_Name,0),2)-INDEX(Antoines,MATCH(E1302,Antoine_Name,0),3)/(E1310+459.6))))),0)</f>
        <v>0</v>
      </c>
      <c r="F1323" cm="1">
        <f t="array" ref="F1323">IFERROR(IF(F1303="Chemical",(10^(INDEX(Antoines,MATCH(F1302,Antoine_Name,0),2)-INDEX(Antoines,MATCH(F1302,Antoine_Name,0),3)/(INDEX(Antoines,MATCH(F1302,Antoine_Name,0),4)+(F1310-32)*5/9)))*14.7/760,IF(F1303="Crude Oil",EXP((2799/(F1310+459.6)-2.227)*LOG10(INDEX(FX_Input,S$5,F$3*$Z$5+$AA$5))-(7261/(F1310+459.6))+12.82),IF(F1303="Refined Petroleum Stock",EXP((0.7553-(413/(F1310+459.6)))*(INDEX(FX_Input,S$5,F$3*$Z$5+$AA$5-1)^0.5)*LOG10(INDEX(FX_Input,S$5,F$3*$Z$5+$AA$5))-(1.854-(1042/(F1310+459.6)))*(INDEX(FX_Input,S$5,F$3*$Z$5+$AA$5-1)^0.5)+((2416/(F1310+459.6)-2.013)*LOG10(INDEX(FX_Input,S$5,F$3*$Z$5+$AA$5)))-(8742/(F1310+459.6))+15.64),EXP(INDEX(Antoines,MATCH(F1302,Antoine_Name,0),2)-INDEX(Antoines,MATCH(F1302,Antoine_Name,0),3)/(F1310+459.6))))),0)</f>
        <v>0</v>
      </c>
      <c r="G1323" cm="1">
        <f t="array" ref="G1323">IFERROR(IF(G1303="Chemical",(10^(INDEX(Antoines,MATCH(G1302,Antoine_Name,0),2)-INDEX(Antoines,MATCH(G1302,Antoine_Name,0),3)/(INDEX(Antoines,MATCH(G1302,Antoine_Name,0),4)+(G1310-32)*5/9)))*14.7/760,IF(G1303="Crude Oil",EXP((2799/(G1310+459.6)-2.227)*LOG10(INDEX(FX_Input,T$5,G$3*$Z$5+$AA$5))-(7261/(G1310+459.6))+12.82),IF(G1303="Refined Petroleum Stock",EXP((0.7553-(413/(G1310+459.6)))*(INDEX(FX_Input,T$5,G$3*$Z$5+$AA$5-1)^0.5)*LOG10(INDEX(FX_Input,T$5,G$3*$Z$5+$AA$5))-(1.854-(1042/(G1310+459.6)))*(INDEX(FX_Input,T$5,G$3*$Z$5+$AA$5-1)^0.5)+((2416/(G1310+459.6)-2.013)*LOG10(INDEX(FX_Input,T$5,G$3*$Z$5+$AA$5)))-(8742/(G1310+459.6))+15.64),EXP(INDEX(Antoines,MATCH(G1302,Antoine_Name,0),2)-INDEX(Antoines,MATCH(G1302,Antoine_Name,0),3)/(G1310+459.6))))),0)</f>
        <v>0</v>
      </c>
      <c r="H1323" cm="1">
        <f t="array" ref="H1323">IFERROR(IF(H1303="Chemical",(10^(INDEX(Antoines,MATCH(H1302,Antoine_Name,0),2)-INDEX(Antoines,MATCH(H1302,Antoine_Name,0),3)/(INDEX(Antoines,MATCH(H1302,Antoine_Name,0),4)+(H1310-32)*5/9)))*14.7/760,IF(H1303="Crude Oil",EXP((2799/(H1310+459.6)-2.227)*LOG10(INDEX(FX_Input,U$5,H$3*$Z$5+$AA$5))-(7261/(H1310+459.6))+12.82),IF(H1303="Refined Petroleum Stock",EXP((0.7553-(413/(H1310+459.6)))*(INDEX(FX_Input,U$5,H$3*$Z$5+$AA$5-1)^0.5)*LOG10(INDEX(FX_Input,U$5,H$3*$Z$5+$AA$5))-(1.854-(1042/(H1310+459.6)))*(INDEX(FX_Input,U$5,H$3*$Z$5+$AA$5-1)^0.5)+((2416/(H1310+459.6)-2.013)*LOG10(INDEX(FX_Input,U$5,H$3*$Z$5+$AA$5)))-(8742/(H1310+459.6))+15.64),EXP(INDEX(Antoines,MATCH(H1302,Antoine_Name,0),2)-INDEX(Antoines,MATCH(H1302,Antoine_Name,0),3)/(H1310+459.6))))),0)</f>
        <v>0</v>
      </c>
      <c r="I1323" cm="1">
        <f t="array" ref="I1323">IFERROR(IF(I1303="Chemical",(10^(INDEX(Antoines,MATCH(I1302,Antoine_Name,0),2)-INDEX(Antoines,MATCH(I1302,Antoine_Name,0),3)/(INDEX(Antoines,MATCH(I1302,Antoine_Name,0),4)+(I1310-32)*5/9)))*14.7/760,IF(I1303="Crude Oil",EXP((2799/(I1310+459.6)-2.227)*LOG10(INDEX(FX_Input,V$5,I$3*$Z$5+$AA$5))-(7261/(I1310+459.6))+12.82),IF(I1303="Refined Petroleum Stock",EXP((0.7553-(413/(I1310+459.6)))*(INDEX(FX_Input,V$5,I$3*$Z$5+$AA$5-1)^0.5)*LOG10(INDEX(FX_Input,V$5,I$3*$Z$5+$AA$5))-(1.854-(1042/(I1310+459.6)))*(INDEX(FX_Input,V$5,I$3*$Z$5+$AA$5-1)^0.5)+((2416/(I1310+459.6)-2.013)*LOG10(INDEX(FX_Input,V$5,I$3*$Z$5+$AA$5)))-(8742/(I1310+459.6))+15.64),EXP(INDEX(Antoines,MATCH(I1302,Antoine_Name,0),2)-INDEX(Antoines,MATCH(I1302,Antoine_Name,0),3)/(I1310+459.6))))),0)</f>
        <v>0</v>
      </c>
      <c r="J1323" cm="1">
        <f t="array" ref="J1323">IFERROR(IF(J1303="Chemical",(10^(INDEX(Antoines,MATCH(J1302,Antoine_Name,0),2)-INDEX(Antoines,MATCH(J1302,Antoine_Name,0),3)/(INDEX(Antoines,MATCH(J1302,Antoine_Name,0),4)+(J1310-32)*5/9)))*14.7/760,IF(J1303="Crude Oil",EXP((2799/(J1310+459.6)-2.227)*LOG10(INDEX(FX_Input,W$5,J$3*$Z$5+$AA$5))-(7261/(J1310+459.6))+12.82),IF(J1303="Refined Petroleum Stock",EXP((0.7553-(413/(J1310+459.6)))*(INDEX(FX_Input,W$5,J$3*$Z$5+$AA$5-1)^0.5)*LOG10(INDEX(FX_Input,W$5,J$3*$Z$5+$AA$5))-(1.854-(1042/(J1310+459.6)))*(INDEX(FX_Input,W$5,J$3*$Z$5+$AA$5-1)^0.5)+((2416/(J1310+459.6)-2.013)*LOG10(INDEX(FX_Input,W$5,J$3*$Z$5+$AA$5)))-(8742/(J1310+459.6))+15.64),EXP(INDEX(Antoines,MATCH(J1302,Antoine_Name,0),2)-INDEX(Antoines,MATCH(J1302,Antoine_Name,0),3)/(J1310+459.6))))),0)</f>
        <v>0</v>
      </c>
      <c r="K1323" cm="1">
        <f t="array" ref="K1323">IFERROR(IF(K1303="Chemical",(10^(INDEX(Antoines,MATCH(K1302,Antoine_Name,0),2)-INDEX(Antoines,MATCH(K1302,Antoine_Name,0),3)/(INDEX(Antoines,MATCH(K1302,Antoine_Name,0),4)+(K1310-32)*5/9)))*14.7/760,IF(K1303="Crude Oil",EXP((2799/(K1310+459.6)-2.227)*LOG10(INDEX(FX_Input,X$5,K$3*$Z$5+$AA$5))-(7261/(K1310+459.6))+12.82),IF(K1303="Refined Petroleum Stock",EXP((0.7553-(413/(K1310+459.6)))*(INDEX(FX_Input,X$5,K$3*$Z$5+$AA$5-1)^0.5)*LOG10(INDEX(FX_Input,X$5,K$3*$Z$5+$AA$5))-(1.854-(1042/(K1310+459.6)))*(INDEX(FX_Input,X$5,K$3*$Z$5+$AA$5-1)^0.5)+((2416/(K1310+459.6)-2.013)*LOG10(INDEX(FX_Input,X$5,K$3*$Z$5+$AA$5)))-(8742/(K1310+459.6))+15.64),EXP(INDEX(Antoines,MATCH(K1302,Antoine_Name,0),2)-INDEX(Antoines,MATCH(K1302,Antoine_Name,0),3)/(K1310+459.6))))),0)</f>
        <v>0</v>
      </c>
      <c r="L1323" cm="1">
        <f t="array" ref="L1323">IFERROR(IF(L1303="Chemical",(10^(INDEX(Antoines,MATCH(L1302,Antoine_Name,0),2)-INDEX(Antoines,MATCH(L1302,Antoine_Name,0),3)/(INDEX(Antoines,MATCH(L1302,Antoine_Name,0),4)+(L1310-32)*5/9)))*14.7/760,IF(L1303="Crude Oil",EXP((2799/(L1310+459.6)-2.227)*LOG10(INDEX(FX_Input,Y$5,L$3*$Z$5+$AA$5))-(7261/(L1310+459.6))+12.82),IF(L1303="Refined Petroleum Stock",EXP((0.7553-(413/(L1310+459.6)))*(INDEX(FX_Input,Y$5,L$3*$Z$5+$AA$5-1)^0.5)*LOG10(INDEX(FX_Input,Y$5,L$3*$Z$5+$AA$5))-(1.854-(1042/(L1310+459.6)))*(INDEX(FX_Input,Y$5,L$3*$Z$5+$AA$5-1)^0.5)+((2416/(L1310+459.6)-2.013)*LOG10(INDEX(FX_Input,Y$5,L$3*$Z$5+$AA$5)))-(8742/(L1310+459.6))+15.64),EXP(INDEX(Antoines,MATCH(L1302,Antoine_Name,0),2)-INDEX(Antoines,MATCH(L1302,Antoine_Name,0),3)/(L1310+459.6))))),0)</f>
        <v>0</v>
      </c>
      <c r="M1323" cm="1">
        <f t="array" ref="M1323">IFERROR(IF(M1303="Chemical",(10^(INDEX(Antoines,MATCH(M1302,Antoine_Name,0),2)-INDEX(Antoines,MATCH(M1302,Antoine_Name,0),3)/(INDEX(Antoines,MATCH(M1302,Antoine_Name,0),4)+(M1310-32)*5/9)))*14.7/760,IF(M1303="Crude Oil",EXP((2799/(M1310+459.6)-2.227)*LOG10(INDEX(FX_Input,Z$5,M$3*$Z$5+$AA$5))-(7261/(M1310+459.6))+12.82),IF(M1303="Refined Petroleum Stock",EXP((0.7553-(413/(M1310+459.6)))*(INDEX(FX_Input,Z$5,M$3*$Z$5+$AA$5-1)^0.5)*LOG10(INDEX(FX_Input,Z$5,M$3*$Z$5+$AA$5))-(1.854-(1042/(M1310+459.6)))*(INDEX(FX_Input,Z$5,M$3*$Z$5+$AA$5-1)^0.5)+((2416/(M1310+459.6)-2.013)*LOG10(INDEX(FX_Input,Z$5,M$3*$Z$5+$AA$5)))-(8742/(M1310+459.6))+15.64),EXP(INDEX(Antoines,MATCH(M1302,Antoine_Name,0),2)-INDEX(Antoines,MATCH(M1302,Antoine_Name,0),3)/(M1310+459.6))))),0)</f>
        <v>0</v>
      </c>
      <c r="N1323" cm="1">
        <f t="array" ref="N1323">IFERROR(IF(N1303="Chemical",(10^(INDEX(Antoines,MATCH(N1302,Antoine_Name,0),2)-INDEX(Antoines,MATCH(N1302,Antoine_Name,0),3)/(INDEX(Antoines,MATCH(N1302,Antoine_Name,0),4)+(N1310-32)*5/9)))*14.7/760,IF(N1303="Crude Oil",EXP((2799/(N1310+459.6)-2.227)*LOG10(INDEX(FX_Input,AA$5,N$3*$Z$5+$AA$5))-(7261/(N1310+459.6))+12.82),IF(N1303="Refined Petroleum Stock",EXP((0.7553-(413/(N1310+459.6)))*(INDEX(FX_Input,AA$5,N$3*$Z$5+$AA$5-1)^0.5)*LOG10(INDEX(FX_Input,AA$5,N$3*$Z$5+$AA$5))-(1.854-(1042/(N1310+459.6)))*(INDEX(FX_Input,AA$5,N$3*$Z$5+$AA$5-1)^0.5)+((2416/(N1310+459.6)-2.013)*LOG10(INDEX(FX_Input,AA$5,N$3*$Z$5+$AA$5)))-(8742/(N1310+459.6))+15.64),EXP(INDEX(Antoines,MATCH(N1302,Antoine_Name,0),2)-INDEX(Antoines,MATCH(N1302,Antoine_Name,0),3)/(N1310+459.6))))),0)</f>
        <v>0</v>
      </c>
      <c r="O1323" cm="1">
        <f t="array" ref="O1323">IFERROR(IF(O1303="Chemical",(10^(INDEX(Antoines,MATCH(O1302,Antoine_Name,0),2)-INDEX(Antoines,MATCH(O1302,Antoine_Name,0),3)/(INDEX(Antoines,MATCH(O1302,Antoine_Name,0),4)+(O1310-32)*5/9)))*14.7/760,IF(O1303="Crude Oil",EXP((2799/(O1310+459.6)-2.227)*LOG10(INDEX(FX_Input,AB$5,O$3*$Z$5+$AA$5))-(7261/(O1310+459.6))+12.82),IF(O1303="Refined Petroleum Stock",EXP((0.7553-(413/(O1310+459.6)))*(INDEX(FX_Input,AB$5,O$3*$Z$5+$AA$5-1)^0.5)*LOG10(INDEX(FX_Input,AB$5,O$3*$Z$5+$AA$5))-(1.854-(1042/(O1310+459.6)))*(INDEX(FX_Input,AB$5,O$3*$Z$5+$AA$5-1)^0.5)+((2416/(O1310+459.6)-2.013)*LOG10(INDEX(FX_Input,AB$5,O$3*$Z$5+$AA$5)))-(8742/(O1310+459.6))+15.64),EXP(INDEX(Antoines,MATCH(O1302,Antoine_Name,0),2)-INDEX(Antoines,MATCH(O1302,Antoine_Name,0),3)/(O1310+459.6))))),0)</f>
        <v>0</v>
      </c>
    </row>
    <row r="1324" spans="2:15" ht="17.149999999999999" x14ac:dyDescent="0.55000000000000004">
      <c r="B1324" t="str">
        <f t="shared" si="4756"/>
        <v>Portland</v>
      </c>
      <c r="C1324" t="s">
        <v>1391</v>
      </c>
      <c r="D1324">
        <f>D1323*D1306</f>
        <v>0</v>
      </c>
      <c r="E1324">
        <f t="shared" ref="E1324" si="4834">E1323*E1306</f>
        <v>0</v>
      </c>
      <c r="F1324">
        <f t="shared" ref="F1324" si="4835">F1323*F1306</f>
        <v>0</v>
      </c>
      <c r="G1324">
        <f t="shared" ref="G1324" si="4836">G1323*G1306</f>
        <v>0</v>
      </c>
      <c r="H1324">
        <f t="shared" ref="H1324" si="4837">H1323*H1306</f>
        <v>0</v>
      </c>
      <c r="I1324">
        <f t="shared" ref="I1324" si="4838">I1323*I1306</f>
        <v>0</v>
      </c>
      <c r="J1324">
        <f t="shared" ref="J1324" si="4839">J1323*J1306</f>
        <v>0</v>
      </c>
      <c r="K1324">
        <f t="shared" ref="K1324" si="4840">K1323*K1306</f>
        <v>0</v>
      </c>
      <c r="L1324">
        <f t="shared" ref="L1324" si="4841">L1323*L1306</f>
        <v>0</v>
      </c>
      <c r="M1324">
        <f t="shared" ref="M1324" si="4842">M1323*M1306</f>
        <v>0</v>
      </c>
      <c r="N1324">
        <f t="shared" ref="N1324" si="4843">N1323*N1306</f>
        <v>0</v>
      </c>
      <c r="O1324">
        <f t="shared" ref="O1324" si="4844">O1323*O1306</f>
        <v>0</v>
      </c>
    </row>
    <row r="1325" spans="2:15" ht="17.149999999999999" x14ac:dyDescent="0.55000000000000004">
      <c r="B1325" t="str">
        <f t="shared" si="4756"/>
        <v>Portland</v>
      </c>
      <c r="C1325" t="s">
        <v>1392</v>
      </c>
      <c r="D1325">
        <f>D1322+D1324</f>
        <v>4.739577185808354E-3</v>
      </c>
      <c r="E1325">
        <f t="shared" ref="E1325" si="4845">E1322+E1324</f>
        <v>4.8748667780818778E-3</v>
      </c>
      <c r="F1325">
        <f t="shared" ref="F1325" si="4846">F1322+F1324</f>
        <v>5.119885034186122E-3</v>
      </c>
      <c r="G1325">
        <f t="shared" ref="G1325" si="4847">G1322+G1324</f>
        <v>5.5846958573521795E-3</v>
      </c>
      <c r="H1325">
        <f t="shared" ref="H1325" si="4848">H1322+H1324</f>
        <v>6.5274070972739821E-3</v>
      </c>
      <c r="I1325">
        <f t="shared" ref="I1325" si="4849">I1322+I1324</f>
        <v>7.4199539958878279E-3</v>
      </c>
      <c r="J1325">
        <f t="shared" ref="J1325" si="4850">J1322+J1324</f>
        <v>8.3358107202842254E-3</v>
      </c>
      <c r="K1325">
        <f t="shared" ref="K1325" si="4851">K1322+K1324</f>
        <v>8.4605262729351115E-3</v>
      </c>
      <c r="L1325">
        <f t="shared" ref="L1325" si="4852">L1322+L1324</f>
        <v>7.8399882233967533E-3</v>
      </c>
      <c r="M1325">
        <f t="shared" ref="M1325" si="4853">M1322+M1324</f>
        <v>6.4173462075160911E-3</v>
      </c>
      <c r="N1325">
        <f t="shared" ref="N1325" si="4854">N1322+N1324</f>
        <v>5.3015226887581056E-3</v>
      </c>
      <c r="O1325">
        <f t="shared" ref="O1325" si="4855">O1322+O1324</f>
        <v>4.68970903600947E-3</v>
      </c>
    </row>
    <row r="1326" spans="2:15" ht="17.149999999999999" x14ac:dyDescent="0.55000000000000004">
      <c r="B1326" t="str">
        <f>B1320</f>
        <v>Portland</v>
      </c>
      <c r="C1326" t="s">
        <v>584</v>
      </c>
      <c r="D1326">
        <f>D1322/D1325</f>
        <v>1</v>
      </c>
      <c r="E1326">
        <f t="shared" ref="E1326" si="4856">E1322/E1325</f>
        <v>1</v>
      </c>
      <c r="F1326">
        <f t="shared" ref="F1326" si="4857">F1322/F1325</f>
        <v>1</v>
      </c>
      <c r="G1326">
        <f t="shared" ref="G1326" si="4858">G1322/G1325</f>
        <v>1</v>
      </c>
      <c r="H1326">
        <f t="shared" ref="H1326" si="4859">H1322/H1325</f>
        <v>1</v>
      </c>
      <c r="I1326">
        <f t="shared" ref="I1326" si="4860">I1322/I1325</f>
        <v>1</v>
      </c>
      <c r="J1326">
        <f t="shared" ref="J1326" si="4861">J1322/J1325</f>
        <v>1</v>
      </c>
      <c r="K1326">
        <f t="shared" ref="K1326" si="4862">K1322/K1325</f>
        <v>1</v>
      </c>
      <c r="L1326">
        <f t="shared" ref="L1326" si="4863">L1322/L1325</f>
        <v>1</v>
      </c>
      <c r="M1326">
        <f t="shared" ref="M1326" si="4864">M1322/M1325</f>
        <v>1</v>
      </c>
      <c r="N1326">
        <f t="shared" ref="N1326" si="4865">N1322/N1325</f>
        <v>1</v>
      </c>
      <c r="O1326">
        <f t="shared" ref="O1326" si="4866">O1322/O1325</f>
        <v>1</v>
      </c>
    </row>
    <row r="1327" spans="2:15" ht="17.149999999999999" x14ac:dyDescent="0.55000000000000004">
      <c r="B1327" t="str">
        <f>B1321</f>
        <v>Portland</v>
      </c>
      <c r="C1327" t="s">
        <v>585</v>
      </c>
      <c r="D1327">
        <f t="shared" ref="D1327:O1327" si="4867">INDEX(Phys_Prop,MATCH(D1300,Chem_List,0),3)</f>
        <v>130</v>
      </c>
      <c r="E1327">
        <f t="shared" si="4867"/>
        <v>130</v>
      </c>
      <c r="F1327">
        <f t="shared" si="4867"/>
        <v>130</v>
      </c>
      <c r="G1327">
        <f t="shared" si="4867"/>
        <v>130</v>
      </c>
      <c r="H1327">
        <f t="shared" si="4867"/>
        <v>130</v>
      </c>
      <c r="I1327">
        <f t="shared" si="4867"/>
        <v>130</v>
      </c>
      <c r="J1327">
        <f t="shared" si="4867"/>
        <v>130</v>
      </c>
      <c r="K1327">
        <f t="shared" si="4867"/>
        <v>130</v>
      </c>
      <c r="L1327">
        <f t="shared" si="4867"/>
        <v>130</v>
      </c>
      <c r="M1327">
        <f t="shared" si="4867"/>
        <v>130</v>
      </c>
      <c r="N1327">
        <f t="shared" si="4867"/>
        <v>130</v>
      </c>
      <c r="O1327">
        <f t="shared" si="4867"/>
        <v>130</v>
      </c>
    </row>
    <row r="1328" spans="2:15" ht="17.149999999999999" x14ac:dyDescent="0.55000000000000004">
      <c r="B1328" t="str">
        <f>B1327</f>
        <v>Portland</v>
      </c>
      <c r="C1328" t="s">
        <v>586</v>
      </c>
      <c r="D1328">
        <f>D1324/D1325</f>
        <v>0</v>
      </c>
      <c r="E1328">
        <f t="shared" ref="E1328:O1328" si="4868">E1324/E1325</f>
        <v>0</v>
      </c>
      <c r="F1328">
        <f t="shared" si="4868"/>
        <v>0</v>
      </c>
      <c r="G1328">
        <f t="shared" si="4868"/>
        <v>0</v>
      </c>
      <c r="H1328">
        <f t="shared" si="4868"/>
        <v>0</v>
      </c>
      <c r="I1328">
        <f t="shared" si="4868"/>
        <v>0</v>
      </c>
      <c r="J1328">
        <f t="shared" si="4868"/>
        <v>0</v>
      </c>
      <c r="K1328">
        <f t="shared" si="4868"/>
        <v>0</v>
      </c>
      <c r="L1328">
        <f t="shared" si="4868"/>
        <v>0</v>
      </c>
      <c r="M1328">
        <f t="shared" si="4868"/>
        <v>0</v>
      </c>
      <c r="N1328">
        <f t="shared" si="4868"/>
        <v>0</v>
      </c>
      <c r="O1328">
        <f t="shared" si="4868"/>
        <v>0</v>
      </c>
    </row>
    <row r="1329" spans="1:32" ht="17.149999999999999" x14ac:dyDescent="0.55000000000000004">
      <c r="B1329" t="str">
        <f t="shared" si="4756"/>
        <v>Portland</v>
      </c>
      <c r="C1329" t="s">
        <v>587</v>
      </c>
      <c r="D1329">
        <f t="shared" ref="D1329:O1329" si="4869">IFERROR(INDEX(Phys_Prop,MATCH(D1302,Chem_List,0),3),0)</f>
        <v>0</v>
      </c>
      <c r="E1329">
        <f t="shared" si="4869"/>
        <v>0</v>
      </c>
      <c r="F1329">
        <f t="shared" si="4869"/>
        <v>0</v>
      </c>
      <c r="G1329">
        <f t="shared" si="4869"/>
        <v>0</v>
      </c>
      <c r="H1329">
        <f t="shared" si="4869"/>
        <v>0</v>
      </c>
      <c r="I1329">
        <f t="shared" si="4869"/>
        <v>0</v>
      </c>
      <c r="J1329">
        <f t="shared" si="4869"/>
        <v>0</v>
      </c>
      <c r="K1329">
        <f t="shared" si="4869"/>
        <v>0</v>
      </c>
      <c r="L1329">
        <f t="shared" si="4869"/>
        <v>0</v>
      </c>
      <c r="M1329">
        <f t="shared" si="4869"/>
        <v>0</v>
      </c>
      <c r="N1329">
        <f t="shared" si="4869"/>
        <v>0</v>
      </c>
      <c r="O1329">
        <f t="shared" si="4869"/>
        <v>0</v>
      </c>
    </row>
    <row r="1330" spans="1:32" ht="17.149999999999999" x14ac:dyDescent="0.55000000000000004">
      <c r="A1330" s="11"/>
      <c r="B1330" s="11" t="str">
        <f t="shared" si="4756"/>
        <v>Portland</v>
      </c>
      <c r="C1330" s="11" t="s">
        <v>588</v>
      </c>
      <c r="D1330" s="11">
        <f>IFERROR(D1326*D1327+D1328*D1329,0)</f>
        <v>130</v>
      </c>
      <c r="E1330" s="11">
        <f t="shared" ref="E1330" si="4870">IFERROR(E1326*E1327+E1328*E1329,0)</f>
        <v>130</v>
      </c>
      <c r="F1330" s="11">
        <f t="shared" ref="F1330" si="4871">IFERROR(F1326*F1327+F1328*F1329,0)</f>
        <v>130</v>
      </c>
      <c r="G1330" s="11">
        <f t="shared" ref="G1330" si="4872">IFERROR(G1326*G1327+G1328*G1329,0)</f>
        <v>130</v>
      </c>
      <c r="H1330" s="11">
        <f t="shared" ref="H1330" si="4873">IFERROR(H1326*H1327+H1328*H1329,0)</f>
        <v>130</v>
      </c>
      <c r="I1330" s="11">
        <f t="shared" ref="I1330" si="4874">IFERROR(I1326*I1327+I1328*I1329,0)</f>
        <v>130</v>
      </c>
      <c r="J1330" s="11">
        <f t="shared" ref="J1330" si="4875">IFERROR(J1326*J1327+J1328*J1329,0)</f>
        <v>130</v>
      </c>
      <c r="K1330" s="11">
        <f t="shared" ref="K1330" si="4876">IFERROR(K1326*K1327+K1328*K1329,0)</f>
        <v>130</v>
      </c>
      <c r="L1330" s="11">
        <f t="shared" ref="L1330" si="4877">IFERROR(L1326*L1327+L1328*L1329,0)</f>
        <v>130</v>
      </c>
      <c r="M1330" s="11">
        <f t="shared" ref="M1330" si="4878">IFERROR(M1326*M1327+M1328*M1329,0)</f>
        <v>130</v>
      </c>
      <c r="N1330" s="11">
        <f t="shared" ref="N1330" si="4879">IFERROR(N1326*N1327+N1328*N1329,0)</f>
        <v>130</v>
      </c>
      <c r="O1330" s="11">
        <f t="shared" ref="O1330" si="4880">IFERROR(O1326*O1327+O1328*O1329,0)</f>
        <v>130</v>
      </c>
      <c r="P1330" s="11"/>
      <c r="Q1330" s="11"/>
      <c r="R1330" s="11"/>
      <c r="S1330" s="11"/>
      <c r="T1330" s="11"/>
      <c r="U1330" s="11"/>
      <c r="V1330" s="11"/>
      <c r="W1330" s="11"/>
      <c r="X1330" s="11"/>
      <c r="Y1330" s="11"/>
      <c r="Z1330" s="11"/>
      <c r="AA1330" s="11"/>
      <c r="AB1330" s="11"/>
      <c r="AC1330" s="11"/>
      <c r="AD1330" s="11"/>
      <c r="AE1330" s="11"/>
      <c r="AF1330" s="11"/>
    </row>
    <row r="1331" spans="1:32" ht="17.149999999999999" x14ac:dyDescent="0.55000000000000004">
      <c r="A1331" t="str" cm="1">
        <f t="array" ref="A1331">INDEX(FX_Input,$Q1331,R$5)</f>
        <v>FX - 40</v>
      </c>
      <c r="B1331" t="str" cm="1">
        <f t="array" ref="B1331">INDEX(FX_Input,Q1331,S1331)</f>
        <v>Portland</v>
      </c>
      <c r="C1331" t="s">
        <v>563</v>
      </c>
      <c r="D1331">
        <v>14.7</v>
      </c>
      <c r="E1331">
        <v>14.7</v>
      </c>
      <c r="F1331">
        <v>14.7</v>
      </c>
      <c r="G1331">
        <v>14.7</v>
      </c>
      <c r="H1331">
        <v>14.7</v>
      </c>
      <c r="I1331">
        <v>14.7</v>
      </c>
      <c r="J1331">
        <v>14.7</v>
      </c>
      <c r="K1331">
        <v>14.7</v>
      </c>
      <c r="L1331">
        <v>14.7</v>
      </c>
      <c r="M1331">
        <v>14.7</v>
      </c>
      <c r="N1331">
        <v>14.7</v>
      </c>
      <c r="O1331">
        <v>14.7</v>
      </c>
      <c r="Q1331">
        <f>Q1297+2</f>
        <v>79</v>
      </c>
      <c r="R1331">
        <v>1</v>
      </c>
      <c r="S1331">
        <v>3</v>
      </c>
      <c r="T1331">
        <v>1</v>
      </c>
      <c r="U1331">
        <v>19</v>
      </c>
      <c r="V1331">
        <v>20</v>
      </c>
      <c r="W1331">
        <v>25</v>
      </c>
      <c r="X1331">
        <v>1</v>
      </c>
      <c r="Y1331">
        <v>2</v>
      </c>
      <c r="Z1331">
        <f>(W1331-V1331)/(Y1331-X1331)</f>
        <v>5</v>
      </c>
      <c r="AA1331">
        <f>V1331-Z1331*X1331</f>
        <v>15</v>
      </c>
      <c r="AD1331">
        <f>AD1297+14</f>
        <v>547</v>
      </c>
      <c r="AF1331">
        <f>AF1297+14</f>
        <v>547</v>
      </c>
    </row>
    <row r="1332" spans="1:32" ht="17.149999999999999" x14ac:dyDescent="0.55000000000000004">
      <c r="B1332" t="str">
        <f t="shared" ref="B1332" si="4881">B1331</f>
        <v>Portland</v>
      </c>
      <c r="C1332" t="s">
        <v>564</v>
      </c>
      <c r="D1332" cm="1">
        <f t="array" ref="D1332">IF(ISBLANK(INDEX(FX_Input,$Q1331,$AB1332)),0.03,INDEX(FX_Input,Q1331,AB1332))</f>
        <v>0.03</v>
      </c>
      <c r="E1332" cm="1">
        <f t="array" ref="E1332">IF(ISBLANK(INDEX(FX_Input,$Q1331,$AB1332)),0.03,INDEX(FX_Input,R1331,#REF!))</f>
        <v>0.03</v>
      </c>
      <c r="F1332" cm="1">
        <f t="array" ref="F1332">IF(ISBLANK(INDEX(FX_Input,$Q1331,$AB1332)),0.03,INDEX(FX_Input,S1331,#REF!))</f>
        <v>0.03</v>
      </c>
      <c r="G1332" cm="1">
        <f t="array" ref="G1332">IF(ISBLANK(INDEX(FX_Input,$Q1331,$AB1332)),0.03,INDEX(FX_Input,AB1331,#REF!))</f>
        <v>0.03</v>
      </c>
      <c r="H1332" cm="1">
        <f t="array" ref="H1332">IF(ISBLANK(INDEX(FX_Input,$Q1331,$AB1332)),0.03,INDEX(FX_Input,#REF!,#REF!))</f>
        <v>0.03</v>
      </c>
      <c r="I1332" cm="1">
        <f t="array" ref="I1332">IF(ISBLANK(INDEX(FX_Input,$Q1331,$AB1332)),0.03,INDEX(FX_Input,#REF!,#REF!))</f>
        <v>0.03</v>
      </c>
      <c r="J1332" cm="1">
        <f t="array" ref="J1332">IF(ISBLANK(INDEX(FX_Input,$Q1331,$AB1332)),0.03,INDEX(FX_Input,#REF!,#REF!))</f>
        <v>0.03</v>
      </c>
      <c r="K1332" cm="1">
        <f t="array" ref="K1332">IF(ISBLANK(INDEX(FX_Input,$Q1331,$AB1332)),0.03,INDEX(FX_Input,#REF!,AC1332))</f>
        <v>0.03</v>
      </c>
      <c r="L1332" cm="1">
        <f t="array" ref="L1332">IF(ISBLANK(INDEX(FX_Input,$Q1331,$AB1332)),0.03,INDEX(FX_Input,#REF!,AD1332))</f>
        <v>0.03</v>
      </c>
      <c r="M1332" cm="1">
        <f t="array" ref="M1332">IF(ISBLANK(INDEX(FX_Input,$Q1331,$AB1332)),0.03,INDEX(FX_Input,#REF!,#REF!))</f>
        <v>0.03</v>
      </c>
      <c r="N1332" cm="1">
        <f t="array" ref="N1332">IF(ISBLANK(INDEX(FX_Input,$Q1331,$AB1332)),0.03,INDEX(FX_Input,AC1331,#REF!))</f>
        <v>0.03</v>
      </c>
      <c r="O1332" cm="1">
        <f t="array" ref="O1332">IF(ISBLANK(INDEX(FX_Input,$Q1331,$AB1332)),0.03,INDEX(FX_Input,AD1331,#REF!))</f>
        <v>0.03</v>
      </c>
      <c r="AB1332">
        <v>15</v>
      </c>
    </row>
    <row r="1333" spans="1:32" ht="17.149999999999999" x14ac:dyDescent="0.55000000000000004">
      <c r="B1333" t="str">
        <f>B1332</f>
        <v>Portland</v>
      </c>
      <c r="C1333" t="s">
        <v>565</v>
      </c>
      <c r="D1333" cm="1">
        <f t="array" ref="D1333">IF(ISBLANK(INDEX(FX_Input,$Q1331,$AB1333)),-0.03,INDEX(FX_Input,Q1331,AB1333))</f>
        <v>-0.03</v>
      </c>
      <c r="E1333" cm="1">
        <f t="array" ref="E1333">IF(ISBLANK(INDEX(FX_Input,$Q1331,$AB1333)),-0.03,INDEX(FX_Input,R1331,#REF!))</f>
        <v>-0.03</v>
      </c>
      <c r="F1333" cm="1">
        <f t="array" ref="F1333">IF(ISBLANK(INDEX(FX_Input,$Q1331,$AB1333)),-0.03,INDEX(FX_Input,S1331,#REF!))</f>
        <v>-0.03</v>
      </c>
      <c r="G1333" cm="1">
        <f t="array" ref="G1333">IF(ISBLANK(INDEX(FX_Input,$Q1331,$AB1333)),-0.03,INDEX(FX_Input,AB1331,#REF!))</f>
        <v>-0.03</v>
      </c>
      <c r="H1333" cm="1">
        <f t="array" ref="H1333">IF(ISBLANK(INDEX(FX_Input,$Q1331,$AB1333)),-0.03,INDEX(FX_Input,#REF!,#REF!))</f>
        <v>-0.03</v>
      </c>
      <c r="I1333" cm="1">
        <f t="array" ref="I1333">IF(ISBLANK(INDEX(FX_Input,$Q1331,$AB1333)),-0.03,INDEX(FX_Input,#REF!,#REF!))</f>
        <v>-0.03</v>
      </c>
      <c r="J1333" cm="1">
        <f t="array" ref="J1333">IF(ISBLANK(INDEX(FX_Input,$Q1331,$AB1333)),-0.03,INDEX(FX_Input,#REF!,#REF!))</f>
        <v>-0.03</v>
      </c>
      <c r="K1333" cm="1">
        <f t="array" ref="K1333">IF(ISBLANK(INDEX(FX_Input,$Q1331,$AB1333)),-0.03,INDEX(FX_Input,#REF!,AC1333))</f>
        <v>-0.03</v>
      </c>
      <c r="L1333" cm="1">
        <f t="array" ref="L1333">IF(ISBLANK(INDEX(FX_Input,$Q1331,$AB1333)),-0.03,INDEX(FX_Input,#REF!,AD1333))</f>
        <v>-0.03</v>
      </c>
      <c r="M1333" cm="1">
        <f t="array" ref="M1333">IF(ISBLANK(INDEX(FX_Input,$Q1331,$AB1333)),-0.03,INDEX(FX_Input,#REF!,#REF!))</f>
        <v>-0.03</v>
      </c>
      <c r="N1333" cm="1">
        <f t="array" ref="N1333">IF(ISBLANK(INDEX(FX_Input,$Q1331,$AB1333)),-0.03,INDEX(FX_Input,AC1331,#REF!))</f>
        <v>-0.03</v>
      </c>
      <c r="O1333" cm="1">
        <f t="array" ref="O1333">IF(ISBLANK(INDEX(FX_Input,$Q1331,$AB1333)),-0.03,INDEX(FX_Input,AD1331,#REF!))</f>
        <v>-0.03</v>
      </c>
      <c r="AB1333">
        <v>16</v>
      </c>
    </row>
    <row r="1334" spans="1:32" x14ac:dyDescent="0.4">
      <c r="B1334" t="str">
        <f t="shared" ref="B1334:B1335" si="4882">B1333</f>
        <v>Portland</v>
      </c>
      <c r="C1334" s="66" t="s">
        <v>567</v>
      </c>
      <c r="D1334" t="str" cm="1">
        <f t="array" ref="D1334">INDEX(FX_Multi,$AD1334,D$3)</f>
        <v>Jet kerosene</v>
      </c>
      <c r="E1334" t="str" cm="1">
        <f t="array" ref="E1334">INDEX(FX_Multi,$AD1334,E$3)</f>
        <v>Jet kerosene</v>
      </c>
      <c r="F1334" t="str" cm="1">
        <f t="array" ref="F1334">INDEX(FX_Multi,$AD1334,F$3)</f>
        <v>Jet kerosene</v>
      </c>
      <c r="G1334" t="str" cm="1">
        <f t="array" ref="G1334">INDEX(FX_Multi,$AD1334,G$3)</f>
        <v>Jet kerosene</v>
      </c>
      <c r="H1334" t="str" cm="1">
        <f t="array" ref="H1334">INDEX(FX_Multi,$AD1334,H$3)</f>
        <v>Jet kerosene</v>
      </c>
      <c r="I1334" t="str" cm="1">
        <f t="array" ref="I1334">INDEX(FX_Multi,$AD1334,I$3)</f>
        <v>Jet kerosene</v>
      </c>
      <c r="J1334" t="str" cm="1">
        <f t="array" ref="J1334">INDEX(FX_Multi,$AD1334,J$3)</f>
        <v>Jet kerosene</v>
      </c>
      <c r="K1334" t="str" cm="1">
        <f t="array" ref="K1334">INDEX(FX_Multi,$AD1334,K$3)</f>
        <v>Jet kerosene</v>
      </c>
      <c r="L1334" t="str" cm="1">
        <f t="array" ref="L1334">INDEX(FX_Multi,$AD1334,L$3)</f>
        <v>Jet kerosene</v>
      </c>
      <c r="M1334" t="str" cm="1">
        <f t="array" ref="M1334">INDEX(FX_Multi,$AD1334,M$3)</f>
        <v>Jet kerosene</v>
      </c>
      <c r="N1334" t="str" cm="1">
        <f t="array" ref="N1334">INDEX(FX_Multi,$AD1334,N$3)</f>
        <v>Jet kerosene</v>
      </c>
      <c r="O1334" t="str" cm="1">
        <f t="array" ref="O1334">INDEX(FX_Multi,$AD1334,O$3)</f>
        <v>Jet kerosene</v>
      </c>
      <c r="AC1334">
        <v>1</v>
      </c>
      <c r="AD1334">
        <f>AD1331</f>
        <v>547</v>
      </c>
      <c r="AE1334">
        <v>1</v>
      </c>
      <c r="AF1334">
        <f>AF1331</f>
        <v>547</v>
      </c>
    </row>
    <row r="1335" spans="1:32" x14ac:dyDescent="0.4">
      <c r="B1335" t="str">
        <f t="shared" si="4882"/>
        <v>Portland</v>
      </c>
      <c r="C1335" s="66" t="s">
        <v>566</v>
      </c>
      <c r="D1335" t="str" cm="1">
        <f t="array" ref="D1335">INDEX(FX_Multi,$AD1335,D$3)</f>
        <v>Select Pet Stock</v>
      </c>
      <c r="E1335" t="str" cm="1">
        <f t="array" ref="E1335">INDEX(FX_Multi,$AD1335,E$3)</f>
        <v>Select Pet Stock</v>
      </c>
      <c r="F1335" t="str" cm="1">
        <f t="array" ref="F1335">INDEX(FX_Multi,$AD1335,F$3)</f>
        <v>Select Pet Stock</v>
      </c>
      <c r="G1335" t="str" cm="1">
        <f t="array" ref="G1335">INDEX(FX_Multi,$AD1335,G$3)</f>
        <v>Select Pet Stock</v>
      </c>
      <c r="H1335" t="str" cm="1">
        <f t="array" ref="H1335">INDEX(FX_Multi,$AD1335,H$3)</f>
        <v>Select Pet Stock</v>
      </c>
      <c r="I1335" t="str" cm="1">
        <f t="array" ref="I1335">INDEX(FX_Multi,$AD1335,I$3)</f>
        <v>Select Pet Stock</v>
      </c>
      <c r="J1335" t="str" cm="1">
        <f t="array" ref="J1335">INDEX(FX_Multi,$AD1335,J$3)</f>
        <v>Select Pet Stock</v>
      </c>
      <c r="K1335" t="str" cm="1">
        <f t="array" ref="K1335">INDEX(FX_Multi,$AD1335,K$3)</f>
        <v>Select Pet Stock</v>
      </c>
      <c r="L1335" t="str" cm="1">
        <f t="array" ref="L1335">INDEX(FX_Multi,$AD1335,L$3)</f>
        <v>Select Pet Stock</v>
      </c>
      <c r="M1335" t="str" cm="1">
        <f t="array" ref="M1335">INDEX(FX_Multi,$AD1335,M$3)</f>
        <v>Select Pet Stock</v>
      </c>
      <c r="N1335" t="str" cm="1">
        <f t="array" ref="N1335">INDEX(FX_Multi,$AD1335,N$3)</f>
        <v>Select Pet Stock</v>
      </c>
      <c r="O1335" t="str" cm="1">
        <f t="array" ref="O1335">INDEX(FX_Multi,$AD1335,O$3)</f>
        <v>Select Pet Stock</v>
      </c>
      <c r="AC1335">
        <v>1</v>
      </c>
      <c r="AD1335">
        <f>AD1334+2</f>
        <v>549</v>
      </c>
      <c r="AE1335">
        <v>1</v>
      </c>
      <c r="AF1335">
        <f>AF1334+3</f>
        <v>550</v>
      </c>
    </row>
    <row r="1336" spans="1:32" x14ac:dyDescent="0.4">
      <c r="B1336" t="str">
        <f>B1332</f>
        <v>Portland</v>
      </c>
      <c r="C1336" s="66" t="s">
        <v>568</v>
      </c>
      <c r="D1336" cm="1">
        <f t="array" ref="D1336">INDEX(FX_Multi,$AD1336,D$3)</f>
        <v>0</v>
      </c>
      <c r="E1336" cm="1">
        <f t="array" ref="E1336">INDEX(FX_Multi,$AD1336,E$3)</f>
        <v>0</v>
      </c>
      <c r="F1336" cm="1">
        <f t="array" ref="F1336">INDEX(FX_Multi,$AD1336,F$3)</f>
        <v>0</v>
      </c>
      <c r="G1336" cm="1">
        <f t="array" ref="G1336">INDEX(FX_Multi,$AD1336,G$3)</f>
        <v>0</v>
      </c>
      <c r="H1336" cm="1">
        <f t="array" ref="H1336">INDEX(FX_Multi,$AD1336,H$3)</f>
        <v>0</v>
      </c>
      <c r="I1336" cm="1">
        <f t="array" ref="I1336">INDEX(FX_Multi,$AD1336,I$3)</f>
        <v>0</v>
      </c>
      <c r="J1336" cm="1">
        <f t="array" ref="J1336">INDEX(FX_Multi,$AD1336,J$3)</f>
        <v>0</v>
      </c>
      <c r="K1336" cm="1">
        <f t="array" ref="K1336">INDEX(FX_Multi,$AD1336,K$3)</f>
        <v>0</v>
      </c>
      <c r="L1336" cm="1">
        <f t="array" ref="L1336">INDEX(FX_Multi,$AD1336,L$3)</f>
        <v>0</v>
      </c>
      <c r="M1336" cm="1">
        <f t="array" ref="M1336">INDEX(FX_Multi,$AD1336,M$3)</f>
        <v>0</v>
      </c>
      <c r="N1336" cm="1">
        <f t="array" ref="N1336">INDEX(FX_Multi,$AD1336,N$3)</f>
        <v>0</v>
      </c>
      <c r="O1336" cm="1">
        <f t="array" ref="O1336">INDEX(FX_Multi,$AD1336,O$3)</f>
        <v>0</v>
      </c>
      <c r="AC1336">
        <v>1</v>
      </c>
      <c r="AD1336">
        <f>AD1335-1</f>
        <v>548</v>
      </c>
      <c r="AE1336">
        <v>1</v>
      </c>
      <c r="AF1336">
        <f>AF1334+1</f>
        <v>548</v>
      </c>
    </row>
    <row r="1337" spans="1:32" x14ac:dyDescent="0.4">
      <c r="B1337" t="str">
        <f t="shared" ref="B1337:B1341" si="4883">B1336</f>
        <v>Portland</v>
      </c>
      <c r="C1337" s="66" t="s">
        <v>569</v>
      </c>
      <c r="D1337" cm="1">
        <f t="array" ref="D1337">INDEX(FX_Multi,$AD1337,D$3)</f>
        <v>0</v>
      </c>
      <c r="E1337" cm="1">
        <f t="array" ref="E1337">INDEX(FX_Multi,$AD1337,E$3)</f>
        <v>0</v>
      </c>
      <c r="F1337" cm="1">
        <f t="array" ref="F1337">INDEX(FX_Multi,$AD1337,F$3)</f>
        <v>0</v>
      </c>
      <c r="G1337" cm="1">
        <f t="array" ref="G1337">INDEX(FX_Multi,$AD1337,G$3)</f>
        <v>0</v>
      </c>
      <c r="H1337" cm="1">
        <f t="array" ref="H1337">INDEX(FX_Multi,$AD1337,H$3)</f>
        <v>0</v>
      </c>
      <c r="I1337" cm="1">
        <f t="array" ref="I1337">INDEX(FX_Multi,$AD1337,I$3)</f>
        <v>0</v>
      </c>
      <c r="J1337" cm="1">
        <f t="array" ref="J1337">INDEX(FX_Multi,$AD1337,J$3)</f>
        <v>0</v>
      </c>
      <c r="K1337" cm="1">
        <f t="array" ref="K1337">INDEX(FX_Multi,$AD1337,K$3)</f>
        <v>0</v>
      </c>
      <c r="L1337" cm="1">
        <f t="array" ref="L1337">INDEX(FX_Multi,$AD1337,L$3)</f>
        <v>0</v>
      </c>
      <c r="M1337" cm="1">
        <f t="array" ref="M1337">INDEX(FX_Multi,$AD1337,M$3)</f>
        <v>0</v>
      </c>
      <c r="N1337" cm="1">
        <f t="array" ref="N1337">INDEX(FX_Multi,$AD1337,N$3)</f>
        <v>0</v>
      </c>
      <c r="O1337" cm="1">
        <f t="array" ref="O1337">INDEX(FX_Multi,$AD1337,O$3)</f>
        <v>0</v>
      </c>
      <c r="AC1337">
        <v>1</v>
      </c>
      <c r="AD1337">
        <f>AD1336+2</f>
        <v>550</v>
      </c>
      <c r="AE1337">
        <v>1</v>
      </c>
      <c r="AF1337">
        <f>AF1335</f>
        <v>550</v>
      </c>
    </row>
    <row r="1338" spans="1:32" ht="17.149999999999999" x14ac:dyDescent="0.55000000000000004">
      <c r="B1338" t="str">
        <f t="shared" si="4883"/>
        <v>Portland</v>
      </c>
      <c r="C1338" t="s">
        <v>570</v>
      </c>
      <c r="D1338" cm="1">
        <f t="array" ref="D1338">INDEX(FX_Multi,$AD1338,D$3)</f>
        <v>1</v>
      </c>
      <c r="E1338" cm="1">
        <f t="array" ref="E1338">INDEX(FX_Multi,$AD1338,E$3)</f>
        <v>1</v>
      </c>
      <c r="F1338" cm="1">
        <f t="array" ref="F1338">INDEX(FX_Multi,$AD1338,F$3)</f>
        <v>1</v>
      </c>
      <c r="G1338" cm="1">
        <f t="array" ref="G1338">INDEX(FX_Multi,$AD1338,G$3)</f>
        <v>1</v>
      </c>
      <c r="H1338" cm="1">
        <f t="array" ref="H1338">INDEX(FX_Multi,$AD1338,H$3)</f>
        <v>1</v>
      </c>
      <c r="I1338" cm="1">
        <f t="array" ref="I1338">INDEX(FX_Multi,$AD1338,I$3)</f>
        <v>1</v>
      </c>
      <c r="J1338" cm="1">
        <f t="array" ref="J1338">INDEX(FX_Multi,$AD1338,J$3)</f>
        <v>1</v>
      </c>
      <c r="K1338" cm="1">
        <f t="array" ref="K1338">INDEX(FX_Multi,$AD1338,K$3)</f>
        <v>1</v>
      </c>
      <c r="L1338" cm="1">
        <f t="array" ref="L1338">INDEX(FX_Multi,$AD1338,L$3)</f>
        <v>1</v>
      </c>
      <c r="M1338" cm="1">
        <f t="array" ref="M1338">INDEX(FX_Multi,$AD1338,M$3)</f>
        <v>1</v>
      </c>
      <c r="N1338" cm="1">
        <f t="array" ref="N1338">INDEX(FX_Multi,$AD1338,N$3)</f>
        <v>1</v>
      </c>
      <c r="O1338" cm="1">
        <f t="array" ref="O1338">INDEX(FX_Multi,$AD1338,O$3)</f>
        <v>1</v>
      </c>
      <c r="AC1338">
        <v>1</v>
      </c>
      <c r="AD1338">
        <f>AD1337+6</f>
        <v>556</v>
      </c>
      <c r="AE1338">
        <v>1</v>
      </c>
      <c r="AF1338">
        <f>AF1334+9</f>
        <v>556</v>
      </c>
    </row>
    <row r="1339" spans="1:32" ht="17.149999999999999" x14ac:dyDescent="0.55000000000000004">
      <c r="B1339" t="str">
        <f t="shared" si="4883"/>
        <v>Portland</v>
      </c>
      <c r="C1339" t="s">
        <v>571</v>
      </c>
      <c r="D1339" cm="1">
        <f t="array" ref="D1339">INDEX(FX_Multi,$AD1339,D$3)</f>
        <v>162</v>
      </c>
      <c r="E1339" cm="1">
        <f t="array" ref="E1339">INDEX(FX_Multi,$AD1339,E$3)</f>
        <v>162</v>
      </c>
      <c r="F1339" cm="1">
        <f t="array" ref="F1339">INDEX(FX_Multi,$AD1339,F$3)</f>
        <v>162</v>
      </c>
      <c r="G1339" cm="1">
        <f t="array" ref="G1339">INDEX(FX_Multi,$AD1339,G$3)</f>
        <v>162</v>
      </c>
      <c r="H1339" cm="1">
        <f t="array" ref="H1339">INDEX(FX_Multi,$AD1339,H$3)</f>
        <v>162</v>
      </c>
      <c r="I1339" cm="1">
        <f t="array" ref="I1339">INDEX(FX_Multi,$AD1339,I$3)</f>
        <v>162</v>
      </c>
      <c r="J1339" cm="1">
        <f t="array" ref="J1339">INDEX(FX_Multi,$AD1339,J$3)</f>
        <v>162</v>
      </c>
      <c r="K1339" cm="1">
        <f t="array" ref="K1339">INDEX(FX_Multi,$AD1339,K$3)</f>
        <v>162</v>
      </c>
      <c r="L1339" cm="1">
        <f t="array" ref="L1339">INDEX(FX_Multi,$AD1339,L$3)</f>
        <v>162</v>
      </c>
      <c r="M1339" cm="1">
        <f t="array" ref="M1339">INDEX(FX_Multi,$AD1339,M$3)</f>
        <v>162</v>
      </c>
      <c r="N1339" cm="1">
        <f t="array" ref="N1339">INDEX(FX_Multi,$AD1339,N$3)</f>
        <v>162</v>
      </c>
      <c r="O1339" cm="1">
        <f t="array" ref="O1339">INDEX(FX_Multi,$AD1339,O$3)</f>
        <v>162</v>
      </c>
      <c r="AC1339">
        <v>1</v>
      </c>
      <c r="AD1339">
        <f>AD1338-3</f>
        <v>553</v>
      </c>
      <c r="AE1339">
        <v>1</v>
      </c>
      <c r="AF1339">
        <f>AF1334+6</f>
        <v>553</v>
      </c>
    </row>
    <row r="1340" spans="1:32" ht="17.149999999999999" x14ac:dyDescent="0.55000000000000004">
      <c r="B1340" t="str">
        <f t="shared" si="4883"/>
        <v>Portland</v>
      </c>
      <c r="C1340" t="s">
        <v>572</v>
      </c>
      <c r="D1340" cm="1">
        <f t="array" ref="D1340">INDEX(FX_Multi,$AD1340,D$3)</f>
        <v>0</v>
      </c>
      <c r="E1340" cm="1">
        <f t="array" ref="E1340">INDEX(FX_Multi,$AD1340,E$3)</f>
        <v>0</v>
      </c>
      <c r="F1340" cm="1">
        <f t="array" ref="F1340">INDEX(FX_Multi,$AD1340,F$3)</f>
        <v>0</v>
      </c>
      <c r="G1340" cm="1">
        <f t="array" ref="G1340">INDEX(FX_Multi,$AD1340,G$3)</f>
        <v>0</v>
      </c>
      <c r="H1340" cm="1">
        <f t="array" ref="H1340">INDEX(FX_Multi,$AD1340,H$3)</f>
        <v>0</v>
      </c>
      <c r="I1340" cm="1">
        <f t="array" ref="I1340">INDEX(FX_Multi,$AD1340,I$3)</f>
        <v>0</v>
      </c>
      <c r="J1340" cm="1">
        <f t="array" ref="J1340">INDEX(FX_Multi,$AD1340,J$3)</f>
        <v>0</v>
      </c>
      <c r="K1340" cm="1">
        <f t="array" ref="K1340">INDEX(FX_Multi,$AD1340,K$3)</f>
        <v>0</v>
      </c>
      <c r="L1340" cm="1">
        <f t="array" ref="L1340">INDEX(FX_Multi,$AD1340,L$3)</f>
        <v>0</v>
      </c>
      <c r="M1340" cm="1">
        <f t="array" ref="M1340">INDEX(FX_Multi,$AD1340,M$3)</f>
        <v>0</v>
      </c>
      <c r="N1340" cm="1">
        <f t="array" ref="N1340">INDEX(FX_Multi,$AD1340,N$3)</f>
        <v>0</v>
      </c>
      <c r="O1340" cm="1">
        <f t="array" ref="O1340">INDEX(FX_Multi,$AD1340,O$3)</f>
        <v>0</v>
      </c>
      <c r="AC1340">
        <v>1</v>
      </c>
      <c r="AD1340">
        <f>AD1339+4</f>
        <v>557</v>
      </c>
      <c r="AE1340">
        <v>1</v>
      </c>
      <c r="AF1340">
        <f>AF1334+10</f>
        <v>557</v>
      </c>
    </row>
    <row r="1341" spans="1:32" ht="17.149999999999999" x14ac:dyDescent="0.55000000000000004">
      <c r="B1341" t="str">
        <f t="shared" si="4883"/>
        <v>Portland</v>
      </c>
      <c r="C1341" t="s">
        <v>573</v>
      </c>
      <c r="D1341" cm="1">
        <f t="array" ref="D1341">INDEX(FX_Multi,$AD1341,D$3)</f>
        <v>0</v>
      </c>
      <c r="E1341" cm="1">
        <f t="array" ref="E1341">INDEX(FX_Multi,$AD1341,E$3)</f>
        <v>0</v>
      </c>
      <c r="F1341" cm="1">
        <f t="array" ref="F1341">INDEX(FX_Multi,$AD1341,F$3)</f>
        <v>0</v>
      </c>
      <c r="G1341" cm="1">
        <f t="array" ref="G1341">INDEX(FX_Multi,$AD1341,G$3)</f>
        <v>0</v>
      </c>
      <c r="H1341" cm="1">
        <f t="array" ref="H1341">INDEX(FX_Multi,$AD1341,H$3)</f>
        <v>0</v>
      </c>
      <c r="I1341" cm="1">
        <f t="array" ref="I1341">INDEX(FX_Multi,$AD1341,I$3)</f>
        <v>0</v>
      </c>
      <c r="J1341" cm="1">
        <f t="array" ref="J1341">INDEX(FX_Multi,$AD1341,J$3)</f>
        <v>0</v>
      </c>
      <c r="K1341" cm="1">
        <f t="array" ref="K1341">INDEX(FX_Multi,$AD1341,K$3)</f>
        <v>0</v>
      </c>
      <c r="L1341" cm="1">
        <f t="array" ref="L1341">INDEX(FX_Multi,$AD1341,L$3)</f>
        <v>0</v>
      </c>
      <c r="M1341" cm="1">
        <f t="array" ref="M1341">INDEX(FX_Multi,$AD1341,M$3)</f>
        <v>0</v>
      </c>
      <c r="N1341" cm="1">
        <f t="array" ref="N1341">INDEX(FX_Multi,$AD1341,N$3)</f>
        <v>0</v>
      </c>
      <c r="O1341" cm="1">
        <f t="array" ref="O1341">INDEX(FX_Multi,$AD1341,O$3)</f>
        <v>0</v>
      </c>
      <c r="AC1341">
        <v>1</v>
      </c>
      <c r="AD1341">
        <f>AD1340-3</f>
        <v>554</v>
      </c>
      <c r="AE1341">
        <v>1</v>
      </c>
      <c r="AF1341">
        <f>AF1334+7</f>
        <v>554</v>
      </c>
    </row>
    <row r="1342" spans="1:32" ht="17.149999999999999" x14ac:dyDescent="0.55000000000000004">
      <c r="B1342" t="str">
        <f>B1337</f>
        <v>Portland</v>
      </c>
      <c r="C1342" t="s">
        <v>526</v>
      </c>
      <c r="D1342" cm="1">
        <f t="array" ref="D1342">INDEX(FX_Temps,$AF1342,D$3)</f>
        <v>43.899999999999977</v>
      </c>
      <c r="E1342" cm="1">
        <f t="array" ref="E1342">INDEX(FX_Temps,$AF1342,E$3)</f>
        <v>44.700000000000045</v>
      </c>
      <c r="F1342" cm="1">
        <f t="array" ref="F1342">INDEX(FX_Temps,$AF1342,F$3)</f>
        <v>46.100000000000023</v>
      </c>
      <c r="G1342" cm="1">
        <f t="array" ref="G1342">INDEX(FX_Temps,$AF1342,G$3)</f>
        <v>48.599999999999966</v>
      </c>
      <c r="H1342" cm="1">
        <f t="array" ref="H1342">INDEX(FX_Temps,$AF1342,H$3)</f>
        <v>53.149999999999977</v>
      </c>
      <c r="I1342" cm="1">
        <f t="array" ref="I1342">INDEX(FX_Temps,$AF1342,I$3)</f>
        <v>56.950000000000045</v>
      </c>
      <c r="J1342" cm="1">
        <f t="array" ref="J1342">INDEX(FX_Temps,$AF1342,J$3)</f>
        <v>60.449999999999932</v>
      </c>
      <c r="K1342" cm="1">
        <f t="array" ref="K1342">INDEX(FX_Temps,$AF1342,K$3)</f>
        <v>60.899999999999977</v>
      </c>
      <c r="L1342" cm="1">
        <f t="array" ref="L1342">INDEX(FX_Temps,$AF1342,L$3)</f>
        <v>58.600000000000023</v>
      </c>
      <c r="M1342" cm="1">
        <f t="array" ref="M1342">INDEX(FX_Temps,$AF1342,M$3)</f>
        <v>52.649999999999977</v>
      </c>
      <c r="N1342" cm="1">
        <f t="array" ref="N1342">INDEX(FX_Temps,$AF1342,N$3)</f>
        <v>47.100000000000023</v>
      </c>
      <c r="O1342" cm="1">
        <f t="array" ref="O1342">INDEX(FX_Temps,$AF1342,O$3)</f>
        <v>43.600000000000023</v>
      </c>
      <c r="AE1342">
        <v>1</v>
      </c>
      <c r="AF1342">
        <f>AF1334+10</f>
        <v>557</v>
      </c>
    </row>
    <row r="1343" spans="1:32" ht="17.149999999999999" x14ac:dyDescent="0.55000000000000004">
      <c r="B1343" t="str">
        <f t="shared" ref="B1343:B1364" si="4884">B1342</f>
        <v>Portland</v>
      </c>
      <c r="C1343" t="s">
        <v>527</v>
      </c>
      <c r="D1343" cm="1">
        <f t="array" ref="D1343">INDEX(FX_Temps,$AF1343,D$3)</f>
        <v>43.899999999999977</v>
      </c>
      <c r="E1343" cm="1">
        <f t="array" ref="E1343">INDEX(FX_Temps,$AF1343,E$3)</f>
        <v>44.700000000000045</v>
      </c>
      <c r="F1343" cm="1">
        <f t="array" ref="F1343">INDEX(FX_Temps,$AF1343,F$3)</f>
        <v>46.100000000000023</v>
      </c>
      <c r="G1343" cm="1">
        <f t="array" ref="G1343">INDEX(FX_Temps,$AF1343,G$3)</f>
        <v>48.599999999999966</v>
      </c>
      <c r="H1343" cm="1">
        <f t="array" ref="H1343">INDEX(FX_Temps,$AF1343,H$3)</f>
        <v>53.149999999999977</v>
      </c>
      <c r="I1343" cm="1">
        <f t="array" ref="I1343">INDEX(FX_Temps,$AF1343,I$3)</f>
        <v>56.950000000000045</v>
      </c>
      <c r="J1343" cm="1">
        <f t="array" ref="J1343">INDEX(FX_Temps,$AF1343,J$3)</f>
        <v>60.449999999999932</v>
      </c>
      <c r="K1343" cm="1">
        <f t="array" ref="K1343">INDEX(FX_Temps,$AF1343,K$3)</f>
        <v>60.899999999999977</v>
      </c>
      <c r="L1343" cm="1">
        <f t="array" ref="L1343">INDEX(FX_Temps,$AF1343,L$3)</f>
        <v>58.600000000000023</v>
      </c>
      <c r="M1343" cm="1">
        <f t="array" ref="M1343">INDEX(FX_Temps,$AF1343,M$3)</f>
        <v>52.649999999999977</v>
      </c>
      <c r="N1343" cm="1">
        <f t="array" ref="N1343">INDEX(FX_Temps,$AF1343,N$3)</f>
        <v>47.100000000000023</v>
      </c>
      <c r="O1343" cm="1">
        <f t="array" ref="O1343">INDEX(FX_Temps,$AF1343,O$3)</f>
        <v>43.600000000000023</v>
      </c>
      <c r="AE1343">
        <f>AE1342</f>
        <v>1</v>
      </c>
      <c r="AF1343">
        <f>AF1334+11</f>
        <v>558</v>
      </c>
    </row>
    <row r="1344" spans="1:32" ht="17.149999999999999" x14ac:dyDescent="0.55000000000000004">
      <c r="B1344" t="str">
        <f t="shared" si="4884"/>
        <v>Portland</v>
      </c>
      <c r="C1344" t="s">
        <v>552</v>
      </c>
      <c r="D1344" cm="1">
        <f t="array" ref="D1344">INDEX(FX_Temps,$AF1344,D$3)</f>
        <v>43.899999999999977</v>
      </c>
      <c r="E1344" cm="1">
        <f t="array" ref="E1344">INDEX(FX_Temps,$AF1344,E$3)</f>
        <v>44.700000000000045</v>
      </c>
      <c r="F1344" cm="1">
        <f t="array" ref="F1344">INDEX(FX_Temps,$AF1344,F$3)</f>
        <v>46.100000000000023</v>
      </c>
      <c r="G1344" cm="1">
        <f t="array" ref="G1344">INDEX(FX_Temps,$AF1344,G$3)</f>
        <v>48.599999999999966</v>
      </c>
      <c r="H1344" cm="1">
        <f t="array" ref="H1344">INDEX(FX_Temps,$AF1344,H$3)</f>
        <v>53.149999999999977</v>
      </c>
      <c r="I1344" cm="1">
        <f t="array" ref="I1344">INDEX(FX_Temps,$AF1344,I$3)</f>
        <v>56.950000000000045</v>
      </c>
      <c r="J1344" cm="1">
        <f t="array" ref="J1344">INDEX(FX_Temps,$AF1344,J$3)</f>
        <v>60.449999999999932</v>
      </c>
      <c r="K1344" cm="1">
        <f t="array" ref="K1344">INDEX(FX_Temps,$AF1344,K$3)</f>
        <v>60.899999999999977</v>
      </c>
      <c r="L1344" cm="1">
        <f t="array" ref="L1344">INDEX(FX_Temps,$AF1344,L$3)</f>
        <v>58.600000000000023</v>
      </c>
      <c r="M1344" cm="1">
        <f t="array" ref="M1344">INDEX(FX_Temps,$AF1344,M$3)</f>
        <v>52.649999999999977</v>
      </c>
      <c r="N1344" cm="1">
        <f t="array" ref="N1344">INDEX(FX_Temps,$AF1344,N$3)</f>
        <v>47.100000000000023</v>
      </c>
      <c r="O1344" cm="1">
        <f t="array" ref="O1344">INDEX(FX_Temps,$AF1344,O$3)</f>
        <v>43.600000000000023</v>
      </c>
      <c r="AE1344">
        <f>AE1343</f>
        <v>1</v>
      </c>
      <c r="AF1344">
        <f>AF1334+13</f>
        <v>560</v>
      </c>
    </row>
    <row r="1345" spans="2:15" ht="17.149999999999999" x14ac:dyDescent="0.55000000000000004">
      <c r="B1345" t="str">
        <f t="shared" si="4884"/>
        <v>Portland</v>
      </c>
      <c r="C1345" t="s">
        <v>574</v>
      </c>
      <c r="D1345" cm="1">
        <f t="array" ref="D1345">IFERROR(IF(D1335="Chemical",(10^(INDEX(Antoines,MATCH(D1334,Antoine_Name,0),2)-INDEX(Antoines,MATCH(D1334,Antoine_Name,0),3)/(INDEX(Antoines,MATCH(D1334,Antoine_Name,0),4)+(D1342-32)*5/9)))*14.7/760,IF(D1335="Crude Oil",EXP((2799/(D1342+459.6)-2.227)*LOG10(INDEX(FX_Input,Q$5,D$3*$Z$5+$AA$5))-(7261/(D1342+459.6))+12.82),IF(D1335="Refined Petroleum Stock",EXP((0.7553-(413/(D1342+459.6)))*(INDEX(FX_Input,Q$5,D$3*$Z$5+$AA$5-1)^0.5)*LOG10(INDEX(FX_Input,Q$5,D$3*$Z$5+$AA$5))-(1.854-(1042/(D1342+459.6)))*(INDEX(FX_Input,Q$5,D$3*$Z$5+$AA$5-1)^0.5)+((2416/(D1342+459.6)-2.013)*LOG10(INDEX(FX_Input,Q$5,D$3*$Z$5+$AA$5)))-(8742/(D1342+459.6))+15.64),EXP(INDEX(Antoines,MATCH(D1334,Antoine_Name,0),2)-INDEX(Antoines,MATCH(D1334,Antoine_Name,0),3)/(D1342+459.6))))),0)</f>
        <v>4.739577185808354E-3</v>
      </c>
      <c r="E1345" cm="1">
        <f t="array" ref="E1345">IFERROR(IF(E1335="Chemical",(10^(INDEX(Antoines,MATCH(E1334,Antoine_Name,0),2)-INDEX(Antoines,MATCH(E1334,Antoine_Name,0),3)/(INDEX(Antoines,MATCH(E1334,Antoine_Name,0),4)+(E1342-32)*5/9)))*14.7/760,IF(E1335="Crude Oil",EXP((2799/(E1342+459.6)-2.227)*LOG10(INDEX(FX_Input,R$5,E$3*$Z$5+$AA$5))-(7261/(E1342+459.6))+12.82),IF(E1335="Refined Petroleum Stock",EXP((0.7553-(413/(E1342+459.6)))*(INDEX(FX_Input,R$5,E$3*$Z$5+$AA$5-1)^0.5)*LOG10(INDEX(FX_Input,R$5,E$3*$Z$5+$AA$5))-(1.854-(1042/(E1342+459.6)))*(INDEX(FX_Input,R$5,E$3*$Z$5+$AA$5-1)^0.5)+((2416/(E1342+459.6)-2.013)*LOG10(INDEX(FX_Input,R$5,E$3*$Z$5+$AA$5)))-(8742/(E1342+459.6))+15.64),EXP(INDEX(Antoines,MATCH(E1334,Antoine_Name,0),2)-INDEX(Antoines,MATCH(E1334,Antoine_Name,0),3)/(E1342+459.6))))),0)</f>
        <v>4.8748667780818778E-3</v>
      </c>
      <c r="F1345" cm="1">
        <f t="array" ref="F1345">IFERROR(IF(F1335="Chemical",(10^(INDEX(Antoines,MATCH(F1334,Antoine_Name,0),2)-INDEX(Antoines,MATCH(F1334,Antoine_Name,0),3)/(INDEX(Antoines,MATCH(F1334,Antoine_Name,0),4)+(F1342-32)*5/9)))*14.7/760,IF(F1335="Crude Oil",EXP((2799/(F1342+459.6)-2.227)*LOG10(INDEX(FX_Input,S$5,F$3*$Z$5+$AA$5))-(7261/(F1342+459.6))+12.82),IF(F1335="Refined Petroleum Stock",EXP((0.7553-(413/(F1342+459.6)))*(INDEX(FX_Input,S$5,F$3*$Z$5+$AA$5-1)^0.5)*LOG10(INDEX(FX_Input,S$5,F$3*$Z$5+$AA$5))-(1.854-(1042/(F1342+459.6)))*(INDEX(FX_Input,S$5,F$3*$Z$5+$AA$5-1)^0.5)+((2416/(F1342+459.6)-2.013)*LOG10(INDEX(FX_Input,S$5,F$3*$Z$5+$AA$5)))-(8742/(F1342+459.6))+15.64),EXP(INDEX(Antoines,MATCH(F1334,Antoine_Name,0),2)-INDEX(Antoines,MATCH(F1334,Antoine_Name,0),3)/(F1342+459.6))))),0)</f>
        <v>5.119885034186122E-3</v>
      </c>
      <c r="G1345" cm="1">
        <f t="array" ref="G1345">IFERROR(IF(G1335="Chemical",(10^(INDEX(Antoines,MATCH(G1334,Antoine_Name,0),2)-INDEX(Antoines,MATCH(G1334,Antoine_Name,0),3)/(INDEX(Antoines,MATCH(G1334,Antoine_Name,0),4)+(G1342-32)*5/9)))*14.7/760,IF(G1335="Crude Oil",EXP((2799/(G1342+459.6)-2.227)*LOG10(INDEX(FX_Input,T$5,G$3*$Z$5+$AA$5))-(7261/(G1342+459.6))+12.82),IF(G1335="Refined Petroleum Stock",EXP((0.7553-(413/(G1342+459.6)))*(INDEX(FX_Input,T$5,G$3*$Z$5+$AA$5-1)^0.5)*LOG10(INDEX(FX_Input,T$5,G$3*$Z$5+$AA$5))-(1.854-(1042/(G1342+459.6)))*(INDEX(FX_Input,T$5,G$3*$Z$5+$AA$5-1)^0.5)+((2416/(G1342+459.6)-2.013)*LOG10(INDEX(FX_Input,T$5,G$3*$Z$5+$AA$5)))-(8742/(G1342+459.6))+15.64),EXP(INDEX(Antoines,MATCH(G1334,Antoine_Name,0),2)-INDEX(Antoines,MATCH(G1334,Antoine_Name,0),3)/(G1342+459.6))))),0)</f>
        <v>5.5846958573521795E-3</v>
      </c>
      <c r="H1345" cm="1">
        <f t="array" ref="H1345">IFERROR(IF(H1335="Chemical",(10^(INDEX(Antoines,MATCH(H1334,Antoine_Name,0),2)-INDEX(Antoines,MATCH(H1334,Antoine_Name,0),3)/(INDEX(Antoines,MATCH(H1334,Antoine_Name,0),4)+(H1342-32)*5/9)))*14.7/760,IF(H1335="Crude Oil",EXP((2799/(H1342+459.6)-2.227)*LOG10(INDEX(FX_Input,U$5,H$3*$Z$5+$AA$5))-(7261/(H1342+459.6))+12.82),IF(H1335="Refined Petroleum Stock",EXP((0.7553-(413/(H1342+459.6)))*(INDEX(FX_Input,U$5,H$3*$Z$5+$AA$5-1)^0.5)*LOG10(INDEX(FX_Input,U$5,H$3*$Z$5+$AA$5))-(1.854-(1042/(H1342+459.6)))*(INDEX(FX_Input,U$5,H$3*$Z$5+$AA$5-1)^0.5)+((2416/(H1342+459.6)-2.013)*LOG10(INDEX(FX_Input,U$5,H$3*$Z$5+$AA$5)))-(8742/(H1342+459.6))+15.64),EXP(INDEX(Antoines,MATCH(H1334,Antoine_Name,0),2)-INDEX(Antoines,MATCH(H1334,Antoine_Name,0),3)/(H1342+459.6))))),0)</f>
        <v>6.5274070972739821E-3</v>
      </c>
      <c r="I1345" cm="1">
        <f t="array" ref="I1345">IFERROR(IF(I1335="Chemical",(10^(INDEX(Antoines,MATCH(I1334,Antoine_Name,0),2)-INDEX(Antoines,MATCH(I1334,Antoine_Name,0),3)/(INDEX(Antoines,MATCH(I1334,Antoine_Name,0),4)+(I1342-32)*5/9)))*14.7/760,IF(I1335="Crude Oil",EXP((2799/(I1342+459.6)-2.227)*LOG10(INDEX(FX_Input,V$5,I$3*$Z$5+$AA$5))-(7261/(I1342+459.6))+12.82),IF(I1335="Refined Petroleum Stock",EXP((0.7553-(413/(I1342+459.6)))*(INDEX(FX_Input,V$5,I$3*$Z$5+$AA$5-1)^0.5)*LOG10(INDEX(FX_Input,V$5,I$3*$Z$5+$AA$5))-(1.854-(1042/(I1342+459.6)))*(INDEX(FX_Input,V$5,I$3*$Z$5+$AA$5-1)^0.5)+((2416/(I1342+459.6)-2.013)*LOG10(INDEX(FX_Input,V$5,I$3*$Z$5+$AA$5)))-(8742/(I1342+459.6))+15.64),EXP(INDEX(Antoines,MATCH(I1334,Antoine_Name,0),2)-INDEX(Antoines,MATCH(I1334,Antoine_Name,0),3)/(I1342+459.6))))),0)</f>
        <v>7.4199539958878279E-3</v>
      </c>
      <c r="J1345" cm="1">
        <f t="array" ref="J1345">IFERROR(IF(J1335="Chemical",(10^(INDEX(Antoines,MATCH(J1334,Antoine_Name,0),2)-INDEX(Antoines,MATCH(J1334,Antoine_Name,0),3)/(INDEX(Antoines,MATCH(J1334,Antoine_Name,0),4)+(J1342-32)*5/9)))*14.7/760,IF(J1335="Crude Oil",EXP((2799/(J1342+459.6)-2.227)*LOG10(INDEX(FX_Input,W$5,J$3*$Z$5+$AA$5))-(7261/(J1342+459.6))+12.82),IF(J1335="Refined Petroleum Stock",EXP((0.7553-(413/(J1342+459.6)))*(INDEX(FX_Input,W$5,J$3*$Z$5+$AA$5-1)^0.5)*LOG10(INDEX(FX_Input,W$5,J$3*$Z$5+$AA$5))-(1.854-(1042/(J1342+459.6)))*(INDEX(FX_Input,W$5,J$3*$Z$5+$AA$5-1)^0.5)+((2416/(J1342+459.6)-2.013)*LOG10(INDEX(FX_Input,W$5,J$3*$Z$5+$AA$5)))-(8742/(J1342+459.6))+15.64),EXP(INDEX(Antoines,MATCH(J1334,Antoine_Name,0),2)-INDEX(Antoines,MATCH(J1334,Antoine_Name,0),3)/(J1342+459.6))))),0)</f>
        <v>8.3358107202842254E-3</v>
      </c>
      <c r="K1345" cm="1">
        <f t="array" ref="K1345">IFERROR(IF(K1335="Chemical",(10^(INDEX(Antoines,MATCH(K1334,Antoine_Name,0),2)-INDEX(Antoines,MATCH(K1334,Antoine_Name,0),3)/(INDEX(Antoines,MATCH(K1334,Antoine_Name,0),4)+(K1342-32)*5/9)))*14.7/760,IF(K1335="Crude Oil",EXP((2799/(K1342+459.6)-2.227)*LOG10(INDEX(FX_Input,X$5,K$3*$Z$5+$AA$5))-(7261/(K1342+459.6))+12.82),IF(K1335="Refined Petroleum Stock",EXP((0.7553-(413/(K1342+459.6)))*(INDEX(FX_Input,X$5,K$3*$Z$5+$AA$5-1)^0.5)*LOG10(INDEX(FX_Input,X$5,K$3*$Z$5+$AA$5))-(1.854-(1042/(K1342+459.6)))*(INDEX(FX_Input,X$5,K$3*$Z$5+$AA$5-1)^0.5)+((2416/(K1342+459.6)-2.013)*LOG10(INDEX(FX_Input,X$5,K$3*$Z$5+$AA$5)))-(8742/(K1342+459.6))+15.64),EXP(INDEX(Antoines,MATCH(K1334,Antoine_Name,0),2)-INDEX(Antoines,MATCH(K1334,Antoine_Name,0),3)/(K1342+459.6))))),0)</f>
        <v>8.4605262729351115E-3</v>
      </c>
      <c r="L1345" cm="1">
        <f t="array" ref="L1345">IFERROR(IF(L1335="Chemical",(10^(INDEX(Antoines,MATCH(L1334,Antoine_Name,0),2)-INDEX(Antoines,MATCH(L1334,Antoine_Name,0),3)/(INDEX(Antoines,MATCH(L1334,Antoine_Name,0),4)+(L1342-32)*5/9)))*14.7/760,IF(L1335="Crude Oil",EXP((2799/(L1342+459.6)-2.227)*LOG10(INDEX(FX_Input,Y$5,L$3*$Z$5+$AA$5))-(7261/(L1342+459.6))+12.82),IF(L1335="Refined Petroleum Stock",EXP((0.7553-(413/(L1342+459.6)))*(INDEX(FX_Input,Y$5,L$3*$Z$5+$AA$5-1)^0.5)*LOG10(INDEX(FX_Input,Y$5,L$3*$Z$5+$AA$5))-(1.854-(1042/(L1342+459.6)))*(INDEX(FX_Input,Y$5,L$3*$Z$5+$AA$5-1)^0.5)+((2416/(L1342+459.6)-2.013)*LOG10(INDEX(FX_Input,Y$5,L$3*$Z$5+$AA$5)))-(8742/(L1342+459.6))+15.64),EXP(INDEX(Antoines,MATCH(L1334,Antoine_Name,0),2)-INDEX(Antoines,MATCH(L1334,Antoine_Name,0),3)/(L1342+459.6))))),0)</f>
        <v>7.8399882233967533E-3</v>
      </c>
      <c r="M1345" cm="1">
        <f t="array" ref="M1345">IFERROR(IF(M1335="Chemical",(10^(INDEX(Antoines,MATCH(M1334,Antoine_Name,0),2)-INDEX(Antoines,MATCH(M1334,Antoine_Name,0),3)/(INDEX(Antoines,MATCH(M1334,Antoine_Name,0),4)+(M1342-32)*5/9)))*14.7/760,IF(M1335="Crude Oil",EXP((2799/(M1342+459.6)-2.227)*LOG10(INDEX(FX_Input,Z$5,M$3*$Z$5+$AA$5))-(7261/(M1342+459.6))+12.82),IF(M1335="Refined Petroleum Stock",EXP((0.7553-(413/(M1342+459.6)))*(INDEX(FX_Input,Z$5,M$3*$Z$5+$AA$5-1)^0.5)*LOG10(INDEX(FX_Input,Z$5,M$3*$Z$5+$AA$5))-(1.854-(1042/(M1342+459.6)))*(INDEX(FX_Input,Z$5,M$3*$Z$5+$AA$5-1)^0.5)+((2416/(M1342+459.6)-2.013)*LOG10(INDEX(FX_Input,Z$5,M$3*$Z$5+$AA$5)))-(8742/(M1342+459.6))+15.64),EXP(INDEX(Antoines,MATCH(M1334,Antoine_Name,0),2)-INDEX(Antoines,MATCH(M1334,Antoine_Name,0),3)/(M1342+459.6))))),0)</f>
        <v>6.4173462075160911E-3</v>
      </c>
      <c r="N1345" cm="1">
        <f t="array" ref="N1345">IFERROR(IF(N1335="Chemical",(10^(INDEX(Antoines,MATCH(N1334,Antoine_Name,0),2)-INDEX(Antoines,MATCH(N1334,Antoine_Name,0),3)/(INDEX(Antoines,MATCH(N1334,Antoine_Name,0),4)+(N1342-32)*5/9)))*14.7/760,IF(N1335="Crude Oil",EXP((2799/(N1342+459.6)-2.227)*LOG10(INDEX(FX_Input,AA$5,N$3*$Z$5+$AA$5))-(7261/(N1342+459.6))+12.82),IF(N1335="Refined Petroleum Stock",EXP((0.7553-(413/(N1342+459.6)))*(INDEX(FX_Input,AA$5,N$3*$Z$5+$AA$5-1)^0.5)*LOG10(INDEX(FX_Input,AA$5,N$3*$Z$5+$AA$5))-(1.854-(1042/(N1342+459.6)))*(INDEX(FX_Input,AA$5,N$3*$Z$5+$AA$5-1)^0.5)+((2416/(N1342+459.6)-2.013)*LOG10(INDEX(FX_Input,AA$5,N$3*$Z$5+$AA$5)))-(8742/(N1342+459.6))+15.64),EXP(INDEX(Antoines,MATCH(N1334,Antoine_Name,0),2)-INDEX(Antoines,MATCH(N1334,Antoine_Name,0),3)/(N1342+459.6))))),0)</f>
        <v>5.3015226887581056E-3</v>
      </c>
      <c r="O1345" cm="1">
        <f t="array" ref="O1345">IFERROR(IF(O1335="Chemical",(10^(INDEX(Antoines,MATCH(O1334,Antoine_Name,0),2)-INDEX(Antoines,MATCH(O1334,Antoine_Name,0),3)/(INDEX(Antoines,MATCH(O1334,Antoine_Name,0),4)+(O1342-32)*5/9)))*14.7/760,IF(O1335="Crude Oil",EXP((2799/(O1342+459.6)-2.227)*LOG10(INDEX(FX_Input,AB$5,O$3*$Z$5+$AA$5))-(7261/(O1342+459.6))+12.82),IF(O1335="Refined Petroleum Stock",EXP((0.7553-(413/(O1342+459.6)))*(INDEX(FX_Input,AB$5,O$3*$Z$5+$AA$5-1)^0.5)*LOG10(INDEX(FX_Input,AB$5,O$3*$Z$5+$AA$5))-(1.854-(1042/(O1342+459.6)))*(INDEX(FX_Input,AB$5,O$3*$Z$5+$AA$5-1)^0.5)+((2416/(O1342+459.6)-2.013)*LOG10(INDEX(FX_Input,AB$5,O$3*$Z$5+$AA$5)))-(8742/(O1342+459.6))+15.64),EXP(INDEX(Antoines,MATCH(O1334,Antoine_Name,0),2)-INDEX(Antoines,MATCH(O1334,Antoine_Name,0),3)/(O1342+459.6))))),0)</f>
        <v>4.68970903600947E-3</v>
      </c>
    </row>
    <row r="1346" spans="2:15" ht="17.149999999999999" x14ac:dyDescent="0.55000000000000004">
      <c r="B1346" t="str">
        <f t="shared" si="4884"/>
        <v>Portland</v>
      </c>
      <c r="C1346" t="s">
        <v>576</v>
      </c>
      <c r="D1346">
        <f>D1338*D1345</f>
        <v>4.739577185808354E-3</v>
      </c>
      <c r="E1346">
        <f t="shared" ref="E1346" si="4885">E1338*E1345</f>
        <v>4.8748667780818778E-3</v>
      </c>
      <c r="F1346">
        <f t="shared" ref="F1346" si="4886">F1338*F1345</f>
        <v>5.119885034186122E-3</v>
      </c>
      <c r="G1346">
        <f t="shared" ref="G1346" si="4887">G1338*G1345</f>
        <v>5.5846958573521795E-3</v>
      </c>
      <c r="H1346">
        <f t="shared" ref="H1346" si="4888">H1338*H1345</f>
        <v>6.5274070972739821E-3</v>
      </c>
      <c r="I1346">
        <f t="shared" ref="I1346" si="4889">I1338*I1345</f>
        <v>7.4199539958878279E-3</v>
      </c>
      <c r="J1346">
        <f t="shared" ref="J1346" si="4890">J1338*J1345</f>
        <v>8.3358107202842254E-3</v>
      </c>
      <c r="K1346">
        <f t="shared" ref="K1346" si="4891">K1338*K1345</f>
        <v>8.4605262729351115E-3</v>
      </c>
      <c r="L1346">
        <f t="shared" ref="L1346" si="4892">L1338*L1345</f>
        <v>7.8399882233967533E-3</v>
      </c>
      <c r="M1346">
        <f t="shared" ref="M1346" si="4893">M1338*M1345</f>
        <v>6.4173462075160911E-3</v>
      </c>
      <c r="N1346">
        <f t="shared" ref="N1346" si="4894">N1338*N1345</f>
        <v>5.3015226887581056E-3</v>
      </c>
      <c r="O1346">
        <f t="shared" ref="O1346" si="4895">O1338*O1345</f>
        <v>4.68970903600947E-3</v>
      </c>
    </row>
    <row r="1347" spans="2:15" ht="17.149999999999999" x14ac:dyDescent="0.55000000000000004">
      <c r="B1347" t="str">
        <f t="shared" si="4884"/>
        <v>Portland</v>
      </c>
      <c r="C1347" t="s">
        <v>575</v>
      </c>
      <c r="D1347" cm="1">
        <f t="array" ref="D1347">IFERROR(IF(D1337="Chemical",(10^(INDEX(Antoines,MATCH(D1336,Antoine_Name,0),2)-INDEX(Antoines,MATCH(D1336,Antoine_Name,0),3)/(INDEX(Antoines,MATCH(D1336,Antoine_Name,0),4)+(D1342-32)*5/9)))*14.7/760,IF(D1337="Crude Oil",EXP((2799/(D1342+459.6)-2.227)*LOG10(INDEX(FX_Input,Q$5,D$3*$Z$5+$AA$5))-(7261/(D1342+459.6))+12.82),IF(D1337="Refined Petroleum Stock",EXP((0.7553-(413/(D1342+459.6)))*(INDEX(FX_Input,Q$5,D$3*$Z$5+$AA$5-1)^0.5)*LOG10(INDEX(FX_Input,Q$5,D$3*$Z$5+$AA$5))-(1.854-(1042/(D1342+459.6)))*(INDEX(FX_Input,Q$5,D$3*$Z$5+$AA$5-1)^0.5)+((2416/(D1342+459.6)-2.013)*LOG10(INDEX(FX_Input,Q$5,D$3*$Z$5+$AA$5)))-(8742/(D1342+459.6))+15.64),EXP(INDEX(Antoines,MATCH(D1336,Antoine_Name,0),2)-INDEX(Antoines,MATCH(D1336,Antoine_Name,0),3)/(D1342+459.6))))),0)</f>
        <v>0</v>
      </c>
      <c r="E1347" cm="1">
        <f t="array" ref="E1347">IFERROR(IF(E1337="Chemical",(10^(INDEX(Antoines,MATCH(E1336,Antoine_Name,0),2)-INDEX(Antoines,MATCH(E1336,Antoine_Name,0),3)/(INDEX(Antoines,MATCH(E1336,Antoine_Name,0),4)+(E1342-32)*5/9)))*14.7/760,IF(E1337="Crude Oil",EXP((2799/(E1342+459.6)-2.227)*LOG10(INDEX(FX_Input,R$5,E$3*$Z$5+$AA$5))-(7261/(E1342+459.6))+12.82),IF(E1337="Refined Petroleum Stock",EXP((0.7553-(413/(E1342+459.6)))*(INDEX(FX_Input,R$5,E$3*$Z$5+$AA$5-1)^0.5)*LOG10(INDEX(FX_Input,R$5,E$3*$Z$5+$AA$5))-(1.854-(1042/(E1342+459.6)))*(INDEX(FX_Input,R$5,E$3*$Z$5+$AA$5-1)^0.5)+((2416/(E1342+459.6)-2.013)*LOG10(INDEX(FX_Input,R$5,E$3*$Z$5+$AA$5)))-(8742/(E1342+459.6))+15.64),EXP(INDEX(Antoines,MATCH(E1336,Antoine_Name,0),2)-INDEX(Antoines,MATCH(E1336,Antoine_Name,0),3)/(E1342+459.6))))),0)</f>
        <v>0</v>
      </c>
      <c r="F1347" cm="1">
        <f t="array" ref="F1347">IFERROR(IF(F1337="Chemical",(10^(INDEX(Antoines,MATCH(F1336,Antoine_Name,0),2)-INDEX(Antoines,MATCH(F1336,Antoine_Name,0),3)/(INDEX(Antoines,MATCH(F1336,Antoine_Name,0),4)+(F1342-32)*5/9)))*14.7/760,IF(F1337="Crude Oil",EXP((2799/(F1342+459.6)-2.227)*LOG10(INDEX(FX_Input,S$5,F$3*$Z$5+$AA$5))-(7261/(F1342+459.6))+12.82),IF(F1337="Refined Petroleum Stock",EXP((0.7553-(413/(F1342+459.6)))*(INDEX(FX_Input,S$5,F$3*$Z$5+$AA$5-1)^0.5)*LOG10(INDEX(FX_Input,S$5,F$3*$Z$5+$AA$5))-(1.854-(1042/(F1342+459.6)))*(INDEX(FX_Input,S$5,F$3*$Z$5+$AA$5-1)^0.5)+((2416/(F1342+459.6)-2.013)*LOG10(INDEX(FX_Input,S$5,F$3*$Z$5+$AA$5)))-(8742/(F1342+459.6))+15.64),EXP(INDEX(Antoines,MATCH(F1336,Antoine_Name,0),2)-INDEX(Antoines,MATCH(F1336,Antoine_Name,0),3)/(F1342+459.6))))),0)</f>
        <v>0</v>
      </c>
      <c r="G1347" cm="1">
        <f t="array" ref="G1347">IFERROR(IF(G1337="Chemical",(10^(INDEX(Antoines,MATCH(G1336,Antoine_Name,0),2)-INDEX(Antoines,MATCH(G1336,Antoine_Name,0),3)/(INDEX(Antoines,MATCH(G1336,Antoine_Name,0),4)+(G1342-32)*5/9)))*14.7/760,IF(G1337="Crude Oil",EXP((2799/(G1342+459.6)-2.227)*LOG10(INDEX(FX_Input,T$5,G$3*$Z$5+$AA$5))-(7261/(G1342+459.6))+12.82),IF(G1337="Refined Petroleum Stock",EXP((0.7553-(413/(G1342+459.6)))*(INDEX(FX_Input,T$5,G$3*$Z$5+$AA$5-1)^0.5)*LOG10(INDEX(FX_Input,T$5,G$3*$Z$5+$AA$5))-(1.854-(1042/(G1342+459.6)))*(INDEX(FX_Input,T$5,G$3*$Z$5+$AA$5-1)^0.5)+((2416/(G1342+459.6)-2.013)*LOG10(INDEX(FX_Input,T$5,G$3*$Z$5+$AA$5)))-(8742/(G1342+459.6))+15.64),EXP(INDEX(Antoines,MATCH(G1336,Antoine_Name,0),2)-INDEX(Antoines,MATCH(G1336,Antoine_Name,0),3)/(G1342+459.6))))),0)</f>
        <v>0</v>
      </c>
      <c r="H1347" cm="1">
        <f t="array" ref="H1347">IFERROR(IF(H1337="Chemical",(10^(INDEX(Antoines,MATCH(H1336,Antoine_Name,0),2)-INDEX(Antoines,MATCH(H1336,Antoine_Name,0),3)/(INDEX(Antoines,MATCH(H1336,Antoine_Name,0),4)+(H1342-32)*5/9)))*14.7/760,IF(H1337="Crude Oil",EXP((2799/(H1342+459.6)-2.227)*LOG10(INDEX(FX_Input,U$5,H$3*$Z$5+$AA$5))-(7261/(H1342+459.6))+12.82),IF(H1337="Refined Petroleum Stock",EXP((0.7553-(413/(H1342+459.6)))*(INDEX(FX_Input,U$5,H$3*$Z$5+$AA$5-1)^0.5)*LOG10(INDEX(FX_Input,U$5,H$3*$Z$5+$AA$5))-(1.854-(1042/(H1342+459.6)))*(INDEX(FX_Input,U$5,H$3*$Z$5+$AA$5-1)^0.5)+((2416/(H1342+459.6)-2.013)*LOG10(INDEX(FX_Input,U$5,H$3*$Z$5+$AA$5)))-(8742/(H1342+459.6))+15.64),EXP(INDEX(Antoines,MATCH(H1336,Antoine_Name,0),2)-INDEX(Antoines,MATCH(H1336,Antoine_Name,0),3)/(H1342+459.6))))),0)</f>
        <v>0</v>
      </c>
      <c r="I1347" cm="1">
        <f t="array" ref="I1347">IFERROR(IF(I1337="Chemical",(10^(INDEX(Antoines,MATCH(I1336,Antoine_Name,0),2)-INDEX(Antoines,MATCH(I1336,Antoine_Name,0),3)/(INDEX(Antoines,MATCH(I1336,Antoine_Name,0),4)+(I1342-32)*5/9)))*14.7/760,IF(I1337="Crude Oil",EXP((2799/(I1342+459.6)-2.227)*LOG10(INDEX(FX_Input,V$5,I$3*$Z$5+$AA$5))-(7261/(I1342+459.6))+12.82),IF(I1337="Refined Petroleum Stock",EXP((0.7553-(413/(I1342+459.6)))*(INDEX(FX_Input,V$5,I$3*$Z$5+$AA$5-1)^0.5)*LOG10(INDEX(FX_Input,V$5,I$3*$Z$5+$AA$5))-(1.854-(1042/(I1342+459.6)))*(INDEX(FX_Input,V$5,I$3*$Z$5+$AA$5-1)^0.5)+((2416/(I1342+459.6)-2.013)*LOG10(INDEX(FX_Input,V$5,I$3*$Z$5+$AA$5)))-(8742/(I1342+459.6))+15.64),EXP(INDEX(Antoines,MATCH(I1336,Antoine_Name,0),2)-INDEX(Antoines,MATCH(I1336,Antoine_Name,0),3)/(I1342+459.6))))),0)</f>
        <v>0</v>
      </c>
      <c r="J1347" cm="1">
        <f t="array" ref="J1347">IFERROR(IF(J1337="Chemical",(10^(INDEX(Antoines,MATCH(J1336,Antoine_Name,0),2)-INDEX(Antoines,MATCH(J1336,Antoine_Name,0),3)/(INDEX(Antoines,MATCH(J1336,Antoine_Name,0),4)+(J1342-32)*5/9)))*14.7/760,IF(J1337="Crude Oil",EXP((2799/(J1342+459.6)-2.227)*LOG10(INDEX(FX_Input,W$5,J$3*$Z$5+$AA$5))-(7261/(J1342+459.6))+12.82),IF(J1337="Refined Petroleum Stock",EXP((0.7553-(413/(J1342+459.6)))*(INDEX(FX_Input,W$5,J$3*$Z$5+$AA$5-1)^0.5)*LOG10(INDEX(FX_Input,W$5,J$3*$Z$5+$AA$5))-(1.854-(1042/(J1342+459.6)))*(INDEX(FX_Input,W$5,J$3*$Z$5+$AA$5-1)^0.5)+((2416/(J1342+459.6)-2.013)*LOG10(INDEX(FX_Input,W$5,J$3*$Z$5+$AA$5)))-(8742/(J1342+459.6))+15.64),EXP(INDEX(Antoines,MATCH(J1336,Antoine_Name,0),2)-INDEX(Antoines,MATCH(J1336,Antoine_Name,0),3)/(J1342+459.6))))),0)</f>
        <v>0</v>
      </c>
      <c r="K1347" cm="1">
        <f t="array" ref="K1347">IFERROR(IF(K1337="Chemical",(10^(INDEX(Antoines,MATCH(K1336,Antoine_Name,0),2)-INDEX(Antoines,MATCH(K1336,Antoine_Name,0),3)/(INDEX(Antoines,MATCH(K1336,Antoine_Name,0),4)+(K1342-32)*5/9)))*14.7/760,IF(K1337="Crude Oil",EXP((2799/(K1342+459.6)-2.227)*LOG10(INDEX(FX_Input,X$5,K$3*$Z$5+$AA$5))-(7261/(K1342+459.6))+12.82),IF(K1337="Refined Petroleum Stock",EXP((0.7553-(413/(K1342+459.6)))*(INDEX(FX_Input,X$5,K$3*$Z$5+$AA$5-1)^0.5)*LOG10(INDEX(FX_Input,X$5,K$3*$Z$5+$AA$5))-(1.854-(1042/(K1342+459.6)))*(INDEX(FX_Input,X$5,K$3*$Z$5+$AA$5-1)^0.5)+((2416/(K1342+459.6)-2.013)*LOG10(INDEX(FX_Input,X$5,K$3*$Z$5+$AA$5)))-(8742/(K1342+459.6))+15.64),EXP(INDEX(Antoines,MATCH(K1336,Antoine_Name,0),2)-INDEX(Antoines,MATCH(K1336,Antoine_Name,0),3)/(K1342+459.6))))),0)</f>
        <v>0</v>
      </c>
      <c r="L1347" cm="1">
        <f t="array" ref="L1347">IFERROR(IF(L1337="Chemical",(10^(INDEX(Antoines,MATCH(L1336,Antoine_Name,0),2)-INDEX(Antoines,MATCH(L1336,Antoine_Name,0),3)/(INDEX(Antoines,MATCH(L1336,Antoine_Name,0),4)+(L1342-32)*5/9)))*14.7/760,IF(L1337="Crude Oil",EXP((2799/(L1342+459.6)-2.227)*LOG10(INDEX(FX_Input,Y$5,L$3*$Z$5+$AA$5))-(7261/(L1342+459.6))+12.82),IF(L1337="Refined Petroleum Stock",EXP((0.7553-(413/(L1342+459.6)))*(INDEX(FX_Input,Y$5,L$3*$Z$5+$AA$5-1)^0.5)*LOG10(INDEX(FX_Input,Y$5,L$3*$Z$5+$AA$5))-(1.854-(1042/(L1342+459.6)))*(INDEX(FX_Input,Y$5,L$3*$Z$5+$AA$5-1)^0.5)+((2416/(L1342+459.6)-2.013)*LOG10(INDEX(FX_Input,Y$5,L$3*$Z$5+$AA$5)))-(8742/(L1342+459.6))+15.64),EXP(INDEX(Antoines,MATCH(L1336,Antoine_Name,0),2)-INDEX(Antoines,MATCH(L1336,Antoine_Name,0),3)/(L1342+459.6))))),0)</f>
        <v>0</v>
      </c>
      <c r="M1347" cm="1">
        <f t="array" ref="M1347">IFERROR(IF(M1337="Chemical",(10^(INDEX(Antoines,MATCH(M1336,Antoine_Name,0),2)-INDEX(Antoines,MATCH(M1336,Antoine_Name,0),3)/(INDEX(Antoines,MATCH(M1336,Antoine_Name,0),4)+(M1342-32)*5/9)))*14.7/760,IF(M1337="Crude Oil",EXP((2799/(M1342+459.6)-2.227)*LOG10(INDEX(FX_Input,Z$5,M$3*$Z$5+$AA$5))-(7261/(M1342+459.6))+12.82),IF(M1337="Refined Petroleum Stock",EXP((0.7553-(413/(M1342+459.6)))*(INDEX(FX_Input,Z$5,M$3*$Z$5+$AA$5-1)^0.5)*LOG10(INDEX(FX_Input,Z$5,M$3*$Z$5+$AA$5))-(1.854-(1042/(M1342+459.6)))*(INDEX(FX_Input,Z$5,M$3*$Z$5+$AA$5-1)^0.5)+((2416/(M1342+459.6)-2.013)*LOG10(INDEX(FX_Input,Z$5,M$3*$Z$5+$AA$5)))-(8742/(M1342+459.6))+15.64),EXP(INDEX(Antoines,MATCH(M1336,Antoine_Name,0),2)-INDEX(Antoines,MATCH(M1336,Antoine_Name,0),3)/(M1342+459.6))))),0)</f>
        <v>0</v>
      </c>
      <c r="N1347" cm="1">
        <f t="array" ref="N1347">IFERROR(IF(N1337="Chemical",(10^(INDEX(Antoines,MATCH(N1336,Antoine_Name,0),2)-INDEX(Antoines,MATCH(N1336,Antoine_Name,0),3)/(INDEX(Antoines,MATCH(N1336,Antoine_Name,0),4)+(N1342-32)*5/9)))*14.7/760,IF(N1337="Crude Oil",EXP((2799/(N1342+459.6)-2.227)*LOG10(INDEX(FX_Input,AA$5,N$3*$Z$5+$AA$5))-(7261/(N1342+459.6))+12.82),IF(N1337="Refined Petroleum Stock",EXP((0.7553-(413/(N1342+459.6)))*(INDEX(FX_Input,AA$5,N$3*$Z$5+$AA$5-1)^0.5)*LOG10(INDEX(FX_Input,AA$5,N$3*$Z$5+$AA$5))-(1.854-(1042/(N1342+459.6)))*(INDEX(FX_Input,AA$5,N$3*$Z$5+$AA$5-1)^0.5)+((2416/(N1342+459.6)-2.013)*LOG10(INDEX(FX_Input,AA$5,N$3*$Z$5+$AA$5)))-(8742/(N1342+459.6))+15.64),EXP(INDEX(Antoines,MATCH(N1336,Antoine_Name,0),2)-INDEX(Antoines,MATCH(N1336,Antoine_Name,0),3)/(N1342+459.6))))),0)</f>
        <v>0</v>
      </c>
      <c r="O1347" cm="1">
        <f t="array" ref="O1347">IFERROR(IF(O1337="Chemical",(10^(INDEX(Antoines,MATCH(O1336,Antoine_Name,0),2)-INDEX(Antoines,MATCH(O1336,Antoine_Name,0),3)/(INDEX(Antoines,MATCH(O1336,Antoine_Name,0),4)+(O1342-32)*5/9)))*14.7/760,IF(O1337="Crude Oil",EXP((2799/(O1342+459.6)-2.227)*LOG10(INDEX(FX_Input,AB$5,O$3*$Z$5+$AA$5))-(7261/(O1342+459.6))+12.82),IF(O1337="Refined Petroleum Stock",EXP((0.7553-(413/(O1342+459.6)))*(INDEX(FX_Input,AB$5,O$3*$Z$5+$AA$5-1)^0.5)*LOG10(INDEX(FX_Input,AB$5,O$3*$Z$5+$AA$5))-(1.854-(1042/(O1342+459.6)))*(INDEX(FX_Input,AB$5,O$3*$Z$5+$AA$5-1)^0.5)+((2416/(O1342+459.6)-2.013)*LOG10(INDEX(FX_Input,AB$5,O$3*$Z$5+$AA$5)))-(8742/(O1342+459.6))+15.64),EXP(INDEX(Antoines,MATCH(O1336,Antoine_Name,0),2)-INDEX(Antoines,MATCH(O1336,Antoine_Name,0),3)/(O1342+459.6))))),0)</f>
        <v>0</v>
      </c>
    </row>
    <row r="1348" spans="2:15" ht="17.149999999999999" x14ac:dyDescent="0.55000000000000004">
      <c r="B1348" t="str">
        <f t="shared" si="4884"/>
        <v>Portland</v>
      </c>
      <c r="C1348" t="s">
        <v>577</v>
      </c>
      <c r="D1348">
        <f>D1347*D1340</f>
        <v>0</v>
      </c>
      <c r="E1348">
        <f t="shared" ref="E1348" si="4896">E1347*E1340</f>
        <v>0</v>
      </c>
      <c r="F1348">
        <f t="shared" ref="F1348" si="4897">F1347*F1340</f>
        <v>0</v>
      </c>
      <c r="G1348">
        <f t="shared" ref="G1348" si="4898">G1347*G1340</f>
        <v>0</v>
      </c>
      <c r="H1348">
        <f t="shared" ref="H1348" si="4899">H1347*H1340</f>
        <v>0</v>
      </c>
      <c r="I1348">
        <f t="shared" ref="I1348" si="4900">I1347*I1340</f>
        <v>0</v>
      </c>
      <c r="J1348">
        <f t="shared" ref="J1348" si="4901">J1347*J1340</f>
        <v>0</v>
      </c>
      <c r="K1348">
        <f t="shared" ref="K1348" si="4902">K1347*K1340</f>
        <v>0</v>
      </c>
      <c r="L1348">
        <f t="shared" ref="L1348" si="4903">L1347*L1340</f>
        <v>0</v>
      </c>
      <c r="M1348">
        <f t="shared" ref="M1348" si="4904">M1347*M1340</f>
        <v>0</v>
      </c>
      <c r="N1348">
        <f t="shared" ref="N1348" si="4905">N1347*N1340</f>
        <v>0</v>
      </c>
      <c r="O1348">
        <f t="shared" ref="O1348" si="4906">O1347*O1340</f>
        <v>0</v>
      </c>
    </row>
    <row r="1349" spans="2:15" ht="17.149999999999999" x14ac:dyDescent="0.55000000000000004">
      <c r="B1349" t="str">
        <f t="shared" si="4884"/>
        <v>Portland</v>
      </c>
      <c r="C1349" t="s">
        <v>578</v>
      </c>
      <c r="D1349">
        <f>D1348+D1346</f>
        <v>4.739577185808354E-3</v>
      </c>
      <c r="E1349">
        <f t="shared" ref="E1349" si="4907">E1348+E1346</f>
        <v>4.8748667780818778E-3</v>
      </c>
      <c r="F1349">
        <f t="shared" ref="F1349" si="4908">F1348+F1346</f>
        <v>5.119885034186122E-3</v>
      </c>
      <c r="G1349">
        <f t="shared" ref="G1349" si="4909">G1348+G1346</f>
        <v>5.5846958573521795E-3</v>
      </c>
      <c r="H1349">
        <f t="shared" ref="H1349" si="4910">H1348+H1346</f>
        <v>6.5274070972739821E-3</v>
      </c>
      <c r="I1349">
        <f t="shared" ref="I1349" si="4911">I1348+I1346</f>
        <v>7.4199539958878279E-3</v>
      </c>
      <c r="J1349">
        <f t="shared" ref="J1349" si="4912">J1348+J1346</f>
        <v>8.3358107202842254E-3</v>
      </c>
      <c r="K1349">
        <f t="shared" ref="K1349" si="4913">K1348+K1346</f>
        <v>8.4605262729351115E-3</v>
      </c>
      <c r="L1349">
        <f t="shared" ref="L1349" si="4914">L1348+L1346</f>
        <v>7.8399882233967533E-3</v>
      </c>
      <c r="M1349">
        <f t="shared" ref="M1349" si="4915">M1348+M1346</f>
        <v>6.4173462075160911E-3</v>
      </c>
      <c r="N1349">
        <f t="shared" ref="N1349" si="4916">N1348+N1346</f>
        <v>5.3015226887581056E-3</v>
      </c>
      <c r="O1349">
        <f t="shared" ref="O1349" si="4917">O1348+O1346</f>
        <v>4.68970903600947E-3</v>
      </c>
    </row>
    <row r="1350" spans="2:15" ht="17.149999999999999" x14ac:dyDescent="0.55000000000000004">
      <c r="B1350" t="str">
        <f t="shared" si="4884"/>
        <v>Portland</v>
      </c>
      <c r="C1350" t="s">
        <v>579</v>
      </c>
      <c r="D1350" cm="1">
        <f t="array" ref="D1350">IFERROR(IF(D1335="Chemical",(10^(INDEX(Antoines,MATCH(D1334,Antoine_Name,0),2)-INDEX(Antoines,MATCH(D1334,Antoine_Name,0),3)/(INDEX(Antoines,MATCH(D1334,Antoine_Name,0),4)+(D1343-32)*5/9)))*14.7/760,IF(D1335="Crude Oil",EXP((2799/(D1343+459.6)-2.227)*LOG10(INDEX(FX_Input,Q$5,D$3*$Z$5+$AA$5))-(7261/(D1343+459.6))+12.82),IF(D1335="Refined Petroleum Stock",EXP((0.7553-(413/(D1343+459.6)))*(INDEX(FX_Input,Q$5,D$3*$Z$5+$AA$5-1)^0.5)*LOG10(INDEX(FX_Input,Q$5,D$3*$Z$5+$AA$5))-(1.854-(1042/(D1343+459.6)))*(INDEX(FX_Input,Q$5,D$3*$Z$5+$AA$5-1)^0.5)+((2416/(D1343+459.6)-2.013)*LOG10(INDEX(FX_Input,Q$5,D$3*$Z$5+$AA$5)))-(8742/(D1343+459.6))+15.64),EXP(INDEX(Antoines,MATCH(D1334,Antoine_Name,0),2)-INDEX(Antoines,MATCH(D1334,Antoine_Name,0),3)/(D1343+459.6))))),0)</f>
        <v>4.739577185808354E-3</v>
      </c>
      <c r="E1350" cm="1">
        <f t="array" ref="E1350">IFERROR(IF(E1335="Chemical",(10^(INDEX(Antoines,MATCH(E1334,Antoine_Name,0),2)-INDEX(Antoines,MATCH(E1334,Antoine_Name,0),3)/(INDEX(Antoines,MATCH(E1334,Antoine_Name,0),4)+(E1343-32)*5/9)))*14.7/760,IF(E1335="Crude Oil",EXP((2799/(E1343+459.6)-2.227)*LOG10(INDEX(FX_Input,R$5,E$3*$Z$5+$AA$5))-(7261/(E1343+459.6))+12.82),IF(E1335="Refined Petroleum Stock",EXP((0.7553-(413/(E1343+459.6)))*(INDEX(FX_Input,R$5,E$3*$Z$5+$AA$5-1)^0.5)*LOG10(INDEX(FX_Input,R$5,E$3*$Z$5+$AA$5))-(1.854-(1042/(E1343+459.6)))*(INDEX(FX_Input,R$5,E$3*$Z$5+$AA$5-1)^0.5)+((2416/(E1343+459.6)-2.013)*LOG10(INDEX(FX_Input,R$5,E$3*$Z$5+$AA$5)))-(8742/(E1343+459.6))+15.64),EXP(INDEX(Antoines,MATCH(E1334,Antoine_Name,0),2)-INDEX(Antoines,MATCH(E1334,Antoine_Name,0),3)/(E1343+459.6))))),0)</f>
        <v>4.8748667780818778E-3</v>
      </c>
      <c r="F1350" cm="1">
        <f t="array" ref="F1350">IFERROR(IF(F1335="Chemical",(10^(INDEX(Antoines,MATCH(F1334,Antoine_Name,0),2)-INDEX(Antoines,MATCH(F1334,Antoine_Name,0),3)/(INDEX(Antoines,MATCH(F1334,Antoine_Name,0),4)+(F1343-32)*5/9)))*14.7/760,IF(F1335="Crude Oil",EXP((2799/(F1343+459.6)-2.227)*LOG10(INDEX(FX_Input,S$5,F$3*$Z$5+$AA$5))-(7261/(F1343+459.6))+12.82),IF(F1335="Refined Petroleum Stock",EXP((0.7553-(413/(F1343+459.6)))*(INDEX(FX_Input,S$5,F$3*$Z$5+$AA$5-1)^0.5)*LOG10(INDEX(FX_Input,S$5,F$3*$Z$5+$AA$5))-(1.854-(1042/(F1343+459.6)))*(INDEX(FX_Input,S$5,F$3*$Z$5+$AA$5-1)^0.5)+((2416/(F1343+459.6)-2.013)*LOG10(INDEX(FX_Input,S$5,F$3*$Z$5+$AA$5)))-(8742/(F1343+459.6))+15.64),EXP(INDEX(Antoines,MATCH(F1334,Antoine_Name,0),2)-INDEX(Antoines,MATCH(F1334,Antoine_Name,0),3)/(F1343+459.6))))),0)</f>
        <v>5.119885034186122E-3</v>
      </c>
      <c r="G1350" cm="1">
        <f t="array" ref="G1350">IFERROR(IF(G1335="Chemical",(10^(INDEX(Antoines,MATCH(G1334,Antoine_Name,0),2)-INDEX(Antoines,MATCH(G1334,Antoine_Name,0),3)/(INDEX(Antoines,MATCH(G1334,Antoine_Name,0),4)+(G1343-32)*5/9)))*14.7/760,IF(G1335="Crude Oil",EXP((2799/(G1343+459.6)-2.227)*LOG10(INDEX(FX_Input,T$5,G$3*$Z$5+$AA$5))-(7261/(G1343+459.6))+12.82),IF(G1335="Refined Petroleum Stock",EXP((0.7553-(413/(G1343+459.6)))*(INDEX(FX_Input,T$5,G$3*$Z$5+$AA$5-1)^0.5)*LOG10(INDEX(FX_Input,T$5,G$3*$Z$5+$AA$5))-(1.854-(1042/(G1343+459.6)))*(INDEX(FX_Input,T$5,G$3*$Z$5+$AA$5-1)^0.5)+((2416/(G1343+459.6)-2.013)*LOG10(INDEX(FX_Input,T$5,G$3*$Z$5+$AA$5)))-(8742/(G1343+459.6))+15.64),EXP(INDEX(Antoines,MATCH(G1334,Antoine_Name,0),2)-INDEX(Antoines,MATCH(G1334,Antoine_Name,0),3)/(G1343+459.6))))),0)</f>
        <v>5.5846958573521795E-3</v>
      </c>
      <c r="H1350" cm="1">
        <f t="array" ref="H1350">IFERROR(IF(H1335="Chemical",(10^(INDEX(Antoines,MATCH(H1334,Antoine_Name,0),2)-INDEX(Antoines,MATCH(H1334,Antoine_Name,0),3)/(INDEX(Antoines,MATCH(H1334,Antoine_Name,0),4)+(H1343-32)*5/9)))*14.7/760,IF(H1335="Crude Oil",EXP((2799/(H1343+459.6)-2.227)*LOG10(INDEX(FX_Input,U$5,H$3*$Z$5+$AA$5))-(7261/(H1343+459.6))+12.82),IF(H1335="Refined Petroleum Stock",EXP((0.7553-(413/(H1343+459.6)))*(INDEX(FX_Input,U$5,H$3*$Z$5+$AA$5-1)^0.5)*LOG10(INDEX(FX_Input,U$5,H$3*$Z$5+$AA$5))-(1.854-(1042/(H1343+459.6)))*(INDEX(FX_Input,U$5,H$3*$Z$5+$AA$5-1)^0.5)+((2416/(H1343+459.6)-2.013)*LOG10(INDEX(FX_Input,U$5,H$3*$Z$5+$AA$5)))-(8742/(H1343+459.6))+15.64),EXP(INDEX(Antoines,MATCH(H1334,Antoine_Name,0),2)-INDEX(Antoines,MATCH(H1334,Antoine_Name,0),3)/(H1343+459.6))))),0)</f>
        <v>6.5274070972739821E-3</v>
      </c>
      <c r="I1350" cm="1">
        <f t="array" ref="I1350">IFERROR(IF(I1335="Chemical",(10^(INDEX(Antoines,MATCH(I1334,Antoine_Name,0),2)-INDEX(Antoines,MATCH(I1334,Antoine_Name,0),3)/(INDEX(Antoines,MATCH(I1334,Antoine_Name,0),4)+(I1343-32)*5/9)))*14.7/760,IF(I1335="Crude Oil",EXP((2799/(I1343+459.6)-2.227)*LOG10(INDEX(FX_Input,V$5,I$3*$Z$5+$AA$5))-(7261/(I1343+459.6))+12.82),IF(I1335="Refined Petroleum Stock",EXP((0.7553-(413/(I1343+459.6)))*(INDEX(FX_Input,V$5,I$3*$Z$5+$AA$5-1)^0.5)*LOG10(INDEX(FX_Input,V$5,I$3*$Z$5+$AA$5))-(1.854-(1042/(I1343+459.6)))*(INDEX(FX_Input,V$5,I$3*$Z$5+$AA$5-1)^0.5)+((2416/(I1343+459.6)-2.013)*LOG10(INDEX(FX_Input,V$5,I$3*$Z$5+$AA$5)))-(8742/(I1343+459.6))+15.64),EXP(INDEX(Antoines,MATCH(I1334,Antoine_Name,0),2)-INDEX(Antoines,MATCH(I1334,Antoine_Name,0),3)/(I1343+459.6))))),0)</f>
        <v>7.4199539958878279E-3</v>
      </c>
      <c r="J1350" cm="1">
        <f t="array" ref="J1350">IFERROR(IF(J1335="Chemical",(10^(INDEX(Antoines,MATCH(J1334,Antoine_Name,0),2)-INDEX(Antoines,MATCH(J1334,Antoine_Name,0),3)/(INDEX(Antoines,MATCH(J1334,Antoine_Name,0),4)+(J1343-32)*5/9)))*14.7/760,IF(J1335="Crude Oil",EXP((2799/(J1343+459.6)-2.227)*LOG10(INDEX(FX_Input,W$5,J$3*$Z$5+$AA$5))-(7261/(J1343+459.6))+12.82),IF(J1335="Refined Petroleum Stock",EXP((0.7553-(413/(J1343+459.6)))*(INDEX(FX_Input,W$5,J$3*$Z$5+$AA$5-1)^0.5)*LOG10(INDEX(FX_Input,W$5,J$3*$Z$5+$AA$5))-(1.854-(1042/(J1343+459.6)))*(INDEX(FX_Input,W$5,J$3*$Z$5+$AA$5-1)^0.5)+((2416/(J1343+459.6)-2.013)*LOG10(INDEX(FX_Input,W$5,J$3*$Z$5+$AA$5)))-(8742/(J1343+459.6))+15.64),EXP(INDEX(Antoines,MATCH(J1334,Antoine_Name,0),2)-INDEX(Antoines,MATCH(J1334,Antoine_Name,0),3)/(J1343+459.6))))),0)</f>
        <v>8.3358107202842254E-3</v>
      </c>
      <c r="K1350" cm="1">
        <f t="array" ref="K1350">IFERROR(IF(K1335="Chemical",(10^(INDEX(Antoines,MATCH(K1334,Antoine_Name,0),2)-INDEX(Antoines,MATCH(K1334,Antoine_Name,0),3)/(INDEX(Antoines,MATCH(K1334,Antoine_Name,0),4)+(K1343-32)*5/9)))*14.7/760,IF(K1335="Crude Oil",EXP((2799/(K1343+459.6)-2.227)*LOG10(INDEX(FX_Input,X$5,K$3*$Z$5+$AA$5))-(7261/(K1343+459.6))+12.82),IF(K1335="Refined Petroleum Stock",EXP((0.7553-(413/(K1343+459.6)))*(INDEX(FX_Input,X$5,K$3*$Z$5+$AA$5-1)^0.5)*LOG10(INDEX(FX_Input,X$5,K$3*$Z$5+$AA$5))-(1.854-(1042/(K1343+459.6)))*(INDEX(FX_Input,X$5,K$3*$Z$5+$AA$5-1)^0.5)+((2416/(K1343+459.6)-2.013)*LOG10(INDEX(FX_Input,X$5,K$3*$Z$5+$AA$5)))-(8742/(K1343+459.6))+15.64),EXP(INDEX(Antoines,MATCH(K1334,Antoine_Name,0),2)-INDEX(Antoines,MATCH(K1334,Antoine_Name,0),3)/(K1343+459.6))))),0)</f>
        <v>8.4605262729351115E-3</v>
      </c>
      <c r="L1350" cm="1">
        <f t="array" ref="L1350">IFERROR(IF(L1335="Chemical",(10^(INDEX(Antoines,MATCH(L1334,Antoine_Name,0),2)-INDEX(Antoines,MATCH(L1334,Antoine_Name,0),3)/(INDEX(Antoines,MATCH(L1334,Antoine_Name,0),4)+(L1343-32)*5/9)))*14.7/760,IF(L1335="Crude Oil",EXP((2799/(L1343+459.6)-2.227)*LOG10(INDEX(FX_Input,Y$5,L$3*$Z$5+$AA$5))-(7261/(L1343+459.6))+12.82),IF(L1335="Refined Petroleum Stock",EXP((0.7553-(413/(L1343+459.6)))*(INDEX(FX_Input,Y$5,L$3*$Z$5+$AA$5-1)^0.5)*LOG10(INDEX(FX_Input,Y$5,L$3*$Z$5+$AA$5))-(1.854-(1042/(L1343+459.6)))*(INDEX(FX_Input,Y$5,L$3*$Z$5+$AA$5-1)^0.5)+((2416/(L1343+459.6)-2.013)*LOG10(INDEX(FX_Input,Y$5,L$3*$Z$5+$AA$5)))-(8742/(L1343+459.6))+15.64),EXP(INDEX(Antoines,MATCH(L1334,Antoine_Name,0),2)-INDEX(Antoines,MATCH(L1334,Antoine_Name,0),3)/(L1343+459.6))))),0)</f>
        <v>7.8399882233967533E-3</v>
      </c>
      <c r="M1350" cm="1">
        <f t="array" ref="M1350">IFERROR(IF(M1335="Chemical",(10^(INDEX(Antoines,MATCH(M1334,Antoine_Name,0),2)-INDEX(Antoines,MATCH(M1334,Antoine_Name,0),3)/(INDEX(Antoines,MATCH(M1334,Antoine_Name,0),4)+(M1343-32)*5/9)))*14.7/760,IF(M1335="Crude Oil",EXP((2799/(M1343+459.6)-2.227)*LOG10(INDEX(FX_Input,Z$5,M$3*$Z$5+$AA$5))-(7261/(M1343+459.6))+12.82),IF(M1335="Refined Petroleum Stock",EXP((0.7553-(413/(M1343+459.6)))*(INDEX(FX_Input,Z$5,M$3*$Z$5+$AA$5-1)^0.5)*LOG10(INDEX(FX_Input,Z$5,M$3*$Z$5+$AA$5))-(1.854-(1042/(M1343+459.6)))*(INDEX(FX_Input,Z$5,M$3*$Z$5+$AA$5-1)^0.5)+((2416/(M1343+459.6)-2.013)*LOG10(INDEX(FX_Input,Z$5,M$3*$Z$5+$AA$5)))-(8742/(M1343+459.6))+15.64),EXP(INDEX(Antoines,MATCH(M1334,Antoine_Name,0),2)-INDEX(Antoines,MATCH(M1334,Antoine_Name,0),3)/(M1343+459.6))))),0)</f>
        <v>6.4173462075160911E-3</v>
      </c>
      <c r="N1350" cm="1">
        <f t="array" ref="N1350">IFERROR(IF(N1335="Chemical",(10^(INDEX(Antoines,MATCH(N1334,Antoine_Name,0),2)-INDEX(Antoines,MATCH(N1334,Antoine_Name,0),3)/(INDEX(Antoines,MATCH(N1334,Antoine_Name,0),4)+(N1343-32)*5/9)))*14.7/760,IF(N1335="Crude Oil",EXP((2799/(N1343+459.6)-2.227)*LOG10(INDEX(FX_Input,AA$5,N$3*$Z$5+$AA$5))-(7261/(N1343+459.6))+12.82),IF(N1335="Refined Petroleum Stock",EXP((0.7553-(413/(N1343+459.6)))*(INDEX(FX_Input,AA$5,N$3*$Z$5+$AA$5-1)^0.5)*LOG10(INDEX(FX_Input,AA$5,N$3*$Z$5+$AA$5))-(1.854-(1042/(N1343+459.6)))*(INDEX(FX_Input,AA$5,N$3*$Z$5+$AA$5-1)^0.5)+((2416/(N1343+459.6)-2.013)*LOG10(INDEX(FX_Input,AA$5,N$3*$Z$5+$AA$5)))-(8742/(N1343+459.6))+15.64),EXP(INDEX(Antoines,MATCH(N1334,Antoine_Name,0),2)-INDEX(Antoines,MATCH(N1334,Antoine_Name,0),3)/(N1343+459.6))))),0)</f>
        <v>5.3015226887581056E-3</v>
      </c>
      <c r="O1350" cm="1">
        <f t="array" ref="O1350">IFERROR(IF(O1335="Chemical",(10^(INDEX(Antoines,MATCH(O1334,Antoine_Name,0),2)-INDEX(Antoines,MATCH(O1334,Antoine_Name,0),3)/(INDEX(Antoines,MATCH(O1334,Antoine_Name,0),4)+(O1343-32)*5/9)))*14.7/760,IF(O1335="Crude Oil",EXP((2799/(O1343+459.6)-2.227)*LOG10(INDEX(FX_Input,AB$5,O$3*$Z$5+$AA$5))-(7261/(O1343+459.6))+12.82),IF(O1335="Refined Petroleum Stock",EXP((0.7553-(413/(O1343+459.6)))*(INDEX(FX_Input,AB$5,O$3*$Z$5+$AA$5-1)^0.5)*LOG10(INDEX(FX_Input,AB$5,O$3*$Z$5+$AA$5))-(1.854-(1042/(O1343+459.6)))*(INDEX(FX_Input,AB$5,O$3*$Z$5+$AA$5-1)^0.5)+((2416/(O1343+459.6)-2.013)*LOG10(INDEX(FX_Input,AB$5,O$3*$Z$5+$AA$5)))-(8742/(O1343+459.6))+15.64),EXP(INDEX(Antoines,MATCH(O1334,Antoine_Name,0),2)-INDEX(Antoines,MATCH(O1334,Antoine_Name,0),3)/(O1343+459.6))))),0)</f>
        <v>4.68970903600947E-3</v>
      </c>
    </row>
    <row r="1351" spans="2:15" ht="17.149999999999999" x14ac:dyDescent="0.55000000000000004">
      <c r="B1351" t="str">
        <f t="shared" si="4884"/>
        <v>Portland</v>
      </c>
      <c r="C1351" t="s">
        <v>580</v>
      </c>
      <c r="D1351">
        <f>D1350*D1338</f>
        <v>4.739577185808354E-3</v>
      </c>
      <c r="E1351">
        <f t="shared" ref="E1351" si="4918">E1350*E1338</f>
        <v>4.8748667780818778E-3</v>
      </c>
      <c r="F1351">
        <f t="shared" ref="F1351" si="4919">F1350*F1338</f>
        <v>5.119885034186122E-3</v>
      </c>
      <c r="G1351">
        <f t="shared" ref="G1351" si="4920">G1350*G1338</f>
        <v>5.5846958573521795E-3</v>
      </c>
      <c r="H1351">
        <f t="shared" ref="H1351" si="4921">H1350*H1338</f>
        <v>6.5274070972739821E-3</v>
      </c>
      <c r="I1351">
        <f t="shared" ref="I1351" si="4922">I1350*I1338</f>
        <v>7.4199539958878279E-3</v>
      </c>
      <c r="J1351">
        <f t="shared" ref="J1351" si="4923">J1350*J1338</f>
        <v>8.3358107202842254E-3</v>
      </c>
      <c r="K1351">
        <f t="shared" ref="K1351" si="4924">K1350*K1338</f>
        <v>8.4605262729351115E-3</v>
      </c>
      <c r="L1351">
        <f t="shared" ref="L1351" si="4925">L1350*L1338</f>
        <v>7.8399882233967533E-3</v>
      </c>
      <c r="M1351">
        <f t="shared" ref="M1351" si="4926">M1350*M1338</f>
        <v>6.4173462075160911E-3</v>
      </c>
      <c r="N1351">
        <f t="shared" ref="N1351" si="4927">N1350*N1338</f>
        <v>5.3015226887581056E-3</v>
      </c>
      <c r="O1351">
        <f t="shared" ref="O1351" si="4928">O1350*O1338</f>
        <v>4.68970903600947E-3</v>
      </c>
    </row>
    <row r="1352" spans="2:15" ht="17.149999999999999" x14ac:dyDescent="0.55000000000000004">
      <c r="B1352" t="str">
        <f t="shared" si="4884"/>
        <v>Portland</v>
      </c>
      <c r="C1352" t="s">
        <v>581</v>
      </c>
      <c r="D1352" cm="1">
        <f t="array" ref="D1352">IFERROR(IF(D1337="Chemical",(10^(INDEX(Antoines,MATCH(D1336,Antoine_Name,0),2)-INDEX(Antoines,MATCH(D1336,Antoine_Name,0),3)/(INDEX(Antoines,MATCH(D1336,Antoine_Name,0),4)+(D1343-32)*5/9)))*14.7/760,IF(D1337="Crude Oil",EXP((2799/(D1343+459.6)-2.227)*LOG10(INDEX(FX_Input,Q$5,D$3*$Z$5+$AA$5))-(7261/(D1343+459.6))+12.82),IF(D1337="Refined Petroleum Stock",EXP((0.7553-(413/(D1343+459.6)))*(INDEX(FX_Input,Q$5,D$3*$Z$5+$AA$5-1)^0.5)*LOG10(INDEX(FX_Input,Q$5,D$3*$Z$5+$AA$5))-(1.854-(1042/(D1343+459.6)))*(INDEX(FX_Input,Q$5,D$3*$Z$5+$AA$5-1)^0.5)+((2416/(D1343+459.6)-2.013)*LOG10(INDEX(FX_Input,Q$5,D$3*$Z$5+$AA$5)))-(8742/(D1343+459.6))+15.64),EXP(INDEX(Antoines,MATCH(D1336,Antoine_Name,0),2)-INDEX(Antoines,MATCH(D1336,Antoine_Name,0),3)/(D1343+459.6))))),0)</f>
        <v>0</v>
      </c>
      <c r="E1352" cm="1">
        <f t="array" ref="E1352">IFERROR(IF(E1337="Chemical",(10^(INDEX(Antoines,MATCH(E1336,Antoine_Name,0),2)-INDEX(Antoines,MATCH(E1336,Antoine_Name,0),3)/(INDEX(Antoines,MATCH(E1336,Antoine_Name,0),4)+(E1343-32)*5/9)))*14.7/760,IF(E1337="Crude Oil",EXP((2799/(E1343+459.6)-2.227)*LOG10(INDEX(FX_Input,R$5,E$3*$Z$5+$AA$5))-(7261/(E1343+459.6))+12.82),IF(E1337="Refined Petroleum Stock",EXP((0.7553-(413/(E1343+459.6)))*(INDEX(FX_Input,R$5,E$3*$Z$5+$AA$5-1)^0.5)*LOG10(INDEX(FX_Input,R$5,E$3*$Z$5+$AA$5))-(1.854-(1042/(E1343+459.6)))*(INDEX(FX_Input,R$5,E$3*$Z$5+$AA$5-1)^0.5)+((2416/(E1343+459.6)-2.013)*LOG10(INDEX(FX_Input,R$5,E$3*$Z$5+$AA$5)))-(8742/(E1343+459.6))+15.64),EXP(INDEX(Antoines,MATCH(E1336,Antoine_Name,0),2)-INDEX(Antoines,MATCH(E1336,Antoine_Name,0),3)/(E1343+459.6))))),0)</f>
        <v>0</v>
      </c>
      <c r="F1352" cm="1">
        <f t="array" ref="F1352">IFERROR(IF(F1337="Chemical",(10^(INDEX(Antoines,MATCH(F1336,Antoine_Name,0),2)-INDEX(Antoines,MATCH(F1336,Antoine_Name,0),3)/(INDEX(Antoines,MATCH(F1336,Antoine_Name,0),4)+(F1343-32)*5/9)))*14.7/760,IF(F1337="Crude Oil",EXP((2799/(F1343+459.6)-2.227)*LOG10(INDEX(FX_Input,S$5,F$3*$Z$5+$AA$5))-(7261/(F1343+459.6))+12.82),IF(F1337="Refined Petroleum Stock",EXP((0.7553-(413/(F1343+459.6)))*(INDEX(FX_Input,S$5,F$3*$Z$5+$AA$5-1)^0.5)*LOG10(INDEX(FX_Input,S$5,F$3*$Z$5+$AA$5))-(1.854-(1042/(F1343+459.6)))*(INDEX(FX_Input,S$5,F$3*$Z$5+$AA$5-1)^0.5)+((2416/(F1343+459.6)-2.013)*LOG10(INDEX(FX_Input,S$5,F$3*$Z$5+$AA$5)))-(8742/(F1343+459.6))+15.64),EXP(INDEX(Antoines,MATCH(F1336,Antoine_Name,0),2)-INDEX(Antoines,MATCH(F1336,Antoine_Name,0),3)/(F1343+459.6))))),0)</f>
        <v>0</v>
      </c>
      <c r="G1352" cm="1">
        <f t="array" ref="G1352">IFERROR(IF(G1337="Chemical",(10^(INDEX(Antoines,MATCH(G1336,Antoine_Name,0),2)-INDEX(Antoines,MATCH(G1336,Antoine_Name,0),3)/(INDEX(Antoines,MATCH(G1336,Antoine_Name,0),4)+(G1343-32)*5/9)))*14.7/760,IF(G1337="Crude Oil",EXP((2799/(G1343+459.6)-2.227)*LOG10(INDEX(FX_Input,T$5,G$3*$Z$5+$AA$5))-(7261/(G1343+459.6))+12.82),IF(G1337="Refined Petroleum Stock",EXP((0.7553-(413/(G1343+459.6)))*(INDEX(FX_Input,T$5,G$3*$Z$5+$AA$5-1)^0.5)*LOG10(INDEX(FX_Input,T$5,G$3*$Z$5+$AA$5))-(1.854-(1042/(G1343+459.6)))*(INDEX(FX_Input,T$5,G$3*$Z$5+$AA$5-1)^0.5)+((2416/(G1343+459.6)-2.013)*LOG10(INDEX(FX_Input,T$5,G$3*$Z$5+$AA$5)))-(8742/(G1343+459.6))+15.64),EXP(INDEX(Antoines,MATCH(G1336,Antoine_Name,0),2)-INDEX(Antoines,MATCH(G1336,Antoine_Name,0),3)/(G1343+459.6))))),0)</f>
        <v>0</v>
      </c>
      <c r="H1352" cm="1">
        <f t="array" ref="H1352">IFERROR(IF(H1337="Chemical",(10^(INDEX(Antoines,MATCH(H1336,Antoine_Name,0),2)-INDEX(Antoines,MATCH(H1336,Antoine_Name,0),3)/(INDEX(Antoines,MATCH(H1336,Antoine_Name,0),4)+(H1343-32)*5/9)))*14.7/760,IF(H1337="Crude Oil",EXP((2799/(H1343+459.6)-2.227)*LOG10(INDEX(FX_Input,U$5,H$3*$Z$5+$AA$5))-(7261/(H1343+459.6))+12.82),IF(H1337="Refined Petroleum Stock",EXP((0.7553-(413/(H1343+459.6)))*(INDEX(FX_Input,U$5,H$3*$Z$5+$AA$5-1)^0.5)*LOG10(INDEX(FX_Input,U$5,H$3*$Z$5+$AA$5))-(1.854-(1042/(H1343+459.6)))*(INDEX(FX_Input,U$5,H$3*$Z$5+$AA$5-1)^0.5)+((2416/(H1343+459.6)-2.013)*LOG10(INDEX(FX_Input,U$5,H$3*$Z$5+$AA$5)))-(8742/(H1343+459.6))+15.64),EXP(INDEX(Antoines,MATCH(H1336,Antoine_Name,0),2)-INDEX(Antoines,MATCH(H1336,Antoine_Name,0),3)/(H1343+459.6))))),0)</f>
        <v>0</v>
      </c>
      <c r="I1352" cm="1">
        <f t="array" ref="I1352">IFERROR(IF(I1337="Chemical",(10^(INDEX(Antoines,MATCH(I1336,Antoine_Name,0),2)-INDEX(Antoines,MATCH(I1336,Antoine_Name,0),3)/(INDEX(Antoines,MATCH(I1336,Antoine_Name,0),4)+(I1343-32)*5/9)))*14.7/760,IF(I1337="Crude Oil",EXP((2799/(I1343+459.6)-2.227)*LOG10(INDEX(FX_Input,V$5,I$3*$Z$5+$AA$5))-(7261/(I1343+459.6))+12.82),IF(I1337="Refined Petroleum Stock",EXP((0.7553-(413/(I1343+459.6)))*(INDEX(FX_Input,V$5,I$3*$Z$5+$AA$5-1)^0.5)*LOG10(INDEX(FX_Input,V$5,I$3*$Z$5+$AA$5))-(1.854-(1042/(I1343+459.6)))*(INDEX(FX_Input,V$5,I$3*$Z$5+$AA$5-1)^0.5)+((2416/(I1343+459.6)-2.013)*LOG10(INDEX(FX_Input,V$5,I$3*$Z$5+$AA$5)))-(8742/(I1343+459.6))+15.64),EXP(INDEX(Antoines,MATCH(I1336,Antoine_Name,0),2)-INDEX(Antoines,MATCH(I1336,Antoine_Name,0),3)/(I1343+459.6))))),0)</f>
        <v>0</v>
      </c>
      <c r="J1352" cm="1">
        <f t="array" ref="J1352">IFERROR(IF(J1337="Chemical",(10^(INDEX(Antoines,MATCH(J1336,Antoine_Name,0),2)-INDEX(Antoines,MATCH(J1336,Antoine_Name,0),3)/(INDEX(Antoines,MATCH(J1336,Antoine_Name,0),4)+(J1343-32)*5/9)))*14.7/760,IF(J1337="Crude Oil",EXP((2799/(J1343+459.6)-2.227)*LOG10(INDEX(FX_Input,W$5,J$3*$Z$5+$AA$5))-(7261/(J1343+459.6))+12.82),IF(J1337="Refined Petroleum Stock",EXP((0.7553-(413/(J1343+459.6)))*(INDEX(FX_Input,W$5,J$3*$Z$5+$AA$5-1)^0.5)*LOG10(INDEX(FX_Input,W$5,J$3*$Z$5+$AA$5))-(1.854-(1042/(J1343+459.6)))*(INDEX(FX_Input,W$5,J$3*$Z$5+$AA$5-1)^0.5)+((2416/(J1343+459.6)-2.013)*LOG10(INDEX(FX_Input,W$5,J$3*$Z$5+$AA$5)))-(8742/(J1343+459.6))+15.64),EXP(INDEX(Antoines,MATCH(J1336,Antoine_Name,0),2)-INDEX(Antoines,MATCH(J1336,Antoine_Name,0),3)/(J1343+459.6))))),0)</f>
        <v>0</v>
      </c>
      <c r="K1352" cm="1">
        <f t="array" ref="K1352">IFERROR(IF(K1337="Chemical",(10^(INDEX(Antoines,MATCH(K1336,Antoine_Name,0),2)-INDEX(Antoines,MATCH(K1336,Antoine_Name,0),3)/(INDEX(Antoines,MATCH(K1336,Antoine_Name,0),4)+(K1343-32)*5/9)))*14.7/760,IF(K1337="Crude Oil",EXP((2799/(K1343+459.6)-2.227)*LOG10(INDEX(FX_Input,X$5,K$3*$Z$5+$AA$5))-(7261/(K1343+459.6))+12.82),IF(K1337="Refined Petroleum Stock",EXP((0.7553-(413/(K1343+459.6)))*(INDEX(FX_Input,X$5,K$3*$Z$5+$AA$5-1)^0.5)*LOG10(INDEX(FX_Input,X$5,K$3*$Z$5+$AA$5))-(1.854-(1042/(K1343+459.6)))*(INDEX(FX_Input,X$5,K$3*$Z$5+$AA$5-1)^0.5)+((2416/(K1343+459.6)-2.013)*LOG10(INDEX(FX_Input,X$5,K$3*$Z$5+$AA$5)))-(8742/(K1343+459.6))+15.64),EXP(INDEX(Antoines,MATCH(K1336,Antoine_Name,0),2)-INDEX(Antoines,MATCH(K1336,Antoine_Name,0),3)/(K1343+459.6))))),0)</f>
        <v>0</v>
      </c>
      <c r="L1352" cm="1">
        <f t="array" ref="L1352">IFERROR(IF(L1337="Chemical",(10^(INDEX(Antoines,MATCH(L1336,Antoine_Name,0),2)-INDEX(Antoines,MATCH(L1336,Antoine_Name,0),3)/(INDEX(Antoines,MATCH(L1336,Antoine_Name,0),4)+(L1343-32)*5/9)))*14.7/760,IF(L1337="Crude Oil",EXP((2799/(L1343+459.6)-2.227)*LOG10(INDEX(FX_Input,Y$5,L$3*$Z$5+$AA$5))-(7261/(L1343+459.6))+12.82),IF(L1337="Refined Petroleum Stock",EXP((0.7553-(413/(L1343+459.6)))*(INDEX(FX_Input,Y$5,L$3*$Z$5+$AA$5-1)^0.5)*LOG10(INDEX(FX_Input,Y$5,L$3*$Z$5+$AA$5))-(1.854-(1042/(L1343+459.6)))*(INDEX(FX_Input,Y$5,L$3*$Z$5+$AA$5-1)^0.5)+((2416/(L1343+459.6)-2.013)*LOG10(INDEX(FX_Input,Y$5,L$3*$Z$5+$AA$5)))-(8742/(L1343+459.6))+15.64),EXP(INDEX(Antoines,MATCH(L1336,Antoine_Name,0),2)-INDEX(Antoines,MATCH(L1336,Antoine_Name,0),3)/(L1343+459.6))))),0)</f>
        <v>0</v>
      </c>
      <c r="M1352" cm="1">
        <f t="array" ref="M1352">IFERROR(IF(M1337="Chemical",(10^(INDEX(Antoines,MATCH(M1336,Antoine_Name,0),2)-INDEX(Antoines,MATCH(M1336,Antoine_Name,0),3)/(INDEX(Antoines,MATCH(M1336,Antoine_Name,0),4)+(M1343-32)*5/9)))*14.7/760,IF(M1337="Crude Oil",EXP((2799/(M1343+459.6)-2.227)*LOG10(INDEX(FX_Input,Z$5,M$3*$Z$5+$AA$5))-(7261/(M1343+459.6))+12.82),IF(M1337="Refined Petroleum Stock",EXP((0.7553-(413/(M1343+459.6)))*(INDEX(FX_Input,Z$5,M$3*$Z$5+$AA$5-1)^0.5)*LOG10(INDEX(FX_Input,Z$5,M$3*$Z$5+$AA$5))-(1.854-(1042/(M1343+459.6)))*(INDEX(FX_Input,Z$5,M$3*$Z$5+$AA$5-1)^0.5)+((2416/(M1343+459.6)-2.013)*LOG10(INDEX(FX_Input,Z$5,M$3*$Z$5+$AA$5)))-(8742/(M1343+459.6))+15.64),EXP(INDEX(Antoines,MATCH(M1336,Antoine_Name,0),2)-INDEX(Antoines,MATCH(M1336,Antoine_Name,0),3)/(M1343+459.6))))),0)</f>
        <v>0</v>
      </c>
      <c r="N1352" cm="1">
        <f t="array" ref="N1352">IFERROR(IF(N1337="Chemical",(10^(INDEX(Antoines,MATCH(N1336,Antoine_Name,0),2)-INDEX(Antoines,MATCH(N1336,Antoine_Name,0),3)/(INDEX(Antoines,MATCH(N1336,Antoine_Name,0),4)+(N1343-32)*5/9)))*14.7/760,IF(N1337="Crude Oil",EXP((2799/(N1343+459.6)-2.227)*LOG10(INDEX(FX_Input,AA$5,N$3*$Z$5+$AA$5))-(7261/(N1343+459.6))+12.82),IF(N1337="Refined Petroleum Stock",EXP((0.7553-(413/(N1343+459.6)))*(INDEX(FX_Input,AA$5,N$3*$Z$5+$AA$5-1)^0.5)*LOG10(INDEX(FX_Input,AA$5,N$3*$Z$5+$AA$5))-(1.854-(1042/(N1343+459.6)))*(INDEX(FX_Input,AA$5,N$3*$Z$5+$AA$5-1)^0.5)+((2416/(N1343+459.6)-2.013)*LOG10(INDEX(FX_Input,AA$5,N$3*$Z$5+$AA$5)))-(8742/(N1343+459.6))+15.64),EXP(INDEX(Antoines,MATCH(N1336,Antoine_Name,0),2)-INDEX(Antoines,MATCH(N1336,Antoine_Name,0),3)/(N1343+459.6))))),0)</f>
        <v>0</v>
      </c>
      <c r="O1352" cm="1">
        <f t="array" ref="O1352">IFERROR(IF(O1337="Chemical",(10^(INDEX(Antoines,MATCH(O1336,Antoine_Name,0),2)-INDEX(Antoines,MATCH(O1336,Antoine_Name,0),3)/(INDEX(Antoines,MATCH(O1336,Antoine_Name,0),4)+(O1343-32)*5/9)))*14.7/760,IF(O1337="Crude Oil",EXP((2799/(O1343+459.6)-2.227)*LOG10(INDEX(FX_Input,AB$5,O$3*$Z$5+$AA$5))-(7261/(O1343+459.6))+12.82),IF(O1337="Refined Petroleum Stock",EXP((0.7553-(413/(O1343+459.6)))*(INDEX(FX_Input,AB$5,O$3*$Z$5+$AA$5-1)^0.5)*LOG10(INDEX(FX_Input,AB$5,O$3*$Z$5+$AA$5))-(1.854-(1042/(O1343+459.6)))*(INDEX(FX_Input,AB$5,O$3*$Z$5+$AA$5-1)^0.5)+((2416/(O1343+459.6)-2.013)*LOG10(INDEX(FX_Input,AB$5,O$3*$Z$5+$AA$5)))-(8742/(O1343+459.6))+15.64),EXP(INDEX(Antoines,MATCH(O1336,Antoine_Name,0),2)-INDEX(Antoines,MATCH(O1336,Antoine_Name,0),3)/(O1343+459.6))))),0)</f>
        <v>0</v>
      </c>
    </row>
    <row r="1353" spans="2:15" ht="17.149999999999999" x14ac:dyDescent="0.55000000000000004">
      <c r="B1353" t="str">
        <f t="shared" si="4884"/>
        <v>Portland</v>
      </c>
      <c r="C1353" t="s">
        <v>582</v>
      </c>
      <c r="D1353">
        <f>D1352*D1340</f>
        <v>0</v>
      </c>
      <c r="E1353">
        <f t="shared" ref="E1353" si="4929">E1352*E1340</f>
        <v>0</v>
      </c>
      <c r="F1353">
        <f t="shared" ref="F1353" si="4930">F1352*F1340</f>
        <v>0</v>
      </c>
      <c r="G1353">
        <f t="shared" ref="G1353" si="4931">G1352*G1340</f>
        <v>0</v>
      </c>
      <c r="H1353">
        <f t="shared" ref="H1353" si="4932">H1352*H1340</f>
        <v>0</v>
      </c>
      <c r="I1353">
        <f t="shared" ref="I1353" si="4933">I1352*I1340</f>
        <v>0</v>
      </c>
      <c r="J1353">
        <f t="shared" ref="J1353" si="4934">J1352*J1340</f>
        <v>0</v>
      </c>
      <c r="K1353">
        <f t="shared" ref="K1353" si="4935">K1352*K1340</f>
        <v>0</v>
      </c>
      <c r="L1353">
        <f t="shared" ref="L1353" si="4936">L1352*L1340</f>
        <v>0</v>
      </c>
      <c r="M1353">
        <f t="shared" ref="M1353" si="4937">M1352*M1340</f>
        <v>0</v>
      </c>
      <c r="N1353">
        <f t="shared" ref="N1353" si="4938">N1352*N1340</f>
        <v>0</v>
      </c>
      <c r="O1353">
        <f t="shared" ref="O1353" si="4939">O1352*O1340</f>
        <v>0</v>
      </c>
    </row>
    <row r="1354" spans="2:15" ht="17.149999999999999" x14ac:dyDescent="0.55000000000000004">
      <c r="B1354" t="str">
        <f t="shared" si="4884"/>
        <v>Portland</v>
      </c>
      <c r="C1354" t="s">
        <v>583</v>
      </c>
      <c r="D1354">
        <f>D1351+D1353</f>
        <v>4.739577185808354E-3</v>
      </c>
      <c r="E1354">
        <f t="shared" ref="E1354" si="4940">E1351+E1353</f>
        <v>4.8748667780818778E-3</v>
      </c>
      <c r="F1354">
        <f t="shared" ref="F1354" si="4941">F1351+F1353</f>
        <v>5.119885034186122E-3</v>
      </c>
      <c r="G1354">
        <f t="shared" ref="G1354" si="4942">G1351+G1353</f>
        <v>5.5846958573521795E-3</v>
      </c>
      <c r="H1354">
        <f t="shared" ref="H1354" si="4943">H1351+H1353</f>
        <v>6.5274070972739821E-3</v>
      </c>
      <c r="I1354">
        <f t="shared" ref="I1354" si="4944">I1351+I1353</f>
        <v>7.4199539958878279E-3</v>
      </c>
      <c r="J1354">
        <f t="shared" ref="J1354" si="4945">J1351+J1353</f>
        <v>8.3358107202842254E-3</v>
      </c>
      <c r="K1354">
        <f t="shared" ref="K1354" si="4946">K1351+K1353</f>
        <v>8.4605262729351115E-3</v>
      </c>
      <c r="L1354">
        <f t="shared" ref="L1354" si="4947">L1351+L1353</f>
        <v>7.8399882233967533E-3</v>
      </c>
      <c r="M1354">
        <f t="shared" ref="M1354" si="4948">M1351+M1353</f>
        <v>6.4173462075160911E-3</v>
      </c>
      <c r="N1354">
        <f t="shared" ref="N1354" si="4949">N1351+N1353</f>
        <v>5.3015226887581056E-3</v>
      </c>
      <c r="O1354">
        <f t="shared" ref="O1354" si="4950">O1351+O1353</f>
        <v>4.68970903600947E-3</v>
      </c>
    </row>
    <row r="1355" spans="2:15" ht="17.149999999999999" x14ac:dyDescent="0.55000000000000004">
      <c r="B1355" t="str">
        <f t="shared" si="4884"/>
        <v>Portland</v>
      </c>
      <c r="C1355" t="s">
        <v>1388</v>
      </c>
      <c r="D1355" cm="1">
        <f t="array" ref="D1355">IFERROR(IF(D1335="Chemical",(10^(INDEX(Antoines,MATCH(D1334,Antoine_Name,0),2)-INDEX(Antoines,MATCH(D1334,Antoine_Name,0),3)/(INDEX(Antoines,MATCH(D1334,Antoine_Name,0),4)+(D1344-32)*5/9)))*14.7/760,IF(D1335="Crude Oil",EXP((2799/(D1344+459.6)-2.227)*LOG10(INDEX(FX_Input,Q$5,D$3*$Z$5+$AA$5))-(7261/(D1344+459.6))+12.82),IF(D1335="Refined Petroleum Stock",EXP((0.7553-(413/(D1344+459.6)))*(INDEX(FX_Input,Q$5,D$3*$Z$5+$AA$5-1)^0.5)*LOG10(INDEX(FX_Input,Q$5,D$3*$Z$5+$AA$5))-(1.854-(1042/(D1344+459.6)))*(INDEX(FX_Input,Q$5,D$3*$Z$5+$AA$5-1)^0.5)+((2416/(D1344+459.6)-2.013)*LOG10(INDEX(FX_Input,Q$5,D$3*$Z$5+$AA$5)))-(8742/(D1344+459.6))+15.64),EXP(INDEX(Antoines,MATCH(D1334,Antoine_Name,0),2)-INDEX(Antoines,MATCH(D1334,Antoine_Name,0),3)/(D1344+459.6))))),0)</f>
        <v>4.739577185808354E-3</v>
      </c>
      <c r="E1355" cm="1">
        <f t="array" ref="E1355">IFERROR(IF(E1335="Chemical",(10^(INDEX(Antoines,MATCH(E1334,Antoine_Name,0),2)-INDEX(Antoines,MATCH(E1334,Antoine_Name,0),3)/(INDEX(Antoines,MATCH(E1334,Antoine_Name,0),4)+(E1344-32)*5/9)))*14.7/760,IF(E1335="Crude Oil",EXP((2799/(E1344+459.6)-2.227)*LOG10(INDEX(FX_Input,R$5,E$3*$Z$5+$AA$5))-(7261/(E1344+459.6))+12.82),IF(E1335="Refined Petroleum Stock",EXP((0.7553-(413/(E1344+459.6)))*(INDEX(FX_Input,R$5,E$3*$Z$5+$AA$5-1)^0.5)*LOG10(INDEX(FX_Input,R$5,E$3*$Z$5+$AA$5))-(1.854-(1042/(E1344+459.6)))*(INDEX(FX_Input,R$5,E$3*$Z$5+$AA$5-1)^0.5)+((2416/(E1344+459.6)-2.013)*LOG10(INDEX(FX_Input,R$5,E$3*$Z$5+$AA$5)))-(8742/(E1344+459.6))+15.64),EXP(INDEX(Antoines,MATCH(E1334,Antoine_Name,0),2)-INDEX(Antoines,MATCH(E1334,Antoine_Name,0),3)/(E1344+459.6))))),0)</f>
        <v>4.8748667780818778E-3</v>
      </c>
      <c r="F1355" cm="1">
        <f t="array" ref="F1355">IFERROR(IF(F1335="Chemical",(10^(INDEX(Antoines,MATCH(F1334,Antoine_Name,0),2)-INDEX(Antoines,MATCH(F1334,Antoine_Name,0),3)/(INDEX(Antoines,MATCH(F1334,Antoine_Name,0),4)+(F1344-32)*5/9)))*14.7/760,IF(F1335="Crude Oil",EXP((2799/(F1344+459.6)-2.227)*LOG10(INDEX(FX_Input,S$5,F$3*$Z$5+$AA$5))-(7261/(F1344+459.6))+12.82),IF(F1335="Refined Petroleum Stock",EXP((0.7553-(413/(F1344+459.6)))*(INDEX(FX_Input,S$5,F$3*$Z$5+$AA$5-1)^0.5)*LOG10(INDEX(FX_Input,S$5,F$3*$Z$5+$AA$5))-(1.854-(1042/(F1344+459.6)))*(INDEX(FX_Input,S$5,F$3*$Z$5+$AA$5-1)^0.5)+((2416/(F1344+459.6)-2.013)*LOG10(INDEX(FX_Input,S$5,F$3*$Z$5+$AA$5)))-(8742/(F1344+459.6))+15.64),EXP(INDEX(Antoines,MATCH(F1334,Antoine_Name,0),2)-INDEX(Antoines,MATCH(F1334,Antoine_Name,0),3)/(F1344+459.6))))),0)</f>
        <v>5.119885034186122E-3</v>
      </c>
      <c r="G1355" cm="1">
        <f t="array" ref="G1355">IFERROR(IF(G1335="Chemical",(10^(INDEX(Antoines,MATCH(G1334,Antoine_Name,0),2)-INDEX(Antoines,MATCH(G1334,Antoine_Name,0),3)/(INDEX(Antoines,MATCH(G1334,Antoine_Name,0),4)+(G1344-32)*5/9)))*14.7/760,IF(G1335="Crude Oil",EXP((2799/(G1344+459.6)-2.227)*LOG10(INDEX(FX_Input,T$5,G$3*$Z$5+$AA$5))-(7261/(G1344+459.6))+12.82),IF(G1335="Refined Petroleum Stock",EXP((0.7553-(413/(G1344+459.6)))*(INDEX(FX_Input,T$5,G$3*$Z$5+$AA$5-1)^0.5)*LOG10(INDEX(FX_Input,T$5,G$3*$Z$5+$AA$5))-(1.854-(1042/(G1344+459.6)))*(INDEX(FX_Input,T$5,G$3*$Z$5+$AA$5-1)^0.5)+((2416/(G1344+459.6)-2.013)*LOG10(INDEX(FX_Input,T$5,G$3*$Z$5+$AA$5)))-(8742/(G1344+459.6))+15.64),EXP(INDEX(Antoines,MATCH(G1334,Antoine_Name,0),2)-INDEX(Antoines,MATCH(G1334,Antoine_Name,0),3)/(G1344+459.6))))),0)</f>
        <v>5.5846958573521795E-3</v>
      </c>
      <c r="H1355" cm="1">
        <f t="array" ref="H1355">IFERROR(IF(H1335="Chemical",(10^(INDEX(Antoines,MATCH(H1334,Antoine_Name,0),2)-INDEX(Antoines,MATCH(H1334,Antoine_Name,0),3)/(INDEX(Antoines,MATCH(H1334,Antoine_Name,0),4)+(H1344-32)*5/9)))*14.7/760,IF(H1335="Crude Oil",EXP((2799/(H1344+459.6)-2.227)*LOG10(INDEX(FX_Input,U$5,H$3*$Z$5+$AA$5))-(7261/(H1344+459.6))+12.82),IF(H1335="Refined Petroleum Stock",EXP((0.7553-(413/(H1344+459.6)))*(INDEX(FX_Input,U$5,H$3*$Z$5+$AA$5-1)^0.5)*LOG10(INDEX(FX_Input,U$5,H$3*$Z$5+$AA$5))-(1.854-(1042/(H1344+459.6)))*(INDEX(FX_Input,U$5,H$3*$Z$5+$AA$5-1)^0.5)+((2416/(H1344+459.6)-2.013)*LOG10(INDEX(FX_Input,U$5,H$3*$Z$5+$AA$5)))-(8742/(H1344+459.6))+15.64),EXP(INDEX(Antoines,MATCH(H1334,Antoine_Name,0),2)-INDEX(Antoines,MATCH(H1334,Antoine_Name,0),3)/(H1344+459.6))))),0)</f>
        <v>6.5274070972739821E-3</v>
      </c>
      <c r="I1355" cm="1">
        <f t="array" ref="I1355">IFERROR(IF(I1335="Chemical",(10^(INDEX(Antoines,MATCH(I1334,Antoine_Name,0),2)-INDEX(Antoines,MATCH(I1334,Antoine_Name,0),3)/(INDEX(Antoines,MATCH(I1334,Antoine_Name,0),4)+(I1344-32)*5/9)))*14.7/760,IF(I1335="Crude Oil",EXP((2799/(I1344+459.6)-2.227)*LOG10(INDEX(FX_Input,V$5,I$3*$Z$5+$AA$5))-(7261/(I1344+459.6))+12.82),IF(I1335="Refined Petroleum Stock",EXP((0.7553-(413/(I1344+459.6)))*(INDEX(FX_Input,V$5,I$3*$Z$5+$AA$5-1)^0.5)*LOG10(INDEX(FX_Input,V$5,I$3*$Z$5+$AA$5))-(1.854-(1042/(I1344+459.6)))*(INDEX(FX_Input,V$5,I$3*$Z$5+$AA$5-1)^0.5)+((2416/(I1344+459.6)-2.013)*LOG10(INDEX(FX_Input,V$5,I$3*$Z$5+$AA$5)))-(8742/(I1344+459.6))+15.64),EXP(INDEX(Antoines,MATCH(I1334,Antoine_Name,0),2)-INDEX(Antoines,MATCH(I1334,Antoine_Name,0),3)/(I1344+459.6))))),0)</f>
        <v>7.4199539958878279E-3</v>
      </c>
      <c r="J1355" cm="1">
        <f t="array" ref="J1355">IFERROR(IF(J1335="Chemical",(10^(INDEX(Antoines,MATCH(J1334,Antoine_Name,0),2)-INDEX(Antoines,MATCH(J1334,Antoine_Name,0),3)/(INDEX(Antoines,MATCH(J1334,Antoine_Name,0),4)+(J1344-32)*5/9)))*14.7/760,IF(J1335="Crude Oil",EXP((2799/(J1344+459.6)-2.227)*LOG10(INDEX(FX_Input,W$5,J$3*$Z$5+$AA$5))-(7261/(J1344+459.6))+12.82),IF(J1335="Refined Petroleum Stock",EXP((0.7553-(413/(J1344+459.6)))*(INDEX(FX_Input,W$5,J$3*$Z$5+$AA$5-1)^0.5)*LOG10(INDEX(FX_Input,W$5,J$3*$Z$5+$AA$5))-(1.854-(1042/(J1344+459.6)))*(INDEX(FX_Input,W$5,J$3*$Z$5+$AA$5-1)^0.5)+((2416/(J1344+459.6)-2.013)*LOG10(INDEX(FX_Input,W$5,J$3*$Z$5+$AA$5)))-(8742/(J1344+459.6))+15.64),EXP(INDEX(Antoines,MATCH(J1334,Antoine_Name,0),2)-INDEX(Antoines,MATCH(J1334,Antoine_Name,0),3)/(J1344+459.6))))),0)</f>
        <v>8.3358107202842254E-3</v>
      </c>
      <c r="K1355" cm="1">
        <f t="array" ref="K1355">IFERROR(IF(K1335="Chemical",(10^(INDEX(Antoines,MATCH(K1334,Antoine_Name,0),2)-INDEX(Antoines,MATCH(K1334,Antoine_Name,0),3)/(INDEX(Antoines,MATCH(K1334,Antoine_Name,0),4)+(K1344-32)*5/9)))*14.7/760,IF(K1335="Crude Oil",EXP((2799/(K1344+459.6)-2.227)*LOG10(INDEX(FX_Input,X$5,K$3*$Z$5+$AA$5))-(7261/(K1344+459.6))+12.82),IF(K1335="Refined Petroleum Stock",EXP((0.7553-(413/(K1344+459.6)))*(INDEX(FX_Input,X$5,K$3*$Z$5+$AA$5-1)^0.5)*LOG10(INDEX(FX_Input,X$5,K$3*$Z$5+$AA$5))-(1.854-(1042/(K1344+459.6)))*(INDEX(FX_Input,X$5,K$3*$Z$5+$AA$5-1)^0.5)+((2416/(K1344+459.6)-2.013)*LOG10(INDEX(FX_Input,X$5,K$3*$Z$5+$AA$5)))-(8742/(K1344+459.6))+15.64),EXP(INDEX(Antoines,MATCH(K1334,Antoine_Name,0),2)-INDEX(Antoines,MATCH(K1334,Antoine_Name,0),3)/(K1344+459.6))))),0)</f>
        <v>8.4605262729351115E-3</v>
      </c>
      <c r="L1355" cm="1">
        <f t="array" ref="L1355">IFERROR(IF(L1335="Chemical",(10^(INDEX(Antoines,MATCH(L1334,Antoine_Name,0),2)-INDEX(Antoines,MATCH(L1334,Antoine_Name,0),3)/(INDEX(Antoines,MATCH(L1334,Antoine_Name,0),4)+(L1344-32)*5/9)))*14.7/760,IF(L1335="Crude Oil",EXP((2799/(L1344+459.6)-2.227)*LOG10(INDEX(FX_Input,Y$5,L$3*$Z$5+$AA$5))-(7261/(L1344+459.6))+12.82),IF(L1335="Refined Petroleum Stock",EXP((0.7553-(413/(L1344+459.6)))*(INDEX(FX_Input,Y$5,L$3*$Z$5+$AA$5-1)^0.5)*LOG10(INDEX(FX_Input,Y$5,L$3*$Z$5+$AA$5))-(1.854-(1042/(L1344+459.6)))*(INDEX(FX_Input,Y$5,L$3*$Z$5+$AA$5-1)^0.5)+((2416/(L1344+459.6)-2.013)*LOG10(INDEX(FX_Input,Y$5,L$3*$Z$5+$AA$5)))-(8742/(L1344+459.6))+15.64),EXP(INDEX(Antoines,MATCH(L1334,Antoine_Name,0),2)-INDEX(Antoines,MATCH(L1334,Antoine_Name,0),3)/(L1344+459.6))))),0)</f>
        <v>7.8399882233967533E-3</v>
      </c>
      <c r="M1355" cm="1">
        <f t="array" ref="M1355">IFERROR(IF(M1335="Chemical",(10^(INDEX(Antoines,MATCH(M1334,Antoine_Name,0),2)-INDEX(Antoines,MATCH(M1334,Antoine_Name,0),3)/(INDEX(Antoines,MATCH(M1334,Antoine_Name,0),4)+(M1344-32)*5/9)))*14.7/760,IF(M1335="Crude Oil",EXP((2799/(M1344+459.6)-2.227)*LOG10(INDEX(FX_Input,Z$5,M$3*$Z$5+$AA$5))-(7261/(M1344+459.6))+12.82),IF(M1335="Refined Petroleum Stock",EXP((0.7553-(413/(M1344+459.6)))*(INDEX(FX_Input,Z$5,M$3*$Z$5+$AA$5-1)^0.5)*LOG10(INDEX(FX_Input,Z$5,M$3*$Z$5+$AA$5))-(1.854-(1042/(M1344+459.6)))*(INDEX(FX_Input,Z$5,M$3*$Z$5+$AA$5-1)^0.5)+((2416/(M1344+459.6)-2.013)*LOG10(INDEX(FX_Input,Z$5,M$3*$Z$5+$AA$5)))-(8742/(M1344+459.6))+15.64),EXP(INDEX(Antoines,MATCH(M1334,Antoine_Name,0),2)-INDEX(Antoines,MATCH(M1334,Antoine_Name,0),3)/(M1344+459.6))))),0)</f>
        <v>6.4173462075160911E-3</v>
      </c>
      <c r="N1355" cm="1">
        <f t="array" ref="N1355">IFERROR(IF(N1335="Chemical",(10^(INDEX(Antoines,MATCH(N1334,Antoine_Name,0),2)-INDEX(Antoines,MATCH(N1334,Antoine_Name,0),3)/(INDEX(Antoines,MATCH(N1334,Antoine_Name,0),4)+(N1344-32)*5/9)))*14.7/760,IF(N1335="Crude Oil",EXP((2799/(N1344+459.6)-2.227)*LOG10(INDEX(FX_Input,AA$5,N$3*$Z$5+$AA$5))-(7261/(N1344+459.6))+12.82),IF(N1335="Refined Petroleum Stock",EXP((0.7553-(413/(N1344+459.6)))*(INDEX(FX_Input,AA$5,N$3*$Z$5+$AA$5-1)^0.5)*LOG10(INDEX(FX_Input,AA$5,N$3*$Z$5+$AA$5))-(1.854-(1042/(N1344+459.6)))*(INDEX(FX_Input,AA$5,N$3*$Z$5+$AA$5-1)^0.5)+((2416/(N1344+459.6)-2.013)*LOG10(INDEX(FX_Input,AA$5,N$3*$Z$5+$AA$5)))-(8742/(N1344+459.6))+15.64),EXP(INDEX(Antoines,MATCH(N1334,Antoine_Name,0),2)-INDEX(Antoines,MATCH(N1334,Antoine_Name,0),3)/(N1344+459.6))))),0)</f>
        <v>5.3015226887581056E-3</v>
      </c>
      <c r="O1355" cm="1">
        <f t="array" ref="O1355">IFERROR(IF(O1335="Chemical",(10^(INDEX(Antoines,MATCH(O1334,Antoine_Name,0),2)-INDEX(Antoines,MATCH(O1334,Antoine_Name,0),3)/(INDEX(Antoines,MATCH(O1334,Antoine_Name,0),4)+(O1344-32)*5/9)))*14.7/760,IF(O1335="Crude Oil",EXP((2799/(O1344+459.6)-2.227)*LOG10(INDEX(FX_Input,AB$5,O$3*$Z$5+$AA$5))-(7261/(O1344+459.6))+12.82),IF(O1335="Refined Petroleum Stock",EXP((0.7553-(413/(O1344+459.6)))*(INDEX(FX_Input,AB$5,O$3*$Z$5+$AA$5-1)^0.5)*LOG10(INDEX(FX_Input,AB$5,O$3*$Z$5+$AA$5))-(1.854-(1042/(O1344+459.6)))*(INDEX(FX_Input,AB$5,O$3*$Z$5+$AA$5-1)^0.5)+((2416/(O1344+459.6)-2.013)*LOG10(INDEX(FX_Input,AB$5,O$3*$Z$5+$AA$5)))-(8742/(O1344+459.6))+15.64),EXP(INDEX(Antoines,MATCH(O1334,Antoine_Name,0),2)-INDEX(Antoines,MATCH(O1334,Antoine_Name,0),3)/(O1344+459.6))))),0)</f>
        <v>4.68970903600947E-3</v>
      </c>
    </row>
    <row r="1356" spans="2:15" ht="17.149999999999999" x14ac:dyDescent="0.55000000000000004">
      <c r="B1356" t="str">
        <f t="shared" si="4884"/>
        <v>Portland</v>
      </c>
      <c r="C1356" t="s">
        <v>1389</v>
      </c>
      <c r="D1356">
        <f>D1355*D1338</f>
        <v>4.739577185808354E-3</v>
      </c>
      <c r="E1356">
        <f t="shared" ref="E1356" si="4951">E1355*E1338</f>
        <v>4.8748667780818778E-3</v>
      </c>
      <c r="F1356">
        <f t="shared" ref="F1356" si="4952">F1355*F1338</f>
        <v>5.119885034186122E-3</v>
      </c>
      <c r="G1356">
        <f t="shared" ref="G1356" si="4953">G1355*G1338</f>
        <v>5.5846958573521795E-3</v>
      </c>
      <c r="H1356">
        <f t="shared" ref="H1356" si="4954">H1355*H1338</f>
        <v>6.5274070972739821E-3</v>
      </c>
      <c r="I1356">
        <f t="shared" ref="I1356" si="4955">I1355*I1338</f>
        <v>7.4199539958878279E-3</v>
      </c>
      <c r="J1356">
        <f t="shared" ref="J1356" si="4956">J1355*J1338</f>
        <v>8.3358107202842254E-3</v>
      </c>
      <c r="K1356">
        <f t="shared" ref="K1356" si="4957">K1355*K1338</f>
        <v>8.4605262729351115E-3</v>
      </c>
      <c r="L1356">
        <f t="shared" ref="L1356" si="4958">L1355*L1338</f>
        <v>7.8399882233967533E-3</v>
      </c>
      <c r="M1356">
        <f t="shared" ref="M1356" si="4959">M1355*M1338</f>
        <v>6.4173462075160911E-3</v>
      </c>
      <c r="N1356">
        <f t="shared" ref="N1356" si="4960">N1355*N1338</f>
        <v>5.3015226887581056E-3</v>
      </c>
      <c r="O1356">
        <f t="shared" ref="O1356" si="4961">O1355*O1338</f>
        <v>4.68970903600947E-3</v>
      </c>
    </row>
    <row r="1357" spans="2:15" ht="17.149999999999999" x14ac:dyDescent="0.55000000000000004">
      <c r="B1357" t="str">
        <f t="shared" si="4884"/>
        <v>Portland</v>
      </c>
      <c r="C1357" t="s">
        <v>1390</v>
      </c>
      <c r="D1357" cm="1">
        <f t="array" ref="D1357">IFERROR(IF(D1337="Chemical",(10^(INDEX(Antoines,MATCH(D1336,Antoine_Name,0),2)-INDEX(Antoines,MATCH(D1336,Antoine_Name,0),3)/(INDEX(Antoines,MATCH(D1336,Antoine_Name,0),4)+(D1344-32)*5/9)))*14.7/760,IF(D1337="Crude Oil",EXP((2799/(D1344+459.6)-2.227)*LOG10(INDEX(FX_Input,Q$5,D$3*$Z$5+$AA$5))-(7261/(D1344+459.6))+12.82),IF(D1337="Refined Petroleum Stock",EXP((0.7553-(413/(D1344+459.6)))*(INDEX(FX_Input,Q$5,D$3*$Z$5+$AA$5-1)^0.5)*LOG10(INDEX(FX_Input,Q$5,D$3*$Z$5+$AA$5))-(1.854-(1042/(D1344+459.6)))*(INDEX(FX_Input,Q$5,D$3*$Z$5+$AA$5-1)^0.5)+((2416/(D1344+459.6)-2.013)*LOG10(INDEX(FX_Input,Q$5,D$3*$Z$5+$AA$5)))-(8742/(D1344+459.6))+15.64),EXP(INDEX(Antoines,MATCH(D1336,Antoine_Name,0),2)-INDEX(Antoines,MATCH(D1336,Antoine_Name,0),3)/(D1344+459.6))))),0)</f>
        <v>0</v>
      </c>
      <c r="E1357" cm="1">
        <f t="array" ref="E1357">IFERROR(IF(E1337="Chemical",(10^(INDEX(Antoines,MATCH(E1336,Antoine_Name,0),2)-INDEX(Antoines,MATCH(E1336,Antoine_Name,0),3)/(INDEX(Antoines,MATCH(E1336,Antoine_Name,0),4)+(E1344-32)*5/9)))*14.7/760,IF(E1337="Crude Oil",EXP((2799/(E1344+459.6)-2.227)*LOG10(INDEX(FX_Input,R$5,E$3*$Z$5+$AA$5))-(7261/(E1344+459.6))+12.82),IF(E1337="Refined Petroleum Stock",EXP((0.7553-(413/(E1344+459.6)))*(INDEX(FX_Input,R$5,E$3*$Z$5+$AA$5-1)^0.5)*LOG10(INDEX(FX_Input,R$5,E$3*$Z$5+$AA$5))-(1.854-(1042/(E1344+459.6)))*(INDEX(FX_Input,R$5,E$3*$Z$5+$AA$5-1)^0.5)+((2416/(E1344+459.6)-2.013)*LOG10(INDEX(FX_Input,R$5,E$3*$Z$5+$AA$5)))-(8742/(E1344+459.6))+15.64),EXP(INDEX(Antoines,MATCH(E1336,Antoine_Name,0),2)-INDEX(Antoines,MATCH(E1336,Antoine_Name,0),3)/(E1344+459.6))))),0)</f>
        <v>0</v>
      </c>
      <c r="F1357" cm="1">
        <f t="array" ref="F1357">IFERROR(IF(F1337="Chemical",(10^(INDEX(Antoines,MATCH(F1336,Antoine_Name,0),2)-INDEX(Antoines,MATCH(F1336,Antoine_Name,0),3)/(INDEX(Antoines,MATCH(F1336,Antoine_Name,0),4)+(F1344-32)*5/9)))*14.7/760,IF(F1337="Crude Oil",EXP((2799/(F1344+459.6)-2.227)*LOG10(INDEX(FX_Input,S$5,F$3*$Z$5+$AA$5))-(7261/(F1344+459.6))+12.82),IF(F1337="Refined Petroleum Stock",EXP((0.7553-(413/(F1344+459.6)))*(INDEX(FX_Input,S$5,F$3*$Z$5+$AA$5-1)^0.5)*LOG10(INDEX(FX_Input,S$5,F$3*$Z$5+$AA$5))-(1.854-(1042/(F1344+459.6)))*(INDEX(FX_Input,S$5,F$3*$Z$5+$AA$5-1)^0.5)+((2416/(F1344+459.6)-2.013)*LOG10(INDEX(FX_Input,S$5,F$3*$Z$5+$AA$5)))-(8742/(F1344+459.6))+15.64),EXP(INDEX(Antoines,MATCH(F1336,Antoine_Name,0),2)-INDEX(Antoines,MATCH(F1336,Antoine_Name,0),3)/(F1344+459.6))))),0)</f>
        <v>0</v>
      </c>
      <c r="G1357" cm="1">
        <f t="array" ref="G1357">IFERROR(IF(G1337="Chemical",(10^(INDEX(Antoines,MATCH(G1336,Antoine_Name,0),2)-INDEX(Antoines,MATCH(G1336,Antoine_Name,0),3)/(INDEX(Antoines,MATCH(G1336,Antoine_Name,0),4)+(G1344-32)*5/9)))*14.7/760,IF(G1337="Crude Oil",EXP((2799/(G1344+459.6)-2.227)*LOG10(INDEX(FX_Input,T$5,G$3*$Z$5+$AA$5))-(7261/(G1344+459.6))+12.82),IF(G1337="Refined Petroleum Stock",EXP((0.7553-(413/(G1344+459.6)))*(INDEX(FX_Input,T$5,G$3*$Z$5+$AA$5-1)^0.5)*LOG10(INDEX(FX_Input,T$5,G$3*$Z$5+$AA$5))-(1.854-(1042/(G1344+459.6)))*(INDEX(FX_Input,T$5,G$3*$Z$5+$AA$5-1)^0.5)+((2416/(G1344+459.6)-2.013)*LOG10(INDEX(FX_Input,T$5,G$3*$Z$5+$AA$5)))-(8742/(G1344+459.6))+15.64),EXP(INDEX(Antoines,MATCH(G1336,Antoine_Name,0),2)-INDEX(Antoines,MATCH(G1336,Antoine_Name,0),3)/(G1344+459.6))))),0)</f>
        <v>0</v>
      </c>
      <c r="H1357" cm="1">
        <f t="array" ref="H1357">IFERROR(IF(H1337="Chemical",(10^(INDEX(Antoines,MATCH(H1336,Antoine_Name,0),2)-INDEX(Antoines,MATCH(H1336,Antoine_Name,0),3)/(INDEX(Antoines,MATCH(H1336,Antoine_Name,0),4)+(H1344-32)*5/9)))*14.7/760,IF(H1337="Crude Oil",EXP((2799/(H1344+459.6)-2.227)*LOG10(INDEX(FX_Input,U$5,H$3*$Z$5+$AA$5))-(7261/(H1344+459.6))+12.82),IF(H1337="Refined Petroleum Stock",EXP((0.7553-(413/(H1344+459.6)))*(INDEX(FX_Input,U$5,H$3*$Z$5+$AA$5-1)^0.5)*LOG10(INDEX(FX_Input,U$5,H$3*$Z$5+$AA$5))-(1.854-(1042/(H1344+459.6)))*(INDEX(FX_Input,U$5,H$3*$Z$5+$AA$5-1)^0.5)+((2416/(H1344+459.6)-2.013)*LOG10(INDEX(FX_Input,U$5,H$3*$Z$5+$AA$5)))-(8742/(H1344+459.6))+15.64),EXP(INDEX(Antoines,MATCH(H1336,Antoine_Name,0),2)-INDEX(Antoines,MATCH(H1336,Antoine_Name,0),3)/(H1344+459.6))))),0)</f>
        <v>0</v>
      </c>
      <c r="I1357" cm="1">
        <f t="array" ref="I1357">IFERROR(IF(I1337="Chemical",(10^(INDEX(Antoines,MATCH(I1336,Antoine_Name,0),2)-INDEX(Antoines,MATCH(I1336,Antoine_Name,0),3)/(INDEX(Antoines,MATCH(I1336,Antoine_Name,0),4)+(I1344-32)*5/9)))*14.7/760,IF(I1337="Crude Oil",EXP((2799/(I1344+459.6)-2.227)*LOG10(INDEX(FX_Input,V$5,I$3*$Z$5+$AA$5))-(7261/(I1344+459.6))+12.82),IF(I1337="Refined Petroleum Stock",EXP((0.7553-(413/(I1344+459.6)))*(INDEX(FX_Input,V$5,I$3*$Z$5+$AA$5-1)^0.5)*LOG10(INDEX(FX_Input,V$5,I$3*$Z$5+$AA$5))-(1.854-(1042/(I1344+459.6)))*(INDEX(FX_Input,V$5,I$3*$Z$5+$AA$5-1)^0.5)+((2416/(I1344+459.6)-2.013)*LOG10(INDEX(FX_Input,V$5,I$3*$Z$5+$AA$5)))-(8742/(I1344+459.6))+15.64),EXP(INDEX(Antoines,MATCH(I1336,Antoine_Name,0),2)-INDEX(Antoines,MATCH(I1336,Antoine_Name,0),3)/(I1344+459.6))))),0)</f>
        <v>0</v>
      </c>
      <c r="J1357" cm="1">
        <f t="array" ref="J1357">IFERROR(IF(J1337="Chemical",(10^(INDEX(Antoines,MATCH(J1336,Antoine_Name,0),2)-INDEX(Antoines,MATCH(J1336,Antoine_Name,0),3)/(INDEX(Antoines,MATCH(J1336,Antoine_Name,0),4)+(J1344-32)*5/9)))*14.7/760,IF(J1337="Crude Oil",EXP((2799/(J1344+459.6)-2.227)*LOG10(INDEX(FX_Input,W$5,J$3*$Z$5+$AA$5))-(7261/(J1344+459.6))+12.82),IF(J1337="Refined Petroleum Stock",EXP((0.7553-(413/(J1344+459.6)))*(INDEX(FX_Input,W$5,J$3*$Z$5+$AA$5-1)^0.5)*LOG10(INDEX(FX_Input,W$5,J$3*$Z$5+$AA$5))-(1.854-(1042/(J1344+459.6)))*(INDEX(FX_Input,W$5,J$3*$Z$5+$AA$5-1)^0.5)+((2416/(J1344+459.6)-2.013)*LOG10(INDEX(FX_Input,W$5,J$3*$Z$5+$AA$5)))-(8742/(J1344+459.6))+15.64),EXP(INDEX(Antoines,MATCH(J1336,Antoine_Name,0),2)-INDEX(Antoines,MATCH(J1336,Antoine_Name,0),3)/(J1344+459.6))))),0)</f>
        <v>0</v>
      </c>
      <c r="K1357" cm="1">
        <f t="array" ref="K1357">IFERROR(IF(K1337="Chemical",(10^(INDEX(Antoines,MATCH(K1336,Antoine_Name,0),2)-INDEX(Antoines,MATCH(K1336,Antoine_Name,0),3)/(INDEX(Antoines,MATCH(K1336,Antoine_Name,0),4)+(K1344-32)*5/9)))*14.7/760,IF(K1337="Crude Oil",EXP((2799/(K1344+459.6)-2.227)*LOG10(INDEX(FX_Input,X$5,K$3*$Z$5+$AA$5))-(7261/(K1344+459.6))+12.82),IF(K1337="Refined Petroleum Stock",EXP((0.7553-(413/(K1344+459.6)))*(INDEX(FX_Input,X$5,K$3*$Z$5+$AA$5-1)^0.5)*LOG10(INDEX(FX_Input,X$5,K$3*$Z$5+$AA$5))-(1.854-(1042/(K1344+459.6)))*(INDEX(FX_Input,X$5,K$3*$Z$5+$AA$5-1)^0.5)+((2416/(K1344+459.6)-2.013)*LOG10(INDEX(FX_Input,X$5,K$3*$Z$5+$AA$5)))-(8742/(K1344+459.6))+15.64),EXP(INDEX(Antoines,MATCH(K1336,Antoine_Name,0),2)-INDEX(Antoines,MATCH(K1336,Antoine_Name,0),3)/(K1344+459.6))))),0)</f>
        <v>0</v>
      </c>
      <c r="L1357" cm="1">
        <f t="array" ref="L1357">IFERROR(IF(L1337="Chemical",(10^(INDEX(Antoines,MATCH(L1336,Antoine_Name,0),2)-INDEX(Antoines,MATCH(L1336,Antoine_Name,0),3)/(INDEX(Antoines,MATCH(L1336,Antoine_Name,0),4)+(L1344-32)*5/9)))*14.7/760,IF(L1337="Crude Oil",EXP((2799/(L1344+459.6)-2.227)*LOG10(INDEX(FX_Input,Y$5,L$3*$Z$5+$AA$5))-(7261/(L1344+459.6))+12.82),IF(L1337="Refined Petroleum Stock",EXP((0.7553-(413/(L1344+459.6)))*(INDEX(FX_Input,Y$5,L$3*$Z$5+$AA$5-1)^0.5)*LOG10(INDEX(FX_Input,Y$5,L$3*$Z$5+$AA$5))-(1.854-(1042/(L1344+459.6)))*(INDEX(FX_Input,Y$5,L$3*$Z$5+$AA$5-1)^0.5)+((2416/(L1344+459.6)-2.013)*LOG10(INDEX(FX_Input,Y$5,L$3*$Z$5+$AA$5)))-(8742/(L1344+459.6))+15.64),EXP(INDEX(Antoines,MATCH(L1336,Antoine_Name,0),2)-INDEX(Antoines,MATCH(L1336,Antoine_Name,0),3)/(L1344+459.6))))),0)</f>
        <v>0</v>
      </c>
      <c r="M1357" cm="1">
        <f t="array" ref="M1357">IFERROR(IF(M1337="Chemical",(10^(INDEX(Antoines,MATCH(M1336,Antoine_Name,0),2)-INDEX(Antoines,MATCH(M1336,Antoine_Name,0),3)/(INDEX(Antoines,MATCH(M1336,Antoine_Name,0),4)+(M1344-32)*5/9)))*14.7/760,IF(M1337="Crude Oil",EXP((2799/(M1344+459.6)-2.227)*LOG10(INDEX(FX_Input,Z$5,M$3*$Z$5+$AA$5))-(7261/(M1344+459.6))+12.82),IF(M1337="Refined Petroleum Stock",EXP((0.7553-(413/(M1344+459.6)))*(INDEX(FX_Input,Z$5,M$3*$Z$5+$AA$5-1)^0.5)*LOG10(INDEX(FX_Input,Z$5,M$3*$Z$5+$AA$5))-(1.854-(1042/(M1344+459.6)))*(INDEX(FX_Input,Z$5,M$3*$Z$5+$AA$5-1)^0.5)+((2416/(M1344+459.6)-2.013)*LOG10(INDEX(FX_Input,Z$5,M$3*$Z$5+$AA$5)))-(8742/(M1344+459.6))+15.64),EXP(INDEX(Antoines,MATCH(M1336,Antoine_Name,0),2)-INDEX(Antoines,MATCH(M1336,Antoine_Name,0),3)/(M1344+459.6))))),0)</f>
        <v>0</v>
      </c>
      <c r="N1357" cm="1">
        <f t="array" ref="N1357">IFERROR(IF(N1337="Chemical",(10^(INDEX(Antoines,MATCH(N1336,Antoine_Name,0),2)-INDEX(Antoines,MATCH(N1336,Antoine_Name,0),3)/(INDEX(Antoines,MATCH(N1336,Antoine_Name,0),4)+(N1344-32)*5/9)))*14.7/760,IF(N1337="Crude Oil",EXP((2799/(N1344+459.6)-2.227)*LOG10(INDEX(FX_Input,AA$5,N$3*$Z$5+$AA$5))-(7261/(N1344+459.6))+12.82),IF(N1337="Refined Petroleum Stock",EXP((0.7553-(413/(N1344+459.6)))*(INDEX(FX_Input,AA$5,N$3*$Z$5+$AA$5-1)^0.5)*LOG10(INDEX(FX_Input,AA$5,N$3*$Z$5+$AA$5))-(1.854-(1042/(N1344+459.6)))*(INDEX(FX_Input,AA$5,N$3*$Z$5+$AA$5-1)^0.5)+((2416/(N1344+459.6)-2.013)*LOG10(INDEX(FX_Input,AA$5,N$3*$Z$5+$AA$5)))-(8742/(N1344+459.6))+15.64),EXP(INDEX(Antoines,MATCH(N1336,Antoine_Name,0),2)-INDEX(Antoines,MATCH(N1336,Antoine_Name,0),3)/(N1344+459.6))))),0)</f>
        <v>0</v>
      </c>
      <c r="O1357" cm="1">
        <f t="array" ref="O1357">IFERROR(IF(O1337="Chemical",(10^(INDEX(Antoines,MATCH(O1336,Antoine_Name,0),2)-INDEX(Antoines,MATCH(O1336,Antoine_Name,0),3)/(INDEX(Antoines,MATCH(O1336,Antoine_Name,0),4)+(O1344-32)*5/9)))*14.7/760,IF(O1337="Crude Oil",EXP((2799/(O1344+459.6)-2.227)*LOG10(INDEX(FX_Input,AB$5,O$3*$Z$5+$AA$5))-(7261/(O1344+459.6))+12.82),IF(O1337="Refined Petroleum Stock",EXP((0.7553-(413/(O1344+459.6)))*(INDEX(FX_Input,AB$5,O$3*$Z$5+$AA$5-1)^0.5)*LOG10(INDEX(FX_Input,AB$5,O$3*$Z$5+$AA$5))-(1.854-(1042/(O1344+459.6)))*(INDEX(FX_Input,AB$5,O$3*$Z$5+$AA$5-1)^0.5)+((2416/(O1344+459.6)-2.013)*LOG10(INDEX(FX_Input,AB$5,O$3*$Z$5+$AA$5)))-(8742/(O1344+459.6))+15.64),EXP(INDEX(Antoines,MATCH(O1336,Antoine_Name,0),2)-INDEX(Antoines,MATCH(O1336,Antoine_Name,0),3)/(O1344+459.6))))),0)</f>
        <v>0</v>
      </c>
    </row>
    <row r="1358" spans="2:15" ht="17.149999999999999" x14ac:dyDescent="0.55000000000000004">
      <c r="B1358" t="str">
        <f t="shared" si="4884"/>
        <v>Portland</v>
      </c>
      <c r="C1358" t="s">
        <v>1391</v>
      </c>
      <c r="D1358">
        <f>D1357*D1340</f>
        <v>0</v>
      </c>
      <c r="E1358">
        <f t="shared" ref="E1358" si="4962">E1357*E1340</f>
        <v>0</v>
      </c>
      <c r="F1358">
        <f t="shared" ref="F1358" si="4963">F1357*F1340</f>
        <v>0</v>
      </c>
      <c r="G1358">
        <f t="shared" ref="G1358" si="4964">G1357*G1340</f>
        <v>0</v>
      </c>
      <c r="H1358">
        <f t="shared" ref="H1358" si="4965">H1357*H1340</f>
        <v>0</v>
      </c>
      <c r="I1358">
        <f t="shared" ref="I1358" si="4966">I1357*I1340</f>
        <v>0</v>
      </c>
      <c r="J1358">
        <f t="shared" ref="J1358" si="4967">J1357*J1340</f>
        <v>0</v>
      </c>
      <c r="K1358">
        <f t="shared" ref="K1358" si="4968">K1357*K1340</f>
        <v>0</v>
      </c>
      <c r="L1358">
        <f t="shared" ref="L1358" si="4969">L1357*L1340</f>
        <v>0</v>
      </c>
      <c r="M1358">
        <f t="shared" ref="M1358" si="4970">M1357*M1340</f>
        <v>0</v>
      </c>
      <c r="N1358">
        <f t="shared" ref="N1358" si="4971">N1357*N1340</f>
        <v>0</v>
      </c>
      <c r="O1358">
        <f t="shared" ref="O1358" si="4972">O1357*O1340</f>
        <v>0</v>
      </c>
    </row>
    <row r="1359" spans="2:15" ht="17.149999999999999" x14ac:dyDescent="0.55000000000000004">
      <c r="B1359" t="str">
        <f t="shared" si="4884"/>
        <v>Portland</v>
      </c>
      <c r="C1359" t="s">
        <v>1392</v>
      </c>
      <c r="D1359">
        <f>D1356+D1358</f>
        <v>4.739577185808354E-3</v>
      </c>
      <c r="E1359">
        <f t="shared" ref="E1359" si="4973">E1356+E1358</f>
        <v>4.8748667780818778E-3</v>
      </c>
      <c r="F1359">
        <f t="shared" ref="F1359" si="4974">F1356+F1358</f>
        <v>5.119885034186122E-3</v>
      </c>
      <c r="G1359">
        <f t="shared" ref="G1359" si="4975">G1356+G1358</f>
        <v>5.5846958573521795E-3</v>
      </c>
      <c r="H1359">
        <f t="shared" ref="H1359" si="4976">H1356+H1358</f>
        <v>6.5274070972739821E-3</v>
      </c>
      <c r="I1359">
        <f t="shared" ref="I1359" si="4977">I1356+I1358</f>
        <v>7.4199539958878279E-3</v>
      </c>
      <c r="J1359">
        <f t="shared" ref="J1359" si="4978">J1356+J1358</f>
        <v>8.3358107202842254E-3</v>
      </c>
      <c r="K1359">
        <f t="shared" ref="K1359" si="4979">K1356+K1358</f>
        <v>8.4605262729351115E-3</v>
      </c>
      <c r="L1359">
        <f t="shared" ref="L1359" si="4980">L1356+L1358</f>
        <v>7.8399882233967533E-3</v>
      </c>
      <c r="M1359">
        <f t="shared" ref="M1359" si="4981">M1356+M1358</f>
        <v>6.4173462075160911E-3</v>
      </c>
      <c r="N1359">
        <f t="shared" ref="N1359" si="4982">N1356+N1358</f>
        <v>5.3015226887581056E-3</v>
      </c>
      <c r="O1359">
        <f t="shared" ref="O1359" si="4983">O1356+O1358</f>
        <v>4.68970903600947E-3</v>
      </c>
    </row>
    <row r="1360" spans="2:15" ht="17.149999999999999" x14ac:dyDescent="0.55000000000000004">
      <c r="B1360" t="str">
        <f>B1354</f>
        <v>Portland</v>
      </c>
      <c r="C1360" t="s">
        <v>584</v>
      </c>
      <c r="D1360">
        <f>D1356/D1359</f>
        <v>1</v>
      </c>
      <c r="E1360">
        <f t="shared" ref="E1360" si="4984">E1356/E1359</f>
        <v>1</v>
      </c>
      <c r="F1360">
        <f t="shared" ref="F1360" si="4985">F1356/F1359</f>
        <v>1</v>
      </c>
      <c r="G1360">
        <f t="shared" ref="G1360" si="4986">G1356/G1359</f>
        <v>1</v>
      </c>
      <c r="H1360">
        <f t="shared" ref="H1360" si="4987">H1356/H1359</f>
        <v>1</v>
      </c>
      <c r="I1360">
        <f t="shared" ref="I1360" si="4988">I1356/I1359</f>
        <v>1</v>
      </c>
      <c r="J1360">
        <f t="shared" ref="J1360" si="4989">J1356/J1359</f>
        <v>1</v>
      </c>
      <c r="K1360">
        <f t="shared" ref="K1360" si="4990">K1356/K1359</f>
        <v>1</v>
      </c>
      <c r="L1360">
        <f t="shared" ref="L1360" si="4991">L1356/L1359</f>
        <v>1</v>
      </c>
      <c r="M1360">
        <f t="shared" ref="M1360" si="4992">M1356/M1359</f>
        <v>1</v>
      </c>
      <c r="N1360">
        <f t="shared" ref="N1360" si="4993">N1356/N1359</f>
        <v>1</v>
      </c>
      <c r="O1360">
        <f t="shared" ref="O1360" si="4994">O1356/O1359</f>
        <v>1</v>
      </c>
    </row>
    <row r="1361" spans="1:32" ht="17.149999999999999" x14ac:dyDescent="0.55000000000000004">
      <c r="B1361" t="str">
        <f>B1355</f>
        <v>Portland</v>
      </c>
      <c r="C1361" t="s">
        <v>585</v>
      </c>
      <c r="D1361">
        <f t="shared" ref="D1361:O1361" si="4995">INDEX(Phys_Prop,MATCH(D1334,Chem_List,0),3)</f>
        <v>130</v>
      </c>
      <c r="E1361">
        <f t="shared" si="4995"/>
        <v>130</v>
      </c>
      <c r="F1361">
        <f t="shared" si="4995"/>
        <v>130</v>
      </c>
      <c r="G1361">
        <f t="shared" si="4995"/>
        <v>130</v>
      </c>
      <c r="H1361">
        <f t="shared" si="4995"/>
        <v>130</v>
      </c>
      <c r="I1361">
        <f t="shared" si="4995"/>
        <v>130</v>
      </c>
      <c r="J1361">
        <f t="shared" si="4995"/>
        <v>130</v>
      </c>
      <c r="K1361">
        <f t="shared" si="4995"/>
        <v>130</v>
      </c>
      <c r="L1361">
        <f t="shared" si="4995"/>
        <v>130</v>
      </c>
      <c r="M1361">
        <f t="shared" si="4995"/>
        <v>130</v>
      </c>
      <c r="N1361">
        <f t="shared" si="4995"/>
        <v>130</v>
      </c>
      <c r="O1361">
        <f t="shared" si="4995"/>
        <v>130</v>
      </c>
    </row>
    <row r="1362" spans="1:32" ht="17.149999999999999" x14ac:dyDescent="0.55000000000000004">
      <c r="B1362" t="str">
        <f>B1361</f>
        <v>Portland</v>
      </c>
      <c r="C1362" t="s">
        <v>586</v>
      </c>
      <c r="D1362">
        <f>D1358/D1359</f>
        <v>0</v>
      </c>
      <c r="E1362">
        <f t="shared" ref="E1362:O1362" si="4996">E1358/E1359</f>
        <v>0</v>
      </c>
      <c r="F1362">
        <f t="shared" si="4996"/>
        <v>0</v>
      </c>
      <c r="G1362">
        <f t="shared" si="4996"/>
        <v>0</v>
      </c>
      <c r="H1362">
        <f t="shared" si="4996"/>
        <v>0</v>
      </c>
      <c r="I1362">
        <f t="shared" si="4996"/>
        <v>0</v>
      </c>
      <c r="J1362">
        <f t="shared" si="4996"/>
        <v>0</v>
      </c>
      <c r="K1362">
        <f t="shared" si="4996"/>
        <v>0</v>
      </c>
      <c r="L1362">
        <f t="shared" si="4996"/>
        <v>0</v>
      </c>
      <c r="M1362">
        <f t="shared" si="4996"/>
        <v>0</v>
      </c>
      <c r="N1362">
        <f t="shared" si="4996"/>
        <v>0</v>
      </c>
      <c r="O1362">
        <f t="shared" si="4996"/>
        <v>0</v>
      </c>
    </row>
    <row r="1363" spans="1:32" ht="17.149999999999999" x14ac:dyDescent="0.55000000000000004">
      <c r="B1363" t="str">
        <f t="shared" si="4884"/>
        <v>Portland</v>
      </c>
      <c r="C1363" t="s">
        <v>587</v>
      </c>
      <c r="D1363">
        <f t="shared" ref="D1363:O1363" si="4997">IFERROR(INDEX(Phys_Prop,MATCH(D1336,Chem_List,0),3),0)</f>
        <v>0</v>
      </c>
      <c r="E1363">
        <f t="shared" si="4997"/>
        <v>0</v>
      </c>
      <c r="F1363">
        <f t="shared" si="4997"/>
        <v>0</v>
      </c>
      <c r="G1363">
        <f t="shared" si="4997"/>
        <v>0</v>
      </c>
      <c r="H1363">
        <f t="shared" si="4997"/>
        <v>0</v>
      </c>
      <c r="I1363">
        <f t="shared" si="4997"/>
        <v>0</v>
      </c>
      <c r="J1363">
        <f t="shared" si="4997"/>
        <v>0</v>
      </c>
      <c r="K1363">
        <f t="shared" si="4997"/>
        <v>0</v>
      </c>
      <c r="L1363">
        <f t="shared" si="4997"/>
        <v>0</v>
      </c>
      <c r="M1363">
        <f t="shared" si="4997"/>
        <v>0</v>
      </c>
      <c r="N1363">
        <f t="shared" si="4997"/>
        <v>0</v>
      </c>
      <c r="O1363">
        <f t="shared" si="4997"/>
        <v>0</v>
      </c>
    </row>
    <row r="1364" spans="1:32" ht="17.149999999999999" x14ac:dyDescent="0.55000000000000004">
      <c r="A1364" s="11"/>
      <c r="B1364" s="11" t="str">
        <f t="shared" si="4884"/>
        <v>Portland</v>
      </c>
      <c r="C1364" s="11" t="s">
        <v>588</v>
      </c>
      <c r="D1364" s="11">
        <f>IFERROR(D1360*D1361+D1362*D1363,0)</f>
        <v>130</v>
      </c>
      <c r="E1364" s="11">
        <f t="shared" ref="E1364" si="4998">IFERROR(E1360*E1361+E1362*E1363,0)</f>
        <v>130</v>
      </c>
      <c r="F1364" s="11">
        <f t="shared" ref="F1364" si="4999">IFERROR(F1360*F1361+F1362*F1363,0)</f>
        <v>130</v>
      </c>
      <c r="G1364" s="11">
        <f t="shared" ref="G1364" si="5000">IFERROR(G1360*G1361+G1362*G1363,0)</f>
        <v>130</v>
      </c>
      <c r="H1364" s="11">
        <f t="shared" ref="H1364" si="5001">IFERROR(H1360*H1361+H1362*H1363,0)</f>
        <v>130</v>
      </c>
      <c r="I1364" s="11">
        <f t="shared" ref="I1364" si="5002">IFERROR(I1360*I1361+I1362*I1363,0)</f>
        <v>130</v>
      </c>
      <c r="J1364" s="11">
        <f t="shared" ref="J1364" si="5003">IFERROR(J1360*J1361+J1362*J1363,0)</f>
        <v>130</v>
      </c>
      <c r="K1364" s="11">
        <f t="shared" ref="K1364" si="5004">IFERROR(K1360*K1361+K1362*K1363,0)</f>
        <v>130</v>
      </c>
      <c r="L1364" s="11">
        <f t="shared" ref="L1364" si="5005">IFERROR(L1360*L1361+L1362*L1363,0)</f>
        <v>130</v>
      </c>
      <c r="M1364" s="11">
        <f t="shared" ref="M1364" si="5006">IFERROR(M1360*M1361+M1362*M1363,0)</f>
        <v>130</v>
      </c>
      <c r="N1364" s="11">
        <f t="shared" ref="N1364" si="5007">IFERROR(N1360*N1361+N1362*N1363,0)</f>
        <v>130</v>
      </c>
      <c r="O1364" s="11">
        <f t="shared" ref="O1364" si="5008">IFERROR(O1360*O1361+O1362*O1363,0)</f>
        <v>130</v>
      </c>
      <c r="P1364" s="11"/>
      <c r="Q1364" s="11"/>
      <c r="R1364" s="11"/>
      <c r="S1364" s="11"/>
      <c r="T1364" s="11"/>
      <c r="U1364" s="11"/>
      <c r="V1364" s="11"/>
      <c r="W1364" s="11"/>
      <c r="X1364" s="11"/>
      <c r="Y1364" s="11"/>
      <c r="Z1364" s="11"/>
      <c r="AA1364" s="11"/>
      <c r="AB1364" s="11"/>
      <c r="AC1364" s="11"/>
      <c r="AD1364" s="11"/>
      <c r="AE1364" s="11"/>
      <c r="AF1364" s="11"/>
    </row>
    <row r="1365" spans="1:32" ht="17.149999999999999" x14ac:dyDescent="0.55000000000000004">
      <c r="A1365" t="str" cm="1">
        <f t="array" ref="A1365">INDEX(FX_Input,$Q1365,R$5)</f>
        <v>FX - 41</v>
      </c>
      <c r="B1365" t="str" cm="1">
        <f t="array" ref="B1365">INDEX(FX_Input,Q1365,S1365)</f>
        <v>Portland</v>
      </c>
      <c r="C1365" t="s">
        <v>563</v>
      </c>
      <c r="D1365">
        <v>14.7</v>
      </c>
      <c r="E1365">
        <v>14.7</v>
      </c>
      <c r="F1365">
        <v>14.7</v>
      </c>
      <c r="G1365">
        <v>14.7</v>
      </c>
      <c r="H1365">
        <v>14.7</v>
      </c>
      <c r="I1365">
        <v>14.7</v>
      </c>
      <c r="J1365">
        <v>14.7</v>
      </c>
      <c r="K1365">
        <v>14.7</v>
      </c>
      <c r="L1365">
        <v>14.7</v>
      </c>
      <c r="M1365">
        <v>14.7</v>
      </c>
      <c r="N1365">
        <v>14.7</v>
      </c>
      <c r="O1365">
        <v>14.7</v>
      </c>
      <c r="Q1365">
        <f>Q1331+2</f>
        <v>81</v>
      </c>
      <c r="R1365">
        <v>1</v>
      </c>
      <c r="S1365">
        <v>3</v>
      </c>
      <c r="T1365">
        <v>1</v>
      </c>
      <c r="U1365">
        <v>19</v>
      </c>
      <c r="V1365">
        <v>20</v>
      </c>
      <c r="W1365">
        <v>25</v>
      </c>
      <c r="X1365">
        <v>1</v>
      </c>
      <c r="Y1365">
        <v>2</v>
      </c>
      <c r="Z1365">
        <f>(W1365-V1365)/(Y1365-X1365)</f>
        <v>5</v>
      </c>
      <c r="AA1365">
        <f>V1365-Z1365*X1365</f>
        <v>15</v>
      </c>
      <c r="AD1365">
        <f>AD1331+14</f>
        <v>561</v>
      </c>
      <c r="AF1365">
        <f>AF1331+14</f>
        <v>561</v>
      </c>
    </row>
    <row r="1366" spans="1:32" ht="17.149999999999999" x14ac:dyDescent="0.55000000000000004">
      <c r="B1366" t="str">
        <f t="shared" ref="B1366" si="5009">B1365</f>
        <v>Portland</v>
      </c>
      <c r="C1366" t="s">
        <v>564</v>
      </c>
      <c r="D1366" cm="1">
        <f t="array" ref="D1366">IF(ISBLANK(INDEX(FX_Input,$Q1365,$AB1366)),0.03,INDEX(FX_Input,Q1365,AB1366))</f>
        <v>0.03</v>
      </c>
      <c r="E1366" cm="1">
        <f t="array" ref="E1366">IF(ISBLANK(INDEX(FX_Input,$Q1365,$AB1366)),0.03,INDEX(FX_Input,R1365,#REF!))</f>
        <v>0.03</v>
      </c>
      <c r="F1366" cm="1">
        <f t="array" ref="F1366">IF(ISBLANK(INDEX(FX_Input,$Q1365,$AB1366)),0.03,INDEX(FX_Input,S1365,#REF!))</f>
        <v>0.03</v>
      </c>
      <c r="G1366" cm="1">
        <f t="array" ref="G1366">IF(ISBLANK(INDEX(FX_Input,$Q1365,$AB1366)),0.03,INDEX(FX_Input,AB1365,#REF!))</f>
        <v>0.03</v>
      </c>
      <c r="H1366" cm="1">
        <f t="array" ref="H1366">IF(ISBLANK(INDEX(FX_Input,$Q1365,$AB1366)),0.03,INDEX(FX_Input,#REF!,#REF!))</f>
        <v>0.03</v>
      </c>
      <c r="I1366" cm="1">
        <f t="array" ref="I1366">IF(ISBLANK(INDEX(FX_Input,$Q1365,$AB1366)),0.03,INDEX(FX_Input,#REF!,#REF!))</f>
        <v>0.03</v>
      </c>
      <c r="J1366" cm="1">
        <f t="array" ref="J1366">IF(ISBLANK(INDEX(FX_Input,$Q1365,$AB1366)),0.03,INDEX(FX_Input,#REF!,#REF!))</f>
        <v>0.03</v>
      </c>
      <c r="K1366" cm="1">
        <f t="array" ref="K1366">IF(ISBLANK(INDEX(FX_Input,$Q1365,$AB1366)),0.03,INDEX(FX_Input,#REF!,AC1366))</f>
        <v>0.03</v>
      </c>
      <c r="L1366" cm="1">
        <f t="array" ref="L1366">IF(ISBLANK(INDEX(FX_Input,$Q1365,$AB1366)),0.03,INDEX(FX_Input,#REF!,AD1366))</f>
        <v>0.03</v>
      </c>
      <c r="M1366" cm="1">
        <f t="array" ref="M1366">IF(ISBLANK(INDEX(FX_Input,$Q1365,$AB1366)),0.03,INDEX(FX_Input,#REF!,#REF!))</f>
        <v>0.03</v>
      </c>
      <c r="N1366" cm="1">
        <f t="array" ref="N1366">IF(ISBLANK(INDEX(FX_Input,$Q1365,$AB1366)),0.03,INDEX(FX_Input,AC1365,#REF!))</f>
        <v>0.03</v>
      </c>
      <c r="O1366" cm="1">
        <f t="array" ref="O1366">IF(ISBLANK(INDEX(FX_Input,$Q1365,$AB1366)),0.03,INDEX(FX_Input,AD1365,#REF!))</f>
        <v>0.03</v>
      </c>
      <c r="AB1366">
        <v>15</v>
      </c>
    </row>
    <row r="1367" spans="1:32" ht="17.149999999999999" x14ac:dyDescent="0.55000000000000004">
      <c r="B1367" t="str">
        <f>B1366</f>
        <v>Portland</v>
      </c>
      <c r="C1367" t="s">
        <v>565</v>
      </c>
      <c r="D1367" cm="1">
        <f t="array" ref="D1367">IF(ISBLANK(INDEX(FX_Input,$Q1365,$AB1367)),-0.03,INDEX(FX_Input,$Q1365,$AB1367))</f>
        <v>-0.03</v>
      </c>
      <c r="E1367" cm="1">
        <f t="array" ref="E1367">IF(ISBLANK(INDEX(FX_Input,$Q1365,$AB1367)),-0.03,INDEX(FX_Input,R1365,#REF!))</f>
        <v>-0.03</v>
      </c>
      <c r="F1367" cm="1">
        <f t="array" ref="F1367">IF(ISBLANK(INDEX(FX_Input,$Q1365,$AB1367)),-0.03,INDEX(FX_Input,S1365,#REF!))</f>
        <v>-0.03</v>
      </c>
      <c r="G1367" cm="1">
        <f t="array" ref="G1367">IF(ISBLANK(INDEX(FX_Input,$Q1365,$AB1367)),-0.03,INDEX(FX_Input,AB1365,#REF!))</f>
        <v>-0.03</v>
      </c>
      <c r="H1367" cm="1">
        <f t="array" ref="H1367">IF(ISBLANK(INDEX(FX_Input,$Q1365,$AB1367)),-0.03,INDEX(FX_Input,#REF!,#REF!))</f>
        <v>-0.03</v>
      </c>
      <c r="I1367" cm="1">
        <f t="array" ref="I1367">IF(ISBLANK(INDEX(FX_Input,$Q1365,$AB1367)),-0.03,INDEX(FX_Input,#REF!,#REF!))</f>
        <v>-0.03</v>
      </c>
      <c r="J1367" cm="1">
        <f t="array" ref="J1367">IF(ISBLANK(INDEX(FX_Input,$Q1365,$AB1367)),-0.03,INDEX(FX_Input,#REF!,#REF!))</f>
        <v>-0.03</v>
      </c>
      <c r="K1367" cm="1">
        <f t="array" ref="K1367">IF(ISBLANK(INDEX(FX_Input,$Q1365,$AB1367)),-0.03,INDEX(FX_Input,#REF!,AC1367))</f>
        <v>-0.03</v>
      </c>
      <c r="L1367" cm="1">
        <f t="array" ref="L1367">IF(ISBLANK(INDEX(FX_Input,$Q1365,$AB1367)),-0.03,INDEX(FX_Input,#REF!,AD1367))</f>
        <v>-0.03</v>
      </c>
      <c r="M1367" cm="1">
        <f t="array" ref="M1367">IF(ISBLANK(INDEX(FX_Input,$Q1365,$AB1367)),-0.03,INDEX(FX_Input,#REF!,#REF!))</f>
        <v>-0.03</v>
      </c>
      <c r="N1367" cm="1">
        <f t="array" ref="N1367">IF(ISBLANK(INDEX(FX_Input,$Q1365,$AB1367)),-0.03,INDEX(FX_Input,AC1365,#REF!))</f>
        <v>-0.03</v>
      </c>
      <c r="O1367" cm="1">
        <f t="array" ref="O1367">IF(ISBLANK(INDEX(FX_Input,$Q1365,$AB1367)),-0.03,INDEX(FX_Input,AD1365,#REF!))</f>
        <v>-0.03</v>
      </c>
      <c r="AB1367">
        <v>16</v>
      </c>
    </row>
    <row r="1368" spans="1:32" x14ac:dyDescent="0.4">
      <c r="B1368" t="str">
        <f t="shared" ref="B1368:B1369" si="5010">B1367</f>
        <v>Portland</v>
      </c>
      <c r="C1368" s="66" t="s">
        <v>567</v>
      </c>
      <c r="D1368" t="str" cm="1">
        <f t="array" ref="D1368">INDEX(FX_Multi,$AD1368,D$3)</f>
        <v>Jet kerosene</v>
      </c>
      <c r="E1368" t="str" cm="1">
        <f t="array" ref="E1368">INDEX(FX_Multi,$AD1368,E$3)</f>
        <v>Jet kerosene</v>
      </c>
      <c r="F1368" t="str" cm="1">
        <f t="array" ref="F1368">INDEX(FX_Multi,$AD1368,F$3)</f>
        <v>Jet kerosene</v>
      </c>
      <c r="G1368" t="str" cm="1">
        <f t="array" ref="G1368">INDEX(FX_Multi,$AD1368,G$3)</f>
        <v>Jet kerosene</v>
      </c>
      <c r="H1368" t="str" cm="1">
        <f t="array" ref="H1368">INDEX(FX_Multi,$AD1368,H$3)</f>
        <v>Jet kerosene</v>
      </c>
      <c r="I1368" t="str" cm="1">
        <f t="array" ref="I1368">INDEX(FX_Multi,$AD1368,I$3)</f>
        <v>Jet kerosene</v>
      </c>
      <c r="J1368" t="str" cm="1">
        <f t="array" ref="J1368">INDEX(FX_Multi,$AD1368,J$3)</f>
        <v>Jet kerosene</v>
      </c>
      <c r="K1368" t="str" cm="1">
        <f t="array" ref="K1368">INDEX(FX_Multi,$AD1368,K$3)</f>
        <v>Jet kerosene</v>
      </c>
      <c r="L1368" t="str" cm="1">
        <f t="array" ref="L1368">INDEX(FX_Multi,$AD1368,L$3)</f>
        <v>Jet kerosene</v>
      </c>
      <c r="M1368" t="str" cm="1">
        <f t="array" ref="M1368">INDEX(FX_Multi,$AD1368,M$3)</f>
        <v>Jet kerosene</v>
      </c>
      <c r="N1368" t="str" cm="1">
        <f t="array" ref="N1368">INDEX(FX_Multi,$AD1368,N$3)</f>
        <v>Jet kerosene</v>
      </c>
      <c r="O1368" t="str" cm="1">
        <f t="array" ref="O1368">INDEX(FX_Multi,$AD1368,O$3)</f>
        <v>Jet kerosene</v>
      </c>
      <c r="AC1368">
        <v>1</v>
      </c>
      <c r="AD1368">
        <f>AD1365</f>
        <v>561</v>
      </c>
      <c r="AE1368">
        <v>1</v>
      </c>
      <c r="AF1368">
        <f>AF1365</f>
        <v>561</v>
      </c>
    </row>
    <row r="1369" spans="1:32" x14ac:dyDescent="0.4">
      <c r="B1369" t="str">
        <f t="shared" si="5010"/>
        <v>Portland</v>
      </c>
      <c r="C1369" s="66" t="s">
        <v>566</v>
      </c>
      <c r="D1369" t="str" cm="1">
        <f t="array" ref="D1369">INDEX(FX_Multi,$AD1369,D$3)</f>
        <v>Select Pet Stock</v>
      </c>
      <c r="E1369" t="str" cm="1">
        <f t="array" ref="E1369">INDEX(FX_Multi,$AD1369,E$3)</f>
        <v>Select Pet Stock</v>
      </c>
      <c r="F1369" t="str" cm="1">
        <f t="array" ref="F1369">INDEX(FX_Multi,$AD1369,F$3)</f>
        <v>Select Pet Stock</v>
      </c>
      <c r="G1369" t="str" cm="1">
        <f t="array" ref="G1369">INDEX(FX_Multi,$AD1369,G$3)</f>
        <v>Select Pet Stock</v>
      </c>
      <c r="H1369" t="str" cm="1">
        <f t="array" ref="H1369">INDEX(FX_Multi,$AD1369,H$3)</f>
        <v>Select Pet Stock</v>
      </c>
      <c r="I1369" t="str" cm="1">
        <f t="array" ref="I1369">INDEX(FX_Multi,$AD1369,I$3)</f>
        <v>Select Pet Stock</v>
      </c>
      <c r="J1369" t="str" cm="1">
        <f t="array" ref="J1369">INDEX(FX_Multi,$AD1369,J$3)</f>
        <v>Select Pet Stock</v>
      </c>
      <c r="K1369" t="str" cm="1">
        <f t="array" ref="K1369">INDEX(FX_Multi,$AD1369,K$3)</f>
        <v>Select Pet Stock</v>
      </c>
      <c r="L1369" t="str" cm="1">
        <f t="array" ref="L1369">INDEX(FX_Multi,$AD1369,L$3)</f>
        <v>Select Pet Stock</v>
      </c>
      <c r="M1369" t="str" cm="1">
        <f t="array" ref="M1369">INDEX(FX_Multi,$AD1369,M$3)</f>
        <v>Select Pet Stock</v>
      </c>
      <c r="N1369" t="str" cm="1">
        <f t="array" ref="N1369">INDEX(FX_Multi,$AD1369,N$3)</f>
        <v>Select Pet Stock</v>
      </c>
      <c r="O1369" t="str" cm="1">
        <f t="array" ref="O1369">INDEX(FX_Multi,$AD1369,O$3)</f>
        <v>Select Pet Stock</v>
      </c>
      <c r="AC1369">
        <v>1</v>
      </c>
      <c r="AD1369">
        <f>AD1368+2</f>
        <v>563</v>
      </c>
      <c r="AE1369">
        <v>1</v>
      </c>
      <c r="AF1369">
        <f>AF1368+3</f>
        <v>564</v>
      </c>
    </row>
    <row r="1370" spans="1:32" x14ac:dyDescent="0.4">
      <c r="B1370" t="str">
        <f>B1366</f>
        <v>Portland</v>
      </c>
      <c r="C1370" s="66" t="s">
        <v>568</v>
      </c>
      <c r="D1370" cm="1">
        <f t="array" ref="D1370">INDEX(FX_Multi,$AD1370,D$3)</f>
        <v>0</v>
      </c>
      <c r="E1370" cm="1">
        <f t="array" ref="E1370">INDEX(FX_Multi,$AD1370,E$3)</f>
        <v>0</v>
      </c>
      <c r="F1370" cm="1">
        <f t="array" ref="F1370">INDEX(FX_Multi,$AD1370,F$3)</f>
        <v>0</v>
      </c>
      <c r="G1370" cm="1">
        <f t="array" ref="G1370">INDEX(FX_Multi,$AD1370,G$3)</f>
        <v>0</v>
      </c>
      <c r="H1370" cm="1">
        <f t="array" ref="H1370">INDEX(FX_Multi,$AD1370,H$3)</f>
        <v>0</v>
      </c>
      <c r="I1370" cm="1">
        <f t="array" ref="I1370">INDEX(FX_Multi,$AD1370,I$3)</f>
        <v>0</v>
      </c>
      <c r="J1370" cm="1">
        <f t="array" ref="J1370">INDEX(FX_Multi,$AD1370,J$3)</f>
        <v>0</v>
      </c>
      <c r="K1370" cm="1">
        <f t="array" ref="K1370">INDEX(FX_Multi,$AD1370,K$3)</f>
        <v>0</v>
      </c>
      <c r="L1370" cm="1">
        <f t="array" ref="L1370">INDEX(FX_Multi,$AD1370,L$3)</f>
        <v>0</v>
      </c>
      <c r="M1370" cm="1">
        <f t="array" ref="M1370">INDEX(FX_Multi,$AD1370,M$3)</f>
        <v>0</v>
      </c>
      <c r="N1370" cm="1">
        <f t="array" ref="N1370">INDEX(FX_Multi,$AD1370,N$3)</f>
        <v>0</v>
      </c>
      <c r="O1370" cm="1">
        <f t="array" ref="O1370">INDEX(FX_Multi,$AD1370,O$3)</f>
        <v>0</v>
      </c>
      <c r="AC1370">
        <v>1</v>
      </c>
      <c r="AD1370">
        <f>AD1369-1</f>
        <v>562</v>
      </c>
      <c r="AE1370">
        <v>1</v>
      </c>
      <c r="AF1370">
        <f>AF1368+1</f>
        <v>562</v>
      </c>
    </row>
    <row r="1371" spans="1:32" x14ac:dyDescent="0.4">
      <c r="B1371" t="str">
        <f t="shared" ref="B1371:B1375" si="5011">B1370</f>
        <v>Portland</v>
      </c>
      <c r="C1371" s="66" t="s">
        <v>569</v>
      </c>
      <c r="D1371" cm="1">
        <f t="array" ref="D1371">INDEX(FX_Multi,$AD1371,D$3)</f>
        <v>0</v>
      </c>
      <c r="E1371" cm="1">
        <f t="array" ref="E1371">INDEX(FX_Multi,$AD1371,E$3)</f>
        <v>0</v>
      </c>
      <c r="F1371" cm="1">
        <f t="array" ref="F1371">INDEX(FX_Multi,$AD1371,F$3)</f>
        <v>0</v>
      </c>
      <c r="G1371" cm="1">
        <f t="array" ref="G1371">INDEX(FX_Multi,$AD1371,G$3)</f>
        <v>0</v>
      </c>
      <c r="H1371" cm="1">
        <f t="array" ref="H1371">INDEX(FX_Multi,$AD1371,H$3)</f>
        <v>0</v>
      </c>
      <c r="I1371" cm="1">
        <f t="array" ref="I1371">INDEX(FX_Multi,$AD1371,I$3)</f>
        <v>0</v>
      </c>
      <c r="J1371" cm="1">
        <f t="array" ref="J1371">INDEX(FX_Multi,$AD1371,J$3)</f>
        <v>0</v>
      </c>
      <c r="K1371" cm="1">
        <f t="array" ref="K1371">INDEX(FX_Multi,$AD1371,K$3)</f>
        <v>0</v>
      </c>
      <c r="L1371" cm="1">
        <f t="array" ref="L1371">INDEX(FX_Multi,$AD1371,L$3)</f>
        <v>0</v>
      </c>
      <c r="M1371" cm="1">
        <f t="array" ref="M1371">INDEX(FX_Multi,$AD1371,M$3)</f>
        <v>0</v>
      </c>
      <c r="N1371" cm="1">
        <f t="array" ref="N1371">INDEX(FX_Multi,$AD1371,N$3)</f>
        <v>0</v>
      </c>
      <c r="O1371" cm="1">
        <f t="array" ref="O1371">INDEX(FX_Multi,$AD1371,O$3)</f>
        <v>0</v>
      </c>
      <c r="AC1371">
        <v>1</v>
      </c>
      <c r="AD1371">
        <f>AD1370+2</f>
        <v>564</v>
      </c>
      <c r="AE1371">
        <v>1</v>
      </c>
      <c r="AF1371">
        <f>AF1369</f>
        <v>564</v>
      </c>
    </row>
    <row r="1372" spans="1:32" ht="17.149999999999999" x14ac:dyDescent="0.55000000000000004">
      <c r="B1372" t="str">
        <f t="shared" si="5011"/>
        <v>Portland</v>
      </c>
      <c r="C1372" t="s">
        <v>570</v>
      </c>
      <c r="D1372" cm="1">
        <f t="array" ref="D1372">INDEX(FX_Multi,$AD1372,D$3)</f>
        <v>1</v>
      </c>
      <c r="E1372" cm="1">
        <f t="array" ref="E1372">INDEX(FX_Multi,$AD1372,E$3)</f>
        <v>1</v>
      </c>
      <c r="F1372" cm="1">
        <f t="array" ref="F1372">INDEX(FX_Multi,$AD1372,F$3)</f>
        <v>1</v>
      </c>
      <c r="G1372" cm="1">
        <f t="array" ref="G1372">INDEX(FX_Multi,$AD1372,G$3)</f>
        <v>1</v>
      </c>
      <c r="H1372" cm="1">
        <f t="array" ref="H1372">INDEX(FX_Multi,$AD1372,H$3)</f>
        <v>1</v>
      </c>
      <c r="I1372" cm="1">
        <f t="array" ref="I1372">INDEX(FX_Multi,$AD1372,I$3)</f>
        <v>1</v>
      </c>
      <c r="J1372" cm="1">
        <f t="array" ref="J1372">INDEX(FX_Multi,$AD1372,J$3)</f>
        <v>1</v>
      </c>
      <c r="K1372" cm="1">
        <f t="array" ref="K1372">INDEX(FX_Multi,$AD1372,K$3)</f>
        <v>1</v>
      </c>
      <c r="L1372" cm="1">
        <f t="array" ref="L1372">INDEX(FX_Multi,$AD1372,L$3)</f>
        <v>1</v>
      </c>
      <c r="M1372" cm="1">
        <f t="array" ref="M1372">INDEX(FX_Multi,$AD1372,M$3)</f>
        <v>1</v>
      </c>
      <c r="N1372" cm="1">
        <f t="array" ref="N1372">INDEX(FX_Multi,$AD1372,N$3)</f>
        <v>1</v>
      </c>
      <c r="O1372" cm="1">
        <f t="array" ref="O1372">INDEX(FX_Multi,$AD1372,O$3)</f>
        <v>1</v>
      </c>
      <c r="AC1372">
        <v>1</v>
      </c>
      <c r="AD1372">
        <f>AD1371+6</f>
        <v>570</v>
      </c>
      <c r="AE1372">
        <v>1</v>
      </c>
      <c r="AF1372">
        <f>AF1368+9</f>
        <v>570</v>
      </c>
    </row>
    <row r="1373" spans="1:32" ht="17.149999999999999" x14ac:dyDescent="0.55000000000000004">
      <c r="B1373" t="str">
        <f t="shared" si="5011"/>
        <v>Portland</v>
      </c>
      <c r="C1373" t="s">
        <v>571</v>
      </c>
      <c r="D1373" cm="1">
        <f t="array" ref="D1373">INDEX(FX_Multi,$AD1373,D$3)</f>
        <v>162</v>
      </c>
      <c r="E1373" cm="1">
        <f t="array" ref="E1373">INDEX(FX_Multi,$AD1373,E$3)</f>
        <v>162</v>
      </c>
      <c r="F1373" cm="1">
        <f t="array" ref="F1373">INDEX(FX_Multi,$AD1373,F$3)</f>
        <v>162</v>
      </c>
      <c r="G1373" cm="1">
        <f t="array" ref="G1373">INDEX(FX_Multi,$AD1373,G$3)</f>
        <v>162</v>
      </c>
      <c r="H1373" cm="1">
        <f t="array" ref="H1373">INDEX(FX_Multi,$AD1373,H$3)</f>
        <v>162</v>
      </c>
      <c r="I1373" cm="1">
        <f t="array" ref="I1373">INDEX(FX_Multi,$AD1373,I$3)</f>
        <v>162</v>
      </c>
      <c r="J1373" cm="1">
        <f t="array" ref="J1373">INDEX(FX_Multi,$AD1373,J$3)</f>
        <v>162</v>
      </c>
      <c r="K1373" cm="1">
        <f t="array" ref="K1373">INDEX(FX_Multi,$AD1373,K$3)</f>
        <v>162</v>
      </c>
      <c r="L1373" cm="1">
        <f t="array" ref="L1373">INDEX(FX_Multi,$AD1373,L$3)</f>
        <v>162</v>
      </c>
      <c r="M1373" cm="1">
        <f t="array" ref="M1373">INDEX(FX_Multi,$AD1373,M$3)</f>
        <v>162</v>
      </c>
      <c r="N1373" cm="1">
        <f t="array" ref="N1373">INDEX(FX_Multi,$AD1373,N$3)</f>
        <v>162</v>
      </c>
      <c r="O1373" cm="1">
        <f t="array" ref="O1373">INDEX(FX_Multi,$AD1373,O$3)</f>
        <v>162</v>
      </c>
      <c r="AC1373">
        <v>1</v>
      </c>
      <c r="AD1373">
        <f>AD1372-3</f>
        <v>567</v>
      </c>
      <c r="AE1373">
        <v>1</v>
      </c>
      <c r="AF1373">
        <f>AF1368+6</f>
        <v>567</v>
      </c>
    </row>
    <row r="1374" spans="1:32" ht="17.149999999999999" x14ac:dyDescent="0.55000000000000004">
      <c r="B1374" t="str">
        <f t="shared" si="5011"/>
        <v>Portland</v>
      </c>
      <c r="C1374" t="s">
        <v>572</v>
      </c>
      <c r="D1374" cm="1">
        <f t="array" ref="D1374">INDEX(FX_Multi,$AD1374,D$3)</f>
        <v>0</v>
      </c>
      <c r="E1374" cm="1">
        <f t="array" ref="E1374">INDEX(FX_Multi,$AD1374,E$3)</f>
        <v>0</v>
      </c>
      <c r="F1374" cm="1">
        <f t="array" ref="F1374">INDEX(FX_Multi,$AD1374,F$3)</f>
        <v>0</v>
      </c>
      <c r="G1374" cm="1">
        <f t="array" ref="G1374">INDEX(FX_Multi,$AD1374,G$3)</f>
        <v>0</v>
      </c>
      <c r="H1374" cm="1">
        <f t="array" ref="H1374">INDEX(FX_Multi,$AD1374,H$3)</f>
        <v>0</v>
      </c>
      <c r="I1374" cm="1">
        <f t="array" ref="I1374">INDEX(FX_Multi,$AD1374,I$3)</f>
        <v>0</v>
      </c>
      <c r="J1374" cm="1">
        <f t="array" ref="J1374">INDEX(FX_Multi,$AD1374,J$3)</f>
        <v>0</v>
      </c>
      <c r="K1374" cm="1">
        <f t="array" ref="K1374">INDEX(FX_Multi,$AD1374,K$3)</f>
        <v>0</v>
      </c>
      <c r="L1374" cm="1">
        <f t="array" ref="L1374">INDEX(FX_Multi,$AD1374,L$3)</f>
        <v>0</v>
      </c>
      <c r="M1374" cm="1">
        <f t="array" ref="M1374">INDEX(FX_Multi,$AD1374,M$3)</f>
        <v>0</v>
      </c>
      <c r="N1374" cm="1">
        <f t="array" ref="N1374">INDEX(FX_Multi,$AD1374,N$3)</f>
        <v>0</v>
      </c>
      <c r="O1374" cm="1">
        <f t="array" ref="O1374">INDEX(FX_Multi,$AD1374,O$3)</f>
        <v>0</v>
      </c>
      <c r="AC1374">
        <v>1</v>
      </c>
      <c r="AD1374">
        <f>AD1373+4</f>
        <v>571</v>
      </c>
      <c r="AE1374">
        <v>1</v>
      </c>
      <c r="AF1374">
        <f>AF1368+10</f>
        <v>571</v>
      </c>
    </row>
    <row r="1375" spans="1:32" ht="17.149999999999999" x14ac:dyDescent="0.55000000000000004">
      <c r="B1375" t="str">
        <f t="shared" si="5011"/>
        <v>Portland</v>
      </c>
      <c r="C1375" t="s">
        <v>573</v>
      </c>
      <c r="D1375" cm="1">
        <f t="array" ref="D1375">INDEX(FX_Multi,$AD1375,D$3)</f>
        <v>0</v>
      </c>
      <c r="E1375" cm="1">
        <f t="array" ref="E1375">INDEX(FX_Multi,$AD1375,E$3)</f>
        <v>0</v>
      </c>
      <c r="F1375" cm="1">
        <f t="array" ref="F1375">INDEX(FX_Multi,$AD1375,F$3)</f>
        <v>0</v>
      </c>
      <c r="G1375" cm="1">
        <f t="array" ref="G1375">INDEX(FX_Multi,$AD1375,G$3)</f>
        <v>0</v>
      </c>
      <c r="H1375" cm="1">
        <f t="array" ref="H1375">INDEX(FX_Multi,$AD1375,H$3)</f>
        <v>0</v>
      </c>
      <c r="I1375" cm="1">
        <f t="array" ref="I1375">INDEX(FX_Multi,$AD1375,I$3)</f>
        <v>0</v>
      </c>
      <c r="J1375" cm="1">
        <f t="array" ref="J1375">INDEX(FX_Multi,$AD1375,J$3)</f>
        <v>0</v>
      </c>
      <c r="K1375" cm="1">
        <f t="array" ref="K1375">INDEX(FX_Multi,$AD1375,K$3)</f>
        <v>0</v>
      </c>
      <c r="L1375" cm="1">
        <f t="array" ref="L1375">INDEX(FX_Multi,$AD1375,L$3)</f>
        <v>0</v>
      </c>
      <c r="M1375" cm="1">
        <f t="array" ref="M1375">INDEX(FX_Multi,$AD1375,M$3)</f>
        <v>0</v>
      </c>
      <c r="N1375" cm="1">
        <f t="array" ref="N1375">INDEX(FX_Multi,$AD1375,N$3)</f>
        <v>0</v>
      </c>
      <c r="O1375" cm="1">
        <f t="array" ref="O1375">INDEX(FX_Multi,$AD1375,O$3)</f>
        <v>0</v>
      </c>
      <c r="AC1375">
        <v>1</v>
      </c>
      <c r="AD1375">
        <f>AD1374-3</f>
        <v>568</v>
      </c>
      <c r="AE1375">
        <v>1</v>
      </c>
      <c r="AF1375">
        <f>AF1368+7</f>
        <v>568</v>
      </c>
    </row>
    <row r="1376" spans="1:32" ht="17.149999999999999" x14ac:dyDescent="0.55000000000000004">
      <c r="B1376" t="str">
        <f>B1371</f>
        <v>Portland</v>
      </c>
      <c r="C1376" t="s">
        <v>526</v>
      </c>
      <c r="D1376" cm="1">
        <f t="array" ref="D1376">INDEX(FX_Temps,$AF1376,D$3)</f>
        <v>43.899999999999977</v>
      </c>
      <c r="E1376" cm="1">
        <f t="array" ref="E1376">INDEX(FX_Temps,$AF1376,E$3)</f>
        <v>44.700000000000045</v>
      </c>
      <c r="F1376" cm="1">
        <f t="array" ref="F1376">INDEX(FX_Temps,$AF1376,F$3)</f>
        <v>46.100000000000023</v>
      </c>
      <c r="G1376" cm="1">
        <f t="array" ref="G1376">INDEX(FX_Temps,$AF1376,G$3)</f>
        <v>48.599999999999966</v>
      </c>
      <c r="H1376" cm="1">
        <f t="array" ref="H1376">INDEX(FX_Temps,$AF1376,H$3)</f>
        <v>53.149999999999977</v>
      </c>
      <c r="I1376" cm="1">
        <f t="array" ref="I1376">INDEX(FX_Temps,$AF1376,I$3)</f>
        <v>56.950000000000045</v>
      </c>
      <c r="J1376" cm="1">
        <f t="array" ref="J1376">INDEX(FX_Temps,$AF1376,J$3)</f>
        <v>60.449999999999932</v>
      </c>
      <c r="K1376" cm="1">
        <f t="array" ref="K1376">INDEX(FX_Temps,$AF1376,K$3)</f>
        <v>60.899999999999977</v>
      </c>
      <c r="L1376" cm="1">
        <f t="array" ref="L1376">INDEX(FX_Temps,$AF1376,L$3)</f>
        <v>58.600000000000023</v>
      </c>
      <c r="M1376" cm="1">
        <f t="array" ref="M1376">INDEX(FX_Temps,$AF1376,M$3)</f>
        <v>52.649999999999977</v>
      </c>
      <c r="N1376" cm="1">
        <f t="array" ref="N1376">INDEX(FX_Temps,$AF1376,N$3)</f>
        <v>47.100000000000023</v>
      </c>
      <c r="O1376" cm="1">
        <f t="array" ref="O1376">INDEX(FX_Temps,$AF1376,O$3)</f>
        <v>43.600000000000023</v>
      </c>
      <c r="AE1376">
        <v>1</v>
      </c>
      <c r="AF1376">
        <f>AF1368+10</f>
        <v>571</v>
      </c>
    </row>
    <row r="1377" spans="2:32" ht="17.149999999999999" x14ac:dyDescent="0.55000000000000004">
      <c r="B1377" t="str">
        <f t="shared" ref="B1377:B1398" si="5012">B1376</f>
        <v>Portland</v>
      </c>
      <c r="C1377" t="s">
        <v>527</v>
      </c>
      <c r="D1377" cm="1">
        <f t="array" ref="D1377">INDEX(FX_Temps,$AF1377,D$3)</f>
        <v>43.899999999999977</v>
      </c>
      <c r="E1377" cm="1">
        <f t="array" ref="E1377">INDEX(FX_Temps,$AF1377,E$3)</f>
        <v>44.700000000000045</v>
      </c>
      <c r="F1377" cm="1">
        <f t="array" ref="F1377">INDEX(FX_Temps,$AF1377,F$3)</f>
        <v>46.100000000000023</v>
      </c>
      <c r="G1377" cm="1">
        <f t="array" ref="G1377">INDEX(FX_Temps,$AF1377,G$3)</f>
        <v>48.599999999999966</v>
      </c>
      <c r="H1377" cm="1">
        <f t="array" ref="H1377">INDEX(FX_Temps,$AF1377,H$3)</f>
        <v>53.149999999999977</v>
      </c>
      <c r="I1377" cm="1">
        <f t="array" ref="I1377">INDEX(FX_Temps,$AF1377,I$3)</f>
        <v>56.950000000000045</v>
      </c>
      <c r="J1377" cm="1">
        <f t="array" ref="J1377">INDEX(FX_Temps,$AF1377,J$3)</f>
        <v>60.449999999999932</v>
      </c>
      <c r="K1377" cm="1">
        <f t="array" ref="K1377">INDEX(FX_Temps,$AF1377,K$3)</f>
        <v>60.899999999999977</v>
      </c>
      <c r="L1377" cm="1">
        <f t="array" ref="L1377">INDEX(FX_Temps,$AF1377,L$3)</f>
        <v>58.600000000000023</v>
      </c>
      <c r="M1377" cm="1">
        <f t="array" ref="M1377">INDEX(FX_Temps,$AF1377,M$3)</f>
        <v>52.649999999999977</v>
      </c>
      <c r="N1377" cm="1">
        <f t="array" ref="N1377">INDEX(FX_Temps,$AF1377,N$3)</f>
        <v>47.100000000000023</v>
      </c>
      <c r="O1377" cm="1">
        <f t="array" ref="O1377">INDEX(FX_Temps,$AF1377,O$3)</f>
        <v>43.600000000000023</v>
      </c>
      <c r="AE1377">
        <f>AE1376</f>
        <v>1</v>
      </c>
      <c r="AF1377">
        <f>AF1368+11</f>
        <v>572</v>
      </c>
    </row>
    <row r="1378" spans="2:32" ht="17.149999999999999" x14ac:dyDescent="0.55000000000000004">
      <c r="B1378" t="str">
        <f t="shared" si="5012"/>
        <v>Portland</v>
      </c>
      <c r="C1378" t="s">
        <v>552</v>
      </c>
      <c r="D1378" cm="1">
        <f t="array" ref="D1378">INDEX(FX_Temps,$AF1378,D$3)</f>
        <v>43.899999999999977</v>
      </c>
      <c r="E1378" cm="1">
        <f t="array" ref="E1378">INDEX(FX_Temps,$AF1378,E$3)</f>
        <v>44.700000000000045</v>
      </c>
      <c r="F1378" cm="1">
        <f t="array" ref="F1378">INDEX(FX_Temps,$AF1378,F$3)</f>
        <v>46.100000000000023</v>
      </c>
      <c r="G1378" cm="1">
        <f t="array" ref="G1378">INDEX(FX_Temps,$AF1378,G$3)</f>
        <v>48.599999999999966</v>
      </c>
      <c r="H1378" cm="1">
        <f t="array" ref="H1378">INDEX(FX_Temps,$AF1378,H$3)</f>
        <v>53.149999999999977</v>
      </c>
      <c r="I1378" cm="1">
        <f t="array" ref="I1378">INDEX(FX_Temps,$AF1378,I$3)</f>
        <v>56.950000000000045</v>
      </c>
      <c r="J1378" cm="1">
        <f t="array" ref="J1378">INDEX(FX_Temps,$AF1378,J$3)</f>
        <v>60.449999999999932</v>
      </c>
      <c r="K1378" cm="1">
        <f t="array" ref="K1378">INDEX(FX_Temps,$AF1378,K$3)</f>
        <v>60.899999999999977</v>
      </c>
      <c r="L1378" cm="1">
        <f t="array" ref="L1378">INDEX(FX_Temps,$AF1378,L$3)</f>
        <v>58.600000000000023</v>
      </c>
      <c r="M1378" cm="1">
        <f t="array" ref="M1378">INDEX(FX_Temps,$AF1378,M$3)</f>
        <v>52.649999999999977</v>
      </c>
      <c r="N1378" cm="1">
        <f t="array" ref="N1378">INDEX(FX_Temps,$AF1378,N$3)</f>
        <v>47.100000000000023</v>
      </c>
      <c r="O1378" cm="1">
        <f t="array" ref="O1378">INDEX(FX_Temps,$AF1378,O$3)</f>
        <v>43.600000000000023</v>
      </c>
      <c r="AE1378">
        <f>AE1377</f>
        <v>1</v>
      </c>
      <c r="AF1378">
        <f>AF1368+13</f>
        <v>574</v>
      </c>
    </row>
    <row r="1379" spans="2:32" ht="17.149999999999999" x14ac:dyDescent="0.55000000000000004">
      <c r="B1379" t="str">
        <f t="shared" si="5012"/>
        <v>Portland</v>
      </c>
      <c r="C1379" t="s">
        <v>574</v>
      </c>
      <c r="D1379" s="20" cm="1">
        <f t="array" ref="D1379">IFERROR(IF(D1369="Chemical",(10^(INDEX(Antoines,MATCH(D1368,Antoine_Name,0),2)-INDEX(Antoines,MATCH(D1368,Antoine_Name,0),3)/(INDEX(Antoines,MATCH(D1368,Antoine_Name,0),4)+(D1376-32)*5/9)))*14.7/760,IF(D1369="Crude Oil",EXP((2799/(D1376+459.6)-2.227)*LOG10(INDEX(FX_Input,Q$5,D$3*$Z$5+$AA$5))-(7261/(D1376+459.6))+12.82),IF(D1369="Refined Petroleum Stock",EXP((0.7553-(413/(D1376+459.6)))*(INDEX(FX_Input,Q$5,D$3*$Z$5+$AA$5-1)^0.5)*LOG10(INDEX(FX_Input,Q$5,D$3*$Z$5+$AA$5))-(1.854-(1042/(D1376+459.6)))*(INDEX(FX_Input,Q$5,D$3*$Z$5+$AA$5-1)^0.5)+((2416/(D1376+459.6)-2.013)*LOG10(INDEX(FX_Input,Q$5,D$3*$Z$5+$AA$5)))-(8742/(D1376+459.6))+15.64),EXP(INDEX(Antoines,MATCH(D1368,Antoine_Name,0),2)-INDEX(Antoines,MATCH(D1368,Antoine_Name,0),3)/(D1376+459.6))))),0)</f>
        <v>4.739577185808354E-3</v>
      </c>
      <c r="E1379" cm="1">
        <f t="array" ref="E1379">IFERROR(IF(E1369="Chemical",(10^(INDEX(Antoines,MATCH(E1368,Antoine_Name,0),2)-INDEX(Antoines,MATCH(E1368,Antoine_Name,0),3)/(INDEX(Antoines,MATCH(E1368,Antoine_Name,0),4)+(E1376-32)*5/9)))*14.7/760,IF(E1369="Crude Oil",EXP((2799/(E1376+459.6)-2.227)*LOG10(INDEX(FX_Input,R$5,E$3*$Z$5+$AA$5))-(7261/(E1376+459.6))+12.82),IF(E1369="Refined Petroleum Stock",EXP((0.7553-(413/(E1376+459.6)))*(INDEX(FX_Input,R$5,E$3*$Z$5+$AA$5-1)^0.5)*LOG10(INDEX(FX_Input,R$5,E$3*$Z$5+$AA$5))-(1.854-(1042/(E1376+459.6)))*(INDEX(FX_Input,R$5,E$3*$Z$5+$AA$5-1)^0.5)+((2416/(E1376+459.6)-2.013)*LOG10(INDEX(FX_Input,R$5,E$3*$Z$5+$AA$5)))-(8742/(E1376+459.6))+15.64),EXP(INDEX(Antoines,MATCH(E1368,Antoine_Name,0),2)-INDEX(Antoines,MATCH(E1368,Antoine_Name,0),3)/(E1376+459.6))))),0)</f>
        <v>4.8748667780818778E-3</v>
      </c>
      <c r="F1379" cm="1">
        <f t="array" ref="F1379">IFERROR(IF(F1369="Chemical",(10^(INDEX(Antoines,MATCH(F1368,Antoine_Name,0),2)-INDEX(Antoines,MATCH(F1368,Antoine_Name,0),3)/(INDEX(Antoines,MATCH(F1368,Antoine_Name,0),4)+(F1376-32)*5/9)))*14.7/760,IF(F1369="Crude Oil",EXP((2799/(F1376+459.6)-2.227)*LOG10(INDEX(FX_Input,S$5,F$3*$Z$5+$AA$5))-(7261/(F1376+459.6))+12.82),IF(F1369="Refined Petroleum Stock",EXP((0.7553-(413/(F1376+459.6)))*(INDEX(FX_Input,S$5,F$3*$Z$5+$AA$5-1)^0.5)*LOG10(INDEX(FX_Input,S$5,F$3*$Z$5+$AA$5))-(1.854-(1042/(F1376+459.6)))*(INDEX(FX_Input,S$5,F$3*$Z$5+$AA$5-1)^0.5)+((2416/(F1376+459.6)-2.013)*LOG10(INDEX(FX_Input,S$5,F$3*$Z$5+$AA$5)))-(8742/(F1376+459.6))+15.64),EXP(INDEX(Antoines,MATCH(F1368,Antoine_Name,0),2)-INDEX(Antoines,MATCH(F1368,Antoine_Name,0),3)/(F1376+459.6))))),0)</f>
        <v>5.119885034186122E-3</v>
      </c>
      <c r="G1379" cm="1">
        <f t="array" ref="G1379">IFERROR(IF(G1369="Chemical",(10^(INDEX(Antoines,MATCH(G1368,Antoine_Name,0),2)-INDEX(Antoines,MATCH(G1368,Antoine_Name,0),3)/(INDEX(Antoines,MATCH(G1368,Antoine_Name,0),4)+(G1376-32)*5/9)))*14.7/760,IF(G1369="Crude Oil",EXP((2799/(G1376+459.6)-2.227)*LOG10(INDEX(FX_Input,T$5,G$3*$Z$5+$AA$5))-(7261/(G1376+459.6))+12.82),IF(G1369="Refined Petroleum Stock",EXP((0.7553-(413/(G1376+459.6)))*(INDEX(FX_Input,T$5,G$3*$Z$5+$AA$5-1)^0.5)*LOG10(INDEX(FX_Input,T$5,G$3*$Z$5+$AA$5))-(1.854-(1042/(G1376+459.6)))*(INDEX(FX_Input,T$5,G$3*$Z$5+$AA$5-1)^0.5)+((2416/(G1376+459.6)-2.013)*LOG10(INDEX(FX_Input,T$5,G$3*$Z$5+$AA$5)))-(8742/(G1376+459.6))+15.64),EXP(INDEX(Antoines,MATCH(G1368,Antoine_Name,0),2)-INDEX(Antoines,MATCH(G1368,Antoine_Name,0),3)/(G1376+459.6))))),0)</f>
        <v>5.5846958573521795E-3</v>
      </c>
      <c r="H1379" cm="1">
        <f t="array" ref="H1379">IFERROR(IF(H1369="Chemical",(10^(INDEX(Antoines,MATCH(H1368,Antoine_Name,0),2)-INDEX(Antoines,MATCH(H1368,Antoine_Name,0),3)/(INDEX(Antoines,MATCH(H1368,Antoine_Name,0),4)+(H1376-32)*5/9)))*14.7/760,IF(H1369="Crude Oil",EXP((2799/(H1376+459.6)-2.227)*LOG10(INDEX(FX_Input,U$5,H$3*$Z$5+$AA$5))-(7261/(H1376+459.6))+12.82),IF(H1369="Refined Petroleum Stock",EXP((0.7553-(413/(H1376+459.6)))*(INDEX(FX_Input,U$5,H$3*$Z$5+$AA$5-1)^0.5)*LOG10(INDEX(FX_Input,U$5,H$3*$Z$5+$AA$5))-(1.854-(1042/(H1376+459.6)))*(INDEX(FX_Input,U$5,H$3*$Z$5+$AA$5-1)^0.5)+((2416/(H1376+459.6)-2.013)*LOG10(INDEX(FX_Input,U$5,H$3*$Z$5+$AA$5)))-(8742/(H1376+459.6))+15.64),EXP(INDEX(Antoines,MATCH(H1368,Antoine_Name,0),2)-INDEX(Antoines,MATCH(H1368,Antoine_Name,0),3)/(H1376+459.6))))),0)</f>
        <v>6.5274070972739821E-3</v>
      </c>
      <c r="I1379" cm="1">
        <f t="array" ref="I1379">IFERROR(IF(I1369="Chemical",(10^(INDEX(Antoines,MATCH(I1368,Antoine_Name,0),2)-INDEX(Antoines,MATCH(I1368,Antoine_Name,0),3)/(INDEX(Antoines,MATCH(I1368,Antoine_Name,0),4)+(I1376-32)*5/9)))*14.7/760,IF(I1369="Crude Oil",EXP((2799/(I1376+459.6)-2.227)*LOG10(INDEX(FX_Input,V$5,I$3*$Z$5+$AA$5))-(7261/(I1376+459.6))+12.82),IF(I1369="Refined Petroleum Stock",EXP((0.7553-(413/(I1376+459.6)))*(INDEX(FX_Input,V$5,I$3*$Z$5+$AA$5-1)^0.5)*LOG10(INDEX(FX_Input,V$5,I$3*$Z$5+$AA$5))-(1.854-(1042/(I1376+459.6)))*(INDEX(FX_Input,V$5,I$3*$Z$5+$AA$5-1)^0.5)+((2416/(I1376+459.6)-2.013)*LOG10(INDEX(FX_Input,V$5,I$3*$Z$5+$AA$5)))-(8742/(I1376+459.6))+15.64),EXP(INDEX(Antoines,MATCH(I1368,Antoine_Name,0),2)-INDEX(Antoines,MATCH(I1368,Antoine_Name,0),3)/(I1376+459.6))))),0)</f>
        <v>7.4199539958878279E-3</v>
      </c>
      <c r="J1379" cm="1">
        <f t="array" ref="J1379">IFERROR(IF(J1369="Chemical",(10^(INDEX(Antoines,MATCH(J1368,Antoine_Name,0),2)-INDEX(Antoines,MATCH(J1368,Antoine_Name,0),3)/(INDEX(Antoines,MATCH(J1368,Antoine_Name,0),4)+(J1376-32)*5/9)))*14.7/760,IF(J1369="Crude Oil",EXP((2799/(J1376+459.6)-2.227)*LOG10(INDEX(FX_Input,W$5,J$3*$Z$5+$AA$5))-(7261/(J1376+459.6))+12.82),IF(J1369="Refined Petroleum Stock",EXP((0.7553-(413/(J1376+459.6)))*(INDEX(FX_Input,W$5,J$3*$Z$5+$AA$5-1)^0.5)*LOG10(INDEX(FX_Input,W$5,J$3*$Z$5+$AA$5))-(1.854-(1042/(J1376+459.6)))*(INDEX(FX_Input,W$5,J$3*$Z$5+$AA$5-1)^0.5)+((2416/(J1376+459.6)-2.013)*LOG10(INDEX(FX_Input,W$5,J$3*$Z$5+$AA$5)))-(8742/(J1376+459.6))+15.64),EXP(INDEX(Antoines,MATCH(J1368,Antoine_Name,0),2)-INDEX(Antoines,MATCH(J1368,Antoine_Name,0),3)/(J1376+459.6))))),0)</f>
        <v>8.3358107202842254E-3</v>
      </c>
      <c r="K1379" cm="1">
        <f t="array" ref="K1379">IFERROR(IF(K1369="Chemical",(10^(INDEX(Antoines,MATCH(K1368,Antoine_Name,0),2)-INDEX(Antoines,MATCH(K1368,Antoine_Name,0),3)/(INDEX(Antoines,MATCH(K1368,Antoine_Name,0),4)+(K1376-32)*5/9)))*14.7/760,IF(K1369="Crude Oil",EXP((2799/(K1376+459.6)-2.227)*LOG10(INDEX(FX_Input,X$5,K$3*$Z$5+$AA$5))-(7261/(K1376+459.6))+12.82),IF(K1369="Refined Petroleum Stock",EXP((0.7553-(413/(K1376+459.6)))*(INDEX(FX_Input,X$5,K$3*$Z$5+$AA$5-1)^0.5)*LOG10(INDEX(FX_Input,X$5,K$3*$Z$5+$AA$5))-(1.854-(1042/(K1376+459.6)))*(INDEX(FX_Input,X$5,K$3*$Z$5+$AA$5-1)^0.5)+((2416/(K1376+459.6)-2.013)*LOG10(INDEX(FX_Input,X$5,K$3*$Z$5+$AA$5)))-(8742/(K1376+459.6))+15.64),EXP(INDEX(Antoines,MATCH(K1368,Antoine_Name,0),2)-INDEX(Antoines,MATCH(K1368,Antoine_Name,0),3)/(K1376+459.6))))),0)</f>
        <v>8.4605262729351115E-3</v>
      </c>
      <c r="L1379" cm="1">
        <f t="array" ref="L1379">IFERROR(IF(L1369="Chemical",(10^(INDEX(Antoines,MATCH(L1368,Antoine_Name,0),2)-INDEX(Antoines,MATCH(L1368,Antoine_Name,0),3)/(INDEX(Antoines,MATCH(L1368,Antoine_Name,0),4)+(L1376-32)*5/9)))*14.7/760,IF(L1369="Crude Oil",EXP((2799/(L1376+459.6)-2.227)*LOG10(INDEX(FX_Input,Y$5,L$3*$Z$5+$AA$5))-(7261/(L1376+459.6))+12.82),IF(L1369="Refined Petroleum Stock",EXP((0.7553-(413/(L1376+459.6)))*(INDEX(FX_Input,Y$5,L$3*$Z$5+$AA$5-1)^0.5)*LOG10(INDEX(FX_Input,Y$5,L$3*$Z$5+$AA$5))-(1.854-(1042/(L1376+459.6)))*(INDEX(FX_Input,Y$5,L$3*$Z$5+$AA$5-1)^0.5)+((2416/(L1376+459.6)-2.013)*LOG10(INDEX(FX_Input,Y$5,L$3*$Z$5+$AA$5)))-(8742/(L1376+459.6))+15.64),EXP(INDEX(Antoines,MATCH(L1368,Antoine_Name,0),2)-INDEX(Antoines,MATCH(L1368,Antoine_Name,0),3)/(L1376+459.6))))),0)</f>
        <v>7.8399882233967533E-3</v>
      </c>
      <c r="M1379" cm="1">
        <f t="array" ref="M1379">IFERROR(IF(M1369="Chemical",(10^(INDEX(Antoines,MATCH(M1368,Antoine_Name,0),2)-INDEX(Antoines,MATCH(M1368,Antoine_Name,0),3)/(INDEX(Antoines,MATCH(M1368,Antoine_Name,0),4)+(M1376-32)*5/9)))*14.7/760,IF(M1369="Crude Oil",EXP((2799/(M1376+459.6)-2.227)*LOG10(INDEX(FX_Input,Z$5,M$3*$Z$5+$AA$5))-(7261/(M1376+459.6))+12.82),IF(M1369="Refined Petroleum Stock",EXP((0.7553-(413/(M1376+459.6)))*(INDEX(FX_Input,Z$5,M$3*$Z$5+$AA$5-1)^0.5)*LOG10(INDEX(FX_Input,Z$5,M$3*$Z$5+$AA$5))-(1.854-(1042/(M1376+459.6)))*(INDEX(FX_Input,Z$5,M$3*$Z$5+$AA$5-1)^0.5)+((2416/(M1376+459.6)-2.013)*LOG10(INDEX(FX_Input,Z$5,M$3*$Z$5+$AA$5)))-(8742/(M1376+459.6))+15.64),EXP(INDEX(Antoines,MATCH(M1368,Antoine_Name,0),2)-INDEX(Antoines,MATCH(M1368,Antoine_Name,0),3)/(M1376+459.6))))),0)</f>
        <v>6.4173462075160911E-3</v>
      </c>
      <c r="N1379" cm="1">
        <f t="array" ref="N1379">IFERROR(IF(N1369="Chemical",(10^(INDEX(Antoines,MATCH(N1368,Antoine_Name,0),2)-INDEX(Antoines,MATCH(N1368,Antoine_Name,0),3)/(INDEX(Antoines,MATCH(N1368,Antoine_Name,0),4)+(N1376-32)*5/9)))*14.7/760,IF(N1369="Crude Oil",EXP((2799/(N1376+459.6)-2.227)*LOG10(INDEX(FX_Input,AA$5,N$3*$Z$5+$AA$5))-(7261/(N1376+459.6))+12.82),IF(N1369="Refined Petroleum Stock",EXP((0.7553-(413/(N1376+459.6)))*(INDEX(FX_Input,AA$5,N$3*$Z$5+$AA$5-1)^0.5)*LOG10(INDEX(FX_Input,AA$5,N$3*$Z$5+$AA$5))-(1.854-(1042/(N1376+459.6)))*(INDEX(FX_Input,AA$5,N$3*$Z$5+$AA$5-1)^0.5)+((2416/(N1376+459.6)-2.013)*LOG10(INDEX(FX_Input,AA$5,N$3*$Z$5+$AA$5)))-(8742/(N1376+459.6))+15.64),EXP(INDEX(Antoines,MATCH(N1368,Antoine_Name,0),2)-INDEX(Antoines,MATCH(N1368,Antoine_Name,0),3)/(N1376+459.6))))),0)</f>
        <v>5.3015226887581056E-3</v>
      </c>
      <c r="O1379" cm="1">
        <f t="array" ref="O1379">IFERROR(IF(O1369="Chemical",(10^(INDEX(Antoines,MATCH(O1368,Antoine_Name,0),2)-INDEX(Antoines,MATCH(O1368,Antoine_Name,0),3)/(INDEX(Antoines,MATCH(O1368,Antoine_Name,0),4)+(O1376-32)*5/9)))*14.7/760,IF(O1369="Crude Oil",EXP((2799/(O1376+459.6)-2.227)*LOG10(INDEX(FX_Input,AB$5,O$3*$Z$5+$AA$5))-(7261/(O1376+459.6))+12.82),IF(O1369="Refined Petroleum Stock",EXP((0.7553-(413/(O1376+459.6)))*(INDEX(FX_Input,AB$5,O$3*$Z$5+$AA$5-1)^0.5)*LOG10(INDEX(FX_Input,AB$5,O$3*$Z$5+$AA$5))-(1.854-(1042/(O1376+459.6)))*(INDEX(FX_Input,AB$5,O$3*$Z$5+$AA$5-1)^0.5)+((2416/(O1376+459.6)-2.013)*LOG10(INDEX(FX_Input,AB$5,O$3*$Z$5+$AA$5)))-(8742/(O1376+459.6))+15.64),EXP(INDEX(Antoines,MATCH(O1368,Antoine_Name,0),2)-INDEX(Antoines,MATCH(O1368,Antoine_Name,0),3)/(O1376+459.6))))),0)</f>
        <v>4.68970903600947E-3</v>
      </c>
    </row>
    <row r="1380" spans="2:32" ht="17.149999999999999" x14ac:dyDescent="0.55000000000000004">
      <c r="B1380" t="str">
        <f t="shared" si="5012"/>
        <v>Portland</v>
      </c>
      <c r="C1380" t="s">
        <v>576</v>
      </c>
      <c r="D1380">
        <f>D1372*D1379</f>
        <v>4.739577185808354E-3</v>
      </c>
      <c r="E1380">
        <f t="shared" ref="E1380" si="5013">E1372*E1379</f>
        <v>4.8748667780818778E-3</v>
      </c>
      <c r="F1380">
        <f t="shared" ref="F1380" si="5014">F1372*F1379</f>
        <v>5.119885034186122E-3</v>
      </c>
      <c r="G1380">
        <f t="shared" ref="G1380" si="5015">G1372*G1379</f>
        <v>5.5846958573521795E-3</v>
      </c>
      <c r="H1380">
        <f t="shared" ref="H1380" si="5016">H1372*H1379</f>
        <v>6.5274070972739821E-3</v>
      </c>
      <c r="I1380">
        <f t="shared" ref="I1380" si="5017">I1372*I1379</f>
        <v>7.4199539958878279E-3</v>
      </c>
      <c r="J1380">
        <f t="shared" ref="J1380" si="5018">J1372*J1379</f>
        <v>8.3358107202842254E-3</v>
      </c>
      <c r="K1380">
        <f t="shared" ref="K1380" si="5019">K1372*K1379</f>
        <v>8.4605262729351115E-3</v>
      </c>
      <c r="L1380">
        <f t="shared" ref="L1380" si="5020">L1372*L1379</f>
        <v>7.8399882233967533E-3</v>
      </c>
      <c r="M1380">
        <f t="shared" ref="M1380" si="5021">M1372*M1379</f>
        <v>6.4173462075160911E-3</v>
      </c>
      <c r="N1380">
        <f t="shared" ref="N1380" si="5022">N1372*N1379</f>
        <v>5.3015226887581056E-3</v>
      </c>
      <c r="O1380">
        <f t="shared" ref="O1380" si="5023">O1372*O1379</f>
        <v>4.68970903600947E-3</v>
      </c>
    </row>
    <row r="1381" spans="2:32" ht="17.149999999999999" x14ac:dyDescent="0.55000000000000004">
      <c r="B1381" t="str">
        <f t="shared" si="5012"/>
        <v>Portland</v>
      </c>
      <c r="C1381" t="s">
        <v>575</v>
      </c>
      <c r="D1381" cm="1">
        <f t="array" ref="D1381">IFERROR(IF(D1371="Chemical",(10^(INDEX(Antoines,MATCH(D1370,Antoine_Name,0),2)-INDEX(Antoines,MATCH(D1370,Antoine_Name,0),3)/(INDEX(Antoines,MATCH(D1370,Antoine_Name,0),4)+(D1376-32)*5/9)))*14.7/760,IF(D1371="Crude Oil",EXP((2799/(D1376+459.6)-2.227)*LOG10(INDEX(FX_Input,Q$5,D$3*$Z$5+$AA$5))-(7261/(D1376+459.6))+12.82),IF(D1371="Refined Petroleum Stock",EXP((0.7553-(413/(D1376+459.6)))*(INDEX(FX_Input,Q$5,D$3*$Z$5+$AA$5-1)^0.5)*LOG10(INDEX(FX_Input,Q$5,D$3*$Z$5+$AA$5))-(1.854-(1042/(D1376+459.6)))*(INDEX(FX_Input,Q$5,D$3*$Z$5+$AA$5-1)^0.5)+((2416/(D1376+459.6)-2.013)*LOG10(INDEX(FX_Input,Q$5,D$3*$Z$5+$AA$5)))-(8742/(D1376+459.6))+15.64),EXP(INDEX(Antoines,MATCH(D1370,Antoine_Name,0),2)-INDEX(Antoines,MATCH(D1370,Antoine_Name,0),3)/(D1376+459.6))))),0)</f>
        <v>0</v>
      </c>
      <c r="E1381" cm="1">
        <f t="array" ref="E1381">IFERROR(IF(E1371="Chemical",(10^(INDEX(Antoines,MATCH(E1370,Antoine_Name,0),2)-INDEX(Antoines,MATCH(E1370,Antoine_Name,0),3)/(INDEX(Antoines,MATCH(E1370,Antoine_Name,0),4)+(E1376-32)*5/9)))*14.7/760,IF(E1371="Crude Oil",EXP((2799/(E1376+459.6)-2.227)*LOG10(INDEX(FX_Input,R$5,E$3*$Z$5+$AA$5))-(7261/(E1376+459.6))+12.82),IF(E1371="Refined Petroleum Stock",EXP((0.7553-(413/(E1376+459.6)))*(INDEX(FX_Input,R$5,E$3*$Z$5+$AA$5-1)^0.5)*LOG10(INDEX(FX_Input,R$5,E$3*$Z$5+$AA$5))-(1.854-(1042/(E1376+459.6)))*(INDEX(FX_Input,R$5,E$3*$Z$5+$AA$5-1)^0.5)+((2416/(E1376+459.6)-2.013)*LOG10(INDEX(FX_Input,R$5,E$3*$Z$5+$AA$5)))-(8742/(E1376+459.6))+15.64),EXP(INDEX(Antoines,MATCH(E1370,Antoine_Name,0),2)-INDEX(Antoines,MATCH(E1370,Antoine_Name,0),3)/(E1376+459.6))))),0)</f>
        <v>0</v>
      </c>
      <c r="F1381" cm="1">
        <f t="array" ref="F1381">IFERROR(IF(F1371="Chemical",(10^(INDEX(Antoines,MATCH(F1370,Antoine_Name,0),2)-INDEX(Antoines,MATCH(F1370,Antoine_Name,0),3)/(INDEX(Antoines,MATCH(F1370,Antoine_Name,0),4)+(F1376-32)*5/9)))*14.7/760,IF(F1371="Crude Oil",EXP((2799/(F1376+459.6)-2.227)*LOG10(INDEX(FX_Input,S$5,F$3*$Z$5+$AA$5))-(7261/(F1376+459.6))+12.82),IF(F1371="Refined Petroleum Stock",EXP((0.7553-(413/(F1376+459.6)))*(INDEX(FX_Input,S$5,F$3*$Z$5+$AA$5-1)^0.5)*LOG10(INDEX(FX_Input,S$5,F$3*$Z$5+$AA$5))-(1.854-(1042/(F1376+459.6)))*(INDEX(FX_Input,S$5,F$3*$Z$5+$AA$5-1)^0.5)+((2416/(F1376+459.6)-2.013)*LOG10(INDEX(FX_Input,S$5,F$3*$Z$5+$AA$5)))-(8742/(F1376+459.6))+15.64),EXP(INDEX(Antoines,MATCH(F1370,Antoine_Name,0),2)-INDEX(Antoines,MATCH(F1370,Antoine_Name,0),3)/(F1376+459.6))))),0)</f>
        <v>0</v>
      </c>
      <c r="G1381" cm="1">
        <f t="array" ref="G1381">IFERROR(IF(G1371="Chemical",(10^(INDEX(Antoines,MATCH(G1370,Antoine_Name,0),2)-INDEX(Antoines,MATCH(G1370,Antoine_Name,0),3)/(INDEX(Antoines,MATCH(G1370,Antoine_Name,0),4)+(G1376-32)*5/9)))*14.7/760,IF(G1371="Crude Oil",EXP((2799/(G1376+459.6)-2.227)*LOG10(INDEX(FX_Input,T$5,G$3*$Z$5+$AA$5))-(7261/(G1376+459.6))+12.82),IF(G1371="Refined Petroleum Stock",EXP((0.7553-(413/(G1376+459.6)))*(INDEX(FX_Input,T$5,G$3*$Z$5+$AA$5-1)^0.5)*LOG10(INDEX(FX_Input,T$5,G$3*$Z$5+$AA$5))-(1.854-(1042/(G1376+459.6)))*(INDEX(FX_Input,T$5,G$3*$Z$5+$AA$5-1)^0.5)+((2416/(G1376+459.6)-2.013)*LOG10(INDEX(FX_Input,T$5,G$3*$Z$5+$AA$5)))-(8742/(G1376+459.6))+15.64),EXP(INDEX(Antoines,MATCH(G1370,Antoine_Name,0),2)-INDEX(Antoines,MATCH(G1370,Antoine_Name,0),3)/(G1376+459.6))))),0)</f>
        <v>0</v>
      </c>
      <c r="H1381" cm="1">
        <f t="array" ref="H1381">IFERROR(IF(H1371="Chemical",(10^(INDEX(Antoines,MATCH(H1370,Antoine_Name,0),2)-INDEX(Antoines,MATCH(H1370,Antoine_Name,0),3)/(INDEX(Antoines,MATCH(H1370,Antoine_Name,0),4)+(H1376-32)*5/9)))*14.7/760,IF(H1371="Crude Oil",EXP((2799/(H1376+459.6)-2.227)*LOG10(INDEX(FX_Input,U$5,H$3*$Z$5+$AA$5))-(7261/(H1376+459.6))+12.82),IF(H1371="Refined Petroleum Stock",EXP((0.7553-(413/(H1376+459.6)))*(INDEX(FX_Input,U$5,H$3*$Z$5+$AA$5-1)^0.5)*LOG10(INDEX(FX_Input,U$5,H$3*$Z$5+$AA$5))-(1.854-(1042/(H1376+459.6)))*(INDEX(FX_Input,U$5,H$3*$Z$5+$AA$5-1)^0.5)+((2416/(H1376+459.6)-2.013)*LOG10(INDEX(FX_Input,U$5,H$3*$Z$5+$AA$5)))-(8742/(H1376+459.6))+15.64),EXP(INDEX(Antoines,MATCH(H1370,Antoine_Name,0),2)-INDEX(Antoines,MATCH(H1370,Antoine_Name,0),3)/(H1376+459.6))))),0)</f>
        <v>0</v>
      </c>
      <c r="I1381" cm="1">
        <f t="array" ref="I1381">IFERROR(IF(I1371="Chemical",(10^(INDEX(Antoines,MATCH(I1370,Antoine_Name,0),2)-INDEX(Antoines,MATCH(I1370,Antoine_Name,0),3)/(INDEX(Antoines,MATCH(I1370,Antoine_Name,0),4)+(I1376-32)*5/9)))*14.7/760,IF(I1371="Crude Oil",EXP((2799/(I1376+459.6)-2.227)*LOG10(INDEX(FX_Input,V$5,I$3*$Z$5+$AA$5))-(7261/(I1376+459.6))+12.82),IF(I1371="Refined Petroleum Stock",EXP((0.7553-(413/(I1376+459.6)))*(INDEX(FX_Input,V$5,I$3*$Z$5+$AA$5-1)^0.5)*LOG10(INDEX(FX_Input,V$5,I$3*$Z$5+$AA$5))-(1.854-(1042/(I1376+459.6)))*(INDEX(FX_Input,V$5,I$3*$Z$5+$AA$5-1)^0.5)+((2416/(I1376+459.6)-2.013)*LOG10(INDEX(FX_Input,V$5,I$3*$Z$5+$AA$5)))-(8742/(I1376+459.6))+15.64),EXP(INDEX(Antoines,MATCH(I1370,Antoine_Name,0),2)-INDEX(Antoines,MATCH(I1370,Antoine_Name,0),3)/(I1376+459.6))))),0)</f>
        <v>0</v>
      </c>
      <c r="J1381" cm="1">
        <f t="array" ref="J1381">IFERROR(IF(J1371="Chemical",(10^(INDEX(Antoines,MATCH(J1370,Antoine_Name,0),2)-INDEX(Antoines,MATCH(J1370,Antoine_Name,0),3)/(INDEX(Antoines,MATCH(J1370,Antoine_Name,0),4)+(J1376-32)*5/9)))*14.7/760,IF(J1371="Crude Oil",EXP((2799/(J1376+459.6)-2.227)*LOG10(INDEX(FX_Input,W$5,J$3*$Z$5+$AA$5))-(7261/(J1376+459.6))+12.82),IF(J1371="Refined Petroleum Stock",EXP((0.7553-(413/(J1376+459.6)))*(INDEX(FX_Input,W$5,J$3*$Z$5+$AA$5-1)^0.5)*LOG10(INDEX(FX_Input,W$5,J$3*$Z$5+$AA$5))-(1.854-(1042/(J1376+459.6)))*(INDEX(FX_Input,W$5,J$3*$Z$5+$AA$5-1)^0.5)+((2416/(J1376+459.6)-2.013)*LOG10(INDEX(FX_Input,W$5,J$3*$Z$5+$AA$5)))-(8742/(J1376+459.6))+15.64),EXP(INDEX(Antoines,MATCH(J1370,Antoine_Name,0),2)-INDEX(Antoines,MATCH(J1370,Antoine_Name,0),3)/(J1376+459.6))))),0)</f>
        <v>0</v>
      </c>
      <c r="K1381" cm="1">
        <f t="array" ref="K1381">IFERROR(IF(K1371="Chemical",(10^(INDEX(Antoines,MATCH(K1370,Antoine_Name,0),2)-INDEX(Antoines,MATCH(K1370,Antoine_Name,0),3)/(INDEX(Antoines,MATCH(K1370,Antoine_Name,0),4)+(K1376-32)*5/9)))*14.7/760,IF(K1371="Crude Oil",EXP((2799/(K1376+459.6)-2.227)*LOG10(INDEX(FX_Input,X$5,K$3*$Z$5+$AA$5))-(7261/(K1376+459.6))+12.82),IF(K1371="Refined Petroleum Stock",EXP((0.7553-(413/(K1376+459.6)))*(INDEX(FX_Input,X$5,K$3*$Z$5+$AA$5-1)^0.5)*LOG10(INDEX(FX_Input,X$5,K$3*$Z$5+$AA$5))-(1.854-(1042/(K1376+459.6)))*(INDEX(FX_Input,X$5,K$3*$Z$5+$AA$5-1)^0.5)+((2416/(K1376+459.6)-2.013)*LOG10(INDEX(FX_Input,X$5,K$3*$Z$5+$AA$5)))-(8742/(K1376+459.6))+15.64),EXP(INDEX(Antoines,MATCH(K1370,Antoine_Name,0),2)-INDEX(Antoines,MATCH(K1370,Antoine_Name,0),3)/(K1376+459.6))))),0)</f>
        <v>0</v>
      </c>
      <c r="L1381" cm="1">
        <f t="array" ref="L1381">IFERROR(IF(L1371="Chemical",(10^(INDEX(Antoines,MATCH(L1370,Antoine_Name,0),2)-INDEX(Antoines,MATCH(L1370,Antoine_Name,0),3)/(INDEX(Antoines,MATCH(L1370,Antoine_Name,0),4)+(L1376-32)*5/9)))*14.7/760,IF(L1371="Crude Oil",EXP((2799/(L1376+459.6)-2.227)*LOG10(INDEX(FX_Input,Y$5,L$3*$Z$5+$AA$5))-(7261/(L1376+459.6))+12.82),IF(L1371="Refined Petroleum Stock",EXP((0.7553-(413/(L1376+459.6)))*(INDEX(FX_Input,Y$5,L$3*$Z$5+$AA$5-1)^0.5)*LOG10(INDEX(FX_Input,Y$5,L$3*$Z$5+$AA$5))-(1.854-(1042/(L1376+459.6)))*(INDEX(FX_Input,Y$5,L$3*$Z$5+$AA$5-1)^0.5)+((2416/(L1376+459.6)-2.013)*LOG10(INDEX(FX_Input,Y$5,L$3*$Z$5+$AA$5)))-(8742/(L1376+459.6))+15.64),EXP(INDEX(Antoines,MATCH(L1370,Antoine_Name,0),2)-INDEX(Antoines,MATCH(L1370,Antoine_Name,0),3)/(L1376+459.6))))),0)</f>
        <v>0</v>
      </c>
      <c r="M1381" cm="1">
        <f t="array" ref="M1381">IFERROR(IF(M1371="Chemical",(10^(INDEX(Antoines,MATCH(M1370,Antoine_Name,0),2)-INDEX(Antoines,MATCH(M1370,Antoine_Name,0),3)/(INDEX(Antoines,MATCH(M1370,Antoine_Name,0),4)+(M1376-32)*5/9)))*14.7/760,IF(M1371="Crude Oil",EXP((2799/(M1376+459.6)-2.227)*LOG10(INDEX(FX_Input,Z$5,M$3*$Z$5+$AA$5))-(7261/(M1376+459.6))+12.82),IF(M1371="Refined Petroleum Stock",EXP((0.7553-(413/(M1376+459.6)))*(INDEX(FX_Input,Z$5,M$3*$Z$5+$AA$5-1)^0.5)*LOG10(INDEX(FX_Input,Z$5,M$3*$Z$5+$AA$5))-(1.854-(1042/(M1376+459.6)))*(INDEX(FX_Input,Z$5,M$3*$Z$5+$AA$5-1)^0.5)+((2416/(M1376+459.6)-2.013)*LOG10(INDEX(FX_Input,Z$5,M$3*$Z$5+$AA$5)))-(8742/(M1376+459.6))+15.64),EXP(INDEX(Antoines,MATCH(M1370,Antoine_Name,0),2)-INDEX(Antoines,MATCH(M1370,Antoine_Name,0),3)/(M1376+459.6))))),0)</f>
        <v>0</v>
      </c>
      <c r="N1381" cm="1">
        <f t="array" ref="N1381">IFERROR(IF(N1371="Chemical",(10^(INDEX(Antoines,MATCH(N1370,Antoine_Name,0),2)-INDEX(Antoines,MATCH(N1370,Antoine_Name,0),3)/(INDEX(Antoines,MATCH(N1370,Antoine_Name,0),4)+(N1376-32)*5/9)))*14.7/760,IF(N1371="Crude Oil",EXP((2799/(N1376+459.6)-2.227)*LOG10(INDEX(FX_Input,AA$5,N$3*$Z$5+$AA$5))-(7261/(N1376+459.6))+12.82),IF(N1371="Refined Petroleum Stock",EXP((0.7553-(413/(N1376+459.6)))*(INDEX(FX_Input,AA$5,N$3*$Z$5+$AA$5-1)^0.5)*LOG10(INDEX(FX_Input,AA$5,N$3*$Z$5+$AA$5))-(1.854-(1042/(N1376+459.6)))*(INDEX(FX_Input,AA$5,N$3*$Z$5+$AA$5-1)^0.5)+((2416/(N1376+459.6)-2.013)*LOG10(INDEX(FX_Input,AA$5,N$3*$Z$5+$AA$5)))-(8742/(N1376+459.6))+15.64),EXP(INDEX(Antoines,MATCH(N1370,Antoine_Name,0),2)-INDEX(Antoines,MATCH(N1370,Antoine_Name,0),3)/(N1376+459.6))))),0)</f>
        <v>0</v>
      </c>
      <c r="O1381" cm="1">
        <f t="array" ref="O1381">IFERROR(IF(O1371="Chemical",(10^(INDEX(Antoines,MATCH(O1370,Antoine_Name,0),2)-INDEX(Antoines,MATCH(O1370,Antoine_Name,0),3)/(INDEX(Antoines,MATCH(O1370,Antoine_Name,0),4)+(O1376-32)*5/9)))*14.7/760,IF(O1371="Crude Oil",EXP((2799/(O1376+459.6)-2.227)*LOG10(INDEX(FX_Input,AB$5,O$3*$Z$5+$AA$5))-(7261/(O1376+459.6))+12.82),IF(O1371="Refined Petroleum Stock",EXP((0.7553-(413/(O1376+459.6)))*(INDEX(FX_Input,AB$5,O$3*$Z$5+$AA$5-1)^0.5)*LOG10(INDEX(FX_Input,AB$5,O$3*$Z$5+$AA$5))-(1.854-(1042/(O1376+459.6)))*(INDEX(FX_Input,AB$5,O$3*$Z$5+$AA$5-1)^0.5)+((2416/(O1376+459.6)-2.013)*LOG10(INDEX(FX_Input,AB$5,O$3*$Z$5+$AA$5)))-(8742/(O1376+459.6))+15.64),EXP(INDEX(Antoines,MATCH(O1370,Antoine_Name,0),2)-INDEX(Antoines,MATCH(O1370,Antoine_Name,0),3)/(O1376+459.6))))),0)</f>
        <v>0</v>
      </c>
    </row>
    <row r="1382" spans="2:32" ht="17.149999999999999" x14ac:dyDescent="0.55000000000000004">
      <c r="B1382" t="str">
        <f t="shared" si="5012"/>
        <v>Portland</v>
      </c>
      <c r="C1382" t="s">
        <v>577</v>
      </c>
      <c r="D1382">
        <f>D1381*D1374</f>
        <v>0</v>
      </c>
      <c r="E1382">
        <f t="shared" ref="E1382" si="5024">E1381*E1374</f>
        <v>0</v>
      </c>
      <c r="F1382">
        <f t="shared" ref="F1382" si="5025">F1381*F1374</f>
        <v>0</v>
      </c>
      <c r="G1382">
        <f t="shared" ref="G1382" si="5026">G1381*G1374</f>
        <v>0</v>
      </c>
      <c r="H1382">
        <f t="shared" ref="H1382" si="5027">H1381*H1374</f>
        <v>0</v>
      </c>
      <c r="I1382">
        <f t="shared" ref="I1382" si="5028">I1381*I1374</f>
        <v>0</v>
      </c>
      <c r="J1382">
        <f t="shared" ref="J1382" si="5029">J1381*J1374</f>
        <v>0</v>
      </c>
      <c r="K1382">
        <f t="shared" ref="K1382" si="5030">K1381*K1374</f>
        <v>0</v>
      </c>
      <c r="L1382">
        <f t="shared" ref="L1382" si="5031">L1381*L1374</f>
        <v>0</v>
      </c>
      <c r="M1382">
        <f t="shared" ref="M1382" si="5032">M1381*M1374</f>
        <v>0</v>
      </c>
      <c r="N1382">
        <f t="shared" ref="N1382" si="5033">N1381*N1374</f>
        <v>0</v>
      </c>
      <c r="O1382">
        <f t="shared" ref="O1382" si="5034">O1381*O1374</f>
        <v>0</v>
      </c>
    </row>
    <row r="1383" spans="2:32" ht="17.149999999999999" x14ac:dyDescent="0.55000000000000004">
      <c r="B1383" t="str">
        <f t="shared" si="5012"/>
        <v>Portland</v>
      </c>
      <c r="C1383" t="s">
        <v>578</v>
      </c>
      <c r="D1383">
        <f>D1382+D1380</f>
        <v>4.739577185808354E-3</v>
      </c>
      <c r="E1383">
        <f t="shared" ref="E1383" si="5035">E1382+E1380</f>
        <v>4.8748667780818778E-3</v>
      </c>
      <c r="F1383">
        <f t="shared" ref="F1383" si="5036">F1382+F1380</f>
        <v>5.119885034186122E-3</v>
      </c>
      <c r="G1383">
        <f t="shared" ref="G1383" si="5037">G1382+G1380</f>
        <v>5.5846958573521795E-3</v>
      </c>
      <c r="H1383">
        <f t="shared" ref="H1383" si="5038">H1382+H1380</f>
        <v>6.5274070972739821E-3</v>
      </c>
      <c r="I1383">
        <f t="shared" ref="I1383" si="5039">I1382+I1380</f>
        <v>7.4199539958878279E-3</v>
      </c>
      <c r="J1383">
        <f t="shared" ref="J1383" si="5040">J1382+J1380</f>
        <v>8.3358107202842254E-3</v>
      </c>
      <c r="K1383">
        <f t="shared" ref="K1383" si="5041">K1382+K1380</f>
        <v>8.4605262729351115E-3</v>
      </c>
      <c r="L1383">
        <f t="shared" ref="L1383" si="5042">L1382+L1380</f>
        <v>7.8399882233967533E-3</v>
      </c>
      <c r="M1383">
        <f t="shared" ref="M1383" si="5043">M1382+M1380</f>
        <v>6.4173462075160911E-3</v>
      </c>
      <c r="N1383">
        <f t="shared" ref="N1383" si="5044">N1382+N1380</f>
        <v>5.3015226887581056E-3</v>
      </c>
      <c r="O1383">
        <f t="shared" ref="O1383" si="5045">O1382+O1380</f>
        <v>4.68970903600947E-3</v>
      </c>
    </row>
    <row r="1384" spans="2:32" ht="17.149999999999999" x14ac:dyDescent="0.55000000000000004">
      <c r="B1384" t="str">
        <f t="shared" si="5012"/>
        <v>Portland</v>
      </c>
      <c r="C1384" t="s">
        <v>579</v>
      </c>
      <c r="D1384" cm="1">
        <f t="array" ref="D1384">IFERROR(IF(D1369="Chemical",(10^(INDEX(Antoines,MATCH(D1368,Antoine_Name,0),2)-INDEX(Antoines,MATCH(D1368,Antoine_Name,0),3)/(INDEX(Antoines,MATCH(D1368,Antoine_Name,0),4)+(D1377-32)*5/9)))*14.7/760,IF(D1369="Crude Oil",EXP((2799/(D1377+459.6)-2.227)*LOG10(INDEX(FX_Input,Q$5,D$3*$Z$5+$AA$5))-(7261/(D1377+459.6))+12.82),IF(D1369="Refined Petroleum Stock",EXP((0.7553-(413/(D1377+459.6)))*(INDEX(FX_Input,Q$5,D$3*$Z$5+$AA$5-1)^0.5)*LOG10(INDEX(FX_Input,Q$5,D$3*$Z$5+$AA$5))-(1.854-(1042/(D1377+459.6)))*(INDEX(FX_Input,Q$5,D$3*$Z$5+$AA$5-1)^0.5)+((2416/(D1377+459.6)-2.013)*LOG10(INDEX(FX_Input,Q$5,D$3*$Z$5+$AA$5)))-(8742/(D1377+459.6))+15.64),EXP(INDEX(Antoines,MATCH(D1368,Antoine_Name,0),2)-INDEX(Antoines,MATCH(D1368,Antoine_Name,0),3)/(D1377+459.6))))),0)</f>
        <v>4.739577185808354E-3</v>
      </c>
      <c r="E1384" cm="1">
        <f t="array" ref="E1384">IFERROR(IF(E1369="Chemical",(10^(INDEX(Antoines,MATCH(E1368,Antoine_Name,0),2)-INDEX(Antoines,MATCH(E1368,Antoine_Name,0),3)/(INDEX(Antoines,MATCH(E1368,Antoine_Name,0),4)+(E1377-32)*5/9)))*14.7/760,IF(E1369="Crude Oil",EXP((2799/(E1377+459.6)-2.227)*LOG10(INDEX(FX_Input,R$5,E$3*$Z$5+$AA$5))-(7261/(E1377+459.6))+12.82),IF(E1369="Refined Petroleum Stock",EXP((0.7553-(413/(E1377+459.6)))*(INDEX(FX_Input,R$5,E$3*$Z$5+$AA$5-1)^0.5)*LOG10(INDEX(FX_Input,R$5,E$3*$Z$5+$AA$5))-(1.854-(1042/(E1377+459.6)))*(INDEX(FX_Input,R$5,E$3*$Z$5+$AA$5-1)^0.5)+((2416/(E1377+459.6)-2.013)*LOG10(INDEX(FX_Input,R$5,E$3*$Z$5+$AA$5)))-(8742/(E1377+459.6))+15.64),EXP(INDEX(Antoines,MATCH(E1368,Antoine_Name,0),2)-INDEX(Antoines,MATCH(E1368,Antoine_Name,0),3)/(E1377+459.6))))),0)</f>
        <v>4.8748667780818778E-3</v>
      </c>
      <c r="F1384" cm="1">
        <f t="array" ref="F1384">IFERROR(IF(F1369="Chemical",(10^(INDEX(Antoines,MATCH(F1368,Antoine_Name,0),2)-INDEX(Antoines,MATCH(F1368,Antoine_Name,0),3)/(INDEX(Antoines,MATCH(F1368,Antoine_Name,0),4)+(F1377-32)*5/9)))*14.7/760,IF(F1369="Crude Oil",EXP((2799/(F1377+459.6)-2.227)*LOG10(INDEX(FX_Input,S$5,F$3*$Z$5+$AA$5))-(7261/(F1377+459.6))+12.82),IF(F1369="Refined Petroleum Stock",EXP((0.7553-(413/(F1377+459.6)))*(INDEX(FX_Input,S$5,F$3*$Z$5+$AA$5-1)^0.5)*LOG10(INDEX(FX_Input,S$5,F$3*$Z$5+$AA$5))-(1.854-(1042/(F1377+459.6)))*(INDEX(FX_Input,S$5,F$3*$Z$5+$AA$5-1)^0.5)+((2416/(F1377+459.6)-2.013)*LOG10(INDEX(FX_Input,S$5,F$3*$Z$5+$AA$5)))-(8742/(F1377+459.6))+15.64),EXP(INDEX(Antoines,MATCH(F1368,Antoine_Name,0),2)-INDEX(Antoines,MATCH(F1368,Antoine_Name,0),3)/(F1377+459.6))))),0)</f>
        <v>5.119885034186122E-3</v>
      </c>
      <c r="G1384" cm="1">
        <f t="array" ref="G1384">IFERROR(IF(G1369="Chemical",(10^(INDEX(Antoines,MATCH(G1368,Antoine_Name,0),2)-INDEX(Antoines,MATCH(G1368,Antoine_Name,0),3)/(INDEX(Antoines,MATCH(G1368,Antoine_Name,0),4)+(G1377-32)*5/9)))*14.7/760,IF(G1369="Crude Oil",EXP((2799/(G1377+459.6)-2.227)*LOG10(INDEX(FX_Input,T$5,G$3*$Z$5+$AA$5))-(7261/(G1377+459.6))+12.82),IF(G1369="Refined Petroleum Stock",EXP((0.7553-(413/(G1377+459.6)))*(INDEX(FX_Input,T$5,G$3*$Z$5+$AA$5-1)^0.5)*LOG10(INDEX(FX_Input,T$5,G$3*$Z$5+$AA$5))-(1.854-(1042/(G1377+459.6)))*(INDEX(FX_Input,T$5,G$3*$Z$5+$AA$5-1)^0.5)+((2416/(G1377+459.6)-2.013)*LOG10(INDEX(FX_Input,T$5,G$3*$Z$5+$AA$5)))-(8742/(G1377+459.6))+15.64),EXP(INDEX(Antoines,MATCH(G1368,Antoine_Name,0),2)-INDEX(Antoines,MATCH(G1368,Antoine_Name,0),3)/(G1377+459.6))))),0)</f>
        <v>5.5846958573521795E-3</v>
      </c>
      <c r="H1384" cm="1">
        <f t="array" ref="H1384">IFERROR(IF(H1369="Chemical",(10^(INDEX(Antoines,MATCH(H1368,Antoine_Name,0),2)-INDEX(Antoines,MATCH(H1368,Antoine_Name,0),3)/(INDEX(Antoines,MATCH(H1368,Antoine_Name,0),4)+(H1377-32)*5/9)))*14.7/760,IF(H1369="Crude Oil",EXP((2799/(H1377+459.6)-2.227)*LOG10(INDEX(FX_Input,U$5,H$3*$Z$5+$AA$5))-(7261/(H1377+459.6))+12.82),IF(H1369="Refined Petroleum Stock",EXP((0.7553-(413/(H1377+459.6)))*(INDEX(FX_Input,U$5,H$3*$Z$5+$AA$5-1)^0.5)*LOG10(INDEX(FX_Input,U$5,H$3*$Z$5+$AA$5))-(1.854-(1042/(H1377+459.6)))*(INDEX(FX_Input,U$5,H$3*$Z$5+$AA$5-1)^0.5)+((2416/(H1377+459.6)-2.013)*LOG10(INDEX(FX_Input,U$5,H$3*$Z$5+$AA$5)))-(8742/(H1377+459.6))+15.64),EXP(INDEX(Antoines,MATCH(H1368,Antoine_Name,0),2)-INDEX(Antoines,MATCH(H1368,Antoine_Name,0),3)/(H1377+459.6))))),0)</f>
        <v>6.5274070972739821E-3</v>
      </c>
      <c r="I1384" cm="1">
        <f t="array" ref="I1384">IFERROR(IF(I1369="Chemical",(10^(INDEX(Antoines,MATCH(I1368,Antoine_Name,0),2)-INDEX(Antoines,MATCH(I1368,Antoine_Name,0),3)/(INDEX(Antoines,MATCH(I1368,Antoine_Name,0),4)+(I1377-32)*5/9)))*14.7/760,IF(I1369="Crude Oil",EXP((2799/(I1377+459.6)-2.227)*LOG10(INDEX(FX_Input,V$5,I$3*$Z$5+$AA$5))-(7261/(I1377+459.6))+12.82),IF(I1369="Refined Petroleum Stock",EXP((0.7553-(413/(I1377+459.6)))*(INDEX(FX_Input,V$5,I$3*$Z$5+$AA$5-1)^0.5)*LOG10(INDEX(FX_Input,V$5,I$3*$Z$5+$AA$5))-(1.854-(1042/(I1377+459.6)))*(INDEX(FX_Input,V$5,I$3*$Z$5+$AA$5-1)^0.5)+((2416/(I1377+459.6)-2.013)*LOG10(INDEX(FX_Input,V$5,I$3*$Z$5+$AA$5)))-(8742/(I1377+459.6))+15.64),EXP(INDEX(Antoines,MATCH(I1368,Antoine_Name,0),2)-INDEX(Antoines,MATCH(I1368,Antoine_Name,0),3)/(I1377+459.6))))),0)</f>
        <v>7.4199539958878279E-3</v>
      </c>
      <c r="J1384" cm="1">
        <f t="array" ref="J1384">IFERROR(IF(J1369="Chemical",(10^(INDEX(Antoines,MATCH(J1368,Antoine_Name,0),2)-INDEX(Antoines,MATCH(J1368,Antoine_Name,0),3)/(INDEX(Antoines,MATCH(J1368,Antoine_Name,0),4)+(J1377-32)*5/9)))*14.7/760,IF(J1369="Crude Oil",EXP((2799/(J1377+459.6)-2.227)*LOG10(INDEX(FX_Input,W$5,J$3*$Z$5+$AA$5))-(7261/(J1377+459.6))+12.82),IF(J1369="Refined Petroleum Stock",EXP((0.7553-(413/(J1377+459.6)))*(INDEX(FX_Input,W$5,J$3*$Z$5+$AA$5-1)^0.5)*LOG10(INDEX(FX_Input,W$5,J$3*$Z$5+$AA$5))-(1.854-(1042/(J1377+459.6)))*(INDEX(FX_Input,W$5,J$3*$Z$5+$AA$5-1)^0.5)+((2416/(J1377+459.6)-2.013)*LOG10(INDEX(FX_Input,W$5,J$3*$Z$5+$AA$5)))-(8742/(J1377+459.6))+15.64),EXP(INDEX(Antoines,MATCH(J1368,Antoine_Name,0),2)-INDEX(Antoines,MATCH(J1368,Antoine_Name,0),3)/(J1377+459.6))))),0)</f>
        <v>8.3358107202842254E-3</v>
      </c>
      <c r="K1384" cm="1">
        <f t="array" ref="K1384">IFERROR(IF(K1369="Chemical",(10^(INDEX(Antoines,MATCH(K1368,Antoine_Name,0),2)-INDEX(Antoines,MATCH(K1368,Antoine_Name,0),3)/(INDEX(Antoines,MATCH(K1368,Antoine_Name,0),4)+(K1377-32)*5/9)))*14.7/760,IF(K1369="Crude Oil",EXP((2799/(K1377+459.6)-2.227)*LOG10(INDEX(FX_Input,X$5,K$3*$Z$5+$AA$5))-(7261/(K1377+459.6))+12.82),IF(K1369="Refined Petroleum Stock",EXP((0.7553-(413/(K1377+459.6)))*(INDEX(FX_Input,X$5,K$3*$Z$5+$AA$5-1)^0.5)*LOG10(INDEX(FX_Input,X$5,K$3*$Z$5+$AA$5))-(1.854-(1042/(K1377+459.6)))*(INDEX(FX_Input,X$5,K$3*$Z$5+$AA$5-1)^0.5)+((2416/(K1377+459.6)-2.013)*LOG10(INDEX(FX_Input,X$5,K$3*$Z$5+$AA$5)))-(8742/(K1377+459.6))+15.64),EXP(INDEX(Antoines,MATCH(K1368,Antoine_Name,0),2)-INDEX(Antoines,MATCH(K1368,Antoine_Name,0),3)/(K1377+459.6))))),0)</f>
        <v>8.4605262729351115E-3</v>
      </c>
      <c r="L1384" cm="1">
        <f t="array" ref="L1384">IFERROR(IF(L1369="Chemical",(10^(INDEX(Antoines,MATCH(L1368,Antoine_Name,0),2)-INDEX(Antoines,MATCH(L1368,Antoine_Name,0),3)/(INDEX(Antoines,MATCH(L1368,Antoine_Name,0),4)+(L1377-32)*5/9)))*14.7/760,IF(L1369="Crude Oil",EXP((2799/(L1377+459.6)-2.227)*LOG10(INDEX(FX_Input,Y$5,L$3*$Z$5+$AA$5))-(7261/(L1377+459.6))+12.82),IF(L1369="Refined Petroleum Stock",EXP((0.7553-(413/(L1377+459.6)))*(INDEX(FX_Input,Y$5,L$3*$Z$5+$AA$5-1)^0.5)*LOG10(INDEX(FX_Input,Y$5,L$3*$Z$5+$AA$5))-(1.854-(1042/(L1377+459.6)))*(INDEX(FX_Input,Y$5,L$3*$Z$5+$AA$5-1)^0.5)+((2416/(L1377+459.6)-2.013)*LOG10(INDEX(FX_Input,Y$5,L$3*$Z$5+$AA$5)))-(8742/(L1377+459.6))+15.64),EXP(INDEX(Antoines,MATCH(L1368,Antoine_Name,0),2)-INDEX(Antoines,MATCH(L1368,Antoine_Name,0),3)/(L1377+459.6))))),0)</f>
        <v>7.8399882233967533E-3</v>
      </c>
      <c r="M1384" cm="1">
        <f t="array" ref="M1384">IFERROR(IF(M1369="Chemical",(10^(INDEX(Antoines,MATCH(M1368,Antoine_Name,0),2)-INDEX(Antoines,MATCH(M1368,Antoine_Name,0),3)/(INDEX(Antoines,MATCH(M1368,Antoine_Name,0),4)+(M1377-32)*5/9)))*14.7/760,IF(M1369="Crude Oil",EXP((2799/(M1377+459.6)-2.227)*LOG10(INDEX(FX_Input,Z$5,M$3*$Z$5+$AA$5))-(7261/(M1377+459.6))+12.82),IF(M1369="Refined Petroleum Stock",EXP((0.7553-(413/(M1377+459.6)))*(INDEX(FX_Input,Z$5,M$3*$Z$5+$AA$5-1)^0.5)*LOG10(INDEX(FX_Input,Z$5,M$3*$Z$5+$AA$5))-(1.854-(1042/(M1377+459.6)))*(INDEX(FX_Input,Z$5,M$3*$Z$5+$AA$5-1)^0.5)+((2416/(M1377+459.6)-2.013)*LOG10(INDEX(FX_Input,Z$5,M$3*$Z$5+$AA$5)))-(8742/(M1377+459.6))+15.64),EXP(INDEX(Antoines,MATCH(M1368,Antoine_Name,0),2)-INDEX(Antoines,MATCH(M1368,Antoine_Name,0),3)/(M1377+459.6))))),0)</f>
        <v>6.4173462075160911E-3</v>
      </c>
      <c r="N1384" cm="1">
        <f t="array" ref="N1384">IFERROR(IF(N1369="Chemical",(10^(INDEX(Antoines,MATCH(N1368,Antoine_Name,0),2)-INDEX(Antoines,MATCH(N1368,Antoine_Name,0),3)/(INDEX(Antoines,MATCH(N1368,Antoine_Name,0),4)+(N1377-32)*5/9)))*14.7/760,IF(N1369="Crude Oil",EXP((2799/(N1377+459.6)-2.227)*LOG10(INDEX(FX_Input,AA$5,N$3*$Z$5+$AA$5))-(7261/(N1377+459.6))+12.82),IF(N1369="Refined Petroleum Stock",EXP((0.7553-(413/(N1377+459.6)))*(INDEX(FX_Input,AA$5,N$3*$Z$5+$AA$5-1)^0.5)*LOG10(INDEX(FX_Input,AA$5,N$3*$Z$5+$AA$5))-(1.854-(1042/(N1377+459.6)))*(INDEX(FX_Input,AA$5,N$3*$Z$5+$AA$5-1)^0.5)+((2416/(N1377+459.6)-2.013)*LOG10(INDEX(FX_Input,AA$5,N$3*$Z$5+$AA$5)))-(8742/(N1377+459.6))+15.64),EXP(INDEX(Antoines,MATCH(N1368,Antoine_Name,0),2)-INDEX(Antoines,MATCH(N1368,Antoine_Name,0),3)/(N1377+459.6))))),0)</f>
        <v>5.3015226887581056E-3</v>
      </c>
      <c r="O1384" cm="1">
        <f t="array" ref="O1384">IFERROR(IF(O1369="Chemical",(10^(INDEX(Antoines,MATCH(O1368,Antoine_Name,0),2)-INDEX(Antoines,MATCH(O1368,Antoine_Name,0),3)/(INDEX(Antoines,MATCH(O1368,Antoine_Name,0),4)+(O1377-32)*5/9)))*14.7/760,IF(O1369="Crude Oil",EXP((2799/(O1377+459.6)-2.227)*LOG10(INDEX(FX_Input,AB$5,O$3*$Z$5+$AA$5))-(7261/(O1377+459.6))+12.82),IF(O1369="Refined Petroleum Stock",EXP((0.7553-(413/(O1377+459.6)))*(INDEX(FX_Input,AB$5,O$3*$Z$5+$AA$5-1)^0.5)*LOG10(INDEX(FX_Input,AB$5,O$3*$Z$5+$AA$5))-(1.854-(1042/(O1377+459.6)))*(INDEX(FX_Input,AB$5,O$3*$Z$5+$AA$5-1)^0.5)+((2416/(O1377+459.6)-2.013)*LOG10(INDEX(FX_Input,AB$5,O$3*$Z$5+$AA$5)))-(8742/(O1377+459.6))+15.64),EXP(INDEX(Antoines,MATCH(O1368,Antoine_Name,0),2)-INDEX(Antoines,MATCH(O1368,Antoine_Name,0),3)/(O1377+459.6))))),0)</f>
        <v>4.68970903600947E-3</v>
      </c>
    </row>
    <row r="1385" spans="2:32" ht="17.149999999999999" x14ac:dyDescent="0.55000000000000004">
      <c r="B1385" t="str">
        <f t="shared" si="5012"/>
        <v>Portland</v>
      </c>
      <c r="C1385" t="s">
        <v>580</v>
      </c>
      <c r="D1385">
        <f>D1384*D1372</f>
        <v>4.739577185808354E-3</v>
      </c>
      <c r="E1385">
        <f t="shared" ref="E1385" si="5046">E1384*E1372</f>
        <v>4.8748667780818778E-3</v>
      </c>
      <c r="F1385">
        <f t="shared" ref="F1385" si="5047">F1384*F1372</f>
        <v>5.119885034186122E-3</v>
      </c>
      <c r="G1385">
        <f t="shared" ref="G1385" si="5048">G1384*G1372</f>
        <v>5.5846958573521795E-3</v>
      </c>
      <c r="H1385">
        <f t="shared" ref="H1385" si="5049">H1384*H1372</f>
        <v>6.5274070972739821E-3</v>
      </c>
      <c r="I1385">
        <f t="shared" ref="I1385" si="5050">I1384*I1372</f>
        <v>7.4199539958878279E-3</v>
      </c>
      <c r="J1385">
        <f t="shared" ref="J1385" si="5051">J1384*J1372</f>
        <v>8.3358107202842254E-3</v>
      </c>
      <c r="K1385">
        <f t="shared" ref="K1385" si="5052">K1384*K1372</f>
        <v>8.4605262729351115E-3</v>
      </c>
      <c r="L1385">
        <f t="shared" ref="L1385" si="5053">L1384*L1372</f>
        <v>7.8399882233967533E-3</v>
      </c>
      <c r="M1385">
        <f t="shared" ref="M1385" si="5054">M1384*M1372</f>
        <v>6.4173462075160911E-3</v>
      </c>
      <c r="N1385">
        <f t="shared" ref="N1385" si="5055">N1384*N1372</f>
        <v>5.3015226887581056E-3</v>
      </c>
      <c r="O1385">
        <f t="shared" ref="O1385" si="5056">O1384*O1372</f>
        <v>4.68970903600947E-3</v>
      </c>
    </row>
    <row r="1386" spans="2:32" ht="17.149999999999999" x14ac:dyDescent="0.55000000000000004">
      <c r="B1386" t="str">
        <f t="shared" si="5012"/>
        <v>Portland</v>
      </c>
      <c r="C1386" t="s">
        <v>581</v>
      </c>
      <c r="D1386" cm="1">
        <f t="array" ref="D1386">IFERROR(IF(D1371="Chemical",(10^(INDEX(Antoines,MATCH(D1370,Antoine_Name,0),2)-INDEX(Antoines,MATCH(D1370,Antoine_Name,0),3)/(INDEX(Antoines,MATCH(D1370,Antoine_Name,0),4)+(D1377-32)*5/9)))*14.7/760,IF(D1371="Crude Oil",EXP((2799/(D1377+459.6)-2.227)*LOG10(INDEX(FX_Input,Q$5,D$3*$Z$5+$AA$5))-(7261/(D1377+459.6))+12.82),IF(D1371="Refined Petroleum Stock",EXP((0.7553-(413/(D1377+459.6)))*(INDEX(FX_Input,Q$5,D$3*$Z$5+$AA$5-1)^0.5)*LOG10(INDEX(FX_Input,Q$5,D$3*$Z$5+$AA$5))-(1.854-(1042/(D1377+459.6)))*(INDEX(FX_Input,Q$5,D$3*$Z$5+$AA$5-1)^0.5)+((2416/(D1377+459.6)-2.013)*LOG10(INDEX(FX_Input,Q$5,D$3*$Z$5+$AA$5)))-(8742/(D1377+459.6))+15.64),EXP(INDEX(Antoines,MATCH(D1370,Antoine_Name,0),2)-INDEX(Antoines,MATCH(D1370,Antoine_Name,0),3)/(D1377+459.6))))),0)</f>
        <v>0</v>
      </c>
      <c r="E1386" cm="1">
        <f t="array" ref="E1386">IFERROR(IF(E1371="Chemical",(10^(INDEX(Antoines,MATCH(E1370,Antoine_Name,0),2)-INDEX(Antoines,MATCH(E1370,Antoine_Name,0),3)/(INDEX(Antoines,MATCH(E1370,Antoine_Name,0),4)+(E1377-32)*5/9)))*14.7/760,IF(E1371="Crude Oil",EXP((2799/(E1377+459.6)-2.227)*LOG10(INDEX(FX_Input,R$5,E$3*$Z$5+$AA$5))-(7261/(E1377+459.6))+12.82),IF(E1371="Refined Petroleum Stock",EXP((0.7553-(413/(E1377+459.6)))*(INDEX(FX_Input,R$5,E$3*$Z$5+$AA$5-1)^0.5)*LOG10(INDEX(FX_Input,R$5,E$3*$Z$5+$AA$5))-(1.854-(1042/(E1377+459.6)))*(INDEX(FX_Input,R$5,E$3*$Z$5+$AA$5-1)^0.5)+((2416/(E1377+459.6)-2.013)*LOG10(INDEX(FX_Input,R$5,E$3*$Z$5+$AA$5)))-(8742/(E1377+459.6))+15.64),EXP(INDEX(Antoines,MATCH(E1370,Antoine_Name,0),2)-INDEX(Antoines,MATCH(E1370,Antoine_Name,0),3)/(E1377+459.6))))),0)</f>
        <v>0</v>
      </c>
      <c r="F1386" cm="1">
        <f t="array" ref="F1386">IFERROR(IF(F1371="Chemical",(10^(INDEX(Antoines,MATCH(F1370,Antoine_Name,0),2)-INDEX(Antoines,MATCH(F1370,Antoine_Name,0),3)/(INDEX(Antoines,MATCH(F1370,Antoine_Name,0),4)+(F1377-32)*5/9)))*14.7/760,IF(F1371="Crude Oil",EXP((2799/(F1377+459.6)-2.227)*LOG10(INDEX(FX_Input,S$5,F$3*$Z$5+$AA$5))-(7261/(F1377+459.6))+12.82),IF(F1371="Refined Petroleum Stock",EXP((0.7553-(413/(F1377+459.6)))*(INDEX(FX_Input,S$5,F$3*$Z$5+$AA$5-1)^0.5)*LOG10(INDEX(FX_Input,S$5,F$3*$Z$5+$AA$5))-(1.854-(1042/(F1377+459.6)))*(INDEX(FX_Input,S$5,F$3*$Z$5+$AA$5-1)^0.5)+((2416/(F1377+459.6)-2.013)*LOG10(INDEX(FX_Input,S$5,F$3*$Z$5+$AA$5)))-(8742/(F1377+459.6))+15.64),EXP(INDEX(Antoines,MATCH(F1370,Antoine_Name,0),2)-INDEX(Antoines,MATCH(F1370,Antoine_Name,0),3)/(F1377+459.6))))),0)</f>
        <v>0</v>
      </c>
      <c r="G1386" cm="1">
        <f t="array" ref="G1386">IFERROR(IF(G1371="Chemical",(10^(INDEX(Antoines,MATCH(G1370,Antoine_Name,0),2)-INDEX(Antoines,MATCH(G1370,Antoine_Name,0),3)/(INDEX(Antoines,MATCH(G1370,Antoine_Name,0),4)+(G1377-32)*5/9)))*14.7/760,IF(G1371="Crude Oil",EXP((2799/(G1377+459.6)-2.227)*LOG10(INDEX(FX_Input,T$5,G$3*$Z$5+$AA$5))-(7261/(G1377+459.6))+12.82),IF(G1371="Refined Petroleum Stock",EXP((0.7553-(413/(G1377+459.6)))*(INDEX(FX_Input,T$5,G$3*$Z$5+$AA$5-1)^0.5)*LOG10(INDEX(FX_Input,T$5,G$3*$Z$5+$AA$5))-(1.854-(1042/(G1377+459.6)))*(INDEX(FX_Input,T$5,G$3*$Z$5+$AA$5-1)^0.5)+((2416/(G1377+459.6)-2.013)*LOG10(INDEX(FX_Input,T$5,G$3*$Z$5+$AA$5)))-(8742/(G1377+459.6))+15.64),EXP(INDEX(Antoines,MATCH(G1370,Antoine_Name,0),2)-INDEX(Antoines,MATCH(G1370,Antoine_Name,0),3)/(G1377+459.6))))),0)</f>
        <v>0</v>
      </c>
      <c r="H1386" cm="1">
        <f t="array" ref="H1386">IFERROR(IF(H1371="Chemical",(10^(INDEX(Antoines,MATCH(H1370,Antoine_Name,0),2)-INDEX(Antoines,MATCH(H1370,Antoine_Name,0),3)/(INDEX(Antoines,MATCH(H1370,Antoine_Name,0),4)+(H1377-32)*5/9)))*14.7/760,IF(H1371="Crude Oil",EXP((2799/(H1377+459.6)-2.227)*LOG10(INDEX(FX_Input,U$5,H$3*$Z$5+$AA$5))-(7261/(H1377+459.6))+12.82),IF(H1371="Refined Petroleum Stock",EXP((0.7553-(413/(H1377+459.6)))*(INDEX(FX_Input,U$5,H$3*$Z$5+$AA$5-1)^0.5)*LOG10(INDEX(FX_Input,U$5,H$3*$Z$5+$AA$5))-(1.854-(1042/(H1377+459.6)))*(INDEX(FX_Input,U$5,H$3*$Z$5+$AA$5-1)^0.5)+((2416/(H1377+459.6)-2.013)*LOG10(INDEX(FX_Input,U$5,H$3*$Z$5+$AA$5)))-(8742/(H1377+459.6))+15.64),EXP(INDEX(Antoines,MATCH(H1370,Antoine_Name,0),2)-INDEX(Antoines,MATCH(H1370,Antoine_Name,0),3)/(H1377+459.6))))),0)</f>
        <v>0</v>
      </c>
      <c r="I1386" cm="1">
        <f t="array" ref="I1386">IFERROR(IF(I1371="Chemical",(10^(INDEX(Antoines,MATCH(I1370,Antoine_Name,0),2)-INDEX(Antoines,MATCH(I1370,Antoine_Name,0),3)/(INDEX(Antoines,MATCH(I1370,Antoine_Name,0),4)+(I1377-32)*5/9)))*14.7/760,IF(I1371="Crude Oil",EXP((2799/(I1377+459.6)-2.227)*LOG10(INDEX(FX_Input,V$5,I$3*$Z$5+$AA$5))-(7261/(I1377+459.6))+12.82),IF(I1371="Refined Petroleum Stock",EXP((0.7553-(413/(I1377+459.6)))*(INDEX(FX_Input,V$5,I$3*$Z$5+$AA$5-1)^0.5)*LOG10(INDEX(FX_Input,V$5,I$3*$Z$5+$AA$5))-(1.854-(1042/(I1377+459.6)))*(INDEX(FX_Input,V$5,I$3*$Z$5+$AA$5-1)^0.5)+((2416/(I1377+459.6)-2.013)*LOG10(INDEX(FX_Input,V$5,I$3*$Z$5+$AA$5)))-(8742/(I1377+459.6))+15.64),EXP(INDEX(Antoines,MATCH(I1370,Antoine_Name,0),2)-INDEX(Antoines,MATCH(I1370,Antoine_Name,0),3)/(I1377+459.6))))),0)</f>
        <v>0</v>
      </c>
      <c r="J1386" cm="1">
        <f t="array" ref="J1386">IFERROR(IF(J1371="Chemical",(10^(INDEX(Antoines,MATCH(J1370,Antoine_Name,0),2)-INDEX(Antoines,MATCH(J1370,Antoine_Name,0),3)/(INDEX(Antoines,MATCH(J1370,Antoine_Name,0),4)+(J1377-32)*5/9)))*14.7/760,IF(J1371="Crude Oil",EXP((2799/(J1377+459.6)-2.227)*LOG10(INDEX(FX_Input,W$5,J$3*$Z$5+$AA$5))-(7261/(J1377+459.6))+12.82),IF(J1371="Refined Petroleum Stock",EXP((0.7553-(413/(J1377+459.6)))*(INDEX(FX_Input,W$5,J$3*$Z$5+$AA$5-1)^0.5)*LOG10(INDEX(FX_Input,W$5,J$3*$Z$5+$AA$5))-(1.854-(1042/(J1377+459.6)))*(INDEX(FX_Input,W$5,J$3*$Z$5+$AA$5-1)^0.5)+((2416/(J1377+459.6)-2.013)*LOG10(INDEX(FX_Input,W$5,J$3*$Z$5+$AA$5)))-(8742/(J1377+459.6))+15.64),EXP(INDEX(Antoines,MATCH(J1370,Antoine_Name,0),2)-INDEX(Antoines,MATCH(J1370,Antoine_Name,0),3)/(J1377+459.6))))),0)</f>
        <v>0</v>
      </c>
      <c r="K1386" cm="1">
        <f t="array" ref="K1386">IFERROR(IF(K1371="Chemical",(10^(INDEX(Antoines,MATCH(K1370,Antoine_Name,0),2)-INDEX(Antoines,MATCH(K1370,Antoine_Name,0),3)/(INDEX(Antoines,MATCH(K1370,Antoine_Name,0),4)+(K1377-32)*5/9)))*14.7/760,IF(K1371="Crude Oil",EXP((2799/(K1377+459.6)-2.227)*LOG10(INDEX(FX_Input,X$5,K$3*$Z$5+$AA$5))-(7261/(K1377+459.6))+12.82),IF(K1371="Refined Petroleum Stock",EXP((0.7553-(413/(K1377+459.6)))*(INDEX(FX_Input,X$5,K$3*$Z$5+$AA$5-1)^0.5)*LOG10(INDEX(FX_Input,X$5,K$3*$Z$5+$AA$5))-(1.854-(1042/(K1377+459.6)))*(INDEX(FX_Input,X$5,K$3*$Z$5+$AA$5-1)^0.5)+((2416/(K1377+459.6)-2.013)*LOG10(INDEX(FX_Input,X$5,K$3*$Z$5+$AA$5)))-(8742/(K1377+459.6))+15.64),EXP(INDEX(Antoines,MATCH(K1370,Antoine_Name,0),2)-INDEX(Antoines,MATCH(K1370,Antoine_Name,0),3)/(K1377+459.6))))),0)</f>
        <v>0</v>
      </c>
      <c r="L1386" cm="1">
        <f t="array" ref="L1386">IFERROR(IF(L1371="Chemical",(10^(INDEX(Antoines,MATCH(L1370,Antoine_Name,0),2)-INDEX(Antoines,MATCH(L1370,Antoine_Name,0),3)/(INDEX(Antoines,MATCH(L1370,Antoine_Name,0),4)+(L1377-32)*5/9)))*14.7/760,IF(L1371="Crude Oil",EXP((2799/(L1377+459.6)-2.227)*LOG10(INDEX(FX_Input,Y$5,L$3*$Z$5+$AA$5))-(7261/(L1377+459.6))+12.82),IF(L1371="Refined Petroleum Stock",EXP((0.7553-(413/(L1377+459.6)))*(INDEX(FX_Input,Y$5,L$3*$Z$5+$AA$5-1)^0.5)*LOG10(INDEX(FX_Input,Y$5,L$3*$Z$5+$AA$5))-(1.854-(1042/(L1377+459.6)))*(INDEX(FX_Input,Y$5,L$3*$Z$5+$AA$5-1)^0.5)+((2416/(L1377+459.6)-2.013)*LOG10(INDEX(FX_Input,Y$5,L$3*$Z$5+$AA$5)))-(8742/(L1377+459.6))+15.64),EXP(INDEX(Antoines,MATCH(L1370,Antoine_Name,0),2)-INDEX(Antoines,MATCH(L1370,Antoine_Name,0),3)/(L1377+459.6))))),0)</f>
        <v>0</v>
      </c>
      <c r="M1386" cm="1">
        <f t="array" ref="M1386">IFERROR(IF(M1371="Chemical",(10^(INDEX(Antoines,MATCH(M1370,Antoine_Name,0),2)-INDEX(Antoines,MATCH(M1370,Antoine_Name,0),3)/(INDEX(Antoines,MATCH(M1370,Antoine_Name,0),4)+(M1377-32)*5/9)))*14.7/760,IF(M1371="Crude Oil",EXP((2799/(M1377+459.6)-2.227)*LOG10(INDEX(FX_Input,Z$5,M$3*$Z$5+$AA$5))-(7261/(M1377+459.6))+12.82),IF(M1371="Refined Petroleum Stock",EXP((0.7553-(413/(M1377+459.6)))*(INDEX(FX_Input,Z$5,M$3*$Z$5+$AA$5-1)^0.5)*LOG10(INDEX(FX_Input,Z$5,M$3*$Z$5+$AA$5))-(1.854-(1042/(M1377+459.6)))*(INDEX(FX_Input,Z$5,M$3*$Z$5+$AA$5-1)^0.5)+((2416/(M1377+459.6)-2.013)*LOG10(INDEX(FX_Input,Z$5,M$3*$Z$5+$AA$5)))-(8742/(M1377+459.6))+15.64),EXP(INDEX(Antoines,MATCH(M1370,Antoine_Name,0),2)-INDEX(Antoines,MATCH(M1370,Antoine_Name,0),3)/(M1377+459.6))))),0)</f>
        <v>0</v>
      </c>
      <c r="N1386" cm="1">
        <f t="array" ref="N1386">IFERROR(IF(N1371="Chemical",(10^(INDEX(Antoines,MATCH(N1370,Antoine_Name,0),2)-INDEX(Antoines,MATCH(N1370,Antoine_Name,0),3)/(INDEX(Antoines,MATCH(N1370,Antoine_Name,0),4)+(N1377-32)*5/9)))*14.7/760,IF(N1371="Crude Oil",EXP((2799/(N1377+459.6)-2.227)*LOG10(INDEX(FX_Input,AA$5,N$3*$Z$5+$AA$5))-(7261/(N1377+459.6))+12.82),IF(N1371="Refined Petroleum Stock",EXP((0.7553-(413/(N1377+459.6)))*(INDEX(FX_Input,AA$5,N$3*$Z$5+$AA$5-1)^0.5)*LOG10(INDEX(FX_Input,AA$5,N$3*$Z$5+$AA$5))-(1.854-(1042/(N1377+459.6)))*(INDEX(FX_Input,AA$5,N$3*$Z$5+$AA$5-1)^0.5)+((2416/(N1377+459.6)-2.013)*LOG10(INDEX(FX_Input,AA$5,N$3*$Z$5+$AA$5)))-(8742/(N1377+459.6))+15.64),EXP(INDEX(Antoines,MATCH(N1370,Antoine_Name,0),2)-INDEX(Antoines,MATCH(N1370,Antoine_Name,0),3)/(N1377+459.6))))),0)</f>
        <v>0</v>
      </c>
      <c r="O1386" cm="1">
        <f t="array" ref="O1386">IFERROR(IF(O1371="Chemical",(10^(INDEX(Antoines,MATCH(O1370,Antoine_Name,0),2)-INDEX(Antoines,MATCH(O1370,Antoine_Name,0),3)/(INDEX(Antoines,MATCH(O1370,Antoine_Name,0),4)+(O1377-32)*5/9)))*14.7/760,IF(O1371="Crude Oil",EXP((2799/(O1377+459.6)-2.227)*LOG10(INDEX(FX_Input,AB$5,O$3*$Z$5+$AA$5))-(7261/(O1377+459.6))+12.82),IF(O1371="Refined Petroleum Stock",EXP((0.7553-(413/(O1377+459.6)))*(INDEX(FX_Input,AB$5,O$3*$Z$5+$AA$5-1)^0.5)*LOG10(INDEX(FX_Input,AB$5,O$3*$Z$5+$AA$5))-(1.854-(1042/(O1377+459.6)))*(INDEX(FX_Input,AB$5,O$3*$Z$5+$AA$5-1)^0.5)+((2416/(O1377+459.6)-2.013)*LOG10(INDEX(FX_Input,AB$5,O$3*$Z$5+$AA$5)))-(8742/(O1377+459.6))+15.64),EXP(INDEX(Antoines,MATCH(O1370,Antoine_Name,0),2)-INDEX(Antoines,MATCH(O1370,Antoine_Name,0),3)/(O1377+459.6))))),0)</f>
        <v>0</v>
      </c>
    </row>
    <row r="1387" spans="2:32" ht="17.149999999999999" x14ac:dyDescent="0.55000000000000004">
      <c r="B1387" t="str">
        <f t="shared" si="5012"/>
        <v>Portland</v>
      </c>
      <c r="C1387" t="s">
        <v>582</v>
      </c>
      <c r="D1387">
        <f>D1386*D1374</f>
        <v>0</v>
      </c>
      <c r="E1387">
        <f t="shared" ref="E1387" si="5057">E1386*E1374</f>
        <v>0</v>
      </c>
      <c r="F1387">
        <f t="shared" ref="F1387" si="5058">F1386*F1374</f>
        <v>0</v>
      </c>
      <c r="G1387">
        <f t="shared" ref="G1387" si="5059">G1386*G1374</f>
        <v>0</v>
      </c>
      <c r="H1387">
        <f t="shared" ref="H1387" si="5060">H1386*H1374</f>
        <v>0</v>
      </c>
      <c r="I1387">
        <f t="shared" ref="I1387" si="5061">I1386*I1374</f>
        <v>0</v>
      </c>
      <c r="J1387">
        <f t="shared" ref="J1387" si="5062">J1386*J1374</f>
        <v>0</v>
      </c>
      <c r="K1387">
        <f t="shared" ref="K1387" si="5063">K1386*K1374</f>
        <v>0</v>
      </c>
      <c r="L1387">
        <f t="shared" ref="L1387" si="5064">L1386*L1374</f>
        <v>0</v>
      </c>
      <c r="M1387">
        <f t="shared" ref="M1387" si="5065">M1386*M1374</f>
        <v>0</v>
      </c>
      <c r="N1387">
        <f t="shared" ref="N1387" si="5066">N1386*N1374</f>
        <v>0</v>
      </c>
      <c r="O1387">
        <f t="shared" ref="O1387" si="5067">O1386*O1374</f>
        <v>0</v>
      </c>
    </row>
    <row r="1388" spans="2:32" ht="17.149999999999999" x14ac:dyDescent="0.55000000000000004">
      <c r="B1388" t="str">
        <f t="shared" si="5012"/>
        <v>Portland</v>
      </c>
      <c r="C1388" t="s">
        <v>583</v>
      </c>
      <c r="D1388">
        <f>D1385+D1387</f>
        <v>4.739577185808354E-3</v>
      </c>
      <c r="E1388">
        <f t="shared" ref="E1388" si="5068">E1385+E1387</f>
        <v>4.8748667780818778E-3</v>
      </c>
      <c r="F1388">
        <f t="shared" ref="F1388" si="5069">F1385+F1387</f>
        <v>5.119885034186122E-3</v>
      </c>
      <c r="G1388">
        <f t="shared" ref="G1388" si="5070">G1385+G1387</f>
        <v>5.5846958573521795E-3</v>
      </c>
      <c r="H1388">
        <f t="shared" ref="H1388" si="5071">H1385+H1387</f>
        <v>6.5274070972739821E-3</v>
      </c>
      <c r="I1388">
        <f t="shared" ref="I1388" si="5072">I1385+I1387</f>
        <v>7.4199539958878279E-3</v>
      </c>
      <c r="J1388">
        <f t="shared" ref="J1388" si="5073">J1385+J1387</f>
        <v>8.3358107202842254E-3</v>
      </c>
      <c r="K1388">
        <f t="shared" ref="K1388" si="5074">K1385+K1387</f>
        <v>8.4605262729351115E-3</v>
      </c>
      <c r="L1388">
        <f t="shared" ref="L1388" si="5075">L1385+L1387</f>
        <v>7.8399882233967533E-3</v>
      </c>
      <c r="M1388">
        <f t="shared" ref="M1388" si="5076">M1385+M1387</f>
        <v>6.4173462075160911E-3</v>
      </c>
      <c r="N1388">
        <f t="shared" ref="N1388" si="5077">N1385+N1387</f>
        <v>5.3015226887581056E-3</v>
      </c>
      <c r="O1388">
        <f t="shared" ref="O1388" si="5078">O1385+O1387</f>
        <v>4.68970903600947E-3</v>
      </c>
    </row>
    <row r="1389" spans="2:32" ht="17.149999999999999" x14ac:dyDescent="0.55000000000000004">
      <c r="B1389" t="str">
        <f t="shared" si="5012"/>
        <v>Portland</v>
      </c>
      <c r="C1389" t="s">
        <v>1388</v>
      </c>
      <c r="D1389" cm="1">
        <f t="array" ref="D1389">IFERROR(IF(D1369="Chemical",(10^(INDEX(Antoines,MATCH(D1368,Antoine_Name,0),2)-INDEX(Antoines,MATCH(D1368,Antoine_Name,0),3)/(INDEX(Antoines,MATCH(D1368,Antoine_Name,0),4)+(D1378-32)*5/9)))*14.7/760,IF(D1369="Crude Oil",EXP((2799/(D1378+459.6)-2.227)*LOG10(INDEX(FX_Input,Q$5,D$3*$Z$5+$AA$5))-(7261/(D1378+459.6))+12.82),IF(D1369="Refined Petroleum Stock",EXP((0.7553-(413/(D1378+459.6)))*(INDEX(FX_Input,Q$5,D$3*$Z$5+$AA$5-1)^0.5)*LOG10(INDEX(FX_Input,Q$5,D$3*$Z$5+$AA$5))-(1.854-(1042/(D1378+459.6)))*(INDEX(FX_Input,Q$5,D$3*$Z$5+$AA$5-1)^0.5)+((2416/(D1378+459.6)-2.013)*LOG10(INDEX(FX_Input,Q$5,D$3*$Z$5+$AA$5)))-(8742/(D1378+459.6))+15.64),EXP(INDEX(Antoines,MATCH(D1368,Antoine_Name,0),2)-INDEX(Antoines,MATCH(D1368,Antoine_Name,0),3)/(D1378+459.6))))),0)</f>
        <v>4.739577185808354E-3</v>
      </c>
      <c r="E1389" cm="1">
        <f t="array" ref="E1389">IFERROR(IF(E1369="Chemical",(10^(INDEX(Antoines,MATCH(E1368,Antoine_Name,0),2)-INDEX(Antoines,MATCH(E1368,Antoine_Name,0),3)/(INDEX(Antoines,MATCH(E1368,Antoine_Name,0),4)+(E1378-32)*5/9)))*14.7/760,IF(E1369="Crude Oil",EXP((2799/(E1378+459.6)-2.227)*LOG10(INDEX(FX_Input,R$5,E$3*$Z$5+$AA$5))-(7261/(E1378+459.6))+12.82),IF(E1369="Refined Petroleum Stock",EXP((0.7553-(413/(E1378+459.6)))*(INDEX(FX_Input,R$5,E$3*$Z$5+$AA$5-1)^0.5)*LOG10(INDEX(FX_Input,R$5,E$3*$Z$5+$AA$5))-(1.854-(1042/(E1378+459.6)))*(INDEX(FX_Input,R$5,E$3*$Z$5+$AA$5-1)^0.5)+((2416/(E1378+459.6)-2.013)*LOG10(INDEX(FX_Input,R$5,E$3*$Z$5+$AA$5)))-(8742/(E1378+459.6))+15.64),EXP(INDEX(Antoines,MATCH(E1368,Antoine_Name,0),2)-INDEX(Antoines,MATCH(E1368,Antoine_Name,0),3)/(E1378+459.6))))),0)</f>
        <v>4.8748667780818778E-3</v>
      </c>
      <c r="F1389" cm="1">
        <f t="array" ref="F1389">IFERROR(IF(F1369="Chemical",(10^(INDEX(Antoines,MATCH(F1368,Antoine_Name,0),2)-INDEX(Antoines,MATCH(F1368,Antoine_Name,0),3)/(INDEX(Antoines,MATCH(F1368,Antoine_Name,0),4)+(F1378-32)*5/9)))*14.7/760,IF(F1369="Crude Oil",EXP((2799/(F1378+459.6)-2.227)*LOG10(INDEX(FX_Input,S$5,F$3*$Z$5+$AA$5))-(7261/(F1378+459.6))+12.82),IF(F1369="Refined Petroleum Stock",EXP((0.7553-(413/(F1378+459.6)))*(INDEX(FX_Input,S$5,F$3*$Z$5+$AA$5-1)^0.5)*LOG10(INDEX(FX_Input,S$5,F$3*$Z$5+$AA$5))-(1.854-(1042/(F1378+459.6)))*(INDEX(FX_Input,S$5,F$3*$Z$5+$AA$5-1)^0.5)+((2416/(F1378+459.6)-2.013)*LOG10(INDEX(FX_Input,S$5,F$3*$Z$5+$AA$5)))-(8742/(F1378+459.6))+15.64),EXP(INDEX(Antoines,MATCH(F1368,Antoine_Name,0),2)-INDEX(Antoines,MATCH(F1368,Antoine_Name,0),3)/(F1378+459.6))))),0)</f>
        <v>5.119885034186122E-3</v>
      </c>
      <c r="G1389" cm="1">
        <f t="array" ref="G1389">IFERROR(IF(G1369="Chemical",(10^(INDEX(Antoines,MATCH(G1368,Antoine_Name,0),2)-INDEX(Antoines,MATCH(G1368,Antoine_Name,0),3)/(INDEX(Antoines,MATCH(G1368,Antoine_Name,0),4)+(G1378-32)*5/9)))*14.7/760,IF(G1369="Crude Oil",EXP((2799/(G1378+459.6)-2.227)*LOG10(INDEX(FX_Input,T$5,G$3*$Z$5+$AA$5))-(7261/(G1378+459.6))+12.82),IF(G1369="Refined Petroleum Stock",EXP((0.7553-(413/(G1378+459.6)))*(INDEX(FX_Input,T$5,G$3*$Z$5+$AA$5-1)^0.5)*LOG10(INDEX(FX_Input,T$5,G$3*$Z$5+$AA$5))-(1.854-(1042/(G1378+459.6)))*(INDEX(FX_Input,T$5,G$3*$Z$5+$AA$5-1)^0.5)+((2416/(G1378+459.6)-2.013)*LOG10(INDEX(FX_Input,T$5,G$3*$Z$5+$AA$5)))-(8742/(G1378+459.6))+15.64),EXP(INDEX(Antoines,MATCH(G1368,Antoine_Name,0),2)-INDEX(Antoines,MATCH(G1368,Antoine_Name,0),3)/(G1378+459.6))))),0)</f>
        <v>5.5846958573521795E-3</v>
      </c>
      <c r="H1389" cm="1">
        <f t="array" ref="H1389">IFERROR(IF(H1369="Chemical",(10^(INDEX(Antoines,MATCH(H1368,Antoine_Name,0),2)-INDEX(Antoines,MATCH(H1368,Antoine_Name,0),3)/(INDEX(Antoines,MATCH(H1368,Antoine_Name,0),4)+(H1378-32)*5/9)))*14.7/760,IF(H1369="Crude Oil",EXP((2799/(H1378+459.6)-2.227)*LOG10(INDEX(FX_Input,U$5,H$3*$Z$5+$AA$5))-(7261/(H1378+459.6))+12.82),IF(H1369="Refined Petroleum Stock",EXP((0.7553-(413/(H1378+459.6)))*(INDEX(FX_Input,U$5,H$3*$Z$5+$AA$5-1)^0.5)*LOG10(INDEX(FX_Input,U$5,H$3*$Z$5+$AA$5))-(1.854-(1042/(H1378+459.6)))*(INDEX(FX_Input,U$5,H$3*$Z$5+$AA$5-1)^0.5)+((2416/(H1378+459.6)-2.013)*LOG10(INDEX(FX_Input,U$5,H$3*$Z$5+$AA$5)))-(8742/(H1378+459.6))+15.64),EXP(INDEX(Antoines,MATCH(H1368,Antoine_Name,0),2)-INDEX(Antoines,MATCH(H1368,Antoine_Name,0),3)/(H1378+459.6))))),0)</f>
        <v>6.5274070972739821E-3</v>
      </c>
      <c r="I1389" cm="1">
        <f t="array" ref="I1389">IFERROR(IF(I1369="Chemical",(10^(INDEX(Antoines,MATCH(I1368,Antoine_Name,0),2)-INDEX(Antoines,MATCH(I1368,Antoine_Name,0),3)/(INDEX(Antoines,MATCH(I1368,Antoine_Name,0),4)+(I1378-32)*5/9)))*14.7/760,IF(I1369="Crude Oil",EXP((2799/(I1378+459.6)-2.227)*LOG10(INDEX(FX_Input,V$5,I$3*$Z$5+$AA$5))-(7261/(I1378+459.6))+12.82),IF(I1369="Refined Petroleum Stock",EXP((0.7553-(413/(I1378+459.6)))*(INDEX(FX_Input,V$5,I$3*$Z$5+$AA$5-1)^0.5)*LOG10(INDEX(FX_Input,V$5,I$3*$Z$5+$AA$5))-(1.854-(1042/(I1378+459.6)))*(INDEX(FX_Input,V$5,I$3*$Z$5+$AA$5-1)^0.5)+((2416/(I1378+459.6)-2.013)*LOG10(INDEX(FX_Input,V$5,I$3*$Z$5+$AA$5)))-(8742/(I1378+459.6))+15.64),EXP(INDEX(Antoines,MATCH(I1368,Antoine_Name,0),2)-INDEX(Antoines,MATCH(I1368,Antoine_Name,0),3)/(I1378+459.6))))),0)</f>
        <v>7.4199539958878279E-3</v>
      </c>
      <c r="J1389" cm="1">
        <f t="array" ref="J1389">IFERROR(IF(J1369="Chemical",(10^(INDEX(Antoines,MATCH(J1368,Antoine_Name,0),2)-INDEX(Antoines,MATCH(J1368,Antoine_Name,0),3)/(INDEX(Antoines,MATCH(J1368,Antoine_Name,0),4)+(J1378-32)*5/9)))*14.7/760,IF(J1369="Crude Oil",EXP((2799/(J1378+459.6)-2.227)*LOG10(INDEX(FX_Input,W$5,J$3*$Z$5+$AA$5))-(7261/(J1378+459.6))+12.82),IF(J1369="Refined Petroleum Stock",EXP((0.7553-(413/(J1378+459.6)))*(INDEX(FX_Input,W$5,J$3*$Z$5+$AA$5-1)^0.5)*LOG10(INDEX(FX_Input,W$5,J$3*$Z$5+$AA$5))-(1.854-(1042/(J1378+459.6)))*(INDEX(FX_Input,W$5,J$3*$Z$5+$AA$5-1)^0.5)+((2416/(J1378+459.6)-2.013)*LOG10(INDEX(FX_Input,W$5,J$3*$Z$5+$AA$5)))-(8742/(J1378+459.6))+15.64),EXP(INDEX(Antoines,MATCH(J1368,Antoine_Name,0),2)-INDEX(Antoines,MATCH(J1368,Antoine_Name,0),3)/(J1378+459.6))))),0)</f>
        <v>8.3358107202842254E-3</v>
      </c>
      <c r="K1389" cm="1">
        <f t="array" ref="K1389">IFERROR(IF(K1369="Chemical",(10^(INDEX(Antoines,MATCH(K1368,Antoine_Name,0),2)-INDEX(Antoines,MATCH(K1368,Antoine_Name,0),3)/(INDEX(Antoines,MATCH(K1368,Antoine_Name,0),4)+(K1378-32)*5/9)))*14.7/760,IF(K1369="Crude Oil",EXP((2799/(K1378+459.6)-2.227)*LOG10(INDEX(FX_Input,X$5,K$3*$Z$5+$AA$5))-(7261/(K1378+459.6))+12.82),IF(K1369="Refined Petroleum Stock",EXP((0.7553-(413/(K1378+459.6)))*(INDEX(FX_Input,X$5,K$3*$Z$5+$AA$5-1)^0.5)*LOG10(INDEX(FX_Input,X$5,K$3*$Z$5+$AA$5))-(1.854-(1042/(K1378+459.6)))*(INDEX(FX_Input,X$5,K$3*$Z$5+$AA$5-1)^0.5)+((2416/(K1378+459.6)-2.013)*LOG10(INDEX(FX_Input,X$5,K$3*$Z$5+$AA$5)))-(8742/(K1378+459.6))+15.64),EXP(INDEX(Antoines,MATCH(K1368,Antoine_Name,0),2)-INDEX(Antoines,MATCH(K1368,Antoine_Name,0),3)/(K1378+459.6))))),0)</f>
        <v>8.4605262729351115E-3</v>
      </c>
      <c r="L1389" cm="1">
        <f t="array" ref="L1389">IFERROR(IF(L1369="Chemical",(10^(INDEX(Antoines,MATCH(L1368,Antoine_Name,0),2)-INDEX(Antoines,MATCH(L1368,Antoine_Name,0),3)/(INDEX(Antoines,MATCH(L1368,Antoine_Name,0),4)+(L1378-32)*5/9)))*14.7/760,IF(L1369="Crude Oil",EXP((2799/(L1378+459.6)-2.227)*LOG10(INDEX(FX_Input,Y$5,L$3*$Z$5+$AA$5))-(7261/(L1378+459.6))+12.82),IF(L1369="Refined Petroleum Stock",EXP((0.7553-(413/(L1378+459.6)))*(INDEX(FX_Input,Y$5,L$3*$Z$5+$AA$5-1)^0.5)*LOG10(INDEX(FX_Input,Y$5,L$3*$Z$5+$AA$5))-(1.854-(1042/(L1378+459.6)))*(INDEX(FX_Input,Y$5,L$3*$Z$5+$AA$5-1)^0.5)+((2416/(L1378+459.6)-2.013)*LOG10(INDEX(FX_Input,Y$5,L$3*$Z$5+$AA$5)))-(8742/(L1378+459.6))+15.64),EXP(INDEX(Antoines,MATCH(L1368,Antoine_Name,0),2)-INDEX(Antoines,MATCH(L1368,Antoine_Name,0),3)/(L1378+459.6))))),0)</f>
        <v>7.8399882233967533E-3</v>
      </c>
      <c r="M1389" cm="1">
        <f t="array" ref="M1389">IFERROR(IF(M1369="Chemical",(10^(INDEX(Antoines,MATCH(M1368,Antoine_Name,0),2)-INDEX(Antoines,MATCH(M1368,Antoine_Name,0),3)/(INDEX(Antoines,MATCH(M1368,Antoine_Name,0),4)+(M1378-32)*5/9)))*14.7/760,IF(M1369="Crude Oil",EXP((2799/(M1378+459.6)-2.227)*LOG10(INDEX(FX_Input,Z$5,M$3*$Z$5+$AA$5))-(7261/(M1378+459.6))+12.82),IF(M1369="Refined Petroleum Stock",EXP((0.7553-(413/(M1378+459.6)))*(INDEX(FX_Input,Z$5,M$3*$Z$5+$AA$5-1)^0.5)*LOG10(INDEX(FX_Input,Z$5,M$3*$Z$5+$AA$5))-(1.854-(1042/(M1378+459.6)))*(INDEX(FX_Input,Z$5,M$3*$Z$5+$AA$5-1)^0.5)+((2416/(M1378+459.6)-2.013)*LOG10(INDEX(FX_Input,Z$5,M$3*$Z$5+$AA$5)))-(8742/(M1378+459.6))+15.64),EXP(INDEX(Antoines,MATCH(M1368,Antoine_Name,0),2)-INDEX(Antoines,MATCH(M1368,Antoine_Name,0),3)/(M1378+459.6))))),0)</f>
        <v>6.4173462075160911E-3</v>
      </c>
      <c r="N1389" cm="1">
        <f t="array" ref="N1389">IFERROR(IF(N1369="Chemical",(10^(INDEX(Antoines,MATCH(N1368,Antoine_Name,0),2)-INDEX(Antoines,MATCH(N1368,Antoine_Name,0),3)/(INDEX(Antoines,MATCH(N1368,Antoine_Name,0),4)+(N1378-32)*5/9)))*14.7/760,IF(N1369="Crude Oil",EXP((2799/(N1378+459.6)-2.227)*LOG10(INDEX(FX_Input,AA$5,N$3*$Z$5+$AA$5))-(7261/(N1378+459.6))+12.82),IF(N1369="Refined Petroleum Stock",EXP((0.7553-(413/(N1378+459.6)))*(INDEX(FX_Input,AA$5,N$3*$Z$5+$AA$5-1)^0.5)*LOG10(INDEX(FX_Input,AA$5,N$3*$Z$5+$AA$5))-(1.854-(1042/(N1378+459.6)))*(INDEX(FX_Input,AA$5,N$3*$Z$5+$AA$5-1)^0.5)+((2416/(N1378+459.6)-2.013)*LOG10(INDEX(FX_Input,AA$5,N$3*$Z$5+$AA$5)))-(8742/(N1378+459.6))+15.64),EXP(INDEX(Antoines,MATCH(N1368,Antoine_Name,0),2)-INDEX(Antoines,MATCH(N1368,Antoine_Name,0),3)/(N1378+459.6))))),0)</f>
        <v>5.3015226887581056E-3</v>
      </c>
      <c r="O1389" cm="1">
        <f t="array" ref="O1389">IFERROR(IF(O1369="Chemical",(10^(INDEX(Antoines,MATCH(O1368,Antoine_Name,0),2)-INDEX(Antoines,MATCH(O1368,Antoine_Name,0),3)/(INDEX(Antoines,MATCH(O1368,Antoine_Name,0),4)+(O1378-32)*5/9)))*14.7/760,IF(O1369="Crude Oil",EXP((2799/(O1378+459.6)-2.227)*LOG10(INDEX(FX_Input,AB$5,O$3*$Z$5+$AA$5))-(7261/(O1378+459.6))+12.82),IF(O1369="Refined Petroleum Stock",EXP((0.7553-(413/(O1378+459.6)))*(INDEX(FX_Input,AB$5,O$3*$Z$5+$AA$5-1)^0.5)*LOG10(INDEX(FX_Input,AB$5,O$3*$Z$5+$AA$5))-(1.854-(1042/(O1378+459.6)))*(INDEX(FX_Input,AB$5,O$3*$Z$5+$AA$5-1)^0.5)+((2416/(O1378+459.6)-2.013)*LOG10(INDEX(FX_Input,AB$5,O$3*$Z$5+$AA$5)))-(8742/(O1378+459.6))+15.64),EXP(INDEX(Antoines,MATCH(O1368,Antoine_Name,0),2)-INDEX(Antoines,MATCH(O1368,Antoine_Name,0),3)/(O1378+459.6))))),0)</f>
        <v>4.68970903600947E-3</v>
      </c>
    </row>
    <row r="1390" spans="2:32" ht="17.149999999999999" x14ac:dyDescent="0.55000000000000004">
      <c r="B1390" t="str">
        <f t="shared" si="5012"/>
        <v>Portland</v>
      </c>
      <c r="C1390" t="s">
        <v>1389</v>
      </c>
      <c r="D1390">
        <f>D1389*D1372</f>
        <v>4.739577185808354E-3</v>
      </c>
      <c r="E1390">
        <f t="shared" ref="E1390" si="5079">E1389*E1372</f>
        <v>4.8748667780818778E-3</v>
      </c>
      <c r="F1390">
        <f t="shared" ref="F1390" si="5080">F1389*F1372</f>
        <v>5.119885034186122E-3</v>
      </c>
      <c r="G1390">
        <f t="shared" ref="G1390" si="5081">G1389*G1372</f>
        <v>5.5846958573521795E-3</v>
      </c>
      <c r="H1390">
        <f t="shared" ref="H1390" si="5082">H1389*H1372</f>
        <v>6.5274070972739821E-3</v>
      </c>
      <c r="I1390">
        <f t="shared" ref="I1390" si="5083">I1389*I1372</f>
        <v>7.4199539958878279E-3</v>
      </c>
      <c r="J1390">
        <f t="shared" ref="J1390" si="5084">J1389*J1372</f>
        <v>8.3358107202842254E-3</v>
      </c>
      <c r="K1390">
        <f t="shared" ref="K1390" si="5085">K1389*K1372</f>
        <v>8.4605262729351115E-3</v>
      </c>
      <c r="L1390">
        <f t="shared" ref="L1390" si="5086">L1389*L1372</f>
        <v>7.8399882233967533E-3</v>
      </c>
      <c r="M1390">
        <f t="shared" ref="M1390" si="5087">M1389*M1372</f>
        <v>6.4173462075160911E-3</v>
      </c>
      <c r="N1390">
        <f t="shared" ref="N1390" si="5088">N1389*N1372</f>
        <v>5.3015226887581056E-3</v>
      </c>
      <c r="O1390">
        <f t="shared" ref="O1390" si="5089">O1389*O1372</f>
        <v>4.68970903600947E-3</v>
      </c>
    </row>
    <row r="1391" spans="2:32" ht="17.149999999999999" x14ac:dyDescent="0.55000000000000004">
      <c r="B1391" t="str">
        <f t="shared" si="5012"/>
        <v>Portland</v>
      </c>
      <c r="C1391" t="s">
        <v>1390</v>
      </c>
      <c r="D1391" cm="1">
        <f t="array" ref="D1391">IFERROR(IF(D1371="Chemical",(10^(INDEX(Antoines,MATCH(D1370,Antoine_Name,0),2)-INDEX(Antoines,MATCH(D1370,Antoine_Name,0),3)/(INDEX(Antoines,MATCH(D1370,Antoine_Name,0),4)+(D1378-32)*5/9)))*14.7/760,IF(D1371="Crude Oil",EXP((2799/(D1378+459.6)-2.227)*LOG10(INDEX(FX_Input,Q$5,D$3*$Z$5+$AA$5))-(7261/(D1378+459.6))+12.82),IF(D1371="Refined Petroleum Stock",EXP((0.7553-(413/(D1378+459.6)))*(INDEX(FX_Input,Q$5,D$3*$Z$5+$AA$5-1)^0.5)*LOG10(INDEX(FX_Input,Q$5,D$3*$Z$5+$AA$5))-(1.854-(1042/(D1378+459.6)))*(INDEX(FX_Input,Q$5,D$3*$Z$5+$AA$5-1)^0.5)+((2416/(D1378+459.6)-2.013)*LOG10(INDEX(FX_Input,Q$5,D$3*$Z$5+$AA$5)))-(8742/(D1378+459.6))+15.64),EXP(INDEX(Antoines,MATCH(D1370,Antoine_Name,0),2)-INDEX(Antoines,MATCH(D1370,Antoine_Name,0),3)/(D1378+459.6))))),0)</f>
        <v>0</v>
      </c>
      <c r="E1391" cm="1">
        <f t="array" ref="E1391">IFERROR(IF(E1371="Chemical",(10^(INDEX(Antoines,MATCH(E1370,Antoine_Name,0),2)-INDEX(Antoines,MATCH(E1370,Antoine_Name,0),3)/(INDEX(Antoines,MATCH(E1370,Antoine_Name,0),4)+(E1378-32)*5/9)))*14.7/760,IF(E1371="Crude Oil",EXP((2799/(E1378+459.6)-2.227)*LOG10(INDEX(FX_Input,R$5,E$3*$Z$5+$AA$5))-(7261/(E1378+459.6))+12.82),IF(E1371="Refined Petroleum Stock",EXP((0.7553-(413/(E1378+459.6)))*(INDEX(FX_Input,R$5,E$3*$Z$5+$AA$5-1)^0.5)*LOG10(INDEX(FX_Input,R$5,E$3*$Z$5+$AA$5))-(1.854-(1042/(E1378+459.6)))*(INDEX(FX_Input,R$5,E$3*$Z$5+$AA$5-1)^0.5)+((2416/(E1378+459.6)-2.013)*LOG10(INDEX(FX_Input,R$5,E$3*$Z$5+$AA$5)))-(8742/(E1378+459.6))+15.64),EXP(INDEX(Antoines,MATCH(E1370,Antoine_Name,0),2)-INDEX(Antoines,MATCH(E1370,Antoine_Name,0),3)/(E1378+459.6))))),0)</f>
        <v>0</v>
      </c>
      <c r="F1391" cm="1">
        <f t="array" ref="F1391">IFERROR(IF(F1371="Chemical",(10^(INDEX(Antoines,MATCH(F1370,Antoine_Name,0),2)-INDEX(Antoines,MATCH(F1370,Antoine_Name,0),3)/(INDEX(Antoines,MATCH(F1370,Antoine_Name,0),4)+(F1378-32)*5/9)))*14.7/760,IF(F1371="Crude Oil",EXP((2799/(F1378+459.6)-2.227)*LOG10(INDEX(FX_Input,S$5,F$3*$Z$5+$AA$5))-(7261/(F1378+459.6))+12.82),IF(F1371="Refined Petroleum Stock",EXP((0.7553-(413/(F1378+459.6)))*(INDEX(FX_Input,S$5,F$3*$Z$5+$AA$5-1)^0.5)*LOG10(INDEX(FX_Input,S$5,F$3*$Z$5+$AA$5))-(1.854-(1042/(F1378+459.6)))*(INDEX(FX_Input,S$5,F$3*$Z$5+$AA$5-1)^0.5)+((2416/(F1378+459.6)-2.013)*LOG10(INDEX(FX_Input,S$5,F$3*$Z$5+$AA$5)))-(8742/(F1378+459.6))+15.64),EXP(INDEX(Antoines,MATCH(F1370,Antoine_Name,0),2)-INDEX(Antoines,MATCH(F1370,Antoine_Name,0),3)/(F1378+459.6))))),0)</f>
        <v>0</v>
      </c>
      <c r="G1391" cm="1">
        <f t="array" ref="G1391">IFERROR(IF(G1371="Chemical",(10^(INDEX(Antoines,MATCH(G1370,Antoine_Name,0),2)-INDEX(Antoines,MATCH(G1370,Antoine_Name,0),3)/(INDEX(Antoines,MATCH(G1370,Antoine_Name,0),4)+(G1378-32)*5/9)))*14.7/760,IF(G1371="Crude Oil",EXP((2799/(G1378+459.6)-2.227)*LOG10(INDEX(FX_Input,T$5,G$3*$Z$5+$AA$5))-(7261/(G1378+459.6))+12.82),IF(G1371="Refined Petroleum Stock",EXP((0.7553-(413/(G1378+459.6)))*(INDEX(FX_Input,T$5,G$3*$Z$5+$AA$5-1)^0.5)*LOG10(INDEX(FX_Input,T$5,G$3*$Z$5+$AA$5))-(1.854-(1042/(G1378+459.6)))*(INDEX(FX_Input,T$5,G$3*$Z$5+$AA$5-1)^0.5)+((2416/(G1378+459.6)-2.013)*LOG10(INDEX(FX_Input,T$5,G$3*$Z$5+$AA$5)))-(8742/(G1378+459.6))+15.64),EXP(INDEX(Antoines,MATCH(G1370,Antoine_Name,0),2)-INDEX(Antoines,MATCH(G1370,Antoine_Name,0),3)/(G1378+459.6))))),0)</f>
        <v>0</v>
      </c>
      <c r="H1391" cm="1">
        <f t="array" ref="H1391">IFERROR(IF(H1371="Chemical",(10^(INDEX(Antoines,MATCH(H1370,Antoine_Name,0),2)-INDEX(Antoines,MATCH(H1370,Antoine_Name,0),3)/(INDEX(Antoines,MATCH(H1370,Antoine_Name,0),4)+(H1378-32)*5/9)))*14.7/760,IF(H1371="Crude Oil",EXP((2799/(H1378+459.6)-2.227)*LOG10(INDEX(FX_Input,U$5,H$3*$Z$5+$AA$5))-(7261/(H1378+459.6))+12.82),IF(H1371="Refined Petroleum Stock",EXP((0.7553-(413/(H1378+459.6)))*(INDEX(FX_Input,U$5,H$3*$Z$5+$AA$5-1)^0.5)*LOG10(INDEX(FX_Input,U$5,H$3*$Z$5+$AA$5))-(1.854-(1042/(H1378+459.6)))*(INDEX(FX_Input,U$5,H$3*$Z$5+$AA$5-1)^0.5)+((2416/(H1378+459.6)-2.013)*LOG10(INDEX(FX_Input,U$5,H$3*$Z$5+$AA$5)))-(8742/(H1378+459.6))+15.64),EXP(INDEX(Antoines,MATCH(H1370,Antoine_Name,0),2)-INDEX(Antoines,MATCH(H1370,Antoine_Name,0),3)/(H1378+459.6))))),0)</f>
        <v>0</v>
      </c>
      <c r="I1391" cm="1">
        <f t="array" ref="I1391">IFERROR(IF(I1371="Chemical",(10^(INDEX(Antoines,MATCH(I1370,Antoine_Name,0),2)-INDEX(Antoines,MATCH(I1370,Antoine_Name,0),3)/(INDEX(Antoines,MATCH(I1370,Antoine_Name,0),4)+(I1378-32)*5/9)))*14.7/760,IF(I1371="Crude Oil",EXP((2799/(I1378+459.6)-2.227)*LOG10(INDEX(FX_Input,V$5,I$3*$Z$5+$AA$5))-(7261/(I1378+459.6))+12.82),IF(I1371="Refined Petroleum Stock",EXP((0.7553-(413/(I1378+459.6)))*(INDEX(FX_Input,V$5,I$3*$Z$5+$AA$5-1)^0.5)*LOG10(INDEX(FX_Input,V$5,I$3*$Z$5+$AA$5))-(1.854-(1042/(I1378+459.6)))*(INDEX(FX_Input,V$5,I$3*$Z$5+$AA$5-1)^0.5)+((2416/(I1378+459.6)-2.013)*LOG10(INDEX(FX_Input,V$5,I$3*$Z$5+$AA$5)))-(8742/(I1378+459.6))+15.64),EXP(INDEX(Antoines,MATCH(I1370,Antoine_Name,0),2)-INDEX(Antoines,MATCH(I1370,Antoine_Name,0),3)/(I1378+459.6))))),0)</f>
        <v>0</v>
      </c>
      <c r="J1391" cm="1">
        <f t="array" ref="J1391">IFERROR(IF(J1371="Chemical",(10^(INDEX(Antoines,MATCH(J1370,Antoine_Name,0),2)-INDEX(Antoines,MATCH(J1370,Antoine_Name,0),3)/(INDEX(Antoines,MATCH(J1370,Antoine_Name,0),4)+(J1378-32)*5/9)))*14.7/760,IF(J1371="Crude Oil",EXP((2799/(J1378+459.6)-2.227)*LOG10(INDEX(FX_Input,W$5,J$3*$Z$5+$AA$5))-(7261/(J1378+459.6))+12.82),IF(J1371="Refined Petroleum Stock",EXP((0.7553-(413/(J1378+459.6)))*(INDEX(FX_Input,W$5,J$3*$Z$5+$AA$5-1)^0.5)*LOG10(INDEX(FX_Input,W$5,J$3*$Z$5+$AA$5))-(1.854-(1042/(J1378+459.6)))*(INDEX(FX_Input,W$5,J$3*$Z$5+$AA$5-1)^0.5)+((2416/(J1378+459.6)-2.013)*LOG10(INDEX(FX_Input,W$5,J$3*$Z$5+$AA$5)))-(8742/(J1378+459.6))+15.64),EXP(INDEX(Antoines,MATCH(J1370,Antoine_Name,0),2)-INDEX(Antoines,MATCH(J1370,Antoine_Name,0),3)/(J1378+459.6))))),0)</f>
        <v>0</v>
      </c>
      <c r="K1391" cm="1">
        <f t="array" ref="K1391">IFERROR(IF(K1371="Chemical",(10^(INDEX(Antoines,MATCH(K1370,Antoine_Name,0),2)-INDEX(Antoines,MATCH(K1370,Antoine_Name,0),3)/(INDEX(Antoines,MATCH(K1370,Antoine_Name,0),4)+(K1378-32)*5/9)))*14.7/760,IF(K1371="Crude Oil",EXP((2799/(K1378+459.6)-2.227)*LOG10(INDEX(FX_Input,X$5,K$3*$Z$5+$AA$5))-(7261/(K1378+459.6))+12.82),IF(K1371="Refined Petroleum Stock",EXP((0.7553-(413/(K1378+459.6)))*(INDEX(FX_Input,X$5,K$3*$Z$5+$AA$5-1)^0.5)*LOG10(INDEX(FX_Input,X$5,K$3*$Z$5+$AA$5))-(1.854-(1042/(K1378+459.6)))*(INDEX(FX_Input,X$5,K$3*$Z$5+$AA$5-1)^0.5)+((2416/(K1378+459.6)-2.013)*LOG10(INDEX(FX_Input,X$5,K$3*$Z$5+$AA$5)))-(8742/(K1378+459.6))+15.64),EXP(INDEX(Antoines,MATCH(K1370,Antoine_Name,0),2)-INDEX(Antoines,MATCH(K1370,Antoine_Name,0),3)/(K1378+459.6))))),0)</f>
        <v>0</v>
      </c>
      <c r="L1391" cm="1">
        <f t="array" ref="L1391">IFERROR(IF(L1371="Chemical",(10^(INDEX(Antoines,MATCH(L1370,Antoine_Name,0),2)-INDEX(Antoines,MATCH(L1370,Antoine_Name,0),3)/(INDEX(Antoines,MATCH(L1370,Antoine_Name,0),4)+(L1378-32)*5/9)))*14.7/760,IF(L1371="Crude Oil",EXP((2799/(L1378+459.6)-2.227)*LOG10(INDEX(FX_Input,Y$5,L$3*$Z$5+$AA$5))-(7261/(L1378+459.6))+12.82),IF(L1371="Refined Petroleum Stock",EXP((0.7553-(413/(L1378+459.6)))*(INDEX(FX_Input,Y$5,L$3*$Z$5+$AA$5-1)^0.5)*LOG10(INDEX(FX_Input,Y$5,L$3*$Z$5+$AA$5))-(1.854-(1042/(L1378+459.6)))*(INDEX(FX_Input,Y$5,L$3*$Z$5+$AA$5-1)^0.5)+((2416/(L1378+459.6)-2.013)*LOG10(INDEX(FX_Input,Y$5,L$3*$Z$5+$AA$5)))-(8742/(L1378+459.6))+15.64),EXP(INDEX(Antoines,MATCH(L1370,Antoine_Name,0),2)-INDEX(Antoines,MATCH(L1370,Antoine_Name,0),3)/(L1378+459.6))))),0)</f>
        <v>0</v>
      </c>
      <c r="M1391" cm="1">
        <f t="array" ref="M1391">IFERROR(IF(M1371="Chemical",(10^(INDEX(Antoines,MATCH(M1370,Antoine_Name,0),2)-INDEX(Antoines,MATCH(M1370,Antoine_Name,0),3)/(INDEX(Antoines,MATCH(M1370,Antoine_Name,0),4)+(M1378-32)*5/9)))*14.7/760,IF(M1371="Crude Oil",EXP((2799/(M1378+459.6)-2.227)*LOG10(INDEX(FX_Input,Z$5,M$3*$Z$5+$AA$5))-(7261/(M1378+459.6))+12.82),IF(M1371="Refined Petroleum Stock",EXP((0.7553-(413/(M1378+459.6)))*(INDEX(FX_Input,Z$5,M$3*$Z$5+$AA$5-1)^0.5)*LOG10(INDEX(FX_Input,Z$5,M$3*$Z$5+$AA$5))-(1.854-(1042/(M1378+459.6)))*(INDEX(FX_Input,Z$5,M$3*$Z$5+$AA$5-1)^0.5)+((2416/(M1378+459.6)-2.013)*LOG10(INDEX(FX_Input,Z$5,M$3*$Z$5+$AA$5)))-(8742/(M1378+459.6))+15.64),EXP(INDEX(Antoines,MATCH(M1370,Antoine_Name,0),2)-INDEX(Antoines,MATCH(M1370,Antoine_Name,0),3)/(M1378+459.6))))),0)</f>
        <v>0</v>
      </c>
      <c r="N1391" cm="1">
        <f t="array" ref="N1391">IFERROR(IF(N1371="Chemical",(10^(INDEX(Antoines,MATCH(N1370,Antoine_Name,0),2)-INDEX(Antoines,MATCH(N1370,Antoine_Name,0),3)/(INDEX(Antoines,MATCH(N1370,Antoine_Name,0),4)+(N1378-32)*5/9)))*14.7/760,IF(N1371="Crude Oil",EXP((2799/(N1378+459.6)-2.227)*LOG10(INDEX(FX_Input,AA$5,N$3*$Z$5+$AA$5))-(7261/(N1378+459.6))+12.82),IF(N1371="Refined Petroleum Stock",EXP((0.7553-(413/(N1378+459.6)))*(INDEX(FX_Input,AA$5,N$3*$Z$5+$AA$5-1)^0.5)*LOG10(INDEX(FX_Input,AA$5,N$3*$Z$5+$AA$5))-(1.854-(1042/(N1378+459.6)))*(INDEX(FX_Input,AA$5,N$3*$Z$5+$AA$5-1)^0.5)+((2416/(N1378+459.6)-2.013)*LOG10(INDEX(FX_Input,AA$5,N$3*$Z$5+$AA$5)))-(8742/(N1378+459.6))+15.64),EXP(INDEX(Antoines,MATCH(N1370,Antoine_Name,0),2)-INDEX(Antoines,MATCH(N1370,Antoine_Name,0),3)/(N1378+459.6))))),0)</f>
        <v>0</v>
      </c>
      <c r="O1391" cm="1">
        <f t="array" ref="O1391">IFERROR(IF(O1371="Chemical",(10^(INDEX(Antoines,MATCH(O1370,Antoine_Name,0),2)-INDEX(Antoines,MATCH(O1370,Antoine_Name,0),3)/(INDEX(Antoines,MATCH(O1370,Antoine_Name,0),4)+(O1378-32)*5/9)))*14.7/760,IF(O1371="Crude Oil",EXP((2799/(O1378+459.6)-2.227)*LOG10(INDEX(FX_Input,AB$5,O$3*$Z$5+$AA$5))-(7261/(O1378+459.6))+12.82),IF(O1371="Refined Petroleum Stock",EXP((0.7553-(413/(O1378+459.6)))*(INDEX(FX_Input,AB$5,O$3*$Z$5+$AA$5-1)^0.5)*LOG10(INDEX(FX_Input,AB$5,O$3*$Z$5+$AA$5))-(1.854-(1042/(O1378+459.6)))*(INDEX(FX_Input,AB$5,O$3*$Z$5+$AA$5-1)^0.5)+((2416/(O1378+459.6)-2.013)*LOG10(INDEX(FX_Input,AB$5,O$3*$Z$5+$AA$5)))-(8742/(O1378+459.6))+15.64),EXP(INDEX(Antoines,MATCH(O1370,Antoine_Name,0),2)-INDEX(Antoines,MATCH(O1370,Antoine_Name,0),3)/(O1378+459.6))))),0)</f>
        <v>0</v>
      </c>
    </row>
    <row r="1392" spans="2:32" ht="17.149999999999999" x14ac:dyDescent="0.55000000000000004">
      <c r="B1392" t="str">
        <f t="shared" si="5012"/>
        <v>Portland</v>
      </c>
      <c r="C1392" t="s">
        <v>1391</v>
      </c>
      <c r="D1392">
        <f>D1391*D1374</f>
        <v>0</v>
      </c>
      <c r="E1392">
        <f t="shared" ref="E1392" si="5090">E1391*E1374</f>
        <v>0</v>
      </c>
      <c r="F1392">
        <f t="shared" ref="F1392" si="5091">F1391*F1374</f>
        <v>0</v>
      </c>
      <c r="G1392">
        <f t="shared" ref="G1392" si="5092">G1391*G1374</f>
        <v>0</v>
      </c>
      <c r="H1392">
        <f t="shared" ref="H1392" si="5093">H1391*H1374</f>
        <v>0</v>
      </c>
      <c r="I1392">
        <f t="shared" ref="I1392" si="5094">I1391*I1374</f>
        <v>0</v>
      </c>
      <c r="J1392">
        <f t="shared" ref="J1392" si="5095">J1391*J1374</f>
        <v>0</v>
      </c>
      <c r="K1392">
        <f t="shared" ref="K1392" si="5096">K1391*K1374</f>
        <v>0</v>
      </c>
      <c r="L1392">
        <f t="shared" ref="L1392" si="5097">L1391*L1374</f>
        <v>0</v>
      </c>
      <c r="M1392">
        <f t="shared" ref="M1392" si="5098">M1391*M1374</f>
        <v>0</v>
      </c>
      <c r="N1392">
        <f t="shared" ref="N1392" si="5099">N1391*N1374</f>
        <v>0</v>
      </c>
      <c r="O1392">
        <f t="shared" ref="O1392" si="5100">O1391*O1374</f>
        <v>0</v>
      </c>
    </row>
    <row r="1393" spans="1:32" ht="17.149999999999999" x14ac:dyDescent="0.55000000000000004">
      <c r="B1393" t="str">
        <f t="shared" si="5012"/>
        <v>Portland</v>
      </c>
      <c r="C1393" t="s">
        <v>1392</v>
      </c>
      <c r="D1393">
        <f>D1390+D1392</f>
        <v>4.739577185808354E-3</v>
      </c>
      <c r="E1393">
        <f t="shared" ref="E1393" si="5101">E1390+E1392</f>
        <v>4.8748667780818778E-3</v>
      </c>
      <c r="F1393">
        <f t="shared" ref="F1393" si="5102">F1390+F1392</f>
        <v>5.119885034186122E-3</v>
      </c>
      <c r="G1393">
        <f t="shared" ref="G1393" si="5103">G1390+G1392</f>
        <v>5.5846958573521795E-3</v>
      </c>
      <c r="H1393">
        <f t="shared" ref="H1393" si="5104">H1390+H1392</f>
        <v>6.5274070972739821E-3</v>
      </c>
      <c r="I1393">
        <f t="shared" ref="I1393" si="5105">I1390+I1392</f>
        <v>7.4199539958878279E-3</v>
      </c>
      <c r="J1393">
        <f t="shared" ref="J1393" si="5106">J1390+J1392</f>
        <v>8.3358107202842254E-3</v>
      </c>
      <c r="K1393">
        <f t="shared" ref="K1393" si="5107">K1390+K1392</f>
        <v>8.4605262729351115E-3</v>
      </c>
      <c r="L1393">
        <f t="shared" ref="L1393" si="5108">L1390+L1392</f>
        <v>7.8399882233967533E-3</v>
      </c>
      <c r="M1393">
        <f t="shared" ref="M1393" si="5109">M1390+M1392</f>
        <v>6.4173462075160911E-3</v>
      </c>
      <c r="N1393">
        <f t="shared" ref="N1393" si="5110">N1390+N1392</f>
        <v>5.3015226887581056E-3</v>
      </c>
      <c r="O1393">
        <f t="shared" ref="O1393" si="5111">O1390+O1392</f>
        <v>4.68970903600947E-3</v>
      </c>
    </row>
    <row r="1394" spans="1:32" ht="17.149999999999999" x14ac:dyDescent="0.55000000000000004">
      <c r="B1394" t="str">
        <f>B1388</f>
        <v>Portland</v>
      </c>
      <c r="C1394" t="s">
        <v>584</v>
      </c>
      <c r="D1394">
        <f>D1390/D1393</f>
        <v>1</v>
      </c>
      <c r="E1394">
        <f t="shared" ref="E1394" si="5112">E1390/E1393</f>
        <v>1</v>
      </c>
      <c r="F1394">
        <f t="shared" ref="F1394" si="5113">F1390/F1393</f>
        <v>1</v>
      </c>
      <c r="G1394">
        <f t="shared" ref="G1394" si="5114">G1390/G1393</f>
        <v>1</v>
      </c>
      <c r="H1394">
        <f t="shared" ref="H1394" si="5115">H1390/H1393</f>
        <v>1</v>
      </c>
      <c r="I1394">
        <f t="shared" ref="I1394" si="5116">I1390/I1393</f>
        <v>1</v>
      </c>
      <c r="J1394">
        <f t="shared" ref="J1394" si="5117">J1390/J1393</f>
        <v>1</v>
      </c>
      <c r="K1394">
        <f t="shared" ref="K1394" si="5118">K1390/K1393</f>
        <v>1</v>
      </c>
      <c r="L1394">
        <f t="shared" ref="L1394" si="5119">L1390/L1393</f>
        <v>1</v>
      </c>
      <c r="M1394">
        <f t="shared" ref="M1394" si="5120">M1390/M1393</f>
        <v>1</v>
      </c>
      <c r="N1394">
        <f t="shared" ref="N1394" si="5121">N1390/N1393</f>
        <v>1</v>
      </c>
      <c r="O1394">
        <f t="shared" ref="O1394" si="5122">O1390/O1393</f>
        <v>1</v>
      </c>
    </row>
    <row r="1395" spans="1:32" ht="17.149999999999999" x14ac:dyDescent="0.55000000000000004">
      <c r="B1395" t="str">
        <f>B1389</f>
        <v>Portland</v>
      </c>
      <c r="C1395" t="s">
        <v>585</v>
      </c>
      <c r="D1395">
        <f t="shared" ref="D1395:O1395" si="5123">INDEX(Phys_Prop,MATCH(D1368,Chem_List,0),3)</f>
        <v>130</v>
      </c>
      <c r="E1395">
        <f t="shared" si="5123"/>
        <v>130</v>
      </c>
      <c r="F1395">
        <f t="shared" si="5123"/>
        <v>130</v>
      </c>
      <c r="G1395">
        <f t="shared" si="5123"/>
        <v>130</v>
      </c>
      <c r="H1395">
        <f t="shared" si="5123"/>
        <v>130</v>
      </c>
      <c r="I1395">
        <f t="shared" si="5123"/>
        <v>130</v>
      </c>
      <c r="J1395">
        <f t="shared" si="5123"/>
        <v>130</v>
      </c>
      <c r="K1395">
        <f t="shared" si="5123"/>
        <v>130</v>
      </c>
      <c r="L1395">
        <f t="shared" si="5123"/>
        <v>130</v>
      </c>
      <c r="M1395">
        <f t="shared" si="5123"/>
        <v>130</v>
      </c>
      <c r="N1395">
        <f t="shared" si="5123"/>
        <v>130</v>
      </c>
      <c r="O1395">
        <f t="shared" si="5123"/>
        <v>130</v>
      </c>
    </row>
    <row r="1396" spans="1:32" ht="17.149999999999999" x14ac:dyDescent="0.55000000000000004">
      <c r="B1396" t="str">
        <f>B1395</f>
        <v>Portland</v>
      </c>
      <c r="C1396" t="s">
        <v>586</v>
      </c>
      <c r="D1396">
        <f>D1392/D1393</f>
        <v>0</v>
      </c>
      <c r="E1396">
        <f t="shared" ref="E1396:O1396" si="5124">E1392/E1393</f>
        <v>0</v>
      </c>
      <c r="F1396">
        <f t="shared" si="5124"/>
        <v>0</v>
      </c>
      <c r="G1396">
        <f t="shared" si="5124"/>
        <v>0</v>
      </c>
      <c r="H1396">
        <f t="shared" si="5124"/>
        <v>0</v>
      </c>
      <c r="I1396">
        <f t="shared" si="5124"/>
        <v>0</v>
      </c>
      <c r="J1396">
        <f t="shared" si="5124"/>
        <v>0</v>
      </c>
      <c r="K1396">
        <f t="shared" si="5124"/>
        <v>0</v>
      </c>
      <c r="L1396">
        <f t="shared" si="5124"/>
        <v>0</v>
      </c>
      <c r="M1396">
        <f t="shared" si="5124"/>
        <v>0</v>
      </c>
      <c r="N1396">
        <f t="shared" si="5124"/>
        <v>0</v>
      </c>
      <c r="O1396">
        <f t="shared" si="5124"/>
        <v>0</v>
      </c>
    </row>
    <row r="1397" spans="1:32" ht="17.149999999999999" x14ac:dyDescent="0.55000000000000004">
      <c r="B1397" t="str">
        <f t="shared" si="5012"/>
        <v>Portland</v>
      </c>
      <c r="C1397" t="s">
        <v>587</v>
      </c>
      <c r="D1397">
        <f t="shared" ref="D1397:O1397" si="5125">IFERROR(INDEX(Phys_Prop,MATCH(D1370,Chem_List,0),3),0)</f>
        <v>0</v>
      </c>
      <c r="E1397">
        <f t="shared" si="5125"/>
        <v>0</v>
      </c>
      <c r="F1397">
        <f t="shared" si="5125"/>
        <v>0</v>
      </c>
      <c r="G1397">
        <f t="shared" si="5125"/>
        <v>0</v>
      </c>
      <c r="H1397">
        <f t="shared" si="5125"/>
        <v>0</v>
      </c>
      <c r="I1397">
        <f t="shared" si="5125"/>
        <v>0</v>
      </c>
      <c r="J1397">
        <f t="shared" si="5125"/>
        <v>0</v>
      </c>
      <c r="K1397">
        <f t="shared" si="5125"/>
        <v>0</v>
      </c>
      <c r="L1397">
        <f t="shared" si="5125"/>
        <v>0</v>
      </c>
      <c r="M1397">
        <f t="shared" si="5125"/>
        <v>0</v>
      </c>
      <c r="N1397">
        <f t="shared" si="5125"/>
        <v>0</v>
      </c>
      <c r="O1397">
        <f t="shared" si="5125"/>
        <v>0</v>
      </c>
    </row>
    <row r="1398" spans="1:32" ht="17.149999999999999" x14ac:dyDescent="0.55000000000000004">
      <c r="A1398" s="11"/>
      <c r="B1398" s="11" t="str">
        <f t="shared" si="5012"/>
        <v>Portland</v>
      </c>
      <c r="C1398" s="11" t="s">
        <v>588</v>
      </c>
      <c r="D1398" s="11">
        <f>IFERROR(D1394*D1395+D1396*D1397,0)</f>
        <v>130</v>
      </c>
      <c r="E1398" s="11">
        <f t="shared" ref="E1398" si="5126">IFERROR(E1394*E1395+E1396*E1397,0)</f>
        <v>130</v>
      </c>
      <c r="F1398" s="11">
        <f t="shared" ref="F1398" si="5127">IFERROR(F1394*F1395+F1396*F1397,0)</f>
        <v>130</v>
      </c>
      <c r="G1398" s="11">
        <f t="shared" ref="G1398" si="5128">IFERROR(G1394*G1395+G1396*G1397,0)</f>
        <v>130</v>
      </c>
      <c r="H1398" s="11">
        <f t="shared" ref="H1398" si="5129">IFERROR(H1394*H1395+H1396*H1397,0)</f>
        <v>130</v>
      </c>
      <c r="I1398" s="11">
        <f t="shared" ref="I1398" si="5130">IFERROR(I1394*I1395+I1396*I1397,0)</f>
        <v>130</v>
      </c>
      <c r="J1398" s="11">
        <f t="shared" ref="J1398" si="5131">IFERROR(J1394*J1395+J1396*J1397,0)</f>
        <v>130</v>
      </c>
      <c r="K1398" s="11">
        <f t="shared" ref="K1398" si="5132">IFERROR(K1394*K1395+K1396*K1397,0)</f>
        <v>130</v>
      </c>
      <c r="L1398" s="11">
        <f t="shared" ref="L1398" si="5133">IFERROR(L1394*L1395+L1396*L1397,0)</f>
        <v>130</v>
      </c>
      <c r="M1398" s="11">
        <f t="shared" ref="M1398" si="5134">IFERROR(M1394*M1395+M1396*M1397,0)</f>
        <v>130</v>
      </c>
      <c r="N1398" s="11">
        <f t="shared" ref="N1398" si="5135">IFERROR(N1394*N1395+N1396*N1397,0)</f>
        <v>130</v>
      </c>
      <c r="O1398" s="11">
        <f t="shared" ref="O1398" si="5136">IFERROR(O1394*O1395+O1396*O1397,0)</f>
        <v>130</v>
      </c>
      <c r="P1398" s="11"/>
      <c r="Q1398" s="11"/>
      <c r="R1398" s="11"/>
      <c r="S1398" s="11"/>
      <c r="T1398" s="11"/>
      <c r="U1398" s="11"/>
      <c r="V1398" s="11"/>
      <c r="W1398" s="11"/>
      <c r="X1398" s="11"/>
      <c r="Y1398" s="11"/>
      <c r="Z1398" s="11"/>
      <c r="AA1398" s="11"/>
      <c r="AB1398" s="11"/>
      <c r="AC1398" s="11"/>
      <c r="AD1398" s="11"/>
      <c r="AE1398" s="11"/>
      <c r="AF1398" s="11"/>
    </row>
    <row r="1399" spans="1:32" ht="17.149999999999999" x14ac:dyDescent="0.55000000000000004">
      <c r="A1399" t="str" cm="1">
        <f t="array" ref="A1399">INDEX(FX_Input,$Q1399,R$5)</f>
        <v>FX - 42</v>
      </c>
      <c r="B1399" t="str" cm="1">
        <f t="array" ref="B1399">INDEX(FX_Input,Q1399,S1399)</f>
        <v>Portland</v>
      </c>
      <c r="C1399" t="s">
        <v>563</v>
      </c>
      <c r="D1399">
        <v>14.7</v>
      </c>
      <c r="E1399">
        <v>14.7</v>
      </c>
      <c r="F1399">
        <v>14.7</v>
      </c>
      <c r="G1399">
        <v>14.7</v>
      </c>
      <c r="H1399">
        <v>14.7</v>
      </c>
      <c r="I1399">
        <v>14.7</v>
      </c>
      <c r="J1399">
        <v>14.7</v>
      </c>
      <c r="K1399">
        <v>14.7</v>
      </c>
      <c r="L1399">
        <v>14.7</v>
      </c>
      <c r="M1399">
        <v>14.7</v>
      </c>
      <c r="N1399">
        <v>14.7</v>
      </c>
      <c r="O1399">
        <v>14.7</v>
      </c>
      <c r="Q1399">
        <f>Q1365+2</f>
        <v>83</v>
      </c>
      <c r="R1399">
        <v>1</v>
      </c>
      <c r="S1399">
        <v>3</v>
      </c>
      <c r="T1399">
        <v>1</v>
      </c>
      <c r="U1399">
        <v>19</v>
      </c>
      <c r="V1399">
        <v>20</v>
      </c>
      <c r="W1399">
        <v>25</v>
      </c>
      <c r="X1399">
        <v>1</v>
      </c>
      <c r="Y1399">
        <v>2</v>
      </c>
      <c r="Z1399">
        <f>(W1399-V1399)/(Y1399-X1399)</f>
        <v>5</v>
      </c>
      <c r="AA1399">
        <f>V1399-Z1399*X1399</f>
        <v>15</v>
      </c>
      <c r="AD1399">
        <f>AD1365+14</f>
        <v>575</v>
      </c>
      <c r="AF1399">
        <f>AF1365+14</f>
        <v>575</v>
      </c>
    </row>
    <row r="1400" spans="1:32" ht="17.149999999999999" x14ac:dyDescent="0.55000000000000004">
      <c r="B1400" t="str">
        <f t="shared" ref="B1400" si="5137">B1399</f>
        <v>Portland</v>
      </c>
      <c r="C1400" t="s">
        <v>564</v>
      </c>
      <c r="D1400" cm="1">
        <f t="array" ref="D1400">IF(ISBLANK(INDEX(FX_Input,$Q1399,$AB1400)),0.03,INDEX(FX_Input,Q1399,AB1400))</f>
        <v>0.03</v>
      </c>
      <c r="E1400" cm="1">
        <f t="array" ref="E1400">IF(ISBLANK(INDEX(FX_Input,$Q1399,$AB1400)),0.03,INDEX(FX_Input,R1399,#REF!))</f>
        <v>0.03</v>
      </c>
      <c r="F1400" cm="1">
        <f t="array" ref="F1400">IF(ISBLANK(INDEX(FX_Input,$Q1399,$AB1400)),0.03,INDEX(FX_Input,S1399,#REF!))</f>
        <v>0.03</v>
      </c>
      <c r="G1400" cm="1">
        <f t="array" ref="G1400">IF(ISBLANK(INDEX(FX_Input,$Q1399,$AB1400)),0.03,INDEX(FX_Input,AB1399,#REF!))</f>
        <v>0.03</v>
      </c>
      <c r="H1400" cm="1">
        <f t="array" ref="H1400">IF(ISBLANK(INDEX(FX_Input,$Q1399,$AB1400)),0.03,INDEX(FX_Input,#REF!,#REF!))</f>
        <v>0.03</v>
      </c>
      <c r="I1400" cm="1">
        <f t="array" ref="I1400">IF(ISBLANK(INDEX(FX_Input,$Q1399,$AB1400)),0.03,INDEX(FX_Input,#REF!,#REF!))</f>
        <v>0.03</v>
      </c>
      <c r="J1400" cm="1">
        <f t="array" ref="J1400">IF(ISBLANK(INDEX(FX_Input,$Q1399,$AB1400)),0.03,INDEX(FX_Input,#REF!,#REF!))</f>
        <v>0.03</v>
      </c>
      <c r="K1400" cm="1">
        <f t="array" ref="K1400">IF(ISBLANK(INDEX(FX_Input,$Q1399,$AB1400)),0.03,INDEX(FX_Input,#REF!,AC1400))</f>
        <v>0.03</v>
      </c>
      <c r="L1400" cm="1">
        <f t="array" ref="L1400">IF(ISBLANK(INDEX(FX_Input,$Q1399,$AB1400)),0.03,INDEX(FX_Input,#REF!,AD1400))</f>
        <v>0.03</v>
      </c>
      <c r="M1400" cm="1">
        <f t="array" ref="M1400">IF(ISBLANK(INDEX(FX_Input,$Q1399,$AB1400)),0.03,INDEX(FX_Input,#REF!,#REF!))</f>
        <v>0.03</v>
      </c>
      <c r="N1400" cm="1">
        <f t="array" ref="N1400">IF(ISBLANK(INDEX(FX_Input,$Q1399,$AB1400)),0.03,INDEX(FX_Input,AC1399,#REF!))</f>
        <v>0.03</v>
      </c>
      <c r="O1400" cm="1">
        <f t="array" ref="O1400">IF(ISBLANK(INDEX(FX_Input,$Q1399,$AB1400)),0.03,INDEX(FX_Input,AD1399,#REF!))</f>
        <v>0.03</v>
      </c>
      <c r="AB1400">
        <v>15</v>
      </c>
    </row>
    <row r="1401" spans="1:32" ht="17.149999999999999" x14ac:dyDescent="0.55000000000000004">
      <c r="B1401" t="str">
        <f>B1400</f>
        <v>Portland</v>
      </c>
      <c r="C1401" t="s">
        <v>565</v>
      </c>
      <c r="D1401" cm="1">
        <f t="array" ref="D1401">IF(ISBLANK(INDEX(FX_Input,$Q1399,$AB1401)),-0.03,INDEX(FX_Input,Q1399,AB1401))</f>
        <v>-0.03</v>
      </c>
      <c r="E1401" cm="1">
        <f t="array" ref="E1401">IF(ISBLANK(INDEX(FX_Input,$Q1399,$AB1401)),-0.03,INDEX(FX_Input,R1399,#REF!))</f>
        <v>-0.03</v>
      </c>
      <c r="F1401" cm="1">
        <f t="array" ref="F1401">IF(ISBLANK(INDEX(FX_Input,$Q1399,$AB1401)),-0.03,INDEX(FX_Input,S1399,#REF!))</f>
        <v>-0.03</v>
      </c>
      <c r="G1401" cm="1">
        <f t="array" ref="G1401">IF(ISBLANK(INDEX(FX_Input,$Q1399,$AB1401)),-0.03,INDEX(FX_Input,AB1399,#REF!))</f>
        <v>-0.03</v>
      </c>
      <c r="H1401" cm="1">
        <f t="array" ref="H1401">IF(ISBLANK(INDEX(FX_Input,$Q1399,$AB1401)),-0.03,INDEX(FX_Input,#REF!,#REF!))</f>
        <v>-0.03</v>
      </c>
      <c r="I1401" cm="1">
        <f t="array" ref="I1401">IF(ISBLANK(INDEX(FX_Input,$Q1399,$AB1401)),-0.03,INDEX(FX_Input,#REF!,#REF!))</f>
        <v>-0.03</v>
      </c>
      <c r="J1401" cm="1">
        <f t="array" ref="J1401">IF(ISBLANK(INDEX(FX_Input,$Q1399,$AB1401)),-0.03,INDEX(FX_Input,#REF!,#REF!))</f>
        <v>-0.03</v>
      </c>
      <c r="K1401" cm="1">
        <f t="array" ref="K1401">IF(ISBLANK(INDEX(FX_Input,$Q1399,$AB1401)),-0.03,INDEX(FX_Input,#REF!,AC1401))</f>
        <v>-0.03</v>
      </c>
      <c r="L1401" cm="1">
        <f t="array" ref="L1401">IF(ISBLANK(INDEX(FX_Input,$Q1399,$AB1401)),-0.03,INDEX(FX_Input,#REF!,AD1401))</f>
        <v>-0.03</v>
      </c>
      <c r="M1401" cm="1">
        <f t="array" ref="M1401">IF(ISBLANK(INDEX(FX_Input,$Q1399,$AB1401)),-0.03,INDEX(FX_Input,#REF!,#REF!))</f>
        <v>-0.03</v>
      </c>
      <c r="N1401" cm="1">
        <f t="array" ref="N1401">IF(ISBLANK(INDEX(FX_Input,$Q1399,$AB1401)),-0.03,INDEX(FX_Input,AC1399,#REF!))</f>
        <v>-0.03</v>
      </c>
      <c r="O1401" cm="1">
        <f t="array" ref="O1401">IF(ISBLANK(INDEX(FX_Input,$Q1399,$AB1401)),-0.03,INDEX(FX_Input,AD1399,#REF!))</f>
        <v>-0.03</v>
      </c>
      <c r="AB1401">
        <v>16</v>
      </c>
    </row>
    <row r="1402" spans="1:32" x14ac:dyDescent="0.4">
      <c r="B1402" t="str">
        <f t="shared" ref="B1402:B1403" si="5138">B1401</f>
        <v>Portland</v>
      </c>
      <c r="C1402" s="66" t="s">
        <v>567</v>
      </c>
      <c r="D1402" t="str" cm="1">
        <f t="array" ref="D1402">INDEX(FX_Multi,$AD1402,D$3)</f>
        <v>Jet kerosene</v>
      </c>
      <c r="E1402" t="str" cm="1">
        <f t="array" ref="E1402">INDEX(FX_Multi,$AD1402,E$3)</f>
        <v>Jet kerosene</v>
      </c>
      <c r="F1402" t="str" cm="1">
        <f t="array" ref="F1402">INDEX(FX_Multi,$AD1402,F$3)</f>
        <v>Jet kerosene</v>
      </c>
      <c r="G1402" t="str" cm="1">
        <f t="array" ref="G1402">INDEX(FX_Multi,$AD1402,G$3)</f>
        <v>Jet kerosene</v>
      </c>
      <c r="H1402" t="str" cm="1">
        <f t="array" ref="H1402">INDEX(FX_Multi,$AD1402,H$3)</f>
        <v>Jet kerosene</v>
      </c>
      <c r="I1402" t="str" cm="1">
        <f t="array" ref="I1402">INDEX(FX_Multi,$AD1402,I$3)</f>
        <v>Jet kerosene</v>
      </c>
      <c r="J1402" t="str" cm="1">
        <f t="array" ref="J1402">INDEX(FX_Multi,$AD1402,J$3)</f>
        <v>Jet kerosene</v>
      </c>
      <c r="K1402" t="str" cm="1">
        <f t="array" ref="K1402">INDEX(FX_Multi,$AD1402,K$3)</f>
        <v>Jet kerosene</v>
      </c>
      <c r="L1402" t="str" cm="1">
        <f t="array" ref="L1402">INDEX(FX_Multi,$AD1402,L$3)</f>
        <v>Jet kerosene</v>
      </c>
      <c r="M1402" t="str" cm="1">
        <f t="array" ref="M1402">INDEX(FX_Multi,$AD1402,M$3)</f>
        <v>Jet kerosene</v>
      </c>
      <c r="N1402" t="str" cm="1">
        <f t="array" ref="N1402">INDEX(FX_Multi,$AD1402,N$3)</f>
        <v>Jet kerosene</v>
      </c>
      <c r="O1402" t="str" cm="1">
        <f t="array" ref="O1402">INDEX(FX_Multi,$AD1402,O$3)</f>
        <v>Jet kerosene</v>
      </c>
      <c r="AC1402">
        <v>1</v>
      </c>
      <c r="AD1402">
        <f>AD1399</f>
        <v>575</v>
      </c>
      <c r="AE1402">
        <v>1</v>
      </c>
      <c r="AF1402">
        <f>AF1399</f>
        <v>575</v>
      </c>
    </row>
    <row r="1403" spans="1:32" x14ac:dyDescent="0.4">
      <c r="B1403" t="str">
        <f t="shared" si="5138"/>
        <v>Portland</v>
      </c>
      <c r="C1403" s="66" t="s">
        <v>566</v>
      </c>
      <c r="D1403" t="str" cm="1">
        <f t="array" ref="D1403">INDEX(FX_Multi,$AD1403,D$3)</f>
        <v>Select Pet Stock</v>
      </c>
      <c r="E1403" t="str" cm="1">
        <f t="array" ref="E1403">INDEX(FX_Multi,$AD1403,E$3)</f>
        <v>Select Pet Stock</v>
      </c>
      <c r="F1403" t="str" cm="1">
        <f t="array" ref="F1403">INDEX(FX_Multi,$AD1403,F$3)</f>
        <v>Select Pet Stock</v>
      </c>
      <c r="G1403" t="str" cm="1">
        <f t="array" ref="G1403">INDEX(FX_Multi,$AD1403,G$3)</f>
        <v>Select Pet Stock</v>
      </c>
      <c r="H1403" t="str" cm="1">
        <f t="array" ref="H1403">INDEX(FX_Multi,$AD1403,H$3)</f>
        <v>Select Pet Stock</v>
      </c>
      <c r="I1403" t="str" cm="1">
        <f t="array" ref="I1403">INDEX(FX_Multi,$AD1403,I$3)</f>
        <v>Select Pet Stock</v>
      </c>
      <c r="J1403" t="str" cm="1">
        <f t="array" ref="J1403">INDEX(FX_Multi,$AD1403,J$3)</f>
        <v>Select Pet Stock</v>
      </c>
      <c r="K1403" t="str" cm="1">
        <f t="array" ref="K1403">INDEX(FX_Multi,$AD1403,K$3)</f>
        <v>Select Pet Stock</v>
      </c>
      <c r="L1403" t="str" cm="1">
        <f t="array" ref="L1403">INDEX(FX_Multi,$AD1403,L$3)</f>
        <v>Select Pet Stock</v>
      </c>
      <c r="M1403" t="str" cm="1">
        <f t="array" ref="M1403">INDEX(FX_Multi,$AD1403,M$3)</f>
        <v>Select Pet Stock</v>
      </c>
      <c r="N1403" t="str" cm="1">
        <f t="array" ref="N1403">INDEX(FX_Multi,$AD1403,N$3)</f>
        <v>Select Pet Stock</v>
      </c>
      <c r="O1403" t="str" cm="1">
        <f t="array" ref="O1403">INDEX(FX_Multi,$AD1403,O$3)</f>
        <v>Select Pet Stock</v>
      </c>
      <c r="AC1403">
        <v>1</v>
      </c>
      <c r="AD1403">
        <f>AD1402+2</f>
        <v>577</v>
      </c>
      <c r="AE1403">
        <v>1</v>
      </c>
      <c r="AF1403">
        <f>AF1402+3</f>
        <v>578</v>
      </c>
    </row>
    <row r="1404" spans="1:32" x14ac:dyDescent="0.4">
      <c r="B1404" t="str">
        <f>B1400</f>
        <v>Portland</v>
      </c>
      <c r="C1404" s="66" t="s">
        <v>568</v>
      </c>
      <c r="D1404" cm="1">
        <f t="array" ref="D1404">INDEX(FX_Multi,$AD1404,D$3)</f>
        <v>0</v>
      </c>
      <c r="E1404" cm="1">
        <f t="array" ref="E1404">INDEX(FX_Multi,$AD1404,E$3)</f>
        <v>0</v>
      </c>
      <c r="F1404" cm="1">
        <f t="array" ref="F1404">INDEX(FX_Multi,$AD1404,F$3)</f>
        <v>0</v>
      </c>
      <c r="G1404" cm="1">
        <f t="array" ref="G1404">INDEX(FX_Multi,$AD1404,G$3)</f>
        <v>0</v>
      </c>
      <c r="H1404" cm="1">
        <f t="array" ref="H1404">INDEX(FX_Multi,$AD1404,H$3)</f>
        <v>0</v>
      </c>
      <c r="I1404" cm="1">
        <f t="array" ref="I1404">INDEX(FX_Multi,$AD1404,I$3)</f>
        <v>0</v>
      </c>
      <c r="J1404" cm="1">
        <f t="array" ref="J1404">INDEX(FX_Multi,$AD1404,J$3)</f>
        <v>0</v>
      </c>
      <c r="K1404" cm="1">
        <f t="array" ref="K1404">INDEX(FX_Multi,$AD1404,K$3)</f>
        <v>0</v>
      </c>
      <c r="L1404" cm="1">
        <f t="array" ref="L1404">INDEX(FX_Multi,$AD1404,L$3)</f>
        <v>0</v>
      </c>
      <c r="M1404" cm="1">
        <f t="array" ref="M1404">INDEX(FX_Multi,$AD1404,M$3)</f>
        <v>0</v>
      </c>
      <c r="N1404" cm="1">
        <f t="array" ref="N1404">INDEX(FX_Multi,$AD1404,N$3)</f>
        <v>0</v>
      </c>
      <c r="O1404" cm="1">
        <f t="array" ref="O1404">INDEX(FX_Multi,$AD1404,O$3)</f>
        <v>0</v>
      </c>
      <c r="AC1404">
        <v>1</v>
      </c>
      <c r="AD1404">
        <f>AD1403-1</f>
        <v>576</v>
      </c>
      <c r="AE1404">
        <v>1</v>
      </c>
      <c r="AF1404">
        <f>AF1402+1</f>
        <v>576</v>
      </c>
    </row>
    <row r="1405" spans="1:32" x14ac:dyDescent="0.4">
      <c r="B1405" t="str">
        <f t="shared" ref="B1405:B1409" si="5139">B1404</f>
        <v>Portland</v>
      </c>
      <c r="C1405" s="66" t="s">
        <v>569</v>
      </c>
      <c r="D1405" cm="1">
        <f t="array" ref="D1405">INDEX(FX_Multi,$AD1405,D$3)</f>
        <v>0</v>
      </c>
      <c r="E1405" cm="1">
        <f t="array" ref="E1405">INDEX(FX_Multi,$AD1405,E$3)</f>
        <v>0</v>
      </c>
      <c r="F1405" cm="1">
        <f t="array" ref="F1405">INDEX(FX_Multi,$AD1405,F$3)</f>
        <v>0</v>
      </c>
      <c r="G1405" cm="1">
        <f t="array" ref="G1405">INDEX(FX_Multi,$AD1405,G$3)</f>
        <v>0</v>
      </c>
      <c r="H1405" cm="1">
        <f t="array" ref="H1405">INDEX(FX_Multi,$AD1405,H$3)</f>
        <v>0</v>
      </c>
      <c r="I1405" cm="1">
        <f t="array" ref="I1405">INDEX(FX_Multi,$AD1405,I$3)</f>
        <v>0</v>
      </c>
      <c r="J1405" cm="1">
        <f t="array" ref="J1405">INDEX(FX_Multi,$AD1405,J$3)</f>
        <v>0</v>
      </c>
      <c r="K1405" cm="1">
        <f t="array" ref="K1405">INDEX(FX_Multi,$AD1405,K$3)</f>
        <v>0</v>
      </c>
      <c r="L1405" cm="1">
        <f t="array" ref="L1405">INDEX(FX_Multi,$AD1405,L$3)</f>
        <v>0</v>
      </c>
      <c r="M1405" cm="1">
        <f t="array" ref="M1405">INDEX(FX_Multi,$AD1405,M$3)</f>
        <v>0</v>
      </c>
      <c r="N1405" cm="1">
        <f t="array" ref="N1405">INDEX(FX_Multi,$AD1405,N$3)</f>
        <v>0</v>
      </c>
      <c r="O1405" cm="1">
        <f t="array" ref="O1405">INDEX(FX_Multi,$AD1405,O$3)</f>
        <v>0</v>
      </c>
      <c r="AC1405">
        <v>1</v>
      </c>
      <c r="AD1405">
        <f>AD1404+2</f>
        <v>578</v>
      </c>
      <c r="AE1405">
        <v>1</v>
      </c>
      <c r="AF1405">
        <f>AF1403</f>
        <v>578</v>
      </c>
    </row>
    <row r="1406" spans="1:32" ht="17.149999999999999" x14ac:dyDescent="0.55000000000000004">
      <c r="B1406" t="str">
        <f t="shared" si="5139"/>
        <v>Portland</v>
      </c>
      <c r="C1406" t="s">
        <v>570</v>
      </c>
      <c r="D1406" cm="1">
        <f t="array" ref="D1406">INDEX(FX_Multi,$AD1406,D$3)</f>
        <v>1</v>
      </c>
      <c r="E1406" cm="1">
        <f t="array" ref="E1406">INDEX(FX_Multi,$AD1406,E$3)</f>
        <v>1</v>
      </c>
      <c r="F1406" cm="1">
        <f t="array" ref="F1406">INDEX(FX_Multi,$AD1406,F$3)</f>
        <v>1</v>
      </c>
      <c r="G1406" cm="1">
        <f t="array" ref="G1406">INDEX(FX_Multi,$AD1406,G$3)</f>
        <v>1</v>
      </c>
      <c r="H1406" cm="1">
        <f t="array" ref="H1406">INDEX(FX_Multi,$AD1406,H$3)</f>
        <v>1</v>
      </c>
      <c r="I1406" cm="1">
        <f t="array" ref="I1406">INDEX(FX_Multi,$AD1406,I$3)</f>
        <v>1</v>
      </c>
      <c r="J1406" cm="1">
        <f t="array" ref="J1406">INDEX(FX_Multi,$AD1406,J$3)</f>
        <v>1</v>
      </c>
      <c r="K1406" cm="1">
        <f t="array" ref="K1406">INDEX(FX_Multi,$AD1406,K$3)</f>
        <v>1</v>
      </c>
      <c r="L1406" cm="1">
        <f t="array" ref="L1406">INDEX(FX_Multi,$AD1406,L$3)</f>
        <v>1</v>
      </c>
      <c r="M1406" cm="1">
        <f t="array" ref="M1406">INDEX(FX_Multi,$AD1406,M$3)</f>
        <v>1</v>
      </c>
      <c r="N1406" cm="1">
        <f t="array" ref="N1406">INDEX(FX_Multi,$AD1406,N$3)</f>
        <v>1</v>
      </c>
      <c r="O1406" cm="1">
        <f t="array" ref="O1406">INDEX(FX_Multi,$AD1406,O$3)</f>
        <v>1</v>
      </c>
      <c r="AC1406">
        <v>1</v>
      </c>
      <c r="AD1406">
        <f>AD1405+6</f>
        <v>584</v>
      </c>
      <c r="AE1406">
        <v>1</v>
      </c>
      <c r="AF1406">
        <f>AF1402+9</f>
        <v>584</v>
      </c>
    </row>
    <row r="1407" spans="1:32" ht="17.149999999999999" x14ac:dyDescent="0.55000000000000004">
      <c r="B1407" t="str">
        <f t="shared" si="5139"/>
        <v>Portland</v>
      </c>
      <c r="C1407" t="s">
        <v>571</v>
      </c>
      <c r="D1407" cm="1">
        <f t="array" ref="D1407">INDEX(FX_Multi,$AD1407,D$3)</f>
        <v>162</v>
      </c>
      <c r="E1407" cm="1">
        <f t="array" ref="E1407">INDEX(FX_Multi,$AD1407,E$3)</f>
        <v>162</v>
      </c>
      <c r="F1407" cm="1">
        <f t="array" ref="F1407">INDEX(FX_Multi,$AD1407,F$3)</f>
        <v>162</v>
      </c>
      <c r="G1407" cm="1">
        <f t="array" ref="G1407">INDEX(FX_Multi,$AD1407,G$3)</f>
        <v>162</v>
      </c>
      <c r="H1407" cm="1">
        <f t="array" ref="H1407">INDEX(FX_Multi,$AD1407,H$3)</f>
        <v>162</v>
      </c>
      <c r="I1407" cm="1">
        <f t="array" ref="I1407">INDEX(FX_Multi,$AD1407,I$3)</f>
        <v>162</v>
      </c>
      <c r="J1407" cm="1">
        <f t="array" ref="J1407">INDEX(FX_Multi,$AD1407,J$3)</f>
        <v>162</v>
      </c>
      <c r="K1407" cm="1">
        <f t="array" ref="K1407">INDEX(FX_Multi,$AD1407,K$3)</f>
        <v>162</v>
      </c>
      <c r="L1407" cm="1">
        <f t="array" ref="L1407">INDEX(FX_Multi,$AD1407,L$3)</f>
        <v>162</v>
      </c>
      <c r="M1407" cm="1">
        <f t="array" ref="M1407">INDEX(FX_Multi,$AD1407,M$3)</f>
        <v>162</v>
      </c>
      <c r="N1407" cm="1">
        <f t="array" ref="N1407">INDEX(FX_Multi,$AD1407,N$3)</f>
        <v>162</v>
      </c>
      <c r="O1407" cm="1">
        <f t="array" ref="O1407">INDEX(FX_Multi,$AD1407,O$3)</f>
        <v>162</v>
      </c>
      <c r="AC1407">
        <v>1</v>
      </c>
      <c r="AD1407">
        <f>AD1406-3</f>
        <v>581</v>
      </c>
      <c r="AE1407">
        <v>1</v>
      </c>
      <c r="AF1407">
        <f>AF1402+6</f>
        <v>581</v>
      </c>
    </row>
    <row r="1408" spans="1:32" ht="17.149999999999999" x14ac:dyDescent="0.55000000000000004">
      <c r="B1408" t="str">
        <f t="shared" si="5139"/>
        <v>Portland</v>
      </c>
      <c r="C1408" t="s">
        <v>572</v>
      </c>
      <c r="D1408" cm="1">
        <f t="array" ref="D1408">INDEX(FX_Multi,$AD1408,D$3)</f>
        <v>0</v>
      </c>
      <c r="E1408" cm="1">
        <f t="array" ref="E1408">INDEX(FX_Multi,$AD1408,E$3)</f>
        <v>0</v>
      </c>
      <c r="F1408" cm="1">
        <f t="array" ref="F1408">INDEX(FX_Multi,$AD1408,F$3)</f>
        <v>0</v>
      </c>
      <c r="G1408" cm="1">
        <f t="array" ref="G1408">INDEX(FX_Multi,$AD1408,G$3)</f>
        <v>0</v>
      </c>
      <c r="H1408" cm="1">
        <f t="array" ref="H1408">INDEX(FX_Multi,$AD1408,H$3)</f>
        <v>0</v>
      </c>
      <c r="I1408" cm="1">
        <f t="array" ref="I1408">INDEX(FX_Multi,$AD1408,I$3)</f>
        <v>0</v>
      </c>
      <c r="J1408" cm="1">
        <f t="array" ref="J1408">INDEX(FX_Multi,$AD1408,J$3)</f>
        <v>0</v>
      </c>
      <c r="K1408" cm="1">
        <f t="array" ref="K1408">INDEX(FX_Multi,$AD1408,K$3)</f>
        <v>0</v>
      </c>
      <c r="L1408" cm="1">
        <f t="array" ref="L1408">INDEX(FX_Multi,$AD1408,L$3)</f>
        <v>0</v>
      </c>
      <c r="M1408" cm="1">
        <f t="array" ref="M1408">INDEX(FX_Multi,$AD1408,M$3)</f>
        <v>0</v>
      </c>
      <c r="N1408" cm="1">
        <f t="array" ref="N1408">INDEX(FX_Multi,$AD1408,N$3)</f>
        <v>0</v>
      </c>
      <c r="O1408" cm="1">
        <f t="array" ref="O1408">INDEX(FX_Multi,$AD1408,O$3)</f>
        <v>0</v>
      </c>
      <c r="AC1408">
        <v>1</v>
      </c>
      <c r="AD1408">
        <f>AD1407+4</f>
        <v>585</v>
      </c>
      <c r="AE1408">
        <v>1</v>
      </c>
      <c r="AF1408">
        <f>AF1402+10</f>
        <v>585</v>
      </c>
    </row>
    <row r="1409" spans="2:32" ht="17.149999999999999" x14ac:dyDescent="0.55000000000000004">
      <c r="B1409" t="str">
        <f t="shared" si="5139"/>
        <v>Portland</v>
      </c>
      <c r="C1409" t="s">
        <v>573</v>
      </c>
      <c r="D1409" cm="1">
        <f t="array" ref="D1409">INDEX(FX_Multi,$AD1409,D$3)</f>
        <v>0</v>
      </c>
      <c r="E1409" cm="1">
        <f t="array" ref="E1409">INDEX(FX_Multi,$AD1409,E$3)</f>
        <v>0</v>
      </c>
      <c r="F1409" cm="1">
        <f t="array" ref="F1409">INDEX(FX_Multi,$AD1409,F$3)</f>
        <v>0</v>
      </c>
      <c r="G1409" cm="1">
        <f t="array" ref="G1409">INDEX(FX_Multi,$AD1409,G$3)</f>
        <v>0</v>
      </c>
      <c r="H1409" cm="1">
        <f t="array" ref="H1409">INDEX(FX_Multi,$AD1409,H$3)</f>
        <v>0</v>
      </c>
      <c r="I1409" cm="1">
        <f t="array" ref="I1409">INDEX(FX_Multi,$AD1409,I$3)</f>
        <v>0</v>
      </c>
      <c r="J1409" cm="1">
        <f t="array" ref="J1409">INDEX(FX_Multi,$AD1409,J$3)</f>
        <v>0</v>
      </c>
      <c r="K1409" cm="1">
        <f t="array" ref="K1409">INDEX(FX_Multi,$AD1409,K$3)</f>
        <v>0</v>
      </c>
      <c r="L1409" cm="1">
        <f t="array" ref="L1409">INDEX(FX_Multi,$AD1409,L$3)</f>
        <v>0</v>
      </c>
      <c r="M1409" cm="1">
        <f t="array" ref="M1409">INDEX(FX_Multi,$AD1409,M$3)</f>
        <v>0</v>
      </c>
      <c r="N1409" cm="1">
        <f t="array" ref="N1409">INDEX(FX_Multi,$AD1409,N$3)</f>
        <v>0</v>
      </c>
      <c r="O1409" cm="1">
        <f t="array" ref="O1409">INDEX(FX_Multi,$AD1409,O$3)</f>
        <v>0</v>
      </c>
      <c r="AC1409">
        <v>1</v>
      </c>
      <c r="AD1409">
        <f>AD1408-3</f>
        <v>582</v>
      </c>
      <c r="AE1409">
        <v>1</v>
      </c>
      <c r="AF1409">
        <f>AF1402+7</f>
        <v>582</v>
      </c>
    </row>
    <row r="1410" spans="2:32" ht="17.149999999999999" x14ac:dyDescent="0.55000000000000004">
      <c r="B1410" t="str">
        <f>B1405</f>
        <v>Portland</v>
      </c>
      <c r="C1410" t="s">
        <v>526</v>
      </c>
      <c r="D1410" cm="1">
        <f t="array" ref="D1410">INDEX(FX_Temps,$AF1410,D$3)</f>
        <v>43.899999999999977</v>
      </c>
      <c r="E1410" cm="1">
        <f t="array" ref="E1410">INDEX(FX_Temps,$AF1410,E$3)</f>
        <v>44.700000000000045</v>
      </c>
      <c r="F1410" cm="1">
        <f t="array" ref="F1410">INDEX(FX_Temps,$AF1410,F$3)</f>
        <v>46.100000000000023</v>
      </c>
      <c r="G1410" cm="1">
        <f t="array" ref="G1410">INDEX(FX_Temps,$AF1410,G$3)</f>
        <v>48.599999999999966</v>
      </c>
      <c r="H1410" cm="1">
        <f t="array" ref="H1410">INDEX(FX_Temps,$AF1410,H$3)</f>
        <v>53.149999999999977</v>
      </c>
      <c r="I1410" cm="1">
        <f t="array" ref="I1410">INDEX(FX_Temps,$AF1410,I$3)</f>
        <v>56.950000000000045</v>
      </c>
      <c r="J1410" cm="1">
        <f t="array" ref="J1410">INDEX(FX_Temps,$AF1410,J$3)</f>
        <v>60.449999999999932</v>
      </c>
      <c r="K1410" cm="1">
        <f t="array" ref="K1410">INDEX(FX_Temps,$AF1410,K$3)</f>
        <v>60.899999999999977</v>
      </c>
      <c r="L1410" cm="1">
        <f t="array" ref="L1410">INDEX(FX_Temps,$AF1410,L$3)</f>
        <v>58.600000000000023</v>
      </c>
      <c r="M1410" cm="1">
        <f t="array" ref="M1410">INDEX(FX_Temps,$AF1410,M$3)</f>
        <v>52.649999999999977</v>
      </c>
      <c r="N1410" cm="1">
        <f t="array" ref="N1410">INDEX(FX_Temps,$AF1410,N$3)</f>
        <v>47.100000000000023</v>
      </c>
      <c r="O1410" cm="1">
        <f t="array" ref="O1410">INDEX(FX_Temps,$AF1410,O$3)</f>
        <v>43.600000000000023</v>
      </c>
      <c r="AE1410">
        <v>1</v>
      </c>
      <c r="AF1410">
        <f>AF1402+10</f>
        <v>585</v>
      </c>
    </row>
    <row r="1411" spans="2:32" ht="17.149999999999999" x14ac:dyDescent="0.55000000000000004">
      <c r="B1411" t="str">
        <f t="shared" ref="B1411:B1432" si="5140">B1410</f>
        <v>Portland</v>
      </c>
      <c r="C1411" t="s">
        <v>527</v>
      </c>
      <c r="D1411" cm="1">
        <f t="array" ref="D1411">INDEX(FX_Temps,$AF1411,D$3)</f>
        <v>43.899999999999977</v>
      </c>
      <c r="E1411" cm="1">
        <f t="array" ref="E1411">INDEX(FX_Temps,$AF1411,E$3)</f>
        <v>44.700000000000045</v>
      </c>
      <c r="F1411" cm="1">
        <f t="array" ref="F1411">INDEX(FX_Temps,$AF1411,F$3)</f>
        <v>46.100000000000023</v>
      </c>
      <c r="G1411" cm="1">
        <f t="array" ref="G1411">INDEX(FX_Temps,$AF1411,G$3)</f>
        <v>48.599999999999966</v>
      </c>
      <c r="H1411" cm="1">
        <f t="array" ref="H1411">INDEX(FX_Temps,$AF1411,H$3)</f>
        <v>53.149999999999977</v>
      </c>
      <c r="I1411" cm="1">
        <f t="array" ref="I1411">INDEX(FX_Temps,$AF1411,I$3)</f>
        <v>56.950000000000045</v>
      </c>
      <c r="J1411" cm="1">
        <f t="array" ref="J1411">INDEX(FX_Temps,$AF1411,J$3)</f>
        <v>60.449999999999932</v>
      </c>
      <c r="K1411" cm="1">
        <f t="array" ref="K1411">INDEX(FX_Temps,$AF1411,K$3)</f>
        <v>60.899999999999977</v>
      </c>
      <c r="L1411" cm="1">
        <f t="array" ref="L1411">INDEX(FX_Temps,$AF1411,L$3)</f>
        <v>58.600000000000023</v>
      </c>
      <c r="M1411" cm="1">
        <f t="array" ref="M1411">INDEX(FX_Temps,$AF1411,M$3)</f>
        <v>52.649999999999977</v>
      </c>
      <c r="N1411" cm="1">
        <f t="array" ref="N1411">INDEX(FX_Temps,$AF1411,N$3)</f>
        <v>47.100000000000023</v>
      </c>
      <c r="O1411" cm="1">
        <f t="array" ref="O1411">INDEX(FX_Temps,$AF1411,O$3)</f>
        <v>43.600000000000023</v>
      </c>
      <c r="AE1411">
        <f>AE1410</f>
        <v>1</v>
      </c>
      <c r="AF1411">
        <f>AF1402+11</f>
        <v>586</v>
      </c>
    </row>
    <row r="1412" spans="2:32" ht="17.149999999999999" x14ac:dyDescent="0.55000000000000004">
      <c r="B1412" t="str">
        <f t="shared" si="5140"/>
        <v>Portland</v>
      </c>
      <c r="C1412" t="s">
        <v>552</v>
      </c>
      <c r="D1412" cm="1">
        <f t="array" ref="D1412">INDEX(FX_Temps,$AF1412,D$3)</f>
        <v>43.899999999999977</v>
      </c>
      <c r="E1412" cm="1">
        <f t="array" ref="E1412">INDEX(FX_Temps,$AF1412,E$3)</f>
        <v>44.700000000000045</v>
      </c>
      <c r="F1412" cm="1">
        <f t="array" ref="F1412">INDEX(FX_Temps,$AF1412,F$3)</f>
        <v>46.100000000000023</v>
      </c>
      <c r="G1412" cm="1">
        <f t="array" ref="G1412">INDEX(FX_Temps,$AF1412,G$3)</f>
        <v>48.599999999999966</v>
      </c>
      <c r="H1412" cm="1">
        <f t="array" ref="H1412">INDEX(FX_Temps,$AF1412,H$3)</f>
        <v>53.149999999999977</v>
      </c>
      <c r="I1412" cm="1">
        <f t="array" ref="I1412">INDEX(FX_Temps,$AF1412,I$3)</f>
        <v>56.950000000000045</v>
      </c>
      <c r="J1412" cm="1">
        <f t="array" ref="J1412">INDEX(FX_Temps,$AF1412,J$3)</f>
        <v>60.449999999999932</v>
      </c>
      <c r="K1412" cm="1">
        <f t="array" ref="K1412">INDEX(FX_Temps,$AF1412,K$3)</f>
        <v>60.899999999999977</v>
      </c>
      <c r="L1412" cm="1">
        <f t="array" ref="L1412">INDEX(FX_Temps,$AF1412,L$3)</f>
        <v>58.600000000000023</v>
      </c>
      <c r="M1412" cm="1">
        <f t="array" ref="M1412">INDEX(FX_Temps,$AF1412,M$3)</f>
        <v>52.649999999999977</v>
      </c>
      <c r="N1412" cm="1">
        <f t="array" ref="N1412">INDEX(FX_Temps,$AF1412,N$3)</f>
        <v>47.100000000000023</v>
      </c>
      <c r="O1412" cm="1">
        <f t="array" ref="O1412">INDEX(FX_Temps,$AF1412,O$3)</f>
        <v>43.600000000000023</v>
      </c>
      <c r="AE1412">
        <f>AE1411</f>
        <v>1</v>
      </c>
      <c r="AF1412">
        <f>AF1402+13</f>
        <v>588</v>
      </c>
    </row>
    <row r="1413" spans="2:32" ht="17.149999999999999" x14ac:dyDescent="0.55000000000000004">
      <c r="B1413" t="str">
        <f t="shared" si="5140"/>
        <v>Portland</v>
      </c>
      <c r="C1413" t="s">
        <v>574</v>
      </c>
      <c r="D1413" cm="1">
        <f t="array" ref="D1413">IFERROR(IF(D1403="Chemical",(10^(INDEX(Antoines,MATCH(D1402,Antoine_Name,0),2)-INDEX(Antoines,MATCH(D1402,Antoine_Name,0),3)/(INDEX(Antoines,MATCH(D1402,Antoine_Name,0),4)+(D1410-32)*5/9)))*14.7/760,IF(D1403="Crude Oil",EXP((2799/(D1410+459.6)-2.227)*LOG10(INDEX(FX_Input,Q$5,D$3*$Z$5+$AA$5))-(7261/(D1410+459.6))+12.82),IF(D1403="Refined Petroleum Stock",EXP((0.7553-(413/(D1410+459.6)))*(INDEX(FX_Input,Q$5,D$3*$Z$5+$AA$5-1)^0.5)*LOG10(INDEX(FX_Input,Q$5,D$3*$Z$5+$AA$5))-(1.854-(1042/(D1410+459.6)))*(INDEX(FX_Input,Q$5,D$3*$Z$5+$AA$5-1)^0.5)+((2416/(D1410+459.6)-2.013)*LOG10(INDEX(FX_Input,Q$5,D$3*$Z$5+$AA$5)))-(8742/(D1410+459.6))+15.64),EXP(INDEX(Antoines,MATCH(D1402,Antoine_Name,0),2)-INDEX(Antoines,MATCH(D1402,Antoine_Name,0),3)/(D1410+459.6))))),0)</f>
        <v>4.739577185808354E-3</v>
      </c>
      <c r="E1413" cm="1">
        <f t="array" ref="E1413">IFERROR(IF(E1403="Chemical",(10^(INDEX(Antoines,MATCH(E1402,Antoine_Name,0),2)-INDEX(Antoines,MATCH(E1402,Antoine_Name,0),3)/(INDEX(Antoines,MATCH(E1402,Antoine_Name,0),4)+(E1410-32)*5/9)))*14.7/760,IF(E1403="Crude Oil",EXP((2799/(E1410+459.6)-2.227)*LOG10(INDEX(FX_Input,R$5,E$3*$Z$5+$AA$5))-(7261/(E1410+459.6))+12.82),IF(E1403="Refined Petroleum Stock",EXP((0.7553-(413/(E1410+459.6)))*(INDEX(FX_Input,R$5,E$3*$Z$5+$AA$5-1)^0.5)*LOG10(INDEX(FX_Input,R$5,E$3*$Z$5+$AA$5))-(1.854-(1042/(E1410+459.6)))*(INDEX(FX_Input,R$5,E$3*$Z$5+$AA$5-1)^0.5)+((2416/(E1410+459.6)-2.013)*LOG10(INDEX(FX_Input,R$5,E$3*$Z$5+$AA$5)))-(8742/(E1410+459.6))+15.64),EXP(INDEX(Antoines,MATCH(E1402,Antoine_Name,0),2)-INDEX(Antoines,MATCH(E1402,Antoine_Name,0),3)/(E1410+459.6))))),0)</f>
        <v>4.8748667780818778E-3</v>
      </c>
      <c r="F1413" cm="1">
        <f t="array" ref="F1413">IFERROR(IF(F1403="Chemical",(10^(INDEX(Antoines,MATCH(F1402,Antoine_Name,0),2)-INDEX(Antoines,MATCH(F1402,Antoine_Name,0),3)/(INDEX(Antoines,MATCH(F1402,Antoine_Name,0),4)+(F1410-32)*5/9)))*14.7/760,IF(F1403="Crude Oil",EXP((2799/(F1410+459.6)-2.227)*LOG10(INDEX(FX_Input,S$5,F$3*$Z$5+$AA$5))-(7261/(F1410+459.6))+12.82),IF(F1403="Refined Petroleum Stock",EXP((0.7553-(413/(F1410+459.6)))*(INDEX(FX_Input,S$5,F$3*$Z$5+$AA$5-1)^0.5)*LOG10(INDEX(FX_Input,S$5,F$3*$Z$5+$AA$5))-(1.854-(1042/(F1410+459.6)))*(INDEX(FX_Input,S$5,F$3*$Z$5+$AA$5-1)^0.5)+((2416/(F1410+459.6)-2.013)*LOG10(INDEX(FX_Input,S$5,F$3*$Z$5+$AA$5)))-(8742/(F1410+459.6))+15.64),EXP(INDEX(Antoines,MATCH(F1402,Antoine_Name,0),2)-INDEX(Antoines,MATCH(F1402,Antoine_Name,0),3)/(F1410+459.6))))),0)</f>
        <v>5.119885034186122E-3</v>
      </c>
      <c r="G1413" cm="1">
        <f t="array" ref="G1413">IFERROR(IF(G1403="Chemical",(10^(INDEX(Antoines,MATCH(G1402,Antoine_Name,0),2)-INDEX(Antoines,MATCH(G1402,Antoine_Name,0),3)/(INDEX(Antoines,MATCH(G1402,Antoine_Name,0),4)+(G1410-32)*5/9)))*14.7/760,IF(G1403="Crude Oil",EXP((2799/(G1410+459.6)-2.227)*LOG10(INDEX(FX_Input,T$5,G$3*$Z$5+$AA$5))-(7261/(G1410+459.6))+12.82),IF(G1403="Refined Petroleum Stock",EXP((0.7553-(413/(G1410+459.6)))*(INDEX(FX_Input,T$5,G$3*$Z$5+$AA$5-1)^0.5)*LOG10(INDEX(FX_Input,T$5,G$3*$Z$5+$AA$5))-(1.854-(1042/(G1410+459.6)))*(INDEX(FX_Input,T$5,G$3*$Z$5+$AA$5-1)^0.5)+((2416/(G1410+459.6)-2.013)*LOG10(INDEX(FX_Input,T$5,G$3*$Z$5+$AA$5)))-(8742/(G1410+459.6))+15.64),EXP(INDEX(Antoines,MATCH(G1402,Antoine_Name,0),2)-INDEX(Antoines,MATCH(G1402,Antoine_Name,0),3)/(G1410+459.6))))),0)</f>
        <v>5.5846958573521795E-3</v>
      </c>
      <c r="H1413" cm="1">
        <f t="array" ref="H1413">IFERROR(IF(H1403="Chemical",(10^(INDEX(Antoines,MATCH(H1402,Antoine_Name,0),2)-INDEX(Antoines,MATCH(H1402,Antoine_Name,0),3)/(INDEX(Antoines,MATCH(H1402,Antoine_Name,0),4)+(H1410-32)*5/9)))*14.7/760,IF(H1403="Crude Oil",EXP((2799/(H1410+459.6)-2.227)*LOG10(INDEX(FX_Input,U$5,H$3*$Z$5+$AA$5))-(7261/(H1410+459.6))+12.82),IF(H1403="Refined Petroleum Stock",EXP((0.7553-(413/(H1410+459.6)))*(INDEX(FX_Input,U$5,H$3*$Z$5+$AA$5-1)^0.5)*LOG10(INDEX(FX_Input,U$5,H$3*$Z$5+$AA$5))-(1.854-(1042/(H1410+459.6)))*(INDEX(FX_Input,U$5,H$3*$Z$5+$AA$5-1)^0.5)+((2416/(H1410+459.6)-2.013)*LOG10(INDEX(FX_Input,U$5,H$3*$Z$5+$AA$5)))-(8742/(H1410+459.6))+15.64),EXP(INDEX(Antoines,MATCH(H1402,Antoine_Name,0),2)-INDEX(Antoines,MATCH(H1402,Antoine_Name,0),3)/(H1410+459.6))))),0)</f>
        <v>6.5274070972739821E-3</v>
      </c>
      <c r="I1413" cm="1">
        <f t="array" ref="I1413">IFERROR(IF(I1403="Chemical",(10^(INDEX(Antoines,MATCH(I1402,Antoine_Name,0),2)-INDEX(Antoines,MATCH(I1402,Antoine_Name,0),3)/(INDEX(Antoines,MATCH(I1402,Antoine_Name,0),4)+(I1410-32)*5/9)))*14.7/760,IF(I1403="Crude Oil",EXP((2799/(I1410+459.6)-2.227)*LOG10(INDEX(FX_Input,V$5,I$3*$Z$5+$AA$5))-(7261/(I1410+459.6))+12.82),IF(I1403="Refined Petroleum Stock",EXP((0.7553-(413/(I1410+459.6)))*(INDEX(FX_Input,V$5,I$3*$Z$5+$AA$5-1)^0.5)*LOG10(INDEX(FX_Input,V$5,I$3*$Z$5+$AA$5))-(1.854-(1042/(I1410+459.6)))*(INDEX(FX_Input,V$5,I$3*$Z$5+$AA$5-1)^0.5)+((2416/(I1410+459.6)-2.013)*LOG10(INDEX(FX_Input,V$5,I$3*$Z$5+$AA$5)))-(8742/(I1410+459.6))+15.64),EXP(INDEX(Antoines,MATCH(I1402,Antoine_Name,0),2)-INDEX(Antoines,MATCH(I1402,Antoine_Name,0),3)/(I1410+459.6))))),0)</f>
        <v>7.4199539958878279E-3</v>
      </c>
      <c r="J1413" cm="1">
        <f t="array" ref="J1413">IFERROR(IF(J1403="Chemical",(10^(INDEX(Antoines,MATCH(J1402,Antoine_Name,0),2)-INDEX(Antoines,MATCH(J1402,Antoine_Name,0),3)/(INDEX(Antoines,MATCH(J1402,Antoine_Name,0),4)+(J1410-32)*5/9)))*14.7/760,IF(J1403="Crude Oil",EXP((2799/(J1410+459.6)-2.227)*LOG10(INDEX(FX_Input,W$5,J$3*$Z$5+$AA$5))-(7261/(J1410+459.6))+12.82),IF(J1403="Refined Petroleum Stock",EXP((0.7553-(413/(J1410+459.6)))*(INDEX(FX_Input,W$5,J$3*$Z$5+$AA$5-1)^0.5)*LOG10(INDEX(FX_Input,W$5,J$3*$Z$5+$AA$5))-(1.854-(1042/(J1410+459.6)))*(INDEX(FX_Input,W$5,J$3*$Z$5+$AA$5-1)^0.5)+((2416/(J1410+459.6)-2.013)*LOG10(INDEX(FX_Input,W$5,J$3*$Z$5+$AA$5)))-(8742/(J1410+459.6))+15.64),EXP(INDEX(Antoines,MATCH(J1402,Antoine_Name,0),2)-INDEX(Antoines,MATCH(J1402,Antoine_Name,0),3)/(J1410+459.6))))),0)</f>
        <v>8.3358107202842254E-3</v>
      </c>
      <c r="K1413" cm="1">
        <f t="array" ref="K1413">IFERROR(IF(K1403="Chemical",(10^(INDEX(Antoines,MATCH(K1402,Antoine_Name,0),2)-INDEX(Antoines,MATCH(K1402,Antoine_Name,0),3)/(INDEX(Antoines,MATCH(K1402,Antoine_Name,0),4)+(K1410-32)*5/9)))*14.7/760,IF(K1403="Crude Oil",EXP((2799/(K1410+459.6)-2.227)*LOG10(INDEX(FX_Input,X$5,K$3*$Z$5+$AA$5))-(7261/(K1410+459.6))+12.82),IF(K1403="Refined Petroleum Stock",EXP((0.7553-(413/(K1410+459.6)))*(INDEX(FX_Input,X$5,K$3*$Z$5+$AA$5-1)^0.5)*LOG10(INDEX(FX_Input,X$5,K$3*$Z$5+$AA$5))-(1.854-(1042/(K1410+459.6)))*(INDEX(FX_Input,X$5,K$3*$Z$5+$AA$5-1)^0.5)+((2416/(K1410+459.6)-2.013)*LOG10(INDEX(FX_Input,X$5,K$3*$Z$5+$AA$5)))-(8742/(K1410+459.6))+15.64),EXP(INDEX(Antoines,MATCH(K1402,Antoine_Name,0),2)-INDEX(Antoines,MATCH(K1402,Antoine_Name,0),3)/(K1410+459.6))))),0)</f>
        <v>8.4605262729351115E-3</v>
      </c>
      <c r="L1413" cm="1">
        <f t="array" ref="L1413">IFERROR(IF(L1403="Chemical",(10^(INDEX(Antoines,MATCH(L1402,Antoine_Name,0),2)-INDEX(Antoines,MATCH(L1402,Antoine_Name,0),3)/(INDEX(Antoines,MATCH(L1402,Antoine_Name,0),4)+(L1410-32)*5/9)))*14.7/760,IF(L1403="Crude Oil",EXP((2799/(L1410+459.6)-2.227)*LOG10(INDEX(FX_Input,Y$5,L$3*$Z$5+$AA$5))-(7261/(L1410+459.6))+12.82),IF(L1403="Refined Petroleum Stock",EXP((0.7553-(413/(L1410+459.6)))*(INDEX(FX_Input,Y$5,L$3*$Z$5+$AA$5-1)^0.5)*LOG10(INDEX(FX_Input,Y$5,L$3*$Z$5+$AA$5))-(1.854-(1042/(L1410+459.6)))*(INDEX(FX_Input,Y$5,L$3*$Z$5+$AA$5-1)^0.5)+((2416/(L1410+459.6)-2.013)*LOG10(INDEX(FX_Input,Y$5,L$3*$Z$5+$AA$5)))-(8742/(L1410+459.6))+15.64),EXP(INDEX(Antoines,MATCH(L1402,Antoine_Name,0),2)-INDEX(Antoines,MATCH(L1402,Antoine_Name,0),3)/(L1410+459.6))))),0)</f>
        <v>7.8399882233967533E-3</v>
      </c>
      <c r="M1413" cm="1">
        <f t="array" ref="M1413">IFERROR(IF(M1403="Chemical",(10^(INDEX(Antoines,MATCH(M1402,Antoine_Name,0),2)-INDEX(Antoines,MATCH(M1402,Antoine_Name,0),3)/(INDEX(Antoines,MATCH(M1402,Antoine_Name,0),4)+(M1410-32)*5/9)))*14.7/760,IF(M1403="Crude Oil",EXP((2799/(M1410+459.6)-2.227)*LOG10(INDEX(FX_Input,Z$5,M$3*$Z$5+$AA$5))-(7261/(M1410+459.6))+12.82),IF(M1403="Refined Petroleum Stock",EXP((0.7553-(413/(M1410+459.6)))*(INDEX(FX_Input,Z$5,M$3*$Z$5+$AA$5-1)^0.5)*LOG10(INDEX(FX_Input,Z$5,M$3*$Z$5+$AA$5))-(1.854-(1042/(M1410+459.6)))*(INDEX(FX_Input,Z$5,M$3*$Z$5+$AA$5-1)^0.5)+((2416/(M1410+459.6)-2.013)*LOG10(INDEX(FX_Input,Z$5,M$3*$Z$5+$AA$5)))-(8742/(M1410+459.6))+15.64),EXP(INDEX(Antoines,MATCH(M1402,Antoine_Name,0),2)-INDEX(Antoines,MATCH(M1402,Antoine_Name,0),3)/(M1410+459.6))))),0)</f>
        <v>6.4173462075160911E-3</v>
      </c>
      <c r="N1413" cm="1">
        <f t="array" ref="N1413">IFERROR(IF(N1403="Chemical",(10^(INDEX(Antoines,MATCH(N1402,Antoine_Name,0),2)-INDEX(Antoines,MATCH(N1402,Antoine_Name,0),3)/(INDEX(Antoines,MATCH(N1402,Antoine_Name,0),4)+(N1410-32)*5/9)))*14.7/760,IF(N1403="Crude Oil",EXP((2799/(N1410+459.6)-2.227)*LOG10(INDEX(FX_Input,AA$5,N$3*$Z$5+$AA$5))-(7261/(N1410+459.6))+12.82),IF(N1403="Refined Petroleum Stock",EXP((0.7553-(413/(N1410+459.6)))*(INDEX(FX_Input,AA$5,N$3*$Z$5+$AA$5-1)^0.5)*LOG10(INDEX(FX_Input,AA$5,N$3*$Z$5+$AA$5))-(1.854-(1042/(N1410+459.6)))*(INDEX(FX_Input,AA$5,N$3*$Z$5+$AA$5-1)^0.5)+((2416/(N1410+459.6)-2.013)*LOG10(INDEX(FX_Input,AA$5,N$3*$Z$5+$AA$5)))-(8742/(N1410+459.6))+15.64),EXP(INDEX(Antoines,MATCH(N1402,Antoine_Name,0),2)-INDEX(Antoines,MATCH(N1402,Antoine_Name,0),3)/(N1410+459.6))))),0)</f>
        <v>5.3015226887581056E-3</v>
      </c>
      <c r="O1413" cm="1">
        <f t="array" ref="O1413">IFERROR(IF(O1403="Chemical",(10^(INDEX(Antoines,MATCH(O1402,Antoine_Name,0),2)-INDEX(Antoines,MATCH(O1402,Antoine_Name,0),3)/(INDEX(Antoines,MATCH(O1402,Antoine_Name,0),4)+(O1410-32)*5/9)))*14.7/760,IF(O1403="Crude Oil",EXP((2799/(O1410+459.6)-2.227)*LOG10(INDEX(FX_Input,AB$5,O$3*$Z$5+$AA$5))-(7261/(O1410+459.6))+12.82),IF(O1403="Refined Petroleum Stock",EXP((0.7553-(413/(O1410+459.6)))*(INDEX(FX_Input,AB$5,O$3*$Z$5+$AA$5-1)^0.5)*LOG10(INDEX(FX_Input,AB$5,O$3*$Z$5+$AA$5))-(1.854-(1042/(O1410+459.6)))*(INDEX(FX_Input,AB$5,O$3*$Z$5+$AA$5-1)^0.5)+((2416/(O1410+459.6)-2.013)*LOG10(INDEX(FX_Input,AB$5,O$3*$Z$5+$AA$5)))-(8742/(O1410+459.6))+15.64),EXP(INDEX(Antoines,MATCH(O1402,Antoine_Name,0),2)-INDEX(Antoines,MATCH(O1402,Antoine_Name,0),3)/(O1410+459.6))))),0)</f>
        <v>4.68970903600947E-3</v>
      </c>
    </row>
    <row r="1414" spans="2:32" ht="17.149999999999999" x14ac:dyDescent="0.55000000000000004">
      <c r="B1414" t="str">
        <f t="shared" si="5140"/>
        <v>Portland</v>
      </c>
      <c r="C1414" t="s">
        <v>576</v>
      </c>
      <c r="D1414">
        <f>D1406*D1413</f>
        <v>4.739577185808354E-3</v>
      </c>
      <c r="E1414">
        <f t="shared" ref="E1414" si="5141">E1406*E1413</f>
        <v>4.8748667780818778E-3</v>
      </c>
      <c r="F1414">
        <f t="shared" ref="F1414" si="5142">F1406*F1413</f>
        <v>5.119885034186122E-3</v>
      </c>
      <c r="G1414">
        <f t="shared" ref="G1414" si="5143">G1406*G1413</f>
        <v>5.5846958573521795E-3</v>
      </c>
      <c r="H1414">
        <f t="shared" ref="H1414" si="5144">H1406*H1413</f>
        <v>6.5274070972739821E-3</v>
      </c>
      <c r="I1414">
        <f t="shared" ref="I1414" si="5145">I1406*I1413</f>
        <v>7.4199539958878279E-3</v>
      </c>
      <c r="J1414">
        <f t="shared" ref="J1414" si="5146">J1406*J1413</f>
        <v>8.3358107202842254E-3</v>
      </c>
      <c r="K1414">
        <f t="shared" ref="K1414" si="5147">K1406*K1413</f>
        <v>8.4605262729351115E-3</v>
      </c>
      <c r="L1414">
        <f t="shared" ref="L1414" si="5148">L1406*L1413</f>
        <v>7.8399882233967533E-3</v>
      </c>
      <c r="M1414">
        <f t="shared" ref="M1414" si="5149">M1406*M1413</f>
        <v>6.4173462075160911E-3</v>
      </c>
      <c r="N1414">
        <f t="shared" ref="N1414" si="5150">N1406*N1413</f>
        <v>5.3015226887581056E-3</v>
      </c>
      <c r="O1414">
        <f t="shared" ref="O1414" si="5151">O1406*O1413</f>
        <v>4.68970903600947E-3</v>
      </c>
    </row>
    <row r="1415" spans="2:32" ht="17.149999999999999" x14ac:dyDescent="0.55000000000000004">
      <c r="B1415" t="str">
        <f t="shared" si="5140"/>
        <v>Portland</v>
      </c>
      <c r="C1415" t="s">
        <v>575</v>
      </c>
      <c r="D1415" cm="1">
        <f t="array" ref="D1415">IFERROR(IF(D1405="Chemical",(10^(INDEX(Antoines,MATCH(D1404,Antoine_Name,0),2)-INDEX(Antoines,MATCH(D1404,Antoine_Name,0),3)/(INDEX(Antoines,MATCH(D1404,Antoine_Name,0),4)+(D1410-32)*5/9)))*14.7/760,IF(D1405="Crude Oil",EXP((2799/(D1410+459.6)-2.227)*LOG10(INDEX(FX_Input,Q$5,D$3*$Z$5+$AA$5))-(7261/(D1410+459.6))+12.82),IF(D1405="Refined Petroleum Stock",EXP((0.7553-(413/(D1410+459.6)))*(INDEX(FX_Input,Q$5,D$3*$Z$5+$AA$5-1)^0.5)*LOG10(INDEX(FX_Input,Q$5,D$3*$Z$5+$AA$5))-(1.854-(1042/(D1410+459.6)))*(INDEX(FX_Input,Q$5,D$3*$Z$5+$AA$5-1)^0.5)+((2416/(D1410+459.6)-2.013)*LOG10(INDEX(FX_Input,Q$5,D$3*$Z$5+$AA$5)))-(8742/(D1410+459.6))+15.64),EXP(INDEX(Antoines,MATCH(D1404,Antoine_Name,0),2)-INDEX(Antoines,MATCH(D1404,Antoine_Name,0),3)/(D1410+459.6))))),0)</f>
        <v>0</v>
      </c>
      <c r="E1415" cm="1">
        <f t="array" ref="E1415">IFERROR(IF(E1405="Chemical",(10^(INDEX(Antoines,MATCH(E1404,Antoine_Name,0),2)-INDEX(Antoines,MATCH(E1404,Antoine_Name,0),3)/(INDEX(Antoines,MATCH(E1404,Antoine_Name,0),4)+(E1410-32)*5/9)))*14.7/760,IF(E1405="Crude Oil",EXP((2799/(E1410+459.6)-2.227)*LOG10(INDEX(FX_Input,R$5,E$3*$Z$5+$AA$5))-(7261/(E1410+459.6))+12.82),IF(E1405="Refined Petroleum Stock",EXP((0.7553-(413/(E1410+459.6)))*(INDEX(FX_Input,R$5,E$3*$Z$5+$AA$5-1)^0.5)*LOG10(INDEX(FX_Input,R$5,E$3*$Z$5+$AA$5))-(1.854-(1042/(E1410+459.6)))*(INDEX(FX_Input,R$5,E$3*$Z$5+$AA$5-1)^0.5)+((2416/(E1410+459.6)-2.013)*LOG10(INDEX(FX_Input,R$5,E$3*$Z$5+$AA$5)))-(8742/(E1410+459.6))+15.64),EXP(INDEX(Antoines,MATCH(E1404,Antoine_Name,0),2)-INDEX(Antoines,MATCH(E1404,Antoine_Name,0),3)/(E1410+459.6))))),0)</f>
        <v>0</v>
      </c>
      <c r="F1415" cm="1">
        <f t="array" ref="F1415">IFERROR(IF(F1405="Chemical",(10^(INDEX(Antoines,MATCH(F1404,Antoine_Name,0),2)-INDEX(Antoines,MATCH(F1404,Antoine_Name,0),3)/(INDEX(Antoines,MATCH(F1404,Antoine_Name,0),4)+(F1410-32)*5/9)))*14.7/760,IF(F1405="Crude Oil",EXP((2799/(F1410+459.6)-2.227)*LOG10(INDEX(FX_Input,S$5,F$3*$Z$5+$AA$5))-(7261/(F1410+459.6))+12.82),IF(F1405="Refined Petroleum Stock",EXP((0.7553-(413/(F1410+459.6)))*(INDEX(FX_Input,S$5,F$3*$Z$5+$AA$5-1)^0.5)*LOG10(INDEX(FX_Input,S$5,F$3*$Z$5+$AA$5))-(1.854-(1042/(F1410+459.6)))*(INDEX(FX_Input,S$5,F$3*$Z$5+$AA$5-1)^0.5)+((2416/(F1410+459.6)-2.013)*LOG10(INDEX(FX_Input,S$5,F$3*$Z$5+$AA$5)))-(8742/(F1410+459.6))+15.64),EXP(INDEX(Antoines,MATCH(F1404,Antoine_Name,0),2)-INDEX(Antoines,MATCH(F1404,Antoine_Name,0),3)/(F1410+459.6))))),0)</f>
        <v>0</v>
      </c>
      <c r="G1415" cm="1">
        <f t="array" ref="G1415">IFERROR(IF(G1405="Chemical",(10^(INDEX(Antoines,MATCH(G1404,Antoine_Name,0),2)-INDEX(Antoines,MATCH(G1404,Antoine_Name,0),3)/(INDEX(Antoines,MATCH(G1404,Antoine_Name,0),4)+(G1410-32)*5/9)))*14.7/760,IF(G1405="Crude Oil",EXP((2799/(G1410+459.6)-2.227)*LOG10(INDEX(FX_Input,T$5,G$3*$Z$5+$AA$5))-(7261/(G1410+459.6))+12.82),IF(G1405="Refined Petroleum Stock",EXP((0.7553-(413/(G1410+459.6)))*(INDEX(FX_Input,T$5,G$3*$Z$5+$AA$5-1)^0.5)*LOG10(INDEX(FX_Input,T$5,G$3*$Z$5+$AA$5))-(1.854-(1042/(G1410+459.6)))*(INDEX(FX_Input,T$5,G$3*$Z$5+$AA$5-1)^0.5)+((2416/(G1410+459.6)-2.013)*LOG10(INDEX(FX_Input,T$5,G$3*$Z$5+$AA$5)))-(8742/(G1410+459.6))+15.64),EXP(INDEX(Antoines,MATCH(G1404,Antoine_Name,0),2)-INDEX(Antoines,MATCH(G1404,Antoine_Name,0),3)/(G1410+459.6))))),0)</f>
        <v>0</v>
      </c>
      <c r="H1415" cm="1">
        <f t="array" ref="H1415">IFERROR(IF(H1405="Chemical",(10^(INDEX(Antoines,MATCH(H1404,Antoine_Name,0),2)-INDEX(Antoines,MATCH(H1404,Antoine_Name,0),3)/(INDEX(Antoines,MATCH(H1404,Antoine_Name,0),4)+(H1410-32)*5/9)))*14.7/760,IF(H1405="Crude Oil",EXP((2799/(H1410+459.6)-2.227)*LOG10(INDEX(FX_Input,U$5,H$3*$Z$5+$AA$5))-(7261/(H1410+459.6))+12.82),IF(H1405="Refined Petroleum Stock",EXP((0.7553-(413/(H1410+459.6)))*(INDEX(FX_Input,U$5,H$3*$Z$5+$AA$5-1)^0.5)*LOG10(INDEX(FX_Input,U$5,H$3*$Z$5+$AA$5))-(1.854-(1042/(H1410+459.6)))*(INDEX(FX_Input,U$5,H$3*$Z$5+$AA$5-1)^0.5)+((2416/(H1410+459.6)-2.013)*LOG10(INDEX(FX_Input,U$5,H$3*$Z$5+$AA$5)))-(8742/(H1410+459.6))+15.64),EXP(INDEX(Antoines,MATCH(H1404,Antoine_Name,0),2)-INDEX(Antoines,MATCH(H1404,Antoine_Name,0),3)/(H1410+459.6))))),0)</f>
        <v>0</v>
      </c>
      <c r="I1415" cm="1">
        <f t="array" ref="I1415">IFERROR(IF(I1405="Chemical",(10^(INDEX(Antoines,MATCH(I1404,Antoine_Name,0),2)-INDEX(Antoines,MATCH(I1404,Antoine_Name,0),3)/(INDEX(Antoines,MATCH(I1404,Antoine_Name,0),4)+(I1410-32)*5/9)))*14.7/760,IF(I1405="Crude Oil",EXP((2799/(I1410+459.6)-2.227)*LOG10(INDEX(FX_Input,V$5,I$3*$Z$5+$AA$5))-(7261/(I1410+459.6))+12.82),IF(I1405="Refined Petroleum Stock",EXP((0.7553-(413/(I1410+459.6)))*(INDEX(FX_Input,V$5,I$3*$Z$5+$AA$5-1)^0.5)*LOG10(INDEX(FX_Input,V$5,I$3*$Z$5+$AA$5))-(1.854-(1042/(I1410+459.6)))*(INDEX(FX_Input,V$5,I$3*$Z$5+$AA$5-1)^0.5)+((2416/(I1410+459.6)-2.013)*LOG10(INDEX(FX_Input,V$5,I$3*$Z$5+$AA$5)))-(8742/(I1410+459.6))+15.64),EXP(INDEX(Antoines,MATCH(I1404,Antoine_Name,0),2)-INDEX(Antoines,MATCH(I1404,Antoine_Name,0),3)/(I1410+459.6))))),0)</f>
        <v>0</v>
      </c>
      <c r="J1415" cm="1">
        <f t="array" ref="J1415">IFERROR(IF(J1405="Chemical",(10^(INDEX(Antoines,MATCH(J1404,Antoine_Name,0),2)-INDEX(Antoines,MATCH(J1404,Antoine_Name,0),3)/(INDEX(Antoines,MATCH(J1404,Antoine_Name,0),4)+(J1410-32)*5/9)))*14.7/760,IF(J1405="Crude Oil",EXP((2799/(J1410+459.6)-2.227)*LOG10(INDEX(FX_Input,W$5,J$3*$Z$5+$AA$5))-(7261/(J1410+459.6))+12.82),IF(J1405="Refined Petroleum Stock",EXP((0.7553-(413/(J1410+459.6)))*(INDEX(FX_Input,W$5,J$3*$Z$5+$AA$5-1)^0.5)*LOG10(INDEX(FX_Input,W$5,J$3*$Z$5+$AA$5))-(1.854-(1042/(J1410+459.6)))*(INDEX(FX_Input,W$5,J$3*$Z$5+$AA$5-1)^0.5)+((2416/(J1410+459.6)-2.013)*LOG10(INDEX(FX_Input,W$5,J$3*$Z$5+$AA$5)))-(8742/(J1410+459.6))+15.64),EXP(INDEX(Antoines,MATCH(J1404,Antoine_Name,0),2)-INDEX(Antoines,MATCH(J1404,Antoine_Name,0),3)/(J1410+459.6))))),0)</f>
        <v>0</v>
      </c>
      <c r="K1415" cm="1">
        <f t="array" ref="K1415">IFERROR(IF(K1405="Chemical",(10^(INDEX(Antoines,MATCH(K1404,Antoine_Name,0),2)-INDEX(Antoines,MATCH(K1404,Antoine_Name,0),3)/(INDEX(Antoines,MATCH(K1404,Antoine_Name,0),4)+(K1410-32)*5/9)))*14.7/760,IF(K1405="Crude Oil",EXP((2799/(K1410+459.6)-2.227)*LOG10(INDEX(FX_Input,X$5,K$3*$Z$5+$AA$5))-(7261/(K1410+459.6))+12.82),IF(K1405="Refined Petroleum Stock",EXP((0.7553-(413/(K1410+459.6)))*(INDEX(FX_Input,X$5,K$3*$Z$5+$AA$5-1)^0.5)*LOG10(INDEX(FX_Input,X$5,K$3*$Z$5+$AA$5))-(1.854-(1042/(K1410+459.6)))*(INDEX(FX_Input,X$5,K$3*$Z$5+$AA$5-1)^0.5)+((2416/(K1410+459.6)-2.013)*LOG10(INDEX(FX_Input,X$5,K$3*$Z$5+$AA$5)))-(8742/(K1410+459.6))+15.64),EXP(INDEX(Antoines,MATCH(K1404,Antoine_Name,0),2)-INDEX(Antoines,MATCH(K1404,Antoine_Name,0),3)/(K1410+459.6))))),0)</f>
        <v>0</v>
      </c>
      <c r="L1415" cm="1">
        <f t="array" ref="L1415">IFERROR(IF(L1405="Chemical",(10^(INDEX(Antoines,MATCH(L1404,Antoine_Name,0),2)-INDEX(Antoines,MATCH(L1404,Antoine_Name,0),3)/(INDEX(Antoines,MATCH(L1404,Antoine_Name,0),4)+(L1410-32)*5/9)))*14.7/760,IF(L1405="Crude Oil",EXP((2799/(L1410+459.6)-2.227)*LOG10(INDEX(FX_Input,Y$5,L$3*$Z$5+$AA$5))-(7261/(L1410+459.6))+12.82),IF(L1405="Refined Petroleum Stock",EXP((0.7553-(413/(L1410+459.6)))*(INDEX(FX_Input,Y$5,L$3*$Z$5+$AA$5-1)^0.5)*LOG10(INDEX(FX_Input,Y$5,L$3*$Z$5+$AA$5))-(1.854-(1042/(L1410+459.6)))*(INDEX(FX_Input,Y$5,L$3*$Z$5+$AA$5-1)^0.5)+((2416/(L1410+459.6)-2.013)*LOG10(INDEX(FX_Input,Y$5,L$3*$Z$5+$AA$5)))-(8742/(L1410+459.6))+15.64),EXP(INDEX(Antoines,MATCH(L1404,Antoine_Name,0),2)-INDEX(Antoines,MATCH(L1404,Antoine_Name,0),3)/(L1410+459.6))))),0)</f>
        <v>0</v>
      </c>
      <c r="M1415" cm="1">
        <f t="array" ref="M1415">IFERROR(IF(M1405="Chemical",(10^(INDEX(Antoines,MATCH(M1404,Antoine_Name,0),2)-INDEX(Antoines,MATCH(M1404,Antoine_Name,0),3)/(INDEX(Antoines,MATCH(M1404,Antoine_Name,0),4)+(M1410-32)*5/9)))*14.7/760,IF(M1405="Crude Oil",EXP((2799/(M1410+459.6)-2.227)*LOG10(INDEX(FX_Input,Z$5,M$3*$Z$5+$AA$5))-(7261/(M1410+459.6))+12.82),IF(M1405="Refined Petroleum Stock",EXP((0.7553-(413/(M1410+459.6)))*(INDEX(FX_Input,Z$5,M$3*$Z$5+$AA$5-1)^0.5)*LOG10(INDEX(FX_Input,Z$5,M$3*$Z$5+$AA$5))-(1.854-(1042/(M1410+459.6)))*(INDEX(FX_Input,Z$5,M$3*$Z$5+$AA$5-1)^0.5)+((2416/(M1410+459.6)-2.013)*LOG10(INDEX(FX_Input,Z$5,M$3*$Z$5+$AA$5)))-(8742/(M1410+459.6))+15.64),EXP(INDEX(Antoines,MATCH(M1404,Antoine_Name,0),2)-INDEX(Antoines,MATCH(M1404,Antoine_Name,0),3)/(M1410+459.6))))),0)</f>
        <v>0</v>
      </c>
      <c r="N1415" cm="1">
        <f t="array" ref="N1415">IFERROR(IF(N1405="Chemical",(10^(INDEX(Antoines,MATCH(N1404,Antoine_Name,0),2)-INDEX(Antoines,MATCH(N1404,Antoine_Name,0),3)/(INDEX(Antoines,MATCH(N1404,Antoine_Name,0),4)+(N1410-32)*5/9)))*14.7/760,IF(N1405="Crude Oil",EXP((2799/(N1410+459.6)-2.227)*LOG10(INDEX(FX_Input,AA$5,N$3*$Z$5+$AA$5))-(7261/(N1410+459.6))+12.82),IF(N1405="Refined Petroleum Stock",EXP((0.7553-(413/(N1410+459.6)))*(INDEX(FX_Input,AA$5,N$3*$Z$5+$AA$5-1)^0.5)*LOG10(INDEX(FX_Input,AA$5,N$3*$Z$5+$AA$5))-(1.854-(1042/(N1410+459.6)))*(INDEX(FX_Input,AA$5,N$3*$Z$5+$AA$5-1)^0.5)+((2416/(N1410+459.6)-2.013)*LOG10(INDEX(FX_Input,AA$5,N$3*$Z$5+$AA$5)))-(8742/(N1410+459.6))+15.64),EXP(INDEX(Antoines,MATCH(N1404,Antoine_Name,0),2)-INDEX(Antoines,MATCH(N1404,Antoine_Name,0),3)/(N1410+459.6))))),0)</f>
        <v>0</v>
      </c>
      <c r="O1415" cm="1">
        <f t="array" ref="O1415">IFERROR(IF(O1405="Chemical",(10^(INDEX(Antoines,MATCH(O1404,Antoine_Name,0),2)-INDEX(Antoines,MATCH(O1404,Antoine_Name,0),3)/(INDEX(Antoines,MATCH(O1404,Antoine_Name,0),4)+(O1410-32)*5/9)))*14.7/760,IF(O1405="Crude Oil",EXP((2799/(O1410+459.6)-2.227)*LOG10(INDEX(FX_Input,AB$5,O$3*$Z$5+$AA$5))-(7261/(O1410+459.6))+12.82),IF(O1405="Refined Petroleum Stock",EXP((0.7553-(413/(O1410+459.6)))*(INDEX(FX_Input,AB$5,O$3*$Z$5+$AA$5-1)^0.5)*LOG10(INDEX(FX_Input,AB$5,O$3*$Z$5+$AA$5))-(1.854-(1042/(O1410+459.6)))*(INDEX(FX_Input,AB$5,O$3*$Z$5+$AA$5-1)^0.5)+((2416/(O1410+459.6)-2.013)*LOG10(INDEX(FX_Input,AB$5,O$3*$Z$5+$AA$5)))-(8742/(O1410+459.6))+15.64),EXP(INDEX(Antoines,MATCH(O1404,Antoine_Name,0),2)-INDEX(Antoines,MATCH(O1404,Antoine_Name,0),3)/(O1410+459.6))))),0)</f>
        <v>0</v>
      </c>
    </row>
    <row r="1416" spans="2:32" ht="17.149999999999999" x14ac:dyDescent="0.55000000000000004">
      <c r="B1416" t="str">
        <f t="shared" si="5140"/>
        <v>Portland</v>
      </c>
      <c r="C1416" t="s">
        <v>577</v>
      </c>
      <c r="D1416">
        <f>D1415*D1408</f>
        <v>0</v>
      </c>
      <c r="E1416">
        <f t="shared" ref="E1416" si="5152">E1415*E1408</f>
        <v>0</v>
      </c>
      <c r="F1416">
        <f t="shared" ref="F1416" si="5153">F1415*F1408</f>
        <v>0</v>
      </c>
      <c r="G1416">
        <f t="shared" ref="G1416" si="5154">G1415*G1408</f>
        <v>0</v>
      </c>
      <c r="H1416">
        <f t="shared" ref="H1416" si="5155">H1415*H1408</f>
        <v>0</v>
      </c>
      <c r="I1416">
        <f t="shared" ref="I1416" si="5156">I1415*I1408</f>
        <v>0</v>
      </c>
      <c r="J1416">
        <f t="shared" ref="J1416" si="5157">J1415*J1408</f>
        <v>0</v>
      </c>
      <c r="K1416">
        <f t="shared" ref="K1416" si="5158">K1415*K1408</f>
        <v>0</v>
      </c>
      <c r="L1416">
        <f t="shared" ref="L1416" si="5159">L1415*L1408</f>
        <v>0</v>
      </c>
      <c r="M1416">
        <f t="shared" ref="M1416" si="5160">M1415*M1408</f>
        <v>0</v>
      </c>
      <c r="N1416">
        <f t="shared" ref="N1416" si="5161">N1415*N1408</f>
        <v>0</v>
      </c>
      <c r="O1416">
        <f t="shared" ref="O1416" si="5162">O1415*O1408</f>
        <v>0</v>
      </c>
    </row>
    <row r="1417" spans="2:32" ht="17.149999999999999" x14ac:dyDescent="0.55000000000000004">
      <c r="B1417" t="str">
        <f t="shared" si="5140"/>
        <v>Portland</v>
      </c>
      <c r="C1417" t="s">
        <v>578</v>
      </c>
      <c r="D1417">
        <f>D1416+D1414</f>
        <v>4.739577185808354E-3</v>
      </c>
      <c r="E1417">
        <f t="shared" ref="E1417" si="5163">E1416+E1414</f>
        <v>4.8748667780818778E-3</v>
      </c>
      <c r="F1417">
        <f t="shared" ref="F1417" si="5164">F1416+F1414</f>
        <v>5.119885034186122E-3</v>
      </c>
      <c r="G1417">
        <f t="shared" ref="G1417" si="5165">G1416+G1414</f>
        <v>5.5846958573521795E-3</v>
      </c>
      <c r="H1417">
        <f t="shared" ref="H1417" si="5166">H1416+H1414</f>
        <v>6.5274070972739821E-3</v>
      </c>
      <c r="I1417">
        <f t="shared" ref="I1417" si="5167">I1416+I1414</f>
        <v>7.4199539958878279E-3</v>
      </c>
      <c r="J1417">
        <f t="shared" ref="J1417" si="5168">J1416+J1414</f>
        <v>8.3358107202842254E-3</v>
      </c>
      <c r="K1417">
        <f t="shared" ref="K1417" si="5169">K1416+K1414</f>
        <v>8.4605262729351115E-3</v>
      </c>
      <c r="L1417">
        <f t="shared" ref="L1417" si="5170">L1416+L1414</f>
        <v>7.8399882233967533E-3</v>
      </c>
      <c r="M1417">
        <f t="shared" ref="M1417" si="5171">M1416+M1414</f>
        <v>6.4173462075160911E-3</v>
      </c>
      <c r="N1417">
        <f t="shared" ref="N1417" si="5172">N1416+N1414</f>
        <v>5.3015226887581056E-3</v>
      </c>
      <c r="O1417">
        <f t="shared" ref="O1417" si="5173">O1416+O1414</f>
        <v>4.68970903600947E-3</v>
      </c>
    </row>
    <row r="1418" spans="2:32" ht="17.149999999999999" x14ac:dyDescent="0.55000000000000004">
      <c r="B1418" t="str">
        <f t="shared" si="5140"/>
        <v>Portland</v>
      </c>
      <c r="C1418" t="s">
        <v>579</v>
      </c>
      <c r="D1418" cm="1">
        <f t="array" ref="D1418">IFERROR(IF(D1403="Chemical",(10^(INDEX(Antoines,MATCH(D1402,Antoine_Name,0),2)-INDEX(Antoines,MATCH(D1402,Antoine_Name,0),3)/(INDEX(Antoines,MATCH(D1402,Antoine_Name,0),4)+(D1411-32)*5/9)))*14.7/760,IF(D1403="Crude Oil",EXP((2799/(D1411+459.6)-2.227)*LOG10(INDEX(FX_Input,Q$5,D$3*$Z$5+$AA$5))-(7261/(D1411+459.6))+12.82),IF(D1403="Refined Petroleum Stock",EXP((0.7553-(413/(D1411+459.6)))*(INDEX(FX_Input,Q$5,D$3*$Z$5+$AA$5-1)^0.5)*LOG10(INDEX(FX_Input,Q$5,D$3*$Z$5+$AA$5))-(1.854-(1042/(D1411+459.6)))*(INDEX(FX_Input,Q$5,D$3*$Z$5+$AA$5-1)^0.5)+((2416/(D1411+459.6)-2.013)*LOG10(INDEX(FX_Input,Q$5,D$3*$Z$5+$AA$5)))-(8742/(D1411+459.6))+15.64),EXP(INDEX(Antoines,MATCH(D1402,Antoine_Name,0),2)-INDEX(Antoines,MATCH(D1402,Antoine_Name,0),3)/(D1411+459.6))))),0)</f>
        <v>4.739577185808354E-3</v>
      </c>
      <c r="E1418" cm="1">
        <f t="array" ref="E1418">IFERROR(IF(E1403="Chemical",(10^(INDEX(Antoines,MATCH(E1402,Antoine_Name,0),2)-INDEX(Antoines,MATCH(E1402,Antoine_Name,0),3)/(INDEX(Antoines,MATCH(E1402,Antoine_Name,0),4)+(E1411-32)*5/9)))*14.7/760,IF(E1403="Crude Oil",EXP((2799/(E1411+459.6)-2.227)*LOG10(INDEX(FX_Input,R$5,E$3*$Z$5+$AA$5))-(7261/(E1411+459.6))+12.82),IF(E1403="Refined Petroleum Stock",EXP((0.7553-(413/(E1411+459.6)))*(INDEX(FX_Input,R$5,E$3*$Z$5+$AA$5-1)^0.5)*LOG10(INDEX(FX_Input,R$5,E$3*$Z$5+$AA$5))-(1.854-(1042/(E1411+459.6)))*(INDEX(FX_Input,R$5,E$3*$Z$5+$AA$5-1)^0.5)+((2416/(E1411+459.6)-2.013)*LOG10(INDEX(FX_Input,R$5,E$3*$Z$5+$AA$5)))-(8742/(E1411+459.6))+15.64),EXP(INDEX(Antoines,MATCH(E1402,Antoine_Name,0),2)-INDEX(Antoines,MATCH(E1402,Antoine_Name,0),3)/(E1411+459.6))))),0)</f>
        <v>4.8748667780818778E-3</v>
      </c>
      <c r="F1418" cm="1">
        <f t="array" ref="F1418">IFERROR(IF(F1403="Chemical",(10^(INDEX(Antoines,MATCH(F1402,Antoine_Name,0),2)-INDEX(Antoines,MATCH(F1402,Antoine_Name,0),3)/(INDEX(Antoines,MATCH(F1402,Antoine_Name,0),4)+(F1411-32)*5/9)))*14.7/760,IF(F1403="Crude Oil",EXP((2799/(F1411+459.6)-2.227)*LOG10(INDEX(FX_Input,S$5,F$3*$Z$5+$AA$5))-(7261/(F1411+459.6))+12.82),IF(F1403="Refined Petroleum Stock",EXP((0.7553-(413/(F1411+459.6)))*(INDEX(FX_Input,S$5,F$3*$Z$5+$AA$5-1)^0.5)*LOG10(INDEX(FX_Input,S$5,F$3*$Z$5+$AA$5))-(1.854-(1042/(F1411+459.6)))*(INDEX(FX_Input,S$5,F$3*$Z$5+$AA$5-1)^0.5)+((2416/(F1411+459.6)-2.013)*LOG10(INDEX(FX_Input,S$5,F$3*$Z$5+$AA$5)))-(8742/(F1411+459.6))+15.64),EXP(INDEX(Antoines,MATCH(F1402,Antoine_Name,0),2)-INDEX(Antoines,MATCH(F1402,Antoine_Name,0),3)/(F1411+459.6))))),0)</f>
        <v>5.119885034186122E-3</v>
      </c>
      <c r="G1418" cm="1">
        <f t="array" ref="G1418">IFERROR(IF(G1403="Chemical",(10^(INDEX(Antoines,MATCH(G1402,Antoine_Name,0),2)-INDEX(Antoines,MATCH(G1402,Antoine_Name,0),3)/(INDEX(Antoines,MATCH(G1402,Antoine_Name,0),4)+(G1411-32)*5/9)))*14.7/760,IF(G1403="Crude Oil",EXP((2799/(G1411+459.6)-2.227)*LOG10(INDEX(FX_Input,T$5,G$3*$Z$5+$AA$5))-(7261/(G1411+459.6))+12.82),IF(G1403="Refined Petroleum Stock",EXP((0.7553-(413/(G1411+459.6)))*(INDEX(FX_Input,T$5,G$3*$Z$5+$AA$5-1)^0.5)*LOG10(INDEX(FX_Input,T$5,G$3*$Z$5+$AA$5))-(1.854-(1042/(G1411+459.6)))*(INDEX(FX_Input,T$5,G$3*$Z$5+$AA$5-1)^0.5)+((2416/(G1411+459.6)-2.013)*LOG10(INDEX(FX_Input,T$5,G$3*$Z$5+$AA$5)))-(8742/(G1411+459.6))+15.64),EXP(INDEX(Antoines,MATCH(G1402,Antoine_Name,0),2)-INDEX(Antoines,MATCH(G1402,Antoine_Name,0),3)/(G1411+459.6))))),0)</f>
        <v>5.5846958573521795E-3</v>
      </c>
      <c r="H1418" cm="1">
        <f t="array" ref="H1418">IFERROR(IF(H1403="Chemical",(10^(INDEX(Antoines,MATCH(H1402,Antoine_Name,0),2)-INDEX(Antoines,MATCH(H1402,Antoine_Name,0),3)/(INDEX(Antoines,MATCH(H1402,Antoine_Name,0),4)+(H1411-32)*5/9)))*14.7/760,IF(H1403="Crude Oil",EXP((2799/(H1411+459.6)-2.227)*LOG10(INDEX(FX_Input,U$5,H$3*$Z$5+$AA$5))-(7261/(H1411+459.6))+12.82),IF(H1403="Refined Petroleum Stock",EXP((0.7553-(413/(H1411+459.6)))*(INDEX(FX_Input,U$5,H$3*$Z$5+$AA$5-1)^0.5)*LOG10(INDEX(FX_Input,U$5,H$3*$Z$5+$AA$5))-(1.854-(1042/(H1411+459.6)))*(INDEX(FX_Input,U$5,H$3*$Z$5+$AA$5-1)^0.5)+((2416/(H1411+459.6)-2.013)*LOG10(INDEX(FX_Input,U$5,H$3*$Z$5+$AA$5)))-(8742/(H1411+459.6))+15.64),EXP(INDEX(Antoines,MATCH(H1402,Antoine_Name,0),2)-INDEX(Antoines,MATCH(H1402,Antoine_Name,0),3)/(H1411+459.6))))),0)</f>
        <v>6.5274070972739821E-3</v>
      </c>
      <c r="I1418" cm="1">
        <f t="array" ref="I1418">IFERROR(IF(I1403="Chemical",(10^(INDEX(Antoines,MATCH(I1402,Antoine_Name,0),2)-INDEX(Antoines,MATCH(I1402,Antoine_Name,0),3)/(INDEX(Antoines,MATCH(I1402,Antoine_Name,0),4)+(I1411-32)*5/9)))*14.7/760,IF(I1403="Crude Oil",EXP((2799/(I1411+459.6)-2.227)*LOG10(INDEX(FX_Input,V$5,I$3*$Z$5+$AA$5))-(7261/(I1411+459.6))+12.82),IF(I1403="Refined Petroleum Stock",EXP((0.7553-(413/(I1411+459.6)))*(INDEX(FX_Input,V$5,I$3*$Z$5+$AA$5-1)^0.5)*LOG10(INDEX(FX_Input,V$5,I$3*$Z$5+$AA$5))-(1.854-(1042/(I1411+459.6)))*(INDEX(FX_Input,V$5,I$3*$Z$5+$AA$5-1)^0.5)+((2416/(I1411+459.6)-2.013)*LOG10(INDEX(FX_Input,V$5,I$3*$Z$5+$AA$5)))-(8742/(I1411+459.6))+15.64),EXP(INDEX(Antoines,MATCH(I1402,Antoine_Name,0),2)-INDEX(Antoines,MATCH(I1402,Antoine_Name,0),3)/(I1411+459.6))))),0)</f>
        <v>7.4199539958878279E-3</v>
      </c>
      <c r="J1418" cm="1">
        <f t="array" ref="J1418">IFERROR(IF(J1403="Chemical",(10^(INDEX(Antoines,MATCH(J1402,Antoine_Name,0),2)-INDEX(Antoines,MATCH(J1402,Antoine_Name,0),3)/(INDEX(Antoines,MATCH(J1402,Antoine_Name,0),4)+(J1411-32)*5/9)))*14.7/760,IF(J1403="Crude Oil",EXP((2799/(J1411+459.6)-2.227)*LOG10(INDEX(FX_Input,W$5,J$3*$Z$5+$AA$5))-(7261/(J1411+459.6))+12.82),IF(J1403="Refined Petroleum Stock",EXP((0.7553-(413/(J1411+459.6)))*(INDEX(FX_Input,W$5,J$3*$Z$5+$AA$5-1)^0.5)*LOG10(INDEX(FX_Input,W$5,J$3*$Z$5+$AA$5))-(1.854-(1042/(J1411+459.6)))*(INDEX(FX_Input,W$5,J$3*$Z$5+$AA$5-1)^0.5)+((2416/(J1411+459.6)-2.013)*LOG10(INDEX(FX_Input,W$5,J$3*$Z$5+$AA$5)))-(8742/(J1411+459.6))+15.64),EXP(INDEX(Antoines,MATCH(J1402,Antoine_Name,0),2)-INDEX(Antoines,MATCH(J1402,Antoine_Name,0),3)/(J1411+459.6))))),0)</f>
        <v>8.3358107202842254E-3</v>
      </c>
      <c r="K1418" cm="1">
        <f t="array" ref="K1418">IFERROR(IF(K1403="Chemical",(10^(INDEX(Antoines,MATCH(K1402,Antoine_Name,0),2)-INDEX(Antoines,MATCH(K1402,Antoine_Name,0),3)/(INDEX(Antoines,MATCH(K1402,Antoine_Name,0),4)+(K1411-32)*5/9)))*14.7/760,IF(K1403="Crude Oil",EXP((2799/(K1411+459.6)-2.227)*LOG10(INDEX(FX_Input,X$5,K$3*$Z$5+$AA$5))-(7261/(K1411+459.6))+12.82),IF(K1403="Refined Petroleum Stock",EXP((0.7553-(413/(K1411+459.6)))*(INDEX(FX_Input,X$5,K$3*$Z$5+$AA$5-1)^0.5)*LOG10(INDEX(FX_Input,X$5,K$3*$Z$5+$AA$5))-(1.854-(1042/(K1411+459.6)))*(INDEX(FX_Input,X$5,K$3*$Z$5+$AA$5-1)^0.5)+((2416/(K1411+459.6)-2.013)*LOG10(INDEX(FX_Input,X$5,K$3*$Z$5+$AA$5)))-(8742/(K1411+459.6))+15.64),EXP(INDEX(Antoines,MATCH(K1402,Antoine_Name,0),2)-INDEX(Antoines,MATCH(K1402,Antoine_Name,0),3)/(K1411+459.6))))),0)</f>
        <v>8.4605262729351115E-3</v>
      </c>
      <c r="L1418" cm="1">
        <f t="array" ref="L1418">IFERROR(IF(L1403="Chemical",(10^(INDEX(Antoines,MATCH(L1402,Antoine_Name,0),2)-INDEX(Antoines,MATCH(L1402,Antoine_Name,0),3)/(INDEX(Antoines,MATCH(L1402,Antoine_Name,0),4)+(L1411-32)*5/9)))*14.7/760,IF(L1403="Crude Oil",EXP((2799/(L1411+459.6)-2.227)*LOG10(INDEX(FX_Input,Y$5,L$3*$Z$5+$AA$5))-(7261/(L1411+459.6))+12.82),IF(L1403="Refined Petroleum Stock",EXP((0.7553-(413/(L1411+459.6)))*(INDEX(FX_Input,Y$5,L$3*$Z$5+$AA$5-1)^0.5)*LOG10(INDEX(FX_Input,Y$5,L$3*$Z$5+$AA$5))-(1.854-(1042/(L1411+459.6)))*(INDEX(FX_Input,Y$5,L$3*$Z$5+$AA$5-1)^0.5)+((2416/(L1411+459.6)-2.013)*LOG10(INDEX(FX_Input,Y$5,L$3*$Z$5+$AA$5)))-(8742/(L1411+459.6))+15.64),EXP(INDEX(Antoines,MATCH(L1402,Antoine_Name,0),2)-INDEX(Antoines,MATCH(L1402,Antoine_Name,0),3)/(L1411+459.6))))),0)</f>
        <v>7.8399882233967533E-3</v>
      </c>
      <c r="M1418" cm="1">
        <f t="array" ref="M1418">IFERROR(IF(M1403="Chemical",(10^(INDEX(Antoines,MATCH(M1402,Antoine_Name,0),2)-INDEX(Antoines,MATCH(M1402,Antoine_Name,0),3)/(INDEX(Antoines,MATCH(M1402,Antoine_Name,0),4)+(M1411-32)*5/9)))*14.7/760,IF(M1403="Crude Oil",EXP((2799/(M1411+459.6)-2.227)*LOG10(INDEX(FX_Input,Z$5,M$3*$Z$5+$AA$5))-(7261/(M1411+459.6))+12.82),IF(M1403="Refined Petroleum Stock",EXP((0.7553-(413/(M1411+459.6)))*(INDEX(FX_Input,Z$5,M$3*$Z$5+$AA$5-1)^0.5)*LOG10(INDEX(FX_Input,Z$5,M$3*$Z$5+$AA$5))-(1.854-(1042/(M1411+459.6)))*(INDEX(FX_Input,Z$5,M$3*$Z$5+$AA$5-1)^0.5)+((2416/(M1411+459.6)-2.013)*LOG10(INDEX(FX_Input,Z$5,M$3*$Z$5+$AA$5)))-(8742/(M1411+459.6))+15.64),EXP(INDEX(Antoines,MATCH(M1402,Antoine_Name,0),2)-INDEX(Antoines,MATCH(M1402,Antoine_Name,0),3)/(M1411+459.6))))),0)</f>
        <v>6.4173462075160911E-3</v>
      </c>
      <c r="N1418" cm="1">
        <f t="array" ref="N1418">IFERROR(IF(N1403="Chemical",(10^(INDEX(Antoines,MATCH(N1402,Antoine_Name,0),2)-INDEX(Antoines,MATCH(N1402,Antoine_Name,0),3)/(INDEX(Antoines,MATCH(N1402,Antoine_Name,0),4)+(N1411-32)*5/9)))*14.7/760,IF(N1403="Crude Oil",EXP((2799/(N1411+459.6)-2.227)*LOG10(INDEX(FX_Input,AA$5,N$3*$Z$5+$AA$5))-(7261/(N1411+459.6))+12.82),IF(N1403="Refined Petroleum Stock",EXP((0.7553-(413/(N1411+459.6)))*(INDEX(FX_Input,AA$5,N$3*$Z$5+$AA$5-1)^0.5)*LOG10(INDEX(FX_Input,AA$5,N$3*$Z$5+$AA$5))-(1.854-(1042/(N1411+459.6)))*(INDEX(FX_Input,AA$5,N$3*$Z$5+$AA$5-1)^0.5)+((2416/(N1411+459.6)-2.013)*LOG10(INDEX(FX_Input,AA$5,N$3*$Z$5+$AA$5)))-(8742/(N1411+459.6))+15.64),EXP(INDEX(Antoines,MATCH(N1402,Antoine_Name,0),2)-INDEX(Antoines,MATCH(N1402,Antoine_Name,0),3)/(N1411+459.6))))),0)</f>
        <v>5.3015226887581056E-3</v>
      </c>
      <c r="O1418" cm="1">
        <f t="array" ref="O1418">IFERROR(IF(O1403="Chemical",(10^(INDEX(Antoines,MATCH(O1402,Antoine_Name,0),2)-INDEX(Antoines,MATCH(O1402,Antoine_Name,0),3)/(INDEX(Antoines,MATCH(O1402,Antoine_Name,0),4)+(O1411-32)*5/9)))*14.7/760,IF(O1403="Crude Oil",EXP((2799/(O1411+459.6)-2.227)*LOG10(INDEX(FX_Input,AB$5,O$3*$Z$5+$AA$5))-(7261/(O1411+459.6))+12.82),IF(O1403="Refined Petroleum Stock",EXP((0.7553-(413/(O1411+459.6)))*(INDEX(FX_Input,AB$5,O$3*$Z$5+$AA$5-1)^0.5)*LOG10(INDEX(FX_Input,AB$5,O$3*$Z$5+$AA$5))-(1.854-(1042/(O1411+459.6)))*(INDEX(FX_Input,AB$5,O$3*$Z$5+$AA$5-1)^0.5)+((2416/(O1411+459.6)-2.013)*LOG10(INDEX(FX_Input,AB$5,O$3*$Z$5+$AA$5)))-(8742/(O1411+459.6))+15.64),EXP(INDEX(Antoines,MATCH(O1402,Antoine_Name,0),2)-INDEX(Antoines,MATCH(O1402,Antoine_Name,0),3)/(O1411+459.6))))),0)</f>
        <v>4.68970903600947E-3</v>
      </c>
    </row>
    <row r="1419" spans="2:32" ht="17.149999999999999" x14ac:dyDescent="0.55000000000000004">
      <c r="B1419" t="str">
        <f t="shared" si="5140"/>
        <v>Portland</v>
      </c>
      <c r="C1419" t="s">
        <v>580</v>
      </c>
      <c r="D1419">
        <f>D1418*D1406</f>
        <v>4.739577185808354E-3</v>
      </c>
      <c r="E1419">
        <f t="shared" ref="E1419" si="5174">E1418*E1406</f>
        <v>4.8748667780818778E-3</v>
      </c>
      <c r="F1419">
        <f t="shared" ref="F1419" si="5175">F1418*F1406</f>
        <v>5.119885034186122E-3</v>
      </c>
      <c r="G1419">
        <f t="shared" ref="G1419" si="5176">G1418*G1406</f>
        <v>5.5846958573521795E-3</v>
      </c>
      <c r="H1419">
        <f t="shared" ref="H1419" si="5177">H1418*H1406</f>
        <v>6.5274070972739821E-3</v>
      </c>
      <c r="I1419">
        <f t="shared" ref="I1419" si="5178">I1418*I1406</f>
        <v>7.4199539958878279E-3</v>
      </c>
      <c r="J1419">
        <f t="shared" ref="J1419" si="5179">J1418*J1406</f>
        <v>8.3358107202842254E-3</v>
      </c>
      <c r="K1419">
        <f t="shared" ref="K1419" si="5180">K1418*K1406</f>
        <v>8.4605262729351115E-3</v>
      </c>
      <c r="L1419">
        <f t="shared" ref="L1419" si="5181">L1418*L1406</f>
        <v>7.8399882233967533E-3</v>
      </c>
      <c r="M1419">
        <f t="shared" ref="M1419" si="5182">M1418*M1406</f>
        <v>6.4173462075160911E-3</v>
      </c>
      <c r="N1419">
        <f t="shared" ref="N1419" si="5183">N1418*N1406</f>
        <v>5.3015226887581056E-3</v>
      </c>
      <c r="O1419">
        <f t="shared" ref="O1419" si="5184">O1418*O1406</f>
        <v>4.68970903600947E-3</v>
      </c>
    </row>
    <row r="1420" spans="2:32" ht="17.149999999999999" x14ac:dyDescent="0.55000000000000004">
      <c r="B1420" t="str">
        <f t="shared" si="5140"/>
        <v>Portland</v>
      </c>
      <c r="C1420" t="s">
        <v>581</v>
      </c>
      <c r="D1420" cm="1">
        <f t="array" ref="D1420">IFERROR(IF(D1405="Chemical",(10^(INDEX(Antoines,MATCH(D1404,Antoine_Name,0),2)-INDEX(Antoines,MATCH(D1404,Antoine_Name,0),3)/(INDEX(Antoines,MATCH(D1404,Antoine_Name,0),4)+(D1411-32)*5/9)))*14.7/760,IF(D1405="Crude Oil",EXP((2799/(D1411+459.6)-2.227)*LOG10(INDEX(FX_Input,Q$5,D$3*$Z$5+$AA$5))-(7261/(D1411+459.6))+12.82),IF(D1405="Refined Petroleum Stock",EXP((0.7553-(413/(D1411+459.6)))*(INDEX(FX_Input,Q$5,D$3*$Z$5+$AA$5-1)^0.5)*LOG10(INDEX(FX_Input,Q$5,D$3*$Z$5+$AA$5))-(1.854-(1042/(D1411+459.6)))*(INDEX(FX_Input,Q$5,D$3*$Z$5+$AA$5-1)^0.5)+((2416/(D1411+459.6)-2.013)*LOG10(INDEX(FX_Input,Q$5,D$3*$Z$5+$AA$5)))-(8742/(D1411+459.6))+15.64),EXP(INDEX(Antoines,MATCH(D1404,Antoine_Name,0),2)-INDEX(Antoines,MATCH(D1404,Antoine_Name,0),3)/(D1411+459.6))))),0)</f>
        <v>0</v>
      </c>
      <c r="E1420" cm="1">
        <f t="array" ref="E1420">IFERROR(IF(E1405="Chemical",(10^(INDEX(Antoines,MATCH(E1404,Antoine_Name,0),2)-INDEX(Antoines,MATCH(E1404,Antoine_Name,0),3)/(INDEX(Antoines,MATCH(E1404,Antoine_Name,0),4)+(E1411-32)*5/9)))*14.7/760,IF(E1405="Crude Oil",EXP((2799/(E1411+459.6)-2.227)*LOG10(INDEX(FX_Input,R$5,E$3*$Z$5+$AA$5))-(7261/(E1411+459.6))+12.82),IF(E1405="Refined Petroleum Stock",EXP((0.7553-(413/(E1411+459.6)))*(INDEX(FX_Input,R$5,E$3*$Z$5+$AA$5-1)^0.5)*LOG10(INDEX(FX_Input,R$5,E$3*$Z$5+$AA$5))-(1.854-(1042/(E1411+459.6)))*(INDEX(FX_Input,R$5,E$3*$Z$5+$AA$5-1)^0.5)+((2416/(E1411+459.6)-2.013)*LOG10(INDEX(FX_Input,R$5,E$3*$Z$5+$AA$5)))-(8742/(E1411+459.6))+15.64),EXP(INDEX(Antoines,MATCH(E1404,Antoine_Name,0),2)-INDEX(Antoines,MATCH(E1404,Antoine_Name,0),3)/(E1411+459.6))))),0)</f>
        <v>0</v>
      </c>
      <c r="F1420" cm="1">
        <f t="array" ref="F1420">IFERROR(IF(F1405="Chemical",(10^(INDEX(Antoines,MATCH(F1404,Antoine_Name,0),2)-INDEX(Antoines,MATCH(F1404,Antoine_Name,0),3)/(INDEX(Antoines,MATCH(F1404,Antoine_Name,0),4)+(F1411-32)*5/9)))*14.7/760,IF(F1405="Crude Oil",EXP((2799/(F1411+459.6)-2.227)*LOG10(INDEX(FX_Input,S$5,F$3*$Z$5+$AA$5))-(7261/(F1411+459.6))+12.82),IF(F1405="Refined Petroleum Stock",EXP((0.7553-(413/(F1411+459.6)))*(INDEX(FX_Input,S$5,F$3*$Z$5+$AA$5-1)^0.5)*LOG10(INDEX(FX_Input,S$5,F$3*$Z$5+$AA$5))-(1.854-(1042/(F1411+459.6)))*(INDEX(FX_Input,S$5,F$3*$Z$5+$AA$5-1)^0.5)+((2416/(F1411+459.6)-2.013)*LOG10(INDEX(FX_Input,S$5,F$3*$Z$5+$AA$5)))-(8742/(F1411+459.6))+15.64),EXP(INDEX(Antoines,MATCH(F1404,Antoine_Name,0),2)-INDEX(Antoines,MATCH(F1404,Antoine_Name,0),3)/(F1411+459.6))))),0)</f>
        <v>0</v>
      </c>
      <c r="G1420" cm="1">
        <f t="array" ref="G1420">IFERROR(IF(G1405="Chemical",(10^(INDEX(Antoines,MATCH(G1404,Antoine_Name,0),2)-INDEX(Antoines,MATCH(G1404,Antoine_Name,0),3)/(INDEX(Antoines,MATCH(G1404,Antoine_Name,0),4)+(G1411-32)*5/9)))*14.7/760,IF(G1405="Crude Oil",EXP((2799/(G1411+459.6)-2.227)*LOG10(INDEX(FX_Input,T$5,G$3*$Z$5+$AA$5))-(7261/(G1411+459.6))+12.82),IF(G1405="Refined Petroleum Stock",EXP((0.7553-(413/(G1411+459.6)))*(INDEX(FX_Input,T$5,G$3*$Z$5+$AA$5-1)^0.5)*LOG10(INDEX(FX_Input,T$5,G$3*$Z$5+$AA$5))-(1.854-(1042/(G1411+459.6)))*(INDEX(FX_Input,T$5,G$3*$Z$5+$AA$5-1)^0.5)+((2416/(G1411+459.6)-2.013)*LOG10(INDEX(FX_Input,T$5,G$3*$Z$5+$AA$5)))-(8742/(G1411+459.6))+15.64),EXP(INDEX(Antoines,MATCH(G1404,Antoine_Name,0),2)-INDEX(Antoines,MATCH(G1404,Antoine_Name,0),3)/(G1411+459.6))))),0)</f>
        <v>0</v>
      </c>
      <c r="H1420" cm="1">
        <f t="array" ref="H1420">IFERROR(IF(H1405="Chemical",(10^(INDEX(Antoines,MATCH(H1404,Antoine_Name,0),2)-INDEX(Antoines,MATCH(H1404,Antoine_Name,0),3)/(INDEX(Antoines,MATCH(H1404,Antoine_Name,0),4)+(H1411-32)*5/9)))*14.7/760,IF(H1405="Crude Oil",EXP((2799/(H1411+459.6)-2.227)*LOG10(INDEX(FX_Input,U$5,H$3*$Z$5+$AA$5))-(7261/(H1411+459.6))+12.82),IF(H1405="Refined Petroleum Stock",EXP((0.7553-(413/(H1411+459.6)))*(INDEX(FX_Input,U$5,H$3*$Z$5+$AA$5-1)^0.5)*LOG10(INDEX(FX_Input,U$5,H$3*$Z$5+$AA$5))-(1.854-(1042/(H1411+459.6)))*(INDEX(FX_Input,U$5,H$3*$Z$5+$AA$5-1)^0.5)+((2416/(H1411+459.6)-2.013)*LOG10(INDEX(FX_Input,U$5,H$3*$Z$5+$AA$5)))-(8742/(H1411+459.6))+15.64),EXP(INDEX(Antoines,MATCH(H1404,Antoine_Name,0),2)-INDEX(Antoines,MATCH(H1404,Antoine_Name,0),3)/(H1411+459.6))))),0)</f>
        <v>0</v>
      </c>
      <c r="I1420" cm="1">
        <f t="array" ref="I1420">IFERROR(IF(I1405="Chemical",(10^(INDEX(Antoines,MATCH(I1404,Antoine_Name,0),2)-INDEX(Antoines,MATCH(I1404,Antoine_Name,0),3)/(INDEX(Antoines,MATCH(I1404,Antoine_Name,0),4)+(I1411-32)*5/9)))*14.7/760,IF(I1405="Crude Oil",EXP((2799/(I1411+459.6)-2.227)*LOG10(INDEX(FX_Input,V$5,I$3*$Z$5+$AA$5))-(7261/(I1411+459.6))+12.82),IF(I1405="Refined Petroleum Stock",EXP((0.7553-(413/(I1411+459.6)))*(INDEX(FX_Input,V$5,I$3*$Z$5+$AA$5-1)^0.5)*LOG10(INDEX(FX_Input,V$5,I$3*$Z$5+$AA$5))-(1.854-(1042/(I1411+459.6)))*(INDEX(FX_Input,V$5,I$3*$Z$5+$AA$5-1)^0.5)+((2416/(I1411+459.6)-2.013)*LOG10(INDEX(FX_Input,V$5,I$3*$Z$5+$AA$5)))-(8742/(I1411+459.6))+15.64),EXP(INDEX(Antoines,MATCH(I1404,Antoine_Name,0),2)-INDEX(Antoines,MATCH(I1404,Antoine_Name,0),3)/(I1411+459.6))))),0)</f>
        <v>0</v>
      </c>
      <c r="J1420" cm="1">
        <f t="array" ref="J1420">IFERROR(IF(J1405="Chemical",(10^(INDEX(Antoines,MATCH(J1404,Antoine_Name,0),2)-INDEX(Antoines,MATCH(J1404,Antoine_Name,0),3)/(INDEX(Antoines,MATCH(J1404,Antoine_Name,0),4)+(J1411-32)*5/9)))*14.7/760,IF(J1405="Crude Oil",EXP((2799/(J1411+459.6)-2.227)*LOG10(INDEX(FX_Input,W$5,J$3*$Z$5+$AA$5))-(7261/(J1411+459.6))+12.82),IF(J1405="Refined Petroleum Stock",EXP((0.7553-(413/(J1411+459.6)))*(INDEX(FX_Input,W$5,J$3*$Z$5+$AA$5-1)^0.5)*LOG10(INDEX(FX_Input,W$5,J$3*$Z$5+$AA$5))-(1.854-(1042/(J1411+459.6)))*(INDEX(FX_Input,W$5,J$3*$Z$5+$AA$5-1)^0.5)+((2416/(J1411+459.6)-2.013)*LOG10(INDEX(FX_Input,W$5,J$3*$Z$5+$AA$5)))-(8742/(J1411+459.6))+15.64),EXP(INDEX(Antoines,MATCH(J1404,Antoine_Name,0),2)-INDEX(Antoines,MATCH(J1404,Antoine_Name,0),3)/(J1411+459.6))))),0)</f>
        <v>0</v>
      </c>
      <c r="K1420" cm="1">
        <f t="array" ref="K1420">IFERROR(IF(K1405="Chemical",(10^(INDEX(Antoines,MATCH(K1404,Antoine_Name,0),2)-INDEX(Antoines,MATCH(K1404,Antoine_Name,0),3)/(INDEX(Antoines,MATCH(K1404,Antoine_Name,0),4)+(K1411-32)*5/9)))*14.7/760,IF(K1405="Crude Oil",EXP((2799/(K1411+459.6)-2.227)*LOG10(INDEX(FX_Input,X$5,K$3*$Z$5+$AA$5))-(7261/(K1411+459.6))+12.82),IF(K1405="Refined Petroleum Stock",EXP((0.7553-(413/(K1411+459.6)))*(INDEX(FX_Input,X$5,K$3*$Z$5+$AA$5-1)^0.5)*LOG10(INDEX(FX_Input,X$5,K$3*$Z$5+$AA$5))-(1.854-(1042/(K1411+459.6)))*(INDEX(FX_Input,X$5,K$3*$Z$5+$AA$5-1)^0.5)+((2416/(K1411+459.6)-2.013)*LOG10(INDEX(FX_Input,X$5,K$3*$Z$5+$AA$5)))-(8742/(K1411+459.6))+15.64),EXP(INDEX(Antoines,MATCH(K1404,Antoine_Name,0),2)-INDEX(Antoines,MATCH(K1404,Antoine_Name,0),3)/(K1411+459.6))))),0)</f>
        <v>0</v>
      </c>
      <c r="L1420" cm="1">
        <f t="array" ref="L1420">IFERROR(IF(L1405="Chemical",(10^(INDEX(Antoines,MATCH(L1404,Antoine_Name,0),2)-INDEX(Antoines,MATCH(L1404,Antoine_Name,0),3)/(INDEX(Antoines,MATCH(L1404,Antoine_Name,0),4)+(L1411-32)*5/9)))*14.7/760,IF(L1405="Crude Oil",EXP((2799/(L1411+459.6)-2.227)*LOG10(INDEX(FX_Input,Y$5,L$3*$Z$5+$AA$5))-(7261/(L1411+459.6))+12.82),IF(L1405="Refined Petroleum Stock",EXP((0.7553-(413/(L1411+459.6)))*(INDEX(FX_Input,Y$5,L$3*$Z$5+$AA$5-1)^0.5)*LOG10(INDEX(FX_Input,Y$5,L$3*$Z$5+$AA$5))-(1.854-(1042/(L1411+459.6)))*(INDEX(FX_Input,Y$5,L$3*$Z$5+$AA$5-1)^0.5)+((2416/(L1411+459.6)-2.013)*LOG10(INDEX(FX_Input,Y$5,L$3*$Z$5+$AA$5)))-(8742/(L1411+459.6))+15.64),EXP(INDEX(Antoines,MATCH(L1404,Antoine_Name,0),2)-INDEX(Antoines,MATCH(L1404,Antoine_Name,0),3)/(L1411+459.6))))),0)</f>
        <v>0</v>
      </c>
      <c r="M1420" cm="1">
        <f t="array" ref="M1420">IFERROR(IF(M1405="Chemical",(10^(INDEX(Antoines,MATCH(M1404,Antoine_Name,0),2)-INDEX(Antoines,MATCH(M1404,Antoine_Name,0),3)/(INDEX(Antoines,MATCH(M1404,Antoine_Name,0),4)+(M1411-32)*5/9)))*14.7/760,IF(M1405="Crude Oil",EXP((2799/(M1411+459.6)-2.227)*LOG10(INDEX(FX_Input,Z$5,M$3*$Z$5+$AA$5))-(7261/(M1411+459.6))+12.82),IF(M1405="Refined Petroleum Stock",EXP((0.7553-(413/(M1411+459.6)))*(INDEX(FX_Input,Z$5,M$3*$Z$5+$AA$5-1)^0.5)*LOG10(INDEX(FX_Input,Z$5,M$3*$Z$5+$AA$5))-(1.854-(1042/(M1411+459.6)))*(INDEX(FX_Input,Z$5,M$3*$Z$5+$AA$5-1)^0.5)+((2416/(M1411+459.6)-2.013)*LOG10(INDEX(FX_Input,Z$5,M$3*$Z$5+$AA$5)))-(8742/(M1411+459.6))+15.64),EXP(INDEX(Antoines,MATCH(M1404,Antoine_Name,0),2)-INDEX(Antoines,MATCH(M1404,Antoine_Name,0),3)/(M1411+459.6))))),0)</f>
        <v>0</v>
      </c>
      <c r="N1420" cm="1">
        <f t="array" ref="N1420">IFERROR(IF(N1405="Chemical",(10^(INDEX(Antoines,MATCH(N1404,Antoine_Name,0),2)-INDEX(Antoines,MATCH(N1404,Antoine_Name,0),3)/(INDEX(Antoines,MATCH(N1404,Antoine_Name,0),4)+(N1411-32)*5/9)))*14.7/760,IF(N1405="Crude Oil",EXP((2799/(N1411+459.6)-2.227)*LOG10(INDEX(FX_Input,AA$5,N$3*$Z$5+$AA$5))-(7261/(N1411+459.6))+12.82),IF(N1405="Refined Petroleum Stock",EXP((0.7553-(413/(N1411+459.6)))*(INDEX(FX_Input,AA$5,N$3*$Z$5+$AA$5-1)^0.5)*LOG10(INDEX(FX_Input,AA$5,N$3*$Z$5+$AA$5))-(1.854-(1042/(N1411+459.6)))*(INDEX(FX_Input,AA$5,N$3*$Z$5+$AA$5-1)^0.5)+((2416/(N1411+459.6)-2.013)*LOG10(INDEX(FX_Input,AA$5,N$3*$Z$5+$AA$5)))-(8742/(N1411+459.6))+15.64),EXP(INDEX(Antoines,MATCH(N1404,Antoine_Name,0),2)-INDEX(Antoines,MATCH(N1404,Antoine_Name,0),3)/(N1411+459.6))))),0)</f>
        <v>0</v>
      </c>
      <c r="O1420" cm="1">
        <f t="array" ref="O1420">IFERROR(IF(O1405="Chemical",(10^(INDEX(Antoines,MATCH(O1404,Antoine_Name,0),2)-INDEX(Antoines,MATCH(O1404,Antoine_Name,0),3)/(INDEX(Antoines,MATCH(O1404,Antoine_Name,0),4)+(O1411-32)*5/9)))*14.7/760,IF(O1405="Crude Oil",EXP((2799/(O1411+459.6)-2.227)*LOG10(INDEX(FX_Input,AB$5,O$3*$Z$5+$AA$5))-(7261/(O1411+459.6))+12.82),IF(O1405="Refined Petroleum Stock",EXP((0.7553-(413/(O1411+459.6)))*(INDEX(FX_Input,AB$5,O$3*$Z$5+$AA$5-1)^0.5)*LOG10(INDEX(FX_Input,AB$5,O$3*$Z$5+$AA$5))-(1.854-(1042/(O1411+459.6)))*(INDEX(FX_Input,AB$5,O$3*$Z$5+$AA$5-1)^0.5)+((2416/(O1411+459.6)-2.013)*LOG10(INDEX(FX_Input,AB$5,O$3*$Z$5+$AA$5)))-(8742/(O1411+459.6))+15.64),EXP(INDEX(Antoines,MATCH(O1404,Antoine_Name,0),2)-INDEX(Antoines,MATCH(O1404,Antoine_Name,0),3)/(O1411+459.6))))),0)</f>
        <v>0</v>
      </c>
    </row>
    <row r="1421" spans="2:32" ht="17.149999999999999" x14ac:dyDescent="0.55000000000000004">
      <c r="B1421" t="str">
        <f t="shared" si="5140"/>
        <v>Portland</v>
      </c>
      <c r="C1421" t="s">
        <v>582</v>
      </c>
      <c r="D1421">
        <f>D1420*D1408</f>
        <v>0</v>
      </c>
      <c r="E1421">
        <f t="shared" ref="E1421" si="5185">E1420*E1408</f>
        <v>0</v>
      </c>
      <c r="F1421">
        <f t="shared" ref="F1421" si="5186">F1420*F1408</f>
        <v>0</v>
      </c>
      <c r="G1421">
        <f t="shared" ref="G1421" si="5187">G1420*G1408</f>
        <v>0</v>
      </c>
      <c r="H1421">
        <f t="shared" ref="H1421" si="5188">H1420*H1408</f>
        <v>0</v>
      </c>
      <c r="I1421">
        <f t="shared" ref="I1421" si="5189">I1420*I1408</f>
        <v>0</v>
      </c>
      <c r="J1421">
        <f t="shared" ref="J1421" si="5190">J1420*J1408</f>
        <v>0</v>
      </c>
      <c r="K1421">
        <f t="shared" ref="K1421" si="5191">K1420*K1408</f>
        <v>0</v>
      </c>
      <c r="L1421">
        <f t="shared" ref="L1421" si="5192">L1420*L1408</f>
        <v>0</v>
      </c>
      <c r="M1421">
        <f t="shared" ref="M1421" si="5193">M1420*M1408</f>
        <v>0</v>
      </c>
      <c r="N1421">
        <f t="shared" ref="N1421" si="5194">N1420*N1408</f>
        <v>0</v>
      </c>
      <c r="O1421">
        <f t="shared" ref="O1421" si="5195">O1420*O1408</f>
        <v>0</v>
      </c>
    </row>
    <row r="1422" spans="2:32" ht="17.149999999999999" x14ac:dyDescent="0.55000000000000004">
      <c r="B1422" t="str">
        <f t="shared" si="5140"/>
        <v>Portland</v>
      </c>
      <c r="C1422" t="s">
        <v>583</v>
      </c>
      <c r="D1422">
        <f>D1419+D1421</f>
        <v>4.739577185808354E-3</v>
      </c>
      <c r="E1422">
        <f t="shared" ref="E1422" si="5196">E1419+E1421</f>
        <v>4.8748667780818778E-3</v>
      </c>
      <c r="F1422">
        <f t="shared" ref="F1422" si="5197">F1419+F1421</f>
        <v>5.119885034186122E-3</v>
      </c>
      <c r="G1422">
        <f t="shared" ref="G1422" si="5198">G1419+G1421</f>
        <v>5.5846958573521795E-3</v>
      </c>
      <c r="H1422">
        <f t="shared" ref="H1422" si="5199">H1419+H1421</f>
        <v>6.5274070972739821E-3</v>
      </c>
      <c r="I1422">
        <f t="shared" ref="I1422" si="5200">I1419+I1421</f>
        <v>7.4199539958878279E-3</v>
      </c>
      <c r="J1422">
        <f t="shared" ref="J1422" si="5201">J1419+J1421</f>
        <v>8.3358107202842254E-3</v>
      </c>
      <c r="K1422">
        <f t="shared" ref="K1422" si="5202">K1419+K1421</f>
        <v>8.4605262729351115E-3</v>
      </c>
      <c r="L1422">
        <f t="shared" ref="L1422" si="5203">L1419+L1421</f>
        <v>7.8399882233967533E-3</v>
      </c>
      <c r="M1422">
        <f t="shared" ref="M1422" si="5204">M1419+M1421</f>
        <v>6.4173462075160911E-3</v>
      </c>
      <c r="N1422">
        <f t="shared" ref="N1422" si="5205">N1419+N1421</f>
        <v>5.3015226887581056E-3</v>
      </c>
      <c r="O1422">
        <f t="shared" ref="O1422" si="5206">O1419+O1421</f>
        <v>4.68970903600947E-3</v>
      </c>
    </row>
    <row r="1423" spans="2:32" ht="17.149999999999999" x14ac:dyDescent="0.55000000000000004">
      <c r="B1423" t="str">
        <f t="shared" si="5140"/>
        <v>Portland</v>
      </c>
      <c r="C1423" t="s">
        <v>1388</v>
      </c>
      <c r="D1423" cm="1">
        <f t="array" ref="D1423">IFERROR(IF(D1403="Chemical",(10^(INDEX(Antoines,MATCH(D1402,Antoine_Name,0),2)-INDEX(Antoines,MATCH(D1402,Antoine_Name,0),3)/(INDEX(Antoines,MATCH(D1402,Antoine_Name,0),4)+(D1412-32)*5/9)))*14.7/760,IF(D1403="Crude Oil",EXP((2799/(D1412+459.6)-2.227)*LOG10(INDEX(FX_Input,Q$5,D$3*$Z$5+$AA$5))-(7261/(D1412+459.6))+12.82),IF(D1403="Refined Petroleum Stock",EXP((0.7553-(413/(D1412+459.6)))*(INDEX(FX_Input,Q$5,D$3*$Z$5+$AA$5-1)^0.5)*LOG10(INDEX(FX_Input,Q$5,D$3*$Z$5+$AA$5))-(1.854-(1042/(D1412+459.6)))*(INDEX(FX_Input,Q$5,D$3*$Z$5+$AA$5-1)^0.5)+((2416/(D1412+459.6)-2.013)*LOG10(INDEX(FX_Input,Q$5,D$3*$Z$5+$AA$5)))-(8742/(D1412+459.6))+15.64),EXP(INDEX(Antoines,MATCH(D1402,Antoine_Name,0),2)-INDEX(Antoines,MATCH(D1402,Antoine_Name,0),3)/(D1412+459.6))))),0)</f>
        <v>4.739577185808354E-3</v>
      </c>
      <c r="E1423" cm="1">
        <f t="array" ref="E1423">IFERROR(IF(E1403="Chemical",(10^(INDEX(Antoines,MATCH(E1402,Antoine_Name,0),2)-INDEX(Antoines,MATCH(E1402,Antoine_Name,0),3)/(INDEX(Antoines,MATCH(E1402,Antoine_Name,0),4)+(E1412-32)*5/9)))*14.7/760,IF(E1403="Crude Oil",EXP((2799/(E1412+459.6)-2.227)*LOG10(INDEX(FX_Input,R$5,E$3*$Z$5+$AA$5))-(7261/(E1412+459.6))+12.82),IF(E1403="Refined Petroleum Stock",EXP((0.7553-(413/(E1412+459.6)))*(INDEX(FX_Input,R$5,E$3*$Z$5+$AA$5-1)^0.5)*LOG10(INDEX(FX_Input,R$5,E$3*$Z$5+$AA$5))-(1.854-(1042/(E1412+459.6)))*(INDEX(FX_Input,R$5,E$3*$Z$5+$AA$5-1)^0.5)+((2416/(E1412+459.6)-2.013)*LOG10(INDEX(FX_Input,R$5,E$3*$Z$5+$AA$5)))-(8742/(E1412+459.6))+15.64),EXP(INDEX(Antoines,MATCH(E1402,Antoine_Name,0),2)-INDEX(Antoines,MATCH(E1402,Antoine_Name,0),3)/(E1412+459.6))))),0)</f>
        <v>4.8748667780818778E-3</v>
      </c>
      <c r="F1423" cm="1">
        <f t="array" ref="F1423">IFERROR(IF(F1403="Chemical",(10^(INDEX(Antoines,MATCH(F1402,Antoine_Name,0),2)-INDEX(Antoines,MATCH(F1402,Antoine_Name,0),3)/(INDEX(Antoines,MATCH(F1402,Antoine_Name,0),4)+(F1412-32)*5/9)))*14.7/760,IF(F1403="Crude Oil",EXP((2799/(F1412+459.6)-2.227)*LOG10(INDEX(FX_Input,S$5,F$3*$Z$5+$AA$5))-(7261/(F1412+459.6))+12.82),IF(F1403="Refined Petroleum Stock",EXP((0.7553-(413/(F1412+459.6)))*(INDEX(FX_Input,S$5,F$3*$Z$5+$AA$5-1)^0.5)*LOG10(INDEX(FX_Input,S$5,F$3*$Z$5+$AA$5))-(1.854-(1042/(F1412+459.6)))*(INDEX(FX_Input,S$5,F$3*$Z$5+$AA$5-1)^0.5)+((2416/(F1412+459.6)-2.013)*LOG10(INDEX(FX_Input,S$5,F$3*$Z$5+$AA$5)))-(8742/(F1412+459.6))+15.64),EXP(INDEX(Antoines,MATCH(F1402,Antoine_Name,0),2)-INDEX(Antoines,MATCH(F1402,Antoine_Name,0),3)/(F1412+459.6))))),0)</f>
        <v>5.119885034186122E-3</v>
      </c>
      <c r="G1423" cm="1">
        <f t="array" ref="G1423">IFERROR(IF(G1403="Chemical",(10^(INDEX(Antoines,MATCH(G1402,Antoine_Name,0),2)-INDEX(Antoines,MATCH(G1402,Antoine_Name,0),3)/(INDEX(Antoines,MATCH(G1402,Antoine_Name,0),4)+(G1412-32)*5/9)))*14.7/760,IF(G1403="Crude Oil",EXP((2799/(G1412+459.6)-2.227)*LOG10(INDEX(FX_Input,T$5,G$3*$Z$5+$AA$5))-(7261/(G1412+459.6))+12.82),IF(G1403="Refined Petroleum Stock",EXP((0.7553-(413/(G1412+459.6)))*(INDEX(FX_Input,T$5,G$3*$Z$5+$AA$5-1)^0.5)*LOG10(INDEX(FX_Input,T$5,G$3*$Z$5+$AA$5))-(1.854-(1042/(G1412+459.6)))*(INDEX(FX_Input,T$5,G$3*$Z$5+$AA$5-1)^0.5)+((2416/(G1412+459.6)-2.013)*LOG10(INDEX(FX_Input,T$5,G$3*$Z$5+$AA$5)))-(8742/(G1412+459.6))+15.64),EXP(INDEX(Antoines,MATCH(G1402,Antoine_Name,0),2)-INDEX(Antoines,MATCH(G1402,Antoine_Name,0),3)/(G1412+459.6))))),0)</f>
        <v>5.5846958573521795E-3</v>
      </c>
      <c r="H1423" cm="1">
        <f t="array" ref="H1423">IFERROR(IF(H1403="Chemical",(10^(INDEX(Antoines,MATCH(H1402,Antoine_Name,0),2)-INDEX(Antoines,MATCH(H1402,Antoine_Name,0),3)/(INDEX(Antoines,MATCH(H1402,Antoine_Name,0),4)+(H1412-32)*5/9)))*14.7/760,IF(H1403="Crude Oil",EXP((2799/(H1412+459.6)-2.227)*LOG10(INDEX(FX_Input,U$5,H$3*$Z$5+$AA$5))-(7261/(H1412+459.6))+12.82),IF(H1403="Refined Petroleum Stock",EXP((0.7553-(413/(H1412+459.6)))*(INDEX(FX_Input,U$5,H$3*$Z$5+$AA$5-1)^0.5)*LOG10(INDEX(FX_Input,U$5,H$3*$Z$5+$AA$5))-(1.854-(1042/(H1412+459.6)))*(INDEX(FX_Input,U$5,H$3*$Z$5+$AA$5-1)^0.5)+((2416/(H1412+459.6)-2.013)*LOG10(INDEX(FX_Input,U$5,H$3*$Z$5+$AA$5)))-(8742/(H1412+459.6))+15.64),EXP(INDEX(Antoines,MATCH(H1402,Antoine_Name,0),2)-INDEX(Antoines,MATCH(H1402,Antoine_Name,0),3)/(H1412+459.6))))),0)</f>
        <v>6.5274070972739821E-3</v>
      </c>
      <c r="I1423" cm="1">
        <f t="array" ref="I1423">IFERROR(IF(I1403="Chemical",(10^(INDEX(Antoines,MATCH(I1402,Antoine_Name,0),2)-INDEX(Antoines,MATCH(I1402,Antoine_Name,0),3)/(INDEX(Antoines,MATCH(I1402,Antoine_Name,0),4)+(I1412-32)*5/9)))*14.7/760,IF(I1403="Crude Oil",EXP((2799/(I1412+459.6)-2.227)*LOG10(INDEX(FX_Input,V$5,I$3*$Z$5+$AA$5))-(7261/(I1412+459.6))+12.82),IF(I1403="Refined Petroleum Stock",EXP((0.7553-(413/(I1412+459.6)))*(INDEX(FX_Input,V$5,I$3*$Z$5+$AA$5-1)^0.5)*LOG10(INDEX(FX_Input,V$5,I$3*$Z$5+$AA$5))-(1.854-(1042/(I1412+459.6)))*(INDEX(FX_Input,V$5,I$3*$Z$5+$AA$5-1)^0.5)+((2416/(I1412+459.6)-2.013)*LOG10(INDEX(FX_Input,V$5,I$3*$Z$5+$AA$5)))-(8742/(I1412+459.6))+15.64),EXP(INDEX(Antoines,MATCH(I1402,Antoine_Name,0),2)-INDEX(Antoines,MATCH(I1402,Antoine_Name,0),3)/(I1412+459.6))))),0)</f>
        <v>7.4199539958878279E-3</v>
      </c>
      <c r="J1423" cm="1">
        <f t="array" ref="J1423">IFERROR(IF(J1403="Chemical",(10^(INDEX(Antoines,MATCH(J1402,Antoine_Name,0),2)-INDEX(Antoines,MATCH(J1402,Antoine_Name,0),3)/(INDEX(Antoines,MATCH(J1402,Antoine_Name,0),4)+(J1412-32)*5/9)))*14.7/760,IF(J1403="Crude Oil",EXP((2799/(J1412+459.6)-2.227)*LOG10(INDEX(FX_Input,W$5,J$3*$Z$5+$AA$5))-(7261/(J1412+459.6))+12.82),IF(J1403="Refined Petroleum Stock",EXP((0.7553-(413/(J1412+459.6)))*(INDEX(FX_Input,W$5,J$3*$Z$5+$AA$5-1)^0.5)*LOG10(INDEX(FX_Input,W$5,J$3*$Z$5+$AA$5))-(1.854-(1042/(J1412+459.6)))*(INDEX(FX_Input,W$5,J$3*$Z$5+$AA$5-1)^0.5)+((2416/(J1412+459.6)-2.013)*LOG10(INDEX(FX_Input,W$5,J$3*$Z$5+$AA$5)))-(8742/(J1412+459.6))+15.64),EXP(INDEX(Antoines,MATCH(J1402,Antoine_Name,0),2)-INDEX(Antoines,MATCH(J1402,Antoine_Name,0),3)/(J1412+459.6))))),0)</f>
        <v>8.3358107202842254E-3</v>
      </c>
      <c r="K1423" cm="1">
        <f t="array" ref="K1423">IFERROR(IF(K1403="Chemical",(10^(INDEX(Antoines,MATCH(K1402,Antoine_Name,0),2)-INDEX(Antoines,MATCH(K1402,Antoine_Name,0),3)/(INDEX(Antoines,MATCH(K1402,Antoine_Name,0),4)+(K1412-32)*5/9)))*14.7/760,IF(K1403="Crude Oil",EXP((2799/(K1412+459.6)-2.227)*LOG10(INDEX(FX_Input,X$5,K$3*$Z$5+$AA$5))-(7261/(K1412+459.6))+12.82),IF(K1403="Refined Petroleum Stock",EXP((0.7553-(413/(K1412+459.6)))*(INDEX(FX_Input,X$5,K$3*$Z$5+$AA$5-1)^0.5)*LOG10(INDEX(FX_Input,X$5,K$3*$Z$5+$AA$5))-(1.854-(1042/(K1412+459.6)))*(INDEX(FX_Input,X$5,K$3*$Z$5+$AA$5-1)^0.5)+((2416/(K1412+459.6)-2.013)*LOG10(INDEX(FX_Input,X$5,K$3*$Z$5+$AA$5)))-(8742/(K1412+459.6))+15.64),EXP(INDEX(Antoines,MATCH(K1402,Antoine_Name,0),2)-INDEX(Antoines,MATCH(K1402,Antoine_Name,0),3)/(K1412+459.6))))),0)</f>
        <v>8.4605262729351115E-3</v>
      </c>
      <c r="L1423" cm="1">
        <f t="array" ref="L1423">IFERROR(IF(L1403="Chemical",(10^(INDEX(Antoines,MATCH(L1402,Antoine_Name,0),2)-INDEX(Antoines,MATCH(L1402,Antoine_Name,0),3)/(INDEX(Antoines,MATCH(L1402,Antoine_Name,0),4)+(L1412-32)*5/9)))*14.7/760,IF(L1403="Crude Oil",EXP((2799/(L1412+459.6)-2.227)*LOG10(INDEX(FX_Input,Y$5,L$3*$Z$5+$AA$5))-(7261/(L1412+459.6))+12.82),IF(L1403="Refined Petroleum Stock",EXP((0.7553-(413/(L1412+459.6)))*(INDEX(FX_Input,Y$5,L$3*$Z$5+$AA$5-1)^0.5)*LOG10(INDEX(FX_Input,Y$5,L$3*$Z$5+$AA$5))-(1.854-(1042/(L1412+459.6)))*(INDEX(FX_Input,Y$5,L$3*$Z$5+$AA$5-1)^0.5)+((2416/(L1412+459.6)-2.013)*LOG10(INDEX(FX_Input,Y$5,L$3*$Z$5+$AA$5)))-(8742/(L1412+459.6))+15.64),EXP(INDEX(Antoines,MATCH(L1402,Antoine_Name,0),2)-INDEX(Antoines,MATCH(L1402,Antoine_Name,0),3)/(L1412+459.6))))),0)</f>
        <v>7.8399882233967533E-3</v>
      </c>
      <c r="M1423" cm="1">
        <f t="array" ref="M1423">IFERROR(IF(M1403="Chemical",(10^(INDEX(Antoines,MATCH(M1402,Antoine_Name,0),2)-INDEX(Antoines,MATCH(M1402,Antoine_Name,0),3)/(INDEX(Antoines,MATCH(M1402,Antoine_Name,0),4)+(M1412-32)*5/9)))*14.7/760,IF(M1403="Crude Oil",EXP((2799/(M1412+459.6)-2.227)*LOG10(INDEX(FX_Input,Z$5,M$3*$Z$5+$AA$5))-(7261/(M1412+459.6))+12.82),IF(M1403="Refined Petroleum Stock",EXP((0.7553-(413/(M1412+459.6)))*(INDEX(FX_Input,Z$5,M$3*$Z$5+$AA$5-1)^0.5)*LOG10(INDEX(FX_Input,Z$5,M$3*$Z$5+$AA$5))-(1.854-(1042/(M1412+459.6)))*(INDEX(FX_Input,Z$5,M$3*$Z$5+$AA$5-1)^0.5)+((2416/(M1412+459.6)-2.013)*LOG10(INDEX(FX_Input,Z$5,M$3*$Z$5+$AA$5)))-(8742/(M1412+459.6))+15.64),EXP(INDEX(Antoines,MATCH(M1402,Antoine_Name,0),2)-INDEX(Antoines,MATCH(M1402,Antoine_Name,0),3)/(M1412+459.6))))),0)</f>
        <v>6.4173462075160911E-3</v>
      </c>
      <c r="N1423" cm="1">
        <f t="array" ref="N1423">IFERROR(IF(N1403="Chemical",(10^(INDEX(Antoines,MATCH(N1402,Antoine_Name,0),2)-INDEX(Antoines,MATCH(N1402,Antoine_Name,0),3)/(INDEX(Antoines,MATCH(N1402,Antoine_Name,0),4)+(N1412-32)*5/9)))*14.7/760,IF(N1403="Crude Oil",EXP((2799/(N1412+459.6)-2.227)*LOG10(INDEX(FX_Input,AA$5,N$3*$Z$5+$AA$5))-(7261/(N1412+459.6))+12.82),IF(N1403="Refined Petroleum Stock",EXP((0.7553-(413/(N1412+459.6)))*(INDEX(FX_Input,AA$5,N$3*$Z$5+$AA$5-1)^0.5)*LOG10(INDEX(FX_Input,AA$5,N$3*$Z$5+$AA$5))-(1.854-(1042/(N1412+459.6)))*(INDEX(FX_Input,AA$5,N$3*$Z$5+$AA$5-1)^0.5)+((2416/(N1412+459.6)-2.013)*LOG10(INDEX(FX_Input,AA$5,N$3*$Z$5+$AA$5)))-(8742/(N1412+459.6))+15.64),EXP(INDEX(Antoines,MATCH(N1402,Antoine_Name,0),2)-INDEX(Antoines,MATCH(N1402,Antoine_Name,0),3)/(N1412+459.6))))),0)</f>
        <v>5.3015226887581056E-3</v>
      </c>
      <c r="O1423" cm="1">
        <f t="array" ref="O1423">IFERROR(IF(O1403="Chemical",(10^(INDEX(Antoines,MATCH(O1402,Antoine_Name,0),2)-INDEX(Antoines,MATCH(O1402,Antoine_Name,0),3)/(INDEX(Antoines,MATCH(O1402,Antoine_Name,0),4)+(O1412-32)*5/9)))*14.7/760,IF(O1403="Crude Oil",EXP((2799/(O1412+459.6)-2.227)*LOG10(INDEX(FX_Input,AB$5,O$3*$Z$5+$AA$5))-(7261/(O1412+459.6))+12.82),IF(O1403="Refined Petroleum Stock",EXP((0.7553-(413/(O1412+459.6)))*(INDEX(FX_Input,AB$5,O$3*$Z$5+$AA$5-1)^0.5)*LOG10(INDEX(FX_Input,AB$5,O$3*$Z$5+$AA$5))-(1.854-(1042/(O1412+459.6)))*(INDEX(FX_Input,AB$5,O$3*$Z$5+$AA$5-1)^0.5)+((2416/(O1412+459.6)-2.013)*LOG10(INDEX(FX_Input,AB$5,O$3*$Z$5+$AA$5)))-(8742/(O1412+459.6))+15.64),EXP(INDEX(Antoines,MATCH(O1402,Antoine_Name,0),2)-INDEX(Antoines,MATCH(O1402,Antoine_Name,0),3)/(O1412+459.6))))),0)</f>
        <v>4.68970903600947E-3</v>
      </c>
    </row>
    <row r="1424" spans="2:32" ht="17.149999999999999" x14ac:dyDescent="0.55000000000000004">
      <c r="B1424" t="str">
        <f t="shared" si="5140"/>
        <v>Portland</v>
      </c>
      <c r="C1424" t="s">
        <v>1389</v>
      </c>
      <c r="D1424">
        <f>D1423*D1406</f>
        <v>4.739577185808354E-3</v>
      </c>
      <c r="E1424">
        <f t="shared" ref="E1424" si="5207">E1423*E1406</f>
        <v>4.8748667780818778E-3</v>
      </c>
      <c r="F1424">
        <f t="shared" ref="F1424" si="5208">F1423*F1406</f>
        <v>5.119885034186122E-3</v>
      </c>
      <c r="G1424">
        <f t="shared" ref="G1424" si="5209">G1423*G1406</f>
        <v>5.5846958573521795E-3</v>
      </c>
      <c r="H1424">
        <f t="shared" ref="H1424" si="5210">H1423*H1406</f>
        <v>6.5274070972739821E-3</v>
      </c>
      <c r="I1424">
        <f t="shared" ref="I1424" si="5211">I1423*I1406</f>
        <v>7.4199539958878279E-3</v>
      </c>
      <c r="J1424">
        <f t="shared" ref="J1424" si="5212">J1423*J1406</f>
        <v>8.3358107202842254E-3</v>
      </c>
      <c r="K1424">
        <f t="shared" ref="K1424" si="5213">K1423*K1406</f>
        <v>8.4605262729351115E-3</v>
      </c>
      <c r="L1424">
        <f t="shared" ref="L1424" si="5214">L1423*L1406</f>
        <v>7.8399882233967533E-3</v>
      </c>
      <c r="M1424">
        <f t="shared" ref="M1424" si="5215">M1423*M1406</f>
        <v>6.4173462075160911E-3</v>
      </c>
      <c r="N1424">
        <f t="shared" ref="N1424" si="5216">N1423*N1406</f>
        <v>5.3015226887581056E-3</v>
      </c>
      <c r="O1424">
        <f t="shared" ref="O1424" si="5217">O1423*O1406</f>
        <v>4.68970903600947E-3</v>
      </c>
    </row>
    <row r="1425" spans="1:32" ht="17.149999999999999" x14ac:dyDescent="0.55000000000000004">
      <c r="B1425" t="str">
        <f t="shared" si="5140"/>
        <v>Portland</v>
      </c>
      <c r="C1425" t="s">
        <v>1390</v>
      </c>
      <c r="D1425" cm="1">
        <f t="array" ref="D1425">IFERROR(IF(D1405="Chemical",(10^(INDEX(Antoines,MATCH(D1404,Antoine_Name,0),2)-INDEX(Antoines,MATCH(D1404,Antoine_Name,0),3)/(INDEX(Antoines,MATCH(D1404,Antoine_Name,0),4)+(D1412-32)*5/9)))*14.7/760,IF(D1405="Crude Oil",EXP((2799/(D1412+459.6)-2.227)*LOG10(INDEX(FX_Input,Q$5,D$3*$Z$5+$AA$5))-(7261/(D1412+459.6))+12.82),IF(D1405="Refined Petroleum Stock",EXP((0.7553-(413/(D1412+459.6)))*(INDEX(FX_Input,Q$5,D$3*$Z$5+$AA$5-1)^0.5)*LOG10(INDEX(FX_Input,Q$5,D$3*$Z$5+$AA$5))-(1.854-(1042/(D1412+459.6)))*(INDEX(FX_Input,Q$5,D$3*$Z$5+$AA$5-1)^0.5)+((2416/(D1412+459.6)-2.013)*LOG10(INDEX(FX_Input,Q$5,D$3*$Z$5+$AA$5)))-(8742/(D1412+459.6))+15.64),EXP(INDEX(Antoines,MATCH(D1404,Antoine_Name,0),2)-INDEX(Antoines,MATCH(D1404,Antoine_Name,0),3)/(D1412+459.6))))),0)</f>
        <v>0</v>
      </c>
      <c r="E1425" cm="1">
        <f t="array" ref="E1425">IFERROR(IF(E1405="Chemical",(10^(INDEX(Antoines,MATCH(E1404,Antoine_Name,0),2)-INDEX(Antoines,MATCH(E1404,Antoine_Name,0),3)/(INDEX(Antoines,MATCH(E1404,Antoine_Name,0),4)+(E1412-32)*5/9)))*14.7/760,IF(E1405="Crude Oil",EXP((2799/(E1412+459.6)-2.227)*LOG10(INDEX(FX_Input,R$5,E$3*$Z$5+$AA$5))-(7261/(E1412+459.6))+12.82),IF(E1405="Refined Petroleum Stock",EXP((0.7553-(413/(E1412+459.6)))*(INDEX(FX_Input,R$5,E$3*$Z$5+$AA$5-1)^0.5)*LOG10(INDEX(FX_Input,R$5,E$3*$Z$5+$AA$5))-(1.854-(1042/(E1412+459.6)))*(INDEX(FX_Input,R$5,E$3*$Z$5+$AA$5-1)^0.5)+((2416/(E1412+459.6)-2.013)*LOG10(INDEX(FX_Input,R$5,E$3*$Z$5+$AA$5)))-(8742/(E1412+459.6))+15.64),EXP(INDEX(Antoines,MATCH(E1404,Antoine_Name,0),2)-INDEX(Antoines,MATCH(E1404,Antoine_Name,0),3)/(E1412+459.6))))),0)</f>
        <v>0</v>
      </c>
      <c r="F1425" cm="1">
        <f t="array" ref="F1425">IFERROR(IF(F1405="Chemical",(10^(INDEX(Antoines,MATCH(F1404,Antoine_Name,0),2)-INDEX(Antoines,MATCH(F1404,Antoine_Name,0),3)/(INDEX(Antoines,MATCH(F1404,Antoine_Name,0),4)+(F1412-32)*5/9)))*14.7/760,IF(F1405="Crude Oil",EXP((2799/(F1412+459.6)-2.227)*LOG10(INDEX(FX_Input,S$5,F$3*$Z$5+$AA$5))-(7261/(F1412+459.6))+12.82),IF(F1405="Refined Petroleum Stock",EXP((0.7553-(413/(F1412+459.6)))*(INDEX(FX_Input,S$5,F$3*$Z$5+$AA$5-1)^0.5)*LOG10(INDEX(FX_Input,S$5,F$3*$Z$5+$AA$5))-(1.854-(1042/(F1412+459.6)))*(INDEX(FX_Input,S$5,F$3*$Z$5+$AA$5-1)^0.5)+((2416/(F1412+459.6)-2.013)*LOG10(INDEX(FX_Input,S$5,F$3*$Z$5+$AA$5)))-(8742/(F1412+459.6))+15.64),EXP(INDEX(Antoines,MATCH(F1404,Antoine_Name,0),2)-INDEX(Antoines,MATCH(F1404,Antoine_Name,0),3)/(F1412+459.6))))),0)</f>
        <v>0</v>
      </c>
      <c r="G1425" cm="1">
        <f t="array" ref="G1425">IFERROR(IF(G1405="Chemical",(10^(INDEX(Antoines,MATCH(G1404,Antoine_Name,0),2)-INDEX(Antoines,MATCH(G1404,Antoine_Name,0),3)/(INDEX(Antoines,MATCH(G1404,Antoine_Name,0),4)+(G1412-32)*5/9)))*14.7/760,IF(G1405="Crude Oil",EXP((2799/(G1412+459.6)-2.227)*LOG10(INDEX(FX_Input,T$5,G$3*$Z$5+$AA$5))-(7261/(G1412+459.6))+12.82),IF(G1405="Refined Petroleum Stock",EXP((0.7553-(413/(G1412+459.6)))*(INDEX(FX_Input,T$5,G$3*$Z$5+$AA$5-1)^0.5)*LOG10(INDEX(FX_Input,T$5,G$3*$Z$5+$AA$5))-(1.854-(1042/(G1412+459.6)))*(INDEX(FX_Input,T$5,G$3*$Z$5+$AA$5-1)^0.5)+((2416/(G1412+459.6)-2.013)*LOG10(INDEX(FX_Input,T$5,G$3*$Z$5+$AA$5)))-(8742/(G1412+459.6))+15.64),EXP(INDEX(Antoines,MATCH(G1404,Antoine_Name,0),2)-INDEX(Antoines,MATCH(G1404,Antoine_Name,0),3)/(G1412+459.6))))),0)</f>
        <v>0</v>
      </c>
      <c r="H1425" cm="1">
        <f t="array" ref="H1425">IFERROR(IF(H1405="Chemical",(10^(INDEX(Antoines,MATCH(H1404,Antoine_Name,0),2)-INDEX(Antoines,MATCH(H1404,Antoine_Name,0),3)/(INDEX(Antoines,MATCH(H1404,Antoine_Name,0),4)+(H1412-32)*5/9)))*14.7/760,IF(H1405="Crude Oil",EXP((2799/(H1412+459.6)-2.227)*LOG10(INDEX(FX_Input,U$5,H$3*$Z$5+$AA$5))-(7261/(H1412+459.6))+12.82),IF(H1405="Refined Petroleum Stock",EXP((0.7553-(413/(H1412+459.6)))*(INDEX(FX_Input,U$5,H$3*$Z$5+$AA$5-1)^0.5)*LOG10(INDEX(FX_Input,U$5,H$3*$Z$5+$AA$5))-(1.854-(1042/(H1412+459.6)))*(INDEX(FX_Input,U$5,H$3*$Z$5+$AA$5-1)^0.5)+((2416/(H1412+459.6)-2.013)*LOG10(INDEX(FX_Input,U$5,H$3*$Z$5+$AA$5)))-(8742/(H1412+459.6))+15.64),EXP(INDEX(Antoines,MATCH(H1404,Antoine_Name,0),2)-INDEX(Antoines,MATCH(H1404,Antoine_Name,0),3)/(H1412+459.6))))),0)</f>
        <v>0</v>
      </c>
      <c r="I1425" cm="1">
        <f t="array" ref="I1425">IFERROR(IF(I1405="Chemical",(10^(INDEX(Antoines,MATCH(I1404,Antoine_Name,0),2)-INDEX(Antoines,MATCH(I1404,Antoine_Name,0),3)/(INDEX(Antoines,MATCH(I1404,Antoine_Name,0),4)+(I1412-32)*5/9)))*14.7/760,IF(I1405="Crude Oil",EXP((2799/(I1412+459.6)-2.227)*LOG10(INDEX(FX_Input,V$5,I$3*$Z$5+$AA$5))-(7261/(I1412+459.6))+12.82),IF(I1405="Refined Petroleum Stock",EXP((0.7553-(413/(I1412+459.6)))*(INDEX(FX_Input,V$5,I$3*$Z$5+$AA$5-1)^0.5)*LOG10(INDEX(FX_Input,V$5,I$3*$Z$5+$AA$5))-(1.854-(1042/(I1412+459.6)))*(INDEX(FX_Input,V$5,I$3*$Z$5+$AA$5-1)^0.5)+((2416/(I1412+459.6)-2.013)*LOG10(INDEX(FX_Input,V$5,I$3*$Z$5+$AA$5)))-(8742/(I1412+459.6))+15.64),EXP(INDEX(Antoines,MATCH(I1404,Antoine_Name,0),2)-INDEX(Antoines,MATCH(I1404,Antoine_Name,0),3)/(I1412+459.6))))),0)</f>
        <v>0</v>
      </c>
      <c r="J1425" cm="1">
        <f t="array" ref="J1425">IFERROR(IF(J1405="Chemical",(10^(INDEX(Antoines,MATCH(J1404,Antoine_Name,0),2)-INDEX(Antoines,MATCH(J1404,Antoine_Name,0),3)/(INDEX(Antoines,MATCH(J1404,Antoine_Name,0),4)+(J1412-32)*5/9)))*14.7/760,IF(J1405="Crude Oil",EXP((2799/(J1412+459.6)-2.227)*LOG10(INDEX(FX_Input,W$5,J$3*$Z$5+$AA$5))-(7261/(J1412+459.6))+12.82),IF(J1405="Refined Petroleum Stock",EXP((0.7553-(413/(J1412+459.6)))*(INDEX(FX_Input,W$5,J$3*$Z$5+$AA$5-1)^0.5)*LOG10(INDEX(FX_Input,W$5,J$3*$Z$5+$AA$5))-(1.854-(1042/(J1412+459.6)))*(INDEX(FX_Input,W$5,J$3*$Z$5+$AA$5-1)^0.5)+((2416/(J1412+459.6)-2.013)*LOG10(INDEX(FX_Input,W$5,J$3*$Z$5+$AA$5)))-(8742/(J1412+459.6))+15.64),EXP(INDEX(Antoines,MATCH(J1404,Antoine_Name,0),2)-INDEX(Antoines,MATCH(J1404,Antoine_Name,0),3)/(J1412+459.6))))),0)</f>
        <v>0</v>
      </c>
      <c r="K1425" cm="1">
        <f t="array" ref="K1425">IFERROR(IF(K1405="Chemical",(10^(INDEX(Antoines,MATCH(K1404,Antoine_Name,0),2)-INDEX(Antoines,MATCH(K1404,Antoine_Name,0),3)/(INDEX(Antoines,MATCH(K1404,Antoine_Name,0),4)+(K1412-32)*5/9)))*14.7/760,IF(K1405="Crude Oil",EXP((2799/(K1412+459.6)-2.227)*LOG10(INDEX(FX_Input,X$5,K$3*$Z$5+$AA$5))-(7261/(K1412+459.6))+12.82),IF(K1405="Refined Petroleum Stock",EXP((0.7553-(413/(K1412+459.6)))*(INDEX(FX_Input,X$5,K$3*$Z$5+$AA$5-1)^0.5)*LOG10(INDEX(FX_Input,X$5,K$3*$Z$5+$AA$5))-(1.854-(1042/(K1412+459.6)))*(INDEX(FX_Input,X$5,K$3*$Z$5+$AA$5-1)^0.5)+((2416/(K1412+459.6)-2.013)*LOG10(INDEX(FX_Input,X$5,K$3*$Z$5+$AA$5)))-(8742/(K1412+459.6))+15.64),EXP(INDEX(Antoines,MATCH(K1404,Antoine_Name,0),2)-INDEX(Antoines,MATCH(K1404,Antoine_Name,0),3)/(K1412+459.6))))),0)</f>
        <v>0</v>
      </c>
      <c r="L1425" cm="1">
        <f t="array" ref="L1425">IFERROR(IF(L1405="Chemical",(10^(INDEX(Antoines,MATCH(L1404,Antoine_Name,0),2)-INDEX(Antoines,MATCH(L1404,Antoine_Name,0),3)/(INDEX(Antoines,MATCH(L1404,Antoine_Name,0),4)+(L1412-32)*5/9)))*14.7/760,IF(L1405="Crude Oil",EXP((2799/(L1412+459.6)-2.227)*LOG10(INDEX(FX_Input,Y$5,L$3*$Z$5+$AA$5))-(7261/(L1412+459.6))+12.82),IF(L1405="Refined Petroleum Stock",EXP((0.7553-(413/(L1412+459.6)))*(INDEX(FX_Input,Y$5,L$3*$Z$5+$AA$5-1)^0.5)*LOG10(INDEX(FX_Input,Y$5,L$3*$Z$5+$AA$5))-(1.854-(1042/(L1412+459.6)))*(INDEX(FX_Input,Y$5,L$3*$Z$5+$AA$5-1)^0.5)+((2416/(L1412+459.6)-2.013)*LOG10(INDEX(FX_Input,Y$5,L$3*$Z$5+$AA$5)))-(8742/(L1412+459.6))+15.64),EXP(INDEX(Antoines,MATCH(L1404,Antoine_Name,0),2)-INDEX(Antoines,MATCH(L1404,Antoine_Name,0),3)/(L1412+459.6))))),0)</f>
        <v>0</v>
      </c>
      <c r="M1425" cm="1">
        <f t="array" ref="M1425">IFERROR(IF(M1405="Chemical",(10^(INDEX(Antoines,MATCH(M1404,Antoine_Name,0),2)-INDEX(Antoines,MATCH(M1404,Antoine_Name,0),3)/(INDEX(Antoines,MATCH(M1404,Antoine_Name,0),4)+(M1412-32)*5/9)))*14.7/760,IF(M1405="Crude Oil",EXP((2799/(M1412+459.6)-2.227)*LOG10(INDEX(FX_Input,Z$5,M$3*$Z$5+$AA$5))-(7261/(M1412+459.6))+12.82),IF(M1405="Refined Petroleum Stock",EXP((0.7553-(413/(M1412+459.6)))*(INDEX(FX_Input,Z$5,M$3*$Z$5+$AA$5-1)^0.5)*LOG10(INDEX(FX_Input,Z$5,M$3*$Z$5+$AA$5))-(1.854-(1042/(M1412+459.6)))*(INDEX(FX_Input,Z$5,M$3*$Z$5+$AA$5-1)^0.5)+((2416/(M1412+459.6)-2.013)*LOG10(INDEX(FX_Input,Z$5,M$3*$Z$5+$AA$5)))-(8742/(M1412+459.6))+15.64),EXP(INDEX(Antoines,MATCH(M1404,Antoine_Name,0),2)-INDEX(Antoines,MATCH(M1404,Antoine_Name,0),3)/(M1412+459.6))))),0)</f>
        <v>0</v>
      </c>
      <c r="N1425" cm="1">
        <f t="array" ref="N1425">IFERROR(IF(N1405="Chemical",(10^(INDEX(Antoines,MATCH(N1404,Antoine_Name,0),2)-INDEX(Antoines,MATCH(N1404,Antoine_Name,0),3)/(INDEX(Antoines,MATCH(N1404,Antoine_Name,0),4)+(N1412-32)*5/9)))*14.7/760,IF(N1405="Crude Oil",EXP((2799/(N1412+459.6)-2.227)*LOG10(INDEX(FX_Input,AA$5,N$3*$Z$5+$AA$5))-(7261/(N1412+459.6))+12.82),IF(N1405="Refined Petroleum Stock",EXP((0.7553-(413/(N1412+459.6)))*(INDEX(FX_Input,AA$5,N$3*$Z$5+$AA$5-1)^0.5)*LOG10(INDEX(FX_Input,AA$5,N$3*$Z$5+$AA$5))-(1.854-(1042/(N1412+459.6)))*(INDEX(FX_Input,AA$5,N$3*$Z$5+$AA$5-1)^0.5)+((2416/(N1412+459.6)-2.013)*LOG10(INDEX(FX_Input,AA$5,N$3*$Z$5+$AA$5)))-(8742/(N1412+459.6))+15.64),EXP(INDEX(Antoines,MATCH(N1404,Antoine_Name,0),2)-INDEX(Antoines,MATCH(N1404,Antoine_Name,0),3)/(N1412+459.6))))),0)</f>
        <v>0</v>
      </c>
      <c r="O1425" cm="1">
        <f t="array" ref="O1425">IFERROR(IF(O1405="Chemical",(10^(INDEX(Antoines,MATCH(O1404,Antoine_Name,0),2)-INDEX(Antoines,MATCH(O1404,Antoine_Name,0),3)/(INDEX(Antoines,MATCH(O1404,Antoine_Name,0),4)+(O1412-32)*5/9)))*14.7/760,IF(O1405="Crude Oil",EXP((2799/(O1412+459.6)-2.227)*LOG10(INDEX(FX_Input,AB$5,O$3*$Z$5+$AA$5))-(7261/(O1412+459.6))+12.82),IF(O1405="Refined Petroleum Stock",EXP((0.7553-(413/(O1412+459.6)))*(INDEX(FX_Input,AB$5,O$3*$Z$5+$AA$5-1)^0.5)*LOG10(INDEX(FX_Input,AB$5,O$3*$Z$5+$AA$5))-(1.854-(1042/(O1412+459.6)))*(INDEX(FX_Input,AB$5,O$3*$Z$5+$AA$5-1)^0.5)+((2416/(O1412+459.6)-2.013)*LOG10(INDEX(FX_Input,AB$5,O$3*$Z$5+$AA$5)))-(8742/(O1412+459.6))+15.64),EXP(INDEX(Antoines,MATCH(O1404,Antoine_Name,0),2)-INDEX(Antoines,MATCH(O1404,Antoine_Name,0),3)/(O1412+459.6))))),0)</f>
        <v>0</v>
      </c>
    </row>
    <row r="1426" spans="1:32" ht="17.149999999999999" x14ac:dyDescent="0.55000000000000004">
      <c r="B1426" t="str">
        <f t="shared" si="5140"/>
        <v>Portland</v>
      </c>
      <c r="C1426" t="s">
        <v>1391</v>
      </c>
      <c r="D1426">
        <f>D1425*D1408</f>
        <v>0</v>
      </c>
      <c r="E1426">
        <f t="shared" ref="E1426" si="5218">E1425*E1408</f>
        <v>0</v>
      </c>
      <c r="F1426">
        <f t="shared" ref="F1426" si="5219">F1425*F1408</f>
        <v>0</v>
      </c>
      <c r="G1426">
        <f t="shared" ref="G1426" si="5220">G1425*G1408</f>
        <v>0</v>
      </c>
      <c r="H1426">
        <f t="shared" ref="H1426" si="5221">H1425*H1408</f>
        <v>0</v>
      </c>
      <c r="I1426">
        <f t="shared" ref="I1426" si="5222">I1425*I1408</f>
        <v>0</v>
      </c>
      <c r="J1426">
        <f t="shared" ref="J1426" si="5223">J1425*J1408</f>
        <v>0</v>
      </c>
      <c r="K1426">
        <f t="shared" ref="K1426" si="5224">K1425*K1408</f>
        <v>0</v>
      </c>
      <c r="L1426">
        <f t="shared" ref="L1426" si="5225">L1425*L1408</f>
        <v>0</v>
      </c>
      <c r="M1426">
        <f t="shared" ref="M1426" si="5226">M1425*M1408</f>
        <v>0</v>
      </c>
      <c r="N1426">
        <f t="shared" ref="N1426" si="5227">N1425*N1408</f>
        <v>0</v>
      </c>
      <c r="O1426">
        <f t="shared" ref="O1426" si="5228">O1425*O1408</f>
        <v>0</v>
      </c>
    </row>
    <row r="1427" spans="1:32" ht="17.149999999999999" x14ac:dyDescent="0.55000000000000004">
      <c r="B1427" t="str">
        <f t="shared" si="5140"/>
        <v>Portland</v>
      </c>
      <c r="C1427" t="s">
        <v>1392</v>
      </c>
      <c r="D1427">
        <f>D1424+D1426</f>
        <v>4.739577185808354E-3</v>
      </c>
      <c r="E1427">
        <f t="shared" ref="E1427" si="5229">E1424+E1426</f>
        <v>4.8748667780818778E-3</v>
      </c>
      <c r="F1427">
        <f t="shared" ref="F1427" si="5230">F1424+F1426</f>
        <v>5.119885034186122E-3</v>
      </c>
      <c r="G1427">
        <f t="shared" ref="G1427" si="5231">G1424+G1426</f>
        <v>5.5846958573521795E-3</v>
      </c>
      <c r="H1427">
        <f t="shared" ref="H1427" si="5232">H1424+H1426</f>
        <v>6.5274070972739821E-3</v>
      </c>
      <c r="I1427">
        <f t="shared" ref="I1427" si="5233">I1424+I1426</f>
        <v>7.4199539958878279E-3</v>
      </c>
      <c r="J1427">
        <f t="shared" ref="J1427" si="5234">J1424+J1426</f>
        <v>8.3358107202842254E-3</v>
      </c>
      <c r="K1427">
        <f t="shared" ref="K1427" si="5235">K1424+K1426</f>
        <v>8.4605262729351115E-3</v>
      </c>
      <c r="L1427">
        <f t="shared" ref="L1427" si="5236">L1424+L1426</f>
        <v>7.8399882233967533E-3</v>
      </c>
      <c r="M1427">
        <f t="shared" ref="M1427" si="5237">M1424+M1426</f>
        <v>6.4173462075160911E-3</v>
      </c>
      <c r="N1427">
        <f t="shared" ref="N1427" si="5238">N1424+N1426</f>
        <v>5.3015226887581056E-3</v>
      </c>
      <c r="O1427">
        <f t="shared" ref="O1427" si="5239">O1424+O1426</f>
        <v>4.68970903600947E-3</v>
      </c>
    </row>
    <row r="1428" spans="1:32" ht="17.149999999999999" x14ac:dyDescent="0.55000000000000004">
      <c r="B1428" t="str">
        <f>B1422</f>
        <v>Portland</v>
      </c>
      <c r="C1428" t="s">
        <v>584</v>
      </c>
      <c r="D1428">
        <f>D1424/D1427</f>
        <v>1</v>
      </c>
      <c r="E1428">
        <f t="shared" ref="E1428" si="5240">E1424/E1427</f>
        <v>1</v>
      </c>
      <c r="F1428">
        <f t="shared" ref="F1428" si="5241">F1424/F1427</f>
        <v>1</v>
      </c>
      <c r="G1428">
        <f t="shared" ref="G1428" si="5242">G1424/G1427</f>
        <v>1</v>
      </c>
      <c r="H1428">
        <f t="shared" ref="H1428" si="5243">H1424/H1427</f>
        <v>1</v>
      </c>
      <c r="I1428">
        <f t="shared" ref="I1428" si="5244">I1424/I1427</f>
        <v>1</v>
      </c>
      <c r="J1428">
        <f t="shared" ref="J1428" si="5245">J1424/J1427</f>
        <v>1</v>
      </c>
      <c r="K1428">
        <f t="shared" ref="K1428" si="5246">K1424/K1427</f>
        <v>1</v>
      </c>
      <c r="L1428">
        <f t="shared" ref="L1428" si="5247">L1424/L1427</f>
        <v>1</v>
      </c>
      <c r="M1428">
        <f t="shared" ref="M1428" si="5248">M1424/M1427</f>
        <v>1</v>
      </c>
      <c r="N1428">
        <f t="shared" ref="N1428" si="5249">N1424/N1427</f>
        <v>1</v>
      </c>
      <c r="O1428">
        <f t="shared" ref="O1428" si="5250">O1424/O1427</f>
        <v>1</v>
      </c>
    </row>
    <row r="1429" spans="1:32" ht="17.149999999999999" x14ac:dyDescent="0.55000000000000004">
      <c r="B1429" t="str">
        <f>B1423</f>
        <v>Portland</v>
      </c>
      <c r="C1429" t="s">
        <v>585</v>
      </c>
      <c r="D1429">
        <f t="shared" ref="D1429:O1429" si="5251">INDEX(Phys_Prop,MATCH(D1402,Chem_List,0),3)</f>
        <v>130</v>
      </c>
      <c r="E1429">
        <f t="shared" si="5251"/>
        <v>130</v>
      </c>
      <c r="F1429">
        <f t="shared" si="5251"/>
        <v>130</v>
      </c>
      <c r="G1429">
        <f t="shared" si="5251"/>
        <v>130</v>
      </c>
      <c r="H1429">
        <f t="shared" si="5251"/>
        <v>130</v>
      </c>
      <c r="I1429">
        <f t="shared" si="5251"/>
        <v>130</v>
      </c>
      <c r="J1429">
        <f t="shared" si="5251"/>
        <v>130</v>
      </c>
      <c r="K1429">
        <f t="shared" si="5251"/>
        <v>130</v>
      </c>
      <c r="L1429">
        <f t="shared" si="5251"/>
        <v>130</v>
      </c>
      <c r="M1429">
        <f t="shared" si="5251"/>
        <v>130</v>
      </c>
      <c r="N1429">
        <f t="shared" si="5251"/>
        <v>130</v>
      </c>
      <c r="O1429">
        <f t="shared" si="5251"/>
        <v>130</v>
      </c>
    </row>
    <row r="1430" spans="1:32" ht="17.149999999999999" x14ac:dyDescent="0.55000000000000004">
      <c r="B1430" t="str">
        <f>B1429</f>
        <v>Portland</v>
      </c>
      <c r="C1430" t="s">
        <v>586</v>
      </c>
      <c r="D1430">
        <f>D1426/D1427</f>
        <v>0</v>
      </c>
      <c r="E1430">
        <f t="shared" ref="E1430:O1430" si="5252">E1426/E1427</f>
        <v>0</v>
      </c>
      <c r="F1430">
        <f t="shared" si="5252"/>
        <v>0</v>
      </c>
      <c r="G1430">
        <f t="shared" si="5252"/>
        <v>0</v>
      </c>
      <c r="H1430">
        <f t="shared" si="5252"/>
        <v>0</v>
      </c>
      <c r="I1430">
        <f t="shared" si="5252"/>
        <v>0</v>
      </c>
      <c r="J1430">
        <f t="shared" si="5252"/>
        <v>0</v>
      </c>
      <c r="K1430">
        <f t="shared" si="5252"/>
        <v>0</v>
      </c>
      <c r="L1430">
        <f t="shared" si="5252"/>
        <v>0</v>
      </c>
      <c r="M1430">
        <f t="shared" si="5252"/>
        <v>0</v>
      </c>
      <c r="N1430">
        <f t="shared" si="5252"/>
        <v>0</v>
      </c>
      <c r="O1430">
        <f t="shared" si="5252"/>
        <v>0</v>
      </c>
    </row>
    <row r="1431" spans="1:32" ht="17.149999999999999" x14ac:dyDescent="0.55000000000000004">
      <c r="B1431" t="str">
        <f t="shared" si="5140"/>
        <v>Portland</v>
      </c>
      <c r="C1431" t="s">
        <v>587</v>
      </c>
      <c r="D1431">
        <f t="shared" ref="D1431:O1431" si="5253">IFERROR(INDEX(Phys_Prop,MATCH(D1404,Chem_List,0),3),0)</f>
        <v>0</v>
      </c>
      <c r="E1431">
        <f t="shared" si="5253"/>
        <v>0</v>
      </c>
      <c r="F1431">
        <f t="shared" si="5253"/>
        <v>0</v>
      </c>
      <c r="G1431">
        <f t="shared" si="5253"/>
        <v>0</v>
      </c>
      <c r="H1431">
        <f t="shared" si="5253"/>
        <v>0</v>
      </c>
      <c r="I1431">
        <f t="shared" si="5253"/>
        <v>0</v>
      </c>
      <c r="J1431">
        <f t="shared" si="5253"/>
        <v>0</v>
      </c>
      <c r="K1431">
        <f t="shared" si="5253"/>
        <v>0</v>
      </c>
      <c r="L1431">
        <f t="shared" si="5253"/>
        <v>0</v>
      </c>
      <c r="M1431">
        <f t="shared" si="5253"/>
        <v>0</v>
      </c>
      <c r="N1431">
        <f t="shared" si="5253"/>
        <v>0</v>
      </c>
      <c r="O1431">
        <f t="shared" si="5253"/>
        <v>0</v>
      </c>
    </row>
    <row r="1432" spans="1:32" ht="17.149999999999999" x14ac:dyDescent="0.55000000000000004">
      <c r="A1432" s="11"/>
      <c r="B1432" s="11" t="str">
        <f t="shared" si="5140"/>
        <v>Portland</v>
      </c>
      <c r="C1432" s="11" t="s">
        <v>588</v>
      </c>
      <c r="D1432" s="11">
        <f>IFERROR(D1428*D1429+D1430*D1431,0)</f>
        <v>130</v>
      </c>
      <c r="E1432" s="11">
        <f t="shared" ref="E1432" si="5254">IFERROR(E1428*E1429+E1430*E1431,0)</f>
        <v>130</v>
      </c>
      <c r="F1432" s="11">
        <f t="shared" ref="F1432" si="5255">IFERROR(F1428*F1429+F1430*F1431,0)</f>
        <v>130</v>
      </c>
      <c r="G1432" s="11">
        <f t="shared" ref="G1432" si="5256">IFERROR(G1428*G1429+G1430*G1431,0)</f>
        <v>130</v>
      </c>
      <c r="H1432" s="11">
        <f t="shared" ref="H1432" si="5257">IFERROR(H1428*H1429+H1430*H1431,0)</f>
        <v>130</v>
      </c>
      <c r="I1432" s="11">
        <f t="shared" ref="I1432" si="5258">IFERROR(I1428*I1429+I1430*I1431,0)</f>
        <v>130</v>
      </c>
      <c r="J1432" s="11">
        <f t="shared" ref="J1432" si="5259">IFERROR(J1428*J1429+J1430*J1431,0)</f>
        <v>130</v>
      </c>
      <c r="K1432" s="11">
        <f t="shared" ref="K1432" si="5260">IFERROR(K1428*K1429+K1430*K1431,0)</f>
        <v>130</v>
      </c>
      <c r="L1432" s="11">
        <f t="shared" ref="L1432" si="5261">IFERROR(L1428*L1429+L1430*L1431,0)</f>
        <v>130</v>
      </c>
      <c r="M1432" s="11">
        <f t="shared" ref="M1432" si="5262">IFERROR(M1428*M1429+M1430*M1431,0)</f>
        <v>130</v>
      </c>
      <c r="N1432" s="11">
        <f t="shared" ref="N1432" si="5263">IFERROR(N1428*N1429+N1430*N1431,0)</f>
        <v>130</v>
      </c>
      <c r="O1432" s="11">
        <f t="shared" ref="O1432" si="5264">IFERROR(O1428*O1429+O1430*O1431,0)</f>
        <v>130</v>
      </c>
      <c r="P1432" s="11"/>
      <c r="Q1432" s="11"/>
      <c r="R1432" s="11"/>
      <c r="S1432" s="11"/>
      <c r="T1432" s="11"/>
      <c r="U1432" s="11"/>
      <c r="V1432" s="11"/>
      <c r="W1432" s="11"/>
      <c r="X1432" s="11"/>
      <c r="Y1432" s="11"/>
      <c r="Z1432" s="11"/>
      <c r="AA1432" s="11"/>
      <c r="AB1432" s="11"/>
      <c r="AC1432" s="11"/>
      <c r="AD1432" s="11"/>
      <c r="AE1432" s="11"/>
      <c r="AF1432" s="11"/>
    </row>
    <row r="1433" spans="1:32" ht="17.149999999999999" x14ac:dyDescent="0.55000000000000004">
      <c r="A1433" t="str" cm="1">
        <f t="array" ref="A1433">INDEX(FX_Input,$Q1433,R$5)</f>
        <v>FX - 43</v>
      </c>
      <c r="B1433" t="str" cm="1">
        <f t="array" ref="B1433">INDEX(FX_Input,Q1433,S1433)</f>
        <v>Portland</v>
      </c>
      <c r="C1433" t="s">
        <v>563</v>
      </c>
      <c r="D1433">
        <v>14.7</v>
      </c>
      <c r="E1433">
        <v>14.7</v>
      </c>
      <c r="F1433">
        <v>14.7</v>
      </c>
      <c r="G1433">
        <v>14.7</v>
      </c>
      <c r="H1433">
        <v>14.7</v>
      </c>
      <c r="I1433">
        <v>14.7</v>
      </c>
      <c r="J1433">
        <v>14.7</v>
      </c>
      <c r="K1433">
        <v>14.7</v>
      </c>
      <c r="L1433">
        <v>14.7</v>
      </c>
      <c r="M1433">
        <v>14.7</v>
      </c>
      <c r="N1433">
        <v>14.7</v>
      </c>
      <c r="O1433">
        <v>14.7</v>
      </c>
      <c r="Q1433">
        <f>Q1399+2</f>
        <v>85</v>
      </c>
      <c r="R1433">
        <v>1</v>
      </c>
      <c r="S1433">
        <v>3</v>
      </c>
      <c r="T1433">
        <v>1</v>
      </c>
      <c r="U1433">
        <v>19</v>
      </c>
      <c r="V1433">
        <v>20</v>
      </c>
      <c r="W1433">
        <v>25</v>
      </c>
      <c r="X1433">
        <v>1</v>
      </c>
      <c r="Y1433">
        <v>2</v>
      </c>
      <c r="Z1433">
        <f>(W1433-V1433)/(Y1433-X1433)</f>
        <v>5</v>
      </c>
      <c r="AA1433">
        <f>V1433-Z1433*X1433</f>
        <v>15</v>
      </c>
      <c r="AD1433">
        <f>AD1399+14</f>
        <v>589</v>
      </c>
      <c r="AF1433">
        <f>AF1399+14</f>
        <v>589</v>
      </c>
    </row>
    <row r="1434" spans="1:32" ht="17.149999999999999" x14ac:dyDescent="0.55000000000000004">
      <c r="B1434" t="str">
        <f t="shared" ref="B1434" si="5265">B1433</f>
        <v>Portland</v>
      </c>
      <c r="C1434" t="s">
        <v>564</v>
      </c>
      <c r="D1434" cm="1">
        <f t="array" ref="D1434">IF(ISBLANK(INDEX(FX_Input,$Q1433,$AB1434)),0.03,INDEX(FX_Input,Q1433,AB1434))</f>
        <v>0.03</v>
      </c>
      <c r="E1434" cm="1">
        <f t="array" ref="E1434">IF(ISBLANK(INDEX(FX_Input,$Q1433,$AB1434)),0.03,INDEX(FX_Input,R1433,#REF!))</f>
        <v>0.03</v>
      </c>
      <c r="F1434" cm="1">
        <f t="array" ref="F1434">IF(ISBLANK(INDEX(FX_Input,$Q1433,$AB1434)),0.03,INDEX(FX_Input,S1433,#REF!))</f>
        <v>0.03</v>
      </c>
      <c r="G1434" cm="1">
        <f t="array" ref="G1434">IF(ISBLANK(INDEX(FX_Input,$Q1433,$AB1434)),0.03,INDEX(FX_Input,AB1433,#REF!))</f>
        <v>0.03</v>
      </c>
      <c r="H1434" cm="1">
        <f t="array" ref="H1434">IF(ISBLANK(INDEX(FX_Input,$Q1433,$AB1434)),0.03,INDEX(FX_Input,#REF!,#REF!))</f>
        <v>0.03</v>
      </c>
      <c r="I1434" cm="1">
        <f t="array" ref="I1434">IF(ISBLANK(INDEX(FX_Input,$Q1433,$AB1434)),0.03,INDEX(FX_Input,#REF!,#REF!))</f>
        <v>0.03</v>
      </c>
      <c r="J1434" cm="1">
        <f t="array" ref="J1434">IF(ISBLANK(INDEX(FX_Input,$Q1433,$AB1434)),0.03,INDEX(FX_Input,#REF!,#REF!))</f>
        <v>0.03</v>
      </c>
      <c r="K1434" cm="1">
        <f t="array" ref="K1434">IF(ISBLANK(INDEX(FX_Input,$Q1433,$AB1434)),0.03,INDEX(FX_Input,#REF!,AC1434))</f>
        <v>0.03</v>
      </c>
      <c r="L1434" cm="1">
        <f t="array" ref="L1434">IF(ISBLANK(INDEX(FX_Input,$Q1433,$AB1434)),0.03,INDEX(FX_Input,#REF!,AD1434))</f>
        <v>0.03</v>
      </c>
      <c r="M1434" cm="1">
        <f t="array" ref="M1434">IF(ISBLANK(INDEX(FX_Input,$Q1433,$AB1434)),0.03,INDEX(FX_Input,#REF!,#REF!))</f>
        <v>0.03</v>
      </c>
      <c r="N1434" cm="1">
        <f t="array" ref="N1434">IF(ISBLANK(INDEX(FX_Input,$Q1433,$AB1434)),0.03,INDEX(FX_Input,AC1433,#REF!))</f>
        <v>0.03</v>
      </c>
      <c r="O1434" cm="1">
        <f t="array" ref="O1434">IF(ISBLANK(INDEX(FX_Input,$Q1433,$AB1434)),0.03,INDEX(FX_Input,AD1433,#REF!))</f>
        <v>0.03</v>
      </c>
      <c r="AB1434">
        <v>15</v>
      </c>
    </row>
    <row r="1435" spans="1:32" ht="17.149999999999999" x14ac:dyDescent="0.55000000000000004">
      <c r="B1435" t="str">
        <f>B1434</f>
        <v>Portland</v>
      </c>
      <c r="C1435" t="s">
        <v>565</v>
      </c>
      <c r="D1435" cm="1">
        <f t="array" ref="D1435">IF(ISBLANK(INDEX(FX_Input,$Q1433,$AB1435)),-0.03,INDEX(FX_Input,Q1433,AB1435))</f>
        <v>-0.03</v>
      </c>
      <c r="E1435" cm="1">
        <f t="array" ref="E1435">IF(ISBLANK(INDEX(FX_Input,$Q1433,$AB1435)),-0.03,INDEX(FX_Input,R1433,#REF!))</f>
        <v>-0.03</v>
      </c>
      <c r="F1435" cm="1">
        <f t="array" ref="F1435">IF(ISBLANK(INDEX(FX_Input,$Q1433,$AB1435)),-0.03,INDEX(FX_Input,S1433,#REF!))</f>
        <v>-0.03</v>
      </c>
      <c r="G1435" cm="1">
        <f t="array" ref="G1435">IF(ISBLANK(INDEX(FX_Input,$Q1433,$AB1435)),-0.03,INDEX(FX_Input,AB1433,#REF!))</f>
        <v>-0.03</v>
      </c>
      <c r="H1435" cm="1">
        <f t="array" ref="H1435">IF(ISBLANK(INDEX(FX_Input,$Q1433,$AB1435)),-0.03,INDEX(FX_Input,#REF!,#REF!))</f>
        <v>-0.03</v>
      </c>
      <c r="I1435" cm="1">
        <f t="array" ref="I1435">IF(ISBLANK(INDEX(FX_Input,$Q1433,$AB1435)),-0.03,INDEX(FX_Input,#REF!,#REF!))</f>
        <v>-0.03</v>
      </c>
      <c r="J1435" cm="1">
        <f t="array" ref="J1435">IF(ISBLANK(INDEX(FX_Input,$Q1433,$AB1435)),-0.03,INDEX(FX_Input,#REF!,#REF!))</f>
        <v>-0.03</v>
      </c>
      <c r="K1435" cm="1">
        <f t="array" ref="K1435">IF(ISBLANK(INDEX(FX_Input,$Q1433,$AB1435)),-0.03,INDEX(FX_Input,#REF!,AC1435))</f>
        <v>-0.03</v>
      </c>
      <c r="L1435" cm="1">
        <f t="array" ref="L1435">IF(ISBLANK(INDEX(FX_Input,$Q1433,$AB1435)),-0.03,INDEX(FX_Input,#REF!,AD1435))</f>
        <v>-0.03</v>
      </c>
      <c r="M1435" cm="1">
        <f t="array" ref="M1435">IF(ISBLANK(INDEX(FX_Input,$Q1433,$AB1435)),-0.03,INDEX(FX_Input,#REF!,#REF!))</f>
        <v>-0.03</v>
      </c>
      <c r="N1435" cm="1">
        <f t="array" ref="N1435">IF(ISBLANK(INDEX(FX_Input,$Q1433,$AB1435)),-0.03,INDEX(FX_Input,AC1433,#REF!))</f>
        <v>-0.03</v>
      </c>
      <c r="O1435" cm="1">
        <f t="array" ref="O1435">IF(ISBLANK(INDEX(FX_Input,$Q1433,$AB1435)),-0.03,INDEX(FX_Input,AD1433,#REF!))</f>
        <v>-0.03</v>
      </c>
      <c r="AB1435">
        <v>16</v>
      </c>
    </row>
    <row r="1436" spans="1:32" x14ac:dyDescent="0.4">
      <c r="B1436" t="str">
        <f t="shared" ref="B1436:B1437" si="5266">B1435</f>
        <v>Portland</v>
      </c>
      <c r="C1436" s="66" t="s">
        <v>567</v>
      </c>
      <c r="D1436" t="str" cm="1">
        <f t="array" ref="D1436">INDEX(FX_Multi,$AD1436,D$3)</f>
        <v>Jet kerosene</v>
      </c>
      <c r="E1436" t="str" cm="1">
        <f t="array" ref="E1436">INDEX(FX_Multi,$AD1436,E$3)</f>
        <v>Jet kerosene</v>
      </c>
      <c r="F1436" t="str" cm="1">
        <f t="array" ref="F1436">INDEX(FX_Multi,$AD1436,F$3)</f>
        <v>Jet kerosene</v>
      </c>
      <c r="G1436" t="str" cm="1">
        <f t="array" ref="G1436">INDEX(FX_Multi,$AD1436,G$3)</f>
        <v>Jet kerosene</v>
      </c>
      <c r="H1436" t="str" cm="1">
        <f t="array" ref="H1436">INDEX(FX_Multi,$AD1436,H$3)</f>
        <v>Jet kerosene</v>
      </c>
      <c r="I1436" t="str" cm="1">
        <f t="array" ref="I1436">INDEX(FX_Multi,$AD1436,I$3)</f>
        <v>Jet kerosene</v>
      </c>
      <c r="J1436" t="str" cm="1">
        <f t="array" ref="J1436">INDEX(FX_Multi,$AD1436,J$3)</f>
        <v>Jet kerosene</v>
      </c>
      <c r="K1436" t="str" cm="1">
        <f t="array" ref="K1436">INDEX(FX_Multi,$AD1436,K$3)</f>
        <v>Jet kerosene</v>
      </c>
      <c r="L1436" t="str" cm="1">
        <f t="array" ref="L1436">INDEX(FX_Multi,$AD1436,L$3)</f>
        <v>Jet kerosene</v>
      </c>
      <c r="M1436" t="str" cm="1">
        <f t="array" ref="M1436">INDEX(FX_Multi,$AD1436,M$3)</f>
        <v>Jet kerosene</v>
      </c>
      <c r="N1436" t="str" cm="1">
        <f t="array" ref="N1436">INDEX(FX_Multi,$AD1436,N$3)</f>
        <v>Jet kerosene</v>
      </c>
      <c r="O1436" t="str" cm="1">
        <f t="array" ref="O1436">INDEX(FX_Multi,$AD1436,O$3)</f>
        <v>Jet kerosene</v>
      </c>
      <c r="AC1436">
        <v>1</v>
      </c>
      <c r="AD1436">
        <f>AD1433</f>
        <v>589</v>
      </c>
      <c r="AE1436">
        <v>1</v>
      </c>
      <c r="AF1436">
        <f>AF1433</f>
        <v>589</v>
      </c>
    </row>
    <row r="1437" spans="1:32" x14ac:dyDescent="0.4">
      <c r="B1437" t="str">
        <f t="shared" si="5266"/>
        <v>Portland</v>
      </c>
      <c r="C1437" s="66" t="s">
        <v>566</v>
      </c>
      <c r="D1437" t="str" cm="1">
        <f t="array" ref="D1437">INDEX(FX_Multi,$AD1437,D$3)</f>
        <v>Select Pet Stock</v>
      </c>
      <c r="E1437" t="str" cm="1">
        <f t="array" ref="E1437">INDEX(FX_Multi,$AD1437,E$3)</f>
        <v>Select Pet Stock</v>
      </c>
      <c r="F1437" t="str" cm="1">
        <f t="array" ref="F1437">INDEX(FX_Multi,$AD1437,F$3)</f>
        <v>Select Pet Stock</v>
      </c>
      <c r="G1437" t="str" cm="1">
        <f t="array" ref="G1437">INDEX(FX_Multi,$AD1437,G$3)</f>
        <v>Select Pet Stock</v>
      </c>
      <c r="H1437" t="str" cm="1">
        <f t="array" ref="H1437">INDEX(FX_Multi,$AD1437,H$3)</f>
        <v>Select Pet Stock</v>
      </c>
      <c r="I1437" t="str" cm="1">
        <f t="array" ref="I1437">INDEX(FX_Multi,$AD1437,I$3)</f>
        <v>Select Pet Stock</v>
      </c>
      <c r="J1437" t="str" cm="1">
        <f t="array" ref="J1437">INDEX(FX_Multi,$AD1437,J$3)</f>
        <v>Select Pet Stock</v>
      </c>
      <c r="K1437" t="str" cm="1">
        <f t="array" ref="K1437">INDEX(FX_Multi,$AD1437,K$3)</f>
        <v>Select Pet Stock</v>
      </c>
      <c r="L1437" t="str" cm="1">
        <f t="array" ref="L1437">INDEX(FX_Multi,$AD1437,L$3)</f>
        <v>Select Pet Stock</v>
      </c>
      <c r="M1437" t="str" cm="1">
        <f t="array" ref="M1437">INDEX(FX_Multi,$AD1437,M$3)</f>
        <v>Select Pet Stock</v>
      </c>
      <c r="N1437" t="str" cm="1">
        <f t="array" ref="N1437">INDEX(FX_Multi,$AD1437,N$3)</f>
        <v>Select Pet Stock</v>
      </c>
      <c r="O1437" t="str" cm="1">
        <f t="array" ref="O1437">INDEX(FX_Multi,$AD1437,O$3)</f>
        <v>Select Pet Stock</v>
      </c>
      <c r="AC1437">
        <v>1</v>
      </c>
      <c r="AD1437">
        <f>AD1436+2</f>
        <v>591</v>
      </c>
      <c r="AE1437">
        <v>1</v>
      </c>
      <c r="AF1437">
        <f>AF1436+3</f>
        <v>592</v>
      </c>
    </row>
    <row r="1438" spans="1:32" x14ac:dyDescent="0.4">
      <c r="B1438" t="str">
        <f>B1434</f>
        <v>Portland</v>
      </c>
      <c r="C1438" s="66" t="s">
        <v>568</v>
      </c>
      <c r="D1438" cm="1">
        <f t="array" ref="D1438">INDEX(FX_Multi,$AD1438,D$3)</f>
        <v>0</v>
      </c>
      <c r="E1438" cm="1">
        <f t="array" ref="E1438">INDEX(FX_Multi,$AD1438,E$3)</f>
        <v>0</v>
      </c>
      <c r="F1438" cm="1">
        <f t="array" ref="F1438">INDEX(FX_Multi,$AD1438,F$3)</f>
        <v>0</v>
      </c>
      <c r="G1438" cm="1">
        <f t="array" ref="G1438">INDEX(FX_Multi,$AD1438,G$3)</f>
        <v>0</v>
      </c>
      <c r="H1438" cm="1">
        <f t="array" ref="H1438">INDEX(FX_Multi,$AD1438,H$3)</f>
        <v>0</v>
      </c>
      <c r="I1438" cm="1">
        <f t="array" ref="I1438">INDEX(FX_Multi,$AD1438,I$3)</f>
        <v>0</v>
      </c>
      <c r="J1438" cm="1">
        <f t="array" ref="J1438">INDEX(FX_Multi,$AD1438,J$3)</f>
        <v>0</v>
      </c>
      <c r="K1438" cm="1">
        <f t="array" ref="K1438">INDEX(FX_Multi,$AD1438,K$3)</f>
        <v>0</v>
      </c>
      <c r="L1438" cm="1">
        <f t="array" ref="L1438">INDEX(FX_Multi,$AD1438,L$3)</f>
        <v>0</v>
      </c>
      <c r="M1438" cm="1">
        <f t="array" ref="M1438">INDEX(FX_Multi,$AD1438,M$3)</f>
        <v>0</v>
      </c>
      <c r="N1438" cm="1">
        <f t="array" ref="N1438">INDEX(FX_Multi,$AD1438,N$3)</f>
        <v>0</v>
      </c>
      <c r="O1438" cm="1">
        <f t="array" ref="O1438">INDEX(FX_Multi,$AD1438,O$3)</f>
        <v>0</v>
      </c>
      <c r="AC1438">
        <v>1</v>
      </c>
      <c r="AD1438">
        <f>AD1437-1</f>
        <v>590</v>
      </c>
      <c r="AE1438">
        <v>1</v>
      </c>
      <c r="AF1438">
        <f>AF1436+1</f>
        <v>590</v>
      </c>
    </row>
    <row r="1439" spans="1:32" x14ac:dyDescent="0.4">
      <c r="B1439" t="str">
        <f t="shared" ref="B1439:B1443" si="5267">B1438</f>
        <v>Portland</v>
      </c>
      <c r="C1439" s="66" t="s">
        <v>569</v>
      </c>
      <c r="D1439" cm="1">
        <f t="array" ref="D1439">INDEX(FX_Multi,$AD1439,D$3)</f>
        <v>0</v>
      </c>
      <c r="E1439" cm="1">
        <f t="array" ref="E1439">INDEX(FX_Multi,$AD1439,E$3)</f>
        <v>0</v>
      </c>
      <c r="F1439" cm="1">
        <f t="array" ref="F1439">INDEX(FX_Multi,$AD1439,F$3)</f>
        <v>0</v>
      </c>
      <c r="G1439" cm="1">
        <f t="array" ref="G1439">INDEX(FX_Multi,$AD1439,G$3)</f>
        <v>0</v>
      </c>
      <c r="H1439" cm="1">
        <f t="array" ref="H1439">INDEX(FX_Multi,$AD1439,H$3)</f>
        <v>0</v>
      </c>
      <c r="I1439" cm="1">
        <f t="array" ref="I1439">INDEX(FX_Multi,$AD1439,I$3)</f>
        <v>0</v>
      </c>
      <c r="J1439" cm="1">
        <f t="array" ref="J1439">INDEX(FX_Multi,$AD1439,J$3)</f>
        <v>0</v>
      </c>
      <c r="K1439" cm="1">
        <f t="array" ref="K1439">INDEX(FX_Multi,$AD1439,K$3)</f>
        <v>0</v>
      </c>
      <c r="L1439" cm="1">
        <f t="array" ref="L1439">INDEX(FX_Multi,$AD1439,L$3)</f>
        <v>0</v>
      </c>
      <c r="M1439" cm="1">
        <f t="array" ref="M1439">INDEX(FX_Multi,$AD1439,M$3)</f>
        <v>0</v>
      </c>
      <c r="N1439" cm="1">
        <f t="array" ref="N1439">INDEX(FX_Multi,$AD1439,N$3)</f>
        <v>0</v>
      </c>
      <c r="O1439" cm="1">
        <f t="array" ref="O1439">INDEX(FX_Multi,$AD1439,O$3)</f>
        <v>0</v>
      </c>
      <c r="AC1439">
        <v>1</v>
      </c>
      <c r="AD1439">
        <f>AD1438+2</f>
        <v>592</v>
      </c>
      <c r="AE1439">
        <v>1</v>
      </c>
      <c r="AF1439">
        <f>AF1437</f>
        <v>592</v>
      </c>
    </row>
    <row r="1440" spans="1:32" ht="17.149999999999999" x14ac:dyDescent="0.55000000000000004">
      <c r="B1440" t="str">
        <f t="shared" si="5267"/>
        <v>Portland</v>
      </c>
      <c r="C1440" t="s">
        <v>570</v>
      </c>
      <c r="D1440" cm="1">
        <f t="array" ref="D1440">INDEX(FX_Multi,$AD1440,D$3)</f>
        <v>1</v>
      </c>
      <c r="E1440" cm="1">
        <f t="array" ref="E1440">INDEX(FX_Multi,$AD1440,E$3)</f>
        <v>1</v>
      </c>
      <c r="F1440" cm="1">
        <f t="array" ref="F1440">INDEX(FX_Multi,$AD1440,F$3)</f>
        <v>1</v>
      </c>
      <c r="G1440" cm="1">
        <f t="array" ref="G1440">INDEX(FX_Multi,$AD1440,G$3)</f>
        <v>1</v>
      </c>
      <c r="H1440" cm="1">
        <f t="array" ref="H1440">INDEX(FX_Multi,$AD1440,H$3)</f>
        <v>1</v>
      </c>
      <c r="I1440" cm="1">
        <f t="array" ref="I1440">INDEX(FX_Multi,$AD1440,I$3)</f>
        <v>1</v>
      </c>
      <c r="J1440" cm="1">
        <f t="array" ref="J1440">INDEX(FX_Multi,$AD1440,J$3)</f>
        <v>1</v>
      </c>
      <c r="K1440" cm="1">
        <f t="array" ref="K1440">INDEX(FX_Multi,$AD1440,K$3)</f>
        <v>1</v>
      </c>
      <c r="L1440" cm="1">
        <f t="array" ref="L1440">INDEX(FX_Multi,$AD1440,L$3)</f>
        <v>1</v>
      </c>
      <c r="M1440" cm="1">
        <f t="array" ref="M1440">INDEX(FX_Multi,$AD1440,M$3)</f>
        <v>1</v>
      </c>
      <c r="N1440" cm="1">
        <f t="array" ref="N1440">INDEX(FX_Multi,$AD1440,N$3)</f>
        <v>1</v>
      </c>
      <c r="O1440" cm="1">
        <f t="array" ref="O1440">INDEX(FX_Multi,$AD1440,O$3)</f>
        <v>1</v>
      </c>
      <c r="AC1440">
        <v>1</v>
      </c>
      <c r="AD1440">
        <f>AD1439+6</f>
        <v>598</v>
      </c>
      <c r="AE1440">
        <v>1</v>
      </c>
      <c r="AF1440">
        <f>AF1436+9</f>
        <v>598</v>
      </c>
    </row>
    <row r="1441" spans="2:32" ht="17.149999999999999" x14ac:dyDescent="0.55000000000000004">
      <c r="B1441" t="str">
        <f t="shared" si="5267"/>
        <v>Portland</v>
      </c>
      <c r="C1441" t="s">
        <v>571</v>
      </c>
      <c r="D1441" cm="1">
        <f t="array" ref="D1441">INDEX(FX_Multi,$AD1441,D$3)</f>
        <v>162</v>
      </c>
      <c r="E1441" cm="1">
        <f t="array" ref="E1441">INDEX(FX_Multi,$AD1441,E$3)</f>
        <v>162</v>
      </c>
      <c r="F1441" cm="1">
        <f t="array" ref="F1441">INDEX(FX_Multi,$AD1441,F$3)</f>
        <v>162</v>
      </c>
      <c r="G1441" cm="1">
        <f t="array" ref="G1441">INDEX(FX_Multi,$AD1441,G$3)</f>
        <v>162</v>
      </c>
      <c r="H1441" cm="1">
        <f t="array" ref="H1441">INDEX(FX_Multi,$AD1441,H$3)</f>
        <v>162</v>
      </c>
      <c r="I1441" cm="1">
        <f t="array" ref="I1441">INDEX(FX_Multi,$AD1441,I$3)</f>
        <v>162</v>
      </c>
      <c r="J1441" cm="1">
        <f t="array" ref="J1441">INDEX(FX_Multi,$AD1441,J$3)</f>
        <v>162</v>
      </c>
      <c r="K1441" cm="1">
        <f t="array" ref="K1441">INDEX(FX_Multi,$AD1441,K$3)</f>
        <v>162</v>
      </c>
      <c r="L1441" cm="1">
        <f t="array" ref="L1441">INDEX(FX_Multi,$AD1441,L$3)</f>
        <v>162</v>
      </c>
      <c r="M1441" cm="1">
        <f t="array" ref="M1441">INDEX(FX_Multi,$AD1441,M$3)</f>
        <v>162</v>
      </c>
      <c r="N1441" cm="1">
        <f t="array" ref="N1441">INDEX(FX_Multi,$AD1441,N$3)</f>
        <v>162</v>
      </c>
      <c r="O1441" cm="1">
        <f t="array" ref="O1441">INDEX(FX_Multi,$AD1441,O$3)</f>
        <v>162</v>
      </c>
      <c r="AC1441">
        <v>1</v>
      </c>
      <c r="AD1441">
        <f>AD1440-3</f>
        <v>595</v>
      </c>
      <c r="AE1441">
        <v>1</v>
      </c>
      <c r="AF1441">
        <f>AF1436+6</f>
        <v>595</v>
      </c>
    </row>
    <row r="1442" spans="2:32" ht="17.149999999999999" x14ac:dyDescent="0.55000000000000004">
      <c r="B1442" t="str">
        <f t="shared" si="5267"/>
        <v>Portland</v>
      </c>
      <c r="C1442" t="s">
        <v>572</v>
      </c>
      <c r="D1442" cm="1">
        <f t="array" ref="D1442">INDEX(FX_Multi,$AD1442,D$3)</f>
        <v>0</v>
      </c>
      <c r="E1442" cm="1">
        <f t="array" ref="E1442">INDEX(FX_Multi,$AD1442,E$3)</f>
        <v>0</v>
      </c>
      <c r="F1442" cm="1">
        <f t="array" ref="F1442">INDEX(FX_Multi,$AD1442,F$3)</f>
        <v>0</v>
      </c>
      <c r="G1442" cm="1">
        <f t="array" ref="G1442">INDEX(FX_Multi,$AD1442,G$3)</f>
        <v>0</v>
      </c>
      <c r="H1442" cm="1">
        <f t="array" ref="H1442">INDEX(FX_Multi,$AD1442,H$3)</f>
        <v>0</v>
      </c>
      <c r="I1442" cm="1">
        <f t="array" ref="I1442">INDEX(FX_Multi,$AD1442,I$3)</f>
        <v>0</v>
      </c>
      <c r="J1442" cm="1">
        <f t="array" ref="J1442">INDEX(FX_Multi,$AD1442,J$3)</f>
        <v>0</v>
      </c>
      <c r="K1442" cm="1">
        <f t="array" ref="K1442">INDEX(FX_Multi,$AD1442,K$3)</f>
        <v>0</v>
      </c>
      <c r="L1442" cm="1">
        <f t="array" ref="L1442">INDEX(FX_Multi,$AD1442,L$3)</f>
        <v>0</v>
      </c>
      <c r="M1442" cm="1">
        <f t="array" ref="M1442">INDEX(FX_Multi,$AD1442,M$3)</f>
        <v>0</v>
      </c>
      <c r="N1442" cm="1">
        <f t="array" ref="N1442">INDEX(FX_Multi,$AD1442,N$3)</f>
        <v>0</v>
      </c>
      <c r="O1442" cm="1">
        <f t="array" ref="O1442">INDEX(FX_Multi,$AD1442,O$3)</f>
        <v>0</v>
      </c>
      <c r="AC1442">
        <v>1</v>
      </c>
      <c r="AD1442">
        <f>AD1441+4</f>
        <v>599</v>
      </c>
      <c r="AE1442">
        <v>1</v>
      </c>
      <c r="AF1442">
        <f>AF1436+10</f>
        <v>599</v>
      </c>
    </row>
    <row r="1443" spans="2:32" ht="17.149999999999999" x14ac:dyDescent="0.55000000000000004">
      <c r="B1443" t="str">
        <f t="shared" si="5267"/>
        <v>Portland</v>
      </c>
      <c r="C1443" t="s">
        <v>573</v>
      </c>
      <c r="D1443" cm="1">
        <f t="array" ref="D1443">INDEX(FX_Multi,$AD1443,D$3)</f>
        <v>0</v>
      </c>
      <c r="E1443" cm="1">
        <f t="array" ref="E1443">INDEX(FX_Multi,$AD1443,E$3)</f>
        <v>0</v>
      </c>
      <c r="F1443" cm="1">
        <f t="array" ref="F1443">INDEX(FX_Multi,$AD1443,F$3)</f>
        <v>0</v>
      </c>
      <c r="G1443" cm="1">
        <f t="array" ref="G1443">INDEX(FX_Multi,$AD1443,G$3)</f>
        <v>0</v>
      </c>
      <c r="H1443" cm="1">
        <f t="array" ref="H1443">INDEX(FX_Multi,$AD1443,H$3)</f>
        <v>0</v>
      </c>
      <c r="I1443" cm="1">
        <f t="array" ref="I1443">INDEX(FX_Multi,$AD1443,I$3)</f>
        <v>0</v>
      </c>
      <c r="J1443" cm="1">
        <f t="array" ref="J1443">INDEX(FX_Multi,$AD1443,J$3)</f>
        <v>0</v>
      </c>
      <c r="K1443" cm="1">
        <f t="array" ref="K1443">INDEX(FX_Multi,$AD1443,K$3)</f>
        <v>0</v>
      </c>
      <c r="L1443" cm="1">
        <f t="array" ref="L1443">INDEX(FX_Multi,$AD1443,L$3)</f>
        <v>0</v>
      </c>
      <c r="M1443" cm="1">
        <f t="array" ref="M1443">INDEX(FX_Multi,$AD1443,M$3)</f>
        <v>0</v>
      </c>
      <c r="N1443" cm="1">
        <f t="array" ref="N1443">INDEX(FX_Multi,$AD1443,N$3)</f>
        <v>0</v>
      </c>
      <c r="O1443" cm="1">
        <f t="array" ref="O1443">INDEX(FX_Multi,$AD1443,O$3)</f>
        <v>0</v>
      </c>
      <c r="AC1443">
        <v>1</v>
      </c>
      <c r="AD1443">
        <f>AD1442-3</f>
        <v>596</v>
      </c>
      <c r="AE1443">
        <v>1</v>
      </c>
      <c r="AF1443">
        <f>AF1436+7</f>
        <v>596</v>
      </c>
    </row>
    <row r="1444" spans="2:32" ht="17.149999999999999" x14ac:dyDescent="0.55000000000000004">
      <c r="B1444" t="str">
        <f>B1439</f>
        <v>Portland</v>
      </c>
      <c r="C1444" t="s">
        <v>526</v>
      </c>
      <c r="D1444" cm="1">
        <f t="array" ref="D1444">INDEX(FX_Temps,$AF1444,D$3)</f>
        <v>43.899999999999977</v>
      </c>
      <c r="E1444" cm="1">
        <f t="array" ref="E1444">INDEX(FX_Temps,$AF1444,E$3)</f>
        <v>44.700000000000045</v>
      </c>
      <c r="F1444" cm="1">
        <f t="array" ref="F1444">INDEX(FX_Temps,$AF1444,F$3)</f>
        <v>46.100000000000023</v>
      </c>
      <c r="G1444" cm="1">
        <f t="array" ref="G1444">INDEX(FX_Temps,$AF1444,G$3)</f>
        <v>48.599999999999966</v>
      </c>
      <c r="H1444" cm="1">
        <f t="array" ref="H1444">INDEX(FX_Temps,$AF1444,H$3)</f>
        <v>53.149999999999977</v>
      </c>
      <c r="I1444" cm="1">
        <f t="array" ref="I1444">INDEX(FX_Temps,$AF1444,I$3)</f>
        <v>56.950000000000045</v>
      </c>
      <c r="J1444" cm="1">
        <f t="array" ref="J1444">INDEX(FX_Temps,$AF1444,J$3)</f>
        <v>60.449999999999932</v>
      </c>
      <c r="K1444" cm="1">
        <f t="array" ref="K1444">INDEX(FX_Temps,$AF1444,K$3)</f>
        <v>60.899999999999977</v>
      </c>
      <c r="L1444" cm="1">
        <f t="array" ref="L1444">INDEX(FX_Temps,$AF1444,L$3)</f>
        <v>58.600000000000023</v>
      </c>
      <c r="M1444" cm="1">
        <f t="array" ref="M1444">INDEX(FX_Temps,$AF1444,M$3)</f>
        <v>52.649999999999977</v>
      </c>
      <c r="N1444" cm="1">
        <f t="array" ref="N1444">INDEX(FX_Temps,$AF1444,N$3)</f>
        <v>47.100000000000023</v>
      </c>
      <c r="O1444" cm="1">
        <f t="array" ref="O1444">INDEX(FX_Temps,$AF1444,O$3)</f>
        <v>43.600000000000023</v>
      </c>
      <c r="AE1444">
        <v>1</v>
      </c>
      <c r="AF1444">
        <f>AF1436+10</f>
        <v>599</v>
      </c>
    </row>
    <row r="1445" spans="2:32" ht="17.149999999999999" x14ac:dyDescent="0.55000000000000004">
      <c r="B1445" t="str">
        <f t="shared" ref="B1445:B1466" si="5268">B1444</f>
        <v>Portland</v>
      </c>
      <c r="C1445" t="s">
        <v>527</v>
      </c>
      <c r="D1445" cm="1">
        <f t="array" ref="D1445">INDEX(FX_Temps,$AF1445,D$3)</f>
        <v>43.899999999999977</v>
      </c>
      <c r="E1445" cm="1">
        <f t="array" ref="E1445">INDEX(FX_Temps,$AF1445,E$3)</f>
        <v>44.700000000000045</v>
      </c>
      <c r="F1445" cm="1">
        <f t="array" ref="F1445">INDEX(FX_Temps,$AF1445,F$3)</f>
        <v>46.100000000000023</v>
      </c>
      <c r="G1445" cm="1">
        <f t="array" ref="G1445">INDEX(FX_Temps,$AF1445,G$3)</f>
        <v>48.599999999999966</v>
      </c>
      <c r="H1445" cm="1">
        <f t="array" ref="H1445">INDEX(FX_Temps,$AF1445,H$3)</f>
        <v>53.149999999999977</v>
      </c>
      <c r="I1445" cm="1">
        <f t="array" ref="I1445">INDEX(FX_Temps,$AF1445,I$3)</f>
        <v>56.950000000000045</v>
      </c>
      <c r="J1445" cm="1">
        <f t="array" ref="J1445">INDEX(FX_Temps,$AF1445,J$3)</f>
        <v>60.449999999999932</v>
      </c>
      <c r="K1445" cm="1">
        <f t="array" ref="K1445">INDEX(FX_Temps,$AF1445,K$3)</f>
        <v>60.899999999999977</v>
      </c>
      <c r="L1445" cm="1">
        <f t="array" ref="L1445">INDEX(FX_Temps,$AF1445,L$3)</f>
        <v>58.600000000000023</v>
      </c>
      <c r="M1445" cm="1">
        <f t="array" ref="M1445">INDEX(FX_Temps,$AF1445,M$3)</f>
        <v>52.649999999999977</v>
      </c>
      <c r="N1445" cm="1">
        <f t="array" ref="N1445">INDEX(FX_Temps,$AF1445,N$3)</f>
        <v>47.100000000000023</v>
      </c>
      <c r="O1445" cm="1">
        <f t="array" ref="O1445">INDEX(FX_Temps,$AF1445,O$3)</f>
        <v>43.600000000000023</v>
      </c>
      <c r="AE1445">
        <f>AE1444</f>
        <v>1</v>
      </c>
      <c r="AF1445">
        <f>AF1436+11</f>
        <v>600</v>
      </c>
    </row>
    <row r="1446" spans="2:32" ht="17.149999999999999" x14ac:dyDescent="0.55000000000000004">
      <c r="B1446" t="str">
        <f t="shared" si="5268"/>
        <v>Portland</v>
      </c>
      <c r="C1446" t="s">
        <v>552</v>
      </c>
      <c r="D1446" cm="1">
        <f t="array" ref="D1446">INDEX(FX_Temps,$AF1446,D$3)</f>
        <v>43.899999999999977</v>
      </c>
      <c r="E1446" cm="1">
        <f t="array" ref="E1446">INDEX(FX_Temps,$AF1446,E$3)</f>
        <v>44.700000000000045</v>
      </c>
      <c r="F1446" cm="1">
        <f t="array" ref="F1446">INDEX(FX_Temps,$AF1446,F$3)</f>
        <v>46.100000000000023</v>
      </c>
      <c r="G1446" cm="1">
        <f t="array" ref="G1446">INDEX(FX_Temps,$AF1446,G$3)</f>
        <v>48.599999999999966</v>
      </c>
      <c r="H1446" cm="1">
        <f t="array" ref="H1446">INDEX(FX_Temps,$AF1446,H$3)</f>
        <v>53.149999999999977</v>
      </c>
      <c r="I1446" cm="1">
        <f t="array" ref="I1446">INDEX(FX_Temps,$AF1446,I$3)</f>
        <v>56.950000000000045</v>
      </c>
      <c r="J1446" cm="1">
        <f t="array" ref="J1446">INDEX(FX_Temps,$AF1446,J$3)</f>
        <v>60.449999999999932</v>
      </c>
      <c r="K1446" cm="1">
        <f t="array" ref="K1446">INDEX(FX_Temps,$AF1446,K$3)</f>
        <v>60.899999999999977</v>
      </c>
      <c r="L1446" cm="1">
        <f t="array" ref="L1446">INDEX(FX_Temps,$AF1446,L$3)</f>
        <v>58.600000000000023</v>
      </c>
      <c r="M1446" cm="1">
        <f t="array" ref="M1446">INDEX(FX_Temps,$AF1446,M$3)</f>
        <v>52.649999999999977</v>
      </c>
      <c r="N1446" cm="1">
        <f t="array" ref="N1446">INDEX(FX_Temps,$AF1446,N$3)</f>
        <v>47.100000000000023</v>
      </c>
      <c r="O1446" cm="1">
        <f t="array" ref="O1446">INDEX(FX_Temps,$AF1446,O$3)</f>
        <v>43.600000000000023</v>
      </c>
      <c r="AE1446">
        <f>AE1445</f>
        <v>1</v>
      </c>
      <c r="AF1446">
        <f>AF1436+13</f>
        <v>602</v>
      </c>
    </row>
    <row r="1447" spans="2:32" ht="17.149999999999999" x14ac:dyDescent="0.55000000000000004">
      <c r="B1447" t="str">
        <f t="shared" si="5268"/>
        <v>Portland</v>
      </c>
      <c r="C1447" t="s">
        <v>574</v>
      </c>
      <c r="D1447" cm="1">
        <f t="array" ref="D1447">IFERROR(IF(D1437="Chemical",(10^(INDEX(Antoines,MATCH(D1436,Antoine_Name,0),2)-INDEX(Antoines,MATCH(D1436,Antoine_Name,0),3)/(INDEX(Antoines,MATCH(D1436,Antoine_Name,0),4)+(D1444-32)*5/9)))*14.7/760,IF(D1437="Crude Oil",EXP((2799/(D1444+459.6)-2.227)*LOG10(INDEX(FX_Input,Q$5,D$3*$Z$5+$AA$5))-(7261/(D1444+459.6))+12.82),IF(D1437="Refined Petroleum Stock",EXP((0.7553-(413/(D1444+459.6)))*(INDEX(FX_Input,Q$5,D$3*$Z$5+$AA$5-1)^0.5)*LOG10(INDEX(FX_Input,Q$5,D$3*$Z$5+$AA$5))-(1.854-(1042/(D1444+459.6)))*(INDEX(FX_Input,Q$5,D$3*$Z$5+$AA$5-1)^0.5)+((2416/(D1444+459.6)-2.013)*LOG10(INDEX(FX_Input,Q$5,D$3*$Z$5+$AA$5)))-(8742/(D1444+459.6))+15.64),EXP(INDEX(Antoines,MATCH(D1436,Antoine_Name,0),2)-INDEX(Antoines,MATCH(D1436,Antoine_Name,0),3)/(D1444+459.6))))),0)</f>
        <v>4.739577185808354E-3</v>
      </c>
      <c r="E1447" cm="1">
        <f t="array" ref="E1447">IFERROR(IF(E1437="Chemical",(10^(INDEX(Antoines,MATCH(E1436,Antoine_Name,0),2)-INDEX(Antoines,MATCH(E1436,Antoine_Name,0),3)/(INDEX(Antoines,MATCH(E1436,Antoine_Name,0),4)+(E1444-32)*5/9)))*14.7/760,IF(E1437="Crude Oil",EXP((2799/(E1444+459.6)-2.227)*LOG10(INDEX(FX_Input,R$5,E$3*$Z$5+$AA$5))-(7261/(E1444+459.6))+12.82),IF(E1437="Refined Petroleum Stock",EXP((0.7553-(413/(E1444+459.6)))*(INDEX(FX_Input,R$5,E$3*$Z$5+$AA$5-1)^0.5)*LOG10(INDEX(FX_Input,R$5,E$3*$Z$5+$AA$5))-(1.854-(1042/(E1444+459.6)))*(INDEX(FX_Input,R$5,E$3*$Z$5+$AA$5-1)^0.5)+((2416/(E1444+459.6)-2.013)*LOG10(INDEX(FX_Input,R$5,E$3*$Z$5+$AA$5)))-(8742/(E1444+459.6))+15.64),EXP(INDEX(Antoines,MATCH(E1436,Antoine_Name,0),2)-INDEX(Antoines,MATCH(E1436,Antoine_Name,0),3)/(E1444+459.6))))),0)</f>
        <v>4.8748667780818778E-3</v>
      </c>
      <c r="F1447" cm="1">
        <f t="array" ref="F1447">IFERROR(IF(F1437="Chemical",(10^(INDEX(Antoines,MATCH(F1436,Antoine_Name,0),2)-INDEX(Antoines,MATCH(F1436,Antoine_Name,0),3)/(INDEX(Antoines,MATCH(F1436,Antoine_Name,0),4)+(F1444-32)*5/9)))*14.7/760,IF(F1437="Crude Oil",EXP((2799/(F1444+459.6)-2.227)*LOG10(INDEX(FX_Input,S$5,F$3*$Z$5+$AA$5))-(7261/(F1444+459.6))+12.82),IF(F1437="Refined Petroleum Stock",EXP((0.7553-(413/(F1444+459.6)))*(INDEX(FX_Input,S$5,F$3*$Z$5+$AA$5-1)^0.5)*LOG10(INDEX(FX_Input,S$5,F$3*$Z$5+$AA$5))-(1.854-(1042/(F1444+459.6)))*(INDEX(FX_Input,S$5,F$3*$Z$5+$AA$5-1)^0.5)+((2416/(F1444+459.6)-2.013)*LOG10(INDEX(FX_Input,S$5,F$3*$Z$5+$AA$5)))-(8742/(F1444+459.6))+15.64),EXP(INDEX(Antoines,MATCH(F1436,Antoine_Name,0),2)-INDEX(Antoines,MATCH(F1436,Antoine_Name,0),3)/(F1444+459.6))))),0)</f>
        <v>5.119885034186122E-3</v>
      </c>
      <c r="G1447" cm="1">
        <f t="array" ref="G1447">IFERROR(IF(G1437="Chemical",(10^(INDEX(Antoines,MATCH(G1436,Antoine_Name,0),2)-INDEX(Antoines,MATCH(G1436,Antoine_Name,0),3)/(INDEX(Antoines,MATCH(G1436,Antoine_Name,0),4)+(G1444-32)*5/9)))*14.7/760,IF(G1437="Crude Oil",EXP((2799/(G1444+459.6)-2.227)*LOG10(INDEX(FX_Input,T$5,G$3*$Z$5+$AA$5))-(7261/(G1444+459.6))+12.82),IF(G1437="Refined Petroleum Stock",EXP((0.7553-(413/(G1444+459.6)))*(INDEX(FX_Input,T$5,G$3*$Z$5+$AA$5-1)^0.5)*LOG10(INDEX(FX_Input,T$5,G$3*$Z$5+$AA$5))-(1.854-(1042/(G1444+459.6)))*(INDEX(FX_Input,T$5,G$3*$Z$5+$AA$5-1)^0.5)+((2416/(G1444+459.6)-2.013)*LOG10(INDEX(FX_Input,T$5,G$3*$Z$5+$AA$5)))-(8742/(G1444+459.6))+15.64),EXP(INDEX(Antoines,MATCH(G1436,Antoine_Name,0),2)-INDEX(Antoines,MATCH(G1436,Antoine_Name,0),3)/(G1444+459.6))))),0)</f>
        <v>5.5846958573521795E-3</v>
      </c>
      <c r="H1447" cm="1">
        <f t="array" ref="H1447">IFERROR(IF(H1437="Chemical",(10^(INDEX(Antoines,MATCH(H1436,Antoine_Name,0),2)-INDEX(Antoines,MATCH(H1436,Antoine_Name,0),3)/(INDEX(Antoines,MATCH(H1436,Antoine_Name,0),4)+(H1444-32)*5/9)))*14.7/760,IF(H1437="Crude Oil",EXP((2799/(H1444+459.6)-2.227)*LOG10(INDEX(FX_Input,U$5,H$3*$Z$5+$AA$5))-(7261/(H1444+459.6))+12.82),IF(H1437="Refined Petroleum Stock",EXP((0.7553-(413/(H1444+459.6)))*(INDEX(FX_Input,U$5,H$3*$Z$5+$AA$5-1)^0.5)*LOG10(INDEX(FX_Input,U$5,H$3*$Z$5+$AA$5))-(1.854-(1042/(H1444+459.6)))*(INDEX(FX_Input,U$5,H$3*$Z$5+$AA$5-1)^0.5)+((2416/(H1444+459.6)-2.013)*LOG10(INDEX(FX_Input,U$5,H$3*$Z$5+$AA$5)))-(8742/(H1444+459.6))+15.64),EXP(INDEX(Antoines,MATCH(H1436,Antoine_Name,0),2)-INDEX(Antoines,MATCH(H1436,Antoine_Name,0),3)/(H1444+459.6))))),0)</f>
        <v>6.5274070972739821E-3</v>
      </c>
      <c r="I1447" cm="1">
        <f t="array" ref="I1447">IFERROR(IF(I1437="Chemical",(10^(INDEX(Antoines,MATCH(I1436,Antoine_Name,0),2)-INDEX(Antoines,MATCH(I1436,Antoine_Name,0),3)/(INDEX(Antoines,MATCH(I1436,Antoine_Name,0),4)+(I1444-32)*5/9)))*14.7/760,IF(I1437="Crude Oil",EXP((2799/(I1444+459.6)-2.227)*LOG10(INDEX(FX_Input,V$5,I$3*$Z$5+$AA$5))-(7261/(I1444+459.6))+12.82),IF(I1437="Refined Petroleum Stock",EXP((0.7553-(413/(I1444+459.6)))*(INDEX(FX_Input,V$5,I$3*$Z$5+$AA$5-1)^0.5)*LOG10(INDEX(FX_Input,V$5,I$3*$Z$5+$AA$5))-(1.854-(1042/(I1444+459.6)))*(INDEX(FX_Input,V$5,I$3*$Z$5+$AA$5-1)^0.5)+((2416/(I1444+459.6)-2.013)*LOG10(INDEX(FX_Input,V$5,I$3*$Z$5+$AA$5)))-(8742/(I1444+459.6))+15.64),EXP(INDEX(Antoines,MATCH(I1436,Antoine_Name,0),2)-INDEX(Antoines,MATCH(I1436,Antoine_Name,0),3)/(I1444+459.6))))),0)</f>
        <v>7.4199539958878279E-3</v>
      </c>
      <c r="J1447" cm="1">
        <f t="array" ref="J1447">IFERROR(IF(J1437="Chemical",(10^(INDEX(Antoines,MATCH(J1436,Antoine_Name,0),2)-INDEX(Antoines,MATCH(J1436,Antoine_Name,0),3)/(INDEX(Antoines,MATCH(J1436,Antoine_Name,0),4)+(J1444-32)*5/9)))*14.7/760,IF(J1437="Crude Oil",EXP((2799/(J1444+459.6)-2.227)*LOG10(INDEX(FX_Input,W$5,J$3*$Z$5+$AA$5))-(7261/(J1444+459.6))+12.82),IF(J1437="Refined Petroleum Stock",EXP((0.7553-(413/(J1444+459.6)))*(INDEX(FX_Input,W$5,J$3*$Z$5+$AA$5-1)^0.5)*LOG10(INDEX(FX_Input,W$5,J$3*$Z$5+$AA$5))-(1.854-(1042/(J1444+459.6)))*(INDEX(FX_Input,W$5,J$3*$Z$5+$AA$5-1)^0.5)+((2416/(J1444+459.6)-2.013)*LOG10(INDEX(FX_Input,W$5,J$3*$Z$5+$AA$5)))-(8742/(J1444+459.6))+15.64),EXP(INDEX(Antoines,MATCH(J1436,Antoine_Name,0),2)-INDEX(Antoines,MATCH(J1436,Antoine_Name,0),3)/(J1444+459.6))))),0)</f>
        <v>8.3358107202842254E-3</v>
      </c>
      <c r="K1447" cm="1">
        <f t="array" ref="K1447">IFERROR(IF(K1437="Chemical",(10^(INDEX(Antoines,MATCH(K1436,Antoine_Name,0),2)-INDEX(Antoines,MATCH(K1436,Antoine_Name,0),3)/(INDEX(Antoines,MATCH(K1436,Antoine_Name,0),4)+(K1444-32)*5/9)))*14.7/760,IF(K1437="Crude Oil",EXP((2799/(K1444+459.6)-2.227)*LOG10(INDEX(FX_Input,X$5,K$3*$Z$5+$AA$5))-(7261/(K1444+459.6))+12.82),IF(K1437="Refined Petroleum Stock",EXP((0.7553-(413/(K1444+459.6)))*(INDEX(FX_Input,X$5,K$3*$Z$5+$AA$5-1)^0.5)*LOG10(INDEX(FX_Input,X$5,K$3*$Z$5+$AA$5))-(1.854-(1042/(K1444+459.6)))*(INDEX(FX_Input,X$5,K$3*$Z$5+$AA$5-1)^0.5)+((2416/(K1444+459.6)-2.013)*LOG10(INDEX(FX_Input,X$5,K$3*$Z$5+$AA$5)))-(8742/(K1444+459.6))+15.64),EXP(INDEX(Antoines,MATCH(K1436,Antoine_Name,0),2)-INDEX(Antoines,MATCH(K1436,Antoine_Name,0),3)/(K1444+459.6))))),0)</f>
        <v>8.4605262729351115E-3</v>
      </c>
      <c r="L1447" cm="1">
        <f t="array" ref="L1447">IFERROR(IF(L1437="Chemical",(10^(INDEX(Antoines,MATCH(L1436,Antoine_Name,0),2)-INDEX(Antoines,MATCH(L1436,Antoine_Name,0),3)/(INDEX(Antoines,MATCH(L1436,Antoine_Name,0),4)+(L1444-32)*5/9)))*14.7/760,IF(L1437="Crude Oil",EXP((2799/(L1444+459.6)-2.227)*LOG10(INDEX(FX_Input,Y$5,L$3*$Z$5+$AA$5))-(7261/(L1444+459.6))+12.82),IF(L1437="Refined Petroleum Stock",EXP((0.7553-(413/(L1444+459.6)))*(INDEX(FX_Input,Y$5,L$3*$Z$5+$AA$5-1)^0.5)*LOG10(INDEX(FX_Input,Y$5,L$3*$Z$5+$AA$5))-(1.854-(1042/(L1444+459.6)))*(INDEX(FX_Input,Y$5,L$3*$Z$5+$AA$5-1)^0.5)+((2416/(L1444+459.6)-2.013)*LOG10(INDEX(FX_Input,Y$5,L$3*$Z$5+$AA$5)))-(8742/(L1444+459.6))+15.64),EXP(INDEX(Antoines,MATCH(L1436,Antoine_Name,0),2)-INDEX(Antoines,MATCH(L1436,Antoine_Name,0),3)/(L1444+459.6))))),0)</f>
        <v>7.8399882233967533E-3</v>
      </c>
      <c r="M1447" cm="1">
        <f t="array" ref="M1447">IFERROR(IF(M1437="Chemical",(10^(INDEX(Antoines,MATCH(M1436,Antoine_Name,0),2)-INDEX(Antoines,MATCH(M1436,Antoine_Name,0),3)/(INDEX(Antoines,MATCH(M1436,Antoine_Name,0),4)+(M1444-32)*5/9)))*14.7/760,IF(M1437="Crude Oil",EXP((2799/(M1444+459.6)-2.227)*LOG10(INDEX(FX_Input,Z$5,M$3*$Z$5+$AA$5))-(7261/(M1444+459.6))+12.82),IF(M1437="Refined Petroleum Stock",EXP((0.7553-(413/(M1444+459.6)))*(INDEX(FX_Input,Z$5,M$3*$Z$5+$AA$5-1)^0.5)*LOG10(INDEX(FX_Input,Z$5,M$3*$Z$5+$AA$5))-(1.854-(1042/(M1444+459.6)))*(INDEX(FX_Input,Z$5,M$3*$Z$5+$AA$5-1)^0.5)+((2416/(M1444+459.6)-2.013)*LOG10(INDEX(FX_Input,Z$5,M$3*$Z$5+$AA$5)))-(8742/(M1444+459.6))+15.64),EXP(INDEX(Antoines,MATCH(M1436,Antoine_Name,0),2)-INDEX(Antoines,MATCH(M1436,Antoine_Name,0),3)/(M1444+459.6))))),0)</f>
        <v>6.4173462075160911E-3</v>
      </c>
      <c r="N1447" cm="1">
        <f t="array" ref="N1447">IFERROR(IF(N1437="Chemical",(10^(INDEX(Antoines,MATCH(N1436,Antoine_Name,0),2)-INDEX(Antoines,MATCH(N1436,Antoine_Name,0),3)/(INDEX(Antoines,MATCH(N1436,Antoine_Name,0),4)+(N1444-32)*5/9)))*14.7/760,IF(N1437="Crude Oil",EXP((2799/(N1444+459.6)-2.227)*LOG10(INDEX(FX_Input,AA$5,N$3*$Z$5+$AA$5))-(7261/(N1444+459.6))+12.82),IF(N1437="Refined Petroleum Stock",EXP((0.7553-(413/(N1444+459.6)))*(INDEX(FX_Input,AA$5,N$3*$Z$5+$AA$5-1)^0.5)*LOG10(INDEX(FX_Input,AA$5,N$3*$Z$5+$AA$5))-(1.854-(1042/(N1444+459.6)))*(INDEX(FX_Input,AA$5,N$3*$Z$5+$AA$5-1)^0.5)+((2416/(N1444+459.6)-2.013)*LOG10(INDEX(FX_Input,AA$5,N$3*$Z$5+$AA$5)))-(8742/(N1444+459.6))+15.64),EXP(INDEX(Antoines,MATCH(N1436,Antoine_Name,0),2)-INDEX(Antoines,MATCH(N1436,Antoine_Name,0),3)/(N1444+459.6))))),0)</f>
        <v>5.3015226887581056E-3</v>
      </c>
      <c r="O1447" cm="1">
        <f t="array" ref="O1447">IFERROR(IF(O1437="Chemical",(10^(INDEX(Antoines,MATCH(O1436,Antoine_Name,0),2)-INDEX(Antoines,MATCH(O1436,Antoine_Name,0),3)/(INDEX(Antoines,MATCH(O1436,Antoine_Name,0),4)+(O1444-32)*5/9)))*14.7/760,IF(O1437="Crude Oil",EXP((2799/(O1444+459.6)-2.227)*LOG10(INDEX(FX_Input,AB$5,O$3*$Z$5+$AA$5))-(7261/(O1444+459.6))+12.82),IF(O1437="Refined Petroleum Stock",EXP((0.7553-(413/(O1444+459.6)))*(INDEX(FX_Input,AB$5,O$3*$Z$5+$AA$5-1)^0.5)*LOG10(INDEX(FX_Input,AB$5,O$3*$Z$5+$AA$5))-(1.854-(1042/(O1444+459.6)))*(INDEX(FX_Input,AB$5,O$3*$Z$5+$AA$5-1)^0.5)+((2416/(O1444+459.6)-2.013)*LOG10(INDEX(FX_Input,AB$5,O$3*$Z$5+$AA$5)))-(8742/(O1444+459.6))+15.64),EXP(INDEX(Antoines,MATCH(O1436,Antoine_Name,0),2)-INDEX(Antoines,MATCH(O1436,Antoine_Name,0),3)/(O1444+459.6))))),0)</f>
        <v>4.68970903600947E-3</v>
      </c>
    </row>
    <row r="1448" spans="2:32" ht="17.149999999999999" x14ac:dyDescent="0.55000000000000004">
      <c r="B1448" t="str">
        <f t="shared" si="5268"/>
        <v>Portland</v>
      </c>
      <c r="C1448" t="s">
        <v>576</v>
      </c>
      <c r="D1448">
        <f>D1440*D1447</f>
        <v>4.739577185808354E-3</v>
      </c>
      <c r="E1448">
        <f t="shared" ref="E1448" si="5269">E1440*E1447</f>
        <v>4.8748667780818778E-3</v>
      </c>
      <c r="F1448">
        <f t="shared" ref="F1448" si="5270">F1440*F1447</f>
        <v>5.119885034186122E-3</v>
      </c>
      <c r="G1448">
        <f t="shared" ref="G1448" si="5271">G1440*G1447</f>
        <v>5.5846958573521795E-3</v>
      </c>
      <c r="H1448">
        <f t="shared" ref="H1448" si="5272">H1440*H1447</f>
        <v>6.5274070972739821E-3</v>
      </c>
      <c r="I1448">
        <f t="shared" ref="I1448" si="5273">I1440*I1447</f>
        <v>7.4199539958878279E-3</v>
      </c>
      <c r="J1448">
        <f t="shared" ref="J1448" si="5274">J1440*J1447</f>
        <v>8.3358107202842254E-3</v>
      </c>
      <c r="K1448">
        <f t="shared" ref="K1448" si="5275">K1440*K1447</f>
        <v>8.4605262729351115E-3</v>
      </c>
      <c r="L1448">
        <f t="shared" ref="L1448" si="5276">L1440*L1447</f>
        <v>7.8399882233967533E-3</v>
      </c>
      <c r="M1448">
        <f t="shared" ref="M1448" si="5277">M1440*M1447</f>
        <v>6.4173462075160911E-3</v>
      </c>
      <c r="N1448">
        <f t="shared" ref="N1448" si="5278">N1440*N1447</f>
        <v>5.3015226887581056E-3</v>
      </c>
      <c r="O1448">
        <f t="shared" ref="O1448" si="5279">O1440*O1447</f>
        <v>4.68970903600947E-3</v>
      </c>
    </row>
    <row r="1449" spans="2:32" ht="17.149999999999999" x14ac:dyDescent="0.55000000000000004">
      <c r="B1449" t="str">
        <f t="shared" si="5268"/>
        <v>Portland</v>
      </c>
      <c r="C1449" t="s">
        <v>575</v>
      </c>
      <c r="D1449" cm="1">
        <f t="array" ref="D1449">IFERROR(IF(D1439="Chemical",(10^(INDEX(Antoines,MATCH(D1438,Antoine_Name,0),2)-INDEX(Antoines,MATCH(D1438,Antoine_Name,0),3)/(INDEX(Antoines,MATCH(D1438,Antoine_Name,0),4)+(D1444-32)*5/9)))*14.7/760,IF(D1439="Crude Oil",EXP((2799/(D1444+459.6)-2.227)*LOG10(INDEX(FX_Input,Q$5,D$3*$Z$5+$AA$5))-(7261/(D1444+459.6))+12.82),IF(D1439="Refined Petroleum Stock",EXP((0.7553-(413/(D1444+459.6)))*(INDEX(FX_Input,Q$5,D$3*$Z$5+$AA$5-1)^0.5)*LOG10(INDEX(FX_Input,Q$5,D$3*$Z$5+$AA$5))-(1.854-(1042/(D1444+459.6)))*(INDEX(FX_Input,Q$5,D$3*$Z$5+$AA$5-1)^0.5)+((2416/(D1444+459.6)-2.013)*LOG10(INDEX(FX_Input,Q$5,D$3*$Z$5+$AA$5)))-(8742/(D1444+459.6))+15.64),EXP(INDEX(Antoines,MATCH(D1438,Antoine_Name,0),2)-INDEX(Antoines,MATCH(D1438,Antoine_Name,0),3)/(D1444+459.6))))),0)</f>
        <v>0</v>
      </c>
      <c r="E1449" cm="1">
        <f t="array" ref="E1449">IFERROR(IF(E1439="Chemical",(10^(INDEX(Antoines,MATCH(E1438,Antoine_Name,0),2)-INDEX(Antoines,MATCH(E1438,Antoine_Name,0),3)/(INDEX(Antoines,MATCH(E1438,Antoine_Name,0),4)+(E1444-32)*5/9)))*14.7/760,IF(E1439="Crude Oil",EXP((2799/(E1444+459.6)-2.227)*LOG10(INDEX(FX_Input,R$5,E$3*$Z$5+$AA$5))-(7261/(E1444+459.6))+12.82),IF(E1439="Refined Petroleum Stock",EXP((0.7553-(413/(E1444+459.6)))*(INDEX(FX_Input,R$5,E$3*$Z$5+$AA$5-1)^0.5)*LOG10(INDEX(FX_Input,R$5,E$3*$Z$5+$AA$5))-(1.854-(1042/(E1444+459.6)))*(INDEX(FX_Input,R$5,E$3*$Z$5+$AA$5-1)^0.5)+((2416/(E1444+459.6)-2.013)*LOG10(INDEX(FX_Input,R$5,E$3*$Z$5+$AA$5)))-(8742/(E1444+459.6))+15.64),EXP(INDEX(Antoines,MATCH(E1438,Antoine_Name,0),2)-INDEX(Antoines,MATCH(E1438,Antoine_Name,0),3)/(E1444+459.6))))),0)</f>
        <v>0</v>
      </c>
      <c r="F1449" cm="1">
        <f t="array" ref="F1449">IFERROR(IF(F1439="Chemical",(10^(INDEX(Antoines,MATCH(F1438,Antoine_Name,0),2)-INDEX(Antoines,MATCH(F1438,Antoine_Name,0),3)/(INDEX(Antoines,MATCH(F1438,Antoine_Name,0),4)+(F1444-32)*5/9)))*14.7/760,IF(F1439="Crude Oil",EXP((2799/(F1444+459.6)-2.227)*LOG10(INDEX(FX_Input,S$5,F$3*$Z$5+$AA$5))-(7261/(F1444+459.6))+12.82),IF(F1439="Refined Petroleum Stock",EXP((0.7553-(413/(F1444+459.6)))*(INDEX(FX_Input,S$5,F$3*$Z$5+$AA$5-1)^0.5)*LOG10(INDEX(FX_Input,S$5,F$3*$Z$5+$AA$5))-(1.854-(1042/(F1444+459.6)))*(INDEX(FX_Input,S$5,F$3*$Z$5+$AA$5-1)^0.5)+((2416/(F1444+459.6)-2.013)*LOG10(INDEX(FX_Input,S$5,F$3*$Z$5+$AA$5)))-(8742/(F1444+459.6))+15.64),EXP(INDEX(Antoines,MATCH(F1438,Antoine_Name,0),2)-INDEX(Antoines,MATCH(F1438,Antoine_Name,0),3)/(F1444+459.6))))),0)</f>
        <v>0</v>
      </c>
      <c r="G1449" cm="1">
        <f t="array" ref="G1449">IFERROR(IF(G1439="Chemical",(10^(INDEX(Antoines,MATCH(G1438,Antoine_Name,0),2)-INDEX(Antoines,MATCH(G1438,Antoine_Name,0),3)/(INDEX(Antoines,MATCH(G1438,Antoine_Name,0),4)+(G1444-32)*5/9)))*14.7/760,IF(G1439="Crude Oil",EXP((2799/(G1444+459.6)-2.227)*LOG10(INDEX(FX_Input,T$5,G$3*$Z$5+$AA$5))-(7261/(G1444+459.6))+12.82),IF(G1439="Refined Petroleum Stock",EXP((0.7553-(413/(G1444+459.6)))*(INDEX(FX_Input,T$5,G$3*$Z$5+$AA$5-1)^0.5)*LOG10(INDEX(FX_Input,T$5,G$3*$Z$5+$AA$5))-(1.854-(1042/(G1444+459.6)))*(INDEX(FX_Input,T$5,G$3*$Z$5+$AA$5-1)^0.5)+((2416/(G1444+459.6)-2.013)*LOG10(INDEX(FX_Input,T$5,G$3*$Z$5+$AA$5)))-(8742/(G1444+459.6))+15.64),EXP(INDEX(Antoines,MATCH(G1438,Antoine_Name,0),2)-INDEX(Antoines,MATCH(G1438,Antoine_Name,0),3)/(G1444+459.6))))),0)</f>
        <v>0</v>
      </c>
      <c r="H1449" cm="1">
        <f t="array" ref="H1449">IFERROR(IF(H1439="Chemical",(10^(INDEX(Antoines,MATCH(H1438,Antoine_Name,0),2)-INDEX(Antoines,MATCH(H1438,Antoine_Name,0),3)/(INDEX(Antoines,MATCH(H1438,Antoine_Name,0),4)+(H1444-32)*5/9)))*14.7/760,IF(H1439="Crude Oil",EXP((2799/(H1444+459.6)-2.227)*LOG10(INDEX(FX_Input,U$5,H$3*$Z$5+$AA$5))-(7261/(H1444+459.6))+12.82),IF(H1439="Refined Petroleum Stock",EXP((0.7553-(413/(H1444+459.6)))*(INDEX(FX_Input,U$5,H$3*$Z$5+$AA$5-1)^0.5)*LOG10(INDEX(FX_Input,U$5,H$3*$Z$5+$AA$5))-(1.854-(1042/(H1444+459.6)))*(INDEX(FX_Input,U$5,H$3*$Z$5+$AA$5-1)^0.5)+((2416/(H1444+459.6)-2.013)*LOG10(INDEX(FX_Input,U$5,H$3*$Z$5+$AA$5)))-(8742/(H1444+459.6))+15.64),EXP(INDEX(Antoines,MATCH(H1438,Antoine_Name,0),2)-INDEX(Antoines,MATCH(H1438,Antoine_Name,0),3)/(H1444+459.6))))),0)</f>
        <v>0</v>
      </c>
      <c r="I1449" cm="1">
        <f t="array" ref="I1449">IFERROR(IF(I1439="Chemical",(10^(INDEX(Antoines,MATCH(I1438,Antoine_Name,0),2)-INDEX(Antoines,MATCH(I1438,Antoine_Name,0),3)/(INDEX(Antoines,MATCH(I1438,Antoine_Name,0),4)+(I1444-32)*5/9)))*14.7/760,IF(I1439="Crude Oil",EXP((2799/(I1444+459.6)-2.227)*LOG10(INDEX(FX_Input,V$5,I$3*$Z$5+$AA$5))-(7261/(I1444+459.6))+12.82),IF(I1439="Refined Petroleum Stock",EXP((0.7553-(413/(I1444+459.6)))*(INDEX(FX_Input,V$5,I$3*$Z$5+$AA$5-1)^0.5)*LOG10(INDEX(FX_Input,V$5,I$3*$Z$5+$AA$5))-(1.854-(1042/(I1444+459.6)))*(INDEX(FX_Input,V$5,I$3*$Z$5+$AA$5-1)^0.5)+((2416/(I1444+459.6)-2.013)*LOG10(INDEX(FX_Input,V$5,I$3*$Z$5+$AA$5)))-(8742/(I1444+459.6))+15.64),EXP(INDEX(Antoines,MATCH(I1438,Antoine_Name,0),2)-INDEX(Antoines,MATCH(I1438,Antoine_Name,0),3)/(I1444+459.6))))),0)</f>
        <v>0</v>
      </c>
      <c r="J1449" cm="1">
        <f t="array" ref="J1449">IFERROR(IF(J1439="Chemical",(10^(INDEX(Antoines,MATCH(J1438,Antoine_Name,0),2)-INDEX(Antoines,MATCH(J1438,Antoine_Name,0),3)/(INDEX(Antoines,MATCH(J1438,Antoine_Name,0),4)+(J1444-32)*5/9)))*14.7/760,IF(J1439="Crude Oil",EXP((2799/(J1444+459.6)-2.227)*LOG10(INDEX(FX_Input,W$5,J$3*$Z$5+$AA$5))-(7261/(J1444+459.6))+12.82),IF(J1439="Refined Petroleum Stock",EXP((0.7553-(413/(J1444+459.6)))*(INDEX(FX_Input,W$5,J$3*$Z$5+$AA$5-1)^0.5)*LOG10(INDEX(FX_Input,W$5,J$3*$Z$5+$AA$5))-(1.854-(1042/(J1444+459.6)))*(INDEX(FX_Input,W$5,J$3*$Z$5+$AA$5-1)^0.5)+((2416/(J1444+459.6)-2.013)*LOG10(INDEX(FX_Input,W$5,J$3*$Z$5+$AA$5)))-(8742/(J1444+459.6))+15.64),EXP(INDEX(Antoines,MATCH(J1438,Antoine_Name,0),2)-INDEX(Antoines,MATCH(J1438,Antoine_Name,0),3)/(J1444+459.6))))),0)</f>
        <v>0</v>
      </c>
      <c r="K1449" cm="1">
        <f t="array" ref="K1449">IFERROR(IF(K1439="Chemical",(10^(INDEX(Antoines,MATCH(K1438,Antoine_Name,0),2)-INDEX(Antoines,MATCH(K1438,Antoine_Name,0),3)/(INDEX(Antoines,MATCH(K1438,Antoine_Name,0),4)+(K1444-32)*5/9)))*14.7/760,IF(K1439="Crude Oil",EXP((2799/(K1444+459.6)-2.227)*LOG10(INDEX(FX_Input,X$5,K$3*$Z$5+$AA$5))-(7261/(K1444+459.6))+12.82),IF(K1439="Refined Petroleum Stock",EXP((0.7553-(413/(K1444+459.6)))*(INDEX(FX_Input,X$5,K$3*$Z$5+$AA$5-1)^0.5)*LOG10(INDEX(FX_Input,X$5,K$3*$Z$5+$AA$5))-(1.854-(1042/(K1444+459.6)))*(INDEX(FX_Input,X$5,K$3*$Z$5+$AA$5-1)^0.5)+((2416/(K1444+459.6)-2.013)*LOG10(INDEX(FX_Input,X$5,K$3*$Z$5+$AA$5)))-(8742/(K1444+459.6))+15.64),EXP(INDEX(Antoines,MATCH(K1438,Antoine_Name,0),2)-INDEX(Antoines,MATCH(K1438,Antoine_Name,0),3)/(K1444+459.6))))),0)</f>
        <v>0</v>
      </c>
      <c r="L1449" cm="1">
        <f t="array" ref="L1449">IFERROR(IF(L1439="Chemical",(10^(INDEX(Antoines,MATCH(L1438,Antoine_Name,0),2)-INDEX(Antoines,MATCH(L1438,Antoine_Name,0),3)/(INDEX(Antoines,MATCH(L1438,Antoine_Name,0),4)+(L1444-32)*5/9)))*14.7/760,IF(L1439="Crude Oil",EXP((2799/(L1444+459.6)-2.227)*LOG10(INDEX(FX_Input,Y$5,L$3*$Z$5+$AA$5))-(7261/(L1444+459.6))+12.82),IF(L1439="Refined Petroleum Stock",EXP((0.7553-(413/(L1444+459.6)))*(INDEX(FX_Input,Y$5,L$3*$Z$5+$AA$5-1)^0.5)*LOG10(INDEX(FX_Input,Y$5,L$3*$Z$5+$AA$5))-(1.854-(1042/(L1444+459.6)))*(INDEX(FX_Input,Y$5,L$3*$Z$5+$AA$5-1)^0.5)+((2416/(L1444+459.6)-2.013)*LOG10(INDEX(FX_Input,Y$5,L$3*$Z$5+$AA$5)))-(8742/(L1444+459.6))+15.64),EXP(INDEX(Antoines,MATCH(L1438,Antoine_Name,0),2)-INDEX(Antoines,MATCH(L1438,Antoine_Name,0),3)/(L1444+459.6))))),0)</f>
        <v>0</v>
      </c>
      <c r="M1449" cm="1">
        <f t="array" ref="M1449">IFERROR(IF(M1439="Chemical",(10^(INDEX(Antoines,MATCH(M1438,Antoine_Name,0),2)-INDEX(Antoines,MATCH(M1438,Antoine_Name,0),3)/(INDEX(Antoines,MATCH(M1438,Antoine_Name,0),4)+(M1444-32)*5/9)))*14.7/760,IF(M1439="Crude Oil",EXP((2799/(M1444+459.6)-2.227)*LOG10(INDEX(FX_Input,Z$5,M$3*$Z$5+$AA$5))-(7261/(M1444+459.6))+12.82),IF(M1439="Refined Petroleum Stock",EXP((0.7553-(413/(M1444+459.6)))*(INDEX(FX_Input,Z$5,M$3*$Z$5+$AA$5-1)^0.5)*LOG10(INDEX(FX_Input,Z$5,M$3*$Z$5+$AA$5))-(1.854-(1042/(M1444+459.6)))*(INDEX(FX_Input,Z$5,M$3*$Z$5+$AA$5-1)^0.5)+((2416/(M1444+459.6)-2.013)*LOG10(INDEX(FX_Input,Z$5,M$3*$Z$5+$AA$5)))-(8742/(M1444+459.6))+15.64),EXP(INDEX(Antoines,MATCH(M1438,Antoine_Name,0),2)-INDEX(Antoines,MATCH(M1438,Antoine_Name,0),3)/(M1444+459.6))))),0)</f>
        <v>0</v>
      </c>
      <c r="N1449" cm="1">
        <f t="array" ref="N1449">IFERROR(IF(N1439="Chemical",(10^(INDEX(Antoines,MATCH(N1438,Antoine_Name,0),2)-INDEX(Antoines,MATCH(N1438,Antoine_Name,0),3)/(INDEX(Antoines,MATCH(N1438,Antoine_Name,0),4)+(N1444-32)*5/9)))*14.7/760,IF(N1439="Crude Oil",EXP((2799/(N1444+459.6)-2.227)*LOG10(INDEX(FX_Input,AA$5,N$3*$Z$5+$AA$5))-(7261/(N1444+459.6))+12.82),IF(N1439="Refined Petroleum Stock",EXP((0.7553-(413/(N1444+459.6)))*(INDEX(FX_Input,AA$5,N$3*$Z$5+$AA$5-1)^0.5)*LOG10(INDEX(FX_Input,AA$5,N$3*$Z$5+$AA$5))-(1.854-(1042/(N1444+459.6)))*(INDEX(FX_Input,AA$5,N$3*$Z$5+$AA$5-1)^0.5)+((2416/(N1444+459.6)-2.013)*LOG10(INDEX(FX_Input,AA$5,N$3*$Z$5+$AA$5)))-(8742/(N1444+459.6))+15.64),EXP(INDEX(Antoines,MATCH(N1438,Antoine_Name,0),2)-INDEX(Antoines,MATCH(N1438,Antoine_Name,0),3)/(N1444+459.6))))),0)</f>
        <v>0</v>
      </c>
      <c r="O1449" cm="1">
        <f t="array" ref="O1449">IFERROR(IF(O1439="Chemical",(10^(INDEX(Antoines,MATCH(O1438,Antoine_Name,0),2)-INDEX(Antoines,MATCH(O1438,Antoine_Name,0),3)/(INDEX(Antoines,MATCH(O1438,Antoine_Name,0),4)+(O1444-32)*5/9)))*14.7/760,IF(O1439="Crude Oil",EXP((2799/(O1444+459.6)-2.227)*LOG10(INDEX(FX_Input,AB$5,O$3*$Z$5+$AA$5))-(7261/(O1444+459.6))+12.82),IF(O1439="Refined Petroleum Stock",EXP((0.7553-(413/(O1444+459.6)))*(INDEX(FX_Input,AB$5,O$3*$Z$5+$AA$5-1)^0.5)*LOG10(INDEX(FX_Input,AB$5,O$3*$Z$5+$AA$5))-(1.854-(1042/(O1444+459.6)))*(INDEX(FX_Input,AB$5,O$3*$Z$5+$AA$5-1)^0.5)+((2416/(O1444+459.6)-2.013)*LOG10(INDEX(FX_Input,AB$5,O$3*$Z$5+$AA$5)))-(8742/(O1444+459.6))+15.64),EXP(INDEX(Antoines,MATCH(O1438,Antoine_Name,0),2)-INDEX(Antoines,MATCH(O1438,Antoine_Name,0),3)/(O1444+459.6))))),0)</f>
        <v>0</v>
      </c>
    </row>
    <row r="1450" spans="2:32" ht="17.149999999999999" x14ac:dyDescent="0.55000000000000004">
      <c r="B1450" t="str">
        <f t="shared" si="5268"/>
        <v>Portland</v>
      </c>
      <c r="C1450" t="s">
        <v>577</v>
      </c>
      <c r="D1450">
        <f>D1449*D1442</f>
        <v>0</v>
      </c>
      <c r="E1450">
        <f t="shared" ref="E1450" si="5280">E1449*E1442</f>
        <v>0</v>
      </c>
      <c r="F1450">
        <f t="shared" ref="F1450" si="5281">F1449*F1442</f>
        <v>0</v>
      </c>
      <c r="G1450">
        <f t="shared" ref="G1450" si="5282">G1449*G1442</f>
        <v>0</v>
      </c>
      <c r="H1450">
        <f t="shared" ref="H1450" si="5283">H1449*H1442</f>
        <v>0</v>
      </c>
      <c r="I1450">
        <f t="shared" ref="I1450" si="5284">I1449*I1442</f>
        <v>0</v>
      </c>
      <c r="J1450">
        <f t="shared" ref="J1450" si="5285">J1449*J1442</f>
        <v>0</v>
      </c>
      <c r="K1450">
        <f t="shared" ref="K1450" si="5286">K1449*K1442</f>
        <v>0</v>
      </c>
      <c r="L1450">
        <f t="shared" ref="L1450" si="5287">L1449*L1442</f>
        <v>0</v>
      </c>
      <c r="M1450">
        <f t="shared" ref="M1450" si="5288">M1449*M1442</f>
        <v>0</v>
      </c>
      <c r="N1450">
        <f t="shared" ref="N1450" si="5289">N1449*N1442</f>
        <v>0</v>
      </c>
      <c r="O1450">
        <f t="shared" ref="O1450" si="5290">O1449*O1442</f>
        <v>0</v>
      </c>
    </row>
    <row r="1451" spans="2:32" ht="17.149999999999999" x14ac:dyDescent="0.55000000000000004">
      <c r="B1451" t="str">
        <f t="shared" si="5268"/>
        <v>Portland</v>
      </c>
      <c r="C1451" t="s">
        <v>578</v>
      </c>
      <c r="D1451">
        <f>D1450+D1448</f>
        <v>4.739577185808354E-3</v>
      </c>
      <c r="E1451">
        <f t="shared" ref="E1451" si="5291">E1450+E1448</f>
        <v>4.8748667780818778E-3</v>
      </c>
      <c r="F1451">
        <f t="shared" ref="F1451" si="5292">F1450+F1448</f>
        <v>5.119885034186122E-3</v>
      </c>
      <c r="G1451">
        <f t="shared" ref="G1451" si="5293">G1450+G1448</f>
        <v>5.5846958573521795E-3</v>
      </c>
      <c r="H1451">
        <f t="shared" ref="H1451" si="5294">H1450+H1448</f>
        <v>6.5274070972739821E-3</v>
      </c>
      <c r="I1451">
        <f t="shared" ref="I1451" si="5295">I1450+I1448</f>
        <v>7.4199539958878279E-3</v>
      </c>
      <c r="J1451">
        <f t="shared" ref="J1451" si="5296">J1450+J1448</f>
        <v>8.3358107202842254E-3</v>
      </c>
      <c r="K1451">
        <f t="shared" ref="K1451" si="5297">K1450+K1448</f>
        <v>8.4605262729351115E-3</v>
      </c>
      <c r="L1451">
        <f t="shared" ref="L1451" si="5298">L1450+L1448</f>
        <v>7.8399882233967533E-3</v>
      </c>
      <c r="M1451">
        <f t="shared" ref="M1451" si="5299">M1450+M1448</f>
        <v>6.4173462075160911E-3</v>
      </c>
      <c r="N1451">
        <f t="shared" ref="N1451" si="5300">N1450+N1448</f>
        <v>5.3015226887581056E-3</v>
      </c>
      <c r="O1451">
        <f t="shared" ref="O1451" si="5301">O1450+O1448</f>
        <v>4.68970903600947E-3</v>
      </c>
    </row>
    <row r="1452" spans="2:32" ht="17.149999999999999" x14ac:dyDescent="0.55000000000000004">
      <c r="B1452" t="str">
        <f t="shared" si="5268"/>
        <v>Portland</v>
      </c>
      <c r="C1452" t="s">
        <v>579</v>
      </c>
      <c r="D1452" cm="1">
        <f t="array" ref="D1452">IFERROR(IF(D1437="Chemical",(10^(INDEX(Antoines,MATCH(D1436,Antoine_Name,0),2)-INDEX(Antoines,MATCH(D1436,Antoine_Name,0),3)/(INDEX(Antoines,MATCH(D1436,Antoine_Name,0),4)+(D1445-32)*5/9)))*14.7/760,IF(D1437="Crude Oil",EXP((2799/(D1445+459.6)-2.227)*LOG10(INDEX(FX_Input,Q$5,D$3*$Z$5+$AA$5))-(7261/(D1445+459.6))+12.82),IF(D1437="Refined Petroleum Stock",EXP((0.7553-(413/(D1445+459.6)))*(INDEX(FX_Input,Q$5,D$3*$Z$5+$AA$5-1)^0.5)*LOG10(INDEX(FX_Input,Q$5,D$3*$Z$5+$AA$5))-(1.854-(1042/(D1445+459.6)))*(INDEX(FX_Input,Q$5,D$3*$Z$5+$AA$5-1)^0.5)+((2416/(D1445+459.6)-2.013)*LOG10(INDEX(FX_Input,Q$5,D$3*$Z$5+$AA$5)))-(8742/(D1445+459.6))+15.64),EXP(INDEX(Antoines,MATCH(D1436,Antoine_Name,0),2)-INDEX(Antoines,MATCH(D1436,Antoine_Name,0),3)/(D1445+459.6))))),0)</f>
        <v>4.739577185808354E-3</v>
      </c>
      <c r="E1452" cm="1">
        <f t="array" ref="E1452">IFERROR(IF(E1437="Chemical",(10^(INDEX(Antoines,MATCH(E1436,Antoine_Name,0),2)-INDEX(Antoines,MATCH(E1436,Antoine_Name,0),3)/(INDEX(Antoines,MATCH(E1436,Antoine_Name,0),4)+(E1445-32)*5/9)))*14.7/760,IF(E1437="Crude Oil",EXP((2799/(E1445+459.6)-2.227)*LOG10(INDEX(FX_Input,R$5,E$3*$Z$5+$AA$5))-(7261/(E1445+459.6))+12.82),IF(E1437="Refined Petroleum Stock",EXP((0.7553-(413/(E1445+459.6)))*(INDEX(FX_Input,R$5,E$3*$Z$5+$AA$5-1)^0.5)*LOG10(INDEX(FX_Input,R$5,E$3*$Z$5+$AA$5))-(1.854-(1042/(E1445+459.6)))*(INDEX(FX_Input,R$5,E$3*$Z$5+$AA$5-1)^0.5)+((2416/(E1445+459.6)-2.013)*LOG10(INDEX(FX_Input,R$5,E$3*$Z$5+$AA$5)))-(8742/(E1445+459.6))+15.64),EXP(INDEX(Antoines,MATCH(E1436,Antoine_Name,0),2)-INDEX(Antoines,MATCH(E1436,Antoine_Name,0),3)/(E1445+459.6))))),0)</f>
        <v>4.8748667780818778E-3</v>
      </c>
      <c r="F1452" cm="1">
        <f t="array" ref="F1452">IFERROR(IF(F1437="Chemical",(10^(INDEX(Antoines,MATCH(F1436,Antoine_Name,0),2)-INDEX(Antoines,MATCH(F1436,Antoine_Name,0),3)/(INDEX(Antoines,MATCH(F1436,Antoine_Name,0),4)+(F1445-32)*5/9)))*14.7/760,IF(F1437="Crude Oil",EXP((2799/(F1445+459.6)-2.227)*LOG10(INDEX(FX_Input,S$5,F$3*$Z$5+$AA$5))-(7261/(F1445+459.6))+12.82),IF(F1437="Refined Petroleum Stock",EXP((0.7553-(413/(F1445+459.6)))*(INDEX(FX_Input,S$5,F$3*$Z$5+$AA$5-1)^0.5)*LOG10(INDEX(FX_Input,S$5,F$3*$Z$5+$AA$5))-(1.854-(1042/(F1445+459.6)))*(INDEX(FX_Input,S$5,F$3*$Z$5+$AA$5-1)^0.5)+((2416/(F1445+459.6)-2.013)*LOG10(INDEX(FX_Input,S$5,F$3*$Z$5+$AA$5)))-(8742/(F1445+459.6))+15.64),EXP(INDEX(Antoines,MATCH(F1436,Antoine_Name,0),2)-INDEX(Antoines,MATCH(F1436,Antoine_Name,0),3)/(F1445+459.6))))),0)</f>
        <v>5.119885034186122E-3</v>
      </c>
      <c r="G1452" cm="1">
        <f t="array" ref="G1452">IFERROR(IF(G1437="Chemical",(10^(INDEX(Antoines,MATCH(G1436,Antoine_Name,0),2)-INDEX(Antoines,MATCH(G1436,Antoine_Name,0),3)/(INDEX(Antoines,MATCH(G1436,Antoine_Name,0),4)+(G1445-32)*5/9)))*14.7/760,IF(G1437="Crude Oil",EXP((2799/(G1445+459.6)-2.227)*LOG10(INDEX(FX_Input,T$5,G$3*$Z$5+$AA$5))-(7261/(G1445+459.6))+12.82),IF(G1437="Refined Petroleum Stock",EXP((0.7553-(413/(G1445+459.6)))*(INDEX(FX_Input,T$5,G$3*$Z$5+$AA$5-1)^0.5)*LOG10(INDEX(FX_Input,T$5,G$3*$Z$5+$AA$5))-(1.854-(1042/(G1445+459.6)))*(INDEX(FX_Input,T$5,G$3*$Z$5+$AA$5-1)^0.5)+((2416/(G1445+459.6)-2.013)*LOG10(INDEX(FX_Input,T$5,G$3*$Z$5+$AA$5)))-(8742/(G1445+459.6))+15.64),EXP(INDEX(Antoines,MATCH(G1436,Antoine_Name,0),2)-INDEX(Antoines,MATCH(G1436,Antoine_Name,0),3)/(G1445+459.6))))),0)</f>
        <v>5.5846958573521795E-3</v>
      </c>
      <c r="H1452" cm="1">
        <f t="array" ref="H1452">IFERROR(IF(H1437="Chemical",(10^(INDEX(Antoines,MATCH(H1436,Antoine_Name,0),2)-INDEX(Antoines,MATCH(H1436,Antoine_Name,0),3)/(INDEX(Antoines,MATCH(H1436,Antoine_Name,0),4)+(H1445-32)*5/9)))*14.7/760,IF(H1437="Crude Oil",EXP((2799/(H1445+459.6)-2.227)*LOG10(INDEX(FX_Input,U$5,H$3*$Z$5+$AA$5))-(7261/(H1445+459.6))+12.82),IF(H1437="Refined Petroleum Stock",EXP((0.7553-(413/(H1445+459.6)))*(INDEX(FX_Input,U$5,H$3*$Z$5+$AA$5-1)^0.5)*LOG10(INDEX(FX_Input,U$5,H$3*$Z$5+$AA$5))-(1.854-(1042/(H1445+459.6)))*(INDEX(FX_Input,U$5,H$3*$Z$5+$AA$5-1)^0.5)+((2416/(H1445+459.6)-2.013)*LOG10(INDEX(FX_Input,U$5,H$3*$Z$5+$AA$5)))-(8742/(H1445+459.6))+15.64),EXP(INDEX(Antoines,MATCH(H1436,Antoine_Name,0),2)-INDEX(Antoines,MATCH(H1436,Antoine_Name,0),3)/(H1445+459.6))))),0)</f>
        <v>6.5274070972739821E-3</v>
      </c>
      <c r="I1452" cm="1">
        <f t="array" ref="I1452">IFERROR(IF(I1437="Chemical",(10^(INDEX(Antoines,MATCH(I1436,Antoine_Name,0),2)-INDEX(Antoines,MATCH(I1436,Antoine_Name,0),3)/(INDEX(Antoines,MATCH(I1436,Antoine_Name,0),4)+(I1445-32)*5/9)))*14.7/760,IF(I1437="Crude Oil",EXP((2799/(I1445+459.6)-2.227)*LOG10(INDEX(FX_Input,V$5,I$3*$Z$5+$AA$5))-(7261/(I1445+459.6))+12.82),IF(I1437="Refined Petroleum Stock",EXP((0.7553-(413/(I1445+459.6)))*(INDEX(FX_Input,V$5,I$3*$Z$5+$AA$5-1)^0.5)*LOG10(INDEX(FX_Input,V$5,I$3*$Z$5+$AA$5))-(1.854-(1042/(I1445+459.6)))*(INDEX(FX_Input,V$5,I$3*$Z$5+$AA$5-1)^0.5)+((2416/(I1445+459.6)-2.013)*LOG10(INDEX(FX_Input,V$5,I$3*$Z$5+$AA$5)))-(8742/(I1445+459.6))+15.64),EXP(INDEX(Antoines,MATCH(I1436,Antoine_Name,0),2)-INDEX(Antoines,MATCH(I1436,Antoine_Name,0),3)/(I1445+459.6))))),0)</f>
        <v>7.4199539958878279E-3</v>
      </c>
      <c r="J1452" cm="1">
        <f t="array" ref="J1452">IFERROR(IF(J1437="Chemical",(10^(INDEX(Antoines,MATCH(J1436,Antoine_Name,0),2)-INDEX(Antoines,MATCH(J1436,Antoine_Name,0),3)/(INDEX(Antoines,MATCH(J1436,Antoine_Name,0),4)+(J1445-32)*5/9)))*14.7/760,IF(J1437="Crude Oil",EXP((2799/(J1445+459.6)-2.227)*LOG10(INDEX(FX_Input,W$5,J$3*$Z$5+$AA$5))-(7261/(J1445+459.6))+12.82),IF(J1437="Refined Petroleum Stock",EXP((0.7553-(413/(J1445+459.6)))*(INDEX(FX_Input,W$5,J$3*$Z$5+$AA$5-1)^0.5)*LOG10(INDEX(FX_Input,W$5,J$3*$Z$5+$AA$5))-(1.854-(1042/(J1445+459.6)))*(INDEX(FX_Input,W$5,J$3*$Z$5+$AA$5-1)^0.5)+((2416/(J1445+459.6)-2.013)*LOG10(INDEX(FX_Input,W$5,J$3*$Z$5+$AA$5)))-(8742/(J1445+459.6))+15.64),EXP(INDEX(Antoines,MATCH(J1436,Antoine_Name,0),2)-INDEX(Antoines,MATCH(J1436,Antoine_Name,0),3)/(J1445+459.6))))),0)</f>
        <v>8.3358107202842254E-3</v>
      </c>
      <c r="K1452" cm="1">
        <f t="array" ref="K1452">IFERROR(IF(K1437="Chemical",(10^(INDEX(Antoines,MATCH(K1436,Antoine_Name,0),2)-INDEX(Antoines,MATCH(K1436,Antoine_Name,0),3)/(INDEX(Antoines,MATCH(K1436,Antoine_Name,0),4)+(K1445-32)*5/9)))*14.7/760,IF(K1437="Crude Oil",EXP((2799/(K1445+459.6)-2.227)*LOG10(INDEX(FX_Input,X$5,K$3*$Z$5+$AA$5))-(7261/(K1445+459.6))+12.82),IF(K1437="Refined Petroleum Stock",EXP((0.7553-(413/(K1445+459.6)))*(INDEX(FX_Input,X$5,K$3*$Z$5+$AA$5-1)^0.5)*LOG10(INDEX(FX_Input,X$5,K$3*$Z$5+$AA$5))-(1.854-(1042/(K1445+459.6)))*(INDEX(FX_Input,X$5,K$3*$Z$5+$AA$5-1)^0.5)+((2416/(K1445+459.6)-2.013)*LOG10(INDEX(FX_Input,X$5,K$3*$Z$5+$AA$5)))-(8742/(K1445+459.6))+15.64),EXP(INDEX(Antoines,MATCH(K1436,Antoine_Name,0),2)-INDEX(Antoines,MATCH(K1436,Antoine_Name,0),3)/(K1445+459.6))))),0)</f>
        <v>8.4605262729351115E-3</v>
      </c>
      <c r="L1452" cm="1">
        <f t="array" ref="L1452">IFERROR(IF(L1437="Chemical",(10^(INDEX(Antoines,MATCH(L1436,Antoine_Name,0),2)-INDEX(Antoines,MATCH(L1436,Antoine_Name,0),3)/(INDEX(Antoines,MATCH(L1436,Antoine_Name,0),4)+(L1445-32)*5/9)))*14.7/760,IF(L1437="Crude Oil",EXP((2799/(L1445+459.6)-2.227)*LOG10(INDEX(FX_Input,Y$5,L$3*$Z$5+$AA$5))-(7261/(L1445+459.6))+12.82),IF(L1437="Refined Petroleum Stock",EXP((0.7553-(413/(L1445+459.6)))*(INDEX(FX_Input,Y$5,L$3*$Z$5+$AA$5-1)^0.5)*LOG10(INDEX(FX_Input,Y$5,L$3*$Z$5+$AA$5))-(1.854-(1042/(L1445+459.6)))*(INDEX(FX_Input,Y$5,L$3*$Z$5+$AA$5-1)^0.5)+((2416/(L1445+459.6)-2.013)*LOG10(INDEX(FX_Input,Y$5,L$3*$Z$5+$AA$5)))-(8742/(L1445+459.6))+15.64),EXP(INDEX(Antoines,MATCH(L1436,Antoine_Name,0),2)-INDEX(Antoines,MATCH(L1436,Antoine_Name,0),3)/(L1445+459.6))))),0)</f>
        <v>7.8399882233967533E-3</v>
      </c>
      <c r="M1452" cm="1">
        <f t="array" ref="M1452">IFERROR(IF(M1437="Chemical",(10^(INDEX(Antoines,MATCH(M1436,Antoine_Name,0),2)-INDEX(Antoines,MATCH(M1436,Antoine_Name,0),3)/(INDEX(Antoines,MATCH(M1436,Antoine_Name,0),4)+(M1445-32)*5/9)))*14.7/760,IF(M1437="Crude Oil",EXP((2799/(M1445+459.6)-2.227)*LOG10(INDEX(FX_Input,Z$5,M$3*$Z$5+$AA$5))-(7261/(M1445+459.6))+12.82),IF(M1437="Refined Petroleum Stock",EXP((0.7553-(413/(M1445+459.6)))*(INDEX(FX_Input,Z$5,M$3*$Z$5+$AA$5-1)^0.5)*LOG10(INDEX(FX_Input,Z$5,M$3*$Z$5+$AA$5))-(1.854-(1042/(M1445+459.6)))*(INDEX(FX_Input,Z$5,M$3*$Z$5+$AA$5-1)^0.5)+((2416/(M1445+459.6)-2.013)*LOG10(INDEX(FX_Input,Z$5,M$3*$Z$5+$AA$5)))-(8742/(M1445+459.6))+15.64),EXP(INDEX(Antoines,MATCH(M1436,Antoine_Name,0),2)-INDEX(Antoines,MATCH(M1436,Antoine_Name,0),3)/(M1445+459.6))))),0)</f>
        <v>6.4173462075160911E-3</v>
      </c>
      <c r="N1452" cm="1">
        <f t="array" ref="N1452">IFERROR(IF(N1437="Chemical",(10^(INDEX(Antoines,MATCH(N1436,Antoine_Name,0),2)-INDEX(Antoines,MATCH(N1436,Antoine_Name,0),3)/(INDEX(Antoines,MATCH(N1436,Antoine_Name,0),4)+(N1445-32)*5/9)))*14.7/760,IF(N1437="Crude Oil",EXP((2799/(N1445+459.6)-2.227)*LOG10(INDEX(FX_Input,AA$5,N$3*$Z$5+$AA$5))-(7261/(N1445+459.6))+12.82),IF(N1437="Refined Petroleum Stock",EXP((0.7553-(413/(N1445+459.6)))*(INDEX(FX_Input,AA$5,N$3*$Z$5+$AA$5-1)^0.5)*LOG10(INDEX(FX_Input,AA$5,N$3*$Z$5+$AA$5))-(1.854-(1042/(N1445+459.6)))*(INDEX(FX_Input,AA$5,N$3*$Z$5+$AA$5-1)^0.5)+((2416/(N1445+459.6)-2.013)*LOG10(INDEX(FX_Input,AA$5,N$3*$Z$5+$AA$5)))-(8742/(N1445+459.6))+15.64),EXP(INDEX(Antoines,MATCH(N1436,Antoine_Name,0),2)-INDEX(Antoines,MATCH(N1436,Antoine_Name,0),3)/(N1445+459.6))))),0)</f>
        <v>5.3015226887581056E-3</v>
      </c>
      <c r="O1452" cm="1">
        <f t="array" ref="O1452">IFERROR(IF(O1437="Chemical",(10^(INDEX(Antoines,MATCH(O1436,Antoine_Name,0),2)-INDEX(Antoines,MATCH(O1436,Antoine_Name,0),3)/(INDEX(Antoines,MATCH(O1436,Antoine_Name,0),4)+(O1445-32)*5/9)))*14.7/760,IF(O1437="Crude Oil",EXP((2799/(O1445+459.6)-2.227)*LOG10(INDEX(FX_Input,AB$5,O$3*$Z$5+$AA$5))-(7261/(O1445+459.6))+12.82),IF(O1437="Refined Petroleum Stock",EXP((0.7553-(413/(O1445+459.6)))*(INDEX(FX_Input,AB$5,O$3*$Z$5+$AA$5-1)^0.5)*LOG10(INDEX(FX_Input,AB$5,O$3*$Z$5+$AA$5))-(1.854-(1042/(O1445+459.6)))*(INDEX(FX_Input,AB$5,O$3*$Z$5+$AA$5-1)^0.5)+((2416/(O1445+459.6)-2.013)*LOG10(INDEX(FX_Input,AB$5,O$3*$Z$5+$AA$5)))-(8742/(O1445+459.6))+15.64),EXP(INDEX(Antoines,MATCH(O1436,Antoine_Name,0),2)-INDEX(Antoines,MATCH(O1436,Antoine_Name,0),3)/(O1445+459.6))))),0)</f>
        <v>4.68970903600947E-3</v>
      </c>
    </row>
    <row r="1453" spans="2:32" ht="17.149999999999999" x14ac:dyDescent="0.55000000000000004">
      <c r="B1453" t="str">
        <f t="shared" si="5268"/>
        <v>Portland</v>
      </c>
      <c r="C1453" t="s">
        <v>580</v>
      </c>
      <c r="D1453">
        <f>D1452*D1440</f>
        <v>4.739577185808354E-3</v>
      </c>
      <c r="E1453">
        <f t="shared" ref="E1453" si="5302">E1452*E1440</f>
        <v>4.8748667780818778E-3</v>
      </c>
      <c r="F1453">
        <f t="shared" ref="F1453" si="5303">F1452*F1440</f>
        <v>5.119885034186122E-3</v>
      </c>
      <c r="G1453">
        <f t="shared" ref="G1453" si="5304">G1452*G1440</f>
        <v>5.5846958573521795E-3</v>
      </c>
      <c r="H1453">
        <f t="shared" ref="H1453" si="5305">H1452*H1440</f>
        <v>6.5274070972739821E-3</v>
      </c>
      <c r="I1453">
        <f t="shared" ref="I1453" si="5306">I1452*I1440</f>
        <v>7.4199539958878279E-3</v>
      </c>
      <c r="J1453">
        <f t="shared" ref="J1453" si="5307">J1452*J1440</f>
        <v>8.3358107202842254E-3</v>
      </c>
      <c r="K1453">
        <f t="shared" ref="K1453" si="5308">K1452*K1440</f>
        <v>8.4605262729351115E-3</v>
      </c>
      <c r="L1453">
        <f t="shared" ref="L1453" si="5309">L1452*L1440</f>
        <v>7.8399882233967533E-3</v>
      </c>
      <c r="M1453">
        <f t="shared" ref="M1453" si="5310">M1452*M1440</f>
        <v>6.4173462075160911E-3</v>
      </c>
      <c r="N1453">
        <f t="shared" ref="N1453" si="5311">N1452*N1440</f>
        <v>5.3015226887581056E-3</v>
      </c>
      <c r="O1453">
        <f t="shared" ref="O1453" si="5312">O1452*O1440</f>
        <v>4.68970903600947E-3</v>
      </c>
    </row>
    <row r="1454" spans="2:32" ht="17.149999999999999" x14ac:dyDescent="0.55000000000000004">
      <c r="B1454" t="str">
        <f t="shared" si="5268"/>
        <v>Portland</v>
      </c>
      <c r="C1454" t="s">
        <v>581</v>
      </c>
      <c r="D1454" cm="1">
        <f t="array" ref="D1454">IFERROR(IF(D1439="Chemical",(10^(INDEX(Antoines,MATCH(D1438,Antoine_Name,0),2)-INDEX(Antoines,MATCH(D1438,Antoine_Name,0),3)/(INDEX(Antoines,MATCH(D1438,Antoine_Name,0),4)+(D1445-32)*5/9)))*14.7/760,IF(D1439="Crude Oil",EXP((2799/(D1445+459.6)-2.227)*LOG10(INDEX(FX_Input,Q$5,D$3*$Z$5+$AA$5))-(7261/(D1445+459.6))+12.82),IF(D1439="Refined Petroleum Stock",EXP((0.7553-(413/(D1445+459.6)))*(INDEX(FX_Input,Q$5,D$3*$Z$5+$AA$5-1)^0.5)*LOG10(INDEX(FX_Input,Q$5,D$3*$Z$5+$AA$5))-(1.854-(1042/(D1445+459.6)))*(INDEX(FX_Input,Q$5,D$3*$Z$5+$AA$5-1)^0.5)+((2416/(D1445+459.6)-2.013)*LOG10(INDEX(FX_Input,Q$5,D$3*$Z$5+$AA$5)))-(8742/(D1445+459.6))+15.64),EXP(INDEX(Antoines,MATCH(D1438,Antoine_Name,0),2)-INDEX(Antoines,MATCH(D1438,Antoine_Name,0),3)/(D1445+459.6))))),0)</f>
        <v>0</v>
      </c>
      <c r="E1454" cm="1">
        <f t="array" ref="E1454">IFERROR(IF(E1439="Chemical",(10^(INDEX(Antoines,MATCH(E1438,Antoine_Name,0),2)-INDEX(Antoines,MATCH(E1438,Antoine_Name,0),3)/(INDEX(Antoines,MATCH(E1438,Antoine_Name,0),4)+(E1445-32)*5/9)))*14.7/760,IF(E1439="Crude Oil",EXP((2799/(E1445+459.6)-2.227)*LOG10(INDEX(FX_Input,R$5,E$3*$Z$5+$AA$5))-(7261/(E1445+459.6))+12.82),IF(E1439="Refined Petroleum Stock",EXP((0.7553-(413/(E1445+459.6)))*(INDEX(FX_Input,R$5,E$3*$Z$5+$AA$5-1)^0.5)*LOG10(INDEX(FX_Input,R$5,E$3*$Z$5+$AA$5))-(1.854-(1042/(E1445+459.6)))*(INDEX(FX_Input,R$5,E$3*$Z$5+$AA$5-1)^0.5)+((2416/(E1445+459.6)-2.013)*LOG10(INDEX(FX_Input,R$5,E$3*$Z$5+$AA$5)))-(8742/(E1445+459.6))+15.64),EXP(INDEX(Antoines,MATCH(E1438,Antoine_Name,0),2)-INDEX(Antoines,MATCH(E1438,Antoine_Name,0),3)/(E1445+459.6))))),0)</f>
        <v>0</v>
      </c>
      <c r="F1454" cm="1">
        <f t="array" ref="F1454">IFERROR(IF(F1439="Chemical",(10^(INDEX(Antoines,MATCH(F1438,Antoine_Name,0),2)-INDEX(Antoines,MATCH(F1438,Antoine_Name,0),3)/(INDEX(Antoines,MATCH(F1438,Antoine_Name,0),4)+(F1445-32)*5/9)))*14.7/760,IF(F1439="Crude Oil",EXP((2799/(F1445+459.6)-2.227)*LOG10(INDEX(FX_Input,S$5,F$3*$Z$5+$AA$5))-(7261/(F1445+459.6))+12.82),IF(F1439="Refined Petroleum Stock",EXP((0.7553-(413/(F1445+459.6)))*(INDEX(FX_Input,S$5,F$3*$Z$5+$AA$5-1)^0.5)*LOG10(INDEX(FX_Input,S$5,F$3*$Z$5+$AA$5))-(1.854-(1042/(F1445+459.6)))*(INDEX(FX_Input,S$5,F$3*$Z$5+$AA$5-1)^0.5)+((2416/(F1445+459.6)-2.013)*LOG10(INDEX(FX_Input,S$5,F$3*$Z$5+$AA$5)))-(8742/(F1445+459.6))+15.64),EXP(INDEX(Antoines,MATCH(F1438,Antoine_Name,0),2)-INDEX(Antoines,MATCH(F1438,Antoine_Name,0),3)/(F1445+459.6))))),0)</f>
        <v>0</v>
      </c>
      <c r="G1454" cm="1">
        <f t="array" ref="G1454">IFERROR(IF(G1439="Chemical",(10^(INDEX(Antoines,MATCH(G1438,Antoine_Name,0),2)-INDEX(Antoines,MATCH(G1438,Antoine_Name,0),3)/(INDEX(Antoines,MATCH(G1438,Antoine_Name,0),4)+(G1445-32)*5/9)))*14.7/760,IF(G1439="Crude Oil",EXP((2799/(G1445+459.6)-2.227)*LOG10(INDEX(FX_Input,T$5,G$3*$Z$5+$AA$5))-(7261/(G1445+459.6))+12.82),IF(G1439="Refined Petroleum Stock",EXP((0.7553-(413/(G1445+459.6)))*(INDEX(FX_Input,T$5,G$3*$Z$5+$AA$5-1)^0.5)*LOG10(INDEX(FX_Input,T$5,G$3*$Z$5+$AA$5))-(1.854-(1042/(G1445+459.6)))*(INDEX(FX_Input,T$5,G$3*$Z$5+$AA$5-1)^0.5)+((2416/(G1445+459.6)-2.013)*LOG10(INDEX(FX_Input,T$5,G$3*$Z$5+$AA$5)))-(8742/(G1445+459.6))+15.64),EXP(INDEX(Antoines,MATCH(G1438,Antoine_Name,0),2)-INDEX(Antoines,MATCH(G1438,Antoine_Name,0),3)/(G1445+459.6))))),0)</f>
        <v>0</v>
      </c>
      <c r="H1454" cm="1">
        <f t="array" ref="H1454">IFERROR(IF(H1439="Chemical",(10^(INDEX(Antoines,MATCH(H1438,Antoine_Name,0),2)-INDEX(Antoines,MATCH(H1438,Antoine_Name,0),3)/(INDEX(Antoines,MATCH(H1438,Antoine_Name,0),4)+(H1445-32)*5/9)))*14.7/760,IF(H1439="Crude Oil",EXP((2799/(H1445+459.6)-2.227)*LOG10(INDEX(FX_Input,U$5,H$3*$Z$5+$AA$5))-(7261/(H1445+459.6))+12.82),IF(H1439="Refined Petroleum Stock",EXP((0.7553-(413/(H1445+459.6)))*(INDEX(FX_Input,U$5,H$3*$Z$5+$AA$5-1)^0.5)*LOG10(INDEX(FX_Input,U$5,H$3*$Z$5+$AA$5))-(1.854-(1042/(H1445+459.6)))*(INDEX(FX_Input,U$5,H$3*$Z$5+$AA$5-1)^0.5)+((2416/(H1445+459.6)-2.013)*LOG10(INDEX(FX_Input,U$5,H$3*$Z$5+$AA$5)))-(8742/(H1445+459.6))+15.64),EXP(INDEX(Antoines,MATCH(H1438,Antoine_Name,0),2)-INDEX(Antoines,MATCH(H1438,Antoine_Name,0),3)/(H1445+459.6))))),0)</f>
        <v>0</v>
      </c>
      <c r="I1454" cm="1">
        <f t="array" ref="I1454">IFERROR(IF(I1439="Chemical",(10^(INDEX(Antoines,MATCH(I1438,Antoine_Name,0),2)-INDEX(Antoines,MATCH(I1438,Antoine_Name,0),3)/(INDEX(Antoines,MATCH(I1438,Antoine_Name,0),4)+(I1445-32)*5/9)))*14.7/760,IF(I1439="Crude Oil",EXP((2799/(I1445+459.6)-2.227)*LOG10(INDEX(FX_Input,V$5,I$3*$Z$5+$AA$5))-(7261/(I1445+459.6))+12.82),IF(I1439="Refined Petroleum Stock",EXP((0.7553-(413/(I1445+459.6)))*(INDEX(FX_Input,V$5,I$3*$Z$5+$AA$5-1)^0.5)*LOG10(INDEX(FX_Input,V$5,I$3*$Z$5+$AA$5))-(1.854-(1042/(I1445+459.6)))*(INDEX(FX_Input,V$5,I$3*$Z$5+$AA$5-1)^0.5)+((2416/(I1445+459.6)-2.013)*LOG10(INDEX(FX_Input,V$5,I$3*$Z$5+$AA$5)))-(8742/(I1445+459.6))+15.64),EXP(INDEX(Antoines,MATCH(I1438,Antoine_Name,0),2)-INDEX(Antoines,MATCH(I1438,Antoine_Name,0),3)/(I1445+459.6))))),0)</f>
        <v>0</v>
      </c>
      <c r="J1454" cm="1">
        <f t="array" ref="J1454">IFERROR(IF(J1439="Chemical",(10^(INDEX(Antoines,MATCH(J1438,Antoine_Name,0),2)-INDEX(Antoines,MATCH(J1438,Antoine_Name,0),3)/(INDEX(Antoines,MATCH(J1438,Antoine_Name,0),4)+(J1445-32)*5/9)))*14.7/760,IF(J1439="Crude Oil",EXP((2799/(J1445+459.6)-2.227)*LOG10(INDEX(FX_Input,W$5,J$3*$Z$5+$AA$5))-(7261/(J1445+459.6))+12.82),IF(J1439="Refined Petroleum Stock",EXP((0.7553-(413/(J1445+459.6)))*(INDEX(FX_Input,W$5,J$3*$Z$5+$AA$5-1)^0.5)*LOG10(INDEX(FX_Input,W$5,J$3*$Z$5+$AA$5))-(1.854-(1042/(J1445+459.6)))*(INDEX(FX_Input,W$5,J$3*$Z$5+$AA$5-1)^0.5)+((2416/(J1445+459.6)-2.013)*LOG10(INDEX(FX_Input,W$5,J$3*$Z$5+$AA$5)))-(8742/(J1445+459.6))+15.64),EXP(INDEX(Antoines,MATCH(J1438,Antoine_Name,0),2)-INDEX(Antoines,MATCH(J1438,Antoine_Name,0),3)/(J1445+459.6))))),0)</f>
        <v>0</v>
      </c>
      <c r="K1454" cm="1">
        <f t="array" ref="K1454">IFERROR(IF(K1439="Chemical",(10^(INDEX(Antoines,MATCH(K1438,Antoine_Name,0),2)-INDEX(Antoines,MATCH(K1438,Antoine_Name,0),3)/(INDEX(Antoines,MATCH(K1438,Antoine_Name,0),4)+(K1445-32)*5/9)))*14.7/760,IF(K1439="Crude Oil",EXP((2799/(K1445+459.6)-2.227)*LOG10(INDEX(FX_Input,X$5,K$3*$Z$5+$AA$5))-(7261/(K1445+459.6))+12.82),IF(K1439="Refined Petroleum Stock",EXP((0.7553-(413/(K1445+459.6)))*(INDEX(FX_Input,X$5,K$3*$Z$5+$AA$5-1)^0.5)*LOG10(INDEX(FX_Input,X$5,K$3*$Z$5+$AA$5))-(1.854-(1042/(K1445+459.6)))*(INDEX(FX_Input,X$5,K$3*$Z$5+$AA$5-1)^0.5)+((2416/(K1445+459.6)-2.013)*LOG10(INDEX(FX_Input,X$5,K$3*$Z$5+$AA$5)))-(8742/(K1445+459.6))+15.64),EXP(INDEX(Antoines,MATCH(K1438,Antoine_Name,0),2)-INDEX(Antoines,MATCH(K1438,Antoine_Name,0),3)/(K1445+459.6))))),0)</f>
        <v>0</v>
      </c>
      <c r="L1454" cm="1">
        <f t="array" ref="L1454">IFERROR(IF(L1439="Chemical",(10^(INDEX(Antoines,MATCH(L1438,Antoine_Name,0),2)-INDEX(Antoines,MATCH(L1438,Antoine_Name,0),3)/(INDEX(Antoines,MATCH(L1438,Antoine_Name,0),4)+(L1445-32)*5/9)))*14.7/760,IF(L1439="Crude Oil",EXP((2799/(L1445+459.6)-2.227)*LOG10(INDEX(FX_Input,Y$5,L$3*$Z$5+$AA$5))-(7261/(L1445+459.6))+12.82),IF(L1439="Refined Petroleum Stock",EXP((0.7553-(413/(L1445+459.6)))*(INDEX(FX_Input,Y$5,L$3*$Z$5+$AA$5-1)^0.5)*LOG10(INDEX(FX_Input,Y$5,L$3*$Z$5+$AA$5))-(1.854-(1042/(L1445+459.6)))*(INDEX(FX_Input,Y$5,L$3*$Z$5+$AA$5-1)^0.5)+((2416/(L1445+459.6)-2.013)*LOG10(INDEX(FX_Input,Y$5,L$3*$Z$5+$AA$5)))-(8742/(L1445+459.6))+15.64),EXP(INDEX(Antoines,MATCH(L1438,Antoine_Name,0),2)-INDEX(Antoines,MATCH(L1438,Antoine_Name,0),3)/(L1445+459.6))))),0)</f>
        <v>0</v>
      </c>
      <c r="M1454" cm="1">
        <f t="array" ref="M1454">IFERROR(IF(M1439="Chemical",(10^(INDEX(Antoines,MATCH(M1438,Antoine_Name,0),2)-INDEX(Antoines,MATCH(M1438,Antoine_Name,0),3)/(INDEX(Antoines,MATCH(M1438,Antoine_Name,0),4)+(M1445-32)*5/9)))*14.7/760,IF(M1439="Crude Oil",EXP((2799/(M1445+459.6)-2.227)*LOG10(INDEX(FX_Input,Z$5,M$3*$Z$5+$AA$5))-(7261/(M1445+459.6))+12.82),IF(M1439="Refined Petroleum Stock",EXP((0.7553-(413/(M1445+459.6)))*(INDEX(FX_Input,Z$5,M$3*$Z$5+$AA$5-1)^0.5)*LOG10(INDEX(FX_Input,Z$5,M$3*$Z$5+$AA$5))-(1.854-(1042/(M1445+459.6)))*(INDEX(FX_Input,Z$5,M$3*$Z$5+$AA$5-1)^0.5)+((2416/(M1445+459.6)-2.013)*LOG10(INDEX(FX_Input,Z$5,M$3*$Z$5+$AA$5)))-(8742/(M1445+459.6))+15.64),EXP(INDEX(Antoines,MATCH(M1438,Antoine_Name,0),2)-INDEX(Antoines,MATCH(M1438,Antoine_Name,0),3)/(M1445+459.6))))),0)</f>
        <v>0</v>
      </c>
      <c r="N1454" cm="1">
        <f t="array" ref="N1454">IFERROR(IF(N1439="Chemical",(10^(INDEX(Antoines,MATCH(N1438,Antoine_Name,0),2)-INDEX(Antoines,MATCH(N1438,Antoine_Name,0),3)/(INDEX(Antoines,MATCH(N1438,Antoine_Name,0),4)+(N1445-32)*5/9)))*14.7/760,IF(N1439="Crude Oil",EXP((2799/(N1445+459.6)-2.227)*LOG10(INDEX(FX_Input,AA$5,N$3*$Z$5+$AA$5))-(7261/(N1445+459.6))+12.82),IF(N1439="Refined Petroleum Stock",EXP((0.7553-(413/(N1445+459.6)))*(INDEX(FX_Input,AA$5,N$3*$Z$5+$AA$5-1)^0.5)*LOG10(INDEX(FX_Input,AA$5,N$3*$Z$5+$AA$5))-(1.854-(1042/(N1445+459.6)))*(INDEX(FX_Input,AA$5,N$3*$Z$5+$AA$5-1)^0.5)+((2416/(N1445+459.6)-2.013)*LOG10(INDEX(FX_Input,AA$5,N$3*$Z$5+$AA$5)))-(8742/(N1445+459.6))+15.64),EXP(INDEX(Antoines,MATCH(N1438,Antoine_Name,0),2)-INDEX(Antoines,MATCH(N1438,Antoine_Name,0),3)/(N1445+459.6))))),0)</f>
        <v>0</v>
      </c>
      <c r="O1454" cm="1">
        <f t="array" ref="O1454">IFERROR(IF(O1439="Chemical",(10^(INDEX(Antoines,MATCH(O1438,Antoine_Name,0),2)-INDEX(Antoines,MATCH(O1438,Antoine_Name,0),3)/(INDEX(Antoines,MATCH(O1438,Antoine_Name,0),4)+(O1445-32)*5/9)))*14.7/760,IF(O1439="Crude Oil",EXP((2799/(O1445+459.6)-2.227)*LOG10(INDEX(FX_Input,AB$5,O$3*$Z$5+$AA$5))-(7261/(O1445+459.6))+12.82),IF(O1439="Refined Petroleum Stock",EXP((0.7553-(413/(O1445+459.6)))*(INDEX(FX_Input,AB$5,O$3*$Z$5+$AA$5-1)^0.5)*LOG10(INDEX(FX_Input,AB$5,O$3*$Z$5+$AA$5))-(1.854-(1042/(O1445+459.6)))*(INDEX(FX_Input,AB$5,O$3*$Z$5+$AA$5-1)^0.5)+((2416/(O1445+459.6)-2.013)*LOG10(INDEX(FX_Input,AB$5,O$3*$Z$5+$AA$5)))-(8742/(O1445+459.6))+15.64),EXP(INDEX(Antoines,MATCH(O1438,Antoine_Name,0),2)-INDEX(Antoines,MATCH(O1438,Antoine_Name,0),3)/(O1445+459.6))))),0)</f>
        <v>0</v>
      </c>
    </row>
    <row r="1455" spans="2:32" ht="17.149999999999999" x14ac:dyDescent="0.55000000000000004">
      <c r="B1455" t="str">
        <f t="shared" si="5268"/>
        <v>Portland</v>
      </c>
      <c r="C1455" t="s">
        <v>582</v>
      </c>
      <c r="D1455">
        <f>D1454*D1442</f>
        <v>0</v>
      </c>
      <c r="E1455">
        <f t="shared" ref="E1455" si="5313">E1454*E1442</f>
        <v>0</v>
      </c>
      <c r="F1455">
        <f t="shared" ref="F1455" si="5314">F1454*F1442</f>
        <v>0</v>
      </c>
      <c r="G1455">
        <f t="shared" ref="G1455" si="5315">G1454*G1442</f>
        <v>0</v>
      </c>
      <c r="H1455">
        <f t="shared" ref="H1455" si="5316">H1454*H1442</f>
        <v>0</v>
      </c>
      <c r="I1455">
        <f t="shared" ref="I1455" si="5317">I1454*I1442</f>
        <v>0</v>
      </c>
      <c r="J1455">
        <f t="shared" ref="J1455" si="5318">J1454*J1442</f>
        <v>0</v>
      </c>
      <c r="K1455">
        <f t="shared" ref="K1455" si="5319">K1454*K1442</f>
        <v>0</v>
      </c>
      <c r="L1455">
        <f t="shared" ref="L1455" si="5320">L1454*L1442</f>
        <v>0</v>
      </c>
      <c r="M1455">
        <f t="shared" ref="M1455" si="5321">M1454*M1442</f>
        <v>0</v>
      </c>
      <c r="N1455">
        <f t="shared" ref="N1455" si="5322">N1454*N1442</f>
        <v>0</v>
      </c>
      <c r="O1455">
        <f t="shared" ref="O1455" si="5323">O1454*O1442</f>
        <v>0</v>
      </c>
    </row>
    <row r="1456" spans="2:32" ht="17.149999999999999" x14ac:dyDescent="0.55000000000000004">
      <c r="B1456" t="str">
        <f t="shared" si="5268"/>
        <v>Portland</v>
      </c>
      <c r="C1456" t="s">
        <v>583</v>
      </c>
      <c r="D1456">
        <f>D1453+D1455</f>
        <v>4.739577185808354E-3</v>
      </c>
      <c r="E1456">
        <f t="shared" ref="E1456" si="5324">E1453+E1455</f>
        <v>4.8748667780818778E-3</v>
      </c>
      <c r="F1456">
        <f t="shared" ref="F1456" si="5325">F1453+F1455</f>
        <v>5.119885034186122E-3</v>
      </c>
      <c r="G1456">
        <f t="shared" ref="G1456" si="5326">G1453+G1455</f>
        <v>5.5846958573521795E-3</v>
      </c>
      <c r="H1456">
        <f t="shared" ref="H1456" si="5327">H1453+H1455</f>
        <v>6.5274070972739821E-3</v>
      </c>
      <c r="I1456">
        <f t="shared" ref="I1456" si="5328">I1453+I1455</f>
        <v>7.4199539958878279E-3</v>
      </c>
      <c r="J1456">
        <f t="shared" ref="J1456" si="5329">J1453+J1455</f>
        <v>8.3358107202842254E-3</v>
      </c>
      <c r="K1456">
        <f t="shared" ref="K1456" si="5330">K1453+K1455</f>
        <v>8.4605262729351115E-3</v>
      </c>
      <c r="L1456">
        <f t="shared" ref="L1456" si="5331">L1453+L1455</f>
        <v>7.8399882233967533E-3</v>
      </c>
      <c r="M1456">
        <f t="shared" ref="M1456" si="5332">M1453+M1455</f>
        <v>6.4173462075160911E-3</v>
      </c>
      <c r="N1456">
        <f t="shared" ref="N1456" si="5333">N1453+N1455</f>
        <v>5.3015226887581056E-3</v>
      </c>
      <c r="O1456">
        <f t="shared" ref="O1456" si="5334">O1453+O1455</f>
        <v>4.68970903600947E-3</v>
      </c>
    </row>
    <row r="1457" spans="1:32" ht="17.149999999999999" x14ac:dyDescent="0.55000000000000004">
      <c r="B1457" t="str">
        <f t="shared" si="5268"/>
        <v>Portland</v>
      </c>
      <c r="C1457" t="s">
        <v>1388</v>
      </c>
      <c r="D1457" cm="1">
        <f t="array" ref="D1457">IFERROR(IF(D1437="Chemical",(10^(INDEX(Antoines,MATCH(D1436,Antoine_Name,0),2)-INDEX(Antoines,MATCH(D1436,Antoine_Name,0),3)/(INDEX(Antoines,MATCH(D1436,Antoine_Name,0),4)+(D1446-32)*5/9)))*14.7/760,IF(D1437="Crude Oil",EXP((2799/(D1446+459.6)-2.227)*LOG10(INDEX(FX_Input,Q$5,D$3*$Z$5+$AA$5))-(7261/(D1446+459.6))+12.82),IF(D1437="Refined Petroleum Stock",EXP((0.7553-(413/(D1446+459.6)))*(INDEX(FX_Input,Q$5,D$3*$Z$5+$AA$5-1)^0.5)*LOG10(INDEX(FX_Input,Q$5,D$3*$Z$5+$AA$5))-(1.854-(1042/(D1446+459.6)))*(INDEX(FX_Input,Q$5,D$3*$Z$5+$AA$5-1)^0.5)+((2416/(D1446+459.6)-2.013)*LOG10(INDEX(FX_Input,Q$5,D$3*$Z$5+$AA$5)))-(8742/(D1446+459.6))+15.64),EXP(INDEX(Antoines,MATCH(D1436,Antoine_Name,0),2)-INDEX(Antoines,MATCH(D1436,Antoine_Name,0),3)/(D1446+459.6))))),0)</f>
        <v>4.739577185808354E-3</v>
      </c>
      <c r="E1457" cm="1">
        <f t="array" ref="E1457">IFERROR(IF(E1437="Chemical",(10^(INDEX(Antoines,MATCH(E1436,Antoine_Name,0),2)-INDEX(Antoines,MATCH(E1436,Antoine_Name,0),3)/(INDEX(Antoines,MATCH(E1436,Antoine_Name,0),4)+(E1446-32)*5/9)))*14.7/760,IF(E1437="Crude Oil",EXP((2799/(E1446+459.6)-2.227)*LOG10(INDEX(FX_Input,R$5,E$3*$Z$5+$AA$5))-(7261/(E1446+459.6))+12.82),IF(E1437="Refined Petroleum Stock",EXP((0.7553-(413/(E1446+459.6)))*(INDEX(FX_Input,R$5,E$3*$Z$5+$AA$5-1)^0.5)*LOG10(INDEX(FX_Input,R$5,E$3*$Z$5+$AA$5))-(1.854-(1042/(E1446+459.6)))*(INDEX(FX_Input,R$5,E$3*$Z$5+$AA$5-1)^0.5)+((2416/(E1446+459.6)-2.013)*LOG10(INDEX(FX_Input,R$5,E$3*$Z$5+$AA$5)))-(8742/(E1446+459.6))+15.64),EXP(INDEX(Antoines,MATCH(E1436,Antoine_Name,0),2)-INDEX(Antoines,MATCH(E1436,Antoine_Name,0),3)/(E1446+459.6))))),0)</f>
        <v>4.8748667780818778E-3</v>
      </c>
      <c r="F1457" cm="1">
        <f t="array" ref="F1457">IFERROR(IF(F1437="Chemical",(10^(INDEX(Antoines,MATCH(F1436,Antoine_Name,0),2)-INDEX(Antoines,MATCH(F1436,Antoine_Name,0),3)/(INDEX(Antoines,MATCH(F1436,Antoine_Name,0),4)+(F1446-32)*5/9)))*14.7/760,IF(F1437="Crude Oil",EXP((2799/(F1446+459.6)-2.227)*LOG10(INDEX(FX_Input,S$5,F$3*$Z$5+$AA$5))-(7261/(F1446+459.6))+12.82),IF(F1437="Refined Petroleum Stock",EXP((0.7553-(413/(F1446+459.6)))*(INDEX(FX_Input,S$5,F$3*$Z$5+$AA$5-1)^0.5)*LOG10(INDEX(FX_Input,S$5,F$3*$Z$5+$AA$5))-(1.854-(1042/(F1446+459.6)))*(INDEX(FX_Input,S$5,F$3*$Z$5+$AA$5-1)^0.5)+((2416/(F1446+459.6)-2.013)*LOG10(INDEX(FX_Input,S$5,F$3*$Z$5+$AA$5)))-(8742/(F1446+459.6))+15.64),EXP(INDEX(Antoines,MATCH(F1436,Antoine_Name,0),2)-INDEX(Antoines,MATCH(F1436,Antoine_Name,0),3)/(F1446+459.6))))),0)</f>
        <v>5.119885034186122E-3</v>
      </c>
      <c r="G1457" cm="1">
        <f t="array" ref="G1457">IFERROR(IF(G1437="Chemical",(10^(INDEX(Antoines,MATCH(G1436,Antoine_Name,0),2)-INDEX(Antoines,MATCH(G1436,Antoine_Name,0),3)/(INDEX(Antoines,MATCH(G1436,Antoine_Name,0),4)+(G1446-32)*5/9)))*14.7/760,IF(G1437="Crude Oil",EXP((2799/(G1446+459.6)-2.227)*LOG10(INDEX(FX_Input,T$5,G$3*$Z$5+$AA$5))-(7261/(G1446+459.6))+12.82),IF(G1437="Refined Petroleum Stock",EXP((0.7553-(413/(G1446+459.6)))*(INDEX(FX_Input,T$5,G$3*$Z$5+$AA$5-1)^0.5)*LOG10(INDEX(FX_Input,T$5,G$3*$Z$5+$AA$5))-(1.854-(1042/(G1446+459.6)))*(INDEX(FX_Input,T$5,G$3*$Z$5+$AA$5-1)^0.5)+((2416/(G1446+459.6)-2.013)*LOG10(INDEX(FX_Input,T$5,G$3*$Z$5+$AA$5)))-(8742/(G1446+459.6))+15.64),EXP(INDEX(Antoines,MATCH(G1436,Antoine_Name,0),2)-INDEX(Antoines,MATCH(G1436,Antoine_Name,0),3)/(G1446+459.6))))),0)</f>
        <v>5.5846958573521795E-3</v>
      </c>
      <c r="H1457" cm="1">
        <f t="array" ref="H1457">IFERROR(IF(H1437="Chemical",(10^(INDEX(Antoines,MATCH(H1436,Antoine_Name,0),2)-INDEX(Antoines,MATCH(H1436,Antoine_Name,0),3)/(INDEX(Antoines,MATCH(H1436,Antoine_Name,0),4)+(H1446-32)*5/9)))*14.7/760,IF(H1437="Crude Oil",EXP((2799/(H1446+459.6)-2.227)*LOG10(INDEX(FX_Input,U$5,H$3*$Z$5+$AA$5))-(7261/(H1446+459.6))+12.82),IF(H1437="Refined Petroleum Stock",EXP((0.7553-(413/(H1446+459.6)))*(INDEX(FX_Input,U$5,H$3*$Z$5+$AA$5-1)^0.5)*LOG10(INDEX(FX_Input,U$5,H$3*$Z$5+$AA$5))-(1.854-(1042/(H1446+459.6)))*(INDEX(FX_Input,U$5,H$3*$Z$5+$AA$5-1)^0.5)+((2416/(H1446+459.6)-2.013)*LOG10(INDEX(FX_Input,U$5,H$3*$Z$5+$AA$5)))-(8742/(H1446+459.6))+15.64),EXP(INDEX(Antoines,MATCH(H1436,Antoine_Name,0),2)-INDEX(Antoines,MATCH(H1436,Antoine_Name,0),3)/(H1446+459.6))))),0)</f>
        <v>6.5274070972739821E-3</v>
      </c>
      <c r="I1457" cm="1">
        <f t="array" ref="I1457">IFERROR(IF(I1437="Chemical",(10^(INDEX(Antoines,MATCH(I1436,Antoine_Name,0),2)-INDEX(Antoines,MATCH(I1436,Antoine_Name,0),3)/(INDEX(Antoines,MATCH(I1436,Antoine_Name,0),4)+(I1446-32)*5/9)))*14.7/760,IF(I1437="Crude Oil",EXP((2799/(I1446+459.6)-2.227)*LOG10(INDEX(FX_Input,V$5,I$3*$Z$5+$AA$5))-(7261/(I1446+459.6))+12.82),IF(I1437="Refined Petroleum Stock",EXP((0.7553-(413/(I1446+459.6)))*(INDEX(FX_Input,V$5,I$3*$Z$5+$AA$5-1)^0.5)*LOG10(INDEX(FX_Input,V$5,I$3*$Z$5+$AA$5))-(1.854-(1042/(I1446+459.6)))*(INDEX(FX_Input,V$5,I$3*$Z$5+$AA$5-1)^0.5)+((2416/(I1446+459.6)-2.013)*LOG10(INDEX(FX_Input,V$5,I$3*$Z$5+$AA$5)))-(8742/(I1446+459.6))+15.64),EXP(INDEX(Antoines,MATCH(I1436,Antoine_Name,0),2)-INDEX(Antoines,MATCH(I1436,Antoine_Name,0),3)/(I1446+459.6))))),0)</f>
        <v>7.4199539958878279E-3</v>
      </c>
      <c r="J1457" cm="1">
        <f t="array" ref="J1457">IFERROR(IF(J1437="Chemical",(10^(INDEX(Antoines,MATCH(J1436,Antoine_Name,0),2)-INDEX(Antoines,MATCH(J1436,Antoine_Name,0),3)/(INDEX(Antoines,MATCH(J1436,Antoine_Name,0),4)+(J1446-32)*5/9)))*14.7/760,IF(J1437="Crude Oil",EXP((2799/(J1446+459.6)-2.227)*LOG10(INDEX(FX_Input,W$5,J$3*$Z$5+$AA$5))-(7261/(J1446+459.6))+12.82),IF(J1437="Refined Petroleum Stock",EXP((0.7553-(413/(J1446+459.6)))*(INDEX(FX_Input,W$5,J$3*$Z$5+$AA$5-1)^0.5)*LOG10(INDEX(FX_Input,W$5,J$3*$Z$5+$AA$5))-(1.854-(1042/(J1446+459.6)))*(INDEX(FX_Input,W$5,J$3*$Z$5+$AA$5-1)^0.5)+((2416/(J1446+459.6)-2.013)*LOG10(INDEX(FX_Input,W$5,J$3*$Z$5+$AA$5)))-(8742/(J1446+459.6))+15.64),EXP(INDEX(Antoines,MATCH(J1436,Antoine_Name,0),2)-INDEX(Antoines,MATCH(J1436,Antoine_Name,0),3)/(J1446+459.6))))),0)</f>
        <v>8.3358107202842254E-3</v>
      </c>
      <c r="K1457" cm="1">
        <f t="array" ref="K1457">IFERROR(IF(K1437="Chemical",(10^(INDEX(Antoines,MATCH(K1436,Antoine_Name,0),2)-INDEX(Antoines,MATCH(K1436,Antoine_Name,0),3)/(INDEX(Antoines,MATCH(K1436,Antoine_Name,0),4)+(K1446-32)*5/9)))*14.7/760,IF(K1437="Crude Oil",EXP((2799/(K1446+459.6)-2.227)*LOG10(INDEX(FX_Input,X$5,K$3*$Z$5+$AA$5))-(7261/(K1446+459.6))+12.82),IF(K1437="Refined Petroleum Stock",EXP((0.7553-(413/(K1446+459.6)))*(INDEX(FX_Input,X$5,K$3*$Z$5+$AA$5-1)^0.5)*LOG10(INDEX(FX_Input,X$5,K$3*$Z$5+$AA$5))-(1.854-(1042/(K1446+459.6)))*(INDEX(FX_Input,X$5,K$3*$Z$5+$AA$5-1)^0.5)+((2416/(K1446+459.6)-2.013)*LOG10(INDEX(FX_Input,X$5,K$3*$Z$5+$AA$5)))-(8742/(K1446+459.6))+15.64),EXP(INDEX(Antoines,MATCH(K1436,Antoine_Name,0),2)-INDEX(Antoines,MATCH(K1436,Antoine_Name,0),3)/(K1446+459.6))))),0)</f>
        <v>8.4605262729351115E-3</v>
      </c>
      <c r="L1457" cm="1">
        <f t="array" ref="L1457">IFERROR(IF(L1437="Chemical",(10^(INDEX(Antoines,MATCH(L1436,Antoine_Name,0),2)-INDEX(Antoines,MATCH(L1436,Antoine_Name,0),3)/(INDEX(Antoines,MATCH(L1436,Antoine_Name,0),4)+(L1446-32)*5/9)))*14.7/760,IF(L1437="Crude Oil",EXP((2799/(L1446+459.6)-2.227)*LOG10(INDEX(FX_Input,Y$5,L$3*$Z$5+$AA$5))-(7261/(L1446+459.6))+12.82),IF(L1437="Refined Petroleum Stock",EXP((0.7553-(413/(L1446+459.6)))*(INDEX(FX_Input,Y$5,L$3*$Z$5+$AA$5-1)^0.5)*LOG10(INDEX(FX_Input,Y$5,L$3*$Z$5+$AA$5))-(1.854-(1042/(L1446+459.6)))*(INDEX(FX_Input,Y$5,L$3*$Z$5+$AA$5-1)^0.5)+((2416/(L1446+459.6)-2.013)*LOG10(INDEX(FX_Input,Y$5,L$3*$Z$5+$AA$5)))-(8742/(L1446+459.6))+15.64),EXP(INDEX(Antoines,MATCH(L1436,Antoine_Name,0),2)-INDEX(Antoines,MATCH(L1436,Antoine_Name,0),3)/(L1446+459.6))))),0)</f>
        <v>7.8399882233967533E-3</v>
      </c>
      <c r="M1457" cm="1">
        <f t="array" ref="M1457">IFERROR(IF(M1437="Chemical",(10^(INDEX(Antoines,MATCH(M1436,Antoine_Name,0),2)-INDEX(Antoines,MATCH(M1436,Antoine_Name,0),3)/(INDEX(Antoines,MATCH(M1436,Antoine_Name,0),4)+(M1446-32)*5/9)))*14.7/760,IF(M1437="Crude Oil",EXP((2799/(M1446+459.6)-2.227)*LOG10(INDEX(FX_Input,Z$5,M$3*$Z$5+$AA$5))-(7261/(M1446+459.6))+12.82),IF(M1437="Refined Petroleum Stock",EXP((0.7553-(413/(M1446+459.6)))*(INDEX(FX_Input,Z$5,M$3*$Z$5+$AA$5-1)^0.5)*LOG10(INDEX(FX_Input,Z$5,M$3*$Z$5+$AA$5))-(1.854-(1042/(M1446+459.6)))*(INDEX(FX_Input,Z$5,M$3*$Z$5+$AA$5-1)^0.5)+((2416/(M1446+459.6)-2.013)*LOG10(INDEX(FX_Input,Z$5,M$3*$Z$5+$AA$5)))-(8742/(M1446+459.6))+15.64),EXP(INDEX(Antoines,MATCH(M1436,Antoine_Name,0),2)-INDEX(Antoines,MATCH(M1436,Antoine_Name,0),3)/(M1446+459.6))))),0)</f>
        <v>6.4173462075160911E-3</v>
      </c>
      <c r="N1457" cm="1">
        <f t="array" ref="N1457">IFERROR(IF(N1437="Chemical",(10^(INDEX(Antoines,MATCH(N1436,Antoine_Name,0),2)-INDEX(Antoines,MATCH(N1436,Antoine_Name,0),3)/(INDEX(Antoines,MATCH(N1436,Antoine_Name,0),4)+(N1446-32)*5/9)))*14.7/760,IF(N1437="Crude Oil",EXP((2799/(N1446+459.6)-2.227)*LOG10(INDEX(FX_Input,AA$5,N$3*$Z$5+$AA$5))-(7261/(N1446+459.6))+12.82),IF(N1437="Refined Petroleum Stock",EXP((0.7553-(413/(N1446+459.6)))*(INDEX(FX_Input,AA$5,N$3*$Z$5+$AA$5-1)^0.5)*LOG10(INDEX(FX_Input,AA$5,N$3*$Z$5+$AA$5))-(1.854-(1042/(N1446+459.6)))*(INDEX(FX_Input,AA$5,N$3*$Z$5+$AA$5-1)^0.5)+((2416/(N1446+459.6)-2.013)*LOG10(INDEX(FX_Input,AA$5,N$3*$Z$5+$AA$5)))-(8742/(N1446+459.6))+15.64),EXP(INDEX(Antoines,MATCH(N1436,Antoine_Name,0),2)-INDEX(Antoines,MATCH(N1436,Antoine_Name,0),3)/(N1446+459.6))))),0)</f>
        <v>5.3015226887581056E-3</v>
      </c>
      <c r="O1457" cm="1">
        <f t="array" ref="O1457">IFERROR(IF(O1437="Chemical",(10^(INDEX(Antoines,MATCH(O1436,Antoine_Name,0),2)-INDEX(Antoines,MATCH(O1436,Antoine_Name,0),3)/(INDEX(Antoines,MATCH(O1436,Antoine_Name,0),4)+(O1446-32)*5/9)))*14.7/760,IF(O1437="Crude Oil",EXP((2799/(O1446+459.6)-2.227)*LOG10(INDEX(FX_Input,AB$5,O$3*$Z$5+$AA$5))-(7261/(O1446+459.6))+12.82),IF(O1437="Refined Petroleum Stock",EXP((0.7553-(413/(O1446+459.6)))*(INDEX(FX_Input,AB$5,O$3*$Z$5+$AA$5-1)^0.5)*LOG10(INDEX(FX_Input,AB$5,O$3*$Z$5+$AA$5))-(1.854-(1042/(O1446+459.6)))*(INDEX(FX_Input,AB$5,O$3*$Z$5+$AA$5-1)^0.5)+((2416/(O1446+459.6)-2.013)*LOG10(INDEX(FX_Input,AB$5,O$3*$Z$5+$AA$5)))-(8742/(O1446+459.6))+15.64),EXP(INDEX(Antoines,MATCH(O1436,Antoine_Name,0),2)-INDEX(Antoines,MATCH(O1436,Antoine_Name,0),3)/(O1446+459.6))))),0)</f>
        <v>4.68970903600947E-3</v>
      </c>
    </row>
    <row r="1458" spans="1:32" ht="17.149999999999999" x14ac:dyDescent="0.55000000000000004">
      <c r="B1458" t="str">
        <f t="shared" si="5268"/>
        <v>Portland</v>
      </c>
      <c r="C1458" t="s">
        <v>1389</v>
      </c>
      <c r="D1458">
        <f>D1457*D1440</f>
        <v>4.739577185808354E-3</v>
      </c>
      <c r="E1458">
        <f t="shared" ref="E1458" si="5335">E1457*E1440</f>
        <v>4.8748667780818778E-3</v>
      </c>
      <c r="F1458">
        <f t="shared" ref="F1458" si="5336">F1457*F1440</f>
        <v>5.119885034186122E-3</v>
      </c>
      <c r="G1458">
        <f t="shared" ref="G1458" si="5337">G1457*G1440</f>
        <v>5.5846958573521795E-3</v>
      </c>
      <c r="H1458">
        <f t="shared" ref="H1458" si="5338">H1457*H1440</f>
        <v>6.5274070972739821E-3</v>
      </c>
      <c r="I1458">
        <f t="shared" ref="I1458" si="5339">I1457*I1440</f>
        <v>7.4199539958878279E-3</v>
      </c>
      <c r="J1458">
        <f t="shared" ref="J1458" si="5340">J1457*J1440</f>
        <v>8.3358107202842254E-3</v>
      </c>
      <c r="K1458">
        <f t="shared" ref="K1458" si="5341">K1457*K1440</f>
        <v>8.4605262729351115E-3</v>
      </c>
      <c r="L1458">
        <f t="shared" ref="L1458" si="5342">L1457*L1440</f>
        <v>7.8399882233967533E-3</v>
      </c>
      <c r="M1458">
        <f t="shared" ref="M1458" si="5343">M1457*M1440</f>
        <v>6.4173462075160911E-3</v>
      </c>
      <c r="N1458">
        <f t="shared" ref="N1458" si="5344">N1457*N1440</f>
        <v>5.3015226887581056E-3</v>
      </c>
      <c r="O1458">
        <f t="shared" ref="O1458" si="5345">O1457*O1440</f>
        <v>4.68970903600947E-3</v>
      </c>
    </row>
    <row r="1459" spans="1:32" ht="17.149999999999999" x14ac:dyDescent="0.55000000000000004">
      <c r="B1459" t="str">
        <f t="shared" si="5268"/>
        <v>Portland</v>
      </c>
      <c r="C1459" t="s">
        <v>1390</v>
      </c>
      <c r="D1459" cm="1">
        <f t="array" ref="D1459">IFERROR(IF(D1439="Chemical",(10^(INDEX(Antoines,MATCH(D1438,Antoine_Name,0),2)-INDEX(Antoines,MATCH(D1438,Antoine_Name,0),3)/(INDEX(Antoines,MATCH(D1438,Antoine_Name,0),4)+(D1446-32)*5/9)))*14.7/760,IF(D1439="Crude Oil",EXP((2799/(D1446+459.6)-2.227)*LOG10(INDEX(FX_Input,Q$5,D$3*$Z$5+$AA$5))-(7261/(D1446+459.6))+12.82),IF(D1439="Refined Petroleum Stock",EXP((0.7553-(413/(D1446+459.6)))*(INDEX(FX_Input,Q$5,D$3*$Z$5+$AA$5-1)^0.5)*LOG10(INDEX(FX_Input,Q$5,D$3*$Z$5+$AA$5))-(1.854-(1042/(D1446+459.6)))*(INDEX(FX_Input,Q$5,D$3*$Z$5+$AA$5-1)^0.5)+((2416/(D1446+459.6)-2.013)*LOG10(INDEX(FX_Input,Q$5,D$3*$Z$5+$AA$5)))-(8742/(D1446+459.6))+15.64),EXP(INDEX(Antoines,MATCH(D1438,Antoine_Name,0),2)-INDEX(Antoines,MATCH(D1438,Antoine_Name,0),3)/(D1446+459.6))))),0)</f>
        <v>0</v>
      </c>
      <c r="E1459" cm="1">
        <f t="array" ref="E1459">IFERROR(IF(E1439="Chemical",(10^(INDEX(Antoines,MATCH(E1438,Antoine_Name,0),2)-INDEX(Antoines,MATCH(E1438,Antoine_Name,0),3)/(INDEX(Antoines,MATCH(E1438,Antoine_Name,0),4)+(E1446-32)*5/9)))*14.7/760,IF(E1439="Crude Oil",EXP((2799/(E1446+459.6)-2.227)*LOG10(INDEX(FX_Input,R$5,E$3*$Z$5+$AA$5))-(7261/(E1446+459.6))+12.82),IF(E1439="Refined Petroleum Stock",EXP((0.7553-(413/(E1446+459.6)))*(INDEX(FX_Input,R$5,E$3*$Z$5+$AA$5-1)^0.5)*LOG10(INDEX(FX_Input,R$5,E$3*$Z$5+$AA$5))-(1.854-(1042/(E1446+459.6)))*(INDEX(FX_Input,R$5,E$3*$Z$5+$AA$5-1)^0.5)+((2416/(E1446+459.6)-2.013)*LOG10(INDEX(FX_Input,R$5,E$3*$Z$5+$AA$5)))-(8742/(E1446+459.6))+15.64),EXP(INDEX(Antoines,MATCH(E1438,Antoine_Name,0),2)-INDEX(Antoines,MATCH(E1438,Antoine_Name,0),3)/(E1446+459.6))))),0)</f>
        <v>0</v>
      </c>
      <c r="F1459" cm="1">
        <f t="array" ref="F1459">IFERROR(IF(F1439="Chemical",(10^(INDEX(Antoines,MATCH(F1438,Antoine_Name,0),2)-INDEX(Antoines,MATCH(F1438,Antoine_Name,0),3)/(INDEX(Antoines,MATCH(F1438,Antoine_Name,0),4)+(F1446-32)*5/9)))*14.7/760,IF(F1439="Crude Oil",EXP((2799/(F1446+459.6)-2.227)*LOG10(INDEX(FX_Input,S$5,F$3*$Z$5+$AA$5))-(7261/(F1446+459.6))+12.82),IF(F1439="Refined Petroleum Stock",EXP((0.7553-(413/(F1446+459.6)))*(INDEX(FX_Input,S$5,F$3*$Z$5+$AA$5-1)^0.5)*LOG10(INDEX(FX_Input,S$5,F$3*$Z$5+$AA$5))-(1.854-(1042/(F1446+459.6)))*(INDEX(FX_Input,S$5,F$3*$Z$5+$AA$5-1)^0.5)+((2416/(F1446+459.6)-2.013)*LOG10(INDEX(FX_Input,S$5,F$3*$Z$5+$AA$5)))-(8742/(F1446+459.6))+15.64),EXP(INDEX(Antoines,MATCH(F1438,Antoine_Name,0),2)-INDEX(Antoines,MATCH(F1438,Antoine_Name,0),3)/(F1446+459.6))))),0)</f>
        <v>0</v>
      </c>
      <c r="G1459" cm="1">
        <f t="array" ref="G1459">IFERROR(IF(G1439="Chemical",(10^(INDEX(Antoines,MATCH(G1438,Antoine_Name,0),2)-INDEX(Antoines,MATCH(G1438,Antoine_Name,0),3)/(INDEX(Antoines,MATCH(G1438,Antoine_Name,0),4)+(G1446-32)*5/9)))*14.7/760,IF(G1439="Crude Oil",EXP((2799/(G1446+459.6)-2.227)*LOG10(INDEX(FX_Input,T$5,G$3*$Z$5+$AA$5))-(7261/(G1446+459.6))+12.82),IF(G1439="Refined Petroleum Stock",EXP((0.7553-(413/(G1446+459.6)))*(INDEX(FX_Input,T$5,G$3*$Z$5+$AA$5-1)^0.5)*LOG10(INDEX(FX_Input,T$5,G$3*$Z$5+$AA$5))-(1.854-(1042/(G1446+459.6)))*(INDEX(FX_Input,T$5,G$3*$Z$5+$AA$5-1)^0.5)+((2416/(G1446+459.6)-2.013)*LOG10(INDEX(FX_Input,T$5,G$3*$Z$5+$AA$5)))-(8742/(G1446+459.6))+15.64),EXP(INDEX(Antoines,MATCH(G1438,Antoine_Name,0),2)-INDEX(Antoines,MATCH(G1438,Antoine_Name,0),3)/(G1446+459.6))))),0)</f>
        <v>0</v>
      </c>
      <c r="H1459" cm="1">
        <f t="array" ref="H1459">IFERROR(IF(H1439="Chemical",(10^(INDEX(Antoines,MATCH(H1438,Antoine_Name,0),2)-INDEX(Antoines,MATCH(H1438,Antoine_Name,0),3)/(INDEX(Antoines,MATCH(H1438,Antoine_Name,0),4)+(H1446-32)*5/9)))*14.7/760,IF(H1439="Crude Oil",EXP((2799/(H1446+459.6)-2.227)*LOG10(INDEX(FX_Input,U$5,H$3*$Z$5+$AA$5))-(7261/(H1446+459.6))+12.82),IF(H1439="Refined Petroleum Stock",EXP((0.7553-(413/(H1446+459.6)))*(INDEX(FX_Input,U$5,H$3*$Z$5+$AA$5-1)^0.5)*LOG10(INDEX(FX_Input,U$5,H$3*$Z$5+$AA$5))-(1.854-(1042/(H1446+459.6)))*(INDEX(FX_Input,U$5,H$3*$Z$5+$AA$5-1)^0.5)+((2416/(H1446+459.6)-2.013)*LOG10(INDEX(FX_Input,U$5,H$3*$Z$5+$AA$5)))-(8742/(H1446+459.6))+15.64),EXP(INDEX(Antoines,MATCH(H1438,Antoine_Name,0),2)-INDEX(Antoines,MATCH(H1438,Antoine_Name,0),3)/(H1446+459.6))))),0)</f>
        <v>0</v>
      </c>
      <c r="I1459" cm="1">
        <f t="array" ref="I1459">IFERROR(IF(I1439="Chemical",(10^(INDEX(Antoines,MATCH(I1438,Antoine_Name,0),2)-INDEX(Antoines,MATCH(I1438,Antoine_Name,0),3)/(INDEX(Antoines,MATCH(I1438,Antoine_Name,0),4)+(I1446-32)*5/9)))*14.7/760,IF(I1439="Crude Oil",EXP((2799/(I1446+459.6)-2.227)*LOG10(INDEX(FX_Input,V$5,I$3*$Z$5+$AA$5))-(7261/(I1446+459.6))+12.82),IF(I1439="Refined Petroleum Stock",EXP((0.7553-(413/(I1446+459.6)))*(INDEX(FX_Input,V$5,I$3*$Z$5+$AA$5-1)^0.5)*LOG10(INDEX(FX_Input,V$5,I$3*$Z$5+$AA$5))-(1.854-(1042/(I1446+459.6)))*(INDEX(FX_Input,V$5,I$3*$Z$5+$AA$5-1)^0.5)+((2416/(I1446+459.6)-2.013)*LOG10(INDEX(FX_Input,V$5,I$3*$Z$5+$AA$5)))-(8742/(I1446+459.6))+15.64),EXP(INDEX(Antoines,MATCH(I1438,Antoine_Name,0),2)-INDEX(Antoines,MATCH(I1438,Antoine_Name,0),3)/(I1446+459.6))))),0)</f>
        <v>0</v>
      </c>
      <c r="J1459" cm="1">
        <f t="array" ref="J1459">IFERROR(IF(J1439="Chemical",(10^(INDEX(Antoines,MATCH(J1438,Antoine_Name,0),2)-INDEX(Antoines,MATCH(J1438,Antoine_Name,0),3)/(INDEX(Antoines,MATCH(J1438,Antoine_Name,0),4)+(J1446-32)*5/9)))*14.7/760,IF(J1439="Crude Oil",EXP((2799/(J1446+459.6)-2.227)*LOG10(INDEX(FX_Input,W$5,J$3*$Z$5+$AA$5))-(7261/(J1446+459.6))+12.82),IF(J1439="Refined Petroleum Stock",EXP((0.7553-(413/(J1446+459.6)))*(INDEX(FX_Input,W$5,J$3*$Z$5+$AA$5-1)^0.5)*LOG10(INDEX(FX_Input,W$5,J$3*$Z$5+$AA$5))-(1.854-(1042/(J1446+459.6)))*(INDEX(FX_Input,W$5,J$3*$Z$5+$AA$5-1)^0.5)+((2416/(J1446+459.6)-2.013)*LOG10(INDEX(FX_Input,W$5,J$3*$Z$5+$AA$5)))-(8742/(J1446+459.6))+15.64),EXP(INDEX(Antoines,MATCH(J1438,Antoine_Name,0),2)-INDEX(Antoines,MATCH(J1438,Antoine_Name,0),3)/(J1446+459.6))))),0)</f>
        <v>0</v>
      </c>
      <c r="K1459" cm="1">
        <f t="array" ref="K1459">IFERROR(IF(K1439="Chemical",(10^(INDEX(Antoines,MATCH(K1438,Antoine_Name,0),2)-INDEX(Antoines,MATCH(K1438,Antoine_Name,0),3)/(INDEX(Antoines,MATCH(K1438,Antoine_Name,0),4)+(K1446-32)*5/9)))*14.7/760,IF(K1439="Crude Oil",EXP((2799/(K1446+459.6)-2.227)*LOG10(INDEX(FX_Input,X$5,K$3*$Z$5+$AA$5))-(7261/(K1446+459.6))+12.82),IF(K1439="Refined Petroleum Stock",EXP((0.7553-(413/(K1446+459.6)))*(INDEX(FX_Input,X$5,K$3*$Z$5+$AA$5-1)^0.5)*LOG10(INDEX(FX_Input,X$5,K$3*$Z$5+$AA$5))-(1.854-(1042/(K1446+459.6)))*(INDEX(FX_Input,X$5,K$3*$Z$5+$AA$5-1)^0.5)+((2416/(K1446+459.6)-2.013)*LOG10(INDEX(FX_Input,X$5,K$3*$Z$5+$AA$5)))-(8742/(K1446+459.6))+15.64),EXP(INDEX(Antoines,MATCH(K1438,Antoine_Name,0),2)-INDEX(Antoines,MATCH(K1438,Antoine_Name,0),3)/(K1446+459.6))))),0)</f>
        <v>0</v>
      </c>
      <c r="L1459" cm="1">
        <f t="array" ref="L1459">IFERROR(IF(L1439="Chemical",(10^(INDEX(Antoines,MATCH(L1438,Antoine_Name,0),2)-INDEX(Antoines,MATCH(L1438,Antoine_Name,0),3)/(INDEX(Antoines,MATCH(L1438,Antoine_Name,0),4)+(L1446-32)*5/9)))*14.7/760,IF(L1439="Crude Oil",EXP((2799/(L1446+459.6)-2.227)*LOG10(INDEX(FX_Input,Y$5,L$3*$Z$5+$AA$5))-(7261/(L1446+459.6))+12.82),IF(L1439="Refined Petroleum Stock",EXP((0.7553-(413/(L1446+459.6)))*(INDEX(FX_Input,Y$5,L$3*$Z$5+$AA$5-1)^0.5)*LOG10(INDEX(FX_Input,Y$5,L$3*$Z$5+$AA$5))-(1.854-(1042/(L1446+459.6)))*(INDEX(FX_Input,Y$5,L$3*$Z$5+$AA$5-1)^0.5)+((2416/(L1446+459.6)-2.013)*LOG10(INDEX(FX_Input,Y$5,L$3*$Z$5+$AA$5)))-(8742/(L1446+459.6))+15.64),EXP(INDEX(Antoines,MATCH(L1438,Antoine_Name,0),2)-INDEX(Antoines,MATCH(L1438,Antoine_Name,0),3)/(L1446+459.6))))),0)</f>
        <v>0</v>
      </c>
      <c r="M1459" cm="1">
        <f t="array" ref="M1459">IFERROR(IF(M1439="Chemical",(10^(INDEX(Antoines,MATCH(M1438,Antoine_Name,0),2)-INDEX(Antoines,MATCH(M1438,Antoine_Name,0),3)/(INDEX(Antoines,MATCH(M1438,Antoine_Name,0),4)+(M1446-32)*5/9)))*14.7/760,IF(M1439="Crude Oil",EXP((2799/(M1446+459.6)-2.227)*LOG10(INDEX(FX_Input,Z$5,M$3*$Z$5+$AA$5))-(7261/(M1446+459.6))+12.82),IF(M1439="Refined Petroleum Stock",EXP((0.7553-(413/(M1446+459.6)))*(INDEX(FX_Input,Z$5,M$3*$Z$5+$AA$5-1)^0.5)*LOG10(INDEX(FX_Input,Z$5,M$3*$Z$5+$AA$5))-(1.854-(1042/(M1446+459.6)))*(INDEX(FX_Input,Z$5,M$3*$Z$5+$AA$5-1)^0.5)+((2416/(M1446+459.6)-2.013)*LOG10(INDEX(FX_Input,Z$5,M$3*$Z$5+$AA$5)))-(8742/(M1446+459.6))+15.64),EXP(INDEX(Antoines,MATCH(M1438,Antoine_Name,0),2)-INDEX(Antoines,MATCH(M1438,Antoine_Name,0),3)/(M1446+459.6))))),0)</f>
        <v>0</v>
      </c>
      <c r="N1459" cm="1">
        <f t="array" ref="N1459">IFERROR(IF(N1439="Chemical",(10^(INDEX(Antoines,MATCH(N1438,Antoine_Name,0),2)-INDEX(Antoines,MATCH(N1438,Antoine_Name,0),3)/(INDEX(Antoines,MATCH(N1438,Antoine_Name,0),4)+(N1446-32)*5/9)))*14.7/760,IF(N1439="Crude Oil",EXP((2799/(N1446+459.6)-2.227)*LOG10(INDEX(FX_Input,AA$5,N$3*$Z$5+$AA$5))-(7261/(N1446+459.6))+12.82),IF(N1439="Refined Petroleum Stock",EXP((0.7553-(413/(N1446+459.6)))*(INDEX(FX_Input,AA$5,N$3*$Z$5+$AA$5-1)^0.5)*LOG10(INDEX(FX_Input,AA$5,N$3*$Z$5+$AA$5))-(1.854-(1042/(N1446+459.6)))*(INDEX(FX_Input,AA$5,N$3*$Z$5+$AA$5-1)^0.5)+((2416/(N1446+459.6)-2.013)*LOG10(INDEX(FX_Input,AA$5,N$3*$Z$5+$AA$5)))-(8742/(N1446+459.6))+15.64),EXP(INDEX(Antoines,MATCH(N1438,Antoine_Name,0),2)-INDEX(Antoines,MATCH(N1438,Antoine_Name,0),3)/(N1446+459.6))))),0)</f>
        <v>0</v>
      </c>
      <c r="O1459" cm="1">
        <f t="array" ref="O1459">IFERROR(IF(O1439="Chemical",(10^(INDEX(Antoines,MATCH(O1438,Antoine_Name,0),2)-INDEX(Antoines,MATCH(O1438,Antoine_Name,0),3)/(INDEX(Antoines,MATCH(O1438,Antoine_Name,0),4)+(O1446-32)*5/9)))*14.7/760,IF(O1439="Crude Oil",EXP((2799/(O1446+459.6)-2.227)*LOG10(INDEX(FX_Input,AB$5,O$3*$Z$5+$AA$5))-(7261/(O1446+459.6))+12.82),IF(O1439="Refined Petroleum Stock",EXP((0.7553-(413/(O1446+459.6)))*(INDEX(FX_Input,AB$5,O$3*$Z$5+$AA$5-1)^0.5)*LOG10(INDEX(FX_Input,AB$5,O$3*$Z$5+$AA$5))-(1.854-(1042/(O1446+459.6)))*(INDEX(FX_Input,AB$5,O$3*$Z$5+$AA$5-1)^0.5)+((2416/(O1446+459.6)-2.013)*LOG10(INDEX(FX_Input,AB$5,O$3*$Z$5+$AA$5)))-(8742/(O1446+459.6))+15.64),EXP(INDEX(Antoines,MATCH(O1438,Antoine_Name,0),2)-INDEX(Antoines,MATCH(O1438,Antoine_Name,0),3)/(O1446+459.6))))),0)</f>
        <v>0</v>
      </c>
    </row>
    <row r="1460" spans="1:32" ht="17.149999999999999" x14ac:dyDescent="0.55000000000000004">
      <c r="B1460" t="str">
        <f t="shared" si="5268"/>
        <v>Portland</v>
      </c>
      <c r="C1460" t="s">
        <v>1391</v>
      </c>
      <c r="D1460">
        <f>D1459*D1442</f>
        <v>0</v>
      </c>
      <c r="E1460">
        <f t="shared" ref="E1460" si="5346">E1459*E1442</f>
        <v>0</v>
      </c>
      <c r="F1460">
        <f t="shared" ref="F1460" si="5347">F1459*F1442</f>
        <v>0</v>
      </c>
      <c r="G1460">
        <f t="shared" ref="G1460" si="5348">G1459*G1442</f>
        <v>0</v>
      </c>
      <c r="H1460">
        <f t="shared" ref="H1460" si="5349">H1459*H1442</f>
        <v>0</v>
      </c>
      <c r="I1460">
        <f t="shared" ref="I1460" si="5350">I1459*I1442</f>
        <v>0</v>
      </c>
      <c r="J1460">
        <f t="shared" ref="J1460" si="5351">J1459*J1442</f>
        <v>0</v>
      </c>
      <c r="K1460">
        <f t="shared" ref="K1460" si="5352">K1459*K1442</f>
        <v>0</v>
      </c>
      <c r="L1460">
        <f t="shared" ref="L1460" si="5353">L1459*L1442</f>
        <v>0</v>
      </c>
      <c r="M1460">
        <f t="shared" ref="M1460" si="5354">M1459*M1442</f>
        <v>0</v>
      </c>
      <c r="N1460">
        <f t="shared" ref="N1460" si="5355">N1459*N1442</f>
        <v>0</v>
      </c>
      <c r="O1460">
        <f t="shared" ref="O1460" si="5356">O1459*O1442</f>
        <v>0</v>
      </c>
    </row>
    <row r="1461" spans="1:32" ht="17.149999999999999" x14ac:dyDescent="0.55000000000000004">
      <c r="B1461" t="str">
        <f t="shared" si="5268"/>
        <v>Portland</v>
      </c>
      <c r="C1461" t="s">
        <v>1392</v>
      </c>
      <c r="D1461">
        <f>D1458+D1460</f>
        <v>4.739577185808354E-3</v>
      </c>
      <c r="E1461">
        <f t="shared" ref="E1461" si="5357">E1458+E1460</f>
        <v>4.8748667780818778E-3</v>
      </c>
      <c r="F1461">
        <f t="shared" ref="F1461" si="5358">F1458+F1460</f>
        <v>5.119885034186122E-3</v>
      </c>
      <c r="G1461">
        <f t="shared" ref="G1461" si="5359">G1458+G1460</f>
        <v>5.5846958573521795E-3</v>
      </c>
      <c r="H1461">
        <f t="shared" ref="H1461" si="5360">H1458+H1460</f>
        <v>6.5274070972739821E-3</v>
      </c>
      <c r="I1461">
        <f t="shared" ref="I1461" si="5361">I1458+I1460</f>
        <v>7.4199539958878279E-3</v>
      </c>
      <c r="J1461">
        <f t="shared" ref="J1461" si="5362">J1458+J1460</f>
        <v>8.3358107202842254E-3</v>
      </c>
      <c r="K1461">
        <f t="shared" ref="K1461" si="5363">K1458+K1460</f>
        <v>8.4605262729351115E-3</v>
      </c>
      <c r="L1461">
        <f t="shared" ref="L1461" si="5364">L1458+L1460</f>
        <v>7.8399882233967533E-3</v>
      </c>
      <c r="M1461">
        <f t="shared" ref="M1461" si="5365">M1458+M1460</f>
        <v>6.4173462075160911E-3</v>
      </c>
      <c r="N1461">
        <f t="shared" ref="N1461" si="5366">N1458+N1460</f>
        <v>5.3015226887581056E-3</v>
      </c>
      <c r="O1461">
        <f t="shared" ref="O1461" si="5367">O1458+O1460</f>
        <v>4.68970903600947E-3</v>
      </c>
    </row>
    <row r="1462" spans="1:32" ht="17.149999999999999" x14ac:dyDescent="0.55000000000000004">
      <c r="B1462" t="str">
        <f>B1456</f>
        <v>Portland</v>
      </c>
      <c r="C1462" t="s">
        <v>584</v>
      </c>
      <c r="D1462">
        <f>D1458/D1461</f>
        <v>1</v>
      </c>
      <c r="E1462">
        <f t="shared" ref="E1462" si="5368">E1458/E1461</f>
        <v>1</v>
      </c>
      <c r="F1462">
        <f t="shared" ref="F1462" si="5369">F1458/F1461</f>
        <v>1</v>
      </c>
      <c r="G1462">
        <f t="shared" ref="G1462" si="5370">G1458/G1461</f>
        <v>1</v>
      </c>
      <c r="H1462">
        <f t="shared" ref="H1462" si="5371">H1458/H1461</f>
        <v>1</v>
      </c>
      <c r="I1462">
        <f t="shared" ref="I1462" si="5372">I1458/I1461</f>
        <v>1</v>
      </c>
      <c r="J1462">
        <f t="shared" ref="J1462" si="5373">J1458/J1461</f>
        <v>1</v>
      </c>
      <c r="K1462">
        <f t="shared" ref="K1462" si="5374">K1458/K1461</f>
        <v>1</v>
      </c>
      <c r="L1462">
        <f t="shared" ref="L1462" si="5375">L1458/L1461</f>
        <v>1</v>
      </c>
      <c r="M1462">
        <f t="shared" ref="M1462" si="5376">M1458/M1461</f>
        <v>1</v>
      </c>
      <c r="N1462">
        <f t="shared" ref="N1462" si="5377">N1458/N1461</f>
        <v>1</v>
      </c>
      <c r="O1462">
        <f t="shared" ref="O1462" si="5378">O1458/O1461</f>
        <v>1</v>
      </c>
    </row>
    <row r="1463" spans="1:32" ht="17.149999999999999" x14ac:dyDescent="0.55000000000000004">
      <c r="B1463" t="str">
        <f>B1457</f>
        <v>Portland</v>
      </c>
      <c r="C1463" t="s">
        <v>585</v>
      </c>
      <c r="D1463">
        <f t="shared" ref="D1463:O1463" si="5379">INDEX(Phys_Prop,MATCH(D1436,Chem_List,0),3)</f>
        <v>130</v>
      </c>
      <c r="E1463">
        <f t="shared" si="5379"/>
        <v>130</v>
      </c>
      <c r="F1463">
        <f t="shared" si="5379"/>
        <v>130</v>
      </c>
      <c r="G1463">
        <f t="shared" si="5379"/>
        <v>130</v>
      </c>
      <c r="H1463">
        <f t="shared" si="5379"/>
        <v>130</v>
      </c>
      <c r="I1463">
        <f t="shared" si="5379"/>
        <v>130</v>
      </c>
      <c r="J1463">
        <f t="shared" si="5379"/>
        <v>130</v>
      </c>
      <c r="K1463">
        <f t="shared" si="5379"/>
        <v>130</v>
      </c>
      <c r="L1463">
        <f t="shared" si="5379"/>
        <v>130</v>
      </c>
      <c r="M1463">
        <f t="shared" si="5379"/>
        <v>130</v>
      </c>
      <c r="N1463">
        <f t="shared" si="5379"/>
        <v>130</v>
      </c>
      <c r="O1463">
        <f t="shared" si="5379"/>
        <v>130</v>
      </c>
    </row>
    <row r="1464" spans="1:32" ht="17.149999999999999" x14ac:dyDescent="0.55000000000000004">
      <c r="B1464" t="str">
        <f>B1463</f>
        <v>Portland</v>
      </c>
      <c r="C1464" t="s">
        <v>586</v>
      </c>
      <c r="D1464">
        <f>D1460/D1461</f>
        <v>0</v>
      </c>
      <c r="E1464">
        <f t="shared" ref="E1464:O1464" si="5380">E1460/E1461</f>
        <v>0</v>
      </c>
      <c r="F1464">
        <f t="shared" si="5380"/>
        <v>0</v>
      </c>
      <c r="G1464">
        <f t="shared" si="5380"/>
        <v>0</v>
      </c>
      <c r="H1464">
        <f t="shared" si="5380"/>
        <v>0</v>
      </c>
      <c r="I1464">
        <f t="shared" si="5380"/>
        <v>0</v>
      </c>
      <c r="J1464">
        <f t="shared" si="5380"/>
        <v>0</v>
      </c>
      <c r="K1464">
        <f t="shared" si="5380"/>
        <v>0</v>
      </c>
      <c r="L1464">
        <f t="shared" si="5380"/>
        <v>0</v>
      </c>
      <c r="M1464">
        <f t="shared" si="5380"/>
        <v>0</v>
      </c>
      <c r="N1464">
        <f t="shared" si="5380"/>
        <v>0</v>
      </c>
      <c r="O1464">
        <f t="shared" si="5380"/>
        <v>0</v>
      </c>
    </row>
    <row r="1465" spans="1:32" ht="17.149999999999999" x14ac:dyDescent="0.55000000000000004">
      <c r="B1465" t="str">
        <f t="shared" si="5268"/>
        <v>Portland</v>
      </c>
      <c r="C1465" t="s">
        <v>587</v>
      </c>
      <c r="D1465">
        <f t="shared" ref="D1465:O1465" si="5381">IFERROR(INDEX(Phys_Prop,MATCH(D1438,Chem_List,0),3),0)</f>
        <v>0</v>
      </c>
      <c r="E1465">
        <f t="shared" si="5381"/>
        <v>0</v>
      </c>
      <c r="F1465">
        <f t="shared" si="5381"/>
        <v>0</v>
      </c>
      <c r="G1465">
        <f t="shared" si="5381"/>
        <v>0</v>
      </c>
      <c r="H1465">
        <f t="shared" si="5381"/>
        <v>0</v>
      </c>
      <c r="I1465">
        <f t="shared" si="5381"/>
        <v>0</v>
      </c>
      <c r="J1465">
        <f t="shared" si="5381"/>
        <v>0</v>
      </c>
      <c r="K1465">
        <f t="shared" si="5381"/>
        <v>0</v>
      </c>
      <c r="L1465">
        <f t="shared" si="5381"/>
        <v>0</v>
      </c>
      <c r="M1465">
        <f t="shared" si="5381"/>
        <v>0</v>
      </c>
      <c r="N1465">
        <f t="shared" si="5381"/>
        <v>0</v>
      </c>
      <c r="O1465">
        <f t="shared" si="5381"/>
        <v>0</v>
      </c>
    </row>
    <row r="1466" spans="1:32" ht="17.149999999999999" x14ac:dyDescent="0.55000000000000004">
      <c r="A1466" s="11"/>
      <c r="B1466" s="11" t="str">
        <f t="shared" si="5268"/>
        <v>Portland</v>
      </c>
      <c r="C1466" s="11" t="s">
        <v>588</v>
      </c>
      <c r="D1466" s="11">
        <f>IFERROR(D1462*D1463+D1464*D1465,0)</f>
        <v>130</v>
      </c>
      <c r="E1466" s="11">
        <f t="shared" ref="E1466" si="5382">IFERROR(E1462*E1463+E1464*E1465,0)</f>
        <v>130</v>
      </c>
      <c r="F1466" s="11">
        <f t="shared" ref="F1466" si="5383">IFERROR(F1462*F1463+F1464*F1465,0)</f>
        <v>130</v>
      </c>
      <c r="G1466" s="11">
        <f t="shared" ref="G1466" si="5384">IFERROR(G1462*G1463+G1464*G1465,0)</f>
        <v>130</v>
      </c>
      <c r="H1466" s="11">
        <f t="shared" ref="H1466" si="5385">IFERROR(H1462*H1463+H1464*H1465,0)</f>
        <v>130</v>
      </c>
      <c r="I1466" s="11">
        <f t="shared" ref="I1466" si="5386">IFERROR(I1462*I1463+I1464*I1465,0)</f>
        <v>130</v>
      </c>
      <c r="J1466" s="11">
        <f t="shared" ref="J1466" si="5387">IFERROR(J1462*J1463+J1464*J1465,0)</f>
        <v>130</v>
      </c>
      <c r="K1466" s="11">
        <f t="shared" ref="K1466" si="5388">IFERROR(K1462*K1463+K1464*K1465,0)</f>
        <v>130</v>
      </c>
      <c r="L1466" s="11">
        <f t="shared" ref="L1466" si="5389">IFERROR(L1462*L1463+L1464*L1465,0)</f>
        <v>130</v>
      </c>
      <c r="M1466" s="11">
        <f t="shared" ref="M1466" si="5390">IFERROR(M1462*M1463+M1464*M1465,0)</f>
        <v>130</v>
      </c>
      <c r="N1466" s="11">
        <f t="shared" ref="N1466" si="5391">IFERROR(N1462*N1463+N1464*N1465,0)</f>
        <v>130</v>
      </c>
      <c r="O1466" s="11">
        <f t="shared" ref="O1466" si="5392">IFERROR(O1462*O1463+O1464*O1465,0)</f>
        <v>130</v>
      </c>
      <c r="P1466" s="11"/>
      <c r="Q1466" s="11"/>
      <c r="R1466" s="11"/>
      <c r="S1466" s="11"/>
      <c r="T1466" s="11"/>
      <c r="U1466" s="11"/>
      <c r="V1466" s="11"/>
      <c r="W1466" s="11"/>
      <c r="X1466" s="11"/>
      <c r="Y1466" s="11"/>
      <c r="Z1466" s="11"/>
      <c r="AA1466" s="11"/>
      <c r="AB1466" s="11"/>
      <c r="AC1466" s="11"/>
      <c r="AD1466" s="11"/>
      <c r="AE1466" s="11"/>
      <c r="AF1466" s="11"/>
    </row>
    <row r="1467" spans="1:32" ht="17.149999999999999" x14ac:dyDescent="0.55000000000000004">
      <c r="A1467" t="str" cm="1">
        <f t="array" ref="A1467">INDEX(FX_Input,$Q1467,R$5)</f>
        <v>FX - 44</v>
      </c>
      <c r="B1467" t="str" cm="1">
        <f t="array" ref="B1467">INDEX(FX_Input,Q1467,S1467)</f>
        <v>Portland</v>
      </c>
      <c r="C1467" t="s">
        <v>563</v>
      </c>
      <c r="D1467">
        <v>14.7</v>
      </c>
      <c r="E1467">
        <v>14.7</v>
      </c>
      <c r="F1467">
        <v>14.7</v>
      </c>
      <c r="G1467">
        <v>14.7</v>
      </c>
      <c r="H1467">
        <v>14.7</v>
      </c>
      <c r="I1467">
        <v>14.7</v>
      </c>
      <c r="J1467">
        <v>14.7</v>
      </c>
      <c r="K1467">
        <v>14.7</v>
      </c>
      <c r="L1467">
        <v>14.7</v>
      </c>
      <c r="M1467">
        <v>14.7</v>
      </c>
      <c r="N1467">
        <v>14.7</v>
      </c>
      <c r="O1467">
        <v>14.7</v>
      </c>
      <c r="Q1467">
        <f>Q1433+2</f>
        <v>87</v>
      </c>
      <c r="R1467">
        <v>1</v>
      </c>
      <c r="S1467">
        <v>3</v>
      </c>
      <c r="T1467">
        <v>1</v>
      </c>
      <c r="U1467">
        <v>19</v>
      </c>
      <c r="V1467">
        <v>20</v>
      </c>
      <c r="W1467">
        <v>25</v>
      </c>
      <c r="X1467">
        <v>1</v>
      </c>
      <c r="Y1467">
        <v>2</v>
      </c>
      <c r="Z1467">
        <f>(W1467-V1467)/(Y1467-X1467)</f>
        <v>5</v>
      </c>
      <c r="AA1467">
        <f>V1467-Z1467*X1467</f>
        <v>15</v>
      </c>
      <c r="AD1467">
        <f>AD1433+14</f>
        <v>603</v>
      </c>
      <c r="AF1467">
        <f>AF1433+14</f>
        <v>603</v>
      </c>
    </row>
    <row r="1468" spans="1:32" ht="17.149999999999999" x14ac:dyDescent="0.55000000000000004">
      <c r="B1468" t="str">
        <f t="shared" ref="B1468" si="5393">B1467</f>
        <v>Portland</v>
      </c>
      <c r="C1468" t="s">
        <v>564</v>
      </c>
      <c r="D1468" cm="1">
        <f t="array" ref="D1468">IF(ISBLANK(INDEX(FX_Input,$Q1467,$AB1468)),0.03,INDEX(FX_Input,Q1467,AB1468))</f>
        <v>0.03</v>
      </c>
      <c r="E1468" cm="1">
        <f t="array" ref="E1468">IF(ISBLANK(INDEX(FX_Input,$Q1467,$AB1468)),0.03,INDEX(FX_Input,R1467,#REF!))</f>
        <v>0.03</v>
      </c>
      <c r="F1468" cm="1">
        <f t="array" ref="F1468">IF(ISBLANK(INDEX(FX_Input,$Q1467,$AB1468)),0.03,INDEX(FX_Input,S1467,#REF!))</f>
        <v>0.03</v>
      </c>
      <c r="G1468" cm="1">
        <f t="array" ref="G1468">IF(ISBLANK(INDEX(FX_Input,$Q1467,$AB1468)),0.03,INDEX(FX_Input,AB1467,#REF!))</f>
        <v>0.03</v>
      </c>
      <c r="H1468" cm="1">
        <f t="array" ref="H1468">IF(ISBLANK(INDEX(FX_Input,$Q1467,$AB1468)),0.03,INDEX(FX_Input,#REF!,#REF!))</f>
        <v>0.03</v>
      </c>
      <c r="I1468" cm="1">
        <f t="array" ref="I1468">IF(ISBLANK(INDEX(FX_Input,$Q1467,$AB1468)),0.03,INDEX(FX_Input,#REF!,#REF!))</f>
        <v>0.03</v>
      </c>
      <c r="J1468" cm="1">
        <f t="array" ref="J1468">IF(ISBLANK(INDEX(FX_Input,$Q1467,$AB1468)),0.03,INDEX(FX_Input,#REF!,#REF!))</f>
        <v>0.03</v>
      </c>
      <c r="K1468" cm="1">
        <f t="array" ref="K1468">IF(ISBLANK(INDEX(FX_Input,$Q1467,$AB1468)),0.03,INDEX(FX_Input,#REF!,AC1468))</f>
        <v>0.03</v>
      </c>
      <c r="L1468" cm="1">
        <f t="array" ref="L1468">IF(ISBLANK(INDEX(FX_Input,$Q1467,$AB1468)),0.03,INDEX(FX_Input,#REF!,AD1468))</f>
        <v>0.03</v>
      </c>
      <c r="M1468" cm="1">
        <f t="array" ref="M1468">IF(ISBLANK(INDEX(FX_Input,$Q1467,$AB1468)),0.03,INDEX(FX_Input,#REF!,#REF!))</f>
        <v>0.03</v>
      </c>
      <c r="N1468" cm="1">
        <f t="array" ref="N1468">IF(ISBLANK(INDEX(FX_Input,$Q1467,$AB1468)),0.03,INDEX(FX_Input,AC1467,#REF!))</f>
        <v>0.03</v>
      </c>
      <c r="O1468" cm="1">
        <f t="array" ref="O1468">IF(ISBLANK(INDEX(FX_Input,$Q1467,$AB1468)),0.03,INDEX(FX_Input,AD1467,#REF!))</f>
        <v>0.03</v>
      </c>
      <c r="AB1468">
        <v>15</v>
      </c>
    </row>
    <row r="1469" spans="1:32" ht="17.149999999999999" x14ac:dyDescent="0.55000000000000004">
      <c r="B1469" t="str">
        <f>B1468</f>
        <v>Portland</v>
      </c>
      <c r="C1469" t="s">
        <v>565</v>
      </c>
      <c r="D1469" cm="1">
        <f t="array" ref="D1469">IF(ISBLANK(INDEX(FX_Input,$Q1467,$AB1469)),-0.03,INDEX(FX_Input,Q1467,AB1469))</f>
        <v>-0.03</v>
      </c>
      <c r="E1469" cm="1">
        <f t="array" ref="E1469">IF(ISBLANK(INDEX(FX_Input,$Q1467,$AB1469)),-0.03,INDEX(FX_Input,R1467,#REF!))</f>
        <v>-0.03</v>
      </c>
      <c r="F1469" cm="1">
        <f t="array" ref="F1469">IF(ISBLANK(INDEX(FX_Input,$Q1467,$AB1469)),-0.03,INDEX(FX_Input,S1467,#REF!))</f>
        <v>-0.03</v>
      </c>
      <c r="G1469" cm="1">
        <f t="array" ref="G1469">IF(ISBLANK(INDEX(FX_Input,$Q1467,$AB1469)),-0.03,INDEX(FX_Input,AB1467,#REF!))</f>
        <v>-0.03</v>
      </c>
      <c r="H1469" cm="1">
        <f t="array" ref="H1469">IF(ISBLANK(INDEX(FX_Input,$Q1467,$AB1469)),-0.03,INDEX(FX_Input,#REF!,#REF!))</f>
        <v>-0.03</v>
      </c>
      <c r="I1469" cm="1">
        <f t="array" ref="I1469">IF(ISBLANK(INDEX(FX_Input,$Q1467,$AB1469)),-0.03,INDEX(FX_Input,#REF!,#REF!))</f>
        <v>-0.03</v>
      </c>
      <c r="J1469" cm="1">
        <f t="array" ref="J1469">IF(ISBLANK(INDEX(FX_Input,$Q1467,$AB1469)),-0.03,INDEX(FX_Input,#REF!,#REF!))</f>
        <v>-0.03</v>
      </c>
      <c r="K1469" cm="1">
        <f t="array" ref="K1469">IF(ISBLANK(INDEX(FX_Input,$Q1467,$AB1469)),-0.03,INDEX(FX_Input,#REF!,AC1469))</f>
        <v>-0.03</v>
      </c>
      <c r="L1469" cm="1">
        <f t="array" ref="L1469">IF(ISBLANK(INDEX(FX_Input,$Q1467,$AB1469)),-0.03,INDEX(FX_Input,#REF!,AD1469))</f>
        <v>-0.03</v>
      </c>
      <c r="M1469" cm="1">
        <f t="array" ref="M1469">IF(ISBLANK(INDEX(FX_Input,$Q1467,$AB1469)),-0.03,INDEX(FX_Input,#REF!,#REF!))</f>
        <v>-0.03</v>
      </c>
      <c r="N1469" cm="1">
        <f t="array" ref="N1469">IF(ISBLANK(INDEX(FX_Input,$Q1467,$AB1469)),-0.03,INDEX(FX_Input,AC1467,#REF!))</f>
        <v>-0.03</v>
      </c>
      <c r="O1469" cm="1">
        <f t="array" ref="O1469">IF(ISBLANK(INDEX(FX_Input,$Q1467,$AB1469)),-0.03,INDEX(FX_Input,AD1467,#REF!))</f>
        <v>-0.03</v>
      </c>
      <c r="AB1469">
        <v>16</v>
      </c>
    </row>
    <row r="1470" spans="1:32" x14ac:dyDescent="0.4">
      <c r="B1470" t="str">
        <f t="shared" ref="B1470:B1471" si="5394">B1469</f>
        <v>Portland</v>
      </c>
      <c r="C1470" s="66" t="s">
        <v>567</v>
      </c>
      <c r="D1470" t="str" cm="1">
        <f t="array" ref="D1470">INDEX(FX_Multi,$AD1470,D$3)</f>
        <v>Jet kerosene</v>
      </c>
      <c r="E1470" t="str" cm="1">
        <f t="array" ref="E1470">INDEX(FX_Multi,$AD1470,E$3)</f>
        <v>Jet kerosene</v>
      </c>
      <c r="F1470" t="str" cm="1">
        <f t="array" ref="F1470">INDEX(FX_Multi,$AD1470,F$3)</f>
        <v>Jet kerosene</v>
      </c>
      <c r="G1470" t="str" cm="1">
        <f t="array" ref="G1470">INDEX(FX_Multi,$AD1470,G$3)</f>
        <v>Jet kerosene</v>
      </c>
      <c r="H1470" t="str" cm="1">
        <f t="array" ref="H1470">INDEX(FX_Multi,$AD1470,H$3)</f>
        <v>Jet kerosene</v>
      </c>
      <c r="I1470" t="str" cm="1">
        <f t="array" ref="I1470">INDEX(FX_Multi,$AD1470,I$3)</f>
        <v>Jet kerosene</v>
      </c>
      <c r="J1470" t="str" cm="1">
        <f t="array" ref="J1470">INDEX(FX_Multi,$AD1470,J$3)</f>
        <v>Jet kerosene</v>
      </c>
      <c r="K1470" t="str" cm="1">
        <f t="array" ref="K1470">INDEX(FX_Multi,$AD1470,K$3)</f>
        <v>Jet kerosene</v>
      </c>
      <c r="L1470" t="str" cm="1">
        <f t="array" ref="L1470">INDEX(FX_Multi,$AD1470,L$3)</f>
        <v>Jet kerosene</v>
      </c>
      <c r="M1470" t="str" cm="1">
        <f t="array" ref="M1470">INDEX(FX_Multi,$AD1470,M$3)</f>
        <v>Jet kerosene</v>
      </c>
      <c r="N1470" t="str" cm="1">
        <f t="array" ref="N1470">INDEX(FX_Multi,$AD1470,N$3)</f>
        <v>Jet kerosene</v>
      </c>
      <c r="O1470" t="str" cm="1">
        <f t="array" ref="O1470">INDEX(FX_Multi,$AD1470,O$3)</f>
        <v>Jet kerosene</v>
      </c>
      <c r="AC1470">
        <v>1</v>
      </c>
      <c r="AD1470">
        <f>AD1467</f>
        <v>603</v>
      </c>
      <c r="AE1470">
        <v>1</v>
      </c>
      <c r="AF1470">
        <f>AF1467</f>
        <v>603</v>
      </c>
    </row>
    <row r="1471" spans="1:32" x14ac:dyDescent="0.4">
      <c r="B1471" t="str">
        <f t="shared" si="5394"/>
        <v>Portland</v>
      </c>
      <c r="C1471" s="66" t="s">
        <v>566</v>
      </c>
      <c r="D1471" t="str" cm="1">
        <f t="array" ref="D1471">INDEX(FX_Multi,$AD1471,D$3)</f>
        <v>Select Pet Stock</v>
      </c>
      <c r="E1471" t="str" cm="1">
        <f t="array" ref="E1471">INDEX(FX_Multi,$AD1471,E$3)</f>
        <v>Select Pet Stock</v>
      </c>
      <c r="F1471" t="str" cm="1">
        <f t="array" ref="F1471">INDEX(FX_Multi,$AD1471,F$3)</f>
        <v>Select Pet Stock</v>
      </c>
      <c r="G1471" t="str" cm="1">
        <f t="array" ref="G1471">INDEX(FX_Multi,$AD1471,G$3)</f>
        <v>Select Pet Stock</v>
      </c>
      <c r="H1471" t="str" cm="1">
        <f t="array" ref="H1471">INDEX(FX_Multi,$AD1471,H$3)</f>
        <v>Select Pet Stock</v>
      </c>
      <c r="I1471" t="str" cm="1">
        <f t="array" ref="I1471">INDEX(FX_Multi,$AD1471,I$3)</f>
        <v>Select Pet Stock</v>
      </c>
      <c r="J1471" t="str" cm="1">
        <f t="array" ref="J1471">INDEX(FX_Multi,$AD1471,J$3)</f>
        <v>Select Pet Stock</v>
      </c>
      <c r="K1471" t="str" cm="1">
        <f t="array" ref="K1471">INDEX(FX_Multi,$AD1471,K$3)</f>
        <v>Select Pet Stock</v>
      </c>
      <c r="L1471" t="str" cm="1">
        <f t="array" ref="L1471">INDEX(FX_Multi,$AD1471,L$3)</f>
        <v>Select Pet Stock</v>
      </c>
      <c r="M1471" t="str" cm="1">
        <f t="array" ref="M1471">INDEX(FX_Multi,$AD1471,M$3)</f>
        <v>Select Pet Stock</v>
      </c>
      <c r="N1471" t="str" cm="1">
        <f t="array" ref="N1471">INDEX(FX_Multi,$AD1471,N$3)</f>
        <v>Select Pet Stock</v>
      </c>
      <c r="O1471" t="str" cm="1">
        <f t="array" ref="O1471">INDEX(FX_Multi,$AD1471,O$3)</f>
        <v>Select Pet Stock</v>
      </c>
      <c r="AC1471">
        <v>1</v>
      </c>
      <c r="AD1471">
        <f>AD1470+2</f>
        <v>605</v>
      </c>
      <c r="AE1471">
        <v>1</v>
      </c>
      <c r="AF1471">
        <f>AF1470+3</f>
        <v>606</v>
      </c>
    </row>
    <row r="1472" spans="1:32" x14ac:dyDescent="0.4">
      <c r="B1472" t="str">
        <f>B1468</f>
        <v>Portland</v>
      </c>
      <c r="C1472" s="66" t="s">
        <v>568</v>
      </c>
      <c r="D1472" cm="1">
        <f t="array" ref="D1472">INDEX(FX_Multi,$AD1472,D$3)</f>
        <v>0</v>
      </c>
      <c r="E1472" cm="1">
        <f t="array" ref="E1472">INDEX(FX_Multi,$AD1472,E$3)</f>
        <v>0</v>
      </c>
      <c r="F1472" cm="1">
        <f t="array" ref="F1472">INDEX(FX_Multi,$AD1472,F$3)</f>
        <v>0</v>
      </c>
      <c r="G1472" cm="1">
        <f t="array" ref="G1472">INDEX(FX_Multi,$AD1472,G$3)</f>
        <v>0</v>
      </c>
      <c r="H1472" cm="1">
        <f t="array" ref="H1472">INDEX(FX_Multi,$AD1472,H$3)</f>
        <v>0</v>
      </c>
      <c r="I1472" cm="1">
        <f t="array" ref="I1472">INDEX(FX_Multi,$AD1472,I$3)</f>
        <v>0</v>
      </c>
      <c r="J1472" cm="1">
        <f t="array" ref="J1472">INDEX(FX_Multi,$AD1472,J$3)</f>
        <v>0</v>
      </c>
      <c r="K1472" cm="1">
        <f t="array" ref="K1472">INDEX(FX_Multi,$AD1472,K$3)</f>
        <v>0</v>
      </c>
      <c r="L1472" cm="1">
        <f t="array" ref="L1472">INDEX(FX_Multi,$AD1472,L$3)</f>
        <v>0</v>
      </c>
      <c r="M1472" cm="1">
        <f t="array" ref="M1472">INDEX(FX_Multi,$AD1472,M$3)</f>
        <v>0</v>
      </c>
      <c r="N1472" cm="1">
        <f t="array" ref="N1472">INDEX(FX_Multi,$AD1472,N$3)</f>
        <v>0</v>
      </c>
      <c r="O1472" cm="1">
        <f t="array" ref="O1472">INDEX(FX_Multi,$AD1472,O$3)</f>
        <v>0</v>
      </c>
      <c r="AC1472">
        <v>1</v>
      </c>
      <c r="AD1472">
        <f>AD1471-1</f>
        <v>604</v>
      </c>
      <c r="AE1472">
        <v>1</v>
      </c>
      <c r="AF1472">
        <f>AF1470+1</f>
        <v>604</v>
      </c>
    </row>
    <row r="1473" spans="2:32" x14ac:dyDescent="0.4">
      <c r="B1473" t="str">
        <f t="shared" ref="B1473:B1477" si="5395">B1472</f>
        <v>Portland</v>
      </c>
      <c r="C1473" s="66" t="s">
        <v>569</v>
      </c>
      <c r="D1473" cm="1">
        <f t="array" ref="D1473">INDEX(FX_Multi,$AD1473,D$3)</f>
        <v>0</v>
      </c>
      <c r="E1473" cm="1">
        <f t="array" ref="E1473">INDEX(FX_Multi,$AD1473,E$3)</f>
        <v>0</v>
      </c>
      <c r="F1473" cm="1">
        <f t="array" ref="F1473">INDEX(FX_Multi,$AD1473,F$3)</f>
        <v>0</v>
      </c>
      <c r="G1473" cm="1">
        <f t="array" ref="G1473">INDEX(FX_Multi,$AD1473,G$3)</f>
        <v>0</v>
      </c>
      <c r="H1473" cm="1">
        <f t="array" ref="H1473">INDEX(FX_Multi,$AD1473,H$3)</f>
        <v>0</v>
      </c>
      <c r="I1473" cm="1">
        <f t="array" ref="I1473">INDEX(FX_Multi,$AD1473,I$3)</f>
        <v>0</v>
      </c>
      <c r="J1473" cm="1">
        <f t="array" ref="J1473">INDEX(FX_Multi,$AD1473,J$3)</f>
        <v>0</v>
      </c>
      <c r="K1473" cm="1">
        <f t="array" ref="K1473">INDEX(FX_Multi,$AD1473,K$3)</f>
        <v>0</v>
      </c>
      <c r="L1473" cm="1">
        <f t="array" ref="L1473">INDEX(FX_Multi,$AD1473,L$3)</f>
        <v>0</v>
      </c>
      <c r="M1473" cm="1">
        <f t="array" ref="M1473">INDEX(FX_Multi,$AD1473,M$3)</f>
        <v>0</v>
      </c>
      <c r="N1473" cm="1">
        <f t="array" ref="N1473">INDEX(FX_Multi,$AD1473,N$3)</f>
        <v>0</v>
      </c>
      <c r="O1473" cm="1">
        <f t="array" ref="O1473">INDEX(FX_Multi,$AD1473,O$3)</f>
        <v>0</v>
      </c>
      <c r="AC1473">
        <v>1</v>
      </c>
      <c r="AD1473">
        <f>AD1472+2</f>
        <v>606</v>
      </c>
      <c r="AE1473">
        <v>1</v>
      </c>
      <c r="AF1473">
        <f>AF1471</f>
        <v>606</v>
      </c>
    </row>
    <row r="1474" spans="2:32" ht="17.149999999999999" x14ac:dyDescent="0.55000000000000004">
      <c r="B1474" t="str">
        <f t="shared" si="5395"/>
        <v>Portland</v>
      </c>
      <c r="C1474" t="s">
        <v>570</v>
      </c>
      <c r="D1474" cm="1">
        <f t="array" ref="D1474">INDEX(FX_Multi,$AD1474,D$3)</f>
        <v>1</v>
      </c>
      <c r="E1474" cm="1">
        <f t="array" ref="E1474">INDEX(FX_Multi,$AD1474,E$3)</f>
        <v>1</v>
      </c>
      <c r="F1474" cm="1">
        <f t="array" ref="F1474">INDEX(FX_Multi,$AD1474,F$3)</f>
        <v>1</v>
      </c>
      <c r="G1474" cm="1">
        <f t="array" ref="G1474">INDEX(FX_Multi,$AD1474,G$3)</f>
        <v>1</v>
      </c>
      <c r="H1474" cm="1">
        <f t="array" ref="H1474">INDEX(FX_Multi,$AD1474,H$3)</f>
        <v>1</v>
      </c>
      <c r="I1474" cm="1">
        <f t="array" ref="I1474">INDEX(FX_Multi,$AD1474,I$3)</f>
        <v>1</v>
      </c>
      <c r="J1474" cm="1">
        <f t="array" ref="J1474">INDEX(FX_Multi,$AD1474,J$3)</f>
        <v>1</v>
      </c>
      <c r="K1474" cm="1">
        <f t="array" ref="K1474">INDEX(FX_Multi,$AD1474,K$3)</f>
        <v>1</v>
      </c>
      <c r="L1474" cm="1">
        <f t="array" ref="L1474">INDEX(FX_Multi,$AD1474,L$3)</f>
        <v>1</v>
      </c>
      <c r="M1474" cm="1">
        <f t="array" ref="M1474">INDEX(FX_Multi,$AD1474,M$3)</f>
        <v>1</v>
      </c>
      <c r="N1474" cm="1">
        <f t="array" ref="N1474">INDEX(FX_Multi,$AD1474,N$3)</f>
        <v>1</v>
      </c>
      <c r="O1474" cm="1">
        <f t="array" ref="O1474">INDEX(FX_Multi,$AD1474,O$3)</f>
        <v>1</v>
      </c>
      <c r="AC1474">
        <v>1</v>
      </c>
      <c r="AD1474">
        <f>AD1473+6</f>
        <v>612</v>
      </c>
      <c r="AE1474">
        <v>1</v>
      </c>
      <c r="AF1474">
        <f>AF1470+9</f>
        <v>612</v>
      </c>
    </row>
    <row r="1475" spans="2:32" ht="17.149999999999999" x14ac:dyDescent="0.55000000000000004">
      <c r="B1475" t="str">
        <f t="shared" si="5395"/>
        <v>Portland</v>
      </c>
      <c r="C1475" t="s">
        <v>571</v>
      </c>
      <c r="D1475" cm="1">
        <f t="array" ref="D1475">INDEX(FX_Multi,$AD1475,D$3)</f>
        <v>162</v>
      </c>
      <c r="E1475" cm="1">
        <f t="array" ref="E1475">INDEX(FX_Multi,$AD1475,E$3)</f>
        <v>162</v>
      </c>
      <c r="F1475" cm="1">
        <f t="array" ref="F1475">INDEX(FX_Multi,$AD1475,F$3)</f>
        <v>162</v>
      </c>
      <c r="G1475" cm="1">
        <f t="array" ref="G1475">INDEX(FX_Multi,$AD1475,G$3)</f>
        <v>162</v>
      </c>
      <c r="H1475" cm="1">
        <f t="array" ref="H1475">INDEX(FX_Multi,$AD1475,H$3)</f>
        <v>162</v>
      </c>
      <c r="I1475" cm="1">
        <f t="array" ref="I1475">INDEX(FX_Multi,$AD1475,I$3)</f>
        <v>162</v>
      </c>
      <c r="J1475" cm="1">
        <f t="array" ref="J1475">INDEX(FX_Multi,$AD1475,J$3)</f>
        <v>162</v>
      </c>
      <c r="K1475" cm="1">
        <f t="array" ref="K1475">INDEX(FX_Multi,$AD1475,K$3)</f>
        <v>162</v>
      </c>
      <c r="L1475" cm="1">
        <f t="array" ref="L1475">INDEX(FX_Multi,$AD1475,L$3)</f>
        <v>162</v>
      </c>
      <c r="M1475" cm="1">
        <f t="array" ref="M1475">INDEX(FX_Multi,$AD1475,M$3)</f>
        <v>162</v>
      </c>
      <c r="N1475" cm="1">
        <f t="array" ref="N1475">INDEX(FX_Multi,$AD1475,N$3)</f>
        <v>162</v>
      </c>
      <c r="O1475" cm="1">
        <f t="array" ref="O1475">INDEX(FX_Multi,$AD1475,O$3)</f>
        <v>162</v>
      </c>
      <c r="AC1475">
        <v>1</v>
      </c>
      <c r="AD1475">
        <f>AD1474-3</f>
        <v>609</v>
      </c>
      <c r="AE1475">
        <v>1</v>
      </c>
      <c r="AF1475">
        <f>AF1470+6</f>
        <v>609</v>
      </c>
    </row>
    <row r="1476" spans="2:32" ht="17.149999999999999" x14ac:dyDescent="0.55000000000000004">
      <c r="B1476" t="str">
        <f t="shared" si="5395"/>
        <v>Portland</v>
      </c>
      <c r="C1476" t="s">
        <v>572</v>
      </c>
      <c r="D1476" cm="1">
        <f t="array" ref="D1476">INDEX(FX_Multi,$AD1476,D$3)</f>
        <v>0</v>
      </c>
      <c r="E1476" cm="1">
        <f t="array" ref="E1476">INDEX(FX_Multi,$AD1476,E$3)</f>
        <v>0</v>
      </c>
      <c r="F1476" cm="1">
        <f t="array" ref="F1476">INDEX(FX_Multi,$AD1476,F$3)</f>
        <v>0</v>
      </c>
      <c r="G1476" cm="1">
        <f t="array" ref="G1476">INDEX(FX_Multi,$AD1476,G$3)</f>
        <v>0</v>
      </c>
      <c r="H1476" cm="1">
        <f t="array" ref="H1476">INDEX(FX_Multi,$AD1476,H$3)</f>
        <v>0</v>
      </c>
      <c r="I1476" cm="1">
        <f t="array" ref="I1476">INDEX(FX_Multi,$AD1476,I$3)</f>
        <v>0</v>
      </c>
      <c r="J1476" cm="1">
        <f t="array" ref="J1476">INDEX(FX_Multi,$AD1476,J$3)</f>
        <v>0</v>
      </c>
      <c r="K1476" cm="1">
        <f t="array" ref="K1476">INDEX(FX_Multi,$AD1476,K$3)</f>
        <v>0</v>
      </c>
      <c r="L1476" cm="1">
        <f t="array" ref="L1476">INDEX(FX_Multi,$AD1476,L$3)</f>
        <v>0</v>
      </c>
      <c r="M1476" cm="1">
        <f t="array" ref="M1476">INDEX(FX_Multi,$AD1476,M$3)</f>
        <v>0</v>
      </c>
      <c r="N1476" cm="1">
        <f t="array" ref="N1476">INDEX(FX_Multi,$AD1476,N$3)</f>
        <v>0</v>
      </c>
      <c r="O1476" cm="1">
        <f t="array" ref="O1476">INDEX(FX_Multi,$AD1476,O$3)</f>
        <v>0</v>
      </c>
      <c r="AC1476">
        <v>1</v>
      </c>
      <c r="AD1476">
        <f>AD1475+4</f>
        <v>613</v>
      </c>
      <c r="AE1476">
        <v>1</v>
      </c>
      <c r="AF1476">
        <f>AF1470+10</f>
        <v>613</v>
      </c>
    </row>
    <row r="1477" spans="2:32" ht="17.149999999999999" x14ac:dyDescent="0.55000000000000004">
      <c r="B1477" t="str">
        <f t="shared" si="5395"/>
        <v>Portland</v>
      </c>
      <c r="C1477" t="s">
        <v>573</v>
      </c>
      <c r="D1477" cm="1">
        <f t="array" ref="D1477">INDEX(FX_Multi,$AD1477,D$3)</f>
        <v>0</v>
      </c>
      <c r="E1477" cm="1">
        <f t="array" ref="E1477">INDEX(FX_Multi,$AD1477,E$3)</f>
        <v>0</v>
      </c>
      <c r="F1477" cm="1">
        <f t="array" ref="F1477">INDEX(FX_Multi,$AD1477,F$3)</f>
        <v>0</v>
      </c>
      <c r="G1477" cm="1">
        <f t="array" ref="G1477">INDEX(FX_Multi,$AD1477,G$3)</f>
        <v>0</v>
      </c>
      <c r="H1477" cm="1">
        <f t="array" ref="H1477">INDEX(FX_Multi,$AD1477,H$3)</f>
        <v>0</v>
      </c>
      <c r="I1477" cm="1">
        <f t="array" ref="I1477">INDEX(FX_Multi,$AD1477,I$3)</f>
        <v>0</v>
      </c>
      <c r="J1477" cm="1">
        <f t="array" ref="J1477">INDEX(FX_Multi,$AD1477,J$3)</f>
        <v>0</v>
      </c>
      <c r="K1477" cm="1">
        <f t="array" ref="K1477">INDEX(FX_Multi,$AD1477,K$3)</f>
        <v>0</v>
      </c>
      <c r="L1477" cm="1">
        <f t="array" ref="L1477">INDEX(FX_Multi,$AD1477,L$3)</f>
        <v>0</v>
      </c>
      <c r="M1477" cm="1">
        <f t="array" ref="M1477">INDEX(FX_Multi,$AD1477,M$3)</f>
        <v>0</v>
      </c>
      <c r="N1477" cm="1">
        <f t="array" ref="N1477">INDEX(FX_Multi,$AD1477,N$3)</f>
        <v>0</v>
      </c>
      <c r="O1477" cm="1">
        <f t="array" ref="O1477">INDEX(FX_Multi,$AD1477,O$3)</f>
        <v>0</v>
      </c>
      <c r="AC1477">
        <v>1</v>
      </c>
      <c r="AD1477">
        <f>AD1476-3</f>
        <v>610</v>
      </c>
      <c r="AE1477">
        <v>1</v>
      </c>
      <c r="AF1477">
        <f>AF1470+7</f>
        <v>610</v>
      </c>
    </row>
    <row r="1478" spans="2:32" ht="17.149999999999999" x14ac:dyDescent="0.55000000000000004">
      <c r="B1478" t="str">
        <f>B1473</f>
        <v>Portland</v>
      </c>
      <c r="C1478" t="s">
        <v>526</v>
      </c>
      <c r="D1478" cm="1">
        <f t="array" ref="D1478">INDEX(FX_Temps,$AF1478,D$3)</f>
        <v>43.899999999999977</v>
      </c>
      <c r="E1478" cm="1">
        <f t="array" ref="E1478">INDEX(FX_Temps,$AF1478,E$3)</f>
        <v>44.700000000000045</v>
      </c>
      <c r="F1478" cm="1">
        <f t="array" ref="F1478">INDEX(FX_Temps,$AF1478,F$3)</f>
        <v>46.100000000000023</v>
      </c>
      <c r="G1478" cm="1">
        <f t="array" ref="G1478">INDEX(FX_Temps,$AF1478,G$3)</f>
        <v>48.599999999999966</v>
      </c>
      <c r="H1478" cm="1">
        <f t="array" ref="H1478">INDEX(FX_Temps,$AF1478,H$3)</f>
        <v>53.149999999999977</v>
      </c>
      <c r="I1478" cm="1">
        <f t="array" ref="I1478">INDEX(FX_Temps,$AF1478,I$3)</f>
        <v>56.950000000000045</v>
      </c>
      <c r="J1478" cm="1">
        <f t="array" ref="J1478">INDEX(FX_Temps,$AF1478,J$3)</f>
        <v>60.449999999999932</v>
      </c>
      <c r="K1478" cm="1">
        <f t="array" ref="K1478">INDEX(FX_Temps,$AF1478,K$3)</f>
        <v>60.899999999999977</v>
      </c>
      <c r="L1478" cm="1">
        <f t="array" ref="L1478">INDEX(FX_Temps,$AF1478,L$3)</f>
        <v>58.600000000000023</v>
      </c>
      <c r="M1478" cm="1">
        <f t="array" ref="M1478">INDEX(FX_Temps,$AF1478,M$3)</f>
        <v>52.649999999999977</v>
      </c>
      <c r="N1478" cm="1">
        <f t="array" ref="N1478">INDEX(FX_Temps,$AF1478,N$3)</f>
        <v>47.100000000000023</v>
      </c>
      <c r="O1478" cm="1">
        <f t="array" ref="O1478">INDEX(FX_Temps,$AF1478,O$3)</f>
        <v>43.600000000000023</v>
      </c>
      <c r="AE1478">
        <v>1</v>
      </c>
      <c r="AF1478">
        <f>AF1470+10</f>
        <v>613</v>
      </c>
    </row>
    <row r="1479" spans="2:32" ht="17.149999999999999" x14ac:dyDescent="0.55000000000000004">
      <c r="B1479" t="str">
        <f t="shared" ref="B1479:B1500" si="5396">B1478</f>
        <v>Portland</v>
      </c>
      <c r="C1479" t="s">
        <v>527</v>
      </c>
      <c r="D1479" cm="1">
        <f t="array" ref="D1479">INDEX(FX_Temps,$AF1479,D$3)</f>
        <v>43.899999999999977</v>
      </c>
      <c r="E1479" cm="1">
        <f t="array" ref="E1479">INDEX(FX_Temps,$AF1479,E$3)</f>
        <v>44.700000000000045</v>
      </c>
      <c r="F1479" cm="1">
        <f t="array" ref="F1479">INDEX(FX_Temps,$AF1479,F$3)</f>
        <v>46.100000000000023</v>
      </c>
      <c r="G1479" cm="1">
        <f t="array" ref="G1479">INDEX(FX_Temps,$AF1479,G$3)</f>
        <v>48.599999999999966</v>
      </c>
      <c r="H1479" cm="1">
        <f t="array" ref="H1479">INDEX(FX_Temps,$AF1479,H$3)</f>
        <v>53.149999999999977</v>
      </c>
      <c r="I1479" cm="1">
        <f t="array" ref="I1479">INDEX(FX_Temps,$AF1479,I$3)</f>
        <v>56.950000000000045</v>
      </c>
      <c r="J1479" cm="1">
        <f t="array" ref="J1479">INDEX(FX_Temps,$AF1479,J$3)</f>
        <v>60.449999999999932</v>
      </c>
      <c r="K1479" cm="1">
        <f t="array" ref="K1479">INDEX(FX_Temps,$AF1479,K$3)</f>
        <v>60.899999999999977</v>
      </c>
      <c r="L1479" cm="1">
        <f t="array" ref="L1479">INDEX(FX_Temps,$AF1479,L$3)</f>
        <v>58.600000000000023</v>
      </c>
      <c r="M1479" cm="1">
        <f t="array" ref="M1479">INDEX(FX_Temps,$AF1479,M$3)</f>
        <v>52.649999999999977</v>
      </c>
      <c r="N1479" cm="1">
        <f t="array" ref="N1479">INDEX(FX_Temps,$AF1479,N$3)</f>
        <v>47.100000000000023</v>
      </c>
      <c r="O1479" cm="1">
        <f t="array" ref="O1479">INDEX(FX_Temps,$AF1479,O$3)</f>
        <v>43.600000000000023</v>
      </c>
      <c r="AE1479">
        <f>AE1478</f>
        <v>1</v>
      </c>
      <c r="AF1479">
        <f>AF1470+11</f>
        <v>614</v>
      </c>
    </row>
    <row r="1480" spans="2:32" ht="17.149999999999999" x14ac:dyDescent="0.55000000000000004">
      <c r="B1480" t="str">
        <f t="shared" si="5396"/>
        <v>Portland</v>
      </c>
      <c r="C1480" t="s">
        <v>552</v>
      </c>
      <c r="D1480" cm="1">
        <f t="array" ref="D1480">INDEX(FX_Temps,$AF1480,D$3)</f>
        <v>43.899999999999977</v>
      </c>
      <c r="E1480" cm="1">
        <f t="array" ref="E1480">INDEX(FX_Temps,$AF1480,E$3)</f>
        <v>44.700000000000045</v>
      </c>
      <c r="F1480" cm="1">
        <f t="array" ref="F1480">INDEX(FX_Temps,$AF1480,F$3)</f>
        <v>46.100000000000023</v>
      </c>
      <c r="G1480" cm="1">
        <f t="array" ref="G1480">INDEX(FX_Temps,$AF1480,G$3)</f>
        <v>48.599999999999966</v>
      </c>
      <c r="H1480" cm="1">
        <f t="array" ref="H1480">INDEX(FX_Temps,$AF1480,H$3)</f>
        <v>53.149999999999977</v>
      </c>
      <c r="I1480" cm="1">
        <f t="array" ref="I1480">INDEX(FX_Temps,$AF1480,I$3)</f>
        <v>56.950000000000045</v>
      </c>
      <c r="J1480" cm="1">
        <f t="array" ref="J1480">INDEX(FX_Temps,$AF1480,J$3)</f>
        <v>60.449999999999932</v>
      </c>
      <c r="K1480" cm="1">
        <f t="array" ref="K1480">INDEX(FX_Temps,$AF1480,K$3)</f>
        <v>60.899999999999977</v>
      </c>
      <c r="L1480" cm="1">
        <f t="array" ref="L1480">INDEX(FX_Temps,$AF1480,L$3)</f>
        <v>58.600000000000023</v>
      </c>
      <c r="M1480" cm="1">
        <f t="array" ref="M1480">INDEX(FX_Temps,$AF1480,M$3)</f>
        <v>52.649999999999977</v>
      </c>
      <c r="N1480" cm="1">
        <f t="array" ref="N1480">INDEX(FX_Temps,$AF1480,N$3)</f>
        <v>47.100000000000023</v>
      </c>
      <c r="O1480" cm="1">
        <f t="array" ref="O1480">INDEX(FX_Temps,$AF1480,O$3)</f>
        <v>43.600000000000023</v>
      </c>
      <c r="AE1480">
        <f>AE1479</f>
        <v>1</v>
      </c>
      <c r="AF1480">
        <f>AF1470+13</f>
        <v>616</v>
      </c>
    </row>
    <row r="1481" spans="2:32" ht="17.149999999999999" x14ac:dyDescent="0.55000000000000004">
      <c r="B1481" t="str">
        <f t="shared" si="5396"/>
        <v>Portland</v>
      </c>
      <c r="C1481" t="s">
        <v>574</v>
      </c>
      <c r="D1481" cm="1">
        <f t="array" ref="D1481">IFERROR(IF(D1471="Chemical",(10^(INDEX(Antoines,MATCH(D1470,Antoine_Name,0),2)-INDEX(Antoines,MATCH(D1470,Antoine_Name,0),3)/(INDEX(Antoines,MATCH(D1470,Antoine_Name,0),4)+(D1478-32)*5/9)))*14.7/760,IF(D1471="Crude Oil",EXP((2799/(D1478+459.6)-2.227)*LOG10(INDEX(FX_Input,Q$5,D$3*$Z$5+$AA$5))-(7261/(D1478+459.6))+12.82),IF(D1471="Refined Petroleum Stock",EXP((0.7553-(413/(D1478+459.6)))*(INDEX(FX_Input,Q$5,D$3*$Z$5+$AA$5-1)^0.5)*LOG10(INDEX(FX_Input,Q$5,D$3*$Z$5+$AA$5))-(1.854-(1042/(D1478+459.6)))*(INDEX(FX_Input,Q$5,D$3*$Z$5+$AA$5-1)^0.5)+((2416/(D1478+459.6)-2.013)*LOG10(INDEX(FX_Input,Q$5,D$3*$Z$5+$AA$5)))-(8742/(D1478+459.6))+15.64),EXP(INDEX(Antoines,MATCH(D1470,Antoine_Name,0),2)-INDEX(Antoines,MATCH(D1470,Antoine_Name,0),3)/(D1478+459.6))))),0)</f>
        <v>4.739577185808354E-3</v>
      </c>
      <c r="E1481" cm="1">
        <f t="array" ref="E1481">IFERROR(IF(E1471="Chemical",(10^(INDEX(Antoines,MATCH(E1470,Antoine_Name,0),2)-INDEX(Antoines,MATCH(E1470,Antoine_Name,0),3)/(INDEX(Antoines,MATCH(E1470,Antoine_Name,0),4)+(E1478-32)*5/9)))*14.7/760,IF(E1471="Crude Oil",EXP((2799/(E1478+459.6)-2.227)*LOG10(INDEX(FX_Input,R$5,E$3*$Z$5+$AA$5))-(7261/(E1478+459.6))+12.82),IF(E1471="Refined Petroleum Stock",EXP((0.7553-(413/(E1478+459.6)))*(INDEX(FX_Input,R$5,E$3*$Z$5+$AA$5-1)^0.5)*LOG10(INDEX(FX_Input,R$5,E$3*$Z$5+$AA$5))-(1.854-(1042/(E1478+459.6)))*(INDEX(FX_Input,R$5,E$3*$Z$5+$AA$5-1)^0.5)+((2416/(E1478+459.6)-2.013)*LOG10(INDEX(FX_Input,R$5,E$3*$Z$5+$AA$5)))-(8742/(E1478+459.6))+15.64),EXP(INDEX(Antoines,MATCH(E1470,Antoine_Name,0),2)-INDEX(Antoines,MATCH(E1470,Antoine_Name,0),3)/(E1478+459.6))))),0)</f>
        <v>4.8748667780818778E-3</v>
      </c>
      <c r="F1481" cm="1">
        <f t="array" ref="F1481">IFERROR(IF(F1471="Chemical",(10^(INDEX(Antoines,MATCH(F1470,Antoine_Name,0),2)-INDEX(Antoines,MATCH(F1470,Antoine_Name,0),3)/(INDEX(Antoines,MATCH(F1470,Antoine_Name,0),4)+(F1478-32)*5/9)))*14.7/760,IF(F1471="Crude Oil",EXP((2799/(F1478+459.6)-2.227)*LOG10(INDEX(FX_Input,S$5,F$3*$Z$5+$AA$5))-(7261/(F1478+459.6))+12.82),IF(F1471="Refined Petroleum Stock",EXP((0.7553-(413/(F1478+459.6)))*(INDEX(FX_Input,S$5,F$3*$Z$5+$AA$5-1)^0.5)*LOG10(INDEX(FX_Input,S$5,F$3*$Z$5+$AA$5))-(1.854-(1042/(F1478+459.6)))*(INDEX(FX_Input,S$5,F$3*$Z$5+$AA$5-1)^0.5)+((2416/(F1478+459.6)-2.013)*LOG10(INDEX(FX_Input,S$5,F$3*$Z$5+$AA$5)))-(8742/(F1478+459.6))+15.64),EXP(INDEX(Antoines,MATCH(F1470,Antoine_Name,0),2)-INDEX(Antoines,MATCH(F1470,Antoine_Name,0),3)/(F1478+459.6))))),0)</f>
        <v>5.119885034186122E-3</v>
      </c>
      <c r="G1481" cm="1">
        <f t="array" ref="G1481">IFERROR(IF(G1471="Chemical",(10^(INDEX(Antoines,MATCH(G1470,Antoine_Name,0),2)-INDEX(Antoines,MATCH(G1470,Antoine_Name,0),3)/(INDEX(Antoines,MATCH(G1470,Antoine_Name,0),4)+(G1478-32)*5/9)))*14.7/760,IF(G1471="Crude Oil",EXP((2799/(G1478+459.6)-2.227)*LOG10(INDEX(FX_Input,T$5,G$3*$Z$5+$AA$5))-(7261/(G1478+459.6))+12.82),IF(G1471="Refined Petroleum Stock",EXP((0.7553-(413/(G1478+459.6)))*(INDEX(FX_Input,T$5,G$3*$Z$5+$AA$5-1)^0.5)*LOG10(INDEX(FX_Input,T$5,G$3*$Z$5+$AA$5))-(1.854-(1042/(G1478+459.6)))*(INDEX(FX_Input,T$5,G$3*$Z$5+$AA$5-1)^0.5)+((2416/(G1478+459.6)-2.013)*LOG10(INDEX(FX_Input,T$5,G$3*$Z$5+$AA$5)))-(8742/(G1478+459.6))+15.64),EXP(INDEX(Antoines,MATCH(G1470,Antoine_Name,0),2)-INDEX(Antoines,MATCH(G1470,Antoine_Name,0),3)/(G1478+459.6))))),0)</f>
        <v>5.5846958573521795E-3</v>
      </c>
      <c r="H1481" cm="1">
        <f t="array" ref="H1481">IFERROR(IF(H1471="Chemical",(10^(INDEX(Antoines,MATCH(H1470,Antoine_Name,0),2)-INDEX(Antoines,MATCH(H1470,Antoine_Name,0),3)/(INDEX(Antoines,MATCH(H1470,Antoine_Name,0),4)+(H1478-32)*5/9)))*14.7/760,IF(H1471="Crude Oil",EXP((2799/(H1478+459.6)-2.227)*LOG10(INDEX(FX_Input,U$5,H$3*$Z$5+$AA$5))-(7261/(H1478+459.6))+12.82),IF(H1471="Refined Petroleum Stock",EXP((0.7553-(413/(H1478+459.6)))*(INDEX(FX_Input,U$5,H$3*$Z$5+$AA$5-1)^0.5)*LOG10(INDEX(FX_Input,U$5,H$3*$Z$5+$AA$5))-(1.854-(1042/(H1478+459.6)))*(INDEX(FX_Input,U$5,H$3*$Z$5+$AA$5-1)^0.5)+((2416/(H1478+459.6)-2.013)*LOG10(INDEX(FX_Input,U$5,H$3*$Z$5+$AA$5)))-(8742/(H1478+459.6))+15.64),EXP(INDEX(Antoines,MATCH(H1470,Antoine_Name,0),2)-INDEX(Antoines,MATCH(H1470,Antoine_Name,0),3)/(H1478+459.6))))),0)</f>
        <v>6.5274070972739821E-3</v>
      </c>
      <c r="I1481" cm="1">
        <f t="array" ref="I1481">IFERROR(IF(I1471="Chemical",(10^(INDEX(Antoines,MATCH(I1470,Antoine_Name,0),2)-INDEX(Antoines,MATCH(I1470,Antoine_Name,0),3)/(INDEX(Antoines,MATCH(I1470,Antoine_Name,0),4)+(I1478-32)*5/9)))*14.7/760,IF(I1471="Crude Oil",EXP((2799/(I1478+459.6)-2.227)*LOG10(INDEX(FX_Input,V$5,I$3*$Z$5+$AA$5))-(7261/(I1478+459.6))+12.82),IF(I1471="Refined Petroleum Stock",EXP((0.7553-(413/(I1478+459.6)))*(INDEX(FX_Input,V$5,I$3*$Z$5+$AA$5-1)^0.5)*LOG10(INDEX(FX_Input,V$5,I$3*$Z$5+$AA$5))-(1.854-(1042/(I1478+459.6)))*(INDEX(FX_Input,V$5,I$3*$Z$5+$AA$5-1)^0.5)+((2416/(I1478+459.6)-2.013)*LOG10(INDEX(FX_Input,V$5,I$3*$Z$5+$AA$5)))-(8742/(I1478+459.6))+15.64),EXP(INDEX(Antoines,MATCH(I1470,Antoine_Name,0),2)-INDEX(Antoines,MATCH(I1470,Antoine_Name,0),3)/(I1478+459.6))))),0)</f>
        <v>7.4199539958878279E-3</v>
      </c>
      <c r="J1481" cm="1">
        <f t="array" ref="J1481">IFERROR(IF(J1471="Chemical",(10^(INDEX(Antoines,MATCH(J1470,Antoine_Name,0),2)-INDEX(Antoines,MATCH(J1470,Antoine_Name,0),3)/(INDEX(Antoines,MATCH(J1470,Antoine_Name,0),4)+(J1478-32)*5/9)))*14.7/760,IF(J1471="Crude Oil",EXP((2799/(J1478+459.6)-2.227)*LOG10(INDEX(FX_Input,W$5,J$3*$Z$5+$AA$5))-(7261/(J1478+459.6))+12.82),IF(J1471="Refined Petroleum Stock",EXP((0.7553-(413/(J1478+459.6)))*(INDEX(FX_Input,W$5,J$3*$Z$5+$AA$5-1)^0.5)*LOG10(INDEX(FX_Input,W$5,J$3*$Z$5+$AA$5))-(1.854-(1042/(J1478+459.6)))*(INDEX(FX_Input,W$5,J$3*$Z$5+$AA$5-1)^0.5)+((2416/(J1478+459.6)-2.013)*LOG10(INDEX(FX_Input,W$5,J$3*$Z$5+$AA$5)))-(8742/(J1478+459.6))+15.64),EXP(INDEX(Antoines,MATCH(J1470,Antoine_Name,0),2)-INDEX(Antoines,MATCH(J1470,Antoine_Name,0),3)/(J1478+459.6))))),0)</f>
        <v>8.3358107202842254E-3</v>
      </c>
      <c r="K1481" cm="1">
        <f t="array" ref="K1481">IFERROR(IF(K1471="Chemical",(10^(INDEX(Antoines,MATCH(K1470,Antoine_Name,0),2)-INDEX(Antoines,MATCH(K1470,Antoine_Name,0),3)/(INDEX(Antoines,MATCH(K1470,Antoine_Name,0),4)+(K1478-32)*5/9)))*14.7/760,IF(K1471="Crude Oil",EXP((2799/(K1478+459.6)-2.227)*LOG10(INDEX(FX_Input,X$5,K$3*$Z$5+$AA$5))-(7261/(K1478+459.6))+12.82),IF(K1471="Refined Petroleum Stock",EXP((0.7553-(413/(K1478+459.6)))*(INDEX(FX_Input,X$5,K$3*$Z$5+$AA$5-1)^0.5)*LOG10(INDEX(FX_Input,X$5,K$3*$Z$5+$AA$5))-(1.854-(1042/(K1478+459.6)))*(INDEX(FX_Input,X$5,K$3*$Z$5+$AA$5-1)^0.5)+((2416/(K1478+459.6)-2.013)*LOG10(INDEX(FX_Input,X$5,K$3*$Z$5+$AA$5)))-(8742/(K1478+459.6))+15.64),EXP(INDEX(Antoines,MATCH(K1470,Antoine_Name,0),2)-INDEX(Antoines,MATCH(K1470,Antoine_Name,0),3)/(K1478+459.6))))),0)</f>
        <v>8.4605262729351115E-3</v>
      </c>
      <c r="L1481" cm="1">
        <f t="array" ref="L1481">IFERROR(IF(L1471="Chemical",(10^(INDEX(Antoines,MATCH(L1470,Antoine_Name,0),2)-INDEX(Antoines,MATCH(L1470,Antoine_Name,0),3)/(INDEX(Antoines,MATCH(L1470,Antoine_Name,0),4)+(L1478-32)*5/9)))*14.7/760,IF(L1471="Crude Oil",EXP((2799/(L1478+459.6)-2.227)*LOG10(INDEX(FX_Input,Y$5,L$3*$Z$5+$AA$5))-(7261/(L1478+459.6))+12.82),IF(L1471="Refined Petroleum Stock",EXP((0.7553-(413/(L1478+459.6)))*(INDEX(FX_Input,Y$5,L$3*$Z$5+$AA$5-1)^0.5)*LOG10(INDEX(FX_Input,Y$5,L$3*$Z$5+$AA$5))-(1.854-(1042/(L1478+459.6)))*(INDEX(FX_Input,Y$5,L$3*$Z$5+$AA$5-1)^0.5)+((2416/(L1478+459.6)-2.013)*LOG10(INDEX(FX_Input,Y$5,L$3*$Z$5+$AA$5)))-(8742/(L1478+459.6))+15.64),EXP(INDEX(Antoines,MATCH(L1470,Antoine_Name,0),2)-INDEX(Antoines,MATCH(L1470,Antoine_Name,0),3)/(L1478+459.6))))),0)</f>
        <v>7.8399882233967533E-3</v>
      </c>
      <c r="M1481" cm="1">
        <f t="array" ref="M1481">IFERROR(IF(M1471="Chemical",(10^(INDEX(Antoines,MATCH(M1470,Antoine_Name,0),2)-INDEX(Antoines,MATCH(M1470,Antoine_Name,0),3)/(INDEX(Antoines,MATCH(M1470,Antoine_Name,0),4)+(M1478-32)*5/9)))*14.7/760,IF(M1471="Crude Oil",EXP((2799/(M1478+459.6)-2.227)*LOG10(INDEX(FX_Input,Z$5,M$3*$Z$5+$AA$5))-(7261/(M1478+459.6))+12.82),IF(M1471="Refined Petroleum Stock",EXP((0.7553-(413/(M1478+459.6)))*(INDEX(FX_Input,Z$5,M$3*$Z$5+$AA$5-1)^0.5)*LOG10(INDEX(FX_Input,Z$5,M$3*$Z$5+$AA$5))-(1.854-(1042/(M1478+459.6)))*(INDEX(FX_Input,Z$5,M$3*$Z$5+$AA$5-1)^0.5)+((2416/(M1478+459.6)-2.013)*LOG10(INDEX(FX_Input,Z$5,M$3*$Z$5+$AA$5)))-(8742/(M1478+459.6))+15.64),EXP(INDEX(Antoines,MATCH(M1470,Antoine_Name,0),2)-INDEX(Antoines,MATCH(M1470,Antoine_Name,0),3)/(M1478+459.6))))),0)</f>
        <v>6.4173462075160911E-3</v>
      </c>
      <c r="N1481" cm="1">
        <f t="array" ref="N1481">IFERROR(IF(N1471="Chemical",(10^(INDEX(Antoines,MATCH(N1470,Antoine_Name,0),2)-INDEX(Antoines,MATCH(N1470,Antoine_Name,0),3)/(INDEX(Antoines,MATCH(N1470,Antoine_Name,0),4)+(N1478-32)*5/9)))*14.7/760,IF(N1471="Crude Oil",EXP((2799/(N1478+459.6)-2.227)*LOG10(INDEX(FX_Input,AA$5,N$3*$Z$5+$AA$5))-(7261/(N1478+459.6))+12.82),IF(N1471="Refined Petroleum Stock",EXP((0.7553-(413/(N1478+459.6)))*(INDEX(FX_Input,AA$5,N$3*$Z$5+$AA$5-1)^0.5)*LOG10(INDEX(FX_Input,AA$5,N$3*$Z$5+$AA$5))-(1.854-(1042/(N1478+459.6)))*(INDEX(FX_Input,AA$5,N$3*$Z$5+$AA$5-1)^0.5)+((2416/(N1478+459.6)-2.013)*LOG10(INDEX(FX_Input,AA$5,N$3*$Z$5+$AA$5)))-(8742/(N1478+459.6))+15.64),EXP(INDEX(Antoines,MATCH(N1470,Antoine_Name,0),2)-INDEX(Antoines,MATCH(N1470,Antoine_Name,0),3)/(N1478+459.6))))),0)</f>
        <v>5.3015226887581056E-3</v>
      </c>
      <c r="O1481" cm="1">
        <f t="array" ref="O1481">IFERROR(IF(O1471="Chemical",(10^(INDEX(Antoines,MATCH(O1470,Antoine_Name,0),2)-INDEX(Antoines,MATCH(O1470,Antoine_Name,0),3)/(INDEX(Antoines,MATCH(O1470,Antoine_Name,0),4)+(O1478-32)*5/9)))*14.7/760,IF(O1471="Crude Oil",EXP((2799/(O1478+459.6)-2.227)*LOG10(INDEX(FX_Input,AB$5,O$3*$Z$5+$AA$5))-(7261/(O1478+459.6))+12.82),IF(O1471="Refined Petroleum Stock",EXP((0.7553-(413/(O1478+459.6)))*(INDEX(FX_Input,AB$5,O$3*$Z$5+$AA$5-1)^0.5)*LOG10(INDEX(FX_Input,AB$5,O$3*$Z$5+$AA$5))-(1.854-(1042/(O1478+459.6)))*(INDEX(FX_Input,AB$5,O$3*$Z$5+$AA$5-1)^0.5)+((2416/(O1478+459.6)-2.013)*LOG10(INDEX(FX_Input,AB$5,O$3*$Z$5+$AA$5)))-(8742/(O1478+459.6))+15.64),EXP(INDEX(Antoines,MATCH(O1470,Antoine_Name,0),2)-INDEX(Antoines,MATCH(O1470,Antoine_Name,0),3)/(O1478+459.6))))),0)</f>
        <v>4.68970903600947E-3</v>
      </c>
    </row>
    <row r="1482" spans="2:32" ht="17.149999999999999" x14ac:dyDescent="0.55000000000000004">
      <c r="B1482" t="str">
        <f t="shared" si="5396"/>
        <v>Portland</v>
      </c>
      <c r="C1482" t="s">
        <v>576</v>
      </c>
      <c r="D1482">
        <f>D1474*D1481</f>
        <v>4.739577185808354E-3</v>
      </c>
      <c r="E1482">
        <f t="shared" ref="E1482" si="5397">E1474*E1481</f>
        <v>4.8748667780818778E-3</v>
      </c>
      <c r="F1482">
        <f t="shared" ref="F1482" si="5398">F1474*F1481</f>
        <v>5.119885034186122E-3</v>
      </c>
      <c r="G1482">
        <f t="shared" ref="G1482" si="5399">G1474*G1481</f>
        <v>5.5846958573521795E-3</v>
      </c>
      <c r="H1482">
        <f t="shared" ref="H1482" si="5400">H1474*H1481</f>
        <v>6.5274070972739821E-3</v>
      </c>
      <c r="I1482">
        <f t="shared" ref="I1482" si="5401">I1474*I1481</f>
        <v>7.4199539958878279E-3</v>
      </c>
      <c r="J1482">
        <f t="shared" ref="J1482" si="5402">J1474*J1481</f>
        <v>8.3358107202842254E-3</v>
      </c>
      <c r="K1482">
        <f t="shared" ref="K1482" si="5403">K1474*K1481</f>
        <v>8.4605262729351115E-3</v>
      </c>
      <c r="L1482">
        <f t="shared" ref="L1482" si="5404">L1474*L1481</f>
        <v>7.8399882233967533E-3</v>
      </c>
      <c r="M1482">
        <f t="shared" ref="M1482" si="5405">M1474*M1481</f>
        <v>6.4173462075160911E-3</v>
      </c>
      <c r="N1482">
        <f t="shared" ref="N1482" si="5406">N1474*N1481</f>
        <v>5.3015226887581056E-3</v>
      </c>
      <c r="O1482">
        <f t="shared" ref="O1482" si="5407">O1474*O1481</f>
        <v>4.68970903600947E-3</v>
      </c>
    </row>
    <row r="1483" spans="2:32" ht="17.149999999999999" x14ac:dyDescent="0.55000000000000004">
      <c r="B1483" t="str">
        <f t="shared" si="5396"/>
        <v>Portland</v>
      </c>
      <c r="C1483" t="s">
        <v>575</v>
      </c>
      <c r="D1483" cm="1">
        <f t="array" ref="D1483">IFERROR(IF(D1473="Chemical",(10^(INDEX(Antoines,MATCH(D1472,Antoine_Name,0),2)-INDEX(Antoines,MATCH(D1472,Antoine_Name,0),3)/(INDEX(Antoines,MATCH(D1472,Antoine_Name,0),4)+(D1478-32)*5/9)))*14.7/760,IF(D1473="Crude Oil",EXP((2799/(D1478+459.6)-2.227)*LOG10(INDEX(FX_Input,Q$5,D$3*$Z$5+$AA$5))-(7261/(D1478+459.6))+12.82),IF(D1473="Refined Petroleum Stock",EXP((0.7553-(413/(D1478+459.6)))*(INDEX(FX_Input,Q$5,D$3*$Z$5+$AA$5-1)^0.5)*LOG10(INDEX(FX_Input,Q$5,D$3*$Z$5+$AA$5))-(1.854-(1042/(D1478+459.6)))*(INDEX(FX_Input,Q$5,D$3*$Z$5+$AA$5-1)^0.5)+((2416/(D1478+459.6)-2.013)*LOG10(INDEX(FX_Input,Q$5,D$3*$Z$5+$AA$5)))-(8742/(D1478+459.6))+15.64),EXP(INDEX(Antoines,MATCH(D1472,Antoine_Name,0),2)-INDEX(Antoines,MATCH(D1472,Antoine_Name,0),3)/(D1478+459.6))))),0)</f>
        <v>0</v>
      </c>
      <c r="E1483" cm="1">
        <f t="array" ref="E1483">IFERROR(IF(E1473="Chemical",(10^(INDEX(Antoines,MATCH(E1472,Antoine_Name,0),2)-INDEX(Antoines,MATCH(E1472,Antoine_Name,0),3)/(INDEX(Antoines,MATCH(E1472,Antoine_Name,0),4)+(E1478-32)*5/9)))*14.7/760,IF(E1473="Crude Oil",EXP((2799/(E1478+459.6)-2.227)*LOG10(INDEX(FX_Input,R$5,E$3*$Z$5+$AA$5))-(7261/(E1478+459.6))+12.82),IF(E1473="Refined Petroleum Stock",EXP((0.7553-(413/(E1478+459.6)))*(INDEX(FX_Input,R$5,E$3*$Z$5+$AA$5-1)^0.5)*LOG10(INDEX(FX_Input,R$5,E$3*$Z$5+$AA$5))-(1.854-(1042/(E1478+459.6)))*(INDEX(FX_Input,R$5,E$3*$Z$5+$AA$5-1)^0.5)+((2416/(E1478+459.6)-2.013)*LOG10(INDEX(FX_Input,R$5,E$3*$Z$5+$AA$5)))-(8742/(E1478+459.6))+15.64),EXP(INDEX(Antoines,MATCH(E1472,Antoine_Name,0),2)-INDEX(Antoines,MATCH(E1472,Antoine_Name,0),3)/(E1478+459.6))))),0)</f>
        <v>0</v>
      </c>
      <c r="F1483" cm="1">
        <f t="array" ref="F1483">IFERROR(IF(F1473="Chemical",(10^(INDEX(Antoines,MATCH(F1472,Antoine_Name,0),2)-INDEX(Antoines,MATCH(F1472,Antoine_Name,0),3)/(INDEX(Antoines,MATCH(F1472,Antoine_Name,0),4)+(F1478-32)*5/9)))*14.7/760,IF(F1473="Crude Oil",EXP((2799/(F1478+459.6)-2.227)*LOG10(INDEX(FX_Input,S$5,F$3*$Z$5+$AA$5))-(7261/(F1478+459.6))+12.82),IF(F1473="Refined Petroleum Stock",EXP((0.7553-(413/(F1478+459.6)))*(INDEX(FX_Input,S$5,F$3*$Z$5+$AA$5-1)^0.5)*LOG10(INDEX(FX_Input,S$5,F$3*$Z$5+$AA$5))-(1.854-(1042/(F1478+459.6)))*(INDEX(FX_Input,S$5,F$3*$Z$5+$AA$5-1)^0.5)+((2416/(F1478+459.6)-2.013)*LOG10(INDEX(FX_Input,S$5,F$3*$Z$5+$AA$5)))-(8742/(F1478+459.6))+15.64),EXP(INDEX(Antoines,MATCH(F1472,Antoine_Name,0),2)-INDEX(Antoines,MATCH(F1472,Antoine_Name,0),3)/(F1478+459.6))))),0)</f>
        <v>0</v>
      </c>
      <c r="G1483" cm="1">
        <f t="array" ref="G1483">IFERROR(IF(G1473="Chemical",(10^(INDEX(Antoines,MATCH(G1472,Antoine_Name,0),2)-INDEX(Antoines,MATCH(G1472,Antoine_Name,0),3)/(INDEX(Antoines,MATCH(G1472,Antoine_Name,0),4)+(G1478-32)*5/9)))*14.7/760,IF(G1473="Crude Oil",EXP((2799/(G1478+459.6)-2.227)*LOG10(INDEX(FX_Input,T$5,G$3*$Z$5+$AA$5))-(7261/(G1478+459.6))+12.82),IF(G1473="Refined Petroleum Stock",EXP((0.7553-(413/(G1478+459.6)))*(INDEX(FX_Input,T$5,G$3*$Z$5+$AA$5-1)^0.5)*LOG10(INDEX(FX_Input,T$5,G$3*$Z$5+$AA$5))-(1.854-(1042/(G1478+459.6)))*(INDEX(FX_Input,T$5,G$3*$Z$5+$AA$5-1)^0.5)+((2416/(G1478+459.6)-2.013)*LOG10(INDEX(FX_Input,T$5,G$3*$Z$5+$AA$5)))-(8742/(G1478+459.6))+15.64),EXP(INDEX(Antoines,MATCH(G1472,Antoine_Name,0),2)-INDEX(Antoines,MATCH(G1472,Antoine_Name,0),3)/(G1478+459.6))))),0)</f>
        <v>0</v>
      </c>
      <c r="H1483" cm="1">
        <f t="array" ref="H1483">IFERROR(IF(H1473="Chemical",(10^(INDEX(Antoines,MATCH(H1472,Antoine_Name,0),2)-INDEX(Antoines,MATCH(H1472,Antoine_Name,0),3)/(INDEX(Antoines,MATCH(H1472,Antoine_Name,0),4)+(H1478-32)*5/9)))*14.7/760,IF(H1473="Crude Oil",EXP((2799/(H1478+459.6)-2.227)*LOG10(INDEX(FX_Input,U$5,H$3*$Z$5+$AA$5))-(7261/(H1478+459.6))+12.82),IF(H1473="Refined Petroleum Stock",EXP((0.7553-(413/(H1478+459.6)))*(INDEX(FX_Input,U$5,H$3*$Z$5+$AA$5-1)^0.5)*LOG10(INDEX(FX_Input,U$5,H$3*$Z$5+$AA$5))-(1.854-(1042/(H1478+459.6)))*(INDEX(FX_Input,U$5,H$3*$Z$5+$AA$5-1)^0.5)+((2416/(H1478+459.6)-2.013)*LOG10(INDEX(FX_Input,U$5,H$3*$Z$5+$AA$5)))-(8742/(H1478+459.6))+15.64),EXP(INDEX(Antoines,MATCH(H1472,Antoine_Name,0),2)-INDEX(Antoines,MATCH(H1472,Antoine_Name,0),3)/(H1478+459.6))))),0)</f>
        <v>0</v>
      </c>
      <c r="I1483" cm="1">
        <f t="array" ref="I1483">IFERROR(IF(I1473="Chemical",(10^(INDEX(Antoines,MATCH(I1472,Antoine_Name,0),2)-INDEX(Antoines,MATCH(I1472,Antoine_Name,0),3)/(INDEX(Antoines,MATCH(I1472,Antoine_Name,0),4)+(I1478-32)*5/9)))*14.7/760,IF(I1473="Crude Oil",EXP((2799/(I1478+459.6)-2.227)*LOG10(INDEX(FX_Input,V$5,I$3*$Z$5+$AA$5))-(7261/(I1478+459.6))+12.82),IF(I1473="Refined Petroleum Stock",EXP((0.7553-(413/(I1478+459.6)))*(INDEX(FX_Input,V$5,I$3*$Z$5+$AA$5-1)^0.5)*LOG10(INDEX(FX_Input,V$5,I$3*$Z$5+$AA$5))-(1.854-(1042/(I1478+459.6)))*(INDEX(FX_Input,V$5,I$3*$Z$5+$AA$5-1)^0.5)+((2416/(I1478+459.6)-2.013)*LOG10(INDEX(FX_Input,V$5,I$3*$Z$5+$AA$5)))-(8742/(I1478+459.6))+15.64),EXP(INDEX(Antoines,MATCH(I1472,Antoine_Name,0),2)-INDEX(Antoines,MATCH(I1472,Antoine_Name,0),3)/(I1478+459.6))))),0)</f>
        <v>0</v>
      </c>
      <c r="J1483" cm="1">
        <f t="array" ref="J1483">IFERROR(IF(J1473="Chemical",(10^(INDEX(Antoines,MATCH(J1472,Antoine_Name,0),2)-INDEX(Antoines,MATCH(J1472,Antoine_Name,0),3)/(INDEX(Antoines,MATCH(J1472,Antoine_Name,0),4)+(J1478-32)*5/9)))*14.7/760,IF(J1473="Crude Oil",EXP((2799/(J1478+459.6)-2.227)*LOG10(INDEX(FX_Input,W$5,J$3*$Z$5+$AA$5))-(7261/(J1478+459.6))+12.82),IF(J1473="Refined Petroleum Stock",EXP((0.7553-(413/(J1478+459.6)))*(INDEX(FX_Input,W$5,J$3*$Z$5+$AA$5-1)^0.5)*LOG10(INDEX(FX_Input,W$5,J$3*$Z$5+$AA$5))-(1.854-(1042/(J1478+459.6)))*(INDEX(FX_Input,W$5,J$3*$Z$5+$AA$5-1)^0.5)+((2416/(J1478+459.6)-2.013)*LOG10(INDEX(FX_Input,W$5,J$3*$Z$5+$AA$5)))-(8742/(J1478+459.6))+15.64),EXP(INDEX(Antoines,MATCH(J1472,Antoine_Name,0),2)-INDEX(Antoines,MATCH(J1472,Antoine_Name,0),3)/(J1478+459.6))))),0)</f>
        <v>0</v>
      </c>
      <c r="K1483" cm="1">
        <f t="array" ref="K1483">IFERROR(IF(K1473="Chemical",(10^(INDEX(Antoines,MATCH(K1472,Antoine_Name,0),2)-INDEX(Antoines,MATCH(K1472,Antoine_Name,0),3)/(INDEX(Antoines,MATCH(K1472,Antoine_Name,0),4)+(K1478-32)*5/9)))*14.7/760,IF(K1473="Crude Oil",EXP((2799/(K1478+459.6)-2.227)*LOG10(INDEX(FX_Input,X$5,K$3*$Z$5+$AA$5))-(7261/(K1478+459.6))+12.82),IF(K1473="Refined Petroleum Stock",EXP((0.7553-(413/(K1478+459.6)))*(INDEX(FX_Input,X$5,K$3*$Z$5+$AA$5-1)^0.5)*LOG10(INDEX(FX_Input,X$5,K$3*$Z$5+$AA$5))-(1.854-(1042/(K1478+459.6)))*(INDEX(FX_Input,X$5,K$3*$Z$5+$AA$5-1)^0.5)+((2416/(K1478+459.6)-2.013)*LOG10(INDEX(FX_Input,X$5,K$3*$Z$5+$AA$5)))-(8742/(K1478+459.6))+15.64),EXP(INDEX(Antoines,MATCH(K1472,Antoine_Name,0),2)-INDEX(Antoines,MATCH(K1472,Antoine_Name,0),3)/(K1478+459.6))))),0)</f>
        <v>0</v>
      </c>
      <c r="L1483" cm="1">
        <f t="array" ref="L1483">IFERROR(IF(L1473="Chemical",(10^(INDEX(Antoines,MATCH(L1472,Antoine_Name,0),2)-INDEX(Antoines,MATCH(L1472,Antoine_Name,0),3)/(INDEX(Antoines,MATCH(L1472,Antoine_Name,0),4)+(L1478-32)*5/9)))*14.7/760,IF(L1473="Crude Oil",EXP((2799/(L1478+459.6)-2.227)*LOG10(INDEX(FX_Input,Y$5,L$3*$Z$5+$AA$5))-(7261/(L1478+459.6))+12.82),IF(L1473="Refined Petroleum Stock",EXP((0.7553-(413/(L1478+459.6)))*(INDEX(FX_Input,Y$5,L$3*$Z$5+$AA$5-1)^0.5)*LOG10(INDEX(FX_Input,Y$5,L$3*$Z$5+$AA$5))-(1.854-(1042/(L1478+459.6)))*(INDEX(FX_Input,Y$5,L$3*$Z$5+$AA$5-1)^0.5)+((2416/(L1478+459.6)-2.013)*LOG10(INDEX(FX_Input,Y$5,L$3*$Z$5+$AA$5)))-(8742/(L1478+459.6))+15.64),EXP(INDEX(Antoines,MATCH(L1472,Antoine_Name,0),2)-INDEX(Antoines,MATCH(L1472,Antoine_Name,0),3)/(L1478+459.6))))),0)</f>
        <v>0</v>
      </c>
      <c r="M1483" cm="1">
        <f t="array" ref="M1483">IFERROR(IF(M1473="Chemical",(10^(INDEX(Antoines,MATCH(M1472,Antoine_Name,0),2)-INDEX(Antoines,MATCH(M1472,Antoine_Name,0),3)/(INDEX(Antoines,MATCH(M1472,Antoine_Name,0),4)+(M1478-32)*5/9)))*14.7/760,IF(M1473="Crude Oil",EXP((2799/(M1478+459.6)-2.227)*LOG10(INDEX(FX_Input,Z$5,M$3*$Z$5+$AA$5))-(7261/(M1478+459.6))+12.82),IF(M1473="Refined Petroleum Stock",EXP((0.7553-(413/(M1478+459.6)))*(INDEX(FX_Input,Z$5,M$3*$Z$5+$AA$5-1)^0.5)*LOG10(INDEX(FX_Input,Z$5,M$3*$Z$5+$AA$5))-(1.854-(1042/(M1478+459.6)))*(INDEX(FX_Input,Z$5,M$3*$Z$5+$AA$5-1)^0.5)+((2416/(M1478+459.6)-2.013)*LOG10(INDEX(FX_Input,Z$5,M$3*$Z$5+$AA$5)))-(8742/(M1478+459.6))+15.64),EXP(INDEX(Antoines,MATCH(M1472,Antoine_Name,0),2)-INDEX(Antoines,MATCH(M1472,Antoine_Name,0),3)/(M1478+459.6))))),0)</f>
        <v>0</v>
      </c>
      <c r="N1483" cm="1">
        <f t="array" ref="N1483">IFERROR(IF(N1473="Chemical",(10^(INDEX(Antoines,MATCH(N1472,Antoine_Name,0),2)-INDEX(Antoines,MATCH(N1472,Antoine_Name,0),3)/(INDEX(Antoines,MATCH(N1472,Antoine_Name,0),4)+(N1478-32)*5/9)))*14.7/760,IF(N1473="Crude Oil",EXP((2799/(N1478+459.6)-2.227)*LOG10(INDEX(FX_Input,AA$5,N$3*$Z$5+$AA$5))-(7261/(N1478+459.6))+12.82),IF(N1473="Refined Petroleum Stock",EXP((0.7553-(413/(N1478+459.6)))*(INDEX(FX_Input,AA$5,N$3*$Z$5+$AA$5-1)^0.5)*LOG10(INDEX(FX_Input,AA$5,N$3*$Z$5+$AA$5))-(1.854-(1042/(N1478+459.6)))*(INDEX(FX_Input,AA$5,N$3*$Z$5+$AA$5-1)^0.5)+((2416/(N1478+459.6)-2.013)*LOG10(INDEX(FX_Input,AA$5,N$3*$Z$5+$AA$5)))-(8742/(N1478+459.6))+15.64),EXP(INDEX(Antoines,MATCH(N1472,Antoine_Name,0),2)-INDEX(Antoines,MATCH(N1472,Antoine_Name,0),3)/(N1478+459.6))))),0)</f>
        <v>0</v>
      </c>
      <c r="O1483" cm="1">
        <f t="array" ref="O1483">IFERROR(IF(O1473="Chemical",(10^(INDEX(Antoines,MATCH(O1472,Antoine_Name,0),2)-INDEX(Antoines,MATCH(O1472,Antoine_Name,0),3)/(INDEX(Antoines,MATCH(O1472,Antoine_Name,0),4)+(O1478-32)*5/9)))*14.7/760,IF(O1473="Crude Oil",EXP((2799/(O1478+459.6)-2.227)*LOG10(INDEX(FX_Input,AB$5,O$3*$Z$5+$AA$5))-(7261/(O1478+459.6))+12.82),IF(O1473="Refined Petroleum Stock",EXP((0.7553-(413/(O1478+459.6)))*(INDEX(FX_Input,AB$5,O$3*$Z$5+$AA$5-1)^0.5)*LOG10(INDEX(FX_Input,AB$5,O$3*$Z$5+$AA$5))-(1.854-(1042/(O1478+459.6)))*(INDEX(FX_Input,AB$5,O$3*$Z$5+$AA$5-1)^0.5)+((2416/(O1478+459.6)-2.013)*LOG10(INDEX(FX_Input,AB$5,O$3*$Z$5+$AA$5)))-(8742/(O1478+459.6))+15.64),EXP(INDEX(Antoines,MATCH(O1472,Antoine_Name,0),2)-INDEX(Antoines,MATCH(O1472,Antoine_Name,0),3)/(O1478+459.6))))),0)</f>
        <v>0</v>
      </c>
    </row>
    <row r="1484" spans="2:32" ht="17.149999999999999" x14ac:dyDescent="0.55000000000000004">
      <c r="B1484" t="str">
        <f t="shared" si="5396"/>
        <v>Portland</v>
      </c>
      <c r="C1484" t="s">
        <v>577</v>
      </c>
      <c r="D1484">
        <f>D1483*D1476</f>
        <v>0</v>
      </c>
      <c r="E1484">
        <f t="shared" ref="E1484" si="5408">E1483*E1476</f>
        <v>0</v>
      </c>
      <c r="F1484">
        <f t="shared" ref="F1484" si="5409">F1483*F1476</f>
        <v>0</v>
      </c>
      <c r="G1484">
        <f t="shared" ref="G1484" si="5410">G1483*G1476</f>
        <v>0</v>
      </c>
      <c r="H1484">
        <f t="shared" ref="H1484" si="5411">H1483*H1476</f>
        <v>0</v>
      </c>
      <c r="I1484">
        <f t="shared" ref="I1484" si="5412">I1483*I1476</f>
        <v>0</v>
      </c>
      <c r="J1484">
        <f t="shared" ref="J1484" si="5413">J1483*J1476</f>
        <v>0</v>
      </c>
      <c r="K1484">
        <f t="shared" ref="K1484" si="5414">K1483*K1476</f>
        <v>0</v>
      </c>
      <c r="L1484">
        <f t="shared" ref="L1484" si="5415">L1483*L1476</f>
        <v>0</v>
      </c>
      <c r="M1484">
        <f t="shared" ref="M1484" si="5416">M1483*M1476</f>
        <v>0</v>
      </c>
      <c r="N1484">
        <f t="shared" ref="N1484" si="5417">N1483*N1476</f>
        <v>0</v>
      </c>
      <c r="O1484">
        <f t="shared" ref="O1484" si="5418">O1483*O1476</f>
        <v>0</v>
      </c>
    </row>
    <row r="1485" spans="2:32" ht="17.149999999999999" x14ac:dyDescent="0.55000000000000004">
      <c r="B1485" t="str">
        <f t="shared" si="5396"/>
        <v>Portland</v>
      </c>
      <c r="C1485" t="s">
        <v>578</v>
      </c>
      <c r="D1485">
        <f>D1484+D1482</f>
        <v>4.739577185808354E-3</v>
      </c>
      <c r="E1485">
        <f t="shared" ref="E1485" si="5419">E1484+E1482</f>
        <v>4.8748667780818778E-3</v>
      </c>
      <c r="F1485">
        <f t="shared" ref="F1485" si="5420">F1484+F1482</f>
        <v>5.119885034186122E-3</v>
      </c>
      <c r="G1485">
        <f t="shared" ref="G1485" si="5421">G1484+G1482</f>
        <v>5.5846958573521795E-3</v>
      </c>
      <c r="H1485">
        <f t="shared" ref="H1485" si="5422">H1484+H1482</f>
        <v>6.5274070972739821E-3</v>
      </c>
      <c r="I1485">
        <f t="shared" ref="I1485" si="5423">I1484+I1482</f>
        <v>7.4199539958878279E-3</v>
      </c>
      <c r="J1485">
        <f t="shared" ref="J1485" si="5424">J1484+J1482</f>
        <v>8.3358107202842254E-3</v>
      </c>
      <c r="K1485">
        <f t="shared" ref="K1485" si="5425">K1484+K1482</f>
        <v>8.4605262729351115E-3</v>
      </c>
      <c r="L1485">
        <f t="shared" ref="L1485" si="5426">L1484+L1482</f>
        <v>7.8399882233967533E-3</v>
      </c>
      <c r="M1485">
        <f t="shared" ref="M1485" si="5427">M1484+M1482</f>
        <v>6.4173462075160911E-3</v>
      </c>
      <c r="N1485">
        <f t="shared" ref="N1485" si="5428">N1484+N1482</f>
        <v>5.3015226887581056E-3</v>
      </c>
      <c r="O1485">
        <f t="shared" ref="O1485" si="5429">O1484+O1482</f>
        <v>4.68970903600947E-3</v>
      </c>
    </row>
    <row r="1486" spans="2:32" ht="17.149999999999999" x14ac:dyDescent="0.55000000000000004">
      <c r="B1486" t="str">
        <f t="shared" si="5396"/>
        <v>Portland</v>
      </c>
      <c r="C1486" t="s">
        <v>579</v>
      </c>
      <c r="D1486" cm="1">
        <f t="array" ref="D1486">IFERROR(IF(D1471="Chemical",(10^(INDEX(Antoines,MATCH(D1470,Antoine_Name,0),2)-INDEX(Antoines,MATCH(D1470,Antoine_Name,0),3)/(INDEX(Antoines,MATCH(D1470,Antoine_Name,0),4)+(D1479-32)*5/9)))*14.7/760,IF(D1471="Crude Oil",EXP((2799/(D1479+459.6)-2.227)*LOG10(INDEX(FX_Input,Q$5,D$3*$Z$5+$AA$5))-(7261/(D1479+459.6))+12.82),IF(D1471="Refined Petroleum Stock",EXP((0.7553-(413/(D1479+459.6)))*(INDEX(FX_Input,Q$5,D$3*$Z$5+$AA$5-1)^0.5)*LOG10(INDEX(FX_Input,Q$5,D$3*$Z$5+$AA$5))-(1.854-(1042/(D1479+459.6)))*(INDEX(FX_Input,Q$5,D$3*$Z$5+$AA$5-1)^0.5)+((2416/(D1479+459.6)-2.013)*LOG10(INDEX(FX_Input,Q$5,D$3*$Z$5+$AA$5)))-(8742/(D1479+459.6))+15.64),EXP(INDEX(Antoines,MATCH(D1470,Antoine_Name,0),2)-INDEX(Antoines,MATCH(D1470,Antoine_Name,0),3)/(D1479+459.6))))),0)</f>
        <v>4.739577185808354E-3</v>
      </c>
      <c r="E1486" cm="1">
        <f t="array" ref="E1486">IFERROR(IF(E1471="Chemical",(10^(INDEX(Antoines,MATCH(E1470,Antoine_Name,0),2)-INDEX(Antoines,MATCH(E1470,Antoine_Name,0),3)/(INDEX(Antoines,MATCH(E1470,Antoine_Name,0),4)+(E1479-32)*5/9)))*14.7/760,IF(E1471="Crude Oil",EXP((2799/(E1479+459.6)-2.227)*LOG10(INDEX(FX_Input,R$5,E$3*$Z$5+$AA$5))-(7261/(E1479+459.6))+12.82),IF(E1471="Refined Petroleum Stock",EXP((0.7553-(413/(E1479+459.6)))*(INDEX(FX_Input,R$5,E$3*$Z$5+$AA$5-1)^0.5)*LOG10(INDEX(FX_Input,R$5,E$3*$Z$5+$AA$5))-(1.854-(1042/(E1479+459.6)))*(INDEX(FX_Input,R$5,E$3*$Z$5+$AA$5-1)^0.5)+((2416/(E1479+459.6)-2.013)*LOG10(INDEX(FX_Input,R$5,E$3*$Z$5+$AA$5)))-(8742/(E1479+459.6))+15.64),EXP(INDEX(Antoines,MATCH(E1470,Antoine_Name,0),2)-INDEX(Antoines,MATCH(E1470,Antoine_Name,0),3)/(E1479+459.6))))),0)</f>
        <v>4.8748667780818778E-3</v>
      </c>
      <c r="F1486" cm="1">
        <f t="array" ref="F1486">IFERROR(IF(F1471="Chemical",(10^(INDEX(Antoines,MATCH(F1470,Antoine_Name,0),2)-INDEX(Antoines,MATCH(F1470,Antoine_Name,0),3)/(INDEX(Antoines,MATCH(F1470,Antoine_Name,0),4)+(F1479-32)*5/9)))*14.7/760,IF(F1471="Crude Oil",EXP((2799/(F1479+459.6)-2.227)*LOG10(INDEX(FX_Input,S$5,F$3*$Z$5+$AA$5))-(7261/(F1479+459.6))+12.82),IF(F1471="Refined Petroleum Stock",EXP((0.7553-(413/(F1479+459.6)))*(INDEX(FX_Input,S$5,F$3*$Z$5+$AA$5-1)^0.5)*LOG10(INDEX(FX_Input,S$5,F$3*$Z$5+$AA$5))-(1.854-(1042/(F1479+459.6)))*(INDEX(FX_Input,S$5,F$3*$Z$5+$AA$5-1)^0.5)+((2416/(F1479+459.6)-2.013)*LOG10(INDEX(FX_Input,S$5,F$3*$Z$5+$AA$5)))-(8742/(F1479+459.6))+15.64),EXP(INDEX(Antoines,MATCH(F1470,Antoine_Name,0),2)-INDEX(Antoines,MATCH(F1470,Antoine_Name,0),3)/(F1479+459.6))))),0)</f>
        <v>5.119885034186122E-3</v>
      </c>
      <c r="G1486" cm="1">
        <f t="array" ref="G1486">IFERROR(IF(G1471="Chemical",(10^(INDEX(Antoines,MATCH(G1470,Antoine_Name,0),2)-INDEX(Antoines,MATCH(G1470,Antoine_Name,0),3)/(INDEX(Antoines,MATCH(G1470,Antoine_Name,0),4)+(G1479-32)*5/9)))*14.7/760,IF(G1471="Crude Oil",EXP((2799/(G1479+459.6)-2.227)*LOG10(INDEX(FX_Input,T$5,G$3*$Z$5+$AA$5))-(7261/(G1479+459.6))+12.82),IF(G1471="Refined Petroleum Stock",EXP((0.7553-(413/(G1479+459.6)))*(INDEX(FX_Input,T$5,G$3*$Z$5+$AA$5-1)^0.5)*LOG10(INDEX(FX_Input,T$5,G$3*$Z$5+$AA$5))-(1.854-(1042/(G1479+459.6)))*(INDEX(FX_Input,T$5,G$3*$Z$5+$AA$5-1)^0.5)+((2416/(G1479+459.6)-2.013)*LOG10(INDEX(FX_Input,T$5,G$3*$Z$5+$AA$5)))-(8742/(G1479+459.6))+15.64),EXP(INDEX(Antoines,MATCH(G1470,Antoine_Name,0),2)-INDEX(Antoines,MATCH(G1470,Antoine_Name,0),3)/(G1479+459.6))))),0)</f>
        <v>5.5846958573521795E-3</v>
      </c>
      <c r="H1486" cm="1">
        <f t="array" ref="H1486">IFERROR(IF(H1471="Chemical",(10^(INDEX(Antoines,MATCH(H1470,Antoine_Name,0),2)-INDEX(Antoines,MATCH(H1470,Antoine_Name,0),3)/(INDEX(Antoines,MATCH(H1470,Antoine_Name,0),4)+(H1479-32)*5/9)))*14.7/760,IF(H1471="Crude Oil",EXP((2799/(H1479+459.6)-2.227)*LOG10(INDEX(FX_Input,U$5,H$3*$Z$5+$AA$5))-(7261/(H1479+459.6))+12.82),IF(H1471="Refined Petroleum Stock",EXP((0.7553-(413/(H1479+459.6)))*(INDEX(FX_Input,U$5,H$3*$Z$5+$AA$5-1)^0.5)*LOG10(INDEX(FX_Input,U$5,H$3*$Z$5+$AA$5))-(1.854-(1042/(H1479+459.6)))*(INDEX(FX_Input,U$5,H$3*$Z$5+$AA$5-1)^0.5)+((2416/(H1479+459.6)-2.013)*LOG10(INDEX(FX_Input,U$5,H$3*$Z$5+$AA$5)))-(8742/(H1479+459.6))+15.64),EXP(INDEX(Antoines,MATCH(H1470,Antoine_Name,0),2)-INDEX(Antoines,MATCH(H1470,Antoine_Name,0),3)/(H1479+459.6))))),0)</f>
        <v>6.5274070972739821E-3</v>
      </c>
      <c r="I1486" cm="1">
        <f t="array" ref="I1486">IFERROR(IF(I1471="Chemical",(10^(INDEX(Antoines,MATCH(I1470,Antoine_Name,0),2)-INDEX(Antoines,MATCH(I1470,Antoine_Name,0),3)/(INDEX(Antoines,MATCH(I1470,Antoine_Name,0),4)+(I1479-32)*5/9)))*14.7/760,IF(I1471="Crude Oil",EXP((2799/(I1479+459.6)-2.227)*LOG10(INDEX(FX_Input,V$5,I$3*$Z$5+$AA$5))-(7261/(I1479+459.6))+12.82),IF(I1471="Refined Petroleum Stock",EXP((0.7553-(413/(I1479+459.6)))*(INDEX(FX_Input,V$5,I$3*$Z$5+$AA$5-1)^0.5)*LOG10(INDEX(FX_Input,V$5,I$3*$Z$5+$AA$5))-(1.854-(1042/(I1479+459.6)))*(INDEX(FX_Input,V$5,I$3*$Z$5+$AA$5-1)^0.5)+((2416/(I1479+459.6)-2.013)*LOG10(INDEX(FX_Input,V$5,I$3*$Z$5+$AA$5)))-(8742/(I1479+459.6))+15.64),EXP(INDEX(Antoines,MATCH(I1470,Antoine_Name,0),2)-INDEX(Antoines,MATCH(I1470,Antoine_Name,0),3)/(I1479+459.6))))),0)</f>
        <v>7.4199539958878279E-3</v>
      </c>
      <c r="J1486" cm="1">
        <f t="array" ref="J1486">IFERROR(IF(J1471="Chemical",(10^(INDEX(Antoines,MATCH(J1470,Antoine_Name,0),2)-INDEX(Antoines,MATCH(J1470,Antoine_Name,0),3)/(INDEX(Antoines,MATCH(J1470,Antoine_Name,0),4)+(J1479-32)*5/9)))*14.7/760,IF(J1471="Crude Oil",EXP((2799/(J1479+459.6)-2.227)*LOG10(INDEX(FX_Input,W$5,J$3*$Z$5+$AA$5))-(7261/(J1479+459.6))+12.82),IF(J1471="Refined Petroleum Stock",EXP((0.7553-(413/(J1479+459.6)))*(INDEX(FX_Input,W$5,J$3*$Z$5+$AA$5-1)^0.5)*LOG10(INDEX(FX_Input,W$5,J$3*$Z$5+$AA$5))-(1.854-(1042/(J1479+459.6)))*(INDEX(FX_Input,W$5,J$3*$Z$5+$AA$5-1)^0.5)+((2416/(J1479+459.6)-2.013)*LOG10(INDEX(FX_Input,W$5,J$3*$Z$5+$AA$5)))-(8742/(J1479+459.6))+15.64),EXP(INDEX(Antoines,MATCH(J1470,Antoine_Name,0),2)-INDEX(Antoines,MATCH(J1470,Antoine_Name,0),3)/(J1479+459.6))))),0)</f>
        <v>8.3358107202842254E-3</v>
      </c>
      <c r="K1486" cm="1">
        <f t="array" ref="K1486">IFERROR(IF(K1471="Chemical",(10^(INDEX(Antoines,MATCH(K1470,Antoine_Name,0),2)-INDEX(Antoines,MATCH(K1470,Antoine_Name,0),3)/(INDEX(Antoines,MATCH(K1470,Antoine_Name,0),4)+(K1479-32)*5/9)))*14.7/760,IF(K1471="Crude Oil",EXP((2799/(K1479+459.6)-2.227)*LOG10(INDEX(FX_Input,X$5,K$3*$Z$5+$AA$5))-(7261/(K1479+459.6))+12.82),IF(K1471="Refined Petroleum Stock",EXP((0.7553-(413/(K1479+459.6)))*(INDEX(FX_Input,X$5,K$3*$Z$5+$AA$5-1)^0.5)*LOG10(INDEX(FX_Input,X$5,K$3*$Z$5+$AA$5))-(1.854-(1042/(K1479+459.6)))*(INDEX(FX_Input,X$5,K$3*$Z$5+$AA$5-1)^0.5)+((2416/(K1479+459.6)-2.013)*LOG10(INDEX(FX_Input,X$5,K$3*$Z$5+$AA$5)))-(8742/(K1479+459.6))+15.64),EXP(INDEX(Antoines,MATCH(K1470,Antoine_Name,0),2)-INDEX(Antoines,MATCH(K1470,Antoine_Name,0),3)/(K1479+459.6))))),0)</f>
        <v>8.4605262729351115E-3</v>
      </c>
      <c r="L1486" cm="1">
        <f t="array" ref="L1486">IFERROR(IF(L1471="Chemical",(10^(INDEX(Antoines,MATCH(L1470,Antoine_Name,0),2)-INDEX(Antoines,MATCH(L1470,Antoine_Name,0),3)/(INDEX(Antoines,MATCH(L1470,Antoine_Name,0),4)+(L1479-32)*5/9)))*14.7/760,IF(L1471="Crude Oil",EXP((2799/(L1479+459.6)-2.227)*LOG10(INDEX(FX_Input,Y$5,L$3*$Z$5+$AA$5))-(7261/(L1479+459.6))+12.82),IF(L1471="Refined Petroleum Stock",EXP((0.7553-(413/(L1479+459.6)))*(INDEX(FX_Input,Y$5,L$3*$Z$5+$AA$5-1)^0.5)*LOG10(INDEX(FX_Input,Y$5,L$3*$Z$5+$AA$5))-(1.854-(1042/(L1479+459.6)))*(INDEX(FX_Input,Y$5,L$3*$Z$5+$AA$5-1)^0.5)+((2416/(L1479+459.6)-2.013)*LOG10(INDEX(FX_Input,Y$5,L$3*$Z$5+$AA$5)))-(8742/(L1479+459.6))+15.64),EXP(INDEX(Antoines,MATCH(L1470,Antoine_Name,0),2)-INDEX(Antoines,MATCH(L1470,Antoine_Name,0),3)/(L1479+459.6))))),0)</f>
        <v>7.8399882233967533E-3</v>
      </c>
      <c r="M1486" cm="1">
        <f t="array" ref="M1486">IFERROR(IF(M1471="Chemical",(10^(INDEX(Antoines,MATCH(M1470,Antoine_Name,0),2)-INDEX(Antoines,MATCH(M1470,Antoine_Name,0),3)/(INDEX(Antoines,MATCH(M1470,Antoine_Name,0),4)+(M1479-32)*5/9)))*14.7/760,IF(M1471="Crude Oil",EXP((2799/(M1479+459.6)-2.227)*LOG10(INDEX(FX_Input,Z$5,M$3*$Z$5+$AA$5))-(7261/(M1479+459.6))+12.82),IF(M1471="Refined Petroleum Stock",EXP((0.7553-(413/(M1479+459.6)))*(INDEX(FX_Input,Z$5,M$3*$Z$5+$AA$5-1)^0.5)*LOG10(INDEX(FX_Input,Z$5,M$3*$Z$5+$AA$5))-(1.854-(1042/(M1479+459.6)))*(INDEX(FX_Input,Z$5,M$3*$Z$5+$AA$5-1)^0.5)+((2416/(M1479+459.6)-2.013)*LOG10(INDEX(FX_Input,Z$5,M$3*$Z$5+$AA$5)))-(8742/(M1479+459.6))+15.64),EXP(INDEX(Antoines,MATCH(M1470,Antoine_Name,0),2)-INDEX(Antoines,MATCH(M1470,Antoine_Name,0),3)/(M1479+459.6))))),0)</f>
        <v>6.4173462075160911E-3</v>
      </c>
      <c r="N1486" cm="1">
        <f t="array" ref="N1486">IFERROR(IF(N1471="Chemical",(10^(INDEX(Antoines,MATCH(N1470,Antoine_Name,0),2)-INDEX(Antoines,MATCH(N1470,Antoine_Name,0),3)/(INDEX(Antoines,MATCH(N1470,Antoine_Name,0),4)+(N1479-32)*5/9)))*14.7/760,IF(N1471="Crude Oil",EXP((2799/(N1479+459.6)-2.227)*LOG10(INDEX(FX_Input,AA$5,N$3*$Z$5+$AA$5))-(7261/(N1479+459.6))+12.82),IF(N1471="Refined Petroleum Stock",EXP((0.7553-(413/(N1479+459.6)))*(INDEX(FX_Input,AA$5,N$3*$Z$5+$AA$5-1)^0.5)*LOG10(INDEX(FX_Input,AA$5,N$3*$Z$5+$AA$5))-(1.854-(1042/(N1479+459.6)))*(INDEX(FX_Input,AA$5,N$3*$Z$5+$AA$5-1)^0.5)+((2416/(N1479+459.6)-2.013)*LOG10(INDEX(FX_Input,AA$5,N$3*$Z$5+$AA$5)))-(8742/(N1479+459.6))+15.64),EXP(INDEX(Antoines,MATCH(N1470,Antoine_Name,0),2)-INDEX(Antoines,MATCH(N1470,Antoine_Name,0),3)/(N1479+459.6))))),0)</f>
        <v>5.3015226887581056E-3</v>
      </c>
      <c r="O1486" cm="1">
        <f t="array" ref="O1486">IFERROR(IF(O1471="Chemical",(10^(INDEX(Antoines,MATCH(O1470,Antoine_Name,0),2)-INDEX(Antoines,MATCH(O1470,Antoine_Name,0),3)/(INDEX(Antoines,MATCH(O1470,Antoine_Name,0),4)+(O1479-32)*5/9)))*14.7/760,IF(O1471="Crude Oil",EXP((2799/(O1479+459.6)-2.227)*LOG10(INDEX(FX_Input,AB$5,O$3*$Z$5+$AA$5))-(7261/(O1479+459.6))+12.82),IF(O1471="Refined Petroleum Stock",EXP((0.7553-(413/(O1479+459.6)))*(INDEX(FX_Input,AB$5,O$3*$Z$5+$AA$5-1)^0.5)*LOG10(INDEX(FX_Input,AB$5,O$3*$Z$5+$AA$5))-(1.854-(1042/(O1479+459.6)))*(INDEX(FX_Input,AB$5,O$3*$Z$5+$AA$5-1)^0.5)+((2416/(O1479+459.6)-2.013)*LOG10(INDEX(FX_Input,AB$5,O$3*$Z$5+$AA$5)))-(8742/(O1479+459.6))+15.64),EXP(INDEX(Antoines,MATCH(O1470,Antoine_Name,0),2)-INDEX(Antoines,MATCH(O1470,Antoine_Name,0),3)/(O1479+459.6))))),0)</f>
        <v>4.68970903600947E-3</v>
      </c>
    </row>
    <row r="1487" spans="2:32" ht="17.149999999999999" x14ac:dyDescent="0.55000000000000004">
      <c r="B1487" t="str">
        <f t="shared" si="5396"/>
        <v>Portland</v>
      </c>
      <c r="C1487" t="s">
        <v>580</v>
      </c>
      <c r="D1487">
        <f>D1486*D1474</f>
        <v>4.739577185808354E-3</v>
      </c>
      <c r="E1487">
        <f t="shared" ref="E1487" si="5430">E1486*E1474</f>
        <v>4.8748667780818778E-3</v>
      </c>
      <c r="F1487">
        <f t="shared" ref="F1487" si="5431">F1486*F1474</f>
        <v>5.119885034186122E-3</v>
      </c>
      <c r="G1487">
        <f t="shared" ref="G1487" si="5432">G1486*G1474</f>
        <v>5.5846958573521795E-3</v>
      </c>
      <c r="H1487">
        <f t="shared" ref="H1487" si="5433">H1486*H1474</f>
        <v>6.5274070972739821E-3</v>
      </c>
      <c r="I1487">
        <f t="shared" ref="I1487" si="5434">I1486*I1474</f>
        <v>7.4199539958878279E-3</v>
      </c>
      <c r="J1487">
        <f t="shared" ref="J1487" si="5435">J1486*J1474</f>
        <v>8.3358107202842254E-3</v>
      </c>
      <c r="K1487">
        <f t="shared" ref="K1487" si="5436">K1486*K1474</f>
        <v>8.4605262729351115E-3</v>
      </c>
      <c r="L1487">
        <f t="shared" ref="L1487" si="5437">L1486*L1474</f>
        <v>7.8399882233967533E-3</v>
      </c>
      <c r="M1487">
        <f t="shared" ref="M1487" si="5438">M1486*M1474</f>
        <v>6.4173462075160911E-3</v>
      </c>
      <c r="N1487">
        <f t="shared" ref="N1487" si="5439">N1486*N1474</f>
        <v>5.3015226887581056E-3</v>
      </c>
      <c r="O1487">
        <f t="shared" ref="O1487" si="5440">O1486*O1474</f>
        <v>4.68970903600947E-3</v>
      </c>
    </row>
    <row r="1488" spans="2:32" ht="17.149999999999999" x14ac:dyDescent="0.55000000000000004">
      <c r="B1488" t="str">
        <f t="shared" si="5396"/>
        <v>Portland</v>
      </c>
      <c r="C1488" t="s">
        <v>581</v>
      </c>
      <c r="D1488" cm="1">
        <f t="array" ref="D1488">IFERROR(IF(D1473="Chemical",(10^(INDEX(Antoines,MATCH(D1472,Antoine_Name,0),2)-INDEX(Antoines,MATCH(D1472,Antoine_Name,0),3)/(INDEX(Antoines,MATCH(D1472,Antoine_Name,0),4)+(D1479-32)*5/9)))*14.7/760,IF(D1473="Crude Oil",EXP((2799/(D1479+459.6)-2.227)*LOG10(INDEX(FX_Input,Q$5,D$3*$Z$5+$AA$5))-(7261/(D1479+459.6))+12.82),IF(D1473="Refined Petroleum Stock",EXP((0.7553-(413/(D1479+459.6)))*(INDEX(FX_Input,Q$5,D$3*$Z$5+$AA$5-1)^0.5)*LOG10(INDEX(FX_Input,Q$5,D$3*$Z$5+$AA$5))-(1.854-(1042/(D1479+459.6)))*(INDEX(FX_Input,Q$5,D$3*$Z$5+$AA$5-1)^0.5)+((2416/(D1479+459.6)-2.013)*LOG10(INDEX(FX_Input,Q$5,D$3*$Z$5+$AA$5)))-(8742/(D1479+459.6))+15.64),EXP(INDEX(Antoines,MATCH(D1472,Antoine_Name,0),2)-INDEX(Antoines,MATCH(D1472,Antoine_Name,0),3)/(D1479+459.6))))),0)</f>
        <v>0</v>
      </c>
      <c r="E1488" cm="1">
        <f t="array" ref="E1488">IFERROR(IF(E1473="Chemical",(10^(INDEX(Antoines,MATCH(E1472,Antoine_Name,0),2)-INDEX(Antoines,MATCH(E1472,Antoine_Name,0),3)/(INDEX(Antoines,MATCH(E1472,Antoine_Name,0),4)+(E1479-32)*5/9)))*14.7/760,IF(E1473="Crude Oil",EXP((2799/(E1479+459.6)-2.227)*LOG10(INDEX(FX_Input,R$5,E$3*$Z$5+$AA$5))-(7261/(E1479+459.6))+12.82),IF(E1473="Refined Petroleum Stock",EXP((0.7553-(413/(E1479+459.6)))*(INDEX(FX_Input,R$5,E$3*$Z$5+$AA$5-1)^0.5)*LOG10(INDEX(FX_Input,R$5,E$3*$Z$5+$AA$5))-(1.854-(1042/(E1479+459.6)))*(INDEX(FX_Input,R$5,E$3*$Z$5+$AA$5-1)^0.5)+((2416/(E1479+459.6)-2.013)*LOG10(INDEX(FX_Input,R$5,E$3*$Z$5+$AA$5)))-(8742/(E1479+459.6))+15.64),EXP(INDEX(Antoines,MATCH(E1472,Antoine_Name,0),2)-INDEX(Antoines,MATCH(E1472,Antoine_Name,0),3)/(E1479+459.6))))),0)</f>
        <v>0</v>
      </c>
      <c r="F1488" cm="1">
        <f t="array" ref="F1488">IFERROR(IF(F1473="Chemical",(10^(INDEX(Antoines,MATCH(F1472,Antoine_Name,0),2)-INDEX(Antoines,MATCH(F1472,Antoine_Name,0),3)/(INDEX(Antoines,MATCH(F1472,Antoine_Name,0),4)+(F1479-32)*5/9)))*14.7/760,IF(F1473="Crude Oil",EXP((2799/(F1479+459.6)-2.227)*LOG10(INDEX(FX_Input,S$5,F$3*$Z$5+$AA$5))-(7261/(F1479+459.6))+12.82),IF(F1473="Refined Petroleum Stock",EXP((0.7553-(413/(F1479+459.6)))*(INDEX(FX_Input,S$5,F$3*$Z$5+$AA$5-1)^0.5)*LOG10(INDEX(FX_Input,S$5,F$3*$Z$5+$AA$5))-(1.854-(1042/(F1479+459.6)))*(INDEX(FX_Input,S$5,F$3*$Z$5+$AA$5-1)^0.5)+((2416/(F1479+459.6)-2.013)*LOG10(INDEX(FX_Input,S$5,F$3*$Z$5+$AA$5)))-(8742/(F1479+459.6))+15.64),EXP(INDEX(Antoines,MATCH(F1472,Antoine_Name,0),2)-INDEX(Antoines,MATCH(F1472,Antoine_Name,0),3)/(F1479+459.6))))),0)</f>
        <v>0</v>
      </c>
      <c r="G1488" cm="1">
        <f t="array" ref="G1488">IFERROR(IF(G1473="Chemical",(10^(INDEX(Antoines,MATCH(G1472,Antoine_Name,0),2)-INDEX(Antoines,MATCH(G1472,Antoine_Name,0),3)/(INDEX(Antoines,MATCH(G1472,Antoine_Name,0),4)+(G1479-32)*5/9)))*14.7/760,IF(G1473="Crude Oil",EXP((2799/(G1479+459.6)-2.227)*LOG10(INDEX(FX_Input,T$5,G$3*$Z$5+$AA$5))-(7261/(G1479+459.6))+12.82),IF(G1473="Refined Petroleum Stock",EXP((0.7553-(413/(G1479+459.6)))*(INDEX(FX_Input,T$5,G$3*$Z$5+$AA$5-1)^0.5)*LOG10(INDEX(FX_Input,T$5,G$3*$Z$5+$AA$5))-(1.854-(1042/(G1479+459.6)))*(INDEX(FX_Input,T$5,G$3*$Z$5+$AA$5-1)^0.5)+((2416/(G1479+459.6)-2.013)*LOG10(INDEX(FX_Input,T$5,G$3*$Z$5+$AA$5)))-(8742/(G1479+459.6))+15.64),EXP(INDEX(Antoines,MATCH(G1472,Antoine_Name,0),2)-INDEX(Antoines,MATCH(G1472,Antoine_Name,0),3)/(G1479+459.6))))),0)</f>
        <v>0</v>
      </c>
      <c r="H1488" cm="1">
        <f t="array" ref="H1488">IFERROR(IF(H1473="Chemical",(10^(INDEX(Antoines,MATCH(H1472,Antoine_Name,0),2)-INDEX(Antoines,MATCH(H1472,Antoine_Name,0),3)/(INDEX(Antoines,MATCH(H1472,Antoine_Name,0),4)+(H1479-32)*5/9)))*14.7/760,IF(H1473="Crude Oil",EXP((2799/(H1479+459.6)-2.227)*LOG10(INDEX(FX_Input,U$5,H$3*$Z$5+$AA$5))-(7261/(H1479+459.6))+12.82),IF(H1473="Refined Petroleum Stock",EXP((0.7553-(413/(H1479+459.6)))*(INDEX(FX_Input,U$5,H$3*$Z$5+$AA$5-1)^0.5)*LOG10(INDEX(FX_Input,U$5,H$3*$Z$5+$AA$5))-(1.854-(1042/(H1479+459.6)))*(INDEX(FX_Input,U$5,H$3*$Z$5+$AA$5-1)^0.5)+((2416/(H1479+459.6)-2.013)*LOG10(INDEX(FX_Input,U$5,H$3*$Z$5+$AA$5)))-(8742/(H1479+459.6))+15.64),EXP(INDEX(Antoines,MATCH(H1472,Antoine_Name,0),2)-INDEX(Antoines,MATCH(H1472,Antoine_Name,0),3)/(H1479+459.6))))),0)</f>
        <v>0</v>
      </c>
      <c r="I1488" cm="1">
        <f t="array" ref="I1488">IFERROR(IF(I1473="Chemical",(10^(INDEX(Antoines,MATCH(I1472,Antoine_Name,0),2)-INDEX(Antoines,MATCH(I1472,Antoine_Name,0),3)/(INDEX(Antoines,MATCH(I1472,Antoine_Name,0),4)+(I1479-32)*5/9)))*14.7/760,IF(I1473="Crude Oil",EXP((2799/(I1479+459.6)-2.227)*LOG10(INDEX(FX_Input,V$5,I$3*$Z$5+$AA$5))-(7261/(I1479+459.6))+12.82),IF(I1473="Refined Petroleum Stock",EXP((0.7553-(413/(I1479+459.6)))*(INDEX(FX_Input,V$5,I$3*$Z$5+$AA$5-1)^0.5)*LOG10(INDEX(FX_Input,V$5,I$3*$Z$5+$AA$5))-(1.854-(1042/(I1479+459.6)))*(INDEX(FX_Input,V$5,I$3*$Z$5+$AA$5-1)^0.5)+((2416/(I1479+459.6)-2.013)*LOG10(INDEX(FX_Input,V$5,I$3*$Z$5+$AA$5)))-(8742/(I1479+459.6))+15.64),EXP(INDEX(Antoines,MATCH(I1472,Antoine_Name,0),2)-INDEX(Antoines,MATCH(I1472,Antoine_Name,0),3)/(I1479+459.6))))),0)</f>
        <v>0</v>
      </c>
      <c r="J1488" cm="1">
        <f t="array" ref="J1488">IFERROR(IF(J1473="Chemical",(10^(INDEX(Antoines,MATCH(J1472,Antoine_Name,0),2)-INDEX(Antoines,MATCH(J1472,Antoine_Name,0),3)/(INDEX(Antoines,MATCH(J1472,Antoine_Name,0),4)+(J1479-32)*5/9)))*14.7/760,IF(J1473="Crude Oil",EXP((2799/(J1479+459.6)-2.227)*LOG10(INDEX(FX_Input,W$5,J$3*$Z$5+$AA$5))-(7261/(J1479+459.6))+12.82),IF(J1473="Refined Petroleum Stock",EXP((0.7553-(413/(J1479+459.6)))*(INDEX(FX_Input,W$5,J$3*$Z$5+$AA$5-1)^0.5)*LOG10(INDEX(FX_Input,W$5,J$3*$Z$5+$AA$5))-(1.854-(1042/(J1479+459.6)))*(INDEX(FX_Input,W$5,J$3*$Z$5+$AA$5-1)^0.5)+((2416/(J1479+459.6)-2.013)*LOG10(INDEX(FX_Input,W$5,J$3*$Z$5+$AA$5)))-(8742/(J1479+459.6))+15.64),EXP(INDEX(Antoines,MATCH(J1472,Antoine_Name,0),2)-INDEX(Antoines,MATCH(J1472,Antoine_Name,0),3)/(J1479+459.6))))),0)</f>
        <v>0</v>
      </c>
      <c r="K1488" cm="1">
        <f t="array" ref="K1488">IFERROR(IF(K1473="Chemical",(10^(INDEX(Antoines,MATCH(K1472,Antoine_Name,0),2)-INDEX(Antoines,MATCH(K1472,Antoine_Name,0),3)/(INDEX(Antoines,MATCH(K1472,Antoine_Name,0),4)+(K1479-32)*5/9)))*14.7/760,IF(K1473="Crude Oil",EXP((2799/(K1479+459.6)-2.227)*LOG10(INDEX(FX_Input,X$5,K$3*$Z$5+$AA$5))-(7261/(K1479+459.6))+12.82),IF(K1473="Refined Petroleum Stock",EXP((0.7553-(413/(K1479+459.6)))*(INDEX(FX_Input,X$5,K$3*$Z$5+$AA$5-1)^0.5)*LOG10(INDEX(FX_Input,X$5,K$3*$Z$5+$AA$5))-(1.854-(1042/(K1479+459.6)))*(INDEX(FX_Input,X$5,K$3*$Z$5+$AA$5-1)^0.5)+((2416/(K1479+459.6)-2.013)*LOG10(INDEX(FX_Input,X$5,K$3*$Z$5+$AA$5)))-(8742/(K1479+459.6))+15.64),EXP(INDEX(Antoines,MATCH(K1472,Antoine_Name,0),2)-INDEX(Antoines,MATCH(K1472,Antoine_Name,0),3)/(K1479+459.6))))),0)</f>
        <v>0</v>
      </c>
      <c r="L1488" cm="1">
        <f t="array" ref="L1488">IFERROR(IF(L1473="Chemical",(10^(INDEX(Antoines,MATCH(L1472,Antoine_Name,0),2)-INDEX(Antoines,MATCH(L1472,Antoine_Name,0),3)/(INDEX(Antoines,MATCH(L1472,Antoine_Name,0),4)+(L1479-32)*5/9)))*14.7/760,IF(L1473="Crude Oil",EXP((2799/(L1479+459.6)-2.227)*LOG10(INDEX(FX_Input,Y$5,L$3*$Z$5+$AA$5))-(7261/(L1479+459.6))+12.82),IF(L1473="Refined Petroleum Stock",EXP((0.7553-(413/(L1479+459.6)))*(INDEX(FX_Input,Y$5,L$3*$Z$5+$AA$5-1)^0.5)*LOG10(INDEX(FX_Input,Y$5,L$3*$Z$5+$AA$5))-(1.854-(1042/(L1479+459.6)))*(INDEX(FX_Input,Y$5,L$3*$Z$5+$AA$5-1)^0.5)+((2416/(L1479+459.6)-2.013)*LOG10(INDEX(FX_Input,Y$5,L$3*$Z$5+$AA$5)))-(8742/(L1479+459.6))+15.64),EXP(INDEX(Antoines,MATCH(L1472,Antoine_Name,0),2)-INDEX(Antoines,MATCH(L1472,Antoine_Name,0),3)/(L1479+459.6))))),0)</f>
        <v>0</v>
      </c>
      <c r="M1488" cm="1">
        <f t="array" ref="M1488">IFERROR(IF(M1473="Chemical",(10^(INDEX(Antoines,MATCH(M1472,Antoine_Name,0),2)-INDEX(Antoines,MATCH(M1472,Antoine_Name,0),3)/(INDEX(Antoines,MATCH(M1472,Antoine_Name,0),4)+(M1479-32)*5/9)))*14.7/760,IF(M1473="Crude Oil",EXP((2799/(M1479+459.6)-2.227)*LOG10(INDEX(FX_Input,Z$5,M$3*$Z$5+$AA$5))-(7261/(M1479+459.6))+12.82),IF(M1473="Refined Petroleum Stock",EXP((0.7553-(413/(M1479+459.6)))*(INDEX(FX_Input,Z$5,M$3*$Z$5+$AA$5-1)^0.5)*LOG10(INDEX(FX_Input,Z$5,M$3*$Z$5+$AA$5))-(1.854-(1042/(M1479+459.6)))*(INDEX(FX_Input,Z$5,M$3*$Z$5+$AA$5-1)^0.5)+((2416/(M1479+459.6)-2.013)*LOG10(INDEX(FX_Input,Z$5,M$3*$Z$5+$AA$5)))-(8742/(M1479+459.6))+15.64),EXP(INDEX(Antoines,MATCH(M1472,Antoine_Name,0),2)-INDEX(Antoines,MATCH(M1472,Antoine_Name,0),3)/(M1479+459.6))))),0)</f>
        <v>0</v>
      </c>
      <c r="N1488" cm="1">
        <f t="array" ref="N1488">IFERROR(IF(N1473="Chemical",(10^(INDEX(Antoines,MATCH(N1472,Antoine_Name,0),2)-INDEX(Antoines,MATCH(N1472,Antoine_Name,0),3)/(INDEX(Antoines,MATCH(N1472,Antoine_Name,0),4)+(N1479-32)*5/9)))*14.7/760,IF(N1473="Crude Oil",EXP((2799/(N1479+459.6)-2.227)*LOG10(INDEX(FX_Input,AA$5,N$3*$Z$5+$AA$5))-(7261/(N1479+459.6))+12.82),IF(N1473="Refined Petroleum Stock",EXP((0.7553-(413/(N1479+459.6)))*(INDEX(FX_Input,AA$5,N$3*$Z$5+$AA$5-1)^0.5)*LOG10(INDEX(FX_Input,AA$5,N$3*$Z$5+$AA$5))-(1.854-(1042/(N1479+459.6)))*(INDEX(FX_Input,AA$5,N$3*$Z$5+$AA$5-1)^0.5)+((2416/(N1479+459.6)-2.013)*LOG10(INDEX(FX_Input,AA$5,N$3*$Z$5+$AA$5)))-(8742/(N1479+459.6))+15.64),EXP(INDEX(Antoines,MATCH(N1472,Antoine_Name,0),2)-INDEX(Antoines,MATCH(N1472,Antoine_Name,0),3)/(N1479+459.6))))),0)</f>
        <v>0</v>
      </c>
      <c r="O1488" cm="1">
        <f t="array" ref="O1488">IFERROR(IF(O1473="Chemical",(10^(INDEX(Antoines,MATCH(O1472,Antoine_Name,0),2)-INDEX(Antoines,MATCH(O1472,Antoine_Name,0),3)/(INDEX(Antoines,MATCH(O1472,Antoine_Name,0),4)+(O1479-32)*5/9)))*14.7/760,IF(O1473="Crude Oil",EXP((2799/(O1479+459.6)-2.227)*LOG10(INDEX(FX_Input,AB$5,O$3*$Z$5+$AA$5))-(7261/(O1479+459.6))+12.82),IF(O1473="Refined Petroleum Stock",EXP((0.7553-(413/(O1479+459.6)))*(INDEX(FX_Input,AB$5,O$3*$Z$5+$AA$5-1)^0.5)*LOG10(INDEX(FX_Input,AB$5,O$3*$Z$5+$AA$5))-(1.854-(1042/(O1479+459.6)))*(INDEX(FX_Input,AB$5,O$3*$Z$5+$AA$5-1)^0.5)+((2416/(O1479+459.6)-2.013)*LOG10(INDEX(FX_Input,AB$5,O$3*$Z$5+$AA$5)))-(8742/(O1479+459.6))+15.64),EXP(INDEX(Antoines,MATCH(O1472,Antoine_Name,0),2)-INDEX(Antoines,MATCH(O1472,Antoine_Name,0),3)/(O1479+459.6))))),0)</f>
        <v>0</v>
      </c>
    </row>
    <row r="1489" spans="1:32" ht="17.149999999999999" x14ac:dyDescent="0.55000000000000004">
      <c r="B1489" t="str">
        <f t="shared" si="5396"/>
        <v>Portland</v>
      </c>
      <c r="C1489" t="s">
        <v>582</v>
      </c>
      <c r="D1489">
        <f>D1488*D1476</f>
        <v>0</v>
      </c>
      <c r="E1489">
        <f t="shared" ref="E1489" si="5441">E1488*E1476</f>
        <v>0</v>
      </c>
      <c r="F1489">
        <f t="shared" ref="F1489" si="5442">F1488*F1476</f>
        <v>0</v>
      </c>
      <c r="G1489">
        <f t="shared" ref="G1489" si="5443">G1488*G1476</f>
        <v>0</v>
      </c>
      <c r="H1489">
        <f t="shared" ref="H1489" si="5444">H1488*H1476</f>
        <v>0</v>
      </c>
      <c r="I1489">
        <f t="shared" ref="I1489" si="5445">I1488*I1476</f>
        <v>0</v>
      </c>
      <c r="J1489">
        <f t="shared" ref="J1489" si="5446">J1488*J1476</f>
        <v>0</v>
      </c>
      <c r="K1489">
        <f t="shared" ref="K1489" si="5447">K1488*K1476</f>
        <v>0</v>
      </c>
      <c r="L1489">
        <f t="shared" ref="L1489" si="5448">L1488*L1476</f>
        <v>0</v>
      </c>
      <c r="M1489">
        <f t="shared" ref="M1489" si="5449">M1488*M1476</f>
        <v>0</v>
      </c>
      <c r="N1489">
        <f t="shared" ref="N1489" si="5450">N1488*N1476</f>
        <v>0</v>
      </c>
      <c r="O1489">
        <f t="shared" ref="O1489" si="5451">O1488*O1476</f>
        <v>0</v>
      </c>
    </row>
    <row r="1490" spans="1:32" ht="17.149999999999999" x14ac:dyDescent="0.55000000000000004">
      <c r="B1490" t="str">
        <f t="shared" si="5396"/>
        <v>Portland</v>
      </c>
      <c r="C1490" t="s">
        <v>583</v>
      </c>
      <c r="D1490">
        <f>D1487+D1489</f>
        <v>4.739577185808354E-3</v>
      </c>
      <c r="E1490">
        <f t="shared" ref="E1490" si="5452">E1487+E1489</f>
        <v>4.8748667780818778E-3</v>
      </c>
      <c r="F1490">
        <f t="shared" ref="F1490" si="5453">F1487+F1489</f>
        <v>5.119885034186122E-3</v>
      </c>
      <c r="G1490">
        <f t="shared" ref="G1490" si="5454">G1487+G1489</f>
        <v>5.5846958573521795E-3</v>
      </c>
      <c r="H1490">
        <f t="shared" ref="H1490" si="5455">H1487+H1489</f>
        <v>6.5274070972739821E-3</v>
      </c>
      <c r="I1490">
        <f t="shared" ref="I1490" si="5456">I1487+I1489</f>
        <v>7.4199539958878279E-3</v>
      </c>
      <c r="J1490">
        <f t="shared" ref="J1490" si="5457">J1487+J1489</f>
        <v>8.3358107202842254E-3</v>
      </c>
      <c r="K1490">
        <f t="shared" ref="K1490" si="5458">K1487+K1489</f>
        <v>8.4605262729351115E-3</v>
      </c>
      <c r="L1490">
        <f t="shared" ref="L1490" si="5459">L1487+L1489</f>
        <v>7.8399882233967533E-3</v>
      </c>
      <c r="M1490">
        <f t="shared" ref="M1490" si="5460">M1487+M1489</f>
        <v>6.4173462075160911E-3</v>
      </c>
      <c r="N1490">
        <f t="shared" ref="N1490" si="5461">N1487+N1489</f>
        <v>5.3015226887581056E-3</v>
      </c>
      <c r="O1490">
        <f t="shared" ref="O1490" si="5462">O1487+O1489</f>
        <v>4.68970903600947E-3</v>
      </c>
    </row>
    <row r="1491" spans="1:32" ht="17.149999999999999" x14ac:dyDescent="0.55000000000000004">
      <c r="B1491" t="str">
        <f t="shared" si="5396"/>
        <v>Portland</v>
      </c>
      <c r="C1491" t="s">
        <v>1388</v>
      </c>
      <c r="D1491" cm="1">
        <f t="array" ref="D1491">IFERROR(IF(D1471="Chemical",(10^(INDEX(Antoines,MATCH(D1470,Antoine_Name,0),2)-INDEX(Antoines,MATCH(D1470,Antoine_Name,0),3)/(INDEX(Antoines,MATCH(D1470,Antoine_Name,0),4)+(D1480-32)*5/9)))*14.7/760,IF(D1471="Crude Oil",EXP((2799/(D1480+459.6)-2.227)*LOG10(INDEX(FX_Input,Q$5,D$3*$Z$5+$AA$5))-(7261/(D1480+459.6))+12.82),IF(D1471="Refined Petroleum Stock",EXP((0.7553-(413/(D1480+459.6)))*(INDEX(FX_Input,Q$5,D$3*$Z$5+$AA$5-1)^0.5)*LOG10(INDEX(FX_Input,Q$5,D$3*$Z$5+$AA$5))-(1.854-(1042/(D1480+459.6)))*(INDEX(FX_Input,Q$5,D$3*$Z$5+$AA$5-1)^0.5)+((2416/(D1480+459.6)-2.013)*LOG10(INDEX(FX_Input,Q$5,D$3*$Z$5+$AA$5)))-(8742/(D1480+459.6))+15.64),EXP(INDEX(Antoines,MATCH(D1470,Antoine_Name,0),2)-INDEX(Antoines,MATCH(D1470,Antoine_Name,0),3)/(D1480+459.6))))),0)</f>
        <v>4.739577185808354E-3</v>
      </c>
      <c r="E1491" cm="1">
        <f t="array" ref="E1491">IFERROR(IF(E1471="Chemical",(10^(INDEX(Antoines,MATCH(E1470,Antoine_Name,0),2)-INDEX(Antoines,MATCH(E1470,Antoine_Name,0),3)/(INDEX(Antoines,MATCH(E1470,Antoine_Name,0),4)+(E1480-32)*5/9)))*14.7/760,IF(E1471="Crude Oil",EXP((2799/(E1480+459.6)-2.227)*LOG10(INDEX(FX_Input,R$5,E$3*$Z$5+$AA$5))-(7261/(E1480+459.6))+12.82),IF(E1471="Refined Petroleum Stock",EXP((0.7553-(413/(E1480+459.6)))*(INDEX(FX_Input,R$5,E$3*$Z$5+$AA$5-1)^0.5)*LOG10(INDEX(FX_Input,R$5,E$3*$Z$5+$AA$5))-(1.854-(1042/(E1480+459.6)))*(INDEX(FX_Input,R$5,E$3*$Z$5+$AA$5-1)^0.5)+((2416/(E1480+459.6)-2.013)*LOG10(INDEX(FX_Input,R$5,E$3*$Z$5+$AA$5)))-(8742/(E1480+459.6))+15.64),EXP(INDEX(Antoines,MATCH(E1470,Antoine_Name,0),2)-INDEX(Antoines,MATCH(E1470,Antoine_Name,0),3)/(E1480+459.6))))),0)</f>
        <v>4.8748667780818778E-3</v>
      </c>
      <c r="F1491" cm="1">
        <f t="array" ref="F1491">IFERROR(IF(F1471="Chemical",(10^(INDEX(Antoines,MATCH(F1470,Antoine_Name,0),2)-INDEX(Antoines,MATCH(F1470,Antoine_Name,0),3)/(INDEX(Antoines,MATCH(F1470,Antoine_Name,0),4)+(F1480-32)*5/9)))*14.7/760,IF(F1471="Crude Oil",EXP((2799/(F1480+459.6)-2.227)*LOG10(INDEX(FX_Input,S$5,F$3*$Z$5+$AA$5))-(7261/(F1480+459.6))+12.82),IF(F1471="Refined Petroleum Stock",EXP((0.7553-(413/(F1480+459.6)))*(INDEX(FX_Input,S$5,F$3*$Z$5+$AA$5-1)^0.5)*LOG10(INDEX(FX_Input,S$5,F$3*$Z$5+$AA$5))-(1.854-(1042/(F1480+459.6)))*(INDEX(FX_Input,S$5,F$3*$Z$5+$AA$5-1)^0.5)+((2416/(F1480+459.6)-2.013)*LOG10(INDEX(FX_Input,S$5,F$3*$Z$5+$AA$5)))-(8742/(F1480+459.6))+15.64),EXP(INDEX(Antoines,MATCH(F1470,Antoine_Name,0),2)-INDEX(Antoines,MATCH(F1470,Antoine_Name,0),3)/(F1480+459.6))))),0)</f>
        <v>5.119885034186122E-3</v>
      </c>
      <c r="G1491" cm="1">
        <f t="array" ref="G1491">IFERROR(IF(G1471="Chemical",(10^(INDEX(Antoines,MATCH(G1470,Antoine_Name,0),2)-INDEX(Antoines,MATCH(G1470,Antoine_Name,0),3)/(INDEX(Antoines,MATCH(G1470,Antoine_Name,0),4)+(G1480-32)*5/9)))*14.7/760,IF(G1471="Crude Oil",EXP((2799/(G1480+459.6)-2.227)*LOG10(INDEX(FX_Input,T$5,G$3*$Z$5+$AA$5))-(7261/(G1480+459.6))+12.82),IF(G1471="Refined Petroleum Stock",EXP((0.7553-(413/(G1480+459.6)))*(INDEX(FX_Input,T$5,G$3*$Z$5+$AA$5-1)^0.5)*LOG10(INDEX(FX_Input,T$5,G$3*$Z$5+$AA$5))-(1.854-(1042/(G1480+459.6)))*(INDEX(FX_Input,T$5,G$3*$Z$5+$AA$5-1)^0.5)+((2416/(G1480+459.6)-2.013)*LOG10(INDEX(FX_Input,T$5,G$3*$Z$5+$AA$5)))-(8742/(G1480+459.6))+15.64),EXP(INDEX(Antoines,MATCH(G1470,Antoine_Name,0),2)-INDEX(Antoines,MATCH(G1470,Antoine_Name,0),3)/(G1480+459.6))))),0)</f>
        <v>5.5846958573521795E-3</v>
      </c>
      <c r="H1491" cm="1">
        <f t="array" ref="H1491">IFERROR(IF(H1471="Chemical",(10^(INDEX(Antoines,MATCH(H1470,Antoine_Name,0),2)-INDEX(Antoines,MATCH(H1470,Antoine_Name,0),3)/(INDEX(Antoines,MATCH(H1470,Antoine_Name,0),4)+(H1480-32)*5/9)))*14.7/760,IF(H1471="Crude Oil",EXP((2799/(H1480+459.6)-2.227)*LOG10(INDEX(FX_Input,U$5,H$3*$Z$5+$AA$5))-(7261/(H1480+459.6))+12.82),IF(H1471="Refined Petroleum Stock",EXP((0.7553-(413/(H1480+459.6)))*(INDEX(FX_Input,U$5,H$3*$Z$5+$AA$5-1)^0.5)*LOG10(INDEX(FX_Input,U$5,H$3*$Z$5+$AA$5))-(1.854-(1042/(H1480+459.6)))*(INDEX(FX_Input,U$5,H$3*$Z$5+$AA$5-1)^0.5)+((2416/(H1480+459.6)-2.013)*LOG10(INDEX(FX_Input,U$5,H$3*$Z$5+$AA$5)))-(8742/(H1480+459.6))+15.64),EXP(INDEX(Antoines,MATCH(H1470,Antoine_Name,0),2)-INDEX(Antoines,MATCH(H1470,Antoine_Name,0),3)/(H1480+459.6))))),0)</f>
        <v>6.5274070972739821E-3</v>
      </c>
      <c r="I1491" cm="1">
        <f t="array" ref="I1491">IFERROR(IF(I1471="Chemical",(10^(INDEX(Antoines,MATCH(I1470,Antoine_Name,0),2)-INDEX(Antoines,MATCH(I1470,Antoine_Name,0),3)/(INDEX(Antoines,MATCH(I1470,Antoine_Name,0),4)+(I1480-32)*5/9)))*14.7/760,IF(I1471="Crude Oil",EXP((2799/(I1480+459.6)-2.227)*LOG10(INDEX(FX_Input,V$5,I$3*$Z$5+$AA$5))-(7261/(I1480+459.6))+12.82),IF(I1471="Refined Petroleum Stock",EXP((0.7553-(413/(I1480+459.6)))*(INDEX(FX_Input,V$5,I$3*$Z$5+$AA$5-1)^0.5)*LOG10(INDEX(FX_Input,V$5,I$3*$Z$5+$AA$5))-(1.854-(1042/(I1480+459.6)))*(INDEX(FX_Input,V$5,I$3*$Z$5+$AA$5-1)^0.5)+((2416/(I1480+459.6)-2.013)*LOG10(INDEX(FX_Input,V$5,I$3*$Z$5+$AA$5)))-(8742/(I1480+459.6))+15.64),EXP(INDEX(Antoines,MATCH(I1470,Antoine_Name,0),2)-INDEX(Antoines,MATCH(I1470,Antoine_Name,0),3)/(I1480+459.6))))),0)</f>
        <v>7.4199539958878279E-3</v>
      </c>
      <c r="J1491" cm="1">
        <f t="array" ref="J1491">IFERROR(IF(J1471="Chemical",(10^(INDEX(Antoines,MATCH(J1470,Antoine_Name,0),2)-INDEX(Antoines,MATCH(J1470,Antoine_Name,0),3)/(INDEX(Antoines,MATCH(J1470,Antoine_Name,0),4)+(J1480-32)*5/9)))*14.7/760,IF(J1471="Crude Oil",EXP((2799/(J1480+459.6)-2.227)*LOG10(INDEX(FX_Input,W$5,J$3*$Z$5+$AA$5))-(7261/(J1480+459.6))+12.82),IF(J1471="Refined Petroleum Stock",EXP((0.7553-(413/(J1480+459.6)))*(INDEX(FX_Input,W$5,J$3*$Z$5+$AA$5-1)^0.5)*LOG10(INDEX(FX_Input,W$5,J$3*$Z$5+$AA$5))-(1.854-(1042/(J1480+459.6)))*(INDEX(FX_Input,W$5,J$3*$Z$5+$AA$5-1)^0.5)+((2416/(J1480+459.6)-2.013)*LOG10(INDEX(FX_Input,W$5,J$3*$Z$5+$AA$5)))-(8742/(J1480+459.6))+15.64),EXP(INDEX(Antoines,MATCH(J1470,Antoine_Name,0),2)-INDEX(Antoines,MATCH(J1470,Antoine_Name,0),3)/(J1480+459.6))))),0)</f>
        <v>8.3358107202842254E-3</v>
      </c>
      <c r="K1491" cm="1">
        <f t="array" ref="K1491">IFERROR(IF(K1471="Chemical",(10^(INDEX(Antoines,MATCH(K1470,Antoine_Name,0),2)-INDEX(Antoines,MATCH(K1470,Antoine_Name,0),3)/(INDEX(Antoines,MATCH(K1470,Antoine_Name,0),4)+(K1480-32)*5/9)))*14.7/760,IF(K1471="Crude Oil",EXP((2799/(K1480+459.6)-2.227)*LOG10(INDEX(FX_Input,X$5,K$3*$Z$5+$AA$5))-(7261/(K1480+459.6))+12.82),IF(K1471="Refined Petroleum Stock",EXP((0.7553-(413/(K1480+459.6)))*(INDEX(FX_Input,X$5,K$3*$Z$5+$AA$5-1)^0.5)*LOG10(INDEX(FX_Input,X$5,K$3*$Z$5+$AA$5))-(1.854-(1042/(K1480+459.6)))*(INDEX(FX_Input,X$5,K$3*$Z$5+$AA$5-1)^0.5)+((2416/(K1480+459.6)-2.013)*LOG10(INDEX(FX_Input,X$5,K$3*$Z$5+$AA$5)))-(8742/(K1480+459.6))+15.64),EXP(INDEX(Antoines,MATCH(K1470,Antoine_Name,0),2)-INDEX(Antoines,MATCH(K1470,Antoine_Name,0),3)/(K1480+459.6))))),0)</f>
        <v>8.4605262729351115E-3</v>
      </c>
      <c r="L1491" cm="1">
        <f t="array" ref="L1491">IFERROR(IF(L1471="Chemical",(10^(INDEX(Antoines,MATCH(L1470,Antoine_Name,0),2)-INDEX(Antoines,MATCH(L1470,Antoine_Name,0),3)/(INDEX(Antoines,MATCH(L1470,Antoine_Name,0),4)+(L1480-32)*5/9)))*14.7/760,IF(L1471="Crude Oil",EXP((2799/(L1480+459.6)-2.227)*LOG10(INDEX(FX_Input,Y$5,L$3*$Z$5+$AA$5))-(7261/(L1480+459.6))+12.82),IF(L1471="Refined Petroleum Stock",EXP((0.7553-(413/(L1480+459.6)))*(INDEX(FX_Input,Y$5,L$3*$Z$5+$AA$5-1)^0.5)*LOG10(INDEX(FX_Input,Y$5,L$3*$Z$5+$AA$5))-(1.854-(1042/(L1480+459.6)))*(INDEX(FX_Input,Y$5,L$3*$Z$5+$AA$5-1)^0.5)+((2416/(L1480+459.6)-2.013)*LOG10(INDEX(FX_Input,Y$5,L$3*$Z$5+$AA$5)))-(8742/(L1480+459.6))+15.64),EXP(INDEX(Antoines,MATCH(L1470,Antoine_Name,0),2)-INDEX(Antoines,MATCH(L1470,Antoine_Name,0),3)/(L1480+459.6))))),0)</f>
        <v>7.8399882233967533E-3</v>
      </c>
      <c r="M1491" cm="1">
        <f t="array" ref="M1491">IFERROR(IF(M1471="Chemical",(10^(INDEX(Antoines,MATCH(M1470,Antoine_Name,0),2)-INDEX(Antoines,MATCH(M1470,Antoine_Name,0),3)/(INDEX(Antoines,MATCH(M1470,Antoine_Name,0),4)+(M1480-32)*5/9)))*14.7/760,IF(M1471="Crude Oil",EXP((2799/(M1480+459.6)-2.227)*LOG10(INDEX(FX_Input,Z$5,M$3*$Z$5+$AA$5))-(7261/(M1480+459.6))+12.82),IF(M1471="Refined Petroleum Stock",EXP((0.7553-(413/(M1480+459.6)))*(INDEX(FX_Input,Z$5,M$3*$Z$5+$AA$5-1)^0.5)*LOG10(INDEX(FX_Input,Z$5,M$3*$Z$5+$AA$5))-(1.854-(1042/(M1480+459.6)))*(INDEX(FX_Input,Z$5,M$3*$Z$5+$AA$5-1)^0.5)+((2416/(M1480+459.6)-2.013)*LOG10(INDEX(FX_Input,Z$5,M$3*$Z$5+$AA$5)))-(8742/(M1480+459.6))+15.64),EXP(INDEX(Antoines,MATCH(M1470,Antoine_Name,0),2)-INDEX(Antoines,MATCH(M1470,Antoine_Name,0),3)/(M1480+459.6))))),0)</f>
        <v>6.4173462075160911E-3</v>
      </c>
      <c r="N1491" cm="1">
        <f t="array" ref="N1491">IFERROR(IF(N1471="Chemical",(10^(INDEX(Antoines,MATCH(N1470,Antoine_Name,0),2)-INDEX(Antoines,MATCH(N1470,Antoine_Name,0),3)/(INDEX(Antoines,MATCH(N1470,Antoine_Name,0),4)+(N1480-32)*5/9)))*14.7/760,IF(N1471="Crude Oil",EXP((2799/(N1480+459.6)-2.227)*LOG10(INDEX(FX_Input,AA$5,N$3*$Z$5+$AA$5))-(7261/(N1480+459.6))+12.82),IF(N1471="Refined Petroleum Stock",EXP((0.7553-(413/(N1480+459.6)))*(INDEX(FX_Input,AA$5,N$3*$Z$5+$AA$5-1)^0.5)*LOG10(INDEX(FX_Input,AA$5,N$3*$Z$5+$AA$5))-(1.854-(1042/(N1480+459.6)))*(INDEX(FX_Input,AA$5,N$3*$Z$5+$AA$5-1)^0.5)+((2416/(N1480+459.6)-2.013)*LOG10(INDEX(FX_Input,AA$5,N$3*$Z$5+$AA$5)))-(8742/(N1480+459.6))+15.64),EXP(INDEX(Antoines,MATCH(N1470,Antoine_Name,0),2)-INDEX(Antoines,MATCH(N1470,Antoine_Name,0),3)/(N1480+459.6))))),0)</f>
        <v>5.3015226887581056E-3</v>
      </c>
      <c r="O1491" cm="1">
        <f t="array" ref="O1491">IFERROR(IF(O1471="Chemical",(10^(INDEX(Antoines,MATCH(O1470,Antoine_Name,0),2)-INDEX(Antoines,MATCH(O1470,Antoine_Name,0),3)/(INDEX(Antoines,MATCH(O1470,Antoine_Name,0),4)+(O1480-32)*5/9)))*14.7/760,IF(O1471="Crude Oil",EXP((2799/(O1480+459.6)-2.227)*LOG10(INDEX(FX_Input,AB$5,O$3*$Z$5+$AA$5))-(7261/(O1480+459.6))+12.82),IF(O1471="Refined Petroleum Stock",EXP((0.7553-(413/(O1480+459.6)))*(INDEX(FX_Input,AB$5,O$3*$Z$5+$AA$5-1)^0.5)*LOG10(INDEX(FX_Input,AB$5,O$3*$Z$5+$AA$5))-(1.854-(1042/(O1480+459.6)))*(INDEX(FX_Input,AB$5,O$3*$Z$5+$AA$5-1)^0.5)+((2416/(O1480+459.6)-2.013)*LOG10(INDEX(FX_Input,AB$5,O$3*$Z$5+$AA$5)))-(8742/(O1480+459.6))+15.64),EXP(INDEX(Antoines,MATCH(O1470,Antoine_Name,0),2)-INDEX(Antoines,MATCH(O1470,Antoine_Name,0),3)/(O1480+459.6))))),0)</f>
        <v>4.68970903600947E-3</v>
      </c>
    </row>
    <row r="1492" spans="1:32" ht="17.149999999999999" x14ac:dyDescent="0.55000000000000004">
      <c r="B1492" t="str">
        <f t="shared" si="5396"/>
        <v>Portland</v>
      </c>
      <c r="C1492" t="s">
        <v>1389</v>
      </c>
      <c r="D1492">
        <f>D1491*D1474</f>
        <v>4.739577185808354E-3</v>
      </c>
      <c r="E1492">
        <f t="shared" ref="E1492" si="5463">E1491*E1474</f>
        <v>4.8748667780818778E-3</v>
      </c>
      <c r="F1492">
        <f t="shared" ref="F1492" si="5464">F1491*F1474</f>
        <v>5.119885034186122E-3</v>
      </c>
      <c r="G1492">
        <f t="shared" ref="G1492" si="5465">G1491*G1474</f>
        <v>5.5846958573521795E-3</v>
      </c>
      <c r="H1492">
        <f t="shared" ref="H1492" si="5466">H1491*H1474</f>
        <v>6.5274070972739821E-3</v>
      </c>
      <c r="I1492">
        <f t="shared" ref="I1492" si="5467">I1491*I1474</f>
        <v>7.4199539958878279E-3</v>
      </c>
      <c r="J1492">
        <f t="shared" ref="J1492" si="5468">J1491*J1474</f>
        <v>8.3358107202842254E-3</v>
      </c>
      <c r="K1492">
        <f t="shared" ref="K1492" si="5469">K1491*K1474</f>
        <v>8.4605262729351115E-3</v>
      </c>
      <c r="L1492">
        <f t="shared" ref="L1492" si="5470">L1491*L1474</f>
        <v>7.8399882233967533E-3</v>
      </c>
      <c r="M1492">
        <f t="shared" ref="M1492" si="5471">M1491*M1474</f>
        <v>6.4173462075160911E-3</v>
      </c>
      <c r="N1492">
        <f t="shared" ref="N1492" si="5472">N1491*N1474</f>
        <v>5.3015226887581056E-3</v>
      </c>
      <c r="O1492">
        <f t="shared" ref="O1492" si="5473">O1491*O1474</f>
        <v>4.68970903600947E-3</v>
      </c>
    </row>
    <row r="1493" spans="1:32" ht="17.149999999999999" x14ac:dyDescent="0.55000000000000004">
      <c r="B1493" t="str">
        <f t="shared" si="5396"/>
        <v>Portland</v>
      </c>
      <c r="C1493" t="s">
        <v>1390</v>
      </c>
      <c r="D1493" cm="1">
        <f t="array" ref="D1493">IFERROR(IF(D1473="Chemical",(10^(INDEX(Antoines,MATCH(D1472,Antoine_Name,0),2)-INDEX(Antoines,MATCH(D1472,Antoine_Name,0),3)/(INDEX(Antoines,MATCH(D1472,Antoine_Name,0),4)+(D1480-32)*5/9)))*14.7/760,IF(D1473="Crude Oil",EXP((2799/(D1480+459.6)-2.227)*LOG10(INDEX(FX_Input,Q$5,D$3*$Z$5+$AA$5))-(7261/(D1480+459.6))+12.82),IF(D1473="Refined Petroleum Stock",EXP((0.7553-(413/(D1480+459.6)))*(INDEX(FX_Input,Q$5,D$3*$Z$5+$AA$5-1)^0.5)*LOG10(INDEX(FX_Input,Q$5,D$3*$Z$5+$AA$5))-(1.854-(1042/(D1480+459.6)))*(INDEX(FX_Input,Q$5,D$3*$Z$5+$AA$5-1)^0.5)+((2416/(D1480+459.6)-2.013)*LOG10(INDEX(FX_Input,Q$5,D$3*$Z$5+$AA$5)))-(8742/(D1480+459.6))+15.64),EXP(INDEX(Antoines,MATCH(D1472,Antoine_Name,0),2)-INDEX(Antoines,MATCH(D1472,Antoine_Name,0),3)/(D1480+459.6))))),0)</f>
        <v>0</v>
      </c>
      <c r="E1493" cm="1">
        <f t="array" ref="E1493">IFERROR(IF(E1473="Chemical",(10^(INDEX(Antoines,MATCH(E1472,Antoine_Name,0),2)-INDEX(Antoines,MATCH(E1472,Antoine_Name,0),3)/(INDEX(Antoines,MATCH(E1472,Antoine_Name,0),4)+(E1480-32)*5/9)))*14.7/760,IF(E1473="Crude Oil",EXP((2799/(E1480+459.6)-2.227)*LOG10(INDEX(FX_Input,R$5,E$3*$Z$5+$AA$5))-(7261/(E1480+459.6))+12.82),IF(E1473="Refined Petroleum Stock",EXP((0.7553-(413/(E1480+459.6)))*(INDEX(FX_Input,R$5,E$3*$Z$5+$AA$5-1)^0.5)*LOG10(INDEX(FX_Input,R$5,E$3*$Z$5+$AA$5))-(1.854-(1042/(E1480+459.6)))*(INDEX(FX_Input,R$5,E$3*$Z$5+$AA$5-1)^0.5)+((2416/(E1480+459.6)-2.013)*LOG10(INDEX(FX_Input,R$5,E$3*$Z$5+$AA$5)))-(8742/(E1480+459.6))+15.64),EXP(INDEX(Antoines,MATCH(E1472,Antoine_Name,0),2)-INDEX(Antoines,MATCH(E1472,Antoine_Name,0),3)/(E1480+459.6))))),0)</f>
        <v>0</v>
      </c>
      <c r="F1493" cm="1">
        <f t="array" ref="F1493">IFERROR(IF(F1473="Chemical",(10^(INDEX(Antoines,MATCH(F1472,Antoine_Name,0),2)-INDEX(Antoines,MATCH(F1472,Antoine_Name,0),3)/(INDEX(Antoines,MATCH(F1472,Antoine_Name,0),4)+(F1480-32)*5/9)))*14.7/760,IF(F1473="Crude Oil",EXP((2799/(F1480+459.6)-2.227)*LOG10(INDEX(FX_Input,S$5,F$3*$Z$5+$AA$5))-(7261/(F1480+459.6))+12.82),IF(F1473="Refined Petroleum Stock",EXP((0.7553-(413/(F1480+459.6)))*(INDEX(FX_Input,S$5,F$3*$Z$5+$AA$5-1)^0.5)*LOG10(INDEX(FX_Input,S$5,F$3*$Z$5+$AA$5))-(1.854-(1042/(F1480+459.6)))*(INDEX(FX_Input,S$5,F$3*$Z$5+$AA$5-1)^0.5)+((2416/(F1480+459.6)-2.013)*LOG10(INDEX(FX_Input,S$5,F$3*$Z$5+$AA$5)))-(8742/(F1480+459.6))+15.64),EXP(INDEX(Antoines,MATCH(F1472,Antoine_Name,0),2)-INDEX(Antoines,MATCH(F1472,Antoine_Name,0),3)/(F1480+459.6))))),0)</f>
        <v>0</v>
      </c>
      <c r="G1493" cm="1">
        <f t="array" ref="G1493">IFERROR(IF(G1473="Chemical",(10^(INDEX(Antoines,MATCH(G1472,Antoine_Name,0),2)-INDEX(Antoines,MATCH(G1472,Antoine_Name,0),3)/(INDEX(Antoines,MATCH(G1472,Antoine_Name,0),4)+(G1480-32)*5/9)))*14.7/760,IF(G1473="Crude Oil",EXP((2799/(G1480+459.6)-2.227)*LOG10(INDEX(FX_Input,T$5,G$3*$Z$5+$AA$5))-(7261/(G1480+459.6))+12.82),IF(G1473="Refined Petroleum Stock",EXP((0.7553-(413/(G1480+459.6)))*(INDEX(FX_Input,T$5,G$3*$Z$5+$AA$5-1)^0.5)*LOG10(INDEX(FX_Input,T$5,G$3*$Z$5+$AA$5))-(1.854-(1042/(G1480+459.6)))*(INDEX(FX_Input,T$5,G$3*$Z$5+$AA$5-1)^0.5)+((2416/(G1480+459.6)-2.013)*LOG10(INDEX(FX_Input,T$5,G$3*$Z$5+$AA$5)))-(8742/(G1480+459.6))+15.64),EXP(INDEX(Antoines,MATCH(G1472,Antoine_Name,0),2)-INDEX(Antoines,MATCH(G1472,Antoine_Name,0),3)/(G1480+459.6))))),0)</f>
        <v>0</v>
      </c>
      <c r="H1493" cm="1">
        <f t="array" ref="H1493">IFERROR(IF(H1473="Chemical",(10^(INDEX(Antoines,MATCH(H1472,Antoine_Name,0),2)-INDEX(Antoines,MATCH(H1472,Antoine_Name,0),3)/(INDEX(Antoines,MATCH(H1472,Antoine_Name,0),4)+(H1480-32)*5/9)))*14.7/760,IF(H1473="Crude Oil",EXP((2799/(H1480+459.6)-2.227)*LOG10(INDEX(FX_Input,U$5,H$3*$Z$5+$AA$5))-(7261/(H1480+459.6))+12.82),IF(H1473="Refined Petroleum Stock",EXP((0.7553-(413/(H1480+459.6)))*(INDEX(FX_Input,U$5,H$3*$Z$5+$AA$5-1)^0.5)*LOG10(INDEX(FX_Input,U$5,H$3*$Z$5+$AA$5))-(1.854-(1042/(H1480+459.6)))*(INDEX(FX_Input,U$5,H$3*$Z$5+$AA$5-1)^0.5)+((2416/(H1480+459.6)-2.013)*LOG10(INDEX(FX_Input,U$5,H$3*$Z$5+$AA$5)))-(8742/(H1480+459.6))+15.64),EXP(INDEX(Antoines,MATCH(H1472,Antoine_Name,0),2)-INDEX(Antoines,MATCH(H1472,Antoine_Name,0),3)/(H1480+459.6))))),0)</f>
        <v>0</v>
      </c>
      <c r="I1493" cm="1">
        <f t="array" ref="I1493">IFERROR(IF(I1473="Chemical",(10^(INDEX(Antoines,MATCH(I1472,Antoine_Name,0),2)-INDEX(Antoines,MATCH(I1472,Antoine_Name,0),3)/(INDEX(Antoines,MATCH(I1472,Antoine_Name,0),4)+(I1480-32)*5/9)))*14.7/760,IF(I1473="Crude Oil",EXP((2799/(I1480+459.6)-2.227)*LOG10(INDEX(FX_Input,V$5,I$3*$Z$5+$AA$5))-(7261/(I1480+459.6))+12.82),IF(I1473="Refined Petroleum Stock",EXP((0.7553-(413/(I1480+459.6)))*(INDEX(FX_Input,V$5,I$3*$Z$5+$AA$5-1)^0.5)*LOG10(INDEX(FX_Input,V$5,I$3*$Z$5+$AA$5))-(1.854-(1042/(I1480+459.6)))*(INDEX(FX_Input,V$5,I$3*$Z$5+$AA$5-1)^0.5)+((2416/(I1480+459.6)-2.013)*LOG10(INDEX(FX_Input,V$5,I$3*$Z$5+$AA$5)))-(8742/(I1480+459.6))+15.64),EXP(INDEX(Antoines,MATCH(I1472,Antoine_Name,0),2)-INDEX(Antoines,MATCH(I1472,Antoine_Name,0),3)/(I1480+459.6))))),0)</f>
        <v>0</v>
      </c>
      <c r="J1493" cm="1">
        <f t="array" ref="J1493">IFERROR(IF(J1473="Chemical",(10^(INDEX(Antoines,MATCH(J1472,Antoine_Name,0),2)-INDEX(Antoines,MATCH(J1472,Antoine_Name,0),3)/(INDEX(Antoines,MATCH(J1472,Antoine_Name,0),4)+(J1480-32)*5/9)))*14.7/760,IF(J1473="Crude Oil",EXP((2799/(J1480+459.6)-2.227)*LOG10(INDEX(FX_Input,W$5,J$3*$Z$5+$AA$5))-(7261/(J1480+459.6))+12.82),IF(J1473="Refined Petroleum Stock",EXP((0.7553-(413/(J1480+459.6)))*(INDEX(FX_Input,W$5,J$3*$Z$5+$AA$5-1)^0.5)*LOG10(INDEX(FX_Input,W$5,J$3*$Z$5+$AA$5))-(1.854-(1042/(J1480+459.6)))*(INDEX(FX_Input,W$5,J$3*$Z$5+$AA$5-1)^0.5)+((2416/(J1480+459.6)-2.013)*LOG10(INDEX(FX_Input,W$5,J$3*$Z$5+$AA$5)))-(8742/(J1480+459.6))+15.64),EXP(INDEX(Antoines,MATCH(J1472,Antoine_Name,0),2)-INDEX(Antoines,MATCH(J1472,Antoine_Name,0),3)/(J1480+459.6))))),0)</f>
        <v>0</v>
      </c>
      <c r="K1493" cm="1">
        <f t="array" ref="K1493">IFERROR(IF(K1473="Chemical",(10^(INDEX(Antoines,MATCH(K1472,Antoine_Name,0),2)-INDEX(Antoines,MATCH(K1472,Antoine_Name,0),3)/(INDEX(Antoines,MATCH(K1472,Antoine_Name,0),4)+(K1480-32)*5/9)))*14.7/760,IF(K1473="Crude Oil",EXP((2799/(K1480+459.6)-2.227)*LOG10(INDEX(FX_Input,X$5,K$3*$Z$5+$AA$5))-(7261/(K1480+459.6))+12.82),IF(K1473="Refined Petroleum Stock",EXP((0.7553-(413/(K1480+459.6)))*(INDEX(FX_Input,X$5,K$3*$Z$5+$AA$5-1)^0.5)*LOG10(INDEX(FX_Input,X$5,K$3*$Z$5+$AA$5))-(1.854-(1042/(K1480+459.6)))*(INDEX(FX_Input,X$5,K$3*$Z$5+$AA$5-1)^0.5)+((2416/(K1480+459.6)-2.013)*LOG10(INDEX(FX_Input,X$5,K$3*$Z$5+$AA$5)))-(8742/(K1480+459.6))+15.64),EXP(INDEX(Antoines,MATCH(K1472,Antoine_Name,0),2)-INDEX(Antoines,MATCH(K1472,Antoine_Name,0),3)/(K1480+459.6))))),0)</f>
        <v>0</v>
      </c>
      <c r="L1493" cm="1">
        <f t="array" ref="L1493">IFERROR(IF(L1473="Chemical",(10^(INDEX(Antoines,MATCH(L1472,Antoine_Name,0),2)-INDEX(Antoines,MATCH(L1472,Antoine_Name,0),3)/(INDEX(Antoines,MATCH(L1472,Antoine_Name,0),4)+(L1480-32)*5/9)))*14.7/760,IF(L1473="Crude Oil",EXP((2799/(L1480+459.6)-2.227)*LOG10(INDEX(FX_Input,Y$5,L$3*$Z$5+$AA$5))-(7261/(L1480+459.6))+12.82),IF(L1473="Refined Petroleum Stock",EXP((0.7553-(413/(L1480+459.6)))*(INDEX(FX_Input,Y$5,L$3*$Z$5+$AA$5-1)^0.5)*LOG10(INDEX(FX_Input,Y$5,L$3*$Z$5+$AA$5))-(1.854-(1042/(L1480+459.6)))*(INDEX(FX_Input,Y$5,L$3*$Z$5+$AA$5-1)^0.5)+((2416/(L1480+459.6)-2.013)*LOG10(INDEX(FX_Input,Y$5,L$3*$Z$5+$AA$5)))-(8742/(L1480+459.6))+15.64),EXP(INDEX(Antoines,MATCH(L1472,Antoine_Name,0),2)-INDEX(Antoines,MATCH(L1472,Antoine_Name,0),3)/(L1480+459.6))))),0)</f>
        <v>0</v>
      </c>
      <c r="M1493" cm="1">
        <f t="array" ref="M1493">IFERROR(IF(M1473="Chemical",(10^(INDEX(Antoines,MATCH(M1472,Antoine_Name,0),2)-INDEX(Antoines,MATCH(M1472,Antoine_Name,0),3)/(INDEX(Antoines,MATCH(M1472,Antoine_Name,0),4)+(M1480-32)*5/9)))*14.7/760,IF(M1473="Crude Oil",EXP((2799/(M1480+459.6)-2.227)*LOG10(INDEX(FX_Input,Z$5,M$3*$Z$5+$AA$5))-(7261/(M1480+459.6))+12.82),IF(M1473="Refined Petroleum Stock",EXP((0.7553-(413/(M1480+459.6)))*(INDEX(FX_Input,Z$5,M$3*$Z$5+$AA$5-1)^0.5)*LOG10(INDEX(FX_Input,Z$5,M$3*$Z$5+$AA$5))-(1.854-(1042/(M1480+459.6)))*(INDEX(FX_Input,Z$5,M$3*$Z$5+$AA$5-1)^0.5)+((2416/(M1480+459.6)-2.013)*LOG10(INDEX(FX_Input,Z$5,M$3*$Z$5+$AA$5)))-(8742/(M1480+459.6))+15.64),EXP(INDEX(Antoines,MATCH(M1472,Antoine_Name,0),2)-INDEX(Antoines,MATCH(M1472,Antoine_Name,0),3)/(M1480+459.6))))),0)</f>
        <v>0</v>
      </c>
      <c r="N1493" cm="1">
        <f t="array" ref="N1493">IFERROR(IF(N1473="Chemical",(10^(INDEX(Antoines,MATCH(N1472,Antoine_Name,0),2)-INDEX(Antoines,MATCH(N1472,Antoine_Name,0),3)/(INDEX(Antoines,MATCH(N1472,Antoine_Name,0),4)+(N1480-32)*5/9)))*14.7/760,IF(N1473="Crude Oil",EXP((2799/(N1480+459.6)-2.227)*LOG10(INDEX(FX_Input,AA$5,N$3*$Z$5+$AA$5))-(7261/(N1480+459.6))+12.82),IF(N1473="Refined Petroleum Stock",EXP((0.7553-(413/(N1480+459.6)))*(INDEX(FX_Input,AA$5,N$3*$Z$5+$AA$5-1)^0.5)*LOG10(INDEX(FX_Input,AA$5,N$3*$Z$5+$AA$5))-(1.854-(1042/(N1480+459.6)))*(INDEX(FX_Input,AA$5,N$3*$Z$5+$AA$5-1)^0.5)+((2416/(N1480+459.6)-2.013)*LOG10(INDEX(FX_Input,AA$5,N$3*$Z$5+$AA$5)))-(8742/(N1480+459.6))+15.64),EXP(INDEX(Antoines,MATCH(N1472,Antoine_Name,0),2)-INDEX(Antoines,MATCH(N1472,Antoine_Name,0),3)/(N1480+459.6))))),0)</f>
        <v>0</v>
      </c>
      <c r="O1493" cm="1">
        <f t="array" ref="O1493">IFERROR(IF(O1473="Chemical",(10^(INDEX(Antoines,MATCH(O1472,Antoine_Name,0),2)-INDEX(Antoines,MATCH(O1472,Antoine_Name,0),3)/(INDEX(Antoines,MATCH(O1472,Antoine_Name,0),4)+(O1480-32)*5/9)))*14.7/760,IF(O1473="Crude Oil",EXP((2799/(O1480+459.6)-2.227)*LOG10(INDEX(FX_Input,AB$5,O$3*$Z$5+$AA$5))-(7261/(O1480+459.6))+12.82),IF(O1473="Refined Petroleum Stock",EXP((0.7553-(413/(O1480+459.6)))*(INDEX(FX_Input,AB$5,O$3*$Z$5+$AA$5-1)^0.5)*LOG10(INDEX(FX_Input,AB$5,O$3*$Z$5+$AA$5))-(1.854-(1042/(O1480+459.6)))*(INDEX(FX_Input,AB$5,O$3*$Z$5+$AA$5-1)^0.5)+((2416/(O1480+459.6)-2.013)*LOG10(INDEX(FX_Input,AB$5,O$3*$Z$5+$AA$5)))-(8742/(O1480+459.6))+15.64),EXP(INDEX(Antoines,MATCH(O1472,Antoine_Name,0),2)-INDEX(Antoines,MATCH(O1472,Antoine_Name,0),3)/(O1480+459.6))))),0)</f>
        <v>0</v>
      </c>
    </row>
    <row r="1494" spans="1:32" ht="17.149999999999999" x14ac:dyDescent="0.55000000000000004">
      <c r="B1494" t="str">
        <f t="shared" si="5396"/>
        <v>Portland</v>
      </c>
      <c r="C1494" t="s">
        <v>1391</v>
      </c>
      <c r="D1494">
        <f>D1493*D1476</f>
        <v>0</v>
      </c>
      <c r="E1494">
        <f t="shared" ref="E1494" si="5474">E1493*E1476</f>
        <v>0</v>
      </c>
      <c r="F1494">
        <f t="shared" ref="F1494" si="5475">F1493*F1476</f>
        <v>0</v>
      </c>
      <c r="G1494">
        <f t="shared" ref="G1494" si="5476">G1493*G1476</f>
        <v>0</v>
      </c>
      <c r="H1494">
        <f t="shared" ref="H1494" si="5477">H1493*H1476</f>
        <v>0</v>
      </c>
      <c r="I1494">
        <f t="shared" ref="I1494" si="5478">I1493*I1476</f>
        <v>0</v>
      </c>
      <c r="J1494">
        <f t="shared" ref="J1494" si="5479">J1493*J1476</f>
        <v>0</v>
      </c>
      <c r="K1494">
        <f t="shared" ref="K1494" si="5480">K1493*K1476</f>
        <v>0</v>
      </c>
      <c r="L1494">
        <f t="shared" ref="L1494" si="5481">L1493*L1476</f>
        <v>0</v>
      </c>
      <c r="M1494">
        <f t="shared" ref="M1494" si="5482">M1493*M1476</f>
        <v>0</v>
      </c>
      <c r="N1494">
        <f t="shared" ref="N1494" si="5483">N1493*N1476</f>
        <v>0</v>
      </c>
      <c r="O1494">
        <f t="shared" ref="O1494" si="5484">O1493*O1476</f>
        <v>0</v>
      </c>
    </row>
    <row r="1495" spans="1:32" ht="17.149999999999999" x14ac:dyDescent="0.55000000000000004">
      <c r="B1495" t="str">
        <f t="shared" si="5396"/>
        <v>Portland</v>
      </c>
      <c r="C1495" t="s">
        <v>1392</v>
      </c>
      <c r="D1495">
        <f>D1492+D1494</f>
        <v>4.739577185808354E-3</v>
      </c>
      <c r="E1495">
        <f t="shared" ref="E1495" si="5485">E1492+E1494</f>
        <v>4.8748667780818778E-3</v>
      </c>
      <c r="F1495">
        <f t="shared" ref="F1495" si="5486">F1492+F1494</f>
        <v>5.119885034186122E-3</v>
      </c>
      <c r="G1495">
        <f t="shared" ref="G1495" si="5487">G1492+G1494</f>
        <v>5.5846958573521795E-3</v>
      </c>
      <c r="H1495">
        <f t="shared" ref="H1495" si="5488">H1492+H1494</f>
        <v>6.5274070972739821E-3</v>
      </c>
      <c r="I1495">
        <f t="shared" ref="I1495" si="5489">I1492+I1494</f>
        <v>7.4199539958878279E-3</v>
      </c>
      <c r="J1495">
        <f t="shared" ref="J1495" si="5490">J1492+J1494</f>
        <v>8.3358107202842254E-3</v>
      </c>
      <c r="K1495">
        <f t="shared" ref="K1495" si="5491">K1492+K1494</f>
        <v>8.4605262729351115E-3</v>
      </c>
      <c r="L1495">
        <f t="shared" ref="L1495" si="5492">L1492+L1494</f>
        <v>7.8399882233967533E-3</v>
      </c>
      <c r="M1495">
        <f t="shared" ref="M1495" si="5493">M1492+M1494</f>
        <v>6.4173462075160911E-3</v>
      </c>
      <c r="N1495">
        <f t="shared" ref="N1495" si="5494">N1492+N1494</f>
        <v>5.3015226887581056E-3</v>
      </c>
      <c r="O1495">
        <f t="shared" ref="O1495" si="5495">O1492+O1494</f>
        <v>4.68970903600947E-3</v>
      </c>
    </row>
    <row r="1496" spans="1:32" ht="17.149999999999999" x14ac:dyDescent="0.55000000000000004">
      <c r="B1496" t="str">
        <f>B1490</f>
        <v>Portland</v>
      </c>
      <c r="C1496" t="s">
        <v>584</v>
      </c>
      <c r="D1496">
        <f>D1492/D1495</f>
        <v>1</v>
      </c>
      <c r="E1496">
        <f t="shared" ref="E1496" si="5496">E1492/E1495</f>
        <v>1</v>
      </c>
      <c r="F1496">
        <f t="shared" ref="F1496" si="5497">F1492/F1495</f>
        <v>1</v>
      </c>
      <c r="G1496">
        <f t="shared" ref="G1496" si="5498">G1492/G1495</f>
        <v>1</v>
      </c>
      <c r="H1496">
        <f t="shared" ref="H1496" si="5499">H1492/H1495</f>
        <v>1</v>
      </c>
      <c r="I1496">
        <f t="shared" ref="I1496" si="5500">I1492/I1495</f>
        <v>1</v>
      </c>
      <c r="J1496">
        <f t="shared" ref="J1496" si="5501">J1492/J1495</f>
        <v>1</v>
      </c>
      <c r="K1496">
        <f t="shared" ref="K1496" si="5502">K1492/K1495</f>
        <v>1</v>
      </c>
      <c r="L1496">
        <f t="shared" ref="L1496" si="5503">L1492/L1495</f>
        <v>1</v>
      </c>
      <c r="M1496">
        <f t="shared" ref="M1496" si="5504">M1492/M1495</f>
        <v>1</v>
      </c>
      <c r="N1496">
        <f t="shared" ref="N1496" si="5505">N1492/N1495</f>
        <v>1</v>
      </c>
      <c r="O1496">
        <f t="shared" ref="O1496" si="5506">O1492/O1495</f>
        <v>1</v>
      </c>
    </row>
    <row r="1497" spans="1:32" ht="17.149999999999999" x14ac:dyDescent="0.55000000000000004">
      <c r="B1497" t="str">
        <f>B1491</f>
        <v>Portland</v>
      </c>
      <c r="C1497" t="s">
        <v>585</v>
      </c>
      <c r="D1497">
        <f t="shared" ref="D1497:O1497" si="5507">INDEX(Phys_Prop,MATCH(D1470,Chem_List,0),3)</f>
        <v>130</v>
      </c>
      <c r="E1497">
        <f t="shared" si="5507"/>
        <v>130</v>
      </c>
      <c r="F1497">
        <f t="shared" si="5507"/>
        <v>130</v>
      </c>
      <c r="G1497">
        <f t="shared" si="5507"/>
        <v>130</v>
      </c>
      <c r="H1497">
        <f t="shared" si="5507"/>
        <v>130</v>
      </c>
      <c r="I1497">
        <f t="shared" si="5507"/>
        <v>130</v>
      </c>
      <c r="J1497">
        <f t="shared" si="5507"/>
        <v>130</v>
      </c>
      <c r="K1497">
        <f t="shared" si="5507"/>
        <v>130</v>
      </c>
      <c r="L1497">
        <f t="shared" si="5507"/>
        <v>130</v>
      </c>
      <c r="M1497">
        <f t="shared" si="5507"/>
        <v>130</v>
      </c>
      <c r="N1497">
        <f t="shared" si="5507"/>
        <v>130</v>
      </c>
      <c r="O1497">
        <f t="shared" si="5507"/>
        <v>130</v>
      </c>
    </row>
    <row r="1498" spans="1:32" ht="17.149999999999999" x14ac:dyDescent="0.55000000000000004">
      <c r="B1498" t="str">
        <f>B1497</f>
        <v>Portland</v>
      </c>
      <c r="C1498" t="s">
        <v>586</v>
      </c>
      <c r="D1498">
        <f>D1494/D1495</f>
        <v>0</v>
      </c>
      <c r="E1498">
        <f t="shared" ref="E1498:O1498" si="5508">E1494/E1495</f>
        <v>0</v>
      </c>
      <c r="F1498">
        <f t="shared" si="5508"/>
        <v>0</v>
      </c>
      <c r="G1498">
        <f t="shared" si="5508"/>
        <v>0</v>
      </c>
      <c r="H1498">
        <f t="shared" si="5508"/>
        <v>0</v>
      </c>
      <c r="I1498">
        <f t="shared" si="5508"/>
        <v>0</v>
      </c>
      <c r="J1498">
        <f t="shared" si="5508"/>
        <v>0</v>
      </c>
      <c r="K1498">
        <f t="shared" si="5508"/>
        <v>0</v>
      </c>
      <c r="L1498">
        <f t="shared" si="5508"/>
        <v>0</v>
      </c>
      <c r="M1498">
        <f t="shared" si="5508"/>
        <v>0</v>
      </c>
      <c r="N1498">
        <f t="shared" si="5508"/>
        <v>0</v>
      </c>
      <c r="O1498">
        <f t="shared" si="5508"/>
        <v>0</v>
      </c>
    </row>
    <row r="1499" spans="1:32" ht="17.149999999999999" x14ac:dyDescent="0.55000000000000004">
      <c r="B1499" t="str">
        <f t="shared" si="5396"/>
        <v>Portland</v>
      </c>
      <c r="C1499" t="s">
        <v>587</v>
      </c>
      <c r="D1499">
        <f t="shared" ref="D1499:O1499" si="5509">IFERROR(INDEX(Phys_Prop,MATCH(D1472,Chem_List,0),3),0)</f>
        <v>0</v>
      </c>
      <c r="E1499">
        <f t="shared" si="5509"/>
        <v>0</v>
      </c>
      <c r="F1499">
        <f t="shared" si="5509"/>
        <v>0</v>
      </c>
      <c r="G1499">
        <f t="shared" si="5509"/>
        <v>0</v>
      </c>
      <c r="H1499">
        <f t="shared" si="5509"/>
        <v>0</v>
      </c>
      <c r="I1499">
        <f t="shared" si="5509"/>
        <v>0</v>
      </c>
      <c r="J1499">
        <f t="shared" si="5509"/>
        <v>0</v>
      </c>
      <c r="K1499">
        <f t="shared" si="5509"/>
        <v>0</v>
      </c>
      <c r="L1499">
        <f t="shared" si="5509"/>
        <v>0</v>
      </c>
      <c r="M1499">
        <f t="shared" si="5509"/>
        <v>0</v>
      </c>
      <c r="N1499">
        <f t="shared" si="5509"/>
        <v>0</v>
      </c>
      <c r="O1499">
        <f t="shared" si="5509"/>
        <v>0</v>
      </c>
    </row>
    <row r="1500" spans="1:32" ht="17.149999999999999" x14ac:dyDescent="0.55000000000000004">
      <c r="A1500" s="11"/>
      <c r="B1500" s="11" t="str">
        <f t="shared" si="5396"/>
        <v>Portland</v>
      </c>
      <c r="C1500" s="11" t="s">
        <v>588</v>
      </c>
      <c r="D1500" s="11">
        <f>IFERROR(D1496*D1497+D1498*D1499,0)</f>
        <v>130</v>
      </c>
      <c r="E1500" s="11">
        <f t="shared" ref="E1500" si="5510">IFERROR(E1496*E1497+E1498*E1499,0)</f>
        <v>130</v>
      </c>
      <c r="F1500" s="11">
        <f t="shared" ref="F1500" si="5511">IFERROR(F1496*F1497+F1498*F1499,0)</f>
        <v>130</v>
      </c>
      <c r="G1500" s="11">
        <f t="shared" ref="G1500" si="5512">IFERROR(G1496*G1497+G1498*G1499,0)</f>
        <v>130</v>
      </c>
      <c r="H1500" s="11">
        <f t="shared" ref="H1500" si="5513">IFERROR(H1496*H1497+H1498*H1499,0)</f>
        <v>130</v>
      </c>
      <c r="I1500" s="11">
        <f t="shared" ref="I1500" si="5514">IFERROR(I1496*I1497+I1498*I1499,0)</f>
        <v>130</v>
      </c>
      <c r="J1500" s="11">
        <f t="shared" ref="J1500" si="5515">IFERROR(J1496*J1497+J1498*J1499,0)</f>
        <v>130</v>
      </c>
      <c r="K1500" s="11">
        <f t="shared" ref="K1500" si="5516">IFERROR(K1496*K1497+K1498*K1499,0)</f>
        <v>130</v>
      </c>
      <c r="L1500" s="11">
        <f t="shared" ref="L1500" si="5517">IFERROR(L1496*L1497+L1498*L1499,0)</f>
        <v>130</v>
      </c>
      <c r="M1500" s="11">
        <f t="shared" ref="M1500" si="5518">IFERROR(M1496*M1497+M1498*M1499,0)</f>
        <v>130</v>
      </c>
      <c r="N1500" s="11">
        <f t="shared" ref="N1500" si="5519">IFERROR(N1496*N1497+N1498*N1499,0)</f>
        <v>130</v>
      </c>
      <c r="O1500" s="11">
        <f t="shared" ref="O1500" si="5520">IFERROR(O1496*O1497+O1498*O1499,0)</f>
        <v>130</v>
      </c>
      <c r="P1500" s="11"/>
      <c r="Q1500" s="11"/>
      <c r="R1500" s="11"/>
      <c r="S1500" s="11"/>
      <c r="T1500" s="11"/>
      <c r="U1500" s="11"/>
      <c r="V1500" s="11"/>
      <c r="W1500" s="11"/>
      <c r="X1500" s="11"/>
      <c r="Y1500" s="11"/>
      <c r="Z1500" s="11"/>
      <c r="AA1500" s="11"/>
      <c r="AB1500" s="11"/>
      <c r="AC1500" s="11"/>
      <c r="AD1500" s="11"/>
      <c r="AE1500" s="11"/>
      <c r="AF1500" s="11"/>
    </row>
    <row r="1501" spans="1:32" ht="17.149999999999999" x14ac:dyDescent="0.55000000000000004">
      <c r="A1501" t="str" cm="1">
        <f t="array" ref="A1501">INDEX(FX_Input,$Q1501,R$5)</f>
        <v>FX - 45</v>
      </c>
      <c r="B1501" t="str" cm="1">
        <f t="array" ref="B1501">INDEX(FX_Input,Q1501,S1501)</f>
        <v>Portland</v>
      </c>
      <c r="C1501" t="s">
        <v>563</v>
      </c>
      <c r="D1501">
        <v>14.7</v>
      </c>
      <c r="E1501">
        <v>14.7</v>
      </c>
      <c r="F1501">
        <v>14.7</v>
      </c>
      <c r="G1501">
        <v>14.7</v>
      </c>
      <c r="H1501">
        <v>14.7</v>
      </c>
      <c r="I1501">
        <v>14.7</v>
      </c>
      <c r="J1501">
        <v>14.7</v>
      </c>
      <c r="K1501">
        <v>14.7</v>
      </c>
      <c r="L1501">
        <v>14.7</v>
      </c>
      <c r="M1501">
        <v>14.7</v>
      </c>
      <c r="N1501">
        <v>14.7</v>
      </c>
      <c r="O1501">
        <v>14.7</v>
      </c>
      <c r="Q1501">
        <f>Q1467+2</f>
        <v>89</v>
      </c>
      <c r="R1501">
        <v>1</v>
      </c>
      <c r="S1501">
        <v>3</v>
      </c>
      <c r="T1501">
        <v>1</v>
      </c>
      <c r="U1501">
        <v>19</v>
      </c>
      <c r="V1501">
        <v>20</v>
      </c>
      <c r="W1501">
        <v>25</v>
      </c>
      <c r="X1501">
        <v>1</v>
      </c>
      <c r="Y1501">
        <v>2</v>
      </c>
      <c r="Z1501">
        <f>(W1501-V1501)/(Y1501-X1501)</f>
        <v>5</v>
      </c>
      <c r="AA1501">
        <f>V1501-Z1501*X1501</f>
        <v>15</v>
      </c>
      <c r="AD1501">
        <f>AD1467+14</f>
        <v>617</v>
      </c>
      <c r="AF1501">
        <f>AF1467+14</f>
        <v>617</v>
      </c>
    </row>
    <row r="1502" spans="1:32" ht="17.149999999999999" x14ac:dyDescent="0.55000000000000004">
      <c r="B1502" t="str">
        <f t="shared" ref="B1502" si="5521">B1501</f>
        <v>Portland</v>
      </c>
      <c r="C1502" t="s">
        <v>564</v>
      </c>
      <c r="D1502" cm="1">
        <f t="array" ref="D1502">IF(ISBLANK(INDEX(FX_Input,$Q1501,$AB1502)),0.03,INDEX(FX_Input,Q1501,AB1502))</f>
        <v>0.03</v>
      </c>
      <c r="E1502" cm="1">
        <f t="array" ref="E1502">IF(ISBLANK(INDEX(FX_Input,$Q1501,$AB1502)),0.03,INDEX(FX_Input,R1501,#REF!))</f>
        <v>0.03</v>
      </c>
      <c r="F1502" cm="1">
        <f t="array" ref="F1502">IF(ISBLANK(INDEX(FX_Input,$Q1501,$AB1502)),0.03,INDEX(FX_Input,S1501,#REF!))</f>
        <v>0.03</v>
      </c>
      <c r="G1502" cm="1">
        <f t="array" ref="G1502">IF(ISBLANK(INDEX(FX_Input,$Q1501,$AB1502)),0.03,INDEX(FX_Input,AB1501,#REF!))</f>
        <v>0.03</v>
      </c>
      <c r="H1502" cm="1">
        <f t="array" ref="H1502">IF(ISBLANK(INDEX(FX_Input,$Q1501,$AB1502)),0.03,INDEX(FX_Input,#REF!,#REF!))</f>
        <v>0.03</v>
      </c>
      <c r="I1502" cm="1">
        <f t="array" ref="I1502">IF(ISBLANK(INDEX(FX_Input,$Q1501,$AB1502)),0.03,INDEX(FX_Input,#REF!,#REF!))</f>
        <v>0.03</v>
      </c>
      <c r="J1502" cm="1">
        <f t="array" ref="J1502">IF(ISBLANK(INDEX(FX_Input,$Q1501,$AB1502)),0.03,INDEX(FX_Input,#REF!,#REF!))</f>
        <v>0.03</v>
      </c>
      <c r="K1502" cm="1">
        <f t="array" ref="K1502">IF(ISBLANK(INDEX(FX_Input,$Q1501,$AB1502)),0.03,INDEX(FX_Input,#REF!,AC1502))</f>
        <v>0.03</v>
      </c>
      <c r="L1502" cm="1">
        <f t="array" ref="L1502">IF(ISBLANK(INDEX(FX_Input,$Q1501,$AB1502)),0.03,INDEX(FX_Input,#REF!,AD1502))</f>
        <v>0.03</v>
      </c>
      <c r="M1502" cm="1">
        <f t="array" ref="M1502">IF(ISBLANK(INDEX(FX_Input,$Q1501,$AB1502)),0.03,INDEX(FX_Input,#REF!,#REF!))</f>
        <v>0.03</v>
      </c>
      <c r="N1502" cm="1">
        <f t="array" ref="N1502">IF(ISBLANK(INDEX(FX_Input,$Q1501,$AB1502)),0.03,INDEX(FX_Input,AC1501,#REF!))</f>
        <v>0.03</v>
      </c>
      <c r="O1502" cm="1">
        <f t="array" ref="O1502">IF(ISBLANK(INDEX(FX_Input,$Q1501,$AB1502)),0.03,INDEX(FX_Input,AD1501,#REF!))</f>
        <v>0.03</v>
      </c>
      <c r="AB1502">
        <v>15</v>
      </c>
    </row>
    <row r="1503" spans="1:32" ht="17.149999999999999" x14ac:dyDescent="0.55000000000000004">
      <c r="B1503" t="str">
        <f>B1502</f>
        <v>Portland</v>
      </c>
      <c r="C1503" t="s">
        <v>565</v>
      </c>
      <c r="D1503" cm="1">
        <f t="array" ref="D1503">IF(ISBLANK(INDEX(FX_Input,$Q1501,$AB1503)),-0.03,INDEX(FX_Input,$Q1501,$AB1503))</f>
        <v>-0.03</v>
      </c>
      <c r="E1503" cm="1">
        <f t="array" ref="E1503">IF(ISBLANK(INDEX(FX_Input,$Q1501,$AB1503)),-0.03,INDEX(FX_Input,R1501,#REF!))</f>
        <v>-0.03</v>
      </c>
      <c r="F1503" cm="1">
        <f t="array" ref="F1503">IF(ISBLANK(INDEX(FX_Input,$Q1501,$AB1503)),-0.03,INDEX(FX_Input,S1501,#REF!))</f>
        <v>-0.03</v>
      </c>
      <c r="G1503" cm="1">
        <f t="array" ref="G1503">IF(ISBLANK(INDEX(FX_Input,$Q1501,$AB1503)),-0.03,INDEX(FX_Input,AB1501,#REF!))</f>
        <v>-0.03</v>
      </c>
      <c r="H1503" cm="1">
        <f t="array" ref="H1503">IF(ISBLANK(INDEX(FX_Input,$Q1501,$AB1503)),-0.03,INDEX(FX_Input,#REF!,#REF!))</f>
        <v>-0.03</v>
      </c>
      <c r="I1503" cm="1">
        <f t="array" ref="I1503">IF(ISBLANK(INDEX(FX_Input,$Q1501,$AB1503)),-0.03,INDEX(FX_Input,#REF!,#REF!))</f>
        <v>-0.03</v>
      </c>
      <c r="J1503" cm="1">
        <f t="array" ref="J1503">IF(ISBLANK(INDEX(FX_Input,$Q1501,$AB1503)),-0.03,INDEX(FX_Input,#REF!,#REF!))</f>
        <v>-0.03</v>
      </c>
      <c r="K1503" cm="1">
        <f t="array" ref="K1503">IF(ISBLANK(INDEX(FX_Input,$Q1501,$AB1503)),-0.03,INDEX(FX_Input,#REF!,AC1503))</f>
        <v>-0.03</v>
      </c>
      <c r="L1503" cm="1">
        <f t="array" ref="L1503">IF(ISBLANK(INDEX(FX_Input,$Q1501,$AB1503)),-0.03,INDEX(FX_Input,#REF!,AD1503))</f>
        <v>-0.03</v>
      </c>
      <c r="M1503" cm="1">
        <f t="array" ref="M1503">IF(ISBLANK(INDEX(FX_Input,$Q1501,$AB1503)),-0.03,INDEX(FX_Input,#REF!,#REF!))</f>
        <v>-0.03</v>
      </c>
      <c r="N1503" cm="1">
        <f t="array" ref="N1503">IF(ISBLANK(INDEX(FX_Input,$Q1501,$AB1503)),-0.03,INDEX(FX_Input,AC1501,#REF!))</f>
        <v>-0.03</v>
      </c>
      <c r="O1503" cm="1">
        <f t="array" ref="O1503">IF(ISBLANK(INDEX(FX_Input,$Q1501,$AB1503)),-0.03,INDEX(FX_Input,AD1501,#REF!))</f>
        <v>-0.03</v>
      </c>
      <c r="AB1503">
        <v>16</v>
      </c>
    </row>
    <row r="1504" spans="1:32" x14ac:dyDescent="0.4">
      <c r="B1504" t="str">
        <f t="shared" ref="B1504:B1505" si="5522">B1503</f>
        <v>Portland</v>
      </c>
      <c r="C1504" s="66" t="s">
        <v>567</v>
      </c>
      <c r="D1504" t="str" cm="1">
        <f t="array" ref="D1504">INDEX(FX_Multi,$AD1504,D$3)</f>
        <v>Jet kerosene</v>
      </c>
      <c r="E1504" t="str" cm="1">
        <f t="array" ref="E1504">INDEX(FX_Multi,$AD1504,E$3)</f>
        <v>Jet kerosene</v>
      </c>
      <c r="F1504" t="str" cm="1">
        <f t="array" ref="F1504">INDEX(FX_Multi,$AD1504,F$3)</f>
        <v>Jet kerosene</v>
      </c>
      <c r="G1504" t="str" cm="1">
        <f t="array" ref="G1504">INDEX(FX_Multi,$AD1504,G$3)</f>
        <v>Jet kerosene</v>
      </c>
      <c r="H1504" t="str" cm="1">
        <f t="array" ref="H1504">INDEX(FX_Multi,$AD1504,H$3)</f>
        <v>Jet kerosene</v>
      </c>
      <c r="I1504" t="str" cm="1">
        <f t="array" ref="I1504">INDEX(FX_Multi,$AD1504,I$3)</f>
        <v>Jet kerosene</v>
      </c>
      <c r="J1504" t="str" cm="1">
        <f t="array" ref="J1504">INDEX(FX_Multi,$AD1504,J$3)</f>
        <v>Jet kerosene</v>
      </c>
      <c r="K1504" t="str" cm="1">
        <f t="array" ref="K1504">INDEX(FX_Multi,$AD1504,K$3)</f>
        <v>Jet kerosene</v>
      </c>
      <c r="L1504" t="str" cm="1">
        <f t="array" ref="L1504">INDEX(FX_Multi,$AD1504,L$3)</f>
        <v>Jet kerosene</v>
      </c>
      <c r="M1504" t="str" cm="1">
        <f t="array" ref="M1504">INDEX(FX_Multi,$AD1504,M$3)</f>
        <v>Jet kerosene</v>
      </c>
      <c r="N1504" t="str" cm="1">
        <f t="array" ref="N1504">INDEX(FX_Multi,$AD1504,N$3)</f>
        <v>Jet kerosene</v>
      </c>
      <c r="O1504" t="str" cm="1">
        <f t="array" ref="O1504">INDEX(FX_Multi,$AD1504,O$3)</f>
        <v>Jet kerosene</v>
      </c>
      <c r="AC1504">
        <v>1</v>
      </c>
      <c r="AD1504">
        <f>AD1501</f>
        <v>617</v>
      </c>
      <c r="AE1504">
        <v>1</v>
      </c>
      <c r="AF1504">
        <f>AF1501</f>
        <v>617</v>
      </c>
    </row>
    <row r="1505" spans="2:32" x14ac:dyDescent="0.4">
      <c r="B1505" t="str">
        <f t="shared" si="5522"/>
        <v>Portland</v>
      </c>
      <c r="C1505" s="66" t="s">
        <v>566</v>
      </c>
      <c r="D1505" t="str" cm="1">
        <f t="array" ref="D1505">INDEX(FX_Multi,$AD1505,D$3)</f>
        <v>Select Pet Stock</v>
      </c>
      <c r="E1505" t="str" cm="1">
        <f t="array" ref="E1505">INDEX(FX_Multi,$AD1505,E$3)</f>
        <v>Select Pet Stock</v>
      </c>
      <c r="F1505" t="str" cm="1">
        <f t="array" ref="F1505">INDEX(FX_Multi,$AD1505,F$3)</f>
        <v>Select Pet Stock</v>
      </c>
      <c r="G1505" t="str" cm="1">
        <f t="array" ref="G1505">INDEX(FX_Multi,$AD1505,G$3)</f>
        <v>Select Pet Stock</v>
      </c>
      <c r="H1505" t="str" cm="1">
        <f t="array" ref="H1505">INDEX(FX_Multi,$AD1505,H$3)</f>
        <v>Select Pet Stock</v>
      </c>
      <c r="I1505" t="str" cm="1">
        <f t="array" ref="I1505">INDEX(FX_Multi,$AD1505,I$3)</f>
        <v>Select Pet Stock</v>
      </c>
      <c r="J1505" t="str" cm="1">
        <f t="array" ref="J1505">INDEX(FX_Multi,$AD1505,J$3)</f>
        <v>Select Pet Stock</v>
      </c>
      <c r="K1505" t="str" cm="1">
        <f t="array" ref="K1505">INDEX(FX_Multi,$AD1505,K$3)</f>
        <v>Select Pet Stock</v>
      </c>
      <c r="L1505" t="str" cm="1">
        <f t="array" ref="L1505">INDEX(FX_Multi,$AD1505,L$3)</f>
        <v>Select Pet Stock</v>
      </c>
      <c r="M1505" t="str" cm="1">
        <f t="array" ref="M1505">INDEX(FX_Multi,$AD1505,M$3)</f>
        <v>Select Pet Stock</v>
      </c>
      <c r="N1505" t="str" cm="1">
        <f t="array" ref="N1505">INDEX(FX_Multi,$AD1505,N$3)</f>
        <v>Select Pet Stock</v>
      </c>
      <c r="O1505" t="str" cm="1">
        <f t="array" ref="O1505">INDEX(FX_Multi,$AD1505,O$3)</f>
        <v>Select Pet Stock</v>
      </c>
      <c r="AC1505">
        <v>1</v>
      </c>
      <c r="AD1505">
        <f>AD1504+2</f>
        <v>619</v>
      </c>
      <c r="AE1505">
        <v>1</v>
      </c>
      <c r="AF1505">
        <f>AF1504+3</f>
        <v>620</v>
      </c>
    </row>
    <row r="1506" spans="2:32" x14ac:dyDescent="0.4">
      <c r="B1506" t="str">
        <f>B1502</f>
        <v>Portland</v>
      </c>
      <c r="C1506" s="66" t="s">
        <v>568</v>
      </c>
      <c r="D1506" cm="1">
        <f t="array" ref="D1506">INDEX(FX_Multi,$AD1506,D$3)</f>
        <v>0</v>
      </c>
      <c r="E1506" cm="1">
        <f t="array" ref="E1506">INDEX(FX_Multi,$AD1506,E$3)</f>
        <v>0</v>
      </c>
      <c r="F1506" cm="1">
        <f t="array" ref="F1506">INDEX(FX_Multi,$AD1506,F$3)</f>
        <v>0</v>
      </c>
      <c r="G1506" cm="1">
        <f t="array" ref="G1506">INDEX(FX_Multi,$AD1506,G$3)</f>
        <v>0</v>
      </c>
      <c r="H1506" cm="1">
        <f t="array" ref="H1506">INDEX(FX_Multi,$AD1506,H$3)</f>
        <v>0</v>
      </c>
      <c r="I1506" cm="1">
        <f t="array" ref="I1506">INDEX(FX_Multi,$AD1506,I$3)</f>
        <v>0</v>
      </c>
      <c r="J1506" cm="1">
        <f t="array" ref="J1506">INDEX(FX_Multi,$AD1506,J$3)</f>
        <v>0</v>
      </c>
      <c r="K1506" cm="1">
        <f t="array" ref="K1506">INDEX(FX_Multi,$AD1506,K$3)</f>
        <v>0</v>
      </c>
      <c r="L1506" cm="1">
        <f t="array" ref="L1506">INDEX(FX_Multi,$AD1506,L$3)</f>
        <v>0</v>
      </c>
      <c r="M1506" cm="1">
        <f t="array" ref="M1506">INDEX(FX_Multi,$AD1506,M$3)</f>
        <v>0</v>
      </c>
      <c r="N1506" cm="1">
        <f t="array" ref="N1506">INDEX(FX_Multi,$AD1506,N$3)</f>
        <v>0</v>
      </c>
      <c r="O1506" cm="1">
        <f t="array" ref="O1506">INDEX(FX_Multi,$AD1506,O$3)</f>
        <v>0</v>
      </c>
      <c r="AC1506">
        <v>1</v>
      </c>
      <c r="AD1506">
        <f>AD1505-1</f>
        <v>618</v>
      </c>
      <c r="AE1506">
        <v>1</v>
      </c>
      <c r="AF1506">
        <f>AF1504+1</f>
        <v>618</v>
      </c>
    </row>
    <row r="1507" spans="2:32" x14ac:dyDescent="0.4">
      <c r="B1507" t="str">
        <f t="shared" ref="B1507:B1511" si="5523">B1506</f>
        <v>Portland</v>
      </c>
      <c r="C1507" s="66" t="s">
        <v>569</v>
      </c>
      <c r="D1507" cm="1">
        <f t="array" ref="D1507">INDEX(FX_Multi,$AD1507,D$3)</f>
        <v>0</v>
      </c>
      <c r="E1507" cm="1">
        <f t="array" ref="E1507">INDEX(FX_Multi,$AD1507,E$3)</f>
        <v>0</v>
      </c>
      <c r="F1507" cm="1">
        <f t="array" ref="F1507">INDEX(FX_Multi,$AD1507,F$3)</f>
        <v>0</v>
      </c>
      <c r="G1507" cm="1">
        <f t="array" ref="G1507">INDEX(FX_Multi,$AD1507,G$3)</f>
        <v>0</v>
      </c>
      <c r="H1507" cm="1">
        <f t="array" ref="H1507">INDEX(FX_Multi,$AD1507,H$3)</f>
        <v>0</v>
      </c>
      <c r="I1507" cm="1">
        <f t="array" ref="I1507">INDEX(FX_Multi,$AD1507,I$3)</f>
        <v>0</v>
      </c>
      <c r="J1507" cm="1">
        <f t="array" ref="J1507">INDEX(FX_Multi,$AD1507,J$3)</f>
        <v>0</v>
      </c>
      <c r="K1507" cm="1">
        <f t="array" ref="K1507">INDEX(FX_Multi,$AD1507,K$3)</f>
        <v>0</v>
      </c>
      <c r="L1507" cm="1">
        <f t="array" ref="L1507">INDEX(FX_Multi,$AD1507,L$3)</f>
        <v>0</v>
      </c>
      <c r="M1507" cm="1">
        <f t="array" ref="M1507">INDEX(FX_Multi,$AD1507,M$3)</f>
        <v>0</v>
      </c>
      <c r="N1507" cm="1">
        <f t="array" ref="N1507">INDEX(FX_Multi,$AD1507,N$3)</f>
        <v>0</v>
      </c>
      <c r="O1507" cm="1">
        <f t="array" ref="O1507">INDEX(FX_Multi,$AD1507,O$3)</f>
        <v>0</v>
      </c>
      <c r="AC1507">
        <v>1</v>
      </c>
      <c r="AD1507">
        <f>AD1506+2</f>
        <v>620</v>
      </c>
      <c r="AE1507">
        <v>1</v>
      </c>
      <c r="AF1507">
        <f>AF1505</f>
        <v>620</v>
      </c>
    </row>
    <row r="1508" spans="2:32" ht="17.149999999999999" x14ac:dyDescent="0.55000000000000004">
      <c r="B1508" t="str">
        <f t="shared" si="5523"/>
        <v>Portland</v>
      </c>
      <c r="C1508" t="s">
        <v>570</v>
      </c>
      <c r="D1508" cm="1">
        <f t="array" ref="D1508">INDEX(FX_Multi,$AD1508,D$3)</f>
        <v>1</v>
      </c>
      <c r="E1508" cm="1">
        <f t="array" ref="E1508">INDEX(FX_Multi,$AD1508,E$3)</f>
        <v>1</v>
      </c>
      <c r="F1508" cm="1">
        <f t="array" ref="F1508">INDEX(FX_Multi,$AD1508,F$3)</f>
        <v>1</v>
      </c>
      <c r="G1508" cm="1">
        <f t="array" ref="G1508">INDEX(FX_Multi,$AD1508,G$3)</f>
        <v>1</v>
      </c>
      <c r="H1508" cm="1">
        <f t="array" ref="H1508">INDEX(FX_Multi,$AD1508,H$3)</f>
        <v>1</v>
      </c>
      <c r="I1508" cm="1">
        <f t="array" ref="I1508">INDEX(FX_Multi,$AD1508,I$3)</f>
        <v>1</v>
      </c>
      <c r="J1508" cm="1">
        <f t="array" ref="J1508">INDEX(FX_Multi,$AD1508,J$3)</f>
        <v>1</v>
      </c>
      <c r="K1508" cm="1">
        <f t="array" ref="K1508">INDEX(FX_Multi,$AD1508,K$3)</f>
        <v>1</v>
      </c>
      <c r="L1508" cm="1">
        <f t="array" ref="L1508">INDEX(FX_Multi,$AD1508,L$3)</f>
        <v>1</v>
      </c>
      <c r="M1508" cm="1">
        <f t="array" ref="M1508">INDEX(FX_Multi,$AD1508,M$3)</f>
        <v>1</v>
      </c>
      <c r="N1508" cm="1">
        <f t="array" ref="N1508">INDEX(FX_Multi,$AD1508,N$3)</f>
        <v>1</v>
      </c>
      <c r="O1508" cm="1">
        <f t="array" ref="O1508">INDEX(FX_Multi,$AD1508,O$3)</f>
        <v>1</v>
      </c>
      <c r="AC1508">
        <v>1</v>
      </c>
      <c r="AD1508">
        <f>AD1507+6</f>
        <v>626</v>
      </c>
      <c r="AE1508">
        <v>1</v>
      </c>
      <c r="AF1508">
        <f>AF1504+9</f>
        <v>626</v>
      </c>
    </row>
    <row r="1509" spans="2:32" ht="17.149999999999999" x14ac:dyDescent="0.55000000000000004">
      <c r="B1509" t="str">
        <f t="shared" si="5523"/>
        <v>Portland</v>
      </c>
      <c r="C1509" t="s">
        <v>571</v>
      </c>
      <c r="D1509" cm="1">
        <f t="array" ref="D1509">INDEX(FX_Multi,$AD1509,D$3)</f>
        <v>162</v>
      </c>
      <c r="E1509" cm="1">
        <f t="array" ref="E1509">INDEX(FX_Multi,$AD1509,E$3)</f>
        <v>162</v>
      </c>
      <c r="F1509" cm="1">
        <f t="array" ref="F1509">INDEX(FX_Multi,$AD1509,F$3)</f>
        <v>162</v>
      </c>
      <c r="G1509" cm="1">
        <f t="array" ref="G1509">INDEX(FX_Multi,$AD1509,G$3)</f>
        <v>162</v>
      </c>
      <c r="H1509" cm="1">
        <f t="array" ref="H1509">INDEX(FX_Multi,$AD1509,H$3)</f>
        <v>162</v>
      </c>
      <c r="I1509" cm="1">
        <f t="array" ref="I1509">INDEX(FX_Multi,$AD1509,I$3)</f>
        <v>162</v>
      </c>
      <c r="J1509" cm="1">
        <f t="array" ref="J1509">INDEX(FX_Multi,$AD1509,J$3)</f>
        <v>162</v>
      </c>
      <c r="K1509" cm="1">
        <f t="array" ref="K1509">INDEX(FX_Multi,$AD1509,K$3)</f>
        <v>162</v>
      </c>
      <c r="L1509" cm="1">
        <f t="array" ref="L1509">INDEX(FX_Multi,$AD1509,L$3)</f>
        <v>162</v>
      </c>
      <c r="M1509" cm="1">
        <f t="array" ref="M1509">INDEX(FX_Multi,$AD1509,M$3)</f>
        <v>162</v>
      </c>
      <c r="N1509" cm="1">
        <f t="array" ref="N1509">INDEX(FX_Multi,$AD1509,N$3)</f>
        <v>162</v>
      </c>
      <c r="O1509" cm="1">
        <f t="array" ref="O1509">INDEX(FX_Multi,$AD1509,O$3)</f>
        <v>162</v>
      </c>
      <c r="AC1509">
        <v>1</v>
      </c>
      <c r="AD1509">
        <f>AD1508-3</f>
        <v>623</v>
      </c>
      <c r="AE1509">
        <v>1</v>
      </c>
      <c r="AF1509">
        <f>AF1504+6</f>
        <v>623</v>
      </c>
    </row>
    <row r="1510" spans="2:32" ht="17.149999999999999" x14ac:dyDescent="0.55000000000000004">
      <c r="B1510" t="str">
        <f t="shared" si="5523"/>
        <v>Portland</v>
      </c>
      <c r="C1510" t="s">
        <v>572</v>
      </c>
      <c r="D1510" cm="1">
        <f t="array" ref="D1510">INDEX(FX_Multi,$AD1510,D$3)</f>
        <v>0</v>
      </c>
      <c r="E1510" cm="1">
        <f t="array" ref="E1510">INDEX(FX_Multi,$AD1510,E$3)</f>
        <v>0</v>
      </c>
      <c r="F1510" cm="1">
        <f t="array" ref="F1510">INDEX(FX_Multi,$AD1510,F$3)</f>
        <v>0</v>
      </c>
      <c r="G1510" cm="1">
        <f t="array" ref="G1510">INDEX(FX_Multi,$AD1510,G$3)</f>
        <v>0</v>
      </c>
      <c r="H1510" cm="1">
        <f t="array" ref="H1510">INDEX(FX_Multi,$AD1510,H$3)</f>
        <v>0</v>
      </c>
      <c r="I1510" cm="1">
        <f t="array" ref="I1510">INDEX(FX_Multi,$AD1510,I$3)</f>
        <v>0</v>
      </c>
      <c r="J1510" cm="1">
        <f t="array" ref="J1510">INDEX(FX_Multi,$AD1510,J$3)</f>
        <v>0</v>
      </c>
      <c r="K1510" cm="1">
        <f t="array" ref="K1510">INDEX(FX_Multi,$AD1510,K$3)</f>
        <v>0</v>
      </c>
      <c r="L1510" cm="1">
        <f t="array" ref="L1510">INDEX(FX_Multi,$AD1510,L$3)</f>
        <v>0</v>
      </c>
      <c r="M1510" cm="1">
        <f t="array" ref="M1510">INDEX(FX_Multi,$AD1510,M$3)</f>
        <v>0</v>
      </c>
      <c r="N1510" cm="1">
        <f t="array" ref="N1510">INDEX(FX_Multi,$AD1510,N$3)</f>
        <v>0</v>
      </c>
      <c r="O1510" cm="1">
        <f t="array" ref="O1510">INDEX(FX_Multi,$AD1510,O$3)</f>
        <v>0</v>
      </c>
      <c r="AC1510">
        <v>1</v>
      </c>
      <c r="AD1510">
        <f>AD1509+4</f>
        <v>627</v>
      </c>
      <c r="AE1510">
        <v>1</v>
      </c>
      <c r="AF1510">
        <f>AF1504+10</f>
        <v>627</v>
      </c>
    </row>
    <row r="1511" spans="2:32" ht="17.149999999999999" x14ac:dyDescent="0.55000000000000004">
      <c r="B1511" t="str">
        <f t="shared" si="5523"/>
        <v>Portland</v>
      </c>
      <c r="C1511" t="s">
        <v>573</v>
      </c>
      <c r="D1511" cm="1">
        <f t="array" ref="D1511">INDEX(FX_Multi,$AD1511,D$3)</f>
        <v>0</v>
      </c>
      <c r="E1511" cm="1">
        <f t="array" ref="E1511">INDEX(FX_Multi,$AD1511,E$3)</f>
        <v>0</v>
      </c>
      <c r="F1511" cm="1">
        <f t="array" ref="F1511">INDEX(FX_Multi,$AD1511,F$3)</f>
        <v>0</v>
      </c>
      <c r="G1511" cm="1">
        <f t="array" ref="G1511">INDEX(FX_Multi,$AD1511,G$3)</f>
        <v>0</v>
      </c>
      <c r="H1511" cm="1">
        <f t="array" ref="H1511">INDEX(FX_Multi,$AD1511,H$3)</f>
        <v>0</v>
      </c>
      <c r="I1511" cm="1">
        <f t="array" ref="I1511">INDEX(FX_Multi,$AD1511,I$3)</f>
        <v>0</v>
      </c>
      <c r="J1511" cm="1">
        <f t="array" ref="J1511">INDEX(FX_Multi,$AD1511,J$3)</f>
        <v>0</v>
      </c>
      <c r="K1511" cm="1">
        <f t="array" ref="K1511">INDEX(FX_Multi,$AD1511,K$3)</f>
        <v>0</v>
      </c>
      <c r="L1511" cm="1">
        <f t="array" ref="L1511">INDEX(FX_Multi,$AD1511,L$3)</f>
        <v>0</v>
      </c>
      <c r="M1511" cm="1">
        <f t="array" ref="M1511">INDEX(FX_Multi,$AD1511,M$3)</f>
        <v>0</v>
      </c>
      <c r="N1511" cm="1">
        <f t="array" ref="N1511">INDEX(FX_Multi,$AD1511,N$3)</f>
        <v>0</v>
      </c>
      <c r="O1511" cm="1">
        <f t="array" ref="O1511">INDEX(FX_Multi,$AD1511,O$3)</f>
        <v>0</v>
      </c>
      <c r="AC1511">
        <v>1</v>
      </c>
      <c r="AD1511">
        <f>AD1510-3</f>
        <v>624</v>
      </c>
      <c r="AE1511">
        <v>1</v>
      </c>
      <c r="AF1511">
        <f>AF1504+7</f>
        <v>624</v>
      </c>
    </row>
    <row r="1512" spans="2:32" ht="17.149999999999999" x14ac:dyDescent="0.55000000000000004">
      <c r="B1512" t="str">
        <f>B1507</f>
        <v>Portland</v>
      </c>
      <c r="C1512" t="s">
        <v>526</v>
      </c>
      <c r="D1512" cm="1">
        <f t="array" ref="D1512">INDEX(FX_Temps,$AF1512,D$3)</f>
        <v>43.899999999999977</v>
      </c>
      <c r="E1512" cm="1">
        <f t="array" ref="E1512">INDEX(FX_Temps,$AF1512,E$3)</f>
        <v>44.700000000000045</v>
      </c>
      <c r="F1512" cm="1">
        <f t="array" ref="F1512">INDEX(FX_Temps,$AF1512,F$3)</f>
        <v>46.100000000000023</v>
      </c>
      <c r="G1512" cm="1">
        <f t="array" ref="G1512">INDEX(FX_Temps,$AF1512,G$3)</f>
        <v>48.599999999999966</v>
      </c>
      <c r="H1512" cm="1">
        <f t="array" ref="H1512">INDEX(FX_Temps,$AF1512,H$3)</f>
        <v>53.149999999999977</v>
      </c>
      <c r="I1512" cm="1">
        <f t="array" ref="I1512">INDEX(FX_Temps,$AF1512,I$3)</f>
        <v>56.950000000000045</v>
      </c>
      <c r="J1512" cm="1">
        <f t="array" ref="J1512">INDEX(FX_Temps,$AF1512,J$3)</f>
        <v>60.449999999999932</v>
      </c>
      <c r="K1512" cm="1">
        <f t="array" ref="K1512">INDEX(FX_Temps,$AF1512,K$3)</f>
        <v>60.899999999999977</v>
      </c>
      <c r="L1512" cm="1">
        <f t="array" ref="L1512">INDEX(FX_Temps,$AF1512,L$3)</f>
        <v>58.600000000000023</v>
      </c>
      <c r="M1512" cm="1">
        <f t="array" ref="M1512">INDEX(FX_Temps,$AF1512,M$3)</f>
        <v>52.649999999999977</v>
      </c>
      <c r="N1512" cm="1">
        <f t="array" ref="N1512">INDEX(FX_Temps,$AF1512,N$3)</f>
        <v>47.100000000000023</v>
      </c>
      <c r="O1512" cm="1">
        <f t="array" ref="O1512">INDEX(FX_Temps,$AF1512,O$3)</f>
        <v>43.600000000000023</v>
      </c>
      <c r="AE1512">
        <v>1</v>
      </c>
      <c r="AF1512">
        <f>AF1504+10</f>
        <v>627</v>
      </c>
    </row>
    <row r="1513" spans="2:32" ht="17.149999999999999" x14ac:dyDescent="0.55000000000000004">
      <c r="B1513" t="str">
        <f t="shared" ref="B1513:B1534" si="5524">B1512</f>
        <v>Portland</v>
      </c>
      <c r="C1513" t="s">
        <v>527</v>
      </c>
      <c r="D1513" cm="1">
        <f t="array" ref="D1513">INDEX(FX_Temps,$AF1513,D$3)</f>
        <v>43.899999999999977</v>
      </c>
      <c r="E1513" cm="1">
        <f t="array" ref="E1513">INDEX(FX_Temps,$AF1513,E$3)</f>
        <v>44.700000000000045</v>
      </c>
      <c r="F1513" cm="1">
        <f t="array" ref="F1513">INDEX(FX_Temps,$AF1513,F$3)</f>
        <v>46.100000000000023</v>
      </c>
      <c r="G1513" cm="1">
        <f t="array" ref="G1513">INDEX(FX_Temps,$AF1513,G$3)</f>
        <v>48.599999999999966</v>
      </c>
      <c r="H1513" cm="1">
        <f t="array" ref="H1513">INDEX(FX_Temps,$AF1513,H$3)</f>
        <v>53.149999999999977</v>
      </c>
      <c r="I1513" cm="1">
        <f t="array" ref="I1513">INDEX(FX_Temps,$AF1513,I$3)</f>
        <v>56.950000000000045</v>
      </c>
      <c r="J1513" cm="1">
        <f t="array" ref="J1513">INDEX(FX_Temps,$AF1513,J$3)</f>
        <v>60.449999999999932</v>
      </c>
      <c r="K1513" cm="1">
        <f t="array" ref="K1513">INDEX(FX_Temps,$AF1513,K$3)</f>
        <v>60.899999999999977</v>
      </c>
      <c r="L1513" cm="1">
        <f t="array" ref="L1513">INDEX(FX_Temps,$AF1513,L$3)</f>
        <v>58.600000000000023</v>
      </c>
      <c r="M1513" cm="1">
        <f t="array" ref="M1513">INDEX(FX_Temps,$AF1513,M$3)</f>
        <v>52.649999999999977</v>
      </c>
      <c r="N1513" cm="1">
        <f t="array" ref="N1513">INDEX(FX_Temps,$AF1513,N$3)</f>
        <v>47.100000000000023</v>
      </c>
      <c r="O1513" cm="1">
        <f t="array" ref="O1513">INDEX(FX_Temps,$AF1513,O$3)</f>
        <v>43.600000000000023</v>
      </c>
      <c r="AE1513">
        <f>AE1512</f>
        <v>1</v>
      </c>
      <c r="AF1513">
        <f>AF1504+11</f>
        <v>628</v>
      </c>
    </row>
    <row r="1514" spans="2:32" ht="17.149999999999999" x14ac:dyDescent="0.55000000000000004">
      <c r="B1514" t="str">
        <f t="shared" si="5524"/>
        <v>Portland</v>
      </c>
      <c r="C1514" t="s">
        <v>552</v>
      </c>
      <c r="D1514" cm="1">
        <f t="array" ref="D1514">INDEX(FX_Temps,$AF1514,D$3)</f>
        <v>43.899999999999977</v>
      </c>
      <c r="E1514" cm="1">
        <f t="array" ref="E1514">INDEX(FX_Temps,$AF1514,E$3)</f>
        <v>44.700000000000045</v>
      </c>
      <c r="F1514" cm="1">
        <f t="array" ref="F1514">INDEX(FX_Temps,$AF1514,F$3)</f>
        <v>46.100000000000023</v>
      </c>
      <c r="G1514" cm="1">
        <f t="array" ref="G1514">INDEX(FX_Temps,$AF1514,G$3)</f>
        <v>48.599999999999966</v>
      </c>
      <c r="H1514" cm="1">
        <f t="array" ref="H1514">INDEX(FX_Temps,$AF1514,H$3)</f>
        <v>53.149999999999977</v>
      </c>
      <c r="I1514" cm="1">
        <f t="array" ref="I1514">INDEX(FX_Temps,$AF1514,I$3)</f>
        <v>56.950000000000045</v>
      </c>
      <c r="J1514" cm="1">
        <f t="array" ref="J1514">INDEX(FX_Temps,$AF1514,J$3)</f>
        <v>60.449999999999932</v>
      </c>
      <c r="K1514" cm="1">
        <f t="array" ref="K1514">INDEX(FX_Temps,$AF1514,K$3)</f>
        <v>60.899999999999977</v>
      </c>
      <c r="L1514" cm="1">
        <f t="array" ref="L1514">INDEX(FX_Temps,$AF1514,L$3)</f>
        <v>58.600000000000023</v>
      </c>
      <c r="M1514" cm="1">
        <f t="array" ref="M1514">INDEX(FX_Temps,$AF1514,M$3)</f>
        <v>52.649999999999977</v>
      </c>
      <c r="N1514" cm="1">
        <f t="array" ref="N1514">INDEX(FX_Temps,$AF1514,N$3)</f>
        <v>47.100000000000023</v>
      </c>
      <c r="O1514" cm="1">
        <f t="array" ref="O1514">INDEX(FX_Temps,$AF1514,O$3)</f>
        <v>43.600000000000023</v>
      </c>
      <c r="AE1514">
        <f>AE1513</f>
        <v>1</v>
      </c>
      <c r="AF1514">
        <f>AF1504+13</f>
        <v>630</v>
      </c>
    </row>
    <row r="1515" spans="2:32" ht="17.149999999999999" x14ac:dyDescent="0.55000000000000004">
      <c r="B1515" t="str">
        <f t="shared" si="5524"/>
        <v>Portland</v>
      </c>
      <c r="C1515" t="s">
        <v>574</v>
      </c>
      <c r="D1515" s="20" cm="1">
        <f t="array" ref="D1515">IFERROR(IF(D1505="Chemical",(10^(INDEX(Antoines,MATCH(D1504,Antoine_Name,0),2)-INDEX(Antoines,MATCH(D1504,Antoine_Name,0),3)/(INDEX(Antoines,MATCH(D1504,Antoine_Name,0),4)+(D1512-32)*5/9)))*14.7/760,IF(D1505="Crude Oil",EXP((2799/(D1512+459.6)-2.227)*LOG10(INDEX(FX_Input,Q$5,D$3*$Z$5+$AA$5))-(7261/(D1512+459.6))+12.82),IF(D1505="Refined Petroleum Stock",EXP((0.7553-(413/(D1512+459.6)))*(INDEX(FX_Input,Q$5,D$3*$Z$5+$AA$5-1)^0.5)*LOG10(INDEX(FX_Input,Q$5,D$3*$Z$5+$AA$5))-(1.854-(1042/(D1512+459.6)))*(INDEX(FX_Input,Q$5,D$3*$Z$5+$AA$5-1)^0.5)+((2416/(D1512+459.6)-2.013)*LOG10(INDEX(FX_Input,Q$5,D$3*$Z$5+$AA$5)))-(8742/(D1512+459.6))+15.64),EXP(INDEX(Antoines,MATCH(D1504,Antoine_Name,0),2)-INDEX(Antoines,MATCH(D1504,Antoine_Name,0),3)/(D1512+459.6))))),0)</f>
        <v>4.739577185808354E-3</v>
      </c>
      <c r="E1515" cm="1">
        <f t="array" ref="E1515">IFERROR(IF(E1505="Chemical",(10^(INDEX(Antoines,MATCH(E1504,Antoine_Name,0),2)-INDEX(Antoines,MATCH(E1504,Antoine_Name,0),3)/(INDEX(Antoines,MATCH(E1504,Antoine_Name,0),4)+(E1512-32)*5/9)))*14.7/760,IF(E1505="Crude Oil",EXP((2799/(E1512+459.6)-2.227)*LOG10(INDEX(FX_Input,R$5,E$3*$Z$5+$AA$5))-(7261/(E1512+459.6))+12.82),IF(E1505="Refined Petroleum Stock",EXP((0.7553-(413/(E1512+459.6)))*(INDEX(FX_Input,R$5,E$3*$Z$5+$AA$5-1)^0.5)*LOG10(INDEX(FX_Input,R$5,E$3*$Z$5+$AA$5))-(1.854-(1042/(E1512+459.6)))*(INDEX(FX_Input,R$5,E$3*$Z$5+$AA$5-1)^0.5)+((2416/(E1512+459.6)-2.013)*LOG10(INDEX(FX_Input,R$5,E$3*$Z$5+$AA$5)))-(8742/(E1512+459.6))+15.64),EXP(INDEX(Antoines,MATCH(E1504,Antoine_Name,0),2)-INDEX(Antoines,MATCH(E1504,Antoine_Name,0),3)/(E1512+459.6))))),0)</f>
        <v>4.8748667780818778E-3</v>
      </c>
      <c r="F1515" cm="1">
        <f t="array" ref="F1515">IFERROR(IF(F1505="Chemical",(10^(INDEX(Antoines,MATCH(F1504,Antoine_Name,0),2)-INDEX(Antoines,MATCH(F1504,Antoine_Name,0),3)/(INDEX(Antoines,MATCH(F1504,Antoine_Name,0),4)+(F1512-32)*5/9)))*14.7/760,IF(F1505="Crude Oil",EXP((2799/(F1512+459.6)-2.227)*LOG10(INDEX(FX_Input,S$5,F$3*$Z$5+$AA$5))-(7261/(F1512+459.6))+12.82),IF(F1505="Refined Petroleum Stock",EXP((0.7553-(413/(F1512+459.6)))*(INDEX(FX_Input,S$5,F$3*$Z$5+$AA$5-1)^0.5)*LOG10(INDEX(FX_Input,S$5,F$3*$Z$5+$AA$5))-(1.854-(1042/(F1512+459.6)))*(INDEX(FX_Input,S$5,F$3*$Z$5+$AA$5-1)^0.5)+((2416/(F1512+459.6)-2.013)*LOG10(INDEX(FX_Input,S$5,F$3*$Z$5+$AA$5)))-(8742/(F1512+459.6))+15.64),EXP(INDEX(Antoines,MATCH(F1504,Antoine_Name,0),2)-INDEX(Antoines,MATCH(F1504,Antoine_Name,0),3)/(F1512+459.6))))),0)</f>
        <v>5.119885034186122E-3</v>
      </c>
      <c r="G1515" cm="1">
        <f t="array" ref="G1515">IFERROR(IF(G1505="Chemical",(10^(INDEX(Antoines,MATCH(G1504,Antoine_Name,0),2)-INDEX(Antoines,MATCH(G1504,Antoine_Name,0),3)/(INDEX(Antoines,MATCH(G1504,Antoine_Name,0),4)+(G1512-32)*5/9)))*14.7/760,IF(G1505="Crude Oil",EXP((2799/(G1512+459.6)-2.227)*LOG10(INDEX(FX_Input,T$5,G$3*$Z$5+$AA$5))-(7261/(G1512+459.6))+12.82),IF(G1505="Refined Petroleum Stock",EXP((0.7553-(413/(G1512+459.6)))*(INDEX(FX_Input,T$5,G$3*$Z$5+$AA$5-1)^0.5)*LOG10(INDEX(FX_Input,T$5,G$3*$Z$5+$AA$5))-(1.854-(1042/(G1512+459.6)))*(INDEX(FX_Input,T$5,G$3*$Z$5+$AA$5-1)^0.5)+((2416/(G1512+459.6)-2.013)*LOG10(INDEX(FX_Input,T$5,G$3*$Z$5+$AA$5)))-(8742/(G1512+459.6))+15.64),EXP(INDEX(Antoines,MATCH(G1504,Antoine_Name,0),2)-INDEX(Antoines,MATCH(G1504,Antoine_Name,0),3)/(G1512+459.6))))),0)</f>
        <v>5.5846958573521795E-3</v>
      </c>
      <c r="H1515" cm="1">
        <f t="array" ref="H1515">IFERROR(IF(H1505="Chemical",(10^(INDEX(Antoines,MATCH(H1504,Antoine_Name,0),2)-INDEX(Antoines,MATCH(H1504,Antoine_Name,0),3)/(INDEX(Antoines,MATCH(H1504,Antoine_Name,0),4)+(H1512-32)*5/9)))*14.7/760,IF(H1505="Crude Oil",EXP((2799/(H1512+459.6)-2.227)*LOG10(INDEX(FX_Input,U$5,H$3*$Z$5+$AA$5))-(7261/(H1512+459.6))+12.82),IF(H1505="Refined Petroleum Stock",EXP((0.7553-(413/(H1512+459.6)))*(INDEX(FX_Input,U$5,H$3*$Z$5+$AA$5-1)^0.5)*LOG10(INDEX(FX_Input,U$5,H$3*$Z$5+$AA$5))-(1.854-(1042/(H1512+459.6)))*(INDEX(FX_Input,U$5,H$3*$Z$5+$AA$5-1)^0.5)+((2416/(H1512+459.6)-2.013)*LOG10(INDEX(FX_Input,U$5,H$3*$Z$5+$AA$5)))-(8742/(H1512+459.6))+15.64),EXP(INDEX(Antoines,MATCH(H1504,Antoine_Name,0),2)-INDEX(Antoines,MATCH(H1504,Antoine_Name,0),3)/(H1512+459.6))))),0)</f>
        <v>6.5274070972739821E-3</v>
      </c>
      <c r="I1515" cm="1">
        <f t="array" ref="I1515">IFERROR(IF(I1505="Chemical",(10^(INDEX(Antoines,MATCH(I1504,Antoine_Name,0),2)-INDEX(Antoines,MATCH(I1504,Antoine_Name,0),3)/(INDEX(Antoines,MATCH(I1504,Antoine_Name,0),4)+(I1512-32)*5/9)))*14.7/760,IF(I1505="Crude Oil",EXP((2799/(I1512+459.6)-2.227)*LOG10(INDEX(FX_Input,V$5,I$3*$Z$5+$AA$5))-(7261/(I1512+459.6))+12.82),IF(I1505="Refined Petroleum Stock",EXP((0.7553-(413/(I1512+459.6)))*(INDEX(FX_Input,V$5,I$3*$Z$5+$AA$5-1)^0.5)*LOG10(INDEX(FX_Input,V$5,I$3*$Z$5+$AA$5))-(1.854-(1042/(I1512+459.6)))*(INDEX(FX_Input,V$5,I$3*$Z$5+$AA$5-1)^0.5)+((2416/(I1512+459.6)-2.013)*LOG10(INDEX(FX_Input,V$5,I$3*$Z$5+$AA$5)))-(8742/(I1512+459.6))+15.64),EXP(INDEX(Antoines,MATCH(I1504,Antoine_Name,0),2)-INDEX(Antoines,MATCH(I1504,Antoine_Name,0),3)/(I1512+459.6))))),0)</f>
        <v>7.4199539958878279E-3</v>
      </c>
      <c r="J1515" cm="1">
        <f t="array" ref="J1515">IFERROR(IF(J1505="Chemical",(10^(INDEX(Antoines,MATCH(J1504,Antoine_Name,0),2)-INDEX(Antoines,MATCH(J1504,Antoine_Name,0),3)/(INDEX(Antoines,MATCH(J1504,Antoine_Name,0),4)+(J1512-32)*5/9)))*14.7/760,IF(J1505="Crude Oil",EXP((2799/(J1512+459.6)-2.227)*LOG10(INDEX(FX_Input,W$5,J$3*$Z$5+$AA$5))-(7261/(J1512+459.6))+12.82),IF(J1505="Refined Petroleum Stock",EXP((0.7553-(413/(J1512+459.6)))*(INDEX(FX_Input,W$5,J$3*$Z$5+$AA$5-1)^0.5)*LOG10(INDEX(FX_Input,W$5,J$3*$Z$5+$AA$5))-(1.854-(1042/(J1512+459.6)))*(INDEX(FX_Input,W$5,J$3*$Z$5+$AA$5-1)^0.5)+((2416/(J1512+459.6)-2.013)*LOG10(INDEX(FX_Input,W$5,J$3*$Z$5+$AA$5)))-(8742/(J1512+459.6))+15.64),EXP(INDEX(Antoines,MATCH(J1504,Antoine_Name,0),2)-INDEX(Antoines,MATCH(J1504,Antoine_Name,0),3)/(J1512+459.6))))),0)</f>
        <v>8.3358107202842254E-3</v>
      </c>
      <c r="K1515" cm="1">
        <f t="array" ref="K1515">IFERROR(IF(K1505="Chemical",(10^(INDEX(Antoines,MATCH(K1504,Antoine_Name,0),2)-INDEX(Antoines,MATCH(K1504,Antoine_Name,0),3)/(INDEX(Antoines,MATCH(K1504,Antoine_Name,0),4)+(K1512-32)*5/9)))*14.7/760,IF(K1505="Crude Oil",EXP((2799/(K1512+459.6)-2.227)*LOG10(INDEX(FX_Input,X$5,K$3*$Z$5+$AA$5))-(7261/(K1512+459.6))+12.82),IF(K1505="Refined Petroleum Stock",EXP((0.7553-(413/(K1512+459.6)))*(INDEX(FX_Input,X$5,K$3*$Z$5+$AA$5-1)^0.5)*LOG10(INDEX(FX_Input,X$5,K$3*$Z$5+$AA$5))-(1.854-(1042/(K1512+459.6)))*(INDEX(FX_Input,X$5,K$3*$Z$5+$AA$5-1)^0.5)+((2416/(K1512+459.6)-2.013)*LOG10(INDEX(FX_Input,X$5,K$3*$Z$5+$AA$5)))-(8742/(K1512+459.6))+15.64),EXP(INDEX(Antoines,MATCH(K1504,Antoine_Name,0),2)-INDEX(Antoines,MATCH(K1504,Antoine_Name,0),3)/(K1512+459.6))))),0)</f>
        <v>8.4605262729351115E-3</v>
      </c>
      <c r="L1515" cm="1">
        <f t="array" ref="L1515">IFERROR(IF(L1505="Chemical",(10^(INDEX(Antoines,MATCH(L1504,Antoine_Name,0),2)-INDEX(Antoines,MATCH(L1504,Antoine_Name,0),3)/(INDEX(Antoines,MATCH(L1504,Antoine_Name,0),4)+(L1512-32)*5/9)))*14.7/760,IF(L1505="Crude Oil",EXP((2799/(L1512+459.6)-2.227)*LOG10(INDEX(FX_Input,Y$5,L$3*$Z$5+$AA$5))-(7261/(L1512+459.6))+12.82),IF(L1505="Refined Petroleum Stock",EXP((0.7553-(413/(L1512+459.6)))*(INDEX(FX_Input,Y$5,L$3*$Z$5+$AA$5-1)^0.5)*LOG10(INDEX(FX_Input,Y$5,L$3*$Z$5+$AA$5))-(1.854-(1042/(L1512+459.6)))*(INDEX(FX_Input,Y$5,L$3*$Z$5+$AA$5-1)^0.5)+((2416/(L1512+459.6)-2.013)*LOG10(INDEX(FX_Input,Y$5,L$3*$Z$5+$AA$5)))-(8742/(L1512+459.6))+15.64),EXP(INDEX(Antoines,MATCH(L1504,Antoine_Name,0),2)-INDEX(Antoines,MATCH(L1504,Antoine_Name,0),3)/(L1512+459.6))))),0)</f>
        <v>7.8399882233967533E-3</v>
      </c>
      <c r="M1515" cm="1">
        <f t="array" ref="M1515">IFERROR(IF(M1505="Chemical",(10^(INDEX(Antoines,MATCH(M1504,Antoine_Name,0),2)-INDEX(Antoines,MATCH(M1504,Antoine_Name,0),3)/(INDEX(Antoines,MATCH(M1504,Antoine_Name,0),4)+(M1512-32)*5/9)))*14.7/760,IF(M1505="Crude Oil",EXP((2799/(M1512+459.6)-2.227)*LOG10(INDEX(FX_Input,Z$5,M$3*$Z$5+$AA$5))-(7261/(M1512+459.6))+12.82),IF(M1505="Refined Petroleum Stock",EXP((0.7553-(413/(M1512+459.6)))*(INDEX(FX_Input,Z$5,M$3*$Z$5+$AA$5-1)^0.5)*LOG10(INDEX(FX_Input,Z$5,M$3*$Z$5+$AA$5))-(1.854-(1042/(M1512+459.6)))*(INDEX(FX_Input,Z$5,M$3*$Z$5+$AA$5-1)^0.5)+((2416/(M1512+459.6)-2.013)*LOG10(INDEX(FX_Input,Z$5,M$3*$Z$5+$AA$5)))-(8742/(M1512+459.6))+15.64),EXP(INDEX(Antoines,MATCH(M1504,Antoine_Name,0),2)-INDEX(Antoines,MATCH(M1504,Antoine_Name,0),3)/(M1512+459.6))))),0)</f>
        <v>6.4173462075160911E-3</v>
      </c>
      <c r="N1515" cm="1">
        <f t="array" ref="N1515">IFERROR(IF(N1505="Chemical",(10^(INDEX(Antoines,MATCH(N1504,Antoine_Name,0),2)-INDEX(Antoines,MATCH(N1504,Antoine_Name,0),3)/(INDEX(Antoines,MATCH(N1504,Antoine_Name,0),4)+(N1512-32)*5/9)))*14.7/760,IF(N1505="Crude Oil",EXP((2799/(N1512+459.6)-2.227)*LOG10(INDEX(FX_Input,AA$5,N$3*$Z$5+$AA$5))-(7261/(N1512+459.6))+12.82),IF(N1505="Refined Petroleum Stock",EXP((0.7553-(413/(N1512+459.6)))*(INDEX(FX_Input,AA$5,N$3*$Z$5+$AA$5-1)^0.5)*LOG10(INDEX(FX_Input,AA$5,N$3*$Z$5+$AA$5))-(1.854-(1042/(N1512+459.6)))*(INDEX(FX_Input,AA$5,N$3*$Z$5+$AA$5-1)^0.5)+((2416/(N1512+459.6)-2.013)*LOG10(INDEX(FX_Input,AA$5,N$3*$Z$5+$AA$5)))-(8742/(N1512+459.6))+15.64),EXP(INDEX(Antoines,MATCH(N1504,Antoine_Name,0),2)-INDEX(Antoines,MATCH(N1504,Antoine_Name,0),3)/(N1512+459.6))))),0)</f>
        <v>5.3015226887581056E-3</v>
      </c>
      <c r="O1515" cm="1">
        <f t="array" ref="O1515">IFERROR(IF(O1505="Chemical",(10^(INDEX(Antoines,MATCH(O1504,Antoine_Name,0),2)-INDEX(Antoines,MATCH(O1504,Antoine_Name,0),3)/(INDEX(Antoines,MATCH(O1504,Antoine_Name,0),4)+(O1512-32)*5/9)))*14.7/760,IF(O1505="Crude Oil",EXP((2799/(O1512+459.6)-2.227)*LOG10(INDEX(FX_Input,AB$5,O$3*$Z$5+$AA$5))-(7261/(O1512+459.6))+12.82),IF(O1505="Refined Petroleum Stock",EXP((0.7553-(413/(O1512+459.6)))*(INDEX(FX_Input,AB$5,O$3*$Z$5+$AA$5-1)^0.5)*LOG10(INDEX(FX_Input,AB$5,O$3*$Z$5+$AA$5))-(1.854-(1042/(O1512+459.6)))*(INDEX(FX_Input,AB$5,O$3*$Z$5+$AA$5-1)^0.5)+((2416/(O1512+459.6)-2.013)*LOG10(INDEX(FX_Input,AB$5,O$3*$Z$5+$AA$5)))-(8742/(O1512+459.6))+15.64),EXP(INDEX(Antoines,MATCH(O1504,Antoine_Name,0),2)-INDEX(Antoines,MATCH(O1504,Antoine_Name,0),3)/(O1512+459.6))))),0)</f>
        <v>4.68970903600947E-3</v>
      </c>
    </row>
    <row r="1516" spans="2:32" ht="17.149999999999999" x14ac:dyDescent="0.55000000000000004">
      <c r="B1516" t="str">
        <f t="shared" si="5524"/>
        <v>Portland</v>
      </c>
      <c r="C1516" t="s">
        <v>576</v>
      </c>
      <c r="D1516">
        <f>D1508*D1515</f>
        <v>4.739577185808354E-3</v>
      </c>
      <c r="E1516">
        <f t="shared" ref="E1516" si="5525">E1508*E1515</f>
        <v>4.8748667780818778E-3</v>
      </c>
      <c r="F1516">
        <f t="shared" ref="F1516" si="5526">F1508*F1515</f>
        <v>5.119885034186122E-3</v>
      </c>
      <c r="G1516">
        <f t="shared" ref="G1516" si="5527">G1508*G1515</f>
        <v>5.5846958573521795E-3</v>
      </c>
      <c r="H1516">
        <f t="shared" ref="H1516" si="5528">H1508*H1515</f>
        <v>6.5274070972739821E-3</v>
      </c>
      <c r="I1516">
        <f t="shared" ref="I1516" si="5529">I1508*I1515</f>
        <v>7.4199539958878279E-3</v>
      </c>
      <c r="J1516">
        <f t="shared" ref="J1516" si="5530">J1508*J1515</f>
        <v>8.3358107202842254E-3</v>
      </c>
      <c r="K1516">
        <f t="shared" ref="K1516" si="5531">K1508*K1515</f>
        <v>8.4605262729351115E-3</v>
      </c>
      <c r="L1516">
        <f t="shared" ref="L1516" si="5532">L1508*L1515</f>
        <v>7.8399882233967533E-3</v>
      </c>
      <c r="M1516">
        <f t="shared" ref="M1516" si="5533">M1508*M1515</f>
        <v>6.4173462075160911E-3</v>
      </c>
      <c r="N1516">
        <f t="shared" ref="N1516" si="5534">N1508*N1515</f>
        <v>5.3015226887581056E-3</v>
      </c>
      <c r="O1516">
        <f t="shared" ref="O1516" si="5535">O1508*O1515</f>
        <v>4.68970903600947E-3</v>
      </c>
    </row>
    <row r="1517" spans="2:32" ht="17.149999999999999" x14ac:dyDescent="0.55000000000000004">
      <c r="B1517" t="str">
        <f t="shared" si="5524"/>
        <v>Portland</v>
      </c>
      <c r="C1517" t="s">
        <v>575</v>
      </c>
      <c r="D1517" cm="1">
        <f t="array" ref="D1517">IFERROR(IF(D1507="Chemical",(10^(INDEX(Antoines,MATCH(D1506,Antoine_Name,0),2)-INDEX(Antoines,MATCH(D1506,Antoine_Name,0),3)/(INDEX(Antoines,MATCH(D1506,Antoine_Name,0),4)+(D1512-32)*5/9)))*14.7/760,IF(D1507="Crude Oil",EXP((2799/(D1512+459.6)-2.227)*LOG10(INDEX(FX_Input,Q$5,D$3*$Z$5+$AA$5))-(7261/(D1512+459.6))+12.82),IF(D1507="Refined Petroleum Stock",EXP((0.7553-(413/(D1512+459.6)))*(INDEX(FX_Input,Q$5,D$3*$Z$5+$AA$5-1)^0.5)*LOG10(INDEX(FX_Input,Q$5,D$3*$Z$5+$AA$5))-(1.854-(1042/(D1512+459.6)))*(INDEX(FX_Input,Q$5,D$3*$Z$5+$AA$5-1)^0.5)+((2416/(D1512+459.6)-2.013)*LOG10(INDEX(FX_Input,Q$5,D$3*$Z$5+$AA$5)))-(8742/(D1512+459.6))+15.64),EXP(INDEX(Antoines,MATCH(D1506,Antoine_Name,0),2)-INDEX(Antoines,MATCH(D1506,Antoine_Name,0),3)/(D1512+459.6))))),0)</f>
        <v>0</v>
      </c>
      <c r="E1517" cm="1">
        <f t="array" ref="E1517">IFERROR(IF(E1507="Chemical",(10^(INDEX(Antoines,MATCH(E1506,Antoine_Name,0),2)-INDEX(Antoines,MATCH(E1506,Antoine_Name,0),3)/(INDEX(Antoines,MATCH(E1506,Antoine_Name,0),4)+(E1512-32)*5/9)))*14.7/760,IF(E1507="Crude Oil",EXP((2799/(E1512+459.6)-2.227)*LOG10(INDEX(FX_Input,R$5,E$3*$Z$5+$AA$5))-(7261/(E1512+459.6))+12.82),IF(E1507="Refined Petroleum Stock",EXP((0.7553-(413/(E1512+459.6)))*(INDEX(FX_Input,R$5,E$3*$Z$5+$AA$5-1)^0.5)*LOG10(INDEX(FX_Input,R$5,E$3*$Z$5+$AA$5))-(1.854-(1042/(E1512+459.6)))*(INDEX(FX_Input,R$5,E$3*$Z$5+$AA$5-1)^0.5)+((2416/(E1512+459.6)-2.013)*LOG10(INDEX(FX_Input,R$5,E$3*$Z$5+$AA$5)))-(8742/(E1512+459.6))+15.64),EXP(INDEX(Antoines,MATCH(E1506,Antoine_Name,0),2)-INDEX(Antoines,MATCH(E1506,Antoine_Name,0),3)/(E1512+459.6))))),0)</f>
        <v>0</v>
      </c>
      <c r="F1517" cm="1">
        <f t="array" ref="F1517">IFERROR(IF(F1507="Chemical",(10^(INDEX(Antoines,MATCH(F1506,Antoine_Name,0),2)-INDEX(Antoines,MATCH(F1506,Antoine_Name,0),3)/(INDEX(Antoines,MATCH(F1506,Antoine_Name,0),4)+(F1512-32)*5/9)))*14.7/760,IF(F1507="Crude Oil",EXP((2799/(F1512+459.6)-2.227)*LOG10(INDEX(FX_Input,S$5,F$3*$Z$5+$AA$5))-(7261/(F1512+459.6))+12.82),IF(F1507="Refined Petroleum Stock",EXP((0.7553-(413/(F1512+459.6)))*(INDEX(FX_Input,S$5,F$3*$Z$5+$AA$5-1)^0.5)*LOG10(INDEX(FX_Input,S$5,F$3*$Z$5+$AA$5))-(1.854-(1042/(F1512+459.6)))*(INDEX(FX_Input,S$5,F$3*$Z$5+$AA$5-1)^0.5)+((2416/(F1512+459.6)-2.013)*LOG10(INDEX(FX_Input,S$5,F$3*$Z$5+$AA$5)))-(8742/(F1512+459.6))+15.64),EXP(INDEX(Antoines,MATCH(F1506,Antoine_Name,0),2)-INDEX(Antoines,MATCH(F1506,Antoine_Name,0),3)/(F1512+459.6))))),0)</f>
        <v>0</v>
      </c>
      <c r="G1517" cm="1">
        <f t="array" ref="G1517">IFERROR(IF(G1507="Chemical",(10^(INDEX(Antoines,MATCH(G1506,Antoine_Name,0),2)-INDEX(Antoines,MATCH(G1506,Antoine_Name,0),3)/(INDEX(Antoines,MATCH(G1506,Antoine_Name,0),4)+(G1512-32)*5/9)))*14.7/760,IF(G1507="Crude Oil",EXP((2799/(G1512+459.6)-2.227)*LOG10(INDEX(FX_Input,T$5,G$3*$Z$5+$AA$5))-(7261/(G1512+459.6))+12.82),IF(G1507="Refined Petroleum Stock",EXP((0.7553-(413/(G1512+459.6)))*(INDEX(FX_Input,T$5,G$3*$Z$5+$AA$5-1)^0.5)*LOG10(INDEX(FX_Input,T$5,G$3*$Z$5+$AA$5))-(1.854-(1042/(G1512+459.6)))*(INDEX(FX_Input,T$5,G$3*$Z$5+$AA$5-1)^0.5)+((2416/(G1512+459.6)-2.013)*LOG10(INDEX(FX_Input,T$5,G$3*$Z$5+$AA$5)))-(8742/(G1512+459.6))+15.64),EXP(INDEX(Antoines,MATCH(G1506,Antoine_Name,0),2)-INDEX(Antoines,MATCH(G1506,Antoine_Name,0),3)/(G1512+459.6))))),0)</f>
        <v>0</v>
      </c>
      <c r="H1517" cm="1">
        <f t="array" ref="H1517">IFERROR(IF(H1507="Chemical",(10^(INDEX(Antoines,MATCH(H1506,Antoine_Name,0),2)-INDEX(Antoines,MATCH(H1506,Antoine_Name,0),3)/(INDEX(Antoines,MATCH(H1506,Antoine_Name,0),4)+(H1512-32)*5/9)))*14.7/760,IF(H1507="Crude Oil",EXP((2799/(H1512+459.6)-2.227)*LOG10(INDEX(FX_Input,U$5,H$3*$Z$5+$AA$5))-(7261/(H1512+459.6))+12.82),IF(H1507="Refined Petroleum Stock",EXP((0.7553-(413/(H1512+459.6)))*(INDEX(FX_Input,U$5,H$3*$Z$5+$AA$5-1)^0.5)*LOG10(INDEX(FX_Input,U$5,H$3*$Z$5+$AA$5))-(1.854-(1042/(H1512+459.6)))*(INDEX(FX_Input,U$5,H$3*$Z$5+$AA$5-1)^0.5)+((2416/(H1512+459.6)-2.013)*LOG10(INDEX(FX_Input,U$5,H$3*$Z$5+$AA$5)))-(8742/(H1512+459.6))+15.64),EXP(INDEX(Antoines,MATCH(H1506,Antoine_Name,0),2)-INDEX(Antoines,MATCH(H1506,Antoine_Name,0),3)/(H1512+459.6))))),0)</f>
        <v>0</v>
      </c>
      <c r="I1517" cm="1">
        <f t="array" ref="I1517">IFERROR(IF(I1507="Chemical",(10^(INDEX(Antoines,MATCH(I1506,Antoine_Name,0),2)-INDEX(Antoines,MATCH(I1506,Antoine_Name,0),3)/(INDEX(Antoines,MATCH(I1506,Antoine_Name,0),4)+(I1512-32)*5/9)))*14.7/760,IF(I1507="Crude Oil",EXP((2799/(I1512+459.6)-2.227)*LOG10(INDEX(FX_Input,V$5,I$3*$Z$5+$AA$5))-(7261/(I1512+459.6))+12.82),IF(I1507="Refined Petroleum Stock",EXP((0.7553-(413/(I1512+459.6)))*(INDEX(FX_Input,V$5,I$3*$Z$5+$AA$5-1)^0.5)*LOG10(INDEX(FX_Input,V$5,I$3*$Z$5+$AA$5))-(1.854-(1042/(I1512+459.6)))*(INDEX(FX_Input,V$5,I$3*$Z$5+$AA$5-1)^0.5)+((2416/(I1512+459.6)-2.013)*LOG10(INDEX(FX_Input,V$5,I$3*$Z$5+$AA$5)))-(8742/(I1512+459.6))+15.64),EXP(INDEX(Antoines,MATCH(I1506,Antoine_Name,0),2)-INDEX(Antoines,MATCH(I1506,Antoine_Name,0),3)/(I1512+459.6))))),0)</f>
        <v>0</v>
      </c>
      <c r="J1517" cm="1">
        <f t="array" ref="J1517">IFERROR(IF(J1507="Chemical",(10^(INDEX(Antoines,MATCH(J1506,Antoine_Name,0),2)-INDEX(Antoines,MATCH(J1506,Antoine_Name,0),3)/(INDEX(Antoines,MATCH(J1506,Antoine_Name,0),4)+(J1512-32)*5/9)))*14.7/760,IF(J1507="Crude Oil",EXP((2799/(J1512+459.6)-2.227)*LOG10(INDEX(FX_Input,W$5,J$3*$Z$5+$AA$5))-(7261/(J1512+459.6))+12.82),IF(J1507="Refined Petroleum Stock",EXP((0.7553-(413/(J1512+459.6)))*(INDEX(FX_Input,W$5,J$3*$Z$5+$AA$5-1)^0.5)*LOG10(INDEX(FX_Input,W$5,J$3*$Z$5+$AA$5))-(1.854-(1042/(J1512+459.6)))*(INDEX(FX_Input,W$5,J$3*$Z$5+$AA$5-1)^0.5)+((2416/(J1512+459.6)-2.013)*LOG10(INDEX(FX_Input,W$5,J$3*$Z$5+$AA$5)))-(8742/(J1512+459.6))+15.64),EXP(INDEX(Antoines,MATCH(J1506,Antoine_Name,0),2)-INDEX(Antoines,MATCH(J1506,Antoine_Name,0),3)/(J1512+459.6))))),0)</f>
        <v>0</v>
      </c>
      <c r="K1517" cm="1">
        <f t="array" ref="K1517">IFERROR(IF(K1507="Chemical",(10^(INDEX(Antoines,MATCH(K1506,Antoine_Name,0),2)-INDEX(Antoines,MATCH(K1506,Antoine_Name,0),3)/(INDEX(Antoines,MATCH(K1506,Antoine_Name,0),4)+(K1512-32)*5/9)))*14.7/760,IF(K1507="Crude Oil",EXP((2799/(K1512+459.6)-2.227)*LOG10(INDEX(FX_Input,X$5,K$3*$Z$5+$AA$5))-(7261/(K1512+459.6))+12.82),IF(K1507="Refined Petroleum Stock",EXP((0.7553-(413/(K1512+459.6)))*(INDEX(FX_Input,X$5,K$3*$Z$5+$AA$5-1)^0.5)*LOG10(INDEX(FX_Input,X$5,K$3*$Z$5+$AA$5))-(1.854-(1042/(K1512+459.6)))*(INDEX(FX_Input,X$5,K$3*$Z$5+$AA$5-1)^0.5)+((2416/(K1512+459.6)-2.013)*LOG10(INDEX(FX_Input,X$5,K$3*$Z$5+$AA$5)))-(8742/(K1512+459.6))+15.64),EXP(INDEX(Antoines,MATCH(K1506,Antoine_Name,0),2)-INDEX(Antoines,MATCH(K1506,Antoine_Name,0),3)/(K1512+459.6))))),0)</f>
        <v>0</v>
      </c>
      <c r="L1517" cm="1">
        <f t="array" ref="L1517">IFERROR(IF(L1507="Chemical",(10^(INDEX(Antoines,MATCH(L1506,Antoine_Name,0),2)-INDEX(Antoines,MATCH(L1506,Antoine_Name,0),3)/(INDEX(Antoines,MATCH(L1506,Antoine_Name,0),4)+(L1512-32)*5/9)))*14.7/760,IF(L1507="Crude Oil",EXP((2799/(L1512+459.6)-2.227)*LOG10(INDEX(FX_Input,Y$5,L$3*$Z$5+$AA$5))-(7261/(L1512+459.6))+12.82),IF(L1507="Refined Petroleum Stock",EXP((0.7553-(413/(L1512+459.6)))*(INDEX(FX_Input,Y$5,L$3*$Z$5+$AA$5-1)^0.5)*LOG10(INDEX(FX_Input,Y$5,L$3*$Z$5+$AA$5))-(1.854-(1042/(L1512+459.6)))*(INDEX(FX_Input,Y$5,L$3*$Z$5+$AA$5-1)^0.5)+((2416/(L1512+459.6)-2.013)*LOG10(INDEX(FX_Input,Y$5,L$3*$Z$5+$AA$5)))-(8742/(L1512+459.6))+15.64),EXP(INDEX(Antoines,MATCH(L1506,Antoine_Name,0),2)-INDEX(Antoines,MATCH(L1506,Antoine_Name,0),3)/(L1512+459.6))))),0)</f>
        <v>0</v>
      </c>
      <c r="M1517" cm="1">
        <f t="array" ref="M1517">IFERROR(IF(M1507="Chemical",(10^(INDEX(Antoines,MATCH(M1506,Antoine_Name,0),2)-INDEX(Antoines,MATCH(M1506,Antoine_Name,0),3)/(INDEX(Antoines,MATCH(M1506,Antoine_Name,0),4)+(M1512-32)*5/9)))*14.7/760,IF(M1507="Crude Oil",EXP((2799/(M1512+459.6)-2.227)*LOG10(INDEX(FX_Input,Z$5,M$3*$Z$5+$AA$5))-(7261/(M1512+459.6))+12.82),IF(M1507="Refined Petroleum Stock",EXP((0.7553-(413/(M1512+459.6)))*(INDEX(FX_Input,Z$5,M$3*$Z$5+$AA$5-1)^0.5)*LOG10(INDEX(FX_Input,Z$5,M$3*$Z$5+$AA$5))-(1.854-(1042/(M1512+459.6)))*(INDEX(FX_Input,Z$5,M$3*$Z$5+$AA$5-1)^0.5)+((2416/(M1512+459.6)-2.013)*LOG10(INDEX(FX_Input,Z$5,M$3*$Z$5+$AA$5)))-(8742/(M1512+459.6))+15.64),EXP(INDEX(Antoines,MATCH(M1506,Antoine_Name,0),2)-INDEX(Antoines,MATCH(M1506,Antoine_Name,0),3)/(M1512+459.6))))),0)</f>
        <v>0</v>
      </c>
      <c r="N1517" cm="1">
        <f t="array" ref="N1517">IFERROR(IF(N1507="Chemical",(10^(INDEX(Antoines,MATCH(N1506,Antoine_Name,0),2)-INDEX(Antoines,MATCH(N1506,Antoine_Name,0),3)/(INDEX(Antoines,MATCH(N1506,Antoine_Name,0),4)+(N1512-32)*5/9)))*14.7/760,IF(N1507="Crude Oil",EXP((2799/(N1512+459.6)-2.227)*LOG10(INDEX(FX_Input,AA$5,N$3*$Z$5+$AA$5))-(7261/(N1512+459.6))+12.82),IF(N1507="Refined Petroleum Stock",EXP((0.7553-(413/(N1512+459.6)))*(INDEX(FX_Input,AA$5,N$3*$Z$5+$AA$5-1)^0.5)*LOG10(INDEX(FX_Input,AA$5,N$3*$Z$5+$AA$5))-(1.854-(1042/(N1512+459.6)))*(INDEX(FX_Input,AA$5,N$3*$Z$5+$AA$5-1)^0.5)+((2416/(N1512+459.6)-2.013)*LOG10(INDEX(FX_Input,AA$5,N$3*$Z$5+$AA$5)))-(8742/(N1512+459.6))+15.64),EXP(INDEX(Antoines,MATCH(N1506,Antoine_Name,0),2)-INDEX(Antoines,MATCH(N1506,Antoine_Name,0),3)/(N1512+459.6))))),0)</f>
        <v>0</v>
      </c>
      <c r="O1517" cm="1">
        <f t="array" ref="O1517">IFERROR(IF(O1507="Chemical",(10^(INDEX(Antoines,MATCH(O1506,Antoine_Name,0),2)-INDEX(Antoines,MATCH(O1506,Antoine_Name,0),3)/(INDEX(Antoines,MATCH(O1506,Antoine_Name,0),4)+(O1512-32)*5/9)))*14.7/760,IF(O1507="Crude Oil",EXP((2799/(O1512+459.6)-2.227)*LOG10(INDEX(FX_Input,AB$5,O$3*$Z$5+$AA$5))-(7261/(O1512+459.6))+12.82),IF(O1507="Refined Petroleum Stock",EXP((0.7553-(413/(O1512+459.6)))*(INDEX(FX_Input,AB$5,O$3*$Z$5+$AA$5-1)^0.5)*LOG10(INDEX(FX_Input,AB$5,O$3*$Z$5+$AA$5))-(1.854-(1042/(O1512+459.6)))*(INDEX(FX_Input,AB$5,O$3*$Z$5+$AA$5-1)^0.5)+((2416/(O1512+459.6)-2.013)*LOG10(INDEX(FX_Input,AB$5,O$3*$Z$5+$AA$5)))-(8742/(O1512+459.6))+15.64),EXP(INDEX(Antoines,MATCH(O1506,Antoine_Name,0),2)-INDEX(Antoines,MATCH(O1506,Antoine_Name,0),3)/(O1512+459.6))))),0)</f>
        <v>0</v>
      </c>
    </row>
    <row r="1518" spans="2:32" ht="17.149999999999999" x14ac:dyDescent="0.55000000000000004">
      <c r="B1518" t="str">
        <f t="shared" si="5524"/>
        <v>Portland</v>
      </c>
      <c r="C1518" t="s">
        <v>577</v>
      </c>
      <c r="D1518">
        <f>D1517*D1510</f>
        <v>0</v>
      </c>
      <c r="E1518">
        <f t="shared" ref="E1518" si="5536">E1517*E1510</f>
        <v>0</v>
      </c>
      <c r="F1518">
        <f t="shared" ref="F1518" si="5537">F1517*F1510</f>
        <v>0</v>
      </c>
      <c r="G1518">
        <f t="shared" ref="G1518" si="5538">G1517*G1510</f>
        <v>0</v>
      </c>
      <c r="H1518">
        <f t="shared" ref="H1518" si="5539">H1517*H1510</f>
        <v>0</v>
      </c>
      <c r="I1518">
        <f t="shared" ref="I1518" si="5540">I1517*I1510</f>
        <v>0</v>
      </c>
      <c r="J1518">
        <f t="shared" ref="J1518" si="5541">J1517*J1510</f>
        <v>0</v>
      </c>
      <c r="K1518">
        <f t="shared" ref="K1518" si="5542">K1517*K1510</f>
        <v>0</v>
      </c>
      <c r="L1518">
        <f t="shared" ref="L1518" si="5543">L1517*L1510</f>
        <v>0</v>
      </c>
      <c r="M1518">
        <f t="shared" ref="M1518" si="5544">M1517*M1510</f>
        <v>0</v>
      </c>
      <c r="N1518">
        <f t="shared" ref="N1518" si="5545">N1517*N1510</f>
        <v>0</v>
      </c>
      <c r="O1518">
        <f t="shared" ref="O1518" si="5546">O1517*O1510</f>
        <v>0</v>
      </c>
    </row>
    <row r="1519" spans="2:32" ht="17.149999999999999" x14ac:dyDescent="0.55000000000000004">
      <c r="B1519" t="str">
        <f t="shared" si="5524"/>
        <v>Portland</v>
      </c>
      <c r="C1519" t="s">
        <v>578</v>
      </c>
      <c r="D1519">
        <f>D1518+D1516</f>
        <v>4.739577185808354E-3</v>
      </c>
      <c r="E1519">
        <f t="shared" ref="E1519" si="5547">E1518+E1516</f>
        <v>4.8748667780818778E-3</v>
      </c>
      <c r="F1519">
        <f t="shared" ref="F1519" si="5548">F1518+F1516</f>
        <v>5.119885034186122E-3</v>
      </c>
      <c r="G1519">
        <f t="shared" ref="G1519" si="5549">G1518+G1516</f>
        <v>5.5846958573521795E-3</v>
      </c>
      <c r="H1519">
        <f t="shared" ref="H1519" si="5550">H1518+H1516</f>
        <v>6.5274070972739821E-3</v>
      </c>
      <c r="I1519">
        <f t="shared" ref="I1519" si="5551">I1518+I1516</f>
        <v>7.4199539958878279E-3</v>
      </c>
      <c r="J1519">
        <f t="shared" ref="J1519" si="5552">J1518+J1516</f>
        <v>8.3358107202842254E-3</v>
      </c>
      <c r="K1519">
        <f t="shared" ref="K1519" si="5553">K1518+K1516</f>
        <v>8.4605262729351115E-3</v>
      </c>
      <c r="L1519">
        <f t="shared" ref="L1519" si="5554">L1518+L1516</f>
        <v>7.8399882233967533E-3</v>
      </c>
      <c r="M1519">
        <f t="shared" ref="M1519" si="5555">M1518+M1516</f>
        <v>6.4173462075160911E-3</v>
      </c>
      <c r="N1519">
        <f t="shared" ref="N1519" si="5556">N1518+N1516</f>
        <v>5.3015226887581056E-3</v>
      </c>
      <c r="O1519">
        <f t="shared" ref="O1519" si="5557">O1518+O1516</f>
        <v>4.68970903600947E-3</v>
      </c>
    </row>
    <row r="1520" spans="2:32" ht="17.149999999999999" x14ac:dyDescent="0.55000000000000004">
      <c r="B1520" t="str">
        <f t="shared" si="5524"/>
        <v>Portland</v>
      </c>
      <c r="C1520" t="s">
        <v>579</v>
      </c>
      <c r="D1520" cm="1">
        <f t="array" ref="D1520">IFERROR(IF(D1505="Chemical",(10^(INDEX(Antoines,MATCH(D1504,Antoine_Name,0),2)-INDEX(Antoines,MATCH(D1504,Antoine_Name,0),3)/(INDEX(Antoines,MATCH(D1504,Antoine_Name,0),4)+(D1513-32)*5/9)))*14.7/760,IF(D1505="Crude Oil",EXP((2799/(D1513+459.6)-2.227)*LOG10(INDEX(FX_Input,Q$5,D$3*$Z$5+$AA$5))-(7261/(D1513+459.6))+12.82),IF(D1505="Refined Petroleum Stock",EXP((0.7553-(413/(D1513+459.6)))*(INDEX(FX_Input,Q$5,D$3*$Z$5+$AA$5-1)^0.5)*LOG10(INDEX(FX_Input,Q$5,D$3*$Z$5+$AA$5))-(1.854-(1042/(D1513+459.6)))*(INDEX(FX_Input,Q$5,D$3*$Z$5+$AA$5-1)^0.5)+((2416/(D1513+459.6)-2.013)*LOG10(INDEX(FX_Input,Q$5,D$3*$Z$5+$AA$5)))-(8742/(D1513+459.6))+15.64),EXP(INDEX(Antoines,MATCH(D1504,Antoine_Name,0),2)-INDEX(Antoines,MATCH(D1504,Antoine_Name,0),3)/(D1513+459.6))))),0)</f>
        <v>4.739577185808354E-3</v>
      </c>
      <c r="E1520" cm="1">
        <f t="array" ref="E1520">IFERROR(IF(E1505="Chemical",(10^(INDEX(Antoines,MATCH(E1504,Antoine_Name,0),2)-INDEX(Antoines,MATCH(E1504,Antoine_Name,0),3)/(INDEX(Antoines,MATCH(E1504,Antoine_Name,0),4)+(E1513-32)*5/9)))*14.7/760,IF(E1505="Crude Oil",EXP((2799/(E1513+459.6)-2.227)*LOG10(INDEX(FX_Input,R$5,E$3*$Z$5+$AA$5))-(7261/(E1513+459.6))+12.82),IF(E1505="Refined Petroleum Stock",EXP((0.7553-(413/(E1513+459.6)))*(INDEX(FX_Input,R$5,E$3*$Z$5+$AA$5-1)^0.5)*LOG10(INDEX(FX_Input,R$5,E$3*$Z$5+$AA$5))-(1.854-(1042/(E1513+459.6)))*(INDEX(FX_Input,R$5,E$3*$Z$5+$AA$5-1)^0.5)+((2416/(E1513+459.6)-2.013)*LOG10(INDEX(FX_Input,R$5,E$3*$Z$5+$AA$5)))-(8742/(E1513+459.6))+15.64),EXP(INDEX(Antoines,MATCH(E1504,Antoine_Name,0),2)-INDEX(Antoines,MATCH(E1504,Antoine_Name,0),3)/(E1513+459.6))))),0)</f>
        <v>4.8748667780818778E-3</v>
      </c>
      <c r="F1520" cm="1">
        <f t="array" ref="F1520">IFERROR(IF(F1505="Chemical",(10^(INDEX(Antoines,MATCH(F1504,Antoine_Name,0),2)-INDEX(Antoines,MATCH(F1504,Antoine_Name,0),3)/(INDEX(Antoines,MATCH(F1504,Antoine_Name,0),4)+(F1513-32)*5/9)))*14.7/760,IF(F1505="Crude Oil",EXP((2799/(F1513+459.6)-2.227)*LOG10(INDEX(FX_Input,S$5,F$3*$Z$5+$AA$5))-(7261/(F1513+459.6))+12.82),IF(F1505="Refined Petroleum Stock",EXP((0.7553-(413/(F1513+459.6)))*(INDEX(FX_Input,S$5,F$3*$Z$5+$AA$5-1)^0.5)*LOG10(INDEX(FX_Input,S$5,F$3*$Z$5+$AA$5))-(1.854-(1042/(F1513+459.6)))*(INDEX(FX_Input,S$5,F$3*$Z$5+$AA$5-1)^0.5)+((2416/(F1513+459.6)-2.013)*LOG10(INDEX(FX_Input,S$5,F$3*$Z$5+$AA$5)))-(8742/(F1513+459.6))+15.64),EXP(INDEX(Antoines,MATCH(F1504,Antoine_Name,0),2)-INDEX(Antoines,MATCH(F1504,Antoine_Name,0),3)/(F1513+459.6))))),0)</f>
        <v>5.119885034186122E-3</v>
      </c>
      <c r="G1520" cm="1">
        <f t="array" ref="G1520">IFERROR(IF(G1505="Chemical",(10^(INDEX(Antoines,MATCH(G1504,Antoine_Name,0),2)-INDEX(Antoines,MATCH(G1504,Antoine_Name,0),3)/(INDEX(Antoines,MATCH(G1504,Antoine_Name,0),4)+(G1513-32)*5/9)))*14.7/760,IF(G1505="Crude Oil",EXP((2799/(G1513+459.6)-2.227)*LOG10(INDEX(FX_Input,T$5,G$3*$Z$5+$AA$5))-(7261/(G1513+459.6))+12.82),IF(G1505="Refined Petroleum Stock",EXP((0.7553-(413/(G1513+459.6)))*(INDEX(FX_Input,T$5,G$3*$Z$5+$AA$5-1)^0.5)*LOG10(INDEX(FX_Input,T$5,G$3*$Z$5+$AA$5))-(1.854-(1042/(G1513+459.6)))*(INDEX(FX_Input,T$5,G$3*$Z$5+$AA$5-1)^0.5)+((2416/(G1513+459.6)-2.013)*LOG10(INDEX(FX_Input,T$5,G$3*$Z$5+$AA$5)))-(8742/(G1513+459.6))+15.64),EXP(INDEX(Antoines,MATCH(G1504,Antoine_Name,0),2)-INDEX(Antoines,MATCH(G1504,Antoine_Name,0),3)/(G1513+459.6))))),0)</f>
        <v>5.5846958573521795E-3</v>
      </c>
      <c r="H1520" cm="1">
        <f t="array" ref="H1520">IFERROR(IF(H1505="Chemical",(10^(INDEX(Antoines,MATCH(H1504,Antoine_Name,0),2)-INDEX(Antoines,MATCH(H1504,Antoine_Name,0),3)/(INDEX(Antoines,MATCH(H1504,Antoine_Name,0),4)+(H1513-32)*5/9)))*14.7/760,IF(H1505="Crude Oil",EXP((2799/(H1513+459.6)-2.227)*LOG10(INDEX(FX_Input,U$5,H$3*$Z$5+$AA$5))-(7261/(H1513+459.6))+12.82),IF(H1505="Refined Petroleum Stock",EXP((0.7553-(413/(H1513+459.6)))*(INDEX(FX_Input,U$5,H$3*$Z$5+$AA$5-1)^0.5)*LOG10(INDEX(FX_Input,U$5,H$3*$Z$5+$AA$5))-(1.854-(1042/(H1513+459.6)))*(INDEX(FX_Input,U$5,H$3*$Z$5+$AA$5-1)^0.5)+((2416/(H1513+459.6)-2.013)*LOG10(INDEX(FX_Input,U$5,H$3*$Z$5+$AA$5)))-(8742/(H1513+459.6))+15.64),EXP(INDEX(Antoines,MATCH(H1504,Antoine_Name,0),2)-INDEX(Antoines,MATCH(H1504,Antoine_Name,0),3)/(H1513+459.6))))),0)</f>
        <v>6.5274070972739821E-3</v>
      </c>
      <c r="I1520" cm="1">
        <f t="array" ref="I1520">IFERROR(IF(I1505="Chemical",(10^(INDEX(Antoines,MATCH(I1504,Antoine_Name,0),2)-INDEX(Antoines,MATCH(I1504,Antoine_Name,0),3)/(INDEX(Antoines,MATCH(I1504,Antoine_Name,0),4)+(I1513-32)*5/9)))*14.7/760,IF(I1505="Crude Oil",EXP((2799/(I1513+459.6)-2.227)*LOG10(INDEX(FX_Input,V$5,I$3*$Z$5+$AA$5))-(7261/(I1513+459.6))+12.82),IF(I1505="Refined Petroleum Stock",EXP((0.7553-(413/(I1513+459.6)))*(INDEX(FX_Input,V$5,I$3*$Z$5+$AA$5-1)^0.5)*LOG10(INDEX(FX_Input,V$5,I$3*$Z$5+$AA$5))-(1.854-(1042/(I1513+459.6)))*(INDEX(FX_Input,V$5,I$3*$Z$5+$AA$5-1)^0.5)+((2416/(I1513+459.6)-2.013)*LOG10(INDEX(FX_Input,V$5,I$3*$Z$5+$AA$5)))-(8742/(I1513+459.6))+15.64),EXP(INDEX(Antoines,MATCH(I1504,Antoine_Name,0),2)-INDEX(Antoines,MATCH(I1504,Antoine_Name,0),3)/(I1513+459.6))))),0)</f>
        <v>7.4199539958878279E-3</v>
      </c>
      <c r="J1520" cm="1">
        <f t="array" ref="J1520">IFERROR(IF(J1505="Chemical",(10^(INDEX(Antoines,MATCH(J1504,Antoine_Name,0),2)-INDEX(Antoines,MATCH(J1504,Antoine_Name,0),3)/(INDEX(Antoines,MATCH(J1504,Antoine_Name,0),4)+(J1513-32)*5/9)))*14.7/760,IF(J1505="Crude Oil",EXP((2799/(J1513+459.6)-2.227)*LOG10(INDEX(FX_Input,W$5,J$3*$Z$5+$AA$5))-(7261/(J1513+459.6))+12.82),IF(J1505="Refined Petroleum Stock",EXP((0.7553-(413/(J1513+459.6)))*(INDEX(FX_Input,W$5,J$3*$Z$5+$AA$5-1)^0.5)*LOG10(INDEX(FX_Input,W$5,J$3*$Z$5+$AA$5))-(1.854-(1042/(J1513+459.6)))*(INDEX(FX_Input,W$5,J$3*$Z$5+$AA$5-1)^0.5)+((2416/(J1513+459.6)-2.013)*LOG10(INDEX(FX_Input,W$5,J$3*$Z$5+$AA$5)))-(8742/(J1513+459.6))+15.64),EXP(INDEX(Antoines,MATCH(J1504,Antoine_Name,0),2)-INDEX(Antoines,MATCH(J1504,Antoine_Name,0),3)/(J1513+459.6))))),0)</f>
        <v>8.3358107202842254E-3</v>
      </c>
      <c r="K1520" cm="1">
        <f t="array" ref="K1520">IFERROR(IF(K1505="Chemical",(10^(INDEX(Antoines,MATCH(K1504,Antoine_Name,0),2)-INDEX(Antoines,MATCH(K1504,Antoine_Name,0),3)/(INDEX(Antoines,MATCH(K1504,Antoine_Name,0),4)+(K1513-32)*5/9)))*14.7/760,IF(K1505="Crude Oil",EXP((2799/(K1513+459.6)-2.227)*LOG10(INDEX(FX_Input,X$5,K$3*$Z$5+$AA$5))-(7261/(K1513+459.6))+12.82),IF(K1505="Refined Petroleum Stock",EXP((0.7553-(413/(K1513+459.6)))*(INDEX(FX_Input,X$5,K$3*$Z$5+$AA$5-1)^0.5)*LOG10(INDEX(FX_Input,X$5,K$3*$Z$5+$AA$5))-(1.854-(1042/(K1513+459.6)))*(INDEX(FX_Input,X$5,K$3*$Z$5+$AA$5-1)^0.5)+((2416/(K1513+459.6)-2.013)*LOG10(INDEX(FX_Input,X$5,K$3*$Z$5+$AA$5)))-(8742/(K1513+459.6))+15.64),EXP(INDEX(Antoines,MATCH(K1504,Antoine_Name,0),2)-INDEX(Antoines,MATCH(K1504,Antoine_Name,0),3)/(K1513+459.6))))),0)</f>
        <v>8.4605262729351115E-3</v>
      </c>
      <c r="L1520" cm="1">
        <f t="array" ref="L1520">IFERROR(IF(L1505="Chemical",(10^(INDEX(Antoines,MATCH(L1504,Antoine_Name,0),2)-INDEX(Antoines,MATCH(L1504,Antoine_Name,0),3)/(INDEX(Antoines,MATCH(L1504,Antoine_Name,0),4)+(L1513-32)*5/9)))*14.7/760,IF(L1505="Crude Oil",EXP((2799/(L1513+459.6)-2.227)*LOG10(INDEX(FX_Input,Y$5,L$3*$Z$5+$AA$5))-(7261/(L1513+459.6))+12.82),IF(L1505="Refined Petroleum Stock",EXP((0.7553-(413/(L1513+459.6)))*(INDEX(FX_Input,Y$5,L$3*$Z$5+$AA$5-1)^0.5)*LOG10(INDEX(FX_Input,Y$5,L$3*$Z$5+$AA$5))-(1.854-(1042/(L1513+459.6)))*(INDEX(FX_Input,Y$5,L$3*$Z$5+$AA$5-1)^0.5)+((2416/(L1513+459.6)-2.013)*LOG10(INDEX(FX_Input,Y$5,L$3*$Z$5+$AA$5)))-(8742/(L1513+459.6))+15.64),EXP(INDEX(Antoines,MATCH(L1504,Antoine_Name,0),2)-INDEX(Antoines,MATCH(L1504,Antoine_Name,0),3)/(L1513+459.6))))),0)</f>
        <v>7.8399882233967533E-3</v>
      </c>
      <c r="M1520" cm="1">
        <f t="array" ref="M1520">IFERROR(IF(M1505="Chemical",(10^(INDEX(Antoines,MATCH(M1504,Antoine_Name,0),2)-INDEX(Antoines,MATCH(M1504,Antoine_Name,0),3)/(INDEX(Antoines,MATCH(M1504,Antoine_Name,0),4)+(M1513-32)*5/9)))*14.7/760,IF(M1505="Crude Oil",EXP((2799/(M1513+459.6)-2.227)*LOG10(INDEX(FX_Input,Z$5,M$3*$Z$5+$AA$5))-(7261/(M1513+459.6))+12.82),IF(M1505="Refined Petroleum Stock",EXP((0.7553-(413/(M1513+459.6)))*(INDEX(FX_Input,Z$5,M$3*$Z$5+$AA$5-1)^0.5)*LOG10(INDEX(FX_Input,Z$5,M$3*$Z$5+$AA$5))-(1.854-(1042/(M1513+459.6)))*(INDEX(FX_Input,Z$5,M$3*$Z$5+$AA$5-1)^0.5)+((2416/(M1513+459.6)-2.013)*LOG10(INDEX(FX_Input,Z$5,M$3*$Z$5+$AA$5)))-(8742/(M1513+459.6))+15.64),EXP(INDEX(Antoines,MATCH(M1504,Antoine_Name,0),2)-INDEX(Antoines,MATCH(M1504,Antoine_Name,0),3)/(M1513+459.6))))),0)</f>
        <v>6.4173462075160911E-3</v>
      </c>
      <c r="N1520" cm="1">
        <f t="array" ref="N1520">IFERROR(IF(N1505="Chemical",(10^(INDEX(Antoines,MATCH(N1504,Antoine_Name,0),2)-INDEX(Antoines,MATCH(N1504,Antoine_Name,0),3)/(INDEX(Antoines,MATCH(N1504,Antoine_Name,0),4)+(N1513-32)*5/9)))*14.7/760,IF(N1505="Crude Oil",EXP((2799/(N1513+459.6)-2.227)*LOG10(INDEX(FX_Input,AA$5,N$3*$Z$5+$AA$5))-(7261/(N1513+459.6))+12.82),IF(N1505="Refined Petroleum Stock",EXP((0.7553-(413/(N1513+459.6)))*(INDEX(FX_Input,AA$5,N$3*$Z$5+$AA$5-1)^0.5)*LOG10(INDEX(FX_Input,AA$5,N$3*$Z$5+$AA$5))-(1.854-(1042/(N1513+459.6)))*(INDEX(FX_Input,AA$5,N$3*$Z$5+$AA$5-1)^0.5)+((2416/(N1513+459.6)-2.013)*LOG10(INDEX(FX_Input,AA$5,N$3*$Z$5+$AA$5)))-(8742/(N1513+459.6))+15.64),EXP(INDEX(Antoines,MATCH(N1504,Antoine_Name,0),2)-INDEX(Antoines,MATCH(N1504,Antoine_Name,0),3)/(N1513+459.6))))),0)</f>
        <v>5.3015226887581056E-3</v>
      </c>
      <c r="O1520" cm="1">
        <f t="array" ref="O1520">IFERROR(IF(O1505="Chemical",(10^(INDEX(Antoines,MATCH(O1504,Antoine_Name,0),2)-INDEX(Antoines,MATCH(O1504,Antoine_Name,0),3)/(INDEX(Antoines,MATCH(O1504,Antoine_Name,0),4)+(O1513-32)*5/9)))*14.7/760,IF(O1505="Crude Oil",EXP((2799/(O1513+459.6)-2.227)*LOG10(INDEX(FX_Input,AB$5,O$3*$Z$5+$AA$5))-(7261/(O1513+459.6))+12.82),IF(O1505="Refined Petroleum Stock",EXP((0.7553-(413/(O1513+459.6)))*(INDEX(FX_Input,AB$5,O$3*$Z$5+$AA$5-1)^0.5)*LOG10(INDEX(FX_Input,AB$5,O$3*$Z$5+$AA$5))-(1.854-(1042/(O1513+459.6)))*(INDEX(FX_Input,AB$5,O$3*$Z$5+$AA$5-1)^0.5)+((2416/(O1513+459.6)-2.013)*LOG10(INDEX(FX_Input,AB$5,O$3*$Z$5+$AA$5)))-(8742/(O1513+459.6))+15.64),EXP(INDEX(Antoines,MATCH(O1504,Antoine_Name,0),2)-INDEX(Antoines,MATCH(O1504,Antoine_Name,0),3)/(O1513+459.6))))),0)</f>
        <v>4.68970903600947E-3</v>
      </c>
    </row>
    <row r="1521" spans="1:32" ht="17.149999999999999" x14ac:dyDescent="0.55000000000000004">
      <c r="B1521" t="str">
        <f t="shared" si="5524"/>
        <v>Portland</v>
      </c>
      <c r="C1521" t="s">
        <v>580</v>
      </c>
      <c r="D1521">
        <f>D1520*D1508</f>
        <v>4.739577185808354E-3</v>
      </c>
      <c r="E1521">
        <f t="shared" ref="E1521" si="5558">E1520*E1508</f>
        <v>4.8748667780818778E-3</v>
      </c>
      <c r="F1521">
        <f t="shared" ref="F1521" si="5559">F1520*F1508</f>
        <v>5.119885034186122E-3</v>
      </c>
      <c r="G1521">
        <f t="shared" ref="G1521" si="5560">G1520*G1508</f>
        <v>5.5846958573521795E-3</v>
      </c>
      <c r="H1521">
        <f t="shared" ref="H1521" si="5561">H1520*H1508</f>
        <v>6.5274070972739821E-3</v>
      </c>
      <c r="I1521">
        <f t="shared" ref="I1521" si="5562">I1520*I1508</f>
        <v>7.4199539958878279E-3</v>
      </c>
      <c r="J1521">
        <f t="shared" ref="J1521" si="5563">J1520*J1508</f>
        <v>8.3358107202842254E-3</v>
      </c>
      <c r="K1521">
        <f t="shared" ref="K1521" si="5564">K1520*K1508</f>
        <v>8.4605262729351115E-3</v>
      </c>
      <c r="L1521">
        <f t="shared" ref="L1521" si="5565">L1520*L1508</f>
        <v>7.8399882233967533E-3</v>
      </c>
      <c r="M1521">
        <f t="shared" ref="M1521" si="5566">M1520*M1508</f>
        <v>6.4173462075160911E-3</v>
      </c>
      <c r="N1521">
        <f t="shared" ref="N1521" si="5567">N1520*N1508</f>
        <v>5.3015226887581056E-3</v>
      </c>
      <c r="O1521">
        <f t="shared" ref="O1521" si="5568">O1520*O1508</f>
        <v>4.68970903600947E-3</v>
      </c>
    </row>
    <row r="1522" spans="1:32" ht="17.149999999999999" x14ac:dyDescent="0.55000000000000004">
      <c r="B1522" t="str">
        <f t="shared" si="5524"/>
        <v>Portland</v>
      </c>
      <c r="C1522" t="s">
        <v>581</v>
      </c>
      <c r="D1522" cm="1">
        <f t="array" ref="D1522">IFERROR(IF(D1507="Chemical",(10^(INDEX(Antoines,MATCH(D1506,Antoine_Name,0),2)-INDEX(Antoines,MATCH(D1506,Antoine_Name,0),3)/(INDEX(Antoines,MATCH(D1506,Antoine_Name,0),4)+(D1513-32)*5/9)))*14.7/760,IF(D1507="Crude Oil",EXP((2799/(D1513+459.6)-2.227)*LOG10(INDEX(FX_Input,Q$5,D$3*$Z$5+$AA$5))-(7261/(D1513+459.6))+12.82),IF(D1507="Refined Petroleum Stock",EXP((0.7553-(413/(D1513+459.6)))*(INDEX(FX_Input,Q$5,D$3*$Z$5+$AA$5-1)^0.5)*LOG10(INDEX(FX_Input,Q$5,D$3*$Z$5+$AA$5))-(1.854-(1042/(D1513+459.6)))*(INDEX(FX_Input,Q$5,D$3*$Z$5+$AA$5-1)^0.5)+((2416/(D1513+459.6)-2.013)*LOG10(INDEX(FX_Input,Q$5,D$3*$Z$5+$AA$5)))-(8742/(D1513+459.6))+15.64),EXP(INDEX(Antoines,MATCH(D1506,Antoine_Name,0),2)-INDEX(Antoines,MATCH(D1506,Antoine_Name,0),3)/(D1513+459.6))))),0)</f>
        <v>0</v>
      </c>
      <c r="E1522" cm="1">
        <f t="array" ref="E1522">IFERROR(IF(E1507="Chemical",(10^(INDEX(Antoines,MATCH(E1506,Antoine_Name,0),2)-INDEX(Antoines,MATCH(E1506,Antoine_Name,0),3)/(INDEX(Antoines,MATCH(E1506,Antoine_Name,0),4)+(E1513-32)*5/9)))*14.7/760,IF(E1507="Crude Oil",EXP((2799/(E1513+459.6)-2.227)*LOG10(INDEX(FX_Input,R$5,E$3*$Z$5+$AA$5))-(7261/(E1513+459.6))+12.82),IF(E1507="Refined Petroleum Stock",EXP((0.7553-(413/(E1513+459.6)))*(INDEX(FX_Input,R$5,E$3*$Z$5+$AA$5-1)^0.5)*LOG10(INDEX(FX_Input,R$5,E$3*$Z$5+$AA$5))-(1.854-(1042/(E1513+459.6)))*(INDEX(FX_Input,R$5,E$3*$Z$5+$AA$5-1)^0.5)+((2416/(E1513+459.6)-2.013)*LOG10(INDEX(FX_Input,R$5,E$3*$Z$5+$AA$5)))-(8742/(E1513+459.6))+15.64),EXP(INDEX(Antoines,MATCH(E1506,Antoine_Name,0),2)-INDEX(Antoines,MATCH(E1506,Antoine_Name,0),3)/(E1513+459.6))))),0)</f>
        <v>0</v>
      </c>
      <c r="F1522" cm="1">
        <f t="array" ref="F1522">IFERROR(IF(F1507="Chemical",(10^(INDEX(Antoines,MATCH(F1506,Antoine_Name,0),2)-INDEX(Antoines,MATCH(F1506,Antoine_Name,0),3)/(INDEX(Antoines,MATCH(F1506,Antoine_Name,0),4)+(F1513-32)*5/9)))*14.7/760,IF(F1507="Crude Oil",EXP((2799/(F1513+459.6)-2.227)*LOG10(INDEX(FX_Input,S$5,F$3*$Z$5+$AA$5))-(7261/(F1513+459.6))+12.82),IF(F1507="Refined Petroleum Stock",EXP((0.7553-(413/(F1513+459.6)))*(INDEX(FX_Input,S$5,F$3*$Z$5+$AA$5-1)^0.5)*LOG10(INDEX(FX_Input,S$5,F$3*$Z$5+$AA$5))-(1.854-(1042/(F1513+459.6)))*(INDEX(FX_Input,S$5,F$3*$Z$5+$AA$5-1)^0.5)+((2416/(F1513+459.6)-2.013)*LOG10(INDEX(FX_Input,S$5,F$3*$Z$5+$AA$5)))-(8742/(F1513+459.6))+15.64),EXP(INDEX(Antoines,MATCH(F1506,Antoine_Name,0),2)-INDEX(Antoines,MATCH(F1506,Antoine_Name,0),3)/(F1513+459.6))))),0)</f>
        <v>0</v>
      </c>
      <c r="G1522" cm="1">
        <f t="array" ref="G1522">IFERROR(IF(G1507="Chemical",(10^(INDEX(Antoines,MATCH(G1506,Antoine_Name,0),2)-INDEX(Antoines,MATCH(G1506,Antoine_Name,0),3)/(INDEX(Antoines,MATCH(G1506,Antoine_Name,0),4)+(G1513-32)*5/9)))*14.7/760,IF(G1507="Crude Oil",EXP((2799/(G1513+459.6)-2.227)*LOG10(INDEX(FX_Input,T$5,G$3*$Z$5+$AA$5))-(7261/(G1513+459.6))+12.82),IF(G1507="Refined Petroleum Stock",EXP((0.7553-(413/(G1513+459.6)))*(INDEX(FX_Input,T$5,G$3*$Z$5+$AA$5-1)^0.5)*LOG10(INDEX(FX_Input,T$5,G$3*$Z$5+$AA$5))-(1.854-(1042/(G1513+459.6)))*(INDEX(FX_Input,T$5,G$3*$Z$5+$AA$5-1)^0.5)+((2416/(G1513+459.6)-2.013)*LOG10(INDEX(FX_Input,T$5,G$3*$Z$5+$AA$5)))-(8742/(G1513+459.6))+15.64),EXP(INDEX(Antoines,MATCH(G1506,Antoine_Name,0),2)-INDEX(Antoines,MATCH(G1506,Antoine_Name,0),3)/(G1513+459.6))))),0)</f>
        <v>0</v>
      </c>
      <c r="H1522" cm="1">
        <f t="array" ref="H1522">IFERROR(IF(H1507="Chemical",(10^(INDEX(Antoines,MATCH(H1506,Antoine_Name,0),2)-INDEX(Antoines,MATCH(H1506,Antoine_Name,0),3)/(INDEX(Antoines,MATCH(H1506,Antoine_Name,0),4)+(H1513-32)*5/9)))*14.7/760,IF(H1507="Crude Oil",EXP((2799/(H1513+459.6)-2.227)*LOG10(INDEX(FX_Input,U$5,H$3*$Z$5+$AA$5))-(7261/(H1513+459.6))+12.82),IF(H1507="Refined Petroleum Stock",EXP((0.7553-(413/(H1513+459.6)))*(INDEX(FX_Input,U$5,H$3*$Z$5+$AA$5-1)^0.5)*LOG10(INDEX(FX_Input,U$5,H$3*$Z$5+$AA$5))-(1.854-(1042/(H1513+459.6)))*(INDEX(FX_Input,U$5,H$3*$Z$5+$AA$5-1)^0.5)+((2416/(H1513+459.6)-2.013)*LOG10(INDEX(FX_Input,U$5,H$3*$Z$5+$AA$5)))-(8742/(H1513+459.6))+15.64),EXP(INDEX(Antoines,MATCH(H1506,Antoine_Name,0),2)-INDEX(Antoines,MATCH(H1506,Antoine_Name,0),3)/(H1513+459.6))))),0)</f>
        <v>0</v>
      </c>
      <c r="I1522" cm="1">
        <f t="array" ref="I1522">IFERROR(IF(I1507="Chemical",(10^(INDEX(Antoines,MATCH(I1506,Antoine_Name,0),2)-INDEX(Antoines,MATCH(I1506,Antoine_Name,0),3)/(INDEX(Antoines,MATCH(I1506,Antoine_Name,0),4)+(I1513-32)*5/9)))*14.7/760,IF(I1507="Crude Oil",EXP((2799/(I1513+459.6)-2.227)*LOG10(INDEX(FX_Input,V$5,I$3*$Z$5+$AA$5))-(7261/(I1513+459.6))+12.82),IF(I1507="Refined Petroleum Stock",EXP((0.7553-(413/(I1513+459.6)))*(INDEX(FX_Input,V$5,I$3*$Z$5+$AA$5-1)^0.5)*LOG10(INDEX(FX_Input,V$5,I$3*$Z$5+$AA$5))-(1.854-(1042/(I1513+459.6)))*(INDEX(FX_Input,V$5,I$3*$Z$5+$AA$5-1)^0.5)+((2416/(I1513+459.6)-2.013)*LOG10(INDEX(FX_Input,V$5,I$3*$Z$5+$AA$5)))-(8742/(I1513+459.6))+15.64),EXP(INDEX(Antoines,MATCH(I1506,Antoine_Name,0),2)-INDEX(Antoines,MATCH(I1506,Antoine_Name,0),3)/(I1513+459.6))))),0)</f>
        <v>0</v>
      </c>
      <c r="J1522" cm="1">
        <f t="array" ref="J1522">IFERROR(IF(J1507="Chemical",(10^(INDEX(Antoines,MATCH(J1506,Antoine_Name,0),2)-INDEX(Antoines,MATCH(J1506,Antoine_Name,0),3)/(INDEX(Antoines,MATCH(J1506,Antoine_Name,0),4)+(J1513-32)*5/9)))*14.7/760,IF(J1507="Crude Oil",EXP((2799/(J1513+459.6)-2.227)*LOG10(INDEX(FX_Input,W$5,J$3*$Z$5+$AA$5))-(7261/(J1513+459.6))+12.82),IF(J1507="Refined Petroleum Stock",EXP((0.7553-(413/(J1513+459.6)))*(INDEX(FX_Input,W$5,J$3*$Z$5+$AA$5-1)^0.5)*LOG10(INDEX(FX_Input,W$5,J$3*$Z$5+$AA$5))-(1.854-(1042/(J1513+459.6)))*(INDEX(FX_Input,W$5,J$3*$Z$5+$AA$5-1)^0.5)+((2416/(J1513+459.6)-2.013)*LOG10(INDEX(FX_Input,W$5,J$3*$Z$5+$AA$5)))-(8742/(J1513+459.6))+15.64),EXP(INDEX(Antoines,MATCH(J1506,Antoine_Name,0),2)-INDEX(Antoines,MATCH(J1506,Antoine_Name,0),3)/(J1513+459.6))))),0)</f>
        <v>0</v>
      </c>
      <c r="K1522" cm="1">
        <f t="array" ref="K1522">IFERROR(IF(K1507="Chemical",(10^(INDEX(Antoines,MATCH(K1506,Antoine_Name,0),2)-INDEX(Antoines,MATCH(K1506,Antoine_Name,0),3)/(INDEX(Antoines,MATCH(K1506,Antoine_Name,0),4)+(K1513-32)*5/9)))*14.7/760,IF(K1507="Crude Oil",EXP((2799/(K1513+459.6)-2.227)*LOG10(INDEX(FX_Input,X$5,K$3*$Z$5+$AA$5))-(7261/(K1513+459.6))+12.82),IF(K1507="Refined Petroleum Stock",EXP((0.7553-(413/(K1513+459.6)))*(INDEX(FX_Input,X$5,K$3*$Z$5+$AA$5-1)^0.5)*LOG10(INDEX(FX_Input,X$5,K$3*$Z$5+$AA$5))-(1.854-(1042/(K1513+459.6)))*(INDEX(FX_Input,X$5,K$3*$Z$5+$AA$5-1)^0.5)+((2416/(K1513+459.6)-2.013)*LOG10(INDEX(FX_Input,X$5,K$3*$Z$5+$AA$5)))-(8742/(K1513+459.6))+15.64),EXP(INDEX(Antoines,MATCH(K1506,Antoine_Name,0),2)-INDEX(Antoines,MATCH(K1506,Antoine_Name,0),3)/(K1513+459.6))))),0)</f>
        <v>0</v>
      </c>
      <c r="L1522" cm="1">
        <f t="array" ref="L1522">IFERROR(IF(L1507="Chemical",(10^(INDEX(Antoines,MATCH(L1506,Antoine_Name,0),2)-INDEX(Antoines,MATCH(L1506,Antoine_Name,0),3)/(INDEX(Antoines,MATCH(L1506,Antoine_Name,0),4)+(L1513-32)*5/9)))*14.7/760,IF(L1507="Crude Oil",EXP((2799/(L1513+459.6)-2.227)*LOG10(INDEX(FX_Input,Y$5,L$3*$Z$5+$AA$5))-(7261/(L1513+459.6))+12.82),IF(L1507="Refined Petroleum Stock",EXP((0.7553-(413/(L1513+459.6)))*(INDEX(FX_Input,Y$5,L$3*$Z$5+$AA$5-1)^0.5)*LOG10(INDEX(FX_Input,Y$5,L$3*$Z$5+$AA$5))-(1.854-(1042/(L1513+459.6)))*(INDEX(FX_Input,Y$5,L$3*$Z$5+$AA$5-1)^0.5)+((2416/(L1513+459.6)-2.013)*LOG10(INDEX(FX_Input,Y$5,L$3*$Z$5+$AA$5)))-(8742/(L1513+459.6))+15.64),EXP(INDEX(Antoines,MATCH(L1506,Antoine_Name,0),2)-INDEX(Antoines,MATCH(L1506,Antoine_Name,0),3)/(L1513+459.6))))),0)</f>
        <v>0</v>
      </c>
      <c r="M1522" cm="1">
        <f t="array" ref="M1522">IFERROR(IF(M1507="Chemical",(10^(INDEX(Antoines,MATCH(M1506,Antoine_Name,0),2)-INDEX(Antoines,MATCH(M1506,Antoine_Name,0),3)/(INDEX(Antoines,MATCH(M1506,Antoine_Name,0),4)+(M1513-32)*5/9)))*14.7/760,IF(M1507="Crude Oil",EXP((2799/(M1513+459.6)-2.227)*LOG10(INDEX(FX_Input,Z$5,M$3*$Z$5+$AA$5))-(7261/(M1513+459.6))+12.82),IF(M1507="Refined Petroleum Stock",EXP((0.7553-(413/(M1513+459.6)))*(INDEX(FX_Input,Z$5,M$3*$Z$5+$AA$5-1)^0.5)*LOG10(INDEX(FX_Input,Z$5,M$3*$Z$5+$AA$5))-(1.854-(1042/(M1513+459.6)))*(INDEX(FX_Input,Z$5,M$3*$Z$5+$AA$5-1)^0.5)+((2416/(M1513+459.6)-2.013)*LOG10(INDEX(FX_Input,Z$5,M$3*$Z$5+$AA$5)))-(8742/(M1513+459.6))+15.64),EXP(INDEX(Antoines,MATCH(M1506,Antoine_Name,0),2)-INDEX(Antoines,MATCH(M1506,Antoine_Name,0),3)/(M1513+459.6))))),0)</f>
        <v>0</v>
      </c>
      <c r="N1522" cm="1">
        <f t="array" ref="N1522">IFERROR(IF(N1507="Chemical",(10^(INDEX(Antoines,MATCH(N1506,Antoine_Name,0),2)-INDEX(Antoines,MATCH(N1506,Antoine_Name,0),3)/(INDEX(Antoines,MATCH(N1506,Antoine_Name,0),4)+(N1513-32)*5/9)))*14.7/760,IF(N1507="Crude Oil",EXP((2799/(N1513+459.6)-2.227)*LOG10(INDEX(FX_Input,AA$5,N$3*$Z$5+$AA$5))-(7261/(N1513+459.6))+12.82),IF(N1507="Refined Petroleum Stock",EXP((0.7553-(413/(N1513+459.6)))*(INDEX(FX_Input,AA$5,N$3*$Z$5+$AA$5-1)^0.5)*LOG10(INDEX(FX_Input,AA$5,N$3*$Z$5+$AA$5))-(1.854-(1042/(N1513+459.6)))*(INDEX(FX_Input,AA$5,N$3*$Z$5+$AA$5-1)^0.5)+((2416/(N1513+459.6)-2.013)*LOG10(INDEX(FX_Input,AA$5,N$3*$Z$5+$AA$5)))-(8742/(N1513+459.6))+15.64),EXP(INDEX(Antoines,MATCH(N1506,Antoine_Name,0),2)-INDEX(Antoines,MATCH(N1506,Antoine_Name,0),3)/(N1513+459.6))))),0)</f>
        <v>0</v>
      </c>
      <c r="O1522" cm="1">
        <f t="array" ref="O1522">IFERROR(IF(O1507="Chemical",(10^(INDEX(Antoines,MATCH(O1506,Antoine_Name,0),2)-INDEX(Antoines,MATCH(O1506,Antoine_Name,0),3)/(INDEX(Antoines,MATCH(O1506,Antoine_Name,0),4)+(O1513-32)*5/9)))*14.7/760,IF(O1507="Crude Oil",EXP((2799/(O1513+459.6)-2.227)*LOG10(INDEX(FX_Input,AB$5,O$3*$Z$5+$AA$5))-(7261/(O1513+459.6))+12.82),IF(O1507="Refined Petroleum Stock",EXP((0.7553-(413/(O1513+459.6)))*(INDEX(FX_Input,AB$5,O$3*$Z$5+$AA$5-1)^0.5)*LOG10(INDEX(FX_Input,AB$5,O$3*$Z$5+$AA$5))-(1.854-(1042/(O1513+459.6)))*(INDEX(FX_Input,AB$5,O$3*$Z$5+$AA$5-1)^0.5)+((2416/(O1513+459.6)-2.013)*LOG10(INDEX(FX_Input,AB$5,O$3*$Z$5+$AA$5)))-(8742/(O1513+459.6))+15.64),EXP(INDEX(Antoines,MATCH(O1506,Antoine_Name,0),2)-INDEX(Antoines,MATCH(O1506,Antoine_Name,0),3)/(O1513+459.6))))),0)</f>
        <v>0</v>
      </c>
    </row>
    <row r="1523" spans="1:32" ht="17.149999999999999" x14ac:dyDescent="0.55000000000000004">
      <c r="B1523" t="str">
        <f t="shared" si="5524"/>
        <v>Portland</v>
      </c>
      <c r="C1523" t="s">
        <v>582</v>
      </c>
      <c r="D1523">
        <f>D1522*D1510</f>
        <v>0</v>
      </c>
      <c r="E1523">
        <f t="shared" ref="E1523" si="5569">E1522*E1510</f>
        <v>0</v>
      </c>
      <c r="F1523">
        <f t="shared" ref="F1523" si="5570">F1522*F1510</f>
        <v>0</v>
      </c>
      <c r="G1523">
        <f t="shared" ref="G1523" si="5571">G1522*G1510</f>
        <v>0</v>
      </c>
      <c r="H1523">
        <f t="shared" ref="H1523" si="5572">H1522*H1510</f>
        <v>0</v>
      </c>
      <c r="I1523">
        <f t="shared" ref="I1523" si="5573">I1522*I1510</f>
        <v>0</v>
      </c>
      <c r="J1523">
        <f t="shared" ref="J1523" si="5574">J1522*J1510</f>
        <v>0</v>
      </c>
      <c r="K1523">
        <f t="shared" ref="K1523" si="5575">K1522*K1510</f>
        <v>0</v>
      </c>
      <c r="L1523">
        <f t="shared" ref="L1523" si="5576">L1522*L1510</f>
        <v>0</v>
      </c>
      <c r="M1523">
        <f t="shared" ref="M1523" si="5577">M1522*M1510</f>
        <v>0</v>
      </c>
      <c r="N1523">
        <f t="shared" ref="N1523" si="5578">N1522*N1510</f>
        <v>0</v>
      </c>
      <c r="O1523">
        <f t="shared" ref="O1523" si="5579">O1522*O1510</f>
        <v>0</v>
      </c>
    </row>
    <row r="1524" spans="1:32" ht="17.149999999999999" x14ac:dyDescent="0.55000000000000004">
      <c r="B1524" t="str">
        <f t="shared" si="5524"/>
        <v>Portland</v>
      </c>
      <c r="C1524" t="s">
        <v>583</v>
      </c>
      <c r="D1524">
        <f>D1521+D1523</f>
        <v>4.739577185808354E-3</v>
      </c>
      <c r="E1524">
        <f t="shared" ref="E1524" si="5580">E1521+E1523</f>
        <v>4.8748667780818778E-3</v>
      </c>
      <c r="F1524">
        <f t="shared" ref="F1524" si="5581">F1521+F1523</f>
        <v>5.119885034186122E-3</v>
      </c>
      <c r="G1524">
        <f t="shared" ref="G1524" si="5582">G1521+G1523</f>
        <v>5.5846958573521795E-3</v>
      </c>
      <c r="H1524">
        <f t="shared" ref="H1524" si="5583">H1521+H1523</f>
        <v>6.5274070972739821E-3</v>
      </c>
      <c r="I1524">
        <f t="shared" ref="I1524" si="5584">I1521+I1523</f>
        <v>7.4199539958878279E-3</v>
      </c>
      <c r="J1524">
        <f t="shared" ref="J1524" si="5585">J1521+J1523</f>
        <v>8.3358107202842254E-3</v>
      </c>
      <c r="K1524">
        <f t="shared" ref="K1524" si="5586">K1521+K1523</f>
        <v>8.4605262729351115E-3</v>
      </c>
      <c r="L1524">
        <f t="shared" ref="L1524" si="5587">L1521+L1523</f>
        <v>7.8399882233967533E-3</v>
      </c>
      <c r="M1524">
        <f t="shared" ref="M1524" si="5588">M1521+M1523</f>
        <v>6.4173462075160911E-3</v>
      </c>
      <c r="N1524">
        <f t="shared" ref="N1524" si="5589">N1521+N1523</f>
        <v>5.3015226887581056E-3</v>
      </c>
      <c r="O1524">
        <f t="shared" ref="O1524" si="5590">O1521+O1523</f>
        <v>4.68970903600947E-3</v>
      </c>
    </row>
    <row r="1525" spans="1:32" ht="17.149999999999999" x14ac:dyDescent="0.55000000000000004">
      <c r="B1525" t="str">
        <f t="shared" si="5524"/>
        <v>Portland</v>
      </c>
      <c r="C1525" t="s">
        <v>1388</v>
      </c>
      <c r="D1525" cm="1">
        <f t="array" ref="D1525">IFERROR(IF(D1505="Chemical",(10^(INDEX(Antoines,MATCH(D1504,Antoine_Name,0),2)-INDEX(Antoines,MATCH(D1504,Antoine_Name,0),3)/(INDEX(Antoines,MATCH(D1504,Antoine_Name,0),4)+(D1514-32)*5/9)))*14.7/760,IF(D1505="Crude Oil",EXP((2799/(D1514+459.6)-2.227)*LOG10(INDEX(FX_Input,Q$5,D$3*$Z$5+$AA$5))-(7261/(D1514+459.6))+12.82),IF(D1505="Refined Petroleum Stock",EXP((0.7553-(413/(D1514+459.6)))*(INDEX(FX_Input,Q$5,D$3*$Z$5+$AA$5-1)^0.5)*LOG10(INDEX(FX_Input,Q$5,D$3*$Z$5+$AA$5))-(1.854-(1042/(D1514+459.6)))*(INDEX(FX_Input,Q$5,D$3*$Z$5+$AA$5-1)^0.5)+((2416/(D1514+459.6)-2.013)*LOG10(INDEX(FX_Input,Q$5,D$3*$Z$5+$AA$5)))-(8742/(D1514+459.6))+15.64),EXP(INDEX(Antoines,MATCH(D1504,Antoine_Name,0),2)-INDEX(Antoines,MATCH(D1504,Antoine_Name,0),3)/(D1514+459.6))))),0)</f>
        <v>4.739577185808354E-3</v>
      </c>
      <c r="E1525" cm="1">
        <f t="array" ref="E1525">IFERROR(IF(E1505="Chemical",(10^(INDEX(Antoines,MATCH(E1504,Antoine_Name,0),2)-INDEX(Antoines,MATCH(E1504,Antoine_Name,0),3)/(INDEX(Antoines,MATCH(E1504,Antoine_Name,0),4)+(E1514-32)*5/9)))*14.7/760,IF(E1505="Crude Oil",EXP((2799/(E1514+459.6)-2.227)*LOG10(INDEX(FX_Input,R$5,E$3*$Z$5+$AA$5))-(7261/(E1514+459.6))+12.82),IF(E1505="Refined Petroleum Stock",EXP((0.7553-(413/(E1514+459.6)))*(INDEX(FX_Input,R$5,E$3*$Z$5+$AA$5-1)^0.5)*LOG10(INDEX(FX_Input,R$5,E$3*$Z$5+$AA$5))-(1.854-(1042/(E1514+459.6)))*(INDEX(FX_Input,R$5,E$3*$Z$5+$AA$5-1)^0.5)+((2416/(E1514+459.6)-2.013)*LOG10(INDEX(FX_Input,R$5,E$3*$Z$5+$AA$5)))-(8742/(E1514+459.6))+15.64),EXP(INDEX(Antoines,MATCH(E1504,Antoine_Name,0),2)-INDEX(Antoines,MATCH(E1504,Antoine_Name,0),3)/(E1514+459.6))))),0)</f>
        <v>4.8748667780818778E-3</v>
      </c>
      <c r="F1525" cm="1">
        <f t="array" ref="F1525">IFERROR(IF(F1505="Chemical",(10^(INDEX(Antoines,MATCH(F1504,Antoine_Name,0),2)-INDEX(Antoines,MATCH(F1504,Antoine_Name,0),3)/(INDEX(Antoines,MATCH(F1504,Antoine_Name,0),4)+(F1514-32)*5/9)))*14.7/760,IF(F1505="Crude Oil",EXP((2799/(F1514+459.6)-2.227)*LOG10(INDEX(FX_Input,S$5,F$3*$Z$5+$AA$5))-(7261/(F1514+459.6))+12.82),IF(F1505="Refined Petroleum Stock",EXP((0.7553-(413/(F1514+459.6)))*(INDEX(FX_Input,S$5,F$3*$Z$5+$AA$5-1)^0.5)*LOG10(INDEX(FX_Input,S$5,F$3*$Z$5+$AA$5))-(1.854-(1042/(F1514+459.6)))*(INDEX(FX_Input,S$5,F$3*$Z$5+$AA$5-1)^0.5)+((2416/(F1514+459.6)-2.013)*LOG10(INDEX(FX_Input,S$5,F$3*$Z$5+$AA$5)))-(8742/(F1514+459.6))+15.64),EXP(INDEX(Antoines,MATCH(F1504,Antoine_Name,0),2)-INDEX(Antoines,MATCH(F1504,Antoine_Name,0),3)/(F1514+459.6))))),0)</f>
        <v>5.119885034186122E-3</v>
      </c>
      <c r="G1525" cm="1">
        <f t="array" ref="G1525">IFERROR(IF(G1505="Chemical",(10^(INDEX(Antoines,MATCH(G1504,Antoine_Name,0),2)-INDEX(Antoines,MATCH(G1504,Antoine_Name,0),3)/(INDEX(Antoines,MATCH(G1504,Antoine_Name,0),4)+(G1514-32)*5/9)))*14.7/760,IF(G1505="Crude Oil",EXP((2799/(G1514+459.6)-2.227)*LOG10(INDEX(FX_Input,T$5,G$3*$Z$5+$AA$5))-(7261/(G1514+459.6))+12.82),IF(G1505="Refined Petroleum Stock",EXP((0.7553-(413/(G1514+459.6)))*(INDEX(FX_Input,T$5,G$3*$Z$5+$AA$5-1)^0.5)*LOG10(INDEX(FX_Input,T$5,G$3*$Z$5+$AA$5))-(1.854-(1042/(G1514+459.6)))*(INDEX(FX_Input,T$5,G$3*$Z$5+$AA$5-1)^0.5)+((2416/(G1514+459.6)-2.013)*LOG10(INDEX(FX_Input,T$5,G$3*$Z$5+$AA$5)))-(8742/(G1514+459.6))+15.64),EXP(INDEX(Antoines,MATCH(G1504,Antoine_Name,0),2)-INDEX(Antoines,MATCH(G1504,Antoine_Name,0),3)/(G1514+459.6))))),0)</f>
        <v>5.5846958573521795E-3</v>
      </c>
      <c r="H1525" cm="1">
        <f t="array" ref="H1525">IFERROR(IF(H1505="Chemical",(10^(INDEX(Antoines,MATCH(H1504,Antoine_Name,0),2)-INDEX(Antoines,MATCH(H1504,Antoine_Name,0),3)/(INDEX(Antoines,MATCH(H1504,Antoine_Name,0),4)+(H1514-32)*5/9)))*14.7/760,IF(H1505="Crude Oil",EXP((2799/(H1514+459.6)-2.227)*LOG10(INDEX(FX_Input,U$5,H$3*$Z$5+$AA$5))-(7261/(H1514+459.6))+12.82),IF(H1505="Refined Petroleum Stock",EXP((0.7553-(413/(H1514+459.6)))*(INDEX(FX_Input,U$5,H$3*$Z$5+$AA$5-1)^0.5)*LOG10(INDEX(FX_Input,U$5,H$3*$Z$5+$AA$5))-(1.854-(1042/(H1514+459.6)))*(INDEX(FX_Input,U$5,H$3*$Z$5+$AA$5-1)^0.5)+((2416/(H1514+459.6)-2.013)*LOG10(INDEX(FX_Input,U$5,H$3*$Z$5+$AA$5)))-(8742/(H1514+459.6))+15.64),EXP(INDEX(Antoines,MATCH(H1504,Antoine_Name,0),2)-INDEX(Antoines,MATCH(H1504,Antoine_Name,0),3)/(H1514+459.6))))),0)</f>
        <v>6.5274070972739821E-3</v>
      </c>
      <c r="I1525" cm="1">
        <f t="array" ref="I1525">IFERROR(IF(I1505="Chemical",(10^(INDEX(Antoines,MATCH(I1504,Antoine_Name,0),2)-INDEX(Antoines,MATCH(I1504,Antoine_Name,0),3)/(INDEX(Antoines,MATCH(I1504,Antoine_Name,0),4)+(I1514-32)*5/9)))*14.7/760,IF(I1505="Crude Oil",EXP((2799/(I1514+459.6)-2.227)*LOG10(INDEX(FX_Input,V$5,I$3*$Z$5+$AA$5))-(7261/(I1514+459.6))+12.82),IF(I1505="Refined Petroleum Stock",EXP((0.7553-(413/(I1514+459.6)))*(INDEX(FX_Input,V$5,I$3*$Z$5+$AA$5-1)^0.5)*LOG10(INDEX(FX_Input,V$5,I$3*$Z$5+$AA$5))-(1.854-(1042/(I1514+459.6)))*(INDEX(FX_Input,V$5,I$3*$Z$5+$AA$5-1)^0.5)+((2416/(I1514+459.6)-2.013)*LOG10(INDEX(FX_Input,V$5,I$3*$Z$5+$AA$5)))-(8742/(I1514+459.6))+15.64),EXP(INDEX(Antoines,MATCH(I1504,Antoine_Name,0),2)-INDEX(Antoines,MATCH(I1504,Antoine_Name,0),3)/(I1514+459.6))))),0)</f>
        <v>7.4199539958878279E-3</v>
      </c>
      <c r="J1525" cm="1">
        <f t="array" ref="J1525">IFERROR(IF(J1505="Chemical",(10^(INDEX(Antoines,MATCH(J1504,Antoine_Name,0),2)-INDEX(Antoines,MATCH(J1504,Antoine_Name,0),3)/(INDEX(Antoines,MATCH(J1504,Antoine_Name,0),4)+(J1514-32)*5/9)))*14.7/760,IF(J1505="Crude Oil",EXP((2799/(J1514+459.6)-2.227)*LOG10(INDEX(FX_Input,W$5,J$3*$Z$5+$AA$5))-(7261/(J1514+459.6))+12.82),IF(J1505="Refined Petroleum Stock",EXP((0.7553-(413/(J1514+459.6)))*(INDEX(FX_Input,W$5,J$3*$Z$5+$AA$5-1)^0.5)*LOG10(INDEX(FX_Input,W$5,J$3*$Z$5+$AA$5))-(1.854-(1042/(J1514+459.6)))*(INDEX(FX_Input,W$5,J$3*$Z$5+$AA$5-1)^0.5)+((2416/(J1514+459.6)-2.013)*LOG10(INDEX(FX_Input,W$5,J$3*$Z$5+$AA$5)))-(8742/(J1514+459.6))+15.64),EXP(INDEX(Antoines,MATCH(J1504,Antoine_Name,0),2)-INDEX(Antoines,MATCH(J1504,Antoine_Name,0),3)/(J1514+459.6))))),0)</f>
        <v>8.3358107202842254E-3</v>
      </c>
      <c r="K1525" cm="1">
        <f t="array" ref="K1525">IFERROR(IF(K1505="Chemical",(10^(INDEX(Antoines,MATCH(K1504,Antoine_Name,0),2)-INDEX(Antoines,MATCH(K1504,Antoine_Name,0),3)/(INDEX(Antoines,MATCH(K1504,Antoine_Name,0),4)+(K1514-32)*5/9)))*14.7/760,IF(K1505="Crude Oil",EXP((2799/(K1514+459.6)-2.227)*LOG10(INDEX(FX_Input,X$5,K$3*$Z$5+$AA$5))-(7261/(K1514+459.6))+12.82),IF(K1505="Refined Petroleum Stock",EXP((0.7553-(413/(K1514+459.6)))*(INDEX(FX_Input,X$5,K$3*$Z$5+$AA$5-1)^0.5)*LOG10(INDEX(FX_Input,X$5,K$3*$Z$5+$AA$5))-(1.854-(1042/(K1514+459.6)))*(INDEX(FX_Input,X$5,K$3*$Z$5+$AA$5-1)^0.5)+((2416/(K1514+459.6)-2.013)*LOG10(INDEX(FX_Input,X$5,K$3*$Z$5+$AA$5)))-(8742/(K1514+459.6))+15.64),EXP(INDEX(Antoines,MATCH(K1504,Antoine_Name,0),2)-INDEX(Antoines,MATCH(K1504,Antoine_Name,0),3)/(K1514+459.6))))),0)</f>
        <v>8.4605262729351115E-3</v>
      </c>
      <c r="L1525" cm="1">
        <f t="array" ref="L1525">IFERROR(IF(L1505="Chemical",(10^(INDEX(Antoines,MATCH(L1504,Antoine_Name,0),2)-INDEX(Antoines,MATCH(L1504,Antoine_Name,0),3)/(INDEX(Antoines,MATCH(L1504,Antoine_Name,0),4)+(L1514-32)*5/9)))*14.7/760,IF(L1505="Crude Oil",EXP((2799/(L1514+459.6)-2.227)*LOG10(INDEX(FX_Input,Y$5,L$3*$Z$5+$AA$5))-(7261/(L1514+459.6))+12.82),IF(L1505="Refined Petroleum Stock",EXP((0.7553-(413/(L1514+459.6)))*(INDEX(FX_Input,Y$5,L$3*$Z$5+$AA$5-1)^0.5)*LOG10(INDEX(FX_Input,Y$5,L$3*$Z$5+$AA$5))-(1.854-(1042/(L1514+459.6)))*(INDEX(FX_Input,Y$5,L$3*$Z$5+$AA$5-1)^0.5)+((2416/(L1514+459.6)-2.013)*LOG10(INDEX(FX_Input,Y$5,L$3*$Z$5+$AA$5)))-(8742/(L1514+459.6))+15.64),EXP(INDEX(Antoines,MATCH(L1504,Antoine_Name,0),2)-INDEX(Antoines,MATCH(L1504,Antoine_Name,0),3)/(L1514+459.6))))),0)</f>
        <v>7.8399882233967533E-3</v>
      </c>
      <c r="M1525" cm="1">
        <f t="array" ref="M1525">IFERROR(IF(M1505="Chemical",(10^(INDEX(Antoines,MATCH(M1504,Antoine_Name,0),2)-INDEX(Antoines,MATCH(M1504,Antoine_Name,0),3)/(INDEX(Antoines,MATCH(M1504,Antoine_Name,0),4)+(M1514-32)*5/9)))*14.7/760,IF(M1505="Crude Oil",EXP((2799/(M1514+459.6)-2.227)*LOG10(INDEX(FX_Input,Z$5,M$3*$Z$5+$AA$5))-(7261/(M1514+459.6))+12.82),IF(M1505="Refined Petroleum Stock",EXP((0.7553-(413/(M1514+459.6)))*(INDEX(FX_Input,Z$5,M$3*$Z$5+$AA$5-1)^0.5)*LOG10(INDEX(FX_Input,Z$5,M$3*$Z$5+$AA$5))-(1.854-(1042/(M1514+459.6)))*(INDEX(FX_Input,Z$5,M$3*$Z$5+$AA$5-1)^0.5)+((2416/(M1514+459.6)-2.013)*LOG10(INDEX(FX_Input,Z$5,M$3*$Z$5+$AA$5)))-(8742/(M1514+459.6))+15.64),EXP(INDEX(Antoines,MATCH(M1504,Antoine_Name,0),2)-INDEX(Antoines,MATCH(M1504,Antoine_Name,0),3)/(M1514+459.6))))),0)</f>
        <v>6.4173462075160911E-3</v>
      </c>
      <c r="N1525" cm="1">
        <f t="array" ref="N1525">IFERROR(IF(N1505="Chemical",(10^(INDEX(Antoines,MATCH(N1504,Antoine_Name,0),2)-INDEX(Antoines,MATCH(N1504,Antoine_Name,0),3)/(INDEX(Antoines,MATCH(N1504,Antoine_Name,0),4)+(N1514-32)*5/9)))*14.7/760,IF(N1505="Crude Oil",EXP((2799/(N1514+459.6)-2.227)*LOG10(INDEX(FX_Input,AA$5,N$3*$Z$5+$AA$5))-(7261/(N1514+459.6))+12.82),IF(N1505="Refined Petroleum Stock",EXP((0.7553-(413/(N1514+459.6)))*(INDEX(FX_Input,AA$5,N$3*$Z$5+$AA$5-1)^0.5)*LOG10(INDEX(FX_Input,AA$5,N$3*$Z$5+$AA$5))-(1.854-(1042/(N1514+459.6)))*(INDEX(FX_Input,AA$5,N$3*$Z$5+$AA$5-1)^0.5)+((2416/(N1514+459.6)-2.013)*LOG10(INDEX(FX_Input,AA$5,N$3*$Z$5+$AA$5)))-(8742/(N1514+459.6))+15.64),EXP(INDEX(Antoines,MATCH(N1504,Antoine_Name,0),2)-INDEX(Antoines,MATCH(N1504,Antoine_Name,0),3)/(N1514+459.6))))),0)</f>
        <v>5.3015226887581056E-3</v>
      </c>
      <c r="O1525" cm="1">
        <f t="array" ref="O1525">IFERROR(IF(O1505="Chemical",(10^(INDEX(Antoines,MATCH(O1504,Antoine_Name,0),2)-INDEX(Antoines,MATCH(O1504,Antoine_Name,0),3)/(INDEX(Antoines,MATCH(O1504,Antoine_Name,0),4)+(O1514-32)*5/9)))*14.7/760,IF(O1505="Crude Oil",EXP((2799/(O1514+459.6)-2.227)*LOG10(INDEX(FX_Input,AB$5,O$3*$Z$5+$AA$5))-(7261/(O1514+459.6))+12.82),IF(O1505="Refined Petroleum Stock",EXP((0.7553-(413/(O1514+459.6)))*(INDEX(FX_Input,AB$5,O$3*$Z$5+$AA$5-1)^0.5)*LOG10(INDEX(FX_Input,AB$5,O$3*$Z$5+$AA$5))-(1.854-(1042/(O1514+459.6)))*(INDEX(FX_Input,AB$5,O$3*$Z$5+$AA$5-1)^0.5)+((2416/(O1514+459.6)-2.013)*LOG10(INDEX(FX_Input,AB$5,O$3*$Z$5+$AA$5)))-(8742/(O1514+459.6))+15.64),EXP(INDEX(Antoines,MATCH(O1504,Antoine_Name,0),2)-INDEX(Antoines,MATCH(O1504,Antoine_Name,0),3)/(O1514+459.6))))),0)</f>
        <v>4.68970903600947E-3</v>
      </c>
    </row>
    <row r="1526" spans="1:32" ht="17.149999999999999" x14ac:dyDescent="0.55000000000000004">
      <c r="B1526" t="str">
        <f t="shared" si="5524"/>
        <v>Portland</v>
      </c>
      <c r="C1526" t="s">
        <v>1389</v>
      </c>
      <c r="D1526">
        <f>D1525*D1508</f>
        <v>4.739577185808354E-3</v>
      </c>
      <c r="E1526">
        <f t="shared" ref="E1526" si="5591">E1525*E1508</f>
        <v>4.8748667780818778E-3</v>
      </c>
      <c r="F1526">
        <f t="shared" ref="F1526" si="5592">F1525*F1508</f>
        <v>5.119885034186122E-3</v>
      </c>
      <c r="G1526">
        <f t="shared" ref="G1526" si="5593">G1525*G1508</f>
        <v>5.5846958573521795E-3</v>
      </c>
      <c r="H1526">
        <f t="shared" ref="H1526" si="5594">H1525*H1508</f>
        <v>6.5274070972739821E-3</v>
      </c>
      <c r="I1526">
        <f t="shared" ref="I1526" si="5595">I1525*I1508</f>
        <v>7.4199539958878279E-3</v>
      </c>
      <c r="J1526">
        <f t="shared" ref="J1526" si="5596">J1525*J1508</f>
        <v>8.3358107202842254E-3</v>
      </c>
      <c r="K1526">
        <f t="shared" ref="K1526" si="5597">K1525*K1508</f>
        <v>8.4605262729351115E-3</v>
      </c>
      <c r="L1526">
        <f t="shared" ref="L1526" si="5598">L1525*L1508</f>
        <v>7.8399882233967533E-3</v>
      </c>
      <c r="M1526">
        <f t="shared" ref="M1526" si="5599">M1525*M1508</f>
        <v>6.4173462075160911E-3</v>
      </c>
      <c r="N1526">
        <f t="shared" ref="N1526" si="5600">N1525*N1508</f>
        <v>5.3015226887581056E-3</v>
      </c>
      <c r="O1526">
        <f t="shared" ref="O1526" si="5601">O1525*O1508</f>
        <v>4.68970903600947E-3</v>
      </c>
    </row>
    <row r="1527" spans="1:32" ht="17.149999999999999" x14ac:dyDescent="0.55000000000000004">
      <c r="B1527" t="str">
        <f t="shared" si="5524"/>
        <v>Portland</v>
      </c>
      <c r="C1527" t="s">
        <v>1390</v>
      </c>
      <c r="D1527" cm="1">
        <f t="array" ref="D1527">IFERROR(IF(D1507="Chemical",(10^(INDEX(Antoines,MATCH(D1506,Antoine_Name,0),2)-INDEX(Antoines,MATCH(D1506,Antoine_Name,0),3)/(INDEX(Antoines,MATCH(D1506,Antoine_Name,0),4)+(D1514-32)*5/9)))*14.7/760,IF(D1507="Crude Oil",EXP((2799/(D1514+459.6)-2.227)*LOG10(INDEX(FX_Input,Q$5,D$3*$Z$5+$AA$5))-(7261/(D1514+459.6))+12.82),IF(D1507="Refined Petroleum Stock",EXP((0.7553-(413/(D1514+459.6)))*(INDEX(FX_Input,Q$5,D$3*$Z$5+$AA$5-1)^0.5)*LOG10(INDEX(FX_Input,Q$5,D$3*$Z$5+$AA$5))-(1.854-(1042/(D1514+459.6)))*(INDEX(FX_Input,Q$5,D$3*$Z$5+$AA$5-1)^0.5)+((2416/(D1514+459.6)-2.013)*LOG10(INDEX(FX_Input,Q$5,D$3*$Z$5+$AA$5)))-(8742/(D1514+459.6))+15.64),EXP(INDEX(Antoines,MATCH(D1506,Antoine_Name,0),2)-INDEX(Antoines,MATCH(D1506,Antoine_Name,0),3)/(D1514+459.6))))),0)</f>
        <v>0</v>
      </c>
      <c r="E1527" cm="1">
        <f t="array" ref="E1527">IFERROR(IF(E1507="Chemical",(10^(INDEX(Antoines,MATCH(E1506,Antoine_Name,0),2)-INDEX(Antoines,MATCH(E1506,Antoine_Name,0),3)/(INDEX(Antoines,MATCH(E1506,Antoine_Name,0),4)+(E1514-32)*5/9)))*14.7/760,IF(E1507="Crude Oil",EXP((2799/(E1514+459.6)-2.227)*LOG10(INDEX(FX_Input,R$5,E$3*$Z$5+$AA$5))-(7261/(E1514+459.6))+12.82),IF(E1507="Refined Petroleum Stock",EXP((0.7553-(413/(E1514+459.6)))*(INDEX(FX_Input,R$5,E$3*$Z$5+$AA$5-1)^0.5)*LOG10(INDEX(FX_Input,R$5,E$3*$Z$5+$AA$5))-(1.854-(1042/(E1514+459.6)))*(INDEX(FX_Input,R$5,E$3*$Z$5+$AA$5-1)^0.5)+((2416/(E1514+459.6)-2.013)*LOG10(INDEX(FX_Input,R$5,E$3*$Z$5+$AA$5)))-(8742/(E1514+459.6))+15.64),EXP(INDEX(Antoines,MATCH(E1506,Antoine_Name,0),2)-INDEX(Antoines,MATCH(E1506,Antoine_Name,0),3)/(E1514+459.6))))),0)</f>
        <v>0</v>
      </c>
      <c r="F1527" cm="1">
        <f t="array" ref="F1527">IFERROR(IF(F1507="Chemical",(10^(INDEX(Antoines,MATCH(F1506,Antoine_Name,0),2)-INDEX(Antoines,MATCH(F1506,Antoine_Name,0),3)/(INDEX(Antoines,MATCH(F1506,Antoine_Name,0),4)+(F1514-32)*5/9)))*14.7/760,IF(F1507="Crude Oil",EXP((2799/(F1514+459.6)-2.227)*LOG10(INDEX(FX_Input,S$5,F$3*$Z$5+$AA$5))-(7261/(F1514+459.6))+12.82),IF(F1507="Refined Petroleum Stock",EXP((0.7553-(413/(F1514+459.6)))*(INDEX(FX_Input,S$5,F$3*$Z$5+$AA$5-1)^0.5)*LOG10(INDEX(FX_Input,S$5,F$3*$Z$5+$AA$5))-(1.854-(1042/(F1514+459.6)))*(INDEX(FX_Input,S$5,F$3*$Z$5+$AA$5-1)^0.5)+((2416/(F1514+459.6)-2.013)*LOG10(INDEX(FX_Input,S$5,F$3*$Z$5+$AA$5)))-(8742/(F1514+459.6))+15.64),EXP(INDEX(Antoines,MATCH(F1506,Antoine_Name,0),2)-INDEX(Antoines,MATCH(F1506,Antoine_Name,0),3)/(F1514+459.6))))),0)</f>
        <v>0</v>
      </c>
      <c r="G1527" cm="1">
        <f t="array" ref="G1527">IFERROR(IF(G1507="Chemical",(10^(INDEX(Antoines,MATCH(G1506,Antoine_Name,0),2)-INDEX(Antoines,MATCH(G1506,Antoine_Name,0),3)/(INDEX(Antoines,MATCH(G1506,Antoine_Name,0),4)+(G1514-32)*5/9)))*14.7/760,IF(G1507="Crude Oil",EXP((2799/(G1514+459.6)-2.227)*LOG10(INDEX(FX_Input,T$5,G$3*$Z$5+$AA$5))-(7261/(G1514+459.6))+12.82),IF(G1507="Refined Petroleum Stock",EXP((0.7553-(413/(G1514+459.6)))*(INDEX(FX_Input,T$5,G$3*$Z$5+$AA$5-1)^0.5)*LOG10(INDEX(FX_Input,T$5,G$3*$Z$5+$AA$5))-(1.854-(1042/(G1514+459.6)))*(INDEX(FX_Input,T$5,G$3*$Z$5+$AA$5-1)^0.5)+((2416/(G1514+459.6)-2.013)*LOG10(INDEX(FX_Input,T$5,G$3*$Z$5+$AA$5)))-(8742/(G1514+459.6))+15.64),EXP(INDEX(Antoines,MATCH(G1506,Antoine_Name,0),2)-INDEX(Antoines,MATCH(G1506,Antoine_Name,0),3)/(G1514+459.6))))),0)</f>
        <v>0</v>
      </c>
      <c r="H1527" cm="1">
        <f t="array" ref="H1527">IFERROR(IF(H1507="Chemical",(10^(INDEX(Antoines,MATCH(H1506,Antoine_Name,0),2)-INDEX(Antoines,MATCH(H1506,Antoine_Name,0),3)/(INDEX(Antoines,MATCH(H1506,Antoine_Name,0),4)+(H1514-32)*5/9)))*14.7/760,IF(H1507="Crude Oil",EXP((2799/(H1514+459.6)-2.227)*LOG10(INDEX(FX_Input,U$5,H$3*$Z$5+$AA$5))-(7261/(H1514+459.6))+12.82),IF(H1507="Refined Petroleum Stock",EXP((0.7553-(413/(H1514+459.6)))*(INDEX(FX_Input,U$5,H$3*$Z$5+$AA$5-1)^0.5)*LOG10(INDEX(FX_Input,U$5,H$3*$Z$5+$AA$5))-(1.854-(1042/(H1514+459.6)))*(INDEX(FX_Input,U$5,H$3*$Z$5+$AA$5-1)^0.5)+((2416/(H1514+459.6)-2.013)*LOG10(INDEX(FX_Input,U$5,H$3*$Z$5+$AA$5)))-(8742/(H1514+459.6))+15.64),EXP(INDEX(Antoines,MATCH(H1506,Antoine_Name,0),2)-INDEX(Antoines,MATCH(H1506,Antoine_Name,0),3)/(H1514+459.6))))),0)</f>
        <v>0</v>
      </c>
      <c r="I1527" cm="1">
        <f t="array" ref="I1527">IFERROR(IF(I1507="Chemical",(10^(INDEX(Antoines,MATCH(I1506,Antoine_Name,0),2)-INDEX(Antoines,MATCH(I1506,Antoine_Name,0),3)/(INDEX(Antoines,MATCH(I1506,Antoine_Name,0),4)+(I1514-32)*5/9)))*14.7/760,IF(I1507="Crude Oil",EXP((2799/(I1514+459.6)-2.227)*LOG10(INDEX(FX_Input,V$5,I$3*$Z$5+$AA$5))-(7261/(I1514+459.6))+12.82),IF(I1507="Refined Petroleum Stock",EXP((0.7553-(413/(I1514+459.6)))*(INDEX(FX_Input,V$5,I$3*$Z$5+$AA$5-1)^0.5)*LOG10(INDEX(FX_Input,V$5,I$3*$Z$5+$AA$5))-(1.854-(1042/(I1514+459.6)))*(INDEX(FX_Input,V$5,I$3*$Z$5+$AA$5-1)^0.5)+((2416/(I1514+459.6)-2.013)*LOG10(INDEX(FX_Input,V$5,I$3*$Z$5+$AA$5)))-(8742/(I1514+459.6))+15.64),EXP(INDEX(Antoines,MATCH(I1506,Antoine_Name,0),2)-INDEX(Antoines,MATCH(I1506,Antoine_Name,0),3)/(I1514+459.6))))),0)</f>
        <v>0</v>
      </c>
      <c r="J1527" cm="1">
        <f t="array" ref="J1527">IFERROR(IF(J1507="Chemical",(10^(INDEX(Antoines,MATCH(J1506,Antoine_Name,0),2)-INDEX(Antoines,MATCH(J1506,Antoine_Name,0),3)/(INDEX(Antoines,MATCH(J1506,Antoine_Name,0),4)+(J1514-32)*5/9)))*14.7/760,IF(J1507="Crude Oil",EXP((2799/(J1514+459.6)-2.227)*LOG10(INDEX(FX_Input,W$5,J$3*$Z$5+$AA$5))-(7261/(J1514+459.6))+12.82),IF(J1507="Refined Petroleum Stock",EXP((0.7553-(413/(J1514+459.6)))*(INDEX(FX_Input,W$5,J$3*$Z$5+$AA$5-1)^0.5)*LOG10(INDEX(FX_Input,W$5,J$3*$Z$5+$AA$5))-(1.854-(1042/(J1514+459.6)))*(INDEX(FX_Input,W$5,J$3*$Z$5+$AA$5-1)^0.5)+((2416/(J1514+459.6)-2.013)*LOG10(INDEX(FX_Input,W$5,J$3*$Z$5+$AA$5)))-(8742/(J1514+459.6))+15.64),EXP(INDEX(Antoines,MATCH(J1506,Antoine_Name,0),2)-INDEX(Antoines,MATCH(J1506,Antoine_Name,0),3)/(J1514+459.6))))),0)</f>
        <v>0</v>
      </c>
      <c r="K1527" cm="1">
        <f t="array" ref="K1527">IFERROR(IF(K1507="Chemical",(10^(INDEX(Antoines,MATCH(K1506,Antoine_Name,0),2)-INDEX(Antoines,MATCH(K1506,Antoine_Name,0),3)/(INDEX(Antoines,MATCH(K1506,Antoine_Name,0),4)+(K1514-32)*5/9)))*14.7/760,IF(K1507="Crude Oil",EXP((2799/(K1514+459.6)-2.227)*LOG10(INDEX(FX_Input,X$5,K$3*$Z$5+$AA$5))-(7261/(K1514+459.6))+12.82),IF(K1507="Refined Petroleum Stock",EXP((0.7553-(413/(K1514+459.6)))*(INDEX(FX_Input,X$5,K$3*$Z$5+$AA$5-1)^0.5)*LOG10(INDEX(FX_Input,X$5,K$3*$Z$5+$AA$5))-(1.854-(1042/(K1514+459.6)))*(INDEX(FX_Input,X$5,K$3*$Z$5+$AA$5-1)^0.5)+((2416/(K1514+459.6)-2.013)*LOG10(INDEX(FX_Input,X$5,K$3*$Z$5+$AA$5)))-(8742/(K1514+459.6))+15.64),EXP(INDEX(Antoines,MATCH(K1506,Antoine_Name,0),2)-INDEX(Antoines,MATCH(K1506,Antoine_Name,0),3)/(K1514+459.6))))),0)</f>
        <v>0</v>
      </c>
      <c r="L1527" cm="1">
        <f t="array" ref="L1527">IFERROR(IF(L1507="Chemical",(10^(INDEX(Antoines,MATCH(L1506,Antoine_Name,0),2)-INDEX(Antoines,MATCH(L1506,Antoine_Name,0),3)/(INDEX(Antoines,MATCH(L1506,Antoine_Name,0),4)+(L1514-32)*5/9)))*14.7/760,IF(L1507="Crude Oil",EXP((2799/(L1514+459.6)-2.227)*LOG10(INDEX(FX_Input,Y$5,L$3*$Z$5+$AA$5))-(7261/(L1514+459.6))+12.82),IF(L1507="Refined Petroleum Stock",EXP((0.7553-(413/(L1514+459.6)))*(INDEX(FX_Input,Y$5,L$3*$Z$5+$AA$5-1)^0.5)*LOG10(INDEX(FX_Input,Y$5,L$3*$Z$5+$AA$5))-(1.854-(1042/(L1514+459.6)))*(INDEX(FX_Input,Y$5,L$3*$Z$5+$AA$5-1)^0.5)+((2416/(L1514+459.6)-2.013)*LOG10(INDEX(FX_Input,Y$5,L$3*$Z$5+$AA$5)))-(8742/(L1514+459.6))+15.64),EXP(INDEX(Antoines,MATCH(L1506,Antoine_Name,0),2)-INDEX(Antoines,MATCH(L1506,Antoine_Name,0),3)/(L1514+459.6))))),0)</f>
        <v>0</v>
      </c>
      <c r="M1527" cm="1">
        <f t="array" ref="M1527">IFERROR(IF(M1507="Chemical",(10^(INDEX(Antoines,MATCH(M1506,Antoine_Name,0),2)-INDEX(Antoines,MATCH(M1506,Antoine_Name,0),3)/(INDEX(Antoines,MATCH(M1506,Antoine_Name,0),4)+(M1514-32)*5/9)))*14.7/760,IF(M1507="Crude Oil",EXP((2799/(M1514+459.6)-2.227)*LOG10(INDEX(FX_Input,Z$5,M$3*$Z$5+$AA$5))-(7261/(M1514+459.6))+12.82),IF(M1507="Refined Petroleum Stock",EXP((0.7553-(413/(M1514+459.6)))*(INDEX(FX_Input,Z$5,M$3*$Z$5+$AA$5-1)^0.5)*LOG10(INDEX(FX_Input,Z$5,M$3*$Z$5+$AA$5))-(1.854-(1042/(M1514+459.6)))*(INDEX(FX_Input,Z$5,M$3*$Z$5+$AA$5-1)^0.5)+((2416/(M1514+459.6)-2.013)*LOG10(INDEX(FX_Input,Z$5,M$3*$Z$5+$AA$5)))-(8742/(M1514+459.6))+15.64),EXP(INDEX(Antoines,MATCH(M1506,Antoine_Name,0),2)-INDEX(Antoines,MATCH(M1506,Antoine_Name,0),3)/(M1514+459.6))))),0)</f>
        <v>0</v>
      </c>
      <c r="N1527" cm="1">
        <f t="array" ref="N1527">IFERROR(IF(N1507="Chemical",(10^(INDEX(Antoines,MATCH(N1506,Antoine_Name,0),2)-INDEX(Antoines,MATCH(N1506,Antoine_Name,0),3)/(INDEX(Antoines,MATCH(N1506,Antoine_Name,0),4)+(N1514-32)*5/9)))*14.7/760,IF(N1507="Crude Oil",EXP((2799/(N1514+459.6)-2.227)*LOG10(INDEX(FX_Input,AA$5,N$3*$Z$5+$AA$5))-(7261/(N1514+459.6))+12.82),IF(N1507="Refined Petroleum Stock",EXP((0.7553-(413/(N1514+459.6)))*(INDEX(FX_Input,AA$5,N$3*$Z$5+$AA$5-1)^0.5)*LOG10(INDEX(FX_Input,AA$5,N$3*$Z$5+$AA$5))-(1.854-(1042/(N1514+459.6)))*(INDEX(FX_Input,AA$5,N$3*$Z$5+$AA$5-1)^0.5)+((2416/(N1514+459.6)-2.013)*LOG10(INDEX(FX_Input,AA$5,N$3*$Z$5+$AA$5)))-(8742/(N1514+459.6))+15.64),EXP(INDEX(Antoines,MATCH(N1506,Antoine_Name,0),2)-INDEX(Antoines,MATCH(N1506,Antoine_Name,0),3)/(N1514+459.6))))),0)</f>
        <v>0</v>
      </c>
      <c r="O1527" cm="1">
        <f t="array" ref="O1527">IFERROR(IF(O1507="Chemical",(10^(INDEX(Antoines,MATCH(O1506,Antoine_Name,0),2)-INDEX(Antoines,MATCH(O1506,Antoine_Name,0),3)/(INDEX(Antoines,MATCH(O1506,Antoine_Name,0),4)+(O1514-32)*5/9)))*14.7/760,IF(O1507="Crude Oil",EXP((2799/(O1514+459.6)-2.227)*LOG10(INDEX(FX_Input,AB$5,O$3*$Z$5+$AA$5))-(7261/(O1514+459.6))+12.82),IF(O1507="Refined Petroleum Stock",EXP((0.7553-(413/(O1514+459.6)))*(INDEX(FX_Input,AB$5,O$3*$Z$5+$AA$5-1)^0.5)*LOG10(INDEX(FX_Input,AB$5,O$3*$Z$5+$AA$5))-(1.854-(1042/(O1514+459.6)))*(INDEX(FX_Input,AB$5,O$3*$Z$5+$AA$5-1)^0.5)+((2416/(O1514+459.6)-2.013)*LOG10(INDEX(FX_Input,AB$5,O$3*$Z$5+$AA$5)))-(8742/(O1514+459.6))+15.64),EXP(INDEX(Antoines,MATCH(O1506,Antoine_Name,0),2)-INDEX(Antoines,MATCH(O1506,Antoine_Name,0),3)/(O1514+459.6))))),0)</f>
        <v>0</v>
      </c>
    </row>
    <row r="1528" spans="1:32" ht="17.149999999999999" x14ac:dyDescent="0.55000000000000004">
      <c r="B1528" t="str">
        <f t="shared" si="5524"/>
        <v>Portland</v>
      </c>
      <c r="C1528" t="s">
        <v>1391</v>
      </c>
      <c r="D1528">
        <f>D1527*D1510</f>
        <v>0</v>
      </c>
      <c r="E1528">
        <f t="shared" ref="E1528" si="5602">E1527*E1510</f>
        <v>0</v>
      </c>
      <c r="F1528">
        <f t="shared" ref="F1528" si="5603">F1527*F1510</f>
        <v>0</v>
      </c>
      <c r="G1528">
        <f t="shared" ref="G1528" si="5604">G1527*G1510</f>
        <v>0</v>
      </c>
      <c r="H1528">
        <f t="shared" ref="H1528" si="5605">H1527*H1510</f>
        <v>0</v>
      </c>
      <c r="I1528">
        <f t="shared" ref="I1528" si="5606">I1527*I1510</f>
        <v>0</v>
      </c>
      <c r="J1528">
        <f t="shared" ref="J1528" si="5607">J1527*J1510</f>
        <v>0</v>
      </c>
      <c r="K1528">
        <f t="shared" ref="K1528" si="5608">K1527*K1510</f>
        <v>0</v>
      </c>
      <c r="L1528">
        <f t="shared" ref="L1528" si="5609">L1527*L1510</f>
        <v>0</v>
      </c>
      <c r="M1528">
        <f t="shared" ref="M1528" si="5610">M1527*M1510</f>
        <v>0</v>
      </c>
      <c r="N1528">
        <f t="shared" ref="N1528" si="5611">N1527*N1510</f>
        <v>0</v>
      </c>
      <c r="O1528">
        <f t="shared" ref="O1528" si="5612">O1527*O1510</f>
        <v>0</v>
      </c>
    </row>
    <row r="1529" spans="1:32" ht="17.149999999999999" x14ac:dyDescent="0.55000000000000004">
      <c r="B1529" t="str">
        <f t="shared" si="5524"/>
        <v>Portland</v>
      </c>
      <c r="C1529" t="s">
        <v>1392</v>
      </c>
      <c r="D1529">
        <f>D1526+D1528</f>
        <v>4.739577185808354E-3</v>
      </c>
      <c r="E1529">
        <f t="shared" ref="E1529" si="5613">E1526+E1528</f>
        <v>4.8748667780818778E-3</v>
      </c>
      <c r="F1529">
        <f t="shared" ref="F1529" si="5614">F1526+F1528</f>
        <v>5.119885034186122E-3</v>
      </c>
      <c r="G1529">
        <f t="shared" ref="G1529" si="5615">G1526+G1528</f>
        <v>5.5846958573521795E-3</v>
      </c>
      <c r="H1529">
        <f t="shared" ref="H1529" si="5616">H1526+H1528</f>
        <v>6.5274070972739821E-3</v>
      </c>
      <c r="I1529">
        <f t="shared" ref="I1529" si="5617">I1526+I1528</f>
        <v>7.4199539958878279E-3</v>
      </c>
      <c r="J1529">
        <f t="shared" ref="J1529" si="5618">J1526+J1528</f>
        <v>8.3358107202842254E-3</v>
      </c>
      <c r="K1529">
        <f t="shared" ref="K1529" si="5619">K1526+K1528</f>
        <v>8.4605262729351115E-3</v>
      </c>
      <c r="L1529">
        <f t="shared" ref="L1529" si="5620">L1526+L1528</f>
        <v>7.8399882233967533E-3</v>
      </c>
      <c r="M1529">
        <f t="shared" ref="M1529" si="5621">M1526+M1528</f>
        <v>6.4173462075160911E-3</v>
      </c>
      <c r="N1529">
        <f t="shared" ref="N1529" si="5622">N1526+N1528</f>
        <v>5.3015226887581056E-3</v>
      </c>
      <c r="O1529">
        <f t="shared" ref="O1529" si="5623">O1526+O1528</f>
        <v>4.68970903600947E-3</v>
      </c>
    </row>
    <row r="1530" spans="1:32" ht="17.149999999999999" x14ac:dyDescent="0.55000000000000004">
      <c r="B1530" t="str">
        <f>B1524</f>
        <v>Portland</v>
      </c>
      <c r="C1530" t="s">
        <v>584</v>
      </c>
      <c r="D1530">
        <f>D1526/D1529</f>
        <v>1</v>
      </c>
      <c r="E1530">
        <f t="shared" ref="E1530" si="5624">E1526/E1529</f>
        <v>1</v>
      </c>
      <c r="F1530">
        <f t="shared" ref="F1530" si="5625">F1526/F1529</f>
        <v>1</v>
      </c>
      <c r="G1530">
        <f t="shared" ref="G1530" si="5626">G1526/G1529</f>
        <v>1</v>
      </c>
      <c r="H1530">
        <f t="shared" ref="H1530" si="5627">H1526/H1529</f>
        <v>1</v>
      </c>
      <c r="I1530">
        <f t="shared" ref="I1530" si="5628">I1526/I1529</f>
        <v>1</v>
      </c>
      <c r="J1530">
        <f t="shared" ref="J1530" si="5629">J1526/J1529</f>
        <v>1</v>
      </c>
      <c r="K1530">
        <f t="shared" ref="K1530" si="5630">K1526/K1529</f>
        <v>1</v>
      </c>
      <c r="L1530">
        <f t="shared" ref="L1530" si="5631">L1526/L1529</f>
        <v>1</v>
      </c>
      <c r="M1530">
        <f t="shared" ref="M1530" si="5632">M1526/M1529</f>
        <v>1</v>
      </c>
      <c r="N1530">
        <f t="shared" ref="N1530" si="5633">N1526/N1529</f>
        <v>1</v>
      </c>
      <c r="O1530">
        <f t="shared" ref="O1530" si="5634">O1526/O1529</f>
        <v>1</v>
      </c>
    </row>
    <row r="1531" spans="1:32" ht="17.149999999999999" x14ac:dyDescent="0.55000000000000004">
      <c r="B1531" t="str">
        <f>B1525</f>
        <v>Portland</v>
      </c>
      <c r="C1531" t="s">
        <v>585</v>
      </c>
      <c r="D1531">
        <f t="shared" ref="D1531:O1531" si="5635">INDEX(Phys_Prop,MATCH(D1504,Chem_List,0),3)</f>
        <v>130</v>
      </c>
      <c r="E1531">
        <f t="shared" si="5635"/>
        <v>130</v>
      </c>
      <c r="F1531">
        <f t="shared" si="5635"/>
        <v>130</v>
      </c>
      <c r="G1531">
        <f t="shared" si="5635"/>
        <v>130</v>
      </c>
      <c r="H1531">
        <f t="shared" si="5635"/>
        <v>130</v>
      </c>
      <c r="I1531">
        <f t="shared" si="5635"/>
        <v>130</v>
      </c>
      <c r="J1531">
        <f t="shared" si="5635"/>
        <v>130</v>
      </c>
      <c r="K1531">
        <f t="shared" si="5635"/>
        <v>130</v>
      </c>
      <c r="L1531">
        <f t="shared" si="5635"/>
        <v>130</v>
      </c>
      <c r="M1531">
        <f t="shared" si="5635"/>
        <v>130</v>
      </c>
      <c r="N1531">
        <f t="shared" si="5635"/>
        <v>130</v>
      </c>
      <c r="O1531">
        <f t="shared" si="5635"/>
        <v>130</v>
      </c>
    </row>
    <row r="1532" spans="1:32" ht="17.149999999999999" x14ac:dyDescent="0.55000000000000004">
      <c r="B1532" t="str">
        <f>B1531</f>
        <v>Portland</v>
      </c>
      <c r="C1532" t="s">
        <v>586</v>
      </c>
      <c r="D1532">
        <f>D1528/D1529</f>
        <v>0</v>
      </c>
      <c r="E1532">
        <f t="shared" ref="E1532:O1532" si="5636">E1528/E1529</f>
        <v>0</v>
      </c>
      <c r="F1532">
        <f t="shared" si="5636"/>
        <v>0</v>
      </c>
      <c r="G1532">
        <f t="shared" si="5636"/>
        <v>0</v>
      </c>
      <c r="H1532">
        <f t="shared" si="5636"/>
        <v>0</v>
      </c>
      <c r="I1532">
        <f t="shared" si="5636"/>
        <v>0</v>
      </c>
      <c r="J1532">
        <f t="shared" si="5636"/>
        <v>0</v>
      </c>
      <c r="K1532">
        <f t="shared" si="5636"/>
        <v>0</v>
      </c>
      <c r="L1532">
        <f t="shared" si="5636"/>
        <v>0</v>
      </c>
      <c r="M1532">
        <f t="shared" si="5636"/>
        <v>0</v>
      </c>
      <c r="N1532">
        <f t="shared" si="5636"/>
        <v>0</v>
      </c>
      <c r="O1532">
        <f t="shared" si="5636"/>
        <v>0</v>
      </c>
    </row>
    <row r="1533" spans="1:32" ht="17.149999999999999" x14ac:dyDescent="0.55000000000000004">
      <c r="B1533" t="str">
        <f t="shared" si="5524"/>
        <v>Portland</v>
      </c>
      <c r="C1533" t="s">
        <v>587</v>
      </c>
      <c r="D1533">
        <f t="shared" ref="D1533:O1533" si="5637">IFERROR(INDEX(Phys_Prop,MATCH(D1506,Chem_List,0),3),0)</f>
        <v>0</v>
      </c>
      <c r="E1533">
        <f t="shared" si="5637"/>
        <v>0</v>
      </c>
      <c r="F1533">
        <f t="shared" si="5637"/>
        <v>0</v>
      </c>
      <c r="G1533">
        <f t="shared" si="5637"/>
        <v>0</v>
      </c>
      <c r="H1533">
        <f t="shared" si="5637"/>
        <v>0</v>
      </c>
      <c r="I1533">
        <f t="shared" si="5637"/>
        <v>0</v>
      </c>
      <c r="J1533">
        <f t="shared" si="5637"/>
        <v>0</v>
      </c>
      <c r="K1533">
        <f t="shared" si="5637"/>
        <v>0</v>
      </c>
      <c r="L1533">
        <f t="shared" si="5637"/>
        <v>0</v>
      </c>
      <c r="M1533">
        <f t="shared" si="5637"/>
        <v>0</v>
      </c>
      <c r="N1533">
        <f t="shared" si="5637"/>
        <v>0</v>
      </c>
      <c r="O1533">
        <f t="shared" si="5637"/>
        <v>0</v>
      </c>
    </row>
    <row r="1534" spans="1:32" ht="17.149999999999999" x14ac:dyDescent="0.55000000000000004">
      <c r="A1534" s="11"/>
      <c r="B1534" s="11" t="str">
        <f t="shared" si="5524"/>
        <v>Portland</v>
      </c>
      <c r="C1534" s="11" t="s">
        <v>588</v>
      </c>
      <c r="D1534" s="11">
        <f>IFERROR(D1530*D1531+D1532*D1533,0)</f>
        <v>130</v>
      </c>
      <c r="E1534" s="11">
        <f t="shared" ref="E1534" si="5638">IFERROR(E1530*E1531+E1532*E1533,0)</f>
        <v>130</v>
      </c>
      <c r="F1534" s="11">
        <f t="shared" ref="F1534" si="5639">IFERROR(F1530*F1531+F1532*F1533,0)</f>
        <v>130</v>
      </c>
      <c r="G1534" s="11">
        <f t="shared" ref="G1534" si="5640">IFERROR(G1530*G1531+G1532*G1533,0)</f>
        <v>130</v>
      </c>
      <c r="H1534" s="11">
        <f t="shared" ref="H1534" si="5641">IFERROR(H1530*H1531+H1532*H1533,0)</f>
        <v>130</v>
      </c>
      <c r="I1534" s="11">
        <f t="shared" ref="I1534" si="5642">IFERROR(I1530*I1531+I1532*I1533,0)</f>
        <v>130</v>
      </c>
      <c r="J1534" s="11">
        <f t="shared" ref="J1534" si="5643">IFERROR(J1530*J1531+J1532*J1533,0)</f>
        <v>130</v>
      </c>
      <c r="K1534" s="11">
        <f t="shared" ref="K1534" si="5644">IFERROR(K1530*K1531+K1532*K1533,0)</f>
        <v>130</v>
      </c>
      <c r="L1534" s="11">
        <f t="shared" ref="L1534" si="5645">IFERROR(L1530*L1531+L1532*L1533,0)</f>
        <v>130</v>
      </c>
      <c r="M1534" s="11">
        <f t="shared" ref="M1534" si="5646">IFERROR(M1530*M1531+M1532*M1533,0)</f>
        <v>130</v>
      </c>
      <c r="N1534" s="11">
        <f t="shared" ref="N1534" si="5647">IFERROR(N1530*N1531+N1532*N1533,0)</f>
        <v>130</v>
      </c>
      <c r="O1534" s="11">
        <f t="shared" ref="O1534" si="5648">IFERROR(O1530*O1531+O1532*O1533,0)</f>
        <v>130</v>
      </c>
      <c r="P1534" s="11"/>
      <c r="Q1534" s="11"/>
      <c r="R1534" s="11"/>
      <c r="S1534" s="11"/>
      <c r="T1534" s="11"/>
      <c r="U1534" s="11"/>
      <c r="V1534" s="11"/>
      <c r="W1534" s="11"/>
      <c r="X1534" s="11"/>
      <c r="Y1534" s="11"/>
      <c r="Z1534" s="11"/>
      <c r="AA1534" s="11"/>
      <c r="AB1534" s="11"/>
      <c r="AC1534" s="11"/>
      <c r="AD1534" s="11"/>
      <c r="AE1534" s="11"/>
      <c r="AF1534" s="11"/>
    </row>
    <row r="1535" spans="1:32" ht="17.149999999999999" x14ac:dyDescent="0.55000000000000004">
      <c r="A1535" t="str" cm="1">
        <f t="array" ref="A1535">INDEX(FX_Input,$Q1535,R$5)</f>
        <v>FX - 46</v>
      </c>
      <c r="B1535" t="str" cm="1">
        <f t="array" ref="B1535">INDEX(FX_Input,Q1535,S1535)</f>
        <v>Portland</v>
      </c>
      <c r="C1535" t="s">
        <v>563</v>
      </c>
      <c r="D1535">
        <v>14.7</v>
      </c>
      <c r="E1535">
        <v>14.7</v>
      </c>
      <c r="F1535">
        <v>14.7</v>
      </c>
      <c r="G1535">
        <v>14.7</v>
      </c>
      <c r="H1535">
        <v>14.7</v>
      </c>
      <c r="I1535">
        <v>14.7</v>
      </c>
      <c r="J1535">
        <v>14.7</v>
      </c>
      <c r="K1535">
        <v>14.7</v>
      </c>
      <c r="L1535">
        <v>14.7</v>
      </c>
      <c r="M1535">
        <v>14.7</v>
      </c>
      <c r="N1535">
        <v>14.7</v>
      </c>
      <c r="O1535">
        <v>14.7</v>
      </c>
      <c r="Q1535">
        <f>Q1501+2</f>
        <v>91</v>
      </c>
      <c r="R1535">
        <v>1</v>
      </c>
      <c r="S1535">
        <v>3</v>
      </c>
      <c r="T1535">
        <v>1</v>
      </c>
      <c r="U1535">
        <v>19</v>
      </c>
      <c r="V1535">
        <v>20</v>
      </c>
      <c r="W1535">
        <v>25</v>
      </c>
      <c r="X1535">
        <v>1</v>
      </c>
      <c r="Y1535">
        <v>2</v>
      </c>
      <c r="Z1535">
        <f>(W1535-V1535)/(Y1535-X1535)</f>
        <v>5</v>
      </c>
      <c r="AA1535">
        <f>V1535-Z1535*X1535</f>
        <v>15</v>
      </c>
      <c r="AD1535">
        <f>AD1501+14</f>
        <v>631</v>
      </c>
      <c r="AF1535">
        <f>AF1501+14</f>
        <v>631</v>
      </c>
    </row>
    <row r="1536" spans="1:32" ht="17.149999999999999" x14ac:dyDescent="0.55000000000000004">
      <c r="B1536" t="str">
        <f t="shared" ref="B1536" si="5649">B1535</f>
        <v>Portland</v>
      </c>
      <c r="C1536" t="s">
        <v>564</v>
      </c>
      <c r="D1536" cm="1">
        <f t="array" ref="D1536">IF(ISBLANK(INDEX(FX_Input,$Q1535,$AB1536)),0.03,INDEX(FX_Input,Q1535,AB1536))</f>
        <v>0.03</v>
      </c>
      <c r="E1536" cm="1">
        <f t="array" ref="E1536">IF(ISBLANK(INDEX(FX_Input,$Q1535,$AB1536)),0.03,INDEX(FX_Input,R1535,#REF!))</f>
        <v>0.03</v>
      </c>
      <c r="F1536" cm="1">
        <f t="array" ref="F1536">IF(ISBLANK(INDEX(FX_Input,$Q1535,$AB1536)),0.03,INDEX(FX_Input,S1535,#REF!))</f>
        <v>0.03</v>
      </c>
      <c r="G1536" cm="1">
        <f t="array" ref="G1536">IF(ISBLANK(INDEX(FX_Input,$Q1535,$AB1536)),0.03,INDEX(FX_Input,AB1535,#REF!))</f>
        <v>0.03</v>
      </c>
      <c r="H1536" cm="1">
        <f t="array" ref="H1536">IF(ISBLANK(INDEX(FX_Input,$Q1535,$AB1536)),0.03,INDEX(FX_Input,#REF!,#REF!))</f>
        <v>0.03</v>
      </c>
      <c r="I1536" cm="1">
        <f t="array" ref="I1536">IF(ISBLANK(INDEX(FX_Input,$Q1535,$AB1536)),0.03,INDEX(FX_Input,#REF!,#REF!))</f>
        <v>0.03</v>
      </c>
      <c r="J1536" cm="1">
        <f t="array" ref="J1536">IF(ISBLANK(INDEX(FX_Input,$Q1535,$AB1536)),0.03,INDEX(FX_Input,#REF!,#REF!))</f>
        <v>0.03</v>
      </c>
      <c r="K1536" cm="1">
        <f t="array" ref="K1536">IF(ISBLANK(INDEX(FX_Input,$Q1535,$AB1536)),0.03,INDEX(FX_Input,#REF!,AC1536))</f>
        <v>0.03</v>
      </c>
      <c r="L1536" cm="1">
        <f t="array" ref="L1536">IF(ISBLANK(INDEX(FX_Input,$Q1535,$AB1536)),0.03,INDEX(FX_Input,#REF!,AD1536))</f>
        <v>0.03</v>
      </c>
      <c r="M1536" cm="1">
        <f t="array" ref="M1536">IF(ISBLANK(INDEX(FX_Input,$Q1535,$AB1536)),0.03,INDEX(FX_Input,#REF!,#REF!))</f>
        <v>0.03</v>
      </c>
      <c r="N1536" cm="1">
        <f t="array" ref="N1536">IF(ISBLANK(INDEX(FX_Input,$Q1535,$AB1536)),0.03,INDEX(FX_Input,AC1535,#REF!))</f>
        <v>0.03</v>
      </c>
      <c r="O1536" cm="1">
        <f t="array" ref="O1536">IF(ISBLANK(INDEX(FX_Input,$Q1535,$AB1536)),0.03,INDEX(FX_Input,AD1535,#REF!))</f>
        <v>0.03</v>
      </c>
      <c r="AB1536">
        <v>15</v>
      </c>
    </row>
    <row r="1537" spans="2:32" ht="17.149999999999999" x14ac:dyDescent="0.55000000000000004">
      <c r="B1537" t="str">
        <f>B1536</f>
        <v>Portland</v>
      </c>
      <c r="C1537" t="s">
        <v>565</v>
      </c>
      <c r="D1537" cm="1">
        <f t="array" ref="D1537">IF(ISBLANK(INDEX(FX_Input,$Q1535,$AB1537)),-0.03,INDEX(FX_Input,Q1535,AB1537))</f>
        <v>-0.03</v>
      </c>
      <c r="E1537" cm="1">
        <f t="array" ref="E1537">IF(ISBLANK(INDEX(FX_Input,$Q1535,$AB1537)),-0.03,INDEX(FX_Input,R1535,#REF!))</f>
        <v>-0.03</v>
      </c>
      <c r="F1537" cm="1">
        <f t="array" ref="F1537">IF(ISBLANK(INDEX(FX_Input,$Q1535,$AB1537)),-0.03,INDEX(FX_Input,S1535,#REF!))</f>
        <v>-0.03</v>
      </c>
      <c r="G1537" cm="1">
        <f t="array" ref="G1537">IF(ISBLANK(INDEX(FX_Input,$Q1535,$AB1537)),-0.03,INDEX(FX_Input,AB1535,#REF!))</f>
        <v>-0.03</v>
      </c>
      <c r="H1537" cm="1">
        <f t="array" ref="H1537">IF(ISBLANK(INDEX(FX_Input,$Q1535,$AB1537)),-0.03,INDEX(FX_Input,#REF!,#REF!))</f>
        <v>-0.03</v>
      </c>
      <c r="I1537" cm="1">
        <f t="array" ref="I1537">IF(ISBLANK(INDEX(FX_Input,$Q1535,$AB1537)),-0.03,INDEX(FX_Input,#REF!,#REF!))</f>
        <v>-0.03</v>
      </c>
      <c r="J1537" cm="1">
        <f t="array" ref="J1537">IF(ISBLANK(INDEX(FX_Input,$Q1535,$AB1537)),-0.03,INDEX(FX_Input,#REF!,#REF!))</f>
        <v>-0.03</v>
      </c>
      <c r="K1537" cm="1">
        <f t="array" ref="K1537">IF(ISBLANK(INDEX(FX_Input,$Q1535,$AB1537)),-0.03,INDEX(FX_Input,#REF!,AC1537))</f>
        <v>-0.03</v>
      </c>
      <c r="L1537" cm="1">
        <f t="array" ref="L1537">IF(ISBLANK(INDEX(FX_Input,$Q1535,$AB1537)),-0.03,INDEX(FX_Input,#REF!,AD1537))</f>
        <v>-0.03</v>
      </c>
      <c r="M1537" cm="1">
        <f t="array" ref="M1537">IF(ISBLANK(INDEX(FX_Input,$Q1535,$AB1537)),-0.03,INDEX(FX_Input,#REF!,#REF!))</f>
        <v>-0.03</v>
      </c>
      <c r="N1537" cm="1">
        <f t="array" ref="N1537">IF(ISBLANK(INDEX(FX_Input,$Q1535,$AB1537)),-0.03,INDEX(FX_Input,AC1535,#REF!))</f>
        <v>-0.03</v>
      </c>
      <c r="O1537" cm="1">
        <f t="array" ref="O1537">IF(ISBLANK(INDEX(FX_Input,$Q1535,$AB1537)),-0.03,INDEX(FX_Input,AD1535,#REF!))</f>
        <v>-0.03</v>
      </c>
      <c r="AB1537">
        <v>16</v>
      </c>
    </row>
    <row r="1538" spans="2:32" x14ac:dyDescent="0.4">
      <c r="B1538" t="str">
        <f t="shared" ref="B1538:B1539" si="5650">B1537</f>
        <v>Portland</v>
      </c>
      <c r="C1538" s="66" t="s">
        <v>567</v>
      </c>
      <c r="D1538" t="str" cm="1">
        <f t="array" ref="D1538">INDEX(FX_Multi,$AD1538,D$3)</f>
        <v>Jet kerosene</v>
      </c>
      <c r="E1538" t="str" cm="1">
        <f t="array" ref="E1538">INDEX(FX_Multi,$AD1538,E$3)</f>
        <v>Jet kerosene</v>
      </c>
      <c r="F1538" t="str" cm="1">
        <f t="array" ref="F1538">INDEX(FX_Multi,$AD1538,F$3)</f>
        <v>Jet kerosene</v>
      </c>
      <c r="G1538" t="str" cm="1">
        <f t="array" ref="G1538">INDEX(FX_Multi,$AD1538,G$3)</f>
        <v>Jet kerosene</v>
      </c>
      <c r="H1538" t="str" cm="1">
        <f t="array" ref="H1538">INDEX(FX_Multi,$AD1538,H$3)</f>
        <v>Jet kerosene</v>
      </c>
      <c r="I1538" t="str" cm="1">
        <f t="array" ref="I1538">INDEX(FX_Multi,$AD1538,I$3)</f>
        <v>Jet kerosene</v>
      </c>
      <c r="J1538" t="str" cm="1">
        <f t="array" ref="J1538">INDEX(FX_Multi,$AD1538,J$3)</f>
        <v>Jet kerosene</v>
      </c>
      <c r="K1538" t="str" cm="1">
        <f t="array" ref="K1538">INDEX(FX_Multi,$AD1538,K$3)</f>
        <v>Jet kerosene</v>
      </c>
      <c r="L1538" t="str" cm="1">
        <f t="array" ref="L1538">INDEX(FX_Multi,$AD1538,L$3)</f>
        <v>Jet kerosene</v>
      </c>
      <c r="M1538" t="str" cm="1">
        <f t="array" ref="M1538">INDEX(FX_Multi,$AD1538,M$3)</f>
        <v>Jet kerosene</v>
      </c>
      <c r="N1538" t="str" cm="1">
        <f t="array" ref="N1538">INDEX(FX_Multi,$AD1538,N$3)</f>
        <v>Jet kerosene</v>
      </c>
      <c r="O1538" t="str" cm="1">
        <f t="array" ref="O1538">INDEX(FX_Multi,$AD1538,O$3)</f>
        <v>Jet kerosene</v>
      </c>
      <c r="AC1538">
        <v>1</v>
      </c>
      <c r="AD1538">
        <f>AD1535</f>
        <v>631</v>
      </c>
      <c r="AE1538">
        <v>1</v>
      </c>
      <c r="AF1538">
        <f>AF1535</f>
        <v>631</v>
      </c>
    </row>
    <row r="1539" spans="2:32" x14ac:dyDescent="0.4">
      <c r="B1539" t="str">
        <f t="shared" si="5650"/>
        <v>Portland</v>
      </c>
      <c r="C1539" s="66" t="s">
        <v>566</v>
      </c>
      <c r="D1539" t="str" cm="1">
        <f t="array" ref="D1539">INDEX(FX_Multi,$AD1539,D$3)</f>
        <v>Select Pet Stock</v>
      </c>
      <c r="E1539" t="str" cm="1">
        <f t="array" ref="E1539">INDEX(FX_Multi,$AD1539,E$3)</f>
        <v>Select Pet Stock</v>
      </c>
      <c r="F1539" t="str" cm="1">
        <f t="array" ref="F1539">INDEX(FX_Multi,$AD1539,F$3)</f>
        <v>Select Pet Stock</v>
      </c>
      <c r="G1539" t="str" cm="1">
        <f t="array" ref="G1539">INDEX(FX_Multi,$AD1539,G$3)</f>
        <v>Select Pet Stock</v>
      </c>
      <c r="H1539" t="str" cm="1">
        <f t="array" ref="H1539">INDEX(FX_Multi,$AD1539,H$3)</f>
        <v>Select Pet Stock</v>
      </c>
      <c r="I1539" t="str" cm="1">
        <f t="array" ref="I1539">INDEX(FX_Multi,$AD1539,I$3)</f>
        <v>Select Pet Stock</v>
      </c>
      <c r="J1539" t="str" cm="1">
        <f t="array" ref="J1539">INDEX(FX_Multi,$AD1539,J$3)</f>
        <v>Select Pet Stock</v>
      </c>
      <c r="K1539" t="str" cm="1">
        <f t="array" ref="K1539">INDEX(FX_Multi,$AD1539,K$3)</f>
        <v>Select Pet Stock</v>
      </c>
      <c r="L1539" t="str" cm="1">
        <f t="array" ref="L1539">INDEX(FX_Multi,$AD1539,L$3)</f>
        <v>Select Pet Stock</v>
      </c>
      <c r="M1539" t="str" cm="1">
        <f t="array" ref="M1539">INDEX(FX_Multi,$AD1539,M$3)</f>
        <v>Select Pet Stock</v>
      </c>
      <c r="N1539" t="str" cm="1">
        <f t="array" ref="N1539">INDEX(FX_Multi,$AD1539,N$3)</f>
        <v>Select Pet Stock</v>
      </c>
      <c r="O1539" t="str" cm="1">
        <f t="array" ref="O1539">INDEX(FX_Multi,$AD1539,O$3)</f>
        <v>Select Pet Stock</v>
      </c>
      <c r="AC1539">
        <v>1</v>
      </c>
      <c r="AD1539">
        <f>AD1538+2</f>
        <v>633</v>
      </c>
      <c r="AE1539">
        <v>1</v>
      </c>
      <c r="AF1539">
        <f>AF1538+3</f>
        <v>634</v>
      </c>
    </row>
    <row r="1540" spans="2:32" x14ac:dyDescent="0.4">
      <c r="B1540" t="str">
        <f>B1536</f>
        <v>Portland</v>
      </c>
      <c r="C1540" s="66" t="s">
        <v>568</v>
      </c>
      <c r="D1540" cm="1">
        <f t="array" ref="D1540">INDEX(FX_Multi,$AD1540,D$3)</f>
        <v>0</v>
      </c>
      <c r="E1540" cm="1">
        <f t="array" ref="E1540">INDEX(FX_Multi,$AD1540,E$3)</f>
        <v>0</v>
      </c>
      <c r="F1540" cm="1">
        <f t="array" ref="F1540">INDEX(FX_Multi,$AD1540,F$3)</f>
        <v>0</v>
      </c>
      <c r="G1540" cm="1">
        <f t="array" ref="G1540">INDEX(FX_Multi,$AD1540,G$3)</f>
        <v>0</v>
      </c>
      <c r="H1540" cm="1">
        <f t="array" ref="H1540">INDEX(FX_Multi,$AD1540,H$3)</f>
        <v>0</v>
      </c>
      <c r="I1540" cm="1">
        <f t="array" ref="I1540">INDEX(FX_Multi,$AD1540,I$3)</f>
        <v>0</v>
      </c>
      <c r="J1540" cm="1">
        <f t="array" ref="J1540">INDEX(FX_Multi,$AD1540,J$3)</f>
        <v>0</v>
      </c>
      <c r="K1540" cm="1">
        <f t="array" ref="K1540">INDEX(FX_Multi,$AD1540,K$3)</f>
        <v>0</v>
      </c>
      <c r="L1540" cm="1">
        <f t="array" ref="L1540">INDEX(FX_Multi,$AD1540,L$3)</f>
        <v>0</v>
      </c>
      <c r="M1540" cm="1">
        <f t="array" ref="M1540">INDEX(FX_Multi,$AD1540,M$3)</f>
        <v>0</v>
      </c>
      <c r="N1540" cm="1">
        <f t="array" ref="N1540">INDEX(FX_Multi,$AD1540,N$3)</f>
        <v>0</v>
      </c>
      <c r="O1540" cm="1">
        <f t="array" ref="O1540">INDEX(FX_Multi,$AD1540,O$3)</f>
        <v>0</v>
      </c>
      <c r="AC1540">
        <v>1</v>
      </c>
      <c r="AD1540">
        <f>AD1539-1</f>
        <v>632</v>
      </c>
      <c r="AE1540">
        <v>1</v>
      </c>
      <c r="AF1540">
        <f>AF1538+1</f>
        <v>632</v>
      </c>
    </row>
    <row r="1541" spans="2:32" x14ac:dyDescent="0.4">
      <c r="B1541" t="str">
        <f t="shared" ref="B1541:B1545" si="5651">B1540</f>
        <v>Portland</v>
      </c>
      <c r="C1541" s="66" t="s">
        <v>569</v>
      </c>
      <c r="D1541" cm="1">
        <f t="array" ref="D1541">INDEX(FX_Multi,$AD1541,D$3)</f>
        <v>0</v>
      </c>
      <c r="E1541" cm="1">
        <f t="array" ref="E1541">INDEX(FX_Multi,$AD1541,E$3)</f>
        <v>0</v>
      </c>
      <c r="F1541" cm="1">
        <f t="array" ref="F1541">INDEX(FX_Multi,$AD1541,F$3)</f>
        <v>0</v>
      </c>
      <c r="G1541" cm="1">
        <f t="array" ref="G1541">INDEX(FX_Multi,$AD1541,G$3)</f>
        <v>0</v>
      </c>
      <c r="H1541" cm="1">
        <f t="array" ref="H1541">INDEX(FX_Multi,$AD1541,H$3)</f>
        <v>0</v>
      </c>
      <c r="I1541" cm="1">
        <f t="array" ref="I1541">INDEX(FX_Multi,$AD1541,I$3)</f>
        <v>0</v>
      </c>
      <c r="J1541" cm="1">
        <f t="array" ref="J1541">INDEX(FX_Multi,$AD1541,J$3)</f>
        <v>0</v>
      </c>
      <c r="K1541" cm="1">
        <f t="array" ref="K1541">INDEX(FX_Multi,$AD1541,K$3)</f>
        <v>0</v>
      </c>
      <c r="L1541" cm="1">
        <f t="array" ref="L1541">INDEX(FX_Multi,$AD1541,L$3)</f>
        <v>0</v>
      </c>
      <c r="M1541" cm="1">
        <f t="array" ref="M1541">INDEX(FX_Multi,$AD1541,M$3)</f>
        <v>0</v>
      </c>
      <c r="N1541" cm="1">
        <f t="array" ref="N1541">INDEX(FX_Multi,$AD1541,N$3)</f>
        <v>0</v>
      </c>
      <c r="O1541" cm="1">
        <f t="array" ref="O1541">INDEX(FX_Multi,$AD1541,O$3)</f>
        <v>0</v>
      </c>
      <c r="AC1541">
        <v>1</v>
      </c>
      <c r="AD1541">
        <f>AD1540+2</f>
        <v>634</v>
      </c>
      <c r="AE1541">
        <v>1</v>
      </c>
      <c r="AF1541">
        <f>AF1539</f>
        <v>634</v>
      </c>
    </row>
    <row r="1542" spans="2:32" ht="17.149999999999999" x14ac:dyDescent="0.55000000000000004">
      <c r="B1542" t="str">
        <f t="shared" si="5651"/>
        <v>Portland</v>
      </c>
      <c r="C1542" t="s">
        <v>570</v>
      </c>
      <c r="D1542" cm="1">
        <f t="array" ref="D1542">INDEX(FX_Multi,$AD1542,D$3)</f>
        <v>1</v>
      </c>
      <c r="E1542" cm="1">
        <f t="array" ref="E1542">INDEX(FX_Multi,$AD1542,E$3)</f>
        <v>1</v>
      </c>
      <c r="F1542" cm="1">
        <f t="array" ref="F1542">INDEX(FX_Multi,$AD1542,F$3)</f>
        <v>1</v>
      </c>
      <c r="G1542" cm="1">
        <f t="array" ref="G1542">INDEX(FX_Multi,$AD1542,G$3)</f>
        <v>1</v>
      </c>
      <c r="H1542" cm="1">
        <f t="array" ref="H1542">INDEX(FX_Multi,$AD1542,H$3)</f>
        <v>1</v>
      </c>
      <c r="I1542" cm="1">
        <f t="array" ref="I1542">INDEX(FX_Multi,$AD1542,I$3)</f>
        <v>1</v>
      </c>
      <c r="J1542" cm="1">
        <f t="array" ref="J1542">INDEX(FX_Multi,$AD1542,J$3)</f>
        <v>1</v>
      </c>
      <c r="K1542" cm="1">
        <f t="array" ref="K1542">INDEX(FX_Multi,$AD1542,K$3)</f>
        <v>1</v>
      </c>
      <c r="L1542" cm="1">
        <f t="array" ref="L1542">INDEX(FX_Multi,$AD1542,L$3)</f>
        <v>1</v>
      </c>
      <c r="M1542" cm="1">
        <f t="array" ref="M1542">INDEX(FX_Multi,$AD1542,M$3)</f>
        <v>1</v>
      </c>
      <c r="N1542" cm="1">
        <f t="array" ref="N1542">INDEX(FX_Multi,$AD1542,N$3)</f>
        <v>1</v>
      </c>
      <c r="O1542" cm="1">
        <f t="array" ref="O1542">INDEX(FX_Multi,$AD1542,O$3)</f>
        <v>1</v>
      </c>
      <c r="AC1542">
        <v>1</v>
      </c>
      <c r="AD1542">
        <f>AD1541+6</f>
        <v>640</v>
      </c>
      <c r="AE1542">
        <v>1</v>
      </c>
      <c r="AF1542">
        <f>AF1538+9</f>
        <v>640</v>
      </c>
    </row>
    <row r="1543" spans="2:32" ht="17.149999999999999" x14ac:dyDescent="0.55000000000000004">
      <c r="B1543" t="str">
        <f t="shared" si="5651"/>
        <v>Portland</v>
      </c>
      <c r="C1543" t="s">
        <v>571</v>
      </c>
      <c r="D1543" cm="1">
        <f t="array" ref="D1543">INDEX(FX_Multi,$AD1543,D$3)</f>
        <v>162</v>
      </c>
      <c r="E1543" cm="1">
        <f t="array" ref="E1543">INDEX(FX_Multi,$AD1543,E$3)</f>
        <v>162</v>
      </c>
      <c r="F1543" cm="1">
        <f t="array" ref="F1543">INDEX(FX_Multi,$AD1543,F$3)</f>
        <v>162</v>
      </c>
      <c r="G1543" cm="1">
        <f t="array" ref="G1543">INDEX(FX_Multi,$AD1543,G$3)</f>
        <v>162</v>
      </c>
      <c r="H1543" cm="1">
        <f t="array" ref="H1543">INDEX(FX_Multi,$AD1543,H$3)</f>
        <v>162</v>
      </c>
      <c r="I1543" cm="1">
        <f t="array" ref="I1543">INDEX(FX_Multi,$AD1543,I$3)</f>
        <v>162</v>
      </c>
      <c r="J1543" cm="1">
        <f t="array" ref="J1543">INDEX(FX_Multi,$AD1543,J$3)</f>
        <v>162</v>
      </c>
      <c r="K1543" cm="1">
        <f t="array" ref="K1543">INDEX(FX_Multi,$AD1543,K$3)</f>
        <v>162</v>
      </c>
      <c r="L1543" cm="1">
        <f t="array" ref="L1543">INDEX(FX_Multi,$AD1543,L$3)</f>
        <v>162</v>
      </c>
      <c r="M1543" cm="1">
        <f t="array" ref="M1543">INDEX(FX_Multi,$AD1543,M$3)</f>
        <v>162</v>
      </c>
      <c r="N1543" cm="1">
        <f t="array" ref="N1543">INDEX(FX_Multi,$AD1543,N$3)</f>
        <v>162</v>
      </c>
      <c r="O1543" cm="1">
        <f t="array" ref="O1543">INDEX(FX_Multi,$AD1543,O$3)</f>
        <v>162</v>
      </c>
      <c r="AC1543">
        <v>1</v>
      </c>
      <c r="AD1543">
        <f>AD1542-3</f>
        <v>637</v>
      </c>
      <c r="AE1543">
        <v>1</v>
      </c>
      <c r="AF1543">
        <f>AF1538+6</f>
        <v>637</v>
      </c>
    </row>
    <row r="1544" spans="2:32" ht="17.149999999999999" x14ac:dyDescent="0.55000000000000004">
      <c r="B1544" t="str">
        <f t="shared" si="5651"/>
        <v>Portland</v>
      </c>
      <c r="C1544" t="s">
        <v>572</v>
      </c>
      <c r="D1544" cm="1">
        <f t="array" ref="D1544">INDEX(FX_Multi,$AD1544,D$3)</f>
        <v>0</v>
      </c>
      <c r="E1544" cm="1">
        <f t="array" ref="E1544">INDEX(FX_Multi,$AD1544,E$3)</f>
        <v>0</v>
      </c>
      <c r="F1544" cm="1">
        <f t="array" ref="F1544">INDEX(FX_Multi,$AD1544,F$3)</f>
        <v>0</v>
      </c>
      <c r="G1544" cm="1">
        <f t="array" ref="G1544">INDEX(FX_Multi,$AD1544,G$3)</f>
        <v>0</v>
      </c>
      <c r="H1544" cm="1">
        <f t="array" ref="H1544">INDEX(FX_Multi,$AD1544,H$3)</f>
        <v>0</v>
      </c>
      <c r="I1544" cm="1">
        <f t="array" ref="I1544">INDEX(FX_Multi,$AD1544,I$3)</f>
        <v>0</v>
      </c>
      <c r="J1544" cm="1">
        <f t="array" ref="J1544">INDEX(FX_Multi,$AD1544,J$3)</f>
        <v>0</v>
      </c>
      <c r="K1544" cm="1">
        <f t="array" ref="K1544">INDEX(FX_Multi,$AD1544,K$3)</f>
        <v>0</v>
      </c>
      <c r="L1544" cm="1">
        <f t="array" ref="L1544">INDEX(FX_Multi,$AD1544,L$3)</f>
        <v>0</v>
      </c>
      <c r="M1544" cm="1">
        <f t="array" ref="M1544">INDEX(FX_Multi,$AD1544,M$3)</f>
        <v>0</v>
      </c>
      <c r="N1544" cm="1">
        <f t="array" ref="N1544">INDEX(FX_Multi,$AD1544,N$3)</f>
        <v>0</v>
      </c>
      <c r="O1544" cm="1">
        <f t="array" ref="O1544">INDEX(FX_Multi,$AD1544,O$3)</f>
        <v>0</v>
      </c>
      <c r="AC1544">
        <v>1</v>
      </c>
      <c r="AD1544">
        <f>AD1543+4</f>
        <v>641</v>
      </c>
      <c r="AE1544">
        <v>1</v>
      </c>
      <c r="AF1544">
        <f>AF1538+10</f>
        <v>641</v>
      </c>
    </row>
    <row r="1545" spans="2:32" ht="17.149999999999999" x14ac:dyDescent="0.55000000000000004">
      <c r="B1545" t="str">
        <f t="shared" si="5651"/>
        <v>Portland</v>
      </c>
      <c r="C1545" t="s">
        <v>573</v>
      </c>
      <c r="D1545" cm="1">
        <f t="array" ref="D1545">INDEX(FX_Multi,$AD1545,D$3)</f>
        <v>0</v>
      </c>
      <c r="E1545" cm="1">
        <f t="array" ref="E1545">INDEX(FX_Multi,$AD1545,E$3)</f>
        <v>0</v>
      </c>
      <c r="F1545" cm="1">
        <f t="array" ref="F1545">INDEX(FX_Multi,$AD1545,F$3)</f>
        <v>0</v>
      </c>
      <c r="G1545" cm="1">
        <f t="array" ref="G1545">INDEX(FX_Multi,$AD1545,G$3)</f>
        <v>0</v>
      </c>
      <c r="H1545" cm="1">
        <f t="array" ref="H1545">INDEX(FX_Multi,$AD1545,H$3)</f>
        <v>0</v>
      </c>
      <c r="I1545" cm="1">
        <f t="array" ref="I1545">INDEX(FX_Multi,$AD1545,I$3)</f>
        <v>0</v>
      </c>
      <c r="J1545" cm="1">
        <f t="array" ref="J1545">INDEX(FX_Multi,$AD1545,J$3)</f>
        <v>0</v>
      </c>
      <c r="K1545" cm="1">
        <f t="array" ref="K1545">INDEX(FX_Multi,$AD1545,K$3)</f>
        <v>0</v>
      </c>
      <c r="L1545" cm="1">
        <f t="array" ref="L1545">INDEX(FX_Multi,$AD1545,L$3)</f>
        <v>0</v>
      </c>
      <c r="M1545" cm="1">
        <f t="array" ref="M1545">INDEX(FX_Multi,$AD1545,M$3)</f>
        <v>0</v>
      </c>
      <c r="N1545" cm="1">
        <f t="array" ref="N1545">INDEX(FX_Multi,$AD1545,N$3)</f>
        <v>0</v>
      </c>
      <c r="O1545" cm="1">
        <f t="array" ref="O1545">INDEX(FX_Multi,$AD1545,O$3)</f>
        <v>0</v>
      </c>
      <c r="AC1545">
        <v>1</v>
      </c>
      <c r="AD1545">
        <f>AD1544-3</f>
        <v>638</v>
      </c>
      <c r="AE1545">
        <v>1</v>
      </c>
      <c r="AF1545">
        <f>AF1538+7</f>
        <v>638</v>
      </c>
    </row>
    <row r="1546" spans="2:32" ht="17.149999999999999" x14ac:dyDescent="0.55000000000000004">
      <c r="B1546" t="str">
        <f>B1541</f>
        <v>Portland</v>
      </c>
      <c r="C1546" t="s">
        <v>526</v>
      </c>
      <c r="D1546" cm="1">
        <f t="array" ref="D1546">INDEX(FX_Temps,$AF1546,D$3)</f>
        <v>43.899999999999977</v>
      </c>
      <c r="E1546" cm="1">
        <f t="array" ref="E1546">INDEX(FX_Temps,$AF1546,E$3)</f>
        <v>44.700000000000045</v>
      </c>
      <c r="F1546" cm="1">
        <f t="array" ref="F1546">INDEX(FX_Temps,$AF1546,F$3)</f>
        <v>46.100000000000023</v>
      </c>
      <c r="G1546" cm="1">
        <f t="array" ref="G1546">INDEX(FX_Temps,$AF1546,G$3)</f>
        <v>48.599999999999966</v>
      </c>
      <c r="H1546" cm="1">
        <f t="array" ref="H1546">INDEX(FX_Temps,$AF1546,H$3)</f>
        <v>53.149999999999977</v>
      </c>
      <c r="I1546" cm="1">
        <f t="array" ref="I1546">INDEX(FX_Temps,$AF1546,I$3)</f>
        <v>56.950000000000045</v>
      </c>
      <c r="J1546" cm="1">
        <f t="array" ref="J1546">INDEX(FX_Temps,$AF1546,J$3)</f>
        <v>60.449999999999932</v>
      </c>
      <c r="K1546" cm="1">
        <f t="array" ref="K1546">INDEX(FX_Temps,$AF1546,K$3)</f>
        <v>60.899999999999977</v>
      </c>
      <c r="L1546" cm="1">
        <f t="array" ref="L1546">INDEX(FX_Temps,$AF1546,L$3)</f>
        <v>58.600000000000023</v>
      </c>
      <c r="M1546" cm="1">
        <f t="array" ref="M1546">INDEX(FX_Temps,$AF1546,M$3)</f>
        <v>52.649999999999977</v>
      </c>
      <c r="N1546" cm="1">
        <f t="array" ref="N1546">INDEX(FX_Temps,$AF1546,N$3)</f>
        <v>47.100000000000023</v>
      </c>
      <c r="O1546" cm="1">
        <f t="array" ref="O1546">INDEX(FX_Temps,$AF1546,O$3)</f>
        <v>43.600000000000023</v>
      </c>
      <c r="AE1546">
        <v>1</v>
      </c>
      <c r="AF1546">
        <f>AF1538+10</f>
        <v>641</v>
      </c>
    </row>
    <row r="1547" spans="2:32" ht="17.149999999999999" x14ac:dyDescent="0.55000000000000004">
      <c r="B1547" t="str">
        <f t="shared" ref="B1547:B1568" si="5652">B1546</f>
        <v>Portland</v>
      </c>
      <c r="C1547" t="s">
        <v>527</v>
      </c>
      <c r="D1547" cm="1">
        <f t="array" ref="D1547">INDEX(FX_Temps,$AF1547,D$3)</f>
        <v>43.899999999999977</v>
      </c>
      <c r="E1547" cm="1">
        <f t="array" ref="E1547">INDEX(FX_Temps,$AF1547,E$3)</f>
        <v>44.700000000000045</v>
      </c>
      <c r="F1547" cm="1">
        <f t="array" ref="F1547">INDEX(FX_Temps,$AF1547,F$3)</f>
        <v>46.100000000000023</v>
      </c>
      <c r="G1547" cm="1">
        <f t="array" ref="G1547">INDEX(FX_Temps,$AF1547,G$3)</f>
        <v>48.599999999999966</v>
      </c>
      <c r="H1547" cm="1">
        <f t="array" ref="H1547">INDEX(FX_Temps,$AF1547,H$3)</f>
        <v>53.149999999999977</v>
      </c>
      <c r="I1547" cm="1">
        <f t="array" ref="I1547">INDEX(FX_Temps,$AF1547,I$3)</f>
        <v>56.950000000000045</v>
      </c>
      <c r="J1547" cm="1">
        <f t="array" ref="J1547">INDEX(FX_Temps,$AF1547,J$3)</f>
        <v>60.449999999999932</v>
      </c>
      <c r="K1547" cm="1">
        <f t="array" ref="K1547">INDEX(FX_Temps,$AF1547,K$3)</f>
        <v>60.899999999999977</v>
      </c>
      <c r="L1547" cm="1">
        <f t="array" ref="L1547">INDEX(FX_Temps,$AF1547,L$3)</f>
        <v>58.600000000000023</v>
      </c>
      <c r="M1547" cm="1">
        <f t="array" ref="M1547">INDEX(FX_Temps,$AF1547,M$3)</f>
        <v>52.649999999999977</v>
      </c>
      <c r="N1547" cm="1">
        <f t="array" ref="N1547">INDEX(FX_Temps,$AF1547,N$3)</f>
        <v>47.100000000000023</v>
      </c>
      <c r="O1547" cm="1">
        <f t="array" ref="O1547">INDEX(FX_Temps,$AF1547,O$3)</f>
        <v>43.600000000000023</v>
      </c>
      <c r="AE1547">
        <f>AE1546</f>
        <v>1</v>
      </c>
      <c r="AF1547">
        <f>AF1538+11</f>
        <v>642</v>
      </c>
    </row>
    <row r="1548" spans="2:32" ht="17.149999999999999" x14ac:dyDescent="0.55000000000000004">
      <c r="B1548" t="str">
        <f t="shared" si="5652"/>
        <v>Portland</v>
      </c>
      <c r="C1548" t="s">
        <v>552</v>
      </c>
      <c r="D1548" cm="1">
        <f t="array" ref="D1548">INDEX(FX_Temps,$AF1548,D$3)</f>
        <v>43.899999999999977</v>
      </c>
      <c r="E1548" cm="1">
        <f t="array" ref="E1548">INDEX(FX_Temps,$AF1548,E$3)</f>
        <v>44.700000000000045</v>
      </c>
      <c r="F1548" cm="1">
        <f t="array" ref="F1548">INDEX(FX_Temps,$AF1548,F$3)</f>
        <v>46.100000000000023</v>
      </c>
      <c r="G1548" cm="1">
        <f t="array" ref="G1548">INDEX(FX_Temps,$AF1548,G$3)</f>
        <v>48.599999999999966</v>
      </c>
      <c r="H1548" cm="1">
        <f t="array" ref="H1548">INDEX(FX_Temps,$AF1548,H$3)</f>
        <v>53.149999999999977</v>
      </c>
      <c r="I1548" cm="1">
        <f t="array" ref="I1548">INDEX(FX_Temps,$AF1548,I$3)</f>
        <v>56.950000000000045</v>
      </c>
      <c r="J1548" cm="1">
        <f t="array" ref="J1548">INDEX(FX_Temps,$AF1548,J$3)</f>
        <v>60.449999999999932</v>
      </c>
      <c r="K1548" cm="1">
        <f t="array" ref="K1548">INDEX(FX_Temps,$AF1548,K$3)</f>
        <v>60.899999999999977</v>
      </c>
      <c r="L1548" cm="1">
        <f t="array" ref="L1548">INDEX(FX_Temps,$AF1548,L$3)</f>
        <v>58.600000000000023</v>
      </c>
      <c r="M1548" cm="1">
        <f t="array" ref="M1548">INDEX(FX_Temps,$AF1548,M$3)</f>
        <v>52.649999999999977</v>
      </c>
      <c r="N1548" cm="1">
        <f t="array" ref="N1548">INDEX(FX_Temps,$AF1548,N$3)</f>
        <v>47.100000000000023</v>
      </c>
      <c r="O1548" cm="1">
        <f t="array" ref="O1548">INDEX(FX_Temps,$AF1548,O$3)</f>
        <v>43.600000000000023</v>
      </c>
      <c r="AE1548">
        <f>AE1547</f>
        <v>1</v>
      </c>
      <c r="AF1548">
        <f>AF1538+13</f>
        <v>644</v>
      </c>
    </row>
    <row r="1549" spans="2:32" ht="17.149999999999999" x14ac:dyDescent="0.55000000000000004">
      <c r="B1549" t="str">
        <f t="shared" si="5652"/>
        <v>Portland</v>
      </c>
      <c r="C1549" t="s">
        <v>574</v>
      </c>
      <c r="D1549" cm="1">
        <f t="array" ref="D1549">IFERROR(IF(D1539="Chemical",(10^(INDEX(Antoines,MATCH(D1538,Antoine_Name,0),2)-INDEX(Antoines,MATCH(D1538,Antoine_Name,0),3)/(INDEX(Antoines,MATCH(D1538,Antoine_Name,0),4)+(D1546-32)*5/9)))*14.7/760,IF(D1539="Crude Oil",EXP((2799/(D1546+459.6)-2.227)*LOG10(INDEX(FX_Input,Q$5,D$3*$Z$5+$AA$5))-(7261/(D1546+459.6))+12.82),IF(D1539="Refined Petroleum Stock",EXP((0.7553-(413/(D1546+459.6)))*(INDEX(FX_Input,Q$5,D$3*$Z$5+$AA$5-1)^0.5)*LOG10(INDEX(FX_Input,Q$5,D$3*$Z$5+$AA$5))-(1.854-(1042/(D1546+459.6)))*(INDEX(FX_Input,Q$5,D$3*$Z$5+$AA$5-1)^0.5)+((2416/(D1546+459.6)-2.013)*LOG10(INDEX(FX_Input,Q$5,D$3*$Z$5+$AA$5)))-(8742/(D1546+459.6))+15.64),EXP(INDEX(Antoines,MATCH(D1538,Antoine_Name,0),2)-INDEX(Antoines,MATCH(D1538,Antoine_Name,0),3)/(D1546+459.6))))),0)</f>
        <v>4.739577185808354E-3</v>
      </c>
      <c r="E1549" cm="1">
        <f t="array" ref="E1549">IFERROR(IF(E1539="Chemical",(10^(INDEX(Antoines,MATCH(E1538,Antoine_Name,0),2)-INDEX(Antoines,MATCH(E1538,Antoine_Name,0),3)/(INDEX(Antoines,MATCH(E1538,Antoine_Name,0),4)+(E1546-32)*5/9)))*14.7/760,IF(E1539="Crude Oil",EXP((2799/(E1546+459.6)-2.227)*LOG10(INDEX(FX_Input,R$5,E$3*$Z$5+$AA$5))-(7261/(E1546+459.6))+12.82),IF(E1539="Refined Petroleum Stock",EXP((0.7553-(413/(E1546+459.6)))*(INDEX(FX_Input,R$5,E$3*$Z$5+$AA$5-1)^0.5)*LOG10(INDEX(FX_Input,R$5,E$3*$Z$5+$AA$5))-(1.854-(1042/(E1546+459.6)))*(INDEX(FX_Input,R$5,E$3*$Z$5+$AA$5-1)^0.5)+((2416/(E1546+459.6)-2.013)*LOG10(INDEX(FX_Input,R$5,E$3*$Z$5+$AA$5)))-(8742/(E1546+459.6))+15.64),EXP(INDEX(Antoines,MATCH(E1538,Antoine_Name,0),2)-INDEX(Antoines,MATCH(E1538,Antoine_Name,0),3)/(E1546+459.6))))),0)</f>
        <v>4.8748667780818778E-3</v>
      </c>
      <c r="F1549" cm="1">
        <f t="array" ref="F1549">IFERROR(IF(F1539="Chemical",(10^(INDEX(Antoines,MATCH(F1538,Antoine_Name,0),2)-INDEX(Antoines,MATCH(F1538,Antoine_Name,0),3)/(INDEX(Antoines,MATCH(F1538,Antoine_Name,0),4)+(F1546-32)*5/9)))*14.7/760,IF(F1539="Crude Oil",EXP((2799/(F1546+459.6)-2.227)*LOG10(INDEX(FX_Input,S$5,F$3*$Z$5+$AA$5))-(7261/(F1546+459.6))+12.82),IF(F1539="Refined Petroleum Stock",EXP((0.7553-(413/(F1546+459.6)))*(INDEX(FX_Input,S$5,F$3*$Z$5+$AA$5-1)^0.5)*LOG10(INDEX(FX_Input,S$5,F$3*$Z$5+$AA$5))-(1.854-(1042/(F1546+459.6)))*(INDEX(FX_Input,S$5,F$3*$Z$5+$AA$5-1)^0.5)+((2416/(F1546+459.6)-2.013)*LOG10(INDEX(FX_Input,S$5,F$3*$Z$5+$AA$5)))-(8742/(F1546+459.6))+15.64),EXP(INDEX(Antoines,MATCH(F1538,Antoine_Name,0),2)-INDEX(Antoines,MATCH(F1538,Antoine_Name,0),3)/(F1546+459.6))))),0)</f>
        <v>5.119885034186122E-3</v>
      </c>
      <c r="G1549" cm="1">
        <f t="array" ref="G1549">IFERROR(IF(G1539="Chemical",(10^(INDEX(Antoines,MATCH(G1538,Antoine_Name,0),2)-INDEX(Antoines,MATCH(G1538,Antoine_Name,0),3)/(INDEX(Antoines,MATCH(G1538,Antoine_Name,0),4)+(G1546-32)*5/9)))*14.7/760,IF(G1539="Crude Oil",EXP((2799/(G1546+459.6)-2.227)*LOG10(INDEX(FX_Input,T$5,G$3*$Z$5+$AA$5))-(7261/(G1546+459.6))+12.82),IF(G1539="Refined Petroleum Stock",EXP((0.7553-(413/(G1546+459.6)))*(INDEX(FX_Input,T$5,G$3*$Z$5+$AA$5-1)^0.5)*LOG10(INDEX(FX_Input,T$5,G$3*$Z$5+$AA$5))-(1.854-(1042/(G1546+459.6)))*(INDEX(FX_Input,T$5,G$3*$Z$5+$AA$5-1)^0.5)+((2416/(G1546+459.6)-2.013)*LOG10(INDEX(FX_Input,T$5,G$3*$Z$5+$AA$5)))-(8742/(G1546+459.6))+15.64),EXP(INDEX(Antoines,MATCH(G1538,Antoine_Name,0),2)-INDEX(Antoines,MATCH(G1538,Antoine_Name,0),3)/(G1546+459.6))))),0)</f>
        <v>5.5846958573521795E-3</v>
      </c>
      <c r="H1549" cm="1">
        <f t="array" ref="H1549">IFERROR(IF(H1539="Chemical",(10^(INDEX(Antoines,MATCH(H1538,Antoine_Name,0),2)-INDEX(Antoines,MATCH(H1538,Antoine_Name,0),3)/(INDEX(Antoines,MATCH(H1538,Antoine_Name,0),4)+(H1546-32)*5/9)))*14.7/760,IF(H1539="Crude Oil",EXP((2799/(H1546+459.6)-2.227)*LOG10(INDEX(FX_Input,U$5,H$3*$Z$5+$AA$5))-(7261/(H1546+459.6))+12.82),IF(H1539="Refined Petroleum Stock",EXP((0.7553-(413/(H1546+459.6)))*(INDEX(FX_Input,U$5,H$3*$Z$5+$AA$5-1)^0.5)*LOG10(INDEX(FX_Input,U$5,H$3*$Z$5+$AA$5))-(1.854-(1042/(H1546+459.6)))*(INDEX(FX_Input,U$5,H$3*$Z$5+$AA$5-1)^0.5)+((2416/(H1546+459.6)-2.013)*LOG10(INDEX(FX_Input,U$5,H$3*$Z$5+$AA$5)))-(8742/(H1546+459.6))+15.64),EXP(INDEX(Antoines,MATCH(H1538,Antoine_Name,0),2)-INDEX(Antoines,MATCH(H1538,Antoine_Name,0),3)/(H1546+459.6))))),0)</f>
        <v>6.5274070972739821E-3</v>
      </c>
      <c r="I1549" cm="1">
        <f t="array" ref="I1549">IFERROR(IF(I1539="Chemical",(10^(INDEX(Antoines,MATCH(I1538,Antoine_Name,0),2)-INDEX(Antoines,MATCH(I1538,Antoine_Name,0),3)/(INDEX(Antoines,MATCH(I1538,Antoine_Name,0),4)+(I1546-32)*5/9)))*14.7/760,IF(I1539="Crude Oil",EXP((2799/(I1546+459.6)-2.227)*LOG10(INDEX(FX_Input,V$5,I$3*$Z$5+$AA$5))-(7261/(I1546+459.6))+12.82),IF(I1539="Refined Petroleum Stock",EXP((0.7553-(413/(I1546+459.6)))*(INDEX(FX_Input,V$5,I$3*$Z$5+$AA$5-1)^0.5)*LOG10(INDEX(FX_Input,V$5,I$3*$Z$5+$AA$5))-(1.854-(1042/(I1546+459.6)))*(INDEX(FX_Input,V$5,I$3*$Z$5+$AA$5-1)^0.5)+((2416/(I1546+459.6)-2.013)*LOG10(INDEX(FX_Input,V$5,I$3*$Z$5+$AA$5)))-(8742/(I1546+459.6))+15.64),EXP(INDEX(Antoines,MATCH(I1538,Antoine_Name,0),2)-INDEX(Antoines,MATCH(I1538,Antoine_Name,0),3)/(I1546+459.6))))),0)</f>
        <v>7.4199539958878279E-3</v>
      </c>
      <c r="J1549" cm="1">
        <f t="array" ref="J1549">IFERROR(IF(J1539="Chemical",(10^(INDEX(Antoines,MATCH(J1538,Antoine_Name,0),2)-INDEX(Antoines,MATCH(J1538,Antoine_Name,0),3)/(INDEX(Antoines,MATCH(J1538,Antoine_Name,0),4)+(J1546-32)*5/9)))*14.7/760,IF(J1539="Crude Oil",EXP((2799/(J1546+459.6)-2.227)*LOG10(INDEX(FX_Input,W$5,J$3*$Z$5+$AA$5))-(7261/(J1546+459.6))+12.82),IF(J1539="Refined Petroleum Stock",EXP((0.7553-(413/(J1546+459.6)))*(INDEX(FX_Input,W$5,J$3*$Z$5+$AA$5-1)^0.5)*LOG10(INDEX(FX_Input,W$5,J$3*$Z$5+$AA$5))-(1.854-(1042/(J1546+459.6)))*(INDEX(FX_Input,W$5,J$3*$Z$5+$AA$5-1)^0.5)+((2416/(J1546+459.6)-2.013)*LOG10(INDEX(FX_Input,W$5,J$3*$Z$5+$AA$5)))-(8742/(J1546+459.6))+15.64),EXP(INDEX(Antoines,MATCH(J1538,Antoine_Name,0),2)-INDEX(Antoines,MATCH(J1538,Antoine_Name,0),3)/(J1546+459.6))))),0)</f>
        <v>8.3358107202842254E-3</v>
      </c>
      <c r="K1549" cm="1">
        <f t="array" ref="K1549">IFERROR(IF(K1539="Chemical",(10^(INDEX(Antoines,MATCH(K1538,Antoine_Name,0),2)-INDEX(Antoines,MATCH(K1538,Antoine_Name,0),3)/(INDEX(Antoines,MATCH(K1538,Antoine_Name,0),4)+(K1546-32)*5/9)))*14.7/760,IF(K1539="Crude Oil",EXP((2799/(K1546+459.6)-2.227)*LOG10(INDEX(FX_Input,X$5,K$3*$Z$5+$AA$5))-(7261/(K1546+459.6))+12.82),IF(K1539="Refined Petroleum Stock",EXP((0.7553-(413/(K1546+459.6)))*(INDEX(FX_Input,X$5,K$3*$Z$5+$AA$5-1)^0.5)*LOG10(INDEX(FX_Input,X$5,K$3*$Z$5+$AA$5))-(1.854-(1042/(K1546+459.6)))*(INDEX(FX_Input,X$5,K$3*$Z$5+$AA$5-1)^0.5)+((2416/(K1546+459.6)-2.013)*LOG10(INDEX(FX_Input,X$5,K$3*$Z$5+$AA$5)))-(8742/(K1546+459.6))+15.64),EXP(INDEX(Antoines,MATCH(K1538,Antoine_Name,0),2)-INDEX(Antoines,MATCH(K1538,Antoine_Name,0),3)/(K1546+459.6))))),0)</f>
        <v>8.4605262729351115E-3</v>
      </c>
      <c r="L1549" cm="1">
        <f t="array" ref="L1549">IFERROR(IF(L1539="Chemical",(10^(INDEX(Antoines,MATCH(L1538,Antoine_Name,0),2)-INDEX(Antoines,MATCH(L1538,Antoine_Name,0),3)/(INDEX(Antoines,MATCH(L1538,Antoine_Name,0),4)+(L1546-32)*5/9)))*14.7/760,IF(L1539="Crude Oil",EXP((2799/(L1546+459.6)-2.227)*LOG10(INDEX(FX_Input,Y$5,L$3*$Z$5+$AA$5))-(7261/(L1546+459.6))+12.82),IF(L1539="Refined Petroleum Stock",EXP((0.7553-(413/(L1546+459.6)))*(INDEX(FX_Input,Y$5,L$3*$Z$5+$AA$5-1)^0.5)*LOG10(INDEX(FX_Input,Y$5,L$3*$Z$5+$AA$5))-(1.854-(1042/(L1546+459.6)))*(INDEX(FX_Input,Y$5,L$3*$Z$5+$AA$5-1)^0.5)+((2416/(L1546+459.6)-2.013)*LOG10(INDEX(FX_Input,Y$5,L$3*$Z$5+$AA$5)))-(8742/(L1546+459.6))+15.64),EXP(INDEX(Antoines,MATCH(L1538,Antoine_Name,0),2)-INDEX(Antoines,MATCH(L1538,Antoine_Name,0),3)/(L1546+459.6))))),0)</f>
        <v>7.8399882233967533E-3</v>
      </c>
      <c r="M1549" cm="1">
        <f t="array" ref="M1549">IFERROR(IF(M1539="Chemical",(10^(INDEX(Antoines,MATCH(M1538,Antoine_Name,0),2)-INDEX(Antoines,MATCH(M1538,Antoine_Name,0),3)/(INDEX(Antoines,MATCH(M1538,Antoine_Name,0),4)+(M1546-32)*5/9)))*14.7/760,IF(M1539="Crude Oil",EXP((2799/(M1546+459.6)-2.227)*LOG10(INDEX(FX_Input,Z$5,M$3*$Z$5+$AA$5))-(7261/(M1546+459.6))+12.82),IF(M1539="Refined Petroleum Stock",EXP((0.7553-(413/(M1546+459.6)))*(INDEX(FX_Input,Z$5,M$3*$Z$5+$AA$5-1)^0.5)*LOG10(INDEX(FX_Input,Z$5,M$3*$Z$5+$AA$5))-(1.854-(1042/(M1546+459.6)))*(INDEX(FX_Input,Z$5,M$3*$Z$5+$AA$5-1)^0.5)+((2416/(M1546+459.6)-2.013)*LOG10(INDEX(FX_Input,Z$5,M$3*$Z$5+$AA$5)))-(8742/(M1546+459.6))+15.64),EXP(INDEX(Antoines,MATCH(M1538,Antoine_Name,0),2)-INDEX(Antoines,MATCH(M1538,Antoine_Name,0),3)/(M1546+459.6))))),0)</f>
        <v>6.4173462075160911E-3</v>
      </c>
      <c r="N1549" cm="1">
        <f t="array" ref="N1549">IFERROR(IF(N1539="Chemical",(10^(INDEX(Antoines,MATCH(N1538,Antoine_Name,0),2)-INDEX(Antoines,MATCH(N1538,Antoine_Name,0),3)/(INDEX(Antoines,MATCH(N1538,Antoine_Name,0),4)+(N1546-32)*5/9)))*14.7/760,IF(N1539="Crude Oil",EXP((2799/(N1546+459.6)-2.227)*LOG10(INDEX(FX_Input,AA$5,N$3*$Z$5+$AA$5))-(7261/(N1546+459.6))+12.82),IF(N1539="Refined Petroleum Stock",EXP((0.7553-(413/(N1546+459.6)))*(INDEX(FX_Input,AA$5,N$3*$Z$5+$AA$5-1)^0.5)*LOG10(INDEX(FX_Input,AA$5,N$3*$Z$5+$AA$5))-(1.854-(1042/(N1546+459.6)))*(INDEX(FX_Input,AA$5,N$3*$Z$5+$AA$5-1)^0.5)+((2416/(N1546+459.6)-2.013)*LOG10(INDEX(FX_Input,AA$5,N$3*$Z$5+$AA$5)))-(8742/(N1546+459.6))+15.64),EXP(INDEX(Antoines,MATCH(N1538,Antoine_Name,0),2)-INDEX(Antoines,MATCH(N1538,Antoine_Name,0),3)/(N1546+459.6))))),0)</f>
        <v>5.3015226887581056E-3</v>
      </c>
      <c r="O1549" cm="1">
        <f t="array" ref="O1549">IFERROR(IF(O1539="Chemical",(10^(INDEX(Antoines,MATCH(O1538,Antoine_Name,0),2)-INDEX(Antoines,MATCH(O1538,Antoine_Name,0),3)/(INDEX(Antoines,MATCH(O1538,Antoine_Name,0),4)+(O1546-32)*5/9)))*14.7/760,IF(O1539="Crude Oil",EXP((2799/(O1546+459.6)-2.227)*LOG10(INDEX(FX_Input,AB$5,O$3*$Z$5+$AA$5))-(7261/(O1546+459.6))+12.82),IF(O1539="Refined Petroleum Stock",EXP((0.7553-(413/(O1546+459.6)))*(INDEX(FX_Input,AB$5,O$3*$Z$5+$AA$5-1)^0.5)*LOG10(INDEX(FX_Input,AB$5,O$3*$Z$5+$AA$5))-(1.854-(1042/(O1546+459.6)))*(INDEX(FX_Input,AB$5,O$3*$Z$5+$AA$5-1)^0.5)+((2416/(O1546+459.6)-2.013)*LOG10(INDEX(FX_Input,AB$5,O$3*$Z$5+$AA$5)))-(8742/(O1546+459.6))+15.64),EXP(INDEX(Antoines,MATCH(O1538,Antoine_Name,0),2)-INDEX(Antoines,MATCH(O1538,Antoine_Name,0),3)/(O1546+459.6))))),0)</f>
        <v>4.68970903600947E-3</v>
      </c>
    </row>
    <row r="1550" spans="2:32" ht="17.149999999999999" x14ac:dyDescent="0.55000000000000004">
      <c r="B1550" t="str">
        <f t="shared" si="5652"/>
        <v>Portland</v>
      </c>
      <c r="C1550" t="s">
        <v>576</v>
      </c>
      <c r="D1550">
        <f>D1542*D1549</f>
        <v>4.739577185808354E-3</v>
      </c>
      <c r="E1550">
        <f t="shared" ref="E1550" si="5653">E1542*E1549</f>
        <v>4.8748667780818778E-3</v>
      </c>
      <c r="F1550">
        <f t="shared" ref="F1550" si="5654">F1542*F1549</f>
        <v>5.119885034186122E-3</v>
      </c>
      <c r="G1550">
        <f t="shared" ref="G1550" si="5655">G1542*G1549</f>
        <v>5.5846958573521795E-3</v>
      </c>
      <c r="H1550">
        <f t="shared" ref="H1550" si="5656">H1542*H1549</f>
        <v>6.5274070972739821E-3</v>
      </c>
      <c r="I1550">
        <f t="shared" ref="I1550" si="5657">I1542*I1549</f>
        <v>7.4199539958878279E-3</v>
      </c>
      <c r="J1550">
        <f t="shared" ref="J1550" si="5658">J1542*J1549</f>
        <v>8.3358107202842254E-3</v>
      </c>
      <c r="K1550">
        <f t="shared" ref="K1550" si="5659">K1542*K1549</f>
        <v>8.4605262729351115E-3</v>
      </c>
      <c r="L1550">
        <f t="shared" ref="L1550" si="5660">L1542*L1549</f>
        <v>7.8399882233967533E-3</v>
      </c>
      <c r="M1550">
        <f t="shared" ref="M1550" si="5661">M1542*M1549</f>
        <v>6.4173462075160911E-3</v>
      </c>
      <c r="N1550">
        <f t="shared" ref="N1550" si="5662">N1542*N1549</f>
        <v>5.3015226887581056E-3</v>
      </c>
      <c r="O1550">
        <f t="shared" ref="O1550" si="5663">O1542*O1549</f>
        <v>4.68970903600947E-3</v>
      </c>
    </row>
    <row r="1551" spans="2:32" ht="17.149999999999999" x14ac:dyDescent="0.55000000000000004">
      <c r="B1551" t="str">
        <f t="shared" si="5652"/>
        <v>Portland</v>
      </c>
      <c r="C1551" t="s">
        <v>575</v>
      </c>
      <c r="D1551" cm="1">
        <f t="array" ref="D1551">IFERROR(IF(D1541="Chemical",(10^(INDEX(Antoines,MATCH(D1540,Antoine_Name,0),2)-INDEX(Antoines,MATCH(D1540,Antoine_Name,0),3)/(INDEX(Antoines,MATCH(D1540,Antoine_Name,0),4)+(D1546-32)*5/9)))*14.7/760,IF(D1541="Crude Oil",EXP((2799/(D1546+459.6)-2.227)*LOG10(INDEX(FX_Input,Q$5,D$3*$Z$5+$AA$5))-(7261/(D1546+459.6))+12.82),IF(D1541="Refined Petroleum Stock",EXP((0.7553-(413/(D1546+459.6)))*(INDEX(FX_Input,Q$5,D$3*$Z$5+$AA$5-1)^0.5)*LOG10(INDEX(FX_Input,Q$5,D$3*$Z$5+$AA$5))-(1.854-(1042/(D1546+459.6)))*(INDEX(FX_Input,Q$5,D$3*$Z$5+$AA$5-1)^0.5)+((2416/(D1546+459.6)-2.013)*LOG10(INDEX(FX_Input,Q$5,D$3*$Z$5+$AA$5)))-(8742/(D1546+459.6))+15.64),EXP(INDEX(Antoines,MATCH(D1540,Antoine_Name,0),2)-INDEX(Antoines,MATCH(D1540,Antoine_Name,0),3)/(D1546+459.6))))),0)</f>
        <v>0</v>
      </c>
      <c r="E1551" cm="1">
        <f t="array" ref="E1551">IFERROR(IF(E1541="Chemical",(10^(INDEX(Antoines,MATCH(E1540,Antoine_Name,0),2)-INDEX(Antoines,MATCH(E1540,Antoine_Name,0),3)/(INDEX(Antoines,MATCH(E1540,Antoine_Name,0),4)+(E1546-32)*5/9)))*14.7/760,IF(E1541="Crude Oil",EXP((2799/(E1546+459.6)-2.227)*LOG10(INDEX(FX_Input,R$5,E$3*$Z$5+$AA$5))-(7261/(E1546+459.6))+12.82),IF(E1541="Refined Petroleum Stock",EXP((0.7553-(413/(E1546+459.6)))*(INDEX(FX_Input,R$5,E$3*$Z$5+$AA$5-1)^0.5)*LOG10(INDEX(FX_Input,R$5,E$3*$Z$5+$AA$5))-(1.854-(1042/(E1546+459.6)))*(INDEX(FX_Input,R$5,E$3*$Z$5+$AA$5-1)^0.5)+((2416/(E1546+459.6)-2.013)*LOG10(INDEX(FX_Input,R$5,E$3*$Z$5+$AA$5)))-(8742/(E1546+459.6))+15.64),EXP(INDEX(Antoines,MATCH(E1540,Antoine_Name,0),2)-INDEX(Antoines,MATCH(E1540,Antoine_Name,0),3)/(E1546+459.6))))),0)</f>
        <v>0</v>
      </c>
      <c r="F1551" cm="1">
        <f t="array" ref="F1551">IFERROR(IF(F1541="Chemical",(10^(INDEX(Antoines,MATCH(F1540,Antoine_Name,0),2)-INDEX(Antoines,MATCH(F1540,Antoine_Name,0),3)/(INDEX(Antoines,MATCH(F1540,Antoine_Name,0),4)+(F1546-32)*5/9)))*14.7/760,IF(F1541="Crude Oil",EXP((2799/(F1546+459.6)-2.227)*LOG10(INDEX(FX_Input,S$5,F$3*$Z$5+$AA$5))-(7261/(F1546+459.6))+12.82),IF(F1541="Refined Petroleum Stock",EXP((0.7553-(413/(F1546+459.6)))*(INDEX(FX_Input,S$5,F$3*$Z$5+$AA$5-1)^0.5)*LOG10(INDEX(FX_Input,S$5,F$3*$Z$5+$AA$5))-(1.854-(1042/(F1546+459.6)))*(INDEX(FX_Input,S$5,F$3*$Z$5+$AA$5-1)^0.5)+((2416/(F1546+459.6)-2.013)*LOG10(INDEX(FX_Input,S$5,F$3*$Z$5+$AA$5)))-(8742/(F1546+459.6))+15.64),EXP(INDEX(Antoines,MATCH(F1540,Antoine_Name,0),2)-INDEX(Antoines,MATCH(F1540,Antoine_Name,0),3)/(F1546+459.6))))),0)</f>
        <v>0</v>
      </c>
      <c r="G1551" cm="1">
        <f t="array" ref="G1551">IFERROR(IF(G1541="Chemical",(10^(INDEX(Antoines,MATCH(G1540,Antoine_Name,0),2)-INDEX(Antoines,MATCH(G1540,Antoine_Name,0),3)/(INDEX(Antoines,MATCH(G1540,Antoine_Name,0),4)+(G1546-32)*5/9)))*14.7/760,IF(G1541="Crude Oil",EXP((2799/(G1546+459.6)-2.227)*LOG10(INDEX(FX_Input,T$5,G$3*$Z$5+$AA$5))-(7261/(G1546+459.6))+12.82),IF(G1541="Refined Petroleum Stock",EXP((0.7553-(413/(G1546+459.6)))*(INDEX(FX_Input,T$5,G$3*$Z$5+$AA$5-1)^0.5)*LOG10(INDEX(FX_Input,T$5,G$3*$Z$5+$AA$5))-(1.854-(1042/(G1546+459.6)))*(INDEX(FX_Input,T$5,G$3*$Z$5+$AA$5-1)^0.5)+((2416/(G1546+459.6)-2.013)*LOG10(INDEX(FX_Input,T$5,G$3*$Z$5+$AA$5)))-(8742/(G1546+459.6))+15.64),EXP(INDEX(Antoines,MATCH(G1540,Antoine_Name,0),2)-INDEX(Antoines,MATCH(G1540,Antoine_Name,0),3)/(G1546+459.6))))),0)</f>
        <v>0</v>
      </c>
      <c r="H1551" cm="1">
        <f t="array" ref="H1551">IFERROR(IF(H1541="Chemical",(10^(INDEX(Antoines,MATCH(H1540,Antoine_Name,0),2)-INDEX(Antoines,MATCH(H1540,Antoine_Name,0),3)/(INDEX(Antoines,MATCH(H1540,Antoine_Name,0),4)+(H1546-32)*5/9)))*14.7/760,IF(H1541="Crude Oil",EXP((2799/(H1546+459.6)-2.227)*LOG10(INDEX(FX_Input,U$5,H$3*$Z$5+$AA$5))-(7261/(H1546+459.6))+12.82),IF(H1541="Refined Petroleum Stock",EXP((0.7553-(413/(H1546+459.6)))*(INDEX(FX_Input,U$5,H$3*$Z$5+$AA$5-1)^0.5)*LOG10(INDEX(FX_Input,U$5,H$3*$Z$5+$AA$5))-(1.854-(1042/(H1546+459.6)))*(INDEX(FX_Input,U$5,H$3*$Z$5+$AA$5-1)^0.5)+((2416/(H1546+459.6)-2.013)*LOG10(INDEX(FX_Input,U$5,H$3*$Z$5+$AA$5)))-(8742/(H1546+459.6))+15.64),EXP(INDEX(Antoines,MATCH(H1540,Antoine_Name,0),2)-INDEX(Antoines,MATCH(H1540,Antoine_Name,0),3)/(H1546+459.6))))),0)</f>
        <v>0</v>
      </c>
      <c r="I1551" cm="1">
        <f t="array" ref="I1551">IFERROR(IF(I1541="Chemical",(10^(INDEX(Antoines,MATCH(I1540,Antoine_Name,0),2)-INDEX(Antoines,MATCH(I1540,Antoine_Name,0),3)/(INDEX(Antoines,MATCH(I1540,Antoine_Name,0),4)+(I1546-32)*5/9)))*14.7/760,IF(I1541="Crude Oil",EXP((2799/(I1546+459.6)-2.227)*LOG10(INDEX(FX_Input,V$5,I$3*$Z$5+$AA$5))-(7261/(I1546+459.6))+12.82),IF(I1541="Refined Petroleum Stock",EXP((0.7553-(413/(I1546+459.6)))*(INDEX(FX_Input,V$5,I$3*$Z$5+$AA$5-1)^0.5)*LOG10(INDEX(FX_Input,V$5,I$3*$Z$5+$AA$5))-(1.854-(1042/(I1546+459.6)))*(INDEX(FX_Input,V$5,I$3*$Z$5+$AA$5-1)^0.5)+((2416/(I1546+459.6)-2.013)*LOG10(INDEX(FX_Input,V$5,I$3*$Z$5+$AA$5)))-(8742/(I1546+459.6))+15.64),EXP(INDEX(Antoines,MATCH(I1540,Antoine_Name,0),2)-INDEX(Antoines,MATCH(I1540,Antoine_Name,0),3)/(I1546+459.6))))),0)</f>
        <v>0</v>
      </c>
      <c r="J1551" cm="1">
        <f t="array" ref="J1551">IFERROR(IF(J1541="Chemical",(10^(INDEX(Antoines,MATCH(J1540,Antoine_Name,0),2)-INDEX(Antoines,MATCH(J1540,Antoine_Name,0),3)/(INDEX(Antoines,MATCH(J1540,Antoine_Name,0),4)+(J1546-32)*5/9)))*14.7/760,IF(J1541="Crude Oil",EXP((2799/(J1546+459.6)-2.227)*LOG10(INDEX(FX_Input,W$5,J$3*$Z$5+$AA$5))-(7261/(J1546+459.6))+12.82),IF(J1541="Refined Petroleum Stock",EXP((0.7553-(413/(J1546+459.6)))*(INDEX(FX_Input,W$5,J$3*$Z$5+$AA$5-1)^0.5)*LOG10(INDEX(FX_Input,W$5,J$3*$Z$5+$AA$5))-(1.854-(1042/(J1546+459.6)))*(INDEX(FX_Input,W$5,J$3*$Z$5+$AA$5-1)^0.5)+((2416/(J1546+459.6)-2.013)*LOG10(INDEX(FX_Input,W$5,J$3*$Z$5+$AA$5)))-(8742/(J1546+459.6))+15.64),EXP(INDEX(Antoines,MATCH(J1540,Antoine_Name,0),2)-INDEX(Antoines,MATCH(J1540,Antoine_Name,0),3)/(J1546+459.6))))),0)</f>
        <v>0</v>
      </c>
      <c r="K1551" cm="1">
        <f t="array" ref="K1551">IFERROR(IF(K1541="Chemical",(10^(INDEX(Antoines,MATCH(K1540,Antoine_Name,0),2)-INDEX(Antoines,MATCH(K1540,Antoine_Name,0),3)/(INDEX(Antoines,MATCH(K1540,Antoine_Name,0),4)+(K1546-32)*5/9)))*14.7/760,IF(K1541="Crude Oil",EXP((2799/(K1546+459.6)-2.227)*LOG10(INDEX(FX_Input,X$5,K$3*$Z$5+$AA$5))-(7261/(K1546+459.6))+12.82),IF(K1541="Refined Petroleum Stock",EXP((0.7553-(413/(K1546+459.6)))*(INDEX(FX_Input,X$5,K$3*$Z$5+$AA$5-1)^0.5)*LOG10(INDEX(FX_Input,X$5,K$3*$Z$5+$AA$5))-(1.854-(1042/(K1546+459.6)))*(INDEX(FX_Input,X$5,K$3*$Z$5+$AA$5-1)^0.5)+((2416/(K1546+459.6)-2.013)*LOG10(INDEX(FX_Input,X$5,K$3*$Z$5+$AA$5)))-(8742/(K1546+459.6))+15.64),EXP(INDEX(Antoines,MATCH(K1540,Antoine_Name,0),2)-INDEX(Antoines,MATCH(K1540,Antoine_Name,0),3)/(K1546+459.6))))),0)</f>
        <v>0</v>
      </c>
      <c r="L1551" cm="1">
        <f t="array" ref="L1551">IFERROR(IF(L1541="Chemical",(10^(INDEX(Antoines,MATCH(L1540,Antoine_Name,0),2)-INDEX(Antoines,MATCH(L1540,Antoine_Name,0),3)/(INDEX(Antoines,MATCH(L1540,Antoine_Name,0),4)+(L1546-32)*5/9)))*14.7/760,IF(L1541="Crude Oil",EXP((2799/(L1546+459.6)-2.227)*LOG10(INDEX(FX_Input,Y$5,L$3*$Z$5+$AA$5))-(7261/(L1546+459.6))+12.82),IF(L1541="Refined Petroleum Stock",EXP((0.7553-(413/(L1546+459.6)))*(INDEX(FX_Input,Y$5,L$3*$Z$5+$AA$5-1)^0.5)*LOG10(INDEX(FX_Input,Y$5,L$3*$Z$5+$AA$5))-(1.854-(1042/(L1546+459.6)))*(INDEX(FX_Input,Y$5,L$3*$Z$5+$AA$5-1)^0.5)+((2416/(L1546+459.6)-2.013)*LOG10(INDEX(FX_Input,Y$5,L$3*$Z$5+$AA$5)))-(8742/(L1546+459.6))+15.64),EXP(INDEX(Antoines,MATCH(L1540,Antoine_Name,0),2)-INDEX(Antoines,MATCH(L1540,Antoine_Name,0),3)/(L1546+459.6))))),0)</f>
        <v>0</v>
      </c>
      <c r="M1551" cm="1">
        <f t="array" ref="M1551">IFERROR(IF(M1541="Chemical",(10^(INDEX(Antoines,MATCH(M1540,Antoine_Name,0),2)-INDEX(Antoines,MATCH(M1540,Antoine_Name,0),3)/(INDEX(Antoines,MATCH(M1540,Antoine_Name,0),4)+(M1546-32)*5/9)))*14.7/760,IF(M1541="Crude Oil",EXP((2799/(M1546+459.6)-2.227)*LOG10(INDEX(FX_Input,Z$5,M$3*$Z$5+$AA$5))-(7261/(M1546+459.6))+12.82),IF(M1541="Refined Petroleum Stock",EXP((0.7553-(413/(M1546+459.6)))*(INDEX(FX_Input,Z$5,M$3*$Z$5+$AA$5-1)^0.5)*LOG10(INDEX(FX_Input,Z$5,M$3*$Z$5+$AA$5))-(1.854-(1042/(M1546+459.6)))*(INDEX(FX_Input,Z$5,M$3*$Z$5+$AA$5-1)^0.5)+((2416/(M1546+459.6)-2.013)*LOG10(INDEX(FX_Input,Z$5,M$3*$Z$5+$AA$5)))-(8742/(M1546+459.6))+15.64),EXP(INDEX(Antoines,MATCH(M1540,Antoine_Name,0),2)-INDEX(Antoines,MATCH(M1540,Antoine_Name,0),3)/(M1546+459.6))))),0)</f>
        <v>0</v>
      </c>
      <c r="N1551" cm="1">
        <f t="array" ref="N1551">IFERROR(IF(N1541="Chemical",(10^(INDEX(Antoines,MATCH(N1540,Antoine_Name,0),2)-INDEX(Antoines,MATCH(N1540,Antoine_Name,0),3)/(INDEX(Antoines,MATCH(N1540,Antoine_Name,0),4)+(N1546-32)*5/9)))*14.7/760,IF(N1541="Crude Oil",EXP((2799/(N1546+459.6)-2.227)*LOG10(INDEX(FX_Input,AA$5,N$3*$Z$5+$AA$5))-(7261/(N1546+459.6))+12.82),IF(N1541="Refined Petroleum Stock",EXP((0.7553-(413/(N1546+459.6)))*(INDEX(FX_Input,AA$5,N$3*$Z$5+$AA$5-1)^0.5)*LOG10(INDEX(FX_Input,AA$5,N$3*$Z$5+$AA$5))-(1.854-(1042/(N1546+459.6)))*(INDEX(FX_Input,AA$5,N$3*$Z$5+$AA$5-1)^0.5)+((2416/(N1546+459.6)-2.013)*LOG10(INDEX(FX_Input,AA$5,N$3*$Z$5+$AA$5)))-(8742/(N1546+459.6))+15.64),EXP(INDEX(Antoines,MATCH(N1540,Antoine_Name,0),2)-INDEX(Antoines,MATCH(N1540,Antoine_Name,0),3)/(N1546+459.6))))),0)</f>
        <v>0</v>
      </c>
      <c r="O1551" cm="1">
        <f t="array" ref="O1551">IFERROR(IF(O1541="Chemical",(10^(INDEX(Antoines,MATCH(O1540,Antoine_Name,0),2)-INDEX(Antoines,MATCH(O1540,Antoine_Name,0),3)/(INDEX(Antoines,MATCH(O1540,Antoine_Name,0),4)+(O1546-32)*5/9)))*14.7/760,IF(O1541="Crude Oil",EXP((2799/(O1546+459.6)-2.227)*LOG10(INDEX(FX_Input,AB$5,O$3*$Z$5+$AA$5))-(7261/(O1546+459.6))+12.82),IF(O1541="Refined Petroleum Stock",EXP((0.7553-(413/(O1546+459.6)))*(INDEX(FX_Input,AB$5,O$3*$Z$5+$AA$5-1)^0.5)*LOG10(INDEX(FX_Input,AB$5,O$3*$Z$5+$AA$5))-(1.854-(1042/(O1546+459.6)))*(INDEX(FX_Input,AB$5,O$3*$Z$5+$AA$5-1)^0.5)+((2416/(O1546+459.6)-2.013)*LOG10(INDEX(FX_Input,AB$5,O$3*$Z$5+$AA$5)))-(8742/(O1546+459.6))+15.64),EXP(INDEX(Antoines,MATCH(O1540,Antoine_Name,0),2)-INDEX(Antoines,MATCH(O1540,Antoine_Name,0),3)/(O1546+459.6))))),0)</f>
        <v>0</v>
      </c>
    </row>
    <row r="1552" spans="2:32" ht="17.149999999999999" x14ac:dyDescent="0.55000000000000004">
      <c r="B1552" t="str">
        <f t="shared" si="5652"/>
        <v>Portland</v>
      </c>
      <c r="C1552" t="s">
        <v>577</v>
      </c>
      <c r="D1552">
        <f>D1551*D1544</f>
        <v>0</v>
      </c>
      <c r="E1552">
        <f t="shared" ref="E1552" si="5664">E1551*E1544</f>
        <v>0</v>
      </c>
      <c r="F1552">
        <f t="shared" ref="F1552" si="5665">F1551*F1544</f>
        <v>0</v>
      </c>
      <c r="G1552">
        <f t="shared" ref="G1552" si="5666">G1551*G1544</f>
        <v>0</v>
      </c>
      <c r="H1552">
        <f t="shared" ref="H1552" si="5667">H1551*H1544</f>
        <v>0</v>
      </c>
      <c r="I1552">
        <f t="shared" ref="I1552" si="5668">I1551*I1544</f>
        <v>0</v>
      </c>
      <c r="J1552">
        <f t="shared" ref="J1552" si="5669">J1551*J1544</f>
        <v>0</v>
      </c>
      <c r="K1552">
        <f t="shared" ref="K1552" si="5670">K1551*K1544</f>
        <v>0</v>
      </c>
      <c r="L1552">
        <f t="shared" ref="L1552" si="5671">L1551*L1544</f>
        <v>0</v>
      </c>
      <c r="M1552">
        <f t="shared" ref="M1552" si="5672">M1551*M1544</f>
        <v>0</v>
      </c>
      <c r="N1552">
        <f t="shared" ref="N1552" si="5673">N1551*N1544</f>
        <v>0</v>
      </c>
      <c r="O1552">
        <f t="shared" ref="O1552" si="5674">O1551*O1544</f>
        <v>0</v>
      </c>
    </row>
    <row r="1553" spans="1:32" ht="17.149999999999999" x14ac:dyDescent="0.55000000000000004">
      <c r="B1553" t="str">
        <f t="shared" si="5652"/>
        <v>Portland</v>
      </c>
      <c r="C1553" t="s">
        <v>578</v>
      </c>
      <c r="D1553">
        <f>D1552+D1550</f>
        <v>4.739577185808354E-3</v>
      </c>
      <c r="E1553">
        <f t="shared" ref="E1553" si="5675">E1552+E1550</f>
        <v>4.8748667780818778E-3</v>
      </c>
      <c r="F1553">
        <f t="shared" ref="F1553" si="5676">F1552+F1550</f>
        <v>5.119885034186122E-3</v>
      </c>
      <c r="G1553">
        <f t="shared" ref="G1553" si="5677">G1552+G1550</f>
        <v>5.5846958573521795E-3</v>
      </c>
      <c r="H1553">
        <f t="shared" ref="H1553" si="5678">H1552+H1550</f>
        <v>6.5274070972739821E-3</v>
      </c>
      <c r="I1553">
        <f t="shared" ref="I1553" si="5679">I1552+I1550</f>
        <v>7.4199539958878279E-3</v>
      </c>
      <c r="J1553">
        <f t="shared" ref="J1553" si="5680">J1552+J1550</f>
        <v>8.3358107202842254E-3</v>
      </c>
      <c r="K1553">
        <f t="shared" ref="K1553" si="5681">K1552+K1550</f>
        <v>8.4605262729351115E-3</v>
      </c>
      <c r="L1553">
        <f t="shared" ref="L1553" si="5682">L1552+L1550</f>
        <v>7.8399882233967533E-3</v>
      </c>
      <c r="M1553">
        <f t="shared" ref="M1553" si="5683">M1552+M1550</f>
        <v>6.4173462075160911E-3</v>
      </c>
      <c r="N1553">
        <f t="shared" ref="N1553" si="5684">N1552+N1550</f>
        <v>5.3015226887581056E-3</v>
      </c>
      <c r="O1553">
        <f t="shared" ref="O1553" si="5685">O1552+O1550</f>
        <v>4.68970903600947E-3</v>
      </c>
    </row>
    <row r="1554" spans="1:32" ht="17.149999999999999" x14ac:dyDescent="0.55000000000000004">
      <c r="B1554" t="str">
        <f t="shared" si="5652"/>
        <v>Portland</v>
      </c>
      <c r="C1554" t="s">
        <v>579</v>
      </c>
      <c r="D1554" cm="1">
        <f t="array" ref="D1554">IFERROR(IF(D1539="Chemical",(10^(INDEX(Antoines,MATCH(D1538,Antoine_Name,0),2)-INDEX(Antoines,MATCH(D1538,Antoine_Name,0),3)/(INDEX(Antoines,MATCH(D1538,Antoine_Name,0),4)+(D1547-32)*5/9)))*14.7/760,IF(D1539="Crude Oil",EXP((2799/(D1547+459.6)-2.227)*LOG10(INDEX(FX_Input,Q$5,D$3*$Z$5+$AA$5))-(7261/(D1547+459.6))+12.82),IF(D1539="Refined Petroleum Stock",EXP((0.7553-(413/(D1547+459.6)))*(INDEX(FX_Input,Q$5,D$3*$Z$5+$AA$5-1)^0.5)*LOG10(INDEX(FX_Input,Q$5,D$3*$Z$5+$AA$5))-(1.854-(1042/(D1547+459.6)))*(INDEX(FX_Input,Q$5,D$3*$Z$5+$AA$5-1)^0.5)+((2416/(D1547+459.6)-2.013)*LOG10(INDEX(FX_Input,Q$5,D$3*$Z$5+$AA$5)))-(8742/(D1547+459.6))+15.64),EXP(INDEX(Antoines,MATCH(D1538,Antoine_Name,0),2)-INDEX(Antoines,MATCH(D1538,Antoine_Name,0),3)/(D1547+459.6))))),0)</f>
        <v>4.739577185808354E-3</v>
      </c>
      <c r="E1554" cm="1">
        <f t="array" ref="E1554">IFERROR(IF(E1539="Chemical",(10^(INDEX(Antoines,MATCH(E1538,Antoine_Name,0),2)-INDEX(Antoines,MATCH(E1538,Antoine_Name,0),3)/(INDEX(Antoines,MATCH(E1538,Antoine_Name,0),4)+(E1547-32)*5/9)))*14.7/760,IF(E1539="Crude Oil",EXP((2799/(E1547+459.6)-2.227)*LOG10(INDEX(FX_Input,R$5,E$3*$Z$5+$AA$5))-(7261/(E1547+459.6))+12.82),IF(E1539="Refined Petroleum Stock",EXP((0.7553-(413/(E1547+459.6)))*(INDEX(FX_Input,R$5,E$3*$Z$5+$AA$5-1)^0.5)*LOG10(INDEX(FX_Input,R$5,E$3*$Z$5+$AA$5))-(1.854-(1042/(E1547+459.6)))*(INDEX(FX_Input,R$5,E$3*$Z$5+$AA$5-1)^0.5)+((2416/(E1547+459.6)-2.013)*LOG10(INDEX(FX_Input,R$5,E$3*$Z$5+$AA$5)))-(8742/(E1547+459.6))+15.64),EXP(INDEX(Antoines,MATCH(E1538,Antoine_Name,0),2)-INDEX(Antoines,MATCH(E1538,Antoine_Name,0),3)/(E1547+459.6))))),0)</f>
        <v>4.8748667780818778E-3</v>
      </c>
      <c r="F1554" cm="1">
        <f t="array" ref="F1554">IFERROR(IF(F1539="Chemical",(10^(INDEX(Antoines,MATCH(F1538,Antoine_Name,0),2)-INDEX(Antoines,MATCH(F1538,Antoine_Name,0),3)/(INDEX(Antoines,MATCH(F1538,Antoine_Name,0),4)+(F1547-32)*5/9)))*14.7/760,IF(F1539="Crude Oil",EXP((2799/(F1547+459.6)-2.227)*LOG10(INDEX(FX_Input,S$5,F$3*$Z$5+$AA$5))-(7261/(F1547+459.6))+12.82),IF(F1539="Refined Petroleum Stock",EXP((0.7553-(413/(F1547+459.6)))*(INDEX(FX_Input,S$5,F$3*$Z$5+$AA$5-1)^0.5)*LOG10(INDEX(FX_Input,S$5,F$3*$Z$5+$AA$5))-(1.854-(1042/(F1547+459.6)))*(INDEX(FX_Input,S$5,F$3*$Z$5+$AA$5-1)^0.5)+((2416/(F1547+459.6)-2.013)*LOG10(INDEX(FX_Input,S$5,F$3*$Z$5+$AA$5)))-(8742/(F1547+459.6))+15.64),EXP(INDEX(Antoines,MATCH(F1538,Antoine_Name,0),2)-INDEX(Antoines,MATCH(F1538,Antoine_Name,0),3)/(F1547+459.6))))),0)</f>
        <v>5.119885034186122E-3</v>
      </c>
      <c r="G1554" cm="1">
        <f t="array" ref="G1554">IFERROR(IF(G1539="Chemical",(10^(INDEX(Antoines,MATCH(G1538,Antoine_Name,0),2)-INDEX(Antoines,MATCH(G1538,Antoine_Name,0),3)/(INDEX(Antoines,MATCH(G1538,Antoine_Name,0),4)+(G1547-32)*5/9)))*14.7/760,IF(G1539="Crude Oil",EXP((2799/(G1547+459.6)-2.227)*LOG10(INDEX(FX_Input,T$5,G$3*$Z$5+$AA$5))-(7261/(G1547+459.6))+12.82),IF(G1539="Refined Petroleum Stock",EXP((0.7553-(413/(G1547+459.6)))*(INDEX(FX_Input,T$5,G$3*$Z$5+$AA$5-1)^0.5)*LOG10(INDEX(FX_Input,T$5,G$3*$Z$5+$AA$5))-(1.854-(1042/(G1547+459.6)))*(INDEX(FX_Input,T$5,G$3*$Z$5+$AA$5-1)^0.5)+((2416/(G1547+459.6)-2.013)*LOG10(INDEX(FX_Input,T$5,G$3*$Z$5+$AA$5)))-(8742/(G1547+459.6))+15.64),EXP(INDEX(Antoines,MATCH(G1538,Antoine_Name,0),2)-INDEX(Antoines,MATCH(G1538,Antoine_Name,0),3)/(G1547+459.6))))),0)</f>
        <v>5.5846958573521795E-3</v>
      </c>
      <c r="H1554" cm="1">
        <f t="array" ref="H1554">IFERROR(IF(H1539="Chemical",(10^(INDEX(Antoines,MATCH(H1538,Antoine_Name,0),2)-INDEX(Antoines,MATCH(H1538,Antoine_Name,0),3)/(INDEX(Antoines,MATCH(H1538,Antoine_Name,0),4)+(H1547-32)*5/9)))*14.7/760,IF(H1539="Crude Oil",EXP((2799/(H1547+459.6)-2.227)*LOG10(INDEX(FX_Input,U$5,H$3*$Z$5+$AA$5))-(7261/(H1547+459.6))+12.82),IF(H1539="Refined Petroleum Stock",EXP((0.7553-(413/(H1547+459.6)))*(INDEX(FX_Input,U$5,H$3*$Z$5+$AA$5-1)^0.5)*LOG10(INDEX(FX_Input,U$5,H$3*$Z$5+$AA$5))-(1.854-(1042/(H1547+459.6)))*(INDEX(FX_Input,U$5,H$3*$Z$5+$AA$5-1)^0.5)+((2416/(H1547+459.6)-2.013)*LOG10(INDEX(FX_Input,U$5,H$3*$Z$5+$AA$5)))-(8742/(H1547+459.6))+15.64),EXP(INDEX(Antoines,MATCH(H1538,Antoine_Name,0),2)-INDEX(Antoines,MATCH(H1538,Antoine_Name,0),3)/(H1547+459.6))))),0)</f>
        <v>6.5274070972739821E-3</v>
      </c>
      <c r="I1554" cm="1">
        <f t="array" ref="I1554">IFERROR(IF(I1539="Chemical",(10^(INDEX(Antoines,MATCH(I1538,Antoine_Name,0),2)-INDEX(Antoines,MATCH(I1538,Antoine_Name,0),3)/(INDEX(Antoines,MATCH(I1538,Antoine_Name,0),4)+(I1547-32)*5/9)))*14.7/760,IF(I1539="Crude Oil",EXP((2799/(I1547+459.6)-2.227)*LOG10(INDEX(FX_Input,V$5,I$3*$Z$5+$AA$5))-(7261/(I1547+459.6))+12.82),IF(I1539="Refined Petroleum Stock",EXP((0.7553-(413/(I1547+459.6)))*(INDEX(FX_Input,V$5,I$3*$Z$5+$AA$5-1)^0.5)*LOG10(INDEX(FX_Input,V$5,I$3*$Z$5+$AA$5))-(1.854-(1042/(I1547+459.6)))*(INDEX(FX_Input,V$5,I$3*$Z$5+$AA$5-1)^0.5)+((2416/(I1547+459.6)-2.013)*LOG10(INDEX(FX_Input,V$5,I$3*$Z$5+$AA$5)))-(8742/(I1547+459.6))+15.64),EXP(INDEX(Antoines,MATCH(I1538,Antoine_Name,0),2)-INDEX(Antoines,MATCH(I1538,Antoine_Name,0),3)/(I1547+459.6))))),0)</f>
        <v>7.4199539958878279E-3</v>
      </c>
      <c r="J1554" cm="1">
        <f t="array" ref="J1554">IFERROR(IF(J1539="Chemical",(10^(INDEX(Antoines,MATCH(J1538,Antoine_Name,0),2)-INDEX(Antoines,MATCH(J1538,Antoine_Name,0),3)/(INDEX(Antoines,MATCH(J1538,Antoine_Name,0),4)+(J1547-32)*5/9)))*14.7/760,IF(J1539="Crude Oil",EXP((2799/(J1547+459.6)-2.227)*LOG10(INDEX(FX_Input,W$5,J$3*$Z$5+$AA$5))-(7261/(J1547+459.6))+12.82),IF(J1539="Refined Petroleum Stock",EXP((0.7553-(413/(J1547+459.6)))*(INDEX(FX_Input,W$5,J$3*$Z$5+$AA$5-1)^0.5)*LOG10(INDEX(FX_Input,W$5,J$3*$Z$5+$AA$5))-(1.854-(1042/(J1547+459.6)))*(INDEX(FX_Input,W$5,J$3*$Z$5+$AA$5-1)^0.5)+((2416/(J1547+459.6)-2.013)*LOG10(INDEX(FX_Input,W$5,J$3*$Z$5+$AA$5)))-(8742/(J1547+459.6))+15.64),EXP(INDEX(Antoines,MATCH(J1538,Antoine_Name,0),2)-INDEX(Antoines,MATCH(J1538,Antoine_Name,0),3)/(J1547+459.6))))),0)</f>
        <v>8.3358107202842254E-3</v>
      </c>
      <c r="K1554" cm="1">
        <f t="array" ref="K1554">IFERROR(IF(K1539="Chemical",(10^(INDEX(Antoines,MATCH(K1538,Antoine_Name,0),2)-INDEX(Antoines,MATCH(K1538,Antoine_Name,0),3)/(INDEX(Antoines,MATCH(K1538,Antoine_Name,0),4)+(K1547-32)*5/9)))*14.7/760,IF(K1539="Crude Oil",EXP((2799/(K1547+459.6)-2.227)*LOG10(INDEX(FX_Input,X$5,K$3*$Z$5+$AA$5))-(7261/(K1547+459.6))+12.82),IF(K1539="Refined Petroleum Stock",EXP((0.7553-(413/(K1547+459.6)))*(INDEX(FX_Input,X$5,K$3*$Z$5+$AA$5-1)^0.5)*LOG10(INDEX(FX_Input,X$5,K$3*$Z$5+$AA$5))-(1.854-(1042/(K1547+459.6)))*(INDEX(FX_Input,X$5,K$3*$Z$5+$AA$5-1)^0.5)+((2416/(K1547+459.6)-2.013)*LOG10(INDEX(FX_Input,X$5,K$3*$Z$5+$AA$5)))-(8742/(K1547+459.6))+15.64),EXP(INDEX(Antoines,MATCH(K1538,Antoine_Name,0),2)-INDEX(Antoines,MATCH(K1538,Antoine_Name,0),3)/(K1547+459.6))))),0)</f>
        <v>8.4605262729351115E-3</v>
      </c>
      <c r="L1554" cm="1">
        <f t="array" ref="L1554">IFERROR(IF(L1539="Chemical",(10^(INDEX(Antoines,MATCH(L1538,Antoine_Name,0),2)-INDEX(Antoines,MATCH(L1538,Antoine_Name,0),3)/(INDEX(Antoines,MATCH(L1538,Antoine_Name,0),4)+(L1547-32)*5/9)))*14.7/760,IF(L1539="Crude Oil",EXP((2799/(L1547+459.6)-2.227)*LOG10(INDEX(FX_Input,Y$5,L$3*$Z$5+$AA$5))-(7261/(L1547+459.6))+12.82),IF(L1539="Refined Petroleum Stock",EXP((0.7553-(413/(L1547+459.6)))*(INDEX(FX_Input,Y$5,L$3*$Z$5+$AA$5-1)^0.5)*LOG10(INDEX(FX_Input,Y$5,L$3*$Z$5+$AA$5))-(1.854-(1042/(L1547+459.6)))*(INDEX(FX_Input,Y$5,L$3*$Z$5+$AA$5-1)^0.5)+((2416/(L1547+459.6)-2.013)*LOG10(INDEX(FX_Input,Y$5,L$3*$Z$5+$AA$5)))-(8742/(L1547+459.6))+15.64),EXP(INDEX(Antoines,MATCH(L1538,Antoine_Name,0),2)-INDEX(Antoines,MATCH(L1538,Antoine_Name,0),3)/(L1547+459.6))))),0)</f>
        <v>7.8399882233967533E-3</v>
      </c>
      <c r="M1554" cm="1">
        <f t="array" ref="M1554">IFERROR(IF(M1539="Chemical",(10^(INDEX(Antoines,MATCH(M1538,Antoine_Name,0),2)-INDEX(Antoines,MATCH(M1538,Antoine_Name,0),3)/(INDEX(Antoines,MATCH(M1538,Antoine_Name,0),4)+(M1547-32)*5/9)))*14.7/760,IF(M1539="Crude Oil",EXP((2799/(M1547+459.6)-2.227)*LOG10(INDEX(FX_Input,Z$5,M$3*$Z$5+$AA$5))-(7261/(M1547+459.6))+12.82),IF(M1539="Refined Petroleum Stock",EXP((0.7553-(413/(M1547+459.6)))*(INDEX(FX_Input,Z$5,M$3*$Z$5+$AA$5-1)^0.5)*LOG10(INDEX(FX_Input,Z$5,M$3*$Z$5+$AA$5))-(1.854-(1042/(M1547+459.6)))*(INDEX(FX_Input,Z$5,M$3*$Z$5+$AA$5-1)^0.5)+((2416/(M1547+459.6)-2.013)*LOG10(INDEX(FX_Input,Z$5,M$3*$Z$5+$AA$5)))-(8742/(M1547+459.6))+15.64),EXP(INDEX(Antoines,MATCH(M1538,Antoine_Name,0),2)-INDEX(Antoines,MATCH(M1538,Antoine_Name,0),3)/(M1547+459.6))))),0)</f>
        <v>6.4173462075160911E-3</v>
      </c>
      <c r="N1554" cm="1">
        <f t="array" ref="N1554">IFERROR(IF(N1539="Chemical",(10^(INDEX(Antoines,MATCH(N1538,Antoine_Name,0),2)-INDEX(Antoines,MATCH(N1538,Antoine_Name,0),3)/(INDEX(Antoines,MATCH(N1538,Antoine_Name,0),4)+(N1547-32)*5/9)))*14.7/760,IF(N1539="Crude Oil",EXP((2799/(N1547+459.6)-2.227)*LOG10(INDEX(FX_Input,AA$5,N$3*$Z$5+$AA$5))-(7261/(N1547+459.6))+12.82),IF(N1539="Refined Petroleum Stock",EXP((0.7553-(413/(N1547+459.6)))*(INDEX(FX_Input,AA$5,N$3*$Z$5+$AA$5-1)^0.5)*LOG10(INDEX(FX_Input,AA$5,N$3*$Z$5+$AA$5))-(1.854-(1042/(N1547+459.6)))*(INDEX(FX_Input,AA$5,N$3*$Z$5+$AA$5-1)^0.5)+((2416/(N1547+459.6)-2.013)*LOG10(INDEX(FX_Input,AA$5,N$3*$Z$5+$AA$5)))-(8742/(N1547+459.6))+15.64),EXP(INDEX(Antoines,MATCH(N1538,Antoine_Name,0),2)-INDEX(Antoines,MATCH(N1538,Antoine_Name,0),3)/(N1547+459.6))))),0)</f>
        <v>5.3015226887581056E-3</v>
      </c>
      <c r="O1554" cm="1">
        <f t="array" ref="O1554">IFERROR(IF(O1539="Chemical",(10^(INDEX(Antoines,MATCH(O1538,Antoine_Name,0),2)-INDEX(Antoines,MATCH(O1538,Antoine_Name,0),3)/(INDEX(Antoines,MATCH(O1538,Antoine_Name,0),4)+(O1547-32)*5/9)))*14.7/760,IF(O1539="Crude Oil",EXP((2799/(O1547+459.6)-2.227)*LOG10(INDEX(FX_Input,AB$5,O$3*$Z$5+$AA$5))-(7261/(O1547+459.6))+12.82),IF(O1539="Refined Petroleum Stock",EXP((0.7553-(413/(O1547+459.6)))*(INDEX(FX_Input,AB$5,O$3*$Z$5+$AA$5-1)^0.5)*LOG10(INDEX(FX_Input,AB$5,O$3*$Z$5+$AA$5))-(1.854-(1042/(O1547+459.6)))*(INDEX(FX_Input,AB$5,O$3*$Z$5+$AA$5-1)^0.5)+((2416/(O1547+459.6)-2.013)*LOG10(INDEX(FX_Input,AB$5,O$3*$Z$5+$AA$5)))-(8742/(O1547+459.6))+15.64),EXP(INDEX(Antoines,MATCH(O1538,Antoine_Name,0),2)-INDEX(Antoines,MATCH(O1538,Antoine_Name,0),3)/(O1547+459.6))))),0)</f>
        <v>4.68970903600947E-3</v>
      </c>
    </row>
    <row r="1555" spans="1:32" ht="17.149999999999999" x14ac:dyDescent="0.55000000000000004">
      <c r="B1555" t="str">
        <f t="shared" si="5652"/>
        <v>Portland</v>
      </c>
      <c r="C1555" t="s">
        <v>580</v>
      </c>
      <c r="D1555">
        <f>D1554*D1542</f>
        <v>4.739577185808354E-3</v>
      </c>
      <c r="E1555">
        <f t="shared" ref="E1555" si="5686">E1554*E1542</f>
        <v>4.8748667780818778E-3</v>
      </c>
      <c r="F1555">
        <f t="shared" ref="F1555" si="5687">F1554*F1542</f>
        <v>5.119885034186122E-3</v>
      </c>
      <c r="G1555">
        <f t="shared" ref="G1555" si="5688">G1554*G1542</f>
        <v>5.5846958573521795E-3</v>
      </c>
      <c r="H1555">
        <f t="shared" ref="H1555" si="5689">H1554*H1542</f>
        <v>6.5274070972739821E-3</v>
      </c>
      <c r="I1555">
        <f t="shared" ref="I1555" si="5690">I1554*I1542</f>
        <v>7.4199539958878279E-3</v>
      </c>
      <c r="J1555">
        <f t="shared" ref="J1555" si="5691">J1554*J1542</f>
        <v>8.3358107202842254E-3</v>
      </c>
      <c r="K1555">
        <f t="shared" ref="K1555" si="5692">K1554*K1542</f>
        <v>8.4605262729351115E-3</v>
      </c>
      <c r="L1555">
        <f t="shared" ref="L1555" si="5693">L1554*L1542</f>
        <v>7.8399882233967533E-3</v>
      </c>
      <c r="M1555">
        <f t="shared" ref="M1555" si="5694">M1554*M1542</f>
        <v>6.4173462075160911E-3</v>
      </c>
      <c r="N1555">
        <f t="shared" ref="N1555" si="5695">N1554*N1542</f>
        <v>5.3015226887581056E-3</v>
      </c>
      <c r="O1555">
        <f t="shared" ref="O1555" si="5696">O1554*O1542</f>
        <v>4.68970903600947E-3</v>
      </c>
    </row>
    <row r="1556" spans="1:32" ht="17.149999999999999" x14ac:dyDescent="0.55000000000000004">
      <c r="B1556" t="str">
        <f t="shared" si="5652"/>
        <v>Portland</v>
      </c>
      <c r="C1556" t="s">
        <v>581</v>
      </c>
      <c r="D1556" cm="1">
        <f t="array" ref="D1556">IFERROR(IF(D1541="Chemical",(10^(INDEX(Antoines,MATCH(D1540,Antoine_Name,0),2)-INDEX(Antoines,MATCH(D1540,Antoine_Name,0),3)/(INDEX(Antoines,MATCH(D1540,Antoine_Name,0),4)+(D1547-32)*5/9)))*14.7/760,IF(D1541="Crude Oil",EXP((2799/(D1547+459.6)-2.227)*LOG10(INDEX(FX_Input,Q$5,D$3*$Z$5+$AA$5))-(7261/(D1547+459.6))+12.82),IF(D1541="Refined Petroleum Stock",EXP((0.7553-(413/(D1547+459.6)))*(INDEX(FX_Input,Q$5,D$3*$Z$5+$AA$5-1)^0.5)*LOG10(INDEX(FX_Input,Q$5,D$3*$Z$5+$AA$5))-(1.854-(1042/(D1547+459.6)))*(INDEX(FX_Input,Q$5,D$3*$Z$5+$AA$5-1)^0.5)+((2416/(D1547+459.6)-2.013)*LOG10(INDEX(FX_Input,Q$5,D$3*$Z$5+$AA$5)))-(8742/(D1547+459.6))+15.64),EXP(INDEX(Antoines,MATCH(D1540,Antoine_Name,0),2)-INDEX(Antoines,MATCH(D1540,Antoine_Name,0),3)/(D1547+459.6))))),0)</f>
        <v>0</v>
      </c>
      <c r="E1556" cm="1">
        <f t="array" ref="E1556">IFERROR(IF(E1541="Chemical",(10^(INDEX(Antoines,MATCH(E1540,Antoine_Name,0),2)-INDEX(Antoines,MATCH(E1540,Antoine_Name,0),3)/(INDEX(Antoines,MATCH(E1540,Antoine_Name,0),4)+(E1547-32)*5/9)))*14.7/760,IF(E1541="Crude Oil",EXP((2799/(E1547+459.6)-2.227)*LOG10(INDEX(FX_Input,R$5,E$3*$Z$5+$AA$5))-(7261/(E1547+459.6))+12.82),IF(E1541="Refined Petroleum Stock",EXP((0.7553-(413/(E1547+459.6)))*(INDEX(FX_Input,R$5,E$3*$Z$5+$AA$5-1)^0.5)*LOG10(INDEX(FX_Input,R$5,E$3*$Z$5+$AA$5))-(1.854-(1042/(E1547+459.6)))*(INDEX(FX_Input,R$5,E$3*$Z$5+$AA$5-1)^0.5)+((2416/(E1547+459.6)-2.013)*LOG10(INDEX(FX_Input,R$5,E$3*$Z$5+$AA$5)))-(8742/(E1547+459.6))+15.64),EXP(INDEX(Antoines,MATCH(E1540,Antoine_Name,0),2)-INDEX(Antoines,MATCH(E1540,Antoine_Name,0),3)/(E1547+459.6))))),0)</f>
        <v>0</v>
      </c>
      <c r="F1556" cm="1">
        <f t="array" ref="F1556">IFERROR(IF(F1541="Chemical",(10^(INDEX(Antoines,MATCH(F1540,Antoine_Name,0),2)-INDEX(Antoines,MATCH(F1540,Antoine_Name,0),3)/(INDEX(Antoines,MATCH(F1540,Antoine_Name,0),4)+(F1547-32)*5/9)))*14.7/760,IF(F1541="Crude Oil",EXP((2799/(F1547+459.6)-2.227)*LOG10(INDEX(FX_Input,S$5,F$3*$Z$5+$AA$5))-(7261/(F1547+459.6))+12.82),IF(F1541="Refined Petroleum Stock",EXP((0.7553-(413/(F1547+459.6)))*(INDEX(FX_Input,S$5,F$3*$Z$5+$AA$5-1)^0.5)*LOG10(INDEX(FX_Input,S$5,F$3*$Z$5+$AA$5))-(1.854-(1042/(F1547+459.6)))*(INDEX(FX_Input,S$5,F$3*$Z$5+$AA$5-1)^0.5)+((2416/(F1547+459.6)-2.013)*LOG10(INDEX(FX_Input,S$5,F$3*$Z$5+$AA$5)))-(8742/(F1547+459.6))+15.64),EXP(INDEX(Antoines,MATCH(F1540,Antoine_Name,0),2)-INDEX(Antoines,MATCH(F1540,Antoine_Name,0),3)/(F1547+459.6))))),0)</f>
        <v>0</v>
      </c>
      <c r="G1556" cm="1">
        <f t="array" ref="G1556">IFERROR(IF(G1541="Chemical",(10^(INDEX(Antoines,MATCH(G1540,Antoine_Name,0),2)-INDEX(Antoines,MATCH(G1540,Antoine_Name,0),3)/(INDEX(Antoines,MATCH(G1540,Antoine_Name,0),4)+(G1547-32)*5/9)))*14.7/760,IF(G1541="Crude Oil",EXP((2799/(G1547+459.6)-2.227)*LOG10(INDEX(FX_Input,T$5,G$3*$Z$5+$AA$5))-(7261/(G1547+459.6))+12.82),IF(G1541="Refined Petroleum Stock",EXP((0.7553-(413/(G1547+459.6)))*(INDEX(FX_Input,T$5,G$3*$Z$5+$AA$5-1)^0.5)*LOG10(INDEX(FX_Input,T$5,G$3*$Z$5+$AA$5))-(1.854-(1042/(G1547+459.6)))*(INDEX(FX_Input,T$5,G$3*$Z$5+$AA$5-1)^0.5)+((2416/(G1547+459.6)-2.013)*LOG10(INDEX(FX_Input,T$5,G$3*$Z$5+$AA$5)))-(8742/(G1547+459.6))+15.64),EXP(INDEX(Antoines,MATCH(G1540,Antoine_Name,0),2)-INDEX(Antoines,MATCH(G1540,Antoine_Name,0),3)/(G1547+459.6))))),0)</f>
        <v>0</v>
      </c>
      <c r="H1556" cm="1">
        <f t="array" ref="H1556">IFERROR(IF(H1541="Chemical",(10^(INDEX(Antoines,MATCH(H1540,Antoine_Name,0),2)-INDEX(Antoines,MATCH(H1540,Antoine_Name,0),3)/(INDEX(Antoines,MATCH(H1540,Antoine_Name,0),4)+(H1547-32)*5/9)))*14.7/760,IF(H1541="Crude Oil",EXP((2799/(H1547+459.6)-2.227)*LOG10(INDEX(FX_Input,U$5,H$3*$Z$5+$AA$5))-(7261/(H1547+459.6))+12.82),IF(H1541="Refined Petroleum Stock",EXP((0.7553-(413/(H1547+459.6)))*(INDEX(FX_Input,U$5,H$3*$Z$5+$AA$5-1)^0.5)*LOG10(INDEX(FX_Input,U$5,H$3*$Z$5+$AA$5))-(1.854-(1042/(H1547+459.6)))*(INDEX(FX_Input,U$5,H$3*$Z$5+$AA$5-1)^0.5)+((2416/(H1547+459.6)-2.013)*LOG10(INDEX(FX_Input,U$5,H$3*$Z$5+$AA$5)))-(8742/(H1547+459.6))+15.64),EXP(INDEX(Antoines,MATCH(H1540,Antoine_Name,0),2)-INDEX(Antoines,MATCH(H1540,Antoine_Name,0),3)/(H1547+459.6))))),0)</f>
        <v>0</v>
      </c>
      <c r="I1556" cm="1">
        <f t="array" ref="I1556">IFERROR(IF(I1541="Chemical",(10^(INDEX(Antoines,MATCH(I1540,Antoine_Name,0),2)-INDEX(Antoines,MATCH(I1540,Antoine_Name,0),3)/(INDEX(Antoines,MATCH(I1540,Antoine_Name,0),4)+(I1547-32)*5/9)))*14.7/760,IF(I1541="Crude Oil",EXP((2799/(I1547+459.6)-2.227)*LOG10(INDEX(FX_Input,V$5,I$3*$Z$5+$AA$5))-(7261/(I1547+459.6))+12.82),IF(I1541="Refined Petroleum Stock",EXP((0.7553-(413/(I1547+459.6)))*(INDEX(FX_Input,V$5,I$3*$Z$5+$AA$5-1)^0.5)*LOG10(INDEX(FX_Input,V$5,I$3*$Z$5+$AA$5))-(1.854-(1042/(I1547+459.6)))*(INDEX(FX_Input,V$5,I$3*$Z$5+$AA$5-1)^0.5)+((2416/(I1547+459.6)-2.013)*LOG10(INDEX(FX_Input,V$5,I$3*$Z$5+$AA$5)))-(8742/(I1547+459.6))+15.64),EXP(INDEX(Antoines,MATCH(I1540,Antoine_Name,0),2)-INDEX(Antoines,MATCH(I1540,Antoine_Name,0),3)/(I1547+459.6))))),0)</f>
        <v>0</v>
      </c>
      <c r="J1556" cm="1">
        <f t="array" ref="J1556">IFERROR(IF(J1541="Chemical",(10^(INDEX(Antoines,MATCH(J1540,Antoine_Name,0),2)-INDEX(Antoines,MATCH(J1540,Antoine_Name,0),3)/(INDEX(Antoines,MATCH(J1540,Antoine_Name,0),4)+(J1547-32)*5/9)))*14.7/760,IF(J1541="Crude Oil",EXP((2799/(J1547+459.6)-2.227)*LOG10(INDEX(FX_Input,W$5,J$3*$Z$5+$AA$5))-(7261/(J1547+459.6))+12.82),IF(J1541="Refined Petroleum Stock",EXP((0.7553-(413/(J1547+459.6)))*(INDEX(FX_Input,W$5,J$3*$Z$5+$AA$5-1)^0.5)*LOG10(INDEX(FX_Input,W$5,J$3*$Z$5+$AA$5))-(1.854-(1042/(J1547+459.6)))*(INDEX(FX_Input,W$5,J$3*$Z$5+$AA$5-1)^0.5)+((2416/(J1547+459.6)-2.013)*LOG10(INDEX(FX_Input,W$5,J$3*$Z$5+$AA$5)))-(8742/(J1547+459.6))+15.64),EXP(INDEX(Antoines,MATCH(J1540,Antoine_Name,0),2)-INDEX(Antoines,MATCH(J1540,Antoine_Name,0),3)/(J1547+459.6))))),0)</f>
        <v>0</v>
      </c>
      <c r="K1556" cm="1">
        <f t="array" ref="K1556">IFERROR(IF(K1541="Chemical",(10^(INDEX(Antoines,MATCH(K1540,Antoine_Name,0),2)-INDEX(Antoines,MATCH(K1540,Antoine_Name,0),3)/(INDEX(Antoines,MATCH(K1540,Antoine_Name,0),4)+(K1547-32)*5/9)))*14.7/760,IF(K1541="Crude Oil",EXP((2799/(K1547+459.6)-2.227)*LOG10(INDEX(FX_Input,X$5,K$3*$Z$5+$AA$5))-(7261/(K1547+459.6))+12.82),IF(K1541="Refined Petroleum Stock",EXP((0.7553-(413/(K1547+459.6)))*(INDEX(FX_Input,X$5,K$3*$Z$5+$AA$5-1)^0.5)*LOG10(INDEX(FX_Input,X$5,K$3*$Z$5+$AA$5))-(1.854-(1042/(K1547+459.6)))*(INDEX(FX_Input,X$5,K$3*$Z$5+$AA$5-1)^0.5)+((2416/(K1547+459.6)-2.013)*LOG10(INDEX(FX_Input,X$5,K$3*$Z$5+$AA$5)))-(8742/(K1547+459.6))+15.64),EXP(INDEX(Antoines,MATCH(K1540,Antoine_Name,0),2)-INDEX(Antoines,MATCH(K1540,Antoine_Name,0),3)/(K1547+459.6))))),0)</f>
        <v>0</v>
      </c>
      <c r="L1556" cm="1">
        <f t="array" ref="L1556">IFERROR(IF(L1541="Chemical",(10^(INDEX(Antoines,MATCH(L1540,Antoine_Name,0),2)-INDEX(Antoines,MATCH(L1540,Antoine_Name,0),3)/(INDEX(Antoines,MATCH(L1540,Antoine_Name,0),4)+(L1547-32)*5/9)))*14.7/760,IF(L1541="Crude Oil",EXP((2799/(L1547+459.6)-2.227)*LOG10(INDEX(FX_Input,Y$5,L$3*$Z$5+$AA$5))-(7261/(L1547+459.6))+12.82),IF(L1541="Refined Petroleum Stock",EXP((0.7553-(413/(L1547+459.6)))*(INDEX(FX_Input,Y$5,L$3*$Z$5+$AA$5-1)^0.5)*LOG10(INDEX(FX_Input,Y$5,L$3*$Z$5+$AA$5))-(1.854-(1042/(L1547+459.6)))*(INDEX(FX_Input,Y$5,L$3*$Z$5+$AA$5-1)^0.5)+((2416/(L1547+459.6)-2.013)*LOG10(INDEX(FX_Input,Y$5,L$3*$Z$5+$AA$5)))-(8742/(L1547+459.6))+15.64),EXP(INDEX(Antoines,MATCH(L1540,Antoine_Name,0),2)-INDEX(Antoines,MATCH(L1540,Antoine_Name,0),3)/(L1547+459.6))))),0)</f>
        <v>0</v>
      </c>
      <c r="M1556" cm="1">
        <f t="array" ref="M1556">IFERROR(IF(M1541="Chemical",(10^(INDEX(Antoines,MATCH(M1540,Antoine_Name,0),2)-INDEX(Antoines,MATCH(M1540,Antoine_Name,0),3)/(INDEX(Antoines,MATCH(M1540,Antoine_Name,0),4)+(M1547-32)*5/9)))*14.7/760,IF(M1541="Crude Oil",EXP((2799/(M1547+459.6)-2.227)*LOG10(INDEX(FX_Input,Z$5,M$3*$Z$5+$AA$5))-(7261/(M1547+459.6))+12.82),IF(M1541="Refined Petroleum Stock",EXP((0.7553-(413/(M1547+459.6)))*(INDEX(FX_Input,Z$5,M$3*$Z$5+$AA$5-1)^0.5)*LOG10(INDEX(FX_Input,Z$5,M$3*$Z$5+$AA$5))-(1.854-(1042/(M1547+459.6)))*(INDEX(FX_Input,Z$5,M$3*$Z$5+$AA$5-1)^0.5)+((2416/(M1547+459.6)-2.013)*LOG10(INDEX(FX_Input,Z$5,M$3*$Z$5+$AA$5)))-(8742/(M1547+459.6))+15.64),EXP(INDEX(Antoines,MATCH(M1540,Antoine_Name,0),2)-INDEX(Antoines,MATCH(M1540,Antoine_Name,0),3)/(M1547+459.6))))),0)</f>
        <v>0</v>
      </c>
      <c r="N1556" cm="1">
        <f t="array" ref="N1556">IFERROR(IF(N1541="Chemical",(10^(INDEX(Antoines,MATCH(N1540,Antoine_Name,0),2)-INDEX(Antoines,MATCH(N1540,Antoine_Name,0),3)/(INDEX(Antoines,MATCH(N1540,Antoine_Name,0),4)+(N1547-32)*5/9)))*14.7/760,IF(N1541="Crude Oil",EXP((2799/(N1547+459.6)-2.227)*LOG10(INDEX(FX_Input,AA$5,N$3*$Z$5+$AA$5))-(7261/(N1547+459.6))+12.82),IF(N1541="Refined Petroleum Stock",EXP((0.7553-(413/(N1547+459.6)))*(INDEX(FX_Input,AA$5,N$3*$Z$5+$AA$5-1)^0.5)*LOG10(INDEX(FX_Input,AA$5,N$3*$Z$5+$AA$5))-(1.854-(1042/(N1547+459.6)))*(INDEX(FX_Input,AA$5,N$3*$Z$5+$AA$5-1)^0.5)+((2416/(N1547+459.6)-2.013)*LOG10(INDEX(FX_Input,AA$5,N$3*$Z$5+$AA$5)))-(8742/(N1547+459.6))+15.64),EXP(INDEX(Antoines,MATCH(N1540,Antoine_Name,0),2)-INDEX(Antoines,MATCH(N1540,Antoine_Name,0),3)/(N1547+459.6))))),0)</f>
        <v>0</v>
      </c>
      <c r="O1556" cm="1">
        <f t="array" ref="O1556">IFERROR(IF(O1541="Chemical",(10^(INDEX(Antoines,MATCH(O1540,Antoine_Name,0),2)-INDEX(Antoines,MATCH(O1540,Antoine_Name,0),3)/(INDEX(Antoines,MATCH(O1540,Antoine_Name,0),4)+(O1547-32)*5/9)))*14.7/760,IF(O1541="Crude Oil",EXP((2799/(O1547+459.6)-2.227)*LOG10(INDEX(FX_Input,AB$5,O$3*$Z$5+$AA$5))-(7261/(O1547+459.6))+12.82),IF(O1541="Refined Petroleum Stock",EXP((0.7553-(413/(O1547+459.6)))*(INDEX(FX_Input,AB$5,O$3*$Z$5+$AA$5-1)^0.5)*LOG10(INDEX(FX_Input,AB$5,O$3*$Z$5+$AA$5))-(1.854-(1042/(O1547+459.6)))*(INDEX(FX_Input,AB$5,O$3*$Z$5+$AA$5-1)^0.5)+((2416/(O1547+459.6)-2.013)*LOG10(INDEX(FX_Input,AB$5,O$3*$Z$5+$AA$5)))-(8742/(O1547+459.6))+15.64),EXP(INDEX(Antoines,MATCH(O1540,Antoine_Name,0),2)-INDEX(Antoines,MATCH(O1540,Antoine_Name,0),3)/(O1547+459.6))))),0)</f>
        <v>0</v>
      </c>
    </row>
    <row r="1557" spans="1:32" ht="17.149999999999999" x14ac:dyDescent="0.55000000000000004">
      <c r="B1557" t="str">
        <f t="shared" si="5652"/>
        <v>Portland</v>
      </c>
      <c r="C1557" t="s">
        <v>582</v>
      </c>
      <c r="D1557">
        <f>D1556*D1544</f>
        <v>0</v>
      </c>
      <c r="E1557">
        <f t="shared" ref="E1557" si="5697">E1556*E1544</f>
        <v>0</v>
      </c>
      <c r="F1557">
        <f t="shared" ref="F1557" si="5698">F1556*F1544</f>
        <v>0</v>
      </c>
      <c r="G1557">
        <f t="shared" ref="G1557" si="5699">G1556*G1544</f>
        <v>0</v>
      </c>
      <c r="H1557">
        <f t="shared" ref="H1557" si="5700">H1556*H1544</f>
        <v>0</v>
      </c>
      <c r="I1557">
        <f t="shared" ref="I1557" si="5701">I1556*I1544</f>
        <v>0</v>
      </c>
      <c r="J1557">
        <f t="shared" ref="J1557" si="5702">J1556*J1544</f>
        <v>0</v>
      </c>
      <c r="K1557">
        <f t="shared" ref="K1557" si="5703">K1556*K1544</f>
        <v>0</v>
      </c>
      <c r="L1557">
        <f t="shared" ref="L1557" si="5704">L1556*L1544</f>
        <v>0</v>
      </c>
      <c r="M1557">
        <f t="shared" ref="M1557" si="5705">M1556*M1544</f>
        <v>0</v>
      </c>
      <c r="N1557">
        <f t="shared" ref="N1557" si="5706">N1556*N1544</f>
        <v>0</v>
      </c>
      <c r="O1557">
        <f t="shared" ref="O1557" si="5707">O1556*O1544</f>
        <v>0</v>
      </c>
    </row>
    <row r="1558" spans="1:32" ht="17.149999999999999" x14ac:dyDescent="0.55000000000000004">
      <c r="B1558" t="str">
        <f t="shared" si="5652"/>
        <v>Portland</v>
      </c>
      <c r="C1558" t="s">
        <v>583</v>
      </c>
      <c r="D1558">
        <f>D1555+D1557</f>
        <v>4.739577185808354E-3</v>
      </c>
      <c r="E1558">
        <f t="shared" ref="E1558" si="5708">E1555+E1557</f>
        <v>4.8748667780818778E-3</v>
      </c>
      <c r="F1558">
        <f t="shared" ref="F1558" si="5709">F1555+F1557</f>
        <v>5.119885034186122E-3</v>
      </c>
      <c r="G1558">
        <f t="shared" ref="G1558" si="5710">G1555+G1557</f>
        <v>5.5846958573521795E-3</v>
      </c>
      <c r="H1558">
        <f t="shared" ref="H1558" si="5711">H1555+H1557</f>
        <v>6.5274070972739821E-3</v>
      </c>
      <c r="I1558">
        <f t="shared" ref="I1558" si="5712">I1555+I1557</f>
        <v>7.4199539958878279E-3</v>
      </c>
      <c r="J1558">
        <f t="shared" ref="J1558" si="5713">J1555+J1557</f>
        <v>8.3358107202842254E-3</v>
      </c>
      <c r="K1558">
        <f t="shared" ref="K1558" si="5714">K1555+K1557</f>
        <v>8.4605262729351115E-3</v>
      </c>
      <c r="L1558">
        <f t="shared" ref="L1558" si="5715">L1555+L1557</f>
        <v>7.8399882233967533E-3</v>
      </c>
      <c r="M1558">
        <f t="shared" ref="M1558" si="5716">M1555+M1557</f>
        <v>6.4173462075160911E-3</v>
      </c>
      <c r="N1558">
        <f t="shared" ref="N1558" si="5717">N1555+N1557</f>
        <v>5.3015226887581056E-3</v>
      </c>
      <c r="O1558">
        <f t="shared" ref="O1558" si="5718">O1555+O1557</f>
        <v>4.68970903600947E-3</v>
      </c>
    </row>
    <row r="1559" spans="1:32" ht="17.149999999999999" x14ac:dyDescent="0.55000000000000004">
      <c r="B1559" t="str">
        <f t="shared" si="5652"/>
        <v>Portland</v>
      </c>
      <c r="C1559" t="s">
        <v>1388</v>
      </c>
      <c r="D1559" cm="1">
        <f t="array" ref="D1559">IFERROR(IF(D1539="Chemical",(10^(INDEX(Antoines,MATCH(D1538,Antoine_Name,0),2)-INDEX(Antoines,MATCH(D1538,Antoine_Name,0),3)/(INDEX(Antoines,MATCH(D1538,Antoine_Name,0),4)+(D1548-32)*5/9)))*14.7/760,IF(D1539="Crude Oil",EXP((2799/(D1548+459.6)-2.227)*LOG10(INDEX(FX_Input,Q$5,D$3*$Z$5+$AA$5))-(7261/(D1548+459.6))+12.82),IF(D1539="Refined Petroleum Stock",EXP((0.7553-(413/(D1548+459.6)))*(INDEX(FX_Input,Q$5,D$3*$Z$5+$AA$5-1)^0.5)*LOG10(INDEX(FX_Input,Q$5,D$3*$Z$5+$AA$5))-(1.854-(1042/(D1548+459.6)))*(INDEX(FX_Input,Q$5,D$3*$Z$5+$AA$5-1)^0.5)+((2416/(D1548+459.6)-2.013)*LOG10(INDEX(FX_Input,Q$5,D$3*$Z$5+$AA$5)))-(8742/(D1548+459.6))+15.64),EXP(INDEX(Antoines,MATCH(D1538,Antoine_Name,0),2)-INDEX(Antoines,MATCH(D1538,Antoine_Name,0),3)/(D1548+459.6))))),0)</f>
        <v>4.739577185808354E-3</v>
      </c>
      <c r="E1559" cm="1">
        <f t="array" ref="E1559">IFERROR(IF(E1539="Chemical",(10^(INDEX(Antoines,MATCH(E1538,Antoine_Name,0),2)-INDEX(Antoines,MATCH(E1538,Antoine_Name,0),3)/(INDEX(Antoines,MATCH(E1538,Antoine_Name,0),4)+(E1548-32)*5/9)))*14.7/760,IF(E1539="Crude Oil",EXP((2799/(E1548+459.6)-2.227)*LOG10(INDEX(FX_Input,R$5,E$3*$Z$5+$AA$5))-(7261/(E1548+459.6))+12.82),IF(E1539="Refined Petroleum Stock",EXP((0.7553-(413/(E1548+459.6)))*(INDEX(FX_Input,R$5,E$3*$Z$5+$AA$5-1)^0.5)*LOG10(INDEX(FX_Input,R$5,E$3*$Z$5+$AA$5))-(1.854-(1042/(E1548+459.6)))*(INDEX(FX_Input,R$5,E$3*$Z$5+$AA$5-1)^0.5)+((2416/(E1548+459.6)-2.013)*LOG10(INDEX(FX_Input,R$5,E$3*$Z$5+$AA$5)))-(8742/(E1548+459.6))+15.64),EXP(INDEX(Antoines,MATCH(E1538,Antoine_Name,0),2)-INDEX(Antoines,MATCH(E1538,Antoine_Name,0),3)/(E1548+459.6))))),0)</f>
        <v>4.8748667780818778E-3</v>
      </c>
      <c r="F1559" cm="1">
        <f t="array" ref="F1559">IFERROR(IF(F1539="Chemical",(10^(INDEX(Antoines,MATCH(F1538,Antoine_Name,0),2)-INDEX(Antoines,MATCH(F1538,Antoine_Name,0),3)/(INDEX(Antoines,MATCH(F1538,Antoine_Name,0),4)+(F1548-32)*5/9)))*14.7/760,IF(F1539="Crude Oil",EXP((2799/(F1548+459.6)-2.227)*LOG10(INDEX(FX_Input,S$5,F$3*$Z$5+$AA$5))-(7261/(F1548+459.6))+12.82),IF(F1539="Refined Petroleum Stock",EXP((0.7553-(413/(F1548+459.6)))*(INDEX(FX_Input,S$5,F$3*$Z$5+$AA$5-1)^0.5)*LOG10(INDEX(FX_Input,S$5,F$3*$Z$5+$AA$5))-(1.854-(1042/(F1548+459.6)))*(INDEX(FX_Input,S$5,F$3*$Z$5+$AA$5-1)^0.5)+((2416/(F1548+459.6)-2.013)*LOG10(INDEX(FX_Input,S$5,F$3*$Z$5+$AA$5)))-(8742/(F1548+459.6))+15.64),EXP(INDEX(Antoines,MATCH(F1538,Antoine_Name,0),2)-INDEX(Antoines,MATCH(F1538,Antoine_Name,0),3)/(F1548+459.6))))),0)</f>
        <v>5.119885034186122E-3</v>
      </c>
      <c r="G1559" cm="1">
        <f t="array" ref="G1559">IFERROR(IF(G1539="Chemical",(10^(INDEX(Antoines,MATCH(G1538,Antoine_Name,0),2)-INDEX(Antoines,MATCH(G1538,Antoine_Name,0),3)/(INDEX(Antoines,MATCH(G1538,Antoine_Name,0),4)+(G1548-32)*5/9)))*14.7/760,IF(G1539="Crude Oil",EXP((2799/(G1548+459.6)-2.227)*LOG10(INDEX(FX_Input,T$5,G$3*$Z$5+$AA$5))-(7261/(G1548+459.6))+12.82),IF(G1539="Refined Petroleum Stock",EXP((0.7553-(413/(G1548+459.6)))*(INDEX(FX_Input,T$5,G$3*$Z$5+$AA$5-1)^0.5)*LOG10(INDEX(FX_Input,T$5,G$3*$Z$5+$AA$5))-(1.854-(1042/(G1548+459.6)))*(INDEX(FX_Input,T$5,G$3*$Z$5+$AA$5-1)^0.5)+((2416/(G1548+459.6)-2.013)*LOG10(INDEX(FX_Input,T$5,G$3*$Z$5+$AA$5)))-(8742/(G1548+459.6))+15.64),EXP(INDEX(Antoines,MATCH(G1538,Antoine_Name,0),2)-INDEX(Antoines,MATCH(G1538,Antoine_Name,0),3)/(G1548+459.6))))),0)</f>
        <v>5.5846958573521795E-3</v>
      </c>
      <c r="H1559" cm="1">
        <f t="array" ref="H1559">IFERROR(IF(H1539="Chemical",(10^(INDEX(Antoines,MATCH(H1538,Antoine_Name,0),2)-INDEX(Antoines,MATCH(H1538,Antoine_Name,0),3)/(INDEX(Antoines,MATCH(H1538,Antoine_Name,0),4)+(H1548-32)*5/9)))*14.7/760,IF(H1539="Crude Oil",EXP((2799/(H1548+459.6)-2.227)*LOG10(INDEX(FX_Input,U$5,H$3*$Z$5+$AA$5))-(7261/(H1548+459.6))+12.82),IF(H1539="Refined Petroleum Stock",EXP((0.7553-(413/(H1548+459.6)))*(INDEX(FX_Input,U$5,H$3*$Z$5+$AA$5-1)^0.5)*LOG10(INDEX(FX_Input,U$5,H$3*$Z$5+$AA$5))-(1.854-(1042/(H1548+459.6)))*(INDEX(FX_Input,U$5,H$3*$Z$5+$AA$5-1)^0.5)+((2416/(H1548+459.6)-2.013)*LOG10(INDEX(FX_Input,U$5,H$3*$Z$5+$AA$5)))-(8742/(H1548+459.6))+15.64),EXP(INDEX(Antoines,MATCH(H1538,Antoine_Name,0),2)-INDEX(Antoines,MATCH(H1538,Antoine_Name,0),3)/(H1548+459.6))))),0)</f>
        <v>6.5274070972739821E-3</v>
      </c>
      <c r="I1559" cm="1">
        <f t="array" ref="I1559">IFERROR(IF(I1539="Chemical",(10^(INDEX(Antoines,MATCH(I1538,Antoine_Name,0),2)-INDEX(Antoines,MATCH(I1538,Antoine_Name,0),3)/(INDEX(Antoines,MATCH(I1538,Antoine_Name,0),4)+(I1548-32)*5/9)))*14.7/760,IF(I1539="Crude Oil",EXP((2799/(I1548+459.6)-2.227)*LOG10(INDEX(FX_Input,V$5,I$3*$Z$5+$AA$5))-(7261/(I1548+459.6))+12.82),IF(I1539="Refined Petroleum Stock",EXP((0.7553-(413/(I1548+459.6)))*(INDEX(FX_Input,V$5,I$3*$Z$5+$AA$5-1)^0.5)*LOG10(INDEX(FX_Input,V$5,I$3*$Z$5+$AA$5))-(1.854-(1042/(I1548+459.6)))*(INDEX(FX_Input,V$5,I$3*$Z$5+$AA$5-1)^0.5)+((2416/(I1548+459.6)-2.013)*LOG10(INDEX(FX_Input,V$5,I$3*$Z$5+$AA$5)))-(8742/(I1548+459.6))+15.64),EXP(INDEX(Antoines,MATCH(I1538,Antoine_Name,0),2)-INDEX(Antoines,MATCH(I1538,Antoine_Name,0),3)/(I1548+459.6))))),0)</f>
        <v>7.4199539958878279E-3</v>
      </c>
      <c r="J1559" cm="1">
        <f t="array" ref="J1559">IFERROR(IF(J1539="Chemical",(10^(INDEX(Antoines,MATCH(J1538,Antoine_Name,0),2)-INDEX(Antoines,MATCH(J1538,Antoine_Name,0),3)/(INDEX(Antoines,MATCH(J1538,Antoine_Name,0),4)+(J1548-32)*5/9)))*14.7/760,IF(J1539="Crude Oil",EXP((2799/(J1548+459.6)-2.227)*LOG10(INDEX(FX_Input,W$5,J$3*$Z$5+$AA$5))-(7261/(J1548+459.6))+12.82),IF(J1539="Refined Petroleum Stock",EXP((0.7553-(413/(J1548+459.6)))*(INDEX(FX_Input,W$5,J$3*$Z$5+$AA$5-1)^0.5)*LOG10(INDEX(FX_Input,W$5,J$3*$Z$5+$AA$5))-(1.854-(1042/(J1548+459.6)))*(INDEX(FX_Input,W$5,J$3*$Z$5+$AA$5-1)^0.5)+((2416/(J1548+459.6)-2.013)*LOG10(INDEX(FX_Input,W$5,J$3*$Z$5+$AA$5)))-(8742/(J1548+459.6))+15.64),EXP(INDEX(Antoines,MATCH(J1538,Antoine_Name,0),2)-INDEX(Antoines,MATCH(J1538,Antoine_Name,0),3)/(J1548+459.6))))),0)</f>
        <v>8.3358107202842254E-3</v>
      </c>
      <c r="K1559" cm="1">
        <f t="array" ref="K1559">IFERROR(IF(K1539="Chemical",(10^(INDEX(Antoines,MATCH(K1538,Antoine_Name,0),2)-INDEX(Antoines,MATCH(K1538,Antoine_Name,0),3)/(INDEX(Antoines,MATCH(K1538,Antoine_Name,0),4)+(K1548-32)*5/9)))*14.7/760,IF(K1539="Crude Oil",EXP((2799/(K1548+459.6)-2.227)*LOG10(INDEX(FX_Input,X$5,K$3*$Z$5+$AA$5))-(7261/(K1548+459.6))+12.82),IF(K1539="Refined Petroleum Stock",EXP((0.7553-(413/(K1548+459.6)))*(INDEX(FX_Input,X$5,K$3*$Z$5+$AA$5-1)^0.5)*LOG10(INDEX(FX_Input,X$5,K$3*$Z$5+$AA$5))-(1.854-(1042/(K1548+459.6)))*(INDEX(FX_Input,X$5,K$3*$Z$5+$AA$5-1)^0.5)+((2416/(K1548+459.6)-2.013)*LOG10(INDEX(FX_Input,X$5,K$3*$Z$5+$AA$5)))-(8742/(K1548+459.6))+15.64),EXP(INDEX(Antoines,MATCH(K1538,Antoine_Name,0),2)-INDEX(Antoines,MATCH(K1538,Antoine_Name,0),3)/(K1548+459.6))))),0)</f>
        <v>8.4605262729351115E-3</v>
      </c>
      <c r="L1559" cm="1">
        <f t="array" ref="L1559">IFERROR(IF(L1539="Chemical",(10^(INDEX(Antoines,MATCH(L1538,Antoine_Name,0),2)-INDEX(Antoines,MATCH(L1538,Antoine_Name,0),3)/(INDEX(Antoines,MATCH(L1538,Antoine_Name,0),4)+(L1548-32)*5/9)))*14.7/760,IF(L1539="Crude Oil",EXP((2799/(L1548+459.6)-2.227)*LOG10(INDEX(FX_Input,Y$5,L$3*$Z$5+$AA$5))-(7261/(L1548+459.6))+12.82),IF(L1539="Refined Petroleum Stock",EXP((0.7553-(413/(L1548+459.6)))*(INDEX(FX_Input,Y$5,L$3*$Z$5+$AA$5-1)^0.5)*LOG10(INDEX(FX_Input,Y$5,L$3*$Z$5+$AA$5))-(1.854-(1042/(L1548+459.6)))*(INDEX(FX_Input,Y$5,L$3*$Z$5+$AA$5-1)^0.5)+((2416/(L1548+459.6)-2.013)*LOG10(INDEX(FX_Input,Y$5,L$3*$Z$5+$AA$5)))-(8742/(L1548+459.6))+15.64),EXP(INDEX(Antoines,MATCH(L1538,Antoine_Name,0),2)-INDEX(Antoines,MATCH(L1538,Antoine_Name,0),3)/(L1548+459.6))))),0)</f>
        <v>7.8399882233967533E-3</v>
      </c>
      <c r="M1559" cm="1">
        <f t="array" ref="M1559">IFERROR(IF(M1539="Chemical",(10^(INDEX(Antoines,MATCH(M1538,Antoine_Name,0),2)-INDEX(Antoines,MATCH(M1538,Antoine_Name,0),3)/(INDEX(Antoines,MATCH(M1538,Antoine_Name,0),4)+(M1548-32)*5/9)))*14.7/760,IF(M1539="Crude Oil",EXP((2799/(M1548+459.6)-2.227)*LOG10(INDEX(FX_Input,Z$5,M$3*$Z$5+$AA$5))-(7261/(M1548+459.6))+12.82),IF(M1539="Refined Petroleum Stock",EXP((0.7553-(413/(M1548+459.6)))*(INDEX(FX_Input,Z$5,M$3*$Z$5+$AA$5-1)^0.5)*LOG10(INDEX(FX_Input,Z$5,M$3*$Z$5+$AA$5))-(1.854-(1042/(M1548+459.6)))*(INDEX(FX_Input,Z$5,M$3*$Z$5+$AA$5-1)^0.5)+((2416/(M1548+459.6)-2.013)*LOG10(INDEX(FX_Input,Z$5,M$3*$Z$5+$AA$5)))-(8742/(M1548+459.6))+15.64),EXP(INDEX(Antoines,MATCH(M1538,Antoine_Name,0),2)-INDEX(Antoines,MATCH(M1538,Antoine_Name,0),3)/(M1548+459.6))))),0)</f>
        <v>6.4173462075160911E-3</v>
      </c>
      <c r="N1559" cm="1">
        <f t="array" ref="N1559">IFERROR(IF(N1539="Chemical",(10^(INDEX(Antoines,MATCH(N1538,Antoine_Name,0),2)-INDEX(Antoines,MATCH(N1538,Antoine_Name,0),3)/(INDEX(Antoines,MATCH(N1538,Antoine_Name,0),4)+(N1548-32)*5/9)))*14.7/760,IF(N1539="Crude Oil",EXP((2799/(N1548+459.6)-2.227)*LOG10(INDEX(FX_Input,AA$5,N$3*$Z$5+$AA$5))-(7261/(N1548+459.6))+12.82),IF(N1539="Refined Petroleum Stock",EXP((0.7553-(413/(N1548+459.6)))*(INDEX(FX_Input,AA$5,N$3*$Z$5+$AA$5-1)^0.5)*LOG10(INDEX(FX_Input,AA$5,N$3*$Z$5+$AA$5))-(1.854-(1042/(N1548+459.6)))*(INDEX(FX_Input,AA$5,N$3*$Z$5+$AA$5-1)^0.5)+((2416/(N1548+459.6)-2.013)*LOG10(INDEX(FX_Input,AA$5,N$3*$Z$5+$AA$5)))-(8742/(N1548+459.6))+15.64),EXP(INDEX(Antoines,MATCH(N1538,Antoine_Name,0),2)-INDEX(Antoines,MATCH(N1538,Antoine_Name,0),3)/(N1548+459.6))))),0)</f>
        <v>5.3015226887581056E-3</v>
      </c>
      <c r="O1559" cm="1">
        <f t="array" ref="O1559">IFERROR(IF(O1539="Chemical",(10^(INDEX(Antoines,MATCH(O1538,Antoine_Name,0),2)-INDEX(Antoines,MATCH(O1538,Antoine_Name,0),3)/(INDEX(Antoines,MATCH(O1538,Antoine_Name,0),4)+(O1548-32)*5/9)))*14.7/760,IF(O1539="Crude Oil",EXP((2799/(O1548+459.6)-2.227)*LOG10(INDEX(FX_Input,AB$5,O$3*$Z$5+$AA$5))-(7261/(O1548+459.6))+12.82),IF(O1539="Refined Petroleum Stock",EXP((0.7553-(413/(O1548+459.6)))*(INDEX(FX_Input,AB$5,O$3*$Z$5+$AA$5-1)^0.5)*LOG10(INDEX(FX_Input,AB$5,O$3*$Z$5+$AA$5))-(1.854-(1042/(O1548+459.6)))*(INDEX(FX_Input,AB$5,O$3*$Z$5+$AA$5-1)^0.5)+((2416/(O1548+459.6)-2.013)*LOG10(INDEX(FX_Input,AB$5,O$3*$Z$5+$AA$5)))-(8742/(O1548+459.6))+15.64),EXP(INDEX(Antoines,MATCH(O1538,Antoine_Name,0),2)-INDEX(Antoines,MATCH(O1538,Antoine_Name,0),3)/(O1548+459.6))))),0)</f>
        <v>4.68970903600947E-3</v>
      </c>
    </row>
    <row r="1560" spans="1:32" ht="17.149999999999999" x14ac:dyDescent="0.55000000000000004">
      <c r="B1560" t="str">
        <f t="shared" si="5652"/>
        <v>Portland</v>
      </c>
      <c r="C1560" t="s">
        <v>1389</v>
      </c>
      <c r="D1560">
        <f>D1559*D1542</f>
        <v>4.739577185808354E-3</v>
      </c>
      <c r="E1560">
        <f t="shared" ref="E1560" si="5719">E1559*E1542</f>
        <v>4.8748667780818778E-3</v>
      </c>
      <c r="F1560">
        <f t="shared" ref="F1560" si="5720">F1559*F1542</f>
        <v>5.119885034186122E-3</v>
      </c>
      <c r="G1560">
        <f t="shared" ref="G1560" si="5721">G1559*G1542</f>
        <v>5.5846958573521795E-3</v>
      </c>
      <c r="H1560">
        <f t="shared" ref="H1560" si="5722">H1559*H1542</f>
        <v>6.5274070972739821E-3</v>
      </c>
      <c r="I1560">
        <f t="shared" ref="I1560" si="5723">I1559*I1542</f>
        <v>7.4199539958878279E-3</v>
      </c>
      <c r="J1560">
        <f t="shared" ref="J1560" si="5724">J1559*J1542</f>
        <v>8.3358107202842254E-3</v>
      </c>
      <c r="K1560">
        <f t="shared" ref="K1560" si="5725">K1559*K1542</f>
        <v>8.4605262729351115E-3</v>
      </c>
      <c r="L1560">
        <f t="shared" ref="L1560" si="5726">L1559*L1542</f>
        <v>7.8399882233967533E-3</v>
      </c>
      <c r="M1560">
        <f t="shared" ref="M1560" si="5727">M1559*M1542</f>
        <v>6.4173462075160911E-3</v>
      </c>
      <c r="N1560">
        <f t="shared" ref="N1560" si="5728">N1559*N1542</f>
        <v>5.3015226887581056E-3</v>
      </c>
      <c r="O1560">
        <f t="shared" ref="O1560" si="5729">O1559*O1542</f>
        <v>4.68970903600947E-3</v>
      </c>
    </row>
    <row r="1561" spans="1:32" ht="17.149999999999999" x14ac:dyDescent="0.55000000000000004">
      <c r="B1561" t="str">
        <f t="shared" si="5652"/>
        <v>Portland</v>
      </c>
      <c r="C1561" t="s">
        <v>1390</v>
      </c>
      <c r="D1561" cm="1">
        <f t="array" ref="D1561">IFERROR(IF(D1541="Chemical",(10^(INDEX(Antoines,MATCH(D1540,Antoine_Name,0),2)-INDEX(Antoines,MATCH(D1540,Antoine_Name,0),3)/(INDEX(Antoines,MATCH(D1540,Antoine_Name,0),4)+(D1548-32)*5/9)))*14.7/760,IF(D1541="Crude Oil",EXP((2799/(D1548+459.6)-2.227)*LOG10(INDEX(FX_Input,Q$5,D$3*$Z$5+$AA$5))-(7261/(D1548+459.6))+12.82),IF(D1541="Refined Petroleum Stock",EXP((0.7553-(413/(D1548+459.6)))*(INDEX(FX_Input,Q$5,D$3*$Z$5+$AA$5-1)^0.5)*LOG10(INDEX(FX_Input,Q$5,D$3*$Z$5+$AA$5))-(1.854-(1042/(D1548+459.6)))*(INDEX(FX_Input,Q$5,D$3*$Z$5+$AA$5-1)^0.5)+((2416/(D1548+459.6)-2.013)*LOG10(INDEX(FX_Input,Q$5,D$3*$Z$5+$AA$5)))-(8742/(D1548+459.6))+15.64),EXP(INDEX(Antoines,MATCH(D1540,Antoine_Name,0),2)-INDEX(Antoines,MATCH(D1540,Antoine_Name,0),3)/(D1548+459.6))))),0)</f>
        <v>0</v>
      </c>
      <c r="E1561" cm="1">
        <f t="array" ref="E1561">IFERROR(IF(E1541="Chemical",(10^(INDEX(Antoines,MATCH(E1540,Antoine_Name,0),2)-INDEX(Antoines,MATCH(E1540,Antoine_Name,0),3)/(INDEX(Antoines,MATCH(E1540,Antoine_Name,0),4)+(E1548-32)*5/9)))*14.7/760,IF(E1541="Crude Oil",EXP((2799/(E1548+459.6)-2.227)*LOG10(INDEX(FX_Input,R$5,E$3*$Z$5+$AA$5))-(7261/(E1548+459.6))+12.82),IF(E1541="Refined Petroleum Stock",EXP((0.7553-(413/(E1548+459.6)))*(INDEX(FX_Input,R$5,E$3*$Z$5+$AA$5-1)^0.5)*LOG10(INDEX(FX_Input,R$5,E$3*$Z$5+$AA$5))-(1.854-(1042/(E1548+459.6)))*(INDEX(FX_Input,R$5,E$3*$Z$5+$AA$5-1)^0.5)+((2416/(E1548+459.6)-2.013)*LOG10(INDEX(FX_Input,R$5,E$3*$Z$5+$AA$5)))-(8742/(E1548+459.6))+15.64),EXP(INDEX(Antoines,MATCH(E1540,Antoine_Name,0),2)-INDEX(Antoines,MATCH(E1540,Antoine_Name,0),3)/(E1548+459.6))))),0)</f>
        <v>0</v>
      </c>
      <c r="F1561" cm="1">
        <f t="array" ref="F1561">IFERROR(IF(F1541="Chemical",(10^(INDEX(Antoines,MATCH(F1540,Antoine_Name,0),2)-INDEX(Antoines,MATCH(F1540,Antoine_Name,0),3)/(INDEX(Antoines,MATCH(F1540,Antoine_Name,0),4)+(F1548-32)*5/9)))*14.7/760,IF(F1541="Crude Oil",EXP((2799/(F1548+459.6)-2.227)*LOG10(INDEX(FX_Input,S$5,F$3*$Z$5+$AA$5))-(7261/(F1548+459.6))+12.82),IF(F1541="Refined Petroleum Stock",EXP((0.7553-(413/(F1548+459.6)))*(INDEX(FX_Input,S$5,F$3*$Z$5+$AA$5-1)^0.5)*LOG10(INDEX(FX_Input,S$5,F$3*$Z$5+$AA$5))-(1.854-(1042/(F1548+459.6)))*(INDEX(FX_Input,S$5,F$3*$Z$5+$AA$5-1)^0.5)+((2416/(F1548+459.6)-2.013)*LOG10(INDEX(FX_Input,S$5,F$3*$Z$5+$AA$5)))-(8742/(F1548+459.6))+15.64),EXP(INDEX(Antoines,MATCH(F1540,Antoine_Name,0),2)-INDEX(Antoines,MATCH(F1540,Antoine_Name,0),3)/(F1548+459.6))))),0)</f>
        <v>0</v>
      </c>
      <c r="G1561" cm="1">
        <f t="array" ref="G1561">IFERROR(IF(G1541="Chemical",(10^(INDEX(Antoines,MATCH(G1540,Antoine_Name,0),2)-INDEX(Antoines,MATCH(G1540,Antoine_Name,0),3)/(INDEX(Antoines,MATCH(G1540,Antoine_Name,0),4)+(G1548-32)*5/9)))*14.7/760,IF(G1541="Crude Oil",EXP((2799/(G1548+459.6)-2.227)*LOG10(INDEX(FX_Input,T$5,G$3*$Z$5+$AA$5))-(7261/(G1548+459.6))+12.82),IF(G1541="Refined Petroleum Stock",EXP((0.7553-(413/(G1548+459.6)))*(INDEX(FX_Input,T$5,G$3*$Z$5+$AA$5-1)^0.5)*LOG10(INDEX(FX_Input,T$5,G$3*$Z$5+$AA$5))-(1.854-(1042/(G1548+459.6)))*(INDEX(FX_Input,T$5,G$3*$Z$5+$AA$5-1)^0.5)+((2416/(G1548+459.6)-2.013)*LOG10(INDEX(FX_Input,T$5,G$3*$Z$5+$AA$5)))-(8742/(G1548+459.6))+15.64),EXP(INDEX(Antoines,MATCH(G1540,Antoine_Name,0),2)-INDEX(Antoines,MATCH(G1540,Antoine_Name,0),3)/(G1548+459.6))))),0)</f>
        <v>0</v>
      </c>
      <c r="H1561" cm="1">
        <f t="array" ref="H1561">IFERROR(IF(H1541="Chemical",(10^(INDEX(Antoines,MATCH(H1540,Antoine_Name,0),2)-INDEX(Antoines,MATCH(H1540,Antoine_Name,0),3)/(INDEX(Antoines,MATCH(H1540,Antoine_Name,0),4)+(H1548-32)*5/9)))*14.7/760,IF(H1541="Crude Oil",EXP((2799/(H1548+459.6)-2.227)*LOG10(INDEX(FX_Input,U$5,H$3*$Z$5+$AA$5))-(7261/(H1548+459.6))+12.82),IF(H1541="Refined Petroleum Stock",EXP((0.7553-(413/(H1548+459.6)))*(INDEX(FX_Input,U$5,H$3*$Z$5+$AA$5-1)^0.5)*LOG10(INDEX(FX_Input,U$5,H$3*$Z$5+$AA$5))-(1.854-(1042/(H1548+459.6)))*(INDEX(FX_Input,U$5,H$3*$Z$5+$AA$5-1)^0.5)+((2416/(H1548+459.6)-2.013)*LOG10(INDEX(FX_Input,U$5,H$3*$Z$5+$AA$5)))-(8742/(H1548+459.6))+15.64),EXP(INDEX(Antoines,MATCH(H1540,Antoine_Name,0),2)-INDEX(Antoines,MATCH(H1540,Antoine_Name,0),3)/(H1548+459.6))))),0)</f>
        <v>0</v>
      </c>
      <c r="I1561" cm="1">
        <f t="array" ref="I1561">IFERROR(IF(I1541="Chemical",(10^(INDEX(Antoines,MATCH(I1540,Antoine_Name,0),2)-INDEX(Antoines,MATCH(I1540,Antoine_Name,0),3)/(INDEX(Antoines,MATCH(I1540,Antoine_Name,0),4)+(I1548-32)*5/9)))*14.7/760,IF(I1541="Crude Oil",EXP((2799/(I1548+459.6)-2.227)*LOG10(INDEX(FX_Input,V$5,I$3*$Z$5+$AA$5))-(7261/(I1548+459.6))+12.82),IF(I1541="Refined Petroleum Stock",EXP((0.7553-(413/(I1548+459.6)))*(INDEX(FX_Input,V$5,I$3*$Z$5+$AA$5-1)^0.5)*LOG10(INDEX(FX_Input,V$5,I$3*$Z$5+$AA$5))-(1.854-(1042/(I1548+459.6)))*(INDEX(FX_Input,V$5,I$3*$Z$5+$AA$5-1)^0.5)+((2416/(I1548+459.6)-2.013)*LOG10(INDEX(FX_Input,V$5,I$3*$Z$5+$AA$5)))-(8742/(I1548+459.6))+15.64),EXP(INDEX(Antoines,MATCH(I1540,Antoine_Name,0),2)-INDEX(Antoines,MATCH(I1540,Antoine_Name,0),3)/(I1548+459.6))))),0)</f>
        <v>0</v>
      </c>
      <c r="J1561" cm="1">
        <f t="array" ref="J1561">IFERROR(IF(J1541="Chemical",(10^(INDEX(Antoines,MATCH(J1540,Antoine_Name,0),2)-INDEX(Antoines,MATCH(J1540,Antoine_Name,0),3)/(INDEX(Antoines,MATCH(J1540,Antoine_Name,0),4)+(J1548-32)*5/9)))*14.7/760,IF(J1541="Crude Oil",EXP((2799/(J1548+459.6)-2.227)*LOG10(INDEX(FX_Input,W$5,J$3*$Z$5+$AA$5))-(7261/(J1548+459.6))+12.82),IF(J1541="Refined Petroleum Stock",EXP((0.7553-(413/(J1548+459.6)))*(INDEX(FX_Input,W$5,J$3*$Z$5+$AA$5-1)^0.5)*LOG10(INDEX(FX_Input,W$5,J$3*$Z$5+$AA$5))-(1.854-(1042/(J1548+459.6)))*(INDEX(FX_Input,W$5,J$3*$Z$5+$AA$5-1)^0.5)+((2416/(J1548+459.6)-2.013)*LOG10(INDEX(FX_Input,W$5,J$3*$Z$5+$AA$5)))-(8742/(J1548+459.6))+15.64),EXP(INDEX(Antoines,MATCH(J1540,Antoine_Name,0),2)-INDEX(Antoines,MATCH(J1540,Antoine_Name,0),3)/(J1548+459.6))))),0)</f>
        <v>0</v>
      </c>
      <c r="K1561" cm="1">
        <f t="array" ref="K1561">IFERROR(IF(K1541="Chemical",(10^(INDEX(Antoines,MATCH(K1540,Antoine_Name,0),2)-INDEX(Antoines,MATCH(K1540,Antoine_Name,0),3)/(INDEX(Antoines,MATCH(K1540,Antoine_Name,0),4)+(K1548-32)*5/9)))*14.7/760,IF(K1541="Crude Oil",EXP((2799/(K1548+459.6)-2.227)*LOG10(INDEX(FX_Input,X$5,K$3*$Z$5+$AA$5))-(7261/(K1548+459.6))+12.82),IF(K1541="Refined Petroleum Stock",EXP((0.7553-(413/(K1548+459.6)))*(INDEX(FX_Input,X$5,K$3*$Z$5+$AA$5-1)^0.5)*LOG10(INDEX(FX_Input,X$5,K$3*$Z$5+$AA$5))-(1.854-(1042/(K1548+459.6)))*(INDEX(FX_Input,X$5,K$3*$Z$5+$AA$5-1)^0.5)+((2416/(K1548+459.6)-2.013)*LOG10(INDEX(FX_Input,X$5,K$3*$Z$5+$AA$5)))-(8742/(K1548+459.6))+15.64),EXP(INDEX(Antoines,MATCH(K1540,Antoine_Name,0),2)-INDEX(Antoines,MATCH(K1540,Antoine_Name,0),3)/(K1548+459.6))))),0)</f>
        <v>0</v>
      </c>
      <c r="L1561" cm="1">
        <f t="array" ref="L1561">IFERROR(IF(L1541="Chemical",(10^(INDEX(Antoines,MATCH(L1540,Antoine_Name,0),2)-INDEX(Antoines,MATCH(L1540,Antoine_Name,0),3)/(INDEX(Antoines,MATCH(L1540,Antoine_Name,0),4)+(L1548-32)*5/9)))*14.7/760,IF(L1541="Crude Oil",EXP((2799/(L1548+459.6)-2.227)*LOG10(INDEX(FX_Input,Y$5,L$3*$Z$5+$AA$5))-(7261/(L1548+459.6))+12.82),IF(L1541="Refined Petroleum Stock",EXP((0.7553-(413/(L1548+459.6)))*(INDEX(FX_Input,Y$5,L$3*$Z$5+$AA$5-1)^0.5)*LOG10(INDEX(FX_Input,Y$5,L$3*$Z$5+$AA$5))-(1.854-(1042/(L1548+459.6)))*(INDEX(FX_Input,Y$5,L$3*$Z$5+$AA$5-1)^0.5)+((2416/(L1548+459.6)-2.013)*LOG10(INDEX(FX_Input,Y$5,L$3*$Z$5+$AA$5)))-(8742/(L1548+459.6))+15.64),EXP(INDEX(Antoines,MATCH(L1540,Antoine_Name,0),2)-INDEX(Antoines,MATCH(L1540,Antoine_Name,0),3)/(L1548+459.6))))),0)</f>
        <v>0</v>
      </c>
      <c r="M1561" cm="1">
        <f t="array" ref="M1561">IFERROR(IF(M1541="Chemical",(10^(INDEX(Antoines,MATCH(M1540,Antoine_Name,0),2)-INDEX(Antoines,MATCH(M1540,Antoine_Name,0),3)/(INDEX(Antoines,MATCH(M1540,Antoine_Name,0),4)+(M1548-32)*5/9)))*14.7/760,IF(M1541="Crude Oil",EXP((2799/(M1548+459.6)-2.227)*LOG10(INDEX(FX_Input,Z$5,M$3*$Z$5+$AA$5))-(7261/(M1548+459.6))+12.82),IF(M1541="Refined Petroleum Stock",EXP((0.7553-(413/(M1548+459.6)))*(INDEX(FX_Input,Z$5,M$3*$Z$5+$AA$5-1)^0.5)*LOG10(INDEX(FX_Input,Z$5,M$3*$Z$5+$AA$5))-(1.854-(1042/(M1548+459.6)))*(INDEX(FX_Input,Z$5,M$3*$Z$5+$AA$5-1)^0.5)+((2416/(M1548+459.6)-2.013)*LOG10(INDEX(FX_Input,Z$5,M$3*$Z$5+$AA$5)))-(8742/(M1548+459.6))+15.64),EXP(INDEX(Antoines,MATCH(M1540,Antoine_Name,0),2)-INDEX(Antoines,MATCH(M1540,Antoine_Name,0),3)/(M1548+459.6))))),0)</f>
        <v>0</v>
      </c>
      <c r="N1561" cm="1">
        <f t="array" ref="N1561">IFERROR(IF(N1541="Chemical",(10^(INDEX(Antoines,MATCH(N1540,Antoine_Name,0),2)-INDEX(Antoines,MATCH(N1540,Antoine_Name,0),3)/(INDEX(Antoines,MATCH(N1540,Antoine_Name,0),4)+(N1548-32)*5/9)))*14.7/760,IF(N1541="Crude Oil",EXP((2799/(N1548+459.6)-2.227)*LOG10(INDEX(FX_Input,AA$5,N$3*$Z$5+$AA$5))-(7261/(N1548+459.6))+12.82),IF(N1541="Refined Petroleum Stock",EXP((0.7553-(413/(N1548+459.6)))*(INDEX(FX_Input,AA$5,N$3*$Z$5+$AA$5-1)^0.5)*LOG10(INDEX(FX_Input,AA$5,N$3*$Z$5+$AA$5))-(1.854-(1042/(N1548+459.6)))*(INDEX(FX_Input,AA$5,N$3*$Z$5+$AA$5-1)^0.5)+((2416/(N1548+459.6)-2.013)*LOG10(INDEX(FX_Input,AA$5,N$3*$Z$5+$AA$5)))-(8742/(N1548+459.6))+15.64),EXP(INDEX(Antoines,MATCH(N1540,Antoine_Name,0),2)-INDEX(Antoines,MATCH(N1540,Antoine_Name,0),3)/(N1548+459.6))))),0)</f>
        <v>0</v>
      </c>
      <c r="O1561" cm="1">
        <f t="array" ref="O1561">IFERROR(IF(O1541="Chemical",(10^(INDEX(Antoines,MATCH(O1540,Antoine_Name,0),2)-INDEX(Antoines,MATCH(O1540,Antoine_Name,0),3)/(INDEX(Antoines,MATCH(O1540,Antoine_Name,0),4)+(O1548-32)*5/9)))*14.7/760,IF(O1541="Crude Oil",EXP((2799/(O1548+459.6)-2.227)*LOG10(INDEX(FX_Input,AB$5,O$3*$Z$5+$AA$5))-(7261/(O1548+459.6))+12.82),IF(O1541="Refined Petroleum Stock",EXP((0.7553-(413/(O1548+459.6)))*(INDEX(FX_Input,AB$5,O$3*$Z$5+$AA$5-1)^0.5)*LOG10(INDEX(FX_Input,AB$5,O$3*$Z$5+$AA$5))-(1.854-(1042/(O1548+459.6)))*(INDEX(FX_Input,AB$5,O$3*$Z$5+$AA$5-1)^0.5)+((2416/(O1548+459.6)-2.013)*LOG10(INDEX(FX_Input,AB$5,O$3*$Z$5+$AA$5)))-(8742/(O1548+459.6))+15.64),EXP(INDEX(Antoines,MATCH(O1540,Antoine_Name,0),2)-INDEX(Antoines,MATCH(O1540,Antoine_Name,0),3)/(O1548+459.6))))),0)</f>
        <v>0</v>
      </c>
    </row>
    <row r="1562" spans="1:32" ht="17.149999999999999" x14ac:dyDescent="0.55000000000000004">
      <c r="B1562" t="str">
        <f t="shared" si="5652"/>
        <v>Portland</v>
      </c>
      <c r="C1562" t="s">
        <v>1391</v>
      </c>
      <c r="D1562">
        <f>D1561*D1544</f>
        <v>0</v>
      </c>
      <c r="E1562">
        <f t="shared" ref="E1562" si="5730">E1561*E1544</f>
        <v>0</v>
      </c>
      <c r="F1562">
        <f t="shared" ref="F1562" si="5731">F1561*F1544</f>
        <v>0</v>
      </c>
      <c r="G1562">
        <f t="shared" ref="G1562" si="5732">G1561*G1544</f>
        <v>0</v>
      </c>
      <c r="H1562">
        <f t="shared" ref="H1562" si="5733">H1561*H1544</f>
        <v>0</v>
      </c>
      <c r="I1562">
        <f t="shared" ref="I1562" si="5734">I1561*I1544</f>
        <v>0</v>
      </c>
      <c r="J1562">
        <f t="shared" ref="J1562" si="5735">J1561*J1544</f>
        <v>0</v>
      </c>
      <c r="K1562">
        <f t="shared" ref="K1562" si="5736">K1561*K1544</f>
        <v>0</v>
      </c>
      <c r="L1562">
        <f t="shared" ref="L1562" si="5737">L1561*L1544</f>
        <v>0</v>
      </c>
      <c r="M1562">
        <f t="shared" ref="M1562" si="5738">M1561*M1544</f>
        <v>0</v>
      </c>
      <c r="N1562">
        <f t="shared" ref="N1562" si="5739">N1561*N1544</f>
        <v>0</v>
      </c>
      <c r="O1562">
        <f t="shared" ref="O1562" si="5740">O1561*O1544</f>
        <v>0</v>
      </c>
    </row>
    <row r="1563" spans="1:32" ht="17.149999999999999" x14ac:dyDescent="0.55000000000000004">
      <c r="B1563" t="str">
        <f t="shared" si="5652"/>
        <v>Portland</v>
      </c>
      <c r="C1563" t="s">
        <v>1392</v>
      </c>
      <c r="D1563">
        <f>D1560+D1562</f>
        <v>4.739577185808354E-3</v>
      </c>
      <c r="E1563">
        <f t="shared" ref="E1563" si="5741">E1560+E1562</f>
        <v>4.8748667780818778E-3</v>
      </c>
      <c r="F1563">
        <f t="shared" ref="F1563" si="5742">F1560+F1562</f>
        <v>5.119885034186122E-3</v>
      </c>
      <c r="G1563">
        <f t="shared" ref="G1563" si="5743">G1560+G1562</f>
        <v>5.5846958573521795E-3</v>
      </c>
      <c r="H1563">
        <f t="shared" ref="H1563" si="5744">H1560+H1562</f>
        <v>6.5274070972739821E-3</v>
      </c>
      <c r="I1563">
        <f t="shared" ref="I1563" si="5745">I1560+I1562</f>
        <v>7.4199539958878279E-3</v>
      </c>
      <c r="J1563">
        <f t="shared" ref="J1563" si="5746">J1560+J1562</f>
        <v>8.3358107202842254E-3</v>
      </c>
      <c r="K1563">
        <f t="shared" ref="K1563" si="5747">K1560+K1562</f>
        <v>8.4605262729351115E-3</v>
      </c>
      <c r="L1563">
        <f t="shared" ref="L1563" si="5748">L1560+L1562</f>
        <v>7.8399882233967533E-3</v>
      </c>
      <c r="M1563">
        <f t="shared" ref="M1563" si="5749">M1560+M1562</f>
        <v>6.4173462075160911E-3</v>
      </c>
      <c r="N1563">
        <f t="shared" ref="N1563" si="5750">N1560+N1562</f>
        <v>5.3015226887581056E-3</v>
      </c>
      <c r="O1563">
        <f t="shared" ref="O1563" si="5751">O1560+O1562</f>
        <v>4.68970903600947E-3</v>
      </c>
    </row>
    <row r="1564" spans="1:32" ht="17.149999999999999" x14ac:dyDescent="0.55000000000000004">
      <c r="B1564" t="str">
        <f>B1558</f>
        <v>Portland</v>
      </c>
      <c r="C1564" t="s">
        <v>584</v>
      </c>
      <c r="D1564">
        <f>D1560/D1563</f>
        <v>1</v>
      </c>
      <c r="E1564">
        <f t="shared" ref="E1564" si="5752">E1560/E1563</f>
        <v>1</v>
      </c>
      <c r="F1564">
        <f t="shared" ref="F1564" si="5753">F1560/F1563</f>
        <v>1</v>
      </c>
      <c r="G1564">
        <f t="shared" ref="G1564" si="5754">G1560/G1563</f>
        <v>1</v>
      </c>
      <c r="H1564">
        <f t="shared" ref="H1564" si="5755">H1560/H1563</f>
        <v>1</v>
      </c>
      <c r="I1564">
        <f t="shared" ref="I1564" si="5756">I1560/I1563</f>
        <v>1</v>
      </c>
      <c r="J1564">
        <f t="shared" ref="J1564" si="5757">J1560/J1563</f>
        <v>1</v>
      </c>
      <c r="K1564">
        <f t="shared" ref="K1564" si="5758">K1560/K1563</f>
        <v>1</v>
      </c>
      <c r="L1564">
        <f t="shared" ref="L1564" si="5759">L1560/L1563</f>
        <v>1</v>
      </c>
      <c r="M1564">
        <f t="shared" ref="M1564" si="5760">M1560/M1563</f>
        <v>1</v>
      </c>
      <c r="N1564">
        <f t="shared" ref="N1564" si="5761">N1560/N1563</f>
        <v>1</v>
      </c>
      <c r="O1564">
        <f t="shared" ref="O1564" si="5762">O1560/O1563</f>
        <v>1</v>
      </c>
    </row>
    <row r="1565" spans="1:32" ht="17.149999999999999" x14ac:dyDescent="0.55000000000000004">
      <c r="B1565" t="str">
        <f>B1559</f>
        <v>Portland</v>
      </c>
      <c r="C1565" t="s">
        <v>585</v>
      </c>
      <c r="D1565">
        <f t="shared" ref="D1565:O1565" si="5763">INDEX(Phys_Prop,MATCH(D1538,Chem_List,0),3)</f>
        <v>130</v>
      </c>
      <c r="E1565">
        <f t="shared" si="5763"/>
        <v>130</v>
      </c>
      <c r="F1565">
        <f t="shared" si="5763"/>
        <v>130</v>
      </c>
      <c r="G1565">
        <f t="shared" si="5763"/>
        <v>130</v>
      </c>
      <c r="H1565">
        <f t="shared" si="5763"/>
        <v>130</v>
      </c>
      <c r="I1565">
        <f t="shared" si="5763"/>
        <v>130</v>
      </c>
      <c r="J1565">
        <f t="shared" si="5763"/>
        <v>130</v>
      </c>
      <c r="K1565">
        <f t="shared" si="5763"/>
        <v>130</v>
      </c>
      <c r="L1565">
        <f t="shared" si="5763"/>
        <v>130</v>
      </c>
      <c r="M1565">
        <f t="shared" si="5763"/>
        <v>130</v>
      </c>
      <c r="N1565">
        <f t="shared" si="5763"/>
        <v>130</v>
      </c>
      <c r="O1565">
        <f t="shared" si="5763"/>
        <v>130</v>
      </c>
    </row>
    <row r="1566" spans="1:32" ht="17.149999999999999" x14ac:dyDescent="0.55000000000000004">
      <c r="B1566" t="str">
        <f>B1565</f>
        <v>Portland</v>
      </c>
      <c r="C1566" t="s">
        <v>586</v>
      </c>
      <c r="D1566">
        <f>D1562/D1563</f>
        <v>0</v>
      </c>
      <c r="E1566">
        <f t="shared" ref="E1566:O1566" si="5764">E1562/E1563</f>
        <v>0</v>
      </c>
      <c r="F1566">
        <f t="shared" si="5764"/>
        <v>0</v>
      </c>
      <c r="G1566">
        <f t="shared" si="5764"/>
        <v>0</v>
      </c>
      <c r="H1566">
        <f t="shared" si="5764"/>
        <v>0</v>
      </c>
      <c r="I1566">
        <f t="shared" si="5764"/>
        <v>0</v>
      </c>
      <c r="J1566">
        <f t="shared" si="5764"/>
        <v>0</v>
      </c>
      <c r="K1566">
        <f t="shared" si="5764"/>
        <v>0</v>
      </c>
      <c r="L1566">
        <f t="shared" si="5764"/>
        <v>0</v>
      </c>
      <c r="M1566">
        <f t="shared" si="5764"/>
        <v>0</v>
      </c>
      <c r="N1566">
        <f t="shared" si="5764"/>
        <v>0</v>
      </c>
      <c r="O1566">
        <f t="shared" si="5764"/>
        <v>0</v>
      </c>
    </row>
    <row r="1567" spans="1:32" ht="17.149999999999999" x14ac:dyDescent="0.55000000000000004">
      <c r="B1567" t="str">
        <f t="shared" si="5652"/>
        <v>Portland</v>
      </c>
      <c r="C1567" t="s">
        <v>587</v>
      </c>
      <c r="D1567">
        <f t="shared" ref="D1567:O1567" si="5765">IFERROR(INDEX(Phys_Prop,MATCH(D1540,Chem_List,0),3),0)</f>
        <v>0</v>
      </c>
      <c r="E1567">
        <f t="shared" si="5765"/>
        <v>0</v>
      </c>
      <c r="F1567">
        <f t="shared" si="5765"/>
        <v>0</v>
      </c>
      <c r="G1567">
        <f t="shared" si="5765"/>
        <v>0</v>
      </c>
      <c r="H1567">
        <f t="shared" si="5765"/>
        <v>0</v>
      </c>
      <c r="I1567">
        <f t="shared" si="5765"/>
        <v>0</v>
      </c>
      <c r="J1567">
        <f t="shared" si="5765"/>
        <v>0</v>
      </c>
      <c r="K1567">
        <f t="shared" si="5765"/>
        <v>0</v>
      </c>
      <c r="L1567">
        <f t="shared" si="5765"/>
        <v>0</v>
      </c>
      <c r="M1567">
        <f t="shared" si="5765"/>
        <v>0</v>
      </c>
      <c r="N1567">
        <f t="shared" si="5765"/>
        <v>0</v>
      </c>
      <c r="O1567">
        <f t="shared" si="5765"/>
        <v>0</v>
      </c>
    </row>
    <row r="1568" spans="1:32" ht="17.149999999999999" x14ac:dyDescent="0.55000000000000004">
      <c r="A1568" s="11"/>
      <c r="B1568" s="11" t="str">
        <f t="shared" si="5652"/>
        <v>Portland</v>
      </c>
      <c r="C1568" s="11" t="s">
        <v>588</v>
      </c>
      <c r="D1568" s="11">
        <f>IFERROR(D1564*D1565+D1566*D1567,0)</f>
        <v>130</v>
      </c>
      <c r="E1568" s="11">
        <f t="shared" ref="E1568" si="5766">IFERROR(E1564*E1565+E1566*E1567,0)</f>
        <v>130</v>
      </c>
      <c r="F1568" s="11">
        <f t="shared" ref="F1568" si="5767">IFERROR(F1564*F1565+F1566*F1567,0)</f>
        <v>130</v>
      </c>
      <c r="G1568" s="11">
        <f t="shared" ref="G1568" si="5768">IFERROR(G1564*G1565+G1566*G1567,0)</f>
        <v>130</v>
      </c>
      <c r="H1568" s="11">
        <f t="shared" ref="H1568" si="5769">IFERROR(H1564*H1565+H1566*H1567,0)</f>
        <v>130</v>
      </c>
      <c r="I1568" s="11">
        <f t="shared" ref="I1568" si="5770">IFERROR(I1564*I1565+I1566*I1567,0)</f>
        <v>130</v>
      </c>
      <c r="J1568" s="11">
        <f t="shared" ref="J1568" si="5771">IFERROR(J1564*J1565+J1566*J1567,0)</f>
        <v>130</v>
      </c>
      <c r="K1568" s="11">
        <f t="shared" ref="K1568" si="5772">IFERROR(K1564*K1565+K1566*K1567,0)</f>
        <v>130</v>
      </c>
      <c r="L1568" s="11">
        <f t="shared" ref="L1568" si="5773">IFERROR(L1564*L1565+L1566*L1567,0)</f>
        <v>130</v>
      </c>
      <c r="M1568" s="11">
        <f t="shared" ref="M1568" si="5774">IFERROR(M1564*M1565+M1566*M1567,0)</f>
        <v>130</v>
      </c>
      <c r="N1568" s="11">
        <f t="shared" ref="N1568" si="5775">IFERROR(N1564*N1565+N1566*N1567,0)</f>
        <v>130</v>
      </c>
      <c r="O1568" s="11">
        <f t="shared" ref="O1568" si="5776">IFERROR(O1564*O1565+O1566*O1567,0)</f>
        <v>130</v>
      </c>
      <c r="P1568" s="11"/>
      <c r="Q1568" s="11"/>
      <c r="R1568" s="11"/>
      <c r="S1568" s="11"/>
      <c r="T1568" s="11"/>
      <c r="U1568" s="11"/>
      <c r="V1568" s="11"/>
      <c r="W1568" s="11"/>
      <c r="X1568" s="11"/>
      <c r="Y1568" s="11"/>
      <c r="Z1568" s="11"/>
      <c r="AA1568" s="11"/>
      <c r="AB1568" s="11"/>
      <c r="AC1568" s="11"/>
      <c r="AD1568" s="11"/>
      <c r="AE1568" s="11"/>
      <c r="AF1568" s="11"/>
    </row>
    <row r="1569" spans="1:32" ht="17.149999999999999" x14ac:dyDescent="0.55000000000000004">
      <c r="A1569" t="str" cm="1">
        <f t="array" ref="A1569">INDEX(FX_Input,$Q1569,R$5)</f>
        <v>FX - 47</v>
      </c>
      <c r="B1569" t="str" cm="1">
        <f t="array" ref="B1569">INDEX(FX_Input,Q1569,S1569)</f>
        <v>Portland</v>
      </c>
      <c r="C1569" t="s">
        <v>563</v>
      </c>
      <c r="D1569">
        <v>14.7</v>
      </c>
      <c r="E1569">
        <v>14.7</v>
      </c>
      <c r="F1569">
        <v>14.7</v>
      </c>
      <c r="G1569">
        <v>14.7</v>
      </c>
      <c r="H1569">
        <v>14.7</v>
      </c>
      <c r="I1569">
        <v>14.7</v>
      </c>
      <c r="J1569">
        <v>14.7</v>
      </c>
      <c r="K1569">
        <v>14.7</v>
      </c>
      <c r="L1569">
        <v>14.7</v>
      </c>
      <c r="M1569">
        <v>14.7</v>
      </c>
      <c r="N1569">
        <v>14.7</v>
      </c>
      <c r="O1569">
        <v>14.7</v>
      </c>
      <c r="Q1569">
        <f>Q1535+2</f>
        <v>93</v>
      </c>
      <c r="R1569">
        <v>1</v>
      </c>
      <c r="S1569">
        <v>3</v>
      </c>
      <c r="T1569">
        <v>1</v>
      </c>
      <c r="U1569">
        <v>19</v>
      </c>
      <c r="V1569">
        <v>20</v>
      </c>
      <c r="W1569">
        <v>25</v>
      </c>
      <c r="X1569">
        <v>1</v>
      </c>
      <c r="Y1569">
        <v>2</v>
      </c>
      <c r="Z1569">
        <f>(W1569-V1569)/(Y1569-X1569)</f>
        <v>5</v>
      </c>
      <c r="AA1569">
        <f>V1569-Z1569*X1569</f>
        <v>15</v>
      </c>
      <c r="AD1569">
        <f>AD1535+14</f>
        <v>645</v>
      </c>
      <c r="AF1569">
        <f>AF1535+14</f>
        <v>645</v>
      </c>
    </row>
    <row r="1570" spans="1:32" ht="17.149999999999999" x14ac:dyDescent="0.55000000000000004">
      <c r="B1570" t="str">
        <f t="shared" ref="B1570" si="5777">B1569</f>
        <v>Portland</v>
      </c>
      <c r="C1570" t="s">
        <v>564</v>
      </c>
      <c r="D1570" cm="1">
        <f t="array" ref="D1570">IF(ISBLANK(INDEX(FX_Input,$Q1569,$AB1570)),0.03,INDEX(FX_Input,Q1569,AB1570))</f>
        <v>0.03</v>
      </c>
      <c r="E1570" cm="1">
        <f t="array" ref="E1570">IF(ISBLANK(INDEX(FX_Input,$Q1569,$AB1570)),0.03,INDEX(FX_Input,R1569,#REF!))</f>
        <v>0.03</v>
      </c>
      <c r="F1570" cm="1">
        <f t="array" ref="F1570">IF(ISBLANK(INDEX(FX_Input,$Q1569,$AB1570)),0.03,INDEX(FX_Input,S1569,#REF!))</f>
        <v>0.03</v>
      </c>
      <c r="G1570" cm="1">
        <f t="array" ref="G1570">IF(ISBLANK(INDEX(FX_Input,$Q1569,$AB1570)),0.03,INDEX(FX_Input,AB1569,#REF!))</f>
        <v>0.03</v>
      </c>
      <c r="H1570" cm="1">
        <f t="array" ref="H1570">IF(ISBLANK(INDEX(FX_Input,$Q1569,$AB1570)),0.03,INDEX(FX_Input,#REF!,#REF!))</f>
        <v>0.03</v>
      </c>
      <c r="I1570" cm="1">
        <f t="array" ref="I1570">IF(ISBLANK(INDEX(FX_Input,$Q1569,$AB1570)),0.03,INDEX(FX_Input,#REF!,#REF!))</f>
        <v>0.03</v>
      </c>
      <c r="J1570" cm="1">
        <f t="array" ref="J1570">IF(ISBLANK(INDEX(FX_Input,$Q1569,$AB1570)),0.03,INDEX(FX_Input,#REF!,#REF!))</f>
        <v>0.03</v>
      </c>
      <c r="K1570" cm="1">
        <f t="array" ref="K1570">IF(ISBLANK(INDEX(FX_Input,$Q1569,$AB1570)),0.03,INDEX(FX_Input,#REF!,AC1570))</f>
        <v>0.03</v>
      </c>
      <c r="L1570" cm="1">
        <f t="array" ref="L1570">IF(ISBLANK(INDEX(FX_Input,$Q1569,$AB1570)),0.03,INDEX(FX_Input,#REF!,AD1570))</f>
        <v>0.03</v>
      </c>
      <c r="M1570" cm="1">
        <f t="array" ref="M1570">IF(ISBLANK(INDEX(FX_Input,$Q1569,$AB1570)),0.03,INDEX(FX_Input,#REF!,#REF!))</f>
        <v>0.03</v>
      </c>
      <c r="N1570" cm="1">
        <f t="array" ref="N1570">IF(ISBLANK(INDEX(FX_Input,$Q1569,$AB1570)),0.03,INDEX(FX_Input,AC1569,#REF!))</f>
        <v>0.03</v>
      </c>
      <c r="O1570" cm="1">
        <f t="array" ref="O1570">IF(ISBLANK(INDEX(FX_Input,$Q1569,$AB1570)),0.03,INDEX(FX_Input,AD1569,#REF!))</f>
        <v>0.03</v>
      </c>
      <c r="AB1570">
        <v>15</v>
      </c>
    </row>
    <row r="1571" spans="1:32" ht="17.149999999999999" x14ac:dyDescent="0.55000000000000004">
      <c r="B1571" t="str">
        <f>B1570</f>
        <v>Portland</v>
      </c>
      <c r="C1571" t="s">
        <v>565</v>
      </c>
      <c r="D1571" cm="1">
        <f t="array" ref="D1571">IF(ISBLANK(INDEX(FX_Input,$Q1569,$AB1571)),-0.03,INDEX(FX_Input,Q1569,AB1571))</f>
        <v>-0.03</v>
      </c>
      <c r="E1571" cm="1">
        <f t="array" ref="E1571">IF(ISBLANK(INDEX(FX_Input,$Q1569,$AB1571)),-0.03,INDEX(FX_Input,R1569,#REF!))</f>
        <v>-0.03</v>
      </c>
      <c r="F1571" cm="1">
        <f t="array" ref="F1571">IF(ISBLANK(INDEX(FX_Input,$Q1569,$AB1571)),-0.03,INDEX(FX_Input,S1569,#REF!))</f>
        <v>-0.03</v>
      </c>
      <c r="G1571" cm="1">
        <f t="array" ref="G1571">IF(ISBLANK(INDEX(FX_Input,$Q1569,$AB1571)),-0.03,INDEX(FX_Input,AB1569,#REF!))</f>
        <v>-0.03</v>
      </c>
      <c r="H1571" cm="1">
        <f t="array" ref="H1571">IF(ISBLANK(INDEX(FX_Input,$Q1569,$AB1571)),-0.03,INDEX(FX_Input,#REF!,#REF!))</f>
        <v>-0.03</v>
      </c>
      <c r="I1571" cm="1">
        <f t="array" ref="I1571">IF(ISBLANK(INDEX(FX_Input,$Q1569,$AB1571)),-0.03,INDEX(FX_Input,#REF!,#REF!))</f>
        <v>-0.03</v>
      </c>
      <c r="J1571" cm="1">
        <f t="array" ref="J1571">IF(ISBLANK(INDEX(FX_Input,$Q1569,$AB1571)),-0.03,INDEX(FX_Input,#REF!,#REF!))</f>
        <v>-0.03</v>
      </c>
      <c r="K1571" cm="1">
        <f t="array" ref="K1571">IF(ISBLANK(INDEX(FX_Input,$Q1569,$AB1571)),-0.03,INDEX(FX_Input,#REF!,AC1571))</f>
        <v>-0.03</v>
      </c>
      <c r="L1571" cm="1">
        <f t="array" ref="L1571">IF(ISBLANK(INDEX(FX_Input,$Q1569,$AB1571)),-0.03,INDEX(FX_Input,#REF!,AD1571))</f>
        <v>-0.03</v>
      </c>
      <c r="M1571" cm="1">
        <f t="array" ref="M1571">IF(ISBLANK(INDEX(FX_Input,$Q1569,$AB1571)),-0.03,INDEX(FX_Input,#REF!,#REF!))</f>
        <v>-0.03</v>
      </c>
      <c r="N1571" cm="1">
        <f t="array" ref="N1571">IF(ISBLANK(INDEX(FX_Input,$Q1569,$AB1571)),-0.03,INDEX(FX_Input,AC1569,#REF!))</f>
        <v>-0.03</v>
      </c>
      <c r="O1571" cm="1">
        <f t="array" ref="O1571">IF(ISBLANK(INDEX(FX_Input,$Q1569,$AB1571)),-0.03,INDEX(FX_Input,AD1569,#REF!))</f>
        <v>-0.03</v>
      </c>
      <c r="AB1571">
        <v>16</v>
      </c>
    </row>
    <row r="1572" spans="1:32" x14ac:dyDescent="0.4">
      <c r="B1572" t="str">
        <f t="shared" ref="B1572:B1573" si="5778">B1571</f>
        <v>Portland</v>
      </c>
      <c r="C1572" s="66" t="s">
        <v>567</v>
      </c>
      <c r="D1572" t="str" cm="1">
        <f t="array" ref="D1572">INDEX(FX_Multi,$AD1572,D$3)</f>
        <v>Out of Service</v>
      </c>
      <c r="E1572" t="str" cm="1">
        <f t="array" ref="E1572">INDEX(FX_Multi,$AD1572,E$3)</f>
        <v>Out of Service</v>
      </c>
      <c r="F1572" t="str" cm="1">
        <f t="array" ref="F1572">INDEX(FX_Multi,$AD1572,F$3)</f>
        <v>Out of Service</v>
      </c>
      <c r="G1572" t="str" cm="1">
        <f t="array" ref="G1572">INDEX(FX_Multi,$AD1572,G$3)</f>
        <v>Out of Service</v>
      </c>
      <c r="H1572" t="str" cm="1">
        <f t="array" ref="H1572">INDEX(FX_Multi,$AD1572,H$3)</f>
        <v>Out of Service</v>
      </c>
      <c r="I1572" t="str" cm="1">
        <f t="array" ref="I1572">INDEX(FX_Multi,$AD1572,I$3)</f>
        <v>Out of Service</v>
      </c>
      <c r="J1572" t="str" cm="1">
        <f t="array" ref="J1572">INDEX(FX_Multi,$AD1572,J$3)</f>
        <v>Out of Service</v>
      </c>
      <c r="K1572" t="str" cm="1">
        <f t="array" ref="K1572">INDEX(FX_Multi,$AD1572,K$3)</f>
        <v>Out of Service</v>
      </c>
      <c r="L1572" t="str" cm="1">
        <f t="array" ref="L1572">INDEX(FX_Multi,$AD1572,L$3)</f>
        <v>Out of Service</v>
      </c>
      <c r="M1572" t="str" cm="1">
        <f t="array" ref="M1572">INDEX(FX_Multi,$AD1572,M$3)</f>
        <v>Out of Service</v>
      </c>
      <c r="N1572" t="str" cm="1">
        <f t="array" ref="N1572">INDEX(FX_Multi,$AD1572,N$3)</f>
        <v>Out of Service</v>
      </c>
      <c r="O1572" t="str" cm="1">
        <f t="array" ref="O1572">INDEX(FX_Multi,$AD1572,O$3)</f>
        <v>Out of Service</v>
      </c>
      <c r="AC1572">
        <v>1</v>
      </c>
      <c r="AD1572">
        <f>AD1569</f>
        <v>645</v>
      </c>
      <c r="AE1572">
        <v>1</v>
      </c>
      <c r="AF1572">
        <f>AF1569</f>
        <v>645</v>
      </c>
    </row>
    <row r="1573" spans="1:32" x14ac:dyDescent="0.4">
      <c r="B1573" t="str">
        <f t="shared" si="5778"/>
        <v>Portland</v>
      </c>
      <c r="C1573" s="66" t="s">
        <v>566</v>
      </c>
      <c r="D1573" t="str" cm="1">
        <f t="array" ref="D1573">INDEX(FX_Multi,$AD1573,D$3)</f>
        <v>N/A</v>
      </c>
      <c r="E1573" t="str" cm="1">
        <f t="array" ref="E1573">INDEX(FX_Multi,$AD1573,E$3)</f>
        <v>N/A</v>
      </c>
      <c r="F1573" t="str" cm="1">
        <f t="array" ref="F1573">INDEX(FX_Multi,$AD1573,F$3)</f>
        <v>N/A</v>
      </c>
      <c r="G1573" t="str" cm="1">
        <f t="array" ref="G1573">INDEX(FX_Multi,$AD1573,G$3)</f>
        <v>N/A</v>
      </c>
      <c r="H1573" t="str" cm="1">
        <f t="array" ref="H1573">INDEX(FX_Multi,$AD1573,H$3)</f>
        <v>N/A</v>
      </c>
      <c r="I1573" t="str" cm="1">
        <f t="array" ref="I1573">INDEX(FX_Multi,$AD1573,I$3)</f>
        <v>N/A</v>
      </c>
      <c r="J1573" t="str" cm="1">
        <f t="array" ref="J1573">INDEX(FX_Multi,$AD1573,J$3)</f>
        <v>N/A</v>
      </c>
      <c r="K1573" t="str" cm="1">
        <f t="array" ref="K1573">INDEX(FX_Multi,$AD1573,K$3)</f>
        <v>N/A</v>
      </c>
      <c r="L1573" t="str" cm="1">
        <f t="array" ref="L1573">INDEX(FX_Multi,$AD1573,L$3)</f>
        <v>N/A</v>
      </c>
      <c r="M1573" t="str" cm="1">
        <f t="array" ref="M1573">INDEX(FX_Multi,$AD1573,M$3)</f>
        <v>N/A</v>
      </c>
      <c r="N1573" t="str" cm="1">
        <f t="array" ref="N1573">INDEX(FX_Multi,$AD1573,N$3)</f>
        <v>N/A</v>
      </c>
      <c r="O1573" t="str" cm="1">
        <f t="array" ref="O1573">INDEX(FX_Multi,$AD1573,O$3)</f>
        <v>N/A</v>
      </c>
      <c r="AC1573">
        <v>1</v>
      </c>
      <c r="AD1573">
        <f>AD1572+2</f>
        <v>647</v>
      </c>
      <c r="AE1573">
        <v>1</v>
      </c>
      <c r="AF1573">
        <f>AF1572+3</f>
        <v>648</v>
      </c>
    </row>
    <row r="1574" spans="1:32" x14ac:dyDescent="0.4">
      <c r="B1574" t="str">
        <f>B1570</f>
        <v>Portland</v>
      </c>
      <c r="C1574" s="66" t="s">
        <v>568</v>
      </c>
      <c r="D1574" cm="1">
        <f t="array" ref="D1574">INDEX(FX_Multi,$AD1574,D$3)</f>
        <v>0</v>
      </c>
      <c r="E1574" cm="1">
        <f t="array" ref="E1574">INDEX(FX_Multi,$AD1574,E$3)</f>
        <v>0</v>
      </c>
      <c r="F1574" cm="1">
        <f t="array" ref="F1574">INDEX(FX_Multi,$AD1574,F$3)</f>
        <v>0</v>
      </c>
      <c r="G1574" cm="1">
        <f t="array" ref="G1574">INDEX(FX_Multi,$AD1574,G$3)</f>
        <v>0</v>
      </c>
      <c r="H1574" cm="1">
        <f t="array" ref="H1574">INDEX(FX_Multi,$AD1574,H$3)</f>
        <v>0</v>
      </c>
      <c r="I1574" cm="1">
        <f t="array" ref="I1574">INDEX(FX_Multi,$AD1574,I$3)</f>
        <v>0</v>
      </c>
      <c r="J1574" cm="1">
        <f t="array" ref="J1574">INDEX(FX_Multi,$AD1574,J$3)</f>
        <v>0</v>
      </c>
      <c r="K1574" cm="1">
        <f t="array" ref="K1574">INDEX(FX_Multi,$AD1574,K$3)</f>
        <v>0</v>
      </c>
      <c r="L1574" cm="1">
        <f t="array" ref="L1574">INDEX(FX_Multi,$AD1574,L$3)</f>
        <v>0</v>
      </c>
      <c r="M1574" cm="1">
        <f t="array" ref="M1574">INDEX(FX_Multi,$AD1574,M$3)</f>
        <v>0</v>
      </c>
      <c r="N1574" cm="1">
        <f t="array" ref="N1574">INDEX(FX_Multi,$AD1574,N$3)</f>
        <v>0</v>
      </c>
      <c r="O1574" cm="1">
        <f t="array" ref="O1574">INDEX(FX_Multi,$AD1574,O$3)</f>
        <v>0</v>
      </c>
      <c r="AC1574">
        <v>1</v>
      </c>
      <c r="AD1574">
        <f>AD1573-1</f>
        <v>646</v>
      </c>
      <c r="AE1574">
        <v>1</v>
      </c>
      <c r="AF1574">
        <f>AF1572+1</f>
        <v>646</v>
      </c>
    </row>
    <row r="1575" spans="1:32" x14ac:dyDescent="0.4">
      <c r="B1575" t="str">
        <f t="shared" ref="B1575:B1579" si="5779">B1574</f>
        <v>Portland</v>
      </c>
      <c r="C1575" s="66" t="s">
        <v>569</v>
      </c>
      <c r="D1575" cm="1">
        <f t="array" ref="D1575">INDEX(FX_Multi,$AD1575,D$3)</f>
        <v>0</v>
      </c>
      <c r="E1575" cm="1">
        <f t="array" ref="E1575">INDEX(FX_Multi,$AD1575,E$3)</f>
        <v>0</v>
      </c>
      <c r="F1575" cm="1">
        <f t="array" ref="F1575">INDEX(FX_Multi,$AD1575,F$3)</f>
        <v>0</v>
      </c>
      <c r="G1575" cm="1">
        <f t="array" ref="G1575">INDEX(FX_Multi,$AD1575,G$3)</f>
        <v>0</v>
      </c>
      <c r="H1575" cm="1">
        <f t="array" ref="H1575">INDEX(FX_Multi,$AD1575,H$3)</f>
        <v>0</v>
      </c>
      <c r="I1575" cm="1">
        <f t="array" ref="I1575">INDEX(FX_Multi,$AD1575,I$3)</f>
        <v>0</v>
      </c>
      <c r="J1575" cm="1">
        <f t="array" ref="J1575">INDEX(FX_Multi,$AD1575,J$3)</f>
        <v>0</v>
      </c>
      <c r="K1575" cm="1">
        <f t="array" ref="K1575">INDEX(FX_Multi,$AD1575,K$3)</f>
        <v>0</v>
      </c>
      <c r="L1575" cm="1">
        <f t="array" ref="L1575">INDEX(FX_Multi,$AD1575,L$3)</f>
        <v>0</v>
      </c>
      <c r="M1575" cm="1">
        <f t="array" ref="M1575">INDEX(FX_Multi,$AD1575,M$3)</f>
        <v>0</v>
      </c>
      <c r="N1575" cm="1">
        <f t="array" ref="N1575">INDEX(FX_Multi,$AD1575,N$3)</f>
        <v>0</v>
      </c>
      <c r="O1575" cm="1">
        <f t="array" ref="O1575">INDEX(FX_Multi,$AD1575,O$3)</f>
        <v>0</v>
      </c>
      <c r="AC1575">
        <v>1</v>
      </c>
      <c r="AD1575">
        <f>AD1574+2</f>
        <v>648</v>
      </c>
      <c r="AE1575">
        <v>1</v>
      </c>
      <c r="AF1575">
        <f>AF1573</f>
        <v>648</v>
      </c>
    </row>
    <row r="1576" spans="1:32" ht="17.149999999999999" x14ac:dyDescent="0.55000000000000004">
      <c r="B1576" t="str">
        <f t="shared" si="5779"/>
        <v>Portland</v>
      </c>
      <c r="C1576" t="s">
        <v>570</v>
      </c>
      <c r="D1576" cm="1">
        <f t="array" ref="D1576">INDEX(FX_Multi,$AD1576,D$3)</f>
        <v>1</v>
      </c>
      <c r="E1576" cm="1">
        <f t="array" ref="E1576">INDEX(FX_Multi,$AD1576,E$3)</f>
        <v>1</v>
      </c>
      <c r="F1576" cm="1">
        <f t="array" ref="F1576">INDEX(FX_Multi,$AD1576,F$3)</f>
        <v>1</v>
      </c>
      <c r="G1576" cm="1">
        <f t="array" ref="G1576">INDEX(FX_Multi,$AD1576,G$3)</f>
        <v>1</v>
      </c>
      <c r="H1576" cm="1">
        <f t="array" ref="H1576">INDEX(FX_Multi,$AD1576,H$3)</f>
        <v>1</v>
      </c>
      <c r="I1576" cm="1">
        <f t="array" ref="I1576">INDEX(FX_Multi,$AD1576,I$3)</f>
        <v>1</v>
      </c>
      <c r="J1576" cm="1">
        <f t="array" ref="J1576">INDEX(FX_Multi,$AD1576,J$3)</f>
        <v>1</v>
      </c>
      <c r="K1576" cm="1">
        <f t="array" ref="K1576">INDEX(FX_Multi,$AD1576,K$3)</f>
        <v>1</v>
      </c>
      <c r="L1576" cm="1">
        <f t="array" ref="L1576">INDEX(FX_Multi,$AD1576,L$3)</f>
        <v>1</v>
      </c>
      <c r="M1576" cm="1">
        <f t="array" ref="M1576">INDEX(FX_Multi,$AD1576,M$3)</f>
        <v>1</v>
      </c>
      <c r="N1576" cm="1">
        <f t="array" ref="N1576">INDEX(FX_Multi,$AD1576,N$3)</f>
        <v>1</v>
      </c>
      <c r="O1576" cm="1">
        <f t="array" ref="O1576">INDEX(FX_Multi,$AD1576,O$3)</f>
        <v>1</v>
      </c>
      <c r="AC1576">
        <v>1</v>
      </c>
      <c r="AD1576">
        <f>AD1575+6</f>
        <v>654</v>
      </c>
      <c r="AE1576">
        <v>1</v>
      </c>
      <c r="AF1576">
        <f>AF1572+9</f>
        <v>654</v>
      </c>
    </row>
    <row r="1577" spans="1:32" ht="17.149999999999999" x14ac:dyDescent="0.55000000000000004">
      <c r="B1577" t="str">
        <f t="shared" si="5779"/>
        <v>Portland</v>
      </c>
      <c r="C1577" t="s">
        <v>571</v>
      </c>
      <c r="D1577" t="str" cm="1">
        <f t="array" ref="D1577">INDEX(FX_Multi,$AD1577,D$3)</f>
        <v>N/A</v>
      </c>
      <c r="E1577" t="str" cm="1">
        <f t="array" ref="E1577">INDEX(FX_Multi,$AD1577,E$3)</f>
        <v>N/A</v>
      </c>
      <c r="F1577" t="str" cm="1">
        <f t="array" ref="F1577">INDEX(FX_Multi,$AD1577,F$3)</f>
        <v>N/A</v>
      </c>
      <c r="G1577" t="str" cm="1">
        <f t="array" ref="G1577">INDEX(FX_Multi,$AD1577,G$3)</f>
        <v>N/A</v>
      </c>
      <c r="H1577" t="str" cm="1">
        <f t="array" ref="H1577">INDEX(FX_Multi,$AD1577,H$3)</f>
        <v>N/A</v>
      </c>
      <c r="I1577" t="str" cm="1">
        <f t="array" ref="I1577">INDEX(FX_Multi,$AD1577,I$3)</f>
        <v>N/A</v>
      </c>
      <c r="J1577" t="str" cm="1">
        <f t="array" ref="J1577">INDEX(FX_Multi,$AD1577,J$3)</f>
        <v>N/A</v>
      </c>
      <c r="K1577" t="str" cm="1">
        <f t="array" ref="K1577">INDEX(FX_Multi,$AD1577,K$3)</f>
        <v>N/A</v>
      </c>
      <c r="L1577" t="str" cm="1">
        <f t="array" ref="L1577">INDEX(FX_Multi,$AD1577,L$3)</f>
        <v>N/A</v>
      </c>
      <c r="M1577" t="str" cm="1">
        <f t="array" ref="M1577">INDEX(FX_Multi,$AD1577,M$3)</f>
        <v>N/A</v>
      </c>
      <c r="N1577" t="str" cm="1">
        <f t="array" ref="N1577">INDEX(FX_Multi,$AD1577,N$3)</f>
        <v>N/A</v>
      </c>
      <c r="O1577" t="str" cm="1">
        <f t="array" ref="O1577">INDEX(FX_Multi,$AD1577,O$3)</f>
        <v>N/A</v>
      </c>
      <c r="AC1577">
        <v>1</v>
      </c>
      <c r="AD1577">
        <f>AD1576-3</f>
        <v>651</v>
      </c>
      <c r="AE1577">
        <v>1</v>
      </c>
      <c r="AF1577">
        <f>AF1572+6</f>
        <v>651</v>
      </c>
    </row>
    <row r="1578" spans="1:32" ht="17.149999999999999" x14ac:dyDescent="0.55000000000000004">
      <c r="B1578" t="str">
        <f t="shared" si="5779"/>
        <v>Portland</v>
      </c>
      <c r="C1578" t="s">
        <v>572</v>
      </c>
      <c r="D1578" cm="1">
        <f t="array" ref="D1578">INDEX(FX_Multi,$AD1578,D$3)</f>
        <v>0</v>
      </c>
      <c r="E1578" cm="1">
        <f t="array" ref="E1578">INDEX(FX_Multi,$AD1578,E$3)</f>
        <v>0</v>
      </c>
      <c r="F1578" cm="1">
        <f t="array" ref="F1578">INDEX(FX_Multi,$AD1578,F$3)</f>
        <v>0</v>
      </c>
      <c r="G1578" cm="1">
        <f t="array" ref="G1578">INDEX(FX_Multi,$AD1578,G$3)</f>
        <v>0</v>
      </c>
      <c r="H1578" cm="1">
        <f t="array" ref="H1578">INDEX(FX_Multi,$AD1578,H$3)</f>
        <v>0</v>
      </c>
      <c r="I1578" cm="1">
        <f t="array" ref="I1578">INDEX(FX_Multi,$AD1578,I$3)</f>
        <v>0</v>
      </c>
      <c r="J1578" cm="1">
        <f t="array" ref="J1578">INDEX(FX_Multi,$AD1578,J$3)</f>
        <v>0</v>
      </c>
      <c r="K1578" cm="1">
        <f t="array" ref="K1578">INDEX(FX_Multi,$AD1578,K$3)</f>
        <v>0</v>
      </c>
      <c r="L1578" cm="1">
        <f t="array" ref="L1578">INDEX(FX_Multi,$AD1578,L$3)</f>
        <v>0</v>
      </c>
      <c r="M1578" cm="1">
        <f t="array" ref="M1578">INDEX(FX_Multi,$AD1578,M$3)</f>
        <v>0</v>
      </c>
      <c r="N1578" cm="1">
        <f t="array" ref="N1578">INDEX(FX_Multi,$AD1578,N$3)</f>
        <v>0</v>
      </c>
      <c r="O1578" cm="1">
        <f t="array" ref="O1578">INDEX(FX_Multi,$AD1578,O$3)</f>
        <v>0</v>
      </c>
      <c r="AC1578">
        <v>1</v>
      </c>
      <c r="AD1578">
        <f>AD1577+4</f>
        <v>655</v>
      </c>
      <c r="AE1578">
        <v>1</v>
      </c>
      <c r="AF1578">
        <f>AF1572+10</f>
        <v>655</v>
      </c>
    </row>
    <row r="1579" spans="1:32" ht="17.149999999999999" x14ac:dyDescent="0.55000000000000004">
      <c r="B1579" t="str">
        <f t="shared" si="5779"/>
        <v>Portland</v>
      </c>
      <c r="C1579" t="s">
        <v>573</v>
      </c>
      <c r="D1579" cm="1">
        <f t="array" ref="D1579">INDEX(FX_Multi,$AD1579,D$3)</f>
        <v>0</v>
      </c>
      <c r="E1579" cm="1">
        <f t="array" ref="E1579">INDEX(FX_Multi,$AD1579,E$3)</f>
        <v>0</v>
      </c>
      <c r="F1579" cm="1">
        <f t="array" ref="F1579">INDEX(FX_Multi,$AD1579,F$3)</f>
        <v>0</v>
      </c>
      <c r="G1579" cm="1">
        <f t="array" ref="G1579">INDEX(FX_Multi,$AD1579,G$3)</f>
        <v>0</v>
      </c>
      <c r="H1579" cm="1">
        <f t="array" ref="H1579">INDEX(FX_Multi,$AD1579,H$3)</f>
        <v>0</v>
      </c>
      <c r="I1579" cm="1">
        <f t="array" ref="I1579">INDEX(FX_Multi,$AD1579,I$3)</f>
        <v>0</v>
      </c>
      <c r="J1579" cm="1">
        <f t="array" ref="J1579">INDEX(FX_Multi,$AD1579,J$3)</f>
        <v>0</v>
      </c>
      <c r="K1579" cm="1">
        <f t="array" ref="K1579">INDEX(FX_Multi,$AD1579,K$3)</f>
        <v>0</v>
      </c>
      <c r="L1579" cm="1">
        <f t="array" ref="L1579">INDEX(FX_Multi,$AD1579,L$3)</f>
        <v>0</v>
      </c>
      <c r="M1579" cm="1">
        <f t="array" ref="M1579">INDEX(FX_Multi,$AD1579,M$3)</f>
        <v>0</v>
      </c>
      <c r="N1579" cm="1">
        <f t="array" ref="N1579">INDEX(FX_Multi,$AD1579,N$3)</f>
        <v>0</v>
      </c>
      <c r="O1579" cm="1">
        <f t="array" ref="O1579">INDEX(FX_Multi,$AD1579,O$3)</f>
        <v>0</v>
      </c>
      <c r="AC1579">
        <v>1</v>
      </c>
      <c r="AD1579">
        <f>AD1578-3</f>
        <v>652</v>
      </c>
      <c r="AE1579">
        <v>1</v>
      </c>
      <c r="AF1579">
        <f>AF1572+7</f>
        <v>652</v>
      </c>
    </row>
    <row r="1580" spans="1:32" ht="17.149999999999999" x14ac:dyDescent="0.55000000000000004">
      <c r="B1580" t="str">
        <f>B1575</f>
        <v>Portland</v>
      </c>
      <c r="C1580" t="s">
        <v>526</v>
      </c>
      <c r="D1580" cm="1">
        <f t="array" ref="D1580">INDEX(FX_Temps,$AF1580,D$3)</f>
        <v>43.899999999999977</v>
      </c>
      <c r="E1580" cm="1">
        <f t="array" ref="E1580">INDEX(FX_Temps,$AF1580,E$3)</f>
        <v>44.700000000000045</v>
      </c>
      <c r="F1580" cm="1">
        <f t="array" ref="F1580">INDEX(FX_Temps,$AF1580,F$3)</f>
        <v>46.100000000000023</v>
      </c>
      <c r="G1580" cm="1">
        <f t="array" ref="G1580">INDEX(FX_Temps,$AF1580,G$3)</f>
        <v>48.599999999999966</v>
      </c>
      <c r="H1580" cm="1">
        <f t="array" ref="H1580">INDEX(FX_Temps,$AF1580,H$3)</f>
        <v>53.149999999999977</v>
      </c>
      <c r="I1580" cm="1">
        <f t="array" ref="I1580">INDEX(FX_Temps,$AF1580,I$3)</f>
        <v>56.950000000000045</v>
      </c>
      <c r="J1580" cm="1">
        <f t="array" ref="J1580">INDEX(FX_Temps,$AF1580,J$3)</f>
        <v>60.449999999999932</v>
      </c>
      <c r="K1580" cm="1">
        <f t="array" ref="K1580">INDEX(FX_Temps,$AF1580,K$3)</f>
        <v>60.899999999999977</v>
      </c>
      <c r="L1580" cm="1">
        <f t="array" ref="L1580">INDEX(FX_Temps,$AF1580,L$3)</f>
        <v>58.600000000000023</v>
      </c>
      <c r="M1580" cm="1">
        <f t="array" ref="M1580">INDEX(FX_Temps,$AF1580,M$3)</f>
        <v>52.649999999999977</v>
      </c>
      <c r="N1580" cm="1">
        <f t="array" ref="N1580">INDEX(FX_Temps,$AF1580,N$3)</f>
        <v>47.100000000000023</v>
      </c>
      <c r="O1580" cm="1">
        <f t="array" ref="O1580">INDEX(FX_Temps,$AF1580,O$3)</f>
        <v>43.600000000000023</v>
      </c>
      <c r="AE1580">
        <v>1</v>
      </c>
      <c r="AF1580">
        <f>AF1572+10</f>
        <v>655</v>
      </c>
    </row>
    <row r="1581" spans="1:32" ht="17.149999999999999" x14ac:dyDescent="0.55000000000000004">
      <c r="B1581" t="str">
        <f t="shared" ref="B1581:B1602" si="5780">B1580</f>
        <v>Portland</v>
      </c>
      <c r="C1581" t="s">
        <v>527</v>
      </c>
      <c r="D1581" cm="1">
        <f t="array" ref="D1581">INDEX(FX_Temps,$AF1581,D$3)</f>
        <v>43.899999999999977</v>
      </c>
      <c r="E1581" cm="1">
        <f t="array" ref="E1581">INDEX(FX_Temps,$AF1581,E$3)</f>
        <v>44.700000000000045</v>
      </c>
      <c r="F1581" cm="1">
        <f t="array" ref="F1581">INDEX(FX_Temps,$AF1581,F$3)</f>
        <v>46.100000000000023</v>
      </c>
      <c r="G1581" cm="1">
        <f t="array" ref="G1581">INDEX(FX_Temps,$AF1581,G$3)</f>
        <v>48.599999999999966</v>
      </c>
      <c r="H1581" cm="1">
        <f t="array" ref="H1581">INDEX(FX_Temps,$AF1581,H$3)</f>
        <v>53.149999999999977</v>
      </c>
      <c r="I1581" cm="1">
        <f t="array" ref="I1581">INDEX(FX_Temps,$AF1581,I$3)</f>
        <v>56.950000000000045</v>
      </c>
      <c r="J1581" cm="1">
        <f t="array" ref="J1581">INDEX(FX_Temps,$AF1581,J$3)</f>
        <v>60.449999999999932</v>
      </c>
      <c r="K1581" cm="1">
        <f t="array" ref="K1581">INDEX(FX_Temps,$AF1581,K$3)</f>
        <v>60.899999999999977</v>
      </c>
      <c r="L1581" cm="1">
        <f t="array" ref="L1581">INDEX(FX_Temps,$AF1581,L$3)</f>
        <v>58.600000000000023</v>
      </c>
      <c r="M1581" cm="1">
        <f t="array" ref="M1581">INDEX(FX_Temps,$AF1581,M$3)</f>
        <v>52.649999999999977</v>
      </c>
      <c r="N1581" cm="1">
        <f t="array" ref="N1581">INDEX(FX_Temps,$AF1581,N$3)</f>
        <v>47.100000000000023</v>
      </c>
      <c r="O1581" cm="1">
        <f t="array" ref="O1581">INDEX(FX_Temps,$AF1581,O$3)</f>
        <v>43.600000000000023</v>
      </c>
      <c r="AE1581">
        <f>AE1580</f>
        <v>1</v>
      </c>
      <c r="AF1581">
        <f>AF1572+11</f>
        <v>656</v>
      </c>
    </row>
    <row r="1582" spans="1:32" ht="17.149999999999999" x14ac:dyDescent="0.55000000000000004">
      <c r="B1582" t="str">
        <f t="shared" si="5780"/>
        <v>Portland</v>
      </c>
      <c r="C1582" t="s">
        <v>552</v>
      </c>
      <c r="D1582" cm="1">
        <f t="array" ref="D1582">INDEX(FX_Temps,$AF1582,D$3)</f>
        <v>43.899999999999977</v>
      </c>
      <c r="E1582" cm="1">
        <f t="array" ref="E1582">INDEX(FX_Temps,$AF1582,E$3)</f>
        <v>44.700000000000045</v>
      </c>
      <c r="F1582" cm="1">
        <f t="array" ref="F1582">INDEX(FX_Temps,$AF1582,F$3)</f>
        <v>46.100000000000023</v>
      </c>
      <c r="G1582" cm="1">
        <f t="array" ref="G1582">INDEX(FX_Temps,$AF1582,G$3)</f>
        <v>48.599999999999966</v>
      </c>
      <c r="H1582" cm="1">
        <f t="array" ref="H1582">INDEX(FX_Temps,$AF1582,H$3)</f>
        <v>53.149999999999977</v>
      </c>
      <c r="I1582" cm="1">
        <f t="array" ref="I1582">INDEX(FX_Temps,$AF1582,I$3)</f>
        <v>56.950000000000045</v>
      </c>
      <c r="J1582" cm="1">
        <f t="array" ref="J1582">INDEX(FX_Temps,$AF1582,J$3)</f>
        <v>60.449999999999932</v>
      </c>
      <c r="K1582" cm="1">
        <f t="array" ref="K1582">INDEX(FX_Temps,$AF1582,K$3)</f>
        <v>60.899999999999977</v>
      </c>
      <c r="L1582" cm="1">
        <f t="array" ref="L1582">INDEX(FX_Temps,$AF1582,L$3)</f>
        <v>58.600000000000023</v>
      </c>
      <c r="M1582" cm="1">
        <f t="array" ref="M1582">INDEX(FX_Temps,$AF1582,M$3)</f>
        <v>52.649999999999977</v>
      </c>
      <c r="N1582" cm="1">
        <f t="array" ref="N1582">INDEX(FX_Temps,$AF1582,N$3)</f>
        <v>47.100000000000023</v>
      </c>
      <c r="O1582" cm="1">
        <f t="array" ref="O1582">INDEX(FX_Temps,$AF1582,O$3)</f>
        <v>43.600000000000023</v>
      </c>
      <c r="AE1582">
        <f>AE1581</f>
        <v>1</v>
      </c>
      <c r="AF1582">
        <f>AF1572+13</f>
        <v>658</v>
      </c>
    </row>
    <row r="1583" spans="1:32" ht="17.149999999999999" x14ac:dyDescent="0.55000000000000004">
      <c r="B1583" t="str">
        <f t="shared" si="5780"/>
        <v>Portland</v>
      </c>
      <c r="C1583" t="s">
        <v>574</v>
      </c>
      <c r="D1583" cm="1">
        <f t="array" ref="D1583">IFERROR(IF(D1573="Chemical",(10^(INDEX(Antoines,MATCH(D1572,Antoine_Name,0),2)-INDEX(Antoines,MATCH(D1572,Antoine_Name,0),3)/(INDEX(Antoines,MATCH(D1572,Antoine_Name,0),4)+(D1580-32)*5/9)))*14.7/760,IF(D1573="Crude Oil",EXP((2799/(D1580+459.6)-2.227)*LOG10(INDEX(FX_Input,Q$5,D$3*$Z$5+$AA$5))-(7261/(D1580+459.6))+12.82),IF(D1573="Refined Petroleum Stock",EXP((0.7553-(413/(D1580+459.6)))*(INDEX(FX_Input,Q$5,D$3*$Z$5+$AA$5-1)^0.5)*LOG10(INDEX(FX_Input,Q$5,D$3*$Z$5+$AA$5))-(1.854-(1042/(D1580+459.6)))*(INDEX(FX_Input,Q$5,D$3*$Z$5+$AA$5-1)^0.5)+((2416/(D1580+459.6)-2.013)*LOG10(INDEX(FX_Input,Q$5,D$3*$Z$5+$AA$5)))-(8742/(D1580+459.6))+15.64),EXP(INDEX(Antoines,MATCH(D1572,Antoine_Name,0),2)-INDEX(Antoines,MATCH(D1572,Antoine_Name,0),3)/(D1580+459.6))))),0)</f>
        <v>1</v>
      </c>
      <c r="E1583" cm="1">
        <f t="array" ref="E1583">IFERROR(IF(E1573="Chemical",(10^(INDEX(Antoines,MATCH(E1572,Antoine_Name,0),2)-INDEX(Antoines,MATCH(E1572,Antoine_Name,0),3)/(INDEX(Antoines,MATCH(E1572,Antoine_Name,0),4)+(E1580-32)*5/9)))*14.7/760,IF(E1573="Crude Oil",EXP((2799/(E1580+459.6)-2.227)*LOG10(INDEX(FX_Input,R$5,E$3*$Z$5+$AA$5))-(7261/(E1580+459.6))+12.82),IF(E1573="Refined Petroleum Stock",EXP((0.7553-(413/(E1580+459.6)))*(INDEX(FX_Input,R$5,E$3*$Z$5+$AA$5-1)^0.5)*LOG10(INDEX(FX_Input,R$5,E$3*$Z$5+$AA$5))-(1.854-(1042/(E1580+459.6)))*(INDEX(FX_Input,R$5,E$3*$Z$5+$AA$5-1)^0.5)+((2416/(E1580+459.6)-2.013)*LOG10(INDEX(FX_Input,R$5,E$3*$Z$5+$AA$5)))-(8742/(E1580+459.6))+15.64),EXP(INDEX(Antoines,MATCH(E1572,Antoine_Name,0),2)-INDEX(Antoines,MATCH(E1572,Antoine_Name,0),3)/(E1580+459.6))))),0)</f>
        <v>1</v>
      </c>
      <c r="F1583" cm="1">
        <f t="array" ref="F1583">IFERROR(IF(F1573="Chemical",(10^(INDEX(Antoines,MATCH(F1572,Antoine_Name,0),2)-INDEX(Antoines,MATCH(F1572,Antoine_Name,0),3)/(INDEX(Antoines,MATCH(F1572,Antoine_Name,0),4)+(F1580-32)*5/9)))*14.7/760,IF(F1573="Crude Oil",EXP((2799/(F1580+459.6)-2.227)*LOG10(INDEX(FX_Input,S$5,F$3*$Z$5+$AA$5))-(7261/(F1580+459.6))+12.82),IF(F1573="Refined Petroleum Stock",EXP((0.7553-(413/(F1580+459.6)))*(INDEX(FX_Input,S$5,F$3*$Z$5+$AA$5-1)^0.5)*LOG10(INDEX(FX_Input,S$5,F$3*$Z$5+$AA$5))-(1.854-(1042/(F1580+459.6)))*(INDEX(FX_Input,S$5,F$3*$Z$5+$AA$5-1)^0.5)+((2416/(F1580+459.6)-2.013)*LOG10(INDEX(FX_Input,S$5,F$3*$Z$5+$AA$5)))-(8742/(F1580+459.6))+15.64),EXP(INDEX(Antoines,MATCH(F1572,Antoine_Name,0),2)-INDEX(Antoines,MATCH(F1572,Antoine_Name,0),3)/(F1580+459.6))))),0)</f>
        <v>1</v>
      </c>
      <c r="G1583" cm="1">
        <f t="array" ref="G1583">IFERROR(IF(G1573="Chemical",(10^(INDEX(Antoines,MATCH(G1572,Antoine_Name,0),2)-INDEX(Antoines,MATCH(G1572,Antoine_Name,0),3)/(INDEX(Antoines,MATCH(G1572,Antoine_Name,0),4)+(G1580-32)*5/9)))*14.7/760,IF(G1573="Crude Oil",EXP((2799/(G1580+459.6)-2.227)*LOG10(INDEX(FX_Input,T$5,G$3*$Z$5+$AA$5))-(7261/(G1580+459.6))+12.82),IF(G1573="Refined Petroleum Stock",EXP((0.7553-(413/(G1580+459.6)))*(INDEX(FX_Input,T$5,G$3*$Z$5+$AA$5-1)^0.5)*LOG10(INDEX(FX_Input,T$5,G$3*$Z$5+$AA$5))-(1.854-(1042/(G1580+459.6)))*(INDEX(FX_Input,T$5,G$3*$Z$5+$AA$5-1)^0.5)+((2416/(G1580+459.6)-2.013)*LOG10(INDEX(FX_Input,T$5,G$3*$Z$5+$AA$5)))-(8742/(G1580+459.6))+15.64),EXP(INDEX(Antoines,MATCH(G1572,Antoine_Name,0),2)-INDEX(Antoines,MATCH(G1572,Antoine_Name,0),3)/(G1580+459.6))))),0)</f>
        <v>1</v>
      </c>
      <c r="H1583" cm="1">
        <f t="array" ref="H1583">IFERROR(IF(H1573="Chemical",(10^(INDEX(Antoines,MATCH(H1572,Antoine_Name,0),2)-INDEX(Antoines,MATCH(H1572,Antoine_Name,0),3)/(INDEX(Antoines,MATCH(H1572,Antoine_Name,0),4)+(H1580-32)*5/9)))*14.7/760,IF(H1573="Crude Oil",EXP((2799/(H1580+459.6)-2.227)*LOG10(INDEX(FX_Input,U$5,H$3*$Z$5+$AA$5))-(7261/(H1580+459.6))+12.82),IF(H1573="Refined Petroleum Stock",EXP((0.7553-(413/(H1580+459.6)))*(INDEX(FX_Input,U$5,H$3*$Z$5+$AA$5-1)^0.5)*LOG10(INDEX(FX_Input,U$5,H$3*$Z$5+$AA$5))-(1.854-(1042/(H1580+459.6)))*(INDEX(FX_Input,U$5,H$3*$Z$5+$AA$5-1)^0.5)+((2416/(H1580+459.6)-2.013)*LOG10(INDEX(FX_Input,U$5,H$3*$Z$5+$AA$5)))-(8742/(H1580+459.6))+15.64),EXP(INDEX(Antoines,MATCH(H1572,Antoine_Name,0),2)-INDEX(Antoines,MATCH(H1572,Antoine_Name,0),3)/(H1580+459.6))))),0)</f>
        <v>1</v>
      </c>
      <c r="I1583" cm="1">
        <f t="array" ref="I1583">IFERROR(IF(I1573="Chemical",(10^(INDEX(Antoines,MATCH(I1572,Antoine_Name,0),2)-INDEX(Antoines,MATCH(I1572,Antoine_Name,0),3)/(INDEX(Antoines,MATCH(I1572,Antoine_Name,0),4)+(I1580-32)*5/9)))*14.7/760,IF(I1573="Crude Oil",EXP((2799/(I1580+459.6)-2.227)*LOG10(INDEX(FX_Input,V$5,I$3*$Z$5+$AA$5))-(7261/(I1580+459.6))+12.82),IF(I1573="Refined Petroleum Stock",EXP((0.7553-(413/(I1580+459.6)))*(INDEX(FX_Input,V$5,I$3*$Z$5+$AA$5-1)^0.5)*LOG10(INDEX(FX_Input,V$5,I$3*$Z$5+$AA$5))-(1.854-(1042/(I1580+459.6)))*(INDEX(FX_Input,V$5,I$3*$Z$5+$AA$5-1)^0.5)+((2416/(I1580+459.6)-2.013)*LOG10(INDEX(FX_Input,V$5,I$3*$Z$5+$AA$5)))-(8742/(I1580+459.6))+15.64),EXP(INDEX(Antoines,MATCH(I1572,Antoine_Name,0),2)-INDEX(Antoines,MATCH(I1572,Antoine_Name,0),3)/(I1580+459.6))))),0)</f>
        <v>1</v>
      </c>
      <c r="J1583" cm="1">
        <f t="array" ref="J1583">IFERROR(IF(J1573="Chemical",(10^(INDEX(Antoines,MATCH(J1572,Antoine_Name,0),2)-INDEX(Antoines,MATCH(J1572,Antoine_Name,0),3)/(INDEX(Antoines,MATCH(J1572,Antoine_Name,0),4)+(J1580-32)*5/9)))*14.7/760,IF(J1573="Crude Oil",EXP((2799/(J1580+459.6)-2.227)*LOG10(INDEX(FX_Input,W$5,J$3*$Z$5+$AA$5))-(7261/(J1580+459.6))+12.82),IF(J1573="Refined Petroleum Stock",EXP((0.7553-(413/(J1580+459.6)))*(INDEX(FX_Input,W$5,J$3*$Z$5+$AA$5-1)^0.5)*LOG10(INDEX(FX_Input,W$5,J$3*$Z$5+$AA$5))-(1.854-(1042/(J1580+459.6)))*(INDEX(FX_Input,W$5,J$3*$Z$5+$AA$5-1)^0.5)+((2416/(J1580+459.6)-2.013)*LOG10(INDEX(FX_Input,W$5,J$3*$Z$5+$AA$5)))-(8742/(J1580+459.6))+15.64),EXP(INDEX(Antoines,MATCH(J1572,Antoine_Name,0),2)-INDEX(Antoines,MATCH(J1572,Antoine_Name,0),3)/(J1580+459.6))))),0)</f>
        <v>1</v>
      </c>
      <c r="K1583" cm="1">
        <f t="array" ref="K1583">IFERROR(IF(K1573="Chemical",(10^(INDEX(Antoines,MATCH(K1572,Antoine_Name,0),2)-INDEX(Antoines,MATCH(K1572,Antoine_Name,0),3)/(INDEX(Antoines,MATCH(K1572,Antoine_Name,0),4)+(K1580-32)*5/9)))*14.7/760,IF(K1573="Crude Oil",EXP((2799/(K1580+459.6)-2.227)*LOG10(INDEX(FX_Input,X$5,K$3*$Z$5+$AA$5))-(7261/(K1580+459.6))+12.82),IF(K1573="Refined Petroleum Stock",EXP((0.7553-(413/(K1580+459.6)))*(INDEX(FX_Input,X$5,K$3*$Z$5+$AA$5-1)^0.5)*LOG10(INDEX(FX_Input,X$5,K$3*$Z$5+$AA$5))-(1.854-(1042/(K1580+459.6)))*(INDEX(FX_Input,X$5,K$3*$Z$5+$AA$5-1)^0.5)+((2416/(K1580+459.6)-2.013)*LOG10(INDEX(FX_Input,X$5,K$3*$Z$5+$AA$5)))-(8742/(K1580+459.6))+15.64),EXP(INDEX(Antoines,MATCH(K1572,Antoine_Name,0),2)-INDEX(Antoines,MATCH(K1572,Antoine_Name,0),3)/(K1580+459.6))))),0)</f>
        <v>1</v>
      </c>
      <c r="L1583" cm="1">
        <f t="array" ref="L1583">IFERROR(IF(L1573="Chemical",(10^(INDEX(Antoines,MATCH(L1572,Antoine_Name,0),2)-INDEX(Antoines,MATCH(L1572,Antoine_Name,0),3)/(INDEX(Antoines,MATCH(L1572,Antoine_Name,0),4)+(L1580-32)*5/9)))*14.7/760,IF(L1573="Crude Oil",EXP((2799/(L1580+459.6)-2.227)*LOG10(INDEX(FX_Input,Y$5,L$3*$Z$5+$AA$5))-(7261/(L1580+459.6))+12.82),IF(L1573="Refined Petroleum Stock",EXP((0.7553-(413/(L1580+459.6)))*(INDEX(FX_Input,Y$5,L$3*$Z$5+$AA$5-1)^0.5)*LOG10(INDEX(FX_Input,Y$5,L$3*$Z$5+$AA$5))-(1.854-(1042/(L1580+459.6)))*(INDEX(FX_Input,Y$5,L$3*$Z$5+$AA$5-1)^0.5)+((2416/(L1580+459.6)-2.013)*LOG10(INDEX(FX_Input,Y$5,L$3*$Z$5+$AA$5)))-(8742/(L1580+459.6))+15.64),EXP(INDEX(Antoines,MATCH(L1572,Antoine_Name,0),2)-INDEX(Antoines,MATCH(L1572,Antoine_Name,0),3)/(L1580+459.6))))),0)</f>
        <v>1</v>
      </c>
      <c r="M1583" cm="1">
        <f t="array" ref="M1583">IFERROR(IF(M1573="Chemical",(10^(INDEX(Antoines,MATCH(M1572,Antoine_Name,0),2)-INDEX(Antoines,MATCH(M1572,Antoine_Name,0),3)/(INDEX(Antoines,MATCH(M1572,Antoine_Name,0),4)+(M1580-32)*5/9)))*14.7/760,IF(M1573="Crude Oil",EXP((2799/(M1580+459.6)-2.227)*LOG10(INDEX(FX_Input,Z$5,M$3*$Z$5+$AA$5))-(7261/(M1580+459.6))+12.82),IF(M1573="Refined Petroleum Stock",EXP((0.7553-(413/(M1580+459.6)))*(INDEX(FX_Input,Z$5,M$3*$Z$5+$AA$5-1)^0.5)*LOG10(INDEX(FX_Input,Z$5,M$3*$Z$5+$AA$5))-(1.854-(1042/(M1580+459.6)))*(INDEX(FX_Input,Z$5,M$3*$Z$5+$AA$5-1)^0.5)+((2416/(M1580+459.6)-2.013)*LOG10(INDEX(FX_Input,Z$5,M$3*$Z$5+$AA$5)))-(8742/(M1580+459.6))+15.64),EXP(INDEX(Antoines,MATCH(M1572,Antoine_Name,0),2)-INDEX(Antoines,MATCH(M1572,Antoine_Name,0),3)/(M1580+459.6))))),0)</f>
        <v>1</v>
      </c>
      <c r="N1583" cm="1">
        <f t="array" ref="N1583">IFERROR(IF(N1573="Chemical",(10^(INDEX(Antoines,MATCH(N1572,Antoine_Name,0),2)-INDEX(Antoines,MATCH(N1572,Antoine_Name,0),3)/(INDEX(Antoines,MATCH(N1572,Antoine_Name,0),4)+(N1580-32)*5/9)))*14.7/760,IF(N1573="Crude Oil",EXP((2799/(N1580+459.6)-2.227)*LOG10(INDEX(FX_Input,AA$5,N$3*$Z$5+$AA$5))-(7261/(N1580+459.6))+12.82),IF(N1573="Refined Petroleum Stock",EXP((0.7553-(413/(N1580+459.6)))*(INDEX(FX_Input,AA$5,N$3*$Z$5+$AA$5-1)^0.5)*LOG10(INDEX(FX_Input,AA$5,N$3*$Z$5+$AA$5))-(1.854-(1042/(N1580+459.6)))*(INDEX(FX_Input,AA$5,N$3*$Z$5+$AA$5-1)^0.5)+((2416/(N1580+459.6)-2.013)*LOG10(INDEX(FX_Input,AA$5,N$3*$Z$5+$AA$5)))-(8742/(N1580+459.6))+15.64),EXP(INDEX(Antoines,MATCH(N1572,Antoine_Name,0),2)-INDEX(Antoines,MATCH(N1572,Antoine_Name,0),3)/(N1580+459.6))))),0)</f>
        <v>1</v>
      </c>
      <c r="O1583" cm="1">
        <f t="array" ref="O1583">IFERROR(IF(O1573="Chemical",(10^(INDEX(Antoines,MATCH(O1572,Antoine_Name,0),2)-INDEX(Antoines,MATCH(O1572,Antoine_Name,0),3)/(INDEX(Antoines,MATCH(O1572,Antoine_Name,0),4)+(O1580-32)*5/9)))*14.7/760,IF(O1573="Crude Oil",EXP((2799/(O1580+459.6)-2.227)*LOG10(INDEX(FX_Input,AB$5,O$3*$Z$5+$AA$5))-(7261/(O1580+459.6))+12.82),IF(O1573="Refined Petroleum Stock",EXP((0.7553-(413/(O1580+459.6)))*(INDEX(FX_Input,AB$5,O$3*$Z$5+$AA$5-1)^0.5)*LOG10(INDEX(FX_Input,AB$5,O$3*$Z$5+$AA$5))-(1.854-(1042/(O1580+459.6)))*(INDEX(FX_Input,AB$5,O$3*$Z$5+$AA$5-1)^0.5)+((2416/(O1580+459.6)-2.013)*LOG10(INDEX(FX_Input,AB$5,O$3*$Z$5+$AA$5)))-(8742/(O1580+459.6))+15.64),EXP(INDEX(Antoines,MATCH(O1572,Antoine_Name,0),2)-INDEX(Antoines,MATCH(O1572,Antoine_Name,0),3)/(O1580+459.6))))),0)</f>
        <v>1</v>
      </c>
    </row>
    <row r="1584" spans="1:32" ht="17.149999999999999" x14ac:dyDescent="0.55000000000000004">
      <c r="B1584" t="str">
        <f t="shared" si="5780"/>
        <v>Portland</v>
      </c>
      <c r="C1584" t="s">
        <v>576</v>
      </c>
      <c r="D1584">
        <f>D1576*D1583</f>
        <v>1</v>
      </c>
      <c r="E1584">
        <f t="shared" ref="E1584" si="5781">E1576*E1583</f>
        <v>1</v>
      </c>
      <c r="F1584">
        <f t="shared" ref="F1584" si="5782">F1576*F1583</f>
        <v>1</v>
      </c>
      <c r="G1584">
        <f t="shared" ref="G1584" si="5783">G1576*G1583</f>
        <v>1</v>
      </c>
      <c r="H1584">
        <f t="shared" ref="H1584" si="5784">H1576*H1583</f>
        <v>1</v>
      </c>
      <c r="I1584">
        <f t="shared" ref="I1584" si="5785">I1576*I1583</f>
        <v>1</v>
      </c>
      <c r="J1584">
        <f t="shared" ref="J1584" si="5786">J1576*J1583</f>
        <v>1</v>
      </c>
      <c r="K1584">
        <f t="shared" ref="K1584" si="5787">K1576*K1583</f>
        <v>1</v>
      </c>
      <c r="L1584">
        <f t="shared" ref="L1584" si="5788">L1576*L1583</f>
        <v>1</v>
      </c>
      <c r="M1584">
        <f t="shared" ref="M1584" si="5789">M1576*M1583</f>
        <v>1</v>
      </c>
      <c r="N1584">
        <f t="shared" ref="N1584" si="5790">N1576*N1583</f>
        <v>1</v>
      </c>
      <c r="O1584">
        <f t="shared" ref="O1584" si="5791">O1576*O1583</f>
        <v>1</v>
      </c>
    </row>
    <row r="1585" spans="2:15" ht="17.149999999999999" x14ac:dyDescent="0.55000000000000004">
      <c r="B1585" t="str">
        <f t="shared" si="5780"/>
        <v>Portland</v>
      </c>
      <c r="C1585" t="s">
        <v>575</v>
      </c>
      <c r="D1585" cm="1">
        <f t="array" ref="D1585">IFERROR(IF(D1575="Chemical",(10^(INDEX(Antoines,MATCH(D1574,Antoine_Name,0),2)-INDEX(Antoines,MATCH(D1574,Antoine_Name,0),3)/(INDEX(Antoines,MATCH(D1574,Antoine_Name,0),4)+(D1580-32)*5/9)))*14.7/760,IF(D1575="Crude Oil",EXP((2799/(D1580+459.6)-2.227)*LOG10(INDEX(FX_Input,Q$5,D$3*$Z$5+$AA$5))-(7261/(D1580+459.6))+12.82),IF(D1575="Refined Petroleum Stock",EXP((0.7553-(413/(D1580+459.6)))*(INDEX(FX_Input,Q$5,D$3*$Z$5+$AA$5-1)^0.5)*LOG10(INDEX(FX_Input,Q$5,D$3*$Z$5+$AA$5))-(1.854-(1042/(D1580+459.6)))*(INDEX(FX_Input,Q$5,D$3*$Z$5+$AA$5-1)^0.5)+((2416/(D1580+459.6)-2.013)*LOG10(INDEX(FX_Input,Q$5,D$3*$Z$5+$AA$5)))-(8742/(D1580+459.6))+15.64),EXP(INDEX(Antoines,MATCH(D1574,Antoine_Name,0),2)-INDEX(Antoines,MATCH(D1574,Antoine_Name,0),3)/(D1580+459.6))))),0)</f>
        <v>0</v>
      </c>
      <c r="E1585" cm="1">
        <f t="array" ref="E1585">IFERROR(IF(E1575="Chemical",(10^(INDEX(Antoines,MATCH(E1574,Antoine_Name,0),2)-INDEX(Antoines,MATCH(E1574,Antoine_Name,0),3)/(INDEX(Antoines,MATCH(E1574,Antoine_Name,0),4)+(E1580-32)*5/9)))*14.7/760,IF(E1575="Crude Oil",EXP((2799/(E1580+459.6)-2.227)*LOG10(INDEX(FX_Input,R$5,E$3*$Z$5+$AA$5))-(7261/(E1580+459.6))+12.82),IF(E1575="Refined Petroleum Stock",EXP((0.7553-(413/(E1580+459.6)))*(INDEX(FX_Input,R$5,E$3*$Z$5+$AA$5-1)^0.5)*LOG10(INDEX(FX_Input,R$5,E$3*$Z$5+$AA$5))-(1.854-(1042/(E1580+459.6)))*(INDEX(FX_Input,R$5,E$3*$Z$5+$AA$5-1)^0.5)+((2416/(E1580+459.6)-2.013)*LOG10(INDEX(FX_Input,R$5,E$3*$Z$5+$AA$5)))-(8742/(E1580+459.6))+15.64),EXP(INDEX(Antoines,MATCH(E1574,Antoine_Name,0),2)-INDEX(Antoines,MATCH(E1574,Antoine_Name,0),3)/(E1580+459.6))))),0)</f>
        <v>0</v>
      </c>
      <c r="F1585" cm="1">
        <f t="array" ref="F1585">IFERROR(IF(F1575="Chemical",(10^(INDEX(Antoines,MATCH(F1574,Antoine_Name,0),2)-INDEX(Antoines,MATCH(F1574,Antoine_Name,0),3)/(INDEX(Antoines,MATCH(F1574,Antoine_Name,0),4)+(F1580-32)*5/9)))*14.7/760,IF(F1575="Crude Oil",EXP((2799/(F1580+459.6)-2.227)*LOG10(INDEX(FX_Input,S$5,F$3*$Z$5+$AA$5))-(7261/(F1580+459.6))+12.82),IF(F1575="Refined Petroleum Stock",EXP((0.7553-(413/(F1580+459.6)))*(INDEX(FX_Input,S$5,F$3*$Z$5+$AA$5-1)^0.5)*LOG10(INDEX(FX_Input,S$5,F$3*$Z$5+$AA$5))-(1.854-(1042/(F1580+459.6)))*(INDEX(FX_Input,S$5,F$3*$Z$5+$AA$5-1)^0.5)+((2416/(F1580+459.6)-2.013)*LOG10(INDEX(FX_Input,S$5,F$3*$Z$5+$AA$5)))-(8742/(F1580+459.6))+15.64),EXP(INDEX(Antoines,MATCH(F1574,Antoine_Name,0),2)-INDEX(Antoines,MATCH(F1574,Antoine_Name,0),3)/(F1580+459.6))))),0)</f>
        <v>0</v>
      </c>
      <c r="G1585" cm="1">
        <f t="array" ref="G1585">IFERROR(IF(G1575="Chemical",(10^(INDEX(Antoines,MATCH(G1574,Antoine_Name,0),2)-INDEX(Antoines,MATCH(G1574,Antoine_Name,0),3)/(INDEX(Antoines,MATCH(G1574,Antoine_Name,0),4)+(G1580-32)*5/9)))*14.7/760,IF(G1575="Crude Oil",EXP((2799/(G1580+459.6)-2.227)*LOG10(INDEX(FX_Input,T$5,G$3*$Z$5+$AA$5))-(7261/(G1580+459.6))+12.82),IF(G1575="Refined Petroleum Stock",EXP((0.7553-(413/(G1580+459.6)))*(INDEX(FX_Input,T$5,G$3*$Z$5+$AA$5-1)^0.5)*LOG10(INDEX(FX_Input,T$5,G$3*$Z$5+$AA$5))-(1.854-(1042/(G1580+459.6)))*(INDEX(FX_Input,T$5,G$3*$Z$5+$AA$5-1)^0.5)+((2416/(G1580+459.6)-2.013)*LOG10(INDEX(FX_Input,T$5,G$3*$Z$5+$AA$5)))-(8742/(G1580+459.6))+15.64),EXP(INDEX(Antoines,MATCH(G1574,Antoine_Name,0),2)-INDEX(Antoines,MATCH(G1574,Antoine_Name,0),3)/(G1580+459.6))))),0)</f>
        <v>0</v>
      </c>
      <c r="H1585" cm="1">
        <f t="array" ref="H1585">IFERROR(IF(H1575="Chemical",(10^(INDEX(Antoines,MATCH(H1574,Antoine_Name,0),2)-INDEX(Antoines,MATCH(H1574,Antoine_Name,0),3)/(INDEX(Antoines,MATCH(H1574,Antoine_Name,0),4)+(H1580-32)*5/9)))*14.7/760,IF(H1575="Crude Oil",EXP((2799/(H1580+459.6)-2.227)*LOG10(INDEX(FX_Input,U$5,H$3*$Z$5+$AA$5))-(7261/(H1580+459.6))+12.82),IF(H1575="Refined Petroleum Stock",EXP((0.7553-(413/(H1580+459.6)))*(INDEX(FX_Input,U$5,H$3*$Z$5+$AA$5-1)^0.5)*LOG10(INDEX(FX_Input,U$5,H$3*$Z$5+$AA$5))-(1.854-(1042/(H1580+459.6)))*(INDEX(FX_Input,U$5,H$3*$Z$5+$AA$5-1)^0.5)+((2416/(H1580+459.6)-2.013)*LOG10(INDEX(FX_Input,U$5,H$3*$Z$5+$AA$5)))-(8742/(H1580+459.6))+15.64),EXP(INDEX(Antoines,MATCH(H1574,Antoine_Name,0),2)-INDEX(Antoines,MATCH(H1574,Antoine_Name,0),3)/(H1580+459.6))))),0)</f>
        <v>0</v>
      </c>
      <c r="I1585" cm="1">
        <f t="array" ref="I1585">IFERROR(IF(I1575="Chemical",(10^(INDEX(Antoines,MATCH(I1574,Antoine_Name,0),2)-INDEX(Antoines,MATCH(I1574,Antoine_Name,0),3)/(INDEX(Antoines,MATCH(I1574,Antoine_Name,0),4)+(I1580-32)*5/9)))*14.7/760,IF(I1575="Crude Oil",EXP((2799/(I1580+459.6)-2.227)*LOG10(INDEX(FX_Input,V$5,I$3*$Z$5+$AA$5))-(7261/(I1580+459.6))+12.82),IF(I1575="Refined Petroleum Stock",EXP((0.7553-(413/(I1580+459.6)))*(INDEX(FX_Input,V$5,I$3*$Z$5+$AA$5-1)^0.5)*LOG10(INDEX(FX_Input,V$5,I$3*$Z$5+$AA$5))-(1.854-(1042/(I1580+459.6)))*(INDEX(FX_Input,V$5,I$3*$Z$5+$AA$5-1)^0.5)+((2416/(I1580+459.6)-2.013)*LOG10(INDEX(FX_Input,V$5,I$3*$Z$5+$AA$5)))-(8742/(I1580+459.6))+15.64),EXP(INDEX(Antoines,MATCH(I1574,Antoine_Name,0),2)-INDEX(Antoines,MATCH(I1574,Antoine_Name,0),3)/(I1580+459.6))))),0)</f>
        <v>0</v>
      </c>
      <c r="J1585" cm="1">
        <f t="array" ref="J1585">IFERROR(IF(J1575="Chemical",(10^(INDEX(Antoines,MATCH(J1574,Antoine_Name,0),2)-INDEX(Antoines,MATCH(J1574,Antoine_Name,0),3)/(INDEX(Antoines,MATCH(J1574,Antoine_Name,0),4)+(J1580-32)*5/9)))*14.7/760,IF(J1575="Crude Oil",EXP((2799/(J1580+459.6)-2.227)*LOG10(INDEX(FX_Input,W$5,J$3*$Z$5+$AA$5))-(7261/(J1580+459.6))+12.82),IF(J1575="Refined Petroleum Stock",EXP((0.7553-(413/(J1580+459.6)))*(INDEX(FX_Input,W$5,J$3*$Z$5+$AA$5-1)^0.5)*LOG10(INDEX(FX_Input,W$5,J$3*$Z$5+$AA$5))-(1.854-(1042/(J1580+459.6)))*(INDEX(FX_Input,W$5,J$3*$Z$5+$AA$5-1)^0.5)+((2416/(J1580+459.6)-2.013)*LOG10(INDEX(FX_Input,W$5,J$3*$Z$5+$AA$5)))-(8742/(J1580+459.6))+15.64),EXP(INDEX(Antoines,MATCH(J1574,Antoine_Name,0),2)-INDEX(Antoines,MATCH(J1574,Antoine_Name,0),3)/(J1580+459.6))))),0)</f>
        <v>0</v>
      </c>
      <c r="K1585" cm="1">
        <f t="array" ref="K1585">IFERROR(IF(K1575="Chemical",(10^(INDEX(Antoines,MATCH(K1574,Antoine_Name,0),2)-INDEX(Antoines,MATCH(K1574,Antoine_Name,0),3)/(INDEX(Antoines,MATCH(K1574,Antoine_Name,0),4)+(K1580-32)*5/9)))*14.7/760,IF(K1575="Crude Oil",EXP((2799/(K1580+459.6)-2.227)*LOG10(INDEX(FX_Input,X$5,K$3*$Z$5+$AA$5))-(7261/(K1580+459.6))+12.82),IF(K1575="Refined Petroleum Stock",EXP((0.7553-(413/(K1580+459.6)))*(INDEX(FX_Input,X$5,K$3*$Z$5+$AA$5-1)^0.5)*LOG10(INDEX(FX_Input,X$5,K$3*$Z$5+$AA$5))-(1.854-(1042/(K1580+459.6)))*(INDEX(FX_Input,X$5,K$3*$Z$5+$AA$5-1)^0.5)+((2416/(K1580+459.6)-2.013)*LOG10(INDEX(FX_Input,X$5,K$3*$Z$5+$AA$5)))-(8742/(K1580+459.6))+15.64),EXP(INDEX(Antoines,MATCH(K1574,Antoine_Name,0),2)-INDEX(Antoines,MATCH(K1574,Antoine_Name,0),3)/(K1580+459.6))))),0)</f>
        <v>0</v>
      </c>
      <c r="L1585" cm="1">
        <f t="array" ref="L1585">IFERROR(IF(L1575="Chemical",(10^(INDEX(Antoines,MATCH(L1574,Antoine_Name,0),2)-INDEX(Antoines,MATCH(L1574,Antoine_Name,0),3)/(INDEX(Antoines,MATCH(L1574,Antoine_Name,0),4)+(L1580-32)*5/9)))*14.7/760,IF(L1575="Crude Oil",EXP((2799/(L1580+459.6)-2.227)*LOG10(INDEX(FX_Input,Y$5,L$3*$Z$5+$AA$5))-(7261/(L1580+459.6))+12.82),IF(L1575="Refined Petroleum Stock",EXP((0.7553-(413/(L1580+459.6)))*(INDEX(FX_Input,Y$5,L$3*$Z$5+$AA$5-1)^0.5)*LOG10(INDEX(FX_Input,Y$5,L$3*$Z$5+$AA$5))-(1.854-(1042/(L1580+459.6)))*(INDEX(FX_Input,Y$5,L$3*$Z$5+$AA$5-1)^0.5)+((2416/(L1580+459.6)-2.013)*LOG10(INDEX(FX_Input,Y$5,L$3*$Z$5+$AA$5)))-(8742/(L1580+459.6))+15.64),EXP(INDEX(Antoines,MATCH(L1574,Antoine_Name,0),2)-INDEX(Antoines,MATCH(L1574,Antoine_Name,0),3)/(L1580+459.6))))),0)</f>
        <v>0</v>
      </c>
      <c r="M1585" cm="1">
        <f t="array" ref="M1585">IFERROR(IF(M1575="Chemical",(10^(INDEX(Antoines,MATCH(M1574,Antoine_Name,0),2)-INDEX(Antoines,MATCH(M1574,Antoine_Name,0),3)/(INDEX(Antoines,MATCH(M1574,Antoine_Name,0),4)+(M1580-32)*5/9)))*14.7/760,IF(M1575="Crude Oil",EXP((2799/(M1580+459.6)-2.227)*LOG10(INDEX(FX_Input,Z$5,M$3*$Z$5+$AA$5))-(7261/(M1580+459.6))+12.82),IF(M1575="Refined Petroleum Stock",EXP((0.7553-(413/(M1580+459.6)))*(INDEX(FX_Input,Z$5,M$3*$Z$5+$AA$5-1)^0.5)*LOG10(INDEX(FX_Input,Z$5,M$3*$Z$5+$AA$5))-(1.854-(1042/(M1580+459.6)))*(INDEX(FX_Input,Z$5,M$3*$Z$5+$AA$5-1)^0.5)+((2416/(M1580+459.6)-2.013)*LOG10(INDEX(FX_Input,Z$5,M$3*$Z$5+$AA$5)))-(8742/(M1580+459.6))+15.64),EXP(INDEX(Antoines,MATCH(M1574,Antoine_Name,0),2)-INDEX(Antoines,MATCH(M1574,Antoine_Name,0),3)/(M1580+459.6))))),0)</f>
        <v>0</v>
      </c>
      <c r="N1585" cm="1">
        <f t="array" ref="N1585">IFERROR(IF(N1575="Chemical",(10^(INDEX(Antoines,MATCH(N1574,Antoine_Name,0),2)-INDEX(Antoines,MATCH(N1574,Antoine_Name,0),3)/(INDEX(Antoines,MATCH(N1574,Antoine_Name,0),4)+(N1580-32)*5/9)))*14.7/760,IF(N1575="Crude Oil",EXP((2799/(N1580+459.6)-2.227)*LOG10(INDEX(FX_Input,AA$5,N$3*$Z$5+$AA$5))-(7261/(N1580+459.6))+12.82),IF(N1575="Refined Petroleum Stock",EXP((0.7553-(413/(N1580+459.6)))*(INDEX(FX_Input,AA$5,N$3*$Z$5+$AA$5-1)^0.5)*LOG10(INDEX(FX_Input,AA$5,N$3*$Z$5+$AA$5))-(1.854-(1042/(N1580+459.6)))*(INDEX(FX_Input,AA$5,N$3*$Z$5+$AA$5-1)^0.5)+((2416/(N1580+459.6)-2.013)*LOG10(INDEX(FX_Input,AA$5,N$3*$Z$5+$AA$5)))-(8742/(N1580+459.6))+15.64),EXP(INDEX(Antoines,MATCH(N1574,Antoine_Name,0),2)-INDEX(Antoines,MATCH(N1574,Antoine_Name,0),3)/(N1580+459.6))))),0)</f>
        <v>0</v>
      </c>
      <c r="O1585" cm="1">
        <f t="array" ref="O1585">IFERROR(IF(O1575="Chemical",(10^(INDEX(Antoines,MATCH(O1574,Antoine_Name,0),2)-INDEX(Antoines,MATCH(O1574,Antoine_Name,0),3)/(INDEX(Antoines,MATCH(O1574,Antoine_Name,0),4)+(O1580-32)*5/9)))*14.7/760,IF(O1575="Crude Oil",EXP((2799/(O1580+459.6)-2.227)*LOG10(INDEX(FX_Input,AB$5,O$3*$Z$5+$AA$5))-(7261/(O1580+459.6))+12.82),IF(O1575="Refined Petroleum Stock",EXP((0.7553-(413/(O1580+459.6)))*(INDEX(FX_Input,AB$5,O$3*$Z$5+$AA$5-1)^0.5)*LOG10(INDEX(FX_Input,AB$5,O$3*$Z$5+$AA$5))-(1.854-(1042/(O1580+459.6)))*(INDEX(FX_Input,AB$5,O$3*$Z$5+$AA$5-1)^0.5)+((2416/(O1580+459.6)-2.013)*LOG10(INDEX(FX_Input,AB$5,O$3*$Z$5+$AA$5)))-(8742/(O1580+459.6))+15.64),EXP(INDEX(Antoines,MATCH(O1574,Antoine_Name,0),2)-INDEX(Antoines,MATCH(O1574,Antoine_Name,0),3)/(O1580+459.6))))),0)</f>
        <v>0</v>
      </c>
    </row>
    <row r="1586" spans="2:15" ht="17.149999999999999" x14ac:dyDescent="0.55000000000000004">
      <c r="B1586" t="str">
        <f t="shared" si="5780"/>
        <v>Portland</v>
      </c>
      <c r="C1586" t="s">
        <v>577</v>
      </c>
      <c r="D1586">
        <f>D1585*D1578</f>
        <v>0</v>
      </c>
      <c r="E1586">
        <f t="shared" ref="E1586" si="5792">E1585*E1578</f>
        <v>0</v>
      </c>
      <c r="F1586">
        <f t="shared" ref="F1586" si="5793">F1585*F1578</f>
        <v>0</v>
      </c>
      <c r="G1586">
        <f t="shared" ref="G1586" si="5794">G1585*G1578</f>
        <v>0</v>
      </c>
      <c r="H1586">
        <f t="shared" ref="H1586" si="5795">H1585*H1578</f>
        <v>0</v>
      </c>
      <c r="I1586">
        <f t="shared" ref="I1586" si="5796">I1585*I1578</f>
        <v>0</v>
      </c>
      <c r="J1586">
        <f t="shared" ref="J1586" si="5797">J1585*J1578</f>
        <v>0</v>
      </c>
      <c r="K1586">
        <f t="shared" ref="K1586" si="5798">K1585*K1578</f>
        <v>0</v>
      </c>
      <c r="L1586">
        <f t="shared" ref="L1586" si="5799">L1585*L1578</f>
        <v>0</v>
      </c>
      <c r="M1586">
        <f t="shared" ref="M1586" si="5800">M1585*M1578</f>
        <v>0</v>
      </c>
      <c r="N1586">
        <f t="shared" ref="N1586" si="5801">N1585*N1578</f>
        <v>0</v>
      </c>
      <c r="O1586">
        <f t="shared" ref="O1586" si="5802">O1585*O1578</f>
        <v>0</v>
      </c>
    </row>
    <row r="1587" spans="2:15" ht="17.149999999999999" x14ac:dyDescent="0.55000000000000004">
      <c r="B1587" t="str">
        <f t="shared" si="5780"/>
        <v>Portland</v>
      </c>
      <c r="C1587" t="s">
        <v>578</v>
      </c>
      <c r="D1587">
        <f>D1586+D1584</f>
        <v>1</v>
      </c>
      <c r="E1587">
        <f t="shared" ref="E1587" si="5803">E1586+E1584</f>
        <v>1</v>
      </c>
      <c r="F1587">
        <f t="shared" ref="F1587" si="5804">F1586+F1584</f>
        <v>1</v>
      </c>
      <c r="G1587">
        <f t="shared" ref="G1587" si="5805">G1586+G1584</f>
        <v>1</v>
      </c>
      <c r="H1587">
        <f t="shared" ref="H1587" si="5806">H1586+H1584</f>
        <v>1</v>
      </c>
      <c r="I1587">
        <f t="shared" ref="I1587" si="5807">I1586+I1584</f>
        <v>1</v>
      </c>
      <c r="J1587">
        <f t="shared" ref="J1587" si="5808">J1586+J1584</f>
        <v>1</v>
      </c>
      <c r="K1587">
        <f t="shared" ref="K1587" si="5809">K1586+K1584</f>
        <v>1</v>
      </c>
      <c r="L1587">
        <f t="shared" ref="L1587" si="5810">L1586+L1584</f>
        <v>1</v>
      </c>
      <c r="M1587">
        <f t="shared" ref="M1587" si="5811">M1586+M1584</f>
        <v>1</v>
      </c>
      <c r="N1587">
        <f t="shared" ref="N1587" si="5812">N1586+N1584</f>
        <v>1</v>
      </c>
      <c r="O1587">
        <f t="shared" ref="O1587" si="5813">O1586+O1584</f>
        <v>1</v>
      </c>
    </row>
    <row r="1588" spans="2:15" ht="17.149999999999999" x14ac:dyDescent="0.55000000000000004">
      <c r="B1588" t="str">
        <f t="shared" si="5780"/>
        <v>Portland</v>
      </c>
      <c r="C1588" t="s">
        <v>579</v>
      </c>
      <c r="D1588" cm="1">
        <f t="array" ref="D1588">IFERROR(IF(D1573="Chemical",(10^(INDEX(Antoines,MATCH(D1572,Antoine_Name,0),2)-INDEX(Antoines,MATCH(D1572,Antoine_Name,0),3)/(INDEX(Antoines,MATCH(D1572,Antoine_Name,0),4)+(D1581-32)*5/9)))*14.7/760,IF(D1573="Crude Oil",EXP((2799/(D1581+459.6)-2.227)*LOG10(INDEX(FX_Input,Q$5,D$3*$Z$5+$AA$5))-(7261/(D1581+459.6))+12.82),IF(D1573="Refined Petroleum Stock",EXP((0.7553-(413/(D1581+459.6)))*(INDEX(FX_Input,Q$5,D$3*$Z$5+$AA$5-1)^0.5)*LOG10(INDEX(FX_Input,Q$5,D$3*$Z$5+$AA$5))-(1.854-(1042/(D1581+459.6)))*(INDEX(FX_Input,Q$5,D$3*$Z$5+$AA$5-1)^0.5)+((2416/(D1581+459.6)-2.013)*LOG10(INDEX(FX_Input,Q$5,D$3*$Z$5+$AA$5)))-(8742/(D1581+459.6))+15.64),EXP(INDEX(Antoines,MATCH(D1572,Antoine_Name,0),2)-INDEX(Antoines,MATCH(D1572,Antoine_Name,0),3)/(D1581+459.6))))),0)</f>
        <v>1</v>
      </c>
      <c r="E1588" cm="1">
        <f t="array" ref="E1588">IFERROR(IF(E1573="Chemical",(10^(INDEX(Antoines,MATCH(E1572,Antoine_Name,0),2)-INDEX(Antoines,MATCH(E1572,Antoine_Name,0),3)/(INDEX(Antoines,MATCH(E1572,Antoine_Name,0),4)+(E1581-32)*5/9)))*14.7/760,IF(E1573="Crude Oil",EXP((2799/(E1581+459.6)-2.227)*LOG10(INDEX(FX_Input,R$5,E$3*$Z$5+$AA$5))-(7261/(E1581+459.6))+12.82),IF(E1573="Refined Petroleum Stock",EXP((0.7553-(413/(E1581+459.6)))*(INDEX(FX_Input,R$5,E$3*$Z$5+$AA$5-1)^0.5)*LOG10(INDEX(FX_Input,R$5,E$3*$Z$5+$AA$5))-(1.854-(1042/(E1581+459.6)))*(INDEX(FX_Input,R$5,E$3*$Z$5+$AA$5-1)^0.5)+((2416/(E1581+459.6)-2.013)*LOG10(INDEX(FX_Input,R$5,E$3*$Z$5+$AA$5)))-(8742/(E1581+459.6))+15.64),EXP(INDEX(Antoines,MATCH(E1572,Antoine_Name,0),2)-INDEX(Antoines,MATCH(E1572,Antoine_Name,0),3)/(E1581+459.6))))),0)</f>
        <v>1</v>
      </c>
      <c r="F1588" cm="1">
        <f t="array" ref="F1588">IFERROR(IF(F1573="Chemical",(10^(INDEX(Antoines,MATCH(F1572,Antoine_Name,0),2)-INDEX(Antoines,MATCH(F1572,Antoine_Name,0),3)/(INDEX(Antoines,MATCH(F1572,Antoine_Name,0),4)+(F1581-32)*5/9)))*14.7/760,IF(F1573="Crude Oil",EXP((2799/(F1581+459.6)-2.227)*LOG10(INDEX(FX_Input,S$5,F$3*$Z$5+$AA$5))-(7261/(F1581+459.6))+12.82),IF(F1573="Refined Petroleum Stock",EXP((0.7553-(413/(F1581+459.6)))*(INDEX(FX_Input,S$5,F$3*$Z$5+$AA$5-1)^0.5)*LOG10(INDEX(FX_Input,S$5,F$3*$Z$5+$AA$5))-(1.854-(1042/(F1581+459.6)))*(INDEX(FX_Input,S$5,F$3*$Z$5+$AA$5-1)^0.5)+((2416/(F1581+459.6)-2.013)*LOG10(INDEX(FX_Input,S$5,F$3*$Z$5+$AA$5)))-(8742/(F1581+459.6))+15.64),EXP(INDEX(Antoines,MATCH(F1572,Antoine_Name,0),2)-INDEX(Antoines,MATCH(F1572,Antoine_Name,0),3)/(F1581+459.6))))),0)</f>
        <v>1</v>
      </c>
      <c r="G1588" cm="1">
        <f t="array" ref="G1588">IFERROR(IF(G1573="Chemical",(10^(INDEX(Antoines,MATCH(G1572,Antoine_Name,0),2)-INDEX(Antoines,MATCH(G1572,Antoine_Name,0),3)/(INDEX(Antoines,MATCH(G1572,Antoine_Name,0),4)+(G1581-32)*5/9)))*14.7/760,IF(G1573="Crude Oil",EXP((2799/(G1581+459.6)-2.227)*LOG10(INDEX(FX_Input,T$5,G$3*$Z$5+$AA$5))-(7261/(G1581+459.6))+12.82),IF(G1573="Refined Petroleum Stock",EXP((0.7553-(413/(G1581+459.6)))*(INDEX(FX_Input,T$5,G$3*$Z$5+$AA$5-1)^0.5)*LOG10(INDEX(FX_Input,T$5,G$3*$Z$5+$AA$5))-(1.854-(1042/(G1581+459.6)))*(INDEX(FX_Input,T$5,G$3*$Z$5+$AA$5-1)^0.5)+((2416/(G1581+459.6)-2.013)*LOG10(INDEX(FX_Input,T$5,G$3*$Z$5+$AA$5)))-(8742/(G1581+459.6))+15.64),EXP(INDEX(Antoines,MATCH(G1572,Antoine_Name,0),2)-INDEX(Antoines,MATCH(G1572,Antoine_Name,0),3)/(G1581+459.6))))),0)</f>
        <v>1</v>
      </c>
      <c r="H1588" cm="1">
        <f t="array" ref="H1588">IFERROR(IF(H1573="Chemical",(10^(INDEX(Antoines,MATCH(H1572,Antoine_Name,0),2)-INDEX(Antoines,MATCH(H1572,Antoine_Name,0),3)/(INDEX(Antoines,MATCH(H1572,Antoine_Name,0),4)+(H1581-32)*5/9)))*14.7/760,IF(H1573="Crude Oil",EXP((2799/(H1581+459.6)-2.227)*LOG10(INDEX(FX_Input,U$5,H$3*$Z$5+$AA$5))-(7261/(H1581+459.6))+12.82),IF(H1573="Refined Petroleum Stock",EXP((0.7553-(413/(H1581+459.6)))*(INDEX(FX_Input,U$5,H$3*$Z$5+$AA$5-1)^0.5)*LOG10(INDEX(FX_Input,U$5,H$3*$Z$5+$AA$5))-(1.854-(1042/(H1581+459.6)))*(INDEX(FX_Input,U$5,H$3*$Z$5+$AA$5-1)^0.5)+((2416/(H1581+459.6)-2.013)*LOG10(INDEX(FX_Input,U$5,H$3*$Z$5+$AA$5)))-(8742/(H1581+459.6))+15.64),EXP(INDEX(Antoines,MATCH(H1572,Antoine_Name,0),2)-INDEX(Antoines,MATCH(H1572,Antoine_Name,0),3)/(H1581+459.6))))),0)</f>
        <v>1</v>
      </c>
      <c r="I1588" cm="1">
        <f t="array" ref="I1588">IFERROR(IF(I1573="Chemical",(10^(INDEX(Antoines,MATCH(I1572,Antoine_Name,0),2)-INDEX(Antoines,MATCH(I1572,Antoine_Name,0),3)/(INDEX(Antoines,MATCH(I1572,Antoine_Name,0),4)+(I1581-32)*5/9)))*14.7/760,IF(I1573="Crude Oil",EXP((2799/(I1581+459.6)-2.227)*LOG10(INDEX(FX_Input,V$5,I$3*$Z$5+$AA$5))-(7261/(I1581+459.6))+12.82),IF(I1573="Refined Petroleum Stock",EXP((0.7553-(413/(I1581+459.6)))*(INDEX(FX_Input,V$5,I$3*$Z$5+$AA$5-1)^0.5)*LOG10(INDEX(FX_Input,V$5,I$3*$Z$5+$AA$5))-(1.854-(1042/(I1581+459.6)))*(INDEX(FX_Input,V$5,I$3*$Z$5+$AA$5-1)^0.5)+((2416/(I1581+459.6)-2.013)*LOG10(INDEX(FX_Input,V$5,I$3*$Z$5+$AA$5)))-(8742/(I1581+459.6))+15.64),EXP(INDEX(Antoines,MATCH(I1572,Antoine_Name,0),2)-INDEX(Antoines,MATCH(I1572,Antoine_Name,0),3)/(I1581+459.6))))),0)</f>
        <v>1</v>
      </c>
      <c r="J1588" cm="1">
        <f t="array" ref="J1588">IFERROR(IF(J1573="Chemical",(10^(INDEX(Antoines,MATCH(J1572,Antoine_Name,0),2)-INDEX(Antoines,MATCH(J1572,Antoine_Name,0),3)/(INDEX(Antoines,MATCH(J1572,Antoine_Name,0),4)+(J1581-32)*5/9)))*14.7/760,IF(J1573="Crude Oil",EXP((2799/(J1581+459.6)-2.227)*LOG10(INDEX(FX_Input,W$5,J$3*$Z$5+$AA$5))-(7261/(J1581+459.6))+12.82),IF(J1573="Refined Petroleum Stock",EXP((0.7553-(413/(J1581+459.6)))*(INDEX(FX_Input,W$5,J$3*$Z$5+$AA$5-1)^0.5)*LOG10(INDEX(FX_Input,W$5,J$3*$Z$5+$AA$5))-(1.854-(1042/(J1581+459.6)))*(INDEX(FX_Input,W$5,J$3*$Z$5+$AA$5-1)^0.5)+((2416/(J1581+459.6)-2.013)*LOG10(INDEX(FX_Input,W$5,J$3*$Z$5+$AA$5)))-(8742/(J1581+459.6))+15.64),EXP(INDEX(Antoines,MATCH(J1572,Antoine_Name,0),2)-INDEX(Antoines,MATCH(J1572,Antoine_Name,0),3)/(J1581+459.6))))),0)</f>
        <v>1</v>
      </c>
      <c r="K1588" cm="1">
        <f t="array" ref="K1588">IFERROR(IF(K1573="Chemical",(10^(INDEX(Antoines,MATCH(K1572,Antoine_Name,0),2)-INDEX(Antoines,MATCH(K1572,Antoine_Name,0),3)/(INDEX(Antoines,MATCH(K1572,Antoine_Name,0),4)+(K1581-32)*5/9)))*14.7/760,IF(K1573="Crude Oil",EXP((2799/(K1581+459.6)-2.227)*LOG10(INDEX(FX_Input,X$5,K$3*$Z$5+$AA$5))-(7261/(K1581+459.6))+12.82),IF(K1573="Refined Petroleum Stock",EXP((0.7553-(413/(K1581+459.6)))*(INDEX(FX_Input,X$5,K$3*$Z$5+$AA$5-1)^0.5)*LOG10(INDEX(FX_Input,X$5,K$3*$Z$5+$AA$5))-(1.854-(1042/(K1581+459.6)))*(INDEX(FX_Input,X$5,K$3*$Z$5+$AA$5-1)^0.5)+((2416/(K1581+459.6)-2.013)*LOG10(INDEX(FX_Input,X$5,K$3*$Z$5+$AA$5)))-(8742/(K1581+459.6))+15.64),EXP(INDEX(Antoines,MATCH(K1572,Antoine_Name,0),2)-INDEX(Antoines,MATCH(K1572,Antoine_Name,0),3)/(K1581+459.6))))),0)</f>
        <v>1</v>
      </c>
      <c r="L1588" cm="1">
        <f t="array" ref="L1588">IFERROR(IF(L1573="Chemical",(10^(INDEX(Antoines,MATCH(L1572,Antoine_Name,0),2)-INDEX(Antoines,MATCH(L1572,Antoine_Name,0),3)/(INDEX(Antoines,MATCH(L1572,Antoine_Name,0),4)+(L1581-32)*5/9)))*14.7/760,IF(L1573="Crude Oil",EXP((2799/(L1581+459.6)-2.227)*LOG10(INDEX(FX_Input,Y$5,L$3*$Z$5+$AA$5))-(7261/(L1581+459.6))+12.82),IF(L1573="Refined Petroleum Stock",EXP((0.7553-(413/(L1581+459.6)))*(INDEX(FX_Input,Y$5,L$3*$Z$5+$AA$5-1)^0.5)*LOG10(INDEX(FX_Input,Y$5,L$3*$Z$5+$AA$5))-(1.854-(1042/(L1581+459.6)))*(INDEX(FX_Input,Y$5,L$3*$Z$5+$AA$5-1)^0.5)+((2416/(L1581+459.6)-2.013)*LOG10(INDEX(FX_Input,Y$5,L$3*$Z$5+$AA$5)))-(8742/(L1581+459.6))+15.64),EXP(INDEX(Antoines,MATCH(L1572,Antoine_Name,0),2)-INDEX(Antoines,MATCH(L1572,Antoine_Name,0),3)/(L1581+459.6))))),0)</f>
        <v>1</v>
      </c>
      <c r="M1588" cm="1">
        <f t="array" ref="M1588">IFERROR(IF(M1573="Chemical",(10^(INDEX(Antoines,MATCH(M1572,Antoine_Name,0),2)-INDEX(Antoines,MATCH(M1572,Antoine_Name,0),3)/(INDEX(Antoines,MATCH(M1572,Antoine_Name,0),4)+(M1581-32)*5/9)))*14.7/760,IF(M1573="Crude Oil",EXP((2799/(M1581+459.6)-2.227)*LOG10(INDEX(FX_Input,Z$5,M$3*$Z$5+$AA$5))-(7261/(M1581+459.6))+12.82),IF(M1573="Refined Petroleum Stock",EXP((0.7553-(413/(M1581+459.6)))*(INDEX(FX_Input,Z$5,M$3*$Z$5+$AA$5-1)^0.5)*LOG10(INDEX(FX_Input,Z$5,M$3*$Z$5+$AA$5))-(1.854-(1042/(M1581+459.6)))*(INDEX(FX_Input,Z$5,M$3*$Z$5+$AA$5-1)^0.5)+((2416/(M1581+459.6)-2.013)*LOG10(INDEX(FX_Input,Z$5,M$3*$Z$5+$AA$5)))-(8742/(M1581+459.6))+15.64),EXP(INDEX(Antoines,MATCH(M1572,Antoine_Name,0),2)-INDEX(Antoines,MATCH(M1572,Antoine_Name,0),3)/(M1581+459.6))))),0)</f>
        <v>1</v>
      </c>
      <c r="N1588" cm="1">
        <f t="array" ref="N1588">IFERROR(IF(N1573="Chemical",(10^(INDEX(Antoines,MATCH(N1572,Antoine_Name,0),2)-INDEX(Antoines,MATCH(N1572,Antoine_Name,0),3)/(INDEX(Antoines,MATCH(N1572,Antoine_Name,0),4)+(N1581-32)*5/9)))*14.7/760,IF(N1573="Crude Oil",EXP((2799/(N1581+459.6)-2.227)*LOG10(INDEX(FX_Input,AA$5,N$3*$Z$5+$AA$5))-(7261/(N1581+459.6))+12.82),IF(N1573="Refined Petroleum Stock",EXP((0.7553-(413/(N1581+459.6)))*(INDEX(FX_Input,AA$5,N$3*$Z$5+$AA$5-1)^0.5)*LOG10(INDEX(FX_Input,AA$5,N$3*$Z$5+$AA$5))-(1.854-(1042/(N1581+459.6)))*(INDEX(FX_Input,AA$5,N$3*$Z$5+$AA$5-1)^0.5)+((2416/(N1581+459.6)-2.013)*LOG10(INDEX(FX_Input,AA$5,N$3*$Z$5+$AA$5)))-(8742/(N1581+459.6))+15.64),EXP(INDEX(Antoines,MATCH(N1572,Antoine_Name,0),2)-INDEX(Antoines,MATCH(N1572,Antoine_Name,0),3)/(N1581+459.6))))),0)</f>
        <v>1</v>
      </c>
      <c r="O1588" cm="1">
        <f t="array" ref="O1588">IFERROR(IF(O1573="Chemical",(10^(INDEX(Antoines,MATCH(O1572,Antoine_Name,0),2)-INDEX(Antoines,MATCH(O1572,Antoine_Name,0),3)/(INDEX(Antoines,MATCH(O1572,Antoine_Name,0),4)+(O1581-32)*5/9)))*14.7/760,IF(O1573="Crude Oil",EXP((2799/(O1581+459.6)-2.227)*LOG10(INDEX(FX_Input,AB$5,O$3*$Z$5+$AA$5))-(7261/(O1581+459.6))+12.82),IF(O1573="Refined Petroleum Stock",EXP((0.7553-(413/(O1581+459.6)))*(INDEX(FX_Input,AB$5,O$3*$Z$5+$AA$5-1)^0.5)*LOG10(INDEX(FX_Input,AB$5,O$3*$Z$5+$AA$5))-(1.854-(1042/(O1581+459.6)))*(INDEX(FX_Input,AB$5,O$3*$Z$5+$AA$5-1)^0.5)+((2416/(O1581+459.6)-2.013)*LOG10(INDEX(FX_Input,AB$5,O$3*$Z$5+$AA$5)))-(8742/(O1581+459.6))+15.64),EXP(INDEX(Antoines,MATCH(O1572,Antoine_Name,0),2)-INDEX(Antoines,MATCH(O1572,Antoine_Name,0),3)/(O1581+459.6))))),0)</f>
        <v>1</v>
      </c>
    </row>
    <row r="1589" spans="2:15" ht="17.149999999999999" x14ac:dyDescent="0.55000000000000004">
      <c r="B1589" t="str">
        <f t="shared" si="5780"/>
        <v>Portland</v>
      </c>
      <c r="C1589" t="s">
        <v>580</v>
      </c>
      <c r="D1589">
        <f>D1588*D1576</f>
        <v>1</v>
      </c>
      <c r="E1589">
        <f t="shared" ref="E1589" si="5814">E1588*E1576</f>
        <v>1</v>
      </c>
      <c r="F1589">
        <f t="shared" ref="F1589" si="5815">F1588*F1576</f>
        <v>1</v>
      </c>
      <c r="G1589">
        <f t="shared" ref="G1589" si="5816">G1588*G1576</f>
        <v>1</v>
      </c>
      <c r="H1589">
        <f t="shared" ref="H1589" si="5817">H1588*H1576</f>
        <v>1</v>
      </c>
      <c r="I1589">
        <f t="shared" ref="I1589" si="5818">I1588*I1576</f>
        <v>1</v>
      </c>
      <c r="J1589">
        <f t="shared" ref="J1589" si="5819">J1588*J1576</f>
        <v>1</v>
      </c>
      <c r="K1589">
        <f t="shared" ref="K1589" si="5820">K1588*K1576</f>
        <v>1</v>
      </c>
      <c r="L1589">
        <f t="shared" ref="L1589" si="5821">L1588*L1576</f>
        <v>1</v>
      </c>
      <c r="M1589">
        <f t="shared" ref="M1589" si="5822">M1588*M1576</f>
        <v>1</v>
      </c>
      <c r="N1589">
        <f t="shared" ref="N1589" si="5823">N1588*N1576</f>
        <v>1</v>
      </c>
      <c r="O1589">
        <f t="shared" ref="O1589" si="5824">O1588*O1576</f>
        <v>1</v>
      </c>
    </row>
    <row r="1590" spans="2:15" ht="17.149999999999999" x14ac:dyDescent="0.55000000000000004">
      <c r="B1590" t="str">
        <f t="shared" si="5780"/>
        <v>Portland</v>
      </c>
      <c r="C1590" t="s">
        <v>581</v>
      </c>
      <c r="D1590" cm="1">
        <f t="array" ref="D1590">IFERROR(IF(D1575="Chemical",(10^(INDEX(Antoines,MATCH(D1574,Antoine_Name,0),2)-INDEX(Antoines,MATCH(D1574,Antoine_Name,0),3)/(INDEX(Antoines,MATCH(D1574,Antoine_Name,0),4)+(D1581-32)*5/9)))*14.7/760,IF(D1575="Crude Oil",EXP((2799/(D1581+459.6)-2.227)*LOG10(INDEX(FX_Input,Q$5,D$3*$Z$5+$AA$5))-(7261/(D1581+459.6))+12.82),IF(D1575="Refined Petroleum Stock",EXP((0.7553-(413/(D1581+459.6)))*(INDEX(FX_Input,Q$5,D$3*$Z$5+$AA$5-1)^0.5)*LOG10(INDEX(FX_Input,Q$5,D$3*$Z$5+$AA$5))-(1.854-(1042/(D1581+459.6)))*(INDEX(FX_Input,Q$5,D$3*$Z$5+$AA$5-1)^0.5)+((2416/(D1581+459.6)-2.013)*LOG10(INDEX(FX_Input,Q$5,D$3*$Z$5+$AA$5)))-(8742/(D1581+459.6))+15.64),EXP(INDEX(Antoines,MATCH(D1574,Antoine_Name,0),2)-INDEX(Antoines,MATCH(D1574,Antoine_Name,0),3)/(D1581+459.6))))),0)</f>
        <v>0</v>
      </c>
      <c r="E1590" cm="1">
        <f t="array" ref="E1590">IFERROR(IF(E1575="Chemical",(10^(INDEX(Antoines,MATCH(E1574,Antoine_Name,0),2)-INDEX(Antoines,MATCH(E1574,Antoine_Name,0),3)/(INDEX(Antoines,MATCH(E1574,Antoine_Name,0),4)+(E1581-32)*5/9)))*14.7/760,IF(E1575="Crude Oil",EXP((2799/(E1581+459.6)-2.227)*LOG10(INDEX(FX_Input,R$5,E$3*$Z$5+$AA$5))-(7261/(E1581+459.6))+12.82),IF(E1575="Refined Petroleum Stock",EXP((0.7553-(413/(E1581+459.6)))*(INDEX(FX_Input,R$5,E$3*$Z$5+$AA$5-1)^0.5)*LOG10(INDEX(FX_Input,R$5,E$3*$Z$5+$AA$5))-(1.854-(1042/(E1581+459.6)))*(INDEX(FX_Input,R$5,E$3*$Z$5+$AA$5-1)^0.5)+((2416/(E1581+459.6)-2.013)*LOG10(INDEX(FX_Input,R$5,E$3*$Z$5+$AA$5)))-(8742/(E1581+459.6))+15.64),EXP(INDEX(Antoines,MATCH(E1574,Antoine_Name,0),2)-INDEX(Antoines,MATCH(E1574,Antoine_Name,0),3)/(E1581+459.6))))),0)</f>
        <v>0</v>
      </c>
      <c r="F1590" cm="1">
        <f t="array" ref="F1590">IFERROR(IF(F1575="Chemical",(10^(INDEX(Antoines,MATCH(F1574,Antoine_Name,0),2)-INDEX(Antoines,MATCH(F1574,Antoine_Name,0),3)/(INDEX(Antoines,MATCH(F1574,Antoine_Name,0),4)+(F1581-32)*5/9)))*14.7/760,IF(F1575="Crude Oil",EXP((2799/(F1581+459.6)-2.227)*LOG10(INDEX(FX_Input,S$5,F$3*$Z$5+$AA$5))-(7261/(F1581+459.6))+12.82),IF(F1575="Refined Petroleum Stock",EXP((0.7553-(413/(F1581+459.6)))*(INDEX(FX_Input,S$5,F$3*$Z$5+$AA$5-1)^0.5)*LOG10(INDEX(FX_Input,S$5,F$3*$Z$5+$AA$5))-(1.854-(1042/(F1581+459.6)))*(INDEX(FX_Input,S$5,F$3*$Z$5+$AA$5-1)^0.5)+((2416/(F1581+459.6)-2.013)*LOG10(INDEX(FX_Input,S$5,F$3*$Z$5+$AA$5)))-(8742/(F1581+459.6))+15.64),EXP(INDEX(Antoines,MATCH(F1574,Antoine_Name,0),2)-INDEX(Antoines,MATCH(F1574,Antoine_Name,0),3)/(F1581+459.6))))),0)</f>
        <v>0</v>
      </c>
      <c r="G1590" cm="1">
        <f t="array" ref="G1590">IFERROR(IF(G1575="Chemical",(10^(INDEX(Antoines,MATCH(G1574,Antoine_Name,0),2)-INDEX(Antoines,MATCH(G1574,Antoine_Name,0),3)/(INDEX(Antoines,MATCH(G1574,Antoine_Name,0),4)+(G1581-32)*5/9)))*14.7/760,IF(G1575="Crude Oil",EXP((2799/(G1581+459.6)-2.227)*LOG10(INDEX(FX_Input,T$5,G$3*$Z$5+$AA$5))-(7261/(G1581+459.6))+12.82),IF(G1575="Refined Petroleum Stock",EXP((0.7553-(413/(G1581+459.6)))*(INDEX(FX_Input,T$5,G$3*$Z$5+$AA$5-1)^0.5)*LOG10(INDEX(FX_Input,T$5,G$3*$Z$5+$AA$5))-(1.854-(1042/(G1581+459.6)))*(INDEX(FX_Input,T$5,G$3*$Z$5+$AA$5-1)^0.5)+((2416/(G1581+459.6)-2.013)*LOG10(INDEX(FX_Input,T$5,G$3*$Z$5+$AA$5)))-(8742/(G1581+459.6))+15.64),EXP(INDEX(Antoines,MATCH(G1574,Antoine_Name,0),2)-INDEX(Antoines,MATCH(G1574,Antoine_Name,0),3)/(G1581+459.6))))),0)</f>
        <v>0</v>
      </c>
      <c r="H1590" cm="1">
        <f t="array" ref="H1590">IFERROR(IF(H1575="Chemical",(10^(INDEX(Antoines,MATCH(H1574,Antoine_Name,0),2)-INDEX(Antoines,MATCH(H1574,Antoine_Name,0),3)/(INDEX(Antoines,MATCH(H1574,Antoine_Name,0),4)+(H1581-32)*5/9)))*14.7/760,IF(H1575="Crude Oil",EXP((2799/(H1581+459.6)-2.227)*LOG10(INDEX(FX_Input,U$5,H$3*$Z$5+$AA$5))-(7261/(H1581+459.6))+12.82),IF(H1575="Refined Petroleum Stock",EXP((0.7553-(413/(H1581+459.6)))*(INDEX(FX_Input,U$5,H$3*$Z$5+$AA$5-1)^0.5)*LOG10(INDEX(FX_Input,U$5,H$3*$Z$5+$AA$5))-(1.854-(1042/(H1581+459.6)))*(INDEX(FX_Input,U$5,H$3*$Z$5+$AA$5-1)^0.5)+((2416/(H1581+459.6)-2.013)*LOG10(INDEX(FX_Input,U$5,H$3*$Z$5+$AA$5)))-(8742/(H1581+459.6))+15.64),EXP(INDEX(Antoines,MATCH(H1574,Antoine_Name,0),2)-INDEX(Antoines,MATCH(H1574,Antoine_Name,0),3)/(H1581+459.6))))),0)</f>
        <v>0</v>
      </c>
      <c r="I1590" cm="1">
        <f t="array" ref="I1590">IFERROR(IF(I1575="Chemical",(10^(INDEX(Antoines,MATCH(I1574,Antoine_Name,0),2)-INDEX(Antoines,MATCH(I1574,Antoine_Name,0),3)/(INDEX(Antoines,MATCH(I1574,Antoine_Name,0),4)+(I1581-32)*5/9)))*14.7/760,IF(I1575="Crude Oil",EXP((2799/(I1581+459.6)-2.227)*LOG10(INDEX(FX_Input,V$5,I$3*$Z$5+$AA$5))-(7261/(I1581+459.6))+12.82),IF(I1575="Refined Petroleum Stock",EXP((0.7553-(413/(I1581+459.6)))*(INDEX(FX_Input,V$5,I$3*$Z$5+$AA$5-1)^0.5)*LOG10(INDEX(FX_Input,V$5,I$3*$Z$5+$AA$5))-(1.854-(1042/(I1581+459.6)))*(INDEX(FX_Input,V$5,I$3*$Z$5+$AA$5-1)^0.5)+((2416/(I1581+459.6)-2.013)*LOG10(INDEX(FX_Input,V$5,I$3*$Z$5+$AA$5)))-(8742/(I1581+459.6))+15.64),EXP(INDEX(Antoines,MATCH(I1574,Antoine_Name,0),2)-INDEX(Antoines,MATCH(I1574,Antoine_Name,0),3)/(I1581+459.6))))),0)</f>
        <v>0</v>
      </c>
      <c r="J1590" cm="1">
        <f t="array" ref="J1590">IFERROR(IF(J1575="Chemical",(10^(INDEX(Antoines,MATCH(J1574,Antoine_Name,0),2)-INDEX(Antoines,MATCH(J1574,Antoine_Name,0),3)/(INDEX(Antoines,MATCH(J1574,Antoine_Name,0),4)+(J1581-32)*5/9)))*14.7/760,IF(J1575="Crude Oil",EXP((2799/(J1581+459.6)-2.227)*LOG10(INDEX(FX_Input,W$5,J$3*$Z$5+$AA$5))-(7261/(J1581+459.6))+12.82),IF(J1575="Refined Petroleum Stock",EXP((0.7553-(413/(J1581+459.6)))*(INDEX(FX_Input,W$5,J$3*$Z$5+$AA$5-1)^0.5)*LOG10(INDEX(FX_Input,W$5,J$3*$Z$5+$AA$5))-(1.854-(1042/(J1581+459.6)))*(INDEX(FX_Input,W$5,J$3*$Z$5+$AA$5-1)^0.5)+((2416/(J1581+459.6)-2.013)*LOG10(INDEX(FX_Input,W$5,J$3*$Z$5+$AA$5)))-(8742/(J1581+459.6))+15.64),EXP(INDEX(Antoines,MATCH(J1574,Antoine_Name,0),2)-INDEX(Antoines,MATCH(J1574,Antoine_Name,0),3)/(J1581+459.6))))),0)</f>
        <v>0</v>
      </c>
      <c r="K1590" cm="1">
        <f t="array" ref="K1590">IFERROR(IF(K1575="Chemical",(10^(INDEX(Antoines,MATCH(K1574,Antoine_Name,0),2)-INDEX(Antoines,MATCH(K1574,Antoine_Name,0),3)/(INDEX(Antoines,MATCH(K1574,Antoine_Name,0),4)+(K1581-32)*5/9)))*14.7/760,IF(K1575="Crude Oil",EXP((2799/(K1581+459.6)-2.227)*LOG10(INDEX(FX_Input,X$5,K$3*$Z$5+$AA$5))-(7261/(K1581+459.6))+12.82),IF(K1575="Refined Petroleum Stock",EXP((0.7553-(413/(K1581+459.6)))*(INDEX(FX_Input,X$5,K$3*$Z$5+$AA$5-1)^0.5)*LOG10(INDEX(FX_Input,X$5,K$3*$Z$5+$AA$5))-(1.854-(1042/(K1581+459.6)))*(INDEX(FX_Input,X$5,K$3*$Z$5+$AA$5-1)^0.5)+((2416/(K1581+459.6)-2.013)*LOG10(INDEX(FX_Input,X$5,K$3*$Z$5+$AA$5)))-(8742/(K1581+459.6))+15.64),EXP(INDEX(Antoines,MATCH(K1574,Antoine_Name,0),2)-INDEX(Antoines,MATCH(K1574,Antoine_Name,0),3)/(K1581+459.6))))),0)</f>
        <v>0</v>
      </c>
      <c r="L1590" cm="1">
        <f t="array" ref="L1590">IFERROR(IF(L1575="Chemical",(10^(INDEX(Antoines,MATCH(L1574,Antoine_Name,0),2)-INDEX(Antoines,MATCH(L1574,Antoine_Name,0),3)/(INDEX(Antoines,MATCH(L1574,Antoine_Name,0),4)+(L1581-32)*5/9)))*14.7/760,IF(L1575="Crude Oil",EXP((2799/(L1581+459.6)-2.227)*LOG10(INDEX(FX_Input,Y$5,L$3*$Z$5+$AA$5))-(7261/(L1581+459.6))+12.82),IF(L1575="Refined Petroleum Stock",EXP((0.7553-(413/(L1581+459.6)))*(INDEX(FX_Input,Y$5,L$3*$Z$5+$AA$5-1)^0.5)*LOG10(INDEX(FX_Input,Y$5,L$3*$Z$5+$AA$5))-(1.854-(1042/(L1581+459.6)))*(INDEX(FX_Input,Y$5,L$3*$Z$5+$AA$5-1)^0.5)+((2416/(L1581+459.6)-2.013)*LOG10(INDEX(FX_Input,Y$5,L$3*$Z$5+$AA$5)))-(8742/(L1581+459.6))+15.64),EXP(INDEX(Antoines,MATCH(L1574,Antoine_Name,0),2)-INDEX(Antoines,MATCH(L1574,Antoine_Name,0),3)/(L1581+459.6))))),0)</f>
        <v>0</v>
      </c>
      <c r="M1590" cm="1">
        <f t="array" ref="M1590">IFERROR(IF(M1575="Chemical",(10^(INDEX(Antoines,MATCH(M1574,Antoine_Name,0),2)-INDEX(Antoines,MATCH(M1574,Antoine_Name,0),3)/(INDEX(Antoines,MATCH(M1574,Antoine_Name,0),4)+(M1581-32)*5/9)))*14.7/760,IF(M1575="Crude Oil",EXP((2799/(M1581+459.6)-2.227)*LOG10(INDEX(FX_Input,Z$5,M$3*$Z$5+$AA$5))-(7261/(M1581+459.6))+12.82),IF(M1575="Refined Petroleum Stock",EXP((0.7553-(413/(M1581+459.6)))*(INDEX(FX_Input,Z$5,M$3*$Z$5+$AA$5-1)^0.5)*LOG10(INDEX(FX_Input,Z$5,M$3*$Z$5+$AA$5))-(1.854-(1042/(M1581+459.6)))*(INDEX(FX_Input,Z$5,M$3*$Z$5+$AA$5-1)^0.5)+((2416/(M1581+459.6)-2.013)*LOG10(INDEX(FX_Input,Z$5,M$3*$Z$5+$AA$5)))-(8742/(M1581+459.6))+15.64),EXP(INDEX(Antoines,MATCH(M1574,Antoine_Name,0),2)-INDEX(Antoines,MATCH(M1574,Antoine_Name,0),3)/(M1581+459.6))))),0)</f>
        <v>0</v>
      </c>
      <c r="N1590" cm="1">
        <f t="array" ref="N1590">IFERROR(IF(N1575="Chemical",(10^(INDEX(Antoines,MATCH(N1574,Antoine_Name,0),2)-INDEX(Antoines,MATCH(N1574,Antoine_Name,0),3)/(INDEX(Antoines,MATCH(N1574,Antoine_Name,0),4)+(N1581-32)*5/9)))*14.7/760,IF(N1575="Crude Oil",EXP((2799/(N1581+459.6)-2.227)*LOG10(INDEX(FX_Input,AA$5,N$3*$Z$5+$AA$5))-(7261/(N1581+459.6))+12.82),IF(N1575="Refined Petroleum Stock",EXP((0.7553-(413/(N1581+459.6)))*(INDEX(FX_Input,AA$5,N$3*$Z$5+$AA$5-1)^0.5)*LOG10(INDEX(FX_Input,AA$5,N$3*$Z$5+$AA$5))-(1.854-(1042/(N1581+459.6)))*(INDEX(FX_Input,AA$5,N$3*$Z$5+$AA$5-1)^0.5)+((2416/(N1581+459.6)-2.013)*LOG10(INDEX(FX_Input,AA$5,N$3*$Z$5+$AA$5)))-(8742/(N1581+459.6))+15.64),EXP(INDEX(Antoines,MATCH(N1574,Antoine_Name,0),2)-INDEX(Antoines,MATCH(N1574,Antoine_Name,0),3)/(N1581+459.6))))),0)</f>
        <v>0</v>
      </c>
      <c r="O1590" cm="1">
        <f t="array" ref="O1590">IFERROR(IF(O1575="Chemical",(10^(INDEX(Antoines,MATCH(O1574,Antoine_Name,0),2)-INDEX(Antoines,MATCH(O1574,Antoine_Name,0),3)/(INDEX(Antoines,MATCH(O1574,Antoine_Name,0),4)+(O1581-32)*5/9)))*14.7/760,IF(O1575="Crude Oil",EXP((2799/(O1581+459.6)-2.227)*LOG10(INDEX(FX_Input,AB$5,O$3*$Z$5+$AA$5))-(7261/(O1581+459.6))+12.82),IF(O1575="Refined Petroleum Stock",EXP((0.7553-(413/(O1581+459.6)))*(INDEX(FX_Input,AB$5,O$3*$Z$5+$AA$5-1)^0.5)*LOG10(INDEX(FX_Input,AB$5,O$3*$Z$5+$AA$5))-(1.854-(1042/(O1581+459.6)))*(INDEX(FX_Input,AB$5,O$3*$Z$5+$AA$5-1)^0.5)+((2416/(O1581+459.6)-2.013)*LOG10(INDEX(FX_Input,AB$5,O$3*$Z$5+$AA$5)))-(8742/(O1581+459.6))+15.64),EXP(INDEX(Antoines,MATCH(O1574,Antoine_Name,0),2)-INDEX(Antoines,MATCH(O1574,Antoine_Name,0),3)/(O1581+459.6))))),0)</f>
        <v>0</v>
      </c>
    </row>
    <row r="1591" spans="2:15" ht="17.149999999999999" x14ac:dyDescent="0.55000000000000004">
      <c r="B1591" t="str">
        <f t="shared" si="5780"/>
        <v>Portland</v>
      </c>
      <c r="C1591" t="s">
        <v>582</v>
      </c>
      <c r="D1591">
        <f>D1590*D1578</f>
        <v>0</v>
      </c>
      <c r="E1591">
        <f t="shared" ref="E1591" si="5825">E1590*E1578</f>
        <v>0</v>
      </c>
      <c r="F1591">
        <f t="shared" ref="F1591" si="5826">F1590*F1578</f>
        <v>0</v>
      </c>
      <c r="G1591">
        <f t="shared" ref="G1591" si="5827">G1590*G1578</f>
        <v>0</v>
      </c>
      <c r="H1591">
        <f t="shared" ref="H1591" si="5828">H1590*H1578</f>
        <v>0</v>
      </c>
      <c r="I1591">
        <f t="shared" ref="I1591" si="5829">I1590*I1578</f>
        <v>0</v>
      </c>
      <c r="J1591">
        <f t="shared" ref="J1591" si="5830">J1590*J1578</f>
        <v>0</v>
      </c>
      <c r="K1591">
        <f t="shared" ref="K1591" si="5831">K1590*K1578</f>
        <v>0</v>
      </c>
      <c r="L1591">
        <f t="shared" ref="L1591" si="5832">L1590*L1578</f>
        <v>0</v>
      </c>
      <c r="M1591">
        <f t="shared" ref="M1591" si="5833">M1590*M1578</f>
        <v>0</v>
      </c>
      <c r="N1591">
        <f t="shared" ref="N1591" si="5834">N1590*N1578</f>
        <v>0</v>
      </c>
      <c r="O1591">
        <f t="shared" ref="O1591" si="5835">O1590*O1578</f>
        <v>0</v>
      </c>
    </row>
    <row r="1592" spans="2:15" ht="17.149999999999999" x14ac:dyDescent="0.55000000000000004">
      <c r="B1592" t="str">
        <f t="shared" si="5780"/>
        <v>Portland</v>
      </c>
      <c r="C1592" t="s">
        <v>583</v>
      </c>
      <c r="D1592">
        <f>D1589+D1591</f>
        <v>1</v>
      </c>
      <c r="E1592">
        <f t="shared" ref="E1592" si="5836">E1589+E1591</f>
        <v>1</v>
      </c>
      <c r="F1592">
        <f t="shared" ref="F1592" si="5837">F1589+F1591</f>
        <v>1</v>
      </c>
      <c r="G1592">
        <f t="shared" ref="G1592" si="5838">G1589+G1591</f>
        <v>1</v>
      </c>
      <c r="H1592">
        <f t="shared" ref="H1592" si="5839">H1589+H1591</f>
        <v>1</v>
      </c>
      <c r="I1592">
        <f t="shared" ref="I1592" si="5840">I1589+I1591</f>
        <v>1</v>
      </c>
      <c r="J1592">
        <f t="shared" ref="J1592" si="5841">J1589+J1591</f>
        <v>1</v>
      </c>
      <c r="K1592">
        <f t="shared" ref="K1592" si="5842">K1589+K1591</f>
        <v>1</v>
      </c>
      <c r="L1592">
        <f t="shared" ref="L1592" si="5843">L1589+L1591</f>
        <v>1</v>
      </c>
      <c r="M1592">
        <f t="shared" ref="M1592" si="5844">M1589+M1591</f>
        <v>1</v>
      </c>
      <c r="N1592">
        <f t="shared" ref="N1592" si="5845">N1589+N1591</f>
        <v>1</v>
      </c>
      <c r="O1592">
        <f t="shared" ref="O1592" si="5846">O1589+O1591</f>
        <v>1</v>
      </c>
    </row>
    <row r="1593" spans="2:15" ht="17.149999999999999" x14ac:dyDescent="0.55000000000000004">
      <c r="B1593" t="str">
        <f t="shared" si="5780"/>
        <v>Portland</v>
      </c>
      <c r="C1593" t="s">
        <v>1388</v>
      </c>
      <c r="D1593" cm="1">
        <f t="array" ref="D1593">IFERROR(IF(D1573="Chemical",(10^(INDEX(Antoines,MATCH(D1572,Antoine_Name,0),2)-INDEX(Antoines,MATCH(D1572,Antoine_Name,0),3)/(INDEX(Antoines,MATCH(D1572,Antoine_Name,0),4)+(D1582-32)*5/9)))*14.7/760,IF(D1573="Crude Oil",EXP((2799/(D1582+459.6)-2.227)*LOG10(INDEX(FX_Input,Q$5,D$3*$Z$5+$AA$5))-(7261/(D1582+459.6))+12.82),IF(D1573="Refined Petroleum Stock",EXP((0.7553-(413/(D1582+459.6)))*(INDEX(FX_Input,Q$5,D$3*$Z$5+$AA$5-1)^0.5)*LOG10(INDEX(FX_Input,Q$5,D$3*$Z$5+$AA$5))-(1.854-(1042/(D1582+459.6)))*(INDEX(FX_Input,Q$5,D$3*$Z$5+$AA$5-1)^0.5)+((2416/(D1582+459.6)-2.013)*LOG10(INDEX(FX_Input,Q$5,D$3*$Z$5+$AA$5)))-(8742/(D1582+459.6))+15.64),EXP(INDEX(Antoines,MATCH(D1572,Antoine_Name,0),2)-INDEX(Antoines,MATCH(D1572,Antoine_Name,0),3)/(D1582+459.6))))),0)</f>
        <v>1</v>
      </c>
      <c r="E1593" cm="1">
        <f t="array" ref="E1593">IFERROR(IF(E1573="Chemical",(10^(INDEX(Antoines,MATCH(E1572,Antoine_Name,0),2)-INDEX(Antoines,MATCH(E1572,Antoine_Name,0),3)/(INDEX(Antoines,MATCH(E1572,Antoine_Name,0),4)+(E1582-32)*5/9)))*14.7/760,IF(E1573="Crude Oil",EXP((2799/(E1582+459.6)-2.227)*LOG10(INDEX(FX_Input,R$5,E$3*$Z$5+$AA$5))-(7261/(E1582+459.6))+12.82),IF(E1573="Refined Petroleum Stock",EXP((0.7553-(413/(E1582+459.6)))*(INDEX(FX_Input,R$5,E$3*$Z$5+$AA$5-1)^0.5)*LOG10(INDEX(FX_Input,R$5,E$3*$Z$5+$AA$5))-(1.854-(1042/(E1582+459.6)))*(INDEX(FX_Input,R$5,E$3*$Z$5+$AA$5-1)^0.5)+((2416/(E1582+459.6)-2.013)*LOG10(INDEX(FX_Input,R$5,E$3*$Z$5+$AA$5)))-(8742/(E1582+459.6))+15.64),EXP(INDEX(Antoines,MATCH(E1572,Antoine_Name,0),2)-INDEX(Antoines,MATCH(E1572,Antoine_Name,0),3)/(E1582+459.6))))),0)</f>
        <v>1</v>
      </c>
      <c r="F1593" cm="1">
        <f t="array" ref="F1593">IFERROR(IF(F1573="Chemical",(10^(INDEX(Antoines,MATCH(F1572,Antoine_Name,0),2)-INDEX(Antoines,MATCH(F1572,Antoine_Name,0),3)/(INDEX(Antoines,MATCH(F1572,Antoine_Name,0),4)+(F1582-32)*5/9)))*14.7/760,IF(F1573="Crude Oil",EXP((2799/(F1582+459.6)-2.227)*LOG10(INDEX(FX_Input,S$5,F$3*$Z$5+$AA$5))-(7261/(F1582+459.6))+12.82),IF(F1573="Refined Petroleum Stock",EXP((0.7553-(413/(F1582+459.6)))*(INDEX(FX_Input,S$5,F$3*$Z$5+$AA$5-1)^0.5)*LOG10(INDEX(FX_Input,S$5,F$3*$Z$5+$AA$5))-(1.854-(1042/(F1582+459.6)))*(INDEX(FX_Input,S$5,F$3*$Z$5+$AA$5-1)^0.5)+((2416/(F1582+459.6)-2.013)*LOG10(INDEX(FX_Input,S$5,F$3*$Z$5+$AA$5)))-(8742/(F1582+459.6))+15.64),EXP(INDEX(Antoines,MATCH(F1572,Antoine_Name,0),2)-INDEX(Antoines,MATCH(F1572,Antoine_Name,0),3)/(F1582+459.6))))),0)</f>
        <v>1</v>
      </c>
      <c r="G1593" cm="1">
        <f t="array" ref="G1593">IFERROR(IF(G1573="Chemical",(10^(INDEX(Antoines,MATCH(G1572,Antoine_Name,0),2)-INDEX(Antoines,MATCH(G1572,Antoine_Name,0),3)/(INDEX(Antoines,MATCH(G1572,Antoine_Name,0),4)+(G1582-32)*5/9)))*14.7/760,IF(G1573="Crude Oil",EXP((2799/(G1582+459.6)-2.227)*LOG10(INDEX(FX_Input,T$5,G$3*$Z$5+$AA$5))-(7261/(G1582+459.6))+12.82),IF(G1573="Refined Petroleum Stock",EXP((0.7553-(413/(G1582+459.6)))*(INDEX(FX_Input,T$5,G$3*$Z$5+$AA$5-1)^0.5)*LOG10(INDEX(FX_Input,T$5,G$3*$Z$5+$AA$5))-(1.854-(1042/(G1582+459.6)))*(INDEX(FX_Input,T$5,G$3*$Z$5+$AA$5-1)^0.5)+((2416/(G1582+459.6)-2.013)*LOG10(INDEX(FX_Input,T$5,G$3*$Z$5+$AA$5)))-(8742/(G1582+459.6))+15.64),EXP(INDEX(Antoines,MATCH(G1572,Antoine_Name,0),2)-INDEX(Antoines,MATCH(G1572,Antoine_Name,0),3)/(G1582+459.6))))),0)</f>
        <v>1</v>
      </c>
      <c r="H1593" cm="1">
        <f t="array" ref="H1593">IFERROR(IF(H1573="Chemical",(10^(INDEX(Antoines,MATCH(H1572,Antoine_Name,0),2)-INDEX(Antoines,MATCH(H1572,Antoine_Name,0),3)/(INDEX(Antoines,MATCH(H1572,Antoine_Name,0),4)+(H1582-32)*5/9)))*14.7/760,IF(H1573="Crude Oil",EXP((2799/(H1582+459.6)-2.227)*LOG10(INDEX(FX_Input,U$5,H$3*$Z$5+$AA$5))-(7261/(H1582+459.6))+12.82),IF(H1573="Refined Petroleum Stock",EXP((0.7553-(413/(H1582+459.6)))*(INDEX(FX_Input,U$5,H$3*$Z$5+$AA$5-1)^0.5)*LOG10(INDEX(FX_Input,U$5,H$3*$Z$5+$AA$5))-(1.854-(1042/(H1582+459.6)))*(INDEX(FX_Input,U$5,H$3*$Z$5+$AA$5-1)^0.5)+((2416/(H1582+459.6)-2.013)*LOG10(INDEX(FX_Input,U$5,H$3*$Z$5+$AA$5)))-(8742/(H1582+459.6))+15.64),EXP(INDEX(Antoines,MATCH(H1572,Antoine_Name,0),2)-INDEX(Antoines,MATCH(H1572,Antoine_Name,0),3)/(H1582+459.6))))),0)</f>
        <v>1</v>
      </c>
      <c r="I1593" cm="1">
        <f t="array" ref="I1593">IFERROR(IF(I1573="Chemical",(10^(INDEX(Antoines,MATCH(I1572,Antoine_Name,0),2)-INDEX(Antoines,MATCH(I1572,Antoine_Name,0),3)/(INDEX(Antoines,MATCH(I1572,Antoine_Name,0),4)+(I1582-32)*5/9)))*14.7/760,IF(I1573="Crude Oil",EXP((2799/(I1582+459.6)-2.227)*LOG10(INDEX(FX_Input,V$5,I$3*$Z$5+$AA$5))-(7261/(I1582+459.6))+12.82),IF(I1573="Refined Petroleum Stock",EXP((0.7553-(413/(I1582+459.6)))*(INDEX(FX_Input,V$5,I$3*$Z$5+$AA$5-1)^0.5)*LOG10(INDEX(FX_Input,V$5,I$3*$Z$5+$AA$5))-(1.854-(1042/(I1582+459.6)))*(INDEX(FX_Input,V$5,I$3*$Z$5+$AA$5-1)^0.5)+((2416/(I1582+459.6)-2.013)*LOG10(INDEX(FX_Input,V$5,I$3*$Z$5+$AA$5)))-(8742/(I1582+459.6))+15.64),EXP(INDEX(Antoines,MATCH(I1572,Antoine_Name,0),2)-INDEX(Antoines,MATCH(I1572,Antoine_Name,0),3)/(I1582+459.6))))),0)</f>
        <v>1</v>
      </c>
      <c r="J1593" cm="1">
        <f t="array" ref="J1593">IFERROR(IF(J1573="Chemical",(10^(INDEX(Antoines,MATCH(J1572,Antoine_Name,0),2)-INDEX(Antoines,MATCH(J1572,Antoine_Name,0),3)/(INDEX(Antoines,MATCH(J1572,Antoine_Name,0),4)+(J1582-32)*5/9)))*14.7/760,IF(J1573="Crude Oil",EXP((2799/(J1582+459.6)-2.227)*LOG10(INDEX(FX_Input,W$5,J$3*$Z$5+$AA$5))-(7261/(J1582+459.6))+12.82),IF(J1573="Refined Petroleum Stock",EXP((0.7553-(413/(J1582+459.6)))*(INDEX(FX_Input,W$5,J$3*$Z$5+$AA$5-1)^0.5)*LOG10(INDEX(FX_Input,W$5,J$3*$Z$5+$AA$5))-(1.854-(1042/(J1582+459.6)))*(INDEX(FX_Input,W$5,J$3*$Z$5+$AA$5-1)^0.5)+((2416/(J1582+459.6)-2.013)*LOG10(INDEX(FX_Input,W$5,J$3*$Z$5+$AA$5)))-(8742/(J1582+459.6))+15.64),EXP(INDEX(Antoines,MATCH(J1572,Antoine_Name,0),2)-INDEX(Antoines,MATCH(J1572,Antoine_Name,0),3)/(J1582+459.6))))),0)</f>
        <v>1</v>
      </c>
      <c r="K1593" cm="1">
        <f t="array" ref="K1593">IFERROR(IF(K1573="Chemical",(10^(INDEX(Antoines,MATCH(K1572,Antoine_Name,0),2)-INDEX(Antoines,MATCH(K1572,Antoine_Name,0),3)/(INDEX(Antoines,MATCH(K1572,Antoine_Name,0),4)+(K1582-32)*5/9)))*14.7/760,IF(K1573="Crude Oil",EXP((2799/(K1582+459.6)-2.227)*LOG10(INDEX(FX_Input,X$5,K$3*$Z$5+$AA$5))-(7261/(K1582+459.6))+12.82),IF(K1573="Refined Petroleum Stock",EXP((0.7553-(413/(K1582+459.6)))*(INDEX(FX_Input,X$5,K$3*$Z$5+$AA$5-1)^0.5)*LOG10(INDEX(FX_Input,X$5,K$3*$Z$5+$AA$5))-(1.854-(1042/(K1582+459.6)))*(INDEX(FX_Input,X$5,K$3*$Z$5+$AA$5-1)^0.5)+((2416/(K1582+459.6)-2.013)*LOG10(INDEX(FX_Input,X$5,K$3*$Z$5+$AA$5)))-(8742/(K1582+459.6))+15.64),EXP(INDEX(Antoines,MATCH(K1572,Antoine_Name,0),2)-INDEX(Antoines,MATCH(K1572,Antoine_Name,0),3)/(K1582+459.6))))),0)</f>
        <v>1</v>
      </c>
      <c r="L1593" cm="1">
        <f t="array" ref="L1593">IFERROR(IF(L1573="Chemical",(10^(INDEX(Antoines,MATCH(L1572,Antoine_Name,0),2)-INDEX(Antoines,MATCH(L1572,Antoine_Name,0),3)/(INDEX(Antoines,MATCH(L1572,Antoine_Name,0),4)+(L1582-32)*5/9)))*14.7/760,IF(L1573="Crude Oil",EXP((2799/(L1582+459.6)-2.227)*LOG10(INDEX(FX_Input,Y$5,L$3*$Z$5+$AA$5))-(7261/(L1582+459.6))+12.82),IF(L1573="Refined Petroleum Stock",EXP((0.7553-(413/(L1582+459.6)))*(INDEX(FX_Input,Y$5,L$3*$Z$5+$AA$5-1)^0.5)*LOG10(INDEX(FX_Input,Y$5,L$3*$Z$5+$AA$5))-(1.854-(1042/(L1582+459.6)))*(INDEX(FX_Input,Y$5,L$3*$Z$5+$AA$5-1)^0.5)+((2416/(L1582+459.6)-2.013)*LOG10(INDEX(FX_Input,Y$5,L$3*$Z$5+$AA$5)))-(8742/(L1582+459.6))+15.64),EXP(INDEX(Antoines,MATCH(L1572,Antoine_Name,0),2)-INDEX(Antoines,MATCH(L1572,Antoine_Name,0),3)/(L1582+459.6))))),0)</f>
        <v>1</v>
      </c>
      <c r="M1593" cm="1">
        <f t="array" ref="M1593">IFERROR(IF(M1573="Chemical",(10^(INDEX(Antoines,MATCH(M1572,Antoine_Name,0),2)-INDEX(Antoines,MATCH(M1572,Antoine_Name,0),3)/(INDEX(Antoines,MATCH(M1572,Antoine_Name,0),4)+(M1582-32)*5/9)))*14.7/760,IF(M1573="Crude Oil",EXP((2799/(M1582+459.6)-2.227)*LOG10(INDEX(FX_Input,Z$5,M$3*$Z$5+$AA$5))-(7261/(M1582+459.6))+12.82),IF(M1573="Refined Petroleum Stock",EXP((0.7553-(413/(M1582+459.6)))*(INDEX(FX_Input,Z$5,M$3*$Z$5+$AA$5-1)^0.5)*LOG10(INDEX(FX_Input,Z$5,M$3*$Z$5+$AA$5))-(1.854-(1042/(M1582+459.6)))*(INDEX(FX_Input,Z$5,M$3*$Z$5+$AA$5-1)^0.5)+((2416/(M1582+459.6)-2.013)*LOG10(INDEX(FX_Input,Z$5,M$3*$Z$5+$AA$5)))-(8742/(M1582+459.6))+15.64),EXP(INDEX(Antoines,MATCH(M1572,Antoine_Name,0),2)-INDEX(Antoines,MATCH(M1572,Antoine_Name,0),3)/(M1582+459.6))))),0)</f>
        <v>1</v>
      </c>
      <c r="N1593" cm="1">
        <f t="array" ref="N1593">IFERROR(IF(N1573="Chemical",(10^(INDEX(Antoines,MATCH(N1572,Antoine_Name,0),2)-INDEX(Antoines,MATCH(N1572,Antoine_Name,0),3)/(INDEX(Antoines,MATCH(N1572,Antoine_Name,0),4)+(N1582-32)*5/9)))*14.7/760,IF(N1573="Crude Oil",EXP((2799/(N1582+459.6)-2.227)*LOG10(INDEX(FX_Input,AA$5,N$3*$Z$5+$AA$5))-(7261/(N1582+459.6))+12.82),IF(N1573="Refined Petroleum Stock",EXP((0.7553-(413/(N1582+459.6)))*(INDEX(FX_Input,AA$5,N$3*$Z$5+$AA$5-1)^0.5)*LOG10(INDEX(FX_Input,AA$5,N$3*$Z$5+$AA$5))-(1.854-(1042/(N1582+459.6)))*(INDEX(FX_Input,AA$5,N$3*$Z$5+$AA$5-1)^0.5)+((2416/(N1582+459.6)-2.013)*LOG10(INDEX(FX_Input,AA$5,N$3*$Z$5+$AA$5)))-(8742/(N1582+459.6))+15.64),EXP(INDEX(Antoines,MATCH(N1572,Antoine_Name,0),2)-INDEX(Antoines,MATCH(N1572,Antoine_Name,0),3)/(N1582+459.6))))),0)</f>
        <v>1</v>
      </c>
      <c r="O1593" cm="1">
        <f t="array" ref="O1593">IFERROR(IF(O1573="Chemical",(10^(INDEX(Antoines,MATCH(O1572,Antoine_Name,0),2)-INDEX(Antoines,MATCH(O1572,Antoine_Name,0),3)/(INDEX(Antoines,MATCH(O1572,Antoine_Name,0),4)+(O1582-32)*5/9)))*14.7/760,IF(O1573="Crude Oil",EXP((2799/(O1582+459.6)-2.227)*LOG10(INDEX(FX_Input,AB$5,O$3*$Z$5+$AA$5))-(7261/(O1582+459.6))+12.82),IF(O1573="Refined Petroleum Stock",EXP((0.7553-(413/(O1582+459.6)))*(INDEX(FX_Input,AB$5,O$3*$Z$5+$AA$5-1)^0.5)*LOG10(INDEX(FX_Input,AB$5,O$3*$Z$5+$AA$5))-(1.854-(1042/(O1582+459.6)))*(INDEX(FX_Input,AB$5,O$3*$Z$5+$AA$5-1)^0.5)+((2416/(O1582+459.6)-2.013)*LOG10(INDEX(FX_Input,AB$5,O$3*$Z$5+$AA$5)))-(8742/(O1582+459.6))+15.64),EXP(INDEX(Antoines,MATCH(O1572,Antoine_Name,0),2)-INDEX(Antoines,MATCH(O1572,Antoine_Name,0),3)/(O1582+459.6))))),0)</f>
        <v>1</v>
      </c>
    </row>
    <row r="1594" spans="2:15" ht="17.149999999999999" x14ac:dyDescent="0.55000000000000004">
      <c r="B1594" t="str">
        <f t="shared" si="5780"/>
        <v>Portland</v>
      </c>
      <c r="C1594" t="s">
        <v>1389</v>
      </c>
      <c r="D1594">
        <f>D1593*D1576</f>
        <v>1</v>
      </c>
      <c r="E1594">
        <f t="shared" ref="E1594" si="5847">E1593*E1576</f>
        <v>1</v>
      </c>
      <c r="F1594">
        <f t="shared" ref="F1594" si="5848">F1593*F1576</f>
        <v>1</v>
      </c>
      <c r="G1594">
        <f t="shared" ref="G1594" si="5849">G1593*G1576</f>
        <v>1</v>
      </c>
      <c r="H1594">
        <f t="shared" ref="H1594" si="5850">H1593*H1576</f>
        <v>1</v>
      </c>
      <c r="I1594">
        <f t="shared" ref="I1594" si="5851">I1593*I1576</f>
        <v>1</v>
      </c>
      <c r="J1594">
        <f t="shared" ref="J1594" si="5852">J1593*J1576</f>
        <v>1</v>
      </c>
      <c r="K1594">
        <f t="shared" ref="K1594" si="5853">K1593*K1576</f>
        <v>1</v>
      </c>
      <c r="L1594">
        <f t="shared" ref="L1594" si="5854">L1593*L1576</f>
        <v>1</v>
      </c>
      <c r="M1594">
        <f t="shared" ref="M1594" si="5855">M1593*M1576</f>
        <v>1</v>
      </c>
      <c r="N1594">
        <f t="shared" ref="N1594" si="5856">N1593*N1576</f>
        <v>1</v>
      </c>
      <c r="O1594">
        <f t="shared" ref="O1594" si="5857">O1593*O1576</f>
        <v>1</v>
      </c>
    </row>
    <row r="1595" spans="2:15" ht="17.149999999999999" x14ac:dyDescent="0.55000000000000004">
      <c r="B1595" t="str">
        <f t="shared" si="5780"/>
        <v>Portland</v>
      </c>
      <c r="C1595" t="s">
        <v>1390</v>
      </c>
      <c r="D1595" cm="1">
        <f t="array" ref="D1595">IFERROR(IF(D1575="Chemical",(10^(INDEX(Antoines,MATCH(D1574,Antoine_Name,0),2)-INDEX(Antoines,MATCH(D1574,Antoine_Name,0),3)/(INDEX(Antoines,MATCH(D1574,Antoine_Name,0),4)+(D1582-32)*5/9)))*14.7/760,IF(D1575="Crude Oil",EXP((2799/(D1582+459.6)-2.227)*LOG10(INDEX(FX_Input,Q$5,D$3*$Z$5+$AA$5))-(7261/(D1582+459.6))+12.82),IF(D1575="Refined Petroleum Stock",EXP((0.7553-(413/(D1582+459.6)))*(INDEX(FX_Input,Q$5,D$3*$Z$5+$AA$5-1)^0.5)*LOG10(INDEX(FX_Input,Q$5,D$3*$Z$5+$AA$5))-(1.854-(1042/(D1582+459.6)))*(INDEX(FX_Input,Q$5,D$3*$Z$5+$AA$5-1)^0.5)+((2416/(D1582+459.6)-2.013)*LOG10(INDEX(FX_Input,Q$5,D$3*$Z$5+$AA$5)))-(8742/(D1582+459.6))+15.64),EXP(INDEX(Antoines,MATCH(D1574,Antoine_Name,0),2)-INDEX(Antoines,MATCH(D1574,Antoine_Name,0),3)/(D1582+459.6))))),0)</f>
        <v>0</v>
      </c>
      <c r="E1595" cm="1">
        <f t="array" ref="E1595">IFERROR(IF(E1575="Chemical",(10^(INDEX(Antoines,MATCH(E1574,Antoine_Name,0),2)-INDEX(Antoines,MATCH(E1574,Antoine_Name,0),3)/(INDEX(Antoines,MATCH(E1574,Antoine_Name,0),4)+(E1582-32)*5/9)))*14.7/760,IF(E1575="Crude Oil",EXP((2799/(E1582+459.6)-2.227)*LOG10(INDEX(FX_Input,R$5,E$3*$Z$5+$AA$5))-(7261/(E1582+459.6))+12.82),IF(E1575="Refined Petroleum Stock",EXP((0.7553-(413/(E1582+459.6)))*(INDEX(FX_Input,R$5,E$3*$Z$5+$AA$5-1)^0.5)*LOG10(INDEX(FX_Input,R$5,E$3*$Z$5+$AA$5))-(1.854-(1042/(E1582+459.6)))*(INDEX(FX_Input,R$5,E$3*$Z$5+$AA$5-1)^0.5)+((2416/(E1582+459.6)-2.013)*LOG10(INDEX(FX_Input,R$5,E$3*$Z$5+$AA$5)))-(8742/(E1582+459.6))+15.64),EXP(INDEX(Antoines,MATCH(E1574,Antoine_Name,0),2)-INDEX(Antoines,MATCH(E1574,Antoine_Name,0),3)/(E1582+459.6))))),0)</f>
        <v>0</v>
      </c>
      <c r="F1595" cm="1">
        <f t="array" ref="F1595">IFERROR(IF(F1575="Chemical",(10^(INDEX(Antoines,MATCH(F1574,Antoine_Name,0),2)-INDEX(Antoines,MATCH(F1574,Antoine_Name,0),3)/(INDEX(Antoines,MATCH(F1574,Antoine_Name,0),4)+(F1582-32)*5/9)))*14.7/760,IF(F1575="Crude Oil",EXP((2799/(F1582+459.6)-2.227)*LOG10(INDEX(FX_Input,S$5,F$3*$Z$5+$AA$5))-(7261/(F1582+459.6))+12.82),IF(F1575="Refined Petroleum Stock",EXP((0.7553-(413/(F1582+459.6)))*(INDEX(FX_Input,S$5,F$3*$Z$5+$AA$5-1)^0.5)*LOG10(INDEX(FX_Input,S$5,F$3*$Z$5+$AA$5))-(1.854-(1042/(F1582+459.6)))*(INDEX(FX_Input,S$5,F$3*$Z$5+$AA$5-1)^0.5)+((2416/(F1582+459.6)-2.013)*LOG10(INDEX(FX_Input,S$5,F$3*$Z$5+$AA$5)))-(8742/(F1582+459.6))+15.64),EXP(INDEX(Antoines,MATCH(F1574,Antoine_Name,0),2)-INDEX(Antoines,MATCH(F1574,Antoine_Name,0),3)/(F1582+459.6))))),0)</f>
        <v>0</v>
      </c>
      <c r="G1595" cm="1">
        <f t="array" ref="G1595">IFERROR(IF(G1575="Chemical",(10^(INDEX(Antoines,MATCH(G1574,Antoine_Name,0),2)-INDEX(Antoines,MATCH(G1574,Antoine_Name,0),3)/(INDEX(Antoines,MATCH(G1574,Antoine_Name,0),4)+(G1582-32)*5/9)))*14.7/760,IF(G1575="Crude Oil",EXP((2799/(G1582+459.6)-2.227)*LOG10(INDEX(FX_Input,T$5,G$3*$Z$5+$AA$5))-(7261/(G1582+459.6))+12.82),IF(G1575="Refined Petroleum Stock",EXP((0.7553-(413/(G1582+459.6)))*(INDEX(FX_Input,T$5,G$3*$Z$5+$AA$5-1)^0.5)*LOG10(INDEX(FX_Input,T$5,G$3*$Z$5+$AA$5))-(1.854-(1042/(G1582+459.6)))*(INDEX(FX_Input,T$5,G$3*$Z$5+$AA$5-1)^0.5)+((2416/(G1582+459.6)-2.013)*LOG10(INDEX(FX_Input,T$5,G$3*$Z$5+$AA$5)))-(8742/(G1582+459.6))+15.64),EXP(INDEX(Antoines,MATCH(G1574,Antoine_Name,0),2)-INDEX(Antoines,MATCH(G1574,Antoine_Name,0),3)/(G1582+459.6))))),0)</f>
        <v>0</v>
      </c>
      <c r="H1595" cm="1">
        <f t="array" ref="H1595">IFERROR(IF(H1575="Chemical",(10^(INDEX(Antoines,MATCH(H1574,Antoine_Name,0),2)-INDEX(Antoines,MATCH(H1574,Antoine_Name,0),3)/(INDEX(Antoines,MATCH(H1574,Antoine_Name,0),4)+(H1582-32)*5/9)))*14.7/760,IF(H1575="Crude Oil",EXP((2799/(H1582+459.6)-2.227)*LOG10(INDEX(FX_Input,U$5,H$3*$Z$5+$AA$5))-(7261/(H1582+459.6))+12.82),IF(H1575="Refined Petroleum Stock",EXP((0.7553-(413/(H1582+459.6)))*(INDEX(FX_Input,U$5,H$3*$Z$5+$AA$5-1)^0.5)*LOG10(INDEX(FX_Input,U$5,H$3*$Z$5+$AA$5))-(1.854-(1042/(H1582+459.6)))*(INDEX(FX_Input,U$5,H$3*$Z$5+$AA$5-1)^0.5)+((2416/(H1582+459.6)-2.013)*LOG10(INDEX(FX_Input,U$5,H$3*$Z$5+$AA$5)))-(8742/(H1582+459.6))+15.64),EXP(INDEX(Antoines,MATCH(H1574,Antoine_Name,0),2)-INDEX(Antoines,MATCH(H1574,Antoine_Name,0),3)/(H1582+459.6))))),0)</f>
        <v>0</v>
      </c>
      <c r="I1595" cm="1">
        <f t="array" ref="I1595">IFERROR(IF(I1575="Chemical",(10^(INDEX(Antoines,MATCH(I1574,Antoine_Name,0),2)-INDEX(Antoines,MATCH(I1574,Antoine_Name,0),3)/(INDEX(Antoines,MATCH(I1574,Antoine_Name,0),4)+(I1582-32)*5/9)))*14.7/760,IF(I1575="Crude Oil",EXP((2799/(I1582+459.6)-2.227)*LOG10(INDEX(FX_Input,V$5,I$3*$Z$5+$AA$5))-(7261/(I1582+459.6))+12.82),IF(I1575="Refined Petroleum Stock",EXP((0.7553-(413/(I1582+459.6)))*(INDEX(FX_Input,V$5,I$3*$Z$5+$AA$5-1)^0.5)*LOG10(INDEX(FX_Input,V$5,I$3*$Z$5+$AA$5))-(1.854-(1042/(I1582+459.6)))*(INDEX(FX_Input,V$5,I$3*$Z$5+$AA$5-1)^0.5)+((2416/(I1582+459.6)-2.013)*LOG10(INDEX(FX_Input,V$5,I$3*$Z$5+$AA$5)))-(8742/(I1582+459.6))+15.64),EXP(INDEX(Antoines,MATCH(I1574,Antoine_Name,0),2)-INDEX(Antoines,MATCH(I1574,Antoine_Name,0),3)/(I1582+459.6))))),0)</f>
        <v>0</v>
      </c>
      <c r="J1595" cm="1">
        <f t="array" ref="J1595">IFERROR(IF(J1575="Chemical",(10^(INDEX(Antoines,MATCH(J1574,Antoine_Name,0),2)-INDEX(Antoines,MATCH(J1574,Antoine_Name,0),3)/(INDEX(Antoines,MATCH(J1574,Antoine_Name,0),4)+(J1582-32)*5/9)))*14.7/760,IF(J1575="Crude Oil",EXP((2799/(J1582+459.6)-2.227)*LOG10(INDEX(FX_Input,W$5,J$3*$Z$5+$AA$5))-(7261/(J1582+459.6))+12.82),IF(J1575="Refined Petroleum Stock",EXP((0.7553-(413/(J1582+459.6)))*(INDEX(FX_Input,W$5,J$3*$Z$5+$AA$5-1)^0.5)*LOG10(INDEX(FX_Input,W$5,J$3*$Z$5+$AA$5))-(1.854-(1042/(J1582+459.6)))*(INDEX(FX_Input,W$5,J$3*$Z$5+$AA$5-1)^0.5)+((2416/(J1582+459.6)-2.013)*LOG10(INDEX(FX_Input,W$5,J$3*$Z$5+$AA$5)))-(8742/(J1582+459.6))+15.64),EXP(INDEX(Antoines,MATCH(J1574,Antoine_Name,0),2)-INDEX(Antoines,MATCH(J1574,Antoine_Name,0),3)/(J1582+459.6))))),0)</f>
        <v>0</v>
      </c>
      <c r="K1595" cm="1">
        <f t="array" ref="K1595">IFERROR(IF(K1575="Chemical",(10^(INDEX(Antoines,MATCH(K1574,Antoine_Name,0),2)-INDEX(Antoines,MATCH(K1574,Antoine_Name,0),3)/(INDEX(Antoines,MATCH(K1574,Antoine_Name,0),4)+(K1582-32)*5/9)))*14.7/760,IF(K1575="Crude Oil",EXP((2799/(K1582+459.6)-2.227)*LOG10(INDEX(FX_Input,X$5,K$3*$Z$5+$AA$5))-(7261/(K1582+459.6))+12.82),IF(K1575="Refined Petroleum Stock",EXP((0.7553-(413/(K1582+459.6)))*(INDEX(FX_Input,X$5,K$3*$Z$5+$AA$5-1)^0.5)*LOG10(INDEX(FX_Input,X$5,K$3*$Z$5+$AA$5))-(1.854-(1042/(K1582+459.6)))*(INDEX(FX_Input,X$5,K$3*$Z$5+$AA$5-1)^0.5)+((2416/(K1582+459.6)-2.013)*LOG10(INDEX(FX_Input,X$5,K$3*$Z$5+$AA$5)))-(8742/(K1582+459.6))+15.64),EXP(INDEX(Antoines,MATCH(K1574,Antoine_Name,0),2)-INDEX(Antoines,MATCH(K1574,Antoine_Name,0),3)/(K1582+459.6))))),0)</f>
        <v>0</v>
      </c>
      <c r="L1595" cm="1">
        <f t="array" ref="L1595">IFERROR(IF(L1575="Chemical",(10^(INDEX(Antoines,MATCH(L1574,Antoine_Name,0),2)-INDEX(Antoines,MATCH(L1574,Antoine_Name,0),3)/(INDEX(Antoines,MATCH(L1574,Antoine_Name,0),4)+(L1582-32)*5/9)))*14.7/760,IF(L1575="Crude Oil",EXP((2799/(L1582+459.6)-2.227)*LOG10(INDEX(FX_Input,Y$5,L$3*$Z$5+$AA$5))-(7261/(L1582+459.6))+12.82),IF(L1575="Refined Petroleum Stock",EXP((0.7553-(413/(L1582+459.6)))*(INDEX(FX_Input,Y$5,L$3*$Z$5+$AA$5-1)^0.5)*LOG10(INDEX(FX_Input,Y$5,L$3*$Z$5+$AA$5))-(1.854-(1042/(L1582+459.6)))*(INDEX(FX_Input,Y$5,L$3*$Z$5+$AA$5-1)^0.5)+((2416/(L1582+459.6)-2.013)*LOG10(INDEX(FX_Input,Y$5,L$3*$Z$5+$AA$5)))-(8742/(L1582+459.6))+15.64),EXP(INDEX(Antoines,MATCH(L1574,Antoine_Name,0),2)-INDEX(Antoines,MATCH(L1574,Antoine_Name,0),3)/(L1582+459.6))))),0)</f>
        <v>0</v>
      </c>
      <c r="M1595" cm="1">
        <f t="array" ref="M1595">IFERROR(IF(M1575="Chemical",(10^(INDEX(Antoines,MATCH(M1574,Antoine_Name,0),2)-INDEX(Antoines,MATCH(M1574,Antoine_Name,0),3)/(INDEX(Antoines,MATCH(M1574,Antoine_Name,0),4)+(M1582-32)*5/9)))*14.7/760,IF(M1575="Crude Oil",EXP((2799/(M1582+459.6)-2.227)*LOG10(INDEX(FX_Input,Z$5,M$3*$Z$5+$AA$5))-(7261/(M1582+459.6))+12.82),IF(M1575="Refined Petroleum Stock",EXP((0.7553-(413/(M1582+459.6)))*(INDEX(FX_Input,Z$5,M$3*$Z$5+$AA$5-1)^0.5)*LOG10(INDEX(FX_Input,Z$5,M$3*$Z$5+$AA$5))-(1.854-(1042/(M1582+459.6)))*(INDEX(FX_Input,Z$5,M$3*$Z$5+$AA$5-1)^0.5)+((2416/(M1582+459.6)-2.013)*LOG10(INDEX(FX_Input,Z$5,M$3*$Z$5+$AA$5)))-(8742/(M1582+459.6))+15.64),EXP(INDEX(Antoines,MATCH(M1574,Antoine_Name,0),2)-INDEX(Antoines,MATCH(M1574,Antoine_Name,0),3)/(M1582+459.6))))),0)</f>
        <v>0</v>
      </c>
      <c r="N1595" cm="1">
        <f t="array" ref="N1595">IFERROR(IF(N1575="Chemical",(10^(INDEX(Antoines,MATCH(N1574,Antoine_Name,0),2)-INDEX(Antoines,MATCH(N1574,Antoine_Name,0),3)/(INDEX(Antoines,MATCH(N1574,Antoine_Name,0),4)+(N1582-32)*5/9)))*14.7/760,IF(N1575="Crude Oil",EXP((2799/(N1582+459.6)-2.227)*LOG10(INDEX(FX_Input,AA$5,N$3*$Z$5+$AA$5))-(7261/(N1582+459.6))+12.82),IF(N1575="Refined Petroleum Stock",EXP((0.7553-(413/(N1582+459.6)))*(INDEX(FX_Input,AA$5,N$3*$Z$5+$AA$5-1)^0.5)*LOG10(INDEX(FX_Input,AA$5,N$3*$Z$5+$AA$5))-(1.854-(1042/(N1582+459.6)))*(INDEX(FX_Input,AA$5,N$3*$Z$5+$AA$5-1)^0.5)+((2416/(N1582+459.6)-2.013)*LOG10(INDEX(FX_Input,AA$5,N$3*$Z$5+$AA$5)))-(8742/(N1582+459.6))+15.64),EXP(INDEX(Antoines,MATCH(N1574,Antoine_Name,0),2)-INDEX(Antoines,MATCH(N1574,Antoine_Name,0),3)/(N1582+459.6))))),0)</f>
        <v>0</v>
      </c>
      <c r="O1595" cm="1">
        <f t="array" ref="O1595">IFERROR(IF(O1575="Chemical",(10^(INDEX(Antoines,MATCH(O1574,Antoine_Name,0),2)-INDEX(Antoines,MATCH(O1574,Antoine_Name,0),3)/(INDEX(Antoines,MATCH(O1574,Antoine_Name,0),4)+(O1582-32)*5/9)))*14.7/760,IF(O1575="Crude Oil",EXP((2799/(O1582+459.6)-2.227)*LOG10(INDEX(FX_Input,AB$5,O$3*$Z$5+$AA$5))-(7261/(O1582+459.6))+12.82),IF(O1575="Refined Petroleum Stock",EXP((0.7553-(413/(O1582+459.6)))*(INDEX(FX_Input,AB$5,O$3*$Z$5+$AA$5-1)^0.5)*LOG10(INDEX(FX_Input,AB$5,O$3*$Z$5+$AA$5))-(1.854-(1042/(O1582+459.6)))*(INDEX(FX_Input,AB$5,O$3*$Z$5+$AA$5-1)^0.5)+((2416/(O1582+459.6)-2.013)*LOG10(INDEX(FX_Input,AB$5,O$3*$Z$5+$AA$5)))-(8742/(O1582+459.6))+15.64),EXP(INDEX(Antoines,MATCH(O1574,Antoine_Name,0),2)-INDEX(Antoines,MATCH(O1574,Antoine_Name,0),3)/(O1582+459.6))))),0)</f>
        <v>0</v>
      </c>
    </row>
    <row r="1596" spans="2:15" ht="17.149999999999999" x14ac:dyDescent="0.55000000000000004">
      <c r="B1596" t="str">
        <f t="shared" si="5780"/>
        <v>Portland</v>
      </c>
      <c r="C1596" t="s">
        <v>1391</v>
      </c>
      <c r="D1596">
        <f>D1595*D1578</f>
        <v>0</v>
      </c>
      <c r="E1596">
        <f t="shared" ref="E1596" si="5858">E1595*E1578</f>
        <v>0</v>
      </c>
      <c r="F1596">
        <f t="shared" ref="F1596" si="5859">F1595*F1578</f>
        <v>0</v>
      </c>
      <c r="G1596">
        <f t="shared" ref="G1596" si="5860">G1595*G1578</f>
        <v>0</v>
      </c>
      <c r="H1596">
        <f t="shared" ref="H1596" si="5861">H1595*H1578</f>
        <v>0</v>
      </c>
      <c r="I1596">
        <f t="shared" ref="I1596" si="5862">I1595*I1578</f>
        <v>0</v>
      </c>
      <c r="J1596">
        <f t="shared" ref="J1596" si="5863">J1595*J1578</f>
        <v>0</v>
      </c>
      <c r="K1596">
        <f t="shared" ref="K1596" si="5864">K1595*K1578</f>
        <v>0</v>
      </c>
      <c r="L1596">
        <f t="shared" ref="L1596" si="5865">L1595*L1578</f>
        <v>0</v>
      </c>
      <c r="M1596">
        <f t="shared" ref="M1596" si="5866">M1595*M1578</f>
        <v>0</v>
      </c>
      <c r="N1596">
        <f t="shared" ref="N1596" si="5867">N1595*N1578</f>
        <v>0</v>
      </c>
      <c r="O1596">
        <f t="shared" ref="O1596" si="5868">O1595*O1578</f>
        <v>0</v>
      </c>
    </row>
    <row r="1597" spans="2:15" ht="17.149999999999999" x14ac:dyDescent="0.55000000000000004">
      <c r="B1597" t="str">
        <f t="shared" si="5780"/>
        <v>Portland</v>
      </c>
      <c r="C1597" t="s">
        <v>1392</v>
      </c>
      <c r="D1597">
        <f>D1594+D1596</f>
        <v>1</v>
      </c>
      <c r="E1597">
        <f t="shared" ref="E1597" si="5869">E1594+E1596</f>
        <v>1</v>
      </c>
      <c r="F1597">
        <f t="shared" ref="F1597" si="5870">F1594+F1596</f>
        <v>1</v>
      </c>
      <c r="G1597">
        <f t="shared" ref="G1597" si="5871">G1594+G1596</f>
        <v>1</v>
      </c>
      <c r="H1597">
        <f t="shared" ref="H1597" si="5872">H1594+H1596</f>
        <v>1</v>
      </c>
      <c r="I1597">
        <f t="shared" ref="I1597" si="5873">I1594+I1596</f>
        <v>1</v>
      </c>
      <c r="J1597">
        <f t="shared" ref="J1597" si="5874">J1594+J1596</f>
        <v>1</v>
      </c>
      <c r="K1597">
        <f t="shared" ref="K1597" si="5875">K1594+K1596</f>
        <v>1</v>
      </c>
      <c r="L1597">
        <f t="shared" ref="L1597" si="5876">L1594+L1596</f>
        <v>1</v>
      </c>
      <c r="M1597">
        <f t="shared" ref="M1597" si="5877">M1594+M1596</f>
        <v>1</v>
      </c>
      <c r="N1597">
        <f t="shared" ref="N1597" si="5878">N1594+N1596</f>
        <v>1</v>
      </c>
      <c r="O1597">
        <f t="shared" ref="O1597" si="5879">O1594+O1596</f>
        <v>1</v>
      </c>
    </row>
    <row r="1598" spans="2:15" ht="17.149999999999999" x14ac:dyDescent="0.55000000000000004">
      <c r="B1598" t="str">
        <f>B1592</f>
        <v>Portland</v>
      </c>
      <c r="C1598" t="s">
        <v>584</v>
      </c>
      <c r="D1598">
        <f>D1594/D1597</f>
        <v>1</v>
      </c>
      <c r="E1598">
        <f t="shared" ref="E1598" si="5880">E1594/E1597</f>
        <v>1</v>
      </c>
      <c r="F1598">
        <f t="shared" ref="F1598" si="5881">F1594/F1597</f>
        <v>1</v>
      </c>
      <c r="G1598">
        <f t="shared" ref="G1598" si="5882">G1594/G1597</f>
        <v>1</v>
      </c>
      <c r="H1598">
        <f t="shared" ref="H1598" si="5883">H1594/H1597</f>
        <v>1</v>
      </c>
      <c r="I1598">
        <f t="shared" ref="I1598" si="5884">I1594/I1597</f>
        <v>1</v>
      </c>
      <c r="J1598">
        <f t="shared" ref="J1598" si="5885">J1594/J1597</f>
        <v>1</v>
      </c>
      <c r="K1598">
        <f t="shared" ref="K1598" si="5886">K1594/K1597</f>
        <v>1</v>
      </c>
      <c r="L1598">
        <f t="shared" ref="L1598" si="5887">L1594/L1597</f>
        <v>1</v>
      </c>
      <c r="M1598">
        <f t="shared" ref="M1598" si="5888">M1594/M1597</f>
        <v>1</v>
      </c>
      <c r="N1598">
        <f t="shared" ref="N1598" si="5889">N1594/N1597</f>
        <v>1</v>
      </c>
      <c r="O1598">
        <f t="shared" ref="O1598" si="5890">O1594/O1597</f>
        <v>1</v>
      </c>
    </row>
    <row r="1599" spans="2:15" ht="17.149999999999999" x14ac:dyDescent="0.55000000000000004">
      <c r="B1599" t="str">
        <f>B1593</f>
        <v>Portland</v>
      </c>
      <c r="C1599" t="s">
        <v>585</v>
      </c>
      <c r="D1599" t="str">
        <f t="shared" ref="D1599:O1599" si="5891">INDEX(Phys_Prop,MATCH(D1572,Chem_List,0),3)</f>
        <v>N/A</v>
      </c>
      <c r="E1599" t="str">
        <f t="shared" si="5891"/>
        <v>N/A</v>
      </c>
      <c r="F1599" t="str">
        <f t="shared" si="5891"/>
        <v>N/A</v>
      </c>
      <c r="G1599" t="str">
        <f t="shared" si="5891"/>
        <v>N/A</v>
      </c>
      <c r="H1599" t="str">
        <f t="shared" si="5891"/>
        <v>N/A</v>
      </c>
      <c r="I1599" t="str">
        <f t="shared" si="5891"/>
        <v>N/A</v>
      </c>
      <c r="J1599" t="str">
        <f t="shared" si="5891"/>
        <v>N/A</v>
      </c>
      <c r="K1599" t="str">
        <f t="shared" si="5891"/>
        <v>N/A</v>
      </c>
      <c r="L1599" t="str">
        <f t="shared" si="5891"/>
        <v>N/A</v>
      </c>
      <c r="M1599" t="str">
        <f t="shared" si="5891"/>
        <v>N/A</v>
      </c>
      <c r="N1599" t="str">
        <f t="shared" si="5891"/>
        <v>N/A</v>
      </c>
      <c r="O1599" t="str">
        <f t="shared" si="5891"/>
        <v>N/A</v>
      </c>
    </row>
    <row r="1600" spans="2:15" ht="17.149999999999999" x14ac:dyDescent="0.55000000000000004">
      <c r="B1600" t="str">
        <f>B1599</f>
        <v>Portland</v>
      </c>
      <c r="C1600" t="s">
        <v>586</v>
      </c>
      <c r="D1600">
        <f>D1596/D1597</f>
        <v>0</v>
      </c>
      <c r="E1600">
        <f t="shared" ref="E1600:O1600" si="5892">E1596/E1597</f>
        <v>0</v>
      </c>
      <c r="F1600">
        <f t="shared" si="5892"/>
        <v>0</v>
      </c>
      <c r="G1600">
        <f t="shared" si="5892"/>
        <v>0</v>
      </c>
      <c r="H1600">
        <f t="shared" si="5892"/>
        <v>0</v>
      </c>
      <c r="I1600">
        <f t="shared" si="5892"/>
        <v>0</v>
      </c>
      <c r="J1600">
        <f t="shared" si="5892"/>
        <v>0</v>
      </c>
      <c r="K1600">
        <f t="shared" si="5892"/>
        <v>0</v>
      </c>
      <c r="L1600">
        <f t="shared" si="5892"/>
        <v>0</v>
      </c>
      <c r="M1600">
        <f t="shared" si="5892"/>
        <v>0</v>
      </c>
      <c r="N1600">
        <f t="shared" si="5892"/>
        <v>0</v>
      </c>
      <c r="O1600">
        <f t="shared" si="5892"/>
        <v>0</v>
      </c>
    </row>
    <row r="1601" spans="1:32" ht="17.149999999999999" x14ac:dyDescent="0.55000000000000004">
      <c r="B1601" t="str">
        <f t="shared" si="5780"/>
        <v>Portland</v>
      </c>
      <c r="C1601" t="s">
        <v>587</v>
      </c>
      <c r="D1601">
        <f t="shared" ref="D1601:O1601" si="5893">IFERROR(INDEX(Phys_Prop,MATCH(D1574,Chem_List,0),3),0)</f>
        <v>0</v>
      </c>
      <c r="E1601">
        <f t="shared" si="5893"/>
        <v>0</v>
      </c>
      <c r="F1601">
        <f t="shared" si="5893"/>
        <v>0</v>
      </c>
      <c r="G1601">
        <f t="shared" si="5893"/>
        <v>0</v>
      </c>
      <c r="H1601">
        <f t="shared" si="5893"/>
        <v>0</v>
      </c>
      <c r="I1601">
        <f t="shared" si="5893"/>
        <v>0</v>
      </c>
      <c r="J1601">
        <f t="shared" si="5893"/>
        <v>0</v>
      </c>
      <c r="K1601">
        <f t="shared" si="5893"/>
        <v>0</v>
      </c>
      <c r="L1601">
        <f t="shared" si="5893"/>
        <v>0</v>
      </c>
      <c r="M1601">
        <f t="shared" si="5893"/>
        <v>0</v>
      </c>
      <c r="N1601">
        <f t="shared" si="5893"/>
        <v>0</v>
      </c>
      <c r="O1601">
        <f t="shared" si="5893"/>
        <v>0</v>
      </c>
    </row>
    <row r="1602" spans="1:32" ht="17.149999999999999" x14ac:dyDescent="0.55000000000000004">
      <c r="A1602" s="11"/>
      <c r="B1602" s="11" t="str">
        <f t="shared" si="5780"/>
        <v>Portland</v>
      </c>
      <c r="C1602" s="11" t="s">
        <v>588</v>
      </c>
      <c r="D1602" s="11">
        <f>IFERROR(D1598*D1599+D1600*D1601,0)</f>
        <v>0</v>
      </c>
      <c r="E1602" s="11">
        <f t="shared" ref="E1602" si="5894">IFERROR(E1598*E1599+E1600*E1601,0)</f>
        <v>0</v>
      </c>
      <c r="F1602" s="11">
        <f t="shared" ref="F1602" si="5895">IFERROR(F1598*F1599+F1600*F1601,0)</f>
        <v>0</v>
      </c>
      <c r="G1602" s="11">
        <f t="shared" ref="G1602" si="5896">IFERROR(G1598*G1599+G1600*G1601,0)</f>
        <v>0</v>
      </c>
      <c r="H1602" s="11">
        <f t="shared" ref="H1602" si="5897">IFERROR(H1598*H1599+H1600*H1601,0)</f>
        <v>0</v>
      </c>
      <c r="I1602" s="11">
        <f t="shared" ref="I1602" si="5898">IFERROR(I1598*I1599+I1600*I1601,0)</f>
        <v>0</v>
      </c>
      <c r="J1602" s="11">
        <f t="shared" ref="J1602" si="5899">IFERROR(J1598*J1599+J1600*J1601,0)</f>
        <v>0</v>
      </c>
      <c r="K1602" s="11">
        <f t="shared" ref="K1602" si="5900">IFERROR(K1598*K1599+K1600*K1601,0)</f>
        <v>0</v>
      </c>
      <c r="L1602" s="11">
        <f t="shared" ref="L1602" si="5901">IFERROR(L1598*L1599+L1600*L1601,0)</f>
        <v>0</v>
      </c>
      <c r="M1602" s="11">
        <f t="shared" ref="M1602" si="5902">IFERROR(M1598*M1599+M1600*M1601,0)</f>
        <v>0</v>
      </c>
      <c r="N1602" s="11">
        <f t="shared" ref="N1602" si="5903">IFERROR(N1598*N1599+N1600*N1601,0)</f>
        <v>0</v>
      </c>
      <c r="O1602" s="11">
        <f t="shared" ref="O1602" si="5904">IFERROR(O1598*O1599+O1600*O1601,0)</f>
        <v>0</v>
      </c>
      <c r="P1602" s="11"/>
      <c r="Q1602" s="11"/>
      <c r="R1602" s="11"/>
      <c r="S1602" s="11"/>
      <c r="T1602" s="11"/>
      <c r="U1602" s="11"/>
      <c r="V1602" s="11"/>
      <c r="W1602" s="11"/>
      <c r="X1602" s="11"/>
      <c r="Y1602" s="11"/>
      <c r="Z1602" s="11"/>
      <c r="AA1602" s="11"/>
      <c r="AB1602" s="11"/>
      <c r="AC1602" s="11"/>
      <c r="AD1602" s="11"/>
      <c r="AE1602" s="11"/>
      <c r="AF1602" s="11"/>
    </row>
    <row r="1603" spans="1:32" ht="17.149999999999999" x14ac:dyDescent="0.55000000000000004">
      <c r="A1603" t="str" cm="1">
        <f t="array" ref="A1603">INDEX(FX_Input,$Q1603,R$5)</f>
        <v>FX - 48</v>
      </c>
      <c r="B1603" t="str" cm="1">
        <f t="array" ref="B1603">INDEX(FX_Input,Q1603,S1603)</f>
        <v>Portland</v>
      </c>
      <c r="C1603" t="s">
        <v>563</v>
      </c>
      <c r="D1603">
        <v>14.7</v>
      </c>
      <c r="E1603">
        <v>14.7</v>
      </c>
      <c r="F1603">
        <v>14.7</v>
      </c>
      <c r="G1603">
        <v>14.7</v>
      </c>
      <c r="H1603">
        <v>14.7</v>
      </c>
      <c r="I1603">
        <v>14.7</v>
      </c>
      <c r="J1603">
        <v>14.7</v>
      </c>
      <c r="K1603">
        <v>14.7</v>
      </c>
      <c r="L1603">
        <v>14.7</v>
      </c>
      <c r="M1603">
        <v>14.7</v>
      </c>
      <c r="N1603">
        <v>14.7</v>
      </c>
      <c r="O1603">
        <v>14.7</v>
      </c>
      <c r="Q1603">
        <f>Q1569+2</f>
        <v>95</v>
      </c>
      <c r="R1603">
        <v>1</v>
      </c>
      <c r="S1603">
        <v>3</v>
      </c>
      <c r="T1603">
        <v>1</v>
      </c>
      <c r="U1603">
        <v>19</v>
      </c>
      <c r="V1603">
        <v>20</v>
      </c>
      <c r="W1603">
        <v>25</v>
      </c>
      <c r="X1603">
        <v>1</v>
      </c>
      <c r="Y1603">
        <v>2</v>
      </c>
      <c r="Z1603">
        <f>(W1603-V1603)/(Y1603-X1603)</f>
        <v>5</v>
      </c>
      <c r="AA1603">
        <f>V1603-Z1603*X1603</f>
        <v>15</v>
      </c>
      <c r="AD1603">
        <f>AD1569+14</f>
        <v>659</v>
      </c>
      <c r="AF1603">
        <f>AF1569+14</f>
        <v>659</v>
      </c>
    </row>
    <row r="1604" spans="1:32" ht="17.149999999999999" x14ac:dyDescent="0.55000000000000004">
      <c r="B1604" t="str">
        <f t="shared" ref="B1604" si="5905">B1603</f>
        <v>Portland</v>
      </c>
      <c r="C1604" t="s">
        <v>564</v>
      </c>
      <c r="D1604" cm="1">
        <f t="array" ref="D1604">IF(ISBLANK(INDEX(FX_Input,$Q1603,$AB1604)),0.03,INDEX(FX_Input,Q1603,AB1604))</f>
        <v>0.03</v>
      </c>
      <c r="E1604" cm="1">
        <f t="array" ref="E1604">IF(ISBLANK(INDEX(FX_Input,$Q1603,$AB1604)),0.03,INDEX(FX_Input,R1603,#REF!))</f>
        <v>0.03</v>
      </c>
      <c r="F1604" cm="1">
        <f t="array" ref="F1604">IF(ISBLANK(INDEX(FX_Input,$Q1603,$AB1604)),0.03,INDEX(FX_Input,S1603,#REF!))</f>
        <v>0.03</v>
      </c>
      <c r="G1604" cm="1">
        <f t="array" ref="G1604">IF(ISBLANK(INDEX(FX_Input,$Q1603,$AB1604)),0.03,INDEX(FX_Input,AB1603,#REF!))</f>
        <v>0.03</v>
      </c>
      <c r="H1604" cm="1">
        <f t="array" ref="H1604">IF(ISBLANK(INDEX(FX_Input,$Q1603,$AB1604)),0.03,INDEX(FX_Input,#REF!,#REF!))</f>
        <v>0.03</v>
      </c>
      <c r="I1604" cm="1">
        <f t="array" ref="I1604">IF(ISBLANK(INDEX(FX_Input,$Q1603,$AB1604)),0.03,INDEX(FX_Input,#REF!,#REF!))</f>
        <v>0.03</v>
      </c>
      <c r="J1604" cm="1">
        <f t="array" ref="J1604">IF(ISBLANK(INDEX(FX_Input,$Q1603,$AB1604)),0.03,INDEX(FX_Input,#REF!,#REF!))</f>
        <v>0.03</v>
      </c>
      <c r="K1604" cm="1">
        <f t="array" ref="K1604">IF(ISBLANK(INDEX(FX_Input,$Q1603,$AB1604)),0.03,INDEX(FX_Input,#REF!,AC1604))</f>
        <v>0.03</v>
      </c>
      <c r="L1604" cm="1">
        <f t="array" ref="L1604">IF(ISBLANK(INDEX(FX_Input,$Q1603,$AB1604)),0.03,INDEX(FX_Input,#REF!,AD1604))</f>
        <v>0.03</v>
      </c>
      <c r="M1604" cm="1">
        <f t="array" ref="M1604">IF(ISBLANK(INDEX(FX_Input,$Q1603,$AB1604)),0.03,INDEX(FX_Input,#REF!,#REF!))</f>
        <v>0.03</v>
      </c>
      <c r="N1604" cm="1">
        <f t="array" ref="N1604">IF(ISBLANK(INDEX(FX_Input,$Q1603,$AB1604)),0.03,INDEX(FX_Input,AC1603,#REF!))</f>
        <v>0.03</v>
      </c>
      <c r="O1604" cm="1">
        <f t="array" ref="O1604">IF(ISBLANK(INDEX(FX_Input,$Q1603,$AB1604)),0.03,INDEX(FX_Input,AD1603,#REF!))</f>
        <v>0.03</v>
      </c>
      <c r="AB1604">
        <v>15</v>
      </c>
    </row>
    <row r="1605" spans="1:32" ht="17.149999999999999" x14ac:dyDescent="0.55000000000000004">
      <c r="B1605" t="str">
        <f>B1604</f>
        <v>Portland</v>
      </c>
      <c r="C1605" t="s">
        <v>565</v>
      </c>
      <c r="D1605" cm="1">
        <f t="array" ref="D1605">IF(ISBLANK(INDEX(FX_Input,$Q1603,$AB1605)),-0.03,INDEX(FX_Input,Q1603,AB1605))</f>
        <v>-0.03</v>
      </c>
      <c r="E1605" cm="1">
        <f t="array" ref="E1605">IF(ISBLANK(INDEX(FX_Input,$Q1603,$AB1605)),-0.03,INDEX(FX_Input,R1603,#REF!))</f>
        <v>-0.03</v>
      </c>
      <c r="F1605" cm="1">
        <f t="array" ref="F1605">IF(ISBLANK(INDEX(FX_Input,$Q1603,$AB1605)),-0.03,INDEX(FX_Input,S1603,#REF!))</f>
        <v>-0.03</v>
      </c>
      <c r="G1605" cm="1">
        <f t="array" ref="G1605">IF(ISBLANK(INDEX(FX_Input,$Q1603,$AB1605)),-0.03,INDEX(FX_Input,AB1603,#REF!))</f>
        <v>-0.03</v>
      </c>
      <c r="H1605" cm="1">
        <f t="array" ref="H1605">IF(ISBLANK(INDEX(FX_Input,$Q1603,$AB1605)),-0.03,INDEX(FX_Input,#REF!,#REF!))</f>
        <v>-0.03</v>
      </c>
      <c r="I1605" cm="1">
        <f t="array" ref="I1605">IF(ISBLANK(INDEX(FX_Input,$Q1603,$AB1605)),-0.03,INDEX(FX_Input,#REF!,#REF!))</f>
        <v>-0.03</v>
      </c>
      <c r="J1605" cm="1">
        <f t="array" ref="J1605">IF(ISBLANK(INDEX(FX_Input,$Q1603,$AB1605)),-0.03,INDEX(FX_Input,#REF!,#REF!))</f>
        <v>-0.03</v>
      </c>
      <c r="K1605" cm="1">
        <f t="array" ref="K1605">IF(ISBLANK(INDEX(FX_Input,$Q1603,$AB1605)),-0.03,INDEX(FX_Input,#REF!,AC1605))</f>
        <v>-0.03</v>
      </c>
      <c r="L1605" cm="1">
        <f t="array" ref="L1605">IF(ISBLANK(INDEX(FX_Input,$Q1603,$AB1605)),-0.03,INDEX(FX_Input,#REF!,AD1605))</f>
        <v>-0.03</v>
      </c>
      <c r="M1605" cm="1">
        <f t="array" ref="M1605">IF(ISBLANK(INDEX(FX_Input,$Q1603,$AB1605)),-0.03,INDEX(FX_Input,#REF!,#REF!))</f>
        <v>-0.03</v>
      </c>
      <c r="N1605" cm="1">
        <f t="array" ref="N1605">IF(ISBLANK(INDEX(FX_Input,$Q1603,$AB1605)),-0.03,INDEX(FX_Input,AC1603,#REF!))</f>
        <v>-0.03</v>
      </c>
      <c r="O1605" cm="1">
        <f t="array" ref="O1605">IF(ISBLANK(INDEX(FX_Input,$Q1603,$AB1605)),-0.03,INDEX(FX_Input,AD1603,#REF!))</f>
        <v>-0.03</v>
      </c>
      <c r="AB1605">
        <v>16</v>
      </c>
    </row>
    <row r="1606" spans="1:32" x14ac:dyDescent="0.4">
      <c r="B1606" t="str">
        <f t="shared" ref="B1606:B1607" si="5906">B1605</f>
        <v>Portland</v>
      </c>
      <c r="C1606" s="66" t="s">
        <v>567</v>
      </c>
      <c r="D1606" t="str" cm="1">
        <f t="array" ref="D1606">INDEX(FX_Multi,$AD1606,D$3)</f>
        <v>Out of Service</v>
      </c>
      <c r="E1606" t="str" cm="1">
        <f t="array" ref="E1606">INDEX(FX_Multi,$AD1606,E$3)</f>
        <v>Out of Service</v>
      </c>
      <c r="F1606" t="str" cm="1">
        <f t="array" ref="F1606">INDEX(FX_Multi,$AD1606,F$3)</f>
        <v>Out of Service</v>
      </c>
      <c r="G1606" t="str" cm="1">
        <f t="array" ref="G1606">INDEX(FX_Multi,$AD1606,G$3)</f>
        <v>Out of Service</v>
      </c>
      <c r="H1606" t="str" cm="1">
        <f t="array" ref="H1606">INDEX(FX_Multi,$AD1606,H$3)</f>
        <v>Out of Service</v>
      </c>
      <c r="I1606" t="str" cm="1">
        <f t="array" ref="I1606">INDEX(FX_Multi,$AD1606,I$3)</f>
        <v>Out of Service</v>
      </c>
      <c r="J1606" t="str" cm="1">
        <f t="array" ref="J1606">INDEX(FX_Multi,$AD1606,J$3)</f>
        <v>Out of Service</v>
      </c>
      <c r="K1606" t="str" cm="1">
        <f t="array" ref="K1606">INDEX(FX_Multi,$AD1606,K$3)</f>
        <v>Out of Service</v>
      </c>
      <c r="L1606" t="str" cm="1">
        <f t="array" ref="L1606">INDEX(FX_Multi,$AD1606,L$3)</f>
        <v>Out of Service</v>
      </c>
      <c r="M1606" t="str" cm="1">
        <f t="array" ref="M1606">INDEX(FX_Multi,$AD1606,M$3)</f>
        <v>Out of Service</v>
      </c>
      <c r="N1606" t="str" cm="1">
        <f t="array" ref="N1606">INDEX(FX_Multi,$AD1606,N$3)</f>
        <v>Out of Service</v>
      </c>
      <c r="O1606" t="str" cm="1">
        <f t="array" ref="O1606">INDEX(FX_Multi,$AD1606,O$3)</f>
        <v>Out of Service</v>
      </c>
      <c r="AC1606">
        <v>1</v>
      </c>
      <c r="AD1606">
        <f>AD1603</f>
        <v>659</v>
      </c>
      <c r="AE1606">
        <v>1</v>
      </c>
      <c r="AF1606">
        <f>AF1603</f>
        <v>659</v>
      </c>
    </row>
    <row r="1607" spans="1:32" x14ac:dyDescent="0.4">
      <c r="B1607" t="str">
        <f t="shared" si="5906"/>
        <v>Portland</v>
      </c>
      <c r="C1607" s="66" t="s">
        <v>566</v>
      </c>
      <c r="D1607" t="str" cm="1">
        <f t="array" ref="D1607">INDEX(FX_Multi,$AD1607,D$3)</f>
        <v>N/A</v>
      </c>
      <c r="E1607" t="str" cm="1">
        <f t="array" ref="E1607">INDEX(FX_Multi,$AD1607,E$3)</f>
        <v>N/A</v>
      </c>
      <c r="F1607" t="str" cm="1">
        <f t="array" ref="F1607">INDEX(FX_Multi,$AD1607,F$3)</f>
        <v>N/A</v>
      </c>
      <c r="G1607" t="str" cm="1">
        <f t="array" ref="G1607">INDEX(FX_Multi,$AD1607,G$3)</f>
        <v>N/A</v>
      </c>
      <c r="H1607" t="str" cm="1">
        <f t="array" ref="H1607">INDEX(FX_Multi,$AD1607,H$3)</f>
        <v>N/A</v>
      </c>
      <c r="I1607" t="str" cm="1">
        <f t="array" ref="I1607">INDEX(FX_Multi,$AD1607,I$3)</f>
        <v>N/A</v>
      </c>
      <c r="J1607" t="str" cm="1">
        <f t="array" ref="J1607">INDEX(FX_Multi,$AD1607,J$3)</f>
        <v>N/A</v>
      </c>
      <c r="K1607" t="str" cm="1">
        <f t="array" ref="K1607">INDEX(FX_Multi,$AD1607,K$3)</f>
        <v>N/A</v>
      </c>
      <c r="L1607" t="str" cm="1">
        <f t="array" ref="L1607">INDEX(FX_Multi,$AD1607,L$3)</f>
        <v>N/A</v>
      </c>
      <c r="M1607" t="str" cm="1">
        <f t="array" ref="M1607">INDEX(FX_Multi,$AD1607,M$3)</f>
        <v>N/A</v>
      </c>
      <c r="N1607" t="str" cm="1">
        <f t="array" ref="N1607">INDEX(FX_Multi,$AD1607,N$3)</f>
        <v>N/A</v>
      </c>
      <c r="O1607" t="str" cm="1">
        <f t="array" ref="O1607">INDEX(FX_Multi,$AD1607,O$3)</f>
        <v>N/A</v>
      </c>
      <c r="AC1607">
        <v>1</v>
      </c>
      <c r="AD1607">
        <f>AD1606+2</f>
        <v>661</v>
      </c>
      <c r="AE1607">
        <v>1</v>
      </c>
      <c r="AF1607">
        <f>AF1606+3</f>
        <v>662</v>
      </c>
    </row>
    <row r="1608" spans="1:32" x14ac:dyDescent="0.4">
      <c r="B1608" t="str">
        <f>B1604</f>
        <v>Portland</v>
      </c>
      <c r="C1608" s="66" t="s">
        <v>568</v>
      </c>
      <c r="D1608" cm="1">
        <f t="array" ref="D1608">INDEX(FX_Multi,$AD1608,D$3)</f>
        <v>0</v>
      </c>
      <c r="E1608" cm="1">
        <f t="array" ref="E1608">INDEX(FX_Multi,$AD1608,E$3)</f>
        <v>0</v>
      </c>
      <c r="F1608" cm="1">
        <f t="array" ref="F1608">INDEX(FX_Multi,$AD1608,F$3)</f>
        <v>0</v>
      </c>
      <c r="G1608" cm="1">
        <f t="array" ref="G1608">INDEX(FX_Multi,$AD1608,G$3)</f>
        <v>0</v>
      </c>
      <c r="H1608" cm="1">
        <f t="array" ref="H1608">INDEX(FX_Multi,$AD1608,H$3)</f>
        <v>0</v>
      </c>
      <c r="I1608" cm="1">
        <f t="array" ref="I1608">INDEX(FX_Multi,$AD1608,I$3)</f>
        <v>0</v>
      </c>
      <c r="J1608" cm="1">
        <f t="array" ref="J1608">INDEX(FX_Multi,$AD1608,J$3)</f>
        <v>0</v>
      </c>
      <c r="K1608" cm="1">
        <f t="array" ref="K1608">INDEX(FX_Multi,$AD1608,K$3)</f>
        <v>0</v>
      </c>
      <c r="L1608" cm="1">
        <f t="array" ref="L1608">INDEX(FX_Multi,$AD1608,L$3)</f>
        <v>0</v>
      </c>
      <c r="M1608" cm="1">
        <f t="array" ref="M1608">INDEX(FX_Multi,$AD1608,M$3)</f>
        <v>0</v>
      </c>
      <c r="N1608" cm="1">
        <f t="array" ref="N1608">INDEX(FX_Multi,$AD1608,N$3)</f>
        <v>0</v>
      </c>
      <c r="O1608" cm="1">
        <f t="array" ref="O1608">INDEX(FX_Multi,$AD1608,O$3)</f>
        <v>0</v>
      </c>
      <c r="AC1608">
        <v>1</v>
      </c>
      <c r="AD1608">
        <f>AD1607-1</f>
        <v>660</v>
      </c>
      <c r="AE1608">
        <v>1</v>
      </c>
      <c r="AF1608">
        <f>AF1606+1</f>
        <v>660</v>
      </c>
    </row>
    <row r="1609" spans="1:32" x14ac:dyDescent="0.4">
      <c r="B1609" t="str">
        <f t="shared" ref="B1609:B1613" si="5907">B1608</f>
        <v>Portland</v>
      </c>
      <c r="C1609" s="66" t="s">
        <v>569</v>
      </c>
      <c r="D1609" cm="1">
        <f t="array" ref="D1609">INDEX(FX_Multi,$AD1609,D$3)</f>
        <v>0</v>
      </c>
      <c r="E1609" cm="1">
        <f t="array" ref="E1609">INDEX(FX_Multi,$AD1609,E$3)</f>
        <v>0</v>
      </c>
      <c r="F1609" cm="1">
        <f t="array" ref="F1609">INDEX(FX_Multi,$AD1609,F$3)</f>
        <v>0</v>
      </c>
      <c r="G1609" cm="1">
        <f t="array" ref="G1609">INDEX(FX_Multi,$AD1609,G$3)</f>
        <v>0</v>
      </c>
      <c r="H1609" cm="1">
        <f t="array" ref="H1609">INDEX(FX_Multi,$AD1609,H$3)</f>
        <v>0</v>
      </c>
      <c r="I1609" cm="1">
        <f t="array" ref="I1609">INDEX(FX_Multi,$AD1609,I$3)</f>
        <v>0</v>
      </c>
      <c r="J1609" cm="1">
        <f t="array" ref="J1609">INDEX(FX_Multi,$AD1609,J$3)</f>
        <v>0</v>
      </c>
      <c r="K1609" cm="1">
        <f t="array" ref="K1609">INDEX(FX_Multi,$AD1609,K$3)</f>
        <v>0</v>
      </c>
      <c r="L1609" cm="1">
        <f t="array" ref="L1609">INDEX(FX_Multi,$AD1609,L$3)</f>
        <v>0</v>
      </c>
      <c r="M1609" cm="1">
        <f t="array" ref="M1609">INDEX(FX_Multi,$AD1609,M$3)</f>
        <v>0</v>
      </c>
      <c r="N1609" cm="1">
        <f t="array" ref="N1609">INDEX(FX_Multi,$AD1609,N$3)</f>
        <v>0</v>
      </c>
      <c r="O1609" cm="1">
        <f t="array" ref="O1609">INDEX(FX_Multi,$AD1609,O$3)</f>
        <v>0</v>
      </c>
      <c r="AC1609">
        <v>1</v>
      </c>
      <c r="AD1609">
        <f>AD1608+2</f>
        <v>662</v>
      </c>
      <c r="AE1609">
        <v>1</v>
      </c>
      <c r="AF1609">
        <f>AF1607</f>
        <v>662</v>
      </c>
    </row>
    <row r="1610" spans="1:32" ht="17.149999999999999" x14ac:dyDescent="0.55000000000000004">
      <c r="B1610" t="str">
        <f t="shared" si="5907"/>
        <v>Portland</v>
      </c>
      <c r="C1610" t="s">
        <v>570</v>
      </c>
      <c r="D1610" cm="1">
        <f t="array" ref="D1610">INDEX(FX_Multi,$AD1610,D$3)</f>
        <v>1</v>
      </c>
      <c r="E1610" cm="1">
        <f t="array" ref="E1610">INDEX(FX_Multi,$AD1610,E$3)</f>
        <v>1</v>
      </c>
      <c r="F1610" cm="1">
        <f t="array" ref="F1610">INDEX(FX_Multi,$AD1610,F$3)</f>
        <v>1</v>
      </c>
      <c r="G1610" cm="1">
        <f t="array" ref="G1610">INDEX(FX_Multi,$AD1610,G$3)</f>
        <v>1</v>
      </c>
      <c r="H1610" cm="1">
        <f t="array" ref="H1610">INDEX(FX_Multi,$AD1610,H$3)</f>
        <v>1</v>
      </c>
      <c r="I1610" cm="1">
        <f t="array" ref="I1610">INDEX(FX_Multi,$AD1610,I$3)</f>
        <v>1</v>
      </c>
      <c r="J1610" cm="1">
        <f t="array" ref="J1610">INDEX(FX_Multi,$AD1610,J$3)</f>
        <v>1</v>
      </c>
      <c r="K1610" cm="1">
        <f t="array" ref="K1610">INDEX(FX_Multi,$AD1610,K$3)</f>
        <v>1</v>
      </c>
      <c r="L1610" cm="1">
        <f t="array" ref="L1610">INDEX(FX_Multi,$AD1610,L$3)</f>
        <v>1</v>
      </c>
      <c r="M1610" cm="1">
        <f t="array" ref="M1610">INDEX(FX_Multi,$AD1610,M$3)</f>
        <v>1</v>
      </c>
      <c r="N1610" cm="1">
        <f t="array" ref="N1610">INDEX(FX_Multi,$AD1610,N$3)</f>
        <v>1</v>
      </c>
      <c r="O1610" cm="1">
        <f t="array" ref="O1610">INDEX(FX_Multi,$AD1610,O$3)</f>
        <v>1</v>
      </c>
      <c r="AC1610">
        <v>1</v>
      </c>
      <c r="AD1610">
        <f>AD1609+6</f>
        <v>668</v>
      </c>
      <c r="AE1610">
        <v>1</v>
      </c>
      <c r="AF1610">
        <f>AF1606+9</f>
        <v>668</v>
      </c>
    </row>
    <row r="1611" spans="1:32" ht="17.149999999999999" x14ac:dyDescent="0.55000000000000004">
      <c r="B1611" t="str">
        <f t="shared" si="5907"/>
        <v>Portland</v>
      </c>
      <c r="C1611" t="s">
        <v>571</v>
      </c>
      <c r="D1611" t="str" cm="1">
        <f t="array" ref="D1611">INDEX(FX_Multi,$AD1611,D$3)</f>
        <v>N/A</v>
      </c>
      <c r="E1611" t="str" cm="1">
        <f t="array" ref="E1611">INDEX(FX_Multi,$AD1611,E$3)</f>
        <v>N/A</v>
      </c>
      <c r="F1611" t="str" cm="1">
        <f t="array" ref="F1611">INDEX(FX_Multi,$AD1611,F$3)</f>
        <v>N/A</v>
      </c>
      <c r="G1611" t="str" cm="1">
        <f t="array" ref="G1611">INDEX(FX_Multi,$AD1611,G$3)</f>
        <v>N/A</v>
      </c>
      <c r="H1611" t="str" cm="1">
        <f t="array" ref="H1611">INDEX(FX_Multi,$AD1611,H$3)</f>
        <v>N/A</v>
      </c>
      <c r="I1611" t="str" cm="1">
        <f t="array" ref="I1611">INDEX(FX_Multi,$AD1611,I$3)</f>
        <v>N/A</v>
      </c>
      <c r="J1611" t="str" cm="1">
        <f t="array" ref="J1611">INDEX(FX_Multi,$AD1611,J$3)</f>
        <v>N/A</v>
      </c>
      <c r="K1611" t="str" cm="1">
        <f t="array" ref="K1611">INDEX(FX_Multi,$AD1611,K$3)</f>
        <v>N/A</v>
      </c>
      <c r="L1611" t="str" cm="1">
        <f t="array" ref="L1611">INDEX(FX_Multi,$AD1611,L$3)</f>
        <v>N/A</v>
      </c>
      <c r="M1611" t="str" cm="1">
        <f t="array" ref="M1611">INDEX(FX_Multi,$AD1611,M$3)</f>
        <v>N/A</v>
      </c>
      <c r="N1611" t="str" cm="1">
        <f t="array" ref="N1611">INDEX(FX_Multi,$AD1611,N$3)</f>
        <v>N/A</v>
      </c>
      <c r="O1611" t="str" cm="1">
        <f t="array" ref="O1611">INDEX(FX_Multi,$AD1611,O$3)</f>
        <v>N/A</v>
      </c>
      <c r="AC1611">
        <v>1</v>
      </c>
      <c r="AD1611">
        <f>AD1610-3</f>
        <v>665</v>
      </c>
      <c r="AE1611">
        <v>1</v>
      </c>
      <c r="AF1611">
        <f>AF1606+6</f>
        <v>665</v>
      </c>
    </row>
    <row r="1612" spans="1:32" ht="17.149999999999999" x14ac:dyDescent="0.55000000000000004">
      <c r="B1612" t="str">
        <f t="shared" si="5907"/>
        <v>Portland</v>
      </c>
      <c r="C1612" t="s">
        <v>572</v>
      </c>
      <c r="D1612" cm="1">
        <f t="array" ref="D1612">INDEX(FX_Multi,$AD1612,D$3)</f>
        <v>0</v>
      </c>
      <c r="E1612" cm="1">
        <f t="array" ref="E1612">INDEX(FX_Multi,$AD1612,E$3)</f>
        <v>0</v>
      </c>
      <c r="F1612" cm="1">
        <f t="array" ref="F1612">INDEX(FX_Multi,$AD1612,F$3)</f>
        <v>0</v>
      </c>
      <c r="G1612" cm="1">
        <f t="array" ref="G1612">INDEX(FX_Multi,$AD1612,G$3)</f>
        <v>0</v>
      </c>
      <c r="H1612" cm="1">
        <f t="array" ref="H1612">INDEX(FX_Multi,$AD1612,H$3)</f>
        <v>0</v>
      </c>
      <c r="I1612" cm="1">
        <f t="array" ref="I1612">INDEX(FX_Multi,$AD1612,I$3)</f>
        <v>0</v>
      </c>
      <c r="J1612" cm="1">
        <f t="array" ref="J1612">INDEX(FX_Multi,$AD1612,J$3)</f>
        <v>0</v>
      </c>
      <c r="K1612" cm="1">
        <f t="array" ref="K1612">INDEX(FX_Multi,$AD1612,K$3)</f>
        <v>0</v>
      </c>
      <c r="L1612" cm="1">
        <f t="array" ref="L1612">INDEX(FX_Multi,$AD1612,L$3)</f>
        <v>0</v>
      </c>
      <c r="M1612" cm="1">
        <f t="array" ref="M1612">INDEX(FX_Multi,$AD1612,M$3)</f>
        <v>0</v>
      </c>
      <c r="N1612" cm="1">
        <f t="array" ref="N1612">INDEX(FX_Multi,$AD1612,N$3)</f>
        <v>0</v>
      </c>
      <c r="O1612" cm="1">
        <f t="array" ref="O1612">INDEX(FX_Multi,$AD1612,O$3)</f>
        <v>0</v>
      </c>
      <c r="AC1612">
        <v>1</v>
      </c>
      <c r="AD1612">
        <f>AD1611+4</f>
        <v>669</v>
      </c>
      <c r="AE1612">
        <v>1</v>
      </c>
      <c r="AF1612">
        <f>AF1606+10</f>
        <v>669</v>
      </c>
    </row>
    <row r="1613" spans="1:32" ht="17.149999999999999" x14ac:dyDescent="0.55000000000000004">
      <c r="B1613" t="str">
        <f t="shared" si="5907"/>
        <v>Portland</v>
      </c>
      <c r="C1613" t="s">
        <v>573</v>
      </c>
      <c r="D1613" cm="1">
        <f t="array" ref="D1613">INDEX(FX_Multi,$AD1613,D$3)</f>
        <v>0</v>
      </c>
      <c r="E1613" cm="1">
        <f t="array" ref="E1613">INDEX(FX_Multi,$AD1613,E$3)</f>
        <v>0</v>
      </c>
      <c r="F1613" cm="1">
        <f t="array" ref="F1613">INDEX(FX_Multi,$AD1613,F$3)</f>
        <v>0</v>
      </c>
      <c r="G1613" cm="1">
        <f t="array" ref="G1613">INDEX(FX_Multi,$AD1613,G$3)</f>
        <v>0</v>
      </c>
      <c r="H1613" cm="1">
        <f t="array" ref="H1613">INDEX(FX_Multi,$AD1613,H$3)</f>
        <v>0</v>
      </c>
      <c r="I1613" cm="1">
        <f t="array" ref="I1613">INDEX(FX_Multi,$AD1613,I$3)</f>
        <v>0</v>
      </c>
      <c r="J1613" cm="1">
        <f t="array" ref="J1613">INDEX(FX_Multi,$AD1613,J$3)</f>
        <v>0</v>
      </c>
      <c r="K1613" cm="1">
        <f t="array" ref="K1613">INDEX(FX_Multi,$AD1613,K$3)</f>
        <v>0</v>
      </c>
      <c r="L1613" cm="1">
        <f t="array" ref="L1613">INDEX(FX_Multi,$AD1613,L$3)</f>
        <v>0</v>
      </c>
      <c r="M1613" cm="1">
        <f t="array" ref="M1613">INDEX(FX_Multi,$AD1613,M$3)</f>
        <v>0</v>
      </c>
      <c r="N1613" cm="1">
        <f t="array" ref="N1613">INDEX(FX_Multi,$AD1613,N$3)</f>
        <v>0</v>
      </c>
      <c r="O1613" cm="1">
        <f t="array" ref="O1613">INDEX(FX_Multi,$AD1613,O$3)</f>
        <v>0</v>
      </c>
      <c r="AC1613">
        <v>1</v>
      </c>
      <c r="AD1613">
        <f>AD1612-3</f>
        <v>666</v>
      </c>
      <c r="AE1613">
        <v>1</v>
      </c>
      <c r="AF1613">
        <f>AF1606+7</f>
        <v>666</v>
      </c>
    </row>
    <row r="1614" spans="1:32" ht="17.149999999999999" x14ac:dyDescent="0.55000000000000004">
      <c r="B1614" t="str">
        <f>B1609</f>
        <v>Portland</v>
      </c>
      <c r="C1614" t="s">
        <v>526</v>
      </c>
      <c r="D1614" cm="1">
        <f t="array" ref="D1614">INDEX(FX_Temps,$AF1614,D$3)</f>
        <v>44.328749999999957</v>
      </c>
      <c r="E1614" cm="1">
        <f t="array" ref="E1614">INDEX(FX_Temps,$AF1614,E$3)</f>
        <v>45.450000000000045</v>
      </c>
      <c r="F1614" cm="1">
        <f t="array" ref="F1614">INDEX(FX_Temps,$AF1614,F$3)</f>
        <v>47.19625000000002</v>
      </c>
      <c r="G1614" cm="1">
        <f t="array" ref="G1614">INDEX(FX_Temps,$AF1614,G$3)</f>
        <v>50.164999999999907</v>
      </c>
      <c r="H1614" cm="1">
        <f t="array" ref="H1614">INDEX(FX_Temps,$AF1614,H$3)</f>
        <v>55.071249999999964</v>
      </c>
      <c r="I1614" cm="1">
        <f t="array" ref="I1614">INDEX(FX_Temps,$AF1614,I$3)</f>
        <v>58.9837500000001</v>
      </c>
      <c r="J1614" cm="1">
        <f t="array" ref="J1614">INDEX(FX_Temps,$AF1614,J$3)</f>
        <v>62.584999999999923</v>
      </c>
      <c r="K1614" cm="1">
        <f t="array" ref="K1614">INDEX(FX_Temps,$AF1614,K$3)</f>
        <v>62.764999999999986</v>
      </c>
      <c r="L1614" cm="1">
        <f t="array" ref="L1614">INDEX(FX_Temps,$AF1614,L$3)</f>
        <v>60.095000000000027</v>
      </c>
      <c r="M1614" cm="1">
        <f t="array" ref="M1614">INDEX(FX_Temps,$AF1614,M$3)</f>
        <v>53.559999999999945</v>
      </c>
      <c r="N1614" cm="1">
        <f t="array" ref="N1614">INDEX(FX_Temps,$AF1614,N$3)</f>
        <v>47.588750000000005</v>
      </c>
      <c r="O1614" cm="1">
        <f t="array" ref="O1614">INDEX(FX_Temps,$AF1614,O$3)</f>
        <v>43.97750000000002</v>
      </c>
      <c r="AE1614">
        <v>1</v>
      </c>
      <c r="AF1614">
        <f>AF1606+10</f>
        <v>669</v>
      </c>
    </row>
    <row r="1615" spans="1:32" ht="17.149999999999999" x14ac:dyDescent="0.55000000000000004">
      <c r="B1615" t="str">
        <f t="shared" ref="B1615:B1636" si="5908">B1614</f>
        <v>Portland</v>
      </c>
      <c r="C1615" t="s">
        <v>527</v>
      </c>
      <c r="D1615" cm="1">
        <f t="array" ref="D1615">INDEX(FX_Temps,$AF1615,D$3)</f>
        <v>44.328749999999957</v>
      </c>
      <c r="E1615" cm="1">
        <f t="array" ref="E1615">INDEX(FX_Temps,$AF1615,E$3)</f>
        <v>45.450000000000045</v>
      </c>
      <c r="F1615" cm="1">
        <f t="array" ref="F1615">INDEX(FX_Temps,$AF1615,F$3)</f>
        <v>47.19625000000002</v>
      </c>
      <c r="G1615" cm="1">
        <f t="array" ref="G1615">INDEX(FX_Temps,$AF1615,G$3)</f>
        <v>50.164999999999907</v>
      </c>
      <c r="H1615" cm="1">
        <f t="array" ref="H1615">INDEX(FX_Temps,$AF1615,H$3)</f>
        <v>55.071249999999964</v>
      </c>
      <c r="I1615" cm="1">
        <f t="array" ref="I1615">INDEX(FX_Temps,$AF1615,I$3)</f>
        <v>58.9837500000001</v>
      </c>
      <c r="J1615" cm="1">
        <f t="array" ref="J1615">INDEX(FX_Temps,$AF1615,J$3)</f>
        <v>62.584999999999923</v>
      </c>
      <c r="K1615" cm="1">
        <f t="array" ref="K1615">INDEX(FX_Temps,$AF1615,K$3)</f>
        <v>62.764999999999986</v>
      </c>
      <c r="L1615" cm="1">
        <f t="array" ref="L1615">INDEX(FX_Temps,$AF1615,L$3)</f>
        <v>60.095000000000027</v>
      </c>
      <c r="M1615" cm="1">
        <f t="array" ref="M1615">INDEX(FX_Temps,$AF1615,M$3)</f>
        <v>53.559999999999945</v>
      </c>
      <c r="N1615" cm="1">
        <f t="array" ref="N1615">INDEX(FX_Temps,$AF1615,N$3)</f>
        <v>47.588750000000005</v>
      </c>
      <c r="O1615" cm="1">
        <f t="array" ref="O1615">INDEX(FX_Temps,$AF1615,O$3)</f>
        <v>43.97750000000002</v>
      </c>
      <c r="AE1615">
        <f>AE1614</f>
        <v>1</v>
      </c>
      <c r="AF1615">
        <f>AF1606+11</f>
        <v>670</v>
      </c>
    </row>
    <row r="1616" spans="1:32" ht="17.149999999999999" x14ac:dyDescent="0.55000000000000004">
      <c r="B1616" t="str">
        <f t="shared" si="5908"/>
        <v>Portland</v>
      </c>
      <c r="C1616" t="s">
        <v>552</v>
      </c>
      <c r="D1616" cm="1">
        <f t="array" ref="D1616">INDEX(FX_Temps,$AF1616,D$3)</f>
        <v>44.757499999999993</v>
      </c>
      <c r="E1616" cm="1">
        <f t="array" ref="E1616">INDEX(FX_Temps,$AF1616,E$3)</f>
        <v>46.200000000000045</v>
      </c>
      <c r="F1616" cm="1">
        <f t="array" ref="F1616">INDEX(FX_Temps,$AF1616,F$3)</f>
        <v>48.292500000000018</v>
      </c>
      <c r="G1616" cm="1">
        <f t="array" ref="G1616">INDEX(FX_Temps,$AF1616,G$3)</f>
        <v>51.729999999999905</v>
      </c>
      <c r="H1616" cm="1">
        <f t="array" ref="H1616">INDEX(FX_Temps,$AF1616,H$3)</f>
        <v>56.99249999999995</v>
      </c>
      <c r="I1616" cm="1">
        <f t="array" ref="I1616">INDEX(FX_Temps,$AF1616,I$3)</f>
        <v>61.017500000000041</v>
      </c>
      <c r="J1616" cm="1">
        <f t="array" ref="J1616">INDEX(FX_Temps,$AF1616,J$3)</f>
        <v>64.719999999999914</v>
      </c>
      <c r="K1616" cm="1">
        <f t="array" ref="K1616">INDEX(FX_Temps,$AF1616,K$3)</f>
        <v>64.63</v>
      </c>
      <c r="L1616" cm="1">
        <f t="array" ref="L1616">INDEX(FX_Temps,$AF1616,L$3)</f>
        <v>61.590000000000032</v>
      </c>
      <c r="M1616" cm="1">
        <f t="array" ref="M1616">INDEX(FX_Temps,$AF1616,M$3)</f>
        <v>54.470000000000027</v>
      </c>
      <c r="N1616" cm="1">
        <f t="array" ref="N1616">INDEX(FX_Temps,$AF1616,N$3)</f>
        <v>48.077500000000043</v>
      </c>
      <c r="O1616" cm="1">
        <f t="array" ref="O1616">INDEX(FX_Temps,$AF1616,O$3)</f>
        <v>44.355000000000018</v>
      </c>
      <c r="AE1616">
        <f>AE1615</f>
        <v>1</v>
      </c>
      <c r="AF1616">
        <f>AF1606+13</f>
        <v>672</v>
      </c>
    </row>
    <row r="1617" spans="2:15" ht="17.149999999999999" x14ac:dyDescent="0.55000000000000004">
      <c r="B1617" t="str">
        <f t="shared" si="5908"/>
        <v>Portland</v>
      </c>
      <c r="C1617" t="s">
        <v>574</v>
      </c>
      <c r="D1617" cm="1">
        <f t="array" ref="D1617">IFERROR(IF(D1607="Chemical",(10^(INDEX(Antoines,MATCH(D1606,Antoine_Name,0),2)-INDEX(Antoines,MATCH(D1606,Antoine_Name,0),3)/(INDEX(Antoines,MATCH(D1606,Antoine_Name,0),4)+(D1614-32)*5/9)))*14.7/760,IF(D1607="Crude Oil",EXP((2799/(D1614+459.6)-2.227)*LOG10(INDEX(FX_Input,Q$5,D$3*$Z$5+$AA$5))-(7261/(D1614+459.6))+12.82),IF(D1607="Refined Petroleum Stock",EXP((0.7553-(413/(D1614+459.6)))*(INDEX(FX_Input,Q$5,D$3*$Z$5+$AA$5-1)^0.5)*LOG10(INDEX(FX_Input,Q$5,D$3*$Z$5+$AA$5))-(1.854-(1042/(D1614+459.6)))*(INDEX(FX_Input,Q$5,D$3*$Z$5+$AA$5-1)^0.5)+((2416/(D1614+459.6)-2.013)*LOG10(INDEX(FX_Input,Q$5,D$3*$Z$5+$AA$5)))-(8742/(D1614+459.6))+15.64),EXP(INDEX(Antoines,MATCH(D1606,Antoine_Name,0),2)-INDEX(Antoines,MATCH(D1606,Antoine_Name,0),3)/(D1614+459.6))))),0)</f>
        <v>1</v>
      </c>
      <c r="E1617" cm="1">
        <f t="array" ref="E1617">IFERROR(IF(E1607="Chemical",(10^(INDEX(Antoines,MATCH(E1606,Antoine_Name,0),2)-INDEX(Antoines,MATCH(E1606,Antoine_Name,0),3)/(INDEX(Antoines,MATCH(E1606,Antoine_Name,0),4)+(E1614-32)*5/9)))*14.7/760,IF(E1607="Crude Oil",EXP((2799/(E1614+459.6)-2.227)*LOG10(INDEX(FX_Input,R$5,E$3*$Z$5+$AA$5))-(7261/(E1614+459.6))+12.82),IF(E1607="Refined Petroleum Stock",EXP((0.7553-(413/(E1614+459.6)))*(INDEX(FX_Input,R$5,E$3*$Z$5+$AA$5-1)^0.5)*LOG10(INDEX(FX_Input,R$5,E$3*$Z$5+$AA$5))-(1.854-(1042/(E1614+459.6)))*(INDEX(FX_Input,R$5,E$3*$Z$5+$AA$5-1)^0.5)+((2416/(E1614+459.6)-2.013)*LOG10(INDEX(FX_Input,R$5,E$3*$Z$5+$AA$5)))-(8742/(E1614+459.6))+15.64),EXP(INDEX(Antoines,MATCH(E1606,Antoine_Name,0),2)-INDEX(Antoines,MATCH(E1606,Antoine_Name,0),3)/(E1614+459.6))))),0)</f>
        <v>1</v>
      </c>
      <c r="F1617" cm="1">
        <f t="array" ref="F1617">IFERROR(IF(F1607="Chemical",(10^(INDEX(Antoines,MATCH(F1606,Antoine_Name,0),2)-INDEX(Antoines,MATCH(F1606,Antoine_Name,0),3)/(INDEX(Antoines,MATCH(F1606,Antoine_Name,0),4)+(F1614-32)*5/9)))*14.7/760,IF(F1607="Crude Oil",EXP((2799/(F1614+459.6)-2.227)*LOG10(INDEX(FX_Input,S$5,F$3*$Z$5+$AA$5))-(7261/(F1614+459.6))+12.82),IF(F1607="Refined Petroleum Stock",EXP((0.7553-(413/(F1614+459.6)))*(INDEX(FX_Input,S$5,F$3*$Z$5+$AA$5-1)^0.5)*LOG10(INDEX(FX_Input,S$5,F$3*$Z$5+$AA$5))-(1.854-(1042/(F1614+459.6)))*(INDEX(FX_Input,S$5,F$3*$Z$5+$AA$5-1)^0.5)+((2416/(F1614+459.6)-2.013)*LOG10(INDEX(FX_Input,S$5,F$3*$Z$5+$AA$5)))-(8742/(F1614+459.6))+15.64),EXP(INDEX(Antoines,MATCH(F1606,Antoine_Name,0),2)-INDEX(Antoines,MATCH(F1606,Antoine_Name,0),3)/(F1614+459.6))))),0)</f>
        <v>1</v>
      </c>
      <c r="G1617" cm="1">
        <f t="array" ref="G1617">IFERROR(IF(G1607="Chemical",(10^(INDEX(Antoines,MATCH(G1606,Antoine_Name,0),2)-INDEX(Antoines,MATCH(G1606,Antoine_Name,0),3)/(INDEX(Antoines,MATCH(G1606,Antoine_Name,0),4)+(G1614-32)*5/9)))*14.7/760,IF(G1607="Crude Oil",EXP((2799/(G1614+459.6)-2.227)*LOG10(INDEX(FX_Input,T$5,G$3*$Z$5+$AA$5))-(7261/(G1614+459.6))+12.82),IF(G1607="Refined Petroleum Stock",EXP((0.7553-(413/(G1614+459.6)))*(INDEX(FX_Input,T$5,G$3*$Z$5+$AA$5-1)^0.5)*LOG10(INDEX(FX_Input,T$5,G$3*$Z$5+$AA$5))-(1.854-(1042/(G1614+459.6)))*(INDEX(FX_Input,T$5,G$3*$Z$5+$AA$5-1)^0.5)+((2416/(G1614+459.6)-2.013)*LOG10(INDEX(FX_Input,T$5,G$3*$Z$5+$AA$5)))-(8742/(G1614+459.6))+15.64),EXP(INDEX(Antoines,MATCH(G1606,Antoine_Name,0),2)-INDEX(Antoines,MATCH(G1606,Antoine_Name,0),3)/(G1614+459.6))))),0)</f>
        <v>1</v>
      </c>
      <c r="H1617" cm="1">
        <f t="array" ref="H1617">IFERROR(IF(H1607="Chemical",(10^(INDEX(Antoines,MATCH(H1606,Antoine_Name,0),2)-INDEX(Antoines,MATCH(H1606,Antoine_Name,0),3)/(INDEX(Antoines,MATCH(H1606,Antoine_Name,0),4)+(H1614-32)*5/9)))*14.7/760,IF(H1607="Crude Oil",EXP((2799/(H1614+459.6)-2.227)*LOG10(INDEX(FX_Input,U$5,H$3*$Z$5+$AA$5))-(7261/(H1614+459.6))+12.82),IF(H1607="Refined Petroleum Stock",EXP((0.7553-(413/(H1614+459.6)))*(INDEX(FX_Input,U$5,H$3*$Z$5+$AA$5-1)^0.5)*LOG10(INDEX(FX_Input,U$5,H$3*$Z$5+$AA$5))-(1.854-(1042/(H1614+459.6)))*(INDEX(FX_Input,U$5,H$3*$Z$5+$AA$5-1)^0.5)+((2416/(H1614+459.6)-2.013)*LOG10(INDEX(FX_Input,U$5,H$3*$Z$5+$AA$5)))-(8742/(H1614+459.6))+15.64),EXP(INDEX(Antoines,MATCH(H1606,Antoine_Name,0),2)-INDEX(Antoines,MATCH(H1606,Antoine_Name,0),3)/(H1614+459.6))))),0)</f>
        <v>1</v>
      </c>
      <c r="I1617" cm="1">
        <f t="array" ref="I1617">IFERROR(IF(I1607="Chemical",(10^(INDEX(Antoines,MATCH(I1606,Antoine_Name,0),2)-INDEX(Antoines,MATCH(I1606,Antoine_Name,0),3)/(INDEX(Antoines,MATCH(I1606,Antoine_Name,0),4)+(I1614-32)*5/9)))*14.7/760,IF(I1607="Crude Oil",EXP((2799/(I1614+459.6)-2.227)*LOG10(INDEX(FX_Input,V$5,I$3*$Z$5+$AA$5))-(7261/(I1614+459.6))+12.82),IF(I1607="Refined Petroleum Stock",EXP((0.7553-(413/(I1614+459.6)))*(INDEX(FX_Input,V$5,I$3*$Z$5+$AA$5-1)^0.5)*LOG10(INDEX(FX_Input,V$5,I$3*$Z$5+$AA$5))-(1.854-(1042/(I1614+459.6)))*(INDEX(FX_Input,V$5,I$3*$Z$5+$AA$5-1)^0.5)+((2416/(I1614+459.6)-2.013)*LOG10(INDEX(FX_Input,V$5,I$3*$Z$5+$AA$5)))-(8742/(I1614+459.6))+15.64),EXP(INDEX(Antoines,MATCH(I1606,Antoine_Name,0),2)-INDEX(Antoines,MATCH(I1606,Antoine_Name,0),3)/(I1614+459.6))))),0)</f>
        <v>1</v>
      </c>
      <c r="J1617" cm="1">
        <f t="array" ref="J1617">IFERROR(IF(J1607="Chemical",(10^(INDEX(Antoines,MATCH(J1606,Antoine_Name,0),2)-INDEX(Antoines,MATCH(J1606,Antoine_Name,0),3)/(INDEX(Antoines,MATCH(J1606,Antoine_Name,0),4)+(J1614-32)*5/9)))*14.7/760,IF(J1607="Crude Oil",EXP((2799/(J1614+459.6)-2.227)*LOG10(INDEX(FX_Input,W$5,J$3*$Z$5+$AA$5))-(7261/(J1614+459.6))+12.82),IF(J1607="Refined Petroleum Stock",EXP((0.7553-(413/(J1614+459.6)))*(INDEX(FX_Input,W$5,J$3*$Z$5+$AA$5-1)^0.5)*LOG10(INDEX(FX_Input,W$5,J$3*$Z$5+$AA$5))-(1.854-(1042/(J1614+459.6)))*(INDEX(FX_Input,W$5,J$3*$Z$5+$AA$5-1)^0.5)+((2416/(J1614+459.6)-2.013)*LOG10(INDEX(FX_Input,W$5,J$3*$Z$5+$AA$5)))-(8742/(J1614+459.6))+15.64),EXP(INDEX(Antoines,MATCH(J1606,Antoine_Name,0),2)-INDEX(Antoines,MATCH(J1606,Antoine_Name,0),3)/(J1614+459.6))))),0)</f>
        <v>1</v>
      </c>
      <c r="K1617" cm="1">
        <f t="array" ref="K1617">IFERROR(IF(K1607="Chemical",(10^(INDEX(Antoines,MATCH(K1606,Antoine_Name,0),2)-INDEX(Antoines,MATCH(K1606,Antoine_Name,0),3)/(INDEX(Antoines,MATCH(K1606,Antoine_Name,0),4)+(K1614-32)*5/9)))*14.7/760,IF(K1607="Crude Oil",EXP((2799/(K1614+459.6)-2.227)*LOG10(INDEX(FX_Input,X$5,K$3*$Z$5+$AA$5))-(7261/(K1614+459.6))+12.82),IF(K1607="Refined Petroleum Stock",EXP((0.7553-(413/(K1614+459.6)))*(INDEX(FX_Input,X$5,K$3*$Z$5+$AA$5-1)^0.5)*LOG10(INDEX(FX_Input,X$5,K$3*$Z$5+$AA$5))-(1.854-(1042/(K1614+459.6)))*(INDEX(FX_Input,X$5,K$3*$Z$5+$AA$5-1)^0.5)+((2416/(K1614+459.6)-2.013)*LOG10(INDEX(FX_Input,X$5,K$3*$Z$5+$AA$5)))-(8742/(K1614+459.6))+15.64),EXP(INDEX(Antoines,MATCH(K1606,Antoine_Name,0),2)-INDEX(Antoines,MATCH(K1606,Antoine_Name,0),3)/(K1614+459.6))))),0)</f>
        <v>1</v>
      </c>
      <c r="L1617" cm="1">
        <f t="array" ref="L1617">IFERROR(IF(L1607="Chemical",(10^(INDEX(Antoines,MATCH(L1606,Antoine_Name,0),2)-INDEX(Antoines,MATCH(L1606,Antoine_Name,0),3)/(INDEX(Antoines,MATCH(L1606,Antoine_Name,0),4)+(L1614-32)*5/9)))*14.7/760,IF(L1607="Crude Oil",EXP((2799/(L1614+459.6)-2.227)*LOG10(INDEX(FX_Input,Y$5,L$3*$Z$5+$AA$5))-(7261/(L1614+459.6))+12.82),IF(L1607="Refined Petroleum Stock",EXP((0.7553-(413/(L1614+459.6)))*(INDEX(FX_Input,Y$5,L$3*$Z$5+$AA$5-1)^0.5)*LOG10(INDEX(FX_Input,Y$5,L$3*$Z$5+$AA$5))-(1.854-(1042/(L1614+459.6)))*(INDEX(FX_Input,Y$5,L$3*$Z$5+$AA$5-1)^0.5)+((2416/(L1614+459.6)-2.013)*LOG10(INDEX(FX_Input,Y$5,L$3*$Z$5+$AA$5)))-(8742/(L1614+459.6))+15.64),EXP(INDEX(Antoines,MATCH(L1606,Antoine_Name,0),2)-INDEX(Antoines,MATCH(L1606,Antoine_Name,0),3)/(L1614+459.6))))),0)</f>
        <v>1</v>
      </c>
      <c r="M1617" cm="1">
        <f t="array" ref="M1617">IFERROR(IF(M1607="Chemical",(10^(INDEX(Antoines,MATCH(M1606,Antoine_Name,0),2)-INDEX(Antoines,MATCH(M1606,Antoine_Name,0),3)/(INDEX(Antoines,MATCH(M1606,Antoine_Name,0),4)+(M1614-32)*5/9)))*14.7/760,IF(M1607="Crude Oil",EXP((2799/(M1614+459.6)-2.227)*LOG10(INDEX(FX_Input,Z$5,M$3*$Z$5+$AA$5))-(7261/(M1614+459.6))+12.82),IF(M1607="Refined Petroleum Stock",EXP((0.7553-(413/(M1614+459.6)))*(INDEX(FX_Input,Z$5,M$3*$Z$5+$AA$5-1)^0.5)*LOG10(INDEX(FX_Input,Z$5,M$3*$Z$5+$AA$5))-(1.854-(1042/(M1614+459.6)))*(INDEX(FX_Input,Z$5,M$3*$Z$5+$AA$5-1)^0.5)+((2416/(M1614+459.6)-2.013)*LOG10(INDEX(FX_Input,Z$5,M$3*$Z$5+$AA$5)))-(8742/(M1614+459.6))+15.64),EXP(INDEX(Antoines,MATCH(M1606,Antoine_Name,0),2)-INDEX(Antoines,MATCH(M1606,Antoine_Name,0),3)/(M1614+459.6))))),0)</f>
        <v>1</v>
      </c>
      <c r="N1617" cm="1">
        <f t="array" ref="N1617">IFERROR(IF(N1607="Chemical",(10^(INDEX(Antoines,MATCH(N1606,Antoine_Name,0),2)-INDEX(Antoines,MATCH(N1606,Antoine_Name,0),3)/(INDEX(Antoines,MATCH(N1606,Antoine_Name,0),4)+(N1614-32)*5/9)))*14.7/760,IF(N1607="Crude Oil",EXP((2799/(N1614+459.6)-2.227)*LOG10(INDEX(FX_Input,AA$5,N$3*$Z$5+$AA$5))-(7261/(N1614+459.6))+12.82),IF(N1607="Refined Petroleum Stock",EXP((0.7553-(413/(N1614+459.6)))*(INDEX(FX_Input,AA$5,N$3*$Z$5+$AA$5-1)^0.5)*LOG10(INDEX(FX_Input,AA$5,N$3*$Z$5+$AA$5))-(1.854-(1042/(N1614+459.6)))*(INDEX(FX_Input,AA$5,N$3*$Z$5+$AA$5-1)^0.5)+((2416/(N1614+459.6)-2.013)*LOG10(INDEX(FX_Input,AA$5,N$3*$Z$5+$AA$5)))-(8742/(N1614+459.6))+15.64),EXP(INDEX(Antoines,MATCH(N1606,Antoine_Name,0),2)-INDEX(Antoines,MATCH(N1606,Antoine_Name,0),3)/(N1614+459.6))))),0)</f>
        <v>1</v>
      </c>
      <c r="O1617" cm="1">
        <f t="array" ref="O1617">IFERROR(IF(O1607="Chemical",(10^(INDEX(Antoines,MATCH(O1606,Antoine_Name,0),2)-INDEX(Antoines,MATCH(O1606,Antoine_Name,0),3)/(INDEX(Antoines,MATCH(O1606,Antoine_Name,0),4)+(O1614-32)*5/9)))*14.7/760,IF(O1607="Crude Oil",EXP((2799/(O1614+459.6)-2.227)*LOG10(INDEX(FX_Input,AB$5,O$3*$Z$5+$AA$5))-(7261/(O1614+459.6))+12.82),IF(O1607="Refined Petroleum Stock",EXP((0.7553-(413/(O1614+459.6)))*(INDEX(FX_Input,AB$5,O$3*$Z$5+$AA$5-1)^0.5)*LOG10(INDEX(FX_Input,AB$5,O$3*$Z$5+$AA$5))-(1.854-(1042/(O1614+459.6)))*(INDEX(FX_Input,AB$5,O$3*$Z$5+$AA$5-1)^0.5)+((2416/(O1614+459.6)-2.013)*LOG10(INDEX(FX_Input,AB$5,O$3*$Z$5+$AA$5)))-(8742/(O1614+459.6))+15.64),EXP(INDEX(Antoines,MATCH(O1606,Antoine_Name,0),2)-INDEX(Antoines,MATCH(O1606,Antoine_Name,0),3)/(O1614+459.6))))),0)</f>
        <v>1</v>
      </c>
    </row>
    <row r="1618" spans="2:15" ht="17.149999999999999" x14ac:dyDescent="0.55000000000000004">
      <c r="B1618" t="str">
        <f t="shared" si="5908"/>
        <v>Portland</v>
      </c>
      <c r="C1618" t="s">
        <v>576</v>
      </c>
      <c r="D1618">
        <f>D1610*D1617</f>
        <v>1</v>
      </c>
      <c r="E1618">
        <f t="shared" ref="E1618" si="5909">E1610*E1617</f>
        <v>1</v>
      </c>
      <c r="F1618">
        <f t="shared" ref="F1618" si="5910">F1610*F1617</f>
        <v>1</v>
      </c>
      <c r="G1618">
        <f t="shared" ref="G1618" si="5911">G1610*G1617</f>
        <v>1</v>
      </c>
      <c r="H1618">
        <f t="shared" ref="H1618" si="5912">H1610*H1617</f>
        <v>1</v>
      </c>
      <c r="I1618">
        <f t="shared" ref="I1618" si="5913">I1610*I1617</f>
        <v>1</v>
      </c>
      <c r="J1618">
        <f t="shared" ref="J1618" si="5914">J1610*J1617</f>
        <v>1</v>
      </c>
      <c r="K1618">
        <f t="shared" ref="K1618" si="5915">K1610*K1617</f>
        <v>1</v>
      </c>
      <c r="L1618">
        <f t="shared" ref="L1618" si="5916">L1610*L1617</f>
        <v>1</v>
      </c>
      <c r="M1618">
        <f t="shared" ref="M1618" si="5917">M1610*M1617</f>
        <v>1</v>
      </c>
      <c r="N1618">
        <f t="shared" ref="N1618" si="5918">N1610*N1617</f>
        <v>1</v>
      </c>
      <c r="O1618">
        <f t="shared" ref="O1618" si="5919">O1610*O1617</f>
        <v>1</v>
      </c>
    </row>
    <row r="1619" spans="2:15" ht="17.149999999999999" x14ac:dyDescent="0.55000000000000004">
      <c r="B1619" t="str">
        <f t="shared" si="5908"/>
        <v>Portland</v>
      </c>
      <c r="C1619" t="s">
        <v>575</v>
      </c>
      <c r="D1619" cm="1">
        <f t="array" ref="D1619">IFERROR(IF(D1609="Chemical",(10^(INDEX(Antoines,MATCH(D1608,Antoine_Name,0),2)-INDEX(Antoines,MATCH(D1608,Antoine_Name,0),3)/(INDEX(Antoines,MATCH(D1608,Antoine_Name,0),4)+(D1614-32)*5/9)))*14.7/760,IF(D1609="Crude Oil",EXP((2799/(D1614+459.6)-2.227)*LOG10(INDEX(FX_Input,Q$5,D$3*$Z$5+$AA$5))-(7261/(D1614+459.6))+12.82),IF(D1609="Refined Petroleum Stock",EXP((0.7553-(413/(D1614+459.6)))*(INDEX(FX_Input,Q$5,D$3*$Z$5+$AA$5-1)^0.5)*LOG10(INDEX(FX_Input,Q$5,D$3*$Z$5+$AA$5))-(1.854-(1042/(D1614+459.6)))*(INDEX(FX_Input,Q$5,D$3*$Z$5+$AA$5-1)^0.5)+((2416/(D1614+459.6)-2.013)*LOG10(INDEX(FX_Input,Q$5,D$3*$Z$5+$AA$5)))-(8742/(D1614+459.6))+15.64),EXP(INDEX(Antoines,MATCH(D1608,Antoine_Name,0),2)-INDEX(Antoines,MATCH(D1608,Antoine_Name,0),3)/(D1614+459.6))))),0)</f>
        <v>0</v>
      </c>
      <c r="E1619" cm="1">
        <f t="array" ref="E1619">IFERROR(IF(E1609="Chemical",(10^(INDEX(Antoines,MATCH(E1608,Antoine_Name,0),2)-INDEX(Antoines,MATCH(E1608,Antoine_Name,0),3)/(INDEX(Antoines,MATCH(E1608,Antoine_Name,0),4)+(E1614-32)*5/9)))*14.7/760,IF(E1609="Crude Oil",EXP((2799/(E1614+459.6)-2.227)*LOG10(INDEX(FX_Input,R$5,E$3*$Z$5+$AA$5))-(7261/(E1614+459.6))+12.82),IF(E1609="Refined Petroleum Stock",EXP((0.7553-(413/(E1614+459.6)))*(INDEX(FX_Input,R$5,E$3*$Z$5+$AA$5-1)^0.5)*LOG10(INDEX(FX_Input,R$5,E$3*$Z$5+$AA$5))-(1.854-(1042/(E1614+459.6)))*(INDEX(FX_Input,R$5,E$3*$Z$5+$AA$5-1)^0.5)+((2416/(E1614+459.6)-2.013)*LOG10(INDEX(FX_Input,R$5,E$3*$Z$5+$AA$5)))-(8742/(E1614+459.6))+15.64),EXP(INDEX(Antoines,MATCH(E1608,Antoine_Name,0),2)-INDEX(Antoines,MATCH(E1608,Antoine_Name,0),3)/(E1614+459.6))))),0)</f>
        <v>0</v>
      </c>
      <c r="F1619" cm="1">
        <f t="array" ref="F1619">IFERROR(IF(F1609="Chemical",(10^(INDEX(Antoines,MATCH(F1608,Antoine_Name,0),2)-INDEX(Antoines,MATCH(F1608,Antoine_Name,0),3)/(INDEX(Antoines,MATCH(F1608,Antoine_Name,0),4)+(F1614-32)*5/9)))*14.7/760,IF(F1609="Crude Oil",EXP((2799/(F1614+459.6)-2.227)*LOG10(INDEX(FX_Input,S$5,F$3*$Z$5+$AA$5))-(7261/(F1614+459.6))+12.82),IF(F1609="Refined Petroleum Stock",EXP((0.7553-(413/(F1614+459.6)))*(INDEX(FX_Input,S$5,F$3*$Z$5+$AA$5-1)^0.5)*LOG10(INDEX(FX_Input,S$5,F$3*$Z$5+$AA$5))-(1.854-(1042/(F1614+459.6)))*(INDEX(FX_Input,S$5,F$3*$Z$5+$AA$5-1)^0.5)+((2416/(F1614+459.6)-2.013)*LOG10(INDEX(FX_Input,S$5,F$3*$Z$5+$AA$5)))-(8742/(F1614+459.6))+15.64),EXP(INDEX(Antoines,MATCH(F1608,Antoine_Name,0),2)-INDEX(Antoines,MATCH(F1608,Antoine_Name,0),3)/(F1614+459.6))))),0)</f>
        <v>0</v>
      </c>
      <c r="G1619" cm="1">
        <f t="array" ref="G1619">IFERROR(IF(G1609="Chemical",(10^(INDEX(Antoines,MATCH(G1608,Antoine_Name,0),2)-INDEX(Antoines,MATCH(G1608,Antoine_Name,0),3)/(INDEX(Antoines,MATCH(G1608,Antoine_Name,0),4)+(G1614-32)*5/9)))*14.7/760,IF(G1609="Crude Oil",EXP((2799/(G1614+459.6)-2.227)*LOG10(INDEX(FX_Input,T$5,G$3*$Z$5+$AA$5))-(7261/(G1614+459.6))+12.82),IF(G1609="Refined Petroleum Stock",EXP((0.7553-(413/(G1614+459.6)))*(INDEX(FX_Input,T$5,G$3*$Z$5+$AA$5-1)^0.5)*LOG10(INDEX(FX_Input,T$5,G$3*$Z$5+$AA$5))-(1.854-(1042/(G1614+459.6)))*(INDEX(FX_Input,T$5,G$3*$Z$5+$AA$5-1)^0.5)+((2416/(G1614+459.6)-2.013)*LOG10(INDEX(FX_Input,T$5,G$3*$Z$5+$AA$5)))-(8742/(G1614+459.6))+15.64),EXP(INDEX(Antoines,MATCH(G1608,Antoine_Name,0),2)-INDEX(Antoines,MATCH(G1608,Antoine_Name,0),3)/(G1614+459.6))))),0)</f>
        <v>0</v>
      </c>
      <c r="H1619" cm="1">
        <f t="array" ref="H1619">IFERROR(IF(H1609="Chemical",(10^(INDEX(Antoines,MATCH(H1608,Antoine_Name,0),2)-INDEX(Antoines,MATCH(H1608,Antoine_Name,0),3)/(INDEX(Antoines,MATCH(H1608,Antoine_Name,0),4)+(H1614-32)*5/9)))*14.7/760,IF(H1609="Crude Oil",EXP((2799/(H1614+459.6)-2.227)*LOG10(INDEX(FX_Input,U$5,H$3*$Z$5+$AA$5))-(7261/(H1614+459.6))+12.82),IF(H1609="Refined Petroleum Stock",EXP((0.7553-(413/(H1614+459.6)))*(INDEX(FX_Input,U$5,H$3*$Z$5+$AA$5-1)^0.5)*LOG10(INDEX(FX_Input,U$5,H$3*$Z$5+$AA$5))-(1.854-(1042/(H1614+459.6)))*(INDEX(FX_Input,U$5,H$3*$Z$5+$AA$5-1)^0.5)+((2416/(H1614+459.6)-2.013)*LOG10(INDEX(FX_Input,U$5,H$3*$Z$5+$AA$5)))-(8742/(H1614+459.6))+15.64),EXP(INDEX(Antoines,MATCH(H1608,Antoine_Name,0),2)-INDEX(Antoines,MATCH(H1608,Antoine_Name,0),3)/(H1614+459.6))))),0)</f>
        <v>0</v>
      </c>
      <c r="I1619" cm="1">
        <f t="array" ref="I1619">IFERROR(IF(I1609="Chemical",(10^(INDEX(Antoines,MATCH(I1608,Antoine_Name,0),2)-INDEX(Antoines,MATCH(I1608,Antoine_Name,0),3)/(INDEX(Antoines,MATCH(I1608,Antoine_Name,0),4)+(I1614-32)*5/9)))*14.7/760,IF(I1609="Crude Oil",EXP((2799/(I1614+459.6)-2.227)*LOG10(INDEX(FX_Input,V$5,I$3*$Z$5+$AA$5))-(7261/(I1614+459.6))+12.82),IF(I1609="Refined Petroleum Stock",EXP((0.7553-(413/(I1614+459.6)))*(INDEX(FX_Input,V$5,I$3*$Z$5+$AA$5-1)^0.5)*LOG10(INDEX(FX_Input,V$5,I$3*$Z$5+$AA$5))-(1.854-(1042/(I1614+459.6)))*(INDEX(FX_Input,V$5,I$3*$Z$5+$AA$5-1)^0.5)+((2416/(I1614+459.6)-2.013)*LOG10(INDEX(FX_Input,V$5,I$3*$Z$5+$AA$5)))-(8742/(I1614+459.6))+15.64),EXP(INDEX(Antoines,MATCH(I1608,Antoine_Name,0),2)-INDEX(Antoines,MATCH(I1608,Antoine_Name,0),3)/(I1614+459.6))))),0)</f>
        <v>0</v>
      </c>
      <c r="J1619" cm="1">
        <f t="array" ref="J1619">IFERROR(IF(J1609="Chemical",(10^(INDEX(Antoines,MATCH(J1608,Antoine_Name,0),2)-INDEX(Antoines,MATCH(J1608,Antoine_Name,0),3)/(INDEX(Antoines,MATCH(J1608,Antoine_Name,0),4)+(J1614-32)*5/9)))*14.7/760,IF(J1609="Crude Oil",EXP((2799/(J1614+459.6)-2.227)*LOG10(INDEX(FX_Input,W$5,J$3*$Z$5+$AA$5))-(7261/(J1614+459.6))+12.82),IF(J1609="Refined Petroleum Stock",EXP((0.7553-(413/(J1614+459.6)))*(INDEX(FX_Input,W$5,J$3*$Z$5+$AA$5-1)^0.5)*LOG10(INDEX(FX_Input,W$5,J$3*$Z$5+$AA$5))-(1.854-(1042/(J1614+459.6)))*(INDEX(FX_Input,W$5,J$3*$Z$5+$AA$5-1)^0.5)+((2416/(J1614+459.6)-2.013)*LOG10(INDEX(FX_Input,W$5,J$3*$Z$5+$AA$5)))-(8742/(J1614+459.6))+15.64),EXP(INDEX(Antoines,MATCH(J1608,Antoine_Name,0),2)-INDEX(Antoines,MATCH(J1608,Antoine_Name,0),3)/(J1614+459.6))))),0)</f>
        <v>0</v>
      </c>
      <c r="K1619" cm="1">
        <f t="array" ref="K1619">IFERROR(IF(K1609="Chemical",(10^(INDEX(Antoines,MATCH(K1608,Antoine_Name,0),2)-INDEX(Antoines,MATCH(K1608,Antoine_Name,0),3)/(INDEX(Antoines,MATCH(K1608,Antoine_Name,0),4)+(K1614-32)*5/9)))*14.7/760,IF(K1609="Crude Oil",EXP((2799/(K1614+459.6)-2.227)*LOG10(INDEX(FX_Input,X$5,K$3*$Z$5+$AA$5))-(7261/(K1614+459.6))+12.82),IF(K1609="Refined Petroleum Stock",EXP((0.7553-(413/(K1614+459.6)))*(INDEX(FX_Input,X$5,K$3*$Z$5+$AA$5-1)^0.5)*LOG10(INDEX(FX_Input,X$5,K$3*$Z$5+$AA$5))-(1.854-(1042/(K1614+459.6)))*(INDEX(FX_Input,X$5,K$3*$Z$5+$AA$5-1)^0.5)+((2416/(K1614+459.6)-2.013)*LOG10(INDEX(FX_Input,X$5,K$3*$Z$5+$AA$5)))-(8742/(K1614+459.6))+15.64),EXP(INDEX(Antoines,MATCH(K1608,Antoine_Name,0),2)-INDEX(Antoines,MATCH(K1608,Antoine_Name,0),3)/(K1614+459.6))))),0)</f>
        <v>0</v>
      </c>
      <c r="L1619" cm="1">
        <f t="array" ref="L1619">IFERROR(IF(L1609="Chemical",(10^(INDEX(Antoines,MATCH(L1608,Antoine_Name,0),2)-INDEX(Antoines,MATCH(L1608,Antoine_Name,0),3)/(INDEX(Antoines,MATCH(L1608,Antoine_Name,0),4)+(L1614-32)*5/9)))*14.7/760,IF(L1609="Crude Oil",EXP((2799/(L1614+459.6)-2.227)*LOG10(INDEX(FX_Input,Y$5,L$3*$Z$5+$AA$5))-(7261/(L1614+459.6))+12.82),IF(L1609="Refined Petroleum Stock",EXP((0.7553-(413/(L1614+459.6)))*(INDEX(FX_Input,Y$5,L$3*$Z$5+$AA$5-1)^0.5)*LOG10(INDEX(FX_Input,Y$5,L$3*$Z$5+$AA$5))-(1.854-(1042/(L1614+459.6)))*(INDEX(FX_Input,Y$5,L$3*$Z$5+$AA$5-1)^0.5)+((2416/(L1614+459.6)-2.013)*LOG10(INDEX(FX_Input,Y$5,L$3*$Z$5+$AA$5)))-(8742/(L1614+459.6))+15.64),EXP(INDEX(Antoines,MATCH(L1608,Antoine_Name,0),2)-INDEX(Antoines,MATCH(L1608,Antoine_Name,0),3)/(L1614+459.6))))),0)</f>
        <v>0</v>
      </c>
      <c r="M1619" cm="1">
        <f t="array" ref="M1619">IFERROR(IF(M1609="Chemical",(10^(INDEX(Antoines,MATCH(M1608,Antoine_Name,0),2)-INDEX(Antoines,MATCH(M1608,Antoine_Name,0),3)/(INDEX(Antoines,MATCH(M1608,Antoine_Name,0),4)+(M1614-32)*5/9)))*14.7/760,IF(M1609="Crude Oil",EXP((2799/(M1614+459.6)-2.227)*LOG10(INDEX(FX_Input,Z$5,M$3*$Z$5+$AA$5))-(7261/(M1614+459.6))+12.82),IF(M1609="Refined Petroleum Stock",EXP((0.7553-(413/(M1614+459.6)))*(INDEX(FX_Input,Z$5,M$3*$Z$5+$AA$5-1)^0.5)*LOG10(INDEX(FX_Input,Z$5,M$3*$Z$5+$AA$5))-(1.854-(1042/(M1614+459.6)))*(INDEX(FX_Input,Z$5,M$3*$Z$5+$AA$5-1)^0.5)+((2416/(M1614+459.6)-2.013)*LOG10(INDEX(FX_Input,Z$5,M$3*$Z$5+$AA$5)))-(8742/(M1614+459.6))+15.64),EXP(INDEX(Antoines,MATCH(M1608,Antoine_Name,0),2)-INDEX(Antoines,MATCH(M1608,Antoine_Name,0),3)/(M1614+459.6))))),0)</f>
        <v>0</v>
      </c>
      <c r="N1619" cm="1">
        <f t="array" ref="N1619">IFERROR(IF(N1609="Chemical",(10^(INDEX(Antoines,MATCH(N1608,Antoine_Name,0),2)-INDEX(Antoines,MATCH(N1608,Antoine_Name,0),3)/(INDEX(Antoines,MATCH(N1608,Antoine_Name,0),4)+(N1614-32)*5/9)))*14.7/760,IF(N1609="Crude Oil",EXP((2799/(N1614+459.6)-2.227)*LOG10(INDEX(FX_Input,AA$5,N$3*$Z$5+$AA$5))-(7261/(N1614+459.6))+12.82),IF(N1609="Refined Petroleum Stock",EXP((0.7553-(413/(N1614+459.6)))*(INDEX(FX_Input,AA$5,N$3*$Z$5+$AA$5-1)^0.5)*LOG10(INDEX(FX_Input,AA$5,N$3*$Z$5+$AA$5))-(1.854-(1042/(N1614+459.6)))*(INDEX(FX_Input,AA$5,N$3*$Z$5+$AA$5-1)^0.5)+((2416/(N1614+459.6)-2.013)*LOG10(INDEX(FX_Input,AA$5,N$3*$Z$5+$AA$5)))-(8742/(N1614+459.6))+15.64),EXP(INDEX(Antoines,MATCH(N1608,Antoine_Name,0),2)-INDEX(Antoines,MATCH(N1608,Antoine_Name,0),3)/(N1614+459.6))))),0)</f>
        <v>0</v>
      </c>
      <c r="O1619" cm="1">
        <f t="array" ref="O1619">IFERROR(IF(O1609="Chemical",(10^(INDEX(Antoines,MATCH(O1608,Antoine_Name,0),2)-INDEX(Antoines,MATCH(O1608,Antoine_Name,0),3)/(INDEX(Antoines,MATCH(O1608,Antoine_Name,0),4)+(O1614-32)*5/9)))*14.7/760,IF(O1609="Crude Oil",EXP((2799/(O1614+459.6)-2.227)*LOG10(INDEX(FX_Input,AB$5,O$3*$Z$5+$AA$5))-(7261/(O1614+459.6))+12.82),IF(O1609="Refined Petroleum Stock",EXP((0.7553-(413/(O1614+459.6)))*(INDEX(FX_Input,AB$5,O$3*$Z$5+$AA$5-1)^0.5)*LOG10(INDEX(FX_Input,AB$5,O$3*$Z$5+$AA$5))-(1.854-(1042/(O1614+459.6)))*(INDEX(FX_Input,AB$5,O$3*$Z$5+$AA$5-1)^0.5)+((2416/(O1614+459.6)-2.013)*LOG10(INDEX(FX_Input,AB$5,O$3*$Z$5+$AA$5)))-(8742/(O1614+459.6))+15.64),EXP(INDEX(Antoines,MATCH(O1608,Antoine_Name,0),2)-INDEX(Antoines,MATCH(O1608,Antoine_Name,0),3)/(O1614+459.6))))),0)</f>
        <v>0</v>
      </c>
    </row>
    <row r="1620" spans="2:15" ht="17.149999999999999" x14ac:dyDescent="0.55000000000000004">
      <c r="B1620" t="str">
        <f t="shared" si="5908"/>
        <v>Portland</v>
      </c>
      <c r="C1620" t="s">
        <v>577</v>
      </c>
      <c r="D1620">
        <f>D1619*D1612</f>
        <v>0</v>
      </c>
      <c r="E1620">
        <f t="shared" ref="E1620" si="5920">E1619*E1612</f>
        <v>0</v>
      </c>
      <c r="F1620">
        <f t="shared" ref="F1620" si="5921">F1619*F1612</f>
        <v>0</v>
      </c>
      <c r="G1620">
        <f t="shared" ref="G1620" si="5922">G1619*G1612</f>
        <v>0</v>
      </c>
      <c r="H1620">
        <f t="shared" ref="H1620" si="5923">H1619*H1612</f>
        <v>0</v>
      </c>
      <c r="I1620">
        <f t="shared" ref="I1620" si="5924">I1619*I1612</f>
        <v>0</v>
      </c>
      <c r="J1620">
        <f t="shared" ref="J1620" si="5925">J1619*J1612</f>
        <v>0</v>
      </c>
      <c r="K1620">
        <f t="shared" ref="K1620" si="5926">K1619*K1612</f>
        <v>0</v>
      </c>
      <c r="L1620">
        <f t="shared" ref="L1620" si="5927">L1619*L1612</f>
        <v>0</v>
      </c>
      <c r="M1620">
        <f t="shared" ref="M1620" si="5928">M1619*M1612</f>
        <v>0</v>
      </c>
      <c r="N1620">
        <f t="shared" ref="N1620" si="5929">N1619*N1612</f>
        <v>0</v>
      </c>
      <c r="O1620">
        <f t="shared" ref="O1620" si="5930">O1619*O1612</f>
        <v>0</v>
      </c>
    </row>
    <row r="1621" spans="2:15" ht="17.149999999999999" x14ac:dyDescent="0.55000000000000004">
      <c r="B1621" t="str">
        <f t="shared" si="5908"/>
        <v>Portland</v>
      </c>
      <c r="C1621" t="s">
        <v>578</v>
      </c>
      <c r="D1621">
        <f>D1620+D1618</f>
        <v>1</v>
      </c>
      <c r="E1621">
        <f t="shared" ref="E1621" si="5931">E1620+E1618</f>
        <v>1</v>
      </c>
      <c r="F1621">
        <f t="shared" ref="F1621" si="5932">F1620+F1618</f>
        <v>1</v>
      </c>
      <c r="G1621">
        <f t="shared" ref="G1621" si="5933">G1620+G1618</f>
        <v>1</v>
      </c>
      <c r="H1621">
        <f t="shared" ref="H1621" si="5934">H1620+H1618</f>
        <v>1</v>
      </c>
      <c r="I1621">
        <f t="shared" ref="I1621" si="5935">I1620+I1618</f>
        <v>1</v>
      </c>
      <c r="J1621">
        <f t="shared" ref="J1621" si="5936">J1620+J1618</f>
        <v>1</v>
      </c>
      <c r="K1621">
        <f t="shared" ref="K1621" si="5937">K1620+K1618</f>
        <v>1</v>
      </c>
      <c r="L1621">
        <f t="shared" ref="L1621" si="5938">L1620+L1618</f>
        <v>1</v>
      </c>
      <c r="M1621">
        <f t="shared" ref="M1621" si="5939">M1620+M1618</f>
        <v>1</v>
      </c>
      <c r="N1621">
        <f t="shared" ref="N1621" si="5940">N1620+N1618</f>
        <v>1</v>
      </c>
      <c r="O1621">
        <f t="shared" ref="O1621" si="5941">O1620+O1618</f>
        <v>1</v>
      </c>
    </row>
    <row r="1622" spans="2:15" ht="17.149999999999999" x14ac:dyDescent="0.55000000000000004">
      <c r="B1622" t="str">
        <f t="shared" si="5908"/>
        <v>Portland</v>
      </c>
      <c r="C1622" t="s">
        <v>579</v>
      </c>
      <c r="D1622" cm="1">
        <f t="array" ref="D1622">IFERROR(IF(D1607="Chemical",(10^(INDEX(Antoines,MATCH(D1606,Antoine_Name,0),2)-INDEX(Antoines,MATCH(D1606,Antoine_Name,0),3)/(INDEX(Antoines,MATCH(D1606,Antoine_Name,0),4)+(D1615-32)*5/9)))*14.7/760,IF(D1607="Crude Oil",EXP((2799/(D1615+459.6)-2.227)*LOG10(INDEX(FX_Input,Q$5,D$3*$Z$5+$AA$5))-(7261/(D1615+459.6))+12.82),IF(D1607="Refined Petroleum Stock",EXP((0.7553-(413/(D1615+459.6)))*(INDEX(FX_Input,Q$5,D$3*$Z$5+$AA$5-1)^0.5)*LOG10(INDEX(FX_Input,Q$5,D$3*$Z$5+$AA$5))-(1.854-(1042/(D1615+459.6)))*(INDEX(FX_Input,Q$5,D$3*$Z$5+$AA$5-1)^0.5)+((2416/(D1615+459.6)-2.013)*LOG10(INDEX(FX_Input,Q$5,D$3*$Z$5+$AA$5)))-(8742/(D1615+459.6))+15.64),EXP(INDEX(Antoines,MATCH(D1606,Antoine_Name,0),2)-INDEX(Antoines,MATCH(D1606,Antoine_Name,0),3)/(D1615+459.6))))),0)</f>
        <v>1</v>
      </c>
      <c r="E1622" cm="1">
        <f t="array" ref="E1622">IFERROR(IF(E1607="Chemical",(10^(INDEX(Antoines,MATCH(E1606,Antoine_Name,0),2)-INDEX(Antoines,MATCH(E1606,Antoine_Name,0),3)/(INDEX(Antoines,MATCH(E1606,Antoine_Name,0),4)+(E1615-32)*5/9)))*14.7/760,IF(E1607="Crude Oil",EXP((2799/(E1615+459.6)-2.227)*LOG10(INDEX(FX_Input,R$5,E$3*$Z$5+$AA$5))-(7261/(E1615+459.6))+12.82),IF(E1607="Refined Petroleum Stock",EXP((0.7553-(413/(E1615+459.6)))*(INDEX(FX_Input,R$5,E$3*$Z$5+$AA$5-1)^0.5)*LOG10(INDEX(FX_Input,R$5,E$3*$Z$5+$AA$5))-(1.854-(1042/(E1615+459.6)))*(INDEX(FX_Input,R$5,E$3*$Z$5+$AA$5-1)^0.5)+((2416/(E1615+459.6)-2.013)*LOG10(INDEX(FX_Input,R$5,E$3*$Z$5+$AA$5)))-(8742/(E1615+459.6))+15.64),EXP(INDEX(Antoines,MATCH(E1606,Antoine_Name,0),2)-INDEX(Antoines,MATCH(E1606,Antoine_Name,0),3)/(E1615+459.6))))),0)</f>
        <v>1</v>
      </c>
      <c r="F1622" cm="1">
        <f t="array" ref="F1622">IFERROR(IF(F1607="Chemical",(10^(INDEX(Antoines,MATCH(F1606,Antoine_Name,0),2)-INDEX(Antoines,MATCH(F1606,Antoine_Name,0),3)/(INDEX(Antoines,MATCH(F1606,Antoine_Name,0),4)+(F1615-32)*5/9)))*14.7/760,IF(F1607="Crude Oil",EXP((2799/(F1615+459.6)-2.227)*LOG10(INDEX(FX_Input,S$5,F$3*$Z$5+$AA$5))-(7261/(F1615+459.6))+12.82),IF(F1607="Refined Petroleum Stock",EXP((0.7553-(413/(F1615+459.6)))*(INDEX(FX_Input,S$5,F$3*$Z$5+$AA$5-1)^0.5)*LOG10(INDEX(FX_Input,S$5,F$3*$Z$5+$AA$5))-(1.854-(1042/(F1615+459.6)))*(INDEX(FX_Input,S$5,F$3*$Z$5+$AA$5-1)^0.5)+((2416/(F1615+459.6)-2.013)*LOG10(INDEX(FX_Input,S$5,F$3*$Z$5+$AA$5)))-(8742/(F1615+459.6))+15.64),EXP(INDEX(Antoines,MATCH(F1606,Antoine_Name,0),2)-INDEX(Antoines,MATCH(F1606,Antoine_Name,0),3)/(F1615+459.6))))),0)</f>
        <v>1</v>
      </c>
      <c r="G1622" cm="1">
        <f t="array" ref="G1622">IFERROR(IF(G1607="Chemical",(10^(INDEX(Antoines,MATCH(G1606,Antoine_Name,0),2)-INDEX(Antoines,MATCH(G1606,Antoine_Name,0),3)/(INDEX(Antoines,MATCH(G1606,Antoine_Name,0),4)+(G1615-32)*5/9)))*14.7/760,IF(G1607="Crude Oil",EXP((2799/(G1615+459.6)-2.227)*LOG10(INDEX(FX_Input,T$5,G$3*$Z$5+$AA$5))-(7261/(G1615+459.6))+12.82),IF(G1607="Refined Petroleum Stock",EXP((0.7553-(413/(G1615+459.6)))*(INDEX(FX_Input,T$5,G$3*$Z$5+$AA$5-1)^0.5)*LOG10(INDEX(FX_Input,T$5,G$3*$Z$5+$AA$5))-(1.854-(1042/(G1615+459.6)))*(INDEX(FX_Input,T$5,G$3*$Z$5+$AA$5-1)^0.5)+((2416/(G1615+459.6)-2.013)*LOG10(INDEX(FX_Input,T$5,G$3*$Z$5+$AA$5)))-(8742/(G1615+459.6))+15.64),EXP(INDEX(Antoines,MATCH(G1606,Antoine_Name,0),2)-INDEX(Antoines,MATCH(G1606,Antoine_Name,0),3)/(G1615+459.6))))),0)</f>
        <v>1</v>
      </c>
      <c r="H1622" cm="1">
        <f t="array" ref="H1622">IFERROR(IF(H1607="Chemical",(10^(INDEX(Antoines,MATCH(H1606,Antoine_Name,0),2)-INDEX(Antoines,MATCH(H1606,Antoine_Name,0),3)/(INDEX(Antoines,MATCH(H1606,Antoine_Name,0),4)+(H1615-32)*5/9)))*14.7/760,IF(H1607="Crude Oil",EXP((2799/(H1615+459.6)-2.227)*LOG10(INDEX(FX_Input,U$5,H$3*$Z$5+$AA$5))-(7261/(H1615+459.6))+12.82),IF(H1607="Refined Petroleum Stock",EXP((0.7553-(413/(H1615+459.6)))*(INDEX(FX_Input,U$5,H$3*$Z$5+$AA$5-1)^0.5)*LOG10(INDEX(FX_Input,U$5,H$3*$Z$5+$AA$5))-(1.854-(1042/(H1615+459.6)))*(INDEX(FX_Input,U$5,H$3*$Z$5+$AA$5-1)^0.5)+((2416/(H1615+459.6)-2.013)*LOG10(INDEX(FX_Input,U$5,H$3*$Z$5+$AA$5)))-(8742/(H1615+459.6))+15.64),EXP(INDEX(Antoines,MATCH(H1606,Antoine_Name,0),2)-INDEX(Antoines,MATCH(H1606,Antoine_Name,0),3)/(H1615+459.6))))),0)</f>
        <v>1</v>
      </c>
      <c r="I1622" cm="1">
        <f t="array" ref="I1622">IFERROR(IF(I1607="Chemical",(10^(INDEX(Antoines,MATCH(I1606,Antoine_Name,0),2)-INDEX(Antoines,MATCH(I1606,Antoine_Name,0),3)/(INDEX(Antoines,MATCH(I1606,Antoine_Name,0),4)+(I1615-32)*5/9)))*14.7/760,IF(I1607="Crude Oil",EXP((2799/(I1615+459.6)-2.227)*LOG10(INDEX(FX_Input,V$5,I$3*$Z$5+$AA$5))-(7261/(I1615+459.6))+12.82),IF(I1607="Refined Petroleum Stock",EXP((0.7553-(413/(I1615+459.6)))*(INDEX(FX_Input,V$5,I$3*$Z$5+$AA$5-1)^0.5)*LOG10(INDEX(FX_Input,V$5,I$3*$Z$5+$AA$5))-(1.854-(1042/(I1615+459.6)))*(INDEX(FX_Input,V$5,I$3*$Z$5+$AA$5-1)^0.5)+((2416/(I1615+459.6)-2.013)*LOG10(INDEX(FX_Input,V$5,I$3*$Z$5+$AA$5)))-(8742/(I1615+459.6))+15.64),EXP(INDEX(Antoines,MATCH(I1606,Antoine_Name,0),2)-INDEX(Antoines,MATCH(I1606,Antoine_Name,0),3)/(I1615+459.6))))),0)</f>
        <v>1</v>
      </c>
      <c r="J1622" cm="1">
        <f t="array" ref="J1622">IFERROR(IF(J1607="Chemical",(10^(INDEX(Antoines,MATCH(J1606,Antoine_Name,0),2)-INDEX(Antoines,MATCH(J1606,Antoine_Name,0),3)/(INDEX(Antoines,MATCH(J1606,Antoine_Name,0),4)+(J1615-32)*5/9)))*14.7/760,IF(J1607="Crude Oil",EXP((2799/(J1615+459.6)-2.227)*LOG10(INDEX(FX_Input,W$5,J$3*$Z$5+$AA$5))-(7261/(J1615+459.6))+12.82),IF(J1607="Refined Petroleum Stock",EXP((0.7553-(413/(J1615+459.6)))*(INDEX(FX_Input,W$5,J$3*$Z$5+$AA$5-1)^0.5)*LOG10(INDEX(FX_Input,W$5,J$3*$Z$5+$AA$5))-(1.854-(1042/(J1615+459.6)))*(INDEX(FX_Input,W$5,J$3*$Z$5+$AA$5-1)^0.5)+((2416/(J1615+459.6)-2.013)*LOG10(INDEX(FX_Input,W$5,J$3*$Z$5+$AA$5)))-(8742/(J1615+459.6))+15.64),EXP(INDEX(Antoines,MATCH(J1606,Antoine_Name,0),2)-INDEX(Antoines,MATCH(J1606,Antoine_Name,0),3)/(J1615+459.6))))),0)</f>
        <v>1</v>
      </c>
      <c r="K1622" cm="1">
        <f t="array" ref="K1622">IFERROR(IF(K1607="Chemical",(10^(INDEX(Antoines,MATCH(K1606,Antoine_Name,0),2)-INDEX(Antoines,MATCH(K1606,Antoine_Name,0),3)/(INDEX(Antoines,MATCH(K1606,Antoine_Name,0),4)+(K1615-32)*5/9)))*14.7/760,IF(K1607="Crude Oil",EXP((2799/(K1615+459.6)-2.227)*LOG10(INDEX(FX_Input,X$5,K$3*$Z$5+$AA$5))-(7261/(K1615+459.6))+12.82),IF(K1607="Refined Petroleum Stock",EXP((0.7553-(413/(K1615+459.6)))*(INDEX(FX_Input,X$5,K$3*$Z$5+$AA$5-1)^0.5)*LOG10(INDEX(FX_Input,X$5,K$3*$Z$5+$AA$5))-(1.854-(1042/(K1615+459.6)))*(INDEX(FX_Input,X$5,K$3*$Z$5+$AA$5-1)^0.5)+((2416/(K1615+459.6)-2.013)*LOG10(INDEX(FX_Input,X$5,K$3*$Z$5+$AA$5)))-(8742/(K1615+459.6))+15.64),EXP(INDEX(Antoines,MATCH(K1606,Antoine_Name,0),2)-INDEX(Antoines,MATCH(K1606,Antoine_Name,0),3)/(K1615+459.6))))),0)</f>
        <v>1</v>
      </c>
      <c r="L1622" cm="1">
        <f t="array" ref="L1622">IFERROR(IF(L1607="Chemical",(10^(INDEX(Antoines,MATCH(L1606,Antoine_Name,0),2)-INDEX(Antoines,MATCH(L1606,Antoine_Name,0),3)/(INDEX(Antoines,MATCH(L1606,Antoine_Name,0),4)+(L1615-32)*5/9)))*14.7/760,IF(L1607="Crude Oil",EXP((2799/(L1615+459.6)-2.227)*LOG10(INDEX(FX_Input,Y$5,L$3*$Z$5+$AA$5))-(7261/(L1615+459.6))+12.82),IF(L1607="Refined Petroleum Stock",EXP((0.7553-(413/(L1615+459.6)))*(INDEX(FX_Input,Y$5,L$3*$Z$5+$AA$5-1)^0.5)*LOG10(INDEX(FX_Input,Y$5,L$3*$Z$5+$AA$5))-(1.854-(1042/(L1615+459.6)))*(INDEX(FX_Input,Y$5,L$3*$Z$5+$AA$5-1)^0.5)+((2416/(L1615+459.6)-2.013)*LOG10(INDEX(FX_Input,Y$5,L$3*$Z$5+$AA$5)))-(8742/(L1615+459.6))+15.64),EXP(INDEX(Antoines,MATCH(L1606,Antoine_Name,0),2)-INDEX(Antoines,MATCH(L1606,Antoine_Name,0),3)/(L1615+459.6))))),0)</f>
        <v>1</v>
      </c>
      <c r="M1622" cm="1">
        <f t="array" ref="M1622">IFERROR(IF(M1607="Chemical",(10^(INDEX(Antoines,MATCH(M1606,Antoine_Name,0),2)-INDEX(Antoines,MATCH(M1606,Antoine_Name,0),3)/(INDEX(Antoines,MATCH(M1606,Antoine_Name,0),4)+(M1615-32)*5/9)))*14.7/760,IF(M1607="Crude Oil",EXP((2799/(M1615+459.6)-2.227)*LOG10(INDEX(FX_Input,Z$5,M$3*$Z$5+$AA$5))-(7261/(M1615+459.6))+12.82),IF(M1607="Refined Petroleum Stock",EXP((0.7553-(413/(M1615+459.6)))*(INDEX(FX_Input,Z$5,M$3*$Z$5+$AA$5-1)^0.5)*LOG10(INDEX(FX_Input,Z$5,M$3*$Z$5+$AA$5))-(1.854-(1042/(M1615+459.6)))*(INDEX(FX_Input,Z$5,M$3*$Z$5+$AA$5-1)^0.5)+((2416/(M1615+459.6)-2.013)*LOG10(INDEX(FX_Input,Z$5,M$3*$Z$5+$AA$5)))-(8742/(M1615+459.6))+15.64),EXP(INDEX(Antoines,MATCH(M1606,Antoine_Name,0),2)-INDEX(Antoines,MATCH(M1606,Antoine_Name,0),3)/(M1615+459.6))))),0)</f>
        <v>1</v>
      </c>
      <c r="N1622" cm="1">
        <f t="array" ref="N1622">IFERROR(IF(N1607="Chemical",(10^(INDEX(Antoines,MATCH(N1606,Antoine_Name,0),2)-INDEX(Antoines,MATCH(N1606,Antoine_Name,0),3)/(INDEX(Antoines,MATCH(N1606,Antoine_Name,0),4)+(N1615-32)*5/9)))*14.7/760,IF(N1607="Crude Oil",EXP((2799/(N1615+459.6)-2.227)*LOG10(INDEX(FX_Input,AA$5,N$3*$Z$5+$AA$5))-(7261/(N1615+459.6))+12.82),IF(N1607="Refined Petroleum Stock",EXP((0.7553-(413/(N1615+459.6)))*(INDEX(FX_Input,AA$5,N$3*$Z$5+$AA$5-1)^0.5)*LOG10(INDEX(FX_Input,AA$5,N$3*$Z$5+$AA$5))-(1.854-(1042/(N1615+459.6)))*(INDEX(FX_Input,AA$5,N$3*$Z$5+$AA$5-1)^0.5)+((2416/(N1615+459.6)-2.013)*LOG10(INDEX(FX_Input,AA$5,N$3*$Z$5+$AA$5)))-(8742/(N1615+459.6))+15.64),EXP(INDEX(Antoines,MATCH(N1606,Antoine_Name,0),2)-INDEX(Antoines,MATCH(N1606,Antoine_Name,0),3)/(N1615+459.6))))),0)</f>
        <v>1</v>
      </c>
      <c r="O1622" cm="1">
        <f t="array" ref="O1622">IFERROR(IF(O1607="Chemical",(10^(INDEX(Antoines,MATCH(O1606,Antoine_Name,0),2)-INDEX(Antoines,MATCH(O1606,Antoine_Name,0),3)/(INDEX(Antoines,MATCH(O1606,Antoine_Name,0),4)+(O1615-32)*5/9)))*14.7/760,IF(O1607="Crude Oil",EXP((2799/(O1615+459.6)-2.227)*LOG10(INDEX(FX_Input,AB$5,O$3*$Z$5+$AA$5))-(7261/(O1615+459.6))+12.82),IF(O1607="Refined Petroleum Stock",EXP((0.7553-(413/(O1615+459.6)))*(INDEX(FX_Input,AB$5,O$3*$Z$5+$AA$5-1)^0.5)*LOG10(INDEX(FX_Input,AB$5,O$3*$Z$5+$AA$5))-(1.854-(1042/(O1615+459.6)))*(INDEX(FX_Input,AB$5,O$3*$Z$5+$AA$5-1)^0.5)+((2416/(O1615+459.6)-2.013)*LOG10(INDEX(FX_Input,AB$5,O$3*$Z$5+$AA$5)))-(8742/(O1615+459.6))+15.64),EXP(INDEX(Antoines,MATCH(O1606,Antoine_Name,0),2)-INDEX(Antoines,MATCH(O1606,Antoine_Name,0),3)/(O1615+459.6))))),0)</f>
        <v>1</v>
      </c>
    </row>
    <row r="1623" spans="2:15" ht="17.149999999999999" x14ac:dyDescent="0.55000000000000004">
      <c r="B1623" t="str">
        <f t="shared" si="5908"/>
        <v>Portland</v>
      </c>
      <c r="C1623" t="s">
        <v>580</v>
      </c>
      <c r="D1623">
        <f>D1622*D1610</f>
        <v>1</v>
      </c>
      <c r="E1623">
        <f t="shared" ref="E1623" si="5942">E1622*E1610</f>
        <v>1</v>
      </c>
      <c r="F1623">
        <f t="shared" ref="F1623" si="5943">F1622*F1610</f>
        <v>1</v>
      </c>
      <c r="G1623">
        <f t="shared" ref="G1623" si="5944">G1622*G1610</f>
        <v>1</v>
      </c>
      <c r="H1623">
        <f t="shared" ref="H1623" si="5945">H1622*H1610</f>
        <v>1</v>
      </c>
      <c r="I1623">
        <f t="shared" ref="I1623" si="5946">I1622*I1610</f>
        <v>1</v>
      </c>
      <c r="J1623">
        <f t="shared" ref="J1623" si="5947">J1622*J1610</f>
        <v>1</v>
      </c>
      <c r="K1623">
        <f t="shared" ref="K1623" si="5948">K1622*K1610</f>
        <v>1</v>
      </c>
      <c r="L1623">
        <f t="shared" ref="L1623" si="5949">L1622*L1610</f>
        <v>1</v>
      </c>
      <c r="M1623">
        <f t="shared" ref="M1623" si="5950">M1622*M1610</f>
        <v>1</v>
      </c>
      <c r="N1623">
        <f t="shared" ref="N1623" si="5951">N1622*N1610</f>
        <v>1</v>
      </c>
      <c r="O1623">
        <f t="shared" ref="O1623" si="5952">O1622*O1610</f>
        <v>1</v>
      </c>
    </row>
    <row r="1624" spans="2:15" ht="17.149999999999999" x14ac:dyDescent="0.55000000000000004">
      <c r="B1624" t="str">
        <f t="shared" si="5908"/>
        <v>Portland</v>
      </c>
      <c r="C1624" t="s">
        <v>581</v>
      </c>
      <c r="D1624" cm="1">
        <f t="array" ref="D1624">IFERROR(IF(D1609="Chemical",(10^(INDEX(Antoines,MATCH(D1608,Antoine_Name,0),2)-INDEX(Antoines,MATCH(D1608,Antoine_Name,0),3)/(INDEX(Antoines,MATCH(D1608,Antoine_Name,0),4)+(D1615-32)*5/9)))*14.7/760,IF(D1609="Crude Oil",EXP((2799/(D1615+459.6)-2.227)*LOG10(INDEX(FX_Input,Q$5,D$3*$Z$5+$AA$5))-(7261/(D1615+459.6))+12.82),IF(D1609="Refined Petroleum Stock",EXP((0.7553-(413/(D1615+459.6)))*(INDEX(FX_Input,Q$5,D$3*$Z$5+$AA$5-1)^0.5)*LOG10(INDEX(FX_Input,Q$5,D$3*$Z$5+$AA$5))-(1.854-(1042/(D1615+459.6)))*(INDEX(FX_Input,Q$5,D$3*$Z$5+$AA$5-1)^0.5)+((2416/(D1615+459.6)-2.013)*LOG10(INDEX(FX_Input,Q$5,D$3*$Z$5+$AA$5)))-(8742/(D1615+459.6))+15.64),EXP(INDEX(Antoines,MATCH(D1608,Antoine_Name,0),2)-INDEX(Antoines,MATCH(D1608,Antoine_Name,0),3)/(D1615+459.6))))),0)</f>
        <v>0</v>
      </c>
      <c r="E1624" cm="1">
        <f t="array" ref="E1624">IFERROR(IF(E1609="Chemical",(10^(INDEX(Antoines,MATCH(E1608,Antoine_Name,0),2)-INDEX(Antoines,MATCH(E1608,Antoine_Name,0),3)/(INDEX(Antoines,MATCH(E1608,Antoine_Name,0),4)+(E1615-32)*5/9)))*14.7/760,IF(E1609="Crude Oil",EXP((2799/(E1615+459.6)-2.227)*LOG10(INDEX(FX_Input,R$5,E$3*$Z$5+$AA$5))-(7261/(E1615+459.6))+12.82),IF(E1609="Refined Petroleum Stock",EXP((0.7553-(413/(E1615+459.6)))*(INDEX(FX_Input,R$5,E$3*$Z$5+$AA$5-1)^0.5)*LOG10(INDEX(FX_Input,R$5,E$3*$Z$5+$AA$5))-(1.854-(1042/(E1615+459.6)))*(INDEX(FX_Input,R$5,E$3*$Z$5+$AA$5-1)^0.5)+((2416/(E1615+459.6)-2.013)*LOG10(INDEX(FX_Input,R$5,E$3*$Z$5+$AA$5)))-(8742/(E1615+459.6))+15.64),EXP(INDEX(Antoines,MATCH(E1608,Antoine_Name,0),2)-INDEX(Antoines,MATCH(E1608,Antoine_Name,0),3)/(E1615+459.6))))),0)</f>
        <v>0</v>
      </c>
      <c r="F1624" cm="1">
        <f t="array" ref="F1624">IFERROR(IF(F1609="Chemical",(10^(INDEX(Antoines,MATCH(F1608,Antoine_Name,0),2)-INDEX(Antoines,MATCH(F1608,Antoine_Name,0),3)/(INDEX(Antoines,MATCH(F1608,Antoine_Name,0),4)+(F1615-32)*5/9)))*14.7/760,IF(F1609="Crude Oil",EXP((2799/(F1615+459.6)-2.227)*LOG10(INDEX(FX_Input,S$5,F$3*$Z$5+$AA$5))-(7261/(F1615+459.6))+12.82),IF(F1609="Refined Petroleum Stock",EXP((0.7553-(413/(F1615+459.6)))*(INDEX(FX_Input,S$5,F$3*$Z$5+$AA$5-1)^0.5)*LOG10(INDEX(FX_Input,S$5,F$3*$Z$5+$AA$5))-(1.854-(1042/(F1615+459.6)))*(INDEX(FX_Input,S$5,F$3*$Z$5+$AA$5-1)^0.5)+((2416/(F1615+459.6)-2.013)*LOG10(INDEX(FX_Input,S$5,F$3*$Z$5+$AA$5)))-(8742/(F1615+459.6))+15.64),EXP(INDEX(Antoines,MATCH(F1608,Antoine_Name,0),2)-INDEX(Antoines,MATCH(F1608,Antoine_Name,0),3)/(F1615+459.6))))),0)</f>
        <v>0</v>
      </c>
      <c r="G1624" cm="1">
        <f t="array" ref="G1624">IFERROR(IF(G1609="Chemical",(10^(INDEX(Antoines,MATCH(G1608,Antoine_Name,0),2)-INDEX(Antoines,MATCH(G1608,Antoine_Name,0),3)/(INDEX(Antoines,MATCH(G1608,Antoine_Name,0),4)+(G1615-32)*5/9)))*14.7/760,IF(G1609="Crude Oil",EXP((2799/(G1615+459.6)-2.227)*LOG10(INDEX(FX_Input,T$5,G$3*$Z$5+$AA$5))-(7261/(G1615+459.6))+12.82),IF(G1609="Refined Petroleum Stock",EXP((0.7553-(413/(G1615+459.6)))*(INDEX(FX_Input,T$5,G$3*$Z$5+$AA$5-1)^0.5)*LOG10(INDEX(FX_Input,T$5,G$3*$Z$5+$AA$5))-(1.854-(1042/(G1615+459.6)))*(INDEX(FX_Input,T$5,G$3*$Z$5+$AA$5-1)^0.5)+((2416/(G1615+459.6)-2.013)*LOG10(INDEX(FX_Input,T$5,G$3*$Z$5+$AA$5)))-(8742/(G1615+459.6))+15.64),EXP(INDEX(Antoines,MATCH(G1608,Antoine_Name,0),2)-INDEX(Antoines,MATCH(G1608,Antoine_Name,0),3)/(G1615+459.6))))),0)</f>
        <v>0</v>
      </c>
      <c r="H1624" cm="1">
        <f t="array" ref="H1624">IFERROR(IF(H1609="Chemical",(10^(INDEX(Antoines,MATCH(H1608,Antoine_Name,0),2)-INDEX(Antoines,MATCH(H1608,Antoine_Name,0),3)/(INDEX(Antoines,MATCH(H1608,Antoine_Name,0),4)+(H1615-32)*5/9)))*14.7/760,IF(H1609="Crude Oil",EXP((2799/(H1615+459.6)-2.227)*LOG10(INDEX(FX_Input,U$5,H$3*$Z$5+$AA$5))-(7261/(H1615+459.6))+12.82),IF(H1609="Refined Petroleum Stock",EXP((0.7553-(413/(H1615+459.6)))*(INDEX(FX_Input,U$5,H$3*$Z$5+$AA$5-1)^0.5)*LOG10(INDEX(FX_Input,U$5,H$3*$Z$5+$AA$5))-(1.854-(1042/(H1615+459.6)))*(INDEX(FX_Input,U$5,H$3*$Z$5+$AA$5-1)^0.5)+((2416/(H1615+459.6)-2.013)*LOG10(INDEX(FX_Input,U$5,H$3*$Z$5+$AA$5)))-(8742/(H1615+459.6))+15.64),EXP(INDEX(Antoines,MATCH(H1608,Antoine_Name,0),2)-INDEX(Antoines,MATCH(H1608,Antoine_Name,0),3)/(H1615+459.6))))),0)</f>
        <v>0</v>
      </c>
      <c r="I1624" cm="1">
        <f t="array" ref="I1624">IFERROR(IF(I1609="Chemical",(10^(INDEX(Antoines,MATCH(I1608,Antoine_Name,0),2)-INDEX(Antoines,MATCH(I1608,Antoine_Name,0),3)/(INDEX(Antoines,MATCH(I1608,Antoine_Name,0),4)+(I1615-32)*5/9)))*14.7/760,IF(I1609="Crude Oil",EXP((2799/(I1615+459.6)-2.227)*LOG10(INDEX(FX_Input,V$5,I$3*$Z$5+$AA$5))-(7261/(I1615+459.6))+12.82),IF(I1609="Refined Petroleum Stock",EXP((0.7553-(413/(I1615+459.6)))*(INDEX(FX_Input,V$5,I$3*$Z$5+$AA$5-1)^0.5)*LOG10(INDEX(FX_Input,V$5,I$3*$Z$5+$AA$5))-(1.854-(1042/(I1615+459.6)))*(INDEX(FX_Input,V$5,I$3*$Z$5+$AA$5-1)^0.5)+((2416/(I1615+459.6)-2.013)*LOG10(INDEX(FX_Input,V$5,I$3*$Z$5+$AA$5)))-(8742/(I1615+459.6))+15.64),EXP(INDEX(Antoines,MATCH(I1608,Antoine_Name,0),2)-INDEX(Antoines,MATCH(I1608,Antoine_Name,0),3)/(I1615+459.6))))),0)</f>
        <v>0</v>
      </c>
      <c r="J1624" cm="1">
        <f t="array" ref="J1624">IFERROR(IF(J1609="Chemical",(10^(INDEX(Antoines,MATCH(J1608,Antoine_Name,0),2)-INDEX(Antoines,MATCH(J1608,Antoine_Name,0),3)/(INDEX(Antoines,MATCH(J1608,Antoine_Name,0),4)+(J1615-32)*5/9)))*14.7/760,IF(J1609="Crude Oil",EXP((2799/(J1615+459.6)-2.227)*LOG10(INDEX(FX_Input,W$5,J$3*$Z$5+$AA$5))-(7261/(J1615+459.6))+12.82),IF(J1609="Refined Petroleum Stock",EXP((0.7553-(413/(J1615+459.6)))*(INDEX(FX_Input,W$5,J$3*$Z$5+$AA$5-1)^0.5)*LOG10(INDEX(FX_Input,W$5,J$3*$Z$5+$AA$5))-(1.854-(1042/(J1615+459.6)))*(INDEX(FX_Input,W$5,J$3*$Z$5+$AA$5-1)^0.5)+((2416/(J1615+459.6)-2.013)*LOG10(INDEX(FX_Input,W$5,J$3*$Z$5+$AA$5)))-(8742/(J1615+459.6))+15.64),EXP(INDEX(Antoines,MATCH(J1608,Antoine_Name,0),2)-INDEX(Antoines,MATCH(J1608,Antoine_Name,0),3)/(J1615+459.6))))),0)</f>
        <v>0</v>
      </c>
      <c r="K1624" cm="1">
        <f t="array" ref="K1624">IFERROR(IF(K1609="Chemical",(10^(INDEX(Antoines,MATCH(K1608,Antoine_Name,0),2)-INDEX(Antoines,MATCH(K1608,Antoine_Name,0),3)/(INDEX(Antoines,MATCH(K1608,Antoine_Name,0),4)+(K1615-32)*5/9)))*14.7/760,IF(K1609="Crude Oil",EXP((2799/(K1615+459.6)-2.227)*LOG10(INDEX(FX_Input,X$5,K$3*$Z$5+$AA$5))-(7261/(K1615+459.6))+12.82),IF(K1609="Refined Petroleum Stock",EXP((0.7553-(413/(K1615+459.6)))*(INDEX(FX_Input,X$5,K$3*$Z$5+$AA$5-1)^0.5)*LOG10(INDEX(FX_Input,X$5,K$3*$Z$5+$AA$5))-(1.854-(1042/(K1615+459.6)))*(INDEX(FX_Input,X$5,K$3*$Z$5+$AA$5-1)^0.5)+((2416/(K1615+459.6)-2.013)*LOG10(INDEX(FX_Input,X$5,K$3*$Z$5+$AA$5)))-(8742/(K1615+459.6))+15.64),EXP(INDEX(Antoines,MATCH(K1608,Antoine_Name,0),2)-INDEX(Antoines,MATCH(K1608,Antoine_Name,0),3)/(K1615+459.6))))),0)</f>
        <v>0</v>
      </c>
      <c r="L1624" cm="1">
        <f t="array" ref="L1624">IFERROR(IF(L1609="Chemical",(10^(INDEX(Antoines,MATCH(L1608,Antoine_Name,0),2)-INDEX(Antoines,MATCH(L1608,Antoine_Name,0),3)/(INDEX(Antoines,MATCH(L1608,Antoine_Name,0),4)+(L1615-32)*5/9)))*14.7/760,IF(L1609="Crude Oil",EXP((2799/(L1615+459.6)-2.227)*LOG10(INDEX(FX_Input,Y$5,L$3*$Z$5+$AA$5))-(7261/(L1615+459.6))+12.82),IF(L1609="Refined Petroleum Stock",EXP((0.7553-(413/(L1615+459.6)))*(INDEX(FX_Input,Y$5,L$3*$Z$5+$AA$5-1)^0.5)*LOG10(INDEX(FX_Input,Y$5,L$3*$Z$5+$AA$5))-(1.854-(1042/(L1615+459.6)))*(INDEX(FX_Input,Y$5,L$3*$Z$5+$AA$5-1)^0.5)+((2416/(L1615+459.6)-2.013)*LOG10(INDEX(FX_Input,Y$5,L$3*$Z$5+$AA$5)))-(8742/(L1615+459.6))+15.64),EXP(INDEX(Antoines,MATCH(L1608,Antoine_Name,0),2)-INDEX(Antoines,MATCH(L1608,Antoine_Name,0),3)/(L1615+459.6))))),0)</f>
        <v>0</v>
      </c>
      <c r="M1624" cm="1">
        <f t="array" ref="M1624">IFERROR(IF(M1609="Chemical",(10^(INDEX(Antoines,MATCH(M1608,Antoine_Name,0),2)-INDEX(Antoines,MATCH(M1608,Antoine_Name,0),3)/(INDEX(Antoines,MATCH(M1608,Antoine_Name,0),4)+(M1615-32)*5/9)))*14.7/760,IF(M1609="Crude Oil",EXP((2799/(M1615+459.6)-2.227)*LOG10(INDEX(FX_Input,Z$5,M$3*$Z$5+$AA$5))-(7261/(M1615+459.6))+12.82),IF(M1609="Refined Petroleum Stock",EXP((0.7553-(413/(M1615+459.6)))*(INDEX(FX_Input,Z$5,M$3*$Z$5+$AA$5-1)^0.5)*LOG10(INDEX(FX_Input,Z$5,M$3*$Z$5+$AA$5))-(1.854-(1042/(M1615+459.6)))*(INDEX(FX_Input,Z$5,M$3*$Z$5+$AA$5-1)^0.5)+((2416/(M1615+459.6)-2.013)*LOG10(INDEX(FX_Input,Z$5,M$3*$Z$5+$AA$5)))-(8742/(M1615+459.6))+15.64),EXP(INDEX(Antoines,MATCH(M1608,Antoine_Name,0),2)-INDEX(Antoines,MATCH(M1608,Antoine_Name,0),3)/(M1615+459.6))))),0)</f>
        <v>0</v>
      </c>
      <c r="N1624" cm="1">
        <f t="array" ref="N1624">IFERROR(IF(N1609="Chemical",(10^(INDEX(Antoines,MATCH(N1608,Antoine_Name,0),2)-INDEX(Antoines,MATCH(N1608,Antoine_Name,0),3)/(INDEX(Antoines,MATCH(N1608,Antoine_Name,0),4)+(N1615-32)*5/9)))*14.7/760,IF(N1609="Crude Oil",EXP((2799/(N1615+459.6)-2.227)*LOG10(INDEX(FX_Input,AA$5,N$3*$Z$5+$AA$5))-(7261/(N1615+459.6))+12.82),IF(N1609="Refined Petroleum Stock",EXP((0.7553-(413/(N1615+459.6)))*(INDEX(FX_Input,AA$5,N$3*$Z$5+$AA$5-1)^0.5)*LOG10(INDEX(FX_Input,AA$5,N$3*$Z$5+$AA$5))-(1.854-(1042/(N1615+459.6)))*(INDEX(FX_Input,AA$5,N$3*$Z$5+$AA$5-1)^0.5)+((2416/(N1615+459.6)-2.013)*LOG10(INDEX(FX_Input,AA$5,N$3*$Z$5+$AA$5)))-(8742/(N1615+459.6))+15.64),EXP(INDEX(Antoines,MATCH(N1608,Antoine_Name,0),2)-INDEX(Antoines,MATCH(N1608,Antoine_Name,0),3)/(N1615+459.6))))),0)</f>
        <v>0</v>
      </c>
      <c r="O1624" cm="1">
        <f t="array" ref="O1624">IFERROR(IF(O1609="Chemical",(10^(INDEX(Antoines,MATCH(O1608,Antoine_Name,0),2)-INDEX(Antoines,MATCH(O1608,Antoine_Name,0),3)/(INDEX(Antoines,MATCH(O1608,Antoine_Name,0),4)+(O1615-32)*5/9)))*14.7/760,IF(O1609="Crude Oil",EXP((2799/(O1615+459.6)-2.227)*LOG10(INDEX(FX_Input,AB$5,O$3*$Z$5+$AA$5))-(7261/(O1615+459.6))+12.82),IF(O1609="Refined Petroleum Stock",EXP((0.7553-(413/(O1615+459.6)))*(INDEX(FX_Input,AB$5,O$3*$Z$5+$AA$5-1)^0.5)*LOG10(INDEX(FX_Input,AB$5,O$3*$Z$5+$AA$5))-(1.854-(1042/(O1615+459.6)))*(INDEX(FX_Input,AB$5,O$3*$Z$5+$AA$5-1)^0.5)+((2416/(O1615+459.6)-2.013)*LOG10(INDEX(FX_Input,AB$5,O$3*$Z$5+$AA$5)))-(8742/(O1615+459.6))+15.64),EXP(INDEX(Antoines,MATCH(O1608,Antoine_Name,0),2)-INDEX(Antoines,MATCH(O1608,Antoine_Name,0),3)/(O1615+459.6))))),0)</f>
        <v>0</v>
      </c>
    </row>
    <row r="1625" spans="2:15" ht="17.149999999999999" x14ac:dyDescent="0.55000000000000004">
      <c r="B1625" t="str">
        <f t="shared" si="5908"/>
        <v>Portland</v>
      </c>
      <c r="C1625" t="s">
        <v>582</v>
      </c>
      <c r="D1625">
        <f>D1624*D1612</f>
        <v>0</v>
      </c>
      <c r="E1625">
        <f t="shared" ref="E1625" si="5953">E1624*E1612</f>
        <v>0</v>
      </c>
      <c r="F1625">
        <f t="shared" ref="F1625" si="5954">F1624*F1612</f>
        <v>0</v>
      </c>
      <c r="G1625">
        <f t="shared" ref="G1625" si="5955">G1624*G1612</f>
        <v>0</v>
      </c>
      <c r="H1625">
        <f t="shared" ref="H1625" si="5956">H1624*H1612</f>
        <v>0</v>
      </c>
      <c r="I1625">
        <f t="shared" ref="I1625" si="5957">I1624*I1612</f>
        <v>0</v>
      </c>
      <c r="J1625">
        <f t="shared" ref="J1625" si="5958">J1624*J1612</f>
        <v>0</v>
      </c>
      <c r="K1625">
        <f t="shared" ref="K1625" si="5959">K1624*K1612</f>
        <v>0</v>
      </c>
      <c r="L1625">
        <f t="shared" ref="L1625" si="5960">L1624*L1612</f>
        <v>0</v>
      </c>
      <c r="M1625">
        <f t="shared" ref="M1625" si="5961">M1624*M1612</f>
        <v>0</v>
      </c>
      <c r="N1625">
        <f t="shared" ref="N1625" si="5962">N1624*N1612</f>
        <v>0</v>
      </c>
      <c r="O1625">
        <f t="shared" ref="O1625" si="5963">O1624*O1612</f>
        <v>0</v>
      </c>
    </row>
    <row r="1626" spans="2:15" ht="17.149999999999999" x14ac:dyDescent="0.55000000000000004">
      <c r="B1626" t="str">
        <f t="shared" si="5908"/>
        <v>Portland</v>
      </c>
      <c r="C1626" t="s">
        <v>583</v>
      </c>
      <c r="D1626">
        <f>D1623+D1625</f>
        <v>1</v>
      </c>
      <c r="E1626">
        <f t="shared" ref="E1626" si="5964">E1623+E1625</f>
        <v>1</v>
      </c>
      <c r="F1626">
        <f t="shared" ref="F1626" si="5965">F1623+F1625</f>
        <v>1</v>
      </c>
      <c r="G1626">
        <f t="shared" ref="G1626" si="5966">G1623+G1625</f>
        <v>1</v>
      </c>
      <c r="H1626">
        <f t="shared" ref="H1626" si="5967">H1623+H1625</f>
        <v>1</v>
      </c>
      <c r="I1626">
        <f t="shared" ref="I1626" si="5968">I1623+I1625</f>
        <v>1</v>
      </c>
      <c r="J1626">
        <f t="shared" ref="J1626" si="5969">J1623+J1625</f>
        <v>1</v>
      </c>
      <c r="K1626">
        <f t="shared" ref="K1626" si="5970">K1623+K1625</f>
        <v>1</v>
      </c>
      <c r="L1626">
        <f t="shared" ref="L1626" si="5971">L1623+L1625</f>
        <v>1</v>
      </c>
      <c r="M1626">
        <f t="shared" ref="M1626" si="5972">M1623+M1625</f>
        <v>1</v>
      </c>
      <c r="N1626">
        <f t="shared" ref="N1626" si="5973">N1623+N1625</f>
        <v>1</v>
      </c>
      <c r="O1626">
        <f t="shared" ref="O1626" si="5974">O1623+O1625</f>
        <v>1</v>
      </c>
    </row>
    <row r="1627" spans="2:15" ht="17.149999999999999" x14ac:dyDescent="0.55000000000000004">
      <c r="B1627" t="str">
        <f t="shared" si="5908"/>
        <v>Portland</v>
      </c>
      <c r="C1627" t="s">
        <v>1388</v>
      </c>
      <c r="D1627" cm="1">
        <f t="array" ref="D1627">IFERROR(IF(D1607="Chemical",(10^(INDEX(Antoines,MATCH(D1606,Antoine_Name,0),2)-INDEX(Antoines,MATCH(D1606,Antoine_Name,0),3)/(INDEX(Antoines,MATCH(D1606,Antoine_Name,0),4)+(D1616-32)*5/9)))*14.7/760,IF(D1607="Crude Oil",EXP((2799/(D1616+459.6)-2.227)*LOG10(INDEX(FX_Input,Q$5,D$3*$Z$5+$AA$5))-(7261/(D1616+459.6))+12.82),IF(D1607="Refined Petroleum Stock",EXP((0.7553-(413/(D1616+459.6)))*(INDEX(FX_Input,Q$5,D$3*$Z$5+$AA$5-1)^0.5)*LOG10(INDEX(FX_Input,Q$5,D$3*$Z$5+$AA$5))-(1.854-(1042/(D1616+459.6)))*(INDEX(FX_Input,Q$5,D$3*$Z$5+$AA$5-1)^0.5)+((2416/(D1616+459.6)-2.013)*LOG10(INDEX(FX_Input,Q$5,D$3*$Z$5+$AA$5)))-(8742/(D1616+459.6))+15.64),EXP(INDEX(Antoines,MATCH(D1606,Antoine_Name,0),2)-INDEX(Antoines,MATCH(D1606,Antoine_Name,0),3)/(D1616+459.6))))),0)</f>
        <v>1</v>
      </c>
      <c r="E1627" cm="1">
        <f t="array" ref="E1627">IFERROR(IF(E1607="Chemical",(10^(INDEX(Antoines,MATCH(E1606,Antoine_Name,0),2)-INDEX(Antoines,MATCH(E1606,Antoine_Name,0),3)/(INDEX(Antoines,MATCH(E1606,Antoine_Name,0),4)+(E1616-32)*5/9)))*14.7/760,IF(E1607="Crude Oil",EXP((2799/(E1616+459.6)-2.227)*LOG10(INDEX(FX_Input,R$5,E$3*$Z$5+$AA$5))-(7261/(E1616+459.6))+12.82),IF(E1607="Refined Petroleum Stock",EXP((0.7553-(413/(E1616+459.6)))*(INDEX(FX_Input,R$5,E$3*$Z$5+$AA$5-1)^0.5)*LOG10(INDEX(FX_Input,R$5,E$3*$Z$5+$AA$5))-(1.854-(1042/(E1616+459.6)))*(INDEX(FX_Input,R$5,E$3*$Z$5+$AA$5-1)^0.5)+((2416/(E1616+459.6)-2.013)*LOG10(INDEX(FX_Input,R$5,E$3*$Z$5+$AA$5)))-(8742/(E1616+459.6))+15.64),EXP(INDEX(Antoines,MATCH(E1606,Antoine_Name,0),2)-INDEX(Antoines,MATCH(E1606,Antoine_Name,0),3)/(E1616+459.6))))),0)</f>
        <v>1</v>
      </c>
      <c r="F1627" cm="1">
        <f t="array" ref="F1627">IFERROR(IF(F1607="Chemical",(10^(INDEX(Antoines,MATCH(F1606,Antoine_Name,0),2)-INDEX(Antoines,MATCH(F1606,Antoine_Name,0),3)/(INDEX(Antoines,MATCH(F1606,Antoine_Name,0),4)+(F1616-32)*5/9)))*14.7/760,IF(F1607="Crude Oil",EXP((2799/(F1616+459.6)-2.227)*LOG10(INDEX(FX_Input,S$5,F$3*$Z$5+$AA$5))-(7261/(F1616+459.6))+12.82),IF(F1607="Refined Petroleum Stock",EXP((0.7553-(413/(F1616+459.6)))*(INDEX(FX_Input,S$5,F$3*$Z$5+$AA$5-1)^0.5)*LOG10(INDEX(FX_Input,S$5,F$3*$Z$5+$AA$5))-(1.854-(1042/(F1616+459.6)))*(INDEX(FX_Input,S$5,F$3*$Z$5+$AA$5-1)^0.5)+((2416/(F1616+459.6)-2.013)*LOG10(INDEX(FX_Input,S$5,F$3*$Z$5+$AA$5)))-(8742/(F1616+459.6))+15.64),EXP(INDEX(Antoines,MATCH(F1606,Antoine_Name,0),2)-INDEX(Antoines,MATCH(F1606,Antoine_Name,0),3)/(F1616+459.6))))),0)</f>
        <v>1</v>
      </c>
      <c r="G1627" cm="1">
        <f t="array" ref="G1627">IFERROR(IF(G1607="Chemical",(10^(INDEX(Antoines,MATCH(G1606,Antoine_Name,0),2)-INDEX(Antoines,MATCH(G1606,Antoine_Name,0),3)/(INDEX(Antoines,MATCH(G1606,Antoine_Name,0),4)+(G1616-32)*5/9)))*14.7/760,IF(G1607="Crude Oil",EXP((2799/(G1616+459.6)-2.227)*LOG10(INDEX(FX_Input,T$5,G$3*$Z$5+$AA$5))-(7261/(G1616+459.6))+12.82),IF(G1607="Refined Petroleum Stock",EXP((0.7553-(413/(G1616+459.6)))*(INDEX(FX_Input,T$5,G$3*$Z$5+$AA$5-1)^0.5)*LOG10(INDEX(FX_Input,T$5,G$3*$Z$5+$AA$5))-(1.854-(1042/(G1616+459.6)))*(INDEX(FX_Input,T$5,G$3*$Z$5+$AA$5-1)^0.5)+((2416/(G1616+459.6)-2.013)*LOG10(INDEX(FX_Input,T$5,G$3*$Z$5+$AA$5)))-(8742/(G1616+459.6))+15.64),EXP(INDEX(Antoines,MATCH(G1606,Antoine_Name,0),2)-INDEX(Antoines,MATCH(G1606,Antoine_Name,0),3)/(G1616+459.6))))),0)</f>
        <v>1</v>
      </c>
      <c r="H1627" cm="1">
        <f t="array" ref="H1627">IFERROR(IF(H1607="Chemical",(10^(INDEX(Antoines,MATCH(H1606,Antoine_Name,0),2)-INDEX(Antoines,MATCH(H1606,Antoine_Name,0),3)/(INDEX(Antoines,MATCH(H1606,Antoine_Name,0),4)+(H1616-32)*5/9)))*14.7/760,IF(H1607="Crude Oil",EXP((2799/(H1616+459.6)-2.227)*LOG10(INDEX(FX_Input,U$5,H$3*$Z$5+$AA$5))-(7261/(H1616+459.6))+12.82),IF(H1607="Refined Petroleum Stock",EXP((0.7553-(413/(H1616+459.6)))*(INDEX(FX_Input,U$5,H$3*$Z$5+$AA$5-1)^0.5)*LOG10(INDEX(FX_Input,U$5,H$3*$Z$5+$AA$5))-(1.854-(1042/(H1616+459.6)))*(INDEX(FX_Input,U$5,H$3*$Z$5+$AA$5-1)^0.5)+((2416/(H1616+459.6)-2.013)*LOG10(INDEX(FX_Input,U$5,H$3*$Z$5+$AA$5)))-(8742/(H1616+459.6))+15.64),EXP(INDEX(Antoines,MATCH(H1606,Antoine_Name,0),2)-INDEX(Antoines,MATCH(H1606,Antoine_Name,0),3)/(H1616+459.6))))),0)</f>
        <v>1</v>
      </c>
      <c r="I1627" cm="1">
        <f t="array" ref="I1627">IFERROR(IF(I1607="Chemical",(10^(INDEX(Antoines,MATCH(I1606,Antoine_Name,0),2)-INDEX(Antoines,MATCH(I1606,Antoine_Name,0),3)/(INDEX(Antoines,MATCH(I1606,Antoine_Name,0),4)+(I1616-32)*5/9)))*14.7/760,IF(I1607="Crude Oil",EXP((2799/(I1616+459.6)-2.227)*LOG10(INDEX(FX_Input,V$5,I$3*$Z$5+$AA$5))-(7261/(I1616+459.6))+12.82),IF(I1607="Refined Petroleum Stock",EXP((0.7553-(413/(I1616+459.6)))*(INDEX(FX_Input,V$5,I$3*$Z$5+$AA$5-1)^0.5)*LOG10(INDEX(FX_Input,V$5,I$3*$Z$5+$AA$5))-(1.854-(1042/(I1616+459.6)))*(INDEX(FX_Input,V$5,I$3*$Z$5+$AA$5-1)^0.5)+((2416/(I1616+459.6)-2.013)*LOG10(INDEX(FX_Input,V$5,I$3*$Z$5+$AA$5)))-(8742/(I1616+459.6))+15.64),EXP(INDEX(Antoines,MATCH(I1606,Antoine_Name,0),2)-INDEX(Antoines,MATCH(I1606,Antoine_Name,0),3)/(I1616+459.6))))),0)</f>
        <v>1</v>
      </c>
      <c r="J1627" cm="1">
        <f t="array" ref="J1627">IFERROR(IF(J1607="Chemical",(10^(INDEX(Antoines,MATCH(J1606,Antoine_Name,0),2)-INDEX(Antoines,MATCH(J1606,Antoine_Name,0),3)/(INDEX(Antoines,MATCH(J1606,Antoine_Name,0),4)+(J1616-32)*5/9)))*14.7/760,IF(J1607="Crude Oil",EXP((2799/(J1616+459.6)-2.227)*LOG10(INDEX(FX_Input,W$5,J$3*$Z$5+$AA$5))-(7261/(J1616+459.6))+12.82),IF(J1607="Refined Petroleum Stock",EXP((0.7553-(413/(J1616+459.6)))*(INDEX(FX_Input,W$5,J$3*$Z$5+$AA$5-1)^0.5)*LOG10(INDEX(FX_Input,W$5,J$3*$Z$5+$AA$5))-(1.854-(1042/(J1616+459.6)))*(INDEX(FX_Input,W$5,J$3*$Z$5+$AA$5-1)^0.5)+((2416/(J1616+459.6)-2.013)*LOG10(INDEX(FX_Input,W$5,J$3*$Z$5+$AA$5)))-(8742/(J1616+459.6))+15.64),EXP(INDEX(Antoines,MATCH(J1606,Antoine_Name,0),2)-INDEX(Antoines,MATCH(J1606,Antoine_Name,0),3)/(J1616+459.6))))),0)</f>
        <v>1</v>
      </c>
      <c r="K1627" cm="1">
        <f t="array" ref="K1627">IFERROR(IF(K1607="Chemical",(10^(INDEX(Antoines,MATCH(K1606,Antoine_Name,0),2)-INDEX(Antoines,MATCH(K1606,Antoine_Name,0),3)/(INDEX(Antoines,MATCH(K1606,Antoine_Name,0),4)+(K1616-32)*5/9)))*14.7/760,IF(K1607="Crude Oil",EXP((2799/(K1616+459.6)-2.227)*LOG10(INDEX(FX_Input,X$5,K$3*$Z$5+$AA$5))-(7261/(K1616+459.6))+12.82),IF(K1607="Refined Petroleum Stock",EXP((0.7553-(413/(K1616+459.6)))*(INDEX(FX_Input,X$5,K$3*$Z$5+$AA$5-1)^0.5)*LOG10(INDEX(FX_Input,X$5,K$3*$Z$5+$AA$5))-(1.854-(1042/(K1616+459.6)))*(INDEX(FX_Input,X$5,K$3*$Z$5+$AA$5-1)^0.5)+((2416/(K1616+459.6)-2.013)*LOG10(INDEX(FX_Input,X$5,K$3*$Z$5+$AA$5)))-(8742/(K1616+459.6))+15.64),EXP(INDEX(Antoines,MATCH(K1606,Antoine_Name,0),2)-INDEX(Antoines,MATCH(K1606,Antoine_Name,0),3)/(K1616+459.6))))),0)</f>
        <v>1</v>
      </c>
      <c r="L1627" cm="1">
        <f t="array" ref="L1627">IFERROR(IF(L1607="Chemical",(10^(INDEX(Antoines,MATCH(L1606,Antoine_Name,0),2)-INDEX(Antoines,MATCH(L1606,Antoine_Name,0),3)/(INDEX(Antoines,MATCH(L1606,Antoine_Name,0),4)+(L1616-32)*5/9)))*14.7/760,IF(L1607="Crude Oil",EXP((2799/(L1616+459.6)-2.227)*LOG10(INDEX(FX_Input,Y$5,L$3*$Z$5+$AA$5))-(7261/(L1616+459.6))+12.82),IF(L1607="Refined Petroleum Stock",EXP((0.7553-(413/(L1616+459.6)))*(INDEX(FX_Input,Y$5,L$3*$Z$5+$AA$5-1)^0.5)*LOG10(INDEX(FX_Input,Y$5,L$3*$Z$5+$AA$5))-(1.854-(1042/(L1616+459.6)))*(INDEX(FX_Input,Y$5,L$3*$Z$5+$AA$5-1)^0.5)+((2416/(L1616+459.6)-2.013)*LOG10(INDEX(FX_Input,Y$5,L$3*$Z$5+$AA$5)))-(8742/(L1616+459.6))+15.64),EXP(INDEX(Antoines,MATCH(L1606,Antoine_Name,0),2)-INDEX(Antoines,MATCH(L1606,Antoine_Name,0),3)/(L1616+459.6))))),0)</f>
        <v>1</v>
      </c>
      <c r="M1627" cm="1">
        <f t="array" ref="M1627">IFERROR(IF(M1607="Chemical",(10^(INDEX(Antoines,MATCH(M1606,Antoine_Name,0),2)-INDEX(Antoines,MATCH(M1606,Antoine_Name,0),3)/(INDEX(Antoines,MATCH(M1606,Antoine_Name,0),4)+(M1616-32)*5/9)))*14.7/760,IF(M1607="Crude Oil",EXP((2799/(M1616+459.6)-2.227)*LOG10(INDEX(FX_Input,Z$5,M$3*$Z$5+$AA$5))-(7261/(M1616+459.6))+12.82),IF(M1607="Refined Petroleum Stock",EXP((0.7553-(413/(M1616+459.6)))*(INDEX(FX_Input,Z$5,M$3*$Z$5+$AA$5-1)^0.5)*LOG10(INDEX(FX_Input,Z$5,M$3*$Z$5+$AA$5))-(1.854-(1042/(M1616+459.6)))*(INDEX(FX_Input,Z$5,M$3*$Z$5+$AA$5-1)^0.5)+((2416/(M1616+459.6)-2.013)*LOG10(INDEX(FX_Input,Z$5,M$3*$Z$5+$AA$5)))-(8742/(M1616+459.6))+15.64),EXP(INDEX(Antoines,MATCH(M1606,Antoine_Name,0),2)-INDEX(Antoines,MATCH(M1606,Antoine_Name,0),3)/(M1616+459.6))))),0)</f>
        <v>1</v>
      </c>
      <c r="N1627" cm="1">
        <f t="array" ref="N1627">IFERROR(IF(N1607="Chemical",(10^(INDEX(Antoines,MATCH(N1606,Antoine_Name,0),2)-INDEX(Antoines,MATCH(N1606,Antoine_Name,0),3)/(INDEX(Antoines,MATCH(N1606,Antoine_Name,0),4)+(N1616-32)*5/9)))*14.7/760,IF(N1607="Crude Oil",EXP((2799/(N1616+459.6)-2.227)*LOG10(INDEX(FX_Input,AA$5,N$3*$Z$5+$AA$5))-(7261/(N1616+459.6))+12.82),IF(N1607="Refined Petroleum Stock",EXP((0.7553-(413/(N1616+459.6)))*(INDEX(FX_Input,AA$5,N$3*$Z$5+$AA$5-1)^0.5)*LOG10(INDEX(FX_Input,AA$5,N$3*$Z$5+$AA$5))-(1.854-(1042/(N1616+459.6)))*(INDEX(FX_Input,AA$5,N$3*$Z$5+$AA$5-1)^0.5)+((2416/(N1616+459.6)-2.013)*LOG10(INDEX(FX_Input,AA$5,N$3*$Z$5+$AA$5)))-(8742/(N1616+459.6))+15.64),EXP(INDEX(Antoines,MATCH(N1606,Antoine_Name,0),2)-INDEX(Antoines,MATCH(N1606,Antoine_Name,0),3)/(N1616+459.6))))),0)</f>
        <v>1</v>
      </c>
      <c r="O1627" cm="1">
        <f t="array" ref="O1627">IFERROR(IF(O1607="Chemical",(10^(INDEX(Antoines,MATCH(O1606,Antoine_Name,0),2)-INDEX(Antoines,MATCH(O1606,Antoine_Name,0),3)/(INDEX(Antoines,MATCH(O1606,Antoine_Name,0),4)+(O1616-32)*5/9)))*14.7/760,IF(O1607="Crude Oil",EXP((2799/(O1616+459.6)-2.227)*LOG10(INDEX(FX_Input,AB$5,O$3*$Z$5+$AA$5))-(7261/(O1616+459.6))+12.82),IF(O1607="Refined Petroleum Stock",EXP((0.7553-(413/(O1616+459.6)))*(INDEX(FX_Input,AB$5,O$3*$Z$5+$AA$5-1)^0.5)*LOG10(INDEX(FX_Input,AB$5,O$3*$Z$5+$AA$5))-(1.854-(1042/(O1616+459.6)))*(INDEX(FX_Input,AB$5,O$3*$Z$5+$AA$5-1)^0.5)+((2416/(O1616+459.6)-2.013)*LOG10(INDEX(FX_Input,AB$5,O$3*$Z$5+$AA$5)))-(8742/(O1616+459.6))+15.64),EXP(INDEX(Antoines,MATCH(O1606,Antoine_Name,0),2)-INDEX(Antoines,MATCH(O1606,Antoine_Name,0),3)/(O1616+459.6))))),0)</f>
        <v>1</v>
      </c>
    </row>
    <row r="1628" spans="2:15" ht="17.149999999999999" x14ac:dyDescent="0.55000000000000004">
      <c r="B1628" t="str">
        <f t="shared" si="5908"/>
        <v>Portland</v>
      </c>
      <c r="C1628" t="s">
        <v>1389</v>
      </c>
      <c r="D1628">
        <f>D1627*D1610</f>
        <v>1</v>
      </c>
      <c r="E1628">
        <f t="shared" ref="E1628" si="5975">E1627*E1610</f>
        <v>1</v>
      </c>
      <c r="F1628">
        <f t="shared" ref="F1628" si="5976">F1627*F1610</f>
        <v>1</v>
      </c>
      <c r="G1628">
        <f t="shared" ref="G1628" si="5977">G1627*G1610</f>
        <v>1</v>
      </c>
      <c r="H1628">
        <f t="shared" ref="H1628" si="5978">H1627*H1610</f>
        <v>1</v>
      </c>
      <c r="I1628">
        <f t="shared" ref="I1628" si="5979">I1627*I1610</f>
        <v>1</v>
      </c>
      <c r="J1628">
        <f t="shared" ref="J1628" si="5980">J1627*J1610</f>
        <v>1</v>
      </c>
      <c r="K1628">
        <f t="shared" ref="K1628" si="5981">K1627*K1610</f>
        <v>1</v>
      </c>
      <c r="L1628">
        <f t="shared" ref="L1628" si="5982">L1627*L1610</f>
        <v>1</v>
      </c>
      <c r="M1628">
        <f t="shared" ref="M1628" si="5983">M1627*M1610</f>
        <v>1</v>
      </c>
      <c r="N1628">
        <f t="shared" ref="N1628" si="5984">N1627*N1610</f>
        <v>1</v>
      </c>
      <c r="O1628">
        <f t="shared" ref="O1628" si="5985">O1627*O1610</f>
        <v>1</v>
      </c>
    </row>
    <row r="1629" spans="2:15" ht="17.149999999999999" x14ac:dyDescent="0.55000000000000004">
      <c r="B1629" t="str">
        <f t="shared" si="5908"/>
        <v>Portland</v>
      </c>
      <c r="C1629" t="s">
        <v>1390</v>
      </c>
      <c r="D1629" cm="1">
        <f t="array" ref="D1629">IFERROR(IF(D1609="Chemical",(10^(INDEX(Antoines,MATCH(D1608,Antoine_Name,0),2)-INDEX(Antoines,MATCH(D1608,Antoine_Name,0),3)/(INDEX(Antoines,MATCH(D1608,Antoine_Name,0),4)+(D1616-32)*5/9)))*14.7/760,IF(D1609="Crude Oil",EXP((2799/(D1616+459.6)-2.227)*LOG10(INDEX(FX_Input,Q$5,D$3*$Z$5+$AA$5))-(7261/(D1616+459.6))+12.82),IF(D1609="Refined Petroleum Stock",EXP((0.7553-(413/(D1616+459.6)))*(INDEX(FX_Input,Q$5,D$3*$Z$5+$AA$5-1)^0.5)*LOG10(INDEX(FX_Input,Q$5,D$3*$Z$5+$AA$5))-(1.854-(1042/(D1616+459.6)))*(INDEX(FX_Input,Q$5,D$3*$Z$5+$AA$5-1)^0.5)+((2416/(D1616+459.6)-2.013)*LOG10(INDEX(FX_Input,Q$5,D$3*$Z$5+$AA$5)))-(8742/(D1616+459.6))+15.64),EXP(INDEX(Antoines,MATCH(D1608,Antoine_Name,0),2)-INDEX(Antoines,MATCH(D1608,Antoine_Name,0),3)/(D1616+459.6))))),0)</f>
        <v>0</v>
      </c>
      <c r="E1629" cm="1">
        <f t="array" ref="E1629">IFERROR(IF(E1609="Chemical",(10^(INDEX(Antoines,MATCH(E1608,Antoine_Name,0),2)-INDEX(Antoines,MATCH(E1608,Antoine_Name,0),3)/(INDEX(Antoines,MATCH(E1608,Antoine_Name,0),4)+(E1616-32)*5/9)))*14.7/760,IF(E1609="Crude Oil",EXP((2799/(E1616+459.6)-2.227)*LOG10(INDEX(FX_Input,R$5,E$3*$Z$5+$AA$5))-(7261/(E1616+459.6))+12.82),IF(E1609="Refined Petroleum Stock",EXP((0.7553-(413/(E1616+459.6)))*(INDEX(FX_Input,R$5,E$3*$Z$5+$AA$5-1)^0.5)*LOG10(INDEX(FX_Input,R$5,E$3*$Z$5+$AA$5))-(1.854-(1042/(E1616+459.6)))*(INDEX(FX_Input,R$5,E$3*$Z$5+$AA$5-1)^0.5)+((2416/(E1616+459.6)-2.013)*LOG10(INDEX(FX_Input,R$5,E$3*$Z$5+$AA$5)))-(8742/(E1616+459.6))+15.64),EXP(INDEX(Antoines,MATCH(E1608,Antoine_Name,0),2)-INDEX(Antoines,MATCH(E1608,Antoine_Name,0),3)/(E1616+459.6))))),0)</f>
        <v>0</v>
      </c>
      <c r="F1629" cm="1">
        <f t="array" ref="F1629">IFERROR(IF(F1609="Chemical",(10^(INDEX(Antoines,MATCH(F1608,Antoine_Name,0),2)-INDEX(Antoines,MATCH(F1608,Antoine_Name,0),3)/(INDEX(Antoines,MATCH(F1608,Antoine_Name,0),4)+(F1616-32)*5/9)))*14.7/760,IF(F1609="Crude Oil",EXP((2799/(F1616+459.6)-2.227)*LOG10(INDEX(FX_Input,S$5,F$3*$Z$5+$AA$5))-(7261/(F1616+459.6))+12.82),IF(F1609="Refined Petroleum Stock",EXP((0.7553-(413/(F1616+459.6)))*(INDEX(FX_Input,S$5,F$3*$Z$5+$AA$5-1)^0.5)*LOG10(INDEX(FX_Input,S$5,F$3*$Z$5+$AA$5))-(1.854-(1042/(F1616+459.6)))*(INDEX(FX_Input,S$5,F$3*$Z$5+$AA$5-1)^0.5)+((2416/(F1616+459.6)-2.013)*LOG10(INDEX(FX_Input,S$5,F$3*$Z$5+$AA$5)))-(8742/(F1616+459.6))+15.64),EXP(INDEX(Antoines,MATCH(F1608,Antoine_Name,0),2)-INDEX(Antoines,MATCH(F1608,Antoine_Name,0),3)/(F1616+459.6))))),0)</f>
        <v>0</v>
      </c>
      <c r="G1629" cm="1">
        <f t="array" ref="G1629">IFERROR(IF(G1609="Chemical",(10^(INDEX(Antoines,MATCH(G1608,Antoine_Name,0),2)-INDEX(Antoines,MATCH(G1608,Antoine_Name,0),3)/(INDEX(Antoines,MATCH(G1608,Antoine_Name,0),4)+(G1616-32)*5/9)))*14.7/760,IF(G1609="Crude Oil",EXP((2799/(G1616+459.6)-2.227)*LOG10(INDEX(FX_Input,T$5,G$3*$Z$5+$AA$5))-(7261/(G1616+459.6))+12.82),IF(G1609="Refined Petroleum Stock",EXP((0.7553-(413/(G1616+459.6)))*(INDEX(FX_Input,T$5,G$3*$Z$5+$AA$5-1)^0.5)*LOG10(INDEX(FX_Input,T$5,G$3*$Z$5+$AA$5))-(1.854-(1042/(G1616+459.6)))*(INDEX(FX_Input,T$5,G$3*$Z$5+$AA$5-1)^0.5)+((2416/(G1616+459.6)-2.013)*LOG10(INDEX(FX_Input,T$5,G$3*$Z$5+$AA$5)))-(8742/(G1616+459.6))+15.64),EXP(INDEX(Antoines,MATCH(G1608,Antoine_Name,0),2)-INDEX(Antoines,MATCH(G1608,Antoine_Name,0),3)/(G1616+459.6))))),0)</f>
        <v>0</v>
      </c>
      <c r="H1629" cm="1">
        <f t="array" ref="H1629">IFERROR(IF(H1609="Chemical",(10^(INDEX(Antoines,MATCH(H1608,Antoine_Name,0),2)-INDEX(Antoines,MATCH(H1608,Antoine_Name,0),3)/(INDEX(Antoines,MATCH(H1608,Antoine_Name,0),4)+(H1616-32)*5/9)))*14.7/760,IF(H1609="Crude Oil",EXP((2799/(H1616+459.6)-2.227)*LOG10(INDEX(FX_Input,U$5,H$3*$Z$5+$AA$5))-(7261/(H1616+459.6))+12.82),IF(H1609="Refined Petroleum Stock",EXP((0.7553-(413/(H1616+459.6)))*(INDEX(FX_Input,U$5,H$3*$Z$5+$AA$5-1)^0.5)*LOG10(INDEX(FX_Input,U$5,H$3*$Z$5+$AA$5))-(1.854-(1042/(H1616+459.6)))*(INDEX(FX_Input,U$5,H$3*$Z$5+$AA$5-1)^0.5)+((2416/(H1616+459.6)-2.013)*LOG10(INDEX(FX_Input,U$5,H$3*$Z$5+$AA$5)))-(8742/(H1616+459.6))+15.64),EXP(INDEX(Antoines,MATCH(H1608,Antoine_Name,0),2)-INDEX(Antoines,MATCH(H1608,Antoine_Name,0),3)/(H1616+459.6))))),0)</f>
        <v>0</v>
      </c>
      <c r="I1629" cm="1">
        <f t="array" ref="I1629">IFERROR(IF(I1609="Chemical",(10^(INDEX(Antoines,MATCH(I1608,Antoine_Name,0),2)-INDEX(Antoines,MATCH(I1608,Antoine_Name,0),3)/(INDEX(Antoines,MATCH(I1608,Antoine_Name,0),4)+(I1616-32)*5/9)))*14.7/760,IF(I1609="Crude Oil",EXP((2799/(I1616+459.6)-2.227)*LOG10(INDEX(FX_Input,V$5,I$3*$Z$5+$AA$5))-(7261/(I1616+459.6))+12.82),IF(I1609="Refined Petroleum Stock",EXP((0.7553-(413/(I1616+459.6)))*(INDEX(FX_Input,V$5,I$3*$Z$5+$AA$5-1)^0.5)*LOG10(INDEX(FX_Input,V$5,I$3*$Z$5+$AA$5))-(1.854-(1042/(I1616+459.6)))*(INDEX(FX_Input,V$5,I$3*$Z$5+$AA$5-1)^0.5)+((2416/(I1616+459.6)-2.013)*LOG10(INDEX(FX_Input,V$5,I$3*$Z$5+$AA$5)))-(8742/(I1616+459.6))+15.64),EXP(INDEX(Antoines,MATCH(I1608,Antoine_Name,0),2)-INDEX(Antoines,MATCH(I1608,Antoine_Name,0),3)/(I1616+459.6))))),0)</f>
        <v>0</v>
      </c>
      <c r="J1629" cm="1">
        <f t="array" ref="J1629">IFERROR(IF(J1609="Chemical",(10^(INDEX(Antoines,MATCH(J1608,Antoine_Name,0),2)-INDEX(Antoines,MATCH(J1608,Antoine_Name,0),3)/(INDEX(Antoines,MATCH(J1608,Antoine_Name,0),4)+(J1616-32)*5/9)))*14.7/760,IF(J1609="Crude Oil",EXP((2799/(J1616+459.6)-2.227)*LOG10(INDEX(FX_Input,W$5,J$3*$Z$5+$AA$5))-(7261/(J1616+459.6))+12.82),IF(J1609="Refined Petroleum Stock",EXP((0.7553-(413/(J1616+459.6)))*(INDEX(FX_Input,W$5,J$3*$Z$5+$AA$5-1)^0.5)*LOG10(INDEX(FX_Input,W$5,J$3*$Z$5+$AA$5))-(1.854-(1042/(J1616+459.6)))*(INDEX(FX_Input,W$5,J$3*$Z$5+$AA$5-1)^0.5)+((2416/(J1616+459.6)-2.013)*LOG10(INDEX(FX_Input,W$5,J$3*$Z$5+$AA$5)))-(8742/(J1616+459.6))+15.64),EXP(INDEX(Antoines,MATCH(J1608,Antoine_Name,0),2)-INDEX(Antoines,MATCH(J1608,Antoine_Name,0),3)/(J1616+459.6))))),0)</f>
        <v>0</v>
      </c>
      <c r="K1629" cm="1">
        <f t="array" ref="K1629">IFERROR(IF(K1609="Chemical",(10^(INDEX(Antoines,MATCH(K1608,Antoine_Name,0),2)-INDEX(Antoines,MATCH(K1608,Antoine_Name,0),3)/(INDEX(Antoines,MATCH(K1608,Antoine_Name,0),4)+(K1616-32)*5/9)))*14.7/760,IF(K1609="Crude Oil",EXP((2799/(K1616+459.6)-2.227)*LOG10(INDEX(FX_Input,X$5,K$3*$Z$5+$AA$5))-(7261/(K1616+459.6))+12.82),IF(K1609="Refined Petroleum Stock",EXP((0.7553-(413/(K1616+459.6)))*(INDEX(FX_Input,X$5,K$3*$Z$5+$AA$5-1)^0.5)*LOG10(INDEX(FX_Input,X$5,K$3*$Z$5+$AA$5))-(1.854-(1042/(K1616+459.6)))*(INDEX(FX_Input,X$5,K$3*$Z$5+$AA$5-1)^0.5)+((2416/(K1616+459.6)-2.013)*LOG10(INDEX(FX_Input,X$5,K$3*$Z$5+$AA$5)))-(8742/(K1616+459.6))+15.64),EXP(INDEX(Antoines,MATCH(K1608,Antoine_Name,0),2)-INDEX(Antoines,MATCH(K1608,Antoine_Name,0),3)/(K1616+459.6))))),0)</f>
        <v>0</v>
      </c>
      <c r="L1629" cm="1">
        <f t="array" ref="L1629">IFERROR(IF(L1609="Chemical",(10^(INDEX(Antoines,MATCH(L1608,Antoine_Name,0),2)-INDEX(Antoines,MATCH(L1608,Antoine_Name,0),3)/(INDEX(Antoines,MATCH(L1608,Antoine_Name,0),4)+(L1616-32)*5/9)))*14.7/760,IF(L1609="Crude Oil",EXP((2799/(L1616+459.6)-2.227)*LOG10(INDEX(FX_Input,Y$5,L$3*$Z$5+$AA$5))-(7261/(L1616+459.6))+12.82),IF(L1609="Refined Petroleum Stock",EXP((0.7553-(413/(L1616+459.6)))*(INDEX(FX_Input,Y$5,L$3*$Z$5+$AA$5-1)^0.5)*LOG10(INDEX(FX_Input,Y$5,L$3*$Z$5+$AA$5))-(1.854-(1042/(L1616+459.6)))*(INDEX(FX_Input,Y$5,L$3*$Z$5+$AA$5-1)^0.5)+((2416/(L1616+459.6)-2.013)*LOG10(INDEX(FX_Input,Y$5,L$3*$Z$5+$AA$5)))-(8742/(L1616+459.6))+15.64),EXP(INDEX(Antoines,MATCH(L1608,Antoine_Name,0),2)-INDEX(Antoines,MATCH(L1608,Antoine_Name,0),3)/(L1616+459.6))))),0)</f>
        <v>0</v>
      </c>
      <c r="M1629" cm="1">
        <f t="array" ref="M1629">IFERROR(IF(M1609="Chemical",(10^(INDEX(Antoines,MATCH(M1608,Antoine_Name,0),2)-INDEX(Antoines,MATCH(M1608,Antoine_Name,0),3)/(INDEX(Antoines,MATCH(M1608,Antoine_Name,0),4)+(M1616-32)*5/9)))*14.7/760,IF(M1609="Crude Oil",EXP((2799/(M1616+459.6)-2.227)*LOG10(INDEX(FX_Input,Z$5,M$3*$Z$5+$AA$5))-(7261/(M1616+459.6))+12.82),IF(M1609="Refined Petroleum Stock",EXP((0.7553-(413/(M1616+459.6)))*(INDEX(FX_Input,Z$5,M$3*$Z$5+$AA$5-1)^0.5)*LOG10(INDEX(FX_Input,Z$5,M$3*$Z$5+$AA$5))-(1.854-(1042/(M1616+459.6)))*(INDEX(FX_Input,Z$5,M$3*$Z$5+$AA$5-1)^0.5)+((2416/(M1616+459.6)-2.013)*LOG10(INDEX(FX_Input,Z$5,M$3*$Z$5+$AA$5)))-(8742/(M1616+459.6))+15.64),EXP(INDEX(Antoines,MATCH(M1608,Antoine_Name,0),2)-INDEX(Antoines,MATCH(M1608,Antoine_Name,0),3)/(M1616+459.6))))),0)</f>
        <v>0</v>
      </c>
      <c r="N1629" cm="1">
        <f t="array" ref="N1629">IFERROR(IF(N1609="Chemical",(10^(INDEX(Antoines,MATCH(N1608,Antoine_Name,0),2)-INDEX(Antoines,MATCH(N1608,Antoine_Name,0),3)/(INDEX(Antoines,MATCH(N1608,Antoine_Name,0),4)+(N1616-32)*5/9)))*14.7/760,IF(N1609="Crude Oil",EXP((2799/(N1616+459.6)-2.227)*LOG10(INDEX(FX_Input,AA$5,N$3*$Z$5+$AA$5))-(7261/(N1616+459.6))+12.82),IF(N1609="Refined Petroleum Stock",EXP((0.7553-(413/(N1616+459.6)))*(INDEX(FX_Input,AA$5,N$3*$Z$5+$AA$5-1)^0.5)*LOG10(INDEX(FX_Input,AA$5,N$3*$Z$5+$AA$5))-(1.854-(1042/(N1616+459.6)))*(INDEX(FX_Input,AA$5,N$3*$Z$5+$AA$5-1)^0.5)+((2416/(N1616+459.6)-2.013)*LOG10(INDEX(FX_Input,AA$5,N$3*$Z$5+$AA$5)))-(8742/(N1616+459.6))+15.64),EXP(INDEX(Antoines,MATCH(N1608,Antoine_Name,0),2)-INDEX(Antoines,MATCH(N1608,Antoine_Name,0),3)/(N1616+459.6))))),0)</f>
        <v>0</v>
      </c>
      <c r="O1629" cm="1">
        <f t="array" ref="O1629">IFERROR(IF(O1609="Chemical",(10^(INDEX(Antoines,MATCH(O1608,Antoine_Name,0),2)-INDEX(Antoines,MATCH(O1608,Antoine_Name,0),3)/(INDEX(Antoines,MATCH(O1608,Antoine_Name,0),4)+(O1616-32)*5/9)))*14.7/760,IF(O1609="Crude Oil",EXP((2799/(O1616+459.6)-2.227)*LOG10(INDEX(FX_Input,AB$5,O$3*$Z$5+$AA$5))-(7261/(O1616+459.6))+12.82),IF(O1609="Refined Petroleum Stock",EXP((0.7553-(413/(O1616+459.6)))*(INDEX(FX_Input,AB$5,O$3*$Z$5+$AA$5-1)^0.5)*LOG10(INDEX(FX_Input,AB$5,O$3*$Z$5+$AA$5))-(1.854-(1042/(O1616+459.6)))*(INDEX(FX_Input,AB$5,O$3*$Z$5+$AA$5-1)^0.5)+((2416/(O1616+459.6)-2.013)*LOG10(INDEX(FX_Input,AB$5,O$3*$Z$5+$AA$5)))-(8742/(O1616+459.6))+15.64),EXP(INDEX(Antoines,MATCH(O1608,Antoine_Name,0),2)-INDEX(Antoines,MATCH(O1608,Antoine_Name,0),3)/(O1616+459.6))))),0)</f>
        <v>0</v>
      </c>
    </row>
    <row r="1630" spans="2:15" ht="17.149999999999999" x14ac:dyDescent="0.55000000000000004">
      <c r="B1630" t="str">
        <f t="shared" si="5908"/>
        <v>Portland</v>
      </c>
      <c r="C1630" t="s">
        <v>1391</v>
      </c>
      <c r="D1630">
        <f>D1629*D1612</f>
        <v>0</v>
      </c>
      <c r="E1630">
        <f t="shared" ref="E1630" si="5986">E1629*E1612</f>
        <v>0</v>
      </c>
      <c r="F1630">
        <f t="shared" ref="F1630" si="5987">F1629*F1612</f>
        <v>0</v>
      </c>
      <c r="G1630">
        <f t="shared" ref="G1630" si="5988">G1629*G1612</f>
        <v>0</v>
      </c>
      <c r="H1630">
        <f t="shared" ref="H1630" si="5989">H1629*H1612</f>
        <v>0</v>
      </c>
      <c r="I1630">
        <f t="shared" ref="I1630" si="5990">I1629*I1612</f>
        <v>0</v>
      </c>
      <c r="J1630">
        <f t="shared" ref="J1630" si="5991">J1629*J1612</f>
        <v>0</v>
      </c>
      <c r="K1630">
        <f t="shared" ref="K1630" si="5992">K1629*K1612</f>
        <v>0</v>
      </c>
      <c r="L1630">
        <f t="shared" ref="L1630" si="5993">L1629*L1612</f>
        <v>0</v>
      </c>
      <c r="M1630">
        <f t="shared" ref="M1630" si="5994">M1629*M1612</f>
        <v>0</v>
      </c>
      <c r="N1630">
        <f t="shared" ref="N1630" si="5995">N1629*N1612</f>
        <v>0</v>
      </c>
      <c r="O1630">
        <f t="shared" ref="O1630" si="5996">O1629*O1612</f>
        <v>0</v>
      </c>
    </row>
    <row r="1631" spans="2:15" ht="17.149999999999999" x14ac:dyDescent="0.55000000000000004">
      <c r="B1631" t="str">
        <f t="shared" si="5908"/>
        <v>Portland</v>
      </c>
      <c r="C1631" t="s">
        <v>1392</v>
      </c>
      <c r="D1631">
        <f>D1628+D1630</f>
        <v>1</v>
      </c>
      <c r="E1631">
        <f t="shared" ref="E1631" si="5997">E1628+E1630</f>
        <v>1</v>
      </c>
      <c r="F1631">
        <f t="shared" ref="F1631" si="5998">F1628+F1630</f>
        <v>1</v>
      </c>
      <c r="G1631">
        <f t="shared" ref="G1631" si="5999">G1628+G1630</f>
        <v>1</v>
      </c>
      <c r="H1631">
        <f t="shared" ref="H1631" si="6000">H1628+H1630</f>
        <v>1</v>
      </c>
      <c r="I1631">
        <f t="shared" ref="I1631" si="6001">I1628+I1630</f>
        <v>1</v>
      </c>
      <c r="J1631">
        <f t="shared" ref="J1631" si="6002">J1628+J1630</f>
        <v>1</v>
      </c>
      <c r="K1631">
        <f t="shared" ref="K1631" si="6003">K1628+K1630</f>
        <v>1</v>
      </c>
      <c r="L1631">
        <f t="shared" ref="L1631" si="6004">L1628+L1630</f>
        <v>1</v>
      </c>
      <c r="M1631">
        <f t="shared" ref="M1631" si="6005">M1628+M1630</f>
        <v>1</v>
      </c>
      <c r="N1631">
        <f t="shared" ref="N1631" si="6006">N1628+N1630</f>
        <v>1</v>
      </c>
      <c r="O1631">
        <f t="shared" ref="O1631" si="6007">O1628+O1630</f>
        <v>1</v>
      </c>
    </row>
    <row r="1632" spans="2:15" ht="17.149999999999999" x14ac:dyDescent="0.55000000000000004">
      <c r="B1632" t="str">
        <f>B1626</f>
        <v>Portland</v>
      </c>
      <c r="C1632" t="s">
        <v>584</v>
      </c>
      <c r="D1632">
        <f>D1628/D1631</f>
        <v>1</v>
      </c>
      <c r="E1632">
        <f t="shared" ref="E1632" si="6008">E1628/E1631</f>
        <v>1</v>
      </c>
      <c r="F1632">
        <f t="shared" ref="F1632" si="6009">F1628/F1631</f>
        <v>1</v>
      </c>
      <c r="G1632">
        <f t="shared" ref="G1632" si="6010">G1628/G1631</f>
        <v>1</v>
      </c>
      <c r="H1632">
        <f t="shared" ref="H1632" si="6011">H1628/H1631</f>
        <v>1</v>
      </c>
      <c r="I1632">
        <f t="shared" ref="I1632" si="6012">I1628/I1631</f>
        <v>1</v>
      </c>
      <c r="J1632">
        <f t="shared" ref="J1632" si="6013">J1628/J1631</f>
        <v>1</v>
      </c>
      <c r="K1632">
        <f t="shared" ref="K1632" si="6014">K1628/K1631</f>
        <v>1</v>
      </c>
      <c r="L1632">
        <f t="shared" ref="L1632" si="6015">L1628/L1631</f>
        <v>1</v>
      </c>
      <c r="M1632">
        <f t="shared" ref="M1632" si="6016">M1628/M1631</f>
        <v>1</v>
      </c>
      <c r="N1632">
        <f t="shared" ref="N1632" si="6017">N1628/N1631</f>
        <v>1</v>
      </c>
      <c r="O1632">
        <f t="shared" ref="O1632" si="6018">O1628/O1631</f>
        <v>1</v>
      </c>
    </row>
    <row r="1633" spans="1:32" ht="17.149999999999999" x14ac:dyDescent="0.55000000000000004">
      <c r="B1633" t="str">
        <f>B1627</f>
        <v>Portland</v>
      </c>
      <c r="C1633" t="s">
        <v>585</v>
      </c>
      <c r="D1633" t="str">
        <f t="shared" ref="D1633:O1633" si="6019">INDEX(Phys_Prop,MATCH(D1606,Chem_List,0),3)</f>
        <v>N/A</v>
      </c>
      <c r="E1633" t="str">
        <f t="shared" si="6019"/>
        <v>N/A</v>
      </c>
      <c r="F1633" t="str">
        <f t="shared" si="6019"/>
        <v>N/A</v>
      </c>
      <c r="G1633" t="str">
        <f t="shared" si="6019"/>
        <v>N/A</v>
      </c>
      <c r="H1633" t="str">
        <f t="shared" si="6019"/>
        <v>N/A</v>
      </c>
      <c r="I1633" t="str">
        <f t="shared" si="6019"/>
        <v>N/A</v>
      </c>
      <c r="J1633" t="str">
        <f t="shared" si="6019"/>
        <v>N/A</v>
      </c>
      <c r="K1633" t="str">
        <f t="shared" si="6019"/>
        <v>N/A</v>
      </c>
      <c r="L1633" t="str">
        <f t="shared" si="6019"/>
        <v>N/A</v>
      </c>
      <c r="M1633" t="str">
        <f t="shared" si="6019"/>
        <v>N/A</v>
      </c>
      <c r="N1633" t="str">
        <f t="shared" si="6019"/>
        <v>N/A</v>
      </c>
      <c r="O1633" t="str">
        <f t="shared" si="6019"/>
        <v>N/A</v>
      </c>
    </row>
    <row r="1634" spans="1:32" ht="17.149999999999999" x14ac:dyDescent="0.55000000000000004">
      <c r="B1634" t="str">
        <f>B1633</f>
        <v>Portland</v>
      </c>
      <c r="C1634" t="s">
        <v>586</v>
      </c>
      <c r="D1634">
        <f>D1630/D1631</f>
        <v>0</v>
      </c>
      <c r="E1634">
        <f t="shared" ref="E1634:O1634" si="6020">E1630/E1631</f>
        <v>0</v>
      </c>
      <c r="F1634">
        <f t="shared" si="6020"/>
        <v>0</v>
      </c>
      <c r="G1634">
        <f t="shared" si="6020"/>
        <v>0</v>
      </c>
      <c r="H1634">
        <f t="shared" si="6020"/>
        <v>0</v>
      </c>
      <c r="I1634">
        <f t="shared" si="6020"/>
        <v>0</v>
      </c>
      <c r="J1634">
        <f t="shared" si="6020"/>
        <v>0</v>
      </c>
      <c r="K1634">
        <f t="shared" si="6020"/>
        <v>0</v>
      </c>
      <c r="L1634">
        <f t="shared" si="6020"/>
        <v>0</v>
      </c>
      <c r="M1634">
        <f t="shared" si="6020"/>
        <v>0</v>
      </c>
      <c r="N1634">
        <f t="shared" si="6020"/>
        <v>0</v>
      </c>
      <c r="O1634">
        <f t="shared" si="6020"/>
        <v>0</v>
      </c>
    </row>
    <row r="1635" spans="1:32" ht="17.149999999999999" x14ac:dyDescent="0.55000000000000004">
      <c r="B1635" t="str">
        <f t="shared" si="5908"/>
        <v>Portland</v>
      </c>
      <c r="C1635" t="s">
        <v>587</v>
      </c>
      <c r="D1635">
        <f t="shared" ref="D1635:O1635" si="6021">IFERROR(INDEX(Phys_Prop,MATCH(D1608,Chem_List,0),3),0)</f>
        <v>0</v>
      </c>
      <c r="E1635">
        <f t="shared" si="6021"/>
        <v>0</v>
      </c>
      <c r="F1635">
        <f t="shared" si="6021"/>
        <v>0</v>
      </c>
      <c r="G1635">
        <f t="shared" si="6021"/>
        <v>0</v>
      </c>
      <c r="H1635">
        <f t="shared" si="6021"/>
        <v>0</v>
      </c>
      <c r="I1635">
        <f t="shared" si="6021"/>
        <v>0</v>
      </c>
      <c r="J1635">
        <f t="shared" si="6021"/>
        <v>0</v>
      </c>
      <c r="K1635">
        <f t="shared" si="6021"/>
        <v>0</v>
      </c>
      <c r="L1635">
        <f t="shared" si="6021"/>
        <v>0</v>
      </c>
      <c r="M1635">
        <f t="shared" si="6021"/>
        <v>0</v>
      </c>
      <c r="N1635">
        <f t="shared" si="6021"/>
        <v>0</v>
      </c>
      <c r="O1635">
        <f t="shared" si="6021"/>
        <v>0</v>
      </c>
    </row>
    <row r="1636" spans="1:32" ht="17.149999999999999" x14ac:dyDescent="0.55000000000000004">
      <c r="A1636" s="11"/>
      <c r="B1636" s="11" t="str">
        <f t="shared" si="5908"/>
        <v>Portland</v>
      </c>
      <c r="C1636" s="11" t="s">
        <v>588</v>
      </c>
      <c r="D1636" s="11">
        <f>IFERROR(D1632*D1633+D1634*D1635,0)</f>
        <v>0</v>
      </c>
      <c r="E1636" s="11">
        <f t="shared" ref="E1636" si="6022">IFERROR(E1632*E1633+E1634*E1635,0)</f>
        <v>0</v>
      </c>
      <c r="F1636" s="11">
        <f t="shared" ref="F1636" si="6023">IFERROR(F1632*F1633+F1634*F1635,0)</f>
        <v>0</v>
      </c>
      <c r="G1636" s="11">
        <f t="shared" ref="G1636" si="6024">IFERROR(G1632*G1633+G1634*G1635,0)</f>
        <v>0</v>
      </c>
      <c r="H1636" s="11">
        <f t="shared" ref="H1636" si="6025">IFERROR(H1632*H1633+H1634*H1635,0)</f>
        <v>0</v>
      </c>
      <c r="I1636" s="11">
        <f t="shared" ref="I1636" si="6026">IFERROR(I1632*I1633+I1634*I1635,0)</f>
        <v>0</v>
      </c>
      <c r="J1636" s="11">
        <f t="shared" ref="J1636" si="6027">IFERROR(J1632*J1633+J1634*J1635,0)</f>
        <v>0</v>
      </c>
      <c r="K1636" s="11">
        <f t="shared" ref="K1636" si="6028">IFERROR(K1632*K1633+K1634*K1635,0)</f>
        <v>0</v>
      </c>
      <c r="L1636" s="11">
        <f t="shared" ref="L1636" si="6029">IFERROR(L1632*L1633+L1634*L1635,0)</f>
        <v>0</v>
      </c>
      <c r="M1636" s="11">
        <f t="shared" ref="M1636" si="6030">IFERROR(M1632*M1633+M1634*M1635,0)</f>
        <v>0</v>
      </c>
      <c r="N1636" s="11">
        <f t="shared" ref="N1636" si="6031">IFERROR(N1632*N1633+N1634*N1635,0)</f>
        <v>0</v>
      </c>
      <c r="O1636" s="11">
        <f t="shared" ref="O1636" si="6032">IFERROR(O1632*O1633+O1634*O1635,0)</f>
        <v>0</v>
      </c>
      <c r="P1636" s="11"/>
      <c r="Q1636" s="11"/>
      <c r="R1636" s="11"/>
      <c r="S1636" s="11"/>
      <c r="T1636" s="11"/>
      <c r="U1636" s="11"/>
      <c r="V1636" s="11"/>
      <c r="W1636" s="11"/>
      <c r="X1636" s="11"/>
      <c r="Y1636" s="11"/>
      <c r="Z1636" s="11"/>
      <c r="AA1636" s="11"/>
      <c r="AB1636" s="11"/>
      <c r="AC1636" s="11"/>
      <c r="AD1636" s="11"/>
      <c r="AE1636" s="11"/>
      <c r="AF1636" s="11"/>
    </row>
    <row r="1637" spans="1:32" ht="17.149999999999999" x14ac:dyDescent="0.55000000000000004">
      <c r="A1637" t="str" cm="1">
        <f t="array" ref="A1637">INDEX(FX_Input,$Q1637,R$5)</f>
        <v>FX - 49</v>
      </c>
      <c r="B1637" t="str" cm="1">
        <f t="array" ref="B1637">INDEX(FX_Input,Q1637,S1637)</f>
        <v>Portland</v>
      </c>
      <c r="C1637" t="s">
        <v>563</v>
      </c>
      <c r="D1637">
        <v>14.7</v>
      </c>
      <c r="E1637">
        <v>14.7</v>
      </c>
      <c r="F1637">
        <v>14.7</v>
      </c>
      <c r="G1637">
        <v>14.7</v>
      </c>
      <c r="H1637">
        <v>14.7</v>
      </c>
      <c r="I1637">
        <v>14.7</v>
      </c>
      <c r="J1637">
        <v>14.7</v>
      </c>
      <c r="K1637">
        <v>14.7</v>
      </c>
      <c r="L1637">
        <v>14.7</v>
      </c>
      <c r="M1637">
        <v>14.7</v>
      </c>
      <c r="N1637">
        <v>14.7</v>
      </c>
      <c r="O1637">
        <v>14.7</v>
      </c>
      <c r="Q1637">
        <f>Q1603+2</f>
        <v>97</v>
      </c>
      <c r="R1637">
        <v>1</v>
      </c>
      <c r="S1637">
        <v>3</v>
      </c>
      <c r="T1637">
        <v>1</v>
      </c>
      <c r="U1637">
        <v>19</v>
      </c>
      <c r="V1637">
        <v>20</v>
      </c>
      <c r="W1637">
        <v>25</v>
      </c>
      <c r="X1637">
        <v>1</v>
      </c>
      <c r="Y1637">
        <v>2</v>
      </c>
      <c r="Z1637">
        <f>(W1637-V1637)/(Y1637-X1637)</f>
        <v>5</v>
      </c>
      <c r="AA1637">
        <f>V1637-Z1637*X1637</f>
        <v>15</v>
      </c>
      <c r="AD1637">
        <f>AD1603+14</f>
        <v>673</v>
      </c>
      <c r="AF1637">
        <f>AF1603+14</f>
        <v>673</v>
      </c>
    </row>
    <row r="1638" spans="1:32" ht="17.149999999999999" x14ac:dyDescent="0.55000000000000004">
      <c r="B1638" t="str">
        <f t="shared" ref="B1638" si="6033">B1637</f>
        <v>Portland</v>
      </c>
      <c r="C1638" t="s">
        <v>564</v>
      </c>
      <c r="D1638" cm="1">
        <f t="array" ref="D1638">IF(ISBLANK(INDEX(FX_Input,$Q1637,$AB1638)),0.03,INDEX(FX_Input,Q1637,AB1638))</f>
        <v>0.03</v>
      </c>
      <c r="E1638" cm="1">
        <f t="array" ref="E1638">IF(ISBLANK(INDEX(FX_Input,$Q1637,$AB1638)),0.03,INDEX(FX_Input,R1637,#REF!))</f>
        <v>0.03</v>
      </c>
      <c r="F1638" cm="1">
        <f t="array" ref="F1638">IF(ISBLANK(INDEX(FX_Input,$Q1637,$AB1638)),0.03,INDEX(FX_Input,S1637,#REF!))</f>
        <v>0.03</v>
      </c>
      <c r="G1638" cm="1">
        <f t="array" ref="G1638">IF(ISBLANK(INDEX(FX_Input,$Q1637,$AB1638)),0.03,INDEX(FX_Input,AB1637,#REF!))</f>
        <v>0.03</v>
      </c>
      <c r="H1638" cm="1">
        <f t="array" ref="H1638">IF(ISBLANK(INDEX(FX_Input,$Q1637,$AB1638)),0.03,INDEX(FX_Input,#REF!,#REF!))</f>
        <v>0.03</v>
      </c>
      <c r="I1638" cm="1">
        <f t="array" ref="I1638">IF(ISBLANK(INDEX(FX_Input,$Q1637,$AB1638)),0.03,INDEX(FX_Input,#REF!,#REF!))</f>
        <v>0.03</v>
      </c>
      <c r="J1638" cm="1">
        <f t="array" ref="J1638">IF(ISBLANK(INDEX(FX_Input,$Q1637,$AB1638)),0.03,INDEX(FX_Input,#REF!,#REF!))</f>
        <v>0.03</v>
      </c>
      <c r="K1638" cm="1">
        <f t="array" ref="K1638">IF(ISBLANK(INDEX(FX_Input,$Q1637,$AB1638)),0.03,INDEX(FX_Input,#REF!,AC1638))</f>
        <v>0.03</v>
      </c>
      <c r="L1638" cm="1">
        <f t="array" ref="L1638">IF(ISBLANK(INDEX(FX_Input,$Q1637,$AB1638)),0.03,INDEX(FX_Input,#REF!,AD1638))</f>
        <v>0.03</v>
      </c>
      <c r="M1638" cm="1">
        <f t="array" ref="M1638">IF(ISBLANK(INDEX(FX_Input,$Q1637,$AB1638)),0.03,INDEX(FX_Input,#REF!,#REF!))</f>
        <v>0.03</v>
      </c>
      <c r="N1638" cm="1">
        <f t="array" ref="N1638">IF(ISBLANK(INDEX(FX_Input,$Q1637,$AB1638)),0.03,INDEX(FX_Input,AC1637,#REF!))</f>
        <v>0.03</v>
      </c>
      <c r="O1638" cm="1">
        <f t="array" ref="O1638">IF(ISBLANK(INDEX(FX_Input,$Q1637,$AB1638)),0.03,INDEX(FX_Input,AD1637,#REF!))</f>
        <v>0.03</v>
      </c>
      <c r="AB1638">
        <v>15</v>
      </c>
    </row>
    <row r="1639" spans="1:32" ht="17.149999999999999" x14ac:dyDescent="0.55000000000000004">
      <c r="B1639" t="str">
        <f>B1638</f>
        <v>Portland</v>
      </c>
      <c r="C1639" t="s">
        <v>565</v>
      </c>
      <c r="D1639" cm="1">
        <f t="array" ref="D1639">IF(ISBLANK(INDEX(FX_Input,$Q1637,$AB1639)),-0.03,INDEX(FX_Input,$Q1637,$AB1639))</f>
        <v>-0.03</v>
      </c>
      <c r="E1639" cm="1">
        <f t="array" ref="E1639">IF(ISBLANK(INDEX(FX_Input,$Q1637,$AB1639)),-0.03,INDEX(FX_Input,R1637,#REF!))</f>
        <v>-0.03</v>
      </c>
      <c r="F1639" cm="1">
        <f t="array" ref="F1639">IF(ISBLANK(INDEX(FX_Input,$Q1637,$AB1639)),-0.03,INDEX(FX_Input,S1637,#REF!))</f>
        <v>-0.03</v>
      </c>
      <c r="G1639" cm="1">
        <f t="array" ref="G1639">IF(ISBLANK(INDEX(FX_Input,$Q1637,$AB1639)),-0.03,INDEX(FX_Input,AB1637,#REF!))</f>
        <v>-0.03</v>
      </c>
      <c r="H1639" cm="1">
        <f t="array" ref="H1639">IF(ISBLANK(INDEX(FX_Input,$Q1637,$AB1639)),-0.03,INDEX(FX_Input,#REF!,#REF!))</f>
        <v>-0.03</v>
      </c>
      <c r="I1639" cm="1">
        <f t="array" ref="I1639">IF(ISBLANK(INDEX(FX_Input,$Q1637,$AB1639)),-0.03,INDEX(FX_Input,#REF!,#REF!))</f>
        <v>-0.03</v>
      </c>
      <c r="J1639" cm="1">
        <f t="array" ref="J1639">IF(ISBLANK(INDEX(FX_Input,$Q1637,$AB1639)),-0.03,INDEX(FX_Input,#REF!,#REF!))</f>
        <v>-0.03</v>
      </c>
      <c r="K1639" cm="1">
        <f t="array" ref="K1639">IF(ISBLANK(INDEX(FX_Input,$Q1637,$AB1639)),-0.03,INDEX(FX_Input,#REF!,AC1639))</f>
        <v>-0.03</v>
      </c>
      <c r="L1639" cm="1">
        <f t="array" ref="L1639">IF(ISBLANK(INDEX(FX_Input,$Q1637,$AB1639)),-0.03,INDEX(FX_Input,#REF!,AD1639))</f>
        <v>-0.03</v>
      </c>
      <c r="M1639" cm="1">
        <f t="array" ref="M1639">IF(ISBLANK(INDEX(FX_Input,$Q1637,$AB1639)),-0.03,INDEX(FX_Input,#REF!,#REF!))</f>
        <v>-0.03</v>
      </c>
      <c r="N1639" cm="1">
        <f t="array" ref="N1639">IF(ISBLANK(INDEX(FX_Input,$Q1637,$AB1639)),-0.03,INDEX(FX_Input,AC1637,#REF!))</f>
        <v>-0.03</v>
      </c>
      <c r="O1639" cm="1">
        <f t="array" ref="O1639">IF(ISBLANK(INDEX(FX_Input,$Q1637,$AB1639)),-0.03,INDEX(FX_Input,AD1637,#REF!))</f>
        <v>-0.03</v>
      </c>
      <c r="AB1639">
        <v>16</v>
      </c>
    </row>
    <row r="1640" spans="1:32" x14ac:dyDescent="0.4">
      <c r="B1640" t="str">
        <f t="shared" ref="B1640:B1641" si="6034">B1639</f>
        <v>Portland</v>
      </c>
      <c r="C1640" s="66" t="s">
        <v>567</v>
      </c>
      <c r="D1640" t="str" cm="1">
        <f t="array" ref="D1640">INDEX(FX_Multi,$AD1640,D$3)</f>
        <v>Jet kerosene</v>
      </c>
      <c r="E1640" t="str" cm="1">
        <f t="array" ref="E1640">INDEX(FX_Multi,$AD1640,E$3)</f>
        <v>Jet kerosene</v>
      </c>
      <c r="F1640" t="str" cm="1">
        <f t="array" ref="F1640">INDEX(FX_Multi,$AD1640,F$3)</f>
        <v>Jet kerosene</v>
      </c>
      <c r="G1640" t="str" cm="1">
        <f t="array" ref="G1640">INDEX(FX_Multi,$AD1640,G$3)</f>
        <v>Jet kerosene</v>
      </c>
      <c r="H1640" t="str" cm="1">
        <f t="array" ref="H1640">INDEX(FX_Multi,$AD1640,H$3)</f>
        <v>Jet kerosene</v>
      </c>
      <c r="I1640" t="str" cm="1">
        <f t="array" ref="I1640">INDEX(FX_Multi,$AD1640,I$3)</f>
        <v>Jet kerosene</v>
      </c>
      <c r="J1640" t="str" cm="1">
        <f t="array" ref="J1640">INDEX(FX_Multi,$AD1640,J$3)</f>
        <v>Jet kerosene</v>
      </c>
      <c r="K1640" t="str" cm="1">
        <f t="array" ref="K1640">INDEX(FX_Multi,$AD1640,K$3)</f>
        <v>Jet kerosene</v>
      </c>
      <c r="L1640" t="str" cm="1">
        <f t="array" ref="L1640">INDEX(FX_Multi,$AD1640,L$3)</f>
        <v>Jet kerosene</v>
      </c>
      <c r="M1640" t="str" cm="1">
        <f t="array" ref="M1640">INDEX(FX_Multi,$AD1640,M$3)</f>
        <v>Jet kerosene</v>
      </c>
      <c r="N1640" t="str" cm="1">
        <f t="array" ref="N1640">INDEX(FX_Multi,$AD1640,N$3)</f>
        <v>Jet kerosene</v>
      </c>
      <c r="O1640" t="str" cm="1">
        <f t="array" ref="O1640">INDEX(FX_Multi,$AD1640,O$3)</f>
        <v>Jet kerosene</v>
      </c>
      <c r="AC1640">
        <v>1</v>
      </c>
      <c r="AD1640">
        <f>AD1637</f>
        <v>673</v>
      </c>
      <c r="AE1640">
        <v>1</v>
      </c>
      <c r="AF1640">
        <f>AF1637</f>
        <v>673</v>
      </c>
    </row>
    <row r="1641" spans="1:32" x14ac:dyDescent="0.4">
      <c r="B1641" t="str">
        <f t="shared" si="6034"/>
        <v>Portland</v>
      </c>
      <c r="C1641" s="66" t="s">
        <v>566</v>
      </c>
      <c r="D1641" t="str" cm="1">
        <f t="array" ref="D1641">INDEX(FX_Multi,$AD1641,D$3)</f>
        <v>Select Pet Stock</v>
      </c>
      <c r="E1641" t="str" cm="1">
        <f t="array" ref="E1641">INDEX(FX_Multi,$AD1641,E$3)</f>
        <v>Select Pet Stock</v>
      </c>
      <c r="F1641" t="str" cm="1">
        <f t="array" ref="F1641">INDEX(FX_Multi,$AD1641,F$3)</f>
        <v>Select Pet Stock</v>
      </c>
      <c r="G1641" t="str" cm="1">
        <f t="array" ref="G1641">INDEX(FX_Multi,$AD1641,G$3)</f>
        <v>Select Pet Stock</v>
      </c>
      <c r="H1641" t="str" cm="1">
        <f t="array" ref="H1641">INDEX(FX_Multi,$AD1641,H$3)</f>
        <v>Select Pet Stock</v>
      </c>
      <c r="I1641" t="str" cm="1">
        <f t="array" ref="I1641">INDEX(FX_Multi,$AD1641,I$3)</f>
        <v>Select Pet Stock</v>
      </c>
      <c r="J1641" t="str" cm="1">
        <f t="array" ref="J1641">INDEX(FX_Multi,$AD1641,J$3)</f>
        <v>Select Pet Stock</v>
      </c>
      <c r="K1641" t="str" cm="1">
        <f t="array" ref="K1641">INDEX(FX_Multi,$AD1641,K$3)</f>
        <v>Select Pet Stock</v>
      </c>
      <c r="L1641" t="str" cm="1">
        <f t="array" ref="L1641">INDEX(FX_Multi,$AD1641,L$3)</f>
        <v>Select Pet Stock</v>
      </c>
      <c r="M1641" t="str" cm="1">
        <f t="array" ref="M1641">INDEX(FX_Multi,$AD1641,M$3)</f>
        <v>Select Pet Stock</v>
      </c>
      <c r="N1641" t="str" cm="1">
        <f t="array" ref="N1641">INDEX(FX_Multi,$AD1641,N$3)</f>
        <v>Select Pet Stock</v>
      </c>
      <c r="O1641" t="str" cm="1">
        <f t="array" ref="O1641">INDEX(FX_Multi,$AD1641,O$3)</f>
        <v>Select Pet Stock</v>
      </c>
      <c r="AC1641">
        <v>1</v>
      </c>
      <c r="AD1641">
        <f>AD1640+2</f>
        <v>675</v>
      </c>
      <c r="AE1641">
        <v>1</v>
      </c>
      <c r="AF1641">
        <f>AF1640+3</f>
        <v>676</v>
      </c>
    </row>
    <row r="1642" spans="1:32" x14ac:dyDescent="0.4">
      <c r="B1642" t="str">
        <f>B1638</f>
        <v>Portland</v>
      </c>
      <c r="C1642" s="66" t="s">
        <v>568</v>
      </c>
      <c r="D1642" cm="1">
        <f t="array" ref="D1642">INDEX(FX_Multi,$AD1642,D$3)</f>
        <v>0</v>
      </c>
      <c r="E1642" cm="1">
        <f t="array" ref="E1642">INDEX(FX_Multi,$AD1642,E$3)</f>
        <v>0</v>
      </c>
      <c r="F1642" cm="1">
        <f t="array" ref="F1642">INDEX(FX_Multi,$AD1642,F$3)</f>
        <v>0</v>
      </c>
      <c r="G1642" cm="1">
        <f t="array" ref="G1642">INDEX(FX_Multi,$AD1642,G$3)</f>
        <v>0</v>
      </c>
      <c r="H1642" cm="1">
        <f t="array" ref="H1642">INDEX(FX_Multi,$AD1642,H$3)</f>
        <v>0</v>
      </c>
      <c r="I1642" cm="1">
        <f t="array" ref="I1642">INDEX(FX_Multi,$AD1642,I$3)</f>
        <v>0</v>
      </c>
      <c r="J1642" cm="1">
        <f t="array" ref="J1642">INDEX(FX_Multi,$AD1642,J$3)</f>
        <v>0</v>
      </c>
      <c r="K1642" cm="1">
        <f t="array" ref="K1642">INDEX(FX_Multi,$AD1642,K$3)</f>
        <v>0</v>
      </c>
      <c r="L1642" cm="1">
        <f t="array" ref="L1642">INDEX(FX_Multi,$AD1642,L$3)</f>
        <v>0</v>
      </c>
      <c r="M1642" cm="1">
        <f t="array" ref="M1642">INDEX(FX_Multi,$AD1642,M$3)</f>
        <v>0</v>
      </c>
      <c r="N1642" cm="1">
        <f t="array" ref="N1642">INDEX(FX_Multi,$AD1642,N$3)</f>
        <v>0</v>
      </c>
      <c r="O1642" cm="1">
        <f t="array" ref="O1642">INDEX(FX_Multi,$AD1642,O$3)</f>
        <v>0</v>
      </c>
      <c r="AC1642">
        <v>1</v>
      </c>
      <c r="AD1642">
        <f>AD1641-1</f>
        <v>674</v>
      </c>
      <c r="AE1642">
        <v>1</v>
      </c>
      <c r="AF1642">
        <f>AF1640+1</f>
        <v>674</v>
      </c>
    </row>
    <row r="1643" spans="1:32" x14ac:dyDescent="0.4">
      <c r="B1643" t="str">
        <f t="shared" ref="B1643:B1647" si="6035">B1642</f>
        <v>Portland</v>
      </c>
      <c r="C1643" s="66" t="s">
        <v>569</v>
      </c>
      <c r="D1643" cm="1">
        <f t="array" ref="D1643">INDEX(FX_Multi,$AD1643,D$3)</f>
        <v>0</v>
      </c>
      <c r="E1643" cm="1">
        <f t="array" ref="E1643">INDEX(FX_Multi,$AD1643,E$3)</f>
        <v>0</v>
      </c>
      <c r="F1643" cm="1">
        <f t="array" ref="F1643">INDEX(FX_Multi,$AD1643,F$3)</f>
        <v>0</v>
      </c>
      <c r="G1643" cm="1">
        <f t="array" ref="G1643">INDEX(FX_Multi,$AD1643,G$3)</f>
        <v>0</v>
      </c>
      <c r="H1643" cm="1">
        <f t="array" ref="H1643">INDEX(FX_Multi,$AD1643,H$3)</f>
        <v>0</v>
      </c>
      <c r="I1643" cm="1">
        <f t="array" ref="I1643">INDEX(FX_Multi,$AD1643,I$3)</f>
        <v>0</v>
      </c>
      <c r="J1643" cm="1">
        <f t="array" ref="J1643">INDEX(FX_Multi,$AD1643,J$3)</f>
        <v>0</v>
      </c>
      <c r="K1643" cm="1">
        <f t="array" ref="K1643">INDEX(FX_Multi,$AD1643,K$3)</f>
        <v>0</v>
      </c>
      <c r="L1643" cm="1">
        <f t="array" ref="L1643">INDEX(FX_Multi,$AD1643,L$3)</f>
        <v>0</v>
      </c>
      <c r="M1643" cm="1">
        <f t="array" ref="M1643">INDEX(FX_Multi,$AD1643,M$3)</f>
        <v>0</v>
      </c>
      <c r="N1643" cm="1">
        <f t="array" ref="N1643">INDEX(FX_Multi,$AD1643,N$3)</f>
        <v>0</v>
      </c>
      <c r="O1643" cm="1">
        <f t="array" ref="O1643">INDEX(FX_Multi,$AD1643,O$3)</f>
        <v>0</v>
      </c>
      <c r="AC1643">
        <v>1</v>
      </c>
      <c r="AD1643">
        <f>AD1642+2</f>
        <v>676</v>
      </c>
      <c r="AE1643">
        <v>1</v>
      </c>
      <c r="AF1643">
        <f>AF1641</f>
        <v>676</v>
      </c>
    </row>
    <row r="1644" spans="1:32" ht="17.149999999999999" x14ac:dyDescent="0.55000000000000004">
      <c r="B1644" t="str">
        <f t="shared" si="6035"/>
        <v>Portland</v>
      </c>
      <c r="C1644" t="s">
        <v>570</v>
      </c>
      <c r="D1644" cm="1">
        <f t="array" ref="D1644">INDEX(FX_Multi,$AD1644,D$3)</f>
        <v>1</v>
      </c>
      <c r="E1644" cm="1">
        <f t="array" ref="E1644">INDEX(FX_Multi,$AD1644,E$3)</f>
        <v>1</v>
      </c>
      <c r="F1644" cm="1">
        <f t="array" ref="F1644">INDEX(FX_Multi,$AD1644,F$3)</f>
        <v>1</v>
      </c>
      <c r="G1644" cm="1">
        <f t="array" ref="G1644">INDEX(FX_Multi,$AD1644,G$3)</f>
        <v>1</v>
      </c>
      <c r="H1644" cm="1">
        <f t="array" ref="H1644">INDEX(FX_Multi,$AD1644,H$3)</f>
        <v>1</v>
      </c>
      <c r="I1644" cm="1">
        <f t="array" ref="I1644">INDEX(FX_Multi,$AD1644,I$3)</f>
        <v>1</v>
      </c>
      <c r="J1644" cm="1">
        <f t="array" ref="J1644">INDEX(FX_Multi,$AD1644,J$3)</f>
        <v>1</v>
      </c>
      <c r="K1644" cm="1">
        <f t="array" ref="K1644">INDEX(FX_Multi,$AD1644,K$3)</f>
        <v>1</v>
      </c>
      <c r="L1644" cm="1">
        <f t="array" ref="L1644">INDEX(FX_Multi,$AD1644,L$3)</f>
        <v>1</v>
      </c>
      <c r="M1644" cm="1">
        <f t="array" ref="M1644">INDEX(FX_Multi,$AD1644,M$3)</f>
        <v>1</v>
      </c>
      <c r="N1644" cm="1">
        <f t="array" ref="N1644">INDEX(FX_Multi,$AD1644,N$3)</f>
        <v>1</v>
      </c>
      <c r="O1644" cm="1">
        <f t="array" ref="O1644">INDEX(FX_Multi,$AD1644,O$3)</f>
        <v>1</v>
      </c>
      <c r="AC1644">
        <v>1</v>
      </c>
      <c r="AD1644">
        <f>AD1643+6</f>
        <v>682</v>
      </c>
      <c r="AE1644">
        <v>1</v>
      </c>
      <c r="AF1644">
        <f>AF1640+9</f>
        <v>682</v>
      </c>
    </row>
    <row r="1645" spans="1:32" ht="17.149999999999999" x14ac:dyDescent="0.55000000000000004">
      <c r="B1645" t="str">
        <f t="shared" si="6035"/>
        <v>Portland</v>
      </c>
      <c r="C1645" t="s">
        <v>571</v>
      </c>
      <c r="D1645" cm="1">
        <f t="array" ref="D1645">INDEX(FX_Multi,$AD1645,D$3)</f>
        <v>162</v>
      </c>
      <c r="E1645" cm="1">
        <f t="array" ref="E1645">INDEX(FX_Multi,$AD1645,E$3)</f>
        <v>162</v>
      </c>
      <c r="F1645" cm="1">
        <f t="array" ref="F1645">INDEX(FX_Multi,$AD1645,F$3)</f>
        <v>162</v>
      </c>
      <c r="G1645" cm="1">
        <f t="array" ref="G1645">INDEX(FX_Multi,$AD1645,G$3)</f>
        <v>162</v>
      </c>
      <c r="H1645" cm="1">
        <f t="array" ref="H1645">INDEX(FX_Multi,$AD1645,H$3)</f>
        <v>162</v>
      </c>
      <c r="I1645" cm="1">
        <f t="array" ref="I1645">INDEX(FX_Multi,$AD1645,I$3)</f>
        <v>162</v>
      </c>
      <c r="J1645" cm="1">
        <f t="array" ref="J1645">INDEX(FX_Multi,$AD1645,J$3)</f>
        <v>162</v>
      </c>
      <c r="K1645" cm="1">
        <f t="array" ref="K1645">INDEX(FX_Multi,$AD1645,K$3)</f>
        <v>162</v>
      </c>
      <c r="L1645" cm="1">
        <f t="array" ref="L1645">INDEX(FX_Multi,$AD1645,L$3)</f>
        <v>162</v>
      </c>
      <c r="M1645" cm="1">
        <f t="array" ref="M1645">INDEX(FX_Multi,$AD1645,M$3)</f>
        <v>162</v>
      </c>
      <c r="N1645" cm="1">
        <f t="array" ref="N1645">INDEX(FX_Multi,$AD1645,N$3)</f>
        <v>162</v>
      </c>
      <c r="O1645" cm="1">
        <f t="array" ref="O1645">INDEX(FX_Multi,$AD1645,O$3)</f>
        <v>162</v>
      </c>
      <c r="AC1645">
        <v>1</v>
      </c>
      <c r="AD1645">
        <f>AD1644-3</f>
        <v>679</v>
      </c>
      <c r="AE1645">
        <v>1</v>
      </c>
      <c r="AF1645">
        <f>AF1640+6</f>
        <v>679</v>
      </c>
    </row>
    <row r="1646" spans="1:32" ht="17.149999999999999" x14ac:dyDescent="0.55000000000000004">
      <c r="B1646" t="str">
        <f t="shared" si="6035"/>
        <v>Portland</v>
      </c>
      <c r="C1646" t="s">
        <v>572</v>
      </c>
      <c r="D1646" cm="1">
        <f t="array" ref="D1646">INDEX(FX_Multi,$AD1646,D$3)</f>
        <v>0</v>
      </c>
      <c r="E1646" cm="1">
        <f t="array" ref="E1646">INDEX(FX_Multi,$AD1646,E$3)</f>
        <v>0</v>
      </c>
      <c r="F1646" cm="1">
        <f t="array" ref="F1646">INDEX(FX_Multi,$AD1646,F$3)</f>
        <v>0</v>
      </c>
      <c r="G1646" cm="1">
        <f t="array" ref="G1646">INDEX(FX_Multi,$AD1646,G$3)</f>
        <v>0</v>
      </c>
      <c r="H1646" cm="1">
        <f t="array" ref="H1646">INDEX(FX_Multi,$AD1646,H$3)</f>
        <v>0</v>
      </c>
      <c r="I1646" cm="1">
        <f t="array" ref="I1646">INDEX(FX_Multi,$AD1646,I$3)</f>
        <v>0</v>
      </c>
      <c r="J1646" cm="1">
        <f t="array" ref="J1646">INDEX(FX_Multi,$AD1646,J$3)</f>
        <v>0</v>
      </c>
      <c r="K1646" cm="1">
        <f t="array" ref="K1646">INDEX(FX_Multi,$AD1646,K$3)</f>
        <v>0</v>
      </c>
      <c r="L1646" cm="1">
        <f t="array" ref="L1646">INDEX(FX_Multi,$AD1646,L$3)</f>
        <v>0</v>
      </c>
      <c r="M1646" cm="1">
        <f t="array" ref="M1646">INDEX(FX_Multi,$AD1646,M$3)</f>
        <v>0</v>
      </c>
      <c r="N1646" cm="1">
        <f t="array" ref="N1646">INDEX(FX_Multi,$AD1646,N$3)</f>
        <v>0</v>
      </c>
      <c r="O1646" cm="1">
        <f t="array" ref="O1646">INDEX(FX_Multi,$AD1646,O$3)</f>
        <v>0</v>
      </c>
      <c r="AC1646">
        <v>1</v>
      </c>
      <c r="AD1646">
        <f>AD1645+4</f>
        <v>683</v>
      </c>
      <c r="AE1646">
        <v>1</v>
      </c>
      <c r="AF1646">
        <f>AF1640+10</f>
        <v>683</v>
      </c>
    </row>
    <row r="1647" spans="1:32" ht="17.149999999999999" x14ac:dyDescent="0.55000000000000004">
      <c r="B1647" t="str">
        <f t="shared" si="6035"/>
        <v>Portland</v>
      </c>
      <c r="C1647" t="s">
        <v>573</v>
      </c>
      <c r="D1647" cm="1">
        <f t="array" ref="D1647">INDEX(FX_Multi,$AD1647,D$3)</f>
        <v>0</v>
      </c>
      <c r="E1647" cm="1">
        <f t="array" ref="E1647">INDEX(FX_Multi,$AD1647,E$3)</f>
        <v>0</v>
      </c>
      <c r="F1647" cm="1">
        <f t="array" ref="F1647">INDEX(FX_Multi,$AD1647,F$3)</f>
        <v>0</v>
      </c>
      <c r="G1647" cm="1">
        <f t="array" ref="G1647">INDEX(FX_Multi,$AD1647,G$3)</f>
        <v>0</v>
      </c>
      <c r="H1647" cm="1">
        <f t="array" ref="H1647">INDEX(FX_Multi,$AD1647,H$3)</f>
        <v>0</v>
      </c>
      <c r="I1647" cm="1">
        <f t="array" ref="I1647">INDEX(FX_Multi,$AD1647,I$3)</f>
        <v>0</v>
      </c>
      <c r="J1647" cm="1">
        <f t="array" ref="J1647">INDEX(FX_Multi,$AD1647,J$3)</f>
        <v>0</v>
      </c>
      <c r="K1647" cm="1">
        <f t="array" ref="K1647">INDEX(FX_Multi,$AD1647,K$3)</f>
        <v>0</v>
      </c>
      <c r="L1647" cm="1">
        <f t="array" ref="L1647">INDEX(FX_Multi,$AD1647,L$3)</f>
        <v>0</v>
      </c>
      <c r="M1647" cm="1">
        <f t="array" ref="M1647">INDEX(FX_Multi,$AD1647,M$3)</f>
        <v>0</v>
      </c>
      <c r="N1647" cm="1">
        <f t="array" ref="N1647">INDEX(FX_Multi,$AD1647,N$3)</f>
        <v>0</v>
      </c>
      <c r="O1647" cm="1">
        <f t="array" ref="O1647">INDEX(FX_Multi,$AD1647,O$3)</f>
        <v>0</v>
      </c>
      <c r="AC1647">
        <v>1</v>
      </c>
      <c r="AD1647">
        <f>AD1646-3</f>
        <v>680</v>
      </c>
      <c r="AE1647">
        <v>1</v>
      </c>
      <c r="AF1647">
        <f>AF1640+7</f>
        <v>680</v>
      </c>
    </row>
    <row r="1648" spans="1:32" ht="17.149999999999999" x14ac:dyDescent="0.55000000000000004">
      <c r="B1648" t="str">
        <f>B1643</f>
        <v>Portland</v>
      </c>
      <c r="C1648" t="s">
        <v>526</v>
      </c>
      <c r="D1648" cm="1">
        <f t="array" ref="D1648">INDEX(FX_Temps,$AF1648,D$3)</f>
        <v>42.403099999999938</v>
      </c>
      <c r="E1648" cm="1">
        <f t="array" ref="E1648">INDEX(FX_Temps,$AF1648,E$3)</f>
        <v>43.080000000000041</v>
      </c>
      <c r="F1648" cm="1">
        <f t="array" ref="F1648">INDEX(FX_Temps,$AF1648,F$3)</f>
        <v>44.95089999999999</v>
      </c>
      <c r="G1648" cm="1">
        <f t="array" ref="G1648">INDEX(FX_Temps,$AF1648,G$3)</f>
        <v>48.048400000000015</v>
      </c>
      <c r="H1648" cm="1">
        <f t="array" ref="H1648">INDEX(FX_Temps,$AF1648,H$3)</f>
        <v>53.102899999999977</v>
      </c>
      <c r="I1648" cm="1">
        <f t="array" ref="I1648">INDEX(FX_Temps,$AF1648,I$3)</f>
        <v>57.215900000000033</v>
      </c>
      <c r="J1648" cm="1">
        <f t="array" ref="J1648">INDEX(FX_Temps,$AF1648,J$3)</f>
        <v>60.813599999999838</v>
      </c>
      <c r="K1648" cm="1">
        <f t="array" ref="K1648">INDEX(FX_Temps,$AF1648,K$3)</f>
        <v>60.716400000000021</v>
      </c>
      <c r="L1648" cm="1">
        <f t="array" ref="L1648">INDEX(FX_Temps,$AF1648,L$3)</f>
        <v>57.353200000000015</v>
      </c>
      <c r="M1648" cm="1">
        <f t="array" ref="M1648">INDEX(FX_Temps,$AF1648,M$3)</f>
        <v>50.947600000000079</v>
      </c>
      <c r="N1648" cm="1">
        <f t="array" ref="N1648">INDEX(FX_Temps,$AF1648,N$3)</f>
        <v>45.324700000000007</v>
      </c>
      <c r="O1648" cm="1">
        <f t="array" ref="O1648">INDEX(FX_Temps,$AF1648,O$3)</f>
        <v>42.113400000000013</v>
      </c>
      <c r="AE1648">
        <v>1</v>
      </c>
      <c r="AF1648">
        <f>AF1640+10</f>
        <v>683</v>
      </c>
    </row>
    <row r="1649" spans="2:32" ht="17.149999999999999" x14ac:dyDescent="0.55000000000000004">
      <c r="B1649" t="str">
        <f t="shared" ref="B1649:B1670" si="6036">B1648</f>
        <v>Portland</v>
      </c>
      <c r="C1649" t="s">
        <v>527</v>
      </c>
      <c r="D1649" cm="1">
        <f t="array" ref="D1649">INDEX(FX_Temps,$AF1649,D$3)</f>
        <v>46.563099999999963</v>
      </c>
      <c r="E1649" cm="1">
        <f t="array" ref="E1649">INDEX(FX_Temps,$AF1649,E$3)</f>
        <v>48.360000000000014</v>
      </c>
      <c r="F1649" cm="1">
        <f t="array" ref="F1649">INDEX(FX_Temps,$AF1649,F$3)</f>
        <v>50.230900000000076</v>
      </c>
      <c r="G1649" cm="1">
        <f t="array" ref="G1649">INDEX(FX_Temps,$AF1649,G$3)</f>
        <v>53.408400000000029</v>
      </c>
      <c r="H1649" cm="1">
        <f t="array" ref="H1649">INDEX(FX_Temps,$AF1649,H$3)</f>
        <v>58.422899999999913</v>
      </c>
      <c r="I1649" cm="1">
        <f t="array" ref="I1649">INDEX(FX_Temps,$AF1649,I$3)</f>
        <v>62.215900000000033</v>
      </c>
      <c r="J1649" cm="1">
        <f t="array" ref="J1649">INDEX(FX_Temps,$AF1649,J$3)</f>
        <v>65.893599999999878</v>
      </c>
      <c r="K1649" cm="1">
        <f t="array" ref="K1649">INDEX(FX_Temps,$AF1649,K$3)</f>
        <v>66.156400000000076</v>
      </c>
      <c r="L1649" cm="1">
        <f t="array" ref="L1649">INDEX(FX_Temps,$AF1649,L$3)</f>
        <v>63.913199999999961</v>
      </c>
      <c r="M1649" cm="1">
        <f t="array" ref="M1649">INDEX(FX_Temps,$AF1649,M$3)</f>
        <v>56.827600000000075</v>
      </c>
      <c r="N1649" cm="1">
        <f t="array" ref="N1649">INDEX(FX_Temps,$AF1649,N$3)</f>
        <v>50.204700000000003</v>
      </c>
      <c r="O1649" cm="1">
        <f t="array" ref="O1649">INDEX(FX_Temps,$AF1649,O$3)</f>
        <v>46.113400000000013</v>
      </c>
      <c r="AE1649">
        <f>AE1648</f>
        <v>1</v>
      </c>
      <c r="AF1649">
        <f>AF1640+11</f>
        <v>684</v>
      </c>
    </row>
    <row r="1650" spans="2:32" ht="17.149999999999999" x14ac:dyDescent="0.55000000000000004">
      <c r="B1650" t="str">
        <f t="shared" si="6036"/>
        <v>Portland</v>
      </c>
      <c r="C1650" t="s">
        <v>552</v>
      </c>
      <c r="D1650" cm="1">
        <f t="array" ref="D1650">INDEX(FX_Temps,$AF1650,D$3)</f>
        <v>44.748924999999986</v>
      </c>
      <c r="E1650" cm="1">
        <f t="array" ref="E1650">INDEX(FX_Temps,$AF1650,E$3)</f>
        <v>46.185000000000059</v>
      </c>
      <c r="F1650" cm="1">
        <f t="array" ref="F1650">INDEX(FX_Temps,$AF1650,F$3)</f>
        <v>48.270575000000008</v>
      </c>
      <c r="G1650" cm="1">
        <f t="array" ref="G1650">INDEX(FX_Temps,$AF1650,G$3)</f>
        <v>51.698699999999917</v>
      </c>
      <c r="H1650" cm="1">
        <f t="array" ref="H1650">INDEX(FX_Temps,$AF1650,H$3)</f>
        <v>56.954074999999875</v>
      </c>
      <c r="I1650" cm="1">
        <f t="array" ref="I1650">INDEX(FX_Temps,$AF1650,I$3)</f>
        <v>60.976825000000076</v>
      </c>
      <c r="J1650" cm="1">
        <f t="array" ref="J1650">INDEX(FX_Temps,$AF1650,J$3)</f>
        <v>64.677299999999832</v>
      </c>
      <c r="K1650" cm="1">
        <f t="array" ref="K1650">INDEX(FX_Temps,$AF1650,K$3)</f>
        <v>64.592699999999923</v>
      </c>
      <c r="L1650" cm="1">
        <f t="array" ref="L1650">INDEX(FX_Temps,$AF1650,L$3)</f>
        <v>61.560100000000034</v>
      </c>
      <c r="M1650" cm="1">
        <f t="array" ref="M1650">INDEX(FX_Temps,$AF1650,M$3)</f>
        <v>54.451800000000048</v>
      </c>
      <c r="N1650" cm="1">
        <f t="array" ref="N1650">INDEX(FX_Temps,$AF1650,N$3)</f>
        <v>48.067724999999996</v>
      </c>
      <c r="O1650" cm="1">
        <f t="array" ref="O1650">INDEX(FX_Temps,$AF1650,O$3)</f>
        <v>44.347450000000038</v>
      </c>
      <c r="AE1650">
        <f>AE1649</f>
        <v>1</v>
      </c>
      <c r="AF1650">
        <f>AF1640+13</f>
        <v>686</v>
      </c>
    </row>
    <row r="1651" spans="2:32" ht="17.149999999999999" x14ac:dyDescent="0.55000000000000004">
      <c r="B1651" t="str">
        <f t="shared" si="6036"/>
        <v>Portland</v>
      </c>
      <c r="C1651" t="s">
        <v>574</v>
      </c>
      <c r="D1651" s="20" cm="1">
        <f t="array" ref="D1651">IFERROR(IF(D1641="Chemical",(10^(INDEX(Antoines,MATCH(D1640,Antoine_Name,0),2)-INDEX(Antoines,MATCH(D1640,Antoine_Name,0),3)/(INDEX(Antoines,MATCH(D1640,Antoine_Name,0),4)+(D1648-32)*5/9)))*14.7/760,IF(D1641="Crude Oil",EXP((2799/(D1648+459.6)-2.227)*LOG10(INDEX(FX_Input,Q$5,D$3*$Z$5+$AA$5))-(7261/(D1648+459.6))+12.82),IF(D1641="Refined Petroleum Stock",EXP((0.7553-(413/(D1648+459.6)))*(INDEX(FX_Input,Q$5,D$3*$Z$5+$AA$5-1)^0.5)*LOG10(INDEX(FX_Input,Q$5,D$3*$Z$5+$AA$5))-(1.854-(1042/(D1648+459.6)))*(INDEX(FX_Input,Q$5,D$3*$Z$5+$AA$5-1)^0.5)+((2416/(D1648+459.6)-2.013)*LOG10(INDEX(FX_Input,Q$5,D$3*$Z$5+$AA$5)))-(8742/(D1648+459.6))+15.64),EXP(INDEX(Antoines,MATCH(D1640,Antoine_Name,0),2)-INDEX(Antoines,MATCH(D1640,Antoine_Name,0),3)/(D1648+459.6))))),0)</f>
        <v>4.4953541371678231E-3</v>
      </c>
      <c r="E1651" cm="1">
        <f t="array" ref="E1651">IFERROR(IF(E1641="Chemical",(10^(INDEX(Antoines,MATCH(E1640,Antoine_Name,0),2)-INDEX(Antoines,MATCH(E1640,Antoine_Name,0),3)/(INDEX(Antoines,MATCH(E1640,Antoine_Name,0),4)+(E1648-32)*5/9)))*14.7/760,IF(E1641="Crude Oil",EXP((2799/(E1648+459.6)-2.227)*LOG10(INDEX(FX_Input,R$5,E$3*$Z$5+$AA$5))-(7261/(E1648+459.6))+12.82),IF(E1641="Refined Petroleum Stock",EXP((0.7553-(413/(E1648+459.6)))*(INDEX(FX_Input,R$5,E$3*$Z$5+$AA$5-1)^0.5)*LOG10(INDEX(FX_Input,R$5,E$3*$Z$5+$AA$5))-(1.854-(1042/(E1648+459.6)))*(INDEX(FX_Input,R$5,E$3*$Z$5+$AA$5-1)^0.5)+((2416/(E1648+459.6)-2.013)*LOG10(INDEX(FX_Input,R$5,E$3*$Z$5+$AA$5)))-(8742/(E1648+459.6))+15.64),EXP(INDEX(Antoines,MATCH(E1640,Antoine_Name,0),2)-INDEX(Antoines,MATCH(E1640,Antoine_Name,0),3)/(E1648+459.6))))),0)</f>
        <v>4.6043729465544726E-3</v>
      </c>
      <c r="F1651" cm="1">
        <f t="array" ref="F1651">IFERROR(IF(F1641="Chemical",(10^(INDEX(Antoines,MATCH(F1640,Antoine_Name,0),2)-INDEX(Antoines,MATCH(F1640,Antoine_Name,0),3)/(INDEX(Antoines,MATCH(F1640,Antoine_Name,0),4)+(F1648-32)*5/9)))*14.7/760,IF(F1641="Crude Oil",EXP((2799/(F1648+459.6)-2.227)*LOG10(INDEX(FX_Input,S$5,F$3*$Z$5+$AA$5))-(7261/(F1648+459.6))+12.82),IF(F1641="Refined Petroleum Stock",EXP((0.7553-(413/(F1648+459.6)))*(INDEX(FX_Input,S$5,F$3*$Z$5+$AA$5-1)^0.5)*LOG10(INDEX(FX_Input,S$5,F$3*$Z$5+$AA$5))-(1.854-(1042/(F1648+459.6)))*(INDEX(FX_Input,S$5,F$3*$Z$5+$AA$5-1)^0.5)+((2416/(F1648+459.6)-2.013)*LOG10(INDEX(FX_Input,S$5,F$3*$Z$5+$AA$5)))-(8742/(F1648+459.6))+15.64),EXP(INDEX(Antoines,MATCH(F1640,Antoine_Name,0),2)-INDEX(Antoines,MATCH(F1640,Antoine_Name,0),3)/(F1648+459.6))))),0)</f>
        <v>4.9179969260705328E-3</v>
      </c>
      <c r="G1651" cm="1">
        <f t="array" ref="G1651">IFERROR(IF(G1641="Chemical",(10^(INDEX(Antoines,MATCH(G1640,Antoine_Name,0),2)-INDEX(Antoines,MATCH(G1640,Antoine_Name,0),3)/(INDEX(Antoines,MATCH(G1640,Antoine_Name,0),4)+(G1648-32)*5/9)))*14.7/760,IF(G1641="Crude Oil",EXP((2799/(G1648+459.6)-2.227)*LOG10(INDEX(FX_Input,T$5,G$3*$Z$5+$AA$5))-(7261/(G1648+459.6))+12.82),IF(G1641="Refined Petroleum Stock",EXP((0.7553-(413/(G1648+459.6)))*(INDEX(FX_Input,T$5,G$3*$Z$5+$AA$5-1)^0.5)*LOG10(INDEX(FX_Input,T$5,G$3*$Z$5+$AA$5))-(1.854-(1042/(G1648+459.6)))*(INDEX(FX_Input,T$5,G$3*$Z$5+$AA$5-1)^0.5)+((2416/(G1648+459.6)-2.013)*LOG10(INDEX(FX_Input,T$5,G$3*$Z$5+$AA$5)))-(8742/(G1648+459.6))+15.64),EXP(INDEX(Antoines,MATCH(G1640,Antoine_Name,0),2)-INDEX(Antoines,MATCH(G1640,Antoine_Name,0),3)/(G1648+459.6))))),0)</f>
        <v>5.479042667267656E-3</v>
      </c>
      <c r="H1651" cm="1">
        <f t="array" ref="H1651">IFERROR(IF(H1641="Chemical",(10^(INDEX(Antoines,MATCH(H1640,Antoine_Name,0),2)-INDEX(Antoines,MATCH(H1640,Antoine_Name,0),3)/(INDEX(Antoines,MATCH(H1640,Antoine_Name,0),4)+(H1648-32)*5/9)))*14.7/760,IF(H1641="Crude Oil",EXP((2799/(H1648+459.6)-2.227)*LOG10(INDEX(FX_Input,U$5,H$3*$Z$5+$AA$5))-(7261/(H1648+459.6))+12.82),IF(H1641="Refined Petroleum Stock",EXP((0.7553-(413/(H1648+459.6)))*(INDEX(FX_Input,U$5,H$3*$Z$5+$AA$5-1)^0.5)*LOG10(INDEX(FX_Input,U$5,H$3*$Z$5+$AA$5))-(1.854-(1042/(H1648+459.6)))*(INDEX(FX_Input,U$5,H$3*$Z$5+$AA$5-1)^0.5)+((2416/(H1648+459.6)-2.013)*LOG10(INDEX(FX_Input,U$5,H$3*$Z$5+$AA$5)))-(8742/(H1648+459.6))+15.64),EXP(INDEX(Antoines,MATCH(H1640,Antoine_Name,0),2)-INDEX(Antoines,MATCH(H1640,Antoine_Name,0),3)/(H1648+459.6))))),0)</f>
        <v>6.5169685513364909E-3</v>
      </c>
      <c r="I1651" cm="1">
        <f t="array" ref="I1651">IFERROR(IF(I1641="Chemical",(10^(INDEX(Antoines,MATCH(I1640,Antoine_Name,0),2)-INDEX(Antoines,MATCH(I1640,Antoine_Name,0),3)/(INDEX(Antoines,MATCH(I1640,Antoine_Name,0),4)+(I1648-32)*5/9)))*14.7/760,IF(I1641="Crude Oil",EXP((2799/(I1648+459.6)-2.227)*LOG10(INDEX(FX_Input,V$5,I$3*$Z$5+$AA$5))-(7261/(I1648+459.6))+12.82),IF(I1641="Refined Petroleum Stock",EXP((0.7553-(413/(I1648+459.6)))*(INDEX(FX_Input,V$5,I$3*$Z$5+$AA$5-1)^0.5)*LOG10(INDEX(FX_Input,V$5,I$3*$Z$5+$AA$5))-(1.854-(1042/(I1648+459.6)))*(INDEX(FX_Input,V$5,I$3*$Z$5+$AA$5-1)^0.5)+((2416/(I1648+459.6)-2.013)*LOG10(INDEX(FX_Input,V$5,I$3*$Z$5+$AA$5)))-(8742/(I1648+459.6))+15.64),EXP(INDEX(Antoines,MATCH(I1640,Antoine_Name,0),2)-INDEX(Antoines,MATCH(I1640,Antoine_Name,0),3)/(I1648+459.6))))),0)</f>
        <v>7.486267526260572E-3</v>
      </c>
      <c r="J1651" cm="1">
        <f t="array" ref="J1651">IFERROR(IF(J1641="Chemical",(10^(INDEX(Antoines,MATCH(J1640,Antoine_Name,0),2)-INDEX(Antoines,MATCH(J1640,Antoine_Name,0),3)/(INDEX(Antoines,MATCH(J1640,Antoine_Name,0),4)+(J1648-32)*5/9)))*14.7/760,IF(J1641="Crude Oil",EXP((2799/(J1648+459.6)-2.227)*LOG10(INDEX(FX_Input,W$5,J$3*$Z$5+$AA$5))-(7261/(J1648+459.6))+12.82),IF(J1641="Refined Petroleum Stock",EXP((0.7553-(413/(J1648+459.6)))*(INDEX(FX_Input,W$5,J$3*$Z$5+$AA$5-1)^0.5)*LOG10(INDEX(FX_Input,W$5,J$3*$Z$5+$AA$5))-(1.854-(1042/(J1648+459.6)))*(INDEX(FX_Input,W$5,J$3*$Z$5+$AA$5-1)^0.5)+((2416/(J1648+459.6)-2.013)*LOG10(INDEX(FX_Input,W$5,J$3*$Z$5+$AA$5)))-(8742/(J1648+459.6))+15.64),EXP(INDEX(Antoines,MATCH(J1640,Antoine_Name,0),2)-INDEX(Antoines,MATCH(J1640,Antoine_Name,0),3)/(J1648+459.6))))),0)</f>
        <v>8.4364538110447557E-3</v>
      </c>
      <c r="K1651" cm="1">
        <f t="array" ref="K1651">IFERROR(IF(K1641="Chemical",(10^(INDEX(Antoines,MATCH(K1640,Antoine_Name,0),2)-INDEX(Antoines,MATCH(K1640,Antoine_Name,0),3)/(INDEX(Antoines,MATCH(K1640,Antoine_Name,0),4)+(K1648-32)*5/9)))*14.7/760,IF(K1641="Crude Oil",EXP((2799/(K1648+459.6)-2.227)*LOG10(INDEX(FX_Input,X$5,K$3*$Z$5+$AA$5))-(7261/(K1648+459.6))+12.82),IF(K1641="Refined Petroleum Stock",EXP((0.7553-(413/(K1648+459.6)))*(INDEX(FX_Input,X$5,K$3*$Z$5+$AA$5-1)^0.5)*LOG10(INDEX(FX_Input,X$5,K$3*$Z$5+$AA$5))-(1.854-(1042/(K1648+459.6)))*(INDEX(FX_Input,X$5,K$3*$Z$5+$AA$5-1)^0.5)+((2416/(K1648+459.6)-2.013)*LOG10(INDEX(FX_Input,X$5,K$3*$Z$5+$AA$5)))-(8742/(K1648+459.6))+15.64),EXP(INDEX(Antoines,MATCH(K1640,Antoine_Name,0),2)-INDEX(Antoines,MATCH(K1640,Antoine_Name,0),3)/(K1648+459.6))))),0)</f>
        <v>8.4094446398714287E-3</v>
      </c>
      <c r="L1651" cm="1">
        <f t="array" ref="L1651">IFERROR(IF(L1641="Chemical",(10^(INDEX(Antoines,MATCH(L1640,Antoine_Name,0),2)-INDEX(Antoines,MATCH(L1640,Antoine_Name,0),3)/(INDEX(Antoines,MATCH(L1640,Antoine_Name,0),4)+(L1648-32)*5/9)))*14.7/760,IF(L1641="Crude Oil",EXP((2799/(L1648+459.6)-2.227)*LOG10(INDEX(FX_Input,Y$5,L$3*$Z$5+$AA$5))-(7261/(L1648+459.6))+12.82),IF(L1641="Refined Petroleum Stock",EXP((0.7553-(413/(L1648+459.6)))*(INDEX(FX_Input,Y$5,L$3*$Z$5+$AA$5-1)^0.5)*LOG10(INDEX(FX_Input,Y$5,L$3*$Z$5+$AA$5))-(1.854-(1042/(L1648+459.6)))*(INDEX(FX_Input,Y$5,L$3*$Z$5+$AA$5-1)^0.5)+((2416/(L1648+459.6)-2.013)*LOG10(INDEX(FX_Input,Y$5,L$3*$Z$5+$AA$5)))-(8742/(L1648+459.6))+15.64),EXP(INDEX(Antoines,MATCH(L1640,Antoine_Name,0),2)-INDEX(Antoines,MATCH(L1640,Antoine_Name,0),3)/(L1648+459.6))))),0)</f>
        <v>7.5207138884047006E-3</v>
      </c>
      <c r="M1651" cm="1">
        <f t="array" ref="M1651">IFERROR(IF(M1641="Chemical",(10^(INDEX(Antoines,MATCH(M1640,Antoine_Name,0),2)-INDEX(Antoines,MATCH(M1640,Antoine_Name,0),3)/(INDEX(Antoines,MATCH(M1640,Antoine_Name,0),4)+(M1648-32)*5/9)))*14.7/760,IF(M1641="Crude Oil",EXP((2799/(M1648+459.6)-2.227)*LOG10(INDEX(FX_Input,Z$5,M$3*$Z$5+$AA$5))-(7261/(M1648+459.6))+12.82),IF(M1641="Refined Petroleum Stock",EXP((0.7553-(413/(M1648+459.6)))*(INDEX(FX_Input,Z$5,M$3*$Z$5+$AA$5-1)^0.5)*LOG10(INDEX(FX_Input,Z$5,M$3*$Z$5+$AA$5))-(1.854-(1042/(M1648+459.6)))*(INDEX(FX_Input,Z$5,M$3*$Z$5+$AA$5-1)^0.5)+((2416/(M1648+459.6)-2.013)*LOG10(INDEX(FX_Input,Z$5,M$3*$Z$5+$AA$5)))-(8742/(M1648+459.6))+15.64),EXP(INDEX(Antoines,MATCH(M1640,Antoine_Name,0),2)-INDEX(Antoines,MATCH(M1640,Antoine_Name,0),3)/(M1648+459.6))))),0)</f>
        <v>6.0548274008136857E-3</v>
      </c>
      <c r="N1651" cm="1">
        <f t="array" ref="N1651">IFERROR(IF(N1641="Chemical",(10^(INDEX(Antoines,MATCH(N1640,Antoine_Name,0),2)-INDEX(Antoines,MATCH(N1640,Antoine_Name,0),3)/(INDEX(Antoines,MATCH(N1640,Antoine_Name,0),4)+(N1648-32)*5/9)))*14.7/760,IF(N1641="Crude Oil",EXP((2799/(N1648+459.6)-2.227)*LOG10(INDEX(FX_Input,AA$5,N$3*$Z$5+$AA$5))-(7261/(N1648+459.6))+12.82),IF(N1641="Refined Petroleum Stock",EXP((0.7553-(413/(N1648+459.6)))*(INDEX(FX_Input,AA$5,N$3*$Z$5+$AA$5-1)^0.5)*LOG10(INDEX(FX_Input,AA$5,N$3*$Z$5+$AA$5))-(1.854-(1042/(N1648+459.6)))*(INDEX(FX_Input,AA$5,N$3*$Z$5+$AA$5-1)^0.5)+((2416/(N1648+459.6)-2.013)*LOG10(INDEX(FX_Input,AA$5,N$3*$Z$5+$AA$5)))-(8742/(N1648+459.6))+15.64),EXP(INDEX(Antoines,MATCH(N1640,Antoine_Name,0),2)-INDEX(Antoines,MATCH(N1640,Antoine_Name,0),3)/(N1648+459.6))))),0)</f>
        <v>4.9828816635194605E-3</v>
      </c>
      <c r="O1651" cm="1">
        <f t="array" ref="O1651">IFERROR(IF(O1641="Chemical",(10^(INDEX(Antoines,MATCH(O1640,Antoine_Name,0),2)-INDEX(Antoines,MATCH(O1640,Antoine_Name,0),3)/(INDEX(Antoines,MATCH(O1640,Antoine_Name,0),4)+(O1648-32)*5/9)))*14.7/760,IF(O1641="Crude Oil",EXP((2799/(O1648+459.6)-2.227)*LOG10(INDEX(FX_Input,AB$5,O$3*$Z$5+$AA$5))-(7261/(O1648+459.6))+12.82),IF(O1641="Refined Petroleum Stock",EXP((0.7553-(413/(O1648+459.6)))*(INDEX(FX_Input,AB$5,O$3*$Z$5+$AA$5-1)^0.5)*LOG10(INDEX(FX_Input,AB$5,O$3*$Z$5+$AA$5))-(1.854-(1042/(O1648+459.6)))*(INDEX(FX_Input,AB$5,O$3*$Z$5+$AA$5-1)^0.5)+((2416/(O1648+459.6)-2.013)*LOG10(INDEX(FX_Input,AB$5,O$3*$Z$5+$AA$5)))-(8742/(O1648+459.6))+15.64),EXP(INDEX(Antoines,MATCH(O1640,Antoine_Name,0),2)-INDEX(Antoines,MATCH(O1640,Antoine_Name,0),3)/(O1648+459.6))))),0)</f>
        <v>4.4494006627366521E-3</v>
      </c>
    </row>
    <row r="1652" spans="2:32" ht="17.149999999999999" x14ac:dyDescent="0.55000000000000004">
      <c r="B1652" t="str">
        <f t="shared" si="6036"/>
        <v>Portland</v>
      </c>
      <c r="C1652" t="s">
        <v>576</v>
      </c>
      <c r="D1652">
        <f>D1644*D1651</f>
        <v>4.4953541371678231E-3</v>
      </c>
      <c r="E1652">
        <f t="shared" ref="E1652" si="6037">E1644*E1651</f>
        <v>4.6043729465544726E-3</v>
      </c>
      <c r="F1652">
        <f t="shared" ref="F1652" si="6038">F1644*F1651</f>
        <v>4.9179969260705328E-3</v>
      </c>
      <c r="G1652">
        <f t="shared" ref="G1652" si="6039">G1644*G1651</f>
        <v>5.479042667267656E-3</v>
      </c>
      <c r="H1652">
        <f t="shared" ref="H1652" si="6040">H1644*H1651</f>
        <v>6.5169685513364909E-3</v>
      </c>
      <c r="I1652">
        <f t="shared" ref="I1652" si="6041">I1644*I1651</f>
        <v>7.486267526260572E-3</v>
      </c>
      <c r="J1652">
        <f t="shared" ref="J1652" si="6042">J1644*J1651</f>
        <v>8.4364538110447557E-3</v>
      </c>
      <c r="K1652">
        <f t="shared" ref="K1652" si="6043">K1644*K1651</f>
        <v>8.4094446398714287E-3</v>
      </c>
      <c r="L1652">
        <f t="shared" ref="L1652" si="6044">L1644*L1651</f>
        <v>7.5207138884047006E-3</v>
      </c>
      <c r="M1652">
        <f t="shared" ref="M1652" si="6045">M1644*M1651</f>
        <v>6.0548274008136857E-3</v>
      </c>
      <c r="N1652">
        <f t="shared" ref="N1652" si="6046">N1644*N1651</f>
        <v>4.9828816635194605E-3</v>
      </c>
      <c r="O1652">
        <f t="shared" ref="O1652" si="6047">O1644*O1651</f>
        <v>4.4494006627366521E-3</v>
      </c>
    </row>
    <row r="1653" spans="2:32" ht="17.149999999999999" x14ac:dyDescent="0.55000000000000004">
      <c r="B1653" t="str">
        <f t="shared" si="6036"/>
        <v>Portland</v>
      </c>
      <c r="C1653" t="s">
        <v>575</v>
      </c>
      <c r="D1653" cm="1">
        <f t="array" ref="D1653">IFERROR(IF(D1643="Chemical",(10^(INDEX(Antoines,MATCH(D1642,Antoine_Name,0),2)-INDEX(Antoines,MATCH(D1642,Antoine_Name,0),3)/(INDEX(Antoines,MATCH(D1642,Antoine_Name,0),4)+(D1648-32)*5/9)))*14.7/760,IF(D1643="Crude Oil",EXP((2799/(D1648+459.6)-2.227)*LOG10(INDEX(FX_Input,Q$5,D$3*$Z$5+$AA$5))-(7261/(D1648+459.6))+12.82),IF(D1643="Refined Petroleum Stock",EXP((0.7553-(413/(D1648+459.6)))*(INDEX(FX_Input,Q$5,D$3*$Z$5+$AA$5-1)^0.5)*LOG10(INDEX(FX_Input,Q$5,D$3*$Z$5+$AA$5))-(1.854-(1042/(D1648+459.6)))*(INDEX(FX_Input,Q$5,D$3*$Z$5+$AA$5-1)^0.5)+((2416/(D1648+459.6)-2.013)*LOG10(INDEX(FX_Input,Q$5,D$3*$Z$5+$AA$5)))-(8742/(D1648+459.6))+15.64),EXP(INDEX(Antoines,MATCH(D1642,Antoine_Name,0),2)-INDEX(Antoines,MATCH(D1642,Antoine_Name,0),3)/(D1648+459.6))))),0)</f>
        <v>0</v>
      </c>
      <c r="E1653" cm="1">
        <f t="array" ref="E1653">IFERROR(IF(E1643="Chemical",(10^(INDEX(Antoines,MATCH(E1642,Antoine_Name,0),2)-INDEX(Antoines,MATCH(E1642,Antoine_Name,0),3)/(INDEX(Antoines,MATCH(E1642,Antoine_Name,0),4)+(E1648-32)*5/9)))*14.7/760,IF(E1643="Crude Oil",EXP((2799/(E1648+459.6)-2.227)*LOG10(INDEX(FX_Input,R$5,E$3*$Z$5+$AA$5))-(7261/(E1648+459.6))+12.82),IF(E1643="Refined Petroleum Stock",EXP((0.7553-(413/(E1648+459.6)))*(INDEX(FX_Input,R$5,E$3*$Z$5+$AA$5-1)^0.5)*LOG10(INDEX(FX_Input,R$5,E$3*$Z$5+$AA$5))-(1.854-(1042/(E1648+459.6)))*(INDEX(FX_Input,R$5,E$3*$Z$5+$AA$5-1)^0.5)+((2416/(E1648+459.6)-2.013)*LOG10(INDEX(FX_Input,R$5,E$3*$Z$5+$AA$5)))-(8742/(E1648+459.6))+15.64),EXP(INDEX(Antoines,MATCH(E1642,Antoine_Name,0),2)-INDEX(Antoines,MATCH(E1642,Antoine_Name,0),3)/(E1648+459.6))))),0)</f>
        <v>0</v>
      </c>
      <c r="F1653" cm="1">
        <f t="array" ref="F1653">IFERROR(IF(F1643="Chemical",(10^(INDEX(Antoines,MATCH(F1642,Antoine_Name,0),2)-INDEX(Antoines,MATCH(F1642,Antoine_Name,0),3)/(INDEX(Antoines,MATCH(F1642,Antoine_Name,0),4)+(F1648-32)*5/9)))*14.7/760,IF(F1643="Crude Oil",EXP((2799/(F1648+459.6)-2.227)*LOG10(INDEX(FX_Input,S$5,F$3*$Z$5+$AA$5))-(7261/(F1648+459.6))+12.82),IF(F1643="Refined Petroleum Stock",EXP((0.7553-(413/(F1648+459.6)))*(INDEX(FX_Input,S$5,F$3*$Z$5+$AA$5-1)^0.5)*LOG10(INDEX(FX_Input,S$5,F$3*$Z$5+$AA$5))-(1.854-(1042/(F1648+459.6)))*(INDEX(FX_Input,S$5,F$3*$Z$5+$AA$5-1)^0.5)+((2416/(F1648+459.6)-2.013)*LOG10(INDEX(FX_Input,S$5,F$3*$Z$5+$AA$5)))-(8742/(F1648+459.6))+15.64),EXP(INDEX(Antoines,MATCH(F1642,Antoine_Name,0),2)-INDEX(Antoines,MATCH(F1642,Antoine_Name,0),3)/(F1648+459.6))))),0)</f>
        <v>0</v>
      </c>
      <c r="G1653" cm="1">
        <f t="array" ref="G1653">IFERROR(IF(G1643="Chemical",(10^(INDEX(Antoines,MATCH(G1642,Antoine_Name,0),2)-INDEX(Antoines,MATCH(G1642,Antoine_Name,0),3)/(INDEX(Antoines,MATCH(G1642,Antoine_Name,0),4)+(G1648-32)*5/9)))*14.7/760,IF(G1643="Crude Oil",EXP((2799/(G1648+459.6)-2.227)*LOG10(INDEX(FX_Input,T$5,G$3*$Z$5+$AA$5))-(7261/(G1648+459.6))+12.82),IF(G1643="Refined Petroleum Stock",EXP((0.7553-(413/(G1648+459.6)))*(INDEX(FX_Input,T$5,G$3*$Z$5+$AA$5-1)^0.5)*LOG10(INDEX(FX_Input,T$5,G$3*$Z$5+$AA$5))-(1.854-(1042/(G1648+459.6)))*(INDEX(FX_Input,T$5,G$3*$Z$5+$AA$5-1)^0.5)+((2416/(G1648+459.6)-2.013)*LOG10(INDEX(FX_Input,T$5,G$3*$Z$5+$AA$5)))-(8742/(G1648+459.6))+15.64),EXP(INDEX(Antoines,MATCH(G1642,Antoine_Name,0),2)-INDEX(Antoines,MATCH(G1642,Antoine_Name,0),3)/(G1648+459.6))))),0)</f>
        <v>0</v>
      </c>
      <c r="H1653" cm="1">
        <f t="array" ref="H1653">IFERROR(IF(H1643="Chemical",(10^(INDEX(Antoines,MATCH(H1642,Antoine_Name,0),2)-INDEX(Antoines,MATCH(H1642,Antoine_Name,0),3)/(INDEX(Antoines,MATCH(H1642,Antoine_Name,0),4)+(H1648-32)*5/9)))*14.7/760,IF(H1643="Crude Oil",EXP((2799/(H1648+459.6)-2.227)*LOG10(INDEX(FX_Input,U$5,H$3*$Z$5+$AA$5))-(7261/(H1648+459.6))+12.82),IF(H1643="Refined Petroleum Stock",EXP((0.7553-(413/(H1648+459.6)))*(INDEX(FX_Input,U$5,H$3*$Z$5+$AA$5-1)^0.5)*LOG10(INDEX(FX_Input,U$5,H$3*$Z$5+$AA$5))-(1.854-(1042/(H1648+459.6)))*(INDEX(FX_Input,U$5,H$3*$Z$5+$AA$5-1)^0.5)+((2416/(H1648+459.6)-2.013)*LOG10(INDEX(FX_Input,U$5,H$3*$Z$5+$AA$5)))-(8742/(H1648+459.6))+15.64),EXP(INDEX(Antoines,MATCH(H1642,Antoine_Name,0),2)-INDEX(Antoines,MATCH(H1642,Antoine_Name,0),3)/(H1648+459.6))))),0)</f>
        <v>0</v>
      </c>
      <c r="I1653" cm="1">
        <f t="array" ref="I1653">IFERROR(IF(I1643="Chemical",(10^(INDEX(Antoines,MATCH(I1642,Antoine_Name,0),2)-INDEX(Antoines,MATCH(I1642,Antoine_Name,0),3)/(INDEX(Antoines,MATCH(I1642,Antoine_Name,0),4)+(I1648-32)*5/9)))*14.7/760,IF(I1643="Crude Oil",EXP((2799/(I1648+459.6)-2.227)*LOG10(INDEX(FX_Input,V$5,I$3*$Z$5+$AA$5))-(7261/(I1648+459.6))+12.82),IF(I1643="Refined Petroleum Stock",EXP((0.7553-(413/(I1648+459.6)))*(INDEX(FX_Input,V$5,I$3*$Z$5+$AA$5-1)^0.5)*LOG10(INDEX(FX_Input,V$5,I$3*$Z$5+$AA$5))-(1.854-(1042/(I1648+459.6)))*(INDEX(FX_Input,V$5,I$3*$Z$5+$AA$5-1)^0.5)+((2416/(I1648+459.6)-2.013)*LOG10(INDEX(FX_Input,V$5,I$3*$Z$5+$AA$5)))-(8742/(I1648+459.6))+15.64),EXP(INDEX(Antoines,MATCH(I1642,Antoine_Name,0),2)-INDEX(Antoines,MATCH(I1642,Antoine_Name,0),3)/(I1648+459.6))))),0)</f>
        <v>0</v>
      </c>
      <c r="J1653" cm="1">
        <f t="array" ref="J1653">IFERROR(IF(J1643="Chemical",(10^(INDEX(Antoines,MATCH(J1642,Antoine_Name,0),2)-INDEX(Antoines,MATCH(J1642,Antoine_Name,0),3)/(INDEX(Antoines,MATCH(J1642,Antoine_Name,0),4)+(J1648-32)*5/9)))*14.7/760,IF(J1643="Crude Oil",EXP((2799/(J1648+459.6)-2.227)*LOG10(INDEX(FX_Input,W$5,J$3*$Z$5+$AA$5))-(7261/(J1648+459.6))+12.82),IF(J1643="Refined Petroleum Stock",EXP((0.7553-(413/(J1648+459.6)))*(INDEX(FX_Input,W$5,J$3*$Z$5+$AA$5-1)^0.5)*LOG10(INDEX(FX_Input,W$5,J$3*$Z$5+$AA$5))-(1.854-(1042/(J1648+459.6)))*(INDEX(FX_Input,W$5,J$3*$Z$5+$AA$5-1)^0.5)+((2416/(J1648+459.6)-2.013)*LOG10(INDEX(FX_Input,W$5,J$3*$Z$5+$AA$5)))-(8742/(J1648+459.6))+15.64),EXP(INDEX(Antoines,MATCH(J1642,Antoine_Name,0),2)-INDEX(Antoines,MATCH(J1642,Antoine_Name,0),3)/(J1648+459.6))))),0)</f>
        <v>0</v>
      </c>
      <c r="K1653" cm="1">
        <f t="array" ref="K1653">IFERROR(IF(K1643="Chemical",(10^(INDEX(Antoines,MATCH(K1642,Antoine_Name,0),2)-INDEX(Antoines,MATCH(K1642,Antoine_Name,0),3)/(INDEX(Antoines,MATCH(K1642,Antoine_Name,0),4)+(K1648-32)*5/9)))*14.7/760,IF(K1643="Crude Oil",EXP((2799/(K1648+459.6)-2.227)*LOG10(INDEX(FX_Input,X$5,K$3*$Z$5+$AA$5))-(7261/(K1648+459.6))+12.82),IF(K1643="Refined Petroleum Stock",EXP((0.7553-(413/(K1648+459.6)))*(INDEX(FX_Input,X$5,K$3*$Z$5+$AA$5-1)^0.5)*LOG10(INDEX(FX_Input,X$5,K$3*$Z$5+$AA$5))-(1.854-(1042/(K1648+459.6)))*(INDEX(FX_Input,X$5,K$3*$Z$5+$AA$5-1)^0.5)+((2416/(K1648+459.6)-2.013)*LOG10(INDEX(FX_Input,X$5,K$3*$Z$5+$AA$5)))-(8742/(K1648+459.6))+15.64),EXP(INDEX(Antoines,MATCH(K1642,Antoine_Name,0),2)-INDEX(Antoines,MATCH(K1642,Antoine_Name,0),3)/(K1648+459.6))))),0)</f>
        <v>0</v>
      </c>
      <c r="L1653" cm="1">
        <f t="array" ref="L1653">IFERROR(IF(L1643="Chemical",(10^(INDEX(Antoines,MATCH(L1642,Antoine_Name,0),2)-INDEX(Antoines,MATCH(L1642,Antoine_Name,0),3)/(INDEX(Antoines,MATCH(L1642,Antoine_Name,0),4)+(L1648-32)*5/9)))*14.7/760,IF(L1643="Crude Oil",EXP((2799/(L1648+459.6)-2.227)*LOG10(INDEX(FX_Input,Y$5,L$3*$Z$5+$AA$5))-(7261/(L1648+459.6))+12.82),IF(L1643="Refined Petroleum Stock",EXP((0.7553-(413/(L1648+459.6)))*(INDEX(FX_Input,Y$5,L$3*$Z$5+$AA$5-1)^0.5)*LOG10(INDEX(FX_Input,Y$5,L$3*$Z$5+$AA$5))-(1.854-(1042/(L1648+459.6)))*(INDEX(FX_Input,Y$5,L$3*$Z$5+$AA$5-1)^0.5)+((2416/(L1648+459.6)-2.013)*LOG10(INDEX(FX_Input,Y$5,L$3*$Z$5+$AA$5)))-(8742/(L1648+459.6))+15.64),EXP(INDEX(Antoines,MATCH(L1642,Antoine_Name,0),2)-INDEX(Antoines,MATCH(L1642,Antoine_Name,0),3)/(L1648+459.6))))),0)</f>
        <v>0</v>
      </c>
      <c r="M1653" cm="1">
        <f t="array" ref="M1653">IFERROR(IF(M1643="Chemical",(10^(INDEX(Antoines,MATCH(M1642,Antoine_Name,0),2)-INDEX(Antoines,MATCH(M1642,Antoine_Name,0),3)/(INDEX(Antoines,MATCH(M1642,Antoine_Name,0),4)+(M1648-32)*5/9)))*14.7/760,IF(M1643="Crude Oil",EXP((2799/(M1648+459.6)-2.227)*LOG10(INDEX(FX_Input,Z$5,M$3*$Z$5+$AA$5))-(7261/(M1648+459.6))+12.82),IF(M1643="Refined Petroleum Stock",EXP((0.7553-(413/(M1648+459.6)))*(INDEX(FX_Input,Z$5,M$3*$Z$5+$AA$5-1)^0.5)*LOG10(INDEX(FX_Input,Z$5,M$3*$Z$5+$AA$5))-(1.854-(1042/(M1648+459.6)))*(INDEX(FX_Input,Z$5,M$3*$Z$5+$AA$5-1)^0.5)+((2416/(M1648+459.6)-2.013)*LOG10(INDEX(FX_Input,Z$5,M$3*$Z$5+$AA$5)))-(8742/(M1648+459.6))+15.64),EXP(INDEX(Antoines,MATCH(M1642,Antoine_Name,0),2)-INDEX(Antoines,MATCH(M1642,Antoine_Name,0),3)/(M1648+459.6))))),0)</f>
        <v>0</v>
      </c>
      <c r="N1653" cm="1">
        <f t="array" ref="N1653">IFERROR(IF(N1643="Chemical",(10^(INDEX(Antoines,MATCH(N1642,Antoine_Name,0),2)-INDEX(Antoines,MATCH(N1642,Antoine_Name,0),3)/(INDEX(Antoines,MATCH(N1642,Antoine_Name,0),4)+(N1648-32)*5/9)))*14.7/760,IF(N1643="Crude Oil",EXP((2799/(N1648+459.6)-2.227)*LOG10(INDEX(FX_Input,AA$5,N$3*$Z$5+$AA$5))-(7261/(N1648+459.6))+12.82),IF(N1643="Refined Petroleum Stock",EXP((0.7553-(413/(N1648+459.6)))*(INDEX(FX_Input,AA$5,N$3*$Z$5+$AA$5-1)^0.5)*LOG10(INDEX(FX_Input,AA$5,N$3*$Z$5+$AA$5))-(1.854-(1042/(N1648+459.6)))*(INDEX(FX_Input,AA$5,N$3*$Z$5+$AA$5-1)^0.5)+((2416/(N1648+459.6)-2.013)*LOG10(INDEX(FX_Input,AA$5,N$3*$Z$5+$AA$5)))-(8742/(N1648+459.6))+15.64),EXP(INDEX(Antoines,MATCH(N1642,Antoine_Name,0),2)-INDEX(Antoines,MATCH(N1642,Antoine_Name,0),3)/(N1648+459.6))))),0)</f>
        <v>0</v>
      </c>
      <c r="O1653" cm="1">
        <f t="array" ref="O1653">IFERROR(IF(O1643="Chemical",(10^(INDEX(Antoines,MATCH(O1642,Antoine_Name,0),2)-INDEX(Antoines,MATCH(O1642,Antoine_Name,0),3)/(INDEX(Antoines,MATCH(O1642,Antoine_Name,0),4)+(O1648-32)*5/9)))*14.7/760,IF(O1643="Crude Oil",EXP((2799/(O1648+459.6)-2.227)*LOG10(INDEX(FX_Input,AB$5,O$3*$Z$5+$AA$5))-(7261/(O1648+459.6))+12.82),IF(O1643="Refined Petroleum Stock",EXP((0.7553-(413/(O1648+459.6)))*(INDEX(FX_Input,AB$5,O$3*$Z$5+$AA$5-1)^0.5)*LOG10(INDEX(FX_Input,AB$5,O$3*$Z$5+$AA$5))-(1.854-(1042/(O1648+459.6)))*(INDEX(FX_Input,AB$5,O$3*$Z$5+$AA$5-1)^0.5)+((2416/(O1648+459.6)-2.013)*LOG10(INDEX(FX_Input,AB$5,O$3*$Z$5+$AA$5)))-(8742/(O1648+459.6))+15.64),EXP(INDEX(Antoines,MATCH(O1642,Antoine_Name,0),2)-INDEX(Antoines,MATCH(O1642,Antoine_Name,0),3)/(O1648+459.6))))),0)</f>
        <v>0</v>
      </c>
    </row>
    <row r="1654" spans="2:32" ht="17.149999999999999" x14ac:dyDescent="0.55000000000000004">
      <c r="B1654" t="str">
        <f t="shared" si="6036"/>
        <v>Portland</v>
      </c>
      <c r="C1654" t="s">
        <v>577</v>
      </c>
      <c r="D1654">
        <f>D1653*D1646</f>
        <v>0</v>
      </c>
      <c r="E1654">
        <f t="shared" ref="E1654" si="6048">E1653*E1646</f>
        <v>0</v>
      </c>
      <c r="F1654">
        <f t="shared" ref="F1654" si="6049">F1653*F1646</f>
        <v>0</v>
      </c>
      <c r="G1654">
        <f t="shared" ref="G1654" si="6050">G1653*G1646</f>
        <v>0</v>
      </c>
      <c r="H1654">
        <f t="shared" ref="H1654" si="6051">H1653*H1646</f>
        <v>0</v>
      </c>
      <c r="I1654">
        <f t="shared" ref="I1654" si="6052">I1653*I1646</f>
        <v>0</v>
      </c>
      <c r="J1654">
        <f t="shared" ref="J1654" si="6053">J1653*J1646</f>
        <v>0</v>
      </c>
      <c r="K1654">
        <f t="shared" ref="K1654" si="6054">K1653*K1646</f>
        <v>0</v>
      </c>
      <c r="L1654">
        <f t="shared" ref="L1654" si="6055">L1653*L1646</f>
        <v>0</v>
      </c>
      <c r="M1654">
        <f t="shared" ref="M1654" si="6056">M1653*M1646</f>
        <v>0</v>
      </c>
      <c r="N1654">
        <f t="shared" ref="N1654" si="6057">N1653*N1646</f>
        <v>0</v>
      </c>
      <c r="O1654">
        <f t="shared" ref="O1654" si="6058">O1653*O1646</f>
        <v>0</v>
      </c>
    </row>
    <row r="1655" spans="2:32" ht="17.149999999999999" x14ac:dyDescent="0.55000000000000004">
      <c r="B1655" t="str">
        <f t="shared" si="6036"/>
        <v>Portland</v>
      </c>
      <c r="C1655" t="s">
        <v>578</v>
      </c>
      <c r="D1655">
        <f>D1654+D1652</f>
        <v>4.4953541371678231E-3</v>
      </c>
      <c r="E1655">
        <f t="shared" ref="E1655" si="6059">E1654+E1652</f>
        <v>4.6043729465544726E-3</v>
      </c>
      <c r="F1655">
        <f t="shared" ref="F1655" si="6060">F1654+F1652</f>
        <v>4.9179969260705328E-3</v>
      </c>
      <c r="G1655">
        <f t="shared" ref="G1655" si="6061">G1654+G1652</f>
        <v>5.479042667267656E-3</v>
      </c>
      <c r="H1655">
        <f t="shared" ref="H1655" si="6062">H1654+H1652</f>
        <v>6.5169685513364909E-3</v>
      </c>
      <c r="I1655">
        <f t="shared" ref="I1655" si="6063">I1654+I1652</f>
        <v>7.486267526260572E-3</v>
      </c>
      <c r="J1655">
        <f t="shared" ref="J1655" si="6064">J1654+J1652</f>
        <v>8.4364538110447557E-3</v>
      </c>
      <c r="K1655">
        <f t="shared" ref="K1655" si="6065">K1654+K1652</f>
        <v>8.4094446398714287E-3</v>
      </c>
      <c r="L1655">
        <f t="shared" ref="L1655" si="6066">L1654+L1652</f>
        <v>7.5207138884047006E-3</v>
      </c>
      <c r="M1655">
        <f t="shared" ref="M1655" si="6067">M1654+M1652</f>
        <v>6.0548274008136857E-3</v>
      </c>
      <c r="N1655">
        <f t="shared" ref="N1655" si="6068">N1654+N1652</f>
        <v>4.9828816635194605E-3</v>
      </c>
      <c r="O1655">
        <f t="shared" ref="O1655" si="6069">O1654+O1652</f>
        <v>4.4494006627366521E-3</v>
      </c>
    </row>
    <row r="1656" spans="2:32" ht="17.149999999999999" x14ac:dyDescent="0.55000000000000004">
      <c r="B1656" t="str">
        <f t="shared" si="6036"/>
        <v>Portland</v>
      </c>
      <c r="C1656" t="s">
        <v>579</v>
      </c>
      <c r="D1656" cm="1">
        <f t="array" ref="D1656">IFERROR(IF(D1641="Chemical",(10^(INDEX(Antoines,MATCH(D1640,Antoine_Name,0),2)-INDEX(Antoines,MATCH(D1640,Antoine_Name,0),3)/(INDEX(Antoines,MATCH(D1640,Antoine_Name,0),4)+(D1649-32)*5/9)))*14.7/760,IF(D1641="Crude Oil",EXP((2799/(D1649+459.6)-2.227)*LOG10(INDEX(FX_Input,Q$5,D$3*$Z$5+$AA$5))-(7261/(D1649+459.6))+12.82),IF(D1641="Refined Petroleum Stock",EXP((0.7553-(413/(D1649+459.6)))*(INDEX(FX_Input,Q$5,D$3*$Z$5+$AA$5-1)^0.5)*LOG10(INDEX(FX_Input,Q$5,D$3*$Z$5+$AA$5))-(1.854-(1042/(D1649+459.6)))*(INDEX(FX_Input,Q$5,D$3*$Z$5+$AA$5-1)^0.5)+((2416/(D1649+459.6)-2.013)*LOG10(INDEX(FX_Input,Q$5,D$3*$Z$5+$AA$5)))-(8742/(D1649+459.6))+15.64),EXP(INDEX(Antoines,MATCH(D1640,Antoine_Name,0),2)-INDEX(Antoines,MATCH(D1640,Antoine_Name,0),3)/(D1649+459.6))))),0)</f>
        <v>5.2033036727344552E-3</v>
      </c>
      <c r="E1656" cm="1">
        <f t="array" ref="E1656">IFERROR(IF(E1641="Chemical",(10^(INDEX(Antoines,MATCH(E1640,Antoine_Name,0),2)-INDEX(Antoines,MATCH(E1640,Antoine_Name,0),3)/(INDEX(Antoines,MATCH(E1640,Antoine_Name,0),4)+(E1649-32)*5/9)))*14.7/760,IF(E1641="Crude Oil",EXP((2799/(E1649+459.6)-2.227)*LOG10(INDEX(FX_Input,R$5,E$3*$Z$5+$AA$5))-(7261/(E1649+459.6))+12.82),IF(E1641="Refined Petroleum Stock",EXP((0.7553-(413/(E1649+459.6)))*(INDEX(FX_Input,R$5,E$3*$Z$5+$AA$5-1)^0.5)*LOG10(INDEX(FX_Input,R$5,E$3*$Z$5+$AA$5))-(1.854-(1042/(E1649+459.6)))*(INDEX(FX_Input,R$5,E$3*$Z$5+$AA$5-1)^0.5)+((2416/(E1649+459.6)-2.013)*LOG10(INDEX(FX_Input,R$5,E$3*$Z$5+$AA$5)))-(8742/(E1649+459.6))+15.64),EXP(INDEX(Antoines,MATCH(E1640,Antoine_Name,0),2)-INDEX(Antoines,MATCH(E1640,Antoine_Name,0),3)/(E1649+459.6))))),0)</f>
        <v>5.5385065183370758E-3</v>
      </c>
      <c r="F1656" cm="1">
        <f t="array" ref="F1656">IFERROR(IF(F1641="Chemical",(10^(INDEX(Antoines,MATCH(F1640,Antoine_Name,0),2)-INDEX(Antoines,MATCH(F1640,Antoine_Name,0),3)/(INDEX(Antoines,MATCH(F1640,Antoine_Name,0),4)+(F1649-32)*5/9)))*14.7/760,IF(F1641="Crude Oil",EXP((2799/(F1649+459.6)-2.227)*LOG10(INDEX(FX_Input,S$5,F$3*$Z$5+$AA$5))-(7261/(F1649+459.6))+12.82),IF(F1641="Refined Petroleum Stock",EXP((0.7553-(413/(F1649+459.6)))*(INDEX(FX_Input,S$5,F$3*$Z$5+$AA$5-1)^0.5)*LOG10(INDEX(FX_Input,S$5,F$3*$Z$5+$AA$5))-(1.854-(1042/(F1649+459.6)))*(INDEX(FX_Input,S$5,F$3*$Z$5+$AA$5-1)^0.5)+((2416/(F1649+459.6)-2.013)*LOG10(INDEX(FX_Input,S$5,F$3*$Z$5+$AA$5)))-(8742/(F1649+459.6))+15.64),EXP(INDEX(Antoines,MATCH(F1640,Antoine_Name,0),2)-INDEX(Antoines,MATCH(F1640,Antoine_Name,0),3)/(F1649+459.6))))),0)</f>
        <v>5.9077167859673575E-3</v>
      </c>
      <c r="G1656" cm="1">
        <f t="array" ref="G1656">IFERROR(IF(G1641="Chemical",(10^(INDEX(Antoines,MATCH(G1640,Antoine_Name,0),2)-INDEX(Antoines,MATCH(G1640,Antoine_Name,0),3)/(INDEX(Antoines,MATCH(G1640,Antoine_Name,0),4)+(G1649-32)*5/9)))*14.7/760,IF(G1641="Crude Oil",EXP((2799/(G1649+459.6)-2.227)*LOG10(INDEX(FX_Input,T$5,G$3*$Z$5+$AA$5))-(7261/(G1649+459.6))+12.82),IF(G1641="Refined Petroleum Stock",EXP((0.7553-(413/(G1649+459.6)))*(INDEX(FX_Input,T$5,G$3*$Z$5+$AA$5-1)^0.5)*LOG10(INDEX(FX_Input,T$5,G$3*$Z$5+$AA$5))-(1.854-(1042/(G1649+459.6)))*(INDEX(FX_Input,T$5,G$3*$Z$5+$AA$5-1)^0.5)+((2416/(G1649+459.6)-2.013)*LOG10(INDEX(FX_Input,T$5,G$3*$Z$5+$AA$5)))-(8742/(G1649+459.6))+15.64),EXP(INDEX(Antoines,MATCH(G1640,Antoine_Name,0),2)-INDEX(Antoines,MATCH(G1640,Antoine_Name,0),3)/(G1649+459.6))))),0)</f>
        <v>6.5849388112918178E-3</v>
      </c>
      <c r="H1656" cm="1">
        <f t="array" ref="H1656">IFERROR(IF(H1641="Chemical",(10^(INDEX(Antoines,MATCH(H1640,Antoine_Name,0),2)-INDEX(Antoines,MATCH(H1640,Antoine_Name,0),3)/(INDEX(Antoines,MATCH(H1640,Antoine_Name,0),4)+(H1649-32)*5/9)))*14.7/760,IF(H1641="Crude Oil",EXP((2799/(H1649+459.6)-2.227)*LOG10(INDEX(FX_Input,U$5,H$3*$Z$5+$AA$5))-(7261/(H1649+459.6))+12.82),IF(H1641="Refined Petroleum Stock",EXP((0.7553-(413/(H1649+459.6)))*(INDEX(FX_Input,U$5,H$3*$Z$5+$AA$5-1)^0.5)*LOG10(INDEX(FX_Input,U$5,H$3*$Z$5+$AA$5))-(1.854-(1042/(H1649+459.6)))*(INDEX(FX_Input,U$5,H$3*$Z$5+$AA$5-1)^0.5)+((2416/(H1649+459.6)-2.013)*LOG10(INDEX(FX_Input,U$5,H$3*$Z$5+$AA$5)))-(8742/(H1649+459.6))+15.64),EXP(INDEX(Antoines,MATCH(H1640,Antoine_Name,0),2)-INDEX(Antoines,MATCH(H1640,Antoine_Name,0),3)/(H1649+459.6))))),0)</f>
        <v>7.7939195379121001E-3</v>
      </c>
      <c r="I1656" cm="1">
        <f t="array" ref="I1656">IFERROR(IF(I1641="Chemical",(10^(INDEX(Antoines,MATCH(I1640,Antoine_Name,0),2)-INDEX(Antoines,MATCH(I1640,Antoine_Name,0),3)/(INDEX(Antoines,MATCH(I1640,Antoine_Name,0),4)+(I1649-32)*5/9)))*14.7/760,IF(I1641="Crude Oil",EXP((2799/(I1649+459.6)-2.227)*LOG10(INDEX(FX_Input,V$5,I$3*$Z$5+$AA$5))-(7261/(I1649+459.6))+12.82),IF(I1641="Refined Petroleum Stock",EXP((0.7553-(413/(I1649+459.6)))*(INDEX(FX_Input,V$5,I$3*$Z$5+$AA$5-1)^0.5)*LOG10(INDEX(FX_Input,V$5,I$3*$Z$5+$AA$5))-(1.854-(1042/(I1649+459.6)))*(INDEX(FX_Input,V$5,I$3*$Z$5+$AA$5-1)^0.5)+((2416/(I1649+459.6)-2.013)*LOG10(INDEX(FX_Input,V$5,I$3*$Z$5+$AA$5)))-(8742/(I1649+459.6))+15.64),EXP(INDEX(Antoines,MATCH(I1640,Antoine_Name,0),2)-INDEX(Antoines,MATCH(I1640,Antoine_Name,0),3)/(I1649+459.6))))),0)</f>
        <v>8.8347329003026723E-3</v>
      </c>
      <c r="J1656" cm="1">
        <f t="array" ref="J1656">IFERROR(IF(J1641="Chemical",(10^(INDEX(Antoines,MATCH(J1640,Antoine_Name,0),2)-INDEX(Antoines,MATCH(J1640,Antoine_Name,0),3)/(INDEX(Antoines,MATCH(J1640,Antoine_Name,0),4)+(J1649-32)*5/9)))*14.7/760,IF(J1641="Crude Oil",EXP((2799/(J1649+459.6)-2.227)*LOG10(INDEX(FX_Input,W$5,J$3*$Z$5+$AA$5))-(7261/(J1649+459.6))+12.82),IF(J1641="Refined Petroleum Stock",EXP((0.7553-(413/(J1649+459.6)))*(INDEX(FX_Input,W$5,J$3*$Z$5+$AA$5-1)^0.5)*LOG10(INDEX(FX_Input,W$5,J$3*$Z$5+$AA$5))-(1.854-(1042/(J1649+459.6)))*(INDEX(FX_Input,W$5,J$3*$Z$5+$AA$5-1)^0.5)+((2416/(J1649+459.6)-2.013)*LOG10(INDEX(FX_Input,W$5,J$3*$Z$5+$AA$5)))-(8742/(J1649+459.6))+15.64),EXP(INDEX(Antoines,MATCH(J1640,Antoine_Name,0),2)-INDEX(Antoines,MATCH(J1640,Antoine_Name,0),3)/(J1649+459.6))))),0)</f>
        <v>9.9592296270275289E-3</v>
      </c>
      <c r="K1656" cm="1">
        <f t="array" ref="K1656">IFERROR(IF(K1641="Chemical",(10^(INDEX(Antoines,MATCH(K1640,Antoine_Name,0),2)-INDEX(Antoines,MATCH(K1640,Antoine_Name,0),3)/(INDEX(Antoines,MATCH(K1640,Antoine_Name,0),4)+(K1649-32)*5/9)))*14.7/760,IF(K1641="Crude Oil",EXP((2799/(K1649+459.6)-2.227)*LOG10(INDEX(FX_Input,X$5,K$3*$Z$5+$AA$5))-(7261/(K1649+459.6))+12.82),IF(K1641="Refined Petroleum Stock",EXP((0.7553-(413/(K1649+459.6)))*(INDEX(FX_Input,X$5,K$3*$Z$5+$AA$5-1)^0.5)*LOG10(INDEX(FX_Input,X$5,K$3*$Z$5+$AA$5))-(1.854-(1042/(K1649+459.6)))*(INDEX(FX_Input,X$5,K$3*$Z$5+$AA$5-1)^0.5)+((2416/(K1649+459.6)-2.013)*LOG10(INDEX(FX_Input,X$5,K$3*$Z$5+$AA$5)))-(8742/(K1649+459.6))+15.64),EXP(INDEX(Antoines,MATCH(K1640,Antoine_Name,0),2)-INDEX(Antoines,MATCH(K1640,Antoine_Name,0),3)/(K1649+459.6))))),0)</f>
        <v>1.0044214742690162E-2</v>
      </c>
      <c r="L1656" cm="1">
        <f t="array" ref="L1656">IFERROR(IF(L1641="Chemical",(10^(INDEX(Antoines,MATCH(L1640,Antoine_Name,0),2)-INDEX(Antoines,MATCH(L1640,Antoine_Name,0),3)/(INDEX(Antoines,MATCH(L1640,Antoine_Name,0),4)+(L1649-32)*5/9)))*14.7/760,IF(L1641="Crude Oil",EXP((2799/(L1649+459.6)-2.227)*LOG10(INDEX(FX_Input,Y$5,L$3*$Z$5+$AA$5))-(7261/(L1649+459.6))+12.82),IF(L1641="Refined Petroleum Stock",EXP((0.7553-(413/(L1649+459.6)))*(INDEX(FX_Input,Y$5,L$3*$Z$5+$AA$5-1)^0.5)*LOG10(INDEX(FX_Input,Y$5,L$3*$Z$5+$AA$5))-(1.854-(1042/(L1649+459.6)))*(INDEX(FX_Input,Y$5,L$3*$Z$5+$AA$5-1)^0.5)+((2416/(L1649+459.6)-2.013)*LOG10(INDEX(FX_Input,Y$5,L$3*$Z$5+$AA$5)))-(8742/(L1649+459.6))+15.64),EXP(INDEX(Antoines,MATCH(L1640,Antoine_Name,0),2)-INDEX(Antoines,MATCH(L1640,Antoine_Name,0),3)/(L1649+459.6))))),0)</f>
        <v>9.3389439263883208E-3</v>
      </c>
      <c r="M1656" cm="1">
        <f t="array" ref="M1656">IFERROR(IF(M1641="Chemical",(10^(INDEX(Antoines,MATCH(M1640,Antoine_Name,0),2)-INDEX(Antoines,MATCH(M1640,Antoine_Name,0),3)/(INDEX(Antoines,MATCH(M1640,Antoine_Name,0),4)+(M1649-32)*5/9)))*14.7/760,IF(M1641="Crude Oil",EXP((2799/(M1649+459.6)-2.227)*LOG10(INDEX(FX_Input,Z$5,M$3*$Z$5+$AA$5))-(7261/(M1649+459.6))+12.82),IF(M1641="Refined Petroleum Stock",EXP((0.7553-(413/(M1649+459.6)))*(INDEX(FX_Input,Z$5,M$3*$Z$5+$AA$5-1)^0.5)*LOG10(INDEX(FX_Input,Z$5,M$3*$Z$5+$AA$5))-(1.854-(1042/(M1649+459.6)))*(INDEX(FX_Input,Z$5,M$3*$Z$5+$AA$5-1)^0.5)+((2416/(M1649+459.6)-2.013)*LOG10(INDEX(FX_Input,Z$5,M$3*$Z$5+$AA$5)))-(8742/(M1649+459.6))+15.64),EXP(INDEX(Antoines,MATCH(M1640,Antoine_Name,0),2)-INDEX(Antoines,MATCH(M1640,Antoine_Name,0),3)/(M1649+459.6))))),0)</f>
        <v>7.3896033166885589E-3</v>
      </c>
      <c r="N1656" cm="1">
        <f t="array" ref="N1656">IFERROR(IF(N1641="Chemical",(10^(INDEX(Antoines,MATCH(N1640,Antoine_Name,0),2)-INDEX(Antoines,MATCH(N1640,Antoine_Name,0),3)/(INDEX(Antoines,MATCH(N1640,Antoine_Name,0),4)+(N1649-32)*5/9)))*14.7/760,IF(N1641="Crude Oil",EXP((2799/(N1649+459.6)-2.227)*LOG10(INDEX(FX_Input,AA$5,N$3*$Z$5+$AA$5))-(7261/(N1649+459.6))+12.82),IF(N1641="Refined Petroleum Stock",EXP((0.7553-(413/(N1649+459.6)))*(INDEX(FX_Input,AA$5,N$3*$Z$5+$AA$5-1)^0.5)*LOG10(INDEX(FX_Input,AA$5,N$3*$Z$5+$AA$5))-(1.854-(1042/(N1649+459.6)))*(INDEX(FX_Input,AA$5,N$3*$Z$5+$AA$5-1)^0.5)+((2416/(N1649+459.6)-2.013)*LOG10(INDEX(FX_Input,AA$5,N$3*$Z$5+$AA$5)))-(8742/(N1649+459.6))+15.64),EXP(INDEX(Antoines,MATCH(N1640,Antoine_Name,0),2)-INDEX(Antoines,MATCH(N1640,Antoine_Name,0),3)/(N1649+459.6))))),0)</f>
        <v>5.902399466128503E-3</v>
      </c>
      <c r="O1656" cm="1">
        <f t="array" ref="O1656">IFERROR(IF(O1641="Chemical",(10^(INDEX(Antoines,MATCH(O1640,Antoine_Name,0),2)-INDEX(Antoines,MATCH(O1640,Antoine_Name,0),3)/(INDEX(Antoines,MATCH(O1640,Antoine_Name,0),4)+(O1649-32)*5/9)))*14.7/760,IF(O1641="Crude Oil",EXP((2799/(O1649+459.6)-2.227)*LOG10(INDEX(FX_Input,AB$5,O$3*$Z$5+$AA$5))-(7261/(O1649+459.6))+12.82),IF(O1641="Refined Petroleum Stock",EXP((0.7553-(413/(O1649+459.6)))*(INDEX(FX_Input,AB$5,O$3*$Z$5+$AA$5-1)^0.5)*LOG10(INDEX(FX_Input,AB$5,O$3*$Z$5+$AA$5))-(1.854-(1042/(O1649+459.6)))*(INDEX(FX_Input,AB$5,O$3*$Z$5+$AA$5-1)^0.5)+((2416/(O1649+459.6)-2.013)*LOG10(INDEX(FX_Input,AB$5,O$3*$Z$5+$AA$5)))-(8742/(O1649+459.6))+15.64),EXP(INDEX(Antoines,MATCH(O1640,Antoine_Name,0),2)-INDEX(Antoines,MATCH(O1640,Antoine_Name,0),3)/(O1649+459.6))))),0)</f>
        <v>5.1222820261006847E-3</v>
      </c>
    </row>
    <row r="1657" spans="2:32" ht="17.149999999999999" x14ac:dyDescent="0.55000000000000004">
      <c r="B1657" t="str">
        <f t="shared" si="6036"/>
        <v>Portland</v>
      </c>
      <c r="C1657" t="s">
        <v>580</v>
      </c>
      <c r="D1657">
        <f>D1656*D1644</f>
        <v>5.2033036727344552E-3</v>
      </c>
      <c r="E1657">
        <f t="shared" ref="E1657" si="6070">E1656*E1644</f>
        <v>5.5385065183370758E-3</v>
      </c>
      <c r="F1657">
        <f t="shared" ref="F1657" si="6071">F1656*F1644</f>
        <v>5.9077167859673575E-3</v>
      </c>
      <c r="G1657">
        <f t="shared" ref="G1657" si="6072">G1656*G1644</f>
        <v>6.5849388112918178E-3</v>
      </c>
      <c r="H1657">
        <f t="shared" ref="H1657" si="6073">H1656*H1644</f>
        <v>7.7939195379121001E-3</v>
      </c>
      <c r="I1657">
        <f t="shared" ref="I1657" si="6074">I1656*I1644</f>
        <v>8.8347329003026723E-3</v>
      </c>
      <c r="J1657">
        <f t="shared" ref="J1657" si="6075">J1656*J1644</f>
        <v>9.9592296270275289E-3</v>
      </c>
      <c r="K1657">
        <f t="shared" ref="K1657" si="6076">K1656*K1644</f>
        <v>1.0044214742690162E-2</v>
      </c>
      <c r="L1657">
        <f t="shared" ref="L1657" si="6077">L1656*L1644</f>
        <v>9.3389439263883208E-3</v>
      </c>
      <c r="M1657">
        <f t="shared" ref="M1657" si="6078">M1656*M1644</f>
        <v>7.3896033166885589E-3</v>
      </c>
      <c r="N1657">
        <f t="shared" ref="N1657" si="6079">N1656*N1644</f>
        <v>5.902399466128503E-3</v>
      </c>
      <c r="O1657">
        <f t="shared" ref="O1657" si="6080">O1656*O1644</f>
        <v>5.1222820261006847E-3</v>
      </c>
    </row>
    <row r="1658" spans="2:32" ht="17.149999999999999" x14ac:dyDescent="0.55000000000000004">
      <c r="B1658" t="str">
        <f t="shared" si="6036"/>
        <v>Portland</v>
      </c>
      <c r="C1658" t="s">
        <v>581</v>
      </c>
      <c r="D1658" cm="1">
        <f t="array" ref="D1658">IFERROR(IF(D1643="Chemical",(10^(INDEX(Antoines,MATCH(D1642,Antoine_Name,0),2)-INDEX(Antoines,MATCH(D1642,Antoine_Name,0),3)/(INDEX(Antoines,MATCH(D1642,Antoine_Name,0),4)+(D1649-32)*5/9)))*14.7/760,IF(D1643="Crude Oil",EXP((2799/(D1649+459.6)-2.227)*LOG10(INDEX(FX_Input,Q$5,D$3*$Z$5+$AA$5))-(7261/(D1649+459.6))+12.82),IF(D1643="Refined Petroleum Stock",EXP((0.7553-(413/(D1649+459.6)))*(INDEX(FX_Input,Q$5,D$3*$Z$5+$AA$5-1)^0.5)*LOG10(INDEX(FX_Input,Q$5,D$3*$Z$5+$AA$5))-(1.854-(1042/(D1649+459.6)))*(INDEX(FX_Input,Q$5,D$3*$Z$5+$AA$5-1)^0.5)+((2416/(D1649+459.6)-2.013)*LOG10(INDEX(FX_Input,Q$5,D$3*$Z$5+$AA$5)))-(8742/(D1649+459.6))+15.64),EXP(INDEX(Antoines,MATCH(D1642,Antoine_Name,0),2)-INDEX(Antoines,MATCH(D1642,Antoine_Name,0),3)/(D1649+459.6))))),0)</f>
        <v>0</v>
      </c>
      <c r="E1658" cm="1">
        <f t="array" ref="E1658">IFERROR(IF(E1643="Chemical",(10^(INDEX(Antoines,MATCH(E1642,Antoine_Name,0),2)-INDEX(Antoines,MATCH(E1642,Antoine_Name,0),3)/(INDEX(Antoines,MATCH(E1642,Antoine_Name,0),4)+(E1649-32)*5/9)))*14.7/760,IF(E1643="Crude Oil",EXP((2799/(E1649+459.6)-2.227)*LOG10(INDEX(FX_Input,R$5,E$3*$Z$5+$AA$5))-(7261/(E1649+459.6))+12.82),IF(E1643="Refined Petroleum Stock",EXP((0.7553-(413/(E1649+459.6)))*(INDEX(FX_Input,R$5,E$3*$Z$5+$AA$5-1)^0.5)*LOG10(INDEX(FX_Input,R$5,E$3*$Z$5+$AA$5))-(1.854-(1042/(E1649+459.6)))*(INDEX(FX_Input,R$5,E$3*$Z$5+$AA$5-1)^0.5)+((2416/(E1649+459.6)-2.013)*LOG10(INDEX(FX_Input,R$5,E$3*$Z$5+$AA$5)))-(8742/(E1649+459.6))+15.64),EXP(INDEX(Antoines,MATCH(E1642,Antoine_Name,0),2)-INDEX(Antoines,MATCH(E1642,Antoine_Name,0),3)/(E1649+459.6))))),0)</f>
        <v>0</v>
      </c>
      <c r="F1658" cm="1">
        <f t="array" ref="F1658">IFERROR(IF(F1643="Chemical",(10^(INDEX(Antoines,MATCH(F1642,Antoine_Name,0),2)-INDEX(Antoines,MATCH(F1642,Antoine_Name,0),3)/(INDEX(Antoines,MATCH(F1642,Antoine_Name,0),4)+(F1649-32)*5/9)))*14.7/760,IF(F1643="Crude Oil",EXP((2799/(F1649+459.6)-2.227)*LOG10(INDEX(FX_Input,S$5,F$3*$Z$5+$AA$5))-(7261/(F1649+459.6))+12.82),IF(F1643="Refined Petroleum Stock",EXP((0.7553-(413/(F1649+459.6)))*(INDEX(FX_Input,S$5,F$3*$Z$5+$AA$5-1)^0.5)*LOG10(INDEX(FX_Input,S$5,F$3*$Z$5+$AA$5))-(1.854-(1042/(F1649+459.6)))*(INDEX(FX_Input,S$5,F$3*$Z$5+$AA$5-1)^0.5)+((2416/(F1649+459.6)-2.013)*LOG10(INDEX(FX_Input,S$5,F$3*$Z$5+$AA$5)))-(8742/(F1649+459.6))+15.64),EXP(INDEX(Antoines,MATCH(F1642,Antoine_Name,0),2)-INDEX(Antoines,MATCH(F1642,Antoine_Name,0),3)/(F1649+459.6))))),0)</f>
        <v>0</v>
      </c>
      <c r="G1658" cm="1">
        <f t="array" ref="G1658">IFERROR(IF(G1643="Chemical",(10^(INDEX(Antoines,MATCH(G1642,Antoine_Name,0),2)-INDEX(Antoines,MATCH(G1642,Antoine_Name,0),3)/(INDEX(Antoines,MATCH(G1642,Antoine_Name,0),4)+(G1649-32)*5/9)))*14.7/760,IF(G1643="Crude Oil",EXP((2799/(G1649+459.6)-2.227)*LOG10(INDEX(FX_Input,T$5,G$3*$Z$5+$AA$5))-(7261/(G1649+459.6))+12.82),IF(G1643="Refined Petroleum Stock",EXP((0.7553-(413/(G1649+459.6)))*(INDEX(FX_Input,T$5,G$3*$Z$5+$AA$5-1)^0.5)*LOG10(INDEX(FX_Input,T$5,G$3*$Z$5+$AA$5))-(1.854-(1042/(G1649+459.6)))*(INDEX(FX_Input,T$5,G$3*$Z$5+$AA$5-1)^0.5)+((2416/(G1649+459.6)-2.013)*LOG10(INDEX(FX_Input,T$5,G$3*$Z$5+$AA$5)))-(8742/(G1649+459.6))+15.64),EXP(INDEX(Antoines,MATCH(G1642,Antoine_Name,0),2)-INDEX(Antoines,MATCH(G1642,Antoine_Name,0),3)/(G1649+459.6))))),0)</f>
        <v>0</v>
      </c>
      <c r="H1658" cm="1">
        <f t="array" ref="H1658">IFERROR(IF(H1643="Chemical",(10^(INDEX(Antoines,MATCH(H1642,Antoine_Name,0),2)-INDEX(Antoines,MATCH(H1642,Antoine_Name,0),3)/(INDEX(Antoines,MATCH(H1642,Antoine_Name,0),4)+(H1649-32)*5/9)))*14.7/760,IF(H1643="Crude Oil",EXP((2799/(H1649+459.6)-2.227)*LOG10(INDEX(FX_Input,U$5,H$3*$Z$5+$AA$5))-(7261/(H1649+459.6))+12.82),IF(H1643="Refined Petroleum Stock",EXP((0.7553-(413/(H1649+459.6)))*(INDEX(FX_Input,U$5,H$3*$Z$5+$AA$5-1)^0.5)*LOG10(INDEX(FX_Input,U$5,H$3*$Z$5+$AA$5))-(1.854-(1042/(H1649+459.6)))*(INDEX(FX_Input,U$5,H$3*$Z$5+$AA$5-1)^0.5)+((2416/(H1649+459.6)-2.013)*LOG10(INDEX(FX_Input,U$5,H$3*$Z$5+$AA$5)))-(8742/(H1649+459.6))+15.64),EXP(INDEX(Antoines,MATCH(H1642,Antoine_Name,0),2)-INDEX(Antoines,MATCH(H1642,Antoine_Name,0),3)/(H1649+459.6))))),0)</f>
        <v>0</v>
      </c>
      <c r="I1658" cm="1">
        <f t="array" ref="I1658">IFERROR(IF(I1643="Chemical",(10^(INDEX(Antoines,MATCH(I1642,Antoine_Name,0),2)-INDEX(Antoines,MATCH(I1642,Antoine_Name,0),3)/(INDEX(Antoines,MATCH(I1642,Antoine_Name,0),4)+(I1649-32)*5/9)))*14.7/760,IF(I1643="Crude Oil",EXP((2799/(I1649+459.6)-2.227)*LOG10(INDEX(FX_Input,V$5,I$3*$Z$5+$AA$5))-(7261/(I1649+459.6))+12.82),IF(I1643="Refined Petroleum Stock",EXP((0.7553-(413/(I1649+459.6)))*(INDEX(FX_Input,V$5,I$3*$Z$5+$AA$5-1)^0.5)*LOG10(INDEX(FX_Input,V$5,I$3*$Z$5+$AA$5))-(1.854-(1042/(I1649+459.6)))*(INDEX(FX_Input,V$5,I$3*$Z$5+$AA$5-1)^0.5)+((2416/(I1649+459.6)-2.013)*LOG10(INDEX(FX_Input,V$5,I$3*$Z$5+$AA$5)))-(8742/(I1649+459.6))+15.64),EXP(INDEX(Antoines,MATCH(I1642,Antoine_Name,0),2)-INDEX(Antoines,MATCH(I1642,Antoine_Name,0),3)/(I1649+459.6))))),0)</f>
        <v>0</v>
      </c>
      <c r="J1658" cm="1">
        <f t="array" ref="J1658">IFERROR(IF(J1643="Chemical",(10^(INDEX(Antoines,MATCH(J1642,Antoine_Name,0),2)-INDEX(Antoines,MATCH(J1642,Antoine_Name,0),3)/(INDEX(Antoines,MATCH(J1642,Antoine_Name,0),4)+(J1649-32)*5/9)))*14.7/760,IF(J1643="Crude Oil",EXP((2799/(J1649+459.6)-2.227)*LOG10(INDEX(FX_Input,W$5,J$3*$Z$5+$AA$5))-(7261/(J1649+459.6))+12.82),IF(J1643="Refined Petroleum Stock",EXP((0.7553-(413/(J1649+459.6)))*(INDEX(FX_Input,W$5,J$3*$Z$5+$AA$5-1)^0.5)*LOG10(INDEX(FX_Input,W$5,J$3*$Z$5+$AA$5))-(1.854-(1042/(J1649+459.6)))*(INDEX(FX_Input,W$5,J$3*$Z$5+$AA$5-1)^0.5)+((2416/(J1649+459.6)-2.013)*LOG10(INDEX(FX_Input,W$5,J$3*$Z$5+$AA$5)))-(8742/(J1649+459.6))+15.64),EXP(INDEX(Antoines,MATCH(J1642,Antoine_Name,0),2)-INDEX(Antoines,MATCH(J1642,Antoine_Name,0),3)/(J1649+459.6))))),0)</f>
        <v>0</v>
      </c>
      <c r="K1658" cm="1">
        <f t="array" ref="K1658">IFERROR(IF(K1643="Chemical",(10^(INDEX(Antoines,MATCH(K1642,Antoine_Name,0),2)-INDEX(Antoines,MATCH(K1642,Antoine_Name,0),3)/(INDEX(Antoines,MATCH(K1642,Antoine_Name,0),4)+(K1649-32)*5/9)))*14.7/760,IF(K1643="Crude Oil",EXP((2799/(K1649+459.6)-2.227)*LOG10(INDEX(FX_Input,X$5,K$3*$Z$5+$AA$5))-(7261/(K1649+459.6))+12.82),IF(K1643="Refined Petroleum Stock",EXP((0.7553-(413/(K1649+459.6)))*(INDEX(FX_Input,X$5,K$3*$Z$5+$AA$5-1)^0.5)*LOG10(INDEX(FX_Input,X$5,K$3*$Z$5+$AA$5))-(1.854-(1042/(K1649+459.6)))*(INDEX(FX_Input,X$5,K$3*$Z$5+$AA$5-1)^0.5)+((2416/(K1649+459.6)-2.013)*LOG10(INDEX(FX_Input,X$5,K$3*$Z$5+$AA$5)))-(8742/(K1649+459.6))+15.64),EXP(INDEX(Antoines,MATCH(K1642,Antoine_Name,0),2)-INDEX(Antoines,MATCH(K1642,Antoine_Name,0),3)/(K1649+459.6))))),0)</f>
        <v>0</v>
      </c>
      <c r="L1658" cm="1">
        <f t="array" ref="L1658">IFERROR(IF(L1643="Chemical",(10^(INDEX(Antoines,MATCH(L1642,Antoine_Name,0),2)-INDEX(Antoines,MATCH(L1642,Antoine_Name,0),3)/(INDEX(Antoines,MATCH(L1642,Antoine_Name,0),4)+(L1649-32)*5/9)))*14.7/760,IF(L1643="Crude Oil",EXP((2799/(L1649+459.6)-2.227)*LOG10(INDEX(FX_Input,Y$5,L$3*$Z$5+$AA$5))-(7261/(L1649+459.6))+12.82),IF(L1643="Refined Petroleum Stock",EXP((0.7553-(413/(L1649+459.6)))*(INDEX(FX_Input,Y$5,L$3*$Z$5+$AA$5-1)^0.5)*LOG10(INDEX(FX_Input,Y$5,L$3*$Z$5+$AA$5))-(1.854-(1042/(L1649+459.6)))*(INDEX(FX_Input,Y$5,L$3*$Z$5+$AA$5-1)^0.5)+((2416/(L1649+459.6)-2.013)*LOG10(INDEX(FX_Input,Y$5,L$3*$Z$5+$AA$5)))-(8742/(L1649+459.6))+15.64),EXP(INDEX(Antoines,MATCH(L1642,Antoine_Name,0),2)-INDEX(Antoines,MATCH(L1642,Antoine_Name,0),3)/(L1649+459.6))))),0)</f>
        <v>0</v>
      </c>
      <c r="M1658" cm="1">
        <f t="array" ref="M1658">IFERROR(IF(M1643="Chemical",(10^(INDEX(Antoines,MATCH(M1642,Antoine_Name,0),2)-INDEX(Antoines,MATCH(M1642,Antoine_Name,0),3)/(INDEX(Antoines,MATCH(M1642,Antoine_Name,0),4)+(M1649-32)*5/9)))*14.7/760,IF(M1643="Crude Oil",EXP((2799/(M1649+459.6)-2.227)*LOG10(INDEX(FX_Input,Z$5,M$3*$Z$5+$AA$5))-(7261/(M1649+459.6))+12.82),IF(M1643="Refined Petroleum Stock",EXP((0.7553-(413/(M1649+459.6)))*(INDEX(FX_Input,Z$5,M$3*$Z$5+$AA$5-1)^0.5)*LOG10(INDEX(FX_Input,Z$5,M$3*$Z$5+$AA$5))-(1.854-(1042/(M1649+459.6)))*(INDEX(FX_Input,Z$5,M$3*$Z$5+$AA$5-1)^0.5)+((2416/(M1649+459.6)-2.013)*LOG10(INDEX(FX_Input,Z$5,M$3*$Z$5+$AA$5)))-(8742/(M1649+459.6))+15.64),EXP(INDEX(Antoines,MATCH(M1642,Antoine_Name,0),2)-INDEX(Antoines,MATCH(M1642,Antoine_Name,0),3)/(M1649+459.6))))),0)</f>
        <v>0</v>
      </c>
      <c r="N1658" cm="1">
        <f t="array" ref="N1658">IFERROR(IF(N1643="Chemical",(10^(INDEX(Antoines,MATCH(N1642,Antoine_Name,0),2)-INDEX(Antoines,MATCH(N1642,Antoine_Name,0),3)/(INDEX(Antoines,MATCH(N1642,Antoine_Name,0),4)+(N1649-32)*5/9)))*14.7/760,IF(N1643="Crude Oil",EXP((2799/(N1649+459.6)-2.227)*LOG10(INDEX(FX_Input,AA$5,N$3*$Z$5+$AA$5))-(7261/(N1649+459.6))+12.82),IF(N1643="Refined Petroleum Stock",EXP((0.7553-(413/(N1649+459.6)))*(INDEX(FX_Input,AA$5,N$3*$Z$5+$AA$5-1)^0.5)*LOG10(INDEX(FX_Input,AA$5,N$3*$Z$5+$AA$5))-(1.854-(1042/(N1649+459.6)))*(INDEX(FX_Input,AA$5,N$3*$Z$5+$AA$5-1)^0.5)+((2416/(N1649+459.6)-2.013)*LOG10(INDEX(FX_Input,AA$5,N$3*$Z$5+$AA$5)))-(8742/(N1649+459.6))+15.64),EXP(INDEX(Antoines,MATCH(N1642,Antoine_Name,0),2)-INDEX(Antoines,MATCH(N1642,Antoine_Name,0),3)/(N1649+459.6))))),0)</f>
        <v>0</v>
      </c>
      <c r="O1658" cm="1">
        <f t="array" ref="O1658">IFERROR(IF(O1643="Chemical",(10^(INDEX(Antoines,MATCH(O1642,Antoine_Name,0),2)-INDEX(Antoines,MATCH(O1642,Antoine_Name,0),3)/(INDEX(Antoines,MATCH(O1642,Antoine_Name,0),4)+(O1649-32)*5/9)))*14.7/760,IF(O1643="Crude Oil",EXP((2799/(O1649+459.6)-2.227)*LOG10(INDEX(FX_Input,AB$5,O$3*$Z$5+$AA$5))-(7261/(O1649+459.6))+12.82),IF(O1643="Refined Petroleum Stock",EXP((0.7553-(413/(O1649+459.6)))*(INDEX(FX_Input,AB$5,O$3*$Z$5+$AA$5-1)^0.5)*LOG10(INDEX(FX_Input,AB$5,O$3*$Z$5+$AA$5))-(1.854-(1042/(O1649+459.6)))*(INDEX(FX_Input,AB$5,O$3*$Z$5+$AA$5-1)^0.5)+((2416/(O1649+459.6)-2.013)*LOG10(INDEX(FX_Input,AB$5,O$3*$Z$5+$AA$5)))-(8742/(O1649+459.6))+15.64),EXP(INDEX(Antoines,MATCH(O1642,Antoine_Name,0),2)-INDEX(Antoines,MATCH(O1642,Antoine_Name,0),3)/(O1649+459.6))))),0)</f>
        <v>0</v>
      </c>
    </row>
    <row r="1659" spans="2:32" ht="17.149999999999999" x14ac:dyDescent="0.55000000000000004">
      <c r="B1659" t="str">
        <f t="shared" si="6036"/>
        <v>Portland</v>
      </c>
      <c r="C1659" t="s">
        <v>582</v>
      </c>
      <c r="D1659">
        <f>D1658*D1646</f>
        <v>0</v>
      </c>
      <c r="E1659">
        <f t="shared" ref="E1659" si="6081">E1658*E1646</f>
        <v>0</v>
      </c>
      <c r="F1659">
        <f t="shared" ref="F1659" si="6082">F1658*F1646</f>
        <v>0</v>
      </c>
      <c r="G1659">
        <f t="shared" ref="G1659" si="6083">G1658*G1646</f>
        <v>0</v>
      </c>
      <c r="H1659">
        <f t="shared" ref="H1659" si="6084">H1658*H1646</f>
        <v>0</v>
      </c>
      <c r="I1659">
        <f t="shared" ref="I1659" si="6085">I1658*I1646</f>
        <v>0</v>
      </c>
      <c r="J1659">
        <f t="shared" ref="J1659" si="6086">J1658*J1646</f>
        <v>0</v>
      </c>
      <c r="K1659">
        <f t="shared" ref="K1659" si="6087">K1658*K1646</f>
        <v>0</v>
      </c>
      <c r="L1659">
        <f t="shared" ref="L1659" si="6088">L1658*L1646</f>
        <v>0</v>
      </c>
      <c r="M1659">
        <f t="shared" ref="M1659" si="6089">M1658*M1646</f>
        <v>0</v>
      </c>
      <c r="N1659">
        <f t="shared" ref="N1659" si="6090">N1658*N1646</f>
        <v>0</v>
      </c>
      <c r="O1659">
        <f t="shared" ref="O1659" si="6091">O1658*O1646</f>
        <v>0</v>
      </c>
    </row>
    <row r="1660" spans="2:32" ht="17.149999999999999" x14ac:dyDescent="0.55000000000000004">
      <c r="B1660" t="str">
        <f t="shared" si="6036"/>
        <v>Portland</v>
      </c>
      <c r="C1660" t="s">
        <v>583</v>
      </c>
      <c r="D1660">
        <f>D1657+D1659</f>
        <v>5.2033036727344552E-3</v>
      </c>
      <c r="E1660">
        <f t="shared" ref="E1660" si="6092">E1657+E1659</f>
        <v>5.5385065183370758E-3</v>
      </c>
      <c r="F1660">
        <f t="shared" ref="F1660" si="6093">F1657+F1659</f>
        <v>5.9077167859673575E-3</v>
      </c>
      <c r="G1660">
        <f t="shared" ref="G1660" si="6094">G1657+G1659</f>
        <v>6.5849388112918178E-3</v>
      </c>
      <c r="H1660">
        <f t="shared" ref="H1660" si="6095">H1657+H1659</f>
        <v>7.7939195379121001E-3</v>
      </c>
      <c r="I1660">
        <f t="shared" ref="I1660" si="6096">I1657+I1659</f>
        <v>8.8347329003026723E-3</v>
      </c>
      <c r="J1660">
        <f t="shared" ref="J1660" si="6097">J1657+J1659</f>
        <v>9.9592296270275289E-3</v>
      </c>
      <c r="K1660">
        <f t="shared" ref="K1660" si="6098">K1657+K1659</f>
        <v>1.0044214742690162E-2</v>
      </c>
      <c r="L1660">
        <f t="shared" ref="L1660" si="6099">L1657+L1659</f>
        <v>9.3389439263883208E-3</v>
      </c>
      <c r="M1660">
        <f t="shared" ref="M1660" si="6100">M1657+M1659</f>
        <v>7.3896033166885589E-3</v>
      </c>
      <c r="N1660">
        <f t="shared" ref="N1660" si="6101">N1657+N1659</f>
        <v>5.902399466128503E-3</v>
      </c>
      <c r="O1660">
        <f t="shared" ref="O1660" si="6102">O1657+O1659</f>
        <v>5.1222820261006847E-3</v>
      </c>
    </row>
    <row r="1661" spans="2:32" ht="17.149999999999999" x14ac:dyDescent="0.55000000000000004">
      <c r="B1661" t="str">
        <f t="shared" si="6036"/>
        <v>Portland</v>
      </c>
      <c r="C1661" t="s">
        <v>1388</v>
      </c>
      <c r="D1661" cm="1">
        <f t="array" ref="D1661">IFERROR(IF(D1641="Chemical",(10^(INDEX(Antoines,MATCH(D1640,Antoine_Name,0),2)-INDEX(Antoines,MATCH(D1640,Antoine_Name,0),3)/(INDEX(Antoines,MATCH(D1640,Antoine_Name,0),4)+(D1650-32)*5/9)))*14.7/760,IF(D1641="Crude Oil",EXP((2799/(D1650+459.6)-2.227)*LOG10(INDEX(FX_Input,Q$5,D$3*$Z$5+$AA$5))-(7261/(D1650+459.6))+12.82),IF(D1641="Refined Petroleum Stock",EXP((0.7553-(413/(D1650+459.6)))*(INDEX(FX_Input,Q$5,D$3*$Z$5+$AA$5-1)^0.5)*LOG10(INDEX(FX_Input,Q$5,D$3*$Z$5+$AA$5))-(1.854-(1042/(D1650+459.6)))*(INDEX(FX_Input,Q$5,D$3*$Z$5+$AA$5-1)^0.5)+((2416/(D1650+459.6)-2.013)*LOG10(INDEX(FX_Input,Q$5,D$3*$Z$5+$AA$5)))-(8742/(D1650+459.6))+15.64),EXP(INDEX(Antoines,MATCH(D1640,Antoine_Name,0),2)-INDEX(Antoines,MATCH(D1640,Antoine_Name,0),3)/(D1650+459.6))))),0)</f>
        <v>4.883250638471285E-3</v>
      </c>
      <c r="E1661" cm="1">
        <f t="array" ref="E1661">IFERROR(IF(E1641="Chemical",(10^(INDEX(Antoines,MATCH(E1640,Antoine_Name,0),2)-INDEX(Antoines,MATCH(E1640,Antoine_Name,0),3)/(INDEX(Antoines,MATCH(E1640,Antoine_Name,0),4)+(E1650-32)*5/9)))*14.7/760,IF(E1641="Crude Oil",EXP((2799/(E1650+459.6)-2.227)*LOG10(INDEX(FX_Input,R$5,E$3*$Z$5+$AA$5))-(7261/(E1650+459.6))+12.82),IF(E1641="Refined Petroleum Stock",EXP((0.7553-(413/(E1650+459.6)))*(INDEX(FX_Input,R$5,E$3*$Z$5+$AA$5-1)^0.5)*LOG10(INDEX(FX_Input,R$5,E$3*$Z$5+$AA$5))-(1.854-(1042/(E1650+459.6)))*(INDEX(FX_Input,R$5,E$3*$Z$5+$AA$5-1)^0.5)+((2416/(E1650+459.6)-2.013)*LOG10(INDEX(FX_Input,R$5,E$3*$Z$5+$AA$5)))-(8742/(E1650+459.6))+15.64),EXP(INDEX(Antoines,MATCH(E1640,Antoine_Name,0),2)-INDEX(Antoines,MATCH(E1640,Antoine_Name,0),3)/(E1650+459.6))))),0)</f>
        <v>5.1351067062407989E-3</v>
      </c>
      <c r="F1661" cm="1">
        <f t="array" ref="F1661">IFERROR(IF(F1641="Chemical",(10^(INDEX(Antoines,MATCH(F1640,Antoine_Name,0),2)-INDEX(Antoines,MATCH(F1640,Antoine_Name,0),3)/(INDEX(Antoines,MATCH(F1640,Antoine_Name,0),4)+(F1650-32)*5/9)))*14.7/760,IF(F1641="Crude Oil",EXP((2799/(F1650+459.6)-2.227)*LOG10(INDEX(FX_Input,S$5,F$3*$Z$5+$AA$5))-(7261/(F1650+459.6))+12.82),IF(F1641="Refined Petroleum Stock",EXP((0.7553-(413/(F1650+459.6)))*(INDEX(FX_Input,S$5,F$3*$Z$5+$AA$5-1)^0.5)*LOG10(INDEX(FX_Input,S$5,F$3*$Z$5+$AA$5))-(1.854-(1042/(F1650+459.6)))*(INDEX(FX_Input,S$5,F$3*$Z$5+$AA$5-1)^0.5)+((2416/(F1650+459.6)-2.013)*LOG10(INDEX(FX_Input,S$5,F$3*$Z$5+$AA$5)))-(8742/(F1650+459.6))+15.64),EXP(INDEX(Antoines,MATCH(F1640,Antoine_Name,0),2)-INDEX(Antoines,MATCH(F1640,Antoine_Name,0),3)/(F1650+459.6))))),0)</f>
        <v>5.5213829543467952E-3</v>
      </c>
      <c r="G1661" cm="1">
        <f t="array" ref="G1661">IFERROR(IF(G1641="Chemical",(10^(INDEX(Antoines,MATCH(G1640,Antoine_Name,0),2)-INDEX(Antoines,MATCH(G1640,Antoine_Name,0),3)/(INDEX(Antoines,MATCH(G1640,Antoine_Name,0),4)+(G1650-32)*5/9)))*14.7/760,IF(G1641="Crude Oil",EXP((2799/(G1650+459.6)-2.227)*LOG10(INDEX(FX_Input,T$5,G$3*$Z$5+$AA$5))-(7261/(G1650+459.6))+12.82),IF(G1641="Refined Petroleum Stock",EXP((0.7553-(413/(G1650+459.6)))*(INDEX(FX_Input,T$5,G$3*$Z$5+$AA$5-1)^0.5)*LOG10(INDEX(FX_Input,T$5,G$3*$Z$5+$AA$5))-(1.854-(1042/(G1650+459.6)))*(INDEX(FX_Input,T$5,G$3*$Z$5+$AA$5-1)^0.5)+((2416/(G1650+459.6)-2.013)*LOG10(INDEX(FX_Input,T$5,G$3*$Z$5+$AA$5)))-(8742/(G1650+459.6))+15.64),EXP(INDEX(Antoines,MATCH(G1640,Antoine_Name,0),2)-INDEX(Antoines,MATCH(G1640,Antoine_Name,0),3)/(G1650+459.6))))),0)</f>
        <v>6.2124720487193742E-3</v>
      </c>
      <c r="H1661" cm="1">
        <f t="array" ref="H1661">IFERROR(IF(H1641="Chemical",(10^(INDEX(Antoines,MATCH(H1640,Antoine_Name,0),2)-INDEX(Antoines,MATCH(H1640,Antoine_Name,0),3)/(INDEX(Antoines,MATCH(H1640,Antoine_Name,0),4)+(H1650-32)*5/9)))*14.7/760,IF(H1641="Crude Oil",EXP((2799/(H1650+459.6)-2.227)*LOG10(INDEX(FX_Input,U$5,H$3*$Z$5+$AA$5))-(7261/(H1650+459.6))+12.82),IF(H1641="Refined Petroleum Stock",EXP((0.7553-(413/(H1650+459.6)))*(INDEX(FX_Input,U$5,H$3*$Z$5+$AA$5-1)^0.5)*LOG10(INDEX(FX_Input,U$5,H$3*$Z$5+$AA$5))-(1.854-(1042/(H1650+459.6)))*(INDEX(FX_Input,U$5,H$3*$Z$5+$AA$5-1)^0.5)+((2416/(H1650+459.6)-2.013)*LOG10(INDEX(FX_Input,U$5,H$3*$Z$5+$AA$5)))-(8742/(H1650+459.6))+15.64),EXP(INDEX(Antoines,MATCH(H1640,Antoine_Name,0),2)-INDEX(Antoines,MATCH(H1640,Antoine_Name,0),3)/(H1650+459.6))))),0)</f>
        <v>7.4209663387537275E-3</v>
      </c>
      <c r="I1661" cm="1">
        <f t="array" ref="I1661">IFERROR(IF(I1641="Chemical",(10^(INDEX(Antoines,MATCH(I1640,Antoine_Name,0),2)-INDEX(Antoines,MATCH(I1640,Antoine_Name,0),3)/(INDEX(Antoines,MATCH(I1640,Antoine_Name,0),4)+(I1650-32)*5/9)))*14.7/760,IF(I1641="Crude Oil",EXP((2799/(I1650+459.6)-2.227)*LOG10(INDEX(FX_Input,V$5,I$3*$Z$5+$AA$5))-(7261/(I1650+459.6))+12.82),IF(I1641="Refined Petroleum Stock",EXP((0.7553-(413/(I1650+459.6)))*(INDEX(FX_Input,V$5,I$3*$Z$5+$AA$5-1)^0.5)*LOG10(INDEX(FX_Input,V$5,I$3*$Z$5+$AA$5))-(1.854-(1042/(I1650+459.6)))*(INDEX(FX_Input,V$5,I$3*$Z$5+$AA$5-1)^0.5)+((2416/(I1650+459.6)-2.013)*LOG10(INDEX(FX_Input,V$5,I$3*$Z$5+$AA$5)))-(8742/(I1650+459.6))+15.64),EXP(INDEX(Antoines,MATCH(I1640,Antoine_Name,0),2)-INDEX(Antoines,MATCH(I1640,Antoine_Name,0),3)/(I1650+459.6))))),0)</f>
        <v>8.4819819298252285E-3</v>
      </c>
      <c r="J1661" cm="1">
        <f t="array" ref="J1661">IFERROR(IF(J1641="Chemical",(10^(INDEX(Antoines,MATCH(J1640,Antoine_Name,0),2)-INDEX(Antoines,MATCH(J1640,Antoine_Name,0),3)/(INDEX(Antoines,MATCH(J1640,Antoine_Name,0),4)+(J1650-32)*5/9)))*14.7/760,IF(J1641="Crude Oil",EXP((2799/(J1650+459.6)-2.227)*LOG10(INDEX(FX_Input,W$5,J$3*$Z$5+$AA$5))-(7261/(J1650+459.6))+12.82),IF(J1641="Refined Petroleum Stock",EXP((0.7553-(413/(J1650+459.6)))*(INDEX(FX_Input,W$5,J$3*$Z$5+$AA$5-1)^0.5)*LOG10(INDEX(FX_Input,W$5,J$3*$Z$5+$AA$5))-(1.854-(1042/(J1650+459.6)))*(INDEX(FX_Input,W$5,J$3*$Z$5+$AA$5-1)^0.5)+((2416/(J1650+459.6)-2.013)*LOG10(INDEX(FX_Input,W$5,J$3*$Z$5+$AA$5)))-(8742/(J1650+459.6))+15.64),EXP(INDEX(Antoines,MATCH(J1640,Antoine_Name,0),2)-INDEX(Antoines,MATCH(J1640,Antoine_Name,0),3)/(J1650+459.6))))),0)</f>
        <v>9.5741064128135375E-3</v>
      </c>
      <c r="K1661" cm="1">
        <f t="array" ref="K1661">IFERROR(IF(K1641="Chemical",(10^(INDEX(Antoines,MATCH(K1640,Antoine_Name,0),2)-INDEX(Antoines,MATCH(K1640,Antoine_Name,0),3)/(INDEX(Antoines,MATCH(K1640,Antoine_Name,0),4)+(K1650-32)*5/9)))*14.7/760,IF(K1641="Crude Oil",EXP((2799/(K1650+459.6)-2.227)*LOG10(INDEX(FX_Input,X$5,K$3*$Z$5+$AA$5))-(7261/(K1650+459.6))+12.82),IF(K1641="Refined Petroleum Stock",EXP((0.7553-(413/(K1650+459.6)))*(INDEX(FX_Input,X$5,K$3*$Z$5+$AA$5-1)^0.5)*LOG10(INDEX(FX_Input,X$5,K$3*$Z$5+$AA$5))-(1.854-(1042/(K1650+459.6)))*(INDEX(FX_Input,X$5,K$3*$Z$5+$AA$5-1)^0.5)+((2416/(K1650+459.6)-2.013)*LOG10(INDEX(FX_Input,X$5,K$3*$Z$5+$AA$5)))-(8742/(K1650+459.6))+15.64),EXP(INDEX(Antoines,MATCH(K1640,Antoine_Name,0),2)-INDEX(Antoines,MATCH(K1640,Antoine_Name,0),3)/(K1650+459.6))))),0)</f>
        <v>9.5478148180509845E-3</v>
      </c>
      <c r="L1661" cm="1">
        <f t="array" ref="L1661">IFERROR(IF(L1641="Chemical",(10^(INDEX(Antoines,MATCH(L1640,Antoine_Name,0),2)-INDEX(Antoines,MATCH(L1640,Antoine_Name,0),3)/(INDEX(Antoines,MATCH(L1640,Antoine_Name,0),4)+(L1650-32)*5/9)))*14.7/760,IF(L1641="Crude Oil",EXP((2799/(L1650+459.6)-2.227)*LOG10(INDEX(FX_Input,Y$5,L$3*$Z$5+$AA$5))-(7261/(L1650+459.6))+12.82),IF(L1641="Refined Petroleum Stock",EXP((0.7553-(413/(L1650+459.6)))*(INDEX(FX_Input,Y$5,L$3*$Z$5+$AA$5-1)^0.5)*LOG10(INDEX(FX_Input,Y$5,L$3*$Z$5+$AA$5))-(1.854-(1042/(L1650+459.6)))*(INDEX(FX_Input,Y$5,L$3*$Z$5+$AA$5-1)^0.5)+((2416/(L1650+459.6)-2.013)*LOG10(INDEX(FX_Input,Y$5,L$3*$Z$5+$AA$5)))-(8742/(L1650+459.6))+15.64),EXP(INDEX(Antoines,MATCH(L1640,Antoine_Name,0),2)-INDEX(Antoines,MATCH(L1640,Antoine_Name,0),3)/(L1650+459.6))))),0)</f>
        <v>8.6464528192362108E-3</v>
      </c>
      <c r="M1661" cm="1">
        <f t="array" ref="M1661">IFERROR(IF(M1641="Chemical",(10^(INDEX(Antoines,MATCH(M1640,Antoine_Name,0),2)-INDEX(Antoines,MATCH(M1640,Antoine_Name,0),3)/(INDEX(Antoines,MATCH(M1640,Antoine_Name,0),4)+(M1650-32)*5/9)))*14.7/760,IF(M1641="Crude Oil",EXP((2799/(M1650+459.6)-2.227)*LOG10(INDEX(FX_Input,Z$5,M$3*$Z$5+$AA$5))-(7261/(M1650+459.6))+12.82),IF(M1641="Refined Petroleum Stock",EXP((0.7553-(413/(M1650+459.6)))*(INDEX(FX_Input,Z$5,M$3*$Z$5+$AA$5-1)^0.5)*LOG10(INDEX(FX_Input,Z$5,M$3*$Z$5+$AA$5))-(1.854-(1042/(M1650+459.6)))*(INDEX(FX_Input,Z$5,M$3*$Z$5+$AA$5-1)^0.5)+((2416/(M1650+459.6)-2.013)*LOG10(INDEX(FX_Input,Z$5,M$3*$Z$5+$AA$5)))-(8742/(M1650+459.6))+15.64),EXP(INDEX(Antoines,MATCH(M1640,Antoine_Name,0),2)-INDEX(Antoines,MATCH(M1640,Antoine_Name,0),3)/(M1650+459.6))))),0)</f>
        <v>6.8218393379121701E-3</v>
      </c>
      <c r="N1661" cm="1">
        <f t="array" ref="N1661">IFERROR(IF(N1641="Chemical",(10^(INDEX(Antoines,MATCH(N1640,Antoine_Name,0),2)-INDEX(Antoines,MATCH(N1640,Antoine_Name,0),3)/(INDEX(Antoines,MATCH(N1640,Antoine_Name,0),4)+(N1650-32)*5/9)))*14.7/760,IF(N1641="Crude Oil",EXP((2799/(N1650+459.6)-2.227)*LOG10(INDEX(FX_Input,AA$5,N$3*$Z$5+$AA$5))-(7261/(N1650+459.6))+12.82),IF(N1641="Refined Petroleum Stock",EXP((0.7553-(413/(N1650+459.6)))*(INDEX(FX_Input,AA$5,N$3*$Z$5+$AA$5-1)^0.5)*LOG10(INDEX(FX_Input,AA$5,N$3*$Z$5+$AA$5))-(1.854-(1042/(N1650+459.6)))*(INDEX(FX_Input,AA$5,N$3*$Z$5+$AA$5-1)^0.5)+((2416/(N1650+459.6)-2.013)*LOG10(INDEX(FX_Input,AA$5,N$3*$Z$5+$AA$5)))-(8742/(N1650+459.6))+15.64),EXP(INDEX(Antoines,MATCH(N1640,Antoine_Name,0),2)-INDEX(Antoines,MATCH(N1640,Antoine_Name,0),3)/(N1650+459.6))))),0)</f>
        <v>5.4827140055800742E-3</v>
      </c>
      <c r="O1661" cm="1">
        <f t="array" ref="O1661">IFERROR(IF(O1641="Chemical",(10^(INDEX(Antoines,MATCH(O1640,Antoine_Name,0),2)-INDEX(Antoines,MATCH(O1640,Antoine_Name,0),3)/(INDEX(Antoines,MATCH(O1640,Antoine_Name,0),4)+(O1650-32)*5/9)))*14.7/760,IF(O1641="Crude Oil",EXP((2799/(O1650+459.6)-2.227)*LOG10(INDEX(FX_Input,AB$5,O$3*$Z$5+$AA$5))-(7261/(O1650+459.6))+12.82),IF(O1641="Refined Petroleum Stock",EXP((0.7553-(413/(O1650+459.6)))*(INDEX(FX_Input,AB$5,O$3*$Z$5+$AA$5-1)^0.5)*LOG10(INDEX(FX_Input,AB$5,O$3*$Z$5+$AA$5))-(1.854-(1042/(O1650+459.6)))*(INDEX(FX_Input,AB$5,O$3*$Z$5+$AA$5-1)^0.5)+((2416/(O1650+459.6)-2.013)*LOG10(INDEX(FX_Input,AB$5,O$3*$Z$5+$AA$5)))-(8742/(O1650+459.6))+15.64),EXP(INDEX(Antoines,MATCH(O1640,Antoine_Name,0),2)-INDEX(Antoines,MATCH(O1640,Antoine_Name,0),3)/(O1650+459.6))))),0)</f>
        <v>4.8148298503950734E-3</v>
      </c>
    </row>
    <row r="1662" spans="2:32" ht="17.149999999999999" x14ac:dyDescent="0.55000000000000004">
      <c r="B1662" t="str">
        <f t="shared" si="6036"/>
        <v>Portland</v>
      </c>
      <c r="C1662" t="s">
        <v>1389</v>
      </c>
      <c r="D1662">
        <f>D1661*D1644</f>
        <v>4.883250638471285E-3</v>
      </c>
      <c r="E1662">
        <f t="shared" ref="E1662" si="6103">E1661*E1644</f>
        <v>5.1351067062407989E-3</v>
      </c>
      <c r="F1662">
        <f t="shared" ref="F1662" si="6104">F1661*F1644</f>
        <v>5.5213829543467952E-3</v>
      </c>
      <c r="G1662">
        <f t="shared" ref="G1662" si="6105">G1661*G1644</f>
        <v>6.2124720487193742E-3</v>
      </c>
      <c r="H1662">
        <f t="shared" ref="H1662" si="6106">H1661*H1644</f>
        <v>7.4209663387537275E-3</v>
      </c>
      <c r="I1662">
        <f t="shared" ref="I1662" si="6107">I1661*I1644</f>
        <v>8.4819819298252285E-3</v>
      </c>
      <c r="J1662">
        <f t="shared" ref="J1662" si="6108">J1661*J1644</f>
        <v>9.5741064128135375E-3</v>
      </c>
      <c r="K1662">
        <f t="shared" ref="K1662" si="6109">K1661*K1644</f>
        <v>9.5478148180509845E-3</v>
      </c>
      <c r="L1662">
        <f t="shared" ref="L1662" si="6110">L1661*L1644</f>
        <v>8.6464528192362108E-3</v>
      </c>
      <c r="M1662">
        <f t="shared" ref="M1662" si="6111">M1661*M1644</f>
        <v>6.8218393379121701E-3</v>
      </c>
      <c r="N1662">
        <f t="shared" ref="N1662" si="6112">N1661*N1644</f>
        <v>5.4827140055800742E-3</v>
      </c>
      <c r="O1662">
        <f t="shared" ref="O1662" si="6113">O1661*O1644</f>
        <v>4.8148298503950734E-3</v>
      </c>
    </row>
    <row r="1663" spans="2:32" ht="17.149999999999999" x14ac:dyDescent="0.55000000000000004">
      <c r="B1663" t="str">
        <f t="shared" si="6036"/>
        <v>Portland</v>
      </c>
      <c r="C1663" t="s">
        <v>1390</v>
      </c>
      <c r="D1663" cm="1">
        <f t="array" ref="D1663">IFERROR(IF(D1643="Chemical",(10^(INDEX(Antoines,MATCH(D1642,Antoine_Name,0),2)-INDEX(Antoines,MATCH(D1642,Antoine_Name,0),3)/(INDEX(Antoines,MATCH(D1642,Antoine_Name,0),4)+(D1650-32)*5/9)))*14.7/760,IF(D1643="Crude Oil",EXP((2799/(D1650+459.6)-2.227)*LOG10(INDEX(FX_Input,Q$5,D$3*$Z$5+$AA$5))-(7261/(D1650+459.6))+12.82),IF(D1643="Refined Petroleum Stock",EXP((0.7553-(413/(D1650+459.6)))*(INDEX(FX_Input,Q$5,D$3*$Z$5+$AA$5-1)^0.5)*LOG10(INDEX(FX_Input,Q$5,D$3*$Z$5+$AA$5))-(1.854-(1042/(D1650+459.6)))*(INDEX(FX_Input,Q$5,D$3*$Z$5+$AA$5-1)^0.5)+((2416/(D1650+459.6)-2.013)*LOG10(INDEX(FX_Input,Q$5,D$3*$Z$5+$AA$5)))-(8742/(D1650+459.6))+15.64),EXP(INDEX(Antoines,MATCH(D1642,Antoine_Name,0),2)-INDEX(Antoines,MATCH(D1642,Antoine_Name,0),3)/(D1650+459.6))))),0)</f>
        <v>0</v>
      </c>
      <c r="E1663" cm="1">
        <f t="array" ref="E1663">IFERROR(IF(E1643="Chemical",(10^(INDEX(Antoines,MATCH(E1642,Antoine_Name,0),2)-INDEX(Antoines,MATCH(E1642,Antoine_Name,0),3)/(INDEX(Antoines,MATCH(E1642,Antoine_Name,0),4)+(E1650-32)*5/9)))*14.7/760,IF(E1643="Crude Oil",EXP((2799/(E1650+459.6)-2.227)*LOG10(INDEX(FX_Input,R$5,E$3*$Z$5+$AA$5))-(7261/(E1650+459.6))+12.82),IF(E1643="Refined Petroleum Stock",EXP((0.7553-(413/(E1650+459.6)))*(INDEX(FX_Input,R$5,E$3*$Z$5+$AA$5-1)^0.5)*LOG10(INDEX(FX_Input,R$5,E$3*$Z$5+$AA$5))-(1.854-(1042/(E1650+459.6)))*(INDEX(FX_Input,R$5,E$3*$Z$5+$AA$5-1)^0.5)+((2416/(E1650+459.6)-2.013)*LOG10(INDEX(FX_Input,R$5,E$3*$Z$5+$AA$5)))-(8742/(E1650+459.6))+15.64),EXP(INDEX(Antoines,MATCH(E1642,Antoine_Name,0),2)-INDEX(Antoines,MATCH(E1642,Antoine_Name,0),3)/(E1650+459.6))))),0)</f>
        <v>0</v>
      </c>
      <c r="F1663" cm="1">
        <f t="array" ref="F1663">IFERROR(IF(F1643="Chemical",(10^(INDEX(Antoines,MATCH(F1642,Antoine_Name,0),2)-INDEX(Antoines,MATCH(F1642,Antoine_Name,0),3)/(INDEX(Antoines,MATCH(F1642,Antoine_Name,0),4)+(F1650-32)*5/9)))*14.7/760,IF(F1643="Crude Oil",EXP((2799/(F1650+459.6)-2.227)*LOG10(INDEX(FX_Input,S$5,F$3*$Z$5+$AA$5))-(7261/(F1650+459.6))+12.82),IF(F1643="Refined Petroleum Stock",EXP((0.7553-(413/(F1650+459.6)))*(INDEX(FX_Input,S$5,F$3*$Z$5+$AA$5-1)^0.5)*LOG10(INDEX(FX_Input,S$5,F$3*$Z$5+$AA$5))-(1.854-(1042/(F1650+459.6)))*(INDEX(FX_Input,S$5,F$3*$Z$5+$AA$5-1)^0.5)+((2416/(F1650+459.6)-2.013)*LOG10(INDEX(FX_Input,S$5,F$3*$Z$5+$AA$5)))-(8742/(F1650+459.6))+15.64),EXP(INDEX(Antoines,MATCH(F1642,Antoine_Name,0),2)-INDEX(Antoines,MATCH(F1642,Antoine_Name,0),3)/(F1650+459.6))))),0)</f>
        <v>0</v>
      </c>
      <c r="G1663" cm="1">
        <f t="array" ref="G1663">IFERROR(IF(G1643="Chemical",(10^(INDEX(Antoines,MATCH(G1642,Antoine_Name,0),2)-INDEX(Antoines,MATCH(G1642,Antoine_Name,0),3)/(INDEX(Antoines,MATCH(G1642,Antoine_Name,0),4)+(G1650-32)*5/9)))*14.7/760,IF(G1643="Crude Oil",EXP((2799/(G1650+459.6)-2.227)*LOG10(INDEX(FX_Input,T$5,G$3*$Z$5+$AA$5))-(7261/(G1650+459.6))+12.82),IF(G1643="Refined Petroleum Stock",EXP((0.7553-(413/(G1650+459.6)))*(INDEX(FX_Input,T$5,G$3*$Z$5+$AA$5-1)^0.5)*LOG10(INDEX(FX_Input,T$5,G$3*$Z$5+$AA$5))-(1.854-(1042/(G1650+459.6)))*(INDEX(FX_Input,T$5,G$3*$Z$5+$AA$5-1)^0.5)+((2416/(G1650+459.6)-2.013)*LOG10(INDEX(FX_Input,T$5,G$3*$Z$5+$AA$5)))-(8742/(G1650+459.6))+15.64),EXP(INDEX(Antoines,MATCH(G1642,Antoine_Name,0),2)-INDEX(Antoines,MATCH(G1642,Antoine_Name,0),3)/(G1650+459.6))))),0)</f>
        <v>0</v>
      </c>
      <c r="H1663" cm="1">
        <f t="array" ref="H1663">IFERROR(IF(H1643="Chemical",(10^(INDEX(Antoines,MATCH(H1642,Antoine_Name,0),2)-INDEX(Antoines,MATCH(H1642,Antoine_Name,0),3)/(INDEX(Antoines,MATCH(H1642,Antoine_Name,0),4)+(H1650-32)*5/9)))*14.7/760,IF(H1643="Crude Oil",EXP((2799/(H1650+459.6)-2.227)*LOG10(INDEX(FX_Input,U$5,H$3*$Z$5+$AA$5))-(7261/(H1650+459.6))+12.82),IF(H1643="Refined Petroleum Stock",EXP((0.7553-(413/(H1650+459.6)))*(INDEX(FX_Input,U$5,H$3*$Z$5+$AA$5-1)^0.5)*LOG10(INDEX(FX_Input,U$5,H$3*$Z$5+$AA$5))-(1.854-(1042/(H1650+459.6)))*(INDEX(FX_Input,U$5,H$3*$Z$5+$AA$5-1)^0.5)+((2416/(H1650+459.6)-2.013)*LOG10(INDEX(FX_Input,U$5,H$3*$Z$5+$AA$5)))-(8742/(H1650+459.6))+15.64),EXP(INDEX(Antoines,MATCH(H1642,Antoine_Name,0),2)-INDEX(Antoines,MATCH(H1642,Antoine_Name,0),3)/(H1650+459.6))))),0)</f>
        <v>0</v>
      </c>
      <c r="I1663" cm="1">
        <f t="array" ref="I1663">IFERROR(IF(I1643="Chemical",(10^(INDEX(Antoines,MATCH(I1642,Antoine_Name,0),2)-INDEX(Antoines,MATCH(I1642,Antoine_Name,0),3)/(INDEX(Antoines,MATCH(I1642,Antoine_Name,0),4)+(I1650-32)*5/9)))*14.7/760,IF(I1643="Crude Oil",EXP((2799/(I1650+459.6)-2.227)*LOG10(INDEX(FX_Input,V$5,I$3*$Z$5+$AA$5))-(7261/(I1650+459.6))+12.82),IF(I1643="Refined Petroleum Stock",EXP((0.7553-(413/(I1650+459.6)))*(INDEX(FX_Input,V$5,I$3*$Z$5+$AA$5-1)^0.5)*LOG10(INDEX(FX_Input,V$5,I$3*$Z$5+$AA$5))-(1.854-(1042/(I1650+459.6)))*(INDEX(FX_Input,V$5,I$3*$Z$5+$AA$5-1)^0.5)+((2416/(I1650+459.6)-2.013)*LOG10(INDEX(FX_Input,V$5,I$3*$Z$5+$AA$5)))-(8742/(I1650+459.6))+15.64),EXP(INDEX(Antoines,MATCH(I1642,Antoine_Name,0),2)-INDEX(Antoines,MATCH(I1642,Antoine_Name,0),3)/(I1650+459.6))))),0)</f>
        <v>0</v>
      </c>
      <c r="J1663" cm="1">
        <f t="array" ref="J1663">IFERROR(IF(J1643="Chemical",(10^(INDEX(Antoines,MATCH(J1642,Antoine_Name,0),2)-INDEX(Antoines,MATCH(J1642,Antoine_Name,0),3)/(INDEX(Antoines,MATCH(J1642,Antoine_Name,0),4)+(J1650-32)*5/9)))*14.7/760,IF(J1643="Crude Oil",EXP((2799/(J1650+459.6)-2.227)*LOG10(INDEX(FX_Input,W$5,J$3*$Z$5+$AA$5))-(7261/(J1650+459.6))+12.82),IF(J1643="Refined Petroleum Stock",EXP((0.7553-(413/(J1650+459.6)))*(INDEX(FX_Input,W$5,J$3*$Z$5+$AA$5-1)^0.5)*LOG10(INDEX(FX_Input,W$5,J$3*$Z$5+$AA$5))-(1.854-(1042/(J1650+459.6)))*(INDEX(FX_Input,W$5,J$3*$Z$5+$AA$5-1)^0.5)+((2416/(J1650+459.6)-2.013)*LOG10(INDEX(FX_Input,W$5,J$3*$Z$5+$AA$5)))-(8742/(J1650+459.6))+15.64),EXP(INDEX(Antoines,MATCH(J1642,Antoine_Name,0),2)-INDEX(Antoines,MATCH(J1642,Antoine_Name,0),3)/(J1650+459.6))))),0)</f>
        <v>0</v>
      </c>
      <c r="K1663" cm="1">
        <f t="array" ref="K1663">IFERROR(IF(K1643="Chemical",(10^(INDEX(Antoines,MATCH(K1642,Antoine_Name,0),2)-INDEX(Antoines,MATCH(K1642,Antoine_Name,0),3)/(INDEX(Antoines,MATCH(K1642,Antoine_Name,0),4)+(K1650-32)*5/9)))*14.7/760,IF(K1643="Crude Oil",EXP((2799/(K1650+459.6)-2.227)*LOG10(INDEX(FX_Input,X$5,K$3*$Z$5+$AA$5))-(7261/(K1650+459.6))+12.82),IF(K1643="Refined Petroleum Stock",EXP((0.7553-(413/(K1650+459.6)))*(INDEX(FX_Input,X$5,K$3*$Z$5+$AA$5-1)^0.5)*LOG10(INDEX(FX_Input,X$5,K$3*$Z$5+$AA$5))-(1.854-(1042/(K1650+459.6)))*(INDEX(FX_Input,X$5,K$3*$Z$5+$AA$5-1)^0.5)+((2416/(K1650+459.6)-2.013)*LOG10(INDEX(FX_Input,X$5,K$3*$Z$5+$AA$5)))-(8742/(K1650+459.6))+15.64),EXP(INDEX(Antoines,MATCH(K1642,Antoine_Name,0),2)-INDEX(Antoines,MATCH(K1642,Antoine_Name,0),3)/(K1650+459.6))))),0)</f>
        <v>0</v>
      </c>
      <c r="L1663" cm="1">
        <f t="array" ref="L1663">IFERROR(IF(L1643="Chemical",(10^(INDEX(Antoines,MATCH(L1642,Antoine_Name,0),2)-INDEX(Antoines,MATCH(L1642,Antoine_Name,0),3)/(INDEX(Antoines,MATCH(L1642,Antoine_Name,0),4)+(L1650-32)*5/9)))*14.7/760,IF(L1643="Crude Oil",EXP((2799/(L1650+459.6)-2.227)*LOG10(INDEX(FX_Input,Y$5,L$3*$Z$5+$AA$5))-(7261/(L1650+459.6))+12.82),IF(L1643="Refined Petroleum Stock",EXP((0.7553-(413/(L1650+459.6)))*(INDEX(FX_Input,Y$5,L$3*$Z$5+$AA$5-1)^0.5)*LOG10(INDEX(FX_Input,Y$5,L$3*$Z$5+$AA$5))-(1.854-(1042/(L1650+459.6)))*(INDEX(FX_Input,Y$5,L$3*$Z$5+$AA$5-1)^0.5)+((2416/(L1650+459.6)-2.013)*LOG10(INDEX(FX_Input,Y$5,L$3*$Z$5+$AA$5)))-(8742/(L1650+459.6))+15.64),EXP(INDEX(Antoines,MATCH(L1642,Antoine_Name,0),2)-INDEX(Antoines,MATCH(L1642,Antoine_Name,0),3)/(L1650+459.6))))),0)</f>
        <v>0</v>
      </c>
      <c r="M1663" cm="1">
        <f t="array" ref="M1663">IFERROR(IF(M1643="Chemical",(10^(INDEX(Antoines,MATCH(M1642,Antoine_Name,0),2)-INDEX(Antoines,MATCH(M1642,Antoine_Name,0),3)/(INDEX(Antoines,MATCH(M1642,Antoine_Name,0),4)+(M1650-32)*5/9)))*14.7/760,IF(M1643="Crude Oil",EXP((2799/(M1650+459.6)-2.227)*LOG10(INDEX(FX_Input,Z$5,M$3*$Z$5+$AA$5))-(7261/(M1650+459.6))+12.82),IF(M1643="Refined Petroleum Stock",EXP((0.7553-(413/(M1650+459.6)))*(INDEX(FX_Input,Z$5,M$3*$Z$5+$AA$5-1)^0.5)*LOG10(INDEX(FX_Input,Z$5,M$3*$Z$5+$AA$5))-(1.854-(1042/(M1650+459.6)))*(INDEX(FX_Input,Z$5,M$3*$Z$5+$AA$5-1)^0.5)+((2416/(M1650+459.6)-2.013)*LOG10(INDEX(FX_Input,Z$5,M$3*$Z$5+$AA$5)))-(8742/(M1650+459.6))+15.64),EXP(INDEX(Antoines,MATCH(M1642,Antoine_Name,0),2)-INDEX(Antoines,MATCH(M1642,Antoine_Name,0),3)/(M1650+459.6))))),0)</f>
        <v>0</v>
      </c>
      <c r="N1663" cm="1">
        <f t="array" ref="N1663">IFERROR(IF(N1643="Chemical",(10^(INDEX(Antoines,MATCH(N1642,Antoine_Name,0),2)-INDEX(Antoines,MATCH(N1642,Antoine_Name,0),3)/(INDEX(Antoines,MATCH(N1642,Antoine_Name,0),4)+(N1650-32)*5/9)))*14.7/760,IF(N1643="Crude Oil",EXP((2799/(N1650+459.6)-2.227)*LOG10(INDEX(FX_Input,AA$5,N$3*$Z$5+$AA$5))-(7261/(N1650+459.6))+12.82),IF(N1643="Refined Petroleum Stock",EXP((0.7553-(413/(N1650+459.6)))*(INDEX(FX_Input,AA$5,N$3*$Z$5+$AA$5-1)^0.5)*LOG10(INDEX(FX_Input,AA$5,N$3*$Z$5+$AA$5))-(1.854-(1042/(N1650+459.6)))*(INDEX(FX_Input,AA$5,N$3*$Z$5+$AA$5-1)^0.5)+((2416/(N1650+459.6)-2.013)*LOG10(INDEX(FX_Input,AA$5,N$3*$Z$5+$AA$5)))-(8742/(N1650+459.6))+15.64),EXP(INDEX(Antoines,MATCH(N1642,Antoine_Name,0),2)-INDEX(Antoines,MATCH(N1642,Antoine_Name,0),3)/(N1650+459.6))))),0)</f>
        <v>0</v>
      </c>
      <c r="O1663" cm="1">
        <f t="array" ref="O1663">IFERROR(IF(O1643="Chemical",(10^(INDEX(Antoines,MATCH(O1642,Antoine_Name,0),2)-INDEX(Antoines,MATCH(O1642,Antoine_Name,0),3)/(INDEX(Antoines,MATCH(O1642,Antoine_Name,0),4)+(O1650-32)*5/9)))*14.7/760,IF(O1643="Crude Oil",EXP((2799/(O1650+459.6)-2.227)*LOG10(INDEX(FX_Input,AB$5,O$3*$Z$5+$AA$5))-(7261/(O1650+459.6))+12.82),IF(O1643="Refined Petroleum Stock",EXP((0.7553-(413/(O1650+459.6)))*(INDEX(FX_Input,AB$5,O$3*$Z$5+$AA$5-1)^0.5)*LOG10(INDEX(FX_Input,AB$5,O$3*$Z$5+$AA$5))-(1.854-(1042/(O1650+459.6)))*(INDEX(FX_Input,AB$5,O$3*$Z$5+$AA$5-1)^0.5)+((2416/(O1650+459.6)-2.013)*LOG10(INDEX(FX_Input,AB$5,O$3*$Z$5+$AA$5)))-(8742/(O1650+459.6))+15.64),EXP(INDEX(Antoines,MATCH(O1642,Antoine_Name,0),2)-INDEX(Antoines,MATCH(O1642,Antoine_Name,0),3)/(O1650+459.6))))),0)</f>
        <v>0</v>
      </c>
    </row>
    <row r="1664" spans="2:32" ht="17.149999999999999" x14ac:dyDescent="0.55000000000000004">
      <c r="B1664" t="str">
        <f t="shared" si="6036"/>
        <v>Portland</v>
      </c>
      <c r="C1664" t="s">
        <v>1391</v>
      </c>
      <c r="D1664">
        <f>D1663*D1646</f>
        <v>0</v>
      </c>
      <c r="E1664">
        <f t="shared" ref="E1664" si="6114">E1663*E1646</f>
        <v>0</v>
      </c>
      <c r="F1664">
        <f t="shared" ref="F1664" si="6115">F1663*F1646</f>
        <v>0</v>
      </c>
      <c r="G1664">
        <f t="shared" ref="G1664" si="6116">G1663*G1646</f>
        <v>0</v>
      </c>
      <c r="H1664">
        <f t="shared" ref="H1664" si="6117">H1663*H1646</f>
        <v>0</v>
      </c>
      <c r="I1664">
        <f t="shared" ref="I1664" si="6118">I1663*I1646</f>
        <v>0</v>
      </c>
      <c r="J1664">
        <f t="shared" ref="J1664" si="6119">J1663*J1646</f>
        <v>0</v>
      </c>
      <c r="K1664">
        <f t="shared" ref="K1664" si="6120">K1663*K1646</f>
        <v>0</v>
      </c>
      <c r="L1664">
        <f t="shared" ref="L1664" si="6121">L1663*L1646</f>
        <v>0</v>
      </c>
      <c r="M1664">
        <f t="shared" ref="M1664" si="6122">M1663*M1646</f>
        <v>0</v>
      </c>
      <c r="N1664">
        <f t="shared" ref="N1664" si="6123">N1663*N1646</f>
        <v>0</v>
      </c>
      <c r="O1664">
        <f t="shared" ref="O1664" si="6124">O1663*O1646</f>
        <v>0</v>
      </c>
    </row>
    <row r="1665" spans="1:32" ht="17.149999999999999" x14ac:dyDescent="0.55000000000000004">
      <c r="B1665" t="str">
        <f t="shared" si="6036"/>
        <v>Portland</v>
      </c>
      <c r="C1665" t="s">
        <v>1392</v>
      </c>
      <c r="D1665">
        <f>D1662+D1664</f>
        <v>4.883250638471285E-3</v>
      </c>
      <c r="E1665">
        <f t="shared" ref="E1665" si="6125">E1662+E1664</f>
        <v>5.1351067062407989E-3</v>
      </c>
      <c r="F1665">
        <f t="shared" ref="F1665" si="6126">F1662+F1664</f>
        <v>5.5213829543467952E-3</v>
      </c>
      <c r="G1665">
        <f t="shared" ref="G1665" si="6127">G1662+G1664</f>
        <v>6.2124720487193742E-3</v>
      </c>
      <c r="H1665">
        <f t="shared" ref="H1665" si="6128">H1662+H1664</f>
        <v>7.4209663387537275E-3</v>
      </c>
      <c r="I1665">
        <f t="shared" ref="I1665" si="6129">I1662+I1664</f>
        <v>8.4819819298252285E-3</v>
      </c>
      <c r="J1665">
        <f t="shared" ref="J1665" si="6130">J1662+J1664</f>
        <v>9.5741064128135375E-3</v>
      </c>
      <c r="K1665">
        <f t="shared" ref="K1665" si="6131">K1662+K1664</f>
        <v>9.5478148180509845E-3</v>
      </c>
      <c r="L1665">
        <f t="shared" ref="L1665" si="6132">L1662+L1664</f>
        <v>8.6464528192362108E-3</v>
      </c>
      <c r="M1665">
        <f t="shared" ref="M1665" si="6133">M1662+M1664</f>
        <v>6.8218393379121701E-3</v>
      </c>
      <c r="N1665">
        <f t="shared" ref="N1665" si="6134">N1662+N1664</f>
        <v>5.4827140055800742E-3</v>
      </c>
      <c r="O1665">
        <f t="shared" ref="O1665" si="6135">O1662+O1664</f>
        <v>4.8148298503950734E-3</v>
      </c>
    </row>
    <row r="1666" spans="1:32" ht="17.149999999999999" x14ac:dyDescent="0.55000000000000004">
      <c r="B1666" t="str">
        <f>B1660</f>
        <v>Portland</v>
      </c>
      <c r="C1666" t="s">
        <v>584</v>
      </c>
      <c r="D1666">
        <f>D1662/D1665</f>
        <v>1</v>
      </c>
      <c r="E1666">
        <f t="shared" ref="E1666" si="6136">E1662/E1665</f>
        <v>1</v>
      </c>
      <c r="F1666">
        <f t="shared" ref="F1666" si="6137">F1662/F1665</f>
        <v>1</v>
      </c>
      <c r="G1666">
        <f t="shared" ref="G1666" si="6138">G1662/G1665</f>
        <v>1</v>
      </c>
      <c r="H1666">
        <f t="shared" ref="H1666" si="6139">H1662/H1665</f>
        <v>1</v>
      </c>
      <c r="I1666">
        <f t="shared" ref="I1666" si="6140">I1662/I1665</f>
        <v>1</v>
      </c>
      <c r="J1666">
        <f t="shared" ref="J1666" si="6141">J1662/J1665</f>
        <v>1</v>
      </c>
      <c r="K1666">
        <f t="shared" ref="K1666" si="6142">K1662/K1665</f>
        <v>1</v>
      </c>
      <c r="L1666">
        <f t="shared" ref="L1666" si="6143">L1662/L1665</f>
        <v>1</v>
      </c>
      <c r="M1666">
        <f t="shared" ref="M1666" si="6144">M1662/M1665</f>
        <v>1</v>
      </c>
      <c r="N1666">
        <f t="shared" ref="N1666" si="6145">N1662/N1665</f>
        <v>1</v>
      </c>
      <c r="O1666">
        <f t="shared" ref="O1666" si="6146">O1662/O1665</f>
        <v>1</v>
      </c>
    </row>
    <row r="1667" spans="1:32" ht="17.149999999999999" x14ac:dyDescent="0.55000000000000004">
      <c r="B1667" t="str">
        <f>B1661</f>
        <v>Portland</v>
      </c>
      <c r="C1667" t="s">
        <v>585</v>
      </c>
      <c r="D1667">
        <f t="shared" ref="D1667:O1667" si="6147">INDEX(Phys_Prop,MATCH(D1640,Chem_List,0),3)</f>
        <v>130</v>
      </c>
      <c r="E1667">
        <f t="shared" si="6147"/>
        <v>130</v>
      </c>
      <c r="F1667">
        <f t="shared" si="6147"/>
        <v>130</v>
      </c>
      <c r="G1667">
        <f t="shared" si="6147"/>
        <v>130</v>
      </c>
      <c r="H1667">
        <f t="shared" si="6147"/>
        <v>130</v>
      </c>
      <c r="I1667">
        <f t="shared" si="6147"/>
        <v>130</v>
      </c>
      <c r="J1667">
        <f t="shared" si="6147"/>
        <v>130</v>
      </c>
      <c r="K1667">
        <f t="shared" si="6147"/>
        <v>130</v>
      </c>
      <c r="L1667">
        <f t="shared" si="6147"/>
        <v>130</v>
      </c>
      <c r="M1667">
        <f t="shared" si="6147"/>
        <v>130</v>
      </c>
      <c r="N1667">
        <f t="shared" si="6147"/>
        <v>130</v>
      </c>
      <c r="O1667">
        <f t="shared" si="6147"/>
        <v>130</v>
      </c>
    </row>
    <row r="1668" spans="1:32" ht="17.149999999999999" x14ac:dyDescent="0.55000000000000004">
      <c r="B1668" t="str">
        <f>B1667</f>
        <v>Portland</v>
      </c>
      <c r="C1668" t="s">
        <v>586</v>
      </c>
      <c r="D1668">
        <f>D1664/D1665</f>
        <v>0</v>
      </c>
      <c r="E1668">
        <f t="shared" ref="E1668:O1668" si="6148">E1664/E1665</f>
        <v>0</v>
      </c>
      <c r="F1668">
        <f t="shared" si="6148"/>
        <v>0</v>
      </c>
      <c r="G1668">
        <f t="shared" si="6148"/>
        <v>0</v>
      </c>
      <c r="H1668">
        <f t="shared" si="6148"/>
        <v>0</v>
      </c>
      <c r="I1668">
        <f t="shared" si="6148"/>
        <v>0</v>
      </c>
      <c r="J1668">
        <f t="shared" si="6148"/>
        <v>0</v>
      </c>
      <c r="K1668">
        <f t="shared" si="6148"/>
        <v>0</v>
      </c>
      <c r="L1668">
        <f t="shared" si="6148"/>
        <v>0</v>
      </c>
      <c r="M1668">
        <f t="shared" si="6148"/>
        <v>0</v>
      </c>
      <c r="N1668">
        <f t="shared" si="6148"/>
        <v>0</v>
      </c>
      <c r="O1668">
        <f t="shared" si="6148"/>
        <v>0</v>
      </c>
    </row>
    <row r="1669" spans="1:32" ht="17.149999999999999" x14ac:dyDescent="0.55000000000000004">
      <c r="B1669" t="str">
        <f t="shared" si="6036"/>
        <v>Portland</v>
      </c>
      <c r="C1669" t="s">
        <v>587</v>
      </c>
      <c r="D1669">
        <f t="shared" ref="D1669:O1669" si="6149">IFERROR(INDEX(Phys_Prop,MATCH(D1642,Chem_List,0),3),0)</f>
        <v>0</v>
      </c>
      <c r="E1669">
        <f t="shared" si="6149"/>
        <v>0</v>
      </c>
      <c r="F1669">
        <f t="shared" si="6149"/>
        <v>0</v>
      </c>
      <c r="G1669">
        <f t="shared" si="6149"/>
        <v>0</v>
      </c>
      <c r="H1669">
        <f t="shared" si="6149"/>
        <v>0</v>
      </c>
      <c r="I1669">
        <f t="shared" si="6149"/>
        <v>0</v>
      </c>
      <c r="J1669">
        <f t="shared" si="6149"/>
        <v>0</v>
      </c>
      <c r="K1669">
        <f t="shared" si="6149"/>
        <v>0</v>
      </c>
      <c r="L1669">
        <f t="shared" si="6149"/>
        <v>0</v>
      </c>
      <c r="M1669">
        <f t="shared" si="6149"/>
        <v>0</v>
      </c>
      <c r="N1669">
        <f t="shared" si="6149"/>
        <v>0</v>
      </c>
      <c r="O1669">
        <f t="shared" si="6149"/>
        <v>0</v>
      </c>
    </row>
    <row r="1670" spans="1:32" ht="17.149999999999999" x14ac:dyDescent="0.55000000000000004">
      <c r="A1670" s="11"/>
      <c r="B1670" s="11" t="str">
        <f t="shared" si="6036"/>
        <v>Portland</v>
      </c>
      <c r="C1670" s="11" t="s">
        <v>588</v>
      </c>
      <c r="D1670" s="11">
        <f>IFERROR(D1666*D1667+D1668*D1669,0)</f>
        <v>130</v>
      </c>
      <c r="E1670" s="11">
        <f t="shared" ref="E1670" si="6150">IFERROR(E1666*E1667+E1668*E1669,0)</f>
        <v>130</v>
      </c>
      <c r="F1670" s="11">
        <f t="shared" ref="F1670" si="6151">IFERROR(F1666*F1667+F1668*F1669,0)</f>
        <v>130</v>
      </c>
      <c r="G1670" s="11">
        <f t="shared" ref="G1670" si="6152">IFERROR(G1666*G1667+G1668*G1669,0)</f>
        <v>130</v>
      </c>
      <c r="H1670" s="11">
        <f t="shared" ref="H1670" si="6153">IFERROR(H1666*H1667+H1668*H1669,0)</f>
        <v>130</v>
      </c>
      <c r="I1670" s="11">
        <f t="shared" ref="I1670" si="6154">IFERROR(I1666*I1667+I1668*I1669,0)</f>
        <v>130</v>
      </c>
      <c r="J1670" s="11">
        <f t="shared" ref="J1670" si="6155">IFERROR(J1666*J1667+J1668*J1669,0)</f>
        <v>130</v>
      </c>
      <c r="K1670" s="11">
        <f t="shared" ref="K1670" si="6156">IFERROR(K1666*K1667+K1668*K1669,0)</f>
        <v>130</v>
      </c>
      <c r="L1670" s="11">
        <f t="shared" ref="L1670" si="6157">IFERROR(L1666*L1667+L1668*L1669,0)</f>
        <v>130</v>
      </c>
      <c r="M1670" s="11">
        <f t="shared" ref="M1670" si="6158">IFERROR(M1666*M1667+M1668*M1669,0)</f>
        <v>130</v>
      </c>
      <c r="N1670" s="11">
        <f t="shared" ref="N1670" si="6159">IFERROR(N1666*N1667+N1668*N1669,0)</f>
        <v>130</v>
      </c>
      <c r="O1670" s="11">
        <f t="shared" ref="O1670" si="6160">IFERROR(O1666*O1667+O1668*O1669,0)</f>
        <v>130</v>
      </c>
      <c r="P1670" s="11"/>
      <c r="Q1670" s="11"/>
      <c r="R1670" s="11"/>
      <c r="S1670" s="11"/>
      <c r="T1670" s="11"/>
      <c r="U1670" s="11"/>
      <c r="V1670" s="11"/>
      <c r="W1670" s="11"/>
      <c r="X1670" s="11"/>
      <c r="Y1670" s="11"/>
      <c r="Z1670" s="11"/>
      <c r="AA1670" s="11"/>
      <c r="AB1670" s="11"/>
      <c r="AC1670" s="11"/>
      <c r="AD1670" s="11"/>
      <c r="AE1670" s="11"/>
      <c r="AF1670" s="11"/>
    </row>
    <row r="1671" spans="1:32" ht="17.149999999999999" x14ac:dyDescent="0.55000000000000004">
      <c r="A1671" t="str" cm="1">
        <f t="array" ref="A1671">INDEX(FX_Input,$Q1671,R$5)</f>
        <v>FX - 50</v>
      </c>
      <c r="B1671" t="str" cm="1">
        <f t="array" ref="B1671">INDEX(FX_Input,Q1671,S1671)</f>
        <v>Portland</v>
      </c>
      <c r="C1671" t="s">
        <v>563</v>
      </c>
      <c r="D1671">
        <v>14.7</v>
      </c>
      <c r="E1671">
        <v>14.7</v>
      </c>
      <c r="F1671">
        <v>14.7</v>
      </c>
      <c r="G1671">
        <v>14.7</v>
      </c>
      <c r="H1671">
        <v>14.7</v>
      </c>
      <c r="I1671">
        <v>14.7</v>
      </c>
      <c r="J1671">
        <v>14.7</v>
      </c>
      <c r="K1671">
        <v>14.7</v>
      </c>
      <c r="L1671">
        <v>14.7</v>
      </c>
      <c r="M1671">
        <v>14.7</v>
      </c>
      <c r="N1671">
        <v>14.7</v>
      </c>
      <c r="O1671">
        <v>14.7</v>
      </c>
      <c r="Q1671">
        <f>Q1637+2</f>
        <v>99</v>
      </c>
      <c r="R1671">
        <v>1</v>
      </c>
      <c r="S1671">
        <v>3</v>
      </c>
      <c r="T1671">
        <v>1</v>
      </c>
      <c r="U1671">
        <v>19</v>
      </c>
      <c r="V1671">
        <v>20</v>
      </c>
      <c r="W1671">
        <v>25</v>
      </c>
      <c r="X1671">
        <v>1</v>
      </c>
      <c r="Y1671">
        <v>2</v>
      </c>
      <c r="Z1671">
        <f>(W1671-V1671)/(Y1671-X1671)</f>
        <v>5</v>
      </c>
      <c r="AA1671">
        <f>V1671-Z1671*X1671</f>
        <v>15</v>
      </c>
      <c r="AD1671">
        <f>AD1637+14</f>
        <v>687</v>
      </c>
      <c r="AF1671">
        <f>AF1637+14</f>
        <v>687</v>
      </c>
    </row>
    <row r="1672" spans="1:32" ht="17.149999999999999" x14ac:dyDescent="0.55000000000000004">
      <c r="B1672" t="str">
        <f t="shared" ref="B1672" si="6161">B1671</f>
        <v>Portland</v>
      </c>
      <c r="C1672" t="s">
        <v>564</v>
      </c>
      <c r="D1672" cm="1">
        <f t="array" ref="D1672">IF(ISBLANK(INDEX(FX_Input,$Q1671,$AB1672)),0.03,INDEX(FX_Input,Q1671,AB1672))</f>
        <v>0.03</v>
      </c>
      <c r="E1672" cm="1">
        <f t="array" ref="E1672">IF(ISBLANK(INDEX(FX_Input,$Q1671,$AB1672)),0.03,INDEX(FX_Input,R1671,#REF!))</f>
        <v>0.03</v>
      </c>
      <c r="F1672" cm="1">
        <f t="array" ref="F1672">IF(ISBLANK(INDEX(FX_Input,$Q1671,$AB1672)),0.03,INDEX(FX_Input,S1671,#REF!))</f>
        <v>0.03</v>
      </c>
      <c r="G1672" cm="1">
        <f t="array" ref="G1672">IF(ISBLANK(INDEX(FX_Input,$Q1671,$AB1672)),0.03,INDEX(FX_Input,AB1671,#REF!))</f>
        <v>0.03</v>
      </c>
      <c r="H1672" cm="1">
        <f t="array" ref="H1672">IF(ISBLANK(INDEX(FX_Input,$Q1671,$AB1672)),0.03,INDEX(FX_Input,#REF!,#REF!))</f>
        <v>0.03</v>
      </c>
      <c r="I1672" cm="1">
        <f t="array" ref="I1672">IF(ISBLANK(INDEX(FX_Input,$Q1671,$AB1672)),0.03,INDEX(FX_Input,#REF!,#REF!))</f>
        <v>0.03</v>
      </c>
      <c r="J1672" cm="1">
        <f t="array" ref="J1672">IF(ISBLANK(INDEX(FX_Input,$Q1671,$AB1672)),0.03,INDEX(FX_Input,#REF!,#REF!))</f>
        <v>0.03</v>
      </c>
      <c r="K1672" cm="1">
        <f t="array" ref="K1672">IF(ISBLANK(INDEX(FX_Input,$Q1671,$AB1672)),0.03,INDEX(FX_Input,#REF!,AC1672))</f>
        <v>0.03</v>
      </c>
      <c r="L1672" cm="1">
        <f t="array" ref="L1672">IF(ISBLANK(INDEX(FX_Input,$Q1671,$AB1672)),0.03,INDEX(FX_Input,#REF!,AD1672))</f>
        <v>0.03</v>
      </c>
      <c r="M1672" cm="1">
        <f t="array" ref="M1672">IF(ISBLANK(INDEX(FX_Input,$Q1671,$AB1672)),0.03,INDEX(FX_Input,#REF!,#REF!))</f>
        <v>0.03</v>
      </c>
      <c r="N1672" cm="1">
        <f t="array" ref="N1672">IF(ISBLANK(INDEX(FX_Input,$Q1671,$AB1672)),0.03,INDEX(FX_Input,AC1671,#REF!))</f>
        <v>0.03</v>
      </c>
      <c r="O1672" cm="1">
        <f t="array" ref="O1672">IF(ISBLANK(INDEX(FX_Input,$Q1671,$AB1672)),0.03,INDEX(FX_Input,AD1671,#REF!))</f>
        <v>0.03</v>
      </c>
      <c r="AB1672">
        <v>15</v>
      </c>
    </row>
    <row r="1673" spans="1:32" ht="17.149999999999999" x14ac:dyDescent="0.55000000000000004">
      <c r="B1673" t="str">
        <f>B1672</f>
        <v>Portland</v>
      </c>
      <c r="C1673" t="s">
        <v>565</v>
      </c>
      <c r="D1673" cm="1">
        <f t="array" ref="D1673">IF(ISBLANK(INDEX(FX_Input,$Q1671,$AB1673)),-0.03,INDEX(FX_Input,Q1671,AB1673))</f>
        <v>-0.03</v>
      </c>
      <c r="E1673" cm="1">
        <f t="array" ref="E1673">IF(ISBLANK(INDEX(FX_Input,$Q1671,$AB1673)),-0.03,INDEX(FX_Input,R1671,#REF!))</f>
        <v>-0.03</v>
      </c>
      <c r="F1673" cm="1">
        <f t="array" ref="F1673">IF(ISBLANK(INDEX(FX_Input,$Q1671,$AB1673)),-0.03,INDEX(FX_Input,S1671,#REF!))</f>
        <v>-0.03</v>
      </c>
      <c r="G1673" cm="1">
        <f t="array" ref="G1673">IF(ISBLANK(INDEX(FX_Input,$Q1671,$AB1673)),-0.03,INDEX(FX_Input,AB1671,#REF!))</f>
        <v>-0.03</v>
      </c>
      <c r="H1673" cm="1">
        <f t="array" ref="H1673">IF(ISBLANK(INDEX(FX_Input,$Q1671,$AB1673)),-0.03,INDEX(FX_Input,#REF!,#REF!))</f>
        <v>-0.03</v>
      </c>
      <c r="I1673" cm="1">
        <f t="array" ref="I1673">IF(ISBLANK(INDEX(FX_Input,$Q1671,$AB1673)),-0.03,INDEX(FX_Input,#REF!,#REF!))</f>
        <v>-0.03</v>
      </c>
      <c r="J1673" cm="1">
        <f t="array" ref="J1673">IF(ISBLANK(INDEX(FX_Input,$Q1671,$AB1673)),-0.03,INDEX(FX_Input,#REF!,#REF!))</f>
        <v>-0.03</v>
      </c>
      <c r="K1673" cm="1">
        <f t="array" ref="K1673">IF(ISBLANK(INDEX(FX_Input,$Q1671,$AB1673)),-0.03,INDEX(FX_Input,#REF!,AC1673))</f>
        <v>-0.03</v>
      </c>
      <c r="L1673" cm="1">
        <f t="array" ref="L1673">IF(ISBLANK(INDEX(FX_Input,$Q1671,$AB1673)),-0.03,INDEX(FX_Input,#REF!,AD1673))</f>
        <v>-0.03</v>
      </c>
      <c r="M1673" cm="1">
        <f t="array" ref="M1673">IF(ISBLANK(INDEX(FX_Input,$Q1671,$AB1673)),-0.03,INDEX(FX_Input,#REF!,#REF!))</f>
        <v>-0.03</v>
      </c>
      <c r="N1673" cm="1">
        <f t="array" ref="N1673">IF(ISBLANK(INDEX(FX_Input,$Q1671,$AB1673)),-0.03,INDEX(FX_Input,AC1671,#REF!))</f>
        <v>-0.03</v>
      </c>
      <c r="O1673" cm="1">
        <f t="array" ref="O1673">IF(ISBLANK(INDEX(FX_Input,$Q1671,$AB1673)),-0.03,INDEX(FX_Input,AD1671,#REF!))</f>
        <v>-0.03</v>
      </c>
      <c r="AB1673">
        <v>16</v>
      </c>
    </row>
    <row r="1674" spans="1:32" x14ac:dyDescent="0.4">
      <c r="B1674" t="str">
        <f t="shared" ref="B1674:B1675" si="6162">B1673</f>
        <v>Portland</v>
      </c>
      <c r="C1674" s="66" t="s">
        <v>567</v>
      </c>
      <c r="D1674" t="str" cm="1">
        <f t="array" ref="D1674">INDEX(FX_Multi,$AD1674,D$3)</f>
        <v>Jet kerosene</v>
      </c>
      <c r="E1674" t="str" cm="1">
        <f t="array" ref="E1674">INDEX(FX_Multi,$AD1674,E$3)</f>
        <v>Jet kerosene</v>
      </c>
      <c r="F1674" t="str" cm="1">
        <f t="array" ref="F1674">INDEX(FX_Multi,$AD1674,F$3)</f>
        <v>Jet kerosene</v>
      </c>
      <c r="G1674" t="str" cm="1">
        <f t="array" ref="G1674">INDEX(FX_Multi,$AD1674,G$3)</f>
        <v>Jet kerosene</v>
      </c>
      <c r="H1674" t="str" cm="1">
        <f t="array" ref="H1674">INDEX(FX_Multi,$AD1674,H$3)</f>
        <v>Jet kerosene</v>
      </c>
      <c r="I1674" t="str" cm="1">
        <f t="array" ref="I1674">INDEX(FX_Multi,$AD1674,I$3)</f>
        <v>Jet kerosene</v>
      </c>
      <c r="J1674" t="str" cm="1">
        <f t="array" ref="J1674">INDEX(FX_Multi,$AD1674,J$3)</f>
        <v>Jet kerosene</v>
      </c>
      <c r="K1674" t="str" cm="1">
        <f t="array" ref="K1674">INDEX(FX_Multi,$AD1674,K$3)</f>
        <v>Jet kerosene</v>
      </c>
      <c r="L1674" t="str" cm="1">
        <f t="array" ref="L1674">INDEX(FX_Multi,$AD1674,L$3)</f>
        <v>Jet kerosene</v>
      </c>
      <c r="M1674" t="str" cm="1">
        <f t="array" ref="M1674">INDEX(FX_Multi,$AD1674,M$3)</f>
        <v>Jet kerosene</v>
      </c>
      <c r="N1674" t="str" cm="1">
        <f t="array" ref="N1674">INDEX(FX_Multi,$AD1674,N$3)</f>
        <v>Jet kerosene</v>
      </c>
      <c r="O1674" t="str" cm="1">
        <f t="array" ref="O1674">INDEX(FX_Multi,$AD1674,O$3)</f>
        <v>Jet kerosene</v>
      </c>
      <c r="AC1674">
        <v>1</v>
      </c>
      <c r="AD1674">
        <f>AD1671</f>
        <v>687</v>
      </c>
      <c r="AE1674">
        <v>1</v>
      </c>
      <c r="AF1674">
        <f>AF1671</f>
        <v>687</v>
      </c>
    </row>
    <row r="1675" spans="1:32" x14ac:dyDescent="0.4">
      <c r="B1675" t="str">
        <f t="shared" si="6162"/>
        <v>Portland</v>
      </c>
      <c r="C1675" s="66" t="s">
        <v>566</v>
      </c>
      <c r="D1675" t="str" cm="1">
        <f t="array" ref="D1675">INDEX(FX_Multi,$AD1675,D$3)</f>
        <v>Select Pet Stock</v>
      </c>
      <c r="E1675" t="str" cm="1">
        <f t="array" ref="E1675">INDEX(FX_Multi,$AD1675,E$3)</f>
        <v>Select Pet Stock</v>
      </c>
      <c r="F1675" t="str" cm="1">
        <f t="array" ref="F1675">INDEX(FX_Multi,$AD1675,F$3)</f>
        <v>Select Pet Stock</v>
      </c>
      <c r="G1675" t="str" cm="1">
        <f t="array" ref="G1675">INDEX(FX_Multi,$AD1675,G$3)</f>
        <v>Select Pet Stock</v>
      </c>
      <c r="H1675" t="str" cm="1">
        <f t="array" ref="H1675">INDEX(FX_Multi,$AD1675,H$3)</f>
        <v>Select Pet Stock</v>
      </c>
      <c r="I1675" t="str" cm="1">
        <f t="array" ref="I1675">INDEX(FX_Multi,$AD1675,I$3)</f>
        <v>Select Pet Stock</v>
      </c>
      <c r="J1675" t="str" cm="1">
        <f t="array" ref="J1675">INDEX(FX_Multi,$AD1675,J$3)</f>
        <v>Select Pet Stock</v>
      </c>
      <c r="K1675" t="str" cm="1">
        <f t="array" ref="K1675">INDEX(FX_Multi,$AD1675,K$3)</f>
        <v>Select Pet Stock</v>
      </c>
      <c r="L1675" t="str" cm="1">
        <f t="array" ref="L1675">INDEX(FX_Multi,$AD1675,L$3)</f>
        <v>Select Pet Stock</v>
      </c>
      <c r="M1675" t="str" cm="1">
        <f t="array" ref="M1675">INDEX(FX_Multi,$AD1675,M$3)</f>
        <v>Select Pet Stock</v>
      </c>
      <c r="N1675" t="str" cm="1">
        <f t="array" ref="N1675">INDEX(FX_Multi,$AD1675,N$3)</f>
        <v>Select Pet Stock</v>
      </c>
      <c r="O1675" t="str" cm="1">
        <f t="array" ref="O1675">INDEX(FX_Multi,$AD1675,O$3)</f>
        <v>Select Pet Stock</v>
      </c>
      <c r="AC1675">
        <v>1</v>
      </c>
      <c r="AD1675">
        <f>AD1674+2</f>
        <v>689</v>
      </c>
      <c r="AE1675">
        <v>1</v>
      </c>
      <c r="AF1675">
        <f>AF1674+3</f>
        <v>690</v>
      </c>
    </row>
    <row r="1676" spans="1:32" x14ac:dyDescent="0.4">
      <c r="B1676" t="str">
        <f>B1672</f>
        <v>Portland</v>
      </c>
      <c r="C1676" s="66" t="s">
        <v>568</v>
      </c>
      <c r="D1676" cm="1">
        <f t="array" ref="D1676">INDEX(FX_Multi,$AD1676,D$3)</f>
        <v>0</v>
      </c>
      <c r="E1676" cm="1">
        <f t="array" ref="E1676">INDEX(FX_Multi,$AD1676,E$3)</f>
        <v>0</v>
      </c>
      <c r="F1676" cm="1">
        <f t="array" ref="F1676">INDEX(FX_Multi,$AD1676,F$3)</f>
        <v>0</v>
      </c>
      <c r="G1676" cm="1">
        <f t="array" ref="G1676">INDEX(FX_Multi,$AD1676,G$3)</f>
        <v>0</v>
      </c>
      <c r="H1676" cm="1">
        <f t="array" ref="H1676">INDEX(FX_Multi,$AD1676,H$3)</f>
        <v>0</v>
      </c>
      <c r="I1676" cm="1">
        <f t="array" ref="I1676">INDEX(FX_Multi,$AD1676,I$3)</f>
        <v>0</v>
      </c>
      <c r="J1676" cm="1">
        <f t="array" ref="J1676">INDEX(FX_Multi,$AD1676,J$3)</f>
        <v>0</v>
      </c>
      <c r="K1676" cm="1">
        <f t="array" ref="K1676">INDEX(FX_Multi,$AD1676,K$3)</f>
        <v>0</v>
      </c>
      <c r="L1676" cm="1">
        <f t="array" ref="L1676">INDEX(FX_Multi,$AD1676,L$3)</f>
        <v>0</v>
      </c>
      <c r="M1676" cm="1">
        <f t="array" ref="M1676">INDEX(FX_Multi,$AD1676,M$3)</f>
        <v>0</v>
      </c>
      <c r="N1676" cm="1">
        <f t="array" ref="N1676">INDEX(FX_Multi,$AD1676,N$3)</f>
        <v>0</v>
      </c>
      <c r="O1676" cm="1">
        <f t="array" ref="O1676">INDEX(FX_Multi,$AD1676,O$3)</f>
        <v>0</v>
      </c>
      <c r="AC1676">
        <v>1</v>
      </c>
      <c r="AD1676">
        <f>AD1675-1</f>
        <v>688</v>
      </c>
      <c r="AE1676">
        <v>1</v>
      </c>
      <c r="AF1676">
        <f>AF1674+1</f>
        <v>688</v>
      </c>
    </row>
    <row r="1677" spans="1:32" x14ac:dyDescent="0.4">
      <c r="B1677" t="str">
        <f t="shared" ref="B1677:B1681" si="6163">B1676</f>
        <v>Portland</v>
      </c>
      <c r="C1677" s="66" t="s">
        <v>569</v>
      </c>
      <c r="D1677" cm="1">
        <f t="array" ref="D1677">INDEX(FX_Multi,$AD1677,D$3)</f>
        <v>0</v>
      </c>
      <c r="E1677" cm="1">
        <f t="array" ref="E1677">INDEX(FX_Multi,$AD1677,E$3)</f>
        <v>0</v>
      </c>
      <c r="F1677" cm="1">
        <f t="array" ref="F1677">INDEX(FX_Multi,$AD1677,F$3)</f>
        <v>0</v>
      </c>
      <c r="G1677" cm="1">
        <f t="array" ref="G1677">INDEX(FX_Multi,$AD1677,G$3)</f>
        <v>0</v>
      </c>
      <c r="H1677" cm="1">
        <f t="array" ref="H1677">INDEX(FX_Multi,$AD1677,H$3)</f>
        <v>0</v>
      </c>
      <c r="I1677" cm="1">
        <f t="array" ref="I1677">INDEX(FX_Multi,$AD1677,I$3)</f>
        <v>0</v>
      </c>
      <c r="J1677" cm="1">
        <f t="array" ref="J1677">INDEX(FX_Multi,$AD1677,J$3)</f>
        <v>0</v>
      </c>
      <c r="K1677" cm="1">
        <f t="array" ref="K1677">INDEX(FX_Multi,$AD1677,K$3)</f>
        <v>0</v>
      </c>
      <c r="L1677" cm="1">
        <f t="array" ref="L1677">INDEX(FX_Multi,$AD1677,L$3)</f>
        <v>0</v>
      </c>
      <c r="M1677" cm="1">
        <f t="array" ref="M1677">INDEX(FX_Multi,$AD1677,M$3)</f>
        <v>0</v>
      </c>
      <c r="N1677" cm="1">
        <f t="array" ref="N1677">INDEX(FX_Multi,$AD1677,N$3)</f>
        <v>0</v>
      </c>
      <c r="O1677" cm="1">
        <f t="array" ref="O1677">INDEX(FX_Multi,$AD1677,O$3)</f>
        <v>0</v>
      </c>
      <c r="AC1677">
        <v>1</v>
      </c>
      <c r="AD1677">
        <f>AD1676+2</f>
        <v>690</v>
      </c>
      <c r="AE1677">
        <v>1</v>
      </c>
      <c r="AF1677">
        <f>AF1675</f>
        <v>690</v>
      </c>
    </row>
    <row r="1678" spans="1:32" ht="17.149999999999999" x14ac:dyDescent="0.55000000000000004">
      <c r="B1678" t="str">
        <f t="shared" si="6163"/>
        <v>Portland</v>
      </c>
      <c r="C1678" t="s">
        <v>570</v>
      </c>
      <c r="D1678" cm="1">
        <f t="array" ref="D1678">INDEX(FX_Multi,$AD1678,D$3)</f>
        <v>1</v>
      </c>
      <c r="E1678" cm="1">
        <f t="array" ref="E1678">INDEX(FX_Multi,$AD1678,E$3)</f>
        <v>1</v>
      </c>
      <c r="F1678" cm="1">
        <f t="array" ref="F1678">INDEX(FX_Multi,$AD1678,F$3)</f>
        <v>1</v>
      </c>
      <c r="G1678" cm="1">
        <f t="array" ref="G1678">INDEX(FX_Multi,$AD1678,G$3)</f>
        <v>1</v>
      </c>
      <c r="H1678" cm="1">
        <f t="array" ref="H1678">INDEX(FX_Multi,$AD1678,H$3)</f>
        <v>1</v>
      </c>
      <c r="I1678" cm="1">
        <f t="array" ref="I1678">INDEX(FX_Multi,$AD1678,I$3)</f>
        <v>1</v>
      </c>
      <c r="J1678" cm="1">
        <f t="array" ref="J1678">INDEX(FX_Multi,$AD1678,J$3)</f>
        <v>1</v>
      </c>
      <c r="K1678" cm="1">
        <f t="array" ref="K1678">INDEX(FX_Multi,$AD1678,K$3)</f>
        <v>1</v>
      </c>
      <c r="L1678" cm="1">
        <f t="array" ref="L1678">INDEX(FX_Multi,$AD1678,L$3)</f>
        <v>1</v>
      </c>
      <c r="M1678" cm="1">
        <f t="array" ref="M1678">INDEX(FX_Multi,$AD1678,M$3)</f>
        <v>1</v>
      </c>
      <c r="N1678" cm="1">
        <f t="array" ref="N1678">INDEX(FX_Multi,$AD1678,N$3)</f>
        <v>1</v>
      </c>
      <c r="O1678" cm="1">
        <f t="array" ref="O1678">INDEX(FX_Multi,$AD1678,O$3)</f>
        <v>1</v>
      </c>
      <c r="AC1678">
        <v>1</v>
      </c>
      <c r="AD1678">
        <f>AD1677+6</f>
        <v>696</v>
      </c>
      <c r="AE1678">
        <v>1</v>
      </c>
      <c r="AF1678">
        <f>AF1674+9</f>
        <v>696</v>
      </c>
    </row>
    <row r="1679" spans="1:32" ht="17.149999999999999" x14ac:dyDescent="0.55000000000000004">
      <c r="B1679" t="str">
        <f t="shared" si="6163"/>
        <v>Portland</v>
      </c>
      <c r="C1679" t="s">
        <v>571</v>
      </c>
      <c r="D1679" cm="1">
        <f t="array" ref="D1679">INDEX(FX_Multi,$AD1679,D$3)</f>
        <v>162</v>
      </c>
      <c r="E1679" cm="1">
        <f t="array" ref="E1679">INDEX(FX_Multi,$AD1679,E$3)</f>
        <v>162</v>
      </c>
      <c r="F1679" cm="1">
        <f t="array" ref="F1679">INDEX(FX_Multi,$AD1679,F$3)</f>
        <v>162</v>
      </c>
      <c r="G1679" cm="1">
        <f t="array" ref="G1679">INDEX(FX_Multi,$AD1679,G$3)</f>
        <v>162</v>
      </c>
      <c r="H1679" cm="1">
        <f t="array" ref="H1679">INDEX(FX_Multi,$AD1679,H$3)</f>
        <v>162</v>
      </c>
      <c r="I1679" cm="1">
        <f t="array" ref="I1679">INDEX(FX_Multi,$AD1679,I$3)</f>
        <v>162</v>
      </c>
      <c r="J1679" cm="1">
        <f t="array" ref="J1679">INDEX(FX_Multi,$AD1679,J$3)</f>
        <v>162</v>
      </c>
      <c r="K1679" cm="1">
        <f t="array" ref="K1679">INDEX(FX_Multi,$AD1679,K$3)</f>
        <v>162</v>
      </c>
      <c r="L1679" cm="1">
        <f t="array" ref="L1679">INDEX(FX_Multi,$AD1679,L$3)</f>
        <v>162</v>
      </c>
      <c r="M1679" cm="1">
        <f t="array" ref="M1679">INDEX(FX_Multi,$AD1679,M$3)</f>
        <v>162</v>
      </c>
      <c r="N1679" cm="1">
        <f t="array" ref="N1679">INDEX(FX_Multi,$AD1679,N$3)</f>
        <v>162</v>
      </c>
      <c r="O1679" cm="1">
        <f t="array" ref="O1679">INDEX(FX_Multi,$AD1679,O$3)</f>
        <v>162</v>
      </c>
      <c r="AC1679">
        <v>1</v>
      </c>
      <c r="AD1679">
        <f>AD1678-3</f>
        <v>693</v>
      </c>
      <c r="AE1679">
        <v>1</v>
      </c>
      <c r="AF1679">
        <f>AF1674+6</f>
        <v>693</v>
      </c>
    </row>
    <row r="1680" spans="1:32" ht="17.149999999999999" x14ac:dyDescent="0.55000000000000004">
      <c r="B1680" t="str">
        <f t="shared" si="6163"/>
        <v>Portland</v>
      </c>
      <c r="C1680" t="s">
        <v>572</v>
      </c>
      <c r="D1680" cm="1">
        <f t="array" ref="D1680">INDEX(FX_Multi,$AD1680,D$3)</f>
        <v>0</v>
      </c>
      <c r="E1680" cm="1">
        <f t="array" ref="E1680">INDEX(FX_Multi,$AD1680,E$3)</f>
        <v>0</v>
      </c>
      <c r="F1680" cm="1">
        <f t="array" ref="F1680">INDEX(FX_Multi,$AD1680,F$3)</f>
        <v>0</v>
      </c>
      <c r="G1680" cm="1">
        <f t="array" ref="G1680">INDEX(FX_Multi,$AD1680,G$3)</f>
        <v>0</v>
      </c>
      <c r="H1680" cm="1">
        <f t="array" ref="H1680">INDEX(FX_Multi,$AD1680,H$3)</f>
        <v>0</v>
      </c>
      <c r="I1680" cm="1">
        <f t="array" ref="I1680">INDEX(FX_Multi,$AD1680,I$3)</f>
        <v>0</v>
      </c>
      <c r="J1680" cm="1">
        <f t="array" ref="J1680">INDEX(FX_Multi,$AD1680,J$3)</f>
        <v>0</v>
      </c>
      <c r="K1680" cm="1">
        <f t="array" ref="K1680">INDEX(FX_Multi,$AD1680,K$3)</f>
        <v>0</v>
      </c>
      <c r="L1680" cm="1">
        <f t="array" ref="L1680">INDEX(FX_Multi,$AD1680,L$3)</f>
        <v>0</v>
      </c>
      <c r="M1680" cm="1">
        <f t="array" ref="M1680">INDEX(FX_Multi,$AD1680,M$3)</f>
        <v>0</v>
      </c>
      <c r="N1680" cm="1">
        <f t="array" ref="N1680">INDEX(FX_Multi,$AD1680,N$3)</f>
        <v>0</v>
      </c>
      <c r="O1680" cm="1">
        <f t="array" ref="O1680">INDEX(FX_Multi,$AD1680,O$3)</f>
        <v>0</v>
      </c>
      <c r="AC1680">
        <v>1</v>
      </c>
      <c r="AD1680">
        <f>AD1679+4</f>
        <v>697</v>
      </c>
      <c r="AE1680">
        <v>1</v>
      </c>
      <c r="AF1680">
        <f>AF1674+10</f>
        <v>697</v>
      </c>
    </row>
    <row r="1681" spans="2:32" ht="17.149999999999999" x14ac:dyDescent="0.55000000000000004">
      <c r="B1681" t="str">
        <f t="shared" si="6163"/>
        <v>Portland</v>
      </c>
      <c r="C1681" t="s">
        <v>573</v>
      </c>
      <c r="D1681" cm="1">
        <f t="array" ref="D1681">INDEX(FX_Multi,$AD1681,D$3)</f>
        <v>0</v>
      </c>
      <c r="E1681" cm="1">
        <f t="array" ref="E1681">INDEX(FX_Multi,$AD1681,E$3)</f>
        <v>0</v>
      </c>
      <c r="F1681" cm="1">
        <f t="array" ref="F1681">INDEX(FX_Multi,$AD1681,F$3)</f>
        <v>0</v>
      </c>
      <c r="G1681" cm="1">
        <f t="array" ref="G1681">INDEX(FX_Multi,$AD1681,G$3)</f>
        <v>0</v>
      </c>
      <c r="H1681" cm="1">
        <f t="array" ref="H1681">INDEX(FX_Multi,$AD1681,H$3)</f>
        <v>0</v>
      </c>
      <c r="I1681" cm="1">
        <f t="array" ref="I1681">INDEX(FX_Multi,$AD1681,I$3)</f>
        <v>0</v>
      </c>
      <c r="J1681" cm="1">
        <f t="array" ref="J1681">INDEX(FX_Multi,$AD1681,J$3)</f>
        <v>0</v>
      </c>
      <c r="K1681" cm="1">
        <f t="array" ref="K1681">INDEX(FX_Multi,$AD1681,K$3)</f>
        <v>0</v>
      </c>
      <c r="L1681" cm="1">
        <f t="array" ref="L1681">INDEX(FX_Multi,$AD1681,L$3)</f>
        <v>0</v>
      </c>
      <c r="M1681" cm="1">
        <f t="array" ref="M1681">INDEX(FX_Multi,$AD1681,M$3)</f>
        <v>0</v>
      </c>
      <c r="N1681" cm="1">
        <f t="array" ref="N1681">INDEX(FX_Multi,$AD1681,N$3)</f>
        <v>0</v>
      </c>
      <c r="O1681" cm="1">
        <f t="array" ref="O1681">INDEX(FX_Multi,$AD1681,O$3)</f>
        <v>0</v>
      </c>
      <c r="AC1681">
        <v>1</v>
      </c>
      <c r="AD1681">
        <f>AD1680-3</f>
        <v>694</v>
      </c>
      <c r="AE1681">
        <v>1</v>
      </c>
      <c r="AF1681">
        <f>AF1674+7</f>
        <v>694</v>
      </c>
    </row>
    <row r="1682" spans="2:32" ht="17.149999999999999" x14ac:dyDescent="0.55000000000000004">
      <c r="B1682" t="str">
        <f>B1677</f>
        <v>Portland</v>
      </c>
      <c r="C1682" t="s">
        <v>526</v>
      </c>
      <c r="D1682" cm="1">
        <f t="array" ref="D1682">INDEX(FX_Temps,$AF1682,D$3)</f>
        <v>42.403099999999938</v>
      </c>
      <c r="E1682" cm="1">
        <f t="array" ref="E1682">INDEX(FX_Temps,$AF1682,E$3)</f>
        <v>43.080000000000041</v>
      </c>
      <c r="F1682" cm="1">
        <f t="array" ref="F1682">INDEX(FX_Temps,$AF1682,F$3)</f>
        <v>44.95089999999999</v>
      </c>
      <c r="G1682" cm="1">
        <f t="array" ref="G1682">INDEX(FX_Temps,$AF1682,G$3)</f>
        <v>48.048400000000015</v>
      </c>
      <c r="H1682" cm="1">
        <f t="array" ref="H1682">INDEX(FX_Temps,$AF1682,H$3)</f>
        <v>53.102899999999977</v>
      </c>
      <c r="I1682" cm="1">
        <f t="array" ref="I1682">INDEX(FX_Temps,$AF1682,I$3)</f>
        <v>57.215900000000033</v>
      </c>
      <c r="J1682" cm="1">
        <f t="array" ref="J1682">INDEX(FX_Temps,$AF1682,J$3)</f>
        <v>60.813599999999838</v>
      </c>
      <c r="K1682" cm="1">
        <f t="array" ref="K1682">INDEX(FX_Temps,$AF1682,K$3)</f>
        <v>60.716400000000021</v>
      </c>
      <c r="L1682" cm="1">
        <f t="array" ref="L1682">INDEX(FX_Temps,$AF1682,L$3)</f>
        <v>57.353200000000015</v>
      </c>
      <c r="M1682" cm="1">
        <f t="array" ref="M1682">INDEX(FX_Temps,$AF1682,M$3)</f>
        <v>50.947600000000079</v>
      </c>
      <c r="N1682" cm="1">
        <f t="array" ref="N1682">INDEX(FX_Temps,$AF1682,N$3)</f>
        <v>45.324700000000007</v>
      </c>
      <c r="O1682" cm="1">
        <f t="array" ref="O1682">INDEX(FX_Temps,$AF1682,O$3)</f>
        <v>42.113400000000013</v>
      </c>
      <c r="AE1682">
        <v>1</v>
      </c>
      <c r="AF1682">
        <f>AF1674+10</f>
        <v>697</v>
      </c>
    </row>
    <row r="1683" spans="2:32" ht="17.149999999999999" x14ac:dyDescent="0.55000000000000004">
      <c r="B1683" t="str">
        <f t="shared" ref="B1683:B1704" si="6164">B1682</f>
        <v>Portland</v>
      </c>
      <c r="C1683" t="s">
        <v>527</v>
      </c>
      <c r="D1683" cm="1">
        <f t="array" ref="D1683">INDEX(FX_Temps,$AF1683,D$3)</f>
        <v>46.563099999999963</v>
      </c>
      <c r="E1683" cm="1">
        <f t="array" ref="E1683">INDEX(FX_Temps,$AF1683,E$3)</f>
        <v>48.360000000000014</v>
      </c>
      <c r="F1683" cm="1">
        <f t="array" ref="F1683">INDEX(FX_Temps,$AF1683,F$3)</f>
        <v>50.230900000000076</v>
      </c>
      <c r="G1683" cm="1">
        <f t="array" ref="G1683">INDEX(FX_Temps,$AF1683,G$3)</f>
        <v>53.408400000000029</v>
      </c>
      <c r="H1683" cm="1">
        <f t="array" ref="H1683">INDEX(FX_Temps,$AF1683,H$3)</f>
        <v>58.422899999999913</v>
      </c>
      <c r="I1683" cm="1">
        <f t="array" ref="I1683">INDEX(FX_Temps,$AF1683,I$3)</f>
        <v>62.215900000000033</v>
      </c>
      <c r="J1683" cm="1">
        <f t="array" ref="J1683">INDEX(FX_Temps,$AF1683,J$3)</f>
        <v>65.893599999999878</v>
      </c>
      <c r="K1683" cm="1">
        <f t="array" ref="K1683">INDEX(FX_Temps,$AF1683,K$3)</f>
        <v>66.156400000000076</v>
      </c>
      <c r="L1683" cm="1">
        <f t="array" ref="L1683">INDEX(FX_Temps,$AF1683,L$3)</f>
        <v>63.913199999999961</v>
      </c>
      <c r="M1683" cm="1">
        <f t="array" ref="M1683">INDEX(FX_Temps,$AF1683,M$3)</f>
        <v>56.827600000000075</v>
      </c>
      <c r="N1683" cm="1">
        <f t="array" ref="N1683">INDEX(FX_Temps,$AF1683,N$3)</f>
        <v>50.204700000000003</v>
      </c>
      <c r="O1683" cm="1">
        <f t="array" ref="O1683">INDEX(FX_Temps,$AF1683,O$3)</f>
        <v>46.113400000000013</v>
      </c>
      <c r="AE1683">
        <f>AE1682</f>
        <v>1</v>
      </c>
      <c r="AF1683">
        <f>AF1674+11</f>
        <v>698</v>
      </c>
    </row>
    <row r="1684" spans="2:32" ht="17.149999999999999" x14ac:dyDescent="0.55000000000000004">
      <c r="B1684" t="str">
        <f t="shared" si="6164"/>
        <v>Portland</v>
      </c>
      <c r="C1684" t="s">
        <v>552</v>
      </c>
      <c r="D1684" cm="1">
        <f t="array" ref="D1684">INDEX(FX_Temps,$AF1684,D$3)</f>
        <v>44.748924999999986</v>
      </c>
      <c r="E1684" cm="1">
        <f t="array" ref="E1684">INDEX(FX_Temps,$AF1684,E$3)</f>
        <v>46.185000000000059</v>
      </c>
      <c r="F1684" cm="1">
        <f t="array" ref="F1684">INDEX(FX_Temps,$AF1684,F$3)</f>
        <v>48.270575000000008</v>
      </c>
      <c r="G1684" cm="1">
        <f t="array" ref="G1684">INDEX(FX_Temps,$AF1684,G$3)</f>
        <v>51.698699999999917</v>
      </c>
      <c r="H1684" cm="1">
        <f t="array" ref="H1684">INDEX(FX_Temps,$AF1684,H$3)</f>
        <v>56.954074999999875</v>
      </c>
      <c r="I1684" cm="1">
        <f t="array" ref="I1684">INDEX(FX_Temps,$AF1684,I$3)</f>
        <v>60.976825000000076</v>
      </c>
      <c r="J1684" cm="1">
        <f t="array" ref="J1684">INDEX(FX_Temps,$AF1684,J$3)</f>
        <v>64.677299999999832</v>
      </c>
      <c r="K1684" cm="1">
        <f t="array" ref="K1684">INDEX(FX_Temps,$AF1684,K$3)</f>
        <v>64.592699999999923</v>
      </c>
      <c r="L1684" cm="1">
        <f t="array" ref="L1684">INDEX(FX_Temps,$AF1684,L$3)</f>
        <v>61.560100000000034</v>
      </c>
      <c r="M1684" cm="1">
        <f t="array" ref="M1684">INDEX(FX_Temps,$AF1684,M$3)</f>
        <v>54.451800000000048</v>
      </c>
      <c r="N1684" cm="1">
        <f t="array" ref="N1684">INDEX(FX_Temps,$AF1684,N$3)</f>
        <v>48.067724999999996</v>
      </c>
      <c r="O1684" cm="1">
        <f t="array" ref="O1684">INDEX(FX_Temps,$AF1684,O$3)</f>
        <v>44.347450000000038</v>
      </c>
      <c r="AE1684">
        <f>AE1683</f>
        <v>1</v>
      </c>
      <c r="AF1684">
        <f>AF1674+13</f>
        <v>700</v>
      </c>
    </row>
    <row r="1685" spans="2:32" ht="17.149999999999999" x14ac:dyDescent="0.55000000000000004">
      <c r="B1685" t="str">
        <f t="shared" si="6164"/>
        <v>Portland</v>
      </c>
      <c r="C1685" t="s">
        <v>574</v>
      </c>
      <c r="D1685" cm="1">
        <f t="array" ref="D1685">IFERROR(IF(D1675="Chemical",(10^(INDEX(Antoines,MATCH(D1674,Antoine_Name,0),2)-INDEX(Antoines,MATCH(D1674,Antoine_Name,0),3)/(INDEX(Antoines,MATCH(D1674,Antoine_Name,0),4)+(D1682-32)*5/9)))*14.7/760,IF(D1675="Crude Oil",EXP((2799/(D1682+459.6)-2.227)*LOG10(INDEX(FX_Input,Q$5,D$3*$Z$5+$AA$5))-(7261/(D1682+459.6))+12.82),IF(D1675="Refined Petroleum Stock",EXP((0.7553-(413/(D1682+459.6)))*(INDEX(FX_Input,Q$5,D$3*$Z$5+$AA$5-1)^0.5)*LOG10(INDEX(FX_Input,Q$5,D$3*$Z$5+$AA$5))-(1.854-(1042/(D1682+459.6)))*(INDEX(FX_Input,Q$5,D$3*$Z$5+$AA$5-1)^0.5)+((2416/(D1682+459.6)-2.013)*LOG10(INDEX(FX_Input,Q$5,D$3*$Z$5+$AA$5)))-(8742/(D1682+459.6))+15.64),EXP(INDEX(Antoines,MATCH(D1674,Antoine_Name,0),2)-INDEX(Antoines,MATCH(D1674,Antoine_Name,0),3)/(D1682+459.6))))),0)</f>
        <v>4.4953541371678231E-3</v>
      </c>
      <c r="E1685" cm="1">
        <f t="array" ref="E1685">IFERROR(IF(E1675="Chemical",(10^(INDEX(Antoines,MATCH(E1674,Antoine_Name,0),2)-INDEX(Antoines,MATCH(E1674,Antoine_Name,0),3)/(INDEX(Antoines,MATCH(E1674,Antoine_Name,0),4)+(E1682-32)*5/9)))*14.7/760,IF(E1675="Crude Oil",EXP((2799/(E1682+459.6)-2.227)*LOG10(INDEX(FX_Input,R$5,E$3*$Z$5+$AA$5))-(7261/(E1682+459.6))+12.82),IF(E1675="Refined Petroleum Stock",EXP((0.7553-(413/(E1682+459.6)))*(INDEX(FX_Input,R$5,E$3*$Z$5+$AA$5-1)^0.5)*LOG10(INDEX(FX_Input,R$5,E$3*$Z$5+$AA$5))-(1.854-(1042/(E1682+459.6)))*(INDEX(FX_Input,R$5,E$3*$Z$5+$AA$5-1)^0.5)+((2416/(E1682+459.6)-2.013)*LOG10(INDEX(FX_Input,R$5,E$3*$Z$5+$AA$5)))-(8742/(E1682+459.6))+15.64),EXP(INDEX(Antoines,MATCH(E1674,Antoine_Name,0),2)-INDEX(Antoines,MATCH(E1674,Antoine_Name,0),3)/(E1682+459.6))))),0)</f>
        <v>4.6043729465544726E-3</v>
      </c>
      <c r="F1685" cm="1">
        <f t="array" ref="F1685">IFERROR(IF(F1675="Chemical",(10^(INDEX(Antoines,MATCH(F1674,Antoine_Name,0),2)-INDEX(Antoines,MATCH(F1674,Antoine_Name,0),3)/(INDEX(Antoines,MATCH(F1674,Antoine_Name,0),4)+(F1682-32)*5/9)))*14.7/760,IF(F1675="Crude Oil",EXP((2799/(F1682+459.6)-2.227)*LOG10(INDEX(FX_Input,S$5,F$3*$Z$5+$AA$5))-(7261/(F1682+459.6))+12.82),IF(F1675="Refined Petroleum Stock",EXP((0.7553-(413/(F1682+459.6)))*(INDEX(FX_Input,S$5,F$3*$Z$5+$AA$5-1)^0.5)*LOG10(INDEX(FX_Input,S$5,F$3*$Z$5+$AA$5))-(1.854-(1042/(F1682+459.6)))*(INDEX(FX_Input,S$5,F$3*$Z$5+$AA$5-1)^0.5)+((2416/(F1682+459.6)-2.013)*LOG10(INDEX(FX_Input,S$5,F$3*$Z$5+$AA$5)))-(8742/(F1682+459.6))+15.64),EXP(INDEX(Antoines,MATCH(F1674,Antoine_Name,0),2)-INDEX(Antoines,MATCH(F1674,Antoine_Name,0),3)/(F1682+459.6))))),0)</f>
        <v>4.9179969260705328E-3</v>
      </c>
      <c r="G1685" cm="1">
        <f t="array" ref="G1685">IFERROR(IF(G1675="Chemical",(10^(INDEX(Antoines,MATCH(G1674,Antoine_Name,0),2)-INDEX(Antoines,MATCH(G1674,Antoine_Name,0),3)/(INDEX(Antoines,MATCH(G1674,Antoine_Name,0),4)+(G1682-32)*5/9)))*14.7/760,IF(G1675="Crude Oil",EXP((2799/(G1682+459.6)-2.227)*LOG10(INDEX(FX_Input,T$5,G$3*$Z$5+$AA$5))-(7261/(G1682+459.6))+12.82),IF(G1675="Refined Petroleum Stock",EXP((0.7553-(413/(G1682+459.6)))*(INDEX(FX_Input,T$5,G$3*$Z$5+$AA$5-1)^0.5)*LOG10(INDEX(FX_Input,T$5,G$3*$Z$5+$AA$5))-(1.854-(1042/(G1682+459.6)))*(INDEX(FX_Input,T$5,G$3*$Z$5+$AA$5-1)^0.5)+((2416/(G1682+459.6)-2.013)*LOG10(INDEX(FX_Input,T$5,G$3*$Z$5+$AA$5)))-(8742/(G1682+459.6))+15.64),EXP(INDEX(Antoines,MATCH(G1674,Antoine_Name,0),2)-INDEX(Antoines,MATCH(G1674,Antoine_Name,0),3)/(G1682+459.6))))),0)</f>
        <v>5.479042667267656E-3</v>
      </c>
      <c r="H1685" cm="1">
        <f t="array" ref="H1685">IFERROR(IF(H1675="Chemical",(10^(INDEX(Antoines,MATCH(H1674,Antoine_Name,0),2)-INDEX(Antoines,MATCH(H1674,Antoine_Name,0),3)/(INDEX(Antoines,MATCH(H1674,Antoine_Name,0),4)+(H1682-32)*5/9)))*14.7/760,IF(H1675="Crude Oil",EXP((2799/(H1682+459.6)-2.227)*LOG10(INDEX(FX_Input,U$5,H$3*$Z$5+$AA$5))-(7261/(H1682+459.6))+12.82),IF(H1675="Refined Petroleum Stock",EXP((0.7553-(413/(H1682+459.6)))*(INDEX(FX_Input,U$5,H$3*$Z$5+$AA$5-1)^0.5)*LOG10(INDEX(FX_Input,U$5,H$3*$Z$5+$AA$5))-(1.854-(1042/(H1682+459.6)))*(INDEX(FX_Input,U$5,H$3*$Z$5+$AA$5-1)^0.5)+((2416/(H1682+459.6)-2.013)*LOG10(INDEX(FX_Input,U$5,H$3*$Z$5+$AA$5)))-(8742/(H1682+459.6))+15.64),EXP(INDEX(Antoines,MATCH(H1674,Antoine_Name,0),2)-INDEX(Antoines,MATCH(H1674,Antoine_Name,0),3)/(H1682+459.6))))),0)</f>
        <v>6.5169685513364909E-3</v>
      </c>
      <c r="I1685" cm="1">
        <f t="array" ref="I1685">IFERROR(IF(I1675="Chemical",(10^(INDEX(Antoines,MATCH(I1674,Antoine_Name,0),2)-INDEX(Antoines,MATCH(I1674,Antoine_Name,0),3)/(INDEX(Antoines,MATCH(I1674,Antoine_Name,0),4)+(I1682-32)*5/9)))*14.7/760,IF(I1675="Crude Oil",EXP((2799/(I1682+459.6)-2.227)*LOG10(INDEX(FX_Input,V$5,I$3*$Z$5+$AA$5))-(7261/(I1682+459.6))+12.82),IF(I1675="Refined Petroleum Stock",EXP((0.7553-(413/(I1682+459.6)))*(INDEX(FX_Input,V$5,I$3*$Z$5+$AA$5-1)^0.5)*LOG10(INDEX(FX_Input,V$5,I$3*$Z$5+$AA$5))-(1.854-(1042/(I1682+459.6)))*(INDEX(FX_Input,V$5,I$3*$Z$5+$AA$5-1)^0.5)+((2416/(I1682+459.6)-2.013)*LOG10(INDEX(FX_Input,V$5,I$3*$Z$5+$AA$5)))-(8742/(I1682+459.6))+15.64),EXP(INDEX(Antoines,MATCH(I1674,Antoine_Name,0),2)-INDEX(Antoines,MATCH(I1674,Antoine_Name,0),3)/(I1682+459.6))))),0)</f>
        <v>7.486267526260572E-3</v>
      </c>
      <c r="J1685" cm="1">
        <f t="array" ref="J1685">IFERROR(IF(J1675="Chemical",(10^(INDEX(Antoines,MATCH(J1674,Antoine_Name,0),2)-INDEX(Antoines,MATCH(J1674,Antoine_Name,0),3)/(INDEX(Antoines,MATCH(J1674,Antoine_Name,0),4)+(J1682-32)*5/9)))*14.7/760,IF(J1675="Crude Oil",EXP((2799/(J1682+459.6)-2.227)*LOG10(INDEX(FX_Input,W$5,J$3*$Z$5+$AA$5))-(7261/(J1682+459.6))+12.82),IF(J1675="Refined Petroleum Stock",EXP((0.7553-(413/(J1682+459.6)))*(INDEX(FX_Input,W$5,J$3*$Z$5+$AA$5-1)^0.5)*LOG10(INDEX(FX_Input,W$5,J$3*$Z$5+$AA$5))-(1.854-(1042/(J1682+459.6)))*(INDEX(FX_Input,W$5,J$3*$Z$5+$AA$5-1)^0.5)+((2416/(J1682+459.6)-2.013)*LOG10(INDEX(FX_Input,W$5,J$3*$Z$5+$AA$5)))-(8742/(J1682+459.6))+15.64),EXP(INDEX(Antoines,MATCH(J1674,Antoine_Name,0),2)-INDEX(Antoines,MATCH(J1674,Antoine_Name,0),3)/(J1682+459.6))))),0)</f>
        <v>8.4364538110447557E-3</v>
      </c>
      <c r="K1685" cm="1">
        <f t="array" ref="K1685">IFERROR(IF(K1675="Chemical",(10^(INDEX(Antoines,MATCH(K1674,Antoine_Name,0),2)-INDEX(Antoines,MATCH(K1674,Antoine_Name,0),3)/(INDEX(Antoines,MATCH(K1674,Antoine_Name,0),4)+(K1682-32)*5/9)))*14.7/760,IF(K1675="Crude Oil",EXP((2799/(K1682+459.6)-2.227)*LOG10(INDEX(FX_Input,X$5,K$3*$Z$5+$AA$5))-(7261/(K1682+459.6))+12.82),IF(K1675="Refined Petroleum Stock",EXP((0.7553-(413/(K1682+459.6)))*(INDEX(FX_Input,X$5,K$3*$Z$5+$AA$5-1)^0.5)*LOG10(INDEX(FX_Input,X$5,K$3*$Z$5+$AA$5))-(1.854-(1042/(K1682+459.6)))*(INDEX(FX_Input,X$5,K$3*$Z$5+$AA$5-1)^0.5)+((2416/(K1682+459.6)-2.013)*LOG10(INDEX(FX_Input,X$5,K$3*$Z$5+$AA$5)))-(8742/(K1682+459.6))+15.64),EXP(INDEX(Antoines,MATCH(K1674,Antoine_Name,0),2)-INDEX(Antoines,MATCH(K1674,Antoine_Name,0),3)/(K1682+459.6))))),0)</f>
        <v>8.4094446398714287E-3</v>
      </c>
      <c r="L1685" cm="1">
        <f t="array" ref="L1685">IFERROR(IF(L1675="Chemical",(10^(INDEX(Antoines,MATCH(L1674,Antoine_Name,0),2)-INDEX(Antoines,MATCH(L1674,Antoine_Name,0),3)/(INDEX(Antoines,MATCH(L1674,Antoine_Name,0),4)+(L1682-32)*5/9)))*14.7/760,IF(L1675="Crude Oil",EXP((2799/(L1682+459.6)-2.227)*LOG10(INDEX(FX_Input,Y$5,L$3*$Z$5+$AA$5))-(7261/(L1682+459.6))+12.82),IF(L1675="Refined Petroleum Stock",EXP((0.7553-(413/(L1682+459.6)))*(INDEX(FX_Input,Y$5,L$3*$Z$5+$AA$5-1)^0.5)*LOG10(INDEX(FX_Input,Y$5,L$3*$Z$5+$AA$5))-(1.854-(1042/(L1682+459.6)))*(INDEX(FX_Input,Y$5,L$3*$Z$5+$AA$5-1)^0.5)+((2416/(L1682+459.6)-2.013)*LOG10(INDEX(FX_Input,Y$5,L$3*$Z$5+$AA$5)))-(8742/(L1682+459.6))+15.64),EXP(INDEX(Antoines,MATCH(L1674,Antoine_Name,0),2)-INDEX(Antoines,MATCH(L1674,Antoine_Name,0),3)/(L1682+459.6))))),0)</f>
        <v>7.5207138884047006E-3</v>
      </c>
      <c r="M1685" cm="1">
        <f t="array" ref="M1685">IFERROR(IF(M1675="Chemical",(10^(INDEX(Antoines,MATCH(M1674,Antoine_Name,0),2)-INDEX(Antoines,MATCH(M1674,Antoine_Name,0),3)/(INDEX(Antoines,MATCH(M1674,Antoine_Name,0),4)+(M1682-32)*5/9)))*14.7/760,IF(M1675="Crude Oil",EXP((2799/(M1682+459.6)-2.227)*LOG10(INDEX(FX_Input,Z$5,M$3*$Z$5+$AA$5))-(7261/(M1682+459.6))+12.82),IF(M1675="Refined Petroleum Stock",EXP((0.7553-(413/(M1682+459.6)))*(INDEX(FX_Input,Z$5,M$3*$Z$5+$AA$5-1)^0.5)*LOG10(INDEX(FX_Input,Z$5,M$3*$Z$5+$AA$5))-(1.854-(1042/(M1682+459.6)))*(INDEX(FX_Input,Z$5,M$3*$Z$5+$AA$5-1)^0.5)+((2416/(M1682+459.6)-2.013)*LOG10(INDEX(FX_Input,Z$5,M$3*$Z$5+$AA$5)))-(8742/(M1682+459.6))+15.64),EXP(INDEX(Antoines,MATCH(M1674,Antoine_Name,0),2)-INDEX(Antoines,MATCH(M1674,Antoine_Name,0),3)/(M1682+459.6))))),0)</f>
        <v>6.0548274008136857E-3</v>
      </c>
      <c r="N1685" cm="1">
        <f t="array" ref="N1685">IFERROR(IF(N1675="Chemical",(10^(INDEX(Antoines,MATCH(N1674,Antoine_Name,0),2)-INDEX(Antoines,MATCH(N1674,Antoine_Name,0),3)/(INDEX(Antoines,MATCH(N1674,Antoine_Name,0),4)+(N1682-32)*5/9)))*14.7/760,IF(N1675="Crude Oil",EXP((2799/(N1682+459.6)-2.227)*LOG10(INDEX(FX_Input,AA$5,N$3*$Z$5+$AA$5))-(7261/(N1682+459.6))+12.82),IF(N1675="Refined Petroleum Stock",EXP((0.7553-(413/(N1682+459.6)))*(INDEX(FX_Input,AA$5,N$3*$Z$5+$AA$5-1)^0.5)*LOG10(INDEX(FX_Input,AA$5,N$3*$Z$5+$AA$5))-(1.854-(1042/(N1682+459.6)))*(INDEX(FX_Input,AA$5,N$3*$Z$5+$AA$5-1)^0.5)+((2416/(N1682+459.6)-2.013)*LOG10(INDEX(FX_Input,AA$5,N$3*$Z$5+$AA$5)))-(8742/(N1682+459.6))+15.64),EXP(INDEX(Antoines,MATCH(N1674,Antoine_Name,0),2)-INDEX(Antoines,MATCH(N1674,Antoine_Name,0),3)/(N1682+459.6))))),0)</f>
        <v>4.9828816635194605E-3</v>
      </c>
      <c r="O1685" cm="1">
        <f t="array" ref="O1685">IFERROR(IF(O1675="Chemical",(10^(INDEX(Antoines,MATCH(O1674,Antoine_Name,0),2)-INDEX(Antoines,MATCH(O1674,Antoine_Name,0),3)/(INDEX(Antoines,MATCH(O1674,Antoine_Name,0),4)+(O1682-32)*5/9)))*14.7/760,IF(O1675="Crude Oil",EXP((2799/(O1682+459.6)-2.227)*LOG10(INDEX(FX_Input,AB$5,O$3*$Z$5+$AA$5))-(7261/(O1682+459.6))+12.82),IF(O1675="Refined Petroleum Stock",EXP((0.7553-(413/(O1682+459.6)))*(INDEX(FX_Input,AB$5,O$3*$Z$5+$AA$5-1)^0.5)*LOG10(INDEX(FX_Input,AB$5,O$3*$Z$5+$AA$5))-(1.854-(1042/(O1682+459.6)))*(INDEX(FX_Input,AB$5,O$3*$Z$5+$AA$5-1)^0.5)+((2416/(O1682+459.6)-2.013)*LOG10(INDEX(FX_Input,AB$5,O$3*$Z$5+$AA$5)))-(8742/(O1682+459.6))+15.64),EXP(INDEX(Antoines,MATCH(O1674,Antoine_Name,0),2)-INDEX(Antoines,MATCH(O1674,Antoine_Name,0),3)/(O1682+459.6))))),0)</f>
        <v>4.4494006627366521E-3</v>
      </c>
    </row>
    <row r="1686" spans="2:32" ht="17.149999999999999" x14ac:dyDescent="0.55000000000000004">
      <c r="B1686" t="str">
        <f t="shared" si="6164"/>
        <v>Portland</v>
      </c>
      <c r="C1686" t="s">
        <v>576</v>
      </c>
      <c r="D1686">
        <f>D1678*D1685</f>
        <v>4.4953541371678231E-3</v>
      </c>
      <c r="E1686">
        <f t="shared" ref="E1686" si="6165">E1678*E1685</f>
        <v>4.6043729465544726E-3</v>
      </c>
      <c r="F1686">
        <f t="shared" ref="F1686" si="6166">F1678*F1685</f>
        <v>4.9179969260705328E-3</v>
      </c>
      <c r="G1686">
        <f t="shared" ref="G1686" si="6167">G1678*G1685</f>
        <v>5.479042667267656E-3</v>
      </c>
      <c r="H1686">
        <f t="shared" ref="H1686" si="6168">H1678*H1685</f>
        <v>6.5169685513364909E-3</v>
      </c>
      <c r="I1686">
        <f t="shared" ref="I1686" si="6169">I1678*I1685</f>
        <v>7.486267526260572E-3</v>
      </c>
      <c r="J1686">
        <f t="shared" ref="J1686" si="6170">J1678*J1685</f>
        <v>8.4364538110447557E-3</v>
      </c>
      <c r="K1686">
        <f t="shared" ref="K1686" si="6171">K1678*K1685</f>
        <v>8.4094446398714287E-3</v>
      </c>
      <c r="L1686">
        <f t="shared" ref="L1686" si="6172">L1678*L1685</f>
        <v>7.5207138884047006E-3</v>
      </c>
      <c r="M1686">
        <f t="shared" ref="M1686" si="6173">M1678*M1685</f>
        <v>6.0548274008136857E-3</v>
      </c>
      <c r="N1686">
        <f t="shared" ref="N1686" si="6174">N1678*N1685</f>
        <v>4.9828816635194605E-3</v>
      </c>
      <c r="O1686">
        <f t="shared" ref="O1686" si="6175">O1678*O1685</f>
        <v>4.4494006627366521E-3</v>
      </c>
    </row>
    <row r="1687" spans="2:32" ht="17.149999999999999" x14ac:dyDescent="0.55000000000000004">
      <c r="B1687" t="str">
        <f t="shared" si="6164"/>
        <v>Portland</v>
      </c>
      <c r="C1687" t="s">
        <v>575</v>
      </c>
      <c r="D1687" cm="1">
        <f t="array" ref="D1687">IFERROR(IF(D1677="Chemical",(10^(INDEX(Antoines,MATCH(D1676,Antoine_Name,0),2)-INDEX(Antoines,MATCH(D1676,Antoine_Name,0),3)/(INDEX(Antoines,MATCH(D1676,Antoine_Name,0),4)+(D1682-32)*5/9)))*14.7/760,IF(D1677="Crude Oil",EXP((2799/(D1682+459.6)-2.227)*LOG10(INDEX(FX_Input,Q$5,D$3*$Z$5+$AA$5))-(7261/(D1682+459.6))+12.82),IF(D1677="Refined Petroleum Stock",EXP((0.7553-(413/(D1682+459.6)))*(INDEX(FX_Input,Q$5,D$3*$Z$5+$AA$5-1)^0.5)*LOG10(INDEX(FX_Input,Q$5,D$3*$Z$5+$AA$5))-(1.854-(1042/(D1682+459.6)))*(INDEX(FX_Input,Q$5,D$3*$Z$5+$AA$5-1)^0.5)+((2416/(D1682+459.6)-2.013)*LOG10(INDEX(FX_Input,Q$5,D$3*$Z$5+$AA$5)))-(8742/(D1682+459.6))+15.64),EXP(INDEX(Antoines,MATCH(D1676,Antoine_Name,0),2)-INDEX(Antoines,MATCH(D1676,Antoine_Name,0),3)/(D1682+459.6))))),0)</f>
        <v>0</v>
      </c>
      <c r="E1687" cm="1">
        <f t="array" ref="E1687">IFERROR(IF(E1677="Chemical",(10^(INDEX(Antoines,MATCH(E1676,Antoine_Name,0),2)-INDEX(Antoines,MATCH(E1676,Antoine_Name,0),3)/(INDEX(Antoines,MATCH(E1676,Antoine_Name,0),4)+(E1682-32)*5/9)))*14.7/760,IF(E1677="Crude Oil",EXP((2799/(E1682+459.6)-2.227)*LOG10(INDEX(FX_Input,R$5,E$3*$Z$5+$AA$5))-(7261/(E1682+459.6))+12.82),IF(E1677="Refined Petroleum Stock",EXP((0.7553-(413/(E1682+459.6)))*(INDEX(FX_Input,R$5,E$3*$Z$5+$AA$5-1)^0.5)*LOG10(INDEX(FX_Input,R$5,E$3*$Z$5+$AA$5))-(1.854-(1042/(E1682+459.6)))*(INDEX(FX_Input,R$5,E$3*$Z$5+$AA$5-1)^0.5)+((2416/(E1682+459.6)-2.013)*LOG10(INDEX(FX_Input,R$5,E$3*$Z$5+$AA$5)))-(8742/(E1682+459.6))+15.64),EXP(INDEX(Antoines,MATCH(E1676,Antoine_Name,0),2)-INDEX(Antoines,MATCH(E1676,Antoine_Name,0),3)/(E1682+459.6))))),0)</f>
        <v>0</v>
      </c>
      <c r="F1687" cm="1">
        <f t="array" ref="F1687">IFERROR(IF(F1677="Chemical",(10^(INDEX(Antoines,MATCH(F1676,Antoine_Name,0),2)-INDEX(Antoines,MATCH(F1676,Antoine_Name,0),3)/(INDEX(Antoines,MATCH(F1676,Antoine_Name,0),4)+(F1682-32)*5/9)))*14.7/760,IF(F1677="Crude Oil",EXP((2799/(F1682+459.6)-2.227)*LOG10(INDEX(FX_Input,S$5,F$3*$Z$5+$AA$5))-(7261/(F1682+459.6))+12.82),IF(F1677="Refined Petroleum Stock",EXP((0.7553-(413/(F1682+459.6)))*(INDEX(FX_Input,S$5,F$3*$Z$5+$AA$5-1)^0.5)*LOG10(INDEX(FX_Input,S$5,F$3*$Z$5+$AA$5))-(1.854-(1042/(F1682+459.6)))*(INDEX(FX_Input,S$5,F$3*$Z$5+$AA$5-1)^0.5)+((2416/(F1682+459.6)-2.013)*LOG10(INDEX(FX_Input,S$5,F$3*$Z$5+$AA$5)))-(8742/(F1682+459.6))+15.64),EXP(INDEX(Antoines,MATCH(F1676,Antoine_Name,0),2)-INDEX(Antoines,MATCH(F1676,Antoine_Name,0),3)/(F1682+459.6))))),0)</f>
        <v>0</v>
      </c>
      <c r="G1687" cm="1">
        <f t="array" ref="G1687">IFERROR(IF(G1677="Chemical",(10^(INDEX(Antoines,MATCH(G1676,Antoine_Name,0),2)-INDEX(Antoines,MATCH(G1676,Antoine_Name,0),3)/(INDEX(Antoines,MATCH(G1676,Antoine_Name,0),4)+(G1682-32)*5/9)))*14.7/760,IF(G1677="Crude Oil",EXP((2799/(G1682+459.6)-2.227)*LOG10(INDEX(FX_Input,T$5,G$3*$Z$5+$AA$5))-(7261/(G1682+459.6))+12.82),IF(G1677="Refined Petroleum Stock",EXP((0.7553-(413/(G1682+459.6)))*(INDEX(FX_Input,T$5,G$3*$Z$5+$AA$5-1)^0.5)*LOG10(INDEX(FX_Input,T$5,G$3*$Z$5+$AA$5))-(1.854-(1042/(G1682+459.6)))*(INDEX(FX_Input,T$5,G$3*$Z$5+$AA$5-1)^0.5)+((2416/(G1682+459.6)-2.013)*LOG10(INDEX(FX_Input,T$5,G$3*$Z$5+$AA$5)))-(8742/(G1682+459.6))+15.64),EXP(INDEX(Antoines,MATCH(G1676,Antoine_Name,0),2)-INDEX(Antoines,MATCH(G1676,Antoine_Name,0),3)/(G1682+459.6))))),0)</f>
        <v>0</v>
      </c>
      <c r="H1687" cm="1">
        <f t="array" ref="H1687">IFERROR(IF(H1677="Chemical",(10^(INDEX(Antoines,MATCH(H1676,Antoine_Name,0),2)-INDEX(Antoines,MATCH(H1676,Antoine_Name,0),3)/(INDEX(Antoines,MATCH(H1676,Antoine_Name,0),4)+(H1682-32)*5/9)))*14.7/760,IF(H1677="Crude Oil",EXP((2799/(H1682+459.6)-2.227)*LOG10(INDEX(FX_Input,U$5,H$3*$Z$5+$AA$5))-(7261/(H1682+459.6))+12.82),IF(H1677="Refined Petroleum Stock",EXP((0.7553-(413/(H1682+459.6)))*(INDEX(FX_Input,U$5,H$3*$Z$5+$AA$5-1)^0.5)*LOG10(INDEX(FX_Input,U$5,H$3*$Z$5+$AA$5))-(1.854-(1042/(H1682+459.6)))*(INDEX(FX_Input,U$5,H$3*$Z$5+$AA$5-1)^0.5)+((2416/(H1682+459.6)-2.013)*LOG10(INDEX(FX_Input,U$5,H$3*$Z$5+$AA$5)))-(8742/(H1682+459.6))+15.64),EXP(INDEX(Antoines,MATCH(H1676,Antoine_Name,0),2)-INDEX(Antoines,MATCH(H1676,Antoine_Name,0),3)/(H1682+459.6))))),0)</f>
        <v>0</v>
      </c>
      <c r="I1687" cm="1">
        <f t="array" ref="I1687">IFERROR(IF(I1677="Chemical",(10^(INDEX(Antoines,MATCH(I1676,Antoine_Name,0),2)-INDEX(Antoines,MATCH(I1676,Antoine_Name,0),3)/(INDEX(Antoines,MATCH(I1676,Antoine_Name,0),4)+(I1682-32)*5/9)))*14.7/760,IF(I1677="Crude Oil",EXP((2799/(I1682+459.6)-2.227)*LOG10(INDEX(FX_Input,V$5,I$3*$Z$5+$AA$5))-(7261/(I1682+459.6))+12.82),IF(I1677="Refined Petroleum Stock",EXP((0.7553-(413/(I1682+459.6)))*(INDEX(FX_Input,V$5,I$3*$Z$5+$AA$5-1)^0.5)*LOG10(INDEX(FX_Input,V$5,I$3*$Z$5+$AA$5))-(1.854-(1042/(I1682+459.6)))*(INDEX(FX_Input,V$5,I$3*$Z$5+$AA$5-1)^0.5)+((2416/(I1682+459.6)-2.013)*LOG10(INDEX(FX_Input,V$5,I$3*$Z$5+$AA$5)))-(8742/(I1682+459.6))+15.64),EXP(INDEX(Antoines,MATCH(I1676,Antoine_Name,0),2)-INDEX(Antoines,MATCH(I1676,Antoine_Name,0),3)/(I1682+459.6))))),0)</f>
        <v>0</v>
      </c>
      <c r="J1687" cm="1">
        <f t="array" ref="J1687">IFERROR(IF(J1677="Chemical",(10^(INDEX(Antoines,MATCH(J1676,Antoine_Name,0),2)-INDEX(Antoines,MATCH(J1676,Antoine_Name,0),3)/(INDEX(Antoines,MATCH(J1676,Antoine_Name,0),4)+(J1682-32)*5/9)))*14.7/760,IF(J1677="Crude Oil",EXP((2799/(J1682+459.6)-2.227)*LOG10(INDEX(FX_Input,W$5,J$3*$Z$5+$AA$5))-(7261/(J1682+459.6))+12.82),IF(J1677="Refined Petroleum Stock",EXP((0.7553-(413/(J1682+459.6)))*(INDEX(FX_Input,W$5,J$3*$Z$5+$AA$5-1)^0.5)*LOG10(INDEX(FX_Input,W$5,J$3*$Z$5+$AA$5))-(1.854-(1042/(J1682+459.6)))*(INDEX(FX_Input,W$5,J$3*$Z$5+$AA$5-1)^0.5)+((2416/(J1682+459.6)-2.013)*LOG10(INDEX(FX_Input,W$5,J$3*$Z$5+$AA$5)))-(8742/(J1682+459.6))+15.64),EXP(INDEX(Antoines,MATCH(J1676,Antoine_Name,0),2)-INDEX(Antoines,MATCH(J1676,Antoine_Name,0),3)/(J1682+459.6))))),0)</f>
        <v>0</v>
      </c>
      <c r="K1687" cm="1">
        <f t="array" ref="K1687">IFERROR(IF(K1677="Chemical",(10^(INDEX(Antoines,MATCH(K1676,Antoine_Name,0),2)-INDEX(Antoines,MATCH(K1676,Antoine_Name,0),3)/(INDEX(Antoines,MATCH(K1676,Antoine_Name,0),4)+(K1682-32)*5/9)))*14.7/760,IF(K1677="Crude Oil",EXP((2799/(K1682+459.6)-2.227)*LOG10(INDEX(FX_Input,X$5,K$3*$Z$5+$AA$5))-(7261/(K1682+459.6))+12.82),IF(K1677="Refined Petroleum Stock",EXP((0.7553-(413/(K1682+459.6)))*(INDEX(FX_Input,X$5,K$3*$Z$5+$AA$5-1)^0.5)*LOG10(INDEX(FX_Input,X$5,K$3*$Z$5+$AA$5))-(1.854-(1042/(K1682+459.6)))*(INDEX(FX_Input,X$5,K$3*$Z$5+$AA$5-1)^0.5)+((2416/(K1682+459.6)-2.013)*LOG10(INDEX(FX_Input,X$5,K$3*$Z$5+$AA$5)))-(8742/(K1682+459.6))+15.64),EXP(INDEX(Antoines,MATCH(K1676,Antoine_Name,0),2)-INDEX(Antoines,MATCH(K1676,Antoine_Name,0),3)/(K1682+459.6))))),0)</f>
        <v>0</v>
      </c>
      <c r="L1687" cm="1">
        <f t="array" ref="L1687">IFERROR(IF(L1677="Chemical",(10^(INDEX(Antoines,MATCH(L1676,Antoine_Name,0),2)-INDEX(Antoines,MATCH(L1676,Antoine_Name,0),3)/(INDEX(Antoines,MATCH(L1676,Antoine_Name,0),4)+(L1682-32)*5/9)))*14.7/760,IF(L1677="Crude Oil",EXP((2799/(L1682+459.6)-2.227)*LOG10(INDEX(FX_Input,Y$5,L$3*$Z$5+$AA$5))-(7261/(L1682+459.6))+12.82),IF(L1677="Refined Petroleum Stock",EXP((0.7553-(413/(L1682+459.6)))*(INDEX(FX_Input,Y$5,L$3*$Z$5+$AA$5-1)^0.5)*LOG10(INDEX(FX_Input,Y$5,L$3*$Z$5+$AA$5))-(1.854-(1042/(L1682+459.6)))*(INDEX(FX_Input,Y$5,L$3*$Z$5+$AA$5-1)^0.5)+((2416/(L1682+459.6)-2.013)*LOG10(INDEX(FX_Input,Y$5,L$3*$Z$5+$AA$5)))-(8742/(L1682+459.6))+15.64),EXP(INDEX(Antoines,MATCH(L1676,Antoine_Name,0),2)-INDEX(Antoines,MATCH(L1676,Antoine_Name,0),3)/(L1682+459.6))))),0)</f>
        <v>0</v>
      </c>
      <c r="M1687" cm="1">
        <f t="array" ref="M1687">IFERROR(IF(M1677="Chemical",(10^(INDEX(Antoines,MATCH(M1676,Antoine_Name,0),2)-INDEX(Antoines,MATCH(M1676,Antoine_Name,0),3)/(INDEX(Antoines,MATCH(M1676,Antoine_Name,0),4)+(M1682-32)*5/9)))*14.7/760,IF(M1677="Crude Oil",EXP((2799/(M1682+459.6)-2.227)*LOG10(INDEX(FX_Input,Z$5,M$3*$Z$5+$AA$5))-(7261/(M1682+459.6))+12.82),IF(M1677="Refined Petroleum Stock",EXP((0.7553-(413/(M1682+459.6)))*(INDEX(FX_Input,Z$5,M$3*$Z$5+$AA$5-1)^0.5)*LOG10(INDEX(FX_Input,Z$5,M$3*$Z$5+$AA$5))-(1.854-(1042/(M1682+459.6)))*(INDEX(FX_Input,Z$5,M$3*$Z$5+$AA$5-1)^0.5)+((2416/(M1682+459.6)-2.013)*LOG10(INDEX(FX_Input,Z$5,M$3*$Z$5+$AA$5)))-(8742/(M1682+459.6))+15.64),EXP(INDEX(Antoines,MATCH(M1676,Antoine_Name,0),2)-INDEX(Antoines,MATCH(M1676,Antoine_Name,0),3)/(M1682+459.6))))),0)</f>
        <v>0</v>
      </c>
      <c r="N1687" cm="1">
        <f t="array" ref="N1687">IFERROR(IF(N1677="Chemical",(10^(INDEX(Antoines,MATCH(N1676,Antoine_Name,0),2)-INDEX(Antoines,MATCH(N1676,Antoine_Name,0),3)/(INDEX(Antoines,MATCH(N1676,Antoine_Name,0),4)+(N1682-32)*5/9)))*14.7/760,IF(N1677="Crude Oil",EXP((2799/(N1682+459.6)-2.227)*LOG10(INDEX(FX_Input,AA$5,N$3*$Z$5+$AA$5))-(7261/(N1682+459.6))+12.82),IF(N1677="Refined Petroleum Stock",EXP((0.7553-(413/(N1682+459.6)))*(INDEX(FX_Input,AA$5,N$3*$Z$5+$AA$5-1)^0.5)*LOG10(INDEX(FX_Input,AA$5,N$3*$Z$5+$AA$5))-(1.854-(1042/(N1682+459.6)))*(INDEX(FX_Input,AA$5,N$3*$Z$5+$AA$5-1)^0.5)+((2416/(N1682+459.6)-2.013)*LOG10(INDEX(FX_Input,AA$5,N$3*$Z$5+$AA$5)))-(8742/(N1682+459.6))+15.64),EXP(INDEX(Antoines,MATCH(N1676,Antoine_Name,0),2)-INDEX(Antoines,MATCH(N1676,Antoine_Name,0),3)/(N1682+459.6))))),0)</f>
        <v>0</v>
      </c>
      <c r="O1687" cm="1">
        <f t="array" ref="O1687">IFERROR(IF(O1677="Chemical",(10^(INDEX(Antoines,MATCH(O1676,Antoine_Name,0),2)-INDEX(Antoines,MATCH(O1676,Antoine_Name,0),3)/(INDEX(Antoines,MATCH(O1676,Antoine_Name,0),4)+(O1682-32)*5/9)))*14.7/760,IF(O1677="Crude Oil",EXP((2799/(O1682+459.6)-2.227)*LOG10(INDEX(FX_Input,AB$5,O$3*$Z$5+$AA$5))-(7261/(O1682+459.6))+12.82),IF(O1677="Refined Petroleum Stock",EXP((0.7553-(413/(O1682+459.6)))*(INDEX(FX_Input,AB$5,O$3*$Z$5+$AA$5-1)^0.5)*LOG10(INDEX(FX_Input,AB$5,O$3*$Z$5+$AA$5))-(1.854-(1042/(O1682+459.6)))*(INDEX(FX_Input,AB$5,O$3*$Z$5+$AA$5-1)^0.5)+((2416/(O1682+459.6)-2.013)*LOG10(INDEX(FX_Input,AB$5,O$3*$Z$5+$AA$5)))-(8742/(O1682+459.6))+15.64),EXP(INDEX(Antoines,MATCH(O1676,Antoine_Name,0),2)-INDEX(Antoines,MATCH(O1676,Antoine_Name,0),3)/(O1682+459.6))))),0)</f>
        <v>0</v>
      </c>
    </row>
    <row r="1688" spans="2:32" ht="17.149999999999999" x14ac:dyDescent="0.55000000000000004">
      <c r="B1688" t="str">
        <f t="shared" si="6164"/>
        <v>Portland</v>
      </c>
      <c r="C1688" t="s">
        <v>577</v>
      </c>
      <c r="D1688">
        <f>D1687*D1680</f>
        <v>0</v>
      </c>
      <c r="E1688">
        <f t="shared" ref="E1688" si="6176">E1687*E1680</f>
        <v>0</v>
      </c>
      <c r="F1688">
        <f t="shared" ref="F1688" si="6177">F1687*F1680</f>
        <v>0</v>
      </c>
      <c r="G1688">
        <f t="shared" ref="G1688" si="6178">G1687*G1680</f>
        <v>0</v>
      </c>
      <c r="H1688">
        <f t="shared" ref="H1688" si="6179">H1687*H1680</f>
        <v>0</v>
      </c>
      <c r="I1688">
        <f t="shared" ref="I1688" si="6180">I1687*I1680</f>
        <v>0</v>
      </c>
      <c r="J1688">
        <f t="shared" ref="J1688" si="6181">J1687*J1680</f>
        <v>0</v>
      </c>
      <c r="K1688">
        <f t="shared" ref="K1688" si="6182">K1687*K1680</f>
        <v>0</v>
      </c>
      <c r="L1688">
        <f t="shared" ref="L1688" si="6183">L1687*L1680</f>
        <v>0</v>
      </c>
      <c r="M1688">
        <f t="shared" ref="M1688" si="6184">M1687*M1680</f>
        <v>0</v>
      </c>
      <c r="N1688">
        <f t="shared" ref="N1688" si="6185">N1687*N1680</f>
        <v>0</v>
      </c>
      <c r="O1688">
        <f t="shared" ref="O1688" si="6186">O1687*O1680</f>
        <v>0</v>
      </c>
    </row>
    <row r="1689" spans="2:32" ht="17.149999999999999" x14ac:dyDescent="0.55000000000000004">
      <c r="B1689" t="str">
        <f t="shared" si="6164"/>
        <v>Portland</v>
      </c>
      <c r="C1689" t="s">
        <v>578</v>
      </c>
      <c r="D1689">
        <f>D1688+D1686</f>
        <v>4.4953541371678231E-3</v>
      </c>
      <c r="E1689">
        <f t="shared" ref="E1689" si="6187">E1688+E1686</f>
        <v>4.6043729465544726E-3</v>
      </c>
      <c r="F1689">
        <f t="shared" ref="F1689" si="6188">F1688+F1686</f>
        <v>4.9179969260705328E-3</v>
      </c>
      <c r="G1689">
        <f t="shared" ref="G1689" si="6189">G1688+G1686</f>
        <v>5.479042667267656E-3</v>
      </c>
      <c r="H1689">
        <f t="shared" ref="H1689" si="6190">H1688+H1686</f>
        <v>6.5169685513364909E-3</v>
      </c>
      <c r="I1689">
        <f t="shared" ref="I1689" si="6191">I1688+I1686</f>
        <v>7.486267526260572E-3</v>
      </c>
      <c r="J1689">
        <f t="shared" ref="J1689" si="6192">J1688+J1686</f>
        <v>8.4364538110447557E-3</v>
      </c>
      <c r="K1689">
        <f t="shared" ref="K1689" si="6193">K1688+K1686</f>
        <v>8.4094446398714287E-3</v>
      </c>
      <c r="L1689">
        <f t="shared" ref="L1689" si="6194">L1688+L1686</f>
        <v>7.5207138884047006E-3</v>
      </c>
      <c r="M1689">
        <f t="shared" ref="M1689" si="6195">M1688+M1686</f>
        <v>6.0548274008136857E-3</v>
      </c>
      <c r="N1689">
        <f t="shared" ref="N1689" si="6196">N1688+N1686</f>
        <v>4.9828816635194605E-3</v>
      </c>
      <c r="O1689">
        <f t="shared" ref="O1689" si="6197">O1688+O1686</f>
        <v>4.4494006627366521E-3</v>
      </c>
    </row>
    <row r="1690" spans="2:32" ht="17.149999999999999" x14ac:dyDescent="0.55000000000000004">
      <c r="B1690" t="str">
        <f t="shared" si="6164"/>
        <v>Portland</v>
      </c>
      <c r="C1690" t="s">
        <v>579</v>
      </c>
      <c r="D1690" cm="1">
        <f t="array" ref="D1690">IFERROR(IF(D1675="Chemical",(10^(INDEX(Antoines,MATCH(D1674,Antoine_Name,0),2)-INDEX(Antoines,MATCH(D1674,Antoine_Name,0),3)/(INDEX(Antoines,MATCH(D1674,Antoine_Name,0),4)+(D1683-32)*5/9)))*14.7/760,IF(D1675="Crude Oil",EXP((2799/(D1683+459.6)-2.227)*LOG10(INDEX(FX_Input,Q$5,D$3*$Z$5+$AA$5))-(7261/(D1683+459.6))+12.82),IF(D1675="Refined Petroleum Stock",EXP((0.7553-(413/(D1683+459.6)))*(INDEX(FX_Input,Q$5,D$3*$Z$5+$AA$5-1)^0.5)*LOG10(INDEX(FX_Input,Q$5,D$3*$Z$5+$AA$5))-(1.854-(1042/(D1683+459.6)))*(INDEX(FX_Input,Q$5,D$3*$Z$5+$AA$5-1)^0.5)+((2416/(D1683+459.6)-2.013)*LOG10(INDEX(FX_Input,Q$5,D$3*$Z$5+$AA$5)))-(8742/(D1683+459.6))+15.64),EXP(INDEX(Antoines,MATCH(D1674,Antoine_Name,0),2)-INDEX(Antoines,MATCH(D1674,Antoine_Name,0),3)/(D1683+459.6))))),0)</f>
        <v>5.2033036727344552E-3</v>
      </c>
      <c r="E1690" cm="1">
        <f t="array" ref="E1690">IFERROR(IF(E1675="Chemical",(10^(INDEX(Antoines,MATCH(E1674,Antoine_Name,0),2)-INDEX(Antoines,MATCH(E1674,Antoine_Name,0),3)/(INDEX(Antoines,MATCH(E1674,Antoine_Name,0),4)+(E1683-32)*5/9)))*14.7/760,IF(E1675="Crude Oil",EXP((2799/(E1683+459.6)-2.227)*LOG10(INDEX(FX_Input,R$5,E$3*$Z$5+$AA$5))-(7261/(E1683+459.6))+12.82),IF(E1675="Refined Petroleum Stock",EXP((0.7553-(413/(E1683+459.6)))*(INDEX(FX_Input,R$5,E$3*$Z$5+$AA$5-1)^0.5)*LOG10(INDEX(FX_Input,R$5,E$3*$Z$5+$AA$5))-(1.854-(1042/(E1683+459.6)))*(INDEX(FX_Input,R$5,E$3*$Z$5+$AA$5-1)^0.5)+((2416/(E1683+459.6)-2.013)*LOG10(INDEX(FX_Input,R$5,E$3*$Z$5+$AA$5)))-(8742/(E1683+459.6))+15.64),EXP(INDEX(Antoines,MATCH(E1674,Antoine_Name,0),2)-INDEX(Antoines,MATCH(E1674,Antoine_Name,0),3)/(E1683+459.6))))),0)</f>
        <v>5.5385065183370758E-3</v>
      </c>
      <c r="F1690" cm="1">
        <f t="array" ref="F1690">IFERROR(IF(F1675="Chemical",(10^(INDEX(Antoines,MATCH(F1674,Antoine_Name,0),2)-INDEX(Antoines,MATCH(F1674,Antoine_Name,0),3)/(INDEX(Antoines,MATCH(F1674,Antoine_Name,0),4)+(F1683-32)*5/9)))*14.7/760,IF(F1675="Crude Oil",EXP((2799/(F1683+459.6)-2.227)*LOG10(INDEX(FX_Input,S$5,F$3*$Z$5+$AA$5))-(7261/(F1683+459.6))+12.82),IF(F1675="Refined Petroleum Stock",EXP((0.7553-(413/(F1683+459.6)))*(INDEX(FX_Input,S$5,F$3*$Z$5+$AA$5-1)^0.5)*LOG10(INDEX(FX_Input,S$5,F$3*$Z$5+$AA$5))-(1.854-(1042/(F1683+459.6)))*(INDEX(FX_Input,S$5,F$3*$Z$5+$AA$5-1)^0.5)+((2416/(F1683+459.6)-2.013)*LOG10(INDEX(FX_Input,S$5,F$3*$Z$5+$AA$5)))-(8742/(F1683+459.6))+15.64),EXP(INDEX(Antoines,MATCH(F1674,Antoine_Name,0),2)-INDEX(Antoines,MATCH(F1674,Antoine_Name,0),3)/(F1683+459.6))))),0)</f>
        <v>5.9077167859673575E-3</v>
      </c>
      <c r="G1690" cm="1">
        <f t="array" ref="G1690">IFERROR(IF(G1675="Chemical",(10^(INDEX(Antoines,MATCH(G1674,Antoine_Name,0),2)-INDEX(Antoines,MATCH(G1674,Antoine_Name,0),3)/(INDEX(Antoines,MATCH(G1674,Antoine_Name,0),4)+(G1683-32)*5/9)))*14.7/760,IF(G1675="Crude Oil",EXP((2799/(G1683+459.6)-2.227)*LOG10(INDEX(FX_Input,T$5,G$3*$Z$5+$AA$5))-(7261/(G1683+459.6))+12.82),IF(G1675="Refined Petroleum Stock",EXP((0.7553-(413/(G1683+459.6)))*(INDEX(FX_Input,T$5,G$3*$Z$5+$AA$5-1)^0.5)*LOG10(INDEX(FX_Input,T$5,G$3*$Z$5+$AA$5))-(1.854-(1042/(G1683+459.6)))*(INDEX(FX_Input,T$5,G$3*$Z$5+$AA$5-1)^0.5)+((2416/(G1683+459.6)-2.013)*LOG10(INDEX(FX_Input,T$5,G$3*$Z$5+$AA$5)))-(8742/(G1683+459.6))+15.64),EXP(INDEX(Antoines,MATCH(G1674,Antoine_Name,0),2)-INDEX(Antoines,MATCH(G1674,Antoine_Name,0),3)/(G1683+459.6))))),0)</f>
        <v>6.5849388112918178E-3</v>
      </c>
      <c r="H1690" cm="1">
        <f t="array" ref="H1690">IFERROR(IF(H1675="Chemical",(10^(INDEX(Antoines,MATCH(H1674,Antoine_Name,0),2)-INDEX(Antoines,MATCH(H1674,Antoine_Name,0),3)/(INDEX(Antoines,MATCH(H1674,Antoine_Name,0),4)+(H1683-32)*5/9)))*14.7/760,IF(H1675="Crude Oil",EXP((2799/(H1683+459.6)-2.227)*LOG10(INDEX(FX_Input,U$5,H$3*$Z$5+$AA$5))-(7261/(H1683+459.6))+12.82),IF(H1675="Refined Petroleum Stock",EXP((0.7553-(413/(H1683+459.6)))*(INDEX(FX_Input,U$5,H$3*$Z$5+$AA$5-1)^0.5)*LOG10(INDEX(FX_Input,U$5,H$3*$Z$5+$AA$5))-(1.854-(1042/(H1683+459.6)))*(INDEX(FX_Input,U$5,H$3*$Z$5+$AA$5-1)^0.5)+((2416/(H1683+459.6)-2.013)*LOG10(INDEX(FX_Input,U$5,H$3*$Z$5+$AA$5)))-(8742/(H1683+459.6))+15.64),EXP(INDEX(Antoines,MATCH(H1674,Antoine_Name,0),2)-INDEX(Antoines,MATCH(H1674,Antoine_Name,0),3)/(H1683+459.6))))),0)</f>
        <v>7.7939195379121001E-3</v>
      </c>
      <c r="I1690" cm="1">
        <f t="array" ref="I1690">IFERROR(IF(I1675="Chemical",(10^(INDEX(Antoines,MATCH(I1674,Antoine_Name,0),2)-INDEX(Antoines,MATCH(I1674,Antoine_Name,0),3)/(INDEX(Antoines,MATCH(I1674,Antoine_Name,0),4)+(I1683-32)*5/9)))*14.7/760,IF(I1675="Crude Oil",EXP((2799/(I1683+459.6)-2.227)*LOG10(INDEX(FX_Input,V$5,I$3*$Z$5+$AA$5))-(7261/(I1683+459.6))+12.82),IF(I1675="Refined Petroleum Stock",EXP((0.7553-(413/(I1683+459.6)))*(INDEX(FX_Input,V$5,I$3*$Z$5+$AA$5-1)^0.5)*LOG10(INDEX(FX_Input,V$5,I$3*$Z$5+$AA$5))-(1.854-(1042/(I1683+459.6)))*(INDEX(FX_Input,V$5,I$3*$Z$5+$AA$5-1)^0.5)+((2416/(I1683+459.6)-2.013)*LOG10(INDEX(FX_Input,V$5,I$3*$Z$5+$AA$5)))-(8742/(I1683+459.6))+15.64),EXP(INDEX(Antoines,MATCH(I1674,Antoine_Name,0),2)-INDEX(Antoines,MATCH(I1674,Antoine_Name,0),3)/(I1683+459.6))))),0)</f>
        <v>8.8347329003026723E-3</v>
      </c>
      <c r="J1690" cm="1">
        <f t="array" ref="J1690">IFERROR(IF(J1675="Chemical",(10^(INDEX(Antoines,MATCH(J1674,Antoine_Name,0),2)-INDEX(Antoines,MATCH(J1674,Antoine_Name,0),3)/(INDEX(Antoines,MATCH(J1674,Antoine_Name,0),4)+(J1683-32)*5/9)))*14.7/760,IF(J1675="Crude Oil",EXP((2799/(J1683+459.6)-2.227)*LOG10(INDEX(FX_Input,W$5,J$3*$Z$5+$AA$5))-(7261/(J1683+459.6))+12.82),IF(J1675="Refined Petroleum Stock",EXP((0.7553-(413/(J1683+459.6)))*(INDEX(FX_Input,W$5,J$3*$Z$5+$AA$5-1)^0.5)*LOG10(INDEX(FX_Input,W$5,J$3*$Z$5+$AA$5))-(1.854-(1042/(J1683+459.6)))*(INDEX(FX_Input,W$5,J$3*$Z$5+$AA$5-1)^0.5)+((2416/(J1683+459.6)-2.013)*LOG10(INDEX(FX_Input,W$5,J$3*$Z$5+$AA$5)))-(8742/(J1683+459.6))+15.64),EXP(INDEX(Antoines,MATCH(J1674,Antoine_Name,0),2)-INDEX(Antoines,MATCH(J1674,Antoine_Name,0),3)/(J1683+459.6))))),0)</f>
        <v>9.9592296270275289E-3</v>
      </c>
      <c r="K1690" cm="1">
        <f t="array" ref="K1690">IFERROR(IF(K1675="Chemical",(10^(INDEX(Antoines,MATCH(K1674,Antoine_Name,0),2)-INDEX(Antoines,MATCH(K1674,Antoine_Name,0),3)/(INDEX(Antoines,MATCH(K1674,Antoine_Name,0),4)+(K1683-32)*5/9)))*14.7/760,IF(K1675="Crude Oil",EXP((2799/(K1683+459.6)-2.227)*LOG10(INDEX(FX_Input,X$5,K$3*$Z$5+$AA$5))-(7261/(K1683+459.6))+12.82),IF(K1675="Refined Petroleum Stock",EXP((0.7553-(413/(K1683+459.6)))*(INDEX(FX_Input,X$5,K$3*$Z$5+$AA$5-1)^0.5)*LOG10(INDEX(FX_Input,X$5,K$3*$Z$5+$AA$5))-(1.854-(1042/(K1683+459.6)))*(INDEX(FX_Input,X$5,K$3*$Z$5+$AA$5-1)^0.5)+((2416/(K1683+459.6)-2.013)*LOG10(INDEX(FX_Input,X$5,K$3*$Z$5+$AA$5)))-(8742/(K1683+459.6))+15.64),EXP(INDEX(Antoines,MATCH(K1674,Antoine_Name,0),2)-INDEX(Antoines,MATCH(K1674,Antoine_Name,0),3)/(K1683+459.6))))),0)</f>
        <v>1.0044214742690162E-2</v>
      </c>
      <c r="L1690" cm="1">
        <f t="array" ref="L1690">IFERROR(IF(L1675="Chemical",(10^(INDEX(Antoines,MATCH(L1674,Antoine_Name,0),2)-INDEX(Antoines,MATCH(L1674,Antoine_Name,0),3)/(INDEX(Antoines,MATCH(L1674,Antoine_Name,0),4)+(L1683-32)*5/9)))*14.7/760,IF(L1675="Crude Oil",EXP((2799/(L1683+459.6)-2.227)*LOG10(INDEX(FX_Input,Y$5,L$3*$Z$5+$AA$5))-(7261/(L1683+459.6))+12.82),IF(L1675="Refined Petroleum Stock",EXP((0.7553-(413/(L1683+459.6)))*(INDEX(FX_Input,Y$5,L$3*$Z$5+$AA$5-1)^0.5)*LOG10(INDEX(FX_Input,Y$5,L$3*$Z$5+$AA$5))-(1.854-(1042/(L1683+459.6)))*(INDEX(FX_Input,Y$5,L$3*$Z$5+$AA$5-1)^0.5)+((2416/(L1683+459.6)-2.013)*LOG10(INDEX(FX_Input,Y$5,L$3*$Z$5+$AA$5)))-(8742/(L1683+459.6))+15.64),EXP(INDEX(Antoines,MATCH(L1674,Antoine_Name,0),2)-INDEX(Antoines,MATCH(L1674,Antoine_Name,0),3)/(L1683+459.6))))),0)</f>
        <v>9.3389439263883208E-3</v>
      </c>
      <c r="M1690" cm="1">
        <f t="array" ref="M1690">IFERROR(IF(M1675="Chemical",(10^(INDEX(Antoines,MATCH(M1674,Antoine_Name,0),2)-INDEX(Antoines,MATCH(M1674,Antoine_Name,0),3)/(INDEX(Antoines,MATCH(M1674,Antoine_Name,0),4)+(M1683-32)*5/9)))*14.7/760,IF(M1675="Crude Oil",EXP((2799/(M1683+459.6)-2.227)*LOG10(INDEX(FX_Input,Z$5,M$3*$Z$5+$AA$5))-(7261/(M1683+459.6))+12.82),IF(M1675="Refined Petroleum Stock",EXP((0.7553-(413/(M1683+459.6)))*(INDEX(FX_Input,Z$5,M$3*$Z$5+$AA$5-1)^0.5)*LOG10(INDEX(FX_Input,Z$5,M$3*$Z$5+$AA$5))-(1.854-(1042/(M1683+459.6)))*(INDEX(FX_Input,Z$5,M$3*$Z$5+$AA$5-1)^0.5)+((2416/(M1683+459.6)-2.013)*LOG10(INDEX(FX_Input,Z$5,M$3*$Z$5+$AA$5)))-(8742/(M1683+459.6))+15.64),EXP(INDEX(Antoines,MATCH(M1674,Antoine_Name,0),2)-INDEX(Antoines,MATCH(M1674,Antoine_Name,0),3)/(M1683+459.6))))),0)</f>
        <v>7.3896033166885589E-3</v>
      </c>
      <c r="N1690" cm="1">
        <f t="array" ref="N1690">IFERROR(IF(N1675="Chemical",(10^(INDEX(Antoines,MATCH(N1674,Antoine_Name,0),2)-INDEX(Antoines,MATCH(N1674,Antoine_Name,0),3)/(INDEX(Antoines,MATCH(N1674,Antoine_Name,0),4)+(N1683-32)*5/9)))*14.7/760,IF(N1675="Crude Oil",EXP((2799/(N1683+459.6)-2.227)*LOG10(INDEX(FX_Input,AA$5,N$3*$Z$5+$AA$5))-(7261/(N1683+459.6))+12.82),IF(N1675="Refined Petroleum Stock",EXP((0.7553-(413/(N1683+459.6)))*(INDEX(FX_Input,AA$5,N$3*$Z$5+$AA$5-1)^0.5)*LOG10(INDEX(FX_Input,AA$5,N$3*$Z$5+$AA$5))-(1.854-(1042/(N1683+459.6)))*(INDEX(FX_Input,AA$5,N$3*$Z$5+$AA$5-1)^0.5)+((2416/(N1683+459.6)-2.013)*LOG10(INDEX(FX_Input,AA$5,N$3*$Z$5+$AA$5)))-(8742/(N1683+459.6))+15.64),EXP(INDEX(Antoines,MATCH(N1674,Antoine_Name,0),2)-INDEX(Antoines,MATCH(N1674,Antoine_Name,0),3)/(N1683+459.6))))),0)</f>
        <v>5.902399466128503E-3</v>
      </c>
      <c r="O1690" cm="1">
        <f t="array" ref="O1690">IFERROR(IF(O1675="Chemical",(10^(INDEX(Antoines,MATCH(O1674,Antoine_Name,0),2)-INDEX(Antoines,MATCH(O1674,Antoine_Name,0),3)/(INDEX(Antoines,MATCH(O1674,Antoine_Name,0),4)+(O1683-32)*5/9)))*14.7/760,IF(O1675="Crude Oil",EXP((2799/(O1683+459.6)-2.227)*LOG10(INDEX(FX_Input,AB$5,O$3*$Z$5+$AA$5))-(7261/(O1683+459.6))+12.82),IF(O1675="Refined Petroleum Stock",EXP((0.7553-(413/(O1683+459.6)))*(INDEX(FX_Input,AB$5,O$3*$Z$5+$AA$5-1)^0.5)*LOG10(INDEX(FX_Input,AB$5,O$3*$Z$5+$AA$5))-(1.854-(1042/(O1683+459.6)))*(INDEX(FX_Input,AB$5,O$3*$Z$5+$AA$5-1)^0.5)+((2416/(O1683+459.6)-2.013)*LOG10(INDEX(FX_Input,AB$5,O$3*$Z$5+$AA$5)))-(8742/(O1683+459.6))+15.64),EXP(INDEX(Antoines,MATCH(O1674,Antoine_Name,0),2)-INDEX(Antoines,MATCH(O1674,Antoine_Name,0),3)/(O1683+459.6))))),0)</f>
        <v>5.1222820261006847E-3</v>
      </c>
    </row>
    <row r="1691" spans="2:32" ht="17.149999999999999" x14ac:dyDescent="0.55000000000000004">
      <c r="B1691" t="str">
        <f t="shared" si="6164"/>
        <v>Portland</v>
      </c>
      <c r="C1691" t="s">
        <v>580</v>
      </c>
      <c r="D1691">
        <f>D1690*D1678</f>
        <v>5.2033036727344552E-3</v>
      </c>
      <c r="E1691">
        <f t="shared" ref="E1691" si="6198">E1690*E1678</f>
        <v>5.5385065183370758E-3</v>
      </c>
      <c r="F1691">
        <f t="shared" ref="F1691" si="6199">F1690*F1678</f>
        <v>5.9077167859673575E-3</v>
      </c>
      <c r="G1691">
        <f t="shared" ref="G1691" si="6200">G1690*G1678</f>
        <v>6.5849388112918178E-3</v>
      </c>
      <c r="H1691">
        <f t="shared" ref="H1691" si="6201">H1690*H1678</f>
        <v>7.7939195379121001E-3</v>
      </c>
      <c r="I1691">
        <f t="shared" ref="I1691" si="6202">I1690*I1678</f>
        <v>8.8347329003026723E-3</v>
      </c>
      <c r="J1691">
        <f t="shared" ref="J1691" si="6203">J1690*J1678</f>
        <v>9.9592296270275289E-3</v>
      </c>
      <c r="K1691">
        <f t="shared" ref="K1691" si="6204">K1690*K1678</f>
        <v>1.0044214742690162E-2</v>
      </c>
      <c r="L1691">
        <f t="shared" ref="L1691" si="6205">L1690*L1678</f>
        <v>9.3389439263883208E-3</v>
      </c>
      <c r="M1691">
        <f t="shared" ref="M1691" si="6206">M1690*M1678</f>
        <v>7.3896033166885589E-3</v>
      </c>
      <c r="N1691">
        <f t="shared" ref="N1691" si="6207">N1690*N1678</f>
        <v>5.902399466128503E-3</v>
      </c>
      <c r="O1691">
        <f t="shared" ref="O1691" si="6208">O1690*O1678</f>
        <v>5.1222820261006847E-3</v>
      </c>
    </row>
    <row r="1692" spans="2:32" ht="17.149999999999999" x14ac:dyDescent="0.55000000000000004">
      <c r="B1692" t="str">
        <f t="shared" si="6164"/>
        <v>Portland</v>
      </c>
      <c r="C1692" t="s">
        <v>581</v>
      </c>
      <c r="D1692" cm="1">
        <f t="array" ref="D1692">IFERROR(IF(D1677="Chemical",(10^(INDEX(Antoines,MATCH(D1676,Antoine_Name,0),2)-INDEX(Antoines,MATCH(D1676,Antoine_Name,0),3)/(INDEX(Antoines,MATCH(D1676,Antoine_Name,0),4)+(D1683-32)*5/9)))*14.7/760,IF(D1677="Crude Oil",EXP((2799/(D1683+459.6)-2.227)*LOG10(INDEX(FX_Input,Q$5,D$3*$Z$5+$AA$5))-(7261/(D1683+459.6))+12.82),IF(D1677="Refined Petroleum Stock",EXP((0.7553-(413/(D1683+459.6)))*(INDEX(FX_Input,Q$5,D$3*$Z$5+$AA$5-1)^0.5)*LOG10(INDEX(FX_Input,Q$5,D$3*$Z$5+$AA$5))-(1.854-(1042/(D1683+459.6)))*(INDEX(FX_Input,Q$5,D$3*$Z$5+$AA$5-1)^0.5)+((2416/(D1683+459.6)-2.013)*LOG10(INDEX(FX_Input,Q$5,D$3*$Z$5+$AA$5)))-(8742/(D1683+459.6))+15.64),EXP(INDEX(Antoines,MATCH(D1676,Antoine_Name,0),2)-INDEX(Antoines,MATCH(D1676,Antoine_Name,0),3)/(D1683+459.6))))),0)</f>
        <v>0</v>
      </c>
      <c r="E1692" cm="1">
        <f t="array" ref="E1692">IFERROR(IF(E1677="Chemical",(10^(INDEX(Antoines,MATCH(E1676,Antoine_Name,0),2)-INDEX(Antoines,MATCH(E1676,Antoine_Name,0),3)/(INDEX(Antoines,MATCH(E1676,Antoine_Name,0),4)+(E1683-32)*5/9)))*14.7/760,IF(E1677="Crude Oil",EXP((2799/(E1683+459.6)-2.227)*LOG10(INDEX(FX_Input,R$5,E$3*$Z$5+$AA$5))-(7261/(E1683+459.6))+12.82),IF(E1677="Refined Petroleum Stock",EXP((0.7553-(413/(E1683+459.6)))*(INDEX(FX_Input,R$5,E$3*$Z$5+$AA$5-1)^0.5)*LOG10(INDEX(FX_Input,R$5,E$3*$Z$5+$AA$5))-(1.854-(1042/(E1683+459.6)))*(INDEX(FX_Input,R$5,E$3*$Z$5+$AA$5-1)^0.5)+((2416/(E1683+459.6)-2.013)*LOG10(INDEX(FX_Input,R$5,E$3*$Z$5+$AA$5)))-(8742/(E1683+459.6))+15.64),EXP(INDEX(Antoines,MATCH(E1676,Antoine_Name,0),2)-INDEX(Antoines,MATCH(E1676,Antoine_Name,0),3)/(E1683+459.6))))),0)</f>
        <v>0</v>
      </c>
      <c r="F1692" cm="1">
        <f t="array" ref="F1692">IFERROR(IF(F1677="Chemical",(10^(INDEX(Antoines,MATCH(F1676,Antoine_Name,0),2)-INDEX(Antoines,MATCH(F1676,Antoine_Name,0),3)/(INDEX(Antoines,MATCH(F1676,Antoine_Name,0),4)+(F1683-32)*5/9)))*14.7/760,IF(F1677="Crude Oil",EXP((2799/(F1683+459.6)-2.227)*LOG10(INDEX(FX_Input,S$5,F$3*$Z$5+$AA$5))-(7261/(F1683+459.6))+12.82),IF(F1677="Refined Petroleum Stock",EXP((0.7553-(413/(F1683+459.6)))*(INDEX(FX_Input,S$5,F$3*$Z$5+$AA$5-1)^0.5)*LOG10(INDEX(FX_Input,S$5,F$3*$Z$5+$AA$5))-(1.854-(1042/(F1683+459.6)))*(INDEX(FX_Input,S$5,F$3*$Z$5+$AA$5-1)^0.5)+((2416/(F1683+459.6)-2.013)*LOG10(INDEX(FX_Input,S$5,F$3*$Z$5+$AA$5)))-(8742/(F1683+459.6))+15.64),EXP(INDEX(Antoines,MATCH(F1676,Antoine_Name,0),2)-INDEX(Antoines,MATCH(F1676,Antoine_Name,0),3)/(F1683+459.6))))),0)</f>
        <v>0</v>
      </c>
      <c r="G1692" cm="1">
        <f t="array" ref="G1692">IFERROR(IF(G1677="Chemical",(10^(INDEX(Antoines,MATCH(G1676,Antoine_Name,0),2)-INDEX(Antoines,MATCH(G1676,Antoine_Name,0),3)/(INDEX(Antoines,MATCH(G1676,Antoine_Name,0),4)+(G1683-32)*5/9)))*14.7/760,IF(G1677="Crude Oil",EXP((2799/(G1683+459.6)-2.227)*LOG10(INDEX(FX_Input,T$5,G$3*$Z$5+$AA$5))-(7261/(G1683+459.6))+12.82),IF(G1677="Refined Petroleum Stock",EXP((0.7553-(413/(G1683+459.6)))*(INDEX(FX_Input,T$5,G$3*$Z$5+$AA$5-1)^0.5)*LOG10(INDEX(FX_Input,T$5,G$3*$Z$5+$AA$5))-(1.854-(1042/(G1683+459.6)))*(INDEX(FX_Input,T$5,G$3*$Z$5+$AA$5-1)^0.5)+((2416/(G1683+459.6)-2.013)*LOG10(INDEX(FX_Input,T$5,G$3*$Z$5+$AA$5)))-(8742/(G1683+459.6))+15.64),EXP(INDEX(Antoines,MATCH(G1676,Antoine_Name,0),2)-INDEX(Antoines,MATCH(G1676,Antoine_Name,0),3)/(G1683+459.6))))),0)</f>
        <v>0</v>
      </c>
      <c r="H1692" cm="1">
        <f t="array" ref="H1692">IFERROR(IF(H1677="Chemical",(10^(INDEX(Antoines,MATCH(H1676,Antoine_Name,0),2)-INDEX(Antoines,MATCH(H1676,Antoine_Name,0),3)/(INDEX(Antoines,MATCH(H1676,Antoine_Name,0),4)+(H1683-32)*5/9)))*14.7/760,IF(H1677="Crude Oil",EXP((2799/(H1683+459.6)-2.227)*LOG10(INDEX(FX_Input,U$5,H$3*$Z$5+$AA$5))-(7261/(H1683+459.6))+12.82),IF(H1677="Refined Petroleum Stock",EXP((0.7553-(413/(H1683+459.6)))*(INDEX(FX_Input,U$5,H$3*$Z$5+$AA$5-1)^0.5)*LOG10(INDEX(FX_Input,U$5,H$3*$Z$5+$AA$5))-(1.854-(1042/(H1683+459.6)))*(INDEX(FX_Input,U$5,H$3*$Z$5+$AA$5-1)^0.5)+((2416/(H1683+459.6)-2.013)*LOG10(INDEX(FX_Input,U$5,H$3*$Z$5+$AA$5)))-(8742/(H1683+459.6))+15.64),EXP(INDEX(Antoines,MATCH(H1676,Antoine_Name,0),2)-INDEX(Antoines,MATCH(H1676,Antoine_Name,0),3)/(H1683+459.6))))),0)</f>
        <v>0</v>
      </c>
      <c r="I1692" cm="1">
        <f t="array" ref="I1692">IFERROR(IF(I1677="Chemical",(10^(INDEX(Antoines,MATCH(I1676,Antoine_Name,0),2)-INDEX(Antoines,MATCH(I1676,Antoine_Name,0),3)/(INDEX(Antoines,MATCH(I1676,Antoine_Name,0),4)+(I1683-32)*5/9)))*14.7/760,IF(I1677="Crude Oil",EXP((2799/(I1683+459.6)-2.227)*LOG10(INDEX(FX_Input,V$5,I$3*$Z$5+$AA$5))-(7261/(I1683+459.6))+12.82),IF(I1677="Refined Petroleum Stock",EXP((0.7553-(413/(I1683+459.6)))*(INDEX(FX_Input,V$5,I$3*$Z$5+$AA$5-1)^0.5)*LOG10(INDEX(FX_Input,V$5,I$3*$Z$5+$AA$5))-(1.854-(1042/(I1683+459.6)))*(INDEX(FX_Input,V$5,I$3*$Z$5+$AA$5-1)^0.5)+((2416/(I1683+459.6)-2.013)*LOG10(INDEX(FX_Input,V$5,I$3*$Z$5+$AA$5)))-(8742/(I1683+459.6))+15.64),EXP(INDEX(Antoines,MATCH(I1676,Antoine_Name,0),2)-INDEX(Antoines,MATCH(I1676,Antoine_Name,0),3)/(I1683+459.6))))),0)</f>
        <v>0</v>
      </c>
      <c r="J1692" cm="1">
        <f t="array" ref="J1692">IFERROR(IF(J1677="Chemical",(10^(INDEX(Antoines,MATCH(J1676,Antoine_Name,0),2)-INDEX(Antoines,MATCH(J1676,Antoine_Name,0),3)/(INDEX(Antoines,MATCH(J1676,Antoine_Name,0),4)+(J1683-32)*5/9)))*14.7/760,IF(J1677="Crude Oil",EXP((2799/(J1683+459.6)-2.227)*LOG10(INDEX(FX_Input,W$5,J$3*$Z$5+$AA$5))-(7261/(J1683+459.6))+12.82),IF(J1677="Refined Petroleum Stock",EXP((0.7553-(413/(J1683+459.6)))*(INDEX(FX_Input,W$5,J$3*$Z$5+$AA$5-1)^0.5)*LOG10(INDEX(FX_Input,W$5,J$3*$Z$5+$AA$5))-(1.854-(1042/(J1683+459.6)))*(INDEX(FX_Input,W$5,J$3*$Z$5+$AA$5-1)^0.5)+((2416/(J1683+459.6)-2.013)*LOG10(INDEX(FX_Input,W$5,J$3*$Z$5+$AA$5)))-(8742/(J1683+459.6))+15.64),EXP(INDEX(Antoines,MATCH(J1676,Antoine_Name,0),2)-INDEX(Antoines,MATCH(J1676,Antoine_Name,0),3)/(J1683+459.6))))),0)</f>
        <v>0</v>
      </c>
      <c r="K1692" cm="1">
        <f t="array" ref="K1692">IFERROR(IF(K1677="Chemical",(10^(INDEX(Antoines,MATCH(K1676,Antoine_Name,0),2)-INDEX(Antoines,MATCH(K1676,Antoine_Name,0),3)/(INDEX(Antoines,MATCH(K1676,Antoine_Name,0),4)+(K1683-32)*5/9)))*14.7/760,IF(K1677="Crude Oil",EXP((2799/(K1683+459.6)-2.227)*LOG10(INDEX(FX_Input,X$5,K$3*$Z$5+$AA$5))-(7261/(K1683+459.6))+12.82),IF(K1677="Refined Petroleum Stock",EXP((0.7553-(413/(K1683+459.6)))*(INDEX(FX_Input,X$5,K$3*$Z$5+$AA$5-1)^0.5)*LOG10(INDEX(FX_Input,X$5,K$3*$Z$5+$AA$5))-(1.854-(1042/(K1683+459.6)))*(INDEX(FX_Input,X$5,K$3*$Z$5+$AA$5-1)^0.5)+((2416/(K1683+459.6)-2.013)*LOG10(INDEX(FX_Input,X$5,K$3*$Z$5+$AA$5)))-(8742/(K1683+459.6))+15.64),EXP(INDEX(Antoines,MATCH(K1676,Antoine_Name,0),2)-INDEX(Antoines,MATCH(K1676,Antoine_Name,0),3)/(K1683+459.6))))),0)</f>
        <v>0</v>
      </c>
      <c r="L1692" cm="1">
        <f t="array" ref="L1692">IFERROR(IF(L1677="Chemical",(10^(INDEX(Antoines,MATCH(L1676,Antoine_Name,0),2)-INDEX(Antoines,MATCH(L1676,Antoine_Name,0),3)/(INDEX(Antoines,MATCH(L1676,Antoine_Name,0),4)+(L1683-32)*5/9)))*14.7/760,IF(L1677="Crude Oil",EXP((2799/(L1683+459.6)-2.227)*LOG10(INDEX(FX_Input,Y$5,L$3*$Z$5+$AA$5))-(7261/(L1683+459.6))+12.82),IF(L1677="Refined Petroleum Stock",EXP((0.7553-(413/(L1683+459.6)))*(INDEX(FX_Input,Y$5,L$3*$Z$5+$AA$5-1)^0.5)*LOG10(INDEX(FX_Input,Y$5,L$3*$Z$5+$AA$5))-(1.854-(1042/(L1683+459.6)))*(INDEX(FX_Input,Y$5,L$3*$Z$5+$AA$5-1)^0.5)+((2416/(L1683+459.6)-2.013)*LOG10(INDEX(FX_Input,Y$5,L$3*$Z$5+$AA$5)))-(8742/(L1683+459.6))+15.64),EXP(INDEX(Antoines,MATCH(L1676,Antoine_Name,0),2)-INDEX(Antoines,MATCH(L1676,Antoine_Name,0),3)/(L1683+459.6))))),0)</f>
        <v>0</v>
      </c>
      <c r="M1692" cm="1">
        <f t="array" ref="M1692">IFERROR(IF(M1677="Chemical",(10^(INDEX(Antoines,MATCH(M1676,Antoine_Name,0),2)-INDEX(Antoines,MATCH(M1676,Antoine_Name,0),3)/(INDEX(Antoines,MATCH(M1676,Antoine_Name,0),4)+(M1683-32)*5/9)))*14.7/760,IF(M1677="Crude Oil",EXP((2799/(M1683+459.6)-2.227)*LOG10(INDEX(FX_Input,Z$5,M$3*$Z$5+$AA$5))-(7261/(M1683+459.6))+12.82),IF(M1677="Refined Petroleum Stock",EXP((0.7553-(413/(M1683+459.6)))*(INDEX(FX_Input,Z$5,M$3*$Z$5+$AA$5-1)^0.5)*LOG10(INDEX(FX_Input,Z$5,M$3*$Z$5+$AA$5))-(1.854-(1042/(M1683+459.6)))*(INDEX(FX_Input,Z$5,M$3*$Z$5+$AA$5-1)^0.5)+((2416/(M1683+459.6)-2.013)*LOG10(INDEX(FX_Input,Z$5,M$3*$Z$5+$AA$5)))-(8742/(M1683+459.6))+15.64),EXP(INDEX(Antoines,MATCH(M1676,Antoine_Name,0),2)-INDEX(Antoines,MATCH(M1676,Antoine_Name,0),3)/(M1683+459.6))))),0)</f>
        <v>0</v>
      </c>
      <c r="N1692" cm="1">
        <f t="array" ref="N1692">IFERROR(IF(N1677="Chemical",(10^(INDEX(Antoines,MATCH(N1676,Antoine_Name,0),2)-INDEX(Antoines,MATCH(N1676,Antoine_Name,0),3)/(INDEX(Antoines,MATCH(N1676,Antoine_Name,0),4)+(N1683-32)*5/9)))*14.7/760,IF(N1677="Crude Oil",EXP((2799/(N1683+459.6)-2.227)*LOG10(INDEX(FX_Input,AA$5,N$3*$Z$5+$AA$5))-(7261/(N1683+459.6))+12.82),IF(N1677="Refined Petroleum Stock",EXP((0.7553-(413/(N1683+459.6)))*(INDEX(FX_Input,AA$5,N$3*$Z$5+$AA$5-1)^0.5)*LOG10(INDEX(FX_Input,AA$5,N$3*$Z$5+$AA$5))-(1.854-(1042/(N1683+459.6)))*(INDEX(FX_Input,AA$5,N$3*$Z$5+$AA$5-1)^0.5)+((2416/(N1683+459.6)-2.013)*LOG10(INDEX(FX_Input,AA$5,N$3*$Z$5+$AA$5)))-(8742/(N1683+459.6))+15.64),EXP(INDEX(Antoines,MATCH(N1676,Antoine_Name,0),2)-INDEX(Antoines,MATCH(N1676,Antoine_Name,0),3)/(N1683+459.6))))),0)</f>
        <v>0</v>
      </c>
      <c r="O1692" cm="1">
        <f t="array" ref="O1692">IFERROR(IF(O1677="Chemical",(10^(INDEX(Antoines,MATCH(O1676,Antoine_Name,0),2)-INDEX(Antoines,MATCH(O1676,Antoine_Name,0),3)/(INDEX(Antoines,MATCH(O1676,Antoine_Name,0),4)+(O1683-32)*5/9)))*14.7/760,IF(O1677="Crude Oil",EXP((2799/(O1683+459.6)-2.227)*LOG10(INDEX(FX_Input,AB$5,O$3*$Z$5+$AA$5))-(7261/(O1683+459.6))+12.82),IF(O1677="Refined Petroleum Stock",EXP((0.7553-(413/(O1683+459.6)))*(INDEX(FX_Input,AB$5,O$3*$Z$5+$AA$5-1)^0.5)*LOG10(INDEX(FX_Input,AB$5,O$3*$Z$5+$AA$5))-(1.854-(1042/(O1683+459.6)))*(INDEX(FX_Input,AB$5,O$3*$Z$5+$AA$5-1)^0.5)+((2416/(O1683+459.6)-2.013)*LOG10(INDEX(FX_Input,AB$5,O$3*$Z$5+$AA$5)))-(8742/(O1683+459.6))+15.64),EXP(INDEX(Antoines,MATCH(O1676,Antoine_Name,0),2)-INDEX(Antoines,MATCH(O1676,Antoine_Name,0),3)/(O1683+459.6))))),0)</f>
        <v>0</v>
      </c>
    </row>
    <row r="1693" spans="2:32" ht="17.149999999999999" x14ac:dyDescent="0.55000000000000004">
      <c r="B1693" t="str">
        <f t="shared" si="6164"/>
        <v>Portland</v>
      </c>
      <c r="C1693" t="s">
        <v>582</v>
      </c>
      <c r="D1693">
        <f>D1692*D1680</f>
        <v>0</v>
      </c>
      <c r="E1693">
        <f t="shared" ref="E1693" si="6209">E1692*E1680</f>
        <v>0</v>
      </c>
      <c r="F1693">
        <f t="shared" ref="F1693" si="6210">F1692*F1680</f>
        <v>0</v>
      </c>
      <c r="G1693">
        <f t="shared" ref="G1693" si="6211">G1692*G1680</f>
        <v>0</v>
      </c>
      <c r="H1693">
        <f t="shared" ref="H1693" si="6212">H1692*H1680</f>
        <v>0</v>
      </c>
      <c r="I1693">
        <f t="shared" ref="I1693" si="6213">I1692*I1680</f>
        <v>0</v>
      </c>
      <c r="J1693">
        <f t="shared" ref="J1693" si="6214">J1692*J1680</f>
        <v>0</v>
      </c>
      <c r="K1693">
        <f t="shared" ref="K1693" si="6215">K1692*K1680</f>
        <v>0</v>
      </c>
      <c r="L1693">
        <f t="shared" ref="L1693" si="6216">L1692*L1680</f>
        <v>0</v>
      </c>
      <c r="M1693">
        <f t="shared" ref="M1693" si="6217">M1692*M1680</f>
        <v>0</v>
      </c>
      <c r="N1693">
        <f t="shared" ref="N1693" si="6218">N1692*N1680</f>
        <v>0</v>
      </c>
      <c r="O1693">
        <f t="shared" ref="O1693" si="6219">O1692*O1680</f>
        <v>0</v>
      </c>
    </row>
    <row r="1694" spans="2:32" ht="17.149999999999999" x14ac:dyDescent="0.55000000000000004">
      <c r="B1694" t="str">
        <f t="shared" si="6164"/>
        <v>Portland</v>
      </c>
      <c r="C1694" t="s">
        <v>583</v>
      </c>
      <c r="D1694">
        <f>D1691+D1693</f>
        <v>5.2033036727344552E-3</v>
      </c>
      <c r="E1694">
        <f t="shared" ref="E1694" si="6220">E1691+E1693</f>
        <v>5.5385065183370758E-3</v>
      </c>
      <c r="F1694">
        <f t="shared" ref="F1694" si="6221">F1691+F1693</f>
        <v>5.9077167859673575E-3</v>
      </c>
      <c r="G1694">
        <f t="shared" ref="G1694" si="6222">G1691+G1693</f>
        <v>6.5849388112918178E-3</v>
      </c>
      <c r="H1694">
        <f t="shared" ref="H1694" si="6223">H1691+H1693</f>
        <v>7.7939195379121001E-3</v>
      </c>
      <c r="I1694">
        <f t="shared" ref="I1694" si="6224">I1691+I1693</f>
        <v>8.8347329003026723E-3</v>
      </c>
      <c r="J1694">
        <f t="shared" ref="J1694" si="6225">J1691+J1693</f>
        <v>9.9592296270275289E-3</v>
      </c>
      <c r="K1694">
        <f t="shared" ref="K1694" si="6226">K1691+K1693</f>
        <v>1.0044214742690162E-2</v>
      </c>
      <c r="L1694">
        <f t="shared" ref="L1694" si="6227">L1691+L1693</f>
        <v>9.3389439263883208E-3</v>
      </c>
      <c r="M1694">
        <f t="shared" ref="M1694" si="6228">M1691+M1693</f>
        <v>7.3896033166885589E-3</v>
      </c>
      <c r="N1694">
        <f t="shared" ref="N1694" si="6229">N1691+N1693</f>
        <v>5.902399466128503E-3</v>
      </c>
      <c r="O1694">
        <f t="shared" ref="O1694" si="6230">O1691+O1693</f>
        <v>5.1222820261006847E-3</v>
      </c>
    </row>
    <row r="1695" spans="2:32" ht="17.149999999999999" x14ac:dyDescent="0.55000000000000004">
      <c r="B1695" t="str">
        <f t="shared" si="6164"/>
        <v>Portland</v>
      </c>
      <c r="C1695" t="s">
        <v>1388</v>
      </c>
      <c r="D1695" cm="1">
        <f t="array" ref="D1695">IFERROR(IF(D1675="Chemical",(10^(INDEX(Antoines,MATCH(D1674,Antoine_Name,0),2)-INDEX(Antoines,MATCH(D1674,Antoine_Name,0),3)/(INDEX(Antoines,MATCH(D1674,Antoine_Name,0),4)+(D1684-32)*5/9)))*14.7/760,IF(D1675="Crude Oil",EXP((2799/(D1684+459.6)-2.227)*LOG10(INDEX(FX_Input,Q$5,D$3*$Z$5+$AA$5))-(7261/(D1684+459.6))+12.82),IF(D1675="Refined Petroleum Stock",EXP((0.7553-(413/(D1684+459.6)))*(INDEX(FX_Input,Q$5,D$3*$Z$5+$AA$5-1)^0.5)*LOG10(INDEX(FX_Input,Q$5,D$3*$Z$5+$AA$5))-(1.854-(1042/(D1684+459.6)))*(INDEX(FX_Input,Q$5,D$3*$Z$5+$AA$5-1)^0.5)+((2416/(D1684+459.6)-2.013)*LOG10(INDEX(FX_Input,Q$5,D$3*$Z$5+$AA$5)))-(8742/(D1684+459.6))+15.64),EXP(INDEX(Antoines,MATCH(D1674,Antoine_Name,0),2)-INDEX(Antoines,MATCH(D1674,Antoine_Name,0),3)/(D1684+459.6))))),0)</f>
        <v>4.883250638471285E-3</v>
      </c>
      <c r="E1695" cm="1">
        <f t="array" ref="E1695">IFERROR(IF(E1675="Chemical",(10^(INDEX(Antoines,MATCH(E1674,Antoine_Name,0),2)-INDEX(Antoines,MATCH(E1674,Antoine_Name,0),3)/(INDEX(Antoines,MATCH(E1674,Antoine_Name,0),4)+(E1684-32)*5/9)))*14.7/760,IF(E1675="Crude Oil",EXP((2799/(E1684+459.6)-2.227)*LOG10(INDEX(FX_Input,R$5,E$3*$Z$5+$AA$5))-(7261/(E1684+459.6))+12.82),IF(E1675="Refined Petroleum Stock",EXP((0.7553-(413/(E1684+459.6)))*(INDEX(FX_Input,R$5,E$3*$Z$5+$AA$5-1)^0.5)*LOG10(INDEX(FX_Input,R$5,E$3*$Z$5+$AA$5))-(1.854-(1042/(E1684+459.6)))*(INDEX(FX_Input,R$5,E$3*$Z$5+$AA$5-1)^0.5)+((2416/(E1684+459.6)-2.013)*LOG10(INDEX(FX_Input,R$5,E$3*$Z$5+$AA$5)))-(8742/(E1684+459.6))+15.64),EXP(INDEX(Antoines,MATCH(E1674,Antoine_Name,0),2)-INDEX(Antoines,MATCH(E1674,Antoine_Name,0),3)/(E1684+459.6))))),0)</f>
        <v>5.1351067062407989E-3</v>
      </c>
      <c r="F1695" cm="1">
        <f t="array" ref="F1695">IFERROR(IF(F1675="Chemical",(10^(INDEX(Antoines,MATCH(F1674,Antoine_Name,0),2)-INDEX(Antoines,MATCH(F1674,Antoine_Name,0),3)/(INDEX(Antoines,MATCH(F1674,Antoine_Name,0),4)+(F1684-32)*5/9)))*14.7/760,IF(F1675="Crude Oil",EXP((2799/(F1684+459.6)-2.227)*LOG10(INDEX(FX_Input,S$5,F$3*$Z$5+$AA$5))-(7261/(F1684+459.6))+12.82),IF(F1675="Refined Petroleum Stock",EXP((0.7553-(413/(F1684+459.6)))*(INDEX(FX_Input,S$5,F$3*$Z$5+$AA$5-1)^0.5)*LOG10(INDEX(FX_Input,S$5,F$3*$Z$5+$AA$5))-(1.854-(1042/(F1684+459.6)))*(INDEX(FX_Input,S$5,F$3*$Z$5+$AA$5-1)^0.5)+((2416/(F1684+459.6)-2.013)*LOG10(INDEX(FX_Input,S$5,F$3*$Z$5+$AA$5)))-(8742/(F1684+459.6))+15.64),EXP(INDEX(Antoines,MATCH(F1674,Antoine_Name,0),2)-INDEX(Antoines,MATCH(F1674,Antoine_Name,0),3)/(F1684+459.6))))),0)</f>
        <v>5.5213829543467952E-3</v>
      </c>
      <c r="G1695" cm="1">
        <f t="array" ref="G1695">IFERROR(IF(G1675="Chemical",(10^(INDEX(Antoines,MATCH(G1674,Antoine_Name,0),2)-INDEX(Antoines,MATCH(G1674,Antoine_Name,0),3)/(INDEX(Antoines,MATCH(G1674,Antoine_Name,0),4)+(G1684-32)*5/9)))*14.7/760,IF(G1675="Crude Oil",EXP((2799/(G1684+459.6)-2.227)*LOG10(INDEX(FX_Input,T$5,G$3*$Z$5+$AA$5))-(7261/(G1684+459.6))+12.82),IF(G1675="Refined Petroleum Stock",EXP((0.7553-(413/(G1684+459.6)))*(INDEX(FX_Input,T$5,G$3*$Z$5+$AA$5-1)^0.5)*LOG10(INDEX(FX_Input,T$5,G$3*$Z$5+$AA$5))-(1.854-(1042/(G1684+459.6)))*(INDEX(FX_Input,T$5,G$3*$Z$5+$AA$5-1)^0.5)+((2416/(G1684+459.6)-2.013)*LOG10(INDEX(FX_Input,T$5,G$3*$Z$5+$AA$5)))-(8742/(G1684+459.6))+15.64),EXP(INDEX(Antoines,MATCH(G1674,Antoine_Name,0),2)-INDEX(Antoines,MATCH(G1674,Antoine_Name,0),3)/(G1684+459.6))))),0)</f>
        <v>6.2124720487193742E-3</v>
      </c>
      <c r="H1695" cm="1">
        <f t="array" ref="H1695">IFERROR(IF(H1675="Chemical",(10^(INDEX(Antoines,MATCH(H1674,Antoine_Name,0),2)-INDEX(Antoines,MATCH(H1674,Antoine_Name,0),3)/(INDEX(Antoines,MATCH(H1674,Antoine_Name,0),4)+(H1684-32)*5/9)))*14.7/760,IF(H1675="Crude Oil",EXP((2799/(H1684+459.6)-2.227)*LOG10(INDEX(FX_Input,U$5,H$3*$Z$5+$AA$5))-(7261/(H1684+459.6))+12.82),IF(H1675="Refined Petroleum Stock",EXP((0.7553-(413/(H1684+459.6)))*(INDEX(FX_Input,U$5,H$3*$Z$5+$AA$5-1)^0.5)*LOG10(INDEX(FX_Input,U$5,H$3*$Z$5+$AA$5))-(1.854-(1042/(H1684+459.6)))*(INDEX(FX_Input,U$5,H$3*$Z$5+$AA$5-1)^0.5)+((2416/(H1684+459.6)-2.013)*LOG10(INDEX(FX_Input,U$5,H$3*$Z$5+$AA$5)))-(8742/(H1684+459.6))+15.64),EXP(INDEX(Antoines,MATCH(H1674,Antoine_Name,0),2)-INDEX(Antoines,MATCH(H1674,Antoine_Name,0),3)/(H1684+459.6))))),0)</f>
        <v>7.4209663387537275E-3</v>
      </c>
      <c r="I1695" cm="1">
        <f t="array" ref="I1695">IFERROR(IF(I1675="Chemical",(10^(INDEX(Antoines,MATCH(I1674,Antoine_Name,0),2)-INDEX(Antoines,MATCH(I1674,Antoine_Name,0),3)/(INDEX(Antoines,MATCH(I1674,Antoine_Name,0),4)+(I1684-32)*5/9)))*14.7/760,IF(I1675="Crude Oil",EXP((2799/(I1684+459.6)-2.227)*LOG10(INDEX(FX_Input,V$5,I$3*$Z$5+$AA$5))-(7261/(I1684+459.6))+12.82),IF(I1675="Refined Petroleum Stock",EXP((0.7553-(413/(I1684+459.6)))*(INDEX(FX_Input,V$5,I$3*$Z$5+$AA$5-1)^0.5)*LOG10(INDEX(FX_Input,V$5,I$3*$Z$5+$AA$5))-(1.854-(1042/(I1684+459.6)))*(INDEX(FX_Input,V$5,I$3*$Z$5+$AA$5-1)^0.5)+((2416/(I1684+459.6)-2.013)*LOG10(INDEX(FX_Input,V$5,I$3*$Z$5+$AA$5)))-(8742/(I1684+459.6))+15.64),EXP(INDEX(Antoines,MATCH(I1674,Antoine_Name,0),2)-INDEX(Antoines,MATCH(I1674,Antoine_Name,0),3)/(I1684+459.6))))),0)</f>
        <v>8.4819819298252285E-3</v>
      </c>
      <c r="J1695" cm="1">
        <f t="array" ref="J1695">IFERROR(IF(J1675="Chemical",(10^(INDEX(Antoines,MATCH(J1674,Antoine_Name,0),2)-INDEX(Antoines,MATCH(J1674,Antoine_Name,0),3)/(INDEX(Antoines,MATCH(J1674,Antoine_Name,0),4)+(J1684-32)*5/9)))*14.7/760,IF(J1675="Crude Oil",EXP((2799/(J1684+459.6)-2.227)*LOG10(INDEX(FX_Input,W$5,J$3*$Z$5+$AA$5))-(7261/(J1684+459.6))+12.82),IF(J1675="Refined Petroleum Stock",EXP((0.7553-(413/(J1684+459.6)))*(INDEX(FX_Input,W$5,J$3*$Z$5+$AA$5-1)^0.5)*LOG10(INDEX(FX_Input,W$5,J$3*$Z$5+$AA$5))-(1.854-(1042/(J1684+459.6)))*(INDEX(FX_Input,W$5,J$3*$Z$5+$AA$5-1)^0.5)+((2416/(J1684+459.6)-2.013)*LOG10(INDEX(FX_Input,W$5,J$3*$Z$5+$AA$5)))-(8742/(J1684+459.6))+15.64),EXP(INDEX(Antoines,MATCH(J1674,Antoine_Name,0),2)-INDEX(Antoines,MATCH(J1674,Antoine_Name,0),3)/(J1684+459.6))))),0)</f>
        <v>9.5741064128135375E-3</v>
      </c>
      <c r="K1695" cm="1">
        <f t="array" ref="K1695">IFERROR(IF(K1675="Chemical",(10^(INDEX(Antoines,MATCH(K1674,Antoine_Name,0),2)-INDEX(Antoines,MATCH(K1674,Antoine_Name,0),3)/(INDEX(Antoines,MATCH(K1674,Antoine_Name,0),4)+(K1684-32)*5/9)))*14.7/760,IF(K1675="Crude Oil",EXP((2799/(K1684+459.6)-2.227)*LOG10(INDEX(FX_Input,X$5,K$3*$Z$5+$AA$5))-(7261/(K1684+459.6))+12.82),IF(K1675="Refined Petroleum Stock",EXP((0.7553-(413/(K1684+459.6)))*(INDEX(FX_Input,X$5,K$3*$Z$5+$AA$5-1)^0.5)*LOG10(INDEX(FX_Input,X$5,K$3*$Z$5+$AA$5))-(1.854-(1042/(K1684+459.6)))*(INDEX(FX_Input,X$5,K$3*$Z$5+$AA$5-1)^0.5)+((2416/(K1684+459.6)-2.013)*LOG10(INDEX(FX_Input,X$5,K$3*$Z$5+$AA$5)))-(8742/(K1684+459.6))+15.64),EXP(INDEX(Antoines,MATCH(K1674,Antoine_Name,0),2)-INDEX(Antoines,MATCH(K1674,Antoine_Name,0),3)/(K1684+459.6))))),0)</f>
        <v>9.5478148180509845E-3</v>
      </c>
      <c r="L1695" cm="1">
        <f t="array" ref="L1695">IFERROR(IF(L1675="Chemical",(10^(INDEX(Antoines,MATCH(L1674,Antoine_Name,0),2)-INDEX(Antoines,MATCH(L1674,Antoine_Name,0),3)/(INDEX(Antoines,MATCH(L1674,Antoine_Name,0),4)+(L1684-32)*5/9)))*14.7/760,IF(L1675="Crude Oil",EXP((2799/(L1684+459.6)-2.227)*LOG10(INDEX(FX_Input,Y$5,L$3*$Z$5+$AA$5))-(7261/(L1684+459.6))+12.82),IF(L1675="Refined Petroleum Stock",EXP((0.7553-(413/(L1684+459.6)))*(INDEX(FX_Input,Y$5,L$3*$Z$5+$AA$5-1)^0.5)*LOG10(INDEX(FX_Input,Y$5,L$3*$Z$5+$AA$5))-(1.854-(1042/(L1684+459.6)))*(INDEX(FX_Input,Y$5,L$3*$Z$5+$AA$5-1)^0.5)+((2416/(L1684+459.6)-2.013)*LOG10(INDEX(FX_Input,Y$5,L$3*$Z$5+$AA$5)))-(8742/(L1684+459.6))+15.64),EXP(INDEX(Antoines,MATCH(L1674,Antoine_Name,0),2)-INDEX(Antoines,MATCH(L1674,Antoine_Name,0),3)/(L1684+459.6))))),0)</f>
        <v>8.6464528192362108E-3</v>
      </c>
      <c r="M1695" cm="1">
        <f t="array" ref="M1695">IFERROR(IF(M1675="Chemical",(10^(INDEX(Antoines,MATCH(M1674,Antoine_Name,0),2)-INDEX(Antoines,MATCH(M1674,Antoine_Name,0),3)/(INDEX(Antoines,MATCH(M1674,Antoine_Name,0),4)+(M1684-32)*5/9)))*14.7/760,IF(M1675="Crude Oil",EXP((2799/(M1684+459.6)-2.227)*LOG10(INDEX(FX_Input,Z$5,M$3*$Z$5+$AA$5))-(7261/(M1684+459.6))+12.82),IF(M1675="Refined Petroleum Stock",EXP((0.7553-(413/(M1684+459.6)))*(INDEX(FX_Input,Z$5,M$3*$Z$5+$AA$5-1)^0.5)*LOG10(INDEX(FX_Input,Z$5,M$3*$Z$5+$AA$5))-(1.854-(1042/(M1684+459.6)))*(INDEX(FX_Input,Z$5,M$3*$Z$5+$AA$5-1)^0.5)+((2416/(M1684+459.6)-2.013)*LOG10(INDEX(FX_Input,Z$5,M$3*$Z$5+$AA$5)))-(8742/(M1684+459.6))+15.64),EXP(INDEX(Antoines,MATCH(M1674,Antoine_Name,0),2)-INDEX(Antoines,MATCH(M1674,Antoine_Name,0),3)/(M1684+459.6))))),0)</f>
        <v>6.8218393379121701E-3</v>
      </c>
      <c r="N1695" cm="1">
        <f t="array" ref="N1695">IFERROR(IF(N1675="Chemical",(10^(INDEX(Antoines,MATCH(N1674,Antoine_Name,0),2)-INDEX(Antoines,MATCH(N1674,Antoine_Name,0),3)/(INDEX(Antoines,MATCH(N1674,Antoine_Name,0),4)+(N1684-32)*5/9)))*14.7/760,IF(N1675="Crude Oil",EXP((2799/(N1684+459.6)-2.227)*LOG10(INDEX(FX_Input,AA$5,N$3*$Z$5+$AA$5))-(7261/(N1684+459.6))+12.82),IF(N1675="Refined Petroleum Stock",EXP((0.7553-(413/(N1684+459.6)))*(INDEX(FX_Input,AA$5,N$3*$Z$5+$AA$5-1)^0.5)*LOG10(INDEX(FX_Input,AA$5,N$3*$Z$5+$AA$5))-(1.854-(1042/(N1684+459.6)))*(INDEX(FX_Input,AA$5,N$3*$Z$5+$AA$5-1)^0.5)+((2416/(N1684+459.6)-2.013)*LOG10(INDEX(FX_Input,AA$5,N$3*$Z$5+$AA$5)))-(8742/(N1684+459.6))+15.64),EXP(INDEX(Antoines,MATCH(N1674,Antoine_Name,0),2)-INDEX(Antoines,MATCH(N1674,Antoine_Name,0),3)/(N1684+459.6))))),0)</f>
        <v>5.4827140055800742E-3</v>
      </c>
      <c r="O1695" cm="1">
        <f t="array" ref="O1695">IFERROR(IF(O1675="Chemical",(10^(INDEX(Antoines,MATCH(O1674,Antoine_Name,0),2)-INDEX(Antoines,MATCH(O1674,Antoine_Name,0),3)/(INDEX(Antoines,MATCH(O1674,Antoine_Name,0),4)+(O1684-32)*5/9)))*14.7/760,IF(O1675="Crude Oil",EXP((2799/(O1684+459.6)-2.227)*LOG10(INDEX(FX_Input,AB$5,O$3*$Z$5+$AA$5))-(7261/(O1684+459.6))+12.82),IF(O1675="Refined Petroleum Stock",EXP((0.7553-(413/(O1684+459.6)))*(INDEX(FX_Input,AB$5,O$3*$Z$5+$AA$5-1)^0.5)*LOG10(INDEX(FX_Input,AB$5,O$3*$Z$5+$AA$5))-(1.854-(1042/(O1684+459.6)))*(INDEX(FX_Input,AB$5,O$3*$Z$5+$AA$5-1)^0.5)+((2416/(O1684+459.6)-2.013)*LOG10(INDEX(FX_Input,AB$5,O$3*$Z$5+$AA$5)))-(8742/(O1684+459.6))+15.64),EXP(INDEX(Antoines,MATCH(O1674,Antoine_Name,0),2)-INDEX(Antoines,MATCH(O1674,Antoine_Name,0),3)/(O1684+459.6))))),0)</f>
        <v>4.8148298503950734E-3</v>
      </c>
    </row>
    <row r="1696" spans="2:32" ht="17.149999999999999" x14ac:dyDescent="0.55000000000000004">
      <c r="B1696" t="str">
        <f t="shared" si="6164"/>
        <v>Portland</v>
      </c>
      <c r="C1696" t="s">
        <v>1389</v>
      </c>
      <c r="D1696">
        <f>D1695*D1678</f>
        <v>4.883250638471285E-3</v>
      </c>
      <c r="E1696">
        <f t="shared" ref="E1696" si="6231">E1695*E1678</f>
        <v>5.1351067062407989E-3</v>
      </c>
      <c r="F1696">
        <f t="shared" ref="F1696" si="6232">F1695*F1678</f>
        <v>5.5213829543467952E-3</v>
      </c>
      <c r="G1696">
        <f t="shared" ref="G1696" si="6233">G1695*G1678</f>
        <v>6.2124720487193742E-3</v>
      </c>
      <c r="H1696">
        <f t="shared" ref="H1696" si="6234">H1695*H1678</f>
        <v>7.4209663387537275E-3</v>
      </c>
      <c r="I1696">
        <f t="shared" ref="I1696" si="6235">I1695*I1678</f>
        <v>8.4819819298252285E-3</v>
      </c>
      <c r="J1696">
        <f t="shared" ref="J1696" si="6236">J1695*J1678</f>
        <v>9.5741064128135375E-3</v>
      </c>
      <c r="K1696">
        <f t="shared" ref="K1696" si="6237">K1695*K1678</f>
        <v>9.5478148180509845E-3</v>
      </c>
      <c r="L1696">
        <f t="shared" ref="L1696" si="6238">L1695*L1678</f>
        <v>8.6464528192362108E-3</v>
      </c>
      <c r="M1696">
        <f t="shared" ref="M1696" si="6239">M1695*M1678</f>
        <v>6.8218393379121701E-3</v>
      </c>
      <c r="N1696">
        <f t="shared" ref="N1696" si="6240">N1695*N1678</f>
        <v>5.4827140055800742E-3</v>
      </c>
      <c r="O1696">
        <f t="shared" ref="O1696" si="6241">O1695*O1678</f>
        <v>4.8148298503950734E-3</v>
      </c>
    </row>
    <row r="1697" spans="1:32" ht="17.149999999999999" x14ac:dyDescent="0.55000000000000004">
      <c r="B1697" t="str">
        <f t="shared" si="6164"/>
        <v>Portland</v>
      </c>
      <c r="C1697" t="s">
        <v>1390</v>
      </c>
      <c r="D1697" cm="1">
        <f t="array" ref="D1697">IFERROR(IF(D1677="Chemical",(10^(INDEX(Antoines,MATCH(D1676,Antoine_Name,0),2)-INDEX(Antoines,MATCH(D1676,Antoine_Name,0),3)/(INDEX(Antoines,MATCH(D1676,Antoine_Name,0),4)+(D1684-32)*5/9)))*14.7/760,IF(D1677="Crude Oil",EXP((2799/(D1684+459.6)-2.227)*LOG10(INDEX(FX_Input,Q$5,D$3*$Z$5+$AA$5))-(7261/(D1684+459.6))+12.82),IF(D1677="Refined Petroleum Stock",EXP((0.7553-(413/(D1684+459.6)))*(INDEX(FX_Input,Q$5,D$3*$Z$5+$AA$5-1)^0.5)*LOG10(INDEX(FX_Input,Q$5,D$3*$Z$5+$AA$5))-(1.854-(1042/(D1684+459.6)))*(INDEX(FX_Input,Q$5,D$3*$Z$5+$AA$5-1)^0.5)+((2416/(D1684+459.6)-2.013)*LOG10(INDEX(FX_Input,Q$5,D$3*$Z$5+$AA$5)))-(8742/(D1684+459.6))+15.64),EXP(INDEX(Antoines,MATCH(D1676,Antoine_Name,0),2)-INDEX(Antoines,MATCH(D1676,Antoine_Name,0),3)/(D1684+459.6))))),0)</f>
        <v>0</v>
      </c>
      <c r="E1697" cm="1">
        <f t="array" ref="E1697">IFERROR(IF(E1677="Chemical",(10^(INDEX(Antoines,MATCH(E1676,Antoine_Name,0),2)-INDEX(Antoines,MATCH(E1676,Antoine_Name,0),3)/(INDEX(Antoines,MATCH(E1676,Antoine_Name,0),4)+(E1684-32)*5/9)))*14.7/760,IF(E1677="Crude Oil",EXP((2799/(E1684+459.6)-2.227)*LOG10(INDEX(FX_Input,R$5,E$3*$Z$5+$AA$5))-(7261/(E1684+459.6))+12.82),IF(E1677="Refined Petroleum Stock",EXP((0.7553-(413/(E1684+459.6)))*(INDEX(FX_Input,R$5,E$3*$Z$5+$AA$5-1)^0.5)*LOG10(INDEX(FX_Input,R$5,E$3*$Z$5+$AA$5))-(1.854-(1042/(E1684+459.6)))*(INDEX(FX_Input,R$5,E$3*$Z$5+$AA$5-1)^0.5)+((2416/(E1684+459.6)-2.013)*LOG10(INDEX(FX_Input,R$5,E$3*$Z$5+$AA$5)))-(8742/(E1684+459.6))+15.64),EXP(INDEX(Antoines,MATCH(E1676,Antoine_Name,0),2)-INDEX(Antoines,MATCH(E1676,Antoine_Name,0),3)/(E1684+459.6))))),0)</f>
        <v>0</v>
      </c>
      <c r="F1697" cm="1">
        <f t="array" ref="F1697">IFERROR(IF(F1677="Chemical",(10^(INDEX(Antoines,MATCH(F1676,Antoine_Name,0),2)-INDEX(Antoines,MATCH(F1676,Antoine_Name,0),3)/(INDEX(Antoines,MATCH(F1676,Antoine_Name,0),4)+(F1684-32)*5/9)))*14.7/760,IF(F1677="Crude Oil",EXP((2799/(F1684+459.6)-2.227)*LOG10(INDEX(FX_Input,S$5,F$3*$Z$5+$AA$5))-(7261/(F1684+459.6))+12.82),IF(F1677="Refined Petroleum Stock",EXP((0.7553-(413/(F1684+459.6)))*(INDEX(FX_Input,S$5,F$3*$Z$5+$AA$5-1)^0.5)*LOG10(INDEX(FX_Input,S$5,F$3*$Z$5+$AA$5))-(1.854-(1042/(F1684+459.6)))*(INDEX(FX_Input,S$5,F$3*$Z$5+$AA$5-1)^0.5)+((2416/(F1684+459.6)-2.013)*LOG10(INDEX(FX_Input,S$5,F$3*$Z$5+$AA$5)))-(8742/(F1684+459.6))+15.64),EXP(INDEX(Antoines,MATCH(F1676,Antoine_Name,0),2)-INDEX(Antoines,MATCH(F1676,Antoine_Name,0),3)/(F1684+459.6))))),0)</f>
        <v>0</v>
      </c>
      <c r="G1697" cm="1">
        <f t="array" ref="G1697">IFERROR(IF(G1677="Chemical",(10^(INDEX(Antoines,MATCH(G1676,Antoine_Name,0),2)-INDEX(Antoines,MATCH(G1676,Antoine_Name,0),3)/(INDEX(Antoines,MATCH(G1676,Antoine_Name,0),4)+(G1684-32)*5/9)))*14.7/760,IF(G1677="Crude Oil",EXP((2799/(G1684+459.6)-2.227)*LOG10(INDEX(FX_Input,T$5,G$3*$Z$5+$AA$5))-(7261/(G1684+459.6))+12.82),IF(G1677="Refined Petroleum Stock",EXP((0.7553-(413/(G1684+459.6)))*(INDEX(FX_Input,T$5,G$3*$Z$5+$AA$5-1)^0.5)*LOG10(INDEX(FX_Input,T$5,G$3*$Z$5+$AA$5))-(1.854-(1042/(G1684+459.6)))*(INDEX(FX_Input,T$5,G$3*$Z$5+$AA$5-1)^0.5)+((2416/(G1684+459.6)-2.013)*LOG10(INDEX(FX_Input,T$5,G$3*$Z$5+$AA$5)))-(8742/(G1684+459.6))+15.64),EXP(INDEX(Antoines,MATCH(G1676,Antoine_Name,0),2)-INDEX(Antoines,MATCH(G1676,Antoine_Name,0),3)/(G1684+459.6))))),0)</f>
        <v>0</v>
      </c>
      <c r="H1697" cm="1">
        <f t="array" ref="H1697">IFERROR(IF(H1677="Chemical",(10^(INDEX(Antoines,MATCH(H1676,Antoine_Name,0),2)-INDEX(Antoines,MATCH(H1676,Antoine_Name,0),3)/(INDEX(Antoines,MATCH(H1676,Antoine_Name,0),4)+(H1684-32)*5/9)))*14.7/760,IF(H1677="Crude Oil",EXP((2799/(H1684+459.6)-2.227)*LOG10(INDEX(FX_Input,U$5,H$3*$Z$5+$AA$5))-(7261/(H1684+459.6))+12.82),IF(H1677="Refined Petroleum Stock",EXP((0.7553-(413/(H1684+459.6)))*(INDEX(FX_Input,U$5,H$3*$Z$5+$AA$5-1)^0.5)*LOG10(INDEX(FX_Input,U$5,H$3*$Z$5+$AA$5))-(1.854-(1042/(H1684+459.6)))*(INDEX(FX_Input,U$5,H$3*$Z$5+$AA$5-1)^0.5)+((2416/(H1684+459.6)-2.013)*LOG10(INDEX(FX_Input,U$5,H$3*$Z$5+$AA$5)))-(8742/(H1684+459.6))+15.64),EXP(INDEX(Antoines,MATCH(H1676,Antoine_Name,0),2)-INDEX(Antoines,MATCH(H1676,Antoine_Name,0),3)/(H1684+459.6))))),0)</f>
        <v>0</v>
      </c>
      <c r="I1697" cm="1">
        <f t="array" ref="I1697">IFERROR(IF(I1677="Chemical",(10^(INDEX(Antoines,MATCH(I1676,Antoine_Name,0),2)-INDEX(Antoines,MATCH(I1676,Antoine_Name,0),3)/(INDEX(Antoines,MATCH(I1676,Antoine_Name,0),4)+(I1684-32)*5/9)))*14.7/760,IF(I1677="Crude Oil",EXP((2799/(I1684+459.6)-2.227)*LOG10(INDEX(FX_Input,V$5,I$3*$Z$5+$AA$5))-(7261/(I1684+459.6))+12.82),IF(I1677="Refined Petroleum Stock",EXP((0.7553-(413/(I1684+459.6)))*(INDEX(FX_Input,V$5,I$3*$Z$5+$AA$5-1)^0.5)*LOG10(INDEX(FX_Input,V$5,I$3*$Z$5+$AA$5))-(1.854-(1042/(I1684+459.6)))*(INDEX(FX_Input,V$5,I$3*$Z$5+$AA$5-1)^0.5)+((2416/(I1684+459.6)-2.013)*LOG10(INDEX(FX_Input,V$5,I$3*$Z$5+$AA$5)))-(8742/(I1684+459.6))+15.64),EXP(INDEX(Antoines,MATCH(I1676,Antoine_Name,0),2)-INDEX(Antoines,MATCH(I1676,Antoine_Name,0),3)/(I1684+459.6))))),0)</f>
        <v>0</v>
      </c>
      <c r="J1697" cm="1">
        <f t="array" ref="J1697">IFERROR(IF(J1677="Chemical",(10^(INDEX(Antoines,MATCH(J1676,Antoine_Name,0),2)-INDEX(Antoines,MATCH(J1676,Antoine_Name,0),3)/(INDEX(Antoines,MATCH(J1676,Antoine_Name,0),4)+(J1684-32)*5/9)))*14.7/760,IF(J1677="Crude Oil",EXP((2799/(J1684+459.6)-2.227)*LOG10(INDEX(FX_Input,W$5,J$3*$Z$5+$AA$5))-(7261/(J1684+459.6))+12.82),IF(J1677="Refined Petroleum Stock",EXP((0.7553-(413/(J1684+459.6)))*(INDEX(FX_Input,W$5,J$3*$Z$5+$AA$5-1)^0.5)*LOG10(INDEX(FX_Input,W$5,J$3*$Z$5+$AA$5))-(1.854-(1042/(J1684+459.6)))*(INDEX(FX_Input,W$5,J$3*$Z$5+$AA$5-1)^0.5)+((2416/(J1684+459.6)-2.013)*LOG10(INDEX(FX_Input,W$5,J$3*$Z$5+$AA$5)))-(8742/(J1684+459.6))+15.64),EXP(INDEX(Antoines,MATCH(J1676,Antoine_Name,0),2)-INDEX(Antoines,MATCH(J1676,Antoine_Name,0),3)/(J1684+459.6))))),0)</f>
        <v>0</v>
      </c>
      <c r="K1697" cm="1">
        <f t="array" ref="K1697">IFERROR(IF(K1677="Chemical",(10^(INDEX(Antoines,MATCH(K1676,Antoine_Name,0),2)-INDEX(Antoines,MATCH(K1676,Antoine_Name,0),3)/(INDEX(Antoines,MATCH(K1676,Antoine_Name,0),4)+(K1684-32)*5/9)))*14.7/760,IF(K1677="Crude Oil",EXP((2799/(K1684+459.6)-2.227)*LOG10(INDEX(FX_Input,X$5,K$3*$Z$5+$AA$5))-(7261/(K1684+459.6))+12.82),IF(K1677="Refined Petroleum Stock",EXP((0.7553-(413/(K1684+459.6)))*(INDEX(FX_Input,X$5,K$3*$Z$5+$AA$5-1)^0.5)*LOG10(INDEX(FX_Input,X$5,K$3*$Z$5+$AA$5))-(1.854-(1042/(K1684+459.6)))*(INDEX(FX_Input,X$5,K$3*$Z$5+$AA$5-1)^0.5)+((2416/(K1684+459.6)-2.013)*LOG10(INDEX(FX_Input,X$5,K$3*$Z$5+$AA$5)))-(8742/(K1684+459.6))+15.64),EXP(INDEX(Antoines,MATCH(K1676,Antoine_Name,0),2)-INDEX(Antoines,MATCH(K1676,Antoine_Name,0),3)/(K1684+459.6))))),0)</f>
        <v>0</v>
      </c>
      <c r="L1697" cm="1">
        <f t="array" ref="L1697">IFERROR(IF(L1677="Chemical",(10^(INDEX(Antoines,MATCH(L1676,Antoine_Name,0),2)-INDEX(Antoines,MATCH(L1676,Antoine_Name,0),3)/(INDEX(Antoines,MATCH(L1676,Antoine_Name,0),4)+(L1684-32)*5/9)))*14.7/760,IF(L1677="Crude Oil",EXP((2799/(L1684+459.6)-2.227)*LOG10(INDEX(FX_Input,Y$5,L$3*$Z$5+$AA$5))-(7261/(L1684+459.6))+12.82),IF(L1677="Refined Petroleum Stock",EXP((0.7553-(413/(L1684+459.6)))*(INDEX(FX_Input,Y$5,L$3*$Z$5+$AA$5-1)^0.5)*LOG10(INDEX(FX_Input,Y$5,L$3*$Z$5+$AA$5))-(1.854-(1042/(L1684+459.6)))*(INDEX(FX_Input,Y$5,L$3*$Z$5+$AA$5-1)^0.5)+((2416/(L1684+459.6)-2.013)*LOG10(INDEX(FX_Input,Y$5,L$3*$Z$5+$AA$5)))-(8742/(L1684+459.6))+15.64),EXP(INDEX(Antoines,MATCH(L1676,Antoine_Name,0),2)-INDEX(Antoines,MATCH(L1676,Antoine_Name,0),3)/(L1684+459.6))))),0)</f>
        <v>0</v>
      </c>
      <c r="M1697" cm="1">
        <f t="array" ref="M1697">IFERROR(IF(M1677="Chemical",(10^(INDEX(Antoines,MATCH(M1676,Antoine_Name,0),2)-INDEX(Antoines,MATCH(M1676,Antoine_Name,0),3)/(INDEX(Antoines,MATCH(M1676,Antoine_Name,0),4)+(M1684-32)*5/9)))*14.7/760,IF(M1677="Crude Oil",EXP((2799/(M1684+459.6)-2.227)*LOG10(INDEX(FX_Input,Z$5,M$3*$Z$5+$AA$5))-(7261/(M1684+459.6))+12.82),IF(M1677="Refined Petroleum Stock",EXP((0.7553-(413/(M1684+459.6)))*(INDEX(FX_Input,Z$5,M$3*$Z$5+$AA$5-1)^0.5)*LOG10(INDEX(FX_Input,Z$5,M$3*$Z$5+$AA$5))-(1.854-(1042/(M1684+459.6)))*(INDEX(FX_Input,Z$5,M$3*$Z$5+$AA$5-1)^0.5)+((2416/(M1684+459.6)-2.013)*LOG10(INDEX(FX_Input,Z$5,M$3*$Z$5+$AA$5)))-(8742/(M1684+459.6))+15.64),EXP(INDEX(Antoines,MATCH(M1676,Antoine_Name,0),2)-INDEX(Antoines,MATCH(M1676,Antoine_Name,0),3)/(M1684+459.6))))),0)</f>
        <v>0</v>
      </c>
      <c r="N1697" cm="1">
        <f t="array" ref="N1697">IFERROR(IF(N1677="Chemical",(10^(INDEX(Antoines,MATCH(N1676,Antoine_Name,0),2)-INDEX(Antoines,MATCH(N1676,Antoine_Name,0),3)/(INDEX(Antoines,MATCH(N1676,Antoine_Name,0),4)+(N1684-32)*5/9)))*14.7/760,IF(N1677="Crude Oil",EXP((2799/(N1684+459.6)-2.227)*LOG10(INDEX(FX_Input,AA$5,N$3*$Z$5+$AA$5))-(7261/(N1684+459.6))+12.82),IF(N1677="Refined Petroleum Stock",EXP((0.7553-(413/(N1684+459.6)))*(INDEX(FX_Input,AA$5,N$3*$Z$5+$AA$5-1)^0.5)*LOG10(INDEX(FX_Input,AA$5,N$3*$Z$5+$AA$5))-(1.854-(1042/(N1684+459.6)))*(INDEX(FX_Input,AA$5,N$3*$Z$5+$AA$5-1)^0.5)+((2416/(N1684+459.6)-2.013)*LOG10(INDEX(FX_Input,AA$5,N$3*$Z$5+$AA$5)))-(8742/(N1684+459.6))+15.64),EXP(INDEX(Antoines,MATCH(N1676,Antoine_Name,0),2)-INDEX(Antoines,MATCH(N1676,Antoine_Name,0),3)/(N1684+459.6))))),0)</f>
        <v>0</v>
      </c>
      <c r="O1697" cm="1">
        <f t="array" ref="O1697">IFERROR(IF(O1677="Chemical",(10^(INDEX(Antoines,MATCH(O1676,Antoine_Name,0),2)-INDEX(Antoines,MATCH(O1676,Antoine_Name,0),3)/(INDEX(Antoines,MATCH(O1676,Antoine_Name,0),4)+(O1684-32)*5/9)))*14.7/760,IF(O1677="Crude Oil",EXP((2799/(O1684+459.6)-2.227)*LOG10(INDEX(FX_Input,AB$5,O$3*$Z$5+$AA$5))-(7261/(O1684+459.6))+12.82),IF(O1677="Refined Petroleum Stock",EXP((0.7553-(413/(O1684+459.6)))*(INDEX(FX_Input,AB$5,O$3*$Z$5+$AA$5-1)^0.5)*LOG10(INDEX(FX_Input,AB$5,O$3*$Z$5+$AA$5))-(1.854-(1042/(O1684+459.6)))*(INDEX(FX_Input,AB$5,O$3*$Z$5+$AA$5-1)^0.5)+((2416/(O1684+459.6)-2.013)*LOG10(INDEX(FX_Input,AB$5,O$3*$Z$5+$AA$5)))-(8742/(O1684+459.6))+15.64),EXP(INDEX(Antoines,MATCH(O1676,Antoine_Name,0),2)-INDEX(Antoines,MATCH(O1676,Antoine_Name,0),3)/(O1684+459.6))))),0)</f>
        <v>0</v>
      </c>
    </row>
    <row r="1698" spans="1:32" ht="17.149999999999999" x14ac:dyDescent="0.55000000000000004">
      <c r="B1698" t="str">
        <f t="shared" si="6164"/>
        <v>Portland</v>
      </c>
      <c r="C1698" t="s">
        <v>1391</v>
      </c>
      <c r="D1698">
        <f>D1697*D1680</f>
        <v>0</v>
      </c>
      <c r="E1698">
        <f t="shared" ref="E1698" si="6242">E1697*E1680</f>
        <v>0</v>
      </c>
      <c r="F1698">
        <f t="shared" ref="F1698" si="6243">F1697*F1680</f>
        <v>0</v>
      </c>
      <c r="G1698">
        <f t="shared" ref="G1698" si="6244">G1697*G1680</f>
        <v>0</v>
      </c>
      <c r="H1698">
        <f t="shared" ref="H1698" si="6245">H1697*H1680</f>
        <v>0</v>
      </c>
      <c r="I1698">
        <f t="shared" ref="I1698" si="6246">I1697*I1680</f>
        <v>0</v>
      </c>
      <c r="J1698">
        <f t="shared" ref="J1698" si="6247">J1697*J1680</f>
        <v>0</v>
      </c>
      <c r="K1698">
        <f t="shared" ref="K1698" si="6248">K1697*K1680</f>
        <v>0</v>
      </c>
      <c r="L1698">
        <f t="shared" ref="L1698" si="6249">L1697*L1680</f>
        <v>0</v>
      </c>
      <c r="M1698">
        <f t="shared" ref="M1698" si="6250">M1697*M1680</f>
        <v>0</v>
      </c>
      <c r="N1698">
        <f t="shared" ref="N1698" si="6251">N1697*N1680</f>
        <v>0</v>
      </c>
      <c r="O1698">
        <f t="shared" ref="O1698" si="6252">O1697*O1680</f>
        <v>0</v>
      </c>
    </row>
    <row r="1699" spans="1:32" ht="17.149999999999999" x14ac:dyDescent="0.55000000000000004">
      <c r="B1699" t="str">
        <f t="shared" si="6164"/>
        <v>Portland</v>
      </c>
      <c r="C1699" t="s">
        <v>1392</v>
      </c>
      <c r="D1699">
        <f>D1696+D1698</f>
        <v>4.883250638471285E-3</v>
      </c>
      <c r="E1699">
        <f t="shared" ref="E1699" si="6253">E1696+E1698</f>
        <v>5.1351067062407989E-3</v>
      </c>
      <c r="F1699">
        <f t="shared" ref="F1699" si="6254">F1696+F1698</f>
        <v>5.5213829543467952E-3</v>
      </c>
      <c r="G1699">
        <f t="shared" ref="G1699" si="6255">G1696+G1698</f>
        <v>6.2124720487193742E-3</v>
      </c>
      <c r="H1699">
        <f t="shared" ref="H1699" si="6256">H1696+H1698</f>
        <v>7.4209663387537275E-3</v>
      </c>
      <c r="I1699">
        <f t="shared" ref="I1699" si="6257">I1696+I1698</f>
        <v>8.4819819298252285E-3</v>
      </c>
      <c r="J1699">
        <f t="shared" ref="J1699" si="6258">J1696+J1698</f>
        <v>9.5741064128135375E-3</v>
      </c>
      <c r="K1699">
        <f t="shared" ref="K1699" si="6259">K1696+K1698</f>
        <v>9.5478148180509845E-3</v>
      </c>
      <c r="L1699">
        <f t="shared" ref="L1699" si="6260">L1696+L1698</f>
        <v>8.6464528192362108E-3</v>
      </c>
      <c r="M1699">
        <f t="shared" ref="M1699" si="6261">M1696+M1698</f>
        <v>6.8218393379121701E-3</v>
      </c>
      <c r="N1699">
        <f t="shared" ref="N1699" si="6262">N1696+N1698</f>
        <v>5.4827140055800742E-3</v>
      </c>
      <c r="O1699">
        <f t="shared" ref="O1699" si="6263">O1696+O1698</f>
        <v>4.8148298503950734E-3</v>
      </c>
    </row>
    <row r="1700" spans="1:32" ht="17.149999999999999" x14ac:dyDescent="0.55000000000000004">
      <c r="B1700" t="str">
        <f>B1694</f>
        <v>Portland</v>
      </c>
      <c r="C1700" t="s">
        <v>584</v>
      </c>
      <c r="D1700">
        <f>D1696/D1699</f>
        <v>1</v>
      </c>
      <c r="E1700">
        <f t="shared" ref="E1700" si="6264">E1696/E1699</f>
        <v>1</v>
      </c>
      <c r="F1700">
        <f t="shared" ref="F1700" si="6265">F1696/F1699</f>
        <v>1</v>
      </c>
      <c r="G1700">
        <f t="shared" ref="G1700" si="6266">G1696/G1699</f>
        <v>1</v>
      </c>
      <c r="H1700">
        <f t="shared" ref="H1700" si="6267">H1696/H1699</f>
        <v>1</v>
      </c>
      <c r="I1700">
        <f t="shared" ref="I1700" si="6268">I1696/I1699</f>
        <v>1</v>
      </c>
      <c r="J1700">
        <f t="shared" ref="J1700" si="6269">J1696/J1699</f>
        <v>1</v>
      </c>
      <c r="K1700">
        <f t="shared" ref="K1700" si="6270">K1696/K1699</f>
        <v>1</v>
      </c>
      <c r="L1700">
        <f t="shared" ref="L1700" si="6271">L1696/L1699</f>
        <v>1</v>
      </c>
      <c r="M1700">
        <f t="shared" ref="M1700" si="6272">M1696/M1699</f>
        <v>1</v>
      </c>
      <c r="N1700">
        <f t="shared" ref="N1700" si="6273">N1696/N1699</f>
        <v>1</v>
      </c>
      <c r="O1700">
        <f t="shared" ref="O1700" si="6274">O1696/O1699</f>
        <v>1</v>
      </c>
    </row>
    <row r="1701" spans="1:32" ht="17.149999999999999" x14ac:dyDescent="0.55000000000000004">
      <c r="B1701" t="str">
        <f>B1695</f>
        <v>Portland</v>
      </c>
      <c r="C1701" t="s">
        <v>585</v>
      </c>
      <c r="D1701">
        <f t="shared" ref="D1701:O1701" si="6275">INDEX(Phys_Prop,MATCH(D1674,Chem_List,0),3)</f>
        <v>130</v>
      </c>
      <c r="E1701">
        <f t="shared" si="6275"/>
        <v>130</v>
      </c>
      <c r="F1701">
        <f t="shared" si="6275"/>
        <v>130</v>
      </c>
      <c r="G1701">
        <f t="shared" si="6275"/>
        <v>130</v>
      </c>
      <c r="H1701">
        <f t="shared" si="6275"/>
        <v>130</v>
      </c>
      <c r="I1701">
        <f t="shared" si="6275"/>
        <v>130</v>
      </c>
      <c r="J1701">
        <f t="shared" si="6275"/>
        <v>130</v>
      </c>
      <c r="K1701">
        <f t="shared" si="6275"/>
        <v>130</v>
      </c>
      <c r="L1701">
        <f t="shared" si="6275"/>
        <v>130</v>
      </c>
      <c r="M1701">
        <f t="shared" si="6275"/>
        <v>130</v>
      </c>
      <c r="N1701">
        <f t="shared" si="6275"/>
        <v>130</v>
      </c>
      <c r="O1701">
        <f t="shared" si="6275"/>
        <v>130</v>
      </c>
    </row>
    <row r="1702" spans="1:32" ht="17.149999999999999" x14ac:dyDescent="0.55000000000000004">
      <c r="B1702" t="str">
        <f>B1701</f>
        <v>Portland</v>
      </c>
      <c r="C1702" t="s">
        <v>586</v>
      </c>
      <c r="D1702">
        <f>D1698/D1699</f>
        <v>0</v>
      </c>
      <c r="E1702">
        <f t="shared" ref="E1702:O1702" si="6276">E1698/E1699</f>
        <v>0</v>
      </c>
      <c r="F1702">
        <f t="shared" si="6276"/>
        <v>0</v>
      </c>
      <c r="G1702">
        <f t="shared" si="6276"/>
        <v>0</v>
      </c>
      <c r="H1702">
        <f t="shared" si="6276"/>
        <v>0</v>
      </c>
      <c r="I1702">
        <f t="shared" si="6276"/>
        <v>0</v>
      </c>
      <c r="J1702">
        <f t="shared" si="6276"/>
        <v>0</v>
      </c>
      <c r="K1702">
        <f t="shared" si="6276"/>
        <v>0</v>
      </c>
      <c r="L1702">
        <f t="shared" si="6276"/>
        <v>0</v>
      </c>
      <c r="M1702">
        <f t="shared" si="6276"/>
        <v>0</v>
      </c>
      <c r="N1702">
        <f t="shared" si="6276"/>
        <v>0</v>
      </c>
      <c r="O1702">
        <f t="shared" si="6276"/>
        <v>0</v>
      </c>
    </row>
    <row r="1703" spans="1:32" ht="17.149999999999999" x14ac:dyDescent="0.55000000000000004">
      <c r="B1703" t="str">
        <f t="shared" si="6164"/>
        <v>Portland</v>
      </c>
      <c r="C1703" t="s">
        <v>587</v>
      </c>
      <c r="D1703">
        <f t="shared" ref="D1703:O1703" si="6277">IFERROR(INDEX(Phys_Prop,MATCH(D1676,Chem_List,0),3),0)</f>
        <v>0</v>
      </c>
      <c r="E1703">
        <f t="shared" si="6277"/>
        <v>0</v>
      </c>
      <c r="F1703">
        <f t="shared" si="6277"/>
        <v>0</v>
      </c>
      <c r="G1703">
        <f t="shared" si="6277"/>
        <v>0</v>
      </c>
      <c r="H1703">
        <f t="shared" si="6277"/>
        <v>0</v>
      </c>
      <c r="I1703">
        <f t="shared" si="6277"/>
        <v>0</v>
      </c>
      <c r="J1703">
        <f t="shared" si="6277"/>
        <v>0</v>
      </c>
      <c r="K1703">
        <f t="shared" si="6277"/>
        <v>0</v>
      </c>
      <c r="L1703">
        <f t="shared" si="6277"/>
        <v>0</v>
      </c>
      <c r="M1703">
        <f t="shared" si="6277"/>
        <v>0</v>
      </c>
      <c r="N1703">
        <f t="shared" si="6277"/>
        <v>0</v>
      </c>
      <c r="O1703">
        <f t="shared" si="6277"/>
        <v>0</v>
      </c>
    </row>
    <row r="1704" spans="1:32" ht="17.149999999999999" x14ac:dyDescent="0.55000000000000004">
      <c r="A1704" s="11"/>
      <c r="B1704" s="11" t="str">
        <f t="shared" si="6164"/>
        <v>Portland</v>
      </c>
      <c r="C1704" s="11" t="s">
        <v>588</v>
      </c>
      <c r="D1704" s="11">
        <f>IFERROR(D1700*D1701+D1702*D1703,0)</f>
        <v>130</v>
      </c>
      <c r="E1704" s="11">
        <f t="shared" ref="E1704" si="6278">IFERROR(E1700*E1701+E1702*E1703,0)</f>
        <v>130</v>
      </c>
      <c r="F1704" s="11">
        <f t="shared" ref="F1704" si="6279">IFERROR(F1700*F1701+F1702*F1703,0)</f>
        <v>130</v>
      </c>
      <c r="G1704" s="11">
        <f t="shared" ref="G1704" si="6280">IFERROR(G1700*G1701+G1702*G1703,0)</f>
        <v>130</v>
      </c>
      <c r="H1704" s="11">
        <f t="shared" ref="H1704" si="6281">IFERROR(H1700*H1701+H1702*H1703,0)</f>
        <v>130</v>
      </c>
      <c r="I1704" s="11">
        <f t="shared" ref="I1704" si="6282">IFERROR(I1700*I1701+I1702*I1703,0)</f>
        <v>130</v>
      </c>
      <c r="J1704" s="11">
        <f t="shared" ref="J1704" si="6283">IFERROR(J1700*J1701+J1702*J1703,0)</f>
        <v>130</v>
      </c>
      <c r="K1704" s="11">
        <f t="shared" ref="K1704" si="6284">IFERROR(K1700*K1701+K1702*K1703,0)</f>
        <v>130</v>
      </c>
      <c r="L1704" s="11">
        <f t="shared" ref="L1704" si="6285">IFERROR(L1700*L1701+L1702*L1703,0)</f>
        <v>130</v>
      </c>
      <c r="M1704" s="11">
        <f t="shared" ref="M1704" si="6286">IFERROR(M1700*M1701+M1702*M1703,0)</f>
        <v>130</v>
      </c>
      <c r="N1704" s="11">
        <f t="shared" ref="N1704" si="6287">IFERROR(N1700*N1701+N1702*N1703,0)</f>
        <v>130</v>
      </c>
      <c r="O1704" s="11">
        <f t="shared" ref="O1704" si="6288">IFERROR(O1700*O1701+O1702*O1703,0)</f>
        <v>130</v>
      </c>
      <c r="P1704" s="11"/>
      <c r="Q1704" s="11"/>
      <c r="R1704" s="11"/>
      <c r="S1704" s="11"/>
      <c r="T1704" s="11"/>
      <c r="U1704" s="11"/>
      <c r="V1704" s="11"/>
      <c r="W1704" s="11"/>
      <c r="X1704" s="11"/>
      <c r="Y1704" s="11"/>
      <c r="Z1704" s="11"/>
      <c r="AA1704" s="11"/>
      <c r="AB1704" s="11"/>
      <c r="AC1704" s="11"/>
      <c r="AD1704" s="11"/>
      <c r="AE1704" s="11"/>
      <c r="AF1704" s="11"/>
    </row>
    <row r="1705" spans="1:32" ht="17.149999999999999" x14ac:dyDescent="0.55000000000000004">
      <c r="A1705" t="str" cm="1">
        <f t="array" ref="A1705">INDEX(FX_Input,$Q1705,R$5)</f>
        <v>FX - 51</v>
      </c>
      <c r="B1705" t="str" cm="1">
        <f t="array" ref="B1705">INDEX(FX_Input,Q1705,S1705)</f>
        <v>Portland</v>
      </c>
      <c r="C1705" t="s">
        <v>563</v>
      </c>
      <c r="D1705">
        <v>14.7</v>
      </c>
      <c r="E1705">
        <v>14.7</v>
      </c>
      <c r="F1705">
        <v>14.7</v>
      </c>
      <c r="G1705">
        <v>14.7</v>
      </c>
      <c r="H1705">
        <v>14.7</v>
      </c>
      <c r="I1705">
        <v>14.7</v>
      </c>
      <c r="J1705">
        <v>14.7</v>
      </c>
      <c r="K1705">
        <v>14.7</v>
      </c>
      <c r="L1705">
        <v>14.7</v>
      </c>
      <c r="M1705">
        <v>14.7</v>
      </c>
      <c r="N1705">
        <v>14.7</v>
      </c>
      <c r="O1705">
        <v>14.7</v>
      </c>
      <c r="Q1705">
        <f>Q1671+2</f>
        <v>101</v>
      </c>
      <c r="R1705">
        <v>1</v>
      </c>
      <c r="S1705">
        <v>3</v>
      </c>
      <c r="T1705">
        <v>1</v>
      </c>
      <c r="U1705">
        <v>19</v>
      </c>
      <c r="V1705">
        <v>20</v>
      </c>
      <c r="W1705">
        <v>25</v>
      </c>
      <c r="X1705">
        <v>1</v>
      </c>
      <c r="Y1705">
        <v>2</v>
      </c>
      <c r="Z1705">
        <f>(W1705-V1705)/(Y1705-X1705)</f>
        <v>5</v>
      </c>
      <c r="AA1705">
        <f>V1705-Z1705*X1705</f>
        <v>15</v>
      </c>
      <c r="AD1705">
        <f>AD1671+14</f>
        <v>701</v>
      </c>
      <c r="AF1705">
        <f>AF1671+14</f>
        <v>701</v>
      </c>
    </row>
    <row r="1706" spans="1:32" ht="17.149999999999999" x14ac:dyDescent="0.55000000000000004">
      <c r="B1706" t="str">
        <f t="shared" ref="B1706" si="6289">B1705</f>
        <v>Portland</v>
      </c>
      <c r="C1706" t="s">
        <v>564</v>
      </c>
      <c r="D1706" cm="1">
        <f t="array" ref="D1706">IF(ISBLANK(INDEX(FX_Input,$Q1705,$AB1706)),0.03,INDEX(FX_Input,Q1705,AB1706))</f>
        <v>0.03</v>
      </c>
      <c r="E1706" cm="1">
        <f t="array" ref="E1706">IF(ISBLANK(INDEX(FX_Input,$Q1705,$AB1706)),0.03,INDEX(FX_Input,R1705,#REF!))</f>
        <v>0.03</v>
      </c>
      <c r="F1706" cm="1">
        <f t="array" ref="F1706">IF(ISBLANK(INDEX(FX_Input,$Q1705,$AB1706)),0.03,INDEX(FX_Input,S1705,#REF!))</f>
        <v>0.03</v>
      </c>
      <c r="G1706" cm="1">
        <f t="array" ref="G1706">IF(ISBLANK(INDEX(FX_Input,$Q1705,$AB1706)),0.03,INDEX(FX_Input,AB1705,#REF!))</f>
        <v>0.03</v>
      </c>
      <c r="H1706" cm="1">
        <f t="array" ref="H1706">IF(ISBLANK(INDEX(FX_Input,$Q1705,$AB1706)),0.03,INDEX(FX_Input,#REF!,#REF!))</f>
        <v>0.03</v>
      </c>
      <c r="I1706" cm="1">
        <f t="array" ref="I1706">IF(ISBLANK(INDEX(FX_Input,$Q1705,$AB1706)),0.03,INDEX(FX_Input,#REF!,#REF!))</f>
        <v>0.03</v>
      </c>
      <c r="J1706" cm="1">
        <f t="array" ref="J1706">IF(ISBLANK(INDEX(FX_Input,$Q1705,$AB1706)),0.03,INDEX(FX_Input,#REF!,#REF!))</f>
        <v>0.03</v>
      </c>
      <c r="K1706" cm="1">
        <f t="array" ref="K1706">IF(ISBLANK(INDEX(FX_Input,$Q1705,$AB1706)),0.03,INDEX(FX_Input,#REF!,AC1706))</f>
        <v>0.03</v>
      </c>
      <c r="L1706" cm="1">
        <f t="array" ref="L1706">IF(ISBLANK(INDEX(FX_Input,$Q1705,$AB1706)),0.03,INDEX(FX_Input,#REF!,AD1706))</f>
        <v>0.03</v>
      </c>
      <c r="M1706" cm="1">
        <f t="array" ref="M1706">IF(ISBLANK(INDEX(FX_Input,$Q1705,$AB1706)),0.03,INDEX(FX_Input,#REF!,#REF!))</f>
        <v>0.03</v>
      </c>
      <c r="N1706" cm="1">
        <f t="array" ref="N1706">IF(ISBLANK(INDEX(FX_Input,$Q1705,$AB1706)),0.03,INDEX(FX_Input,AC1705,#REF!))</f>
        <v>0.03</v>
      </c>
      <c r="O1706" cm="1">
        <f t="array" ref="O1706">IF(ISBLANK(INDEX(FX_Input,$Q1705,$AB1706)),0.03,INDEX(FX_Input,AD1705,#REF!))</f>
        <v>0.03</v>
      </c>
      <c r="AB1706">
        <v>15</v>
      </c>
    </row>
    <row r="1707" spans="1:32" ht="17.149999999999999" x14ac:dyDescent="0.55000000000000004">
      <c r="B1707" t="str">
        <f>B1706</f>
        <v>Portland</v>
      </c>
      <c r="C1707" t="s">
        <v>565</v>
      </c>
      <c r="D1707" cm="1">
        <f t="array" ref="D1707">IF(ISBLANK(INDEX(FX_Input,$Q1705,$AB1707)),-0.03,INDEX(FX_Input,Q1705,AB1707))</f>
        <v>-0.03</v>
      </c>
      <c r="E1707" cm="1">
        <f t="array" ref="E1707">IF(ISBLANK(INDEX(FX_Input,$Q1705,$AB1707)),-0.03,INDEX(FX_Input,R1705,#REF!))</f>
        <v>-0.03</v>
      </c>
      <c r="F1707" cm="1">
        <f t="array" ref="F1707">IF(ISBLANK(INDEX(FX_Input,$Q1705,$AB1707)),-0.03,INDEX(FX_Input,S1705,#REF!))</f>
        <v>-0.03</v>
      </c>
      <c r="G1707" cm="1">
        <f t="array" ref="G1707">IF(ISBLANK(INDEX(FX_Input,$Q1705,$AB1707)),-0.03,INDEX(FX_Input,AB1705,#REF!))</f>
        <v>-0.03</v>
      </c>
      <c r="H1707" cm="1">
        <f t="array" ref="H1707">IF(ISBLANK(INDEX(FX_Input,$Q1705,$AB1707)),-0.03,INDEX(FX_Input,#REF!,#REF!))</f>
        <v>-0.03</v>
      </c>
      <c r="I1707" cm="1">
        <f t="array" ref="I1707">IF(ISBLANK(INDEX(FX_Input,$Q1705,$AB1707)),-0.03,INDEX(FX_Input,#REF!,#REF!))</f>
        <v>-0.03</v>
      </c>
      <c r="J1707" cm="1">
        <f t="array" ref="J1707">IF(ISBLANK(INDEX(FX_Input,$Q1705,$AB1707)),-0.03,INDEX(FX_Input,#REF!,#REF!))</f>
        <v>-0.03</v>
      </c>
      <c r="K1707" cm="1">
        <f t="array" ref="K1707">IF(ISBLANK(INDEX(FX_Input,$Q1705,$AB1707)),-0.03,INDEX(FX_Input,#REF!,AC1707))</f>
        <v>-0.03</v>
      </c>
      <c r="L1707" cm="1">
        <f t="array" ref="L1707">IF(ISBLANK(INDEX(FX_Input,$Q1705,$AB1707)),-0.03,INDEX(FX_Input,#REF!,AD1707))</f>
        <v>-0.03</v>
      </c>
      <c r="M1707" cm="1">
        <f t="array" ref="M1707">IF(ISBLANK(INDEX(FX_Input,$Q1705,$AB1707)),-0.03,INDEX(FX_Input,#REF!,#REF!))</f>
        <v>-0.03</v>
      </c>
      <c r="N1707" cm="1">
        <f t="array" ref="N1707">IF(ISBLANK(INDEX(FX_Input,$Q1705,$AB1707)),-0.03,INDEX(FX_Input,AC1705,#REF!))</f>
        <v>-0.03</v>
      </c>
      <c r="O1707" cm="1">
        <f t="array" ref="O1707">IF(ISBLANK(INDEX(FX_Input,$Q1705,$AB1707)),-0.03,INDEX(FX_Input,AD1705,#REF!))</f>
        <v>-0.03</v>
      </c>
      <c r="AB1707">
        <v>16</v>
      </c>
    </row>
    <row r="1708" spans="1:32" x14ac:dyDescent="0.4">
      <c r="B1708" t="str">
        <f t="shared" ref="B1708:B1709" si="6290">B1707</f>
        <v>Portland</v>
      </c>
      <c r="C1708" s="66" t="s">
        <v>567</v>
      </c>
      <c r="D1708" t="str" cm="1">
        <f t="array" ref="D1708">INDEX(FX_Multi,$AD1708,D$3)</f>
        <v>Out of Service</v>
      </c>
      <c r="E1708" t="str" cm="1">
        <f t="array" ref="E1708">INDEX(FX_Multi,$AD1708,E$3)</f>
        <v>Out of Service</v>
      </c>
      <c r="F1708" t="str" cm="1">
        <f t="array" ref="F1708">INDEX(FX_Multi,$AD1708,F$3)</f>
        <v>Out of Service</v>
      </c>
      <c r="G1708" t="str" cm="1">
        <f t="array" ref="G1708">INDEX(FX_Multi,$AD1708,G$3)</f>
        <v>Out of Service</v>
      </c>
      <c r="H1708" t="str" cm="1">
        <f t="array" ref="H1708">INDEX(FX_Multi,$AD1708,H$3)</f>
        <v>Out of Service</v>
      </c>
      <c r="I1708" t="str" cm="1">
        <f t="array" ref="I1708">INDEX(FX_Multi,$AD1708,I$3)</f>
        <v>Out of Service</v>
      </c>
      <c r="J1708" t="str" cm="1">
        <f t="array" ref="J1708">INDEX(FX_Multi,$AD1708,J$3)</f>
        <v>Out of Service</v>
      </c>
      <c r="K1708" t="str" cm="1">
        <f t="array" ref="K1708">INDEX(FX_Multi,$AD1708,K$3)</f>
        <v>Out of Service</v>
      </c>
      <c r="L1708" t="str" cm="1">
        <f t="array" ref="L1708">INDEX(FX_Multi,$AD1708,L$3)</f>
        <v>Out of Service</v>
      </c>
      <c r="M1708" t="str" cm="1">
        <f t="array" ref="M1708">INDEX(FX_Multi,$AD1708,M$3)</f>
        <v>Out of Service</v>
      </c>
      <c r="N1708" t="str" cm="1">
        <f t="array" ref="N1708">INDEX(FX_Multi,$AD1708,N$3)</f>
        <v>Out of Service</v>
      </c>
      <c r="O1708" t="str" cm="1">
        <f t="array" ref="O1708">INDEX(FX_Multi,$AD1708,O$3)</f>
        <v>Out of Service</v>
      </c>
      <c r="AC1708">
        <v>1</v>
      </c>
      <c r="AD1708">
        <f>AD1705</f>
        <v>701</v>
      </c>
      <c r="AE1708">
        <v>1</v>
      </c>
      <c r="AF1708">
        <f>AF1705</f>
        <v>701</v>
      </c>
    </row>
    <row r="1709" spans="1:32" x14ac:dyDescent="0.4">
      <c r="B1709" t="str">
        <f t="shared" si="6290"/>
        <v>Portland</v>
      </c>
      <c r="C1709" s="66" t="s">
        <v>566</v>
      </c>
      <c r="D1709" t="str" cm="1">
        <f t="array" ref="D1709">INDEX(FX_Multi,$AD1709,D$3)</f>
        <v>N/A</v>
      </c>
      <c r="E1709" t="str" cm="1">
        <f t="array" ref="E1709">INDEX(FX_Multi,$AD1709,E$3)</f>
        <v>N/A</v>
      </c>
      <c r="F1709" t="str" cm="1">
        <f t="array" ref="F1709">INDEX(FX_Multi,$AD1709,F$3)</f>
        <v>N/A</v>
      </c>
      <c r="G1709" t="str" cm="1">
        <f t="array" ref="G1709">INDEX(FX_Multi,$AD1709,G$3)</f>
        <v>N/A</v>
      </c>
      <c r="H1709" t="str" cm="1">
        <f t="array" ref="H1709">INDEX(FX_Multi,$AD1709,H$3)</f>
        <v>N/A</v>
      </c>
      <c r="I1709" t="str" cm="1">
        <f t="array" ref="I1709">INDEX(FX_Multi,$AD1709,I$3)</f>
        <v>N/A</v>
      </c>
      <c r="J1709" t="str" cm="1">
        <f t="array" ref="J1709">INDEX(FX_Multi,$AD1709,J$3)</f>
        <v>N/A</v>
      </c>
      <c r="K1709" t="str" cm="1">
        <f t="array" ref="K1709">INDEX(FX_Multi,$AD1709,K$3)</f>
        <v>N/A</v>
      </c>
      <c r="L1709" t="str" cm="1">
        <f t="array" ref="L1709">INDEX(FX_Multi,$AD1709,L$3)</f>
        <v>N/A</v>
      </c>
      <c r="M1709" t="str" cm="1">
        <f t="array" ref="M1709">INDEX(FX_Multi,$AD1709,M$3)</f>
        <v>N/A</v>
      </c>
      <c r="N1709" t="str" cm="1">
        <f t="array" ref="N1709">INDEX(FX_Multi,$AD1709,N$3)</f>
        <v>N/A</v>
      </c>
      <c r="O1709" t="str" cm="1">
        <f t="array" ref="O1709">INDEX(FX_Multi,$AD1709,O$3)</f>
        <v>N/A</v>
      </c>
      <c r="AC1709">
        <v>1</v>
      </c>
      <c r="AD1709">
        <f>AD1708+2</f>
        <v>703</v>
      </c>
      <c r="AE1709">
        <v>1</v>
      </c>
      <c r="AF1709">
        <f>AF1708+3</f>
        <v>704</v>
      </c>
    </row>
    <row r="1710" spans="1:32" x14ac:dyDescent="0.4">
      <c r="B1710" t="str">
        <f>B1706</f>
        <v>Portland</v>
      </c>
      <c r="C1710" s="66" t="s">
        <v>568</v>
      </c>
      <c r="D1710" cm="1">
        <f t="array" ref="D1710">INDEX(FX_Multi,$AD1710,D$3)</f>
        <v>0</v>
      </c>
      <c r="E1710" cm="1">
        <f t="array" ref="E1710">INDEX(FX_Multi,$AD1710,E$3)</f>
        <v>0</v>
      </c>
      <c r="F1710" cm="1">
        <f t="array" ref="F1710">INDEX(FX_Multi,$AD1710,F$3)</f>
        <v>0</v>
      </c>
      <c r="G1710" cm="1">
        <f t="array" ref="G1710">INDEX(FX_Multi,$AD1710,G$3)</f>
        <v>0</v>
      </c>
      <c r="H1710" cm="1">
        <f t="array" ref="H1710">INDEX(FX_Multi,$AD1710,H$3)</f>
        <v>0</v>
      </c>
      <c r="I1710" cm="1">
        <f t="array" ref="I1710">INDEX(FX_Multi,$AD1710,I$3)</f>
        <v>0</v>
      </c>
      <c r="J1710" cm="1">
        <f t="array" ref="J1710">INDEX(FX_Multi,$AD1710,J$3)</f>
        <v>0</v>
      </c>
      <c r="K1710" cm="1">
        <f t="array" ref="K1710">INDEX(FX_Multi,$AD1710,K$3)</f>
        <v>0</v>
      </c>
      <c r="L1710" cm="1">
        <f t="array" ref="L1710">INDEX(FX_Multi,$AD1710,L$3)</f>
        <v>0</v>
      </c>
      <c r="M1710" cm="1">
        <f t="array" ref="M1710">INDEX(FX_Multi,$AD1710,M$3)</f>
        <v>0</v>
      </c>
      <c r="N1710" cm="1">
        <f t="array" ref="N1710">INDEX(FX_Multi,$AD1710,N$3)</f>
        <v>0</v>
      </c>
      <c r="O1710" cm="1">
        <f t="array" ref="O1710">INDEX(FX_Multi,$AD1710,O$3)</f>
        <v>0</v>
      </c>
      <c r="AC1710">
        <v>1</v>
      </c>
      <c r="AD1710">
        <f>AD1709-1</f>
        <v>702</v>
      </c>
      <c r="AE1710">
        <v>1</v>
      </c>
      <c r="AF1710">
        <f>AF1708+1</f>
        <v>702</v>
      </c>
    </row>
    <row r="1711" spans="1:32" x14ac:dyDescent="0.4">
      <c r="B1711" t="str">
        <f t="shared" ref="B1711:B1715" si="6291">B1710</f>
        <v>Portland</v>
      </c>
      <c r="C1711" s="66" t="s">
        <v>569</v>
      </c>
      <c r="D1711" cm="1">
        <f t="array" ref="D1711">INDEX(FX_Multi,$AD1711,D$3)</f>
        <v>0</v>
      </c>
      <c r="E1711" cm="1">
        <f t="array" ref="E1711">INDEX(FX_Multi,$AD1711,E$3)</f>
        <v>0</v>
      </c>
      <c r="F1711" cm="1">
        <f t="array" ref="F1711">INDEX(FX_Multi,$AD1711,F$3)</f>
        <v>0</v>
      </c>
      <c r="G1711" cm="1">
        <f t="array" ref="G1711">INDEX(FX_Multi,$AD1711,G$3)</f>
        <v>0</v>
      </c>
      <c r="H1711" cm="1">
        <f t="array" ref="H1711">INDEX(FX_Multi,$AD1711,H$3)</f>
        <v>0</v>
      </c>
      <c r="I1711" cm="1">
        <f t="array" ref="I1711">INDEX(FX_Multi,$AD1711,I$3)</f>
        <v>0</v>
      </c>
      <c r="J1711" cm="1">
        <f t="array" ref="J1711">INDEX(FX_Multi,$AD1711,J$3)</f>
        <v>0</v>
      </c>
      <c r="K1711" cm="1">
        <f t="array" ref="K1711">INDEX(FX_Multi,$AD1711,K$3)</f>
        <v>0</v>
      </c>
      <c r="L1711" cm="1">
        <f t="array" ref="L1711">INDEX(FX_Multi,$AD1711,L$3)</f>
        <v>0</v>
      </c>
      <c r="M1711" cm="1">
        <f t="array" ref="M1711">INDEX(FX_Multi,$AD1711,M$3)</f>
        <v>0</v>
      </c>
      <c r="N1711" cm="1">
        <f t="array" ref="N1711">INDEX(FX_Multi,$AD1711,N$3)</f>
        <v>0</v>
      </c>
      <c r="O1711" cm="1">
        <f t="array" ref="O1711">INDEX(FX_Multi,$AD1711,O$3)</f>
        <v>0</v>
      </c>
      <c r="AC1711">
        <v>1</v>
      </c>
      <c r="AD1711">
        <f>AD1710+2</f>
        <v>704</v>
      </c>
      <c r="AE1711">
        <v>1</v>
      </c>
      <c r="AF1711">
        <f>AF1709</f>
        <v>704</v>
      </c>
    </row>
    <row r="1712" spans="1:32" ht="17.149999999999999" x14ac:dyDescent="0.55000000000000004">
      <c r="B1712" t="str">
        <f t="shared" si="6291"/>
        <v>Portland</v>
      </c>
      <c r="C1712" t="s">
        <v>570</v>
      </c>
      <c r="D1712" cm="1">
        <f t="array" ref="D1712">INDEX(FX_Multi,$AD1712,D$3)</f>
        <v>1</v>
      </c>
      <c r="E1712" cm="1">
        <f t="array" ref="E1712">INDEX(FX_Multi,$AD1712,E$3)</f>
        <v>1</v>
      </c>
      <c r="F1712" cm="1">
        <f t="array" ref="F1712">INDEX(FX_Multi,$AD1712,F$3)</f>
        <v>1</v>
      </c>
      <c r="G1712" cm="1">
        <f t="array" ref="G1712">INDEX(FX_Multi,$AD1712,G$3)</f>
        <v>1</v>
      </c>
      <c r="H1712" cm="1">
        <f t="array" ref="H1712">INDEX(FX_Multi,$AD1712,H$3)</f>
        <v>1</v>
      </c>
      <c r="I1712" cm="1">
        <f t="array" ref="I1712">INDEX(FX_Multi,$AD1712,I$3)</f>
        <v>1</v>
      </c>
      <c r="J1712" cm="1">
        <f t="array" ref="J1712">INDEX(FX_Multi,$AD1712,J$3)</f>
        <v>1</v>
      </c>
      <c r="K1712" cm="1">
        <f t="array" ref="K1712">INDEX(FX_Multi,$AD1712,K$3)</f>
        <v>1</v>
      </c>
      <c r="L1712" cm="1">
        <f t="array" ref="L1712">INDEX(FX_Multi,$AD1712,L$3)</f>
        <v>1</v>
      </c>
      <c r="M1712" cm="1">
        <f t="array" ref="M1712">INDEX(FX_Multi,$AD1712,M$3)</f>
        <v>1</v>
      </c>
      <c r="N1712" cm="1">
        <f t="array" ref="N1712">INDEX(FX_Multi,$AD1712,N$3)</f>
        <v>1</v>
      </c>
      <c r="O1712" cm="1">
        <f t="array" ref="O1712">INDEX(FX_Multi,$AD1712,O$3)</f>
        <v>1</v>
      </c>
      <c r="AC1712">
        <v>1</v>
      </c>
      <c r="AD1712">
        <f>AD1711+6</f>
        <v>710</v>
      </c>
      <c r="AE1712">
        <v>1</v>
      </c>
      <c r="AF1712">
        <f>AF1708+9</f>
        <v>710</v>
      </c>
    </row>
    <row r="1713" spans="2:32" ht="17.149999999999999" x14ac:dyDescent="0.55000000000000004">
      <c r="B1713" t="str">
        <f t="shared" si="6291"/>
        <v>Portland</v>
      </c>
      <c r="C1713" t="s">
        <v>571</v>
      </c>
      <c r="D1713" t="str" cm="1">
        <f t="array" ref="D1713">INDEX(FX_Multi,$AD1713,D$3)</f>
        <v>N/A</v>
      </c>
      <c r="E1713" t="str" cm="1">
        <f t="array" ref="E1713">INDEX(FX_Multi,$AD1713,E$3)</f>
        <v>N/A</v>
      </c>
      <c r="F1713" t="str" cm="1">
        <f t="array" ref="F1713">INDEX(FX_Multi,$AD1713,F$3)</f>
        <v>N/A</v>
      </c>
      <c r="G1713" t="str" cm="1">
        <f t="array" ref="G1713">INDEX(FX_Multi,$AD1713,G$3)</f>
        <v>N/A</v>
      </c>
      <c r="H1713" t="str" cm="1">
        <f t="array" ref="H1713">INDEX(FX_Multi,$AD1713,H$3)</f>
        <v>N/A</v>
      </c>
      <c r="I1713" t="str" cm="1">
        <f t="array" ref="I1713">INDEX(FX_Multi,$AD1713,I$3)</f>
        <v>N/A</v>
      </c>
      <c r="J1713" t="str" cm="1">
        <f t="array" ref="J1713">INDEX(FX_Multi,$AD1713,J$3)</f>
        <v>N/A</v>
      </c>
      <c r="K1713" t="str" cm="1">
        <f t="array" ref="K1713">INDEX(FX_Multi,$AD1713,K$3)</f>
        <v>N/A</v>
      </c>
      <c r="L1713" t="str" cm="1">
        <f t="array" ref="L1713">INDEX(FX_Multi,$AD1713,L$3)</f>
        <v>N/A</v>
      </c>
      <c r="M1713" t="str" cm="1">
        <f t="array" ref="M1713">INDEX(FX_Multi,$AD1713,M$3)</f>
        <v>N/A</v>
      </c>
      <c r="N1713" t="str" cm="1">
        <f t="array" ref="N1713">INDEX(FX_Multi,$AD1713,N$3)</f>
        <v>N/A</v>
      </c>
      <c r="O1713" t="str" cm="1">
        <f t="array" ref="O1713">INDEX(FX_Multi,$AD1713,O$3)</f>
        <v>N/A</v>
      </c>
      <c r="AC1713">
        <v>1</v>
      </c>
      <c r="AD1713">
        <f>AD1712-3</f>
        <v>707</v>
      </c>
      <c r="AE1713">
        <v>1</v>
      </c>
      <c r="AF1713">
        <f>AF1708+6</f>
        <v>707</v>
      </c>
    </row>
    <row r="1714" spans="2:32" ht="17.149999999999999" x14ac:dyDescent="0.55000000000000004">
      <c r="B1714" t="str">
        <f t="shared" si="6291"/>
        <v>Portland</v>
      </c>
      <c r="C1714" t="s">
        <v>572</v>
      </c>
      <c r="D1714" cm="1">
        <f t="array" ref="D1714">INDEX(FX_Multi,$AD1714,D$3)</f>
        <v>0</v>
      </c>
      <c r="E1714" cm="1">
        <f t="array" ref="E1714">INDEX(FX_Multi,$AD1714,E$3)</f>
        <v>0</v>
      </c>
      <c r="F1714" cm="1">
        <f t="array" ref="F1714">INDEX(FX_Multi,$AD1714,F$3)</f>
        <v>0</v>
      </c>
      <c r="G1714" cm="1">
        <f t="array" ref="G1714">INDEX(FX_Multi,$AD1714,G$3)</f>
        <v>0</v>
      </c>
      <c r="H1714" cm="1">
        <f t="array" ref="H1714">INDEX(FX_Multi,$AD1714,H$3)</f>
        <v>0</v>
      </c>
      <c r="I1714" cm="1">
        <f t="array" ref="I1714">INDEX(FX_Multi,$AD1714,I$3)</f>
        <v>0</v>
      </c>
      <c r="J1714" cm="1">
        <f t="array" ref="J1714">INDEX(FX_Multi,$AD1714,J$3)</f>
        <v>0</v>
      </c>
      <c r="K1714" cm="1">
        <f t="array" ref="K1714">INDEX(FX_Multi,$AD1714,K$3)</f>
        <v>0</v>
      </c>
      <c r="L1714" cm="1">
        <f t="array" ref="L1714">INDEX(FX_Multi,$AD1714,L$3)</f>
        <v>0</v>
      </c>
      <c r="M1714" cm="1">
        <f t="array" ref="M1714">INDEX(FX_Multi,$AD1714,M$3)</f>
        <v>0</v>
      </c>
      <c r="N1714" cm="1">
        <f t="array" ref="N1714">INDEX(FX_Multi,$AD1714,N$3)</f>
        <v>0</v>
      </c>
      <c r="O1714" cm="1">
        <f t="array" ref="O1714">INDEX(FX_Multi,$AD1714,O$3)</f>
        <v>0</v>
      </c>
      <c r="AC1714">
        <v>1</v>
      </c>
      <c r="AD1714">
        <f>AD1713+4</f>
        <v>711</v>
      </c>
      <c r="AE1714">
        <v>1</v>
      </c>
      <c r="AF1714">
        <f>AF1708+10</f>
        <v>711</v>
      </c>
    </row>
    <row r="1715" spans="2:32" ht="17.149999999999999" x14ac:dyDescent="0.55000000000000004">
      <c r="B1715" t="str">
        <f t="shared" si="6291"/>
        <v>Portland</v>
      </c>
      <c r="C1715" t="s">
        <v>573</v>
      </c>
      <c r="D1715" cm="1">
        <f t="array" ref="D1715">INDEX(FX_Multi,$AD1715,D$3)</f>
        <v>0</v>
      </c>
      <c r="E1715" cm="1">
        <f t="array" ref="E1715">INDEX(FX_Multi,$AD1715,E$3)</f>
        <v>0</v>
      </c>
      <c r="F1715" cm="1">
        <f t="array" ref="F1715">INDEX(FX_Multi,$AD1715,F$3)</f>
        <v>0</v>
      </c>
      <c r="G1715" cm="1">
        <f t="array" ref="G1715">INDEX(FX_Multi,$AD1715,G$3)</f>
        <v>0</v>
      </c>
      <c r="H1715" cm="1">
        <f t="array" ref="H1715">INDEX(FX_Multi,$AD1715,H$3)</f>
        <v>0</v>
      </c>
      <c r="I1715" cm="1">
        <f t="array" ref="I1715">INDEX(FX_Multi,$AD1715,I$3)</f>
        <v>0</v>
      </c>
      <c r="J1715" cm="1">
        <f t="array" ref="J1715">INDEX(FX_Multi,$AD1715,J$3)</f>
        <v>0</v>
      </c>
      <c r="K1715" cm="1">
        <f t="array" ref="K1715">INDEX(FX_Multi,$AD1715,K$3)</f>
        <v>0</v>
      </c>
      <c r="L1715" cm="1">
        <f t="array" ref="L1715">INDEX(FX_Multi,$AD1715,L$3)</f>
        <v>0</v>
      </c>
      <c r="M1715" cm="1">
        <f t="array" ref="M1715">INDEX(FX_Multi,$AD1715,M$3)</f>
        <v>0</v>
      </c>
      <c r="N1715" cm="1">
        <f t="array" ref="N1715">INDEX(FX_Multi,$AD1715,N$3)</f>
        <v>0</v>
      </c>
      <c r="O1715" cm="1">
        <f t="array" ref="O1715">INDEX(FX_Multi,$AD1715,O$3)</f>
        <v>0</v>
      </c>
      <c r="AC1715">
        <v>1</v>
      </c>
      <c r="AD1715">
        <f>AD1714-3</f>
        <v>708</v>
      </c>
      <c r="AE1715">
        <v>1</v>
      </c>
      <c r="AF1715">
        <f>AF1708+7</f>
        <v>708</v>
      </c>
    </row>
    <row r="1716" spans="2:32" ht="17.149999999999999" x14ac:dyDescent="0.55000000000000004">
      <c r="B1716" t="str">
        <f>B1711</f>
        <v>Portland</v>
      </c>
      <c r="C1716" t="s">
        <v>526</v>
      </c>
      <c r="D1716" cm="1">
        <f t="array" ref="D1716">INDEX(FX_Temps,$AF1716,D$3)</f>
        <v>43.899999999999977</v>
      </c>
      <c r="E1716" cm="1">
        <f t="array" ref="E1716">INDEX(FX_Temps,$AF1716,E$3)</f>
        <v>44.700000000000045</v>
      </c>
      <c r="F1716" cm="1">
        <f t="array" ref="F1716">INDEX(FX_Temps,$AF1716,F$3)</f>
        <v>46.100000000000023</v>
      </c>
      <c r="G1716" cm="1">
        <f t="array" ref="G1716">INDEX(FX_Temps,$AF1716,G$3)</f>
        <v>48.599999999999966</v>
      </c>
      <c r="H1716" cm="1">
        <f t="array" ref="H1716">INDEX(FX_Temps,$AF1716,H$3)</f>
        <v>53.149999999999977</v>
      </c>
      <c r="I1716" cm="1">
        <f t="array" ref="I1716">INDEX(FX_Temps,$AF1716,I$3)</f>
        <v>56.950000000000045</v>
      </c>
      <c r="J1716" cm="1">
        <f t="array" ref="J1716">INDEX(FX_Temps,$AF1716,J$3)</f>
        <v>60.449999999999932</v>
      </c>
      <c r="K1716" cm="1">
        <f t="array" ref="K1716">INDEX(FX_Temps,$AF1716,K$3)</f>
        <v>60.899999999999977</v>
      </c>
      <c r="L1716" cm="1">
        <f t="array" ref="L1716">INDEX(FX_Temps,$AF1716,L$3)</f>
        <v>58.600000000000023</v>
      </c>
      <c r="M1716" cm="1">
        <f t="array" ref="M1716">INDEX(FX_Temps,$AF1716,M$3)</f>
        <v>52.649999999999977</v>
      </c>
      <c r="N1716" cm="1">
        <f t="array" ref="N1716">INDEX(FX_Temps,$AF1716,N$3)</f>
        <v>47.100000000000023</v>
      </c>
      <c r="O1716" cm="1">
        <f t="array" ref="O1716">INDEX(FX_Temps,$AF1716,O$3)</f>
        <v>43.600000000000023</v>
      </c>
      <c r="AE1716">
        <v>1</v>
      </c>
      <c r="AF1716">
        <f>AF1708+10</f>
        <v>711</v>
      </c>
    </row>
    <row r="1717" spans="2:32" ht="17.149999999999999" x14ac:dyDescent="0.55000000000000004">
      <c r="B1717" t="str">
        <f t="shared" ref="B1717:B1738" si="6292">B1716</f>
        <v>Portland</v>
      </c>
      <c r="C1717" t="s">
        <v>527</v>
      </c>
      <c r="D1717" cm="1">
        <f t="array" ref="D1717">INDEX(FX_Temps,$AF1717,D$3)</f>
        <v>43.899999999999977</v>
      </c>
      <c r="E1717" cm="1">
        <f t="array" ref="E1717">INDEX(FX_Temps,$AF1717,E$3)</f>
        <v>44.700000000000045</v>
      </c>
      <c r="F1717" cm="1">
        <f t="array" ref="F1717">INDEX(FX_Temps,$AF1717,F$3)</f>
        <v>46.100000000000023</v>
      </c>
      <c r="G1717" cm="1">
        <f t="array" ref="G1717">INDEX(FX_Temps,$AF1717,G$3)</f>
        <v>48.599999999999966</v>
      </c>
      <c r="H1717" cm="1">
        <f t="array" ref="H1717">INDEX(FX_Temps,$AF1717,H$3)</f>
        <v>53.149999999999977</v>
      </c>
      <c r="I1717" cm="1">
        <f t="array" ref="I1717">INDEX(FX_Temps,$AF1717,I$3)</f>
        <v>56.950000000000045</v>
      </c>
      <c r="J1717" cm="1">
        <f t="array" ref="J1717">INDEX(FX_Temps,$AF1717,J$3)</f>
        <v>60.449999999999932</v>
      </c>
      <c r="K1717" cm="1">
        <f t="array" ref="K1717">INDEX(FX_Temps,$AF1717,K$3)</f>
        <v>60.899999999999977</v>
      </c>
      <c r="L1717" cm="1">
        <f t="array" ref="L1717">INDEX(FX_Temps,$AF1717,L$3)</f>
        <v>58.600000000000023</v>
      </c>
      <c r="M1717" cm="1">
        <f t="array" ref="M1717">INDEX(FX_Temps,$AF1717,M$3)</f>
        <v>52.649999999999977</v>
      </c>
      <c r="N1717" cm="1">
        <f t="array" ref="N1717">INDEX(FX_Temps,$AF1717,N$3)</f>
        <v>47.100000000000023</v>
      </c>
      <c r="O1717" cm="1">
        <f t="array" ref="O1717">INDEX(FX_Temps,$AF1717,O$3)</f>
        <v>43.600000000000023</v>
      </c>
      <c r="AE1717">
        <f>AE1716</f>
        <v>1</v>
      </c>
      <c r="AF1717">
        <f>AF1708+11</f>
        <v>712</v>
      </c>
    </row>
    <row r="1718" spans="2:32" ht="17.149999999999999" x14ac:dyDescent="0.55000000000000004">
      <c r="B1718" t="str">
        <f t="shared" si="6292"/>
        <v>Portland</v>
      </c>
      <c r="C1718" t="s">
        <v>552</v>
      </c>
      <c r="D1718" cm="1">
        <f t="array" ref="D1718">INDEX(FX_Temps,$AF1718,D$3)</f>
        <v>43.899999999999977</v>
      </c>
      <c r="E1718" cm="1">
        <f t="array" ref="E1718">INDEX(FX_Temps,$AF1718,E$3)</f>
        <v>44.700000000000045</v>
      </c>
      <c r="F1718" cm="1">
        <f t="array" ref="F1718">INDEX(FX_Temps,$AF1718,F$3)</f>
        <v>46.100000000000023</v>
      </c>
      <c r="G1718" cm="1">
        <f t="array" ref="G1718">INDEX(FX_Temps,$AF1718,G$3)</f>
        <v>48.599999999999966</v>
      </c>
      <c r="H1718" cm="1">
        <f t="array" ref="H1718">INDEX(FX_Temps,$AF1718,H$3)</f>
        <v>53.149999999999977</v>
      </c>
      <c r="I1718" cm="1">
        <f t="array" ref="I1718">INDEX(FX_Temps,$AF1718,I$3)</f>
        <v>56.950000000000045</v>
      </c>
      <c r="J1718" cm="1">
        <f t="array" ref="J1718">INDEX(FX_Temps,$AF1718,J$3)</f>
        <v>60.449999999999932</v>
      </c>
      <c r="K1718" cm="1">
        <f t="array" ref="K1718">INDEX(FX_Temps,$AF1718,K$3)</f>
        <v>60.899999999999977</v>
      </c>
      <c r="L1718" cm="1">
        <f t="array" ref="L1718">INDEX(FX_Temps,$AF1718,L$3)</f>
        <v>58.600000000000023</v>
      </c>
      <c r="M1718" cm="1">
        <f t="array" ref="M1718">INDEX(FX_Temps,$AF1718,M$3)</f>
        <v>52.649999999999977</v>
      </c>
      <c r="N1718" cm="1">
        <f t="array" ref="N1718">INDEX(FX_Temps,$AF1718,N$3)</f>
        <v>47.100000000000023</v>
      </c>
      <c r="O1718" cm="1">
        <f t="array" ref="O1718">INDEX(FX_Temps,$AF1718,O$3)</f>
        <v>43.600000000000023</v>
      </c>
      <c r="AE1718">
        <f>AE1717</f>
        <v>1</v>
      </c>
      <c r="AF1718">
        <f>AF1708+13</f>
        <v>714</v>
      </c>
    </row>
    <row r="1719" spans="2:32" ht="17.149999999999999" x14ac:dyDescent="0.55000000000000004">
      <c r="B1719" t="str">
        <f t="shared" si="6292"/>
        <v>Portland</v>
      </c>
      <c r="C1719" t="s">
        <v>574</v>
      </c>
      <c r="D1719" cm="1">
        <f t="array" ref="D1719">IFERROR(IF(D1709="Chemical",(10^(INDEX(Antoines,MATCH(D1708,Antoine_Name,0),2)-INDEX(Antoines,MATCH(D1708,Antoine_Name,0),3)/(INDEX(Antoines,MATCH(D1708,Antoine_Name,0),4)+(D1716-32)*5/9)))*14.7/760,IF(D1709="Crude Oil",EXP((2799/(D1716+459.6)-2.227)*LOG10(INDEX(FX_Input,Q$5,D$3*$Z$5+$AA$5))-(7261/(D1716+459.6))+12.82),IF(D1709="Refined Petroleum Stock",EXP((0.7553-(413/(D1716+459.6)))*(INDEX(FX_Input,Q$5,D$3*$Z$5+$AA$5-1)^0.5)*LOG10(INDEX(FX_Input,Q$5,D$3*$Z$5+$AA$5))-(1.854-(1042/(D1716+459.6)))*(INDEX(FX_Input,Q$5,D$3*$Z$5+$AA$5-1)^0.5)+((2416/(D1716+459.6)-2.013)*LOG10(INDEX(FX_Input,Q$5,D$3*$Z$5+$AA$5)))-(8742/(D1716+459.6))+15.64),EXP(INDEX(Antoines,MATCH(D1708,Antoine_Name,0),2)-INDEX(Antoines,MATCH(D1708,Antoine_Name,0),3)/(D1716+459.6))))),0)</f>
        <v>1</v>
      </c>
      <c r="E1719" cm="1">
        <f t="array" ref="E1719">IFERROR(IF(E1709="Chemical",(10^(INDEX(Antoines,MATCH(E1708,Antoine_Name,0),2)-INDEX(Antoines,MATCH(E1708,Antoine_Name,0),3)/(INDEX(Antoines,MATCH(E1708,Antoine_Name,0),4)+(E1716-32)*5/9)))*14.7/760,IF(E1709="Crude Oil",EXP((2799/(E1716+459.6)-2.227)*LOG10(INDEX(FX_Input,R$5,E$3*$Z$5+$AA$5))-(7261/(E1716+459.6))+12.82),IF(E1709="Refined Petroleum Stock",EXP((0.7553-(413/(E1716+459.6)))*(INDEX(FX_Input,R$5,E$3*$Z$5+$AA$5-1)^0.5)*LOG10(INDEX(FX_Input,R$5,E$3*$Z$5+$AA$5))-(1.854-(1042/(E1716+459.6)))*(INDEX(FX_Input,R$5,E$3*$Z$5+$AA$5-1)^0.5)+((2416/(E1716+459.6)-2.013)*LOG10(INDEX(FX_Input,R$5,E$3*$Z$5+$AA$5)))-(8742/(E1716+459.6))+15.64),EXP(INDEX(Antoines,MATCH(E1708,Antoine_Name,0),2)-INDEX(Antoines,MATCH(E1708,Antoine_Name,0),3)/(E1716+459.6))))),0)</f>
        <v>1</v>
      </c>
      <c r="F1719" cm="1">
        <f t="array" ref="F1719">IFERROR(IF(F1709="Chemical",(10^(INDEX(Antoines,MATCH(F1708,Antoine_Name,0),2)-INDEX(Antoines,MATCH(F1708,Antoine_Name,0),3)/(INDEX(Antoines,MATCH(F1708,Antoine_Name,0),4)+(F1716-32)*5/9)))*14.7/760,IF(F1709="Crude Oil",EXP((2799/(F1716+459.6)-2.227)*LOG10(INDEX(FX_Input,S$5,F$3*$Z$5+$AA$5))-(7261/(F1716+459.6))+12.82),IF(F1709="Refined Petroleum Stock",EXP((0.7553-(413/(F1716+459.6)))*(INDEX(FX_Input,S$5,F$3*$Z$5+$AA$5-1)^0.5)*LOG10(INDEX(FX_Input,S$5,F$3*$Z$5+$AA$5))-(1.854-(1042/(F1716+459.6)))*(INDEX(FX_Input,S$5,F$3*$Z$5+$AA$5-1)^0.5)+((2416/(F1716+459.6)-2.013)*LOG10(INDEX(FX_Input,S$5,F$3*$Z$5+$AA$5)))-(8742/(F1716+459.6))+15.64),EXP(INDEX(Antoines,MATCH(F1708,Antoine_Name,0),2)-INDEX(Antoines,MATCH(F1708,Antoine_Name,0),3)/(F1716+459.6))))),0)</f>
        <v>1</v>
      </c>
      <c r="G1719" cm="1">
        <f t="array" ref="G1719">IFERROR(IF(G1709="Chemical",(10^(INDEX(Antoines,MATCH(G1708,Antoine_Name,0),2)-INDEX(Antoines,MATCH(G1708,Antoine_Name,0),3)/(INDEX(Antoines,MATCH(G1708,Antoine_Name,0),4)+(G1716-32)*5/9)))*14.7/760,IF(G1709="Crude Oil",EXP((2799/(G1716+459.6)-2.227)*LOG10(INDEX(FX_Input,T$5,G$3*$Z$5+$AA$5))-(7261/(G1716+459.6))+12.82),IF(G1709="Refined Petroleum Stock",EXP((0.7553-(413/(G1716+459.6)))*(INDEX(FX_Input,T$5,G$3*$Z$5+$AA$5-1)^0.5)*LOG10(INDEX(FX_Input,T$5,G$3*$Z$5+$AA$5))-(1.854-(1042/(G1716+459.6)))*(INDEX(FX_Input,T$5,G$3*$Z$5+$AA$5-1)^0.5)+((2416/(G1716+459.6)-2.013)*LOG10(INDEX(FX_Input,T$5,G$3*$Z$5+$AA$5)))-(8742/(G1716+459.6))+15.64),EXP(INDEX(Antoines,MATCH(G1708,Antoine_Name,0),2)-INDEX(Antoines,MATCH(G1708,Antoine_Name,0),3)/(G1716+459.6))))),0)</f>
        <v>1</v>
      </c>
      <c r="H1719" cm="1">
        <f t="array" ref="H1719">IFERROR(IF(H1709="Chemical",(10^(INDEX(Antoines,MATCH(H1708,Antoine_Name,0),2)-INDEX(Antoines,MATCH(H1708,Antoine_Name,0),3)/(INDEX(Antoines,MATCH(H1708,Antoine_Name,0),4)+(H1716-32)*5/9)))*14.7/760,IF(H1709="Crude Oil",EXP((2799/(H1716+459.6)-2.227)*LOG10(INDEX(FX_Input,U$5,H$3*$Z$5+$AA$5))-(7261/(H1716+459.6))+12.82),IF(H1709="Refined Petroleum Stock",EXP((0.7553-(413/(H1716+459.6)))*(INDEX(FX_Input,U$5,H$3*$Z$5+$AA$5-1)^0.5)*LOG10(INDEX(FX_Input,U$5,H$3*$Z$5+$AA$5))-(1.854-(1042/(H1716+459.6)))*(INDEX(FX_Input,U$5,H$3*$Z$5+$AA$5-1)^0.5)+((2416/(H1716+459.6)-2.013)*LOG10(INDEX(FX_Input,U$5,H$3*$Z$5+$AA$5)))-(8742/(H1716+459.6))+15.64),EXP(INDEX(Antoines,MATCH(H1708,Antoine_Name,0),2)-INDEX(Antoines,MATCH(H1708,Antoine_Name,0),3)/(H1716+459.6))))),0)</f>
        <v>1</v>
      </c>
      <c r="I1719" cm="1">
        <f t="array" ref="I1719">IFERROR(IF(I1709="Chemical",(10^(INDEX(Antoines,MATCH(I1708,Antoine_Name,0),2)-INDEX(Antoines,MATCH(I1708,Antoine_Name,0),3)/(INDEX(Antoines,MATCH(I1708,Antoine_Name,0),4)+(I1716-32)*5/9)))*14.7/760,IF(I1709="Crude Oil",EXP((2799/(I1716+459.6)-2.227)*LOG10(INDEX(FX_Input,V$5,I$3*$Z$5+$AA$5))-(7261/(I1716+459.6))+12.82),IF(I1709="Refined Petroleum Stock",EXP((0.7553-(413/(I1716+459.6)))*(INDEX(FX_Input,V$5,I$3*$Z$5+$AA$5-1)^0.5)*LOG10(INDEX(FX_Input,V$5,I$3*$Z$5+$AA$5))-(1.854-(1042/(I1716+459.6)))*(INDEX(FX_Input,V$5,I$3*$Z$5+$AA$5-1)^0.5)+((2416/(I1716+459.6)-2.013)*LOG10(INDEX(FX_Input,V$5,I$3*$Z$5+$AA$5)))-(8742/(I1716+459.6))+15.64),EXP(INDEX(Antoines,MATCH(I1708,Antoine_Name,0),2)-INDEX(Antoines,MATCH(I1708,Antoine_Name,0),3)/(I1716+459.6))))),0)</f>
        <v>1</v>
      </c>
      <c r="J1719" cm="1">
        <f t="array" ref="J1719">IFERROR(IF(J1709="Chemical",(10^(INDEX(Antoines,MATCH(J1708,Antoine_Name,0),2)-INDEX(Antoines,MATCH(J1708,Antoine_Name,0),3)/(INDEX(Antoines,MATCH(J1708,Antoine_Name,0),4)+(J1716-32)*5/9)))*14.7/760,IF(J1709="Crude Oil",EXP((2799/(J1716+459.6)-2.227)*LOG10(INDEX(FX_Input,W$5,J$3*$Z$5+$AA$5))-(7261/(J1716+459.6))+12.82),IF(J1709="Refined Petroleum Stock",EXP((0.7553-(413/(J1716+459.6)))*(INDEX(FX_Input,W$5,J$3*$Z$5+$AA$5-1)^0.5)*LOG10(INDEX(FX_Input,W$5,J$3*$Z$5+$AA$5))-(1.854-(1042/(J1716+459.6)))*(INDEX(FX_Input,W$5,J$3*$Z$5+$AA$5-1)^0.5)+((2416/(J1716+459.6)-2.013)*LOG10(INDEX(FX_Input,W$5,J$3*$Z$5+$AA$5)))-(8742/(J1716+459.6))+15.64),EXP(INDEX(Antoines,MATCH(J1708,Antoine_Name,0),2)-INDEX(Antoines,MATCH(J1708,Antoine_Name,0),3)/(J1716+459.6))))),0)</f>
        <v>1</v>
      </c>
      <c r="K1719" cm="1">
        <f t="array" ref="K1719">IFERROR(IF(K1709="Chemical",(10^(INDEX(Antoines,MATCH(K1708,Antoine_Name,0),2)-INDEX(Antoines,MATCH(K1708,Antoine_Name,0),3)/(INDEX(Antoines,MATCH(K1708,Antoine_Name,0),4)+(K1716-32)*5/9)))*14.7/760,IF(K1709="Crude Oil",EXP((2799/(K1716+459.6)-2.227)*LOG10(INDEX(FX_Input,X$5,K$3*$Z$5+$AA$5))-(7261/(K1716+459.6))+12.82),IF(K1709="Refined Petroleum Stock",EXP((0.7553-(413/(K1716+459.6)))*(INDEX(FX_Input,X$5,K$3*$Z$5+$AA$5-1)^0.5)*LOG10(INDEX(FX_Input,X$5,K$3*$Z$5+$AA$5))-(1.854-(1042/(K1716+459.6)))*(INDEX(FX_Input,X$5,K$3*$Z$5+$AA$5-1)^0.5)+((2416/(K1716+459.6)-2.013)*LOG10(INDEX(FX_Input,X$5,K$3*$Z$5+$AA$5)))-(8742/(K1716+459.6))+15.64),EXP(INDEX(Antoines,MATCH(K1708,Antoine_Name,0),2)-INDEX(Antoines,MATCH(K1708,Antoine_Name,0),3)/(K1716+459.6))))),0)</f>
        <v>1</v>
      </c>
      <c r="L1719" cm="1">
        <f t="array" ref="L1719">IFERROR(IF(L1709="Chemical",(10^(INDEX(Antoines,MATCH(L1708,Antoine_Name,0),2)-INDEX(Antoines,MATCH(L1708,Antoine_Name,0),3)/(INDEX(Antoines,MATCH(L1708,Antoine_Name,0),4)+(L1716-32)*5/9)))*14.7/760,IF(L1709="Crude Oil",EXP((2799/(L1716+459.6)-2.227)*LOG10(INDEX(FX_Input,Y$5,L$3*$Z$5+$AA$5))-(7261/(L1716+459.6))+12.82),IF(L1709="Refined Petroleum Stock",EXP((0.7553-(413/(L1716+459.6)))*(INDEX(FX_Input,Y$5,L$3*$Z$5+$AA$5-1)^0.5)*LOG10(INDEX(FX_Input,Y$5,L$3*$Z$5+$AA$5))-(1.854-(1042/(L1716+459.6)))*(INDEX(FX_Input,Y$5,L$3*$Z$5+$AA$5-1)^0.5)+((2416/(L1716+459.6)-2.013)*LOG10(INDEX(FX_Input,Y$5,L$3*$Z$5+$AA$5)))-(8742/(L1716+459.6))+15.64),EXP(INDEX(Antoines,MATCH(L1708,Antoine_Name,0),2)-INDEX(Antoines,MATCH(L1708,Antoine_Name,0),3)/(L1716+459.6))))),0)</f>
        <v>1</v>
      </c>
      <c r="M1719" cm="1">
        <f t="array" ref="M1719">IFERROR(IF(M1709="Chemical",(10^(INDEX(Antoines,MATCH(M1708,Antoine_Name,0),2)-INDEX(Antoines,MATCH(M1708,Antoine_Name,0),3)/(INDEX(Antoines,MATCH(M1708,Antoine_Name,0),4)+(M1716-32)*5/9)))*14.7/760,IF(M1709="Crude Oil",EXP((2799/(M1716+459.6)-2.227)*LOG10(INDEX(FX_Input,Z$5,M$3*$Z$5+$AA$5))-(7261/(M1716+459.6))+12.82),IF(M1709="Refined Petroleum Stock",EXP((0.7553-(413/(M1716+459.6)))*(INDEX(FX_Input,Z$5,M$3*$Z$5+$AA$5-1)^0.5)*LOG10(INDEX(FX_Input,Z$5,M$3*$Z$5+$AA$5))-(1.854-(1042/(M1716+459.6)))*(INDEX(FX_Input,Z$5,M$3*$Z$5+$AA$5-1)^0.5)+((2416/(M1716+459.6)-2.013)*LOG10(INDEX(FX_Input,Z$5,M$3*$Z$5+$AA$5)))-(8742/(M1716+459.6))+15.64),EXP(INDEX(Antoines,MATCH(M1708,Antoine_Name,0),2)-INDEX(Antoines,MATCH(M1708,Antoine_Name,0),3)/(M1716+459.6))))),0)</f>
        <v>1</v>
      </c>
      <c r="N1719" cm="1">
        <f t="array" ref="N1719">IFERROR(IF(N1709="Chemical",(10^(INDEX(Antoines,MATCH(N1708,Antoine_Name,0),2)-INDEX(Antoines,MATCH(N1708,Antoine_Name,0),3)/(INDEX(Antoines,MATCH(N1708,Antoine_Name,0),4)+(N1716-32)*5/9)))*14.7/760,IF(N1709="Crude Oil",EXP((2799/(N1716+459.6)-2.227)*LOG10(INDEX(FX_Input,AA$5,N$3*$Z$5+$AA$5))-(7261/(N1716+459.6))+12.82),IF(N1709="Refined Petroleum Stock",EXP((0.7553-(413/(N1716+459.6)))*(INDEX(FX_Input,AA$5,N$3*$Z$5+$AA$5-1)^0.5)*LOG10(INDEX(FX_Input,AA$5,N$3*$Z$5+$AA$5))-(1.854-(1042/(N1716+459.6)))*(INDEX(FX_Input,AA$5,N$3*$Z$5+$AA$5-1)^0.5)+((2416/(N1716+459.6)-2.013)*LOG10(INDEX(FX_Input,AA$5,N$3*$Z$5+$AA$5)))-(8742/(N1716+459.6))+15.64),EXP(INDEX(Antoines,MATCH(N1708,Antoine_Name,0),2)-INDEX(Antoines,MATCH(N1708,Antoine_Name,0),3)/(N1716+459.6))))),0)</f>
        <v>1</v>
      </c>
      <c r="O1719" cm="1">
        <f t="array" ref="O1719">IFERROR(IF(O1709="Chemical",(10^(INDEX(Antoines,MATCH(O1708,Antoine_Name,0),2)-INDEX(Antoines,MATCH(O1708,Antoine_Name,0),3)/(INDEX(Antoines,MATCH(O1708,Antoine_Name,0),4)+(O1716-32)*5/9)))*14.7/760,IF(O1709="Crude Oil",EXP((2799/(O1716+459.6)-2.227)*LOG10(INDEX(FX_Input,AB$5,O$3*$Z$5+$AA$5))-(7261/(O1716+459.6))+12.82),IF(O1709="Refined Petroleum Stock",EXP((0.7553-(413/(O1716+459.6)))*(INDEX(FX_Input,AB$5,O$3*$Z$5+$AA$5-1)^0.5)*LOG10(INDEX(FX_Input,AB$5,O$3*$Z$5+$AA$5))-(1.854-(1042/(O1716+459.6)))*(INDEX(FX_Input,AB$5,O$3*$Z$5+$AA$5-1)^0.5)+((2416/(O1716+459.6)-2.013)*LOG10(INDEX(FX_Input,AB$5,O$3*$Z$5+$AA$5)))-(8742/(O1716+459.6))+15.64),EXP(INDEX(Antoines,MATCH(O1708,Antoine_Name,0),2)-INDEX(Antoines,MATCH(O1708,Antoine_Name,0),3)/(O1716+459.6))))),0)</f>
        <v>1</v>
      </c>
    </row>
    <row r="1720" spans="2:32" ht="17.149999999999999" x14ac:dyDescent="0.55000000000000004">
      <c r="B1720" t="str">
        <f t="shared" si="6292"/>
        <v>Portland</v>
      </c>
      <c r="C1720" t="s">
        <v>576</v>
      </c>
      <c r="D1720">
        <f>D1712*D1719</f>
        <v>1</v>
      </c>
      <c r="E1720">
        <f t="shared" ref="E1720" si="6293">E1712*E1719</f>
        <v>1</v>
      </c>
      <c r="F1720">
        <f t="shared" ref="F1720" si="6294">F1712*F1719</f>
        <v>1</v>
      </c>
      <c r="G1720">
        <f t="shared" ref="G1720" si="6295">G1712*G1719</f>
        <v>1</v>
      </c>
      <c r="H1720">
        <f t="shared" ref="H1720" si="6296">H1712*H1719</f>
        <v>1</v>
      </c>
      <c r="I1720">
        <f t="shared" ref="I1720" si="6297">I1712*I1719</f>
        <v>1</v>
      </c>
      <c r="J1720">
        <f t="shared" ref="J1720" si="6298">J1712*J1719</f>
        <v>1</v>
      </c>
      <c r="K1720">
        <f t="shared" ref="K1720" si="6299">K1712*K1719</f>
        <v>1</v>
      </c>
      <c r="L1720">
        <f t="shared" ref="L1720" si="6300">L1712*L1719</f>
        <v>1</v>
      </c>
      <c r="M1720">
        <f t="shared" ref="M1720" si="6301">M1712*M1719</f>
        <v>1</v>
      </c>
      <c r="N1720">
        <f t="shared" ref="N1720" si="6302">N1712*N1719</f>
        <v>1</v>
      </c>
      <c r="O1720">
        <f t="shared" ref="O1720" si="6303">O1712*O1719</f>
        <v>1</v>
      </c>
    </row>
    <row r="1721" spans="2:32" ht="17.149999999999999" x14ac:dyDescent="0.55000000000000004">
      <c r="B1721" t="str">
        <f t="shared" si="6292"/>
        <v>Portland</v>
      </c>
      <c r="C1721" t="s">
        <v>575</v>
      </c>
      <c r="D1721" cm="1">
        <f t="array" ref="D1721">IFERROR(IF(D1711="Chemical",(10^(INDEX(Antoines,MATCH(D1710,Antoine_Name,0),2)-INDEX(Antoines,MATCH(D1710,Antoine_Name,0),3)/(INDEX(Antoines,MATCH(D1710,Antoine_Name,0),4)+(D1716-32)*5/9)))*14.7/760,IF(D1711="Crude Oil",EXP((2799/(D1716+459.6)-2.227)*LOG10(INDEX(FX_Input,Q$5,D$3*$Z$5+$AA$5))-(7261/(D1716+459.6))+12.82),IF(D1711="Refined Petroleum Stock",EXP((0.7553-(413/(D1716+459.6)))*(INDEX(FX_Input,Q$5,D$3*$Z$5+$AA$5-1)^0.5)*LOG10(INDEX(FX_Input,Q$5,D$3*$Z$5+$AA$5))-(1.854-(1042/(D1716+459.6)))*(INDEX(FX_Input,Q$5,D$3*$Z$5+$AA$5-1)^0.5)+((2416/(D1716+459.6)-2.013)*LOG10(INDEX(FX_Input,Q$5,D$3*$Z$5+$AA$5)))-(8742/(D1716+459.6))+15.64),EXP(INDEX(Antoines,MATCH(D1710,Antoine_Name,0),2)-INDEX(Antoines,MATCH(D1710,Antoine_Name,0),3)/(D1716+459.6))))),0)</f>
        <v>0</v>
      </c>
      <c r="E1721" cm="1">
        <f t="array" ref="E1721">IFERROR(IF(E1711="Chemical",(10^(INDEX(Antoines,MATCH(E1710,Antoine_Name,0),2)-INDEX(Antoines,MATCH(E1710,Antoine_Name,0),3)/(INDEX(Antoines,MATCH(E1710,Antoine_Name,0),4)+(E1716-32)*5/9)))*14.7/760,IF(E1711="Crude Oil",EXP((2799/(E1716+459.6)-2.227)*LOG10(INDEX(FX_Input,R$5,E$3*$Z$5+$AA$5))-(7261/(E1716+459.6))+12.82),IF(E1711="Refined Petroleum Stock",EXP((0.7553-(413/(E1716+459.6)))*(INDEX(FX_Input,R$5,E$3*$Z$5+$AA$5-1)^0.5)*LOG10(INDEX(FX_Input,R$5,E$3*$Z$5+$AA$5))-(1.854-(1042/(E1716+459.6)))*(INDEX(FX_Input,R$5,E$3*$Z$5+$AA$5-1)^0.5)+((2416/(E1716+459.6)-2.013)*LOG10(INDEX(FX_Input,R$5,E$3*$Z$5+$AA$5)))-(8742/(E1716+459.6))+15.64),EXP(INDEX(Antoines,MATCH(E1710,Antoine_Name,0),2)-INDEX(Antoines,MATCH(E1710,Antoine_Name,0),3)/(E1716+459.6))))),0)</f>
        <v>0</v>
      </c>
      <c r="F1721" cm="1">
        <f t="array" ref="F1721">IFERROR(IF(F1711="Chemical",(10^(INDEX(Antoines,MATCH(F1710,Antoine_Name,0),2)-INDEX(Antoines,MATCH(F1710,Antoine_Name,0),3)/(INDEX(Antoines,MATCH(F1710,Antoine_Name,0),4)+(F1716-32)*5/9)))*14.7/760,IF(F1711="Crude Oil",EXP((2799/(F1716+459.6)-2.227)*LOG10(INDEX(FX_Input,S$5,F$3*$Z$5+$AA$5))-(7261/(F1716+459.6))+12.82),IF(F1711="Refined Petroleum Stock",EXP((0.7553-(413/(F1716+459.6)))*(INDEX(FX_Input,S$5,F$3*$Z$5+$AA$5-1)^0.5)*LOG10(INDEX(FX_Input,S$5,F$3*$Z$5+$AA$5))-(1.854-(1042/(F1716+459.6)))*(INDEX(FX_Input,S$5,F$3*$Z$5+$AA$5-1)^0.5)+((2416/(F1716+459.6)-2.013)*LOG10(INDEX(FX_Input,S$5,F$3*$Z$5+$AA$5)))-(8742/(F1716+459.6))+15.64),EXP(INDEX(Antoines,MATCH(F1710,Antoine_Name,0),2)-INDEX(Antoines,MATCH(F1710,Antoine_Name,0),3)/(F1716+459.6))))),0)</f>
        <v>0</v>
      </c>
      <c r="G1721" cm="1">
        <f t="array" ref="G1721">IFERROR(IF(G1711="Chemical",(10^(INDEX(Antoines,MATCH(G1710,Antoine_Name,0),2)-INDEX(Antoines,MATCH(G1710,Antoine_Name,0),3)/(INDEX(Antoines,MATCH(G1710,Antoine_Name,0),4)+(G1716-32)*5/9)))*14.7/760,IF(G1711="Crude Oil",EXP((2799/(G1716+459.6)-2.227)*LOG10(INDEX(FX_Input,T$5,G$3*$Z$5+$AA$5))-(7261/(G1716+459.6))+12.82),IF(G1711="Refined Petroleum Stock",EXP((0.7553-(413/(G1716+459.6)))*(INDEX(FX_Input,T$5,G$3*$Z$5+$AA$5-1)^0.5)*LOG10(INDEX(FX_Input,T$5,G$3*$Z$5+$AA$5))-(1.854-(1042/(G1716+459.6)))*(INDEX(FX_Input,T$5,G$3*$Z$5+$AA$5-1)^0.5)+((2416/(G1716+459.6)-2.013)*LOG10(INDEX(FX_Input,T$5,G$3*$Z$5+$AA$5)))-(8742/(G1716+459.6))+15.64),EXP(INDEX(Antoines,MATCH(G1710,Antoine_Name,0),2)-INDEX(Antoines,MATCH(G1710,Antoine_Name,0),3)/(G1716+459.6))))),0)</f>
        <v>0</v>
      </c>
      <c r="H1721" cm="1">
        <f t="array" ref="H1721">IFERROR(IF(H1711="Chemical",(10^(INDEX(Antoines,MATCH(H1710,Antoine_Name,0),2)-INDEX(Antoines,MATCH(H1710,Antoine_Name,0),3)/(INDEX(Antoines,MATCH(H1710,Antoine_Name,0),4)+(H1716-32)*5/9)))*14.7/760,IF(H1711="Crude Oil",EXP((2799/(H1716+459.6)-2.227)*LOG10(INDEX(FX_Input,U$5,H$3*$Z$5+$AA$5))-(7261/(H1716+459.6))+12.82),IF(H1711="Refined Petroleum Stock",EXP((0.7553-(413/(H1716+459.6)))*(INDEX(FX_Input,U$5,H$3*$Z$5+$AA$5-1)^0.5)*LOG10(INDEX(FX_Input,U$5,H$3*$Z$5+$AA$5))-(1.854-(1042/(H1716+459.6)))*(INDEX(FX_Input,U$5,H$3*$Z$5+$AA$5-1)^0.5)+((2416/(H1716+459.6)-2.013)*LOG10(INDEX(FX_Input,U$5,H$3*$Z$5+$AA$5)))-(8742/(H1716+459.6))+15.64),EXP(INDEX(Antoines,MATCH(H1710,Antoine_Name,0),2)-INDEX(Antoines,MATCH(H1710,Antoine_Name,0),3)/(H1716+459.6))))),0)</f>
        <v>0</v>
      </c>
      <c r="I1721" cm="1">
        <f t="array" ref="I1721">IFERROR(IF(I1711="Chemical",(10^(INDEX(Antoines,MATCH(I1710,Antoine_Name,0),2)-INDEX(Antoines,MATCH(I1710,Antoine_Name,0),3)/(INDEX(Antoines,MATCH(I1710,Antoine_Name,0),4)+(I1716-32)*5/9)))*14.7/760,IF(I1711="Crude Oil",EXP((2799/(I1716+459.6)-2.227)*LOG10(INDEX(FX_Input,V$5,I$3*$Z$5+$AA$5))-(7261/(I1716+459.6))+12.82),IF(I1711="Refined Petroleum Stock",EXP((0.7553-(413/(I1716+459.6)))*(INDEX(FX_Input,V$5,I$3*$Z$5+$AA$5-1)^0.5)*LOG10(INDEX(FX_Input,V$5,I$3*$Z$5+$AA$5))-(1.854-(1042/(I1716+459.6)))*(INDEX(FX_Input,V$5,I$3*$Z$5+$AA$5-1)^0.5)+((2416/(I1716+459.6)-2.013)*LOG10(INDEX(FX_Input,V$5,I$3*$Z$5+$AA$5)))-(8742/(I1716+459.6))+15.64),EXP(INDEX(Antoines,MATCH(I1710,Antoine_Name,0),2)-INDEX(Antoines,MATCH(I1710,Antoine_Name,0),3)/(I1716+459.6))))),0)</f>
        <v>0</v>
      </c>
      <c r="J1721" cm="1">
        <f t="array" ref="J1721">IFERROR(IF(J1711="Chemical",(10^(INDEX(Antoines,MATCH(J1710,Antoine_Name,0),2)-INDEX(Antoines,MATCH(J1710,Antoine_Name,0),3)/(INDEX(Antoines,MATCH(J1710,Antoine_Name,0),4)+(J1716-32)*5/9)))*14.7/760,IF(J1711="Crude Oil",EXP((2799/(J1716+459.6)-2.227)*LOG10(INDEX(FX_Input,W$5,J$3*$Z$5+$AA$5))-(7261/(J1716+459.6))+12.82),IF(J1711="Refined Petroleum Stock",EXP((0.7553-(413/(J1716+459.6)))*(INDEX(FX_Input,W$5,J$3*$Z$5+$AA$5-1)^0.5)*LOG10(INDEX(FX_Input,W$5,J$3*$Z$5+$AA$5))-(1.854-(1042/(J1716+459.6)))*(INDEX(FX_Input,W$5,J$3*$Z$5+$AA$5-1)^0.5)+((2416/(J1716+459.6)-2.013)*LOG10(INDEX(FX_Input,W$5,J$3*$Z$5+$AA$5)))-(8742/(J1716+459.6))+15.64),EXP(INDEX(Antoines,MATCH(J1710,Antoine_Name,0),2)-INDEX(Antoines,MATCH(J1710,Antoine_Name,0),3)/(J1716+459.6))))),0)</f>
        <v>0</v>
      </c>
      <c r="K1721" cm="1">
        <f t="array" ref="K1721">IFERROR(IF(K1711="Chemical",(10^(INDEX(Antoines,MATCH(K1710,Antoine_Name,0),2)-INDEX(Antoines,MATCH(K1710,Antoine_Name,0),3)/(INDEX(Antoines,MATCH(K1710,Antoine_Name,0),4)+(K1716-32)*5/9)))*14.7/760,IF(K1711="Crude Oil",EXP((2799/(K1716+459.6)-2.227)*LOG10(INDEX(FX_Input,X$5,K$3*$Z$5+$AA$5))-(7261/(K1716+459.6))+12.82),IF(K1711="Refined Petroleum Stock",EXP((0.7553-(413/(K1716+459.6)))*(INDEX(FX_Input,X$5,K$3*$Z$5+$AA$5-1)^0.5)*LOG10(INDEX(FX_Input,X$5,K$3*$Z$5+$AA$5))-(1.854-(1042/(K1716+459.6)))*(INDEX(FX_Input,X$5,K$3*$Z$5+$AA$5-1)^0.5)+((2416/(K1716+459.6)-2.013)*LOG10(INDEX(FX_Input,X$5,K$3*$Z$5+$AA$5)))-(8742/(K1716+459.6))+15.64),EXP(INDEX(Antoines,MATCH(K1710,Antoine_Name,0),2)-INDEX(Antoines,MATCH(K1710,Antoine_Name,0),3)/(K1716+459.6))))),0)</f>
        <v>0</v>
      </c>
      <c r="L1721" cm="1">
        <f t="array" ref="L1721">IFERROR(IF(L1711="Chemical",(10^(INDEX(Antoines,MATCH(L1710,Antoine_Name,0),2)-INDEX(Antoines,MATCH(L1710,Antoine_Name,0),3)/(INDEX(Antoines,MATCH(L1710,Antoine_Name,0),4)+(L1716-32)*5/9)))*14.7/760,IF(L1711="Crude Oil",EXP((2799/(L1716+459.6)-2.227)*LOG10(INDEX(FX_Input,Y$5,L$3*$Z$5+$AA$5))-(7261/(L1716+459.6))+12.82),IF(L1711="Refined Petroleum Stock",EXP((0.7553-(413/(L1716+459.6)))*(INDEX(FX_Input,Y$5,L$3*$Z$5+$AA$5-1)^0.5)*LOG10(INDEX(FX_Input,Y$5,L$3*$Z$5+$AA$5))-(1.854-(1042/(L1716+459.6)))*(INDEX(FX_Input,Y$5,L$3*$Z$5+$AA$5-1)^0.5)+((2416/(L1716+459.6)-2.013)*LOG10(INDEX(FX_Input,Y$5,L$3*$Z$5+$AA$5)))-(8742/(L1716+459.6))+15.64),EXP(INDEX(Antoines,MATCH(L1710,Antoine_Name,0),2)-INDEX(Antoines,MATCH(L1710,Antoine_Name,0),3)/(L1716+459.6))))),0)</f>
        <v>0</v>
      </c>
      <c r="M1721" cm="1">
        <f t="array" ref="M1721">IFERROR(IF(M1711="Chemical",(10^(INDEX(Antoines,MATCH(M1710,Antoine_Name,0),2)-INDEX(Antoines,MATCH(M1710,Antoine_Name,0),3)/(INDEX(Antoines,MATCH(M1710,Antoine_Name,0),4)+(M1716-32)*5/9)))*14.7/760,IF(M1711="Crude Oil",EXP((2799/(M1716+459.6)-2.227)*LOG10(INDEX(FX_Input,Z$5,M$3*$Z$5+$AA$5))-(7261/(M1716+459.6))+12.82),IF(M1711="Refined Petroleum Stock",EXP((0.7553-(413/(M1716+459.6)))*(INDEX(FX_Input,Z$5,M$3*$Z$5+$AA$5-1)^0.5)*LOG10(INDEX(FX_Input,Z$5,M$3*$Z$5+$AA$5))-(1.854-(1042/(M1716+459.6)))*(INDEX(FX_Input,Z$5,M$3*$Z$5+$AA$5-1)^0.5)+((2416/(M1716+459.6)-2.013)*LOG10(INDEX(FX_Input,Z$5,M$3*$Z$5+$AA$5)))-(8742/(M1716+459.6))+15.64),EXP(INDEX(Antoines,MATCH(M1710,Antoine_Name,0),2)-INDEX(Antoines,MATCH(M1710,Antoine_Name,0),3)/(M1716+459.6))))),0)</f>
        <v>0</v>
      </c>
      <c r="N1721" cm="1">
        <f t="array" ref="N1721">IFERROR(IF(N1711="Chemical",(10^(INDEX(Antoines,MATCH(N1710,Antoine_Name,0),2)-INDEX(Antoines,MATCH(N1710,Antoine_Name,0),3)/(INDEX(Antoines,MATCH(N1710,Antoine_Name,0),4)+(N1716-32)*5/9)))*14.7/760,IF(N1711="Crude Oil",EXP((2799/(N1716+459.6)-2.227)*LOG10(INDEX(FX_Input,AA$5,N$3*$Z$5+$AA$5))-(7261/(N1716+459.6))+12.82),IF(N1711="Refined Petroleum Stock",EXP((0.7553-(413/(N1716+459.6)))*(INDEX(FX_Input,AA$5,N$3*$Z$5+$AA$5-1)^0.5)*LOG10(INDEX(FX_Input,AA$5,N$3*$Z$5+$AA$5))-(1.854-(1042/(N1716+459.6)))*(INDEX(FX_Input,AA$5,N$3*$Z$5+$AA$5-1)^0.5)+((2416/(N1716+459.6)-2.013)*LOG10(INDEX(FX_Input,AA$5,N$3*$Z$5+$AA$5)))-(8742/(N1716+459.6))+15.64),EXP(INDEX(Antoines,MATCH(N1710,Antoine_Name,0),2)-INDEX(Antoines,MATCH(N1710,Antoine_Name,0),3)/(N1716+459.6))))),0)</f>
        <v>0</v>
      </c>
      <c r="O1721" cm="1">
        <f t="array" ref="O1721">IFERROR(IF(O1711="Chemical",(10^(INDEX(Antoines,MATCH(O1710,Antoine_Name,0),2)-INDEX(Antoines,MATCH(O1710,Antoine_Name,0),3)/(INDEX(Antoines,MATCH(O1710,Antoine_Name,0),4)+(O1716-32)*5/9)))*14.7/760,IF(O1711="Crude Oil",EXP((2799/(O1716+459.6)-2.227)*LOG10(INDEX(FX_Input,AB$5,O$3*$Z$5+$AA$5))-(7261/(O1716+459.6))+12.82),IF(O1711="Refined Petroleum Stock",EXP((0.7553-(413/(O1716+459.6)))*(INDEX(FX_Input,AB$5,O$3*$Z$5+$AA$5-1)^0.5)*LOG10(INDEX(FX_Input,AB$5,O$3*$Z$5+$AA$5))-(1.854-(1042/(O1716+459.6)))*(INDEX(FX_Input,AB$5,O$3*$Z$5+$AA$5-1)^0.5)+((2416/(O1716+459.6)-2.013)*LOG10(INDEX(FX_Input,AB$5,O$3*$Z$5+$AA$5)))-(8742/(O1716+459.6))+15.64),EXP(INDEX(Antoines,MATCH(O1710,Antoine_Name,0),2)-INDEX(Antoines,MATCH(O1710,Antoine_Name,0),3)/(O1716+459.6))))),0)</f>
        <v>0</v>
      </c>
    </row>
    <row r="1722" spans="2:32" ht="17.149999999999999" x14ac:dyDescent="0.55000000000000004">
      <c r="B1722" t="str">
        <f t="shared" si="6292"/>
        <v>Portland</v>
      </c>
      <c r="C1722" t="s">
        <v>577</v>
      </c>
      <c r="D1722">
        <f>D1721*D1714</f>
        <v>0</v>
      </c>
      <c r="E1722">
        <f t="shared" ref="E1722" si="6304">E1721*E1714</f>
        <v>0</v>
      </c>
      <c r="F1722">
        <f t="shared" ref="F1722" si="6305">F1721*F1714</f>
        <v>0</v>
      </c>
      <c r="G1722">
        <f t="shared" ref="G1722" si="6306">G1721*G1714</f>
        <v>0</v>
      </c>
      <c r="H1722">
        <f t="shared" ref="H1722" si="6307">H1721*H1714</f>
        <v>0</v>
      </c>
      <c r="I1722">
        <f t="shared" ref="I1722" si="6308">I1721*I1714</f>
        <v>0</v>
      </c>
      <c r="J1722">
        <f t="shared" ref="J1722" si="6309">J1721*J1714</f>
        <v>0</v>
      </c>
      <c r="K1722">
        <f t="shared" ref="K1722" si="6310">K1721*K1714</f>
        <v>0</v>
      </c>
      <c r="L1722">
        <f t="shared" ref="L1722" si="6311">L1721*L1714</f>
        <v>0</v>
      </c>
      <c r="M1722">
        <f t="shared" ref="M1722" si="6312">M1721*M1714</f>
        <v>0</v>
      </c>
      <c r="N1722">
        <f t="shared" ref="N1722" si="6313">N1721*N1714</f>
        <v>0</v>
      </c>
      <c r="O1722">
        <f t="shared" ref="O1722" si="6314">O1721*O1714</f>
        <v>0</v>
      </c>
    </row>
    <row r="1723" spans="2:32" ht="17.149999999999999" x14ac:dyDescent="0.55000000000000004">
      <c r="B1723" t="str">
        <f t="shared" si="6292"/>
        <v>Portland</v>
      </c>
      <c r="C1723" t="s">
        <v>578</v>
      </c>
      <c r="D1723">
        <f>D1722+D1720</f>
        <v>1</v>
      </c>
      <c r="E1723">
        <f t="shared" ref="E1723" si="6315">E1722+E1720</f>
        <v>1</v>
      </c>
      <c r="F1723">
        <f t="shared" ref="F1723" si="6316">F1722+F1720</f>
        <v>1</v>
      </c>
      <c r="G1723">
        <f t="shared" ref="G1723" si="6317">G1722+G1720</f>
        <v>1</v>
      </c>
      <c r="H1723">
        <f t="shared" ref="H1723" si="6318">H1722+H1720</f>
        <v>1</v>
      </c>
      <c r="I1723">
        <f t="shared" ref="I1723" si="6319">I1722+I1720</f>
        <v>1</v>
      </c>
      <c r="J1723">
        <f t="shared" ref="J1723" si="6320">J1722+J1720</f>
        <v>1</v>
      </c>
      <c r="K1723">
        <f t="shared" ref="K1723" si="6321">K1722+K1720</f>
        <v>1</v>
      </c>
      <c r="L1723">
        <f t="shared" ref="L1723" si="6322">L1722+L1720</f>
        <v>1</v>
      </c>
      <c r="M1723">
        <f t="shared" ref="M1723" si="6323">M1722+M1720</f>
        <v>1</v>
      </c>
      <c r="N1723">
        <f t="shared" ref="N1723" si="6324">N1722+N1720</f>
        <v>1</v>
      </c>
      <c r="O1723">
        <f t="shared" ref="O1723" si="6325">O1722+O1720</f>
        <v>1</v>
      </c>
    </row>
    <row r="1724" spans="2:32" ht="17.149999999999999" x14ac:dyDescent="0.55000000000000004">
      <c r="B1724" t="str">
        <f t="shared" si="6292"/>
        <v>Portland</v>
      </c>
      <c r="C1724" t="s">
        <v>579</v>
      </c>
      <c r="D1724" cm="1">
        <f t="array" ref="D1724">IFERROR(IF(D1709="Chemical",(10^(INDEX(Antoines,MATCH(D1708,Antoine_Name,0),2)-INDEX(Antoines,MATCH(D1708,Antoine_Name,0),3)/(INDEX(Antoines,MATCH(D1708,Antoine_Name,0),4)+(D1717-32)*5/9)))*14.7/760,IF(D1709="Crude Oil",EXP((2799/(D1717+459.6)-2.227)*LOG10(INDEX(FX_Input,Q$5,D$3*$Z$5+$AA$5))-(7261/(D1717+459.6))+12.82),IF(D1709="Refined Petroleum Stock",EXP((0.7553-(413/(D1717+459.6)))*(INDEX(FX_Input,Q$5,D$3*$Z$5+$AA$5-1)^0.5)*LOG10(INDEX(FX_Input,Q$5,D$3*$Z$5+$AA$5))-(1.854-(1042/(D1717+459.6)))*(INDEX(FX_Input,Q$5,D$3*$Z$5+$AA$5-1)^0.5)+((2416/(D1717+459.6)-2.013)*LOG10(INDEX(FX_Input,Q$5,D$3*$Z$5+$AA$5)))-(8742/(D1717+459.6))+15.64),EXP(INDEX(Antoines,MATCH(D1708,Antoine_Name,0),2)-INDEX(Antoines,MATCH(D1708,Antoine_Name,0),3)/(D1717+459.6))))),0)</f>
        <v>1</v>
      </c>
      <c r="E1724" cm="1">
        <f t="array" ref="E1724">IFERROR(IF(E1709="Chemical",(10^(INDEX(Antoines,MATCH(E1708,Antoine_Name,0),2)-INDEX(Antoines,MATCH(E1708,Antoine_Name,0),3)/(INDEX(Antoines,MATCH(E1708,Antoine_Name,0),4)+(E1717-32)*5/9)))*14.7/760,IF(E1709="Crude Oil",EXP((2799/(E1717+459.6)-2.227)*LOG10(INDEX(FX_Input,R$5,E$3*$Z$5+$AA$5))-(7261/(E1717+459.6))+12.82),IF(E1709="Refined Petroleum Stock",EXP((0.7553-(413/(E1717+459.6)))*(INDEX(FX_Input,R$5,E$3*$Z$5+$AA$5-1)^0.5)*LOG10(INDEX(FX_Input,R$5,E$3*$Z$5+$AA$5))-(1.854-(1042/(E1717+459.6)))*(INDEX(FX_Input,R$5,E$3*$Z$5+$AA$5-1)^0.5)+((2416/(E1717+459.6)-2.013)*LOG10(INDEX(FX_Input,R$5,E$3*$Z$5+$AA$5)))-(8742/(E1717+459.6))+15.64),EXP(INDEX(Antoines,MATCH(E1708,Antoine_Name,0),2)-INDEX(Antoines,MATCH(E1708,Antoine_Name,0),3)/(E1717+459.6))))),0)</f>
        <v>1</v>
      </c>
      <c r="F1724" cm="1">
        <f t="array" ref="F1724">IFERROR(IF(F1709="Chemical",(10^(INDEX(Antoines,MATCH(F1708,Antoine_Name,0),2)-INDEX(Antoines,MATCH(F1708,Antoine_Name,0),3)/(INDEX(Antoines,MATCH(F1708,Antoine_Name,0),4)+(F1717-32)*5/9)))*14.7/760,IF(F1709="Crude Oil",EXP((2799/(F1717+459.6)-2.227)*LOG10(INDEX(FX_Input,S$5,F$3*$Z$5+$AA$5))-(7261/(F1717+459.6))+12.82),IF(F1709="Refined Petroleum Stock",EXP((0.7553-(413/(F1717+459.6)))*(INDEX(FX_Input,S$5,F$3*$Z$5+$AA$5-1)^0.5)*LOG10(INDEX(FX_Input,S$5,F$3*$Z$5+$AA$5))-(1.854-(1042/(F1717+459.6)))*(INDEX(FX_Input,S$5,F$3*$Z$5+$AA$5-1)^0.5)+((2416/(F1717+459.6)-2.013)*LOG10(INDEX(FX_Input,S$5,F$3*$Z$5+$AA$5)))-(8742/(F1717+459.6))+15.64),EXP(INDEX(Antoines,MATCH(F1708,Antoine_Name,0),2)-INDEX(Antoines,MATCH(F1708,Antoine_Name,0),3)/(F1717+459.6))))),0)</f>
        <v>1</v>
      </c>
      <c r="G1724" cm="1">
        <f t="array" ref="G1724">IFERROR(IF(G1709="Chemical",(10^(INDEX(Antoines,MATCH(G1708,Antoine_Name,0),2)-INDEX(Antoines,MATCH(G1708,Antoine_Name,0),3)/(INDEX(Antoines,MATCH(G1708,Antoine_Name,0),4)+(G1717-32)*5/9)))*14.7/760,IF(G1709="Crude Oil",EXP((2799/(G1717+459.6)-2.227)*LOG10(INDEX(FX_Input,T$5,G$3*$Z$5+$AA$5))-(7261/(G1717+459.6))+12.82),IF(G1709="Refined Petroleum Stock",EXP((0.7553-(413/(G1717+459.6)))*(INDEX(FX_Input,T$5,G$3*$Z$5+$AA$5-1)^0.5)*LOG10(INDEX(FX_Input,T$5,G$3*$Z$5+$AA$5))-(1.854-(1042/(G1717+459.6)))*(INDEX(FX_Input,T$5,G$3*$Z$5+$AA$5-1)^0.5)+((2416/(G1717+459.6)-2.013)*LOG10(INDEX(FX_Input,T$5,G$3*$Z$5+$AA$5)))-(8742/(G1717+459.6))+15.64),EXP(INDEX(Antoines,MATCH(G1708,Antoine_Name,0),2)-INDEX(Antoines,MATCH(G1708,Antoine_Name,0),3)/(G1717+459.6))))),0)</f>
        <v>1</v>
      </c>
      <c r="H1724" cm="1">
        <f t="array" ref="H1724">IFERROR(IF(H1709="Chemical",(10^(INDEX(Antoines,MATCH(H1708,Antoine_Name,0),2)-INDEX(Antoines,MATCH(H1708,Antoine_Name,0),3)/(INDEX(Antoines,MATCH(H1708,Antoine_Name,0),4)+(H1717-32)*5/9)))*14.7/760,IF(H1709="Crude Oil",EXP((2799/(H1717+459.6)-2.227)*LOG10(INDEX(FX_Input,U$5,H$3*$Z$5+$AA$5))-(7261/(H1717+459.6))+12.82),IF(H1709="Refined Petroleum Stock",EXP((0.7553-(413/(H1717+459.6)))*(INDEX(FX_Input,U$5,H$3*$Z$5+$AA$5-1)^0.5)*LOG10(INDEX(FX_Input,U$5,H$3*$Z$5+$AA$5))-(1.854-(1042/(H1717+459.6)))*(INDEX(FX_Input,U$5,H$3*$Z$5+$AA$5-1)^0.5)+((2416/(H1717+459.6)-2.013)*LOG10(INDEX(FX_Input,U$5,H$3*$Z$5+$AA$5)))-(8742/(H1717+459.6))+15.64),EXP(INDEX(Antoines,MATCH(H1708,Antoine_Name,0),2)-INDEX(Antoines,MATCH(H1708,Antoine_Name,0),3)/(H1717+459.6))))),0)</f>
        <v>1</v>
      </c>
      <c r="I1724" cm="1">
        <f t="array" ref="I1724">IFERROR(IF(I1709="Chemical",(10^(INDEX(Antoines,MATCH(I1708,Antoine_Name,0),2)-INDEX(Antoines,MATCH(I1708,Antoine_Name,0),3)/(INDEX(Antoines,MATCH(I1708,Antoine_Name,0),4)+(I1717-32)*5/9)))*14.7/760,IF(I1709="Crude Oil",EXP((2799/(I1717+459.6)-2.227)*LOG10(INDEX(FX_Input,V$5,I$3*$Z$5+$AA$5))-(7261/(I1717+459.6))+12.82),IF(I1709="Refined Petroleum Stock",EXP((0.7553-(413/(I1717+459.6)))*(INDEX(FX_Input,V$5,I$3*$Z$5+$AA$5-1)^0.5)*LOG10(INDEX(FX_Input,V$5,I$3*$Z$5+$AA$5))-(1.854-(1042/(I1717+459.6)))*(INDEX(FX_Input,V$5,I$3*$Z$5+$AA$5-1)^0.5)+((2416/(I1717+459.6)-2.013)*LOG10(INDEX(FX_Input,V$5,I$3*$Z$5+$AA$5)))-(8742/(I1717+459.6))+15.64),EXP(INDEX(Antoines,MATCH(I1708,Antoine_Name,0),2)-INDEX(Antoines,MATCH(I1708,Antoine_Name,0),3)/(I1717+459.6))))),0)</f>
        <v>1</v>
      </c>
      <c r="J1724" cm="1">
        <f t="array" ref="J1724">IFERROR(IF(J1709="Chemical",(10^(INDEX(Antoines,MATCH(J1708,Antoine_Name,0),2)-INDEX(Antoines,MATCH(J1708,Antoine_Name,0),3)/(INDEX(Antoines,MATCH(J1708,Antoine_Name,0),4)+(J1717-32)*5/9)))*14.7/760,IF(J1709="Crude Oil",EXP((2799/(J1717+459.6)-2.227)*LOG10(INDEX(FX_Input,W$5,J$3*$Z$5+$AA$5))-(7261/(J1717+459.6))+12.82),IF(J1709="Refined Petroleum Stock",EXP((0.7553-(413/(J1717+459.6)))*(INDEX(FX_Input,W$5,J$3*$Z$5+$AA$5-1)^0.5)*LOG10(INDEX(FX_Input,W$5,J$3*$Z$5+$AA$5))-(1.854-(1042/(J1717+459.6)))*(INDEX(FX_Input,W$5,J$3*$Z$5+$AA$5-1)^0.5)+((2416/(J1717+459.6)-2.013)*LOG10(INDEX(FX_Input,W$5,J$3*$Z$5+$AA$5)))-(8742/(J1717+459.6))+15.64),EXP(INDEX(Antoines,MATCH(J1708,Antoine_Name,0),2)-INDEX(Antoines,MATCH(J1708,Antoine_Name,0),3)/(J1717+459.6))))),0)</f>
        <v>1</v>
      </c>
      <c r="K1724" cm="1">
        <f t="array" ref="K1724">IFERROR(IF(K1709="Chemical",(10^(INDEX(Antoines,MATCH(K1708,Antoine_Name,0),2)-INDEX(Antoines,MATCH(K1708,Antoine_Name,0),3)/(INDEX(Antoines,MATCH(K1708,Antoine_Name,0),4)+(K1717-32)*5/9)))*14.7/760,IF(K1709="Crude Oil",EXP((2799/(K1717+459.6)-2.227)*LOG10(INDEX(FX_Input,X$5,K$3*$Z$5+$AA$5))-(7261/(K1717+459.6))+12.82),IF(K1709="Refined Petroleum Stock",EXP((0.7553-(413/(K1717+459.6)))*(INDEX(FX_Input,X$5,K$3*$Z$5+$AA$5-1)^0.5)*LOG10(INDEX(FX_Input,X$5,K$3*$Z$5+$AA$5))-(1.854-(1042/(K1717+459.6)))*(INDEX(FX_Input,X$5,K$3*$Z$5+$AA$5-1)^0.5)+((2416/(K1717+459.6)-2.013)*LOG10(INDEX(FX_Input,X$5,K$3*$Z$5+$AA$5)))-(8742/(K1717+459.6))+15.64),EXP(INDEX(Antoines,MATCH(K1708,Antoine_Name,0),2)-INDEX(Antoines,MATCH(K1708,Antoine_Name,0),3)/(K1717+459.6))))),0)</f>
        <v>1</v>
      </c>
      <c r="L1724" cm="1">
        <f t="array" ref="L1724">IFERROR(IF(L1709="Chemical",(10^(INDEX(Antoines,MATCH(L1708,Antoine_Name,0),2)-INDEX(Antoines,MATCH(L1708,Antoine_Name,0),3)/(INDEX(Antoines,MATCH(L1708,Antoine_Name,0),4)+(L1717-32)*5/9)))*14.7/760,IF(L1709="Crude Oil",EXP((2799/(L1717+459.6)-2.227)*LOG10(INDEX(FX_Input,Y$5,L$3*$Z$5+$AA$5))-(7261/(L1717+459.6))+12.82),IF(L1709="Refined Petroleum Stock",EXP((0.7553-(413/(L1717+459.6)))*(INDEX(FX_Input,Y$5,L$3*$Z$5+$AA$5-1)^0.5)*LOG10(INDEX(FX_Input,Y$5,L$3*$Z$5+$AA$5))-(1.854-(1042/(L1717+459.6)))*(INDEX(FX_Input,Y$5,L$3*$Z$5+$AA$5-1)^0.5)+((2416/(L1717+459.6)-2.013)*LOG10(INDEX(FX_Input,Y$5,L$3*$Z$5+$AA$5)))-(8742/(L1717+459.6))+15.64),EXP(INDEX(Antoines,MATCH(L1708,Antoine_Name,0),2)-INDEX(Antoines,MATCH(L1708,Antoine_Name,0),3)/(L1717+459.6))))),0)</f>
        <v>1</v>
      </c>
      <c r="M1724" cm="1">
        <f t="array" ref="M1724">IFERROR(IF(M1709="Chemical",(10^(INDEX(Antoines,MATCH(M1708,Antoine_Name,0),2)-INDEX(Antoines,MATCH(M1708,Antoine_Name,0),3)/(INDEX(Antoines,MATCH(M1708,Antoine_Name,0),4)+(M1717-32)*5/9)))*14.7/760,IF(M1709="Crude Oil",EXP((2799/(M1717+459.6)-2.227)*LOG10(INDEX(FX_Input,Z$5,M$3*$Z$5+$AA$5))-(7261/(M1717+459.6))+12.82),IF(M1709="Refined Petroleum Stock",EXP((0.7553-(413/(M1717+459.6)))*(INDEX(FX_Input,Z$5,M$3*$Z$5+$AA$5-1)^0.5)*LOG10(INDEX(FX_Input,Z$5,M$3*$Z$5+$AA$5))-(1.854-(1042/(M1717+459.6)))*(INDEX(FX_Input,Z$5,M$3*$Z$5+$AA$5-1)^0.5)+((2416/(M1717+459.6)-2.013)*LOG10(INDEX(FX_Input,Z$5,M$3*$Z$5+$AA$5)))-(8742/(M1717+459.6))+15.64),EXP(INDEX(Antoines,MATCH(M1708,Antoine_Name,0),2)-INDEX(Antoines,MATCH(M1708,Antoine_Name,0),3)/(M1717+459.6))))),0)</f>
        <v>1</v>
      </c>
      <c r="N1724" cm="1">
        <f t="array" ref="N1724">IFERROR(IF(N1709="Chemical",(10^(INDEX(Antoines,MATCH(N1708,Antoine_Name,0),2)-INDEX(Antoines,MATCH(N1708,Antoine_Name,0),3)/(INDEX(Antoines,MATCH(N1708,Antoine_Name,0),4)+(N1717-32)*5/9)))*14.7/760,IF(N1709="Crude Oil",EXP((2799/(N1717+459.6)-2.227)*LOG10(INDEX(FX_Input,AA$5,N$3*$Z$5+$AA$5))-(7261/(N1717+459.6))+12.82),IF(N1709="Refined Petroleum Stock",EXP((0.7553-(413/(N1717+459.6)))*(INDEX(FX_Input,AA$5,N$3*$Z$5+$AA$5-1)^0.5)*LOG10(INDEX(FX_Input,AA$5,N$3*$Z$5+$AA$5))-(1.854-(1042/(N1717+459.6)))*(INDEX(FX_Input,AA$5,N$3*$Z$5+$AA$5-1)^0.5)+((2416/(N1717+459.6)-2.013)*LOG10(INDEX(FX_Input,AA$5,N$3*$Z$5+$AA$5)))-(8742/(N1717+459.6))+15.64),EXP(INDEX(Antoines,MATCH(N1708,Antoine_Name,0),2)-INDEX(Antoines,MATCH(N1708,Antoine_Name,0),3)/(N1717+459.6))))),0)</f>
        <v>1</v>
      </c>
      <c r="O1724" cm="1">
        <f t="array" ref="O1724">IFERROR(IF(O1709="Chemical",(10^(INDEX(Antoines,MATCH(O1708,Antoine_Name,0),2)-INDEX(Antoines,MATCH(O1708,Antoine_Name,0),3)/(INDEX(Antoines,MATCH(O1708,Antoine_Name,0),4)+(O1717-32)*5/9)))*14.7/760,IF(O1709="Crude Oil",EXP((2799/(O1717+459.6)-2.227)*LOG10(INDEX(FX_Input,AB$5,O$3*$Z$5+$AA$5))-(7261/(O1717+459.6))+12.82),IF(O1709="Refined Petroleum Stock",EXP((0.7553-(413/(O1717+459.6)))*(INDEX(FX_Input,AB$5,O$3*$Z$5+$AA$5-1)^0.5)*LOG10(INDEX(FX_Input,AB$5,O$3*$Z$5+$AA$5))-(1.854-(1042/(O1717+459.6)))*(INDEX(FX_Input,AB$5,O$3*$Z$5+$AA$5-1)^0.5)+((2416/(O1717+459.6)-2.013)*LOG10(INDEX(FX_Input,AB$5,O$3*$Z$5+$AA$5)))-(8742/(O1717+459.6))+15.64),EXP(INDEX(Antoines,MATCH(O1708,Antoine_Name,0),2)-INDEX(Antoines,MATCH(O1708,Antoine_Name,0),3)/(O1717+459.6))))),0)</f>
        <v>1</v>
      </c>
    </row>
    <row r="1725" spans="2:32" ht="17.149999999999999" x14ac:dyDescent="0.55000000000000004">
      <c r="B1725" t="str">
        <f t="shared" si="6292"/>
        <v>Portland</v>
      </c>
      <c r="C1725" t="s">
        <v>580</v>
      </c>
      <c r="D1725">
        <f>D1724*D1712</f>
        <v>1</v>
      </c>
      <c r="E1725">
        <f t="shared" ref="E1725" si="6326">E1724*E1712</f>
        <v>1</v>
      </c>
      <c r="F1725">
        <f t="shared" ref="F1725" si="6327">F1724*F1712</f>
        <v>1</v>
      </c>
      <c r="G1725">
        <f t="shared" ref="G1725" si="6328">G1724*G1712</f>
        <v>1</v>
      </c>
      <c r="H1725">
        <f t="shared" ref="H1725" si="6329">H1724*H1712</f>
        <v>1</v>
      </c>
      <c r="I1725">
        <f t="shared" ref="I1725" si="6330">I1724*I1712</f>
        <v>1</v>
      </c>
      <c r="J1725">
        <f t="shared" ref="J1725" si="6331">J1724*J1712</f>
        <v>1</v>
      </c>
      <c r="K1725">
        <f t="shared" ref="K1725" si="6332">K1724*K1712</f>
        <v>1</v>
      </c>
      <c r="L1725">
        <f t="shared" ref="L1725" si="6333">L1724*L1712</f>
        <v>1</v>
      </c>
      <c r="M1725">
        <f t="shared" ref="M1725" si="6334">M1724*M1712</f>
        <v>1</v>
      </c>
      <c r="N1725">
        <f t="shared" ref="N1725" si="6335">N1724*N1712</f>
        <v>1</v>
      </c>
      <c r="O1725">
        <f t="shared" ref="O1725" si="6336">O1724*O1712</f>
        <v>1</v>
      </c>
    </row>
    <row r="1726" spans="2:32" ht="17.149999999999999" x14ac:dyDescent="0.55000000000000004">
      <c r="B1726" t="str">
        <f t="shared" si="6292"/>
        <v>Portland</v>
      </c>
      <c r="C1726" t="s">
        <v>581</v>
      </c>
      <c r="D1726" cm="1">
        <f t="array" ref="D1726">IFERROR(IF(D1711="Chemical",(10^(INDEX(Antoines,MATCH(D1710,Antoine_Name,0),2)-INDEX(Antoines,MATCH(D1710,Antoine_Name,0),3)/(INDEX(Antoines,MATCH(D1710,Antoine_Name,0),4)+(D1717-32)*5/9)))*14.7/760,IF(D1711="Crude Oil",EXP((2799/(D1717+459.6)-2.227)*LOG10(INDEX(FX_Input,Q$5,D$3*$Z$5+$AA$5))-(7261/(D1717+459.6))+12.82),IF(D1711="Refined Petroleum Stock",EXP((0.7553-(413/(D1717+459.6)))*(INDEX(FX_Input,Q$5,D$3*$Z$5+$AA$5-1)^0.5)*LOG10(INDEX(FX_Input,Q$5,D$3*$Z$5+$AA$5))-(1.854-(1042/(D1717+459.6)))*(INDEX(FX_Input,Q$5,D$3*$Z$5+$AA$5-1)^0.5)+((2416/(D1717+459.6)-2.013)*LOG10(INDEX(FX_Input,Q$5,D$3*$Z$5+$AA$5)))-(8742/(D1717+459.6))+15.64),EXP(INDEX(Antoines,MATCH(D1710,Antoine_Name,0),2)-INDEX(Antoines,MATCH(D1710,Antoine_Name,0),3)/(D1717+459.6))))),0)</f>
        <v>0</v>
      </c>
      <c r="E1726" cm="1">
        <f t="array" ref="E1726">IFERROR(IF(E1711="Chemical",(10^(INDEX(Antoines,MATCH(E1710,Antoine_Name,0),2)-INDEX(Antoines,MATCH(E1710,Antoine_Name,0),3)/(INDEX(Antoines,MATCH(E1710,Antoine_Name,0),4)+(E1717-32)*5/9)))*14.7/760,IF(E1711="Crude Oil",EXP((2799/(E1717+459.6)-2.227)*LOG10(INDEX(FX_Input,R$5,E$3*$Z$5+$AA$5))-(7261/(E1717+459.6))+12.82),IF(E1711="Refined Petroleum Stock",EXP((0.7553-(413/(E1717+459.6)))*(INDEX(FX_Input,R$5,E$3*$Z$5+$AA$5-1)^0.5)*LOG10(INDEX(FX_Input,R$5,E$3*$Z$5+$AA$5))-(1.854-(1042/(E1717+459.6)))*(INDEX(FX_Input,R$5,E$3*$Z$5+$AA$5-1)^0.5)+((2416/(E1717+459.6)-2.013)*LOG10(INDEX(FX_Input,R$5,E$3*$Z$5+$AA$5)))-(8742/(E1717+459.6))+15.64),EXP(INDEX(Antoines,MATCH(E1710,Antoine_Name,0),2)-INDEX(Antoines,MATCH(E1710,Antoine_Name,0),3)/(E1717+459.6))))),0)</f>
        <v>0</v>
      </c>
      <c r="F1726" cm="1">
        <f t="array" ref="F1726">IFERROR(IF(F1711="Chemical",(10^(INDEX(Antoines,MATCH(F1710,Antoine_Name,0),2)-INDEX(Antoines,MATCH(F1710,Antoine_Name,0),3)/(INDEX(Antoines,MATCH(F1710,Antoine_Name,0),4)+(F1717-32)*5/9)))*14.7/760,IF(F1711="Crude Oil",EXP((2799/(F1717+459.6)-2.227)*LOG10(INDEX(FX_Input,S$5,F$3*$Z$5+$AA$5))-(7261/(F1717+459.6))+12.82),IF(F1711="Refined Petroleum Stock",EXP((0.7553-(413/(F1717+459.6)))*(INDEX(FX_Input,S$5,F$3*$Z$5+$AA$5-1)^0.5)*LOG10(INDEX(FX_Input,S$5,F$3*$Z$5+$AA$5))-(1.854-(1042/(F1717+459.6)))*(INDEX(FX_Input,S$5,F$3*$Z$5+$AA$5-1)^0.5)+((2416/(F1717+459.6)-2.013)*LOG10(INDEX(FX_Input,S$5,F$3*$Z$5+$AA$5)))-(8742/(F1717+459.6))+15.64),EXP(INDEX(Antoines,MATCH(F1710,Antoine_Name,0),2)-INDEX(Antoines,MATCH(F1710,Antoine_Name,0),3)/(F1717+459.6))))),0)</f>
        <v>0</v>
      </c>
      <c r="G1726" cm="1">
        <f t="array" ref="G1726">IFERROR(IF(G1711="Chemical",(10^(INDEX(Antoines,MATCH(G1710,Antoine_Name,0),2)-INDEX(Antoines,MATCH(G1710,Antoine_Name,0),3)/(INDEX(Antoines,MATCH(G1710,Antoine_Name,0),4)+(G1717-32)*5/9)))*14.7/760,IF(G1711="Crude Oil",EXP((2799/(G1717+459.6)-2.227)*LOG10(INDEX(FX_Input,T$5,G$3*$Z$5+$AA$5))-(7261/(G1717+459.6))+12.82),IF(G1711="Refined Petroleum Stock",EXP((0.7553-(413/(G1717+459.6)))*(INDEX(FX_Input,T$5,G$3*$Z$5+$AA$5-1)^0.5)*LOG10(INDEX(FX_Input,T$5,G$3*$Z$5+$AA$5))-(1.854-(1042/(G1717+459.6)))*(INDEX(FX_Input,T$5,G$3*$Z$5+$AA$5-1)^0.5)+((2416/(G1717+459.6)-2.013)*LOG10(INDEX(FX_Input,T$5,G$3*$Z$5+$AA$5)))-(8742/(G1717+459.6))+15.64),EXP(INDEX(Antoines,MATCH(G1710,Antoine_Name,0),2)-INDEX(Antoines,MATCH(G1710,Antoine_Name,0),3)/(G1717+459.6))))),0)</f>
        <v>0</v>
      </c>
      <c r="H1726" cm="1">
        <f t="array" ref="H1726">IFERROR(IF(H1711="Chemical",(10^(INDEX(Antoines,MATCH(H1710,Antoine_Name,0),2)-INDEX(Antoines,MATCH(H1710,Antoine_Name,0),3)/(INDEX(Antoines,MATCH(H1710,Antoine_Name,0),4)+(H1717-32)*5/9)))*14.7/760,IF(H1711="Crude Oil",EXP((2799/(H1717+459.6)-2.227)*LOG10(INDEX(FX_Input,U$5,H$3*$Z$5+$AA$5))-(7261/(H1717+459.6))+12.82),IF(H1711="Refined Petroleum Stock",EXP((0.7553-(413/(H1717+459.6)))*(INDEX(FX_Input,U$5,H$3*$Z$5+$AA$5-1)^0.5)*LOG10(INDEX(FX_Input,U$5,H$3*$Z$5+$AA$5))-(1.854-(1042/(H1717+459.6)))*(INDEX(FX_Input,U$5,H$3*$Z$5+$AA$5-1)^0.5)+((2416/(H1717+459.6)-2.013)*LOG10(INDEX(FX_Input,U$5,H$3*$Z$5+$AA$5)))-(8742/(H1717+459.6))+15.64),EXP(INDEX(Antoines,MATCH(H1710,Antoine_Name,0),2)-INDEX(Antoines,MATCH(H1710,Antoine_Name,0),3)/(H1717+459.6))))),0)</f>
        <v>0</v>
      </c>
      <c r="I1726" cm="1">
        <f t="array" ref="I1726">IFERROR(IF(I1711="Chemical",(10^(INDEX(Antoines,MATCH(I1710,Antoine_Name,0),2)-INDEX(Antoines,MATCH(I1710,Antoine_Name,0),3)/(INDEX(Antoines,MATCH(I1710,Antoine_Name,0),4)+(I1717-32)*5/9)))*14.7/760,IF(I1711="Crude Oil",EXP((2799/(I1717+459.6)-2.227)*LOG10(INDEX(FX_Input,V$5,I$3*$Z$5+$AA$5))-(7261/(I1717+459.6))+12.82),IF(I1711="Refined Petroleum Stock",EXP((0.7553-(413/(I1717+459.6)))*(INDEX(FX_Input,V$5,I$3*$Z$5+$AA$5-1)^0.5)*LOG10(INDEX(FX_Input,V$5,I$3*$Z$5+$AA$5))-(1.854-(1042/(I1717+459.6)))*(INDEX(FX_Input,V$5,I$3*$Z$5+$AA$5-1)^0.5)+((2416/(I1717+459.6)-2.013)*LOG10(INDEX(FX_Input,V$5,I$3*$Z$5+$AA$5)))-(8742/(I1717+459.6))+15.64),EXP(INDEX(Antoines,MATCH(I1710,Antoine_Name,0),2)-INDEX(Antoines,MATCH(I1710,Antoine_Name,0),3)/(I1717+459.6))))),0)</f>
        <v>0</v>
      </c>
      <c r="J1726" cm="1">
        <f t="array" ref="J1726">IFERROR(IF(J1711="Chemical",(10^(INDEX(Antoines,MATCH(J1710,Antoine_Name,0),2)-INDEX(Antoines,MATCH(J1710,Antoine_Name,0),3)/(INDEX(Antoines,MATCH(J1710,Antoine_Name,0),4)+(J1717-32)*5/9)))*14.7/760,IF(J1711="Crude Oil",EXP((2799/(J1717+459.6)-2.227)*LOG10(INDEX(FX_Input,W$5,J$3*$Z$5+$AA$5))-(7261/(J1717+459.6))+12.82),IF(J1711="Refined Petroleum Stock",EXP((0.7553-(413/(J1717+459.6)))*(INDEX(FX_Input,W$5,J$3*$Z$5+$AA$5-1)^0.5)*LOG10(INDEX(FX_Input,W$5,J$3*$Z$5+$AA$5))-(1.854-(1042/(J1717+459.6)))*(INDEX(FX_Input,W$5,J$3*$Z$5+$AA$5-1)^0.5)+((2416/(J1717+459.6)-2.013)*LOG10(INDEX(FX_Input,W$5,J$3*$Z$5+$AA$5)))-(8742/(J1717+459.6))+15.64),EXP(INDEX(Antoines,MATCH(J1710,Antoine_Name,0),2)-INDEX(Antoines,MATCH(J1710,Antoine_Name,0),3)/(J1717+459.6))))),0)</f>
        <v>0</v>
      </c>
      <c r="K1726" cm="1">
        <f t="array" ref="K1726">IFERROR(IF(K1711="Chemical",(10^(INDEX(Antoines,MATCH(K1710,Antoine_Name,0),2)-INDEX(Antoines,MATCH(K1710,Antoine_Name,0),3)/(INDEX(Antoines,MATCH(K1710,Antoine_Name,0),4)+(K1717-32)*5/9)))*14.7/760,IF(K1711="Crude Oil",EXP((2799/(K1717+459.6)-2.227)*LOG10(INDEX(FX_Input,X$5,K$3*$Z$5+$AA$5))-(7261/(K1717+459.6))+12.82),IF(K1711="Refined Petroleum Stock",EXP((0.7553-(413/(K1717+459.6)))*(INDEX(FX_Input,X$5,K$3*$Z$5+$AA$5-1)^0.5)*LOG10(INDEX(FX_Input,X$5,K$3*$Z$5+$AA$5))-(1.854-(1042/(K1717+459.6)))*(INDEX(FX_Input,X$5,K$3*$Z$5+$AA$5-1)^0.5)+((2416/(K1717+459.6)-2.013)*LOG10(INDEX(FX_Input,X$5,K$3*$Z$5+$AA$5)))-(8742/(K1717+459.6))+15.64),EXP(INDEX(Antoines,MATCH(K1710,Antoine_Name,0),2)-INDEX(Antoines,MATCH(K1710,Antoine_Name,0),3)/(K1717+459.6))))),0)</f>
        <v>0</v>
      </c>
      <c r="L1726" cm="1">
        <f t="array" ref="L1726">IFERROR(IF(L1711="Chemical",(10^(INDEX(Antoines,MATCH(L1710,Antoine_Name,0),2)-INDEX(Antoines,MATCH(L1710,Antoine_Name,0),3)/(INDEX(Antoines,MATCH(L1710,Antoine_Name,0),4)+(L1717-32)*5/9)))*14.7/760,IF(L1711="Crude Oil",EXP((2799/(L1717+459.6)-2.227)*LOG10(INDEX(FX_Input,Y$5,L$3*$Z$5+$AA$5))-(7261/(L1717+459.6))+12.82),IF(L1711="Refined Petroleum Stock",EXP((0.7553-(413/(L1717+459.6)))*(INDEX(FX_Input,Y$5,L$3*$Z$5+$AA$5-1)^0.5)*LOG10(INDEX(FX_Input,Y$5,L$3*$Z$5+$AA$5))-(1.854-(1042/(L1717+459.6)))*(INDEX(FX_Input,Y$5,L$3*$Z$5+$AA$5-1)^0.5)+((2416/(L1717+459.6)-2.013)*LOG10(INDEX(FX_Input,Y$5,L$3*$Z$5+$AA$5)))-(8742/(L1717+459.6))+15.64),EXP(INDEX(Antoines,MATCH(L1710,Antoine_Name,0),2)-INDEX(Antoines,MATCH(L1710,Antoine_Name,0),3)/(L1717+459.6))))),0)</f>
        <v>0</v>
      </c>
      <c r="M1726" cm="1">
        <f t="array" ref="M1726">IFERROR(IF(M1711="Chemical",(10^(INDEX(Antoines,MATCH(M1710,Antoine_Name,0),2)-INDEX(Antoines,MATCH(M1710,Antoine_Name,0),3)/(INDEX(Antoines,MATCH(M1710,Antoine_Name,0),4)+(M1717-32)*5/9)))*14.7/760,IF(M1711="Crude Oil",EXP((2799/(M1717+459.6)-2.227)*LOG10(INDEX(FX_Input,Z$5,M$3*$Z$5+$AA$5))-(7261/(M1717+459.6))+12.82),IF(M1711="Refined Petroleum Stock",EXP((0.7553-(413/(M1717+459.6)))*(INDEX(FX_Input,Z$5,M$3*$Z$5+$AA$5-1)^0.5)*LOG10(INDEX(FX_Input,Z$5,M$3*$Z$5+$AA$5))-(1.854-(1042/(M1717+459.6)))*(INDEX(FX_Input,Z$5,M$3*$Z$5+$AA$5-1)^0.5)+((2416/(M1717+459.6)-2.013)*LOG10(INDEX(FX_Input,Z$5,M$3*$Z$5+$AA$5)))-(8742/(M1717+459.6))+15.64),EXP(INDEX(Antoines,MATCH(M1710,Antoine_Name,0),2)-INDEX(Antoines,MATCH(M1710,Antoine_Name,0),3)/(M1717+459.6))))),0)</f>
        <v>0</v>
      </c>
      <c r="N1726" cm="1">
        <f t="array" ref="N1726">IFERROR(IF(N1711="Chemical",(10^(INDEX(Antoines,MATCH(N1710,Antoine_Name,0),2)-INDEX(Antoines,MATCH(N1710,Antoine_Name,0),3)/(INDEX(Antoines,MATCH(N1710,Antoine_Name,0),4)+(N1717-32)*5/9)))*14.7/760,IF(N1711="Crude Oil",EXP((2799/(N1717+459.6)-2.227)*LOG10(INDEX(FX_Input,AA$5,N$3*$Z$5+$AA$5))-(7261/(N1717+459.6))+12.82),IF(N1711="Refined Petroleum Stock",EXP((0.7553-(413/(N1717+459.6)))*(INDEX(FX_Input,AA$5,N$3*$Z$5+$AA$5-1)^0.5)*LOG10(INDEX(FX_Input,AA$5,N$3*$Z$5+$AA$5))-(1.854-(1042/(N1717+459.6)))*(INDEX(FX_Input,AA$5,N$3*$Z$5+$AA$5-1)^0.5)+((2416/(N1717+459.6)-2.013)*LOG10(INDEX(FX_Input,AA$5,N$3*$Z$5+$AA$5)))-(8742/(N1717+459.6))+15.64),EXP(INDEX(Antoines,MATCH(N1710,Antoine_Name,0),2)-INDEX(Antoines,MATCH(N1710,Antoine_Name,0),3)/(N1717+459.6))))),0)</f>
        <v>0</v>
      </c>
      <c r="O1726" cm="1">
        <f t="array" ref="O1726">IFERROR(IF(O1711="Chemical",(10^(INDEX(Antoines,MATCH(O1710,Antoine_Name,0),2)-INDEX(Antoines,MATCH(O1710,Antoine_Name,0),3)/(INDEX(Antoines,MATCH(O1710,Antoine_Name,0),4)+(O1717-32)*5/9)))*14.7/760,IF(O1711="Crude Oil",EXP((2799/(O1717+459.6)-2.227)*LOG10(INDEX(FX_Input,AB$5,O$3*$Z$5+$AA$5))-(7261/(O1717+459.6))+12.82),IF(O1711="Refined Petroleum Stock",EXP((0.7553-(413/(O1717+459.6)))*(INDEX(FX_Input,AB$5,O$3*$Z$5+$AA$5-1)^0.5)*LOG10(INDEX(FX_Input,AB$5,O$3*$Z$5+$AA$5))-(1.854-(1042/(O1717+459.6)))*(INDEX(FX_Input,AB$5,O$3*$Z$5+$AA$5-1)^0.5)+((2416/(O1717+459.6)-2.013)*LOG10(INDEX(FX_Input,AB$5,O$3*$Z$5+$AA$5)))-(8742/(O1717+459.6))+15.64),EXP(INDEX(Antoines,MATCH(O1710,Antoine_Name,0),2)-INDEX(Antoines,MATCH(O1710,Antoine_Name,0),3)/(O1717+459.6))))),0)</f>
        <v>0</v>
      </c>
    </row>
    <row r="1727" spans="2:32" ht="17.149999999999999" x14ac:dyDescent="0.55000000000000004">
      <c r="B1727" t="str">
        <f t="shared" si="6292"/>
        <v>Portland</v>
      </c>
      <c r="C1727" t="s">
        <v>582</v>
      </c>
      <c r="D1727">
        <f>D1726*D1714</f>
        <v>0</v>
      </c>
      <c r="E1727">
        <f t="shared" ref="E1727" si="6337">E1726*E1714</f>
        <v>0</v>
      </c>
      <c r="F1727">
        <f t="shared" ref="F1727" si="6338">F1726*F1714</f>
        <v>0</v>
      </c>
      <c r="G1727">
        <f t="shared" ref="G1727" si="6339">G1726*G1714</f>
        <v>0</v>
      </c>
      <c r="H1727">
        <f t="shared" ref="H1727" si="6340">H1726*H1714</f>
        <v>0</v>
      </c>
      <c r="I1727">
        <f t="shared" ref="I1727" si="6341">I1726*I1714</f>
        <v>0</v>
      </c>
      <c r="J1727">
        <f t="shared" ref="J1727" si="6342">J1726*J1714</f>
        <v>0</v>
      </c>
      <c r="K1727">
        <f t="shared" ref="K1727" si="6343">K1726*K1714</f>
        <v>0</v>
      </c>
      <c r="L1727">
        <f t="shared" ref="L1727" si="6344">L1726*L1714</f>
        <v>0</v>
      </c>
      <c r="M1727">
        <f t="shared" ref="M1727" si="6345">M1726*M1714</f>
        <v>0</v>
      </c>
      <c r="N1727">
        <f t="shared" ref="N1727" si="6346">N1726*N1714</f>
        <v>0</v>
      </c>
      <c r="O1727">
        <f t="shared" ref="O1727" si="6347">O1726*O1714</f>
        <v>0</v>
      </c>
    </row>
    <row r="1728" spans="2:32" ht="17.149999999999999" x14ac:dyDescent="0.55000000000000004">
      <c r="B1728" t="str">
        <f t="shared" si="6292"/>
        <v>Portland</v>
      </c>
      <c r="C1728" t="s">
        <v>583</v>
      </c>
      <c r="D1728">
        <f>D1725+D1727</f>
        <v>1</v>
      </c>
      <c r="E1728">
        <f t="shared" ref="E1728" si="6348">E1725+E1727</f>
        <v>1</v>
      </c>
      <c r="F1728">
        <f t="shared" ref="F1728" si="6349">F1725+F1727</f>
        <v>1</v>
      </c>
      <c r="G1728">
        <f t="shared" ref="G1728" si="6350">G1725+G1727</f>
        <v>1</v>
      </c>
      <c r="H1728">
        <f t="shared" ref="H1728" si="6351">H1725+H1727</f>
        <v>1</v>
      </c>
      <c r="I1728">
        <f t="shared" ref="I1728" si="6352">I1725+I1727</f>
        <v>1</v>
      </c>
      <c r="J1728">
        <f t="shared" ref="J1728" si="6353">J1725+J1727</f>
        <v>1</v>
      </c>
      <c r="K1728">
        <f t="shared" ref="K1728" si="6354">K1725+K1727</f>
        <v>1</v>
      </c>
      <c r="L1728">
        <f t="shared" ref="L1728" si="6355">L1725+L1727</f>
        <v>1</v>
      </c>
      <c r="M1728">
        <f t="shared" ref="M1728" si="6356">M1725+M1727</f>
        <v>1</v>
      </c>
      <c r="N1728">
        <f t="shared" ref="N1728" si="6357">N1725+N1727</f>
        <v>1</v>
      </c>
      <c r="O1728">
        <f t="shared" ref="O1728" si="6358">O1725+O1727</f>
        <v>1</v>
      </c>
    </row>
    <row r="1729" spans="1:32" ht="17.149999999999999" x14ac:dyDescent="0.55000000000000004">
      <c r="B1729" t="str">
        <f t="shared" si="6292"/>
        <v>Portland</v>
      </c>
      <c r="C1729" t="s">
        <v>1388</v>
      </c>
      <c r="D1729" cm="1">
        <f t="array" ref="D1729">IFERROR(IF(D1709="Chemical",(10^(INDEX(Antoines,MATCH(D1708,Antoine_Name,0),2)-INDEX(Antoines,MATCH(D1708,Antoine_Name,0),3)/(INDEX(Antoines,MATCH(D1708,Antoine_Name,0),4)+(D1718-32)*5/9)))*14.7/760,IF(D1709="Crude Oil",EXP((2799/(D1718+459.6)-2.227)*LOG10(INDEX(FX_Input,Q$5,D$3*$Z$5+$AA$5))-(7261/(D1718+459.6))+12.82),IF(D1709="Refined Petroleum Stock",EXP((0.7553-(413/(D1718+459.6)))*(INDEX(FX_Input,Q$5,D$3*$Z$5+$AA$5-1)^0.5)*LOG10(INDEX(FX_Input,Q$5,D$3*$Z$5+$AA$5))-(1.854-(1042/(D1718+459.6)))*(INDEX(FX_Input,Q$5,D$3*$Z$5+$AA$5-1)^0.5)+((2416/(D1718+459.6)-2.013)*LOG10(INDEX(FX_Input,Q$5,D$3*$Z$5+$AA$5)))-(8742/(D1718+459.6))+15.64),EXP(INDEX(Antoines,MATCH(D1708,Antoine_Name,0),2)-INDEX(Antoines,MATCH(D1708,Antoine_Name,0),3)/(D1718+459.6))))),0)</f>
        <v>1</v>
      </c>
      <c r="E1729" cm="1">
        <f t="array" ref="E1729">IFERROR(IF(E1709="Chemical",(10^(INDEX(Antoines,MATCH(E1708,Antoine_Name,0),2)-INDEX(Antoines,MATCH(E1708,Antoine_Name,0),3)/(INDEX(Antoines,MATCH(E1708,Antoine_Name,0),4)+(E1718-32)*5/9)))*14.7/760,IF(E1709="Crude Oil",EXP((2799/(E1718+459.6)-2.227)*LOG10(INDEX(FX_Input,R$5,E$3*$Z$5+$AA$5))-(7261/(E1718+459.6))+12.82),IF(E1709="Refined Petroleum Stock",EXP((0.7553-(413/(E1718+459.6)))*(INDEX(FX_Input,R$5,E$3*$Z$5+$AA$5-1)^0.5)*LOG10(INDEX(FX_Input,R$5,E$3*$Z$5+$AA$5))-(1.854-(1042/(E1718+459.6)))*(INDEX(FX_Input,R$5,E$3*$Z$5+$AA$5-1)^0.5)+((2416/(E1718+459.6)-2.013)*LOG10(INDEX(FX_Input,R$5,E$3*$Z$5+$AA$5)))-(8742/(E1718+459.6))+15.64),EXP(INDEX(Antoines,MATCH(E1708,Antoine_Name,0),2)-INDEX(Antoines,MATCH(E1708,Antoine_Name,0),3)/(E1718+459.6))))),0)</f>
        <v>1</v>
      </c>
      <c r="F1729" cm="1">
        <f t="array" ref="F1729">IFERROR(IF(F1709="Chemical",(10^(INDEX(Antoines,MATCH(F1708,Antoine_Name,0),2)-INDEX(Antoines,MATCH(F1708,Antoine_Name,0),3)/(INDEX(Antoines,MATCH(F1708,Antoine_Name,0),4)+(F1718-32)*5/9)))*14.7/760,IF(F1709="Crude Oil",EXP((2799/(F1718+459.6)-2.227)*LOG10(INDEX(FX_Input,S$5,F$3*$Z$5+$AA$5))-(7261/(F1718+459.6))+12.82),IF(F1709="Refined Petroleum Stock",EXP((0.7553-(413/(F1718+459.6)))*(INDEX(FX_Input,S$5,F$3*$Z$5+$AA$5-1)^0.5)*LOG10(INDEX(FX_Input,S$5,F$3*$Z$5+$AA$5))-(1.854-(1042/(F1718+459.6)))*(INDEX(FX_Input,S$5,F$3*$Z$5+$AA$5-1)^0.5)+((2416/(F1718+459.6)-2.013)*LOG10(INDEX(FX_Input,S$5,F$3*$Z$5+$AA$5)))-(8742/(F1718+459.6))+15.64),EXP(INDEX(Antoines,MATCH(F1708,Antoine_Name,0),2)-INDEX(Antoines,MATCH(F1708,Antoine_Name,0),3)/(F1718+459.6))))),0)</f>
        <v>1</v>
      </c>
      <c r="G1729" cm="1">
        <f t="array" ref="G1729">IFERROR(IF(G1709="Chemical",(10^(INDEX(Antoines,MATCH(G1708,Antoine_Name,0),2)-INDEX(Antoines,MATCH(G1708,Antoine_Name,0),3)/(INDEX(Antoines,MATCH(G1708,Antoine_Name,0),4)+(G1718-32)*5/9)))*14.7/760,IF(G1709="Crude Oil",EXP((2799/(G1718+459.6)-2.227)*LOG10(INDEX(FX_Input,T$5,G$3*$Z$5+$AA$5))-(7261/(G1718+459.6))+12.82),IF(G1709="Refined Petroleum Stock",EXP((0.7553-(413/(G1718+459.6)))*(INDEX(FX_Input,T$5,G$3*$Z$5+$AA$5-1)^0.5)*LOG10(INDEX(FX_Input,T$5,G$3*$Z$5+$AA$5))-(1.854-(1042/(G1718+459.6)))*(INDEX(FX_Input,T$5,G$3*$Z$5+$AA$5-1)^0.5)+((2416/(G1718+459.6)-2.013)*LOG10(INDEX(FX_Input,T$5,G$3*$Z$5+$AA$5)))-(8742/(G1718+459.6))+15.64),EXP(INDEX(Antoines,MATCH(G1708,Antoine_Name,0),2)-INDEX(Antoines,MATCH(G1708,Antoine_Name,0),3)/(G1718+459.6))))),0)</f>
        <v>1</v>
      </c>
      <c r="H1729" cm="1">
        <f t="array" ref="H1729">IFERROR(IF(H1709="Chemical",(10^(INDEX(Antoines,MATCH(H1708,Antoine_Name,0),2)-INDEX(Antoines,MATCH(H1708,Antoine_Name,0),3)/(INDEX(Antoines,MATCH(H1708,Antoine_Name,0),4)+(H1718-32)*5/9)))*14.7/760,IF(H1709="Crude Oil",EXP((2799/(H1718+459.6)-2.227)*LOG10(INDEX(FX_Input,U$5,H$3*$Z$5+$AA$5))-(7261/(H1718+459.6))+12.82),IF(H1709="Refined Petroleum Stock",EXP((0.7553-(413/(H1718+459.6)))*(INDEX(FX_Input,U$5,H$3*$Z$5+$AA$5-1)^0.5)*LOG10(INDEX(FX_Input,U$5,H$3*$Z$5+$AA$5))-(1.854-(1042/(H1718+459.6)))*(INDEX(FX_Input,U$5,H$3*$Z$5+$AA$5-1)^0.5)+((2416/(H1718+459.6)-2.013)*LOG10(INDEX(FX_Input,U$5,H$3*$Z$5+$AA$5)))-(8742/(H1718+459.6))+15.64),EXP(INDEX(Antoines,MATCH(H1708,Antoine_Name,0),2)-INDEX(Antoines,MATCH(H1708,Antoine_Name,0),3)/(H1718+459.6))))),0)</f>
        <v>1</v>
      </c>
      <c r="I1729" cm="1">
        <f t="array" ref="I1729">IFERROR(IF(I1709="Chemical",(10^(INDEX(Antoines,MATCH(I1708,Antoine_Name,0),2)-INDEX(Antoines,MATCH(I1708,Antoine_Name,0),3)/(INDEX(Antoines,MATCH(I1708,Antoine_Name,0),4)+(I1718-32)*5/9)))*14.7/760,IF(I1709="Crude Oil",EXP((2799/(I1718+459.6)-2.227)*LOG10(INDEX(FX_Input,V$5,I$3*$Z$5+$AA$5))-(7261/(I1718+459.6))+12.82),IF(I1709="Refined Petroleum Stock",EXP((0.7553-(413/(I1718+459.6)))*(INDEX(FX_Input,V$5,I$3*$Z$5+$AA$5-1)^0.5)*LOG10(INDEX(FX_Input,V$5,I$3*$Z$5+$AA$5))-(1.854-(1042/(I1718+459.6)))*(INDEX(FX_Input,V$5,I$3*$Z$5+$AA$5-1)^0.5)+((2416/(I1718+459.6)-2.013)*LOG10(INDEX(FX_Input,V$5,I$3*$Z$5+$AA$5)))-(8742/(I1718+459.6))+15.64),EXP(INDEX(Antoines,MATCH(I1708,Antoine_Name,0),2)-INDEX(Antoines,MATCH(I1708,Antoine_Name,0),3)/(I1718+459.6))))),0)</f>
        <v>1</v>
      </c>
      <c r="J1729" cm="1">
        <f t="array" ref="J1729">IFERROR(IF(J1709="Chemical",(10^(INDEX(Antoines,MATCH(J1708,Antoine_Name,0),2)-INDEX(Antoines,MATCH(J1708,Antoine_Name,0),3)/(INDEX(Antoines,MATCH(J1708,Antoine_Name,0),4)+(J1718-32)*5/9)))*14.7/760,IF(J1709="Crude Oil",EXP((2799/(J1718+459.6)-2.227)*LOG10(INDEX(FX_Input,W$5,J$3*$Z$5+$AA$5))-(7261/(J1718+459.6))+12.82),IF(J1709="Refined Petroleum Stock",EXP((0.7553-(413/(J1718+459.6)))*(INDEX(FX_Input,W$5,J$3*$Z$5+$AA$5-1)^0.5)*LOG10(INDEX(FX_Input,W$5,J$3*$Z$5+$AA$5))-(1.854-(1042/(J1718+459.6)))*(INDEX(FX_Input,W$5,J$3*$Z$5+$AA$5-1)^0.5)+((2416/(J1718+459.6)-2.013)*LOG10(INDEX(FX_Input,W$5,J$3*$Z$5+$AA$5)))-(8742/(J1718+459.6))+15.64),EXP(INDEX(Antoines,MATCH(J1708,Antoine_Name,0),2)-INDEX(Antoines,MATCH(J1708,Antoine_Name,0),3)/(J1718+459.6))))),0)</f>
        <v>1</v>
      </c>
      <c r="K1729" cm="1">
        <f t="array" ref="K1729">IFERROR(IF(K1709="Chemical",(10^(INDEX(Antoines,MATCH(K1708,Antoine_Name,0),2)-INDEX(Antoines,MATCH(K1708,Antoine_Name,0),3)/(INDEX(Antoines,MATCH(K1708,Antoine_Name,0),4)+(K1718-32)*5/9)))*14.7/760,IF(K1709="Crude Oil",EXP((2799/(K1718+459.6)-2.227)*LOG10(INDEX(FX_Input,X$5,K$3*$Z$5+$AA$5))-(7261/(K1718+459.6))+12.82),IF(K1709="Refined Petroleum Stock",EXP((0.7553-(413/(K1718+459.6)))*(INDEX(FX_Input,X$5,K$3*$Z$5+$AA$5-1)^0.5)*LOG10(INDEX(FX_Input,X$5,K$3*$Z$5+$AA$5))-(1.854-(1042/(K1718+459.6)))*(INDEX(FX_Input,X$5,K$3*$Z$5+$AA$5-1)^0.5)+((2416/(K1718+459.6)-2.013)*LOG10(INDEX(FX_Input,X$5,K$3*$Z$5+$AA$5)))-(8742/(K1718+459.6))+15.64),EXP(INDEX(Antoines,MATCH(K1708,Antoine_Name,0),2)-INDEX(Antoines,MATCH(K1708,Antoine_Name,0),3)/(K1718+459.6))))),0)</f>
        <v>1</v>
      </c>
      <c r="L1729" cm="1">
        <f t="array" ref="L1729">IFERROR(IF(L1709="Chemical",(10^(INDEX(Antoines,MATCH(L1708,Antoine_Name,0),2)-INDEX(Antoines,MATCH(L1708,Antoine_Name,0),3)/(INDEX(Antoines,MATCH(L1708,Antoine_Name,0),4)+(L1718-32)*5/9)))*14.7/760,IF(L1709="Crude Oil",EXP((2799/(L1718+459.6)-2.227)*LOG10(INDEX(FX_Input,Y$5,L$3*$Z$5+$AA$5))-(7261/(L1718+459.6))+12.82),IF(L1709="Refined Petroleum Stock",EXP((0.7553-(413/(L1718+459.6)))*(INDEX(FX_Input,Y$5,L$3*$Z$5+$AA$5-1)^0.5)*LOG10(INDEX(FX_Input,Y$5,L$3*$Z$5+$AA$5))-(1.854-(1042/(L1718+459.6)))*(INDEX(FX_Input,Y$5,L$3*$Z$5+$AA$5-1)^0.5)+((2416/(L1718+459.6)-2.013)*LOG10(INDEX(FX_Input,Y$5,L$3*$Z$5+$AA$5)))-(8742/(L1718+459.6))+15.64),EXP(INDEX(Antoines,MATCH(L1708,Antoine_Name,0),2)-INDEX(Antoines,MATCH(L1708,Antoine_Name,0),3)/(L1718+459.6))))),0)</f>
        <v>1</v>
      </c>
      <c r="M1729" cm="1">
        <f t="array" ref="M1729">IFERROR(IF(M1709="Chemical",(10^(INDEX(Antoines,MATCH(M1708,Antoine_Name,0),2)-INDEX(Antoines,MATCH(M1708,Antoine_Name,0),3)/(INDEX(Antoines,MATCH(M1708,Antoine_Name,0),4)+(M1718-32)*5/9)))*14.7/760,IF(M1709="Crude Oil",EXP((2799/(M1718+459.6)-2.227)*LOG10(INDEX(FX_Input,Z$5,M$3*$Z$5+$AA$5))-(7261/(M1718+459.6))+12.82),IF(M1709="Refined Petroleum Stock",EXP((0.7553-(413/(M1718+459.6)))*(INDEX(FX_Input,Z$5,M$3*$Z$5+$AA$5-1)^0.5)*LOG10(INDEX(FX_Input,Z$5,M$3*$Z$5+$AA$5))-(1.854-(1042/(M1718+459.6)))*(INDEX(FX_Input,Z$5,M$3*$Z$5+$AA$5-1)^0.5)+((2416/(M1718+459.6)-2.013)*LOG10(INDEX(FX_Input,Z$5,M$3*$Z$5+$AA$5)))-(8742/(M1718+459.6))+15.64),EXP(INDEX(Antoines,MATCH(M1708,Antoine_Name,0),2)-INDEX(Antoines,MATCH(M1708,Antoine_Name,0),3)/(M1718+459.6))))),0)</f>
        <v>1</v>
      </c>
      <c r="N1729" cm="1">
        <f t="array" ref="N1729">IFERROR(IF(N1709="Chemical",(10^(INDEX(Antoines,MATCH(N1708,Antoine_Name,0),2)-INDEX(Antoines,MATCH(N1708,Antoine_Name,0),3)/(INDEX(Antoines,MATCH(N1708,Antoine_Name,0),4)+(N1718-32)*5/9)))*14.7/760,IF(N1709="Crude Oil",EXP((2799/(N1718+459.6)-2.227)*LOG10(INDEX(FX_Input,AA$5,N$3*$Z$5+$AA$5))-(7261/(N1718+459.6))+12.82),IF(N1709="Refined Petroleum Stock",EXP((0.7553-(413/(N1718+459.6)))*(INDEX(FX_Input,AA$5,N$3*$Z$5+$AA$5-1)^0.5)*LOG10(INDEX(FX_Input,AA$5,N$3*$Z$5+$AA$5))-(1.854-(1042/(N1718+459.6)))*(INDEX(FX_Input,AA$5,N$3*$Z$5+$AA$5-1)^0.5)+((2416/(N1718+459.6)-2.013)*LOG10(INDEX(FX_Input,AA$5,N$3*$Z$5+$AA$5)))-(8742/(N1718+459.6))+15.64),EXP(INDEX(Antoines,MATCH(N1708,Antoine_Name,0),2)-INDEX(Antoines,MATCH(N1708,Antoine_Name,0),3)/(N1718+459.6))))),0)</f>
        <v>1</v>
      </c>
      <c r="O1729" cm="1">
        <f t="array" ref="O1729">IFERROR(IF(O1709="Chemical",(10^(INDEX(Antoines,MATCH(O1708,Antoine_Name,0),2)-INDEX(Antoines,MATCH(O1708,Antoine_Name,0),3)/(INDEX(Antoines,MATCH(O1708,Antoine_Name,0),4)+(O1718-32)*5/9)))*14.7/760,IF(O1709="Crude Oil",EXP((2799/(O1718+459.6)-2.227)*LOG10(INDEX(FX_Input,AB$5,O$3*$Z$5+$AA$5))-(7261/(O1718+459.6))+12.82),IF(O1709="Refined Petroleum Stock",EXP((0.7553-(413/(O1718+459.6)))*(INDEX(FX_Input,AB$5,O$3*$Z$5+$AA$5-1)^0.5)*LOG10(INDEX(FX_Input,AB$5,O$3*$Z$5+$AA$5))-(1.854-(1042/(O1718+459.6)))*(INDEX(FX_Input,AB$5,O$3*$Z$5+$AA$5-1)^0.5)+((2416/(O1718+459.6)-2.013)*LOG10(INDEX(FX_Input,AB$5,O$3*$Z$5+$AA$5)))-(8742/(O1718+459.6))+15.64),EXP(INDEX(Antoines,MATCH(O1708,Antoine_Name,0),2)-INDEX(Antoines,MATCH(O1708,Antoine_Name,0),3)/(O1718+459.6))))),0)</f>
        <v>1</v>
      </c>
    </row>
    <row r="1730" spans="1:32" ht="17.149999999999999" x14ac:dyDescent="0.55000000000000004">
      <c r="B1730" t="str">
        <f t="shared" si="6292"/>
        <v>Portland</v>
      </c>
      <c r="C1730" t="s">
        <v>1389</v>
      </c>
      <c r="D1730">
        <f>D1729*D1712</f>
        <v>1</v>
      </c>
      <c r="E1730">
        <f t="shared" ref="E1730" si="6359">E1729*E1712</f>
        <v>1</v>
      </c>
      <c r="F1730">
        <f t="shared" ref="F1730" si="6360">F1729*F1712</f>
        <v>1</v>
      </c>
      <c r="G1730">
        <f t="shared" ref="G1730" si="6361">G1729*G1712</f>
        <v>1</v>
      </c>
      <c r="H1730">
        <f t="shared" ref="H1730" si="6362">H1729*H1712</f>
        <v>1</v>
      </c>
      <c r="I1730">
        <f t="shared" ref="I1730" si="6363">I1729*I1712</f>
        <v>1</v>
      </c>
      <c r="J1730">
        <f t="shared" ref="J1730" si="6364">J1729*J1712</f>
        <v>1</v>
      </c>
      <c r="K1730">
        <f t="shared" ref="K1730" si="6365">K1729*K1712</f>
        <v>1</v>
      </c>
      <c r="L1730">
        <f t="shared" ref="L1730" si="6366">L1729*L1712</f>
        <v>1</v>
      </c>
      <c r="M1730">
        <f t="shared" ref="M1730" si="6367">M1729*M1712</f>
        <v>1</v>
      </c>
      <c r="N1730">
        <f t="shared" ref="N1730" si="6368">N1729*N1712</f>
        <v>1</v>
      </c>
      <c r="O1730">
        <f t="shared" ref="O1730" si="6369">O1729*O1712</f>
        <v>1</v>
      </c>
    </row>
    <row r="1731" spans="1:32" ht="17.149999999999999" x14ac:dyDescent="0.55000000000000004">
      <c r="B1731" t="str">
        <f t="shared" si="6292"/>
        <v>Portland</v>
      </c>
      <c r="C1731" t="s">
        <v>1390</v>
      </c>
      <c r="D1731" cm="1">
        <f t="array" ref="D1731">IFERROR(IF(D1711="Chemical",(10^(INDEX(Antoines,MATCH(D1710,Antoine_Name,0),2)-INDEX(Antoines,MATCH(D1710,Antoine_Name,0),3)/(INDEX(Antoines,MATCH(D1710,Antoine_Name,0),4)+(D1718-32)*5/9)))*14.7/760,IF(D1711="Crude Oil",EXP((2799/(D1718+459.6)-2.227)*LOG10(INDEX(FX_Input,Q$5,D$3*$Z$5+$AA$5))-(7261/(D1718+459.6))+12.82),IF(D1711="Refined Petroleum Stock",EXP((0.7553-(413/(D1718+459.6)))*(INDEX(FX_Input,Q$5,D$3*$Z$5+$AA$5-1)^0.5)*LOG10(INDEX(FX_Input,Q$5,D$3*$Z$5+$AA$5))-(1.854-(1042/(D1718+459.6)))*(INDEX(FX_Input,Q$5,D$3*$Z$5+$AA$5-1)^0.5)+((2416/(D1718+459.6)-2.013)*LOG10(INDEX(FX_Input,Q$5,D$3*$Z$5+$AA$5)))-(8742/(D1718+459.6))+15.64),EXP(INDEX(Antoines,MATCH(D1710,Antoine_Name,0),2)-INDEX(Antoines,MATCH(D1710,Antoine_Name,0),3)/(D1718+459.6))))),0)</f>
        <v>0</v>
      </c>
      <c r="E1731" cm="1">
        <f t="array" ref="E1731">IFERROR(IF(E1711="Chemical",(10^(INDEX(Antoines,MATCH(E1710,Antoine_Name,0),2)-INDEX(Antoines,MATCH(E1710,Antoine_Name,0),3)/(INDEX(Antoines,MATCH(E1710,Antoine_Name,0),4)+(E1718-32)*5/9)))*14.7/760,IF(E1711="Crude Oil",EXP((2799/(E1718+459.6)-2.227)*LOG10(INDEX(FX_Input,R$5,E$3*$Z$5+$AA$5))-(7261/(E1718+459.6))+12.82),IF(E1711="Refined Petroleum Stock",EXP((0.7553-(413/(E1718+459.6)))*(INDEX(FX_Input,R$5,E$3*$Z$5+$AA$5-1)^0.5)*LOG10(INDEX(FX_Input,R$5,E$3*$Z$5+$AA$5))-(1.854-(1042/(E1718+459.6)))*(INDEX(FX_Input,R$5,E$3*$Z$5+$AA$5-1)^0.5)+((2416/(E1718+459.6)-2.013)*LOG10(INDEX(FX_Input,R$5,E$3*$Z$5+$AA$5)))-(8742/(E1718+459.6))+15.64),EXP(INDEX(Antoines,MATCH(E1710,Antoine_Name,0),2)-INDEX(Antoines,MATCH(E1710,Antoine_Name,0),3)/(E1718+459.6))))),0)</f>
        <v>0</v>
      </c>
      <c r="F1731" cm="1">
        <f t="array" ref="F1731">IFERROR(IF(F1711="Chemical",(10^(INDEX(Antoines,MATCH(F1710,Antoine_Name,0),2)-INDEX(Antoines,MATCH(F1710,Antoine_Name,0),3)/(INDEX(Antoines,MATCH(F1710,Antoine_Name,0),4)+(F1718-32)*5/9)))*14.7/760,IF(F1711="Crude Oil",EXP((2799/(F1718+459.6)-2.227)*LOG10(INDEX(FX_Input,S$5,F$3*$Z$5+$AA$5))-(7261/(F1718+459.6))+12.82),IF(F1711="Refined Petroleum Stock",EXP((0.7553-(413/(F1718+459.6)))*(INDEX(FX_Input,S$5,F$3*$Z$5+$AA$5-1)^0.5)*LOG10(INDEX(FX_Input,S$5,F$3*$Z$5+$AA$5))-(1.854-(1042/(F1718+459.6)))*(INDEX(FX_Input,S$5,F$3*$Z$5+$AA$5-1)^0.5)+((2416/(F1718+459.6)-2.013)*LOG10(INDEX(FX_Input,S$5,F$3*$Z$5+$AA$5)))-(8742/(F1718+459.6))+15.64),EXP(INDEX(Antoines,MATCH(F1710,Antoine_Name,0),2)-INDEX(Antoines,MATCH(F1710,Antoine_Name,0),3)/(F1718+459.6))))),0)</f>
        <v>0</v>
      </c>
      <c r="G1731" cm="1">
        <f t="array" ref="G1731">IFERROR(IF(G1711="Chemical",(10^(INDEX(Antoines,MATCH(G1710,Antoine_Name,0),2)-INDEX(Antoines,MATCH(G1710,Antoine_Name,0),3)/(INDEX(Antoines,MATCH(G1710,Antoine_Name,0),4)+(G1718-32)*5/9)))*14.7/760,IF(G1711="Crude Oil",EXP((2799/(G1718+459.6)-2.227)*LOG10(INDEX(FX_Input,T$5,G$3*$Z$5+$AA$5))-(7261/(G1718+459.6))+12.82),IF(G1711="Refined Petroleum Stock",EXP((0.7553-(413/(G1718+459.6)))*(INDEX(FX_Input,T$5,G$3*$Z$5+$AA$5-1)^0.5)*LOG10(INDEX(FX_Input,T$5,G$3*$Z$5+$AA$5))-(1.854-(1042/(G1718+459.6)))*(INDEX(FX_Input,T$5,G$3*$Z$5+$AA$5-1)^0.5)+((2416/(G1718+459.6)-2.013)*LOG10(INDEX(FX_Input,T$5,G$3*$Z$5+$AA$5)))-(8742/(G1718+459.6))+15.64),EXP(INDEX(Antoines,MATCH(G1710,Antoine_Name,0),2)-INDEX(Antoines,MATCH(G1710,Antoine_Name,0),3)/(G1718+459.6))))),0)</f>
        <v>0</v>
      </c>
      <c r="H1731" cm="1">
        <f t="array" ref="H1731">IFERROR(IF(H1711="Chemical",(10^(INDEX(Antoines,MATCH(H1710,Antoine_Name,0),2)-INDEX(Antoines,MATCH(H1710,Antoine_Name,0),3)/(INDEX(Antoines,MATCH(H1710,Antoine_Name,0),4)+(H1718-32)*5/9)))*14.7/760,IF(H1711="Crude Oil",EXP((2799/(H1718+459.6)-2.227)*LOG10(INDEX(FX_Input,U$5,H$3*$Z$5+$AA$5))-(7261/(H1718+459.6))+12.82),IF(H1711="Refined Petroleum Stock",EXP((0.7553-(413/(H1718+459.6)))*(INDEX(FX_Input,U$5,H$3*$Z$5+$AA$5-1)^0.5)*LOG10(INDEX(FX_Input,U$5,H$3*$Z$5+$AA$5))-(1.854-(1042/(H1718+459.6)))*(INDEX(FX_Input,U$5,H$3*$Z$5+$AA$5-1)^0.5)+((2416/(H1718+459.6)-2.013)*LOG10(INDEX(FX_Input,U$5,H$3*$Z$5+$AA$5)))-(8742/(H1718+459.6))+15.64),EXP(INDEX(Antoines,MATCH(H1710,Antoine_Name,0),2)-INDEX(Antoines,MATCH(H1710,Antoine_Name,0),3)/(H1718+459.6))))),0)</f>
        <v>0</v>
      </c>
      <c r="I1731" cm="1">
        <f t="array" ref="I1731">IFERROR(IF(I1711="Chemical",(10^(INDEX(Antoines,MATCH(I1710,Antoine_Name,0),2)-INDEX(Antoines,MATCH(I1710,Antoine_Name,0),3)/(INDEX(Antoines,MATCH(I1710,Antoine_Name,0),4)+(I1718-32)*5/9)))*14.7/760,IF(I1711="Crude Oil",EXP((2799/(I1718+459.6)-2.227)*LOG10(INDEX(FX_Input,V$5,I$3*$Z$5+$AA$5))-(7261/(I1718+459.6))+12.82),IF(I1711="Refined Petroleum Stock",EXP((0.7553-(413/(I1718+459.6)))*(INDEX(FX_Input,V$5,I$3*$Z$5+$AA$5-1)^0.5)*LOG10(INDEX(FX_Input,V$5,I$3*$Z$5+$AA$5))-(1.854-(1042/(I1718+459.6)))*(INDEX(FX_Input,V$5,I$3*$Z$5+$AA$5-1)^0.5)+((2416/(I1718+459.6)-2.013)*LOG10(INDEX(FX_Input,V$5,I$3*$Z$5+$AA$5)))-(8742/(I1718+459.6))+15.64),EXP(INDEX(Antoines,MATCH(I1710,Antoine_Name,0),2)-INDEX(Antoines,MATCH(I1710,Antoine_Name,0),3)/(I1718+459.6))))),0)</f>
        <v>0</v>
      </c>
      <c r="J1731" cm="1">
        <f t="array" ref="J1731">IFERROR(IF(J1711="Chemical",(10^(INDEX(Antoines,MATCH(J1710,Antoine_Name,0),2)-INDEX(Antoines,MATCH(J1710,Antoine_Name,0),3)/(INDEX(Antoines,MATCH(J1710,Antoine_Name,0),4)+(J1718-32)*5/9)))*14.7/760,IF(J1711="Crude Oil",EXP((2799/(J1718+459.6)-2.227)*LOG10(INDEX(FX_Input,W$5,J$3*$Z$5+$AA$5))-(7261/(J1718+459.6))+12.82),IF(J1711="Refined Petroleum Stock",EXP((0.7553-(413/(J1718+459.6)))*(INDEX(FX_Input,W$5,J$3*$Z$5+$AA$5-1)^0.5)*LOG10(INDEX(FX_Input,W$5,J$3*$Z$5+$AA$5))-(1.854-(1042/(J1718+459.6)))*(INDEX(FX_Input,W$5,J$3*$Z$5+$AA$5-1)^0.5)+((2416/(J1718+459.6)-2.013)*LOG10(INDEX(FX_Input,W$5,J$3*$Z$5+$AA$5)))-(8742/(J1718+459.6))+15.64),EXP(INDEX(Antoines,MATCH(J1710,Antoine_Name,0),2)-INDEX(Antoines,MATCH(J1710,Antoine_Name,0),3)/(J1718+459.6))))),0)</f>
        <v>0</v>
      </c>
      <c r="K1731" cm="1">
        <f t="array" ref="K1731">IFERROR(IF(K1711="Chemical",(10^(INDEX(Antoines,MATCH(K1710,Antoine_Name,0),2)-INDEX(Antoines,MATCH(K1710,Antoine_Name,0),3)/(INDEX(Antoines,MATCH(K1710,Antoine_Name,0),4)+(K1718-32)*5/9)))*14.7/760,IF(K1711="Crude Oil",EXP((2799/(K1718+459.6)-2.227)*LOG10(INDEX(FX_Input,X$5,K$3*$Z$5+$AA$5))-(7261/(K1718+459.6))+12.82),IF(K1711="Refined Petroleum Stock",EXP((0.7553-(413/(K1718+459.6)))*(INDEX(FX_Input,X$5,K$3*$Z$5+$AA$5-1)^0.5)*LOG10(INDEX(FX_Input,X$5,K$3*$Z$5+$AA$5))-(1.854-(1042/(K1718+459.6)))*(INDEX(FX_Input,X$5,K$3*$Z$5+$AA$5-1)^0.5)+((2416/(K1718+459.6)-2.013)*LOG10(INDEX(FX_Input,X$5,K$3*$Z$5+$AA$5)))-(8742/(K1718+459.6))+15.64),EXP(INDEX(Antoines,MATCH(K1710,Antoine_Name,0),2)-INDEX(Antoines,MATCH(K1710,Antoine_Name,0),3)/(K1718+459.6))))),0)</f>
        <v>0</v>
      </c>
      <c r="L1731" cm="1">
        <f t="array" ref="L1731">IFERROR(IF(L1711="Chemical",(10^(INDEX(Antoines,MATCH(L1710,Antoine_Name,0),2)-INDEX(Antoines,MATCH(L1710,Antoine_Name,0),3)/(INDEX(Antoines,MATCH(L1710,Antoine_Name,0),4)+(L1718-32)*5/9)))*14.7/760,IF(L1711="Crude Oil",EXP((2799/(L1718+459.6)-2.227)*LOG10(INDEX(FX_Input,Y$5,L$3*$Z$5+$AA$5))-(7261/(L1718+459.6))+12.82),IF(L1711="Refined Petroleum Stock",EXP((0.7553-(413/(L1718+459.6)))*(INDEX(FX_Input,Y$5,L$3*$Z$5+$AA$5-1)^0.5)*LOG10(INDEX(FX_Input,Y$5,L$3*$Z$5+$AA$5))-(1.854-(1042/(L1718+459.6)))*(INDEX(FX_Input,Y$5,L$3*$Z$5+$AA$5-1)^0.5)+((2416/(L1718+459.6)-2.013)*LOG10(INDEX(FX_Input,Y$5,L$3*$Z$5+$AA$5)))-(8742/(L1718+459.6))+15.64),EXP(INDEX(Antoines,MATCH(L1710,Antoine_Name,0),2)-INDEX(Antoines,MATCH(L1710,Antoine_Name,0),3)/(L1718+459.6))))),0)</f>
        <v>0</v>
      </c>
      <c r="M1731" cm="1">
        <f t="array" ref="M1731">IFERROR(IF(M1711="Chemical",(10^(INDEX(Antoines,MATCH(M1710,Antoine_Name,0),2)-INDEX(Antoines,MATCH(M1710,Antoine_Name,0),3)/(INDEX(Antoines,MATCH(M1710,Antoine_Name,0),4)+(M1718-32)*5/9)))*14.7/760,IF(M1711="Crude Oil",EXP((2799/(M1718+459.6)-2.227)*LOG10(INDEX(FX_Input,Z$5,M$3*$Z$5+$AA$5))-(7261/(M1718+459.6))+12.82),IF(M1711="Refined Petroleum Stock",EXP((0.7553-(413/(M1718+459.6)))*(INDEX(FX_Input,Z$5,M$3*$Z$5+$AA$5-1)^0.5)*LOG10(INDEX(FX_Input,Z$5,M$3*$Z$5+$AA$5))-(1.854-(1042/(M1718+459.6)))*(INDEX(FX_Input,Z$5,M$3*$Z$5+$AA$5-1)^0.5)+((2416/(M1718+459.6)-2.013)*LOG10(INDEX(FX_Input,Z$5,M$3*$Z$5+$AA$5)))-(8742/(M1718+459.6))+15.64),EXP(INDEX(Antoines,MATCH(M1710,Antoine_Name,0),2)-INDEX(Antoines,MATCH(M1710,Antoine_Name,0),3)/(M1718+459.6))))),0)</f>
        <v>0</v>
      </c>
      <c r="N1731" cm="1">
        <f t="array" ref="N1731">IFERROR(IF(N1711="Chemical",(10^(INDEX(Antoines,MATCH(N1710,Antoine_Name,0),2)-INDEX(Antoines,MATCH(N1710,Antoine_Name,0),3)/(INDEX(Antoines,MATCH(N1710,Antoine_Name,0),4)+(N1718-32)*5/9)))*14.7/760,IF(N1711="Crude Oil",EXP((2799/(N1718+459.6)-2.227)*LOG10(INDEX(FX_Input,AA$5,N$3*$Z$5+$AA$5))-(7261/(N1718+459.6))+12.82),IF(N1711="Refined Petroleum Stock",EXP((0.7553-(413/(N1718+459.6)))*(INDEX(FX_Input,AA$5,N$3*$Z$5+$AA$5-1)^0.5)*LOG10(INDEX(FX_Input,AA$5,N$3*$Z$5+$AA$5))-(1.854-(1042/(N1718+459.6)))*(INDEX(FX_Input,AA$5,N$3*$Z$5+$AA$5-1)^0.5)+((2416/(N1718+459.6)-2.013)*LOG10(INDEX(FX_Input,AA$5,N$3*$Z$5+$AA$5)))-(8742/(N1718+459.6))+15.64),EXP(INDEX(Antoines,MATCH(N1710,Antoine_Name,0),2)-INDEX(Antoines,MATCH(N1710,Antoine_Name,0),3)/(N1718+459.6))))),0)</f>
        <v>0</v>
      </c>
      <c r="O1731" cm="1">
        <f t="array" ref="O1731">IFERROR(IF(O1711="Chemical",(10^(INDEX(Antoines,MATCH(O1710,Antoine_Name,0),2)-INDEX(Antoines,MATCH(O1710,Antoine_Name,0),3)/(INDEX(Antoines,MATCH(O1710,Antoine_Name,0),4)+(O1718-32)*5/9)))*14.7/760,IF(O1711="Crude Oil",EXP((2799/(O1718+459.6)-2.227)*LOG10(INDEX(FX_Input,AB$5,O$3*$Z$5+$AA$5))-(7261/(O1718+459.6))+12.82),IF(O1711="Refined Petroleum Stock",EXP((0.7553-(413/(O1718+459.6)))*(INDEX(FX_Input,AB$5,O$3*$Z$5+$AA$5-1)^0.5)*LOG10(INDEX(FX_Input,AB$5,O$3*$Z$5+$AA$5))-(1.854-(1042/(O1718+459.6)))*(INDEX(FX_Input,AB$5,O$3*$Z$5+$AA$5-1)^0.5)+((2416/(O1718+459.6)-2.013)*LOG10(INDEX(FX_Input,AB$5,O$3*$Z$5+$AA$5)))-(8742/(O1718+459.6))+15.64),EXP(INDEX(Antoines,MATCH(O1710,Antoine_Name,0),2)-INDEX(Antoines,MATCH(O1710,Antoine_Name,0),3)/(O1718+459.6))))),0)</f>
        <v>0</v>
      </c>
    </row>
    <row r="1732" spans="1:32" ht="17.149999999999999" x14ac:dyDescent="0.55000000000000004">
      <c r="B1732" t="str">
        <f t="shared" si="6292"/>
        <v>Portland</v>
      </c>
      <c r="C1732" t="s">
        <v>1391</v>
      </c>
      <c r="D1732">
        <f>D1731*D1714</f>
        <v>0</v>
      </c>
      <c r="E1732">
        <f t="shared" ref="E1732" si="6370">E1731*E1714</f>
        <v>0</v>
      </c>
      <c r="F1732">
        <f t="shared" ref="F1732" si="6371">F1731*F1714</f>
        <v>0</v>
      </c>
      <c r="G1732">
        <f t="shared" ref="G1732" si="6372">G1731*G1714</f>
        <v>0</v>
      </c>
      <c r="H1732">
        <f t="shared" ref="H1732" si="6373">H1731*H1714</f>
        <v>0</v>
      </c>
      <c r="I1732">
        <f t="shared" ref="I1732" si="6374">I1731*I1714</f>
        <v>0</v>
      </c>
      <c r="J1732">
        <f t="shared" ref="J1732" si="6375">J1731*J1714</f>
        <v>0</v>
      </c>
      <c r="K1732">
        <f t="shared" ref="K1732" si="6376">K1731*K1714</f>
        <v>0</v>
      </c>
      <c r="L1732">
        <f t="shared" ref="L1732" si="6377">L1731*L1714</f>
        <v>0</v>
      </c>
      <c r="M1732">
        <f t="shared" ref="M1732" si="6378">M1731*M1714</f>
        <v>0</v>
      </c>
      <c r="N1732">
        <f t="shared" ref="N1732" si="6379">N1731*N1714</f>
        <v>0</v>
      </c>
      <c r="O1732">
        <f t="shared" ref="O1732" si="6380">O1731*O1714</f>
        <v>0</v>
      </c>
    </row>
    <row r="1733" spans="1:32" ht="17.149999999999999" x14ac:dyDescent="0.55000000000000004">
      <c r="B1733" t="str">
        <f t="shared" si="6292"/>
        <v>Portland</v>
      </c>
      <c r="C1733" t="s">
        <v>1392</v>
      </c>
      <c r="D1733">
        <f>D1730+D1732</f>
        <v>1</v>
      </c>
      <c r="E1733">
        <f t="shared" ref="E1733" si="6381">E1730+E1732</f>
        <v>1</v>
      </c>
      <c r="F1733">
        <f t="shared" ref="F1733" si="6382">F1730+F1732</f>
        <v>1</v>
      </c>
      <c r="G1733">
        <f t="shared" ref="G1733" si="6383">G1730+G1732</f>
        <v>1</v>
      </c>
      <c r="H1733">
        <f t="shared" ref="H1733" si="6384">H1730+H1732</f>
        <v>1</v>
      </c>
      <c r="I1733">
        <f t="shared" ref="I1733" si="6385">I1730+I1732</f>
        <v>1</v>
      </c>
      <c r="J1733">
        <f t="shared" ref="J1733" si="6386">J1730+J1732</f>
        <v>1</v>
      </c>
      <c r="K1733">
        <f t="shared" ref="K1733" si="6387">K1730+K1732</f>
        <v>1</v>
      </c>
      <c r="L1733">
        <f t="shared" ref="L1733" si="6388">L1730+L1732</f>
        <v>1</v>
      </c>
      <c r="M1733">
        <f t="shared" ref="M1733" si="6389">M1730+M1732</f>
        <v>1</v>
      </c>
      <c r="N1733">
        <f t="shared" ref="N1733" si="6390">N1730+N1732</f>
        <v>1</v>
      </c>
      <c r="O1733">
        <f t="shared" ref="O1733" si="6391">O1730+O1732</f>
        <v>1</v>
      </c>
    </row>
    <row r="1734" spans="1:32" ht="17.149999999999999" x14ac:dyDescent="0.55000000000000004">
      <c r="B1734" t="str">
        <f>B1728</f>
        <v>Portland</v>
      </c>
      <c r="C1734" t="s">
        <v>584</v>
      </c>
      <c r="D1734">
        <f>D1730/D1733</f>
        <v>1</v>
      </c>
      <c r="E1734">
        <f t="shared" ref="E1734" si="6392">E1730/E1733</f>
        <v>1</v>
      </c>
      <c r="F1734">
        <f t="shared" ref="F1734" si="6393">F1730/F1733</f>
        <v>1</v>
      </c>
      <c r="G1734">
        <f t="shared" ref="G1734" si="6394">G1730/G1733</f>
        <v>1</v>
      </c>
      <c r="H1734">
        <f t="shared" ref="H1734" si="6395">H1730/H1733</f>
        <v>1</v>
      </c>
      <c r="I1734">
        <f t="shared" ref="I1734" si="6396">I1730/I1733</f>
        <v>1</v>
      </c>
      <c r="J1734">
        <f t="shared" ref="J1734" si="6397">J1730/J1733</f>
        <v>1</v>
      </c>
      <c r="K1734">
        <f t="shared" ref="K1734" si="6398">K1730/K1733</f>
        <v>1</v>
      </c>
      <c r="L1734">
        <f t="shared" ref="L1734" si="6399">L1730/L1733</f>
        <v>1</v>
      </c>
      <c r="M1734">
        <f t="shared" ref="M1734" si="6400">M1730/M1733</f>
        <v>1</v>
      </c>
      <c r="N1734">
        <f t="shared" ref="N1734" si="6401">N1730/N1733</f>
        <v>1</v>
      </c>
      <c r="O1734">
        <f t="shared" ref="O1734" si="6402">O1730/O1733</f>
        <v>1</v>
      </c>
    </row>
    <row r="1735" spans="1:32" ht="17.149999999999999" x14ac:dyDescent="0.55000000000000004">
      <c r="B1735" t="str">
        <f>B1729</f>
        <v>Portland</v>
      </c>
      <c r="C1735" t="s">
        <v>585</v>
      </c>
      <c r="D1735" t="str">
        <f t="shared" ref="D1735:O1735" si="6403">INDEX(Phys_Prop,MATCH(D1708,Chem_List,0),3)</f>
        <v>N/A</v>
      </c>
      <c r="E1735" t="str">
        <f t="shared" si="6403"/>
        <v>N/A</v>
      </c>
      <c r="F1735" t="str">
        <f t="shared" si="6403"/>
        <v>N/A</v>
      </c>
      <c r="G1735" t="str">
        <f t="shared" si="6403"/>
        <v>N/A</v>
      </c>
      <c r="H1735" t="str">
        <f t="shared" si="6403"/>
        <v>N/A</v>
      </c>
      <c r="I1735" t="str">
        <f t="shared" si="6403"/>
        <v>N/A</v>
      </c>
      <c r="J1735" t="str">
        <f t="shared" si="6403"/>
        <v>N/A</v>
      </c>
      <c r="K1735" t="str">
        <f t="shared" si="6403"/>
        <v>N/A</v>
      </c>
      <c r="L1735" t="str">
        <f t="shared" si="6403"/>
        <v>N/A</v>
      </c>
      <c r="M1735" t="str">
        <f t="shared" si="6403"/>
        <v>N/A</v>
      </c>
      <c r="N1735" t="str">
        <f t="shared" si="6403"/>
        <v>N/A</v>
      </c>
      <c r="O1735" t="str">
        <f t="shared" si="6403"/>
        <v>N/A</v>
      </c>
    </row>
    <row r="1736" spans="1:32" ht="17.149999999999999" x14ac:dyDescent="0.55000000000000004">
      <c r="B1736" t="str">
        <f>B1735</f>
        <v>Portland</v>
      </c>
      <c r="C1736" t="s">
        <v>586</v>
      </c>
      <c r="D1736">
        <f>D1732/D1733</f>
        <v>0</v>
      </c>
      <c r="E1736">
        <f t="shared" ref="E1736:O1736" si="6404">E1732/E1733</f>
        <v>0</v>
      </c>
      <c r="F1736">
        <f t="shared" si="6404"/>
        <v>0</v>
      </c>
      <c r="G1736">
        <f t="shared" si="6404"/>
        <v>0</v>
      </c>
      <c r="H1736">
        <f t="shared" si="6404"/>
        <v>0</v>
      </c>
      <c r="I1736">
        <f t="shared" si="6404"/>
        <v>0</v>
      </c>
      <c r="J1736">
        <f t="shared" si="6404"/>
        <v>0</v>
      </c>
      <c r="K1736">
        <f t="shared" si="6404"/>
        <v>0</v>
      </c>
      <c r="L1736">
        <f t="shared" si="6404"/>
        <v>0</v>
      </c>
      <c r="M1736">
        <f t="shared" si="6404"/>
        <v>0</v>
      </c>
      <c r="N1736">
        <f t="shared" si="6404"/>
        <v>0</v>
      </c>
      <c r="O1736">
        <f t="shared" si="6404"/>
        <v>0</v>
      </c>
    </row>
    <row r="1737" spans="1:32" ht="17.149999999999999" x14ac:dyDescent="0.55000000000000004">
      <c r="B1737" t="str">
        <f t="shared" si="6292"/>
        <v>Portland</v>
      </c>
      <c r="C1737" t="s">
        <v>587</v>
      </c>
      <c r="D1737">
        <f t="shared" ref="D1737:O1737" si="6405">IFERROR(INDEX(Phys_Prop,MATCH(D1710,Chem_List,0),3),0)</f>
        <v>0</v>
      </c>
      <c r="E1737">
        <f t="shared" si="6405"/>
        <v>0</v>
      </c>
      <c r="F1737">
        <f t="shared" si="6405"/>
        <v>0</v>
      </c>
      <c r="G1737">
        <f t="shared" si="6405"/>
        <v>0</v>
      </c>
      <c r="H1737">
        <f t="shared" si="6405"/>
        <v>0</v>
      </c>
      <c r="I1737">
        <f t="shared" si="6405"/>
        <v>0</v>
      </c>
      <c r="J1737">
        <f t="shared" si="6405"/>
        <v>0</v>
      </c>
      <c r="K1737">
        <f t="shared" si="6405"/>
        <v>0</v>
      </c>
      <c r="L1737">
        <f t="shared" si="6405"/>
        <v>0</v>
      </c>
      <c r="M1737">
        <f t="shared" si="6405"/>
        <v>0</v>
      </c>
      <c r="N1737">
        <f t="shared" si="6405"/>
        <v>0</v>
      </c>
      <c r="O1737">
        <f t="shared" si="6405"/>
        <v>0</v>
      </c>
    </row>
    <row r="1738" spans="1:32" ht="17.149999999999999" x14ac:dyDescent="0.55000000000000004">
      <c r="A1738" s="11"/>
      <c r="B1738" s="11" t="str">
        <f t="shared" si="6292"/>
        <v>Portland</v>
      </c>
      <c r="C1738" s="11" t="s">
        <v>588</v>
      </c>
      <c r="D1738" s="11">
        <f>IFERROR(D1734*D1735+D1736*D1737,0)</f>
        <v>0</v>
      </c>
      <c r="E1738" s="11">
        <f t="shared" ref="E1738" si="6406">IFERROR(E1734*E1735+E1736*E1737,0)</f>
        <v>0</v>
      </c>
      <c r="F1738" s="11">
        <f t="shared" ref="F1738" si="6407">IFERROR(F1734*F1735+F1736*F1737,0)</f>
        <v>0</v>
      </c>
      <c r="G1738" s="11">
        <f t="shared" ref="G1738" si="6408">IFERROR(G1734*G1735+G1736*G1737,0)</f>
        <v>0</v>
      </c>
      <c r="H1738" s="11">
        <f t="shared" ref="H1738" si="6409">IFERROR(H1734*H1735+H1736*H1737,0)</f>
        <v>0</v>
      </c>
      <c r="I1738" s="11">
        <f t="shared" ref="I1738" si="6410">IFERROR(I1734*I1735+I1736*I1737,0)</f>
        <v>0</v>
      </c>
      <c r="J1738" s="11">
        <f t="shared" ref="J1738" si="6411">IFERROR(J1734*J1735+J1736*J1737,0)</f>
        <v>0</v>
      </c>
      <c r="K1738" s="11">
        <f t="shared" ref="K1738" si="6412">IFERROR(K1734*K1735+K1736*K1737,0)</f>
        <v>0</v>
      </c>
      <c r="L1738" s="11">
        <f t="shared" ref="L1738" si="6413">IFERROR(L1734*L1735+L1736*L1737,0)</f>
        <v>0</v>
      </c>
      <c r="M1738" s="11">
        <f t="shared" ref="M1738" si="6414">IFERROR(M1734*M1735+M1736*M1737,0)</f>
        <v>0</v>
      </c>
      <c r="N1738" s="11">
        <f t="shared" ref="N1738" si="6415">IFERROR(N1734*N1735+N1736*N1737,0)</f>
        <v>0</v>
      </c>
      <c r="O1738" s="11">
        <f t="shared" ref="O1738" si="6416">IFERROR(O1734*O1735+O1736*O1737,0)</f>
        <v>0</v>
      </c>
      <c r="P1738" s="11"/>
      <c r="Q1738" s="11"/>
      <c r="R1738" s="11"/>
      <c r="S1738" s="11"/>
      <c r="T1738" s="11"/>
      <c r="U1738" s="11"/>
      <c r="V1738" s="11"/>
      <c r="W1738" s="11"/>
      <c r="X1738" s="11"/>
      <c r="Y1738" s="11"/>
      <c r="Z1738" s="11"/>
      <c r="AA1738" s="11"/>
      <c r="AB1738" s="11"/>
      <c r="AC1738" s="11"/>
      <c r="AD1738" s="11"/>
      <c r="AE1738" s="11"/>
      <c r="AF1738" s="11"/>
    </row>
    <row r="1739" spans="1:32" ht="17.149999999999999" x14ac:dyDescent="0.55000000000000004">
      <c r="A1739" t="str" cm="1">
        <f t="array" ref="A1739">INDEX(FX_Input,$Q1739,R$5)</f>
        <v>FX - 52</v>
      </c>
      <c r="B1739" t="str" cm="1">
        <f t="array" ref="B1739">INDEX(FX_Input,Q1739,S1739)</f>
        <v>Portland</v>
      </c>
      <c r="C1739" t="s">
        <v>563</v>
      </c>
      <c r="D1739">
        <v>14.7</v>
      </c>
      <c r="E1739">
        <v>14.7</v>
      </c>
      <c r="F1739">
        <v>14.7</v>
      </c>
      <c r="G1739">
        <v>14.7</v>
      </c>
      <c r="H1739">
        <v>14.7</v>
      </c>
      <c r="I1739">
        <v>14.7</v>
      </c>
      <c r="J1739">
        <v>14.7</v>
      </c>
      <c r="K1739">
        <v>14.7</v>
      </c>
      <c r="L1739">
        <v>14.7</v>
      </c>
      <c r="M1739">
        <v>14.7</v>
      </c>
      <c r="N1739">
        <v>14.7</v>
      </c>
      <c r="O1739">
        <v>14.7</v>
      </c>
      <c r="Q1739">
        <f>Q1705+2</f>
        <v>103</v>
      </c>
      <c r="R1739">
        <v>1</v>
      </c>
      <c r="S1739">
        <v>3</v>
      </c>
      <c r="T1739">
        <v>1</v>
      </c>
      <c r="U1739">
        <v>19</v>
      </c>
      <c r="V1739">
        <v>20</v>
      </c>
      <c r="W1739">
        <v>25</v>
      </c>
      <c r="X1739">
        <v>1</v>
      </c>
      <c r="Y1739">
        <v>2</v>
      </c>
      <c r="Z1739">
        <f>(W1739-V1739)/(Y1739-X1739)</f>
        <v>5</v>
      </c>
      <c r="AA1739">
        <f>V1739-Z1739*X1739</f>
        <v>15</v>
      </c>
      <c r="AD1739">
        <f>AD1705+14</f>
        <v>715</v>
      </c>
      <c r="AF1739">
        <f>AF1705+14</f>
        <v>715</v>
      </c>
    </row>
    <row r="1740" spans="1:32" ht="17.149999999999999" x14ac:dyDescent="0.55000000000000004">
      <c r="B1740" t="str">
        <f t="shared" ref="B1740" si="6417">B1739</f>
        <v>Portland</v>
      </c>
      <c r="C1740" t="s">
        <v>564</v>
      </c>
      <c r="D1740" cm="1">
        <f t="array" ref="D1740">IF(ISBLANK(INDEX(FX_Input,$Q1739,$AB1740)),0.03,INDEX(FX_Input,Q1739,AB1740))</f>
        <v>0.03</v>
      </c>
      <c r="E1740" cm="1">
        <f t="array" ref="E1740">IF(ISBLANK(INDEX(FX_Input,$Q1739,$AB1740)),0.03,INDEX(FX_Input,R1739,#REF!))</f>
        <v>0.03</v>
      </c>
      <c r="F1740" cm="1">
        <f t="array" ref="F1740">IF(ISBLANK(INDEX(FX_Input,$Q1739,$AB1740)),0.03,INDEX(FX_Input,S1739,#REF!))</f>
        <v>0.03</v>
      </c>
      <c r="G1740" cm="1">
        <f t="array" ref="G1740">IF(ISBLANK(INDEX(FX_Input,$Q1739,$AB1740)),0.03,INDEX(FX_Input,AB1739,#REF!))</f>
        <v>0.03</v>
      </c>
      <c r="H1740" cm="1">
        <f t="array" ref="H1740">IF(ISBLANK(INDEX(FX_Input,$Q1739,$AB1740)),0.03,INDEX(FX_Input,#REF!,#REF!))</f>
        <v>0.03</v>
      </c>
      <c r="I1740" cm="1">
        <f t="array" ref="I1740">IF(ISBLANK(INDEX(FX_Input,$Q1739,$AB1740)),0.03,INDEX(FX_Input,#REF!,#REF!))</f>
        <v>0.03</v>
      </c>
      <c r="J1740" cm="1">
        <f t="array" ref="J1740">IF(ISBLANK(INDEX(FX_Input,$Q1739,$AB1740)),0.03,INDEX(FX_Input,#REF!,#REF!))</f>
        <v>0.03</v>
      </c>
      <c r="K1740" cm="1">
        <f t="array" ref="K1740">IF(ISBLANK(INDEX(FX_Input,$Q1739,$AB1740)),0.03,INDEX(FX_Input,#REF!,AC1740))</f>
        <v>0.03</v>
      </c>
      <c r="L1740" cm="1">
        <f t="array" ref="L1740">IF(ISBLANK(INDEX(FX_Input,$Q1739,$AB1740)),0.03,INDEX(FX_Input,#REF!,AD1740))</f>
        <v>0.03</v>
      </c>
      <c r="M1740" cm="1">
        <f t="array" ref="M1740">IF(ISBLANK(INDEX(FX_Input,$Q1739,$AB1740)),0.03,INDEX(FX_Input,#REF!,#REF!))</f>
        <v>0.03</v>
      </c>
      <c r="N1740" cm="1">
        <f t="array" ref="N1740">IF(ISBLANK(INDEX(FX_Input,$Q1739,$AB1740)),0.03,INDEX(FX_Input,AC1739,#REF!))</f>
        <v>0.03</v>
      </c>
      <c r="O1740" cm="1">
        <f t="array" ref="O1740">IF(ISBLANK(INDEX(FX_Input,$Q1739,$AB1740)),0.03,INDEX(FX_Input,AD1739,#REF!))</f>
        <v>0.03</v>
      </c>
      <c r="AB1740">
        <v>15</v>
      </c>
    </row>
    <row r="1741" spans="1:32" ht="17.149999999999999" x14ac:dyDescent="0.55000000000000004">
      <c r="B1741" t="str">
        <f>B1740</f>
        <v>Portland</v>
      </c>
      <c r="C1741" t="s">
        <v>565</v>
      </c>
      <c r="D1741" cm="1">
        <f t="array" ref="D1741">IF(ISBLANK(INDEX(FX_Input,$Q1739,$AB1741)),-0.03,INDEX(FX_Input,Q1739,AB1741))</f>
        <v>-0.03</v>
      </c>
      <c r="E1741" cm="1">
        <f t="array" ref="E1741">IF(ISBLANK(INDEX(FX_Input,$Q1739,$AB1741)),-0.03,INDEX(FX_Input,R1739,#REF!))</f>
        <v>-0.03</v>
      </c>
      <c r="F1741" cm="1">
        <f t="array" ref="F1741">IF(ISBLANK(INDEX(FX_Input,$Q1739,$AB1741)),-0.03,INDEX(FX_Input,S1739,#REF!))</f>
        <v>-0.03</v>
      </c>
      <c r="G1741" cm="1">
        <f t="array" ref="G1741">IF(ISBLANK(INDEX(FX_Input,$Q1739,$AB1741)),-0.03,INDEX(FX_Input,AB1739,#REF!))</f>
        <v>-0.03</v>
      </c>
      <c r="H1741" cm="1">
        <f t="array" ref="H1741">IF(ISBLANK(INDEX(FX_Input,$Q1739,$AB1741)),-0.03,INDEX(FX_Input,#REF!,#REF!))</f>
        <v>-0.03</v>
      </c>
      <c r="I1741" cm="1">
        <f t="array" ref="I1741">IF(ISBLANK(INDEX(FX_Input,$Q1739,$AB1741)),-0.03,INDEX(FX_Input,#REF!,#REF!))</f>
        <v>-0.03</v>
      </c>
      <c r="J1741" cm="1">
        <f t="array" ref="J1741">IF(ISBLANK(INDEX(FX_Input,$Q1739,$AB1741)),-0.03,INDEX(FX_Input,#REF!,#REF!))</f>
        <v>-0.03</v>
      </c>
      <c r="K1741" cm="1">
        <f t="array" ref="K1741">IF(ISBLANK(INDEX(FX_Input,$Q1739,$AB1741)),-0.03,INDEX(FX_Input,#REF!,AC1741))</f>
        <v>-0.03</v>
      </c>
      <c r="L1741" cm="1">
        <f t="array" ref="L1741">IF(ISBLANK(INDEX(FX_Input,$Q1739,$AB1741)),-0.03,INDEX(FX_Input,#REF!,AD1741))</f>
        <v>-0.03</v>
      </c>
      <c r="M1741" cm="1">
        <f t="array" ref="M1741">IF(ISBLANK(INDEX(FX_Input,$Q1739,$AB1741)),-0.03,INDEX(FX_Input,#REF!,#REF!))</f>
        <v>-0.03</v>
      </c>
      <c r="N1741" cm="1">
        <f t="array" ref="N1741">IF(ISBLANK(INDEX(FX_Input,$Q1739,$AB1741)),-0.03,INDEX(FX_Input,AC1739,#REF!))</f>
        <v>-0.03</v>
      </c>
      <c r="O1741" cm="1">
        <f t="array" ref="O1741">IF(ISBLANK(INDEX(FX_Input,$Q1739,$AB1741)),-0.03,INDEX(FX_Input,AD1739,#REF!))</f>
        <v>-0.03</v>
      </c>
      <c r="AB1741">
        <v>16</v>
      </c>
    </row>
    <row r="1742" spans="1:32" x14ac:dyDescent="0.4">
      <c r="B1742" t="str">
        <f t="shared" ref="B1742:B1743" si="6418">B1741</f>
        <v>Portland</v>
      </c>
      <c r="C1742" s="66" t="s">
        <v>567</v>
      </c>
      <c r="D1742" t="str" cm="1">
        <f t="array" ref="D1742">INDEX(FX_Multi,$AD1742,D$3)</f>
        <v>Jet kerosene</v>
      </c>
      <c r="E1742" t="str" cm="1">
        <f t="array" ref="E1742">INDEX(FX_Multi,$AD1742,E$3)</f>
        <v>Jet kerosene</v>
      </c>
      <c r="F1742" t="str" cm="1">
        <f t="array" ref="F1742">INDEX(FX_Multi,$AD1742,F$3)</f>
        <v>Jet kerosene</v>
      </c>
      <c r="G1742" t="str" cm="1">
        <f t="array" ref="G1742">INDEX(FX_Multi,$AD1742,G$3)</f>
        <v>Jet kerosene</v>
      </c>
      <c r="H1742" t="str" cm="1">
        <f t="array" ref="H1742">INDEX(FX_Multi,$AD1742,H$3)</f>
        <v>Jet kerosene</v>
      </c>
      <c r="I1742" t="str" cm="1">
        <f t="array" ref="I1742">INDEX(FX_Multi,$AD1742,I$3)</f>
        <v>Jet kerosene</v>
      </c>
      <c r="J1742" t="str" cm="1">
        <f t="array" ref="J1742">INDEX(FX_Multi,$AD1742,J$3)</f>
        <v>Jet kerosene</v>
      </c>
      <c r="K1742" t="str" cm="1">
        <f t="array" ref="K1742">INDEX(FX_Multi,$AD1742,K$3)</f>
        <v>Jet kerosene</v>
      </c>
      <c r="L1742" t="str" cm="1">
        <f t="array" ref="L1742">INDEX(FX_Multi,$AD1742,L$3)</f>
        <v>Jet kerosene</v>
      </c>
      <c r="M1742" t="str" cm="1">
        <f t="array" ref="M1742">INDEX(FX_Multi,$AD1742,M$3)</f>
        <v>Jet kerosene</v>
      </c>
      <c r="N1742" t="str" cm="1">
        <f t="array" ref="N1742">INDEX(FX_Multi,$AD1742,N$3)</f>
        <v>Jet kerosene</v>
      </c>
      <c r="O1742" t="str" cm="1">
        <f t="array" ref="O1742">INDEX(FX_Multi,$AD1742,O$3)</f>
        <v>Jet kerosene</v>
      </c>
      <c r="AC1742">
        <v>1</v>
      </c>
      <c r="AD1742">
        <f>AD1739</f>
        <v>715</v>
      </c>
      <c r="AE1742">
        <v>1</v>
      </c>
      <c r="AF1742">
        <f>AF1739</f>
        <v>715</v>
      </c>
    </row>
    <row r="1743" spans="1:32" x14ac:dyDescent="0.4">
      <c r="B1743" t="str">
        <f t="shared" si="6418"/>
        <v>Portland</v>
      </c>
      <c r="C1743" s="66" t="s">
        <v>566</v>
      </c>
      <c r="D1743" t="str" cm="1">
        <f t="array" ref="D1743">INDEX(FX_Multi,$AD1743,D$3)</f>
        <v>Select Pet Stock</v>
      </c>
      <c r="E1743" t="str" cm="1">
        <f t="array" ref="E1743">INDEX(FX_Multi,$AD1743,E$3)</f>
        <v>Select Pet Stock</v>
      </c>
      <c r="F1743" t="str" cm="1">
        <f t="array" ref="F1743">INDEX(FX_Multi,$AD1743,F$3)</f>
        <v>Select Pet Stock</v>
      </c>
      <c r="G1743" t="str" cm="1">
        <f t="array" ref="G1743">INDEX(FX_Multi,$AD1743,G$3)</f>
        <v>Select Pet Stock</v>
      </c>
      <c r="H1743" t="str" cm="1">
        <f t="array" ref="H1743">INDEX(FX_Multi,$AD1743,H$3)</f>
        <v>Select Pet Stock</v>
      </c>
      <c r="I1743" t="str" cm="1">
        <f t="array" ref="I1743">INDEX(FX_Multi,$AD1743,I$3)</f>
        <v>Select Pet Stock</v>
      </c>
      <c r="J1743" t="str" cm="1">
        <f t="array" ref="J1743">INDEX(FX_Multi,$AD1743,J$3)</f>
        <v>Select Pet Stock</v>
      </c>
      <c r="K1743" t="str" cm="1">
        <f t="array" ref="K1743">INDEX(FX_Multi,$AD1743,K$3)</f>
        <v>Select Pet Stock</v>
      </c>
      <c r="L1743" t="str" cm="1">
        <f t="array" ref="L1743">INDEX(FX_Multi,$AD1743,L$3)</f>
        <v>Select Pet Stock</v>
      </c>
      <c r="M1743" t="str" cm="1">
        <f t="array" ref="M1743">INDEX(FX_Multi,$AD1743,M$3)</f>
        <v>Select Pet Stock</v>
      </c>
      <c r="N1743" t="str" cm="1">
        <f t="array" ref="N1743">INDEX(FX_Multi,$AD1743,N$3)</f>
        <v>Select Pet Stock</v>
      </c>
      <c r="O1743" t="str" cm="1">
        <f t="array" ref="O1743">INDEX(FX_Multi,$AD1743,O$3)</f>
        <v>Select Pet Stock</v>
      </c>
      <c r="AC1743">
        <v>1</v>
      </c>
      <c r="AD1743">
        <f>AD1742+2</f>
        <v>717</v>
      </c>
      <c r="AE1743">
        <v>1</v>
      </c>
      <c r="AF1743">
        <f>AF1742+3</f>
        <v>718</v>
      </c>
    </row>
    <row r="1744" spans="1:32" x14ac:dyDescent="0.4">
      <c r="B1744" t="str">
        <f>B1740</f>
        <v>Portland</v>
      </c>
      <c r="C1744" s="66" t="s">
        <v>568</v>
      </c>
      <c r="D1744" cm="1">
        <f t="array" ref="D1744">INDEX(FX_Multi,$AD1744,D$3)</f>
        <v>0</v>
      </c>
      <c r="E1744" cm="1">
        <f t="array" ref="E1744">INDEX(FX_Multi,$AD1744,E$3)</f>
        <v>0</v>
      </c>
      <c r="F1744" cm="1">
        <f t="array" ref="F1744">INDEX(FX_Multi,$AD1744,F$3)</f>
        <v>0</v>
      </c>
      <c r="G1744" cm="1">
        <f t="array" ref="G1744">INDEX(FX_Multi,$AD1744,G$3)</f>
        <v>0</v>
      </c>
      <c r="H1744" cm="1">
        <f t="array" ref="H1744">INDEX(FX_Multi,$AD1744,H$3)</f>
        <v>0</v>
      </c>
      <c r="I1744" cm="1">
        <f t="array" ref="I1744">INDEX(FX_Multi,$AD1744,I$3)</f>
        <v>0</v>
      </c>
      <c r="J1744" cm="1">
        <f t="array" ref="J1744">INDEX(FX_Multi,$AD1744,J$3)</f>
        <v>0</v>
      </c>
      <c r="K1744" cm="1">
        <f t="array" ref="K1744">INDEX(FX_Multi,$AD1744,K$3)</f>
        <v>0</v>
      </c>
      <c r="L1744" cm="1">
        <f t="array" ref="L1744">INDEX(FX_Multi,$AD1744,L$3)</f>
        <v>0</v>
      </c>
      <c r="M1744" cm="1">
        <f t="array" ref="M1744">INDEX(FX_Multi,$AD1744,M$3)</f>
        <v>0</v>
      </c>
      <c r="N1744" cm="1">
        <f t="array" ref="N1744">INDEX(FX_Multi,$AD1744,N$3)</f>
        <v>0</v>
      </c>
      <c r="O1744" cm="1">
        <f t="array" ref="O1744">INDEX(FX_Multi,$AD1744,O$3)</f>
        <v>0</v>
      </c>
      <c r="AC1744">
        <v>1</v>
      </c>
      <c r="AD1744">
        <f>AD1743-1</f>
        <v>716</v>
      </c>
      <c r="AE1744">
        <v>1</v>
      </c>
      <c r="AF1744">
        <f>AF1742+1</f>
        <v>716</v>
      </c>
    </row>
    <row r="1745" spans="2:32" x14ac:dyDescent="0.4">
      <c r="B1745" t="str">
        <f t="shared" ref="B1745:B1749" si="6419">B1744</f>
        <v>Portland</v>
      </c>
      <c r="C1745" s="66" t="s">
        <v>569</v>
      </c>
      <c r="D1745" cm="1">
        <f t="array" ref="D1745">INDEX(FX_Multi,$AD1745,D$3)</f>
        <v>0</v>
      </c>
      <c r="E1745" cm="1">
        <f t="array" ref="E1745">INDEX(FX_Multi,$AD1745,E$3)</f>
        <v>0</v>
      </c>
      <c r="F1745" cm="1">
        <f t="array" ref="F1745">INDEX(FX_Multi,$AD1745,F$3)</f>
        <v>0</v>
      </c>
      <c r="G1745" cm="1">
        <f t="array" ref="G1745">INDEX(FX_Multi,$AD1745,G$3)</f>
        <v>0</v>
      </c>
      <c r="H1745" cm="1">
        <f t="array" ref="H1745">INDEX(FX_Multi,$AD1745,H$3)</f>
        <v>0</v>
      </c>
      <c r="I1745" cm="1">
        <f t="array" ref="I1745">INDEX(FX_Multi,$AD1745,I$3)</f>
        <v>0</v>
      </c>
      <c r="J1745" cm="1">
        <f t="array" ref="J1745">INDEX(FX_Multi,$AD1745,J$3)</f>
        <v>0</v>
      </c>
      <c r="K1745" cm="1">
        <f t="array" ref="K1745">INDEX(FX_Multi,$AD1745,K$3)</f>
        <v>0</v>
      </c>
      <c r="L1745" cm="1">
        <f t="array" ref="L1745">INDEX(FX_Multi,$AD1745,L$3)</f>
        <v>0</v>
      </c>
      <c r="M1745" cm="1">
        <f t="array" ref="M1745">INDEX(FX_Multi,$AD1745,M$3)</f>
        <v>0</v>
      </c>
      <c r="N1745" cm="1">
        <f t="array" ref="N1745">INDEX(FX_Multi,$AD1745,N$3)</f>
        <v>0</v>
      </c>
      <c r="O1745" cm="1">
        <f t="array" ref="O1745">INDEX(FX_Multi,$AD1745,O$3)</f>
        <v>0</v>
      </c>
      <c r="AC1745">
        <v>1</v>
      </c>
      <c r="AD1745">
        <f>AD1744+2</f>
        <v>718</v>
      </c>
      <c r="AE1745">
        <v>1</v>
      </c>
      <c r="AF1745">
        <f>AF1743</f>
        <v>718</v>
      </c>
    </row>
    <row r="1746" spans="2:32" ht="17.149999999999999" x14ac:dyDescent="0.55000000000000004">
      <c r="B1746" t="str">
        <f t="shared" si="6419"/>
        <v>Portland</v>
      </c>
      <c r="C1746" t="s">
        <v>570</v>
      </c>
      <c r="D1746" cm="1">
        <f t="array" ref="D1746">INDEX(FX_Multi,$AD1746,D$3)</f>
        <v>1</v>
      </c>
      <c r="E1746" cm="1">
        <f t="array" ref="E1746">INDEX(FX_Multi,$AD1746,E$3)</f>
        <v>1</v>
      </c>
      <c r="F1746" cm="1">
        <f t="array" ref="F1746">INDEX(FX_Multi,$AD1746,F$3)</f>
        <v>1</v>
      </c>
      <c r="G1746" cm="1">
        <f t="array" ref="G1746">INDEX(FX_Multi,$AD1746,G$3)</f>
        <v>1</v>
      </c>
      <c r="H1746" cm="1">
        <f t="array" ref="H1746">INDEX(FX_Multi,$AD1746,H$3)</f>
        <v>1</v>
      </c>
      <c r="I1746" cm="1">
        <f t="array" ref="I1746">INDEX(FX_Multi,$AD1746,I$3)</f>
        <v>1</v>
      </c>
      <c r="J1746" cm="1">
        <f t="array" ref="J1746">INDEX(FX_Multi,$AD1746,J$3)</f>
        <v>1</v>
      </c>
      <c r="K1746" cm="1">
        <f t="array" ref="K1746">INDEX(FX_Multi,$AD1746,K$3)</f>
        <v>1</v>
      </c>
      <c r="L1746" cm="1">
        <f t="array" ref="L1746">INDEX(FX_Multi,$AD1746,L$3)</f>
        <v>1</v>
      </c>
      <c r="M1746" cm="1">
        <f t="array" ref="M1746">INDEX(FX_Multi,$AD1746,M$3)</f>
        <v>1</v>
      </c>
      <c r="N1746" cm="1">
        <f t="array" ref="N1746">INDEX(FX_Multi,$AD1746,N$3)</f>
        <v>1</v>
      </c>
      <c r="O1746" cm="1">
        <f t="array" ref="O1746">INDEX(FX_Multi,$AD1746,O$3)</f>
        <v>1</v>
      </c>
      <c r="AC1746">
        <v>1</v>
      </c>
      <c r="AD1746">
        <f>AD1745+6</f>
        <v>724</v>
      </c>
      <c r="AE1746">
        <v>1</v>
      </c>
      <c r="AF1746">
        <f>AF1742+9</f>
        <v>724</v>
      </c>
    </row>
    <row r="1747" spans="2:32" ht="17.149999999999999" x14ac:dyDescent="0.55000000000000004">
      <c r="B1747" t="str">
        <f t="shared" si="6419"/>
        <v>Portland</v>
      </c>
      <c r="C1747" t="s">
        <v>571</v>
      </c>
      <c r="D1747" cm="1">
        <f t="array" ref="D1747">INDEX(FX_Multi,$AD1747,D$3)</f>
        <v>162</v>
      </c>
      <c r="E1747" cm="1">
        <f t="array" ref="E1747">INDEX(FX_Multi,$AD1747,E$3)</f>
        <v>162</v>
      </c>
      <c r="F1747" cm="1">
        <f t="array" ref="F1747">INDEX(FX_Multi,$AD1747,F$3)</f>
        <v>162</v>
      </c>
      <c r="G1747" cm="1">
        <f t="array" ref="G1747">INDEX(FX_Multi,$AD1747,G$3)</f>
        <v>162</v>
      </c>
      <c r="H1747" cm="1">
        <f t="array" ref="H1747">INDEX(FX_Multi,$AD1747,H$3)</f>
        <v>162</v>
      </c>
      <c r="I1747" cm="1">
        <f t="array" ref="I1747">INDEX(FX_Multi,$AD1747,I$3)</f>
        <v>162</v>
      </c>
      <c r="J1747" cm="1">
        <f t="array" ref="J1747">INDEX(FX_Multi,$AD1747,J$3)</f>
        <v>162</v>
      </c>
      <c r="K1747" cm="1">
        <f t="array" ref="K1747">INDEX(FX_Multi,$AD1747,K$3)</f>
        <v>162</v>
      </c>
      <c r="L1747" cm="1">
        <f t="array" ref="L1747">INDEX(FX_Multi,$AD1747,L$3)</f>
        <v>162</v>
      </c>
      <c r="M1747" cm="1">
        <f t="array" ref="M1747">INDEX(FX_Multi,$AD1747,M$3)</f>
        <v>162</v>
      </c>
      <c r="N1747" cm="1">
        <f t="array" ref="N1747">INDEX(FX_Multi,$AD1747,N$3)</f>
        <v>162</v>
      </c>
      <c r="O1747" cm="1">
        <f t="array" ref="O1747">INDEX(FX_Multi,$AD1747,O$3)</f>
        <v>162</v>
      </c>
      <c r="AC1747">
        <v>1</v>
      </c>
      <c r="AD1747">
        <f>AD1746-3</f>
        <v>721</v>
      </c>
      <c r="AE1747">
        <v>1</v>
      </c>
      <c r="AF1747">
        <f>AF1742+6</f>
        <v>721</v>
      </c>
    </row>
    <row r="1748" spans="2:32" ht="17.149999999999999" x14ac:dyDescent="0.55000000000000004">
      <c r="B1748" t="str">
        <f t="shared" si="6419"/>
        <v>Portland</v>
      </c>
      <c r="C1748" t="s">
        <v>572</v>
      </c>
      <c r="D1748" cm="1">
        <f t="array" ref="D1748">INDEX(FX_Multi,$AD1748,D$3)</f>
        <v>0</v>
      </c>
      <c r="E1748" cm="1">
        <f t="array" ref="E1748">INDEX(FX_Multi,$AD1748,E$3)</f>
        <v>0</v>
      </c>
      <c r="F1748" cm="1">
        <f t="array" ref="F1748">INDEX(FX_Multi,$AD1748,F$3)</f>
        <v>0</v>
      </c>
      <c r="G1748" cm="1">
        <f t="array" ref="G1748">INDEX(FX_Multi,$AD1748,G$3)</f>
        <v>0</v>
      </c>
      <c r="H1748" cm="1">
        <f t="array" ref="H1748">INDEX(FX_Multi,$AD1748,H$3)</f>
        <v>0</v>
      </c>
      <c r="I1748" cm="1">
        <f t="array" ref="I1748">INDEX(FX_Multi,$AD1748,I$3)</f>
        <v>0</v>
      </c>
      <c r="J1748" cm="1">
        <f t="array" ref="J1748">INDEX(FX_Multi,$AD1748,J$3)</f>
        <v>0</v>
      </c>
      <c r="K1748" cm="1">
        <f t="array" ref="K1748">INDEX(FX_Multi,$AD1748,K$3)</f>
        <v>0</v>
      </c>
      <c r="L1748" cm="1">
        <f t="array" ref="L1748">INDEX(FX_Multi,$AD1748,L$3)</f>
        <v>0</v>
      </c>
      <c r="M1748" cm="1">
        <f t="array" ref="M1748">INDEX(FX_Multi,$AD1748,M$3)</f>
        <v>0</v>
      </c>
      <c r="N1748" cm="1">
        <f t="array" ref="N1748">INDEX(FX_Multi,$AD1748,N$3)</f>
        <v>0</v>
      </c>
      <c r="O1748" cm="1">
        <f t="array" ref="O1748">INDEX(FX_Multi,$AD1748,O$3)</f>
        <v>0</v>
      </c>
      <c r="AC1748">
        <v>1</v>
      </c>
      <c r="AD1748">
        <f>AD1747+4</f>
        <v>725</v>
      </c>
      <c r="AE1748">
        <v>1</v>
      </c>
      <c r="AF1748">
        <f>AF1742+10</f>
        <v>725</v>
      </c>
    </row>
    <row r="1749" spans="2:32" ht="17.149999999999999" x14ac:dyDescent="0.55000000000000004">
      <c r="B1749" t="str">
        <f t="shared" si="6419"/>
        <v>Portland</v>
      </c>
      <c r="C1749" t="s">
        <v>573</v>
      </c>
      <c r="D1749" cm="1">
        <f t="array" ref="D1749">INDEX(FX_Multi,$AD1749,D$3)</f>
        <v>0</v>
      </c>
      <c r="E1749" cm="1">
        <f t="array" ref="E1749">INDEX(FX_Multi,$AD1749,E$3)</f>
        <v>0</v>
      </c>
      <c r="F1749" cm="1">
        <f t="array" ref="F1749">INDEX(FX_Multi,$AD1749,F$3)</f>
        <v>0</v>
      </c>
      <c r="G1749" cm="1">
        <f t="array" ref="G1749">INDEX(FX_Multi,$AD1749,G$3)</f>
        <v>0</v>
      </c>
      <c r="H1749" cm="1">
        <f t="array" ref="H1749">INDEX(FX_Multi,$AD1749,H$3)</f>
        <v>0</v>
      </c>
      <c r="I1749" cm="1">
        <f t="array" ref="I1749">INDEX(FX_Multi,$AD1749,I$3)</f>
        <v>0</v>
      </c>
      <c r="J1749" cm="1">
        <f t="array" ref="J1749">INDEX(FX_Multi,$AD1749,J$3)</f>
        <v>0</v>
      </c>
      <c r="K1749" cm="1">
        <f t="array" ref="K1749">INDEX(FX_Multi,$AD1749,K$3)</f>
        <v>0</v>
      </c>
      <c r="L1749" cm="1">
        <f t="array" ref="L1749">INDEX(FX_Multi,$AD1749,L$3)</f>
        <v>0</v>
      </c>
      <c r="M1749" cm="1">
        <f t="array" ref="M1749">INDEX(FX_Multi,$AD1749,M$3)</f>
        <v>0</v>
      </c>
      <c r="N1749" cm="1">
        <f t="array" ref="N1749">INDEX(FX_Multi,$AD1749,N$3)</f>
        <v>0</v>
      </c>
      <c r="O1749" cm="1">
        <f t="array" ref="O1749">INDEX(FX_Multi,$AD1749,O$3)</f>
        <v>0</v>
      </c>
      <c r="AC1749">
        <v>1</v>
      </c>
      <c r="AD1749">
        <f>AD1748-3</f>
        <v>722</v>
      </c>
      <c r="AE1749">
        <v>1</v>
      </c>
      <c r="AF1749">
        <f>AF1742+7</f>
        <v>722</v>
      </c>
    </row>
    <row r="1750" spans="2:32" ht="17.149999999999999" x14ac:dyDescent="0.55000000000000004">
      <c r="B1750" t="str">
        <f>B1745</f>
        <v>Portland</v>
      </c>
      <c r="C1750" t="s">
        <v>526</v>
      </c>
      <c r="D1750" cm="1">
        <f t="array" ref="D1750">INDEX(FX_Temps,$AF1750,D$3)</f>
        <v>43.172792000000015</v>
      </c>
      <c r="E1750" cm="1">
        <f t="array" ref="E1750">INDEX(FX_Temps,$AF1750,E$3)</f>
        <v>44.426400000000058</v>
      </c>
      <c r="F1750" cm="1">
        <f t="array" ref="F1750">INDEX(FX_Temps,$AF1750,F$3)</f>
        <v>46.918887999999981</v>
      </c>
      <c r="G1750" cm="1">
        <f t="array" ref="G1750">INDEX(FX_Temps,$AF1750,G$3)</f>
        <v>50.857888000000003</v>
      </c>
      <c r="H1750" cm="1">
        <f t="array" ref="H1750">INDEX(FX_Temps,$AF1750,H$3)</f>
        <v>56.551928000000089</v>
      </c>
      <c r="I1750" cm="1">
        <f t="array" ref="I1750">INDEX(FX_Temps,$AF1750,I$3)</f>
        <v>60.866887999999904</v>
      </c>
      <c r="J1750" cm="1">
        <f t="array" ref="J1750">INDEX(FX_Temps,$AF1750,J$3)</f>
        <v>64.646351999999979</v>
      </c>
      <c r="K1750" cm="1">
        <f t="array" ref="K1750">INDEX(FX_Temps,$AF1750,K$3)</f>
        <v>64.06444799999997</v>
      </c>
      <c r="L1750" cm="1">
        <f t="array" ref="L1750">INDEX(FX_Temps,$AF1750,L$3)</f>
        <v>60.037023999999974</v>
      </c>
      <c r="M1750" cm="1">
        <f t="array" ref="M1750">INDEX(FX_Temps,$AF1750,M$3)</f>
        <v>52.581232</v>
      </c>
      <c r="N1750" cm="1">
        <f t="array" ref="N1750">INDEX(FX_Temps,$AF1750,N$3)</f>
        <v>46.202103999999963</v>
      </c>
      <c r="O1750" cm="1">
        <f t="array" ref="O1750">INDEX(FX_Temps,$AF1750,O$3)</f>
        <v>42.791088000000059</v>
      </c>
      <c r="AE1750">
        <v>1</v>
      </c>
      <c r="AF1750">
        <f>AF1742+10</f>
        <v>725</v>
      </c>
    </row>
    <row r="1751" spans="2:32" ht="17.149999999999999" x14ac:dyDescent="0.55000000000000004">
      <c r="B1751" t="str">
        <f t="shared" ref="B1751:B1772" si="6420">B1750</f>
        <v>Portland</v>
      </c>
      <c r="C1751" t="s">
        <v>527</v>
      </c>
      <c r="D1751" cm="1">
        <f t="array" ref="D1751">INDEX(FX_Temps,$AF1751,D$3)</f>
        <v>47.332791999999984</v>
      </c>
      <c r="E1751" cm="1">
        <f t="array" ref="E1751">INDEX(FX_Temps,$AF1751,E$3)</f>
        <v>49.706400000000031</v>
      </c>
      <c r="F1751" cm="1">
        <f t="array" ref="F1751">INDEX(FX_Temps,$AF1751,F$3)</f>
        <v>52.198888000000068</v>
      </c>
      <c r="G1751" cm="1">
        <f t="array" ref="G1751">INDEX(FX_Temps,$AF1751,G$3)</f>
        <v>56.217888000000016</v>
      </c>
      <c r="H1751" cm="1">
        <f t="array" ref="H1751">INDEX(FX_Temps,$AF1751,H$3)</f>
        <v>61.871928000000025</v>
      </c>
      <c r="I1751" cm="1">
        <f t="array" ref="I1751">INDEX(FX_Temps,$AF1751,I$3)</f>
        <v>65.866888000000017</v>
      </c>
      <c r="J1751" cm="1">
        <f t="array" ref="J1751">INDEX(FX_Temps,$AF1751,J$3)</f>
        <v>69.726351999999906</v>
      </c>
      <c r="K1751" cm="1">
        <f t="array" ref="K1751">INDEX(FX_Temps,$AF1751,K$3)</f>
        <v>69.504448000000025</v>
      </c>
      <c r="L1751" cm="1">
        <f t="array" ref="L1751">INDEX(FX_Temps,$AF1751,L$3)</f>
        <v>66.597024000000033</v>
      </c>
      <c r="M1751" cm="1">
        <f t="array" ref="M1751">INDEX(FX_Temps,$AF1751,M$3)</f>
        <v>58.461231999999995</v>
      </c>
      <c r="N1751" cm="1">
        <f t="array" ref="N1751">INDEX(FX_Temps,$AF1751,N$3)</f>
        <v>51.082104000000015</v>
      </c>
      <c r="O1751" cm="1">
        <f t="array" ref="O1751">INDEX(FX_Temps,$AF1751,O$3)</f>
        <v>46.791088000000059</v>
      </c>
      <c r="AE1751">
        <f>AE1750</f>
        <v>1</v>
      </c>
      <c r="AF1751">
        <f>AF1742+11</f>
        <v>726</v>
      </c>
    </row>
    <row r="1752" spans="2:32" ht="17.149999999999999" x14ac:dyDescent="0.55000000000000004">
      <c r="B1752" t="str">
        <f t="shared" si="6420"/>
        <v>Portland</v>
      </c>
      <c r="C1752" t="s">
        <v>552</v>
      </c>
      <c r="D1752" cm="1">
        <f t="array" ref="D1752">INDEX(FX_Temps,$AF1752,D$3)</f>
        <v>45.869505999999944</v>
      </c>
      <c r="E1752" cm="1">
        <f t="array" ref="E1752">INDEX(FX_Temps,$AF1752,E$3)</f>
        <v>48.145200000000045</v>
      </c>
      <c r="F1752" cm="1">
        <f t="array" ref="F1752">INDEX(FX_Temps,$AF1752,F$3)</f>
        <v>51.135734000000014</v>
      </c>
      <c r="G1752" cm="1">
        <f t="array" ref="G1752">INDEX(FX_Temps,$AF1752,G$3)</f>
        <v>55.788983999999914</v>
      </c>
      <c r="H1752" cm="1">
        <f t="array" ref="H1752">INDEX(FX_Temps,$AF1752,H$3)</f>
        <v>61.975454000000013</v>
      </c>
      <c r="I1752" cm="1">
        <f t="array" ref="I1752">INDEX(FX_Temps,$AF1752,I$3)</f>
        <v>66.292234000000008</v>
      </c>
      <c r="J1752" cm="1">
        <f t="array" ref="J1752">INDEX(FX_Temps,$AF1752,J$3)</f>
        <v>70.257335999999896</v>
      </c>
      <c r="K1752" cm="1">
        <f t="array" ref="K1752">INDEX(FX_Temps,$AF1752,K$3)</f>
        <v>69.467063999999937</v>
      </c>
      <c r="L1752" cm="1">
        <f t="array" ref="L1752">INDEX(FX_Temps,$AF1752,L$3)</f>
        <v>65.467431999999917</v>
      </c>
      <c r="M1752" cm="1">
        <f t="array" ref="M1752">INDEX(FX_Temps,$AF1752,M$3)</f>
        <v>56.830175999999938</v>
      </c>
      <c r="N1752" cm="1">
        <f t="array" ref="N1752">INDEX(FX_Temps,$AF1752,N$3)</f>
        <v>49.345121999999947</v>
      </c>
      <c r="O1752" cm="1">
        <f t="array" ref="O1752">INDEX(FX_Temps,$AF1752,O$3)</f>
        <v>45.334084000000018</v>
      </c>
      <c r="AE1752">
        <f>AE1751</f>
        <v>1</v>
      </c>
      <c r="AF1752">
        <f>AF1742+13</f>
        <v>728</v>
      </c>
    </row>
    <row r="1753" spans="2:32" ht="17.149999999999999" x14ac:dyDescent="0.55000000000000004">
      <c r="B1753" t="str">
        <f t="shared" si="6420"/>
        <v>Portland</v>
      </c>
      <c r="C1753" t="s">
        <v>574</v>
      </c>
      <c r="D1753" cm="1">
        <f t="array" ref="D1753">IFERROR(IF(D1743="Chemical",(10^(INDEX(Antoines,MATCH(D1742,Antoine_Name,0),2)-INDEX(Antoines,MATCH(D1742,Antoine_Name,0),3)/(INDEX(Antoines,MATCH(D1742,Antoine_Name,0),4)+(D1750-32)*5/9)))*14.7/760,IF(D1743="Crude Oil",EXP((2799/(D1750+459.6)-2.227)*LOG10(INDEX(FX_Input,Q$5,D$3*$Z$5+$AA$5))-(7261/(D1750+459.6))+12.82),IF(D1743="Refined Petroleum Stock",EXP((0.7553-(413/(D1750+459.6)))*(INDEX(FX_Input,Q$5,D$3*$Z$5+$AA$5-1)^0.5)*LOG10(INDEX(FX_Input,Q$5,D$3*$Z$5+$AA$5))-(1.854-(1042/(D1750+459.6)))*(INDEX(FX_Input,Q$5,D$3*$Z$5+$AA$5-1)^0.5)+((2416/(D1750+459.6)-2.013)*LOG10(INDEX(FX_Input,Q$5,D$3*$Z$5+$AA$5)))-(8742/(D1750+459.6))+15.64),EXP(INDEX(Antoines,MATCH(D1742,Antoine_Name,0),2)-INDEX(Antoines,MATCH(D1742,Antoine_Name,0),3)/(D1750+459.6))))),0)</f>
        <v>4.6194990608814232E-3</v>
      </c>
      <c r="E1753" cm="1">
        <f t="array" ref="E1753">IFERROR(IF(E1743="Chemical",(10^(INDEX(Antoines,MATCH(E1742,Antoine_Name,0),2)-INDEX(Antoines,MATCH(E1742,Antoine_Name,0),3)/(INDEX(Antoines,MATCH(E1742,Antoine_Name,0),4)+(E1750-32)*5/9)))*14.7/760,IF(E1743="Crude Oil",EXP((2799/(E1750+459.6)-2.227)*LOG10(INDEX(FX_Input,R$5,E$3*$Z$5+$AA$5))-(7261/(E1750+459.6))+12.82),IF(E1743="Refined Petroleum Stock",EXP((0.7553-(413/(E1750+459.6)))*(INDEX(FX_Input,R$5,E$3*$Z$5+$AA$5-1)^0.5)*LOG10(INDEX(FX_Input,R$5,E$3*$Z$5+$AA$5))-(1.854-(1042/(E1750+459.6)))*(INDEX(FX_Input,R$5,E$3*$Z$5+$AA$5-1)^0.5)+((2416/(E1750+459.6)-2.013)*LOG10(INDEX(FX_Input,R$5,E$3*$Z$5+$AA$5)))-(8742/(E1750+459.6))+15.64),EXP(INDEX(Antoines,MATCH(E1742,Antoine_Name,0),2)-INDEX(Antoines,MATCH(E1742,Antoine_Name,0),3)/(E1750+459.6))))),0)</f>
        <v>4.8282172104298976E-3</v>
      </c>
      <c r="F1753" cm="1">
        <f t="array" ref="F1753">IFERROR(IF(F1743="Chemical",(10^(INDEX(Antoines,MATCH(F1742,Antoine_Name,0),2)-INDEX(Antoines,MATCH(F1742,Antoine_Name,0),3)/(INDEX(Antoines,MATCH(F1742,Antoine_Name,0),4)+(F1750-32)*5/9)))*14.7/760,IF(F1743="Crude Oil",EXP((2799/(F1750+459.6)-2.227)*LOG10(INDEX(FX_Input,S$5,F$3*$Z$5+$AA$5))-(7261/(F1750+459.6))+12.82),IF(F1743="Refined Petroleum Stock",EXP((0.7553-(413/(F1750+459.6)))*(INDEX(FX_Input,S$5,F$3*$Z$5+$AA$5-1)^0.5)*LOG10(INDEX(FX_Input,S$5,F$3*$Z$5+$AA$5))-(1.854-(1042/(F1750+459.6)))*(INDEX(FX_Input,S$5,F$3*$Z$5+$AA$5-1)^0.5)+((2416/(F1750+459.6)-2.013)*LOG10(INDEX(FX_Input,S$5,F$3*$Z$5+$AA$5)))-(8742/(F1750+459.6))+15.64),EXP(INDEX(Antoines,MATCH(F1742,Antoine_Name,0),2)-INDEX(Antoines,MATCH(F1742,Antoine_Name,0),3)/(F1750+459.6))))),0)</f>
        <v>5.2682084022832483E-3</v>
      </c>
      <c r="G1753" cm="1">
        <f t="array" ref="G1753">IFERROR(IF(G1743="Chemical",(10^(INDEX(Antoines,MATCH(G1742,Antoine_Name,0),2)-INDEX(Antoines,MATCH(G1742,Antoine_Name,0),3)/(INDEX(Antoines,MATCH(G1742,Antoine_Name,0),4)+(G1750-32)*5/9)))*14.7/760,IF(G1743="Crude Oil",EXP((2799/(G1750+459.6)-2.227)*LOG10(INDEX(FX_Input,T$5,G$3*$Z$5+$AA$5))-(7261/(G1750+459.6))+12.82),IF(G1743="Refined Petroleum Stock",EXP((0.7553-(413/(G1750+459.6)))*(INDEX(FX_Input,T$5,G$3*$Z$5+$AA$5-1)^0.5)*LOG10(INDEX(FX_Input,T$5,G$3*$Z$5+$AA$5))-(1.854-(1042/(G1750+459.6)))*(INDEX(FX_Input,T$5,G$3*$Z$5+$AA$5-1)^0.5)+((2416/(G1750+459.6)-2.013)*LOG10(INDEX(FX_Input,T$5,G$3*$Z$5+$AA$5)))-(8742/(G1750+459.6))+15.64),EXP(INDEX(Antoines,MATCH(G1742,Antoine_Name,0),2)-INDEX(Antoines,MATCH(G1742,Antoine_Name,0),3)/(G1750+459.6))))),0)</f>
        <v>6.0362371214845376E-3</v>
      </c>
      <c r="H1753" cm="1">
        <f t="array" ref="H1753">IFERROR(IF(H1743="Chemical",(10^(INDEX(Antoines,MATCH(H1742,Antoine_Name,0),2)-INDEX(Antoines,MATCH(H1742,Antoine_Name,0),3)/(INDEX(Antoines,MATCH(H1742,Antoine_Name,0),4)+(H1750-32)*5/9)))*14.7/760,IF(H1743="Crude Oil",EXP((2799/(H1750+459.6)-2.227)*LOG10(INDEX(FX_Input,U$5,H$3*$Z$5+$AA$5))-(7261/(H1750+459.6))+12.82),IF(H1743="Refined Petroleum Stock",EXP((0.7553-(413/(H1750+459.6)))*(INDEX(FX_Input,U$5,H$3*$Z$5+$AA$5-1)^0.5)*LOG10(INDEX(FX_Input,U$5,H$3*$Z$5+$AA$5))-(1.854-(1042/(H1750+459.6)))*(INDEX(FX_Input,U$5,H$3*$Z$5+$AA$5-1)^0.5)+((2416/(H1750+459.6)-2.013)*LOG10(INDEX(FX_Input,U$5,H$3*$Z$5+$AA$5)))-(8742/(H1750+459.6))+15.64),EXP(INDEX(Antoines,MATCH(H1742,Antoine_Name,0),2)-INDEX(Antoines,MATCH(H1742,Antoine_Name,0),3)/(H1750+459.6))))),0)</f>
        <v>7.3216486102608194E-3</v>
      </c>
      <c r="I1753" cm="1">
        <f t="array" ref="I1753">IFERROR(IF(I1743="Chemical",(10^(INDEX(Antoines,MATCH(I1742,Antoine_Name,0),2)-INDEX(Antoines,MATCH(I1742,Antoine_Name,0),3)/(INDEX(Antoines,MATCH(I1742,Antoine_Name,0),4)+(I1750-32)*5/9)))*14.7/760,IF(I1743="Crude Oil",EXP((2799/(I1750+459.6)-2.227)*LOG10(INDEX(FX_Input,V$5,I$3*$Z$5+$AA$5))-(7261/(I1750+459.6))+12.82),IF(I1743="Refined Petroleum Stock",EXP((0.7553-(413/(I1750+459.6)))*(INDEX(FX_Input,V$5,I$3*$Z$5+$AA$5-1)^0.5)*LOG10(INDEX(FX_Input,V$5,I$3*$Z$5+$AA$5))-(1.854-(1042/(I1750+459.6)))*(INDEX(FX_Input,V$5,I$3*$Z$5+$AA$5-1)^0.5)+((2416/(I1750+459.6)-2.013)*LOG10(INDEX(FX_Input,V$5,I$3*$Z$5+$AA$5)))-(8742/(I1750+459.6))+15.64),EXP(INDEX(Antoines,MATCH(I1742,Antoine_Name,0),2)-INDEX(Antoines,MATCH(I1742,Antoine_Name,0),3)/(I1750+459.6))))),0)</f>
        <v>8.4512935625408649E-3</v>
      </c>
      <c r="J1753" cm="1">
        <f t="array" ref="J1753">IFERROR(IF(J1743="Chemical",(10^(INDEX(Antoines,MATCH(J1742,Antoine_Name,0),2)-INDEX(Antoines,MATCH(J1742,Antoine_Name,0),3)/(INDEX(Antoines,MATCH(J1742,Antoine_Name,0),4)+(J1750-32)*5/9)))*14.7/760,IF(J1743="Crude Oil",EXP((2799/(J1750+459.6)-2.227)*LOG10(INDEX(FX_Input,W$5,J$3*$Z$5+$AA$5))-(7261/(J1750+459.6))+12.82),IF(J1743="Refined Petroleum Stock",EXP((0.7553-(413/(J1750+459.6)))*(INDEX(FX_Input,W$5,J$3*$Z$5+$AA$5-1)^0.5)*LOG10(INDEX(FX_Input,W$5,J$3*$Z$5+$AA$5))-(1.854-(1042/(J1750+459.6)))*(INDEX(FX_Input,W$5,J$3*$Z$5+$AA$5-1)^0.5)+((2416/(J1750+459.6)-2.013)*LOG10(INDEX(FX_Input,W$5,J$3*$Z$5+$AA$5)))-(8742/(J1750+459.6))+15.64),EXP(INDEX(Antoines,MATCH(J1742,Antoine_Name,0),2)-INDEX(Antoines,MATCH(J1742,Antoine_Name,0),3)/(J1750+459.6))))),0)</f>
        <v>9.5644811343706445E-3</v>
      </c>
      <c r="K1753" cm="1">
        <f t="array" ref="K1753">IFERROR(IF(K1743="Chemical",(10^(INDEX(Antoines,MATCH(K1742,Antoine_Name,0),2)-INDEX(Antoines,MATCH(K1742,Antoine_Name,0),3)/(INDEX(Antoines,MATCH(K1742,Antoine_Name,0),4)+(K1750-32)*5/9)))*14.7/760,IF(K1743="Crude Oil",EXP((2799/(K1750+459.6)-2.227)*LOG10(INDEX(FX_Input,X$5,K$3*$Z$5+$AA$5))-(7261/(K1750+459.6))+12.82),IF(K1743="Refined Petroleum Stock",EXP((0.7553-(413/(K1750+459.6)))*(INDEX(FX_Input,X$5,K$3*$Z$5+$AA$5-1)^0.5)*LOG10(INDEX(FX_Input,X$5,K$3*$Z$5+$AA$5))-(1.854-(1042/(K1750+459.6)))*(INDEX(FX_Input,X$5,K$3*$Z$5+$AA$5-1)^0.5)+((2416/(K1750+459.6)-2.013)*LOG10(INDEX(FX_Input,X$5,K$3*$Z$5+$AA$5)))-(8742/(K1750+459.6))+15.64),EXP(INDEX(Antoines,MATCH(K1742,Antoine_Name,0),2)-INDEX(Antoines,MATCH(K1742,Antoine_Name,0),3)/(K1750+459.6))))),0)</f>
        <v>9.3850836134020087E-3</v>
      </c>
      <c r="L1753" cm="1">
        <f t="array" ref="L1753">IFERROR(IF(L1743="Chemical",(10^(INDEX(Antoines,MATCH(L1742,Antoine_Name,0),2)-INDEX(Antoines,MATCH(L1742,Antoine_Name,0),3)/(INDEX(Antoines,MATCH(L1742,Antoine_Name,0),4)+(L1750-32)*5/9)))*14.7/760,IF(L1743="Crude Oil",EXP((2799/(L1750+459.6)-2.227)*LOG10(INDEX(FX_Input,Y$5,L$3*$Z$5+$AA$5))-(7261/(L1750+459.6))+12.82),IF(L1743="Refined Petroleum Stock",EXP((0.7553-(413/(L1750+459.6)))*(INDEX(FX_Input,Y$5,L$3*$Z$5+$AA$5-1)^0.5)*LOG10(INDEX(FX_Input,Y$5,L$3*$Z$5+$AA$5))-(1.854-(1042/(L1750+459.6)))*(INDEX(FX_Input,Y$5,L$3*$Z$5+$AA$5-1)^0.5)+((2416/(L1750+459.6)-2.013)*LOG10(INDEX(FX_Input,Y$5,L$3*$Z$5+$AA$5)))-(8742/(L1750+459.6))+15.64),EXP(INDEX(Antoines,MATCH(L1742,Antoine_Name,0),2)-INDEX(Antoines,MATCH(L1742,Antoine_Name,0),3)/(L1750+459.6))))),0)</f>
        <v>8.2227885052245445E-3</v>
      </c>
      <c r="M1753" cm="1">
        <f t="array" ref="M1753">IFERROR(IF(M1743="Chemical",(10^(INDEX(Antoines,MATCH(M1742,Antoine_Name,0),2)-INDEX(Antoines,MATCH(M1742,Antoine_Name,0),3)/(INDEX(Antoines,MATCH(M1742,Antoine_Name,0),4)+(M1750-32)*5/9)))*14.7/760,IF(M1743="Crude Oil",EXP((2799/(M1750+459.6)-2.227)*LOG10(INDEX(FX_Input,Z$5,M$3*$Z$5+$AA$5))-(7261/(M1750+459.6))+12.82),IF(M1743="Refined Petroleum Stock",EXP((0.7553-(413/(M1750+459.6)))*(INDEX(FX_Input,Z$5,M$3*$Z$5+$AA$5-1)^0.5)*LOG10(INDEX(FX_Input,Z$5,M$3*$Z$5+$AA$5))-(1.854-(1042/(M1750+459.6)))*(INDEX(FX_Input,Z$5,M$3*$Z$5+$AA$5-1)^0.5)+((2416/(M1750+459.6)-2.013)*LOG10(INDEX(FX_Input,Z$5,M$3*$Z$5+$AA$5)))-(8742/(M1750+459.6))+15.64),EXP(INDEX(Antoines,MATCH(M1742,Antoine_Name,0),2)-INDEX(Antoines,MATCH(M1742,Antoine_Name,0),3)/(M1750+459.6))))),0)</f>
        <v>6.4023381240072485E-3</v>
      </c>
      <c r="N1753" cm="1">
        <f t="array" ref="N1753">IFERROR(IF(N1743="Chemical",(10^(INDEX(Antoines,MATCH(N1742,Antoine_Name,0),2)-INDEX(Antoines,MATCH(N1742,Antoine_Name,0),3)/(INDEX(Antoines,MATCH(N1742,Antoine_Name,0),4)+(N1750-32)*5/9)))*14.7/760,IF(N1743="Crude Oil",EXP((2799/(N1750+459.6)-2.227)*LOG10(INDEX(FX_Input,AA$5,N$3*$Z$5+$AA$5))-(7261/(N1750+459.6))+12.82),IF(N1743="Refined Petroleum Stock",EXP((0.7553-(413/(N1750+459.6)))*(INDEX(FX_Input,AA$5,N$3*$Z$5+$AA$5-1)^0.5)*LOG10(INDEX(FX_Input,AA$5,N$3*$Z$5+$AA$5))-(1.854-(1042/(N1750+459.6)))*(INDEX(FX_Input,AA$5,N$3*$Z$5+$AA$5-1)^0.5)+((2416/(N1750+459.6)-2.013)*LOG10(INDEX(FX_Input,AA$5,N$3*$Z$5+$AA$5)))-(8742/(N1750+459.6))+15.64),EXP(INDEX(Antoines,MATCH(N1742,Antoine_Name,0),2)-INDEX(Antoines,MATCH(N1742,Antoine_Name,0),3)/(N1750+459.6))))),0)</f>
        <v>5.1381745102650677E-3</v>
      </c>
      <c r="O1753" cm="1">
        <f t="array" ref="O1753">IFERROR(IF(O1743="Chemical",(10^(INDEX(Antoines,MATCH(O1742,Antoine_Name,0),2)-INDEX(Antoines,MATCH(O1742,Antoine_Name,0),3)/(INDEX(Antoines,MATCH(O1742,Antoine_Name,0),4)+(O1750-32)*5/9)))*14.7/760,IF(O1743="Crude Oil",EXP((2799/(O1750+459.6)-2.227)*LOG10(INDEX(FX_Input,AB$5,O$3*$Z$5+$AA$5))-(7261/(O1750+459.6))+12.82),IF(O1743="Refined Petroleum Stock",EXP((0.7553-(413/(O1750+459.6)))*(INDEX(FX_Input,AB$5,O$3*$Z$5+$AA$5-1)^0.5)*LOG10(INDEX(FX_Input,AB$5,O$3*$Z$5+$AA$5))-(1.854-(1042/(O1750+459.6)))*(INDEX(FX_Input,AB$5,O$3*$Z$5+$AA$5-1)^0.5)+((2416/(O1750+459.6)-2.013)*LOG10(INDEX(FX_Input,AB$5,O$3*$Z$5+$AA$5)))-(8742/(O1750+459.6))+15.64),EXP(INDEX(Antoines,MATCH(O1742,Antoine_Name,0),2)-INDEX(Antoines,MATCH(O1742,Antoine_Name,0),3)/(O1750+459.6))))),0)</f>
        <v>4.5575582050152007E-3</v>
      </c>
    </row>
    <row r="1754" spans="2:32" ht="17.149999999999999" x14ac:dyDescent="0.55000000000000004">
      <c r="B1754" t="str">
        <f t="shared" si="6420"/>
        <v>Portland</v>
      </c>
      <c r="C1754" t="s">
        <v>576</v>
      </c>
      <c r="D1754">
        <f>D1746*D1753</f>
        <v>4.6194990608814232E-3</v>
      </c>
      <c r="E1754">
        <f t="shared" ref="E1754" si="6421">E1746*E1753</f>
        <v>4.8282172104298976E-3</v>
      </c>
      <c r="F1754">
        <f t="shared" ref="F1754" si="6422">F1746*F1753</f>
        <v>5.2682084022832483E-3</v>
      </c>
      <c r="G1754">
        <f t="shared" ref="G1754" si="6423">G1746*G1753</f>
        <v>6.0362371214845376E-3</v>
      </c>
      <c r="H1754">
        <f t="shared" ref="H1754" si="6424">H1746*H1753</f>
        <v>7.3216486102608194E-3</v>
      </c>
      <c r="I1754">
        <f t="shared" ref="I1754" si="6425">I1746*I1753</f>
        <v>8.4512935625408649E-3</v>
      </c>
      <c r="J1754">
        <f t="shared" ref="J1754" si="6426">J1746*J1753</f>
        <v>9.5644811343706445E-3</v>
      </c>
      <c r="K1754">
        <f t="shared" ref="K1754" si="6427">K1746*K1753</f>
        <v>9.3850836134020087E-3</v>
      </c>
      <c r="L1754">
        <f t="shared" ref="L1754" si="6428">L1746*L1753</f>
        <v>8.2227885052245445E-3</v>
      </c>
      <c r="M1754">
        <f t="shared" ref="M1754" si="6429">M1746*M1753</f>
        <v>6.4023381240072485E-3</v>
      </c>
      <c r="N1754">
        <f t="shared" ref="N1754" si="6430">N1746*N1753</f>
        <v>5.1381745102650677E-3</v>
      </c>
      <c r="O1754">
        <f t="shared" ref="O1754" si="6431">O1746*O1753</f>
        <v>4.5575582050152007E-3</v>
      </c>
    </row>
    <row r="1755" spans="2:32" ht="17.149999999999999" x14ac:dyDescent="0.55000000000000004">
      <c r="B1755" t="str">
        <f t="shared" si="6420"/>
        <v>Portland</v>
      </c>
      <c r="C1755" t="s">
        <v>575</v>
      </c>
      <c r="D1755" cm="1">
        <f t="array" ref="D1755">IFERROR(IF(D1745="Chemical",(10^(INDEX(Antoines,MATCH(D1744,Antoine_Name,0),2)-INDEX(Antoines,MATCH(D1744,Antoine_Name,0),3)/(INDEX(Antoines,MATCH(D1744,Antoine_Name,0),4)+(D1750-32)*5/9)))*14.7/760,IF(D1745="Crude Oil",EXP((2799/(D1750+459.6)-2.227)*LOG10(INDEX(FX_Input,Q$5,D$3*$Z$5+$AA$5))-(7261/(D1750+459.6))+12.82),IF(D1745="Refined Petroleum Stock",EXP((0.7553-(413/(D1750+459.6)))*(INDEX(FX_Input,Q$5,D$3*$Z$5+$AA$5-1)^0.5)*LOG10(INDEX(FX_Input,Q$5,D$3*$Z$5+$AA$5))-(1.854-(1042/(D1750+459.6)))*(INDEX(FX_Input,Q$5,D$3*$Z$5+$AA$5-1)^0.5)+((2416/(D1750+459.6)-2.013)*LOG10(INDEX(FX_Input,Q$5,D$3*$Z$5+$AA$5)))-(8742/(D1750+459.6))+15.64),EXP(INDEX(Antoines,MATCH(D1744,Antoine_Name,0),2)-INDEX(Antoines,MATCH(D1744,Antoine_Name,0),3)/(D1750+459.6))))),0)</f>
        <v>0</v>
      </c>
      <c r="E1755" cm="1">
        <f t="array" ref="E1755">IFERROR(IF(E1745="Chemical",(10^(INDEX(Antoines,MATCH(E1744,Antoine_Name,0),2)-INDEX(Antoines,MATCH(E1744,Antoine_Name,0),3)/(INDEX(Antoines,MATCH(E1744,Antoine_Name,0),4)+(E1750-32)*5/9)))*14.7/760,IF(E1745="Crude Oil",EXP((2799/(E1750+459.6)-2.227)*LOG10(INDEX(FX_Input,R$5,E$3*$Z$5+$AA$5))-(7261/(E1750+459.6))+12.82),IF(E1745="Refined Petroleum Stock",EXP((0.7553-(413/(E1750+459.6)))*(INDEX(FX_Input,R$5,E$3*$Z$5+$AA$5-1)^0.5)*LOG10(INDEX(FX_Input,R$5,E$3*$Z$5+$AA$5))-(1.854-(1042/(E1750+459.6)))*(INDEX(FX_Input,R$5,E$3*$Z$5+$AA$5-1)^0.5)+((2416/(E1750+459.6)-2.013)*LOG10(INDEX(FX_Input,R$5,E$3*$Z$5+$AA$5)))-(8742/(E1750+459.6))+15.64),EXP(INDEX(Antoines,MATCH(E1744,Antoine_Name,0),2)-INDEX(Antoines,MATCH(E1744,Antoine_Name,0),3)/(E1750+459.6))))),0)</f>
        <v>0</v>
      </c>
      <c r="F1755" cm="1">
        <f t="array" ref="F1755">IFERROR(IF(F1745="Chemical",(10^(INDEX(Antoines,MATCH(F1744,Antoine_Name,0),2)-INDEX(Antoines,MATCH(F1744,Antoine_Name,0),3)/(INDEX(Antoines,MATCH(F1744,Antoine_Name,0),4)+(F1750-32)*5/9)))*14.7/760,IF(F1745="Crude Oil",EXP((2799/(F1750+459.6)-2.227)*LOG10(INDEX(FX_Input,S$5,F$3*$Z$5+$AA$5))-(7261/(F1750+459.6))+12.82),IF(F1745="Refined Petroleum Stock",EXP((0.7553-(413/(F1750+459.6)))*(INDEX(FX_Input,S$5,F$3*$Z$5+$AA$5-1)^0.5)*LOG10(INDEX(FX_Input,S$5,F$3*$Z$5+$AA$5))-(1.854-(1042/(F1750+459.6)))*(INDEX(FX_Input,S$5,F$3*$Z$5+$AA$5-1)^0.5)+((2416/(F1750+459.6)-2.013)*LOG10(INDEX(FX_Input,S$5,F$3*$Z$5+$AA$5)))-(8742/(F1750+459.6))+15.64),EXP(INDEX(Antoines,MATCH(F1744,Antoine_Name,0),2)-INDEX(Antoines,MATCH(F1744,Antoine_Name,0),3)/(F1750+459.6))))),0)</f>
        <v>0</v>
      </c>
      <c r="G1755" cm="1">
        <f t="array" ref="G1755">IFERROR(IF(G1745="Chemical",(10^(INDEX(Antoines,MATCH(G1744,Antoine_Name,0),2)-INDEX(Antoines,MATCH(G1744,Antoine_Name,0),3)/(INDEX(Antoines,MATCH(G1744,Antoine_Name,0),4)+(G1750-32)*5/9)))*14.7/760,IF(G1745="Crude Oil",EXP((2799/(G1750+459.6)-2.227)*LOG10(INDEX(FX_Input,T$5,G$3*$Z$5+$AA$5))-(7261/(G1750+459.6))+12.82),IF(G1745="Refined Petroleum Stock",EXP((0.7553-(413/(G1750+459.6)))*(INDEX(FX_Input,T$5,G$3*$Z$5+$AA$5-1)^0.5)*LOG10(INDEX(FX_Input,T$5,G$3*$Z$5+$AA$5))-(1.854-(1042/(G1750+459.6)))*(INDEX(FX_Input,T$5,G$3*$Z$5+$AA$5-1)^0.5)+((2416/(G1750+459.6)-2.013)*LOG10(INDEX(FX_Input,T$5,G$3*$Z$5+$AA$5)))-(8742/(G1750+459.6))+15.64),EXP(INDEX(Antoines,MATCH(G1744,Antoine_Name,0),2)-INDEX(Antoines,MATCH(G1744,Antoine_Name,0),3)/(G1750+459.6))))),0)</f>
        <v>0</v>
      </c>
      <c r="H1755" cm="1">
        <f t="array" ref="H1755">IFERROR(IF(H1745="Chemical",(10^(INDEX(Antoines,MATCH(H1744,Antoine_Name,0),2)-INDEX(Antoines,MATCH(H1744,Antoine_Name,0),3)/(INDEX(Antoines,MATCH(H1744,Antoine_Name,0),4)+(H1750-32)*5/9)))*14.7/760,IF(H1745="Crude Oil",EXP((2799/(H1750+459.6)-2.227)*LOG10(INDEX(FX_Input,U$5,H$3*$Z$5+$AA$5))-(7261/(H1750+459.6))+12.82),IF(H1745="Refined Petroleum Stock",EXP((0.7553-(413/(H1750+459.6)))*(INDEX(FX_Input,U$5,H$3*$Z$5+$AA$5-1)^0.5)*LOG10(INDEX(FX_Input,U$5,H$3*$Z$5+$AA$5))-(1.854-(1042/(H1750+459.6)))*(INDEX(FX_Input,U$5,H$3*$Z$5+$AA$5-1)^0.5)+((2416/(H1750+459.6)-2.013)*LOG10(INDEX(FX_Input,U$5,H$3*$Z$5+$AA$5)))-(8742/(H1750+459.6))+15.64),EXP(INDEX(Antoines,MATCH(H1744,Antoine_Name,0),2)-INDEX(Antoines,MATCH(H1744,Antoine_Name,0),3)/(H1750+459.6))))),0)</f>
        <v>0</v>
      </c>
      <c r="I1755" cm="1">
        <f t="array" ref="I1755">IFERROR(IF(I1745="Chemical",(10^(INDEX(Antoines,MATCH(I1744,Antoine_Name,0),2)-INDEX(Antoines,MATCH(I1744,Antoine_Name,0),3)/(INDEX(Antoines,MATCH(I1744,Antoine_Name,0),4)+(I1750-32)*5/9)))*14.7/760,IF(I1745="Crude Oil",EXP((2799/(I1750+459.6)-2.227)*LOG10(INDEX(FX_Input,V$5,I$3*$Z$5+$AA$5))-(7261/(I1750+459.6))+12.82),IF(I1745="Refined Petroleum Stock",EXP((0.7553-(413/(I1750+459.6)))*(INDEX(FX_Input,V$5,I$3*$Z$5+$AA$5-1)^0.5)*LOG10(INDEX(FX_Input,V$5,I$3*$Z$5+$AA$5))-(1.854-(1042/(I1750+459.6)))*(INDEX(FX_Input,V$5,I$3*$Z$5+$AA$5-1)^0.5)+((2416/(I1750+459.6)-2.013)*LOG10(INDEX(FX_Input,V$5,I$3*$Z$5+$AA$5)))-(8742/(I1750+459.6))+15.64),EXP(INDEX(Antoines,MATCH(I1744,Antoine_Name,0),2)-INDEX(Antoines,MATCH(I1744,Antoine_Name,0),3)/(I1750+459.6))))),0)</f>
        <v>0</v>
      </c>
      <c r="J1755" cm="1">
        <f t="array" ref="J1755">IFERROR(IF(J1745="Chemical",(10^(INDEX(Antoines,MATCH(J1744,Antoine_Name,0),2)-INDEX(Antoines,MATCH(J1744,Antoine_Name,0),3)/(INDEX(Antoines,MATCH(J1744,Antoine_Name,0),4)+(J1750-32)*5/9)))*14.7/760,IF(J1745="Crude Oil",EXP((2799/(J1750+459.6)-2.227)*LOG10(INDEX(FX_Input,W$5,J$3*$Z$5+$AA$5))-(7261/(J1750+459.6))+12.82),IF(J1745="Refined Petroleum Stock",EXP((0.7553-(413/(J1750+459.6)))*(INDEX(FX_Input,W$5,J$3*$Z$5+$AA$5-1)^0.5)*LOG10(INDEX(FX_Input,W$5,J$3*$Z$5+$AA$5))-(1.854-(1042/(J1750+459.6)))*(INDEX(FX_Input,W$5,J$3*$Z$5+$AA$5-1)^0.5)+((2416/(J1750+459.6)-2.013)*LOG10(INDEX(FX_Input,W$5,J$3*$Z$5+$AA$5)))-(8742/(J1750+459.6))+15.64),EXP(INDEX(Antoines,MATCH(J1744,Antoine_Name,0),2)-INDEX(Antoines,MATCH(J1744,Antoine_Name,0),3)/(J1750+459.6))))),0)</f>
        <v>0</v>
      </c>
      <c r="K1755" cm="1">
        <f t="array" ref="K1755">IFERROR(IF(K1745="Chemical",(10^(INDEX(Antoines,MATCH(K1744,Antoine_Name,0),2)-INDEX(Antoines,MATCH(K1744,Antoine_Name,0),3)/(INDEX(Antoines,MATCH(K1744,Antoine_Name,0),4)+(K1750-32)*5/9)))*14.7/760,IF(K1745="Crude Oil",EXP((2799/(K1750+459.6)-2.227)*LOG10(INDEX(FX_Input,X$5,K$3*$Z$5+$AA$5))-(7261/(K1750+459.6))+12.82),IF(K1745="Refined Petroleum Stock",EXP((0.7553-(413/(K1750+459.6)))*(INDEX(FX_Input,X$5,K$3*$Z$5+$AA$5-1)^0.5)*LOG10(INDEX(FX_Input,X$5,K$3*$Z$5+$AA$5))-(1.854-(1042/(K1750+459.6)))*(INDEX(FX_Input,X$5,K$3*$Z$5+$AA$5-1)^0.5)+((2416/(K1750+459.6)-2.013)*LOG10(INDEX(FX_Input,X$5,K$3*$Z$5+$AA$5)))-(8742/(K1750+459.6))+15.64),EXP(INDEX(Antoines,MATCH(K1744,Antoine_Name,0),2)-INDEX(Antoines,MATCH(K1744,Antoine_Name,0),3)/(K1750+459.6))))),0)</f>
        <v>0</v>
      </c>
      <c r="L1755" cm="1">
        <f t="array" ref="L1755">IFERROR(IF(L1745="Chemical",(10^(INDEX(Antoines,MATCH(L1744,Antoine_Name,0),2)-INDEX(Antoines,MATCH(L1744,Antoine_Name,0),3)/(INDEX(Antoines,MATCH(L1744,Antoine_Name,0),4)+(L1750-32)*5/9)))*14.7/760,IF(L1745="Crude Oil",EXP((2799/(L1750+459.6)-2.227)*LOG10(INDEX(FX_Input,Y$5,L$3*$Z$5+$AA$5))-(7261/(L1750+459.6))+12.82),IF(L1745="Refined Petroleum Stock",EXP((0.7553-(413/(L1750+459.6)))*(INDEX(FX_Input,Y$5,L$3*$Z$5+$AA$5-1)^0.5)*LOG10(INDEX(FX_Input,Y$5,L$3*$Z$5+$AA$5))-(1.854-(1042/(L1750+459.6)))*(INDEX(FX_Input,Y$5,L$3*$Z$5+$AA$5-1)^0.5)+((2416/(L1750+459.6)-2.013)*LOG10(INDEX(FX_Input,Y$5,L$3*$Z$5+$AA$5)))-(8742/(L1750+459.6))+15.64),EXP(INDEX(Antoines,MATCH(L1744,Antoine_Name,0),2)-INDEX(Antoines,MATCH(L1744,Antoine_Name,0),3)/(L1750+459.6))))),0)</f>
        <v>0</v>
      </c>
      <c r="M1755" cm="1">
        <f t="array" ref="M1755">IFERROR(IF(M1745="Chemical",(10^(INDEX(Antoines,MATCH(M1744,Antoine_Name,0),2)-INDEX(Antoines,MATCH(M1744,Antoine_Name,0),3)/(INDEX(Antoines,MATCH(M1744,Antoine_Name,0),4)+(M1750-32)*5/9)))*14.7/760,IF(M1745="Crude Oil",EXP((2799/(M1750+459.6)-2.227)*LOG10(INDEX(FX_Input,Z$5,M$3*$Z$5+$AA$5))-(7261/(M1750+459.6))+12.82),IF(M1745="Refined Petroleum Stock",EXP((0.7553-(413/(M1750+459.6)))*(INDEX(FX_Input,Z$5,M$3*$Z$5+$AA$5-1)^0.5)*LOG10(INDEX(FX_Input,Z$5,M$3*$Z$5+$AA$5))-(1.854-(1042/(M1750+459.6)))*(INDEX(FX_Input,Z$5,M$3*$Z$5+$AA$5-1)^0.5)+((2416/(M1750+459.6)-2.013)*LOG10(INDEX(FX_Input,Z$5,M$3*$Z$5+$AA$5)))-(8742/(M1750+459.6))+15.64),EXP(INDEX(Antoines,MATCH(M1744,Antoine_Name,0),2)-INDEX(Antoines,MATCH(M1744,Antoine_Name,0),3)/(M1750+459.6))))),0)</f>
        <v>0</v>
      </c>
      <c r="N1755" cm="1">
        <f t="array" ref="N1755">IFERROR(IF(N1745="Chemical",(10^(INDEX(Antoines,MATCH(N1744,Antoine_Name,0),2)-INDEX(Antoines,MATCH(N1744,Antoine_Name,0),3)/(INDEX(Antoines,MATCH(N1744,Antoine_Name,0),4)+(N1750-32)*5/9)))*14.7/760,IF(N1745="Crude Oil",EXP((2799/(N1750+459.6)-2.227)*LOG10(INDEX(FX_Input,AA$5,N$3*$Z$5+$AA$5))-(7261/(N1750+459.6))+12.82),IF(N1745="Refined Petroleum Stock",EXP((0.7553-(413/(N1750+459.6)))*(INDEX(FX_Input,AA$5,N$3*$Z$5+$AA$5-1)^0.5)*LOG10(INDEX(FX_Input,AA$5,N$3*$Z$5+$AA$5))-(1.854-(1042/(N1750+459.6)))*(INDEX(FX_Input,AA$5,N$3*$Z$5+$AA$5-1)^0.5)+((2416/(N1750+459.6)-2.013)*LOG10(INDEX(FX_Input,AA$5,N$3*$Z$5+$AA$5)))-(8742/(N1750+459.6))+15.64),EXP(INDEX(Antoines,MATCH(N1744,Antoine_Name,0),2)-INDEX(Antoines,MATCH(N1744,Antoine_Name,0),3)/(N1750+459.6))))),0)</f>
        <v>0</v>
      </c>
      <c r="O1755" cm="1">
        <f t="array" ref="O1755">IFERROR(IF(O1745="Chemical",(10^(INDEX(Antoines,MATCH(O1744,Antoine_Name,0),2)-INDEX(Antoines,MATCH(O1744,Antoine_Name,0),3)/(INDEX(Antoines,MATCH(O1744,Antoine_Name,0),4)+(O1750-32)*5/9)))*14.7/760,IF(O1745="Crude Oil",EXP((2799/(O1750+459.6)-2.227)*LOG10(INDEX(FX_Input,AB$5,O$3*$Z$5+$AA$5))-(7261/(O1750+459.6))+12.82),IF(O1745="Refined Petroleum Stock",EXP((0.7553-(413/(O1750+459.6)))*(INDEX(FX_Input,AB$5,O$3*$Z$5+$AA$5-1)^0.5)*LOG10(INDEX(FX_Input,AB$5,O$3*$Z$5+$AA$5))-(1.854-(1042/(O1750+459.6)))*(INDEX(FX_Input,AB$5,O$3*$Z$5+$AA$5-1)^0.5)+((2416/(O1750+459.6)-2.013)*LOG10(INDEX(FX_Input,AB$5,O$3*$Z$5+$AA$5)))-(8742/(O1750+459.6))+15.64),EXP(INDEX(Antoines,MATCH(O1744,Antoine_Name,0),2)-INDEX(Antoines,MATCH(O1744,Antoine_Name,0),3)/(O1750+459.6))))),0)</f>
        <v>0</v>
      </c>
    </row>
    <row r="1756" spans="2:32" ht="17.149999999999999" x14ac:dyDescent="0.55000000000000004">
      <c r="B1756" t="str">
        <f t="shared" si="6420"/>
        <v>Portland</v>
      </c>
      <c r="C1756" t="s">
        <v>577</v>
      </c>
      <c r="D1756">
        <f>D1755*D1748</f>
        <v>0</v>
      </c>
      <c r="E1756">
        <f t="shared" ref="E1756" si="6432">E1755*E1748</f>
        <v>0</v>
      </c>
      <c r="F1756">
        <f t="shared" ref="F1756" si="6433">F1755*F1748</f>
        <v>0</v>
      </c>
      <c r="G1756">
        <f t="shared" ref="G1756" si="6434">G1755*G1748</f>
        <v>0</v>
      </c>
      <c r="H1756">
        <f t="shared" ref="H1756" si="6435">H1755*H1748</f>
        <v>0</v>
      </c>
      <c r="I1756">
        <f t="shared" ref="I1756" si="6436">I1755*I1748</f>
        <v>0</v>
      </c>
      <c r="J1756">
        <f t="shared" ref="J1756" si="6437">J1755*J1748</f>
        <v>0</v>
      </c>
      <c r="K1756">
        <f t="shared" ref="K1756" si="6438">K1755*K1748</f>
        <v>0</v>
      </c>
      <c r="L1756">
        <f t="shared" ref="L1756" si="6439">L1755*L1748</f>
        <v>0</v>
      </c>
      <c r="M1756">
        <f t="shared" ref="M1756" si="6440">M1755*M1748</f>
        <v>0</v>
      </c>
      <c r="N1756">
        <f t="shared" ref="N1756" si="6441">N1755*N1748</f>
        <v>0</v>
      </c>
      <c r="O1756">
        <f t="shared" ref="O1756" si="6442">O1755*O1748</f>
        <v>0</v>
      </c>
    </row>
    <row r="1757" spans="2:32" ht="17.149999999999999" x14ac:dyDescent="0.55000000000000004">
      <c r="B1757" t="str">
        <f t="shared" si="6420"/>
        <v>Portland</v>
      </c>
      <c r="C1757" t="s">
        <v>578</v>
      </c>
      <c r="D1757">
        <f>D1756+D1754</f>
        <v>4.6194990608814232E-3</v>
      </c>
      <c r="E1757">
        <f t="shared" ref="E1757" si="6443">E1756+E1754</f>
        <v>4.8282172104298976E-3</v>
      </c>
      <c r="F1757">
        <f t="shared" ref="F1757" si="6444">F1756+F1754</f>
        <v>5.2682084022832483E-3</v>
      </c>
      <c r="G1757">
        <f t="shared" ref="G1757" si="6445">G1756+G1754</f>
        <v>6.0362371214845376E-3</v>
      </c>
      <c r="H1757">
        <f t="shared" ref="H1757" si="6446">H1756+H1754</f>
        <v>7.3216486102608194E-3</v>
      </c>
      <c r="I1757">
        <f t="shared" ref="I1757" si="6447">I1756+I1754</f>
        <v>8.4512935625408649E-3</v>
      </c>
      <c r="J1757">
        <f t="shared" ref="J1757" si="6448">J1756+J1754</f>
        <v>9.5644811343706445E-3</v>
      </c>
      <c r="K1757">
        <f t="shared" ref="K1757" si="6449">K1756+K1754</f>
        <v>9.3850836134020087E-3</v>
      </c>
      <c r="L1757">
        <f t="shared" ref="L1757" si="6450">L1756+L1754</f>
        <v>8.2227885052245445E-3</v>
      </c>
      <c r="M1757">
        <f t="shared" ref="M1757" si="6451">M1756+M1754</f>
        <v>6.4023381240072485E-3</v>
      </c>
      <c r="N1757">
        <f t="shared" ref="N1757" si="6452">N1756+N1754</f>
        <v>5.1381745102650677E-3</v>
      </c>
      <c r="O1757">
        <f t="shared" ref="O1757" si="6453">O1756+O1754</f>
        <v>4.5575582050152007E-3</v>
      </c>
    </row>
    <row r="1758" spans="2:32" ht="17.149999999999999" x14ac:dyDescent="0.55000000000000004">
      <c r="B1758" t="str">
        <f t="shared" si="6420"/>
        <v>Portland</v>
      </c>
      <c r="C1758" t="s">
        <v>579</v>
      </c>
      <c r="D1758" cm="1">
        <f t="array" ref="D1758">IFERROR(IF(D1743="Chemical",(10^(INDEX(Antoines,MATCH(D1742,Antoine_Name,0),2)-INDEX(Antoines,MATCH(D1742,Antoine_Name,0),3)/(INDEX(Antoines,MATCH(D1742,Antoine_Name,0),4)+(D1751-32)*5/9)))*14.7/760,IF(D1743="Crude Oil",EXP((2799/(D1751+459.6)-2.227)*LOG10(INDEX(FX_Input,Q$5,D$3*$Z$5+$AA$5))-(7261/(D1751+459.6))+12.82),IF(D1743="Refined Petroleum Stock",EXP((0.7553-(413/(D1751+459.6)))*(INDEX(FX_Input,Q$5,D$3*$Z$5+$AA$5-1)^0.5)*LOG10(INDEX(FX_Input,Q$5,D$3*$Z$5+$AA$5))-(1.854-(1042/(D1751+459.6)))*(INDEX(FX_Input,Q$5,D$3*$Z$5+$AA$5-1)^0.5)+((2416/(D1751+459.6)-2.013)*LOG10(INDEX(FX_Input,Q$5,D$3*$Z$5+$AA$5)))-(8742/(D1751+459.6))+15.64),EXP(INDEX(Antoines,MATCH(D1742,Antoine_Name,0),2)-INDEX(Antoines,MATCH(D1742,Antoine_Name,0),3)/(D1751+459.6))))),0)</f>
        <v>5.3446173929904582E-3</v>
      </c>
      <c r="E1758" cm="1">
        <f t="array" ref="E1758">IFERROR(IF(E1743="Chemical",(10^(INDEX(Antoines,MATCH(E1742,Antoine_Name,0),2)-INDEX(Antoines,MATCH(E1742,Antoine_Name,0),3)/(INDEX(Antoines,MATCH(E1742,Antoine_Name,0),4)+(E1751-32)*5/9)))*14.7/760,IF(E1743="Crude Oil",EXP((2799/(E1751+459.6)-2.227)*LOG10(INDEX(FX_Input,R$5,E$3*$Z$5+$AA$5))-(7261/(E1751+459.6))+12.82),IF(E1743="Refined Petroleum Stock",EXP((0.7553-(413/(E1751+459.6)))*(INDEX(FX_Input,R$5,E$3*$Z$5+$AA$5-1)^0.5)*LOG10(INDEX(FX_Input,R$5,E$3*$Z$5+$AA$5))-(1.854-(1042/(E1751+459.6)))*(INDEX(FX_Input,R$5,E$3*$Z$5+$AA$5-1)^0.5)+((2416/(E1751+459.6)-2.013)*LOG10(INDEX(FX_Input,R$5,E$3*$Z$5+$AA$5)))-(8742/(E1751+459.6))+15.64),EXP(INDEX(Antoines,MATCH(E1742,Antoine_Name,0),2)-INDEX(Antoines,MATCH(E1742,Antoine_Name,0),3)/(E1751+459.6))))),0)</f>
        <v>5.8020727825229086E-3</v>
      </c>
      <c r="F1758" cm="1">
        <f t="array" ref="F1758">IFERROR(IF(F1743="Chemical",(10^(INDEX(Antoines,MATCH(F1742,Antoine_Name,0),2)-INDEX(Antoines,MATCH(F1742,Antoine_Name,0),3)/(INDEX(Antoines,MATCH(F1742,Antoine_Name,0),4)+(F1751-32)*5/9)))*14.7/760,IF(F1743="Crude Oil",EXP((2799/(F1751+459.6)-2.227)*LOG10(INDEX(FX_Input,S$5,F$3*$Z$5+$AA$5))-(7261/(F1751+459.6))+12.82),IF(F1743="Refined Petroleum Stock",EXP((0.7553-(413/(F1751+459.6)))*(INDEX(FX_Input,S$5,F$3*$Z$5+$AA$5-1)^0.5)*LOG10(INDEX(FX_Input,S$5,F$3*$Z$5+$AA$5))-(1.854-(1042/(F1751+459.6)))*(INDEX(FX_Input,S$5,F$3*$Z$5+$AA$5-1)^0.5)+((2416/(F1751+459.6)-2.013)*LOG10(INDEX(FX_Input,S$5,F$3*$Z$5+$AA$5)))-(8742/(F1751+459.6))+15.64),EXP(INDEX(Antoines,MATCH(F1742,Antoine_Name,0),2)-INDEX(Antoines,MATCH(F1742,Antoine_Name,0),3)/(F1751+459.6))))),0)</f>
        <v>6.3194597984808799E-3</v>
      </c>
      <c r="G1758" cm="1">
        <f t="array" ref="G1758">IFERROR(IF(G1743="Chemical",(10^(INDEX(Antoines,MATCH(G1742,Antoine_Name,0),2)-INDEX(Antoines,MATCH(G1742,Antoine_Name,0),3)/(INDEX(Antoines,MATCH(G1742,Antoine_Name,0),4)+(G1751-32)*5/9)))*14.7/760,IF(G1743="Crude Oil",EXP((2799/(G1751+459.6)-2.227)*LOG10(INDEX(FX_Input,T$5,G$3*$Z$5+$AA$5))-(7261/(G1751+459.6))+12.82),IF(G1743="Refined Petroleum Stock",EXP((0.7553-(413/(G1751+459.6)))*(INDEX(FX_Input,T$5,G$3*$Z$5+$AA$5-1)^0.5)*LOG10(INDEX(FX_Input,T$5,G$3*$Z$5+$AA$5))-(1.854-(1042/(G1751+459.6)))*(INDEX(FX_Input,T$5,G$3*$Z$5+$AA$5-1)^0.5)+((2416/(G1751+459.6)-2.013)*LOG10(INDEX(FX_Input,T$5,G$3*$Z$5+$AA$5)))-(8742/(G1751+459.6))+15.64),EXP(INDEX(Antoines,MATCH(G1742,Antoine_Name,0),2)-INDEX(Antoines,MATCH(G1742,Antoine_Name,0),3)/(G1751+459.6))))),0)</f>
        <v>7.2400469002136831E-3</v>
      </c>
      <c r="H1758" cm="1">
        <f t="array" ref="H1758">IFERROR(IF(H1743="Chemical",(10^(INDEX(Antoines,MATCH(H1742,Antoine_Name,0),2)-INDEX(Antoines,MATCH(H1742,Antoine_Name,0),3)/(INDEX(Antoines,MATCH(H1742,Antoine_Name,0),4)+(H1751-32)*5/9)))*14.7/760,IF(H1743="Crude Oil",EXP((2799/(H1751+459.6)-2.227)*LOG10(INDEX(FX_Input,U$5,H$3*$Z$5+$AA$5))-(7261/(H1751+459.6))+12.82),IF(H1743="Refined Petroleum Stock",EXP((0.7553-(413/(H1751+459.6)))*(INDEX(FX_Input,U$5,H$3*$Z$5+$AA$5-1)^0.5)*LOG10(INDEX(FX_Input,U$5,H$3*$Z$5+$AA$5))-(1.854-(1042/(H1751+459.6)))*(INDEX(FX_Input,U$5,H$3*$Z$5+$AA$5-1)^0.5)+((2416/(H1751+459.6)-2.013)*LOG10(INDEX(FX_Input,U$5,H$3*$Z$5+$AA$5)))-(8742/(H1751+459.6))+15.64),EXP(INDEX(Antoines,MATCH(H1742,Antoine_Name,0),2)-INDEX(Antoines,MATCH(H1742,Antoine_Name,0),3)/(H1751+459.6))))),0)</f>
        <v>8.7355319390561535E-3</v>
      </c>
      <c r="I1758" cm="1">
        <f t="array" ref="I1758">IFERROR(IF(I1743="Chemical",(10^(INDEX(Antoines,MATCH(I1742,Antoine_Name,0),2)-INDEX(Antoines,MATCH(I1742,Antoine_Name,0),3)/(INDEX(Antoines,MATCH(I1742,Antoine_Name,0),4)+(I1751-32)*5/9)))*14.7/760,IF(I1743="Crude Oil",EXP((2799/(I1751+459.6)-2.227)*LOG10(INDEX(FX_Input,V$5,I$3*$Z$5+$AA$5))-(7261/(I1751+459.6))+12.82),IF(I1743="Refined Petroleum Stock",EXP((0.7553-(413/(I1751+459.6)))*(INDEX(FX_Input,V$5,I$3*$Z$5+$AA$5-1)^0.5)*LOG10(INDEX(FX_Input,V$5,I$3*$Z$5+$AA$5))-(1.854-(1042/(I1751+459.6)))*(INDEX(FX_Input,V$5,I$3*$Z$5+$AA$5-1)^0.5)+((2416/(I1751+459.6)-2.013)*LOG10(INDEX(FX_Input,V$5,I$3*$Z$5+$AA$5)))-(8742/(I1751+459.6))+15.64),EXP(INDEX(Antoines,MATCH(I1742,Antoine_Name,0),2)-INDEX(Antoines,MATCH(I1742,Antoine_Name,0),3)/(I1751+459.6))))),0)</f>
        <v>9.9506270401879347E-3</v>
      </c>
      <c r="J1758" cm="1">
        <f t="array" ref="J1758">IFERROR(IF(J1743="Chemical",(10^(INDEX(Antoines,MATCH(J1742,Antoine_Name,0),2)-INDEX(Antoines,MATCH(J1742,Antoine_Name,0),3)/(INDEX(Antoines,MATCH(J1742,Antoine_Name,0),4)+(J1751-32)*5/9)))*14.7/760,IF(J1743="Crude Oil",EXP((2799/(J1751+459.6)-2.227)*LOG10(INDEX(FX_Input,W$5,J$3*$Z$5+$AA$5))-(7261/(J1751+459.6))+12.82),IF(J1743="Refined Petroleum Stock",EXP((0.7553-(413/(J1751+459.6)))*(INDEX(FX_Input,W$5,J$3*$Z$5+$AA$5-1)^0.5)*LOG10(INDEX(FX_Input,W$5,J$3*$Z$5+$AA$5))-(1.854-(1042/(J1751+459.6)))*(INDEX(FX_Input,W$5,J$3*$Z$5+$AA$5-1)^0.5)+((2416/(J1751+459.6)-2.013)*LOG10(INDEX(FX_Input,W$5,J$3*$Z$5+$AA$5)))-(8742/(J1751+459.6))+15.64),EXP(INDEX(Antoines,MATCH(J1742,Antoine_Name,0),2)-INDEX(Antoines,MATCH(J1742,Antoine_Name,0),3)/(J1751+459.6))))),0)</f>
        <v>1.1263733235793187E-2</v>
      </c>
      <c r="K1758" cm="1">
        <f t="array" ref="K1758">IFERROR(IF(K1743="Chemical",(10^(INDEX(Antoines,MATCH(K1742,Antoine_Name,0),2)-INDEX(Antoines,MATCH(K1742,Antoine_Name,0),3)/(INDEX(Antoines,MATCH(K1742,Antoine_Name,0),4)+(K1751-32)*5/9)))*14.7/760,IF(K1743="Crude Oil",EXP((2799/(K1751+459.6)-2.227)*LOG10(INDEX(FX_Input,X$5,K$3*$Z$5+$AA$5))-(7261/(K1751+459.6))+12.82),IF(K1743="Refined Petroleum Stock",EXP((0.7553-(413/(K1751+459.6)))*(INDEX(FX_Input,X$5,K$3*$Z$5+$AA$5-1)^0.5)*LOG10(INDEX(FX_Input,X$5,K$3*$Z$5+$AA$5))-(1.854-(1042/(K1751+459.6)))*(INDEX(FX_Input,X$5,K$3*$Z$5+$AA$5-1)^0.5)+((2416/(K1751+459.6)-2.013)*LOG10(INDEX(FX_Input,X$5,K$3*$Z$5+$AA$5)))-(8742/(K1751+459.6))+15.64),EXP(INDEX(Antoines,MATCH(K1742,Antoine_Name,0),2)-INDEX(Antoines,MATCH(K1742,Antoine_Name,0),3)/(K1751+459.6))))),0)</f>
        <v>1.1184292386672267E-2</v>
      </c>
      <c r="L1758" cm="1">
        <f t="array" ref="L1758">IFERROR(IF(L1743="Chemical",(10^(INDEX(Antoines,MATCH(L1742,Antoine_Name,0),2)-INDEX(Antoines,MATCH(L1742,Antoine_Name,0),3)/(INDEX(Antoines,MATCH(L1742,Antoine_Name,0),4)+(L1751-32)*5/9)))*14.7/760,IF(L1743="Crude Oil",EXP((2799/(L1751+459.6)-2.227)*LOG10(INDEX(FX_Input,Y$5,L$3*$Z$5+$AA$5))-(7261/(L1751+459.6))+12.82),IF(L1743="Refined Petroleum Stock",EXP((0.7553-(413/(L1751+459.6)))*(INDEX(FX_Input,Y$5,L$3*$Z$5+$AA$5-1)^0.5)*LOG10(INDEX(FX_Input,Y$5,L$3*$Z$5+$AA$5))-(1.854-(1042/(L1751+459.6)))*(INDEX(FX_Input,Y$5,L$3*$Z$5+$AA$5-1)^0.5)+((2416/(L1751+459.6)-2.013)*LOG10(INDEX(FX_Input,Y$5,L$3*$Z$5+$AA$5)))-(8742/(L1751+459.6))+15.64),EXP(INDEX(Antoines,MATCH(L1742,Antoine_Name,0),2)-INDEX(Antoines,MATCH(L1742,Antoine_Name,0),3)/(L1751+459.6))))),0)</f>
        <v>1.0188141542731273E-2</v>
      </c>
      <c r="M1758" cm="1">
        <f t="array" ref="M1758">IFERROR(IF(M1743="Chemical",(10^(INDEX(Antoines,MATCH(M1742,Antoine_Name,0),2)-INDEX(Antoines,MATCH(M1742,Antoine_Name,0),3)/(INDEX(Antoines,MATCH(M1742,Antoine_Name,0),4)+(M1751-32)*5/9)))*14.7/760,IF(M1743="Crude Oil",EXP((2799/(M1751+459.6)-2.227)*LOG10(INDEX(FX_Input,Z$5,M$3*$Z$5+$AA$5))-(7261/(M1751+459.6))+12.82),IF(M1743="Refined Petroleum Stock",EXP((0.7553-(413/(M1751+459.6)))*(INDEX(FX_Input,Z$5,M$3*$Z$5+$AA$5-1)^0.5)*LOG10(INDEX(FX_Input,Z$5,M$3*$Z$5+$AA$5))-(1.854-(1042/(M1751+459.6)))*(INDEX(FX_Input,Z$5,M$3*$Z$5+$AA$5-1)^0.5)+((2416/(M1751+459.6)-2.013)*LOG10(INDEX(FX_Input,Z$5,M$3*$Z$5+$AA$5)))-(8742/(M1751+459.6))+15.64),EXP(INDEX(Antoines,MATCH(M1742,Antoine_Name,0),2)-INDEX(Antoines,MATCH(M1742,Antoine_Name,0),3)/(M1751+459.6))))),0)</f>
        <v>7.8038704244406936E-3</v>
      </c>
      <c r="N1758" cm="1">
        <f t="array" ref="N1758">IFERROR(IF(N1743="Chemical",(10^(INDEX(Antoines,MATCH(N1742,Antoine_Name,0),2)-INDEX(Antoines,MATCH(N1742,Antoine_Name,0),3)/(INDEX(Antoines,MATCH(N1742,Antoine_Name,0),4)+(N1751-32)*5/9)))*14.7/760,IF(N1743="Crude Oil",EXP((2799/(N1751+459.6)-2.227)*LOG10(INDEX(FX_Input,AA$5,N$3*$Z$5+$AA$5))-(7261/(N1751+459.6))+12.82),IF(N1743="Refined Petroleum Stock",EXP((0.7553-(413/(N1751+459.6)))*(INDEX(FX_Input,AA$5,N$3*$Z$5+$AA$5-1)^0.5)*LOG10(INDEX(FX_Input,AA$5,N$3*$Z$5+$AA$5))-(1.854-(1042/(N1751+459.6)))*(INDEX(FX_Input,AA$5,N$3*$Z$5+$AA$5-1)^0.5)+((2416/(N1751+459.6)-2.013)*LOG10(INDEX(FX_Input,AA$5,N$3*$Z$5+$AA$5)))-(8742/(N1751+459.6))+15.64),EXP(INDEX(Antoines,MATCH(N1742,Antoine_Name,0),2)-INDEX(Antoines,MATCH(N1742,Antoine_Name,0),3)/(N1751+459.6))))),0)</f>
        <v>6.0827945693034263E-3</v>
      </c>
      <c r="O1758" cm="1">
        <f t="array" ref="O1758">IFERROR(IF(O1743="Chemical",(10^(INDEX(Antoines,MATCH(O1742,Antoine_Name,0),2)-INDEX(Antoines,MATCH(O1742,Antoine_Name,0),3)/(INDEX(Antoines,MATCH(O1742,Antoine_Name,0),4)+(O1751-32)*5/9)))*14.7/760,IF(O1743="Crude Oil",EXP((2799/(O1751+459.6)-2.227)*LOG10(INDEX(FX_Input,AB$5,O$3*$Z$5+$AA$5))-(7261/(O1751+459.6))+12.82),IF(O1743="Refined Petroleum Stock",EXP((0.7553-(413/(O1751+459.6)))*(INDEX(FX_Input,AB$5,O$3*$Z$5+$AA$5-1)^0.5)*LOG10(INDEX(FX_Input,AB$5,O$3*$Z$5+$AA$5))-(1.854-(1042/(O1751+459.6)))*(INDEX(FX_Input,AB$5,O$3*$Z$5+$AA$5-1)^0.5)+((2416/(O1751+459.6)-2.013)*LOG10(INDEX(FX_Input,AB$5,O$3*$Z$5+$AA$5)))-(8742/(O1751+459.6))+15.64),EXP(INDEX(Antoines,MATCH(O1742,Antoine_Name,0),2)-INDEX(Antoines,MATCH(O1742,Antoine_Name,0),3)/(O1751+459.6))))),0)</f>
        <v>5.2448123115675692E-3</v>
      </c>
    </row>
    <row r="1759" spans="2:32" ht="17.149999999999999" x14ac:dyDescent="0.55000000000000004">
      <c r="B1759" t="str">
        <f t="shared" si="6420"/>
        <v>Portland</v>
      </c>
      <c r="C1759" t="s">
        <v>580</v>
      </c>
      <c r="D1759">
        <f>D1758*D1746</f>
        <v>5.3446173929904582E-3</v>
      </c>
      <c r="E1759">
        <f t="shared" ref="E1759" si="6454">E1758*E1746</f>
        <v>5.8020727825229086E-3</v>
      </c>
      <c r="F1759">
        <f t="shared" ref="F1759" si="6455">F1758*F1746</f>
        <v>6.3194597984808799E-3</v>
      </c>
      <c r="G1759">
        <f t="shared" ref="G1759" si="6456">G1758*G1746</f>
        <v>7.2400469002136831E-3</v>
      </c>
      <c r="H1759">
        <f t="shared" ref="H1759" si="6457">H1758*H1746</f>
        <v>8.7355319390561535E-3</v>
      </c>
      <c r="I1759">
        <f t="shared" ref="I1759" si="6458">I1758*I1746</f>
        <v>9.9506270401879347E-3</v>
      </c>
      <c r="J1759">
        <f t="shared" ref="J1759" si="6459">J1758*J1746</f>
        <v>1.1263733235793187E-2</v>
      </c>
      <c r="K1759">
        <f t="shared" ref="K1759" si="6460">K1758*K1746</f>
        <v>1.1184292386672267E-2</v>
      </c>
      <c r="L1759">
        <f t="shared" ref="L1759" si="6461">L1758*L1746</f>
        <v>1.0188141542731273E-2</v>
      </c>
      <c r="M1759">
        <f t="shared" ref="M1759" si="6462">M1758*M1746</f>
        <v>7.8038704244406936E-3</v>
      </c>
      <c r="N1759">
        <f t="shared" ref="N1759" si="6463">N1758*N1746</f>
        <v>6.0827945693034263E-3</v>
      </c>
      <c r="O1759">
        <f t="shared" ref="O1759" si="6464">O1758*O1746</f>
        <v>5.2448123115675692E-3</v>
      </c>
    </row>
    <row r="1760" spans="2:32" ht="17.149999999999999" x14ac:dyDescent="0.55000000000000004">
      <c r="B1760" t="str">
        <f t="shared" si="6420"/>
        <v>Portland</v>
      </c>
      <c r="C1760" t="s">
        <v>581</v>
      </c>
      <c r="D1760" cm="1">
        <f t="array" ref="D1760">IFERROR(IF(D1745="Chemical",(10^(INDEX(Antoines,MATCH(D1744,Antoine_Name,0),2)-INDEX(Antoines,MATCH(D1744,Antoine_Name,0),3)/(INDEX(Antoines,MATCH(D1744,Antoine_Name,0),4)+(D1751-32)*5/9)))*14.7/760,IF(D1745="Crude Oil",EXP((2799/(D1751+459.6)-2.227)*LOG10(INDEX(FX_Input,Q$5,D$3*$Z$5+$AA$5))-(7261/(D1751+459.6))+12.82),IF(D1745="Refined Petroleum Stock",EXP((0.7553-(413/(D1751+459.6)))*(INDEX(FX_Input,Q$5,D$3*$Z$5+$AA$5-1)^0.5)*LOG10(INDEX(FX_Input,Q$5,D$3*$Z$5+$AA$5))-(1.854-(1042/(D1751+459.6)))*(INDEX(FX_Input,Q$5,D$3*$Z$5+$AA$5-1)^0.5)+((2416/(D1751+459.6)-2.013)*LOG10(INDEX(FX_Input,Q$5,D$3*$Z$5+$AA$5)))-(8742/(D1751+459.6))+15.64),EXP(INDEX(Antoines,MATCH(D1744,Antoine_Name,0),2)-INDEX(Antoines,MATCH(D1744,Antoine_Name,0),3)/(D1751+459.6))))),0)</f>
        <v>0</v>
      </c>
      <c r="E1760" cm="1">
        <f t="array" ref="E1760">IFERROR(IF(E1745="Chemical",(10^(INDEX(Antoines,MATCH(E1744,Antoine_Name,0),2)-INDEX(Antoines,MATCH(E1744,Antoine_Name,0),3)/(INDEX(Antoines,MATCH(E1744,Antoine_Name,0),4)+(E1751-32)*5/9)))*14.7/760,IF(E1745="Crude Oil",EXP((2799/(E1751+459.6)-2.227)*LOG10(INDEX(FX_Input,R$5,E$3*$Z$5+$AA$5))-(7261/(E1751+459.6))+12.82),IF(E1745="Refined Petroleum Stock",EXP((0.7553-(413/(E1751+459.6)))*(INDEX(FX_Input,R$5,E$3*$Z$5+$AA$5-1)^0.5)*LOG10(INDEX(FX_Input,R$5,E$3*$Z$5+$AA$5))-(1.854-(1042/(E1751+459.6)))*(INDEX(FX_Input,R$5,E$3*$Z$5+$AA$5-1)^0.5)+((2416/(E1751+459.6)-2.013)*LOG10(INDEX(FX_Input,R$5,E$3*$Z$5+$AA$5)))-(8742/(E1751+459.6))+15.64),EXP(INDEX(Antoines,MATCH(E1744,Antoine_Name,0),2)-INDEX(Antoines,MATCH(E1744,Antoine_Name,0),3)/(E1751+459.6))))),0)</f>
        <v>0</v>
      </c>
      <c r="F1760" cm="1">
        <f t="array" ref="F1760">IFERROR(IF(F1745="Chemical",(10^(INDEX(Antoines,MATCH(F1744,Antoine_Name,0),2)-INDEX(Antoines,MATCH(F1744,Antoine_Name,0),3)/(INDEX(Antoines,MATCH(F1744,Antoine_Name,0),4)+(F1751-32)*5/9)))*14.7/760,IF(F1745="Crude Oil",EXP((2799/(F1751+459.6)-2.227)*LOG10(INDEX(FX_Input,S$5,F$3*$Z$5+$AA$5))-(7261/(F1751+459.6))+12.82),IF(F1745="Refined Petroleum Stock",EXP((0.7553-(413/(F1751+459.6)))*(INDEX(FX_Input,S$5,F$3*$Z$5+$AA$5-1)^0.5)*LOG10(INDEX(FX_Input,S$5,F$3*$Z$5+$AA$5))-(1.854-(1042/(F1751+459.6)))*(INDEX(FX_Input,S$5,F$3*$Z$5+$AA$5-1)^0.5)+((2416/(F1751+459.6)-2.013)*LOG10(INDEX(FX_Input,S$5,F$3*$Z$5+$AA$5)))-(8742/(F1751+459.6))+15.64),EXP(INDEX(Antoines,MATCH(F1744,Antoine_Name,0),2)-INDEX(Antoines,MATCH(F1744,Antoine_Name,0),3)/(F1751+459.6))))),0)</f>
        <v>0</v>
      </c>
      <c r="G1760" cm="1">
        <f t="array" ref="G1760">IFERROR(IF(G1745="Chemical",(10^(INDEX(Antoines,MATCH(G1744,Antoine_Name,0),2)-INDEX(Antoines,MATCH(G1744,Antoine_Name,0),3)/(INDEX(Antoines,MATCH(G1744,Antoine_Name,0),4)+(G1751-32)*5/9)))*14.7/760,IF(G1745="Crude Oil",EXP((2799/(G1751+459.6)-2.227)*LOG10(INDEX(FX_Input,T$5,G$3*$Z$5+$AA$5))-(7261/(G1751+459.6))+12.82),IF(G1745="Refined Petroleum Stock",EXP((0.7553-(413/(G1751+459.6)))*(INDEX(FX_Input,T$5,G$3*$Z$5+$AA$5-1)^0.5)*LOG10(INDEX(FX_Input,T$5,G$3*$Z$5+$AA$5))-(1.854-(1042/(G1751+459.6)))*(INDEX(FX_Input,T$5,G$3*$Z$5+$AA$5-1)^0.5)+((2416/(G1751+459.6)-2.013)*LOG10(INDEX(FX_Input,T$5,G$3*$Z$5+$AA$5)))-(8742/(G1751+459.6))+15.64),EXP(INDEX(Antoines,MATCH(G1744,Antoine_Name,0),2)-INDEX(Antoines,MATCH(G1744,Antoine_Name,0),3)/(G1751+459.6))))),0)</f>
        <v>0</v>
      </c>
      <c r="H1760" cm="1">
        <f t="array" ref="H1760">IFERROR(IF(H1745="Chemical",(10^(INDEX(Antoines,MATCH(H1744,Antoine_Name,0),2)-INDEX(Antoines,MATCH(H1744,Antoine_Name,0),3)/(INDEX(Antoines,MATCH(H1744,Antoine_Name,0),4)+(H1751-32)*5/9)))*14.7/760,IF(H1745="Crude Oil",EXP((2799/(H1751+459.6)-2.227)*LOG10(INDEX(FX_Input,U$5,H$3*$Z$5+$AA$5))-(7261/(H1751+459.6))+12.82),IF(H1745="Refined Petroleum Stock",EXP((0.7553-(413/(H1751+459.6)))*(INDEX(FX_Input,U$5,H$3*$Z$5+$AA$5-1)^0.5)*LOG10(INDEX(FX_Input,U$5,H$3*$Z$5+$AA$5))-(1.854-(1042/(H1751+459.6)))*(INDEX(FX_Input,U$5,H$3*$Z$5+$AA$5-1)^0.5)+((2416/(H1751+459.6)-2.013)*LOG10(INDEX(FX_Input,U$5,H$3*$Z$5+$AA$5)))-(8742/(H1751+459.6))+15.64),EXP(INDEX(Antoines,MATCH(H1744,Antoine_Name,0),2)-INDEX(Antoines,MATCH(H1744,Antoine_Name,0),3)/(H1751+459.6))))),0)</f>
        <v>0</v>
      </c>
      <c r="I1760" cm="1">
        <f t="array" ref="I1760">IFERROR(IF(I1745="Chemical",(10^(INDEX(Antoines,MATCH(I1744,Antoine_Name,0),2)-INDEX(Antoines,MATCH(I1744,Antoine_Name,0),3)/(INDEX(Antoines,MATCH(I1744,Antoine_Name,0),4)+(I1751-32)*5/9)))*14.7/760,IF(I1745="Crude Oil",EXP((2799/(I1751+459.6)-2.227)*LOG10(INDEX(FX_Input,V$5,I$3*$Z$5+$AA$5))-(7261/(I1751+459.6))+12.82),IF(I1745="Refined Petroleum Stock",EXP((0.7553-(413/(I1751+459.6)))*(INDEX(FX_Input,V$5,I$3*$Z$5+$AA$5-1)^0.5)*LOG10(INDEX(FX_Input,V$5,I$3*$Z$5+$AA$5))-(1.854-(1042/(I1751+459.6)))*(INDEX(FX_Input,V$5,I$3*$Z$5+$AA$5-1)^0.5)+((2416/(I1751+459.6)-2.013)*LOG10(INDEX(FX_Input,V$5,I$3*$Z$5+$AA$5)))-(8742/(I1751+459.6))+15.64),EXP(INDEX(Antoines,MATCH(I1744,Antoine_Name,0),2)-INDEX(Antoines,MATCH(I1744,Antoine_Name,0),3)/(I1751+459.6))))),0)</f>
        <v>0</v>
      </c>
      <c r="J1760" cm="1">
        <f t="array" ref="J1760">IFERROR(IF(J1745="Chemical",(10^(INDEX(Antoines,MATCH(J1744,Antoine_Name,0),2)-INDEX(Antoines,MATCH(J1744,Antoine_Name,0),3)/(INDEX(Antoines,MATCH(J1744,Antoine_Name,0),4)+(J1751-32)*5/9)))*14.7/760,IF(J1745="Crude Oil",EXP((2799/(J1751+459.6)-2.227)*LOG10(INDEX(FX_Input,W$5,J$3*$Z$5+$AA$5))-(7261/(J1751+459.6))+12.82),IF(J1745="Refined Petroleum Stock",EXP((0.7553-(413/(J1751+459.6)))*(INDEX(FX_Input,W$5,J$3*$Z$5+$AA$5-1)^0.5)*LOG10(INDEX(FX_Input,W$5,J$3*$Z$5+$AA$5))-(1.854-(1042/(J1751+459.6)))*(INDEX(FX_Input,W$5,J$3*$Z$5+$AA$5-1)^0.5)+((2416/(J1751+459.6)-2.013)*LOG10(INDEX(FX_Input,W$5,J$3*$Z$5+$AA$5)))-(8742/(J1751+459.6))+15.64),EXP(INDEX(Antoines,MATCH(J1744,Antoine_Name,0),2)-INDEX(Antoines,MATCH(J1744,Antoine_Name,0),3)/(J1751+459.6))))),0)</f>
        <v>0</v>
      </c>
      <c r="K1760" cm="1">
        <f t="array" ref="K1760">IFERROR(IF(K1745="Chemical",(10^(INDEX(Antoines,MATCH(K1744,Antoine_Name,0),2)-INDEX(Antoines,MATCH(K1744,Antoine_Name,0),3)/(INDEX(Antoines,MATCH(K1744,Antoine_Name,0),4)+(K1751-32)*5/9)))*14.7/760,IF(K1745="Crude Oil",EXP((2799/(K1751+459.6)-2.227)*LOG10(INDEX(FX_Input,X$5,K$3*$Z$5+$AA$5))-(7261/(K1751+459.6))+12.82),IF(K1745="Refined Petroleum Stock",EXP((0.7553-(413/(K1751+459.6)))*(INDEX(FX_Input,X$5,K$3*$Z$5+$AA$5-1)^0.5)*LOG10(INDEX(FX_Input,X$5,K$3*$Z$5+$AA$5))-(1.854-(1042/(K1751+459.6)))*(INDEX(FX_Input,X$5,K$3*$Z$5+$AA$5-1)^0.5)+((2416/(K1751+459.6)-2.013)*LOG10(INDEX(FX_Input,X$5,K$3*$Z$5+$AA$5)))-(8742/(K1751+459.6))+15.64),EXP(INDEX(Antoines,MATCH(K1744,Antoine_Name,0),2)-INDEX(Antoines,MATCH(K1744,Antoine_Name,0),3)/(K1751+459.6))))),0)</f>
        <v>0</v>
      </c>
      <c r="L1760" cm="1">
        <f t="array" ref="L1760">IFERROR(IF(L1745="Chemical",(10^(INDEX(Antoines,MATCH(L1744,Antoine_Name,0),2)-INDEX(Antoines,MATCH(L1744,Antoine_Name,0),3)/(INDEX(Antoines,MATCH(L1744,Antoine_Name,0),4)+(L1751-32)*5/9)))*14.7/760,IF(L1745="Crude Oil",EXP((2799/(L1751+459.6)-2.227)*LOG10(INDEX(FX_Input,Y$5,L$3*$Z$5+$AA$5))-(7261/(L1751+459.6))+12.82),IF(L1745="Refined Petroleum Stock",EXP((0.7553-(413/(L1751+459.6)))*(INDEX(FX_Input,Y$5,L$3*$Z$5+$AA$5-1)^0.5)*LOG10(INDEX(FX_Input,Y$5,L$3*$Z$5+$AA$5))-(1.854-(1042/(L1751+459.6)))*(INDEX(FX_Input,Y$5,L$3*$Z$5+$AA$5-1)^0.5)+((2416/(L1751+459.6)-2.013)*LOG10(INDEX(FX_Input,Y$5,L$3*$Z$5+$AA$5)))-(8742/(L1751+459.6))+15.64),EXP(INDEX(Antoines,MATCH(L1744,Antoine_Name,0),2)-INDEX(Antoines,MATCH(L1744,Antoine_Name,0),3)/(L1751+459.6))))),0)</f>
        <v>0</v>
      </c>
      <c r="M1760" cm="1">
        <f t="array" ref="M1760">IFERROR(IF(M1745="Chemical",(10^(INDEX(Antoines,MATCH(M1744,Antoine_Name,0),2)-INDEX(Antoines,MATCH(M1744,Antoine_Name,0),3)/(INDEX(Antoines,MATCH(M1744,Antoine_Name,0),4)+(M1751-32)*5/9)))*14.7/760,IF(M1745="Crude Oil",EXP((2799/(M1751+459.6)-2.227)*LOG10(INDEX(FX_Input,Z$5,M$3*$Z$5+$AA$5))-(7261/(M1751+459.6))+12.82),IF(M1745="Refined Petroleum Stock",EXP((0.7553-(413/(M1751+459.6)))*(INDEX(FX_Input,Z$5,M$3*$Z$5+$AA$5-1)^0.5)*LOG10(INDEX(FX_Input,Z$5,M$3*$Z$5+$AA$5))-(1.854-(1042/(M1751+459.6)))*(INDEX(FX_Input,Z$5,M$3*$Z$5+$AA$5-1)^0.5)+((2416/(M1751+459.6)-2.013)*LOG10(INDEX(FX_Input,Z$5,M$3*$Z$5+$AA$5)))-(8742/(M1751+459.6))+15.64),EXP(INDEX(Antoines,MATCH(M1744,Antoine_Name,0),2)-INDEX(Antoines,MATCH(M1744,Antoine_Name,0),3)/(M1751+459.6))))),0)</f>
        <v>0</v>
      </c>
      <c r="N1760" cm="1">
        <f t="array" ref="N1760">IFERROR(IF(N1745="Chemical",(10^(INDEX(Antoines,MATCH(N1744,Antoine_Name,0),2)-INDEX(Antoines,MATCH(N1744,Antoine_Name,0),3)/(INDEX(Antoines,MATCH(N1744,Antoine_Name,0),4)+(N1751-32)*5/9)))*14.7/760,IF(N1745="Crude Oil",EXP((2799/(N1751+459.6)-2.227)*LOG10(INDEX(FX_Input,AA$5,N$3*$Z$5+$AA$5))-(7261/(N1751+459.6))+12.82),IF(N1745="Refined Petroleum Stock",EXP((0.7553-(413/(N1751+459.6)))*(INDEX(FX_Input,AA$5,N$3*$Z$5+$AA$5-1)^0.5)*LOG10(INDEX(FX_Input,AA$5,N$3*$Z$5+$AA$5))-(1.854-(1042/(N1751+459.6)))*(INDEX(FX_Input,AA$5,N$3*$Z$5+$AA$5-1)^0.5)+((2416/(N1751+459.6)-2.013)*LOG10(INDEX(FX_Input,AA$5,N$3*$Z$5+$AA$5)))-(8742/(N1751+459.6))+15.64),EXP(INDEX(Antoines,MATCH(N1744,Antoine_Name,0),2)-INDEX(Antoines,MATCH(N1744,Antoine_Name,0),3)/(N1751+459.6))))),0)</f>
        <v>0</v>
      </c>
      <c r="O1760" cm="1">
        <f t="array" ref="O1760">IFERROR(IF(O1745="Chemical",(10^(INDEX(Antoines,MATCH(O1744,Antoine_Name,0),2)-INDEX(Antoines,MATCH(O1744,Antoine_Name,0),3)/(INDEX(Antoines,MATCH(O1744,Antoine_Name,0),4)+(O1751-32)*5/9)))*14.7/760,IF(O1745="Crude Oil",EXP((2799/(O1751+459.6)-2.227)*LOG10(INDEX(FX_Input,AB$5,O$3*$Z$5+$AA$5))-(7261/(O1751+459.6))+12.82),IF(O1745="Refined Petroleum Stock",EXP((0.7553-(413/(O1751+459.6)))*(INDEX(FX_Input,AB$5,O$3*$Z$5+$AA$5-1)^0.5)*LOG10(INDEX(FX_Input,AB$5,O$3*$Z$5+$AA$5))-(1.854-(1042/(O1751+459.6)))*(INDEX(FX_Input,AB$5,O$3*$Z$5+$AA$5-1)^0.5)+((2416/(O1751+459.6)-2.013)*LOG10(INDEX(FX_Input,AB$5,O$3*$Z$5+$AA$5)))-(8742/(O1751+459.6))+15.64),EXP(INDEX(Antoines,MATCH(O1744,Antoine_Name,0),2)-INDEX(Antoines,MATCH(O1744,Antoine_Name,0),3)/(O1751+459.6))))),0)</f>
        <v>0</v>
      </c>
    </row>
    <row r="1761" spans="1:32" ht="17.149999999999999" x14ac:dyDescent="0.55000000000000004">
      <c r="B1761" t="str">
        <f t="shared" si="6420"/>
        <v>Portland</v>
      </c>
      <c r="C1761" t="s">
        <v>582</v>
      </c>
      <c r="D1761">
        <f>D1760*D1748</f>
        <v>0</v>
      </c>
      <c r="E1761">
        <f t="shared" ref="E1761" si="6465">E1760*E1748</f>
        <v>0</v>
      </c>
      <c r="F1761">
        <f t="shared" ref="F1761" si="6466">F1760*F1748</f>
        <v>0</v>
      </c>
      <c r="G1761">
        <f t="shared" ref="G1761" si="6467">G1760*G1748</f>
        <v>0</v>
      </c>
      <c r="H1761">
        <f t="shared" ref="H1761" si="6468">H1760*H1748</f>
        <v>0</v>
      </c>
      <c r="I1761">
        <f t="shared" ref="I1761" si="6469">I1760*I1748</f>
        <v>0</v>
      </c>
      <c r="J1761">
        <f t="shared" ref="J1761" si="6470">J1760*J1748</f>
        <v>0</v>
      </c>
      <c r="K1761">
        <f t="shared" ref="K1761" si="6471">K1760*K1748</f>
        <v>0</v>
      </c>
      <c r="L1761">
        <f t="shared" ref="L1761" si="6472">L1760*L1748</f>
        <v>0</v>
      </c>
      <c r="M1761">
        <f t="shared" ref="M1761" si="6473">M1760*M1748</f>
        <v>0</v>
      </c>
      <c r="N1761">
        <f t="shared" ref="N1761" si="6474">N1760*N1748</f>
        <v>0</v>
      </c>
      <c r="O1761">
        <f t="shared" ref="O1761" si="6475">O1760*O1748</f>
        <v>0</v>
      </c>
    </row>
    <row r="1762" spans="1:32" ht="17.149999999999999" x14ac:dyDescent="0.55000000000000004">
      <c r="B1762" t="str">
        <f t="shared" si="6420"/>
        <v>Portland</v>
      </c>
      <c r="C1762" t="s">
        <v>583</v>
      </c>
      <c r="D1762">
        <f>D1759+D1761</f>
        <v>5.3446173929904582E-3</v>
      </c>
      <c r="E1762">
        <f t="shared" ref="E1762" si="6476">E1759+E1761</f>
        <v>5.8020727825229086E-3</v>
      </c>
      <c r="F1762">
        <f t="shared" ref="F1762" si="6477">F1759+F1761</f>
        <v>6.3194597984808799E-3</v>
      </c>
      <c r="G1762">
        <f t="shared" ref="G1762" si="6478">G1759+G1761</f>
        <v>7.2400469002136831E-3</v>
      </c>
      <c r="H1762">
        <f t="shared" ref="H1762" si="6479">H1759+H1761</f>
        <v>8.7355319390561535E-3</v>
      </c>
      <c r="I1762">
        <f t="shared" ref="I1762" si="6480">I1759+I1761</f>
        <v>9.9506270401879347E-3</v>
      </c>
      <c r="J1762">
        <f t="shared" ref="J1762" si="6481">J1759+J1761</f>
        <v>1.1263733235793187E-2</v>
      </c>
      <c r="K1762">
        <f t="shared" ref="K1762" si="6482">K1759+K1761</f>
        <v>1.1184292386672267E-2</v>
      </c>
      <c r="L1762">
        <f t="shared" ref="L1762" si="6483">L1759+L1761</f>
        <v>1.0188141542731273E-2</v>
      </c>
      <c r="M1762">
        <f t="shared" ref="M1762" si="6484">M1759+M1761</f>
        <v>7.8038704244406936E-3</v>
      </c>
      <c r="N1762">
        <f t="shared" ref="N1762" si="6485">N1759+N1761</f>
        <v>6.0827945693034263E-3</v>
      </c>
      <c r="O1762">
        <f t="shared" ref="O1762" si="6486">O1759+O1761</f>
        <v>5.2448123115675692E-3</v>
      </c>
    </row>
    <row r="1763" spans="1:32" ht="17.149999999999999" x14ac:dyDescent="0.55000000000000004">
      <c r="B1763" t="str">
        <f t="shared" si="6420"/>
        <v>Portland</v>
      </c>
      <c r="C1763" t="s">
        <v>1388</v>
      </c>
      <c r="D1763" cm="1">
        <f t="array" ref="D1763">IFERROR(IF(D1743="Chemical",(10^(INDEX(Antoines,MATCH(D1742,Antoine_Name,0),2)-INDEX(Antoines,MATCH(D1742,Antoine_Name,0),3)/(INDEX(Antoines,MATCH(D1742,Antoine_Name,0),4)+(D1752-32)*5/9)))*14.7/760,IF(D1743="Crude Oil",EXP((2799/(D1752+459.6)-2.227)*LOG10(INDEX(FX_Input,Q$5,D$3*$Z$5+$AA$5))-(7261/(D1752+459.6))+12.82),IF(D1743="Refined Petroleum Stock",EXP((0.7553-(413/(D1752+459.6)))*(INDEX(FX_Input,Q$5,D$3*$Z$5+$AA$5-1)^0.5)*LOG10(INDEX(FX_Input,Q$5,D$3*$Z$5+$AA$5))-(1.854-(1042/(D1752+459.6)))*(INDEX(FX_Input,Q$5,D$3*$Z$5+$AA$5-1)^0.5)+((2416/(D1752+459.6)-2.013)*LOG10(INDEX(FX_Input,Q$5,D$3*$Z$5+$AA$5)))-(8742/(D1752+459.6))+15.64),EXP(INDEX(Antoines,MATCH(D1742,Antoine_Name,0),2)-INDEX(Antoines,MATCH(D1742,Antoine_Name,0),3)/(D1752+459.6))))),0)</f>
        <v>5.0788096823034274E-3</v>
      </c>
      <c r="E1763" cm="1">
        <f t="array" ref="E1763">IFERROR(IF(E1743="Chemical",(10^(INDEX(Antoines,MATCH(E1742,Antoine_Name,0),2)-INDEX(Antoines,MATCH(E1742,Antoine_Name,0),3)/(INDEX(Antoines,MATCH(E1742,Antoine_Name,0),4)+(E1752-32)*5/9)))*14.7/760,IF(E1743="Crude Oil",EXP((2799/(E1752+459.6)-2.227)*LOG10(INDEX(FX_Input,R$5,E$3*$Z$5+$AA$5))-(7261/(E1752+459.6))+12.82),IF(E1743="Refined Petroleum Stock",EXP((0.7553-(413/(E1752+459.6)))*(INDEX(FX_Input,R$5,E$3*$Z$5+$AA$5-1)^0.5)*LOG10(INDEX(FX_Input,R$5,E$3*$Z$5+$AA$5))-(1.854-(1042/(E1752+459.6)))*(INDEX(FX_Input,R$5,E$3*$Z$5+$AA$5-1)^0.5)+((2416/(E1752+459.6)-2.013)*LOG10(INDEX(FX_Input,R$5,E$3*$Z$5+$AA$5)))-(8742/(E1752+459.6))+15.64),EXP(INDEX(Antoines,MATCH(E1742,Antoine_Name,0),2)-INDEX(Antoines,MATCH(E1742,Antoine_Name,0),3)/(E1752+459.6))))),0)</f>
        <v>5.4974545080270654E-3</v>
      </c>
      <c r="F1763" cm="1">
        <f t="array" ref="F1763">IFERROR(IF(F1743="Chemical",(10^(INDEX(Antoines,MATCH(F1742,Antoine_Name,0),2)-INDEX(Antoines,MATCH(F1742,Antoine_Name,0),3)/(INDEX(Antoines,MATCH(F1742,Antoine_Name,0),4)+(F1752-32)*5/9)))*14.7/760,IF(F1743="Crude Oil",EXP((2799/(F1752+459.6)-2.227)*LOG10(INDEX(FX_Input,S$5,F$3*$Z$5+$AA$5))-(7261/(F1752+459.6))+12.82),IF(F1743="Refined Petroleum Stock",EXP((0.7553-(413/(F1752+459.6)))*(INDEX(FX_Input,S$5,F$3*$Z$5+$AA$5-1)^0.5)*LOG10(INDEX(FX_Input,S$5,F$3*$Z$5+$AA$5))-(1.854-(1042/(F1752+459.6)))*(INDEX(FX_Input,S$5,F$3*$Z$5+$AA$5-1)^0.5)+((2416/(F1752+459.6)-2.013)*LOG10(INDEX(FX_Input,S$5,F$3*$Z$5+$AA$5)))-(8742/(F1752+459.6))+15.64),EXP(INDEX(Antoines,MATCH(F1742,Antoine_Name,0),2)-INDEX(Antoines,MATCH(F1742,Antoine_Name,0),3)/(F1752+459.6))))),0)</f>
        <v>6.0939776204352973E-3</v>
      </c>
      <c r="G1763" cm="1">
        <f t="array" ref="G1763">IFERROR(IF(G1743="Chemical",(10^(INDEX(Antoines,MATCH(G1742,Antoine_Name,0),2)-INDEX(Antoines,MATCH(G1742,Antoine_Name,0),3)/(INDEX(Antoines,MATCH(G1742,Antoine_Name,0),4)+(G1752-32)*5/9)))*14.7/760,IF(G1743="Crude Oil",EXP((2799/(G1752+459.6)-2.227)*LOG10(INDEX(FX_Input,T$5,G$3*$Z$5+$AA$5))-(7261/(G1752+459.6))+12.82),IF(G1743="Refined Petroleum Stock",EXP((0.7553-(413/(G1752+459.6)))*(INDEX(FX_Input,T$5,G$3*$Z$5+$AA$5-1)^0.5)*LOG10(INDEX(FX_Input,T$5,G$3*$Z$5+$AA$5))-(1.854-(1042/(G1752+459.6)))*(INDEX(FX_Input,T$5,G$3*$Z$5+$AA$5-1)^0.5)+((2416/(G1752+459.6)-2.013)*LOG10(INDEX(FX_Input,T$5,G$3*$Z$5+$AA$5)))-(8742/(G1752+459.6))+15.64),EXP(INDEX(Antoines,MATCH(G1742,Antoine_Name,0),2)-INDEX(Antoines,MATCH(G1742,Antoine_Name,0),3)/(G1752+459.6))))),0)</f>
        <v>7.1364512548726224E-3</v>
      </c>
      <c r="H1763" cm="1">
        <f t="array" ref="H1763">IFERROR(IF(H1743="Chemical",(10^(INDEX(Antoines,MATCH(H1742,Antoine_Name,0),2)-INDEX(Antoines,MATCH(H1742,Antoine_Name,0),3)/(INDEX(Antoines,MATCH(H1742,Antoine_Name,0),4)+(H1752-32)*5/9)))*14.7/760,IF(H1743="Crude Oil",EXP((2799/(H1752+459.6)-2.227)*LOG10(INDEX(FX_Input,U$5,H$3*$Z$5+$AA$5))-(7261/(H1752+459.6))+12.82),IF(H1743="Refined Petroleum Stock",EXP((0.7553-(413/(H1752+459.6)))*(INDEX(FX_Input,U$5,H$3*$Z$5+$AA$5-1)^0.5)*LOG10(INDEX(FX_Input,U$5,H$3*$Z$5+$AA$5))-(1.854-(1042/(H1752+459.6)))*(INDEX(FX_Input,U$5,H$3*$Z$5+$AA$5-1)^0.5)+((2416/(H1752+459.6)-2.013)*LOG10(INDEX(FX_Input,U$5,H$3*$Z$5+$AA$5)))-(8742/(H1752+459.6))+15.64),EXP(INDEX(Antoines,MATCH(H1742,Antoine_Name,0),2)-INDEX(Antoines,MATCH(H1742,Antoine_Name,0),3)/(H1752+459.6))))),0)</f>
        <v>8.765284653116507E-3</v>
      </c>
      <c r="I1763" cm="1">
        <f t="array" ref="I1763">IFERROR(IF(I1743="Chemical",(10^(INDEX(Antoines,MATCH(I1742,Antoine_Name,0),2)-INDEX(Antoines,MATCH(I1742,Antoine_Name,0),3)/(INDEX(Antoines,MATCH(I1742,Antoine_Name,0),4)+(I1752-32)*5/9)))*14.7/760,IF(I1743="Crude Oil",EXP((2799/(I1752+459.6)-2.227)*LOG10(INDEX(FX_Input,V$5,I$3*$Z$5+$AA$5))-(7261/(I1752+459.6))+12.82),IF(I1743="Refined Petroleum Stock",EXP((0.7553-(413/(I1752+459.6)))*(INDEX(FX_Input,V$5,I$3*$Z$5+$AA$5-1)^0.5)*LOG10(INDEX(FX_Input,V$5,I$3*$Z$5+$AA$5))-(1.854-(1042/(I1752+459.6)))*(INDEX(FX_Input,V$5,I$3*$Z$5+$AA$5-1)^0.5)+((2416/(I1752+459.6)-2.013)*LOG10(INDEX(FX_Input,V$5,I$3*$Z$5+$AA$5)))-(8742/(I1752+459.6))+15.64),EXP(INDEX(Antoines,MATCH(I1742,Antoine_Name,0),2)-INDEX(Antoines,MATCH(I1742,Antoine_Name,0),3)/(I1752+459.6))))),0)</f>
        <v>1.0088391497030216E-2</v>
      </c>
      <c r="J1763" cm="1">
        <f t="array" ref="J1763">IFERROR(IF(J1743="Chemical",(10^(INDEX(Antoines,MATCH(J1742,Antoine_Name,0),2)-INDEX(Antoines,MATCH(J1742,Antoine_Name,0),3)/(INDEX(Antoines,MATCH(J1742,Antoine_Name,0),4)+(J1752-32)*5/9)))*14.7/760,IF(J1743="Crude Oil",EXP((2799/(J1752+459.6)-2.227)*LOG10(INDEX(FX_Input,W$5,J$3*$Z$5+$AA$5))-(7261/(J1752+459.6))+12.82),IF(J1743="Refined Petroleum Stock",EXP((0.7553-(413/(J1752+459.6)))*(INDEX(FX_Input,W$5,J$3*$Z$5+$AA$5-1)^0.5)*LOG10(INDEX(FX_Input,W$5,J$3*$Z$5+$AA$5))-(1.854-(1042/(J1752+459.6)))*(INDEX(FX_Input,W$5,J$3*$Z$5+$AA$5-1)^0.5)+((2416/(J1752+459.6)-2.013)*LOG10(INDEX(FX_Input,W$5,J$3*$Z$5+$AA$5)))-(8742/(J1752+459.6))+15.64),EXP(INDEX(Antoines,MATCH(J1742,Antoine_Name,0),2)-INDEX(Antoines,MATCH(J1742,Antoine_Name,0),3)/(J1752+459.6))))),0)</f>
        <v>1.1455846008049875E-2</v>
      </c>
      <c r="K1763" cm="1">
        <f t="array" ref="K1763">IFERROR(IF(K1743="Chemical",(10^(INDEX(Antoines,MATCH(K1742,Antoine_Name,0),2)-INDEX(Antoines,MATCH(K1742,Antoine_Name,0),3)/(INDEX(Antoines,MATCH(K1742,Antoine_Name,0),4)+(K1752-32)*5/9)))*14.7/760,IF(K1743="Crude Oil",EXP((2799/(K1752+459.6)-2.227)*LOG10(INDEX(FX_Input,X$5,K$3*$Z$5+$AA$5))-(7261/(K1752+459.6))+12.82),IF(K1743="Refined Petroleum Stock",EXP((0.7553-(413/(K1752+459.6)))*(INDEX(FX_Input,X$5,K$3*$Z$5+$AA$5-1)^0.5)*LOG10(INDEX(FX_Input,X$5,K$3*$Z$5+$AA$5))-(1.854-(1042/(K1752+459.6)))*(INDEX(FX_Input,X$5,K$3*$Z$5+$AA$5-1)^0.5)+((2416/(K1752+459.6)-2.013)*LOG10(INDEX(FX_Input,X$5,K$3*$Z$5+$AA$5)))-(8742/(K1752+459.6))+15.64),EXP(INDEX(Antoines,MATCH(K1742,Antoine_Name,0),2)-INDEX(Antoines,MATCH(K1742,Antoine_Name,0),3)/(K1752+459.6))))),0)</f>
        <v>1.1170957772624744E-2</v>
      </c>
      <c r="L1763" cm="1">
        <f t="array" ref="L1763">IFERROR(IF(L1743="Chemical",(10^(INDEX(Antoines,MATCH(L1742,Antoine_Name,0),2)-INDEX(Antoines,MATCH(L1742,Antoine_Name,0),3)/(INDEX(Antoines,MATCH(L1742,Antoine_Name,0),4)+(L1752-32)*5/9)))*14.7/760,IF(L1743="Crude Oil",EXP((2799/(L1752+459.6)-2.227)*LOG10(INDEX(FX_Input,Y$5,L$3*$Z$5+$AA$5))-(7261/(L1752+459.6))+12.82),IF(L1743="Refined Petroleum Stock",EXP((0.7553-(413/(L1752+459.6)))*(INDEX(FX_Input,Y$5,L$3*$Z$5+$AA$5-1)^0.5)*LOG10(INDEX(FX_Input,Y$5,L$3*$Z$5+$AA$5))-(1.854-(1042/(L1752+459.6)))*(INDEX(FX_Input,Y$5,L$3*$Z$5+$AA$5-1)^0.5)+((2416/(L1752+459.6)-2.013)*LOG10(INDEX(FX_Input,Y$5,L$3*$Z$5+$AA$5)))-(8742/(L1752+459.6))+15.64),EXP(INDEX(Antoines,MATCH(L1742,Antoine_Name,0),2)-INDEX(Antoines,MATCH(L1742,Antoine_Name,0),3)/(L1752+459.6))))),0)</f>
        <v>9.8227622663598323E-3</v>
      </c>
      <c r="M1763" cm="1">
        <f t="array" ref="M1763">IFERROR(IF(M1743="Chemical",(10^(INDEX(Antoines,MATCH(M1742,Antoine_Name,0),2)-INDEX(Antoines,MATCH(M1742,Antoine_Name,0),3)/(INDEX(Antoines,MATCH(M1742,Antoine_Name,0),4)+(M1752-32)*5/9)))*14.7/760,IF(M1743="Crude Oil",EXP((2799/(M1752+459.6)-2.227)*LOG10(INDEX(FX_Input,Z$5,M$3*$Z$5+$AA$5))-(7261/(M1752+459.6))+12.82),IF(M1743="Refined Petroleum Stock",EXP((0.7553-(413/(M1752+459.6)))*(INDEX(FX_Input,Z$5,M$3*$Z$5+$AA$5-1)^0.5)*LOG10(INDEX(FX_Input,Z$5,M$3*$Z$5+$AA$5))-(1.854-(1042/(M1752+459.6)))*(INDEX(FX_Input,Z$5,M$3*$Z$5+$AA$5-1)^0.5)+((2416/(M1752+459.6)-2.013)*LOG10(INDEX(FX_Input,Z$5,M$3*$Z$5+$AA$5)))-(8742/(M1752+459.6))+15.64),EXP(INDEX(Antoines,MATCH(M1742,Antoine_Name,0),2)-INDEX(Antoines,MATCH(M1742,Antoine_Name,0),3)/(M1752+459.6))))),0)</f>
        <v>7.3902409367879104E-3</v>
      </c>
      <c r="N1763" cm="1">
        <f t="array" ref="N1763">IFERROR(IF(N1743="Chemical",(10^(INDEX(Antoines,MATCH(N1742,Antoine_Name,0),2)-INDEX(Antoines,MATCH(N1742,Antoine_Name,0),3)/(INDEX(Antoines,MATCH(N1742,Antoine_Name,0),4)+(N1752-32)*5/9)))*14.7/760,IF(N1743="Crude Oil",EXP((2799/(N1752+459.6)-2.227)*LOG10(INDEX(FX_Input,AA$5,N$3*$Z$5+$AA$5))-(7261/(N1752+459.6))+12.82),IF(N1743="Refined Petroleum Stock",EXP((0.7553-(413/(N1752+459.6)))*(INDEX(FX_Input,AA$5,N$3*$Z$5+$AA$5-1)^0.5)*LOG10(INDEX(FX_Input,AA$5,N$3*$Z$5+$AA$5))-(1.854-(1042/(N1752+459.6)))*(INDEX(FX_Input,AA$5,N$3*$Z$5+$AA$5-1)^0.5)+((2416/(N1752+459.6)-2.013)*LOG10(INDEX(FX_Input,AA$5,N$3*$Z$5+$AA$5)))-(8742/(N1752+459.6))+15.64),EXP(INDEX(Antoines,MATCH(N1742,Antoine_Name,0),2)-INDEX(Antoines,MATCH(N1742,Antoine_Name,0),3)/(N1752+459.6))))),0)</f>
        <v>5.7302815955729341E-3</v>
      </c>
      <c r="O1763" cm="1">
        <f t="array" ref="O1763">IFERROR(IF(O1743="Chemical",(10^(INDEX(Antoines,MATCH(O1742,Antoine_Name,0),2)-INDEX(Antoines,MATCH(O1742,Antoine_Name,0),3)/(INDEX(Antoines,MATCH(O1742,Antoine_Name,0),4)+(O1752-32)*5/9)))*14.7/760,IF(O1743="Crude Oil",EXP((2799/(O1752+459.6)-2.227)*LOG10(INDEX(FX_Input,AB$5,O$3*$Z$5+$AA$5))-(7261/(O1752+459.6))+12.82),IF(O1743="Refined Petroleum Stock",EXP((0.7553-(413/(O1752+459.6)))*(INDEX(FX_Input,AB$5,O$3*$Z$5+$AA$5-1)^0.5)*LOG10(INDEX(FX_Input,AB$5,O$3*$Z$5+$AA$5))-(1.854-(1042/(O1752+459.6)))*(INDEX(FX_Input,AB$5,O$3*$Z$5+$AA$5-1)^0.5)+((2416/(O1752+459.6)-2.013)*LOG10(INDEX(FX_Input,AB$5,O$3*$Z$5+$AA$5)))-(8742/(O1752+459.6))+15.64),EXP(INDEX(Antoines,MATCH(O1742,Antoine_Name,0),2)-INDEX(Antoines,MATCH(O1742,Antoine_Name,0),3)/(O1752+459.6))))),0)</f>
        <v>4.9845202750316486E-3</v>
      </c>
    </row>
    <row r="1764" spans="1:32" ht="17.149999999999999" x14ac:dyDescent="0.55000000000000004">
      <c r="B1764" t="str">
        <f t="shared" si="6420"/>
        <v>Portland</v>
      </c>
      <c r="C1764" t="s">
        <v>1389</v>
      </c>
      <c r="D1764">
        <f>D1763*D1746</f>
        <v>5.0788096823034274E-3</v>
      </c>
      <c r="E1764">
        <f t="shared" ref="E1764" si="6487">E1763*E1746</f>
        <v>5.4974545080270654E-3</v>
      </c>
      <c r="F1764">
        <f t="shared" ref="F1764" si="6488">F1763*F1746</f>
        <v>6.0939776204352973E-3</v>
      </c>
      <c r="G1764">
        <f t="shared" ref="G1764" si="6489">G1763*G1746</f>
        <v>7.1364512548726224E-3</v>
      </c>
      <c r="H1764">
        <f t="shared" ref="H1764" si="6490">H1763*H1746</f>
        <v>8.765284653116507E-3</v>
      </c>
      <c r="I1764">
        <f t="shared" ref="I1764" si="6491">I1763*I1746</f>
        <v>1.0088391497030216E-2</v>
      </c>
      <c r="J1764">
        <f t="shared" ref="J1764" si="6492">J1763*J1746</f>
        <v>1.1455846008049875E-2</v>
      </c>
      <c r="K1764">
        <f t="shared" ref="K1764" si="6493">K1763*K1746</f>
        <v>1.1170957772624744E-2</v>
      </c>
      <c r="L1764">
        <f t="shared" ref="L1764" si="6494">L1763*L1746</f>
        <v>9.8227622663598323E-3</v>
      </c>
      <c r="M1764">
        <f t="shared" ref="M1764" si="6495">M1763*M1746</f>
        <v>7.3902409367879104E-3</v>
      </c>
      <c r="N1764">
        <f t="shared" ref="N1764" si="6496">N1763*N1746</f>
        <v>5.7302815955729341E-3</v>
      </c>
      <c r="O1764">
        <f t="shared" ref="O1764" si="6497">O1763*O1746</f>
        <v>4.9845202750316486E-3</v>
      </c>
    </row>
    <row r="1765" spans="1:32" ht="17.149999999999999" x14ac:dyDescent="0.55000000000000004">
      <c r="B1765" t="str">
        <f t="shared" si="6420"/>
        <v>Portland</v>
      </c>
      <c r="C1765" t="s">
        <v>1390</v>
      </c>
      <c r="D1765" cm="1">
        <f t="array" ref="D1765">IFERROR(IF(D1745="Chemical",(10^(INDEX(Antoines,MATCH(D1744,Antoine_Name,0),2)-INDEX(Antoines,MATCH(D1744,Antoine_Name,0),3)/(INDEX(Antoines,MATCH(D1744,Antoine_Name,0),4)+(D1752-32)*5/9)))*14.7/760,IF(D1745="Crude Oil",EXP((2799/(D1752+459.6)-2.227)*LOG10(INDEX(FX_Input,Q$5,D$3*$Z$5+$AA$5))-(7261/(D1752+459.6))+12.82),IF(D1745="Refined Petroleum Stock",EXP((0.7553-(413/(D1752+459.6)))*(INDEX(FX_Input,Q$5,D$3*$Z$5+$AA$5-1)^0.5)*LOG10(INDEX(FX_Input,Q$5,D$3*$Z$5+$AA$5))-(1.854-(1042/(D1752+459.6)))*(INDEX(FX_Input,Q$5,D$3*$Z$5+$AA$5-1)^0.5)+((2416/(D1752+459.6)-2.013)*LOG10(INDEX(FX_Input,Q$5,D$3*$Z$5+$AA$5)))-(8742/(D1752+459.6))+15.64),EXP(INDEX(Antoines,MATCH(D1744,Antoine_Name,0),2)-INDEX(Antoines,MATCH(D1744,Antoine_Name,0),3)/(D1752+459.6))))),0)</f>
        <v>0</v>
      </c>
      <c r="E1765" cm="1">
        <f t="array" ref="E1765">IFERROR(IF(E1745="Chemical",(10^(INDEX(Antoines,MATCH(E1744,Antoine_Name,0),2)-INDEX(Antoines,MATCH(E1744,Antoine_Name,0),3)/(INDEX(Antoines,MATCH(E1744,Antoine_Name,0),4)+(E1752-32)*5/9)))*14.7/760,IF(E1745="Crude Oil",EXP((2799/(E1752+459.6)-2.227)*LOG10(INDEX(FX_Input,R$5,E$3*$Z$5+$AA$5))-(7261/(E1752+459.6))+12.82),IF(E1745="Refined Petroleum Stock",EXP((0.7553-(413/(E1752+459.6)))*(INDEX(FX_Input,R$5,E$3*$Z$5+$AA$5-1)^0.5)*LOG10(INDEX(FX_Input,R$5,E$3*$Z$5+$AA$5))-(1.854-(1042/(E1752+459.6)))*(INDEX(FX_Input,R$5,E$3*$Z$5+$AA$5-1)^0.5)+((2416/(E1752+459.6)-2.013)*LOG10(INDEX(FX_Input,R$5,E$3*$Z$5+$AA$5)))-(8742/(E1752+459.6))+15.64),EXP(INDEX(Antoines,MATCH(E1744,Antoine_Name,0),2)-INDEX(Antoines,MATCH(E1744,Antoine_Name,0),3)/(E1752+459.6))))),0)</f>
        <v>0</v>
      </c>
      <c r="F1765" cm="1">
        <f t="array" ref="F1765">IFERROR(IF(F1745="Chemical",(10^(INDEX(Antoines,MATCH(F1744,Antoine_Name,0),2)-INDEX(Antoines,MATCH(F1744,Antoine_Name,0),3)/(INDEX(Antoines,MATCH(F1744,Antoine_Name,0),4)+(F1752-32)*5/9)))*14.7/760,IF(F1745="Crude Oil",EXP((2799/(F1752+459.6)-2.227)*LOG10(INDEX(FX_Input,S$5,F$3*$Z$5+$AA$5))-(7261/(F1752+459.6))+12.82),IF(F1745="Refined Petroleum Stock",EXP((0.7553-(413/(F1752+459.6)))*(INDEX(FX_Input,S$5,F$3*$Z$5+$AA$5-1)^0.5)*LOG10(INDEX(FX_Input,S$5,F$3*$Z$5+$AA$5))-(1.854-(1042/(F1752+459.6)))*(INDEX(FX_Input,S$5,F$3*$Z$5+$AA$5-1)^0.5)+((2416/(F1752+459.6)-2.013)*LOG10(INDEX(FX_Input,S$5,F$3*$Z$5+$AA$5)))-(8742/(F1752+459.6))+15.64),EXP(INDEX(Antoines,MATCH(F1744,Antoine_Name,0),2)-INDEX(Antoines,MATCH(F1744,Antoine_Name,0),3)/(F1752+459.6))))),0)</f>
        <v>0</v>
      </c>
      <c r="G1765" cm="1">
        <f t="array" ref="G1765">IFERROR(IF(G1745="Chemical",(10^(INDEX(Antoines,MATCH(G1744,Antoine_Name,0),2)-INDEX(Antoines,MATCH(G1744,Antoine_Name,0),3)/(INDEX(Antoines,MATCH(G1744,Antoine_Name,0),4)+(G1752-32)*5/9)))*14.7/760,IF(G1745="Crude Oil",EXP((2799/(G1752+459.6)-2.227)*LOG10(INDEX(FX_Input,T$5,G$3*$Z$5+$AA$5))-(7261/(G1752+459.6))+12.82),IF(G1745="Refined Petroleum Stock",EXP((0.7553-(413/(G1752+459.6)))*(INDEX(FX_Input,T$5,G$3*$Z$5+$AA$5-1)^0.5)*LOG10(INDEX(FX_Input,T$5,G$3*$Z$5+$AA$5))-(1.854-(1042/(G1752+459.6)))*(INDEX(FX_Input,T$5,G$3*$Z$5+$AA$5-1)^0.5)+((2416/(G1752+459.6)-2.013)*LOG10(INDEX(FX_Input,T$5,G$3*$Z$5+$AA$5)))-(8742/(G1752+459.6))+15.64),EXP(INDEX(Antoines,MATCH(G1744,Antoine_Name,0),2)-INDEX(Antoines,MATCH(G1744,Antoine_Name,0),3)/(G1752+459.6))))),0)</f>
        <v>0</v>
      </c>
      <c r="H1765" cm="1">
        <f t="array" ref="H1765">IFERROR(IF(H1745="Chemical",(10^(INDEX(Antoines,MATCH(H1744,Antoine_Name,0),2)-INDEX(Antoines,MATCH(H1744,Antoine_Name,0),3)/(INDEX(Antoines,MATCH(H1744,Antoine_Name,0),4)+(H1752-32)*5/9)))*14.7/760,IF(H1745="Crude Oil",EXP((2799/(H1752+459.6)-2.227)*LOG10(INDEX(FX_Input,U$5,H$3*$Z$5+$AA$5))-(7261/(H1752+459.6))+12.82),IF(H1745="Refined Petroleum Stock",EXP((0.7553-(413/(H1752+459.6)))*(INDEX(FX_Input,U$5,H$3*$Z$5+$AA$5-1)^0.5)*LOG10(INDEX(FX_Input,U$5,H$3*$Z$5+$AA$5))-(1.854-(1042/(H1752+459.6)))*(INDEX(FX_Input,U$5,H$3*$Z$5+$AA$5-1)^0.5)+((2416/(H1752+459.6)-2.013)*LOG10(INDEX(FX_Input,U$5,H$3*$Z$5+$AA$5)))-(8742/(H1752+459.6))+15.64),EXP(INDEX(Antoines,MATCH(H1744,Antoine_Name,0),2)-INDEX(Antoines,MATCH(H1744,Antoine_Name,0),3)/(H1752+459.6))))),0)</f>
        <v>0</v>
      </c>
      <c r="I1765" cm="1">
        <f t="array" ref="I1765">IFERROR(IF(I1745="Chemical",(10^(INDEX(Antoines,MATCH(I1744,Antoine_Name,0),2)-INDEX(Antoines,MATCH(I1744,Antoine_Name,0),3)/(INDEX(Antoines,MATCH(I1744,Antoine_Name,0),4)+(I1752-32)*5/9)))*14.7/760,IF(I1745="Crude Oil",EXP((2799/(I1752+459.6)-2.227)*LOG10(INDEX(FX_Input,V$5,I$3*$Z$5+$AA$5))-(7261/(I1752+459.6))+12.82),IF(I1745="Refined Petroleum Stock",EXP((0.7553-(413/(I1752+459.6)))*(INDEX(FX_Input,V$5,I$3*$Z$5+$AA$5-1)^0.5)*LOG10(INDEX(FX_Input,V$5,I$3*$Z$5+$AA$5))-(1.854-(1042/(I1752+459.6)))*(INDEX(FX_Input,V$5,I$3*$Z$5+$AA$5-1)^0.5)+((2416/(I1752+459.6)-2.013)*LOG10(INDEX(FX_Input,V$5,I$3*$Z$5+$AA$5)))-(8742/(I1752+459.6))+15.64),EXP(INDEX(Antoines,MATCH(I1744,Antoine_Name,0),2)-INDEX(Antoines,MATCH(I1744,Antoine_Name,0),3)/(I1752+459.6))))),0)</f>
        <v>0</v>
      </c>
      <c r="J1765" cm="1">
        <f t="array" ref="J1765">IFERROR(IF(J1745="Chemical",(10^(INDEX(Antoines,MATCH(J1744,Antoine_Name,0),2)-INDEX(Antoines,MATCH(J1744,Antoine_Name,0),3)/(INDEX(Antoines,MATCH(J1744,Antoine_Name,0),4)+(J1752-32)*5/9)))*14.7/760,IF(J1745="Crude Oil",EXP((2799/(J1752+459.6)-2.227)*LOG10(INDEX(FX_Input,W$5,J$3*$Z$5+$AA$5))-(7261/(J1752+459.6))+12.82),IF(J1745="Refined Petroleum Stock",EXP((0.7553-(413/(J1752+459.6)))*(INDEX(FX_Input,W$5,J$3*$Z$5+$AA$5-1)^0.5)*LOG10(INDEX(FX_Input,W$5,J$3*$Z$5+$AA$5))-(1.854-(1042/(J1752+459.6)))*(INDEX(FX_Input,W$5,J$3*$Z$5+$AA$5-1)^0.5)+((2416/(J1752+459.6)-2.013)*LOG10(INDEX(FX_Input,W$5,J$3*$Z$5+$AA$5)))-(8742/(J1752+459.6))+15.64),EXP(INDEX(Antoines,MATCH(J1744,Antoine_Name,0),2)-INDEX(Antoines,MATCH(J1744,Antoine_Name,0),3)/(J1752+459.6))))),0)</f>
        <v>0</v>
      </c>
      <c r="K1765" cm="1">
        <f t="array" ref="K1765">IFERROR(IF(K1745="Chemical",(10^(INDEX(Antoines,MATCH(K1744,Antoine_Name,0),2)-INDEX(Antoines,MATCH(K1744,Antoine_Name,0),3)/(INDEX(Antoines,MATCH(K1744,Antoine_Name,0),4)+(K1752-32)*5/9)))*14.7/760,IF(K1745="Crude Oil",EXP((2799/(K1752+459.6)-2.227)*LOG10(INDEX(FX_Input,X$5,K$3*$Z$5+$AA$5))-(7261/(K1752+459.6))+12.82),IF(K1745="Refined Petroleum Stock",EXP((0.7553-(413/(K1752+459.6)))*(INDEX(FX_Input,X$5,K$3*$Z$5+$AA$5-1)^0.5)*LOG10(INDEX(FX_Input,X$5,K$3*$Z$5+$AA$5))-(1.854-(1042/(K1752+459.6)))*(INDEX(FX_Input,X$5,K$3*$Z$5+$AA$5-1)^0.5)+((2416/(K1752+459.6)-2.013)*LOG10(INDEX(FX_Input,X$5,K$3*$Z$5+$AA$5)))-(8742/(K1752+459.6))+15.64),EXP(INDEX(Antoines,MATCH(K1744,Antoine_Name,0),2)-INDEX(Antoines,MATCH(K1744,Antoine_Name,0),3)/(K1752+459.6))))),0)</f>
        <v>0</v>
      </c>
      <c r="L1765" cm="1">
        <f t="array" ref="L1765">IFERROR(IF(L1745="Chemical",(10^(INDEX(Antoines,MATCH(L1744,Antoine_Name,0),2)-INDEX(Antoines,MATCH(L1744,Antoine_Name,0),3)/(INDEX(Antoines,MATCH(L1744,Antoine_Name,0),4)+(L1752-32)*5/9)))*14.7/760,IF(L1745="Crude Oil",EXP((2799/(L1752+459.6)-2.227)*LOG10(INDEX(FX_Input,Y$5,L$3*$Z$5+$AA$5))-(7261/(L1752+459.6))+12.82),IF(L1745="Refined Petroleum Stock",EXP((0.7553-(413/(L1752+459.6)))*(INDEX(FX_Input,Y$5,L$3*$Z$5+$AA$5-1)^0.5)*LOG10(INDEX(FX_Input,Y$5,L$3*$Z$5+$AA$5))-(1.854-(1042/(L1752+459.6)))*(INDEX(FX_Input,Y$5,L$3*$Z$5+$AA$5-1)^0.5)+((2416/(L1752+459.6)-2.013)*LOG10(INDEX(FX_Input,Y$5,L$3*$Z$5+$AA$5)))-(8742/(L1752+459.6))+15.64),EXP(INDEX(Antoines,MATCH(L1744,Antoine_Name,0),2)-INDEX(Antoines,MATCH(L1744,Antoine_Name,0),3)/(L1752+459.6))))),0)</f>
        <v>0</v>
      </c>
      <c r="M1765" cm="1">
        <f t="array" ref="M1765">IFERROR(IF(M1745="Chemical",(10^(INDEX(Antoines,MATCH(M1744,Antoine_Name,0),2)-INDEX(Antoines,MATCH(M1744,Antoine_Name,0),3)/(INDEX(Antoines,MATCH(M1744,Antoine_Name,0),4)+(M1752-32)*5/9)))*14.7/760,IF(M1745="Crude Oil",EXP((2799/(M1752+459.6)-2.227)*LOG10(INDEX(FX_Input,Z$5,M$3*$Z$5+$AA$5))-(7261/(M1752+459.6))+12.82),IF(M1745="Refined Petroleum Stock",EXP((0.7553-(413/(M1752+459.6)))*(INDEX(FX_Input,Z$5,M$3*$Z$5+$AA$5-1)^0.5)*LOG10(INDEX(FX_Input,Z$5,M$3*$Z$5+$AA$5))-(1.854-(1042/(M1752+459.6)))*(INDEX(FX_Input,Z$5,M$3*$Z$5+$AA$5-1)^0.5)+((2416/(M1752+459.6)-2.013)*LOG10(INDEX(FX_Input,Z$5,M$3*$Z$5+$AA$5)))-(8742/(M1752+459.6))+15.64),EXP(INDEX(Antoines,MATCH(M1744,Antoine_Name,0),2)-INDEX(Antoines,MATCH(M1744,Antoine_Name,0),3)/(M1752+459.6))))),0)</f>
        <v>0</v>
      </c>
      <c r="N1765" cm="1">
        <f t="array" ref="N1765">IFERROR(IF(N1745="Chemical",(10^(INDEX(Antoines,MATCH(N1744,Antoine_Name,0),2)-INDEX(Antoines,MATCH(N1744,Antoine_Name,0),3)/(INDEX(Antoines,MATCH(N1744,Antoine_Name,0),4)+(N1752-32)*5/9)))*14.7/760,IF(N1745="Crude Oil",EXP((2799/(N1752+459.6)-2.227)*LOG10(INDEX(FX_Input,AA$5,N$3*$Z$5+$AA$5))-(7261/(N1752+459.6))+12.82),IF(N1745="Refined Petroleum Stock",EXP((0.7553-(413/(N1752+459.6)))*(INDEX(FX_Input,AA$5,N$3*$Z$5+$AA$5-1)^0.5)*LOG10(INDEX(FX_Input,AA$5,N$3*$Z$5+$AA$5))-(1.854-(1042/(N1752+459.6)))*(INDEX(FX_Input,AA$5,N$3*$Z$5+$AA$5-1)^0.5)+((2416/(N1752+459.6)-2.013)*LOG10(INDEX(FX_Input,AA$5,N$3*$Z$5+$AA$5)))-(8742/(N1752+459.6))+15.64),EXP(INDEX(Antoines,MATCH(N1744,Antoine_Name,0),2)-INDEX(Antoines,MATCH(N1744,Antoine_Name,0),3)/(N1752+459.6))))),0)</f>
        <v>0</v>
      </c>
      <c r="O1765" cm="1">
        <f t="array" ref="O1765">IFERROR(IF(O1745="Chemical",(10^(INDEX(Antoines,MATCH(O1744,Antoine_Name,0),2)-INDEX(Antoines,MATCH(O1744,Antoine_Name,0),3)/(INDEX(Antoines,MATCH(O1744,Antoine_Name,0),4)+(O1752-32)*5/9)))*14.7/760,IF(O1745="Crude Oil",EXP((2799/(O1752+459.6)-2.227)*LOG10(INDEX(FX_Input,AB$5,O$3*$Z$5+$AA$5))-(7261/(O1752+459.6))+12.82),IF(O1745="Refined Petroleum Stock",EXP((0.7553-(413/(O1752+459.6)))*(INDEX(FX_Input,AB$5,O$3*$Z$5+$AA$5-1)^0.5)*LOG10(INDEX(FX_Input,AB$5,O$3*$Z$5+$AA$5))-(1.854-(1042/(O1752+459.6)))*(INDEX(FX_Input,AB$5,O$3*$Z$5+$AA$5-1)^0.5)+((2416/(O1752+459.6)-2.013)*LOG10(INDEX(FX_Input,AB$5,O$3*$Z$5+$AA$5)))-(8742/(O1752+459.6))+15.64),EXP(INDEX(Antoines,MATCH(O1744,Antoine_Name,0),2)-INDEX(Antoines,MATCH(O1744,Antoine_Name,0),3)/(O1752+459.6))))),0)</f>
        <v>0</v>
      </c>
    </row>
    <row r="1766" spans="1:32" ht="17.149999999999999" x14ac:dyDescent="0.55000000000000004">
      <c r="B1766" t="str">
        <f t="shared" si="6420"/>
        <v>Portland</v>
      </c>
      <c r="C1766" t="s">
        <v>1391</v>
      </c>
      <c r="D1766">
        <f>D1765*D1748</f>
        <v>0</v>
      </c>
      <c r="E1766">
        <f t="shared" ref="E1766" si="6498">E1765*E1748</f>
        <v>0</v>
      </c>
      <c r="F1766">
        <f t="shared" ref="F1766" si="6499">F1765*F1748</f>
        <v>0</v>
      </c>
      <c r="G1766">
        <f t="shared" ref="G1766" si="6500">G1765*G1748</f>
        <v>0</v>
      </c>
      <c r="H1766">
        <f t="shared" ref="H1766" si="6501">H1765*H1748</f>
        <v>0</v>
      </c>
      <c r="I1766">
        <f t="shared" ref="I1766" si="6502">I1765*I1748</f>
        <v>0</v>
      </c>
      <c r="J1766">
        <f t="shared" ref="J1766" si="6503">J1765*J1748</f>
        <v>0</v>
      </c>
      <c r="K1766">
        <f t="shared" ref="K1766" si="6504">K1765*K1748</f>
        <v>0</v>
      </c>
      <c r="L1766">
        <f t="shared" ref="L1766" si="6505">L1765*L1748</f>
        <v>0</v>
      </c>
      <c r="M1766">
        <f t="shared" ref="M1766" si="6506">M1765*M1748</f>
        <v>0</v>
      </c>
      <c r="N1766">
        <f t="shared" ref="N1766" si="6507">N1765*N1748</f>
        <v>0</v>
      </c>
      <c r="O1766">
        <f t="shared" ref="O1766" si="6508">O1765*O1748</f>
        <v>0</v>
      </c>
    </row>
    <row r="1767" spans="1:32" ht="17.149999999999999" x14ac:dyDescent="0.55000000000000004">
      <c r="B1767" t="str">
        <f t="shared" si="6420"/>
        <v>Portland</v>
      </c>
      <c r="C1767" t="s">
        <v>1392</v>
      </c>
      <c r="D1767">
        <f>D1764+D1766</f>
        <v>5.0788096823034274E-3</v>
      </c>
      <c r="E1767">
        <f t="shared" ref="E1767" si="6509">E1764+E1766</f>
        <v>5.4974545080270654E-3</v>
      </c>
      <c r="F1767">
        <f t="shared" ref="F1767" si="6510">F1764+F1766</f>
        <v>6.0939776204352973E-3</v>
      </c>
      <c r="G1767">
        <f t="shared" ref="G1767" si="6511">G1764+G1766</f>
        <v>7.1364512548726224E-3</v>
      </c>
      <c r="H1767">
        <f t="shared" ref="H1767" si="6512">H1764+H1766</f>
        <v>8.765284653116507E-3</v>
      </c>
      <c r="I1767">
        <f t="shared" ref="I1767" si="6513">I1764+I1766</f>
        <v>1.0088391497030216E-2</v>
      </c>
      <c r="J1767">
        <f t="shared" ref="J1767" si="6514">J1764+J1766</f>
        <v>1.1455846008049875E-2</v>
      </c>
      <c r="K1767">
        <f t="shared" ref="K1767" si="6515">K1764+K1766</f>
        <v>1.1170957772624744E-2</v>
      </c>
      <c r="L1767">
        <f t="shared" ref="L1767" si="6516">L1764+L1766</f>
        <v>9.8227622663598323E-3</v>
      </c>
      <c r="M1767">
        <f t="shared" ref="M1767" si="6517">M1764+M1766</f>
        <v>7.3902409367879104E-3</v>
      </c>
      <c r="N1767">
        <f t="shared" ref="N1767" si="6518">N1764+N1766</f>
        <v>5.7302815955729341E-3</v>
      </c>
      <c r="O1767">
        <f t="shared" ref="O1767" si="6519">O1764+O1766</f>
        <v>4.9845202750316486E-3</v>
      </c>
    </row>
    <row r="1768" spans="1:32" ht="17.149999999999999" x14ac:dyDescent="0.55000000000000004">
      <c r="B1768" t="str">
        <f>B1762</f>
        <v>Portland</v>
      </c>
      <c r="C1768" t="s">
        <v>584</v>
      </c>
      <c r="D1768">
        <f>D1764/D1767</f>
        <v>1</v>
      </c>
      <c r="E1768">
        <f t="shared" ref="E1768" si="6520">E1764/E1767</f>
        <v>1</v>
      </c>
      <c r="F1768">
        <f t="shared" ref="F1768" si="6521">F1764/F1767</f>
        <v>1</v>
      </c>
      <c r="G1768">
        <f t="shared" ref="G1768" si="6522">G1764/G1767</f>
        <v>1</v>
      </c>
      <c r="H1768">
        <f t="shared" ref="H1768" si="6523">H1764/H1767</f>
        <v>1</v>
      </c>
      <c r="I1768">
        <f t="shared" ref="I1768" si="6524">I1764/I1767</f>
        <v>1</v>
      </c>
      <c r="J1768">
        <f t="shared" ref="J1768" si="6525">J1764/J1767</f>
        <v>1</v>
      </c>
      <c r="K1768">
        <f t="shared" ref="K1768" si="6526">K1764/K1767</f>
        <v>1</v>
      </c>
      <c r="L1768">
        <f t="shared" ref="L1768" si="6527">L1764/L1767</f>
        <v>1</v>
      </c>
      <c r="M1768">
        <f t="shared" ref="M1768" si="6528">M1764/M1767</f>
        <v>1</v>
      </c>
      <c r="N1768">
        <f t="shared" ref="N1768" si="6529">N1764/N1767</f>
        <v>1</v>
      </c>
      <c r="O1768">
        <f t="shared" ref="O1768" si="6530">O1764/O1767</f>
        <v>1</v>
      </c>
    </row>
    <row r="1769" spans="1:32" ht="17.149999999999999" x14ac:dyDescent="0.55000000000000004">
      <c r="B1769" t="str">
        <f>B1763</f>
        <v>Portland</v>
      </c>
      <c r="C1769" t="s">
        <v>585</v>
      </c>
      <c r="D1769">
        <f t="shared" ref="D1769:O1769" si="6531">INDEX(Phys_Prop,MATCH(D1742,Chem_List,0),3)</f>
        <v>130</v>
      </c>
      <c r="E1769">
        <f t="shared" si="6531"/>
        <v>130</v>
      </c>
      <c r="F1769">
        <f t="shared" si="6531"/>
        <v>130</v>
      </c>
      <c r="G1769">
        <f t="shared" si="6531"/>
        <v>130</v>
      </c>
      <c r="H1769">
        <f t="shared" si="6531"/>
        <v>130</v>
      </c>
      <c r="I1769">
        <f t="shared" si="6531"/>
        <v>130</v>
      </c>
      <c r="J1769">
        <f t="shared" si="6531"/>
        <v>130</v>
      </c>
      <c r="K1769">
        <f t="shared" si="6531"/>
        <v>130</v>
      </c>
      <c r="L1769">
        <f t="shared" si="6531"/>
        <v>130</v>
      </c>
      <c r="M1769">
        <f t="shared" si="6531"/>
        <v>130</v>
      </c>
      <c r="N1769">
        <f t="shared" si="6531"/>
        <v>130</v>
      </c>
      <c r="O1769">
        <f t="shared" si="6531"/>
        <v>130</v>
      </c>
    </row>
    <row r="1770" spans="1:32" ht="17.149999999999999" x14ac:dyDescent="0.55000000000000004">
      <c r="B1770" t="str">
        <f>B1769</f>
        <v>Portland</v>
      </c>
      <c r="C1770" t="s">
        <v>586</v>
      </c>
      <c r="D1770">
        <f>D1766/D1767</f>
        <v>0</v>
      </c>
      <c r="E1770">
        <f t="shared" ref="E1770:O1770" si="6532">E1766/E1767</f>
        <v>0</v>
      </c>
      <c r="F1770">
        <f t="shared" si="6532"/>
        <v>0</v>
      </c>
      <c r="G1770">
        <f t="shared" si="6532"/>
        <v>0</v>
      </c>
      <c r="H1770">
        <f t="shared" si="6532"/>
        <v>0</v>
      </c>
      <c r="I1770">
        <f t="shared" si="6532"/>
        <v>0</v>
      </c>
      <c r="J1770">
        <f t="shared" si="6532"/>
        <v>0</v>
      </c>
      <c r="K1770">
        <f t="shared" si="6532"/>
        <v>0</v>
      </c>
      <c r="L1770">
        <f t="shared" si="6532"/>
        <v>0</v>
      </c>
      <c r="M1770">
        <f t="shared" si="6532"/>
        <v>0</v>
      </c>
      <c r="N1770">
        <f t="shared" si="6532"/>
        <v>0</v>
      </c>
      <c r="O1770">
        <f t="shared" si="6532"/>
        <v>0</v>
      </c>
    </row>
    <row r="1771" spans="1:32" ht="17.149999999999999" x14ac:dyDescent="0.55000000000000004">
      <c r="B1771" t="str">
        <f t="shared" si="6420"/>
        <v>Portland</v>
      </c>
      <c r="C1771" t="s">
        <v>587</v>
      </c>
      <c r="D1771">
        <f t="shared" ref="D1771:O1771" si="6533">IFERROR(INDEX(Phys_Prop,MATCH(D1744,Chem_List,0),3),0)</f>
        <v>0</v>
      </c>
      <c r="E1771">
        <f t="shared" si="6533"/>
        <v>0</v>
      </c>
      <c r="F1771">
        <f t="shared" si="6533"/>
        <v>0</v>
      </c>
      <c r="G1771">
        <f t="shared" si="6533"/>
        <v>0</v>
      </c>
      <c r="H1771">
        <f t="shared" si="6533"/>
        <v>0</v>
      </c>
      <c r="I1771">
        <f t="shared" si="6533"/>
        <v>0</v>
      </c>
      <c r="J1771">
        <f t="shared" si="6533"/>
        <v>0</v>
      </c>
      <c r="K1771">
        <f t="shared" si="6533"/>
        <v>0</v>
      </c>
      <c r="L1771">
        <f t="shared" si="6533"/>
        <v>0</v>
      </c>
      <c r="M1771">
        <f t="shared" si="6533"/>
        <v>0</v>
      </c>
      <c r="N1771">
        <f t="shared" si="6533"/>
        <v>0</v>
      </c>
      <c r="O1771">
        <f t="shared" si="6533"/>
        <v>0</v>
      </c>
    </row>
    <row r="1772" spans="1:32" ht="17.149999999999999" x14ac:dyDescent="0.55000000000000004">
      <c r="A1772" s="11"/>
      <c r="B1772" s="11" t="str">
        <f t="shared" si="6420"/>
        <v>Portland</v>
      </c>
      <c r="C1772" s="11" t="s">
        <v>588</v>
      </c>
      <c r="D1772" s="11">
        <f>IFERROR(D1768*D1769+D1770*D1771,0)</f>
        <v>130</v>
      </c>
      <c r="E1772" s="11">
        <f t="shared" ref="E1772" si="6534">IFERROR(E1768*E1769+E1770*E1771,0)</f>
        <v>130</v>
      </c>
      <c r="F1772" s="11">
        <f t="shared" ref="F1772" si="6535">IFERROR(F1768*F1769+F1770*F1771,0)</f>
        <v>130</v>
      </c>
      <c r="G1772" s="11">
        <f t="shared" ref="G1772" si="6536">IFERROR(G1768*G1769+G1770*G1771,0)</f>
        <v>130</v>
      </c>
      <c r="H1772" s="11">
        <f t="shared" ref="H1772" si="6537">IFERROR(H1768*H1769+H1770*H1771,0)</f>
        <v>130</v>
      </c>
      <c r="I1772" s="11">
        <f t="shared" ref="I1772" si="6538">IFERROR(I1768*I1769+I1770*I1771,0)</f>
        <v>130</v>
      </c>
      <c r="J1772" s="11">
        <f t="shared" ref="J1772" si="6539">IFERROR(J1768*J1769+J1770*J1771,0)</f>
        <v>130</v>
      </c>
      <c r="K1772" s="11">
        <f t="shared" ref="K1772" si="6540">IFERROR(K1768*K1769+K1770*K1771,0)</f>
        <v>130</v>
      </c>
      <c r="L1772" s="11">
        <f t="shared" ref="L1772" si="6541">IFERROR(L1768*L1769+L1770*L1771,0)</f>
        <v>130</v>
      </c>
      <c r="M1772" s="11">
        <f t="shared" ref="M1772" si="6542">IFERROR(M1768*M1769+M1770*M1771,0)</f>
        <v>130</v>
      </c>
      <c r="N1772" s="11">
        <f t="shared" ref="N1772" si="6543">IFERROR(N1768*N1769+N1770*N1771,0)</f>
        <v>130</v>
      </c>
      <c r="O1772" s="11">
        <f t="shared" ref="O1772" si="6544">IFERROR(O1768*O1769+O1770*O1771,0)</f>
        <v>130</v>
      </c>
      <c r="P1772" s="11"/>
      <c r="Q1772" s="11"/>
      <c r="R1772" s="11"/>
      <c r="S1772" s="11"/>
      <c r="T1772" s="11"/>
      <c r="U1772" s="11"/>
      <c r="V1772" s="11"/>
      <c r="W1772" s="11"/>
      <c r="X1772" s="11"/>
      <c r="Y1772" s="11"/>
      <c r="Z1772" s="11"/>
      <c r="AA1772" s="11"/>
      <c r="AB1772" s="11"/>
      <c r="AC1772" s="11"/>
      <c r="AD1772" s="11"/>
      <c r="AE1772" s="11"/>
      <c r="AF1772" s="11"/>
    </row>
    <row r="1773" spans="1:32" ht="17.149999999999999" x14ac:dyDescent="0.55000000000000004">
      <c r="A1773" t="str" cm="1">
        <f t="array" ref="A1773">INDEX(FX_Input,$Q1773,R$5)</f>
        <v>FX - 53</v>
      </c>
      <c r="B1773" t="str" cm="1">
        <f t="array" ref="B1773">INDEX(FX_Input,Q1773,S1773)</f>
        <v>Portland</v>
      </c>
      <c r="C1773" t="s">
        <v>563</v>
      </c>
      <c r="D1773">
        <v>14.7</v>
      </c>
      <c r="E1773">
        <v>14.7</v>
      </c>
      <c r="F1773">
        <v>14.7</v>
      </c>
      <c r="G1773">
        <v>14.7</v>
      </c>
      <c r="H1773">
        <v>14.7</v>
      </c>
      <c r="I1773">
        <v>14.7</v>
      </c>
      <c r="J1773">
        <v>14.7</v>
      </c>
      <c r="K1773">
        <v>14.7</v>
      </c>
      <c r="L1773">
        <v>14.7</v>
      </c>
      <c r="M1773">
        <v>14.7</v>
      </c>
      <c r="N1773">
        <v>14.7</v>
      </c>
      <c r="O1773">
        <v>14.7</v>
      </c>
      <c r="Q1773">
        <f>Q1739+2</f>
        <v>105</v>
      </c>
      <c r="R1773">
        <v>1</v>
      </c>
      <c r="S1773">
        <v>3</v>
      </c>
      <c r="T1773">
        <v>1</v>
      </c>
      <c r="U1773">
        <v>19</v>
      </c>
      <c r="V1773">
        <v>20</v>
      </c>
      <c r="W1773">
        <v>25</v>
      </c>
      <c r="X1773">
        <v>1</v>
      </c>
      <c r="Y1773">
        <v>2</v>
      </c>
      <c r="Z1773">
        <f>(W1773-V1773)/(Y1773-X1773)</f>
        <v>5</v>
      </c>
      <c r="AA1773">
        <f>V1773-Z1773*X1773</f>
        <v>15</v>
      </c>
      <c r="AD1773">
        <f>AD1739+14</f>
        <v>729</v>
      </c>
      <c r="AF1773">
        <f>AF1739+14</f>
        <v>729</v>
      </c>
    </row>
    <row r="1774" spans="1:32" ht="17.149999999999999" x14ac:dyDescent="0.55000000000000004">
      <c r="B1774" t="str">
        <f t="shared" ref="B1774" si="6545">B1773</f>
        <v>Portland</v>
      </c>
      <c r="C1774" t="s">
        <v>564</v>
      </c>
      <c r="D1774" cm="1">
        <f t="array" ref="D1774">IF(ISBLANK(INDEX(FX_Input,$Q1773,$AB1774)),0.03,INDEX(FX_Input,Q1773,AB1774))</f>
        <v>0.03</v>
      </c>
      <c r="E1774" cm="1">
        <f t="array" ref="E1774">IF(ISBLANK(INDEX(FX_Input,$Q1773,$AB1774)),0.03,INDEX(FX_Input,R1773,#REF!))</f>
        <v>0.03</v>
      </c>
      <c r="F1774" cm="1">
        <f t="array" ref="F1774">IF(ISBLANK(INDEX(FX_Input,$Q1773,$AB1774)),0.03,INDEX(FX_Input,S1773,#REF!))</f>
        <v>0.03</v>
      </c>
      <c r="G1774" cm="1">
        <f t="array" ref="G1774">IF(ISBLANK(INDEX(FX_Input,$Q1773,$AB1774)),0.03,INDEX(FX_Input,AB1773,#REF!))</f>
        <v>0.03</v>
      </c>
      <c r="H1774" cm="1">
        <f t="array" ref="H1774">IF(ISBLANK(INDEX(FX_Input,$Q1773,$AB1774)),0.03,INDEX(FX_Input,#REF!,#REF!))</f>
        <v>0.03</v>
      </c>
      <c r="I1774" cm="1">
        <f t="array" ref="I1774">IF(ISBLANK(INDEX(FX_Input,$Q1773,$AB1774)),0.03,INDEX(FX_Input,#REF!,#REF!))</f>
        <v>0.03</v>
      </c>
      <c r="J1774" cm="1">
        <f t="array" ref="J1774">IF(ISBLANK(INDEX(FX_Input,$Q1773,$AB1774)),0.03,INDEX(FX_Input,#REF!,#REF!))</f>
        <v>0.03</v>
      </c>
      <c r="K1774" cm="1">
        <f t="array" ref="K1774">IF(ISBLANK(INDEX(FX_Input,$Q1773,$AB1774)),0.03,INDEX(FX_Input,#REF!,AC1774))</f>
        <v>0.03</v>
      </c>
      <c r="L1774" cm="1">
        <f t="array" ref="L1774">IF(ISBLANK(INDEX(FX_Input,$Q1773,$AB1774)),0.03,INDEX(FX_Input,#REF!,AD1774))</f>
        <v>0.03</v>
      </c>
      <c r="M1774" cm="1">
        <f t="array" ref="M1774">IF(ISBLANK(INDEX(FX_Input,$Q1773,$AB1774)),0.03,INDEX(FX_Input,#REF!,#REF!))</f>
        <v>0.03</v>
      </c>
      <c r="N1774" cm="1">
        <f t="array" ref="N1774">IF(ISBLANK(INDEX(FX_Input,$Q1773,$AB1774)),0.03,INDEX(FX_Input,AC1773,#REF!))</f>
        <v>0.03</v>
      </c>
      <c r="O1774" cm="1">
        <f t="array" ref="O1774">IF(ISBLANK(INDEX(FX_Input,$Q1773,$AB1774)),0.03,INDEX(FX_Input,AD1773,#REF!))</f>
        <v>0.03</v>
      </c>
      <c r="AB1774">
        <v>15</v>
      </c>
    </row>
    <row r="1775" spans="1:32" ht="17.149999999999999" x14ac:dyDescent="0.55000000000000004">
      <c r="B1775" t="str">
        <f>B1774</f>
        <v>Portland</v>
      </c>
      <c r="C1775" t="s">
        <v>565</v>
      </c>
      <c r="D1775" cm="1">
        <f t="array" ref="D1775">IF(ISBLANK(INDEX(FX_Input,$Q1773,$AB1775)),-0.03,INDEX(FX_Input,$Q1773,$AB1775))</f>
        <v>-0.03</v>
      </c>
      <c r="E1775" cm="1">
        <f t="array" ref="E1775">IF(ISBLANK(INDEX(FX_Input,$Q1773,$AB1775)),-0.03,INDEX(FX_Input,R1773,#REF!))</f>
        <v>-0.03</v>
      </c>
      <c r="F1775" cm="1">
        <f t="array" ref="F1775">IF(ISBLANK(INDEX(FX_Input,$Q1773,$AB1775)),-0.03,INDEX(FX_Input,S1773,#REF!))</f>
        <v>-0.03</v>
      </c>
      <c r="G1775" cm="1">
        <f t="array" ref="G1775">IF(ISBLANK(INDEX(FX_Input,$Q1773,$AB1775)),-0.03,INDEX(FX_Input,AB1773,#REF!))</f>
        <v>-0.03</v>
      </c>
      <c r="H1775" cm="1">
        <f t="array" ref="H1775">IF(ISBLANK(INDEX(FX_Input,$Q1773,$AB1775)),-0.03,INDEX(FX_Input,#REF!,#REF!))</f>
        <v>-0.03</v>
      </c>
      <c r="I1775" cm="1">
        <f t="array" ref="I1775">IF(ISBLANK(INDEX(FX_Input,$Q1773,$AB1775)),-0.03,INDEX(FX_Input,#REF!,#REF!))</f>
        <v>-0.03</v>
      </c>
      <c r="J1775" cm="1">
        <f t="array" ref="J1775">IF(ISBLANK(INDEX(FX_Input,$Q1773,$AB1775)),-0.03,INDEX(FX_Input,#REF!,#REF!))</f>
        <v>-0.03</v>
      </c>
      <c r="K1775" cm="1">
        <f t="array" ref="K1775">IF(ISBLANK(INDEX(FX_Input,$Q1773,$AB1775)),-0.03,INDEX(FX_Input,#REF!,AC1775))</f>
        <v>-0.03</v>
      </c>
      <c r="L1775" cm="1">
        <f t="array" ref="L1775">IF(ISBLANK(INDEX(FX_Input,$Q1773,$AB1775)),-0.03,INDEX(FX_Input,#REF!,AD1775))</f>
        <v>-0.03</v>
      </c>
      <c r="M1775" cm="1">
        <f t="array" ref="M1775">IF(ISBLANK(INDEX(FX_Input,$Q1773,$AB1775)),-0.03,INDEX(FX_Input,#REF!,#REF!))</f>
        <v>-0.03</v>
      </c>
      <c r="N1775" cm="1">
        <f t="array" ref="N1775">IF(ISBLANK(INDEX(FX_Input,$Q1773,$AB1775)),-0.03,INDEX(FX_Input,AC1773,#REF!))</f>
        <v>-0.03</v>
      </c>
      <c r="O1775" cm="1">
        <f t="array" ref="O1775">IF(ISBLANK(INDEX(FX_Input,$Q1773,$AB1775)),-0.03,INDEX(FX_Input,AD1773,#REF!))</f>
        <v>-0.03</v>
      </c>
      <c r="AB1775">
        <v>16</v>
      </c>
    </row>
    <row r="1776" spans="1:32" x14ac:dyDescent="0.4">
      <c r="B1776" t="str">
        <f t="shared" ref="B1776:B1777" si="6546">B1775</f>
        <v>Portland</v>
      </c>
      <c r="C1776" s="66" t="s">
        <v>567</v>
      </c>
      <c r="D1776" t="str" cm="1">
        <f t="array" ref="D1776">INDEX(FX_Multi,$AD1776,D$3)</f>
        <v>Jet kerosene</v>
      </c>
      <c r="E1776" t="str" cm="1">
        <f t="array" ref="E1776">INDEX(FX_Multi,$AD1776,E$3)</f>
        <v>Jet kerosene</v>
      </c>
      <c r="F1776" t="str" cm="1">
        <f t="array" ref="F1776">INDEX(FX_Multi,$AD1776,F$3)</f>
        <v>Jet kerosene</v>
      </c>
      <c r="G1776" t="str" cm="1">
        <f t="array" ref="G1776">INDEX(FX_Multi,$AD1776,G$3)</f>
        <v>Jet kerosene</v>
      </c>
      <c r="H1776" t="str" cm="1">
        <f t="array" ref="H1776">INDEX(FX_Multi,$AD1776,H$3)</f>
        <v>Jet kerosene</v>
      </c>
      <c r="I1776" t="str" cm="1">
        <f t="array" ref="I1776">INDEX(FX_Multi,$AD1776,I$3)</f>
        <v>Jet kerosene</v>
      </c>
      <c r="J1776" t="str" cm="1">
        <f t="array" ref="J1776">INDEX(FX_Multi,$AD1776,J$3)</f>
        <v>Jet kerosene</v>
      </c>
      <c r="K1776" t="str" cm="1">
        <f t="array" ref="K1776">INDEX(FX_Multi,$AD1776,K$3)</f>
        <v>Jet kerosene</v>
      </c>
      <c r="L1776" t="str" cm="1">
        <f t="array" ref="L1776">INDEX(FX_Multi,$AD1776,L$3)</f>
        <v>Jet kerosene</v>
      </c>
      <c r="M1776" t="str" cm="1">
        <f t="array" ref="M1776">INDEX(FX_Multi,$AD1776,M$3)</f>
        <v>Jet kerosene</v>
      </c>
      <c r="N1776" t="str" cm="1">
        <f t="array" ref="N1776">INDEX(FX_Multi,$AD1776,N$3)</f>
        <v>Jet kerosene</v>
      </c>
      <c r="O1776" t="str" cm="1">
        <f t="array" ref="O1776">INDEX(FX_Multi,$AD1776,O$3)</f>
        <v>Jet kerosene</v>
      </c>
      <c r="AC1776">
        <v>1</v>
      </c>
      <c r="AD1776">
        <f>AD1773</f>
        <v>729</v>
      </c>
      <c r="AE1776">
        <v>1</v>
      </c>
      <c r="AF1776">
        <f>AF1773</f>
        <v>729</v>
      </c>
    </row>
    <row r="1777" spans="2:32" x14ac:dyDescent="0.4">
      <c r="B1777" t="str">
        <f t="shared" si="6546"/>
        <v>Portland</v>
      </c>
      <c r="C1777" s="66" t="s">
        <v>566</v>
      </c>
      <c r="D1777" t="str" cm="1">
        <f t="array" ref="D1777">INDEX(FX_Multi,$AD1777,D$3)</f>
        <v>Select Pet Stock</v>
      </c>
      <c r="E1777" t="str" cm="1">
        <f t="array" ref="E1777">INDEX(FX_Multi,$AD1777,E$3)</f>
        <v>Select Pet Stock</v>
      </c>
      <c r="F1777" t="str" cm="1">
        <f t="array" ref="F1777">INDEX(FX_Multi,$AD1777,F$3)</f>
        <v>Select Pet Stock</v>
      </c>
      <c r="G1777" t="str" cm="1">
        <f t="array" ref="G1777">INDEX(FX_Multi,$AD1777,G$3)</f>
        <v>Select Pet Stock</v>
      </c>
      <c r="H1777" t="str" cm="1">
        <f t="array" ref="H1777">INDEX(FX_Multi,$AD1777,H$3)</f>
        <v>Select Pet Stock</v>
      </c>
      <c r="I1777" t="str" cm="1">
        <f t="array" ref="I1777">INDEX(FX_Multi,$AD1777,I$3)</f>
        <v>Select Pet Stock</v>
      </c>
      <c r="J1777" t="str" cm="1">
        <f t="array" ref="J1777">INDEX(FX_Multi,$AD1777,J$3)</f>
        <v>Select Pet Stock</v>
      </c>
      <c r="K1777" t="str" cm="1">
        <f t="array" ref="K1777">INDEX(FX_Multi,$AD1777,K$3)</f>
        <v>Select Pet Stock</v>
      </c>
      <c r="L1777" t="str" cm="1">
        <f t="array" ref="L1777">INDEX(FX_Multi,$AD1777,L$3)</f>
        <v>Select Pet Stock</v>
      </c>
      <c r="M1777" t="str" cm="1">
        <f t="array" ref="M1777">INDEX(FX_Multi,$AD1777,M$3)</f>
        <v>Select Pet Stock</v>
      </c>
      <c r="N1777" t="str" cm="1">
        <f t="array" ref="N1777">INDEX(FX_Multi,$AD1777,N$3)</f>
        <v>Select Pet Stock</v>
      </c>
      <c r="O1777" t="str" cm="1">
        <f t="array" ref="O1777">INDEX(FX_Multi,$AD1777,O$3)</f>
        <v>Select Pet Stock</v>
      </c>
      <c r="AC1777">
        <v>1</v>
      </c>
      <c r="AD1777">
        <f>AD1776+2</f>
        <v>731</v>
      </c>
      <c r="AE1777">
        <v>1</v>
      </c>
      <c r="AF1777">
        <f>AF1776+3</f>
        <v>732</v>
      </c>
    </row>
    <row r="1778" spans="2:32" x14ac:dyDescent="0.4">
      <c r="B1778" t="str">
        <f>B1774</f>
        <v>Portland</v>
      </c>
      <c r="C1778" s="66" t="s">
        <v>568</v>
      </c>
      <c r="D1778" cm="1">
        <f t="array" ref="D1778">INDEX(FX_Multi,$AD1778,D$3)</f>
        <v>0</v>
      </c>
      <c r="E1778" cm="1">
        <f t="array" ref="E1778">INDEX(FX_Multi,$AD1778,E$3)</f>
        <v>0</v>
      </c>
      <c r="F1778" cm="1">
        <f t="array" ref="F1778">INDEX(FX_Multi,$AD1778,F$3)</f>
        <v>0</v>
      </c>
      <c r="G1778" cm="1">
        <f t="array" ref="G1778">INDEX(FX_Multi,$AD1778,G$3)</f>
        <v>0</v>
      </c>
      <c r="H1778" cm="1">
        <f t="array" ref="H1778">INDEX(FX_Multi,$AD1778,H$3)</f>
        <v>0</v>
      </c>
      <c r="I1778" cm="1">
        <f t="array" ref="I1778">INDEX(FX_Multi,$AD1778,I$3)</f>
        <v>0</v>
      </c>
      <c r="J1778" cm="1">
        <f t="array" ref="J1778">INDEX(FX_Multi,$AD1778,J$3)</f>
        <v>0</v>
      </c>
      <c r="K1778" cm="1">
        <f t="array" ref="K1778">INDEX(FX_Multi,$AD1778,K$3)</f>
        <v>0</v>
      </c>
      <c r="L1778" cm="1">
        <f t="array" ref="L1778">INDEX(FX_Multi,$AD1778,L$3)</f>
        <v>0</v>
      </c>
      <c r="M1778" cm="1">
        <f t="array" ref="M1778">INDEX(FX_Multi,$AD1778,M$3)</f>
        <v>0</v>
      </c>
      <c r="N1778" cm="1">
        <f t="array" ref="N1778">INDEX(FX_Multi,$AD1778,N$3)</f>
        <v>0</v>
      </c>
      <c r="O1778" cm="1">
        <f t="array" ref="O1778">INDEX(FX_Multi,$AD1778,O$3)</f>
        <v>0</v>
      </c>
      <c r="AC1778">
        <v>1</v>
      </c>
      <c r="AD1778">
        <f>AD1777-1</f>
        <v>730</v>
      </c>
      <c r="AE1778">
        <v>1</v>
      </c>
      <c r="AF1778">
        <f>AF1776+1</f>
        <v>730</v>
      </c>
    </row>
    <row r="1779" spans="2:32" x14ac:dyDescent="0.4">
      <c r="B1779" t="str">
        <f t="shared" ref="B1779:B1783" si="6547">B1778</f>
        <v>Portland</v>
      </c>
      <c r="C1779" s="66" t="s">
        <v>569</v>
      </c>
      <c r="D1779" cm="1">
        <f t="array" ref="D1779">INDEX(FX_Multi,$AD1779,D$3)</f>
        <v>0</v>
      </c>
      <c r="E1779" cm="1">
        <f t="array" ref="E1779">INDEX(FX_Multi,$AD1779,E$3)</f>
        <v>0</v>
      </c>
      <c r="F1779" cm="1">
        <f t="array" ref="F1779">INDEX(FX_Multi,$AD1779,F$3)</f>
        <v>0</v>
      </c>
      <c r="G1779" cm="1">
        <f t="array" ref="G1779">INDEX(FX_Multi,$AD1779,G$3)</f>
        <v>0</v>
      </c>
      <c r="H1779" cm="1">
        <f t="array" ref="H1779">INDEX(FX_Multi,$AD1779,H$3)</f>
        <v>0</v>
      </c>
      <c r="I1779" cm="1">
        <f t="array" ref="I1779">INDEX(FX_Multi,$AD1779,I$3)</f>
        <v>0</v>
      </c>
      <c r="J1779" cm="1">
        <f t="array" ref="J1779">INDEX(FX_Multi,$AD1779,J$3)</f>
        <v>0</v>
      </c>
      <c r="K1779" cm="1">
        <f t="array" ref="K1779">INDEX(FX_Multi,$AD1779,K$3)</f>
        <v>0</v>
      </c>
      <c r="L1779" cm="1">
        <f t="array" ref="L1779">INDEX(FX_Multi,$AD1779,L$3)</f>
        <v>0</v>
      </c>
      <c r="M1779" cm="1">
        <f t="array" ref="M1779">INDEX(FX_Multi,$AD1779,M$3)</f>
        <v>0</v>
      </c>
      <c r="N1779" cm="1">
        <f t="array" ref="N1779">INDEX(FX_Multi,$AD1779,N$3)</f>
        <v>0</v>
      </c>
      <c r="O1779" cm="1">
        <f t="array" ref="O1779">INDEX(FX_Multi,$AD1779,O$3)</f>
        <v>0</v>
      </c>
      <c r="AC1779">
        <v>1</v>
      </c>
      <c r="AD1779">
        <f>AD1778+2</f>
        <v>732</v>
      </c>
      <c r="AE1779">
        <v>1</v>
      </c>
      <c r="AF1779">
        <f>AF1777</f>
        <v>732</v>
      </c>
    </row>
    <row r="1780" spans="2:32" ht="17.149999999999999" x14ac:dyDescent="0.55000000000000004">
      <c r="B1780" t="str">
        <f t="shared" si="6547"/>
        <v>Portland</v>
      </c>
      <c r="C1780" t="s">
        <v>570</v>
      </c>
      <c r="D1780" cm="1">
        <f t="array" ref="D1780">INDEX(FX_Multi,$AD1780,D$3)</f>
        <v>1</v>
      </c>
      <c r="E1780" cm="1">
        <f t="array" ref="E1780">INDEX(FX_Multi,$AD1780,E$3)</f>
        <v>1</v>
      </c>
      <c r="F1780" cm="1">
        <f t="array" ref="F1780">INDEX(FX_Multi,$AD1780,F$3)</f>
        <v>1</v>
      </c>
      <c r="G1780" cm="1">
        <f t="array" ref="G1780">INDEX(FX_Multi,$AD1780,G$3)</f>
        <v>1</v>
      </c>
      <c r="H1780" cm="1">
        <f t="array" ref="H1780">INDEX(FX_Multi,$AD1780,H$3)</f>
        <v>1</v>
      </c>
      <c r="I1780" cm="1">
        <f t="array" ref="I1780">INDEX(FX_Multi,$AD1780,I$3)</f>
        <v>1</v>
      </c>
      <c r="J1780" cm="1">
        <f t="array" ref="J1780">INDEX(FX_Multi,$AD1780,J$3)</f>
        <v>1</v>
      </c>
      <c r="K1780" cm="1">
        <f t="array" ref="K1780">INDEX(FX_Multi,$AD1780,K$3)</f>
        <v>1</v>
      </c>
      <c r="L1780" cm="1">
        <f t="array" ref="L1780">INDEX(FX_Multi,$AD1780,L$3)</f>
        <v>1</v>
      </c>
      <c r="M1780" cm="1">
        <f t="array" ref="M1780">INDEX(FX_Multi,$AD1780,M$3)</f>
        <v>1</v>
      </c>
      <c r="N1780" cm="1">
        <f t="array" ref="N1780">INDEX(FX_Multi,$AD1780,N$3)</f>
        <v>1</v>
      </c>
      <c r="O1780" cm="1">
        <f t="array" ref="O1780">INDEX(FX_Multi,$AD1780,O$3)</f>
        <v>1</v>
      </c>
      <c r="AC1780">
        <v>1</v>
      </c>
      <c r="AD1780">
        <f>AD1779+6</f>
        <v>738</v>
      </c>
      <c r="AE1780">
        <v>1</v>
      </c>
      <c r="AF1780">
        <f>AF1776+9</f>
        <v>738</v>
      </c>
    </row>
    <row r="1781" spans="2:32" ht="17.149999999999999" x14ac:dyDescent="0.55000000000000004">
      <c r="B1781" t="str">
        <f t="shared" si="6547"/>
        <v>Portland</v>
      </c>
      <c r="C1781" t="s">
        <v>571</v>
      </c>
      <c r="D1781" cm="1">
        <f t="array" ref="D1781">INDEX(FX_Multi,$AD1781,D$3)</f>
        <v>162</v>
      </c>
      <c r="E1781" cm="1">
        <f t="array" ref="E1781">INDEX(FX_Multi,$AD1781,E$3)</f>
        <v>162</v>
      </c>
      <c r="F1781" cm="1">
        <f t="array" ref="F1781">INDEX(FX_Multi,$AD1781,F$3)</f>
        <v>162</v>
      </c>
      <c r="G1781" cm="1">
        <f t="array" ref="G1781">INDEX(FX_Multi,$AD1781,G$3)</f>
        <v>162</v>
      </c>
      <c r="H1781" cm="1">
        <f t="array" ref="H1781">INDEX(FX_Multi,$AD1781,H$3)</f>
        <v>162</v>
      </c>
      <c r="I1781" cm="1">
        <f t="array" ref="I1781">INDEX(FX_Multi,$AD1781,I$3)</f>
        <v>162</v>
      </c>
      <c r="J1781" cm="1">
        <f t="array" ref="J1781">INDEX(FX_Multi,$AD1781,J$3)</f>
        <v>162</v>
      </c>
      <c r="K1781" cm="1">
        <f t="array" ref="K1781">INDEX(FX_Multi,$AD1781,K$3)</f>
        <v>162</v>
      </c>
      <c r="L1781" cm="1">
        <f t="array" ref="L1781">INDEX(FX_Multi,$AD1781,L$3)</f>
        <v>162</v>
      </c>
      <c r="M1781" cm="1">
        <f t="array" ref="M1781">INDEX(FX_Multi,$AD1781,M$3)</f>
        <v>162</v>
      </c>
      <c r="N1781" cm="1">
        <f t="array" ref="N1781">INDEX(FX_Multi,$AD1781,N$3)</f>
        <v>162</v>
      </c>
      <c r="O1781" cm="1">
        <f t="array" ref="O1781">INDEX(FX_Multi,$AD1781,O$3)</f>
        <v>162</v>
      </c>
      <c r="AC1781">
        <v>1</v>
      </c>
      <c r="AD1781">
        <f>AD1780-3</f>
        <v>735</v>
      </c>
      <c r="AE1781">
        <v>1</v>
      </c>
      <c r="AF1781">
        <f>AF1776+6</f>
        <v>735</v>
      </c>
    </row>
    <row r="1782" spans="2:32" ht="17.149999999999999" x14ac:dyDescent="0.55000000000000004">
      <c r="B1782" t="str">
        <f t="shared" si="6547"/>
        <v>Portland</v>
      </c>
      <c r="C1782" t="s">
        <v>572</v>
      </c>
      <c r="D1782" cm="1">
        <f t="array" ref="D1782">INDEX(FX_Multi,$AD1782,D$3)</f>
        <v>0</v>
      </c>
      <c r="E1782" cm="1">
        <f t="array" ref="E1782">INDEX(FX_Multi,$AD1782,E$3)</f>
        <v>0</v>
      </c>
      <c r="F1782" cm="1">
        <f t="array" ref="F1782">INDEX(FX_Multi,$AD1782,F$3)</f>
        <v>0</v>
      </c>
      <c r="G1782" cm="1">
        <f t="array" ref="G1782">INDEX(FX_Multi,$AD1782,G$3)</f>
        <v>0</v>
      </c>
      <c r="H1782" cm="1">
        <f t="array" ref="H1782">INDEX(FX_Multi,$AD1782,H$3)</f>
        <v>0</v>
      </c>
      <c r="I1782" cm="1">
        <f t="array" ref="I1782">INDEX(FX_Multi,$AD1782,I$3)</f>
        <v>0</v>
      </c>
      <c r="J1782" cm="1">
        <f t="array" ref="J1782">INDEX(FX_Multi,$AD1782,J$3)</f>
        <v>0</v>
      </c>
      <c r="K1782" cm="1">
        <f t="array" ref="K1782">INDEX(FX_Multi,$AD1782,K$3)</f>
        <v>0</v>
      </c>
      <c r="L1782" cm="1">
        <f t="array" ref="L1782">INDEX(FX_Multi,$AD1782,L$3)</f>
        <v>0</v>
      </c>
      <c r="M1782" cm="1">
        <f t="array" ref="M1782">INDEX(FX_Multi,$AD1782,M$3)</f>
        <v>0</v>
      </c>
      <c r="N1782" cm="1">
        <f t="array" ref="N1782">INDEX(FX_Multi,$AD1782,N$3)</f>
        <v>0</v>
      </c>
      <c r="O1782" cm="1">
        <f t="array" ref="O1782">INDEX(FX_Multi,$AD1782,O$3)</f>
        <v>0</v>
      </c>
      <c r="AC1782">
        <v>1</v>
      </c>
      <c r="AD1782">
        <f>AD1781+4</f>
        <v>739</v>
      </c>
      <c r="AE1782">
        <v>1</v>
      </c>
      <c r="AF1782">
        <f>AF1776+10</f>
        <v>739</v>
      </c>
    </row>
    <row r="1783" spans="2:32" ht="17.149999999999999" x14ac:dyDescent="0.55000000000000004">
      <c r="B1783" t="str">
        <f t="shared" si="6547"/>
        <v>Portland</v>
      </c>
      <c r="C1783" t="s">
        <v>573</v>
      </c>
      <c r="D1783" cm="1">
        <f t="array" ref="D1783">INDEX(FX_Multi,$AD1783,D$3)</f>
        <v>0</v>
      </c>
      <c r="E1783" cm="1">
        <f t="array" ref="E1783">INDEX(FX_Multi,$AD1783,E$3)</f>
        <v>0</v>
      </c>
      <c r="F1783" cm="1">
        <f t="array" ref="F1783">INDEX(FX_Multi,$AD1783,F$3)</f>
        <v>0</v>
      </c>
      <c r="G1783" cm="1">
        <f t="array" ref="G1783">INDEX(FX_Multi,$AD1783,G$3)</f>
        <v>0</v>
      </c>
      <c r="H1783" cm="1">
        <f t="array" ref="H1783">INDEX(FX_Multi,$AD1783,H$3)</f>
        <v>0</v>
      </c>
      <c r="I1783" cm="1">
        <f t="array" ref="I1783">INDEX(FX_Multi,$AD1783,I$3)</f>
        <v>0</v>
      </c>
      <c r="J1783" cm="1">
        <f t="array" ref="J1783">INDEX(FX_Multi,$AD1783,J$3)</f>
        <v>0</v>
      </c>
      <c r="K1783" cm="1">
        <f t="array" ref="K1783">INDEX(FX_Multi,$AD1783,K$3)</f>
        <v>0</v>
      </c>
      <c r="L1783" cm="1">
        <f t="array" ref="L1783">INDEX(FX_Multi,$AD1783,L$3)</f>
        <v>0</v>
      </c>
      <c r="M1783" cm="1">
        <f t="array" ref="M1783">INDEX(FX_Multi,$AD1783,M$3)</f>
        <v>0</v>
      </c>
      <c r="N1783" cm="1">
        <f t="array" ref="N1783">INDEX(FX_Multi,$AD1783,N$3)</f>
        <v>0</v>
      </c>
      <c r="O1783" cm="1">
        <f t="array" ref="O1783">INDEX(FX_Multi,$AD1783,O$3)</f>
        <v>0</v>
      </c>
      <c r="AC1783">
        <v>1</v>
      </c>
      <c r="AD1783">
        <f>AD1782-3</f>
        <v>736</v>
      </c>
      <c r="AE1783">
        <v>1</v>
      </c>
      <c r="AF1783">
        <f>AF1776+7</f>
        <v>736</v>
      </c>
    </row>
    <row r="1784" spans="2:32" ht="17.149999999999999" x14ac:dyDescent="0.55000000000000004">
      <c r="B1784" t="str">
        <f>B1779</f>
        <v>Portland</v>
      </c>
      <c r="C1784" t="s">
        <v>526</v>
      </c>
      <c r="D1784" cm="1">
        <f t="array" ref="D1784">INDEX(FX_Temps,$AF1784,D$3)</f>
        <v>43.172792000000015</v>
      </c>
      <c r="E1784" cm="1">
        <f t="array" ref="E1784">INDEX(FX_Temps,$AF1784,E$3)</f>
        <v>44.426400000000058</v>
      </c>
      <c r="F1784" cm="1">
        <f t="array" ref="F1784">INDEX(FX_Temps,$AF1784,F$3)</f>
        <v>46.918887999999981</v>
      </c>
      <c r="G1784" cm="1">
        <f t="array" ref="G1784">INDEX(FX_Temps,$AF1784,G$3)</f>
        <v>50.857888000000003</v>
      </c>
      <c r="H1784" cm="1">
        <f t="array" ref="H1784">INDEX(FX_Temps,$AF1784,H$3)</f>
        <v>56.551928000000089</v>
      </c>
      <c r="I1784" cm="1">
        <f t="array" ref="I1784">INDEX(FX_Temps,$AF1784,I$3)</f>
        <v>60.866887999999904</v>
      </c>
      <c r="J1784" cm="1">
        <f t="array" ref="J1784">INDEX(FX_Temps,$AF1784,J$3)</f>
        <v>64.646351999999979</v>
      </c>
      <c r="K1784" cm="1">
        <f t="array" ref="K1784">INDEX(FX_Temps,$AF1784,K$3)</f>
        <v>64.06444799999997</v>
      </c>
      <c r="L1784" cm="1">
        <f t="array" ref="L1784">INDEX(FX_Temps,$AF1784,L$3)</f>
        <v>60.037023999999974</v>
      </c>
      <c r="M1784" cm="1">
        <f t="array" ref="M1784">INDEX(FX_Temps,$AF1784,M$3)</f>
        <v>52.581232</v>
      </c>
      <c r="N1784" cm="1">
        <f t="array" ref="N1784">INDEX(FX_Temps,$AF1784,N$3)</f>
        <v>46.202103999999963</v>
      </c>
      <c r="O1784" cm="1">
        <f t="array" ref="O1784">INDEX(FX_Temps,$AF1784,O$3)</f>
        <v>42.791088000000059</v>
      </c>
      <c r="AE1784">
        <v>1</v>
      </c>
      <c r="AF1784">
        <f>AF1776+10</f>
        <v>739</v>
      </c>
    </row>
    <row r="1785" spans="2:32" ht="17.149999999999999" x14ac:dyDescent="0.55000000000000004">
      <c r="B1785" t="str">
        <f t="shared" ref="B1785:B1806" si="6548">B1784</f>
        <v>Portland</v>
      </c>
      <c r="C1785" t="s">
        <v>527</v>
      </c>
      <c r="D1785" cm="1">
        <f t="array" ref="D1785">INDEX(FX_Temps,$AF1785,D$3)</f>
        <v>47.332791999999984</v>
      </c>
      <c r="E1785" cm="1">
        <f t="array" ref="E1785">INDEX(FX_Temps,$AF1785,E$3)</f>
        <v>49.706400000000031</v>
      </c>
      <c r="F1785" cm="1">
        <f t="array" ref="F1785">INDEX(FX_Temps,$AF1785,F$3)</f>
        <v>52.198888000000068</v>
      </c>
      <c r="G1785" cm="1">
        <f t="array" ref="G1785">INDEX(FX_Temps,$AF1785,G$3)</f>
        <v>56.217888000000016</v>
      </c>
      <c r="H1785" cm="1">
        <f t="array" ref="H1785">INDEX(FX_Temps,$AF1785,H$3)</f>
        <v>61.871928000000025</v>
      </c>
      <c r="I1785" cm="1">
        <f t="array" ref="I1785">INDEX(FX_Temps,$AF1785,I$3)</f>
        <v>65.866888000000017</v>
      </c>
      <c r="J1785" cm="1">
        <f t="array" ref="J1785">INDEX(FX_Temps,$AF1785,J$3)</f>
        <v>69.726351999999906</v>
      </c>
      <c r="K1785" cm="1">
        <f t="array" ref="K1785">INDEX(FX_Temps,$AF1785,K$3)</f>
        <v>69.504448000000025</v>
      </c>
      <c r="L1785" cm="1">
        <f t="array" ref="L1785">INDEX(FX_Temps,$AF1785,L$3)</f>
        <v>66.597024000000033</v>
      </c>
      <c r="M1785" cm="1">
        <f t="array" ref="M1785">INDEX(FX_Temps,$AF1785,M$3)</f>
        <v>58.461231999999995</v>
      </c>
      <c r="N1785" cm="1">
        <f t="array" ref="N1785">INDEX(FX_Temps,$AF1785,N$3)</f>
        <v>51.082104000000015</v>
      </c>
      <c r="O1785" cm="1">
        <f t="array" ref="O1785">INDEX(FX_Temps,$AF1785,O$3)</f>
        <v>46.791088000000059</v>
      </c>
      <c r="AE1785">
        <f>AE1784</f>
        <v>1</v>
      </c>
      <c r="AF1785">
        <f>AF1776+11</f>
        <v>740</v>
      </c>
    </row>
    <row r="1786" spans="2:32" ht="17.149999999999999" x14ac:dyDescent="0.55000000000000004">
      <c r="B1786" t="str">
        <f t="shared" si="6548"/>
        <v>Portland</v>
      </c>
      <c r="C1786" t="s">
        <v>552</v>
      </c>
      <c r="D1786" cm="1">
        <f t="array" ref="D1786">INDEX(FX_Temps,$AF1786,D$3)</f>
        <v>45.869505999999944</v>
      </c>
      <c r="E1786" cm="1">
        <f t="array" ref="E1786">INDEX(FX_Temps,$AF1786,E$3)</f>
        <v>48.145200000000045</v>
      </c>
      <c r="F1786" cm="1">
        <f t="array" ref="F1786">INDEX(FX_Temps,$AF1786,F$3)</f>
        <v>51.135734000000014</v>
      </c>
      <c r="G1786" cm="1">
        <f t="array" ref="G1786">INDEX(FX_Temps,$AF1786,G$3)</f>
        <v>55.788983999999914</v>
      </c>
      <c r="H1786" cm="1">
        <f t="array" ref="H1786">INDEX(FX_Temps,$AF1786,H$3)</f>
        <v>61.975454000000013</v>
      </c>
      <c r="I1786" cm="1">
        <f t="array" ref="I1786">INDEX(FX_Temps,$AF1786,I$3)</f>
        <v>66.292234000000008</v>
      </c>
      <c r="J1786" cm="1">
        <f t="array" ref="J1786">INDEX(FX_Temps,$AF1786,J$3)</f>
        <v>70.257335999999896</v>
      </c>
      <c r="K1786" cm="1">
        <f t="array" ref="K1786">INDEX(FX_Temps,$AF1786,K$3)</f>
        <v>69.467063999999937</v>
      </c>
      <c r="L1786" cm="1">
        <f t="array" ref="L1786">INDEX(FX_Temps,$AF1786,L$3)</f>
        <v>65.467431999999917</v>
      </c>
      <c r="M1786" cm="1">
        <f t="array" ref="M1786">INDEX(FX_Temps,$AF1786,M$3)</f>
        <v>56.830175999999938</v>
      </c>
      <c r="N1786" cm="1">
        <f t="array" ref="N1786">INDEX(FX_Temps,$AF1786,N$3)</f>
        <v>49.345121999999947</v>
      </c>
      <c r="O1786" cm="1">
        <f t="array" ref="O1786">INDEX(FX_Temps,$AF1786,O$3)</f>
        <v>45.334084000000018</v>
      </c>
      <c r="AE1786">
        <f>AE1785</f>
        <v>1</v>
      </c>
      <c r="AF1786">
        <f>AF1776+13</f>
        <v>742</v>
      </c>
    </row>
    <row r="1787" spans="2:32" ht="17.149999999999999" x14ac:dyDescent="0.55000000000000004">
      <c r="B1787" t="str">
        <f t="shared" si="6548"/>
        <v>Portland</v>
      </c>
      <c r="C1787" t="s">
        <v>574</v>
      </c>
      <c r="D1787" s="20" cm="1">
        <f t="array" ref="D1787">IFERROR(IF(D1777="Chemical",(10^(INDEX(Antoines,MATCH(D1776,Antoine_Name,0),2)-INDEX(Antoines,MATCH(D1776,Antoine_Name,0),3)/(INDEX(Antoines,MATCH(D1776,Antoine_Name,0),4)+(D1784-32)*5/9)))*14.7/760,IF(D1777="Crude Oil",EXP((2799/(D1784+459.6)-2.227)*LOG10(INDEX(FX_Input,Q$5,D$3*$Z$5+$AA$5))-(7261/(D1784+459.6))+12.82),IF(D1777="Refined Petroleum Stock",EXP((0.7553-(413/(D1784+459.6)))*(INDEX(FX_Input,Q$5,D$3*$Z$5+$AA$5-1)^0.5)*LOG10(INDEX(FX_Input,Q$5,D$3*$Z$5+$AA$5))-(1.854-(1042/(D1784+459.6)))*(INDEX(FX_Input,Q$5,D$3*$Z$5+$AA$5-1)^0.5)+((2416/(D1784+459.6)-2.013)*LOG10(INDEX(FX_Input,Q$5,D$3*$Z$5+$AA$5)))-(8742/(D1784+459.6))+15.64),EXP(INDEX(Antoines,MATCH(D1776,Antoine_Name,0),2)-INDEX(Antoines,MATCH(D1776,Antoine_Name,0),3)/(D1784+459.6))))),0)</f>
        <v>4.6194990608814232E-3</v>
      </c>
      <c r="E1787" cm="1">
        <f t="array" ref="E1787">IFERROR(IF(E1777="Chemical",(10^(INDEX(Antoines,MATCH(E1776,Antoine_Name,0),2)-INDEX(Antoines,MATCH(E1776,Antoine_Name,0),3)/(INDEX(Antoines,MATCH(E1776,Antoine_Name,0),4)+(E1784-32)*5/9)))*14.7/760,IF(E1777="Crude Oil",EXP((2799/(E1784+459.6)-2.227)*LOG10(INDEX(FX_Input,R$5,E$3*$Z$5+$AA$5))-(7261/(E1784+459.6))+12.82),IF(E1777="Refined Petroleum Stock",EXP((0.7553-(413/(E1784+459.6)))*(INDEX(FX_Input,R$5,E$3*$Z$5+$AA$5-1)^0.5)*LOG10(INDEX(FX_Input,R$5,E$3*$Z$5+$AA$5))-(1.854-(1042/(E1784+459.6)))*(INDEX(FX_Input,R$5,E$3*$Z$5+$AA$5-1)^0.5)+((2416/(E1784+459.6)-2.013)*LOG10(INDEX(FX_Input,R$5,E$3*$Z$5+$AA$5)))-(8742/(E1784+459.6))+15.64),EXP(INDEX(Antoines,MATCH(E1776,Antoine_Name,0),2)-INDEX(Antoines,MATCH(E1776,Antoine_Name,0),3)/(E1784+459.6))))),0)</f>
        <v>4.8282172104298976E-3</v>
      </c>
      <c r="F1787" cm="1">
        <f t="array" ref="F1787">IFERROR(IF(F1777="Chemical",(10^(INDEX(Antoines,MATCH(F1776,Antoine_Name,0),2)-INDEX(Antoines,MATCH(F1776,Antoine_Name,0),3)/(INDEX(Antoines,MATCH(F1776,Antoine_Name,0),4)+(F1784-32)*5/9)))*14.7/760,IF(F1777="Crude Oil",EXP((2799/(F1784+459.6)-2.227)*LOG10(INDEX(FX_Input,S$5,F$3*$Z$5+$AA$5))-(7261/(F1784+459.6))+12.82),IF(F1777="Refined Petroleum Stock",EXP((0.7553-(413/(F1784+459.6)))*(INDEX(FX_Input,S$5,F$3*$Z$5+$AA$5-1)^0.5)*LOG10(INDEX(FX_Input,S$5,F$3*$Z$5+$AA$5))-(1.854-(1042/(F1784+459.6)))*(INDEX(FX_Input,S$5,F$3*$Z$5+$AA$5-1)^0.5)+((2416/(F1784+459.6)-2.013)*LOG10(INDEX(FX_Input,S$5,F$3*$Z$5+$AA$5)))-(8742/(F1784+459.6))+15.64),EXP(INDEX(Antoines,MATCH(F1776,Antoine_Name,0),2)-INDEX(Antoines,MATCH(F1776,Antoine_Name,0),3)/(F1784+459.6))))),0)</f>
        <v>5.2682084022832483E-3</v>
      </c>
      <c r="G1787" cm="1">
        <f t="array" ref="G1787">IFERROR(IF(G1777="Chemical",(10^(INDEX(Antoines,MATCH(G1776,Antoine_Name,0),2)-INDEX(Antoines,MATCH(G1776,Antoine_Name,0),3)/(INDEX(Antoines,MATCH(G1776,Antoine_Name,0),4)+(G1784-32)*5/9)))*14.7/760,IF(G1777="Crude Oil",EXP((2799/(G1784+459.6)-2.227)*LOG10(INDEX(FX_Input,T$5,G$3*$Z$5+$AA$5))-(7261/(G1784+459.6))+12.82),IF(G1777="Refined Petroleum Stock",EXP((0.7553-(413/(G1784+459.6)))*(INDEX(FX_Input,T$5,G$3*$Z$5+$AA$5-1)^0.5)*LOG10(INDEX(FX_Input,T$5,G$3*$Z$5+$AA$5))-(1.854-(1042/(G1784+459.6)))*(INDEX(FX_Input,T$5,G$3*$Z$5+$AA$5-1)^0.5)+((2416/(G1784+459.6)-2.013)*LOG10(INDEX(FX_Input,T$5,G$3*$Z$5+$AA$5)))-(8742/(G1784+459.6))+15.64),EXP(INDEX(Antoines,MATCH(G1776,Antoine_Name,0),2)-INDEX(Antoines,MATCH(G1776,Antoine_Name,0),3)/(G1784+459.6))))),0)</f>
        <v>6.0362371214845376E-3</v>
      </c>
      <c r="H1787" cm="1">
        <f t="array" ref="H1787">IFERROR(IF(H1777="Chemical",(10^(INDEX(Antoines,MATCH(H1776,Antoine_Name,0),2)-INDEX(Antoines,MATCH(H1776,Antoine_Name,0),3)/(INDEX(Antoines,MATCH(H1776,Antoine_Name,0),4)+(H1784-32)*5/9)))*14.7/760,IF(H1777="Crude Oil",EXP((2799/(H1784+459.6)-2.227)*LOG10(INDEX(FX_Input,U$5,H$3*$Z$5+$AA$5))-(7261/(H1784+459.6))+12.82),IF(H1777="Refined Petroleum Stock",EXP((0.7553-(413/(H1784+459.6)))*(INDEX(FX_Input,U$5,H$3*$Z$5+$AA$5-1)^0.5)*LOG10(INDEX(FX_Input,U$5,H$3*$Z$5+$AA$5))-(1.854-(1042/(H1784+459.6)))*(INDEX(FX_Input,U$5,H$3*$Z$5+$AA$5-1)^0.5)+((2416/(H1784+459.6)-2.013)*LOG10(INDEX(FX_Input,U$5,H$3*$Z$5+$AA$5)))-(8742/(H1784+459.6))+15.64),EXP(INDEX(Antoines,MATCH(H1776,Antoine_Name,0),2)-INDEX(Antoines,MATCH(H1776,Antoine_Name,0),3)/(H1784+459.6))))),0)</f>
        <v>7.3216486102608194E-3</v>
      </c>
      <c r="I1787" cm="1">
        <f t="array" ref="I1787">IFERROR(IF(I1777="Chemical",(10^(INDEX(Antoines,MATCH(I1776,Antoine_Name,0),2)-INDEX(Antoines,MATCH(I1776,Antoine_Name,0),3)/(INDEX(Antoines,MATCH(I1776,Antoine_Name,0),4)+(I1784-32)*5/9)))*14.7/760,IF(I1777="Crude Oil",EXP((2799/(I1784+459.6)-2.227)*LOG10(INDEX(FX_Input,V$5,I$3*$Z$5+$AA$5))-(7261/(I1784+459.6))+12.82),IF(I1777="Refined Petroleum Stock",EXP((0.7553-(413/(I1784+459.6)))*(INDEX(FX_Input,V$5,I$3*$Z$5+$AA$5-1)^0.5)*LOG10(INDEX(FX_Input,V$5,I$3*$Z$5+$AA$5))-(1.854-(1042/(I1784+459.6)))*(INDEX(FX_Input,V$5,I$3*$Z$5+$AA$5-1)^0.5)+((2416/(I1784+459.6)-2.013)*LOG10(INDEX(FX_Input,V$5,I$3*$Z$5+$AA$5)))-(8742/(I1784+459.6))+15.64),EXP(INDEX(Antoines,MATCH(I1776,Antoine_Name,0),2)-INDEX(Antoines,MATCH(I1776,Antoine_Name,0),3)/(I1784+459.6))))),0)</f>
        <v>8.4512935625408649E-3</v>
      </c>
      <c r="J1787" cm="1">
        <f t="array" ref="J1787">IFERROR(IF(J1777="Chemical",(10^(INDEX(Antoines,MATCH(J1776,Antoine_Name,0),2)-INDEX(Antoines,MATCH(J1776,Antoine_Name,0),3)/(INDEX(Antoines,MATCH(J1776,Antoine_Name,0),4)+(J1784-32)*5/9)))*14.7/760,IF(J1777="Crude Oil",EXP((2799/(J1784+459.6)-2.227)*LOG10(INDEX(FX_Input,W$5,J$3*$Z$5+$AA$5))-(7261/(J1784+459.6))+12.82),IF(J1777="Refined Petroleum Stock",EXP((0.7553-(413/(J1784+459.6)))*(INDEX(FX_Input,W$5,J$3*$Z$5+$AA$5-1)^0.5)*LOG10(INDEX(FX_Input,W$5,J$3*$Z$5+$AA$5))-(1.854-(1042/(J1784+459.6)))*(INDEX(FX_Input,W$5,J$3*$Z$5+$AA$5-1)^0.5)+((2416/(J1784+459.6)-2.013)*LOG10(INDEX(FX_Input,W$5,J$3*$Z$5+$AA$5)))-(8742/(J1784+459.6))+15.64),EXP(INDEX(Antoines,MATCH(J1776,Antoine_Name,0),2)-INDEX(Antoines,MATCH(J1776,Antoine_Name,0),3)/(J1784+459.6))))),0)</f>
        <v>9.5644811343706445E-3</v>
      </c>
      <c r="K1787" cm="1">
        <f t="array" ref="K1787">IFERROR(IF(K1777="Chemical",(10^(INDEX(Antoines,MATCH(K1776,Antoine_Name,0),2)-INDEX(Antoines,MATCH(K1776,Antoine_Name,0),3)/(INDEX(Antoines,MATCH(K1776,Antoine_Name,0),4)+(K1784-32)*5/9)))*14.7/760,IF(K1777="Crude Oil",EXP((2799/(K1784+459.6)-2.227)*LOG10(INDEX(FX_Input,X$5,K$3*$Z$5+$AA$5))-(7261/(K1784+459.6))+12.82),IF(K1777="Refined Petroleum Stock",EXP((0.7553-(413/(K1784+459.6)))*(INDEX(FX_Input,X$5,K$3*$Z$5+$AA$5-1)^0.5)*LOG10(INDEX(FX_Input,X$5,K$3*$Z$5+$AA$5))-(1.854-(1042/(K1784+459.6)))*(INDEX(FX_Input,X$5,K$3*$Z$5+$AA$5-1)^0.5)+((2416/(K1784+459.6)-2.013)*LOG10(INDEX(FX_Input,X$5,K$3*$Z$5+$AA$5)))-(8742/(K1784+459.6))+15.64),EXP(INDEX(Antoines,MATCH(K1776,Antoine_Name,0),2)-INDEX(Antoines,MATCH(K1776,Antoine_Name,0),3)/(K1784+459.6))))),0)</f>
        <v>9.3850836134020087E-3</v>
      </c>
      <c r="L1787" cm="1">
        <f t="array" ref="L1787">IFERROR(IF(L1777="Chemical",(10^(INDEX(Antoines,MATCH(L1776,Antoine_Name,0),2)-INDEX(Antoines,MATCH(L1776,Antoine_Name,0),3)/(INDEX(Antoines,MATCH(L1776,Antoine_Name,0),4)+(L1784-32)*5/9)))*14.7/760,IF(L1777="Crude Oil",EXP((2799/(L1784+459.6)-2.227)*LOG10(INDEX(FX_Input,Y$5,L$3*$Z$5+$AA$5))-(7261/(L1784+459.6))+12.82),IF(L1777="Refined Petroleum Stock",EXP((0.7553-(413/(L1784+459.6)))*(INDEX(FX_Input,Y$5,L$3*$Z$5+$AA$5-1)^0.5)*LOG10(INDEX(FX_Input,Y$5,L$3*$Z$5+$AA$5))-(1.854-(1042/(L1784+459.6)))*(INDEX(FX_Input,Y$5,L$3*$Z$5+$AA$5-1)^0.5)+((2416/(L1784+459.6)-2.013)*LOG10(INDEX(FX_Input,Y$5,L$3*$Z$5+$AA$5)))-(8742/(L1784+459.6))+15.64),EXP(INDEX(Antoines,MATCH(L1776,Antoine_Name,0),2)-INDEX(Antoines,MATCH(L1776,Antoine_Name,0),3)/(L1784+459.6))))),0)</f>
        <v>8.2227885052245445E-3</v>
      </c>
      <c r="M1787" cm="1">
        <f t="array" ref="M1787">IFERROR(IF(M1777="Chemical",(10^(INDEX(Antoines,MATCH(M1776,Antoine_Name,0),2)-INDEX(Antoines,MATCH(M1776,Antoine_Name,0),3)/(INDEX(Antoines,MATCH(M1776,Antoine_Name,0),4)+(M1784-32)*5/9)))*14.7/760,IF(M1777="Crude Oil",EXP((2799/(M1784+459.6)-2.227)*LOG10(INDEX(FX_Input,Z$5,M$3*$Z$5+$AA$5))-(7261/(M1784+459.6))+12.82),IF(M1777="Refined Petroleum Stock",EXP((0.7553-(413/(M1784+459.6)))*(INDEX(FX_Input,Z$5,M$3*$Z$5+$AA$5-1)^0.5)*LOG10(INDEX(FX_Input,Z$5,M$3*$Z$5+$AA$5))-(1.854-(1042/(M1784+459.6)))*(INDEX(FX_Input,Z$5,M$3*$Z$5+$AA$5-1)^0.5)+((2416/(M1784+459.6)-2.013)*LOG10(INDEX(FX_Input,Z$5,M$3*$Z$5+$AA$5)))-(8742/(M1784+459.6))+15.64),EXP(INDEX(Antoines,MATCH(M1776,Antoine_Name,0),2)-INDEX(Antoines,MATCH(M1776,Antoine_Name,0),3)/(M1784+459.6))))),0)</f>
        <v>6.4023381240072485E-3</v>
      </c>
      <c r="N1787" cm="1">
        <f t="array" ref="N1787">IFERROR(IF(N1777="Chemical",(10^(INDEX(Antoines,MATCH(N1776,Antoine_Name,0),2)-INDEX(Antoines,MATCH(N1776,Antoine_Name,0),3)/(INDEX(Antoines,MATCH(N1776,Antoine_Name,0),4)+(N1784-32)*5/9)))*14.7/760,IF(N1777="Crude Oil",EXP((2799/(N1784+459.6)-2.227)*LOG10(INDEX(FX_Input,AA$5,N$3*$Z$5+$AA$5))-(7261/(N1784+459.6))+12.82),IF(N1777="Refined Petroleum Stock",EXP((0.7553-(413/(N1784+459.6)))*(INDEX(FX_Input,AA$5,N$3*$Z$5+$AA$5-1)^0.5)*LOG10(INDEX(FX_Input,AA$5,N$3*$Z$5+$AA$5))-(1.854-(1042/(N1784+459.6)))*(INDEX(FX_Input,AA$5,N$3*$Z$5+$AA$5-1)^0.5)+((2416/(N1784+459.6)-2.013)*LOG10(INDEX(FX_Input,AA$5,N$3*$Z$5+$AA$5)))-(8742/(N1784+459.6))+15.64),EXP(INDEX(Antoines,MATCH(N1776,Antoine_Name,0),2)-INDEX(Antoines,MATCH(N1776,Antoine_Name,0),3)/(N1784+459.6))))),0)</f>
        <v>5.1381745102650677E-3</v>
      </c>
      <c r="O1787" cm="1">
        <f t="array" ref="O1787">IFERROR(IF(O1777="Chemical",(10^(INDEX(Antoines,MATCH(O1776,Antoine_Name,0),2)-INDEX(Antoines,MATCH(O1776,Antoine_Name,0),3)/(INDEX(Antoines,MATCH(O1776,Antoine_Name,0),4)+(O1784-32)*5/9)))*14.7/760,IF(O1777="Crude Oil",EXP((2799/(O1784+459.6)-2.227)*LOG10(INDEX(FX_Input,AB$5,O$3*$Z$5+$AA$5))-(7261/(O1784+459.6))+12.82),IF(O1777="Refined Petroleum Stock",EXP((0.7553-(413/(O1784+459.6)))*(INDEX(FX_Input,AB$5,O$3*$Z$5+$AA$5-1)^0.5)*LOG10(INDEX(FX_Input,AB$5,O$3*$Z$5+$AA$5))-(1.854-(1042/(O1784+459.6)))*(INDEX(FX_Input,AB$5,O$3*$Z$5+$AA$5-1)^0.5)+((2416/(O1784+459.6)-2.013)*LOG10(INDEX(FX_Input,AB$5,O$3*$Z$5+$AA$5)))-(8742/(O1784+459.6))+15.64),EXP(INDEX(Antoines,MATCH(O1776,Antoine_Name,0),2)-INDEX(Antoines,MATCH(O1776,Antoine_Name,0),3)/(O1784+459.6))))),0)</f>
        <v>4.5575582050152007E-3</v>
      </c>
    </row>
    <row r="1788" spans="2:32" ht="17.149999999999999" x14ac:dyDescent="0.55000000000000004">
      <c r="B1788" t="str">
        <f t="shared" si="6548"/>
        <v>Portland</v>
      </c>
      <c r="C1788" t="s">
        <v>576</v>
      </c>
      <c r="D1788">
        <f>D1780*D1787</f>
        <v>4.6194990608814232E-3</v>
      </c>
      <c r="E1788">
        <f t="shared" ref="E1788" si="6549">E1780*E1787</f>
        <v>4.8282172104298976E-3</v>
      </c>
      <c r="F1788">
        <f t="shared" ref="F1788" si="6550">F1780*F1787</f>
        <v>5.2682084022832483E-3</v>
      </c>
      <c r="G1788">
        <f t="shared" ref="G1788" si="6551">G1780*G1787</f>
        <v>6.0362371214845376E-3</v>
      </c>
      <c r="H1788">
        <f t="shared" ref="H1788" si="6552">H1780*H1787</f>
        <v>7.3216486102608194E-3</v>
      </c>
      <c r="I1788">
        <f t="shared" ref="I1788" si="6553">I1780*I1787</f>
        <v>8.4512935625408649E-3</v>
      </c>
      <c r="J1788">
        <f t="shared" ref="J1788" si="6554">J1780*J1787</f>
        <v>9.5644811343706445E-3</v>
      </c>
      <c r="K1788">
        <f t="shared" ref="K1788" si="6555">K1780*K1787</f>
        <v>9.3850836134020087E-3</v>
      </c>
      <c r="L1788">
        <f t="shared" ref="L1788" si="6556">L1780*L1787</f>
        <v>8.2227885052245445E-3</v>
      </c>
      <c r="M1788">
        <f t="shared" ref="M1788" si="6557">M1780*M1787</f>
        <v>6.4023381240072485E-3</v>
      </c>
      <c r="N1788">
        <f t="shared" ref="N1788" si="6558">N1780*N1787</f>
        <v>5.1381745102650677E-3</v>
      </c>
      <c r="O1788">
        <f t="shared" ref="O1788" si="6559">O1780*O1787</f>
        <v>4.5575582050152007E-3</v>
      </c>
    </row>
    <row r="1789" spans="2:32" ht="17.149999999999999" x14ac:dyDescent="0.55000000000000004">
      <c r="B1789" t="str">
        <f t="shared" si="6548"/>
        <v>Portland</v>
      </c>
      <c r="C1789" t="s">
        <v>575</v>
      </c>
      <c r="D1789" cm="1">
        <f t="array" ref="D1789">IFERROR(IF(D1779="Chemical",(10^(INDEX(Antoines,MATCH(D1778,Antoine_Name,0),2)-INDEX(Antoines,MATCH(D1778,Antoine_Name,0),3)/(INDEX(Antoines,MATCH(D1778,Antoine_Name,0),4)+(D1784-32)*5/9)))*14.7/760,IF(D1779="Crude Oil",EXP((2799/(D1784+459.6)-2.227)*LOG10(INDEX(FX_Input,Q$5,D$3*$Z$5+$AA$5))-(7261/(D1784+459.6))+12.82),IF(D1779="Refined Petroleum Stock",EXP((0.7553-(413/(D1784+459.6)))*(INDEX(FX_Input,Q$5,D$3*$Z$5+$AA$5-1)^0.5)*LOG10(INDEX(FX_Input,Q$5,D$3*$Z$5+$AA$5))-(1.854-(1042/(D1784+459.6)))*(INDEX(FX_Input,Q$5,D$3*$Z$5+$AA$5-1)^0.5)+((2416/(D1784+459.6)-2.013)*LOG10(INDEX(FX_Input,Q$5,D$3*$Z$5+$AA$5)))-(8742/(D1784+459.6))+15.64),EXP(INDEX(Antoines,MATCH(D1778,Antoine_Name,0),2)-INDEX(Antoines,MATCH(D1778,Antoine_Name,0),3)/(D1784+459.6))))),0)</f>
        <v>0</v>
      </c>
      <c r="E1789" cm="1">
        <f t="array" ref="E1789">IFERROR(IF(E1779="Chemical",(10^(INDEX(Antoines,MATCH(E1778,Antoine_Name,0),2)-INDEX(Antoines,MATCH(E1778,Antoine_Name,0),3)/(INDEX(Antoines,MATCH(E1778,Antoine_Name,0),4)+(E1784-32)*5/9)))*14.7/760,IF(E1779="Crude Oil",EXP((2799/(E1784+459.6)-2.227)*LOG10(INDEX(FX_Input,R$5,E$3*$Z$5+$AA$5))-(7261/(E1784+459.6))+12.82),IF(E1779="Refined Petroleum Stock",EXP((0.7553-(413/(E1784+459.6)))*(INDEX(FX_Input,R$5,E$3*$Z$5+$AA$5-1)^0.5)*LOG10(INDEX(FX_Input,R$5,E$3*$Z$5+$AA$5))-(1.854-(1042/(E1784+459.6)))*(INDEX(FX_Input,R$5,E$3*$Z$5+$AA$5-1)^0.5)+((2416/(E1784+459.6)-2.013)*LOG10(INDEX(FX_Input,R$5,E$3*$Z$5+$AA$5)))-(8742/(E1784+459.6))+15.64),EXP(INDEX(Antoines,MATCH(E1778,Antoine_Name,0),2)-INDEX(Antoines,MATCH(E1778,Antoine_Name,0),3)/(E1784+459.6))))),0)</f>
        <v>0</v>
      </c>
      <c r="F1789" cm="1">
        <f t="array" ref="F1789">IFERROR(IF(F1779="Chemical",(10^(INDEX(Antoines,MATCH(F1778,Antoine_Name,0),2)-INDEX(Antoines,MATCH(F1778,Antoine_Name,0),3)/(INDEX(Antoines,MATCH(F1778,Antoine_Name,0),4)+(F1784-32)*5/9)))*14.7/760,IF(F1779="Crude Oil",EXP((2799/(F1784+459.6)-2.227)*LOG10(INDEX(FX_Input,S$5,F$3*$Z$5+$AA$5))-(7261/(F1784+459.6))+12.82),IF(F1779="Refined Petroleum Stock",EXP((0.7553-(413/(F1784+459.6)))*(INDEX(FX_Input,S$5,F$3*$Z$5+$AA$5-1)^0.5)*LOG10(INDEX(FX_Input,S$5,F$3*$Z$5+$AA$5))-(1.854-(1042/(F1784+459.6)))*(INDEX(FX_Input,S$5,F$3*$Z$5+$AA$5-1)^0.5)+((2416/(F1784+459.6)-2.013)*LOG10(INDEX(FX_Input,S$5,F$3*$Z$5+$AA$5)))-(8742/(F1784+459.6))+15.64),EXP(INDEX(Antoines,MATCH(F1778,Antoine_Name,0),2)-INDEX(Antoines,MATCH(F1778,Antoine_Name,0),3)/(F1784+459.6))))),0)</f>
        <v>0</v>
      </c>
      <c r="G1789" cm="1">
        <f t="array" ref="G1789">IFERROR(IF(G1779="Chemical",(10^(INDEX(Antoines,MATCH(G1778,Antoine_Name,0),2)-INDEX(Antoines,MATCH(G1778,Antoine_Name,0),3)/(INDEX(Antoines,MATCH(G1778,Antoine_Name,0),4)+(G1784-32)*5/9)))*14.7/760,IF(G1779="Crude Oil",EXP((2799/(G1784+459.6)-2.227)*LOG10(INDEX(FX_Input,T$5,G$3*$Z$5+$AA$5))-(7261/(G1784+459.6))+12.82),IF(G1779="Refined Petroleum Stock",EXP((0.7553-(413/(G1784+459.6)))*(INDEX(FX_Input,T$5,G$3*$Z$5+$AA$5-1)^0.5)*LOG10(INDEX(FX_Input,T$5,G$3*$Z$5+$AA$5))-(1.854-(1042/(G1784+459.6)))*(INDEX(FX_Input,T$5,G$3*$Z$5+$AA$5-1)^0.5)+((2416/(G1784+459.6)-2.013)*LOG10(INDEX(FX_Input,T$5,G$3*$Z$5+$AA$5)))-(8742/(G1784+459.6))+15.64),EXP(INDEX(Antoines,MATCH(G1778,Antoine_Name,0),2)-INDEX(Antoines,MATCH(G1778,Antoine_Name,0),3)/(G1784+459.6))))),0)</f>
        <v>0</v>
      </c>
      <c r="H1789" cm="1">
        <f t="array" ref="H1789">IFERROR(IF(H1779="Chemical",(10^(INDEX(Antoines,MATCH(H1778,Antoine_Name,0),2)-INDEX(Antoines,MATCH(H1778,Antoine_Name,0),3)/(INDEX(Antoines,MATCH(H1778,Antoine_Name,0),4)+(H1784-32)*5/9)))*14.7/760,IF(H1779="Crude Oil",EXP((2799/(H1784+459.6)-2.227)*LOG10(INDEX(FX_Input,U$5,H$3*$Z$5+$AA$5))-(7261/(H1784+459.6))+12.82),IF(H1779="Refined Petroleum Stock",EXP((0.7553-(413/(H1784+459.6)))*(INDEX(FX_Input,U$5,H$3*$Z$5+$AA$5-1)^0.5)*LOG10(INDEX(FX_Input,U$5,H$3*$Z$5+$AA$5))-(1.854-(1042/(H1784+459.6)))*(INDEX(FX_Input,U$5,H$3*$Z$5+$AA$5-1)^0.5)+((2416/(H1784+459.6)-2.013)*LOG10(INDEX(FX_Input,U$5,H$3*$Z$5+$AA$5)))-(8742/(H1784+459.6))+15.64),EXP(INDEX(Antoines,MATCH(H1778,Antoine_Name,0),2)-INDEX(Antoines,MATCH(H1778,Antoine_Name,0),3)/(H1784+459.6))))),0)</f>
        <v>0</v>
      </c>
      <c r="I1789" cm="1">
        <f t="array" ref="I1789">IFERROR(IF(I1779="Chemical",(10^(INDEX(Antoines,MATCH(I1778,Antoine_Name,0),2)-INDEX(Antoines,MATCH(I1778,Antoine_Name,0),3)/(INDEX(Antoines,MATCH(I1778,Antoine_Name,0),4)+(I1784-32)*5/9)))*14.7/760,IF(I1779="Crude Oil",EXP((2799/(I1784+459.6)-2.227)*LOG10(INDEX(FX_Input,V$5,I$3*$Z$5+$AA$5))-(7261/(I1784+459.6))+12.82),IF(I1779="Refined Petroleum Stock",EXP((0.7553-(413/(I1784+459.6)))*(INDEX(FX_Input,V$5,I$3*$Z$5+$AA$5-1)^0.5)*LOG10(INDEX(FX_Input,V$5,I$3*$Z$5+$AA$5))-(1.854-(1042/(I1784+459.6)))*(INDEX(FX_Input,V$5,I$3*$Z$5+$AA$5-1)^0.5)+((2416/(I1784+459.6)-2.013)*LOG10(INDEX(FX_Input,V$5,I$3*$Z$5+$AA$5)))-(8742/(I1784+459.6))+15.64),EXP(INDEX(Antoines,MATCH(I1778,Antoine_Name,0),2)-INDEX(Antoines,MATCH(I1778,Antoine_Name,0),3)/(I1784+459.6))))),0)</f>
        <v>0</v>
      </c>
      <c r="J1789" cm="1">
        <f t="array" ref="J1789">IFERROR(IF(J1779="Chemical",(10^(INDEX(Antoines,MATCH(J1778,Antoine_Name,0),2)-INDEX(Antoines,MATCH(J1778,Antoine_Name,0),3)/(INDEX(Antoines,MATCH(J1778,Antoine_Name,0),4)+(J1784-32)*5/9)))*14.7/760,IF(J1779="Crude Oil",EXP((2799/(J1784+459.6)-2.227)*LOG10(INDEX(FX_Input,W$5,J$3*$Z$5+$AA$5))-(7261/(J1784+459.6))+12.82),IF(J1779="Refined Petroleum Stock",EXP((0.7553-(413/(J1784+459.6)))*(INDEX(FX_Input,W$5,J$3*$Z$5+$AA$5-1)^0.5)*LOG10(INDEX(FX_Input,W$5,J$3*$Z$5+$AA$5))-(1.854-(1042/(J1784+459.6)))*(INDEX(FX_Input,W$5,J$3*$Z$5+$AA$5-1)^0.5)+((2416/(J1784+459.6)-2.013)*LOG10(INDEX(FX_Input,W$5,J$3*$Z$5+$AA$5)))-(8742/(J1784+459.6))+15.64),EXP(INDEX(Antoines,MATCH(J1778,Antoine_Name,0),2)-INDEX(Antoines,MATCH(J1778,Antoine_Name,0),3)/(J1784+459.6))))),0)</f>
        <v>0</v>
      </c>
      <c r="K1789" cm="1">
        <f t="array" ref="K1789">IFERROR(IF(K1779="Chemical",(10^(INDEX(Antoines,MATCH(K1778,Antoine_Name,0),2)-INDEX(Antoines,MATCH(K1778,Antoine_Name,0),3)/(INDEX(Antoines,MATCH(K1778,Antoine_Name,0),4)+(K1784-32)*5/9)))*14.7/760,IF(K1779="Crude Oil",EXP((2799/(K1784+459.6)-2.227)*LOG10(INDEX(FX_Input,X$5,K$3*$Z$5+$AA$5))-(7261/(K1784+459.6))+12.82),IF(K1779="Refined Petroleum Stock",EXP((0.7553-(413/(K1784+459.6)))*(INDEX(FX_Input,X$5,K$3*$Z$5+$AA$5-1)^0.5)*LOG10(INDEX(FX_Input,X$5,K$3*$Z$5+$AA$5))-(1.854-(1042/(K1784+459.6)))*(INDEX(FX_Input,X$5,K$3*$Z$5+$AA$5-1)^0.5)+((2416/(K1784+459.6)-2.013)*LOG10(INDEX(FX_Input,X$5,K$3*$Z$5+$AA$5)))-(8742/(K1784+459.6))+15.64),EXP(INDEX(Antoines,MATCH(K1778,Antoine_Name,0),2)-INDEX(Antoines,MATCH(K1778,Antoine_Name,0),3)/(K1784+459.6))))),0)</f>
        <v>0</v>
      </c>
      <c r="L1789" cm="1">
        <f t="array" ref="L1789">IFERROR(IF(L1779="Chemical",(10^(INDEX(Antoines,MATCH(L1778,Antoine_Name,0),2)-INDEX(Antoines,MATCH(L1778,Antoine_Name,0),3)/(INDEX(Antoines,MATCH(L1778,Antoine_Name,0),4)+(L1784-32)*5/9)))*14.7/760,IF(L1779="Crude Oil",EXP((2799/(L1784+459.6)-2.227)*LOG10(INDEX(FX_Input,Y$5,L$3*$Z$5+$AA$5))-(7261/(L1784+459.6))+12.82),IF(L1779="Refined Petroleum Stock",EXP((0.7553-(413/(L1784+459.6)))*(INDEX(FX_Input,Y$5,L$3*$Z$5+$AA$5-1)^0.5)*LOG10(INDEX(FX_Input,Y$5,L$3*$Z$5+$AA$5))-(1.854-(1042/(L1784+459.6)))*(INDEX(FX_Input,Y$5,L$3*$Z$5+$AA$5-1)^0.5)+((2416/(L1784+459.6)-2.013)*LOG10(INDEX(FX_Input,Y$5,L$3*$Z$5+$AA$5)))-(8742/(L1784+459.6))+15.64),EXP(INDEX(Antoines,MATCH(L1778,Antoine_Name,0),2)-INDEX(Antoines,MATCH(L1778,Antoine_Name,0),3)/(L1784+459.6))))),0)</f>
        <v>0</v>
      </c>
      <c r="M1789" cm="1">
        <f t="array" ref="M1789">IFERROR(IF(M1779="Chemical",(10^(INDEX(Antoines,MATCH(M1778,Antoine_Name,0),2)-INDEX(Antoines,MATCH(M1778,Antoine_Name,0),3)/(INDEX(Antoines,MATCH(M1778,Antoine_Name,0),4)+(M1784-32)*5/9)))*14.7/760,IF(M1779="Crude Oil",EXP((2799/(M1784+459.6)-2.227)*LOG10(INDEX(FX_Input,Z$5,M$3*$Z$5+$AA$5))-(7261/(M1784+459.6))+12.82),IF(M1779="Refined Petroleum Stock",EXP((0.7553-(413/(M1784+459.6)))*(INDEX(FX_Input,Z$5,M$3*$Z$5+$AA$5-1)^0.5)*LOG10(INDEX(FX_Input,Z$5,M$3*$Z$5+$AA$5))-(1.854-(1042/(M1784+459.6)))*(INDEX(FX_Input,Z$5,M$3*$Z$5+$AA$5-1)^0.5)+((2416/(M1784+459.6)-2.013)*LOG10(INDEX(FX_Input,Z$5,M$3*$Z$5+$AA$5)))-(8742/(M1784+459.6))+15.64),EXP(INDEX(Antoines,MATCH(M1778,Antoine_Name,0),2)-INDEX(Antoines,MATCH(M1778,Antoine_Name,0),3)/(M1784+459.6))))),0)</f>
        <v>0</v>
      </c>
      <c r="N1789" cm="1">
        <f t="array" ref="N1789">IFERROR(IF(N1779="Chemical",(10^(INDEX(Antoines,MATCH(N1778,Antoine_Name,0),2)-INDEX(Antoines,MATCH(N1778,Antoine_Name,0),3)/(INDEX(Antoines,MATCH(N1778,Antoine_Name,0),4)+(N1784-32)*5/9)))*14.7/760,IF(N1779="Crude Oil",EXP((2799/(N1784+459.6)-2.227)*LOG10(INDEX(FX_Input,AA$5,N$3*$Z$5+$AA$5))-(7261/(N1784+459.6))+12.82),IF(N1779="Refined Petroleum Stock",EXP((0.7553-(413/(N1784+459.6)))*(INDEX(FX_Input,AA$5,N$3*$Z$5+$AA$5-1)^0.5)*LOG10(INDEX(FX_Input,AA$5,N$3*$Z$5+$AA$5))-(1.854-(1042/(N1784+459.6)))*(INDEX(FX_Input,AA$5,N$3*$Z$5+$AA$5-1)^0.5)+((2416/(N1784+459.6)-2.013)*LOG10(INDEX(FX_Input,AA$5,N$3*$Z$5+$AA$5)))-(8742/(N1784+459.6))+15.64),EXP(INDEX(Antoines,MATCH(N1778,Antoine_Name,0),2)-INDEX(Antoines,MATCH(N1778,Antoine_Name,0),3)/(N1784+459.6))))),0)</f>
        <v>0</v>
      </c>
      <c r="O1789" cm="1">
        <f t="array" ref="O1789">IFERROR(IF(O1779="Chemical",(10^(INDEX(Antoines,MATCH(O1778,Antoine_Name,0),2)-INDEX(Antoines,MATCH(O1778,Antoine_Name,0),3)/(INDEX(Antoines,MATCH(O1778,Antoine_Name,0),4)+(O1784-32)*5/9)))*14.7/760,IF(O1779="Crude Oil",EXP((2799/(O1784+459.6)-2.227)*LOG10(INDEX(FX_Input,AB$5,O$3*$Z$5+$AA$5))-(7261/(O1784+459.6))+12.82),IF(O1779="Refined Petroleum Stock",EXP((0.7553-(413/(O1784+459.6)))*(INDEX(FX_Input,AB$5,O$3*$Z$5+$AA$5-1)^0.5)*LOG10(INDEX(FX_Input,AB$5,O$3*$Z$5+$AA$5))-(1.854-(1042/(O1784+459.6)))*(INDEX(FX_Input,AB$5,O$3*$Z$5+$AA$5-1)^0.5)+((2416/(O1784+459.6)-2.013)*LOG10(INDEX(FX_Input,AB$5,O$3*$Z$5+$AA$5)))-(8742/(O1784+459.6))+15.64),EXP(INDEX(Antoines,MATCH(O1778,Antoine_Name,0),2)-INDEX(Antoines,MATCH(O1778,Antoine_Name,0),3)/(O1784+459.6))))),0)</f>
        <v>0</v>
      </c>
    </row>
    <row r="1790" spans="2:32" ht="17.149999999999999" x14ac:dyDescent="0.55000000000000004">
      <c r="B1790" t="str">
        <f t="shared" si="6548"/>
        <v>Portland</v>
      </c>
      <c r="C1790" t="s">
        <v>577</v>
      </c>
      <c r="D1790">
        <f>D1789*D1782</f>
        <v>0</v>
      </c>
      <c r="E1790">
        <f t="shared" ref="E1790" si="6560">E1789*E1782</f>
        <v>0</v>
      </c>
      <c r="F1790">
        <f t="shared" ref="F1790" si="6561">F1789*F1782</f>
        <v>0</v>
      </c>
      <c r="G1790">
        <f t="shared" ref="G1790" si="6562">G1789*G1782</f>
        <v>0</v>
      </c>
      <c r="H1790">
        <f t="shared" ref="H1790" si="6563">H1789*H1782</f>
        <v>0</v>
      </c>
      <c r="I1790">
        <f t="shared" ref="I1790" si="6564">I1789*I1782</f>
        <v>0</v>
      </c>
      <c r="J1790">
        <f t="shared" ref="J1790" si="6565">J1789*J1782</f>
        <v>0</v>
      </c>
      <c r="K1790">
        <f t="shared" ref="K1790" si="6566">K1789*K1782</f>
        <v>0</v>
      </c>
      <c r="L1790">
        <f t="shared" ref="L1790" si="6567">L1789*L1782</f>
        <v>0</v>
      </c>
      <c r="M1790">
        <f t="shared" ref="M1790" si="6568">M1789*M1782</f>
        <v>0</v>
      </c>
      <c r="N1790">
        <f t="shared" ref="N1790" si="6569">N1789*N1782</f>
        <v>0</v>
      </c>
      <c r="O1790">
        <f t="shared" ref="O1790" si="6570">O1789*O1782</f>
        <v>0</v>
      </c>
    </row>
    <row r="1791" spans="2:32" ht="17.149999999999999" x14ac:dyDescent="0.55000000000000004">
      <c r="B1791" t="str">
        <f t="shared" si="6548"/>
        <v>Portland</v>
      </c>
      <c r="C1791" t="s">
        <v>578</v>
      </c>
      <c r="D1791">
        <f>D1790+D1788</f>
        <v>4.6194990608814232E-3</v>
      </c>
      <c r="E1791">
        <f t="shared" ref="E1791" si="6571">E1790+E1788</f>
        <v>4.8282172104298976E-3</v>
      </c>
      <c r="F1791">
        <f t="shared" ref="F1791" si="6572">F1790+F1788</f>
        <v>5.2682084022832483E-3</v>
      </c>
      <c r="G1791">
        <f t="shared" ref="G1791" si="6573">G1790+G1788</f>
        <v>6.0362371214845376E-3</v>
      </c>
      <c r="H1791">
        <f t="shared" ref="H1791" si="6574">H1790+H1788</f>
        <v>7.3216486102608194E-3</v>
      </c>
      <c r="I1791">
        <f t="shared" ref="I1791" si="6575">I1790+I1788</f>
        <v>8.4512935625408649E-3</v>
      </c>
      <c r="J1791">
        <f t="shared" ref="J1791" si="6576">J1790+J1788</f>
        <v>9.5644811343706445E-3</v>
      </c>
      <c r="K1791">
        <f t="shared" ref="K1791" si="6577">K1790+K1788</f>
        <v>9.3850836134020087E-3</v>
      </c>
      <c r="L1791">
        <f t="shared" ref="L1791" si="6578">L1790+L1788</f>
        <v>8.2227885052245445E-3</v>
      </c>
      <c r="M1791">
        <f t="shared" ref="M1791" si="6579">M1790+M1788</f>
        <v>6.4023381240072485E-3</v>
      </c>
      <c r="N1791">
        <f t="shared" ref="N1791" si="6580">N1790+N1788</f>
        <v>5.1381745102650677E-3</v>
      </c>
      <c r="O1791">
        <f t="shared" ref="O1791" si="6581">O1790+O1788</f>
        <v>4.5575582050152007E-3</v>
      </c>
    </row>
    <row r="1792" spans="2:32" ht="17.149999999999999" x14ac:dyDescent="0.55000000000000004">
      <c r="B1792" t="str">
        <f t="shared" si="6548"/>
        <v>Portland</v>
      </c>
      <c r="C1792" t="s">
        <v>579</v>
      </c>
      <c r="D1792" cm="1">
        <f t="array" ref="D1792">IFERROR(IF(D1777="Chemical",(10^(INDEX(Antoines,MATCH(D1776,Antoine_Name,0),2)-INDEX(Antoines,MATCH(D1776,Antoine_Name,0),3)/(INDEX(Antoines,MATCH(D1776,Antoine_Name,0),4)+(D1785-32)*5/9)))*14.7/760,IF(D1777="Crude Oil",EXP((2799/(D1785+459.6)-2.227)*LOG10(INDEX(FX_Input,Q$5,D$3*$Z$5+$AA$5))-(7261/(D1785+459.6))+12.82),IF(D1777="Refined Petroleum Stock",EXP((0.7553-(413/(D1785+459.6)))*(INDEX(FX_Input,Q$5,D$3*$Z$5+$AA$5-1)^0.5)*LOG10(INDEX(FX_Input,Q$5,D$3*$Z$5+$AA$5))-(1.854-(1042/(D1785+459.6)))*(INDEX(FX_Input,Q$5,D$3*$Z$5+$AA$5-1)^0.5)+((2416/(D1785+459.6)-2.013)*LOG10(INDEX(FX_Input,Q$5,D$3*$Z$5+$AA$5)))-(8742/(D1785+459.6))+15.64),EXP(INDEX(Antoines,MATCH(D1776,Antoine_Name,0),2)-INDEX(Antoines,MATCH(D1776,Antoine_Name,0),3)/(D1785+459.6))))),0)</f>
        <v>5.3446173929904582E-3</v>
      </c>
      <c r="E1792" cm="1">
        <f t="array" ref="E1792">IFERROR(IF(E1777="Chemical",(10^(INDEX(Antoines,MATCH(E1776,Antoine_Name,0),2)-INDEX(Antoines,MATCH(E1776,Antoine_Name,0),3)/(INDEX(Antoines,MATCH(E1776,Antoine_Name,0),4)+(E1785-32)*5/9)))*14.7/760,IF(E1777="Crude Oil",EXP((2799/(E1785+459.6)-2.227)*LOG10(INDEX(FX_Input,R$5,E$3*$Z$5+$AA$5))-(7261/(E1785+459.6))+12.82),IF(E1777="Refined Petroleum Stock",EXP((0.7553-(413/(E1785+459.6)))*(INDEX(FX_Input,R$5,E$3*$Z$5+$AA$5-1)^0.5)*LOG10(INDEX(FX_Input,R$5,E$3*$Z$5+$AA$5))-(1.854-(1042/(E1785+459.6)))*(INDEX(FX_Input,R$5,E$3*$Z$5+$AA$5-1)^0.5)+((2416/(E1785+459.6)-2.013)*LOG10(INDEX(FX_Input,R$5,E$3*$Z$5+$AA$5)))-(8742/(E1785+459.6))+15.64),EXP(INDEX(Antoines,MATCH(E1776,Antoine_Name,0),2)-INDEX(Antoines,MATCH(E1776,Antoine_Name,0),3)/(E1785+459.6))))),0)</f>
        <v>5.8020727825229086E-3</v>
      </c>
      <c r="F1792" cm="1">
        <f t="array" ref="F1792">IFERROR(IF(F1777="Chemical",(10^(INDEX(Antoines,MATCH(F1776,Antoine_Name,0),2)-INDEX(Antoines,MATCH(F1776,Antoine_Name,0),3)/(INDEX(Antoines,MATCH(F1776,Antoine_Name,0),4)+(F1785-32)*5/9)))*14.7/760,IF(F1777="Crude Oil",EXP((2799/(F1785+459.6)-2.227)*LOG10(INDEX(FX_Input,S$5,F$3*$Z$5+$AA$5))-(7261/(F1785+459.6))+12.82),IF(F1777="Refined Petroleum Stock",EXP((0.7553-(413/(F1785+459.6)))*(INDEX(FX_Input,S$5,F$3*$Z$5+$AA$5-1)^0.5)*LOG10(INDEX(FX_Input,S$5,F$3*$Z$5+$AA$5))-(1.854-(1042/(F1785+459.6)))*(INDEX(FX_Input,S$5,F$3*$Z$5+$AA$5-1)^0.5)+((2416/(F1785+459.6)-2.013)*LOG10(INDEX(FX_Input,S$5,F$3*$Z$5+$AA$5)))-(8742/(F1785+459.6))+15.64),EXP(INDEX(Antoines,MATCH(F1776,Antoine_Name,0),2)-INDEX(Antoines,MATCH(F1776,Antoine_Name,0),3)/(F1785+459.6))))),0)</f>
        <v>6.3194597984808799E-3</v>
      </c>
      <c r="G1792" cm="1">
        <f t="array" ref="G1792">IFERROR(IF(G1777="Chemical",(10^(INDEX(Antoines,MATCH(G1776,Antoine_Name,0),2)-INDEX(Antoines,MATCH(G1776,Antoine_Name,0),3)/(INDEX(Antoines,MATCH(G1776,Antoine_Name,0),4)+(G1785-32)*5/9)))*14.7/760,IF(G1777="Crude Oil",EXP((2799/(G1785+459.6)-2.227)*LOG10(INDEX(FX_Input,T$5,G$3*$Z$5+$AA$5))-(7261/(G1785+459.6))+12.82),IF(G1777="Refined Petroleum Stock",EXP((0.7553-(413/(G1785+459.6)))*(INDEX(FX_Input,T$5,G$3*$Z$5+$AA$5-1)^0.5)*LOG10(INDEX(FX_Input,T$5,G$3*$Z$5+$AA$5))-(1.854-(1042/(G1785+459.6)))*(INDEX(FX_Input,T$5,G$3*$Z$5+$AA$5-1)^0.5)+((2416/(G1785+459.6)-2.013)*LOG10(INDEX(FX_Input,T$5,G$3*$Z$5+$AA$5)))-(8742/(G1785+459.6))+15.64),EXP(INDEX(Antoines,MATCH(G1776,Antoine_Name,0),2)-INDEX(Antoines,MATCH(G1776,Antoine_Name,0),3)/(G1785+459.6))))),0)</f>
        <v>7.2400469002136831E-3</v>
      </c>
      <c r="H1792" cm="1">
        <f t="array" ref="H1792">IFERROR(IF(H1777="Chemical",(10^(INDEX(Antoines,MATCH(H1776,Antoine_Name,0),2)-INDEX(Antoines,MATCH(H1776,Antoine_Name,0),3)/(INDEX(Antoines,MATCH(H1776,Antoine_Name,0),4)+(H1785-32)*5/9)))*14.7/760,IF(H1777="Crude Oil",EXP((2799/(H1785+459.6)-2.227)*LOG10(INDEX(FX_Input,U$5,H$3*$Z$5+$AA$5))-(7261/(H1785+459.6))+12.82),IF(H1777="Refined Petroleum Stock",EXP((0.7553-(413/(H1785+459.6)))*(INDEX(FX_Input,U$5,H$3*$Z$5+$AA$5-1)^0.5)*LOG10(INDEX(FX_Input,U$5,H$3*$Z$5+$AA$5))-(1.854-(1042/(H1785+459.6)))*(INDEX(FX_Input,U$5,H$3*$Z$5+$AA$5-1)^0.5)+((2416/(H1785+459.6)-2.013)*LOG10(INDEX(FX_Input,U$5,H$3*$Z$5+$AA$5)))-(8742/(H1785+459.6))+15.64),EXP(INDEX(Antoines,MATCH(H1776,Antoine_Name,0),2)-INDEX(Antoines,MATCH(H1776,Antoine_Name,0),3)/(H1785+459.6))))),0)</f>
        <v>8.7355319390561535E-3</v>
      </c>
      <c r="I1792" cm="1">
        <f t="array" ref="I1792">IFERROR(IF(I1777="Chemical",(10^(INDEX(Antoines,MATCH(I1776,Antoine_Name,0),2)-INDEX(Antoines,MATCH(I1776,Antoine_Name,0),3)/(INDEX(Antoines,MATCH(I1776,Antoine_Name,0),4)+(I1785-32)*5/9)))*14.7/760,IF(I1777="Crude Oil",EXP((2799/(I1785+459.6)-2.227)*LOG10(INDEX(FX_Input,V$5,I$3*$Z$5+$AA$5))-(7261/(I1785+459.6))+12.82),IF(I1777="Refined Petroleum Stock",EXP((0.7553-(413/(I1785+459.6)))*(INDEX(FX_Input,V$5,I$3*$Z$5+$AA$5-1)^0.5)*LOG10(INDEX(FX_Input,V$5,I$3*$Z$5+$AA$5))-(1.854-(1042/(I1785+459.6)))*(INDEX(FX_Input,V$5,I$3*$Z$5+$AA$5-1)^0.5)+((2416/(I1785+459.6)-2.013)*LOG10(INDEX(FX_Input,V$5,I$3*$Z$5+$AA$5)))-(8742/(I1785+459.6))+15.64),EXP(INDEX(Antoines,MATCH(I1776,Antoine_Name,0),2)-INDEX(Antoines,MATCH(I1776,Antoine_Name,0),3)/(I1785+459.6))))),0)</f>
        <v>9.9506270401879347E-3</v>
      </c>
      <c r="J1792" cm="1">
        <f t="array" ref="J1792">IFERROR(IF(J1777="Chemical",(10^(INDEX(Antoines,MATCH(J1776,Antoine_Name,0),2)-INDEX(Antoines,MATCH(J1776,Antoine_Name,0),3)/(INDEX(Antoines,MATCH(J1776,Antoine_Name,0),4)+(J1785-32)*5/9)))*14.7/760,IF(J1777="Crude Oil",EXP((2799/(J1785+459.6)-2.227)*LOG10(INDEX(FX_Input,W$5,J$3*$Z$5+$AA$5))-(7261/(J1785+459.6))+12.82),IF(J1777="Refined Petroleum Stock",EXP((0.7553-(413/(J1785+459.6)))*(INDEX(FX_Input,W$5,J$3*$Z$5+$AA$5-1)^0.5)*LOG10(INDEX(FX_Input,W$5,J$3*$Z$5+$AA$5))-(1.854-(1042/(J1785+459.6)))*(INDEX(FX_Input,W$5,J$3*$Z$5+$AA$5-1)^0.5)+((2416/(J1785+459.6)-2.013)*LOG10(INDEX(FX_Input,W$5,J$3*$Z$5+$AA$5)))-(8742/(J1785+459.6))+15.64),EXP(INDEX(Antoines,MATCH(J1776,Antoine_Name,0),2)-INDEX(Antoines,MATCH(J1776,Antoine_Name,0),3)/(J1785+459.6))))),0)</f>
        <v>1.1263733235793187E-2</v>
      </c>
      <c r="K1792" cm="1">
        <f t="array" ref="K1792">IFERROR(IF(K1777="Chemical",(10^(INDEX(Antoines,MATCH(K1776,Antoine_Name,0),2)-INDEX(Antoines,MATCH(K1776,Antoine_Name,0),3)/(INDEX(Antoines,MATCH(K1776,Antoine_Name,0),4)+(K1785-32)*5/9)))*14.7/760,IF(K1777="Crude Oil",EXP((2799/(K1785+459.6)-2.227)*LOG10(INDEX(FX_Input,X$5,K$3*$Z$5+$AA$5))-(7261/(K1785+459.6))+12.82),IF(K1777="Refined Petroleum Stock",EXP((0.7553-(413/(K1785+459.6)))*(INDEX(FX_Input,X$5,K$3*$Z$5+$AA$5-1)^0.5)*LOG10(INDEX(FX_Input,X$5,K$3*$Z$5+$AA$5))-(1.854-(1042/(K1785+459.6)))*(INDEX(FX_Input,X$5,K$3*$Z$5+$AA$5-1)^0.5)+((2416/(K1785+459.6)-2.013)*LOG10(INDEX(FX_Input,X$5,K$3*$Z$5+$AA$5)))-(8742/(K1785+459.6))+15.64),EXP(INDEX(Antoines,MATCH(K1776,Antoine_Name,0),2)-INDEX(Antoines,MATCH(K1776,Antoine_Name,0),3)/(K1785+459.6))))),0)</f>
        <v>1.1184292386672267E-2</v>
      </c>
      <c r="L1792" cm="1">
        <f t="array" ref="L1792">IFERROR(IF(L1777="Chemical",(10^(INDEX(Antoines,MATCH(L1776,Antoine_Name,0),2)-INDEX(Antoines,MATCH(L1776,Antoine_Name,0),3)/(INDEX(Antoines,MATCH(L1776,Antoine_Name,0),4)+(L1785-32)*5/9)))*14.7/760,IF(L1777="Crude Oil",EXP((2799/(L1785+459.6)-2.227)*LOG10(INDEX(FX_Input,Y$5,L$3*$Z$5+$AA$5))-(7261/(L1785+459.6))+12.82),IF(L1777="Refined Petroleum Stock",EXP((0.7553-(413/(L1785+459.6)))*(INDEX(FX_Input,Y$5,L$3*$Z$5+$AA$5-1)^0.5)*LOG10(INDEX(FX_Input,Y$5,L$3*$Z$5+$AA$5))-(1.854-(1042/(L1785+459.6)))*(INDEX(FX_Input,Y$5,L$3*$Z$5+$AA$5-1)^0.5)+((2416/(L1785+459.6)-2.013)*LOG10(INDEX(FX_Input,Y$5,L$3*$Z$5+$AA$5)))-(8742/(L1785+459.6))+15.64),EXP(INDEX(Antoines,MATCH(L1776,Antoine_Name,0),2)-INDEX(Antoines,MATCH(L1776,Antoine_Name,0),3)/(L1785+459.6))))),0)</f>
        <v>1.0188141542731273E-2</v>
      </c>
      <c r="M1792" cm="1">
        <f t="array" ref="M1792">IFERROR(IF(M1777="Chemical",(10^(INDEX(Antoines,MATCH(M1776,Antoine_Name,0),2)-INDEX(Antoines,MATCH(M1776,Antoine_Name,0),3)/(INDEX(Antoines,MATCH(M1776,Antoine_Name,0),4)+(M1785-32)*5/9)))*14.7/760,IF(M1777="Crude Oil",EXP((2799/(M1785+459.6)-2.227)*LOG10(INDEX(FX_Input,Z$5,M$3*$Z$5+$AA$5))-(7261/(M1785+459.6))+12.82),IF(M1777="Refined Petroleum Stock",EXP((0.7553-(413/(M1785+459.6)))*(INDEX(FX_Input,Z$5,M$3*$Z$5+$AA$5-1)^0.5)*LOG10(INDEX(FX_Input,Z$5,M$3*$Z$5+$AA$5))-(1.854-(1042/(M1785+459.6)))*(INDEX(FX_Input,Z$5,M$3*$Z$5+$AA$5-1)^0.5)+((2416/(M1785+459.6)-2.013)*LOG10(INDEX(FX_Input,Z$5,M$3*$Z$5+$AA$5)))-(8742/(M1785+459.6))+15.64),EXP(INDEX(Antoines,MATCH(M1776,Antoine_Name,0),2)-INDEX(Antoines,MATCH(M1776,Antoine_Name,0),3)/(M1785+459.6))))),0)</f>
        <v>7.8038704244406936E-3</v>
      </c>
      <c r="N1792" cm="1">
        <f t="array" ref="N1792">IFERROR(IF(N1777="Chemical",(10^(INDEX(Antoines,MATCH(N1776,Antoine_Name,0),2)-INDEX(Antoines,MATCH(N1776,Antoine_Name,0),3)/(INDEX(Antoines,MATCH(N1776,Antoine_Name,0),4)+(N1785-32)*5/9)))*14.7/760,IF(N1777="Crude Oil",EXP((2799/(N1785+459.6)-2.227)*LOG10(INDEX(FX_Input,AA$5,N$3*$Z$5+$AA$5))-(7261/(N1785+459.6))+12.82),IF(N1777="Refined Petroleum Stock",EXP((0.7553-(413/(N1785+459.6)))*(INDEX(FX_Input,AA$5,N$3*$Z$5+$AA$5-1)^0.5)*LOG10(INDEX(FX_Input,AA$5,N$3*$Z$5+$AA$5))-(1.854-(1042/(N1785+459.6)))*(INDEX(FX_Input,AA$5,N$3*$Z$5+$AA$5-1)^0.5)+((2416/(N1785+459.6)-2.013)*LOG10(INDEX(FX_Input,AA$5,N$3*$Z$5+$AA$5)))-(8742/(N1785+459.6))+15.64),EXP(INDEX(Antoines,MATCH(N1776,Antoine_Name,0),2)-INDEX(Antoines,MATCH(N1776,Antoine_Name,0),3)/(N1785+459.6))))),0)</f>
        <v>6.0827945693034263E-3</v>
      </c>
      <c r="O1792" cm="1">
        <f t="array" ref="O1792">IFERROR(IF(O1777="Chemical",(10^(INDEX(Antoines,MATCH(O1776,Antoine_Name,0),2)-INDEX(Antoines,MATCH(O1776,Antoine_Name,0),3)/(INDEX(Antoines,MATCH(O1776,Antoine_Name,0),4)+(O1785-32)*5/9)))*14.7/760,IF(O1777="Crude Oil",EXP((2799/(O1785+459.6)-2.227)*LOG10(INDEX(FX_Input,AB$5,O$3*$Z$5+$AA$5))-(7261/(O1785+459.6))+12.82),IF(O1777="Refined Petroleum Stock",EXP((0.7553-(413/(O1785+459.6)))*(INDEX(FX_Input,AB$5,O$3*$Z$5+$AA$5-1)^0.5)*LOG10(INDEX(FX_Input,AB$5,O$3*$Z$5+$AA$5))-(1.854-(1042/(O1785+459.6)))*(INDEX(FX_Input,AB$5,O$3*$Z$5+$AA$5-1)^0.5)+((2416/(O1785+459.6)-2.013)*LOG10(INDEX(FX_Input,AB$5,O$3*$Z$5+$AA$5)))-(8742/(O1785+459.6))+15.64),EXP(INDEX(Antoines,MATCH(O1776,Antoine_Name,0),2)-INDEX(Antoines,MATCH(O1776,Antoine_Name,0),3)/(O1785+459.6))))),0)</f>
        <v>5.2448123115675692E-3</v>
      </c>
    </row>
    <row r="1793" spans="1:32" ht="17.149999999999999" x14ac:dyDescent="0.55000000000000004">
      <c r="B1793" t="str">
        <f t="shared" si="6548"/>
        <v>Portland</v>
      </c>
      <c r="C1793" t="s">
        <v>580</v>
      </c>
      <c r="D1793">
        <f>D1792*D1780</f>
        <v>5.3446173929904582E-3</v>
      </c>
      <c r="E1793">
        <f t="shared" ref="E1793" si="6582">E1792*E1780</f>
        <v>5.8020727825229086E-3</v>
      </c>
      <c r="F1793">
        <f t="shared" ref="F1793" si="6583">F1792*F1780</f>
        <v>6.3194597984808799E-3</v>
      </c>
      <c r="G1793">
        <f t="shared" ref="G1793" si="6584">G1792*G1780</f>
        <v>7.2400469002136831E-3</v>
      </c>
      <c r="H1793">
        <f t="shared" ref="H1793" si="6585">H1792*H1780</f>
        <v>8.7355319390561535E-3</v>
      </c>
      <c r="I1793">
        <f t="shared" ref="I1793" si="6586">I1792*I1780</f>
        <v>9.9506270401879347E-3</v>
      </c>
      <c r="J1793">
        <f t="shared" ref="J1793" si="6587">J1792*J1780</f>
        <v>1.1263733235793187E-2</v>
      </c>
      <c r="K1793">
        <f t="shared" ref="K1793" si="6588">K1792*K1780</f>
        <v>1.1184292386672267E-2</v>
      </c>
      <c r="L1793">
        <f t="shared" ref="L1793" si="6589">L1792*L1780</f>
        <v>1.0188141542731273E-2</v>
      </c>
      <c r="M1793">
        <f t="shared" ref="M1793" si="6590">M1792*M1780</f>
        <v>7.8038704244406936E-3</v>
      </c>
      <c r="N1793">
        <f t="shared" ref="N1793" si="6591">N1792*N1780</f>
        <v>6.0827945693034263E-3</v>
      </c>
      <c r="O1793">
        <f t="shared" ref="O1793" si="6592">O1792*O1780</f>
        <v>5.2448123115675692E-3</v>
      </c>
    </row>
    <row r="1794" spans="1:32" ht="17.149999999999999" x14ac:dyDescent="0.55000000000000004">
      <c r="B1794" t="str">
        <f t="shared" si="6548"/>
        <v>Portland</v>
      </c>
      <c r="C1794" t="s">
        <v>581</v>
      </c>
      <c r="D1794" cm="1">
        <f t="array" ref="D1794">IFERROR(IF(D1779="Chemical",(10^(INDEX(Antoines,MATCH(D1778,Antoine_Name,0),2)-INDEX(Antoines,MATCH(D1778,Antoine_Name,0),3)/(INDEX(Antoines,MATCH(D1778,Antoine_Name,0),4)+(D1785-32)*5/9)))*14.7/760,IF(D1779="Crude Oil",EXP((2799/(D1785+459.6)-2.227)*LOG10(INDEX(FX_Input,Q$5,D$3*$Z$5+$AA$5))-(7261/(D1785+459.6))+12.82),IF(D1779="Refined Petroleum Stock",EXP((0.7553-(413/(D1785+459.6)))*(INDEX(FX_Input,Q$5,D$3*$Z$5+$AA$5-1)^0.5)*LOG10(INDEX(FX_Input,Q$5,D$3*$Z$5+$AA$5))-(1.854-(1042/(D1785+459.6)))*(INDEX(FX_Input,Q$5,D$3*$Z$5+$AA$5-1)^0.5)+((2416/(D1785+459.6)-2.013)*LOG10(INDEX(FX_Input,Q$5,D$3*$Z$5+$AA$5)))-(8742/(D1785+459.6))+15.64),EXP(INDEX(Antoines,MATCH(D1778,Antoine_Name,0),2)-INDEX(Antoines,MATCH(D1778,Antoine_Name,0),3)/(D1785+459.6))))),0)</f>
        <v>0</v>
      </c>
      <c r="E1794" cm="1">
        <f t="array" ref="E1794">IFERROR(IF(E1779="Chemical",(10^(INDEX(Antoines,MATCH(E1778,Antoine_Name,0),2)-INDEX(Antoines,MATCH(E1778,Antoine_Name,0),3)/(INDEX(Antoines,MATCH(E1778,Antoine_Name,0),4)+(E1785-32)*5/9)))*14.7/760,IF(E1779="Crude Oil",EXP((2799/(E1785+459.6)-2.227)*LOG10(INDEX(FX_Input,R$5,E$3*$Z$5+$AA$5))-(7261/(E1785+459.6))+12.82),IF(E1779="Refined Petroleum Stock",EXP((0.7553-(413/(E1785+459.6)))*(INDEX(FX_Input,R$5,E$3*$Z$5+$AA$5-1)^0.5)*LOG10(INDEX(FX_Input,R$5,E$3*$Z$5+$AA$5))-(1.854-(1042/(E1785+459.6)))*(INDEX(FX_Input,R$5,E$3*$Z$5+$AA$5-1)^0.5)+((2416/(E1785+459.6)-2.013)*LOG10(INDEX(FX_Input,R$5,E$3*$Z$5+$AA$5)))-(8742/(E1785+459.6))+15.64),EXP(INDEX(Antoines,MATCH(E1778,Antoine_Name,0),2)-INDEX(Antoines,MATCH(E1778,Antoine_Name,0),3)/(E1785+459.6))))),0)</f>
        <v>0</v>
      </c>
      <c r="F1794" cm="1">
        <f t="array" ref="F1794">IFERROR(IF(F1779="Chemical",(10^(INDEX(Antoines,MATCH(F1778,Antoine_Name,0),2)-INDEX(Antoines,MATCH(F1778,Antoine_Name,0),3)/(INDEX(Antoines,MATCH(F1778,Antoine_Name,0),4)+(F1785-32)*5/9)))*14.7/760,IF(F1779="Crude Oil",EXP((2799/(F1785+459.6)-2.227)*LOG10(INDEX(FX_Input,S$5,F$3*$Z$5+$AA$5))-(7261/(F1785+459.6))+12.82),IF(F1779="Refined Petroleum Stock",EXP((0.7553-(413/(F1785+459.6)))*(INDEX(FX_Input,S$5,F$3*$Z$5+$AA$5-1)^0.5)*LOG10(INDEX(FX_Input,S$5,F$3*$Z$5+$AA$5))-(1.854-(1042/(F1785+459.6)))*(INDEX(FX_Input,S$5,F$3*$Z$5+$AA$5-1)^0.5)+((2416/(F1785+459.6)-2.013)*LOG10(INDEX(FX_Input,S$5,F$3*$Z$5+$AA$5)))-(8742/(F1785+459.6))+15.64),EXP(INDEX(Antoines,MATCH(F1778,Antoine_Name,0),2)-INDEX(Antoines,MATCH(F1778,Antoine_Name,0),3)/(F1785+459.6))))),0)</f>
        <v>0</v>
      </c>
      <c r="G1794" cm="1">
        <f t="array" ref="G1794">IFERROR(IF(G1779="Chemical",(10^(INDEX(Antoines,MATCH(G1778,Antoine_Name,0),2)-INDEX(Antoines,MATCH(G1778,Antoine_Name,0),3)/(INDEX(Antoines,MATCH(G1778,Antoine_Name,0),4)+(G1785-32)*5/9)))*14.7/760,IF(G1779="Crude Oil",EXP((2799/(G1785+459.6)-2.227)*LOG10(INDEX(FX_Input,T$5,G$3*$Z$5+$AA$5))-(7261/(G1785+459.6))+12.82),IF(G1779="Refined Petroleum Stock",EXP((0.7553-(413/(G1785+459.6)))*(INDEX(FX_Input,T$5,G$3*$Z$5+$AA$5-1)^0.5)*LOG10(INDEX(FX_Input,T$5,G$3*$Z$5+$AA$5))-(1.854-(1042/(G1785+459.6)))*(INDEX(FX_Input,T$5,G$3*$Z$5+$AA$5-1)^0.5)+((2416/(G1785+459.6)-2.013)*LOG10(INDEX(FX_Input,T$5,G$3*$Z$5+$AA$5)))-(8742/(G1785+459.6))+15.64),EXP(INDEX(Antoines,MATCH(G1778,Antoine_Name,0),2)-INDEX(Antoines,MATCH(G1778,Antoine_Name,0),3)/(G1785+459.6))))),0)</f>
        <v>0</v>
      </c>
      <c r="H1794" cm="1">
        <f t="array" ref="H1794">IFERROR(IF(H1779="Chemical",(10^(INDEX(Antoines,MATCH(H1778,Antoine_Name,0),2)-INDEX(Antoines,MATCH(H1778,Antoine_Name,0),3)/(INDEX(Antoines,MATCH(H1778,Antoine_Name,0),4)+(H1785-32)*5/9)))*14.7/760,IF(H1779="Crude Oil",EXP((2799/(H1785+459.6)-2.227)*LOG10(INDEX(FX_Input,U$5,H$3*$Z$5+$AA$5))-(7261/(H1785+459.6))+12.82),IF(H1779="Refined Petroleum Stock",EXP((0.7553-(413/(H1785+459.6)))*(INDEX(FX_Input,U$5,H$3*$Z$5+$AA$5-1)^0.5)*LOG10(INDEX(FX_Input,U$5,H$3*$Z$5+$AA$5))-(1.854-(1042/(H1785+459.6)))*(INDEX(FX_Input,U$5,H$3*$Z$5+$AA$5-1)^0.5)+((2416/(H1785+459.6)-2.013)*LOG10(INDEX(FX_Input,U$5,H$3*$Z$5+$AA$5)))-(8742/(H1785+459.6))+15.64),EXP(INDEX(Antoines,MATCH(H1778,Antoine_Name,0),2)-INDEX(Antoines,MATCH(H1778,Antoine_Name,0),3)/(H1785+459.6))))),0)</f>
        <v>0</v>
      </c>
      <c r="I1794" cm="1">
        <f t="array" ref="I1794">IFERROR(IF(I1779="Chemical",(10^(INDEX(Antoines,MATCH(I1778,Antoine_Name,0),2)-INDEX(Antoines,MATCH(I1778,Antoine_Name,0),3)/(INDEX(Antoines,MATCH(I1778,Antoine_Name,0),4)+(I1785-32)*5/9)))*14.7/760,IF(I1779="Crude Oil",EXP((2799/(I1785+459.6)-2.227)*LOG10(INDEX(FX_Input,V$5,I$3*$Z$5+$AA$5))-(7261/(I1785+459.6))+12.82),IF(I1779="Refined Petroleum Stock",EXP((0.7553-(413/(I1785+459.6)))*(INDEX(FX_Input,V$5,I$3*$Z$5+$AA$5-1)^0.5)*LOG10(INDEX(FX_Input,V$5,I$3*$Z$5+$AA$5))-(1.854-(1042/(I1785+459.6)))*(INDEX(FX_Input,V$5,I$3*$Z$5+$AA$5-1)^0.5)+((2416/(I1785+459.6)-2.013)*LOG10(INDEX(FX_Input,V$5,I$3*$Z$5+$AA$5)))-(8742/(I1785+459.6))+15.64),EXP(INDEX(Antoines,MATCH(I1778,Antoine_Name,0),2)-INDEX(Antoines,MATCH(I1778,Antoine_Name,0),3)/(I1785+459.6))))),0)</f>
        <v>0</v>
      </c>
      <c r="J1794" cm="1">
        <f t="array" ref="J1794">IFERROR(IF(J1779="Chemical",(10^(INDEX(Antoines,MATCH(J1778,Antoine_Name,0),2)-INDEX(Antoines,MATCH(J1778,Antoine_Name,0),3)/(INDEX(Antoines,MATCH(J1778,Antoine_Name,0),4)+(J1785-32)*5/9)))*14.7/760,IF(J1779="Crude Oil",EXP((2799/(J1785+459.6)-2.227)*LOG10(INDEX(FX_Input,W$5,J$3*$Z$5+$AA$5))-(7261/(J1785+459.6))+12.82),IF(J1779="Refined Petroleum Stock",EXP((0.7553-(413/(J1785+459.6)))*(INDEX(FX_Input,W$5,J$3*$Z$5+$AA$5-1)^0.5)*LOG10(INDEX(FX_Input,W$5,J$3*$Z$5+$AA$5))-(1.854-(1042/(J1785+459.6)))*(INDEX(FX_Input,W$5,J$3*$Z$5+$AA$5-1)^0.5)+((2416/(J1785+459.6)-2.013)*LOG10(INDEX(FX_Input,W$5,J$3*$Z$5+$AA$5)))-(8742/(J1785+459.6))+15.64),EXP(INDEX(Antoines,MATCH(J1778,Antoine_Name,0),2)-INDEX(Antoines,MATCH(J1778,Antoine_Name,0),3)/(J1785+459.6))))),0)</f>
        <v>0</v>
      </c>
      <c r="K1794" cm="1">
        <f t="array" ref="K1794">IFERROR(IF(K1779="Chemical",(10^(INDEX(Antoines,MATCH(K1778,Antoine_Name,0),2)-INDEX(Antoines,MATCH(K1778,Antoine_Name,0),3)/(INDEX(Antoines,MATCH(K1778,Antoine_Name,0),4)+(K1785-32)*5/9)))*14.7/760,IF(K1779="Crude Oil",EXP((2799/(K1785+459.6)-2.227)*LOG10(INDEX(FX_Input,X$5,K$3*$Z$5+$AA$5))-(7261/(K1785+459.6))+12.82),IF(K1779="Refined Petroleum Stock",EXP((0.7553-(413/(K1785+459.6)))*(INDEX(FX_Input,X$5,K$3*$Z$5+$AA$5-1)^0.5)*LOG10(INDEX(FX_Input,X$5,K$3*$Z$5+$AA$5))-(1.854-(1042/(K1785+459.6)))*(INDEX(FX_Input,X$5,K$3*$Z$5+$AA$5-1)^0.5)+((2416/(K1785+459.6)-2.013)*LOG10(INDEX(FX_Input,X$5,K$3*$Z$5+$AA$5)))-(8742/(K1785+459.6))+15.64),EXP(INDEX(Antoines,MATCH(K1778,Antoine_Name,0),2)-INDEX(Antoines,MATCH(K1778,Antoine_Name,0),3)/(K1785+459.6))))),0)</f>
        <v>0</v>
      </c>
      <c r="L1794" cm="1">
        <f t="array" ref="L1794">IFERROR(IF(L1779="Chemical",(10^(INDEX(Antoines,MATCH(L1778,Antoine_Name,0),2)-INDEX(Antoines,MATCH(L1778,Antoine_Name,0),3)/(INDEX(Antoines,MATCH(L1778,Antoine_Name,0),4)+(L1785-32)*5/9)))*14.7/760,IF(L1779="Crude Oil",EXP((2799/(L1785+459.6)-2.227)*LOG10(INDEX(FX_Input,Y$5,L$3*$Z$5+$AA$5))-(7261/(L1785+459.6))+12.82),IF(L1779="Refined Petroleum Stock",EXP((0.7553-(413/(L1785+459.6)))*(INDEX(FX_Input,Y$5,L$3*$Z$5+$AA$5-1)^0.5)*LOG10(INDEX(FX_Input,Y$5,L$3*$Z$5+$AA$5))-(1.854-(1042/(L1785+459.6)))*(INDEX(FX_Input,Y$5,L$3*$Z$5+$AA$5-1)^0.5)+((2416/(L1785+459.6)-2.013)*LOG10(INDEX(FX_Input,Y$5,L$3*$Z$5+$AA$5)))-(8742/(L1785+459.6))+15.64),EXP(INDEX(Antoines,MATCH(L1778,Antoine_Name,0),2)-INDEX(Antoines,MATCH(L1778,Antoine_Name,0),3)/(L1785+459.6))))),0)</f>
        <v>0</v>
      </c>
      <c r="M1794" cm="1">
        <f t="array" ref="M1794">IFERROR(IF(M1779="Chemical",(10^(INDEX(Antoines,MATCH(M1778,Antoine_Name,0),2)-INDEX(Antoines,MATCH(M1778,Antoine_Name,0),3)/(INDEX(Antoines,MATCH(M1778,Antoine_Name,0),4)+(M1785-32)*5/9)))*14.7/760,IF(M1779="Crude Oil",EXP((2799/(M1785+459.6)-2.227)*LOG10(INDEX(FX_Input,Z$5,M$3*$Z$5+$AA$5))-(7261/(M1785+459.6))+12.82),IF(M1779="Refined Petroleum Stock",EXP((0.7553-(413/(M1785+459.6)))*(INDEX(FX_Input,Z$5,M$3*$Z$5+$AA$5-1)^0.5)*LOG10(INDEX(FX_Input,Z$5,M$3*$Z$5+$AA$5))-(1.854-(1042/(M1785+459.6)))*(INDEX(FX_Input,Z$5,M$3*$Z$5+$AA$5-1)^0.5)+((2416/(M1785+459.6)-2.013)*LOG10(INDEX(FX_Input,Z$5,M$3*$Z$5+$AA$5)))-(8742/(M1785+459.6))+15.64),EXP(INDEX(Antoines,MATCH(M1778,Antoine_Name,0),2)-INDEX(Antoines,MATCH(M1778,Antoine_Name,0),3)/(M1785+459.6))))),0)</f>
        <v>0</v>
      </c>
      <c r="N1794" cm="1">
        <f t="array" ref="N1794">IFERROR(IF(N1779="Chemical",(10^(INDEX(Antoines,MATCH(N1778,Antoine_Name,0),2)-INDEX(Antoines,MATCH(N1778,Antoine_Name,0),3)/(INDEX(Antoines,MATCH(N1778,Antoine_Name,0),4)+(N1785-32)*5/9)))*14.7/760,IF(N1779="Crude Oil",EXP((2799/(N1785+459.6)-2.227)*LOG10(INDEX(FX_Input,AA$5,N$3*$Z$5+$AA$5))-(7261/(N1785+459.6))+12.82),IF(N1779="Refined Petroleum Stock",EXP((0.7553-(413/(N1785+459.6)))*(INDEX(FX_Input,AA$5,N$3*$Z$5+$AA$5-1)^0.5)*LOG10(INDEX(FX_Input,AA$5,N$3*$Z$5+$AA$5))-(1.854-(1042/(N1785+459.6)))*(INDEX(FX_Input,AA$5,N$3*$Z$5+$AA$5-1)^0.5)+((2416/(N1785+459.6)-2.013)*LOG10(INDEX(FX_Input,AA$5,N$3*$Z$5+$AA$5)))-(8742/(N1785+459.6))+15.64),EXP(INDEX(Antoines,MATCH(N1778,Antoine_Name,0),2)-INDEX(Antoines,MATCH(N1778,Antoine_Name,0),3)/(N1785+459.6))))),0)</f>
        <v>0</v>
      </c>
      <c r="O1794" cm="1">
        <f t="array" ref="O1794">IFERROR(IF(O1779="Chemical",(10^(INDEX(Antoines,MATCH(O1778,Antoine_Name,0),2)-INDEX(Antoines,MATCH(O1778,Antoine_Name,0),3)/(INDEX(Antoines,MATCH(O1778,Antoine_Name,0),4)+(O1785-32)*5/9)))*14.7/760,IF(O1779="Crude Oil",EXP((2799/(O1785+459.6)-2.227)*LOG10(INDEX(FX_Input,AB$5,O$3*$Z$5+$AA$5))-(7261/(O1785+459.6))+12.82),IF(O1779="Refined Petroleum Stock",EXP((0.7553-(413/(O1785+459.6)))*(INDEX(FX_Input,AB$5,O$3*$Z$5+$AA$5-1)^0.5)*LOG10(INDEX(FX_Input,AB$5,O$3*$Z$5+$AA$5))-(1.854-(1042/(O1785+459.6)))*(INDEX(FX_Input,AB$5,O$3*$Z$5+$AA$5-1)^0.5)+((2416/(O1785+459.6)-2.013)*LOG10(INDEX(FX_Input,AB$5,O$3*$Z$5+$AA$5)))-(8742/(O1785+459.6))+15.64),EXP(INDEX(Antoines,MATCH(O1778,Antoine_Name,0),2)-INDEX(Antoines,MATCH(O1778,Antoine_Name,0),3)/(O1785+459.6))))),0)</f>
        <v>0</v>
      </c>
    </row>
    <row r="1795" spans="1:32" ht="17.149999999999999" x14ac:dyDescent="0.55000000000000004">
      <c r="B1795" t="str">
        <f t="shared" si="6548"/>
        <v>Portland</v>
      </c>
      <c r="C1795" t="s">
        <v>582</v>
      </c>
      <c r="D1795">
        <f>D1794*D1782</f>
        <v>0</v>
      </c>
      <c r="E1795">
        <f t="shared" ref="E1795" si="6593">E1794*E1782</f>
        <v>0</v>
      </c>
      <c r="F1795">
        <f t="shared" ref="F1795" si="6594">F1794*F1782</f>
        <v>0</v>
      </c>
      <c r="G1795">
        <f t="shared" ref="G1795" si="6595">G1794*G1782</f>
        <v>0</v>
      </c>
      <c r="H1795">
        <f t="shared" ref="H1795" si="6596">H1794*H1782</f>
        <v>0</v>
      </c>
      <c r="I1795">
        <f t="shared" ref="I1795" si="6597">I1794*I1782</f>
        <v>0</v>
      </c>
      <c r="J1795">
        <f t="shared" ref="J1795" si="6598">J1794*J1782</f>
        <v>0</v>
      </c>
      <c r="K1795">
        <f t="shared" ref="K1795" si="6599">K1794*K1782</f>
        <v>0</v>
      </c>
      <c r="L1795">
        <f t="shared" ref="L1795" si="6600">L1794*L1782</f>
        <v>0</v>
      </c>
      <c r="M1795">
        <f t="shared" ref="M1795" si="6601">M1794*M1782</f>
        <v>0</v>
      </c>
      <c r="N1795">
        <f t="shared" ref="N1795" si="6602">N1794*N1782</f>
        <v>0</v>
      </c>
      <c r="O1795">
        <f t="shared" ref="O1795" si="6603">O1794*O1782</f>
        <v>0</v>
      </c>
    </row>
    <row r="1796" spans="1:32" ht="17.149999999999999" x14ac:dyDescent="0.55000000000000004">
      <c r="B1796" t="str">
        <f t="shared" si="6548"/>
        <v>Portland</v>
      </c>
      <c r="C1796" t="s">
        <v>583</v>
      </c>
      <c r="D1796">
        <f>D1793+D1795</f>
        <v>5.3446173929904582E-3</v>
      </c>
      <c r="E1796">
        <f t="shared" ref="E1796" si="6604">E1793+E1795</f>
        <v>5.8020727825229086E-3</v>
      </c>
      <c r="F1796">
        <f t="shared" ref="F1796" si="6605">F1793+F1795</f>
        <v>6.3194597984808799E-3</v>
      </c>
      <c r="G1796">
        <f t="shared" ref="G1796" si="6606">G1793+G1795</f>
        <v>7.2400469002136831E-3</v>
      </c>
      <c r="H1796">
        <f t="shared" ref="H1796" si="6607">H1793+H1795</f>
        <v>8.7355319390561535E-3</v>
      </c>
      <c r="I1796">
        <f t="shared" ref="I1796" si="6608">I1793+I1795</f>
        <v>9.9506270401879347E-3</v>
      </c>
      <c r="J1796">
        <f t="shared" ref="J1796" si="6609">J1793+J1795</f>
        <v>1.1263733235793187E-2</v>
      </c>
      <c r="K1796">
        <f t="shared" ref="K1796" si="6610">K1793+K1795</f>
        <v>1.1184292386672267E-2</v>
      </c>
      <c r="L1796">
        <f t="shared" ref="L1796" si="6611">L1793+L1795</f>
        <v>1.0188141542731273E-2</v>
      </c>
      <c r="M1796">
        <f t="shared" ref="M1796" si="6612">M1793+M1795</f>
        <v>7.8038704244406936E-3</v>
      </c>
      <c r="N1796">
        <f t="shared" ref="N1796" si="6613">N1793+N1795</f>
        <v>6.0827945693034263E-3</v>
      </c>
      <c r="O1796">
        <f t="shared" ref="O1796" si="6614">O1793+O1795</f>
        <v>5.2448123115675692E-3</v>
      </c>
    </row>
    <row r="1797" spans="1:32" ht="17.149999999999999" x14ac:dyDescent="0.55000000000000004">
      <c r="B1797" t="str">
        <f t="shared" si="6548"/>
        <v>Portland</v>
      </c>
      <c r="C1797" t="s">
        <v>1388</v>
      </c>
      <c r="D1797" cm="1">
        <f t="array" ref="D1797">IFERROR(IF(D1777="Chemical",(10^(INDEX(Antoines,MATCH(D1776,Antoine_Name,0),2)-INDEX(Antoines,MATCH(D1776,Antoine_Name,0),3)/(INDEX(Antoines,MATCH(D1776,Antoine_Name,0),4)+(D1786-32)*5/9)))*14.7/760,IF(D1777="Crude Oil",EXP((2799/(D1786+459.6)-2.227)*LOG10(INDEX(FX_Input,Q$5,D$3*$Z$5+$AA$5))-(7261/(D1786+459.6))+12.82),IF(D1777="Refined Petroleum Stock",EXP((0.7553-(413/(D1786+459.6)))*(INDEX(FX_Input,Q$5,D$3*$Z$5+$AA$5-1)^0.5)*LOG10(INDEX(FX_Input,Q$5,D$3*$Z$5+$AA$5))-(1.854-(1042/(D1786+459.6)))*(INDEX(FX_Input,Q$5,D$3*$Z$5+$AA$5-1)^0.5)+((2416/(D1786+459.6)-2.013)*LOG10(INDEX(FX_Input,Q$5,D$3*$Z$5+$AA$5)))-(8742/(D1786+459.6))+15.64),EXP(INDEX(Antoines,MATCH(D1776,Antoine_Name,0),2)-INDEX(Antoines,MATCH(D1776,Antoine_Name,0),3)/(D1786+459.6))))),0)</f>
        <v>5.0788096823034274E-3</v>
      </c>
      <c r="E1797" cm="1">
        <f t="array" ref="E1797">IFERROR(IF(E1777="Chemical",(10^(INDEX(Antoines,MATCH(E1776,Antoine_Name,0),2)-INDEX(Antoines,MATCH(E1776,Antoine_Name,0),3)/(INDEX(Antoines,MATCH(E1776,Antoine_Name,0),4)+(E1786-32)*5/9)))*14.7/760,IF(E1777="Crude Oil",EXP((2799/(E1786+459.6)-2.227)*LOG10(INDEX(FX_Input,R$5,E$3*$Z$5+$AA$5))-(7261/(E1786+459.6))+12.82),IF(E1777="Refined Petroleum Stock",EXP((0.7553-(413/(E1786+459.6)))*(INDEX(FX_Input,R$5,E$3*$Z$5+$AA$5-1)^0.5)*LOG10(INDEX(FX_Input,R$5,E$3*$Z$5+$AA$5))-(1.854-(1042/(E1786+459.6)))*(INDEX(FX_Input,R$5,E$3*$Z$5+$AA$5-1)^0.5)+((2416/(E1786+459.6)-2.013)*LOG10(INDEX(FX_Input,R$5,E$3*$Z$5+$AA$5)))-(8742/(E1786+459.6))+15.64),EXP(INDEX(Antoines,MATCH(E1776,Antoine_Name,0),2)-INDEX(Antoines,MATCH(E1776,Antoine_Name,0),3)/(E1786+459.6))))),0)</f>
        <v>5.4974545080270654E-3</v>
      </c>
      <c r="F1797" cm="1">
        <f t="array" ref="F1797">IFERROR(IF(F1777="Chemical",(10^(INDEX(Antoines,MATCH(F1776,Antoine_Name,0),2)-INDEX(Antoines,MATCH(F1776,Antoine_Name,0),3)/(INDEX(Antoines,MATCH(F1776,Antoine_Name,0),4)+(F1786-32)*5/9)))*14.7/760,IF(F1777="Crude Oil",EXP((2799/(F1786+459.6)-2.227)*LOG10(INDEX(FX_Input,S$5,F$3*$Z$5+$AA$5))-(7261/(F1786+459.6))+12.82),IF(F1777="Refined Petroleum Stock",EXP((0.7553-(413/(F1786+459.6)))*(INDEX(FX_Input,S$5,F$3*$Z$5+$AA$5-1)^0.5)*LOG10(INDEX(FX_Input,S$5,F$3*$Z$5+$AA$5))-(1.854-(1042/(F1786+459.6)))*(INDEX(FX_Input,S$5,F$3*$Z$5+$AA$5-1)^0.5)+((2416/(F1786+459.6)-2.013)*LOG10(INDEX(FX_Input,S$5,F$3*$Z$5+$AA$5)))-(8742/(F1786+459.6))+15.64),EXP(INDEX(Antoines,MATCH(F1776,Antoine_Name,0),2)-INDEX(Antoines,MATCH(F1776,Antoine_Name,0),3)/(F1786+459.6))))),0)</f>
        <v>6.0939776204352973E-3</v>
      </c>
      <c r="G1797" cm="1">
        <f t="array" ref="G1797">IFERROR(IF(G1777="Chemical",(10^(INDEX(Antoines,MATCH(G1776,Antoine_Name,0),2)-INDEX(Antoines,MATCH(G1776,Antoine_Name,0),3)/(INDEX(Antoines,MATCH(G1776,Antoine_Name,0),4)+(G1786-32)*5/9)))*14.7/760,IF(G1777="Crude Oil",EXP((2799/(G1786+459.6)-2.227)*LOG10(INDEX(FX_Input,T$5,G$3*$Z$5+$AA$5))-(7261/(G1786+459.6))+12.82),IF(G1777="Refined Petroleum Stock",EXP((0.7553-(413/(G1786+459.6)))*(INDEX(FX_Input,T$5,G$3*$Z$5+$AA$5-1)^0.5)*LOG10(INDEX(FX_Input,T$5,G$3*$Z$5+$AA$5))-(1.854-(1042/(G1786+459.6)))*(INDEX(FX_Input,T$5,G$3*$Z$5+$AA$5-1)^0.5)+((2416/(G1786+459.6)-2.013)*LOG10(INDEX(FX_Input,T$5,G$3*$Z$5+$AA$5)))-(8742/(G1786+459.6))+15.64),EXP(INDEX(Antoines,MATCH(G1776,Antoine_Name,0),2)-INDEX(Antoines,MATCH(G1776,Antoine_Name,0),3)/(G1786+459.6))))),0)</f>
        <v>7.1364512548726224E-3</v>
      </c>
      <c r="H1797" cm="1">
        <f t="array" ref="H1797">IFERROR(IF(H1777="Chemical",(10^(INDEX(Antoines,MATCH(H1776,Antoine_Name,0),2)-INDEX(Antoines,MATCH(H1776,Antoine_Name,0),3)/(INDEX(Antoines,MATCH(H1776,Antoine_Name,0),4)+(H1786-32)*5/9)))*14.7/760,IF(H1777="Crude Oil",EXP((2799/(H1786+459.6)-2.227)*LOG10(INDEX(FX_Input,U$5,H$3*$Z$5+$AA$5))-(7261/(H1786+459.6))+12.82),IF(H1777="Refined Petroleum Stock",EXP((0.7553-(413/(H1786+459.6)))*(INDEX(FX_Input,U$5,H$3*$Z$5+$AA$5-1)^0.5)*LOG10(INDEX(FX_Input,U$5,H$3*$Z$5+$AA$5))-(1.854-(1042/(H1786+459.6)))*(INDEX(FX_Input,U$5,H$3*$Z$5+$AA$5-1)^0.5)+((2416/(H1786+459.6)-2.013)*LOG10(INDEX(FX_Input,U$5,H$3*$Z$5+$AA$5)))-(8742/(H1786+459.6))+15.64),EXP(INDEX(Antoines,MATCH(H1776,Antoine_Name,0),2)-INDEX(Antoines,MATCH(H1776,Antoine_Name,0),3)/(H1786+459.6))))),0)</f>
        <v>8.765284653116507E-3</v>
      </c>
      <c r="I1797" cm="1">
        <f t="array" ref="I1797">IFERROR(IF(I1777="Chemical",(10^(INDEX(Antoines,MATCH(I1776,Antoine_Name,0),2)-INDEX(Antoines,MATCH(I1776,Antoine_Name,0),3)/(INDEX(Antoines,MATCH(I1776,Antoine_Name,0),4)+(I1786-32)*5/9)))*14.7/760,IF(I1777="Crude Oil",EXP((2799/(I1786+459.6)-2.227)*LOG10(INDEX(FX_Input,V$5,I$3*$Z$5+$AA$5))-(7261/(I1786+459.6))+12.82),IF(I1777="Refined Petroleum Stock",EXP((0.7553-(413/(I1786+459.6)))*(INDEX(FX_Input,V$5,I$3*$Z$5+$AA$5-1)^0.5)*LOG10(INDEX(FX_Input,V$5,I$3*$Z$5+$AA$5))-(1.854-(1042/(I1786+459.6)))*(INDEX(FX_Input,V$5,I$3*$Z$5+$AA$5-1)^0.5)+((2416/(I1786+459.6)-2.013)*LOG10(INDEX(FX_Input,V$5,I$3*$Z$5+$AA$5)))-(8742/(I1786+459.6))+15.64),EXP(INDEX(Antoines,MATCH(I1776,Antoine_Name,0),2)-INDEX(Antoines,MATCH(I1776,Antoine_Name,0),3)/(I1786+459.6))))),0)</f>
        <v>1.0088391497030216E-2</v>
      </c>
      <c r="J1797" cm="1">
        <f t="array" ref="J1797">IFERROR(IF(J1777="Chemical",(10^(INDEX(Antoines,MATCH(J1776,Antoine_Name,0),2)-INDEX(Antoines,MATCH(J1776,Antoine_Name,0),3)/(INDEX(Antoines,MATCH(J1776,Antoine_Name,0),4)+(J1786-32)*5/9)))*14.7/760,IF(J1777="Crude Oil",EXP((2799/(J1786+459.6)-2.227)*LOG10(INDEX(FX_Input,W$5,J$3*$Z$5+$AA$5))-(7261/(J1786+459.6))+12.82),IF(J1777="Refined Petroleum Stock",EXP((0.7553-(413/(J1786+459.6)))*(INDEX(FX_Input,W$5,J$3*$Z$5+$AA$5-1)^0.5)*LOG10(INDEX(FX_Input,W$5,J$3*$Z$5+$AA$5))-(1.854-(1042/(J1786+459.6)))*(INDEX(FX_Input,W$5,J$3*$Z$5+$AA$5-1)^0.5)+((2416/(J1786+459.6)-2.013)*LOG10(INDEX(FX_Input,W$5,J$3*$Z$5+$AA$5)))-(8742/(J1786+459.6))+15.64),EXP(INDEX(Antoines,MATCH(J1776,Antoine_Name,0),2)-INDEX(Antoines,MATCH(J1776,Antoine_Name,0),3)/(J1786+459.6))))),0)</f>
        <v>1.1455846008049875E-2</v>
      </c>
      <c r="K1797" cm="1">
        <f t="array" ref="K1797">IFERROR(IF(K1777="Chemical",(10^(INDEX(Antoines,MATCH(K1776,Antoine_Name,0),2)-INDEX(Antoines,MATCH(K1776,Antoine_Name,0),3)/(INDEX(Antoines,MATCH(K1776,Antoine_Name,0),4)+(K1786-32)*5/9)))*14.7/760,IF(K1777="Crude Oil",EXP((2799/(K1786+459.6)-2.227)*LOG10(INDEX(FX_Input,X$5,K$3*$Z$5+$AA$5))-(7261/(K1786+459.6))+12.82),IF(K1777="Refined Petroleum Stock",EXP((0.7553-(413/(K1786+459.6)))*(INDEX(FX_Input,X$5,K$3*$Z$5+$AA$5-1)^0.5)*LOG10(INDEX(FX_Input,X$5,K$3*$Z$5+$AA$5))-(1.854-(1042/(K1786+459.6)))*(INDEX(FX_Input,X$5,K$3*$Z$5+$AA$5-1)^0.5)+((2416/(K1786+459.6)-2.013)*LOG10(INDEX(FX_Input,X$5,K$3*$Z$5+$AA$5)))-(8742/(K1786+459.6))+15.64),EXP(INDEX(Antoines,MATCH(K1776,Antoine_Name,0),2)-INDEX(Antoines,MATCH(K1776,Antoine_Name,0),3)/(K1786+459.6))))),0)</f>
        <v>1.1170957772624744E-2</v>
      </c>
      <c r="L1797" cm="1">
        <f t="array" ref="L1797">IFERROR(IF(L1777="Chemical",(10^(INDEX(Antoines,MATCH(L1776,Antoine_Name,0),2)-INDEX(Antoines,MATCH(L1776,Antoine_Name,0),3)/(INDEX(Antoines,MATCH(L1776,Antoine_Name,0),4)+(L1786-32)*5/9)))*14.7/760,IF(L1777="Crude Oil",EXP((2799/(L1786+459.6)-2.227)*LOG10(INDEX(FX_Input,Y$5,L$3*$Z$5+$AA$5))-(7261/(L1786+459.6))+12.82),IF(L1777="Refined Petroleum Stock",EXP((0.7553-(413/(L1786+459.6)))*(INDEX(FX_Input,Y$5,L$3*$Z$5+$AA$5-1)^0.5)*LOG10(INDEX(FX_Input,Y$5,L$3*$Z$5+$AA$5))-(1.854-(1042/(L1786+459.6)))*(INDEX(FX_Input,Y$5,L$3*$Z$5+$AA$5-1)^0.5)+((2416/(L1786+459.6)-2.013)*LOG10(INDEX(FX_Input,Y$5,L$3*$Z$5+$AA$5)))-(8742/(L1786+459.6))+15.64),EXP(INDEX(Antoines,MATCH(L1776,Antoine_Name,0),2)-INDEX(Antoines,MATCH(L1776,Antoine_Name,0),3)/(L1786+459.6))))),0)</f>
        <v>9.8227622663598323E-3</v>
      </c>
      <c r="M1797" cm="1">
        <f t="array" ref="M1797">IFERROR(IF(M1777="Chemical",(10^(INDEX(Antoines,MATCH(M1776,Antoine_Name,0),2)-INDEX(Antoines,MATCH(M1776,Antoine_Name,0),3)/(INDEX(Antoines,MATCH(M1776,Antoine_Name,0),4)+(M1786-32)*5/9)))*14.7/760,IF(M1777="Crude Oil",EXP((2799/(M1786+459.6)-2.227)*LOG10(INDEX(FX_Input,Z$5,M$3*$Z$5+$AA$5))-(7261/(M1786+459.6))+12.82),IF(M1777="Refined Petroleum Stock",EXP((0.7553-(413/(M1786+459.6)))*(INDEX(FX_Input,Z$5,M$3*$Z$5+$AA$5-1)^0.5)*LOG10(INDEX(FX_Input,Z$5,M$3*$Z$5+$AA$5))-(1.854-(1042/(M1786+459.6)))*(INDEX(FX_Input,Z$5,M$3*$Z$5+$AA$5-1)^0.5)+((2416/(M1786+459.6)-2.013)*LOG10(INDEX(FX_Input,Z$5,M$3*$Z$5+$AA$5)))-(8742/(M1786+459.6))+15.64),EXP(INDEX(Antoines,MATCH(M1776,Antoine_Name,0),2)-INDEX(Antoines,MATCH(M1776,Antoine_Name,0),3)/(M1786+459.6))))),0)</f>
        <v>7.3902409367879104E-3</v>
      </c>
      <c r="N1797" cm="1">
        <f t="array" ref="N1797">IFERROR(IF(N1777="Chemical",(10^(INDEX(Antoines,MATCH(N1776,Antoine_Name,0),2)-INDEX(Antoines,MATCH(N1776,Antoine_Name,0),3)/(INDEX(Antoines,MATCH(N1776,Antoine_Name,0),4)+(N1786-32)*5/9)))*14.7/760,IF(N1777="Crude Oil",EXP((2799/(N1786+459.6)-2.227)*LOG10(INDEX(FX_Input,AA$5,N$3*$Z$5+$AA$5))-(7261/(N1786+459.6))+12.82),IF(N1777="Refined Petroleum Stock",EXP((0.7553-(413/(N1786+459.6)))*(INDEX(FX_Input,AA$5,N$3*$Z$5+$AA$5-1)^0.5)*LOG10(INDEX(FX_Input,AA$5,N$3*$Z$5+$AA$5))-(1.854-(1042/(N1786+459.6)))*(INDEX(FX_Input,AA$5,N$3*$Z$5+$AA$5-1)^0.5)+((2416/(N1786+459.6)-2.013)*LOG10(INDEX(FX_Input,AA$5,N$3*$Z$5+$AA$5)))-(8742/(N1786+459.6))+15.64),EXP(INDEX(Antoines,MATCH(N1776,Antoine_Name,0),2)-INDEX(Antoines,MATCH(N1776,Antoine_Name,0),3)/(N1786+459.6))))),0)</f>
        <v>5.7302815955729341E-3</v>
      </c>
      <c r="O1797" cm="1">
        <f t="array" ref="O1797">IFERROR(IF(O1777="Chemical",(10^(INDEX(Antoines,MATCH(O1776,Antoine_Name,0),2)-INDEX(Antoines,MATCH(O1776,Antoine_Name,0),3)/(INDEX(Antoines,MATCH(O1776,Antoine_Name,0),4)+(O1786-32)*5/9)))*14.7/760,IF(O1777="Crude Oil",EXP((2799/(O1786+459.6)-2.227)*LOG10(INDEX(FX_Input,AB$5,O$3*$Z$5+$AA$5))-(7261/(O1786+459.6))+12.82),IF(O1777="Refined Petroleum Stock",EXP((0.7553-(413/(O1786+459.6)))*(INDEX(FX_Input,AB$5,O$3*$Z$5+$AA$5-1)^0.5)*LOG10(INDEX(FX_Input,AB$5,O$3*$Z$5+$AA$5))-(1.854-(1042/(O1786+459.6)))*(INDEX(FX_Input,AB$5,O$3*$Z$5+$AA$5-1)^0.5)+((2416/(O1786+459.6)-2.013)*LOG10(INDEX(FX_Input,AB$5,O$3*$Z$5+$AA$5)))-(8742/(O1786+459.6))+15.64),EXP(INDEX(Antoines,MATCH(O1776,Antoine_Name,0),2)-INDEX(Antoines,MATCH(O1776,Antoine_Name,0),3)/(O1786+459.6))))),0)</f>
        <v>4.9845202750316486E-3</v>
      </c>
    </row>
    <row r="1798" spans="1:32" ht="17.149999999999999" x14ac:dyDescent="0.55000000000000004">
      <c r="B1798" t="str">
        <f t="shared" si="6548"/>
        <v>Portland</v>
      </c>
      <c r="C1798" t="s">
        <v>1389</v>
      </c>
      <c r="D1798">
        <f>D1797*D1780</f>
        <v>5.0788096823034274E-3</v>
      </c>
      <c r="E1798">
        <f t="shared" ref="E1798" si="6615">E1797*E1780</f>
        <v>5.4974545080270654E-3</v>
      </c>
      <c r="F1798">
        <f t="shared" ref="F1798" si="6616">F1797*F1780</f>
        <v>6.0939776204352973E-3</v>
      </c>
      <c r="G1798">
        <f t="shared" ref="G1798" si="6617">G1797*G1780</f>
        <v>7.1364512548726224E-3</v>
      </c>
      <c r="H1798">
        <f t="shared" ref="H1798" si="6618">H1797*H1780</f>
        <v>8.765284653116507E-3</v>
      </c>
      <c r="I1798">
        <f t="shared" ref="I1798" si="6619">I1797*I1780</f>
        <v>1.0088391497030216E-2</v>
      </c>
      <c r="J1798">
        <f t="shared" ref="J1798" si="6620">J1797*J1780</f>
        <v>1.1455846008049875E-2</v>
      </c>
      <c r="K1798">
        <f t="shared" ref="K1798" si="6621">K1797*K1780</f>
        <v>1.1170957772624744E-2</v>
      </c>
      <c r="L1798">
        <f t="shared" ref="L1798" si="6622">L1797*L1780</f>
        <v>9.8227622663598323E-3</v>
      </c>
      <c r="M1798">
        <f t="shared" ref="M1798" si="6623">M1797*M1780</f>
        <v>7.3902409367879104E-3</v>
      </c>
      <c r="N1798">
        <f t="shared" ref="N1798" si="6624">N1797*N1780</f>
        <v>5.7302815955729341E-3</v>
      </c>
      <c r="O1798">
        <f t="shared" ref="O1798" si="6625">O1797*O1780</f>
        <v>4.9845202750316486E-3</v>
      </c>
    </row>
    <row r="1799" spans="1:32" ht="17.149999999999999" x14ac:dyDescent="0.55000000000000004">
      <c r="B1799" t="str">
        <f t="shared" si="6548"/>
        <v>Portland</v>
      </c>
      <c r="C1799" t="s">
        <v>1390</v>
      </c>
      <c r="D1799" cm="1">
        <f t="array" ref="D1799">IFERROR(IF(D1779="Chemical",(10^(INDEX(Antoines,MATCH(D1778,Antoine_Name,0),2)-INDEX(Antoines,MATCH(D1778,Antoine_Name,0),3)/(INDEX(Antoines,MATCH(D1778,Antoine_Name,0),4)+(D1786-32)*5/9)))*14.7/760,IF(D1779="Crude Oil",EXP((2799/(D1786+459.6)-2.227)*LOG10(INDEX(FX_Input,Q$5,D$3*$Z$5+$AA$5))-(7261/(D1786+459.6))+12.82),IF(D1779="Refined Petroleum Stock",EXP((0.7553-(413/(D1786+459.6)))*(INDEX(FX_Input,Q$5,D$3*$Z$5+$AA$5-1)^0.5)*LOG10(INDEX(FX_Input,Q$5,D$3*$Z$5+$AA$5))-(1.854-(1042/(D1786+459.6)))*(INDEX(FX_Input,Q$5,D$3*$Z$5+$AA$5-1)^0.5)+((2416/(D1786+459.6)-2.013)*LOG10(INDEX(FX_Input,Q$5,D$3*$Z$5+$AA$5)))-(8742/(D1786+459.6))+15.64),EXP(INDEX(Antoines,MATCH(D1778,Antoine_Name,0),2)-INDEX(Antoines,MATCH(D1778,Antoine_Name,0),3)/(D1786+459.6))))),0)</f>
        <v>0</v>
      </c>
      <c r="E1799" cm="1">
        <f t="array" ref="E1799">IFERROR(IF(E1779="Chemical",(10^(INDEX(Antoines,MATCH(E1778,Antoine_Name,0),2)-INDEX(Antoines,MATCH(E1778,Antoine_Name,0),3)/(INDEX(Antoines,MATCH(E1778,Antoine_Name,0),4)+(E1786-32)*5/9)))*14.7/760,IF(E1779="Crude Oil",EXP((2799/(E1786+459.6)-2.227)*LOG10(INDEX(FX_Input,R$5,E$3*$Z$5+$AA$5))-(7261/(E1786+459.6))+12.82),IF(E1779="Refined Petroleum Stock",EXP((0.7553-(413/(E1786+459.6)))*(INDEX(FX_Input,R$5,E$3*$Z$5+$AA$5-1)^0.5)*LOG10(INDEX(FX_Input,R$5,E$3*$Z$5+$AA$5))-(1.854-(1042/(E1786+459.6)))*(INDEX(FX_Input,R$5,E$3*$Z$5+$AA$5-1)^0.5)+((2416/(E1786+459.6)-2.013)*LOG10(INDEX(FX_Input,R$5,E$3*$Z$5+$AA$5)))-(8742/(E1786+459.6))+15.64),EXP(INDEX(Antoines,MATCH(E1778,Antoine_Name,0),2)-INDEX(Antoines,MATCH(E1778,Antoine_Name,0),3)/(E1786+459.6))))),0)</f>
        <v>0</v>
      </c>
      <c r="F1799" cm="1">
        <f t="array" ref="F1799">IFERROR(IF(F1779="Chemical",(10^(INDEX(Antoines,MATCH(F1778,Antoine_Name,0),2)-INDEX(Antoines,MATCH(F1778,Antoine_Name,0),3)/(INDEX(Antoines,MATCH(F1778,Antoine_Name,0),4)+(F1786-32)*5/9)))*14.7/760,IF(F1779="Crude Oil",EXP((2799/(F1786+459.6)-2.227)*LOG10(INDEX(FX_Input,S$5,F$3*$Z$5+$AA$5))-(7261/(F1786+459.6))+12.82),IF(F1779="Refined Petroleum Stock",EXP((0.7553-(413/(F1786+459.6)))*(INDEX(FX_Input,S$5,F$3*$Z$5+$AA$5-1)^0.5)*LOG10(INDEX(FX_Input,S$5,F$3*$Z$5+$AA$5))-(1.854-(1042/(F1786+459.6)))*(INDEX(FX_Input,S$5,F$3*$Z$5+$AA$5-1)^0.5)+((2416/(F1786+459.6)-2.013)*LOG10(INDEX(FX_Input,S$5,F$3*$Z$5+$AA$5)))-(8742/(F1786+459.6))+15.64),EXP(INDEX(Antoines,MATCH(F1778,Antoine_Name,0),2)-INDEX(Antoines,MATCH(F1778,Antoine_Name,0),3)/(F1786+459.6))))),0)</f>
        <v>0</v>
      </c>
      <c r="G1799" cm="1">
        <f t="array" ref="G1799">IFERROR(IF(G1779="Chemical",(10^(INDEX(Antoines,MATCH(G1778,Antoine_Name,0),2)-INDEX(Antoines,MATCH(G1778,Antoine_Name,0),3)/(INDEX(Antoines,MATCH(G1778,Antoine_Name,0),4)+(G1786-32)*5/9)))*14.7/760,IF(G1779="Crude Oil",EXP((2799/(G1786+459.6)-2.227)*LOG10(INDEX(FX_Input,T$5,G$3*$Z$5+$AA$5))-(7261/(G1786+459.6))+12.82),IF(G1779="Refined Petroleum Stock",EXP((0.7553-(413/(G1786+459.6)))*(INDEX(FX_Input,T$5,G$3*$Z$5+$AA$5-1)^0.5)*LOG10(INDEX(FX_Input,T$5,G$3*$Z$5+$AA$5))-(1.854-(1042/(G1786+459.6)))*(INDEX(FX_Input,T$5,G$3*$Z$5+$AA$5-1)^0.5)+((2416/(G1786+459.6)-2.013)*LOG10(INDEX(FX_Input,T$5,G$3*$Z$5+$AA$5)))-(8742/(G1786+459.6))+15.64),EXP(INDEX(Antoines,MATCH(G1778,Antoine_Name,0),2)-INDEX(Antoines,MATCH(G1778,Antoine_Name,0),3)/(G1786+459.6))))),0)</f>
        <v>0</v>
      </c>
      <c r="H1799" cm="1">
        <f t="array" ref="H1799">IFERROR(IF(H1779="Chemical",(10^(INDEX(Antoines,MATCH(H1778,Antoine_Name,0),2)-INDEX(Antoines,MATCH(H1778,Antoine_Name,0),3)/(INDEX(Antoines,MATCH(H1778,Antoine_Name,0),4)+(H1786-32)*5/9)))*14.7/760,IF(H1779="Crude Oil",EXP((2799/(H1786+459.6)-2.227)*LOG10(INDEX(FX_Input,U$5,H$3*$Z$5+$AA$5))-(7261/(H1786+459.6))+12.82),IF(H1779="Refined Petroleum Stock",EXP((0.7553-(413/(H1786+459.6)))*(INDEX(FX_Input,U$5,H$3*$Z$5+$AA$5-1)^0.5)*LOG10(INDEX(FX_Input,U$5,H$3*$Z$5+$AA$5))-(1.854-(1042/(H1786+459.6)))*(INDEX(FX_Input,U$5,H$3*$Z$5+$AA$5-1)^0.5)+((2416/(H1786+459.6)-2.013)*LOG10(INDEX(FX_Input,U$5,H$3*$Z$5+$AA$5)))-(8742/(H1786+459.6))+15.64),EXP(INDEX(Antoines,MATCH(H1778,Antoine_Name,0),2)-INDEX(Antoines,MATCH(H1778,Antoine_Name,0),3)/(H1786+459.6))))),0)</f>
        <v>0</v>
      </c>
      <c r="I1799" cm="1">
        <f t="array" ref="I1799">IFERROR(IF(I1779="Chemical",(10^(INDEX(Antoines,MATCH(I1778,Antoine_Name,0),2)-INDEX(Antoines,MATCH(I1778,Antoine_Name,0),3)/(INDEX(Antoines,MATCH(I1778,Antoine_Name,0),4)+(I1786-32)*5/9)))*14.7/760,IF(I1779="Crude Oil",EXP((2799/(I1786+459.6)-2.227)*LOG10(INDEX(FX_Input,V$5,I$3*$Z$5+$AA$5))-(7261/(I1786+459.6))+12.82),IF(I1779="Refined Petroleum Stock",EXP((0.7553-(413/(I1786+459.6)))*(INDEX(FX_Input,V$5,I$3*$Z$5+$AA$5-1)^0.5)*LOG10(INDEX(FX_Input,V$5,I$3*$Z$5+$AA$5))-(1.854-(1042/(I1786+459.6)))*(INDEX(FX_Input,V$5,I$3*$Z$5+$AA$5-1)^0.5)+((2416/(I1786+459.6)-2.013)*LOG10(INDEX(FX_Input,V$5,I$3*$Z$5+$AA$5)))-(8742/(I1786+459.6))+15.64),EXP(INDEX(Antoines,MATCH(I1778,Antoine_Name,0),2)-INDEX(Antoines,MATCH(I1778,Antoine_Name,0),3)/(I1786+459.6))))),0)</f>
        <v>0</v>
      </c>
      <c r="J1799" cm="1">
        <f t="array" ref="J1799">IFERROR(IF(J1779="Chemical",(10^(INDEX(Antoines,MATCH(J1778,Antoine_Name,0),2)-INDEX(Antoines,MATCH(J1778,Antoine_Name,0),3)/(INDEX(Antoines,MATCH(J1778,Antoine_Name,0),4)+(J1786-32)*5/9)))*14.7/760,IF(J1779="Crude Oil",EXP((2799/(J1786+459.6)-2.227)*LOG10(INDEX(FX_Input,W$5,J$3*$Z$5+$AA$5))-(7261/(J1786+459.6))+12.82),IF(J1779="Refined Petroleum Stock",EXP((0.7553-(413/(J1786+459.6)))*(INDEX(FX_Input,W$5,J$3*$Z$5+$AA$5-1)^0.5)*LOG10(INDEX(FX_Input,W$5,J$3*$Z$5+$AA$5))-(1.854-(1042/(J1786+459.6)))*(INDEX(FX_Input,W$5,J$3*$Z$5+$AA$5-1)^0.5)+((2416/(J1786+459.6)-2.013)*LOG10(INDEX(FX_Input,W$5,J$3*$Z$5+$AA$5)))-(8742/(J1786+459.6))+15.64),EXP(INDEX(Antoines,MATCH(J1778,Antoine_Name,0),2)-INDEX(Antoines,MATCH(J1778,Antoine_Name,0),3)/(J1786+459.6))))),0)</f>
        <v>0</v>
      </c>
      <c r="K1799" cm="1">
        <f t="array" ref="K1799">IFERROR(IF(K1779="Chemical",(10^(INDEX(Antoines,MATCH(K1778,Antoine_Name,0),2)-INDEX(Antoines,MATCH(K1778,Antoine_Name,0),3)/(INDEX(Antoines,MATCH(K1778,Antoine_Name,0),4)+(K1786-32)*5/9)))*14.7/760,IF(K1779="Crude Oil",EXP((2799/(K1786+459.6)-2.227)*LOG10(INDEX(FX_Input,X$5,K$3*$Z$5+$AA$5))-(7261/(K1786+459.6))+12.82),IF(K1779="Refined Petroleum Stock",EXP((0.7553-(413/(K1786+459.6)))*(INDEX(FX_Input,X$5,K$3*$Z$5+$AA$5-1)^0.5)*LOG10(INDEX(FX_Input,X$5,K$3*$Z$5+$AA$5))-(1.854-(1042/(K1786+459.6)))*(INDEX(FX_Input,X$5,K$3*$Z$5+$AA$5-1)^0.5)+((2416/(K1786+459.6)-2.013)*LOG10(INDEX(FX_Input,X$5,K$3*$Z$5+$AA$5)))-(8742/(K1786+459.6))+15.64),EXP(INDEX(Antoines,MATCH(K1778,Antoine_Name,0),2)-INDEX(Antoines,MATCH(K1778,Antoine_Name,0),3)/(K1786+459.6))))),0)</f>
        <v>0</v>
      </c>
      <c r="L1799" cm="1">
        <f t="array" ref="L1799">IFERROR(IF(L1779="Chemical",(10^(INDEX(Antoines,MATCH(L1778,Antoine_Name,0),2)-INDEX(Antoines,MATCH(L1778,Antoine_Name,0),3)/(INDEX(Antoines,MATCH(L1778,Antoine_Name,0),4)+(L1786-32)*5/9)))*14.7/760,IF(L1779="Crude Oil",EXP((2799/(L1786+459.6)-2.227)*LOG10(INDEX(FX_Input,Y$5,L$3*$Z$5+$AA$5))-(7261/(L1786+459.6))+12.82),IF(L1779="Refined Petroleum Stock",EXP((0.7553-(413/(L1786+459.6)))*(INDEX(FX_Input,Y$5,L$3*$Z$5+$AA$5-1)^0.5)*LOG10(INDEX(FX_Input,Y$5,L$3*$Z$5+$AA$5))-(1.854-(1042/(L1786+459.6)))*(INDEX(FX_Input,Y$5,L$3*$Z$5+$AA$5-1)^0.5)+((2416/(L1786+459.6)-2.013)*LOG10(INDEX(FX_Input,Y$5,L$3*$Z$5+$AA$5)))-(8742/(L1786+459.6))+15.64),EXP(INDEX(Antoines,MATCH(L1778,Antoine_Name,0),2)-INDEX(Antoines,MATCH(L1778,Antoine_Name,0),3)/(L1786+459.6))))),0)</f>
        <v>0</v>
      </c>
      <c r="M1799" cm="1">
        <f t="array" ref="M1799">IFERROR(IF(M1779="Chemical",(10^(INDEX(Antoines,MATCH(M1778,Antoine_Name,0),2)-INDEX(Antoines,MATCH(M1778,Antoine_Name,0),3)/(INDEX(Antoines,MATCH(M1778,Antoine_Name,0),4)+(M1786-32)*5/9)))*14.7/760,IF(M1779="Crude Oil",EXP((2799/(M1786+459.6)-2.227)*LOG10(INDEX(FX_Input,Z$5,M$3*$Z$5+$AA$5))-(7261/(M1786+459.6))+12.82),IF(M1779="Refined Petroleum Stock",EXP((0.7553-(413/(M1786+459.6)))*(INDEX(FX_Input,Z$5,M$3*$Z$5+$AA$5-1)^0.5)*LOG10(INDEX(FX_Input,Z$5,M$3*$Z$5+$AA$5))-(1.854-(1042/(M1786+459.6)))*(INDEX(FX_Input,Z$5,M$3*$Z$5+$AA$5-1)^0.5)+((2416/(M1786+459.6)-2.013)*LOG10(INDEX(FX_Input,Z$5,M$3*$Z$5+$AA$5)))-(8742/(M1786+459.6))+15.64),EXP(INDEX(Antoines,MATCH(M1778,Antoine_Name,0),2)-INDEX(Antoines,MATCH(M1778,Antoine_Name,0),3)/(M1786+459.6))))),0)</f>
        <v>0</v>
      </c>
      <c r="N1799" cm="1">
        <f t="array" ref="N1799">IFERROR(IF(N1779="Chemical",(10^(INDEX(Antoines,MATCH(N1778,Antoine_Name,0),2)-INDEX(Antoines,MATCH(N1778,Antoine_Name,0),3)/(INDEX(Antoines,MATCH(N1778,Antoine_Name,0),4)+(N1786-32)*5/9)))*14.7/760,IF(N1779="Crude Oil",EXP((2799/(N1786+459.6)-2.227)*LOG10(INDEX(FX_Input,AA$5,N$3*$Z$5+$AA$5))-(7261/(N1786+459.6))+12.82),IF(N1779="Refined Petroleum Stock",EXP((0.7553-(413/(N1786+459.6)))*(INDEX(FX_Input,AA$5,N$3*$Z$5+$AA$5-1)^0.5)*LOG10(INDEX(FX_Input,AA$5,N$3*$Z$5+$AA$5))-(1.854-(1042/(N1786+459.6)))*(INDEX(FX_Input,AA$5,N$3*$Z$5+$AA$5-1)^0.5)+((2416/(N1786+459.6)-2.013)*LOG10(INDEX(FX_Input,AA$5,N$3*$Z$5+$AA$5)))-(8742/(N1786+459.6))+15.64),EXP(INDEX(Antoines,MATCH(N1778,Antoine_Name,0),2)-INDEX(Antoines,MATCH(N1778,Antoine_Name,0),3)/(N1786+459.6))))),0)</f>
        <v>0</v>
      </c>
      <c r="O1799" cm="1">
        <f t="array" ref="O1799">IFERROR(IF(O1779="Chemical",(10^(INDEX(Antoines,MATCH(O1778,Antoine_Name,0),2)-INDEX(Antoines,MATCH(O1778,Antoine_Name,0),3)/(INDEX(Antoines,MATCH(O1778,Antoine_Name,0),4)+(O1786-32)*5/9)))*14.7/760,IF(O1779="Crude Oil",EXP((2799/(O1786+459.6)-2.227)*LOG10(INDEX(FX_Input,AB$5,O$3*$Z$5+$AA$5))-(7261/(O1786+459.6))+12.82),IF(O1779="Refined Petroleum Stock",EXP((0.7553-(413/(O1786+459.6)))*(INDEX(FX_Input,AB$5,O$3*$Z$5+$AA$5-1)^0.5)*LOG10(INDEX(FX_Input,AB$5,O$3*$Z$5+$AA$5))-(1.854-(1042/(O1786+459.6)))*(INDEX(FX_Input,AB$5,O$3*$Z$5+$AA$5-1)^0.5)+((2416/(O1786+459.6)-2.013)*LOG10(INDEX(FX_Input,AB$5,O$3*$Z$5+$AA$5)))-(8742/(O1786+459.6))+15.64),EXP(INDEX(Antoines,MATCH(O1778,Antoine_Name,0),2)-INDEX(Antoines,MATCH(O1778,Antoine_Name,0),3)/(O1786+459.6))))),0)</f>
        <v>0</v>
      </c>
    </row>
    <row r="1800" spans="1:32" ht="17.149999999999999" x14ac:dyDescent="0.55000000000000004">
      <c r="B1800" t="str">
        <f t="shared" si="6548"/>
        <v>Portland</v>
      </c>
      <c r="C1800" t="s">
        <v>1391</v>
      </c>
      <c r="D1800">
        <f>D1799*D1782</f>
        <v>0</v>
      </c>
      <c r="E1800">
        <f t="shared" ref="E1800" si="6626">E1799*E1782</f>
        <v>0</v>
      </c>
      <c r="F1800">
        <f t="shared" ref="F1800" si="6627">F1799*F1782</f>
        <v>0</v>
      </c>
      <c r="G1800">
        <f t="shared" ref="G1800" si="6628">G1799*G1782</f>
        <v>0</v>
      </c>
      <c r="H1800">
        <f t="shared" ref="H1800" si="6629">H1799*H1782</f>
        <v>0</v>
      </c>
      <c r="I1800">
        <f t="shared" ref="I1800" si="6630">I1799*I1782</f>
        <v>0</v>
      </c>
      <c r="J1800">
        <f t="shared" ref="J1800" si="6631">J1799*J1782</f>
        <v>0</v>
      </c>
      <c r="K1800">
        <f t="shared" ref="K1800" si="6632">K1799*K1782</f>
        <v>0</v>
      </c>
      <c r="L1800">
        <f t="shared" ref="L1800" si="6633">L1799*L1782</f>
        <v>0</v>
      </c>
      <c r="M1800">
        <f t="shared" ref="M1800" si="6634">M1799*M1782</f>
        <v>0</v>
      </c>
      <c r="N1800">
        <f t="shared" ref="N1800" si="6635">N1799*N1782</f>
        <v>0</v>
      </c>
      <c r="O1800">
        <f t="shared" ref="O1800" si="6636">O1799*O1782</f>
        <v>0</v>
      </c>
    </row>
    <row r="1801" spans="1:32" ht="17.149999999999999" x14ac:dyDescent="0.55000000000000004">
      <c r="B1801" t="str">
        <f t="shared" si="6548"/>
        <v>Portland</v>
      </c>
      <c r="C1801" t="s">
        <v>1392</v>
      </c>
      <c r="D1801">
        <f>D1798+D1800</f>
        <v>5.0788096823034274E-3</v>
      </c>
      <c r="E1801">
        <f t="shared" ref="E1801" si="6637">E1798+E1800</f>
        <v>5.4974545080270654E-3</v>
      </c>
      <c r="F1801">
        <f t="shared" ref="F1801" si="6638">F1798+F1800</f>
        <v>6.0939776204352973E-3</v>
      </c>
      <c r="G1801">
        <f t="shared" ref="G1801" si="6639">G1798+G1800</f>
        <v>7.1364512548726224E-3</v>
      </c>
      <c r="H1801">
        <f t="shared" ref="H1801" si="6640">H1798+H1800</f>
        <v>8.765284653116507E-3</v>
      </c>
      <c r="I1801">
        <f t="shared" ref="I1801" si="6641">I1798+I1800</f>
        <v>1.0088391497030216E-2</v>
      </c>
      <c r="J1801">
        <f t="shared" ref="J1801" si="6642">J1798+J1800</f>
        <v>1.1455846008049875E-2</v>
      </c>
      <c r="K1801">
        <f t="shared" ref="K1801" si="6643">K1798+K1800</f>
        <v>1.1170957772624744E-2</v>
      </c>
      <c r="L1801">
        <f t="shared" ref="L1801" si="6644">L1798+L1800</f>
        <v>9.8227622663598323E-3</v>
      </c>
      <c r="M1801">
        <f t="shared" ref="M1801" si="6645">M1798+M1800</f>
        <v>7.3902409367879104E-3</v>
      </c>
      <c r="N1801">
        <f t="shared" ref="N1801" si="6646">N1798+N1800</f>
        <v>5.7302815955729341E-3</v>
      </c>
      <c r="O1801">
        <f t="shared" ref="O1801" si="6647">O1798+O1800</f>
        <v>4.9845202750316486E-3</v>
      </c>
    </row>
    <row r="1802" spans="1:32" ht="17.149999999999999" x14ac:dyDescent="0.55000000000000004">
      <c r="B1802" t="str">
        <f>B1796</f>
        <v>Portland</v>
      </c>
      <c r="C1802" t="s">
        <v>584</v>
      </c>
      <c r="D1802">
        <f>D1798/D1801</f>
        <v>1</v>
      </c>
      <c r="E1802">
        <f t="shared" ref="E1802" si="6648">E1798/E1801</f>
        <v>1</v>
      </c>
      <c r="F1802">
        <f t="shared" ref="F1802" si="6649">F1798/F1801</f>
        <v>1</v>
      </c>
      <c r="G1802">
        <f t="shared" ref="G1802" si="6650">G1798/G1801</f>
        <v>1</v>
      </c>
      <c r="H1802">
        <f t="shared" ref="H1802" si="6651">H1798/H1801</f>
        <v>1</v>
      </c>
      <c r="I1802">
        <f t="shared" ref="I1802" si="6652">I1798/I1801</f>
        <v>1</v>
      </c>
      <c r="J1802">
        <f t="shared" ref="J1802" si="6653">J1798/J1801</f>
        <v>1</v>
      </c>
      <c r="K1802">
        <f t="shared" ref="K1802" si="6654">K1798/K1801</f>
        <v>1</v>
      </c>
      <c r="L1802">
        <f t="shared" ref="L1802" si="6655">L1798/L1801</f>
        <v>1</v>
      </c>
      <c r="M1802">
        <f t="shared" ref="M1802" si="6656">M1798/M1801</f>
        <v>1</v>
      </c>
      <c r="N1802">
        <f t="shared" ref="N1802" si="6657">N1798/N1801</f>
        <v>1</v>
      </c>
      <c r="O1802">
        <f t="shared" ref="O1802" si="6658">O1798/O1801</f>
        <v>1</v>
      </c>
    </row>
    <row r="1803" spans="1:32" ht="17.149999999999999" x14ac:dyDescent="0.55000000000000004">
      <c r="B1803" t="str">
        <f>B1797</f>
        <v>Portland</v>
      </c>
      <c r="C1803" t="s">
        <v>585</v>
      </c>
      <c r="D1803">
        <f t="shared" ref="D1803:O1803" si="6659">INDEX(Phys_Prop,MATCH(D1776,Chem_List,0),3)</f>
        <v>130</v>
      </c>
      <c r="E1803">
        <f t="shared" si="6659"/>
        <v>130</v>
      </c>
      <c r="F1803">
        <f t="shared" si="6659"/>
        <v>130</v>
      </c>
      <c r="G1803">
        <f t="shared" si="6659"/>
        <v>130</v>
      </c>
      <c r="H1803">
        <f t="shared" si="6659"/>
        <v>130</v>
      </c>
      <c r="I1803">
        <f t="shared" si="6659"/>
        <v>130</v>
      </c>
      <c r="J1803">
        <f t="shared" si="6659"/>
        <v>130</v>
      </c>
      <c r="K1803">
        <f t="shared" si="6659"/>
        <v>130</v>
      </c>
      <c r="L1803">
        <f t="shared" si="6659"/>
        <v>130</v>
      </c>
      <c r="M1803">
        <f t="shared" si="6659"/>
        <v>130</v>
      </c>
      <c r="N1803">
        <f t="shared" si="6659"/>
        <v>130</v>
      </c>
      <c r="O1803">
        <f t="shared" si="6659"/>
        <v>130</v>
      </c>
    </row>
    <row r="1804" spans="1:32" ht="17.149999999999999" x14ac:dyDescent="0.55000000000000004">
      <c r="B1804" t="str">
        <f>B1803</f>
        <v>Portland</v>
      </c>
      <c r="C1804" t="s">
        <v>586</v>
      </c>
      <c r="D1804">
        <f>D1800/D1801</f>
        <v>0</v>
      </c>
      <c r="E1804">
        <f t="shared" ref="E1804:O1804" si="6660">E1800/E1801</f>
        <v>0</v>
      </c>
      <c r="F1804">
        <f t="shared" si="6660"/>
        <v>0</v>
      </c>
      <c r="G1804">
        <f t="shared" si="6660"/>
        <v>0</v>
      </c>
      <c r="H1804">
        <f t="shared" si="6660"/>
        <v>0</v>
      </c>
      <c r="I1804">
        <f t="shared" si="6660"/>
        <v>0</v>
      </c>
      <c r="J1804">
        <f t="shared" si="6660"/>
        <v>0</v>
      </c>
      <c r="K1804">
        <f t="shared" si="6660"/>
        <v>0</v>
      </c>
      <c r="L1804">
        <f t="shared" si="6660"/>
        <v>0</v>
      </c>
      <c r="M1804">
        <f t="shared" si="6660"/>
        <v>0</v>
      </c>
      <c r="N1804">
        <f t="shared" si="6660"/>
        <v>0</v>
      </c>
      <c r="O1804">
        <f t="shared" si="6660"/>
        <v>0</v>
      </c>
    </row>
    <row r="1805" spans="1:32" ht="17.149999999999999" x14ac:dyDescent="0.55000000000000004">
      <c r="B1805" t="str">
        <f t="shared" si="6548"/>
        <v>Portland</v>
      </c>
      <c r="C1805" t="s">
        <v>587</v>
      </c>
      <c r="D1805">
        <f t="shared" ref="D1805:O1805" si="6661">IFERROR(INDEX(Phys_Prop,MATCH(D1778,Chem_List,0),3),0)</f>
        <v>0</v>
      </c>
      <c r="E1805">
        <f t="shared" si="6661"/>
        <v>0</v>
      </c>
      <c r="F1805">
        <f t="shared" si="6661"/>
        <v>0</v>
      </c>
      <c r="G1805">
        <f t="shared" si="6661"/>
        <v>0</v>
      </c>
      <c r="H1805">
        <f t="shared" si="6661"/>
        <v>0</v>
      </c>
      <c r="I1805">
        <f t="shared" si="6661"/>
        <v>0</v>
      </c>
      <c r="J1805">
        <f t="shared" si="6661"/>
        <v>0</v>
      </c>
      <c r="K1805">
        <f t="shared" si="6661"/>
        <v>0</v>
      </c>
      <c r="L1805">
        <f t="shared" si="6661"/>
        <v>0</v>
      </c>
      <c r="M1805">
        <f t="shared" si="6661"/>
        <v>0</v>
      </c>
      <c r="N1805">
        <f t="shared" si="6661"/>
        <v>0</v>
      </c>
      <c r="O1805">
        <f t="shared" si="6661"/>
        <v>0</v>
      </c>
    </row>
    <row r="1806" spans="1:32" ht="17.149999999999999" x14ac:dyDescent="0.55000000000000004">
      <c r="A1806" s="11"/>
      <c r="B1806" s="11" t="str">
        <f t="shared" si="6548"/>
        <v>Portland</v>
      </c>
      <c r="C1806" s="11" t="s">
        <v>588</v>
      </c>
      <c r="D1806" s="11">
        <f>IFERROR(D1802*D1803+D1804*D1805,0)</f>
        <v>130</v>
      </c>
      <c r="E1806" s="11">
        <f t="shared" ref="E1806" si="6662">IFERROR(E1802*E1803+E1804*E1805,0)</f>
        <v>130</v>
      </c>
      <c r="F1806" s="11">
        <f t="shared" ref="F1806" si="6663">IFERROR(F1802*F1803+F1804*F1805,0)</f>
        <v>130</v>
      </c>
      <c r="G1806" s="11">
        <f t="shared" ref="G1806" si="6664">IFERROR(G1802*G1803+G1804*G1805,0)</f>
        <v>130</v>
      </c>
      <c r="H1806" s="11">
        <f t="shared" ref="H1806" si="6665">IFERROR(H1802*H1803+H1804*H1805,0)</f>
        <v>130</v>
      </c>
      <c r="I1806" s="11">
        <f t="shared" ref="I1806" si="6666">IFERROR(I1802*I1803+I1804*I1805,0)</f>
        <v>130</v>
      </c>
      <c r="J1806" s="11">
        <f t="shared" ref="J1806" si="6667">IFERROR(J1802*J1803+J1804*J1805,0)</f>
        <v>130</v>
      </c>
      <c r="K1806" s="11">
        <f t="shared" ref="K1806" si="6668">IFERROR(K1802*K1803+K1804*K1805,0)</f>
        <v>130</v>
      </c>
      <c r="L1806" s="11">
        <f t="shared" ref="L1806" si="6669">IFERROR(L1802*L1803+L1804*L1805,0)</f>
        <v>130</v>
      </c>
      <c r="M1806" s="11">
        <f t="shared" ref="M1806" si="6670">IFERROR(M1802*M1803+M1804*M1805,0)</f>
        <v>130</v>
      </c>
      <c r="N1806" s="11">
        <f t="shared" ref="N1806" si="6671">IFERROR(N1802*N1803+N1804*N1805,0)</f>
        <v>130</v>
      </c>
      <c r="O1806" s="11">
        <f t="shared" ref="O1806" si="6672">IFERROR(O1802*O1803+O1804*O1805,0)</f>
        <v>130</v>
      </c>
      <c r="P1806" s="11"/>
      <c r="Q1806" s="11"/>
      <c r="R1806" s="11"/>
      <c r="S1806" s="11"/>
      <c r="T1806" s="11"/>
      <c r="U1806" s="11"/>
      <c r="V1806" s="11"/>
      <c r="W1806" s="11"/>
      <c r="X1806" s="11"/>
      <c r="Y1806" s="11"/>
      <c r="Z1806" s="11"/>
      <c r="AA1806" s="11"/>
      <c r="AB1806" s="11"/>
      <c r="AC1806" s="11"/>
      <c r="AD1806" s="11"/>
      <c r="AE1806" s="11"/>
      <c r="AF1806" s="11"/>
    </row>
    <row r="1807" spans="1:32" ht="17.149999999999999" x14ac:dyDescent="0.55000000000000004">
      <c r="A1807" t="str" cm="1">
        <f t="array" ref="A1807">INDEX(FX_Input,$Q1807,R$5)</f>
        <v>FX - 54</v>
      </c>
      <c r="B1807" t="str" cm="1">
        <f t="array" ref="B1807">INDEX(FX_Input,Q1807,S1807)</f>
        <v>Portland</v>
      </c>
      <c r="C1807" t="s">
        <v>563</v>
      </c>
      <c r="D1807">
        <v>14.7</v>
      </c>
      <c r="E1807">
        <v>14.7</v>
      </c>
      <c r="F1807">
        <v>14.7</v>
      </c>
      <c r="G1807">
        <v>14.7</v>
      </c>
      <c r="H1807">
        <v>14.7</v>
      </c>
      <c r="I1807">
        <v>14.7</v>
      </c>
      <c r="J1807">
        <v>14.7</v>
      </c>
      <c r="K1807">
        <v>14.7</v>
      </c>
      <c r="L1807">
        <v>14.7</v>
      </c>
      <c r="M1807">
        <v>14.7</v>
      </c>
      <c r="N1807">
        <v>14.7</v>
      </c>
      <c r="O1807">
        <v>14.7</v>
      </c>
      <c r="Q1807">
        <f>Q1773+2</f>
        <v>107</v>
      </c>
      <c r="R1807">
        <v>1</v>
      </c>
      <c r="S1807">
        <v>3</v>
      </c>
      <c r="T1807">
        <v>1</v>
      </c>
      <c r="U1807">
        <v>19</v>
      </c>
      <c r="V1807">
        <v>20</v>
      </c>
      <c r="W1807">
        <v>25</v>
      </c>
      <c r="X1807">
        <v>1</v>
      </c>
      <c r="Y1807">
        <v>2</v>
      </c>
      <c r="Z1807">
        <f>(W1807-V1807)/(Y1807-X1807)</f>
        <v>5</v>
      </c>
      <c r="AA1807">
        <f>V1807-Z1807*X1807</f>
        <v>15</v>
      </c>
      <c r="AD1807">
        <f>AD1773+14</f>
        <v>743</v>
      </c>
      <c r="AF1807">
        <f>AF1773+14</f>
        <v>743</v>
      </c>
    </row>
    <row r="1808" spans="1:32" ht="17.149999999999999" x14ac:dyDescent="0.55000000000000004">
      <c r="B1808" t="str">
        <f t="shared" ref="B1808" si="6673">B1807</f>
        <v>Portland</v>
      </c>
      <c r="C1808" t="s">
        <v>564</v>
      </c>
      <c r="D1808" cm="1">
        <f t="array" ref="D1808">IF(ISBLANK(INDEX(FX_Input,$Q1807,$AB1808)),0.03,INDEX(FX_Input,Q1807,AB1808))</f>
        <v>0.03</v>
      </c>
      <c r="E1808" cm="1">
        <f t="array" ref="E1808">IF(ISBLANK(INDEX(FX_Input,$Q1807,$AB1808)),0.03,INDEX(FX_Input,R1807,#REF!))</f>
        <v>0.03</v>
      </c>
      <c r="F1808" cm="1">
        <f t="array" ref="F1808">IF(ISBLANK(INDEX(FX_Input,$Q1807,$AB1808)),0.03,INDEX(FX_Input,S1807,#REF!))</f>
        <v>0.03</v>
      </c>
      <c r="G1808" cm="1">
        <f t="array" ref="G1808">IF(ISBLANK(INDEX(FX_Input,$Q1807,$AB1808)),0.03,INDEX(FX_Input,AB1807,#REF!))</f>
        <v>0.03</v>
      </c>
      <c r="H1808" cm="1">
        <f t="array" ref="H1808">IF(ISBLANK(INDEX(FX_Input,$Q1807,$AB1808)),0.03,INDEX(FX_Input,#REF!,#REF!))</f>
        <v>0.03</v>
      </c>
      <c r="I1808" cm="1">
        <f t="array" ref="I1808">IF(ISBLANK(INDEX(FX_Input,$Q1807,$AB1808)),0.03,INDEX(FX_Input,#REF!,#REF!))</f>
        <v>0.03</v>
      </c>
      <c r="J1808" cm="1">
        <f t="array" ref="J1808">IF(ISBLANK(INDEX(FX_Input,$Q1807,$AB1808)),0.03,INDEX(FX_Input,#REF!,#REF!))</f>
        <v>0.03</v>
      </c>
      <c r="K1808" cm="1">
        <f t="array" ref="K1808">IF(ISBLANK(INDEX(FX_Input,$Q1807,$AB1808)),0.03,INDEX(FX_Input,#REF!,AC1808))</f>
        <v>0.03</v>
      </c>
      <c r="L1808" cm="1">
        <f t="array" ref="L1808">IF(ISBLANK(INDEX(FX_Input,$Q1807,$AB1808)),0.03,INDEX(FX_Input,#REF!,AD1808))</f>
        <v>0.03</v>
      </c>
      <c r="M1808" cm="1">
        <f t="array" ref="M1808">IF(ISBLANK(INDEX(FX_Input,$Q1807,$AB1808)),0.03,INDEX(FX_Input,#REF!,#REF!))</f>
        <v>0.03</v>
      </c>
      <c r="N1808" cm="1">
        <f t="array" ref="N1808">IF(ISBLANK(INDEX(FX_Input,$Q1807,$AB1808)),0.03,INDEX(FX_Input,AC1807,#REF!))</f>
        <v>0.03</v>
      </c>
      <c r="O1808" cm="1">
        <f t="array" ref="O1808">IF(ISBLANK(INDEX(FX_Input,$Q1807,$AB1808)),0.03,INDEX(FX_Input,AD1807,#REF!))</f>
        <v>0.03</v>
      </c>
      <c r="AB1808">
        <v>15</v>
      </c>
    </row>
    <row r="1809" spans="2:32" ht="17.149999999999999" x14ac:dyDescent="0.55000000000000004">
      <c r="B1809" t="str">
        <f>B1808</f>
        <v>Portland</v>
      </c>
      <c r="C1809" t="s">
        <v>565</v>
      </c>
      <c r="D1809" cm="1">
        <f t="array" ref="D1809">IF(ISBLANK(INDEX(FX_Input,$Q1807,$AB1809)),-0.03,INDEX(FX_Input,Q1807,AB1809))</f>
        <v>-0.03</v>
      </c>
      <c r="E1809" cm="1">
        <f t="array" ref="E1809">IF(ISBLANK(INDEX(FX_Input,$Q1807,$AB1809)),-0.03,INDEX(FX_Input,R1807,#REF!))</f>
        <v>-0.03</v>
      </c>
      <c r="F1809" cm="1">
        <f t="array" ref="F1809">IF(ISBLANK(INDEX(FX_Input,$Q1807,$AB1809)),-0.03,INDEX(FX_Input,S1807,#REF!))</f>
        <v>-0.03</v>
      </c>
      <c r="G1809" cm="1">
        <f t="array" ref="G1809">IF(ISBLANK(INDEX(FX_Input,$Q1807,$AB1809)),-0.03,INDEX(FX_Input,AB1807,#REF!))</f>
        <v>-0.03</v>
      </c>
      <c r="H1809" cm="1">
        <f t="array" ref="H1809">IF(ISBLANK(INDEX(FX_Input,$Q1807,$AB1809)),-0.03,INDEX(FX_Input,#REF!,#REF!))</f>
        <v>-0.03</v>
      </c>
      <c r="I1809" cm="1">
        <f t="array" ref="I1809">IF(ISBLANK(INDEX(FX_Input,$Q1807,$AB1809)),-0.03,INDEX(FX_Input,#REF!,#REF!))</f>
        <v>-0.03</v>
      </c>
      <c r="J1809" cm="1">
        <f t="array" ref="J1809">IF(ISBLANK(INDEX(FX_Input,$Q1807,$AB1809)),-0.03,INDEX(FX_Input,#REF!,#REF!))</f>
        <v>-0.03</v>
      </c>
      <c r="K1809" cm="1">
        <f t="array" ref="K1809">IF(ISBLANK(INDEX(FX_Input,$Q1807,$AB1809)),-0.03,INDEX(FX_Input,#REF!,AC1809))</f>
        <v>-0.03</v>
      </c>
      <c r="L1809" cm="1">
        <f t="array" ref="L1809">IF(ISBLANK(INDEX(FX_Input,$Q1807,$AB1809)),-0.03,INDEX(FX_Input,#REF!,AD1809))</f>
        <v>-0.03</v>
      </c>
      <c r="M1809" cm="1">
        <f t="array" ref="M1809">IF(ISBLANK(INDEX(FX_Input,$Q1807,$AB1809)),-0.03,INDEX(FX_Input,#REF!,#REF!))</f>
        <v>-0.03</v>
      </c>
      <c r="N1809" cm="1">
        <f t="array" ref="N1809">IF(ISBLANK(INDEX(FX_Input,$Q1807,$AB1809)),-0.03,INDEX(FX_Input,AC1807,#REF!))</f>
        <v>-0.03</v>
      </c>
      <c r="O1809" cm="1">
        <f t="array" ref="O1809">IF(ISBLANK(INDEX(FX_Input,$Q1807,$AB1809)),-0.03,INDEX(FX_Input,AD1807,#REF!))</f>
        <v>-0.03</v>
      </c>
      <c r="AB1809">
        <v>16</v>
      </c>
    </row>
    <row r="1810" spans="2:32" x14ac:dyDescent="0.4">
      <c r="B1810" t="str">
        <f t="shared" ref="B1810:B1811" si="6674">B1809</f>
        <v>Portland</v>
      </c>
      <c r="C1810" s="66" t="s">
        <v>567</v>
      </c>
      <c r="D1810" t="str" cm="1">
        <f t="array" ref="D1810">INDEX(FX_Multi,$AD1810,D$3)</f>
        <v>Jet kerosene</v>
      </c>
      <c r="E1810" t="str" cm="1">
        <f t="array" ref="E1810">INDEX(FX_Multi,$AD1810,E$3)</f>
        <v>Jet kerosene</v>
      </c>
      <c r="F1810" t="str" cm="1">
        <f t="array" ref="F1810">INDEX(FX_Multi,$AD1810,F$3)</f>
        <v>Jet kerosene</v>
      </c>
      <c r="G1810" t="str" cm="1">
        <f t="array" ref="G1810">INDEX(FX_Multi,$AD1810,G$3)</f>
        <v>Jet kerosene</v>
      </c>
      <c r="H1810" t="str" cm="1">
        <f t="array" ref="H1810">INDEX(FX_Multi,$AD1810,H$3)</f>
        <v>Jet kerosene</v>
      </c>
      <c r="I1810" t="str" cm="1">
        <f t="array" ref="I1810">INDEX(FX_Multi,$AD1810,I$3)</f>
        <v>Jet kerosene</v>
      </c>
      <c r="J1810" t="str" cm="1">
        <f t="array" ref="J1810">INDEX(FX_Multi,$AD1810,J$3)</f>
        <v>Jet kerosene</v>
      </c>
      <c r="K1810" t="str" cm="1">
        <f t="array" ref="K1810">INDEX(FX_Multi,$AD1810,K$3)</f>
        <v>Jet kerosene</v>
      </c>
      <c r="L1810" t="str" cm="1">
        <f t="array" ref="L1810">INDEX(FX_Multi,$AD1810,L$3)</f>
        <v>Jet kerosene</v>
      </c>
      <c r="M1810" t="str" cm="1">
        <f t="array" ref="M1810">INDEX(FX_Multi,$AD1810,M$3)</f>
        <v>Jet kerosene</v>
      </c>
      <c r="N1810" t="str" cm="1">
        <f t="array" ref="N1810">INDEX(FX_Multi,$AD1810,N$3)</f>
        <v>Jet kerosene</v>
      </c>
      <c r="O1810" t="str" cm="1">
        <f t="array" ref="O1810">INDEX(FX_Multi,$AD1810,O$3)</f>
        <v>Jet kerosene</v>
      </c>
      <c r="AC1810">
        <v>1</v>
      </c>
      <c r="AD1810">
        <f>AD1807</f>
        <v>743</v>
      </c>
      <c r="AE1810">
        <v>1</v>
      </c>
      <c r="AF1810">
        <f>AF1807</f>
        <v>743</v>
      </c>
    </row>
    <row r="1811" spans="2:32" x14ac:dyDescent="0.4">
      <c r="B1811" t="str">
        <f t="shared" si="6674"/>
        <v>Portland</v>
      </c>
      <c r="C1811" s="66" t="s">
        <v>566</v>
      </c>
      <c r="D1811" t="str" cm="1">
        <f t="array" ref="D1811">INDEX(FX_Multi,$AD1811,D$3)</f>
        <v>Select Pet Stock</v>
      </c>
      <c r="E1811" t="str" cm="1">
        <f t="array" ref="E1811">INDEX(FX_Multi,$AD1811,E$3)</f>
        <v>Select Pet Stock</v>
      </c>
      <c r="F1811" t="str" cm="1">
        <f t="array" ref="F1811">INDEX(FX_Multi,$AD1811,F$3)</f>
        <v>Select Pet Stock</v>
      </c>
      <c r="G1811" t="str" cm="1">
        <f t="array" ref="G1811">INDEX(FX_Multi,$AD1811,G$3)</f>
        <v>Select Pet Stock</v>
      </c>
      <c r="H1811" t="str" cm="1">
        <f t="array" ref="H1811">INDEX(FX_Multi,$AD1811,H$3)</f>
        <v>Select Pet Stock</v>
      </c>
      <c r="I1811" t="str" cm="1">
        <f t="array" ref="I1811">INDEX(FX_Multi,$AD1811,I$3)</f>
        <v>Select Pet Stock</v>
      </c>
      <c r="J1811" t="str" cm="1">
        <f t="array" ref="J1811">INDEX(FX_Multi,$AD1811,J$3)</f>
        <v>Select Pet Stock</v>
      </c>
      <c r="K1811" t="str" cm="1">
        <f t="array" ref="K1811">INDEX(FX_Multi,$AD1811,K$3)</f>
        <v>Select Pet Stock</v>
      </c>
      <c r="L1811" t="str" cm="1">
        <f t="array" ref="L1811">INDEX(FX_Multi,$AD1811,L$3)</f>
        <v>Select Pet Stock</v>
      </c>
      <c r="M1811" t="str" cm="1">
        <f t="array" ref="M1811">INDEX(FX_Multi,$AD1811,M$3)</f>
        <v>Select Pet Stock</v>
      </c>
      <c r="N1811" t="str" cm="1">
        <f t="array" ref="N1811">INDEX(FX_Multi,$AD1811,N$3)</f>
        <v>Select Pet Stock</v>
      </c>
      <c r="O1811" t="str" cm="1">
        <f t="array" ref="O1811">INDEX(FX_Multi,$AD1811,O$3)</f>
        <v>Select Pet Stock</v>
      </c>
      <c r="AC1811">
        <v>1</v>
      </c>
      <c r="AD1811">
        <f>AD1810+2</f>
        <v>745</v>
      </c>
      <c r="AE1811">
        <v>1</v>
      </c>
      <c r="AF1811">
        <f>AF1810+3</f>
        <v>746</v>
      </c>
    </row>
    <row r="1812" spans="2:32" x14ac:dyDescent="0.4">
      <c r="B1812" t="str">
        <f>B1808</f>
        <v>Portland</v>
      </c>
      <c r="C1812" s="66" t="s">
        <v>568</v>
      </c>
      <c r="D1812" cm="1">
        <f t="array" ref="D1812">INDEX(FX_Multi,$AD1812,D$3)</f>
        <v>0</v>
      </c>
      <c r="E1812" cm="1">
        <f t="array" ref="E1812">INDEX(FX_Multi,$AD1812,E$3)</f>
        <v>0</v>
      </c>
      <c r="F1812" cm="1">
        <f t="array" ref="F1812">INDEX(FX_Multi,$AD1812,F$3)</f>
        <v>0</v>
      </c>
      <c r="G1812" cm="1">
        <f t="array" ref="G1812">INDEX(FX_Multi,$AD1812,G$3)</f>
        <v>0</v>
      </c>
      <c r="H1812" cm="1">
        <f t="array" ref="H1812">INDEX(FX_Multi,$AD1812,H$3)</f>
        <v>0</v>
      </c>
      <c r="I1812" cm="1">
        <f t="array" ref="I1812">INDEX(FX_Multi,$AD1812,I$3)</f>
        <v>0</v>
      </c>
      <c r="J1812" cm="1">
        <f t="array" ref="J1812">INDEX(FX_Multi,$AD1812,J$3)</f>
        <v>0</v>
      </c>
      <c r="K1812" cm="1">
        <f t="array" ref="K1812">INDEX(FX_Multi,$AD1812,K$3)</f>
        <v>0</v>
      </c>
      <c r="L1812" cm="1">
        <f t="array" ref="L1812">INDEX(FX_Multi,$AD1812,L$3)</f>
        <v>0</v>
      </c>
      <c r="M1812" cm="1">
        <f t="array" ref="M1812">INDEX(FX_Multi,$AD1812,M$3)</f>
        <v>0</v>
      </c>
      <c r="N1812" cm="1">
        <f t="array" ref="N1812">INDEX(FX_Multi,$AD1812,N$3)</f>
        <v>0</v>
      </c>
      <c r="O1812" cm="1">
        <f t="array" ref="O1812">INDEX(FX_Multi,$AD1812,O$3)</f>
        <v>0</v>
      </c>
      <c r="AC1812">
        <v>1</v>
      </c>
      <c r="AD1812">
        <f>AD1811-1</f>
        <v>744</v>
      </c>
      <c r="AE1812">
        <v>1</v>
      </c>
      <c r="AF1812">
        <f>AF1810+1</f>
        <v>744</v>
      </c>
    </row>
    <row r="1813" spans="2:32" x14ac:dyDescent="0.4">
      <c r="B1813" t="str">
        <f t="shared" ref="B1813:B1817" si="6675">B1812</f>
        <v>Portland</v>
      </c>
      <c r="C1813" s="66" t="s">
        <v>569</v>
      </c>
      <c r="D1813" cm="1">
        <f t="array" ref="D1813">INDEX(FX_Multi,$AD1813,D$3)</f>
        <v>0</v>
      </c>
      <c r="E1813" cm="1">
        <f t="array" ref="E1813">INDEX(FX_Multi,$AD1813,E$3)</f>
        <v>0</v>
      </c>
      <c r="F1813" cm="1">
        <f t="array" ref="F1813">INDEX(FX_Multi,$AD1813,F$3)</f>
        <v>0</v>
      </c>
      <c r="G1813" cm="1">
        <f t="array" ref="G1813">INDEX(FX_Multi,$AD1813,G$3)</f>
        <v>0</v>
      </c>
      <c r="H1813" cm="1">
        <f t="array" ref="H1813">INDEX(FX_Multi,$AD1813,H$3)</f>
        <v>0</v>
      </c>
      <c r="I1813" cm="1">
        <f t="array" ref="I1813">INDEX(FX_Multi,$AD1813,I$3)</f>
        <v>0</v>
      </c>
      <c r="J1813" cm="1">
        <f t="array" ref="J1813">INDEX(FX_Multi,$AD1813,J$3)</f>
        <v>0</v>
      </c>
      <c r="K1813" cm="1">
        <f t="array" ref="K1813">INDEX(FX_Multi,$AD1813,K$3)</f>
        <v>0</v>
      </c>
      <c r="L1813" cm="1">
        <f t="array" ref="L1813">INDEX(FX_Multi,$AD1813,L$3)</f>
        <v>0</v>
      </c>
      <c r="M1813" cm="1">
        <f t="array" ref="M1813">INDEX(FX_Multi,$AD1813,M$3)</f>
        <v>0</v>
      </c>
      <c r="N1813" cm="1">
        <f t="array" ref="N1813">INDEX(FX_Multi,$AD1813,N$3)</f>
        <v>0</v>
      </c>
      <c r="O1813" cm="1">
        <f t="array" ref="O1813">INDEX(FX_Multi,$AD1813,O$3)</f>
        <v>0</v>
      </c>
      <c r="AC1813">
        <v>1</v>
      </c>
      <c r="AD1813">
        <f>AD1812+2</f>
        <v>746</v>
      </c>
      <c r="AE1813">
        <v>1</v>
      </c>
      <c r="AF1813">
        <f>AF1811</f>
        <v>746</v>
      </c>
    </row>
    <row r="1814" spans="2:32" ht="17.149999999999999" x14ac:dyDescent="0.55000000000000004">
      <c r="B1814" t="str">
        <f t="shared" si="6675"/>
        <v>Portland</v>
      </c>
      <c r="C1814" t="s">
        <v>570</v>
      </c>
      <c r="D1814" cm="1">
        <f t="array" ref="D1814">INDEX(FX_Multi,$AD1814,D$3)</f>
        <v>1</v>
      </c>
      <c r="E1814" cm="1">
        <f t="array" ref="E1814">INDEX(FX_Multi,$AD1814,E$3)</f>
        <v>1</v>
      </c>
      <c r="F1814" cm="1">
        <f t="array" ref="F1814">INDEX(FX_Multi,$AD1814,F$3)</f>
        <v>1</v>
      </c>
      <c r="G1814" cm="1">
        <f t="array" ref="G1814">INDEX(FX_Multi,$AD1814,G$3)</f>
        <v>1</v>
      </c>
      <c r="H1814" cm="1">
        <f t="array" ref="H1814">INDEX(FX_Multi,$AD1814,H$3)</f>
        <v>1</v>
      </c>
      <c r="I1814" cm="1">
        <f t="array" ref="I1814">INDEX(FX_Multi,$AD1814,I$3)</f>
        <v>1</v>
      </c>
      <c r="J1814" cm="1">
        <f t="array" ref="J1814">INDEX(FX_Multi,$AD1814,J$3)</f>
        <v>1</v>
      </c>
      <c r="K1814" cm="1">
        <f t="array" ref="K1814">INDEX(FX_Multi,$AD1814,K$3)</f>
        <v>1</v>
      </c>
      <c r="L1814" cm="1">
        <f t="array" ref="L1814">INDEX(FX_Multi,$AD1814,L$3)</f>
        <v>1</v>
      </c>
      <c r="M1814" cm="1">
        <f t="array" ref="M1814">INDEX(FX_Multi,$AD1814,M$3)</f>
        <v>1</v>
      </c>
      <c r="N1814" cm="1">
        <f t="array" ref="N1814">INDEX(FX_Multi,$AD1814,N$3)</f>
        <v>1</v>
      </c>
      <c r="O1814" cm="1">
        <f t="array" ref="O1814">INDEX(FX_Multi,$AD1814,O$3)</f>
        <v>1</v>
      </c>
      <c r="AC1814">
        <v>1</v>
      </c>
      <c r="AD1814">
        <f>AD1813+6</f>
        <v>752</v>
      </c>
      <c r="AE1814">
        <v>1</v>
      </c>
      <c r="AF1814">
        <f>AF1810+9</f>
        <v>752</v>
      </c>
    </row>
    <row r="1815" spans="2:32" ht="17.149999999999999" x14ac:dyDescent="0.55000000000000004">
      <c r="B1815" t="str">
        <f t="shared" si="6675"/>
        <v>Portland</v>
      </c>
      <c r="C1815" t="s">
        <v>571</v>
      </c>
      <c r="D1815" cm="1">
        <f t="array" ref="D1815">INDEX(FX_Multi,$AD1815,D$3)</f>
        <v>162</v>
      </c>
      <c r="E1815" cm="1">
        <f t="array" ref="E1815">INDEX(FX_Multi,$AD1815,E$3)</f>
        <v>162</v>
      </c>
      <c r="F1815" cm="1">
        <f t="array" ref="F1815">INDEX(FX_Multi,$AD1815,F$3)</f>
        <v>162</v>
      </c>
      <c r="G1815" cm="1">
        <f t="array" ref="G1815">INDEX(FX_Multi,$AD1815,G$3)</f>
        <v>162</v>
      </c>
      <c r="H1815" cm="1">
        <f t="array" ref="H1815">INDEX(FX_Multi,$AD1815,H$3)</f>
        <v>162</v>
      </c>
      <c r="I1815" cm="1">
        <f t="array" ref="I1815">INDEX(FX_Multi,$AD1815,I$3)</f>
        <v>162</v>
      </c>
      <c r="J1815" cm="1">
        <f t="array" ref="J1815">INDEX(FX_Multi,$AD1815,J$3)</f>
        <v>162</v>
      </c>
      <c r="K1815" cm="1">
        <f t="array" ref="K1815">INDEX(FX_Multi,$AD1815,K$3)</f>
        <v>162</v>
      </c>
      <c r="L1815" cm="1">
        <f t="array" ref="L1815">INDEX(FX_Multi,$AD1815,L$3)</f>
        <v>162</v>
      </c>
      <c r="M1815" cm="1">
        <f t="array" ref="M1815">INDEX(FX_Multi,$AD1815,M$3)</f>
        <v>162</v>
      </c>
      <c r="N1815" cm="1">
        <f t="array" ref="N1815">INDEX(FX_Multi,$AD1815,N$3)</f>
        <v>162</v>
      </c>
      <c r="O1815" cm="1">
        <f t="array" ref="O1815">INDEX(FX_Multi,$AD1815,O$3)</f>
        <v>162</v>
      </c>
      <c r="AC1815">
        <v>1</v>
      </c>
      <c r="AD1815">
        <f>AD1814-3</f>
        <v>749</v>
      </c>
      <c r="AE1815">
        <v>1</v>
      </c>
      <c r="AF1815">
        <f>AF1810+6</f>
        <v>749</v>
      </c>
    </row>
    <row r="1816" spans="2:32" ht="17.149999999999999" x14ac:dyDescent="0.55000000000000004">
      <c r="B1816" t="str">
        <f t="shared" si="6675"/>
        <v>Portland</v>
      </c>
      <c r="C1816" t="s">
        <v>572</v>
      </c>
      <c r="D1816" cm="1">
        <f t="array" ref="D1816">INDEX(FX_Multi,$AD1816,D$3)</f>
        <v>0</v>
      </c>
      <c r="E1816" cm="1">
        <f t="array" ref="E1816">INDEX(FX_Multi,$AD1816,E$3)</f>
        <v>0</v>
      </c>
      <c r="F1816" cm="1">
        <f t="array" ref="F1816">INDEX(FX_Multi,$AD1816,F$3)</f>
        <v>0</v>
      </c>
      <c r="G1816" cm="1">
        <f t="array" ref="G1816">INDEX(FX_Multi,$AD1816,G$3)</f>
        <v>0</v>
      </c>
      <c r="H1816" cm="1">
        <f t="array" ref="H1816">INDEX(FX_Multi,$AD1816,H$3)</f>
        <v>0</v>
      </c>
      <c r="I1816" cm="1">
        <f t="array" ref="I1816">INDEX(FX_Multi,$AD1816,I$3)</f>
        <v>0</v>
      </c>
      <c r="J1816" cm="1">
        <f t="array" ref="J1816">INDEX(FX_Multi,$AD1816,J$3)</f>
        <v>0</v>
      </c>
      <c r="K1816" cm="1">
        <f t="array" ref="K1816">INDEX(FX_Multi,$AD1816,K$3)</f>
        <v>0</v>
      </c>
      <c r="L1816" cm="1">
        <f t="array" ref="L1816">INDEX(FX_Multi,$AD1816,L$3)</f>
        <v>0</v>
      </c>
      <c r="M1816" cm="1">
        <f t="array" ref="M1816">INDEX(FX_Multi,$AD1816,M$3)</f>
        <v>0</v>
      </c>
      <c r="N1816" cm="1">
        <f t="array" ref="N1816">INDEX(FX_Multi,$AD1816,N$3)</f>
        <v>0</v>
      </c>
      <c r="O1816" cm="1">
        <f t="array" ref="O1816">INDEX(FX_Multi,$AD1816,O$3)</f>
        <v>0</v>
      </c>
      <c r="AC1816">
        <v>1</v>
      </c>
      <c r="AD1816">
        <f>AD1815+4</f>
        <v>753</v>
      </c>
      <c r="AE1816">
        <v>1</v>
      </c>
      <c r="AF1816">
        <f>AF1810+10</f>
        <v>753</v>
      </c>
    </row>
    <row r="1817" spans="2:32" ht="17.149999999999999" x14ac:dyDescent="0.55000000000000004">
      <c r="B1817" t="str">
        <f t="shared" si="6675"/>
        <v>Portland</v>
      </c>
      <c r="C1817" t="s">
        <v>573</v>
      </c>
      <c r="D1817" cm="1">
        <f t="array" ref="D1817">INDEX(FX_Multi,$AD1817,D$3)</f>
        <v>0</v>
      </c>
      <c r="E1817" cm="1">
        <f t="array" ref="E1817">INDEX(FX_Multi,$AD1817,E$3)</f>
        <v>0</v>
      </c>
      <c r="F1817" cm="1">
        <f t="array" ref="F1817">INDEX(FX_Multi,$AD1817,F$3)</f>
        <v>0</v>
      </c>
      <c r="G1817" cm="1">
        <f t="array" ref="G1817">INDEX(FX_Multi,$AD1817,G$3)</f>
        <v>0</v>
      </c>
      <c r="H1817" cm="1">
        <f t="array" ref="H1817">INDEX(FX_Multi,$AD1817,H$3)</f>
        <v>0</v>
      </c>
      <c r="I1817" cm="1">
        <f t="array" ref="I1817">INDEX(FX_Multi,$AD1817,I$3)</f>
        <v>0</v>
      </c>
      <c r="J1817" cm="1">
        <f t="array" ref="J1817">INDEX(FX_Multi,$AD1817,J$3)</f>
        <v>0</v>
      </c>
      <c r="K1817" cm="1">
        <f t="array" ref="K1817">INDEX(FX_Multi,$AD1817,K$3)</f>
        <v>0</v>
      </c>
      <c r="L1817" cm="1">
        <f t="array" ref="L1817">INDEX(FX_Multi,$AD1817,L$3)</f>
        <v>0</v>
      </c>
      <c r="M1817" cm="1">
        <f t="array" ref="M1817">INDEX(FX_Multi,$AD1817,M$3)</f>
        <v>0</v>
      </c>
      <c r="N1817" cm="1">
        <f t="array" ref="N1817">INDEX(FX_Multi,$AD1817,N$3)</f>
        <v>0</v>
      </c>
      <c r="O1817" cm="1">
        <f t="array" ref="O1817">INDEX(FX_Multi,$AD1817,O$3)</f>
        <v>0</v>
      </c>
      <c r="AC1817">
        <v>1</v>
      </c>
      <c r="AD1817">
        <f>AD1816-3</f>
        <v>750</v>
      </c>
      <c r="AE1817">
        <v>1</v>
      </c>
      <c r="AF1817">
        <f>AF1810+7</f>
        <v>750</v>
      </c>
    </row>
    <row r="1818" spans="2:32" ht="17.149999999999999" x14ac:dyDescent="0.55000000000000004">
      <c r="B1818" t="str">
        <f>B1813</f>
        <v>Portland</v>
      </c>
      <c r="C1818" t="s">
        <v>526</v>
      </c>
      <c r="D1818" cm="1">
        <f t="array" ref="D1818">INDEX(FX_Temps,$AF1818,D$3)</f>
        <v>43.172792000000015</v>
      </c>
      <c r="E1818" cm="1">
        <f t="array" ref="E1818">INDEX(FX_Temps,$AF1818,E$3)</f>
        <v>44.426400000000058</v>
      </c>
      <c r="F1818" cm="1">
        <f t="array" ref="F1818">INDEX(FX_Temps,$AF1818,F$3)</f>
        <v>46.918887999999981</v>
      </c>
      <c r="G1818" cm="1">
        <f t="array" ref="G1818">INDEX(FX_Temps,$AF1818,G$3)</f>
        <v>50.857888000000003</v>
      </c>
      <c r="H1818" cm="1">
        <f t="array" ref="H1818">INDEX(FX_Temps,$AF1818,H$3)</f>
        <v>56.551928000000089</v>
      </c>
      <c r="I1818" cm="1">
        <f t="array" ref="I1818">INDEX(FX_Temps,$AF1818,I$3)</f>
        <v>60.866887999999904</v>
      </c>
      <c r="J1818" cm="1">
        <f t="array" ref="J1818">INDEX(FX_Temps,$AF1818,J$3)</f>
        <v>64.646351999999979</v>
      </c>
      <c r="K1818" cm="1">
        <f t="array" ref="K1818">INDEX(FX_Temps,$AF1818,K$3)</f>
        <v>64.06444799999997</v>
      </c>
      <c r="L1818" cm="1">
        <f t="array" ref="L1818">INDEX(FX_Temps,$AF1818,L$3)</f>
        <v>60.037023999999974</v>
      </c>
      <c r="M1818" cm="1">
        <f t="array" ref="M1818">INDEX(FX_Temps,$AF1818,M$3)</f>
        <v>52.581232</v>
      </c>
      <c r="N1818" cm="1">
        <f t="array" ref="N1818">INDEX(FX_Temps,$AF1818,N$3)</f>
        <v>46.202103999999963</v>
      </c>
      <c r="O1818" cm="1">
        <f t="array" ref="O1818">INDEX(FX_Temps,$AF1818,O$3)</f>
        <v>42.791088000000059</v>
      </c>
      <c r="AE1818">
        <v>1</v>
      </c>
      <c r="AF1818">
        <f>AF1810+10</f>
        <v>753</v>
      </c>
    </row>
    <row r="1819" spans="2:32" ht="17.149999999999999" x14ac:dyDescent="0.55000000000000004">
      <c r="B1819" t="str">
        <f t="shared" ref="B1819:B1840" si="6676">B1818</f>
        <v>Portland</v>
      </c>
      <c r="C1819" t="s">
        <v>527</v>
      </c>
      <c r="D1819" cm="1">
        <f t="array" ref="D1819">INDEX(FX_Temps,$AF1819,D$3)</f>
        <v>47.332791999999984</v>
      </c>
      <c r="E1819" cm="1">
        <f t="array" ref="E1819">INDEX(FX_Temps,$AF1819,E$3)</f>
        <v>49.706400000000031</v>
      </c>
      <c r="F1819" cm="1">
        <f t="array" ref="F1819">INDEX(FX_Temps,$AF1819,F$3)</f>
        <v>52.198888000000068</v>
      </c>
      <c r="G1819" cm="1">
        <f t="array" ref="G1819">INDEX(FX_Temps,$AF1819,G$3)</f>
        <v>56.217888000000016</v>
      </c>
      <c r="H1819" cm="1">
        <f t="array" ref="H1819">INDEX(FX_Temps,$AF1819,H$3)</f>
        <v>61.871928000000025</v>
      </c>
      <c r="I1819" cm="1">
        <f t="array" ref="I1819">INDEX(FX_Temps,$AF1819,I$3)</f>
        <v>65.866888000000017</v>
      </c>
      <c r="J1819" cm="1">
        <f t="array" ref="J1819">INDEX(FX_Temps,$AF1819,J$3)</f>
        <v>69.726351999999906</v>
      </c>
      <c r="K1819" cm="1">
        <f t="array" ref="K1819">INDEX(FX_Temps,$AF1819,K$3)</f>
        <v>69.504448000000025</v>
      </c>
      <c r="L1819" cm="1">
        <f t="array" ref="L1819">INDEX(FX_Temps,$AF1819,L$3)</f>
        <v>66.597024000000033</v>
      </c>
      <c r="M1819" cm="1">
        <f t="array" ref="M1819">INDEX(FX_Temps,$AF1819,M$3)</f>
        <v>58.461231999999995</v>
      </c>
      <c r="N1819" cm="1">
        <f t="array" ref="N1819">INDEX(FX_Temps,$AF1819,N$3)</f>
        <v>51.082104000000015</v>
      </c>
      <c r="O1819" cm="1">
        <f t="array" ref="O1819">INDEX(FX_Temps,$AF1819,O$3)</f>
        <v>46.791088000000059</v>
      </c>
      <c r="AE1819">
        <f>AE1818</f>
        <v>1</v>
      </c>
      <c r="AF1819">
        <f>AF1810+11</f>
        <v>754</v>
      </c>
    </row>
    <row r="1820" spans="2:32" ht="17.149999999999999" x14ac:dyDescent="0.55000000000000004">
      <c r="B1820" t="str">
        <f t="shared" si="6676"/>
        <v>Portland</v>
      </c>
      <c r="C1820" t="s">
        <v>552</v>
      </c>
      <c r="D1820" cm="1">
        <f t="array" ref="D1820">INDEX(FX_Temps,$AF1820,D$3)</f>
        <v>45.869505999999944</v>
      </c>
      <c r="E1820" cm="1">
        <f t="array" ref="E1820">INDEX(FX_Temps,$AF1820,E$3)</f>
        <v>48.145200000000045</v>
      </c>
      <c r="F1820" cm="1">
        <f t="array" ref="F1820">INDEX(FX_Temps,$AF1820,F$3)</f>
        <v>51.135734000000014</v>
      </c>
      <c r="G1820" cm="1">
        <f t="array" ref="G1820">INDEX(FX_Temps,$AF1820,G$3)</f>
        <v>55.788983999999914</v>
      </c>
      <c r="H1820" cm="1">
        <f t="array" ref="H1820">INDEX(FX_Temps,$AF1820,H$3)</f>
        <v>61.975454000000013</v>
      </c>
      <c r="I1820" cm="1">
        <f t="array" ref="I1820">INDEX(FX_Temps,$AF1820,I$3)</f>
        <v>66.292234000000008</v>
      </c>
      <c r="J1820" cm="1">
        <f t="array" ref="J1820">INDEX(FX_Temps,$AF1820,J$3)</f>
        <v>70.257335999999896</v>
      </c>
      <c r="K1820" cm="1">
        <f t="array" ref="K1820">INDEX(FX_Temps,$AF1820,K$3)</f>
        <v>69.467063999999937</v>
      </c>
      <c r="L1820" cm="1">
        <f t="array" ref="L1820">INDEX(FX_Temps,$AF1820,L$3)</f>
        <v>65.467431999999917</v>
      </c>
      <c r="M1820" cm="1">
        <f t="array" ref="M1820">INDEX(FX_Temps,$AF1820,M$3)</f>
        <v>56.830175999999938</v>
      </c>
      <c r="N1820" cm="1">
        <f t="array" ref="N1820">INDEX(FX_Temps,$AF1820,N$3)</f>
        <v>49.345121999999947</v>
      </c>
      <c r="O1820" cm="1">
        <f t="array" ref="O1820">INDEX(FX_Temps,$AF1820,O$3)</f>
        <v>45.334084000000018</v>
      </c>
      <c r="AE1820">
        <f>AE1819</f>
        <v>1</v>
      </c>
      <c r="AF1820">
        <f>AF1810+13</f>
        <v>756</v>
      </c>
    </row>
    <row r="1821" spans="2:32" ht="17.149999999999999" x14ac:dyDescent="0.55000000000000004">
      <c r="B1821" t="str">
        <f t="shared" si="6676"/>
        <v>Portland</v>
      </c>
      <c r="C1821" t="s">
        <v>574</v>
      </c>
      <c r="D1821" cm="1">
        <f t="array" ref="D1821">IFERROR(IF(D1811="Chemical",(10^(INDEX(Antoines,MATCH(D1810,Antoine_Name,0),2)-INDEX(Antoines,MATCH(D1810,Antoine_Name,0),3)/(INDEX(Antoines,MATCH(D1810,Antoine_Name,0),4)+(D1818-32)*5/9)))*14.7/760,IF(D1811="Crude Oil",EXP((2799/(D1818+459.6)-2.227)*LOG10(INDEX(FX_Input,Q$5,D$3*$Z$5+$AA$5))-(7261/(D1818+459.6))+12.82),IF(D1811="Refined Petroleum Stock",EXP((0.7553-(413/(D1818+459.6)))*(INDEX(FX_Input,Q$5,D$3*$Z$5+$AA$5-1)^0.5)*LOG10(INDEX(FX_Input,Q$5,D$3*$Z$5+$AA$5))-(1.854-(1042/(D1818+459.6)))*(INDEX(FX_Input,Q$5,D$3*$Z$5+$AA$5-1)^0.5)+((2416/(D1818+459.6)-2.013)*LOG10(INDEX(FX_Input,Q$5,D$3*$Z$5+$AA$5)))-(8742/(D1818+459.6))+15.64),EXP(INDEX(Antoines,MATCH(D1810,Antoine_Name,0),2)-INDEX(Antoines,MATCH(D1810,Antoine_Name,0),3)/(D1818+459.6))))),0)</f>
        <v>4.6194990608814232E-3</v>
      </c>
      <c r="E1821" cm="1">
        <f t="array" ref="E1821">IFERROR(IF(E1811="Chemical",(10^(INDEX(Antoines,MATCH(E1810,Antoine_Name,0),2)-INDEX(Antoines,MATCH(E1810,Antoine_Name,0),3)/(INDEX(Antoines,MATCH(E1810,Antoine_Name,0),4)+(E1818-32)*5/9)))*14.7/760,IF(E1811="Crude Oil",EXP((2799/(E1818+459.6)-2.227)*LOG10(INDEX(FX_Input,R$5,E$3*$Z$5+$AA$5))-(7261/(E1818+459.6))+12.82),IF(E1811="Refined Petroleum Stock",EXP((0.7553-(413/(E1818+459.6)))*(INDEX(FX_Input,R$5,E$3*$Z$5+$AA$5-1)^0.5)*LOG10(INDEX(FX_Input,R$5,E$3*$Z$5+$AA$5))-(1.854-(1042/(E1818+459.6)))*(INDEX(FX_Input,R$5,E$3*$Z$5+$AA$5-1)^0.5)+((2416/(E1818+459.6)-2.013)*LOG10(INDEX(FX_Input,R$5,E$3*$Z$5+$AA$5)))-(8742/(E1818+459.6))+15.64),EXP(INDEX(Antoines,MATCH(E1810,Antoine_Name,0),2)-INDEX(Antoines,MATCH(E1810,Antoine_Name,0),3)/(E1818+459.6))))),0)</f>
        <v>4.8282172104298976E-3</v>
      </c>
      <c r="F1821" cm="1">
        <f t="array" ref="F1821">IFERROR(IF(F1811="Chemical",(10^(INDEX(Antoines,MATCH(F1810,Antoine_Name,0),2)-INDEX(Antoines,MATCH(F1810,Antoine_Name,0),3)/(INDEX(Antoines,MATCH(F1810,Antoine_Name,0),4)+(F1818-32)*5/9)))*14.7/760,IF(F1811="Crude Oil",EXP((2799/(F1818+459.6)-2.227)*LOG10(INDEX(FX_Input,S$5,F$3*$Z$5+$AA$5))-(7261/(F1818+459.6))+12.82),IF(F1811="Refined Petroleum Stock",EXP((0.7553-(413/(F1818+459.6)))*(INDEX(FX_Input,S$5,F$3*$Z$5+$AA$5-1)^0.5)*LOG10(INDEX(FX_Input,S$5,F$3*$Z$5+$AA$5))-(1.854-(1042/(F1818+459.6)))*(INDEX(FX_Input,S$5,F$3*$Z$5+$AA$5-1)^0.5)+((2416/(F1818+459.6)-2.013)*LOG10(INDEX(FX_Input,S$5,F$3*$Z$5+$AA$5)))-(8742/(F1818+459.6))+15.64),EXP(INDEX(Antoines,MATCH(F1810,Antoine_Name,0),2)-INDEX(Antoines,MATCH(F1810,Antoine_Name,0),3)/(F1818+459.6))))),0)</f>
        <v>5.2682084022832483E-3</v>
      </c>
      <c r="G1821" cm="1">
        <f t="array" ref="G1821">IFERROR(IF(G1811="Chemical",(10^(INDEX(Antoines,MATCH(G1810,Antoine_Name,0),2)-INDEX(Antoines,MATCH(G1810,Antoine_Name,0),3)/(INDEX(Antoines,MATCH(G1810,Antoine_Name,0),4)+(G1818-32)*5/9)))*14.7/760,IF(G1811="Crude Oil",EXP((2799/(G1818+459.6)-2.227)*LOG10(INDEX(FX_Input,T$5,G$3*$Z$5+$AA$5))-(7261/(G1818+459.6))+12.82),IF(G1811="Refined Petroleum Stock",EXP((0.7553-(413/(G1818+459.6)))*(INDEX(FX_Input,T$5,G$3*$Z$5+$AA$5-1)^0.5)*LOG10(INDEX(FX_Input,T$5,G$3*$Z$5+$AA$5))-(1.854-(1042/(G1818+459.6)))*(INDEX(FX_Input,T$5,G$3*$Z$5+$AA$5-1)^0.5)+((2416/(G1818+459.6)-2.013)*LOG10(INDEX(FX_Input,T$5,G$3*$Z$5+$AA$5)))-(8742/(G1818+459.6))+15.64),EXP(INDEX(Antoines,MATCH(G1810,Antoine_Name,0),2)-INDEX(Antoines,MATCH(G1810,Antoine_Name,0),3)/(G1818+459.6))))),0)</f>
        <v>6.0362371214845376E-3</v>
      </c>
      <c r="H1821" cm="1">
        <f t="array" ref="H1821">IFERROR(IF(H1811="Chemical",(10^(INDEX(Antoines,MATCH(H1810,Antoine_Name,0),2)-INDEX(Antoines,MATCH(H1810,Antoine_Name,0),3)/(INDEX(Antoines,MATCH(H1810,Antoine_Name,0),4)+(H1818-32)*5/9)))*14.7/760,IF(H1811="Crude Oil",EXP((2799/(H1818+459.6)-2.227)*LOG10(INDEX(FX_Input,U$5,H$3*$Z$5+$AA$5))-(7261/(H1818+459.6))+12.82),IF(H1811="Refined Petroleum Stock",EXP((0.7553-(413/(H1818+459.6)))*(INDEX(FX_Input,U$5,H$3*$Z$5+$AA$5-1)^0.5)*LOG10(INDEX(FX_Input,U$5,H$3*$Z$5+$AA$5))-(1.854-(1042/(H1818+459.6)))*(INDEX(FX_Input,U$5,H$3*$Z$5+$AA$5-1)^0.5)+((2416/(H1818+459.6)-2.013)*LOG10(INDEX(FX_Input,U$5,H$3*$Z$5+$AA$5)))-(8742/(H1818+459.6))+15.64),EXP(INDEX(Antoines,MATCH(H1810,Antoine_Name,0),2)-INDEX(Antoines,MATCH(H1810,Antoine_Name,0),3)/(H1818+459.6))))),0)</f>
        <v>7.3216486102608194E-3</v>
      </c>
      <c r="I1821" cm="1">
        <f t="array" ref="I1821">IFERROR(IF(I1811="Chemical",(10^(INDEX(Antoines,MATCH(I1810,Antoine_Name,0),2)-INDEX(Antoines,MATCH(I1810,Antoine_Name,0),3)/(INDEX(Antoines,MATCH(I1810,Antoine_Name,0),4)+(I1818-32)*5/9)))*14.7/760,IF(I1811="Crude Oil",EXP((2799/(I1818+459.6)-2.227)*LOG10(INDEX(FX_Input,V$5,I$3*$Z$5+$AA$5))-(7261/(I1818+459.6))+12.82),IF(I1811="Refined Petroleum Stock",EXP((0.7553-(413/(I1818+459.6)))*(INDEX(FX_Input,V$5,I$3*$Z$5+$AA$5-1)^0.5)*LOG10(INDEX(FX_Input,V$5,I$3*$Z$5+$AA$5))-(1.854-(1042/(I1818+459.6)))*(INDEX(FX_Input,V$5,I$3*$Z$5+$AA$5-1)^0.5)+((2416/(I1818+459.6)-2.013)*LOG10(INDEX(FX_Input,V$5,I$3*$Z$5+$AA$5)))-(8742/(I1818+459.6))+15.64),EXP(INDEX(Antoines,MATCH(I1810,Antoine_Name,0),2)-INDEX(Antoines,MATCH(I1810,Antoine_Name,0),3)/(I1818+459.6))))),0)</f>
        <v>8.4512935625408649E-3</v>
      </c>
      <c r="J1821" cm="1">
        <f t="array" ref="J1821">IFERROR(IF(J1811="Chemical",(10^(INDEX(Antoines,MATCH(J1810,Antoine_Name,0),2)-INDEX(Antoines,MATCH(J1810,Antoine_Name,0),3)/(INDEX(Antoines,MATCH(J1810,Antoine_Name,0),4)+(J1818-32)*5/9)))*14.7/760,IF(J1811="Crude Oil",EXP((2799/(J1818+459.6)-2.227)*LOG10(INDEX(FX_Input,W$5,J$3*$Z$5+$AA$5))-(7261/(J1818+459.6))+12.82),IF(J1811="Refined Petroleum Stock",EXP((0.7553-(413/(J1818+459.6)))*(INDEX(FX_Input,W$5,J$3*$Z$5+$AA$5-1)^0.5)*LOG10(INDEX(FX_Input,W$5,J$3*$Z$5+$AA$5))-(1.854-(1042/(J1818+459.6)))*(INDEX(FX_Input,W$5,J$3*$Z$5+$AA$5-1)^0.5)+((2416/(J1818+459.6)-2.013)*LOG10(INDEX(FX_Input,W$5,J$3*$Z$5+$AA$5)))-(8742/(J1818+459.6))+15.64),EXP(INDEX(Antoines,MATCH(J1810,Antoine_Name,0),2)-INDEX(Antoines,MATCH(J1810,Antoine_Name,0),3)/(J1818+459.6))))),0)</f>
        <v>9.5644811343706445E-3</v>
      </c>
      <c r="K1821" cm="1">
        <f t="array" ref="K1821">IFERROR(IF(K1811="Chemical",(10^(INDEX(Antoines,MATCH(K1810,Antoine_Name,0),2)-INDEX(Antoines,MATCH(K1810,Antoine_Name,0),3)/(INDEX(Antoines,MATCH(K1810,Antoine_Name,0),4)+(K1818-32)*5/9)))*14.7/760,IF(K1811="Crude Oil",EXP((2799/(K1818+459.6)-2.227)*LOG10(INDEX(FX_Input,X$5,K$3*$Z$5+$AA$5))-(7261/(K1818+459.6))+12.82),IF(K1811="Refined Petroleum Stock",EXP((0.7553-(413/(K1818+459.6)))*(INDEX(FX_Input,X$5,K$3*$Z$5+$AA$5-1)^0.5)*LOG10(INDEX(FX_Input,X$5,K$3*$Z$5+$AA$5))-(1.854-(1042/(K1818+459.6)))*(INDEX(FX_Input,X$5,K$3*$Z$5+$AA$5-1)^0.5)+((2416/(K1818+459.6)-2.013)*LOG10(INDEX(FX_Input,X$5,K$3*$Z$5+$AA$5)))-(8742/(K1818+459.6))+15.64),EXP(INDEX(Antoines,MATCH(K1810,Antoine_Name,0),2)-INDEX(Antoines,MATCH(K1810,Antoine_Name,0),3)/(K1818+459.6))))),0)</f>
        <v>9.3850836134020087E-3</v>
      </c>
      <c r="L1821" cm="1">
        <f t="array" ref="L1821">IFERROR(IF(L1811="Chemical",(10^(INDEX(Antoines,MATCH(L1810,Antoine_Name,0),2)-INDEX(Antoines,MATCH(L1810,Antoine_Name,0),3)/(INDEX(Antoines,MATCH(L1810,Antoine_Name,0),4)+(L1818-32)*5/9)))*14.7/760,IF(L1811="Crude Oil",EXP((2799/(L1818+459.6)-2.227)*LOG10(INDEX(FX_Input,Y$5,L$3*$Z$5+$AA$5))-(7261/(L1818+459.6))+12.82),IF(L1811="Refined Petroleum Stock",EXP((0.7553-(413/(L1818+459.6)))*(INDEX(FX_Input,Y$5,L$3*$Z$5+$AA$5-1)^0.5)*LOG10(INDEX(FX_Input,Y$5,L$3*$Z$5+$AA$5))-(1.854-(1042/(L1818+459.6)))*(INDEX(FX_Input,Y$5,L$3*$Z$5+$AA$5-1)^0.5)+((2416/(L1818+459.6)-2.013)*LOG10(INDEX(FX_Input,Y$5,L$3*$Z$5+$AA$5)))-(8742/(L1818+459.6))+15.64),EXP(INDEX(Antoines,MATCH(L1810,Antoine_Name,0),2)-INDEX(Antoines,MATCH(L1810,Antoine_Name,0),3)/(L1818+459.6))))),0)</f>
        <v>8.2227885052245445E-3</v>
      </c>
      <c r="M1821" cm="1">
        <f t="array" ref="M1821">IFERROR(IF(M1811="Chemical",(10^(INDEX(Antoines,MATCH(M1810,Antoine_Name,0),2)-INDEX(Antoines,MATCH(M1810,Antoine_Name,0),3)/(INDEX(Antoines,MATCH(M1810,Antoine_Name,0),4)+(M1818-32)*5/9)))*14.7/760,IF(M1811="Crude Oil",EXP((2799/(M1818+459.6)-2.227)*LOG10(INDEX(FX_Input,Z$5,M$3*$Z$5+$AA$5))-(7261/(M1818+459.6))+12.82),IF(M1811="Refined Petroleum Stock",EXP((0.7553-(413/(M1818+459.6)))*(INDEX(FX_Input,Z$5,M$3*$Z$5+$AA$5-1)^0.5)*LOG10(INDEX(FX_Input,Z$5,M$3*$Z$5+$AA$5))-(1.854-(1042/(M1818+459.6)))*(INDEX(FX_Input,Z$5,M$3*$Z$5+$AA$5-1)^0.5)+((2416/(M1818+459.6)-2.013)*LOG10(INDEX(FX_Input,Z$5,M$3*$Z$5+$AA$5)))-(8742/(M1818+459.6))+15.64),EXP(INDEX(Antoines,MATCH(M1810,Antoine_Name,0),2)-INDEX(Antoines,MATCH(M1810,Antoine_Name,0),3)/(M1818+459.6))))),0)</f>
        <v>6.4023381240072485E-3</v>
      </c>
      <c r="N1821" cm="1">
        <f t="array" ref="N1821">IFERROR(IF(N1811="Chemical",(10^(INDEX(Antoines,MATCH(N1810,Antoine_Name,0),2)-INDEX(Antoines,MATCH(N1810,Antoine_Name,0),3)/(INDEX(Antoines,MATCH(N1810,Antoine_Name,0),4)+(N1818-32)*5/9)))*14.7/760,IF(N1811="Crude Oil",EXP((2799/(N1818+459.6)-2.227)*LOG10(INDEX(FX_Input,AA$5,N$3*$Z$5+$AA$5))-(7261/(N1818+459.6))+12.82),IF(N1811="Refined Petroleum Stock",EXP((0.7553-(413/(N1818+459.6)))*(INDEX(FX_Input,AA$5,N$3*$Z$5+$AA$5-1)^0.5)*LOG10(INDEX(FX_Input,AA$5,N$3*$Z$5+$AA$5))-(1.854-(1042/(N1818+459.6)))*(INDEX(FX_Input,AA$5,N$3*$Z$5+$AA$5-1)^0.5)+((2416/(N1818+459.6)-2.013)*LOG10(INDEX(FX_Input,AA$5,N$3*$Z$5+$AA$5)))-(8742/(N1818+459.6))+15.64),EXP(INDEX(Antoines,MATCH(N1810,Antoine_Name,0),2)-INDEX(Antoines,MATCH(N1810,Antoine_Name,0),3)/(N1818+459.6))))),0)</f>
        <v>5.1381745102650677E-3</v>
      </c>
      <c r="O1821" cm="1">
        <f t="array" ref="O1821">IFERROR(IF(O1811="Chemical",(10^(INDEX(Antoines,MATCH(O1810,Antoine_Name,0),2)-INDEX(Antoines,MATCH(O1810,Antoine_Name,0),3)/(INDEX(Antoines,MATCH(O1810,Antoine_Name,0),4)+(O1818-32)*5/9)))*14.7/760,IF(O1811="Crude Oil",EXP((2799/(O1818+459.6)-2.227)*LOG10(INDEX(FX_Input,AB$5,O$3*$Z$5+$AA$5))-(7261/(O1818+459.6))+12.82),IF(O1811="Refined Petroleum Stock",EXP((0.7553-(413/(O1818+459.6)))*(INDEX(FX_Input,AB$5,O$3*$Z$5+$AA$5-1)^0.5)*LOG10(INDEX(FX_Input,AB$5,O$3*$Z$5+$AA$5))-(1.854-(1042/(O1818+459.6)))*(INDEX(FX_Input,AB$5,O$3*$Z$5+$AA$5-1)^0.5)+((2416/(O1818+459.6)-2.013)*LOG10(INDEX(FX_Input,AB$5,O$3*$Z$5+$AA$5)))-(8742/(O1818+459.6))+15.64),EXP(INDEX(Antoines,MATCH(O1810,Antoine_Name,0),2)-INDEX(Antoines,MATCH(O1810,Antoine_Name,0),3)/(O1818+459.6))))),0)</f>
        <v>4.5575582050152007E-3</v>
      </c>
    </row>
    <row r="1822" spans="2:32" ht="17.149999999999999" x14ac:dyDescent="0.55000000000000004">
      <c r="B1822" t="str">
        <f t="shared" si="6676"/>
        <v>Portland</v>
      </c>
      <c r="C1822" t="s">
        <v>576</v>
      </c>
      <c r="D1822">
        <f>D1814*D1821</f>
        <v>4.6194990608814232E-3</v>
      </c>
      <c r="E1822">
        <f t="shared" ref="E1822" si="6677">E1814*E1821</f>
        <v>4.8282172104298976E-3</v>
      </c>
      <c r="F1822">
        <f t="shared" ref="F1822" si="6678">F1814*F1821</f>
        <v>5.2682084022832483E-3</v>
      </c>
      <c r="G1822">
        <f t="shared" ref="G1822" si="6679">G1814*G1821</f>
        <v>6.0362371214845376E-3</v>
      </c>
      <c r="H1822">
        <f t="shared" ref="H1822" si="6680">H1814*H1821</f>
        <v>7.3216486102608194E-3</v>
      </c>
      <c r="I1822">
        <f t="shared" ref="I1822" si="6681">I1814*I1821</f>
        <v>8.4512935625408649E-3</v>
      </c>
      <c r="J1822">
        <f t="shared" ref="J1822" si="6682">J1814*J1821</f>
        <v>9.5644811343706445E-3</v>
      </c>
      <c r="K1822">
        <f t="shared" ref="K1822" si="6683">K1814*K1821</f>
        <v>9.3850836134020087E-3</v>
      </c>
      <c r="L1822">
        <f t="shared" ref="L1822" si="6684">L1814*L1821</f>
        <v>8.2227885052245445E-3</v>
      </c>
      <c r="M1822">
        <f t="shared" ref="M1822" si="6685">M1814*M1821</f>
        <v>6.4023381240072485E-3</v>
      </c>
      <c r="N1822">
        <f t="shared" ref="N1822" si="6686">N1814*N1821</f>
        <v>5.1381745102650677E-3</v>
      </c>
      <c r="O1822">
        <f t="shared" ref="O1822" si="6687">O1814*O1821</f>
        <v>4.5575582050152007E-3</v>
      </c>
    </row>
    <row r="1823" spans="2:32" ht="17.149999999999999" x14ac:dyDescent="0.55000000000000004">
      <c r="B1823" t="str">
        <f t="shared" si="6676"/>
        <v>Portland</v>
      </c>
      <c r="C1823" t="s">
        <v>575</v>
      </c>
      <c r="D1823" cm="1">
        <f t="array" ref="D1823">IFERROR(IF(D1813="Chemical",(10^(INDEX(Antoines,MATCH(D1812,Antoine_Name,0),2)-INDEX(Antoines,MATCH(D1812,Antoine_Name,0),3)/(INDEX(Antoines,MATCH(D1812,Antoine_Name,0),4)+(D1818-32)*5/9)))*14.7/760,IF(D1813="Crude Oil",EXP((2799/(D1818+459.6)-2.227)*LOG10(INDEX(FX_Input,Q$5,D$3*$Z$5+$AA$5))-(7261/(D1818+459.6))+12.82),IF(D1813="Refined Petroleum Stock",EXP((0.7553-(413/(D1818+459.6)))*(INDEX(FX_Input,Q$5,D$3*$Z$5+$AA$5-1)^0.5)*LOG10(INDEX(FX_Input,Q$5,D$3*$Z$5+$AA$5))-(1.854-(1042/(D1818+459.6)))*(INDEX(FX_Input,Q$5,D$3*$Z$5+$AA$5-1)^0.5)+((2416/(D1818+459.6)-2.013)*LOG10(INDEX(FX_Input,Q$5,D$3*$Z$5+$AA$5)))-(8742/(D1818+459.6))+15.64),EXP(INDEX(Antoines,MATCH(D1812,Antoine_Name,0),2)-INDEX(Antoines,MATCH(D1812,Antoine_Name,0),3)/(D1818+459.6))))),0)</f>
        <v>0</v>
      </c>
      <c r="E1823" cm="1">
        <f t="array" ref="E1823">IFERROR(IF(E1813="Chemical",(10^(INDEX(Antoines,MATCH(E1812,Antoine_Name,0),2)-INDEX(Antoines,MATCH(E1812,Antoine_Name,0),3)/(INDEX(Antoines,MATCH(E1812,Antoine_Name,0),4)+(E1818-32)*5/9)))*14.7/760,IF(E1813="Crude Oil",EXP((2799/(E1818+459.6)-2.227)*LOG10(INDEX(FX_Input,R$5,E$3*$Z$5+$AA$5))-(7261/(E1818+459.6))+12.82),IF(E1813="Refined Petroleum Stock",EXP((0.7553-(413/(E1818+459.6)))*(INDEX(FX_Input,R$5,E$3*$Z$5+$AA$5-1)^0.5)*LOG10(INDEX(FX_Input,R$5,E$3*$Z$5+$AA$5))-(1.854-(1042/(E1818+459.6)))*(INDEX(FX_Input,R$5,E$3*$Z$5+$AA$5-1)^0.5)+((2416/(E1818+459.6)-2.013)*LOG10(INDEX(FX_Input,R$5,E$3*$Z$5+$AA$5)))-(8742/(E1818+459.6))+15.64),EXP(INDEX(Antoines,MATCH(E1812,Antoine_Name,0),2)-INDEX(Antoines,MATCH(E1812,Antoine_Name,0),3)/(E1818+459.6))))),0)</f>
        <v>0</v>
      </c>
      <c r="F1823" cm="1">
        <f t="array" ref="F1823">IFERROR(IF(F1813="Chemical",(10^(INDEX(Antoines,MATCH(F1812,Antoine_Name,0),2)-INDEX(Antoines,MATCH(F1812,Antoine_Name,0),3)/(INDEX(Antoines,MATCH(F1812,Antoine_Name,0),4)+(F1818-32)*5/9)))*14.7/760,IF(F1813="Crude Oil",EXP((2799/(F1818+459.6)-2.227)*LOG10(INDEX(FX_Input,S$5,F$3*$Z$5+$AA$5))-(7261/(F1818+459.6))+12.82),IF(F1813="Refined Petroleum Stock",EXP((0.7553-(413/(F1818+459.6)))*(INDEX(FX_Input,S$5,F$3*$Z$5+$AA$5-1)^0.5)*LOG10(INDEX(FX_Input,S$5,F$3*$Z$5+$AA$5))-(1.854-(1042/(F1818+459.6)))*(INDEX(FX_Input,S$5,F$3*$Z$5+$AA$5-1)^0.5)+((2416/(F1818+459.6)-2.013)*LOG10(INDEX(FX_Input,S$5,F$3*$Z$5+$AA$5)))-(8742/(F1818+459.6))+15.64),EXP(INDEX(Antoines,MATCH(F1812,Antoine_Name,0),2)-INDEX(Antoines,MATCH(F1812,Antoine_Name,0),3)/(F1818+459.6))))),0)</f>
        <v>0</v>
      </c>
      <c r="G1823" cm="1">
        <f t="array" ref="G1823">IFERROR(IF(G1813="Chemical",(10^(INDEX(Antoines,MATCH(G1812,Antoine_Name,0),2)-INDEX(Antoines,MATCH(G1812,Antoine_Name,0),3)/(INDEX(Antoines,MATCH(G1812,Antoine_Name,0),4)+(G1818-32)*5/9)))*14.7/760,IF(G1813="Crude Oil",EXP((2799/(G1818+459.6)-2.227)*LOG10(INDEX(FX_Input,T$5,G$3*$Z$5+$AA$5))-(7261/(G1818+459.6))+12.82),IF(G1813="Refined Petroleum Stock",EXP((0.7553-(413/(G1818+459.6)))*(INDEX(FX_Input,T$5,G$3*$Z$5+$AA$5-1)^0.5)*LOG10(INDEX(FX_Input,T$5,G$3*$Z$5+$AA$5))-(1.854-(1042/(G1818+459.6)))*(INDEX(FX_Input,T$5,G$3*$Z$5+$AA$5-1)^0.5)+((2416/(G1818+459.6)-2.013)*LOG10(INDEX(FX_Input,T$5,G$3*$Z$5+$AA$5)))-(8742/(G1818+459.6))+15.64),EXP(INDEX(Antoines,MATCH(G1812,Antoine_Name,0),2)-INDEX(Antoines,MATCH(G1812,Antoine_Name,0),3)/(G1818+459.6))))),0)</f>
        <v>0</v>
      </c>
      <c r="H1823" cm="1">
        <f t="array" ref="H1823">IFERROR(IF(H1813="Chemical",(10^(INDEX(Antoines,MATCH(H1812,Antoine_Name,0),2)-INDEX(Antoines,MATCH(H1812,Antoine_Name,0),3)/(INDEX(Antoines,MATCH(H1812,Antoine_Name,0),4)+(H1818-32)*5/9)))*14.7/760,IF(H1813="Crude Oil",EXP((2799/(H1818+459.6)-2.227)*LOG10(INDEX(FX_Input,U$5,H$3*$Z$5+$AA$5))-(7261/(H1818+459.6))+12.82),IF(H1813="Refined Petroleum Stock",EXP((0.7553-(413/(H1818+459.6)))*(INDEX(FX_Input,U$5,H$3*$Z$5+$AA$5-1)^0.5)*LOG10(INDEX(FX_Input,U$5,H$3*$Z$5+$AA$5))-(1.854-(1042/(H1818+459.6)))*(INDEX(FX_Input,U$5,H$3*$Z$5+$AA$5-1)^0.5)+((2416/(H1818+459.6)-2.013)*LOG10(INDEX(FX_Input,U$5,H$3*$Z$5+$AA$5)))-(8742/(H1818+459.6))+15.64),EXP(INDEX(Antoines,MATCH(H1812,Antoine_Name,0),2)-INDEX(Antoines,MATCH(H1812,Antoine_Name,0),3)/(H1818+459.6))))),0)</f>
        <v>0</v>
      </c>
      <c r="I1823" cm="1">
        <f t="array" ref="I1823">IFERROR(IF(I1813="Chemical",(10^(INDEX(Antoines,MATCH(I1812,Antoine_Name,0),2)-INDEX(Antoines,MATCH(I1812,Antoine_Name,0),3)/(INDEX(Antoines,MATCH(I1812,Antoine_Name,0),4)+(I1818-32)*5/9)))*14.7/760,IF(I1813="Crude Oil",EXP((2799/(I1818+459.6)-2.227)*LOG10(INDEX(FX_Input,V$5,I$3*$Z$5+$AA$5))-(7261/(I1818+459.6))+12.82),IF(I1813="Refined Petroleum Stock",EXP((0.7553-(413/(I1818+459.6)))*(INDEX(FX_Input,V$5,I$3*$Z$5+$AA$5-1)^0.5)*LOG10(INDEX(FX_Input,V$5,I$3*$Z$5+$AA$5))-(1.854-(1042/(I1818+459.6)))*(INDEX(FX_Input,V$5,I$3*$Z$5+$AA$5-1)^0.5)+((2416/(I1818+459.6)-2.013)*LOG10(INDEX(FX_Input,V$5,I$3*$Z$5+$AA$5)))-(8742/(I1818+459.6))+15.64),EXP(INDEX(Antoines,MATCH(I1812,Antoine_Name,0),2)-INDEX(Antoines,MATCH(I1812,Antoine_Name,0),3)/(I1818+459.6))))),0)</f>
        <v>0</v>
      </c>
      <c r="J1823" cm="1">
        <f t="array" ref="J1823">IFERROR(IF(J1813="Chemical",(10^(INDEX(Antoines,MATCH(J1812,Antoine_Name,0),2)-INDEX(Antoines,MATCH(J1812,Antoine_Name,0),3)/(INDEX(Antoines,MATCH(J1812,Antoine_Name,0),4)+(J1818-32)*5/9)))*14.7/760,IF(J1813="Crude Oil",EXP((2799/(J1818+459.6)-2.227)*LOG10(INDEX(FX_Input,W$5,J$3*$Z$5+$AA$5))-(7261/(J1818+459.6))+12.82),IF(J1813="Refined Petroleum Stock",EXP((0.7553-(413/(J1818+459.6)))*(INDEX(FX_Input,W$5,J$3*$Z$5+$AA$5-1)^0.5)*LOG10(INDEX(FX_Input,W$5,J$3*$Z$5+$AA$5))-(1.854-(1042/(J1818+459.6)))*(INDEX(FX_Input,W$5,J$3*$Z$5+$AA$5-1)^0.5)+((2416/(J1818+459.6)-2.013)*LOG10(INDEX(FX_Input,W$5,J$3*$Z$5+$AA$5)))-(8742/(J1818+459.6))+15.64),EXP(INDEX(Antoines,MATCH(J1812,Antoine_Name,0),2)-INDEX(Antoines,MATCH(J1812,Antoine_Name,0),3)/(J1818+459.6))))),0)</f>
        <v>0</v>
      </c>
      <c r="K1823" cm="1">
        <f t="array" ref="K1823">IFERROR(IF(K1813="Chemical",(10^(INDEX(Antoines,MATCH(K1812,Antoine_Name,0),2)-INDEX(Antoines,MATCH(K1812,Antoine_Name,0),3)/(INDEX(Antoines,MATCH(K1812,Antoine_Name,0),4)+(K1818-32)*5/9)))*14.7/760,IF(K1813="Crude Oil",EXP((2799/(K1818+459.6)-2.227)*LOG10(INDEX(FX_Input,X$5,K$3*$Z$5+$AA$5))-(7261/(K1818+459.6))+12.82),IF(K1813="Refined Petroleum Stock",EXP((0.7553-(413/(K1818+459.6)))*(INDEX(FX_Input,X$5,K$3*$Z$5+$AA$5-1)^0.5)*LOG10(INDEX(FX_Input,X$5,K$3*$Z$5+$AA$5))-(1.854-(1042/(K1818+459.6)))*(INDEX(FX_Input,X$5,K$3*$Z$5+$AA$5-1)^0.5)+((2416/(K1818+459.6)-2.013)*LOG10(INDEX(FX_Input,X$5,K$3*$Z$5+$AA$5)))-(8742/(K1818+459.6))+15.64),EXP(INDEX(Antoines,MATCH(K1812,Antoine_Name,0),2)-INDEX(Antoines,MATCH(K1812,Antoine_Name,0),3)/(K1818+459.6))))),0)</f>
        <v>0</v>
      </c>
      <c r="L1823" cm="1">
        <f t="array" ref="L1823">IFERROR(IF(L1813="Chemical",(10^(INDEX(Antoines,MATCH(L1812,Antoine_Name,0),2)-INDEX(Antoines,MATCH(L1812,Antoine_Name,0),3)/(INDEX(Antoines,MATCH(L1812,Antoine_Name,0),4)+(L1818-32)*5/9)))*14.7/760,IF(L1813="Crude Oil",EXP((2799/(L1818+459.6)-2.227)*LOG10(INDEX(FX_Input,Y$5,L$3*$Z$5+$AA$5))-(7261/(L1818+459.6))+12.82),IF(L1813="Refined Petroleum Stock",EXP((0.7553-(413/(L1818+459.6)))*(INDEX(FX_Input,Y$5,L$3*$Z$5+$AA$5-1)^0.5)*LOG10(INDEX(FX_Input,Y$5,L$3*$Z$5+$AA$5))-(1.854-(1042/(L1818+459.6)))*(INDEX(FX_Input,Y$5,L$3*$Z$5+$AA$5-1)^0.5)+((2416/(L1818+459.6)-2.013)*LOG10(INDEX(FX_Input,Y$5,L$3*$Z$5+$AA$5)))-(8742/(L1818+459.6))+15.64),EXP(INDEX(Antoines,MATCH(L1812,Antoine_Name,0),2)-INDEX(Antoines,MATCH(L1812,Antoine_Name,0),3)/(L1818+459.6))))),0)</f>
        <v>0</v>
      </c>
      <c r="M1823" cm="1">
        <f t="array" ref="M1823">IFERROR(IF(M1813="Chemical",(10^(INDEX(Antoines,MATCH(M1812,Antoine_Name,0),2)-INDEX(Antoines,MATCH(M1812,Antoine_Name,0),3)/(INDEX(Antoines,MATCH(M1812,Antoine_Name,0),4)+(M1818-32)*5/9)))*14.7/760,IF(M1813="Crude Oil",EXP((2799/(M1818+459.6)-2.227)*LOG10(INDEX(FX_Input,Z$5,M$3*$Z$5+$AA$5))-(7261/(M1818+459.6))+12.82),IF(M1813="Refined Petroleum Stock",EXP((0.7553-(413/(M1818+459.6)))*(INDEX(FX_Input,Z$5,M$3*$Z$5+$AA$5-1)^0.5)*LOG10(INDEX(FX_Input,Z$5,M$3*$Z$5+$AA$5))-(1.854-(1042/(M1818+459.6)))*(INDEX(FX_Input,Z$5,M$3*$Z$5+$AA$5-1)^0.5)+((2416/(M1818+459.6)-2.013)*LOG10(INDEX(FX_Input,Z$5,M$3*$Z$5+$AA$5)))-(8742/(M1818+459.6))+15.64),EXP(INDEX(Antoines,MATCH(M1812,Antoine_Name,0),2)-INDEX(Antoines,MATCH(M1812,Antoine_Name,0),3)/(M1818+459.6))))),0)</f>
        <v>0</v>
      </c>
      <c r="N1823" cm="1">
        <f t="array" ref="N1823">IFERROR(IF(N1813="Chemical",(10^(INDEX(Antoines,MATCH(N1812,Antoine_Name,0),2)-INDEX(Antoines,MATCH(N1812,Antoine_Name,0),3)/(INDEX(Antoines,MATCH(N1812,Antoine_Name,0),4)+(N1818-32)*5/9)))*14.7/760,IF(N1813="Crude Oil",EXP((2799/(N1818+459.6)-2.227)*LOG10(INDEX(FX_Input,AA$5,N$3*$Z$5+$AA$5))-(7261/(N1818+459.6))+12.82),IF(N1813="Refined Petroleum Stock",EXP((0.7553-(413/(N1818+459.6)))*(INDEX(FX_Input,AA$5,N$3*$Z$5+$AA$5-1)^0.5)*LOG10(INDEX(FX_Input,AA$5,N$3*$Z$5+$AA$5))-(1.854-(1042/(N1818+459.6)))*(INDEX(FX_Input,AA$5,N$3*$Z$5+$AA$5-1)^0.5)+((2416/(N1818+459.6)-2.013)*LOG10(INDEX(FX_Input,AA$5,N$3*$Z$5+$AA$5)))-(8742/(N1818+459.6))+15.64),EXP(INDEX(Antoines,MATCH(N1812,Antoine_Name,0),2)-INDEX(Antoines,MATCH(N1812,Antoine_Name,0),3)/(N1818+459.6))))),0)</f>
        <v>0</v>
      </c>
      <c r="O1823" cm="1">
        <f t="array" ref="O1823">IFERROR(IF(O1813="Chemical",(10^(INDEX(Antoines,MATCH(O1812,Antoine_Name,0),2)-INDEX(Antoines,MATCH(O1812,Antoine_Name,0),3)/(INDEX(Antoines,MATCH(O1812,Antoine_Name,0),4)+(O1818-32)*5/9)))*14.7/760,IF(O1813="Crude Oil",EXP((2799/(O1818+459.6)-2.227)*LOG10(INDEX(FX_Input,AB$5,O$3*$Z$5+$AA$5))-(7261/(O1818+459.6))+12.82),IF(O1813="Refined Petroleum Stock",EXP((0.7553-(413/(O1818+459.6)))*(INDEX(FX_Input,AB$5,O$3*$Z$5+$AA$5-1)^0.5)*LOG10(INDEX(FX_Input,AB$5,O$3*$Z$5+$AA$5))-(1.854-(1042/(O1818+459.6)))*(INDEX(FX_Input,AB$5,O$3*$Z$5+$AA$5-1)^0.5)+((2416/(O1818+459.6)-2.013)*LOG10(INDEX(FX_Input,AB$5,O$3*$Z$5+$AA$5)))-(8742/(O1818+459.6))+15.64),EXP(INDEX(Antoines,MATCH(O1812,Antoine_Name,0),2)-INDEX(Antoines,MATCH(O1812,Antoine_Name,0),3)/(O1818+459.6))))),0)</f>
        <v>0</v>
      </c>
    </row>
    <row r="1824" spans="2:32" ht="17.149999999999999" x14ac:dyDescent="0.55000000000000004">
      <c r="B1824" t="str">
        <f t="shared" si="6676"/>
        <v>Portland</v>
      </c>
      <c r="C1824" t="s">
        <v>577</v>
      </c>
      <c r="D1824">
        <f>D1823*D1816</f>
        <v>0</v>
      </c>
      <c r="E1824">
        <f t="shared" ref="E1824" si="6688">E1823*E1816</f>
        <v>0</v>
      </c>
      <c r="F1824">
        <f t="shared" ref="F1824" si="6689">F1823*F1816</f>
        <v>0</v>
      </c>
      <c r="G1824">
        <f t="shared" ref="G1824" si="6690">G1823*G1816</f>
        <v>0</v>
      </c>
      <c r="H1824">
        <f t="shared" ref="H1824" si="6691">H1823*H1816</f>
        <v>0</v>
      </c>
      <c r="I1824">
        <f t="shared" ref="I1824" si="6692">I1823*I1816</f>
        <v>0</v>
      </c>
      <c r="J1824">
        <f t="shared" ref="J1824" si="6693">J1823*J1816</f>
        <v>0</v>
      </c>
      <c r="K1824">
        <f t="shared" ref="K1824" si="6694">K1823*K1816</f>
        <v>0</v>
      </c>
      <c r="L1824">
        <f t="shared" ref="L1824" si="6695">L1823*L1816</f>
        <v>0</v>
      </c>
      <c r="M1824">
        <f t="shared" ref="M1824" si="6696">M1823*M1816</f>
        <v>0</v>
      </c>
      <c r="N1824">
        <f t="shared" ref="N1824" si="6697">N1823*N1816</f>
        <v>0</v>
      </c>
      <c r="O1824">
        <f t="shared" ref="O1824" si="6698">O1823*O1816</f>
        <v>0</v>
      </c>
    </row>
    <row r="1825" spans="1:32" ht="17.149999999999999" x14ac:dyDescent="0.55000000000000004">
      <c r="B1825" t="str">
        <f t="shared" si="6676"/>
        <v>Portland</v>
      </c>
      <c r="C1825" t="s">
        <v>578</v>
      </c>
      <c r="D1825">
        <f>D1824+D1822</f>
        <v>4.6194990608814232E-3</v>
      </c>
      <c r="E1825">
        <f t="shared" ref="E1825" si="6699">E1824+E1822</f>
        <v>4.8282172104298976E-3</v>
      </c>
      <c r="F1825">
        <f t="shared" ref="F1825" si="6700">F1824+F1822</f>
        <v>5.2682084022832483E-3</v>
      </c>
      <c r="G1825">
        <f t="shared" ref="G1825" si="6701">G1824+G1822</f>
        <v>6.0362371214845376E-3</v>
      </c>
      <c r="H1825">
        <f t="shared" ref="H1825" si="6702">H1824+H1822</f>
        <v>7.3216486102608194E-3</v>
      </c>
      <c r="I1825">
        <f t="shared" ref="I1825" si="6703">I1824+I1822</f>
        <v>8.4512935625408649E-3</v>
      </c>
      <c r="J1825">
        <f t="shared" ref="J1825" si="6704">J1824+J1822</f>
        <v>9.5644811343706445E-3</v>
      </c>
      <c r="K1825">
        <f t="shared" ref="K1825" si="6705">K1824+K1822</f>
        <v>9.3850836134020087E-3</v>
      </c>
      <c r="L1825">
        <f t="shared" ref="L1825" si="6706">L1824+L1822</f>
        <v>8.2227885052245445E-3</v>
      </c>
      <c r="M1825">
        <f t="shared" ref="M1825" si="6707">M1824+M1822</f>
        <v>6.4023381240072485E-3</v>
      </c>
      <c r="N1825">
        <f t="shared" ref="N1825" si="6708">N1824+N1822</f>
        <v>5.1381745102650677E-3</v>
      </c>
      <c r="O1825">
        <f t="shared" ref="O1825" si="6709">O1824+O1822</f>
        <v>4.5575582050152007E-3</v>
      </c>
    </row>
    <row r="1826" spans="1:32" ht="17.149999999999999" x14ac:dyDescent="0.55000000000000004">
      <c r="B1826" t="str">
        <f t="shared" si="6676"/>
        <v>Portland</v>
      </c>
      <c r="C1826" t="s">
        <v>579</v>
      </c>
      <c r="D1826" cm="1">
        <f t="array" ref="D1826">IFERROR(IF(D1811="Chemical",(10^(INDEX(Antoines,MATCH(D1810,Antoine_Name,0),2)-INDEX(Antoines,MATCH(D1810,Antoine_Name,0),3)/(INDEX(Antoines,MATCH(D1810,Antoine_Name,0),4)+(D1819-32)*5/9)))*14.7/760,IF(D1811="Crude Oil",EXP((2799/(D1819+459.6)-2.227)*LOG10(INDEX(FX_Input,Q$5,D$3*$Z$5+$AA$5))-(7261/(D1819+459.6))+12.82),IF(D1811="Refined Petroleum Stock",EXP((0.7553-(413/(D1819+459.6)))*(INDEX(FX_Input,Q$5,D$3*$Z$5+$AA$5-1)^0.5)*LOG10(INDEX(FX_Input,Q$5,D$3*$Z$5+$AA$5))-(1.854-(1042/(D1819+459.6)))*(INDEX(FX_Input,Q$5,D$3*$Z$5+$AA$5-1)^0.5)+((2416/(D1819+459.6)-2.013)*LOG10(INDEX(FX_Input,Q$5,D$3*$Z$5+$AA$5)))-(8742/(D1819+459.6))+15.64),EXP(INDEX(Antoines,MATCH(D1810,Antoine_Name,0),2)-INDEX(Antoines,MATCH(D1810,Antoine_Name,0),3)/(D1819+459.6))))),0)</f>
        <v>5.3446173929904582E-3</v>
      </c>
      <c r="E1826" cm="1">
        <f t="array" ref="E1826">IFERROR(IF(E1811="Chemical",(10^(INDEX(Antoines,MATCH(E1810,Antoine_Name,0),2)-INDEX(Antoines,MATCH(E1810,Antoine_Name,0),3)/(INDEX(Antoines,MATCH(E1810,Antoine_Name,0),4)+(E1819-32)*5/9)))*14.7/760,IF(E1811="Crude Oil",EXP((2799/(E1819+459.6)-2.227)*LOG10(INDEX(FX_Input,R$5,E$3*$Z$5+$AA$5))-(7261/(E1819+459.6))+12.82),IF(E1811="Refined Petroleum Stock",EXP((0.7553-(413/(E1819+459.6)))*(INDEX(FX_Input,R$5,E$3*$Z$5+$AA$5-1)^0.5)*LOG10(INDEX(FX_Input,R$5,E$3*$Z$5+$AA$5))-(1.854-(1042/(E1819+459.6)))*(INDEX(FX_Input,R$5,E$3*$Z$5+$AA$5-1)^0.5)+((2416/(E1819+459.6)-2.013)*LOG10(INDEX(FX_Input,R$5,E$3*$Z$5+$AA$5)))-(8742/(E1819+459.6))+15.64),EXP(INDEX(Antoines,MATCH(E1810,Antoine_Name,0),2)-INDEX(Antoines,MATCH(E1810,Antoine_Name,0),3)/(E1819+459.6))))),0)</f>
        <v>5.8020727825229086E-3</v>
      </c>
      <c r="F1826" cm="1">
        <f t="array" ref="F1826">IFERROR(IF(F1811="Chemical",(10^(INDEX(Antoines,MATCH(F1810,Antoine_Name,0),2)-INDEX(Antoines,MATCH(F1810,Antoine_Name,0),3)/(INDEX(Antoines,MATCH(F1810,Antoine_Name,0),4)+(F1819-32)*5/9)))*14.7/760,IF(F1811="Crude Oil",EXP((2799/(F1819+459.6)-2.227)*LOG10(INDEX(FX_Input,S$5,F$3*$Z$5+$AA$5))-(7261/(F1819+459.6))+12.82),IF(F1811="Refined Petroleum Stock",EXP((0.7553-(413/(F1819+459.6)))*(INDEX(FX_Input,S$5,F$3*$Z$5+$AA$5-1)^0.5)*LOG10(INDEX(FX_Input,S$5,F$3*$Z$5+$AA$5))-(1.854-(1042/(F1819+459.6)))*(INDEX(FX_Input,S$5,F$3*$Z$5+$AA$5-1)^0.5)+((2416/(F1819+459.6)-2.013)*LOG10(INDEX(FX_Input,S$5,F$3*$Z$5+$AA$5)))-(8742/(F1819+459.6))+15.64),EXP(INDEX(Antoines,MATCH(F1810,Antoine_Name,0),2)-INDEX(Antoines,MATCH(F1810,Antoine_Name,0),3)/(F1819+459.6))))),0)</f>
        <v>6.3194597984808799E-3</v>
      </c>
      <c r="G1826" cm="1">
        <f t="array" ref="G1826">IFERROR(IF(G1811="Chemical",(10^(INDEX(Antoines,MATCH(G1810,Antoine_Name,0),2)-INDEX(Antoines,MATCH(G1810,Antoine_Name,0),3)/(INDEX(Antoines,MATCH(G1810,Antoine_Name,0),4)+(G1819-32)*5/9)))*14.7/760,IF(G1811="Crude Oil",EXP((2799/(G1819+459.6)-2.227)*LOG10(INDEX(FX_Input,T$5,G$3*$Z$5+$AA$5))-(7261/(G1819+459.6))+12.82),IF(G1811="Refined Petroleum Stock",EXP((0.7553-(413/(G1819+459.6)))*(INDEX(FX_Input,T$5,G$3*$Z$5+$AA$5-1)^0.5)*LOG10(INDEX(FX_Input,T$5,G$3*$Z$5+$AA$5))-(1.854-(1042/(G1819+459.6)))*(INDEX(FX_Input,T$5,G$3*$Z$5+$AA$5-1)^0.5)+((2416/(G1819+459.6)-2.013)*LOG10(INDEX(FX_Input,T$5,G$3*$Z$5+$AA$5)))-(8742/(G1819+459.6))+15.64),EXP(INDEX(Antoines,MATCH(G1810,Antoine_Name,0),2)-INDEX(Antoines,MATCH(G1810,Antoine_Name,0),3)/(G1819+459.6))))),0)</f>
        <v>7.2400469002136831E-3</v>
      </c>
      <c r="H1826" cm="1">
        <f t="array" ref="H1826">IFERROR(IF(H1811="Chemical",(10^(INDEX(Antoines,MATCH(H1810,Antoine_Name,0),2)-INDEX(Antoines,MATCH(H1810,Antoine_Name,0),3)/(INDEX(Antoines,MATCH(H1810,Antoine_Name,0),4)+(H1819-32)*5/9)))*14.7/760,IF(H1811="Crude Oil",EXP((2799/(H1819+459.6)-2.227)*LOG10(INDEX(FX_Input,U$5,H$3*$Z$5+$AA$5))-(7261/(H1819+459.6))+12.82),IF(H1811="Refined Petroleum Stock",EXP((0.7553-(413/(H1819+459.6)))*(INDEX(FX_Input,U$5,H$3*$Z$5+$AA$5-1)^0.5)*LOG10(INDEX(FX_Input,U$5,H$3*$Z$5+$AA$5))-(1.854-(1042/(H1819+459.6)))*(INDEX(FX_Input,U$5,H$3*$Z$5+$AA$5-1)^0.5)+((2416/(H1819+459.6)-2.013)*LOG10(INDEX(FX_Input,U$5,H$3*$Z$5+$AA$5)))-(8742/(H1819+459.6))+15.64),EXP(INDEX(Antoines,MATCH(H1810,Antoine_Name,0),2)-INDEX(Antoines,MATCH(H1810,Antoine_Name,0),3)/(H1819+459.6))))),0)</f>
        <v>8.7355319390561535E-3</v>
      </c>
      <c r="I1826" cm="1">
        <f t="array" ref="I1826">IFERROR(IF(I1811="Chemical",(10^(INDEX(Antoines,MATCH(I1810,Antoine_Name,0),2)-INDEX(Antoines,MATCH(I1810,Antoine_Name,0),3)/(INDEX(Antoines,MATCH(I1810,Antoine_Name,0),4)+(I1819-32)*5/9)))*14.7/760,IF(I1811="Crude Oil",EXP((2799/(I1819+459.6)-2.227)*LOG10(INDEX(FX_Input,V$5,I$3*$Z$5+$AA$5))-(7261/(I1819+459.6))+12.82),IF(I1811="Refined Petroleum Stock",EXP((0.7553-(413/(I1819+459.6)))*(INDEX(FX_Input,V$5,I$3*$Z$5+$AA$5-1)^0.5)*LOG10(INDEX(FX_Input,V$5,I$3*$Z$5+$AA$5))-(1.854-(1042/(I1819+459.6)))*(INDEX(FX_Input,V$5,I$3*$Z$5+$AA$5-1)^0.5)+((2416/(I1819+459.6)-2.013)*LOG10(INDEX(FX_Input,V$5,I$3*$Z$5+$AA$5)))-(8742/(I1819+459.6))+15.64),EXP(INDEX(Antoines,MATCH(I1810,Antoine_Name,0),2)-INDEX(Antoines,MATCH(I1810,Antoine_Name,0),3)/(I1819+459.6))))),0)</f>
        <v>9.9506270401879347E-3</v>
      </c>
      <c r="J1826" cm="1">
        <f t="array" ref="J1826">IFERROR(IF(J1811="Chemical",(10^(INDEX(Antoines,MATCH(J1810,Antoine_Name,0),2)-INDEX(Antoines,MATCH(J1810,Antoine_Name,0),3)/(INDEX(Antoines,MATCH(J1810,Antoine_Name,0),4)+(J1819-32)*5/9)))*14.7/760,IF(J1811="Crude Oil",EXP((2799/(J1819+459.6)-2.227)*LOG10(INDEX(FX_Input,W$5,J$3*$Z$5+$AA$5))-(7261/(J1819+459.6))+12.82),IF(J1811="Refined Petroleum Stock",EXP((0.7553-(413/(J1819+459.6)))*(INDEX(FX_Input,W$5,J$3*$Z$5+$AA$5-1)^0.5)*LOG10(INDEX(FX_Input,W$5,J$3*$Z$5+$AA$5))-(1.854-(1042/(J1819+459.6)))*(INDEX(FX_Input,W$5,J$3*$Z$5+$AA$5-1)^0.5)+((2416/(J1819+459.6)-2.013)*LOG10(INDEX(FX_Input,W$5,J$3*$Z$5+$AA$5)))-(8742/(J1819+459.6))+15.64),EXP(INDEX(Antoines,MATCH(J1810,Antoine_Name,0),2)-INDEX(Antoines,MATCH(J1810,Antoine_Name,0),3)/(J1819+459.6))))),0)</f>
        <v>1.1263733235793187E-2</v>
      </c>
      <c r="K1826" cm="1">
        <f t="array" ref="K1826">IFERROR(IF(K1811="Chemical",(10^(INDEX(Antoines,MATCH(K1810,Antoine_Name,0),2)-INDEX(Antoines,MATCH(K1810,Antoine_Name,0),3)/(INDEX(Antoines,MATCH(K1810,Antoine_Name,0),4)+(K1819-32)*5/9)))*14.7/760,IF(K1811="Crude Oil",EXP((2799/(K1819+459.6)-2.227)*LOG10(INDEX(FX_Input,X$5,K$3*$Z$5+$AA$5))-(7261/(K1819+459.6))+12.82),IF(K1811="Refined Petroleum Stock",EXP((0.7553-(413/(K1819+459.6)))*(INDEX(FX_Input,X$5,K$3*$Z$5+$AA$5-1)^0.5)*LOG10(INDEX(FX_Input,X$5,K$3*$Z$5+$AA$5))-(1.854-(1042/(K1819+459.6)))*(INDEX(FX_Input,X$5,K$3*$Z$5+$AA$5-1)^0.5)+((2416/(K1819+459.6)-2.013)*LOG10(INDEX(FX_Input,X$5,K$3*$Z$5+$AA$5)))-(8742/(K1819+459.6))+15.64),EXP(INDEX(Antoines,MATCH(K1810,Antoine_Name,0),2)-INDEX(Antoines,MATCH(K1810,Antoine_Name,0),3)/(K1819+459.6))))),0)</f>
        <v>1.1184292386672267E-2</v>
      </c>
      <c r="L1826" cm="1">
        <f t="array" ref="L1826">IFERROR(IF(L1811="Chemical",(10^(INDEX(Antoines,MATCH(L1810,Antoine_Name,0),2)-INDEX(Antoines,MATCH(L1810,Antoine_Name,0),3)/(INDEX(Antoines,MATCH(L1810,Antoine_Name,0),4)+(L1819-32)*5/9)))*14.7/760,IF(L1811="Crude Oil",EXP((2799/(L1819+459.6)-2.227)*LOG10(INDEX(FX_Input,Y$5,L$3*$Z$5+$AA$5))-(7261/(L1819+459.6))+12.82),IF(L1811="Refined Petroleum Stock",EXP((0.7553-(413/(L1819+459.6)))*(INDEX(FX_Input,Y$5,L$3*$Z$5+$AA$5-1)^0.5)*LOG10(INDEX(FX_Input,Y$5,L$3*$Z$5+$AA$5))-(1.854-(1042/(L1819+459.6)))*(INDEX(FX_Input,Y$5,L$3*$Z$5+$AA$5-1)^0.5)+((2416/(L1819+459.6)-2.013)*LOG10(INDEX(FX_Input,Y$5,L$3*$Z$5+$AA$5)))-(8742/(L1819+459.6))+15.64),EXP(INDEX(Antoines,MATCH(L1810,Antoine_Name,0),2)-INDEX(Antoines,MATCH(L1810,Antoine_Name,0),3)/(L1819+459.6))))),0)</f>
        <v>1.0188141542731273E-2</v>
      </c>
      <c r="M1826" cm="1">
        <f t="array" ref="M1826">IFERROR(IF(M1811="Chemical",(10^(INDEX(Antoines,MATCH(M1810,Antoine_Name,0),2)-INDEX(Antoines,MATCH(M1810,Antoine_Name,0),3)/(INDEX(Antoines,MATCH(M1810,Antoine_Name,0),4)+(M1819-32)*5/9)))*14.7/760,IF(M1811="Crude Oil",EXP((2799/(M1819+459.6)-2.227)*LOG10(INDEX(FX_Input,Z$5,M$3*$Z$5+$AA$5))-(7261/(M1819+459.6))+12.82),IF(M1811="Refined Petroleum Stock",EXP((0.7553-(413/(M1819+459.6)))*(INDEX(FX_Input,Z$5,M$3*$Z$5+$AA$5-1)^0.5)*LOG10(INDEX(FX_Input,Z$5,M$3*$Z$5+$AA$5))-(1.854-(1042/(M1819+459.6)))*(INDEX(FX_Input,Z$5,M$3*$Z$5+$AA$5-1)^0.5)+((2416/(M1819+459.6)-2.013)*LOG10(INDEX(FX_Input,Z$5,M$3*$Z$5+$AA$5)))-(8742/(M1819+459.6))+15.64),EXP(INDEX(Antoines,MATCH(M1810,Antoine_Name,0),2)-INDEX(Antoines,MATCH(M1810,Antoine_Name,0),3)/(M1819+459.6))))),0)</f>
        <v>7.8038704244406936E-3</v>
      </c>
      <c r="N1826" cm="1">
        <f t="array" ref="N1826">IFERROR(IF(N1811="Chemical",(10^(INDEX(Antoines,MATCH(N1810,Antoine_Name,0),2)-INDEX(Antoines,MATCH(N1810,Antoine_Name,0),3)/(INDEX(Antoines,MATCH(N1810,Antoine_Name,0),4)+(N1819-32)*5/9)))*14.7/760,IF(N1811="Crude Oil",EXP((2799/(N1819+459.6)-2.227)*LOG10(INDEX(FX_Input,AA$5,N$3*$Z$5+$AA$5))-(7261/(N1819+459.6))+12.82),IF(N1811="Refined Petroleum Stock",EXP((0.7553-(413/(N1819+459.6)))*(INDEX(FX_Input,AA$5,N$3*$Z$5+$AA$5-1)^0.5)*LOG10(INDEX(FX_Input,AA$5,N$3*$Z$5+$AA$5))-(1.854-(1042/(N1819+459.6)))*(INDEX(FX_Input,AA$5,N$3*$Z$5+$AA$5-1)^0.5)+((2416/(N1819+459.6)-2.013)*LOG10(INDEX(FX_Input,AA$5,N$3*$Z$5+$AA$5)))-(8742/(N1819+459.6))+15.64),EXP(INDEX(Antoines,MATCH(N1810,Antoine_Name,0),2)-INDEX(Antoines,MATCH(N1810,Antoine_Name,0),3)/(N1819+459.6))))),0)</f>
        <v>6.0827945693034263E-3</v>
      </c>
      <c r="O1826" cm="1">
        <f t="array" ref="O1826">IFERROR(IF(O1811="Chemical",(10^(INDEX(Antoines,MATCH(O1810,Antoine_Name,0),2)-INDEX(Antoines,MATCH(O1810,Antoine_Name,0),3)/(INDEX(Antoines,MATCH(O1810,Antoine_Name,0),4)+(O1819-32)*5/9)))*14.7/760,IF(O1811="Crude Oil",EXP((2799/(O1819+459.6)-2.227)*LOG10(INDEX(FX_Input,AB$5,O$3*$Z$5+$AA$5))-(7261/(O1819+459.6))+12.82),IF(O1811="Refined Petroleum Stock",EXP((0.7553-(413/(O1819+459.6)))*(INDEX(FX_Input,AB$5,O$3*$Z$5+$AA$5-1)^0.5)*LOG10(INDEX(FX_Input,AB$5,O$3*$Z$5+$AA$5))-(1.854-(1042/(O1819+459.6)))*(INDEX(FX_Input,AB$5,O$3*$Z$5+$AA$5-1)^0.5)+((2416/(O1819+459.6)-2.013)*LOG10(INDEX(FX_Input,AB$5,O$3*$Z$5+$AA$5)))-(8742/(O1819+459.6))+15.64),EXP(INDEX(Antoines,MATCH(O1810,Antoine_Name,0),2)-INDEX(Antoines,MATCH(O1810,Antoine_Name,0),3)/(O1819+459.6))))),0)</f>
        <v>5.2448123115675692E-3</v>
      </c>
    </row>
    <row r="1827" spans="1:32" ht="17.149999999999999" x14ac:dyDescent="0.55000000000000004">
      <c r="B1827" t="str">
        <f t="shared" si="6676"/>
        <v>Portland</v>
      </c>
      <c r="C1827" t="s">
        <v>580</v>
      </c>
      <c r="D1827">
        <f>D1826*D1814</f>
        <v>5.3446173929904582E-3</v>
      </c>
      <c r="E1827">
        <f t="shared" ref="E1827" si="6710">E1826*E1814</f>
        <v>5.8020727825229086E-3</v>
      </c>
      <c r="F1827">
        <f t="shared" ref="F1827" si="6711">F1826*F1814</f>
        <v>6.3194597984808799E-3</v>
      </c>
      <c r="G1827">
        <f t="shared" ref="G1827" si="6712">G1826*G1814</f>
        <v>7.2400469002136831E-3</v>
      </c>
      <c r="H1827">
        <f t="shared" ref="H1827" si="6713">H1826*H1814</f>
        <v>8.7355319390561535E-3</v>
      </c>
      <c r="I1827">
        <f t="shared" ref="I1827" si="6714">I1826*I1814</f>
        <v>9.9506270401879347E-3</v>
      </c>
      <c r="J1827">
        <f t="shared" ref="J1827" si="6715">J1826*J1814</f>
        <v>1.1263733235793187E-2</v>
      </c>
      <c r="K1827">
        <f t="shared" ref="K1827" si="6716">K1826*K1814</f>
        <v>1.1184292386672267E-2</v>
      </c>
      <c r="L1827">
        <f t="shared" ref="L1827" si="6717">L1826*L1814</f>
        <v>1.0188141542731273E-2</v>
      </c>
      <c r="M1827">
        <f t="shared" ref="M1827" si="6718">M1826*M1814</f>
        <v>7.8038704244406936E-3</v>
      </c>
      <c r="N1827">
        <f t="shared" ref="N1827" si="6719">N1826*N1814</f>
        <v>6.0827945693034263E-3</v>
      </c>
      <c r="O1827">
        <f t="shared" ref="O1827" si="6720">O1826*O1814</f>
        <v>5.2448123115675692E-3</v>
      </c>
    </row>
    <row r="1828" spans="1:32" ht="17.149999999999999" x14ac:dyDescent="0.55000000000000004">
      <c r="B1828" t="str">
        <f t="shared" si="6676"/>
        <v>Portland</v>
      </c>
      <c r="C1828" t="s">
        <v>581</v>
      </c>
      <c r="D1828" cm="1">
        <f t="array" ref="D1828">IFERROR(IF(D1813="Chemical",(10^(INDEX(Antoines,MATCH(D1812,Antoine_Name,0),2)-INDEX(Antoines,MATCH(D1812,Antoine_Name,0),3)/(INDEX(Antoines,MATCH(D1812,Antoine_Name,0),4)+(D1819-32)*5/9)))*14.7/760,IF(D1813="Crude Oil",EXP((2799/(D1819+459.6)-2.227)*LOG10(INDEX(FX_Input,Q$5,D$3*$Z$5+$AA$5))-(7261/(D1819+459.6))+12.82),IF(D1813="Refined Petroleum Stock",EXP((0.7553-(413/(D1819+459.6)))*(INDEX(FX_Input,Q$5,D$3*$Z$5+$AA$5-1)^0.5)*LOG10(INDEX(FX_Input,Q$5,D$3*$Z$5+$AA$5))-(1.854-(1042/(D1819+459.6)))*(INDEX(FX_Input,Q$5,D$3*$Z$5+$AA$5-1)^0.5)+((2416/(D1819+459.6)-2.013)*LOG10(INDEX(FX_Input,Q$5,D$3*$Z$5+$AA$5)))-(8742/(D1819+459.6))+15.64),EXP(INDEX(Antoines,MATCH(D1812,Antoine_Name,0),2)-INDEX(Antoines,MATCH(D1812,Antoine_Name,0),3)/(D1819+459.6))))),0)</f>
        <v>0</v>
      </c>
      <c r="E1828" cm="1">
        <f t="array" ref="E1828">IFERROR(IF(E1813="Chemical",(10^(INDEX(Antoines,MATCH(E1812,Antoine_Name,0),2)-INDEX(Antoines,MATCH(E1812,Antoine_Name,0),3)/(INDEX(Antoines,MATCH(E1812,Antoine_Name,0),4)+(E1819-32)*5/9)))*14.7/760,IF(E1813="Crude Oil",EXP((2799/(E1819+459.6)-2.227)*LOG10(INDEX(FX_Input,R$5,E$3*$Z$5+$AA$5))-(7261/(E1819+459.6))+12.82),IF(E1813="Refined Petroleum Stock",EXP((0.7553-(413/(E1819+459.6)))*(INDEX(FX_Input,R$5,E$3*$Z$5+$AA$5-1)^0.5)*LOG10(INDEX(FX_Input,R$5,E$3*$Z$5+$AA$5))-(1.854-(1042/(E1819+459.6)))*(INDEX(FX_Input,R$5,E$3*$Z$5+$AA$5-1)^0.5)+((2416/(E1819+459.6)-2.013)*LOG10(INDEX(FX_Input,R$5,E$3*$Z$5+$AA$5)))-(8742/(E1819+459.6))+15.64),EXP(INDEX(Antoines,MATCH(E1812,Antoine_Name,0),2)-INDEX(Antoines,MATCH(E1812,Antoine_Name,0),3)/(E1819+459.6))))),0)</f>
        <v>0</v>
      </c>
      <c r="F1828" cm="1">
        <f t="array" ref="F1828">IFERROR(IF(F1813="Chemical",(10^(INDEX(Antoines,MATCH(F1812,Antoine_Name,0),2)-INDEX(Antoines,MATCH(F1812,Antoine_Name,0),3)/(INDEX(Antoines,MATCH(F1812,Antoine_Name,0),4)+(F1819-32)*5/9)))*14.7/760,IF(F1813="Crude Oil",EXP((2799/(F1819+459.6)-2.227)*LOG10(INDEX(FX_Input,S$5,F$3*$Z$5+$AA$5))-(7261/(F1819+459.6))+12.82),IF(F1813="Refined Petroleum Stock",EXP((0.7553-(413/(F1819+459.6)))*(INDEX(FX_Input,S$5,F$3*$Z$5+$AA$5-1)^0.5)*LOG10(INDEX(FX_Input,S$5,F$3*$Z$5+$AA$5))-(1.854-(1042/(F1819+459.6)))*(INDEX(FX_Input,S$5,F$3*$Z$5+$AA$5-1)^0.5)+((2416/(F1819+459.6)-2.013)*LOG10(INDEX(FX_Input,S$5,F$3*$Z$5+$AA$5)))-(8742/(F1819+459.6))+15.64),EXP(INDEX(Antoines,MATCH(F1812,Antoine_Name,0),2)-INDEX(Antoines,MATCH(F1812,Antoine_Name,0),3)/(F1819+459.6))))),0)</f>
        <v>0</v>
      </c>
      <c r="G1828" cm="1">
        <f t="array" ref="G1828">IFERROR(IF(G1813="Chemical",(10^(INDEX(Antoines,MATCH(G1812,Antoine_Name,0),2)-INDEX(Antoines,MATCH(G1812,Antoine_Name,0),3)/(INDEX(Antoines,MATCH(G1812,Antoine_Name,0),4)+(G1819-32)*5/9)))*14.7/760,IF(G1813="Crude Oil",EXP((2799/(G1819+459.6)-2.227)*LOG10(INDEX(FX_Input,T$5,G$3*$Z$5+$AA$5))-(7261/(G1819+459.6))+12.82),IF(G1813="Refined Petroleum Stock",EXP((0.7553-(413/(G1819+459.6)))*(INDEX(FX_Input,T$5,G$3*$Z$5+$AA$5-1)^0.5)*LOG10(INDEX(FX_Input,T$5,G$3*$Z$5+$AA$5))-(1.854-(1042/(G1819+459.6)))*(INDEX(FX_Input,T$5,G$3*$Z$5+$AA$5-1)^0.5)+((2416/(G1819+459.6)-2.013)*LOG10(INDEX(FX_Input,T$5,G$3*$Z$5+$AA$5)))-(8742/(G1819+459.6))+15.64),EXP(INDEX(Antoines,MATCH(G1812,Antoine_Name,0),2)-INDEX(Antoines,MATCH(G1812,Antoine_Name,0),3)/(G1819+459.6))))),0)</f>
        <v>0</v>
      </c>
      <c r="H1828" cm="1">
        <f t="array" ref="H1828">IFERROR(IF(H1813="Chemical",(10^(INDEX(Antoines,MATCH(H1812,Antoine_Name,0),2)-INDEX(Antoines,MATCH(H1812,Antoine_Name,0),3)/(INDEX(Antoines,MATCH(H1812,Antoine_Name,0),4)+(H1819-32)*5/9)))*14.7/760,IF(H1813="Crude Oil",EXP((2799/(H1819+459.6)-2.227)*LOG10(INDEX(FX_Input,U$5,H$3*$Z$5+$AA$5))-(7261/(H1819+459.6))+12.82),IF(H1813="Refined Petroleum Stock",EXP((0.7553-(413/(H1819+459.6)))*(INDEX(FX_Input,U$5,H$3*$Z$5+$AA$5-1)^0.5)*LOG10(INDEX(FX_Input,U$5,H$3*$Z$5+$AA$5))-(1.854-(1042/(H1819+459.6)))*(INDEX(FX_Input,U$5,H$3*$Z$5+$AA$5-1)^0.5)+((2416/(H1819+459.6)-2.013)*LOG10(INDEX(FX_Input,U$5,H$3*$Z$5+$AA$5)))-(8742/(H1819+459.6))+15.64),EXP(INDEX(Antoines,MATCH(H1812,Antoine_Name,0),2)-INDEX(Antoines,MATCH(H1812,Antoine_Name,0),3)/(H1819+459.6))))),0)</f>
        <v>0</v>
      </c>
      <c r="I1828" cm="1">
        <f t="array" ref="I1828">IFERROR(IF(I1813="Chemical",(10^(INDEX(Antoines,MATCH(I1812,Antoine_Name,0),2)-INDEX(Antoines,MATCH(I1812,Antoine_Name,0),3)/(INDEX(Antoines,MATCH(I1812,Antoine_Name,0),4)+(I1819-32)*5/9)))*14.7/760,IF(I1813="Crude Oil",EXP((2799/(I1819+459.6)-2.227)*LOG10(INDEX(FX_Input,V$5,I$3*$Z$5+$AA$5))-(7261/(I1819+459.6))+12.82),IF(I1813="Refined Petroleum Stock",EXP((0.7553-(413/(I1819+459.6)))*(INDEX(FX_Input,V$5,I$3*$Z$5+$AA$5-1)^0.5)*LOG10(INDEX(FX_Input,V$5,I$3*$Z$5+$AA$5))-(1.854-(1042/(I1819+459.6)))*(INDEX(FX_Input,V$5,I$3*$Z$5+$AA$5-1)^0.5)+((2416/(I1819+459.6)-2.013)*LOG10(INDEX(FX_Input,V$5,I$3*$Z$5+$AA$5)))-(8742/(I1819+459.6))+15.64),EXP(INDEX(Antoines,MATCH(I1812,Antoine_Name,0),2)-INDEX(Antoines,MATCH(I1812,Antoine_Name,0),3)/(I1819+459.6))))),0)</f>
        <v>0</v>
      </c>
      <c r="J1828" cm="1">
        <f t="array" ref="J1828">IFERROR(IF(J1813="Chemical",(10^(INDEX(Antoines,MATCH(J1812,Antoine_Name,0),2)-INDEX(Antoines,MATCH(J1812,Antoine_Name,0),3)/(INDEX(Antoines,MATCH(J1812,Antoine_Name,0),4)+(J1819-32)*5/9)))*14.7/760,IF(J1813="Crude Oil",EXP((2799/(J1819+459.6)-2.227)*LOG10(INDEX(FX_Input,W$5,J$3*$Z$5+$AA$5))-(7261/(J1819+459.6))+12.82),IF(J1813="Refined Petroleum Stock",EXP((0.7553-(413/(J1819+459.6)))*(INDEX(FX_Input,W$5,J$3*$Z$5+$AA$5-1)^0.5)*LOG10(INDEX(FX_Input,W$5,J$3*$Z$5+$AA$5))-(1.854-(1042/(J1819+459.6)))*(INDEX(FX_Input,W$5,J$3*$Z$5+$AA$5-1)^0.5)+((2416/(J1819+459.6)-2.013)*LOG10(INDEX(FX_Input,W$5,J$3*$Z$5+$AA$5)))-(8742/(J1819+459.6))+15.64),EXP(INDEX(Antoines,MATCH(J1812,Antoine_Name,0),2)-INDEX(Antoines,MATCH(J1812,Antoine_Name,0),3)/(J1819+459.6))))),0)</f>
        <v>0</v>
      </c>
      <c r="K1828" cm="1">
        <f t="array" ref="K1828">IFERROR(IF(K1813="Chemical",(10^(INDEX(Antoines,MATCH(K1812,Antoine_Name,0),2)-INDEX(Antoines,MATCH(K1812,Antoine_Name,0),3)/(INDEX(Antoines,MATCH(K1812,Antoine_Name,0),4)+(K1819-32)*5/9)))*14.7/760,IF(K1813="Crude Oil",EXP((2799/(K1819+459.6)-2.227)*LOG10(INDEX(FX_Input,X$5,K$3*$Z$5+$AA$5))-(7261/(K1819+459.6))+12.82),IF(K1813="Refined Petroleum Stock",EXP((0.7553-(413/(K1819+459.6)))*(INDEX(FX_Input,X$5,K$3*$Z$5+$AA$5-1)^0.5)*LOG10(INDEX(FX_Input,X$5,K$3*$Z$5+$AA$5))-(1.854-(1042/(K1819+459.6)))*(INDEX(FX_Input,X$5,K$3*$Z$5+$AA$5-1)^0.5)+((2416/(K1819+459.6)-2.013)*LOG10(INDEX(FX_Input,X$5,K$3*$Z$5+$AA$5)))-(8742/(K1819+459.6))+15.64),EXP(INDEX(Antoines,MATCH(K1812,Antoine_Name,0),2)-INDEX(Antoines,MATCH(K1812,Antoine_Name,0),3)/(K1819+459.6))))),0)</f>
        <v>0</v>
      </c>
      <c r="L1828" cm="1">
        <f t="array" ref="L1828">IFERROR(IF(L1813="Chemical",(10^(INDEX(Antoines,MATCH(L1812,Antoine_Name,0),2)-INDEX(Antoines,MATCH(L1812,Antoine_Name,0),3)/(INDEX(Antoines,MATCH(L1812,Antoine_Name,0),4)+(L1819-32)*5/9)))*14.7/760,IF(L1813="Crude Oil",EXP((2799/(L1819+459.6)-2.227)*LOG10(INDEX(FX_Input,Y$5,L$3*$Z$5+$AA$5))-(7261/(L1819+459.6))+12.82),IF(L1813="Refined Petroleum Stock",EXP((0.7553-(413/(L1819+459.6)))*(INDEX(FX_Input,Y$5,L$3*$Z$5+$AA$5-1)^0.5)*LOG10(INDEX(FX_Input,Y$5,L$3*$Z$5+$AA$5))-(1.854-(1042/(L1819+459.6)))*(INDEX(FX_Input,Y$5,L$3*$Z$5+$AA$5-1)^0.5)+((2416/(L1819+459.6)-2.013)*LOG10(INDEX(FX_Input,Y$5,L$3*$Z$5+$AA$5)))-(8742/(L1819+459.6))+15.64),EXP(INDEX(Antoines,MATCH(L1812,Antoine_Name,0),2)-INDEX(Antoines,MATCH(L1812,Antoine_Name,0),3)/(L1819+459.6))))),0)</f>
        <v>0</v>
      </c>
      <c r="M1828" cm="1">
        <f t="array" ref="M1828">IFERROR(IF(M1813="Chemical",(10^(INDEX(Antoines,MATCH(M1812,Antoine_Name,0),2)-INDEX(Antoines,MATCH(M1812,Antoine_Name,0),3)/(INDEX(Antoines,MATCH(M1812,Antoine_Name,0),4)+(M1819-32)*5/9)))*14.7/760,IF(M1813="Crude Oil",EXP((2799/(M1819+459.6)-2.227)*LOG10(INDEX(FX_Input,Z$5,M$3*$Z$5+$AA$5))-(7261/(M1819+459.6))+12.82),IF(M1813="Refined Petroleum Stock",EXP((0.7553-(413/(M1819+459.6)))*(INDEX(FX_Input,Z$5,M$3*$Z$5+$AA$5-1)^0.5)*LOG10(INDEX(FX_Input,Z$5,M$3*$Z$5+$AA$5))-(1.854-(1042/(M1819+459.6)))*(INDEX(FX_Input,Z$5,M$3*$Z$5+$AA$5-1)^0.5)+((2416/(M1819+459.6)-2.013)*LOG10(INDEX(FX_Input,Z$5,M$3*$Z$5+$AA$5)))-(8742/(M1819+459.6))+15.64),EXP(INDEX(Antoines,MATCH(M1812,Antoine_Name,0),2)-INDEX(Antoines,MATCH(M1812,Antoine_Name,0),3)/(M1819+459.6))))),0)</f>
        <v>0</v>
      </c>
      <c r="N1828" cm="1">
        <f t="array" ref="N1828">IFERROR(IF(N1813="Chemical",(10^(INDEX(Antoines,MATCH(N1812,Antoine_Name,0),2)-INDEX(Antoines,MATCH(N1812,Antoine_Name,0),3)/(INDEX(Antoines,MATCH(N1812,Antoine_Name,0),4)+(N1819-32)*5/9)))*14.7/760,IF(N1813="Crude Oil",EXP((2799/(N1819+459.6)-2.227)*LOG10(INDEX(FX_Input,AA$5,N$3*$Z$5+$AA$5))-(7261/(N1819+459.6))+12.82),IF(N1813="Refined Petroleum Stock",EXP((0.7553-(413/(N1819+459.6)))*(INDEX(FX_Input,AA$5,N$3*$Z$5+$AA$5-1)^0.5)*LOG10(INDEX(FX_Input,AA$5,N$3*$Z$5+$AA$5))-(1.854-(1042/(N1819+459.6)))*(INDEX(FX_Input,AA$5,N$3*$Z$5+$AA$5-1)^0.5)+((2416/(N1819+459.6)-2.013)*LOG10(INDEX(FX_Input,AA$5,N$3*$Z$5+$AA$5)))-(8742/(N1819+459.6))+15.64),EXP(INDEX(Antoines,MATCH(N1812,Antoine_Name,0),2)-INDEX(Antoines,MATCH(N1812,Antoine_Name,0),3)/(N1819+459.6))))),0)</f>
        <v>0</v>
      </c>
      <c r="O1828" cm="1">
        <f t="array" ref="O1828">IFERROR(IF(O1813="Chemical",(10^(INDEX(Antoines,MATCH(O1812,Antoine_Name,0),2)-INDEX(Antoines,MATCH(O1812,Antoine_Name,0),3)/(INDEX(Antoines,MATCH(O1812,Antoine_Name,0),4)+(O1819-32)*5/9)))*14.7/760,IF(O1813="Crude Oil",EXP((2799/(O1819+459.6)-2.227)*LOG10(INDEX(FX_Input,AB$5,O$3*$Z$5+$AA$5))-(7261/(O1819+459.6))+12.82),IF(O1813="Refined Petroleum Stock",EXP((0.7553-(413/(O1819+459.6)))*(INDEX(FX_Input,AB$5,O$3*$Z$5+$AA$5-1)^0.5)*LOG10(INDEX(FX_Input,AB$5,O$3*$Z$5+$AA$5))-(1.854-(1042/(O1819+459.6)))*(INDEX(FX_Input,AB$5,O$3*$Z$5+$AA$5-1)^0.5)+((2416/(O1819+459.6)-2.013)*LOG10(INDEX(FX_Input,AB$5,O$3*$Z$5+$AA$5)))-(8742/(O1819+459.6))+15.64),EXP(INDEX(Antoines,MATCH(O1812,Antoine_Name,0),2)-INDEX(Antoines,MATCH(O1812,Antoine_Name,0),3)/(O1819+459.6))))),0)</f>
        <v>0</v>
      </c>
    </row>
    <row r="1829" spans="1:32" ht="17.149999999999999" x14ac:dyDescent="0.55000000000000004">
      <c r="B1829" t="str">
        <f t="shared" si="6676"/>
        <v>Portland</v>
      </c>
      <c r="C1829" t="s">
        <v>582</v>
      </c>
      <c r="D1829">
        <f>D1828*D1816</f>
        <v>0</v>
      </c>
      <c r="E1829">
        <f t="shared" ref="E1829" si="6721">E1828*E1816</f>
        <v>0</v>
      </c>
      <c r="F1829">
        <f t="shared" ref="F1829" si="6722">F1828*F1816</f>
        <v>0</v>
      </c>
      <c r="G1829">
        <f t="shared" ref="G1829" si="6723">G1828*G1816</f>
        <v>0</v>
      </c>
      <c r="H1829">
        <f t="shared" ref="H1829" si="6724">H1828*H1816</f>
        <v>0</v>
      </c>
      <c r="I1829">
        <f t="shared" ref="I1829" si="6725">I1828*I1816</f>
        <v>0</v>
      </c>
      <c r="J1829">
        <f t="shared" ref="J1829" si="6726">J1828*J1816</f>
        <v>0</v>
      </c>
      <c r="K1829">
        <f t="shared" ref="K1829" si="6727">K1828*K1816</f>
        <v>0</v>
      </c>
      <c r="L1829">
        <f t="shared" ref="L1829" si="6728">L1828*L1816</f>
        <v>0</v>
      </c>
      <c r="M1829">
        <f t="shared" ref="M1829" si="6729">M1828*M1816</f>
        <v>0</v>
      </c>
      <c r="N1829">
        <f t="shared" ref="N1829" si="6730">N1828*N1816</f>
        <v>0</v>
      </c>
      <c r="O1829">
        <f t="shared" ref="O1829" si="6731">O1828*O1816</f>
        <v>0</v>
      </c>
    </row>
    <row r="1830" spans="1:32" ht="17.149999999999999" x14ac:dyDescent="0.55000000000000004">
      <c r="B1830" t="str">
        <f t="shared" si="6676"/>
        <v>Portland</v>
      </c>
      <c r="C1830" t="s">
        <v>583</v>
      </c>
      <c r="D1830">
        <f>D1827+D1829</f>
        <v>5.3446173929904582E-3</v>
      </c>
      <c r="E1830">
        <f t="shared" ref="E1830" si="6732">E1827+E1829</f>
        <v>5.8020727825229086E-3</v>
      </c>
      <c r="F1830">
        <f t="shared" ref="F1830" si="6733">F1827+F1829</f>
        <v>6.3194597984808799E-3</v>
      </c>
      <c r="G1830">
        <f t="shared" ref="G1830" si="6734">G1827+G1829</f>
        <v>7.2400469002136831E-3</v>
      </c>
      <c r="H1830">
        <f t="shared" ref="H1830" si="6735">H1827+H1829</f>
        <v>8.7355319390561535E-3</v>
      </c>
      <c r="I1830">
        <f t="shared" ref="I1830" si="6736">I1827+I1829</f>
        <v>9.9506270401879347E-3</v>
      </c>
      <c r="J1830">
        <f t="shared" ref="J1830" si="6737">J1827+J1829</f>
        <v>1.1263733235793187E-2</v>
      </c>
      <c r="K1830">
        <f t="shared" ref="K1830" si="6738">K1827+K1829</f>
        <v>1.1184292386672267E-2</v>
      </c>
      <c r="L1830">
        <f t="shared" ref="L1830" si="6739">L1827+L1829</f>
        <v>1.0188141542731273E-2</v>
      </c>
      <c r="M1830">
        <f t="shared" ref="M1830" si="6740">M1827+M1829</f>
        <v>7.8038704244406936E-3</v>
      </c>
      <c r="N1830">
        <f t="shared" ref="N1830" si="6741">N1827+N1829</f>
        <v>6.0827945693034263E-3</v>
      </c>
      <c r="O1830">
        <f t="shared" ref="O1830" si="6742">O1827+O1829</f>
        <v>5.2448123115675692E-3</v>
      </c>
    </row>
    <row r="1831" spans="1:32" ht="17.149999999999999" x14ac:dyDescent="0.55000000000000004">
      <c r="B1831" t="str">
        <f t="shared" si="6676"/>
        <v>Portland</v>
      </c>
      <c r="C1831" t="s">
        <v>1388</v>
      </c>
      <c r="D1831" cm="1">
        <f t="array" ref="D1831">IFERROR(IF(D1811="Chemical",(10^(INDEX(Antoines,MATCH(D1810,Antoine_Name,0),2)-INDEX(Antoines,MATCH(D1810,Antoine_Name,0),3)/(INDEX(Antoines,MATCH(D1810,Antoine_Name,0),4)+(D1820-32)*5/9)))*14.7/760,IF(D1811="Crude Oil",EXP((2799/(D1820+459.6)-2.227)*LOG10(INDEX(FX_Input,Q$5,D$3*$Z$5+$AA$5))-(7261/(D1820+459.6))+12.82),IF(D1811="Refined Petroleum Stock",EXP((0.7553-(413/(D1820+459.6)))*(INDEX(FX_Input,Q$5,D$3*$Z$5+$AA$5-1)^0.5)*LOG10(INDEX(FX_Input,Q$5,D$3*$Z$5+$AA$5))-(1.854-(1042/(D1820+459.6)))*(INDEX(FX_Input,Q$5,D$3*$Z$5+$AA$5-1)^0.5)+((2416/(D1820+459.6)-2.013)*LOG10(INDEX(FX_Input,Q$5,D$3*$Z$5+$AA$5)))-(8742/(D1820+459.6))+15.64),EXP(INDEX(Antoines,MATCH(D1810,Antoine_Name,0),2)-INDEX(Antoines,MATCH(D1810,Antoine_Name,0),3)/(D1820+459.6))))),0)</f>
        <v>5.0788096823034274E-3</v>
      </c>
      <c r="E1831" cm="1">
        <f t="array" ref="E1831">IFERROR(IF(E1811="Chemical",(10^(INDEX(Antoines,MATCH(E1810,Antoine_Name,0),2)-INDEX(Antoines,MATCH(E1810,Antoine_Name,0),3)/(INDEX(Antoines,MATCH(E1810,Antoine_Name,0),4)+(E1820-32)*5/9)))*14.7/760,IF(E1811="Crude Oil",EXP((2799/(E1820+459.6)-2.227)*LOG10(INDEX(FX_Input,R$5,E$3*$Z$5+$AA$5))-(7261/(E1820+459.6))+12.82),IF(E1811="Refined Petroleum Stock",EXP((0.7553-(413/(E1820+459.6)))*(INDEX(FX_Input,R$5,E$3*$Z$5+$AA$5-1)^0.5)*LOG10(INDEX(FX_Input,R$5,E$3*$Z$5+$AA$5))-(1.854-(1042/(E1820+459.6)))*(INDEX(FX_Input,R$5,E$3*$Z$5+$AA$5-1)^0.5)+((2416/(E1820+459.6)-2.013)*LOG10(INDEX(FX_Input,R$5,E$3*$Z$5+$AA$5)))-(8742/(E1820+459.6))+15.64),EXP(INDEX(Antoines,MATCH(E1810,Antoine_Name,0),2)-INDEX(Antoines,MATCH(E1810,Antoine_Name,0),3)/(E1820+459.6))))),0)</f>
        <v>5.4974545080270654E-3</v>
      </c>
      <c r="F1831" cm="1">
        <f t="array" ref="F1831">IFERROR(IF(F1811="Chemical",(10^(INDEX(Antoines,MATCH(F1810,Antoine_Name,0),2)-INDEX(Antoines,MATCH(F1810,Antoine_Name,0),3)/(INDEX(Antoines,MATCH(F1810,Antoine_Name,0),4)+(F1820-32)*5/9)))*14.7/760,IF(F1811="Crude Oil",EXP((2799/(F1820+459.6)-2.227)*LOG10(INDEX(FX_Input,S$5,F$3*$Z$5+$AA$5))-(7261/(F1820+459.6))+12.82),IF(F1811="Refined Petroleum Stock",EXP((0.7553-(413/(F1820+459.6)))*(INDEX(FX_Input,S$5,F$3*$Z$5+$AA$5-1)^0.5)*LOG10(INDEX(FX_Input,S$5,F$3*$Z$5+$AA$5))-(1.854-(1042/(F1820+459.6)))*(INDEX(FX_Input,S$5,F$3*$Z$5+$AA$5-1)^0.5)+((2416/(F1820+459.6)-2.013)*LOG10(INDEX(FX_Input,S$5,F$3*$Z$5+$AA$5)))-(8742/(F1820+459.6))+15.64),EXP(INDEX(Antoines,MATCH(F1810,Antoine_Name,0),2)-INDEX(Antoines,MATCH(F1810,Antoine_Name,0),3)/(F1820+459.6))))),0)</f>
        <v>6.0939776204352973E-3</v>
      </c>
      <c r="G1831" cm="1">
        <f t="array" ref="G1831">IFERROR(IF(G1811="Chemical",(10^(INDEX(Antoines,MATCH(G1810,Antoine_Name,0),2)-INDEX(Antoines,MATCH(G1810,Antoine_Name,0),3)/(INDEX(Antoines,MATCH(G1810,Antoine_Name,0),4)+(G1820-32)*5/9)))*14.7/760,IF(G1811="Crude Oil",EXP((2799/(G1820+459.6)-2.227)*LOG10(INDEX(FX_Input,T$5,G$3*$Z$5+$AA$5))-(7261/(G1820+459.6))+12.82),IF(G1811="Refined Petroleum Stock",EXP((0.7553-(413/(G1820+459.6)))*(INDEX(FX_Input,T$5,G$3*$Z$5+$AA$5-1)^0.5)*LOG10(INDEX(FX_Input,T$5,G$3*$Z$5+$AA$5))-(1.854-(1042/(G1820+459.6)))*(INDEX(FX_Input,T$5,G$3*$Z$5+$AA$5-1)^0.5)+((2416/(G1820+459.6)-2.013)*LOG10(INDEX(FX_Input,T$5,G$3*$Z$5+$AA$5)))-(8742/(G1820+459.6))+15.64),EXP(INDEX(Antoines,MATCH(G1810,Antoine_Name,0),2)-INDEX(Antoines,MATCH(G1810,Antoine_Name,0),3)/(G1820+459.6))))),0)</f>
        <v>7.1364512548726224E-3</v>
      </c>
      <c r="H1831" cm="1">
        <f t="array" ref="H1831">IFERROR(IF(H1811="Chemical",(10^(INDEX(Antoines,MATCH(H1810,Antoine_Name,0),2)-INDEX(Antoines,MATCH(H1810,Antoine_Name,0),3)/(INDEX(Antoines,MATCH(H1810,Antoine_Name,0),4)+(H1820-32)*5/9)))*14.7/760,IF(H1811="Crude Oil",EXP((2799/(H1820+459.6)-2.227)*LOG10(INDEX(FX_Input,U$5,H$3*$Z$5+$AA$5))-(7261/(H1820+459.6))+12.82),IF(H1811="Refined Petroleum Stock",EXP((0.7553-(413/(H1820+459.6)))*(INDEX(FX_Input,U$5,H$3*$Z$5+$AA$5-1)^0.5)*LOG10(INDEX(FX_Input,U$5,H$3*$Z$5+$AA$5))-(1.854-(1042/(H1820+459.6)))*(INDEX(FX_Input,U$5,H$3*$Z$5+$AA$5-1)^0.5)+((2416/(H1820+459.6)-2.013)*LOG10(INDEX(FX_Input,U$5,H$3*$Z$5+$AA$5)))-(8742/(H1820+459.6))+15.64),EXP(INDEX(Antoines,MATCH(H1810,Antoine_Name,0),2)-INDEX(Antoines,MATCH(H1810,Antoine_Name,0),3)/(H1820+459.6))))),0)</f>
        <v>8.765284653116507E-3</v>
      </c>
      <c r="I1831" cm="1">
        <f t="array" ref="I1831">IFERROR(IF(I1811="Chemical",(10^(INDEX(Antoines,MATCH(I1810,Antoine_Name,0),2)-INDEX(Antoines,MATCH(I1810,Antoine_Name,0),3)/(INDEX(Antoines,MATCH(I1810,Antoine_Name,0),4)+(I1820-32)*5/9)))*14.7/760,IF(I1811="Crude Oil",EXP((2799/(I1820+459.6)-2.227)*LOG10(INDEX(FX_Input,V$5,I$3*$Z$5+$AA$5))-(7261/(I1820+459.6))+12.82),IF(I1811="Refined Petroleum Stock",EXP((0.7553-(413/(I1820+459.6)))*(INDEX(FX_Input,V$5,I$3*$Z$5+$AA$5-1)^0.5)*LOG10(INDEX(FX_Input,V$5,I$3*$Z$5+$AA$5))-(1.854-(1042/(I1820+459.6)))*(INDEX(FX_Input,V$5,I$3*$Z$5+$AA$5-1)^0.5)+((2416/(I1820+459.6)-2.013)*LOG10(INDEX(FX_Input,V$5,I$3*$Z$5+$AA$5)))-(8742/(I1820+459.6))+15.64),EXP(INDEX(Antoines,MATCH(I1810,Antoine_Name,0),2)-INDEX(Antoines,MATCH(I1810,Antoine_Name,0),3)/(I1820+459.6))))),0)</f>
        <v>1.0088391497030216E-2</v>
      </c>
      <c r="J1831" cm="1">
        <f t="array" ref="J1831">IFERROR(IF(J1811="Chemical",(10^(INDEX(Antoines,MATCH(J1810,Antoine_Name,0),2)-INDEX(Antoines,MATCH(J1810,Antoine_Name,0),3)/(INDEX(Antoines,MATCH(J1810,Antoine_Name,0),4)+(J1820-32)*5/9)))*14.7/760,IF(J1811="Crude Oil",EXP((2799/(J1820+459.6)-2.227)*LOG10(INDEX(FX_Input,W$5,J$3*$Z$5+$AA$5))-(7261/(J1820+459.6))+12.82),IF(J1811="Refined Petroleum Stock",EXP((0.7553-(413/(J1820+459.6)))*(INDEX(FX_Input,W$5,J$3*$Z$5+$AA$5-1)^0.5)*LOG10(INDEX(FX_Input,W$5,J$3*$Z$5+$AA$5))-(1.854-(1042/(J1820+459.6)))*(INDEX(FX_Input,W$5,J$3*$Z$5+$AA$5-1)^0.5)+((2416/(J1820+459.6)-2.013)*LOG10(INDEX(FX_Input,W$5,J$3*$Z$5+$AA$5)))-(8742/(J1820+459.6))+15.64),EXP(INDEX(Antoines,MATCH(J1810,Antoine_Name,0),2)-INDEX(Antoines,MATCH(J1810,Antoine_Name,0),3)/(J1820+459.6))))),0)</f>
        <v>1.1455846008049875E-2</v>
      </c>
      <c r="K1831" cm="1">
        <f t="array" ref="K1831">IFERROR(IF(K1811="Chemical",(10^(INDEX(Antoines,MATCH(K1810,Antoine_Name,0),2)-INDEX(Antoines,MATCH(K1810,Antoine_Name,0),3)/(INDEX(Antoines,MATCH(K1810,Antoine_Name,0),4)+(K1820-32)*5/9)))*14.7/760,IF(K1811="Crude Oil",EXP((2799/(K1820+459.6)-2.227)*LOG10(INDEX(FX_Input,X$5,K$3*$Z$5+$AA$5))-(7261/(K1820+459.6))+12.82),IF(K1811="Refined Petroleum Stock",EXP((0.7553-(413/(K1820+459.6)))*(INDEX(FX_Input,X$5,K$3*$Z$5+$AA$5-1)^0.5)*LOG10(INDEX(FX_Input,X$5,K$3*$Z$5+$AA$5))-(1.854-(1042/(K1820+459.6)))*(INDEX(FX_Input,X$5,K$3*$Z$5+$AA$5-1)^0.5)+((2416/(K1820+459.6)-2.013)*LOG10(INDEX(FX_Input,X$5,K$3*$Z$5+$AA$5)))-(8742/(K1820+459.6))+15.64),EXP(INDEX(Antoines,MATCH(K1810,Antoine_Name,0),2)-INDEX(Antoines,MATCH(K1810,Antoine_Name,0),3)/(K1820+459.6))))),0)</f>
        <v>1.1170957772624744E-2</v>
      </c>
      <c r="L1831" cm="1">
        <f t="array" ref="L1831">IFERROR(IF(L1811="Chemical",(10^(INDEX(Antoines,MATCH(L1810,Antoine_Name,0),2)-INDEX(Antoines,MATCH(L1810,Antoine_Name,0),3)/(INDEX(Antoines,MATCH(L1810,Antoine_Name,0),4)+(L1820-32)*5/9)))*14.7/760,IF(L1811="Crude Oil",EXP((2799/(L1820+459.6)-2.227)*LOG10(INDEX(FX_Input,Y$5,L$3*$Z$5+$AA$5))-(7261/(L1820+459.6))+12.82),IF(L1811="Refined Petroleum Stock",EXP((0.7553-(413/(L1820+459.6)))*(INDEX(FX_Input,Y$5,L$3*$Z$5+$AA$5-1)^0.5)*LOG10(INDEX(FX_Input,Y$5,L$3*$Z$5+$AA$5))-(1.854-(1042/(L1820+459.6)))*(INDEX(FX_Input,Y$5,L$3*$Z$5+$AA$5-1)^0.5)+((2416/(L1820+459.6)-2.013)*LOG10(INDEX(FX_Input,Y$5,L$3*$Z$5+$AA$5)))-(8742/(L1820+459.6))+15.64),EXP(INDEX(Antoines,MATCH(L1810,Antoine_Name,0),2)-INDEX(Antoines,MATCH(L1810,Antoine_Name,0),3)/(L1820+459.6))))),0)</f>
        <v>9.8227622663598323E-3</v>
      </c>
      <c r="M1831" cm="1">
        <f t="array" ref="M1831">IFERROR(IF(M1811="Chemical",(10^(INDEX(Antoines,MATCH(M1810,Antoine_Name,0),2)-INDEX(Antoines,MATCH(M1810,Antoine_Name,0),3)/(INDEX(Antoines,MATCH(M1810,Antoine_Name,0),4)+(M1820-32)*5/9)))*14.7/760,IF(M1811="Crude Oil",EXP((2799/(M1820+459.6)-2.227)*LOG10(INDEX(FX_Input,Z$5,M$3*$Z$5+$AA$5))-(7261/(M1820+459.6))+12.82),IF(M1811="Refined Petroleum Stock",EXP((0.7553-(413/(M1820+459.6)))*(INDEX(FX_Input,Z$5,M$3*$Z$5+$AA$5-1)^0.5)*LOG10(INDEX(FX_Input,Z$5,M$3*$Z$5+$AA$5))-(1.854-(1042/(M1820+459.6)))*(INDEX(FX_Input,Z$5,M$3*$Z$5+$AA$5-1)^0.5)+((2416/(M1820+459.6)-2.013)*LOG10(INDEX(FX_Input,Z$5,M$3*$Z$5+$AA$5)))-(8742/(M1820+459.6))+15.64),EXP(INDEX(Antoines,MATCH(M1810,Antoine_Name,0),2)-INDEX(Antoines,MATCH(M1810,Antoine_Name,0),3)/(M1820+459.6))))),0)</f>
        <v>7.3902409367879104E-3</v>
      </c>
      <c r="N1831" cm="1">
        <f t="array" ref="N1831">IFERROR(IF(N1811="Chemical",(10^(INDEX(Antoines,MATCH(N1810,Antoine_Name,0),2)-INDEX(Antoines,MATCH(N1810,Antoine_Name,0),3)/(INDEX(Antoines,MATCH(N1810,Antoine_Name,0),4)+(N1820-32)*5/9)))*14.7/760,IF(N1811="Crude Oil",EXP((2799/(N1820+459.6)-2.227)*LOG10(INDEX(FX_Input,AA$5,N$3*$Z$5+$AA$5))-(7261/(N1820+459.6))+12.82),IF(N1811="Refined Petroleum Stock",EXP((0.7553-(413/(N1820+459.6)))*(INDEX(FX_Input,AA$5,N$3*$Z$5+$AA$5-1)^0.5)*LOG10(INDEX(FX_Input,AA$5,N$3*$Z$5+$AA$5))-(1.854-(1042/(N1820+459.6)))*(INDEX(FX_Input,AA$5,N$3*$Z$5+$AA$5-1)^0.5)+((2416/(N1820+459.6)-2.013)*LOG10(INDEX(FX_Input,AA$5,N$3*$Z$5+$AA$5)))-(8742/(N1820+459.6))+15.64),EXP(INDEX(Antoines,MATCH(N1810,Antoine_Name,0),2)-INDEX(Antoines,MATCH(N1810,Antoine_Name,0),3)/(N1820+459.6))))),0)</f>
        <v>5.7302815955729341E-3</v>
      </c>
      <c r="O1831" cm="1">
        <f t="array" ref="O1831">IFERROR(IF(O1811="Chemical",(10^(INDEX(Antoines,MATCH(O1810,Antoine_Name,0),2)-INDEX(Antoines,MATCH(O1810,Antoine_Name,0),3)/(INDEX(Antoines,MATCH(O1810,Antoine_Name,0),4)+(O1820-32)*5/9)))*14.7/760,IF(O1811="Crude Oil",EXP((2799/(O1820+459.6)-2.227)*LOG10(INDEX(FX_Input,AB$5,O$3*$Z$5+$AA$5))-(7261/(O1820+459.6))+12.82),IF(O1811="Refined Petroleum Stock",EXP((0.7553-(413/(O1820+459.6)))*(INDEX(FX_Input,AB$5,O$3*$Z$5+$AA$5-1)^0.5)*LOG10(INDEX(FX_Input,AB$5,O$3*$Z$5+$AA$5))-(1.854-(1042/(O1820+459.6)))*(INDEX(FX_Input,AB$5,O$3*$Z$5+$AA$5-1)^0.5)+((2416/(O1820+459.6)-2.013)*LOG10(INDEX(FX_Input,AB$5,O$3*$Z$5+$AA$5)))-(8742/(O1820+459.6))+15.64),EXP(INDEX(Antoines,MATCH(O1810,Antoine_Name,0),2)-INDEX(Antoines,MATCH(O1810,Antoine_Name,0),3)/(O1820+459.6))))),0)</f>
        <v>4.9845202750316486E-3</v>
      </c>
    </row>
    <row r="1832" spans="1:32" ht="17.149999999999999" x14ac:dyDescent="0.55000000000000004">
      <c r="B1832" t="str">
        <f t="shared" si="6676"/>
        <v>Portland</v>
      </c>
      <c r="C1832" t="s">
        <v>1389</v>
      </c>
      <c r="D1832">
        <f>D1831*D1814</f>
        <v>5.0788096823034274E-3</v>
      </c>
      <c r="E1832">
        <f t="shared" ref="E1832" si="6743">E1831*E1814</f>
        <v>5.4974545080270654E-3</v>
      </c>
      <c r="F1832">
        <f t="shared" ref="F1832" si="6744">F1831*F1814</f>
        <v>6.0939776204352973E-3</v>
      </c>
      <c r="G1832">
        <f t="shared" ref="G1832" si="6745">G1831*G1814</f>
        <v>7.1364512548726224E-3</v>
      </c>
      <c r="H1832">
        <f t="shared" ref="H1832" si="6746">H1831*H1814</f>
        <v>8.765284653116507E-3</v>
      </c>
      <c r="I1832">
        <f t="shared" ref="I1832" si="6747">I1831*I1814</f>
        <v>1.0088391497030216E-2</v>
      </c>
      <c r="J1832">
        <f t="shared" ref="J1832" si="6748">J1831*J1814</f>
        <v>1.1455846008049875E-2</v>
      </c>
      <c r="K1832">
        <f t="shared" ref="K1832" si="6749">K1831*K1814</f>
        <v>1.1170957772624744E-2</v>
      </c>
      <c r="L1832">
        <f t="shared" ref="L1832" si="6750">L1831*L1814</f>
        <v>9.8227622663598323E-3</v>
      </c>
      <c r="M1832">
        <f t="shared" ref="M1832" si="6751">M1831*M1814</f>
        <v>7.3902409367879104E-3</v>
      </c>
      <c r="N1832">
        <f t="shared" ref="N1832" si="6752">N1831*N1814</f>
        <v>5.7302815955729341E-3</v>
      </c>
      <c r="O1832">
        <f t="shared" ref="O1832" si="6753">O1831*O1814</f>
        <v>4.9845202750316486E-3</v>
      </c>
    </row>
    <row r="1833" spans="1:32" ht="17.149999999999999" x14ac:dyDescent="0.55000000000000004">
      <c r="B1833" t="str">
        <f t="shared" si="6676"/>
        <v>Portland</v>
      </c>
      <c r="C1833" t="s">
        <v>1390</v>
      </c>
      <c r="D1833" cm="1">
        <f t="array" ref="D1833">IFERROR(IF(D1813="Chemical",(10^(INDEX(Antoines,MATCH(D1812,Antoine_Name,0),2)-INDEX(Antoines,MATCH(D1812,Antoine_Name,0),3)/(INDEX(Antoines,MATCH(D1812,Antoine_Name,0),4)+(D1820-32)*5/9)))*14.7/760,IF(D1813="Crude Oil",EXP((2799/(D1820+459.6)-2.227)*LOG10(INDEX(FX_Input,Q$5,D$3*$Z$5+$AA$5))-(7261/(D1820+459.6))+12.82),IF(D1813="Refined Petroleum Stock",EXP((0.7553-(413/(D1820+459.6)))*(INDEX(FX_Input,Q$5,D$3*$Z$5+$AA$5-1)^0.5)*LOG10(INDEX(FX_Input,Q$5,D$3*$Z$5+$AA$5))-(1.854-(1042/(D1820+459.6)))*(INDEX(FX_Input,Q$5,D$3*$Z$5+$AA$5-1)^0.5)+((2416/(D1820+459.6)-2.013)*LOG10(INDEX(FX_Input,Q$5,D$3*$Z$5+$AA$5)))-(8742/(D1820+459.6))+15.64),EXP(INDEX(Antoines,MATCH(D1812,Antoine_Name,0),2)-INDEX(Antoines,MATCH(D1812,Antoine_Name,0),3)/(D1820+459.6))))),0)</f>
        <v>0</v>
      </c>
      <c r="E1833" cm="1">
        <f t="array" ref="E1833">IFERROR(IF(E1813="Chemical",(10^(INDEX(Antoines,MATCH(E1812,Antoine_Name,0),2)-INDEX(Antoines,MATCH(E1812,Antoine_Name,0),3)/(INDEX(Antoines,MATCH(E1812,Antoine_Name,0),4)+(E1820-32)*5/9)))*14.7/760,IF(E1813="Crude Oil",EXP((2799/(E1820+459.6)-2.227)*LOG10(INDEX(FX_Input,R$5,E$3*$Z$5+$AA$5))-(7261/(E1820+459.6))+12.82),IF(E1813="Refined Petroleum Stock",EXP((0.7553-(413/(E1820+459.6)))*(INDEX(FX_Input,R$5,E$3*$Z$5+$AA$5-1)^0.5)*LOG10(INDEX(FX_Input,R$5,E$3*$Z$5+$AA$5))-(1.854-(1042/(E1820+459.6)))*(INDEX(FX_Input,R$5,E$3*$Z$5+$AA$5-1)^0.5)+((2416/(E1820+459.6)-2.013)*LOG10(INDEX(FX_Input,R$5,E$3*$Z$5+$AA$5)))-(8742/(E1820+459.6))+15.64),EXP(INDEX(Antoines,MATCH(E1812,Antoine_Name,0),2)-INDEX(Antoines,MATCH(E1812,Antoine_Name,0),3)/(E1820+459.6))))),0)</f>
        <v>0</v>
      </c>
      <c r="F1833" cm="1">
        <f t="array" ref="F1833">IFERROR(IF(F1813="Chemical",(10^(INDEX(Antoines,MATCH(F1812,Antoine_Name,0),2)-INDEX(Antoines,MATCH(F1812,Antoine_Name,0),3)/(INDEX(Antoines,MATCH(F1812,Antoine_Name,0),4)+(F1820-32)*5/9)))*14.7/760,IF(F1813="Crude Oil",EXP((2799/(F1820+459.6)-2.227)*LOG10(INDEX(FX_Input,S$5,F$3*$Z$5+$AA$5))-(7261/(F1820+459.6))+12.82),IF(F1813="Refined Petroleum Stock",EXP((0.7553-(413/(F1820+459.6)))*(INDEX(FX_Input,S$5,F$3*$Z$5+$AA$5-1)^0.5)*LOG10(INDEX(FX_Input,S$5,F$3*$Z$5+$AA$5))-(1.854-(1042/(F1820+459.6)))*(INDEX(FX_Input,S$5,F$3*$Z$5+$AA$5-1)^0.5)+((2416/(F1820+459.6)-2.013)*LOG10(INDEX(FX_Input,S$5,F$3*$Z$5+$AA$5)))-(8742/(F1820+459.6))+15.64),EXP(INDEX(Antoines,MATCH(F1812,Antoine_Name,0),2)-INDEX(Antoines,MATCH(F1812,Antoine_Name,0),3)/(F1820+459.6))))),0)</f>
        <v>0</v>
      </c>
      <c r="G1833" cm="1">
        <f t="array" ref="G1833">IFERROR(IF(G1813="Chemical",(10^(INDEX(Antoines,MATCH(G1812,Antoine_Name,0),2)-INDEX(Antoines,MATCH(G1812,Antoine_Name,0),3)/(INDEX(Antoines,MATCH(G1812,Antoine_Name,0),4)+(G1820-32)*5/9)))*14.7/760,IF(G1813="Crude Oil",EXP((2799/(G1820+459.6)-2.227)*LOG10(INDEX(FX_Input,T$5,G$3*$Z$5+$AA$5))-(7261/(G1820+459.6))+12.82),IF(G1813="Refined Petroleum Stock",EXP((0.7553-(413/(G1820+459.6)))*(INDEX(FX_Input,T$5,G$3*$Z$5+$AA$5-1)^0.5)*LOG10(INDEX(FX_Input,T$5,G$3*$Z$5+$AA$5))-(1.854-(1042/(G1820+459.6)))*(INDEX(FX_Input,T$5,G$3*$Z$5+$AA$5-1)^0.5)+((2416/(G1820+459.6)-2.013)*LOG10(INDEX(FX_Input,T$5,G$3*$Z$5+$AA$5)))-(8742/(G1820+459.6))+15.64),EXP(INDEX(Antoines,MATCH(G1812,Antoine_Name,0),2)-INDEX(Antoines,MATCH(G1812,Antoine_Name,0),3)/(G1820+459.6))))),0)</f>
        <v>0</v>
      </c>
      <c r="H1833" cm="1">
        <f t="array" ref="H1833">IFERROR(IF(H1813="Chemical",(10^(INDEX(Antoines,MATCH(H1812,Antoine_Name,0),2)-INDEX(Antoines,MATCH(H1812,Antoine_Name,0),3)/(INDEX(Antoines,MATCH(H1812,Antoine_Name,0),4)+(H1820-32)*5/9)))*14.7/760,IF(H1813="Crude Oil",EXP((2799/(H1820+459.6)-2.227)*LOG10(INDEX(FX_Input,U$5,H$3*$Z$5+$AA$5))-(7261/(H1820+459.6))+12.82),IF(H1813="Refined Petroleum Stock",EXP((0.7553-(413/(H1820+459.6)))*(INDEX(FX_Input,U$5,H$3*$Z$5+$AA$5-1)^0.5)*LOG10(INDEX(FX_Input,U$5,H$3*$Z$5+$AA$5))-(1.854-(1042/(H1820+459.6)))*(INDEX(FX_Input,U$5,H$3*$Z$5+$AA$5-1)^0.5)+((2416/(H1820+459.6)-2.013)*LOG10(INDEX(FX_Input,U$5,H$3*$Z$5+$AA$5)))-(8742/(H1820+459.6))+15.64),EXP(INDEX(Antoines,MATCH(H1812,Antoine_Name,0),2)-INDEX(Antoines,MATCH(H1812,Antoine_Name,0),3)/(H1820+459.6))))),0)</f>
        <v>0</v>
      </c>
      <c r="I1833" cm="1">
        <f t="array" ref="I1833">IFERROR(IF(I1813="Chemical",(10^(INDEX(Antoines,MATCH(I1812,Antoine_Name,0),2)-INDEX(Antoines,MATCH(I1812,Antoine_Name,0),3)/(INDEX(Antoines,MATCH(I1812,Antoine_Name,0),4)+(I1820-32)*5/9)))*14.7/760,IF(I1813="Crude Oil",EXP((2799/(I1820+459.6)-2.227)*LOG10(INDEX(FX_Input,V$5,I$3*$Z$5+$AA$5))-(7261/(I1820+459.6))+12.82),IF(I1813="Refined Petroleum Stock",EXP((0.7553-(413/(I1820+459.6)))*(INDEX(FX_Input,V$5,I$3*$Z$5+$AA$5-1)^0.5)*LOG10(INDEX(FX_Input,V$5,I$3*$Z$5+$AA$5))-(1.854-(1042/(I1820+459.6)))*(INDEX(FX_Input,V$5,I$3*$Z$5+$AA$5-1)^0.5)+((2416/(I1820+459.6)-2.013)*LOG10(INDEX(FX_Input,V$5,I$3*$Z$5+$AA$5)))-(8742/(I1820+459.6))+15.64),EXP(INDEX(Antoines,MATCH(I1812,Antoine_Name,0),2)-INDEX(Antoines,MATCH(I1812,Antoine_Name,0),3)/(I1820+459.6))))),0)</f>
        <v>0</v>
      </c>
      <c r="J1833" cm="1">
        <f t="array" ref="J1833">IFERROR(IF(J1813="Chemical",(10^(INDEX(Antoines,MATCH(J1812,Antoine_Name,0),2)-INDEX(Antoines,MATCH(J1812,Antoine_Name,0),3)/(INDEX(Antoines,MATCH(J1812,Antoine_Name,0),4)+(J1820-32)*5/9)))*14.7/760,IF(J1813="Crude Oil",EXP((2799/(J1820+459.6)-2.227)*LOG10(INDEX(FX_Input,W$5,J$3*$Z$5+$AA$5))-(7261/(J1820+459.6))+12.82),IF(J1813="Refined Petroleum Stock",EXP((0.7553-(413/(J1820+459.6)))*(INDEX(FX_Input,W$5,J$3*$Z$5+$AA$5-1)^0.5)*LOG10(INDEX(FX_Input,W$5,J$3*$Z$5+$AA$5))-(1.854-(1042/(J1820+459.6)))*(INDEX(FX_Input,W$5,J$3*$Z$5+$AA$5-1)^0.5)+((2416/(J1820+459.6)-2.013)*LOG10(INDEX(FX_Input,W$5,J$3*$Z$5+$AA$5)))-(8742/(J1820+459.6))+15.64),EXP(INDEX(Antoines,MATCH(J1812,Antoine_Name,0),2)-INDEX(Antoines,MATCH(J1812,Antoine_Name,0),3)/(J1820+459.6))))),0)</f>
        <v>0</v>
      </c>
      <c r="K1833" cm="1">
        <f t="array" ref="K1833">IFERROR(IF(K1813="Chemical",(10^(INDEX(Antoines,MATCH(K1812,Antoine_Name,0),2)-INDEX(Antoines,MATCH(K1812,Antoine_Name,0),3)/(INDEX(Antoines,MATCH(K1812,Antoine_Name,0),4)+(K1820-32)*5/9)))*14.7/760,IF(K1813="Crude Oil",EXP((2799/(K1820+459.6)-2.227)*LOG10(INDEX(FX_Input,X$5,K$3*$Z$5+$AA$5))-(7261/(K1820+459.6))+12.82),IF(K1813="Refined Petroleum Stock",EXP((0.7553-(413/(K1820+459.6)))*(INDEX(FX_Input,X$5,K$3*$Z$5+$AA$5-1)^0.5)*LOG10(INDEX(FX_Input,X$5,K$3*$Z$5+$AA$5))-(1.854-(1042/(K1820+459.6)))*(INDEX(FX_Input,X$5,K$3*$Z$5+$AA$5-1)^0.5)+((2416/(K1820+459.6)-2.013)*LOG10(INDEX(FX_Input,X$5,K$3*$Z$5+$AA$5)))-(8742/(K1820+459.6))+15.64),EXP(INDEX(Antoines,MATCH(K1812,Antoine_Name,0),2)-INDEX(Antoines,MATCH(K1812,Antoine_Name,0),3)/(K1820+459.6))))),0)</f>
        <v>0</v>
      </c>
      <c r="L1833" cm="1">
        <f t="array" ref="L1833">IFERROR(IF(L1813="Chemical",(10^(INDEX(Antoines,MATCH(L1812,Antoine_Name,0),2)-INDEX(Antoines,MATCH(L1812,Antoine_Name,0),3)/(INDEX(Antoines,MATCH(L1812,Antoine_Name,0),4)+(L1820-32)*5/9)))*14.7/760,IF(L1813="Crude Oil",EXP((2799/(L1820+459.6)-2.227)*LOG10(INDEX(FX_Input,Y$5,L$3*$Z$5+$AA$5))-(7261/(L1820+459.6))+12.82),IF(L1813="Refined Petroleum Stock",EXP((0.7553-(413/(L1820+459.6)))*(INDEX(FX_Input,Y$5,L$3*$Z$5+$AA$5-1)^0.5)*LOG10(INDEX(FX_Input,Y$5,L$3*$Z$5+$AA$5))-(1.854-(1042/(L1820+459.6)))*(INDEX(FX_Input,Y$5,L$3*$Z$5+$AA$5-1)^0.5)+((2416/(L1820+459.6)-2.013)*LOG10(INDEX(FX_Input,Y$5,L$3*$Z$5+$AA$5)))-(8742/(L1820+459.6))+15.64),EXP(INDEX(Antoines,MATCH(L1812,Antoine_Name,0),2)-INDEX(Antoines,MATCH(L1812,Antoine_Name,0),3)/(L1820+459.6))))),0)</f>
        <v>0</v>
      </c>
      <c r="M1833" cm="1">
        <f t="array" ref="M1833">IFERROR(IF(M1813="Chemical",(10^(INDEX(Antoines,MATCH(M1812,Antoine_Name,0),2)-INDEX(Antoines,MATCH(M1812,Antoine_Name,0),3)/(INDEX(Antoines,MATCH(M1812,Antoine_Name,0),4)+(M1820-32)*5/9)))*14.7/760,IF(M1813="Crude Oil",EXP((2799/(M1820+459.6)-2.227)*LOG10(INDEX(FX_Input,Z$5,M$3*$Z$5+$AA$5))-(7261/(M1820+459.6))+12.82),IF(M1813="Refined Petroleum Stock",EXP((0.7553-(413/(M1820+459.6)))*(INDEX(FX_Input,Z$5,M$3*$Z$5+$AA$5-1)^0.5)*LOG10(INDEX(FX_Input,Z$5,M$3*$Z$5+$AA$5))-(1.854-(1042/(M1820+459.6)))*(INDEX(FX_Input,Z$5,M$3*$Z$5+$AA$5-1)^0.5)+((2416/(M1820+459.6)-2.013)*LOG10(INDEX(FX_Input,Z$5,M$3*$Z$5+$AA$5)))-(8742/(M1820+459.6))+15.64),EXP(INDEX(Antoines,MATCH(M1812,Antoine_Name,0),2)-INDEX(Antoines,MATCH(M1812,Antoine_Name,0),3)/(M1820+459.6))))),0)</f>
        <v>0</v>
      </c>
      <c r="N1833" cm="1">
        <f t="array" ref="N1833">IFERROR(IF(N1813="Chemical",(10^(INDEX(Antoines,MATCH(N1812,Antoine_Name,0),2)-INDEX(Antoines,MATCH(N1812,Antoine_Name,0),3)/(INDEX(Antoines,MATCH(N1812,Antoine_Name,0),4)+(N1820-32)*5/9)))*14.7/760,IF(N1813="Crude Oil",EXP((2799/(N1820+459.6)-2.227)*LOG10(INDEX(FX_Input,AA$5,N$3*$Z$5+$AA$5))-(7261/(N1820+459.6))+12.82),IF(N1813="Refined Petroleum Stock",EXP((0.7553-(413/(N1820+459.6)))*(INDEX(FX_Input,AA$5,N$3*$Z$5+$AA$5-1)^0.5)*LOG10(INDEX(FX_Input,AA$5,N$3*$Z$5+$AA$5))-(1.854-(1042/(N1820+459.6)))*(INDEX(FX_Input,AA$5,N$3*$Z$5+$AA$5-1)^0.5)+((2416/(N1820+459.6)-2.013)*LOG10(INDEX(FX_Input,AA$5,N$3*$Z$5+$AA$5)))-(8742/(N1820+459.6))+15.64),EXP(INDEX(Antoines,MATCH(N1812,Antoine_Name,0),2)-INDEX(Antoines,MATCH(N1812,Antoine_Name,0),3)/(N1820+459.6))))),0)</f>
        <v>0</v>
      </c>
      <c r="O1833" cm="1">
        <f t="array" ref="O1833">IFERROR(IF(O1813="Chemical",(10^(INDEX(Antoines,MATCH(O1812,Antoine_Name,0),2)-INDEX(Antoines,MATCH(O1812,Antoine_Name,0),3)/(INDEX(Antoines,MATCH(O1812,Antoine_Name,0),4)+(O1820-32)*5/9)))*14.7/760,IF(O1813="Crude Oil",EXP((2799/(O1820+459.6)-2.227)*LOG10(INDEX(FX_Input,AB$5,O$3*$Z$5+$AA$5))-(7261/(O1820+459.6))+12.82),IF(O1813="Refined Petroleum Stock",EXP((0.7553-(413/(O1820+459.6)))*(INDEX(FX_Input,AB$5,O$3*$Z$5+$AA$5-1)^0.5)*LOG10(INDEX(FX_Input,AB$5,O$3*$Z$5+$AA$5))-(1.854-(1042/(O1820+459.6)))*(INDEX(FX_Input,AB$5,O$3*$Z$5+$AA$5-1)^0.5)+((2416/(O1820+459.6)-2.013)*LOG10(INDEX(FX_Input,AB$5,O$3*$Z$5+$AA$5)))-(8742/(O1820+459.6))+15.64),EXP(INDEX(Antoines,MATCH(O1812,Antoine_Name,0),2)-INDEX(Antoines,MATCH(O1812,Antoine_Name,0),3)/(O1820+459.6))))),0)</f>
        <v>0</v>
      </c>
    </row>
    <row r="1834" spans="1:32" ht="17.149999999999999" x14ac:dyDescent="0.55000000000000004">
      <c r="B1834" t="str">
        <f t="shared" si="6676"/>
        <v>Portland</v>
      </c>
      <c r="C1834" t="s">
        <v>1391</v>
      </c>
      <c r="D1834">
        <f>D1833*D1816</f>
        <v>0</v>
      </c>
      <c r="E1834">
        <f t="shared" ref="E1834" si="6754">E1833*E1816</f>
        <v>0</v>
      </c>
      <c r="F1834">
        <f t="shared" ref="F1834" si="6755">F1833*F1816</f>
        <v>0</v>
      </c>
      <c r="G1834">
        <f t="shared" ref="G1834" si="6756">G1833*G1816</f>
        <v>0</v>
      </c>
      <c r="H1834">
        <f t="shared" ref="H1834" si="6757">H1833*H1816</f>
        <v>0</v>
      </c>
      <c r="I1834">
        <f t="shared" ref="I1834" si="6758">I1833*I1816</f>
        <v>0</v>
      </c>
      <c r="J1834">
        <f t="shared" ref="J1834" si="6759">J1833*J1816</f>
        <v>0</v>
      </c>
      <c r="K1834">
        <f t="shared" ref="K1834" si="6760">K1833*K1816</f>
        <v>0</v>
      </c>
      <c r="L1834">
        <f t="shared" ref="L1834" si="6761">L1833*L1816</f>
        <v>0</v>
      </c>
      <c r="M1834">
        <f t="shared" ref="M1834" si="6762">M1833*M1816</f>
        <v>0</v>
      </c>
      <c r="N1834">
        <f t="shared" ref="N1834" si="6763">N1833*N1816</f>
        <v>0</v>
      </c>
      <c r="O1834">
        <f t="shared" ref="O1834" si="6764">O1833*O1816</f>
        <v>0</v>
      </c>
    </row>
    <row r="1835" spans="1:32" ht="17.149999999999999" x14ac:dyDescent="0.55000000000000004">
      <c r="B1835" t="str">
        <f t="shared" si="6676"/>
        <v>Portland</v>
      </c>
      <c r="C1835" t="s">
        <v>1392</v>
      </c>
      <c r="D1835">
        <f>D1832+D1834</f>
        <v>5.0788096823034274E-3</v>
      </c>
      <c r="E1835">
        <f t="shared" ref="E1835" si="6765">E1832+E1834</f>
        <v>5.4974545080270654E-3</v>
      </c>
      <c r="F1835">
        <f t="shared" ref="F1835" si="6766">F1832+F1834</f>
        <v>6.0939776204352973E-3</v>
      </c>
      <c r="G1835">
        <f t="shared" ref="G1835" si="6767">G1832+G1834</f>
        <v>7.1364512548726224E-3</v>
      </c>
      <c r="H1835">
        <f t="shared" ref="H1835" si="6768">H1832+H1834</f>
        <v>8.765284653116507E-3</v>
      </c>
      <c r="I1835">
        <f t="shared" ref="I1835" si="6769">I1832+I1834</f>
        <v>1.0088391497030216E-2</v>
      </c>
      <c r="J1835">
        <f t="shared" ref="J1835" si="6770">J1832+J1834</f>
        <v>1.1455846008049875E-2</v>
      </c>
      <c r="K1835">
        <f t="shared" ref="K1835" si="6771">K1832+K1834</f>
        <v>1.1170957772624744E-2</v>
      </c>
      <c r="L1835">
        <f t="shared" ref="L1835" si="6772">L1832+L1834</f>
        <v>9.8227622663598323E-3</v>
      </c>
      <c r="M1835">
        <f t="shared" ref="M1835" si="6773">M1832+M1834</f>
        <v>7.3902409367879104E-3</v>
      </c>
      <c r="N1835">
        <f t="shared" ref="N1835" si="6774">N1832+N1834</f>
        <v>5.7302815955729341E-3</v>
      </c>
      <c r="O1835">
        <f t="shared" ref="O1835" si="6775">O1832+O1834</f>
        <v>4.9845202750316486E-3</v>
      </c>
    </row>
    <row r="1836" spans="1:32" ht="17.149999999999999" x14ac:dyDescent="0.55000000000000004">
      <c r="B1836" t="str">
        <f>B1830</f>
        <v>Portland</v>
      </c>
      <c r="C1836" t="s">
        <v>584</v>
      </c>
      <c r="D1836">
        <f>D1832/D1835</f>
        <v>1</v>
      </c>
      <c r="E1836">
        <f t="shared" ref="E1836" si="6776">E1832/E1835</f>
        <v>1</v>
      </c>
      <c r="F1836">
        <f t="shared" ref="F1836" si="6777">F1832/F1835</f>
        <v>1</v>
      </c>
      <c r="G1836">
        <f t="shared" ref="G1836" si="6778">G1832/G1835</f>
        <v>1</v>
      </c>
      <c r="H1836">
        <f t="shared" ref="H1836" si="6779">H1832/H1835</f>
        <v>1</v>
      </c>
      <c r="I1836">
        <f t="shared" ref="I1836" si="6780">I1832/I1835</f>
        <v>1</v>
      </c>
      <c r="J1836">
        <f t="shared" ref="J1836" si="6781">J1832/J1835</f>
        <v>1</v>
      </c>
      <c r="K1836">
        <f t="shared" ref="K1836" si="6782">K1832/K1835</f>
        <v>1</v>
      </c>
      <c r="L1836">
        <f t="shared" ref="L1836" si="6783">L1832/L1835</f>
        <v>1</v>
      </c>
      <c r="M1836">
        <f t="shared" ref="M1836" si="6784">M1832/M1835</f>
        <v>1</v>
      </c>
      <c r="N1836">
        <f t="shared" ref="N1836" si="6785">N1832/N1835</f>
        <v>1</v>
      </c>
      <c r="O1836">
        <f t="shared" ref="O1836" si="6786">O1832/O1835</f>
        <v>1</v>
      </c>
    </row>
    <row r="1837" spans="1:32" ht="17.149999999999999" x14ac:dyDescent="0.55000000000000004">
      <c r="B1837" t="str">
        <f>B1831</f>
        <v>Portland</v>
      </c>
      <c r="C1837" t="s">
        <v>585</v>
      </c>
      <c r="D1837">
        <f t="shared" ref="D1837:O1837" si="6787">INDEX(Phys_Prop,MATCH(D1810,Chem_List,0),3)</f>
        <v>130</v>
      </c>
      <c r="E1837">
        <f t="shared" si="6787"/>
        <v>130</v>
      </c>
      <c r="F1837">
        <f t="shared" si="6787"/>
        <v>130</v>
      </c>
      <c r="G1837">
        <f t="shared" si="6787"/>
        <v>130</v>
      </c>
      <c r="H1837">
        <f t="shared" si="6787"/>
        <v>130</v>
      </c>
      <c r="I1837">
        <f t="shared" si="6787"/>
        <v>130</v>
      </c>
      <c r="J1837">
        <f t="shared" si="6787"/>
        <v>130</v>
      </c>
      <c r="K1837">
        <f t="shared" si="6787"/>
        <v>130</v>
      </c>
      <c r="L1837">
        <f t="shared" si="6787"/>
        <v>130</v>
      </c>
      <c r="M1837">
        <f t="shared" si="6787"/>
        <v>130</v>
      </c>
      <c r="N1837">
        <f t="shared" si="6787"/>
        <v>130</v>
      </c>
      <c r="O1837">
        <f t="shared" si="6787"/>
        <v>130</v>
      </c>
    </row>
    <row r="1838" spans="1:32" ht="17.149999999999999" x14ac:dyDescent="0.55000000000000004">
      <c r="B1838" t="str">
        <f>B1837</f>
        <v>Portland</v>
      </c>
      <c r="C1838" t="s">
        <v>586</v>
      </c>
      <c r="D1838">
        <f>D1834/D1835</f>
        <v>0</v>
      </c>
      <c r="E1838">
        <f t="shared" ref="E1838:O1838" si="6788">E1834/E1835</f>
        <v>0</v>
      </c>
      <c r="F1838">
        <f t="shared" si="6788"/>
        <v>0</v>
      </c>
      <c r="G1838">
        <f t="shared" si="6788"/>
        <v>0</v>
      </c>
      <c r="H1838">
        <f t="shared" si="6788"/>
        <v>0</v>
      </c>
      <c r="I1838">
        <f t="shared" si="6788"/>
        <v>0</v>
      </c>
      <c r="J1838">
        <f t="shared" si="6788"/>
        <v>0</v>
      </c>
      <c r="K1838">
        <f t="shared" si="6788"/>
        <v>0</v>
      </c>
      <c r="L1838">
        <f t="shared" si="6788"/>
        <v>0</v>
      </c>
      <c r="M1838">
        <f t="shared" si="6788"/>
        <v>0</v>
      </c>
      <c r="N1838">
        <f t="shared" si="6788"/>
        <v>0</v>
      </c>
      <c r="O1838">
        <f t="shared" si="6788"/>
        <v>0</v>
      </c>
    </row>
    <row r="1839" spans="1:32" ht="17.149999999999999" x14ac:dyDescent="0.55000000000000004">
      <c r="B1839" t="str">
        <f t="shared" si="6676"/>
        <v>Portland</v>
      </c>
      <c r="C1839" t="s">
        <v>587</v>
      </c>
      <c r="D1839">
        <f t="shared" ref="D1839:O1839" si="6789">IFERROR(INDEX(Phys_Prop,MATCH(D1812,Chem_List,0),3),0)</f>
        <v>0</v>
      </c>
      <c r="E1839">
        <f t="shared" si="6789"/>
        <v>0</v>
      </c>
      <c r="F1839">
        <f t="shared" si="6789"/>
        <v>0</v>
      </c>
      <c r="G1839">
        <f t="shared" si="6789"/>
        <v>0</v>
      </c>
      <c r="H1839">
        <f t="shared" si="6789"/>
        <v>0</v>
      </c>
      <c r="I1839">
        <f t="shared" si="6789"/>
        <v>0</v>
      </c>
      <c r="J1839">
        <f t="shared" si="6789"/>
        <v>0</v>
      </c>
      <c r="K1839">
        <f t="shared" si="6789"/>
        <v>0</v>
      </c>
      <c r="L1839">
        <f t="shared" si="6789"/>
        <v>0</v>
      </c>
      <c r="M1839">
        <f t="shared" si="6789"/>
        <v>0</v>
      </c>
      <c r="N1839">
        <f t="shared" si="6789"/>
        <v>0</v>
      </c>
      <c r="O1839">
        <f t="shared" si="6789"/>
        <v>0</v>
      </c>
    </row>
    <row r="1840" spans="1:32" ht="17.149999999999999" x14ac:dyDescent="0.55000000000000004">
      <c r="A1840" s="11"/>
      <c r="B1840" s="11" t="str">
        <f t="shared" si="6676"/>
        <v>Portland</v>
      </c>
      <c r="C1840" s="11" t="s">
        <v>588</v>
      </c>
      <c r="D1840" s="11">
        <f>IFERROR(D1836*D1837+D1838*D1839,0)</f>
        <v>130</v>
      </c>
      <c r="E1840" s="11">
        <f t="shared" ref="E1840" si="6790">IFERROR(E1836*E1837+E1838*E1839,0)</f>
        <v>130</v>
      </c>
      <c r="F1840" s="11">
        <f t="shared" ref="F1840" si="6791">IFERROR(F1836*F1837+F1838*F1839,0)</f>
        <v>130</v>
      </c>
      <c r="G1840" s="11">
        <f t="shared" ref="G1840" si="6792">IFERROR(G1836*G1837+G1838*G1839,0)</f>
        <v>130</v>
      </c>
      <c r="H1840" s="11">
        <f t="shared" ref="H1840" si="6793">IFERROR(H1836*H1837+H1838*H1839,0)</f>
        <v>130</v>
      </c>
      <c r="I1840" s="11">
        <f t="shared" ref="I1840" si="6794">IFERROR(I1836*I1837+I1838*I1839,0)</f>
        <v>130</v>
      </c>
      <c r="J1840" s="11">
        <f t="shared" ref="J1840" si="6795">IFERROR(J1836*J1837+J1838*J1839,0)</f>
        <v>130</v>
      </c>
      <c r="K1840" s="11">
        <f t="shared" ref="K1840" si="6796">IFERROR(K1836*K1837+K1838*K1839,0)</f>
        <v>130</v>
      </c>
      <c r="L1840" s="11">
        <f t="shared" ref="L1840" si="6797">IFERROR(L1836*L1837+L1838*L1839,0)</f>
        <v>130</v>
      </c>
      <c r="M1840" s="11">
        <f t="shared" ref="M1840" si="6798">IFERROR(M1836*M1837+M1838*M1839,0)</f>
        <v>130</v>
      </c>
      <c r="N1840" s="11">
        <f t="shared" ref="N1840" si="6799">IFERROR(N1836*N1837+N1838*N1839,0)</f>
        <v>130</v>
      </c>
      <c r="O1840" s="11">
        <f t="shared" ref="O1840" si="6800">IFERROR(O1836*O1837+O1838*O1839,0)</f>
        <v>130</v>
      </c>
      <c r="P1840" s="11"/>
      <c r="Q1840" s="11"/>
      <c r="R1840" s="11"/>
      <c r="S1840" s="11"/>
      <c r="T1840" s="11"/>
      <c r="U1840" s="11"/>
      <c r="V1840" s="11"/>
      <c r="W1840" s="11"/>
      <c r="X1840" s="11"/>
      <c r="Y1840" s="11"/>
      <c r="Z1840" s="11"/>
      <c r="AA1840" s="11"/>
      <c r="AB1840" s="11"/>
      <c r="AC1840" s="11"/>
      <c r="AD1840" s="11"/>
      <c r="AE1840" s="11"/>
      <c r="AF1840" s="11"/>
    </row>
    <row r="1841" spans="1:32" ht="17.149999999999999" x14ac:dyDescent="0.55000000000000004">
      <c r="A1841" t="str" cm="1">
        <f t="array" ref="A1841">INDEX(FX_Input,$Q1841,R$5)</f>
        <v>FX - 55</v>
      </c>
      <c r="B1841" t="str" cm="1">
        <f t="array" ref="B1841">INDEX(FX_Input,Q1841,S1841)</f>
        <v>Portland</v>
      </c>
      <c r="C1841" t="s">
        <v>563</v>
      </c>
      <c r="D1841">
        <v>14.7</v>
      </c>
      <c r="E1841">
        <v>14.7</v>
      </c>
      <c r="F1841">
        <v>14.7</v>
      </c>
      <c r="G1841">
        <v>14.7</v>
      </c>
      <c r="H1841">
        <v>14.7</v>
      </c>
      <c r="I1841">
        <v>14.7</v>
      </c>
      <c r="J1841">
        <v>14.7</v>
      </c>
      <c r="K1841">
        <v>14.7</v>
      </c>
      <c r="L1841">
        <v>14.7</v>
      </c>
      <c r="M1841">
        <v>14.7</v>
      </c>
      <c r="N1841">
        <v>14.7</v>
      </c>
      <c r="O1841">
        <v>14.7</v>
      </c>
      <c r="Q1841">
        <f>Q1807+2</f>
        <v>109</v>
      </c>
      <c r="R1841">
        <v>1</v>
      </c>
      <c r="S1841">
        <v>3</v>
      </c>
      <c r="T1841">
        <v>1</v>
      </c>
      <c r="U1841">
        <v>19</v>
      </c>
      <c r="V1841">
        <v>20</v>
      </c>
      <c r="W1841">
        <v>25</v>
      </c>
      <c r="X1841">
        <v>1</v>
      </c>
      <c r="Y1841">
        <v>2</v>
      </c>
      <c r="Z1841">
        <f>(W1841-V1841)/(Y1841-X1841)</f>
        <v>5</v>
      </c>
      <c r="AA1841">
        <f>V1841-Z1841*X1841</f>
        <v>15</v>
      </c>
      <c r="AD1841">
        <f>AD1807+14</f>
        <v>757</v>
      </c>
      <c r="AF1841">
        <f>AF1807+14</f>
        <v>757</v>
      </c>
    </row>
    <row r="1842" spans="1:32" ht="17.149999999999999" x14ac:dyDescent="0.55000000000000004">
      <c r="B1842" t="str">
        <f t="shared" ref="B1842" si="6801">B1841</f>
        <v>Portland</v>
      </c>
      <c r="C1842" t="s">
        <v>564</v>
      </c>
      <c r="D1842" cm="1">
        <f t="array" ref="D1842">IF(ISBLANK(INDEX(FX_Input,$Q1841,$AB1842)),0.03,INDEX(FX_Input,Q1841,AB1842))</f>
        <v>0.03</v>
      </c>
      <c r="E1842" cm="1">
        <f t="array" ref="E1842">IF(ISBLANK(INDEX(FX_Input,$Q1841,$AB1842)),0.03,INDEX(FX_Input,R1841,#REF!))</f>
        <v>0.03</v>
      </c>
      <c r="F1842" cm="1">
        <f t="array" ref="F1842">IF(ISBLANK(INDEX(FX_Input,$Q1841,$AB1842)),0.03,INDEX(FX_Input,S1841,#REF!))</f>
        <v>0.03</v>
      </c>
      <c r="G1842" cm="1">
        <f t="array" ref="G1842">IF(ISBLANK(INDEX(FX_Input,$Q1841,$AB1842)),0.03,INDEX(FX_Input,AB1841,#REF!))</f>
        <v>0.03</v>
      </c>
      <c r="H1842" cm="1">
        <f t="array" ref="H1842">IF(ISBLANK(INDEX(FX_Input,$Q1841,$AB1842)),0.03,INDEX(FX_Input,#REF!,#REF!))</f>
        <v>0.03</v>
      </c>
      <c r="I1842" cm="1">
        <f t="array" ref="I1842">IF(ISBLANK(INDEX(FX_Input,$Q1841,$AB1842)),0.03,INDEX(FX_Input,#REF!,#REF!))</f>
        <v>0.03</v>
      </c>
      <c r="J1842" cm="1">
        <f t="array" ref="J1842">IF(ISBLANK(INDEX(FX_Input,$Q1841,$AB1842)),0.03,INDEX(FX_Input,#REF!,#REF!))</f>
        <v>0.03</v>
      </c>
      <c r="K1842" cm="1">
        <f t="array" ref="K1842">IF(ISBLANK(INDEX(FX_Input,$Q1841,$AB1842)),0.03,INDEX(FX_Input,#REF!,AC1842))</f>
        <v>0.03</v>
      </c>
      <c r="L1842" cm="1">
        <f t="array" ref="L1842">IF(ISBLANK(INDEX(FX_Input,$Q1841,$AB1842)),0.03,INDEX(FX_Input,#REF!,AD1842))</f>
        <v>0.03</v>
      </c>
      <c r="M1842" cm="1">
        <f t="array" ref="M1842">IF(ISBLANK(INDEX(FX_Input,$Q1841,$AB1842)),0.03,INDEX(FX_Input,#REF!,#REF!))</f>
        <v>0.03</v>
      </c>
      <c r="N1842" cm="1">
        <f t="array" ref="N1842">IF(ISBLANK(INDEX(FX_Input,$Q1841,$AB1842)),0.03,INDEX(FX_Input,AC1841,#REF!))</f>
        <v>0.03</v>
      </c>
      <c r="O1842" cm="1">
        <f t="array" ref="O1842">IF(ISBLANK(INDEX(FX_Input,$Q1841,$AB1842)),0.03,INDEX(FX_Input,AD1841,#REF!))</f>
        <v>0.03</v>
      </c>
      <c r="AB1842">
        <v>15</v>
      </c>
    </row>
    <row r="1843" spans="1:32" ht="17.149999999999999" x14ac:dyDescent="0.55000000000000004">
      <c r="B1843" t="str">
        <f>B1842</f>
        <v>Portland</v>
      </c>
      <c r="C1843" t="s">
        <v>565</v>
      </c>
      <c r="D1843" cm="1">
        <f t="array" ref="D1843">IF(ISBLANK(INDEX(FX_Input,$Q1841,$AB1843)),-0.03,INDEX(FX_Input,Q1841,AB1843))</f>
        <v>-0.03</v>
      </c>
      <c r="E1843" cm="1">
        <f t="array" ref="E1843">IF(ISBLANK(INDEX(FX_Input,$Q1841,$AB1843)),-0.03,INDEX(FX_Input,R1841,#REF!))</f>
        <v>-0.03</v>
      </c>
      <c r="F1843" cm="1">
        <f t="array" ref="F1843">IF(ISBLANK(INDEX(FX_Input,$Q1841,$AB1843)),-0.03,INDEX(FX_Input,S1841,#REF!))</f>
        <v>-0.03</v>
      </c>
      <c r="G1843" cm="1">
        <f t="array" ref="G1843">IF(ISBLANK(INDEX(FX_Input,$Q1841,$AB1843)),-0.03,INDEX(FX_Input,AB1841,#REF!))</f>
        <v>-0.03</v>
      </c>
      <c r="H1843" cm="1">
        <f t="array" ref="H1843">IF(ISBLANK(INDEX(FX_Input,$Q1841,$AB1843)),-0.03,INDEX(FX_Input,#REF!,#REF!))</f>
        <v>-0.03</v>
      </c>
      <c r="I1843" cm="1">
        <f t="array" ref="I1843">IF(ISBLANK(INDEX(FX_Input,$Q1841,$AB1843)),-0.03,INDEX(FX_Input,#REF!,#REF!))</f>
        <v>-0.03</v>
      </c>
      <c r="J1843" cm="1">
        <f t="array" ref="J1843">IF(ISBLANK(INDEX(FX_Input,$Q1841,$AB1843)),-0.03,INDEX(FX_Input,#REF!,#REF!))</f>
        <v>-0.03</v>
      </c>
      <c r="K1843" cm="1">
        <f t="array" ref="K1843">IF(ISBLANK(INDEX(FX_Input,$Q1841,$AB1843)),-0.03,INDEX(FX_Input,#REF!,AC1843))</f>
        <v>-0.03</v>
      </c>
      <c r="L1843" cm="1">
        <f t="array" ref="L1843">IF(ISBLANK(INDEX(FX_Input,$Q1841,$AB1843)),-0.03,INDEX(FX_Input,#REF!,AD1843))</f>
        <v>-0.03</v>
      </c>
      <c r="M1843" cm="1">
        <f t="array" ref="M1843">IF(ISBLANK(INDEX(FX_Input,$Q1841,$AB1843)),-0.03,INDEX(FX_Input,#REF!,#REF!))</f>
        <v>-0.03</v>
      </c>
      <c r="N1843" cm="1">
        <f t="array" ref="N1843">IF(ISBLANK(INDEX(FX_Input,$Q1841,$AB1843)),-0.03,INDEX(FX_Input,AC1841,#REF!))</f>
        <v>-0.03</v>
      </c>
      <c r="O1843" cm="1">
        <f t="array" ref="O1843">IF(ISBLANK(INDEX(FX_Input,$Q1841,$AB1843)),-0.03,INDEX(FX_Input,AD1841,#REF!))</f>
        <v>-0.03</v>
      </c>
      <c r="AB1843">
        <v>16</v>
      </c>
    </row>
    <row r="1844" spans="1:32" x14ac:dyDescent="0.4">
      <c r="B1844" t="str">
        <f t="shared" ref="B1844:B1845" si="6802">B1843</f>
        <v>Portland</v>
      </c>
      <c r="C1844" s="66" t="s">
        <v>567</v>
      </c>
      <c r="D1844" t="str" cm="1">
        <f t="array" ref="D1844">INDEX(FX_Multi,$AD1844,D$3)</f>
        <v>Jet kerosene</v>
      </c>
      <c r="E1844" t="str" cm="1">
        <f t="array" ref="E1844">INDEX(FX_Multi,$AD1844,E$3)</f>
        <v>Jet kerosene</v>
      </c>
      <c r="F1844" t="str" cm="1">
        <f t="array" ref="F1844">INDEX(FX_Multi,$AD1844,F$3)</f>
        <v>Jet kerosene</v>
      </c>
      <c r="G1844" t="str" cm="1">
        <f t="array" ref="G1844">INDEX(FX_Multi,$AD1844,G$3)</f>
        <v>Jet kerosene</v>
      </c>
      <c r="H1844" t="str" cm="1">
        <f t="array" ref="H1844">INDEX(FX_Multi,$AD1844,H$3)</f>
        <v>Jet kerosene</v>
      </c>
      <c r="I1844" t="str" cm="1">
        <f t="array" ref="I1844">INDEX(FX_Multi,$AD1844,I$3)</f>
        <v>Jet kerosene</v>
      </c>
      <c r="J1844" t="str" cm="1">
        <f t="array" ref="J1844">INDEX(FX_Multi,$AD1844,J$3)</f>
        <v>Jet kerosene</v>
      </c>
      <c r="K1844" t="str" cm="1">
        <f t="array" ref="K1844">INDEX(FX_Multi,$AD1844,K$3)</f>
        <v>Jet kerosene</v>
      </c>
      <c r="L1844" t="str" cm="1">
        <f t="array" ref="L1844">INDEX(FX_Multi,$AD1844,L$3)</f>
        <v>Jet kerosene</v>
      </c>
      <c r="M1844" t="str" cm="1">
        <f t="array" ref="M1844">INDEX(FX_Multi,$AD1844,M$3)</f>
        <v>Jet kerosene</v>
      </c>
      <c r="N1844" t="str" cm="1">
        <f t="array" ref="N1844">INDEX(FX_Multi,$AD1844,N$3)</f>
        <v>Jet kerosene</v>
      </c>
      <c r="O1844" t="str" cm="1">
        <f t="array" ref="O1844">INDEX(FX_Multi,$AD1844,O$3)</f>
        <v>Jet kerosene</v>
      </c>
      <c r="AC1844">
        <v>1</v>
      </c>
      <c r="AD1844">
        <f>AD1841</f>
        <v>757</v>
      </c>
      <c r="AE1844">
        <v>1</v>
      </c>
      <c r="AF1844">
        <f>AF1841</f>
        <v>757</v>
      </c>
    </row>
    <row r="1845" spans="1:32" x14ac:dyDescent="0.4">
      <c r="B1845" t="str">
        <f t="shared" si="6802"/>
        <v>Portland</v>
      </c>
      <c r="C1845" s="66" t="s">
        <v>566</v>
      </c>
      <c r="D1845" t="str" cm="1">
        <f t="array" ref="D1845">INDEX(FX_Multi,$AD1845,D$3)</f>
        <v>Select Pet Stock</v>
      </c>
      <c r="E1845" t="str" cm="1">
        <f t="array" ref="E1845">INDEX(FX_Multi,$AD1845,E$3)</f>
        <v>Select Pet Stock</v>
      </c>
      <c r="F1845" t="str" cm="1">
        <f t="array" ref="F1845">INDEX(FX_Multi,$AD1845,F$3)</f>
        <v>Select Pet Stock</v>
      </c>
      <c r="G1845" t="str" cm="1">
        <f t="array" ref="G1845">INDEX(FX_Multi,$AD1845,G$3)</f>
        <v>Select Pet Stock</v>
      </c>
      <c r="H1845" t="str" cm="1">
        <f t="array" ref="H1845">INDEX(FX_Multi,$AD1845,H$3)</f>
        <v>Select Pet Stock</v>
      </c>
      <c r="I1845" t="str" cm="1">
        <f t="array" ref="I1845">INDEX(FX_Multi,$AD1845,I$3)</f>
        <v>Select Pet Stock</v>
      </c>
      <c r="J1845" t="str" cm="1">
        <f t="array" ref="J1845">INDEX(FX_Multi,$AD1845,J$3)</f>
        <v>Select Pet Stock</v>
      </c>
      <c r="K1845" t="str" cm="1">
        <f t="array" ref="K1845">INDEX(FX_Multi,$AD1845,K$3)</f>
        <v>Select Pet Stock</v>
      </c>
      <c r="L1845" t="str" cm="1">
        <f t="array" ref="L1845">INDEX(FX_Multi,$AD1845,L$3)</f>
        <v>Select Pet Stock</v>
      </c>
      <c r="M1845" t="str" cm="1">
        <f t="array" ref="M1845">INDEX(FX_Multi,$AD1845,M$3)</f>
        <v>Select Pet Stock</v>
      </c>
      <c r="N1845" t="str" cm="1">
        <f t="array" ref="N1845">INDEX(FX_Multi,$AD1845,N$3)</f>
        <v>Select Pet Stock</v>
      </c>
      <c r="O1845" t="str" cm="1">
        <f t="array" ref="O1845">INDEX(FX_Multi,$AD1845,O$3)</f>
        <v>Select Pet Stock</v>
      </c>
      <c r="AC1845">
        <v>1</v>
      </c>
      <c r="AD1845">
        <f>AD1844+2</f>
        <v>759</v>
      </c>
      <c r="AE1845">
        <v>1</v>
      </c>
      <c r="AF1845">
        <f>AF1844+3</f>
        <v>760</v>
      </c>
    </row>
    <row r="1846" spans="1:32" x14ac:dyDescent="0.4">
      <c r="B1846" t="str">
        <f>B1842</f>
        <v>Portland</v>
      </c>
      <c r="C1846" s="66" t="s">
        <v>568</v>
      </c>
      <c r="D1846" cm="1">
        <f t="array" ref="D1846">INDEX(FX_Multi,$AD1846,D$3)</f>
        <v>0</v>
      </c>
      <c r="E1846" cm="1">
        <f t="array" ref="E1846">INDEX(FX_Multi,$AD1846,E$3)</f>
        <v>0</v>
      </c>
      <c r="F1846" cm="1">
        <f t="array" ref="F1846">INDEX(FX_Multi,$AD1846,F$3)</f>
        <v>0</v>
      </c>
      <c r="G1846" cm="1">
        <f t="array" ref="G1846">INDEX(FX_Multi,$AD1846,G$3)</f>
        <v>0</v>
      </c>
      <c r="H1846" cm="1">
        <f t="array" ref="H1846">INDEX(FX_Multi,$AD1846,H$3)</f>
        <v>0</v>
      </c>
      <c r="I1846" cm="1">
        <f t="array" ref="I1846">INDEX(FX_Multi,$AD1846,I$3)</f>
        <v>0</v>
      </c>
      <c r="J1846" cm="1">
        <f t="array" ref="J1846">INDEX(FX_Multi,$AD1846,J$3)</f>
        <v>0</v>
      </c>
      <c r="K1846" cm="1">
        <f t="array" ref="K1846">INDEX(FX_Multi,$AD1846,K$3)</f>
        <v>0</v>
      </c>
      <c r="L1846" cm="1">
        <f t="array" ref="L1846">INDEX(FX_Multi,$AD1846,L$3)</f>
        <v>0</v>
      </c>
      <c r="M1846" cm="1">
        <f t="array" ref="M1846">INDEX(FX_Multi,$AD1846,M$3)</f>
        <v>0</v>
      </c>
      <c r="N1846" cm="1">
        <f t="array" ref="N1846">INDEX(FX_Multi,$AD1846,N$3)</f>
        <v>0</v>
      </c>
      <c r="O1846" cm="1">
        <f t="array" ref="O1846">INDEX(FX_Multi,$AD1846,O$3)</f>
        <v>0</v>
      </c>
      <c r="AC1846">
        <v>1</v>
      </c>
      <c r="AD1846">
        <f>AD1845-1</f>
        <v>758</v>
      </c>
      <c r="AE1846">
        <v>1</v>
      </c>
      <c r="AF1846">
        <f>AF1844+1</f>
        <v>758</v>
      </c>
    </row>
    <row r="1847" spans="1:32" x14ac:dyDescent="0.4">
      <c r="B1847" t="str">
        <f t="shared" ref="B1847:B1851" si="6803">B1846</f>
        <v>Portland</v>
      </c>
      <c r="C1847" s="66" t="s">
        <v>569</v>
      </c>
      <c r="D1847" cm="1">
        <f t="array" ref="D1847">INDEX(FX_Multi,$AD1847,D$3)</f>
        <v>0</v>
      </c>
      <c r="E1847" cm="1">
        <f t="array" ref="E1847">INDEX(FX_Multi,$AD1847,E$3)</f>
        <v>0</v>
      </c>
      <c r="F1847" cm="1">
        <f t="array" ref="F1847">INDEX(FX_Multi,$AD1847,F$3)</f>
        <v>0</v>
      </c>
      <c r="G1847" cm="1">
        <f t="array" ref="G1847">INDEX(FX_Multi,$AD1847,G$3)</f>
        <v>0</v>
      </c>
      <c r="H1847" cm="1">
        <f t="array" ref="H1847">INDEX(FX_Multi,$AD1847,H$3)</f>
        <v>0</v>
      </c>
      <c r="I1847" cm="1">
        <f t="array" ref="I1847">INDEX(FX_Multi,$AD1847,I$3)</f>
        <v>0</v>
      </c>
      <c r="J1847" cm="1">
        <f t="array" ref="J1847">INDEX(FX_Multi,$AD1847,J$3)</f>
        <v>0</v>
      </c>
      <c r="K1847" cm="1">
        <f t="array" ref="K1847">INDEX(FX_Multi,$AD1847,K$3)</f>
        <v>0</v>
      </c>
      <c r="L1847" cm="1">
        <f t="array" ref="L1847">INDEX(FX_Multi,$AD1847,L$3)</f>
        <v>0</v>
      </c>
      <c r="M1847" cm="1">
        <f t="array" ref="M1847">INDEX(FX_Multi,$AD1847,M$3)</f>
        <v>0</v>
      </c>
      <c r="N1847" cm="1">
        <f t="array" ref="N1847">INDEX(FX_Multi,$AD1847,N$3)</f>
        <v>0</v>
      </c>
      <c r="O1847" cm="1">
        <f t="array" ref="O1847">INDEX(FX_Multi,$AD1847,O$3)</f>
        <v>0</v>
      </c>
      <c r="AC1847">
        <v>1</v>
      </c>
      <c r="AD1847">
        <f>AD1846+2</f>
        <v>760</v>
      </c>
      <c r="AE1847">
        <v>1</v>
      </c>
      <c r="AF1847">
        <f>AF1845</f>
        <v>760</v>
      </c>
    </row>
    <row r="1848" spans="1:32" ht="17.149999999999999" x14ac:dyDescent="0.55000000000000004">
      <c r="B1848" t="str">
        <f t="shared" si="6803"/>
        <v>Portland</v>
      </c>
      <c r="C1848" t="s">
        <v>570</v>
      </c>
      <c r="D1848" cm="1">
        <f t="array" ref="D1848">INDEX(FX_Multi,$AD1848,D$3)</f>
        <v>1</v>
      </c>
      <c r="E1848" cm="1">
        <f t="array" ref="E1848">INDEX(FX_Multi,$AD1848,E$3)</f>
        <v>1</v>
      </c>
      <c r="F1848" cm="1">
        <f t="array" ref="F1848">INDEX(FX_Multi,$AD1848,F$3)</f>
        <v>1</v>
      </c>
      <c r="G1848" cm="1">
        <f t="array" ref="G1848">INDEX(FX_Multi,$AD1848,G$3)</f>
        <v>1</v>
      </c>
      <c r="H1848" cm="1">
        <f t="array" ref="H1848">INDEX(FX_Multi,$AD1848,H$3)</f>
        <v>1</v>
      </c>
      <c r="I1848" cm="1">
        <f t="array" ref="I1848">INDEX(FX_Multi,$AD1848,I$3)</f>
        <v>1</v>
      </c>
      <c r="J1848" cm="1">
        <f t="array" ref="J1848">INDEX(FX_Multi,$AD1848,J$3)</f>
        <v>1</v>
      </c>
      <c r="K1848" cm="1">
        <f t="array" ref="K1848">INDEX(FX_Multi,$AD1848,K$3)</f>
        <v>1</v>
      </c>
      <c r="L1848" cm="1">
        <f t="array" ref="L1848">INDEX(FX_Multi,$AD1848,L$3)</f>
        <v>1</v>
      </c>
      <c r="M1848" cm="1">
        <f t="array" ref="M1848">INDEX(FX_Multi,$AD1848,M$3)</f>
        <v>1</v>
      </c>
      <c r="N1848" cm="1">
        <f t="array" ref="N1848">INDEX(FX_Multi,$AD1848,N$3)</f>
        <v>1</v>
      </c>
      <c r="O1848" cm="1">
        <f t="array" ref="O1848">INDEX(FX_Multi,$AD1848,O$3)</f>
        <v>1</v>
      </c>
      <c r="AC1848">
        <v>1</v>
      </c>
      <c r="AD1848">
        <f>AD1847+6</f>
        <v>766</v>
      </c>
      <c r="AE1848">
        <v>1</v>
      </c>
      <c r="AF1848">
        <f>AF1844+9</f>
        <v>766</v>
      </c>
    </row>
    <row r="1849" spans="1:32" ht="17.149999999999999" x14ac:dyDescent="0.55000000000000004">
      <c r="B1849" t="str">
        <f t="shared" si="6803"/>
        <v>Portland</v>
      </c>
      <c r="C1849" t="s">
        <v>571</v>
      </c>
      <c r="D1849" cm="1">
        <f t="array" ref="D1849">INDEX(FX_Multi,$AD1849,D$3)</f>
        <v>162</v>
      </c>
      <c r="E1849" cm="1">
        <f t="array" ref="E1849">INDEX(FX_Multi,$AD1849,E$3)</f>
        <v>162</v>
      </c>
      <c r="F1849" cm="1">
        <f t="array" ref="F1849">INDEX(FX_Multi,$AD1849,F$3)</f>
        <v>162</v>
      </c>
      <c r="G1849" cm="1">
        <f t="array" ref="G1849">INDEX(FX_Multi,$AD1849,G$3)</f>
        <v>162</v>
      </c>
      <c r="H1849" cm="1">
        <f t="array" ref="H1849">INDEX(FX_Multi,$AD1849,H$3)</f>
        <v>162</v>
      </c>
      <c r="I1849" cm="1">
        <f t="array" ref="I1849">INDEX(FX_Multi,$AD1849,I$3)</f>
        <v>162</v>
      </c>
      <c r="J1849" cm="1">
        <f t="array" ref="J1849">INDEX(FX_Multi,$AD1849,J$3)</f>
        <v>162</v>
      </c>
      <c r="K1849" cm="1">
        <f t="array" ref="K1849">INDEX(FX_Multi,$AD1849,K$3)</f>
        <v>162</v>
      </c>
      <c r="L1849" cm="1">
        <f t="array" ref="L1849">INDEX(FX_Multi,$AD1849,L$3)</f>
        <v>162</v>
      </c>
      <c r="M1849" cm="1">
        <f t="array" ref="M1849">INDEX(FX_Multi,$AD1849,M$3)</f>
        <v>162</v>
      </c>
      <c r="N1849" cm="1">
        <f t="array" ref="N1849">INDEX(FX_Multi,$AD1849,N$3)</f>
        <v>162</v>
      </c>
      <c r="O1849" cm="1">
        <f t="array" ref="O1849">INDEX(FX_Multi,$AD1849,O$3)</f>
        <v>162</v>
      </c>
      <c r="AC1849">
        <v>1</v>
      </c>
      <c r="AD1849">
        <f>AD1848-3</f>
        <v>763</v>
      </c>
      <c r="AE1849">
        <v>1</v>
      </c>
      <c r="AF1849">
        <f>AF1844+6</f>
        <v>763</v>
      </c>
    </row>
    <row r="1850" spans="1:32" ht="17.149999999999999" x14ac:dyDescent="0.55000000000000004">
      <c r="B1850" t="str">
        <f t="shared" si="6803"/>
        <v>Portland</v>
      </c>
      <c r="C1850" t="s">
        <v>572</v>
      </c>
      <c r="D1850" cm="1">
        <f t="array" ref="D1850">INDEX(FX_Multi,$AD1850,D$3)</f>
        <v>0</v>
      </c>
      <c r="E1850" cm="1">
        <f t="array" ref="E1850">INDEX(FX_Multi,$AD1850,E$3)</f>
        <v>0</v>
      </c>
      <c r="F1850" cm="1">
        <f t="array" ref="F1850">INDEX(FX_Multi,$AD1850,F$3)</f>
        <v>0</v>
      </c>
      <c r="G1850" cm="1">
        <f t="array" ref="G1850">INDEX(FX_Multi,$AD1850,G$3)</f>
        <v>0</v>
      </c>
      <c r="H1850" cm="1">
        <f t="array" ref="H1850">INDEX(FX_Multi,$AD1850,H$3)</f>
        <v>0</v>
      </c>
      <c r="I1850" cm="1">
        <f t="array" ref="I1850">INDEX(FX_Multi,$AD1850,I$3)</f>
        <v>0</v>
      </c>
      <c r="J1850" cm="1">
        <f t="array" ref="J1850">INDEX(FX_Multi,$AD1850,J$3)</f>
        <v>0</v>
      </c>
      <c r="K1850" cm="1">
        <f t="array" ref="K1850">INDEX(FX_Multi,$AD1850,K$3)</f>
        <v>0</v>
      </c>
      <c r="L1850" cm="1">
        <f t="array" ref="L1850">INDEX(FX_Multi,$AD1850,L$3)</f>
        <v>0</v>
      </c>
      <c r="M1850" cm="1">
        <f t="array" ref="M1850">INDEX(FX_Multi,$AD1850,M$3)</f>
        <v>0</v>
      </c>
      <c r="N1850" cm="1">
        <f t="array" ref="N1850">INDEX(FX_Multi,$AD1850,N$3)</f>
        <v>0</v>
      </c>
      <c r="O1850" cm="1">
        <f t="array" ref="O1850">INDEX(FX_Multi,$AD1850,O$3)</f>
        <v>0</v>
      </c>
      <c r="AC1850">
        <v>1</v>
      </c>
      <c r="AD1850">
        <f>AD1849+4</f>
        <v>767</v>
      </c>
      <c r="AE1850">
        <v>1</v>
      </c>
      <c r="AF1850">
        <f>AF1844+10</f>
        <v>767</v>
      </c>
    </row>
    <row r="1851" spans="1:32" ht="17.149999999999999" x14ac:dyDescent="0.55000000000000004">
      <c r="B1851" t="str">
        <f t="shared" si="6803"/>
        <v>Portland</v>
      </c>
      <c r="C1851" t="s">
        <v>573</v>
      </c>
      <c r="D1851" cm="1">
        <f t="array" ref="D1851">INDEX(FX_Multi,$AD1851,D$3)</f>
        <v>0</v>
      </c>
      <c r="E1851" cm="1">
        <f t="array" ref="E1851">INDEX(FX_Multi,$AD1851,E$3)</f>
        <v>0</v>
      </c>
      <c r="F1851" cm="1">
        <f t="array" ref="F1851">INDEX(FX_Multi,$AD1851,F$3)</f>
        <v>0</v>
      </c>
      <c r="G1851" cm="1">
        <f t="array" ref="G1851">INDEX(FX_Multi,$AD1851,G$3)</f>
        <v>0</v>
      </c>
      <c r="H1851" cm="1">
        <f t="array" ref="H1851">INDEX(FX_Multi,$AD1851,H$3)</f>
        <v>0</v>
      </c>
      <c r="I1851" cm="1">
        <f t="array" ref="I1851">INDEX(FX_Multi,$AD1851,I$3)</f>
        <v>0</v>
      </c>
      <c r="J1851" cm="1">
        <f t="array" ref="J1851">INDEX(FX_Multi,$AD1851,J$3)</f>
        <v>0</v>
      </c>
      <c r="K1851" cm="1">
        <f t="array" ref="K1851">INDEX(FX_Multi,$AD1851,K$3)</f>
        <v>0</v>
      </c>
      <c r="L1851" cm="1">
        <f t="array" ref="L1851">INDEX(FX_Multi,$AD1851,L$3)</f>
        <v>0</v>
      </c>
      <c r="M1851" cm="1">
        <f t="array" ref="M1851">INDEX(FX_Multi,$AD1851,M$3)</f>
        <v>0</v>
      </c>
      <c r="N1851" cm="1">
        <f t="array" ref="N1851">INDEX(FX_Multi,$AD1851,N$3)</f>
        <v>0</v>
      </c>
      <c r="O1851" cm="1">
        <f t="array" ref="O1851">INDEX(FX_Multi,$AD1851,O$3)</f>
        <v>0</v>
      </c>
      <c r="AC1851">
        <v>1</v>
      </c>
      <c r="AD1851">
        <f>AD1850-3</f>
        <v>764</v>
      </c>
      <c r="AE1851">
        <v>1</v>
      </c>
      <c r="AF1851">
        <f>AF1844+7</f>
        <v>764</v>
      </c>
    </row>
    <row r="1852" spans="1:32" ht="17.149999999999999" x14ac:dyDescent="0.55000000000000004">
      <c r="B1852" t="str">
        <f>B1847</f>
        <v>Portland</v>
      </c>
      <c r="C1852" t="s">
        <v>526</v>
      </c>
      <c r="D1852" cm="1">
        <f t="array" ref="D1852">INDEX(FX_Temps,$AF1852,D$3)</f>
        <v>43.172792000000015</v>
      </c>
      <c r="E1852" cm="1">
        <f t="array" ref="E1852">INDEX(FX_Temps,$AF1852,E$3)</f>
        <v>44.426400000000058</v>
      </c>
      <c r="F1852" cm="1">
        <f t="array" ref="F1852">INDEX(FX_Temps,$AF1852,F$3)</f>
        <v>46.918887999999981</v>
      </c>
      <c r="G1852" cm="1">
        <f t="array" ref="G1852">INDEX(FX_Temps,$AF1852,G$3)</f>
        <v>50.857888000000003</v>
      </c>
      <c r="H1852" cm="1">
        <f t="array" ref="H1852">INDEX(FX_Temps,$AF1852,H$3)</f>
        <v>56.551928000000089</v>
      </c>
      <c r="I1852" cm="1">
        <f t="array" ref="I1852">INDEX(FX_Temps,$AF1852,I$3)</f>
        <v>60.866887999999904</v>
      </c>
      <c r="J1852" cm="1">
        <f t="array" ref="J1852">INDEX(FX_Temps,$AF1852,J$3)</f>
        <v>64.646351999999979</v>
      </c>
      <c r="K1852" cm="1">
        <f t="array" ref="K1852">INDEX(FX_Temps,$AF1852,K$3)</f>
        <v>64.06444799999997</v>
      </c>
      <c r="L1852" cm="1">
        <f t="array" ref="L1852">INDEX(FX_Temps,$AF1852,L$3)</f>
        <v>60.037023999999974</v>
      </c>
      <c r="M1852" cm="1">
        <f t="array" ref="M1852">INDEX(FX_Temps,$AF1852,M$3)</f>
        <v>52.581232</v>
      </c>
      <c r="N1852" cm="1">
        <f t="array" ref="N1852">INDEX(FX_Temps,$AF1852,N$3)</f>
        <v>46.202103999999963</v>
      </c>
      <c r="O1852" cm="1">
        <f t="array" ref="O1852">INDEX(FX_Temps,$AF1852,O$3)</f>
        <v>42.791088000000059</v>
      </c>
      <c r="AE1852">
        <v>1</v>
      </c>
      <c r="AF1852">
        <f>AF1844+10</f>
        <v>767</v>
      </c>
    </row>
    <row r="1853" spans="1:32" ht="17.149999999999999" x14ac:dyDescent="0.55000000000000004">
      <c r="B1853" t="str">
        <f t="shared" ref="B1853:B1874" si="6804">B1852</f>
        <v>Portland</v>
      </c>
      <c r="C1853" t="s">
        <v>527</v>
      </c>
      <c r="D1853" cm="1">
        <f t="array" ref="D1853">INDEX(FX_Temps,$AF1853,D$3)</f>
        <v>47.332791999999984</v>
      </c>
      <c r="E1853" cm="1">
        <f t="array" ref="E1853">INDEX(FX_Temps,$AF1853,E$3)</f>
        <v>49.706400000000031</v>
      </c>
      <c r="F1853" cm="1">
        <f t="array" ref="F1853">INDEX(FX_Temps,$AF1853,F$3)</f>
        <v>52.198888000000068</v>
      </c>
      <c r="G1853" cm="1">
        <f t="array" ref="G1853">INDEX(FX_Temps,$AF1853,G$3)</f>
        <v>56.217888000000016</v>
      </c>
      <c r="H1853" cm="1">
        <f t="array" ref="H1853">INDEX(FX_Temps,$AF1853,H$3)</f>
        <v>61.871928000000025</v>
      </c>
      <c r="I1853" cm="1">
        <f t="array" ref="I1853">INDEX(FX_Temps,$AF1853,I$3)</f>
        <v>65.866888000000017</v>
      </c>
      <c r="J1853" cm="1">
        <f t="array" ref="J1853">INDEX(FX_Temps,$AF1853,J$3)</f>
        <v>69.726351999999906</v>
      </c>
      <c r="K1853" cm="1">
        <f t="array" ref="K1853">INDEX(FX_Temps,$AF1853,K$3)</f>
        <v>69.504448000000025</v>
      </c>
      <c r="L1853" cm="1">
        <f t="array" ref="L1853">INDEX(FX_Temps,$AF1853,L$3)</f>
        <v>66.597024000000033</v>
      </c>
      <c r="M1853" cm="1">
        <f t="array" ref="M1853">INDEX(FX_Temps,$AF1853,M$3)</f>
        <v>58.461231999999995</v>
      </c>
      <c r="N1853" cm="1">
        <f t="array" ref="N1853">INDEX(FX_Temps,$AF1853,N$3)</f>
        <v>51.082104000000015</v>
      </c>
      <c r="O1853" cm="1">
        <f t="array" ref="O1853">INDEX(FX_Temps,$AF1853,O$3)</f>
        <v>46.791088000000059</v>
      </c>
      <c r="AE1853">
        <f>AE1852</f>
        <v>1</v>
      </c>
      <c r="AF1853">
        <f>AF1844+11</f>
        <v>768</v>
      </c>
    </row>
    <row r="1854" spans="1:32" ht="17.149999999999999" x14ac:dyDescent="0.55000000000000004">
      <c r="B1854" t="str">
        <f t="shared" si="6804"/>
        <v>Portland</v>
      </c>
      <c r="C1854" t="s">
        <v>552</v>
      </c>
      <c r="D1854" cm="1">
        <f t="array" ref="D1854">INDEX(FX_Temps,$AF1854,D$3)</f>
        <v>45.869505999999944</v>
      </c>
      <c r="E1854" cm="1">
        <f t="array" ref="E1854">INDEX(FX_Temps,$AF1854,E$3)</f>
        <v>48.145200000000045</v>
      </c>
      <c r="F1854" cm="1">
        <f t="array" ref="F1854">INDEX(FX_Temps,$AF1854,F$3)</f>
        <v>51.135734000000014</v>
      </c>
      <c r="G1854" cm="1">
        <f t="array" ref="G1854">INDEX(FX_Temps,$AF1854,G$3)</f>
        <v>55.788983999999914</v>
      </c>
      <c r="H1854" cm="1">
        <f t="array" ref="H1854">INDEX(FX_Temps,$AF1854,H$3)</f>
        <v>61.975454000000013</v>
      </c>
      <c r="I1854" cm="1">
        <f t="array" ref="I1854">INDEX(FX_Temps,$AF1854,I$3)</f>
        <v>66.292234000000008</v>
      </c>
      <c r="J1854" cm="1">
        <f t="array" ref="J1854">INDEX(FX_Temps,$AF1854,J$3)</f>
        <v>70.257335999999896</v>
      </c>
      <c r="K1854" cm="1">
        <f t="array" ref="K1854">INDEX(FX_Temps,$AF1854,K$3)</f>
        <v>69.467063999999937</v>
      </c>
      <c r="L1854" cm="1">
        <f t="array" ref="L1854">INDEX(FX_Temps,$AF1854,L$3)</f>
        <v>65.467431999999917</v>
      </c>
      <c r="M1854" cm="1">
        <f t="array" ref="M1854">INDEX(FX_Temps,$AF1854,M$3)</f>
        <v>56.830175999999938</v>
      </c>
      <c r="N1854" cm="1">
        <f t="array" ref="N1854">INDEX(FX_Temps,$AF1854,N$3)</f>
        <v>49.345121999999947</v>
      </c>
      <c r="O1854" cm="1">
        <f t="array" ref="O1854">INDEX(FX_Temps,$AF1854,O$3)</f>
        <v>45.334084000000018</v>
      </c>
      <c r="AE1854">
        <f>AE1853</f>
        <v>1</v>
      </c>
      <c r="AF1854">
        <f>AF1844+13</f>
        <v>770</v>
      </c>
    </row>
    <row r="1855" spans="1:32" ht="17.149999999999999" x14ac:dyDescent="0.55000000000000004">
      <c r="B1855" t="str">
        <f t="shared" si="6804"/>
        <v>Portland</v>
      </c>
      <c r="C1855" t="s">
        <v>574</v>
      </c>
      <c r="D1855" cm="1">
        <f t="array" ref="D1855">IFERROR(IF(D1845="Chemical",(10^(INDEX(Antoines,MATCH(D1844,Antoine_Name,0),2)-INDEX(Antoines,MATCH(D1844,Antoine_Name,0),3)/(INDEX(Antoines,MATCH(D1844,Antoine_Name,0),4)+(D1852-32)*5/9)))*14.7/760,IF(D1845="Crude Oil",EXP((2799/(D1852+459.6)-2.227)*LOG10(INDEX(FX_Input,Q$5,D$3*$Z$5+$AA$5))-(7261/(D1852+459.6))+12.82),IF(D1845="Refined Petroleum Stock",EXP((0.7553-(413/(D1852+459.6)))*(INDEX(FX_Input,Q$5,D$3*$Z$5+$AA$5-1)^0.5)*LOG10(INDEX(FX_Input,Q$5,D$3*$Z$5+$AA$5))-(1.854-(1042/(D1852+459.6)))*(INDEX(FX_Input,Q$5,D$3*$Z$5+$AA$5-1)^0.5)+((2416/(D1852+459.6)-2.013)*LOG10(INDEX(FX_Input,Q$5,D$3*$Z$5+$AA$5)))-(8742/(D1852+459.6))+15.64),EXP(INDEX(Antoines,MATCH(D1844,Antoine_Name,0),2)-INDEX(Antoines,MATCH(D1844,Antoine_Name,0),3)/(D1852+459.6))))),0)</f>
        <v>4.6194990608814232E-3</v>
      </c>
      <c r="E1855" cm="1">
        <f t="array" ref="E1855">IFERROR(IF(E1845="Chemical",(10^(INDEX(Antoines,MATCH(E1844,Antoine_Name,0),2)-INDEX(Antoines,MATCH(E1844,Antoine_Name,0),3)/(INDEX(Antoines,MATCH(E1844,Antoine_Name,0),4)+(E1852-32)*5/9)))*14.7/760,IF(E1845="Crude Oil",EXP((2799/(E1852+459.6)-2.227)*LOG10(INDEX(FX_Input,R$5,E$3*$Z$5+$AA$5))-(7261/(E1852+459.6))+12.82),IF(E1845="Refined Petroleum Stock",EXP((0.7553-(413/(E1852+459.6)))*(INDEX(FX_Input,R$5,E$3*$Z$5+$AA$5-1)^0.5)*LOG10(INDEX(FX_Input,R$5,E$3*$Z$5+$AA$5))-(1.854-(1042/(E1852+459.6)))*(INDEX(FX_Input,R$5,E$3*$Z$5+$AA$5-1)^0.5)+((2416/(E1852+459.6)-2.013)*LOG10(INDEX(FX_Input,R$5,E$3*$Z$5+$AA$5)))-(8742/(E1852+459.6))+15.64),EXP(INDEX(Antoines,MATCH(E1844,Antoine_Name,0),2)-INDEX(Antoines,MATCH(E1844,Antoine_Name,0),3)/(E1852+459.6))))),0)</f>
        <v>4.8282172104298976E-3</v>
      </c>
      <c r="F1855" cm="1">
        <f t="array" ref="F1855">IFERROR(IF(F1845="Chemical",(10^(INDEX(Antoines,MATCH(F1844,Antoine_Name,0),2)-INDEX(Antoines,MATCH(F1844,Antoine_Name,0),3)/(INDEX(Antoines,MATCH(F1844,Antoine_Name,0),4)+(F1852-32)*5/9)))*14.7/760,IF(F1845="Crude Oil",EXP((2799/(F1852+459.6)-2.227)*LOG10(INDEX(FX_Input,S$5,F$3*$Z$5+$AA$5))-(7261/(F1852+459.6))+12.82),IF(F1845="Refined Petroleum Stock",EXP((0.7553-(413/(F1852+459.6)))*(INDEX(FX_Input,S$5,F$3*$Z$5+$AA$5-1)^0.5)*LOG10(INDEX(FX_Input,S$5,F$3*$Z$5+$AA$5))-(1.854-(1042/(F1852+459.6)))*(INDEX(FX_Input,S$5,F$3*$Z$5+$AA$5-1)^0.5)+((2416/(F1852+459.6)-2.013)*LOG10(INDEX(FX_Input,S$5,F$3*$Z$5+$AA$5)))-(8742/(F1852+459.6))+15.64),EXP(INDEX(Antoines,MATCH(F1844,Antoine_Name,0),2)-INDEX(Antoines,MATCH(F1844,Antoine_Name,0),3)/(F1852+459.6))))),0)</f>
        <v>5.2682084022832483E-3</v>
      </c>
      <c r="G1855" cm="1">
        <f t="array" ref="G1855">IFERROR(IF(G1845="Chemical",(10^(INDEX(Antoines,MATCH(G1844,Antoine_Name,0),2)-INDEX(Antoines,MATCH(G1844,Antoine_Name,0),3)/(INDEX(Antoines,MATCH(G1844,Antoine_Name,0),4)+(G1852-32)*5/9)))*14.7/760,IF(G1845="Crude Oil",EXP((2799/(G1852+459.6)-2.227)*LOG10(INDEX(FX_Input,T$5,G$3*$Z$5+$AA$5))-(7261/(G1852+459.6))+12.82),IF(G1845="Refined Petroleum Stock",EXP((0.7553-(413/(G1852+459.6)))*(INDEX(FX_Input,T$5,G$3*$Z$5+$AA$5-1)^0.5)*LOG10(INDEX(FX_Input,T$5,G$3*$Z$5+$AA$5))-(1.854-(1042/(G1852+459.6)))*(INDEX(FX_Input,T$5,G$3*$Z$5+$AA$5-1)^0.5)+((2416/(G1852+459.6)-2.013)*LOG10(INDEX(FX_Input,T$5,G$3*$Z$5+$AA$5)))-(8742/(G1852+459.6))+15.64),EXP(INDEX(Antoines,MATCH(G1844,Antoine_Name,0),2)-INDEX(Antoines,MATCH(G1844,Antoine_Name,0),3)/(G1852+459.6))))),0)</f>
        <v>6.0362371214845376E-3</v>
      </c>
      <c r="H1855" cm="1">
        <f t="array" ref="H1855">IFERROR(IF(H1845="Chemical",(10^(INDEX(Antoines,MATCH(H1844,Antoine_Name,0),2)-INDEX(Antoines,MATCH(H1844,Antoine_Name,0),3)/(INDEX(Antoines,MATCH(H1844,Antoine_Name,0),4)+(H1852-32)*5/9)))*14.7/760,IF(H1845="Crude Oil",EXP((2799/(H1852+459.6)-2.227)*LOG10(INDEX(FX_Input,U$5,H$3*$Z$5+$AA$5))-(7261/(H1852+459.6))+12.82),IF(H1845="Refined Petroleum Stock",EXP((0.7553-(413/(H1852+459.6)))*(INDEX(FX_Input,U$5,H$3*$Z$5+$AA$5-1)^0.5)*LOG10(INDEX(FX_Input,U$5,H$3*$Z$5+$AA$5))-(1.854-(1042/(H1852+459.6)))*(INDEX(FX_Input,U$5,H$3*$Z$5+$AA$5-1)^0.5)+((2416/(H1852+459.6)-2.013)*LOG10(INDEX(FX_Input,U$5,H$3*$Z$5+$AA$5)))-(8742/(H1852+459.6))+15.64),EXP(INDEX(Antoines,MATCH(H1844,Antoine_Name,0),2)-INDEX(Antoines,MATCH(H1844,Antoine_Name,0),3)/(H1852+459.6))))),0)</f>
        <v>7.3216486102608194E-3</v>
      </c>
      <c r="I1855" cm="1">
        <f t="array" ref="I1855">IFERROR(IF(I1845="Chemical",(10^(INDEX(Antoines,MATCH(I1844,Antoine_Name,0),2)-INDEX(Antoines,MATCH(I1844,Antoine_Name,0),3)/(INDEX(Antoines,MATCH(I1844,Antoine_Name,0),4)+(I1852-32)*5/9)))*14.7/760,IF(I1845="Crude Oil",EXP((2799/(I1852+459.6)-2.227)*LOG10(INDEX(FX_Input,V$5,I$3*$Z$5+$AA$5))-(7261/(I1852+459.6))+12.82),IF(I1845="Refined Petroleum Stock",EXP((0.7553-(413/(I1852+459.6)))*(INDEX(FX_Input,V$5,I$3*$Z$5+$AA$5-1)^0.5)*LOG10(INDEX(FX_Input,V$5,I$3*$Z$5+$AA$5))-(1.854-(1042/(I1852+459.6)))*(INDEX(FX_Input,V$5,I$3*$Z$5+$AA$5-1)^0.5)+((2416/(I1852+459.6)-2.013)*LOG10(INDEX(FX_Input,V$5,I$3*$Z$5+$AA$5)))-(8742/(I1852+459.6))+15.64),EXP(INDEX(Antoines,MATCH(I1844,Antoine_Name,0),2)-INDEX(Antoines,MATCH(I1844,Antoine_Name,0),3)/(I1852+459.6))))),0)</f>
        <v>8.4512935625408649E-3</v>
      </c>
      <c r="J1855" cm="1">
        <f t="array" ref="J1855">IFERROR(IF(J1845="Chemical",(10^(INDEX(Antoines,MATCH(J1844,Antoine_Name,0),2)-INDEX(Antoines,MATCH(J1844,Antoine_Name,0),3)/(INDEX(Antoines,MATCH(J1844,Antoine_Name,0),4)+(J1852-32)*5/9)))*14.7/760,IF(J1845="Crude Oil",EXP((2799/(J1852+459.6)-2.227)*LOG10(INDEX(FX_Input,W$5,J$3*$Z$5+$AA$5))-(7261/(J1852+459.6))+12.82),IF(J1845="Refined Petroleum Stock",EXP((0.7553-(413/(J1852+459.6)))*(INDEX(FX_Input,W$5,J$3*$Z$5+$AA$5-1)^0.5)*LOG10(INDEX(FX_Input,W$5,J$3*$Z$5+$AA$5))-(1.854-(1042/(J1852+459.6)))*(INDEX(FX_Input,W$5,J$3*$Z$5+$AA$5-1)^0.5)+((2416/(J1852+459.6)-2.013)*LOG10(INDEX(FX_Input,W$5,J$3*$Z$5+$AA$5)))-(8742/(J1852+459.6))+15.64),EXP(INDEX(Antoines,MATCH(J1844,Antoine_Name,0),2)-INDEX(Antoines,MATCH(J1844,Antoine_Name,0),3)/(J1852+459.6))))),0)</f>
        <v>9.5644811343706445E-3</v>
      </c>
      <c r="K1855" cm="1">
        <f t="array" ref="K1855">IFERROR(IF(K1845="Chemical",(10^(INDEX(Antoines,MATCH(K1844,Antoine_Name,0),2)-INDEX(Antoines,MATCH(K1844,Antoine_Name,0),3)/(INDEX(Antoines,MATCH(K1844,Antoine_Name,0),4)+(K1852-32)*5/9)))*14.7/760,IF(K1845="Crude Oil",EXP((2799/(K1852+459.6)-2.227)*LOG10(INDEX(FX_Input,X$5,K$3*$Z$5+$AA$5))-(7261/(K1852+459.6))+12.82),IF(K1845="Refined Petroleum Stock",EXP((0.7553-(413/(K1852+459.6)))*(INDEX(FX_Input,X$5,K$3*$Z$5+$AA$5-1)^0.5)*LOG10(INDEX(FX_Input,X$5,K$3*$Z$5+$AA$5))-(1.854-(1042/(K1852+459.6)))*(INDEX(FX_Input,X$5,K$3*$Z$5+$AA$5-1)^0.5)+((2416/(K1852+459.6)-2.013)*LOG10(INDEX(FX_Input,X$5,K$3*$Z$5+$AA$5)))-(8742/(K1852+459.6))+15.64),EXP(INDEX(Antoines,MATCH(K1844,Antoine_Name,0),2)-INDEX(Antoines,MATCH(K1844,Antoine_Name,0),3)/(K1852+459.6))))),0)</f>
        <v>9.3850836134020087E-3</v>
      </c>
      <c r="L1855" cm="1">
        <f t="array" ref="L1855">IFERROR(IF(L1845="Chemical",(10^(INDEX(Antoines,MATCH(L1844,Antoine_Name,0),2)-INDEX(Antoines,MATCH(L1844,Antoine_Name,0),3)/(INDEX(Antoines,MATCH(L1844,Antoine_Name,0),4)+(L1852-32)*5/9)))*14.7/760,IF(L1845="Crude Oil",EXP((2799/(L1852+459.6)-2.227)*LOG10(INDEX(FX_Input,Y$5,L$3*$Z$5+$AA$5))-(7261/(L1852+459.6))+12.82),IF(L1845="Refined Petroleum Stock",EXP((0.7553-(413/(L1852+459.6)))*(INDEX(FX_Input,Y$5,L$3*$Z$5+$AA$5-1)^0.5)*LOG10(INDEX(FX_Input,Y$5,L$3*$Z$5+$AA$5))-(1.854-(1042/(L1852+459.6)))*(INDEX(FX_Input,Y$5,L$3*$Z$5+$AA$5-1)^0.5)+((2416/(L1852+459.6)-2.013)*LOG10(INDEX(FX_Input,Y$5,L$3*$Z$5+$AA$5)))-(8742/(L1852+459.6))+15.64),EXP(INDEX(Antoines,MATCH(L1844,Antoine_Name,0),2)-INDEX(Antoines,MATCH(L1844,Antoine_Name,0),3)/(L1852+459.6))))),0)</f>
        <v>8.2227885052245445E-3</v>
      </c>
      <c r="M1855" cm="1">
        <f t="array" ref="M1855">IFERROR(IF(M1845="Chemical",(10^(INDEX(Antoines,MATCH(M1844,Antoine_Name,0),2)-INDEX(Antoines,MATCH(M1844,Antoine_Name,0),3)/(INDEX(Antoines,MATCH(M1844,Antoine_Name,0),4)+(M1852-32)*5/9)))*14.7/760,IF(M1845="Crude Oil",EXP((2799/(M1852+459.6)-2.227)*LOG10(INDEX(FX_Input,Z$5,M$3*$Z$5+$AA$5))-(7261/(M1852+459.6))+12.82),IF(M1845="Refined Petroleum Stock",EXP((0.7553-(413/(M1852+459.6)))*(INDEX(FX_Input,Z$5,M$3*$Z$5+$AA$5-1)^0.5)*LOG10(INDEX(FX_Input,Z$5,M$3*$Z$5+$AA$5))-(1.854-(1042/(M1852+459.6)))*(INDEX(FX_Input,Z$5,M$3*$Z$5+$AA$5-1)^0.5)+((2416/(M1852+459.6)-2.013)*LOG10(INDEX(FX_Input,Z$5,M$3*$Z$5+$AA$5)))-(8742/(M1852+459.6))+15.64),EXP(INDEX(Antoines,MATCH(M1844,Antoine_Name,0),2)-INDEX(Antoines,MATCH(M1844,Antoine_Name,0),3)/(M1852+459.6))))),0)</f>
        <v>6.4023381240072485E-3</v>
      </c>
      <c r="N1855" cm="1">
        <f t="array" ref="N1855">IFERROR(IF(N1845="Chemical",(10^(INDEX(Antoines,MATCH(N1844,Antoine_Name,0),2)-INDEX(Antoines,MATCH(N1844,Antoine_Name,0),3)/(INDEX(Antoines,MATCH(N1844,Antoine_Name,0),4)+(N1852-32)*5/9)))*14.7/760,IF(N1845="Crude Oil",EXP((2799/(N1852+459.6)-2.227)*LOG10(INDEX(FX_Input,AA$5,N$3*$Z$5+$AA$5))-(7261/(N1852+459.6))+12.82),IF(N1845="Refined Petroleum Stock",EXP((0.7553-(413/(N1852+459.6)))*(INDEX(FX_Input,AA$5,N$3*$Z$5+$AA$5-1)^0.5)*LOG10(INDEX(FX_Input,AA$5,N$3*$Z$5+$AA$5))-(1.854-(1042/(N1852+459.6)))*(INDEX(FX_Input,AA$5,N$3*$Z$5+$AA$5-1)^0.5)+((2416/(N1852+459.6)-2.013)*LOG10(INDEX(FX_Input,AA$5,N$3*$Z$5+$AA$5)))-(8742/(N1852+459.6))+15.64),EXP(INDEX(Antoines,MATCH(N1844,Antoine_Name,0),2)-INDEX(Antoines,MATCH(N1844,Antoine_Name,0),3)/(N1852+459.6))))),0)</f>
        <v>5.1381745102650677E-3</v>
      </c>
      <c r="O1855" cm="1">
        <f t="array" ref="O1855">IFERROR(IF(O1845="Chemical",(10^(INDEX(Antoines,MATCH(O1844,Antoine_Name,0),2)-INDEX(Antoines,MATCH(O1844,Antoine_Name,0),3)/(INDEX(Antoines,MATCH(O1844,Antoine_Name,0),4)+(O1852-32)*5/9)))*14.7/760,IF(O1845="Crude Oil",EXP((2799/(O1852+459.6)-2.227)*LOG10(INDEX(FX_Input,AB$5,O$3*$Z$5+$AA$5))-(7261/(O1852+459.6))+12.82),IF(O1845="Refined Petroleum Stock",EXP((0.7553-(413/(O1852+459.6)))*(INDEX(FX_Input,AB$5,O$3*$Z$5+$AA$5-1)^0.5)*LOG10(INDEX(FX_Input,AB$5,O$3*$Z$5+$AA$5))-(1.854-(1042/(O1852+459.6)))*(INDEX(FX_Input,AB$5,O$3*$Z$5+$AA$5-1)^0.5)+((2416/(O1852+459.6)-2.013)*LOG10(INDEX(FX_Input,AB$5,O$3*$Z$5+$AA$5)))-(8742/(O1852+459.6))+15.64),EXP(INDEX(Antoines,MATCH(O1844,Antoine_Name,0),2)-INDEX(Antoines,MATCH(O1844,Antoine_Name,0),3)/(O1852+459.6))))),0)</f>
        <v>4.5575582050152007E-3</v>
      </c>
    </row>
    <row r="1856" spans="1:32" ht="17.149999999999999" x14ac:dyDescent="0.55000000000000004">
      <c r="B1856" t="str">
        <f t="shared" si="6804"/>
        <v>Portland</v>
      </c>
      <c r="C1856" t="s">
        <v>576</v>
      </c>
      <c r="D1856">
        <f>D1848*D1855</f>
        <v>4.6194990608814232E-3</v>
      </c>
      <c r="E1856">
        <f t="shared" ref="E1856" si="6805">E1848*E1855</f>
        <v>4.8282172104298976E-3</v>
      </c>
      <c r="F1856">
        <f t="shared" ref="F1856" si="6806">F1848*F1855</f>
        <v>5.2682084022832483E-3</v>
      </c>
      <c r="G1856">
        <f t="shared" ref="G1856" si="6807">G1848*G1855</f>
        <v>6.0362371214845376E-3</v>
      </c>
      <c r="H1856">
        <f t="shared" ref="H1856" si="6808">H1848*H1855</f>
        <v>7.3216486102608194E-3</v>
      </c>
      <c r="I1856">
        <f t="shared" ref="I1856" si="6809">I1848*I1855</f>
        <v>8.4512935625408649E-3</v>
      </c>
      <c r="J1856">
        <f t="shared" ref="J1856" si="6810">J1848*J1855</f>
        <v>9.5644811343706445E-3</v>
      </c>
      <c r="K1856">
        <f t="shared" ref="K1856" si="6811">K1848*K1855</f>
        <v>9.3850836134020087E-3</v>
      </c>
      <c r="L1856">
        <f t="shared" ref="L1856" si="6812">L1848*L1855</f>
        <v>8.2227885052245445E-3</v>
      </c>
      <c r="M1856">
        <f t="shared" ref="M1856" si="6813">M1848*M1855</f>
        <v>6.4023381240072485E-3</v>
      </c>
      <c r="N1856">
        <f t="shared" ref="N1856" si="6814">N1848*N1855</f>
        <v>5.1381745102650677E-3</v>
      </c>
      <c r="O1856">
        <f t="shared" ref="O1856" si="6815">O1848*O1855</f>
        <v>4.5575582050152007E-3</v>
      </c>
    </row>
    <row r="1857" spans="2:15" ht="17.149999999999999" x14ac:dyDescent="0.55000000000000004">
      <c r="B1857" t="str">
        <f t="shared" si="6804"/>
        <v>Portland</v>
      </c>
      <c r="C1857" t="s">
        <v>575</v>
      </c>
      <c r="D1857" cm="1">
        <f t="array" ref="D1857">IFERROR(IF(D1847="Chemical",(10^(INDEX(Antoines,MATCH(D1846,Antoine_Name,0),2)-INDEX(Antoines,MATCH(D1846,Antoine_Name,0),3)/(INDEX(Antoines,MATCH(D1846,Antoine_Name,0),4)+(D1852-32)*5/9)))*14.7/760,IF(D1847="Crude Oil",EXP((2799/(D1852+459.6)-2.227)*LOG10(INDEX(FX_Input,Q$5,D$3*$Z$5+$AA$5))-(7261/(D1852+459.6))+12.82),IF(D1847="Refined Petroleum Stock",EXP((0.7553-(413/(D1852+459.6)))*(INDEX(FX_Input,Q$5,D$3*$Z$5+$AA$5-1)^0.5)*LOG10(INDEX(FX_Input,Q$5,D$3*$Z$5+$AA$5))-(1.854-(1042/(D1852+459.6)))*(INDEX(FX_Input,Q$5,D$3*$Z$5+$AA$5-1)^0.5)+((2416/(D1852+459.6)-2.013)*LOG10(INDEX(FX_Input,Q$5,D$3*$Z$5+$AA$5)))-(8742/(D1852+459.6))+15.64),EXP(INDEX(Antoines,MATCH(D1846,Antoine_Name,0),2)-INDEX(Antoines,MATCH(D1846,Antoine_Name,0),3)/(D1852+459.6))))),0)</f>
        <v>0</v>
      </c>
      <c r="E1857" cm="1">
        <f t="array" ref="E1857">IFERROR(IF(E1847="Chemical",(10^(INDEX(Antoines,MATCH(E1846,Antoine_Name,0),2)-INDEX(Antoines,MATCH(E1846,Antoine_Name,0),3)/(INDEX(Antoines,MATCH(E1846,Antoine_Name,0),4)+(E1852-32)*5/9)))*14.7/760,IF(E1847="Crude Oil",EXP((2799/(E1852+459.6)-2.227)*LOG10(INDEX(FX_Input,R$5,E$3*$Z$5+$AA$5))-(7261/(E1852+459.6))+12.82),IF(E1847="Refined Petroleum Stock",EXP((0.7553-(413/(E1852+459.6)))*(INDEX(FX_Input,R$5,E$3*$Z$5+$AA$5-1)^0.5)*LOG10(INDEX(FX_Input,R$5,E$3*$Z$5+$AA$5))-(1.854-(1042/(E1852+459.6)))*(INDEX(FX_Input,R$5,E$3*$Z$5+$AA$5-1)^0.5)+((2416/(E1852+459.6)-2.013)*LOG10(INDEX(FX_Input,R$5,E$3*$Z$5+$AA$5)))-(8742/(E1852+459.6))+15.64),EXP(INDEX(Antoines,MATCH(E1846,Antoine_Name,0),2)-INDEX(Antoines,MATCH(E1846,Antoine_Name,0),3)/(E1852+459.6))))),0)</f>
        <v>0</v>
      </c>
      <c r="F1857" cm="1">
        <f t="array" ref="F1857">IFERROR(IF(F1847="Chemical",(10^(INDEX(Antoines,MATCH(F1846,Antoine_Name,0),2)-INDEX(Antoines,MATCH(F1846,Antoine_Name,0),3)/(INDEX(Antoines,MATCH(F1846,Antoine_Name,0),4)+(F1852-32)*5/9)))*14.7/760,IF(F1847="Crude Oil",EXP((2799/(F1852+459.6)-2.227)*LOG10(INDEX(FX_Input,S$5,F$3*$Z$5+$AA$5))-(7261/(F1852+459.6))+12.82),IF(F1847="Refined Petroleum Stock",EXP((0.7553-(413/(F1852+459.6)))*(INDEX(FX_Input,S$5,F$3*$Z$5+$AA$5-1)^0.5)*LOG10(INDEX(FX_Input,S$5,F$3*$Z$5+$AA$5))-(1.854-(1042/(F1852+459.6)))*(INDEX(FX_Input,S$5,F$3*$Z$5+$AA$5-1)^0.5)+((2416/(F1852+459.6)-2.013)*LOG10(INDEX(FX_Input,S$5,F$3*$Z$5+$AA$5)))-(8742/(F1852+459.6))+15.64),EXP(INDEX(Antoines,MATCH(F1846,Antoine_Name,0),2)-INDEX(Antoines,MATCH(F1846,Antoine_Name,0),3)/(F1852+459.6))))),0)</f>
        <v>0</v>
      </c>
      <c r="G1857" cm="1">
        <f t="array" ref="G1857">IFERROR(IF(G1847="Chemical",(10^(INDEX(Antoines,MATCH(G1846,Antoine_Name,0),2)-INDEX(Antoines,MATCH(G1846,Antoine_Name,0),3)/(INDEX(Antoines,MATCH(G1846,Antoine_Name,0),4)+(G1852-32)*5/9)))*14.7/760,IF(G1847="Crude Oil",EXP((2799/(G1852+459.6)-2.227)*LOG10(INDEX(FX_Input,T$5,G$3*$Z$5+$AA$5))-(7261/(G1852+459.6))+12.82),IF(G1847="Refined Petroleum Stock",EXP((0.7553-(413/(G1852+459.6)))*(INDEX(FX_Input,T$5,G$3*$Z$5+$AA$5-1)^0.5)*LOG10(INDEX(FX_Input,T$5,G$3*$Z$5+$AA$5))-(1.854-(1042/(G1852+459.6)))*(INDEX(FX_Input,T$5,G$3*$Z$5+$AA$5-1)^0.5)+((2416/(G1852+459.6)-2.013)*LOG10(INDEX(FX_Input,T$5,G$3*$Z$5+$AA$5)))-(8742/(G1852+459.6))+15.64),EXP(INDEX(Antoines,MATCH(G1846,Antoine_Name,0),2)-INDEX(Antoines,MATCH(G1846,Antoine_Name,0),3)/(G1852+459.6))))),0)</f>
        <v>0</v>
      </c>
      <c r="H1857" cm="1">
        <f t="array" ref="H1857">IFERROR(IF(H1847="Chemical",(10^(INDEX(Antoines,MATCH(H1846,Antoine_Name,0),2)-INDEX(Antoines,MATCH(H1846,Antoine_Name,0),3)/(INDEX(Antoines,MATCH(H1846,Antoine_Name,0),4)+(H1852-32)*5/9)))*14.7/760,IF(H1847="Crude Oil",EXP((2799/(H1852+459.6)-2.227)*LOG10(INDEX(FX_Input,U$5,H$3*$Z$5+$AA$5))-(7261/(H1852+459.6))+12.82),IF(H1847="Refined Petroleum Stock",EXP((0.7553-(413/(H1852+459.6)))*(INDEX(FX_Input,U$5,H$3*$Z$5+$AA$5-1)^0.5)*LOG10(INDEX(FX_Input,U$5,H$3*$Z$5+$AA$5))-(1.854-(1042/(H1852+459.6)))*(INDEX(FX_Input,U$5,H$3*$Z$5+$AA$5-1)^0.5)+((2416/(H1852+459.6)-2.013)*LOG10(INDEX(FX_Input,U$5,H$3*$Z$5+$AA$5)))-(8742/(H1852+459.6))+15.64),EXP(INDEX(Antoines,MATCH(H1846,Antoine_Name,0),2)-INDEX(Antoines,MATCH(H1846,Antoine_Name,0),3)/(H1852+459.6))))),0)</f>
        <v>0</v>
      </c>
      <c r="I1857" cm="1">
        <f t="array" ref="I1857">IFERROR(IF(I1847="Chemical",(10^(INDEX(Antoines,MATCH(I1846,Antoine_Name,0),2)-INDEX(Antoines,MATCH(I1846,Antoine_Name,0),3)/(INDEX(Antoines,MATCH(I1846,Antoine_Name,0),4)+(I1852-32)*5/9)))*14.7/760,IF(I1847="Crude Oil",EXP((2799/(I1852+459.6)-2.227)*LOG10(INDEX(FX_Input,V$5,I$3*$Z$5+$AA$5))-(7261/(I1852+459.6))+12.82),IF(I1847="Refined Petroleum Stock",EXP((0.7553-(413/(I1852+459.6)))*(INDEX(FX_Input,V$5,I$3*$Z$5+$AA$5-1)^0.5)*LOG10(INDEX(FX_Input,V$5,I$3*$Z$5+$AA$5))-(1.854-(1042/(I1852+459.6)))*(INDEX(FX_Input,V$5,I$3*$Z$5+$AA$5-1)^0.5)+((2416/(I1852+459.6)-2.013)*LOG10(INDEX(FX_Input,V$5,I$3*$Z$5+$AA$5)))-(8742/(I1852+459.6))+15.64),EXP(INDEX(Antoines,MATCH(I1846,Antoine_Name,0),2)-INDEX(Antoines,MATCH(I1846,Antoine_Name,0),3)/(I1852+459.6))))),0)</f>
        <v>0</v>
      </c>
      <c r="J1857" cm="1">
        <f t="array" ref="J1857">IFERROR(IF(J1847="Chemical",(10^(INDEX(Antoines,MATCH(J1846,Antoine_Name,0),2)-INDEX(Antoines,MATCH(J1846,Antoine_Name,0),3)/(INDEX(Antoines,MATCH(J1846,Antoine_Name,0),4)+(J1852-32)*5/9)))*14.7/760,IF(J1847="Crude Oil",EXP((2799/(J1852+459.6)-2.227)*LOG10(INDEX(FX_Input,W$5,J$3*$Z$5+$AA$5))-(7261/(J1852+459.6))+12.82),IF(J1847="Refined Petroleum Stock",EXP((0.7553-(413/(J1852+459.6)))*(INDEX(FX_Input,W$5,J$3*$Z$5+$AA$5-1)^0.5)*LOG10(INDEX(FX_Input,W$5,J$3*$Z$5+$AA$5))-(1.854-(1042/(J1852+459.6)))*(INDEX(FX_Input,W$5,J$3*$Z$5+$AA$5-1)^0.5)+((2416/(J1852+459.6)-2.013)*LOG10(INDEX(FX_Input,W$5,J$3*$Z$5+$AA$5)))-(8742/(J1852+459.6))+15.64),EXP(INDEX(Antoines,MATCH(J1846,Antoine_Name,0),2)-INDEX(Antoines,MATCH(J1846,Antoine_Name,0),3)/(J1852+459.6))))),0)</f>
        <v>0</v>
      </c>
      <c r="K1857" cm="1">
        <f t="array" ref="K1857">IFERROR(IF(K1847="Chemical",(10^(INDEX(Antoines,MATCH(K1846,Antoine_Name,0),2)-INDEX(Antoines,MATCH(K1846,Antoine_Name,0),3)/(INDEX(Antoines,MATCH(K1846,Antoine_Name,0),4)+(K1852-32)*5/9)))*14.7/760,IF(K1847="Crude Oil",EXP((2799/(K1852+459.6)-2.227)*LOG10(INDEX(FX_Input,X$5,K$3*$Z$5+$AA$5))-(7261/(K1852+459.6))+12.82),IF(K1847="Refined Petroleum Stock",EXP((0.7553-(413/(K1852+459.6)))*(INDEX(FX_Input,X$5,K$3*$Z$5+$AA$5-1)^0.5)*LOG10(INDEX(FX_Input,X$5,K$3*$Z$5+$AA$5))-(1.854-(1042/(K1852+459.6)))*(INDEX(FX_Input,X$5,K$3*$Z$5+$AA$5-1)^0.5)+((2416/(K1852+459.6)-2.013)*LOG10(INDEX(FX_Input,X$5,K$3*$Z$5+$AA$5)))-(8742/(K1852+459.6))+15.64),EXP(INDEX(Antoines,MATCH(K1846,Antoine_Name,0),2)-INDEX(Antoines,MATCH(K1846,Antoine_Name,0),3)/(K1852+459.6))))),0)</f>
        <v>0</v>
      </c>
      <c r="L1857" cm="1">
        <f t="array" ref="L1857">IFERROR(IF(L1847="Chemical",(10^(INDEX(Antoines,MATCH(L1846,Antoine_Name,0),2)-INDEX(Antoines,MATCH(L1846,Antoine_Name,0),3)/(INDEX(Antoines,MATCH(L1846,Antoine_Name,0),4)+(L1852-32)*5/9)))*14.7/760,IF(L1847="Crude Oil",EXP((2799/(L1852+459.6)-2.227)*LOG10(INDEX(FX_Input,Y$5,L$3*$Z$5+$AA$5))-(7261/(L1852+459.6))+12.82),IF(L1847="Refined Petroleum Stock",EXP((0.7553-(413/(L1852+459.6)))*(INDEX(FX_Input,Y$5,L$3*$Z$5+$AA$5-1)^0.5)*LOG10(INDEX(FX_Input,Y$5,L$3*$Z$5+$AA$5))-(1.854-(1042/(L1852+459.6)))*(INDEX(FX_Input,Y$5,L$3*$Z$5+$AA$5-1)^0.5)+((2416/(L1852+459.6)-2.013)*LOG10(INDEX(FX_Input,Y$5,L$3*$Z$5+$AA$5)))-(8742/(L1852+459.6))+15.64),EXP(INDEX(Antoines,MATCH(L1846,Antoine_Name,0),2)-INDEX(Antoines,MATCH(L1846,Antoine_Name,0),3)/(L1852+459.6))))),0)</f>
        <v>0</v>
      </c>
      <c r="M1857" cm="1">
        <f t="array" ref="M1857">IFERROR(IF(M1847="Chemical",(10^(INDEX(Antoines,MATCH(M1846,Antoine_Name,0),2)-INDEX(Antoines,MATCH(M1846,Antoine_Name,0),3)/(INDEX(Antoines,MATCH(M1846,Antoine_Name,0),4)+(M1852-32)*5/9)))*14.7/760,IF(M1847="Crude Oil",EXP((2799/(M1852+459.6)-2.227)*LOG10(INDEX(FX_Input,Z$5,M$3*$Z$5+$AA$5))-(7261/(M1852+459.6))+12.82),IF(M1847="Refined Petroleum Stock",EXP((0.7553-(413/(M1852+459.6)))*(INDEX(FX_Input,Z$5,M$3*$Z$5+$AA$5-1)^0.5)*LOG10(INDEX(FX_Input,Z$5,M$3*$Z$5+$AA$5))-(1.854-(1042/(M1852+459.6)))*(INDEX(FX_Input,Z$5,M$3*$Z$5+$AA$5-1)^0.5)+((2416/(M1852+459.6)-2.013)*LOG10(INDEX(FX_Input,Z$5,M$3*$Z$5+$AA$5)))-(8742/(M1852+459.6))+15.64),EXP(INDEX(Antoines,MATCH(M1846,Antoine_Name,0),2)-INDEX(Antoines,MATCH(M1846,Antoine_Name,0),3)/(M1852+459.6))))),0)</f>
        <v>0</v>
      </c>
      <c r="N1857" cm="1">
        <f t="array" ref="N1857">IFERROR(IF(N1847="Chemical",(10^(INDEX(Antoines,MATCH(N1846,Antoine_Name,0),2)-INDEX(Antoines,MATCH(N1846,Antoine_Name,0),3)/(INDEX(Antoines,MATCH(N1846,Antoine_Name,0),4)+(N1852-32)*5/9)))*14.7/760,IF(N1847="Crude Oil",EXP((2799/(N1852+459.6)-2.227)*LOG10(INDEX(FX_Input,AA$5,N$3*$Z$5+$AA$5))-(7261/(N1852+459.6))+12.82),IF(N1847="Refined Petroleum Stock",EXP((0.7553-(413/(N1852+459.6)))*(INDEX(FX_Input,AA$5,N$3*$Z$5+$AA$5-1)^0.5)*LOG10(INDEX(FX_Input,AA$5,N$3*$Z$5+$AA$5))-(1.854-(1042/(N1852+459.6)))*(INDEX(FX_Input,AA$5,N$3*$Z$5+$AA$5-1)^0.5)+((2416/(N1852+459.6)-2.013)*LOG10(INDEX(FX_Input,AA$5,N$3*$Z$5+$AA$5)))-(8742/(N1852+459.6))+15.64),EXP(INDEX(Antoines,MATCH(N1846,Antoine_Name,0),2)-INDEX(Antoines,MATCH(N1846,Antoine_Name,0),3)/(N1852+459.6))))),0)</f>
        <v>0</v>
      </c>
      <c r="O1857" cm="1">
        <f t="array" ref="O1857">IFERROR(IF(O1847="Chemical",(10^(INDEX(Antoines,MATCH(O1846,Antoine_Name,0),2)-INDEX(Antoines,MATCH(O1846,Antoine_Name,0),3)/(INDEX(Antoines,MATCH(O1846,Antoine_Name,0),4)+(O1852-32)*5/9)))*14.7/760,IF(O1847="Crude Oil",EXP((2799/(O1852+459.6)-2.227)*LOG10(INDEX(FX_Input,AB$5,O$3*$Z$5+$AA$5))-(7261/(O1852+459.6))+12.82),IF(O1847="Refined Petroleum Stock",EXP((0.7553-(413/(O1852+459.6)))*(INDEX(FX_Input,AB$5,O$3*$Z$5+$AA$5-1)^0.5)*LOG10(INDEX(FX_Input,AB$5,O$3*$Z$5+$AA$5))-(1.854-(1042/(O1852+459.6)))*(INDEX(FX_Input,AB$5,O$3*$Z$5+$AA$5-1)^0.5)+((2416/(O1852+459.6)-2.013)*LOG10(INDEX(FX_Input,AB$5,O$3*$Z$5+$AA$5)))-(8742/(O1852+459.6))+15.64),EXP(INDEX(Antoines,MATCH(O1846,Antoine_Name,0),2)-INDEX(Antoines,MATCH(O1846,Antoine_Name,0),3)/(O1852+459.6))))),0)</f>
        <v>0</v>
      </c>
    </row>
    <row r="1858" spans="2:15" ht="17.149999999999999" x14ac:dyDescent="0.55000000000000004">
      <c r="B1858" t="str">
        <f t="shared" si="6804"/>
        <v>Portland</v>
      </c>
      <c r="C1858" t="s">
        <v>577</v>
      </c>
      <c r="D1858">
        <f>D1857*D1850</f>
        <v>0</v>
      </c>
      <c r="E1858">
        <f t="shared" ref="E1858" si="6816">E1857*E1850</f>
        <v>0</v>
      </c>
      <c r="F1858">
        <f t="shared" ref="F1858" si="6817">F1857*F1850</f>
        <v>0</v>
      </c>
      <c r="G1858">
        <f t="shared" ref="G1858" si="6818">G1857*G1850</f>
        <v>0</v>
      </c>
      <c r="H1858">
        <f t="shared" ref="H1858" si="6819">H1857*H1850</f>
        <v>0</v>
      </c>
      <c r="I1858">
        <f t="shared" ref="I1858" si="6820">I1857*I1850</f>
        <v>0</v>
      </c>
      <c r="J1858">
        <f t="shared" ref="J1858" si="6821">J1857*J1850</f>
        <v>0</v>
      </c>
      <c r="K1858">
        <f t="shared" ref="K1858" si="6822">K1857*K1850</f>
        <v>0</v>
      </c>
      <c r="L1858">
        <f t="shared" ref="L1858" si="6823">L1857*L1850</f>
        <v>0</v>
      </c>
      <c r="M1858">
        <f t="shared" ref="M1858" si="6824">M1857*M1850</f>
        <v>0</v>
      </c>
      <c r="N1858">
        <f t="shared" ref="N1858" si="6825">N1857*N1850</f>
        <v>0</v>
      </c>
      <c r="O1858">
        <f t="shared" ref="O1858" si="6826">O1857*O1850</f>
        <v>0</v>
      </c>
    </row>
    <row r="1859" spans="2:15" ht="17.149999999999999" x14ac:dyDescent="0.55000000000000004">
      <c r="B1859" t="str">
        <f t="shared" si="6804"/>
        <v>Portland</v>
      </c>
      <c r="C1859" t="s">
        <v>578</v>
      </c>
      <c r="D1859">
        <f>D1858+D1856</f>
        <v>4.6194990608814232E-3</v>
      </c>
      <c r="E1859">
        <f t="shared" ref="E1859" si="6827">E1858+E1856</f>
        <v>4.8282172104298976E-3</v>
      </c>
      <c r="F1859">
        <f t="shared" ref="F1859" si="6828">F1858+F1856</f>
        <v>5.2682084022832483E-3</v>
      </c>
      <c r="G1859">
        <f t="shared" ref="G1859" si="6829">G1858+G1856</f>
        <v>6.0362371214845376E-3</v>
      </c>
      <c r="H1859">
        <f t="shared" ref="H1859" si="6830">H1858+H1856</f>
        <v>7.3216486102608194E-3</v>
      </c>
      <c r="I1859">
        <f t="shared" ref="I1859" si="6831">I1858+I1856</f>
        <v>8.4512935625408649E-3</v>
      </c>
      <c r="J1859">
        <f t="shared" ref="J1859" si="6832">J1858+J1856</f>
        <v>9.5644811343706445E-3</v>
      </c>
      <c r="K1859">
        <f t="shared" ref="K1859" si="6833">K1858+K1856</f>
        <v>9.3850836134020087E-3</v>
      </c>
      <c r="L1859">
        <f t="shared" ref="L1859" si="6834">L1858+L1856</f>
        <v>8.2227885052245445E-3</v>
      </c>
      <c r="M1859">
        <f t="shared" ref="M1859" si="6835">M1858+M1856</f>
        <v>6.4023381240072485E-3</v>
      </c>
      <c r="N1859">
        <f t="shared" ref="N1859" si="6836">N1858+N1856</f>
        <v>5.1381745102650677E-3</v>
      </c>
      <c r="O1859">
        <f t="shared" ref="O1859" si="6837">O1858+O1856</f>
        <v>4.5575582050152007E-3</v>
      </c>
    </row>
    <row r="1860" spans="2:15" ht="17.149999999999999" x14ac:dyDescent="0.55000000000000004">
      <c r="B1860" t="str">
        <f t="shared" si="6804"/>
        <v>Portland</v>
      </c>
      <c r="C1860" t="s">
        <v>579</v>
      </c>
      <c r="D1860" cm="1">
        <f t="array" ref="D1860">IFERROR(IF(D1845="Chemical",(10^(INDEX(Antoines,MATCH(D1844,Antoine_Name,0),2)-INDEX(Antoines,MATCH(D1844,Antoine_Name,0),3)/(INDEX(Antoines,MATCH(D1844,Antoine_Name,0),4)+(D1853-32)*5/9)))*14.7/760,IF(D1845="Crude Oil",EXP((2799/(D1853+459.6)-2.227)*LOG10(INDEX(FX_Input,Q$5,D$3*$Z$5+$AA$5))-(7261/(D1853+459.6))+12.82),IF(D1845="Refined Petroleum Stock",EXP((0.7553-(413/(D1853+459.6)))*(INDEX(FX_Input,Q$5,D$3*$Z$5+$AA$5-1)^0.5)*LOG10(INDEX(FX_Input,Q$5,D$3*$Z$5+$AA$5))-(1.854-(1042/(D1853+459.6)))*(INDEX(FX_Input,Q$5,D$3*$Z$5+$AA$5-1)^0.5)+((2416/(D1853+459.6)-2.013)*LOG10(INDEX(FX_Input,Q$5,D$3*$Z$5+$AA$5)))-(8742/(D1853+459.6))+15.64),EXP(INDEX(Antoines,MATCH(D1844,Antoine_Name,0),2)-INDEX(Antoines,MATCH(D1844,Antoine_Name,0),3)/(D1853+459.6))))),0)</f>
        <v>5.3446173929904582E-3</v>
      </c>
      <c r="E1860" cm="1">
        <f t="array" ref="E1860">IFERROR(IF(E1845="Chemical",(10^(INDEX(Antoines,MATCH(E1844,Antoine_Name,0),2)-INDEX(Antoines,MATCH(E1844,Antoine_Name,0),3)/(INDEX(Antoines,MATCH(E1844,Antoine_Name,0),4)+(E1853-32)*5/9)))*14.7/760,IF(E1845="Crude Oil",EXP((2799/(E1853+459.6)-2.227)*LOG10(INDEX(FX_Input,R$5,E$3*$Z$5+$AA$5))-(7261/(E1853+459.6))+12.82),IF(E1845="Refined Petroleum Stock",EXP((0.7553-(413/(E1853+459.6)))*(INDEX(FX_Input,R$5,E$3*$Z$5+$AA$5-1)^0.5)*LOG10(INDEX(FX_Input,R$5,E$3*$Z$5+$AA$5))-(1.854-(1042/(E1853+459.6)))*(INDEX(FX_Input,R$5,E$3*$Z$5+$AA$5-1)^0.5)+((2416/(E1853+459.6)-2.013)*LOG10(INDEX(FX_Input,R$5,E$3*$Z$5+$AA$5)))-(8742/(E1853+459.6))+15.64),EXP(INDEX(Antoines,MATCH(E1844,Antoine_Name,0),2)-INDEX(Antoines,MATCH(E1844,Antoine_Name,0),3)/(E1853+459.6))))),0)</f>
        <v>5.8020727825229086E-3</v>
      </c>
      <c r="F1860" cm="1">
        <f t="array" ref="F1860">IFERROR(IF(F1845="Chemical",(10^(INDEX(Antoines,MATCH(F1844,Antoine_Name,0),2)-INDEX(Antoines,MATCH(F1844,Antoine_Name,0),3)/(INDEX(Antoines,MATCH(F1844,Antoine_Name,0),4)+(F1853-32)*5/9)))*14.7/760,IF(F1845="Crude Oil",EXP((2799/(F1853+459.6)-2.227)*LOG10(INDEX(FX_Input,S$5,F$3*$Z$5+$AA$5))-(7261/(F1853+459.6))+12.82),IF(F1845="Refined Petroleum Stock",EXP((0.7553-(413/(F1853+459.6)))*(INDEX(FX_Input,S$5,F$3*$Z$5+$AA$5-1)^0.5)*LOG10(INDEX(FX_Input,S$5,F$3*$Z$5+$AA$5))-(1.854-(1042/(F1853+459.6)))*(INDEX(FX_Input,S$5,F$3*$Z$5+$AA$5-1)^0.5)+((2416/(F1853+459.6)-2.013)*LOG10(INDEX(FX_Input,S$5,F$3*$Z$5+$AA$5)))-(8742/(F1853+459.6))+15.64),EXP(INDEX(Antoines,MATCH(F1844,Antoine_Name,0),2)-INDEX(Antoines,MATCH(F1844,Antoine_Name,0),3)/(F1853+459.6))))),0)</f>
        <v>6.3194597984808799E-3</v>
      </c>
      <c r="G1860" cm="1">
        <f t="array" ref="G1860">IFERROR(IF(G1845="Chemical",(10^(INDEX(Antoines,MATCH(G1844,Antoine_Name,0),2)-INDEX(Antoines,MATCH(G1844,Antoine_Name,0),3)/(INDEX(Antoines,MATCH(G1844,Antoine_Name,0),4)+(G1853-32)*5/9)))*14.7/760,IF(G1845="Crude Oil",EXP((2799/(G1853+459.6)-2.227)*LOG10(INDEX(FX_Input,T$5,G$3*$Z$5+$AA$5))-(7261/(G1853+459.6))+12.82),IF(G1845="Refined Petroleum Stock",EXP((0.7553-(413/(G1853+459.6)))*(INDEX(FX_Input,T$5,G$3*$Z$5+$AA$5-1)^0.5)*LOG10(INDEX(FX_Input,T$5,G$3*$Z$5+$AA$5))-(1.854-(1042/(G1853+459.6)))*(INDEX(FX_Input,T$5,G$3*$Z$5+$AA$5-1)^0.5)+((2416/(G1853+459.6)-2.013)*LOG10(INDEX(FX_Input,T$5,G$3*$Z$5+$AA$5)))-(8742/(G1853+459.6))+15.64),EXP(INDEX(Antoines,MATCH(G1844,Antoine_Name,0),2)-INDEX(Antoines,MATCH(G1844,Antoine_Name,0),3)/(G1853+459.6))))),0)</f>
        <v>7.2400469002136831E-3</v>
      </c>
      <c r="H1860" cm="1">
        <f t="array" ref="H1860">IFERROR(IF(H1845="Chemical",(10^(INDEX(Antoines,MATCH(H1844,Antoine_Name,0),2)-INDEX(Antoines,MATCH(H1844,Antoine_Name,0),3)/(INDEX(Antoines,MATCH(H1844,Antoine_Name,0),4)+(H1853-32)*5/9)))*14.7/760,IF(H1845="Crude Oil",EXP((2799/(H1853+459.6)-2.227)*LOG10(INDEX(FX_Input,U$5,H$3*$Z$5+$AA$5))-(7261/(H1853+459.6))+12.82),IF(H1845="Refined Petroleum Stock",EXP((0.7553-(413/(H1853+459.6)))*(INDEX(FX_Input,U$5,H$3*$Z$5+$AA$5-1)^0.5)*LOG10(INDEX(FX_Input,U$5,H$3*$Z$5+$AA$5))-(1.854-(1042/(H1853+459.6)))*(INDEX(FX_Input,U$5,H$3*$Z$5+$AA$5-1)^0.5)+((2416/(H1853+459.6)-2.013)*LOG10(INDEX(FX_Input,U$5,H$3*$Z$5+$AA$5)))-(8742/(H1853+459.6))+15.64),EXP(INDEX(Antoines,MATCH(H1844,Antoine_Name,0),2)-INDEX(Antoines,MATCH(H1844,Antoine_Name,0),3)/(H1853+459.6))))),0)</f>
        <v>8.7355319390561535E-3</v>
      </c>
      <c r="I1860" cm="1">
        <f t="array" ref="I1860">IFERROR(IF(I1845="Chemical",(10^(INDEX(Antoines,MATCH(I1844,Antoine_Name,0),2)-INDEX(Antoines,MATCH(I1844,Antoine_Name,0),3)/(INDEX(Antoines,MATCH(I1844,Antoine_Name,0),4)+(I1853-32)*5/9)))*14.7/760,IF(I1845="Crude Oil",EXP((2799/(I1853+459.6)-2.227)*LOG10(INDEX(FX_Input,V$5,I$3*$Z$5+$AA$5))-(7261/(I1853+459.6))+12.82),IF(I1845="Refined Petroleum Stock",EXP((0.7553-(413/(I1853+459.6)))*(INDEX(FX_Input,V$5,I$3*$Z$5+$AA$5-1)^0.5)*LOG10(INDEX(FX_Input,V$5,I$3*$Z$5+$AA$5))-(1.854-(1042/(I1853+459.6)))*(INDEX(FX_Input,V$5,I$3*$Z$5+$AA$5-1)^0.5)+((2416/(I1853+459.6)-2.013)*LOG10(INDEX(FX_Input,V$5,I$3*$Z$5+$AA$5)))-(8742/(I1853+459.6))+15.64),EXP(INDEX(Antoines,MATCH(I1844,Antoine_Name,0),2)-INDEX(Antoines,MATCH(I1844,Antoine_Name,0),3)/(I1853+459.6))))),0)</f>
        <v>9.9506270401879347E-3</v>
      </c>
      <c r="J1860" cm="1">
        <f t="array" ref="J1860">IFERROR(IF(J1845="Chemical",(10^(INDEX(Antoines,MATCH(J1844,Antoine_Name,0),2)-INDEX(Antoines,MATCH(J1844,Antoine_Name,0),3)/(INDEX(Antoines,MATCH(J1844,Antoine_Name,0),4)+(J1853-32)*5/9)))*14.7/760,IF(J1845="Crude Oil",EXP((2799/(J1853+459.6)-2.227)*LOG10(INDEX(FX_Input,W$5,J$3*$Z$5+$AA$5))-(7261/(J1853+459.6))+12.82),IF(J1845="Refined Petroleum Stock",EXP((0.7553-(413/(J1853+459.6)))*(INDEX(FX_Input,W$5,J$3*$Z$5+$AA$5-1)^0.5)*LOG10(INDEX(FX_Input,W$5,J$3*$Z$5+$AA$5))-(1.854-(1042/(J1853+459.6)))*(INDEX(FX_Input,W$5,J$3*$Z$5+$AA$5-1)^0.5)+((2416/(J1853+459.6)-2.013)*LOG10(INDEX(FX_Input,W$5,J$3*$Z$5+$AA$5)))-(8742/(J1853+459.6))+15.64),EXP(INDEX(Antoines,MATCH(J1844,Antoine_Name,0),2)-INDEX(Antoines,MATCH(J1844,Antoine_Name,0),3)/(J1853+459.6))))),0)</f>
        <v>1.1263733235793187E-2</v>
      </c>
      <c r="K1860" cm="1">
        <f t="array" ref="K1860">IFERROR(IF(K1845="Chemical",(10^(INDEX(Antoines,MATCH(K1844,Antoine_Name,0),2)-INDEX(Antoines,MATCH(K1844,Antoine_Name,0),3)/(INDEX(Antoines,MATCH(K1844,Antoine_Name,0),4)+(K1853-32)*5/9)))*14.7/760,IF(K1845="Crude Oil",EXP((2799/(K1853+459.6)-2.227)*LOG10(INDEX(FX_Input,X$5,K$3*$Z$5+$AA$5))-(7261/(K1853+459.6))+12.82),IF(K1845="Refined Petroleum Stock",EXP((0.7553-(413/(K1853+459.6)))*(INDEX(FX_Input,X$5,K$3*$Z$5+$AA$5-1)^0.5)*LOG10(INDEX(FX_Input,X$5,K$3*$Z$5+$AA$5))-(1.854-(1042/(K1853+459.6)))*(INDEX(FX_Input,X$5,K$3*$Z$5+$AA$5-1)^0.5)+((2416/(K1853+459.6)-2.013)*LOG10(INDEX(FX_Input,X$5,K$3*$Z$5+$AA$5)))-(8742/(K1853+459.6))+15.64),EXP(INDEX(Antoines,MATCH(K1844,Antoine_Name,0),2)-INDEX(Antoines,MATCH(K1844,Antoine_Name,0),3)/(K1853+459.6))))),0)</f>
        <v>1.1184292386672267E-2</v>
      </c>
      <c r="L1860" cm="1">
        <f t="array" ref="L1860">IFERROR(IF(L1845="Chemical",(10^(INDEX(Antoines,MATCH(L1844,Antoine_Name,0),2)-INDEX(Antoines,MATCH(L1844,Antoine_Name,0),3)/(INDEX(Antoines,MATCH(L1844,Antoine_Name,0),4)+(L1853-32)*5/9)))*14.7/760,IF(L1845="Crude Oil",EXP((2799/(L1853+459.6)-2.227)*LOG10(INDEX(FX_Input,Y$5,L$3*$Z$5+$AA$5))-(7261/(L1853+459.6))+12.82),IF(L1845="Refined Petroleum Stock",EXP((0.7553-(413/(L1853+459.6)))*(INDEX(FX_Input,Y$5,L$3*$Z$5+$AA$5-1)^0.5)*LOG10(INDEX(FX_Input,Y$5,L$3*$Z$5+$AA$5))-(1.854-(1042/(L1853+459.6)))*(INDEX(FX_Input,Y$5,L$3*$Z$5+$AA$5-1)^0.5)+((2416/(L1853+459.6)-2.013)*LOG10(INDEX(FX_Input,Y$5,L$3*$Z$5+$AA$5)))-(8742/(L1853+459.6))+15.64),EXP(INDEX(Antoines,MATCH(L1844,Antoine_Name,0),2)-INDEX(Antoines,MATCH(L1844,Antoine_Name,0),3)/(L1853+459.6))))),0)</f>
        <v>1.0188141542731273E-2</v>
      </c>
      <c r="M1860" cm="1">
        <f t="array" ref="M1860">IFERROR(IF(M1845="Chemical",(10^(INDEX(Antoines,MATCH(M1844,Antoine_Name,0),2)-INDEX(Antoines,MATCH(M1844,Antoine_Name,0),3)/(INDEX(Antoines,MATCH(M1844,Antoine_Name,0),4)+(M1853-32)*5/9)))*14.7/760,IF(M1845="Crude Oil",EXP((2799/(M1853+459.6)-2.227)*LOG10(INDEX(FX_Input,Z$5,M$3*$Z$5+$AA$5))-(7261/(M1853+459.6))+12.82),IF(M1845="Refined Petroleum Stock",EXP((0.7553-(413/(M1853+459.6)))*(INDEX(FX_Input,Z$5,M$3*$Z$5+$AA$5-1)^0.5)*LOG10(INDEX(FX_Input,Z$5,M$3*$Z$5+$AA$5))-(1.854-(1042/(M1853+459.6)))*(INDEX(FX_Input,Z$5,M$3*$Z$5+$AA$5-1)^0.5)+((2416/(M1853+459.6)-2.013)*LOG10(INDEX(FX_Input,Z$5,M$3*$Z$5+$AA$5)))-(8742/(M1853+459.6))+15.64),EXP(INDEX(Antoines,MATCH(M1844,Antoine_Name,0),2)-INDEX(Antoines,MATCH(M1844,Antoine_Name,0),3)/(M1853+459.6))))),0)</f>
        <v>7.8038704244406936E-3</v>
      </c>
      <c r="N1860" cm="1">
        <f t="array" ref="N1860">IFERROR(IF(N1845="Chemical",(10^(INDEX(Antoines,MATCH(N1844,Antoine_Name,0),2)-INDEX(Antoines,MATCH(N1844,Antoine_Name,0),3)/(INDEX(Antoines,MATCH(N1844,Antoine_Name,0),4)+(N1853-32)*5/9)))*14.7/760,IF(N1845="Crude Oil",EXP((2799/(N1853+459.6)-2.227)*LOG10(INDEX(FX_Input,AA$5,N$3*$Z$5+$AA$5))-(7261/(N1853+459.6))+12.82),IF(N1845="Refined Petroleum Stock",EXP((0.7553-(413/(N1853+459.6)))*(INDEX(FX_Input,AA$5,N$3*$Z$5+$AA$5-1)^0.5)*LOG10(INDEX(FX_Input,AA$5,N$3*$Z$5+$AA$5))-(1.854-(1042/(N1853+459.6)))*(INDEX(FX_Input,AA$5,N$3*$Z$5+$AA$5-1)^0.5)+((2416/(N1853+459.6)-2.013)*LOG10(INDEX(FX_Input,AA$5,N$3*$Z$5+$AA$5)))-(8742/(N1853+459.6))+15.64),EXP(INDEX(Antoines,MATCH(N1844,Antoine_Name,0),2)-INDEX(Antoines,MATCH(N1844,Antoine_Name,0),3)/(N1853+459.6))))),0)</f>
        <v>6.0827945693034263E-3</v>
      </c>
      <c r="O1860" cm="1">
        <f t="array" ref="O1860">IFERROR(IF(O1845="Chemical",(10^(INDEX(Antoines,MATCH(O1844,Antoine_Name,0),2)-INDEX(Antoines,MATCH(O1844,Antoine_Name,0),3)/(INDEX(Antoines,MATCH(O1844,Antoine_Name,0),4)+(O1853-32)*5/9)))*14.7/760,IF(O1845="Crude Oil",EXP((2799/(O1853+459.6)-2.227)*LOG10(INDEX(FX_Input,AB$5,O$3*$Z$5+$AA$5))-(7261/(O1853+459.6))+12.82),IF(O1845="Refined Petroleum Stock",EXP((0.7553-(413/(O1853+459.6)))*(INDEX(FX_Input,AB$5,O$3*$Z$5+$AA$5-1)^0.5)*LOG10(INDEX(FX_Input,AB$5,O$3*$Z$5+$AA$5))-(1.854-(1042/(O1853+459.6)))*(INDEX(FX_Input,AB$5,O$3*$Z$5+$AA$5-1)^0.5)+((2416/(O1853+459.6)-2.013)*LOG10(INDEX(FX_Input,AB$5,O$3*$Z$5+$AA$5)))-(8742/(O1853+459.6))+15.64),EXP(INDEX(Antoines,MATCH(O1844,Antoine_Name,0),2)-INDEX(Antoines,MATCH(O1844,Antoine_Name,0),3)/(O1853+459.6))))),0)</f>
        <v>5.2448123115675692E-3</v>
      </c>
    </row>
    <row r="1861" spans="2:15" ht="17.149999999999999" x14ac:dyDescent="0.55000000000000004">
      <c r="B1861" t="str">
        <f t="shared" si="6804"/>
        <v>Portland</v>
      </c>
      <c r="C1861" t="s">
        <v>580</v>
      </c>
      <c r="D1861">
        <f>D1860*D1848</f>
        <v>5.3446173929904582E-3</v>
      </c>
      <c r="E1861">
        <f t="shared" ref="E1861" si="6838">E1860*E1848</f>
        <v>5.8020727825229086E-3</v>
      </c>
      <c r="F1861">
        <f t="shared" ref="F1861" si="6839">F1860*F1848</f>
        <v>6.3194597984808799E-3</v>
      </c>
      <c r="G1861">
        <f t="shared" ref="G1861" si="6840">G1860*G1848</f>
        <v>7.2400469002136831E-3</v>
      </c>
      <c r="H1861">
        <f t="shared" ref="H1861" si="6841">H1860*H1848</f>
        <v>8.7355319390561535E-3</v>
      </c>
      <c r="I1861">
        <f t="shared" ref="I1861" si="6842">I1860*I1848</f>
        <v>9.9506270401879347E-3</v>
      </c>
      <c r="J1861">
        <f t="shared" ref="J1861" si="6843">J1860*J1848</f>
        <v>1.1263733235793187E-2</v>
      </c>
      <c r="K1861">
        <f t="shared" ref="K1861" si="6844">K1860*K1848</f>
        <v>1.1184292386672267E-2</v>
      </c>
      <c r="L1861">
        <f t="shared" ref="L1861" si="6845">L1860*L1848</f>
        <v>1.0188141542731273E-2</v>
      </c>
      <c r="M1861">
        <f t="shared" ref="M1861" si="6846">M1860*M1848</f>
        <v>7.8038704244406936E-3</v>
      </c>
      <c r="N1861">
        <f t="shared" ref="N1861" si="6847">N1860*N1848</f>
        <v>6.0827945693034263E-3</v>
      </c>
      <c r="O1861">
        <f t="shared" ref="O1861" si="6848">O1860*O1848</f>
        <v>5.2448123115675692E-3</v>
      </c>
    </row>
    <row r="1862" spans="2:15" ht="17.149999999999999" x14ac:dyDescent="0.55000000000000004">
      <c r="B1862" t="str">
        <f t="shared" si="6804"/>
        <v>Portland</v>
      </c>
      <c r="C1862" t="s">
        <v>581</v>
      </c>
      <c r="D1862" cm="1">
        <f t="array" ref="D1862">IFERROR(IF(D1847="Chemical",(10^(INDEX(Antoines,MATCH(D1846,Antoine_Name,0),2)-INDEX(Antoines,MATCH(D1846,Antoine_Name,0),3)/(INDEX(Antoines,MATCH(D1846,Antoine_Name,0),4)+(D1853-32)*5/9)))*14.7/760,IF(D1847="Crude Oil",EXP((2799/(D1853+459.6)-2.227)*LOG10(INDEX(FX_Input,Q$5,D$3*$Z$5+$AA$5))-(7261/(D1853+459.6))+12.82),IF(D1847="Refined Petroleum Stock",EXP((0.7553-(413/(D1853+459.6)))*(INDEX(FX_Input,Q$5,D$3*$Z$5+$AA$5-1)^0.5)*LOG10(INDEX(FX_Input,Q$5,D$3*$Z$5+$AA$5))-(1.854-(1042/(D1853+459.6)))*(INDEX(FX_Input,Q$5,D$3*$Z$5+$AA$5-1)^0.5)+((2416/(D1853+459.6)-2.013)*LOG10(INDEX(FX_Input,Q$5,D$3*$Z$5+$AA$5)))-(8742/(D1853+459.6))+15.64),EXP(INDEX(Antoines,MATCH(D1846,Antoine_Name,0),2)-INDEX(Antoines,MATCH(D1846,Antoine_Name,0),3)/(D1853+459.6))))),0)</f>
        <v>0</v>
      </c>
      <c r="E1862" cm="1">
        <f t="array" ref="E1862">IFERROR(IF(E1847="Chemical",(10^(INDEX(Antoines,MATCH(E1846,Antoine_Name,0),2)-INDEX(Antoines,MATCH(E1846,Antoine_Name,0),3)/(INDEX(Antoines,MATCH(E1846,Antoine_Name,0),4)+(E1853-32)*5/9)))*14.7/760,IF(E1847="Crude Oil",EXP((2799/(E1853+459.6)-2.227)*LOG10(INDEX(FX_Input,R$5,E$3*$Z$5+$AA$5))-(7261/(E1853+459.6))+12.82),IF(E1847="Refined Petroleum Stock",EXP((0.7553-(413/(E1853+459.6)))*(INDEX(FX_Input,R$5,E$3*$Z$5+$AA$5-1)^0.5)*LOG10(INDEX(FX_Input,R$5,E$3*$Z$5+$AA$5))-(1.854-(1042/(E1853+459.6)))*(INDEX(FX_Input,R$5,E$3*$Z$5+$AA$5-1)^0.5)+((2416/(E1853+459.6)-2.013)*LOG10(INDEX(FX_Input,R$5,E$3*$Z$5+$AA$5)))-(8742/(E1853+459.6))+15.64),EXP(INDEX(Antoines,MATCH(E1846,Antoine_Name,0),2)-INDEX(Antoines,MATCH(E1846,Antoine_Name,0),3)/(E1853+459.6))))),0)</f>
        <v>0</v>
      </c>
      <c r="F1862" cm="1">
        <f t="array" ref="F1862">IFERROR(IF(F1847="Chemical",(10^(INDEX(Antoines,MATCH(F1846,Antoine_Name,0),2)-INDEX(Antoines,MATCH(F1846,Antoine_Name,0),3)/(INDEX(Antoines,MATCH(F1846,Antoine_Name,0),4)+(F1853-32)*5/9)))*14.7/760,IF(F1847="Crude Oil",EXP((2799/(F1853+459.6)-2.227)*LOG10(INDEX(FX_Input,S$5,F$3*$Z$5+$AA$5))-(7261/(F1853+459.6))+12.82),IF(F1847="Refined Petroleum Stock",EXP((0.7553-(413/(F1853+459.6)))*(INDEX(FX_Input,S$5,F$3*$Z$5+$AA$5-1)^0.5)*LOG10(INDEX(FX_Input,S$5,F$3*$Z$5+$AA$5))-(1.854-(1042/(F1853+459.6)))*(INDEX(FX_Input,S$5,F$3*$Z$5+$AA$5-1)^0.5)+((2416/(F1853+459.6)-2.013)*LOG10(INDEX(FX_Input,S$5,F$3*$Z$5+$AA$5)))-(8742/(F1853+459.6))+15.64),EXP(INDEX(Antoines,MATCH(F1846,Antoine_Name,0),2)-INDEX(Antoines,MATCH(F1846,Antoine_Name,0),3)/(F1853+459.6))))),0)</f>
        <v>0</v>
      </c>
      <c r="G1862" cm="1">
        <f t="array" ref="G1862">IFERROR(IF(G1847="Chemical",(10^(INDEX(Antoines,MATCH(G1846,Antoine_Name,0),2)-INDEX(Antoines,MATCH(G1846,Antoine_Name,0),3)/(INDEX(Antoines,MATCH(G1846,Antoine_Name,0),4)+(G1853-32)*5/9)))*14.7/760,IF(G1847="Crude Oil",EXP((2799/(G1853+459.6)-2.227)*LOG10(INDEX(FX_Input,T$5,G$3*$Z$5+$AA$5))-(7261/(G1853+459.6))+12.82),IF(G1847="Refined Petroleum Stock",EXP((0.7553-(413/(G1853+459.6)))*(INDEX(FX_Input,T$5,G$3*$Z$5+$AA$5-1)^0.5)*LOG10(INDEX(FX_Input,T$5,G$3*$Z$5+$AA$5))-(1.854-(1042/(G1853+459.6)))*(INDEX(FX_Input,T$5,G$3*$Z$5+$AA$5-1)^0.5)+((2416/(G1853+459.6)-2.013)*LOG10(INDEX(FX_Input,T$5,G$3*$Z$5+$AA$5)))-(8742/(G1853+459.6))+15.64),EXP(INDEX(Antoines,MATCH(G1846,Antoine_Name,0),2)-INDEX(Antoines,MATCH(G1846,Antoine_Name,0),3)/(G1853+459.6))))),0)</f>
        <v>0</v>
      </c>
      <c r="H1862" cm="1">
        <f t="array" ref="H1862">IFERROR(IF(H1847="Chemical",(10^(INDEX(Antoines,MATCH(H1846,Antoine_Name,0),2)-INDEX(Antoines,MATCH(H1846,Antoine_Name,0),3)/(INDEX(Antoines,MATCH(H1846,Antoine_Name,0),4)+(H1853-32)*5/9)))*14.7/760,IF(H1847="Crude Oil",EXP((2799/(H1853+459.6)-2.227)*LOG10(INDEX(FX_Input,U$5,H$3*$Z$5+$AA$5))-(7261/(H1853+459.6))+12.82),IF(H1847="Refined Petroleum Stock",EXP((0.7553-(413/(H1853+459.6)))*(INDEX(FX_Input,U$5,H$3*$Z$5+$AA$5-1)^0.5)*LOG10(INDEX(FX_Input,U$5,H$3*$Z$5+$AA$5))-(1.854-(1042/(H1853+459.6)))*(INDEX(FX_Input,U$5,H$3*$Z$5+$AA$5-1)^0.5)+((2416/(H1853+459.6)-2.013)*LOG10(INDEX(FX_Input,U$5,H$3*$Z$5+$AA$5)))-(8742/(H1853+459.6))+15.64),EXP(INDEX(Antoines,MATCH(H1846,Antoine_Name,0),2)-INDEX(Antoines,MATCH(H1846,Antoine_Name,0),3)/(H1853+459.6))))),0)</f>
        <v>0</v>
      </c>
      <c r="I1862" cm="1">
        <f t="array" ref="I1862">IFERROR(IF(I1847="Chemical",(10^(INDEX(Antoines,MATCH(I1846,Antoine_Name,0),2)-INDEX(Antoines,MATCH(I1846,Antoine_Name,0),3)/(INDEX(Antoines,MATCH(I1846,Antoine_Name,0),4)+(I1853-32)*5/9)))*14.7/760,IF(I1847="Crude Oil",EXP((2799/(I1853+459.6)-2.227)*LOG10(INDEX(FX_Input,V$5,I$3*$Z$5+$AA$5))-(7261/(I1853+459.6))+12.82),IF(I1847="Refined Petroleum Stock",EXP((0.7553-(413/(I1853+459.6)))*(INDEX(FX_Input,V$5,I$3*$Z$5+$AA$5-1)^0.5)*LOG10(INDEX(FX_Input,V$5,I$3*$Z$5+$AA$5))-(1.854-(1042/(I1853+459.6)))*(INDEX(FX_Input,V$5,I$3*$Z$5+$AA$5-1)^0.5)+((2416/(I1853+459.6)-2.013)*LOG10(INDEX(FX_Input,V$5,I$3*$Z$5+$AA$5)))-(8742/(I1853+459.6))+15.64),EXP(INDEX(Antoines,MATCH(I1846,Antoine_Name,0),2)-INDEX(Antoines,MATCH(I1846,Antoine_Name,0),3)/(I1853+459.6))))),0)</f>
        <v>0</v>
      </c>
      <c r="J1862" cm="1">
        <f t="array" ref="J1862">IFERROR(IF(J1847="Chemical",(10^(INDEX(Antoines,MATCH(J1846,Antoine_Name,0),2)-INDEX(Antoines,MATCH(J1846,Antoine_Name,0),3)/(INDEX(Antoines,MATCH(J1846,Antoine_Name,0),4)+(J1853-32)*5/9)))*14.7/760,IF(J1847="Crude Oil",EXP((2799/(J1853+459.6)-2.227)*LOG10(INDEX(FX_Input,W$5,J$3*$Z$5+$AA$5))-(7261/(J1853+459.6))+12.82),IF(J1847="Refined Petroleum Stock",EXP((0.7553-(413/(J1853+459.6)))*(INDEX(FX_Input,W$5,J$3*$Z$5+$AA$5-1)^0.5)*LOG10(INDEX(FX_Input,W$5,J$3*$Z$5+$AA$5))-(1.854-(1042/(J1853+459.6)))*(INDEX(FX_Input,W$5,J$3*$Z$5+$AA$5-1)^0.5)+((2416/(J1853+459.6)-2.013)*LOG10(INDEX(FX_Input,W$5,J$3*$Z$5+$AA$5)))-(8742/(J1853+459.6))+15.64),EXP(INDEX(Antoines,MATCH(J1846,Antoine_Name,0),2)-INDEX(Antoines,MATCH(J1846,Antoine_Name,0),3)/(J1853+459.6))))),0)</f>
        <v>0</v>
      </c>
      <c r="K1862" cm="1">
        <f t="array" ref="K1862">IFERROR(IF(K1847="Chemical",(10^(INDEX(Antoines,MATCH(K1846,Antoine_Name,0),2)-INDEX(Antoines,MATCH(K1846,Antoine_Name,0),3)/(INDEX(Antoines,MATCH(K1846,Antoine_Name,0),4)+(K1853-32)*5/9)))*14.7/760,IF(K1847="Crude Oil",EXP((2799/(K1853+459.6)-2.227)*LOG10(INDEX(FX_Input,X$5,K$3*$Z$5+$AA$5))-(7261/(K1853+459.6))+12.82),IF(K1847="Refined Petroleum Stock",EXP((0.7553-(413/(K1853+459.6)))*(INDEX(FX_Input,X$5,K$3*$Z$5+$AA$5-1)^0.5)*LOG10(INDEX(FX_Input,X$5,K$3*$Z$5+$AA$5))-(1.854-(1042/(K1853+459.6)))*(INDEX(FX_Input,X$5,K$3*$Z$5+$AA$5-1)^0.5)+((2416/(K1853+459.6)-2.013)*LOG10(INDEX(FX_Input,X$5,K$3*$Z$5+$AA$5)))-(8742/(K1853+459.6))+15.64),EXP(INDEX(Antoines,MATCH(K1846,Antoine_Name,0),2)-INDEX(Antoines,MATCH(K1846,Antoine_Name,0),3)/(K1853+459.6))))),0)</f>
        <v>0</v>
      </c>
      <c r="L1862" cm="1">
        <f t="array" ref="L1862">IFERROR(IF(L1847="Chemical",(10^(INDEX(Antoines,MATCH(L1846,Antoine_Name,0),2)-INDEX(Antoines,MATCH(L1846,Antoine_Name,0),3)/(INDEX(Antoines,MATCH(L1846,Antoine_Name,0),4)+(L1853-32)*5/9)))*14.7/760,IF(L1847="Crude Oil",EXP((2799/(L1853+459.6)-2.227)*LOG10(INDEX(FX_Input,Y$5,L$3*$Z$5+$AA$5))-(7261/(L1853+459.6))+12.82),IF(L1847="Refined Petroleum Stock",EXP((0.7553-(413/(L1853+459.6)))*(INDEX(FX_Input,Y$5,L$3*$Z$5+$AA$5-1)^0.5)*LOG10(INDEX(FX_Input,Y$5,L$3*$Z$5+$AA$5))-(1.854-(1042/(L1853+459.6)))*(INDEX(FX_Input,Y$5,L$3*$Z$5+$AA$5-1)^0.5)+((2416/(L1853+459.6)-2.013)*LOG10(INDEX(FX_Input,Y$5,L$3*$Z$5+$AA$5)))-(8742/(L1853+459.6))+15.64),EXP(INDEX(Antoines,MATCH(L1846,Antoine_Name,0),2)-INDEX(Antoines,MATCH(L1846,Antoine_Name,0),3)/(L1853+459.6))))),0)</f>
        <v>0</v>
      </c>
      <c r="M1862" cm="1">
        <f t="array" ref="M1862">IFERROR(IF(M1847="Chemical",(10^(INDEX(Antoines,MATCH(M1846,Antoine_Name,0),2)-INDEX(Antoines,MATCH(M1846,Antoine_Name,0),3)/(INDEX(Antoines,MATCH(M1846,Antoine_Name,0),4)+(M1853-32)*5/9)))*14.7/760,IF(M1847="Crude Oil",EXP((2799/(M1853+459.6)-2.227)*LOG10(INDEX(FX_Input,Z$5,M$3*$Z$5+$AA$5))-(7261/(M1853+459.6))+12.82),IF(M1847="Refined Petroleum Stock",EXP((0.7553-(413/(M1853+459.6)))*(INDEX(FX_Input,Z$5,M$3*$Z$5+$AA$5-1)^0.5)*LOG10(INDEX(FX_Input,Z$5,M$3*$Z$5+$AA$5))-(1.854-(1042/(M1853+459.6)))*(INDEX(FX_Input,Z$5,M$3*$Z$5+$AA$5-1)^0.5)+((2416/(M1853+459.6)-2.013)*LOG10(INDEX(FX_Input,Z$5,M$3*$Z$5+$AA$5)))-(8742/(M1853+459.6))+15.64),EXP(INDEX(Antoines,MATCH(M1846,Antoine_Name,0),2)-INDEX(Antoines,MATCH(M1846,Antoine_Name,0),3)/(M1853+459.6))))),0)</f>
        <v>0</v>
      </c>
      <c r="N1862" cm="1">
        <f t="array" ref="N1862">IFERROR(IF(N1847="Chemical",(10^(INDEX(Antoines,MATCH(N1846,Antoine_Name,0),2)-INDEX(Antoines,MATCH(N1846,Antoine_Name,0),3)/(INDEX(Antoines,MATCH(N1846,Antoine_Name,0),4)+(N1853-32)*5/9)))*14.7/760,IF(N1847="Crude Oil",EXP((2799/(N1853+459.6)-2.227)*LOG10(INDEX(FX_Input,AA$5,N$3*$Z$5+$AA$5))-(7261/(N1853+459.6))+12.82),IF(N1847="Refined Petroleum Stock",EXP((0.7553-(413/(N1853+459.6)))*(INDEX(FX_Input,AA$5,N$3*$Z$5+$AA$5-1)^0.5)*LOG10(INDEX(FX_Input,AA$5,N$3*$Z$5+$AA$5))-(1.854-(1042/(N1853+459.6)))*(INDEX(FX_Input,AA$5,N$3*$Z$5+$AA$5-1)^0.5)+((2416/(N1853+459.6)-2.013)*LOG10(INDEX(FX_Input,AA$5,N$3*$Z$5+$AA$5)))-(8742/(N1853+459.6))+15.64),EXP(INDEX(Antoines,MATCH(N1846,Antoine_Name,0),2)-INDEX(Antoines,MATCH(N1846,Antoine_Name,0),3)/(N1853+459.6))))),0)</f>
        <v>0</v>
      </c>
      <c r="O1862" cm="1">
        <f t="array" ref="O1862">IFERROR(IF(O1847="Chemical",(10^(INDEX(Antoines,MATCH(O1846,Antoine_Name,0),2)-INDEX(Antoines,MATCH(O1846,Antoine_Name,0),3)/(INDEX(Antoines,MATCH(O1846,Antoine_Name,0),4)+(O1853-32)*5/9)))*14.7/760,IF(O1847="Crude Oil",EXP((2799/(O1853+459.6)-2.227)*LOG10(INDEX(FX_Input,AB$5,O$3*$Z$5+$AA$5))-(7261/(O1853+459.6))+12.82),IF(O1847="Refined Petroleum Stock",EXP((0.7553-(413/(O1853+459.6)))*(INDEX(FX_Input,AB$5,O$3*$Z$5+$AA$5-1)^0.5)*LOG10(INDEX(FX_Input,AB$5,O$3*$Z$5+$AA$5))-(1.854-(1042/(O1853+459.6)))*(INDEX(FX_Input,AB$5,O$3*$Z$5+$AA$5-1)^0.5)+((2416/(O1853+459.6)-2.013)*LOG10(INDEX(FX_Input,AB$5,O$3*$Z$5+$AA$5)))-(8742/(O1853+459.6))+15.64),EXP(INDEX(Antoines,MATCH(O1846,Antoine_Name,0),2)-INDEX(Antoines,MATCH(O1846,Antoine_Name,0),3)/(O1853+459.6))))),0)</f>
        <v>0</v>
      </c>
    </row>
    <row r="1863" spans="2:15" ht="17.149999999999999" x14ac:dyDescent="0.55000000000000004">
      <c r="B1863" t="str">
        <f t="shared" si="6804"/>
        <v>Portland</v>
      </c>
      <c r="C1863" t="s">
        <v>582</v>
      </c>
      <c r="D1863">
        <f>D1862*D1850</f>
        <v>0</v>
      </c>
      <c r="E1863">
        <f t="shared" ref="E1863" si="6849">E1862*E1850</f>
        <v>0</v>
      </c>
      <c r="F1863">
        <f t="shared" ref="F1863" si="6850">F1862*F1850</f>
        <v>0</v>
      </c>
      <c r="G1863">
        <f t="shared" ref="G1863" si="6851">G1862*G1850</f>
        <v>0</v>
      </c>
      <c r="H1863">
        <f t="shared" ref="H1863" si="6852">H1862*H1850</f>
        <v>0</v>
      </c>
      <c r="I1863">
        <f t="shared" ref="I1863" si="6853">I1862*I1850</f>
        <v>0</v>
      </c>
      <c r="J1863">
        <f t="shared" ref="J1863" si="6854">J1862*J1850</f>
        <v>0</v>
      </c>
      <c r="K1863">
        <f t="shared" ref="K1863" si="6855">K1862*K1850</f>
        <v>0</v>
      </c>
      <c r="L1863">
        <f t="shared" ref="L1863" si="6856">L1862*L1850</f>
        <v>0</v>
      </c>
      <c r="M1863">
        <f t="shared" ref="M1863" si="6857">M1862*M1850</f>
        <v>0</v>
      </c>
      <c r="N1863">
        <f t="shared" ref="N1863" si="6858">N1862*N1850</f>
        <v>0</v>
      </c>
      <c r="O1863">
        <f t="shared" ref="O1863" si="6859">O1862*O1850</f>
        <v>0</v>
      </c>
    </row>
    <row r="1864" spans="2:15" ht="17.149999999999999" x14ac:dyDescent="0.55000000000000004">
      <c r="B1864" t="str">
        <f t="shared" si="6804"/>
        <v>Portland</v>
      </c>
      <c r="C1864" t="s">
        <v>583</v>
      </c>
      <c r="D1864">
        <f>D1861+D1863</f>
        <v>5.3446173929904582E-3</v>
      </c>
      <c r="E1864">
        <f t="shared" ref="E1864" si="6860">E1861+E1863</f>
        <v>5.8020727825229086E-3</v>
      </c>
      <c r="F1864">
        <f t="shared" ref="F1864" si="6861">F1861+F1863</f>
        <v>6.3194597984808799E-3</v>
      </c>
      <c r="G1864">
        <f t="shared" ref="G1864" si="6862">G1861+G1863</f>
        <v>7.2400469002136831E-3</v>
      </c>
      <c r="H1864">
        <f t="shared" ref="H1864" si="6863">H1861+H1863</f>
        <v>8.7355319390561535E-3</v>
      </c>
      <c r="I1864">
        <f t="shared" ref="I1864" si="6864">I1861+I1863</f>
        <v>9.9506270401879347E-3</v>
      </c>
      <c r="J1864">
        <f t="shared" ref="J1864" si="6865">J1861+J1863</f>
        <v>1.1263733235793187E-2</v>
      </c>
      <c r="K1864">
        <f t="shared" ref="K1864" si="6866">K1861+K1863</f>
        <v>1.1184292386672267E-2</v>
      </c>
      <c r="L1864">
        <f t="shared" ref="L1864" si="6867">L1861+L1863</f>
        <v>1.0188141542731273E-2</v>
      </c>
      <c r="M1864">
        <f t="shared" ref="M1864" si="6868">M1861+M1863</f>
        <v>7.8038704244406936E-3</v>
      </c>
      <c r="N1864">
        <f t="shared" ref="N1864" si="6869">N1861+N1863</f>
        <v>6.0827945693034263E-3</v>
      </c>
      <c r="O1864">
        <f t="shared" ref="O1864" si="6870">O1861+O1863</f>
        <v>5.2448123115675692E-3</v>
      </c>
    </row>
    <row r="1865" spans="2:15" ht="17.149999999999999" x14ac:dyDescent="0.55000000000000004">
      <c r="B1865" t="str">
        <f t="shared" si="6804"/>
        <v>Portland</v>
      </c>
      <c r="C1865" t="s">
        <v>1388</v>
      </c>
      <c r="D1865" cm="1">
        <f t="array" ref="D1865">IFERROR(IF(D1845="Chemical",(10^(INDEX(Antoines,MATCH(D1844,Antoine_Name,0),2)-INDEX(Antoines,MATCH(D1844,Antoine_Name,0),3)/(INDEX(Antoines,MATCH(D1844,Antoine_Name,0),4)+(D1854-32)*5/9)))*14.7/760,IF(D1845="Crude Oil",EXP((2799/(D1854+459.6)-2.227)*LOG10(INDEX(FX_Input,Q$5,D$3*$Z$5+$AA$5))-(7261/(D1854+459.6))+12.82),IF(D1845="Refined Petroleum Stock",EXP((0.7553-(413/(D1854+459.6)))*(INDEX(FX_Input,Q$5,D$3*$Z$5+$AA$5-1)^0.5)*LOG10(INDEX(FX_Input,Q$5,D$3*$Z$5+$AA$5))-(1.854-(1042/(D1854+459.6)))*(INDEX(FX_Input,Q$5,D$3*$Z$5+$AA$5-1)^0.5)+((2416/(D1854+459.6)-2.013)*LOG10(INDEX(FX_Input,Q$5,D$3*$Z$5+$AA$5)))-(8742/(D1854+459.6))+15.64),EXP(INDEX(Antoines,MATCH(D1844,Antoine_Name,0),2)-INDEX(Antoines,MATCH(D1844,Antoine_Name,0),3)/(D1854+459.6))))),0)</f>
        <v>5.0788096823034274E-3</v>
      </c>
      <c r="E1865" cm="1">
        <f t="array" ref="E1865">IFERROR(IF(E1845="Chemical",(10^(INDEX(Antoines,MATCH(E1844,Antoine_Name,0),2)-INDEX(Antoines,MATCH(E1844,Antoine_Name,0),3)/(INDEX(Antoines,MATCH(E1844,Antoine_Name,0),4)+(E1854-32)*5/9)))*14.7/760,IF(E1845="Crude Oil",EXP((2799/(E1854+459.6)-2.227)*LOG10(INDEX(FX_Input,R$5,E$3*$Z$5+$AA$5))-(7261/(E1854+459.6))+12.82),IF(E1845="Refined Petroleum Stock",EXP((0.7553-(413/(E1854+459.6)))*(INDEX(FX_Input,R$5,E$3*$Z$5+$AA$5-1)^0.5)*LOG10(INDEX(FX_Input,R$5,E$3*$Z$5+$AA$5))-(1.854-(1042/(E1854+459.6)))*(INDEX(FX_Input,R$5,E$3*$Z$5+$AA$5-1)^0.5)+((2416/(E1854+459.6)-2.013)*LOG10(INDEX(FX_Input,R$5,E$3*$Z$5+$AA$5)))-(8742/(E1854+459.6))+15.64),EXP(INDEX(Antoines,MATCH(E1844,Antoine_Name,0),2)-INDEX(Antoines,MATCH(E1844,Antoine_Name,0),3)/(E1854+459.6))))),0)</f>
        <v>5.4974545080270654E-3</v>
      </c>
      <c r="F1865" cm="1">
        <f t="array" ref="F1865">IFERROR(IF(F1845="Chemical",(10^(INDEX(Antoines,MATCH(F1844,Antoine_Name,0),2)-INDEX(Antoines,MATCH(F1844,Antoine_Name,0),3)/(INDEX(Antoines,MATCH(F1844,Antoine_Name,0),4)+(F1854-32)*5/9)))*14.7/760,IF(F1845="Crude Oil",EXP((2799/(F1854+459.6)-2.227)*LOG10(INDEX(FX_Input,S$5,F$3*$Z$5+$AA$5))-(7261/(F1854+459.6))+12.82),IF(F1845="Refined Petroleum Stock",EXP((0.7553-(413/(F1854+459.6)))*(INDEX(FX_Input,S$5,F$3*$Z$5+$AA$5-1)^0.5)*LOG10(INDEX(FX_Input,S$5,F$3*$Z$5+$AA$5))-(1.854-(1042/(F1854+459.6)))*(INDEX(FX_Input,S$5,F$3*$Z$5+$AA$5-1)^0.5)+((2416/(F1854+459.6)-2.013)*LOG10(INDEX(FX_Input,S$5,F$3*$Z$5+$AA$5)))-(8742/(F1854+459.6))+15.64),EXP(INDEX(Antoines,MATCH(F1844,Antoine_Name,0),2)-INDEX(Antoines,MATCH(F1844,Antoine_Name,0),3)/(F1854+459.6))))),0)</f>
        <v>6.0939776204352973E-3</v>
      </c>
      <c r="G1865" cm="1">
        <f t="array" ref="G1865">IFERROR(IF(G1845="Chemical",(10^(INDEX(Antoines,MATCH(G1844,Antoine_Name,0),2)-INDEX(Antoines,MATCH(G1844,Antoine_Name,0),3)/(INDEX(Antoines,MATCH(G1844,Antoine_Name,0),4)+(G1854-32)*5/9)))*14.7/760,IF(G1845="Crude Oil",EXP((2799/(G1854+459.6)-2.227)*LOG10(INDEX(FX_Input,T$5,G$3*$Z$5+$AA$5))-(7261/(G1854+459.6))+12.82),IF(G1845="Refined Petroleum Stock",EXP((0.7553-(413/(G1854+459.6)))*(INDEX(FX_Input,T$5,G$3*$Z$5+$AA$5-1)^0.5)*LOG10(INDEX(FX_Input,T$5,G$3*$Z$5+$AA$5))-(1.854-(1042/(G1854+459.6)))*(INDEX(FX_Input,T$5,G$3*$Z$5+$AA$5-1)^0.5)+((2416/(G1854+459.6)-2.013)*LOG10(INDEX(FX_Input,T$5,G$3*$Z$5+$AA$5)))-(8742/(G1854+459.6))+15.64),EXP(INDEX(Antoines,MATCH(G1844,Antoine_Name,0),2)-INDEX(Antoines,MATCH(G1844,Antoine_Name,0),3)/(G1854+459.6))))),0)</f>
        <v>7.1364512548726224E-3</v>
      </c>
      <c r="H1865" cm="1">
        <f t="array" ref="H1865">IFERROR(IF(H1845="Chemical",(10^(INDEX(Antoines,MATCH(H1844,Antoine_Name,0),2)-INDEX(Antoines,MATCH(H1844,Antoine_Name,0),3)/(INDEX(Antoines,MATCH(H1844,Antoine_Name,0),4)+(H1854-32)*5/9)))*14.7/760,IF(H1845="Crude Oil",EXP((2799/(H1854+459.6)-2.227)*LOG10(INDEX(FX_Input,U$5,H$3*$Z$5+$AA$5))-(7261/(H1854+459.6))+12.82),IF(H1845="Refined Petroleum Stock",EXP((0.7553-(413/(H1854+459.6)))*(INDEX(FX_Input,U$5,H$3*$Z$5+$AA$5-1)^0.5)*LOG10(INDEX(FX_Input,U$5,H$3*$Z$5+$AA$5))-(1.854-(1042/(H1854+459.6)))*(INDEX(FX_Input,U$5,H$3*$Z$5+$AA$5-1)^0.5)+((2416/(H1854+459.6)-2.013)*LOG10(INDEX(FX_Input,U$5,H$3*$Z$5+$AA$5)))-(8742/(H1854+459.6))+15.64),EXP(INDEX(Antoines,MATCH(H1844,Antoine_Name,0),2)-INDEX(Antoines,MATCH(H1844,Antoine_Name,0),3)/(H1854+459.6))))),0)</f>
        <v>8.765284653116507E-3</v>
      </c>
      <c r="I1865" cm="1">
        <f t="array" ref="I1865">IFERROR(IF(I1845="Chemical",(10^(INDEX(Antoines,MATCH(I1844,Antoine_Name,0),2)-INDEX(Antoines,MATCH(I1844,Antoine_Name,0),3)/(INDEX(Antoines,MATCH(I1844,Antoine_Name,0),4)+(I1854-32)*5/9)))*14.7/760,IF(I1845="Crude Oil",EXP((2799/(I1854+459.6)-2.227)*LOG10(INDEX(FX_Input,V$5,I$3*$Z$5+$AA$5))-(7261/(I1854+459.6))+12.82),IF(I1845="Refined Petroleum Stock",EXP((0.7553-(413/(I1854+459.6)))*(INDEX(FX_Input,V$5,I$3*$Z$5+$AA$5-1)^0.5)*LOG10(INDEX(FX_Input,V$5,I$3*$Z$5+$AA$5))-(1.854-(1042/(I1854+459.6)))*(INDEX(FX_Input,V$5,I$3*$Z$5+$AA$5-1)^0.5)+((2416/(I1854+459.6)-2.013)*LOG10(INDEX(FX_Input,V$5,I$3*$Z$5+$AA$5)))-(8742/(I1854+459.6))+15.64),EXP(INDEX(Antoines,MATCH(I1844,Antoine_Name,0),2)-INDEX(Antoines,MATCH(I1844,Antoine_Name,0),3)/(I1854+459.6))))),0)</f>
        <v>1.0088391497030216E-2</v>
      </c>
      <c r="J1865" cm="1">
        <f t="array" ref="J1865">IFERROR(IF(J1845="Chemical",(10^(INDEX(Antoines,MATCH(J1844,Antoine_Name,0),2)-INDEX(Antoines,MATCH(J1844,Antoine_Name,0),3)/(INDEX(Antoines,MATCH(J1844,Antoine_Name,0),4)+(J1854-32)*5/9)))*14.7/760,IF(J1845="Crude Oil",EXP((2799/(J1854+459.6)-2.227)*LOG10(INDEX(FX_Input,W$5,J$3*$Z$5+$AA$5))-(7261/(J1854+459.6))+12.82),IF(J1845="Refined Petroleum Stock",EXP((0.7553-(413/(J1854+459.6)))*(INDEX(FX_Input,W$5,J$3*$Z$5+$AA$5-1)^0.5)*LOG10(INDEX(FX_Input,W$5,J$3*$Z$5+$AA$5))-(1.854-(1042/(J1854+459.6)))*(INDEX(FX_Input,W$5,J$3*$Z$5+$AA$5-1)^0.5)+((2416/(J1854+459.6)-2.013)*LOG10(INDEX(FX_Input,W$5,J$3*$Z$5+$AA$5)))-(8742/(J1854+459.6))+15.64),EXP(INDEX(Antoines,MATCH(J1844,Antoine_Name,0),2)-INDEX(Antoines,MATCH(J1844,Antoine_Name,0),3)/(J1854+459.6))))),0)</f>
        <v>1.1455846008049875E-2</v>
      </c>
      <c r="K1865" cm="1">
        <f t="array" ref="K1865">IFERROR(IF(K1845="Chemical",(10^(INDEX(Antoines,MATCH(K1844,Antoine_Name,0),2)-INDEX(Antoines,MATCH(K1844,Antoine_Name,0),3)/(INDEX(Antoines,MATCH(K1844,Antoine_Name,0),4)+(K1854-32)*5/9)))*14.7/760,IF(K1845="Crude Oil",EXP((2799/(K1854+459.6)-2.227)*LOG10(INDEX(FX_Input,X$5,K$3*$Z$5+$AA$5))-(7261/(K1854+459.6))+12.82),IF(K1845="Refined Petroleum Stock",EXP((0.7553-(413/(K1854+459.6)))*(INDEX(FX_Input,X$5,K$3*$Z$5+$AA$5-1)^0.5)*LOG10(INDEX(FX_Input,X$5,K$3*$Z$5+$AA$5))-(1.854-(1042/(K1854+459.6)))*(INDEX(FX_Input,X$5,K$3*$Z$5+$AA$5-1)^0.5)+((2416/(K1854+459.6)-2.013)*LOG10(INDEX(FX_Input,X$5,K$3*$Z$5+$AA$5)))-(8742/(K1854+459.6))+15.64),EXP(INDEX(Antoines,MATCH(K1844,Antoine_Name,0),2)-INDEX(Antoines,MATCH(K1844,Antoine_Name,0),3)/(K1854+459.6))))),0)</f>
        <v>1.1170957772624744E-2</v>
      </c>
      <c r="L1865" cm="1">
        <f t="array" ref="L1865">IFERROR(IF(L1845="Chemical",(10^(INDEX(Antoines,MATCH(L1844,Antoine_Name,0),2)-INDEX(Antoines,MATCH(L1844,Antoine_Name,0),3)/(INDEX(Antoines,MATCH(L1844,Antoine_Name,0),4)+(L1854-32)*5/9)))*14.7/760,IF(L1845="Crude Oil",EXP((2799/(L1854+459.6)-2.227)*LOG10(INDEX(FX_Input,Y$5,L$3*$Z$5+$AA$5))-(7261/(L1854+459.6))+12.82),IF(L1845="Refined Petroleum Stock",EXP((0.7553-(413/(L1854+459.6)))*(INDEX(FX_Input,Y$5,L$3*$Z$5+$AA$5-1)^0.5)*LOG10(INDEX(FX_Input,Y$5,L$3*$Z$5+$AA$5))-(1.854-(1042/(L1854+459.6)))*(INDEX(FX_Input,Y$5,L$3*$Z$5+$AA$5-1)^0.5)+((2416/(L1854+459.6)-2.013)*LOG10(INDEX(FX_Input,Y$5,L$3*$Z$5+$AA$5)))-(8742/(L1854+459.6))+15.64),EXP(INDEX(Antoines,MATCH(L1844,Antoine_Name,0),2)-INDEX(Antoines,MATCH(L1844,Antoine_Name,0),3)/(L1854+459.6))))),0)</f>
        <v>9.8227622663598323E-3</v>
      </c>
      <c r="M1865" cm="1">
        <f t="array" ref="M1865">IFERROR(IF(M1845="Chemical",(10^(INDEX(Antoines,MATCH(M1844,Antoine_Name,0),2)-INDEX(Antoines,MATCH(M1844,Antoine_Name,0),3)/(INDEX(Antoines,MATCH(M1844,Antoine_Name,0),4)+(M1854-32)*5/9)))*14.7/760,IF(M1845="Crude Oil",EXP((2799/(M1854+459.6)-2.227)*LOG10(INDEX(FX_Input,Z$5,M$3*$Z$5+$AA$5))-(7261/(M1854+459.6))+12.82),IF(M1845="Refined Petroleum Stock",EXP((0.7553-(413/(M1854+459.6)))*(INDEX(FX_Input,Z$5,M$3*$Z$5+$AA$5-1)^0.5)*LOG10(INDEX(FX_Input,Z$5,M$3*$Z$5+$AA$5))-(1.854-(1042/(M1854+459.6)))*(INDEX(FX_Input,Z$5,M$3*$Z$5+$AA$5-1)^0.5)+((2416/(M1854+459.6)-2.013)*LOG10(INDEX(FX_Input,Z$5,M$3*$Z$5+$AA$5)))-(8742/(M1854+459.6))+15.64),EXP(INDEX(Antoines,MATCH(M1844,Antoine_Name,0),2)-INDEX(Antoines,MATCH(M1844,Antoine_Name,0),3)/(M1854+459.6))))),0)</f>
        <v>7.3902409367879104E-3</v>
      </c>
      <c r="N1865" cm="1">
        <f t="array" ref="N1865">IFERROR(IF(N1845="Chemical",(10^(INDEX(Antoines,MATCH(N1844,Antoine_Name,0),2)-INDEX(Antoines,MATCH(N1844,Antoine_Name,0),3)/(INDEX(Antoines,MATCH(N1844,Antoine_Name,0),4)+(N1854-32)*5/9)))*14.7/760,IF(N1845="Crude Oil",EXP((2799/(N1854+459.6)-2.227)*LOG10(INDEX(FX_Input,AA$5,N$3*$Z$5+$AA$5))-(7261/(N1854+459.6))+12.82),IF(N1845="Refined Petroleum Stock",EXP((0.7553-(413/(N1854+459.6)))*(INDEX(FX_Input,AA$5,N$3*$Z$5+$AA$5-1)^0.5)*LOG10(INDEX(FX_Input,AA$5,N$3*$Z$5+$AA$5))-(1.854-(1042/(N1854+459.6)))*(INDEX(FX_Input,AA$5,N$3*$Z$5+$AA$5-1)^0.5)+((2416/(N1854+459.6)-2.013)*LOG10(INDEX(FX_Input,AA$5,N$3*$Z$5+$AA$5)))-(8742/(N1854+459.6))+15.64),EXP(INDEX(Antoines,MATCH(N1844,Antoine_Name,0),2)-INDEX(Antoines,MATCH(N1844,Antoine_Name,0),3)/(N1854+459.6))))),0)</f>
        <v>5.7302815955729341E-3</v>
      </c>
      <c r="O1865" cm="1">
        <f t="array" ref="O1865">IFERROR(IF(O1845="Chemical",(10^(INDEX(Antoines,MATCH(O1844,Antoine_Name,0),2)-INDEX(Antoines,MATCH(O1844,Antoine_Name,0),3)/(INDEX(Antoines,MATCH(O1844,Antoine_Name,0),4)+(O1854-32)*5/9)))*14.7/760,IF(O1845="Crude Oil",EXP((2799/(O1854+459.6)-2.227)*LOG10(INDEX(FX_Input,AB$5,O$3*$Z$5+$AA$5))-(7261/(O1854+459.6))+12.82),IF(O1845="Refined Petroleum Stock",EXP((0.7553-(413/(O1854+459.6)))*(INDEX(FX_Input,AB$5,O$3*$Z$5+$AA$5-1)^0.5)*LOG10(INDEX(FX_Input,AB$5,O$3*$Z$5+$AA$5))-(1.854-(1042/(O1854+459.6)))*(INDEX(FX_Input,AB$5,O$3*$Z$5+$AA$5-1)^0.5)+((2416/(O1854+459.6)-2.013)*LOG10(INDEX(FX_Input,AB$5,O$3*$Z$5+$AA$5)))-(8742/(O1854+459.6))+15.64),EXP(INDEX(Antoines,MATCH(O1844,Antoine_Name,0),2)-INDEX(Antoines,MATCH(O1844,Antoine_Name,0),3)/(O1854+459.6))))),0)</f>
        <v>4.9845202750316486E-3</v>
      </c>
    </row>
    <row r="1866" spans="2:15" ht="17.149999999999999" x14ac:dyDescent="0.55000000000000004">
      <c r="B1866" t="str">
        <f t="shared" si="6804"/>
        <v>Portland</v>
      </c>
      <c r="C1866" t="s">
        <v>1389</v>
      </c>
      <c r="D1866">
        <f>D1865*D1848</f>
        <v>5.0788096823034274E-3</v>
      </c>
      <c r="E1866">
        <f t="shared" ref="E1866" si="6871">E1865*E1848</f>
        <v>5.4974545080270654E-3</v>
      </c>
      <c r="F1866">
        <f t="shared" ref="F1866" si="6872">F1865*F1848</f>
        <v>6.0939776204352973E-3</v>
      </c>
      <c r="G1866">
        <f t="shared" ref="G1866" si="6873">G1865*G1848</f>
        <v>7.1364512548726224E-3</v>
      </c>
      <c r="H1866">
        <f t="shared" ref="H1866" si="6874">H1865*H1848</f>
        <v>8.765284653116507E-3</v>
      </c>
      <c r="I1866">
        <f t="shared" ref="I1866" si="6875">I1865*I1848</f>
        <v>1.0088391497030216E-2</v>
      </c>
      <c r="J1866">
        <f t="shared" ref="J1866" si="6876">J1865*J1848</f>
        <v>1.1455846008049875E-2</v>
      </c>
      <c r="K1866">
        <f t="shared" ref="K1866" si="6877">K1865*K1848</f>
        <v>1.1170957772624744E-2</v>
      </c>
      <c r="L1866">
        <f t="shared" ref="L1866" si="6878">L1865*L1848</f>
        <v>9.8227622663598323E-3</v>
      </c>
      <c r="M1866">
        <f t="shared" ref="M1866" si="6879">M1865*M1848</f>
        <v>7.3902409367879104E-3</v>
      </c>
      <c r="N1866">
        <f t="shared" ref="N1866" si="6880">N1865*N1848</f>
        <v>5.7302815955729341E-3</v>
      </c>
      <c r="O1866">
        <f t="shared" ref="O1866" si="6881">O1865*O1848</f>
        <v>4.9845202750316486E-3</v>
      </c>
    </row>
    <row r="1867" spans="2:15" ht="17.149999999999999" x14ac:dyDescent="0.55000000000000004">
      <c r="B1867" t="str">
        <f t="shared" si="6804"/>
        <v>Portland</v>
      </c>
      <c r="C1867" t="s">
        <v>1390</v>
      </c>
      <c r="D1867" cm="1">
        <f t="array" ref="D1867">IFERROR(IF(D1847="Chemical",(10^(INDEX(Antoines,MATCH(D1846,Antoine_Name,0),2)-INDEX(Antoines,MATCH(D1846,Antoine_Name,0),3)/(INDEX(Antoines,MATCH(D1846,Antoine_Name,0),4)+(D1854-32)*5/9)))*14.7/760,IF(D1847="Crude Oil",EXP((2799/(D1854+459.6)-2.227)*LOG10(INDEX(FX_Input,Q$5,D$3*$Z$5+$AA$5))-(7261/(D1854+459.6))+12.82),IF(D1847="Refined Petroleum Stock",EXP((0.7553-(413/(D1854+459.6)))*(INDEX(FX_Input,Q$5,D$3*$Z$5+$AA$5-1)^0.5)*LOG10(INDEX(FX_Input,Q$5,D$3*$Z$5+$AA$5))-(1.854-(1042/(D1854+459.6)))*(INDEX(FX_Input,Q$5,D$3*$Z$5+$AA$5-1)^0.5)+((2416/(D1854+459.6)-2.013)*LOG10(INDEX(FX_Input,Q$5,D$3*$Z$5+$AA$5)))-(8742/(D1854+459.6))+15.64),EXP(INDEX(Antoines,MATCH(D1846,Antoine_Name,0),2)-INDEX(Antoines,MATCH(D1846,Antoine_Name,0),3)/(D1854+459.6))))),0)</f>
        <v>0</v>
      </c>
      <c r="E1867" cm="1">
        <f t="array" ref="E1867">IFERROR(IF(E1847="Chemical",(10^(INDEX(Antoines,MATCH(E1846,Antoine_Name,0),2)-INDEX(Antoines,MATCH(E1846,Antoine_Name,0),3)/(INDEX(Antoines,MATCH(E1846,Antoine_Name,0),4)+(E1854-32)*5/9)))*14.7/760,IF(E1847="Crude Oil",EXP((2799/(E1854+459.6)-2.227)*LOG10(INDEX(FX_Input,R$5,E$3*$Z$5+$AA$5))-(7261/(E1854+459.6))+12.82),IF(E1847="Refined Petroleum Stock",EXP((0.7553-(413/(E1854+459.6)))*(INDEX(FX_Input,R$5,E$3*$Z$5+$AA$5-1)^0.5)*LOG10(INDEX(FX_Input,R$5,E$3*$Z$5+$AA$5))-(1.854-(1042/(E1854+459.6)))*(INDEX(FX_Input,R$5,E$3*$Z$5+$AA$5-1)^0.5)+((2416/(E1854+459.6)-2.013)*LOG10(INDEX(FX_Input,R$5,E$3*$Z$5+$AA$5)))-(8742/(E1854+459.6))+15.64),EXP(INDEX(Antoines,MATCH(E1846,Antoine_Name,0),2)-INDEX(Antoines,MATCH(E1846,Antoine_Name,0),3)/(E1854+459.6))))),0)</f>
        <v>0</v>
      </c>
      <c r="F1867" cm="1">
        <f t="array" ref="F1867">IFERROR(IF(F1847="Chemical",(10^(INDEX(Antoines,MATCH(F1846,Antoine_Name,0),2)-INDEX(Antoines,MATCH(F1846,Antoine_Name,0),3)/(INDEX(Antoines,MATCH(F1846,Antoine_Name,0),4)+(F1854-32)*5/9)))*14.7/760,IF(F1847="Crude Oil",EXP((2799/(F1854+459.6)-2.227)*LOG10(INDEX(FX_Input,S$5,F$3*$Z$5+$AA$5))-(7261/(F1854+459.6))+12.82),IF(F1847="Refined Petroleum Stock",EXP((0.7553-(413/(F1854+459.6)))*(INDEX(FX_Input,S$5,F$3*$Z$5+$AA$5-1)^0.5)*LOG10(INDEX(FX_Input,S$5,F$3*$Z$5+$AA$5))-(1.854-(1042/(F1854+459.6)))*(INDEX(FX_Input,S$5,F$3*$Z$5+$AA$5-1)^0.5)+((2416/(F1854+459.6)-2.013)*LOG10(INDEX(FX_Input,S$5,F$3*$Z$5+$AA$5)))-(8742/(F1854+459.6))+15.64),EXP(INDEX(Antoines,MATCH(F1846,Antoine_Name,0),2)-INDEX(Antoines,MATCH(F1846,Antoine_Name,0),3)/(F1854+459.6))))),0)</f>
        <v>0</v>
      </c>
      <c r="G1867" cm="1">
        <f t="array" ref="G1867">IFERROR(IF(G1847="Chemical",(10^(INDEX(Antoines,MATCH(G1846,Antoine_Name,0),2)-INDEX(Antoines,MATCH(G1846,Antoine_Name,0),3)/(INDEX(Antoines,MATCH(G1846,Antoine_Name,0),4)+(G1854-32)*5/9)))*14.7/760,IF(G1847="Crude Oil",EXP((2799/(G1854+459.6)-2.227)*LOG10(INDEX(FX_Input,T$5,G$3*$Z$5+$AA$5))-(7261/(G1854+459.6))+12.82),IF(G1847="Refined Petroleum Stock",EXP((0.7553-(413/(G1854+459.6)))*(INDEX(FX_Input,T$5,G$3*$Z$5+$AA$5-1)^0.5)*LOG10(INDEX(FX_Input,T$5,G$3*$Z$5+$AA$5))-(1.854-(1042/(G1854+459.6)))*(INDEX(FX_Input,T$5,G$3*$Z$5+$AA$5-1)^0.5)+((2416/(G1854+459.6)-2.013)*LOG10(INDEX(FX_Input,T$5,G$3*$Z$5+$AA$5)))-(8742/(G1854+459.6))+15.64),EXP(INDEX(Antoines,MATCH(G1846,Antoine_Name,0),2)-INDEX(Antoines,MATCH(G1846,Antoine_Name,0),3)/(G1854+459.6))))),0)</f>
        <v>0</v>
      </c>
      <c r="H1867" cm="1">
        <f t="array" ref="H1867">IFERROR(IF(H1847="Chemical",(10^(INDEX(Antoines,MATCH(H1846,Antoine_Name,0),2)-INDEX(Antoines,MATCH(H1846,Antoine_Name,0),3)/(INDEX(Antoines,MATCH(H1846,Antoine_Name,0),4)+(H1854-32)*5/9)))*14.7/760,IF(H1847="Crude Oil",EXP((2799/(H1854+459.6)-2.227)*LOG10(INDEX(FX_Input,U$5,H$3*$Z$5+$AA$5))-(7261/(H1854+459.6))+12.82),IF(H1847="Refined Petroleum Stock",EXP((0.7553-(413/(H1854+459.6)))*(INDEX(FX_Input,U$5,H$3*$Z$5+$AA$5-1)^0.5)*LOG10(INDEX(FX_Input,U$5,H$3*$Z$5+$AA$5))-(1.854-(1042/(H1854+459.6)))*(INDEX(FX_Input,U$5,H$3*$Z$5+$AA$5-1)^0.5)+((2416/(H1854+459.6)-2.013)*LOG10(INDEX(FX_Input,U$5,H$3*$Z$5+$AA$5)))-(8742/(H1854+459.6))+15.64),EXP(INDEX(Antoines,MATCH(H1846,Antoine_Name,0),2)-INDEX(Antoines,MATCH(H1846,Antoine_Name,0),3)/(H1854+459.6))))),0)</f>
        <v>0</v>
      </c>
      <c r="I1867" cm="1">
        <f t="array" ref="I1867">IFERROR(IF(I1847="Chemical",(10^(INDEX(Antoines,MATCH(I1846,Antoine_Name,0),2)-INDEX(Antoines,MATCH(I1846,Antoine_Name,0),3)/(INDEX(Antoines,MATCH(I1846,Antoine_Name,0),4)+(I1854-32)*5/9)))*14.7/760,IF(I1847="Crude Oil",EXP((2799/(I1854+459.6)-2.227)*LOG10(INDEX(FX_Input,V$5,I$3*$Z$5+$AA$5))-(7261/(I1854+459.6))+12.82),IF(I1847="Refined Petroleum Stock",EXP((0.7553-(413/(I1854+459.6)))*(INDEX(FX_Input,V$5,I$3*$Z$5+$AA$5-1)^0.5)*LOG10(INDEX(FX_Input,V$5,I$3*$Z$5+$AA$5))-(1.854-(1042/(I1854+459.6)))*(INDEX(FX_Input,V$5,I$3*$Z$5+$AA$5-1)^0.5)+((2416/(I1854+459.6)-2.013)*LOG10(INDEX(FX_Input,V$5,I$3*$Z$5+$AA$5)))-(8742/(I1854+459.6))+15.64),EXP(INDEX(Antoines,MATCH(I1846,Antoine_Name,0),2)-INDEX(Antoines,MATCH(I1846,Antoine_Name,0),3)/(I1854+459.6))))),0)</f>
        <v>0</v>
      </c>
      <c r="J1867" cm="1">
        <f t="array" ref="J1867">IFERROR(IF(J1847="Chemical",(10^(INDEX(Antoines,MATCH(J1846,Antoine_Name,0),2)-INDEX(Antoines,MATCH(J1846,Antoine_Name,0),3)/(INDEX(Antoines,MATCH(J1846,Antoine_Name,0),4)+(J1854-32)*5/9)))*14.7/760,IF(J1847="Crude Oil",EXP((2799/(J1854+459.6)-2.227)*LOG10(INDEX(FX_Input,W$5,J$3*$Z$5+$AA$5))-(7261/(J1854+459.6))+12.82),IF(J1847="Refined Petroleum Stock",EXP((0.7553-(413/(J1854+459.6)))*(INDEX(FX_Input,W$5,J$3*$Z$5+$AA$5-1)^0.5)*LOG10(INDEX(FX_Input,W$5,J$3*$Z$5+$AA$5))-(1.854-(1042/(J1854+459.6)))*(INDEX(FX_Input,W$5,J$3*$Z$5+$AA$5-1)^0.5)+((2416/(J1854+459.6)-2.013)*LOG10(INDEX(FX_Input,W$5,J$3*$Z$5+$AA$5)))-(8742/(J1854+459.6))+15.64),EXP(INDEX(Antoines,MATCH(J1846,Antoine_Name,0),2)-INDEX(Antoines,MATCH(J1846,Antoine_Name,0),3)/(J1854+459.6))))),0)</f>
        <v>0</v>
      </c>
      <c r="K1867" cm="1">
        <f t="array" ref="K1867">IFERROR(IF(K1847="Chemical",(10^(INDEX(Antoines,MATCH(K1846,Antoine_Name,0),2)-INDEX(Antoines,MATCH(K1846,Antoine_Name,0),3)/(INDEX(Antoines,MATCH(K1846,Antoine_Name,0),4)+(K1854-32)*5/9)))*14.7/760,IF(K1847="Crude Oil",EXP((2799/(K1854+459.6)-2.227)*LOG10(INDEX(FX_Input,X$5,K$3*$Z$5+$AA$5))-(7261/(K1854+459.6))+12.82),IF(K1847="Refined Petroleum Stock",EXP((0.7553-(413/(K1854+459.6)))*(INDEX(FX_Input,X$5,K$3*$Z$5+$AA$5-1)^0.5)*LOG10(INDEX(FX_Input,X$5,K$3*$Z$5+$AA$5))-(1.854-(1042/(K1854+459.6)))*(INDEX(FX_Input,X$5,K$3*$Z$5+$AA$5-1)^0.5)+((2416/(K1854+459.6)-2.013)*LOG10(INDEX(FX_Input,X$5,K$3*$Z$5+$AA$5)))-(8742/(K1854+459.6))+15.64),EXP(INDEX(Antoines,MATCH(K1846,Antoine_Name,0),2)-INDEX(Antoines,MATCH(K1846,Antoine_Name,0),3)/(K1854+459.6))))),0)</f>
        <v>0</v>
      </c>
      <c r="L1867" cm="1">
        <f t="array" ref="L1867">IFERROR(IF(L1847="Chemical",(10^(INDEX(Antoines,MATCH(L1846,Antoine_Name,0),2)-INDEX(Antoines,MATCH(L1846,Antoine_Name,0),3)/(INDEX(Antoines,MATCH(L1846,Antoine_Name,0),4)+(L1854-32)*5/9)))*14.7/760,IF(L1847="Crude Oil",EXP((2799/(L1854+459.6)-2.227)*LOG10(INDEX(FX_Input,Y$5,L$3*$Z$5+$AA$5))-(7261/(L1854+459.6))+12.82),IF(L1847="Refined Petroleum Stock",EXP((0.7553-(413/(L1854+459.6)))*(INDEX(FX_Input,Y$5,L$3*$Z$5+$AA$5-1)^0.5)*LOG10(INDEX(FX_Input,Y$5,L$3*$Z$5+$AA$5))-(1.854-(1042/(L1854+459.6)))*(INDEX(FX_Input,Y$5,L$3*$Z$5+$AA$5-1)^0.5)+((2416/(L1854+459.6)-2.013)*LOG10(INDEX(FX_Input,Y$5,L$3*$Z$5+$AA$5)))-(8742/(L1854+459.6))+15.64),EXP(INDEX(Antoines,MATCH(L1846,Antoine_Name,0),2)-INDEX(Antoines,MATCH(L1846,Antoine_Name,0),3)/(L1854+459.6))))),0)</f>
        <v>0</v>
      </c>
      <c r="M1867" cm="1">
        <f t="array" ref="M1867">IFERROR(IF(M1847="Chemical",(10^(INDEX(Antoines,MATCH(M1846,Antoine_Name,0),2)-INDEX(Antoines,MATCH(M1846,Antoine_Name,0),3)/(INDEX(Antoines,MATCH(M1846,Antoine_Name,0),4)+(M1854-32)*5/9)))*14.7/760,IF(M1847="Crude Oil",EXP((2799/(M1854+459.6)-2.227)*LOG10(INDEX(FX_Input,Z$5,M$3*$Z$5+$AA$5))-(7261/(M1854+459.6))+12.82),IF(M1847="Refined Petroleum Stock",EXP((0.7553-(413/(M1854+459.6)))*(INDEX(FX_Input,Z$5,M$3*$Z$5+$AA$5-1)^0.5)*LOG10(INDEX(FX_Input,Z$5,M$3*$Z$5+$AA$5))-(1.854-(1042/(M1854+459.6)))*(INDEX(FX_Input,Z$5,M$3*$Z$5+$AA$5-1)^0.5)+((2416/(M1854+459.6)-2.013)*LOG10(INDEX(FX_Input,Z$5,M$3*$Z$5+$AA$5)))-(8742/(M1854+459.6))+15.64),EXP(INDEX(Antoines,MATCH(M1846,Antoine_Name,0),2)-INDEX(Antoines,MATCH(M1846,Antoine_Name,0),3)/(M1854+459.6))))),0)</f>
        <v>0</v>
      </c>
      <c r="N1867" cm="1">
        <f t="array" ref="N1867">IFERROR(IF(N1847="Chemical",(10^(INDEX(Antoines,MATCH(N1846,Antoine_Name,0),2)-INDEX(Antoines,MATCH(N1846,Antoine_Name,0),3)/(INDEX(Antoines,MATCH(N1846,Antoine_Name,0),4)+(N1854-32)*5/9)))*14.7/760,IF(N1847="Crude Oil",EXP((2799/(N1854+459.6)-2.227)*LOG10(INDEX(FX_Input,AA$5,N$3*$Z$5+$AA$5))-(7261/(N1854+459.6))+12.82),IF(N1847="Refined Petroleum Stock",EXP((0.7553-(413/(N1854+459.6)))*(INDEX(FX_Input,AA$5,N$3*$Z$5+$AA$5-1)^0.5)*LOG10(INDEX(FX_Input,AA$5,N$3*$Z$5+$AA$5))-(1.854-(1042/(N1854+459.6)))*(INDEX(FX_Input,AA$5,N$3*$Z$5+$AA$5-1)^0.5)+((2416/(N1854+459.6)-2.013)*LOG10(INDEX(FX_Input,AA$5,N$3*$Z$5+$AA$5)))-(8742/(N1854+459.6))+15.64),EXP(INDEX(Antoines,MATCH(N1846,Antoine_Name,0),2)-INDEX(Antoines,MATCH(N1846,Antoine_Name,0),3)/(N1854+459.6))))),0)</f>
        <v>0</v>
      </c>
      <c r="O1867" cm="1">
        <f t="array" ref="O1867">IFERROR(IF(O1847="Chemical",(10^(INDEX(Antoines,MATCH(O1846,Antoine_Name,0),2)-INDEX(Antoines,MATCH(O1846,Antoine_Name,0),3)/(INDEX(Antoines,MATCH(O1846,Antoine_Name,0),4)+(O1854-32)*5/9)))*14.7/760,IF(O1847="Crude Oil",EXP((2799/(O1854+459.6)-2.227)*LOG10(INDEX(FX_Input,AB$5,O$3*$Z$5+$AA$5))-(7261/(O1854+459.6))+12.82),IF(O1847="Refined Petroleum Stock",EXP((0.7553-(413/(O1854+459.6)))*(INDEX(FX_Input,AB$5,O$3*$Z$5+$AA$5-1)^0.5)*LOG10(INDEX(FX_Input,AB$5,O$3*$Z$5+$AA$5))-(1.854-(1042/(O1854+459.6)))*(INDEX(FX_Input,AB$5,O$3*$Z$5+$AA$5-1)^0.5)+((2416/(O1854+459.6)-2.013)*LOG10(INDEX(FX_Input,AB$5,O$3*$Z$5+$AA$5)))-(8742/(O1854+459.6))+15.64),EXP(INDEX(Antoines,MATCH(O1846,Antoine_Name,0),2)-INDEX(Antoines,MATCH(O1846,Antoine_Name,0),3)/(O1854+459.6))))),0)</f>
        <v>0</v>
      </c>
    </row>
    <row r="1868" spans="2:15" ht="17.149999999999999" x14ac:dyDescent="0.55000000000000004">
      <c r="B1868" t="str">
        <f t="shared" si="6804"/>
        <v>Portland</v>
      </c>
      <c r="C1868" t="s">
        <v>1391</v>
      </c>
      <c r="D1868">
        <f>D1867*D1850</f>
        <v>0</v>
      </c>
      <c r="E1868">
        <f t="shared" ref="E1868" si="6882">E1867*E1850</f>
        <v>0</v>
      </c>
      <c r="F1868">
        <f t="shared" ref="F1868" si="6883">F1867*F1850</f>
        <v>0</v>
      </c>
      <c r="G1868">
        <f t="shared" ref="G1868" si="6884">G1867*G1850</f>
        <v>0</v>
      </c>
      <c r="H1868">
        <f t="shared" ref="H1868" si="6885">H1867*H1850</f>
        <v>0</v>
      </c>
      <c r="I1868">
        <f t="shared" ref="I1868" si="6886">I1867*I1850</f>
        <v>0</v>
      </c>
      <c r="J1868">
        <f t="shared" ref="J1868" si="6887">J1867*J1850</f>
        <v>0</v>
      </c>
      <c r="K1868">
        <f t="shared" ref="K1868" si="6888">K1867*K1850</f>
        <v>0</v>
      </c>
      <c r="L1868">
        <f t="shared" ref="L1868" si="6889">L1867*L1850</f>
        <v>0</v>
      </c>
      <c r="M1868">
        <f t="shared" ref="M1868" si="6890">M1867*M1850</f>
        <v>0</v>
      </c>
      <c r="N1868">
        <f t="shared" ref="N1868" si="6891">N1867*N1850</f>
        <v>0</v>
      </c>
      <c r="O1868">
        <f t="shared" ref="O1868" si="6892">O1867*O1850</f>
        <v>0</v>
      </c>
    </row>
    <row r="1869" spans="2:15" ht="17.149999999999999" x14ac:dyDescent="0.55000000000000004">
      <c r="B1869" t="str">
        <f t="shared" si="6804"/>
        <v>Portland</v>
      </c>
      <c r="C1869" t="s">
        <v>1392</v>
      </c>
      <c r="D1869">
        <f>D1866+D1868</f>
        <v>5.0788096823034274E-3</v>
      </c>
      <c r="E1869">
        <f t="shared" ref="E1869" si="6893">E1866+E1868</f>
        <v>5.4974545080270654E-3</v>
      </c>
      <c r="F1869">
        <f t="shared" ref="F1869" si="6894">F1866+F1868</f>
        <v>6.0939776204352973E-3</v>
      </c>
      <c r="G1869">
        <f t="shared" ref="G1869" si="6895">G1866+G1868</f>
        <v>7.1364512548726224E-3</v>
      </c>
      <c r="H1869">
        <f t="shared" ref="H1869" si="6896">H1866+H1868</f>
        <v>8.765284653116507E-3</v>
      </c>
      <c r="I1869">
        <f t="shared" ref="I1869" si="6897">I1866+I1868</f>
        <v>1.0088391497030216E-2</v>
      </c>
      <c r="J1869">
        <f t="shared" ref="J1869" si="6898">J1866+J1868</f>
        <v>1.1455846008049875E-2</v>
      </c>
      <c r="K1869">
        <f t="shared" ref="K1869" si="6899">K1866+K1868</f>
        <v>1.1170957772624744E-2</v>
      </c>
      <c r="L1869">
        <f t="shared" ref="L1869" si="6900">L1866+L1868</f>
        <v>9.8227622663598323E-3</v>
      </c>
      <c r="M1869">
        <f t="shared" ref="M1869" si="6901">M1866+M1868</f>
        <v>7.3902409367879104E-3</v>
      </c>
      <c r="N1869">
        <f t="shared" ref="N1869" si="6902">N1866+N1868</f>
        <v>5.7302815955729341E-3</v>
      </c>
      <c r="O1869">
        <f t="shared" ref="O1869" si="6903">O1866+O1868</f>
        <v>4.9845202750316486E-3</v>
      </c>
    </row>
    <row r="1870" spans="2:15" ht="17.149999999999999" x14ac:dyDescent="0.55000000000000004">
      <c r="B1870" t="str">
        <f>B1864</f>
        <v>Portland</v>
      </c>
      <c r="C1870" t="s">
        <v>584</v>
      </c>
      <c r="D1870">
        <f>D1866/D1869</f>
        <v>1</v>
      </c>
      <c r="E1870">
        <f t="shared" ref="E1870" si="6904">E1866/E1869</f>
        <v>1</v>
      </c>
      <c r="F1870">
        <f t="shared" ref="F1870" si="6905">F1866/F1869</f>
        <v>1</v>
      </c>
      <c r="G1870">
        <f t="shared" ref="G1870" si="6906">G1866/G1869</f>
        <v>1</v>
      </c>
      <c r="H1870">
        <f t="shared" ref="H1870" si="6907">H1866/H1869</f>
        <v>1</v>
      </c>
      <c r="I1870">
        <f t="shared" ref="I1870" si="6908">I1866/I1869</f>
        <v>1</v>
      </c>
      <c r="J1870">
        <f t="shared" ref="J1870" si="6909">J1866/J1869</f>
        <v>1</v>
      </c>
      <c r="K1870">
        <f t="shared" ref="K1870" si="6910">K1866/K1869</f>
        <v>1</v>
      </c>
      <c r="L1870">
        <f t="shared" ref="L1870" si="6911">L1866/L1869</f>
        <v>1</v>
      </c>
      <c r="M1870">
        <f t="shared" ref="M1870" si="6912">M1866/M1869</f>
        <v>1</v>
      </c>
      <c r="N1870">
        <f t="shared" ref="N1870" si="6913">N1866/N1869</f>
        <v>1</v>
      </c>
      <c r="O1870">
        <f t="shared" ref="O1870" si="6914">O1866/O1869</f>
        <v>1</v>
      </c>
    </row>
    <row r="1871" spans="2:15" ht="17.149999999999999" x14ac:dyDescent="0.55000000000000004">
      <c r="B1871" t="str">
        <f>B1865</f>
        <v>Portland</v>
      </c>
      <c r="C1871" t="s">
        <v>585</v>
      </c>
      <c r="D1871">
        <f t="shared" ref="D1871:O1871" si="6915">INDEX(Phys_Prop,MATCH(D1844,Chem_List,0),3)</f>
        <v>130</v>
      </c>
      <c r="E1871">
        <f t="shared" si="6915"/>
        <v>130</v>
      </c>
      <c r="F1871">
        <f t="shared" si="6915"/>
        <v>130</v>
      </c>
      <c r="G1871">
        <f t="shared" si="6915"/>
        <v>130</v>
      </c>
      <c r="H1871">
        <f t="shared" si="6915"/>
        <v>130</v>
      </c>
      <c r="I1871">
        <f t="shared" si="6915"/>
        <v>130</v>
      </c>
      <c r="J1871">
        <f t="shared" si="6915"/>
        <v>130</v>
      </c>
      <c r="K1871">
        <f t="shared" si="6915"/>
        <v>130</v>
      </c>
      <c r="L1871">
        <f t="shared" si="6915"/>
        <v>130</v>
      </c>
      <c r="M1871">
        <f t="shared" si="6915"/>
        <v>130</v>
      </c>
      <c r="N1871">
        <f t="shared" si="6915"/>
        <v>130</v>
      </c>
      <c r="O1871">
        <f t="shared" si="6915"/>
        <v>130</v>
      </c>
    </row>
    <row r="1872" spans="2:15" ht="17.149999999999999" x14ac:dyDescent="0.55000000000000004">
      <c r="B1872" t="str">
        <f>B1871</f>
        <v>Portland</v>
      </c>
      <c r="C1872" t="s">
        <v>586</v>
      </c>
      <c r="D1872">
        <f>D1868/D1869</f>
        <v>0</v>
      </c>
      <c r="E1872">
        <f t="shared" ref="E1872:O1872" si="6916">E1868/E1869</f>
        <v>0</v>
      </c>
      <c r="F1872">
        <f t="shared" si="6916"/>
        <v>0</v>
      </c>
      <c r="G1872">
        <f t="shared" si="6916"/>
        <v>0</v>
      </c>
      <c r="H1872">
        <f t="shared" si="6916"/>
        <v>0</v>
      </c>
      <c r="I1872">
        <f t="shared" si="6916"/>
        <v>0</v>
      </c>
      <c r="J1872">
        <f t="shared" si="6916"/>
        <v>0</v>
      </c>
      <c r="K1872">
        <f t="shared" si="6916"/>
        <v>0</v>
      </c>
      <c r="L1872">
        <f t="shared" si="6916"/>
        <v>0</v>
      </c>
      <c r="M1872">
        <f t="shared" si="6916"/>
        <v>0</v>
      </c>
      <c r="N1872">
        <f t="shared" si="6916"/>
        <v>0</v>
      </c>
      <c r="O1872">
        <f t="shared" si="6916"/>
        <v>0</v>
      </c>
    </row>
    <row r="1873" spans="1:32" ht="17.149999999999999" x14ac:dyDescent="0.55000000000000004">
      <c r="B1873" t="str">
        <f t="shared" si="6804"/>
        <v>Portland</v>
      </c>
      <c r="C1873" t="s">
        <v>587</v>
      </c>
      <c r="D1873">
        <f t="shared" ref="D1873:O1873" si="6917">IFERROR(INDEX(Phys_Prop,MATCH(D1846,Chem_List,0),3),0)</f>
        <v>0</v>
      </c>
      <c r="E1873">
        <f t="shared" si="6917"/>
        <v>0</v>
      </c>
      <c r="F1873">
        <f t="shared" si="6917"/>
        <v>0</v>
      </c>
      <c r="G1873">
        <f t="shared" si="6917"/>
        <v>0</v>
      </c>
      <c r="H1873">
        <f t="shared" si="6917"/>
        <v>0</v>
      </c>
      <c r="I1873">
        <f t="shared" si="6917"/>
        <v>0</v>
      </c>
      <c r="J1873">
        <f t="shared" si="6917"/>
        <v>0</v>
      </c>
      <c r="K1873">
        <f t="shared" si="6917"/>
        <v>0</v>
      </c>
      <c r="L1873">
        <f t="shared" si="6917"/>
        <v>0</v>
      </c>
      <c r="M1873">
        <f t="shared" si="6917"/>
        <v>0</v>
      </c>
      <c r="N1873">
        <f t="shared" si="6917"/>
        <v>0</v>
      </c>
      <c r="O1873">
        <f t="shared" si="6917"/>
        <v>0</v>
      </c>
    </row>
    <row r="1874" spans="1:32" ht="17.149999999999999" x14ac:dyDescent="0.55000000000000004">
      <c r="A1874" s="11"/>
      <c r="B1874" s="11" t="str">
        <f t="shared" si="6804"/>
        <v>Portland</v>
      </c>
      <c r="C1874" s="11" t="s">
        <v>588</v>
      </c>
      <c r="D1874" s="11">
        <f>IFERROR(D1870*D1871+D1872*D1873,0)</f>
        <v>130</v>
      </c>
      <c r="E1874" s="11">
        <f t="shared" ref="E1874" si="6918">IFERROR(E1870*E1871+E1872*E1873,0)</f>
        <v>130</v>
      </c>
      <c r="F1874" s="11">
        <f t="shared" ref="F1874" si="6919">IFERROR(F1870*F1871+F1872*F1873,0)</f>
        <v>130</v>
      </c>
      <c r="G1874" s="11">
        <f t="shared" ref="G1874" si="6920">IFERROR(G1870*G1871+G1872*G1873,0)</f>
        <v>130</v>
      </c>
      <c r="H1874" s="11">
        <f t="shared" ref="H1874" si="6921">IFERROR(H1870*H1871+H1872*H1873,0)</f>
        <v>130</v>
      </c>
      <c r="I1874" s="11">
        <f t="shared" ref="I1874" si="6922">IFERROR(I1870*I1871+I1872*I1873,0)</f>
        <v>130</v>
      </c>
      <c r="J1874" s="11">
        <f t="shared" ref="J1874" si="6923">IFERROR(J1870*J1871+J1872*J1873,0)</f>
        <v>130</v>
      </c>
      <c r="K1874" s="11">
        <f t="shared" ref="K1874" si="6924">IFERROR(K1870*K1871+K1872*K1873,0)</f>
        <v>130</v>
      </c>
      <c r="L1874" s="11">
        <f t="shared" ref="L1874" si="6925">IFERROR(L1870*L1871+L1872*L1873,0)</f>
        <v>130</v>
      </c>
      <c r="M1874" s="11">
        <f t="shared" ref="M1874" si="6926">IFERROR(M1870*M1871+M1872*M1873,0)</f>
        <v>130</v>
      </c>
      <c r="N1874" s="11">
        <f t="shared" ref="N1874" si="6927">IFERROR(N1870*N1871+N1872*N1873,0)</f>
        <v>130</v>
      </c>
      <c r="O1874" s="11">
        <f t="shared" ref="O1874" si="6928">IFERROR(O1870*O1871+O1872*O1873,0)</f>
        <v>130</v>
      </c>
      <c r="P1874" s="11"/>
      <c r="Q1874" s="11"/>
      <c r="R1874" s="11"/>
      <c r="S1874" s="11"/>
      <c r="T1874" s="11"/>
      <c r="U1874" s="11"/>
      <c r="V1874" s="11"/>
      <c r="W1874" s="11"/>
      <c r="X1874" s="11"/>
      <c r="Y1874" s="11"/>
      <c r="Z1874" s="11"/>
      <c r="AA1874" s="11"/>
      <c r="AB1874" s="11"/>
      <c r="AC1874" s="11"/>
      <c r="AD1874" s="11"/>
      <c r="AE1874" s="11"/>
      <c r="AF1874" s="11"/>
    </row>
    <row r="1875" spans="1:32" ht="17.149999999999999" x14ac:dyDescent="0.55000000000000004">
      <c r="A1875" t="str" cm="1">
        <f t="array" ref="A1875">INDEX(FX_Input,$Q1875,R$5)</f>
        <v>FX - 56</v>
      </c>
      <c r="B1875" t="str" cm="1">
        <f t="array" ref="B1875">INDEX(FX_Input,Q1875,S1875)</f>
        <v>Portland</v>
      </c>
      <c r="C1875" t="s">
        <v>563</v>
      </c>
      <c r="D1875">
        <v>14.7</v>
      </c>
      <c r="E1875">
        <v>14.7</v>
      </c>
      <c r="F1875">
        <v>14.7</v>
      </c>
      <c r="G1875">
        <v>14.7</v>
      </c>
      <c r="H1875">
        <v>14.7</v>
      </c>
      <c r="I1875">
        <v>14.7</v>
      </c>
      <c r="J1875">
        <v>14.7</v>
      </c>
      <c r="K1875">
        <v>14.7</v>
      </c>
      <c r="L1875">
        <v>14.7</v>
      </c>
      <c r="M1875">
        <v>14.7</v>
      </c>
      <c r="N1875">
        <v>14.7</v>
      </c>
      <c r="O1875">
        <v>14.7</v>
      </c>
      <c r="Q1875">
        <f>Q1841+2</f>
        <v>111</v>
      </c>
      <c r="R1875">
        <v>1</v>
      </c>
      <c r="S1875">
        <v>3</v>
      </c>
      <c r="T1875">
        <v>1</v>
      </c>
      <c r="U1875">
        <v>19</v>
      </c>
      <c r="V1875">
        <v>20</v>
      </c>
      <c r="W1875">
        <v>25</v>
      </c>
      <c r="X1875">
        <v>1</v>
      </c>
      <c r="Y1875">
        <v>2</v>
      </c>
      <c r="Z1875">
        <f>(W1875-V1875)/(Y1875-X1875)</f>
        <v>5</v>
      </c>
      <c r="AA1875">
        <f>V1875-Z1875*X1875</f>
        <v>15</v>
      </c>
      <c r="AD1875">
        <f>AD1841+14</f>
        <v>771</v>
      </c>
      <c r="AF1875">
        <f>AF1841+14</f>
        <v>771</v>
      </c>
    </row>
    <row r="1876" spans="1:32" ht="17.149999999999999" x14ac:dyDescent="0.55000000000000004">
      <c r="B1876" t="str">
        <f t="shared" ref="B1876" si="6929">B1875</f>
        <v>Portland</v>
      </c>
      <c r="C1876" t="s">
        <v>564</v>
      </c>
      <c r="D1876" cm="1">
        <f t="array" ref="D1876">IF(ISBLANK(INDEX(FX_Input,$Q1875,$AB1876)),0.03,INDEX(FX_Input,Q1875,AB1876))</f>
        <v>0.03</v>
      </c>
      <c r="E1876" cm="1">
        <f t="array" ref="E1876">IF(ISBLANK(INDEX(FX_Input,$Q1875,$AB1876)),0.03,INDEX(FX_Input,R1875,#REF!))</f>
        <v>0.03</v>
      </c>
      <c r="F1876" cm="1">
        <f t="array" ref="F1876">IF(ISBLANK(INDEX(FX_Input,$Q1875,$AB1876)),0.03,INDEX(FX_Input,S1875,#REF!))</f>
        <v>0.03</v>
      </c>
      <c r="G1876" cm="1">
        <f t="array" ref="G1876">IF(ISBLANK(INDEX(FX_Input,$Q1875,$AB1876)),0.03,INDEX(FX_Input,AB1875,#REF!))</f>
        <v>0.03</v>
      </c>
      <c r="H1876" cm="1">
        <f t="array" ref="H1876">IF(ISBLANK(INDEX(FX_Input,$Q1875,$AB1876)),0.03,INDEX(FX_Input,#REF!,#REF!))</f>
        <v>0.03</v>
      </c>
      <c r="I1876" cm="1">
        <f t="array" ref="I1876">IF(ISBLANK(INDEX(FX_Input,$Q1875,$AB1876)),0.03,INDEX(FX_Input,#REF!,#REF!))</f>
        <v>0.03</v>
      </c>
      <c r="J1876" cm="1">
        <f t="array" ref="J1876">IF(ISBLANK(INDEX(FX_Input,$Q1875,$AB1876)),0.03,INDEX(FX_Input,#REF!,#REF!))</f>
        <v>0.03</v>
      </c>
      <c r="K1876" cm="1">
        <f t="array" ref="K1876">IF(ISBLANK(INDEX(FX_Input,$Q1875,$AB1876)),0.03,INDEX(FX_Input,#REF!,AC1876))</f>
        <v>0.03</v>
      </c>
      <c r="L1876" cm="1">
        <f t="array" ref="L1876">IF(ISBLANK(INDEX(FX_Input,$Q1875,$AB1876)),0.03,INDEX(FX_Input,#REF!,AD1876))</f>
        <v>0.03</v>
      </c>
      <c r="M1876" cm="1">
        <f t="array" ref="M1876">IF(ISBLANK(INDEX(FX_Input,$Q1875,$AB1876)),0.03,INDEX(FX_Input,#REF!,#REF!))</f>
        <v>0.03</v>
      </c>
      <c r="N1876" cm="1">
        <f t="array" ref="N1876">IF(ISBLANK(INDEX(FX_Input,$Q1875,$AB1876)),0.03,INDEX(FX_Input,AC1875,#REF!))</f>
        <v>0.03</v>
      </c>
      <c r="O1876" cm="1">
        <f t="array" ref="O1876">IF(ISBLANK(INDEX(FX_Input,$Q1875,$AB1876)),0.03,INDEX(FX_Input,AD1875,#REF!))</f>
        <v>0.03</v>
      </c>
      <c r="AB1876">
        <v>15</v>
      </c>
    </row>
    <row r="1877" spans="1:32" ht="17.149999999999999" x14ac:dyDescent="0.55000000000000004">
      <c r="B1877" t="str">
        <f>B1876</f>
        <v>Portland</v>
      </c>
      <c r="C1877" t="s">
        <v>565</v>
      </c>
      <c r="D1877" cm="1">
        <f t="array" ref="D1877">IF(ISBLANK(INDEX(FX_Input,$Q1875,$AB1877)),-0.03,INDEX(FX_Input,Q1875,AB1877))</f>
        <v>-0.03</v>
      </c>
      <c r="E1877" cm="1">
        <f t="array" ref="E1877">IF(ISBLANK(INDEX(FX_Input,$Q1875,$AB1877)),-0.03,INDEX(FX_Input,R1875,#REF!))</f>
        <v>-0.03</v>
      </c>
      <c r="F1877" cm="1">
        <f t="array" ref="F1877">IF(ISBLANK(INDEX(FX_Input,$Q1875,$AB1877)),-0.03,INDEX(FX_Input,S1875,#REF!))</f>
        <v>-0.03</v>
      </c>
      <c r="G1877" cm="1">
        <f t="array" ref="G1877">IF(ISBLANK(INDEX(FX_Input,$Q1875,$AB1877)),-0.03,INDEX(FX_Input,AB1875,#REF!))</f>
        <v>-0.03</v>
      </c>
      <c r="H1877" cm="1">
        <f t="array" ref="H1877">IF(ISBLANK(INDEX(FX_Input,$Q1875,$AB1877)),-0.03,INDEX(FX_Input,#REF!,#REF!))</f>
        <v>-0.03</v>
      </c>
      <c r="I1877" cm="1">
        <f t="array" ref="I1877">IF(ISBLANK(INDEX(FX_Input,$Q1875,$AB1877)),-0.03,INDEX(FX_Input,#REF!,#REF!))</f>
        <v>-0.03</v>
      </c>
      <c r="J1877" cm="1">
        <f t="array" ref="J1877">IF(ISBLANK(INDEX(FX_Input,$Q1875,$AB1877)),-0.03,INDEX(FX_Input,#REF!,#REF!))</f>
        <v>-0.03</v>
      </c>
      <c r="K1877" cm="1">
        <f t="array" ref="K1877">IF(ISBLANK(INDEX(FX_Input,$Q1875,$AB1877)),-0.03,INDEX(FX_Input,#REF!,AC1877))</f>
        <v>-0.03</v>
      </c>
      <c r="L1877" cm="1">
        <f t="array" ref="L1877">IF(ISBLANK(INDEX(FX_Input,$Q1875,$AB1877)),-0.03,INDEX(FX_Input,#REF!,AD1877))</f>
        <v>-0.03</v>
      </c>
      <c r="M1877" cm="1">
        <f t="array" ref="M1877">IF(ISBLANK(INDEX(FX_Input,$Q1875,$AB1877)),-0.03,INDEX(FX_Input,#REF!,#REF!))</f>
        <v>-0.03</v>
      </c>
      <c r="N1877" cm="1">
        <f t="array" ref="N1877">IF(ISBLANK(INDEX(FX_Input,$Q1875,$AB1877)),-0.03,INDEX(FX_Input,AC1875,#REF!))</f>
        <v>-0.03</v>
      </c>
      <c r="O1877" cm="1">
        <f t="array" ref="O1877">IF(ISBLANK(INDEX(FX_Input,$Q1875,$AB1877)),-0.03,INDEX(FX_Input,AD1875,#REF!))</f>
        <v>-0.03</v>
      </c>
      <c r="AB1877">
        <v>16</v>
      </c>
    </row>
    <row r="1878" spans="1:32" x14ac:dyDescent="0.4">
      <c r="B1878" t="str">
        <f t="shared" ref="B1878:B1879" si="6930">B1877</f>
        <v>Portland</v>
      </c>
      <c r="C1878" s="66" t="s">
        <v>567</v>
      </c>
      <c r="D1878" t="str" cm="1">
        <f t="array" ref="D1878">INDEX(FX_Multi,$AD1878,D$3)</f>
        <v>Jet kerosene</v>
      </c>
      <c r="E1878" t="str" cm="1">
        <f t="array" ref="E1878">INDEX(FX_Multi,$AD1878,E$3)</f>
        <v>Jet kerosene</v>
      </c>
      <c r="F1878" t="str" cm="1">
        <f t="array" ref="F1878">INDEX(FX_Multi,$AD1878,F$3)</f>
        <v>Jet kerosene</v>
      </c>
      <c r="G1878" t="str" cm="1">
        <f t="array" ref="G1878">INDEX(FX_Multi,$AD1878,G$3)</f>
        <v>Jet kerosene</v>
      </c>
      <c r="H1878" t="str" cm="1">
        <f t="array" ref="H1878">INDEX(FX_Multi,$AD1878,H$3)</f>
        <v>Jet kerosene</v>
      </c>
      <c r="I1878" t="str" cm="1">
        <f t="array" ref="I1878">INDEX(FX_Multi,$AD1878,I$3)</f>
        <v>Jet kerosene</v>
      </c>
      <c r="J1878" t="str" cm="1">
        <f t="array" ref="J1878">INDEX(FX_Multi,$AD1878,J$3)</f>
        <v>Jet kerosene</v>
      </c>
      <c r="K1878" t="str" cm="1">
        <f t="array" ref="K1878">INDEX(FX_Multi,$AD1878,K$3)</f>
        <v>Jet kerosene</v>
      </c>
      <c r="L1878" t="str" cm="1">
        <f t="array" ref="L1878">INDEX(FX_Multi,$AD1878,L$3)</f>
        <v>Jet kerosene</v>
      </c>
      <c r="M1878" t="str" cm="1">
        <f t="array" ref="M1878">INDEX(FX_Multi,$AD1878,M$3)</f>
        <v>Jet kerosene</v>
      </c>
      <c r="N1878" t="str" cm="1">
        <f t="array" ref="N1878">INDEX(FX_Multi,$AD1878,N$3)</f>
        <v>Jet kerosene</v>
      </c>
      <c r="O1878" t="str" cm="1">
        <f t="array" ref="O1878">INDEX(FX_Multi,$AD1878,O$3)</f>
        <v>Jet kerosene</v>
      </c>
      <c r="AC1878">
        <v>1</v>
      </c>
      <c r="AD1878">
        <f>AD1875</f>
        <v>771</v>
      </c>
      <c r="AE1878">
        <v>1</v>
      </c>
      <c r="AF1878">
        <f>AF1875</f>
        <v>771</v>
      </c>
    </row>
    <row r="1879" spans="1:32" x14ac:dyDescent="0.4">
      <c r="B1879" t="str">
        <f t="shared" si="6930"/>
        <v>Portland</v>
      </c>
      <c r="C1879" s="66" t="s">
        <v>566</v>
      </c>
      <c r="D1879" t="str" cm="1">
        <f t="array" ref="D1879">INDEX(FX_Multi,$AD1879,D$3)</f>
        <v>Select Pet Stock</v>
      </c>
      <c r="E1879" t="str" cm="1">
        <f t="array" ref="E1879">INDEX(FX_Multi,$AD1879,E$3)</f>
        <v>Select Pet Stock</v>
      </c>
      <c r="F1879" t="str" cm="1">
        <f t="array" ref="F1879">INDEX(FX_Multi,$AD1879,F$3)</f>
        <v>Select Pet Stock</v>
      </c>
      <c r="G1879" t="str" cm="1">
        <f t="array" ref="G1879">INDEX(FX_Multi,$AD1879,G$3)</f>
        <v>Select Pet Stock</v>
      </c>
      <c r="H1879" t="str" cm="1">
        <f t="array" ref="H1879">INDEX(FX_Multi,$AD1879,H$3)</f>
        <v>Select Pet Stock</v>
      </c>
      <c r="I1879" t="str" cm="1">
        <f t="array" ref="I1879">INDEX(FX_Multi,$AD1879,I$3)</f>
        <v>Select Pet Stock</v>
      </c>
      <c r="J1879" t="str" cm="1">
        <f t="array" ref="J1879">INDEX(FX_Multi,$AD1879,J$3)</f>
        <v>Select Pet Stock</v>
      </c>
      <c r="K1879" t="str" cm="1">
        <f t="array" ref="K1879">INDEX(FX_Multi,$AD1879,K$3)</f>
        <v>Select Pet Stock</v>
      </c>
      <c r="L1879" t="str" cm="1">
        <f t="array" ref="L1879">INDEX(FX_Multi,$AD1879,L$3)</f>
        <v>Select Pet Stock</v>
      </c>
      <c r="M1879" t="str" cm="1">
        <f t="array" ref="M1879">INDEX(FX_Multi,$AD1879,M$3)</f>
        <v>Select Pet Stock</v>
      </c>
      <c r="N1879" t="str" cm="1">
        <f t="array" ref="N1879">INDEX(FX_Multi,$AD1879,N$3)</f>
        <v>Select Pet Stock</v>
      </c>
      <c r="O1879" t="str" cm="1">
        <f t="array" ref="O1879">INDEX(FX_Multi,$AD1879,O$3)</f>
        <v>Select Pet Stock</v>
      </c>
      <c r="AC1879">
        <v>1</v>
      </c>
      <c r="AD1879">
        <f>AD1878+2</f>
        <v>773</v>
      </c>
      <c r="AE1879">
        <v>1</v>
      </c>
      <c r="AF1879">
        <f>AF1878+3</f>
        <v>774</v>
      </c>
    </row>
    <row r="1880" spans="1:32" x14ac:dyDescent="0.4">
      <c r="B1880" t="str">
        <f>B1876</f>
        <v>Portland</v>
      </c>
      <c r="C1880" s="66" t="s">
        <v>568</v>
      </c>
      <c r="D1880" cm="1">
        <f t="array" ref="D1880">INDEX(FX_Multi,$AD1880,D$3)</f>
        <v>0</v>
      </c>
      <c r="E1880" cm="1">
        <f t="array" ref="E1880">INDEX(FX_Multi,$AD1880,E$3)</f>
        <v>0</v>
      </c>
      <c r="F1880" cm="1">
        <f t="array" ref="F1880">INDEX(FX_Multi,$AD1880,F$3)</f>
        <v>0</v>
      </c>
      <c r="G1880" cm="1">
        <f t="array" ref="G1880">INDEX(FX_Multi,$AD1880,G$3)</f>
        <v>0</v>
      </c>
      <c r="H1880" cm="1">
        <f t="array" ref="H1880">INDEX(FX_Multi,$AD1880,H$3)</f>
        <v>0</v>
      </c>
      <c r="I1880" cm="1">
        <f t="array" ref="I1880">INDEX(FX_Multi,$AD1880,I$3)</f>
        <v>0</v>
      </c>
      <c r="J1880" cm="1">
        <f t="array" ref="J1880">INDEX(FX_Multi,$AD1880,J$3)</f>
        <v>0</v>
      </c>
      <c r="K1880" cm="1">
        <f t="array" ref="K1880">INDEX(FX_Multi,$AD1880,K$3)</f>
        <v>0</v>
      </c>
      <c r="L1880" cm="1">
        <f t="array" ref="L1880">INDEX(FX_Multi,$AD1880,L$3)</f>
        <v>0</v>
      </c>
      <c r="M1880" cm="1">
        <f t="array" ref="M1880">INDEX(FX_Multi,$AD1880,M$3)</f>
        <v>0</v>
      </c>
      <c r="N1880" cm="1">
        <f t="array" ref="N1880">INDEX(FX_Multi,$AD1880,N$3)</f>
        <v>0</v>
      </c>
      <c r="O1880" cm="1">
        <f t="array" ref="O1880">INDEX(FX_Multi,$AD1880,O$3)</f>
        <v>0</v>
      </c>
      <c r="AC1880">
        <v>1</v>
      </c>
      <c r="AD1880">
        <f>AD1879-1</f>
        <v>772</v>
      </c>
      <c r="AE1880">
        <v>1</v>
      </c>
      <c r="AF1880">
        <f>AF1878+1</f>
        <v>772</v>
      </c>
    </row>
    <row r="1881" spans="1:32" x14ac:dyDescent="0.4">
      <c r="B1881" t="str">
        <f t="shared" ref="B1881:B1885" si="6931">B1880</f>
        <v>Portland</v>
      </c>
      <c r="C1881" s="66" t="s">
        <v>569</v>
      </c>
      <c r="D1881" cm="1">
        <f t="array" ref="D1881">INDEX(FX_Multi,$AD1881,D$3)</f>
        <v>0</v>
      </c>
      <c r="E1881" cm="1">
        <f t="array" ref="E1881">INDEX(FX_Multi,$AD1881,E$3)</f>
        <v>0</v>
      </c>
      <c r="F1881" cm="1">
        <f t="array" ref="F1881">INDEX(FX_Multi,$AD1881,F$3)</f>
        <v>0</v>
      </c>
      <c r="G1881" cm="1">
        <f t="array" ref="G1881">INDEX(FX_Multi,$AD1881,G$3)</f>
        <v>0</v>
      </c>
      <c r="H1881" cm="1">
        <f t="array" ref="H1881">INDEX(FX_Multi,$AD1881,H$3)</f>
        <v>0</v>
      </c>
      <c r="I1881" cm="1">
        <f t="array" ref="I1881">INDEX(FX_Multi,$AD1881,I$3)</f>
        <v>0</v>
      </c>
      <c r="J1881" cm="1">
        <f t="array" ref="J1881">INDEX(FX_Multi,$AD1881,J$3)</f>
        <v>0</v>
      </c>
      <c r="K1881" cm="1">
        <f t="array" ref="K1881">INDEX(FX_Multi,$AD1881,K$3)</f>
        <v>0</v>
      </c>
      <c r="L1881" cm="1">
        <f t="array" ref="L1881">INDEX(FX_Multi,$AD1881,L$3)</f>
        <v>0</v>
      </c>
      <c r="M1881" cm="1">
        <f t="array" ref="M1881">INDEX(FX_Multi,$AD1881,M$3)</f>
        <v>0</v>
      </c>
      <c r="N1881" cm="1">
        <f t="array" ref="N1881">INDEX(FX_Multi,$AD1881,N$3)</f>
        <v>0</v>
      </c>
      <c r="O1881" cm="1">
        <f t="array" ref="O1881">INDEX(FX_Multi,$AD1881,O$3)</f>
        <v>0</v>
      </c>
      <c r="AC1881">
        <v>1</v>
      </c>
      <c r="AD1881">
        <f>AD1880+2</f>
        <v>774</v>
      </c>
      <c r="AE1881">
        <v>1</v>
      </c>
      <c r="AF1881">
        <f>AF1879</f>
        <v>774</v>
      </c>
    </row>
    <row r="1882" spans="1:32" ht="17.149999999999999" x14ac:dyDescent="0.55000000000000004">
      <c r="B1882" t="str">
        <f t="shared" si="6931"/>
        <v>Portland</v>
      </c>
      <c r="C1882" t="s">
        <v>570</v>
      </c>
      <c r="D1882" cm="1">
        <f t="array" ref="D1882">INDEX(FX_Multi,$AD1882,D$3)</f>
        <v>1</v>
      </c>
      <c r="E1882" cm="1">
        <f t="array" ref="E1882">INDEX(FX_Multi,$AD1882,E$3)</f>
        <v>1</v>
      </c>
      <c r="F1882" cm="1">
        <f t="array" ref="F1882">INDEX(FX_Multi,$AD1882,F$3)</f>
        <v>1</v>
      </c>
      <c r="G1882" cm="1">
        <f t="array" ref="G1882">INDEX(FX_Multi,$AD1882,G$3)</f>
        <v>1</v>
      </c>
      <c r="H1882" cm="1">
        <f t="array" ref="H1882">INDEX(FX_Multi,$AD1882,H$3)</f>
        <v>1</v>
      </c>
      <c r="I1882" cm="1">
        <f t="array" ref="I1882">INDEX(FX_Multi,$AD1882,I$3)</f>
        <v>1</v>
      </c>
      <c r="J1882" cm="1">
        <f t="array" ref="J1882">INDEX(FX_Multi,$AD1882,J$3)</f>
        <v>1</v>
      </c>
      <c r="K1882" cm="1">
        <f t="array" ref="K1882">INDEX(FX_Multi,$AD1882,K$3)</f>
        <v>1</v>
      </c>
      <c r="L1882" cm="1">
        <f t="array" ref="L1882">INDEX(FX_Multi,$AD1882,L$3)</f>
        <v>1</v>
      </c>
      <c r="M1882" cm="1">
        <f t="array" ref="M1882">INDEX(FX_Multi,$AD1882,M$3)</f>
        <v>1</v>
      </c>
      <c r="N1882" cm="1">
        <f t="array" ref="N1882">INDEX(FX_Multi,$AD1882,N$3)</f>
        <v>1</v>
      </c>
      <c r="O1882" cm="1">
        <f t="array" ref="O1882">INDEX(FX_Multi,$AD1882,O$3)</f>
        <v>1</v>
      </c>
      <c r="AC1882">
        <v>1</v>
      </c>
      <c r="AD1882">
        <f>AD1881+6</f>
        <v>780</v>
      </c>
      <c r="AE1882">
        <v>1</v>
      </c>
      <c r="AF1882">
        <f>AF1878+9</f>
        <v>780</v>
      </c>
    </row>
    <row r="1883" spans="1:32" ht="17.149999999999999" x14ac:dyDescent="0.55000000000000004">
      <c r="B1883" t="str">
        <f t="shared" si="6931"/>
        <v>Portland</v>
      </c>
      <c r="C1883" t="s">
        <v>571</v>
      </c>
      <c r="D1883" cm="1">
        <f t="array" ref="D1883">INDEX(FX_Multi,$AD1883,D$3)</f>
        <v>162</v>
      </c>
      <c r="E1883" cm="1">
        <f t="array" ref="E1883">INDEX(FX_Multi,$AD1883,E$3)</f>
        <v>162</v>
      </c>
      <c r="F1883" cm="1">
        <f t="array" ref="F1883">INDEX(FX_Multi,$AD1883,F$3)</f>
        <v>162</v>
      </c>
      <c r="G1883" cm="1">
        <f t="array" ref="G1883">INDEX(FX_Multi,$AD1883,G$3)</f>
        <v>162</v>
      </c>
      <c r="H1883" cm="1">
        <f t="array" ref="H1883">INDEX(FX_Multi,$AD1883,H$3)</f>
        <v>162</v>
      </c>
      <c r="I1883" cm="1">
        <f t="array" ref="I1883">INDEX(FX_Multi,$AD1883,I$3)</f>
        <v>162</v>
      </c>
      <c r="J1883" cm="1">
        <f t="array" ref="J1883">INDEX(FX_Multi,$AD1883,J$3)</f>
        <v>162</v>
      </c>
      <c r="K1883" cm="1">
        <f t="array" ref="K1883">INDEX(FX_Multi,$AD1883,K$3)</f>
        <v>162</v>
      </c>
      <c r="L1883" cm="1">
        <f t="array" ref="L1883">INDEX(FX_Multi,$AD1883,L$3)</f>
        <v>162</v>
      </c>
      <c r="M1883" cm="1">
        <f t="array" ref="M1883">INDEX(FX_Multi,$AD1883,M$3)</f>
        <v>162</v>
      </c>
      <c r="N1883" cm="1">
        <f t="array" ref="N1883">INDEX(FX_Multi,$AD1883,N$3)</f>
        <v>162</v>
      </c>
      <c r="O1883" cm="1">
        <f t="array" ref="O1883">INDEX(FX_Multi,$AD1883,O$3)</f>
        <v>162</v>
      </c>
      <c r="AC1883">
        <v>1</v>
      </c>
      <c r="AD1883">
        <f>AD1882-3</f>
        <v>777</v>
      </c>
      <c r="AE1883">
        <v>1</v>
      </c>
      <c r="AF1883">
        <f>AF1878+6</f>
        <v>777</v>
      </c>
    </row>
    <row r="1884" spans="1:32" ht="17.149999999999999" x14ac:dyDescent="0.55000000000000004">
      <c r="B1884" t="str">
        <f t="shared" si="6931"/>
        <v>Portland</v>
      </c>
      <c r="C1884" t="s">
        <v>572</v>
      </c>
      <c r="D1884" cm="1">
        <f t="array" ref="D1884">INDEX(FX_Multi,$AD1884,D$3)</f>
        <v>0</v>
      </c>
      <c r="E1884" cm="1">
        <f t="array" ref="E1884">INDEX(FX_Multi,$AD1884,E$3)</f>
        <v>0</v>
      </c>
      <c r="F1884" cm="1">
        <f t="array" ref="F1884">INDEX(FX_Multi,$AD1884,F$3)</f>
        <v>0</v>
      </c>
      <c r="G1884" cm="1">
        <f t="array" ref="G1884">INDEX(FX_Multi,$AD1884,G$3)</f>
        <v>0</v>
      </c>
      <c r="H1884" cm="1">
        <f t="array" ref="H1884">INDEX(FX_Multi,$AD1884,H$3)</f>
        <v>0</v>
      </c>
      <c r="I1884" cm="1">
        <f t="array" ref="I1884">INDEX(FX_Multi,$AD1884,I$3)</f>
        <v>0</v>
      </c>
      <c r="J1884" cm="1">
        <f t="array" ref="J1884">INDEX(FX_Multi,$AD1884,J$3)</f>
        <v>0</v>
      </c>
      <c r="K1884" cm="1">
        <f t="array" ref="K1884">INDEX(FX_Multi,$AD1884,K$3)</f>
        <v>0</v>
      </c>
      <c r="L1884" cm="1">
        <f t="array" ref="L1884">INDEX(FX_Multi,$AD1884,L$3)</f>
        <v>0</v>
      </c>
      <c r="M1884" cm="1">
        <f t="array" ref="M1884">INDEX(FX_Multi,$AD1884,M$3)</f>
        <v>0</v>
      </c>
      <c r="N1884" cm="1">
        <f t="array" ref="N1884">INDEX(FX_Multi,$AD1884,N$3)</f>
        <v>0</v>
      </c>
      <c r="O1884" cm="1">
        <f t="array" ref="O1884">INDEX(FX_Multi,$AD1884,O$3)</f>
        <v>0</v>
      </c>
      <c r="AC1884">
        <v>1</v>
      </c>
      <c r="AD1884">
        <f>AD1883+4</f>
        <v>781</v>
      </c>
      <c r="AE1884">
        <v>1</v>
      </c>
      <c r="AF1884">
        <f>AF1878+10</f>
        <v>781</v>
      </c>
    </row>
    <row r="1885" spans="1:32" ht="17.149999999999999" x14ac:dyDescent="0.55000000000000004">
      <c r="B1885" t="str">
        <f t="shared" si="6931"/>
        <v>Portland</v>
      </c>
      <c r="C1885" t="s">
        <v>573</v>
      </c>
      <c r="D1885" cm="1">
        <f t="array" ref="D1885">INDEX(FX_Multi,$AD1885,D$3)</f>
        <v>0</v>
      </c>
      <c r="E1885" cm="1">
        <f t="array" ref="E1885">INDEX(FX_Multi,$AD1885,E$3)</f>
        <v>0</v>
      </c>
      <c r="F1885" cm="1">
        <f t="array" ref="F1885">INDEX(FX_Multi,$AD1885,F$3)</f>
        <v>0</v>
      </c>
      <c r="G1885" cm="1">
        <f t="array" ref="G1885">INDEX(FX_Multi,$AD1885,G$3)</f>
        <v>0</v>
      </c>
      <c r="H1885" cm="1">
        <f t="array" ref="H1885">INDEX(FX_Multi,$AD1885,H$3)</f>
        <v>0</v>
      </c>
      <c r="I1885" cm="1">
        <f t="array" ref="I1885">INDEX(FX_Multi,$AD1885,I$3)</f>
        <v>0</v>
      </c>
      <c r="J1885" cm="1">
        <f t="array" ref="J1885">INDEX(FX_Multi,$AD1885,J$3)</f>
        <v>0</v>
      </c>
      <c r="K1885" cm="1">
        <f t="array" ref="K1885">INDEX(FX_Multi,$AD1885,K$3)</f>
        <v>0</v>
      </c>
      <c r="L1885" cm="1">
        <f t="array" ref="L1885">INDEX(FX_Multi,$AD1885,L$3)</f>
        <v>0</v>
      </c>
      <c r="M1885" cm="1">
        <f t="array" ref="M1885">INDEX(FX_Multi,$AD1885,M$3)</f>
        <v>0</v>
      </c>
      <c r="N1885" cm="1">
        <f t="array" ref="N1885">INDEX(FX_Multi,$AD1885,N$3)</f>
        <v>0</v>
      </c>
      <c r="O1885" cm="1">
        <f t="array" ref="O1885">INDEX(FX_Multi,$AD1885,O$3)</f>
        <v>0</v>
      </c>
      <c r="AC1885">
        <v>1</v>
      </c>
      <c r="AD1885">
        <f>AD1884-3</f>
        <v>778</v>
      </c>
      <c r="AE1885">
        <v>1</v>
      </c>
      <c r="AF1885">
        <f>AF1878+7</f>
        <v>778</v>
      </c>
    </row>
    <row r="1886" spans="1:32" ht="17.149999999999999" x14ac:dyDescent="0.55000000000000004">
      <c r="B1886" t="str">
        <f>B1881</f>
        <v>Portland</v>
      </c>
      <c r="C1886" t="s">
        <v>526</v>
      </c>
      <c r="D1886" cm="1">
        <f t="array" ref="D1886">INDEX(FX_Temps,$AF1886,D$3)</f>
        <v>44.328749999999957</v>
      </c>
      <c r="E1886" cm="1">
        <f t="array" ref="E1886">INDEX(FX_Temps,$AF1886,E$3)</f>
        <v>45.450000000000045</v>
      </c>
      <c r="F1886" cm="1">
        <f t="array" ref="F1886">INDEX(FX_Temps,$AF1886,F$3)</f>
        <v>47.19625000000002</v>
      </c>
      <c r="G1886" cm="1">
        <f t="array" ref="G1886">INDEX(FX_Temps,$AF1886,G$3)</f>
        <v>50.164999999999907</v>
      </c>
      <c r="H1886" cm="1">
        <f t="array" ref="H1886">INDEX(FX_Temps,$AF1886,H$3)</f>
        <v>55.071249999999964</v>
      </c>
      <c r="I1886" cm="1">
        <f t="array" ref="I1886">INDEX(FX_Temps,$AF1886,I$3)</f>
        <v>58.9837500000001</v>
      </c>
      <c r="J1886" cm="1">
        <f t="array" ref="J1886">INDEX(FX_Temps,$AF1886,J$3)</f>
        <v>62.584999999999923</v>
      </c>
      <c r="K1886" cm="1">
        <f t="array" ref="K1886">INDEX(FX_Temps,$AF1886,K$3)</f>
        <v>62.764999999999986</v>
      </c>
      <c r="L1886" cm="1">
        <f t="array" ref="L1886">INDEX(FX_Temps,$AF1886,L$3)</f>
        <v>60.095000000000027</v>
      </c>
      <c r="M1886" cm="1">
        <f t="array" ref="M1886">INDEX(FX_Temps,$AF1886,M$3)</f>
        <v>53.559999999999945</v>
      </c>
      <c r="N1886" cm="1">
        <f t="array" ref="N1886">INDEX(FX_Temps,$AF1886,N$3)</f>
        <v>47.588750000000005</v>
      </c>
      <c r="O1886" cm="1">
        <f t="array" ref="O1886">INDEX(FX_Temps,$AF1886,O$3)</f>
        <v>43.97750000000002</v>
      </c>
      <c r="AE1886">
        <v>1</v>
      </c>
      <c r="AF1886">
        <f>AF1878+10</f>
        <v>781</v>
      </c>
    </row>
    <row r="1887" spans="1:32" ht="17.149999999999999" x14ac:dyDescent="0.55000000000000004">
      <c r="B1887" t="str">
        <f t="shared" ref="B1887:B1908" si="6932">B1886</f>
        <v>Portland</v>
      </c>
      <c r="C1887" t="s">
        <v>527</v>
      </c>
      <c r="D1887" cm="1">
        <f t="array" ref="D1887">INDEX(FX_Temps,$AF1887,D$3)</f>
        <v>44.328749999999957</v>
      </c>
      <c r="E1887" cm="1">
        <f t="array" ref="E1887">INDEX(FX_Temps,$AF1887,E$3)</f>
        <v>45.450000000000045</v>
      </c>
      <c r="F1887" cm="1">
        <f t="array" ref="F1887">INDEX(FX_Temps,$AF1887,F$3)</f>
        <v>47.19625000000002</v>
      </c>
      <c r="G1887" cm="1">
        <f t="array" ref="G1887">INDEX(FX_Temps,$AF1887,G$3)</f>
        <v>50.164999999999907</v>
      </c>
      <c r="H1887" cm="1">
        <f t="array" ref="H1887">INDEX(FX_Temps,$AF1887,H$3)</f>
        <v>55.071249999999964</v>
      </c>
      <c r="I1887" cm="1">
        <f t="array" ref="I1887">INDEX(FX_Temps,$AF1887,I$3)</f>
        <v>58.9837500000001</v>
      </c>
      <c r="J1887" cm="1">
        <f t="array" ref="J1887">INDEX(FX_Temps,$AF1887,J$3)</f>
        <v>62.584999999999923</v>
      </c>
      <c r="K1887" cm="1">
        <f t="array" ref="K1887">INDEX(FX_Temps,$AF1887,K$3)</f>
        <v>62.764999999999986</v>
      </c>
      <c r="L1887" cm="1">
        <f t="array" ref="L1887">INDEX(FX_Temps,$AF1887,L$3)</f>
        <v>60.095000000000027</v>
      </c>
      <c r="M1887" cm="1">
        <f t="array" ref="M1887">INDEX(FX_Temps,$AF1887,M$3)</f>
        <v>53.559999999999945</v>
      </c>
      <c r="N1887" cm="1">
        <f t="array" ref="N1887">INDEX(FX_Temps,$AF1887,N$3)</f>
        <v>47.588750000000005</v>
      </c>
      <c r="O1887" cm="1">
        <f t="array" ref="O1887">INDEX(FX_Temps,$AF1887,O$3)</f>
        <v>43.97750000000002</v>
      </c>
      <c r="AE1887">
        <f>AE1886</f>
        <v>1</v>
      </c>
      <c r="AF1887">
        <f>AF1878+11</f>
        <v>782</v>
      </c>
    </row>
    <row r="1888" spans="1:32" ht="17.149999999999999" x14ac:dyDescent="0.55000000000000004">
      <c r="B1888" t="str">
        <f t="shared" si="6932"/>
        <v>Portland</v>
      </c>
      <c r="C1888" t="s">
        <v>552</v>
      </c>
      <c r="D1888" cm="1">
        <f t="array" ref="D1888">INDEX(FX_Temps,$AF1888,D$3)</f>
        <v>44.757499999999993</v>
      </c>
      <c r="E1888" cm="1">
        <f t="array" ref="E1888">INDEX(FX_Temps,$AF1888,E$3)</f>
        <v>46.200000000000045</v>
      </c>
      <c r="F1888" cm="1">
        <f t="array" ref="F1888">INDEX(FX_Temps,$AF1888,F$3)</f>
        <v>48.292500000000018</v>
      </c>
      <c r="G1888" cm="1">
        <f t="array" ref="G1888">INDEX(FX_Temps,$AF1888,G$3)</f>
        <v>51.729999999999905</v>
      </c>
      <c r="H1888" cm="1">
        <f t="array" ref="H1888">INDEX(FX_Temps,$AF1888,H$3)</f>
        <v>56.99249999999995</v>
      </c>
      <c r="I1888" cm="1">
        <f t="array" ref="I1888">INDEX(FX_Temps,$AF1888,I$3)</f>
        <v>61.017500000000041</v>
      </c>
      <c r="J1888" cm="1">
        <f t="array" ref="J1888">INDEX(FX_Temps,$AF1888,J$3)</f>
        <v>64.719999999999914</v>
      </c>
      <c r="K1888" cm="1">
        <f t="array" ref="K1888">INDEX(FX_Temps,$AF1888,K$3)</f>
        <v>64.63</v>
      </c>
      <c r="L1888" cm="1">
        <f t="array" ref="L1888">INDEX(FX_Temps,$AF1888,L$3)</f>
        <v>61.590000000000032</v>
      </c>
      <c r="M1888" cm="1">
        <f t="array" ref="M1888">INDEX(FX_Temps,$AF1888,M$3)</f>
        <v>54.470000000000027</v>
      </c>
      <c r="N1888" cm="1">
        <f t="array" ref="N1888">INDEX(FX_Temps,$AF1888,N$3)</f>
        <v>48.077500000000043</v>
      </c>
      <c r="O1888" cm="1">
        <f t="array" ref="O1888">INDEX(FX_Temps,$AF1888,O$3)</f>
        <v>44.355000000000018</v>
      </c>
      <c r="AE1888">
        <f>AE1887</f>
        <v>1</v>
      </c>
      <c r="AF1888">
        <f>AF1878+13</f>
        <v>784</v>
      </c>
    </row>
    <row r="1889" spans="2:15" ht="17.149999999999999" x14ac:dyDescent="0.55000000000000004">
      <c r="B1889" t="str">
        <f t="shared" si="6932"/>
        <v>Portland</v>
      </c>
      <c r="C1889" t="s">
        <v>574</v>
      </c>
      <c r="D1889" cm="1">
        <f t="array" ref="D1889">IFERROR(IF(D1879="Chemical",(10^(INDEX(Antoines,MATCH(D1878,Antoine_Name,0),2)-INDEX(Antoines,MATCH(D1878,Antoine_Name,0),3)/(INDEX(Antoines,MATCH(D1878,Antoine_Name,0),4)+(D1886-32)*5/9)))*14.7/760,IF(D1879="Crude Oil",EXP((2799/(D1886+459.6)-2.227)*LOG10(INDEX(FX_Input,Q$5,D$3*$Z$5+$AA$5))-(7261/(D1886+459.6))+12.82),IF(D1879="Refined Petroleum Stock",EXP((0.7553-(413/(D1886+459.6)))*(INDEX(FX_Input,Q$5,D$3*$Z$5+$AA$5-1)^0.5)*LOG10(INDEX(FX_Input,Q$5,D$3*$Z$5+$AA$5))-(1.854-(1042/(D1886+459.6)))*(INDEX(FX_Input,Q$5,D$3*$Z$5+$AA$5-1)^0.5)+((2416/(D1886+459.6)-2.013)*LOG10(INDEX(FX_Input,Q$5,D$3*$Z$5+$AA$5)))-(8742/(D1886+459.6))+15.64),EXP(INDEX(Antoines,MATCH(D1878,Antoine_Name,0),2)-INDEX(Antoines,MATCH(D1878,Antoine_Name,0),3)/(D1886+459.6))))),0)</f>
        <v>4.8116637646820016E-3</v>
      </c>
      <c r="E1889" cm="1">
        <f t="array" ref="E1889">IFERROR(IF(E1879="Chemical",(10^(INDEX(Antoines,MATCH(E1878,Antoine_Name,0),2)-INDEX(Antoines,MATCH(E1878,Antoine_Name,0),3)/(INDEX(Antoines,MATCH(E1878,Antoine_Name,0),4)+(E1886-32)*5/9)))*14.7/760,IF(E1879="Crude Oil",EXP((2799/(E1886+459.6)-2.227)*LOG10(INDEX(FX_Input,R$5,E$3*$Z$5+$AA$5))-(7261/(E1886+459.6))+12.82),IF(E1879="Refined Petroleum Stock",EXP((0.7553-(413/(E1886+459.6)))*(INDEX(FX_Input,R$5,E$3*$Z$5+$AA$5-1)^0.5)*LOG10(INDEX(FX_Input,R$5,E$3*$Z$5+$AA$5))-(1.854-(1042/(E1886+459.6)))*(INDEX(FX_Input,R$5,E$3*$Z$5+$AA$5-1)^0.5)+((2416/(E1886+459.6)-2.013)*LOG10(INDEX(FX_Input,R$5,E$3*$Z$5+$AA$5)))-(8742/(E1886+459.6))+15.64),EXP(INDEX(Antoines,MATCH(E1878,Antoine_Name,0),2)-INDEX(Antoines,MATCH(E1878,Antoine_Name,0),3)/(E1886+459.6))))),0)</f>
        <v>5.0048006991488458E-3</v>
      </c>
      <c r="F1889" cm="1">
        <f t="array" ref="F1889">IFERROR(IF(F1879="Chemical",(10^(INDEX(Antoines,MATCH(F1878,Antoine_Name,0),2)-INDEX(Antoines,MATCH(F1878,Antoine_Name,0),3)/(INDEX(Antoines,MATCH(F1878,Antoine_Name,0),4)+(F1886-32)*5/9)))*14.7/760,IF(F1879="Crude Oil",EXP((2799/(F1886+459.6)-2.227)*LOG10(INDEX(FX_Input,S$5,F$3*$Z$5+$AA$5))-(7261/(F1886+459.6))+12.82),IF(F1879="Refined Petroleum Stock",EXP((0.7553-(413/(F1886+459.6)))*(INDEX(FX_Input,S$5,F$3*$Z$5+$AA$5-1)^0.5)*LOG10(INDEX(FX_Input,S$5,F$3*$Z$5+$AA$5))-(1.854-(1042/(F1886+459.6)))*(INDEX(FX_Input,S$5,F$3*$Z$5+$AA$5-1)^0.5)+((2416/(F1886+459.6)-2.013)*LOG10(INDEX(FX_Input,S$5,F$3*$Z$5+$AA$5)))-(8742/(F1886+459.6))+15.64),EXP(INDEX(Antoines,MATCH(F1878,Antoine_Name,0),2)-INDEX(Antoines,MATCH(F1878,Antoine_Name,0),3)/(F1886+459.6))))),0)</f>
        <v>5.3193030941574935E-3</v>
      </c>
      <c r="G1889" cm="1">
        <f t="array" ref="G1889">IFERROR(IF(G1879="Chemical",(10^(INDEX(Antoines,MATCH(G1878,Antoine_Name,0),2)-INDEX(Antoines,MATCH(G1878,Antoine_Name,0),3)/(INDEX(Antoines,MATCH(G1878,Antoine_Name,0),4)+(G1886-32)*5/9)))*14.7/760,IF(G1879="Crude Oil",EXP((2799/(G1886+459.6)-2.227)*LOG10(INDEX(FX_Input,T$5,G$3*$Z$5+$AA$5))-(7261/(G1886+459.6))+12.82),IF(G1879="Refined Petroleum Stock",EXP((0.7553-(413/(G1886+459.6)))*(INDEX(FX_Input,T$5,G$3*$Z$5+$AA$5-1)^0.5)*LOG10(INDEX(FX_Input,T$5,G$3*$Z$5+$AA$5))-(1.854-(1042/(G1886+459.6)))*(INDEX(FX_Input,T$5,G$3*$Z$5+$AA$5-1)^0.5)+((2416/(G1886+459.6)-2.013)*LOG10(INDEX(FX_Input,T$5,G$3*$Z$5+$AA$5)))-(8742/(G1886+459.6))+15.64),EXP(INDEX(Antoines,MATCH(G1878,Antoine_Name,0),2)-INDEX(Antoines,MATCH(G1878,Antoine_Name,0),3)/(G1886+459.6))))),0)</f>
        <v>5.8943503851042415E-3</v>
      </c>
      <c r="H1889" cm="1">
        <f t="array" ref="H1889">IFERROR(IF(H1879="Chemical",(10^(INDEX(Antoines,MATCH(H1878,Antoine_Name,0),2)-INDEX(Antoines,MATCH(H1878,Antoine_Name,0),3)/(INDEX(Antoines,MATCH(H1878,Antoine_Name,0),4)+(H1886-32)*5/9)))*14.7/760,IF(H1879="Crude Oil",EXP((2799/(H1886+459.6)-2.227)*LOG10(INDEX(FX_Input,U$5,H$3*$Z$5+$AA$5))-(7261/(H1886+459.6))+12.82),IF(H1879="Refined Petroleum Stock",EXP((0.7553-(413/(H1886+459.6)))*(INDEX(FX_Input,U$5,H$3*$Z$5+$AA$5-1)^0.5)*LOG10(INDEX(FX_Input,U$5,H$3*$Z$5+$AA$5))-(1.854-(1042/(H1886+459.6)))*(INDEX(FX_Input,U$5,H$3*$Z$5+$AA$5-1)^0.5)+((2416/(H1886+459.6)-2.013)*LOG10(INDEX(FX_Input,U$5,H$3*$Z$5+$AA$5)))-(8742/(H1886+459.6))+15.64),EXP(INDEX(Antoines,MATCH(H1878,Antoine_Name,0),2)-INDEX(Antoines,MATCH(H1878,Antoine_Name,0),3)/(H1886+459.6))))),0)</f>
        <v>6.9660236232598005E-3</v>
      </c>
      <c r="I1889" cm="1">
        <f t="array" ref="I1889">IFERROR(IF(I1879="Chemical",(10^(INDEX(Antoines,MATCH(I1878,Antoine_Name,0),2)-INDEX(Antoines,MATCH(I1878,Antoine_Name,0),3)/(INDEX(Antoines,MATCH(I1878,Antoine_Name,0),4)+(I1886-32)*5/9)))*14.7/760,IF(I1879="Crude Oil",EXP((2799/(I1886+459.6)-2.227)*LOG10(INDEX(FX_Input,V$5,I$3*$Z$5+$AA$5))-(7261/(I1886+459.6))+12.82),IF(I1879="Refined Petroleum Stock",EXP((0.7553-(413/(I1886+459.6)))*(INDEX(FX_Input,V$5,I$3*$Z$5+$AA$5-1)^0.5)*LOG10(INDEX(FX_Input,V$5,I$3*$Z$5+$AA$5))-(1.854-(1042/(I1886+459.6)))*(INDEX(FX_Input,V$5,I$3*$Z$5+$AA$5-1)^0.5)+((2416/(I1886+459.6)-2.013)*LOG10(INDEX(FX_Input,V$5,I$3*$Z$5+$AA$5)))-(8742/(I1886+459.6))+15.64),EXP(INDEX(Antoines,MATCH(I1878,Antoine_Name,0),2)-INDEX(Antoines,MATCH(I1878,Antoine_Name,0),3)/(I1886+459.6))))),0)</f>
        <v>7.9406391529506654E-3</v>
      </c>
      <c r="J1889" cm="1">
        <f t="array" ref="J1889">IFERROR(IF(J1879="Chemical",(10^(INDEX(Antoines,MATCH(J1878,Antoine_Name,0),2)-INDEX(Antoines,MATCH(J1878,Antoine_Name,0),3)/(INDEX(Antoines,MATCH(J1878,Antoine_Name,0),4)+(J1886-32)*5/9)))*14.7/760,IF(J1879="Crude Oil",EXP((2799/(J1886+459.6)-2.227)*LOG10(INDEX(FX_Input,W$5,J$3*$Z$5+$AA$5))-(7261/(J1886+459.6))+12.82),IF(J1879="Refined Petroleum Stock",EXP((0.7553-(413/(J1886+459.6)))*(INDEX(FX_Input,W$5,J$3*$Z$5+$AA$5-1)^0.5)*LOG10(INDEX(FX_Input,W$5,J$3*$Z$5+$AA$5))-(1.854-(1042/(J1886+459.6)))*(INDEX(FX_Input,W$5,J$3*$Z$5+$AA$5-1)^0.5)+((2416/(J1886+459.6)-2.013)*LOG10(INDEX(FX_Input,W$5,J$3*$Z$5+$AA$5)))-(8742/(J1886+459.6))+15.64),EXP(INDEX(Antoines,MATCH(J1878,Antoine_Name,0),2)-INDEX(Antoines,MATCH(J1878,Antoine_Name,0),3)/(J1886+459.6))))),0)</f>
        <v>8.9422860963673592E-3</v>
      </c>
      <c r="K1889" cm="1">
        <f t="array" ref="K1889">IFERROR(IF(K1879="Chemical",(10^(INDEX(Antoines,MATCH(K1878,Antoine_Name,0),2)-INDEX(Antoines,MATCH(K1878,Antoine_Name,0),3)/(INDEX(Antoines,MATCH(K1878,Antoine_Name,0),4)+(K1886-32)*5/9)))*14.7/760,IF(K1879="Crude Oil",EXP((2799/(K1886+459.6)-2.227)*LOG10(INDEX(FX_Input,X$5,K$3*$Z$5+$AA$5))-(7261/(K1886+459.6))+12.82),IF(K1879="Refined Petroleum Stock",EXP((0.7553-(413/(K1886+459.6)))*(INDEX(FX_Input,X$5,K$3*$Z$5+$AA$5-1)^0.5)*LOG10(INDEX(FX_Input,X$5,K$3*$Z$5+$AA$5))-(1.854-(1042/(K1886+459.6)))*(INDEX(FX_Input,X$5,K$3*$Z$5+$AA$5-1)^0.5)+((2416/(K1886+459.6)-2.013)*LOG10(INDEX(FX_Input,X$5,K$3*$Z$5+$AA$5)))-(8742/(K1886+459.6))+15.64),EXP(INDEX(Antoines,MATCH(K1878,Antoine_Name,0),2)-INDEX(Antoines,MATCH(K1878,Antoine_Name,0),3)/(K1886+459.6))))),0)</f>
        <v>8.9951550374627008E-3</v>
      </c>
      <c r="L1889" cm="1">
        <f t="array" ref="L1889">IFERROR(IF(L1879="Chemical",(10^(INDEX(Antoines,MATCH(L1878,Antoine_Name,0),2)-INDEX(Antoines,MATCH(L1878,Antoine_Name,0),3)/(INDEX(Antoines,MATCH(L1878,Antoine_Name,0),4)+(L1886-32)*5/9)))*14.7/760,IF(L1879="Crude Oil",EXP((2799/(L1886+459.6)-2.227)*LOG10(INDEX(FX_Input,Y$5,L$3*$Z$5+$AA$5))-(7261/(L1886+459.6))+12.82),IF(L1879="Refined Petroleum Stock",EXP((0.7553-(413/(L1886+459.6)))*(INDEX(FX_Input,Y$5,L$3*$Z$5+$AA$5-1)^0.5)*LOG10(INDEX(FX_Input,Y$5,L$3*$Z$5+$AA$5))-(1.854-(1042/(L1886+459.6)))*(INDEX(FX_Input,Y$5,L$3*$Z$5+$AA$5-1)^0.5)+((2416/(L1886+459.6)-2.013)*LOG10(INDEX(FX_Input,Y$5,L$3*$Z$5+$AA$5)))-(8742/(L1886+459.6))+15.64),EXP(INDEX(Antoines,MATCH(L1878,Antoine_Name,0),2)-INDEX(Antoines,MATCH(L1878,Antoine_Name,0),3)/(L1886+459.6))))),0)</f>
        <v>8.2385730689388259E-3</v>
      </c>
      <c r="M1889" cm="1">
        <f t="array" ref="M1889">IFERROR(IF(M1879="Chemical",(10^(INDEX(Antoines,MATCH(M1878,Antoine_Name,0),2)-INDEX(Antoines,MATCH(M1878,Antoine_Name,0),3)/(INDEX(Antoines,MATCH(M1878,Antoine_Name,0),4)+(M1886-32)*5/9)))*14.7/760,IF(M1879="Crude Oil",EXP((2799/(M1886+459.6)-2.227)*LOG10(INDEX(FX_Input,Z$5,M$3*$Z$5+$AA$5))-(7261/(M1886+459.6))+12.82),IF(M1879="Refined Petroleum Stock",EXP((0.7553-(413/(M1886+459.6)))*(INDEX(FX_Input,Z$5,M$3*$Z$5+$AA$5-1)^0.5)*LOG10(INDEX(FX_Input,Z$5,M$3*$Z$5+$AA$5))-(1.854-(1042/(M1886+459.6)))*(INDEX(FX_Input,Z$5,M$3*$Z$5+$AA$5-1)^0.5)+((2416/(M1886+459.6)-2.013)*LOG10(INDEX(FX_Input,Z$5,M$3*$Z$5+$AA$5)))-(8742/(M1886+459.6))+15.64),EXP(INDEX(Antoines,MATCH(M1878,Antoine_Name,0),2)-INDEX(Antoines,MATCH(M1878,Antoine_Name,0),3)/(M1886+459.6))))),0)</f>
        <v>6.618900442185772E-3</v>
      </c>
      <c r="N1889" cm="1">
        <f t="array" ref="N1889">IFERROR(IF(N1879="Chemical",(10^(INDEX(Antoines,MATCH(N1878,Antoine_Name,0),2)-INDEX(Antoines,MATCH(N1878,Antoine_Name,0),3)/(INDEX(Antoines,MATCH(N1878,Antoine_Name,0),4)+(N1886-32)*5/9)))*14.7/760,IF(N1879="Crude Oil",EXP((2799/(N1886+459.6)-2.227)*LOG10(INDEX(FX_Input,AA$5,N$3*$Z$5+$AA$5))-(7261/(N1886+459.6))+12.82),IF(N1879="Refined Petroleum Stock",EXP((0.7553-(413/(N1886+459.6)))*(INDEX(FX_Input,AA$5,N$3*$Z$5+$AA$5-1)^0.5)*LOG10(INDEX(FX_Input,AA$5,N$3*$Z$5+$AA$5))-(1.854-(1042/(N1886+459.6)))*(INDEX(FX_Input,AA$5,N$3*$Z$5+$AA$5-1)^0.5)+((2416/(N1886+459.6)-2.013)*LOG10(INDEX(FX_Input,AA$5,N$3*$Z$5+$AA$5)))-(8742/(N1886+459.6))+15.64),EXP(INDEX(Antoines,MATCH(N1878,Antoine_Name,0),2)-INDEX(Antoines,MATCH(N1878,Antoine_Name,0),3)/(N1886+459.6))))),0)</f>
        <v>5.3923587959108042E-3</v>
      </c>
      <c r="O1889" cm="1">
        <f t="array" ref="O1889">IFERROR(IF(O1879="Chemical",(10^(INDEX(Antoines,MATCH(O1878,Antoine_Name,0),2)-INDEX(Antoines,MATCH(O1878,Antoine_Name,0),3)/(INDEX(Antoines,MATCH(O1878,Antoine_Name,0),4)+(O1886-32)*5/9)))*14.7/760,IF(O1879="Crude Oil",EXP((2799/(O1886+459.6)-2.227)*LOG10(INDEX(FX_Input,AB$5,O$3*$Z$5+$AA$5))-(7261/(O1886+459.6))+12.82),IF(O1879="Refined Petroleum Stock",EXP((0.7553-(413/(O1886+459.6)))*(INDEX(FX_Input,AB$5,O$3*$Z$5+$AA$5-1)^0.5)*LOG10(INDEX(FX_Input,AB$5,O$3*$Z$5+$AA$5))-(1.854-(1042/(O1886+459.6)))*(INDEX(FX_Input,AB$5,O$3*$Z$5+$AA$5-1)^0.5)+((2416/(O1886+459.6)-2.013)*LOG10(INDEX(FX_Input,AB$5,O$3*$Z$5+$AA$5)))-(8742/(O1886+459.6))+15.64),EXP(INDEX(Antoines,MATCH(O1878,Antoine_Name,0),2)-INDEX(Antoines,MATCH(O1878,Antoine_Name,0),3)/(O1886+459.6))))),0)</f>
        <v>4.7525360186456101E-3</v>
      </c>
    </row>
    <row r="1890" spans="2:15" ht="17.149999999999999" x14ac:dyDescent="0.55000000000000004">
      <c r="B1890" t="str">
        <f t="shared" si="6932"/>
        <v>Portland</v>
      </c>
      <c r="C1890" t="s">
        <v>576</v>
      </c>
      <c r="D1890">
        <f>D1882*D1889</f>
        <v>4.8116637646820016E-3</v>
      </c>
      <c r="E1890">
        <f t="shared" ref="E1890" si="6933">E1882*E1889</f>
        <v>5.0048006991488458E-3</v>
      </c>
      <c r="F1890">
        <f t="shared" ref="F1890" si="6934">F1882*F1889</f>
        <v>5.3193030941574935E-3</v>
      </c>
      <c r="G1890">
        <f t="shared" ref="G1890" si="6935">G1882*G1889</f>
        <v>5.8943503851042415E-3</v>
      </c>
      <c r="H1890">
        <f t="shared" ref="H1890" si="6936">H1882*H1889</f>
        <v>6.9660236232598005E-3</v>
      </c>
      <c r="I1890">
        <f t="shared" ref="I1890" si="6937">I1882*I1889</f>
        <v>7.9406391529506654E-3</v>
      </c>
      <c r="J1890">
        <f t="shared" ref="J1890" si="6938">J1882*J1889</f>
        <v>8.9422860963673592E-3</v>
      </c>
      <c r="K1890">
        <f t="shared" ref="K1890" si="6939">K1882*K1889</f>
        <v>8.9951550374627008E-3</v>
      </c>
      <c r="L1890">
        <f t="shared" ref="L1890" si="6940">L1882*L1889</f>
        <v>8.2385730689388259E-3</v>
      </c>
      <c r="M1890">
        <f t="shared" ref="M1890" si="6941">M1882*M1889</f>
        <v>6.618900442185772E-3</v>
      </c>
      <c r="N1890">
        <f t="shared" ref="N1890" si="6942">N1882*N1889</f>
        <v>5.3923587959108042E-3</v>
      </c>
      <c r="O1890">
        <f t="shared" ref="O1890" si="6943">O1882*O1889</f>
        <v>4.7525360186456101E-3</v>
      </c>
    </row>
    <row r="1891" spans="2:15" ht="17.149999999999999" x14ac:dyDescent="0.55000000000000004">
      <c r="B1891" t="str">
        <f t="shared" si="6932"/>
        <v>Portland</v>
      </c>
      <c r="C1891" t="s">
        <v>575</v>
      </c>
      <c r="D1891" cm="1">
        <f t="array" ref="D1891">IFERROR(IF(D1881="Chemical",(10^(INDEX(Antoines,MATCH(D1880,Antoine_Name,0),2)-INDEX(Antoines,MATCH(D1880,Antoine_Name,0),3)/(INDEX(Antoines,MATCH(D1880,Antoine_Name,0),4)+(D1886-32)*5/9)))*14.7/760,IF(D1881="Crude Oil",EXP((2799/(D1886+459.6)-2.227)*LOG10(INDEX(FX_Input,Q$5,D$3*$Z$5+$AA$5))-(7261/(D1886+459.6))+12.82),IF(D1881="Refined Petroleum Stock",EXP((0.7553-(413/(D1886+459.6)))*(INDEX(FX_Input,Q$5,D$3*$Z$5+$AA$5-1)^0.5)*LOG10(INDEX(FX_Input,Q$5,D$3*$Z$5+$AA$5))-(1.854-(1042/(D1886+459.6)))*(INDEX(FX_Input,Q$5,D$3*$Z$5+$AA$5-1)^0.5)+((2416/(D1886+459.6)-2.013)*LOG10(INDEX(FX_Input,Q$5,D$3*$Z$5+$AA$5)))-(8742/(D1886+459.6))+15.64),EXP(INDEX(Antoines,MATCH(D1880,Antoine_Name,0),2)-INDEX(Antoines,MATCH(D1880,Antoine_Name,0),3)/(D1886+459.6))))),0)</f>
        <v>0</v>
      </c>
      <c r="E1891" cm="1">
        <f t="array" ref="E1891">IFERROR(IF(E1881="Chemical",(10^(INDEX(Antoines,MATCH(E1880,Antoine_Name,0),2)-INDEX(Antoines,MATCH(E1880,Antoine_Name,0),3)/(INDEX(Antoines,MATCH(E1880,Antoine_Name,0),4)+(E1886-32)*5/9)))*14.7/760,IF(E1881="Crude Oil",EXP((2799/(E1886+459.6)-2.227)*LOG10(INDEX(FX_Input,R$5,E$3*$Z$5+$AA$5))-(7261/(E1886+459.6))+12.82),IF(E1881="Refined Petroleum Stock",EXP((0.7553-(413/(E1886+459.6)))*(INDEX(FX_Input,R$5,E$3*$Z$5+$AA$5-1)^0.5)*LOG10(INDEX(FX_Input,R$5,E$3*$Z$5+$AA$5))-(1.854-(1042/(E1886+459.6)))*(INDEX(FX_Input,R$5,E$3*$Z$5+$AA$5-1)^0.5)+((2416/(E1886+459.6)-2.013)*LOG10(INDEX(FX_Input,R$5,E$3*$Z$5+$AA$5)))-(8742/(E1886+459.6))+15.64),EXP(INDEX(Antoines,MATCH(E1880,Antoine_Name,0),2)-INDEX(Antoines,MATCH(E1880,Antoine_Name,0),3)/(E1886+459.6))))),0)</f>
        <v>0</v>
      </c>
      <c r="F1891" cm="1">
        <f t="array" ref="F1891">IFERROR(IF(F1881="Chemical",(10^(INDEX(Antoines,MATCH(F1880,Antoine_Name,0),2)-INDEX(Antoines,MATCH(F1880,Antoine_Name,0),3)/(INDEX(Antoines,MATCH(F1880,Antoine_Name,0),4)+(F1886-32)*5/9)))*14.7/760,IF(F1881="Crude Oil",EXP((2799/(F1886+459.6)-2.227)*LOG10(INDEX(FX_Input,S$5,F$3*$Z$5+$AA$5))-(7261/(F1886+459.6))+12.82),IF(F1881="Refined Petroleum Stock",EXP((0.7553-(413/(F1886+459.6)))*(INDEX(FX_Input,S$5,F$3*$Z$5+$AA$5-1)^0.5)*LOG10(INDEX(FX_Input,S$5,F$3*$Z$5+$AA$5))-(1.854-(1042/(F1886+459.6)))*(INDEX(FX_Input,S$5,F$3*$Z$5+$AA$5-1)^0.5)+((2416/(F1886+459.6)-2.013)*LOG10(INDEX(FX_Input,S$5,F$3*$Z$5+$AA$5)))-(8742/(F1886+459.6))+15.64),EXP(INDEX(Antoines,MATCH(F1880,Antoine_Name,0),2)-INDEX(Antoines,MATCH(F1880,Antoine_Name,0),3)/(F1886+459.6))))),0)</f>
        <v>0</v>
      </c>
      <c r="G1891" cm="1">
        <f t="array" ref="G1891">IFERROR(IF(G1881="Chemical",(10^(INDEX(Antoines,MATCH(G1880,Antoine_Name,0),2)-INDEX(Antoines,MATCH(G1880,Antoine_Name,0),3)/(INDEX(Antoines,MATCH(G1880,Antoine_Name,0),4)+(G1886-32)*5/9)))*14.7/760,IF(G1881="Crude Oil",EXP((2799/(G1886+459.6)-2.227)*LOG10(INDEX(FX_Input,T$5,G$3*$Z$5+$AA$5))-(7261/(G1886+459.6))+12.82),IF(G1881="Refined Petroleum Stock",EXP((0.7553-(413/(G1886+459.6)))*(INDEX(FX_Input,T$5,G$3*$Z$5+$AA$5-1)^0.5)*LOG10(INDEX(FX_Input,T$5,G$3*$Z$5+$AA$5))-(1.854-(1042/(G1886+459.6)))*(INDEX(FX_Input,T$5,G$3*$Z$5+$AA$5-1)^0.5)+((2416/(G1886+459.6)-2.013)*LOG10(INDEX(FX_Input,T$5,G$3*$Z$5+$AA$5)))-(8742/(G1886+459.6))+15.64),EXP(INDEX(Antoines,MATCH(G1880,Antoine_Name,0),2)-INDEX(Antoines,MATCH(G1880,Antoine_Name,0),3)/(G1886+459.6))))),0)</f>
        <v>0</v>
      </c>
      <c r="H1891" cm="1">
        <f t="array" ref="H1891">IFERROR(IF(H1881="Chemical",(10^(INDEX(Antoines,MATCH(H1880,Antoine_Name,0),2)-INDEX(Antoines,MATCH(H1880,Antoine_Name,0),3)/(INDEX(Antoines,MATCH(H1880,Antoine_Name,0),4)+(H1886-32)*5/9)))*14.7/760,IF(H1881="Crude Oil",EXP((2799/(H1886+459.6)-2.227)*LOG10(INDEX(FX_Input,U$5,H$3*$Z$5+$AA$5))-(7261/(H1886+459.6))+12.82),IF(H1881="Refined Petroleum Stock",EXP((0.7553-(413/(H1886+459.6)))*(INDEX(FX_Input,U$5,H$3*$Z$5+$AA$5-1)^0.5)*LOG10(INDEX(FX_Input,U$5,H$3*$Z$5+$AA$5))-(1.854-(1042/(H1886+459.6)))*(INDEX(FX_Input,U$5,H$3*$Z$5+$AA$5-1)^0.5)+((2416/(H1886+459.6)-2.013)*LOG10(INDEX(FX_Input,U$5,H$3*$Z$5+$AA$5)))-(8742/(H1886+459.6))+15.64),EXP(INDEX(Antoines,MATCH(H1880,Antoine_Name,0),2)-INDEX(Antoines,MATCH(H1880,Antoine_Name,0),3)/(H1886+459.6))))),0)</f>
        <v>0</v>
      </c>
      <c r="I1891" cm="1">
        <f t="array" ref="I1891">IFERROR(IF(I1881="Chemical",(10^(INDEX(Antoines,MATCH(I1880,Antoine_Name,0),2)-INDEX(Antoines,MATCH(I1880,Antoine_Name,0),3)/(INDEX(Antoines,MATCH(I1880,Antoine_Name,0),4)+(I1886-32)*5/9)))*14.7/760,IF(I1881="Crude Oil",EXP((2799/(I1886+459.6)-2.227)*LOG10(INDEX(FX_Input,V$5,I$3*$Z$5+$AA$5))-(7261/(I1886+459.6))+12.82),IF(I1881="Refined Petroleum Stock",EXP((0.7553-(413/(I1886+459.6)))*(INDEX(FX_Input,V$5,I$3*$Z$5+$AA$5-1)^0.5)*LOG10(INDEX(FX_Input,V$5,I$3*$Z$5+$AA$5))-(1.854-(1042/(I1886+459.6)))*(INDEX(FX_Input,V$5,I$3*$Z$5+$AA$5-1)^0.5)+((2416/(I1886+459.6)-2.013)*LOG10(INDEX(FX_Input,V$5,I$3*$Z$5+$AA$5)))-(8742/(I1886+459.6))+15.64),EXP(INDEX(Antoines,MATCH(I1880,Antoine_Name,0),2)-INDEX(Antoines,MATCH(I1880,Antoine_Name,0),3)/(I1886+459.6))))),0)</f>
        <v>0</v>
      </c>
      <c r="J1891" cm="1">
        <f t="array" ref="J1891">IFERROR(IF(J1881="Chemical",(10^(INDEX(Antoines,MATCH(J1880,Antoine_Name,0),2)-INDEX(Antoines,MATCH(J1880,Antoine_Name,0),3)/(INDEX(Antoines,MATCH(J1880,Antoine_Name,0),4)+(J1886-32)*5/9)))*14.7/760,IF(J1881="Crude Oil",EXP((2799/(J1886+459.6)-2.227)*LOG10(INDEX(FX_Input,W$5,J$3*$Z$5+$AA$5))-(7261/(J1886+459.6))+12.82),IF(J1881="Refined Petroleum Stock",EXP((0.7553-(413/(J1886+459.6)))*(INDEX(FX_Input,W$5,J$3*$Z$5+$AA$5-1)^0.5)*LOG10(INDEX(FX_Input,W$5,J$3*$Z$5+$AA$5))-(1.854-(1042/(J1886+459.6)))*(INDEX(FX_Input,W$5,J$3*$Z$5+$AA$5-1)^0.5)+((2416/(J1886+459.6)-2.013)*LOG10(INDEX(FX_Input,W$5,J$3*$Z$5+$AA$5)))-(8742/(J1886+459.6))+15.64),EXP(INDEX(Antoines,MATCH(J1880,Antoine_Name,0),2)-INDEX(Antoines,MATCH(J1880,Antoine_Name,0),3)/(J1886+459.6))))),0)</f>
        <v>0</v>
      </c>
      <c r="K1891" cm="1">
        <f t="array" ref="K1891">IFERROR(IF(K1881="Chemical",(10^(INDEX(Antoines,MATCH(K1880,Antoine_Name,0),2)-INDEX(Antoines,MATCH(K1880,Antoine_Name,0),3)/(INDEX(Antoines,MATCH(K1880,Antoine_Name,0),4)+(K1886-32)*5/9)))*14.7/760,IF(K1881="Crude Oil",EXP((2799/(K1886+459.6)-2.227)*LOG10(INDEX(FX_Input,X$5,K$3*$Z$5+$AA$5))-(7261/(K1886+459.6))+12.82),IF(K1881="Refined Petroleum Stock",EXP((0.7553-(413/(K1886+459.6)))*(INDEX(FX_Input,X$5,K$3*$Z$5+$AA$5-1)^0.5)*LOG10(INDEX(FX_Input,X$5,K$3*$Z$5+$AA$5))-(1.854-(1042/(K1886+459.6)))*(INDEX(FX_Input,X$5,K$3*$Z$5+$AA$5-1)^0.5)+((2416/(K1886+459.6)-2.013)*LOG10(INDEX(FX_Input,X$5,K$3*$Z$5+$AA$5)))-(8742/(K1886+459.6))+15.64),EXP(INDEX(Antoines,MATCH(K1880,Antoine_Name,0),2)-INDEX(Antoines,MATCH(K1880,Antoine_Name,0),3)/(K1886+459.6))))),0)</f>
        <v>0</v>
      </c>
      <c r="L1891" cm="1">
        <f t="array" ref="L1891">IFERROR(IF(L1881="Chemical",(10^(INDEX(Antoines,MATCH(L1880,Antoine_Name,0),2)-INDEX(Antoines,MATCH(L1880,Antoine_Name,0),3)/(INDEX(Antoines,MATCH(L1880,Antoine_Name,0),4)+(L1886-32)*5/9)))*14.7/760,IF(L1881="Crude Oil",EXP((2799/(L1886+459.6)-2.227)*LOG10(INDEX(FX_Input,Y$5,L$3*$Z$5+$AA$5))-(7261/(L1886+459.6))+12.82),IF(L1881="Refined Petroleum Stock",EXP((0.7553-(413/(L1886+459.6)))*(INDEX(FX_Input,Y$5,L$3*$Z$5+$AA$5-1)^0.5)*LOG10(INDEX(FX_Input,Y$5,L$3*$Z$5+$AA$5))-(1.854-(1042/(L1886+459.6)))*(INDEX(FX_Input,Y$5,L$3*$Z$5+$AA$5-1)^0.5)+((2416/(L1886+459.6)-2.013)*LOG10(INDEX(FX_Input,Y$5,L$3*$Z$5+$AA$5)))-(8742/(L1886+459.6))+15.64),EXP(INDEX(Antoines,MATCH(L1880,Antoine_Name,0),2)-INDEX(Antoines,MATCH(L1880,Antoine_Name,0),3)/(L1886+459.6))))),0)</f>
        <v>0</v>
      </c>
      <c r="M1891" cm="1">
        <f t="array" ref="M1891">IFERROR(IF(M1881="Chemical",(10^(INDEX(Antoines,MATCH(M1880,Antoine_Name,0),2)-INDEX(Antoines,MATCH(M1880,Antoine_Name,0),3)/(INDEX(Antoines,MATCH(M1880,Antoine_Name,0),4)+(M1886-32)*5/9)))*14.7/760,IF(M1881="Crude Oil",EXP((2799/(M1886+459.6)-2.227)*LOG10(INDEX(FX_Input,Z$5,M$3*$Z$5+$AA$5))-(7261/(M1886+459.6))+12.82),IF(M1881="Refined Petroleum Stock",EXP((0.7553-(413/(M1886+459.6)))*(INDEX(FX_Input,Z$5,M$3*$Z$5+$AA$5-1)^0.5)*LOG10(INDEX(FX_Input,Z$5,M$3*$Z$5+$AA$5))-(1.854-(1042/(M1886+459.6)))*(INDEX(FX_Input,Z$5,M$3*$Z$5+$AA$5-1)^0.5)+((2416/(M1886+459.6)-2.013)*LOG10(INDEX(FX_Input,Z$5,M$3*$Z$5+$AA$5)))-(8742/(M1886+459.6))+15.64),EXP(INDEX(Antoines,MATCH(M1880,Antoine_Name,0),2)-INDEX(Antoines,MATCH(M1880,Antoine_Name,0),3)/(M1886+459.6))))),0)</f>
        <v>0</v>
      </c>
      <c r="N1891" cm="1">
        <f t="array" ref="N1891">IFERROR(IF(N1881="Chemical",(10^(INDEX(Antoines,MATCH(N1880,Antoine_Name,0),2)-INDEX(Antoines,MATCH(N1880,Antoine_Name,0),3)/(INDEX(Antoines,MATCH(N1880,Antoine_Name,0),4)+(N1886-32)*5/9)))*14.7/760,IF(N1881="Crude Oil",EXP((2799/(N1886+459.6)-2.227)*LOG10(INDEX(FX_Input,AA$5,N$3*$Z$5+$AA$5))-(7261/(N1886+459.6))+12.82),IF(N1881="Refined Petroleum Stock",EXP((0.7553-(413/(N1886+459.6)))*(INDEX(FX_Input,AA$5,N$3*$Z$5+$AA$5-1)^0.5)*LOG10(INDEX(FX_Input,AA$5,N$3*$Z$5+$AA$5))-(1.854-(1042/(N1886+459.6)))*(INDEX(FX_Input,AA$5,N$3*$Z$5+$AA$5-1)^0.5)+((2416/(N1886+459.6)-2.013)*LOG10(INDEX(FX_Input,AA$5,N$3*$Z$5+$AA$5)))-(8742/(N1886+459.6))+15.64),EXP(INDEX(Antoines,MATCH(N1880,Antoine_Name,0),2)-INDEX(Antoines,MATCH(N1880,Antoine_Name,0),3)/(N1886+459.6))))),0)</f>
        <v>0</v>
      </c>
      <c r="O1891" cm="1">
        <f t="array" ref="O1891">IFERROR(IF(O1881="Chemical",(10^(INDEX(Antoines,MATCH(O1880,Antoine_Name,0),2)-INDEX(Antoines,MATCH(O1880,Antoine_Name,0),3)/(INDEX(Antoines,MATCH(O1880,Antoine_Name,0),4)+(O1886-32)*5/9)))*14.7/760,IF(O1881="Crude Oil",EXP((2799/(O1886+459.6)-2.227)*LOG10(INDEX(FX_Input,AB$5,O$3*$Z$5+$AA$5))-(7261/(O1886+459.6))+12.82),IF(O1881="Refined Petroleum Stock",EXP((0.7553-(413/(O1886+459.6)))*(INDEX(FX_Input,AB$5,O$3*$Z$5+$AA$5-1)^0.5)*LOG10(INDEX(FX_Input,AB$5,O$3*$Z$5+$AA$5))-(1.854-(1042/(O1886+459.6)))*(INDEX(FX_Input,AB$5,O$3*$Z$5+$AA$5-1)^0.5)+((2416/(O1886+459.6)-2.013)*LOG10(INDEX(FX_Input,AB$5,O$3*$Z$5+$AA$5)))-(8742/(O1886+459.6))+15.64),EXP(INDEX(Antoines,MATCH(O1880,Antoine_Name,0),2)-INDEX(Antoines,MATCH(O1880,Antoine_Name,0),3)/(O1886+459.6))))),0)</f>
        <v>0</v>
      </c>
    </row>
    <row r="1892" spans="2:15" ht="17.149999999999999" x14ac:dyDescent="0.55000000000000004">
      <c r="B1892" t="str">
        <f t="shared" si="6932"/>
        <v>Portland</v>
      </c>
      <c r="C1892" t="s">
        <v>577</v>
      </c>
      <c r="D1892">
        <f>D1891*D1884</f>
        <v>0</v>
      </c>
      <c r="E1892">
        <f t="shared" ref="E1892" si="6944">E1891*E1884</f>
        <v>0</v>
      </c>
      <c r="F1892">
        <f t="shared" ref="F1892" si="6945">F1891*F1884</f>
        <v>0</v>
      </c>
      <c r="G1892">
        <f t="shared" ref="G1892" si="6946">G1891*G1884</f>
        <v>0</v>
      </c>
      <c r="H1892">
        <f t="shared" ref="H1892" si="6947">H1891*H1884</f>
        <v>0</v>
      </c>
      <c r="I1892">
        <f t="shared" ref="I1892" si="6948">I1891*I1884</f>
        <v>0</v>
      </c>
      <c r="J1892">
        <f t="shared" ref="J1892" si="6949">J1891*J1884</f>
        <v>0</v>
      </c>
      <c r="K1892">
        <f t="shared" ref="K1892" si="6950">K1891*K1884</f>
        <v>0</v>
      </c>
      <c r="L1892">
        <f t="shared" ref="L1892" si="6951">L1891*L1884</f>
        <v>0</v>
      </c>
      <c r="M1892">
        <f t="shared" ref="M1892" si="6952">M1891*M1884</f>
        <v>0</v>
      </c>
      <c r="N1892">
        <f t="shared" ref="N1892" si="6953">N1891*N1884</f>
        <v>0</v>
      </c>
      <c r="O1892">
        <f t="shared" ref="O1892" si="6954">O1891*O1884</f>
        <v>0</v>
      </c>
    </row>
    <row r="1893" spans="2:15" ht="17.149999999999999" x14ac:dyDescent="0.55000000000000004">
      <c r="B1893" t="str">
        <f t="shared" si="6932"/>
        <v>Portland</v>
      </c>
      <c r="C1893" t="s">
        <v>578</v>
      </c>
      <c r="D1893">
        <f>D1892+D1890</f>
        <v>4.8116637646820016E-3</v>
      </c>
      <c r="E1893">
        <f t="shared" ref="E1893" si="6955">E1892+E1890</f>
        <v>5.0048006991488458E-3</v>
      </c>
      <c r="F1893">
        <f t="shared" ref="F1893" si="6956">F1892+F1890</f>
        <v>5.3193030941574935E-3</v>
      </c>
      <c r="G1893">
        <f t="shared" ref="G1893" si="6957">G1892+G1890</f>
        <v>5.8943503851042415E-3</v>
      </c>
      <c r="H1893">
        <f t="shared" ref="H1893" si="6958">H1892+H1890</f>
        <v>6.9660236232598005E-3</v>
      </c>
      <c r="I1893">
        <f t="shared" ref="I1893" si="6959">I1892+I1890</f>
        <v>7.9406391529506654E-3</v>
      </c>
      <c r="J1893">
        <f t="shared" ref="J1893" si="6960">J1892+J1890</f>
        <v>8.9422860963673592E-3</v>
      </c>
      <c r="K1893">
        <f t="shared" ref="K1893" si="6961">K1892+K1890</f>
        <v>8.9951550374627008E-3</v>
      </c>
      <c r="L1893">
        <f t="shared" ref="L1893" si="6962">L1892+L1890</f>
        <v>8.2385730689388259E-3</v>
      </c>
      <c r="M1893">
        <f t="shared" ref="M1893" si="6963">M1892+M1890</f>
        <v>6.618900442185772E-3</v>
      </c>
      <c r="N1893">
        <f t="shared" ref="N1893" si="6964">N1892+N1890</f>
        <v>5.3923587959108042E-3</v>
      </c>
      <c r="O1893">
        <f t="shared" ref="O1893" si="6965">O1892+O1890</f>
        <v>4.7525360186456101E-3</v>
      </c>
    </row>
    <row r="1894" spans="2:15" ht="17.149999999999999" x14ac:dyDescent="0.55000000000000004">
      <c r="B1894" t="str">
        <f t="shared" si="6932"/>
        <v>Portland</v>
      </c>
      <c r="C1894" t="s">
        <v>579</v>
      </c>
      <c r="D1894" cm="1">
        <f t="array" ref="D1894">IFERROR(IF(D1879="Chemical",(10^(INDEX(Antoines,MATCH(D1878,Antoine_Name,0),2)-INDEX(Antoines,MATCH(D1878,Antoine_Name,0),3)/(INDEX(Antoines,MATCH(D1878,Antoine_Name,0),4)+(D1887-32)*5/9)))*14.7/760,IF(D1879="Crude Oil",EXP((2799/(D1887+459.6)-2.227)*LOG10(INDEX(FX_Input,Q$5,D$3*$Z$5+$AA$5))-(7261/(D1887+459.6))+12.82),IF(D1879="Refined Petroleum Stock",EXP((0.7553-(413/(D1887+459.6)))*(INDEX(FX_Input,Q$5,D$3*$Z$5+$AA$5-1)^0.5)*LOG10(INDEX(FX_Input,Q$5,D$3*$Z$5+$AA$5))-(1.854-(1042/(D1887+459.6)))*(INDEX(FX_Input,Q$5,D$3*$Z$5+$AA$5-1)^0.5)+((2416/(D1887+459.6)-2.013)*LOG10(INDEX(FX_Input,Q$5,D$3*$Z$5+$AA$5)))-(8742/(D1887+459.6))+15.64),EXP(INDEX(Antoines,MATCH(D1878,Antoine_Name,0),2)-INDEX(Antoines,MATCH(D1878,Antoine_Name,0),3)/(D1887+459.6))))),0)</f>
        <v>4.8116637646820016E-3</v>
      </c>
      <c r="E1894" cm="1">
        <f t="array" ref="E1894">IFERROR(IF(E1879="Chemical",(10^(INDEX(Antoines,MATCH(E1878,Antoine_Name,0),2)-INDEX(Antoines,MATCH(E1878,Antoine_Name,0),3)/(INDEX(Antoines,MATCH(E1878,Antoine_Name,0),4)+(E1887-32)*5/9)))*14.7/760,IF(E1879="Crude Oil",EXP((2799/(E1887+459.6)-2.227)*LOG10(INDEX(FX_Input,R$5,E$3*$Z$5+$AA$5))-(7261/(E1887+459.6))+12.82),IF(E1879="Refined Petroleum Stock",EXP((0.7553-(413/(E1887+459.6)))*(INDEX(FX_Input,R$5,E$3*$Z$5+$AA$5-1)^0.5)*LOG10(INDEX(FX_Input,R$5,E$3*$Z$5+$AA$5))-(1.854-(1042/(E1887+459.6)))*(INDEX(FX_Input,R$5,E$3*$Z$5+$AA$5-1)^0.5)+((2416/(E1887+459.6)-2.013)*LOG10(INDEX(FX_Input,R$5,E$3*$Z$5+$AA$5)))-(8742/(E1887+459.6))+15.64),EXP(INDEX(Antoines,MATCH(E1878,Antoine_Name,0),2)-INDEX(Antoines,MATCH(E1878,Antoine_Name,0),3)/(E1887+459.6))))),0)</f>
        <v>5.0048006991488458E-3</v>
      </c>
      <c r="F1894" cm="1">
        <f t="array" ref="F1894">IFERROR(IF(F1879="Chemical",(10^(INDEX(Antoines,MATCH(F1878,Antoine_Name,0),2)-INDEX(Antoines,MATCH(F1878,Antoine_Name,0),3)/(INDEX(Antoines,MATCH(F1878,Antoine_Name,0),4)+(F1887-32)*5/9)))*14.7/760,IF(F1879="Crude Oil",EXP((2799/(F1887+459.6)-2.227)*LOG10(INDEX(FX_Input,S$5,F$3*$Z$5+$AA$5))-(7261/(F1887+459.6))+12.82),IF(F1879="Refined Petroleum Stock",EXP((0.7553-(413/(F1887+459.6)))*(INDEX(FX_Input,S$5,F$3*$Z$5+$AA$5-1)^0.5)*LOG10(INDEX(FX_Input,S$5,F$3*$Z$5+$AA$5))-(1.854-(1042/(F1887+459.6)))*(INDEX(FX_Input,S$5,F$3*$Z$5+$AA$5-1)^0.5)+((2416/(F1887+459.6)-2.013)*LOG10(INDEX(FX_Input,S$5,F$3*$Z$5+$AA$5)))-(8742/(F1887+459.6))+15.64),EXP(INDEX(Antoines,MATCH(F1878,Antoine_Name,0),2)-INDEX(Antoines,MATCH(F1878,Antoine_Name,0),3)/(F1887+459.6))))),0)</f>
        <v>5.3193030941574935E-3</v>
      </c>
      <c r="G1894" cm="1">
        <f t="array" ref="G1894">IFERROR(IF(G1879="Chemical",(10^(INDEX(Antoines,MATCH(G1878,Antoine_Name,0),2)-INDEX(Antoines,MATCH(G1878,Antoine_Name,0),3)/(INDEX(Antoines,MATCH(G1878,Antoine_Name,0),4)+(G1887-32)*5/9)))*14.7/760,IF(G1879="Crude Oil",EXP((2799/(G1887+459.6)-2.227)*LOG10(INDEX(FX_Input,T$5,G$3*$Z$5+$AA$5))-(7261/(G1887+459.6))+12.82),IF(G1879="Refined Petroleum Stock",EXP((0.7553-(413/(G1887+459.6)))*(INDEX(FX_Input,T$5,G$3*$Z$5+$AA$5-1)^0.5)*LOG10(INDEX(FX_Input,T$5,G$3*$Z$5+$AA$5))-(1.854-(1042/(G1887+459.6)))*(INDEX(FX_Input,T$5,G$3*$Z$5+$AA$5-1)^0.5)+((2416/(G1887+459.6)-2.013)*LOG10(INDEX(FX_Input,T$5,G$3*$Z$5+$AA$5)))-(8742/(G1887+459.6))+15.64),EXP(INDEX(Antoines,MATCH(G1878,Antoine_Name,0),2)-INDEX(Antoines,MATCH(G1878,Antoine_Name,0),3)/(G1887+459.6))))),0)</f>
        <v>5.8943503851042415E-3</v>
      </c>
      <c r="H1894" cm="1">
        <f t="array" ref="H1894">IFERROR(IF(H1879="Chemical",(10^(INDEX(Antoines,MATCH(H1878,Antoine_Name,0),2)-INDEX(Antoines,MATCH(H1878,Antoine_Name,0),3)/(INDEX(Antoines,MATCH(H1878,Antoine_Name,0),4)+(H1887-32)*5/9)))*14.7/760,IF(H1879="Crude Oil",EXP((2799/(H1887+459.6)-2.227)*LOG10(INDEX(FX_Input,U$5,H$3*$Z$5+$AA$5))-(7261/(H1887+459.6))+12.82),IF(H1879="Refined Petroleum Stock",EXP((0.7553-(413/(H1887+459.6)))*(INDEX(FX_Input,U$5,H$3*$Z$5+$AA$5-1)^0.5)*LOG10(INDEX(FX_Input,U$5,H$3*$Z$5+$AA$5))-(1.854-(1042/(H1887+459.6)))*(INDEX(FX_Input,U$5,H$3*$Z$5+$AA$5-1)^0.5)+((2416/(H1887+459.6)-2.013)*LOG10(INDEX(FX_Input,U$5,H$3*$Z$5+$AA$5)))-(8742/(H1887+459.6))+15.64),EXP(INDEX(Antoines,MATCH(H1878,Antoine_Name,0),2)-INDEX(Antoines,MATCH(H1878,Antoine_Name,0),3)/(H1887+459.6))))),0)</f>
        <v>6.9660236232598005E-3</v>
      </c>
      <c r="I1894" cm="1">
        <f t="array" ref="I1894">IFERROR(IF(I1879="Chemical",(10^(INDEX(Antoines,MATCH(I1878,Antoine_Name,0),2)-INDEX(Antoines,MATCH(I1878,Antoine_Name,0),3)/(INDEX(Antoines,MATCH(I1878,Antoine_Name,0),4)+(I1887-32)*5/9)))*14.7/760,IF(I1879="Crude Oil",EXP((2799/(I1887+459.6)-2.227)*LOG10(INDEX(FX_Input,V$5,I$3*$Z$5+$AA$5))-(7261/(I1887+459.6))+12.82),IF(I1879="Refined Petroleum Stock",EXP((0.7553-(413/(I1887+459.6)))*(INDEX(FX_Input,V$5,I$3*$Z$5+$AA$5-1)^0.5)*LOG10(INDEX(FX_Input,V$5,I$3*$Z$5+$AA$5))-(1.854-(1042/(I1887+459.6)))*(INDEX(FX_Input,V$5,I$3*$Z$5+$AA$5-1)^0.5)+((2416/(I1887+459.6)-2.013)*LOG10(INDEX(FX_Input,V$5,I$3*$Z$5+$AA$5)))-(8742/(I1887+459.6))+15.64),EXP(INDEX(Antoines,MATCH(I1878,Antoine_Name,0),2)-INDEX(Antoines,MATCH(I1878,Antoine_Name,0),3)/(I1887+459.6))))),0)</f>
        <v>7.9406391529506654E-3</v>
      </c>
      <c r="J1894" cm="1">
        <f t="array" ref="J1894">IFERROR(IF(J1879="Chemical",(10^(INDEX(Antoines,MATCH(J1878,Antoine_Name,0),2)-INDEX(Antoines,MATCH(J1878,Antoine_Name,0),3)/(INDEX(Antoines,MATCH(J1878,Antoine_Name,0),4)+(J1887-32)*5/9)))*14.7/760,IF(J1879="Crude Oil",EXP((2799/(J1887+459.6)-2.227)*LOG10(INDEX(FX_Input,W$5,J$3*$Z$5+$AA$5))-(7261/(J1887+459.6))+12.82),IF(J1879="Refined Petroleum Stock",EXP((0.7553-(413/(J1887+459.6)))*(INDEX(FX_Input,W$5,J$3*$Z$5+$AA$5-1)^0.5)*LOG10(INDEX(FX_Input,W$5,J$3*$Z$5+$AA$5))-(1.854-(1042/(J1887+459.6)))*(INDEX(FX_Input,W$5,J$3*$Z$5+$AA$5-1)^0.5)+((2416/(J1887+459.6)-2.013)*LOG10(INDEX(FX_Input,W$5,J$3*$Z$5+$AA$5)))-(8742/(J1887+459.6))+15.64),EXP(INDEX(Antoines,MATCH(J1878,Antoine_Name,0),2)-INDEX(Antoines,MATCH(J1878,Antoine_Name,0),3)/(J1887+459.6))))),0)</f>
        <v>8.9422860963673592E-3</v>
      </c>
      <c r="K1894" cm="1">
        <f t="array" ref="K1894">IFERROR(IF(K1879="Chemical",(10^(INDEX(Antoines,MATCH(K1878,Antoine_Name,0),2)-INDEX(Antoines,MATCH(K1878,Antoine_Name,0),3)/(INDEX(Antoines,MATCH(K1878,Antoine_Name,0),4)+(K1887-32)*5/9)))*14.7/760,IF(K1879="Crude Oil",EXP((2799/(K1887+459.6)-2.227)*LOG10(INDEX(FX_Input,X$5,K$3*$Z$5+$AA$5))-(7261/(K1887+459.6))+12.82),IF(K1879="Refined Petroleum Stock",EXP((0.7553-(413/(K1887+459.6)))*(INDEX(FX_Input,X$5,K$3*$Z$5+$AA$5-1)^0.5)*LOG10(INDEX(FX_Input,X$5,K$3*$Z$5+$AA$5))-(1.854-(1042/(K1887+459.6)))*(INDEX(FX_Input,X$5,K$3*$Z$5+$AA$5-1)^0.5)+((2416/(K1887+459.6)-2.013)*LOG10(INDEX(FX_Input,X$5,K$3*$Z$5+$AA$5)))-(8742/(K1887+459.6))+15.64),EXP(INDEX(Antoines,MATCH(K1878,Antoine_Name,0),2)-INDEX(Antoines,MATCH(K1878,Antoine_Name,0),3)/(K1887+459.6))))),0)</f>
        <v>8.9951550374627008E-3</v>
      </c>
      <c r="L1894" cm="1">
        <f t="array" ref="L1894">IFERROR(IF(L1879="Chemical",(10^(INDEX(Antoines,MATCH(L1878,Antoine_Name,0),2)-INDEX(Antoines,MATCH(L1878,Antoine_Name,0),3)/(INDEX(Antoines,MATCH(L1878,Antoine_Name,0),4)+(L1887-32)*5/9)))*14.7/760,IF(L1879="Crude Oil",EXP((2799/(L1887+459.6)-2.227)*LOG10(INDEX(FX_Input,Y$5,L$3*$Z$5+$AA$5))-(7261/(L1887+459.6))+12.82),IF(L1879="Refined Petroleum Stock",EXP((0.7553-(413/(L1887+459.6)))*(INDEX(FX_Input,Y$5,L$3*$Z$5+$AA$5-1)^0.5)*LOG10(INDEX(FX_Input,Y$5,L$3*$Z$5+$AA$5))-(1.854-(1042/(L1887+459.6)))*(INDEX(FX_Input,Y$5,L$3*$Z$5+$AA$5-1)^0.5)+((2416/(L1887+459.6)-2.013)*LOG10(INDEX(FX_Input,Y$5,L$3*$Z$5+$AA$5)))-(8742/(L1887+459.6))+15.64),EXP(INDEX(Antoines,MATCH(L1878,Antoine_Name,0),2)-INDEX(Antoines,MATCH(L1878,Antoine_Name,0),3)/(L1887+459.6))))),0)</f>
        <v>8.2385730689388259E-3</v>
      </c>
      <c r="M1894" cm="1">
        <f t="array" ref="M1894">IFERROR(IF(M1879="Chemical",(10^(INDEX(Antoines,MATCH(M1878,Antoine_Name,0),2)-INDEX(Antoines,MATCH(M1878,Antoine_Name,0),3)/(INDEX(Antoines,MATCH(M1878,Antoine_Name,0),4)+(M1887-32)*5/9)))*14.7/760,IF(M1879="Crude Oil",EXP((2799/(M1887+459.6)-2.227)*LOG10(INDEX(FX_Input,Z$5,M$3*$Z$5+$AA$5))-(7261/(M1887+459.6))+12.82),IF(M1879="Refined Petroleum Stock",EXP((0.7553-(413/(M1887+459.6)))*(INDEX(FX_Input,Z$5,M$3*$Z$5+$AA$5-1)^0.5)*LOG10(INDEX(FX_Input,Z$5,M$3*$Z$5+$AA$5))-(1.854-(1042/(M1887+459.6)))*(INDEX(FX_Input,Z$5,M$3*$Z$5+$AA$5-1)^0.5)+((2416/(M1887+459.6)-2.013)*LOG10(INDEX(FX_Input,Z$5,M$3*$Z$5+$AA$5)))-(8742/(M1887+459.6))+15.64),EXP(INDEX(Antoines,MATCH(M1878,Antoine_Name,0),2)-INDEX(Antoines,MATCH(M1878,Antoine_Name,0),3)/(M1887+459.6))))),0)</f>
        <v>6.618900442185772E-3</v>
      </c>
      <c r="N1894" cm="1">
        <f t="array" ref="N1894">IFERROR(IF(N1879="Chemical",(10^(INDEX(Antoines,MATCH(N1878,Antoine_Name,0),2)-INDEX(Antoines,MATCH(N1878,Antoine_Name,0),3)/(INDEX(Antoines,MATCH(N1878,Antoine_Name,0),4)+(N1887-32)*5/9)))*14.7/760,IF(N1879="Crude Oil",EXP((2799/(N1887+459.6)-2.227)*LOG10(INDEX(FX_Input,AA$5,N$3*$Z$5+$AA$5))-(7261/(N1887+459.6))+12.82),IF(N1879="Refined Petroleum Stock",EXP((0.7553-(413/(N1887+459.6)))*(INDEX(FX_Input,AA$5,N$3*$Z$5+$AA$5-1)^0.5)*LOG10(INDEX(FX_Input,AA$5,N$3*$Z$5+$AA$5))-(1.854-(1042/(N1887+459.6)))*(INDEX(FX_Input,AA$5,N$3*$Z$5+$AA$5-1)^0.5)+((2416/(N1887+459.6)-2.013)*LOG10(INDEX(FX_Input,AA$5,N$3*$Z$5+$AA$5)))-(8742/(N1887+459.6))+15.64),EXP(INDEX(Antoines,MATCH(N1878,Antoine_Name,0),2)-INDEX(Antoines,MATCH(N1878,Antoine_Name,0),3)/(N1887+459.6))))),0)</f>
        <v>5.3923587959108042E-3</v>
      </c>
      <c r="O1894" cm="1">
        <f t="array" ref="O1894">IFERROR(IF(O1879="Chemical",(10^(INDEX(Antoines,MATCH(O1878,Antoine_Name,0),2)-INDEX(Antoines,MATCH(O1878,Antoine_Name,0),3)/(INDEX(Antoines,MATCH(O1878,Antoine_Name,0),4)+(O1887-32)*5/9)))*14.7/760,IF(O1879="Crude Oil",EXP((2799/(O1887+459.6)-2.227)*LOG10(INDEX(FX_Input,AB$5,O$3*$Z$5+$AA$5))-(7261/(O1887+459.6))+12.82),IF(O1879="Refined Petroleum Stock",EXP((0.7553-(413/(O1887+459.6)))*(INDEX(FX_Input,AB$5,O$3*$Z$5+$AA$5-1)^0.5)*LOG10(INDEX(FX_Input,AB$5,O$3*$Z$5+$AA$5))-(1.854-(1042/(O1887+459.6)))*(INDEX(FX_Input,AB$5,O$3*$Z$5+$AA$5-1)^0.5)+((2416/(O1887+459.6)-2.013)*LOG10(INDEX(FX_Input,AB$5,O$3*$Z$5+$AA$5)))-(8742/(O1887+459.6))+15.64),EXP(INDEX(Antoines,MATCH(O1878,Antoine_Name,0),2)-INDEX(Antoines,MATCH(O1878,Antoine_Name,0),3)/(O1887+459.6))))),0)</f>
        <v>4.7525360186456101E-3</v>
      </c>
    </row>
    <row r="1895" spans="2:15" ht="17.149999999999999" x14ac:dyDescent="0.55000000000000004">
      <c r="B1895" t="str">
        <f t="shared" si="6932"/>
        <v>Portland</v>
      </c>
      <c r="C1895" t="s">
        <v>580</v>
      </c>
      <c r="D1895">
        <f>D1894*D1882</f>
        <v>4.8116637646820016E-3</v>
      </c>
      <c r="E1895">
        <f t="shared" ref="E1895" si="6966">E1894*E1882</f>
        <v>5.0048006991488458E-3</v>
      </c>
      <c r="F1895">
        <f t="shared" ref="F1895" si="6967">F1894*F1882</f>
        <v>5.3193030941574935E-3</v>
      </c>
      <c r="G1895">
        <f t="shared" ref="G1895" si="6968">G1894*G1882</f>
        <v>5.8943503851042415E-3</v>
      </c>
      <c r="H1895">
        <f t="shared" ref="H1895" si="6969">H1894*H1882</f>
        <v>6.9660236232598005E-3</v>
      </c>
      <c r="I1895">
        <f t="shared" ref="I1895" si="6970">I1894*I1882</f>
        <v>7.9406391529506654E-3</v>
      </c>
      <c r="J1895">
        <f t="shared" ref="J1895" si="6971">J1894*J1882</f>
        <v>8.9422860963673592E-3</v>
      </c>
      <c r="K1895">
        <f t="shared" ref="K1895" si="6972">K1894*K1882</f>
        <v>8.9951550374627008E-3</v>
      </c>
      <c r="L1895">
        <f t="shared" ref="L1895" si="6973">L1894*L1882</f>
        <v>8.2385730689388259E-3</v>
      </c>
      <c r="M1895">
        <f t="shared" ref="M1895" si="6974">M1894*M1882</f>
        <v>6.618900442185772E-3</v>
      </c>
      <c r="N1895">
        <f t="shared" ref="N1895" si="6975">N1894*N1882</f>
        <v>5.3923587959108042E-3</v>
      </c>
      <c r="O1895">
        <f t="shared" ref="O1895" si="6976">O1894*O1882</f>
        <v>4.7525360186456101E-3</v>
      </c>
    </row>
    <row r="1896" spans="2:15" ht="17.149999999999999" x14ac:dyDescent="0.55000000000000004">
      <c r="B1896" t="str">
        <f t="shared" si="6932"/>
        <v>Portland</v>
      </c>
      <c r="C1896" t="s">
        <v>581</v>
      </c>
      <c r="D1896" cm="1">
        <f t="array" ref="D1896">IFERROR(IF(D1881="Chemical",(10^(INDEX(Antoines,MATCH(D1880,Antoine_Name,0),2)-INDEX(Antoines,MATCH(D1880,Antoine_Name,0),3)/(INDEX(Antoines,MATCH(D1880,Antoine_Name,0),4)+(D1887-32)*5/9)))*14.7/760,IF(D1881="Crude Oil",EXP((2799/(D1887+459.6)-2.227)*LOG10(INDEX(FX_Input,Q$5,D$3*$Z$5+$AA$5))-(7261/(D1887+459.6))+12.82),IF(D1881="Refined Petroleum Stock",EXP((0.7553-(413/(D1887+459.6)))*(INDEX(FX_Input,Q$5,D$3*$Z$5+$AA$5-1)^0.5)*LOG10(INDEX(FX_Input,Q$5,D$3*$Z$5+$AA$5))-(1.854-(1042/(D1887+459.6)))*(INDEX(FX_Input,Q$5,D$3*$Z$5+$AA$5-1)^0.5)+((2416/(D1887+459.6)-2.013)*LOG10(INDEX(FX_Input,Q$5,D$3*$Z$5+$AA$5)))-(8742/(D1887+459.6))+15.64),EXP(INDEX(Antoines,MATCH(D1880,Antoine_Name,0),2)-INDEX(Antoines,MATCH(D1880,Antoine_Name,0),3)/(D1887+459.6))))),0)</f>
        <v>0</v>
      </c>
      <c r="E1896" cm="1">
        <f t="array" ref="E1896">IFERROR(IF(E1881="Chemical",(10^(INDEX(Antoines,MATCH(E1880,Antoine_Name,0),2)-INDEX(Antoines,MATCH(E1880,Antoine_Name,0),3)/(INDEX(Antoines,MATCH(E1880,Antoine_Name,0),4)+(E1887-32)*5/9)))*14.7/760,IF(E1881="Crude Oil",EXP((2799/(E1887+459.6)-2.227)*LOG10(INDEX(FX_Input,R$5,E$3*$Z$5+$AA$5))-(7261/(E1887+459.6))+12.82),IF(E1881="Refined Petroleum Stock",EXP((0.7553-(413/(E1887+459.6)))*(INDEX(FX_Input,R$5,E$3*$Z$5+$AA$5-1)^0.5)*LOG10(INDEX(FX_Input,R$5,E$3*$Z$5+$AA$5))-(1.854-(1042/(E1887+459.6)))*(INDEX(FX_Input,R$5,E$3*$Z$5+$AA$5-1)^0.5)+((2416/(E1887+459.6)-2.013)*LOG10(INDEX(FX_Input,R$5,E$3*$Z$5+$AA$5)))-(8742/(E1887+459.6))+15.64),EXP(INDEX(Antoines,MATCH(E1880,Antoine_Name,0),2)-INDEX(Antoines,MATCH(E1880,Antoine_Name,0),3)/(E1887+459.6))))),0)</f>
        <v>0</v>
      </c>
      <c r="F1896" cm="1">
        <f t="array" ref="F1896">IFERROR(IF(F1881="Chemical",(10^(INDEX(Antoines,MATCH(F1880,Antoine_Name,0),2)-INDEX(Antoines,MATCH(F1880,Antoine_Name,0),3)/(INDEX(Antoines,MATCH(F1880,Antoine_Name,0),4)+(F1887-32)*5/9)))*14.7/760,IF(F1881="Crude Oil",EXP((2799/(F1887+459.6)-2.227)*LOG10(INDEX(FX_Input,S$5,F$3*$Z$5+$AA$5))-(7261/(F1887+459.6))+12.82),IF(F1881="Refined Petroleum Stock",EXP((0.7553-(413/(F1887+459.6)))*(INDEX(FX_Input,S$5,F$3*$Z$5+$AA$5-1)^0.5)*LOG10(INDEX(FX_Input,S$5,F$3*$Z$5+$AA$5))-(1.854-(1042/(F1887+459.6)))*(INDEX(FX_Input,S$5,F$3*$Z$5+$AA$5-1)^0.5)+((2416/(F1887+459.6)-2.013)*LOG10(INDEX(FX_Input,S$5,F$3*$Z$5+$AA$5)))-(8742/(F1887+459.6))+15.64),EXP(INDEX(Antoines,MATCH(F1880,Antoine_Name,0),2)-INDEX(Antoines,MATCH(F1880,Antoine_Name,0),3)/(F1887+459.6))))),0)</f>
        <v>0</v>
      </c>
      <c r="G1896" cm="1">
        <f t="array" ref="G1896">IFERROR(IF(G1881="Chemical",(10^(INDEX(Antoines,MATCH(G1880,Antoine_Name,0),2)-INDEX(Antoines,MATCH(G1880,Antoine_Name,0),3)/(INDEX(Antoines,MATCH(G1880,Antoine_Name,0),4)+(G1887-32)*5/9)))*14.7/760,IF(G1881="Crude Oil",EXP((2799/(G1887+459.6)-2.227)*LOG10(INDEX(FX_Input,T$5,G$3*$Z$5+$AA$5))-(7261/(G1887+459.6))+12.82),IF(G1881="Refined Petroleum Stock",EXP((0.7553-(413/(G1887+459.6)))*(INDEX(FX_Input,T$5,G$3*$Z$5+$AA$5-1)^0.5)*LOG10(INDEX(FX_Input,T$5,G$3*$Z$5+$AA$5))-(1.854-(1042/(G1887+459.6)))*(INDEX(FX_Input,T$5,G$3*$Z$5+$AA$5-1)^0.5)+((2416/(G1887+459.6)-2.013)*LOG10(INDEX(FX_Input,T$5,G$3*$Z$5+$AA$5)))-(8742/(G1887+459.6))+15.64),EXP(INDEX(Antoines,MATCH(G1880,Antoine_Name,0),2)-INDEX(Antoines,MATCH(G1880,Antoine_Name,0),3)/(G1887+459.6))))),0)</f>
        <v>0</v>
      </c>
      <c r="H1896" cm="1">
        <f t="array" ref="H1896">IFERROR(IF(H1881="Chemical",(10^(INDEX(Antoines,MATCH(H1880,Antoine_Name,0),2)-INDEX(Antoines,MATCH(H1880,Antoine_Name,0),3)/(INDEX(Antoines,MATCH(H1880,Antoine_Name,0),4)+(H1887-32)*5/9)))*14.7/760,IF(H1881="Crude Oil",EXP((2799/(H1887+459.6)-2.227)*LOG10(INDEX(FX_Input,U$5,H$3*$Z$5+$AA$5))-(7261/(H1887+459.6))+12.82),IF(H1881="Refined Petroleum Stock",EXP((0.7553-(413/(H1887+459.6)))*(INDEX(FX_Input,U$5,H$3*$Z$5+$AA$5-1)^0.5)*LOG10(INDEX(FX_Input,U$5,H$3*$Z$5+$AA$5))-(1.854-(1042/(H1887+459.6)))*(INDEX(FX_Input,U$5,H$3*$Z$5+$AA$5-1)^0.5)+((2416/(H1887+459.6)-2.013)*LOG10(INDEX(FX_Input,U$5,H$3*$Z$5+$AA$5)))-(8742/(H1887+459.6))+15.64),EXP(INDEX(Antoines,MATCH(H1880,Antoine_Name,0),2)-INDEX(Antoines,MATCH(H1880,Antoine_Name,0),3)/(H1887+459.6))))),0)</f>
        <v>0</v>
      </c>
      <c r="I1896" cm="1">
        <f t="array" ref="I1896">IFERROR(IF(I1881="Chemical",(10^(INDEX(Antoines,MATCH(I1880,Antoine_Name,0),2)-INDEX(Antoines,MATCH(I1880,Antoine_Name,0),3)/(INDEX(Antoines,MATCH(I1880,Antoine_Name,0),4)+(I1887-32)*5/9)))*14.7/760,IF(I1881="Crude Oil",EXP((2799/(I1887+459.6)-2.227)*LOG10(INDEX(FX_Input,V$5,I$3*$Z$5+$AA$5))-(7261/(I1887+459.6))+12.82),IF(I1881="Refined Petroleum Stock",EXP((0.7553-(413/(I1887+459.6)))*(INDEX(FX_Input,V$5,I$3*$Z$5+$AA$5-1)^0.5)*LOG10(INDEX(FX_Input,V$5,I$3*$Z$5+$AA$5))-(1.854-(1042/(I1887+459.6)))*(INDEX(FX_Input,V$5,I$3*$Z$5+$AA$5-1)^0.5)+((2416/(I1887+459.6)-2.013)*LOG10(INDEX(FX_Input,V$5,I$3*$Z$5+$AA$5)))-(8742/(I1887+459.6))+15.64),EXP(INDEX(Antoines,MATCH(I1880,Antoine_Name,0),2)-INDEX(Antoines,MATCH(I1880,Antoine_Name,0),3)/(I1887+459.6))))),0)</f>
        <v>0</v>
      </c>
      <c r="J1896" cm="1">
        <f t="array" ref="J1896">IFERROR(IF(J1881="Chemical",(10^(INDEX(Antoines,MATCH(J1880,Antoine_Name,0),2)-INDEX(Antoines,MATCH(J1880,Antoine_Name,0),3)/(INDEX(Antoines,MATCH(J1880,Antoine_Name,0),4)+(J1887-32)*5/9)))*14.7/760,IF(J1881="Crude Oil",EXP((2799/(J1887+459.6)-2.227)*LOG10(INDEX(FX_Input,W$5,J$3*$Z$5+$AA$5))-(7261/(J1887+459.6))+12.82),IF(J1881="Refined Petroleum Stock",EXP((0.7553-(413/(J1887+459.6)))*(INDEX(FX_Input,W$5,J$3*$Z$5+$AA$5-1)^0.5)*LOG10(INDEX(FX_Input,W$5,J$3*$Z$5+$AA$5))-(1.854-(1042/(J1887+459.6)))*(INDEX(FX_Input,W$5,J$3*$Z$5+$AA$5-1)^0.5)+((2416/(J1887+459.6)-2.013)*LOG10(INDEX(FX_Input,W$5,J$3*$Z$5+$AA$5)))-(8742/(J1887+459.6))+15.64),EXP(INDEX(Antoines,MATCH(J1880,Antoine_Name,0),2)-INDEX(Antoines,MATCH(J1880,Antoine_Name,0),3)/(J1887+459.6))))),0)</f>
        <v>0</v>
      </c>
      <c r="K1896" cm="1">
        <f t="array" ref="K1896">IFERROR(IF(K1881="Chemical",(10^(INDEX(Antoines,MATCH(K1880,Antoine_Name,0),2)-INDEX(Antoines,MATCH(K1880,Antoine_Name,0),3)/(INDEX(Antoines,MATCH(K1880,Antoine_Name,0),4)+(K1887-32)*5/9)))*14.7/760,IF(K1881="Crude Oil",EXP((2799/(K1887+459.6)-2.227)*LOG10(INDEX(FX_Input,X$5,K$3*$Z$5+$AA$5))-(7261/(K1887+459.6))+12.82),IF(K1881="Refined Petroleum Stock",EXP((0.7553-(413/(K1887+459.6)))*(INDEX(FX_Input,X$5,K$3*$Z$5+$AA$5-1)^0.5)*LOG10(INDEX(FX_Input,X$5,K$3*$Z$5+$AA$5))-(1.854-(1042/(K1887+459.6)))*(INDEX(FX_Input,X$5,K$3*$Z$5+$AA$5-1)^0.5)+((2416/(K1887+459.6)-2.013)*LOG10(INDEX(FX_Input,X$5,K$3*$Z$5+$AA$5)))-(8742/(K1887+459.6))+15.64),EXP(INDEX(Antoines,MATCH(K1880,Antoine_Name,0),2)-INDEX(Antoines,MATCH(K1880,Antoine_Name,0),3)/(K1887+459.6))))),0)</f>
        <v>0</v>
      </c>
      <c r="L1896" cm="1">
        <f t="array" ref="L1896">IFERROR(IF(L1881="Chemical",(10^(INDEX(Antoines,MATCH(L1880,Antoine_Name,0),2)-INDEX(Antoines,MATCH(L1880,Antoine_Name,0),3)/(INDEX(Antoines,MATCH(L1880,Antoine_Name,0),4)+(L1887-32)*5/9)))*14.7/760,IF(L1881="Crude Oil",EXP((2799/(L1887+459.6)-2.227)*LOG10(INDEX(FX_Input,Y$5,L$3*$Z$5+$AA$5))-(7261/(L1887+459.6))+12.82),IF(L1881="Refined Petroleum Stock",EXP((0.7553-(413/(L1887+459.6)))*(INDEX(FX_Input,Y$5,L$3*$Z$5+$AA$5-1)^0.5)*LOG10(INDEX(FX_Input,Y$5,L$3*$Z$5+$AA$5))-(1.854-(1042/(L1887+459.6)))*(INDEX(FX_Input,Y$5,L$3*$Z$5+$AA$5-1)^0.5)+((2416/(L1887+459.6)-2.013)*LOG10(INDEX(FX_Input,Y$5,L$3*$Z$5+$AA$5)))-(8742/(L1887+459.6))+15.64),EXP(INDEX(Antoines,MATCH(L1880,Antoine_Name,0),2)-INDEX(Antoines,MATCH(L1880,Antoine_Name,0),3)/(L1887+459.6))))),0)</f>
        <v>0</v>
      </c>
      <c r="M1896" cm="1">
        <f t="array" ref="M1896">IFERROR(IF(M1881="Chemical",(10^(INDEX(Antoines,MATCH(M1880,Antoine_Name,0),2)-INDEX(Antoines,MATCH(M1880,Antoine_Name,0),3)/(INDEX(Antoines,MATCH(M1880,Antoine_Name,0),4)+(M1887-32)*5/9)))*14.7/760,IF(M1881="Crude Oil",EXP((2799/(M1887+459.6)-2.227)*LOG10(INDEX(FX_Input,Z$5,M$3*$Z$5+$AA$5))-(7261/(M1887+459.6))+12.82),IF(M1881="Refined Petroleum Stock",EXP((0.7553-(413/(M1887+459.6)))*(INDEX(FX_Input,Z$5,M$3*$Z$5+$AA$5-1)^0.5)*LOG10(INDEX(FX_Input,Z$5,M$3*$Z$5+$AA$5))-(1.854-(1042/(M1887+459.6)))*(INDEX(FX_Input,Z$5,M$3*$Z$5+$AA$5-1)^0.5)+((2416/(M1887+459.6)-2.013)*LOG10(INDEX(FX_Input,Z$5,M$3*$Z$5+$AA$5)))-(8742/(M1887+459.6))+15.64),EXP(INDEX(Antoines,MATCH(M1880,Antoine_Name,0),2)-INDEX(Antoines,MATCH(M1880,Antoine_Name,0),3)/(M1887+459.6))))),0)</f>
        <v>0</v>
      </c>
      <c r="N1896" cm="1">
        <f t="array" ref="N1896">IFERROR(IF(N1881="Chemical",(10^(INDEX(Antoines,MATCH(N1880,Antoine_Name,0),2)-INDEX(Antoines,MATCH(N1880,Antoine_Name,0),3)/(INDEX(Antoines,MATCH(N1880,Antoine_Name,0),4)+(N1887-32)*5/9)))*14.7/760,IF(N1881="Crude Oil",EXP((2799/(N1887+459.6)-2.227)*LOG10(INDEX(FX_Input,AA$5,N$3*$Z$5+$AA$5))-(7261/(N1887+459.6))+12.82),IF(N1881="Refined Petroleum Stock",EXP((0.7553-(413/(N1887+459.6)))*(INDEX(FX_Input,AA$5,N$3*$Z$5+$AA$5-1)^0.5)*LOG10(INDEX(FX_Input,AA$5,N$3*$Z$5+$AA$5))-(1.854-(1042/(N1887+459.6)))*(INDEX(FX_Input,AA$5,N$3*$Z$5+$AA$5-1)^0.5)+((2416/(N1887+459.6)-2.013)*LOG10(INDEX(FX_Input,AA$5,N$3*$Z$5+$AA$5)))-(8742/(N1887+459.6))+15.64),EXP(INDEX(Antoines,MATCH(N1880,Antoine_Name,0),2)-INDEX(Antoines,MATCH(N1880,Antoine_Name,0),3)/(N1887+459.6))))),0)</f>
        <v>0</v>
      </c>
      <c r="O1896" cm="1">
        <f t="array" ref="O1896">IFERROR(IF(O1881="Chemical",(10^(INDEX(Antoines,MATCH(O1880,Antoine_Name,0),2)-INDEX(Antoines,MATCH(O1880,Antoine_Name,0),3)/(INDEX(Antoines,MATCH(O1880,Antoine_Name,0),4)+(O1887-32)*5/9)))*14.7/760,IF(O1881="Crude Oil",EXP((2799/(O1887+459.6)-2.227)*LOG10(INDEX(FX_Input,AB$5,O$3*$Z$5+$AA$5))-(7261/(O1887+459.6))+12.82),IF(O1881="Refined Petroleum Stock",EXP((0.7553-(413/(O1887+459.6)))*(INDEX(FX_Input,AB$5,O$3*$Z$5+$AA$5-1)^0.5)*LOG10(INDEX(FX_Input,AB$5,O$3*$Z$5+$AA$5))-(1.854-(1042/(O1887+459.6)))*(INDEX(FX_Input,AB$5,O$3*$Z$5+$AA$5-1)^0.5)+((2416/(O1887+459.6)-2.013)*LOG10(INDEX(FX_Input,AB$5,O$3*$Z$5+$AA$5)))-(8742/(O1887+459.6))+15.64),EXP(INDEX(Antoines,MATCH(O1880,Antoine_Name,0),2)-INDEX(Antoines,MATCH(O1880,Antoine_Name,0),3)/(O1887+459.6))))),0)</f>
        <v>0</v>
      </c>
    </row>
    <row r="1897" spans="2:15" ht="17.149999999999999" x14ac:dyDescent="0.55000000000000004">
      <c r="B1897" t="str">
        <f t="shared" si="6932"/>
        <v>Portland</v>
      </c>
      <c r="C1897" t="s">
        <v>582</v>
      </c>
      <c r="D1897">
        <f>D1896*D1884</f>
        <v>0</v>
      </c>
      <c r="E1897">
        <f t="shared" ref="E1897" si="6977">E1896*E1884</f>
        <v>0</v>
      </c>
      <c r="F1897">
        <f t="shared" ref="F1897" si="6978">F1896*F1884</f>
        <v>0</v>
      </c>
      <c r="G1897">
        <f t="shared" ref="G1897" si="6979">G1896*G1884</f>
        <v>0</v>
      </c>
      <c r="H1897">
        <f t="shared" ref="H1897" si="6980">H1896*H1884</f>
        <v>0</v>
      </c>
      <c r="I1897">
        <f t="shared" ref="I1897" si="6981">I1896*I1884</f>
        <v>0</v>
      </c>
      <c r="J1897">
        <f t="shared" ref="J1897" si="6982">J1896*J1884</f>
        <v>0</v>
      </c>
      <c r="K1897">
        <f t="shared" ref="K1897" si="6983">K1896*K1884</f>
        <v>0</v>
      </c>
      <c r="L1897">
        <f t="shared" ref="L1897" si="6984">L1896*L1884</f>
        <v>0</v>
      </c>
      <c r="M1897">
        <f t="shared" ref="M1897" si="6985">M1896*M1884</f>
        <v>0</v>
      </c>
      <c r="N1897">
        <f t="shared" ref="N1897" si="6986">N1896*N1884</f>
        <v>0</v>
      </c>
      <c r="O1897">
        <f t="shared" ref="O1897" si="6987">O1896*O1884</f>
        <v>0</v>
      </c>
    </row>
    <row r="1898" spans="2:15" ht="17.149999999999999" x14ac:dyDescent="0.55000000000000004">
      <c r="B1898" t="str">
        <f t="shared" si="6932"/>
        <v>Portland</v>
      </c>
      <c r="C1898" t="s">
        <v>583</v>
      </c>
      <c r="D1898">
        <f>D1895+D1897</f>
        <v>4.8116637646820016E-3</v>
      </c>
      <c r="E1898">
        <f t="shared" ref="E1898" si="6988">E1895+E1897</f>
        <v>5.0048006991488458E-3</v>
      </c>
      <c r="F1898">
        <f t="shared" ref="F1898" si="6989">F1895+F1897</f>
        <v>5.3193030941574935E-3</v>
      </c>
      <c r="G1898">
        <f t="shared" ref="G1898" si="6990">G1895+G1897</f>
        <v>5.8943503851042415E-3</v>
      </c>
      <c r="H1898">
        <f t="shared" ref="H1898" si="6991">H1895+H1897</f>
        <v>6.9660236232598005E-3</v>
      </c>
      <c r="I1898">
        <f t="shared" ref="I1898" si="6992">I1895+I1897</f>
        <v>7.9406391529506654E-3</v>
      </c>
      <c r="J1898">
        <f t="shared" ref="J1898" si="6993">J1895+J1897</f>
        <v>8.9422860963673592E-3</v>
      </c>
      <c r="K1898">
        <f t="shared" ref="K1898" si="6994">K1895+K1897</f>
        <v>8.9951550374627008E-3</v>
      </c>
      <c r="L1898">
        <f t="shared" ref="L1898" si="6995">L1895+L1897</f>
        <v>8.2385730689388259E-3</v>
      </c>
      <c r="M1898">
        <f t="shared" ref="M1898" si="6996">M1895+M1897</f>
        <v>6.618900442185772E-3</v>
      </c>
      <c r="N1898">
        <f t="shared" ref="N1898" si="6997">N1895+N1897</f>
        <v>5.3923587959108042E-3</v>
      </c>
      <c r="O1898">
        <f t="shared" ref="O1898" si="6998">O1895+O1897</f>
        <v>4.7525360186456101E-3</v>
      </c>
    </row>
    <row r="1899" spans="2:15" ht="17.149999999999999" x14ac:dyDescent="0.55000000000000004">
      <c r="B1899" t="str">
        <f t="shared" si="6932"/>
        <v>Portland</v>
      </c>
      <c r="C1899" t="s">
        <v>1388</v>
      </c>
      <c r="D1899" cm="1">
        <f t="array" ref="D1899">IFERROR(IF(D1879="Chemical",(10^(INDEX(Antoines,MATCH(D1878,Antoine_Name,0),2)-INDEX(Antoines,MATCH(D1878,Antoine_Name,0),3)/(INDEX(Antoines,MATCH(D1878,Antoine_Name,0),4)+(D1888-32)*5/9)))*14.7/760,IF(D1879="Crude Oil",EXP((2799/(D1888+459.6)-2.227)*LOG10(INDEX(FX_Input,Q$5,D$3*$Z$5+$AA$5))-(7261/(D1888+459.6))+12.82),IF(D1879="Refined Petroleum Stock",EXP((0.7553-(413/(D1888+459.6)))*(INDEX(FX_Input,Q$5,D$3*$Z$5+$AA$5-1)^0.5)*LOG10(INDEX(FX_Input,Q$5,D$3*$Z$5+$AA$5))-(1.854-(1042/(D1888+459.6)))*(INDEX(FX_Input,Q$5,D$3*$Z$5+$AA$5-1)^0.5)+((2416/(D1888+459.6)-2.013)*LOG10(INDEX(FX_Input,Q$5,D$3*$Z$5+$AA$5)))-(8742/(D1888+459.6))+15.64),EXP(INDEX(Antoines,MATCH(D1878,Antoine_Name,0),2)-INDEX(Antoines,MATCH(D1878,Antoine_Name,0),3)/(D1888+459.6))))),0)</f>
        <v>4.8847213797703236E-3</v>
      </c>
      <c r="E1899" cm="1">
        <f t="array" ref="E1899">IFERROR(IF(E1879="Chemical",(10^(INDEX(Antoines,MATCH(E1878,Antoine_Name,0),2)-INDEX(Antoines,MATCH(E1878,Antoine_Name,0),3)/(INDEX(Antoines,MATCH(E1878,Antoine_Name,0),4)+(E1888-32)*5/9)))*14.7/760,IF(E1879="Crude Oil",EXP((2799/(E1888+459.6)-2.227)*LOG10(INDEX(FX_Input,R$5,E$3*$Z$5+$AA$5))-(7261/(E1888+459.6))+12.82),IF(E1879="Refined Petroleum Stock",EXP((0.7553-(413/(E1888+459.6)))*(INDEX(FX_Input,R$5,E$3*$Z$5+$AA$5-1)^0.5)*LOG10(INDEX(FX_Input,R$5,E$3*$Z$5+$AA$5))-(1.854-(1042/(E1888+459.6)))*(INDEX(FX_Input,R$5,E$3*$Z$5+$AA$5-1)^0.5)+((2416/(E1888+459.6)-2.013)*LOG10(INDEX(FX_Input,R$5,E$3*$Z$5+$AA$5)))-(8742/(E1888+459.6))+15.64),EXP(INDEX(Antoines,MATCH(E1878,Antoine_Name,0),2)-INDEX(Antoines,MATCH(E1878,Antoine_Name,0),3)/(E1888+459.6))))),0)</f>
        <v>5.1377970454196883E-3</v>
      </c>
      <c r="F1899" cm="1">
        <f t="array" ref="F1899">IFERROR(IF(F1879="Chemical",(10^(INDEX(Antoines,MATCH(F1878,Antoine_Name,0),2)-INDEX(Antoines,MATCH(F1878,Antoine_Name,0),3)/(INDEX(Antoines,MATCH(F1878,Antoine_Name,0),4)+(F1888-32)*5/9)))*14.7/760,IF(F1879="Crude Oil",EXP((2799/(F1888+459.6)-2.227)*LOG10(INDEX(FX_Input,S$5,F$3*$Z$5+$AA$5))-(7261/(F1888+459.6))+12.82),IF(F1879="Refined Petroleum Stock",EXP((0.7553-(413/(F1888+459.6)))*(INDEX(FX_Input,S$5,F$3*$Z$5+$AA$5-1)^0.5)*LOG10(INDEX(FX_Input,S$5,F$3*$Z$5+$AA$5))-(1.854-(1042/(F1888+459.6)))*(INDEX(FX_Input,S$5,F$3*$Z$5+$AA$5-1)^0.5)+((2416/(F1888+459.6)-2.013)*LOG10(INDEX(FX_Input,S$5,F$3*$Z$5+$AA$5)))-(8742/(F1888+459.6))+15.64),EXP(INDEX(Antoines,MATCH(F1878,Antoine_Name,0),2)-INDEX(Antoines,MATCH(F1878,Antoine_Name,0),3)/(F1888+459.6))))),0)</f>
        <v>5.5255769197630547E-3</v>
      </c>
      <c r="G1899" cm="1">
        <f t="array" ref="G1899">IFERROR(IF(G1879="Chemical",(10^(INDEX(Antoines,MATCH(G1878,Antoine_Name,0),2)-INDEX(Antoines,MATCH(G1878,Antoine_Name,0),3)/(INDEX(Antoines,MATCH(G1878,Antoine_Name,0),4)+(G1888-32)*5/9)))*14.7/760,IF(G1879="Crude Oil",EXP((2799/(G1888+459.6)-2.227)*LOG10(INDEX(FX_Input,T$5,G$3*$Z$5+$AA$5))-(7261/(G1888+459.6))+12.82),IF(G1879="Refined Petroleum Stock",EXP((0.7553-(413/(G1888+459.6)))*(INDEX(FX_Input,T$5,G$3*$Z$5+$AA$5-1)^0.5)*LOG10(INDEX(FX_Input,T$5,G$3*$Z$5+$AA$5))-(1.854-(1042/(G1888+459.6)))*(INDEX(FX_Input,T$5,G$3*$Z$5+$AA$5-1)^0.5)+((2416/(G1888+459.6)-2.013)*LOG10(INDEX(FX_Input,T$5,G$3*$Z$5+$AA$5)))-(8742/(G1888+459.6))+15.64),EXP(INDEX(Antoines,MATCH(G1878,Antoine_Name,0),2)-INDEX(Antoines,MATCH(G1878,Antoine_Name,0),3)/(G1888+459.6))))),0)</f>
        <v>6.219119610903932E-3</v>
      </c>
      <c r="H1899" cm="1">
        <f t="array" ref="H1899">IFERROR(IF(H1879="Chemical",(10^(INDEX(Antoines,MATCH(H1878,Antoine_Name,0),2)-INDEX(Antoines,MATCH(H1878,Antoine_Name,0),3)/(INDEX(Antoines,MATCH(H1878,Antoine_Name,0),4)+(H1888-32)*5/9)))*14.7/760,IF(H1879="Crude Oil",EXP((2799/(H1888+459.6)-2.227)*LOG10(INDEX(FX_Input,U$5,H$3*$Z$5+$AA$5))-(7261/(H1888+459.6))+12.82),IF(H1879="Refined Petroleum Stock",EXP((0.7553-(413/(H1888+459.6)))*(INDEX(FX_Input,U$5,H$3*$Z$5+$AA$5-1)^0.5)*LOG10(INDEX(FX_Input,U$5,H$3*$Z$5+$AA$5))-(1.854-(1042/(H1888+459.6)))*(INDEX(FX_Input,U$5,H$3*$Z$5+$AA$5-1)^0.5)+((2416/(H1888+459.6)-2.013)*LOG10(INDEX(FX_Input,U$5,H$3*$Z$5+$AA$5)))-(8742/(H1888+459.6))+15.64),EXP(INDEX(Antoines,MATCH(H1878,Antoine_Name,0),2)-INDEX(Antoines,MATCH(H1878,Antoine_Name,0),3)/(H1888+459.6))))),0)</f>
        <v>7.430518180814979E-3</v>
      </c>
      <c r="I1899" cm="1">
        <f t="array" ref="I1899">IFERROR(IF(I1879="Chemical",(10^(INDEX(Antoines,MATCH(I1878,Antoine_Name,0),2)-INDEX(Antoines,MATCH(I1878,Antoine_Name,0),3)/(INDEX(Antoines,MATCH(I1878,Antoine_Name,0),4)+(I1888-32)*5/9)))*14.7/760,IF(I1879="Crude Oil",EXP((2799/(I1888+459.6)-2.227)*LOG10(INDEX(FX_Input,V$5,I$3*$Z$5+$AA$5))-(7261/(I1888+459.6))+12.82),IF(I1879="Refined Petroleum Stock",EXP((0.7553-(413/(I1888+459.6)))*(INDEX(FX_Input,V$5,I$3*$Z$5+$AA$5-1)^0.5)*LOG10(INDEX(FX_Input,V$5,I$3*$Z$5+$AA$5))-(1.854-(1042/(I1888+459.6)))*(INDEX(FX_Input,V$5,I$3*$Z$5+$AA$5-1)^0.5)+((2416/(I1888+459.6)-2.013)*LOG10(INDEX(FX_Input,V$5,I$3*$Z$5+$AA$5)))-(8742/(I1888+459.6))+15.64),EXP(INDEX(Antoines,MATCH(I1878,Antoine_Name,0),2)-INDEX(Antoines,MATCH(I1878,Antoine_Name,0),3)/(I1888+459.6))))),0)</f>
        <v>8.4933610792594406E-3</v>
      </c>
      <c r="J1899" cm="1">
        <f t="array" ref="J1899">IFERROR(IF(J1879="Chemical",(10^(INDEX(Antoines,MATCH(J1878,Antoine_Name,0),2)-INDEX(Antoines,MATCH(J1878,Antoine_Name,0),3)/(INDEX(Antoines,MATCH(J1878,Antoine_Name,0),4)+(J1888-32)*5/9)))*14.7/760,IF(J1879="Crude Oil",EXP((2799/(J1888+459.6)-2.227)*LOG10(INDEX(FX_Input,W$5,J$3*$Z$5+$AA$5))-(7261/(J1888+459.6))+12.82),IF(J1879="Refined Petroleum Stock",EXP((0.7553-(413/(J1888+459.6)))*(INDEX(FX_Input,W$5,J$3*$Z$5+$AA$5-1)^0.5)*LOG10(INDEX(FX_Input,W$5,J$3*$Z$5+$AA$5))-(1.854-(1042/(J1888+459.6)))*(INDEX(FX_Input,W$5,J$3*$Z$5+$AA$5-1)^0.5)+((2416/(J1888+459.6)-2.013)*LOG10(INDEX(FX_Input,W$5,J$3*$Z$5+$AA$5)))-(8742/(J1888+459.6))+15.64),EXP(INDEX(Antoines,MATCH(J1878,Antoine_Name,0),2)-INDEX(Antoines,MATCH(J1878,Antoine_Name,0),3)/(J1888+459.6))))),0)</f>
        <v>9.5874007696552591E-3</v>
      </c>
      <c r="K1899" cm="1">
        <f t="array" ref="K1899">IFERROR(IF(K1879="Chemical",(10^(INDEX(Antoines,MATCH(K1878,Antoine_Name,0),2)-INDEX(Antoines,MATCH(K1878,Antoine_Name,0),3)/(INDEX(Antoines,MATCH(K1878,Antoine_Name,0),4)+(K1888-32)*5/9)))*14.7/760,IF(K1879="Crude Oil",EXP((2799/(K1888+459.6)-2.227)*LOG10(INDEX(FX_Input,X$5,K$3*$Z$5+$AA$5))-(7261/(K1888+459.6))+12.82),IF(K1879="Refined Petroleum Stock",EXP((0.7553-(413/(K1888+459.6)))*(INDEX(FX_Input,X$5,K$3*$Z$5+$AA$5-1)^0.5)*LOG10(INDEX(FX_Input,X$5,K$3*$Z$5+$AA$5))-(1.854-(1042/(K1888+459.6)))*(INDEX(FX_Input,X$5,K$3*$Z$5+$AA$5-1)^0.5)+((2416/(K1888+459.6)-2.013)*LOG10(INDEX(FX_Input,X$5,K$3*$Z$5+$AA$5)))-(8742/(K1888+459.6))+15.64),EXP(INDEX(Antoines,MATCH(K1878,Antoine_Name,0),2)-INDEX(Antoines,MATCH(K1878,Antoine_Name,0),3)/(K1888+459.6))))),0)</f>
        <v>9.5593988737869996E-3</v>
      </c>
      <c r="L1899" cm="1">
        <f t="array" ref="L1899">IFERROR(IF(L1879="Chemical",(10^(INDEX(Antoines,MATCH(L1878,Antoine_Name,0),2)-INDEX(Antoines,MATCH(L1878,Antoine_Name,0),3)/(INDEX(Antoines,MATCH(L1878,Antoine_Name,0),4)+(L1888-32)*5/9)))*14.7/760,IF(L1879="Crude Oil",EXP((2799/(L1888+459.6)-2.227)*LOG10(INDEX(FX_Input,Y$5,L$3*$Z$5+$AA$5))-(7261/(L1888+459.6))+12.82),IF(L1879="Refined Petroleum Stock",EXP((0.7553-(413/(L1888+459.6)))*(INDEX(FX_Input,Y$5,L$3*$Z$5+$AA$5-1)^0.5)*LOG10(INDEX(FX_Input,Y$5,L$3*$Z$5+$AA$5))-(1.854-(1042/(L1888+459.6)))*(INDEX(FX_Input,Y$5,L$3*$Z$5+$AA$5-1)^0.5)+((2416/(L1888+459.6)-2.013)*LOG10(INDEX(FX_Input,Y$5,L$3*$Z$5+$AA$5)))-(8742/(L1888+459.6))+15.64),EXP(INDEX(Antoines,MATCH(L1878,Antoine_Name,0),2)-INDEX(Antoines,MATCH(L1878,Antoine_Name,0),3)/(L1888+459.6))))),0)</f>
        <v>8.6549593565446326E-3</v>
      </c>
      <c r="M1899" cm="1">
        <f t="array" ref="M1899">IFERROR(IF(M1879="Chemical",(10^(INDEX(Antoines,MATCH(M1878,Antoine_Name,0),2)-INDEX(Antoines,MATCH(M1878,Antoine_Name,0),3)/(INDEX(Antoines,MATCH(M1878,Antoine_Name,0),4)+(M1888-32)*5/9)))*14.7/760,IF(M1879="Crude Oil",EXP((2799/(M1888+459.6)-2.227)*LOG10(INDEX(FX_Input,Z$5,M$3*$Z$5+$AA$5))-(7261/(M1888+459.6))+12.82),IF(M1879="Refined Petroleum Stock",EXP((0.7553-(413/(M1888+459.6)))*(INDEX(FX_Input,Z$5,M$3*$Z$5+$AA$5-1)^0.5)*LOG10(INDEX(FX_Input,Z$5,M$3*$Z$5+$AA$5))-(1.854-(1042/(M1888+459.6)))*(INDEX(FX_Input,Z$5,M$3*$Z$5+$AA$5-1)^0.5)+((2416/(M1888+459.6)-2.013)*LOG10(INDEX(FX_Input,Z$5,M$3*$Z$5+$AA$5)))-(8742/(M1888+459.6))+15.64),EXP(INDEX(Antoines,MATCH(M1878,Antoine_Name,0),2)-INDEX(Antoines,MATCH(M1878,Antoine_Name,0),3)/(M1888+459.6))))),0)</f>
        <v>6.8260376495002202E-3</v>
      </c>
      <c r="N1899" cm="1">
        <f t="array" ref="N1899">IFERROR(IF(N1879="Chemical",(10^(INDEX(Antoines,MATCH(N1878,Antoine_Name,0),2)-INDEX(Antoines,MATCH(N1878,Antoine_Name,0),3)/(INDEX(Antoines,MATCH(N1878,Antoine_Name,0),4)+(N1888-32)*5/9)))*14.7/760,IF(N1879="Crude Oil",EXP((2799/(N1888+459.6)-2.227)*LOG10(INDEX(FX_Input,AA$5,N$3*$Z$5+$AA$5))-(7261/(N1888+459.6))+12.82),IF(N1879="Refined Petroleum Stock",EXP((0.7553-(413/(N1888+459.6)))*(INDEX(FX_Input,AA$5,N$3*$Z$5+$AA$5-1)^0.5)*LOG10(INDEX(FX_Input,AA$5,N$3*$Z$5+$AA$5))-(1.854-(1042/(N1888+459.6)))*(INDEX(FX_Input,AA$5,N$3*$Z$5+$AA$5-1)^0.5)+((2416/(N1888+459.6)-2.013)*LOG10(INDEX(FX_Input,AA$5,N$3*$Z$5+$AA$5)))-(8742/(N1888+459.6))+15.64),EXP(INDEX(Antoines,MATCH(N1878,Antoine_Name,0),2)-INDEX(Antoines,MATCH(N1878,Antoine_Name,0),3)/(N1888+459.6))))),0)</f>
        <v>5.4845718776011703E-3</v>
      </c>
      <c r="O1899" cm="1">
        <f t="array" ref="O1899">IFERROR(IF(O1879="Chemical",(10^(INDEX(Antoines,MATCH(O1878,Antoine_Name,0),2)-INDEX(Antoines,MATCH(O1878,Antoine_Name,0),3)/(INDEX(Antoines,MATCH(O1878,Antoine_Name,0),4)+(O1888-32)*5/9)))*14.7/760,IF(O1879="Crude Oil",EXP((2799/(O1888+459.6)-2.227)*LOG10(INDEX(FX_Input,AB$5,O$3*$Z$5+$AA$5))-(7261/(O1888+459.6))+12.82),IF(O1879="Refined Petroleum Stock",EXP((0.7553-(413/(O1888+459.6)))*(INDEX(FX_Input,AB$5,O$3*$Z$5+$AA$5-1)^0.5)*LOG10(INDEX(FX_Input,AB$5,O$3*$Z$5+$AA$5))-(1.854-(1042/(O1888+459.6)))*(INDEX(FX_Input,AB$5,O$3*$Z$5+$AA$5-1)^0.5)+((2416/(O1888+459.6)-2.013)*LOG10(INDEX(FX_Input,AB$5,O$3*$Z$5+$AA$5)))-(8742/(O1888+459.6))+15.64),EXP(INDEX(Antoines,MATCH(O1878,Antoine_Name,0),2)-INDEX(Antoines,MATCH(O1878,Antoine_Name,0),3)/(O1888+459.6))))),0)</f>
        <v>4.8161086599927579E-3</v>
      </c>
    </row>
    <row r="1900" spans="2:15" ht="17.149999999999999" x14ac:dyDescent="0.55000000000000004">
      <c r="B1900" t="str">
        <f t="shared" si="6932"/>
        <v>Portland</v>
      </c>
      <c r="C1900" t="s">
        <v>1389</v>
      </c>
      <c r="D1900">
        <f>D1899*D1882</f>
        <v>4.8847213797703236E-3</v>
      </c>
      <c r="E1900">
        <f t="shared" ref="E1900" si="6999">E1899*E1882</f>
        <v>5.1377970454196883E-3</v>
      </c>
      <c r="F1900">
        <f t="shared" ref="F1900" si="7000">F1899*F1882</f>
        <v>5.5255769197630547E-3</v>
      </c>
      <c r="G1900">
        <f t="shared" ref="G1900" si="7001">G1899*G1882</f>
        <v>6.219119610903932E-3</v>
      </c>
      <c r="H1900">
        <f t="shared" ref="H1900" si="7002">H1899*H1882</f>
        <v>7.430518180814979E-3</v>
      </c>
      <c r="I1900">
        <f t="shared" ref="I1900" si="7003">I1899*I1882</f>
        <v>8.4933610792594406E-3</v>
      </c>
      <c r="J1900">
        <f t="shared" ref="J1900" si="7004">J1899*J1882</f>
        <v>9.5874007696552591E-3</v>
      </c>
      <c r="K1900">
        <f t="shared" ref="K1900" si="7005">K1899*K1882</f>
        <v>9.5593988737869996E-3</v>
      </c>
      <c r="L1900">
        <f t="shared" ref="L1900" si="7006">L1899*L1882</f>
        <v>8.6549593565446326E-3</v>
      </c>
      <c r="M1900">
        <f t="shared" ref="M1900" si="7007">M1899*M1882</f>
        <v>6.8260376495002202E-3</v>
      </c>
      <c r="N1900">
        <f t="shared" ref="N1900" si="7008">N1899*N1882</f>
        <v>5.4845718776011703E-3</v>
      </c>
      <c r="O1900">
        <f t="shared" ref="O1900" si="7009">O1899*O1882</f>
        <v>4.8161086599927579E-3</v>
      </c>
    </row>
    <row r="1901" spans="2:15" ht="17.149999999999999" x14ac:dyDescent="0.55000000000000004">
      <c r="B1901" t="str">
        <f t="shared" si="6932"/>
        <v>Portland</v>
      </c>
      <c r="C1901" t="s">
        <v>1390</v>
      </c>
      <c r="D1901" cm="1">
        <f t="array" ref="D1901">IFERROR(IF(D1881="Chemical",(10^(INDEX(Antoines,MATCH(D1880,Antoine_Name,0),2)-INDEX(Antoines,MATCH(D1880,Antoine_Name,0),3)/(INDEX(Antoines,MATCH(D1880,Antoine_Name,0),4)+(D1888-32)*5/9)))*14.7/760,IF(D1881="Crude Oil",EXP((2799/(D1888+459.6)-2.227)*LOG10(INDEX(FX_Input,Q$5,D$3*$Z$5+$AA$5))-(7261/(D1888+459.6))+12.82),IF(D1881="Refined Petroleum Stock",EXP((0.7553-(413/(D1888+459.6)))*(INDEX(FX_Input,Q$5,D$3*$Z$5+$AA$5-1)^0.5)*LOG10(INDEX(FX_Input,Q$5,D$3*$Z$5+$AA$5))-(1.854-(1042/(D1888+459.6)))*(INDEX(FX_Input,Q$5,D$3*$Z$5+$AA$5-1)^0.5)+((2416/(D1888+459.6)-2.013)*LOG10(INDEX(FX_Input,Q$5,D$3*$Z$5+$AA$5)))-(8742/(D1888+459.6))+15.64),EXP(INDEX(Antoines,MATCH(D1880,Antoine_Name,0),2)-INDEX(Antoines,MATCH(D1880,Antoine_Name,0),3)/(D1888+459.6))))),0)</f>
        <v>0</v>
      </c>
      <c r="E1901" cm="1">
        <f t="array" ref="E1901">IFERROR(IF(E1881="Chemical",(10^(INDEX(Antoines,MATCH(E1880,Antoine_Name,0),2)-INDEX(Antoines,MATCH(E1880,Antoine_Name,0),3)/(INDEX(Antoines,MATCH(E1880,Antoine_Name,0),4)+(E1888-32)*5/9)))*14.7/760,IF(E1881="Crude Oil",EXP((2799/(E1888+459.6)-2.227)*LOG10(INDEX(FX_Input,R$5,E$3*$Z$5+$AA$5))-(7261/(E1888+459.6))+12.82),IF(E1881="Refined Petroleum Stock",EXP((0.7553-(413/(E1888+459.6)))*(INDEX(FX_Input,R$5,E$3*$Z$5+$AA$5-1)^0.5)*LOG10(INDEX(FX_Input,R$5,E$3*$Z$5+$AA$5))-(1.854-(1042/(E1888+459.6)))*(INDEX(FX_Input,R$5,E$3*$Z$5+$AA$5-1)^0.5)+((2416/(E1888+459.6)-2.013)*LOG10(INDEX(FX_Input,R$5,E$3*$Z$5+$AA$5)))-(8742/(E1888+459.6))+15.64),EXP(INDEX(Antoines,MATCH(E1880,Antoine_Name,0),2)-INDEX(Antoines,MATCH(E1880,Antoine_Name,0),3)/(E1888+459.6))))),0)</f>
        <v>0</v>
      </c>
      <c r="F1901" cm="1">
        <f t="array" ref="F1901">IFERROR(IF(F1881="Chemical",(10^(INDEX(Antoines,MATCH(F1880,Antoine_Name,0),2)-INDEX(Antoines,MATCH(F1880,Antoine_Name,0),3)/(INDEX(Antoines,MATCH(F1880,Antoine_Name,0),4)+(F1888-32)*5/9)))*14.7/760,IF(F1881="Crude Oil",EXP((2799/(F1888+459.6)-2.227)*LOG10(INDEX(FX_Input,S$5,F$3*$Z$5+$AA$5))-(7261/(F1888+459.6))+12.82),IF(F1881="Refined Petroleum Stock",EXP((0.7553-(413/(F1888+459.6)))*(INDEX(FX_Input,S$5,F$3*$Z$5+$AA$5-1)^0.5)*LOG10(INDEX(FX_Input,S$5,F$3*$Z$5+$AA$5))-(1.854-(1042/(F1888+459.6)))*(INDEX(FX_Input,S$5,F$3*$Z$5+$AA$5-1)^0.5)+((2416/(F1888+459.6)-2.013)*LOG10(INDEX(FX_Input,S$5,F$3*$Z$5+$AA$5)))-(8742/(F1888+459.6))+15.64),EXP(INDEX(Antoines,MATCH(F1880,Antoine_Name,0),2)-INDEX(Antoines,MATCH(F1880,Antoine_Name,0),3)/(F1888+459.6))))),0)</f>
        <v>0</v>
      </c>
      <c r="G1901" cm="1">
        <f t="array" ref="G1901">IFERROR(IF(G1881="Chemical",(10^(INDEX(Antoines,MATCH(G1880,Antoine_Name,0),2)-INDEX(Antoines,MATCH(G1880,Antoine_Name,0),3)/(INDEX(Antoines,MATCH(G1880,Antoine_Name,0),4)+(G1888-32)*5/9)))*14.7/760,IF(G1881="Crude Oil",EXP((2799/(G1888+459.6)-2.227)*LOG10(INDEX(FX_Input,T$5,G$3*$Z$5+$AA$5))-(7261/(G1888+459.6))+12.82),IF(G1881="Refined Petroleum Stock",EXP((0.7553-(413/(G1888+459.6)))*(INDEX(FX_Input,T$5,G$3*$Z$5+$AA$5-1)^0.5)*LOG10(INDEX(FX_Input,T$5,G$3*$Z$5+$AA$5))-(1.854-(1042/(G1888+459.6)))*(INDEX(FX_Input,T$5,G$3*$Z$5+$AA$5-1)^0.5)+((2416/(G1888+459.6)-2.013)*LOG10(INDEX(FX_Input,T$5,G$3*$Z$5+$AA$5)))-(8742/(G1888+459.6))+15.64),EXP(INDEX(Antoines,MATCH(G1880,Antoine_Name,0),2)-INDEX(Antoines,MATCH(G1880,Antoine_Name,0),3)/(G1888+459.6))))),0)</f>
        <v>0</v>
      </c>
      <c r="H1901" cm="1">
        <f t="array" ref="H1901">IFERROR(IF(H1881="Chemical",(10^(INDEX(Antoines,MATCH(H1880,Antoine_Name,0),2)-INDEX(Antoines,MATCH(H1880,Antoine_Name,0),3)/(INDEX(Antoines,MATCH(H1880,Antoine_Name,0),4)+(H1888-32)*5/9)))*14.7/760,IF(H1881="Crude Oil",EXP((2799/(H1888+459.6)-2.227)*LOG10(INDEX(FX_Input,U$5,H$3*$Z$5+$AA$5))-(7261/(H1888+459.6))+12.82),IF(H1881="Refined Petroleum Stock",EXP((0.7553-(413/(H1888+459.6)))*(INDEX(FX_Input,U$5,H$3*$Z$5+$AA$5-1)^0.5)*LOG10(INDEX(FX_Input,U$5,H$3*$Z$5+$AA$5))-(1.854-(1042/(H1888+459.6)))*(INDEX(FX_Input,U$5,H$3*$Z$5+$AA$5-1)^0.5)+((2416/(H1888+459.6)-2.013)*LOG10(INDEX(FX_Input,U$5,H$3*$Z$5+$AA$5)))-(8742/(H1888+459.6))+15.64),EXP(INDEX(Antoines,MATCH(H1880,Antoine_Name,0),2)-INDEX(Antoines,MATCH(H1880,Antoine_Name,0),3)/(H1888+459.6))))),0)</f>
        <v>0</v>
      </c>
      <c r="I1901" cm="1">
        <f t="array" ref="I1901">IFERROR(IF(I1881="Chemical",(10^(INDEX(Antoines,MATCH(I1880,Antoine_Name,0),2)-INDEX(Antoines,MATCH(I1880,Antoine_Name,0),3)/(INDEX(Antoines,MATCH(I1880,Antoine_Name,0),4)+(I1888-32)*5/9)))*14.7/760,IF(I1881="Crude Oil",EXP((2799/(I1888+459.6)-2.227)*LOG10(INDEX(FX_Input,V$5,I$3*$Z$5+$AA$5))-(7261/(I1888+459.6))+12.82),IF(I1881="Refined Petroleum Stock",EXP((0.7553-(413/(I1888+459.6)))*(INDEX(FX_Input,V$5,I$3*$Z$5+$AA$5-1)^0.5)*LOG10(INDEX(FX_Input,V$5,I$3*$Z$5+$AA$5))-(1.854-(1042/(I1888+459.6)))*(INDEX(FX_Input,V$5,I$3*$Z$5+$AA$5-1)^0.5)+((2416/(I1888+459.6)-2.013)*LOG10(INDEX(FX_Input,V$5,I$3*$Z$5+$AA$5)))-(8742/(I1888+459.6))+15.64),EXP(INDEX(Antoines,MATCH(I1880,Antoine_Name,0),2)-INDEX(Antoines,MATCH(I1880,Antoine_Name,0),3)/(I1888+459.6))))),0)</f>
        <v>0</v>
      </c>
      <c r="J1901" cm="1">
        <f t="array" ref="J1901">IFERROR(IF(J1881="Chemical",(10^(INDEX(Antoines,MATCH(J1880,Antoine_Name,0),2)-INDEX(Antoines,MATCH(J1880,Antoine_Name,0),3)/(INDEX(Antoines,MATCH(J1880,Antoine_Name,0),4)+(J1888-32)*5/9)))*14.7/760,IF(J1881="Crude Oil",EXP((2799/(J1888+459.6)-2.227)*LOG10(INDEX(FX_Input,W$5,J$3*$Z$5+$AA$5))-(7261/(J1888+459.6))+12.82),IF(J1881="Refined Petroleum Stock",EXP((0.7553-(413/(J1888+459.6)))*(INDEX(FX_Input,W$5,J$3*$Z$5+$AA$5-1)^0.5)*LOG10(INDEX(FX_Input,W$5,J$3*$Z$5+$AA$5))-(1.854-(1042/(J1888+459.6)))*(INDEX(FX_Input,W$5,J$3*$Z$5+$AA$5-1)^0.5)+((2416/(J1888+459.6)-2.013)*LOG10(INDEX(FX_Input,W$5,J$3*$Z$5+$AA$5)))-(8742/(J1888+459.6))+15.64),EXP(INDEX(Antoines,MATCH(J1880,Antoine_Name,0),2)-INDEX(Antoines,MATCH(J1880,Antoine_Name,0),3)/(J1888+459.6))))),0)</f>
        <v>0</v>
      </c>
      <c r="K1901" cm="1">
        <f t="array" ref="K1901">IFERROR(IF(K1881="Chemical",(10^(INDEX(Antoines,MATCH(K1880,Antoine_Name,0),2)-INDEX(Antoines,MATCH(K1880,Antoine_Name,0),3)/(INDEX(Antoines,MATCH(K1880,Antoine_Name,0),4)+(K1888-32)*5/9)))*14.7/760,IF(K1881="Crude Oil",EXP((2799/(K1888+459.6)-2.227)*LOG10(INDEX(FX_Input,X$5,K$3*$Z$5+$AA$5))-(7261/(K1888+459.6))+12.82),IF(K1881="Refined Petroleum Stock",EXP((0.7553-(413/(K1888+459.6)))*(INDEX(FX_Input,X$5,K$3*$Z$5+$AA$5-1)^0.5)*LOG10(INDEX(FX_Input,X$5,K$3*$Z$5+$AA$5))-(1.854-(1042/(K1888+459.6)))*(INDEX(FX_Input,X$5,K$3*$Z$5+$AA$5-1)^0.5)+((2416/(K1888+459.6)-2.013)*LOG10(INDEX(FX_Input,X$5,K$3*$Z$5+$AA$5)))-(8742/(K1888+459.6))+15.64),EXP(INDEX(Antoines,MATCH(K1880,Antoine_Name,0),2)-INDEX(Antoines,MATCH(K1880,Antoine_Name,0),3)/(K1888+459.6))))),0)</f>
        <v>0</v>
      </c>
      <c r="L1901" cm="1">
        <f t="array" ref="L1901">IFERROR(IF(L1881="Chemical",(10^(INDEX(Antoines,MATCH(L1880,Antoine_Name,0),2)-INDEX(Antoines,MATCH(L1880,Antoine_Name,0),3)/(INDEX(Antoines,MATCH(L1880,Antoine_Name,0),4)+(L1888-32)*5/9)))*14.7/760,IF(L1881="Crude Oil",EXP((2799/(L1888+459.6)-2.227)*LOG10(INDEX(FX_Input,Y$5,L$3*$Z$5+$AA$5))-(7261/(L1888+459.6))+12.82),IF(L1881="Refined Petroleum Stock",EXP((0.7553-(413/(L1888+459.6)))*(INDEX(FX_Input,Y$5,L$3*$Z$5+$AA$5-1)^0.5)*LOG10(INDEX(FX_Input,Y$5,L$3*$Z$5+$AA$5))-(1.854-(1042/(L1888+459.6)))*(INDEX(FX_Input,Y$5,L$3*$Z$5+$AA$5-1)^0.5)+((2416/(L1888+459.6)-2.013)*LOG10(INDEX(FX_Input,Y$5,L$3*$Z$5+$AA$5)))-(8742/(L1888+459.6))+15.64),EXP(INDEX(Antoines,MATCH(L1880,Antoine_Name,0),2)-INDEX(Antoines,MATCH(L1880,Antoine_Name,0),3)/(L1888+459.6))))),0)</f>
        <v>0</v>
      </c>
      <c r="M1901" cm="1">
        <f t="array" ref="M1901">IFERROR(IF(M1881="Chemical",(10^(INDEX(Antoines,MATCH(M1880,Antoine_Name,0),2)-INDEX(Antoines,MATCH(M1880,Antoine_Name,0),3)/(INDEX(Antoines,MATCH(M1880,Antoine_Name,0),4)+(M1888-32)*5/9)))*14.7/760,IF(M1881="Crude Oil",EXP((2799/(M1888+459.6)-2.227)*LOG10(INDEX(FX_Input,Z$5,M$3*$Z$5+$AA$5))-(7261/(M1888+459.6))+12.82),IF(M1881="Refined Petroleum Stock",EXP((0.7553-(413/(M1888+459.6)))*(INDEX(FX_Input,Z$5,M$3*$Z$5+$AA$5-1)^0.5)*LOG10(INDEX(FX_Input,Z$5,M$3*$Z$5+$AA$5))-(1.854-(1042/(M1888+459.6)))*(INDEX(FX_Input,Z$5,M$3*$Z$5+$AA$5-1)^0.5)+((2416/(M1888+459.6)-2.013)*LOG10(INDEX(FX_Input,Z$5,M$3*$Z$5+$AA$5)))-(8742/(M1888+459.6))+15.64),EXP(INDEX(Antoines,MATCH(M1880,Antoine_Name,0),2)-INDEX(Antoines,MATCH(M1880,Antoine_Name,0),3)/(M1888+459.6))))),0)</f>
        <v>0</v>
      </c>
      <c r="N1901" cm="1">
        <f t="array" ref="N1901">IFERROR(IF(N1881="Chemical",(10^(INDEX(Antoines,MATCH(N1880,Antoine_Name,0),2)-INDEX(Antoines,MATCH(N1880,Antoine_Name,0),3)/(INDEX(Antoines,MATCH(N1880,Antoine_Name,0),4)+(N1888-32)*5/9)))*14.7/760,IF(N1881="Crude Oil",EXP((2799/(N1888+459.6)-2.227)*LOG10(INDEX(FX_Input,AA$5,N$3*$Z$5+$AA$5))-(7261/(N1888+459.6))+12.82),IF(N1881="Refined Petroleum Stock",EXP((0.7553-(413/(N1888+459.6)))*(INDEX(FX_Input,AA$5,N$3*$Z$5+$AA$5-1)^0.5)*LOG10(INDEX(FX_Input,AA$5,N$3*$Z$5+$AA$5))-(1.854-(1042/(N1888+459.6)))*(INDEX(FX_Input,AA$5,N$3*$Z$5+$AA$5-1)^0.5)+((2416/(N1888+459.6)-2.013)*LOG10(INDEX(FX_Input,AA$5,N$3*$Z$5+$AA$5)))-(8742/(N1888+459.6))+15.64),EXP(INDEX(Antoines,MATCH(N1880,Antoine_Name,0),2)-INDEX(Antoines,MATCH(N1880,Antoine_Name,0),3)/(N1888+459.6))))),0)</f>
        <v>0</v>
      </c>
      <c r="O1901" cm="1">
        <f t="array" ref="O1901">IFERROR(IF(O1881="Chemical",(10^(INDEX(Antoines,MATCH(O1880,Antoine_Name,0),2)-INDEX(Antoines,MATCH(O1880,Antoine_Name,0),3)/(INDEX(Antoines,MATCH(O1880,Antoine_Name,0),4)+(O1888-32)*5/9)))*14.7/760,IF(O1881="Crude Oil",EXP((2799/(O1888+459.6)-2.227)*LOG10(INDEX(FX_Input,AB$5,O$3*$Z$5+$AA$5))-(7261/(O1888+459.6))+12.82),IF(O1881="Refined Petroleum Stock",EXP((0.7553-(413/(O1888+459.6)))*(INDEX(FX_Input,AB$5,O$3*$Z$5+$AA$5-1)^0.5)*LOG10(INDEX(FX_Input,AB$5,O$3*$Z$5+$AA$5))-(1.854-(1042/(O1888+459.6)))*(INDEX(FX_Input,AB$5,O$3*$Z$5+$AA$5-1)^0.5)+((2416/(O1888+459.6)-2.013)*LOG10(INDEX(FX_Input,AB$5,O$3*$Z$5+$AA$5)))-(8742/(O1888+459.6))+15.64),EXP(INDEX(Antoines,MATCH(O1880,Antoine_Name,0),2)-INDEX(Antoines,MATCH(O1880,Antoine_Name,0),3)/(O1888+459.6))))),0)</f>
        <v>0</v>
      </c>
    </row>
    <row r="1902" spans="2:15" ht="17.149999999999999" x14ac:dyDescent="0.55000000000000004">
      <c r="B1902" t="str">
        <f t="shared" si="6932"/>
        <v>Portland</v>
      </c>
      <c r="C1902" t="s">
        <v>1391</v>
      </c>
      <c r="D1902">
        <f>D1901*D1884</f>
        <v>0</v>
      </c>
      <c r="E1902">
        <f t="shared" ref="E1902" si="7010">E1901*E1884</f>
        <v>0</v>
      </c>
      <c r="F1902">
        <f t="shared" ref="F1902" si="7011">F1901*F1884</f>
        <v>0</v>
      </c>
      <c r="G1902">
        <f t="shared" ref="G1902" si="7012">G1901*G1884</f>
        <v>0</v>
      </c>
      <c r="H1902">
        <f t="shared" ref="H1902" si="7013">H1901*H1884</f>
        <v>0</v>
      </c>
      <c r="I1902">
        <f t="shared" ref="I1902" si="7014">I1901*I1884</f>
        <v>0</v>
      </c>
      <c r="J1902">
        <f t="shared" ref="J1902" si="7015">J1901*J1884</f>
        <v>0</v>
      </c>
      <c r="K1902">
        <f t="shared" ref="K1902" si="7016">K1901*K1884</f>
        <v>0</v>
      </c>
      <c r="L1902">
        <f t="shared" ref="L1902" si="7017">L1901*L1884</f>
        <v>0</v>
      </c>
      <c r="M1902">
        <f t="shared" ref="M1902" si="7018">M1901*M1884</f>
        <v>0</v>
      </c>
      <c r="N1902">
        <f t="shared" ref="N1902" si="7019">N1901*N1884</f>
        <v>0</v>
      </c>
      <c r="O1902">
        <f t="shared" ref="O1902" si="7020">O1901*O1884</f>
        <v>0</v>
      </c>
    </row>
    <row r="1903" spans="2:15" ht="17.149999999999999" x14ac:dyDescent="0.55000000000000004">
      <c r="B1903" t="str">
        <f t="shared" si="6932"/>
        <v>Portland</v>
      </c>
      <c r="C1903" t="s">
        <v>1392</v>
      </c>
      <c r="D1903">
        <f>D1900+D1902</f>
        <v>4.8847213797703236E-3</v>
      </c>
      <c r="E1903">
        <f t="shared" ref="E1903" si="7021">E1900+E1902</f>
        <v>5.1377970454196883E-3</v>
      </c>
      <c r="F1903">
        <f t="shared" ref="F1903" si="7022">F1900+F1902</f>
        <v>5.5255769197630547E-3</v>
      </c>
      <c r="G1903">
        <f t="shared" ref="G1903" si="7023">G1900+G1902</f>
        <v>6.219119610903932E-3</v>
      </c>
      <c r="H1903">
        <f t="shared" ref="H1903" si="7024">H1900+H1902</f>
        <v>7.430518180814979E-3</v>
      </c>
      <c r="I1903">
        <f t="shared" ref="I1903" si="7025">I1900+I1902</f>
        <v>8.4933610792594406E-3</v>
      </c>
      <c r="J1903">
        <f t="shared" ref="J1903" si="7026">J1900+J1902</f>
        <v>9.5874007696552591E-3</v>
      </c>
      <c r="K1903">
        <f t="shared" ref="K1903" si="7027">K1900+K1902</f>
        <v>9.5593988737869996E-3</v>
      </c>
      <c r="L1903">
        <f t="shared" ref="L1903" si="7028">L1900+L1902</f>
        <v>8.6549593565446326E-3</v>
      </c>
      <c r="M1903">
        <f t="shared" ref="M1903" si="7029">M1900+M1902</f>
        <v>6.8260376495002202E-3</v>
      </c>
      <c r="N1903">
        <f t="shared" ref="N1903" si="7030">N1900+N1902</f>
        <v>5.4845718776011703E-3</v>
      </c>
      <c r="O1903">
        <f t="shared" ref="O1903" si="7031">O1900+O1902</f>
        <v>4.8161086599927579E-3</v>
      </c>
    </row>
    <row r="1904" spans="2:15" ht="17.149999999999999" x14ac:dyDescent="0.55000000000000004">
      <c r="B1904" t="str">
        <f>B1898</f>
        <v>Portland</v>
      </c>
      <c r="C1904" t="s">
        <v>584</v>
      </c>
      <c r="D1904">
        <f>D1900/D1903</f>
        <v>1</v>
      </c>
      <c r="E1904">
        <f t="shared" ref="E1904" si="7032">E1900/E1903</f>
        <v>1</v>
      </c>
      <c r="F1904">
        <f t="shared" ref="F1904" si="7033">F1900/F1903</f>
        <v>1</v>
      </c>
      <c r="G1904">
        <f t="shared" ref="G1904" si="7034">G1900/G1903</f>
        <v>1</v>
      </c>
      <c r="H1904">
        <f t="shared" ref="H1904" si="7035">H1900/H1903</f>
        <v>1</v>
      </c>
      <c r="I1904">
        <f t="shared" ref="I1904" si="7036">I1900/I1903</f>
        <v>1</v>
      </c>
      <c r="J1904">
        <f t="shared" ref="J1904" si="7037">J1900/J1903</f>
        <v>1</v>
      </c>
      <c r="K1904">
        <f t="shared" ref="K1904" si="7038">K1900/K1903</f>
        <v>1</v>
      </c>
      <c r="L1904">
        <f t="shared" ref="L1904" si="7039">L1900/L1903</f>
        <v>1</v>
      </c>
      <c r="M1904">
        <f t="shared" ref="M1904" si="7040">M1900/M1903</f>
        <v>1</v>
      </c>
      <c r="N1904">
        <f t="shared" ref="N1904" si="7041">N1900/N1903</f>
        <v>1</v>
      </c>
      <c r="O1904">
        <f t="shared" ref="O1904" si="7042">O1900/O1903</f>
        <v>1</v>
      </c>
    </row>
    <row r="1905" spans="1:32" ht="17.149999999999999" x14ac:dyDescent="0.55000000000000004">
      <c r="B1905" t="str">
        <f>B1899</f>
        <v>Portland</v>
      </c>
      <c r="C1905" t="s">
        <v>585</v>
      </c>
      <c r="D1905">
        <f t="shared" ref="D1905:O1905" si="7043">INDEX(Phys_Prop,MATCH(D1878,Chem_List,0),3)</f>
        <v>130</v>
      </c>
      <c r="E1905">
        <f t="shared" si="7043"/>
        <v>130</v>
      </c>
      <c r="F1905">
        <f t="shared" si="7043"/>
        <v>130</v>
      </c>
      <c r="G1905">
        <f t="shared" si="7043"/>
        <v>130</v>
      </c>
      <c r="H1905">
        <f t="shared" si="7043"/>
        <v>130</v>
      </c>
      <c r="I1905">
        <f t="shared" si="7043"/>
        <v>130</v>
      </c>
      <c r="J1905">
        <f t="shared" si="7043"/>
        <v>130</v>
      </c>
      <c r="K1905">
        <f t="shared" si="7043"/>
        <v>130</v>
      </c>
      <c r="L1905">
        <f t="shared" si="7043"/>
        <v>130</v>
      </c>
      <c r="M1905">
        <f t="shared" si="7043"/>
        <v>130</v>
      </c>
      <c r="N1905">
        <f t="shared" si="7043"/>
        <v>130</v>
      </c>
      <c r="O1905">
        <f t="shared" si="7043"/>
        <v>130</v>
      </c>
    </row>
    <row r="1906" spans="1:32" ht="17.149999999999999" x14ac:dyDescent="0.55000000000000004">
      <c r="B1906" t="str">
        <f>B1905</f>
        <v>Portland</v>
      </c>
      <c r="C1906" t="s">
        <v>586</v>
      </c>
      <c r="D1906">
        <f>D1902/D1903</f>
        <v>0</v>
      </c>
      <c r="E1906">
        <f t="shared" ref="E1906:O1906" si="7044">E1902/E1903</f>
        <v>0</v>
      </c>
      <c r="F1906">
        <f t="shared" si="7044"/>
        <v>0</v>
      </c>
      <c r="G1906">
        <f t="shared" si="7044"/>
        <v>0</v>
      </c>
      <c r="H1906">
        <f t="shared" si="7044"/>
        <v>0</v>
      </c>
      <c r="I1906">
        <f t="shared" si="7044"/>
        <v>0</v>
      </c>
      <c r="J1906">
        <f t="shared" si="7044"/>
        <v>0</v>
      </c>
      <c r="K1906">
        <f t="shared" si="7044"/>
        <v>0</v>
      </c>
      <c r="L1906">
        <f t="shared" si="7044"/>
        <v>0</v>
      </c>
      <c r="M1906">
        <f t="shared" si="7044"/>
        <v>0</v>
      </c>
      <c r="N1906">
        <f t="shared" si="7044"/>
        <v>0</v>
      </c>
      <c r="O1906">
        <f t="shared" si="7044"/>
        <v>0</v>
      </c>
    </row>
    <row r="1907" spans="1:32" ht="17.149999999999999" x14ac:dyDescent="0.55000000000000004">
      <c r="B1907" t="str">
        <f t="shared" si="6932"/>
        <v>Portland</v>
      </c>
      <c r="C1907" t="s">
        <v>587</v>
      </c>
      <c r="D1907">
        <f t="shared" ref="D1907:O1907" si="7045">IFERROR(INDEX(Phys_Prop,MATCH(D1880,Chem_List,0),3),0)</f>
        <v>0</v>
      </c>
      <c r="E1907">
        <f t="shared" si="7045"/>
        <v>0</v>
      </c>
      <c r="F1907">
        <f t="shared" si="7045"/>
        <v>0</v>
      </c>
      <c r="G1907">
        <f t="shared" si="7045"/>
        <v>0</v>
      </c>
      <c r="H1907">
        <f t="shared" si="7045"/>
        <v>0</v>
      </c>
      <c r="I1907">
        <f t="shared" si="7045"/>
        <v>0</v>
      </c>
      <c r="J1907">
        <f t="shared" si="7045"/>
        <v>0</v>
      </c>
      <c r="K1907">
        <f t="shared" si="7045"/>
        <v>0</v>
      </c>
      <c r="L1907">
        <f t="shared" si="7045"/>
        <v>0</v>
      </c>
      <c r="M1907">
        <f t="shared" si="7045"/>
        <v>0</v>
      </c>
      <c r="N1907">
        <f t="shared" si="7045"/>
        <v>0</v>
      </c>
      <c r="O1907">
        <f t="shared" si="7045"/>
        <v>0</v>
      </c>
    </row>
    <row r="1908" spans="1:32" ht="17.149999999999999" x14ac:dyDescent="0.55000000000000004">
      <c r="A1908" s="11"/>
      <c r="B1908" s="11" t="str">
        <f t="shared" si="6932"/>
        <v>Portland</v>
      </c>
      <c r="C1908" s="11" t="s">
        <v>588</v>
      </c>
      <c r="D1908" s="11">
        <f>IFERROR(D1904*D1905+D1906*D1907,0)</f>
        <v>130</v>
      </c>
      <c r="E1908" s="11">
        <f t="shared" ref="E1908" si="7046">IFERROR(E1904*E1905+E1906*E1907,0)</f>
        <v>130</v>
      </c>
      <c r="F1908" s="11">
        <f t="shared" ref="F1908" si="7047">IFERROR(F1904*F1905+F1906*F1907,0)</f>
        <v>130</v>
      </c>
      <c r="G1908" s="11">
        <f t="shared" ref="G1908" si="7048">IFERROR(G1904*G1905+G1906*G1907,0)</f>
        <v>130</v>
      </c>
      <c r="H1908" s="11">
        <f t="shared" ref="H1908" si="7049">IFERROR(H1904*H1905+H1906*H1907,0)</f>
        <v>130</v>
      </c>
      <c r="I1908" s="11">
        <f t="shared" ref="I1908" si="7050">IFERROR(I1904*I1905+I1906*I1907,0)</f>
        <v>130</v>
      </c>
      <c r="J1908" s="11">
        <f t="shared" ref="J1908" si="7051">IFERROR(J1904*J1905+J1906*J1907,0)</f>
        <v>130</v>
      </c>
      <c r="K1908" s="11">
        <f t="shared" ref="K1908" si="7052">IFERROR(K1904*K1905+K1906*K1907,0)</f>
        <v>130</v>
      </c>
      <c r="L1908" s="11">
        <f t="shared" ref="L1908" si="7053">IFERROR(L1904*L1905+L1906*L1907,0)</f>
        <v>130</v>
      </c>
      <c r="M1908" s="11">
        <f t="shared" ref="M1908" si="7054">IFERROR(M1904*M1905+M1906*M1907,0)</f>
        <v>130</v>
      </c>
      <c r="N1908" s="11">
        <f t="shared" ref="N1908" si="7055">IFERROR(N1904*N1905+N1906*N1907,0)</f>
        <v>130</v>
      </c>
      <c r="O1908" s="11">
        <f t="shared" ref="O1908" si="7056">IFERROR(O1904*O1905+O1906*O1907,0)</f>
        <v>130</v>
      </c>
      <c r="P1908" s="11"/>
      <c r="Q1908" s="11"/>
      <c r="R1908" s="11"/>
      <c r="S1908" s="11"/>
      <c r="T1908" s="11"/>
      <c r="U1908" s="11"/>
      <c r="V1908" s="11"/>
      <c r="W1908" s="11"/>
      <c r="X1908" s="11"/>
      <c r="Y1908" s="11"/>
      <c r="Z1908" s="11"/>
      <c r="AA1908" s="11"/>
      <c r="AB1908" s="11"/>
      <c r="AC1908" s="11"/>
      <c r="AD1908" s="11"/>
      <c r="AE1908" s="11"/>
      <c r="AF1908" s="11"/>
    </row>
    <row r="1909" spans="1:32" ht="17.149999999999999" x14ac:dyDescent="0.55000000000000004">
      <c r="A1909" t="str" cm="1">
        <f t="array" ref="A1909">INDEX(FX_Input,$Q1909,R$5)</f>
        <v>FX - 57</v>
      </c>
      <c r="B1909" t="str" cm="1">
        <f t="array" ref="B1909">INDEX(FX_Input,Q1909,S1909)</f>
        <v>Portland</v>
      </c>
      <c r="C1909" t="s">
        <v>563</v>
      </c>
      <c r="D1909">
        <v>14.7</v>
      </c>
      <c r="E1909">
        <v>14.7</v>
      </c>
      <c r="F1909">
        <v>14.7</v>
      </c>
      <c r="G1909">
        <v>14.7</v>
      </c>
      <c r="H1909">
        <v>14.7</v>
      </c>
      <c r="I1909">
        <v>14.7</v>
      </c>
      <c r="J1909">
        <v>14.7</v>
      </c>
      <c r="K1909">
        <v>14.7</v>
      </c>
      <c r="L1909">
        <v>14.7</v>
      </c>
      <c r="M1909">
        <v>14.7</v>
      </c>
      <c r="N1909">
        <v>14.7</v>
      </c>
      <c r="O1909">
        <v>14.7</v>
      </c>
      <c r="Q1909">
        <f>Q1875+2</f>
        <v>113</v>
      </c>
      <c r="R1909">
        <v>1</v>
      </c>
      <c r="S1909">
        <v>3</v>
      </c>
      <c r="T1909">
        <v>1</v>
      </c>
      <c r="U1909">
        <v>19</v>
      </c>
      <c r="V1909">
        <v>20</v>
      </c>
      <c r="W1909">
        <v>25</v>
      </c>
      <c r="X1909">
        <v>1</v>
      </c>
      <c r="Y1909">
        <v>2</v>
      </c>
      <c r="Z1909">
        <f>(W1909-V1909)/(Y1909-X1909)</f>
        <v>5</v>
      </c>
      <c r="AA1909">
        <f>V1909-Z1909*X1909</f>
        <v>15</v>
      </c>
      <c r="AD1909">
        <f>AD1875+14</f>
        <v>785</v>
      </c>
      <c r="AF1909">
        <f>AF1875+14</f>
        <v>785</v>
      </c>
    </row>
    <row r="1910" spans="1:32" ht="17.149999999999999" x14ac:dyDescent="0.55000000000000004">
      <c r="B1910" t="str">
        <f t="shared" ref="B1910" si="7057">B1909</f>
        <v>Portland</v>
      </c>
      <c r="C1910" t="s">
        <v>564</v>
      </c>
      <c r="D1910" cm="1">
        <f t="array" ref="D1910">IF(ISBLANK(INDEX(FX_Input,$Q1909,$AB1910)),0.03,INDEX(FX_Input,Q1909,AB1910))</f>
        <v>0.03</v>
      </c>
      <c r="E1910" cm="1">
        <f t="array" ref="E1910">IF(ISBLANK(INDEX(FX_Input,$Q1909,$AB1910)),0.03,INDEX(FX_Input,R1909,#REF!))</f>
        <v>0.03</v>
      </c>
      <c r="F1910" cm="1">
        <f t="array" ref="F1910">IF(ISBLANK(INDEX(FX_Input,$Q1909,$AB1910)),0.03,INDEX(FX_Input,S1909,#REF!))</f>
        <v>0.03</v>
      </c>
      <c r="G1910" cm="1">
        <f t="array" ref="G1910">IF(ISBLANK(INDEX(FX_Input,$Q1909,$AB1910)),0.03,INDEX(FX_Input,AB1909,#REF!))</f>
        <v>0.03</v>
      </c>
      <c r="H1910" cm="1">
        <f t="array" ref="H1910">IF(ISBLANK(INDEX(FX_Input,$Q1909,$AB1910)),0.03,INDEX(FX_Input,#REF!,#REF!))</f>
        <v>0.03</v>
      </c>
      <c r="I1910" cm="1">
        <f t="array" ref="I1910">IF(ISBLANK(INDEX(FX_Input,$Q1909,$AB1910)),0.03,INDEX(FX_Input,#REF!,#REF!))</f>
        <v>0.03</v>
      </c>
      <c r="J1910" cm="1">
        <f t="array" ref="J1910">IF(ISBLANK(INDEX(FX_Input,$Q1909,$AB1910)),0.03,INDEX(FX_Input,#REF!,#REF!))</f>
        <v>0.03</v>
      </c>
      <c r="K1910" cm="1">
        <f t="array" ref="K1910">IF(ISBLANK(INDEX(FX_Input,$Q1909,$AB1910)),0.03,INDEX(FX_Input,#REF!,AC1910))</f>
        <v>0.03</v>
      </c>
      <c r="L1910" cm="1">
        <f t="array" ref="L1910">IF(ISBLANK(INDEX(FX_Input,$Q1909,$AB1910)),0.03,INDEX(FX_Input,#REF!,AD1910))</f>
        <v>0.03</v>
      </c>
      <c r="M1910" cm="1">
        <f t="array" ref="M1910">IF(ISBLANK(INDEX(FX_Input,$Q1909,$AB1910)),0.03,INDEX(FX_Input,#REF!,#REF!))</f>
        <v>0.03</v>
      </c>
      <c r="N1910" cm="1">
        <f t="array" ref="N1910">IF(ISBLANK(INDEX(FX_Input,$Q1909,$AB1910)),0.03,INDEX(FX_Input,AC1909,#REF!))</f>
        <v>0.03</v>
      </c>
      <c r="O1910" cm="1">
        <f t="array" ref="O1910">IF(ISBLANK(INDEX(FX_Input,$Q1909,$AB1910)),0.03,INDEX(FX_Input,AD1909,#REF!))</f>
        <v>0.03</v>
      </c>
      <c r="AB1910">
        <v>15</v>
      </c>
    </row>
    <row r="1911" spans="1:32" ht="17.149999999999999" x14ac:dyDescent="0.55000000000000004">
      <c r="B1911" t="str">
        <f>B1910</f>
        <v>Portland</v>
      </c>
      <c r="C1911" t="s">
        <v>565</v>
      </c>
      <c r="D1911" cm="1">
        <f t="array" ref="D1911">IF(ISBLANK(INDEX(FX_Input,$Q1909,$AB1911)),-0.03,INDEX(FX_Input,Q1909,AB1911))</f>
        <v>-0.03</v>
      </c>
      <c r="E1911" cm="1">
        <f t="array" ref="E1911">IF(ISBLANK(INDEX(FX_Input,$Q1909,$AB1911)),-0.03,INDEX(FX_Input,R1909,#REF!))</f>
        <v>-0.03</v>
      </c>
      <c r="F1911" cm="1">
        <f t="array" ref="F1911">IF(ISBLANK(INDEX(FX_Input,$Q1909,$AB1911)),-0.03,INDEX(FX_Input,S1909,#REF!))</f>
        <v>-0.03</v>
      </c>
      <c r="G1911" cm="1">
        <f t="array" ref="G1911">IF(ISBLANK(INDEX(FX_Input,$Q1909,$AB1911)),-0.03,INDEX(FX_Input,AB1909,#REF!))</f>
        <v>-0.03</v>
      </c>
      <c r="H1911" cm="1">
        <f t="array" ref="H1911">IF(ISBLANK(INDEX(FX_Input,$Q1909,$AB1911)),-0.03,INDEX(FX_Input,#REF!,#REF!))</f>
        <v>-0.03</v>
      </c>
      <c r="I1911" cm="1">
        <f t="array" ref="I1911">IF(ISBLANK(INDEX(FX_Input,$Q1909,$AB1911)),-0.03,INDEX(FX_Input,#REF!,#REF!))</f>
        <v>-0.03</v>
      </c>
      <c r="J1911" cm="1">
        <f t="array" ref="J1911">IF(ISBLANK(INDEX(FX_Input,$Q1909,$AB1911)),-0.03,INDEX(FX_Input,#REF!,#REF!))</f>
        <v>-0.03</v>
      </c>
      <c r="K1911" cm="1">
        <f t="array" ref="K1911">IF(ISBLANK(INDEX(FX_Input,$Q1909,$AB1911)),-0.03,INDEX(FX_Input,#REF!,AC1911))</f>
        <v>-0.03</v>
      </c>
      <c r="L1911" cm="1">
        <f t="array" ref="L1911">IF(ISBLANK(INDEX(FX_Input,$Q1909,$AB1911)),-0.03,INDEX(FX_Input,#REF!,AD1911))</f>
        <v>-0.03</v>
      </c>
      <c r="M1911" cm="1">
        <f t="array" ref="M1911">IF(ISBLANK(INDEX(FX_Input,$Q1909,$AB1911)),-0.03,INDEX(FX_Input,#REF!,#REF!))</f>
        <v>-0.03</v>
      </c>
      <c r="N1911" cm="1">
        <f t="array" ref="N1911">IF(ISBLANK(INDEX(FX_Input,$Q1909,$AB1911)),-0.03,INDEX(FX_Input,AC1909,#REF!))</f>
        <v>-0.03</v>
      </c>
      <c r="O1911" cm="1">
        <f t="array" ref="O1911">IF(ISBLANK(INDEX(FX_Input,$Q1909,$AB1911)),-0.03,INDEX(FX_Input,AD1909,#REF!))</f>
        <v>-0.03</v>
      </c>
      <c r="AB1911">
        <v>16</v>
      </c>
    </row>
    <row r="1912" spans="1:32" x14ac:dyDescent="0.4">
      <c r="B1912" t="str">
        <f t="shared" ref="B1912:B1913" si="7058">B1911</f>
        <v>Portland</v>
      </c>
      <c r="C1912" s="66" t="s">
        <v>567</v>
      </c>
      <c r="D1912" t="str" cm="1">
        <f t="array" ref="D1912">INDEX(FX_Multi,$AD1912,D$3)</f>
        <v>Jet kerosene</v>
      </c>
      <c r="E1912" t="str" cm="1">
        <f t="array" ref="E1912">INDEX(FX_Multi,$AD1912,E$3)</f>
        <v>Jet kerosene</v>
      </c>
      <c r="F1912" t="str" cm="1">
        <f t="array" ref="F1912">INDEX(FX_Multi,$AD1912,F$3)</f>
        <v>Jet kerosene</v>
      </c>
      <c r="G1912" t="str" cm="1">
        <f t="array" ref="G1912">INDEX(FX_Multi,$AD1912,G$3)</f>
        <v>Jet kerosene</v>
      </c>
      <c r="H1912" t="str" cm="1">
        <f t="array" ref="H1912">INDEX(FX_Multi,$AD1912,H$3)</f>
        <v>Jet kerosene</v>
      </c>
      <c r="I1912" t="str" cm="1">
        <f t="array" ref="I1912">INDEX(FX_Multi,$AD1912,I$3)</f>
        <v>Jet kerosene</v>
      </c>
      <c r="J1912" t="str" cm="1">
        <f t="array" ref="J1912">INDEX(FX_Multi,$AD1912,J$3)</f>
        <v>Jet kerosene</v>
      </c>
      <c r="K1912" t="str" cm="1">
        <f t="array" ref="K1912">INDEX(FX_Multi,$AD1912,K$3)</f>
        <v>Jet kerosene</v>
      </c>
      <c r="L1912" t="str" cm="1">
        <f t="array" ref="L1912">INDEX(FX_Multi,$AD1912,L$3)</f>
        <v>Jet kerosene</v>
      </c>
      <c r="M1912" t="str" cm="1">
        <f t="array" ref="M1912">INDEX(FX_Multi,$AD1912,M$3)</f>
        <v>Jet kerosene</v>
      </c>
      <c r="N1912" t="str" cm="1">
        <f t="array" ref="N1912">INDEX(FX_Multi,$AD1912,N$3)</f>
        <v>Jet kerosene</v>
      </c>
      <c r="O1912" t="str" cm="1">
        <f t="array" ref="O1912">INDEX(FX_Multi,$AD1912,O$3)</f>
        <v>Jet kerosene</v>
      </c>
      <c r="AC1912">
        <v>1</v>
      </c>
      <c r="AD1912">
        <f>AD1909</f>
        <v>785</v>
      </c>
      <c r="AE1912">
        <v>1</v>
      </c>
      <c r="AF1912">
        <f>AF1909</f>
        <v>785</v>
      </c>
    </row>
    <row r="1913" spans="1:32" x14ac:dyDescent="0.4">
      <c r="B1913" t="str">
        <f t="shared" si="7058"/>
        <v>Portland</v>
      </c>
      <c r="C1913" s="66" t="s">
        <v>566</v>
      </c>
      <c r="D1913" t="str" cm="1">
        <f t="array" ref="D1913">INDEX(FX_Multi,$AD1913,D$3)</f>
        <v>Select Pet Stock</v>
      </c>
      <c r="E1913" t="str" cm="1">
        <f t="array" ref="E1913">INDEX(FX_Multi,$AD1913,E$3)</f>
        <v>Select Pet Stock</v>
      </c>
      <c r="F1913" t="str" cm="1">
        <f t="array" ref="F1913">INDEX(FX_Multi,$AD1913,F$3)</f>
        <v>Select Pet Stock</v>
      </c>
      <c r="G1913" t="str" cm="1">
        <f t="array" ref="G1913">INDEX(FX_Multi,$AD1913,G$3)</f>
        <v>Select Pet Stock</v>
      </c>
      <c r="H1913" t="str" cm="1">
        <f t="array" ref="H1913">INDEX(FX_Multi,$AD1913,H$3)</f>
        <v>Select Pet Stock</v>
      </c>
      <c r="I1913" t="str" cm="1">
        <f t="array" ref="I1913">INDEX(FX_Multi,$AD1913,I$3)</f>
        <v>Select Pet Stock</v>
      </c>
      <c r="J1913" t="str" cm="1">
        <f t="array" ref="J1913">INDEX(FX_Multi,$AD1913,J$3)</f>
        <v>Select Pet Stock</v>
      </c>
      <c r="K1913" t="str" cm="1">
        <f t="array" ref="K1913">INDEX(FX_Multi,$AD1913,K$3)</f>
        <v>Select Pet Stock</v>
      </c>
      <c r="L1913" t="str" cm="1">
        <f t="array" ref="L1913">INDEX(FX_Multi,$AD1913,L$3)</f>
        <v>Select Pet Stock</v>
      </c>
      <c r="M1913" t="str" cm="1">
        <f t="array" ref="M1913">INDEX(FX_Multi,$AD1913,M$3)</f>
        <v>Select Pet Stock</v>
      </c>
      <c r="N1913" t="str" cm="1">
        <f t="array" ref="N1913">INDEX(FX_Multi,$AD1913,N$3)</f>
        <v>Select Pet Stock</v>
      </c>
      <c r="O1913" t="str" cm="1">
        <f t="array" ref="O1913">INDEX(FX_Multi,$AD1913,O$3)</f>
        <v>Select Pet Stock</v>
      </c>
      <c r="AC1913">
        <v>1</v>
      </c>
      <c r="AD1913">
        <f>AD1912+2</f>
        <v>787</v>
      </c>
      <c r="AE1913">
        <v>1</v>
      </c>
      <c r="AF1913">
        <f>AF1912+3</f>
        <v>788</v>
      </c>
    </row>
    <row r="1914" spans="1:32" x14ac:dyDescent="0.4">
      <c r="B1914" t="str">
        <f>B1910</f>
        <v>Portland</v>
      </c>
      <c r="C1914" s="66" t="s">
        <v>568</v>
      </c>
      <c r="D1914" cm="1">
        <f t="array" ref="D1914">INDEX(FX_Multi,$AD1914,D$3)</f>
        <v>0</v>
      </c>
      <c r="E1914" cm="1">
        <f t="array" ref="E1914">INDEX(FX_Multi,$AD1914,E$3)</f>
        <v>0</v>
      </c>
      <c r="F1914" cm="1">
        <f t="array" ref="F1914">INDEX(FX_Multi,$AD1914,F$3)</f>
        <v>0</v>
      </c>
      <c r="G1914" cm="1">
        <f t="array" ref="G1914">INDEX(FX_Multi,$AD1914,G$3)</f>
        <v>0</v>
      </c>
      <c r="H1914" cm="1">
        <f t="array" ref="H1914">INDEX(FX_Multi,$AD1914,H$3)</f>
        <v>0</v>
      </c>
      <c r="I1914" cm="1">
        <f t="array" ref="I1914">INDEX(FX_Multi,$AD1914,I$3)</f>
        <v>0</v>
      </c>
      <c r="J1914" cm="1">
        <f t="array" ref="J1914">INDEX(FX_Multi,$AD1914,J$3)</f>
        <v>0</v>
      </c>
      <c r="K1914" cm="1">
        <f t="array" ref="K1914">INDEX(FX_Multi,$AD1914,K$3)</f>
        <v>0</v>
      </c>
      <c r="L1914" cm="1">
        <f t="array" ref="L1914">INDEX(FX_Multi,$AD1914,L$3)</f>
        <v>0</v>
      </c>
      <c r="M1914" cm="1">
        <f t="array" ref="M1914">INDEX(FX_Multi,$AD1914,M$3)</f>
        <v>0</v>
      </c>
      <c r="N1914" cm="1">
        <f t="array" ref="N1914">INDEX(FX_Multi,$AD1914,N$3)</f>
        <v>0</v>
      </c>
      <c r="O1914" cm="1">
        <f t="array" ref="O1914">INDEX(FX_Multi,$AD1914,O$3)</f>
        <v>0</v>
      </c>
      <c r="AC1914">
        <v>1</v>
      </c>
      <c r="AD1914">
        <f>AD1913-1</f>
        <v>786</v>
      </c>
      <c r="AE1914">
        <v>1</v>
      </c>
      <c r="AF1914">
        <f>AF1912+1</f>
        <v>786</v>
      </c>
    </row>
    <row r="1915" spans="1:32" x14ac:dyDescent="0.4">
      <c r="B1915" t="str">
        <f t="shared" ref="B1915:B1919" si="7059">B1914</f>
        <v>Portland</v>
      </c>
      <c r="C1915" s="66" t="s">
        <v>569</v>
      </c>
      <c r="D1915" cm="1">
        <f t="array" ref="D1915">INDEX(FX_Multi,$AD1915,D$3)</f>
        <v>0</v>
      </c>
      <c r="E1915" cm="1">
        <f t="array" ref="E1915">INDEX(FX_Multi,$AD1915,E$3)</f>
        <v>0</v>
      </c>
      <c r="F1915" cm="1">
        <f t="array" ref="F1915">INDEX(FX_Multi,$AD1915,F$3)</f>
        <v>0</v>
      </c>
      <c r="G1915" cm="1">
        <f t="array" ref="G1915">INDEX(FX_Multi,$AD1915,G$3)</f>
        <v>0</v>
      </c>
      <c r="H1915" cm="1">
        <f t="array" ref="H1915">INDEX(FX_Multi,$AD1915,H$3)</f>
        <v>0</v>
      </c>
      <c r="I1915" cm="1">
        <f t="array" ref="I1915">INDEX(FX_Multi,$AD1915,I$3)</f>
        <v>0</v>
      </c>
      <c r="J1915" cm="1">
        <f t="array" ref="J1915">INDEX(FX_Multi,$AD1915,J$3)</f>
        <v>0</v>
      </c>
      <c r="K1915" cm="1">
        <f t="array" ref="K1915">INDEX(FX_Multi,$AD1915,K$3)</f>
        <v>0</v>
      </c>
      <c r="L1915" cm="1">
        <f t="array" ref="L1915">INDEX(FX_Multi,$AD1915,L$3)</f>
        <v>0</v>
      </c>
      <c r="M1915" cm="1">
        <f t="array" ref="M1915">INDEX(FX_Multi,$AD1915,M$3)</f>
        <v>0</v>
      </c>
      <c r="N1915" cm="1">
        <f t="array" ref="N1915">INDEX(FX_Multi,$AD1915,N$3)</f>
        <v>0</v>
      </c>
      <c r="O1915" cm="1">
        <f t="array" ref="O1915">INDEX(FX_Multi,$AD1915,O$3)</f>
        <v>0</v>
      </c>
      <c r="AC1915">
        <v>1</v>
      </c>
      <c r="AD1915">
        <f>AD1914+2</f>
        <v>788</v>
      </c>
      <c r="AE1915">
        <v>1</v>
      </c>
      <c r="AF1915">
        <f>AF1913</f>
        <v>788</v>
      </c>
    </row>
    <row r="1916" spans="1:32" ht="17.149999999999999" x14ac:dyDescent="0.55000000000000004">
      <c r="B1916" t="str">
        <f t="shared" si="7059"/>
        <v>Portland</v>
      </c>
      <c r="C1916" t="s">
        <v>570</v>
      </c>
      <c r="D1916" cm="1">
        <f t="array" ref="D1916">INDEX(FX_Multi,$AD1916,D$3)</f>
        <v>1</v>
      </c>
      <c r="E1916" cm="1">
        <f t="array" ref="E1916">INDEX(FX_Multi,$AD1916,E$3)</f>
        <v>1</v>
      </c>
      <c r="F1916" cm="1">
        <f t="array" ref="F1916">INDEX(FX_Multi,$AD1916,F$3)</f>
        <v>1</v>
      </c>
      <c r="G1916" cm="1">
        <f t="array" ref="G1916">INDEX(FX_Multi,$AD1916,G$3)</f>
        <v>1</v>
      </c>
      <c r="H1916" cm="1">
        <f t="array" ref="H1916">INDEX(FX_Multi,$AD1916,H$3)</f>
        <v>1</v>
      </c>
      <c r="I1916" cm="1">
        <f t="array" ref="I1916">INDEX(FX_Multi,$AD1916,I$3)</f>
        <v>1</v>
      </c>
      <c r="J1916" cm="1">
        <f t="array" ref="J1916">INDEX(FX_Multi,$AD1916,J$3)</f>
        <v>1</v>
      </c>
      <c r="K1916" cm="1">
        <f t="array" ref="K1916">INDEX(FX_Multi,$AD1916,K$3)</f>
        <v>1</v>
      </c>
      <c r="L1916" cm="1">
        <f t="array" ref="L1916">INDEX(FX_Multi,$AD1916,L$3)</f>
        <v>1</v>
      </c>
      <c r="M1916" cm="1">
        <f t="array" ref="M1916">INDEX(FX_Multi,$AD1916,M$3)</f>
        <v>1</v>
      </c>
      <c r="N1916" cm="1">
        <f t="array" ref="N1916">INDEX(FX_Multi,$AD1916,N$3)</f>
        <v>1</v>
      </c>
      <c r="O1916" cm="1">
        <f t="array" ref="O1916">INDEX(FX_Multi,$AD1916,O$3)</f>
        <v>1</v>
      </c>
      <c r="AC1916">
        <v>1</v>
      </c>
      <c r="AD1916">
        <f>AD1915+6</f>
        <v>794</v>
      </c>
      <c r="AE1916">
        <v>1</v>
      </c>
      <c r="AF1916">
        <f>AF1912+9</f>
        <v>794</v>
      </c>
    </row>
    <row r="1917" spans="1:32" ht="17.149999999999999" x14ac:dyDescent="0.55000000000000004">
      <c r="B1917" t="str">
        <f t="shared" si="7059"/>
        <v>Portland</v>
      </c>
      <c r="C1917" t="s">
        <v>571</v>
      </c>
      <c r="D1917" cm="1">
        <f t="array" ref="D1917">INDEX(FX_Multi,$AD1917,D$3)</f>
        <v>162</v>
      </c>
      <c r="E1917" cm="1">
        <f t="array" ref="E1917">INDEX(FX_Multi,$AD1917,E$3)</f>
        <v>162</v>
      </c>
      <c r="F1917" cm="1">
        <f t="array" ref="F1917">INDEX(FX_Multi,$AD1917,F$3)</f>
        <v>162</v>
      </c>
      <c r="G1917" cm="1">
        <f t="array" ref="G1917">INDEX(FX_Multi,$AD1917,G$3)</f>
        <v>162</v>
      </c>
      <c r="H1917" cm="1">
        <f t="array" ref="H1917">INDEX(FX_Multi,$AD1917,H$3)</f>
        <v>162</v>
      </c>
      <c r="I1917" cm="1">
        <f t="array" ref="I1917">INDEX(FX_Multi,$AD1917,I$3)</f>
        <v>162</v>
      </c>
      <c r="J1917" cm="1">
        <f t="array" ref="J1917">INDEX(FX_Multi,$AD1917,J$3)</f>
        <v>162</v>
      </c>
      <c r="K1917" cm="1">
        <f t="array" ref="K1917">INDEX(FX_Multi,$AD1917,K$3)</f>
        <v>162</v>
      </c>
      <c r="L1917" cm="1">
        <f t="array" ref="L1917">INDEX(FX_Multi,$AD1917,L$3)</f>
        <v>162</v>
      </c>
      <c r="M1917" cm="1">
        <f t="array" ref="M1917">INDEX(FX_Multi,$AD1917,M$3)</f>
        <v>162</v>
      </c>
      <c r="N1917" cm="1">
        <f t="array" ref="N1917">INDEX(FX_Multi,$AD1917,N$3)</f>
        <v>162</v>
      </c>
      <c r="O1917" cm="1">
        <f t="array" ref="O1917">INDEX(FX_Multi,$AD1917,O$3)</f>
        <v>162</v>
      </c>
      <c r="AC1917">
        <v>1</v>
      </c>
      <c r="AD1917">
        <f>AD1916-3</f>
        <v>791</v>
      </c>
      <c r="AE1917">
        <v>1</v>
      </c>
      <c r="AF1917">
        <f>AF1912+6</f>
        <v>791</v>
      </c>
    </row>
    <row r="1918" spans="1:32" ht="17.149999999999999" x14ac:dyDescent="0.55000000000000004">
      <c r="B1918" t="str">
        <f t="shared" si="7059"/>
        <v>Portland</v>
      </c>
      <c r="C1918" t="s">
        <v>572</v>
      </c>
      <c r="D1918" cm="1">
        <f t="array" ref="D1918">INDEX(FX_Multi,$AD1918,D$3)</f>
        <v>0</v>
      </c>
      <c r="E1918" cm="1">
        <f t="array" ref="E1918">INDEX(FX_Multi,$AD1918,E$3)</f>
        <v>0</v>
      </c>
      <c r="F1918" cm="1">
        <f t="array" ref="F1918">INDEX(FX_Multi,$AD1918,F$3)</f>
        <v>0</v>
      </c>
      <c r="G1918" cm="1">
        <f t="array" ref="G1918">INDEX(FX_Multi,$AD1918,G$3)</f>
        <v>0</v>
      </c>
      <c r="H1918" cm="1">
        <f t="array" ref="H1918">INDEX(FX_Multi,$AD1918,H$3)</f>
        <v>0</v>
      </c>
      <c r="I1918" cm="1">
        <f t="array" ref="I1918">INDEX(FX_Multi,$AD1918,I$3)</f>
        <v>0</v>
      </c>
      <c r="J1918" cm="1">
        <f t="array" ref="J1918">INDEX(FX_Multi,$AD1918,J$3)</f>
        <v>0</v>
      </c>
      <c r="K1918" cm="1">
        <f t="array" ref="K1918">INDEX(FX_Multi,$AD1918,K$3)</f>
        <v>0</v>
      </c>
      <c r="L1918" cm="1">
        <f t="array" ref="L1918">INDEX(FX_Multi,$AD1918,L$3)</f>
        <v>0</v>
      </c>
      <c r="M1918" cm="1">
        <f t="array" ref="M1918">INDEX(FX_Multi,$AD1918,M$3)</f>
        <v>0</v>
      </c>
      <c r="N1918" cm="1">
        <f t="array" ref="N1918">INDEX(FX_Multi,$AD1918,N$3)</f>
        <v>0</v>
      </c>
      <c r="O1918" cm="1">
        <f t="array" ref="O1918">INDEX(FX_Multi,$AD1918,O$3)</f>
        <v>0</v>
      </c>
      <c r="AC1918">
        <v>1</v>
      </c>
      <c r="AD1918">
        <f>AD1917+4</f>
        <v>795</v>
      </c>
      <c r="AE1918">
        <v>1</v>
      </c>
      <c r="AF1918">
        <f>AF1912+10</f>
        <v>795</v>
      </c>
    </row>
    <row r="1919" spans="1:32" ht="17.149999999999999" x14ac:dyDescent="0.55000000000000004">
      <c r="B1919" t="str">
        <f t="shared" si="7059"/>
        <v>Portland</v>
      </c>
      <c r="C1919" t="s">
        <v>573</v>
      </c>
      <c r="D1919" cm="1">
        <f t="array" ref="D1919">INDEX(FX_Multi,$AD1919,D$3)</f>
        <v>0</v>
      </c>
      <c r="E1919" cm="1">
        <f t="array" ref="E1919">INDEX(FX_Multi,$AD1919,E$3)</f>
        <v>0</v>
      </c>
      <c r="F1919" cm="1">
        <f t="array" ref="F1919">INDEX(FX_Multi,$AD1919,F$3)</f>
        <v>0</v>
      </c>
      <c r="G1919" cm="1">
        <f t="array" ref="G1919">INDEX(FX_Multi,$AD1919,G$3)</f>
        <v>0</v>
      </c>
      <c r="H1919" cm="1">
        <f t="array" ref="H1919">INDEX(FX_Multi,$AD1919,H$3)</f>
        <v>0</v>
      </c>
      <c r="I1919" cm="1">
        <f t="array" ref="I1919">INDEX(FX_Multi,$AD1919,I$3)</f>
        <v>0</v>
      </c>
      <c r="J1919" cm="1">
        <f t="array" ref="J1919">INDEX(FX_Multi,$AD1919,J$3)</f>
        <v>0</v>
      </c>
      <c r="K1919" cm="1">
        <f t="array" ref="K1919">INDEX(FX_Multi,$AD1919,K$3)</f>
        <v>0</v>
      </c>
      <c r="L1919" cm="1">
        <f t="array" ref="L1919">INDEX(FX_Multi,$AD1919,L$3)</f>
        <v>0</v>
      </c>
      <c r="M1919" cm="1">
        <f t="array" ref="M1919">INDEX(FX_Multi,$AD1919,M$3)</f>
        <v>0</v>
      </c>
      <c r="N1919" cm="1">
        <f t="array" ref="N1919">INDEX(FX_Multi,$AD1919,N$3)</f>
        <v>0</v>
      </c>
      <c r="O1919" cm="1">
        <f t="array" ref="O1919">INDEX(FX_Multi,$AD1919,O$3)</f>
        <v>0</v>
      </c>
      <c r="AC1919">
        <v>1</v>
      </c>
      <c r="AD1919">
        <f>AD1918-3</f>
        <v>792</v>
      </c>
      <c r="AE1919">
        <v>1</v>
      </c>
      <c r="AF1919">
        <f>AF1912+7</f>
        <v>792</v>
      </c>
    </row>
    <row r="1920" spans="1:32" ht="17.149999999999999" x14ac:dyDescent="0.55000000000000004">
      <c r="B1920" t="str">
        <f>B1915</f>
        <v>Portland</v>
      </c>
      <c r="C1920" t="s">
        <v>526</v>
      </c>
      <c r="D1920" cm="1">
        <f t="array" ref="D1920">INDEX(FX_Temps,$AF1920,D$3)</f>
        <v>44.328749999999957</v>
      </c>
      <c r="E1920" cm="1">
        <f t="array" ref="E1920">INDEX(FX_Temps,$AF1920,E$3)</f>
        <v>45.450000000000045</v>
      </c>
      <c r="F1920" cm="1">
        <f t="array" ref="F1920">INDEX(FX_Temps,$AF1920,F$3)</f>
        <v>47.19625000000002</v>
      </c>
      <c r="G1920" cm="1">
        <f t="array" ref="G1920">INDEX(FX_Temps,$AF1920,G$3)</f>
        <v>50.164999999999907</v>
      </c>
      <c r="H1920" cm="1">
        <f t="array" ref="H1920">INDEX(FX_Temps,$AF1920,H$3)</f>
        <v>55.071249999999964</v>
      </c>
      <c r="I1920" cm="1">
        <f t="array" ref="I1920">INDEX(FX_Temps,$AF1920,I$3)</f>
        <v>58.9837500000001</v>
      </c>
      <c r="J1920" cm="1">
        <f t="array" ref="J1920">INDEX(FX_Temps,$AF1920,J$3)</f>
        <v>62.584999999999923</v>
      </c>
      <c r="K1920" cm="1">
        <f t="array" ref="K1920">INDEX(FX_Temps,$AF1920,K$3)</f>
        <v>62.764999999999986</v>
      </c>
      <c r="L1920" cm="1">
        <f t="array" ref="L1920">INDEX(FX_Temps,$AF1920,L$3)</f>
        <v>60.095000000000027</v>
      </c>
      <c r="M1920" cm="1">
        <f t="array" ref="M1920">INDEX(FX_Temps,$AF1920,M$3)</f>
        <v>53.559999999999945</v>
      </c>
      <c r="N1920" cm="1">
        <f t="array" ref="N1920">INDEX(FX_Temps,$AF1920,N$3)</f>
        <v>47.588750000000005</v>
      </c>
      <c r="O1920" cm="1">
        <f t="array" ref="O1920">INDEX(FX_Temps,$AF1920,O$3)</f>
        <v>43.97750000000002</v>
      </c>
      <c r="AE1920">
        <v>1</v>
      </c>
      <c r="AF1920">
        <f>AF1912+10</f>
        <v>795</v>
      </c>
    </row>
    <row r="1921" spans="2:32" ht="17.149999999999999" x14ac:dyDescent="0.55000000000000004">
      <c r="B1921" t="str">
        <f t="shared" ref="B1921:B1942" si="7060">B1920</f>
        <v>Portland</v>
      </c>
      <c r="C1921" t="s">
        <v>527</v>
      </c>
      <c r="D1921" cm="1">
        <f t="array" ref="D1921">INDEX(FX_Temps,$AF1921,D$3)</f>
        <v>44.328749999999957</v>
      </c>
      <c r="E1921" cm="1">
        <f t="array" ref="E1921">INDEX(FX_Temps,$AF1921,E$3)</f>
        <v>45.450000000000045</v>
      </c>
      <c r="F1921" cm="1">
        <f t="array" ref="F1921">INDEX(FX_Temps,$AF1921,F$3)</f>
        <v>47.19625000000002</v>
      </c>
      <c r="G1921" cm="1">
        <f t="array" ref="G1921">INDEX(FX_Temps,$AF1921,G$3)</f>
        <v>50.164999999999907</v>
      </c>
      <c r="H1921" cm="1">
        <f t="array" ref="H1921">INDEX(FX_Temps,$AF1921,H$3)</f>
        <v>55.071249999999964</v>
      </c>
      <c r="I1921" cm="1">
        <f t="array" ref="I1921">INDEX(FX_Temps,$AF1921,I$3)</f>
        <v>58.9837500000001</v>
      </c>
      <c r="J1921" cm="1">
        <f t="array" ref="J1921">INDEX(FX_Temps,$AF1921,J$3)</f>
        <v>62.584999999999923</v>
      </c>
      <c r="K1921" cm="1">
        <f t="array" ref="K1921">INDEX(FX_Temps,$AF1921,K$3)</f>
        <v>62.764999999999986</v>
      </c>
      <c r="L1921" cm="1">
        <f t="array" ref="L1921">INDEX(FX_Temps,$AF1921,L$3)</f>
        <v>60.095000000000027</v>
      </c>
      <c r="M1921" cm="1">
        <f t="array" ref="M1921">INDEX(FX_Temps,$AF1921,M$3)</f>
        <v>53.559999999999945</v>
      </c>
      <c r="N1921" cm="1">
        <f t="array" ref="N1921">INDEX(FX_Temps,$AF1921,N$3)</f>
        <v>47.588750000000005</v>
      </c>
      <c r="O1921" cm="1">
        <f t="array" ref="O1921">INDEX(FX_Temps,$AF1921,O$3)</f>
        <v>43.97750000000002</v>
      </c>
      <c r="AE1921">
        <f>AE1920</f>
        <v>1</v>
      </c>
      <c r="AF1921">
        <f>AF1912+11</f>
        <v>796</v>
      </c>
    </row>
    <row r="1922" spans="2:32" ht="17.149999999999999" x14ac:dyDescent="0.55000000000000004">
      <c r="B1922" t="str">
        <f t="shared" si="7060"/>
        <v>Portland</v>
      </c>
      <c r="C1922" t="s">
        <v>552</v>
      </c>
      <c r="D1922" cm="1">
        <f t="array" ref="D1922">INDEX(FX_Temps,$AF1922,D$3)</f>
        <v>44.757499999999993</v>
      </c>
      <c r="E1922" cm="1">
        <f t="array" ref="E1922">INDEX(FX_Temps,$AF1922,E$3)</f>
        <v>46.200000000000045</v>
      </c>
      <c r="F1922" cm="1">
        <f t="array" ref="F1922">INDEX(FX_Temps,$AF1922,F$3)</f>
        <v>48.292500000000018</v>
      </c>
      <c r="G1922" cm="1">
        <f t="array" ref="G1922">INDEX(FX_Temps,$AF1922,G$3)</f>
        <v>51.729999999999905</v>
      </c>
      <c r="H1922" cm="1">
        <f t="array" ref="H1922">INDEX(FX_Temps,$AF1922,H$3)</f>
        <v>56.99249999999995</v>
      </c>
      <c r="I1922" cm="1">
        <f t="array" ref="I1922">INDEX(FX_Temps,$AF1922,I$3)</f>
        <v>61.017500000000041</v>
      </c>
      <c r="J1922" cm="1">
        <f t="array" ref="J1922">INDEX(FX_Temps,$AF1922,J$3)</f>
        <v>64.719999999999914</v>
      </c>
      <c r="K1922" cm="1">
        <f t="array" ref="K1922">INDEX(FX_Temps,$AF1922,K$3)</f>
        <v>64.63</v>
      </c>
      <c r="L1922" cm="1">
        <f t="array" ref="L1922">INDEX(FX_Temps,$AF1922,L$3)</f>
        <v>61.590000000000032</v>
      </c>
      <c r="M1922" cm="1">
        <f t="array" ref="M1922">INDEX(FX_Temps,$AF1922,M$3)</f>
        <v>54.470000000000027</v>
      </c>
      <c r="N1922" cm="1">
        <f t="array" ref="N1922">INDEX(FX_Temps,$AF1922,N$3)</f>
        <v>48.077500000000043</v>
      </c>
      <c r="O1922" cm="1">
        <f t="array" ref="O1922">INDEX(FX_Temps,$AF1922,O$3)</f>
        <v>44.355000000000018</v>
      </c>
      <c r="AE1922">
        <f>AE1921</f>
        <v>1</v>
      </c>
      <c r="AF1922">
        <f>AF1912+13</f>
        <v>798</v>
      </c>
    </row>
    <row r="1923" spans="2:32" ht="17.149999999999999" x14ac:dyDescent="0.55000000000000004">
      <c r="B1923" t="str">
        <f t="shared" si="7060"/>
        <v>Portland</v>
      </c>
      <c r="C1923" t="s">
        <v>574</v>
      </c>
      <c r="D1923" cm="1">
        <f t="array" ref="D1923">IFERROR(IF(D1913="Chemical",(10^(INDEX(Antoines,MATCH(D1912,Antoine_Name,0),2)-INDEX(Antoines,MATCH(D1912,Antoine_Name,0),3)/(INDEX(Antoines,MATCH(D1912,Antoine_Name,0),4)+(D1920-32)*5/9)))*14.7/760,IF(D1913="Crude Oil",EXP((2799/(D1920+459.6)-2.227)*LOG10(INDEX(FX_Input,Q$5,D$3*$Z$5+$AA$5))-(7261/(D1920+459.6))+12.82),IF(D1913="Refined Petroleum Stock",EXP((0.7553-(413/(D1920+459.6)))*(INDEX(FX_Input,Q$5,D$3*$Z$5+$AA$5-1)^0.5)*LOG10(INDEX(FX_Input,Q$5,D$3*$Z$5+$AA$5))-(1.854-(1042/(D1920+459.6)))*(INDEX(FX_Input,Q$5,D$3*$Z$5+$AA$5-1)^0.5)+((2416/(D1920+459.6)-2.013)*LOG10(INDEX(FX_Input,Q$5,D$3*$Z$5+$AA$5)))-(8742/(D1920+459.6))+15.64),EXP(INDEX(Antoines,MATCH(D1912,Antoine_Name,0),2)-INDEX(Antoines,MATCH(D1912,Antoine_Name,0),3)/(D1920+459.6))))),0)</f>
        <v>4.8116637646820016E-3</v>
      </c>
      <c r="E1923" cm="1">
        <f t="array" ref="E1923">IFERROR(IF(E1913="Chemical",(10^(INDEX(Antoines,MATCH(E1912,Antoine_Name,0),2)-INDEX(Antoines,MATCH(E1912,Antoine_Name,0),3)/(INDEX(Antoines,MATCH(E1912,Antoine_Name,0),4)+(E1920-32)*5/9)))*14.7/760,IF(E1913="Crude Oil",EXP((2799/(E1920+459.6)-2.227)*LOG10(INDEX(FX_Input,R$5,E$3*$Z$5+$AA$5))-(7261/(E1920+459.6))+12.82),IF(E1913="Refined Petroleum Stock",EXP((0.7553-(413/(E1920+459.6)))*(INDEX(FX_Input,R$5,E$3*$Z$5+$AA$5-1)^0.5)*LOG10(INDEX(FX_Input,R$5,E$3*$Z$5+$AA$5))-(1.854-(1042/(E1920+459.6)))*(INDEX(FX_Input,R$5,E$3*$Z$5+$AA$5-1)^0.5)+((2416/(E1920+459.6)-2.013)*LOG10(INDEX(FX_Input,R$5,E$3*$Z$5+$AA$5)))-(8742/(E1920+459.6))+15.64),EXP(INDEX(Antoines,MATCH(E1912,Antoine_Name,0),2)-INDEX(Antoines,MATCH(E1912,Antoine_Name,0),3)/(E1920+459.6))))),0)</f>
        <v>5.0048006991488458E-3</v>
      </c>
      <c r="F1923" cm="1">
        <f t="array" ref="F1923">IFERROR(IF(F1913="Chemical",(10^(INDEX(Antoines,MATCH(F1912,Antoine_Name,0),2)-INDEX(Antoines,MATCH(F1912,Antoine_Name,0),3)/(INDEX(Antoines,MATCH(F1912,Antoine_Name,0),4)+(F1920-32)*5/9)))*14.7/760,IF(F1913="Crude Oil",EXP((2799/(F1920+459.6)-2.227)*LOG10(INDEX(FX_Input,S$5,F$3*$Z$5+$AA$5))-(7261/(F1920+459.6))+12.82),IF(F1913="Refined Petroleum Stock",EXP((0.7553-(413/(F1920+459.6)))*(INDEX(FX_Input,S$5,F$3*$Z$5+$AA$5-1)^0.5)*LOG10(INDEX(FX_Input,S$5,F$3*$Z$5+$AA$5))-(1.854-(1042/(F1920+459.6)))*(INDEX(FX_Input,S$5,F$3*$Z$5+$AA$5-1)^0.5)+((2416/(F1920+459.6)-2.013)*LOG10(INDEX(FX_Input,S$5,F$3*$Z$5+$AA$5)))-(8742/(F1920+459.6))+15.64),EXP(INDEX(Antoines,MATCH(F1912,Antoine_Name,0),2)-INDEX(Antoines,MATCH(F1912,Antoine_Name,0),3)/(F1920+459.6))))),0)</f>
        <v>5.3193030941574935E-3</v>
      </c>
      <c r="G1923" cm="1">
        <f t="array" ref="G1923">IFERROR(IF(G1913="Chemical",(10^(INDEX(Antoines,MATCH(G1912,Antoine_Name,0),2)-INDEX(Antoines,MATCH(G1912,Antoine_Name,0),3)/(INDEX(Antoines,MATCH(G1912,Antoine_Name,0),4)+(G1920-32)*5/9)))*14.7/760,IF(G1913="Crude Oil",EXP((2799/(G1920+459.6)-2.227)*LOG10(INDEX(FX_Input,T$5,G$3*$Z$5+$AA$5))-(7261/(G1920+459.6))+12.82),IF(G1913="Refined Petroleum Stock",EXP((0.7553-(413/(G1920+459.6)))*(INDEX(FX_Input,T$5,G$3*$Z$5+$AA$5-1)^0.5)*LOG10(INDEX(FX_Input,T$5,G$3*$Z$5+$AA$5))-(1.854-(1042/(G1920+459.6)))*(INDEX(FX_Input,T$5,G$3*$Z$5+$AA$5-1)^0.5)+((2416/(G1920+459.6)-2.013)*LOG10(INDEX(FX_Input,T$5,G$3*$Z$5+$AA$5)))-(8742/(G1920+459.6))+15.64),EXP(INDEX(Antoines,MATCH(G1912,Antoine_Name,0),2)-INDEX(Antoines,MATCH(G1912,Antoine_Name,0),3)/(G1920+459.6))))),0)</f>
        <v>5.8943503851042415E-3</v>
      </c>
      <c r="H1923" cm="1">
        <f t="array" ref="H1923">IFERROR(IF(H1913="Chemical",(10^(INDEX(Antoines,MATCH(H1912,Antoine_Name,0),2)-INDEX(Antoines,MATCH(H1912,Antoine_Name,0),3)/(INDEX(Antoines,MATCH(H1912,Antoine_Name,0),4)+(H1920-32)*5/9)))*14.7/760,IF(H1913="Crude Oil",EXP((2799/(H1920+459.6)-2.227)*LOG10(INDEX(FX_Input,U$5,H$3*$Z$5+$AA$5))-(7261/(H1920+459.6))+12.82),IF(H1913="Refined Petroleum Stock",EXP((0.7553-(413/(H1920+459.6)))*(INDEX(FX_Input,U$5,H$3*$Z$5+$AA$5-1)^0.5)*LOG10(INDEX(FX_Input,U$5,H$3*$Z$5+$AA$5))-(1.854-(1042/(H1920+459.6)))*(INDEX(FX_Input,U$5,H$3*$Z$5+$AA$5-1)^0.5)+((2416/(H1920+459.6)-2.013)*LOG10(INDEX(FX_Input,U$5,H$3*$Z$5+$AA$5)))-(8742/(H1920+459.6))+15.64),EXP(INDEX(Antoines,MATCH(H1912,Antoine_Name,0),2)-INDEX(Antoines,MATCH(H1912,Antoine_Name,0),3)/(H1920+459.6))))),0)</f>
        <v>6.9660236232598005E-3</v>
      </c>
      <c r="I1923" cm="1">
        <f t="array" ref="I1923">IFERROR(IF(I1913="Chemical",(10^(INDEX(Antoines,MATCH(I1912,Antoine_Name,0),2)-INDEX(Antoines,MATCH(I1912,Antoine_Name,0),3)/(INDEX(Antoines,MATCH(I1912,Antoine_Name,0),4)+(I1920-32)*5/9)))*14.7/760,IF(I1913="Crude Oil",EXP((2799/(I1920+459.6)-2.227)*LOG10(INDEX(FX_Input,V$5,I$3*$Z$5+$AA$5))-(7261/(I1920+459.6))+12.82),IF(I1913="Refined Petroleum Stock",EXP((0.7553-(413/(I1920+459.6)))*(INDEX(FX_Input,V$5,I$3*$Z$5+$AA$5-1)^0.5)*LOG10(INDEX(FX_Input,V$5,I$3*$Z$5+$AA$5))-(1.854-(1042/(I1920+459.6)))*(INDEX(FX_Input,V$5,I$3*$Z$5+$AA$5-1)^0.5)+((2416/(I1920+459.6)-2.013)*LOG10(INDEX(FX_Input,V$5,I$3*$Z$5+$AA$5)))-(8742/(I1920+459.6))+15.64),EXP(INDEX(Antoines,MATCH(I1912,Antoine_Name,0),2)-INDEX(Antoines,MATCH(I1912,Antoine_Name,0),3)/(I1920+459.6))))),0)</f>
        <v>7.9406391529506654E-3</v>
      </c>
      <c r="J1923" cm="1">
        <f t="array" ref="J1923">IFERROR(IF(J1913="Chemical",(10^(INDEX(Antoines,MATCH(J1912,Antoine_Name,0),2)-INDEX(Antoines,MATCH(J1912,Antoine_Name,0),3)/(INDEX(Antoines,MATCH(J1912,Antoine_Name,0),4)+(J1920-32)*5/9)))*14.7/760,IF(J1913="Crude Oil",EXP((2799/(J1920+459.6)-2.227)*LOG10(INDEX(FX_Input,W$5,J$3*$Z$5+$AA$5))-(7261/(J1920+459.6))+12.82),IF(J1913="Refined Petroleum Stock",EXP((0.7553-(413/(J1920+459.6)))*(INDEX(FX_Input,W$5,J$3*$Z$5+$AA$5-1)^0.5)*LOG10(INDEX(FX_Input,W$5,J$3*$Z$5+$AA$5))-(1.854-(1042/(J1920+459.6)))*(INDEX(FX_Input,W$5,J$3*$Z$5+$AA$5-1)^0.5)+((2416/(J1920+459.6)-2.013)*LOG10(INDEX(FX_Input,W$5,J$3*$Z$5+$AA$5)))-(8742/(J1920+459.6))+15.64),EXP(INDEX(Antoines,MATCH(J1912,Antoine_Name,0),2)-INDEX(Antoines,MATCH(J1912,Antoine_Name,0),3)/(J1920+459.6))))),0)</f>
        <v>8.9422860963673592E-3</v>
      </c>
      <c r="K1923" cm="1">
        <f t="array" ref="K1923">IFERROR(IF(K1913="Chemical",(10^(INDEX(Antoines,MATCH(K1912,Antoine_Name,0),2)-INDEX(Antoines,MATCH(K1912,Antoine_Name,0),3)/(INDEX(Antoines,MATCH(K1912,Antoine_Name,0),4)+(K1920-32)*5/9)))*14.7/760,IF(K1913="Crude Oil",EXP((2799/(K1920+459.6)-2.227)*LOG10(INDEX(FX_Input,X$5,K$3*$Z$5+$AA$5))-(7261/(K1920+459.6))+12.82),IF(K1913="Refined Petroleum Stock",EXP((0.7553-(413/(K1920+459.6)))*(INDEX(FX_Input,X$5,K$3*$Z$5+$AA$5-1)^0.5)*LOG10(INDEX(FX_Input,X$5,K$3*$Z$5+$AA$5))-(1.854-(1042/(K1920+459.6)))*(INDEX(FX_Input,X$5,K$3*$Z$5+$AA$5-1)^0.5)+((2416/(K1920+459.6)-2.013)*LOG10(INDEX(FX_Input,X$5,K$3*$Z$5+$AA$5)))-(8742/(K1920+459.6))+15.64),EXP(INDEX(Antoines,MATCH(K1912,Antoine_Name,0),2)-INDEX(Antoines,MATCH(K1912,Antoine_Name,0),3)/(K1920+459.6))))),0)</f>
        <v>8.9951550374627008E-3</v>
      </c>
      <c r="L1923" cm="1">
        <f t="array" ref="L1923">IFERROR(IF(L1913="Chemical",(10^(INDEX(Antoines,MATCH(L1912,Antoine_Name,0),2)-INDEX(Antoines,MATCH(L1912,Antoine_Name,0),3)/(INDEX(Antoines,MATCH(L1912,Antoine_Name,0),4)+(L1920-32)*5/9)))*14.7/760,IF(L1913="Crude Oil",EXP((2799/(L1920+459.6)-2.227)*LOG10(INDEX(FX_Input,Y$5,L$3*$Z$5+$AA$5))-(7261/(L1920+459.6))+12.82),IF(L1913="Refined Petroleum Stock",EXP((0.7553-(413/(L1920+459.6)))*(INDEX(FX_Input,Y$5,L$3*$Z$5+$AA$5-1)^0.5)*LOG10(INDEX(FX_Input,Y$5,L$3*$Z$5+$AA$5))-(1.854-(1042/(L1920+459.6)))*(INDEX(FX_Input,Y$5,L$3*$Z$5+$AA$5-1)^0.5)+((2416/(L1920+459.6)-2.013)*LOG10(INDEX(FX_Input,Y$5,L$3*$Z$5+$AA$5)))-(8742/(L1920+459.6))+15.64),EXP(INDEX(Antoines,MATCH(L1912,Antoine_Name,0),2)-INDEX(Antoines,MATCH(L1912,Antoine_Name,0),3)/(L1920+459.6))))),0)</f>
        <v>8.2385730689388259E-3</v>
      </c>
      <c r="M1923" cm="1">
        <f t="array" ref="M1923">IFERROR(IF(M1913="Chemical",(10^(INDEX(Antoines,MATCH(M1912,Antoine_Name,0),2)-INDEX(Antoines,MATCH(M1912,Antoine_Name,0),3)/(INDEX(Antoines,MATCH(M1912,Antoine_Name,0),4)+(M1920-32)*5/9)))*14.7/760,IF(M1913="Crude Oil",EXP((2799/(M1920+459.6)-2.227)*LOG10(INDEX(FX_Input,Z$5,M$3*$Z$5+$AA$5))-(7261/(M1920+459.6))+12.82),IF(M1913="Refined Petroleum Stock",EXP((0.7553-(413/(M1920+459.6)))*(INDEX(FX_Input,Z$5,M$3*$Z$5+$AA$5-1)^0.5)*LOG10(INDEX(FX_Input,Z$5,M$3*$Z$5+$AA$5))-(1.854-(1042/(M1920+459.6)))*(INDEX(FX_Input,Z$5,M$3*$Z$5+$AA$5-1)^0.5)+((2416/(M1920+459.6)-2.013)*LOG10(INDEX(FX_Input,Z$5,M$3*$Z$5+$AA$5)))-(8742/(M1920+459.6))+15.64),EXP(INDEX(Antoines,MATCH(M1912,Antoine_Name,0),2)-INDEX(Antoines,MATCH(M1912,Antoine_Name,0),3)/(M1920+459.6))))),0)</f>
        <v>6.618900442185772E-3</v>
      </c>
      <c r="N1923" cm="1">
        <f t="array" ref="N1923">IFERROR(IF(N1913="Chemical",(10^(INDEX(Antoines,MATCH(N1912,Antoine_Name,0),2)-INDEX(Antoines,MATCH(N1912,Antoine_Name,0),3)/(INDEX(Antoines,MATCH(N1912,Antoine_Name,0),4)+(N1920-32)*5/9)))*14.7/760,IF(N1913="Crude Oil",EXP((2799/(N1920+459.6)-2.227)*LOG10(INDEX(FX_Input,AA$5,N$3*$Z$5+$AA$5))-(7261/(N1920+459.6))+12.82),IF(N1913="Refined Petroleum Stock",EXP((0.7553-(413/(N1920+459.6)))*(INDEX(FX_Input,AA$5,N$3*$Z$5+$AA$5-1)^0.5)*LOG10(INDEX(FX_Input,AA$5,N$3*$Z$5+$AA$5))-(1.854-(1042/(N1920+459.6)))*(INDEX(FX_Input,AA$5,N$3*$Z$5+$AA$5-1)^0.5)+((2416/(N1920+459.6)-2.013)*LOG10(INDEX(FX_Input,AA$5,N$3*$Z$5+$AA$5)))-(8742/(N1920+459.6))+15.64),EXP(INDEX(Antoines,MATCH(N1912,Antoine_Name,0),2)-INDEX(Antoines,MATCH(N1912,Antoine_Name,0),3)/(N1920+459.6))))),0)</f>
        <v>5.3923587959108042E-3</v>
      </c>
      <c r="O1923" cm="1">
        <f t="array" ref="O1923">IFERROR(IF(O1913="Chemical",(10^(INDEX(Antoines,MATCH(O1912,Antoine_Name,0),2)-INDEX(Antoines,MATCH(O1912,Antoine_Name,0),3)/(INDEX(Antoines,MATCH(O1912,Antoine_Name,0),4)+(O1920-32)*5/9)))*14.7/760,IF(O1913="Crude Oil",EXP((2799/(O1920+459.6)-2.227)*LOG10(INDEX(FX_Input,AB$5,O$3*$Z$5+$AA$5))-(7261/(O1920+459.6))+12.82),IF(O1913="Refined Petroleum Stock",EXP((0.7553-(413/(O1920+459.6)))*(INDEX(FX_Input,AB$5,O$3*$Z$5+$AA$5-1)^0.5)*LOG10(INDEX(FX_Input,AB$5,O$3*$Z$5+$AA$5))-(1.854-(1042/(O1920+459.6)))*(INDEX(FX_Input,AB$5,O$3*$Z$5+$AA$5-1)^0.5)+((2416/(O1920+459.6)-2.013)*LOG10(INDEX(FX_Input,AB$5,O$3*$Z$5+$AA$5)))-(8742/(O1920+459.6))+15.64),EXP(INDEX(Antoines,MATCH(O1912,Antoine_Name,0),2)-INDEX(Antoines,MATCH(O1912,Antoine_Name,0),3)/(O1920+459.6))))),0)</f>
        <v>4.7525360186456101E-3</v>
      </c>
    </row>
    <row r="1924" spans="2:32" ht="17.149999999999999" x14ac:dyDescent="0.55000000000000004">
      <c r="B1924" t="str">
        <f t="shared" si="7060"/>
        <v>Portland</v>
      </c>
      <c r="C1924" t="s">
        <v>576</v>
      </c>
      <c r="D1924">
        <f>D1916*D1923</f>
        <v>4.8116637646820016E-3</v>
      </c>
      <c r="E1924">
        <f t="shared" ref="E1924:O1924" si="7061">E1916*E1923</f>
        <v>5.0048006991488458E-3</v>
      </c>
      <c r="F1924">
        <f t="shared" si="7061"/>
        <v>5.3193030941574935E-3</v>
      </c>
      <c r="G1924">
        <f t="shared" si="7061"/>
        <v>5.8943503851042415E-3</v>
      </c>
      <c r="H1924">
        <f t="shared" si="7061"/>
        <v>6.9660236232598005E-3</v>
      </c>
      <c r="I1924">
        <f t="shared" si="7061"/>
        <v>7.9406391529506654E-3</v>
      </c>
      <c r="J1924">
        <f t="shared" si="7061"/>
        <v>8.9422860963673592E-3</v>
      </c>
      <c r="K1924">
        <f t="shared" si="7061"/>
        <v>8.9951550374627008E-3</v>
      </c>
      <c r="L1924">
        <f t="shared" si="7061"/>
        <v>8.2385730689388259E-3</v>
      </c>
      <c r="M1924">
        <f t="shared" si="7061"/>
        <v>6.618900442185772E-3</v>
      </c>
      <c r="N1924">
        <f t="shared" si="7061"/>
        <v>5.3923587959108042E-3</v>
      </c>
      <c r="O1924">
        <f t="shared" si="7061"/>
        <v>4.7525360186456101E-3</v>
      </c>
    </row>
    <row r="1925" spans="2:32" ht="17.149999999999999" x14ac:dyDescent="0.55000000000000004">
      <c r="B1925" t="str">
        <f t="shared" si="7060"/>
        <v>Portland</v>
      </c>
      <c r="C1925" t="s">
        <v>575</v>
      </c>
      <c r="D1925" cm="1">
        <f t="array" ref="D1925">IFERROR(IF(D1915="Chemical",(10^(INDEX(Antoines,MATCH(D1914,Antoine_Name,0),2)-INDEX(Antoines,MATCH(D1914,Antoine_Name,0),3)/(INDEX(Antoines,MATCH(D1914,Antoine_Name,0),4)+(D1920-32)*5/9)))*14.7/760,IF(D1915="Crude Oil",EXP((2799/(D1920+459.6)-2.227)*LOG10(INDEX(FX_Input,Q$5,D$3*$Z$5+$AA$5))-(7261/(D1920+459.6))+12.82),IF(D1915="Refined Petroleum Stock",EXP((0.7553-(413/(D1920+459.6)))*(INDEX(FX_Input,Q$5,D$3*$Z$5+$AA$5-1)^0.5)*LOG10(INDEX(FX_Input,Q$5,D$3*$Z$5+$AA$5))-(1.854-(1042/(D1920+459.6)))*(INDEX(FX_Input,Q$5,D$3*$Z$5+$AA$5-1)^0.5)+((2416/(D1920+459.6)-2.013)*LOG10(INDEX(FX_Input,Q$5,D$3*$Z$5+$AA$5)))-(8742/(D1920+459.6))+15.64),EXP(INDEX(Antoines,MATCH(D1914,Antoine_Name,0),2)-INDEX(Antoines,MATCH(D1914,Antoine_Name,0),3)/(D1920+459.6))))),0)</f>
        <v>0</v>
      </c>
      <c r="E1925" cm="1">
        <f t="array" ref="E1925">IFERROR(IF(E1915="Chemical",(10^(INDEX(Antoines,MATCH(E1914,Antoine_Name,0),2)-INDEX(Antoines,MATCH(E1914,Antoine_Name,0),3)/(INDEX(Antoines,MATCH(E1914,Antoine_Name,0),4)+(E1920-32)*5/9)))*14.7/760,IF(E1915="Crude Oil",EXP((2799/(E1920+459.6)-2.227)*LOG10(INDEX(FX_Input,R$5,E$3*$Z$5+$AA$5))-(7261/(E1920+459.6))+12.82),IF(E1915="Refined Petroleum Stock",EXP((0.7553-(413/(E1920+459.6)))*(INDEX(FX_Input,R$5,E$3*$Z$5+$AA$5-1)^0.5)*LOG10(INDEX(FX_Input,R$5,E$3*$Z$5+$AA$5))-(1.854-(1042/(E1920+459.6)))*(INDEX(FX_Input,R$5,E$3*$Z$5+$AA$5-1)^0.5)+((2416/(E1920+459.6)-2.013)*LOG10(INDEX(FX_Input,R$5,E$3*$Z$5+$AA$5)))-(8742/(E1920+459.6))+15.64),EXP(INDEX(Antoines,MATCH(E1914,Antoine_Name,0),2)-INDEX(Antoines,MATCH(E1914,Antoine_Name,0),3)/(E1920+459.6))))),0)</f>
        <v>0</v>
      </c>
      <c r="F1925" cm="1">
        <f t="array" ref="F1925">IFERROR(IF(F1915="Chemical",(10^(INDEX(Antoines,MATCH(F1914,Antoine_Name,0),2)-INDEX(Antoines,MATCH(F1914,Antoine_Name,0),3)/(INDEX(Antoines,MATCH(F1914,Antoine_Name,0),4)+(F1920-32)*5/9)))*14.7/760,IF(F1915="Crude Oil",EXP((2799/(F1920+459.6)-2.227)*LOG10(INDEX(FX_Input,S$5,F$3*$Z$5+$AA$5))-(7261/(F1920+459.6))+12.82),IF(F1915="Refined Petroleum Stock",EXP((0.7553-(413/(F1920+459.6)))*(INDEX(FX_Input,S$5,F$3*$Z$5+$AA$5-1)^0.5)*LOG10(INDEX(FX_Input,S$5,F$3*$Z$5+$AA$5))-(1.854-(1042/(F1920+459.6)))*(INDEX(FX_Input,S$5,F$3*$Z$5+$AA$5-1)^0.5)+((2416/(F1920+459.6)-2.013)*LOG10(INDEX(FX_Input,S$5,F$3*$Z$5+$AA$5)))-(8742/(F1920+459.6))+15.64),EXP(INDEX(Antoines,MATCH(F1914,Antoine_Name,0),2)-INDEX(Antoines,MATCH(F1914,Antoine_Name,0),3)/(F1920+459.6))))),0)</f>
        <v>0</v>
      </c>
      <c r="G1925" cm="1">
        <f t="array" ref="G1925">IFERROR(IF(G1915="Chemical",(10^(INDEX(Antoines,MATCH(G1914,Antoine_Name,0),2)-INDEX(Antoines,MATCH(G1914,Antoine_Name,0),3)/(INDEX(Antoines,MATCH(G1914,Antoine_Name,0),4)+(G1920-32)*5/9)))*14.7/760,IF(G1915="Crude Oil",EXP((2799/(G1920+459.6)-2.227)*LOG10(INDEX(FX_Input,T$5,G$3*$Z$5+$AA$5))-(7261/(G1920+459.6))+12.82),IF(G1915="Refined Petroleum Stock",EXP((0.7553-(413/(G1920+459.6)))*(INDEX(FX_Input,T$5,G$3*$Z$5+$AA$5-1)^0.5)*LOG10(INDEX(FX_Input,T$5,G$3*$Z$5+$AA$5))-(1.854-(1042/(G1920+459.6)))*(INDEX(FX_Input,T$5,G$3*$Z$5+$AA$5-1)^0.5)+((2416/(G1920+459.6)-2.013)*LOG10(INDEX(FX_Input,T$5,G$3*$Z$5+$AA$5)))-(8742/(G1920+459.6))+15.64),EXP(INDEX(Antoines,MATCH(G1914,Antoine_Name,0),2)-INDEX(Antoines,MATCH(G1914,Antoine_Name,0),3)/(G1920+459.6))))),0)</f>
        <v>0</v>
      </c>
      <c r="H1925" cm="1">
        <f t="array" ref="H1925">IFERROR(IF(H1915="Chemical",(10^(INDEX(Antoines,MATCH(H1914,Antoine_Name,0),2)-INDEX(Antoines,MATCH(H1914,Antoine_Name,0),3)/(INDEX(Antoines,MATCH(H1914,Antoine_Name,0),4)+(H1920-32)*5/9)))*14.7/760,IF(H1915="Crude Oil",EXP((2799/(H1920+459.6)-2.227)*LOG10(INDEX(FX_Input,U$5,H$3*$Z$5+$AA$5))-(7261/(H1920+459.6))+12.82),IF(H1915="Refined Petroleum Stock",EXP((0.7553-(413/(H1920+459.6)))*(INDEX(FX_Input,U$5,H$3*$Z$5+$AA$5-1)^0.5)*LOG10(INDEX(FX_Input,U$5,H$3*$Z$5+$AA$5))-(1.854-(1042/(H1920+459.6)))*(INDEX(FX_Input,U$5,H$3*$Z$5+$AA$5-1)^0.5)+((2416/(H1920+459.6)-2.013)*LOG10(INDEX(FX_Input,U$5,H$3*$Z$5+$AA$5)))-(8742/(H1920+459.6))+15.64),EXP(INDEX(Antoines,MATCH(H1914,Antoine_Name,0),2)-INDEX(Antoines,MATCH(H1914,Antoine_Name,0),3)/(H1920+459.6))))),0)</f>
        <v>0</v>
      </c>
      <c r="I1925" cm="1">
        <f t="array" ref="I1925">IFERROR(IF(I1915="Chemical",(10^(INDEX(Antoines,MATCH(I1914,Antoine_Name,0),2)-INDEX(Antoines,MATCH(I1914,Antoine_Name,0),3)/(INDEX(Antoines,MATCH(I1914,Antoine_Name,0),4)+(I1920-32)*5/9)))*14.7/760,IF(I1915="Crude Oil",EXP((2799/(I1920+459.6)-2.227)*LOG10(INDEX(FX_Input,V$5,I$3*$Z$5+$AA$5))-(7261/(I1920+459.6))+12.82),IF(I1915="Refined Petroleum Stock",EXP((0.7553-(413/(I1920+459.6)))*(INDEX(FX_Input,V$5,I$3*$Z$5+$AA$5-1)^0.5)*LOG10(INDEX(FX_Input,V$5,I$3*$Z$5+$AA$5))-(1.854-(1042/(I1920+459.6)))*(INDEX(FX_Input,V$5,I$3*$Z$5+$AA$5-1)^0.5)+((2416/(I1920+459.6)-2.013)*LOG10(INDEX(FX_Input,V$5,I$3*$Z$5+$AA$5)))-(8742/(I1920+459.6))+15.64),EXP(INDEX(Antoines,MATCH(I1914,Antoine_Name,0),2)-INDEX(Antoines,MATCH(I1914,Antoine_Name,0),3)/(I1920+459.6))))),0)</f>
        <v>0</v>
      </c>
      <c r="J1925" cm="1">
        <f t="array" ref="J1925">IFERROR(IF(J1915="Chemical",(10^(INDEX(Antoines,MATCH(J1914,Antoine_Name,0),2)-INDEX(Antoines,MATCH(J1914,Antoine_Name,0),3)/(INDEX(Antoines,MATCH(J1914,Antoine_Name,0),4)+(J1920-32)*5/9)))*14.7/760,IF(J1915="Crude Oil",EXP((2799/(J1920+459.6)-2.227)*LOG10(INDEX(FX_Input,W$5,J$3*$Z$5+$AA$5))-(7261/(J1920+459.6))+12.82),IF(J1915="Refined Petroleum Stock",EXP((0.7553-(413/(J1920+459.6)))*(INDEX(FX_Input,W$5,J$3*$Z$5+$AA$5-1)^0.5)*LOG10(INDEX(FX_Input,W$5,J$3*$Z$5+$AA$5))-(1.854-(1042/(J1920+459.6)))*(INDEX(FX_Input,W$5,J$3*$Z$5+$AA$5-1)^0.5)+((2416/(J1920+459.6)-2.013)*LOG10(INDEX(FX_Input,W$5,J$3*$Z$5+$AA$5)))-(8742/(J1920+459.6))+15.64),EXP(INDEX(Antoines,MATCH(J1914,Antoine_Name,0),2)-INDEX(Antoines,MATCH(J1914,Antoine_Name,0),3)/(J1920+459.6))))),0)</f>
        <v>0</v>
      </c>
      <c r="K1925" cm="1">
        <f t="array" ref="K1925">IFERROR(IF(K1915="Chemical",(10^(INDEX(Antoines,MATCH(K1914,Antoine_Name,0),2)-INDEX(Antoines,MATCH(K1914,Antoine_Name,0),3)/(INDEX(Antoines,MATCH(K1914,Antoine_Name,0),4)+(K1920-32)*5/9)))*14.7/760,IF(K1915="Crude Oil",EXP((2799/(K1920+459.6)-2.227)*LOG10(INDEX(FX_Input,X$5,K$3*$Z$5+$AA$5))-(7261/(K1920+459.6))+12.82),IF(K1915="Refined Petroleum Stock",EXP((0.7553-(413/(K1920+459.6)))*(INDEX(FX_Input,X$5,K$3*$Z$5+$AA$5-1)^0.5)*LOG10(INDEX(FX_Input,X$5,K$3*$Z$5+$AA$5))-(1.854-(1042/(K1920+459.6)))*(INDEX(FX_Input,X$5,K$3*$Z$5+$AA$5-1)^0.5)+((2416/(K1920+459.6)-2.013)*LOG10(INDEX(FX_Input,X$5,K$3*$Z$5+$AA$5)))-(8742/(K1920+459.6))+15.64),EXP(INDEX(Antoines,MATCH(K1914,Antoine_Name,0),2)-INDEX(Antoines,MATCH(K1914,Antoine_Name,0),3)/(K1920+459.6))))),0)</f>
        <v>0</v>
      </c>
      <c r="L1925" cm="1">
        <f t="array" ref="L1925">IFERROR(IF(L1915="Chemical",(10^(INDEX(Antoines,MATCH(L1914,Antoine_Name,0),2)-INDEX(Antoines,MATCH(L1914,Antoine_Name,0),3)/(INDEX(Antoines,MATCH(L1914,Antoine_Name,0),4)+(L1920-32)*5/9)))*14.7/760,IF(L1915="Crude Oil",EXP((2799/(L1920+459.6)-2.227)*LOG10(INDEX(FX_Input,Y$5,L$3*$Z$5+$AA$5))-(7261/(L1920+459.6))+12.82),IF(L1915="Refined Petroleum Stock",EXP((0.7553-(413/(L1920+459.6)))*(INDEX(FX_Input,Y$5,L$3*$Z$5+$AA$5-1)^0.5)*LOG10(INDEX(FX_Input,Y$5,L$3*$Z$5+$AA$5))-(1.854-(1042/(L1920+459.6)))*(INDEX(FX_Input,Y$5,L$3*$Z$5+$AA$5-1)^0.5)+((2416/(L1920+459.6)-2.013)*LOG10(INDEX(FX_Input,Y$5,L$3*$Z$5+$AA$5)))-(8742/(L1920+459.6))+15.64),EXP(INDEX(Antoines,MATCH(L1914,Antoine_Name,0),2)-INDEX(Antoines,MATCH(L1914,Antoine_Name,0),3)/(L1920+459.6))))),0)</f>
        <v>0</v>
      </c>
      <c r="M1925" cm="1">
        <f t="array" ref="M1925">IFERROR(IF(M1915="Chemical",(10^(INDEX(Antoines,MATCH(M1914,Antoine_Name,0),2)-INDEX(Antoines,MATCH(M1914,Antoine_Name,0),3)/(INDEX(Antoines,MATCH(M1914,Antoine_Name,0),4)+(M1920-32)*5/9)))*14.7/760,IF(M1915="Crude Oil",EXP((2799/(M1920+459.6)-2.227)*LOG10(INDEX(FX_Input,Z$5,M$3*$Z$5+$AA$5))-(7261/(M1920+459.6))+12.82),IF(M1915="Refined Petroleum Stock",EXP((0.7553-(413/(M1920+459.6)))*(INDEX(FX_Input,Z$5,M$3*$Z$5+$AA$5-1)^0.5)*LOG10(INDEX(FX_Input,Z$5,M$3*$Z$5+$AA$5))-(1.854-(1042/(M1920+459.6)))*(INDEX(FX_Input,Z$5,M$3*$Z$5+$AA$5-1)^0.5)+((2416/(M1920+459.6)-2.013)*LOG10(INDEX(FX_Input,Z$5,M$3*$Z$5+$AA$5)))-(8742/(M1920+459.6))+15.64),EXP(INDEX(Antoines,MATCH(M1914,Antoine_Name,0),2)-INDEX(Antoines,MATCH(M1914,Antoine_Name,0),3)/(M1920+459.6))))),0)</f>
        <v>0</v>
      </c>
      <c r="N1925" cm="1">
        <f t="array" ref="N1925">IFERROR(IF(N1915="Chemical",(10^(INDEX(Antoines,MATCH(N1914,Antoine_Name,0),2)-INDEX(Antoines,MATCH(N1914,Antoine_Name,0),3)/(INDEX(Antoines,MATCH(N1914,Antoine_Name,0),4)+(N1920-32)*5/9)))*14.7/760,IF(N1915="Crude Oil",EXP((2799/(N1920+459.6)-2.227)*LOG10(INDEX(FX_Input,AA$5,N$3*$Z$5+$AA$5))-(7261/(N1920+459.6))+12.82),IF(N1915="Refined Petroleum Stock",EXP((0.7553-(413/(N1920+459.6)))*(INDEX(FX_Input,AA$5,N$3*$Z$5+$AA$5-1)^0.5)*LOG10(INDEX(FX_Input,AA$5,N$3*$Z$5+$AA$5))-(1.854-(1042/(N1920+459.6)))*(INDEX(FX_Input,AA$5,N$3*$Z$5+$AA$5-1)^0.5)+((2416/(N1920+459.6)-2.013)*LOG10(INDEX(FX_Input,AA$5,N$3*$Z$5+$AA$5)))-(8742/(N1920+459.6))+15.64),EXP(INDEX(Antoines,MATCH(N1914,Antoine_Name,0),2)-INDEX(Antoines,MATCH(N1914,Antoine_Name,0),3)/(N1920+459.6))))),0)</f>
        <v>0</v>
      </c>
      <c r="O1925" cm="1">
        <f t="array" ref="O1925">IFERROR(IF(O1915="Chemical",(10^(INDEX(Antoines,MATCH(O1914,Antoine_Name,0),2)-INDEX(Antoines,MATCH(O1914,Antoine_Name,0),3)/(INDEX(Antoines,MATCH(O1914,Antoine_Name,0),4)+(O1920-32)*5/9)))*14.7/760,IF(O1915="Crude Oil",EXP((2799/(O1920+459.6)-2.227)*LOG10(INDEX(FX_Input,AB$5,O$3*$Z$5+$AA$5))-(7261/(O1920+459.6))+12.82),IF(O1915="Refined Petroleum Stock",EXP((0.7553-(413/(O1920+459.6)))*(INDEX(FX_Input,AB$5,O$3*$Z$5+$AA$5-1)^0.5)*LOG10(INDEX(FX_Input,AB$5,O$3*$Z$5+$AA$5))-(1.854-(1042/(O1920+459.6)))*(INDEX(FX_Input,AB$5,O$3*$Z$5+$AA$5-1)^0.5)+((2416/(O1920+459.6)-2.013)*LOG10(INDEX(FX_Input,AB$5,O$3*$Z$5+$AA$5)))-(8742/(O1920+459.6))+15.64),EXP(INDEX(Antoines,MATCH(O1914,Antoine_Name,0),2)-INDEX(Antoines,MATCH(O1914,Antoine_Name,0),3)/(O1920+459.6))))),0)</f>
        <v>0</v>
      </c>
    </row>
    <row r="1926" spans="2:32" ht="17.149999999999999" x14ac:dyDescent="0.55000000000000004">
      <c r="B1926" t="str">
        <f t="shared" si="7060"/>
        <v>Portland</v>
      </c>
      <c r="C1926" t="s">
        <v>577</v>
      </c>
      <c r="D1926">
        <f>D1925*D1918</f>
        <v>0</v>
      </c>
      <c r="E1926">
        <f t="shared" ref="E1926:O1926" si="7062">E1925*E1918</f>
        <v>0</v>
      </c>
      <c r="F1926">
        <f t="shared" si="7062"/>
        <v>0</v>
      </c>
      <c r="G1926">
        <f t="shared" si="7062"/>
        <v>0</v>
      </c>
      <c r="H1926">
        <f t="shared" si="7062"/>
        <v>0</v>
      </c>
      <c r="I1926">
        <f t="shared" si="7062"/>
        <v>0</v>
      </c>
      <c r="J1926">
        <f t="shared" si="7062"/>
        <v>0</v>
      </c>
      <c r="K1926">
        <f t="shared" si="7062"/>
        <v>0</v>
      </c>
      <c r="L1926">
        <f t="shared" si="7062"/>
        <v>0</v>
      </c>
      <c r="M1926">
        <f t="shared" si="7062"/>
        <v>0</v>
      </c>
      <c r="N1926">
        <f t="shared" si="7062"/>
        <v>0</v>
      </c>
      <c r="O1926">
        <f t="shared" si="7062"/>
        <v>0</v>
      </c>
    </row>
    <row r="1927" spans="2:32" ht="17.149999999999999" x14ac:dyDescent="0.55000000000000004">
      <c r="B1927" t="str">
        <f t="shared" si="7060"/>
        <v>Portland</v>
      </c>
      <c r="C1927" t="s">
        <v>578</v>
      </c>
      <c r="D1927">
        <f>D1926+D1924</f>
        <v>4.8116637646820016E-3</v>
      </c>
      <c r="E1927">
        <f t="shared" ref="E1927:O1927" si="7063">E1926+E1924</f>
        <v>5.0048006991488458E-3</v>
      </c>
      <c r="F1927">
        <f t="shared" si="7063"/>
        <v>5.3193030941574935E-3</v>
      </c>
      <c r="G1927">
        <f t="shared" si="7063"/>
        <v>5.8943503851042415E-3</v>
      </c>
      <c r="H1927">
        <f t="shared" si="7063"/>
        <v>6.9660236232598005E-3</v>
      </c>
      <c r="I1927">
        <f t="shared" si="7063"/>
        <v>7.9406391529506654E-3</v>
      </c>
      <c r="J1927">
        <f t="shared" si="7063"/>
        <v>8.9422860963673592E-3</v>
      </c>
      <c r="K1927">
        <f t="shared" si="7063"/>
        <v>8.9951550374627008E-3</v>
      </c>
      <c r="L1927">
        <f t="shared" si="7063"/>
        <v>8.2385730689388259E-3</v>
      </c>
      <c r="M1927">
        <f t="shared" si="7063"/>
        <v>6.618900442185772E-3</v>
      </c>
      <c r="N1927">
        <f t="shared" si="7063"/>
        <v>5.3923587959108042E-3</v>
      </c>
      <c r="O1927">
        <f t="shared" si="7063"/>
        <v>4.7525360186456101E-3</v>
      </c>
    </row>
    <row r="1928" spans="2:32" ht="17.149999999999999" x14ac:dyDescent="0.55000000000000004">
      <c r="B1928" t="str">
        <f t="shared" si="7060"/>
        <v>Portland</v>
      </c>
      <c r="C1928" t="s">
        <v>579</v>
      </c>
      <c r="D1928" cm="1">
        <f t="array" ref="D1928">IFERROR(IF(D1913="Chemical",(10^(INDEX(Antoines,MATCH(D1912,Antoine_Name,0),2)-INDEX(Antoines,MATCH(D1912,Antoine_Name,0),3)/(INDEX(Antoines,MATCH(D1912,Antoine_Name,0),4)+(D1921-32)*5/9)))*14.7/760,IF(D1913="Crude Oil",EXP((2799/(D1921+459.6)-2.227)*LOG10(INDEX(FX_Input,Q$5,D$3*$Z$5+$AA$5))-(7261/(D1921+459.6))+12.82),IF(D1913="Refined Petroleum Stock",EXP((0.7553-(413/(D1921+459.6)))*(INDEX(FX_Input,Q$5,D$3*$Z$5+$AA$5-1)^0.5)*LOG10(INDEX(FX_Input,Q$5,D$3*$Z$5+$AA$5))-(1.854-(1042/(D1921+459.6)))*(INDEX(FX_Input,Q$5,D$3*$Z$5+$AA$5-1)^0.5)+((2416/(D1921+459.6)-2.013)*LOG10(INDEX(FX_Input,Q$5,D$3*$Z$5+$AA$5)))-(8742/(D1921+459.6))+15.64),EXP(INDEX(Antoines,MATCH(D1912,Antoine_Name,0),2)-INDEX(Antoines,MATCH(D1912,Antoine_Name,0),3)/(D1921+459.6))))),0)</f>
        <v>4.8116637646820016E-3</v>
      </c>
      <c r="E1928" cm="1">
        <f t="array" ref="E1928">IFERROR(IF(E1913="Chemical",(10^(INDEX(Antoines,MATCH(E1912,Antoine_Name,0),2)-INDEX(Antoines,MATCH(E1912,Antoine_Name,0),3)/(INDEX(Antoines,MATCH(E1912,Antoine_Name,0),4)+(E1921-32)*5/9)))*14.7/760,IF(E1913="Crude Oil",EXP((2799/(E1921+459.6)-2.227)*LOG10(INDEX(FX_Input,R$5,E$3*$Z$5+$AA$5))-(7261/(E1921+459.6))+12.82),IF(E1913="Refined Petroleum Stock",EXP((0.7553-(413/(E1921+459.6)))*(INDEX(FX_Input,R$5,E$3*$Z$5+$AA$5-1)^0.5)*LOG10(INDEX(FX_Input,R$5,E$3*$Z$5+$AA$5))-(1.854-(1042/(E1921+459.6)))*(INDEX(FX_Input,R$5,E$3*$Z$5+$AA$5-1)^0.5)+((2416/(E1921+459.6)-2.013)*LOG10(INDEX(FX_Input,R$5,E$3*$Z$5+$AA$5)))-(8742/(E1921+459.6))+15.64),EXP(INDEX(Antoines,MATCH(E1912,Antoine_Name,0),2)-INDEX(Antoines,MATCH(E1912,Antoine_Name,0),3)/(E1921+459.6))))),0)</f>
        <v>5.0048006991488458E-3</v>
      </c>
      <c r="F1928" cm="1">
        <f t="array" ref="F1928">IFERROR(IF(F1913="Chemical",(10^(INDEX(Antoines,MATCH(F1912,Antoine_Name,0),2)-INDEX(Antoines,MATCH(F1912,Antoine_Name,0),3)/(INDEX(Antoines,MATCH(F1912,Antoine_Name,0),4)+(F1921-32)*5/9)))*14.7/760,IF(F1913="Crude Oil",EXP((2799/(F1921+459.6)-2.227)*LOG10(INDEX(FX_Input,S$5,F$3*$Z$5+$AA$5))-(7261/(F1921+459.6))+12.82),IF(F1913="Refined Petroleum Stock",EXP((0.7553-(413/(F1921+459.6)))*(INDEX(FX_Input,S$5,F$3*$Z$5+$AA$5-1)^0.5)*LOG10(INDEX(FX_Input,S$5,F$3*$Z$5+$AA$5))-(1.854-(1042/(F1921+459.6)))*(INDEX(FX_Input,S$5,F$3*$Z$5+$AA$5-1)^0.5)+((2416/(F1921+459.6)-2.013)*LOG10(INDEX(FX_Input,S$5,F$3*$Z$5+$AA$5)))-(8742/(F1921+459.6))+15.64),EXP(INDEX(Antoines,MATCH(F1912,Antoine_Name,0),2)-INDEX(Antoines,MATCH(F1912,Antoine_Name,0),3)/(F1921+459.6))))),0)</f>
        <v>5.3193030941574935E-3</v>
      </c>
      <c r="G1928" cm="1">
        <f t="array" ref="G1928">IFERROR(IF(G1913="Chemical",(10^(INDEX(Antoines,MATCH(G1912,Antoine_Name,0),2)-INDEX(Antoines,MATCH(G1912,Antoine_Name,0),3)/(INDEX(Antoines,MATCH(G1912,Antoine_Name,0),4)+(G1921-32)*5/9)))*14.7/760,IF(G1913="Crude Oil",EXP((2799/(G1921+459.6)-2.227)*LOG10(INDEX(FX_Input,T$5,G$3*$Z$5+$AA$5))-(7261/(G1921+459.6))+12.82),IF(G1913="Refined Petroleum Stock",EXP((0.7553-(413/(G1921+459.6)))*(INDEX(FX_Input,T$5,G$3*$Z$5+$AA$5-1)^0.5)*LOG10(INDEX(FX_Input,T$5,G$3*$Z$5+$AA$5))-(1.854-(1042/(G1921+459.6)))*(INDEX(FX_Input,T$5,G$3*$Z$5+$AA$5-1)^0.5)+((2416/(G1921+459.6)-2.013)*LOG10(INDEX(FX_Input,T$5,G$3*$Z$5+$AA$5)))-(8742/(G1921+459.6))+15.64),EXP(INDEX(Antoines,MATCH(G1912,Antoine_Name,0),2)-INDEX(Antoines,MATCH(G1912,Antoine_Name,0),3)/(G1921+459.6))))),0)</f>
        <v>5.8943503851042415E-3</v>
      </c>
      <c r="H1928" cm="1">
        <f t="array" ref="H1928">IFERROR(IF(H1913="Chemical",(10^(INDEX(Antoines,MATCH(H1912,Antoine_Name,0),2)-INDEX(Antoines,MATCH(H1912,Antoine_Name,0),3)/(INDEX(Antoines,MATCH(H1912,Antoine_Name,0),4)+(H1921-32)*5/9)))*14.7/760,IF(H1913="Crude Oil",EXP((2799/(H1921+459.6)-2.227)*LOG10(INDEX(FX_Input,U$5,H$3*$Z$5+$AA$5))-(7261/(H1921+459.6))+12.82),IF(H1913="Refined Petroleum Stock",EXP((0.7553-(413/(H1921+459.6)))*(INDEX(FX_Input,U$5,H$3*$Z$5+$AA$5-1)^0.5)*LOG10(INDEX(FX_Input,U$5,H$3*$Z$5+$AA$5))-(1.854-(1042/(H1921+459.6)))*(INDEX(FX_Input,U$5,H$3*$Z$5+$AA$5-1)^0.5)+((2416/(H1921+459.6)-2.013)*LOG10(INDEX(FX_Input,U$5,H$3*$Z$5+$AA$5)))-(8742/(H1921+459.6))+15.64),EXP(INDEX(Antoines,MATCH(H1912,Antoine_Name,0),2)-INDEX(Antoines,MATCH(H1912,Antoine_Name,0),3)/(H1921+459.6))))),0)</f>
        <v>6.9660236232598005E-3</v>
      </c>
      <c r="I1928" cm="1">
        <f t="array" ref="I1928">IFERROR(IF(I1913="Chemical",(10^(INDEX(Antoines,MATCH(I1912,Antoine_Name,0),2)-INDEX(Antoines,MATCH(I1912,Antoine_Name,0),3)/(INDEX(Antoines,MATCH(I1912,Antoine_Name,0),4)+(I1921-32)*5/9)))*14.7/760,IF(I1913="Crude Oil",EXP((2799/(I1921+459.6)-2.227)*LOG10(INDEX(FX_Input,V$5,I$3*$Z$5+$AA$5))-(7261/(I1921+459.6))+12.82),IF(I1913="Refined Petroleum Stock",EXP((0.7553-(413/(I1921+459.6)))*(INDEX(FX_Input,V$5,I$3*$Z$5+$AA$5-1)^0.5)*LOG10(INDEX(FX_Input,V$5,I$3*$Z$5+$AA$5))-(1.854-(1042/(I1921+459.6)))*(INDEX(FX_Input,V$5,I$3*$Z$5+$AA$5-1)^0.5)+((2416/(I1921+459.6)-2.013)*LOG10(INDEX(FX_Input,V$5,I$3*$Z$5+$AA$5)))-(8742/(I1921+459.6))+15.64),EXP(INDEX(Antoines,MATCH(I1912,Antoine_Name,0),2)-INDEX(Antoines,MATCH(I1912,Antoine_Name,0),3)/(I1921+459.6))))),0)</f>
        <v>7.9406391529506654E-3</v>
      </c>
      <c r="J1928" cm="1">
        <f t="array" ref="J1928">IFERROR(IF(J1913="Chemical",(10^(INDEX(Antoines,MATCH(J1912,Antoine_Name,0),2)-INDEX(Antoines,MATCH(J1912,Antoine_Name,0),3)/(INDEX(Antoines,MATCH(J1912,Antoine_Name,0),4)+(J1921-32)*5/9)))*14.7/760,IF(J1913="Crude Oil",EXP((2799/(J1921+459.6)-2.227)*LOG10(INDEX(FX_Input,W$5,J$3*$Z$5+$AA$5))-(7261/(J1921+459.6))+12.82),IF(J1913="Refined Petroleum Stock",EXP((0.7553-(413/(J1921+459.6)))*(INDEX(FX_Input,W$5,J$3*$Z$5+$AA$5-1)^0.5)*LOG10(INDEX(FX_Input,W$5,J$3*$Z$5+$AA$5))-(1.854-(1042/(J1921+459.6)))*(INDEX(FX_Input,W$5,J$3*$Z$5+$AA$5-1)^0.5)+((2416/(J1921+459.6)-2.013)*LOG10(INDEX(FX_Input,W$5,J$3*$Z$5+$AA$5)))-(8742/(J1921+459.6))+15.64),EXP(INDEX(Antoines,MATCH(J1912,Antoine_Name,0),2)-INDEX(Antoines,MATCH(J1912,Antoine_Name,0),3)/(J1921+459.6))))),0)</f>
        <v>8.9422860963673592E-3</v>
      </c>
      <c r="K1928" cm="1">
        <f t="array" ref="K1928">IFERROR(IF(K1913="Chemical",(10^(INDEX(Antoines,MATCH(K1912,Antoine_Name,0),2)-INDEX(Antoines,MATCH(K1912,Antoine_Name,0),3)/(INDEX(Antoines,MATCH(K1912,Antoine_Name,0),4)+(K1921-32)*5/9)))*14.7/760,IF(K1913="Crude Oil",EXP((2799/(K1921+459.6)-2.227)*LOG10(INDEX(FX_Input,X$5,K$3*$Z$5+$AA$5))-(7261/(K1921+459.6))+12.82),IF(K1913="Refined Petroleum Stock",EXP((0.7553-(413/(K1921+459.6)))*(INDEX(FX_Input,X$5,K$3*$Z$5+$AA$5-1)^0.5)*LOG10(INDEX(FX_Input,X$5,K$3*$Z$5+$AA$5))-(1.854-(1042/(K1921+459.6)))*(INDEX(FX_Input,X$5,K$3*$Z$5+$AA$5-1)^0.5)+((2416/(K1921+459.6)-2.013)*LOG10(INDEX(FX_Input,X$5,K$3*$Z$5+$AA$5)))-(8742/(K1921+459.6))+15.64),EXP(INDEX(Antoines,MATCH(K1912,Antoine_Name,0),2)-INDEX(Antoines,MATCH(K1912,Antoine_Name,0),3)/(K1921+459.6))))),0)</f>
        <v>8.9951550374627008E-3</v>
      </c>
      <c r="L1928" cm="1">
        <f t="array" ref="L1928">IFERROR(IF(L1913="Chemical",(10^(INDEX(Antoines,MATCH(L1912,Antoine_Name,0),2)-INDEX(Antoines,MATCH(L1912,Antoine_Name,0),3)/(INDEX(Antoines,MATCH(L1912,Antoine_Name,0),4)+(L1921-32)*5/9)))*14.7/760,IF(L1913="Crude Oil",EXP((2799/(L1921+459.6)-2.227)*LOG10(INDEX(FX_Input,Y$5,L$3*$Z$5+$AA$5))-(7261/(L1921+459.6))+12.82),IF(L1913="Refined Petroleum Stock",EXP((0.7553-(413/(L1921+459.6)))*(INDEX(FX_Input,Y$5,L$3*$Z$5+$AA$5-1)^0.5)*LOG10(INDEX(FX_Input,Y$5,L$3*$Z$5+$AA$5))-(1.854-(1042/(L1921+459.6)))*(INDEX(FX_Input,Y$5,L$3*$Z$5+$AA$5-1)^0.5)+((2416/(L1921+459.6)-2.013)*LOG10(INDEX(FX_Input,Y$5,L$3*$Z$5+$AA$5)))-(8742/(L1921+459.6))+15.64),EXP(INDEX(Antoines,MATCH(L1912,Antoine_Name,0),2)-INDEX(Antoines,MATCH(L1912,Antoine_Name,0),3)/(L1921+459.6))))),0)</f>
        <v>8.2385730689388259E-3</v>
      </c>
      <c r="M1928" cm="1">
        <f t="array" ref="M1928">IFERROR(IF(M1913="Chemical",(10^(INDEX(Antoines,MATCH(M1912,Antoine_Name,0),2)-INDEX(Antoines,MATCH(M1912,Antoine_Name,0),3)/(INDEX(Antoines,MATCH(M1912,Antoine_Name,0),4)+(M1921-32)*5/9)))*14.7/760,IF(M1913="Crude Oil",EXP((2799/(M1921+459.6)-2.227)*LOG10(INDEX(FX_Input,Z$5,M$3*$Z$5+$AA$5))-(7261/(M1921+459.6))+12.82),IF(M1913="Refined Petroleum Stock",EXP((0.7553-(413/(M1921+459.6)))*(INDEX(FX_Input,Z$5,M$3*$Z$5+$AA$5-1)^0.5)*LOG10(INDEX(FX_Input,Z$5,M$3*$Z$5+$AA$5))-(1.854-(1042/(M1921+459.6)))*(INDEX(FX_Input,Z$5,M$3*$Z$5+$AA$5-1)^0.5)+((2416/(M1921+459.6)-2.013)*LOG10(INDEX(FX_Input,Z$5,M$3*$Z$5+$AA$5)))-(8742/(M1921+459.6))+15.64),EXP(INDEX(Antoines,MATCH(M1912,Antoine_Name,0),2)-INDEX(Antoines,MATCH(M1912,Antoine_Name,0),3)/(M1921+459.6))))),0)</f>
        <v>6.618900442185772E-3</v>
      </c>
      <c r="N1928" cm="1">
        <f t="array" ref="N1928">IFERROR(IF(N1913="Chemical",(10^(INDEX(Antoines,MATCH(N1912,Antoine_Name,0),2)-INDEX(Antoines,MATCH(N1912,Antoine_Name,0),3)/(INDEX(Antoines,MATCH(N1912,Antoine_Name,0),4)+(N1921-32)*5/9)))*14.7/760,IF(N1913="Crude Oil",EXP((2799/(N1921+459.6)-2.227)*LOG10(INDEX(FX_Input,AA$5,N$3*$Z$5+$AA$5))-(7261/(N1921+459.6))+12.82),IF(N1913="Refined Petroleum Stock",EXP((0.7553-(413/(N1921+459.6)))*(INDEX(FX_Input,AA$5,N$3*$Z$5+$AA$5-1)^0.5)*LOG10(INDEX(FX_Input,AA$5,N$3*$Z$5+$AA$5))-(1.854-(1042/(N1921+459.6)))*(INDEX(FX_Input,AA$5,N$3*$Z$5+$AA$5-1)^0.5)+((2416/(N1921+459.6)-2.013)*LOG10(INDEX(FX_Input,AA$5,N$3*$Z$5+$AA$5)))-(8742/(N1921+459.6))+15.64),EXP(INDEX(Antoines,MATCH(N1912,Antoine_Name,0),2)-INDEX(Antoines,MATCH(N1912,Antoine_Name,0),3)/(N1921+459.6))))),0)</f>
        <v>5.3923587959108042E-3</v>
      </c>
      <c r="O1928" cm="1">
        <f t="array" ref="O1928">IFERROR(IF(O1913="Chemical",(10^(INDEX(Antoines,MATCH(O1912,Antoine_Name,0),2)-INDEX(Antoines,MATCH(O1912,Antoine_Name,0),3)/(INDEX(Antoines,MATCH(O1912,Antoine_Name,0),4)+(O1921-32)*5/9)))*14.7/760,IF(O1913="Crude Oil",EXP((2799/(O1921+459.6)-2.227)*LOG10(INDEX(FX_Input,AB$5,O$3*$Z$5+$AA$5))-(7261/(O1921+459.6))+12.82),IF(O1913="Refined Petroleum Stock",EXP((0.7553-(413/(O1921+459.6)))*(INDEX(FX_Input,AB$5,O$3*$Z$5+$AA$5-1)^0.5)*LOG10(INDEX(FX_Input,AB$5,O$3*$Z$5+$AA$5))-(1.854-(1042/(O1921+459.6)))*(INDEX(FX_Input,AB$5,O$3*$Z$5+$AA$5-1)^0.5)+((2416/(O1921+459.6)-2.013)*LOG10(INDEX(FX_Input,AB$5,O$3*$Z$5+$AA$5)))-(8742/(O1921+459.6))+15.64),EXP(INDEX(Antoines,MATCH(O1912,Antoine_Name,0),2)-INDEX(Antoines,MATCH(O1912,Antoine_Name,0),3)/(O1921+459.6))))),0)</f>
        <v>4.7525360186456101E-3</v>
      </c>
    </row>
    <row r="1929" spans="2:32" ht="17.149999999999999" x14ac:dyDescent="0.55000000000000004">
      <c r="B1929" t="str">
        <f t="shared" si="7060"/>
        <v>Portland</v>
      </c>
      <c r="C1929" t="s">
        <v>580</v>
      </c>
      <c r="D1929">
        <f>D1928*D1916</f>
        <v>4.8116637646820016E-3</v>
      </c>
      <c r="E1929">
        <f t="shared" ref="E1929:O1929" si="7064">E1928*E1916</f>
        <v>5.0048006991488458E-3</v>
      </c>
      <c r="F1929">
        <f t="shared" si="7064"/>
        <v>5.3193030941574935E-3</v>
      </c>
      <c r="G1929">
        <f t="shared" si="7064"/>
        <v>5.8943503851042415E-3</v>
      </c>
      <c r="H1929">
        <f t="shared" si="7064"/>
        <v>6.9660236232598005E-3</v>
      </c>
      <c r="I1929">
        <f t="shared" si="7064"/>
        <v>7.9406391529506654E-3</v>
      </c>
      <c r="J1929">
        <f t="shared" si="7064"/>
        <v>8.9422860963673592E-3</v>
      </c>
      <c r="K1929">
        <f t="shared" si="7064"/>
        <v>8.9951550374627008E-3</v>
      </c>
      <c r="L1929">
        <f t="shared" si="7064"/>
        <v>8.2385730689388259E-3</v>
      </c>
      <c r="M1929">
        <f t="shared" si="7064"/>
        <v>6.618900442185772E-3</v>
      </c>
      <c r="N1929">
        <f t="shared" si="7064"/>
        <v>5.3923587959108042E-3</v>
      </c>
      <c r="O1929">
        <f t="shared" si="7064"/>
        <v>4.7525360186456101E-3</v>
      </c>
    </row>
    <row r="1930" spans="2:32" ht="17.149999999999999" x14ac:dyDescent="0.55000000000000004">
      <c r="B1930" t="str">
        <f t="shared" si="7060"/>
        <v>Portland</v>
      </c>
      <c r="C1930" t="s">
        <v>581</v>
      </c>
      <c r="D1930" cm="1">
        <f t="array" ref="D1930">IFERROR(IF(D1915="Chemical",(10^(INDEX(Antoines,MATCH(D1914,Antoine_Name,0),2)-INDEX(Antoines,MATCH(D1914,Antoine_Name,0),3)/(INDEX(Antoines,MATCH(D1914,Antoine_Name,0),4)+(D1921-32)*5/9)))*14.7/760,IF(D1915="Crude Oil",EXP((2799/(D1921+459.6)-2.227)*LOG10(INDEX(FX_Input,Q$5,D$3*$Z$5+$AA$5))-(7261/(D1921+459.6))+12.82),IF(D1915="Refined Petroleum Stock",EXP((0.7553-(413/(D1921+459.6)))*(INDEX(FX_Input,Q$5,D$3*$Z$5+$AA$5-1)^0.5)*LOG10(INDEX(FX_Input,Q$5,D$3*$Z$5+$AA$5))-(1.854-(1042/(D1921+459.6)))*(INDEX(FX_Input,Q$5,D$3*$Z$5+$AA$5-1)^0.5)+((2416/(D1921+459.6)-2.013)*LOG10(INDEX(FX_Input,Q$5,D$3*$Z$5+$AA$5)))-(8742/(D1921+459.6))+15.64),EXP(INDEX(Antoines,MATCH(D1914,Antoine_Name,0),2)-INDEX(Antoines,MATCH(D1914,Antoine_Name,0),3)/(D1921+459.6))))),0)</f>
        <v>0</v>
      </c>
      <c r="E1930" cm="1">
        <f t="array" ref="E1930">IFERROR(IF(E1915="Chemical",(10^(INDEX(Antoines,MATCH(E1914,Antoine_Name,0),2)-INDEX(Antoines,MATCH(E1914,Antoine_Name,0),3)/(INDEX(Antoines,MATCH(E1914,Antoine_Name,0),4)+(E1921-32)*5/9)))*14.7/760,IF(E1915="Crude Oil",EXP((2799/(E1921+459.6)-2.227)*LOG10(INDEX(FX_Input,R$5,E$3*$Z$5+$AA$5))-(7261/(E1921+459.6))+12.82),IF(E1915="Refined Petroleum Stock",EXP((0.7553-(413/(E1921+459.6)))*(INDEX(FX_Input,R$5,E$3*$Z$5+$AA$5-1)^0.5)*LOG10(INDEX(FX_Input,R$5,E$3*$Z$5+$AA$5))-(1.854-(1042/(E1921+459.6)))*(INDEX(FX_Input,R$5,E$3*$Z$5+$AA$5-1)^0.5)+((2416/(E1921+459.6)-2.013)*LOG10(INDEX(FX_Input,R$5,E$3*$Z$5+$AA$5)))-(8742/(E1921+459.6))+15.64),EXP(INDEX(Antoines,MATCH(E1914,Antoine_Name,0),2)-INDEX(Antoines,MATCH(E1914,Antoine_Name,0),3)/(E1921+459.6))))),0)</f>
        <v>0</v>
      </c>
      <c r="F1930" cm="1">
        <f t="array" ref="F1930">IFERROR(IF(F1915="Chemical",(10^(INDEX(Antoines,MATCH(F1914,Antoine_Name,0),2)-INDEX(Antoines,MATCH(F1914,Antoine_Name,0),3)/(INDEX(Antoines,MATCH(F1914,Antoine_Name,0),4)+(F1921-32)*5/9)))*14.7/760,IF(F1915="Crude Oil",EXP((2799/(F1921+459.6)-2.227)*LOG10(INDEX(FX_Input,S$5,F$3*$Z$5+$AA$5))-(7261/(F1921+459.6))+12.82),IF(F1915="Refined Petroleum Stock",EXP((0.7553-(413/(F1921+459.6)))*(INDEX(FX_Input,S$5,F$3*$Z$5+$AA$5-1)^0.5)*LOG10(INDEX(FX_Input,S$5,F$3*$Z$5+$AA$5))-(1.854-(1042/(F1921+459.6)))*(INDEX(FX_Input,S$5,F$3*$Z$5+$AA$5-1)^0.5)+((2416/(F1921+459.6)-2.013)*LOG10(INDEX(FX_Input,S$5,F$3*$Z$5+$AA$5)))-(8742/(F1921+459.6))+15.64),EXP(INDEX(Antoines,MATCH(F1914,Antoine_Name,0),2)-INDEX(Antoines,MATCH(F1914,Antoine_Name,0),3)/(F1921+459.6))))),0)</f>
        <v>0</v>
      </c>
      <c r="G1930" cm="1">
        <f t="array" ref="G1930">IFERROR(IF(G1915="Chemical",(10^(INDEX(Antoines,MATCH(G1914,Antoine_Name,0),2)-INDEX(Antoines,MATCH(G1914,Antoine_Name,0),3)/(INDEX(Antoines,MATCH(G1914,Antoine_Name,0),4)+(G1921-32)*5/9)))*14.7/760,IF(G1915="Crude Oil",EXP((2799/(G1921+459.6)-2.227)*LOG10(INDEX(FX_Input,T$5,G$3*$Z$5+$AA$5))-(7261/(G1921+459.6))+12.82),IF(G1915="Refined Petroleum Stock",EXP((0.7553-(413/(G1921+459.6)))*(INDEX(FX_Input,T$5,G$3*$Z$5+$AA$5-1)^0.5)*LOG10(INDEX(FX_Input,T$5,G$3*$Z$5+$AA$5))-(1.854-(1042/(G1921+459.6)))*(INDEX(FX_Input,T$5,G$3*$Z$5+$AA$5-1)^0.5)+((2416/(G1921+459.6)-2.013)*LOG10(INDEX(FX_Input,T$5,G$3*$Z$5+$AA$5)))-(8742/(G1921+459.6))+15.64),EXP(INDEX(Antoines,MATCH(G1914,Antoine_Name,0),2)-INDEX(Antoines,MATCH(G1914,Antoine_Name,0),3)/(G1921+459.6))))),0)</f>
        <v>0</v>
      </c>
      <c r="H1930" cm="1">
        <f t="array" ref="H1930">IFERROR(IF(H1915="Chemical",(10^(INDEX(Antoines,MATCH(H1914,Antoine_Name,0),2)-INDEX(Antoines,MATCH(H1914,Antoine_Name,0),3)/(INDEX(Antoines,MATCH(H1914,Antoine_Name,0),4)+(H1921-32)*5/9)))*14.7/760,IF(H1915="Crude Oil",EXP((2799/(H1921+459.6)-2.227)*LOG10(INDEX(FX_Input,U$5,H$3*$Z$5+$AA$5))-(7261/(H1921+459.6))+12.82),IF(H1915="Refined Petroleum Stock",EXP((0.7553-(413/(H1921+459.6)))*(INDEX(FX_Input,U$5,H$3*$Z$5+$AA$5-1)^0.5)*LOG10(INDEX(FX_Input,U$5,H$3*$Z$5+$AA$5))-(1.854-(1042/(H1921+459.6)))*(INDEX(FX_Input,U$5,H$3*$Z$5+$AA$5-1)^0.5)+((2416/(H1921+459.6)-2.013)*LOG10(INDEX(FX_Input,U$5,H$3*$Z$5+$AA$5)))-(8742/(H1921+459.6))+15.64),EXP(INDEX(Antoines,MATCH(H1914,Antoine_Name,0),2)-INDEX(Antoines,MATCH(H1914,Antoine_Name,0),3)/(H1921+459.6))))),0)</f>
        <v>0</v>
      </c>
      <c r="I1930" cm="1">
        <f t="array" ref="I1930">IFERROR(IF(I1915="Chemical",(10^(INDEX(Antoines,MATCH(I1914,Antoine_Name,0),2)-INDEX(Antoines,MATCH(I1914,Antoine_Name,0),3)/(INDEX(Antoines,MATCH(I1914,Antoine_Name,0),4)+(I1921-32)*5/9)))*14.7/760,IF(I1915="Crude Oil",EXP((2799/(I1921+459.6)-2.227)*LOG10(INDEX(FX_Input,V$5,I$3*$Z$5+$AA$5))-(7261/(I1921+459.6))+12.82),IF(I1915="Refined Petroleum Stock",EXP((0.7553-(413/(I1921+459.6)))*(INDEX(FX_Input,V$5,I$3*$Z$5+$AA$5-1)^0.5)*LOG10(INDEX(FX_Input,V$5,I$3*$Z$5+$AA$5))-(1.854-(1042/(I1921+459.6)))*(INDEX(FX_Input,V$5,I$3*$Z$5+$AA$5-1)^0.5)+((2416/(I1921+459.6)-2.013)*LOG10(INDEX(FX_Input,V$5,I$3*$Z$5+$AA$5)))-(8742/(I1921+459.6))+15.64),EXP(INDEX(Antoines,MATCH(I1914,Antoine_Name,0),2)-INDEX(Antoines,MATCH(I1914,Antoine_Name,0),3)/(I1921+459.6))))),0)</f>
        <v>0</v>
      </c>
      <c r="J1930" cm="1">
        <f t="array" ref="J1930">IFERROR(IF(J1915="Chemical",(10^(INDEX(Antoines,MATCH(J1914,Antoine_Name,0),2)-INDEX(Antoines,MATCH(J1914,Antoine_Name,0),3)/(INDEX(Antoines,MATCH(J1914,Antoine_Name,0),4)+(J1921-32)*5/9)))*14.7/760,IF(J1915="Crude Oil",EXP((2799/(J1921+459.6)-2.227)*LOG10(INDEX(FX_Input,W$5,J$3*$Z$5+$AA$5))-(7261/(J1921+459.6))+12.82),IF(J1915="Refined Petroleum Stock",EXP((0.7553-(413/(J1921+459.6)))*(INDEX(FX_Input,W$5,J$3*$Z$5+$AA$5-1)^0.5)*LOG10(INDEX(FX_Input,W$5,J$3*$Z$5+$AA$5))-(1.854-(1042/(J1921+459.6)))*(INDEX(FX_Input,W$5,J$3*$Z$5+$AA$5-1)^0.5)+((2416/(J1921+459.6)-2.013)*LOG10(INDEX(FX_Input,W$5,J$3*$Z$5+$AA$5)))-(8742/(J1921+459.6))+15.64),EXP(INDEX(Antoines,MATCH(J1914,Antoine_Name,0),2)-INDEX(Antoines,MATCH(J1914,Antoine_Name,0),3)/(J1921+459.6))))),0)</f>
        <v>0</v>
      </c>
      <c r="K1930" cm="1">
        <f t="array" ref="K1930">IFERROR(IF(K1915="Chemical",(10^(INDEX(Antoines,MATCH(K1914,Antoine_Name,0),2)-INDEX(Antoines,MATCH(K1914,Antoine_Name,0),3)/(INDEX(Antoines,MATCH(K1914,Antoine_Name,0),4)+(K1921-32)*5/9)))*14.7/760,IF(K1915="Crude Oil",EXP((2799/(K1921+459.6)-2.227)*LOG10(INDEX(FX_Input,X$5,K$3*$Z$5+$AA$5))-(7261/(K1921+459.6))+12.82),IF(K1915="Refined Petroleum Stock",EXP((0.7553-(413/(K1921+459.6)))*(INDEX(FX_Input,X$5,K$3*$Z$5+$AA$5-1)^0.5)*LOG10(INDEX(FX_Input,X$5,K$3*$Z$5+$AA$5))-(1.854-(1042/(K1921+459.6)))*(INDEX(FX_Input,X$5,K$3*$Z$5+$AA$5-1)^0.5)+((2416/(K1921+459.6)-2.013)*LOG10(INDEX(FX_Input,X$5,K$3*$Z$5+$AA$5)))-(8742/(K1921+459.6))+15.64),EXP(INDEX(Antoines,MATCH(K1914,Antoine_Name,0),2)-INDEX(Antoines,MATCH(K1914,Antoine_Name,0),3)/(K1921+459.6))))),0)</f>
        <v>0</v>
      </c>
      <c r="L1930" cm="1">
        <f t="array" ref="L1930">IFERROR(IF(L1915="Chemical",(10^(INDEX(Antoines,MATCH(L1914,Antoine_Name,0),2)-INDEX(Antoines,MATCH(L1914,Antoine_Name,0),3)/(INDEX(Antoines,MATCH(L1914,Antoine_Name,0),4)+(L1921-32)*5/9)))*14.7/760,IF(L1915="Crude Oil",EXP((2799/(L1921+459.6)-2.227)*LOG10(INDEX(FX_Input,Y$5,L$3*$Z$5+$AA$5))-(7261/(L1921+459.6))+12.82),IF(L1915="Refined Petroleum Stock",EXP((0.7553-(413/(L1921+459.6)))*(INDEX(FX_Input,Y$5,L$3*$Z$5+$AA$5-1)^0.5)*LOG10(INDEX(FX_Input,Y$5,L$3*$Z$5+$AA$5))-(1.854-(1042/(L1921+459.6)))*(INDEX(FX_Input,Y$5,L$3*$Z$5+$AA$5-1)^0.5)+((2416/(L1921+459.6)-2.013)*LOG10(INDEX(FX_Input,Y$5,L$3*$Z$5+$AA$5)))-(8742/(L1921+459.6))+15.64),EXP(INDEX(Antoines,MATCH(L1914,Antoine_Name,0),2)-INDEX(Antoines,MATCH(L1914,Antoine_Name,0),3)/(L1921+459.6))))),0)</f>
        <v>0</v>
      </c>
      <c r="M1930" cm="1">
        <f t="array" ref="M1930">IFERROR(IF(M1915="Chemical",(10^(INDEX(Antoines,MATCH(M1914,Antoine_Name,0),2)-INDEX(Antoines,MATCH(M1914,Antoine_Name,0),3)/(INDEX(Antoines,MATCH(M1914,Antoine_Name,0),4)+(M1921-32)*5/9)))*14.7/760,IF(M1915="Crude Oil",EXP((2799/(M1921+459.6)-2.227)*LOG10(INDEX(FX_Input,Z$5,M$3*$Z$5+$AA$5))-(7261/(M1921+459.6))+12.82),IF(M1915="Refined Petroleum Stock",EXP((0.7553-(413/(M1921+459.6)))*(INDEX(FX_Input,Z$5,M$3*$Z$5+$AA$5-1)^0.5)*LOG10(INDEX(FX_Input,Z$5,M$3*$Z$5+$AA$5))-(1.854-(1042/(M1921+459.6)))*(INDEX(FX_Input,Z$5,M$3*$Z$5+$AA$5-1)^0.5)+((2416/(M1921+459.6)-2.013)*LOG10(INDEX(FX_Input,Z$5,M$3*$Z$5+$AA$5)))-(8742/(M1921+459.6))+15.64),EXP(INDEX(Antoines,MATCH(M1914,Antoine_Name,0),2)-INDEX(Antoines,MATCH(M1914,Antoine_Name,0),3)/(M1921+459.6))))),0)</f>
        <v>0</v>
      </c>
      <c r="N1930" cm="1">
        <f t="array" ref="N1930">IFERROR(IF(N1915="Chemical",(10^(INDEX(Antoines,MATCH(N1914,Antoine_Name,0),2)-INDEX(Antoines,MATCH(N1914,Antoine_Name,0),3)/(INDEX(Antoines,MATCH(N1914,Antoine_Name,0),4)+(N1921-32)*5/9)))*14.7/760,IF(N1915="Crude Oil",EXP((2799/(N1921+459.6)-2.227)*LOG10(INDEX(FX_Input,AA$5,N$3*$Z$5+$AA$5))-(7261/(N1921+459.6))+12.82),IF(N1915="Refined Petroleum Stock",EXP((0.7553-(413/(N1921+459.6)))*(INDEX(FX_Input,AA$5,N$3*$Z$5+$AA$5-1)^0.5)*LOG10(INDEX(FX_Input,AA$5,N$3*$Z$5+$AA$5))-(1.854-(1042/(N1921+459.6)))*(INDEX(FX_Input,AA$5,N$3*$Z$5+$AA$5-1)^0.5)+((2416/(N1921+459.6)-2.013)*LOG10(INDEX(FX_Input,AA$5,N$3*$Z$5+$AA$5)))-(8742/(N1921+459.6))+15.64),EXP(INDEX(Antoines,MATCH(N1914,Antoine_Name,0),2)-INDEX(Antoines,MATCH(N1914,Antoine_Name,0),3)/(N1921+459.6))))),0)</f>
        <v>0</v>
      </c>
      <c r="O1930" cm="1">
        <f t="array" ref="O1930">IFERROR(IF(O1915="Chemical",(10^(INDEX(Antoines,MATCH(O1914,Antoine_Name,0),2)-INDEX(Antoines,MATCH(O1914,Antoine_Name,0),3)/(INDEX(Antoines,MATCH(O1914,Antoine_Name,0),4)+(O1921-32)*5/9)))*14.7/760,IF(O1915="Crude Oil",EXP((2799/(O1921+459.6)-2.227)*LOG10(INDEX(FX_Input,AB$5,O$3*$Z$5+$AA$5))-(7261/(O1921+459.6))+12.82),IF(O1915="Refined Petroleum Stock",EXP((0.7553-(413/(O1921+459.6)))*(INDEX(FX_Input,AB$5,O$3*$Z$5+$AA$5-1)^0.5)*LOG10(INDEX(FX_Input,AB$5,O$3*$Z$5+$AA$5))-(1.854-(1042/(O1921+459.6)))*(INDEX(FX_Input,AB$5,O$3*$Z$5+$AA$5-1)^0.5)+((2416/(O1921+459.6)-2.013)*LOG10(INDEX(FX_Input,AB$5,O$3*$Z$5+$AA$5)))-(8742/(O1921+459.6))+15.64),EXP(INDEX(Antoines,MATCH(O1914,Antoine_Name,0),2)-INDEX(Antoines,MATCH(O1914,Antoine_Name,0),3)/(O1921+459.6))))),0)</f>
        <v>0</v>
      </c>
    </row>
    <row r="1931" spans="2:32" ht="17.149999999999999" x14ac:dyDescent="0.55000000000000004">
      <c r="B1931" t="str">
        <f t="shared" si="7060"/>
        <v>Portland</v>
      </c>
      <c r="C1931" t="s">
        <v>582</v>
      </c>
      <c r="D1931">
        <f>D1930*D1918</f>
        <v>0</v>
      </c>
      <c r="E1931">
        <f t="shared" ref="E1931:O1931" si="7065">E1930*E1918</f>
        <v>0</v>
      </c>
      <c r="F1931">
        <f t="shared" si="7065"/>
        <v>0</v>
      </c>
      <c r="G1931">
        <f t="shared" si="7065"/>
        <v>0</v>
      </c>
      <c r="H1931">
        <f t="shared" si="7065"/>
        <v>0</v>
      </c>
      <c r="I1931">
        <f t="shared" si="7065"/>
        <v>0</v>
      </c>
      <c r="J1931">
        <f t="shared" si="7065"/>
        <v>0</v>
      </c>
      <c r="K1931">
        <f t="shared" si="7065"/>
        <v>0</v>
      </c>
      <c r="L1931">
        <f t="shared" si="7065"/>
        <v>0</v>
      </c>
      <c r="M1931">
        <f t="shared" si="7065"/>
        <v>0</v>
      </c>
      <c r="N1931">
        <f t="shared" si="7065"/>
        <v>0</v>
      </c>
      <c r="O1931">
        <f t="shared" si="7065"/>
        <v>0</v>
      </c>
    </row>
    <row r="1932" spans="2:32" ht="17.149999999999999" x14ac:dyDescent="0.55000000000000004">
      <c r="B1932" t="str">
        <f t="shared" si="7060"/>
        <v>Portland</v>
      </c>
      <c r="C1932" t="s">
        <v>583</v>
      </c>
      <c r="D1932">
        <f>D1929+D1931</f>
        <v>4.8116637646820016E-3</v>
      </c>
      <c r="E1932">
        <f t="shared" ref="E1932:O1932" si="7066">E1929+E1931</f>
        <v>5.0048006991488458E-3</v>
      </c>
      <c r="F1932">
        <f t="shared" si="7066"/>
        <v>5.3193030941574935E-3</v>
      </c>
      <c r="G1932">
        <f t="shared" si="7066"/>
        <v>5.8943503851042415E-3</v>
      </c>
      <c r="H1932">
        <f t="shared" si="7066"/>
        <v>6.9660236232598005E-3</v>
      </c>
      <c r="I1932">
        <f t="shared" si="7066"/>
        <v>7.9406391529506654E-3</v>
      </c>
      <c r="J1932">
        <f t="shared" si="7066"/>
        <v>8.9422860963673592E-3</v>
      </c>
      <c r="K1932">
        <f t="shared" si="7066"/>
        <v>8.9951550374627008E-3</v>
      </c>
      <c r="L1932">
        <f t="shared" si="7066"/>
        <v>8.2385730689388259E-3</v>
      </c>
      <c r="M1932">
        <f t="shared" si="7066"/>
        <v>6.618900442185772E-3</v>
      </c>
      <c r="N1932">
        <f t="shared" si="7066"/>
        <v>5.3923587959108042E-3</v>
      </c>
      <c r="O1932">
        <f t="shared" si="7066"/>
        <v>4.7525360186456101E-3</v>
      </c>
    </row>
    <row r="1933" spans="2:32" ht="17.149999999999999" x14ac:dyDescent="0.55000000000000004">
      <c r="B1933" t="str">
        <f t="shared" si="7060"/>
        <v>Portland</v>
      </c>
      <c r="C1933" t="s">
        <v>1388</v>
      </c>
      <c r="D1933" cm="1">
        <f t="array" ref="D1933">IFERROR(IF(D1913="Chemical",(10^(INDEX(Antoines,MATCH(D1912,Antoine_Name,0),2)-INDEX(Antoines,MATCH(D1912,Antoine_Name,0),3)/(INDEX(Antoines,MATCH(D1912,Antoine_Name,0),4)+(D1922-32)*5/9)))*14.7/760,IF(D1913="Crude Oil",EXP((2799/(D1922+459.6)-2.227)*LOG10(INDEX(FX_Input,Q$5,D$3*$Z$5+$AA$5))-(7261/(D1922+459.6))+12.82),IF(D1913="Refined Petroleum Stock",EXP((0.7553-(413/(D1922+459.6)))*(INDEX(FX_Input,Q$5,D$3*$Z$5+$AA$5-1)^0.5)*LOG10(INDEX(FX_Input,Q$5,D$3*$Z$5+$AA$5))-(1.854-(1042/(D1922+459.6)))*(INDEX(FX_Input,Q$5,D$3*$Z$5+$AA$5-1)^0.5)+((2416/(D1922+459.6)-2.013)*LOG10(INDEX(FX_Input,Q$5,D$3*$Z$5+$AA$5)))-(8742/(D1922+459.6))+15.64),EXP(INDEX(Antoines,MATCH(D1912,Antoine_Name,0),2)-INDEX(Antoines,MATCH(D1912,Antoine_Name,0),3)/(D1922+459.6))))),0)</f>
        <v>4.8847213797703236E-3</v>
      </c>
      <c r="E1933" cm="1">
        <f t="array" ref="E1933">IFERROR(IF(E1913="Chemical",(10^(INDEX(Antoines,MATCH(E1912,Antoine_Name,0),2)-INDEX(Antoines,MATCH(E1912,Antoine_Name,0),3)/(INDEX(Antoines,MATCH(E1912,Antoine_Name,0),4)+(E1922-32)*5/9)))*14.7/760,IF(E1913="Crude Oil",EXP((2799/(E1922+459.6)-2.227)*LOG10(INDEX(FX_Input,R$5,E$3*$Z$5+$AA$5))-(7261/(E1922+459.6))+12.82),IF(E1913="Refined Petroleum Stock",EXP((0.7553-(413/(E1922+459.6)))*(INDEX(FX_Input,R$5,E$3*$Z$5+$AA$5-1)^0.5)*LOG10(INDEX(FX_Input,R$5,E$3*$Z$5+$AA$5))-(1.854-(1042/(E1922+459.6)))*(INDEX(FX_Input,R$5,E$3*$Z$5+$AA$5-1)^0.5)+((2416/(E1922+459.6)-2.013)*LOG10(INDEX(FX_Input,R$5,E$3*$Z$5+$AA$5)))-(8742/(E1922+459.6))+15.64),EXP(INDEX(Antoines,MATCH(E1912,Antoine_Name,0),2)-INDEX(Antoines,MATCH(E1912,Antoine_Name,0),3)/(E1922+459.6))))),0)</f>
        <v>5.1377970454196883E-3</v>
      </c>
      <c r="F1933" cm="1">
        <f t="array" ref="F1933">IFERROR(IF(F1913="Chemical",(10^(INDEX(Antoines,MATCH(F1912,Antoine_Name,0),2)-INDEX(Antoines,MATCH(F1912,Antoine_Name,0),3)/(INDEX(Antoines,MATCH(F1912,Antoine_Name,0),4)+(F1922-32)*5/9)))*14.7/760,IF(F1913="Crude Oil",EXP((2799/(F1922+459.6)-2.227)*LOG10(INDEX(FX_Input,S$5,F$3*$Z$5+$AA$5))-(7261/(F1922+459.6))+12.82),IF(F1913="Refined Petroleum Stock",EXP((0.7553-(413/(F1922+459.6)))*(INDEX(FX_Input,S$5,F$3*$Z$5+$AA$5-1)^0.5)*LOG10(INDEX(FX_Input,S$5,F$3*$Z$5+$AA$5))-(1.854-(1042/(F1922+459.6)))*(INDEX(FX_Input,S$5,F$3*$Z$5+$AA$5-1)^0.5)+((2416/(F1922+459.6)-2.013)*LOG10(INDEX(FX_Input,S$5,F$3*$Z$5+$AA$5)))-(8742/(F1922+459.6))+15.64),EXP(INDEX(Antoines,MATCH(F1912,Antoine_Name,0),2)-INDEX(Antoines,MATCH(F1912,Antoine_Name,0),3)/(F1922+459.6))))),0)</f>
        <v>5.5255769197630547E-3</v>
      </c>
      <c r="G1933" cm="1">
        <f t="array" ref="G1933">IFERROR(IF(G1913="Chemical",(10^(INDEX(Antoines,MATCH(G1912,Antoine_Name,0),2)-INDEX(Antoines,MATCH(G1912,Antoine_Name,0),3)/(INDEX(Antoines,MATCH(G1912,Antoine_Name,0),4)+(G1922-32)*5/9)))*14.7/760,IF(G1913="Crude Oil",EXP((2799/(G1922+459.6)-2.227)*LOG10(INDEX(FX_Input,T$5,G$3*$Z$5+$AA$5))-(7261/(G1922+459.6))+12.82),IF(G1913="Refined Petroleum Stock",EXP((0.7553-(413/(G1922+459.6)))*(INDEX(FX_Input,T$5,G$3*$Z$5+$AA$5-1)^0.5)*LOG10(INDEX(FX_Input,T$5,G$3*$Z$5+$AA$5))-(1.854-(1042/(G1922+459.6)))*(INDEX(FX_Input,T$5,G$3*$Z$5+$AA$5-1)^0.5)+((2416/(G1922+459.6)-2.013)*LOG10(INDEX(FX_Input,T$5,G$3*$Z$5+$AA$5)))-(8742/(G1922+459.6))+15.64),EXP(INDEX(Antoines,MATCH(G1912,Antoine_Name,0),2)-INDEX(Antoines,MATCH(G1912,Antoine_Name,0),3)/(G1922+459.6))))),0)</f>
        <v>6.219119610903932E-3</v>
      </c>
      <c r="H1933" cm="1">
        <f t="array" ref="H1933">IFERROR(IF(H1913="Chemical",(10^(INDEX(Antoines,MATCH(H1912,Antoine_Name,0),2)-INDEX(Antoines,MATCH(H1912,Antoine_Name,0),3)/(INDEX(Antoines,MATCH(H1912,Antoine_Name,0),4)+(H1922-32)*5/9)))*14.7/760,IF(H1913="Crude Oil",EXP((2799/(H1922+459.6)-2.227)*LOG10(INDEX(FX_Input,U$5,H$3*$Z$5+$AA$5))-(7261/(H1922+459.6))+12.82),IF(H1913="Refined Petroleum Stock",EXP((0.7553-(413/(H1922+459.6)))*(INDEX(FX_Input,U$5,H$3*$Z$5+$AA$5-1)^0.5)*LOG10(INDEX(FX_Input,U$5,H$3*$Z$5+$AA$5))-(1.854-(1042/(H1922+459.6)))*(INDEX(FX_Input,U$5,H$3*$Z$5+$AA$5-1)^0.5)+((2416/(H1922+459.6)-2.013)*LOG10(INDEX(FX_Input,U$5,H$3*$Z$5+$AA$5)))-(8742/(H1922+459.6))+15.64),EXP(INDEX(Antoines,MATCH(H1912,Antoine_Name,0),2)-INDEX(Antoines,MATCH(H1912,Antoine_Name,0),3)/(H1922+459.6))))),0)</f>
        <v>7.430518180814979E-3</v>
      </c>
      <c r="I1933" cm="1">
        <f t="array" ref="I1933">IFERROR(IF(I1913="Chemical",(10^(INDEX(Antoines,MATCH(I1912,Antoine_Name,0),2)-INDEX(Antoines,MATCH(I1912,Antoine_Name,0),3)/(INDEX(Antoines,MATCH(I1912,Antoine_Name,0),4)+(I1922-32)*5/9)))*14.7/760,IF(I1913="Crude Oil",EXP((2799/(I1922+459.6)-2.227)*LOG10(INDEX(FX_Input,V$5,I$3*$Z$5+$AA$5))-(7261/(I1922+459.6))+12.82),IF(I1913="Refined Petroleum Stock",EXP((0.7553-(413/(I1922+459.6)))*(INDEX(FX_Input,V$5,I$3*$Z$5+$AA$5-1)^0.5)*LOG10(INDEX(FX_Input,V$5,I$3*$Z$5+$AA$5))-(1.854-(1042/(I1922+459.6)))*(INDEX(FX_Input,V$5,I$3*$Z$5+$AA$5-1)^0.5)+((2416/(I1922+459.6)-2.013)*LOG10(INDEX(FX_Input,V$5,I$3*$Z$5+$AA$5)))-(8742/(I1922+459.6))+15.64),EXP(INDEX(Antoines,MATCH(I1912,Antoine_Name,0),2)-INDEX(Antoines,MATCH(I1912,Antoine_Name,0),3)/(I1922+459.6))))),0)</f>
        <v>8.4933610792594406E-3</v>
      </c>
      <c r="J1933" cm="1">
        <f t="array" ref="J1933">IFERROR(IF(J1913="Chemical",(10^(INDEX(Antoines,MATCH(J1912,Antoine_Name,0),2)-INDEX(Antoines,MATCH(J1912,Antoine_Name,0),3)/(INDEX(Antoines,MATCH(J1912,Antoine_Name,0),4)+(J1922-32)*5/9)))*14.7/760,IF(J1913="Crude Oil",EXP((2799/(J1922+459.6)-2.227)*LOG10(INDEX(FX_Input,W$5,J$3*$Z$5+$AA$5))-(7261/(J1922+459.6))+12.82),IF(J1913="Refined Petroleum Stock",EXP((0.7553-(413/(J1922+459.6)))*(INDEX(FX_Input,W$5,J$3*$Z$5+$AA$5-1)^0.5)*LOG10(INDEX(FX_Input,W$5,J$3*$Z$5+$AA$5))-(1.854-(1042/(J1922+459.6)))*(INDEX(FX_Input,W$5,J$3*$Z$5+$AA$5-1)^0.5)+((2416/(J1922+459.6)-2.013)*LOG10(INDEX(FX_Input,W$5,J$3*$Z$5+$AA$5)))-(8742/(J1922+459.6))+15.64),EXP(INDEX(Antoines,MATCH(J1912,Antoine_Name,0),2)-INDEX(Antoines,MATCH(J1912,Antoine_Name,0),3)/(J1922+459.6))))),0)</f>
        <v>9.5874007696552591E-3</v>
      </c>
      <c r="K1933" cm="1">
        <f t="array" ref="K1933">IFERROR(IF(K1913="Chemical",(10^(INDEX(Antoines,MATCH(K1912,Antoine_Name,0),2)-INDEX(Antoines,MATCH(K1912,Antoine_Name,0),3)/(INDEX(Antoines,MATCH(K1912,Antoine_Name,0),4)+(K1922-32)*5/9)))*14.7/760,IF(K1913="Crude Oil",EXP((2799/(K1922+459.6)-2.227)*LOG10(INDEX(FX_Input,X$5,K$3*$Z$5+$AA$5))-(7261/(K1922+459.6))+12.82),IF(K1913="Refined Petroleum Stock",EXP((0.7553-(413/(K1922+459.6)))*(INDEX(FX_Input,X$5,K$3*$Z$5+$AA$5-1)^0.5)*LOG10(INDEX(FX_Input,X$5,K$3*$Z$5+$AA$5))-(1.854-(1042/(K1922+459.6)))*(INDEX(FX_Input,X$5,K$3*$Z$5+$AA$5-1)^0.5)+((2416/(K1922+459.6)-2.013)*LOG10(INDEX(FX_Input,X$5,K$3*$Z$5+$AA$5)))-(8742/(K1922+459.6))+15.64),EXP(INDEX(Antoines,MATCH(K1912,Antoine_Name,0),2)-INDEX(Antoines,MATCH(K1912,Antoine_Name,0),3)/(K1922+459.6))))),0)</f>
        <v>9.5593988737869996E-3</v>
      </c>
      <c r="L1933" cm="1">
        <f t="array" ref="L1933">IFERROR(IF(L1913="Chemical",(10^(INDEX(Antoines,MATCH(L1912,Antoine_Name,0),2)-INDEX(Antoines,MATCH(L1912,Antoine_Name,0),3)/(INDEX(Antoines,MATCH(L1912,Antoine_Name,0),4)+(L1922-32)*5/9)))*14.7/760,IF(L1913="Crude Oil",EXP((2799/(L1922+459.6)-2.227)*LOG10(INDEX(FX_Input,Y$5,L$3*$Z$5+$AA$5))-(7261/(L1922+459.6))+12.82),IF(L1913="Refined Petroleum Stock",EXP((0.7553-(413/(L1922+459.6)))*(INDEX(FX_Input,Y$5,L$3*$Z$5+$AA$5-1)^0.5)*LOG10(INDEX(FX_Input,Y$5,L$3*$Z$5+$AA$5))-(1.854-(1042/(L1922+459.6)))*(INDEX(FX_Input,Y$5,L$3*$Z$5+$AA$5-1)^0.5)+((2416/(L1922+459.6)-2.013)*LOG10(INDEX(FX_Input,Y$5,L$3*$Z$5+$AA$5)))-(8742/(L1922+459.6))+15.64),EXP(INDEX(Antoines,MATCH(L1912,Antoine_Name,0),2)-INDEX(Antoines,MATCH(L1912,Antoine_Name,0),3)/(L1922+459.6))))),0)</f>
        <v>8.6549593565446326E-3</v>
      </c>
      <c r="M1933" cm="1">
        <f t="array" ref="M1933">IFERROR(IF(M1913="Chemical",(10^(INDEX(Antoines,MATCH(M1912,Antoine_Name,0),2)-INDEX(Antoines,MATCH(M1912,Antoine_Name,0),3)/(INDEX(Antoines,MATCH(M1912,Antoine_Name,0),4)+(M1922-32)*5/9)))*14.7/760,IF(M1913="Crude Oil",EXP((2799/(M1922+459.6)-2.227)*LOG10(INDEX(FX_Input,Z$5,M$3*$Z$5+$AA$5))-(7261/(M1922+459.6))+12.82),IF(M1913="Refined Petroleum Stock",EXP((0.7553-(413/(M1922+459.6)))*(INDEX(FX_Input,Z$5,M$3*$Z$5+$AA$5-1)^0.5)*LOG10(INDEX(FX_Input,Z$5,M$3*$Z$5+$AA$5))-(1.854-(1042/(M1922+459.6)))*(INDEX(FX_Input,Z$5,M$3*$Z$5+$AA$5-1)^0.5)+((2416/(M1922+459.6)-2.013)*LOG10(INDEX(FX_Input,Z$5,M$3*$Z$5+$AA$5)))-(8742/(M1922+459.6))+15.64),EXP(INDEX(Antoines,MATCH(M1912,Antoine_Name,0),2)-INDEX(Antoines,MATCH(M1912,Antoine_Name,0),3)/(M1922+459.6))))),0)</f>
        <v>6.8260376495002202E-3</v>
      </c>
      <c r="N1933" cm="1">
        <f t="array" ref="N1933">IFERROR(IF(N1913="Chemical",(10^(INDEX(Antoines,MATCH(N1912,Antoine_Name,0),2)-INDEX(Antoines,MATCH(N1912,Antoine_Name,0),3)/(INDEX(Antoines,MATCH(N1912,Antoine_Name,0),4)+(N1922-32)*5/9)))*14.7/760,IF(N1913="Crude Oil",EXP((2799/(N1922+459.6)-2.227)*LOG10(INDEX(FX_Input,AA$5,N$3*$Z$5+$AA$5))-(7261/(N1922+459.6))+12.82),IF(N1913="Refined Petroleum Stock",EXP((0.7553-(413/(N1922+459.6)))*(INDEX(FX_Input,AA$5,N$3*$Z$5+$AA$5-1)^0.5)*LOG10(INDEX(FX_Input,AA$5,N$3*$Z$5+$AA$5))-(1.854-(1042/(N1922+459.6)))*(INDEX(FX_Input,AA$5,N$3*$Z$5+$AA$5-1)^0.5)+((2416/(N1922+459.6)-2.013)*LOG10(INDEX(FX_Input,AA$5,N$3*$Z$5+$AA$5)))-(8742/(N1922+459.6))+15.64),EXP(INDEX(Antoines,MATCH(N1912,Antoine_Name,0),2)-INDEX(Antoines,MATCH(N1912,Antoine_Name,0),3)/(N1922+459.6))))),0)</f>
        <v>5.4845718776011703E-3</v>
      </c>
      <c r="O1933" cm="1">
        <f t="array" ref="O1933">IFERROR(IF(O1913="Chemical",(10^(INDEX(Antoines,MATCH(O1912,Antoine_Name,0),2)-INDEX(Antoines,MATCH(O1912,Antoine_Name,0),3)/(INDEX(Antoines,MATCH(O1912,Antoine_Name,0),4)+(O1922-32)*5/9)))*14.7/760,IF(O1913="Crude Oil",EXP((2799/(O1922+459.6)-2.227)*LOG10(INDEX(FX_Input,AB$5,O$3*$Z$5+$AA$5))-(7261/(O1922+459.6))+12.82),IF(O1913="Refined Petroleum Stock",EXP((0.7553-(413/(O1922+459.6)))*(INDEX(FX_Input,AB$5,O$3*$Z$5+$AA$5-1)^0.5)*LOG10(INDEX(FX_Input,AB$5,O$3*$Z$5+$AA$5))-(1.854-(1042/(O1922+459.6)))*(INDEX(FX_Input,AB$5,O$3*$Z$5+$AA$5-1)^0.5)+((2416/(O1922+459.6)-2.013)*LOG10(INDEX(FX_Input,AB$5,O$3*$Z$5+$AA$5)))-(8742/(O1922+459.6))+15.64),EXP(INDEX(Antoines,MATCH(O1912,Antoine_Name,0),2)-INDEX(Antoines,MATCH(O1912,Antoine_Name,0),3)/(O1922+459.6))))),0)</f>
        <v>4.8161086599927579E-3</v>
      </c>
    </row>
    <row r="1934" spans="2:32" ht="17.149999999999999" x14ac:dyDescent="0.55000000000000004">
      <c r="B1934" t="str">
        <f t="shared" si="7060"/>
        <v>Portland</v>
      </c>
      <c r="C1934" t="s">
        <v>1389</v>
      </c>
      <c r="D1934">
        <f>D1933*D1916</f>
        <v>4.8847213797703236E-3</v>
      </c>
      <c r="E1934">
        <f t="shared" ref="E1934:O1934" si="7067">E1933*E1916</f>
        <v>5.1377970454196883E-3</v>
      </c>
      <c r="F1934">
        <f t="shared" si="7067"/>
        <v>5.5255769197630547E-3</v>
      </c>
      <c r="G1934">
        <f t="shared" si="7067"/>
        <v>6.219119610903932E-3</v>
      </c>
      <c r="H1934">
        <f t="shared" si="7067"/>
        <v>7.430518180814979E-3</v>
      </c>
      <c r="I1934">
        <f t="shared" si="7067"/>
        <v>8.4933610792594406E-3</v>
      </c>
      <c r="J1934">
        <f t="shared" si="7067"/>
        <v>9.5874007696552591E-3</v>
      </c>
      <c r="K1934">
        <f t="shared" si="7067"/>
        <v>9.5593988737869996E-3</v>
      </c>
      <c r="L1934">
        <f t="shared" si="7067"/>
        <v>8.6549593565446326E-3</v>
      </c>
      <c r="M1934">
        <f t="shared" si="7067"/>
        <v>6.8260376495002202E-3</v>
      </c>
      <c r="N1934">
        <f t="shared" si="7067"/>
        <v>5.4845718776011703E-3</v>
      </c>
      <c r="O1934">
        <f t="shared" si="7067"/>
        <v>4.8161086599927579E-3</v>
      </c>
    </row>
    <row r="1935" spans="2:32" ht="17.149999999999999" x14ac:dyDescent="0.55000000000000004">
      <c r="B1935" t="str">
        <f t="shared" si="7060"/>
        <v>Portland</v>
      </c>
      <c r="C1935" t="s">
        <v>1390</v>
      </c>
      <c r="D1935" cm="1">
        <f t="array" ref="D1935">IFERROR(IF(D1915="Chemical",(10^(INDEX(Antoines,MATCH(D1914,Antoine_Name,0),2)-INDEX(Antoines,MATCH(D1914,Antoine_Name,0),3)/(INDEX(Antoines,MATCH(D1914,Antoine_Name,0),4)+(D1922-32)*5/9)))*14.7/760,IF(D1915="Crude Oil",EXP((2799/(D1922+459.6)-2.227)*LOG10(INDEX(FX_Input,Q$5,D$3*$Z$5+$AA$5))-(7261/(D1922+459.6))+12.82),IF(D1915="Refined Petroleum Stock",EXP((0.7553-(413/(D1922+459.6)))*(INDEX(FX_Input,Q$5,D$3*$Z$5+$AA$5-1)^0.5)*LOG10(INDEX(FX_Input,Q$5,D$3*$Z$5+$AA$5))-(1.854-(1042/(D1922+459.6)))*(INDEX(FX_Input,Q$5,D$3*$Z$5+$AA$5-1)^0.5)+((2416/(D1922+459.6)-2.013)*LOG10(INDEX(FX_Input,Q$5,D$3*$Z$5+$AA$5)))-(8742/(D1922+459.6))+15.64),EXP(INDEX(Antoines,MATCH(D1914,Antoine_Name,0),2)-INDEX(Antoines,MATCH(D1914,Antoine_Name,0),3)/(D1922+459.6))))),0)</f>
        <v>0</v>
      </c>
      <c r="E1935" cm="1">
        <f t="array" ref="E1935">IFERROR(IF(E1915="Chemical",(10^(INDEX(Antoines,MATCH(E1914,Antoine_Name,0),2)-INDEX(Antoines,MATCH(E1914,Antoine_Name,0),3)/(INDEX(Antoines,MATCH(E1914,Antoine_Name,0),4)+(E1922-32)*5/9)))*14.7/760,IF(E1915="Crude Oil",EXP((2799/(E1922+459.6)-2.227)*LOG10(INDEX(FX_Input,R$5,E$3*$Z$5+$AA$5))-(7261/(E1922+459.6))+12.82),IF(E1915="Refined Petroleum Stock",EXP((0.7553-(413/(E1922+459.6)))*(INDEX(FX_Input,R$5,E$3*$Z$5+$AA$5-1)^0.5)*LOG10(INDEX(FX_Input,R$5,E$3*$Z$5+$AA$5))-(1.854-(1042/(E1922+459.6)))*(INDEX(FX_Input,R$5,E$3*$Z$5+$AA$5-1)^0.5)+((2416/(E1922+459.6)-2.013)*LOG10(INDEX(FX_Input,R$5,E$3*$Z$5+$AA$5)))-(8742/(E1922+459.6))+15.64),EXP(INDEX(Antoines,MATCH(E1914,Antoine_Name,0),2)-INDEX(Antoines,MATCH(E1914,Antoine_Name,0),3)/(E1922+459.6))))),0)</f>
        <v>0</v>
      </c>
      <c r="F1935" cm="1">
        <f t="array" ref="F1935">IFERROR(IF(F1915="Chemical",(10^(INDEX(Antoines,MATCH(F1914,Antoine_Name,0),2)-INDEX(Antoines,MATCH(F1914,Antoine_Name,0),3)/(INDEX(Antoines,MATCH(F1914,Antoine_Name,0),4)+(F1922-32)*5/9)))*14.7/760,IF(F1915="Crude Oil",EXP((2799/(F1922+459.6)-2.227)*LOG10(INDEX(FX_Input,S$5,F$3*$Z$5+$AA$5))-(7261/(F1922+459.6))+12.82),IF(F1915="Refined Petroleum Stock",EXP((0.7553-(413/(F1922+459.6)))*(INDEX(FX_Input,S$5,F$3*$Z$5+$AA$5-1)^0.5)*LOG10(INDEX(FX_Input,S$5,F$3*$Z$5+$AA$5))-(1.854-(1042/(F1922+459.6)))*(INDEX(FX_Input,S$5,F$3*$Z$5+$AA$5-1)^0.5)+((2416/(F1922+459.6)-2.013)*LOG10(INDEX(FX_Input,S$5,F$3*$Z$5+$AA$5)))-(8742/(F1922+459.6))+15.64),EXP(INDEX(Antoines,MATCH(F1914,Antoine_Name,0),2)-INDEX(Antoines,MATCH(F1914,Antoine_Name,0),3)/(F1922+459.6))))),0)</f>
        <v>0</v>
      </c>
      <c r="G1935" cm="1">
        <f t="array" ref="G1935">IFERROR(IF(G1915="Chemical",(10^(INDEX(Antoines,MATCH(G1914,Antoine_Name,0),2)-INDEX(Antoines,MATCH(G1914,Antoine_Name,0),3)/(INDEX(Antoines,MATCH(G1914,Antoine_Name,0),4)+(G1922-32)*5/9)))*14.7/760,IF(G1915="Crude Oil",EXP((2799/(G1922+459.6)-2.227)*LOG10(INDEX(FX_Input,T$5,G$3*$Z$5+$AA$5))-(7261/(G1922+459.6))+12.82),IF(G1915="Refined Petroleum Stock",EXP((0.7553-(413/(G1922+459.6)))*(INDEX(FX_Input,T$5,G$3*$Z$5+$AA$5-1)^0.5)*LOG10(INDEX(FX_Input,T$5,G$3*$Z$5+$AA$5))-(1.854-(1042/(G1922+459.6)))*(INDEX(FX_Input,T$5,G$3*$Z$5+$AA$5-1)^0.5)+((2416/(G1922+459.6)-2.013)*LOG10(INDEX(FX_Input,T$5,G$3*$Z$5+$AA$5)))-(8742/(G1922+459.6))+15.64),EXP(INDEX(Antoines,MATCH(G1914,Antoine_Name,0),2)-INDEX(Antoines,MATCH(G1914,Antoine_Name,0),3)/(G1922+459.6))))),0)</f>
        <v>0</v>
      </c>
      <c r="H1935" cm="1">
        <f t="array" ref="H1935">IFERROR(IF(H1915="Chemical",(10^(INDEX(Antoines,MATCH(H1914,Antoine_Name,0),2)-INDEX(Antoines,MATCH(H1914,Antoine_Name,0),3)/(INDEX(Antoines,MATCH(H1914,Antoine_Name,0),4)+(H1922-32)*5/9)))*14.7/760,IF(H1915="Crude Oil",EXP((2799/(H1922+459.6)-2.227)*LOG10(INDEX(FX_Input,U$5,H$3*$Z$5+$AA$5))-(7261/(H1922+459.6))+12.82),IF(H1915="Refined Petroleum Stock",EXP((0.7553-(413/(H1922+459.6)))*(INDEX(FX_Input,U$5,H$3*$Z$5+$AA$5-1)^0.5)*LOG10(INDEX(FX_Input,U$5,H$3*$Z$5+$AA$5))-(1.854-(1042/(H1922+459.6)))*(INDEX(FX_Input,U$5,H$3*$Z$5+$AA$5-1)^0.5)+((2416/(H1922+459.6)-2.013)*LOG10(INDEX(FX_Input,U$5,H$3*$Z$5+$AA$5)))-(8742/(H1922+459.6))+15.64),EXP(INDEX(Antoines,MATCH(H1914,Antoine_Name,0),2)-INDEX(Antoines,MATCH(H1914,Antoine_Name,0),3)/(H1922+459.6))))),0)</f>
        <v>0</v>
      </c>
      <c r="I1935" cm="1">
        <f t="array" ref="I1935">IFERROR(IF(I1915="Chemical",(10^(INDEX(Antoines,MATCH(I1914,Antoine_Name,0),2)-INDEX(Antoines,MATCH(I1914,Antoine_Name,0),3)/(INDEX(Antoines,MATCH(I1914,Antoine_Name,0),4)+(I1922-32)*5/9)))*14.7/760,IF(I1915="Crude Oil",EXP((2799/(I1922+459.6)-2.227)*LOG10(INDEX(FX_Input,V$5,I$3*$Z$5+$AA$5))-(7261/(I1922+459.6))+12.82),IF(I1915="Refined Petroleum Stock",EXP((0.7553-(413/(I1922+459.6)))*(INDEX(FX_Input,V$5,I$3*$Z$5+$AA$5-1)^0.5)*LOG10(INDEX(FX_Input,V$5,I$3*$Z$5+$AA$5))-(1.854-(1042/(I1922+459.6)))*(INDEX(FX_Input,V$5,I$3*$Z$5+$AA$5-1)^0.5)+((2416/(I1922+459.6)-2.013)*LOG10(INDEX(FX_Input,V$5,I$3*$Z$5+$AA$5)))-(8742/(I1922+459.6))+15.64),EXP(INDEX(Antoines,MATCH(I1914,Antoine_Name,0),2)-INDEX(Antoines,MATCH(I1914,Antoine_Name,0),3)/(I1922+459.6))))),0)</f>
        <v>0</v>
      </c>
      <c r="J1935" cm="1">
        <f t="array" ref="J1935">IFERROR(IF(J1915="Chemical",(10^(INDEX(Antoines,MATCH(J1914,Antoine_Name,0),2)-INDEX(Antoines,MATCH(J1914,Antoine_Name,0),3)/(INDEX(Antoines,MATCH(J1914,Antoine_Name,0),4)+(J1922-32)*5/9)))*14.7/760,IF(J1915="Crude Oil",EXP((2799/(J1922+459.6)-2.227)*LOG10(INDEX(FX_Input,W$5,J$3*$Z$5+$AA$5))-(7261/(J1922+459.6))+12.82),IF(J1915="Refined Petroleum Stock",EXP((0.7553-(413/(J1922+459.6)))*(INDEX(FX_Input,W$5,J$3*$Z$5+$AA$5-1)^0.5)*LOG10(INDEX(FX_Input,W$5,J$3*$Z$5+$AA$5))-(1.854-(1042/(J1922+459.6)))*(INDEX(FX_Input,W$5,J$3*$Z$5+$AA$5-1)^0.5)+((2416/(J1922+459.6)-2.013)*LOG10(INDEX(FX_Input,W$5,J$3*$Z$5+$AA$5)))-(8742/(J1922+459.6))+15.64),EXP(INDEX(Antoines,MATCH(J1914,Antoine_Name,0),2)-INDEX(Antoines,MATCH(J1914,Antoine_Name,0),3)/(J1922+459.6))))),0)</f>
        <v>0</v>
      </c>
      <c r="K1935" cm="1">
        <f t="array" ref="K1935">IFERROR(IF(K1915="Chemical",(10^(INDEX(Antoines,MATCH(K1914,Antoine_Name,0),2)-INDEX(Antoines,MATCH(K1914,Antoine_Name,0),3)/(INDEX(Antoines,MATCH(K1914,Antoine_Name,0),4)+(K1922-32)*5/9)))*14.7/760,IF(K1915="Crude Oil",EXP((2799/(K1922+459.6)-2.227)*LOG10(INDEX(FX_Input,X$5,K$3*$Z$5+$AA$5))-(7261/(K1922+459.6))+12.82),IF(K1915="Refined Petroleum Stock",EXP((0.7553-(413/(K1922+459.6)))*(INDEX(FX_Input,X$5,K$3*$Z$5+$AA$5-1)^0.5)*LOG10(INDEX(FX_Input,X$5,K$3*$Z$5+$AA$5))-(1.854-(1042/(K1922+459.6)))*(INDEX(FX_Input,X$5,K$3*$Z$5+$AA$5-1)^0.5)+((2416/(K1922+459.6)-2.013)*LOG10(INDEX(FX_Input,X$5,K$3*$Z$5+$AA$5)))-(8742/(K1922+459.6))+15.64),EXP(INDEX(Antoines,MATCH(K1914,Antoine_Name,0),2)-INDEX(Antoines,MATCH(K1914,Antoine_Name,0),3)/(K1922+459.6))))),0)</f>
        <v>0</v>
      </c>
      <c r="L1935" cm="1">
        <f t="array" ref="L1935">IFERROR(IF(L1915="Chemical",(10^(INDEX(Antoines,MATCH(L1914,Antoine_Name,0),2)-INDEX(Antoines,MATCH(L1914,Antoine_Name,0),3)/(INDEX(Antoines,MATCH(L1914,Antoine_Name,0),4)+(L1922-32)*5/9)))*14.7/760,IF(L1915="Crude Oil",EXP((2799/(L1922+459.6)-2.227)*LOG10(INDEX(FX_Input,Y$5,L$3*$Z$5+$AA$5))-(7261/(L1922+459.6))+12.82),IF(L1915="Refined Petroleum Stock",EXP((0.7553-(413/(L1922+459.6)))*(INDEX(FX_Input,Y$5,L$3*$Z$5+$AA$5-1)^0.5)*LOG10(INDEX(FX_Input,Y$5,L$3*$Z$5+$AA$5))-(1.854-(1042/(L1922+459.6)))*(INDEX(FX_Input,Y$5,L$3*$Z$5+$AA$5-1)^0.5)+((2416/(L1922+459.6)-2.013)*LOG10(INDEX(FX_Input,Y$5,L$3*$Z$5+$AA$5)))-(8742/(L1922+459.6))+15.64),EXP(INDEX(Antoines,MATCH(L1914,Antoine_Name,0),2)-INDEX(Antoines,MATCH(L1914,Antoine_Name,0),3)/(L1922+459.6))))),0)</f>
        <v>0</v>
      </c>
      <c r="M1935" cm="1">
        <f t="array" ref="M1935">IFERROR(IF(M1915="Chemical",(10^(INDEX(Antoines,MATCH(M1914,Antoine_Name,0),2)-INDEX(Antoines,MATCH(M1914,Antoine_Name,0),3)/(INDEX(Antoines,MATCH(M1914,Antoine_Name,0),4)+(M1922-32)*5/9)))*14.7/760,IF(M1915="Crude Oil",EXP((2799/(M1922+459.6)-2.227)*LOG10(INDEX(FX_Input,Z$5,M$3*$Z$5+$AA$5))-(7261/(M1922+459.6))+12.82),IF(M1915="Refined Petroleum Stock",EXP((0.7553-(413/(M1922+459.6)))*(INDEX(FX_Input,Z$5,M$3*$Z$5+$AA$5-1)^0.5)*LOG10(INDEX(FX_Input,Z$5,M$3*$Z$5+$AA$5))-(1.854-(1042/(M1922+459.6)))*(INDEX(FX_Input,Z$5,M$3*$Z$5+$AA$5-1)^0.5)+((2416/(M1922+459.6)-2.013)*LOG10(INDEX(FX_Input,Z$5,M$3*$Z$5+$AA$5)))-(8742/(M1922+459.6))+15.64),EXP(INDEX(Antoines,MATCH(M1914,Antoine_Name,0),2)-INDEX(Antoines,MATCH(M1914,Antoine_Name,0),3)/(M1922+459.6))))),0)</f>
        <v>0</v>
      </c>
      <c r="N1935" cm="1">
        <f t="array" ref="N1935">IFERROR(IF(N1915="Chemical",(10^(INDEX(Antoines,MATCH(N1914,Antoine_Name,0),2)-INDEX(Antoines,MATCH(N1914,Antoine_Name,0),3)/(INDEX(Antoines,MATCH(N1914,Antoine_Name,0),4)+(N1922-32)*5/9)))*14.7/760,IF(N1915="Crude Oil",EXP((2799/(N1922+459.6)-2.227)*LOG10(INDEX(FX_Input,AA$5,N$3*$Z$5+$AA$5))-(7261/(N1922+459.6))+12.82),IF(N1915="Refined Petroleum Stock",EXP((0.7553-(413/(N1922+459.6)))*(INDEX(FX_Input,AA$5,N$3*$Z$5+$AA$5-1)^0.5)*LOG10(INDEX(FX_Input,AA$5,N$3*$Z$5+$AA$5))-(1.854-(1042/(N1922+459.6)))*(INDEX(FX_Input,AA$5,N$3*$Z$5+$AA$5-1)^0.5)+((2416/(N1922+459.6)-2.013)*LOG10(INDEX(FX_Input,AA$5,N$3*$Z$5+$AA$5)))-(8742/(N1922+459.6))+15.64),EXP(INDEX(Antoines,MATCH(N1914,Antoine_Name,0),2)-INDEX(Antoines,MATCH(N1914,Antoine_Name,0),3)/(N1922+459.6))))),0)</f>
        <v>0</v>
      </c>
      <c r="O1935" cm="1">
        <f t="array" ref="O1935">IFERROR(IF(O1915="Chemical",(10^(INDEX(Antoines,MATCH(O1914,Antoine_Name,0),2)-INDEX(Antoines,MATCH(O1914,Antoine_Name,0),3)/(INDEX(Antoines,MATCH(O1914,Antoine_Name,0),4)+(O1922-32)*5/9)))*14.7/760,IF(O1915="Crude Oil",EXP((2799/(O1922+459.6)-2.227)*LOG10(INDEX(FX_Input,AB$5,O$3*$Z$5+$AA$5))-(7261/(O1922+459.6))+12.82),IF(O1915="Refined Petroleum Stock",EXP((0.7553-(413/(O1922+459.6)))*(INDEX(FX_Input,AB$5,O$3*$Z$5+$AA$5-1)^0.5)*LOG10(INDEX(FX_Input,AB$5,O$3*$Z$5+$AA$5))-(1.854-(1042/(O1922+459.6)))*(INDEX(FX_Input,AB$5,O$3*$Z$5+$AA$5-1)^0.5)+((2416/(O1922+459.6)-2.013)*LOG10(INDEX(FX_Input,AB$5,O$3*$Z$5+$AA$5)))-(8742/(O1922+459.6))+15.64),EXP(INDEX(Antoines,MATCH(O1914,Antoine_Name,0),2)-INDEX(Antoines,MATCH(O1914,Antoine_Name,0),3)/(O1922+459.6))))),0)</f>
        <v>0</v>
      </c>
    </row>
    <row r="1936" spans="2:32" ht="17.149999999999999" x14ac:dyDescent="0.55000000000000004">
      <c r="B1936" t="str">
        <f t="shared" si="7060"/>
        <v>Portland</v>
      </c>
      <c r="C1936" t="s">
        <v>1391</v>
      </c>
      <c r="D1936">
        <f>D1935*D1918</f>
        <v>0</v>
      </c>
      <c r="E1936">
        <f t="shared" ref="E1936:O1936" si="7068">E1935*E1918</f>
        <v>0</v>
      </c>
      <c r="F1936">
        <f t="shared" si="7068"/>
        <v>0</v>
      </c>
      <c r="G1936">
        <f t="shared" si="7068"/>
        <v>0</v>
      </c>
      <c r="H1936">
        <f t="shared" si="7068"/>
        <v>0</v>
      </c>
      <c r="I1936">
        <f t="shared" si="7068"/>
        <v>0</v>
      </c>
      <c r="J1936">
        <f t="shared" si="7068"/>
        <v>0</v>
      </c>
      <c r="K1936">
        <f t="shared" si="7068"/>
        <v>0</v>
      </c>
      <c r="L1936">
        <f t="shared" si="7068"/>
        <v>0</v>
      </c>
      <c r="M1936">
        <f t="shared" si="7068"/>
        <v>0</v>
      </c>
      <c r="N1936">
        <f t="shared" si="7068"/>
        <v>0</v>
      </c>
      <c r="O1936">
        <f t="shared" si="7068"/>
        <v>0</v>
      </c>
    </row>
    <row r="1937" spans="1:32" ht="17.149999999999999" x14ac:dyDescent="0.55000000000000004">
      <c r="B1937" t="str">
        <f t="shared" si="7060"/>
        <v>Portland</v>
      </c>
      <c r="C1937" t="s">
        <v>1392</v>
      </c>
      <c r="D1937">
        <f>D1934+D1936</f>
        <v>4.8847213797703236E-3</v>
      </c>
      <c r="E1937">
        <f t="shared" ref="E1937:O1937" si="7069">E1934+E1936</f>
        <v>5.1377970454196883E-3</v>
      </c>
      <c r="F1937">
        <f t="shared" si="7069"/>
        <v>5.5255769197630547E-3</v>
      </c>
      <c r="G1937">
        <f t="shared" si="7069"/>
        <v>6.219119610903932E-3</v>
      </c>
      <c r="H1937">
        <f t="shared" si="7069"/>
        <v>7.430518180814979E-3</v>
      </c>
      <c r="I1937">
        <f t="shared" si="7069"/>
        <v>8.4933610792594406E-3</v>
      </c>
      <c r="J1937">
        <f t="shared" si="7069"/>
        <v>9.5874007696552591E-3</v>
      </c>
      <c r="K1937">
        <f t="shared" si="7069"/>
        <v>9.5593988737869996E-3</v>
      </c>
      <c r="L1937">
        <f t="shared" si="7069"/>
        <v>8.6549593565446326E-3</v>
      </c>
      <c r="M1937">
        <f t="shared" si="7069"/>
        <v>6.8260376495002202E-3</v>
      </c>
      <c r="N1937">
        <f t="shared" si="7069"/>
        <v>5.4845718776011703E-3</v>
      </c>
      <c r="O1937">
        <f t="shared" si="7069"/>
        <v>4.8161086599927579E-3</v>
      </c>
    </row>
    <row r="1938" spans="1:32" ht="17.149999999999999" x14ac:dyDescent="0.55000000000000004">
      <c r="B1938" t="str">
        <f>B1932</f>
        <v>Portland</v>
      </c>
      <c r="C1938" t="s">
        <v>584</v>
      </c>
      <c r="D1938">
        <f>D1934/D1937</f>
        <v>1</v>
      </c>
      <c r="E1938">
        <f t="shared" ref="E1938:O1938" si="7070">E1934/E1937</f>
        <v>1</v>
      </c>
      <c r="F1938">
        <f t="shared" si="7070"/>
        <v>1</v>
      </c>
      <c r="G1938">
        <f t="shared" si="7070"/>
        <v>1</v>
      </c>
      <c r="H1938">
        <f t="shared" si="7070"/>
        <v>1</v>
      </c>
      <c r="I1938">
        <f t="shared" si="7070"/>
        <v>1</v>
      </c>
      <c r="J1938">
        <f t="shared" si="7070"/>
        <v>1</v>
      </c>
      <c r="K1938">
        <f t="shared" si="7070"/>
        <v>1</v>
      </c>
      <c r="L1938">
        <f t="shared" si="7070"/>
        <v>1</v>
      </c>
      <c r="M1938">
        <f t="shared" si="7070"/>
        <v>1</v>
      </c>
      <c r="N1938">
        <f t="shared" si="7070"/>
        <v>1</v>
      </c>
      <c r="O1938">
        <f t="shared" si="7070"/>
        <v>1</v>
      </c>
    </row>
    <row r="1939" spans="1:32" ht="17.149999999999999" x14ac:dyDescent="0.55000000000000004">
      <c r="B1939" t="str">
        <f>B1933</f>
        <v>Portland</v>
      </c>
      <c r="C1939" t="s">
        <v>585</v>
      </c>
      <c r="D1939">
        <f t="shared" ref="D1939:O1939" si="7071">INDEX(Phys_Prop,MATCH(D1912,Chem_List,0),3)</f>
        <v>130</v>
      </c>
      <c r="E1939">
        <f t="shared" si="7071"/>
        <v>130</v>
      </c>
      <c r="F1939">
        <f t="shared" si="7071"/>
        <v>130</v>
      </c>
      <c r="G1939">
        <f t="shared" si="7071"/>
        <v>130</v>
      </c>
      <c r="H1939">
        <f t="shared" si="7071"/>
        <v>130</v>
      </c>
      <c r="I1939">
        <f t="shared" si="7071"/>
        <v>130</v>
      </c>
      <c r="J1939">
        <f t="shared" si="7071"/>
        <v>130</v>
      </c>
      <c r="K1939">
        <f t="shared" si="7071"/>
        <v>130</v>
      </c>
      <c r="L1939">
        <f t="shared" si="7071"/>
        <v>130</v>
      </c>
      <c r="M1939">
        <f t="shared" si="7071"/>
        <v>130</v>
      </c>
      <c r="N1939">
        <f t="shared" si="7071"/>
        <v>130</v>
      </c>
      <c r="O1939">
        <f t="shared" si="7071"/>
        <v>130</v>
      </c>
    </row>
    <row r="1940" spans="1:32" ht="17.149999999999999" x14ac:dyDescent="0.55000000000000004">
      <c r="B1940" t="str">
        <f>B1939</f>
        <v>Portland</v>
      </c>
      <c r="C1940" t="s">
        <v>586</v>
      </c>
      <c r="D1940">
        <f>D1936/D1937</f>
        <v>0</v>
      </c>
      <c r="E1940">
        <f t="shared" ref="E1940:O1940" si="7072">E1936/E1937</f>
        <v>0</v>
      </c>
      <c r="F1940">
        <f t="shared" si="7072"/>
        <v>0</v>
      </c>
      <c r="G1940">
        <f t="shared" si="7072"/>
        <v>0</v>
      </c>
      <c r="H1940">
        <f t="shared" si="7072"/>
        <v>0</v>
      </c>
      <c r="I1940">
        <f t="shared" si="7072"/>
        <v>0</v>
      </c>
      <c r="J1940">
        <f t="shared" si="7072"/>
        <v>0</v>
      </c>
      <c r="K1940">
        <f t="shared" si="7072"/>
        <v>0</v>
      </c>
      <c r="L1940">
        <f t="shared" si="7072"/>
        <v>0</v>
      </c>
      <c r="M1940">
        <f t="shared" si="7072"/>
        <v>0</v>
      </c>
      <c r="N1940">
        <f t="shared" si="7072"/>
        <v>0</v>
      </c>
      <c r="O1940">
        <f t="shared" si="7072"/>
        <v>0</v>
      </c>
    </row>
    <row r="1941" spans="1:32" ht="17.149999999999999" x14ac:dyDescent="0.55000000000000004">
      <c r="B1941" t="str">
        <f t="shared" si="7060"/>
        <v>Portland</v>
      </c>
      <c r="C1941" t="s">
        <v>587</v>
      </c>
      <c r="D1941">
        <f t="shared" ref="D1941:O1941" si="7073">IFERROR(INDEX(Phys_Prop,MATCH(D1914,Chem_List,0),3),0)</f>
        <v>0</v>
      </c>
      <c r="E1941">
        <f t="shared" si="7073"/>
        <v>0</v>
      </c>
      <c r="F1941">
        <f t="shared" si="7073"/>
        <v>0</v>
      </c>
      <c r="G1941">
        <f t="shared" si="7073"/>
        <v>0</v>
      </c>
      <c r="H1941">
        <f t="shared" si="7073"/>
        <v>0</v>
      </c>
      <c r="I1941">
        <f t="shared" si="7073"/>
        <v>0</v>
      </c>
      <c r="J1941">
        <f t="shared" si="7073"/>
        <v>0</v>
      </c>
      <c r="K1941">
        <f t="shared" si="7073"/>
        <v>0</v>
      </c>
      <c r="L1941">
        <f t="shared" si="7073"/>
        <v>0</v>
      </c>
      <c r="M1941">
        <f t="shared" si="7073"/>
        <v>0</v>
      </c>
      <c r="N1941">
        <f t="shared" si="7073"/>
        <v>0</v>
      </c>
      <c r="O1941">
        <f t="shared" si="7073"/>
        <v>0</v>
      </c>
    </row>
    <row r="1942" spans="1:32" ht="17.149999999999999" x14ac:dyDescent="0.55000000000000004">
      <c r="A1942" s="11"/>
      <c r="B1942" s="11" t="str">
        <f t="shared" si="7060"/>
        <v>Portland</v>
      </c>
      <c r="C1942" s="11" t="s">
        <v>588</v>
      </c>
      <c r="D1942" s="11">
        <f>IFERROR(D1938*D1939+D1940*D1941,0)</f>
        <v>130</v>
      </c>
      <c r="E1942" s="11">
        <f t="shared" ref="E1942:O1942" si="7074">IFERROR(E1938*E1939+E1940*E1941,0)</f>
        <v>130</v>
      </c>
      <c r="F1942" s="11">
        <f t="shared" si="7074"/>
        <v>130</v>
      </c>
      <c r="G1942" s="11">
        <f t="shared" si="7074"/>
        <v>130</v>
      </c>
      <c r="H1942" s="11">
        <f t="shared" si="7074"/>
        <v>130</v>
      </c>
      <c r="I1942" s="11">
        <f t="shared" si="7074"/>
        <v>130</v>
      </c>
      <c r="J1942" s="11">
        <f t="shared" si="7074"/>
        <v>130</v>
      </c>
      <c r="K1942" s="11">
        <f t="shared" si="7074"/>
        <v>130</v>
      </c>
      <c r="L1942" s="11">
        <f t="shared" si="7074"/>
        <v>130</v>
      </c>
      <c r="M1942" s="11">
        <f t="shared" si="7074"/>
        <v>130</v>
      </c>
      <c r="N1942" s="11">
        <f t="shared" si="7074"/>
        <v>130</v>
      </c>
      <c r="O1942" s="11">
        <f t="shared" si="7074"/>
        <v>130</v>
      </c>
      <c r="P1942" s="11"/>
      <c r="Q1942" s="11"/>
      <c r="R1942" s="11"/>
      <c r="S1942" s="11"/>
      <c r="T1942" s="11"/>
      <c r="U1942" s="11"/>
      <c r="V1942" s="11"/>
      <c r="W1942" s="11"/>
      <c r="X1942" s="11"/>
      <c r="Y1942" s="11"/>
      <c r="Z1942" s="11"/>
      <c r="AA1942" s="11"/>
      <c r="AB1942" s="11"/>
      <c r="AC1942" s="11"/>
      <c r="AD1942" s="11"/>
      <c r="AE1942" s="11"/>
      <c r="AF1942" s="11"/>
    </row>
    <row r="1943" spans="1:32" ht="17.149999999999999" x14ac:dyDescent="0.55000000000000004">
      <c r="A1943" t="str" cm="1">
        <f t="array" ref="A1943">INDEX(FX_Input,$Q1943,R$5)</f>
        <v>FX - 58</v>
      </c>
      <c r="B1943" t="str" cm="1">
        <f t="array" ref="B1943">INDEX(FX_Input,Q1943,S1943)</f>
        <v>Portland</v>
      </c>
      <c r="C1943" t="s">
        <v>563</v>
      </c>
      <c r="D1943">
        <v>14.7</v>
      </c>
      <c r="E1943">
        <v>14.7</v>
      </c>
      <c r="F1943">
        <v>14.7</v>
      </c>
      <c r="G1943">
        <v>14.7</v>
      </c>
      <c r="H1943">
        <v>14.7</v>
      </c>
      <c r="I1943">
        <v>14.7</v>
      </c>
      <c r="J1943">
        <v>14.7</v>
      </c>
      <c r="K1943">
        <v>14.7</v>
      </c>
      <c r="L1943">
        <v>14.7</v>
      </c>
      <c r="M1943">
        <v>14.7</v>
      </c>
      <c r="N1943">
        <v>14.7</v>
      </c>
      <c r="O1943">
        <v>14.7</v>
      </c>
      <c r="Q1943">
        <f>Q1909+2</f>
        <v>115</v>
      </c>
      <c r="R1943">
        <v>1</v>
      </c>
      <c r="S1943">
        <v>3</v>
      </c>
      <c r="T1943">
        <v>1</v>
      </c>
      <c r="U1943">
        <v>19</v>
      </c>
      <c r="V1943">
        <v>20</v>
      </c>
      <c r="W1943">
        <v>25</v>
      </c>
      <c r="X1943">
        <v>1</v>
      </c>
      <c r="Y1943">
        <v>2</v>
      </c>
      <c r="Z1943">
        <f>(W1943-V1943)/(Y1943-X1943)</f>
        <v>5</v>
      </c>
      <c r="AA1943">
        <f>V1943-Z1943*X1943</f>
        <v>15</v>
      </c>
      <c r="AD1943">
        <f>AD1909+14</f>
        <v>799</v>
      </c>
      <c r="AF1943">
        <f>AF1909+14</f>
        <v>799</v>
      </c>
    </row>
    <row r="1944" spans="1:32" ht="17.149999999999999" x14ac:dyDescent="0.55000000000000004">
      <c r="B1944" t="str">
        <f t="shared" ref="B1944" si="7075">B1943</f>
        <v>Portland</v>
      </c>
      <c r="C1944" t="s">
        <v>564</v>
      </c>
      <c r="D1944" cm="1">
        <f t="array" ref="D1944">IF(ISBLANK(INDEX(FX_Input,$Q1943,$AB1944)),0.03,INDEX(FX_Input,Q1943,AB1944))</f>
        <v>0.03</v>
      </c>
      <c r="E1944" cm="1">
        <f t="array" ref="E1944">IF(ISBLANK(INDEX(FX_Input,$Q1943,$AB1944)),0.03,INDEX(FX_Input,R1943,#REF!))</f>
        <v>0.03</v>
      </c>
      <c r="F1944" cm="1">
        <f t="array" ref="F1944">IF(ISBLANK(INDEX(FX_Input,$Q1943,$AB1944)),0.03,INDEX(FX_Input,S1943,#REF!))</f>
        <v>0.03</v>
      </c>
      <c r="G1944" cm="1">
        <f t="array" ref="G1944">IF(ISBLANK(INDEX(FX_Input,$Q1943,$AB1944)),0.03,INDEX(FX_Input,AB1943,#REF!))</f>
        <v>0.03</v>
      </c>
      <c r="H1944" cm="1">
        <f t="array" ref="H1944">IF(ISBLANK(INDEX(FX_Input,$Q1943,$AB1944)),0.03,INDEX(FX_Input,#REF!,#REF!))</f>
        <v>0.03</v>
      </c>
      <c r="I1944" cm="1">
        <f t="array" ref="I1944">IF(ISBLANK(INDEX(FX_Input,$Q1943,$AB1944)),0.03,INDEX(FX_Input,#REF!,#REF!))</f>
        <v>0.03</v>
      </c>
      <c r="J1944" cm="1">
        <f t="array" ref="J1944">IF(ISBLANK(INDEX(FX_Input,$Q1943,$AB1944)),0.03,INDEX(FX_Input,#REF!,#REF!))</f>
        <v>0.03</v>
      </c>
      <c r="K1944" cm="1">
        <f t="array" ref="K1944">IF(ISBLANK(INDEX(FX_Input,$Q1943,$AB1944)),0.03,INDEX(FX_Input,#REF!,AC1944))</f>
        <v>0.03</v>
      </c>
      <c r="L1944" cm="1">
        <f t="array" ref="L1944">IF(ISBLANK(INDEX(FX_Input,$Q1943,$AB1944)),0.03,INDEX(FX_Input,#REF!,AD1944))</f>
        <v>0.03</v>
      </c>
      <c r="M1944" cm="1">
        <f t="array" ref="M1944">IF(ISBLANK(INDEX(FX_Input,$Q1943,$AB1944)),0.03,INDEX(FX_Input,#REF!,#REF!))</f>
        <v>0.03</v>
      </c>
      <c r="N1944" cm="1">
        <f t="array" ref="N1944">IF(ISBLANK(INDEX(FX_Input,$Q1943,$AB1944)),0.03,INDEX(FX_Input,AC1943,#REF!))</f>
        <v>0.03</v>
      </c>
      <c r="O1944" cm="1">
        <f t="array" ref="O1944">IF(ISBLANK(INDEX(FX_Input,$Q1943,$AB1944)),0.03,INDEX(FX_Input,AD1943,#REF!))</f>
        <v>0.03</v>
      </c>
      <c r="AB1944">
        <v>15</v>
      </c>
    </row>
    <row r="1945" spans="1:32" ht="17.149999999999999" x14ac:dyDescent="0.55000000000000004">
      <c r="B1945" t="str">
        <f>B1944</f>
        <v>Portland</v>
      </c>
      <c r="C1945" t="s">
        <v>565</v>
      </c>
      <c r="D1945" cm="1">
        <f t="array" ref="D1945">IF(ISBLANK(INDEX(FX_Input,$Q1943,$AB1945)),-0.03,INDEX(FX_Input,Q1943,AB1945))</f>
        <v>-0.03</v>
      </c>
      <c r="E1945" cm="1">
        <f t="array" ref="E1945">IF(ISBLANK(INDEX(FX_Input,$Q1943,$AB1945)),-0.03,INDEX(FX_Input,R1943,#REF!))</f>
        <v>-0.03</v>
      </c>
      <c r="F1945" cm="1">
        <f t="array" ref="F1945">IF(ISBLANK(INDEX(FX_Input,$Q1943,$AB1945)),-0.03,INDEX(FX_Input,S1943,#REF!))</f>
        <v>-0.03</v>
      </c>
      <c r="G1945" cm="1">
        <f t="array" ref="G1945">IF(ISBLANK(INDEX(FX_Input,$Q1943,$AB1945)),-0.03,INDEX(FX_Input,AB1943,#REF!))</f>
        <v>-0.03</v>
      </c>
      <c r="H1945" cm="1">
        <f t="array" ref="H1945">IF(ISBLANK(INDEX(FX_Input,$Q1943,$AB1945)),-0.03,INDEX(FX_Input,#REF!,#REF!))</f>
        <v>-0.03</v>
      </c>
      <c r="I1945" cm="1">
        <f t="array" ref="I1945">IF(ISBLANK(INDEX(FX_Input,$Q1943,$AB1945)),-0.03,INDEX(FX_Input,#REF!,#REF!))</f>
        <v>-0.03</v>
      </c>
      <c r="J1945" cm="1">
        <f t="array" ref="J1945">IF(ISBLANK(INDEX(FX_Input,$Q1943,$AB1945)),-0.03,INDEX(FX_Input,#REF!,#REF!))</f>
        <v>-0.03</v>
      </c>
      <c r="K1945" cm="1">
        <f t="array" ref="K1945">IF(ISBLANK(INDEX(FX_Input,$Q1943,$AB1945)),-0.03,INDEX(FX_Input,#REF!,AC1945))</f>
        <v>-0.03</v>
      </c>
      <c r="L1945" cm="1">
        <f t="array" ref="L1945">IF(ISBLANK(INDEX(FX_Input,$Q1943,$AB1945)),-0.03,INDEX(FX_Input,#REF!,AD1945))</f>
        <v>-0.03</v>
      </c>
      <c r="M1945" cm="1">
        <f t="array" ref="M1945">IF(ISBLANK(INDEX(FX_Input,$Q1943,$AB1945)),-0.03,INDEX(FX_Input,#REF!,#REF!))</f>
        <v>-0.03</v>
      </c>
      <c r="N1945" cm="1">
        <f t="array" ref="N1945">IF(ISBLANK(INDEX(FX_Input,$Q1943,$AB1945)),-0.03,INDEX(FX_Input,AC1943,#REF!))</f>
        <v>-0.03</v>
      </c>
      <c r="O1945" cm="1">
        <f t="array" ref="O1945">IF(ISBLANK(INDEX(FX_Input,$Q1943,$AB1945)),-0.03,INDEX(FX_Input,AD1943,#REF!))</f>
        <v>-0.03</v>
      </c>
      <c r="AB1945">
        <v>16</v>
      </c>
    </row>
    <row r="1946" spans="1:32" x14ac:dyDescent="0.4">
      <c r="B1946" t="str">
        <f t="shared" ref="B1946:B1947" si="7076">B1945</f>
        <v>Portland</v>
      </c>
      <c r="C1946" s="66" t="s">
        <v>567</v>
      </c>
      <c r="D1946" t="str" cm="1">
        <f t="array" ref="D1946">INDEX(FX_Multi,$AD1946,D$3)</f>
        <v>Jet kerosene</v>
      </c>
      <c r="E1946" t="str" cm="1">
        <f t="array" ref="E1946">INDEX(FX_Multi,$AD1946,E$3)</f>
        <v>Jet kerosene</v>
      </c>
      <c r="F1946" t="str" cm="1">
        <f t="array" ref="F1946">INDEX(FX_Multi,$AD1946,F$3)</f>
        <v>Jet kerosene</v>
      </c>
      <c r="G1946" t="str" cm="1">
        <f t="array" ref="G1946">INDEX(FX_Multi,$AD1946,G$3)</f>
        <v>Jet kerosene</v>
      </c>
      <c r="H1946" t="str" cm="1">
        <f t="array" ref="H1946">INDEX(FX_Multi,$AD1946,H$3)</f>
        <v>Jet kerosene</v>
      </c>
      <c r="I1946" t="str" cm="1">
        <f t="array" ref="I1946">INDEX(FX_Multi,$AD1946,I$3)</f>
        <v>Jet kerosene</v>
      </c>
      <c r="J1946" t="str" cm="1">
        <f t="array" ref="J1946">INDEX(FX_Multi,$AD1946,J$3)</f>
        <v>Jet kerosene</v>
      </c>
      <c r="K1946" t="str" cm="1">
        <f t="array" ref="K1946">INDEX(FX_Multi,$AD1946,K$3)</f>
        <v>Jet kerosene</v>
      </c>
      <c r="L1946" t="str" cm="1">
        <f t="array" ref="L1946">INDEX(FX_Multi,$AD1946,L$3)</f>
        <v>Jet kerosene</v>
      </c>
      <c r="M1946" t="str" cm="1">
        <f t="array" ref="M1946">INDEX(FX_Multi,$AD1946,M$3)</f>
        <v>Jet kerosene</v>
      </c>
      <c r="N1946" t="str" cm="1">
        <f t="array" ref="N1946">INDEX(FX_Multi,$AD1946,N$3)</f>
        <v>Jet kerosene</v>
      </c>
      <c r="O1946" t="str" cm="1">
        <f t="array" ref="O1946">INDEX(FX_Multi,$AD1946,O$3)</f>
        <v>Jet kerosene</v>
      </c>
      <c r="AC1946">
        <v>1</v>
      </c>
      <c r="AD1946">
        <f>AD1943</f>
        <v>799</v>
      </c>
      <c r="AE1946">
        <v>1</v>
      </c>
      <c r="AF1946">
        <f>AF1943</f>
        <v>799</v>
      </c>
    </row>
    <row r="1947" spans="1:32" x14ac:dyDescent="0.4">
      <c r="B1947" t="str">
        <f t="shared" si="7076"/>
        <v>Portland</v>
      </c>
      <c r="C1947" s="66" t="s">
        <v>566</v>
      </c>
      <c r="D1947" t="str" cm="1">
        <f t="array" ref="D1947">INDEX(FX_Multi,$AD1947,D$3)</f>
        <v>Select Pet Stock</v>
      </c>
      <c r="E1947" t="str" cm="1">
        <f t="array" ref="E1947">INDEX(FX_Multi,$AD1947,E$3)</f>
        <v>Select Pet Stock</v>
      </c>
      <c r="F1947" t="str" cm="1">
        <f t="array" ref="F1947">INDEX(FX_Multi,$AD1947,F$3)</f>
        <v>Select Pet Stock</v>
      </c>
      <c r="G1947" t="str" cm="1">
        <f t="array" ref="G1947">INDEX(FX_Multi,$AD1947,G$3)</f>
        <v>Select Pet Stock</v>
      </c>
      <c r="H1947" t="str" cm="1">
        <f t="array" ref="H1947">INDEX(FX_Multi,$AD1947,H$3)</f>
        <v>Select Pet Stock</v>
      </c>
      <c r="I1947" t="str" cm="1">
        <f t="array" ref="I1947">INDEX(FX_Multi,$AD1947,I$3)</f>
        <v>Select Pet Stock</v>
      </c>
      <c r="J1947" t="str" cm="1">
        <f t="array" ref="J1947">INDEX(FX_Multi,$AD1947,J$3)</f>
        <v>Select Pet Stock</v>
      </c>
      <c r="K1947" t="str" cm="1">
        <f t="array" ref="K1947">INDEX(FX_Multi,$AD1947,K$3)</f>
        <v>Select Pet Stock</v>
      </c>
      <c r="L1947" t="str" cm="1">
        <f t="array" ref="L1947">INDEX(FX_Multi,$AD1947,L$3)</f>
        <v>Select Pet Stock</v>
      </c>
      <c r="M1947" t="str" cm="1">
        <f t="array" ref="M1947">INDEX(FX_Multi,$AD1947,M$3)</f>
        <v>Select Pet Stock</v>
      </c>
      <c r="N1947" t="str" cm="1">
        <f t="array" ref="N1947">INDEX(FX_Multi,$AD1947,N$3)</f>
        <v>Select Pet Stock</v>
      </c>
      <c r="O1947" t="str" cm="1">
        <f t="array" ref="O1947">INDEX(FX_Multi,$AD1947,O$3)</f>
        <v>Select Pet Stock</v>
      </c>
      <c r="AC1947">
        <v>1</v>
      </c>
      <c r="AD1947">
        <f>AD1946+2</f>
        <v>801</v>
      </c>
      <c r="AE1947">
        <v>1</v>
      </c>
      <c r="AF1947">
        <f>AF1946+3</f>
        <v>802</v>
      </c>
    </row>
    <row r="1948" spans="1:32" x14ac:dyDescent="0.4">
      <c r="B1948" t="str">
        <f>B1944</f>
        <v>Portland</v>
      </c>
      <c r="C1948" s="66" t="s">
        <v>568</v>
      </c>
      <c r="D1948" cm="1">
        <f t="array" ref="D1948">INDEX(FX_Multi,$AD1948,D$3)</f>
        <v>0</v>
      </c>
      <c r="E1948" cm="1">
        <f t="array" ref="E1948">INDEX(FX_Multi,$AD1948,E$3)</f>
        <v>0</v>
      </c>
      <c r="F1948" cm="1">
        <f t="array" ref="F1948">INDEX(FX_Multi,$AD1948,F$3)</f>
        <v>0</v>
      </c>
      <c r="G1948" cm="1">
        <f t="array" ref="G1948">INDEX(FX_Multi,$AD1948,G$3)</f>
        <v>0</v>
      </c>
      <c r="H1948" cm="1">
        <f t="array" ref="H1948">INDEX(FX_Multi,$AD1948,H$3)</f>
        <v>0</v>
      </c>
      <c r="I1948" cm="1">
        <f t="array" ref="I1948">INDEX(FX_Multi,$AD1948,I$3)</f>
        <v>0</v>
      </c>
      <c r="J1948" cm="1">
        <f t="array" ref="J1948">INDEX(FX_Multi,$AD1948,J$3)</f>
        <v>0</v>
      </c>
      <c r="K1948" cm="1">
        <f t="array" ref="K1948">INDEX(FX_Multi,$AD1948,K$3)</f>
        <v>0</v>
      </c>
      <c r="L1948" cm="1">
        <f t="array" ref="L1948">INDEX(FX_Multi,$AD1948,L$3)</f>
        <v>0</v>
      </c>
      <c r="M1948" cm="1">
        <f t="array" ref="M1948">INDEX(FX_Multi,$AD1948,M$3)</f>
        <v>0</v>
      </c>
      <c r="N1948" cm="1">
        <f t="array" ref="N1948">INDEX(FX_Multi,$AD1948,N$3)</f>
        <v>0</v>
      </c>
      <c r="O1948" cm="1">
        <f t="array" ref="O1948">INDEX(FX_Multi,$AD1948,O$3)</f>
        <v>0</v>
      </c>
      <c r="AC1948">
        <v>1</v>
      </c>
      <c r="AD1948">
        <f>AD1947-1</f>
        <v>800</v>
      </c>
      <c r="AE1948">
        <v>1</v>
      </c>
      <c r="AF1948">
        <f>AF1946+1</f>
        <v>800</v>
      </c>
    </row>
    <row r="1949" spans="1:32" x14ac:dyDescent="0.4">
      <c r="B1949" t="str">
        <f t="shared" ref="B1949:B1953" si="7077">B1948</f>
        <v>Portland</v>
      </c>
      <c r="C1949" s="66" t="s">
        <v>569</v>
      </c>
      <c r="D1949" cm="1">
        <f t="array" ref="D1949">INDEX(FX_Multi,$AD1949,D$3)</f>
        <v>0</v>
      </c>
      <c r="E1949" cm="1">
        <f t="array" ref="E1949">INDEX(FX_Multi,$AD1949,E$3)</f>
        <v>0</v>
      </c>
      <c r="F1949" cm="1">
        <f t="array" ref="F1949">INDEX(FX_Multi,$AD1949,F$3)</f>
        <v>0</v>
      </c>
      <c r="G1949" cm="1">
        <f t="array" ref="G1949">INDEX(FX_Multi,$AD1949,G$3)</f>
        <v>0</v>
      </c>
      <c r="H1949" cm="1">
        <f t="array" ref="H1949">INDEX(FX_Multi,$AD1949,H$3)</f>
        <v>0</v>
      </c>
      <c r="I1949" cm="1">
        <f t="array" ref="I1949">INDEX(FX_Multi,$AD1949,I$3)</f>
        <v>0</v>
      </c>
      <c r="J1949" cm="1">
        <f t="array" ref="J1949">INDEX(FX_Multi,$AD1949,J$3)</f>
        <v>0</v>
      </c>
      <c r="K1949" cm="1">
        <f t="array" ref="K1949">INDEX(FX_Multi,$AD1949,K$3)</f>
        <v>0</v>
      </c>
      <c r="L1949" cm="1">
        <f t="array" ref="L1949">INDEX(FX_Multi,$AD1949,L$3)</f>
        <v>0</v>
      </c>
      <c r="M1949" cm="1">
        <f t="array" ref="M1949">INDEX(FX_Multi,$AD1949,M$3)</f>
        <v>0</v>
      </c>
      <c r="N1949" cm="1">
        <f t="array" ref="N1949">INDEX(FX_Multi,$AD1949,N$3)</f>
        <v>0</v>
      </c>
      <c r="O1949" cm="1">
        <f t="array" ref="O1949">INDEX(FX_Multi,$AD1949,O$3)</f>
        <v>0</v>
      </c>
      <c r="AC1949">
        <v>1</v>
      </c>
      <c r="AD1949">
        <f>AD1948+2</f>
        <v>802</v>
      </c>
      <c r="AE1949">
        <v>1</v>
      </c>
      <c r="AF1949">
        <f>AF1947</f>
        <v>802</v>
      </c>
    </row>
    <row r="1950" spans="1:32" ht="17.149999999999999" x14ac:dyDescent="0.55000000000000004">
      <c r="B1950" t="str">
        <f t="shared" si="7077"/>
        <v>Portland</v>
      </c>
      <c r="C1950" t="s">
        <v>570</v>
      </c>
      <c r="D1950" cm="1">
        <f t="array" ref="D1950">INDEX(FX_Multi,$AD1950,D$3)</f>
        <v>1</v>
      </c>
      <c r="E1950" cm="1">
        <f t="array" ref="E1950">INDEX(FX_Multi,$AD1950,E$3)</f>
        <v>1</v>
      </c>
      <c r="F1950" cm="1">
        <f t="array" ref="F1950">INDEX(FX_Multi,$AD1950,F$3)</f>
        <v>1</v>
      </c>
      <c r="G1950" cm="1">
        <f t="array" ref="G1950">INDEX(FX_Multi,$AD1950,G$3)</f>
        <v>1</v>
      </c>
      <c r="H1950" cm="1">
        <f t="array" ref="H1950">INDEX(FX_Multi,$AD1950,H$3)</f>
        <v>1</v>
      </c>
      <c r="I1950" cm="1">
        <f t="array" ref="I1950">INDEX(FX_Multi,$AD1950,I$3)</f>
        <v>1</v>
      </c>
      <c r="J1950" cm="1">
        <f t="array" ref="J1950">INDEX(FX_Multi,$AD1950,J$3)</f>
        <v>1</v>
      </c>
      <c r="K1950" cm="1">
        <f t="array" ref="K1950">INDEX(FX_Multi,$AD1950,K$3)</f>
        <v>1</v>
      </c>
      <c r="L1950" cm="1">
        <f t="array" ref="L1950">INDEX(FX_Multi,$AD1950,L$3)</f>
        <v>1</v>
      </c>
      <c r="M1950" cm="1">
        <f t="array" ref="M1950">INDEX(FX_Multi,$AD1950,M$3)</f>
        <v>1</v>
      </c>
      <c r="N1950" cm="1">
        <f t="array" ref="N1950">INDEX(FX_Multi,$AD1950,N$3)</f>
        <v>1</v>
      </c>
      <c r="O1950" cm="1">
        <f t="array" ref="O1950">INDEX(FX_Multi,$AD1950,O$3)</f>
        <v>1</v>
      </c>
      <c r="AC1950">
        <v>1</v>
      </c>
      <c r="AD1950">
        <f>AD1949+6</f>
        <v>808</v>
      </c>
      <c r="AE1950">
        <v>1</v>
      </c>
      <c r="AF1950">
        <f>AF1946+9</f>
        <v>808</v>
      </c>
    </row>
    <row r="1951" spans="1:32" ht="17.149999999999999" x14ac:dyDescent="0.55000000000000004">
      <c r="B1951" t="str">
        <f t="shared" si="7077"/>
        <v>Portland</v>
      </c>
      <c r="C1951" t="s">
        <v>571</v>
      </c>
      <c r="D1951" cm="1">
        <f t="array" ref="D1951">INDEX(FX_Multi,$AD1951,D$3)</f>
        <v>162</v>
      </c>
      <c r="E1951" cm="1">
        <f t="array" ref="E1951">INDEX(FX_Multi,$AD1951,E$3)</f>
        <v>162</v>
      </c>
      <c r="F1951" cm="1">
        <f t="array" ref="F1951">INDEX(FX_Multi,$AD1951,F$3)</f>
        <v>162</v>
      </c>
      <c r="G1951" cm="1">
        <f t="array" ref="G1951">INDEX(FX_Multi,$AD1951,G$3)</f>
        <v>162</v>
      </c>
      <c r="H1951" cm="1">
        <f t="array" ref="H1951">INDEX(FX_Multi,$AD1951,H$3)</f>
        <v>162</v>
      </c>
      <c r="I1951" cm="1">
        <f t="array" ref="I1951">INDEX(FX_Multi,$AD1951,I$3)</f>
        <v>162</v>
      </c>
      <c r="J1951" cm="1">
        <f t="array" ref="J1951">INDEX(FX_Multi,$AD1951,J$3)</f>
        <v>162</v>
      </c>
      <c r="K1951" cm="1">
        <f t="array" ref="K1951">INDEX(FX_Multi,$AD1951,K$3)</f>
        <v>162</v>
      </c>
      <c r="L1951" cm="1">
        <f t="array" ref="L1951">INDEX(FX_Multi,$AD1951,L$3)</f>
        <v>162</v>
      </c>
      <c r="M1951" cm="1">
        <f t="array" ref="M1951">INDEX(FX_Multi,$AD1951,M$3)</f>
        <v>162</v>
      </c>
      <c r="N1951" cm="1">
        <f t="array" ref="N1951">INDEX(FX_Multi,$AD1951,N$3)</f>
        <v>162</v>
      </c>
      <c r="O1951" cm="1">
        <f t="array" ref="O1951">INDEX(FX_Multi,$AD1951,O$3)</f>
        <v>162</v>
      </c>
      <c r="AC1951">
        <v>1</v>
      </c>
      <c r="AD1951">
        <f>AD1950-3</f>
        <v>805</v>
      </c>
      <c r="AE1951">
        <v>1</v>
      </c>
      <c r="AF1951">
        <f>AF1946+6</f>
        <v>805</v>
      </c>
    </row>
    <row r="1952" spans="1:32" ht="17.149999999999999" x14ac:dyDescent="0.55000000000000004">
      <c r="B1952" t="str">
        <f t="shared" si="7077"/>
        <v>Portland</v>
      </c>
      <c r="C1952" t="s">
        <v>572</v>
      </c>
      <c r="D1952" cm="1">
        <f t="array" ref="D1952">INDEX(FX_Multi,$AD1952,D$3)</f>
        <v>0</v>
      </c>
      <c r="E1952" cm="1">
        <f t="array" ref="E1952">INDEX(FX_Multi,$AD1952,E$3)</f>
        <v>0</v>
      </c>
      <c r="F1952" cm="1">
        <f t="array" ref="F1952">INDEX(FX_Multi,$AD1952,F$3)</f>
        <v>0</v>
      </c>
      <c r="G1952" cm="1">
        <f t="array" ref="G1952">INDEX(FX_Multi,$AD1952,G$3)</f>
        <v>0</v>
      </c>
      <c r="H1952" cm="1">
        <f t="array" ref="H1952">INDEX(FX_Multi,$AD1952,H$3)</f>
        <v>0</v>
      </c>
      <c r="I1952" cm="1">
        <f t="array" ref="I1952">INDEX(FX_Multi,$AD1952,I$3)</f>
        <v>0</v>
      </c>
      <c r="J1952" cm="1">
        <f t="array" ref="J1952">INDEX(FX_Multi,$AD1952,J$3)</f>
        <v>0</v>
      </c>
      <c r="K1952" cm="1">
        <f t="array" ref="K1952">INDEX(FX_Multi,$AD1952,K$3)</f>
        <v>0</v>
      </c>
      <c r="L1952" cm="1">
        <f t="array" ref="L1952">INDEX(FX_Multi,$AD1952,L$3)</f>
        <v>0</v>
      </c>
      <c r="M1952" cm="1">
        <f t="array" ref="M1952">INDEX(FX_Multi,$AD1952,M$3)</f>
        <v>0</v>
      </c>
      <c r="N1952" cm="1">
        <f t="array" ref="N1952">INDEX(FX_Multi,$AD1952,N$3)</f>
        <v>0</v>
      </c>
      <c r="O1952" cm="1">
        <f t="array" ref="O1952">INDEX(FX_Multi,$AD1952,O$3)</f>
        <v>0</v>
      </c>
      <c r="AC1952">
        <v>1</v>
      </c>
      <c r="AD1952">
        <f>AD1951+4</f>
        <v>809</v>
      </c>
      <c r="AE1952">
        <v>1</v>
      </c>
      <c r="AF1952">
        <f>AF1946+10</f>
        <v>809</v>
      </c>
    </row>
    <row r="1953" spans="2:32" ht="17.149999999999999" x14ac:dyDescent="0.55000000000000004">
      <c r="B1953" t="str">
        <f t="shared" si="7077"/>
        <v>Portland</v>
      </c>
      <c r="C1953" t="s">
        <v>573</v>
      </c>
      <c r="D1953" cm="1">
        <f t="array" ref="D1953">INDEX(FX_Multi,$AD1953,D$3)</f>
        <v>0</v>
      </c>
      <c r="E1953" cm="1">
        <f t="array" ref="E1953">INDEX(FX_Multi,$AD1953,E$3)</f>
        <v>0</v>
      </c>
      <c r="F1953" cm="1">
        <f t="array" ref="F1953">INDEX(FX_Multi,$AD1953,F$3)</f>
        <v>0</v>
      </c>
      <c r="G1953" cm="1">
        <f t="array" ref="G1953">INDEX(FX_Multi,$AD1953,G$3)</f>
        <v>0</v>
      </c>
      <c r="H1953" cm="1">
        <f t="array" ref="H1953">INDEX(FX_Multi,$AD1953,H$3)</f>
        <v>0</v>
      </c>
      <c r="I1953" cm="1">
        <f t="array" ref="I1953">INDEX(FX_Multi,$AD1953,I$3)</f>
        <v>0</v>
      </c>
      <c r="J1953" cm="1">
        <f t="array" ref="J1953">INDEX(FX_Multi,$AD1953,J$3)</f>
        <v>0</v>
      </c>
      <c r="K1953" cm="1">
        <f t="array" ref="K1953">INDEX(FX_Multi,$AD1953,K$3)</f>
        <v>0</v>
      </c>
      <c r="L1953" cm="1">
        <f t="array" ref="L1953">INDEX(FX_Multi,$AD1953,L$3)</f>
        <v>0</v>
      </c>
      <c r="M1953" cm="1">
        <f t="array" ref="M1953">INDEX(FX_Multi,$AD1953,M$3)</f>
        <v>0</v>
      </c>
      <c r="N1953" cm="1">
        <f t="array" ref="N1953">INDEX(FX_Multi,$AD1953,N$3)</f>
        <v>0</v>
      </c>
      <c r="O1953" cm="1">
        <f t="array" ref="O1953">INDEX(FX_Multi,$AD1953,O$3)</f>
        <v>0</v>
      </c>
      <c r="AC1953">
        <v>1</v>
      </c>
      <c r="AD1953">
        <f>AD1952-3</f>
        <v>806</v>
      </c>
      <c r="AE1953">
        <v>1</v>
      </c>
      <c r="AF1953">
        <f>AF1946+7</f>
        <v>806</v>
      </c>
    </row>
    <row r="1954" spans="2:32" ht="17.149999999999999" x14ac:dyDescent="0.55000000000000004">
      <c r="B1954" t="str">
        <f>B1949</f>
        <v>Portland</v>
      </c>
      <c r="C1954" t="s">
        <v>526</v>
      </c>
      <c r="D1954" cm="1">
        <f t="array" ref="D1954">INDEX(FX_Temps,$AF1954,D$3)</f>
        <v>44.328749999999957</v>
      </c>
      <c r="E1954" cm="1">
        <f t="array" ref="E1954">INDEX(FX_Temps,$AF1954,E$3)</f>
        <v>45.450000000000045</v>
      </c>
      <c r="F1954" cm="1">
        <f t="array" ref="F1954">INDEX(FX_Temps,$AF1954,F$3)</f>
        <v>47.19625000000002</v>
      </c>
      <c r="G1954" cm="1">
        <f t="array" ref="G1954">INDEX(FX_Temps,$AF1954,G$3)</f>
        <v>50.164999999999907</v>
      </c>
      <c r="H1954" cm="1">
        <f t="array" ref="H1954">INDEX(FX_Temps,$AF1954,H$3)</f>
        <v>55.071249999999964</v>
      </c>
      <c r="I1954" cm="1">
        <f t="array" ref="I1954">INDEX(FX_Temps,$AF1954,I$3)</f>
        <v>58.9837500000001</v>
      </c>
      <c r="J1954" cm="1">
        <f t="array" ref="J1954">INDEX(FX_Temps,$AF1954,J$3)</f>
        <v>62.584999999999923</v>
      </c>
      <c r="K1954" cm="1">
        <f t="array" ref="K1954">INDEX(FX_Temps,$AF1954,K$3)</f>
        <v>62.764999999999986</v>
      </c>
      <c r="L1954" cm="1">
        <f t="array" ref="L1954">INDEX(FX_Temps,$AF1954,L$3)</f>
        <v>60.095000000000027</v>
      </c>
      <c r="M1954" cm="1">
        <f t="array" ref="M1954">INDEX(FX_Temps,$AF1954,M$3)</f>
        <v>53.559999999999945</v>
      </c>
      <c r="N1954" cm="1">
        <f t="array" ref="N1954">INDEX(FX_Temps,$AF1954,N$3)</f>
        <v>47.588750000000005</v>
      </c>
      <c r="O1954" cm="1">
        <f t="array" ref="O1954">INDEX(FX_Temps,$AF1954,O$3)</f>
        <v>43.97750000000002</v>
      </c>
      <c r="AE1954">
        <v>1</v>
      </c>
      <c r="AF1954">
        <f>AF1946+10</f>
        <v>809</v>
      </c>
    </row>
    <row r="1955" spans="2:32" ht="17.149999999999999" x14ac:dyDescent="0.55000000000000004">
      <c r="B1955" t="str">
        <f t="shared" ref="B1955:B1976" si="7078">B1954</f>
        <v>Portland</v>
      </c>
      <c r="C1955" t="s">
        <v>527</v>
      </c>
      <c r="D1955" cm="1">
        <f t="array" ref="D1955">INDEX(FX_Temps,$AF1955,D$3)</f>
        <v>44.328749999999957</v>
      </c>
      <c r="E1955" cm="1">
        <f t="array" ref="E1955">INDEX(FX_Temps,$AF1955,E$3)</f>
        <v>45.450000000000045</v>
      </c>
      <c r="F1955" cm="1">
        <f t="array" ref="F1955">INDEX(FX_Temps,$AF1955,F$3)</f>
        <v>47.19625000000002</v>
      </c>
      <c r="G1955" cm="1">
        <f t="array" ref="G1955">INDEX(FX_Temps,$AF1955,G$3)</f>
        <v>50.164999999999907</v>
      </c>
      <c r="H1955" cm="1">
        <f t="array" ref="H1955">INDEX(FX_Temps,$AF1955,H$3)</f>
        <v>55.071249999999964</v>
      </c>
      <c r="I1955" cm="1">
        <f t="array" ref="I1955">INDEX(FX_Temps,$AF1955,I$3)</f>
        <v>58.9837500000001</v>
      </c>
      <c r="J1955" cm="1">
        <f t="array" ref="J1955">INDEX(FX_Temps,$AF1955,J$3)</f>
        <v>62.584999999999923</v>
      </c>
      <c r="K1955" cm="1">
        <f t="array" ref="K1955">INDEX(FX_Temps,$AF1955,K$3)</f>
        <v>62.764999999999986</v>
      </c>
      <c r="L1955" cm="1">
        <f t="array" ref="L1955">INDEX(FX_Temps,$AF1955,L$3)</f>
        <v>60.095000000000027</v>
      </c>
      <c r="M1955" cm="1">
        <f t="array" ref="M1955">INDEX(FX_Temps,$AF1955,M$3)</f>
        <v>53.559999999999945</v>
      </c>
      <c r="N1955" cm="1">
        <f t="array" ref="N1955">INDEX(FX_Temps,$AF1955,N$3)</f>
        <v>47.588750000000005</v>
      </c>
      <c r="O1955" cm="1">
        <f t="array" ref="O1955">INDEX(FX_Temps,$AF1955,O$3)</f>
        <v>43.97750000000002</v>
      </c>
      <c r="AE1955">
        <f>AE1954</f>
        <v>1</v>
      </c>
      <c r="AF1955">
        <f>AF1946+11</f>
        <v>810</v>
      </c>
    </row>
    <row r="1956" spans="2:32" ht="17.149999999999999" x14ac:dyDescent="0.55000000000000004">
      <c r="B1956" t="str">
        <f t="shared" si="7078"/>
        <v>Portland</v>
      </c>
      <c r="C1956" t="s">
        <v>552</v>
      </c>
      <c r="D1956" cm="1">
        <f t="array" ref="D1956">INDEX(FX_Temps,$AF1956,D$3)</f>
        <v>44.757499999999993</v>
      </c>
      <c r="E1956" cm="1">
        <f t="array" ref="E1956">INDEX(FX_Temps,$AF1956,E$3)</f>
        <v>46.200000000000045</v>
      </c>
      <c r="F1956" cm="1">
        <f t="array" ref="F1956">INDEX(FX_Temps,$AF1956,F$3)</f>
        <v>48.292500000000018</v>
      </c>
      <c r="G1956" cm="1">
        <f t="array" ref="G1956">INDEX(FX_Temps,$AF1956,G$3)</f>
        <v>51.729999999999905</v>
      </c>
      <c r="H1956" cm="1">
        <f t="array" ref="H1956">INDEX(FX_Temps,$AF1956,H$3)</f>
        <v>56.99249999999995</v>
      </c>
      <c r="I1956" cm="1">
        <f t="array" ref="I1956">INDEX(FX_Temps,$AF1956,I$3)</f>
        <v>61.017500000000041</v>
      </c>
      <c r="J1956" cm="1">
        <f t="array" ref="J1956">INDEX(FX_Temps,$AF1956,J$3)</f>
        <v>64.719999999999914</v>
      </c>
      <c r="K1956" cm="1">
        <f t="array" ref="K1956">INDEX(FX_Temps,$AF1956,K$3)</f>
        <v>64.63</v>
      </c>
      <c r="L1956" cm="1">
        <f t="array" ref="L1956">INDEX(FX_Temps,$AF1956,L$3)</f>
        <v>61.590000000000032</v>
      </c>
      <c r="M1956" cm="1">
        <f t="array" ref="M1956">INDEX(FX_Temps,$AF1956,M$3)</f>
        <v>54.470000000000027</v>
      </c>
      <c r="N1956" cm="1">
        <f t="array" ref="N1956">INDEX(FX_Temps,$AF1956,N$3)</f>
        <v>48.077500000000043</v>
      </c>
      <c r="O1956" cm="1">
        <f t="array" ref="O1956">INDEX(FX_Temps,$AF1956,O$3)</f>
        <v>44.355000000000018</v>
      </c>
      <c r="AE1956">
        <f>AE1955</f>
        <v>1</v>
      </c>
      <c r="AF1956">
        <f>AF1946+13</f>
        <v>812</v>
      </c>
    </row>
    <row r="1957" spans="2:32" ht="17.149999999999999" x14ac:dyDescent="0.55000000000000004">
      <c r="B1957" t="str">
        <f t="shared" si="7078"/>
        <v>Portland</v>
      </c>
      <c r="C1957" t="s">
        <v>574</v>
      </c>
      <c r="D1957" cm="1">
        <f t="array" ref="D1957">IFERROR(IF(D1947="Chemical",(10^(INDEX(Antoines,MATCH(D1946,Antoine_Name,0),2)-INDEX(Antoines,MATCH(D1946,Antoine_Name,0),3)/(INDEX(Antoines,MATCH(D1946,Antoine_Name,0),4)+(D1954-32)*5/9)))*14.7/760,IF(D1947="Crude Oil",EXP((2799/(D1954+459.6)-2.227)*LOG10(INDEX(FX_Input,Q$5,D$3*$Z$5+$AA$5))-(7261/(D1954+459.6))+12.82),IF(D1947="Refined Petroleum Stock",EXP((0.7553-(413/(D1954+459.6)))*(INDEX(FX_Input,Q$5,D$3*$Z$5+$AA$5-1)^0.5)*LOG10(INDEX(FX_Input,Q$5,D$3*$Z$5+$AA$5))-(1.854-(1042/(D1954+459.6)))*(INDEX(FX_Input,Q$5,D$3*$Z$5+$AA$5-1)^0.5)+((2416/(D1954+459.6)-2.013)*LOG10(INDEX(FX_Input,Q$5,D$3*$Z$5+$AA$5)))-(8742/(D1954+459.6))+15.64),EXP(INDEX(Antoines,MATCH(D1946,Antoine_Name,0),2)-INDEX(Antoines,MATCH(D1946,Antoine_Name,0),3)/(D1954+459.6))))),0)</f>
        <v>4.8116637646820016E-3</v>
      </c>
      <c r="E1957" cm="1">
        <f t="array" ref="E1957">IFERROR(IF(E1947="Chemical",(10^(INDEX(Antoines,MATCH(E1946,Antoine_Name,0),2)-INDEX(Antoines,MATCH(E1946,Antoine_Name,0),3)/(INDEX(Antoines,MATCH(E1946,Antoine_Name,0),4)+(E1954-32)*5/9)))*14.7/760,IF(E1947="Crude Oil",EXP((2799/(E1954+459.6)-2.227)*LOG10(INDEX(FX_Input,R$5,E$3*$Z$5+$AA$5))-(7261/(E1954+459.6))+12.82),IF(E1947="Refined Petroleum Stock",EXP((0.7553-(413/(E1954+459.6)))*(INDEX(FX_Input,R$5,E$3*$Z$5+$AA$5-1)^0.5)*LOG10(INDEX(FX_Input,R$5,E$3*$Z$5+$AA$5))-(1.854-(1042/(E1954+459.6)))*(INDEX(FX_Input,R$5,E$3*$Z$5+$AA$5-1)^0.5)+((2416/(E1954+459.6)-2.013)*LOG10(INDEX(FX_Input,R$5,E$3*$Z$5+$AA$5)))-(8742/(E1954+459.6))+15.64),EXP(INDEX(Antoines,MATCH(E1946,Antoine_Name,0),2)-INDEX(Antoines,MATCH(E1946,Antoine_Name,0),3)/(E1954+459.6))))),0)</f>
        <v>5.0048006991488458E-3</v>
      </c>
      <c r="F1957" cm="1">
        <f t="array" ref="F1957">IFERROR(IF(F1947="Chemical",(10^(INDEX(Antoines,MATCH(F1946,Antoine_Name,0),2)-INDEX(Antoines,MATCH(F1946,Antoine_Name,0),3)/(INDEX(Antoines,MATCH(F1946,Antoine_Name,0),4)+(F1954-32)*5/9)))*14.7/760,IF(F1947="Crude Oil",EXP((2799/(F1954+459.6)-2.227)*LOG10(INDEX(FX_Input,S$5,F$3*$Z$5+$AA$5))-(7261/(F1954+459.6))+12.82),IF(F1947="Refined Petroleum Stock",EXP((0.7553-(413/(F1954+459.6)))*(INDEX(FX_Input,S$5,F$3*$Z$5+$AA$5-1)^0.5)*LOG10(INDEX(FX_Input,S$5,F$3*$Z$5+$AA$5))-(1.854-(1042/(F1954+459.6)))*(INDEX(FX_Input,S$5,F$3*$Z$5+$AA$5-1)^0.5)+((2416/(F1954+459.6)-2.013)*LOG10(INDEX(FX_Input,S$5,F$3*$Z$5+$AA$5)))-(8742/(F1954+459.6))+15.64),EXP(INDEX(Antoines,MATCH(F1946,Antoine_Name,0),2)-INDEX(Antoines,MATCH(F1946,Antoine_Name,0),3)/(F1954+459.6))))),0)</f>
        <v>5.3193030941574935E-3</v>
      </c>
      <c r="G1957" cm="1">
        <f t="array" ref="G1957">IFERROR(IF(G1947="Chemical",(10^(INDEX(Antoines,MATCH(G1946,Antoine_Name,0),2)-INDEX(Antoines,MATCH(G1946,Antoine_Name,0),3)/(INDEX(Antoines,MATCH(G1946,Antoine_Name,0),4)+(G1954-32)*5/9)))*14.7/760,IF(G1947="Crude Oil",EXP((2799/(G1954+459.6)-2.227)*LOG10(INDEX(FX_Input,T$5,G$3*$Z$5+$AA$5))-(7261/(G1954+459.6))+12.82),IF(G1947="Refined Petroleum Stock",EXP((0.7553-(413/(G1954+459.6)))*(INDEX(FX_Input,T$5,G$3*$Z$5+$AA$5-1)^0.5)*LOG10(INDEX(FX_Input,T$5,G$3*$Z$5+$AA$5))-(1.854-(1042/(G1954+459.6)))*(INDEX(FX_Input,T$5,G$3*$Z$5+$AA$5-1)^0.5)+((2416/(G1954+459.6)-2.013)*LOG10(INDEX(FX_Input,T$5,G$3*$Z$5+$AA$5)))-(8742/(G1954+459.6))+15.64),EXP(INDEX(Antoines,MATCH(G1946,Antoine_Name,0),2)-INDEX(Antoines,MATCH(G1946,Antoine_Name,0),3)/(G1954+459.6))))),0)</f>
        <v>5.8943503851042415E-3</v>
      </c>
      <c r="H1957" cm="1">
        <f t="array" ref="H1957">IFERROR(IF(H1947="Chemical",(10^(INDEX(Antoines,MATCH(H1946,Antoine_Name,0),2)-INDEX(Antoines,MATCH(H1946,Antoine_Name,0),3)/(INDEX(Antoines,MATCH(H1946,Antoine_Name,0),4)+(H1954-32)*5/9)))*14.7/760,IF(H1947="Crude Oil",EXP((2799/(H1954+459.6)-2.227)*LOG10(INDEX(FX_Input,U$5,H$3*$Z$5+$AA$5))-(7261/(H1954+459.6))+12.82),IF(H1947="Refined Petroleum Stock",EXP((0.7553-(413/(H1954+459.6)))*(INDEX(FX_Input,U$5,H$3*$Z$5+$AA$5-1)^0.5)*LOG10(INDEX(FX_Input,U$5,H$3*$Z$5+$AA$5))-(1.854-(1042/(H1954+459.6)))*(INDEX(FX_Input,U$5,H$3*$Z$5+$AA$5-1)^0.5)+((2416/(H1954+459.6)-2.013)*LOG10(INDEX(FX_Input,U$5,H$3*$Z$5+$AA$5)))-(8742/(H1954+459.6))+15.64),EXP(INDEX(Antoines,MATCH(H1946,Antoine_Name,0),2)-INDEX(Antoines,MATCH(H1946,Antoine_Name,0),3)/(H1954+459.6))))),0)</f>
        <v>6.9660236232598005E-3</v>
      </c>
      <c r="I1957" cm="1">
        <f t="array" ref="I1957">IFERROR(IF(I1947="Chemical",(10^(INDEX(Antoines,MATCH(I1946,Antoine_Name,0),2)-INDEX(Antoines,MATCH(I1946,Antoine_Name,0),3)/(INDEX(Antoines,MATCH(I1946,Antoine_Name,0),4)+(I1954-32)*5/9)))*14.7/760,IF(I1947="Crude Oil",EXP((2799/(I1954+459.6)-2.227)*LOG10(INDEX(FX_Input,V$5,I$3*$Z$5+$AA$5))-(7261/(I1954+459.6))+12.82),IF(I1947="Refined Petroleum Stock",EXP((0.7553-(413/(I1954+459.6)))*(INDEX(FX_Input,V$5,I$3*$Z$5+$AA$5-1)^0.5)*LOG10(INDEX(FX_Input,V$5,I$3*$Z$5+$AA$5))-(1.854-(1042/(I1954+459.6)))*(INDEX(FX_Input,V$5,I$3*$Z$5+$AA$5-1)^0.5)+((2416/(I1954+459.6)-2.013)*LOG10(INDEX(FX_Input,V$5,I$3*$Z$5+$AA$5)))-(8742/(I1954+459.6))+15.64),EXP(INDEX(Antoines,MATCH(I1946,Antoine_Name,0),2)-INDEX(Antoines,MATCH(I1946,Antoine_Name,0),3)/(I1954+459.6))))),0)</f>
        <v>7.9406391529506654E-3</v>
      </c>
      <c r="J1957" cm="1">
        <f t="array" ref="J1957">IFERROR(IF(J1947="Chemical",(10^(INDEX(Antoines,MATCH(J1946,Antoine_Name,0),2)-INDEX(Antoines,MATCH(J1946,Antoine_Name,0),3)/(INDEX(Antoines,MATCH(J1946,Antoine_Name,0),4)+(J1954-32)*5/9)))*14.7/760,IF(J1947="Crude Oil",EXP((2799/(J1954+459.6)-2.227)*LOG10(INDEX(FX_Input,W$5,J$3*$Z$5+$AA$5))-(7261/(J1954+459.6))+12.82),IF(J1947="Refined Petroleum Stock",EXP((0.7553-(413/(J1954+459.6)))*(INDEX(FX_Input,W$5,J$3*$Z$5+$AA$5-1)^0.5)*LOG10(INDEX(FX_Input,W$5,J$3*$Z$5+$AA$5))-(1.854-(1042/(J1954+459.6)))*(INDEX(FX_Input,W$5,J$3*$Z$5+$AA$5-1)^0.5)+((2416/(J1954+459.6)-2.013)*LOG10(INDEX(FX_Input,W$5,J$3*$Z$5+$AA$5)))-(8742/(J1954+459.6))+15.64),EXP(INDEX(Antoines,MATCH(J1946,Antoine_Name,0),2)-INDEX(Antoines,MATCH(J1946,Antoine_Name,0),3)/(J1954+459.6))))),0)</f>
        <v>8.9422860963673592E-3</v>
      </c>
      <c r="K1957" cm="1">
        <f t="array" ref="K1957">IFERROR(IF(K1947="Chemical",(10^(INDEX(Antoines,MATCH(K1946,Antoine_Name,0),2)-INDEX(Antoines,MATCH(K1946,Antoine_Name,0),3)/(INDEX(Antoines,MATCH(K1946,Antoine_Name,0),4)+(K1954-32)*5/9)))*14.7/760,IF(K1947="Crude Oil",EXP((2799/(K1954+459.6)-2.227)*LOG10(INDEX(FX_Input,X$5,K$3*$Z$5+$AA$5))-(7261/(K1954+459.6))+12.82),IF(K1947="Refined Petroleum Stock",EXP((0.7553-(413/(K1954+459.6)))*(INDEX(FX_Input,X$5,K$3*$Z$5+$AA$5-1)^0.5)*LOG10(INDEX(FX_Input,X$5,K$3*$Z$5+$AA$5))-(1.854-(1042/(K1954+459.6)))*(INDEX(FX_Input,X$5,K$3*$Z$5+$AA$5-1)^0.5)+((2416/(K1954+459.6)-2.013)*LOG10(INDEX(FX_Input,X$5,K$3*$Z$5+$AA$5)))-(8742/(K1954+459.6))+15.64),EXP(INDEX(Antoines,MATCH(K1946,Antoine_Name,0),2)-INDEX(Antoines,MATCH(K1946,Antoine_Name,0),3)/(K1954+459.6))))),0)</f>
        <v>8.9951550374627008E-3</v>
      </c>
      <c r="L1957" cm="1">
        <f t="array" ref="L1957">IFERROR(IF(L1947="Chemical",(10^(INDEX(Antoines,MATCH(L1946,Antoine_Name,0),2)-INDEX(Antoines,MATCH(L1946,Antoine_Name,0),3)/(INDEX(Antoines,MATCH(L1946,Antoine_Name,0),4)+(L1954-32)*5/9)))*14.7/760,IF(L1947="Crude Oil",EXP((2799/(L1954+459.6)-2.227)*LOG10(INDEX(FX_Input,Y$5,L$3*$Z$5+$AA$5))-(7261/(L1954+459.6))+12.82),IF(L1947="Refined Petroleum Stock",EXP((0.7553-(413/(L1954+459.6)))*(INDEX(FX_Input,Y$5,L$3*$Z$5+$AA$5-1)^0.5)*LOG10(INDEX(FX_Input,Y$5,L$3*$Z$5+$AA$5))-(1.854-(1042/(L1954+459.6)))*(INDEX(FX_Input,Y$5,L$3*$Z$5+$AA$5-1)^0.5)+((2416/(L1954+459.6)-2.013)*LOG10(INDEX(FX_Input,Y$5,L$3*$Z$5+$AA$5)))-(8742/(L1954+459.6))+15.64),EXP(INDEX(Antoines,MATCH(L1946,Antoine_Name,0),2)-INDEX(Antoines,MATCH(L1946,Antoine_Name,0),3)/(L1954+459.6))))),0)</f>
        <v>8.2385730689388259E-3</v>
      </c>
      <c r="M1957" cm="1">
        <f t="array" ref="M1957">IFERROR(IF(M1947="Chemical",(10^(INDEX(Antoines,MATCH(M1946,Antoine_Name,0),2)-INDEX(Antoines,MATCH(M1946,Antoine_Name,0),3)/(INDEX(Antoines,MATCH(M1946,Antoine_Name,0),4)+(M1954-32)*5/9)))*14.7/760,IF(M1947="Crude Oil",EXP((2799/(M1954+459.6)-2.227)*LOG10(INDEX(FX_Input,Z$5,M$3*$Z$5+$AA$5))-(7261/(M1954+459.6))+12.82),IF(M1947="Refined Petroleum Stock",EXP((0.7553-(413/(M1954+459.6)))*(INDEX(FX_Input,Z$5,M$3*$Z$5+$AA$5-1)^0.5)*LOG10(INDEX(FX_Input,Z$5,M$3*$Z$5+$AA$5))-(1.854-(1042/(M1954+459.6)))*(INDEX(FX_Input,Z$5,M$3*$Z$5+$AA$5-1)^0.5)+((2416/(M1954+459.6)-2.013)*LOG10(INDEX(FX_Input,Z$5,M$3*$Z$5+$AA$5)))-(8742/(M1954+459.6))+15.64),EXP(INDEX(Antoines,MATCH(M1946,Antoine_Name,0),2)-INDEX(Antoines,MATCH(M1946,Antoine_Name,0),3)/(M1954+459.6))))),0)</f>
        <v>6.618900442185772E-3</v>
      </c>
      <c r="N1957" cm="1">
        <f t="array" ref="N1957">IFERROR(IF(N1947="Chemical",(10^(INDEX(Antoines,MATCH(N1946,Antoine_Name,0),2)-INDEX(Antoines,MATCH(N1946,Antoine_Name,0),3)/(INDEX(Antoines,MATCH(N1946,Antoine_Name,0),4)+(N1954-32)*5/9)))*14.7/760,IF(N1947="Crude Oil",EXP((2799/(N1954+459.6)-2.227)*LOG10(INDEX(FX_Input,AA$5,N$3*$Z$5+$AA$5))-(7261/(N1954+459.6))+12.82),IF(N1947="Refined Petroleum Stock",EXP((0.7553-(413/(N1954+459.6)))*(INDEX(FX_Input,AA$5,N$3*$Z$5+$AA$5-1)^0.5)*LOG10(INDEX(FX_Input,AA$5,N$3*$Z$5+$AA$5))-(1.854-(1042/(N1954+459.6)))*(INDEX(FX_Input,AA$5,N$3*$Z$5+$AA$5-1)^0.5)+((2416/(N1954+459.6)-2.013)*LOG10(INDEX(FX_Input,AA$5,N$3*$Z$5+$AA$5)))-(8742/(N1954+459.6))+15.64),EXP(INDEX(Antoines,MATCH(N1946,Antoine_Name,0),2)-INDEX(Antoines,MATCH(N1946,Antoine_Name,0),3)/(N1954+459.6))))),0)</f>
        <v>5.3923587959108042E-3</v>
      </c>
      <c r="O1957" cm="1">
        <f t="array" ref="O1957">IFERROR(IF(O1947="Chemical",(10^(INDEX(Antoines,MATCH(O1946,Antoine_Name,0),2)-INDEX(Antoines,MATCH(O1946,Antoine_Name,0),3)/(INDEX(Antoines,MATCH(O1946,Antoine_Name,0),4)+(O1954-32)*5/9)))*14.7/760,IF(O1947="Crude Oil",EXP((2799/(O1954+459.6)-2.227)*LOG10(INDEX(FX_Input,AB$5,O$3*$Z$5+$AA$5))-(7261/(O1954+459.6))+12.82),IF(O1947="Refined Petroleum Stock",EXP((0.7553-(413/(O1954+459.6)))*(INDEX(FX_Input,AB$5,O$3*$Z$5+$AA$5-1)^0.5)*LOG10(INDEX(FX_Input,AB$5,O$3*$Z$5+$AA$5))-(1.854-(1042/(O1954+459.6)))*(INDEX(FX_Input,AB$5,O$3*$Z$5+$AA$5-1)^0.5)+((2416/(O1954+459.6)-2.013)*LOG10(INDEX(FX_Input,AB$5,O$3*$Z$5+$AA$5)))-(8742/(O1954+459.6))+15.64),EXP(INDEX(Antoines,MATCH(O1946,Antoine_Name,0),2)-INDEX(Antoines,MATCH(O1946,Antoine_Name,0),3)/(O1954+459.6))))),0)</f>
        <v>4.7525360186456101E-3</v>
      </c>
    </row>
    <row r="1958" spans="2:32" ht="17.149999999999999" x14ac:dyDescent="0.55000000000000004">
      <c r="B1958" t="str">
        <f t="shared" si="7078"/>
        <v>Portland</v>
      </c>
      <c r="C1958" t="s">
        <v>576</v>
      </c>
      <c r="D1958">
        <f>D1950*D1957</f>
        <v>4.8116637646820016E-3</v>
      </c>
      <c r="E1958">
        <f t="shared" ref="E1958:O1958" si="7079">E1950*E1957</f>
        <v>5.0048006991488458E-3</v>
      </c>
      <c r="F1958">
        <f t="shared" si="7079"/>
        <v>5.3193030941574935E-3</v>
      </c>
      <c r="G1958">
        <f t="shared" si="7079"/>
        <v>5.8943503851042415E-3</v>
      </c>
      <c r="H1958">
        <f t="shared" si="7079"/>
        <v>6.9660236232598005E-3</v>
      </c>
      <c r="I1958">
        <f t="shared" si="7079"/>
        <v>7.9406391529506654E-3</v>
      </c>
      <c r="J1958">
        <f t="shared" si="7079"/>
        <v>8.9422860963673592E-3</v>
      </c>
      <c r="K1958">
        <f t="shared" si="7079"/>
        <v>8.9951550374627008E-3</v>
      </c>
      <c r="L1958">
        <f t="shared" si="7079"/>
        <v>8.2385730689388259E-3</v>
      </c>
      <c r="M1958">
        <f t="shared" si="7079"/>
        <v>6.618900442185772E-3</v>
      </c>
      <c r="N1958">
        <f t="shared" si="7079"/>
        <v>5.3923587959108042E-3</v>
      </c>
      <c r="O1958">
        <f t="shared" si="7079"/>
        <v>4.7525360186456101E-3</v>
      </c>
    </row>
    <row r="1959" spans="2:32" ht="17.149999999999999" x14ac:dyDescent="0.55000000000000004">
      <c r="B1959" t="str">
        <f t="shared" si="7078"/>
        <v>Portland</v>
      </c>
      <c r="C1959" t="s">
        <v>575</v>
      </c>
      <c r="D1959" cm="1">
        <f t="array" ref="D1959">IFERROR(IF(D1949="Chemical",(10^(INDEX(Antoines,MATCH(D1948,Antoine_Name,0),2)-INDEX(Antoines,MATCH(D1948,Antoine_Name,0),3)/(INDEX(Antoines,MATCH(D1948,Antoine_Name,0),4)+(D1954-32)*5/9)))*14.7/760,IF(D1949="Crude Oil",EXP((2799/(D1954+459.6)-2.227)*LOG10(INDEX(FX_Input,Q$5,D$3*$Z$5+$AA$5))-(7261/(D1954+459.6))+12.82),IF(D1949="Refined Petroleum Stock",EXP((0.7553-(413/(D1954+459.6)))*(INDEX(FX_Input,Q$5,D$3*$Z$5+$AA$5-1)^0.5)*LOG10(INDEX(FX_Input,Q$5,D$3*$Z$5+$AA$5))-(1.854-(1042/(D1954+459.6)))*(INDEX(FX_Input,Q$5,D$3*$Z$5+$AA$5-1)^0.5)+((2416/(D1954+459.6)-2.013)*LOG10(INDEX(FX_Input,Q$5,D$3*$Z$5+$AA$5)))-(8742/(D1954+459.6))+15.64),EXP(INDEX(Antoines,MATCH(D1948,Antoine_Name,0),2)-INDEX(Antoines,MATCH(D1948,Antoine_Name,0),3)/(D1954+459.6))))),0)</f>
        <v>0</v>
      </c>
      <c r="E1959" cm="1">
        <f t="array" ref="E1959">IFERROR(IF(E1949="Chemical",(10^(INDEX(Antoines,MATCH(E1948,Antoine_Name,0),2)-INDEX(Antoines,MATCH(E1948,Antoine_Name,0),3)/(INDEX(Antoines,MATCH(E1948,Antoine_Name,0),4)+(E1954-32)*5/9)))*14.7/760,IF(E1949="Crude Oil",EXP((2799/(E1954+459.6)-2.227)*LOG10(INDEX(FX_Input,R$5,E$3*$Z$5+$AA$5))-(7261/(E1954+459.6))+12.82),IF(E1949="Refined Petroleum Stock",EXP((0.7553-(413/(E1954+459.6)))*(INDEX(FX_Input,R$5,E$3*$Z$5+$AA$5-1)^0.5)*LOG10(INDEX(FX_Input,R$5,E$3*$Z$5+$AA$5))-(1.854-(1042/(E1954+459.6)))*(INDEX(FX_Input,R$5,E$3*$Z$5+$AA$5-1)^0.5)+((2416/(E1954+459.6)-2.013)*LOG10(INDEX(FX_Input,R$5,E$3*$Z$5+$AA$5)))-(8742/(E1954+459.6))+15.64),EXP(INDEX(Antoines,MATCH(E1948,Antoine_Name,0),2)-INDEX(Antoines,MATCH(E1948,Antoine_Name,0),3)/(E1954+459.6))))),0)</f>
        <v>0</v>
      </c>
      <c r="F1959" cm="1">
        <f t="array" ref="F1959">IFERROR(IF(F1949="Chemical",(10^(INDEX(Antoines,MATCH(F1948,Antoine_Name,0),2)-INDEX(Antoines,MATCH(F1948,Antoine_Name,0),3)/(INDEX(Antoines,MATCH(F1948,Antoine_Name,0),4)+(F1954-32)*5/9)))*14.7/760,IF(F1949="Crude Oil",EXP((2799/(F1954+459.6)-2.227)*LOG10(INDEX(FX_Input,S$5,F$3*$Z$5+$AA$5))-(7261/(F1954+459.6))+12.82),IF(F1949="Refined Petroleum Stock",EXP((0.7553-(413/(F1954+459.6)))*(INDEX(FX_Input,S$5,F$3*$Z$5+$AA$5-1)^0.5)*LOG10(INDEX(FX_Input,S$5,F$3*$Z$5+$AA$5))-(1.854-(1042/(F1954+459.6)))*(INDEX(FX_Input,S$5,F$3*$Z$5+$AA$5-1)^0.5)+((2416/(F1954+459.6)-2.013)*LOG10(INDEX(FX_Input,S$5,F$3*$Z$5+$AA$5)))-(8742/(F1954+459.6))+15.64),EXP(INDEX(Antoines,MATCH(F1948,Antoine_Name,0),2)-INDEX(Antoines,MATCH(F1948,Antoine_Name,0),3)/(F1954+459.6))))),0)</f>
        <v>0</v>
      </c>
      <c r="G1959" cm="1">
        <f t="array" ref="G1959">IFERROR(IF(G1949="Chemical",(10^(INDEX(Antoines,MATCH(G1948,Antoine_Name,0),2)-INDEX(Antoines,MATCH(G1948,Antoine_Name,0),3)/(INDEX(Antoines,MATCH(G1948,Antoine_Name,0),4)+(G1954-32)*5/9)))*14.7/760,IF(G1949="Crude Oil",EXP((2799/(G1954+459.6)-2.227)*LOG10(INDEX(FX_Input,T$5,G$3*$Z$5+$AA$5))-(7261/(G1954+459.6))+12.82),IF(G1949="Refined Petroleum Stock",EXP((0.7553-(413/(G1954+459.6)))*(INDEX(FX_Input,T$5,G$3*$Z$5+$AA$5-1)^0.5)*LOG10(INDEX(FX_Input,T$5,G$3*$Z$5+$AA$5))-(1.854-(1042/(G1954+459.6)))*(INDEX(FX_Input,T$5,G$3*$Z$5+$AA$5-1)^0.5)+((2416/(G1954+459.6)-2.013)*LOG10(INDEX(FX_Input,T$5,G$3*$Z$5+$AA$5)))-(8742/(G1954+459.6))+15.64),EXP(INDEX(Antoines,MATCH(G1948,Antoine_Name,0),2)-INDEX(Antoines,MATCH(G1948,Antoine_Name,0),3)/(G1954+459.6))))),0)</f>
        <v>0</v>
      </c>
      <c r="H1959" cm="1">
        <f t="array" ref="H1959">IFERROR(IF(H1949="Chemical",(10^(INDEX(Antoines,MATCH(H1948,Antoine_Name,0),2)-INDEX(Antoines,MATCH(H1948,Antoine_Name,0),3)/(INDEX(Antoines,MATCH(H1948,Antoine_Name,0),4)+(H1954-32)*5/9)))*14.7/760,IF(H1949="Crude Oil",EXP((2799/(H1954+459.6)-2.227)*LOG10(INDEX(FX_Input,U$5,H$3*$Z$5+$AA$5))-(7261/(H1954+459.6))+12.82),IF(H1949="Refined Petroleum Stock",EXP((0.7553-(413/(H1954+459.6)))*(INDEX(FX_Input,U$5,H$3*$Z$5+$AA$5-1)^0.5)*LOG10(INDEX(FX_Input,U$5,H$3*$Z$5+$AA$5))-(1.854-(1042/(H1954+459.6)))*(INDEX(FX_Input,U$5,H$3*$Z$5+$AA$5-1)^0.5)+((2416/(H1954+459.6)-2.013)*LOG10(INDEX(FX_Input,U$5,H$3*$Z$5+$AA$5)))-(8742/(H1954+459.6))+15.64),EXP(INDEX(Antoines,MATCH(H1948,Antoine_Name,0),2)-INDEX(Antoines,MATCH(H1948,Antoine_Name,0),3)/(H1954+459.6))))),0)</f>
        <v>0</v>
      </c>
      <c r="I1959" cm="1">
        <f t="array" ref="I1959">IFERROR(IF(I1949="Chemical",(10^(INDEX(Antoines,MATCH(I1948,Antoine_Name,0),2)-INDEX(Antoines,MATCH(I1948,Antoine_Name,0),3)/(INDEX(Antoines,MATCH(I1948,Antoine_Name,0),4)+(I1954-32)*5/9)))*14.7/760,IF(I1949="Crude Oil",EXP((2799/(I1954+459.6)-2.227)*LOG10(INDEX(FX_Input,V$5,I$3*$Z$5+$AA$5))-(7261/(I1954+459.6))+12.82),IF(I1949="Refined Petroleum Stock",EXP((0.7553-(413/(I1954+459.6)))*(INDEX(FX_Input,V$5,I$3*$Z$5+$AA$5-1)^0.5)*LOG10(INDEX(FX_Input,V$5,I$3*$Z$5+$AA$5))-(1.854-(1042/(I1954+459.6)))*(INDEX(FX_Input,V$5,I$3*$Z$5+$AA$5-1)^0.5)+((2416/(I1954+459.6)-2.013)*LOG10(INDEX(FX_Input,V$5,I$3*$Z$5+$AA$5)))-(8742/(I1954+459.6))+15.64),EXP(INDEX(Antoines,MATCH(I1948,Antoine_Name,0),2)-INDEX(Antoines,MATCH(I1948,Antoine_Name,0),3)/(I1954+459.6))))),0)</f>
        <v>0</v>
      </c>
      <c r="J1959" cm="1">
        <f t="array" ref="J1959">IFERROR(IF(J1949="Chemical",(10^(INDEX(Antoines,MATCH(J1948,Antoine_Name,0),2)-INDEX(Antoines,MATCH(J1948,Antoine_Name,0),3)/(INDEX(Antoines,MATCH(J1948,Antoine_Name,0),4)+(J1954-32)*5/9)))*14.7/760,IF(J1949="Crude Oil",EXP((2799/(J1954+459.6)-2.227)*LOG10(INDEX(FX_Input,W$5,J$3*$Z$5+$AA$5))-(7261/(J1954+459.6))+12.82),IF(J1949="Refined Petroleum Stock",EXP((0.7553-(413/(J1954+459.6)))*(INDEX(FX_Input,W$5,J$3*$Z$5+$AA$5-1)^0.5)*LOG10(INDEX(FX_Input,W$5,J$3*$Z$5+$AA$5))-(1.854-(1042/(J1954+459.6)))*(INDEX(FX_Input,W$5,J$3*$Z$5+$AA$5-1)^0.5)+((2416/(J1954+459.6)-2.013)*LOG10(INDEX(FX_Input,W$5,J$3*$Z$5+$AA$5)))-(8742/(J1954+459.6))+15.64),EXP(INDEX(Antoines,MATCH(J1948,Antoine_Name,0),2)-INDEX(Antoines,MATCH(J1948,Antoine_Name,0),3)/(J1954+459.6))))),0)</f>
        <v>0</v>
      </c>
      <c r="K1959" cm="1">
        <f t="array" ref="K1959">IFERROR(IF(K1949="Chemical",(10^(INDEX(Antoines,MATCH(K1948,Antoine_Name,0),2)-INDEX(Antoines,MATCH(K1948,Antoine_Name,0),3)/(INDEX(Antoines,MATCH(K1948,Antoine_Name,0),4)+(K1954-32)*5/9)))*14.7/760,IF(K1949="Crude Oil",EXP((2799/(K1954+459.6)-2.227)*LOG10(INDEX(FX_Input,X$5,K$3*$Z$5+$AA$5))-(7261/(K1954+459.6))+12.82),IF(K1949="Refined Petroleum Stock",EXP((0.7553-(413/(K1954+459.6)))*(INDEX(FX_Input,X$5,K$3*$Z$5+$AA$5-1)^0.5)*LOG10(INDEX(FX_Input,X$5,K$3*$Z$5+$AA$5))-(1.854-(1042/(K1954+459.6)))*(INDEX(FX_Input,X$5,K$3*$Z$5+$AA$5-1)^0.5)+((2416/(K1954+459.6)-2.013)*LOG10(INDEX(FX_Input,X$5,K$3*$Z$5+$AA$5)))-(8742/(K1954+459.6))+15.64),EXP(INDEX(Antoines,MATCH(K1948,Antoine_Name,0),2)-INDEX(Antoines,MATCH(K1948,Antoine_Name,0),3)/(K1954+459.6))))),0)</f>
        <v>0</v>
      </c>
      <c r="L1959" cm="1">
        <f t="array" ref="L1959">IFERROR(IF(L1949="Chemical",(10^(INDEX(Antoines,MATCH(L1948,Antoine_Name,0),2)-INDEX(Antoines,MATCH(L1948,Antoine_Name,0),3)/(INDEX(Antoines,MATCH(L1948,Antoine_Name,0),4)+(L1954-32)*5/9)))*14.7/760,IF(L1949="Crude Oil",EXP((2799/(L1954+459.6)-2.227)*LOG10(INDEX(FX_Input,Y$5,L$3*$Z$5+$AA$5))-(7261/(L1954+459.6))+12.82),IF(L1949="Refined Petroleum Stock",EXP((0.7553-(413/(L1954+459.6)))*(INDEX(FX_Input,Y$5,L$3*$Z$5+$AA$5-1)^0.5)*LOG10(INDEX(FX_Input,Y$5,L$3*$Z$5+$AA$5))-(1.854-(1042/(L1954+459.6)))*(INDEX(FX_Input,Y$5,L$3*$Z$5+$AA$5-1)^0.5)+((2416/(L1954+459.6)-2.013)*LOG10(INDEX(FX_Input,Y$5,L$3*$Z$5+$AA$5)))-(8742/(L1954+459.6))+15.64),EXP(INDEX(Antoines,MATCH(L1948,Antoine_Name,0),2)-INDEX(Antoines,MATCH(L1948,Antoine_Name,0),3)/(L1954+459.6))))),0)</f>
        <v>0</v>
      </c>
      <c r="M1959" cm="1">
        <f t="array" ref="M1959">IFERROR(IF(M1949="Chemical",(10^(INDEX(Antoines,MATCH(M1948,Antoine_Name,0),2)-INDEX(Antoines,MATCH(M1948,Antoine_Name,0),3)/(INDEX(Antoines,MATCH(M1948,Antoine_Name,0),4)+(M1954-32)*5/9)))*14.7/760,IF(M1949="Crude Oil",EXP((2799/(M1954+459.6)-2.227)*LOG10(INDEX(FX_Input,Z$5,M$3*$Z$5+$AA$5))-(7261/(M1954+459.6))+12.82),IF(M1949="Refined Petroleum Stock",EXP((0.7553-(413/(M1954+459.6)))*(INDEX(FX_Input,Z$5,M$3*$Z$5+$AA$5-1)^0.5)*LOG10(INDEX(FX_Input,Z$5,M$3*$Z$5+$AA$5))-(1.854-(1042/(M1954+459.6)))*(INDEX(FX_Input,Z$5,M$3*$Z$5+$AA$5-1)^0.5)+((2416/(M1954+459.6)-2.013)*LOG10(INDEX(FX_Input,Z$5,M$3*$Z$5+$AA$5)))-(8742/(M1954+459.6))+15.64),EXP(INDEX(Antoines,MATCH(M1948,Antoine_Name,0),2)-INDEX(Antoines,MATCH(M1948,Antoine_Name,0),3)/(M1954+459.6))))),0)</f>
        <v>0</v>
      </c>
      <c r="N1959" cm="1">
        <f t="array" ref="N1959">IFERROR(IF(N1949="Chemical",(10^(INDEX(Antoines,MATCH(N1948,Antoine_Name,0),2)-INDEX(Antoines,MATCH(N1948,Antoine_Name,0),3)/(INDEX(Antoines,MATCH(N1948,Antoine_Name,0),4)+(N1954-32)*5/9)))*14.7/760,IF(N1949="Crude Oil",EXP((2799/(N1954+459.6)-2.227)*LOG10(INDEX(FX_Input,AA$5,N$3*$Z$5+$AA$5))-(7261/(N1954+459.6))+12.82),IF(N1949="Refined Petroleum Stock",EXP((0.7553-(413/(N1954+459.6)))*(INDEX(FX_Input,AA$5,N$3*$Z$5+$AA$5-1)^0.5)*LOG10(INDEX(FX_Input,AA$5,N$3*$Z$5+$AA$5))-(1.854-(1042/(N1954+459.6)))*(INDEX(FX_Input,AA$5,N$3*$Z$5+$AA$5-1)^0.5)+((2416/(N1954+459.6)-2.013)*LOG10(INDEX(FX_Input,AA$5,N$3*$Z$5+$AA$5)))-(8742/(N1954+459.6))+15.64),EXP(INDEX(Antoines,MATCH(N1948,Antoine_Name,0),2)-INDEX(Antoines,MATCH(N1948,Antoine_Name,0),3)/(N1954+459.6))))),0)</f>
        <v>0</v>
      </c>
      <c r="O1959" cm="1">
        <f t="array" ref="O1959">IFERROR(IF(O1949="Chemical",(10^(INDEX(Antoines,MATCH(O1948,Antoine_Name,0),2)-INDEX(Antoines,MATCH(O1948,Antoine_Name,0),3)/(INDEX(Antoines,MATCH(O1948,Antoine_Name,0),4)+(O1954-32)*5/9)))*14.7/760,IF(O1949="Crude Oil",EXP((2799/(O1954+459.6)-2.227)*LOG10(INDEX(FX_Input,AB$5,O$3*$Z$5+$AA$5))-(7261/(O1954+459.6))+12.82),IF(O1949="Refined Petroleum Stock",EXP((0.7553-(413/(O1954+459.6)))*(INDEX(FX_Input,AB$5,O$3*$Z$5+$AA$5-1)^0.5)*LOG10(INDEX(FX_Input,AB$5,O$3*$Z$5+$AA$5))-(1.854-(1042/(O1954+459.6)))*(INDEX(FX_Input,AB$5,O$3*$Z$5+$AA$5-1)^0.5)+((2416/(O1954+459.6)-2.013)*LOG10(INDEX(FX_Input,AB$5,O$3*$Z$5+$AA$5)))-(8742/(O1954+459.6))+15.64),EXP(INDEX(Antoines,MATCH(O1948,Antoine_Name,0),2)-INDEX(Antoines,MATCH(O1948,Antoine_Name,0),3)/(O1954+459.6))))),0)</f>
        <v>0</v>
      </c>
    </row>
    <row r="1960" spans="2:32" ht="17.149999999999999" x14ac:dyDescent="0.55000000000000004">
      <c r="B1960" t="str">
        <f t="shared" si="7078"/>
        <v>Portland</v>
      </c>
      <c r="C1960" t="s">
        <v>577</v>
      </c>
      <c r="D1960">
        <f>D1959*D1952</f>
        <v>0</v>
      </c>
      <c r="E1960">
        <f t="shared" ref="E1960:O1960" si="7080">E1959*E1952</f>
        <v>0</v>
      </c>
      <c r="F1960">
        <f t="shared" si="7080"/>
        <v>0</v>
      </c>
      <c r="G1960">
        <f t="shared" si="7080"/>
        <v>0</v>
      </c>
      <c r="H1960">
        <f t="shared" si="7080"/>
        <v>0</v>
      </c>
      <c r="I1960">
        <f t="shared" si="7080"/>
        <v>0</v>
      </c>
      <c r="J1960">
        <f t="shared" si="7080"/>
        <v>0</v>
      </c>
      <c r="K1960">
        <f t="shared" si="7080"/>
        <v>0</v>
      </c>
      <c r="L1960">
        <f t="shared" si="7080"/>
        <v>0</v>
      </c>
      <c r="M1960">
        <f t="shared" si="7080"/>
        <v>0</v>
      </c>
      <c r="N1960">
        <f t="shared" si="7080"/>
        <v>0</v>
      </c>
      <c r="O1960">
        <f t="shared" si="7080"/>
        <v>0</v>
      </c>
    </row>
    <row r="1961" spans="2:32" ht="17.149999999999999" x14ac:dyDescent="0.55000000000000004">
      <c r="B1961" t="str">
        <f t="shared" si="7078"/>
        <v>Portland</v>
      </c>
      <c r="C1961" t="s">
        <v>578</v>
      </c>
      <c r="D1961">
        <f>D1960+D1958</f>
        <v>4.8116637646820016E-3</v>
      </c>
      <c r="E1961">
        <f t="shared" ref="E1961:O1961" si="7081">E1960+E1958</f>
        <v>5.0048006991488458E-3</v>
      </c>
      <c r="F1961">
        <f t="shared" si="7081"/>
        <v>5.3193030941574935E-3</v>
      </c>
      <c r="G1961">
        <f t="shared" si="7081"/>
        <v>5.8943503851042415E-3</v>
      </c>
      <c r="H1961">
        <f t="shared" si="7081"/>
        <v>6.9660236232598005E-3</v>
      </c>
      <c r="I1961">
        <f t="shared" si="7081"/>
        <v>7.9406391529506654E-3</v>
      </c>
      <c r="J1961">
        <f t="shared" si="7081"/>
        <v>8.9422860963673592E-3</v>
      </c>
      <c r="K1961">
        <f t="shared" si="7081"/>
        <v>8.9951550374627008E-3</v>
      </c>
      <c r="L1961">
        <f t="shared" si="7081"/>
        <v>8.2385730689388259E-3</v>
      </c>
      <c r="M1961">
        <f t="shared" si="7081"/>
        <v>6.618900442185772E-3</v>
      </c>
      <c r="N1961">
        <f t="shared" si="7081"/>
        <v>5.3923587959108042E-3</v>
      </c>
      <c r="O1961">
        <f t="shared" si="7081"/>
        <v>4.7525360186456101E-3</v>
      </c>
    </row>
    <row r="1962" spans="2:32" ht="17.149999999999999" x14ac:dyDescent="0.55000000000000004">
      <c r="B1962" t="str">
        <f t="shared" si="7078"/>
        <v>Portland</v>
      </c>
      <c r="C1962" t="s">
        <v>579</v>
      </c>
      <c r="D1962" cm="1">
        <f t="array" ref="D1962">IFERROR(IF(D1947="Chemical",(10^(INDEX(Antoines,MATCH(D1946,Antoine_Name,0),2)-INDEX(Antoines,MATCH(D1946,Antoine_Name,0),3)/(INDEX(Antoines,MATCH(D1946,Antoine_Name,0),4)+(D1955-32)*5/9)))*14.7/760,IF(D1947="Crude Oil",EXP((2799/(D1955+459.6)-2.227)*LOG10(INDEX(FX_Input,Q$5,D$3*$Z$5+$AA$5))-(7261/(D1955+459.6))+12.82),IF(D1947="Refined Petroleum Stock",EXP((0.7553-(413/(D1955+459.6)))*(INDEX(FX_Input,Q$5,D$3*$Z$5+$AA$5-1)^0.5)*LOG10(INDEX(FX_Input,Q$5,D$3*$Z$5+$AA$5))-(1.854-(1042/(D1955+459.6)))*(INDEX(FX_Input,Q$5,D$3*$Z$5+$AA$5-1)^0.5)+((2416/(D1955+459.6)-2.013)*LOG10(INDEX(FX_Input,Q$5,D$3*$Z$5+$AA$5)))-(8742/(D1955+459.6))+15.64),EXP(INDEX(Antoines,MATCH(D1946,Antoine_Name,0),2)-INDEX(Antoines,MATCH(D1946,Antoine_Name,0),3)/(D1955+459.6))))),0)</f>
        <v>4.8116637646820016E-3</v>
      </c>
      <c r="E1962" cm="1">
        <f t="array" ref="E1962">IFERROR(IF(E1947="Chemical",(10^(INDEX(Antoines,MATCH(E1946,Antoine_Name,0),2)-INDEX(Antoines,MATCH(E1946,Antoine_Name,0),3)/(INDEX(Antoines,MATCH(E1946,Antoine_Name,0),4)+(E1955-32)*5/9)))*14.7/760,IF(E1947="Crude Oil",EXP((2799/(E1955+459.6)-2.227)*LOG10(INDEX(FX_Input,R$5,E$3*$Z$5+$AA$5))-(7261/(E1955+459.6))+12.82),IF(E1947="Refined Petroleum Stock",EXP((0.7553-(413/(E1955+459.6)))*(INDEX(FX_Input,R$5,E$3*$Z$5+$AA$5-1)^0.5)*LOG10(INDEX(FX_Input,R$5,E$3*$Z$5+$AA$5))-(1.854-(1042/(E1955+459.6)))*(INDEX(FX_Input,R$5,E$3*$Z$5+$AA$5-1)^0.5)+((2416/(E1955+459.6)-2.013)*LOG10(INDEX(FX_Input,R$5,E$3*$Z$5+$AA$5)))-(8742/(E1955+459.6))+15.64),EXP(INDEX(Antoines,MATCH(E1946,Antoine_Name,0),2)-INDEX(Antoines,MATCH(E1946,Antoine_Name,0),3)/(E1955+459.6))))),0)</f>
        <v>5.0048006991488458E-3</v>
      </c>
      <c r="F1962" cm="1">
        <f t="array" ref="F1962">IFERROR(IF(F1947="Chemical",(10^(INDEX(Antoines,MATCH(F1946,Antoine_Name,0),2)-INDEX(Antoines,MATCH(F1946,Antoine_Name,0),3)/(INDEX(Antoines,MATCH(F1946,Antoine_Name,0),4)+(F1955-32)*5/9)))*14.7/760,IF(F1947="Crude Oil",EXP((2799/(F1955+459.6)-2.227)*LOG10(INDEX(FX_Input,S$5,F$3*$Z$5+$AA$5))-(7261/(F1955+459.6))+12.82),IF(F1947="Refined Petroleum Stock",EXP((0.7553-(413/(F1955+459.6)))*(INDEX(FX_Input,S$5,F$3*$Z$5+$AA$5-1)^0.5)*LOG10(INDEX(FX_Input,S$5,F$3*$Z$5+$AA$5))-(1.854-(1042/(F1955+459.6)))*(INDEX(FX_Input,S$5,F$3*$Z$5+$AA$5-1)^0.5)+((2416/(F1955+459.6)-2.013)*LOG10(INDEX(FX_Input,S$5,F$3*$Z$5+$AA$5)))-(8742/(F1955+459.6))+15.64),EXP(INDEX(Antoines,MATCH(F1946,Antoine_Name,0),2)-INDEX(Antoines,MATCH(F1946,Antoine_Name,0),3)/(F1955+459.6))))),0)</f>
        <v>5.3193030941574935E-3</v>
      </c>
      <c r="G1962" cm="1">
        <f t="array" ref="G1962">IFERROR(IF(G1947="Chemical",(10^(INDEX(Antoines,MATCH(G1946,Antoine_Name,0),2)-INDEX(Antoines,MATCH(G1946,Antoine_Name,0),3)/(INDEX(Antoines,MATCH(G1946,Antoine_Name,0),4)+(G1955-32)*5/9)))*14.7/760,IF(G1947="Crude Oil",EXP((2799/(G1955+459.6)-2.227)*LOG10(INDEX(FX_Input,T$5,G$3*$Z$5+$AA$5))-(7261/(G1955+459.6))+12.82),IF(G1947="Refined Petroleum Stock",EXP((0.7553-(413/(G1955+459.6)))*(INDEX(FX_Input,T$5,G$3*$Z$5+$AA$5-1)^0.5)*LOG10(INDEX(FX_Input,T$5,G$3*$Z$5+$AA$5))-(1.854-(1042/(G1955+459.6)))*(INDEX(FX_Input,T$5,G$3*$Z$5+$AA$5-1)^0.5)+((2416/(G1955+459.6)-2.013)*LOG10(INDEX(FX_Input,T$5,G$3*$Z$5+$AA$5)))-(8742/(G1955+459.6))+15.64),EXP(INDEX(Antoines,MATCH(G1946,Antoine_Name,0),2)-INDEX(Antoines,MATCH(G1946,Antoine_Name,0),3)/(G1955+459.6))))),0)</f>
        <v>5.8943503851042415E-3</v>
      </c>
      <c r="H1962" cm="1">
        <f t="array" ref="H1962">IFERROR(IF(H1947="Chemical",(10^(INDEX(Antoines,MATCH(H1946,Antoine_Name,0),2)-INDEX(Antoines,MATCH(H1946,Antoine_Name,0),3)/(INDEX(Antoines,MATCH(H1946,Antoine_Name,0),4)+(H1955-32)*5/9)))*14.7/760,IF(H1947="Crude Oil",EXP((2799/(H1955+459.6)-2.227)*LOG10(INDEX(FX_Input,U$5,H$3*$Z$5+$AA$5))-(7261/(H1955+459.6))+12.82),IF(H1947="Refined Petroleum Stock",EXP((0.7553-(413/(H1955+459.6)))*(INDEX(FX_Input,U$5,H$3*$Z$5+$AA$5-1)^0.5)*LOG10(INDEX(FX_Input,U$5,H$3*$Z$5+$AA$5))-(1.854-(1042/(H1955+459.6)))*(INDEX(FX_Input,U$5,H$3*$Z$5+$AA$5-1)^0.5)+((2416/(H1955+459.6)-2.013)*LOG10(INDEX(FX_Input,U$5,H$3*$Z$5+$AA$5)))-(8742/(H1955+459.6))+15.64),EXP(INDEX(Antoines,MATCH(H1946,Antoine_Name,0),2)-INDEX(Antoines,MATCH(H1946,Antoine_Name,0),3)/(H1955+459.6))))),0)</f>
        <v>6.9660236232598005E-3</v>
      </c>
      <c r="I1962" cm="1">
        <f t="array" ref="I1962">IFERROR(IF(I1947="Chemical",(10^(INDEX(Antoines,MATCH(I1946,Antoine_Name,0),2)-INDEX(Antoines,MATCH(I1946,Antoine_Name,0),3)/(INDEX(Antoines,MATCH(I1946,Antoine_Name,0),4)+(I1955-32)*5/9)))*14.7/760,IF(I1947="Crude Oil",EXP((2799/(I1955+459.6)-2.227)*LOG10(INDEX(FX_Input,V$5,I$3*$Z$5+$AA$5))-(7261/(I1955+459.6))+12.82),IF(I1947="Refined Petroleum Stock",EXP((0.7553-(413/(I1955+459.6)))*(INDEX(FX_Input,V$5,I$3*$Z$5+$AA$5-1)^0.5)*LOG10(INDEX(FX_Input,V$5,I$3*$Z$5+$AA$5))-(1.854-(1042/(I1955+459.6)))*(INDEX(FX_Input,V$5,I$3*$Z$5+$AA$5-1)^0.5)+((2416/(I1955+459.6)-2.013)*LOG10(INDEX(FX_Input,V$5,I$3*$Z$5+$AA$5)))-(8742/(I1955+459.6))+15.64),EXP(INDEX(Antoines,MATCH(I1946,Antoine_Name,0),2)-INDEX(Antoines,MATCH(I1946,Antoine_Name,0),3)/(I1955+459.6))))),0)</f>
        <v>7.9406391529506654E-3</v>
      </c>
      <c r="J1962" cm="1">
        <f t="array" ref="J1962">IFERROR(IF(J1947="Chemical",(10^(INDEX(Antoines,MATCH(J1946,Antoine_Name,0),2)-INDEX(Antoines,MATCH(J1946,Antoine_Name,0),3)/(INDEX(Antoines,MATCH(J1946,Antoine_Name,0),4)+(J1955-32)*5/9)))*14.7/760,IF(J1947="Crude Oil",EXP((2799/(J1955+459.6)-2.227)*LOG10(INDEX(FX_Input,W$5,J$3*$Z$5+$AA$5))-(7261/(J1955+459.6))+12.82),IF(J1947="Refined Petroleum Stock",EXP((0.7553-(413/(J1955+459.6)))*(INDEX(FX_Input,W$5,J$3*$Z$5+$AA$5-1)^0.5)*LOG10(INDEX(FX_Input,W$5,J$3*$Z$5+$AA$5))-(1.854-(1042/(J1955+459.6)))*(INDEX(FX_Input,W$5,J$3*$Z$5+$AA$5-1)^0.5)+((2416/(J1955+459.6)-2.013)*LOG10(INDEX(FX_Input,W$5,J$3*$Z$5+$AA$5)))-(8742/(J1955+459.6))+15.64),EXP(INDEX(Antoines,MATCH(J1946,Antoine_Name,0),2)-INDEX(Antoines,MATCH(J1946,Antoine_Name,0),3)/(J1955+459.6))))),0)</f>
        <v>8.9422860963673592E-3</v>
      </c>
      <c r="K1962" cm="1">
        <f t="array" ref="K1962">IFERROR(IF(K1947="Chemical",(10^(INDEX(Antoines,MATCH(K1946,Antoine_Name,0),2)-INDEX(Antoines,MATCH(K1946,Antoine_Name,0),3)/(INDEX(Antoines,MATCH(K1946,Antoine_Name,0),4)+(K1955-32)*5/9)))*14.7/760,IF(K1947="Crude Oil",EXP((2799/(K1955+459.6)-2.227)*LOG10(INDEX(FX_Input,X$5,K$3*$Z$5+$AA$5))-(7261/(K1955+459.6))+12.82),IF(K1947="Refined Petroleum Stock",EXP((0.7553-(413/(K1955+459.6)))*(INDEX(FX_Input,X$5,K$3*$Z$5+$AA$5-1)^0.5)*LOG10(INDEX(FX_Input,X$5,K$3*$Z$5+$AA$5))-(1.854-(1042/(K1955+459.6)))*(INDEX(FX_Input,X$5,K$3*$Z$5+$AA$5-1)^0.5)+((2416/(K1955+459.6)-2.013)*LOG10(INDEX(FX_Input,X$5,K$3*$Z$5+$AA$5)))-(8742/(K1955+459.6))+15.64),EXP(INDEX(Antoines,MATCH(K1946,Antoine_Name,0),2)-INDEX(Antoines,MATCH(K1946,Antoine_Name,0),3)/(K1955+459.6))))),0)</f>
        <v>8.9951550374627008E-3</v>
      </c>
      <c r="L1962" cm="1">
        <f t="array" ref="L1962">IFERROR(IF(L1947="Chemical",(10^(INDEX(Antoines,MATCH(L1946,Antoine_Name,0),2)-INDEX(Antoines,MATCH(L1946,Antoine_Name,0),3)/(INDEX(Antoines,MATCH(L1946,Antoine_Name,0),4)+(L1955-32)*5/9)))*14.7/760,IF(L1947="Crude Oil",EXP((2799/(L1955+459.6)-2.227)*LOG10(INDEX(FX_Input,Y$5,L$3*$Z$5+$AA$5))-(7261/(L1955+459.6))+12.82),IF(L1947="Refined Petroleum Stock",EXP((0.7553-(413/(L1955+459.6)))*(INDEX(FX_Input,Y$5,L$3*$Z$5+$AA$5-1)^0.5)*LOG10(INDEX(FX_Input,Y$5,L$3*$Z$5+$AA$5))-(1.854-(1042/(L1955+459.6)))*(INDEX(FX_Input,Y$5,L$3*$Z$5+$AA$5-1)^0.5)+((2416/(L1955+459.6)-2.013)*LOG10(INDEX(FX_Input,Y$5,L$3*$Z$5+$AA$5)))-(8742/(L1955+459.6))+15.64),EXP(INDEX(Antoines,MATCH(L1946,Antoine_Name,0),2)-INDEX(Antoines,MATCH(L1946,Antoine_Name,0),3)/(L1955+459.6))))),0)</f>
        <v>8.2385730689388259E-3</v>
      </c>
      <c r="M1962" cm="1">
        <f t="array" ref="M1962">IFERROR(IF(M1947="Chemical",(10^(INDEX(Antoines,MATCH(M1946,Antoine_Name,0),2)-INDEX(Antoines,MATCH(M1946,Antoine_Name,0),3)/(INDEX(Antoines,MATCH(M1946,Antoine_Name,0),4)+(M1955-32)*5/9)))*14.7/760,IF(M1947="Crude Oil",EXP((2799/(M1955+459.6)-2.227)*LOG10(INDEX(FX_Input,Z$5,M$3*$Z$5+$AA$5))-(7261/(M1955+459.6))+12.82),IF(M1947="Refined Petroleum Stock",EXP((0.7553-(413/(M1955+459.6)))*(INDEX(FX_Input,Z$5,M$3*$Z$5+$AA$5-1)^0.5)*LOG10(INDEX(FX_Input,Z$5,M$3*$Z$5+$AA$5))-(1.854-(1042/(M1955+459.6)))*(INDEX(FX_Input,Z$5,M$3*$Z$5+$AA$5-1)^0.5)+((2416/(M1955+459.6)-2.013)*LOG10(INDEX(FX_Input,Z$5,M$3*$Z$5+$AA$5)))-(8742/(M1955+459.6))+15.64),EXP(INDEX(Antoines,MATCH(M1946,Antoine_Name,0),2)-INDEX(Antoines,MATCH(M1946,Antoine_Name,0),3)/(M1955+459.6))))),0)</f>
        <v>6.618900442185772E-3</v>
      </c>
      <c r="N1962" cm="1">
        <f t="array" ref="N1962">IFERROR(IF(N1947="Chemical",(10^(INDEX(Antoines,MATCH(N1946,Antoine_Name,0),2)-INDEX(Antoines,MATCH(N1946,Antoine_Name,0),3)/(INDEX(Antoines,MATCH(N1946,Antoine_Name,0),4)+(N1955-32)*5/9)))*14.7/760,IF(N1947="Crude Oil",EXP((2799/(N1955+459.6)-2.227)*LOG10(INDEX(FX_Input,AA$5,N$3*$Z$5+$AA$5))-(7261/(N1955+459.6))+12.82),IF(N1947="Refined Petroleum Stock",EXP((0.7553-(413/(N1955+459.6)))*(INDEX(FX_Input,AA$5,N$3*$Z$5+$AA$5-1)^0.5)*LOG10(INDEX(FX_Input,AA$5,N$3*$Z$5+$AA$5))-(1.854-(1042/(N1955+459.6)))*(INDEX(FX_Input,AA$5,N$3*$Z$5+$AA$5-1)^0.5)+((2416/(N1955+459.6)-2.013)*LOG10(INDEX(FX_Input,AA$5,N$3*$Z$5+$AA$5)))-(8742/(N1955+459.6))+15.64),EXP(INDEX(Antoines,MATCH(N1946,Antoine_Name,0),2)-INDEX(Antoines,MATCH(N1946,Antoine_Name,0),3)/(N1955+459.6))))),0)</f>
        <v>5.3923587959108042E-3</v>
      </c>
      <c r="O1962" cm="1">
        <f t="array" ref="O1962">IFERROR(IF(O1947="Chemical",(10^(INDEX(Antoines,MATCH(O1946,Antoine_Name,0),2)-INDEX(Antoines,MATCH(O1946,Antoine_Name,0),3)/(INDEX(Antoines,MATCH(O1946,Antoine_Name,0),4)+(O1955-32)*5/9)))*14.7/760,IF(O1947="Crude Oil",EXP((2799/(O1955+459.6)-2.227)*LOG10(INDEX(FX_Input,AB$5,O$3*$Z$5+$AA$5))-(7261/(O1955+459.6))+12.82),IF(O1947="Refined Petroleum Stock",EXP((0.7553-(413/(O1955+459.6)))*(INDEX(FX_Input,AB$5,O$3*$Z$5+$AA$5-1)^0.5)*LOG10(INDEX(FX_Input,AB$5,O$3*$Z$5+$AA$5))-(1.854-(1042/(O1955+459.6)))*(INDEX(FX_Input,AB$5,O$3*$Z$5+$AA$5-1)^0.5)+((2416/(O1955+459.6)-2.013)*LOG10(INDEX(FX_Input,AB$5,O$3*$Z$5+$AA$5)))-(8742/(O1955+459.6))+15.64),EXP(INDEX(Antoines,MATCH(O1946,Antoine_Name,0),2)-INDEX(Antoines,MATCH(O1946,Antoine_Name,0),3)/(O1955+459.6))))),0)</f>
        <v>4.7525360186456101E-3</v>
      </c>
    </row>
    <row r="1963" spans="2:32" ht="17.149999999999999" x14ac:dyDescent="0.55000000000000004">
      <c r="B1963" t="str">
        <f t="shared" si="7078"/>
        <v>Portland</v>
      </c>
      <c r="C1963" t="s">
        <v>580</v>
      </c>
      <c r="D1963">
        <f>D1962*D1950</f>
        <v>4.8116637646820016E-3</v>
      </c>
      <c r="E1963">
        <f t="shared" ref="E1963:O1963" si="7082">E1962*E1950</f>
        <v>5.0048006991488458E-3</v>
      </c>
      <c r="F1963">
        <f t="shared" si="7082"/>
        <v>5.3193030941574935E-3</v>
      </c>
      <c r="G1963">
        <f t="shared" si="7082"/>
        <v>5.8943503851042415E-3</v>
      </c>
      <c r="H1963">
        <f t="shared" si="7082"/>
        <v>6.9660236232598005E-3</v>
      </c>
      <c r="I1963">
        <f t="shared" si="7082"/>
        <v>7.9406391529506654E-3</v>
      </c>
      <c r="J1963">
        <f t="shared" si="7082"/>
        <v>8.9422860963673592E-3</v>
      </c>
      <c r="K1963">
        <f t="shared" si="7082"/>
        <v>8.9951550374627008E-3</v>
      </c>
      <c r="L1963">
        <f t="shared" si="7082"/>
        <v>8.2385730689388259E-3</v>
      </c>
      <c r="M1963">
        <f t="shared" si="7082"/>
        <v>6.618900442185772E-3</v>
      </c>
      <c r="N1963">
        <f t="shared" si="7082"/>
        <v>5.3923587959108042E-3</v>
      </c>
      <c r="O1963">
        <f t="shared" si="7082"/>
        <v>4.7525360186456101E-3</v>
      </c>
    </row>
    <row r="1964" spans="2:32" ht="17.149999999999999" x14ac:dyDescent="0.55000000000000004">
      <c r="B1964" t="str">
        <f t="shared" si="7078"/>
        <v>Portland</v>
      </c>
      <c r="C1964" t="s">
        <v>581</v>
      </c>
      <c r="D1964" cm="1">
        <f t="array" ref="D1964">IFERROR(IF(D1949="Chemical",(10^(INDEX(Antoines,MATCH(D1948,Antoine_Name,0),2)-INDEX(Antoines,MATCH(D1948,Antoine_Name,0),3)/(INDEX(Antoines,MATCH(D1948,Antoine_Name,0),4)+(D1955-32)*5/9)))*14.7/760,IF(D1949="Crude Oil",EXP((2799/(D1955+459.6)-2.227)*LOG10(INDEX(FX_Input,Q$5,D$3*$Z$5+$AA$5))-(7261/(D1955+459.6))+12.82),IF(D1949="Refined Petroleum Stock",EXP((0.7553-(413/(D1955+459.6)))*(INDEX(FX_Input,Q$5,D$3*$Z$5+$AA$5-1)^0.5)*LOG10(INDEX(FX_Input,Q$5,D$3*$Z$5+$AA$5))-(1.854-(1042/(D1955+459.6)))*(INDEX(FX_Input,Q$5,D$3*$Z$5+$AA$5-1)^0.5)+((2416/(D1955+459.6)-2.013)*LOG10(INDEX(FX_Input,Q$5,D$3*$Z$5+$AA$5)))-(8742/(D1955+459.6))+15.64),EXP(INDEX(Antoines,MATCH(D1948,Antoine_Name,0),2)-INDEX(Antoines,MATCH(D1948,Antoine_Name,0),3)/(D1955+459.6))))),0)</f>
        <v>0</v>
      </c>
      <c r="E1964" cm="1">
        <f t="array" ref="E1964">IFERROR(IF(E1949="Chemical",(10^(INDEX(Antoines,MATCH(E1948,Antoine_Name,0),2)-INDEX(Antoines,MATCH(E1948,Antoine_Name,0),3)/(INDEX(Antoines,MATCH(E1948,Antoine_Name,0),4)+(E1955-32)*5/9)))*14.7/760,IF(E1949="Crude Oil",EXP((2799/(E1955+459.6)-2.227)*LOG10(INDEX(FX_Input,R$5,E$3*$Z$5+$AA$5))-(7261/(E1955+459.6))+12.82),IF(E1949="Refined Petroleum Stock",EXP((0.7553-(413/(E1955+459.6)))*(INDEX(FX_Input,R$5,E$3*$Z$5+$AA$5-1)^0.5)*LOG10(INDEX(FX_Input,R$5,E$3*$Z$5+$AA$5))-(1.854-(1042/(E1955+459.6)))*(INDEX(FX_Input,R$5,E$3*$Z$5+$AA$5-1)^0.5)+((2416/(E1955+459.6)-2.013)*LOG10(INDEX(FX_Input,R$5,E$3*$Z$5+$AA$5)))-(8742/(E1955+459.6))+15.64),EXP(INDEX(Antoines,MATCH(E1948,Antoine_Name,0),2)-INDEX(Antoines,MATCH(E1948,Antoine_Name,0),3)/(E1955+459.6))))),0)</f>
        <v>0</v>
      </c>
      <c r="F1964" cm="1">
        <f t="array" ref="F1964">IFERROR(IF(F1949="Chemical",(10^(INDEX(Antoines,MATCH(F1948,Antoine_Name,0),2)-INDEX(Antoines,MATCH(F1948,Antoine_Name,0),3)/(INDEX(Antoines,MATCH(F1948,Antoine_Name,0),4)+(F1955-32)*5/9)))*14.7/760,IF(F1949="Crude Oil",EXP((2799/(F1955+459.6)-2.227)*LOG10(INDEX(FX_Input,S$5,F$3*$Z$5+$AA$5))-(7261/(F1955+459.6))+12.82),IF(F1949="Refined Petroleum Stock",EXP((0.7553-(413/(F1955+459.6)))*(INDEX(FX_Input,S$5,F$3*$Z$5+$AA$5-1)^0.5)*LOG10(INDEX(FX_Input,S$5,F$3*$Z$5+$AA$5))-(1.854-(1042/(F1955+459.6)))*(INDEX(FX_Input,S$5,F$3*$Z$5+$AA$5-1)^0.5)+((2416/(F1955+459.6)-2.013)*LOG10(INDEX(FX_Input,S$5,F$3*$Z$5+$AA$5)))-(8742/(F1955+459.6))+15.64),EXP(INDEX(Antoines,MATCH(F1948,Antoine_Name,0),2)-INDEX(Antoines,MATCH(F1948,Antoine_Name,0),3)/(F1955+459.6))))),0)</f>
        <v>0</v>
      </c>
      <c r="G1964" cm="1">
        <f t="array" ref="G1964">IFERROR(IF(G1949="Chemical",(10^(INDEX(Antoines,MATCH(G1948,Antoine_Name,0),2)-INDEX(Antoines,MATCH(G1948,Antoine_Name,0),3)/(INDEX(Antoines,MATCH(G1948,Antoine_Name,0),4)+(G1955-32)*5/9)))*14.7/760,IF(G1949="Crude Oil",EXP((2799/(G1955+459.6)-2.227)*LOG10(INDEX(FX_Input,T$5,G$3*$Z$5+$AA$5))-(7261/(G1955+459.6))+12.82),IF(G1949="Refined Petroleum Stock",EXP((0.7553-(413/(G1955+459.6)))*(INDEX(FX_Input,T$5,G$3*$Z$5+$AA$5-1)^0.5)*LOG10(INDEX(FX_Input,T$5,G$3*$Z$5+$AA$5))-(1.854-(1042/(G1955+459.6)))*(INDEX(FX_Input,T$5,G$3*$Z$5+$AA$5-1)^0.5)+((2416/(G1955+459.6)-2.013)*LOG10(INDEX(FX_Input,T$5,G$3*$Z$5+$AA$5)))-(8742/(G1955+459.6))+15.64),EXP(INDEX(Antoines,MATCH(G1948,Antoine_Name,0),2)-INDEX(Antoines,MATCH(G1948,Antoine_Name,0),3)/(G1955+459.6))))),0)</f>
        <v>0</v>
      </c>
      <c r="H1964" cm="1">
        <f t="array" ref="H1964">IFERROR(IF(H1949="Chemical",(10^(INDEX(Antoines,MATCH(H1948,Antoine_Name,0),2)-INDEX(Antoines,MATCH(H1948,Antoine_Name,0),3)/(INDEX(Antoines,MATCH(H1948,Antoine_Name,0),4)+(H1955-32)*5/9)))*14.7/760,IF(H1949="Crude Oil",EXP((2799/(H1955+459.6)-2.227)*LOG10(INDEX(FX_Input,U$5,H$3*$Z$5+$AA$5))-(7261/(H1955+459.6))+12.82),IF(H1949="Refined Petroleum Stock",EXP((0.7553-(413/(H1955+459.6)))*(INDEX(FX_Input,U$5,H$3*$Z$5+$AA$5-1)^0.5)*LOG10(INDEX(FX_Input,U$5,H$3*$Z$5+$AA$5))-(1.854-(1042/(H1955+459.6)))*(INDEX(FX_Input,U$5,H$3*$Z$5+$AA$5-1)^0.5)+((2416/(H1955+459.6)-2.013)*LOG10(INDEX(FX_Input,U$5,H$3*$Z$5+$AA$5)))-(8742/(H1955+459.6))+15.64),EXP(INDEX(Antoines,MATCH(H1948,Antoine_Name,0),2)-INDEX(Antoines,MATCH(H1948,Antoine_Name,0),3)/(H1955+459.6))))),0)</f>
        <v>0</v>
      </c>
      <c r="I1964" cm="1">
        <f t="array" ref="I1964">IFERROR(IF(I1949="Chemical",(10^(INDEX(Antoines,MATCH(I1948,Antoine_Name,0),2)-INDEX(Antoines,MATCH(I1948,Antoine_Name,0),3)/(INDEX(Antoines,MATCH(I1948,Antoine_Name,0),4)+(I1955-32)*5/9)))*14.7/760,IF(I1949="Crude Oil",EXP((2799/(I1955+459.6)-2.227)*LOG10(INDEX(FX_Input,V$5,I$3*$Z$5+$AA$5))-(7261/(I1955+459.6))+12.82),IF(I1949="Refined Petroleum Stock",EXP((0.7553-(413/(I1955+459.6)))*(INDEX(FX_Input,V$5,I$3*$Z$5+$AA$5-1)^0.5)*LOG10(INDEX(FX_Input,V$5,I$3*$Z$5+$AA$5))-(1.854-(1042/(I1955+459.6)))*(INDEX(FX_Input,V$5,I$3*$Z$5+$AA$5-1)^0.5)+((2416/(I1955+459.6)-2.013)*LOG10(INDEX(FX_Input,V$5,I$3*$Z$5+$AA$5)))-(8742/(I1955+459.6))+15.64),EXP(INDEX(Antoines,MATCH(I1948,Antoine_Name,0),2)-INDEX(Antoines,MATCH(I1948,Antoine_Name,0),3)/(I1955+459.6))))),0)</f>
        <v>0</v>
      </c>
      <c r="J1964" cm="1">
        <f t="array" ref="J1964">IFERROR(IF(J1949="Chemical",(10^(INDEX(Antoines,MATCH(J1948,Antoine_Name,0),2)-INDEX(Antoines,MATCH(J1948,Antoine_Name,0),3)/(INDEX(Antoines,MATCH(J1948,Antoine_Name,0),4)+(J1955-32)*5/9)))*14.7/760,IF(J1949="Crude Oil",EXP((2799/(J1955+459.6)-2.227)*LOG10(INDEX(FX_Input,W$5,J$3*$Z$5+$AA$5))-(7261/(J1955+459.6))+12.82),IF(J1949="Refined Petroleum Stock",EXP((0.7553-(413/(J1955+459.6)))*(INDEX(FX_Input,W$5,J$3*$Z$5+$AA$5-1)^0.5)*LOG10(INDEX(FX_Input,W$5,J$3*$Z$5+$AA$5))-(1.854-(1042/(J1955+459.6)))*(INDEX(FX_Input,W$5,J$3*$Z$5+$AA$5-1)^0.5)+((2416/(J1955+459.6)-2.013)*LOG10(INDEX(FX_Input,W$5,J$3*$Z$5+$AA$5)))-(8742/(J1955+459.6))+15.64),EXP(INDEX(Antoines,MATCH(J1948,Antoine_Name,0),2)-INDEX(Antoines,MATCH(J1948,Antoine_Name,0),3)/(J1955+459.6))))),0)</f>
        <v>0</v>
      </c>
      <c r="K1964" cm="1">
        <f t="array" ref="K1964">IFERROR(IF(K1949="Chemical",(10^(INDEX(Antoines,MATCH(K1948,Antoine_Name,0),2)-INDEX(Antoines,MATCH(K1948,Antoine_Name,0),3)/(INDEX(Antoines,MATCH(K1948,Antoine_Name,0),4)+(K1955-32)*5/9)))*14.7/760,IF(K1949="Crude Oil",EXP((2799/(K1955+459.6)-2.227)*LOG10(INDEX(FX_Input,X$5,K$3*$Z$5+$AA$5))-(7261/(K1955+459.6))+12.82),IF(K1949="Refined Petroleum Stock",EXP((0.7553-(413/(K1955+459.6)))*(INDEX(FX_Input,X$5,K$3*$Z$5+$AA$5-1)^0.5)*LOG10(INDEX(FX_Input,X$5,K$3*$Z$5+$AA$5))-(1.854-(1042/(K1955+459.6)))*(INDEX(FX_Input,X$5,K$3*$Z$5+$AA$5-1)^0.5)+((2416/(K1955+459.6)-2.013)*LOG10(INDEX(FX_Input,X$5,K$3*$Z$5+$AA$5)))-(8742/(K1955+459.6))+15.64),EXP(INDEX(Antoines,MATCH(K1948,Antoine_Name,0),2)-INDEX(Antoines,MATCH(K1948,Antoine_Name,0),3)/(K1955+459.6))))),0)</f>
        <v>0</v>
      </c>
      <c r="L1964" cm="1">
        <f t="array" ref="L1964">IFERROR(IF(L1949="Chemical",(10^(INDEX(Antoines,MATCH(L1948,Antoine_Name,0),2)-INDEX(Antoines,MATCH(L1948,Antoine_Name,0),3)/(INDEX(Antoines,MATCH(L1948,Antoine_Name,0),4)+(L1955-32)*5/9)))*14.7/760,IF(L1949="Crude Oil",EXP((2799/(L1955+459.6)-2.227)*LOG10(INDEX(FX_Input,Y$5,L$3*$Z$5+$AA$5))-(7261/(L1955+459.6))+12.82),IF(L1949="Refined Petroleum Stock",EXP((0.7553-(413/(L1955+459.6)))*(INDEX(FX_Input,Y$5,L$3*$Z$5+$AA$5-1)^0.5)*LOG10(INDEX(FX_Input,Y$5,L$3*$Z$5+$AA$5))-(1.854-(1042/(L1955+459.6)))*(INDEX(FX_Input,Y$5,L$3*$Z$5+$AA$5-1)^0.5)+((2416/(L1955+459.6)-2.013)*LOG10(INDEX(FX_Input,Y$5,L$3*$Z$5+$AA$5)))-(8742/(L1955+459.6))+15.64),EXP(INDEX(Antoines,MATCH(L1948,Antoine_Name,0),2)-INDEX(Antoines,MATCH(L1948,Antoine_Name,0),3)/(L1955+459.6))))),0)</f>
        <v>0</v>
      </c>
      <c r="M1964" cm="1">
        <f t="array" ref="M1964">IFERROR(IF(M1949="Chemical",(10^(INDEX(Antoines,MATCH(M1948,Antoine_Name,0),2)-INDEX(Antoines,MATCH(M1948,Antoine_Name,0),3)/(INDEX(Antoines,MATCH(M1948,Antoine_Name,0),4)+(M1955-32)*5/9)))*14.7/760,IF(M1949="Crude Oil",EXP((2799/(M1955+459.6)-2.227)*LOG10(INDEX(FX_Input,Z$5,M$3*$Z$5+$AA$5))-(7261/(M1955+459.6))+12.82),IF(M1949="Refined Petroleum Stock",EXP((0.7553-(413/(M1955+459.6)))*(INDEX(FX_Input,Z$5,M$3*$Z$5+$AA$5-1)^0.5)*LOG10(INDEX(FX_Input,Z$5,M$3*$Z$5+$AA$5))-(1.854-(1042/(M1955+459.6)))*(INDEX(FX_Input,Z$5,M$3*$Z$5+$AA$5-1)^0.5)+((2416/(M1955+459.6)-2.013)*LOG10(INDEX(FX_Input,Z$5,M$3*$Z$5+$AA$5)))-(8742/(M1955+459.6))+15.64),EXP(INDEX(Antoines,MATCH(M1948,Antoine_Name,0),2)-INDEX(Antoines,MATCH(M1948,Antoine_Name,0),3)/(M1955+459.6))))),0)</f>
        <v>0</v>
      </c>
      <c r="N1964" cm="1">
        <f t="array" ref="N1964">IFERROR(IF(N1949="Chemical",(10^(INDEX(Antoines,MATCH(N1948,Antoine_Name,0),2)-INDEX(Antoines,MATCH(N1948,Antoine_Name,0),3)/(INDEX(Antoines,MATCH(N1948,Antoine_Name,0),4)+(N1955-32)*5/9)))*14.7/760,IF(N1949="Crude Oil",EXP((2799/(N1955+459.6)-2.227)*LOG10(INDEX(FX_Input,AA$5,N$3*$Z$5+$AA$5))-(7261/(N1955+459.6))+12.82),IF(N1949="Refined Petroleum Stock",EXP((0.7553-(413/(N1955+459.6)))*(INDEX(FX_Input,AA$5,N$3*$Z$5+$AA$5-1)^0.5)*LOG10(INDEX(FX_Input,AA$5,N$3*$Z$5+$AA$5))-(1.854-(1042/(N1955+459.6)))*(INDEX(FX_Input,AA$5,N$3*$Z$5+$AA$5-1)^0.5)+((2416/(N1955+459.6)-2.013)*LOG10(INDEX(FX_Input,AA$5,N$3*$Z$5+$AA$5)))-(8742/(N1955+459.6))+15.64),EXP(INDEX(Antoines,MATCH(N1948,Antoine_Name,0),2)-INDEX(Antoines,MATCH(N1948,Antoine_Name,0),3)/(N1955+459.6))))),0)</f>
        <v>0</v>
      </c>
      <c r="O1964" cm="1">
        <f t="array" ref="O1964">IFERROR(IF(O1949="Chemical",(10^(INDEX(Antoines,MATCH(O1948,Antoine_Name,0),2)-INDEX(Antoines,MATCH(O1948,Antoine_Name,0),3)/(INDEX(Antoines,MATCH(O1948,Antoine_Name,0),4)+(O1955-32)*5/9)))*14.7/760,IF(O1949="Crude Oil",EXP((2799/(O1955+459.6)-2.227)*LOG10(INDEX(FX_Input,AB$5,O$3*$Z$5+$AA$5))-(7261/(O1955+459.6))+12.82),IF(O1949="Refined Petroleum Stock",EXP((0.7553-(413/(O1955+459.6)))*(INDEX(FX_Input,AB$5,O$3*$Z$5+$AA$5-1)^0.5)*LOG10(INDEX(FX_Input,AB$5,O$3*$Z$5+$AA$5))-(1.854-(1042/(O1955+459.6)))*(INDEX(FX_Input,AB$5,O$3*$Z$5+$AA$5-1)^0.5)+((2416/(O1955+459.6)-2.013)*LOG10(INDEX(FX_Input,AB$5,O$3*$Z$5+$AA$5)))-(8742/(O1955+459.6))+15.64),EXP(INDEX(Antoines,MATCH(O1948,Antoine_Name,0),2)-INDEX(Antoines,MATCH(O1948,Antoine_Name,0),3)/(O1955+459.6))))),0)</f>
        <v>0</v>
      </c>
    </row>
    <row r="1965" spans="2:32" ht="17.149999999999999" x14ac:dyDescent="0.55000000000000004">
      <c r="B1965" t="str">
        <f t="shared" si="7078"/>
        <v>Portland</v>
      </c>
      <c r="C1965" t="s">
        <v>582</v>
      </c>
      <c r="D1965">
        <f>D1964*D1952</f>
        <v>0</v>
      </c>
      <c r="E1965">
        <f t="shared" ref="E1965:O1965" si="7083">E1964*E1952</f>
        <v>0</v>
      </c>
      <c r="F1965">
        <f t="shared" si="7083"/>
        <v>0</v>
      </c>
      <c r="G1965">
        <f t="shared" si="7083"/>
        <v>0</v>
      </c>
      <c r="H1965">
        <f t="shared" si="7083"/>
        <v>0</v>
      </c>
      <c r="I1965">
        <f t="shared" si="7083"/>
        <v>0</v>
      </c>
      <c r="J1965">
        <f t="shared" si="7083"/>
        <v>0</v>
      </c>
      <c r="K1965">
        <f t="shared" si="7083"/>
        <v>0</v>
      </c>
      <c r="L1965">
        <f t="shared" si="7083"/>
        <v>0</v>
      </c>
      <c r="M1965">
        <f t="shared" si="7083"/>
        <v>0</v>
      </c>
      <c r="N1965">
        <f t="shared" si="7083"/>
        <v>0</v>
      </c>
      <c r="O1965">
        <f t="shared" si="7083"/>
        <v>0</v>
      </c>
    </row>
    <row r="1966" spans="2:32" ht="17.149999999999999" x14ac:dyDescent="0.55000000000000004">
      <c r="B1966" t="str">
        <f t="shared" si="7078"/>
        <v>Portland</v>
      </c>
      <c r="C1966" t="s">
        <v>583</v>
      </c>
      <c r="D1966">
        <f>D1963+D1965</f>
        <v>4.8116637646820016E-3</v>
      </c>
      <c r="E1966">
        <f t="shared" ref="E1966:O1966" si="7084">E1963+E1965</f>
        <v>5.0048006991488458E-3</v>
      </c>
      <c r="F1966">
        <f t="shared" si="7084"/>
        <v>5.3193030941574935E-3</v>
      </c>
      <c r="G1966">
        <f t="shared" si="7084"/>
        <v>5.8943503851042415E-3</v>
      </c>
      <c r="H1966">
        <f t="shared" si="7084"/>
        <v>6.9660236232598005E-3</v>
      </c>
      <c r="I1966">
        <f t="shared" si="7084"/>
        <v>7.9406391529506654E-3</v>
      </c>
      <c r="J1966">
        <f t="shared" si="7084"/>
        <v>8.9422860963673592E-3</v>
      </c>
      <c r="K1966">
        <f t="shared" si="7084"/>
        <v>8.9951550374627008E-3</v>
      </c>
      <c r="L1966">
        <f t="shared" si="7084"/>
        <v>8.2385730689388259E-3</v>
      </c>
      <c r="M1966">
        <f t="shared" si="7084"/>
        <v>6.618900442185772E-3</v>
      </c>
      <c r="N1966">
        <f t="shared" si="7084"/>
        <v>5.3923587959108042E-3</v>
      </c>
      <c r="O1966">
        <f t="shared" si="7084"/>
        <v>4.7525360186456101E-3</v>
      </c>
    </row>
    <row r="1967" spans="2:32" ht="17.149999999999999" x14ac:dyDescent="0.55000000000000004">
      <c r="B1967" t="str">
        <f t="shared" si="7078"/>
        <v>Portland</v>
      </c>
      <c r="C1967" t="s">
        <v>1388</v>
      </c>
      <c r="D1967" cm="1">
        <f t="array" ref="D1967">IFERROR(IF(D1947="Chemical",(10^(INDEX(Antoines,MATCH(D1946,Antoine_Name,0),2)-INDEX(Antoines,MATCH(D1946,Antoine_Name,0),3)/(INDEX(Antoines,MATCH(D1946,Antoine_Name,0),4)+(D1956-32)*5/9)))*14.7/760,IF(D1947="Crude Oil",EXP((2799/(D1956+459.6)-2.227)*LOG10(INDEX(FX_Input,Q$5,D$3*$Z$5+$AA$5))-(7261/(D1956+459.6))+12.82),IF(D1947="Refined Petroleum Stock",EXP((0.7553-(413/(D1956+459.6)))*(INDEX(FX_Input,Q$5,D$3*$Z$5+$AA$5-1)^0.5)*LOG10(INDEX(FX_Input,Q$5,D$3*$Z$5+$AA$5))-(1.854-(1042/(D1956+459.6)))*(INDEX(FX_Input,Q$5,D$3*$Z$5+$AA$5-1)^0.5)+((2416/(D1956+459.6)-2.013)*LOG10(INDEX(FX_Input,Q$5,D$3*$Z$5+$AA$5)))-(8742/(D1956+459.6))+15.64),EXP(INDEX(Antoines,MATCH(D1946,Antoine_Name,0),2)-INDEX(Antoines,MATCH(D1946,Antoine_Name,0),3)/(D1956+459.6))))),0)</f>
        <v>4.8847213797703236E-3</v>
      </c>
      <c r="E1967" cm="1">
        <f t="array" ref="E1967">IFERROR(IF(E1947="Chemical",(10^(INDEX(Antoines,MATCH(E1946,Antoine_Name,0),2)-INDEX(Antoines,MATCH(E1946,Antoine_Name,0),3)/(INDEX(Antoines,MATCH(E1946,Antoine_Name,0),4)+(E1956-32)*5/9)))*14.7/760,IF(E1947="Crude Oil",EXP((2799/(E1956+459.6)-2.227)*LOG10(INDEX(FX_Input,R$5,E$3*$Z$5+$AA$5))-(7261/(E1956+459.6))+12.82),IF(E1947="Refined Petroleum Stock",EXP((0.7553-(413/(E1956+459.6)))*(INDEX(FX_Input,R$5,E$3*$Z$5+$AA$5-1)^0.5)*LOG10(INDEX(FX_Input,R$5,E$3*$Z$5+$AA$5))-(1.854-(1042/(E1956+459.6)))*(INDEX(FX_Input,R$5,E$3*$Z$5+$AA$5-1)^0.5)+((2416/(E1956+459.6)-2.013)*LOG10(INDEX(FX_Input,R$5,E$3*$Z$5+$AA$5)))-(8742/(E1956+459.6))+15.64),EXP(INDEX(Antoines,MATCH(E1946,Antoine_Name,0),2)-INDEX(Antoines,MATCH(E1946,Antoine_Name,0),3)/(E1956+459.6))))),0)</f>
        <v>5.1377970454196883E-3</v>
      </c>
      <c r="F1967" cm="1">
        <f t="array" ref="F1967">IFERROR(IF(F1947="Chemical",(10^(INDEX(Antoines,MATCH(F1946,Antoine_Name,0),2)-INDEX(Antoines,MATCH(F1946,Antoine_Name,0),3)/(INDEX(Antoines,MATCH(F1946,Antoine_Name,0),4)+(F1956-32)*5/9)))*14.7/760,IF(F1947="Crude Oil",EXP((2799/(F1956+459.6)-2.227)*LOG10(INDEX(FX_Input,S$5,F$3*$Z$5+$AA$5))-(7261/(F1956+459.6))+12.82),IF(F1947="Refined Petroleum Stock",EXP((0.7553-(413/(F1956+459.6)))*(INDEX(FX_Input,S$5,F$3*$Z$5+$AA$5-1)^0.5)*LOG10(INDEX(FX_Input,S$5,F$3*$Z$5+$AA$5))-(1.854-(1042/(F1956+459.6)))*(INDEX(FX_Input,S$5,F$3*$Z$5+$AA$5-1)^0.5)+((2416/(F1956+459.6)-2.013)*LOG10(INDEX(FX_Input,S$5,F$3*$Z$5+$AA$5)))-(8742/(F1956+459.6))+15.64),EXP(INDEX(Antoines,MATCH(F1946,Antoine_Name,0),2)-INDEX(Antoines,MATCH(F1946,Antoine_Name,0),3)/(F1956+459.6))))),0)</f>
        <v>5.5255769197630547E-3</v>
      </c>
      <c r="G1967" cm="1">
        <f t="array" ref="G1967">IFERROR(IF(G1947="Chemical",(10^(INDEX(Antoines,MATCH(G1946,Antoine_Name,0),2)-INDEX(Antoines,MATCH(G1946,Antoine_Name,0),3)/(INDEX(Antoines,MATCH(G1946,Antoine_Name,0),4)+(G1956-32)*5/9)))*14.7/760,IF(G1947="Crude Oil",EXP((2799/(G1956+459.6)-2.227)*LOG10(INDEX(FX_Input,T$5,G$3*$Z$5+$AA$5))-(7261/(G1956+459.6))+12.82),IF(G1947="Refined Petroleum Stock",EXP((0.7553-(413/(G1956+459.6)))*(INDEX(FX_Input,T$5,G$3*$Z$5+$AA$5-1)^0.5)*LOG10(INDEX(FX_Input,T$5,G$3*$Z$5+$AA$5))-(1.854-(1042/(G1956+459.6)))*(INDEX(FX_Input,T$5,G$3*$Z$5+$AA$5-1)^0.5)+((2416/(G1956+459.6)-2.013)*LOG10(INDEX(FX_Input,T$5,G$3*$Z$5+$AA$5)))-(8742/(G1956+459.6))+15.64),EXP(INDEX(Antoines,MATCH(G1946,Antoine_Name,0),2)-INDEX(Antoines,MATCH(G1946,Antoine_Name,0),3)/(G1956+459.6))))),0)</f>
        <v>6.219119610903932E-3</v>
      </c>
      <c r="H1967" cm="1">
        <f t="array" ref="H1967">IFERROR(IF(H1947="Chemical",(10^(INDEX(Antoines,MATCH(H1946,Antoine_Name,0),2)-INDEX(Antoines,MATCH(H1946,Antoine_Name,0),3)/(INDEX(Antoines,MATCH(H1946,Antoine_Name,0),4)+(H1956-32)*5/9)))*14.7/760,IF(H1947="Crude Oil",EXP((2799/(H1956+459.6)-2.227)*LOG10(INDEX(FX_Input,U$5,H$3*$Z$5+$AA$5))-(7261/(H1956+459.6))+12.82),IF(H1947="Refined Petroleum Stock",EXP((0.7553-(413/(H1956+459.6)))*(INDEX(FX_Input,U$5,H$3*$Z$5+$AA$5-1)^0.5)*LOG10(INDEX(FX_Input,U$5,H$3*$Z$5+$AA$5))-(1.854-(1042/(H1956+459.6)))*(INDEX(FX_Input,U$5,H$3*$Z$5+$AA$5-1)^0.5)+((2416/(H1956+459.6)-2.013)*LOG10(INDEX(FX_Input,U$5,H$3*$Z$5+$AA$5)))-(8742/(H1956+459.6))+15.64),EXP(INDEX(Antoines,MATCH(H1946,Antoine_Name,0),2)-INDEX(Antoines,MATCH(H1946,Antoine_Name,0),3)/(H1956+459.6))))),0)</f>
        <v>7.430518180814979E-3</v>
      </c>
      <c r="I1967" cm="1">
        <f t="array" ref="I1967">IFERROR(IF(I1947="Chemical",(10^(INDEX(Antoines,MATCH(I1946,Antoine_Name,0),2)-INDEX(Antoines,MATCH(I1946,Antoine_Name,0),3)/(INDEX(Antoines,MATCH(I1946,Antoine_Name,0),4)+(I1956-32)*5/9)))*14.7/760,IF(I1947="Crude Oil",EXP((2799/(I1956+459.6)-2.227)*LOG10(INDEX(FX_Input,V$5,I$3*$Z$5+$AA$5))-(7261/(I1956+459.6))+12.82),IF(I1947="Refined Petroleum Stock",EXP((0.7553-(413/(I1956+459.6)))*(INDEX(FX_Input,V$5,I$3*$Z$5+$AA$5-1)^0.5)*LOG10(INDEX(FX_Input,V$5,I$3*$Z$5+$AA$5))-(1.854-(1042/(I1956+459.6)))*(INDEX(FX_Input,V$5,I$3*$Z$5+$AA$5-1)^0.5)+((2416/(I1956+459.6)-2.013)*LOG10(INDEX(FX_Input,V$5,I$3*$Z$5+$AA$5)))-(8742/(I1956+459.6))+15.64),EXP(INDEX(Antoines,MATCH(I1946,Antoine_Name,0),2)-INDEX(Antoines,MATCH(I1946,Antoine_Name,0),3)/(I1956+459.6))))),0)</f>
        <v>8.4933610792594406E-3</v>
      </c>
      <c r="J1967" cm="1">
        <f t="array" ref="J1967">IFERROR(IF(J1947="Chemical",(10^(INDEX(Antoines,MATCH(J1946,Antoine_Name,0),2)-INDEX(Antoines,MATCH(J1946,Antoine_Name,0),3)/(INDEX(Antoines,MATCH(J1946,Antoine_Name,0),4)+(J1956-32)*5/9)))*14.7/760,IF(J1947="Crude Oil",EXP((2799/(J1956+459.6)-2.227)*LOG10(INDEX(FX_Input,W$5,J$3*$Z$5+$AA$5))-(7261/(J1956+459.6))+12.82),IF(J1947="Refined Petroleum Stock",EXP((0.7553-(413/(J1956+459.6)))*(INDEX(FX_Input,W$5,J$3*$Z$5+$AA$5-1)^0.5)*LOG10(INDEX(FX_Input,W$5,J$3*$Z$5+$AA$5))-(1.854-(1042/(J1956+459.6)))*(INDEX(FX_Input,W$5,J$3*$Z$5+$AA$5-1)^0.5)+((2416/(J1956+459.6)-2.013)*LOG10(INDEX(FX_Input,W$5,J$3*$Z$5+$AA$5)))-(8742/(J1956+459.6))+15.64),EXP(INDEX(Antoines,MATCH(J1946,Antoine_Name,0),2)-INDEX(Antoines,MATCH(J1946,Antoine_Name,0),3)/(J1956+459.6))))),0)</f>
        <v>9.5874007696552591E-3</v>
      </c>
      <c r="K1967" cm="1">
        <f t="array" ref="K1967">IFERROR(IF(K1947="Chemical",(10^(INDEX(Antoines,MATCH(K1946,Antoine_Name,0),2)-INDEX(Antoines,MATCH(K1946,Antoine_Name,0),3)/(INDEX(Antoines,MATCH(K1946,Antoine_Name,0),4)+(K1956-32)*5/9)))*14.7/760,IF(K1947="Crude Oil",EXP((2799/(K1956+459.6)-2.227)*LOG10(INDEX(FX_Input,X$5,K$3*$Z$5+$AA$5))-(7261/(K1956+459.6))+12.82),IF(K1947="Refined Petroleum Stock",EXP((0.7553-(413/(K1956+459.6)))*(INDEX(FX_Input,X$5,K$3*$Z$5+$AA$5-1)^0.5)*LOG10(INDEX(FX_Input,X$5,K$3*$Z$5+$AA$5))-(1.854-(1042/(K1956+459.6)))*(INDEX(FX_Input,X$5,K$3*$Z$5+$AA$5-1)^0.5)+((2416/(K1956+459.6)-2.013)*LOG10(INDEX(FX_Input,X$5,K$3*$Z$5+$AA$5)))-(8742/(K1956+459.6))+15.64),EXP(INDEX(Antoines,MATCH(K1946,Antoine_Name,0),2)-INDEX(Antoines,MATCH(K1946,Antoine_Name,0),3)/(K1956+459.6))))),0)</f>
        <v>9.5593988737869996E-3</v>
      </c>
      <c r="L1967" cm="1">
        <f t="array" ref="L1967">IFERROR(IF(L1947="Chemical",(10^(INDEX(Antoines,MATCH(L1946,Antoine_Name,0),2)-INDEX(Antoines,MATCH(L1946,Antoine_Name,0),3)/(INDEX(Antoines,MATCH(L1946,Antoine_Name,0),4)+(L1956-32)*5/9)))*14.7/760,IF(L1947="Crude Oil",EXP((2799/(L1956+459.6)-2.227)*LOG10(INDEX(FX_Input,Y$5,L$3*$Z$5+$AA$5))-(7261/(L1956+459.6))+12.82),IF(L1947="Refined Petroleum Stock",EXP((0.7553-(413/(L1956+459.6)))*(INDEX(FX_Input,Y$5,L$3*$Z$5+$AA$5-1)^0.5)*LOG10(INDEX(FX_Input,Y$5,L$3*$Z$5+$AA$5))-(1.854-(1042/(L1956+459.6)))*(INDEX(FX_Input,Y$5,L$3*$Z$5+$AA$5-1)^0.5)+((2416/(L1956+459.6)-2.013)*LOG10(INDEX(FX_Input,Y$5,L$3*$Z$5+$AA$5)))-(8742/(L1956+459.6))+15.64),EXP(INDEX(Antoines,MATCH(L1946,Antoine_Name,0),2)-INDEX(Antoines,MATCH(L1946,Antoine_Name,0),3)/(L1956+459.6))))),0)</f>
        <v>8.6549593565446326E-3</v>
      </c>
      <c r="M1967" cm="1">
        <f t="array" ref="M1967">IFERROR(IF(M1947="Chemical",(10^(INDEX(Antoines,MATCH(M1946,Antoine_Name,0),2)-INDEX(Antoines,MATCH(M1946,Antoine_Name,0),3)/(INDEX(Antoines,MATCH(M1946,Antoine_Name,0),4)+(M1956-32)*5/9)))*14.7/760,IF(M1947="Crude Oil",EXP((2799/(M1956+459.6)-2.227)*LOG10(INDEX(FX_Input,Z$5,M$3*$Z$5+$AA$5))-(7261/(M1956+459.6))+12.82),IF(M1947="Refined Petroleum Stock",EXP((0.7553-(413/(M1956+459.6)))*(INDEX(FX_Input,Z$5,M$3*$Z$5+$AA$5-1)^0.5)*LOG10(INDEX(FX_Input,Z$5,M$3*$Z$5+$AA$5))-(1.854-(1042/(M1956+459.6)))*(INDEX(FX_Input,Z$5,M$3*$Z$5+$AA$5-1)^0.5)+((2416/(M1956+459.6)-2.013)*LOG10(INDEX(FX_Input,Z$5,M$3*$Z$5+$AA$5)))-(8742/(M1956+459.6))+15.64),EXP(INDEX(Antoines,MATCH(M1946,Antoine_Name,0),2)-INDEX(Antoines,MATCH(M1946,Antoine_Name,0),3)/(M1956+459.6))))),0)</f>
        <v>6.8260376495002202E-3</v>
      </c>
      <c r="N1967" cm="1">
        <f t="array" ref="N1967">IFERROR(IF(N1947="Chemical",(10^(INDEX(Antoines,MATCH(N1946,Antoine_Name,0),2)-INDEX(Antoines,MATCH(N1946,Antoine_Name,0),3)/(INDEX(Antoines,MATCH(N1946,Antoine_Name,0),4)+(N1956-32)*5/9)))*14.7/760,IF(N1947="Crude Oil",EXP((2799/(N1956+459.6)-2.227)*LOG10(INDEX(FX_Input,AA$5,N$3*$Z$5+$AA$5))-(7261/(N1956+459.6))+12.82),IF(N1947="Refined Petroleum Stock",EXP((0.7553-(413/(N1956+459.6)))*(INDEX(FX_Input,AA$5,N$3*$Z$5+$AA$5-1)^0.5)*LOG10(INDEX(FX_Input,AA$5,N$3*$Z$5+$AA$5))-(1.854-(1042/(N1956+459.6)))*(INDEX(FX_Input,AA$5,N$3*$Z$5+$AA$5-1)^0.5)+((2416/(N1956+459.6)-2.013)*LOG10(INDEX(FX_Input,AA$5,N$3*$Z$5+$AA$5)))-(8742/(N1956+459.6))+15.64),EXP(INDEX(Antoines,MATCH(N1946,Antoine_Name,0),2)-INDEX(Antoines,MATCH(N1946,Antoine_Name,0),3)/(N1956+459.6))))),0)</f>
        <v>5.4845718776011703E-3</v>
      </c>
      <c r="O1967" cm="1">
        <f t="array" ref="O1967">IFERROR(IF(O1947="Chemical",(10^(INDEX(Antoines,MATCH(O1946,Antoine_Name,0),2)-INDEX(Antoines,MATCH(O1946,Antoine_Name,0),3)/(INDEX(Antoines,MATCH(O1946,Antoine_Name,0),4)+(O1956-32)*5/9)))*14.7/760,IF(O1947="Crude Oil",EXP((2799/(O1956+459.6)-2.227)*LOG10(INDEX(FX_Input,AB$5,O$3*$Z$5+$AA$5))-(7261/(O1956+459.6))+12.82),IF(O1947="Refined Petroleum Stock",EXP((0.7553-(413/(O1956+459.6)))*(INDEX(FX_Input,AB$5,O$3*$Z$5+$AA$5-1)^0.5)*LOG10(INDEX(FX_Input,AB$5,O$3*$Z$5+$AA$5))-(1.854-(1042/(O1956+459.6)))*(INDEX(FX_Input,AB$5,O$3*$Z$5+$AA$5-1)^0.5)+((2416/(O1956+459.6)-2.013)*LOG10(INDEX(FX_Input,AB$5,O$3*$Z$5+$AA$5)))-(8742/(O1956+459.6))+15.64),EXP(INDEX(Antoines,MATCH(O1946,Antoine_Name,0),2)-INDEX(Antoines,MATCH(O1946,Antoine_Name,0),3)/(O1956+459.6))))),0)</f>
        <v>4.8161086599927579E-3</v>
      </c>
    </row>
    <row r="1968" spans="2:32" ht="17.149999999999999" x14ac:dyDescent="0.55000000000000004">
      <c r="B1968" t="str">
        <f t="shared" si="7078"/>
        <v>Portland</v>
      </c>
      <c r="C1968" t="s">
        <v>1389</v>
      </c>
      <c r="D1968">
        <f>D1967*D1950</f>
        <v>4.8847213797703236E-3</v>
      </c>
      <c r="E1968">
        <f t="shared" ref="E1968:O1968" si="7085">E1967*E1950</f>
        <v>5.1377970454196883E-3</v>
      </c>
      <c r="F1968">
        <f t="shared" si="7085"/>
        <v>5.5255769197630547E-3</v>
      </c>
      <c r="G1968">
        <f t="shared" si="7085"/>
        <v>6.219119610903932E-3</v>
      </c>
      <c r="H1968">
        <f t="shared" si="7085"/>
        <v>7.430518180814979E-3</v>
      </c>
      <c r="I1968">
        <f t="shared" si="7085"/>
        <v>8.4933610792594406E-3</v>
      </c>
      <c r="J1968">
        <f t="shared" si="7085"/>
        <v>9.5874007696552591E-3</v>
      </c>
      <c r="K1968">
        <f t="shared" si="7085"/>
        <v>9.5593988737869996E-3</v>
      </c>
      <c r="L1968">
        <f t="shared" si="7085"/>
        <v>8.6549593565446326E-3</v>
      </c>
      <c r="M1968">
        <f t="shared" si="7085"/>
        <v>6.8260376495002202E-3</v>
      </c>
      <c r="N1968">
        <f t="shared" si="7085"/>
        <v>5.4845718776011703E-3</v>
      </c>
      <c r="O1968">
        <f t="shared" si="7085"/>
        <v>4.8161086599927579E-3</v>
      </c>
    </row>
    <row r="1969" spans="1:32" ht="17.149999999999999" x14ac:dyDescent="0.55000000000000004">
      <c r="B1969" t="str">
        <f t="shared" si="7078"/>
        <v>Portland</v>
      </c>
      <c r="C1969" t="s">
        <v>1390</v>
      </c>
      <c r="D1969" cm="1">
        <f t="array" ref="D1969">IFERROR(IF(D1949="Chemical",(10^(INDEX(Antoines,MATCH(D1948,Antoine_Name,0),2)-INDEX(Antoines,MATCH(D1948,Antoine_Name,0),3)/(INDEX(Antoines,MATCH(D1948,Antoine_Name,0),4)+(D1956-32)*5/9)))*14.7/760,IF(D1949="Crude Oil",EXP((2799/(D1956+459.6)-2.227)*LOG10(INDEX(FX_Input,Q$5,D$3*$Z$5+$AA$5))-(7261/(D1956+459.6))+12.82),IF(D1949="Refined Petroleum Stock",EXP((0.7553-(413/(D1956+459.6)))*(INDEX(FX_Input,Q$5,D$3*$Z$5+$AA$5-1)^0.5)*LOG10(INDEX(FX_Input,Q$5,D$3*$Z$5+$AA$5))-(1.854-(1042/(D1956+459.6)))*(INDEX(FX_Input,Q$5,D$3*$Z$5+$AA$5-1)^0.5)+((2416/(D1956+459.6)-2.013)*LOG10(INDEX(FX_Input,Q$5,D$3*$Z$5+$AA$5)))-(8742/(D1956+459.6))+15.64),EXP(INDEX(Antoines,MATCH(D1948,Antoine_Name,0),2)-INDEX(Antoines,MATCH(D1948,Antoine_Name,0),3)/(D1956+459.6))))),0)</f>
        <v>0</v>
      </c>
      <c r="E1969" cm="1">
        <f t="array" ref="E1969">IFERROR(IF(E1949="Chemical",(10^(INDEX(Antoines,MATCH(E1948,Antoine_Name,0),2)-INDEX(Antoines,MATCH(E1948,Antoine_Name,0),3)/(INDEX(Antoines,MATCH(E1948,Antoine_Name,0),4)+(E1956-32)*5/9)))*14.7/760,IF(E1949="Crude Oil",EXP((2799/(E1956+459.6)-2.227)*LOG10(INDEX(FX_Input,R$5,E$3*$Z$5+$AA$5))-(7261/(E1956+459.6))+12.82),IF(E1949="Refined Petroleum Stock",EXP((0.7553-(413/(E1956+459.6)))*(INDEX(FX_Input,R$5,E$3*$Z$5+$AA$5-1)^0.5)*LOG10(INDEX(FX_Input,R$5,E$3*$Z$5+$AA$5))-(1.854-(1042/(E1956+459.6)))*(INDEX(FX_Input,R$5,E$3*$Z$5+$AA$5-1)^0.5)+((2416/(E1956+459.6)-2.013)*LOG10(INDEX(FX_Input,R$5,E$3*$Z$5+$AA$5)))-(8742/(E1956+459.6))+15.64),EXP(INDEX(Antoines,MATCH(E1948,Antoine_Name,0),2)-INDEX(Antoines,MATCH(E1948,Antoine_Name,0),3)/(E1956+459.6))))),0)</f>
        <v>0</v>
      </c>
      <c r="F1969" cm="1">
        <f t="array" ref="F1969">IFERROR(IF(F1949="Chemical",(10^(INDEX(Antoines,MATCH(F1948,Antoine_Name,0),2)-INDEX(Antoines,MATCH(F1948,Antoine_Name,0),3)/(INDEX(Antoines,MATCH(F1948,Antoine_Name,0),4)+(F1956-32)*5/9)))*14.7/760,IF(F1949="Crude Oil",EXP((2799/(F1956+459.6)-2.227)*LOG10(INDEX(FX_Input,S$5,F$3*$Z$5+$AA$5))-(7261/(F1956+459.6))+12.82),IF(F1949="Refined Petroleum Stock",EXP((0.7553-(413/(F1956+459.6)))*(INDEX(FX_Input,S$5,F$3*$Z$5+$AA$5-1)^0.5)*LOG10(INDEX(FX_Input,S$5,F$3*$Z$5+$AA$5))-(1.854-(1042/(F1956+459.6)))*(INDEX(FX_Input,S$5,F$3*$Z$5+$AA$5-1)^0.5)+((2416/(F1956+459.6)-2.013)*LOG10(INDEX(FX_Input,S$5,F$3*$Z$5+$AA$5)))-(8742/(F1956+459.6))+15.64),EXP(INDEX(Antoines,MATCH(F1948,Antoine_Name,0),2)-INDEX(Antoines,MATCH(F1948,Antoine_Name,0),3)/(F1956+459.6))))),0)</f>
        <v>0</v>
      </c>
      <c r="G1969" cm="1">
        <f t="array" ref="G1969">IFERROR(IF(G1949="Chemical",(10^(INDEX(Antoines,MATCH(G1948,Antoine_Name,0),2)-INDEX(Antoines,MATCH(G1948,Antoine_Name,0),3)/(INDEX(Antoines,MATCH(G1948,Antoine_Name,0),4)+(G1956-32)*5/9)))*14.7/760,IF(G1949="Crude Oil",EXP((2799/(G1956+459.6)-2.227)*LOG10(INDEX(FX_Input,T$5,G$3*$Z$5+$AA$5))-(7261/(G1956+459.6))+12.82),IF(G1949="Refined Petroleum Stock",EXP((0.7553-(413/(G1956+459.6)))*(INDEX(FX_Input,T$5,G$3*$Z$5+$AA$5-1)^0.5)*LOG10(INDEX(FX_Input,T$5,G$3*$Z$5+$AA$5))-(1.854-(1042/(G1956+459.6)))*(INDEX(FX_Input,T$5,G$3*$Z$5+$AA$5-1)^0.5)+((2416/(G1956+459.6)-2.013)*LOG10(INDEX(FX_Input,T$5,G$3*$Z$5+$AA$5)))-(8742/(G1956+459.6))+15.64),EXP(INDEX(Antoines,MATCH(G1948,Antoine_Name,0),2)-INDEX(Antoines,MATCH(G1948,Antoine_Name,0),3)/(G1956+459.6))))),0)</f>
        <v>0</v>
      </c>
      <c r="H1969" cm="1">
        <f t="array" ref="H1969">IFERROR(IF(H1949="Chemical",(10^(INDEX(Antoines,MATCH(H1948,Antoine_Name,0),2)-INDEX(Antoines,MATCH(H1948,Antoine_Name,0),3)/(INDEX(Antoines,MATCH(H1948,Antoine_Name,0),4)+(H1956-32)*5/9)))*14.7/760,IF(H1949="Crude Oil",EXP((2799/(H1956+459.6)-2.227)*LOG10(INDEX(FX_Input,U$5,H$3*$Z$5+$AA$5))-(7261/(H1956+459.6))+12.82),IF(H1949="Refined Petroleum Stock",EXP((0.7553-(413/(H1956+459.6)))*(INDEX(FX_Input,U$5,H$3*$Z$5+$AA$5-1)^0.5)*LOG10(INDEX(FX_Input,U$5,H$3*$Z$5+$AA$5))-(1.854-(1042/(H1956+459.6)))*(INDEX(FX_Input,U$5,H$3*$Z$5+$AA$5-1)^0.5)+((2416/(H1956+459.6)-2.013)*LOG10(INDEX(FX_Input,U$5,H$3*$Z$5+$AA$5)))-(8742/(H1956+459.6))+15.64),EXP(INDEX(Antoines,MATCH(H1948,Antoine_Name,0),2)-INDEX(Antoines,MATCH(H1948,Antoine_Name,0),3)/(H1956+459.6))))),0)</f>
        <v>0</v>
      </c>
      <c r="I1969" cm="1">
        <f t="array" ref="I1969">IFERROR(IF(I1949="Chemical",(10^(INDEX(Antoines,MATCH(I1948,Antoine_Name,0),2)-INDEX(Antoines,MATCH(I1948,Antoine_Name,0),3)/(INDEX(Antoines,MATCH(I1948,Antoine_Name,0),4)+(I1956-32)*5/9)))*14.7/760,IF(I1949="Crude Oil",EXP((2799/(I1956+459.6)-2.227)*LOG10(INDEX(FX_Input,V$5,I$3*$Z$5+$AA$5))-(7261/(I1956+459.6))+12.82),IF(I1949="Refined Petroleum Stock",EXP((0.7553-(413/(I1956+459.6)))*(INDEX(FX_Input,V$5,I$3*$Z$5+$AA$5-1)^0.5)*LOG10(INDEX(FX_Input,V$5,I$3*$Z$5+$AA$5))-(1.854-(1042/(I1956+459.6)))*(INDEX(FX_Input,V$5,I$3*$Z$5+$AA$5-1)^0.5)+((2416/(I1956+459.6)-2.013)*LOG10(INDEX(FX_Input,V$5,I$3*$Z$5+$AA$5)))-(8742/(I1956+459.6))+15.64),EXP(INDEX(Antoines,MATCH(I1948,Antoine_Name,0),2)-INDEX(Antoines,MATCH(I1948,Antoine_Name,0),3)/(I1956+459.6))))),0)</f>
        <v>0</v>
      </c>
      <c r="J1969" cm="1">
        <f t="array" ref="J1969">IFERROR(IF(J1949="Chemical",(10^(INDEX(Antoines,MATCH(J1948,Antoine_Name,0),2)-INDEX(Antoines,MATCH(J1948,Antoine_Name,0),3)/(INDEX(Antoines,MATCH(J1948,Antoine_Name,0),4)+(J1956-32)*5/9)))*14.7/760,IF(J1949="Crude Oil",EXP((2799/(J1956+459.6)-2.227)*LOG10(INDEX(FX_Input,W$5,J$3*$Z$5+$AA$5))-(7261/(J1956+459.6))+12.82),IF(J1949="Refined Petroleum Stock",EXP((0.7553-(413/(J1956+459.6)))*(INDEX(FX_Input,W$5,J$3*$Z$5+$AA$5-1)^0.5)*LOG10(INDEX(FX_Input,W$5,J$3*$Z$5+$AA$5))-(1.854-(1042/(J1956+459.6)))*(INDEX(FX_Input,W$5,J$3*$Z$5+$AA$5-1)^0.5)+((2416/(J1956+459.6)-2.013)*LOG10(INDEX(FX_Input,W$5,J$3*$Z$5+$AA$5)))-(8742/(J1956+459.6))+15.64),EXP(INDEX(Antoines,MATCH(J1948,Antoine_Name,0),2)-INDEX(Antoines,MATCH(J1948,Antoine_Name,0),3)/(J1956+459.6))))),0)</f>
        <v>0</v>
      </c>
      <c r="K1969" cm="1">
        <f t="array" ref="K1969">IFERROR(IF(K1949="Chemical",(10^(INDEX(Antoines,MATCH(K1948,Antoine_Name,0),2)-INDEX(Antoines,MATCH(K1948,Antoine_Name,0),3)/(INDEX(Antoines,MATCH(K1948,Antoine_Name,0),4)+(K1956-32)*5/9)))*14.7/760,IF(K1949="Crude Oil",EXP((2799/(K1956+459.6)-2.227)*LOG10(INDEX(FX_Input,X$5,K$3*$Z$5+$AA$5))-(7261/(K1956+459.6))+12.82),IF(K1949="Refined Petroleum Stock",EXP((0.7553-(413/(K1956+459.6)))*(INDEX(FX_Input,X$5,K$3*$Z$5+$AA$5-1)^0.5)*LOG10(INDEX(FX_Input,X$5,K$3*$Z$5+$AA$5))-(1.854-(1042/(K1956+459.6)))*(INDEX(FX_Input,X$5,K$3*$Z$5+$AA$5-1)^0.5)+((2416/(K1956+459.6)-2.013)*LOG10(INDEX(FX_Input,X$5,K$3*$Z$5+$AA$5)))-(8742/(K1956+459.6))+15.64),EXP(INDEX(Antoines,MATCH(K1948,Antoine_Name,0),2)-INDEX(Antoines,MATCH(K1948,Antoine_Name,0),3)/(K1956+459.6))))),0)</f>
        <v>0</v>
      </c>
      <c r="L1969" cm="1">
        <f t="array" ref="L1969">IFERROR(IF(L1949="Chemical",(10^(INDEX(Antoines,MATCH(L1948,Antoine_Name,0),2)-INDEX(Antoines,MATCH(L1948,Antoine_Name,0),3)/(INDEX(Antoines,MATCH(L1948,Antoine_Name,0),4)+(L1956-32)*5/9)))*14.7/760,IF(L1949="Crude Oil",EXP((2799/(L1956+459.6)-2.227)*LOG10(INDEX(FX_Input,Y$5,L$3*$Z$5+$AA$5))-(7261/(L1956+459.6))+12.82),IF(L1949="Refined Petroleum Stock",EXP((0.7553-(413/(L1956+459.6)))*(INDEX(FX_Input,Y$5,L$3*$Z$5+$AA$5-1)^0.5)*LOG10(INDEX(FX_Input,Y$5,L$3*$Z$5+$AA$5))-(1.854-(1042/(L1956+459.6)))*(INDEX(FX_Input,Y$5,L$3*$Z$5+$AA$5-1)^0.5)+((2416/(L1956+459.6)-2.013)*LOG10(INDEX(FX_Input,Y$5,L$3*$Z$5+$AA$5)))-(8742/(L1956+459.6))+15.64),EXP(INDEX(Antoines,MATCH(L1948,Antoine_Name,0),2)-INDEX(Antoines,MATCH(L1948,Antoine_Name,0),3)/(L1956+459.6))))),0)</f>
        <v>0</v>
      </c>
      <c r="M1969" cm="1">
        <f t="array" ref="M1969">IFERROR(IF(M1949="Chemical",(10^(INDEX(Antoines,MATCH(M1948,Antoine_Name,0),2)-INDEX(Antoines,MATCH(M1948,Antoine_Name,0),3)/(INDEX(Antoines,MATCH(M1948,Antoine_Name,0),4)+(M1956-32)*5/9)))*14.7/760,IF(M1949="Crude Oil",EXP((2799/(M1956+459.6)-2.227)*LOG10(INDEX(FX_Input,Z$5,M$3*$Z$5+$AA$5))-(7261/(M1956+459.6))+12.82),IF(M1949="Refined Petroleum Stock",EXP((0.7553-(413/(M1956+459.6)))*(INDEX(FX_Input,Z$5,M$3*$Z$5+$AA$5-1)^0.5)*LOG10(INDEX(FX_Input,Z$5,M$3*$Z$5+$AA$5))-(1.854-(1042/(M1956+459.6)))*(INDEX(FX_Input,Z$5,M$3*$Z$5+$AA$5-1)^0.5)+((2416/(M1956+459.6)-2.013)*LOG10(INDEX(FX_Input,Z$5,M$3*$Z$5+$AA$5)))-(8742/(M1956+459.6))+15.64),EXP(INDEX(Antoines,MATCH(M1948,Antoine_Name,0),2)-INDEX(Antoines,MATCH(M1948,Antoine_Name,0),3)/(M1956+459.6))))),0)</f>
        <v>0</v>
      </c>
      <c r="N1969" cm="1">
        <f t="array" ref="N1969">IFERROR(IF(N1949="Chemical",(10^(INDEX(Antoines,MATCH(N1948,Antoine_Name,0),2)-INDEX(Antoines,MATCH(N1948,Antoine_Name,0),3)/(INDEX(Antoines,MATCH(N1948,Antoine_Name,0),4)+(N1956-32)*5/9)))*14.7/760,IF(N1949="Crude Oil",EXP((2799/(N1956+459.6)-2.227)*LOG10(INDEX(FX_Input,AA$5,N$3*$Z$5+$AA$5))-(7261/(N1956+459.6))+12.82),IF(N1949="Refined Petroleum Stock",EXP((0.7553-(413/(N1956+459.6)))*(INDEX(FX_Input,AA$5,N$3*$Z$5+$AA$5-1)^0.5)*LOG10(INDEX(FX_Input,AA$5,N$3*$Z$5+$AA$5))-(1.854-(1042/(N1956+459.6)))*(INDEX(FX_Input,AA$5,N$3*$Z$5+$AA$5-1)^0.5)+((2416/(N1956+459.6)-2.013)*LOG10(INDEX(FX_Input,AA$5,N$3*$Z$5+$AA$5)))-(8742/(N1956+459.6))+15.64),EXP(INDEX(Antoines,MATCH(N1948,Antoine_Name,0),2)-INDEX(Antoines,MATCH(N1948,Antoine_Name,0),3)/(N1956+459.6))))),0)</f>
        <v>0</v>
      </c>
      <c r="O1969" cm="1">
        <f t="array" ref="O1969">IFERROR(IF(O1949="Chemical",(10^(INDEX(Antoines,MATCH(O1948,Antoine_Name,0),2)-INDEX(Antoines,MATCH(O1948,Antoine_Name,0),3)/(INDEX(Antoines,MATCH(O1948,Antoine_Name,0),4)+(O1956-32)*5/9)))*14.7/760,IF(O1949="Crude Oil",EXP((2799/(O1956+459.6)-2.227)*LOG10(INDEX(FX_Input,AB$5,O$3*$Z$5+$AA$5))-(7261/(O1956+459.6))+12.82),IF(O1949="Refined Petroleum Stock",EXP((0.7553-(413/(O1956+459.6)))*(INDEX(FX_Input,AB$5,O$3*$Z$5+$AA$5-1)^0.5)*LOG10(INDEX(FX_Input,AB$5,O$3*$Z$5+$AA$5))-(1.854-(1042/(O1956+459.6)))*(INDEX(FX_Input,AB$5,O$3*$Z$5+$AA$5-1)^0.5)+((2416/(O1956+459.6)-2.013)*LOG10(INDEX(FX_Input,AB$5,O$3*$Z$5+$AA$5)))-(8742/(O1956+459.6))+15.64),EXP(INDEX(Antoines,MATCH(O1948,Antoine_Name,0),2)-INDEX(Antoines,MATCH(O1948,Antoine_Name,0),3)/(O1956+459.6))))),0)</f>
        <v>0</v>
      </c>
    </row>
    <row r="1970" spans="1:32" ht="17.149999999999999" x14ac:dyDescent="0.55000000000000004">
      <c r="B1970" t="str">
        <f t="shared" si="7078"/>
        <v>Portland</v>
      </c>
      <c r="C1970" t="s">
        <v>1391</v>
      </c>
      <c r="D1970">
        <f>D1969*D1952</f>
        <v>0</v>
      </c>
      <c r="E1970">
        <f t="shared" ref="E1970:O1970" si="7086">E1969*E1952</f>
        <v>0</v>
      </c>
      <c r="F1970">
        <f t="shared" si="7086"/>
        <v>0</v>
      </c>
      <c r="G1970">
        <f t="shared" si="7086"/>
        <v>0</v>
      </c>
      <c r="H1970">
        <f t="shared" si="7086"/>
        <v>0</v>
      </c>
      <c r="I1970">
        <f t="shared" si="7086"/>
        <v>0</v>
      </c>
      <c r="J1970">
        <f t="shared" si="7086"/>
        <v>0</v>
      </c>
      <c r="K1970">
        <f t="shared" si="7086"/>
        <v>0</v>
      </c>
      <c r="L1970">
        <f t="shared" si="7086"/>
        <v>0</v>
      </c>
      <c r="M1970">
        <f t="shared" si="7086"/>
        <v>0</v>
      </c>
      <c r="N1970">
        <f t="shared" si="7086"/>
        <v>0</v>
      </c>
      <c r="O1970">
        <f t="shared" si="7086"/>
        <v>0</v>
      </c>
    </row>
    <row r="1971" spans="1:32" ht="17.149999999999999" x14ac:dyDescent="0.55000000000000004">
      <c r="B1971" t="str">
        <f t="shared" si="7078"/>
        <v>Portland</v>
      </c>
      <c r="C1971" t="s">
        <v>1392</v>
      </c>
      <c r="D1971">
        <f>D1968+D1970</f>
        <v>4.8847213797703236E-3</v>
      </c>
      <c r="E1971">
        <f t="shared" ref="E1971:O1971" si="7087">E1968+E1970</f>
        <v>5.1377970454196883E-3</v>
      </c>
      <c r="F1971">
        <f t="shared" si="7087"/>
        <v>5.5255769197630547E-3</v>
      </c>
      <c r="G1971">
        <f t="shared" si="7087"/>
        <v>6.219119610903932E-3</v>
      </c>
      <c r="H1971">
        <f t="shared" si="7087"/>
        <v>7.430518180814979E-3</v>
      </c>
      <c r="I1971">
        <f t="shared" si="7087"/>
        <v>8.4933610792594406E-3</v>
      </c>
      <c r="J1971">
        <f t="shared" si="7087"/>
        <v>9.5874007696552591E-3</v>
      </c>
      <c r="K1971">
        <f t="shared" si="7087"/>
        <v>9.5593988737869996E-3</v>
      </c>
      <c r="L1971">
        <f t="shared" si="7087"/>
        <v>8.6549593565446326E-3</v>
      </c>
      <c r="M1971">
        <f t="shared" si="7087"/>
        <v>6.8260376495002202E-3</v>
      </c>
      <c r="N1971">
        <f t="shared" si="7087"/>
        <v>5.4845718776011703E-3</v>
      </c>
      <c r="O1971">
        <f t="shared" si="7087"/>
        <v>4.8161086599927579E-3</v>
      </c>
    </row>
    <row r="1972" spans="1:32" ht="17.149999999999999" x14ac:dyDescent="0.55000000000000004">
      <c r="B1972" t="str">
        <f>B1966</f>
        <v>Portland</v>
      </c>
      <c r="C1972" t="s">
        <v>584</v>
      </c>
      <c r="D1972">
        <f>D1968/D1971</f>
        <v>1</v>
      </c>
      <c r="E1972">
        <f t="shared" ref="E1972:O1972" si="7088">E1968/E1971</f>
        <v>1</v>
      </c>
      <c r="F1972">
        <f t="shared" si="7088"/>
        <v>1</v>
      </c>
      <c r="G1972">
        <f t="shared" si="7088"/>
        <v>1</v>
      </c>
      <c r="H1972">
        <f t="shared" si="7088"/>
        <v>1</v>
      </c>
      <c r="I1972">
        <f t="shared" si="7088"/>
        <v>1</v>
      </c>
      <c r="J1972">
        <f t="shared" si="7088"/>
        <v>1</v>
      </c>
      <c r="K1972">
        <f t="shared" si="7088"/>
        <v>1</v>
      </c>
      <c r="L1972">
        <f t="shared" si="7088"/>
        <v>1</v>
      </c>
      <c r="M1972">
        <f t="shared" si="7088"/>
        <v>1</v>
      </c>
      <c r="N1972">
        <f t="shared" si="7088"/>
        <v>1</v>
      </c>
      <c r="O1972">
        <f t="shared" si="7088"/>
        <v>1</v>
      </c>
    </row>
    <row r="1973" spans="1:32" ht="17.149999999999999" x14ac:dyDescent="0.55000000000000004">
      <c r="B1973" t="str">
        <f>B1967</f>
        <v>Portland</v>
      </c>
      <c r="C1973" t="s">
        <v>585</v>
      </c>
      <c r="D1973">
        <f t="shared" ref="D1973:O1973" si="7089">INDEX(Phys_Prop,MATCH(D1946,Chem_List,0),3)</f>
        <v>130</v>
      </c>
      <c r="E1973">
        <f t="shared" si="7089"/>
        <v>130</v>
      </c>
      <c r="F1973">
        <f t="shared" si="7089"/>
        <v>130</v>
      </c>
      <c r="G1973">
        <f t="shared" si="7089"/>
        <v>130</v>
      </c>
      <c r="H1973">
        <f t="shared" si="7089"/>
        <v>130</v>
      </c>
      <c r="I1973">
        <f t="shared" si="7089"/>
        <v>130</v>
      </c>
      <c r="J1973">
        <f t="shared" si="7089"/>
        <v>130</v>
      </c>
      <c r="K1973">
        <f t="shared" si="7089"/>
        <v>130</v>
      </c>
      <c r="L1973">
        <f t="shared" si="7089"/>
        <v>130</v>
      </c>
      <c r="M1973">
        <f t="shared" si="7089"/>
        <v>130</v>
      </c>
      <c r="N1973">
        <f t="shared" si="7089"/>
        <v>130</v>
      </c>
      <c r="O1973">
        <f t="shared" si="7089"/>
        <v>130</v>
      </c>
    </row>
    <row r="1974" spans="1:32" ht="17.149999999999999" x14ac:dyDescent="0.55000000000000004">
      <c r="B1974" t="str">
        <f>B1973</f>
        <v>Portland</v>
      </c>
      <c r="C1974" t="s">
        <v>586</v>
      </c>
      <c r="D1974">
        <f>D1970/D1971</f>
        <v>0</v>
      </c>
      <c r="E1974">
        <f t="shared" ref="E1974:O1974" si="7090">E1970/E1971</f>
        <v>0</v>
      </c>
      <c r="F1974">
        <f t="shared" si="7090"/>
        <v>0</v>
      </c>
      <c r="G1974">
        <f t="shared" si="7090"/>
        <v>0</v>
      </c>
      <c r="H1974">
        <f t="shared" si="7090"/>
        <v>0</v>
      </c>
      <c r="I1974">
        <f t="shared" si="7090"/>
        <v>0</v>
      </c>
      <c r="J1974">
        <f t="shared" si="7090"/>
        <v>0</v>
      </c>
      <c r="K1974">
        <f t="shared" si="7090"/>
        <v>0</v>
      </c>
      <c r="L1974">
        <f t="shared" si="7090"/>
        <v>0</v>
      </c>
      <c r="M1974">
        <f t="shared" si="7090"/>
        <v>0</v>
      </c>
      <c r="N1974">
        <f t="shared" si="7090"/>
        <v>0</v>
      </c>
      <c r="O1974">
        <f t="shared" si="7090"/>
        <v>0</v>
      </c>
    </row>
    <row r="1975" spans="1:32" ht="17.149999999999999" x14ac:dyDescent="0.55000000000000004">
      <c r="B1975" t="str">
        <f t="shared" si="7078"/>
        <v>Portland</v>
      </c>
      <c r="C1975" t="s">
        <v>587</v>
      </c>
      <c r="D1975">
        <f t="shared" ref="D1975:O1975" si="7091">IFERROR(INDEX(Phys_Prop,MATCH(D1948,Chem_List,0),3),0)</f>
        <v>0</v>
      </c>
      <c r="E1975">
        <f t="shared" si="7091"/>
        <v>0</v>
      </c>
      <c r="F1975">
        <f t="shared" si="7091"/>
        <v>0</v>
      </c>
      <c r="G1975">
        <f t="shared" si="7091"/>
        <v>0</v>
      </c>
      <c r="H1975">
        <f t="shared" si="7091"/>
        <v>0</v>
      </c>
      <c r="I1975">
        <f t="shared" si="7091"/>
        <v>0</v>
      </c>
      <c r="J1975">
        <f t="shared" si="7091"/>
        <v>0</v>
      </c>
      <c r="K1975">
        <f t="shared" si="7091"/>
        <v>0</v>
      </c>
      <c r="L1975">
        <f t="shared" si="7091"/>
        <v>0</v>
      </c>
      <c r="M1975">
        <f t="shared" si="7091"/>
        <v>0</v>
      </c>
      <c r="N1975">
        <f t="shared" si="7091"/>
        <v>0</v>
      </c>
      <c r="O1975">
        <f t="shared" si="7091"/>
        <v>0</v>
      </c>
    </row>
    <row r="1976" spans="1:32" ht="17.149999999999999" x14ac:dyDescent="0.55000000000000004">
      <c r="A1976" s="11"/>
      <c r="B1976" s="11" t="str">
        <f t="shared" si="7078"/>
        <v>Portland</v>
      </c>
      <c r="C1976" s="11" t="s">
        <v>588</v>
      </c>
      <c r="D1976" s="11">
        <f>IFERROR(D1972*D1973+D1974*D1975,0)</f>
        <v>130</v>
      </c>
      <c r="E1976" s="11">
        <f t="shared" ref="E1976:O1976" si="7092">IFERROR(E1972*E1973+E1974*E1975,0)</f>
        <v>130</v>
      </c>
      <c r="F1976" s="11">
        <f t="shared" si="7092"/>
        <v>130</v>
      </c>
      <c r="G1976" s="11">
        <f t="shared" si="7092"/>
        <v>130</v>
      </c>
      <c r="H1976" s="11">
        <f t="shared" si="7092"/>
        <v>130</v>
      </c>
      <c r="I1976" s="11">
        <f t="shared" si="7092"/>
        <v>130</v>
      </c>
      <c r="J1976" s="11">
        <f t="shared" si="7092"/>
        <v>130</v>
      </c>
      <c r="K1976" s="11">
        <f t="shared" si="7092"/>
        <v>130</v>
      </c>
      <c r="L1976" s="11">
        <f t="shared" si="7092"/>
        <v>130</v>
      </c>
      <c r="M1976" s="11">
        <f t="shared" si="7092"/>
        <v>130</v>
      </c>
      <c r="N1976" s="11">
        <f t="shared" si="7092"/>
        <v>130</v>
      </c>
      <c r="O1976" s="11">
        <f t="shared" si="7092"/>
        <v>130</v>
      </c>
      <c r="P1976" s="11"/>
      <c r="Q1976" s="11"/>
      <c r="R1976" s="11"/>
      <c r="S1976" s="11"/>
      <c r="T1976" s="11"/>
      <c r="U1976" s="11"/>
      <c r="V1976" s="11"/>
      <c r="W1976" s="11"/>
      <c r="X1976" s="11"/>
      <c r="Y1976" s="11"/>
      <c r="Z1976" s="11"/>
      <c r="AA1976" s="11"/>
      <c r="AB1976" s="11"/>
      <c r="AC1976" s="11"/>
      <c r="AD1976" s="11"/>
      <c r="AE1976" s="11"/>
      <c r="AF1976" s="11"/>
    </row>
    <row r="1977" spans="1:32" ht="17.149999999999999" x14ac:dyDescent="0.55000000000000004">
      <c r="A1977" t="str" cm="1">
        <f t="array" ref="A1977">INDEX(FX_Input,$Q1977,R$5)</f>
        <v>FX - 59</v>
      </c>
      <c r="B1977" t="str" cm="1">
        <f t="array" ref="B1977">INDEX(FX_Input,Q1977,S1977)</f>
        <v>Portland</v>
      </c>
      <c r="C1977" t="s">
        <v>563</v>
      </c>
      <c r="D1977">
        <v>14.7</v>
      </c>
      <c r="E1977">
        <v>14.7</v>
      </c>
      <c r="F1977">
        <v>14.7</v>
      </c>
      <c r="G1977">
        <v>14.7</v>
      </c>
      <c r="H1977">
        <v>14.7</v>
      </c>
      <c r="I1977">
        <v>14.7</v>
      </c>
      <c r="J1977">
        <v>14.7</v>
      </c>
      <c r="K1977">
        <v>14.7</v>
      </c>
      <c r="L1977">
        <v>14.7</v>
      </c>
      <c r="M1977">
        <v>14.7</v>
      </c>
      <c r="N1977">
        <v>14.7</v>
      </c>
      <c r="O1977">
        <v>14.7</v>
      </c>
      <c r="Q1977">
        <f>Q1943+2</f>
        <v>117</v>
      </c>
      <c r="R1977">
        <v>1</v>
      </c>
      <c r="S1977">
        <v>3</v>
      </c>
      <c r="T1977">
        <v>1</v>
      </c>
      <c r="U1977">
        <v>19</v>
      </c>
      <c r="V1977">
        <v>20</v>
      </c>
      <c r="W1977">
        <v>25</v>
      </c>
      <c r="X1977">
        <v>1</v>
      </c>
      <c r="Y1977">
        <v>2</v>
      </c>
      <c r="Z1977">
        <f>(W1977-V1977)/(Y1977-X1977)</f>
        <v>5</v>
      </c>
      <c r="AA1977">
        <f>V1977-Z1977*X1977</f>
        <v>15</v>
      </c>
      <c r="AD1977">
        <f>AD1943+14</f>
        <v>813</v>
      </c>
      <c r="AF1977">
        <f>AF1943+14</f>
        <v>813</v>
      </c>
    </row>
    <row r="1978" spans="1:32" ht="17.149999999999999" x14ac:dyDescent="0.55000000000000004">
      <c r="B1978" t="str">
        <f t="shared" ref="B1978" si="7093">B1977</f>
        <v>Portland</v>
      </c>
      <c r="C1978" t="s">
        <v>564</v>
      </c>
      <c r="D1978" cm="1">
        <f t="array" ref="D1978">IF(ISBLANK(INDEX(FX_Input,$Q1977,$AB1978)),0.03,INDEX(FX_Input,Q1977,AB1978))</f>
        <v>0.03</v>
      </c>
      <c r="E1978" cm="1">
        <f t="array" ref="E1978">IF(ISBLANK(INDEX(FX_Input,$Q1977,$AB1978)),0.03,INDEX(FX_Input,R1977,#REF!))</f>
        <v>0.03</v>
      </c>
      <c r="F1978" cm="1">
        <f t="array" ref="F1978">IF(ISBLANK(INDEX(FX_Input,$Q1977,$AB1978)),0.03,INDEX(FX_Input,S1977,#REF!))</f>
        <v>0.03</v>
      </c>
      <c r="G1978" cm="1">
        <f t="array" ref="G1978">IF(ISBLANK(INDEX(FX_Input,$Q1977,$AB1978)),0.03,INDEX(FX_Input,AB1977,#REF!))</f>
        <v>0.03</v>
      </c>
      <c r="H1978" cm="1">
        <f t="array" ref="H1978">IF(ISBLANK(INDEX(FX_Input,$Q1977,$AB1978)),0.03,INDEX(FX_Input,#REF!,#REF!))</f>
        <v>0.03</v>
      </c>
      <c r="I1978" cm="1">
        <f t="array" ref="I1978">IF(ISBLANK(INDEX(FX_Input,$Q1977,$AB1978)),0.03,INDEX(FX_Input,#REF!,#REF!))</f>
        <v>0.03</v>
      </c>
      <c r="J1978" cm="1">
        <f t="array" ref="J1978">IF(ISBLANK(INDEX(FX_Input,$Q1977,$AB1978)),0.03,INDEX(FX_Input,#REF!,#REF!))</f>
        <v>0.03</v>
      </c>
      <c r="K1978" cm="1">
        <f t="array" ref="K1978">IF(ISBLANK(INDEX(FX_Input,$Q1977,$AB1978)),0.03,INDEX(FX_Input,#REF!,AC1978))</f>
        <v>0.03</v>
      </c>
      <c r="L1978" cm="1">
        <f t="array" ref="L1978">IF(ISBLANK(INDEX(FX_Input,$Q1977,$AB1978)),0.03,INDEX(FX_Input,#REF!,AD1978))</f>
        <v>0.03</v>
      </c>
      <c r="M1978" cm="1">
        <f t="array" ref="M1978">IF(ISBLANK(INDEX(FX_Input,$Q1977,$AB1978)),0.03,INDEX(FX_Input,#REF!,#REF!))</f>
        <v>0.03</v>
      </c>
      <c r="N1978" cm="1">
        <f t="array" ref="N1978">IF(ISBLANK(INDEX(FX_Input,$Q1977,$AB1978)),0.03,INDEX(FX_Input,AC1977,#REF!))</f>
        <v>0.03</v>
      </c>
      <c r="O1978" cm="1">
        <f t="array" ref="O1978">IF(ISBLANK(INDEX(FX_Input,$Q1977,$AB1978)),0.03,INDEX(FX_Input,AD1977,#REF!))</f>
        <v>0.03</v>
      </c>
      <c r="AB1978">
        <v>15</v>
      </c>
    </row>
    <row r="1979" spans="1:32" ht="17.149999999999999" x14ac:dyDescent="0.55000000000000004">
      <c r="B1979" t="str">
        <f>B1978</f>
        <v>Portland</v>
      </c>
      <c r="C1979" t="s">
        <v>565</v>
      </c>
      <c r="D1979" cm="1">
        <f t="array" ref="D1979">IF(ISBLANK(INDEX(FX_Input,$Q1977,$AB1979)),-0.03,INDEX(FX_Input,Q1977,AB1979))</f>
        <v>-0.03</v>
      </c>
      <c r="E1979" cm="1">
        <f t="array" ref="E1979">IF(ISBLANK(INDEX(FX_Input,$Q1977,$AB1979)),-0.03,INDEX(FX_Input,R1977,#REF!))</f>
        <v>-0.03</v>
      </c>
      <c r="F1979" cm="1">
        <f t="array" ref="F1979">IF(ISBLANK(INDEX(FX_Input,$Q1977,$AB1979)),-0.03,INDEX(FX_Input,S1977,#REF!))</f>
        <v>-0.03</v>
      </c>
      <c r="G1979" cm="1">
        <f t="array" ref="G1979">IF(ISBLANK(INDEX(FX_Input,$Q1977,$AB1979)),-0.03,INDEX(FX_Input,AB1977,#REF!))</f>
        <v>-0.03</v>
      </c>
      <c r="H1979" cm="1">
        <f t="array" ref="H1979">IF(ISBLANK(INDEX(FX_Input,$Q1977,$AB1979)),-0.03,INDEX(FX_Input,#REF!,#REF!))</f>
        <v>-0.03</v>
      </c>
      <c r="I1979" cm="1">
        <f t="array" ref="I1979">IF(ISBLANK(INDEX(FX_Input,$Q1977,$AB1979)),-0.03,INDEX(FX_Input,#REF!,#REF!))</f>
        <v>-0.03</v>
      </c>
      <c r="J1979" cm="1">
        <f t="array" ref="J1979">IF(ISBLANK(INDEX(FX_Input,$Q1977,$AB1979)),-0.03,INDEX(FX_Input,#REF!,#REF!))</f>
        <v>-0.03</v>
      </c>
      <c r="K1979" cm="1">
        <f t="array" ref="K1979">IF(ISBLANK(INDEX(FX_Input,$Q1977,$AB1979)),-0.03,INDEX(FX_Input,#REF!,AC1979))</f>
        <v>-0.03</v>
      </c>
      <c r="L1979" cm="1">
        <f t="array" ref="L1979">IF(ISBLANK(INDEX(FX_Input,$Q1977,$AB1979)),-0.03,INDEX(FX_Input,#REF!,AD1979))</f>
        <v>-0.03</v>
      </c>
      <c r="M1979" cm="1">
        <f t="array" ref="M1979">IF(ISBLANK(INDEX(FX_Input,$Q1977,$AB1979)),-0.03,INDEX(FX_Input,#REF!,#REF!))</f>
        <v>-0.03</v>
      </c>
      <c r="N1979" cm="1">
        <f t="array" ref="N1979">IF(ISBLANK(INDEX(FX_Input,$Q1977,$AB1979)),-0.03,INDEX(FX_Input,AC1977,#REF!))</f>
        <v>-0.03</v>
      </c>
      <c r="O1979" cm="1">
        <f t="array" ref="O1979">IF(ISBLANK(INDEX(FX_Input,$Q1977,$AB1979)),-0.03,INDEX(FX_Input,AD1977,#REF!))</f>
        <v>-0.03</v>
      </c>
      <c r="AB1979">
        <v>16</v>
      </c>
    </row>
    <row r="1980" spans="1:32" x14ac:dyDescent="0.4">
      <c r="B1980" t="str">
        <f t="shared" ref="B1980:B1981" si="7094">B1979</f>
        <v>Portland</v>
      </c>
      <c r="C1980" s="66" t="s">
        <v>567</v>
      </c>
      <c r="D1980" t="str" cm="1">
        <f t="array" ref="D1980">INDEX(FX_Multi,$AD1980,D$3)</f>
        <v>Jet kerosene</v>
      </c>
      <c r="E1980" t="str" cm="1">
        <f t="array" ref="E1980">INDEX(FX_Multi,$AD1980,E$3)</f>
        <v>Jet kerosene</v>
      </c>
      <c r="F1980" t="str" cm="1">
        <f t="array" ref="F1980">INDEX(FX_Multi,$AD1980,F$3)</f>
        <v>Jet kerosene</v>
      </c>
      <c r="G1980" t="str" cm="1">
        <f t="array" ref="G1980">INDEX(FX_Multi,$AD1980,G$3)</f>
        <v>Jet kerosene</v>
      </c>
      <c r="H1980" t="str" cm="1">
        <f t="array" ref="H1980">INDEX(FX_Multi,$AD1980,H$3)</f>
        <v>Jet kerosene</v>
      </c>
      <c r="I1980" t="str" cm="1">
        <f t="array" ref="I1980">INDEX(FX_Multi,$AD1980,I$3)</f>
        <v>Jet kerosene</v>
      </c>
      <c r="J1980" t="str" cm="1">
        <f t="array" ref="J1980">INDEX(FX_Multi,$AD1980,J$3)</f>
        <v>Jet kerosene</v>
      </c>
      <c r="K1980" t="str" cm="1">
        <f t="array" ref="K1980">INDEX(FX_Multi,$AD1980,K$3)</f>
        <v>Jet kerosene</v>
      </c>
      <c r="L1980" t="str" cm="1">
        <f t="array" ref="L1980">INDEX(FX_Multi,$AD1980,L$3)</f>
        <v>Jet kerosene</v>
      </c>
      <c r="M1980" t="str" cm="1">
        <f t="array" ref="M1980">INDEX(FX_Multi,$AD1980,M$3)</f>
        <v>Jet kerosene</v>
      </c>
      <c r="N1980" t="str" cm="1">
        <f t="array" ref="N1980">INDEX(FX_Multi,$AD1980,N$3)</f>
        <v>Jet kerosene</v>
      </c>
      <c r="O1980" t="str" cm="1">
        <f t="array" ref="O1980">INDEX(FX_Multi,$AD1980,O$3)</f>
        <v>Jet kerosene</v>
      </c>
      <c r="AC1980">
        <v>1</v>
      </c>
      <c r="AD1980">
        <f>AD1977</f>
        <v>813</v>
      </c>
      <c r="AE1980">
        <v>1</v>
      </c>
      <c r="AF1980">
        <f>AF1977</f>
        <v>813</v>
      </c>
    </row>
    <row r="1981" spans="1:32" x14ac:dyDescent="0.4">
      <c r="B1981" t="str">
        <f t="shared" si="7094"/>
        <v>Portland</v>
      </c>
      <c r="C1981" s="66" t="s">
        <v>566</v>
      </c>
      <c r="D1981" t="str" cm="1">
        <f t="array" ref="D1981">INDEX(FX_Multi,$AD1981,D$3)</f>
        <v>Select Pet Stock</v>
      </c>
      <c r="E1981" t="str" cm="1">
        <f t="array" ref="E1981">INDEX(FX_Multi,$AD1981,E$3)</f>
        <v>Select Pet Stock</v>
      </c>
      <c r="F1981" t="str" cm="1">
        <f t="array" ref="F1981">INDEX(FX_Multi,$AD1981,F$3)</f>
        <v>Select Pet Stock</v>
      </c>
      <c r="G1981" t="str" cm="1">
        <f t="array" ref="G1981">INDEX(FX_Multi,$AD1981,G$3)</f>
        <v>Select Pet Stock</v>
      </c>
      <c r="H1981" t="str" cm="1">
        <f t="array" ref="H1981">INDEX(FX_Multi,$AD1981,H$3)</f>
        <v>Select Pet Stock</v>
      </c>
      <c r="I1981" t="str" cm="1">
        <f t="array" ref="I1981">INDEX(FX_Multi,$AD1981,I$3)</f>
        <v>Select Pet Stock</v>
      </c>
      <c r="J1981" t="str" cm="1">
        <f t="array" ref="J1981">INDEX(FX_Multi,$AD1981,J$3)</f>
        <v>Select Pet Stock</v>
      </c>
      <c r="K1981" t="str" cm="1">
        <f t="array" ref="K1981">INDEX(FX_Multi,$AD1981,K$3)</f>
        <v>Select Pet Stock</v>
      </c>
      <c r="L1981" t="str" cm="1">
        <f t="array" ref="L1981">INDEX(FX_Multi,$AD1981,L$3)</f>
        <v>Select Pet Stock</v>
      </c>
      <c r="M1981" t="str" cm="1">
        <f t="array" ref="M1981">INDEX(FX_Multi,$AD1981,M$3)</f>
        <v>Select Pet Stock</v>
      </c>
      <c r="N1981" t="str" cm="1">
        <f t="array" ref="N1981">INDEX(FX_Multi,$AD1981,N$3)</f>
        <v>Select Pet Stock</v>
      </c>
      <c r="O1981" t="str" cm="1">
        <f t="array" ref="O1981">INDEX(FX_Multi,$AD1981,O$3)</f>
        <v>Select Pet Stock</v>
      </c>
      <c r="AC1981">
        <v>1</v>
      </c>
      <c r="AD1981">
        <f>AD1980+2</f>
        <v>815</v>
      </c>
      <c r="AE1981">
        <v>1</v>
      </c>
      <c r="AF1981">
        <f>AF1980+3</f>
        <v>816</v>
      </c>
    </row>
    <row r="1982" spans="1:32" x14ac:dyDescent="0.4">
      <c r="B1982" t="str">
        <f>B1978</f>
        <v>Portland</v>
      </c>
      <c r="C1982" s="66" t="s">
        <v>568</v>
      </c>
      <c r="D1982" cm="1">
        <f t="array" ref="D1982">INDEX(FX_Multi,$AD1982,D$3)</f>
        <v>0</v>
      </c>
      <c r="E1982" cm="1">
        <f t="array" ref="E1982">INDEX(FX_Multi,$AD1982,E$3)</f>
        <v>0</v>
      </c>
      <c r="F1982" cm="1">
        <f t="array" ref="F1982">INDEX(FX_Multi,$AD1982,F$3)</f>
        <v>0</v>
      </c>
      <c r="G1982" cm="1">
        <f t="array" ref="G1982">INDEX(FX_Multi,$AD1982,G$3)</f>
        <v>0</v>
      </c>
      <c r="H1982" cm="1">
        <f t="array" ref="H1982">INDEX(FX_Multi,$AD1982,H$3)</f>
        <v>0</v>
      </c>
      <c r="I1982" cm="1">
        <f t="array" ref="I1982">INDEX(FX_Multi,$AD1982,I$3)</f>
        <v>0</v>
      </c>
      <c r="J1982" cm="1">
        <f t="array" ref="J1982">INDEX(FX_Multi,$AD1982,J$3)</f>
        <v>0</v>
      </c>
      <c r="K1982" cm="1">
        <f t="array" ref="K1982">INDEX(FX_Multi,$AD1982,K$3)</f>
        <v>0</v>
      </c>
      <c r="L1982" cm="1">
        <f t="array" ref="L1982">INDEX(FX_Multi,$AD1982,L$3)</f>
        <v>0</v>
      </c>
      <c r="M1982" cm="1">
        <f t="array" ref="M1982">INDEX(FX_Multi,$AD1982,M$3)</f>
        <v>0</v>
      </c>
      <c r="N1982" cm="1">
        <f t="array" ref="N1982">INDEX(FX_Multi,$AD1982,N$3)</f>
        <v>0</v>
      </c>
      <c r="O1982" cm="1">
        <f t="array" ref="O1982">INDEX(FX_Multi,$AD1982,O$3)</f>
        <v>0</v>
      </c>
      <c r="AC1982">
        <v>1</v>
      </c>
      <c r="AD1982">
        <f>AD1981-1</f>
        <v>814</v>
      </c>
      <c r="AE1982">
        <v>1</v>
      </c>
      <c r="AF1982">
        <f>AF1980+1</f>
        <v>814</v>
      </c>
    </row>
    <row r="1983" spans="1:32" x14ac:dyDescent="0.4">
      <c r="B1983" t="str">
        <f t="shared" ref="B1983:B1987" si="7095">B1982</f>
        <v>Portland</v>
      </c>
      <c r="C1983" s="66" t="s">
        <v>569</v>
      </c>
      <c r="D1983" cm="1">
        <f t="array" ref="D1983">INDEX(FX_Multi,$AD1983,D$3)</f>
        <v>0</v>
      </c>
      <c r="E1983" cm="1">
        <f t="array" ref="E1983">INDEX(FX_Multi,$AD1983,E$3)</f>
        <v>0</v>
      </c>
      <c r="F1983" cm="1">
        <f t="array" ref="F1983">INDEX(FX_Multi,$AD1983,F$3)</f>
        <v>0</v>
      </c>
      <c r="G1983" cm="1">
        <f t="array" ref="G1983">INDEX(FX_Multi,$AD1983,G$3)</f>
        <v>0</v>
      </c>
      <c r="H1983" cm="1">
        <f t="array" ref="H1983">INDEX(FX_Multi,$AD1983,H$3)</f>
        <v>0</v>
      </c>
      <c r="I1983" cm="1">
        <f t="array" ref="I1983">INDEX(FX_Multi,$AD1983,I$3)</f>
        <v>0</v>
      </c>
      <c r="J1983" cm="1">
        <f t="array" ref="J1983">INDEX(FX_Multi,$AD1983,J$3)</f>
        <v>0</v>
      </c>
      <c r="K1983" cm="1">
        <f t="array" ref="K1983">INDEX(FX_Multi,$AD1983,K$3)</f>
        <v>0</v>
      </c>
      <c r="L1983" cm="1">
        <f t="array" ref="L1983">INDEX(FX_Multi,$AD1983,L$3)</f>
        <v>0</v>
      </c>
      <c r="M1983" cm="1">
        <f t="array" ref="M1983">INDEX(FX_Multi,$AD1983,M$3)</f>
        <v>0</v>
      </c>
      <c r="N1983" cm="1">
        <f t="array" ref="N1983">INDEX(FX_Multi,$AD1983,N$3)</f>
        <v>0</v>
      </c>
      <c r="O1983" cm="1">
        <f t="array" ref="O1983">INDEX(FX_Multi,$AD1983,O$3)</f>
        <v>0</v>
      </c>
      <c r="AC1983">
        <v>1</v>
      </c>
      <c r="AD1983">
        <f>AD1982+2</f>
        <v>816</v>
      </c>
      <c r="AE1983">
        <v>1</v>
      </c>
      <c r="AF1983">
        <f>AF1981</f>
        <v>816</v>
      </c>
    </row>
    <row r="1984" spans="1:32" ht="17.149999999999999" x14ac:dyDescent="0.55000000000000004">
      <c r="B1984" t="str">
        <f t="shared" si="7095"/>
        <v>Portland</v>
      </c>
      <c r="C1984" t="s">
        <v>570</v>
      </c>
      <c r="D1984" cm="1">
        <f t="array" ref="D1984">INDEX(FX_Multi,$AD1984,D$3)</f>
        <v>1</v>
      </c>
      <c r="E1984" cm="1">
        <f t="array" ref="E1984">INDEX(FX_Multi,$AD1984,E$3)</f>
        <v>1</v>
      </c>
      <c r="F1984" cm="1">
        <f t="array" ref="F1984">INDEX(FX_Multi,$AD1984,F$3)</f>
        <v>1</v>
      </c>
      <c r="G1984" cm="1">
        <f t="array" ref="G1984">INDEX(FX_Multi,$AD1984,G$3)</f>
        <v>1</v>
      </c>
      <c r="H1984" cm="1">
        <f t="array" ref="H1984">INDEX(FX_Multi,$AD1984,H$3)</f>
        <v>1</v>
      </c>
      <c r="I1984" cm="1">
        <f t="array" ref="I1984">INDEX(FX_Multi,$AD1984,I$3)</f>
        <v>1</v>
      </c>
      <c r="J1984" cm="1">
        <f t="array" ref="J1984">INDEX(FX_Multi,$AD1984,J$3)</f>
        <v>1</v>
      </c>
      <c r="K1984" cm="1">
        <f t="array" ref="K1984">INDEX(FX_Multi,$AD1984,K$3)</f>
        <v>1</v>
      </c>
      <c r="L1984" cm="1">
        <f t="array" ref="L1984">INDEX(FX_Multi,$AD1984,L$3)</f>
        <v>1</v>
      </c>
      <c r="M1984" cm="1">
        <f t="array" ref="M1984">INDEX(FX_Multi,$AD1984,M$3)</f>
        <v>1</v>
      </c>
      <c r="N1984" cm="1">
        <f t="array" ref="N1984">INDEX(FX_Multi,$AD1984,N$3)</f>
        <v>1</v>
      </c>
      <c r="O1984" cm="1">
        <f t="array" ref="O1984">INDEX(FX_Multi,$AD1984,O$3)</f>
        <v>1</v>
      </c>
      <c r="AC1984">
        <v>1</v>
      </c>
      <c r="AD1984">
        <f>AD1983+6</f>
        <v>822</v>
      </c>
      <c r="AE1984">
        <v>1</v>
      </c>
      <c r="AF1984">
        <f>AF1980+9</f>
        <v>822</v>
      </c>
    </row>
    <row r="1985" spans="2:32" ht="17.149999999999999" x14ac:dyDescent="0.55000000000000004">
      <c r="B1985" t="str">
        <f t="shared" si="7095"/>
        <v>Portland</v>
      </c>
      <c r="C1985" t="s">
        <v>571</v>
      </c>
      <c r="D1985" cm="1">
        <f t="array" ref="D1985">INDEX(FX_Multi,$AD1985,D$3)</f>
        <v>162</v>
      </c>
      <c r="E1985" cm="1">
        <f t="array" ref="E1985">INDEX(FX_Multi,$AD1985,E$3)</f>
        <v>162</v>
      </c>
      <c r="F1985" cm="1">
        <f t="array" ref="F1985">INDEX(FX_Multi,$AD1985,F$3)</f>
        <v>162</v>
      </c>
      <c r="G1985" cm="1">
        <f t="array" ref="G1985">INDEX(FX_Multi,$AD1985,G$3)</f>
        <v>162</v>
      </c>
      <c r="H1985" cm="1">
        <f t="array" ref="H1985">INDEX(FX_Multi,$AD1985,H$3)</f>
        <v>162</v>
      </c>
      <c r="I1985" cm="1">
        <f t="array" ref="I1985">INDEX(FX_Multi,$AD1985,I$3)</f>
        <v>162</v>
      </c>
      <c r="J1985" cm="1">
        <f t="array" ref="J1985">INDEX(FX_Multi,$AD1985,J$3)</f>
        <v>162</v>
      </c>
      <c r="K1985" cm="1">
        <f t="array" ref="K1985">INDEX(FX_Multi,$AD1985,K$3)</f>
        <v>162</v>
      </c>
      <c r="L1985" cm="1">
        <f t="array" ref="L1985">INDEX(FX_Multi,$AD1985,L$3)</f>
        <v>162</v>
      </c>
      <c r="M1985" cm="1">
        <f t="array" ref="M1985">INDEX(FX_Multi,$AD1985,M$3)</f>
        <v>162</v>
      </c>
      <c r="N1985" cm="1">
        <f t="array" ref="N1985">INDEX(FX_Multi,$AD1985,N$3)</f>
        <v>162</v>
      </c>
      <c r="O1985" cm="1">
        <f t="array" ref="O1985">INDEX(FX_Multi,$AD1985,O$3)</f>
        <v>162</v>
      </c>
      <c r="AC1985">
        <v>1</v>
      </c>
      <c r="AD1985">
        <f>AD1984-3</f>
        <v>819</v>
      </c>
      <c r="AE1985">
        <v>1</v>
      </c>
      <c r="AF1985">
        <f>AF1980+6</f>
        <v>819</v>
      </c>
    </row>
    <row r="1986" spans="2:32" ht="17.149999999999999" x14ac:dyDescent="0.55000000000000004">
      <c r="B1986" t="str">
        <f t="shared" si="7095"/>
        <v>Portland</v>
      </c>
      <c r="C1986" t="s">
        <v>572</v>
      </c>
      <c r="D1986" cm="1">
        <f t="array" ref="D1986">INDEX(FX_Multi,$AD1986,D$3)</f>
        <v>0</v>
      </c>
      <c r="E1986" cm="1">
        <f t="array" ref="E1986">INDEX(FX_Multi,$AD1986,E$3)</f>
        <v>0</v>
      </c>
      <c r="F1986" cm="1">
        <f t="array" ref="F1986">INDEX(FX_Multi,$AD1986,F$3)</f>
        <v>0</v>
      </c>
      <c r="G1986" cm="1">
        <f t="array" ref="G1986">INDEX(FX_Multi,$AD1986,G$3)</f>
        <v>0</v>
      </c>
      <c r="H1986" cm="1">
        <f t="array" ref="H1986">INDEX(FX_Multi,$AD1986,H$3)</f>
        <v>0</v>
      </c>
      <c r="I1986" cm="1">
        <f t="array" ref="I1986">INDEX(FX_Multi,$AD1986,I$3)</f>
        <v>0</v>
      </c>
      <c r="J1986" cm="1">
        <f t="array" ref="J1986">INDEX(FX_Multi,$AD1986,J$3)</f>
        <v>0</v>
      </c>
      <c r="K1986" cm="1">
        <f t="array" ref="K1986">INDEX(FX_Multi,$AD1986,K$3)</f>
        <v>0</v>
      </c>
      <c r="L1986" cm="1">
        <f t="array" ref="L1986">INDEX(FX_Multi,$AD1986,L$3)</f>
        <v>0</v>
      </c>
      <c r="M1986" cm="1">
        <f t="array" ref="M1986">INDEX(FX_Multi,$AD1986,M$3)</f>
        <v>0</v>
      </c>
      <c r="N1986" cm="1">
        <f t="array" ref="N1986">INDEX(FX_Multi,$AD1986,N$3)</f>
        <v>0</v>
      </c>
      <c r="O1986" cm="1">
        <f t="array" ref="O1986">INDEX(FX_Multi,$AD1986,O$3)</f>
        <v>0</v>
      </c>
      <c r="AC1986">
        <v>1</v>
      </c>
      <c r="AD1986">
        <f>AD1985+4</f>
        <v>823</v>
      </c>
      <c r="AE1986">
        <v>1</v>
      </c>
      <c r="AF1986">
        <f>AF1980+10</f>
        <v>823</v>
      </c>
    </row>
    <row r="1987" spans="2:32" ht="17.149999999999999" x14ac:dyDescent="0.55000000000000004">
      <c r="B1987" t="str">
        <f t="shared" si="7095"/>
        <v>Portland</v>
      </c>
      <c r="C1987" t="s">
        <v>573</v>
      </c>
      <c r="D1987" cm="1">
        <f t="array" ref="D1987">INDEX(FX_Multi,$AD1987,D$3)</f>
        <v>0</v>
      </c>
      <c r="E1987" cm="1">
        <f t="array" ref="E1987">INDEX(FX_Multi,$AD1987,E$3)</f>
        <v>0</v>
      </c>
      <c r="F1987" cm="1">
        <f t="array" ref="F1987">INDEX(FX_Multi,$AD1987,F$3)</f>
        <v>0</v>
      </c>
      <c r="G1987" cm="1">
        <f t="array" ref="G1987">INDEX(FX_Multi,$AD1987,G$3)</f>
        <v>0</v>
      </c>
      <c r="H1987" cm="1">
        <f t="array" ref="H1987">INDEX(FX_Multi,$AD1987,H$3)</f>
        <v>0</v>
      </c>
      <c r="I1987" cm="1">
        <f t="array" ref="I1987">INDEX(FX_Multi,$AD1987,I$3)</f>
        <v>0</v>
      </c>
      <c r="J1987" cm="1">
        <f t="array" ref="J1987">INDEX(FX_Multi,$AD1987,J$3)</f>
        <v>0</v>
      </c>
      <c r="K1987" cm="1">
        <f t="array" ref="K1987">INDEX(FX_Multi,$AD1987,K$3)</f>
        <v>0</v>
      </c>
      <c r="L1987" cm="1">
        <f t="array" ref="L1987">INDEX(FX_Multi,$AD1987,L$3)</f>
        <v>0</v>
      </c>
      <c r="M1987" cm="1">
        <f t="array" ref="M1987">INDEX(FX_Multi,$AD1987,M$3)</f>
        <v>0</v>
      </c>
      <c r="N1987" cm="1">
        <f t="array" ref="N1987">INDEX(FX_Multi,$AD1987,N$3)</f>
        <v>0</v>
      </c>
      <c r="O1987" cm="1">
        <f t="array" ref="O1987">INDEX(FX_Multi,$AD1987,O$3)</f>
        <v>0</v>
      </c>
      <c r="AC1987">
        <v>1</v>
      </c>
      <c r="AD1987">
        <f>AD1986-3</f>
        <v>820</v>
      </c>
      <c r="AE1987">
        <v>1</v>
      </c>
      <c r="AF1987">
        <f>AF1980+7</f>
        <v>820</v>
      </c>
    </row>
    <row r="1988" spans="2:32" ht="17.149999999999999" x14ac:dyDescent="0.55000000000000004">
      <c r="B1988" t="str">
        <f>B1983</f>
        <v>Portland</v>
      </c>
      <c r="C1988" t="s">
        <v>526</v>
      </c>
      <c r="D1988" cm="1">
        <f t="array" ref="D1988">INDEX(FX_Temps,$AF1988,D$3)</f>
        <v>44.328749999999957</v>
      </c>
      <c r="E1988" cm="1">
        <f t="array" ref="E1988">INDEX(FX_Temps,$AF1988,E$3)</f>
        <v>45.450000000000045</v>
      </c>
      <c r="F1988" cm="1">
        <f t="array" ref="F1988">INDEX(FX_Temps,$AF1988,F$3)</f>
        <v>47.19625000000002</v>
      </c>
      <c r="G1988" cm="1">
        <f t="array" ref="G1988">INDEX(FX_Temps,$AF1988,G$3)</f>
        <v>50.164999999999907</v>
      </c>
      <c r="H1988" cm="1">
        <f t="array" ref="H1988">INDEX(FX_Temps,$AF1988,H$3)</f>
        <v>55.071249999999964</v>
      </c>
      <c r="I1988" cm="1">
        <f t="array" ref="I1988">INDEX(FX_Temps,$AF1988,I$3)</f>
        <v>58.9837500000001</v>
      </c>
      <c r="J1988" cm="1">
        <f t="array" ref="J1988">INDEX(FX_Temps,$AF1988,J$3)</f>
        <v>62.584999999999923</v>
      </c>
      <c r="K1988" cm="1">
        <f t="array" ref="K1988">INDEX(FX_Temps,$AF1988,K$3)</f>
        <v>62.764999999999986</v>
      </c>
      <c r="L1988" cm="1">
        <f t="array" ref="L1988">INDEX(FX_Temps,$AF1988,L$3)</f>
        <v>60.095000000000027</v>
      </c>
      <c r="M1988" cm="1">
        <f t="array" ref="M1988">INDEX(FX_Temps,$AF1988,M$3)</f>
        <v>53.559999999999945</v>
      </c>
      <c r="N1988" cm="1">
        <f t="array" ref="N1988">INDEX(FX_Temps,$AF1988,N$3)</f>
        <v>47.588750000000005</v>
      </c>
      <c r="O1988" cm="1">
        <f t="array" ref="O1988">INDEX(FX_Temps,$AF1988,O$3)</f>
        <v>43.97750000000002</v>
      </c>
      <c r="AE1988">
        <v>1</v>
      </c>
      <c r="AF1988">
        <f>AF1980+10</f>
        <v>823</v>
      </c>
    </row>
    <row r="1989" spans="2:32" ht="17.149999999999999" x14ac:dyDescent="0.55000000000000004">
      <c r="B1989" t="str">
        <f t="shared" ref="B1989:B2010" si="7096">B1988</f>
        <v>Portland</v>
      </c>
      <c r="C1989" t="s">
        <v>527</v>
      </c>
      <c r="D1989" cm="1">
        <f t="array" ref="D1989">INDEX(FX_Temps,$AF1989,D$3)</f>
        <v>44.328749999999957</v>
      </c>
      <c r="E1989" cm="1">
        <f t="array" ref="E1989">INDEX(FX_Temps,$AF1989,E$3)</f>
        <v>45.450000000000045</v>
      </c>
      <c r="F1989" cm="1">
        <f t="array" ref="F1989">INDEX(FX_Temps,$AF1989,F$3)</f>
        <v>47.19625000000002</v>
      </c>
      <c r="G1989" cm="1">
        <f t="array" ref="G1989">INDEX(FX_Temps,$AF1989,G$3)</f>
        <v>50.164999999999907</v>
      </c>
      <c r="H1989" cm="1">
        <f t="array" ref="H1989">INDEX(FX_Temps,$AF1989,H$3)</f>
        <v>55.071249999999964</v>
      </c>
      <c r="I1989" cm="1">
        <f t="array" ref="I1989">INDEX(FX_Temps,$AF1989,I$3)</f>
        <v>58.9837500000001</v>
      </c>
      <c r="J1989" cm="1">
        <f t="array" ref="J1989">INDEX(FX_Temps,$AF1989,J$3)</f>
        <v>62.584999999999923</v>
      </c>
      <c r="K1989" cm="1">
        <f t="array" ref="K1989">INDEX(FX_Temps,$AF1989,K$3)</f>
        <v>62.764999999999986</v>
      </c>
      <c r="L1989" cm="1">
        <f t="array" ref="L1989">INDEX(FX_Temps,$AF1989,L$3)</f>
        <v>60.095000000000027</v>
      </c>
      <c r="M1989" cm="1">
        <f t="array" ref="M1989">INDEX(FX_Temps,$AF1989,M$3)</f>
        <v>53.559999999999945</v>
      </c>
      <c r="N1989" cm="1">
        <f t="array" ref="N1989">INDEX(FX_Temps,$AF1989,N$3)</f>
        <v>47.588750000000005</v>
      </c>
      <c r="O1989" cm="1">
        <f t="array" ref="O1989">INDEX(FX_Temps,$AF1989,O$3)</f>
        <v>43.97750000000002</v>
      </c>
      <c r="AE1989">
        <f>AE1988</f>
        <v>1</v>
      </c>
      <c r="AF1989">
        <f>AF1980+11</f>
        <v>824</v>
      </c>
    </row>
    <row r="1990" spans="2:32" ht="17.149999999999999" x14ac:dyDescent="0.55000000000000004">
      <c r="B1990" t="str">
        <f t="shared" si="7096"/>
        <v>Portland</v>
      </c>
      <c r="C1990" t="s">
        <v>552</v>
      </c>
      <c r="D1990" cm="1">
        <f t="array" ref="D1990">INDEX(FX_Temps,$AF1990,D$3)</f>
        <v>44.757499999999993</v>
      </c>
      <c r="E1990" cm="1">
        <f t="array" ref="E1990">INDEX(FX_Temps,$AF1990,E$3)</f>
        <v>46.200000000000045</v>
      </c>
      <c r="F1990" cm="1">
        <f t="array" ref="F1990">INDEX(FX_Temps,$AF1990,F$3)</f>
        <v>48.292500000000018</v>
      </c>
      <c r="G1990" cm="1">
        <f t="array" ref="G1990">INDEX(FX_Temps,$AF1990,G$3)</f>
        <v>51.729999999999905</v>
      </c>
      <c r="H1990" cm="1">
        <f t="array" ref="H1990">INDEX(FX_Temps,$AF1990,H$3)</f>
        <v>56.99249999999995</v>
      </c>
      <c r="I1990" cm="1">
        <f t="array" ref="I1990">INDEX(FX_Temps,$AF1990,I$3)</f>
        <v>61.017500000000041</v>
      </c>
      <c r="J1990" cm="1">
        <f t="array" ref="J1990">INDEX(FX_Temps,$AF1990,J$3)</f>
        <v>64.719999999999914</v>
      </c>
      <c r="K1990" cm="1">
        <f t="array" ref="K1990">INDEX(FX_Temps,$AF1990,K$3)</f>
        <v>64.63</v>
      </c>
      <c r="L1990" cm="1">
        <f t="array" ref="L1990">INDEX(FX_Temps,$AF1990,L$3)</f>
        <v>61.590000000000032</v>
      </c>
      <c r="M1990" cm="1">
        <f t="array" ref="M1990">INDEX(FX_Temps,$AF1990,M$3)</f>
        <v>54.470000000000027</v>
      </c>
      <c r="N1990" cm="1">
        <f t="array" ref="N1990">INDEX(FX_Temps,$AF1990,N$3)</f>
        <v>48.077500000000043</v>
      </c>
      <c r="O1990" cm="1">
        <f t="array" ref="O1990">INDEX(FX_Temps,$AF1990,O$3)</f>
        <v>44.355000000000018</v>
      </c>
      <c r="AE1990">
        <f>AE1989</f>
        <v>1</v>
      </c>
      <c r="AF1990">
        <f>AF1980+13</f>
        <v>826</v>
      </c>
    </row>
    <row r="1991" spans="2:32" ht="17.149999999999999" x14ac:dyDescent="0.55000000000000004">
      <c r="B1991" t="str">
        <f t="shared" si="7096"/>
        <v>Portland</v>
      </c>
      <c r="C1991" t="s">
        <v>574</v>
      </c>
      <c r="D1991" cm="1">
        <f t="array" ref="D1991">IFERROR(IF(D1981="Chemical",(10^(INDEX(Antoines,MATCH(D1980,Antoine_Name,0),2)-INDEX(Antoines,MATCH(D1980,Antoine_Name,0),3)/(INDEX(Antoines,MATCH(D1980,Antoine_Name,0),4)+(D1988-32)*5/9)))*14.7/760,IF(D1981="Crude Oil",EXP((2799/(D1988+459.6)-2.227)*LOG10(INDEX(FX_Input,Q$5,D$3*$Z$5+$AA$5))-(7261/(D1988+459.6))+12.82),IF(D1981="Refined Petroleum Stock",EXP((0.7553-(413/(D1988+459.6)))*(INDEX(FX_Input,Q$5,D$3*$Z$5+$AA$5-1)^0.5)*LOG10(INDEX(FX_Input,Q$5,D$3*$Z$5+$AA$5))-(1.854-(1042/(D1988+459.6)))*(INDEX(FX_Input,Q$5,D$3*$Z$5+$AA$5-1)^0.5)+((2416/(D1988+459.6)-2.013)*LOG10(INDEX(FX_Input,Q$5,D$3*$Z$5+$AA$5)))-(8742/(D1988+459.6))+15.64),EXP(INDEX(Antoines,MATCH(D1980,Antoine_Name,0),2)-INDEX(Antoines,MATCH(D1980,Antoine_Name,0),3)/(D1988+459.6))))),0)</f>
        <v>4.8116637646820016E-3</v>
      </c>
      <c r="E1991" cm="1">
        <f t="array" ref="E1991">IFERROR(IF(E1981="Chemical",(10^(INDEX(Antoines,MATCH(E1980,Antoine_Name,0),2)-INDEX(Antoines,MATCH(E1980,Antoine_Name,0),3)/(INDEX(Antoines,MATCH(E1980,Antoine_Name,0),4)+(E1988-32)*5/9)))*14.7/760,IF(E1981="Crude Oil",EXP((2799/(E1988+459.6)-2.227)*LOG10(INDEX(FX_Input,R$5,E$3*$Z$5+$AA$5))-(7261/(E1988+459.6))+12.82),IF(E1981="Refined Petroleum Stock",EXP((0.7553-(413/(E1988+459.6)))*(INDEX(FX_Input,R$5,E$3*$Z$5+$AA$5-1)^0.5)*LOG10(INDEX(FX_Input,R$5,E$3*$Z$5+$AA$5))-(1.854-(1042/(E1988+459.6)))*(INDEX(FX_Input,R$5,E$3*$Z$5+$AA$5-1)^0.5)+((2416/(E1988+459.6)-2.013)*LOG10(INDEX(FX_Input,R$5,E$3*$Z$5+$AA$5)))-(8742/(E1988+459.6))+15.64),EXP(INDEX(Antoines,MATCH(E1980,Antoine_Name,0),2)-INDEX(Antoines,MATCH(E1980,Antoine_Name,0),3)/(E1988+459.6))))),0)</f>
        <v>5.0048006991488458E-3</v>
      </c>
      <c r="F1991" cm="1">
        <f t="array" ref="F1991">IFERROR(IF(F1981="Chemical",(10^(INDEX(Antoines,MATCH(F1980,Antoine_Name,0),2)-INDEX(Antoines,MATCH(F1980,Antoine_Name,0),3)/(INDEX(Antoines,MATCH(F1980,Antoine_Name,0),4)+(F1988-32)*5/9)))*14.7/760,IF(F1981="Crude Oil",EXP((2799/(F1988+459.6)-2.227)*LOG10(INDEX(FX_Input,S$5,F$3*$Z$5+$AA$5))-(7261/(F1988+459.6))+12.82),IF(F1981="Refined Petroleum Stock",EXP((0.7553-(413/(F1988+459.6)))*(INDEX(FX_Input,S$5,F$3*$Z$5+$AA$5-1)^0.5)*LOG10(INDEX(FX_Input,S$5,F$3*$Z$5+$AA$5))-(1.854-(1042/(F1988+459.6)))*(INDEX(FX_Input,S$5,F$3*$Z$5+$AA$5-1)^0.5)+((2416/(F1988+459.6)-2.013)*LOG10(INDEX(FX_Input,S$5,F$3*$Z$5+$AA$5)))-(8742/(F1988+459.6))+15.64),EXP(INDEX(Antoines,MATCH(F1980,Antoine_Name,0),2)-INDEX(Antoines,MATCH(F1980,Antoine_Name,0),3)/(F1988+459.6))))),0)</f>
        <v>5.3193030941574935E-3</v>
      </c>
      <c r="G1991" cm="1">
        <f t="array" ref="G1991">IFERROR(IF(G1981="Chemical",(10^(INDEX(Antoines,MATCH(G1980,Antoine_Name,0),2)-INDEX(Antoines,MATCH(G1980,Antoine_Name,0),3)/(INDEX(Antoines,MATCH(G1980,Antoine_Name,0),4)+(G1988-32)*5/9)))*14.7/760,IF(G1981="Crude Oil",EXP((2799/(G1988+459.6)-2.227)*LOG10(INDEX(FX_Input,T$5,G$3*$Z$5+$AA$5))-(7261/(G1988+459.6))+12.82),IF(G1981="Refined Petroleum Stock",EXP((0.7553-(413/(G1988+459.6)))*(INDEX(FX_Input,T$5,G$3*$Z$5+$AA$5-1)^0.5)*LOG10(INDEX(FX_Input,T$5,G$3*$Z$5+$AA$5))-(1.854-(1042/(G1988+459.6)))*(INDEX(FX_Input,T$5,G$3*$Z$5+$AA$5-1)^0.5)+((2416/(G1988+459.6)-2.013)*LOG10(INDEX(FX_Input,T$5,G$3*$Z$5+$AA$5)))-(8742/(G1988+459.6))+15.64),EXP(INDEX(Antoines,MATCH(G1980,Antoine_Name,0),2)-INDEX(Antoines,MATCH(G1980,Antoine_Name,0),3)/(G1988+459.6))))),0)</f>
        <v>5.8943503851042415E-3</v>
      </c>
      <c r="H1991" cm="1">
        <f t="array" ref="H1991">IFERROR(IF(H1981="Chemical",(10^(INDEX(Antoines,MATCH(H1980,Antoine_Name,0),2)-INDEX(Antoines,MATCH(H1980,Antoine_Name,0),3)/(INDEX(Antoines,MATCH(H1980,Antoine_Name,0),4)+(H1988-32)*5/9)))*14.7/760,IF(H1981="Crude Oil",EXP((2799/(H1988+459.6)-2.227)*LOG10(INDEX(FX_Input,U$5,H$3*$Z$5+$AA$5))-(7261/(H1988+459.6))+12.82),IF(H1981="Refined Petroleum Stock",EXP((0.7553-(413/(H1988+459.6)))*(INDEX(FX_Input,U$5,H$3*$Z$5+$AA$5-1)^0.5)*LOG10(INDEX(FX_Input,U$5,H$3*$Z$5+$AA$5))-(1.854-(1042/(H1988+459.6)))*(INDEX(FX_Input,U$5,H$3*$Z$5+$AA$5-1)^0.5)+((2416/(H1988+459.6)-2.013)*LOG10(INDEX(FX_Input,U$5,H$3*$Z$5+$AA$5)))-(8742/(H1988+459.6))+15.64),EXP(INDEX(Antoines,MATCH(H1980,Antoine_Name,0),2)-INDEX(Antoines,MATCH(H1980,Antoine_Name,0),3)/(H1988+459.6))))),0)</f>
        <v>6.9660236232598005E-3</v>
      </c>
      <c r="I1991" cm="1">
        <f t="array" ref="I1991">IFERROR(IF(I1981="Chemical",(10^(INDEX(Antoines,MATCH(I1980,Antoine_Name,0),2)-INDEX(Antoines,MATCH(I1980,Antoine_Name,0),3)/(INDEX(Antoines,MATCH(I1980,Antoine_Name,0),4)+(I1988-32)*5/9)))*14.7/760,IF(I1981="Crude Oil",EXP((2799/(I1988+459.6)-2.227)*LOG10(INDEX(FX_Input,V$5,I$3*$Z$5+$AA$5))-(7261/(I1988+459.6))+12.82),IF(I1981="Refined Petroleum Stock",EXP((0.7553-(413/(I1988+459.6)))*(INDEX(FX_Input,V$5,I$3*$Z$5+$AA$5-1)^0.5)*LOG10(INDEX(FX_Input,V$5,I$3*$Z$5+$AA$5))-(1.854-(1042/(I1988+459.6)))*(INDEX(FX_Input,V$5,I$3*$Z$5+$AA$5-1)^0.5)+((2416/(I1988+459.6)-2.013)*LOG10(INDEX(FX_Input,V$5,I$3*$Z$5+$AA$5)))-(8742/(I1988+459.6))+15.64),EXP(INDEX(Antoines,MATCH(I1980,Antoine_Name,0),2)-INDEX(Antoines,MATCH(I1980,Antoine_Name,0),3)/(I1988+459.6))))),0)</f>
        <v>7.9406391529506654E-3</v>
      </c>
      <c r="J1991" cm="1">
        <f t="array" ref="J1991">IFERROR(IF(J1981="Chemical",(10^(INDEX(Antoines,MATCH(J1980,Antoine_Name,0),2)-INDEX(Antoines,MATCH(J1980,Antoine_Name,0),3)/(INDEX(Antoines,MATCH(J1980,Antoine_Name,0),4)+(J1988-32)*5/9)))*14.7/760,IF(J1981="Crude Oil",EXP((2799/(J1988+459.6)-2.227)*LOG10(INDEX(FX_Input,W$5,J$3*$Z$5+$AA$5))-(7261/(J1988+459.6))+12.82),IF(J1981="Refined Petroleum Stock",EXP((0.7553-(413/(J1988+459.6)))*(INDEX(FX_Input,W$5,J$3*$Z$5+$AA$5-1)^0.5)*LOG10(INDEX(FX_Input,W$5,J$3*$Z$5+$AA$5))-(1.854-(1042/(J1988+459.6)))*(INDEX(FX_Input,W$5,J$3*$Z$5+$AA$5-1)^0.5)+((2416/(J1988+459.6)-2.013)*LOG10(INDEX(FX_Input,W$5,J$3*$Z$5+$AA$5)))-(8742/(J1988+459.6))+15.64),EXP(INDEX(Antoines,MATCH(J1980,Antoine_Name,0),2)-INDEX(Antoines,MATCH(J1980,Antoine_Name,0),3)/(J1988+459.6))))),0)</f>
        <v>8.9422860963673592E-3</v>
      </c>
      <c r="K1991" cm="1">
        <f t="array" ref="K1991">IFERROR(IF(K1981="Chemical",(10^(INDEX(Antoines,MATCH(K1980,Antoine_Name,0),2)-INDEX(Antoines,MATCH(K1980,Antoine_Name,0),3)/(INDEX(Antoines,MATCH(K1980,Antoine_Name,0),4)+(K1988-32)*5/9)))*14.7/760,IF(K1981="Crude Oil",EXP((2799/(K1988+459.6)-2.227)*LOG10(INDEX(FX_Input,X$5,K$3*$Z$5+$AA$5))-(7261/(K1988+459.6))+12.82),IF(K1981="Refined Petroleum Stock",EXP((0.7553-(413/(K1988+459.6)))*(INDEX(FX_Input,X$5,K$3*$Z$5+$AA$5-1)^0.5)*LOG10(INDEX(FX_Input,X$5,K$3*$Z$5+$AA$5))-(1.854-(1042/(K1988+459.6)))*(INDEX(FX_Input,X$5,K$3*$Z$5+$AA$5-1)^0.5)+((2416/(K1988+459.6)-2.013)*LOG10(INDEX(FX_Input,X$5,K$3*$Z$5+$AA$5)))-(8742/(K1988+459.6))+15.64),EXP(INDEX(Antoines,MATCH(K1980,Antoine_Name,0),2)-INDEX(Antoines,MATCH(K1980,Antoine_Name,0),3)/(K1988+459.6))))),0)</f>
        <v>8.9951550374627008E-3</v>
      </c>
      <c r="L1991" cm="1">
        <f t="array" ref="L1991">IFERROR(IF(L1981="Chemical",(10^(INDEX(Antoines,MATCH(L1980,Antoine_Name,0),2)-INDEX(Antoines,MATCH(L1980,Antoine_Name,0),3)/(INDEX(Antoines,MATCH(L1980,Antoine_Name,0),4)+(L1988-32)*5/9)))*14.7/760,IF(L1981="Crude Oil",EXP((2799/(L1988+459.6)-2.227)*LOG10(INDEX(FX_Input,Y$5,L$3*$Z$5+$AA$5))-(7261/(L1988+459.6))+12.82),IF(L1981="Refined Petroleum Stock",EXP((0.7553-(413/(L1988+459.6)))*(INDEX(FX_Input,Y$5,L$3*$Z$5+$AA$5-1)^0.5)*LOG10(INDEX(FX_Input,Y$5,L$3*$Z$5+$AA$5))-(1.854-(1042/(L1988+459.6)))*(INDEX(FX_Input,Y$5,L$3*$Z$5+$AA$5-1)^0.5)+((2416/(L1988+459.6)-2.013)*LOG10(INDEX(FX_Input,Y$5,L$3*$Z$5+$AA$5)))-(8742/(L1988+459.6))+15.64),EXP(INDEX(Antoines,MATCH(L1980,Antoine_Name,0),2)-INDEX(Antoines,MATCH(L1980,Antoine_Name,0),3)/(L1988+459.6))))),0)</f>
        <v>8.2385730689388259E-3</v>
      </c>
      <c r="M1991" cm="1">
        <f t="array" ref="M1991">IFERROR(IF(M1981="Chemical",(10^(INDEX(Antoines,MATCH(M1980,Antoine_Name,0),2)-INDEX(Antoines,MATCH(M1980,Antoine_Name,0),3)/(INDEX(Antoines,MATCH(M1980,Antoine_Name,0),4)+(M1988-32)*5/9)))*14.7/760,IF(M1981="Crude Oil",EXP((2799/(M1988+459.6)-2.227)*LOG10(INDEX(FX_Input,Z$5,M$3*$Z$5+$AA$5))-(7261/(M1988+459.6))+12.82),IF(M1981="Refined Petroleum Stock",EXP((0.7553-(413/(M1988+459.6)))*(INDEX(FX_Input,Z$5,M$3*$Z$5+$AA$5-1)^0.5)*LOG10(INDEX(FX_Input,Z$5,M$3*$Z$5+$AA$5))-(1.854-(1042/(M1988+459.6)))*(INDEX(FX_Input,Z$5,M$3*$Z$5+$AA$5-1)^0.5)+((2416/(M1988+459.6)-2.013)*LOG10(INDEX(FX_Input,Z$5,M$3*$Z$5+$AA$5)))-(8742/(M1988+459.6))+15.64),EXP(INDEX(Antoines,MATCH(M1980,Antoine_Name,0),2)-INDEX(Antoines,MATCH(M1980,Antoine_Name,0),3)/(M1988+459.6))))),0)</f>
        <v>6.618900442185772E-3</v>
      </c>
      <c r="N1991" cm="1">
        <f t="array" ref="N1991">IFERROR(IF(N1981="Chemical",(10^(INDEX(Antoines,MATCH(N1980,Antoine_Name,0),2)-INDEX(Antoines,MATCH(N1980,Antoine_Name,0),3)/(INDEX(Antoines,MATCH(N1980,Antoine_Name,0),4)+(N1988-32)*5/9)))*14.7/760,IF(N1981="Crude Oil",EXP((2799/(N1988+459.6)-2.227)*LOG10(INDEX(FX_Input,AA$5,N$3*$Z$5+$AA$5))-(7261/(N1988+459.6))+12.82),IF(N1981="Refined Petroleum Stock",EXP((0.7553-(413/(N1988+459.6)))*(INDEX(FX_Input,AA$5,N$3*$Z$5+$AA$5-1)^0.5)*LOG10(INDEX(FX_Input,AA$5,N$3*$Z$5+$AA$5))-(1.854-(1042/(N1988+459.6)))*(INDEX(FX_Input,AA$5,N$3*$Z$5+$AA$5-1)^0.5)+((2416/(N1988+459.6)-2.013)*LOG10(INDEX(FX_Input,AA$5,N$3*$Z$5+$AA$5)))-(8742/(N1988+459.6))+15.64),EXP(INDEX(Antoines,MATCH(N1980,Antoine_Name,0),2)-INDEX(Antoines,MATCH(N1980,Antoine_Name,0),3)/(N1988+459.6))))),0)</f>
        <v>5.3923587959108042E-3</v>
      </c>
      <c r="O1991" cm="1">
        <f t="array" ref="O1991">IFERROR(IF(O1981="Chemical",(10^(INDEX(Antoines,MATCH(O1980,Antoine_Name,0),2)-INDEX(Antoines,MATCH(O1980,Antoine_Name,0),3)/(INDEX(Antoines,MATCH(O1980,Antoine_Name,0),4)+(O1988-32)*5/9)))*14.7/760,IF(O1981="Crude Oil",EXP((2799/(O1988+459.6)-2.227)*LOG10(INDEX(FX_Input,AB$5,O$3*$Z$5+$AA$5))-(7261/(O1988+459.6))+12.82),IF(O1981="Refined Petroleum Stock",EXP((0.7553-(413/(O1988+459.6)))*(INDEX(FX_Input,AB$5,O$3*$Z$5+$AA$5-1)^0.5)*LOG10(INDEX(FX_Input,AB$5,O$3*$Z$5+$AA$5))-(1.854-(1042/(O1988+459.6)))*(INDEX(FX_Input,AB$5,O$3*$Z$5+$AA$5-1)^0.5)+((2416/(O1988+459.6)-2.013)*LOG10(INDEX(FX_Input,AB$5,O$3*$Z$5+$AA$5)))-(8742/(O1988+459.6))+15.64),EXP(INDEX(Antoines,MATCH(O1980,Antoine_Name,0),2)-INDEX(Antoines,MATCH(O1980,Antoine_Name,0),3)/(O1988+459.6))))),0)</f>
        <v>4.7525360186456101E-3</v>
      </c>
    </row>
    <row r="1992" spans="2:32" ht="17.149999999999999" x14ac:dyDescent="0.55000000000000004">
      <c r="B1992" t="str">
        <f t="shared" si="7096"/>
        <v>Portland</v>
      </c>
      <c r="C1992" t="s">
        <v>576</v>
      </c>
      <c r="D1992">
        <f>D1984*D1991</f>
        <v>4.8116637646820016E-3</v>
      </c>
      <c r="E1992">
        <f t="shared" ref="E1992:O1992" si="7097">E1984*E1991</f>
        <v>5.0048006991488458E-3</v>
      </c>
      <c r="F1992">
        <f t="shared" si="7097"/>
        <v>5.3193030941574935E-3</v>
      </c>
      <c r="G1992">
        <f t="shared" si="7097"/>
        <v>5.8943503851042415E-3</v>
      </c>
      <c r="H1992">
        <f t="shared" si="7097"/>
        <v>6.9660236232598005E-3</v>
      </c>
      <c r="I1992">
        <f t="shared" si="7097"/>
        <v>7.9406391529506654E-3</v>
      </c>
      <c r="J1992">
        <f t="shared" si="7097"/>
        <v>8.9422860963673592E-3</v>
      </c>
      <c r="K1992">
        <f t="shared" si="7097"/>
        <v>8.9951550374627008E-3</v>
      </c>
      <c r="L1992">
        <f t="shared" si="7097"/>
        <v>8.2385730689388259E-3</v>
      </c>
      <c r="M1992">
        <f t="shared" si="7097"/>
        <v>6.618900442185772E-3</v>
      </c>
      <c r="N1992">
        <f t="shared" si="7097"/>
        <v>5.3923587959108042E-3</v>
      </c>
      <c r="O1992">
        <f t="shared" si="7097"/>
        <v>4.7525360186456101E-3</v>
      </c>
    </row>
    <row r="1993" spans="2:32" ht="17.149999999999999" x14ac:dyDescent="0.55000000000000004">
      <c r="B1993" t="str">
        <f t="shared" si="7096"/>
        <v>Portland</v>
      </c>
      <c r="C1993" t="s">
        <v>575</v>
      </c>
      <c r="D1993" cm="1">
        <f t="array" ref="D1993">IFERROR(IF(D1983="Chemical",(10^(INDEX(Antoines,MATCH(D1982,Antoine_Name,0),2)-INDEX(Antoines,MATCH(D1982,Antoine_Name,0),3)/(INDEX(Antoines,MATCH(D1982,Antoine_Name,0),4)+(D1988-32)*5/9)))*14.7/760,IF(D1983="Crude Oil",EXP((2799/(D1988+459.6)-2.227)*LOG10(INDEX(FX_Input,Q$5,D$3*$Z$5+$AA$5))-(7261/(D1988+459.6))+12.82),IF(D1983="Refined Petroleum Stock",EXP((0.7553-(413/(D1988+459.6)))*(INDEX(FX_Input,Q$5,D$3*$Z$5+$AA$5-1)^0.5)*LOG10(INDEX(FX_Input,Q$5,D$3*$Z$5+$AA$5))-(1.854-(1042/(D1988+459.6)))*(INDEX(FX_Input,Q$5,D$3*$Z$5+$AA$5-1)^0.5)+((2416/(D1988+459.6)-2.013)*LOG10(INDEX(FX_Input,Q$5,D$3*$Z$5+$AA$5)))-(8742/(D1988+459.6))+15.64),EXP(INDEX(Antoines,MATCH(D1982,Antoine_Name,0),2)-INDEX(Antoines,MATCH(D1982,Antoine_Name,0),3)/(D1988+459.6))))),0)</f>
        <v>0</v>
      </c>
      <c r="E1993" cm="1">
        <f t="array" ref="E1993">IFERROR(IF(E1983="Chemical",(10^(INDEX(Antoines,MATCH(E1982,Antoine_Name,0),2)-INDEX(Antoines,MATCH(E1982,Antoine_Name,0),3)/(INDEX(Antoines,MATCH(E1982,Antoine_Name,0),4)+(E1988-32)*5/9)))*14.7/760,IF(E1983="Crude Oil",EXP((2799/(E1988+459.6)-2.227)*LOG10(INDEX(FX_Input,R$5,E$3*$Z$5+$AA$5))-(7261/(E1988+459.6))+12.82),IF(E1983="Refined Petroleum Stock",EXP((0.7553-(413/(E1988+459.6)))*(INDEX(FX_Input,R$5,E$3*$Z$5+$AA$5-1)^0.5)*LOG10(INDEX(FX_Input,R$5,E$3*$Z$5+$AA$5))-(1.854-(1042/(E1988+459.6)))*(INDEX(FX_Input,R$5,E$3*$Z$5+$AA$5-1)^0.5)+((2416/(E1988+459.6)-2.013)*LOG10(INDEX(FX_Input,R$5,E$3*$Z$5+$AA$5)))-(8742/(E1988+459.6))+15.64),EXP(INDEX(Antoines,MATCH(E1982,Antoine_Name,0),2)-INDEX(Antoines,MATCH(E1982,Antoine_Name,0),3)/(E1988+459.6))))),0)</f>
        <v>0</v>
      </c>
      <c r="F1993" cm="1">
        <f t="array" ref="F1993">IFERROR(IF(F1983="Chemical",(10^(INDEX(Antoines,MATCH(F1982,Antoine_Name,0),2)-INDEX(Antoines,MATCH(F1982,Antoine_Name,0),3)/(INDEX(Antoines,MATCH(F1982,Antoine_Name,0),4)+(F1988-32)*5/9)))*14.7/760,IF(F1983="Crude Oil",EXP((2799/(F1988+459.6)-2.227)*LOG10(INDEX(FX_Input,S$5,F$3*$Z$5+$AA$5))-(7261/(F1988+459.6))+12.82),IF(F1983="Refined Petroleum Stock",EXP((0.7553-(413/(F1988+459.6)))*(INDEX(FX_Input,S$5,F$3*$Z$5+$AA$5-1)^0.5)*LOG10(INDEX(FX_Input,S$5,F$3*$Z$5+$AA$5))-(1.854-(1042/(F1988+459.6)))*(INDEX(FX_Input,S$5,F$3*$Z$5+$AA$5-1)^0.5)+((2416/(F1988+459.6)-2.013)*LOG10(INDEX(FX_Input,S$5,F$3*$Z$5+$AA$5)))-(8742/(F1988+459.6))+15.64),EXP(INDEX(Antoines,MATCH(F1982,Antoine_Name,0),2)-INDEX(Antoines,MATCH(F1982,Antoine_Name,0),3)/(F1988+459.6))))),0)</f>
        <v>0</v>
      </c>
      <c r="G1993" cm="1">
        <f t="array" ref="G1993">IFERROR(IF(G1983="Chemical",(10^(INDEX(Antoines,MATCH(G1982,Antoine_Name,0),2)-INDEX(Antoines,MATCH(G1982,Antoine_Name,0),3)/(INDEX(Antoines,MATCH(G1982,Antoine_Name,0),4)+(G1988-32)*5/9)))*14.7/760,IF(G1983="Crude Oil",EXP((2799/(G1988+459.6)-2.227)*LOG10(INDEX(FX_Input,T$5,G$3*$Z$5+$AA$5))-(7261/(G1988+459.6))+12.82),IF(G1983="Refined Petroleum Stock",EXP((0.7553-(413/(G1988+459.6)))*(INDEX(FX_Input,T$5,G$3*$Z$5+$AA$5-1)^0.5)*LOG10(INDEX(FX_Input,T$5,G$3*$Z$5+$AA$5))-(1.854-(1042/(G1988+459.6)))*(INDEX(FX_Input,T$5,G$3*$Z$5+$AA$5-1)^0.5)+((2416/(G1988+459.6)-2.013)*LOG10(INDEX(FX_Input,T$5,G$3*$Z$5+$AA$5)))-(8742/(G1988+459.6))+15.64),EXP(INDEX(Antoines,MATCH(G1982,Antoine_Name,0),2)-INDEX(Antoines,MATCH(G1982,Antoine_Name,0),3)/(G1988+459.6))))),0)</f>
        <v>0</v>
      </c>
      <c r="H1993" cm="1">
        <f t="array" ref="H1993">IFERROR(IF(H1983="Chemical",(10^(INDEX(Antoines,MATCH(H1982,Antoine_Name,0),2)-INDEX(Antoines,MATCH(H1982,Antoine_Name,0),3)/(INDEX(Antoines,MATCH(H1982,Antoine_Name,0),4)+(H1988-32)*5/9)))*14.7/760,IF(H1983="Crude Oil",EXP((2799/(H1988+459.6)-2.227)*LOG10(INDEX(FX_Input,U$5,H$3*$Z$5+$AA$5))-(7261/(H1988+459.6))+12.82),IF(H1983="Refined Petroleum Stock",EXP((0.7553-(413/(H1988+459.6)))*(INDEX(FX_Input,U$5,H$3*$Z$5+$AA$5-1)^0.5)*LOG10(INDEX(FX_Input,U$5,H$3*$Z$5+$AA$5))-(1.854-(1042/(H1988+459.6)))*(INDEX(FX_Input,U$5,H$3*$Z$5+$AA$5-1)^0.5)+((2416/(H1988+459.6)-2.013)*LOG10(INDEX(FX_Input,U$5,H$3*$Z$5+$AA$5)))-(8742/(H1988+459.6))+15.64),EXP(INDEX(Antoines,MATCH(H1982,Antoine_Name,0),2)-INDEX(Antoines,MATCH(H1982,Antoine_Name,0),3)/(H1988+459.6))))),0)</f>
        <v>0</v>
      </c>
      <c r="I1993" cm="1">
        <f t="array" ref="I1993">IFERROR(IF(I1983="Chemical",(10^(INDEX(Antoines,MATCH(I1982,Antoine_Name,0),2)-INDEX(Antoines,MATCH(I1982,Antoine_Name,0),3)/(INDEX(Antoines,MATCH(I1982,Antoine_Name,0),4)+(I1988-32)*5/9)))*14.7/760,IF(I1983="Crude Oil",EXP((2799/(I1988+459.6)-2.227)*LOG10(INDEX(FX_Input,V$5,I$3*$Z$5+$AA$5))-(7261/(I1988+459.6))+12.82),IF(I1983="Refined Petroleum Stock",EXP((0.7553-(413/(I1988+459.6)))*(INDEX(FX_Input,V$5,I$3*$Z$5+$AA$5-1)^0.5)*LOG10(INDEX(FX_Input,V$5,I$3*$Z$5+$AA$5))-(1.854-(1042/(I1988+459.6)))*(INDEX(FX_Input,V$5,I$3*$Z$5+$AA$5-1)^0.5)+((2416/(I1988+459.6)-2.013)*LOG10(INDEX(FX_Input,V$5,I$3*$Z$5+$AA$5)))-(8742/(I1988+459.6))+15.64),EXP(INDEX(Antoines,MATCH(I1982,Antoine_Name,0),2)-INDEX(Antoines,MATCH(I1982,Antoine_Name,0),3)/(I1988+459.6))))),0)</f>
        <v>0</v>
      </c>
      <c r="J1993" cm="1">
        <f t="array" ref="J1993">IFERROR(IF(J1983="Chemical",(10^(INDEX(Antoines,MATCH(J1982,Antoine_Name,0),2)-INDEX(Antoines,MATCH(J1982,Antoine_Name,0),3)/(INDEX(Antoines,MATCH(J1982,Antoine_Name,0),4)+(J1988-32)*5/9)))*14.7/760,IF(J1983="Crude Oil",EXP((2799/(J1988+459.6)-2.227)*LOG10(INDEX(FX_Input,W$5,J$3*$Z$5+$AA$5))-(7261/(J1988+459.6))+12.82),IF(J1983="Refined Petroleum Stock",EXP((0.7553-(413/(J1988+459.6)))*(INDEX(FX_Input,W$5,J$3*$Z$5+$AA$5-1)^0.5)*LOG10(INDEX(FX_Input,W$5,J$3*$Z$5+$AA$5))-(1.854-(1042/(J1988+459.6)))*(INDEX(FX_Input,W$5,J$3*$Z$5+$AA$5-1)^0.5)+((2416/(J1988+459.6)-2.013)*LOG10(INDEX(FX_Input,W$5,J$3*$Z$5+$AA$5)))-(8742/(J1988+459.6))+15.64),EXP(INDEX(Antoines,MATCH(J1982,Antoine_Name,0),2)-INDEX(Antoines,MATCH(J1982,Antoine_Name,0),3)/(J1988+459.6))))),0)</f>
        <v>0</v>
      </c>
      <c r="K1993" cm="1">
        <f t="array" ref="K1993">IFERROR(IF(K1983="Chemical",(10^(INDEX(Antoines,MATCH(K1982,Antoine_Name,0),2)-INDEX(Antoines,MATCH(K1982,Antoine_Name,0),3)/(INDEX(Antoines,MATCH(K1982,Antoine_Name,0),4)+(K1988-32)*5/9)))*14.7/760,IF(K1983="Crude Oil",EXP((2799/(K1988+459.6)-2.227)*LOG10(INDEX(FX_Input,X$5,K$3*$Z$5+$AA$5))-(7261/(K1988+459.6))+12.82),IF(K1983="Refined Petroleum Stock",EXP((0.7553-(413/(K1988+459.6)))*(INDEX(FX_Input,X$5,K$3*$Z$5+$AA$5-1)^0.5)*LOG10(INDEX(FX_Input,X$5,K$3*$Z$5+$AA$5))-(1.854-(1042/(K1988+459.6)))*(INDEX(FX_Input,X$5,K$3*$Z$5+$AA$5-1)^0.5)+((2416/(K1988+459.6)-2.013)*LOG10(INDEX(FX_Input,X$5,K$3*$Z$5+$AA$5)))-(8742/(K1988+459.6))+15.64),EXP(INDEX(Antoines,MATCH(K1982,Antoine_Name,0),2)-INDEX(Antoines,MATCH(K1982,Antoine_Name,0),3)/(K1988+459.6))))),0)</f>
        <v>0</v>
      </c>
      <c r="L1993" cm="1">
        <f t="array" ref="L1993">IFERROR(IF(L1983="Chemical",(10^(INDEX(Antoines,MATCH(L1982,Antoine_Name,0),2)-INDEX(Antoines,MATCH(L1982,Antoine_Name,0),3)/(INDEX(Antoines,MATCH(L1982,Antoine_Name,0),4)+(L1988-32)*5/9)))*14.7/760,IF(L1983="Crude Oil",EXP((2799/(L1988+459.6)-2.227)*LOG10(INDEX(FX_Input,Y$5,L$3*$Z$5+$AA$5))-(7261/(L1988+459.6))+12.82),IF(L1983="Refined Petroleum Stock",EXP((0.7553-(413/(L1988+459.6)))*(INDEX(FX_Input,Y$5,L$3*$Z$5+$AA$5-1)^0.5)*LOG10(INDEX(FX_Input,Y$5,L$3*$Z$5+$AA$5))-(1.854-(1042/(L1988+459.6)))*(INDEX(FX_Input,Y$5,L$3*$Z$5+$AA$5-1)^0.5)+((2416/(L1988+459.6)-2.013)*LOG10(INDEX(FX_Input,Y$5,L$3*$Z$5+$AA$5)))-(8742/(L1988+459.6))+15.64),EXP(INDEX(Antoines,MATCH(L1982,Antoine_Name,0),2)-INDEX(Antoines,MATCH(L1982,Antoine_Name,0),3)/(L1988+459.6))))),0)</f>
        <v>0</v>
      </c>
      <c r="M1993" cm="1">
        <f t="array" ref="M1993">IFERROR(IF(M1983="Chemical",(10^(INDEX(Antoines,MATCH(M1982,Antoine_Name,0),2)-INDEX(Antoines,MATCH(M1982,Antoine_Name,0),3)/(INDEX(Antoines,MATCH(M1982,Antoine_Name,0),4)+(M1988-32)*5/9)))*14.7/760,IF(M1983="Crude Oil",EXP((2799/(M1988+459.6)-2.227)*LOG10(INDEX(FX_Input,Z$5,M$3*$Z$5+$AA$5))-(7261/(M1988+459.6))+12.82),IF(M1983="Refined Petroleum Stock",EXP((0.7553-(413/(M1988+459.6)))*(INDEX(FX_Input,Z$5,M$3*$Z$5+$AA$5-1)^0.5)*LOG10(INDEX(FX_Input,Z$5,M$3*$Z$5+$AA$5))-(1.854-(1042/(M1988+459.6)))*(INDEX(FX_Input,Z$5,M$3*$Z$5+$AA$5-1)^0.5)+((2416/(M1988+459.6)-2.013)*LOG10(INDEX(FX_Input,Z$5,M$3*$Z$5+$AA$5)))-(8742/(M1988+459.6))+15.64),EXP(INDEX(Antoines,MATCH(M1982,Antoine_Name,0),2)-INDEX(Antoines,MATCH(M1982,Antoine_Name,0),3)/(M1988+459.6))))),0)</f>
        <v>0</v>
      </c>
      <c r="N1993" cm="1">
        <f t="array" ref="N1993">IFERROR(IF(N1983="Chemical",(10^(INDEX(Antoines,MATCH(N1982,Antoine_Name,0),2)-INDEX(Antoines,MATCH(N1982,Antoine_Name,0),3)/(INDEX(Antoines,MATCH(N1982,Antoine_Name,0),4)+(N1988-32)*5/9)))*14.7/760,IF(N1983="Crude Oil",EXP((2799/(N1988+459.6)-2.227)*LOG10(INDEX(FX_Input,AA$5,N$3*$Z$5+$AA$5))-(7261/(N1988+459.6))+12.82),IF(N1983="Refined Petroleum Stock",EXP((0.7553-(413/(N1988+459.6)))*(INDEX(FX_Input,AA$5,N$3*$Z$5+$AA$5-1)^0.5)*LOG10(INDEX(FX_Input,AA$5,N$3*$Z$5+$AA$5))-(1.854-(1042/(N1988+459.6)))*(INDEX(FX_Input,AA$5,N$3*$Z$5+$AA$5-1)^0.5)+((2416/(N1988+459.6)-2.013)*LOG10(INDEX(FX_Input,AA$5,N$3*$Z$5+$AA$5)))-(8742/(N1988+459.6))+15.64),EXP(INDEX(Antoines,MATCH(N1982,Antoine_Name,0),2)-INDEX(Antoines,MATCH(N1982,Antoine_Name,0),3)/(N1988+459.6))))),0)</f>
        <v>0</v>
      </c>
      <c r="O1993" cm="1">
        <f t="array" ref="O1993">IFERROR(IF(O1983="Chemical",(10^(INDEX(Antoines,MATCH(O1982,Antoine_Name,0),2)-INDEX(Antoines,MATCH(O1982,Antoine_Name,0),3)/(INDEX(Antoines,MATCH(O1982,Antoine_Name,0),4)+(O1988-32)*5/9)))*14.7/760,IF(O1983="Crude Oil",EXP((2799/(O1988+459.6)-2.227)*LOG10(INDEX(FX_Input,AB$5,O$3*$Z$5+$AA$5))-(7261/(O1988+459.6))+12.82),IF(O1983="Refined Petroleum Stock",EXP((0.7553-(413/(O1988+459.6)))*(INDEX(FX_Input,AB$5,O$3*$Z$5+$AA$5-1)^0.5)*LOG10(INDEX(FX_Input,AB$5,O$3*$Z$5+$AA$5))-(1.854-(1042/(O1988+459.6)))*(INDEX(FX_Input,AB$5,O$3*$Z$5+$AA$5-1)^0.5)+((2416/(O1988+459.6)-2.013)*LOG10(INDEX(FX_Input,AB$5,O$3*$Z$5+$AA$5)))-(8742/(O1988+459.6))+15.64),EXP(INDEX(Antoines,MATCH(O1982,Antoine_Name,0),2)-INDEX(Antoines,MATCH(O1982,Antoine_Name,0),3)/(O1988+459.6))))),0)</f>
        <v>0</v>
      </c>
    </row>
    <row r="1994" spans="2:32" ht="17.149999999999999" x14ac:dyDescent="0.55000000000000004">
      <c r="B1994" t="str">
        <f t="shared" si="7096"/>
        <v>Portland</v>
      </c>
      <c r="C1994" t="s">
        <v>577</v>
      </c>
      <c r="D1994">
        <f>D1993*D1986</f>
        <v>0</v>
      </c>
      <c r="E1994">
        <f t="shared" ref="E1994:O1994" si="7098">E1993*E1986</f>
        <v>0</v>
      </c>
      <c r="F1994">
        <f t="shared" si="7098"/>
        <v>0</v>
      </c>
      <c r="G1994">
        <f t="shared" si="7098"/>
        <v>0</v>
      </c>
      <c r="H1994">
        <f t="shared" si="7098"/>
        <v>0</v>
      </c>
      <c r="I1994">
        <f t="shared" si="7098"/>
        <v>0</v>
      </c>
      <c r="J1994">
        <f t="shared" si="7098"/>
        <v>0</v>
      </c>
      <c r="K1994">
        <f t="shared" si="7098"/>
        <v>0</v>
      </c>
      <c r="L1994">
        <f t="shared" si="7098"/>
        <v>0</v>
      </c>
      <c r="M1994">
        <f t="shared" si="7098"/>
        <v>0</v>
      </c>
      <c r="N1994">
        <f t="shared" si="7098"/>
        <v>0</v>
      </c>
      <c r="O1994">
        <f t="shared" si="7098"/>
        <v>0</v>
      </c>
    </row>
    <row r="1995" spans="2:32" ht="17.149999999999999" x14ac:dyDescent="0.55000000000000004">
      <c r="B1995" t="str">
        <f t="shared" si="7096"/>
        <v>Portland</v>
      </c>
      <c r="C1995" t="s">
        <v>578</v>
      </c>
      <c r="D1995">
        <f>D1994+D1992</f>
        <v>4.8116637646820016E-3</v>
      </c>
      <c r="E1995">
        <f t="shared" ref="E1995:O1995" si="7099">E1994+E1992</f>
        <v>5.0048006991488458E-3</v>
      </c>
      <c r="F1995">
        <f t="shared" si="7099"/>
        <v>5.3193030941574935E-3</v>
      </c>
      <c r="G1995">
        <f t="shared" si="7099"/>
        <v>5.8943503851042415E-3</v>
      </c>
      <c r="H1995">
        <f t="shared" si="7099"/>
        <v>6.9660236232598005E-3</v>
      </c>
      <c r="I1995">
        <f t="shared" si="7099"/>
        <v>7.9406391529506654E-3</v>
      </c>
      <c r="J1995">
        <f t="shared" si="7099"/>
        <v>8.9422860963673592E-3</v>
      </c>
      <c r="K1995">
        <f t="shared" si="7099"/>
        <v>8.9951550374627008E-3</v>
      </c>
      <c r="L1995">
        <f t="shared" si="7099"/>
        <v>8.2385730689388259E-3</v>
      </c>
      <c r="M1995">
        <f t="shared" si="7099"/>
        <v>6.618900442185772E-3</v>
      </c>
      <c r="N1995">
        <f t="shared" si="7099"/>
        <v>5.3923587959108042E-3</v>
      </c>
      <c r="O1995">
        <f t="shared" si="7099"/>
        <v>4.7525360186456101E-3</v>
      </c>
    </row>
    <row r="1996" spans="2:32" ht="17.149999999999999" x14ac:dyDescent="0.55000000000000004">
      <c r="B1996" t="str">
        <f t="shared" si="7096"/>
        <v>Portland</v>
      </c>
      <c r="C1996" t="s">
        <v>579</v>
      </c>
      <c r="D1996" cm="1">
        <f t="array" ref="D1996">IFERROR(IF(D1981="Chemical",(10^(INDEX(Antoines,MATCH(D1980,Antoine_Name,0),2)-INDEX(Antoines,MATCH(D1980,Antoine_Name,0),3)/(INDEX(Antoines,MATCH(D1980,Antoine_Name,0),4)+(D1989-32)*5/9)))*14.7/760,IF(D1981="Crude Oil",EXP((2799/(D1989+459.6)-2.227)*LOG10(INDEX(FX_Input,Q$5,D$3*$Z$5+$AA$5))-(7261/(D1989+459.6))+12.82),IF(D1981="Refined Petroleum Stock",EXP((0.7553-(413/(D1989+459.6)))*(INDEX(FX_Input,Q$5,D$3*$Z$5+$AA$5-1)^0.5)*LOG10(INDEX(FX_Input,Q$5,D$3*$Z$5+$AA$5))-(1.854-(1042/(D1989+459.6)))*(INDEX(FX_Input,Q$5,D$3*$Z$5+$AA$5-1)^0.5)+((2416/(D1989+459.6)-2.013)*LOG10(INDEX(FX_Input,Q$5,D$3*$Z$5+$AA$5)))-(8742/(D1989+459.6))+15.64),EXP(INDEX(Antoines,MATCH(D1980,Antoine_Name,0),2)-INDEX(Antoines,MATCH(D1980,Antoine_Name,0),3)/(D1989+459.6))))),0)</f>
        <v>4.8116637646820016E-3</v>
      </c>
      <c r="E1996" cm="1">
        <f t="array" ref="E1996">IFERROR(IF(E1981="Chemical",(10^(INDEX(Antoines,MATCH(E1980,Antoine_Name,0),2)-INDEX(Antoines,MATCH(E1980,Antoine_Name,0),3)/(INDEX(Antoines,MATCH(E1980,Antoine_Name,0),4)+(E1989-32)*5/9)))*14.7/760,IF(E1981="Crude Oil",EXP((2799/(E1989+459.6)-2.227)*LOG10(INDEX(FX_Input,R$5,E$3*$Z$5+$AA$5))-(7261/(E1989+459.6))+12.82),IF(E1981="Refined Petroleum Stock",EXP((0.7553-(413/(E1989+459.6)))*(INDEX(FX_Input,R$5,E$3*$Z$5+$AA$5-1)^0.5)*LOG10(INDEX(FX_Input,R$5,E$3*$Z$5+$AA$5))-(1.854-(1042/(E1989+459.6)))*(INDEX(FX_Input,R$5,E$3*$Z$5+$AA$5-1)^0.5)+((2416/(E1989+459.6)-2.013)*LOG10(INDEX(FX_Input,R$5,E$3*$Z$5+$AA$5)))-(8742/(E1989+459.6))+15.64),EXP(INDEX(Antoines,MATCH(E1980,Antoine_Name,0),2)-INDEX(Antoines,MATCH(E1980,Antoine_Name,0),3)/(E1989+459.6))))),0)</f>
        <v>5.0048006991488458E-3</v>
      </c>
      <c r="F1996" cm="1">
        <f t="array" ref="F1996">IFERROR(IF(F1981="Chemical",(10^(INDEX(Antoines,MATCH(F1980,Antoine_Name,0),2)-INDEX(Antoines,MATCH(F1980,Antoine_Name,0),3)/(INDEX(Antoines,MATCH(F1980,Antoine_Name,0),4)+(F1989-32)*5/9)))*14.7/760,IF(F1981="Crude Oil",EXP((2799/(F1989+459.6)-2.227)*LOG10(INDEX(FX_Input,S$5,F$3*$Z$5+$AA$5))-(7261/(F1989+459.6))+12.82),IF(F1981="Refined Petroleum Stock",EXP((0.7553-(413/(F1989+459.6)))*(INDEX(FX_Input,S$5,F$3*$Z$5+$AA$5-1)^0.5)*LOG10(INDEX(FX_Input,S$5,F$3*$Z$5+$AA$5))-(1.854-(1042/(F1989+459.6)))*(INDEX(FX_Input,S$5,F$3*$Z$5+$AA$5-1)^0.5)+((2416/(F1989+459.6)-2.013)*LOG10(INDEX(FX_Input,S$5,F$3*$Z$5+$AA$5)))-(8742/(F1989+459.6))+15.64),EXP(INDEX(Antoines,MATCH(F1980,Antoine_Name,0),2)-INDEX(Antoines,MATCH(F1980,Antoine_Name,0),3)/(F1989+459.6))))),0)</f>
        <v>5.3193030941574935E-3</v>
      </c>
      <c r="G1996" cm="1">
        <f t="array" ref="G1996">IFERROR(IF(G1981="Chemical",(10^(INDEX(Antoines,MATCH(G1980,Antoine_Name,0),2)-INDEX(Antoines,MATCH(G1980,Antoine_Name,0),3)/(INDEX(Antoines,MATCH(G1980,Antoine_Name,0),4)+(G1989-32)*5/9)))*14.7/760,IF(G1981="Crude Oil",EXP((2799/(G1989+459.6)-2.227)*LOG10(INDEX(FX_Input,T$5,G$3*$Z$5+$AA$5))-(7261/(G1989+459.6))+12.82),IF(G1981="Refined Petroleum Stock",EXP((0.7553-(413/(G1989+459.6)))*(INDEX(FX_Input,T$5,G$3*$Z$5+$AA$5-1)^0.5)*LOG10(INDEX(FX_Input,T$5,G$3*$Z$5+$AA$5))-(1.854-(1042/(G1989+459.6)))*(INDEX(FX_Input,T$5,G$3*$Z$5+$AA$5-1)^0.5)+((2416/(G1989+459.6)-2.013)*LOG10(INDEX(FX_Input,T$5,G$3*$Z$5+$AA$5)))-(8742/(G1989+459.6))+15.64),EXP(INDEX(Antoines,MATCH(G1980,Antoine_Name,0),2)-INDEX(Antoines,MATCH(G1980,Antoine_Name,0),3)/(G1989+459.6))))),0)</f>
        <v>5.8943503851042415E-3</v>
      </c>
      <c r="H1996" cm="1">
        <f t="array" ref="H1996">IFERROR(IF(H1981="Chemical",(10^(INDEX(Antoines,MATCH(H1980,Antoine_Name,0),2)-INDEX(Antoines,MATCH(H1980,Antoine_Name,0),3)/(INDEX(Antoines,MATCH(H1980,Antoine_Name,0),4)+(H1989-32)*5/9)))*14.7/760,IF(H1981="Crude Oil",EXP((2799/(H1989+459.6)-2.227)*LOG10(INDEX(FX_Input,U$5,H$3*$Z$5+$AA$5))-(7261/(H1989+459.6))+12.82),IF(H1981="Refined Petroleum Stock",EXP((0.7553-(413/(H1989+459.6)))*(INDEX(FX_Input,U$5,H$3*$Z$5+$AA$5-1)^0.5)*LOG10(INDEX(FX_Input,U$5,H$3*$Z$5+$AA$5))-(1.854-(1042/(H1989+459.6)))*(INDEX(FX_Input,U$5,H$3*$Z$5+$AA$5-1)^0.5)+((2416/(H1989+459.6)-2.013)*LOG10(INDEX(FX_Input,U$5,H$3*$Z$5+$AA$5)))-(8742/(H1989+459.6))+15.64),EXP(INDEX(Antoines,MATCH(H1980,Antoine_Name,0),2)-INDEX(Antoines,MATCH(H1980,Antoine_Name,0),3)/(H1989+459.6))))),0)</f>
        <v>6.9660236232598005E-3</v>
      </c>
      <c r="I1996" cm="1">
        <f t="array" ref="I1996">IFERROR(IF(I1981="Chemical",(10^(INDEX(Antoines,MATCH(I1980,Antoine_Name,0),2)-INDEX(Antoines,MATCH(I1980,Antoine_Name,0),3)/(INDEX(Antoines,MATCH(I1980,Antoine_Name,0),4)+(I1989-32)*5/9)))*14.7/760,IF(I1981="Crude Oil",EXP((2799/(I1989+459.6)-2.227)*LOG10(INDEX(FX_Input,V$5,I$3*$Z$5+$AA$5))-(7261/(I1989+459.6))+12.82),IF(I1981="Refined Petroleum Stock",EXP((0.7553-(413/(I1989+459.6)))*(INDEX(FX_Input,V$5,I$3*$Z$5+$AA$5-1)^0.5)*LOG10(INDEX(FX_Input,V$5,I$3*$Z$5+$AA$5))-(1.854-(1042/(I1989+459.6)))*(INDEX(FX_Input,V$5,I$3*$Z$5+$AA$5-1)^0.5)+((2416/(I1989+459.6)-2.013)*LOG10(INDEX(FX_Input,V$5,I$3*$Z$5+$AA$5)))-(8742/(I1989+459.6))+15.64),EXP(INDEX(Antoines,MATCH(I1980,Antoine_Name,0),2)-INDEX(Antoines,MATCH(I1980,Antoine_Name,0),3)/(I1989+459.6))))),0)</f>
        <v>7.9406391529506654E-3</v>
      </c>
      <c r="J1996" cm="1">
        <f t="array" ref="J1996">IFERROR(IF(J1981="Chemical",(10^(INDEX(Antoines,MATCH(J1980,Antoine_Name,0),2)-INDEX(Antoines,MATCH(J1980,Antoine_Name,0),3)/(INDEX(Antoines,MATCH(J1980,Antoine_Name,0),4)+(J1989-32)*5/9)))*14.7/760,IF(J1981="Crude Oil",EXP((2799/(J1989+459.6)-2.227)*LOG10(INDEX(FX_Input,W$5,J$3*$Z$5+$AA$5))-(7261/(J1989+459.6))+12.82),IF(J1981="Refined Petroleum Stock",EXP((0.7553-(413/(J1989+459.6)))*(INDEX(FX_Input,W$5,J$3*$Z$5+$AA$5-1)^0.5)*LOG10(INDEX(FX_Input,W$5,J$3*$Z$5+$AA$5))-(1.854-(1042/(J1989+459.6)))*(INDEX(FX_Input,W$5,J$3*$Z$5+$AA$5-1)^0.5)+((2416/(J1989+459.6)-2.013)*LOG10(INDEX(FX_Input,W$5,J$3*$Z$5+$AA$5)))-(8742/(J1989+459.6))+15.64),EXP(INDEX(Antoines,MATCH(J1980,Antoine_Name,0),2)-INDEX(Antoines,MATCH(J1980,Antoine_Name,0),3)/(J1989+459.6))))),0)</f>
        <v>8.9422860963673592E-3</v>
      </c>
      <c r="K1996" cm="1">
        <f t="array" ref="K1996">IFERROR(IF(K1981="Chemical",(10^(INDEX(Antoines,MATCH(K1980,Antoine_Name,0),2)-INDEX(Antoines,MATCH(K1980,Antoine_Name,0),3)/(INDEX(Antoines,MATCH(K1980,Antoine_Name,0),4)+(K1989-32)*5/9)))*14.7/760,IF(K1981="Crude Oil",EXP((2799/(K1989+459.6)-2.227)*LOG10(INDEX(FX_Input,X$5,K$3*$Z$5+$AA$5))-(7261/(K1989+459.6))+12.82),IF(K1981="Refined Petroleum Stock",EXP((0.7553-(413/(K1989+459.6)))*(INDEX(FX_Input,X$5,K$3*$Z$5+$AA$5-1)^0.5)*LOG10(INDEX(FX_Input,X$5,K$3*$Z$5+$AA$5))-(1.854-(1042/(K1989+459.6)))*(INDEX(FX_Input,X$5,K$3*$Z$5+$AA$5-1)^0.5)+((2416/(K1989+459.6)-2.013)*LOG10(INDEX(FX_Input,X$5,K$3*$Z$5+$AA$5)))-(8742/(K1989+459.6))+15.64),EXP(INDEX(Antoines,MATCH(K1980,Antoine_Name,0),2)-INDEX(Antoines,MATCH(K1980,Antoine_Name,0),3)/(K1989+459.6))))),0)</f>
        <v>8.9951550374627008E-3</v>
      </c>
      <c r="L1996" cm="1">
        <f t="array" ref="L1996">IFERROR(IF(L1981="Chemical",(10^(INDEX(Antoines,MATCH(L1980,Antoine_Name,0),2)-INDEX(Antoines,MATCH(L1980,Antoine_Name,0),3)/(INDEX(Antoines,MATCH(L1980,Antoine_Name,0),4)+(L1989-32)*5/9)))*14.7/760,IF(L1981="Crude Oil",EXP((2799/(L1989+459.6)-2.227)*LOG10(INDEX(FX_Input,Y$5,L$3*$Z$5+$AA$5))-(7261/(L1989+459.6))+12.82),IF(L1981="Refined Petroleum Stock",EXP((0.7553-(413/(L1989+459.6)))*(INDEX(FX_Input,Y$5,L$3*$Z$5+$AA$5-1)^0.5)*LOG10(INDEX(FX_Input,Y$5,L$3*$Z$5+$AA$5))-(1.854-(1042/(L1989+459.6)))*(INDEX(FX_Input,Y$5,L$3*$Z$5+$AA$5-1)^0.5)+((2416/(L1989+459.6)-2.013)*LOG10(INDEX(FX_Input,Y$5,L$3*$Z$5+$AA$5)))-(8742/(L1989+459.6))+15.64),EXP(INDEX(Antoines,MATCH(L1980,Antoine_Name,0),2)-INDEX(Antoines,MATCH(L1980,Antoine_Name,0),3)/(L1989+459.6))))),0)</f>
        <v>8.2385730689388259E-3</v>
      </c>
      <c r="M1996" cm="1">
        <f t="array" ref="M1996">IFERROR(IF(M1981="Chemical",(10^(INDEX(Antoines,MATCH(M1980,Antoine_Name,0),2)-INDEX(Antoines,MATCH(M1980,Antoine_Name,0),3)/(INDEX(Antoines,MATCH(M1980,Antoine_Name,0),4)+(M1989-32)*5/9)))*14.7/760,IF(M1981="Crude Oil",EXP((2799/(M1989+459.6)-2.227)*LOG10(INDEX(FX_Input,Z$5,M$3*$Z$5+$AA$5))-(7261/(M1989+459.6))+12.82),IF(M1981="Refined Petroleum Stock",EXP((0.7553-(413/(M1989+459.6)))*(INDEX(FX_Input,Z$5,M$3*$Z$5+$AA$5-1)^0.5)*LOG10(INDEX(FX_Input,Z$5,M$3*$Z$5+$AA$5))-(1.854-(1042/(M1989+459.6)))*(INDEX(FX_Input,Z$5,M$3*$Z$5+$AA$5-1)^0.5)+((2416/(M1989+459.6)-2.013)*LOG10(INDEX(FX_Input,Z$5,M$3*$Z$5+$AA$5)))-(8742/(M1989+459.6))+15.64),EXP(INDEX(Antoines,MATCH(M1980,Antoine_Name,0),2)-INDEX(Antoines,MATCH(M1980,Antoine_Name,0),3)/(M1989+459.6))))),0)</f>
        <v>6.618900442185772E-3</v>
      </c>
      <c r="N1996" cm="1">
        <f t="array" ref="N1996">IFERROR(IF(N1981="Chemical",(10^(INDEX(Antoines,MATCH(N1980,Antoine_Name,0),2)-INDEX(Antoines,MATCH(N1980,Antoine_Name,0),3)/(INDEX(Antoines,MATCH(N1980,Antoine_Name,0),4)+(N1989-32)*5/9)))*14.7/760,IF(N1981="Crude Oil",EXP((2799/(N1989+459.6)-2.227)*LOG10(INDEX(FX_Input,AA$5,N$3*$Z$5+$AA$5))-(7261/(N1989+459.6))+12.82),IF(N1981="Refined Petroleum Stock",EXP((0.7553-(413/(N1989+459.6)))*(INDEX(FX_Input,AA$5,N$3*$Z$5+$AA$5-1)^0.5)*LOG10(INDEX(FX_Input,AA$5,N$3*$Z$5+$AA$5))-(1.854-(1042/(N1989+459.6)))*(INDEX(FX_Input,AA$5,N$3*$Z$5+$AA$5-1)^0.5)+((2416/(N1989+459.6)-2.013)*LOG10(INDEX(FX_Input,AA$5,N$3*$Z$5+$AA$5)))-(8742/(N1989+459.6))+15.64),EXP(INDEX(Antoines,MATCH(N1980,Antoine_Name,0),2)-INDEX(Antoines,MATCH(N1980,Antoine_Name,0),3)/(N1989+459.6))))),0)</f>
        <v>5.3923587959108042E-3</v>
      </c>
      <c r="O1996" cm="1">
        <f t="array" ref="O1996">IFERROR(IF(O1981="Chemical",(10^(INDEX(Antoines,MATCH(O1980,Antoine_Name,0),2)-INDEX(Antoines,MATCH(O1980,Antoine_Name,0),3)/(INDEX(Antoines,MATCH(O1980,Antoine_Name,0),4)+(O1989-32)*5/9)))*14.7/760,IF(O1981="Crude Oil",EXP((2799/(O1989+459.6)-2.227)*LOG10(INDEX(FX_Input,AB$5,O$3*$Z$5+$AA$5))-(7261/(O1989+459.6))+12.82),IF(O1981="Refined Petroleum Stock",EXP((0.7553-(413/(O1989+459.6)))*(INDEX(FX_Input,AB$5,O$3*$Z$5+$AA$5-1)^0.5)*LOG10(INDEX(FX_Input,AB$5,O$3*$Z$5+$AA$5))-(1.854-(1042/(O1989+459.6)))*(INDEX(FX_Input,AB$5,O$3*$Z$5+$AA$5-1)^0.5)+((2416/(O1989+459.6)-2.013)*LOG10(INDEX(FX_Input,AB$5,O$3*$Z$5+$AA$5)))-(8742/(O1989+459.6))+15.64),EXP(INDEX(Antoines,MATCH(O1980,Antoine_Name,0),2)-INDEX(Antoines,MATCH(O1980,Antoine_Name,0),3)/(O1989+459.6))))),0)</f>
        <v>4.7525360186456101E-3</v>
      </c>
    </row>
    <row r="1997" spans="2:32" ht="17.149999999999999" x14ac:dyDescent="0.55000000000000004">
      <c r="B1997" t="str">
        <f t="shared" si="7096"/>
        <v>Portland</v>
      </c>
      <c r="C1997" t="s">
        <v>580</v>
      </c>
      <c r="D1997">
        <f>D1996*D1984</f>
        <v>4.8116637646820016E-3</v>
      </c>
      <c r="E1997">
        <f t="shared" ref="E1997:O1997" si="7100">E1996*E1984</f>
        <v>5.0048006991488458E-3</v>
      </c>
      <c r="F1997">
        <f t="shared" si="7100"/>
        <v>5.3193030941574935E-3</v>
      </c>
      <c r="G1997">
        <f t="shared" si="7100"/>
        <v>5.8943503851042415E-3</v>
      </c>
      <c r="H1997">
        <f t="shared" si="7100"/>
        <v>6.9660236232598005E-3</v>
      </c>
      <c r="I1997">
        <f t="shared" si="7100"/>
        <v>7.9406391529506654E-3</v>
      </c>
      <c r="J1997">
        <f t="shared" si="7100"/>
        <v>8.9422860963673592E-3</v>
      </c>
      <c r="K1997">
        <f t="shared" si="7100"/>
        <v>8.9951550374627008E-3</v>
      </c>
      <c r="L1997">
        <f t="shared" si="7100"/>
        <v>8.2385730689388259E-3</v>
      </c>
      <c r="M1997">
        <f t="shared" si="7100"/>
        <v>6.618900442185772E-3</v>
      </c>
      <c r="N1997">
        <f t="shared" si="7100"/>
        <v>5.3923587959108042E-3</v>
      </c>
      <c r="O1997">
        <f t="shared" si="7100"/>
        <v>4.7525360186456101E-3</v>
      </c>
    </row>
    <row r="1998" spans="2:32" ht="17.149999999999999" x14ac:dyDescent="0.55000000000000004">
      <c r="B1998" t="str">
        <f t="shared" si="7096"/>
        <v>Portland</v>
      </c>
      <c r="C1998" t="s">
        <v>581</v>
      </c>
      <c r="D1998" cm="1">
        <f t="array" ref="D1998">IFERROR(IF(D1983="Chemical",(10^(INDEX(Antoines,MATCH(D1982,Antoine_Name,0),2)-INDEX(Antoines,MATCH(D1982,Antoine_Name,0),3)/(INDEX(Antoines,MATCH(D1982,Antoine_Name,0),4)+(D1989-32)*5/9)))*14.7/760,IF(D1983="Crude Oil",EXP((2799/(D1989+459.6)-2.227)*LOG10(INDEX(FX_Input,Q$5,D$3*$Z$5+$AA$5))-(7261/(D1989+459.6))+12.82),IF(D1983="Refined Petroleum Stock",EXP((0.7553-(413/(D1989+459.6)))*(INDEX(FX_Input,Q$5,D$3*$Z$5+$AA$5-1)^0.5)*LOG10(INDEX(FX_Input,Q$5,D$3*$Z$5+$AA$5))-(1.854-(1042/(D1989+459.6)))*(INDEX(FX_Input,Q$5,D$3*$Z$5+$AA$5-1)^0.5)+((2416/(D1989+459.6)-2.013)*LOG10(INDEX(FX_Input,Q$5,D$3*$Z$5+$AA$5)))-(8742/(D1989+459.6))+15.64),EXP(INDEX(Antoines,MATCH(D1982,Antoine_Name,0),2)-INDEX(Antoines,MATCH(D1982,Antoine_Name,0),3)/(D1989+459.6))))),0)</f>
        <v>0</v>
      </c>
      <c r="E1998" cm="1">
        <f t="array" ref="E1998">IFERROR(IF(E1983="Chemical",(10^(INDEX(Antoines,MATCH(E1982,Antoine_Name,0),2)-INDEX(Antoines,MATCH(E1982,Antoine_Name,0),3)/(INDEX(Antoines,MATCH(E1982,Antoine_Name,0),4)+(E1989-32)*5/9)))*14.7/760,IF(E1983="Crude Oil",EXP((2799/(E1989+459.6)-2.227)*LOG10(INDEX(FX_Input,R$5,E$3*$Z$5+$AA$5))-(7261/(E1989+459.6))+12.82),IF(E1983="Refined Petroleum Stock",EXP((0.7553-(413/(E1989+459.6)))*(INDEX(FX_Input,R$5,E$3*$Z$5+$AA$5-1)^0.5)*LOG10(INDEX(FX_Input,R$5,E$3*$Z$5+$AA$5))-(1.854-(1042/(E1989+459.6)))*(INDEX(FX_Input,R$5,E$3*$Z$5+$AA$5-1)^0.5)+((2416/(E1989+459.6)-2.013)*LOG10(INDEX(FX_Input,R$5,E$3*$Z$5+$AA$5)))-(8742/(E1989+459.6))+15.64),EXP(INDEX(Antoines,MATCH(E1982,Antoine_Name,0),2)-INDEX(Antoines,MATCH(E1982,Antoine_Name,0),3)/(E1989+459.6))))),0)</f>
        <v>0</v>
      </c>
      <c r="F1998" cm="1">
        <f t="array" ref="F1998">IFERROR(IF(F1983="Chemical",(10^(INDEX(Antoines,MATCH(F1982,Antoine_Name,0),2)-INDEX(Antoines,MATCH(F1982,Antoine_Name,0),3)/(INDEX(Antoines,MATCH(F1982,Antoine_Name,0),4)+(F1989-32)*5/9)))*14.7/760,IF(F1983="Crude Oil",EXP((2799/(F1989+459.6)-2.227)*LOG10(INDEX(FX_Input,S$5,F$3*$Z$5+$AA$5))-(7261/(F1989+459.6))+12.82),IF(F1983="Refined Petroleum Stock",EXP((0.7553-(413/(F1989+459.6)))*(INDEX(FX_Input,S$5,F$3*$Z$5+$AA$5-1)^0.5)*LOG10(INDEX(FX_Input,S$5,F$3*$Z$5+$AA$5))-(1.854-(1042/(F1989+459.6)))*(INDEX(FX_Input,S$5,F$3*$Z$5+$AA$5-1)^0.5)+((2416/(F1989+459.6)-2.013)*LOG10(INDEX(FX_Input,S$5,F$3*$Z$5+$AA$5)))-(8742/(F1989+459.6))+15.64),EXP(INDEX(Antoines,MATCH(F1982,Antoine_Name,0),2)-INDEX(Antoines,MATCH(F1982,Antoine_Name,0),3)/(F1989+459.6))))),0)</f>
        <v>0</v>
      </c>
      <c r="G1998" cm="1">
        <f t="array" ref="G1998">IFERROR(IF(G1983="Chemical",(10^(INDEX(Antoines,MATCH(G1982,Antoine_Name,0),2)-INDEX(Antoines,MATCH(G1982,Antoine_Name,0),3)/(INDEX(Antoines,MATCH(G1982,Antoine_Name,0),4)+(G1989-32)*5/9)))*14.7/760,IF(G1983="Crude Oil",EXP((2799/(G1989+459.6)-2.227)*LOG10(INDEX(FX_Input,T$5,G$3*$Z$5+$AA$5))-(7261/(G1989+459.6))+12.82),IF(G1983="Refined Petroleum Stock",EXP((0.7553-(413/(G1989+459.6)))*(INDEX(FX_Input,T$5,G$3*$Z$5+$AA$5-1)^0.5)*LOG10(INDEX(FX_Input,T$5,G$3*$Z$5+$AA$5))-(1.854-(1042/(G1989+459.6)))*(INDEX(FX_Input,T$5,G$3*$Z$5+$AA$5-1)^0.5)+((2416/(G1989+459.6)-2.013)*LOG10(INDEX(FX_Input,T$5,G$3*$Z$5+$AA$5)))-(8742/(G1989+459.6))+15.64),EXP(INDEX(Antoines,MATCH(G1982,Antoine_Name,0),2)-INDEX(Antoines,MATCH(G1982,Antoine_Name,0),3)/(G1989+459.6))))),0)</f>
        <v>0</v>
      </c>
      <c r="H1998" cm="1">
        <f t="array" ref="H1998">IFERROR(IF(H1983="Chemical",(10^(INDEX(Antoines,MATCH(H1982,Antoine_Name,0),2)-INDEX(Antoines,MATCH(H1982,Antoine_Name,0),3)/(INDEX(Antoines,MATCH(H1982,Antoine_Name,0),4)+(H1989-32)*5/9)))*14.7/760,IF(H1983="Crude Oil",EXP((2799/(H1989+459.6)-2.227)*LOG10(INDEX(FX_Input,U$5,H$3*$Z$5+$AA$5))-(7261/(H1989+459.6))+12.82),IF(H1983="Refined Petroleum Stock",EXP((0.7553-(413/(H1989+459.6)))*(INDEX(FX_Input,U$5,H$3*$Z$5+$AA$5-1)^0.5)*LOG10(INDEX(FX_Input,U$5,H$3*$Z$5+$AA$5))-(1.854-(1042/(H1989+459.6)))*(INDEX(FX_Input,U$5,H$3*$Z$5+$AA$5-1)^0.5)+((2416/(H1989+459.6)-2.013)*LOG10(INDEX(FX_Input,U$5,H$3*$Z$5+$AA$5)))-(8742/(H1989+459.6))+15.64),EXP(INDEX(Antoines,MATCH(H1982,Antoine_Name,0),2)-INDEX(Antoines,MATCH(H1982,Antoine_Name,0),3)/(H1989+459.6))))),0)</f>
        <v>0</v>
      </c>
      <c r="I1998" cm="1">
        <f t="array" ref="I1998">IFERROR(IF(I1983="Chemical",(10^(INDEX(Antoines,MATCH(I1982,Antoine_Name,0),2)-INDEX(Antoines,MATCH(I1982,Antoine_Name,0),3)/(INDEX(Antoines,MATCH(I1982,Antoine_Name,0),4)+(I1989-32)*5/9)))*14.7/760,IF(I1983="Crude Oil",EXP((2799/(I1989+459.6)-2.227)*LOG10(INDEX(FX_Input,V$5,I$3*$Z$5+$AA$5))-(7261/(I1989+459.6))+12.82),IF(I1983="Refined Petroleum Stock",EXP((0.7553-(413/(I1989+459.6)))*(INDEX(FX_Input,V$5,I$3*$Z$5+$AA$5-1)^0.5)*LOG10(INDEX(FX_Input,V$5,I$3*$Z$5+$AA$5))-(1.854-(1042/(I1989+459.6)))*(INDEX(FX_Input,V$5,I$3*$Z$5+$AA$5-1)^0.5)+((2416/(I1989+459.6)-2.013)*LOG10(INDEX(FX_Input,V$5,I$3*$Z$5+$AA$5)))-(8742/(I1989+459.6))+15.64),EXP(INDEX(Antoines,MATCH(I1982,Antoine_Name,0),2)-INDEX(Antoines,MATCH(I1982,Antoine_Name,0),3)/(I1989+459.6))))),0)</f>
        <v>0</v>
      </c>
      <c r="J1998" cm="1">
        <f t="array" ref="J1998">IFERROR(IF(J1983="Chemical",(10^(INDEX(Antoines,MATCH(J1982,Antoine_Name,0),2)-INDEX(Antoines,MATCH(J1982,Antoine_Name,0),3)/(INDEX(Antoines,MATCH(J1982,Antoine_Name,0),4)+(J1989-32)*5/9)))*14.7/760,IF(J1983="Crude Oil",EXP((2799/(J1989+459.6)-2.227)*LOG10(INDEX(FX_Input,W$5,J$3*$Z$5+$AA$5))-(7261/(J1989+459.6))+12.82),IF(J1983="Refined Petroleum Stock",EXP((0.7553-(413/(J1989+459.6)))*(INDEX(FX_Input,W$5,J$3*$Z$5+$AA$5-1)^0.5)*LOG10(INDEX(FX_Input,W$5,J$3*$Z$5+$AA$5))-(1.854-(1042/(J1989+459.6)))*(INDEX(FX_Input,W$5,J$3*$Z$5+$AA$5-1)^0.5)+((2416/(J1989+459.6)-2.013)*LOG10(INDEX(FX_Input,W$5,J$3*$Z$5+$AA$5)))-(8742/(J1989+459.6))+15.64),EXP(INDEX(Antoines,MATCH(J1982,Antoine_Name,0),2)-INDEX(Antoines,MATCH(J1982,Antoine_Name,0),3)/(J1989+459.6))))),0)</f>
        <v>0</v>
      </c>
      <c r="K1998" cm="1">
        <f t="array" ref="K1998">IFERROR(IF(K1983="Chemical",(10^(INDEX(Antoines,MATCH(K1982,Antoine_Name,0),2)-INDEX(Antoines,MATCH(K1982,Antoine_Name,0),3)/(INDEX(Antoines,MATCH(K1982,Antoine_Name,0),4)+(K1989-32)*5/9)))*14.7/760,IF(K1983="Crude Oil",EXP((2799/(K1989+459.6)-2.227)*LOG10(INDEX(FX_Input,X$5,K$3*$Z$5+$AA$5))-(7261/(K1989+459.6))+12.82),IF(K1983="Refined Petroleum Stock",EXP((0.7553-(413/(K1989+459.6)))*(INDEX(FX_Input,X$5,K$3*$Z$5+$AA$5-1)^0.5)*LOG10(INDEX(FX_Input,X$5,K$3*$Z$5+$AA$5))-(1.854-(1042/(K1989+459.6)))*(INDEX(FX_Input,X$5,K$3*$Z$5+$AA$5-1)^0.5)+((2416/(K1989+459.6)-2.013)*LOG10(INDEX(FX_Input,X$5,K$3*$Z$5+$AA$5)))-(8742/(K1989+459.6))+15.64),EXP(INDEX(Antoines,MATCH(K1982,Antoine_Name,0),2)-INDEX(Antoines,MATCH(K1982,Antoine_Name,0),3)/(K1989+459.6))))),0)</f>
        <v>0</v>
      </c>
      <c r="L1998" cm="1">
        <f t="array" ref="L1998">IFERROR(IF(L1983="Chemical",(10^(INDEX(Antoines,MATCH(L1982,Antoine_Name,0),2)-INDEX(Antoines,MATCH(L1982,Antoine_Name,0),3)/(INDEX(Antoines,MATCH(L1982,Antoine_Name,0),4)+(L1989-32)*5/9)))*14.7/760,IF(L1983="Crude Oil",EXP((2799/(L1989+459.6)-2.227)*LOG10(INDEX(FX_Input,Y$5,L$3*$Z$5+$AA$5))-(7261/(L1989+459.6))+12.82),IF(L1983="Refined Petroleum Stock",EXP((0.7553-(413/(L1989+459.6)))*(INDEX(FX_Input,Y$5,L$3*$Z$5+$AA$5-1)^0.5)*LOG10(INDEX(FX_Input,Y$5,L$3*$Z$5+$AA$5))-(1.854-(1042/(L1989+459.6)))*(INDEX(FX_Input,Y$5,L$3*$Z$5+$AA$5-1)^0.5)+((2416/(L1989+459.6)-2.013)*LOG10(INDEX(FX_Input,Y$5,L$3*$Z$5+$AA$5)))-(8742/(L1989+459.6))+15.64),EXP(INDEX(Antoines,MATCH(L1982,Antoine_Name,0),2)-INDEX(Antoines,MATCH(L1982,Antoine_Name,0),3)/(L1989+459.6))))),0)</f>
        <v>0</v>
      </c>
      <c r="M1998" cm="1">
        <f t="array" ref="M1998">IFERROR(IF(M1983="Chemical",(10^(INDEX(Antoines,MATCH(M1982,Antoine_Name,0),2)-INDEX(Antoines,MATCH(M1982,Antoine_Name,0),3)/(INDEX(Antoines,MATCH(M1982,Antoine_Name,0),4)+(M1989-32)*5/9)))*14.7/760,IF(M1983="Crude Oil",EXP((2799/(M1989+459.6)-2.227)*LOG10(INDEX(FX_Input,Z$5,M$3*$Z$5+$AA$5))-(7261/(M1989+459.6))+12.82),IF(M1983="Refined Petroleum Stock",EXP((0.7553-(413/(M1989+459.6)))*(INDEX(FX_Input,Z$5,M$3*$Z$5+$AA$5-1)^0.5)*LOG10(INDEX(FX_Input,Z$5,M$3*$Z$5+$AA$5))-(1.854-(1042/(M1989+459.6)))*(INDEX(FX_Input,Z$5,M$3*$Z$5+$AA$5-1)^0.5)+((2416/(M1989+459.6)-2.013)*LOG10(INDEX(FX_Input,Z$5,M$3*$Z$5+$AA$5)))-(8742/(M1989+459.6))+15.64),EXP(INDEX(Antoines,MATCH(M1982,Antoine_Name,0),2)-INDEX(Antoines,MATCH(M1982,Antoine_Name,0),3)/(M1989+459.6))))),0)</f>
        <v>0</v>
      </c>
      <c r="N1998" cm="1">
        <f t="array" ref="N1998">IFERROR(IF(N1983="Chemical",(10^(INDEX(Antoines,MATCH(N1982,Antoine_Name,0),2)-INDEX(Antoines,MATCH(N1982,Antoine_Name,0),3)/(INDEX(Antoines,MATCH(N1982,Antoine_Name,0),4)+(N1989-32)*5/9)))*14.7/760,IF(N1983="Crude Oil",EXP((2799/(N1989+459.6)-2.227)*LOG10(INDEX(FX_Input,AA$5,N$3*$Z$5+$AA$5))-(7261/(N1989+459.6))+12.82),IF(N1983="Refined Petroleum Stock",EXP((0.7553-(413/(N1989+459.6)))*(INDEX(FX_Input,AA$5,N$3*$Z$5+$AA$5-1)^0.5)*LOG10(INDEX(FX_Input,AA$5,N$3*$Z$5+$AA$5))-(1.854-(1042/(N1989+459.6)))*(INDEX(FX_Input,AA$5,N$3*$Z$5+$AA$5-1)^0.5)+((2416/(N1989+459.6)-2.013)*LOG10(INDEX(FX_Input,AA$5,N$3*$Z$5+$AA$5)))-(8742/(N1989+459.6))+15.64),EXP(INDEX(Antoines,MATCH(N1982,Antoine_Name,0),2)-INDEX(Antoines,MATCH(N1982,Antoine_Name,0),3)/(N1989+459.6))))),0)</f>
        <v>0</v>
      </c>
      <c r="O1998" cm="1">
        <f t="array" ref="O1998">IFERROR(IF(O1983="Chemical",(10^(INDEX(Antoines,MATCH(O1982,Antoine_Name,0),2)-INDEX(Antoines,MATCH(O1982,Antoine_Name,0),3)/(INDEX(Antoines,MATCH(O1982,Antoine_Name,0),4)+(O1989-32)*5/9)))*14.7/760,IF(O1983="Crude Oil",EXP((2799/(O1989+459.6)-2.227)*LOG10(INDEX(FX_Input,AB$5,O$3*$Z$5+$AA$5))-(7261/(O1989+459.6))+12.82),IF(O1983="Refined Petroleum Stock",EXP((0.7553-(413/(O1989+459.6)))*(INDEX(FX_Input,AB$5,O$3*$Z$5+$AA$5-1)^0.5)*LOG10(INDEX(FX_Input,AB$5,O$3*$Z$5+$AA$5))-(1.854-(1042/(O1989+459.6)))*(INDEX(FX_Input,AB$5,O$3*$Z$5+$AA$5-1)^0.5)+((2416/(O1989+459.6)-2.013)*LOG10(INDEX(FX_Input,AB$5,O$3*$Z$5+$AA$5)))-(8742/(O1989+459.6))+15.64),EXP(INDEX(Antoines,MATCH(O1982,Antoine_Name,0),2)-INDEX(Antoines,MATCH(O1982,Antoine_Name,0),3)/(O1989+459.6))))),0)</f>
        <v>0</v>
      </c>
    </row>
    <row r="1999" spans="2:32" ht="17.149999999999999" x14ac:dyDescent="0.55000000000000004">
      <c r="B1999" t="str">
        <f t="shared" si="7096"/>
        <v>Portland</v>
      </c>
      <c r="C1999" t="s">
        <v>582</v>
      </c>
      <c r="D1999">
        <f>D1998*D1986</f>
        <v>0</v>
      </c>
      <c r="E1999">
        <f t="shared" ref="E1999:O1999" si="7101">E1998*E1986</f>
        <v>0</v>
      </c>
      <c r="F1999">
        <f t="shared" si="7101"/>
        <v>0</v>
      </c>
      <c r="G1999">
        <f t="shared" si="7101"/>
        <v>0</v>
      </c>
      <c r="H1999">
        <f t="shared" si="7101"/>
        <v>0</v>
      </c>
      <c r="I1999">
        <f t="shared" si="7101"/>
        <v>0</v>
      </c>
      <c r="J1999">
        <f t="shared" si="7101"/>
        <v>0</v>
      </c>
      <c r="K1999">
        <f t="shared" si="7101"/>
        <v>0</v>
      </c>
      <c r="L1999">
        <f t="shared" si="7101"/>
        <v>0</v>
      </c>
      <c r="M1999">
        <f t="shared" si="7101"/>
        <v>0</v>
      </c>
      <c r="N1999">
        <f t="shared" si="7101"/>
        <v>0</v>
      </c>
      <c r="O1999">
        <f t="shared" si="7101"/>
        <v>0</v>
      </c>
    </row>
    <row r="2000" spans="2:32" ht="17.149999999999999" x14ac:dyDescent="0.55000000000000004">
      <c r="B2000" t="str">
        <f t="shared" si="7096"/>
        <v>Portland</v>
      </c>
      <c r="C2000" t="s">
        <v>583</v>
      </c>
      <c r="D2000">
        <f>D1997+D1999</f>
        <v>4.8116637646820016E-3</v>
      </c>
      <c r="E2000">
        <f t="shared" ref="E2000:O2000" si="7102">E1997+E1999</f>
        <v>5.0048006991488458E-3</v>
      </c>
      <c r="F2000">
        <f t="shared" si="7102"/>
        <v>5.3193030941574935E-3</v>
      </c>
      <c r="G2000">
        <f t="shared" si="7102"/>
        <v>5.8943503851042415E-3</v>
      </c>
      <c r="H2000">
        <f t="shared" si="7102"/>
        <v>6.9660236232598005E-3</v>
      </c>
      <c r="I2000">
        <f t="shared" si="7102"/>
        <v>7.9406391529506654E-3</v>
      </c>
      <c r="J2000">
        <f t="shared" si="7102"/>
        <v>8.9422860963673592E-3</v>
      </c>
      <c r="K2000">
        <f t="shared" si="7102"/>
        <v>8.9951550374627008E-3</v>
      </c>
      <c r="L2000">
        <f t="shared" si="7102"/>
        <v>8.2385730689388259E-3</v>
      </c>
      <c r="M2000">
        <f t="shared" si="7102"/>
        <v>6.618900442185772E-3</v>
      </c>
      <c r="N2000">
        <f t="shared" si="7102"/>
        <v>5.3923587959108042E-3</v>
      </c>
      <c r="O2000">
        <f t="shared" si="7102"/>
        <v>4.7525360186456101E-3</v>
      </c>
    </row>
    <row r="2001" spans="1:32" ht="17.149999999999999" x14ac:dyDescent="0.55000000000000004">
      <c r="B2001" t="str">
        <f t="shared" si="7096"/>
        <v>Portland</v>
      </c>
      <c r="C2001" t="s">
        <v>1388</v>
      </c>
      <c r="D2001" cm="1">
        <f t="array" ref="D2001">IFERROR(IF(D1981="Chemical",(10^(INDEX(Antoines,MATCH(D1980,Antoine_Name,0),2)-INDEX(Antoines,MATCH(D1980,Antoine_Name,0),3)/(INDEX(Antoines,MATCH(D1980,Antoine_Name,0),4)+(D1990-32)*5/9)))*14.7/760,IF(D1981="Crude Oil",EXP((2799/(D1990+459.6)-2.227)*LOG10(INDEX(FX_Input,Q$5,D$3*$Z$5+$AA$5))-(7261/(D1990+459.6))+12.82),IF(D1981="Refined Petroleum Stock",EXP((0.7553-(413/(D1990+459.6)))*(INDEX(FX_Input,Q$5,D$3*$Z$5+$AA$5-1)^0.5)*LOG10(INDEX(FX_Input,Q$5,D$3*$Z$5+$AA$5))-(1.854-(1042/(D1990+459.6)))*(INDEX(FX_Input,Q$5,D$3*$Z$5+$AA$5-1)^0.5)+((2416/(D1990+459.6)-2.013)*LOG10(INDEX(FX_Input,Q$5,D$3*$Z$5+$AA$5)))-(8742/(D1990+459.6))+15.64),EXP(INDEX(Antoines,MATCH(D1980,Antoine_Name,0),2)-INDEX(Antoines,MATCH(D1980,Antoine_Name,0),3)/(D1990+459.6))))),0)</f>
        <v>4.8847213797703236E-3</v>
      </c>
      <c r="E2001" cm="1">
        <f t="array" ref="E2001">IFERROR(IF(E1981="Chemical",(10^(INDEX(Antoines,MATCH(E1980,Antoine_Name,0),2)-INDEX(Antoines,MATCH(E1980,Antoine_Name,0),3)/(INDEX(Antoines,MATCH(E1980,Antoine_Name,0),4)+(E1990-32)*5/9)))*14.7/760,IF(E1981="Crude Oil",EXP((2799/(E1990+459.6)-2.227)*LOG10(INDEX(FX_Input,R$5,E$3*$Z$5+$AA$5))-(7261/(E1990+459.6))+12.82),IF(E1981="Refined Petroleum Stock",EXP((0.7553-(413/(E1990+459.6)))*(INDEX(FX_Input,R$5,E$3*$Z$5+$AA$5-1)^0.5)*LOG10(INDEX(FX_Input,R$5,E$3*$Z$5+$AA$5))-(1.854-(1042/(E1990+459.6)))*(INDEX(FX_Input,R$5,E$3*$Z$5+$AA$5-1)^0.5)+((2416/(E1990+459.6)-2.013)*LOG10(INDEX(FX_Input,R$5,E$3*$Z$5+$AA$5)))-(8742/(E1990+459.6))+15.64),EXP(INDEX(Antoines,MATCH(E1980,Antoine_Name,0),2)-INDEX(Antoines,MATCH(E1980,Antoine_Name,0),3)/(E1990+459.6))))),0)</f>
        <v>5.1377970454196883E-3</v>
      </c>
      <c r="F2001" cm="1">
        <f t="array" ref="F2001">IFERROR(IF(F1981="Chemical",(10^(INDEX(Antoines,MATCH(F1980,Antoine_Name,0),2)-INDEX(Antoines,MATCH(F1980,Antoine_Name,0),3)/(INDEX(Antoines,MATCH(F1980,Antoine_Name,0),4)+(F1990-32)*5/9)))*14.7/760,IF(F1981="Crude Oil",EXP((2799/(F1990+459.6)-2.227)*LOG10(INDEX(FX_Input,S$5,F$3*$Z$5+$AA$5))-(7261/(F1990+459.6))+12.82),IF(F1981="Refined Petroleum Stock",EXP((0.7553-(413/(F1990+459.6)))*(INDEX(FX_Input,S$5,F$3*$Z$5+$AA$5-1)^0.5)*LOG10(INDEX(FX_Input,S$5,F$3*$Z$5+$AA$5))-(1.854-(1042/(F1990+459.6)))*(INDEX(FX_Input,S$5,F$3*$Z$5+$AA$5-1)^0.5)+((2416/(F1990+459.6)-2.013)*LOG10(INDEX(FX_Input,S$5,F$3*$Z$5+$AA$5)))-(8742/(F1990+459.6))+15.64),EXP(INDEX(Antoines,MATCH(F1980,Antoine_Name,0),2)-INDEX(Antoines,MATCH(F1980,Antoine_Name,0),3)/(F1990+459.6))))),0)</f>
        <v>5.5255769197630547E-3</v>
      </c>
      <c r="G2001" cm="1">
        <f t="array" ref="G2001">IFERROR(IF(G1981="Chemical",(10^(INDEX(Antoines,MATCH(G1980,Antoine_Name,0),2)-INDEX(Antoines,MATCH(G1980,Antoine_Name,0),3)/(INDEX(Antoines,MATCH(G1980,Antoine_Name,0),4)+(G1990-32)*5/9)))*14.7/760,IF(G1981="Crude Oil",EXP((2799/(G1990+459.6)-2.227)*LOG10(INDEX(FX_Input,T$5,G$3*$Z$5+$AA$5))-(7261/(G1990+459.6))+12.82),IF(G1981="Refined Petroleum Stock",EXP((0.7553-(413/(G1990+459.6)))*(INDEX(FX_Input,T$5,G$3*$Z$5+$AA$5-1)^0.5)*LOG10(INDEX(FX_Input,T$5,G$3*$Z$5+$AA$5))-(1.854-(1042/(G1990+459.6)))*(INDEX(FX_Input,T$5,G$3*$Z$5+$AA$5-1)^0.5)+((2416/(G1990+459.6)-2.013)*LOG10(INDEX(FX_Input,T$5,G$3*$Z$5+$AA$5)))-(8742/(G1990+459.6))+15.64),EXP(INDEX(Antoines,MATCH(G1980,Antoine_Name,0),2)-INDEX(Antoines,MATCH(G1980,Antoine_Name,0),3)/(G1990+459.6))))),0)</f>
        <v>6.219119610903932E-3</v>
      </c>
      <c r="H2001" cm="1">
        <f t="array" ref="H2001">IFERROR(IF(H1981="Chemical",(10^(INDEX(Antoines,MATCH(H1980,Antoine_Name,0),2)-INDEX(Antoines,MATCH(H1980,Antoine_Name,0),3)/(INDEX(Antoines,MATCH(H1980,Antoine_Name,0),4)+(H1990-32)*5/9)))*14.7/760,IF(H1981="Crude Oil",EXP((2799/(H1990+459.6)-2.227)*LOG10(INDEX(FX_Input,U$5,H$3*$Z$5+$AA$5))-(7261/(H1990+459.6))+12.82),IF(H1981="Refined Petroleum Stock",EXP((0.7553-(413/(H1990+459.6)))*(INDEX(FX_Input,U$5,H$3*$Z$5+$AA$5-1)^0.5)*LOG10(INDEX(FX_Input,U$5,H$3*$Z$5+$AA$5))-(1.854-(1042/(H1990+459.6)))*(INDEX(FX_Input,U$5,H$3*$Z$5+$AA$5-1)^0.5)+((2416/(H1990+459.6)-2.013)*LOG10(INDEX(FX_Input,U$5,H$3*$Z$5+$AA$5)))-(8742/(H1990+459.6))+15.64),EXP(INDEX(Antoines,MATCH(H1980,Antoine_Name,0),2)-INDEX(Antoines,MATCH(H1980,Antoine_Name,0),3)/(H1990+459.6))))),0)</f>
        <v>7.430518180814979E-3</v>
      </c>
      <c r="I2001" cm="1">
        <f t="array" ref="I2001">IFERROR(IF(I1981="Chemical",(10^(INDEX(Antoines,MATCH(I1980,Antoine_Name,0),2)-INDEX(Antoines,MATCH(I1980,Antoine_Name,0),3)/(INDEX(Antoines,MATCH(I1980,Antoine_Name,0),4)+(I1990-32)*5/9)))*14.7/760,IF(I1981="Crude Oil",EXP((2799/(I1990+459.6)-2.227)*LOG10(INDEX(FX_Input,V$5,I$3*$Z$5+$AA$5))-(7261/(I1990+459.6))+12.82),IF(I1981="Refined Petroleum Stock",EXP((0.7553-(413/(I1990+459.6)))*(INDEX(FX_Input,V$5,I$3*$Z$5+$AA$5-1)^0.5)*LOG10(INDEX(FX_Input,V$5,I$3*$Z$5+$AA$5))-(1.854-(1042/(I1990+459.6)))*(INDEX(FX_Input,V$5,I$3*$Z$5+$AA$5-1)^0.5)+((2416/(I1990+459.6)-2.013)*LOG10(INDEX(FX_Input,V$5,I$3*$Z$5+$AA$5)))-(8742/(I1990+459.6))+15.64),EXP(INDEX(Antoines,MATCH(I1980,Antoine_Name,0),2)-INDEX(Antoines,MATCH(I1980,Antoine_Name,0),3)/(I1990+459.6))))),0)</f>
        <v>8.4933610792594406E-3</v>
      </c>
      <c r="J2001" cm="1">
        <f t="array" ref="J2001">IFERROR(IF(J1981="Chemical",(10^(INDEX(Antoines,MATCH(J1980,Antoine_Name,0),2)-INDEX(Antoines,MATCH(J1980,Antoine_Name,0),3)/(INDEX(Antoines,MATCH(J1980,Antoine_Name,0),4)+(J1990-32)*5/9)))*14.7/760,IF(J1981="Crude Oil",EXP((2799/(J1990+459.6)-2.227)*LOG10(INDEX(FX_Input,W$5,J$3*$Z$5+$AA$5))-(7261/(J1990+459.6))+12.82),IF(J1981="Refined Petroleum Stock",EXP((0.7553-(413/(J1990+459.6)))*(INDEX(FX_Input,W$5,J$3*$Z$5+$AA$5-1)^0.5)*LOG10(INDEX(FX_Input,W$5,J$3*$Z$5+$AA$5))-(1.854-(1042/(J1990+459.6)))*(INDEX(FX_Input,W$5,J$3*$Z$5+$AA$5-1)^0.5)+((2416/(J1990+459.6)-2.013)*LOG10(INDEX(FX_Input,W$5,J$3*$Z$5+$AA$5)))-(8742/(J1990+459.6))+15.64),EXP(INDEX(Antoines,MATCH(J1980,Antoine_Name,0),2)-INDEX(Antoines,MATCH(J1980,Antoine_Name,0),3)/(J1990+459.6))))),0)</f>
        <v>9.5874007696552591E-3</v>
      </c>
      <c r="K2001" cm="1">
        <f t="array" ref="K2001">IFERROR(IF(K1981="Chemical",(10^(INDEX(Antoines,MATCH(K1980,Antoine_Name,0),2)-INDEX(Antoines,MATCH(K1980,Antoine_Name,0),3)/(INDEX(Antoines,MATCH(K1980,Antoine_Name,0),4)+(K1990-32)*5/9)))*14.7/760,IF(K1981="Crude Oil",EXP((2799/(K1990+459.6)-2.227)*LOG10(INDEX(FX_Input,X$5,K$3*$Z$5+$AA$5))-(7261/(K1990+459.6))+12.82),IF(K1981="Refined Petroleum Stock",EXP((0.7553-(413/(K1990+459.6)))*(INDEX(FX_Input,X$5,K$3*$Z$5+$AA$5-1)^0.5)*LOG10(INDEX(FX_Input,X$5,K$3*$Z$5+$AA$5))-(1.854-(1042/(K1990+459.6)))*(INDEX(FX_Input,X$5,K$3*$Z$5+$AA$5-1)^0.5)+((2416/(K1990+459.6)-2.013)*LOG10(INDEX(FX_Input,X$5,K$3*$Z$5+$AA$5)))-(8742/(K1990+459.6))+15.64),EXP(INDEX(Antoines,MATCH(K1980,Antoine_Name,0),2)-INDEX(Antoines,MATCH(K1980,Antoine_Name,0),3)/(K1990+459.6))))),0)</f>
        <v>9.5593988737869996E-3</v>
      </c>
      <c r="L2001" cm="1">
        <f t="array" ref="L2001">IFERROR(IF(L1981="Chemical",(10^(INDEX(Antoines,MATCH(L1980,Antoine_Name,0),2)-INDEX(Antoines,MATCH(L1980,Antoine_Name,0),3)/(INDEX(Antoines,MATCH(L1980,Antoine_Name,0),4)+(L1990-32)*5/9)))*14.7/760,IF(L1981="Crude Oil",EXP((2799/(L1990+459.6)-2.227)*LOG10(INDEX(FX_Input,Y$5,L$3*$Z$5+$AA$5))-(7261/(L1990+459.6))+12.82),IF(L1981="Refined Petroleum Stock",EXP((0.7553-(413/(L1990+459.6)))*(INDEX(FX_Input,Y$5,L$3*$Z$5+$AA$5-1)^0.5)*LOG10(INDEX(FX_Input,Y$5,L$3*$Z$5+$AA$5))-(1.854-(1042/(L1990+459.6)))*(INDEX(FX_Input,Y$5,L$3*$Z$5+$AA$5-1)^0.5)+((2416/(L1990+459.6)-2.013)*LOG10(INDEX(FX_Input,Y$5,L$3*$Z$5+$AA$5)))-(8742/(L1990+459.6))+15.64),EXP(INDEX(Antoines,MATCH(L1980,Antoine_Name,0),2)-INDEX(Antoines,MATCH(L1980,Antoine_Name,0),3)/(L1990+459.6))))),0)</f>
        <v>8.6549593565446326E-3</v>
      </c>
      <c r="M2001" cm="1">
        <f t="array" ref="M2001">IFERROR(IF(M1981="Chemical",(10^(INDEX(Antoines,MATCH(M1980,Antoine_Name,0),2)-INDEX(Antoines,MATCH(M1980,Antoine_Name,0),3)/(INDEX(Antoines,MATCH(M1980,Antoine_Name,0),4)+(M1990-32)*5/9)))*14.7/760,IF(M1981="Crude Oil",EXP((2799/(M1990+459.6)-2.227)*LOG10(INDEX(FX_Input,Z$5,M$3*$Z$5+$AA$5))-(7261/(M1990+459.6))+12.82),IF(M1981="Refined Petroleum Stock",EXP((0.7553-(413/(M1990+459.6)))*(INDEX(FX_Input,Z$5,M$3*$Z$5+$AA$5-1)^0.5)*LOG10(INDEX(FX_Input,Z$5,M$3*$Z$5+$AA$5))-(1.854-(1042/(M1990+459.6)))*(INDEX(FX_Input,Z$5,M$3*$Z$5+$AA$5-1)^0.5)+((2416/(M1990+459.6)-2.013)*LOG10(INDEX(FX_Input,Z$5,M$3*$Z$5+$AA$5)))-(8742/(M1990+459.6))+15.64),EXP(INDEX(Antoines,MATCH(M1980,Antoine_Name,0),2)-INDEX(Antoines,MATCH(M1980,Antoine_Name,0),3)/(M1990+459.6))))),0)</f>
        <v>6.8260376495002202E-3</v>
      </c>
      <c r="N2001" cm="1">
        <f t="array" ref="N2001">IFERROR(IF(N1981="Chemical",(10^(INDEX(Antoines,MATCH(N1980,Antoine_Name,0),2)-INDEX(Antoines,MATCH(N1980,Antoine_Name,0),3)/(INDEX(Antoines,MATCH(N1980,Antoine_Name,0),4)+(N1990-32)*5/9)))*14.7/760,IF(N1981="Crude Oil",EXP((2799/(N1990+459.6)-2.227)*LOG10(INDEX(FX_Input,AA$5,N$3*$Z$5+$AA$5))-(7261/(N1990+459.6))+12.82),IF(N1981="Refined Petroleum Stock",EXP((0.7553-(413/(N1990+459.6)))*(INDEX(FX_Input,AA$5,N$3*$Z$5+$AA$5-1)^0.5)*LOG10(INDEX(FX_Input,AA$5,N$3*$Z$5+$AA$5))-(1.854-(1042/(N1990+459.6)))*(INDEX(FX_Input,AA$5,N$3*$Z$5+$AA$5-1)^0.5)+((2416/(N1990+459.6)-2.013)*LOG10(INDEX(FX_Input,AA$5,N$3*$Z$5+$AA$5)))-(8742/(N1990+459.6))+15.64),EXP(INDEX(Antoines,MATCH(N1980,Antoine_Name,0),2)-INDEX(Antoines,MATCH(N1980,Antoine_Name,0),3)/(N1990+459.6))))),0)</f>
        <v>5.4845718776011703E-3</v>
      </c>
      <c r="O2001" cm="1">
        <f t="array" ref="O2001">IFERROR(IF(O1981="Chemical",(10^(INDEX(Antoines,MATCH(O1980,Antoine_Name,0),2)-INDEX(Antoines,MATCH(O1980,Antoine_Name,0),3)/(INDEX(Antoines,MATCH(O1980,Antoine_Name,0),4)+(O1990-32)*5/9)))*14.7/760,IF(O1981="Crude Oil",EXP((2799/(O1990+459.6)-2.227)*LOG10(INDEX(FX_Input,AB$5,O$3*$Z$5+$AA$5))-(7261/(O1990+459.6))+12.82),IF(O1981="Refined Petroleum Stock",EXP((0.7553-(413/(O1990+459.6)))*(INDEX(FX_Input,AB$5,O$3*$Z$5+$AA$5-1)^0.5)*LOG10(INDEX(FX_Input,AB$5,O$3*$Z$5+$AA$5))-(1.854-(1042/(O1990+459.6)))*(INDEX(FX_Input,AB$5,O$3*$Z$5+$AA$5-1)^0.5)+((2416/(O1990+459.6)-2.013)*LOG10(INDEX(FX_Input,AB$5,O$3*$Z$5+$AA$5)))-(8742/(O1990+459.6))+15.64),EXP(INDEX(Antoines,MATCH(O1980,Antoine_Name,0),2)-INDEX(Antoines,MATCH(O1980,Antoine_Name,0),3)/(O1990+459.6))))),0)</f>
        <v>4.8161086599927579E-3</v>
      </c>
    </row>
    <row r="2002" spans="1:32" ht="17.149999999999999" x14ac:dyDescent="0.55000000000000004">
      <c r="B2002" t="str">
        <f t="shared" si="7096"/>
        <v>Portland</v>
      </c>
      <c r="C2002" t="s">
        <v>1389</v>
      </c>
      <c r="D2002">
        <f>D2001*D1984</f>
        <v>4.8847213797703236E-3</v>
      </c>
      <c r="E2002">
        <f t="shared" ref="E2002:O2002" si="7103">E2001*E1984</f>
        <v>5.1377970454196883E-3</v>
      </c>
      <c r="F2002">
        <f t="shared" si="7103"/>
        <v>5.5255769197630547E-3</v>
      </c>
      <c r="G2002">
        <f t="shared" si="7103"/>
        <v>6.219119610903932E-3</v>
      </c>
      <c r="H2002">
        <f t="shared" si="7103"/>
        <v>7.430518180814979E-3</v>
      </c>
      <c r="I2002">
        <f t="shared" si="7103"/>
        <v>8.4933610792594406E-3</v>
      </c>
      <c r="J2002">
        <f t="shared" si="7103"/>
        <v>9.5874007696552591E-3</v>
      </c>
      <c r="K2002">
        <f t="shared" si="7103"/>
        <v>9.5593988737869996E-3</v>
      </c>
      <c r="L2002">
        <f t="shared" si="7103"/>
        <v>8.6549593565446326E-3</v>
      </c>
      <c r="M2002">
        <f t="shared" si="7103"/>
        <v>6.8260376495002202E-3</v>
      </c>
      <c r="N2002">
        <f t="shared" si="7103"/>
        <v>5.4845718776011703E-3</v>
      </c>
      <c r="O2002">
        <f t="shared" si="7103"/>
        <v>4.8161086599927579E-3</v>
      </c>
    </row>
    <row r="2003" spans="1:32" ht="17.149999999999999" x14ac:dyDescent="0.55000000000000004">
      <c r="B2003" t="str">
        <f t="shared" si="7096"/>
        <v>Portland</v>
      </c>
      <c r="C2003" t="s">
        <v>1390</v>
      </c>
      <c r="D2003" cm="1">
        <f t="array" ref="D2003">IFERROR(IF(D1983="Chemical",(10^(INDEX(Antoines,MATCH(D1982,Antoine_Name,0),2)-INDEX(Antoines,MATCH(D1982,Antoine_Name,0),3)/(INDEX(Antoines,MATCH(D1982,Antoine_Name,0),4)+(D1990-32)*5/9)))*14.7/760,IF(D1983="Crude Oil",EXP((2799/(D1990+459.6)-2.227)*LOG10(INDEX(FX_Input,Q$5,D$3*$Z$5+$AA$5))-(7261/(D1990+459.6))+12.82),IF(D1983="Refined Petroleum Stock",EXP((0.7553-(413/(D1990+459.6)))*(INDEX(FX_Input,Q$5,D$3*$Z$5+$AA$5-1)^0.5)*LOG10(INDEX(FX_Input,Q$5,D$3*$Z$5+$AA$5))-(1.854-(1042/(D1990+459.6)))*(INDEX(FX_Input,Q$5,D$3*$Z$5+$AA$5-1)^0.5)+((2416/(D1990+459.6)-2.013)*LOG10(INDEX(FX_Input,Q$5,D$3*$Z$5+$AA$5)))-(8742/(D1990+459.6))+15.64),EXP(INDEX(Antoines,MATCH(D1982,Antoine_Name,0),2)-INDEX(Antoines,MATCH(D1982,Antoine_Name,0),3)/(D1990+459.6))))),0)</f>
        <v>0</v>
      </c>
      <c r="E2003" cm="1">
        <f t="array" ref="E2003">IFERROR(IF(E1983="Chemical",(10^(INDEX(Antoines,MATCH(E1982,Antoine_Name,0),2)-INDEX(Antoines,MATCH(E1982,Antoine_Name,0),3)/(INDEX(Antoines,MATCH(E1982,Antoine_Name,0),4)+(E1990-32)*5/9)))*14.7/760,IF(E1983="Crude Oil",EXP((2799/(E1990+459.6)-2.227)*LOG10(INDEX(FX_Input,R$5,E$3*$Z$5+$AA$5))-(7261/(E1990+459.6))+12.82),IF(E1983="Refined Petroleum Stock",EXP((0.7553-(413/(E1990+459.6)))*(INDEX(FX_Input,R$5,E$3*$Z$5+$AA$5-1)^0.5)*LOG10(INDEX(FX_Input,R$5,E$3*$Z$5+$AA$5))-(1.854-(1042/(E1990+459.6)))*(INDEX(FX_Input,R$5,E$3*$Z$5+$AA$5-1)^0.5)+((2416/(E1990+459.6)-2.013)*LOG10(INDEX(FX_Input,R$5,E$3*$Z$5+$AA$5)))-(8742/(E1990+459.6))+15.64),EXP(INDEX(Antoines,MATCH(E1982,Antoine_Name,0),2)-INDEX(Antoines,MATCH(E1982,Antoine_Name,0),3)/(E1990+459.6))))),0)</f>
        <v>0</v>
      </c>
      <c r="F2003" cm="1">
        <f t="array" ref="F2003">IFERROR(IF(F1983="Chemical",(10^(INDEX(Antoines,MATCH(F1982,Antoine_Name,0),2)-INDEX(Antoines,MATCH(F1982,Antoine_Name,0),3)/(INDEX(Antoines,MATCH(F1982,Antoine_Name,0),4)+(F1990-32)*5/9)))*14.7/760,IF(F1983="Crude Oil",EXP((2799/(F1990+459.6)-2.227)*LOG10(INDEX(FX_Input,S$5,F$3*$Z$5+$AA$5))-(7261/(F1990+459.6))+12.82),IF(F1983="Refined Petroleum Stock",EXP((0.7553-(413/(F1990+459.6)))*(INDEX(FX_Input,S$5,F$3*$Z$5+$AA$5-1)^0.5)*LOG10(INDEX(FX_Input,S$5,F$3*$Z$5+$AA$5))-(1.854-(1042/(F1990+459.6)))*(INDEX(FX_Input,S$5,F$3*$Z$5+$AA$5-1)^0.5)+((2416/(F1990+459.6)-2.013)*LOG10(INDEX(FX_Input,S$5,F$3*$Z$5+$AA$5)))-(8742/(F1990+459.6))+15.64),EXP(INDEX(Antoines,MATCH(F1982,Antoine_Name,0),2)-INDEX(Antoines,MATCH(F1982,Antoine_Name,0),3)/(F1990+459.6))))),0)</f>
        <v>0</v>
      </c>
      <c r="G2003" cm="1">
        <f t="array" ref="G2003">IFERROR(IF(G1983="Chemical",(10^(INDEX(Antoines,MATCH(G1982,Antoine_Name,0),2)-INDEX(Antoines,MATCH(G1982,Antoine_Name,0),3)/(INDEX(Antoines,MATCH(G1982,Antoine_Name,0),4)+(G1990-32)*5/9)))*14.7/760,IF(G1983="Crude Oil",EXP((2799/(G1990+459.6)-2.227)*LOG10(INDEX(FX_Input,T$5,G$3*$Z$5+$AA$5))-(7261/(G1990+459.6))+12.82),IF(G1983="Refined Petroleum Stock",EXP((0.7553-(413/(G1990+459.6)))*(INDEX(FX_Input,T$5,G$3*$Z$5+$AA$5-1)^0.5)*LOG10(INDEX(FX_Input,T$5,G$3*$Z$5+$AA$5))-(1.854-(1042/(G1990+459.6)))*(INDEX(FX_Input,T$5,G$3*$Z$5+$AA$5-1)^0.5)+((2416/(G1990+459.6)-2.013)*LOG10(INDEX(FX_Input,T$5,G$3*$Z$5+$AA$5)))-(8742/(G1990+459.6))+15.64),EXP(INDEX(Antoines,MATCH(G1982,Antoine_Name,0),2)-INDEX(Antoines,MATCH(G1982,Antoine_Name,0),3)/(G1990+459.6))))),0)</f>
        <v>0</v>
      </c>
      <c r="H2003" cm="1">
        <f t="array" ref="H2003">IFERROR(IF(H1983="Chemical",(10^(INDEX(Antoines,MATCH(H1982,Antoine_Name,0),2)-INDEX(Antoines,MATCH(H1982,Antoine_Name,0),3)/(INDEX(Antoines,MATCH(H1982,Antoine_Name,0),4)+(H1990-32)*5/9)))*14.7/760,IF(H1983="Crude Oil",EXP((2799/(H1990+459.6)-2.227)*LOG10(INDEX(FX_Input,U$5,H$3*$Z$5+$AA$5))-(7261/(H1990+459.6))+12.82),IF(H1983="Refined Petroleum Stock",EXP((0.7553-(413/(H1990+459.6)))*(INDEX(FX_Input,U$5,H$3*$Z$5+$AA$5-1)^0.5)*LOG10(INDEX(FX_Input,U$5,H$3*$Z$5+$AA$5))-(1.854-(1042/(H1990+459.6)))*(INDEX(FX_Input,U$5,H$3*$Z$5+$AA$5-1)^0.5)+((2416/(H1990+459.6)-2.013)*LOG10(INDEX(FX_Input,U$5,H$3*$Z$5+$AA$5)))-(8742/(H1990+459.6))+15.64),EXP(INDEX(Antoines,MATCH(H1982,Antoine_Name,0),2)-INDEX(Antoines,MATCH(H1982,Antoine_Name,0),3)/(H1990+459.6))))),0)</f>
        <v>0</v>
      </c>
      <c r="I2003" cm="1">
        <f t="array" ref="I2003">IFERROR(IF(I1983="Chemical",(10^(INDEX(Antoines,MATCH(I1982,Antoine_Name,0),2)-INDEX(Antoines,MATCH(I1982,Antoine_Name,0),3)/(INDEX(Antoines,MATCH(I1982,Antoine_Name,0),4)+(I1990-32)*5/9)))*14.7/760,IF(I1983="Crude Oil",EXP((2799/(I1990+459.6)-2.227)*LOG10(INDEX(FX_Input,V$5,I$3*$Z$5+$AA$5))-(7261/(I1990+459.6))+12.82),IF(I1983="Refined Petroleum Stock",EXP((0.7553-(413/(I1990+459.6)))*(INDEX(FX_Input,V$5,I$3*$Z$5+$AA$5-1)^0.5)*LOG10(INDEX(FX_Input,V$5,I$3*$Z$5+$AA$5))-(1.854-(1042/(I1990+459.6)))*(INDEX(FX_Input,V$5,I$3*$Z$5+$AA$5-1)^0.5)+((2416/(I1990+459.6)-2.013)*LOG10(INDEX(FX_Input,V$5,I$3*$Z$5+$AA$5)))-(8742/(I1990+459.6))+15.64),EXP(INDEX(Antoines,MATCH(I1982,Antoine_Name,0),2)-INDEX(Antoines,MATCH(I1982,Antoine_Name,0),3)/(I1990+459.6))))),0)</f>
        <v>0</v>
      </c>
      <c r="J2003" cm="1">
        <f t="array" ref="J2003">IFERROR(IF(J1983="Chemical",(10^(INDEX(Antoines,MATCH(J1982,Antoine_Name,0),2)-INDEX(Antoines,MATCH(J1982,Antoine_Name,0),3)/(INDEX(Antoines,MATCH(J1982,Antoine_Name,0),4)+(J1990-32)*5/9)))*14.7/760,IF(J1983="Crude Oil",EXP((2799/(J1990+459.6)-2.227)*LOG10(INDEX(FX_Input,W$5,J$3*$Z$5+$AA$5))-(7261/(J1990+459.6))+12.82),IF(J1983="Refined Petroleum Stock",EXP((0.7553-(413/(J1990+459.6)))*(INDEX(FX_Input,W$5,J$3*$Z$5+$AA$5-1)^0.5)*LOG10(INDEX(FX_Input,W$5,J$3*$Z$5+$AA$5))-(1.854-(1042/(J1990+459.6)))*(INDEX(FX_Input,W$5,J$3*$Z$5+$AA$5-1)^0.5)+((2416/(J1990+459.6)-2.013)*LOG10(INDEX(FX_Input,W$5,J$3*$Z$5+$AA$5)))-(8742/(J1990+459.6))+15.64),EXP(INDEX(Antoines,MATCH(J1982,Antoine_Name,0),2)-INDEX(Antoines,MATCH(J1982,Antoine_Name,0),3)/(J1990+459.6))))),0)</f>
        <v>0</v>
      </c>
      <c r="K2003" cm="1">
        <f t="array" ref="K2003">IFERROR(IF(K1983="Chemical",(10^(INDEX(Antoines,MATCH(K1982,Antoine_Name,0),2)-INDEX(Antoines,MATCH(K1982,Antoine_Name,0),3)/(INDEX(Antoines,MATCH(K1982,Antoine_Name,0),4)+(K1990-32)*5/9)))*14.7/760,IF(K1983="Crude Oil",EXP((2799/(K1990+459.6)-2.227)*LOG10(INDEX(FX_Input,X$5,K$3*$Z$5+$AA$5))-(7261/(K1990+459.6))+12.82),IF(K1983="Refined Petroleum Stock",EXP((0.7553-(413/(K1990+459.6)))*(INDEX(FX_Input,X$5,K$3*$Z$5+$AA$5-1)^0.5)*LOG10(INDEX(FX_Input,X$5,K$3*$Z$5+$AA$5))-(1.854-(1042/(K1990+459.6)))*(INDEX(FX_Input,X$5,K$3*$Z$5+$AA$5-1)^0.5)+((2416/(K1990+459.6)-2.013)*LOG10(INDEX(FX_Input,X$5,K$3*$Z$5+$AA$5)))-(8742/(K1990+459.6))+15.64),EXP(INDEX(Antoines,MATCH(K1982,Antoine_Name,0),2)-INDEX(Antoines,MATCH(K1982,Antoine_Name,0),3)/(K1990+459.6))))),0)</f>
        <v>0</v>
      </c>
      <c r="L2003" cm="1">
        <f t="array" ref="L2003">IFERROR(IF(L1983="Chemical",(10^(INDEX(Antoines,MATCH(L1982,Antoine_Name,0),2)-INDEX(Antoines,MATCH(L1982,Antoine_Name,0),3)/(INDEX(Antoines,MATCH(L1982,Antoine_Name,0),4)+(L1990-32)*5/9)))*14.7/760,IF(L1983="Crude Oil",EXP((2799/(L1990+459.6)-2.227)*LOG10(INDEX(FX_Input,Y$5,L$3*$Z$5+$AA$5))-(7261/(L1990+459.6))+12.82),IF(L1983="Refined Petroleum Stock",EXP((0.7553-(413/(L1990+459.6)))*(INDEX(FX_Input,Y$5,L$3*$Z$5+$AA$5-1)^0.5)*LOG10(INDEX(FX_Input,Y$5,L$3*$Z$5+$AA$5))-(1.854-(1042/(L1990+459.6)))*(INDEX(FX_Input,Y$5,L$3*$Z$5+$AA$5-1)^0.5)+((2416/(L1990+459.6)-2.013)*LOG10(INDEX(FX_Input,Y$5,L$3*$Z$5+$AA$5)))-(8742/(L1990+459.6))+15.64),EXP(INDEX(Antoines,MATCH(L1982,Antoine_Name,0),2)-INDEX(Antoines,MATCH(L1982,Antoine_Name,0),3)/(L1990+459.6))))),0)</f>
        <v>0</v>
      </c>
      <c r="M2003" cm="1">
        <f t="array" ref="M2003">IFERROR(IF(M1983="Chemical",(10^(INDEX(Antoines,MATCH(M1982,Antoine_Name,0),2)-INDEX(Antoines,MATCH(M1982,Antoine_Name,0),3)/(INDEX(Antoines,MATCH(M1982,Antoine_Name,0),4)+(M1990-32)*5/9)))*14.7/760,IF(M1983="Crude Oil",EXP((2799/(M1990+459.6)-2.227)*LOG10(INDEX(FX_Input,Z$5,M$3*$Z$5+$AA$5))-(7261/(M1990+459.6))+12.82),IF(M1983="Refined Petroleum Stock",EXP((0.7553-(413/(M1990+459.6)))*(INDEX(FX_Input,Z$5,M$3*$Z$5+$AA$5-1)^0.5)*LOG10(INDEX(FX_Input,Z$5,M$3*$Z$5+$AA$5))-(1.854-(1042/(M1990+459.6)))*(INDEX(FX_Input,Z$5,M$3*$Z$5+$AA$5-1)^0.5)+((2416/(M1990+459.6)-2.013)*LOG10(INDEX(FX_Input,Z$5,M$3*$Z$5+$AA$5)))-(8742/(M1990+459.6))+15.64),EXP(INDEX(Antoines,MATCH(M1982,Antoine_Name,0),2)-INDEX(Antoines,MATCH(M1982,Antoine_Name,0),3)/(M1990+459.6))))),0)</f>
        <v>0</v>
      </c>
      <c r="N2003" cm="1">
        <f t="array" ref="N2003">IFERROR(IF(N1983="Chemical",(10^(INDEX(Antoines,MATCH(N1982,Antoine_Name,0),2)-INDEX(Antoines,MATCH(N1982,Antoine_Name,0),3)/(INDEX(Antoines,MATCH(N1982,Antoine_Name,0),4)+(N1990-32)*5/9)))*14.7/760,IF(N1983="Crude Oil",EXP((2799/(N1990+459.6)-2.227)*LOG10(INDEX(FX_Input,AA$5,N$3*$Z$5+$AA$5))-(7261/(N1990+459.6))+12.82),IF(N1983="Refined Petroleum Stock",EXP((0.7553-(413/(N1990+459.6)))*(INDEX(FX_Input,AA$5,N$3*$Z$5+$AA$5-1)^0.5)*LOG10(INDEX(FX_Input,AA$5,N$3*$Z$5+$AA$5))-(1.854-(1042/(N1990+459.6)))*(INDEX(FX_Input,AA$5,N$3*$Z$5+$AA$5-1)^0.5)+((2416/(N1990+459.6)-2.013)*LOG10(INDEX(FX_Input,AA$5,N$3*$Z$5+$AA$5)))-(8742/(N1990+459.6))+15.64),EXP(INDEX(Antoines,MATCH(N1982,Antoine_Name,0),2)-INDEX(Antoines,MATCH(N1982,Antoine_Name,0),3)/(N1990+459.6))))),0)</f>
        <v>0</v>
      </c>
      <c r="O2003" cm="1">
        <f t="array" ref="O2003">IFERROR(IF(O1983="Chemical",(10^(INDEX(Antoines,MATCH(O1982,Antoine_Name,0),2)-INDEX(Antoines,MATCH(O1982,Antoine_Name,0),3)/(INDEX(Antoines,MATCH(O1982,Antoine_Name,0),4)+(O1990-32)*5/9)))*14.7/760,IF(O1983="Crude Oil",EXP((2799/(O1990+459.6)-2.227)*LOG10(INDEX(FX_Input,AB$5,O$3*$Z$5+$AA$5))-(7261/(O1990+459.6))+12.82),IF(O1983="Refined Petroleum Stock",EXP((0.7553-(413/(O1990+459.6)))*(INDEX(FX_Input,AB$5,O$3*$Z$5+$AA$5-1)^0.5)*LOG10(INDEX(FX_Input,AB$5,O$3*$Z$5+$AA$5))-(1.854-(1042/(O1990+459.6)))*(INDEX(FX_Input,AB$5,O$3*$Z$5+$AA$5-1)^0.5)+((2416/(O1990+459.6)-2.013)*LOG10(INDEX(FX_Input,AB$5,O$3*$Z$5+$AA$5)))-(8742/(O1990+459.6))+15.64),EXP(INDEX(Antoines,MATCH(O1982,Antoine_Name,0),2)-INDEX(Antoines,MATCH(O1982,Antoine_Name,0),3)/(O1990+459.6))))),0)</f>
        <v>0</v>
      </c>
    </row>
    <row r="2004" spans="1:32" ht="17.149999999999999" x14ac:dyDescent="0.55000000000000004">
      <c r="B2004" t="str">
        <f t="shared" si="7096"/>
        <v>Portland</v>
      </c>
      <c r="C2004" t="s">
        <v>1391</v>
      </c>
      <c r="D2004">
        <f>D2003*D1986</f>
        <v>0</v>
      </c>
      <c r="E2004">
        <f t="shared" ref="E2004:O2004" si="7104">E2003*E1986</f>
        <v>0</v>
      </c>
      <c r="F2004">
        <f t="shared" si="7104"/>
        <v>0</v>
      </c>
      <c r="G2004">
        <f t="shared" si="7104"/>
        <v>0</v>
      </c>
      <c r="H2004">
        <f t="shared" si="7104"/>
        <v>0</v>
      </c>
      <c r="I2004">
        <f t="shared" si="7104"/>
        <v>0</v>
      </c>
      <c r="J2004">
        <f t="shared" si="7104"/>
        <v>0</v>
      </c>
      <c r="K2004">
        <f t="shared" si="7104"/>
        <v>0</v>
      </c>
      <c r="L2004">
        <f t="shared" si="7104"/>
        <v>0</v>
      </c>
      <c r="M2004">
        <f t="shared" si="7104"/>
        <v>0</v>
      </c>
      <c r="N2004">
        <f t="shared" si="7104"/>
        <v>0</v>
      </c>
      <c r="O2004">
        <f t="shared" si="7104"/>
        <v>0</v>
      </c>
    </row>
    <row r="2005" spans="1:32" ht="17.149999999999999" x14ac:dyDescent="0.55000000000000004">
      <c r="B2005" t="str">
        <f t="shared" si="7096"/>
        <v>Portland</v>
      </c>
      <c r="C2005" t="s">
        <v>1392</v>
      </c>
      <c r="D2005">
        <f>D2002+D2004</f>
        <v>4.8847213797703236E-3</v>
      </c>
      <c r="E2005">
        <f t="shared" ref="E2005:O2005" si="7105">E2002+E2004</f>
        <v>5.1377970454196883E-3</v>
      </c>
      <c r="F2005">
        <f t="shared" si="7105"/>
        <v>5.5255769197630547E-3</v>
      </c>
      <c r="G2005">
        <f t="shared" si="7105"/>
        <v>6.219119610903932E-3</v>
      </c>
      <c r="H2005">
        <f t="shared" si="7105"/>
        <v>7.430518180814979E-3</v>
      </c>
      <c r="I2005">
        <f t="shared" si="7105"/>
        <v>8.4933610792594406E-3</v>
      </c>
      <c r="J2005">
        <f t="shared" si="7105"/>
        <v>9.5874007696552591E-3</v>
      </c>
      <c r="K2005">
        <f t="shared" si="7105"/>
        <v>9.5593988737869996E-3</v>
      </c>
      <c r="L2005">
        <f t="shared" si="7105"/>
        <v>8.6549593565446326E-3</v>
      </c>
      <c r="M2005">
        <f t="shared" si="7105"/>
        <v>6.8260376495002202E-3</v>
      </c>
      <c r="N2005">
        <f t="shared" si="7105"/>
        <v>5.4845718776011703E-3</v>
      </c>
      <c r="O2005">
        <f t="shared" si="7105"/>
        <v>4.8161086599927579E-3</v>
      </c>
    </row>
    <row r="2006" spans="1:32" ht="17.149999999999999" x14ac:dyDescent="0.55000000000000004">
      <c r="B2006" t="str">
        <f>B2000</f>
        <v>Portland</v>
      </c>
      <c r="C2006" t="s">
        <v>584</v>
      </c>
      <c r="D2006">
        <f>D2002/D2005</f>
        <v>1</v>
      </c>
      <c r="E2006">
        <f t="shared" ref="E2006:O2006" si="7106">E2002/E2005</f>
        <v>1</v>
      </c>
      <c r="F2006">
        <f t="shared" si="7106"/>
        <v>1</v>
      </c>
      <c r="G2006">
        <f t="shared" si="7106"/>
        <v>1</v>
      </c>
      <c r="H2006">
        <f t="shared" si="7106"/>
        <v>1</v>
      </c>
      <c r="I2006">
        <f t="shared" si="7106"/>
        <v>1</v>
      </c>
      <c r="J2006">
        <f t="shared" si="7106"/>
        <v>1</v>
      </c>
      <c r="K2006">
        <f t="shared" si="7106"/>
        <v>1</v>
      </c>
      <c r="L2006">
        <f t="shared" si="7106"/>
        <v>1</v>
      </c>
      <c r="M2006">
        <f t="shared" si="7106"/>
        <v>1</v>
      </c>
      <c r="N2006">
        <f t="shared" si="7106"/>
        <v>1</v>
      </c>
      <c r="O2006">
        <f t="shared" si="7106"/>
        <v>1</v>
      </c>
    </row>
    <row r="2007" spans="1:32" ht="17.149999999999999" x14ac:dyDescent="0.55000000000000004">
      <c r="B2007" t="str">
        <f>B2001</f>
        <v>Portland</v>
      </c>
      <c r="C2007" t="s">
        <v>585</v>
      </c>
      <c r="D2007">
        <f t="shared" ref="D2007:O2007" si="7107">INDEX(Phys_Prop,MATCH(D1980,Chem_List,0),3)</f>
        <v>130</v>
      </c>
      <c r="E2007">
        <f t="shared" si="7107"/>
        <v>130</v>
      </c>
      <c r="F2007">
        <f t="shared" si="7107"/>
        <v>130</v>
      </c>
      <c r="G2007">
        <f t="shared" si="7107"/>
        <v>130</v>
      </c>
      <c r="H2007">
        <f t="shared" si="7107"/>
        <v>130</v>
      </c>
      <c r="I2007">
        <f t="shared" si="7107"/>
        <v>130</v>
      </c>
      <c r="J2007">
        <f t="shared" si="7107"/>
        <v>130</v>
      </c>
      <c r="K2007">
        <f t="shared" si="7107"/>
        <v>130</v>
      </c>
      <c r="L2007">
        <f t="shared" si="7107"/>
        <v>130</v>
      </c>
      <c r="M2007">
        <f t="shared" si="7107"/>
        <v>130</v>
      </c>
      <c r="N2007">
        <f t="shared" si="7107"/>
        <v>130</v>
      </c>
      <c r="O2007">
        <f t="shared" si="7107"/>
        <v>130</v>
      </c>
    </row>
    <row r="2008" spans="1:32" ht="17.149999999999999" x14ac:dyDescent="0.55000000000000004">
      <c r="B2008" t="str">
        <f>B2007</f>
        <v>Portland</v>
      </c>
      <c r="C2008" t="s">
        <v>586</v>
      </c>
      <c r="D2008">
        <f>D2004/D2005</f>
        <v>0</v>
      </c>
      <c r="E2008">
        <f t="shared" ref="E2008:O2008" si="7108">E2004/E2005</f>
        <v>0</v>
      </c>
      <c r="F2008">
        <f t="shared" si="7108"/>
        <v>0</v>
      </c>
      <c r="G2008">
        <f t="shared" si="7108"/>
        <v>0</v>
      </c>
      <c r="H2008">
        <f t="shared" si="7108"/>
        <v>0</v>
      </c>
      <c r="I2008">
        <f t="shared" si="7108"/>
        <v>0</v>
      </c>
      <c r="J2008">
        <f t="shared" si="7108"/>
        <v>0</v>
      </c>
      <c r="K2008">
        <f t="shared" si="7108"/>
        <v>0</v>
      </c>
      <c r="L2008">
        <f t="shared" si="7108"/>
        <v>0</v>
      </c>
      <c r="M2008">
        <f t="shared" si="7108"/>
        <v>0</v>
      </c>
      <c r="N2008">
        <f t="shared" si="7108"/>
        <v>0</v>
      </c>
      <c r="O2008">
        <f t="shared" si="7108"/>
        <v>0</v>
      </c>
    </row>
    <row r="2009" spans="1:32" ht="17.149999999999999" x14ac:dyDescent="0.55000000000000004">
      <c r="B2009" t="str">
        <f t="shared" si="7096"/>
        <v>Portland</v>
      </c>
      <c r="C2009" t="s">
        <v>587</v>
      </c>
      <c r="D2009">
        <f t="shared" ref="D2009:O2009" si="7109">IFERROR(INDEX(Phys_Prop,MATCH(D1982,Chem_List,0),3),0)</f>
        <v>0</v>
      </c>
      <c r="E2009">
        <f t="shared" si="7109"/>
        <v>0</v>
      </c>
      <c r="F2009">
        <f t="shared" si="7109"/>
        <v>0</v>
      </c>
      <c r="G2009">
        <f t="shared" si="7109"/>
        <v>0</v>
      </c>
      <c r="H2009">
        <f t="shared" si="7109"/>
        <v>0</v>
      </c>
      <c r="I2009">
        <f t="shared" si="7109"/>
        <v>0</v>
      </c>
      <c r="J2009">
        <f t="shared" si="7109"/>
        <v>0</v>
      </c>
      <c r="K2009">
        <f t="shared" si="7109"/>
        <v>0</v>
      </c>
      <c r="L2009">
        <f t="shared" si="7109"/>
        <v>0</v>
      </c>
      <c r="M2009">
        <f t="shared" si="7109"/>
        <v>0</v>
      </c>
      <c r="N2009">
        <f t="shared" si="7109"/>
        <v>0</v>
      </c>
      <c r="O2009">
        <f t="shared" si="7109"/>
        <v>0</v>
      </c>
    </row>
    <row r="2010" spans="1:32" ht="17.149999999999999" x14ac:dyDescent="0.55000000000000004">
      <c r="A2010" s="11"/>
      <c r="B2010" s="11" t="str">
        <f t="shared" si="7096"/>
        <v>Portland</v>
      </c>
      <c r="C2010" s="11" t="s">
        <v>588</v>
      </c>
      <c r="D2010" s="11">
        <f>IFERROR(D2006*D2007+D2008*D2009,0)</f>
        <v>130</v>
      </c>
      <c r="E2010" s="11">
        <f t="shared" ref="E2010:O2010" si="7110">IFERROR(E2006*E2007+E2008*E2009,0)</f>
        <v>130</v>
      </c>
      <c r="F2010" s="11">
        <f t="shared" si="7110"/>
        <v>130</v>
      </c>
      <c r="G2010" s="11">
        <f t="shared" si="7110"/>
        <v>130</v>
      </c>
      <c r="H2010" s="11">
        <f t="shared" si="7110"/>
        <v>130</v>
      </c>
      <c r="I2010" s="11">
        <f t="shared" si="7110"/>
        <v>130</v>
      </c>
      <c r="J2010" s="11">
        <f t="shared" si="7110"/>
        <v>130</v>
      </c>
      <c r="K2010" s="11">
        <f t="shared" si="7110"/>
        <v>130</v>
      </c>
      <c r="L2010" s="11">
        <f t="shared" si="7110"/>
        <v>130</v>
      </c>
      <c r="M2010" s="11">
        <f t="shared" si="7110"/>
        <v>130</v>
      </c>
      <c r="N2010" s="11">
        <f t="shared" si="7110"/>
        <v>130</v>
      </c>
      <c r="O2010" s="11">
        <f t="shared" si="7110"/>
        <v>130</v>
      </c>
      <c r="P2010" s="11"/>
      <c r="Q2010" s="11"/>
      <c r="R2010" s="11"/>
      <c r="S2010" s="11"/>
      <c r="T2010" s="11"/>
      <c r="U2010" s="11"/>
      <c r="V2010" s="11"/>
      <c r="W2010" s="11"/>
      <c r="X2010" s="11"/>
      <c r="Y2010" s="11"/>
      <c r="Z2010" s="11"/>
      <c r="AA2010" s="11"/>
      <c r="AB2010" s="11"/>
      <c r="AC2010" s="11"/>
      <c r="AD2010" s="11"/>
      <c r="AE2010" s="11"/>
      <c r="AF2010" s="11"/>
    </row>
    <row r="2011" spans="1:32" ht="17.149999999999999" x14ac:dyDescent="0.55000000000000004">
      <c r="A2011" t="str" cm="1">
        <f t="array" ref="A2011">INDEX(FX_Input,$Q2011,R$5)</f>
        <v>FX - 60</v>
      </c>
      <c r="B2011" t="str" cm="1">
        <f t="array" ref="B2011">INDEX(FX_Input,Q2011,S2011)</f>
        <v>Portland</v>
      </c>
      <c r="C2011" t="s">
        <v>563</v>
      </c>
      <c r="D2011">
        <v>14.7</v>
      </c>
      <c r="E2011">
        <v>14.7</v>
      </c>
      <c r="F2011">
        <v>14.7</v>
      </c>
      <c r="G2011">
        <v>14.7</v>
      </c>
      <c r="H2011">
        <v>14.7</v>
      </c>
      <c r="I2011">
        <v>14.7</v>
      </c>
      <c r="J2011">
        <v>14.7</v>
      </c>
      <c r="K2011">
        <v>14.7</v>
      </c>
      <c r="L2011">
        <v>14.7</v>
      </c>
      <c r="M2011">
        <v>14.7</v>
      </c>
      <c r="N2011">
        <v>14.7</v>
      </c>
      <c r="O2011">
        <v>14.7</v>
      </c>
      <c r="Q2011">
        <f>Q1977+2</f>
        <v>119</v>
      </c>
      <c r="R2011">
        <v>1</v>
      </c>
      <c r="S2011">
        <v>3</v>
      </c>
      <c r="T2011">
        <v>1</v>
      </c>
      <c r="U2011">
        <v>19</v>
      </c>
      <c r="V2011">
        <v>20</v>
      </c>
      <c r="W2011">
        <v>25</v>
      </c>
      <c r="X2011">
        <v>1</v>
      </c>
      <c r="Y2011">
        <v>2</v>
      </c>
      <c r="Z2011">
        <f>(W2011-V2011)/(Y2011-X2011)</f>
        <v>5</v>
      </c>
      <c r="AA2011">
        <f>V2011-Z2011*X2011</f>
        <v>15</v>
      </c>
      <c r="AD2011">
        <f>AD1977+14</f>
        <v>827</v>
      </c>
      <c r="AF2011">
        <f>AF1977+14</f>
        <v>827</v>
      </c>
    </row>
    <row r="2012" spans="1:32" ht="17.149999999999999" x14ac:dyDescent="0.55000000000000004">
      <c r="B2012" t="str">
        <f t="shared" ref="B2012" si="7111">B2011</f>
        <v>Portland</v>
      </c>
      <c r="C2012" t="s">
        <v>564</v>
      </c>
      <c r="D2012" cm="1">
        <f t="array" ref="D2012">IF(ISBLANK(INDEX(FX_Input,$Q2011,$AB2012)),0.03,INDEX(FX_Input,Q2011,AB2012))</f>
        <v>0.03</v>
      </c>
      <c r="E2012" cm="1">
        <f t="array" ref="E2012">IF(ISBLANK(INDEX(FX_Input,$Q2011,$AB2012)),0.03,INDEX(FX_Input,R2011,#REF!))</f>
        <v>0.03</v>
      </c>
      <c r="F2012" cm="1">
        <f t="array" ref="F2012">IF(ISBLANK(INDEX(FX_Input,$Q2011,$AB2012)),0.03,INDEX(FX_Input,S2011,#REF!))</f>
        <v>0.03</v>
      </c>
      <c r="G2012" cm="1">
        <f t="array" ref="G2012">IF(ISBLANK(INDEX(FX_Input,$Q2011,$AB2012)),0.03,INDEX(FX_Input,AB2011,#REF!))</f>
        <v>0.03</v>
      </c>
      <c r="H2012" cm="1">
        <f t="array" ref="H2012">IF(ISBLANK(INDEX(FX_Input,$Q2011,$AB2012)),0.03,INDEX(FX_Input,#REF!,#REF!))</f>
        <v>0.03</v>
      </c>
      <c r="I2012" cm="1">
        <f t="array" ref="I2012">IF(ISBLANK(INDEX(FX_Input,$Q2011,$AB2012)),0.03,INDEX(FX_Input,#REF!,#REF!))</f>
        <v>0.03</v>
      </c>
      <c r="J2012" cm="1">
        <f t="array" ref="J2012">IF(ISBLANK(INDEX(FX_Input,$Q2011,$AB2012)),0.03,INDEX(FX_Input,#REF!,#REF!))</f>
        <v>0.03</v>
      </c>
      <c r="K2012" cm="1">
        <f t="array" ref="K2012">IF(ISBLANK(INDEX(FX_Input,$Q2011,$AB2012)),0.03,INDEX(FX_Input,#REF!,AC2012))</f>
        <v>0.03</v>
      </c>
      <c r="L2012" cm="1">
        <f t="array" ref="L2012">IF(ISBLANK(INDEX(FX_Input,$Q2011,$AB2012)),0.03,INDEX(FX_Input,#REF!,AD2012))</f>
        <v>0.03</v>
      </c>
      <c r="M2012" cm="1">
        <f t="array" ref="M2012">IF(ISBLANK(INDEX(FX_Input,$Q2011,$AB2012)),0.03,INDEX(FX_Input,#REF!,#REF!))</f>
        <v>0.03</v>
      </c>
      <c r="N2012" cm="1">
        <f t="array" ref="N2012">IF(ISBLANK(INDEX(FX_Input,$Q2011,$AB2012)),0.03,INDEX(FX_Input,AC2011,#REF!))</f>
        <v>0.03</v>
      </c>
      <c r="O2012" cm="1">
        <f t="array" ref="O2012">IF(ISBLANK(INDEX(FX_Input,$Q2011,$AB2012)),0.03,INDEX(FX_Input,AD2011,#REF!))</f>
        <v>0.03</v>
      </c>
      <c r="AB2012">
        <v>15</v>
      </c>
    </row>
    <row r="2013" spans="1:32" ht="17.149999999999999" x14ac:dyDescent="0.55000000000000004">
      <c r="B2013" t="str">
        <f>B2012</f>
        <v>Portland</v>
      </c>
      <c r="C2013" t="s">
        <v>565</v>
      </c>
      <c r="D2013" cm="1">
        <f t="array" ref="D2013">IF(ISBLANK(INDEX(FX_Input,$Q2011,$AB2013)),-0.03,INDEX(FX_Input,Q2011,AB2013))</f>
        <v>-0.03</v>
      </c>
      <c r="E2013" cm="1">
        <f t="array" ref="E2013">IF(ISBLANK(INDEX(FX_Input,$Q2011,$AB2013)),-0.03,INDEX(FX_Input,R2011,#REF!))</f>
        <v>-0.03</v>
      </c>
      <c r="F2013" cm="1">
        <f t="array" ref="F2013">IF(ISBLANK(INDEX(FX_Input,$Q2011,$AB2013)),-0.03,INDEX(FX_Input,S2011,#REF!))</f>
        <v>-0.03</v>
      </c>
      <c r="G2013" cm="1">
        <f t="array" ref="G2013">IF(ISBLANK(INDEX(FX_Input,$Q2011,$AB2013)),-0.03,INDEX(FX_Input,AB2011,#REF!))</f>
        <v>-0.03</v>
      </c>
      <c r="H2013" cm="1">
        <f t="array" ref="H2013">IF(ISBLANK(INDEX(FX_Input,$Q2011,$AB2013)),-0.03,INDEX(FX_Input,#REF!,#REF!))</f>
        <v>-0.03</v>
      </c>
      <c r="I2013" cm="1">
        <f t="array" ref="I2013">IF(ISBLANK(INDEX(FX_Input,$Q2011,$AB2013)),-0.03,INDEX(FX_Input,#REF!,#REF!))</f>
        <v>-0.03</v>
      </c>
      <c r="J2013" cm="1">
        <f t="array" ref="J2013">IF(ISBLANK(INDEX(FX_Input,$Q2011,$AB2013)),-0.03,INDEX(FX_Input,#REF!,#REF!))</f>
        <v>-0.03</v>
      </c>
      <c r="K2013" cm="1">
        <f t="array" ref="K2013">IF(ISBLANK(INDEX(FX_Input,$Q2011,$AB2013)),-0.03,INDEX(FX_Input,#REF!,AC2013))</f>
        <v>-0.03</v>
      </c>
      <c r="L2013" cm="1">
        <f t="array" ref="L2013">IF(ISBLANK(INDEX(FX_Input,$Q2011,$AB2013)),-0.03,INDEX(FX_Input,#REF!,AD2013))</f>
        <v>-0.03</v>
      </c>
      <c r="M2013" cm="1">
        <f t="array" ref="M2013">IF(ISBLANK(INDEX(FX_Input,$Q2011,$AB2013)),-0.03,INDEX(FX_Input,#REF!,#REF!))</f>
        <v>-0.03</v>
      </c>
      <c r="N2013" cm="1">
        <f t="array" ref="N2013">IF(ISBLANK(INDEX(FX_Input,$Q2011,$AB2013)),-0.03,INDEX(FX_Input,AC2011,#REF!))</f>
        <v>-0.03</v>
      </c>
      <c r="O2013" cm="1">
        <f t="array" ref="O2013">IF(ISBLANK(INDEX(FX_Input,$Q2011,$AB2013)),-0.03,INDEX(FX_Input,AD2011,#REF!))</f>
        <v>-0.03</v>
      </c>
      <c r="AB2013">
        <v>16</v>
      </c>
    </row>
    <row r="2014" spans="1:32" x14ac:dyDescent="0.4">
      <c r="B2014" t="str">
        <f t="shared" ref="B2014:B2015" si="7112">B2013</f>
        <v>Portland</v>
      </c>
      <c r="C2014" s="66" t="s">
        <v>567</v>
      </c>
      <c r="D2014" t="str" cm="1">
        <f t="array" ref="D2014">INDEX(FX_Multi,$AD2014,D$3)</f>
        <v>Jet kerosene</v>
      </c>
      <c r="E2014" t="str" cm="1">
        <f t="array" ref="E2014">INDEX(FX_Multi,$AD2014,E$3)</f>
        <v>Jet kerosene</v>
      </c>
      <c r="F2014" t="str" cm="1">
        <f t="array" ref="F2014">INDEX(FX_Multi,$AD2014,F$3)</f>
        <v>Jet kerosene</v>
      </c>
      <c r="G2014" t="str" cm="1">
        <f t="array" ref="G2014">INDEX(FX_Multi,$AD2014,G$3)</f>
        <v>Jet kerosene</v>
      </c>
      <c r="H2014" t="str" cm="1">
        <f t="array" ref="H2014">INDEX(FX_Multi,$AD2014,H$3)</f>
        <v>Jet kerosene</v>
      </c>
      <c r="I2014" t="str" cm="1">
        <f t="array" ref="I2014">INDEX(FX_Multi,$AD2014,I$3)</f>
        <v>Jet kerosene</v>
      </c>
      <c r="J2014" t="str" cm="1">
        <f t="array" ref="J2014">INDEX(FX_Multi,$AD2014,J$3)</f>
        <v>Jet kerosene</v>
      </c>
      <c r="K2014" t="str" cm="1">
        <f t="array" ref="K2014">INDEX(FX_Multi,$AD2014,K$3)</f>
        <v>Jet kerosene</v>
      </c>
      <c r="L2014" t="str" cm="1">
        <f t="array" ref="L2014">INDEX(FX_Multi,$AD2014,L$3)</f>
        <v>Jet kerosene</v>
      </c>
      <c r="M2014" t="str" cm="1">
        <f t="array" ref="M2014">INDEX(FX_Multi,$AD2014,M$3)</f>
        <v>Jet kerosene</v>
      </c>
      <c r="N2014" t="str" cm="1">
        <f t="array" ref="N2014">INDEX(FX_Multi,$AD2014,N$3)</f>
        <v>Jet kerosene</v>
      </c>
      <c r="O2014" t="str" cm="1">
        <f t="array" ref="O2014">INDEX(FX_Multi,$AD2014,O$3)</f>
        <v>Jet kerosene</v>
      </c>
      <c r="AC2014">
        <v>1</v>
      </c>
      <c r="AD2014">
        <f>AD2011</f>
        <v>827</v>
      </c>
      <c r="AE2014">
        <v>1</v>
      </c>
      <c r="AF2014">
        <f>AF2011</f>
        <v>827</v>
      </c>
    </row>
    <row r="2015" spans="1:32" x14ac:dyDescent="0.4">
      <c r="B2015" t="str">
        <f t="shared" si="7112"/>
        <v>Portland</v>
      </c>
      <c r="C2015" s="66" t="s">
        <v>566</v>
      </c>
      <c r="D2015" t="str" cm="1">
        <f t="array" ref="D2015">INDEX(FX_Multi,$AD2015,D$3)</f>
        <v>Select Pet Stock</v>
      </c>
      <c r="E2015" t="str" cm="1">
        <f t="array" ref="E2015">INDEX(FX_Multi,$AD2015,E$3)</f>
        <v>Select Pet Stock</v>
      </c>
      <c r="F2015" t="str" cm="1">
        <f t="array" ref="F2015">INDEX(FX_Multi,$AD2015,F$3)</f>
        <v>Select Pet Stock</v>
      </c>
      <c r="G2015" t="str" cm="1">
        <f t="array" ref="G2015">INDEX(FX_Multi,$AD2015,G$3)</f>
        <v>Select Pet Stock</v>
      </c>
      <c r="H2015" t="str" cm="1">
        <f t="array" ref="H2015">INDEX(FX_Multi,$AD2015,H$3)</f>
        <v>Select Pet Stock</v>
      </c>
      <c r="I2015" t="str" cm="1">
        <f t="array" ref="I2015">INDEX(FX_Multi,$AD2015,I$3)</f>
        <v>Select Pet Stock</v>
      </c>
      <c r="J2015" t="str" cm="1">
        <f t="array" ref="J2015">INDEX(FX_Multi,$AD2015,J$3)</f>
        <v>Select Pet Stock</v>
      </c>
      <c r="K2015" t="str" cm="1">
        <f t="array" ref="K2015">INDEX(FX_Multi,$AD2015,K$3)</f>
        <v>Select Pet Stock</v>
      </c>
      <c r="L2015" t="str" cm="1">
        <f t="array" ref="L2015">INDEX(FX_Multi,$AD2015,L$3)</f>
        <v>Select Pet Stock</v>
      </c>
      <c r="M2015" t="str" cm="1">
        <f t="array" ref="M2015">INDEX(FX_Multi,$AD2015,M$3)</f>
        <v>Select Pet Stock</v>
      </c>
      <c r="N2015" t="str" cm="1">
        <f t="array" ref="N2015">INDEX(FX_Multi,$AD2015,N$3)</f>
        <v>Select Pet Stock</v>
      </c>
      <c r="O2015" t="str" cm="1">
        <f t="array" ref="O2015">INDEX(FX_Multi,$AD2015,O$3)</f>
        <v>Select Pet Stock</v>
      </c>
      <c r="AC2015">
        <v>1</v>
      </c>
      <c r="AD2015">
        <f>AD2014+2</f>
        <v>829</v>
      </c>
      <c r="AE2015">
        <v>1</v>
      </c>
      <c r="AF2015">
        <f>AF2014+3</f>
        <v>830</v>
      </c>
    </row>
    <row r="2016" spans="1:32" x14ac:dyDescent="0.4">
      <c r="B2016" t="str">
        <f>B2012</f>
        <v>Portland</v>
      </c>
      <c r="C2016" s="66" t="s">
        <v>568</v>
      </c>
      <c r="D2016" cm="1">
        <f t="array" ref="D2016">INDEX(FX_Multi,$AD2016,D$3)</f>
        <v>0</v>
      </c>
      <c r="E2016" cm="1">
        <f t="array" ref="E2016">INDEX(FX_Multi,$AD2016,E$3)</f>
        <v>0</v>
      </c>
      <c r="F2016" cm="1">
        <f t="array" ref="F2016">INDEX(FX_Multi,$AD2016,F$3)</f>
        <v>0</v>
      </c>
      <c r="G2016" cm="1">
        <f t="array" ref="G2016">INDEX(FX_Multi,$AD2016,G$3)</f>
        <v>0</v>
      </c>
      <c r="H2016" cm="1">
        <f t="array" ref="H2016">INDEX(FX_Multi,$AD2016,H$3)</f>
        <v>0</v>
      </c>
      <c r="I2016" cm="1">
        <f t="array" ref="I2016">INDEX(FX_Multi,$AD2016,I$3)</f>
        <v>0</v>
      </c>
      <c r="J2016" cm="1">
        <f t="array" ref="J2016">INDEX(FX_Multi,$AD2016,J$3)</f>
        <v>0</v>
      </c>
      <c r="K2016" cm="1">
        <f t="array" ref="K2016">INDEX(FX_Multi,$AD2016,K$3)</f>
        <v>0</v>
      </c>
      <c r="L2016" cm="1">
        <f t="array" ref="L2016">INDEX(FX_Multi,$AD2016,L$3)</f>
        <v>0</v>
      </c>
      <c r="M2016" cm="1">
        <f t="array" ref="M2016">INDEX(FX_Multi,$AD2016,M$3)</f>
        <v>0</v>
      </c>
      <c r="N2016" cm="1">
        <f t="array" ref="N2016">INDEX(FX_Multi,$AD2016,N$3)</f>
        <v>0</v>
      </c>
      <c r="O2016" cm="1">
        <f t="array" ref="O2016">INDEX(FX_Multi,$AD2016,O$3)</f>
        <v>0</v>
      </c>
      <c r="AC2016">
        <v>1</v>
      </c>
      <c r="AD2016">
        <f>AD2015-1</f>
        <v>828</v>
      </c>
      <c r="AE2016">
        <v>1</v>
      </c>
      <c r="AF2016">
        <f>AF2014+1</f>
        <v>828</v>
      </c>
    </row>
    <row r="2017" spans="2:32" x14ac:dyDescent="0.4">
      <c r="B2017" t="str">
        <f t="shared" ref="B2017:B2021" si="7113">B2016</f>
        <v>Portland</v>
      </c>
      <c r="C2017" s="66" t="s">
        <v>569</v>
      </c>
      <c r="D2017" cm="1">
        <f t="array" ref="D2017">INDEX(FX_Multi,$AD2017,D$3)</f>
        <v>0</v>
      </c>
      <c r="E2017" cm="1">
        <f t="array" ref="E2017">INDEX(FX_Multi,$AD2017,E$3)</f>
        <v>0</v>
      </c>
      <c r="F2017" cm="1">
        <f t="array" ref="F2017">INDEX(FX_Multi,$AD2017,F$3)</f>
        <v>0</v>
      </c>
      <c r="G2017" cm="1">
        <f t="array" ref="G2017">INDEX(FX_Multi,$AD2017,G$3)</f>
        <v>0</v>
      </c>
      <c r="H2017" cm="1">
        <f t="array" ref="H2017">INDEX(FX_Multi,$AD2017,H$3)</f>
        <v>0</v>
      </c>
      <c r="I2017" cm="1">
        <f t="array" ref="I2017">INDEX(FX_Multi,$AD2017,I$3)</f>
        <v>0</v>
      </c>
      <c r="J2017" cm="1">
        <f t="array" ref="J2017">INDEX(FX_Multi,$AD2017,J$3)</f>
        <v>0</v>
      </c>
      <c r="K2017" cm="1">
        <f t="array" ref="K2017">INDEX(FX_Multi,$AD2017,K$3)</f>
        <v>0</v>
      </c>
      <c r="L2017" cm="1">
        <f t="array" ref="L2017">INDEX(FX_Multi,$AD2017,L$3)</f>
        <v>0</v>
      </c>
      <c r="M2017" cm="1">
        <f t="array" ref="M2017">INDEX(FX_Multi,$AD2017,M$3)</f>
        <v>0</v>
      </c>
      <c r="N2017" cm="1">
        <f t="array" ref="N2017">INDEX(FX_Multi,$AD2017,N$3)</f>
        <v>0</v>
      </c>
      <c r="O2017" cm="1">
        <f t="array" ref="O2017">INDEX(FX_Multi,$AD2017,O$3)</f>
        <v>0</v>
      </c>
      <c r="AC2017">
        <v>1</v>
      </c>
      <c r="AD2017">
        <f>AD2016+2</f>
        <v>830</v>
      </c>
      <c r="AE2017">
        <v>1</v>
      </c>
      <c r="AF2017">
        <f>AF2015</f>
        <v>830</v>
      </c>
    </row>
    <row r="2018" spans="2:32" ht="17.149999999999999" x14ac:dyDescent="0.55000000000000004">
      <c r="B2018" t="str">
        <f t="shared" si="7113"/>
        <v>Portland</v>
      </c>
      <c r="C2018" t="s">
        <v>570</v>
      </c>
      <c r="D2018" cm="1">
        <f t="array" ref="D2018">INDEX(FX_Multi,$AD2018,D$3)</f>
        <v>1</v>
      </c>
      <c r="E2018" cm="1">
        <f t="array" ref="E2018">INDEX(FX_Multi,$AD2018,E$3)</f>
        <v>1</v>
      </c>
      <c r="F2018" cm="1">
        <f t="array" ref="F2018">INDEX(FX_Multi,$AD2018,F$3)</f>
        <v>1</v>
      </c>
      <c r="G2018" cm="1">
        <f t="array" ref="G2018">INDEX(FX_Multi,$AD2018,G$3)</f>
        <v>1</v>
      </c>
      <c r="H2018" cm="1">
        <f t="array" ref="H2018">INDEX(FX_Multi,$AD2018,H$3)</f>
        <v>1</v>
      </c>
      <c r="I2018" cm="1">
        <f t="array" ref="I2018">INDEX(FX_Multi,$AD2018,I$3)</f>
        <v>1</v>
      </c>
      <c r="J2018" cm="1">
        <f t="array" ref="J2018">INDEX(FX_Multi,$AD2018,J$3)</f>
        <v>1</v>
      </c>
      <c r="K2018" cm="1">
        <f t="array" ref="K2018">INDEX(FX_Multi,$AD2018,K$3)</f>
        <v>1</v>
      </c>
      <c r="L2018" cm="1">
        <f t="array" ref="L2018">INDEX(FX_Multi,$AD2018,L$3)</f>
        <v>1</v>
      </c>
      <c r="M2018" cm="1">
        <f t="array" ref="M2018">INDEX(FX_Multi,$AD2018,M$3)</f>
        <v>1</v>
      </c>
      <c r="N2018" cm="1">
        <f t="array" ref="N2018">INDEX(FX_Multi,$AD2018,N$3)</f>
        <v>1</v>
      </c>
      <c r="O2018" cm="1">
        <f t="array" ref="O2018">INDEX(FX_Multi,$AD2018,O$3)</f>
        <v>1</v>
      </c>
      <c r="AC2018">
        <v>1</v>
      </c>
      <c r="AD2018">
        <f>AD2017+6</f>
        <v>836</v>
      </c>
      <c r="AE2018">
        <v>1</v>
      </c>
      <c r="AF2018">
        <f>AF2014+9</f>
        <v>836</v>
      </c>
    </row>
    <row r="2019" spans="2:32" ht="17.149999999999999" x14ac:dyDescent="0.55000000000000004">
      <c r="B2019" t="str">
        <f t="shared" si="7113"/>
        <v>Portland</v>
      </c>
      <c r="C2019" t="s">
        <v>571</v>
      </c>
      <c r="D2019" cm="1">
        <f t="array" ref="D2019">INDEX(FX_Multi,$AD2019,D$3)</f>
        <v>162</v>
      </c>
      <c r="E2019" cm="1">
        <f t="array" ref="E2019">INDEX(FX_Multi,$AD2019,E$3)</f>
        <v>162</v>
      </c>
      <c r="F2019" cm="1">
        <f t="array" ref="F2019">INDEX(FX_Multi,$AD2019,F$3)</f>
        <v>162</v>
      </c>
      <c r="G2019" cm="1">
        <f t="array" ref="G2019">INDEX(FX_Multi,$AD2019,G$3)</f>
        <v>162</v>
      </c>
      <c r="H2019" cm="1">
        <f t="array" ref="H2019">INDEX(FX_Multi,$AD2019,H$3)</f>
        <v>162</v>
      </c>
      <c r="I2019" cm="1">
        <f t="array" ref="I2019">INDEX(FX_Multi,$AD2019,I$3)</f>
        <v>162</v>
      </c>
      <c r="J2019" cm="1">
        <f t="array" ref="J2019">INDEX(FX_Multi,$AD2019,J$3)</f>
        <v>162</v>
      </c>
      <c r="K2019" cm="1">
        <f t="array" ref="K2019">INDEX(FX_Multi,$AD2019,K$3)</f>
        <v>162</v>
      </c>
      <c r="L2019" cm="1">
        <f t="array" ref="L2019">INDEX(FX_Multi,$AD2019,L$3)</f>
        <v>162</v>
      </c>
      <c r="M2019" cm="1">
        <f t="array" ref="M2019">INDEX(FX_Multi,$AD2019,M$3)</f>
        <v>162</v>
      </c>
      <c r="N2019" cm="1">
        <f t="array" ref="N2019">INDEX(FX_Multi,$AD2019,N$3)</f>
        <v>162</v>
      </c>
      <c r="O2019" cm="1">
        <f t="array" ref="O2019">INDEX(FX_Multi,$AD2019,O$3)</f>
        <v>162</v>
      </c>
      <c r="AC2019">
        <v>1</v>
      </c>
      <c r="AD2019">
        <f>AD2018-3</f>
        <v>833</v>
      </c>
      <c r="AE2019">
        <v>1</v>
      </c>
      <c r="AF2019">
        <f>AF2014+6</f>
        <v>833</v>
      </c>
    </row>
    <row r="2020" spans="2:32" ht="17.149999999999999" x14ac:dyDescent="0.55000000000000004">
      <c r="B2020" t="str">
        <f t="shared" si="7113"/>
        <v>Portland</v>
      </c>
      <c r="C2020" t="s">
        <v>572</v>
      </c>
      <c r="D2020" cm="1">
        <f t="array" ref="D2020">INDEX(FX_Multi,$AD2020,D$3)</f>
        <v>0</v>
      </c>
      <c r="E2020" cm="1">
        <f t="array" ref="E2020">INDEX(FX_Multi,$AD2020,E$3)</f>
        <v>0</v>
      </c>
      <c r="F2020" cm="1">
        <f t="array" ref="F2020">INDEX(FX_Multi,$AD2020,F$3)</f>
        <v>0</v>
      </c>
      <c r="G2020" cm="1">
        <f t="array" ref="G2020">INDEX(FX_Multi,$AD2020,G$3)</f>
        <v>0</v>
      </c>
      <c r="H2020" cm="1">
        <f t="array" ref="H2020">INDEX(FX_Multi,$AD2020,H$3)</f>
        <v>0</v>
      </c>
      <c r="I2020" cm="1">
        <f t="array" ref="I2020">INDEX(FX_Multi,$AD2020,I$3)</f>
        <v>0</v>
      </c>
      <c r="J2020" cm="1">
        <f t="array" ref="J2020">INDEX(FX_Multi,$AD2020,J$3)</f>
        <v>0</v>
      </c>
      <c r="K2020" cm="1">
        <f t="array" ref="K2020">INDEX(FX_Multi,$AD2020,K$3)</f>
        <v>0</v>
      </c>
      <c r="L2020" cm="1">
        <f t="array" ref="L2020">INDEX(FX_Multi,$AD2020,L$3)</f>
        <v>0</v>
      </c>
      <c r="M2020" cm="1">
        <f t="array" ref="M2020">INDEX(FX_Multi,$AD2020,M$3)</f>
        <v>0</v>
      </c>
      <c r="N2020" cm="1">
        <f t="array" ref="N2020">INDEX(FX_Multi,$AD2020,N$3)</f>
        <v>0</v>
      </c>
      <c r="O2020" cm="1">
        <f t="array" ref="O2020">INDEX(FX_Multi,$AD2020,O$3)</f>
        <v>0</v>
      </c>
      <c r="AC2020">
        <v>1</v>
      </c>
      <c r="AD2020">
        <f>AD2019+4</f>
        <v>837</v>
      </c>
      <c r="AE2020">
        <v>1</v>
      </c>
      <c r="AF2020">
        <f>AF2014+10</f>
        <v>837</v>
      </c>
    </row>
    <row r="2021" spans="2:32" ht="17.149999999999999" x14ac:dyDescent="0.55000000000000004">
      <c r="B2021" t="str">
        <f t="shared" si="7113"/>
        <v>Portland</v>
      </c>
      <c r="C2021" t="s">
        <v>573</v>
      </c>
      <c r="D2021" cm="1">
        <f t="array" ref="D2021">INDEX(FX_Multi,$AD2021,D$3)</f>
        <v>0</v>
      </c>
      <c r="E2021" cm="1">
        <f t="array" ref="E2021">INDEX(FX_Multi,$AD2021,E$3)</f>
        <v>0</v>
      </c>
      <c r="F2021" cm="1">
        <f t="array" ref="F2021">INDEX(FX_Multi,$AD2021,F$3)</f>
        <v>0</v>
      </c>
      <c r="G2021" cm="1">
        <f t="array" ref="G2021">INDEX(FX_Multi,$AD2021,G$3)</f>
        <v>0</v>
      </c>
      <c r="H2021" cm="1">
        <f t="array" ref="H2021">INDEX(FX_Multi,$AD2021,H$3)</f>
        <v>0</v>
      </c>
      <c r="I2021" cm="1">
        <f t="array" ref="I2021">INDEX(FX_Multi,$AD2021,I$3)</f>
        <v>0</v>
      </c>
      <c r="J2021" cm="1">
        <f t="array" ref="J2021">INDEX(FX_Multi,$AD2021,J$3)</f>
        <v>0</v>
      </c>
      <c r="K2021" cm="1">
        <f t="array" ref="K2021">INDEX(FX_Multi,$AD2021,K$3)</f>
        <v>0</v>
      </c>
      <c r="L2021" cm="1">
        <f t="array" ref="L2021">INDEX(FX_Multi,$AD2021,L$3)</f>
        <v>0</v>
      </c>
      <c r="M2021" cm="1">
        <f t="array" ref="M2021">INDEX(FX_Multi,$AD2021,M$3)</f>
        <v>0</v>
      </c>
      <c r="N2021" cm="1">
        <f t="array" ref="N2021">INDEX(FX_Multi,$AD2021,N$3)</f>
        <v>0</v>
      </c>
      <c r="O2021" cm="1">
        <f t="array" ref="O2021">INDEX(FX_Multi,$AD2021,O$3)</f>
        <v>0</v>
      </c>
      <c r="AC2021">
        <v>1</v>
      </c>
      <c r="AD2021">
        <f>AD2020-3</f>
        <v>834</v>
      </c>
      <c r="AE2021">
        <v>1</v>
      </c>
      <c r="AF2021">
        <f>AF2014+7</f>
        <v>834</v>
      </c>
    </row>
    <row r="2022" spans="2:32" ht="17.149999999999999" x14ac:dyDescent="0.55000000000000004">
      <c r="B2022" t="str">
        <f>B2017</f>
        <v>Portland</v>
      </c>
      <c r="C2022" t="s">
        <v>526</v>
      </c>
      <c r="D2022" cm="1">
        <f t="array" ref="D2022">INDEX(FX_Temps,$AF2022,D$3)</f>
        <v>44.328749999999957</v>
      </c>
      <c r="E2022" cm="1">
        <f t="array" ref="E2022">INDEX(FX_Temps,$AF2022,E$3)</f>
        <v>45.450000000000045</v>
      </c>
      <c r="F2022" cm="1">
        <f t="array" ref="F2022">INDEX(FX_Temps,$AF2022,F$3)</f>
        <v>47.19625000000002</v>
      </c>
      <c r="G2022" cm="1">
        <f t="array" ref="G2022">INDEX(FX_Temps,$AF2022,G$3)</f>
        <v>50.164999999999907</v>
      </c>
      <c r="H2022" cm="1">
        <f t="array" ref="H2022">INDEX(FX_Temps,$AF2022,H$3)</f>
        <v>55.071249999999964</v>
      </c>
      <c r="I2022" cm="1">
        <f t="array" ref="I2022">INDEX(FX_Temps,$AF2022,I$3)</f>
        <v>58.9837500000001</v>
      </c>
      <c r="J2022" cm="1">
        <f t="array" ref="J2022">INDEX(FX_Temps,$AF2022,J$3)</f>
        <v>62.584999999999923</v>
      </c>
      <c r="K2022" cm="1">
        <f t="array" ref="K2022">INDEX(FX_Temps,$AF2022,K$3)</f>
        <v>62.764999999999986</v>
      </c>
      <c r="L2022" cm="1">
        <f t="array" ref="L2022">INDEX(FX_Temps,$AF2022,L$3)</f>
        <v>60.095000000000027</v>
      </c>
      <c r="M2022" cm="1">
        <f t="array" ref="M2022">INDEX(FX_Temps,$AF2022,M$3)</f>
        <v>53.559999999999945</v>
      </c>
      <c r="N2022" cm="1">
        <f t="array" ref="N2022">INDEX(FX_Temps,$AF2022,N$3)</f>
        <v>47.588750000000005</v>
      </c>
      <c r="O2022" cm="1">
        <f t="array" ref="O2022">INDEX(FX_Temps,$AF2022,O$3)</f>
        <v>43.97750000000002</v>
      </c>
      <c r="AE2022">
        <v>1</v>
      </c>
      <c r="AF2022">
        <f>AF2014+10</f>
        <v>837</v>
      </c>
    </row>
    <row r="2023" spans="2:32" ht="17.149999999999999" x14ac:dyDescent="0.55000000000000004">
      <c r="B2023" t="str">
        <f t="shared" ref="B2023:B2044" si="7114">B2022</f>
        <v>Portland</v>
      </c>
      <c r="C2023" t="s">
        <v>527</v>
      </c>
      <c r="D2023" cm="1">
        <f t="array" ref="D2023">INDEX(FX_Temps,$AF2023,D$3)</f>
        <v>44.328749999999957</v>
      </c>
      <c r="E2023" cm="1">
        <f t="array" ref="E2023">INDEX(FX_Temps,$AF2023,E$3)</f>
        <v>45.450000000000045</v>
      </c>
      <c r="F2023" cm="1">
        <f t="array" ref="F2023">INDEX(FX_Temps,$AF2023,F$3)</f>
        <v>47.19625000000002</v>
      </c>
      <c r="G2023" cm="1">
        <f t="array" ref="G2023">INDEX(FX_Temps,$AF2023,G$3)</f>
        <v>50.164999999999907</v>
      </c>
      <c r="H2023" cm="1">
        <f t="array" ref="H2023">INDEX(FX_Temps,$AF2023,H$3)</f>
        <v>55.071249999999964</v>
      </c>
      <c r="I2023" cm="1">
        <f t="array" ref="I2023">INDEX(FX_Temps,$AF2023,I$3)</f>
        <v>58.9837500000001</v>
      </c>
      <c r="J2023" cm="1">
        <f t="array" ref="J2023">INDEX(FX_Temps,$AF2023,J$3)</f>
        <v>62.584999999999923</v>
      </c>
      <c r="K2023" cm="1">
        <f t="array" ref="K2023">INDEX(FX_Temps,$AF2023,K$3)</f>
        <v>62.764999999999986</v>
      </c>
      <c r="L2023" cm="1">
        <f t="array" ref="L2023">INDEX(FX_Temps,$AF2023,L$3)</f>
        <v>60.095000000000027</v>
      </c>
      <c r="M2023" cm="1">
        <f t="array" ref="M2023">INDEX(FX_Temps,$AF2023,M$3)</f>
        <v>53.559999999999945</v>
      </c>
      <c r="N2023" cm="1">
        <f t="array" ref="N2023">INDEX(FX_Temps,$AF2023,N$3)</f>
        <v>47.588750000000005</v>
      </c>
      <c r="O2023" cm="1">
        <f t="array" ref="O2023">INDEX(FX_Temps,$AF2023,O$3)</f>
        <v>43.97750000000002</v>
      </c>
      <c r="AE2023">
        <f>AE2022</f>
        <v>1</v>
      </c>
      <c r="AF2023">
        <f>AF2014+11</f>
        <v>838</v>
      </c>
    </row>
    <row r="2024" spans="2:32" ht="17.149999999999999" x14ac:dyDescent="0.55000000000000004">
      <c r="B2024" t="str">
        <f t="shared" si="7114"/>
        <v>Portland</v>
      </c>
      <c r="C2024" t="s">
        <v>552</v>
      </c>
      <c r="D2024" cm="1">
        <f t="array" ref="D2024">INDEX(FX_Temps,$AF2024,D$3)</f>
        <v>44.757499999999993</v>
      </c>
      <c r="E2024" cm="1">
        <f t="array" ref="E2024">INDEX(FX_Temps,$AF2024,E$3)</f>
        <v>46.200000000000045</v>
      </c>
      <c r="F2024" cm="1">
        <f t="array" ref="F2024">INDEX(FX_Temps,$AF2024,F$3)</f>
        <v>48.292500000000018</v>
      </c>
      <c r="G2024" cm="1">
        <f t="array" ref="G2024">INDEX(FX_Temps,$AF2024,G$3)</f>
        <v>51.729999999999905</v>
      </c>
      <c r="H2024" cm="1">
        <f t="array" ref="H2024">INDEX(FX_Temps,$AF2024,H$3)</f>
        <v>56.99249999999995</v>
      </c>
      <c r="I2024" cm="1">
        <f t="array" ref="I2024">INDEX(FX_Temps,$AF2024,I$3)</f>
        <v>61.017500000000041</v>
      </c>
      <c r="J2024" cm="1">
        <f t="array" ref="J2024">INDEX(FX_Temps,$AF2024,J$3)</f>
        <v>64.719999999999914</v>
      </c>
      <c r="K2024" cm="1">
        <f t="array" ref="K2024">INDEX(FX_Temps,$AF2024,K$3)</f>
        <v>64.63</v>
      </c>
      <c r="L2024" cm="1">
        <f t="array" ref="L2024">INDEX(FX_Temps,$AF2024,L$3)</f>
        <v>61.590000000000032</v>
      </c>
      <c r="M2024" cm="1">
        <f t="array" ref="M2024">INDEX(FX_Temps,$AF2024,M$3)</f>
        <v>54.470000000000027</v>
      </c>
      <c r="N2024" cm="1">
        <f t="array" ref="N2024">INDEX(FX_Temps,$AF2024,N$3)</f>
        <v>48.077500000000043</v>
      </c>
      <c r="O2024" cm="1">
        <f t="array" ref="O2024">INDEX(FX_Temps,$AF2024,O$3)</f>
        <v>44.355000000000018</v>
      </c>
      <c r="AE2024">
        <f>AE2023</f>
        <v>1</v>
      </c>
      <c r="AF2024">
        <f>AF2014+13</f>
        <v>840</v>
      </c>
    </row>
    <row r="2025" spans="2:32" ht="17.149999999999999" x14ac:dyDescent="0.55000000000000004">
      <c r="B2025" t="str">
        <f t="shared" si="7114"/>
        <v>Portland</v>
      </c>
      <c r="C2025" t="s">
        <v>574</v>
      </c>
      <c r="D2025" cm="1">
        <f t="array" ref="D2025">IFERROR(IF(D2015="Chemical",(10^(INDEX(Antoines,MATCH(D2014,Antoine_Name,0),2)-INDEX(Antoines,MATCH(D2014,Antoine_Name,0),3)/(INDEX(Antoines,MATCH(D2014,Antoine_Name,0),4)+(D2022-32)*5/9)))*14.7/760,IF(D2015="Crude Oil",EXP((2799/(D2022+459.6)-2.227)*LOG10(INDEX(FX_Input,Q$5,D$3*$Z$5+$AA$5))-(7261/(D2022+459.6))+12.82),IF(D2015="Refined Petroleum Stock",EXP((0.7553-(413/(D2022+459.6)))*(INDEX(FX_Input,Q$5,D$3*$Z$5+$AA$5-1)^0.5)*LOG10(INDEX(FX_Input,Q$5,D$3*$Z$5+$AA$5))-(1.854-(1042/(D2022+459.6)))*(INDEX(FX_Input,Q$5,D$3*$Z$5+$AA$5-1)^0.5)+((2416/(D2022+459.6)-2.013)*LOG10(INDEX(FX_Input,Q$5,D$3*$Z$5+$AA$5)))-(8742/(D2022+459.6))+15.64),EXP(INDEX(Antoines,MATCH(D2014,Antoine_Name,0),2)-INDEX(Antoines,MATCH(D2014,Antoine_Name,0),3)/(D2022+459.6))))),0)</f>
        <v>4.8116637646820016E-3</v>
      </c>
      <c r="E2025" cm="1">
        <f t="array" ref="E2025">IFERROR(IF(E2015="Chemical",(10^(INDEX(Antoines,MATCH(E2014,Antoine_Name,0),2)-INDEX(Antoines,MATCH(E2014,Antoine_Name,0),3)/(INDEX(Antoines,MATCH(E2014,Antoine_Name,0),4)+(E2022-32)*5/9)))*14.7/760,IF(E2015="Crude Oil",EXP((2799/(E2022+459.6)-2.227)*LOG10(INDEX(FX_Input,R$5,E$3*$Z$5+$AA$5))-(7261/(E2022+459.6))+12.82),IF(E2015="Refined Petroleum Stock",EXP((0.7553-(413/(E2022+459.6)))*(INDEX(FX_Input,R$5,E$3*$Z$5+$AA$5-1)^0.5)*LOG10(INDEX(FX_Input,R$5,E$3*$Z$5+$AA$5))-(1.854-(1042/(E2022+459.6)))*(INDEX(FX_Input,R$5,E$3*$Z$5+$AA$5-1)^0.5)+((2416/(E2022+459.6)-2.013)*LOG10(INDEX(FX_Input,R$5,E$3*$Z$5+$AA$5)))-(8742/(E2022+459.6))+15.64),EXP(INDEX(Antoines,MATCH(E2014,Antoine_Name,0),2)-INDEX(Antoines,MATCH(E2014,Antoine_Name,0),3)/(E2022+459.6))))),0)</f>
        <v>5.0048006991488458E-3</v>
      </c>
      <c r="F2025" cm="1">
        <f t="array" ref="F2025">IFERROR(IF(F2015="Chemical",(10^(INDEX(Antoines,MATCH(F2014,Antoine_Name,0),2)-INDEX(Antoines,MATCH(F2014,Antoine_Name,0),3)/(INDEX(Antoines,MATCH(F2014,Antoine_Name,0),4)+(F2022-32)*5/9)))*14.7/760,IF(F2015="Crude Oil",EXP((2799/(F2022+459.6)-2.227)*LOG10(INDEX(FX_Input,S$5,F$3*$Z$5+$AA$5))-(7261/(F2022+459.6))+12.82),IF(F2015="Refined Petroleum Stock",EXP((0.7553-(413/(F2022+459.6)))*(INDEX(FX_Input,S$5,F$3*$Z$5+$AA$5-1)^0.5)*LOG10(INDEX(FX_Input,S$5,F$3*$Z$5+$AA$5))-(1.854-(1042/(F2022+459.6)))*(INDEX(FX_Input,S$5,F$3*$Z$5+$AA$5-1)^0.5)+((2416/(F2022+459.6)-2.013)*LOG10(INDEX(FX_Input,S$5,F$3*$Z$5+$AA$5)))-(8742/(F2022+459.6))+15.64),EXP(INDEX(Antoines,MATCH(F2014,Antoine_Name,0),2)-INDEX(Antoines,MATCH(F2014,Antoine_Name,0),3)/(F2022+459.6))))),0)</f>
        <v>5.3193030941574935E-3</v>
      </c>
      <c r="G2025" cm="1">
        <f t="array" ref="G2025">IFERROR(IF(G2015="Chemical",(10^(INDEX(Antoines,MATCH(G2014,Antoine_Name,0),2)-INDEX(Antoines,MATCH(G2014,Antoine_Name,0),3)/(INDEX(Antoines,MATCH(G2014,Antoine_Name,0),4)+(G2022-32)*5/9)))*14.7/760,IF(G2015="Crude Oil",EXP((2799/(G2022+459.6)-2.227)*LOG10(INDEX(FX_Input,T$5,G$3*$Z$5+$AA$5))-(7261/(G2022+459.6))+12.82),IF(G2015="Refined Petroleum Stock",EXP((0.7553-(413/(G2022+459.6)))*(INDEX(FX_Input,T$5,G$3*$Z$5+$AA$5-1)^0.5)*LOG10(INDEX(FX_Input,T$5,G$3*$Z$5+$AA$5))-(1.854-(1042/(G2022+459.6)))*(INDEX(FX_Input,T$5,G$3*$Z$5+$AA$5-1)^0.5)+((2416/(G2022+459.6)-2.013)*LOG10(INDEX(FX_Input,T$5,G$3*$Z$5+$AA$5)))-(8742/(G2022+459.6))+15.64),EXP(INDEX(Antoines,MATCH(G2014,Antoine_Name,0),2)-INDEX(Antoines,MATCH(G2014,Antoine_Name,0),3)/(G2022+459.6))))),0)</f>
        <v>5.8943503851042415E-3</v>
      </c>
      <c r="H2025" cm="1">
        <f t="array" ref="H2025">IFERROR(IF(H2015="Chemical",(10^(INDEX(Antoines,MATCH(H2014,Antoine_Name,0),2)-INDEX(Antoines,MATCH(H2014,Antoine_Name,0),3)/(INDEX(Antoines,MATCH(H2014,Antoine_Name,0),4)+(H2022-32)*5/9)))*14.7/760,IF(H2015="Crude Oil",EXP((2799/(H2022+459.6)-2.227)*LOG10(INDEX(FX_Input,U$5,H$3*$Z$5+$AA$5))-(7261/(H2022+459.6))+12.82),IF(H2015="Refined Petroleum Stock",EXP((0.7553-(413/(H2022+459.6)))*(INDEX(FX_Input,U$5,H$3*$Z$5+$AA$5-1)^0.5)*LOG10(INDEX(FX_Input,U$5,H$3*$Z$5+$AA$5))-(1.854-(1042/(H2022+459.6)))*(INDEX(FX_Input,U$5,H$3*$Z$5+$AA$5-1)^0.5)+((2416/(H2022+459.6)-2.013)*LOG10(INDEX(FX_Input,U$5,H$3*$Z$5+$AA$5)))-(8742/(H2022+459.6))+15.64),EXP(INDEX(Antoines,MATCH(H2014,Antoine_Name,0),2)-INDEX(Antoines,MATCH(H2014,Antoine_Name,0),3)/(H2022+459.6))))),0)</f>
        <v>6.9660236232598005E-3</v>
      </c>
      <c r="I2025" cm="1">
        <f t="array" ref="I2025">IFERROR(IF(I2015="Chemical",(10^(INDEX(Antoines,MATCH(I2014,Antoine_Name,0),2)-INDEX(Antoines,MATCH(I2014,Antoine_Name,0),3)/(INDEX(Antoines,MATCH(I2014,Antoine_Name,0),4)+(I2022-32)*5/9)))*14.7/760,IF(I2015="Crude Oil",EXP((2799/(I2022+459.6)-2.227)*LOG10(INDEX(FX_Input,V$5,I$3*$Z$5+$AA$5))-(7261/(I2022+459.6))+12.82),IF(I2015="Refined Petroleum Stock",EXP((0.7553-(413/(I2022+459.6)))*(INDEX(FX_Input,V$5,I$3*$Z$5+$AA$5-1)^0.5)*LOG10(INDEX(FX_Input,V$5,I$3*$Z$5+$AA$5))-(1.854-(1042/(I2022+459.6)))*(INDEX(FX_Input,V$5,I$3*$Z$5+$AA$5-1)^0.5)+((2416/(I2022+459.6)-2.013)*LOG10(INDEX(FX_Input,V$5,I$3*$Z$5+$AA$5)))-(8742/(I2022+459.6))+15.64),EXP(INDEX(Antoines,MATCH(I2014,Antoine_Name,0),2)-INDEX(Antoines,MATCH(I2014,Antoine_Name,0),3)/(I2022+459.6))))),0)</f>
        <v>7.9406391529506654E-3</v>
      </c>
      <c r="J2025" cm="1">
        <f t="array" ref="J2025">IFERROR(IF(J2015="Chemical",(10^(INDEX(Antoines,MATCH(J2014,Antoine_Name,0),2)-INDEX(Antoines,MATCH(J2014,Antoine_Name,0),3)/(INDEX(Antoines,MATCH(J2014,Antoine_Name,0),4)+(J2022-32)*5/9)))*14.7/760,IF(J2015="Crude Oil",EXP((2799/(J2022+459.6)-2.227)*LOG10(INDEX(FX_Input,W$5,J$3*$Z$5+$AA$5))-(7261/(J2022+459.6))+12.82),IF(J2015="Refined Petroleum Stock",EXP((0.7553-(413/(J2022+459.6)))*(INDEX(FX_Input,W$5,J$3*$Z$5+$AA$5-1)^0.5)*LOG10(INDEX(FX_Input,W$5,J$3*$Z$5+$AA$5))-(1.854-(1042/(J2022+459.6)))*(INDEX(FX_Input,W$5,J$3*$Z$5+$AA$5-1)^0.5)+((2416/(J2022+459.6)-2.013)*LOG10(INDEX(FX_Input,W$5,J$3*$Z$5+$AA$5)))-(8742/(J2022+459.6))+15.64),EXP(INDEX(Antoines,MATCH(J2014,Antoine_Name,0),2)-INDEX(Antoines,MATCH(J2014,Antoine_Name,0),3)/(J2022+459.6))))),0)</f>
        <v>8.9422860963673592E-3</v>
      </c>
      <c r="K2025" cm="1">
        <f t="array" ref="K2025">IFERROR(IF(K2015="Chemical",(10^(INDEX(Antoines,MATCH(K2014,Antoine_Name,0),2)-INDEX(Antoines,MATCH(K2014,Antoine_Name,0),3)/(INDEX(Antoines,MATCH(K2014,Antoine_Name,0),4)+(K2022-32)*5/9)))*14.7/760,IF(K2015="Crude Oil",EXP((2799/(K2022+459.6)-2.227)*LOG10(INDEX(FX_Input,X$5,K$3*$Z$5+$AA$5))-(7261/(K2022+459.6))+12.82),IF(K2015="Refined Petroleum Stock",EXP((0.7553-(413/(K2022+459.6)))*(INDEX(FX_Input,X$5,K$3*$Z$5+$AA$5-1)^0.5)*LOG10(INDEX(FX_Input,X$5,K$3*$Z$5+$AA$5))-(1.854-(1042/(K2022+459.6)))*(INDEX(FX_Input,X$5,K$3*$Z$5+$AA$5-1)^0.5)+((2416/(K2022+459.6)-2.013)*LOG10(INDEX(FX_Input,X$5,K$3*$Z$5+$AA$5)))-(8742/(K2022+459.6))+15.64),EXP(INDEX(Antoines,MATCH(K2014,Antoine_Name,0),2)-INDEX(Antoines,MATCH(K2014,Antoine_Name,0),3)/(K2022+459.6))))),0)</f>
        <v>8.9951550374627008E-3</v>
      </c>
      <c r="L2025" cm="1">
        <f t="array" ref="L2025">IFERROR(IF(L2015="Chemical",(10^(INDEX(Antoines,MATCH(L2014,Antoine_Name,0),2)-INDEX(Antoines,MATCH(L2014,Antoine_Name,0),3)/(INDEX(Antoines,MATCH(L2014,Antoine_Name,0),4)+(L2022-32)*5/9)))*14.7/760,IF(L2015="Crude Oil",EXP((2799/(L2022+459.6)-2.227)*LOG10(INDEX(FX_Input,Y$5,L$3*$Z$5+$AA$5))-(7261/(L2022+459.6))+12.82),IF(L2015="Refined Petroleum Stock",EXP((0.7553-(413/(L2022+459.6)))*(INDEX(FX_Input,Y$5,L$3*$Z$5+$AA$5-1)^0.5)*LOG10(INDEX(FX_Input,Y$5,L$3*$Z$5+$AA$5))-(1.854-(1042/(L2022+459.6)))*(INDEX(FX_Input,Y$5,L$3*$Z$5+$AA$5-1)^0.5)+((2416/(L2022+459.6)-2.013)*LOG10(INDEX(FX_Input,Y$5,L$3*$Z$5+$AA$5)))-(8742/(L2022+459.6))+15.64),EXP(INDEX(Antoines,MATCH(L2014,Antoine_Name,0),2)-INDEX(Antoines,MATCH(L2014,Antoine_Name,0),3)/(L2022+459.6))))),0)</f>
        <v>8.2385730689388259E-3</v>
      </c>
      <c r="M2025" cm="1">
        <f t="array" ref="M2025">IFERROR(IF(M2015="Chemical",(10^(INDEX(Antoines,MATCH(M2014,Antoine_Name,0),2)-INDEX(Antoines,MATCH(M2014,Antoine_Name,0),3)/(INDEX(Antoines,MATCH(M2014,Antoine_Name,0),4)+(M2022-32)*5/9)))*14.7/760,IF(M2015="Crude Oil",EXP((2799/(M2022+459.6)-2.227)*LOG10(INDEX(FX_Input,Z$5,M$3*$Z$5+$AA$5))-(7261/(M2022+459.6))+12.82),IF(M2015="Refined Petroleum Stock",EXP((0.7553-(413/(M2022+459.6)))*(INDEX(FX_Input,Z$5,M$3*$Z$5+$AA$5-1)^0.5)*LOG10(INDEX(FX_Input,Z$5,M$3*$Z$5+$AA$5))-(1.854-(1042/(M2022+459.6)))*(INDEX(FX_Input,Z$5,M$3*$Z$5+$AA$5-1)^0.5)+((2416/(M2022+459.6)-2.013)*LOG10(INDEX(FX_Input,Z$5,M$3*$Z$5+$AA$5)))-(8742/(M2022+459.6))+15.64),EXP(INDEX(Antoines,MATCH(M2014,Antoine_Name,0),2)-INDEX(Antoines,MATCH(M2014,Antoine_Name,0),3)/(M2022+459.6))))),0)</f>
        <v>6.618900442185772E-3</v>
      </c>
      <c r="N2025" cm="1">
        <f t="array" ref="N2025">IFERROR(IF(N2015="Chemical",(10^(INDEX(Antoines,MATCH(N2014,Antoine_Name,0),2)-INDEX(Antoines,MATCH(N2014,Antoine_Name,0),3)/(INDEX(Antoines,MATCH(N2014,Antoine_Name,0),4)+(N2022-32)*5/9)))*14.7/760,IF(N2015="Crude Oil",EXP((2799/(N2022+459.6)-2.227)*LOG10(INDEX(FX_Input,AA$5,N$3*$Z$5+$AA$5))-(7261/(N2022+459.6))+12.82),IF(N2015="Refined Petroleum Stock",EXP((0.7553-(413/(N2022+459.6)))*(INDEX(FX_Input,AA$5,N$3*$Z$5+$AA$5-1)^0.5)*LOG10(INDEX(FX_Input,AA$5,N$3*$Z$5+$AA$5))-(1.854-(1042/(N2022+459.6)))*(INDEX(FX_Input,AA$5,N$3*$Z$5+$AA$5-1)^0.5)+((2416/(N2022+459.6)-2.013)*LOG10(INDEX(FX_Input,AA$5,N$3*$Z$5+$AA$5)))-(8742/(N2022+459.6))+15.64),EXP(INDEX(Antoines,MATCH(N2014,Antoine_Name,0),2)-INDEX(Antoines,MATCH(N2014,Antoine_Name,0),3)/(N2022+459.6))))),0)</f>
        <v>5.3923587959108042E-3</v>
      </c>
      <c r="O2025" cm="1">
        <f t="array" ref="O2025">IFERROR(IF(O2015="Chemical",(10^(INDEX(Antoines,MATCH(O2014,Antoine_Name,0),2)-INDEX(Antoines,MATCH(O2014,Antoine_Name,0),3)/(INDEX(Antoines,MATCH(O2014,Antoine_Name,0),4)+(O2022-32)*5/9)))*14.7/760,IF(O2015="Crude Oil",EXP((2799/(O2022+459.6)-2.227)*LOG10(INDEX(FX_Input,AB$5,O$3*$Z$5+$AA$5))-(7261/(O2022+459.6))+12.82),IF(O2015="Refined Petroleum Stock",EXP((0.7553-(413/(O2022+459.6)))*(INDEX(FX_Input,AB$5,O$3*$Z$5+$AA$5-1)^0.5)*LOG10(INDEX(FX_Input,AB$5,O$3*$Z$5+$AA$5))-(1.854-(1042/(O2022+459.6)))*(INDEX(FX_Input,AB$5,O$3*$Z$5+$AA$5-1)^0.5)+((2416/(O2022+459.6)-2.013)*LOG10(INDEX(FX_Input,AB$5,O$3*$Z$5+$AA$5)))-(8742/(O2022+459.6))+15.64),EXP(INDEX(Antoines,MATCH(O2014,Antoine_Name,0),2)-INDEX(Antoines,MATCH(O2014,Antoine_Name,0),3)/(O2022+459.6))))),0)</f>
        <v>4.7525360186456101E-3</v>
      </c>
    </row>
    <row r="2026" spans="2:32" ht="17.149999999999999" x14ac:dyDescent="0.55000000000000004">
      <c r="B2026" t="str">
        <f t="shared" si="7114"/>
        <v>Portland</v>
      </c>
      <c r="C2026" t="s">
        <v>576</v>
      </c>
      <c r="D2026">
        <f>D2018*D2025</f>
        <v>4.8116637646820016E-3</v>
      </c>
      <c r="E2026">
        <f t="shared" ref="E2026:O2026" si="7115">E2018*E2025</f>
        <v>5.0048006991488458E-3</v>
      </c>
      <c r="F2026">
        <f t="shared" si="7115"/>
        <v>5.3193030941574935E-3</v>
      </c>
      <c r="G2026">
        <f t="shared" si="7115"/>
        <v>5.8943503851042415E-3</v>
      </c>
      <c r="H2026">
        <f t="shared" si="7115"/>
        <v>6.9660236232598005E-3</v>
      </c>
      <c r="I2026">
        <f t="shared" si="7115"/>
        <v>7.9406391529506654E-3</v>
      </c>
      <c r="J2026">
        <f t="shared" si="7115"/>
        <v>8.9422860963673592E-3</v>
      </c>
      <c r="K2026">
        <f t="shared" si="7115"/>
        <v>8.9951550374627008E-3</v>
      </c>
      <c r="L2026">
        <f t="shared" si="7115"/>
        <v>8.2385730689388259E-3</v>
      </c>
      <c r="M2026">
        <f t="shared" si="7115"/>
        <v>6.618900442185772E-3</v>
      </c>
      <c r="N2026">
        <f t="shared" si="7115"/>
        <v>5.3923587959108042E-3</v>
      </c>
      <c r="O2026">
        <f t="shared" si="7115"/>
        <v>4.7525360186456101E-3</v>
      </c>
    </row>
    <row r="2027" spans="2:32" ht="17.149999999999999" x14ac:dyDescent="0.55000000000000004">
      <c r="B2027" t="str">
        <f t="shared" si="7114"/>
        <v>Portland</v>
      </c>
      <c r="C2027" t="s">
        <v>575</v>
      </c>
      <c r="D2027" cm="1">
        <f t="array" ref="D2027">IFERROR(IF(D2017="Chemical",(10^(INDEX(Antoines,MATCH(D2016,Antoine_Name,0),2)-INDEX(Antoines,MATCH(D2016,Antoine_Name,0),3)/(INDEX(Antoines,MATCH(D2016,Antoine_Name,0),4)+(D2022-32)*5/9)))*14.7/760,IF(D2017="Crude Oil",EXP((2799/(D2022+459.6)-2.227)*LOG10(INDEX(FX_Input,Q$5,D$3*$Z$5+$AA$5))-(7261/(D2022+459.6))+12.82),IF(D2017="Refined Petroleum Stock",EXP((0.7553-(413/(D2022+459.6)))*(INDEX(FX_Input,Q$5,D$3*$Z$5+$AA$5-1)^0.5)*LOG10(INDEX(FX_Input,Q$5,D$3*$Z$5+$AA$5))-(1.854-(1042/(D2022+459.6)))*(INDEX(FX_Input,Q$5,D$3*$Z$5+$AA$5-1)^0.5)+((2416/(D2022+459.6)-2.013)*LOG10(INDEX(FX_Input,Q$5,D$3*$Z$5+$AA$5)))-(8742/(D2022+459.6))+15.64),EXP(INDEX(Antoines,MATCH(D2016,Antoine_Name,0),2)-INDEX(Antoines,MATCH(D2016,Antoine_Name,0),3)/(D2022+459.6))))),0)</f>
        <v>0</v>
      </c>
      <c r="E2027" cm="1">
        <f t="array" ref="E2027">IFERROR(IF(E2017="Chemical",(10^(INDEX(Antoines,MATCH(E2016,Antoine_Name,0),2)-INDEX(Antoines,MATCH(E2016,Antoine_Name,0),3)/(INDEX(Antoines,MATCH(E2016,Antoine_Name,0),4)+(E2022-32)*5/9)))*14.7/760,IF(E2017="Crude Oil",EXP((2799/(E2022+459.6)-2.227)*LOG10(INDEX(FX_Input,R$5,E$3*$Z$5+$AA$5))-(7261/(E2022+459.6))+12.82),IF(E2017="Refined Petroleum Stock",EXP((0.7553-(413/(E2022+459.6)))*(INDEX(FX_Input,R$5,E$3*$Z$5+$AA$5-1)^0.5)*LOG10(INDEX(FX_Input,R$5,E$3*$Z$5+$AA$5))-(1.854-(1042/(E2022+459.6)))*(INDEX(FX_Input,R$5,E$3*$Z$5+$AA$5-1)^0.5)+((2416/(E2022+459.6)-2.013)*LOG10(INDEX(FX_Input,R$5,E$3*$Z$5+$AA$5)))-(8742/(E2022+459.6))+15.64),EXP(INDEX(Antoines,MATCH(E2016,Antoine_Name,0),2)-INDEX(Antoines,MATCH(E2016,Antoine_Name,0),3)/(E2022+459.6))))),0)</f>
        <v>0</v>
      </c>
      <c r="F2027" cm="1">
        <f t="array" ref="F2027">IFERROR(IF(F2017="Chemical",(10^(INDEX(Antoines,MATCH(F2016,Antoine_Name,0),2)-INDEX(Antoines,MATCH(F2016,Antoine_Name,0),3)/(INDEX(Antoines,MATCH(F2016,Antoine_Name,0),4)+(F2022-32)*5/9)))*14.7/760,IF(F2017="Crude Oil",EXP((2799/(F2022+459.6)-2.227)*LOG10(INDEX(FX_Input,S$5,F$3*$Z$5+$AA$5))-(7261/(F2022+459.6))+12.82),IF(F2017="Refined Petroleum Stock",EXP((0.7553-(413/(F2022+459.6)))*(INDEX(FX_Input,S$5,F$3*$Z$5+$AA$5-1)^0.5)*LOG10(INDEX(FX_Input,S$5,F$3*$Z$5+$AA$5))-(1.854-(1042/(F2022+459.6)))*(INDEX(FX_Input,S$5,F$3*$Z$5+$AA$5-1)^0.5)+((2416/(F2022+459.6)-2.013)*LOG10(INDEX(FX_Input,S$5,F$3*$Z$5+$AA$5)))-(8742/(F2022+459.6))+15.64),EXP(INDEX(Antoines,MATCH(F2016,Antoine_Name,0),2)-INDEX(Antoines,MATCH(F2016,Antoine_Name,0),3)/(F2022+459.6))))),0)</f>
        <v>0</v>
      </c>
      <c r="G2027" cm="1">
        <f t="array" ref="G2027">IFERROR(IF(G2017="Chemical",(10^(INDEX(Antoines,MATCH(G2016,Antoine_Name,0),2)-INDEX(Antoines,MATCH(G2016,Antoine_Name,0),3)/(INDEX(Antoines,MATCH(G2016,Antoine_Name,0),4)+(G2022-32)*5/9)))*14.7/760,IF(G2017="Crude Oil",EXP((2799/(G2022+459.6)-2.227)*LOG10(INDEX(FX_Input,T$5,G$3*$Z$5+$AA$5))-(7261/(G2022+459.6))+12.82),IF(G2017="Refined Petroleum Stock",EXP((0.7553-(413/(G2022+459.6)))*(INDEX(FX_Input,T$5,G$3*$Z$5+$AA$5-1)^0.5)*LOG10(INDEX(FX_Input,T$5,G$3*$Z$5+$AA$5))-(1.854-(1042/(G2022+459.6)))*(INDEX(FX_Input,T$5,G$3*$Z$5+$AA$5-1)^0.5)+((2416/(G2022+459.6)-2.013)*LOG10(INDEX(FX_Input,T$5,G$3*$Z$5+$AA$5)))-(8742/(G2022+459.6))+15.64),EXP(INDEX(Antoines,MATCH(G2016,Antoine_Name,0),2)-INDEX(Antoines,MATCH(G2016,Antoine_Name,0),3)/(G2022+459.6))))),0)</f>
        <v>0</v>
      </c>
      <c r="H2027" cm="1">
        <f t="array" ref="H2027">IFERROR(IF(H2017="Chemical",(10^(INDEX(Antoines,MATCH(H2016,Antoine_Name,0),2)-INDEX(Antoines,MATCH(H2016,Antoine_Name,0),3)/(INDEX(Antoines,MATCH(H2016,Antoine_Name,0),4)+(H2022-32)*5/9)))*14.7/760,IF(H2017="Crude Oil",EXP((2799/(H2022+459.6)-2.227)*LOG10(INDEX(FX_Input,U$5,H$3*$Z$5+$AA$5))-(7261/(H2022+459.6))+12.82),IF(H2017="Refined Petroleum Stock",EXP((0.7553-(413/(H2022+459.6)))*(INDEX(FX_Input,U$5,H$3*$Z$5+$AA$5-1)^0.5)*LOG10(INDEX(FX_Input,U$5,H$3*$Z$5+$AA$5))-(1.854-(1042/(H2022+459.6)))*(INDEX(FX_Input,U$5,H$3*$Z$5+$AA$5-1)^0.5)+((2416/(H2022+459.6)-2.013)*LOG10(INDEX(FX_Input,U$5,H$3*$Z$5+$AA$5)))-(8742/(H2022+459.6))+15.64),EXP(INDEX(Antoines,MATCH(H2016,Antoine_Name,0),2)-INDEX(Antoines,MATCH(H2016,Antoine_Name,0),3)/(H2022+459.6))))),0)</f>
        <v>0</v>
      </c>
      <c r="I2027" cm="1">
        <f t="array" ref="I2027">IFERROR(IF(I2017="Chemical",(10^(INDEX(Antoines,MATCH(I2016,Antoine_Name,0),2)-INDEX(Antoines,MATCH(I2016,Antoine_Name,0),3)/(INDEX(Antoines,MATCH(I2016,Antoine_Name,0),4)+(I2022-32)*5/9)))*14.7/760,IF(I2017="Crude Oil",EXP((2799/(I2022+459.6)-2.227)*LOG10(INDEX(FX_Input,V$5,I$3*$Z$5+$AA$5))-(7261/(I2022+459.6))+12.82),IF(I2017="Refined Petroleum Stock",EXP((0.7553-(413/(I2022+459.6)))*(INDEX(FX_Input,V$5,I$3*$Z$5+$AA$5-1)^0.5)*LOG10(INDEX(FX_Input,V$5,I$3*$Z$5+$AA$5))-(1.854-(1042/(I2022+459.6)))*(INDEX(FX_Input,V$5,I$3*$Z$5+$AA$5-1)^0.5)+((2416/(I2022+459.6)-2.013)*LOG10(INDEX(FX_Input,V$5,I$3*$Z$5+$AA$5)))-(8742/(I2022+459.6))+15.64),EXP(INDEX(Antoines,MATCH(I2016,Antoine_Name,0),2)-INDEX(Antoines,MATCH(I2016,Antoine_Name,0),3)/(I2022+459.6))))),0)</f>
        <v>0</v>
      </c>
      <c r="J2027" cm="1">
        <f t="array" ref="J2027">IFERROR(IF(J2017="Chemical",(10^(INDEX(Antoines,MATCH(J2016,Antoine_Name,0),2)-INDEX(Antoines,MATCH(J2016,Antoine_Name,0),3)/(INDEX(Antoines,MATCH(J2016,Antoine_Name,0),4)+(J2022-32)*5/9)))*14.7/760,IF(J2017="Crude Oil",EXP((2799/(J2022+459.6)-2.227)*LOG10(INDEX(FX_Input,W$5,J$3*$Z$5+$AA$5))-(7261/(J2022+459.6))+12.82),IF(J2017="Refined Petroleum Stock",EXP((0.7553-(413/(J2022+459.6)))*(INDEX(FX_Input,W$5,J$3*$Z$5+$AA$5-1)^0.5)*LOG10(INDEX(FX_Input,W$5,J$3*$Z$5+$AA$5))-(1.854-(1042/(J2022+459.6)))*(INDEX(FX_Input,W$5,J$3*$Z$5+$AA$5-1)^0.5)+((2416/(J2022+459.6)-2.013)*LOG10(INDEX(FX_Input,W$5,J$3*$Z$5+$AA$5)))-(8742/(J2022+459.6))+15.64),EXP(INDEX(Antoines,MATCH(J2016,Antoine_Name,0),2)-INDEX(Antoines,MATCH(J2016,Antoine_Name,0),3)/(J2022+459.6))))),0)</f>
        <v>0</v>
      </c>
      <c r="K2027" cm="1">
        <f t="array" ref="K2027">IFERROR(IF(K2017="Chemical",(10^(INDEX(Antoines,MATCH(K2016,Antoine_Name,0),2)-INDEX(Antoines,MATCH(K2016,Antoine_Name,0),3)/(INDEX(Antoines,MATCH(K2016,Antoine_Name,0),4)+(K2022-32)*5/9)))*14.7/760,IF(K2017="Crude Oil",EXP((2799/(K2022+459.6)-2.227)*LOG10(INDEX(FX_Input,X$5,K$3*$Z$5+$AA$5))-(7261/(K2022+459.6))+12.82),IF(K2017="Refined Petroleum Stock",EXP((0.7553-(413/(K2022+459.6)))*(INDEX(FX_Input,X$5,K$3*$Z$5+$AA$5-1)^0.5)*LOG10(INDEX(FX_Input,X$5,K$3*$Z$5+$AA$5))-(1.854-(1042/(K2022+459.6)))*(INDEX(FX_Input,X$5,K$3*$Z$5+$AA$5-1)^0.5)+((2416/(K2022+459.6)-2.013)*LOG10(INDEX(FX_Input,X$5,K$3*$Z$5+$AA$5)))-(8742/(K2022+459.6))+15.64),EXP(INDEX(Antoines,MATCH(K2016,Antoine_Name,0),2)-INDEX(Antoines,MATCH(K2016,Antoine_Name,0),3)/(K2022+459.6))))),0)</f>
        <v>0</v>
      </c>
      <c r="L2027" cm="1">
        <f t="array" ref="L2027">IFERROR(IF(L2017="Chemical",(10^(INDEX(Antoines,MATCH(L2016,Antoine_Name,0),2)-INDEX(Antoines,MATCH(L2016,Antoine_Name,0),3)/(INDEX(Antoines,MATCH(L2016,Antoine_Name,0),4)+(L2022-32)*5/9)))*14.7/760,IF(L2017="Crude Oil",EXP((2799/(L2022+459.6)-2.227)*LOG10(INDEX(FX_Input,Y$5,L$3*$Z$5+$AA$5))-(7261/(L2022+459.6))+12.82),IF(L2017="Refined Petroleum Stock",EXP((0.7553-(413/(L2022+459.6)))*(INDEX(FX_Input,Y$5,L$3*$Z$5+$AA$5-1)^0.5)*LOG10(INDEX(FX_Input,Y$5,L$3*$Z$5+$AA$5))-(1.854-(1042/(L2022+459.6)))*(INDEX(FX_Input,Y$5,L$3*$Z$5+$AA$5-1)^0.5)+((2416/(L2022+459.6)-2.013)*LOG10(INDEX(FX_Input,Y$5,L$3*$Z$5+$AA$5)))-(8742/(L2022+459.6))+15.64),EXP(INDEX(Antoines,MATCH(L2016,Antoine_Name,0),2)-INDEX(Antoines,MATCH(L2016,Antoine_Name,0),3)/(L2022+459.6))))),0)</f>
        <v>0</v>
      </c>
      <c r="M2027" cm="1">
        <f t="array" ref="M2027">IFERROR(IF(M2017="Chemical",(10^(INDEX(Antoines,MATCH(M2016,Antoine_Name,0),2)-INDEX(Antoines,MATCH(M2016,Antoine_Name,0),3)/(INDEX(Antoines,MATCH(M2016,Antoine_Name,0),4)+(M2022-32)*5/9)))*14.7/760,IF(M2017="Crude Oil",EXP((2799/(M2022+459.6)-2.227)*LOG10(INDEX(FX_Input,Z$5,M$3*$Z$5+$AA$5))-(7261/(M2022+459.6))+12.82),IF(M2017="Refined Petroleum Stock",EXP((0.7553-(413/(M2022+459.6)))*(INDEX(FX_Input,Z$5,M$3*$Z$5+$AA$5-1)^0.5)*LOG10(INDEX(FX_Input,Z$5,M$3*$Z$5+$AA$5))-(1.854-(1042/(M2022+459.6)))*(INDEX(FX_Input,Z$5,M$3*$Z$5+$AA$5-1)^0.5)+((2416/(M2022+459.6)-2.013)*LOG10(INDEX(FX_Input,Z$5,M$3*$Z$5+$AA$5)))-(8742/(M2022+459.6))+15.64),EXP(INDEX(Antoines,MATCH(M2016,Antoine_Name,0),2)-INDEX(Antoines,MATCH(M2016,Antoine_Name,0),3)/(M2022+459.6))))),0)</f>
        <v>0</v>
      </c>
      <c r="N2027" cm="1">
        <f t="array" ref="N2027">IFERROR(IF(N2017="Chemical",(10^(INDEX(Antoines,MATCH(N2016,Antoine_Name,0),2)-INDEX(Antoines,MATCH(N2016,Antoine_Name,0),3)/(INDEX(Antoines,MATCH(N2016,Antoine_Name,0),4)+(N2022-32)*5/9)))*14.7/760,IF(N2017="Crude Oil",EXP((2799/(N2022+459.6)-2.227)*LOG10(INDEX(FX_Input,AA$5,N$3*$Z$5+$AA$5))-(7261/(N2022+459.6))+12.82),IF(N2017="Refined Petroleum Stock",EXP((0.7553-(413/(N2022+459.6)))*(INDEX(FX_Input,AA$5,N$3*$Z$5+$AA$5-1)^0.5)*LOG10(INDEX(FX_Input,AA$5,N$3*$Z$5+$AA$5))-(1.854-(1042/(N2022+459.6)))*(INDEX(FX_Input,AA$5,N$3*$Z$5+$AA$5-1)^0.5)+((2416/(N2022+459.6)-2.013)*LOG10(INDEX(FX_Input,AA$5,N$3*$Z$5+$AA$5)))-(8742/(N2022+459.6))+15.64),EXP(INDEX(Antoines,MATCH(N2016,Antoine_Name,0),2)-INDEX(Antoines,MATCH(N2016,Antoine_Name,0),3)/(N2022+459.6))))),0)</f>
        <v>0</v>
      </c>
      <c r="O2027" cm="1">
        <f t="array" ref="O2027">IFERROR(IF(O2017="Chemical",(10^(INDEX(Antoines,MATCH(O2016,Antoine_Name,0),2)-INDEX(Antoines,MATCH(O2016,Antoine_Name,0),3)/(INDEX(Antoines,MATCH(O2016,Antoine_Name,0),4)+(O2022-32)*5/9)))*14.7/760,IF(O2017="Crude Oil",EXP((2799/(O2022+459.6)-2.227)*LOG10(INDEX(FX_Input,AB$5,O$3*$Z$5+$AA$5))-(7261/(O2022+459.6))+12.82),IF(O2017="Refined Petroleum Stock",EXP((0.7553-(413/(O2022+459.6)))*(INDEX(FX_Input,AB$5,O$3*$Z$5+$AA$5-1)^0.5)*LOG10(INDEX(FX_Input,AB$5,O$3*$Z$5+$AA$5))-(1.854-(1042/(O2022+459.6)))*(INDEX(FX_Input,AB$5,O$3*$Z$5+$AA$5-1)^0.5)+((2416/(O2022+459.6)-2.013)*LOG10(INDEX(FX_Input,AB$5,O$3*$Z$5+$AA$5)))-(8742/(O2022+459.6))+15.64),EXP(INDEX(Antoines,MATCH(O2016,Antoine_Name,0),2)-INDEX(Antoines,MATCH(O2016,Antoine_Name,0),3)/(O2022+459.6))))),0)</f>
        <v>0</v>
      </c>
    </row>
    <row r="2028" spans="2:32" ht="17.149999999999999" x14ac:dyDescent="0.55000000000000004">
      <c r="B2028" t="str">
        <f t="shared" si="7114"/>
        <v>Portland</v>
      </c>
      <c r="C2028" t="s">
        <v>577</v>
      </c>
      <c r="D2028">
        <f>D2027*D2020</f>
        <v>0</v>
      </c>
      <c r="E2028">
        <f t="shared" ref="E2028:O2028" si="7116">E2027*E2020</f>
        <v>0</v>
      </c>
      <c r="F2028">
        <f t="shared" si="7116"/>
        <v>0</v>
      </c>
      <c r="G2028">
        <f t="shared" si="7116"/>
        <v>0</v>
      </c>
      <c r="H2028">
        <f t="shared" si="7116"/>
        <v>0</v>
      </c>
      <c r="I2028">
        <f t="shared" si="7116"/>
        <v>0</v>
      </c>
      <c r="J2028">
        <f t="shared" si="7116"/>
        <v>0</v>
      </c>
      <c r="K2028">
        <f t="shared" si="7116"/>
        <v>0</v>
      </c>
      <c r="L2028">
        <f t="shared" si="7116"/>
        <v>0</v>
      </c>
      <c r="M2028">
        <f t="shared" si="7116"/>
        <v>0</v>
      </c>
      <c r="N2028">
        <f t="shared" si="7116"/>
        <v>0</v>
      </c>
      <c r="O2028">
        <f t="shared" si="7116"/>
        <v>0</v>
      </c>
    </row>
    <row r="2029" spans="2:32" ht="17.149999999999999" x14ac:dyDescent="0.55000000000000004">
      <c r="B2029" t="str">
        <f t="shared" si="7114"/>
        <v>Portland</v>
      </c>
      <c r="C2029" t="s">
        <v>578</v>
      </c>
      <c r="D2029">
        <f>D2028+D2026</f>
        <v>4.8116637646820016E-3</v>
      </c>
      <c r="E2029">
        <f t="shared" ref="E2029:O2029" si="7117">E2028+E2026</f>
        <v>5.0048006991488458E-3</v>
      </c>
      <c r="F2029">
        <f t="shared" si="7117"/>
        <v>5.3193030941574935E-3</v>
      </c>
      <c r="G2029">
        <f t="shared" si="7117"/>
        <v>5.8943503851042415E-3</v>
      </c>
      <c r="H2029">
        <f t="shared" si="7117"/>
        <v>6.9660236232598005E-3</v>
      </c>
      <c r="I2029">
        <f t="shared" si="7117"/>
        <v>7.9406391529506654E-3</v>
      </c>
      <c r="J2029">
        <f t="shared" si="7117"/>
        <v>8.9422860963673592E-3</v>
      </c>
      <c r="K2029">
        <f t="shared" si="7117"/>
        <v>8.9951550374627008E-3</v>
      </c>
      <c r="L2029">
        <f t="shared" si="7117"/>
        <v>8.2385730689388259E-3</v>
      </c>
      <c r="M2029">
        <f t="shared" si="7117"/>
        <v>6.618900442185772E-3</v>
      </c>
      <c r="N2029">
        <f t="shared" si="7117"/>
        <v>5.3923587959108042E-3</v>
      </c>
      <c r="O2029">
        <f t="shared" si="7117"/>
        <v>4.7525360186456101E-3</v>
      </c>
    </row>
    <row r="2030" spans="2:32" ht="17.149999999999999" x14ac:dyDescent="0.55000000000000004">
      <c r="B2030" t="str">
        <f t="shared" si="7114"/>
        <v>Portland</v>
      </c>
      <c r="C2030" t="s">
        <v>579</v>
      </c>
      <c r="D2030" cm="1">
        <f t="array" ref="D2030">IFERROR(IF(D2015="Chemical",(10^(INDEX(Antoines,MATCH(D2014,Antoine_Name,0),2)-INDEX(Antoines,MATCH(D2014,Antoine_Name,0),3)/(INDEX(Antoines,MATCH(D2014,Antoine_Name,0),4)+(D2023-32)*5/9)))*14.7/760,IF(D2015="Crude Oil",EXP((2799/(D2023+459.6)-2.227)*LOG10(INDEX(FX_Input,Q$5,D$3*$Z$5+$AA$5))-(7261/(D2023+459.6))+12.82),IF(D2015="Refined Petroleum Stock",EXP((0.7553-(413/(D2023+459.6)))*(INDEX(FX_Input,Q$5,D$3*$Z$5+$AA$5-1)^0.5)*LOG10(INDEX(FX_Input,Q$5,D$3*$Z$5+$AA$5))-(1.854-(1042/(D2023+459.6)))*(INDEX(FX_Input,Q$5,D$3*$Z$5+$AA$5-1)^0.5)+((2416/(D2023+459.6)-2.013)*LOG10(INDEX(FX_Input,Q$5,D$3*$Z$5+$AA$5)))-(8742/(D2023+459.6))+15.64),EXP(INDEX(Antoines,MATCH(D2014,Antoine_Name,0),2)-INDEX(Antoines,MATCH(D2014,Antoine_Name,0),3)/(D2023+459.6))))),0)</f>
        <v>4.8116637646820016E-3</v>
      </c>
      <c r="E2030" cm="1">
        <f t="array" ref="E2030">IFERROR(IF(E2015="Chemical",(10^(INDEX(Antoines,MATCH(E2014,Antoine_Name,0),2)-INDEX(Antoines,MATCH(E2014,Antoine_Name,0),3)/(INDEX(Antoines,MATCH(E2014,Antoine_Name,0),4)+(E2023-32)*5/9)))*14.7/760,IF(E2015="Crude Oil",EXP((2799/(E2023+459.6)-2.227)*LOG10(INDEX(FX_Input,R$5,E$3*$Z$5+$AA$5))-(7261/(E2023+459.6))+12.82),IF(E2015="Refined Petroleum Stock",EXP((0.7553-(413/(E2023+459.6)))*(INDEX(FX_Input,R$5,E$3*$Z$5+$AA$5-1)^0.5)*LOG10(INDEX(FX_Input,R$5,E$3*$Z$5+$AA$5))-(1.854-(1042/(E2023+459.6)))*(INDEX(FX_Input,R$5,E$3*$Z$5+$AA$5-1)^0.5)+((2416/(E2023+459.6)-2.013)*LOG10(INDEX(FX_Input,R$5,E$3*$Z$5+$AA$5)))-(8742/(E2023+459.6))+15.64),EXP(INDEX(Antoines,MATCH(E2014,Antoine_Name,0),2)-INDEX(Antoines,MATCH(E2014,Antoine_Name,0),3)/(E2023+459.6))))),0)</f>
        <v>5.0048006991488458E-3</v>
      </c>
      <c r="F2030" cm="1">
        <f t="array" ref="F2030">IFERROR(IF(F2015="Chemical",(10^(INDEX(Antoines,MATCH(F2014,Antoine_Name,0),2)-INDEX(Antoines,MATCH(F2014,Antoine_Name,0),3)/(INDEX(Antoines,MATCH(F2014,Antoine_Name,0),4)+(F2023-32)*5/9)))*14.7/760,IF(F2015="Crude Oil",EXP((2799/(F2023+459.6)-2.227)*LOG10(INDEX(FX_Input,S$5,F$3*$Z$5+$AA$5))-(7261/(F2023+459.6))+12.82),IF(F2015="Refined Petroleum Stock",EXP((0.7553-(413/(F2023+459.6)))*(INDEX(FX_Input,S$5,F$3*$Z$5+$AA$5-1)^0.5)*LOG10(INDEX(FX_Input,S$5,F$3*$Z$5+$AA$5))-(1.854-(1042/(F2023+459.6)))*(INDEX(FX_Input,S$5,F$3*$Z$5+$AA$5-1)^0.5)+((2416/(F2023+459.6)-2.013)*LOG10(INDEX(FX_Input,S$5,F$3*$Z$5+$AA$5)))-(8742/(F2023+459.6))+15.64),EXP(INDEX(Antoines,MATCH(F2014,Antoine_Name,0),2)-INDEX(Antoines,MATCH(F2014,Antoine_Name,0),3)/(F2023+459.6))))),0)</f>
        <v>5.3193030941574935E-3</v>
      </c>
      <c r="G2030" cm="1">
        <f t="array" ref="G2030">IFERROR(IF(G2015="Chemical",(10^(INDEX(Antoines,MATCH(G2014,Antoine_Name,0),2)-INDEX(Antoines,MATCH(G2014,Antoine_Name,0),3)/(INDEX(Antoines,MATCH(G2014,Antoine_Name,0),4)+(G2023-32)*5/9)))*14.7/760,IF(G2015="Crude Oil",EXP((2799/(G2023+459.6)-2.227)*LOG10(INDEX(FX_Input,T$5,G$3*$Z$5+$AA$5))-(7261/(G2023+459.6))+12.82),IF(G2015="Refined Petroleum Stock",EXP((0.7553-(413/(G2023+459.6)))*(INDEX(FX_Input,T$5,G$3*$Z$5+$AA$5-1)^0.5)*LOG10(INDEX(FX_Input,T$5,G$3*$Z$5+$AA$5))-(1.854-(1042/(G2023+459.6)))*(INDEX(FX_Input,T$5,G$3*$Z$5+$AA$5-1)^0.5)+((2416/(G2023+459.6)-2.013)*LOG10(INDEX(FX_Input,T$5,G$3*$Z$5+$AA$5)))-(8742/(G2023+459.6))+15.64),EXP(INDEX(Antoines,MATCH(G2014,Antoine_Name,0),2)-INDEX(Antoines,MATCH(G2014,Antoine_Name,0),3)/(G2023+459.6))))),0)</f>
        <v>5.8943503851042415E-3</v>
      </c>
      <c r="H2030" cm="1">
        <f t="array" ref="H2030">IFERROR(IF(H2015="Chemical",(10^(INDEX(Antoines,MATCH(H2014,Antoine_Name,0),2)-INDEX(Antoines,MATCH(H2014,Antoine_Name,0),3)/(INDEX(Antoines,MATCH(H2014,Antoine_Name,0),4)+(H2023-32)*5/9)))*14.7/760,IF(H2015="Crude Oil",EXP((2799/(H2023+459.6)-2.227)*LOG10(INDEX(FX_Input,U$5,H$3*$Z$5+$AA$5))-(7261/(H2023+459.6))+12.82),IF(H2015="Refined Petroleum Stock",EXP((0.7553-(413/(H2023+459.6)))*(INDEX(FX_Input,U$5,H$3*$Z$5+$AA$5-1)^0.5)*LOG10(INDEX(FX_Input,U$5,H$3*$Z$5+$AA$5))-(1.854-(1042/(H2023+459.6)))*(INDEX(FX_Input,U$5,H$3*$Z$5+$AA$5-1)^0.5)+((2416/(H2023+459.6)-2.013)*LOG10(INDEX(FX_Input,U$5,H$3*$Z$5+$AA$5)))-(8742/(H2023+459.6))+15.64),EXP(INDEX(Antoines,MATCH(H2014,Antoine_Name,0),2)-INDEX(Antoines,MATCH(H2014,Antoine_Name,0),3)/(H2023+459.6))))),0)</f>
        <v>6.9660236232598005E-3</v>
      </c>
      <c r="I2030" cm="1">
        <f t="array" ref="I2030">IFERROR(IF(I2015="Chemical",(10^(INDEX(Antoines,MATCH(I2014,Antoine_Name,0),2)-INDEX(Antoines,MATCH(I2014,Antoine_Name,0),3)/(INDEX(Antoines,MATCH(I2014,Antoine_Name,0),4)+(I2023-32)*5/9)))*14.7/760,IF(I2015="Crude Oil",EXP((2799/(I2023+459.6)-2.227)*LOG10(INDEX(FX_Input,V$5,I$3*$Z$5+$AA$5))-(7261/(I2023+459.6))+12.82),IF(I2015="Refined Petroleum Stock",EXP((0.7553-(413/(I2023+459.6)))*(INDEX(FX_Input,V$5,I$3*$Z$5+$AA$5-1)^0.5)*LOG10(INDEX(FX_Input,V$5,I$3*$Z$5+$AA$5))-(1.854-(1042/(I2023+459.6)))*(INDEX(FX_Input,V$5,I$3*$Z$5+$AA$5-1)^0.5)+((2416/(I2023+459.6)-2.013)*LOG10(INDEX(FX_Input,V$5,I$3*$Z$5+$AA$5)))-(8742/(I2023+459.6))+15.64),EXP(INDEX(Antoines,MATCH(I2014,Antoine_Name,0),2)-INDEX(Antoines,MATCH(I2014,Antoine_Name,0),3)/(I2023+459.6))))),0)</f>
        <v>7.9406391529506654E-3</v>
      </c>
      <c r="J2030" cm="1">
        <f t="array" ref="J2030">IFERROR(IF(J2015="Chemical",(10^(INDEX(Antoines,MATCH(J2014,Antoine_Name,0),2)-INDEX(Antoines,MATCH(J2014,Antoine_Name,0),3)/(INDEX(Antoines,MATCH(J2014,Antoine_Name,0),4)+(J2023-32)*5/9)))*14.7/760,IF(J2015="Crude Oil",EXP((2799/(J2023+459.6)-2.227)*LOG10(INDEX(FX_Input,W$5,J$3*$Z$5+$AA$5))-(7261/(J2023+459.6))+12.82),IF(J2015="Refined Petroleum Stock",EXP((0.7553-(413/(J2023+459.6)))*(INDEX(FX_Input,W$5,J$3*$Z$5+$AA$5-1)^0.5)*LOG10(INDEX(FX_Input,W$5,J$3*$Z$5+$AA$5))-(1.854-(1042/(J2023+459.6)))*(INDEX(FX_Input,W$5,J$3*$Z$5+$AA$5-1)^0.5)+((2416/(J2023+459.6)-2.013)*LOG10(INDEX(FX_Input,W$5,J$3*$Z$5+$AA$5)))-(8742/(J2023+459.6))+15.64),EXP(INDEX(Antoines,MATCH(J2014,Antoine_Name,0),2)-INDEX(Antoines,MATCH(J2014,Antoine_Name,0),3)/(J2023+459.6))))),0)</f>
        <v>8.9422860963673592E-3</v>
      </c>
      <c r="K2030" cm="1">
        <f t="array" ref="K2030">IFERROR(IF(K2015="Chemical",(10^(INDEX(Antoines,MATCH(K2014,Antoine_Name,0),2)-INDEX(Antoines,MATCH(K2014,Antoine_Name,0),3)/(INDEX(Antoines,MATCH(K2014,Antoine_Name,0),4)+(K2023-32)*5/9)))*14.7/760,IF(K2015="Crude Oil",EXP((2799/(K2023+459.6)-2.227)*LOG10(INDEX(FX_Input,X$5,K$3*$Z$5+$AA$5))-(7261/(K2023+459.6))+12.82),IF(K2015="Refined Petroleum Stock",EXP((0.7553-(413/(K2023+459.6)))*(INDEX(FX_Input,X$5,K$3*$Z$5+$AA$5-1)^0.5)*LOG10(INDEX(FX_Input,X$5,K$3*$Z$5+$AA$5))-(1.854-(1042/(K2023+459.6)))*(INDEX(FX_Input,X$5,K$3*$Z$5+$AA$5-1)^0.5)+((2416/(K2023+459.6)-2.013)*LOG10(INDEX(FX_Input,X$5,K$3*$Z$5+$AA$5)))-(8742/(K2023+459.6))+15.64),EXP(INDEX(Antoines,MATCH(K2014,Antoine_Name,0),2)-INDEX(Antoines,MATCH(K2014,Antoine_Name,0),3)/(K2023+459.6))))),0)</f>
        <v>8.9951550374627008E-3</v>
      </c>
      <c r="L2030" cm="1">
        <f t="array" ref="L2030">IFERROR(IF(L2015="Chemical",(10^(INDEX(Antoines,MATCH(L2014,Antoine_Name,0),2)-INDEX(Antoines,MATCH(L2014,Antoine_Name,0),3)/(INDEX(Antoines,MATCH(L2014,Antoine_Name,0),4)+(L2023-32)*5/9)))*14.7/760,IF(L2015="Crude Oil",EXP((2799/(L2023+459.6)-2.227)*LOG10(INDEX(FX_Input,Y$5,L$3*$Z$5+$AA$5))-(7261/(L2023+459.6))+12.82),IF(L2015="Refined Petroleum Stock",EXP((0.7553-(413/(L2023+459.6)))*(INDEX(FX_Input,Y$5,L$3*$Z$5+$AA$5-1)^0.5)*LOG10(INDEX(FX_Input,Y$5,L$3*$Z$5+$AA$5))-(1.854-(1042/(L2023+459.6)))*(INDEX(FX_Input,Y$5,L$3*$Z$5+$AA$5-1)^0.5)+((2416/(L2023+459.6)-2.013)*LOG10(INDEX(FX_Input,Y$5,L$3*$Z$5+$AA$5)))-(8742/(L2023+459.6))+15.64),EXP(INDEX(Antoines,MATCH(L2014,Antoine_Name,0),2)-INDEX(Antoines,MATCH(L2014,Antoine_Name,0),3)/(L2023+459.6))))),0)</f>
        <v>8.2385730689388259E-3</v>
      </c>
      <c r="M2030" cm="1">
        <f t="array" ref="M2030">IFERROR(IF(M2015="Chemical",(10^(INDEX(Antoines,MATCH(M2014,Antoine_Name,0),2)-INDEX(Antoines,MATCH(M2014,Antoine_Name,0),3)/(INDEX(Antoines,MATCH(M2014,Antoine_Name,0),4)+(M2023-32)*5/9)))*14.7/760,IF(M2015="Crude Oil",EXP((2799/(M2023+459.6)-2.227)*LOG10(INDEX(FX_Input,Z$5,M$3*$Z$5+$AA$5))-(7261/(M2023+459.6))+12.82),IF(M2015="Refined Petroleum Stock",EXP((0.7553-(413/(M2023+459.6)))*(INDEX(FX_Input,Z$5,M$3*$Z$5+$AA$5-1)^0.5)*LOG10(INDEX(FX_Input,Z$5,M$3*$Z$5+$AA$5))-(1.854-(1042/(M2023+459.6)))*(INDEX(FX_Input,Z$5,M$3*$Z$5+$AA$5-1)^0.5)+((2416/(M2023+459.6)-2.013)*LOG10(INDEX(FX_Input,Z$5,M$3*$Z$5+$AA$5)))-(8742/(M2023+459.6))+15.64),EXP(INDEX(Antoines,MATCH(M2014,Antoine_Name,0),2)-INDEX(Antoines,MATCH(M2014,Antoine_Name,0),3)/(M2023+459.6))))),0)</f>
        <v>6.618900442185772E-3</v>
      </c>
      <c r="N2030" cm="1">
        <f t="array" ref="N2030">IFERROR(IF(N2015="Chemical",(10^(INDEX(Antoines,MATCH(N2014,Antoine_Name,0),2)-INDEX(Antoines,MATCH(N2014,Antoine_Name,0),3)/(INDEX(Antoines,MATCH(N2014,Antoine_Name,0),4)+(N2023-32)*5/9)))*14.7/760,IF(N2015="Crude Oil",EXP((2799/(N2023+459.6)-2.227)*LOG10(INDEX(FX_Input,AA$5,N$3*$Z$5+$AA$5))-(7261/(N2023+459.6))+12.82),IF(N2015="Refined Petroleum Stock",EXP((0.7553-(413/(N2023+459.6)))*(INDEX(FX_Input,AA$5,N$3*$Z$5+$AA$5-1)^0.5)*LOG10(INDEX(FX_Input,AA$5,N$3*$Z$5+$AA$5))-(1.854-(1042/(N2023+459.6)))*(INDEX(FX_Input,AA$5,N$3*$Z$5+$AA$5-1)^0.5)+((2416/(N2023+459.6)-2.013)*LOG10(INDEX(FX_Input,AA$5,N$3*$Z$5+$AA$5)))-(8742/(N2023+459.6))+15.64),EXP(INDEX(Antoines,MATCH(N2014,Antoine_Name,0),2)-INDEX(Antoines,MATCH(N2014,Antoine_Name,0),3)/(N2023+459.6))))),0)</f>
        <v>5.3923587959108042E-3</v>
      </c>
      <c r="O2030" cm="1">
        <f t="array" ref="O2030">IFERROR(IF(O2015="Chemical",(10^(INDEX(Antoines,MATCH(O2014,Antoine_Name,0),2)-INDEX(Antoines,MATCH(O2014,Antoine_Name,0),3)/(INDEX(Antoines,MATCH(O2014,Antoine_Name,0),4)+(O2023-32)*5/9)))*14.7/760,IF(O2015="Crude Oil",EXP((2799/(O2023+459.6)-2.227)*LOG10(INDEX(FX_Input,AB$5,O$3*$Z$5+$AA$5))-(7261/(O2023+459.6))+12.82),IF(O2015="Refined Petroleum Stock",EXP((0.7553-(413/(O2023+459.6)))*(INDEX(FX_Input,AB$5,O$3*$Z$5+$AA$5-1)^0.5)*LOG10(INDEX(FX_Input,AB$5,O$3*$Z$5+$AA$5))-(1.854-(1042/(O2023+459.6)))*(INDEX(FX_Input,AB$5,O$3*$Z$5+$AA$5-1)^0.5)+((2416/(O2023+459.6)-2.013)*LOG10(INDEX(FX_Input,AB$5,O$3*$Z$5+$AA$5)))-(8742/(O2023+459.6))+15.64),EXP(INDEX(Antoines,MATCH(O2014,Antoine_Name,0),2)-INDEX(Antoines,MATCH(O2014,Antoine_Name,0),3)/(O2023+459.6))))),0)</f>
        <v>4.7525360186456101E-3</v>
      </c>
    </row>
    <row r="2031" spans="2:32" ht="17.149999999999999" x14ac:dyDescent="0.55000000000000004">
      <c r="B2031" t="str">
        <f t="shared" si="7114"/>
        <v>Portland</v>
      </c>
      <c r="C2031" t="s">
        <v>580</v>
      </c>
      <c r="D2031">
        <f>D2030*D2018</f>
        <v>4.8116637646820016E-3</v>
      </c>
      <c r="E2031">
        <f t="shared" ref="E2031:O2031" si="7118">E2030*E2018</f>
        <v>5.0048006991488458E-3</v>
      </c>
      <c r="F2031">
        <f t="shared" si="7118"/>
        <v>5.3193030941574935E-3</v>
      </c>
      <c r="G2031">
        <f t="shared" si="7118"/>
        <v>5.8943503851042415E-3</v>
      </c>
      <c r="H2031">
        <f t="shared" si="7118"/>
        <v>6.9660236232598005E-3</v>
      </c>
      <c r="I2031">
        <f t="shared" si="7118"/>
        <v>7.9406391529506654E-3</v>
      </c>
      <c r="J2031">
        <f t="shared" si="7118"/>
        <v>8.9422860963673592E-3</v>
      </c>
      <c r="K2031">
        <f t="shared" si="7118"/>
        <v>8.9951550374627008E-3</v>
      </c>
      <c r="L2031">
        <f t="shared" si="7118"/>
        <v>8.2385730689388259E-3</v>
      </c>
      <c r="M2031">
        <f t="shared" si="7118"/>
        <v>6.618900442185772E-3</v>
      </c>
      <c r="N2031">
        <f t="shared" si="7118"/>
        <v>5.3923587959108042E-3</v>
      </c>
      <c r="O2031">
        <f t="shared" si="7118"/>
        <v>4.7525360186456101E-3</v>
      </c>
    </row>
    <row r="2032" spans="2:32" ht="17.149999999999999" x14ac:dyDescent="0.55000000000000004">
      <c r="B2032" t="str">
        <f t="shared" si="7114"/>
        <v>Portland</v>
      </c>
      <c r="C2032" t="s">
        <v>581</v>
      </c>
      <c r="D2032" cm="1">
        <f t="array" ref="D2032">IFERROR(IF(D2017="Chemical",(10^(INDEX(Antoines,MATCH(D2016,Antoine_Name,0),2)-INDEX(Antoines,MATCH(D2016,Antoine_Name,0),3)/(INDEX(Antoines,MATCH(D2016,Antoine_Name,0),4)+(D2023-32)*5/9)))*14.7/760,IF(D2017="Crude Oil",EXP((2799/(D2023+459.6)-2.227)*LOG10(INDEX(FX_Input,Q$5,D$3*$Z$5+$AA$5))-(7261/(D2023+459.6))+12.82),IF(D2017="Refined Petroleum Stock",EXP((0.7553-(413/(D2023+459.6)))*(INDEX(FX_Input,Q$5,D$3*$Z$5+$AA$5-1)^0.5)*LOG10(INDEX(FX_Input,Q$5,D$3*$Z$5+$AA$5))-(1.854-(1042/(D2023+459.6)))*(INDEX(FX_Input,Q$5,D$3*$Z$5+$AA$5-1)^0.5)+((2416/(D2023+459.6)-2.013)*LOG10(INDEX(FX_Input,Q$5,D$3*$Z$5+$AA$5)))-(8742/(D2023+459.6))+15.64),EXP(INDEX(Antoines,MATCH(D2016,Antoine_Name,0),2)-INDEX(Antoines,MATCH(D2016,Antoine_Name,0),3)/(D2023+459.6))))),0)</f>
        <v>0</v>
      </c>
      <c r="E2032" cm="1">
        <f t="array" ref="E2032">IFERROR(IF(E2017="Chemical",(10^(INDEX(Antoines,MATCH(E2016,Antoine_Name,0),2)-INDEX(Antoines,MATCH(E2016,Antoine_Name,0),3)/(INDEX(Antoines,MATCH(E2016,Antoine_Name,0),4)+(E2023-32)*5/9)))*14.7/760,IF(E2017="Crude Oil",EXP((2799/(E2023+459.6)-2.227)*LOG10(INDEX(FX_Input,R$5,E$3*$Z$5+$AA$5))-(7261/(E2023+459.6))+12.82),IF(E2017="Refined Petroleum Stock",EXP((0.7553-(413/(E2023+459.6)))*(INDEX(FX_Input,R$5,E$3*$Z$5+$AA$5-1)^0.5)*LOG10(INDEX(FX_Input,R$5,E$3*$Z$5+$AA$5))-(1.854-(1042/(E2023+459.6)))*(INDEX(FX_Input,R$5,E$3*$Z$5+$AA$5-1)^0.5)+((2416/(E2023+459.6)-2.013)*LOG10(INDEX(FX_Input,R$5,E$3*$Z$5+$AA$5)))-(8742/(E2023+459.6))+15.64),EXP(INDEX(Antoines,MATCH(E2016,Antoine_Name,0),2)-INDEX(Antoines,MATCH(E2016,Antoine_Name,0),3)/(E2023+459.6))))),0)</f>
        <v>0</v>
      </c>
      <c r="F2032" cm="1">
        <f t="array" ref="F2032">IFERROR(IF(F2017="Chemical",(10^(INDEX(Antoines,MATCH(F2016,Antoine_Name,0),2)-INDEX(Antoines,MATCH(F2016,Antoine_Name,0),3)/(INDEX(Antoines,MATCH(F2016,Antoine_Name,0),4)+(F2023-32)*5/9)))*14.7/760,IF(F2017="Crude Oil",EXP((2799/(F2023+459.6)-2.227)*LOG10(INDEX(FX_Input,S$5,F$3*$Z$5+$AA$5))-(7261/(F2023+459.6))+12.82),IF(F2017="Refined Petroleum Stock",EXP((0.7553-(413/(F2023+459.6)))*(INDEX(FX_Input,S$5,F$3*$Z$5+$AA$5-1)^0.5)*LOG10(INDEX(FX_Input,S$5,F$3*$Z$5+$AA$5))-(1.854-(1042/(F2023+459.6)))*(INDEX(FX_Input,S$5,F$3*$Z$5+$AA$5-1)^0.5)+((2416/(F2023+459.6)-2.013)*LOG10(INDEX(FX_Input,S$5,F$3*$Z$5+$AA$5)))-(8742/(F2023+459.6))+15.64),EXP(INDEX(Antoines,MATCH(F2016,Antoine_Name,0),2)-INDEX(Antoines,MATCH(F2016,Antoine_Name,0),3)/(F2023+459.6))))),0)</f>
        <v>0</v>
      </c>
      <c r="G2032" cm="1">
        <f t="array" ref="G2032">IFERROR(IF(G2017="Chemical",(10^(INDEX(Antoines,MATCH(G2016,Antoine_Name,0),2)-INDEX(Antoines,MATCH(G2016,Antoine_Name,0),3)/(INDEX(Antoines,MATCH(G2016,Antoine_Name,0),4)+(G2023-32)*5/9)))*14.7/760,IF(G2017="Crude Oil",EXP((2799/(G2023+459.6)-2.227)*LOG10(INDEX(FX_Input,T$5,G$3*$Z$5+$AA$5))-(7261/(G2023+459.6))+12.82),IF(G2017="Refined Petroleum Stock",EXP((0.7553-(413/(G2023+459.6)))*(INDEX(FX_Input,T$5,G$3*$Z$5+$AA$5-1)^0.5)*LOG10(INDEX(FX_Input,T$5,G$3*$Z$5+$AA$5))-(1.854-(1042/(G2023+459.6)))*(INDEX(FX_Input,T$5,G$3*$Z$5+$AA$5-1)^0.5)+((2416/(G2023+459.6)-2.013)*LOG10(INDEX(FX_Input,T$5,G$3*$Z$5+$AA$5)))-(8742/(G2023+459.6))+15.64),EXP(INDEX(Antoines,MATCH(G2016,Antoine_Name,0),2)-INDEX(Antoines,MATCH(G2016,Antoine_Name,0),3)/(G2023+459.6))))),0)</f>
        <v>0</v>
      </c>
      <c r="H2032" cm="1">
        <f t="array" ref="H2032">IFERROR(IF(H2017="Chemical",(10^(INDEX(Antoines,MATCH(H2016,Antoine_Name,0),2)-INDEX(Antoines,MATCH(H2016,Antoine_Name,0),3)/(INDEX(Antoines,MATCH(H2016,Antoine_Name,0),4)+(H2023-32)*5/9)))*14.7/760,IF(H2017="Crude Oil",EXP((2799/(H2023+459.6)-2.227)*LOG10(INDEX(FX_Input,U$5,H$3*$Z$5+$AA$5))-(7261/(H2023+459.6))+12.82),IF(H2017="Refined Petroleum Stock",EXP((0.7553-(413/(H2023+459.6)))*(INDEX(FX_Input,U$5,H$3*$Z$5+$AA$5-1)^0.5)*LOG10(INDEX(FX_Input,U$5,H$3*$Z$5+$AA$5))-(1.854-(1042/(H2023+459.6)))*(INDEX(FX_Input,U$5,H$3*$Z$5+$AA$5-1)^0.5)+((2416/(H2023+459.6)-2.013)*LOG10(INDEX(FX_Input,U$5,H$3*$Z$5+$AA$5)))-(8742/(H2023+459.6))+15.64),EXP(INDEX(Antoines,MATCH(H2016,Antoine_Name,0),2)-INDEX(Antoines,MATCH(H2016,Antoine_Name,0),3)/(H2023+459.6))))),0)</f>
        <v>0</v>
      </c>
      <c r="I2032" cm="1">
        <f t="array" ref="I2032">IFERROR(IF(I2017="Chemical",(10^(INDEX(Antoines,MATCH(I2016,Antoine_Name,0),2)-INDEX(Antoines,MATCH(I2016,Antoine_Name,0),3)/(INDEX(Antoines,MATCH(I2016,Antoine_Name,0),4)+(I2023-32)*5/9)))*14.7/760,IF(I2017="Crude Oil",EXP((2799/(I2023+459.6)-2.227)*LOG10(INDEX(FX_Input,V$5,I$3*$Z$5+$AA$5))-(7261/(I2023+459.6))+12.82),IF(I2017="Refined Petroleum Stock",EXP((0.7553-(413/(I2023+459.6)))*(INDEX(FX_Input,V$5,I$3*$Z$5+$AA$5-1)^0.5)*LOG10(INDEX(FX_Input,V$5,I$3*$Z$5+$AA$5))-(1.854-(1042/(I2023+459.6)))*(INDEX(FX_Input,V$5,I$3*$Z$5+$AA$5-1)^0.5)+((2416/(I2023+459.6)-2.013)*LOG10(INDEX(FX_Input,V$5,I$3*$Z$5+$AA$5)))-(8742/(I2023+459.6))+15.64),EXP(INDEX(Antoines,MATCH(I2016,Antoine_Name,0),2)-INDEX(Antoines,MATCH(I2016,Antoine_Name,0),3)/(I2023+459.6))))),0)</f>
        <v>0</v>
      </c>
      <c r="J2032" cm="1">
        <f t="array" ref="J2032">IFERROR(IF(J2017="Chemical",(10^(INDEX(Antoines,MATCH(J2016,Antoine_Name,0),2)-INDEX(Antoines,MATCH(J2016,Antoine_Name,0),3)/(INDEX(Antoines,MATCH(J2016,Antoine_Name,0),4)+(J2023-32)*5/9)))*14.7/760,IF(J2017="Crude Oil",EXP((2799/(J2023+459.6)-2.227)*LOG10(INDEX(FX_Input,W$5,J$3*$Z$5+$AA$5))-(7261/(J2023+459.6))+12.82),IF(J2017="Refined Petroleum Stock",EXP((0.7553-(413/(J2023+459.6)))*(INDEX(FX_Input,W$5,J$3*$Z$5+$AA$5-1)^0.5)*LOG10(INDEX(FX_Input,W$5,J$3*$Z$5+$AA$5))-(1.854-(1042/(J2023+459.6)))*(INDEX(FX_Input,W$5,J$3*$Z$5+$AA$5-1)^0.5)+((2416/(J2023+459.6)-2.013)*LOG10(INDEX(FX_Input,W$5,J$3*$Z$5+$AA$5)))-(8742/(J2023+459.6))+15.64),EXP(INDEX(Antoines,MATCH(J2016,Antoine_Name,0),2)-INDEX(Antoines,MATCH(J2016,Antoine_Name,0),3)/(J2023+459.6))))),0)</f>
        <v>0</v>
      </c>
      <c r="K2032" cm="1">
        <f t="array" ref="K2032">IFERROR(IF(K2017="Chemical",(10^(INDEX(Antoines,MATCH(K2016,Antoine_Name,0),2)-INDEX(Antoines,MATCH(K2016,Antoine_Name,0),3)/(INDEX(Antoines,MATCH(K2016,Antoine_Name,0),4)+(K2023-32)*5/9)))*14.7/760,IF(K2017="Crude Oil",EXP((2799/(K2023+459.6)-2.227)*LOG10(INDEX(FX_Input,X$5,K$3*$Z$5+$AA$5))-(7261/(K2023+459.6))+12.82),IF(K2017="Refined Petroleum Stock",EXP((0.7553-(413/(K2023+459.6)))*(INDEX(FX_Input,X$5,K$3*$Z$5+$AA$5-1)^0.5)*LOG10(INDEX(FX_Input,X$5,K$3*$Z$5+$AA$5))-(1.854-(1042/(K2023+459.6)))*(INDEX(FX_Input,X$5,K$3*$Z$5+$AA$5-1)^0.5)+((2416/(K2023+459.6)-2.013)*LOG10(INDEX(FX_Input,X$5,K$3*$Z$5+$AA$5)))-(8742/(K2023+459.6))+15.64),EXP(INDEX(Antoines,MATCH(K2016,Antoine_Name,0),2)-INDEX(Antoines,MATCH(K2016,Antoine_Name,0),3)/(K2023+459.6))))),0)</f>
        <v>0</v>
      </c>
      <c r="L2032" cm="1">
        <f t="array" ref="L2032">IFERROR(IF(L2017="Chemical",(10^(INDEX(Antoines,MATCH(L2016,Antoine_Name,0),2)-INDEX(Antoines,MATCH(L2016,Antoine_Name,0),3)/(INDEX(Antoines,MATCH(L2016,Antoine_Name,0),4)+(L2023-32)*5/9)))*14.7/760,IF(L2017="Crude Oil",EXP((2799/(L2023+459.6)-2.227)*LOG10(INDEX(FX_Input,Y$5,L$3*$Z$5+$AA$5))-(7261/(L2023+459.6))+12.82),IF(L2017="Refined Petroleum Stock",EXP((0.7553-(413/(L2023+459.6)))*(INDEX(FX_Input,Y$5,L$3*$Z$5+$AA$5-1)^0.5)*LOG10(INDEX(FX_Input,Y$5,L$3*$Z$5+$AA$5))-(1.854-(1042/(L2023+459.6)))*(INDEX(FX_Input,Y$5,L$3*$Z$5+$AA$5-1)^0.5)+((2416/(L2023+459.6)-2.013)*LOG10(INDEX(FX_Input,Y$5,L$3*$Z$5+$AA$5)))-(8742/(L2023+459.6))+15.64),EXP(INDEX(Antoines,MATCH(L2016,Antoine_Name,0),2)-INDEX(Antoines,MATCH(L2016,Antoine_Name,0),3)/(L2023+459.6))))),0)</f>
        <v>0</v>
      </c>
      <c r="M2032" cm="1">
        <f t="array" ref="M2032">IFERROR(IF(M2017="Chemical",(10^(INDEX(Antoines,MATCH(M2016,Antoine_Name,0),2)-INDEX(Antoines,MATCH(M2016,Antoine_Name,0),3)/(INDEX(Antoines,MATCH(M2016,Antoine_Name,0),4)+(M2023-32)*5/9)))*14.7/760,IF(M2017="Crude Oil",EXP((2799/(M2023+459.6)-2.227)*LOG10(INDEX(FX_Input,Z$5,M$3*$Z$5+$AA$5))-(7261/(M2023+459.6))+12.82),IF(M2017="Refined Petroleum Stock",EXP((0.7553-(413/(M2023+459.6)))*(INDEX(FX_Input,Z$5,M$3*$Z$5+$AA$5-1)^0.5)*LOG10(INDEX(FX_Input,Z$5,M$3*$Z$5+$AA$5))-(1.854-(1042/(M2023+459.6)))*(INDEX(FX_Input,Z$5,M$3*$Z$5+$AA$5-1)^0.5)+((2416/(M2023+459.6)-2.013)*LOG10(INDEX(FX_Input,Z$5,M$3*$Z$5+$AA$5)))-(8742/(M2023+459.6))+15.64),EXP(INDEX(Antoines,MATCH(M2016,Antoine_Name,0),2)-INDEX(Antoines,MATCH(M2016,Antoine_Name,0),3)/(M2023+459.6))))),0)</f>
        <v>0</v>
      </c>
      <c r="N2032" cm="1">
        <f t="array" ref="N2032">IFERROR(IF(N2017="Chemical",(10^(INDEX(Antoines,MATCH(N2016,Antoine_Name,0),2)-INDEX(Antoines,MATCH(N2016,Antoine_Name,0),3)/(INDEX(Antoines,MATCH(N2016,Antoine_Name,0),4)+(N2023-32)*5/9)))*14.7/760,IF(N2017="Crude Oil",EXP((2799/(N2023+459.6)-2.227)*LOG10(INDEX(FX_Input,AA$5,N$3*$Z$5+$AA$5))-(7261/(N2023+459.6))+12.82),IF(N2017="Refined Petroleum Stock",EXP((0.7553-(413/(N2023+459.6)))*(INDEX(FX_Input,AA$5,N$3*$Z$5+$AA$5-1)^0.5)*LOG10(INDEX(FX_Input,AA$5,N$3*$Z$5+$AA$5))-(1.854-(1042/(N2023+459.6)))*(INDEX(FX_Input,AA$5,N$3*$Z$5+$AA$5-1)^0.5)+((2416/(N2023+459.6)-2.013)*LOG10(INDEX(FX_Input,AA$5,N$3*$Z$5+$AA$5)))-(8742/(N2023+459.6))+15.64),EXP(INDEX(Antoines,MATCH(N2016,Antoine_Name,0),2)-INDEX(Antoines,MATCH(N2016,Antoine_Name,0),3)/(N2023+459.6))))),0)</f>
        <v>0</v>
      </c>
      <c r="O2032" cm="1">
        <f t="array" ref="O2032">IFERROR(IF(O2017="Chemical",(10^(INDEX(Antoines,MATCH(O2016,Antoine_Name,0),2)-INDEX(Antoines,MATCH(O2016,Antoine_Name,0),3)/(INDEX(Antoines,MATCH(O2016,Antoine_Name,0),4)+(O2023-32)*5/9)))*14.7/760,IF(O2017="Crude Oil",EXP((2799/(O2023+459.6)-2.227)*LOG10(INDEX(FX_Input,AB$5,O$3*$Z$5+$AA$5))-(7261/(O2023+459.6))+12.82),IF(O2017="Refined Petroleum Stock",EXP((0.7553-(413/(O2023+459.6)))*(INDEX(FX_Input,AB$5,O$3*$Z$5+$AA$5-1)^0.5)*LOG10(INDEX(FX_Input,AB$5,O$3*$Z$5+$AA$5))-(1.854-(1042/(O2023+459.6)))*(INDEX(FX_Input,AB$5,O$3*$Z$5+$AA$5-1)^0.5)+((2416/(O2023+459.6)-2.013)*LOG10(INDEX(FX_Input,AB$5,O$3*$Z$5+$AA$5)))-(8742/(O2023+459.6))+15.64),EXP(INDEX(Antoines,MATCH(O2016,Antoine_Name,0),2)-INDEX(Antoines,MATCH(O2016,Antoine_Name,0),3)/(O2023+459.6))))),0)</f>
        <v>0</v>
      </c>
    </row>
    <row r="2033" spans="1:32" ht="17.149999999999999" x14ac:dyDescent="0.55000000000000004">
      <c r="B2033" t="str">
        <f t="shared" si="7114"/>
        <v>Portland</v>
      </c>
      <c r="C2033" t="s">
        <v>582</v>
      </c>
      <c r="D2033">
        <f>D2032*D2020</f>
        <v>0</v>
      </c>
      <c r="E2033">
        <f t="shared" ref="E2033:O2033" si="7119">E2032*E2020</f>
        <v>0</v>
      </c>
      <c r="F2033">
        <f t="shared" si="7119"/>
        <v>0</v>
      </c>
      <c r="G2033">
        <f t="shared" si="7119"/>
        <v>0</v>
      </c>
      <c r="H2033">
        <f t="shared" si="7119"/>
        <v>0</v>
      </c>
      <c r="I2033">
        <f t="shared" si="7119"/>
        <v>0</v>
      </c>
      <c r="J2033">
        <f t="shared" si="7119"/>
        <v>0</v>
      </c>
      <c r="K2033">
        <f t="shared" si="7119"/>
        <v>0</v>
      </c>
      <c r="L2033">
        <f t="shared" si="7119"/>
        <v>0</v>
      </c>
      <c r="M2033">
        <f t="shared" si="7119"/>
        <v>0</v>
      </c>
      <c r="N2033">
        <f t="shared" si="7119"/>
        <v>0</v>
      </c>
      <c r="O2033">
        <f t="shared" si="7119"/>
        <v>0</v>
      </c>
    </row>
    <row r="2034" spans="1:32" ht="17.149999999999999" x14ac:dyDescent="0.55000000000000004">
      <c r="B2034" t="str">
        <f t="shared" si="7114"/>
        <v>Portland</v>
      </c>
      <c r="C2034" t="s">
        <v>583</v>
      </c>
      <c r="D2034">
        <f>D2031+D2033</f>
        <v>4.8116637646820016E-3</v>
      </c>
      <c r="E2034">
        <f t="shared" ref="E2034:O2034" si="7120">E2031+E2033</f>
        <v>5.0048006991488458E-3</v>
      </c>
      <c r="F2034">
        <f t="shared" si="7120"/>
        <v>5.3193030941574935E-3</v>
      </c>
      <c r="G2034">
        <f t="shared" si="7120"/>
        <v>5.8943503851042415E-3</v>
      </c>
      <c r="H2034">
        <f t="shared" si="7120"/>
        <v>6.9660236232598005E-3</v>
      </c>
      <c r="I2034">
        <f t="shared" si="7120"/>
        <v>7.9406391529506654E-3</v>
      </c>
      <c r="J2034">
        <f t="shared" si="7120"/>
        <v>8.9422860963673592E-3</v>
      </c>
      <c r="K2034">
        <f t="shared" si="7120"/>
        <v>8.9951550374627008E-3</v>
      </c>
      <c r="L2034">
        <f t="shared" si="7120"/>
        <v>8.2385730689388259E-3</v>
      </c>
      <c r="M2034">
        <f t="shared" si="7120"/>
        <v>6.618900442185772E-3</v>
      </c>
      <c r="N2034">
        <f t="shared" si="7120"/>
        <v>5.3923587959108042E-3</v>
      </c>
      <c r="O2034">
        <f t="shared" si="7120"/>
        <v>4.7525360186456101E-3</v>
      </c>
    </row>
    <row r="2035" spans="1:32" ht="17.149999999999999" x14ac:dyDescent="0.55000000000000004">
      <c r="B2035" t="str">
        <f t="shared" si="7114"/>
        <v>Portland</v>
      </c>
      <c r="C2035" t="s">
        <v>1388</v>
      </c>
      <c r="D2035" cm="1">
        <f t="array" ref="D2035">IFERROR(IF(D2015="Chemical",(10^(INDEX(Antoines,MATCH(D2014,Antoine_Name,0),2)-INDEX(Antoines,MATCH(D2014,Antoine_Name,0),3)/(INDEX(Antoines,MATCH(D2014,Antoine_Name,0),4)+(D2024-32)*5/9)))*14.7/760,IF(D2015="Crude Oil",EXP((2799/(D2024+459.6)-2.227)*LOG10(INDEX(FX_Input,Q$5,D$3*$Z$5+$AA$5))-(7261/(D2024+459.6))+12.82),IF(D2015="Refined Petroleum Stock",EXP((0.7553-(413/(D2024+459.6)))*(INDEX(FX_Input,Q$5,D$3*$Z$5+$AA$5-1)^0.5)*LOG10(INDEX(FX_Input,Q$5,D$3*$Z$5+$AA$5))-(1.854-(1042/(D2024+459.6)))*(INDEX(FX_Input,Q$5,D$3*$Z$5+$AA$5-1)^0.5)+((2416/(D2024+459.6)-2.013)*LOG10(INDEX(FX_Input,Q$5,D$3*$Z$5+$AA$5)))-(8742/(D2024+459.6))+15.64),EXP(INDEX(Antoines,MATCH(D2014,Antoine_Name,0),2)-INDEX(Antoines,MATCH(D2014,Antoine_Name,0),3)/(D2024+459.6))))),0)</f>
        <v>4.8847213797703236E-3</v>
      </c>
      <c r="E2035" cm="1">
        <f t="array" ref="E2035">IFERROR(IF(E2015="Chemical",(10^(INDEX(Antoines,MATCH(E2014,Antoine_Name,0),2)-INDEX(Antoines,MATCH(E2014,Antoine_Name,0),3)/(INDEX(Antoines,MATCH(E2014,Antoine_Name,0),4)+(E2024-32)*5/9)))*14.7/760,IF(E2015="Crude Oil",EXP((2799/(E2024+459.6)-2.227)*LOG10(INDEX(FX_Input,R$5,E$3*$Z$5+$AA$5))-(7261/(E2024+459.6))+12.82),IF(E2015="Refined Petroleum Stock",EXP((0.7553-(413/(E2024+459.6)))*(INDEX(FX_Input,R$5,E$3*$Z$5+$AA$5-1)^0.5)*LOG10(INDEX(FX_Input,R$5,E$3*$Z$5+$AA$5))-(1.854-(1042/(E2024+459.6)))*(INDEX(FX_Input,R$5,E$3*$Z$5+$AA$5-1)^0.5)+((2416/(E2024+459.6)-2.013)*LOG10(INDEX(FX_Input,R$5,E$3*$Z$5+$AA$5)))-(8742/(E2024+459.6))+15.64),EXP(INDEX(Antoines,MATCH(E2014,Antoine_Name,0),2)-INDEX(Antoines,MATCH(E2014,Antoine_Name,0),3)/(E2024+459.6))))),0)</f>
        <v>5.1377970454196883E-3</v>
      </c>
      <c r="F2035" cm="1">
        <f t="array" ref="F2035">IFERROR(IF(F2015="Chemical",(10^(INDEX(Antoines,MATCH(F2014,Antoine_Name,0),2)-INDEX(Antoines,MATCH(F2014,Antoine_Name,0),3)/(INDEX(Antoines,MATCH(F2014,Antoine_Name,0),4)+(F2024-32)*5/9)))*14.7/760,IF(F2015="Crude Oil",EXP((2799/(F2024+459.6)-2.227)*LOG10(INDEX(FX_Input,S$5,F$3*$Z$5+$AA$5))-(7261/(F2024+459.6))+12.82),IF(F2015="Refined Petroleum Stock",EXP((0.7553-(413/(F2024+459.6)))*(INDEX(FX_Input,S$5,F$3*$Z$5+$AA$5-1)^0.5)*LOG10(INDEX(FX_Input,S$5,F$3*$Z$5+$AA$5))-(1.854-(1042/(F2024+459.6)))*(INDEX(FX_Input,S$5,F$3*$Z$5+$AA$5-1)^0.5)+((2416/(F2024+459.6)-2.013)*LOG10(INDEX(FX_Input,S$5,F$3*$Z$5+$AA$5)))-(8742/(F2024+459.6))+15.64),EXP(INDEX(Antoines,MATCH(F2014,Antoine_Name,0),2)-INDEX(Antoines,MATCH(F2014,Antoine_Name,0),3)/(F2024+459.6))))),0)</f>
        <v>5.5255769197630547E-3</v>
      </c>
      <c r="G2035" cm="1">
        <f t="array" ref="G2035">IFERROR(IF(G2015="Chemical",(10^(INDEX(Antoines,MATCH(G2014,Antoine_Name,0),2)-INDEX(Antoines,MATCH(G2014,Antoine_Name,0),3)/(INDEX(Antoines,MATCH(G2014,Antoine_Name,0),4)+(G2024-32)*5/9)))*14.7/760,IF(G2015="Crude Oil",EXP((2799/(G2024+459.6)-2.227)*LOG10(INDEX(FX_Input,T$5,G$3*$Z$5+$AA$5))-(7261/(G2024+459.6))+12.82),IF(G2015="Refined Petroleum Stock",EXP((0.7553-(413/(G2024+459.6)))*(INDEX(FX_Input,T$5,G$3*$Z$5+$AA$5-1)^0.5)*LOG10(INDEX(FX_Input,T$5,G$3*$Z$5+$AA$5))-(1.854-(1042/(G2024+459.6)))*(INDEX(FX_Input,T$5,G$3*$Z$5+$AA$5-1)^0.5)+((2416/(G2024+459.6)-2.013)*LOG10(INDEX(FX_Input,T$5,G$3*$Z$5+$AA$5)))-(8742/(G2024+459.6))+15.64),EXP(INDEX(Antoines,MATCH(G2014,Antoine_Name,0),2)-INDEX(Antoines,MATCH(G2014,Antoine_Name,0),3)/(G2024+459.6))))),0)</f>
        <v>6.219119610903932E-3</v>
      </c>
      <c r="H2035" cm="1">
        <f t="array" ref="H2035">IFERROR(IF(H2015="Chemical",(10^(INDEX(Antoines,MATCH(H2014,Antoine_Name,0),2)-INDEX(Antoines,MATCH(H2014,Antoine_Name,0),3)/(INDEX(Antoines,MATCH(H2014,Antoine_Name,0),4)+(H2024-32)*5/9)))*14.7/760,IF(H2015="Crude Oil",EXP((2799/(H2024+459.6)-2.227)*LOG10(INDEX(FX_Input,U$5,H$3*$Z$5+$AA$5))-(7261/(H2024+459.6))+12.82),IF(H2015="Refined Petroleum Stock",EXP((0.7553-(413/(H2024+459.6)))*(INDEX(FX_Input,U$5,H$3*$Z$5+$AA$5-1)^0.5)*LOG10(INDEX(FX_Input,U$5,H$3*$Z$5+$AA$5))-(1.854-(1042/(H2024+459.6)))*(INDEX(FX_Input,U$5,H$3*$Z$5+$AA$5-1)^0.5)+((2416/(H2024+459.6)-2.013)*LOG10(INDEX(FX_Input,U$5,H$3*$Z$5+$AA$5)))-(8742/(H2024+459.6))+15.64),EXP(INDEX(Antoines,MATCH(H2014,Antoine_Name,0),2)-INDEX(Antoines,MATCH(H2014,Antoine_Name,0),3)/(H2024+459.6))))),0)</f>
        <v>7.430518180814979E-3</v>
      </c>
      <c r="I2035" cm="1">
        <f t="array" ref="I2035">IFERROR(IF(I2015="Chemical",(10^(INDEX(Antoines,MATCH(I2014,Antoine_Name,0),2)-INDEX(Antoines,MATCH(I2014,Antoine_Name,0),3)/(INDEX(Antoines,MATCH(I2014,Antoine_Name,0),4)+(I2024-32)*5/9)))*14.7/760,IF(I2015="Crude Oil",EXP((2799/(I2024+459.6)-2.227)*LOG10(INDEX(FX_Input,V$5,I$3*$Z$5+$AA$5))-(7261/(I2024+459.6))+12.82),IF(I2015="Refined Petroleum Stock",EXP((0.7553-(413/(I2024+459.6)))*(INDEX(FX_Input,V$5,I$3*$Z$5+$AA$5-1)^0.5)*LOG10(INDEX(FX_Input,V$5,I$3*$Z$5+$AA$5))-(1.854-(1042/(I2024+459.6)))*(INDEX(FX_Input,V$5,I$3*$Z$5+$AA$5-1)^0.5)+((2416/(I2024+459.6)-2.013)*LOG10(INDEX(FX_Input,V$5,I$3*$Z$5+$AA$5)))-(8742/(I2024+459.6))+15.64),EXP(INDEX(Antoines,MATCH(I2014,Antoine_Name,0),2)-INDEX(Antoines,MATCH(I2014,Antoine_Name,0),3)/(I2024+459.6))))),0)</f>
        <v>8.4933610792594406E-3</v>
      </c>
      <c r="J2035" cm="1">
        <f t="array" ref="J2035">IFERROR(IF(J2015="Chemical",(10^(INDEX(Antoines,MATCH(J2014,Antoine_Name,0),2)-INDEX(Antoines,MATCH(J2014,Antoine_Name,0),3)/(INDEX(Antoines,MATCH(J2014,Antoine_Name,0),4)+(J2024-32)*5/9)))*14.7/760,IF(J2015="Crude Oil",EXP((2799/(J2024+459.6)-2.227)*LOG10(INDEX(FX_Input,W$5,J$3*$Z$5+$AA$5))-(7261/(J2024+459.6))+12.82),IF(J2015="Refined Petroleum Stock",EXP((0.7553-(413/(J2024+459.6)))*(INDEX(FX_Input,W$5,J$3*$Z$5+$AA$5-1)^0.5)*LOG10(INDEX(FX_Input,W$5,J$3*$Z$5+$AA$5))-(1.854-(1042/(J2024+459.6)))*(INDEX(FX_Input,W$5,J$3*$Z$5+$AA$5-1)^0.5)+((2416/(J2024+459.6)-2.013)*LOG10(INDEX(FX_Input,W$5,J$3*$Z$5+$AA$5)))-(8742/(J2024+459.6))+15.64),EXP(INDEX(Antoines,MATCH(J2014,Antoine_Name,0),2)-INDEX(Antoines,MATCH(J2014,Antoine_Name,0),3)/(J2024+459.6))))),0)</f>
        <v>9.5874007696552591E-3</v>
      </c>
      <c r="K2035" cm="1">
        <f t="array" ref="K2035">IFERROR(IF(K2015="Chemical",(10^(INDEX(Antoines,MATCH(K2014,Antoine_Name,0),2)-INDEX(Antoines,MATCH(K2014,Antoine_Name,0),3)/(INDEX(Antoines,MATCH(K2014,Antoine_Name,0),4)+(K2024-32)*5/9)))*14.7/760,IF(K2015="Crude Oil",EXP((2799/(K2024+459.6)-2.227)*LOG10(INDEX(FX_Input,X$5,K$3*$Z$5+$AA$5))-(7261/(K2024+459.6))+12.82),IF(K2015="Refined Petroleum Stock",EXP((0.7553-(413/(K2024+459.6)))*(INDEX(FX_Input,X$5,K$3*$Z$5+$AA$5-1)^0.5)*LOG10(INDEX(FX_Input,X$5,K$3*$Z$5+$AA$5))-(1.854-(1042/(K2024+459.6)))*(INDEX(FX_Input,X$5,K$3*$Z$5+$AA$5-1)^0.5)+((2416/(K2024+459.6)-2.013)*LOG10(INDEX(FX_Input,X$5,K$3*$Z$5+$AA$5)))-(8742/(K2024+459.6))+15.64),EXP(INDEX(Antoines,MATCH(K2014,Antoine_Name,0),2)-INDEX(Antoines,MATCH(K2014,Antoine_Name,0),3)/(K2024+459.6))))),0)</f>
        <v>9.5593988737869996E-3</v>
      </c>
      <c r="L2035" cm="1">
        <f t="array" ref="L2035">IFERROR(IF(L2015="Chemical",(10^(INDEX(Antoines,MATCH(L2014,Antoine_Name,0),2)-INDEX(Antoines,MATCH(L2014,Antoine_Name,0),3)/(INDEX(Antoines,MATCH(L2014,Antoine_Name,0),4)+(L2024-32)*5/9)))*14.7/760,IF(L2015="Crude Oil",EXP((2799/(L2024+459.6)-2.227)*LOG10(INDEX(FX_Input,Y$5,L$3*$Z$5+$AA$5))-(7261/(L2024+459.6))+12.82),IF(L2015="Refined Petroleum Stock",EXP((0.7553-(413/(L2024+459.6)))*(INDEX(FX_Input,Y$5,L$3*$Z$5+$AA$5-1)^0.5)*LOG10(INDEX(FX_Input,Y$5,L$3*$Z$5+$AA$5))-(1.854-(1042/(L2024+459.6)))*(INDEX(FX_Input,Y$5,L$3*$Z$5+$AA$5-1)^0.5)+((2416/(L2024+459.6)-2.013)*LOG10(INDEX(FX_Input,Y$5,L$3*$Z$5+$AA$5)))-(8742/(L2024+459.6))+15.64),EXP(INDEX(Antoines,MATCH(L2014,Antoine_Name,0),2)-INDEX(Antoines,MATCH(L2014,Antoine_Name,0),3)/(L2024+459.6))))),0)</f>
        <v>8.6549593565446326E-3</v>
      </c>
      <c r="M2035" cm="1">
        <f t="array" ref="M2035">IFERROR(IF(M2015="Chemical",(10^(INDEX(Antoines,MATCH(M2014,Antoine_Name,0),2)-INDEX(Antoines,MATCH(M2014,Antoine_Name,0),3)/(INDEX(Antoines,MATCH(M2014,Antoine_Name,0),4)+(M2024-32)*5/9)))*14.7/760,IF(M2015="Crude Oil",EXP((2799/(M2024+459.6)-2.227)*LOG10(INDEX(FX_Input,Z$5,M$3*$Z$5+$AA$5))-(7261/(M2024+459.6))+12.82),IF(M2015="Refined Petroleum Stock",EXP((0.7553-(413/(M2024+459.6)))*(INDEX(FX_Input,Z$5,M$3*$Z$5+$AA$5-1)^0.5)*LOG10(INDEX(FX_Input,Z$5,M$3*$Z$5+$AA$5))-(1.854-(1042/(M2024+459.6)))*(INDEX(FX_Input,Z$5,M$3*$Z$5+$AA$5-1)^0.5)+((2416/(M2024+459.6)-2.013)*LOG10(INDEX(FX_Input,Z$5,M$3*$Z$5+$AA$5)))-(8742/(M2024+459.6))+15.64),EXP(INDEX(Antoines,MATCH(M2014,Antoine_Name,0),2)-INDEX(Antoines,MATCH(M2014,Antoine_Name,0),3)/(M2024+459.6))))),0)</f>
        <v>6.8260376495002202E-3</v>
      </c>
      <c r="N2035" cm="1">
        <f t="array" ref="N2035">IFERROR(IF(N2015="Chemical",(10^(INDEX(Antoines,MATCH(N2014,Antoine_Name,0),2)-INDEX(Antoines,MATCH(N2014,Antoine_Name,0),3)/(INDEX(Antoines,MATCH(N2014,Antoine_Name,0),4)+(N2024-32)*5/9)))*14.7/760,IF(N2015="Crude Oil",EXP((2799/(N2024+459.6)-2.227)*LOG10(INDEX(FX_Input,AA$5,N$3*$Z$5+$AA$5))-(7261/(N2024+459.6))+12.82),IF(N2015="Refined Petroleum Stock",EXP((0.7553-(413/(N2024+459.6)))*(INDEX(FX_Input,AA$5,N$3*$Z$5+$AA$5-1)^0.5)*LOG10(INDEX(FX_Input,AA$5,N$3*$Z$5+$AA$5))-(1.854-(1042/(N2024+459.6)))*(INDEX(FX_Input,AA$5,N$3*$Z$5+$AA$5-1)^0.5)+((2416/(N2024+459.6)-2.013)*LOG10(INDEX(FX_Input,AA$5,N$3*$Z$5+$AA$5)))-(8742/(N2024+459.6))+15.64),EXP(INDEX(Antoines,MATCH(N2014,Antoine_Name,0),2)-INDEX(Antoines,MATCH(N2014,Antoine_Name,0),3)/(N2024+459.6))))),0)</f>
        <v>5.4845718776011703E-3</v>
      </c>
      <c r="O2035" cm="1">
        <f t="array" ref="O2035">IFERROR(IF(O2015="Chemical",(10^(INDEX(Antoines,MATCH(O2014,Antoine_Name,0),2)-INDEX(Antoines,MATCH(O2014,Antoine_Name,0),3)/(INDEX(Antoines,MATCH(O2014,Antoine_Name,0),4)+(O2024-32)*5/9)))*14.7/760,IF(O2015="Crude Oil",EXP((2799/(O2024+459.6)-2.227)*LOG10(INDEX(FX_Input,AB$5,O$3*$Z$5+$AA$5))-(7261/(O2024+459.6))+12.82),IF(O2015="Refined Petroleum Stock",EXP((0.7553-(413/(O2024+459.6)))*(INDEX(FX_Input,AB$5,O$3*$Z$5+$AA$5-1)^0.5)*LOG10(INDEX(FX_Input,AB$5,O$3*$Z$5+$AA$5))-(1.854-(1042/(O2024+459.6)))*(INDEX(FX_Input,AB$5,O$3*$Z$5+$AA$5-1)^0.5)+((2416/(O2024+459.6)-2.013)*LOG10(INDEX(FX_Input,AB$5,O$3*$Z$5+$AA$5)))-(8742/(O2024+459.6))+15.64),EXP(INDEX(Antoines,MATCH(O2014,Antoine_Name,0),2)-INDEX(Antoines,MATCH(O2014,Antoine_Name,0),3)/(O2024+459.6))))),0)</f>
        <v>4.8161086599927579E-3</v>
      </c>
    </row>
    <row r="2036" spans="1:32" ht="17.149999999999999" x14ac:dyDescent="0.55000000000000004">
      <c r="B2036" t="str">
        <f t="shared" si="7114"/>
        <v>Portland</v>
      </c>
      <c r="C2036" t="s">
        <v>1389</v>
      </c>
      <c r="D2036">
        <f>D2035*D2018</f>
        <v>4.8847213797703236E-3</v>
      </c>
      <c r="E2036">
        <f t="shared" ref="E2036:O2036" si="7121">E2035*E2018</f>
        <v>5.1377970454196883E-3</v>
      </c>
      <c r="F2036">
        <f t="shared" si="7121"/>
        <v>5.5255769197630547E-3</v>
      </c>
      <c r="G2036">
        <f t="shared" si="7121"/>
        <v>6.219119610903932E-3</v>
      </c>
      <c r="H2036">
        <f t="shared" si="7121"/>
        <v>7.430518180814979E-3</v>
      </c>
      <c r="I2036">
        <f t="shared" si="7121"/>
        <v>8.4933610792594406E-3</v>
      </c>
      <c r="J2036">
        <f t="shared" si="7121"/>
        <v>9.5874007696552591E-3</v>
      </c>
      <c r="K2036">
        <f t="shared" si="7121"/>
        <v>9.5593988737869996E-3</v>
      </c>
      <c r="L2036">
        <f t="shared" si="7121"/>
        <v>8.6549593565446326E-3</v>
      </c>
      <c r="M2036">
        <f t="shared" si="7121"/>
        <v>6.8260376495002202E-3</v>
      </c>
      <c r="N2036">
        <f t="shared" si="7121"/>
        <v>5.4845718776011703E-3</v>
      </c>
      <c r="O2036">
        <f t="shared" si="7121"/>
        <v>4.8161086599927579E-3</v>
      </c>
    </row>
    <row r="2037" spans="1:32" ht="17.149999999999999" x14ac:dyDescent="0.55000000000000004">
      <c r="B2037" t="str">
        <f t="shared" si="7114"/>
        <v>Portland</v>
      </c>
      <c r="C2037" t="s">
        <v>1390</v>
      </c>
      <c r="D2037" cm="1">
        <f t="array" ref="D2037">IFERROR(IF(D2017="Chemical",(10^(INDEX(Antoines,MATCH(D2016,Antoine_Name,0),2)-INDEX(Antoines,MATCH(D2016,Antoine_Name,0),3)/(INDEX(Antoines,MATCH(D2016,Antoine_Name,0),4)+(D2024-32)*5/9)))*14.7/760,IF(D2017="Crude Oil",EXP((2799/(D2024+459.6)-2.227)*LOG10(INDEX(FX_Input,Q$5,D$3*$Z$5+$AA$5))-(7261/(D2024+459.6))+12.82),IF(D2017="Refined Petroleum Stock",EXP((0.7553-(413/(D2024+459.6)))*(INDEX(FX_Input,Q$5,D$3*$Z$5+$AA$5-1)^0.5)*LOG10(INDEX(FX_Input,Q$5,D$3*$Z$5+$AA$5))-(1.854-(1042/(D2024+459.6)))*(INDEX(FX_Input,Q$5,D$3*$Z$5+$AA$5-1)^0.5)+((2416/(D2024+459.6)-2.013)*LOG10(INDEX(FX_Input,Q$5,D$3*$Z$5+$AA$5)))-(8742/(D2024+459.6))+15.64),EXP(INDEX(Antoines,MATCH(D2016,Antoine_Name,0),2)-INDEX(Antoines,MATCH(D2016,Antoine_Name,0),3)/(D2024+459.6))))),0)</f>
        <v>0</v>
      </c>
      <c r="E2037" cm="1">
        <f t="array" ref="E2037">IFERROR(IF(E2017="Chemical",(10^(INDEX(Antoines,MATCH(E2016,Antoine_Name,0),2)-INDEX(Antoines,MATCH(E2016,Antoine_Name,0),3)/(INDEX(Antoines,MATCH(E2016,Antoine_Name,0),4)+(E2024-32)*5/9)))*14.7/760,IF(E2017="Crude Oil",EXP((2799/(E2024+459.6)-2.227)*LOG10(INDEX(FX_Input,R$5,E$3*$Z$5+$AA$5))-(7261/(E2024+459.6))+12.82),IF(E2017="Refined Petroleum Stock",EXP((0.7553-(413/(E2024+459.6)))*(INDEX(FX_Input,R$5,E$3*$Z$5+$AA$5-1)^0.5)*LOG10(INDEX(FX_Input,R$5,E$3*$Z$5+$AA$5))-(1.854-(1042/(E2024+459.6)))*(INDEX(FX_Input,R$5,E$3*$Z$5+$AA$5-1)^0.5)+((2416/(E2024+459.6)-2.013)*LOG10(INDEX(FX_Input,R$5,E$3*$Z$5+$AA$5)))-(8742/(E2024+459.6))+15.64),EXP(INDEX(Antoines,MATCH(E2016,Antoine_Name,0),2)-INDEX(Antoines,MATCH(E2016,Antoine_Name,0),3)/(E2024+459.6))))),0)</f>
        <v>0</v>
      </c>
      <c r="F2037" cm="1">
        <f t="array" ref="F2037">IFERROR(IF(F2017="Chemical",(10^(INDEX(Antoines,MATCH(F2016,Antoine_Name,0),2)-INDEX(Antoines,MATCH(F2016,Antoine_Name,0),3)/(INDEX(Antoines,MATCH(F2016,Antoine_Name,0),4)+(F2024-32)*5/9)))*14.7/760,IF(F2017="Crude Oil",EXP((2799/(F2024+459.6)-2.227)*LOG10(INDEX(FX_Input,S$5,F$3*$Z$5+$AA$5))-(7261/(F2024+459.6))+12.82),IF(F2017="Refined Petroleum Stock",EXP((0.7553-(413/(F2024+459.6)))*(INDEX(FX_Input,S$5,F$3*$Z$5+$AA$5-1)^0.5)*LOG10(INDEX(FX_Input,S$5,F$3*$Z$5+$AA$5))-(1.854-(1042/(F2024+459.6)))*(INDEX(FX_Input,S$5,F$3*$Z$5+$AA$5-1)^0.5)+((2416/(F2024+459.6)-2.013)*LOG10(INDEX(FX_Input,S$5,F$3*$Z$5+$AA$5)))-(8742/(F2024+459.6))+15.64),EXP(INDEX(Antoines,MATCH(F2016,Antoine_Name,0),2)-INDEX(Antoines,MATCH(F2016,Antoine_Name,0),3)/(F2024+459.6))))),0)</f>
        <v>0</v>
      </c>
      <c r="G2037" cm="1">
        <f t="array" ref="G2037">IFERROR(IF(G2017="Chemical",(10^(INDEX(Antoines,MATCH(G2016,Antoine_Name,0),2)-INDEX(Antoines,MATCH(G2016,Antoine_Name,0),3)/(INDEX(Antoines,MATCH(G2016,Antoine_Name,0),4)+(G2024-32)*5/9)))*14.7/760,IF(G2017="Crude Oil",EXP((2799/(G2024+459.6)-2.227)*LOG10(INDEX(FX_Input,T$5,G$3*$Z$5+$AA$5))-(7261/(G2024+459.6))+12.82),IF(G2017="Refined Petroleum Stock",EXP((0.7553-(413/(G2024+459.6)))*(INDEX(FX_Input,T$5,G$3*$Z$5+$AA$5-1)^0.5)*LOG10(INDEX(FX_Input,T$5,G$3*$Z$5+$AA$5))-(1.854-(1042/(G2024+459.6)))*(INDEX(FX_Input,T$5,G$3*$Z$5+$AA$5-1)^0.5)+((2416/(G2024+459.6)-2.013)*LOG10(INDEX(FX_Input,T$5,G$3*$Z$5+$AA$5)))-(8742/(G2024+459.6))+15.64),EXP(INDEX(Antoines,MATCH(G2016,Antoine_Name,0),2)-INDEX(Antoines,MATCH(G2016,Antoine_Name,0),3)/(G2024+459.6))))),0)</f>
        <v>0</v>
      </c>
      <c r="H2037" cm="1">
        <f t="array" ref="H2037">IFERROR(IF(H2017="Chemical",(10^(INDEX(Antoines,MATCH(H2016,Antoine_Name,0),2)-INDEX(Antoines,MATCH(H2016,Antoine_Name,0),3)/(INDEX(Antoines,MATCH(H2016,Antoine_Name,0),4)+(H2024-32)*5/9)))*14.7/760,IF(H2017="Crude Oil",EXP((2799/(H2024+459.6)-2.227)*LOG10(INDEX(FX_Input,U$5,H$3*$Z$5+$AA$5))-(7261/(H2024+459.6))+12.82),IF(H2017="Refined Petroleum Stock",EXP((0.7553-(413/(H2024+459.6)))*(INDEX(FX_Input,U$5,H$3*$Z$5+$AA$5-1)^0.5)*LOG10(INDEX(FX_Input,U$5,H$3*$Z$5+$AA$5))-(1.854-(1042/(H2024+459.6)))*(INDEX(FX_Input,U$5,H$3*$Z$5+$AA$5-1)^0.5)+((2416/(H2024+459.6)-2.013)*LOG10(INDEX(FX_Input,U$5,H$3*$Z$5+$AA$5)))-(8742/(H2024+459.6))+15.64),EXP(INDEX(Antoines,MATCH(H2016,Antoine_Name,0),2)-INDEX(Antoines,MATCH(H2016,Antoine_Name,0),3)/(H2024+459.6))))),0)</f>
        <v>0</v>
      </c>
      <c r="I2037" cm="1">
        <f t="array" ref="I2037">IFERROR(IF(I2017="Chemical",(10^(INDEX(Antoines,MATCH(I2016,Antoine_Name,0),2)-INDEX(Antoines,MATCH(I2016,Antoine_Name,0),3)/(INDEX(Antoines,MATCH(I2016,Antoine_Name,0),4)+(I2024-32)*5/9)))*14.7/760,IF(I2017="Crude Oil",EXP((2799/(I2024+459.6)-2.227)*LOG10(INDEX(FX_Input,V$5,I$3*$Z$5+$AA$5))-(7261/(I2024+459.6))+12.82),IF(I2017="Refined Petroleum Stock",EXP((0.7553-(413/(I2024+459.6)))*(INDEX(FX_Input,V$5,I$3*$Z$5+$AA$5-1)^0.5)*LOG10(INDEX(FX_Input,V$5,I$3*$Z$5+$AA$5))-(1.854-(1042/(I2024+459.6)))*(INDEX(FX_Input,V$5,I$3*$Z$5+$AA$5-1)^0.5)+((2416/(I2024+459.6)-2.013)*LOG10(INDEX(FX_Input,V$5,I$3*$Z$5+$AA$5)))-(8742/(I2024+459.6))+15.64),EXP(INDEX(Antoines,MATCH(I2016,Antoine_Name,0),2)-INDEX(Antoines,MATCH(I2016,Antoine_Name,0),3)/(I2024+459.6))))),0)</f>
        <v>0</v>
      </c>
      <c r="J2037" cm="1">
        <f t="array" ref="J2037">IFERROR(IF(J2017="Chemical",(10^(INDEX(Antoines,MATCH(J2016,Antoine_Name,0),2)-INDEX(Antoines,MATCH(J2016,Antoine_Name,0),3)/(INDEX(Antoines,MATCH(J2016,Antoine_Name,0),4)+(J2024-32)*5/9)))*14.7/760,IF(J2017="Crude Oil",EXP((2799/(J2024+459.6)-2.227)*LOG10(INDEX(FX_Input,W$5,J$3*$Z$5+$AA$5))-(7261/(J2024+459.6))+12.82),IF(J2017="Refined Petroleum Stock",EXP((0.7553-(413/(J2024+459.6)))*(INDEX(FX_Input,W$5,J$3*$Z$5+$AA$5-1)^0.5)*LOG10(INDEX(FX_Input,W$5,J$3*$Z$5+$AA$5))-(1.854-(1042/(J2024+459.6)))*(INDEX(FX_Input,W$5,J$3*$Z$5+$AA$5-1)^0.5)+((2416/(J2024+459.6)-2.013)*LOG10(INDEX(FX_Input,W$5,J$3*$Z$5+$AA$5)))-(8742/(J2024+459.6))+15.64),EXP(INDEX(Antoines,MATCH(J2016,Antoine_Name,0),2)-INDEX(Antoines,MATCH(J2016,Antoine_Name,0),3)/(J2024+459.6))))),0)</f>
        <v>0</v>
      </c>
      <c r="K2037" cm="1">
        <f t="array" ref="K2037">IFERROR(IF(K2017="Chemical",(10^(INDEX(Antoines,MATCH(K2016,Antoine_Name,0),2)-INDEX(Antoines,MATCH(K2016,Antoine_Name,0),3)/(INDEX(Antoines,MATCH(K2016,Antoine_Name,0),4)+(K2024-32)*5/9)))*14.7/760,IF(K2017="Crude Oil",EXP((2799/(K2024+459.6)-2.227)*LOG10(INDEX(FX_Input,X$5,K$3*$Z$5+$AA$5))-(7261/(K2024+459.6))+12.82),IF(K2017="Refined Petroleum Stock",EXP((0.7553-(413/(K2024+459.6)))*(INDEX(FX_Input,X$5,K$3*$Z$5+$AA$5-1)^0.5)*LOG10(INDEX(FX_Input,X$5,K$3*$Z$5+$AA$5))-(1.854-(1042/(K2024+459.6)))*(INDEX(FX_Input,X$5,K$3*$Z$5+$AA$5-1)^0.5)+((2416/(K2024+459.6)-2.013)*LOG10(INDEX(FX_Input,X$5,K$3*$Z$5+$AA$5)))-(8742/(K2024+459.6))+15.64),EXP(INDEX(Antoines,MATCH(K2016,Antoine_Name,0),2)-INDEX(Antoines,MATCH(K2016,Antoine_Name,0),3)/(K2024+459.6))))),0)</f>
        <v>0</v>
      </c>
      <c r="L2037" cm="1">
        <f t="array" ref="L2037">IFERROR(IF(L2017="Chemical",(10^(INDEX(Antoines,MATCH(L2016,Antoine_Name,0),2)-INDEX(Antoines,MATCH(L2016,Antoine_Name,0),3)/(INDEX(Antoines,MATCH(L2016,Antoine_Name,0),4)+(L2024-32)*5/9)))*14.7/760,IF(L2017="Crude Oil",EXP((2799/(L2024+459.6)-2.227)*LOG10(INDEX(FX_Input,Y$5,L$3*$Z$5+$AA$5))-(7261/(L2024+459.6))+12.82),IF(L2017="Refined Petroleum Stock",EXP((0.7553-(413/(L2024+459.6)))*(INDEX(FX_Input,Y$5,L$3*$Z$5+$AA$5-1)^0.5)*LOG10(INDEX(FX_Input,Y$5,L$3*$Z$5+$AA$5))-(1.854-(1042/(L2024+459.6)))*(INDEX(FX_Input,Y$5,L$3*$Z$5+$AA$5-1)^0.5)+((2416/(L2024+459.6)-2.013)*LOG10(INDEX(FX_Input,Y$5,L$3*$Z$5+$AA$5)))-(8742/(L2024+459.6))+15.64),EXP(INDEX(Antoines,MATCH(L2016,Antoine_Name,0),2)-INDEX(Antoines,MATCH(L2016,Antoine_Name,0),3)/(L2024+459.6))))),0)</f>
        <v>0</v>
      </c>
      <c r="M2037" cm="1">
        <f t="array" ref="M2037">IFERROR(IF(M2017="Chemical",(10^(INDEX(Antoines,MATCH(M2016,Antoine_Name,0),2)-INDEX(Antoines,MATCH(M2016,Antoine_Name,0),3)/(INDEX(Antoines,MATCH(M2016,Antoine_Name,0),4)+(M2024-32)*5/9)))*14.7/760,IF(M2017="Crude Oil",EXP((2799/(M2024+459.6)-2.227)*LOG10(INDEX(FX_Input,Z$5,M$3*$Z$5+$AA$5))-(7261/(M2024+459.6))+12.82),IF(M2017="Refined Petroleum Stock",EXP((0.7553-(413/(M2024+459.6)))*(INDEX(FX_Input,Z$5,M$3*$Z$5+$AA$5-1)^0.5)*LOG10(INDEX(FX_Input,Z$5,M$3*$Z$5+$AA$5))-(1.854-(1042/(M2024+459.6)))*(INDEX(FX_Input,Z$5,M$3*$Z$5+$AA$5-1)^0.5)+((2416/(M2024+459.6)-2.013)*LOG10(INDEX(FX_Input,Z$5,M$3*$Z$5+$AA$5)))-(8742/(M2024+459.6))+15.64),EXP(INDEX(Antoines,MATCH(M2016,Antoine_Name,0),2)-INDEX(Antoines,MATCH(M2016,Antoine_Name,0),3)/(M2024+459.6))))),0)</f>
        <v>0</v>
      </c>
      <c r="N2037" cm="1">
        <f t="array" ref="N2037">IFERROR(IF(N2017="Chemical",(10^(INDEX(Antoines,MATCH(N2016,Antoine_Name,0),2)-INDEX(Antoines,MATCH(N2016,Antoine_Name,0),3)/(INDEX(Antoines,MATCH(N2016,Antoine_Name,0),4)+(N2024-32)*5/9)))*14.7/760,IF(N2017="Crude Oil",EXP((2799/(N2024+459.6)-2.227)*LOG10(INDEX(FX_Input,AA$5,N$3*$Z$5+$AA$5))-(7261/(N2024+459.6))+12.82),IF(N2017="Refined Petroleum Stock",EXP((0.7553-(413/(N2024+459.6)))*(INDEX(FX_Input,AA$5,N$3*$Z$5+$AA$5-1)^0.5)*LOG10(INDEX(FX_Input,AA$5,N$3*$Z$5+$AA$5))-(1.854-(1042/(N2024+459.6)))*(INDEX(FX_Input,AA$5,N$3*$Z$5+$AA$5-1)^0.5)+((2416/(N2024+459.6)-2.013)*LOG10(INDEX(FX_Input,AA$5,N$3*$Z$5+$AA$5)))-(8742/(N2024+459.6))+15.64),EXP(INDEX(Antoines,MATCH(N2016,Antoine_Name,0),2)-INDEX(Antoines,MATCH(N2016,Antoine_Name,0),3)/(N2024+459.6))))),0)</f>
        <v>0</v>
      </c>
      <c r="O2037" cm="1">
        <f t="array" ref="O2037">IFERROR(IF(O2017="Chemical",(10^(INDEX(Antoines,MATCH(O2016,Antoine_Name,0),2)-INDEX(Antoines,MATCH(O2016,Antoine_Name,0),3)/(INDEX(Antoines,MATCH(O2016,Antoine_Name,0),4)+(O2024-32)*5/9)))*14.7/760,IF(O2017="Crude Oil",EXP((2799/(O2024+459.6)-2.227)*LOG10(INDEX(FX_Input,AB$5,O$3*$Z$5+$AA$5))-(7261/(O2024+459.6))+12.82),IF(O2017="Refined Petroleum Stock",EXP((0.7553-(413/(O2024+459.6)))*(INDEX(FX_Input,AB$5,O$3*$Z$5+$AA$5-1)^0.5)*LOG10(INDEX(FX_Input,AB$5,O$3*$Z$5+$AA$5))-(1.854-(1042/(O2024+459.6)))*(INDEX(FX_Input,AB$5,O$3*$Z$5+$AA$5-1)^0.5)+((2416/(O2024+459.6)-2.013)*LOG10(INDEX(FX_Input,AB$5,O$3*$Z$5+$AA$5)))-(8742/(O2024+459.6))+15.64),EXP(INDEX(Antoines,MATCH(O2016,Antoine_Name,0),2)-INDEX(Antoines,MATCH(O2016,Antoine_Name,0),3)/(O2024+459.6))))),0)</f>
        <v>0</v>
      </c>
    </row>
    <row r="2038" spans="1:32" ht="17.149999999999999" x14ac:dyDescent="0.55000000000000004">
      <c r="B2038" t="str">
        <f t="shared" si="7114"/>
        <v>Portland</v>
      </c>
      <c r="C2038" t="s">
        <v>1391</v>
      </c>
      <c r="D2038">
        <f>D2037*D2020</f>
        <v>0</v>
      </c>
      <c r="E2038">
        <f t="shared" ref="E2038:O2038" si="7122">E2037*E2020</f>
        <v>0</v>
      </c>
      <c r="F2038">
        <f t="shared" si="7122"/>
        <v>0</v>
      </c>
      <c r="G2038">
        <f t="shared" si="7122"/>
        <v>0</v>
      </c>
      <c r="H2038">
        <f t="shared" si="7122"/>
        <v>0</v>
      </c>
      <c r="I2038">
        <f t="shared" si="7122"/>
        <v>0</v>
      </c>
      <c r="J2038">
        <f t="shared" si="7122"/>
        <v>0</v>
      </c>
      <c r="K2038">
        <f t="shared" si="7122"/>
        <v>0</v>
      </c>
      <c r="L2038">
        <f t="shared" si="7122"/>
        <v>0</v>
      </c>
      <c r="M2038">
        <f t="shared" si="7122"/>
        <v>0</v>
      </c>
      <c r="N2038">
        <f t="shared" si="7122"/>
        <v>0</v>
      </c>
      <c r="O2038">
        <f t="shared" si="7122"/>
        <v>0</v>
      </c>
    </row>
    <row r="2039" spans="1:32" ht="17.149999999999999" x14ac:dyDescent="0.55000000000000004">
      <c r="B2039" t="str">
        <f t="shared" si="7114"/>
        <v>Portland</v>
      </c>
      <c r="C2039" t="s">
        <v>1392</v>
      </c>
      <c r="D2039">
        <f>D2036+D2038</f>
        <v>4.8847213797703236E-3</v>
      </c>
      <c r="E2039">
        <f t="shared" ref="E2039:O2039" si="7123">E2036+E2038</f>
        <v>5.1377970454196883E-3</v>
      </c>
      <c r="F2039">
        <f t="shared" si="7123"/>
        <v>5.5255769197630547E-3</v>
      </c>
      <c r="G2039">
        <f t="shared" si="7123"/>
        <v>6.219119610903932E-3</v>
      </c>
      <c r="H2039">
        <f t="shared" si="7123"/>
        <v>7.430518180814979E-3</v>
      </c>
      <c r="I2039">
        <f t="shared" si="7123"/>
        <v>8.4933610792594406E-3</v>
      </c>
      <c r="J2039">
        <f t="shared" si="7123"/>
        <v>9.5874007696552591E-3</v>
      </c>
      <c r="K2039">
        <f t="shared" si="7123"/>
        <v>9.5593988737869996E-3</v>
      </c>
      <c r="L2039">
        <f t="shared" si="7123"/>
        <v>8.6549593565446326E-3</v>
      </c>
      <c r="M2039">
        <f t="shared" si="7123"/>
        <v>6.8260376495002202E-3</v>
      </c>
      <c r="N2039">
        <f t="shared" si="7123"/>
        <v>5.4845718776011703E-3</v>
      </c>
      <c r="O2039">
        <f t="shared" si="7123"/>
        <v>4.8161086599927579E-3</v>
      </c>
    </row>
    <row r="2040" spans="1:32" ht="17.149999999999999" x14ac:dyDescent="0.55000000000000004">
      <c r="B2040" t="str">
        <f>B2034</f>
        <v>Portland</v>
      </c>
      <c r="C2040" t="s">
        <v>584</v>
      </c>
      <c r="D2040">
        <f>D2036/D2039</f>
        <v>1</v>
      </c>
      <c r="E2040">
        <f t="shared" ref="E2040:O2040" si="7124">E2036/E2039</f>
        <v>1</v>
      </c>
      <c r="F2040">
        <f t="shared" si="7124"/>
        <v>1</v>
      </c>
      <c r="G2040">
        <f t="shared" si="7124"/>
        <v>1</v>
      </c>
      <c r="H2040">
        <f t="shared" si="7124"/>
        <v>1</v>
      </c>
      <c r="I2040">
        <f t="shared" si="7124"/>
        <v>1</v>
      </c>
      <c r="J2040">
        <f t="shared" si="7124"/>
        <v>1</v>
      </c>
      <c r="K2040">
        <f t="shared" si="7124"/>
        <v>1</v>
      </c>
      <c r="L2040">
        <f t="shared" si="7124"/>
        <v>1</v>
      </c>
      <c r="M2040">
        <f t="shared" si="7124"/>
        <v>1</v>
      </c>
      <c r="N2040">
        <f t="shared" si="7124"/>
        <v>1</v>
      </c>
      <c r="O2040">
        <f t="shared" si="7124"/>
        <v>1</v>
      </c>
    </row>
    <row r="2041" spans="1:32" ht="17.149999999999999" x14ac:dyDescent="0.55000000000000004">
      <c r="B2041" t="str">
        <f>B2035</f>
        <v>Portland</v>
      </c>
      <c r="C2041" t="s">
        <v>585</v>
      </c>
      <c r="D2041">
        <f t="shared" ref="D2041:O2041" si="7125">INDEX(Phys_Prop,MATCH(D2014,Chem_List,0),3)</f>
        <v>130</v>
      </c>
      <c r="E2041">
        <f t="shared" si="7125"/>
        <v>130</v>
      </c>
      <c r="F2041">
        <f t="shared" si="7125"/>
        <v>130</v>
      </c>
      <c r="G2041">
        <f t="shared" si="7125"/>
        <v>130</v>
      </c>
      <c r="H2041">
        <f t="shared" si="7125"/>
        <v>130</v>
      </c>
      <c r="I2041">
        <f t="shared" si="7125"/>
        <v>130</v>
      </c>
      <c r="J2041">
        <f t="shared" si="7125"/>
        <v>130</v>
      </c>
      <c r="K2041">
        <f t="shared" si="7125"/>
        <v>130</v>
      </c>
      <c r="L2041">
        <f t="shared" si="7125"/>
        <v>130</v>
      </c>
      <c r="M2041">
        <f t="shared" si="7125"/>
        <v>130</v>
      </c>
      <c r="N2041">
        <f t="shared" si="7125"/>
        <v>130</v>
      </c>
      <c r="O2041">
        <f t="shared" si="7125"/>
        <v>130</v>
      </c>
    </row>
    <row r="2042" spans="1:32" ht="17.149999999999999" x14ac:dyDescent="0.55000000000000004">
      <c r="B2042" t="str">
        <f>B2041</f>
        <v>Portland</v>
      </c>
      <c r="C2042" t="s">
        <v>586</v>
      </c>
      <c r="D2042">
        <f>D2038/D2039</f>
        <v>0</v>
      </c>
      <c r="E2042">
        <f t="shared" ref="E2042:O2042" si="7126">E2038/E2039</f>
        <v>0</v>
      </c>
      <c r="F2042">
        <f t="shared" si="7126"/>
        <v>0</v>
      </c>
      <c r="G2042">
        <f t="shared" si="7126"/>
        <v>0</v>
      </c>
      <c r="H2042">
        <f t="shared" si="7126"/>
        <v>0</v>
      </c>
      <c r="I2042">
        <f t="shared" si="7126"/>
        <v>0</v>
      </c>
      <c r="J2042">
        <f t="shared" si="7126"/>
        <v>0</v>
      </c>
      <c r="K2042">
        <f t="shared" si="7126"/>
        <v>0</v>
      </c>
      <c r="L2042">
        <f t="shared" si="7126"/>
        <v>0</v>
      </c>
      <c r="M2042">
        <f t="shared" si="7126"/>
        <v>0</v>
      </c>
      <c r="N2042">
        <f t="shared" si="7126"/>
        <v>0</v>
      </c>
      <c r="O2042">
        <f t="shared" si="7126"/>
        <v>0</v>
      </c>
    </row>
    <row r="2043" spans="1:32" ht="17.149999999999999" x14ac:dyDescent="0.55000000000000004">
      <c r="B2043" t="str">
        <f t="shared" si="7114"/>
        <v>Portland</v>
      </c>
      <c r="C2043" t="s">
        <v>587</v>
      </c>
      <c r="D2043">
        <f t="shared" ref="D2043:O2043" si="7127">IFERROR(INDEX(Phys_Prop,MATCH(D2016,Chem_List,0),3),0)</f>
        <v>0</v>
      </c>
      <c r="E2043">
        <f t="shared" si="7127"/>
        <v>0</v>
      </c>
      <c r="F2043">
        <f t="shared" si="7127"/>
        <v>0</v>
      </c>
      <c r="G2043">
        <f t="shared" si="7127"/>
        <v>0</v>
      </c>
      <c r="H2043">
        <f t="shared" si="7127"/>
        <v>0</v>
      </c>
      <c r="I2043">
        <f t="shared" si="7127"/>
        <v>0</v>
      </c>
      <c r="J2043">
        <f t="shared" si="7127"/>
        <v>0</v>
      </c>
      <c r="K2043">
        <f t="shared" si="7127"/>
        <v>0</v>
      </c>
      <c r="L2043">
        <f t="shared" si="7127"/>
        <v>0</v>
      </c>
      <c r="M2043">
        <f t="shared" si="7127"/>
        <v>0</v>
      </c>
      <c r="N2043">
        <f t="shared" si="7127"/>
        <v>0</v>
      </c>
      <c r="O2043">
        <f t="shared" si="7127"/>
        <v>0</v>
      </c>
    </row>
    <row r="2044" spans="1:32" ht="17.149999999999999" x14ac:dyDescent="0.55000000000000004">
      <c r="A2044" s="11"/>
      <c r="B2044" s="11" t="str">
        <f t="shared" si="7114"/>
        <v>Portland</v>
      </c>
      <c r="C2044" s="11" t="s">
        <v>588</v>
      </c>
      <c r="D2044" s="11">
        <f>IFERROR(D2040*D2041+D2042*D2043,0)</f>
        <v>130</v>
      </c>
      <c r="E2044" s="11">
        <f t="shared" ref="E2044:O2044" si="7128">IFERROR(E2040*E2041+E2042*E2043,0)</f>
        <v>130</v>
      </c>
      <c r="F2044" s="11">
        <f t="shared" si="7128"/>
        <v>130</v>
      </c>
      <c r="G2044" s="11">
        <f t="shared" si="7128"/>
        <v>130</v>
      </c>
      <c r="H2044" s="11">
        <f t="shared" si="7128"/>
        <v>130</v>
      </c>
      <c r="I2044" s="11">
        <f t="shared" si="7128"/>
        <v>130</v>
      </c>
      <c r="J2044" s="11">
        <f t="shared" si="7128"/>
        <v>130</v>
      </c>
      <c r="K2044" s="11">
        <f t="shared" si="7128"/>
        <v>130</v>
      </c>
      <c r="L2044" s="11">
        <f t="shared" si="7128"/>
        <v>130</v>
      </c>
      <c r="M2044" s="11">
        <f t="shared" si="7128"/>
        <v>130</v>
      </c>
      <c r="N2044" s="11">
        <f t="shared" si="7128"/>
        <v>130</v>
      </c>
      <c r="O2044" s="11">
        <f t="shared" si="7128"/>
        <v>130</v>
      </c>
      <c r="P2044" s="11"/>
      <c r="Q2044" s="11"/>
      <c r="R2044" s="11"/>
      <c r="S2044" s="11"/>
      <c r="T2044" s="11"/>
      <c r="U2044" s="11"/>
      <c r="V2044" s="11"/>
      <c r="W2044" s="11"/>
      <c r="X2044" s="11"/>
      <c r="Y2044" s="11"/>
      <c r="Z2044" s="11"/>
      <c r="AA2044" s="11"/>
      <c r="AB2044" s="11"/>
      <c r="AC2044" s="11"/>
      <c r="AD2044" s="11"/>
      <c r="AE2044" s="11"/>
      <c r="AF2044" s="11"/>
    </row>
    <row r="2045" spans="1:32" ht="17.149999999999999" x14ac:dyDescent="0.55000000000000004">
      <c r="A2045" t="str" cm="1">
        <f t="array" ref="A2045">INDEX(FX_Input,$Q2045,R$5)</f>
        <v>FX - 61</v>
      </c>
      <c r="B2045" t="str" cm="1">
        <f t="array" ref="B2045">INDEX(FX_Input,Q2045,S2045)</f>
        <v>Portland</v>
      </c>
      <c r="C2045" t="s">
        <v>563</v>
      </c>
      <c r="D2045">
        <v>14.7</v>
      </c>
      <c r="E2045">
        <v>14.7</v>
      </c>
      <c r="F2045">
        <v>14.7</v>
      </c>
      <c r="G2045">
        <v>14.7</v>
      </c>
      <c r="H2045">
        <v>14.7</v>
      </c>
      <c r="I2045">
        <v>14.7</v>
      </c>
      <c r="J2045">
        <v>14.7</v>
      </c>
      <c r="K2045">
        <v>14.7</v>
      </c>
      <c r="L2045">
        <v>14.7</v>
      </c>
      <c r="M2045">
        <v>14.7</v>
      </c>
      <c r="N2045">
        <v>14.7</v>
      </c>
      <c r="O2045">
        <v>14.7</v>
      </c>
      <c r="Q2045">
        <f>Q2011+2</f>
        <v>121</v>
      </c>
      <c r="R2045">
        <v>1</v>
      </c>
      <c r="S2045">
        <v>3</v>
      </c>
      <c r="T2045">
        <v>1</v>
      </c>
      <c r="U2045">
        <v>19</v>
      </c>
      <c r="V2045">
        <v>20</v>
      </c>
      <c r="W2045">
        <v>25</v>
      </c>
      <c r="X2045">
        <v>1</v>
      </c>
      <c r="Y2045">
        <v>2</v>
      </c>
      <c r="Z2045">
        <f>(W2045-V2045)/(Y2045-X2045)</f>
        <v>5</v>
      </c>
      <c r="AA2045">
        <f>V2045-Z2045*X2045</f>
        <v>15</v>
      </c>
      <c r="AD2045">
        <f>AD2011+14</f>
        <v>841</v>
      </c>
      <c r="AF2045">
        <f>AF2011+14</f>
        <v>841</v>
      </c>
    </row>
    <row r="2046" spans="1:32" ht="17.149999999999999" x14ac:dyDescent="0.55000000000000004">
      <c r="B2046" t="str">
        <f t="shared" ref="B2046" si="7129">B2045</f>
        <v>Portland</v>
      </c>
      <c r="C2046" t="s">
        <v>564</v>
      </c>
      <c r="D2046" cm="1">
        <f t="array" ref="D2046">IF(ISBLANK(INDEX(FX_Input,$Q2045,$AB2046)),0.03,INDEX(FX_Input,Q2045,AB2046))</f>
        <v>0.03</v>
      </c>
      <c r="E2046" cm="1">
        <f t="array" ref="E2046">IF(ISBLANK(INDEX(FX_Input,$Q2045,$AB2046)),0.03,INDEX(FX_Input,R2045,#REF!))</f>
        <v>0.03</v>
      </c>
      <c r="F2046" cm="1">
        <f t="array" ref="F2046">IF(ISBLANK(INDEX(FX_Input,$Q2045,$AB2046)),0.03,INDEX(FX_Input,S2045,#REF!))</f>
        <v>0.03</v>
      </c>
      <c r="G2046" cm="1">
        <f t="array" ref="G2046">IF(ISBLANK(INDEX(FX_Input,$Q2045,$AB2046)),0.03,INDEX(FX_Input,AB2045,#REF!))</f>
        <v>0.03</v>
      </c>
      <c r="H2046" cm="1">
        <f t="array" ref="H2046">IF(ISBLANK(INDEX(FX_Input,$Q2045,$AB2046)),0.03,INDEX(FX_Input,#REF!,#REF!))</f>
        <v>0.03</v>
      </c>
      <c r="I2046" cm="1">
        <f t="array" ref="I2046">IF(ISBLANK(INDEX(FX_Input,$Q2045,$AB2046)),0.03,INDEX(FX_Input,#REF!,#REF!))</f>
        <v>0.03</v>
      </c>
      <c r="J2046" cm="1">
        <f t="array" ref="J2046">IF(ISBLANK(INDEX(FX_Input,$Q2045,$AB2046)),0.03,INDEX(FX_Input,#REF!,#REF!))</f>
        <v>0.03</v>
      </c>
      <c r="K2046" cm="1">
        <f t="array" ref="K2046">IF(ISBLANK(INDEX(FX_Input,$Q2045,$AB2046)),0.03,INDEX(FX_Input,#REF!,AC2046))</f>
        <v>0.03</v>
      </c>
      <c r="L2046" cm="1">
        <f t="array" ref="L2046">IF(ISBLANK(INDEX(FX_Input,$Q2045,$AB2046)),0.03,INDEX(FX_Input,#REF!,AD2046))</f>
        <v>0.03</v>
      </c>
      <c r="M2046" cm="1">
        <f t="array" ref="M2046">IF(ISBLANK(INDEX(FX_Input,$Q2045,$AB2046)),0.03,INDEX(FX_Input,#REF!,#REF!))</f>
        <v>0.03</v>
      </c>
      <c r="N2046" cm="1">
        <f t="array" ref="N2046">IF(ISBLANK(INDEX(FX_Input,$Q2045,$AB2046)),0.03,INDEX(FX_Input,AC2045,#REF!))</f>
        <v>0.03</v>
      </c>
      <c r="O2046" cm="1">
        <f t="array" ref="O2046">IF(ISBLANK(INDEX(FX_Input,$Q2045,$AB2046)),0.03,INDEX(FX_Input,AD2045,#REF!))</f>
        <v>0.03</v>
      </c>
      <c r="AB2046">
        <v>15</v>
      </c>
    </row>
    <row r="2047" spans="1:32" ht="17.149999999999999" x14ac:dyDescent="0.55000000000000004">
      <c r="B2047" t="str">
        <f>B2046</f>
        <v>Portland</v>
      </c>
      <c r="C2047" t="s">
        <v>565</v>
      </c>
      <c r="D2047" cm="1">
        <f t="array" ref="D2047">IF(ISBLANK(INDEX(FX_Input,$Q2045,$AB2047)),-0.03,INDEX(FX_Input,Q2045,AB2047))</f>
        <v>-0.03</v>
      </c>
      <c r="E2047" cm="1">
        <f t="array" ref="E2047">IF(ISBLANK(INDEX(FX_Input,$Q2045,$AB2047)),-0.03,INDEX(FX_Input,R2045,#REF!))</f>
        <v>-0.03</v>
      </c>
      <c r="F2047" cm="1">
        <f t="array" ref="F2047">IF(ISBLANK(INDEX(FX_Input,$Q2045,$AB2047)),-0.03,INDEX(FX_Input,S2045,#REF!))</f>
        <v>-0.03</v>
      </c>
      <c r="G2047" cm="1">
        <f t="array" ref="G2047">IF(ISBLANK(INDEX(FX_Input,$Q2045,$AB2047)),-0.03,INDEX(FX_Input,AB2045,#REF!))</f>
        <v>-0.03</v>
      </c>
      <c r="H2047" cm="1">
        <f t="array" ref="H2047">IF(ISBLANK(INDEX(FX_Input,$Q2045,$AB2047)),-0.03,INDEX(FX_Input,#REF!,#REF!))</f>
        <v>-0.03</v>
      </c>
      <c r="I2047" cm="1">
        <f t="array" ref="I2047">IF(ISBLANK(INDEX(FX_Input,$Q2045,$AB2047)),-0.03,INDEX(FX_Input,#REF!,#REF!))</f>
        <v>-0.03</v>
      </c>
      <c r="J2047" cm="1">
        <f t="array" ref="J2047">IF(ISBLANK(INDEX(FX_Input,$Q2045,$AB2047)),-0.03,INDEX(FX_Input,#REF!,#REF!))</f>
        <v>-0.03</v>
      </c>
      <c r="K2047" cm="1">
        <f t="array" ref="K2047">IF(ISBLANK(INDEX(FX_Input,$Q2045,$AB2047)),-0.03,INDEX(FX_Input,#REF!,AC2047))</f>
        <v>-0.03</v>
      </c>
      <c r="L2047" cm="1">
        <f t="array" ref="L2047">IF(ISBLANK(INDEX(FX_Input,$Q2045,$AB2047)),-0.03,INDEX(FX_Input,#REF!,AD2047))</f>
        <v>-0.03</v>
      </c>
      <c r="M2047" cm="1">
        <f t="array" ref="M2047">IF(ISBLANK(INDEX(FX_Input,$Q2045,$AB2047)),-0.03,INDEX(FX_Input,#REF!,#REF!))</f>
        <v>-0.03</v>
      </c>
      <c r="N2047" cm="1">
        <f t="array" ref="N2047">IF(ISBLANK(INDEX(FX_Input,$Q2045,$AB2047)),-0.03,INDEX(FX_Input,AC2045,#REF!))</f>
        <v>-0.03</v>
      </c>
      <c r="O2047" cm="1">
        <f t="array" ref="O2047">IF(ISBLANK(INDEX(FX_Input,$Q2045,$AB2047)),-0.03,INDEX(FX_Input,AD2045,#REF!))</f>
        <v>-0.03</v>
      </c>
      <c r="AB2047">
        <v>16</v>
      </c>
    </row>
    <row r="2048" spans="1:32" x14ac:dyDescent="0.4">
      <c r="B2048" t="str">
        <f t="shared" ref="B2048:B2049" si="7130">B2047</f>
        <v>Portland</v>
      </c>
      <c r="C2048" s="66" t="s">
        <v>567</v>
      </c>
      <c r="D2048" t="str" cm="1">
        <f t="array" ref="D2048">INDEX(FX_Multi,$AD2048,D$3)</f>
        <v>Jet kerosene</v>
      </c>
      <c r="E2048" t="str" cm="1">
        <f t="array" ref="E2048">INDEX(FX_Multi,$AD2048,E$3)</f>
        <v>Jet kerosene</v>
      </c>
      <c r="F2048" t="str" cm="1">
        <f t="array" ref="F2048">INDEX(FX_Multi,$AD2048,F$3)</f>
        <v>Jet kerosene</v>
      </c>
      <c r="G2048" t="str" cm="1">
        <f t="array" ref="G2048">INDEX(FX_Multi,$AD2048,G$3)</f>
        <v>Jet kerosene</v>
      </c>
      <c r="H2048" t="str" cm="1">
        <f t="array" ref="H2048">INDEX(FX_Multi,$AD2048,H$3)</f>
        <v>Jet kerosene</v>
      </c>
      <c r="I2048" t="str" cm="1">
        <f t="array" ref="I2048">INDEX(FX_Multi,$AD2048,I$3)</f>
        <v>Jet kerosene</v>
      </c>
      <c r="J2048" t="str" cm="1">
        <f t="array" ref="J2048">INDEX(FX_Multi,$AD2048,J$3)</f>
        <v>Jet kerosene</v>
      </c>
      <c r="K2048" t="str" cm="1">
        <f t="array" ref="K2048">INDEX(FX_Multi,$AD2048,K$3)</f>
        <v>Jet kerosene</v>
      </c>
      <c r="L2048" t="str" cm="1">
        <f t="array" ref="L2048">INDEX(FX_Multi,$AD2048,L$3)</f>
        <v>Jet kerosene</v>
      </c>
      <c r="M2048" t="str" cm="1">
        <f t="array" ref="M2048">INDEX(FX_Multi,$AD2048,M$3)</f>
        <v>Jet kerosene</v>
      </c>
      <c r="N2048" t="str" cm="1">
        <f t="array" ref="N2048">INDEX(FX_Multi,$AD2048,N$3)</f>
        <v>Jet kerosene</v>
      </c>
      <c r="O2048" t="str" cm="1">
        <f t="array" ref="O2048">INDEX(FX_Multi,$AD2048,O$3)</f>
        <v>Jet kerosene</v>
      </c>
      <c r="AC2048">
        <v>1</v>
      </c>
      <c r="AD2048">
        <f>AD2045</f>
        <v>841</v>
      </c>
      <c r="AE2048">
        <v>1</v>
      </c>
      <c r="AF2048">
        <f>AF2045</f>
        <v>841</v>
      </c>
    </row>
    <row r="2049" spans="2:32" x14ac:dyDescent="0.4">
      <c r="B2049" t="str">
        <f t="shared" si="7130"/>
        <v>Portland</v>
      </c>
      <c r="C2049" s="66" t="s">
        <v>566</v>
      </c>
      <c r="D2049" t="str" cm="1">
        <f t="array" ref="D2049">INDEX(FX_Multi,$AD2049,D$3)</f>
        <v>Select Pet Stock</v>
      </c>
      <c r="E2049" t="str" cm="1">
        <f t="array" ref="E2049">INDEX(FX_Multi,$AD2049,E$3)</f>
        <v>Select Pet Stock</v>
      </c>
      <c r="F2049" t="str" cm="1">
        <f t="array" ref="F2049">INDEX(FX_Multi,$AD2049,F$3)</f>
        <v>Select Pet Stock</v>
      </c>
      <c r="G2049" t="str" cm="1">
        <f t="array" ref="G2049">INDEX(FX_Multi,$AD2049,G$3)</f>
        <v>Select Pet Stock</v>
      </c>
      <c r="H2049" t="str" cm="1">
        <f t="array" ref="H2049">INDEX(FX_Multi,$AD2049,H$3)</f>
        <v>Select Pet Stock</v>
      </c>
      <c r="I2049" t="str" cm="1">
        <f t="array" ref="I2049">INDEX(FX_Multi,$AD2049,I$3)</f>
        <v>Select Pet Stock</v>
      </c>
      <c r="J2049" t="str" cm="1">
        <f t="array" ref="J2049">INDEX(FX_Multi,$AD2049,J$3)</f>
        <v>Select Pet Stock</v>
      </c>
      <c r="K2049" t="str" cm="1">
        <f t="array" ref="K2049">INDEX(FX_Multi,$AD2049,K$3)</f>
        <v>Select Pet Stock</v>
      </c>
      <c r="L2049" t="str" cm="1">
        <f t="array" ref="L2049">INDEX(FX_Multi,$AD2049,L$3)</f>
        <v>Select Pet Stock</v>
      </c>
      <c r="M2049" t="str" cm="1">
        <f t="array" ref="M2049">INDEX(FX_Multi,$AD2049,M$3)</f>
        <v>Select Pet Stock</v>
      </c>
      <c r="N2049" t="str" cm="1">
        <f t="array" ref="N2049">INDEX(FX_Multi,$AD2049,N$3)</f>
        <v>Select Pet Stock</v>
      </c>
      <c r="O2049" t="str" cm="1">
        <f t="array" ref="O2049">INDEX(FX_Multi,$AD2049,O$3)</f>
        <v>Select Pet Stock</v>
      </c>
      <c r="AC2049">
        <v>1</v>
      </c>
      <c r="AD2049">
        <f>AD2048+2</f>
        <v>843</v>
      </c>
      <c r="AE2049">
        <v>1</v>
      </c>
      <c r="AF2049">
        <f>AF2048+3</f>
        <v>844</v>
      </c>
    </row>
    <row r="2050" spans="2:32" x14ac:dyDescent="0.4">
      <c r="B2050" t="str">
        <f>B2046</f>
        <v>Portland</v>
      </c>
      <c r="C2050" s="66" t="s">
        <v>568</v>
      </c>
      <c r="D2050" cm="1">
        <f t="array" ref="D2050">INDEX(FX_Multi,$AD2050,D$3)</f>
        <v>0</v>
      </c>
      <c r="E2050" cm="1">
        <f t="array" ref="E2050">INDEX(FX_Multi,$AD2050,E$3)</f>
        <v>0</v>
      </c>
      <c r="F2050" cm="1">
        <f t="array" ref="F2050">INDEX(FX_Multi,$AD2050,F$3)</f>
        <v>0</v>
      </c>
      <c r="G2050" cm="1">
        <f t="array" ref="G2050">INDEX(FX_Multi,$AD2050,G$3)</f>
        <v>0</v>
      </c>
      <c r="H2050" cm="1">
        <f t="array" ref="H2050">INDEX(FX_Multi,$AD2050,H$3)</f>
        <v>0</v>
      </c>
      <c r="I2050" cm="1">
        <f t="array" ref="I2050">INDEX(FX_Multi,$AD2050,I$3)</f>
        <v>0</v>
      </c>
      <c r="J2050" cm="1">
        <f t="array" ref="J2050">INDEX(FX_Multi,$AD2050,J$3)</f>
        <v>0</v>
      </c>
      <c r="K2050" cm="1">
        <f t="array" ref="K2050">INDEX(FX_Multi,$AD2050,K$3)</f>
        <v>0</v>
      </c>
      <c r="L2050" cm="1">
        <f t="array" ref="L2050">INDEX(FX_Multi,$AD2050,L$3)</f>
        <v>0</v>
      </c>
      <c r="M2050" cm="1">
        <f t="array" ref="M2050">INDEX(FX_Multi,$AD2050,M$3)</f>
        <v>0</v>
      </c>
      <c r="N2050" cm="1">
        <f t="array" ref="N2050">INDEX(FX_Multi,$AD2050,N$3)</f>
        <v>0</v>
      </c>
      <c r="O2050" cm="1">
        <f t="array" ref="O2050">INDEX(FX_Multi,$AD2050,O$3)</f>
        <v>0</v>
      </c>
      <c r="AC2050">
        <v>1</v>
      </c>
      <c r="AD2050">
        <f>AD2049-1</f>
        <v>842</v>
      </c>
      <c r="AE2050">
        <v>1</v>
      </c>
      <c r="AF2050">
        <f>AF2048+1</f>
        <v>842</v>
      </c>
    </row>
    <row r="2051" spans="2:32" x14ac:dyDescent="0.4">
      <c r="B2051" t="str">
        <f t="shared" ref="B2051:B2055" si="7131">B2050</f>
        <v>Portland</v>
      </c>
      <c r="C2051" s="66" t="s">
        <v>569</v>
      </c>
      <c r="D2051" cm="1">
        <f t="array" ref="D2051">INDEX(FX_Multi,$AD2051,D$3)</f>
        <v>0</v>
      </c>
      <c r="E2051" cm="1">
        <f t="array" ref="E2051">INDEX(FX_Multi,$AD2051,E$3)</f>
        <v>0</v>
      </c>
      <c r="F2051" cm="1">
        <f t="array" ref="F2051">INDEX(FX_Multi,$AD2051,F$3)</f>
        <v>0</v>
      </c>
      <c r="G2051" cm="1">
        <f t="array" ref="G2051">INDEX(FX_Multi,$AD2051,G$3)</f>
        <v>0</v>
      </c>
      <c r="H2051" cm="1">
        <f t="array" ref="H2051">INDEX(FX_Multi,$AD2051,H$3)</f>
        <v>0</v>
      </c>
      <c r="I2051" cm="1">
        <f t="array" ref="I2051">INDEX(FX_Multi,$AD2051,I$3)</f>
        <v>0</v>
      </c>
      <c r="J2051" cm="1">
        <f t="array" ref="J2051">INDEX(FX_Multi,$AD2051,J$3)</f>
        <v>0</v>
      </c>
      <c r="K2051" cm="1">
        <f t="array" ref="K2051">INDEX(FX_Multi,$AD2051,K$3)</f>
        <v>0</v>
      </c>
      <c r="L2051" cm="1">
        <f t="array" ref="L2051">INDEX(FX_Multi,$AD2051,L$3)</f>
        <v>0</v>
      </c>
      <c r="M2051" cm="1">
        <f t="array" ref="M2051">INDEX(FX_Multi,$AD2051,M$3)</f>
        <v>0</v>
      </c>
      <c r="N2051" cm="1">
        <f t="array" ref="N2051">INDEX(FX_Multi,$AD2051,N$3)</f>
        <v>0</v>
      </c>
      <c r="O2051" cm="1">
        <f t="array" ref="O2051">INDEX(FX_Multi,$AD2051,O$3)</f>
        <v>0</v>
      </c>
      <c r="AC2051">
        <v>1</v>
      </c>
      <c r="AD2051">
        <f>AD2050+2</f>
        <v>844</v>
      </c>
      <c r="AE2051">
        <v>1</v>
      </c>
      <c r="AF2051">
        <f>AF2049</f>
        <v>844</v>
      </c>
    </row>
    <row r="2052" spans="2:32" ht="17.149999999999999" x14ac:dyDescent="0.55000000000000004">
      <c r="B2052" t="str">
        <f t="shared" si="7131"/>
        <v>Portland</v>
      </c>
      <c r="C2052" t="s">
        <v>570</v>
      </c>
      <c r="D2052" cm="1">
        <f t="array" ref="D2052">INDEX(FX_Multi,$AD2052,D$3)</f>
        <v>1</v>
      </c>
      <c r="E2052" cm="1">
        <f t="array" ref="E2052">INDEX(FX_Multi,$AD2052,E$3)</f>
        <v>1</v>
      </c>
      <c r="F2052" cm="1">
        <f t="array" ref="F2052">INDEX(FX_Multi,$AD2052,F$3)</f>
        <v>1</v>
      </c>
      <c r="G2052" cm="1">
        <f t="array" ref="G2052">INDEX(FX_Multi,$AD2052,G$3)</f>
        <v>1</v>
      </c>
      <c r="H2052" cm="1">
        <f t="array" ref="H2052">INDEX(FX_Multi,$AD2052,H$3)</f>
        <v>1</v>
      </c>
      <c r="I2052" cm="1">
        <f t="array" ref="I2052">INDEX(FX_Multi,$AD2052,I$3)</f>
        <v>1</v>
      </c>
      <c r="J2052" cm="1">
        <f t="array" ref="J2052">INDEX(FX_Multi,$AD2052,J$3)</f>
        <v>1</v>
      </c>
      <c r="K2052" cm="1">
        <f t="array" ref="K2052">INDEX(FX_Multi,$AD2052,K$3)</f>
        <v>1</v>
      </c>
      <c r="L2052" cm="1">
        <f t="array" ref="L2052">INDEX(FX_Multi,$AD2052,L$3)</f>
        <v>1</v>
      </c>
      <c r="M2052" cm="1">
        <f t="array" ref="M2052">INDEX(FX_Multi,$AD2052,M$3)</f>
        <v>1</v>
      </c>
      <c r="N2052" cm="1">
        <f t="array" ref="N2052">INDEX(FX_Multi,$AD2052,N$3)</f>
        <v>1</v>
      </c>
      <c r="O2052" cm="1">
        <f t="array" ref="O2052">INDEX(FX_Multi,$AD2052,O$3)</f>
        <v>1</v>
      </c>
      <c r="AC2052">
        <v>1</v>
      </c>
      <c r="AD2052">
        <f>AD2051+6</f>
        <v>850</v>
      </c>
      <c r="AE2052">
        <v>1</v>
      </c>
      <c r="AF2052">
        <f>AF2048+9</f>
        <v>850</v>
      </c>
    </row>
    <row r="2053" spans="2:32" ht="17.149999999999999" x14ac:dyDescent="0.55000000000000004">
      <c r="B2053" t="str">
        <f t="shared" si="7131"/>
        <v>Portland</v>
      </c>
      <c r="C2053" t="s">
        <v>571</v>
      </c>
      <c r="D2053" cm="1">
        <f t="array" ref="D2053">INDEX(FX_Multi,$AD2053,D$3)</f>
        <v>162</v>
      </c>
      <c r="E2053" cm="1">
        <f t="array" ref="E2053">INDEX(FX_Multi,$AD2053,E$3)</f>
        <v>162</v>
      </c>
      <c r="F2053" cm="1">
        <f t="array" ref="F2053">INDEX(FX_Multi,$AD2053,F$3)</f>
        <v>162</v>
      </c>
      <c r="G2053" cm="1">
        <f t="array" ref="G2053">INDEX(FX_Multi,$AD2053,G$3)</f>
        <v>162</v>
      </c>
      <c r="H2053" cm="1">
        <f t="array" ref="H2053">INDEX(FX_Multi,$AD2053,H$3)</f>
        <v>162</v>
      </c>
      <c r="I2053" cm="1">
        <f t="array" ref="I2053">INDEX(FX_Multi,$AD2053,I$3)</f>
        <v>162</v>
      </c>
      <c r="J2053" cm="1">
        <f t="array" ref="J2053">INDEX(FX_Multi,$AD2053,J$3)</f>
        <v>162</v>
      </c>
      <c r="K2053" cm="1">
        <f t="array" ref="K2053">INDEX(FX_Multi,$AD2053,K$3)</f>
        <v>162</v>
      </c>
      <c r="L2053" cm="1">
        <f t="array" ref="L2053">INDEX(FX_Multi,$AD2053,L$3)</f>
        <v>162</v>
      </c>
      <c r="M2053" cm="1">
        <f t="array" ref="M2053">INDEX(FX_Multi,$AD2053,M$3)</f>
        <v>162</v>
      </c>
      <c r="N2053" cm="1">
        <f t="array" ref="N2053">INDEX(FX_Multi,$AD2053,N$3)</f>
        <v>162</v>
      </c>
      <c r="O2053" cm="1">
        <f t="array" ref="O2053">INDEX(FX_Multi,$AD2053,O$3)</f>
        <v>162</v>
      </c>
      <c r="AC2053">
        <v>1</v>
      </c>
      <c r="AD2053">
        <f>AD2052-3</f>
        <v>847</v>
      </c>
      <c r="AE2053">
        <v>1</v>
      </c>
      <c r="AF2053">
        <f>AF2048+6</f>
        <v>847</v>
      </c>
    </row>
    <row r="2054" spans="2:32" ht="17.149999999999999" x14ac:dyDescent="0.55000000000000004">
      <c r="B2054" t="str">
        <f t="shared" si="7131"/>
        <v>Portland</v>
      </c>
      <c r="C2054" t="s">
        <v>572</v>
      </c>
      <c r="D2054" cm="1">
        <f t="array" ref="D2054">INDEX(FX_Multi,$AD2054,D$3)</f>
        <v>0</v>
      </c>
      <c r="E2054" cm="1">
        <f t="array" ref="E2054">INDEX(FX_Multi,$AD2054,E$3)</f>
        <v>0</v>
      </c>
      <c r="F2054" cm="1">
        <f t="array" ref="F2054">INDEX(FX_Multi,$AD2054,F$3)</f>
        <v>0</v>
      </c>
      <c r="G2054" cm="1">
        <f t="array" ref="G2054">INDEX(FX_Multi,$AD2054,G$3)</f>
        <v>0</v>
      </c>
      <c r="H2054" cm="1">
        <f t="array" ref="H2054">INDEX(FX_Multi,$AD2054,H$3)</f>
        <v>0</v>
      </c>
      <c r="I2054" cm="1">
        <f t="array" ref="I2054">INDEX(FX_Multi,$AD2054,I$3)</f>
        <v>0</v>
      </c>
      <c r="J2054" cm="1">
        <f t="array" ref="J2054">INDEX(FX_Multi,$AD2054,J$3)</f>
        <v>0</v>
      </c>
      <c r="K2054" cm="1">
        <f t="array" ref="K2054">INDEX(FX_Multi,$AD2054,K$3)</f>
        <v>0</v>
      </c>
      <c r="L2054" cm="1">
        <f t="array" ref="L2054">INDEX(FX_Multi,$AD2054,L$3)</f>
        <v>0</v>
      </c>
      <c r="M2054" cm="1">
        <f t="array" ref="M2054">INDEX(FX_Multi,$AD2054,M$3)</f>
        <v>0</v>
      </c>
      <c r="N2054" cm="1">
        <f t="array" ref="N2054">INDEX(FX_Multi,$AD2054,N$3)</f>
        <v>0</v>
      </c>
      <c r="O2054" cm="1">
        <f t="array" ref="O2054">INDEX(FX_Multi,$AD2054,O$3)</f>
        <v>0</v>
      </c>
      <c r="AC2054">
        <v>1</v>
      </c>
      <c r="AD2054">
        <f>AD2053+4</f>
        <v>851</v>
      </c>
      <c r="AE2054">
        <v>1</v>
      </c>
      <c r="AF2054">
        <f>AF2048+10</f>
        <v>851</v>
      </c>
    </row>
    <row r="2055" spans="2:32" ht="17.149999999999999" x14ac:dyDescent="0.55000000000000004">
      <c r="B2055" t="str">
        <f t="shared" si="7131"/>
        <v>Portland</v>
      </c>
      <c r="C2055" t="s">
        <v>573</v>
      </c>
      <c r="D2055" cm="1">
        <f t="array" ref="D2055">INDEX(FX_Multi,$AD2055,D$3)</f>
        <v>0</v>
      </c>
      <c r="E2055" cm="1">
        <f t="array" ref="E2055">INDEX(FX_Multi,$AD2055,E$3)</f>
        <v>0</v>
      </c>
      <c r="F2055" cm="1">
        <f t="array" ref="F2055">INDEX(FX_Multi,$AD2055,F$3)</f>
        <v>0</v>
      </c>
      <c r="G2055" cm="1">
        <f t="array" ref="G2055">INDEX(FX_Multi,$AD2055,G$3)</f>
        <v>0</v>
      </c>
      <c r="H2055" cm="1">
        <f t="array" ref="H2055">INDEX(FX_Multi,$AD2055,H$3)</f>
        <v>0</v>
      </c>
      <c r="I2055" cm="1">
        <f t="array" ref="I2055">INDEX(FX_Multi,$AD2055,I$3)</f>
        <v>0</v>
      </c>
      <c r="J2055" cm="1">
        <f t="array" ref="J2055">INDEX(FX_Multi,$AD2055,J$3)</f>
        <v>0</v>
      </c>
      <c r="K2055" cm="1">
        <f t="array" ref="K2055">INDEX(FX_Multi,$AD2055,K$3)</f>
        <v>0</v>
      </c>
      <c r="L2055" cm="1">
        <f t="array" ref="L2055">INDEX(FX_Multi,$AD2055,L$3)</f>
        <v>0</v>
      </c>
      <c r="M2055" cm="1">
        <f t="array" ref="M2055">INDEX(FX_Multi,$AD2055,M$3)</f>
        <v>0</v>
      </c>
      <c r="N2055" cm="1">
        <f t="array" ref="N2055">INDEX(FX_Multi,$AD2055,N$3)</f>
        <v>0</v>
      </c>
      <c r="O2055" cm="1">
        <f t="array" ref="O2055">INDEX(FX_Multi,$AD2055,O$3)</f>
        <v>0</v>
      </c>
      <c r="AC2055">
        <v>1</v>
      </c>
      <c r="AD2055">
        <f>AD2054-3</f>
        <v>848</v>
      </c>
      <c r="AE2055">
        <v>1</v>
      </c>
      <c r="AF2055">
        <f>AF2048+7</f>
        <v>848</v>
      </c>
    </row>
    <row r="2056" spans="2:32" ht="17.149999999999999" x14ac:dyDescent="0.55000000000000004">
      <c r="B2056" t="str">
        <f>B2051</f>
        <v>Portland</v>
      </c>
      <c r="C2056" t="s">
        <v>526</v>
      </c>
      <c r="D2056" cm="1">
        <f t="array" ref="D2056">INDEX(FX_Temps,$AF2056,D$3)</f>
        <v>44.328749999999957</v>
      </c>
      <c r="E2056" cm="1">
        <f t="array" ref="E2056">INDEX(FX_Temps,$AF2056,E$3)</f>
        <v>45.450000000000045</v>
      </c>
      <c r="F2056" cm="1">
        <f t="array" ref="F2056">INDEX(FX_Temps,$AF2056,F$3)</f>
        <v>47.19625000000002</v>
      </c>
      <c r="G2056" cm="1">
        <f t="array" ref="G2056">INDEX(FX_Temps,$AF2056,G$3)</f>
        <v>50.164999999999907</v>
      </c>
      <c r="H2056" cm="1">
        <f t="array" ref="H2056">INDEX(FX_Temps,$AF2056,H$3)</f>
        <v>55.071249999999964</v>
      </c>
      <c r="I2056" cm="1">
        <f t="array" ref="I2056">INDEX(FX_Temps,$AF2056,I$3)</f>
        <v>58.9837500000001</v>
      </c>
      <c r="J2056" cm="1">
        <f t="array" ref="J2056">INDEX(FX_Temps,$AF2056,J$3)</f>
        <v>62.584999999999923</v>
      </c>
      <c r="K2056" cm="1">
        <f t="array" ref="K2056">INDEX(FX_Temps,$AF2056,K$3)</f>
        <v>62.764999999999986</v>
      </c>
      <c r="L2056" cm="1">
        <f t="array" ref="L2056">INDEX(FX_Temps,$AF2056,L$3)</f>
        <v>60.095000000000027</v>
      </c>
      <c r="M2056" cm="1">
        <f t="array" ref="M2056">INDEX(FX_Temps,$AF2056,M$3)</f>
        <v>53.559999999999945</v>
      </c>
      <c r="N2056" cm="1">
        <f t="array" ref="N2056">INDEX(FX_Temps,$AF2056,N$3)</f>
        <v>47.588750000000005</v>
      </c>
      <c r="O2056" cm="1">
        <f t="array" ref="O2056">INDEX(FX_Temps,$AF2056,O$3)</f>
        <v>43.97750000000002</v>
      </c>
      <c r="AE2056">
        <v>1</v>
      </c>
      <c r="AF2056">
        <f>AF2048+10</f>
        <v>851</v>
      </c>
    </row>
    <row r="2057" spans="2:32" ht="17.149999999999999" x14ac:dyDescent="0.55000000000000004">
      <c r="B2057" t="str">
        <f t="shared" ref="B2057:B2078" si="7132">B2056</f>
        <v>Portland</v>
      </c>
      <c r="C2057" t="s">
        <v>527</v>
      </c>
      <c r="D2057" cm="1">
        <f t="array" ref="D2057">INDEX(FX_Temps,$AF2057,D$3)</f>
        <v>44.328749999999957</v>
      </c>
      <c r="E2057" cm="1">
        <f t="array" ref="E2057">INDEX(FX_Temps,$AF2057,E$3)</f>
        <v>45.450000000000045</v>
      </c>
      <c r="F2057" cm="1">
        <f t="array" ref="F2057">INDEX(FX_Temps,$AF2057,F$3)</f>
        <v>47.19625000000002</v>
      </c>
      <c r="G2057" cm="1">
        <f t="array" ref="G2057">INDEX(FX_Temps,$AF2057,G$3)</f>
        <v>50.164999999999907</v>
      </c>
      <c r="H2057" cm="1">
        <f t="array" ref="H2057">INDEX(FX_Temps,$AF2057,H$3)</f>
        <v>55.071249999999964</v>
      </c>
      <c r="I2057" cm="1">
        <f t="array" ref="I2057">INDEX(FX_Temps,$AF2057,I$3)</f>
        <v>58.9837500000001</v>
      </c>
      <c r="J2057" cm="1">
        <f t="array" ref="J2057">INDEX(FX_Temps,$AF2057,J$3)</f>
        <v>62.584999999999923</v>
      </c>
      <c r="K2057" cm="1">
        <f t="array" ref="K2057">INDEX(FX_Temps,$AF2057,K$3)</f>
        <v>62.764999999999986</v>
      </c>
      <c r="L2057" cm="1">
        <f t="array" ref="L2057">INDEX(FX_Temps,$AF2057,L$3)</f>
        <v>60.095000000000027</v>
      </c>
      <c r="M2057" cm="1">
        <f t="array" ref="M2057">INDEX(FX_Temps,$AF2057,M$3)</f>
        <v>53.559999999999945</v>
      </c>
      <c r="N2057" cm="1">
        <f t="array" ref="N2057">INDEX(FX_Temps,$AF2057,N$3)</f>
        <v>47.588750000000005</v>
      </c>
      <c r="O2057" cm="1">
        <f t="array" ref="O2057">INDEX(FX_Temps,$AF2057,O$3)</f>
        <v>43.97750000000002</v>
      </c>
      <c r="AE2057">
        <f>AE2056</f>
        <v>1</v>
      </c>
      <c r="AF2057">
        <f>AF2048+11</f>
        <v>852</v>
      </c>
    </row>
    <row r="2058" spans="2:32" ht="17.149999999999999" x14ac:dyDescent="0.55000000000000004">
      <c r="B2058" t="str">
        <f t="shared" si="7132"/>
        <v>Portland</v>
      </c>
      <c r="C2058" t="s">
        <v>552</v>
      </c>
      <c r="D2058" cm="1">
        <f t="array" ref="D2058">INDEX(FX_Temps,$AF2058,D$3)</f>
        <v>44.757499999999993</v>
      </c>
      <c r="E2058" cm="1">
        <f t="array" ref="E2058">INDEX(FX_Temps,$AF2058,E$3)</f>
        <v>46.200000000000045</v>
      </c>
      <c r="F2058" cm="1">
        <f t="array" ref="F2058">INDEX(FX_Temps,$AF2058,F$3)</f>
        <v>48.292500000000018</v>
      </c>
      <c r="G2058" cm="1">
        <f t="array" ref="G2058">INDEX(FX_Temps,$AF2058,G$3)</f>
        <v>51.729999999999905</v>
      </c>
      <c r="H2058" cm="1">
        <f t="array" ref="H2058">INDEX(FX_Temps,$AF2058,H$3)</f>
        <v>56.99249999999995</v>
      </c>
      <c r="I2058" cm="1">
        <f t="array" ref="I2058">INDEX(FX_Temps,$AF2058,I$3)</f>
        <v>61.017500000000041</v>
      </c>
      <c r="J2058" cm="1">
        <f t="array" ref="J2058">INDEX(FX_Temps,$AF2058,J$3)</f>
        <v>64.719999999999914</v>
      </c>
      <c r="K2058" cm="1">
        <f t="array" ref="K2058">INDEX(FX_Temps,$AF2058,K$3)</f>
        <v>64.63</v>
      </c>
      <c r="L2058" cm="1">
        <f t="array" ref="L2058">INDEX(FX_Temps,$AF2058,L$3)</f>
        <v>61.590000000000032</v>
      </c>
      <c r="M2058" cm="1">
        <f t="array" ref="M2058">INDEX(FX_Temps,$AF2058,M$3)</f>
        <v>54.470000000000027</v>
      </c>
      <c r="N2058" cm="1">
        <f t="array" ref="N2058">INDEX(FX_Temps,$AF2058,N$3)</f>
        <v>48.077500000000043</v>
      </c>
      <c r="O2058" cm="1">
        <f t="array" ref="O2058">INDEX(FX_Temps,$AF2058,O$3)</f>
        <v>44.355000000000018</v>
      </c>
      <c r="AE2058">
        <f>AE2057</f>
        <v>1</v>
      </c>
      <c r="AF2058">
        <f>AF2048+13</f>
        <v>854</v>
      </c>
    </row>
    <row r="2059" spans="2:32" ht="17.149999999999999" x14ac:dyDescent="0.55000000000000004">
      <c r="B2059" t="str">
        <f t="shared" si="7132"/>
        <v>Portland</v>
      </c>
      <c r="C2059" t="s">
        <v>574</v>
      </c>
      <c r="D2059" cm="1">
        <f t="array" ref="D2059">IFERROR(IF(D2049="Chemical",(10^(INDEX(Antoines,MATCH(D2048,Antoine_Name,0),2)-INDEX(Antoines,MATCH(D2048,Antoine_Name,0),3)/(INDEX(Antoines,MATCH(D2048,Antoine_Name,0),4)+(D2056-32)*5/9)))*14.7/760,IF(D2049="Crude Oil",EXP((2799/(D2056+459.6)-2.227)*LOG10(INDEX(FX_Input,Q$5,D$3*$Z$5+$AA$5))-(7261/(D2056+459.6))+12.82),IF(D2049="Refined Petroleum Stock",EXP((0.7553-(413/(D2056+459.6)))*(INDEX(FX_Input,Q$5,D$3*$Z$5+$AA$5-1)^0.5)*LOG10(INDEX(FX_Input,Q$5,D$3*$Z$5+$AA$5))-(1.854-(1042/(D2056+459.6)))*(INDEX(FX_Input,Q$5,D$3*$Z$5+$AA$5-1)^0.5)+((2416/(D2056+459.6)-2.013)*LOG10(INDEX(FX_Input,Q$5,D$3*$Z$5+$AA$5)))-(8742/(D2056+459.6))+15.64),EXP(INDEX(Antoines,MATCH(D2048,Antoine_Name,0),2)-INDEX(Antoines,MATCH(D2048,Antoine_Name,0),3)/(D2056+459.6))))),0)</f>
        <v>4.8116637646820016E-3</v>
      </c>
      <c r="E2059" cm="1">
        <f t="array" ref="E2059">IFERROR(IF(E2049="Chemical",(10^(INDEX(Antoines,MATCH(E2048,Antoine_Name,0),2)-INDEX(Antoines,MATCH(E2048,Antoine_Name,0),3)/(INDEX(Antoines,MATCH(E2048,Antoine_Name,0),4)+(E2056-32)*5/9)))*14.7/760,IF(E2049="Crude Oil",EXP((2799/(E2056+459.6)-2.227)*LOG10(INDEX(FX_Input,R$5,E$3*$Z$5+$AA$5))-(7261/(E2056+459.6))+12.82),IF(E2049="Refined Petroleum Stock",EXP((0.7553-(413/(E2056+459.6)))*(INDEX(FX_Input,R$5,E$3*$Z$5+$AA$5-1)^0.5)*LOG10(INDEX(FX_Input,R$5,E$3*$Z$5+$AA$5))-(1.854-(1042/(E2056+459.6)))*(INDEX(FX_Input,R$5,E$3*$Z$5+$AA$5-1)^0.5)+((2416/(E2056+459.6)-2.013)*LOG10(INDEX(FX_Input,R$5,E$3*$Z$5+$AA$5)))-(8742/(E2056+459.6))+15.64),EXP(INDEX(Antoines,MATCH(E2048,Antoine_Name,0),2)-INDEX(Antoines,MATCH(E2048,Antoine_Name,0),3)/(E2056+459.6))))),0)</f>
        <v>5.0048006991488458E-3</v>
      </c>
      <c r="F2059" cm="1">
        <f t="array" ref="F2059">IFERROR(IF(F2049="Chemical",(10^(INDEX(Antoines,MATCH(F2048,Antoine_Name,0),2)-INDEX(Antoines,MATCH(F2048,Antoine_Name,0),3)/(INDEX(Antoines,MATCH(F2048,Antoine_Name,0),4)+(F2056-32)*5/9)))*14.7/760,IF(F2049="Crude Oil",EXP((2799/(F2056+459.6)-2.227)*LOG10(INDEX(FX_Input,S$5,F$3*$Z$5+$AA$5))-(7261/(F2056+459.6))+12.82),IF(F2049="Refined Petroleum Stock",EXP((0.7553-(413/(F2056+459.6)))*(INDEX(FX_Input,S$5,F$3*$Z$5+$AA$5-1)^0.5)*LOG10(INDEX(FX_Input,S$5,F$3*$Z$5+$AA$5))-(1.854-(1042/(F2056+459.6)))*(INDEX(FX_Input,S$5,F$3*$Z$5+$AA$5-1)^0.5)+((2416/(F2056+459.6)-2.013)*LOG10(INDEX(FX_Input,S$5,F$3*$Z$5+$AA$5)))-(8742/(F2056+459.6))+15.64),EXP(INDEX(Antoines,MATCH(F2048,Antoine_Name,0),2)-INDEX(Antoines,MATCH(F2048,Antoine_Name,0),3)/(F2056+459.6))))),0)</f>
        <v>5.3193030941574935E-3</v>
      </c>
      <c r="G2059" cm="1">
        <f t="array" ref="G2059">IFERROR(IF(G2049="Chemical",(10^(INDEX(Antoines,MATCH(G2048,Antoine_Name,0),2)-INDEX(Antoines,MATCH(G2048,Antoine_Name,0),3)/(INDEX(Antoines,MATCH(G2048,Antoine_Name,0),4)+(G2056-32)*5/9)))*14.7/760,IF(G2049="Crude Oil",EXP((2799/(G2056+459.6)-2.227)*LOG10(INDEX(FX_Input,T$5,G$3*$Z$5+$AA$5))-(7261/(G2056+459.6))+12.82),IF(G2049="Refined Petroleum Stock",EXP((0.7553-(413/(G2056+459.6)))*(INDEX(FX_Input,T$5,G$3*$Z$5+$AA$5-1)^0.5)*LOG10(INDEX(FX_Input,T$5,G$3*$Z$5+$AA$5))-(1.854-(1042/(G2056+459.6)))*(INDEX(FX_Input,T$5,G$3*$Z$5+$AA$5-1)^0.5)+((2416/(G2056+459.6)-2.013)*LOG10(INDEX(FX_Input,T$5,G$3*$Z$5+$AA$5)))-(8742/(G2056+459.6))+15.64),EXP(INDEX(Antoines,MATCH(G2048,Antoine_Name,0),2)-INDEX(Antoines,MATCH(G2048,Antoine_Name,0),3)/(G2056+459.6))))),0)</f>
        <v>5.8943503851042415E-3</v>
      </c>
      <c r="H2059" cm="1">
        <f t="array" ref="H2059">IFERROR(IF(H2049="Chemical",(10^(INDEX(Antoines,MATCH(H2048,Antoine_Name,0),2)-INDEX(Antoines,MATCH(H2048,Antoine_Name,0),3)/(INDEX(Antoines,MATCH(H2048,Antoine_Name,0),4)+(H2056-32)*5/9)))*14.7/760,IF(H2049="Crude Oil",EXP((2799/(H2056+459.6)-2.227)*LOG10(INDEX(FX_Input,U$5,H$3*$Z$5+$AA$5))-(7261/(H2056+459.6))+12.82),IF(H2049="Refined Petroleum Stock",EXP((0.7553-(413/(H2056+459.6)))*(INDEX(FX_Input,U$5,H$3*$Z$5+$AA$5-1)^0.5)*LOG10(INDEX(FX_Input,U$5,H$3*$Z$5+$AA$5))-(1.854-(1042/(H2056+459.6)))*(INDEX(FX_Input,U$5,H$3*$Z$5+$AA$5-1)^0.5)+((2416/(H2056+459.6)-2.013)*LOG10(INDEX(FX_Input,U$5,H$3*$Z$5+$AA$5)))-(8742/(H2056+459.6))+15.64),EXP(INDEX(Antoines,MATCH(H2048,Antoine_Name,0),2)-INDEX(Antoines,MATCH(H2048,Antoine_Name,0),3)/(H2056+459.6))))),0)</f>
        <v>6.9660236232598005E-3</v>
      </c>
      <c r="I2059" cm="1">
        <f t="array" ref="I2059">IFERROR(IF(I2049="Chemical",(10^(INDEX(Antoines,MATCH(I2048,Antoine_Name,0),2)-INDEX(Antoines,MATCH(I2048,Antoine_Name,0),3)/(INDEX(Antoines,MATCH(I2048,Antoine_Name,0),4)+(I2056-32)*5/9)))*14.7/760,IF(I2049="Crude Oil",EXP((2799/(I2056+459.6)-2.227)*LOG10(INDEX(FX_Input,V$5,I$3*$Z$5+$AA$5))-(7261/(I2056+459.6))+12.82),IF(I2049="Refined Petroleum Stock",EXP((0.7553-(413/(I2056+459.6)))*(INDEX(FX_Input,V$5,I$3*$Z$5+$AA$5-1)^0.5)*LOG10(INDEX(FX_Input,V$5,I$3*$Z$5+$AA$5))-(1.854-(1042/(I2056+459.6)))*(INDEX(FX_Input,V$5,I$3*$Z$5+$AA$5-1)^0.5)+((2416/(I2056+459.6)-2.013)*LOG10(INDEX(FX_Input,V$5,I$3*$Z$5+$AA$5)))-(8742/(I2056+459.6))+15.64),EXP(INDEX(Antoines,MATCH(I2048,Antoine_Name,0),2)-INDEX(Antoines,MATCH(I2048,Antoine_Name,0),3)/(I2056+459.6))))),0)</f>
        <v>7.9406391529506654E-3</v>
      </c>
      <c r="J2059" cm="1">
        <f t="array" ref="J2059">IFERROR(IF(J2049="Chemical",(10^(INDEX(Antoines,MATCH(J2048,Antoine_Name,0),2)-INDEX(Antoines,MATCH(J2048,Antoine_Name,0),3)/(INDEX(Antoines,MATCH(J2048,Antoine_Name,0),4)+(J2056-32)*5/9)))*14.7/760,IF(J2049="Crude Oil",EXP((2799/(J2056+459.6)-2.227)*LOG10(INDEX(FX_Input,W$5,J$3*$Z$5+$AA$5))-(7261/(J2056+459.6))+12.82),IF(J2049="Refined Petroleum Stock",EXP((0.7553-(413/(J2056+459.6)))*(INDEX(FX_Input,W$5,J$3*$Z$5+$AA$5-1)^0.5)*LOG10(INDEX(FX_Input,W$5,J$3*$Z$5+$AA$5))-(1.854-(1042/(J2056+459.6)))*(INDEX(FX_Input,W$5,J$3*$Z$5+$AA$5-1)^0.5)+((2416/(J2056+459.6)-2.013)*LOG10(INDEX(FX_Input,W$5,J$3*$Z$5+$AA$5)))-(8742/(J2056+459.6))+15.64),EXP(INDEX(Antoines,MATCH(J2048,Antoine_Name,0),2)-INDEX(Antoines,MATCH(J2048,Antoine_Name,0),3)/(J2056+459.6))))),0)</f>
        <v>8.9422860963673592E-3</v>
      </c>
      <c r="K2059" cm="1">
        <f t="array" ref="K2059">IFERROR(IF(K2049="Chemical",(10^(INDEX(Antoines,MATCH(K2048,Antoine_Name,0),2)-INDEX(Antoines,MATCH(K2048,Antoine_Name,0),3)/(INDEX(Antoines,MATCH(K2048,Antoine_Name,0),4)+(K2056-32)*5/9)))*14.7/760,IF(K2049="Crude Oil",EXP((2799/(K2056+459.6)-2.227)*LOG10(INDEX(FX_Input,X$5,K$3*$Z$5+$AA$5))-(7261/(K2056+459.6))+12.82),IF(K2049="Refined Petroleum Stock",EXP((0.7553-(413/(K2056+459.6)))*(INDEX(FX_Input,X$5,K$3*$Z$5+$AA$5-1)^0.5)*LOG10(INDEX(FX_Input,X$5,K$3*$Z$5+$AA$5))-(1.854-(1042/(K2056+459.6)))*(INDEX(FX_Input,X$5,K$3*$Z$5+$AA$5-1)^0.5)+((2416/(K2056+459.6)-2.013)*LOG10(INDEX(FX_Input,X$5,K$3*$Z$5+$AA$5)))-(8742/(K2056+459.6))+15.64),EXP(INDEX(Antoines,MATCH(K2048,Antoine_Name,0),2)-INDEX(Antoines,MATCH(K2048,Antoine_Name,0),3)/(K2056+459.6))))),0)</f>
        <v>8.9951550374627008E-3</v>
      </c>
      <c r="L2059" cm="1">
        <f t="array" ref="L2059">IFERROR(IF(L2049="Chemical",(10^(INDEX(Antoines,MATCH(L2048,Antoine_Name,0),2)-INDEX(Antoines,MATCH(L2048,Antoine_Name,0),3)/(INDEX(Antoines,MATCH(L2048,Antoine_Name,0),4)+(L2056-32)*5/9)))*14.7/760,IF(L2049="Crude Oil",EXP((2799/(L2056+459.6)-2.227)*LOG10(INDEX(FX_Input,Y$5,L$3*$Z$5+$AA$5))-(7261/(L2056+459.6))+12.82),IF(L2049="Refined Petroleum Stock",EXP((0.7553-(413/(L2056+459.6)))*(INDEX(FX_Input,Y$5,L$3*$Z$5+$AA$5-1)^0.5)*LOG10(INDEX(FX_Input,Y$5,L$3*$Z$5+$AA$5))-(1.854-(1042/(L2056+459.6)))*(INDEX(FX_Input,Y$5,L$3*$Z$5+$AA$5-1)^0.5)+((2416/(L2056+459.6)-2.013)*LOG10(INDEX(FX_Input,Y$5,L$3*$Z$5+$AA$5)))-(8742/(L2056+459.6))+15.64),EXP(INDEX(Antoines,MATCH(L2048,Antoine_Name,0),2)-INDEX(Antoines,MATCH(L2048,Antoine_Name,0),3)/(L2056+459.6))))),0)</f>
        <v>8.2385730689388259E-3</v>
      </c>
      <c r="M2059" cm="1">
        <f t="array" ref="M2059">IFERROR(IF(M2049="Chemical",(10^(INDEX(Antoines,MATCH(M2048,Antoine_Name,0),2)-INDEX(Antoines,MATCH(M2048,Antoine_Name,0),3)/(INDEX(Antoines,MATCH(M2048,Antoine_Name,0),4)+(M2056-32)*5/9)))*14.7/760,IF(M2049="Crude Oil",EXP((2799/(M2056+459.6)-2.227)*LOG10(INDEX(FX_Input,Z$5,M$3*$Z$5+$AA$5))-(7261/(M2056+459.6))+12.82),IF(M2049="Refined Petroleum Stock",EXP((0.7553-(413/(M2056+459.6)))*(INDEX(FX_Input,Z$5,M$3*$Z$5+$AA$5-1)^0.5)*LOG10(INDEX(FX_Input,Z$5,M$3*$Z$5+$AA$5))-(1.854-(1042/(M2056+459.6)))*(INDEX(FX_Input,Z$5,M$3*$Z$5+$AA$5-1)^0.5)+((2416/(M2056+459.6)-2.013)*LOG10(INDEX(FX_Input,Z$5,M$3*$Z$5+$AA$5)))-(8742/(M2056+459.6))+15.64),EXP(INDEX(Antoines,MATCH(M2048,Antoine_Name,0),2)-INDEX(Antoines,MATCH(M2048,Antoine_Name,0),3)/(M2056+459.6))))),0)</f>
        <v>6.618900442185772E-3</v>
      </c>
      <c r="N2059" cm="1">
        <f t="array" ref="N2059">IFERROR(IF(N2049="Chemical",(10^(INDEX(Antoines,MATCH(N2048,Antoine_Name,0),2)-INDEX(Antoines,MATCH(N2048,Antoine_Name,0),3)/(INDEX(Antoines,MATCH(N2048,Antoine_Name,0),4)+(N2056-32)*5/9)))*14.7/760,IF(N2049="Crude Oil",EXP((2799/(N2056+459.6)-2.227)*LOG10(INDEX(FX_Input,AA$5,N$3*$Z$5+$AA$5))-(7261/(N2056+459.6))+12.82),IF(N2049="Refined Petroleum Stock",EXP((0.7553-(413/(N2056+459.6)))*(INDEX(FX_Input,AA$5,N$3*$Z$5+$AA$5-1)^0.5)*LOG10(INDEX(FX_Input,AA$5,N$3*$Z$5+$AA$5))-(1.854-(1042/(N2056+459.6)))*(INDEX(FX_Input,AA$5,N$3*$Z$5+$AA$5-1)^0.5)+((2416/(N2056+459.6)-2.013)*LOG10(INDEX(FX_Input,AA$5,N$3*$Z$5+$AA$5)))-(8742/(N2056+459.6))+15.64),EXP(INDEX(Antoines,MATCH(N2048,Antoine_Name,0),2)-INDEX(Antoines,MATCH(N2048,Antoine_Name,0),3)/(N2056+459.6))))),0)</f>
        <v>5.3923587959108042E-3</v>
      </c>
      <c r="O2059" cm="1">
        <f t="array" ref="O2059">IFERROR(IF(O2049="Chemical",(10^(INDEX(Antoines,MATCH(O2048,Antoine_Name,0),2)-INDEX(Antoines,MATCH(O2048,Antoine_Name,0),3)/(INDEX(Antoines,MATCH(O2048,Antoine_Name,0),4)+(O2056-32)*5/9)))*14.7/760,IF(O2049="Crude Oil",EXP((2799/(O2056+459.6)-2.227)*LOG10(INDEX(FX_Input,AB$5,O$3*$Z$5+$AA$5))-(7261/(O2056+459.6))+12.82),IF(O2049="Refined Petroleum Stock",EXP((0.7553-(413/(O2056+459.6)))*(INDEX(FX_Input,AB$5,O$3*$Z$5+$AA$5-1)^0.5)*LOG10(INDEX(FX_Input,AB$5,O$3*$Z$5+$AA$5))-(1.854-(1042/(O2056+459.6)))*(INDEX(FX_Input,AB$5,O$3*$Z$5+$AA$5-1)^0.5)+((2416/(O2056+459.6)-2.013)*LOG10(INDEX(FX_Input,AB$5,O$3*$Z$5+$AA$5)))-(8742/(O2056+459.6))+15.64),EXP(INDEX(Antoines,MATCH(O2048,Antoine_Name,0),2)-INDEX(Antoines,MATCH(O2048,Antoine_Name,0),3)/(O2056+459.6))))),0)</f>
        <v>4.7525360186456101E-3</v>
      </c>
    </row>
    <row r="2060" spans="2:32" ht="17.149999999999999" x14ac:dyDescent="0.55000000000000004">
      <c r="B2060" t="str">
        <f t="shared" si="7132"/>
        <v>Portland</v>
      </c>
      <c r="C2060" t="s">
        <v>576</v>
      </c>
      <c r="D2060">
        <f>D2052*D2059</f>
        <v>4.8116637646820016E-3</v>
      </c>
      <c r="E2060">
        <f t="shared" ref="E2060:O2060" si="7133">E2052*E2059</f>
        <v>5.0048006991488458E-3</v>
      </c>
      <c r="F2060">
        <f t="shared" si="7133"/>
        <v>5.3193030941574935E-3</v>
      </c>
      <c r="G2060">
        <f t="shared" si="7133"/>
        <v>5.8943503851042415E-3</v>
      </c>
      <c r="H2060">
        <f t="shared" si="7133"/>
        <v>6.9660236232598005E-3</v>
      </c>
      <c r="I2060">
        <f t="shared" si="7133"/>
        <v>7.9406391529506654E-3</v>
      </c>
      <c r="J2060">
        <f t="shared" si="7133"/>
        <v>8.9422860963673592E-3</v>
      </c>
      <c r="K2060">
        <f t="shared" si="7133"/>
        <v>8.9951550374627008E-3</v>
      </c>
      <c r="L2060">
        <f t="shared" si="7133"/>
        <v>8.2385730689388259E-3</v>
      </c>
      <c r="M2060">
        <f t="shared" si="7133"/>
        <v>6.618900442185772E-3</v>
      </c>
      <c r="N2060">
        <f t="shared" si="7133"/>
        <v>5.3923587959108042E-3</v>
      </c>
      <c r="O2060">
        <f t="shared" si="7133"/>
        <v>4.7525360186456101E-3</v>
      </c>
    </row>
    <row r="2061" spans="2:32" ht="17.149999999999999" x14ac:dyDescent="0.55000000000000004">
      <c r="B2061" t="str">
        <f t="shared" si="7132"/>
        <v>Portland</v>
      </c>
      <c r="C2061" t="s">
        <v>575</v>
      </c>
      <c r="D2061" cm="1">
        <f t="array" ref="D2061">IFERROR(IF(D2051="Chemical",(10^(INDEX(Antoines,MATCH(D2050,Antoine_Name,0),2)-INDEX(Antoines,MATCH(D2050,Antoine_Name,0),3)/(INDEX(Antoines,MATCH(D2050,Antoine_Name,0),4)+(D2056-32)*5/9)))*14.7/760,IF(D2051="Crude Oil",EXP((2799/(D2056+459.6)-2.227)*LOG10(INDEX(FX_Input,Q$5,D$3*$Z$5+$AA$5))-(7261/(D2056+459.6))+12.82),IF(D2051="Refined Petroleum Stock",EXP((0.7553-(413/(D2056+459.6)))*(INDEX(FX_Input,Q$5,D$3*$Z$5+$AA$5-1)^0.5)*LOG10(INDEX(FX_Input,Q$5,D$3*$Z$5+$AA$5))-(1.854-(1042/(D2056+459.6)))*(INDEX(FX_Input,Q$5,D$3*$Z$5+$AA$5-1)^0.5)+((2416/(D2056+459.6)-2.013)*LOG10(INDEX(FX_Input,Q$5,D$3*$Z$5+$AA$5)))-(8742/(D2056+459.6))+15.64),EXP(INDEX(Antoines,MATCH(D2050,Antoine_Name,0),2)-INDEX(Antoines,MATCH(D2050,Antoine_Name,0),3)/(D2056+459.6))))),0)</f>
        <v>0</v>
      </c>
      <c r="E2061" cm="1">
        <f t="array" ref="E2061">IFERROR(IF(E2051="Chemical",(10^(INDEX(Antoines,MATCH(E2050,Antoine_Name,0),2)-INDEX(Antoines,MATCH(E2050,Antoine_Name,0),3)/(INDEX(Antoines,MATCH(E2050,Antoine_Name,0),4)+(E2056-32)*5/9)))*14.7/760,IF(E2051="Crude Oil",EXP((2799/(E2056+459.6)-2.227)*LOG10(INDEX(FX_Input,R$5,E$3*$Z$5+$AA$5))-(7261/(E2056+459.6))+12.82),IF(E2051="Refined Petroleum Stock",EXP((0.7553-(413/(E2056+459.6)))*(INDEX(FX_Input,R$5,E$3*$Z$5+$AA$5-1)^0.5)*LOG10(INDEX(FX_Input,R$5,E$3*$Z$5+$AA$5))-(1.854-(1042/(E2056+459.6)))*(INDEX(FX_Input,R$5,E$3*$Z$5+$AA$5-1)^0.5)+((2416/(E2056+459.6)-2.013)*LOG10(INDEX(FX_Input,R$5,E$3*$Z$5+$AA$5)))-(8742/(E2056+459.6))+15.64),EXP(INDEX(Antoines,MATCH(E2050,Antoine_Name,0),2)-INDEX(Antoines,MATCH(E2050,Antoine_Name,0),3)/(E2056+459.6))))),0)</f>
        <v>0</v>
      </c>
      <c r="F2061" cm="1">
        <f t="array" ref="F2061">IFERROR(IF(F2051="Chemical",(10^(INDEX(Antoines,MATCH(F2050,Antoine_Name,0),2)-INDEX(Antoines,MATCH(F2050,Antoine_Name,0),3)/(INDEX(Antoines,MATCH(F2050,Antoine_Name,0),4)+(F2056-32)*5/9)))*14.7/760,IF(F2051="Crude Oil",EXP((2799/(F2056+459.6)-2.227)*LOG10(INDEX(FX_Input,S$5,F$3*$Z$5+$AA$5))-(7261/(F2056+459.6))+12.82),IF(F2051="Refined Petroleum Stock",EXP((0.7553-(413/(F2056+459.6)))*(INDEX(FX_Input,S$5,F$3*$Z$5+$AA$5-1)^0.5)*LOG10(INDEX(FX_Input,S$5,F$3*$Z$5+$AA$5))-(1.854-(1042/(F2056+459.6)))*(INDEX(FX_Input,S$5,F$3*$Z$5+$AA$5-1)^0.5)+((2416/(F2056+459.6)-2.013)*LOG10(INDEX(FX_Input,S$5,F$3*$Z$5+$AA$5)))-(8742/(F2056+459.6))+15.64),EXP(INDEX(Antoines,MATCH(F2050,Antoine_Name,0),2)-INDEX(Antoines,MATCH(F2050,Antoine_Name,0),3)/(F2056+459.6))))),0)</f>
        <v>0</v>
      </c>
      <c r="G2061" cm="1">
        <f t="array" ref="G2061">IFERROR(IF(G2051="Chemical",(10^(INDEX(Antoines,MATCH(G2050,Antoine_Name,0),2)-INDEX(Antoines,MATCH(G2050,Antoine_Name,0),3)/(INDEX(Antoines,MATCH(G2050,Antoine_Name,0),4)+(G2056-32)*5/9)))*14.7/760,IF(G2051="Crude Oil",EXP((2799/(G2056+459.6)-2.227)*LOG10(INDEX(FX_Input,T$5,G$3*$Z$5+$AA$5))-(7261/(G2056+459.6))+12.82),IF(G2051="Refined Petroleum Stock",EXP((0.7553-(413/(G2056+459.6)))*(INDEX(FX_Input,T$5,G$3*$Z$5+$AA$5-1)^0.5)*LOG10(INDEX(FX_Input,T$5,G$3*$Z$5+$AA$5))-(1.854-(1042/(G2056+459.6)))*(INDEX(FX_Input,T$5,G$3*$Z$5+$AA$5-1)^0.5)+((2416/(G2056+459.6)-2.013)*LOG10(INDEX(FX_Input,T$5,G$3*$Z$5+$AA$5)))-(8742/(G2056+459.6))+15.64),EXP(INDEX(Antoines,MATCH(G2050,Antoine_Name,0),2)-INDEX(Antoines,MATCH(G2050,Antoine_Name,0),3)/(G2056+459.6))))),0)</f>
        <v>0</v>
      </c>
      <c r="H2061" cm="1">
        <f t="array" ref="H2061">IFERROR(IF(H2051="Chemical",(10^(INDEX(Antoines,MATCH(H2050,Antoine_Name,0),2)-INDEX(Antoines,MATCH(H2050,Antoine_Name,0),3)/(INDEX(Antoines,MATCH(H2050,Antoine_Name,0),4)+(H2056-32)*5/9)))*14.7/760,IF(H2051="Crude Oil",EXP((2799/(H2056+459.6)-2.227)*LOG10(INDEX(FX_Input,U$5,H$3*$Z$5+$AA$5))-(7261/(H2056+459.6))+12.82),IF(H2051="Refined Petroleum Stock",EXP((0.7553-(413/(H2056+459.6)))*(INDEX(FX_Input,U$5,H$3*$Z$5+$AA$5-1)^0.5)*LOG10(INDEX(FX_Input,U$5,H$3*$Z$5+$AA$5))-(1.854-(1042/(H2056+459.6)))*(INDEX(FX_Input,U$5,H$3*$Z$5+$AA$5-1)^0.5)+((2416/(H2056+459.6)-2.013)*LOG10(INDEX(FX_Input,U$5,H$3*$Z$5+$AA$5)))-(8742/(H2056+459.6))+15.64),EXP(INDEX(Antoines,MATCH(H2050,Antoine_Name,0),2)-INDEX(Antoines,MATCH(H2050,Antoine_Name,0),3)/(H2056+459.6))))),0)</f>
        <v>0</v>
      </c>
      <c r="I2061" cm="1">
        <f t="array" ref="I2061">IFERROR(IF(I2051="Chemical",(10^(INDEX(Antoines,MATCH(I2050,Antoine_Name,0),2)-INDEX(Antoines,MATCH(I2050,Antoine_Name,0),3)/(INDEX(Antoines,MATCH(I2050,Antoine_Name,0),4)+(I2056-32)*5/9)))*14.7/760,IF(I2051="Crude Oil",EXP((2799/(I2056+459.6)-2.227)*LOG10(INDEX(FX_Input,V$5,I$3*$Z$5+$AA$5))-(7261/(I2056+459.6))+12.82),IF(I2051="Refined Petroleum Stock",EXP((0.7553-(413/(I2056+459.6)))*(INDEX(FX_Input,V$5,I$3*$Z$5+$AA$5-1)^0.5)*LOG10(INDEX(FX_Input,V$5,I$3*$Z$5+$AA$5))-(1.854-(1042/(I2056+459.6)))*(INDEX(FX_Input,V$5,I$3*$Z$5+$AA$5-1)^0.5)+((2416/(I2056+459.6)-2.013)*LOG10(INDEX(FX_Input,V$5,I$3*$Z$5+$AA$5)))-(8742/(I2056+459.6))+15.64),EXP(INDEX(Antoines,MATCH(I2050,Antoine_Name,0),2)-INDEX(Antoines,MATCH(I2050,Antoine_Name,0),3)/(I2056+459.6))))),0)</f>
        <v>0</v>
      </c>
      <c r="J2061" cm="1">
        <f t="array" ref="J2061">IFERROR(IF(J2051="Chemical",(10^(INDEX(Antoines,MATCH(J2050,Antoine_Name,0),2)-INDEX(Antoines,MATCH(J2050,Antoine_Name,0),3)/(INDEX(Antoines,MATCH(J2050,Antoine_Name,0),4)+(J2056-32)*5/9)))*14.7/760,IF(J2051="Crude Oil",EXP((2799/(J2056+459.6)-2.227)*LOG10(INDEX(FX_Input,W$5,J$3*$Z$5+$AA$5))-(7261/(J2056+459.6))+12.82),IF(J2051="Refined Petroleum Stock",EXP((0.7553-(413/(J2056+459.6)))*(INDEX(FX_Input,W$5,J$3*$Z$5+$AA$5-1)^0.5)*LOG10(INDEX(FX_Input,W$5,J$3*$Z$5+$AA$5))-(1.854-(1042/(J2056+459.6)))*(INDEX(FX_Input,W$5,J$3*$Z$5+$AA$5-1)^0.5)+((2416/(J2056+459.6)-2.013)*LOG10(INDEX(FX_Input,W$5,J$3*$Z$5+$AA$5)))-(8742/(J2056+459.6))+15.64),EXP(INDEX(Antoines,MATCH(J2050,Antoine_Name,0),2)-INDEX(Antoines,MATCH(J2050,Antoine_Name,0),3)/(J2056+459.6))))),0)</f>
        <v>0</v>
      </c>
      <c r="K2061" cm="1">
        <f t="array" ref="K2061">IFERROR(IF(K2051="Chemical",(10^(INDEX(Antoines,MATCH(K2050,Antoine_Name,0),2)-INDEX(Antoines,MATCH(K2050,Antoine_Name,0),3)/(INDEX(Antoines,MATCH(K2050,Antoine_Name,0),4)+(K2056-32)*5/9)))*14.7/760,IF(K2051="Crude Oil",EXP((2799/(K2056+459.6)-2.227)*LOG10(INDEX(FX_Input,X$5,K$3*$Z$5+$AA$5))-(7261/(K2056+459.6))+12.82),IF(K2051="Refined Petroleum Stock",EXP((0.7553-(413/(K2056+459.6)))*(INDEX(FX_Input,X$5,K$3*$Z$5+$AA$5-1)^0.5)*LOG10(INDEX(FX_Input,X$5,K$3*$Z$5+$AA$5))-(1.854-(1042/(K2056+459.6)))*(INDEX(FX_Input,X$5,K$3*$Z$5+$AA$5-1)^0.5)+((2416/(K2056+459.6)-2.013)*LOG10(INDEX(FX_Input,X$5,K$3*$Z$5+$AA$5)))-(8742/(K2056+459.6))+15.64),EXP(INDEX(Antoines,MATCH(K2050,Antoine_Name,0),2)-INDEX(Antoines,MATCH(K2050,Antoine_Name,0),3)/(K2056+459.6))))),0)</f>
        <v>0</v>
      </c>
      <c r="L2061" cm="1">
        <f t="array" ref="L2061">IFERROR(IF(L2051="Chemical",(10^(INDEX(Antoines,MATCH(L2050,Antoine_Name,0),2)-INDEX(Antoines,MATCH(L2050,Antoine_Name,0),3)/(INDEX(Antoines,MATCH(L2050,Antoine_Name,0),4)+(L2056-32)*5/9)))*14.7/760,IF(L2051="Crude Oil",EXP((2799/(L2056+459.6)-2.227)*LOG10(INDEX(FX_Input,Y$5,L$3*$Z$5+$AA$5))-(7261/(L2056+459.6))+12.82),IF(L2051="Refined Petroleum Stock",EXP((0.7553-(413/(L2056+459.6)))*(INDEX(FX_Input,Y$5,L$3*$Z$5+$AA$5-1)^0.5)*LOG10(INDEX(FX_Input,Y$5,L$3*$Z$5+$AA$5))-(1.854-(1042/(L2056+459.6)))*(INDEX(FX_Input,Y$5,L$3*$Z$5+$AA$5-1)^0.5)+((2416/(L2056+459.6)-2.013)*LOG10(INDEX(FX_Input,Y$5,L$3*$Z$5+$AA$5)))-(8742/(L2056+459.6))+15.64),EXP(INDEX(Antoines,MATCH(L2050,Antoine_Name,0),2)-INDEX(Antoines,MATCH(L2050,Antoine_Name,0),3)/(L2056+459.6))))),0)</f>
        <v>0</v>
      </c>
      <c r="M2061" cm="1">
        <f t="array" ref="M2061">IFERROR(IF(M2051="Chemical",(10^(INDEX(Antoines,MATCH(M2050,Antoine_Name,0),2)-INDEX(Antoines,MATCH(M2050,Antoine_Name,0),3)/(INDEX(Antoines,MATCH(M2050,Antoine_Name,0),4)+(M2056-32)*5/9)))*14.7/760,IF(M2051="Crude Oil",EXP((2799/(M2056+459.6)-2.227)*LOG10(INDEX(FX_Input,Z$5,M$3*$Z$5+$AA$5))-(7261/(M2056+459.6))+12.82),IF(M2051="Refined Petroleum Stock",EXP((0.7553-(413/(M2056+459.6)))*(INDEX(FX_Input,Z$5,M$3*$Z$5+$AA$5-1)^0.5)*LOG10(INDEX(FX_Input,Z$5,M$3*$Z$5+$AA$5))-(1.854-(1042/(M2056+459.6)))*(INDEX(FX_Input,Z$5,M$3*$Z$5+$AA$5-1)^0.5)+((2416/(M2056+459.6)-2.013)*LOG10(INDEX(FX_Input,Z$5,M$3*$Z$5+$AA$5)))-(8742/(M2056+459.6))+15.64),EXP(INDEX(Antoines,MATCH(M2050,Antoine_Name,0),2)-INDEX(Antoines,MATCH(M2050,Antoine_Name,0),3)/(M2056+459.6))))),0)</f>
        <v>0</v>
      </c>
      <c r="N2061" cm="1">
        <f t="array" ref="N2061">IFERROR(IF(N2051="Chemical",(10^(INDEX(Antoines,MATCH(N2050,Antoine_Name,0),2)-INDEX(Antoines,MATCH(N2050,Antoine_Name,0),3)/(INDEX(Antoines,MATCH(N2050,Antoine_Name,0),4)+(N2056-32)*5/9)))*14.7/760,IF(N2051="Crude Oil",EXP((2799/(N2056+459.6)-2.227)*LOG10(INDEX(FX_Input,AA$5,N$3*$Z$5+$AA$5))-(7261/(N2056+459.6))+12.82),IF(N2051="Refined Petroleum Stock",EXP((0.7553-(413/(N2056+459.6)))*(INDEX(FX_Input,AA$5,N$3*$Z$5+$AA$5-1)^0.5)*LOG10(INDEX(FX_Input,AA$5,N$3*$Z$5+$AA$5))-(1.854-(1042/(N2056+459.6)))*(INDEX(FX_Input,AA$5,N$3*$Z$5+$AA$5-1)^0.5)+((2416/(N2056+459.6)-2.013)*LOG10(INDEX(FX_Input,AA$5,N$3*$Z$5+$AA$5)))-(8742/(N2056+459.6))+15.64),EXP(INDEX(Antoines,MATCH(N2050,Antoine_Name,0),2)-INDEX(Antoines,MATCH(N2050,Antoine_Name,0),3)/(N2056+459.6))))),0)</f>
        <v>0</v>
      </c>
      <c r="O2061" cm="1">
        <f t="array" ref="O2061">IFERROR(IF(O2051="Chemical",(10^(INDEX(Antoines,MATCH(O2050,Antoine_Name,0),2)-INDEX(Antoines,MATCH(O2050,Antoine_Name,0),3)/(INDEX(Antoines,MATCH(O2050,Antoine_Name,0),4)+(O2056-32)*5/9)))*14.7/760,IF(O2051="Crude Oil",EXP((2799/(O2056+459.6)-2.227)*LOG10(INDEX(FX_Input,AB$5,O$3*$Z$5+$AA$5))-(7261/(O2056+459.6))+12.82),IF(O2051="Refined Petroleum Stock",EXP((0.7553-(413/(O2056+459.6)))*(INDEX(FX_Input,AB$5,O$3*$Z$5+$AA$5-1)^0.5)*LOG10(INDEX(FX_Input,AB$5,O$3*$Z$5+$AA$5))-(1.854-(1042/(O2056+459.6)))*(INDEX(FX_Input,AB$5,O$3*$Z$5+$AA$5-1)^0.5)+((2416/(O2056+459.6)-2.013)*LOG10(INDEX(FX_Input,AB$5,O$3*$Z$5+$AA$5)))-(8742/(O2056+459.6))+15.64),EXP(INDEX(Antoines,MATCH(O2050,Antoine_Name,0),2)-INDEX(Antoines,MATCH(O2050,Antoine_Name,0),3)/(O2056+459.6))))),0)</f>
        <v>0</v>
      </c>
    </row>
    <row r="2062" spans="2:32" ht="17.149999999999999" x14ac:dyDescent="0.55000000000000004">
      <c r="B2062" t="str">
        <f t="shared" si="7132"/>
        <v>Portland</v>
      </c>
      <c r="C2062" t="s">
        <v>577</v>
      </c>
      <c r="D2062">
        <f>D2061*D2054</f>
        <v>0</v>
      </c>
      <c r="E2062">
        <f t="shared" ref="E2062:O2062" si="7134">E2061*E2054</f>
        <v>0</v>
      </c>
      <c r="F2062">
        <f t="shared" si="7134"/>
        <v>0</v>
      </c>
      <c r="G2062">
        <f t="shared" si="7134"/>
        <v>0</v>
      </c>
      <c r="H2062">
        <f t="shared" si="7134"/>
        <v>0</v>
      </c>
      <c r="I2062">
        <f t="shared" si="7134"/>
        <v>0</v>
      </c>
      <c r="J2062">
        <f t="shared" si="7134"/>
        <v>0</v>
      </c>
      <c r="K2062">
        <f t="shared" si="7134"/>
        <v>0</v>
      </c>
      <c r="L2062">
        <f t="shared" si="7134"/>
        <v>0</v>
      </c>
      <c r="M2062">
        <f t="shared" si="7134"/>
        <v>0</v>
      </c>
      <c r="N2062">
        <f t="shared" si="7134"/>
        <v>0</v>
      </c>
      <c r="O2062">
        <f t="shared" si="7134"/>
        <v>0</v>
      </c>
    </row>
    <row r="2063" spans="2:32" ht="17.149999999999999" x14ac:dyDescent="0.55000000000000004">
      <c r="B2063" t="str">
        <f t="shared" si="7132"/>
        <v>Portland</v>
      </c>
      <c r="C2063" t="s">
        <v>578</v>
      </c>
      <c r="D2063">
        <f>D2062+D2060</f>
        <v>4.8116637646820016E-3</v>
      </c>
      <c r="E2063">
        <f t="shared" ref="E2063:O2063" si="7135">E2062+E2060</f>
        <v>5.0048006991488458E-3</v>
      </c>
      <c r="F2063">
        <f t="shared" si="7135"/>
        <v>5.3193030941574935E-3</v>
      </c>
      <c r="G2063">
        <f t="shared" si="7135"/>
        <v>5.8943503851042415E-3</v>
      </c>
      <c r="H2063">
        <f t="shared" si="7135"/>
        <v>6.9660236232598005E-3</v>
      </c>
      <c r="I2063">
        <f t="shared" si="7135"/>
        <v>7.9406391529506654E-3</v>
      </c>
      <c r="J2063">
        <f t="shared" si="7135"/>
        <v>8.9422860963673592E-3</v>
      </c>
      <c r="K2063">
        <f t="shared" si="7135"/>
        <v>8.9951550374627008E-3</v>
      </c>
      <c r="L2063">
        <f t="shared" si="7135"/>
        <v>8.2385730689388259E-3</v>
      </c>
      <c r="M2063">
        <f t="shared" si="7135"/>
        <v>6.618900442185772E-3</v>
      </c>
      <c r="N2063">
        <f t="shared" si="7135"/>
        <v>5.3923587959108042E-3</v>
      </c>
      <c r="O2063">
        <f t="shared" si="7135"/>
        <v>4.7525360186456101E-3</v>
      </c>
    </row>
    <row r="2064" spans="2:32" ht="17.149999999999999" x14ac:dyDescent="0.55000000000000004">
      <c r="B2064" t="str">
        <f t="shared" si="7132"/>
        <v>Portland</v>
      </c>
      <c r="C2064" t="s">
        <v>579</v>
      </c>
      <c r="D2064" cm="1">
        <f t="array" ref="D2064">IFERROR(IF(D2049="Chemical",(10^(INDEX(Antoines,MATCH(D2048,Antoine_Name,0),2)-INDEX(Antoines,MATCH(D2048,Antoine_Name,0),3)/(INDEX(Antoines,MATCH(D2048,Antoine_Name,0),4)+(D2057-32)*5/9)))*14.7/760,IF(D2049="Crude Oil",EXP((2799/(D2057+459.6)-2.227)*LOG10(INDEX(FX_Input,Q$5,D$3*$Z$5+$AA$5))-(7261/(D2057+459.6))+12.82),IF(D2049="Refined Petroleum Stock",EXP((0.7553-(413/(D2057+459.6)))*(INDEX(FX_Input,Q$5,D$3*$Z$5+$AA$5-1)^0.5)*LOG10(INDEX(FX_Input,Q$5,D$3*$Z$5+$AA$5))-(1.854-(1042/(D2057+459.6)))*(INDEX(FX_Input,Q$5,D$3*$Z$5+$AA$5-1)^0.5)+((2416/(D2057+459.6)-2.013)*LOG10(INDEX(FX_Input,Q$5,D$3*$Z$5+$AA$5)))-(8742/(D2057+459.6))+15.64),EXP(INDEX(Antoines,MATCH(D2048,Antoine_Name,0),2)-INDEX(Antoines,MATCH(D2048,Antoine_Name,0),3)/(D2057+459.6))))),0)</f>
        <v>4.8116637646820016E-3</v>
      </c>
      <c r="E2064" cm="1">
        <f t="array" ref="E2064">IFERROR(IF(E2049="Chemical",(10^(INDEX(Antoines,MATCH(E2048,Antoine_Name,0),2)-INDEX(Antoines,MATCH(E2048,Antoine_Name,0),3)/(INDEX(Antoines,MATCH(E2048,Antoine_Name,0),4)+(E2057-32)*5/9)))*14.7/760,IF(E2049="Crude Oil",EXP((2799/(E2057+459.6)-2.227)*LOG10(INDEX(FX_Input,R$5,E$3*$Z$5+$AA$5))-(7261/(E2057+459.6))+12.82),IF(E2049="Refined Petroleum Stock",EXP((0.7553-(413/(E2057+459.6)))*(INDEX(FX_Input,R$5,E$3*$Z$5+$AA$5-1)^0.5)*LOG10(INDEX(FX_Input,R$5,E$3*$Z$5+$AA$5))-(1.854-(1042/(E2057+459.6)))*(INDEX(FX_Input,R$5,E$3*$Z$5+$AA$5-1)^0.5)+((2416/(E2057+459.6)-2.013)*LOG10(INDEX(FX_Input,R$5,E$3*$Z$5+$AA$5)))-(8742/(E2057+459.6))+15.64),EXP(INDEX(Antoines,MATCH(E2048,Antoine_Name,0),2)-INDEX(Antoines,MATCH(E2048,Antoine_Name,0),3)/(E2057+459.6))))),0)</f>
        <v>5.0048006991488458E-3</v>
      </c>
      <c r="F2064" cm="1">
        <f t="array" ref="F2064">IFERROR(IF(F2049="Chemical",(10^(INDEX(Antoines,MATCH(F2048,Antoine_Name,0),2)-INDEX(Antoines,MATCH(F2048,Antoine_Name,0),3)/(INDEX(Antoines,MATCH(F2048,Antoine_Name,0),4)+(F2057-32)*5/9)))*14.7/760,IF(F2049="Crude Oil",EXP((2799/(F2057+459.6)-2.227)*LOG10(INDEX(FX_Input,S$5,F$3*$Z$5+$AA$5))-(7261/(F2057+459.6))+12.82),IF(F2049="Refined Petroleum Stock",EXP((0.7553-(413/(F2057+459.6)))*(INDEX(FX_Input,S$5,F$3*$Z$5+$AA$5-1)^0.5)*LOG10(INDEX(FX_Input,S$5,F$3*$Z$5+$AA$5))-(1.854-(1042/(F2057+459.6)))*(INDEX(FX_Input,S$5,F$3*$Z$5+$AA$5-1)^0.5)+((2416/(F2057+459.6)-2.013)*LOG10(INDEX(FX_Input,S$5,F$3*$Z$5+$AA$5)))-(8742/(F2057+459.6))+15.64),EXP(INDEX(Antoines,MATCH(F2048,Antoine_Name,0),2)-INDEX(Antoines,MATCH(F2048,Antoine_Name,0),3)/(F2057+459.6))))),0)</f>
        <v>5.3193030941574935E-3</v>
      </c>
      <c r="G2064" cm="1">
        <f t="array" ref="G2064">IFERROR(IF(G2049="Chemical",(10^(INDEX(Antoines,MATCH(G2048,Antoine_Name,0),2)-INDEX(Antoines,MATCH(G2048,Antoine_Name,0),3)/(INDEX(Antoines,MATCH(G2048,Antoine_Name,0),4)+(G2057-32)*5/9)))*14.7/760,IF(G2049="Crude Oil",EXP((2799/(G2057+459.6)-2.227)*LOG10(INDEX(FX_Input,T$5,G$3*$Z$5+$AA$5))-(7261/(G2057+459.6))+12.82),IF(G2049="Refined Petroleum Stock",EXP((0.7553-(413/(G2057+459.6)))*(INDEX(FX_Input,T$5,G$3*$Z$5+$AA$5-1)^0.5)*LOG10(INDEX(FX_Input,T$5,G$3*$Z$5+$AA$5))-(1.854-(1042/(G2057+459.6)))*(INDEX(FX_Input,T$5,G$3*$Z$5+$AA$5-1)^0.5)+((2416/(G2057+459.6)-2.013)*LOG10(INDEX(FX_Input,T$5,G$3*$Z$5+$AA$5)))-(8742/(G2057+459.6))+15.64),EXP(INDEX(Antoines,MATCH(G2048,Antoine_Name,0),2)-INDEX(Antoines,MATCH(G2048,Antoine_Name,0),3)/(G2057+459.6))))),0)</f>
        <v>5.8943503851042415E-3</v>
      </c>
      <c r="H2064" cm="1">
        <f t="array" ref="H2064">IFERROR(IF(H2049="Chemical",(10^(INDEX(Antoines,MATCH(H2048,Antoine_Name,0),2)-INDEX(Antoines,MATCH(H2048,Antoine_Name,0),3)/(INDEX(Antoines,MATCH(H2048,Antoine_Name,0),4)+(H2057-32)*5/9)))*14.7/760,IF(H2049="Crude Oil",EXP((2799/(H2057+459.6)-2.227)*LOG10(INDEX(FX_Input,U$5,H$3*$Z$5+$AA$5))-(7261/(H2057+459.6))+12.82),IF(H2049="Refined Petroleum Stock",EXP((0.7553-(413/(H2057+459.6)))*(INDEX(FX_Input,U$5,H$3*$Z$5+$AA$5-1)^0.5)*LOG10(INDEX(FX_Input,U$5,H$3*$Z$5+$AA$5))-(1.854-(1042/(H2057+459.6)))*(INDEX(FX_Input,U$5,H$3*$Z$5+$AA$5-1)^0.5)+((2416/(H2057+459.6)-2.013)*LOG10(INDEX(FX_Input,U$5,H$3*$Z$5+$AA$5)))-(8742/(H2057+459.6))+15.64),EXP(INDEX(Antoines,MATCH(H2048,Antoine_Name,0),2)-INDEX(Antoines,MATCH(H2048,Antoine_Name,0),3)/(H2057+459.6))))),0)</f>
        <v>6.9660236232598005E-3</v>
      </c>
      <c r="I2064" cm="1">
        <f t="array" ref="I2064">IFERROR(IF(I2049="Chemical",(10^(INDEX(Antoines,MATCH(I2048,Antoine_Name,0),2)-INDEX(Antoines,MATCH(I2048,Antoine_Name,0),3)/(INDEX(Antoines,MATCH(I2048,Antoine_Name,0),4)+(I2057-32)*5/9)))*14.7/760,IF(I2049="Crude Oil",EXP((2799/(I2057+459.6)-2.227)*LOG10(INDEX(FX_Input,V$5,I$3*$Z$5+$AA$5))-(7261/(I2057+459.6))+12.82),IF(I2049="Refined Petroleum Stock",EXP((0.7553-(413/(I2057+459.6)))*(INDEX(FX_Input,V$5,I$3*$Z$5+$AA$5-1)^0.5)*LOG10(INDEX(FX_Input,V$5,I$3*$Z$5+$AA$5))-(1.854-(1042/(I2057+459.6)))*(INDEX(FX_Input,V$5,I$3*$Z$5+$AA$5-1)^0.5)+((2416/(I2057+459.6)-2.013)*LOG10(INDEX(FX_Input,V$5,I$3*$Z$5+$AA$5)))-(8742/(I2057+459.6))+15.64),EXP(INDEX(Antoines,MATCH(I2048,Antoine_Name,0),2)-INDEX(Antoines,MATCH(I2048,Antoine_Name,0),3)/(I2057+459.6))))),0)</f>
        <v>7.9406391529506654E-3</v>
      </c>
      <c r="J2064" cm="1">
        <f t="array" ref="J2064">IFERROR(IF(J2049="Chemical",(10^(INDEX(Antoines,MATCH(J2048,Antoine_Name,0),2)-INDEX(Antoines,MATCH(J2048,Antoine_Name,0),3)/(INDEX(Antoines,MATCH(J2048,Antoine_Name,0),4)+(J2057-32)*5/9)))*14.7/760,IF(J2049="Crude Oil",EXP((2799/(J2057+459.6)-2.227)*LOG10(INDEX(FX_Input,W$5,J$3*$Z$5+$AA$5))-(7261/(J2057+459.6))+12.82),IF(J2049="Refined Petroleum Stock",EXP((0.7553-(413/(J2057+459.6)))*(INDEX(FX_Input,W$5,J$3*$Z$5+$AA$5-1)^0.5)*LOG10(INDEX(FX_Input,W$5,J$3*$Z$5+$AA$5))-(1.854-(1042/(J2057+459.6)))*(INDEX(FX_Input,W$5,J$3*$Z$5+$AA$5-1)^0.5)+((2416/(J2057+459.6)-2.013)*LOG10(INDEX(FX_Input,W$5,J$3*$Z$5+$AA$5)))-(8742/(J2057+459.6))+15.64),EXP(INDEX(Antoines,MATCH(J2048,Antoine_Name,0),2)-INDEX(Antoines,MATCH(J2048,Antoine_Name,0),3)/(J2057+459.6))))),0)</f>
        <v>8.9422860963673592E-3</v>
      </c>
      <c r="K2064" cm="1">
        <f t="array" ref="K2064">IFERROR(IF(K2049="Chemical",(10^(INDEX(Antoines,MATCH(K2048,Antoine_Name,0),2)-INDEX(Antoines,MATCH(K2048,Antoine_Name,0),3)/(INDEX(Antoines,MATCH(K2048,Antoine_Name,0),4)+(K2057-32)*5/9)))*14.7/760,IF(K2049="Crude Oil",EXP((2799/(K2057+459.6)-2.227)*LOG10(INDEX(FX_Input,X$5,K$3*$Z$5+$AA$5))-(7261/(K2057+459.6))+12.82),IF(K2049="Refined Petroleum Stock",EXP((0.7553-(413/(K2057+459.6)))*(INDEX(FX_Input,X$5,K$3*$Z$5+$AA$5-1)^0.5)*LOG10(INDEX(FX_Input,X$5,K$3*$Z$5+$AA$5))-(1.854-(1042/(K2057+459.6)))*(INDEX(FX_Input,X$5,K$3*$Z$5+$AA$5-1)^0.5)+((2416/(K2057+459.6)-2.013)*LOG10(INDEX(FX_Input,X$5,K$3*$Z$5+$AA$5)))-(8742/(K2057+459.6))+15.64),EXP(INDEX(Antoines,MATCH(K2048,Antoine_Name,0),2)-INDEX(Antoines,MATCH(K2048,Antoine_Name,0),3)/(K2057+459.6))))),0)</f>
        <v>8.9951550374627008E-3</v>
      </c>
      <c r="L2064" cm="1">
        <f t="array" ref="L2064">IFERROR(IF(L2049="Chemical",(10^(INDEX(Antoines,MATCH(L2048,Antoine_Name,0),2)-INDEX(Antoines,MATCH(L2048,Antoine_Name,0),3)/(INDEX(Antoines,MATCH(L2048,Antoine_Name,0),4)+(L2057-32)*5/9)))*14.7/760,IF(L2049="Crude Oil",EXP((2799/(L2057+459.6)-2.227)*LOG10(INDEX(FX_Input,Y$5,L$3*$Z$5+$AA$5))-(7261/(L2057+459.6))+12.82),IF(L2049="Refined Petroleum Stock",EXP((0.7553-(413/(L2057+459.6)))*(INDEX(FX_Input,Y$5,L$3*$Z$5+$AA$5-1)^0.5)*LOG10(INDEX(FX_Input,Y$5,L$3*$Z$5+$AA$5))-(1.854-(1042/(L2057+459.6)))*(INDEX(FX_Input,Y$5,L$3*$Z$5+$AA$5-1)^0.5)+((2416/(L2057+459.6)-2.013)*LOG10(INDEX(FX_Input,Y$5,L$3*$Z$5+$AA$5)))-(8742/(L2057+459.6))+15.64),EXP(INDEX(Antoines,MATCH(L2048,Antoine_Name,0),2)-INDEX(Antoines,MATCH(L2048,Antoine_Name,0),3)/(L2057+459.6))))),0)</f>
        <v>8.2385730689388259E-3</v>
      </c>
      <c r="M2064" cm="1">
        <f t="array" ref="M2064">IFERROR(IF(M2049="Chemical",(10^(INDEX(Antoines,MATCH(M2048,Antoine_Name,0),2)-INDEX(Antoines,MATCH(M2048,Antoine_Name,0),3)/(INDEX(Antoines,MATCH(M2048,Antoine_Name,0),4)+(M2057-32)*5/9)))*14.7/760,IF(M2049="Crude Oil",EXP((2799/(M2057+459.6)-2.227)*LOG10(INDEX(FX_Input,Z$5,M$3*$Z$5+$AA$5))-(7261/(M2057+459.6))+12.82),IF(M2049="Refined Petroleum Stock",EXP((0.7553-(413/(M2057+459.6)))*(INDEX(FX_Input,Z$5,M$3*$Z$5+$AA$5-1)^0.5)*LOG10(INDEX(FX_Input,Z$5,M$3*$Z$5+$AA$5))-(1.854-(1042/(M2057+459.6)))*(INDEX(FX_Input,Z$5,M$3*$Z$5+$AA$5-1)^0.5)+((2416/(M2057+459.6)-2.013)*LOG10(INDEX(FX_Input,Z$5,M$3*$Z$5+$AA$5)))-(8742/(M2057+459.6))+15.64),EXP(INDEX(Antoines,MATCH(M2048,Antoine_Name,0),2)-INDEX(Antoines,MATCH(M2048,Antoine_Name,0),3)/(M2057+459.6))))),0)</f>
        <v>6.618900442185772E-3</v>
      </c>
      <c r="N2064" cm="1">
        <f t="array" ref="N2064">IFERROR(IF(N2049="Chemical",(10^(INDEX(Antoines,MATCH(N2048,Antoine_Name,0),2)-INDEX(Antoines,MATCH(N2048,Antoine_Name,0),3)/(INDEX(Antoines,MATCH(N2048,Antoine_Name,0),4)+(N2057-32)*5/9)))*14.7/760,IF(N2049="Crude Oil",EXP((2799/(N2057+459.6)-2.227)*LOG10(INDEX(FX_Input,AA$5,N$3*$Z$5+$AA$5))-(7261/(N2057+459.6))+12.82),IF(N2049="Refined Petroleum Stock",EXP((0.7553-(413/(N2057+459.6)))*(INDEX(FX_Input,AA$5,N$3*$Z$5+$AA$5-1)^0.5)*LOG10(INDEX(FX_Input,AA$5,N$3*$Z$5+$AA$5))-(1.854-(1042/(N2057+459.6)))*(INDEX(FX_Input,AA$5,N$3*$Z$5+$AA$5-1)^0.5)+((2416/(N2057+459.6)-2.013)*LOG10(INDEX(FX_Input,AA$5,N$3*$Z$5+$AA$5)))-(8742/(N2057+459.6))+15.64),EXP(INDEX(Antoines,MATCH(N2048,Antoine_Name,0),2)-INDEX(Antoines,MATCH(N2048,Antoine_Name,0),3)/(N2057+459.6))))),0)</f>
        <v>5.3923587959108042E-3</v>
      </c>
      <c r="O2064" cm="1">
        <f t="array" ref="O2064">IFERROR(IF(O2049="Chemical",(10^(INDEX(Antoines,MATCH(O2048,Antoine_Name,0),2)-INDEX(Antoines,MATCH(O2048,Antoine_Name,0),3)/(INDEX(Antoines,MATCH(O2048,Antoine_Name,0),4)+(O2057-32)*5/9)))*14.7/760,IF(O2049="Crude Oil",EXP((2799/(O2057+459.6)-2.227)*LOG10(INDEX(FX_Input,AB$5,O$3*$Z$5+$AA$5))-(7261/(O2057+459.6))+12.82),IF(O2049="Refined Petroleum Stock",EXP((0.7553-(413/(O2057+459.6)))*(INDEX(FX_Input,AB$5,O$3*$Z$5+$AA$5-1)^0.5)*LOG10(INDEX(FX_Input,AB$5,O$3*$Z$5+$AA$5))-(1.854-(1042/(O2057+459.6)))*(INDEX(FX_Input,AB$5,O$3*$Z$5+$AA$5-1)^0.5)+((2416/(O2057+459.6)-2.013)*LOG10(INDEX(FX_Input,AB$5,O$3*$Z$5+$AA$5)))-(8742/(O2057+459.6))+15.64),EXP(INDEX(Antoines,MATCH(O2048,Antoine_Name,0),2)-INDEX(Antoines,MATCH(O2048,Antoine_Name,0),3)/(O2057+459.6))))),0)</f>
        <v>4.7525360186456101E-3</v>
      </c>
    </row>
    <row r="2065" spans="1:32" ht="17.149999999999999" x14ac:dyDescent="0.55000000000000004">
      <c r="B2065" t="str">
        <f t="shared" si="7132"/>
        <v>Portland</v>
      </c>
      <c r="C2065" t="s">
        <v>580</v>
      </c>
      <c r="D2065">
        <f>D2064*D2052</f>
        <v>4.8116637646820016E-3</v>
      </c>
      <c r="E2065">
        <f t="shared" ref="E2065:O2065" si="7136">E2064*E2052</f>
        <v>5.0048006991488458E-3</v>
      </c>
      <c r="F2065">
        <f t="shared" si="7136"/>
        <v>5.3193030941574935E-3</v>
      </c>
      <c r="G2065">
        <f t="shared" si="7136"/>
        <v>5.8943503851042415E-3</v>
      </c>
      <c r="H2065">
        <f t="shared" si="7136"/>
        <v>6.9660236232598005E-3</v>
      </c>
      <c r="I2065">
        <f t="shared" si="7136"/>
        <v>7.9406391529506654E-3</v>
      </c>
      <c r="J2065">
        <f t="shared" si="7136"/>
        <v>8.9422860963673592E-3</v>
      </c>
      <c r="K2065">
        <f t="shared" si="7136"/>
        <v>8.9951550374627008E-3</v>
      </c>
      <c r="L2065">
        <f t="shared" si="7136"/>
        <v>8.2385730689388259E-3</v>
      </c>
      <c r="M2065">
        <f t="shared" si="7136"/>
        <v>6.618900442185772E-3</v>
      </c>
      <c r="N2065">
        <f t="shared" si="7136"/>
        <v>5.3923587959108042E-3</v>
      </c>
      <c r="O2065">
        <f t="shared" si="7136"/>
        <v>4.7525360186456101E-3</v>
      </c>
    </row>
    <row r="2066" spans="1:32" ht="17.149999999999999" x14ac:dyDescent="0.55000000000000004">
      <c r="B2066" t="str">
        <f t="shared" si="7132"/>
        <v>Portland</v>
      </c>
      <c r="C2066" t="s">
        <v>581</v>
      </c>
      <c r="D2066" cm="1">
        <f t="array" ref="D2066">IFERROR(IF(D2051="Chemical",(10^(INDEX(Antoines,MATCH(D2050,Antoine_Name,0),2)-INDEX(Antoines,MATCH(D2050,Antoine_Name,0),3)/(INDEX(Antoines,MATCH(D2050,Antoine_Name,0),4)+(D2057-32)*5/9)))*14.7/760,IF(D2051="Crude Oil",EXP((2799/(D2057+459.6)-2.227)*LOG10(INDEX(FX_Input,Q$5,D$3*$Z$5+$AA$5))-(7261/(D2057+459.6))+12.82),IF(D2051="Refined Petroleum Stock",EXP((0.7553-(413/(D2057+459.6)))*(INDEX(FX_Input,Q$5,D$3*$Z$5+$AA$5-1)^0.5)*LOG10(INDEX(FX_Input,Q$5,D$3*$Z$5+$AA$5))-(1.854-(1042/(D2057+459.6)))*(INDEX(FX_Input,Q$5,D$3*$Z$5+$AA$5-1)^0.5)+((2416/(D2057+459.6)-2.013)*LOG10(INDEX(FX_Input,Q$5,D$3*$Z$5+$AA$5)))-(8742/(D2057+459.6))+15.64),EXP(INDEX(Antoines,MATCH(D2050,Antoine_Name,0),2)-INDEX(Antoines,MATCH(D2050,Antoine_Name,0),3)/(D2057+459.6))))),0)</f>
        <v>0</v>
      </c>
      <c r="E2066" cm="1">
        <f t="array" ref="E2066">IFERROR(IF(E2051="Chemical",(10^(INDEX(Antoines,MATCH(E2050,Antoine_Name,0),2)-INDEX(Antoines,MATCH(E2050,Antoine_Name,0),3)/(INDEX(Antoines,MATCH(E2050,Antoine_Name,0),4)+(E2057-32)*5/9)))*14.7/760,IF(E2051="Crude Oil",EXP((2799/(E2057+459.6)-2.227)*LOG10(INDEX(FX_Input,R$5,E$3*$Z$5+$AA$5))-(7261/(E2057+459.6))+12.82),IF(E2051="Refined Petroleum Stock",EXP((0.7553-(413/(E2057+459.6)))*(INDEX(FX_Input,R$5,E$3*$Z$5+$AA$5-1)^0.5)*LOG10(INDEX(FX_Input,R$5,E$3*$Z$5+$AA$5))-(1.854-(1042/(E2057+459.6)))*(INDEX(FX_Input,R$5,E$3*$Z$5+$AA$5-1)^0.5)+((2416/(E2057+459.6)-2.013)*LOG10(INDEX(FX_Input,R$5,E$3*$Z$5+$AA$5)))-(8742/(E2057+459.6))+15.64),EXP(INDEX(Antoines,MATCH(E2050,Antoine_Name,0),2)-INDEX(Antoines,MATCH(E2050,Antoine_Name,0),3)/(E2057+459.6))))),0)</f>
        <v>0</v>
      </c>
      <c r="F2066" cm="1">
        <f t="array" ref="F2066">IFERROR(IF(F2051="Chemical",(10^(INDEX(Antoines,MATCH(F2050,Antoine_Name,0),2)-INDEX(Antoines,MATCH(F2050,Antoine_Name,0),3)/(INDEX(Antoines,MATCH(F2050,Antoine_Name,0),4)+(F2057-32)*5/9)))*14.7/760,IF(F2051="Crude Oil",EXP((2799/(F2057+459.6)-2.227)*LOG10(INDEX(FX_Input,S$5,F$3*$Z$5+$AA$5))-(7261/(F2057+459.6))+12.82),IF(F2051="Refined Petroleum Stock",EXP((0.7553-(413/(F2057+459.6)))*(INDEX(FX_Input,S$5,F$3*$Z$5+$AA$5-1)^0.5)*LOG10(INDEX(FX_Input,S$5,F$3*$Z$5+$AA$5))-(1.854-(1042/(F2057+459.6)))*(INDEX(FX_Input,S$5,F$3*$Z$5+$AA$5-1)^0.5)+((2416/(F2057+459.6)-2.013)*LOG10(INDEX(FX_Input,S$5,F$3*$Z$5+$AA$5)))-(8742/(F2057+459.6))+15.64),EXP(INDEX(Antoines,MATCH(F2050,Antoine_Name,0),2)-INDEX(Antoines,MATCH(F2050,Antoine_Name,0),3)/(F2057+459.6))))),0)</f>
        <v>0</v>
      </c>
      <c r="G2066" cm="1">
        <f t="array" ref="G2066">IFERROR(IF(G2051="Chemical",(10^(INDEX(Antoines,MATCH(G2050,Antoine_Name,0),2)-INDEX(Antoines,MATCH(G2050,Antoine_Name,0),3)/(INDEX(Antoines,MATCH(G2050,Antoine_Name,0),4)+(G2057-32)*5/9)))*14.7/760,IF(G2051="Crude Oil",EXP((2799/(G2057+459.6)-2.227)*LOG10(INDEX(FX_Input,T$5,G$3*$Z$5+$AA$5))-(7261/(G2057+459.6))+12.82),IF(G2051="Refined Petroleum Stock",EXP((0.7553-(413/(G2057+459.6)))*(INDEX(FX_Input,T$5,G$3*$Z$5+$AA$5-1)^0.5)*LOG10(INDEX(FX_Input,T$5,G$3*$Z$5+$AA$5))-(1.854-(1042/(G2057+459.6)))*(INDEX(FX_Input,T$5,G$3*$Z$5+$AA$5-1)^0.5)+((2416/(G2057+459.6)-2.013)*LOG10(INDEX(FX_Input,T$5,G$3*$Z$5+$AA$5)))-(8742/(G2057+459.6))+15.64),EXP(INDEX(Antoines,MATCH(G2050,Antoine_Name,0),2)-INDEX(Antoines,MATCH(G2050,Antoine_Name,0),3)/(G2057+459.6))))),0)</f>
        <v>0</v>
      </c>
      <c r="H2066" cm="1">
        <f t="array" ref="H2066">IFERROR(IF(H2051="Chemical",(10^(INDEX(Antoines,MATCH(H2050,Antoine_Name,0),2)-INDEX(Antoines,MATCH(H2050,Antoine_Name,0),3)/(INDEX(Antoines,MATCH(H2050,Antoine_Name,0),4)+(H2057-32)*5/9)))*14.7/760,IF(H2051="Crude Oil",EXP((2799/(H2057+459.6)-2.227)*LOG10(INDEX(FX_Input,U$5,H$3*$Z$5+$AA$5))-(7261/(H2057+459.6))+12.82),IF(H2051="Refined Petroleum Stock",EXP((0.7553-(413/(H2057+459.6)))*(INDEX(FX_Input,U$5,H$3*$Z$5+$AA$5-1)^0.5)*LOG10(INDEX(FX_Input,U$5,H$3*$Z$5+$AA$5))-(1.854-(1042/(H2057+459.6)))*(INDEX(FX_Input,U$5,H$3*$Z$5+$AA$5-1)^0.5)+((2416/(H2057+459.6)-2.013)*LOG10(INDEX(FX_Input,U$5,H$3*$Z$5+$AA$5)))-(8742/(H2057+459.6))+15.64),EXP(INDEX(Antoines,MATCH(H2050,Antoine_Name,0),2)-INDEX(Antoines,MATCH(H2050,Antoine_Name,0),3)/(H2057+459.6))))),0)</f>
        <v>0</v>
      </c>
      <c r="I2066" cm="1">
        <f t="array" ref="I2066">IFERROR(IF(I2051="Chemical",(10^(INDEX(Antoines,MATCH(I2050,Antoine_Name,0),2)-INDEX(Antoines,MATCH(I2050,Antoine_Name,0),3)/(INDEX(Antoines,MATCH(I2050,Antoine_Name,0),4)+(I2057-32)*5/9)))*14.7/760,IF(I2051="Crude Oil",EXP((2799/(I2057+459.6)-2.227)*LOG10(INDEX(FX_Input,V$5,I$3*$Z$5+$AA$5))-(7261/(I2057+459.6))+12.82),IF(I2051="Refined Petroleum Stock",EXP((0.7553-(413/(I2057+459.6)))*(INDEX(FX_Input,V$5,I$3*$Z$5+$AA$5-1)^0.5)*LOG10(INDEX(FX_Input,V$5,I$3*$Z$5+$AA$5))-(1.854-(1042/(I2057+459.6)))*(INDEX(FX_Input,V$5,I$3*$Z$5+$AA$5-1)^0.5)+((2416/(I2057+459.6)-2.013)*LOG10(INDEX(FX_Input,V$5,I$3*$Z$5+$AA$5)))-(8742/(I2057+459.6))+15.64),EXP(INDEX(Antoines,MATCH(I2050,Antoine_Name,0),2)-INDEX(Antoines,MATCH(I2050,Antoine_Name,0),3)/(I2057+459.6))))),0)</f>
        <v>0</v>
      </c>
      <c r="J2066" cm="1">
        <f t="array" ref="J2066">IFERROR(IF(J2051="Chemical",(10^(INDEX(Antoines,MATCH(J2050,Antoine_Name,0),2)-INDEX(Antoines,MATCH(J2050,Antoine_Name,0),3)/(INDEX(Antoines,MATCH(J2050,Antoine_Name,0),4)+(J2057-32)*5/9)))*14.7/760,IF(J2051="Crude Oil",EXP((2799/(J2057+459.6)-2.227)*LOG10(INDEX(FX_Input,W$5,J$3*$Z$5+$AA$5))-(7261/(J2057+459.6))+12.82),IF(J2051="Refined Petroleum Stock",EXP((0.7553-(413/(J2057+459.6)))*(INDEX(FX_Input,W$5,J$3*$Z$5+$AA$5-1)^0.5)*LOG10(INDEX(FX_Input,W$5,J$3*$Z$5+$AA$5))-(1.854-(1042/(J2057+459.6)))*(INDEX(FX_Input,W$5,J$3*$Z$5+$AA$5-1)^0.5)+((2416/(J2057+459.6)-2.013)*LOG10(INDEX(FX_Input,W$5,J$3*$Z$5+$AA$5)))-(8742/(J2057+459.6))+15.64),EXP(INDEX(Antoines,MATCH(J2050,Antoine_Name,0),2)-INDEX(Antoines,MATCH(J2050,Antoine_Name,0),3)/(J2057+459.6))))),0)</f>
        <v>0</v>
      </c>
      <c r="K2066" cm="1">
        <f t="array" ref="K2066">IFERROR(IF(K2051="Chemical",(10^(INDEX(Antoines,MATCH(K2050,Antoine_Name,0),2)-INDEX(Antoines,MATCH(K2050,Antoine_Name,0),3)/(INDEX(Antoines,MATCH(K2050,Antoine_Name,0),4)+(K2057-32)*5/9)))*14.7/760,IF(K2051="Crude Oil",EXP((2799/(K2057+459.6)-2.227)*LOG10(INDEX(FX_Input,X$5,K$3*$Z$5+$AA$5))-(7261/(K2057+459.6))+12.82),IF(K2051="Refined Petroleum Stock",EXP((0.7553-(413/(K2057+459.6)))*(INDEX(FX_Input,X$5,K$3*$Z$5+$AA$5-1)^0.5)*LOG10(INDEX(FX_Input,X$5,K$3*$Z$5+$AA$5))-(1.854-(1042/(K2057+459.6)))*(INDEX(FX_Input,X$5,K$3*$Z$5+$AA$5-1)^0.5)+((2416/(K2057+459.6)-2.013)*LOG10(INDEX(FX_Input,X$5,K$3*$Z$5+$AA$5)))-(8742/(K2057+459.6))+15.64),EXP(INDEX(Antoines,MATCH(K2050,Antoine_Name,0),2)-INDEX(Antoines,MATCH(K2050,Antoine_Name,0),3)/(K2057+459.6))))),0)</f>
        <v>0</v>
      </c>
      <c r="L2066" cm="1">
        <f t="array" ref="L2066">IFERROR(IF(L2051="Chemical",(10^(INDEX(Antoines,MATCH(L2050,Antoine_Name,0),2)-INDEX(Antoines,MATCH(L2050,Antoine_Name,0),3)/(INDEX(Antoines,MATCH(L2050,Antoine_Name,0),4)+(L2057-32)*5/9)))*14.7/760,IF(L2051="Crude Oil",EXP((2799/(L2057+459.6)-2.227)*LOG10(INDEX(FX_Input,Y$5,L$3*$Z$5+$AA$5))-(7261/(L2057+459.6))+12.82),IF(L2051="Refined Petroleum Stock",EXP((0.7553-(413/(L2057+459.6)))*(INDEX(FX_Input,Y$5,L$3*$Z$5+$AA$5-1)^0.5)*LOG10(INDEX(FX_Input,Y$5,L$3*$Z$5+$AA$5))-(1.854-(1042/(L2057+459.6)))*(INDEX(FX_Input,Y$5,L$3*$Z$5+$AA$5-1)^0.5)+((2416/(L2057+459.6)-2.013)*LOG10(INDEX(FX_Input,Y$5,L$3*$Z$5+$AA$5)))-(8742/(L2057+459.6))+15.64),EXP(INDEX(Antoines,MATCH(L2050,Antoine_Name,0),2)-INDEX(Antoines,MATCH(L2050,Antoine_Name,0),3)/(L2057+459.6))))),0)</f>
        <v>0</v>
      </c>
      <c r="M2066" cm="1">
        <f t="array" ref="M2066">IFERROR(IF(M2051="Chemical",(10^(INDEX(Antoines,MATCH(M2050,Antoine_Name,0),2)-INDEX(Antoines,MATCH(M2050,Antoine_Name,0),3)/(INDEX(Antoines,MATCH(M2050,Antoine_Name,0),4)+(M2057-32)*5/9)))*14.7/760,IF(M2051="Crude Oil",EXP((2799/(M2057+459.6)-2.227)*LOG10(INDEX(FX_Input,Z$5,M$3*$Z$5+$AA$5))-(7261/(M2057+459.6))+12.82),IF(M2051="Refined Petroleum Stock",EXP((0.7553-(413/(M2057+459.6)))*(INDEX(FX_Input,Z$5,M$3*$Z$5+$AA$5-1)^0.5)*LOG10(INDEX(FX_Input,Z$5,M$3*$Z$5+$AA$5))-(1.854-(1042/(M2057+459.6)))*(INDEX(FX_Input,Z$5,M$3*$Z$5+$AA$5-1)^0.5)+((2416/(M2057+459.6)-2.013)*LOG10(INDEX(FX_Input,Z$5,M$3*$Z$5+$AA$5)))-(8742/(M2057+459.6))+15.64),EXP(INDEX(Antoines,MATCH(M2050,Antoine_Name,0),2)-INDEX(Antoines,MATCH(M2050,Antoine_Name,0),3)/(M2057+459.6))))),0)</f>
        <v>0</v>
      </c>
      <c r="N2066" cm="1">
        <f t="array" ref="N2066">IFERROR(IF(N2051="Chemical",(10^(INDEX(Antoines,MATCH(N2050,Antoine_Name,0),2)-INDEX(Antoines,MATCH(N2050,Antoine_Name,0),3)/(INDEX(Antoines,MATCH(N2050,Antoine_Name,0),4)+(N2057-32)*5/9)))*14.7/760,IF(N2051="Crude Oil",EXP((2799/(N2057+459.6)-2.227)*LOG10(INDEX(FX_Input,AA$5,N$3*$Z$5+$AA$5))-(7261/(N2057+459.6))+12.82),IF(N2051="Refined Petroleum Stock",EXP((0.7553-(413/(N2057+459.6)))*(INDEX(FX_Input,AA$5,N$3*$Z$5+$AA$5-1)^0.5)*LOG10(INDEX(FX_Input,AA$5,N$3*$Z$5+$AA$5))-(1.854-(1042/(N2057+459.6)))*(INDEX(FX_Input,AA$5,N$3*$Z$5+$AA$5-1)^0.5)+((2416/(N2057+459.6)-2.013)*LOG10(INDEX(FX_Input,AA$5,N$3*$Z$5+$AA$5)))-(8742/(N2057+459.6))+15.64),EXP(INDEX(Antoines,MATCH(N2050,Antoine_Name,0),2)-INDEX(Antoines,MATCH(N2050,Antoine_Name,0),3)/(N2057+459.6))))),0)</f>
        <v>0</v>
      </c>
      <c r="O2066" cm="1">
        <f t="array" ref="O2066">IFERROR(IF(O2051="Chemical",(10^(INDEX(Antoines,MATCH(O2050,Antoine_Name,0),2)-INDEX(Antoines,MATCH(O2050,Antoine_Name,0),3)/(INDEX(Antoines,MATCH(O2050,Antoine_Name,0),4)+(O2057-32)*5/9)))*14.7/760,IF(O2051="Crude Oil",EXP((2799/(O2057+459.6)-2.227)*LOG10(INDEX(FX_Input,AB$5,O$3*$Z$5+$AA$5))-(7261/(O2057+459.6))+12.82),IF(O2051="Refined Petroleum Stock",EXP((0.7553-(413/(O2057+459.6)))*(INDEX(FX_Input,AB$5,O$3*$Z$5+$AA$5-1)^0.5)*LOG10(INDEX(FX_Input,AB$5,O$3*$Z$5+$AA$5))-(1.854-(1042/(O2057+459.6)))*(INDEX(FX_Input,AB$5,O$3*$Z$5+$AA$5-1)^0.5)+((2416/(O2057+459.6)-2.013)*LOG10(INDEX(FX_Input,AB$5,O$3*$Z$5+$AA$5)))-(8742/(O2057+459.6))+15.64),EXP(INDEX(Antoines,MATCH(O2050,Antoine_Name,0),2)-INDEX(Antoines,MATCH(O2050,Antoine_Name,0),3)/(O2057+459.6))))),0)</f>
        <v>0</v>
      </c>
    </row>
    <row r="2067" spans="1:32" ht="17.149999999999999" x14ac:dyDescent="0.55000000000000004">
      <c r="B2067" t="str">
        <f t="shared" si="7132"/>
        <v>Portland</v>
      </c>
      <c r="C2067" t="s">
        <v>582</v>
      </c>
      <c r="D2067">
        <f>D2066*D2054</f>
        <v>0</v>
      </c>
      <c r="E2067">
        <f t="shared" ref="E2067:O2067" si="7137">E2066*E2054</f>
        <v>0</v>
      </c>
      <c r="F2067">
        <f t="shared" si="7137"/>
        <v>0</v>
      </c>
      <c r="G2067">
        <f t="shared" si="7137"/>
        <v>0</v>
      </c>
      <c r="H2067">
        <f t="shared" si="7137"/>
        <v>0</v>
      </c>
      <c r="I2067">
        <f t="shared" si="7137"/>
        <v>0</v>
      </c>
      <c r="J2067">
        <f t="shared" si="7137"/>
        <v>0</v>
      </c>
      <c r="K2067">
        <f t="shared" si="7137"/>
        <v>0</v>
      </c>
      <c r="L2067">
        <f t="shared" si="7137"/>
        <v>0</v>
      </c>
      <c r="M2067">
        <f t="shared" si="7137"/>
        <v>0</v>
      </c>
      <c r="N2067">
        <f t="shared" si="7137"/>
        <v>0</v>
      </c>
      <c r="O2067">
        <f t="shared" si="7137"/>
        <v>0</v>
      </c>
    </row>
    <row r="2068" spans="1:32" ht="17.149999999999999" x14ac:dyDescent="0.55000000000000004">
      <c r="B2068" t="str">
        <f t="shared" si="7132"/>
        <v>Portland</v>
      </c>
      <c r="C2068" t="s">
        <v>583</v>
      </c>
      <c r="D2068">
        <f>D2065+D2067</f>
        <v>4.8116637646820016E-3</v>
      </c>
      <c r="E2068">
        <f t="shared" ref="E2068:O2068" si="7138">E2065+E2067</f>
        <v>5.0048006991488458E-3</v>
      </c>
      <c r="F2068">
        <f t="shared" si="7138"/>
        <v>5.3193030941574935E-3</v>
      </c>
      <c r="G2068">
        <f t="shared" si="7138"/>
        <v>5.8943503851042415E-3</v>
      </c>
      <c r="H2068">
        <f t="shared" si="7138"/>
        <v>6.9660236232598005E-3</v>
      </c>
      <c r="I2068">
        <f t="shared" si="7138"/>
        <v>7.9406391529506654E-3</v>
      </c>
      <c r="J2068">
        <f t="shared" si="7138"/>
        <v>8.9422860963673592E-3</v>
      </c>
      <c r="K2068">
        <f t="shared" si="7138"/>
        <v>8.9951550374627008E-3</v>
      </c>
      <c r="L2068">
        <f t="shared" si="7138"/>
        <v>8.2385730689388259E-3</v>
      </c>
      <c r="M2068">
        <f t="shared" si="7138"/>
        <v>6.618900442185772E-3</v>
      </c>
      <c r="N2068">
        <f t="shared" si="7138"/>
        <v>5.3923587959108042E-3</v>
      </c>
      <c r="O2068">
        <f t="shared" si="7138"/>
        <v>4.7525360186456101E-3</v>
      </c>
    </row>
    <row r="2069" spans="1:32" ht="17.149999999999999" x14ac:dyDescent="0.55000000000000004">
      <c r="B2069" t="str">
        <f t="shared" si="7132"/>
        <v>Portland</v>
      </c>
      <c r="C2069" t="s">
        <v>1388</v>
      </c>
      <c r="D2069" cm="1">
        <f t="array" ref="D2069">IFERROR(IF(D2049="Chemical",(10^(INDEX(Antoines,MATCH(D2048,Antoine_Name,0),2)-INDEX(Antoines,MATCH(D2048,Antoine_Name,0),3)/(INDEX(Antoines,MATCH(D2048,Antoine_Name,0),4)+(D2058-32)*5/9)))*14.7/760,IF(D2049="Crude Oil",EXP((2799/(D2058+459.6)-2.227)*LOG10(INDEX(FX_Input,Q$5,D$3*$Z$5+$AA$5))-(7261/(D2058+459.6))+12.82),IF(D2049="Refined Petroleum Stock",EXP((0.7553-(413/(D2058+459.6)))*(INDEX(FX_Input,Q$5,D$3*$Z$5+$AA$5-1)^0.5)*LOG10(INDEX(FX_Input,Q$5,D$3*$Z$5+$AA$5))-(1.854-(1042/(D2058+459.6)))*(INDEX(FX_Input,Q$5,D$3*$Z$5+$AA$5-1)^0.5)+((2416/(D2058+459.6)-2.013)*LOG10(INDEX(FX_Input,Q$5,D$3*$Z$5+$AA$5)))-(8742/(D2058+459.6))+15.64),EXP(INDEX(Antoines,MATCH(D2048,Antoine_Name,0),2)-INDEX(Antoines,MATCH(D2048,Antoine_Name,0),3)/(D2058+459.6))))),0)</f>
        <v>4.8847213797703236E-3</v>
      </c>
      <c r="E2069" cm="1">
        <f t="array" ref="E2069">IFERROR(IF(E2049="Chemical",(10^(INDEX(Antoines,MATCH(E2048,Antoine_Name,0),2)-INDEX(Antoines,MATCH(E2048,Antoine_Name,0),3)/(INDEX(Antoines,MATCH(E2048,Antoine_Name,0),4)+(E2058-32)*5/9)))*14.7/760,IF(E2049="Crude Oil",EXP((2799/(E2058+459.6)-2.227)*LOG10(INDEX(FX_Input,R$5,E$3*$Z$5+$AA$5))-(7261/(E2058+459.6))+12.82),IF(E2049="Refined Petroleum Stock",EXP((0.7553-(413/(E2058+459.6)))*(INDEX(FX_Input,R$5,E$3*$Z$5+$AA$5-1)^0.5)*LOG10(INDEX(FX_Input,R$5,E$3*$Z$5+$AA$5))-(1.854-(1042/(E2058+459.6)))*(INDEX(FX_Input,R$5,E$3*$Z$5+$AA$5-1)^0.5)+((2416/(E2058+459.6)-2.013)*LOG10(INDEX(FX_Input,R$5,E$3*$Z$5+$AA$5)))-(8742/(E2058+459.6))+15.64),EXP(INDEX(Antoines,MATCH(E2048,Antoine_Name,0),2)-INDEX(Antoines,MATCH(E2048,Antoine_Name,0),3)/(E2058+459.6))))),0)</f>
        <v>5.1377970454196883E-3</v>
      </c>
      <c r="F2069" cm="1">
        <f t="array" ref="F2069">IFERROR(IF(F2049="Chemical",(10^(INDEX(Antoines,MATCH(F2048,Antoine_Name,0),2)-INDEX(Antoines,MATCH(F2048,Antoine_Name,0),3)/(INDEX(Antoines,MATCH(F2048,Antoine_Name,0),4)+(F2058-32)*5/9)))*14.7/760,IF(F2049="Crude Oil",EXP((2799/(F2058+459.6)-2.227)*LOG10(INDEX(FX_Input,S$5,F$3*$Z$5+$AA$5))-(7261/(F2058+459.6))+12.82),IF(F2049="Refined Petroleum Stock",EXP((0.7553-(413/(F2058+459.6)))*(INDEX(FX_Input,S$5,F$3*$Z$5+$AA$5-1)^0.5)*LOG10(INDEX(FX_Input,S$5,F$3*$Z$5+$AA$5))-(1.854-(1042/(F2058+459.6)))*(INDEX(FX_Input,S$5,F$3*$Z$5+$AA$5-1)^0.5)+((2416/(F2058+459.6)-2.013)*LOG10(INDEX(FX_Input,S$5,F$3*$Z$5+$AA$5)))-(8742/(F2058+459.6))+15.64),EXP(INDEX(Antoines,MATCH(F2048,Antoine_Name,0),2)-INDEX(Antoines,MATCH(F2048,Antoine_Name,0),3)/(F2058+459.6))))),0)</f>
        <v>5.5255769197630547E-3</v>
      </c>
      <c r="G2069" cm="1">
        <f t="array" ref="G2069">IFERROR(IF(G2049="Chemical",(10^(INDEX(Antoines,MATCH(G2048,Antoine_Name,0),2)-INDEX(Antoines,MATCH(G2048,Antoine_Name,0),3)/(INDEX(Antoines,MATCH(G2048,Antoine_Name,0),4)+(G2058-32)*5/9)))*14.7/760,IF(G2049="Crude Oil",EXP((2799/(G2058+459.6)-2.227)*LOG10(INDEX(FX_Input,T$5,G$3*$Z$5+$AA$5))-(7261/(G2058+459.6))+12.82),IF(G2049="Refined Petroleum Stock",EXP((0.7553-(413/(G2058+459.6)))*(INDEX(FX_Input,T$5,G$3*$Z$5+$AA$5-1)^0.5)*LOG10(INDEX(FX_Input,T$5,G$3*$Z$5+$AA$5))-(1.854-(1042/(G2058+459.6)))*(INDEX(FX_Input,T$5,G$3*$Z$5+$AA$5-1)^0.5)+((2416/(G2058+459.6)-2.013)*LOG10(INDEX(FX_Input,T$5,G$3*$Z$5+$AA$5)))-(8742/(G2058+459.6))+15.64),EXP(INDEX(Antoines,MATCH(G2048,Antoine_Name,0),2)-INDEX(Antoines,MATCH(G2048,Antoine_Name,0),3)/(G2058+459.6))))),0)</f>
        <v>6.219119610903932E-3</v>
      </c>
      <c r="H2069" cm="1">
        <f t="array" ref="H2069">IFERROR(IF(H2049="Chemical",(10^(INDEX(Antoines,MATCH(H2048,Antoine_Name,0),2)-INDEX(Antoines,MATCH(H2048,Antoine_Name,0),3)/(INDEX(Antoines,MATCH(H2048,Antoine_Name,0),4)+(H2058-32)*5/9)))*14.7/760,IF(H2049="Crude Oil",EXP((2799/(H2058+459.6)-2.227)*LOG10(INDEX(FX_Input,U$5,H$3*$Z$5+$AA$5))-(7261/(H2058+459.6))+12.82),IF(H2049="Refined Petroleum Stock",EXP((0.7553-(413/(H2058+459.6)))*(INDEX(FX_Input,U$5,H$3*$Z$5+$AA$5-1)^0.5)*LOG10(INDEX(FX_Input,U$5,H$3*$Z$5+$AA$5))-(1.854-(1042/(H2058+459.6)))*(INDEX(FX_Input,U$5,H$3*$Z$5+$AA$5-1)^0.5)+((2416/(H2058+459.6)-2.013)*LOG10(INDEX(FX_Input,U$5,H$3*$Z$5+$AA$5)))-(8742/(H2058+459.6))+15.64),EXP(INDEX(Antoines,MATCH(H2048,Antoine_Name,0),2)-INDEX(Antoines,MATCH(H2048,Antoine_Name,0),3)/(H2058+459.6))))),0)</f>
        <v>7.430518180814979E-3</v>
      </c>
      <c r="I2069" cm="1">
        <f t="array" ref="I2069">IFERROR(IF(I2049="Chemical",(10^(INDEX(Antoines,MATCH(I2048,Antoine_Name,0),2)-INDEX(Antoines,MATCH(I2048,Antoine_Name,0),3)/(INDEX(Antoines,MATCH(I2048,Antoine_Name,0),4)+(I2058-32)*5/9)))*14.7/760,IF(I2049="Crude Oil",EXP((2799/(I2058+459.6)-2.227)*LOG10(INDEX(FX_Input,V$5,I$3*$Z$5+$AA$5))-(7261/(I2058+459.6))+12.82),IF(I2049="Refined Petroleum Stock",EXP((0.7553-(413/(I2058+459.6)))*(INDEX(FX_Input,V$5,I$3*$Z$5+$AA$5-1)^0.5)*LOG10(INDEX(FX_Input,V$5,I$3*$Z$5+$AA$5))-(1.854-(1042/(I2058+459.6)))*(INDEX(FX_Input,V$5,I$3*$Z$5+$AA$5-1)^0.5)+((2416/(I2058+459.6)-2.013)*LOG10(INDEX(FX_Input,V$5,I$3*$Z$5+$AA$5)))-(8742/(I2058+459.6))+15.64),EXP(INDEX(Antoines,MATCH(I2048,Antoine_Name,0),2)-INDEX(Antoines,MATCH(I2048,Antoine_Name,0),3)/(I2058+459.6))))),0)</f>
        <v>8.4933610792594406E-3</v>
      </c>
      <c r="J2069" cm="1">
        <f t="array" ref="J2069">IFERROR(IF(J2049="Chemical",(10^(INDEX(Antoines,MATCH(J2048,Antoine_Name,0),2)-INDEX(Antoines,MATCH(J2048,Antoine_Name,0),3)/(INDEX(Antoines,MATCH(J2048,Antoine_Name,0),4)+(J2058-32)*5/9)))*14.7/760,IF(J2049="Crude Oil",EXP((2799/(J2058+459.6)-2.227)*LOG10(INDEX(FX_Input,W$5,J$3*$Z$5+$AA$5))-(7261/(J2058+459.6))+12.82),IF(J2049="Refined Petroleum Stock",EXP((0.7553-(413/(J2058+459.6)))*(INDEX(FX_Input,W$5,J$3*$Z$5+$AA$5-1)^0.5)*LOG10(INDEX(FX_Input,W$5,J$3*$Z$5+$AA$5))-(1.854-(1042/(J2058+459.6)))*(INDEX(FX_Input,W$5,J$3*$Z$5+$AA$5-1)^0.5)+((2416/(J2058+459.6)-2.013)*LOG10(INDEX(FX_Input,W$5,J$3*$Z$5+$AA$5)))-(8742/(J2058+459.6))+15.64),EXP(INDEX(Antoines,MATCH(J2048,Antoine_Name,0),2)-INDEX(Antoines,MATCH(J2048,Antoine_Name,0),3)/(J2058+459.6))))),0)</f>
        <v>9.5874007696552591E-3</v>
      </c>
      <c r="K2069" cm="1">
        <f t="array" ref="K2069">IFERROR(IF(K2049="Chemical",(10^(INDEX(Antoines,MATCH(K2048,Antoine_Name,0),2)-INDEX(Antoines,MATCH(K2048,Antoine_Name,0),3)/(INDEX(Antoines,MATCH(K2048,Antoine_Name,0),4)+(K2058-32)*5/9)))*14.7/760,IF(K2049="Crude Oil",EXP((2799/(K2058+459.6)-2.227)*LOG10(INDEX(FX_Input,X$5,K$3*$Z$5+$AA$5))-(7261/(K2058+459.6))+12.82),IF(K2049="Refined Petroleum Stock",EXP((0.7553-(413/(K2058+459.6)))*(INDEX(FX_Input,X$5,K$3*$Z$5+$AA$5-1)^0.5)*LOG10(INDEX(FX_Input,X$5,K$3*$Z$5+$AA$5))-(1.854-(1042/(K2058+459.6)))*(INDEX(FX_Input,X$5,K$3*$Z$5+$AA$5-1)^0.5)+((2416/(K2058+459.6)-2.013)*LOG10(INDEX(FX_Input,X$5,K$3*$Z$5+$AA$5)))-(8742/(K2058+459.6))+15.64),EXP(INDEX(Antoines,MATCH(K2048,Antoine_Name,0),2)-INDEX(Antoines,MATCH(K2048,Antoine_Name,0),3)/(K2058+459.6))))),0)</f>
        <v>9.5593988737869996E-3</v>
      </c>
      <c r="L2069" cm="1">
        <f t="array" ref="L2069">IFERROR(IF(L2049="Chemical",(10^(INDEX(Antoines,MATCH(L2048,Antoine_Name,0),2)-INDEX(Antoines,MATCH(L2048,Antoine_Name,0),3)/(INDEX(Antoines,MATCH(L2048,Antoine_Name,0),4)+(L2058-32)*5/9)))*14.7/760,IF(L2049="Crude Oil",EXP((2799/(L2058+459.6)-2.227)*LOG10(INDEX(FX_Input,Y$5,L$3*$Z$5+$AA$5))-(7261/(L2058+459.6))+12.82),IF(L2049="Refined Petroleum Stock",EXP((0.7553-(413/(L2058+459.6)))*(INDEX(FX_Input,Y$5,L$3*$Z$5+$AA$5-1)^0.5)*LOG10(INDEX(FX_Input,Y$5,L$3*$Z$5+$AA$5))-(1.854-(1042/(L2058+459.6)))*(INDEX(FX_Input,Y$5,L$3*$Z$5+$AA$5-1)^0.5)+((2416/(L2058+459.6)-2.013)*LOG10(INDEX(FX_Input,Y$5,L$3*$Z$5+$AA$5)))-(8742/(L2058+459.6))+15.64),EXP(INDEX(Antoines,MATCH(L2048,Antoine_Name,0),2)-INDEX(Antoines,MATCH(L2048,Antoine_Name,0),3)/(L2058+459.6))))),0)</f>
        <v>8.6549593565446326E-3</v>
      </c>
      <c r="M2069" cm="1">
        <f t="array" ref="M2069">IFERROR(IF(M2049="Chemical",(10^(INDEX(Antoines,MATCH(M2048,Antoine_Name,0),2)-INDEX(Antoines,MATCH(M2048,Antoine_Name,0),3)/(INDEX(Antoines,MATCH(M2048,Antoine_Name,0),4)+(M2058-32)*5/9)))*14.7/760,IF(M2049="Crude Oil",EXP((2799/(M2058+459.6)-2.227)*LOG10(INDEX(FX_Input,Z$5,M$3*$Z$5+$AA$5))-(7261/(M2058+459.6))+12.82),IF(M2049="Refined Petroleum Stock",EXP((0.7553-(413/(M2058+459.6)))*(INDEX(FX_Input,Z$5,M$3*$Z$5+$AA$5-1)^0.5)*LOG10(INDEX(FX_Input,Z$5,M$3*$Z$5+$AA$5))-(1.854-(1042/(M2058+459.6)))*(INDEX(FX_Input,Z$5,M$3*$Z$5+$AA$5-1)^0.5)+((2416/(M2058+459.6)-2.013)*LOG10(INDEX(FX_Input,Z$5,M$3*$Z$5+$AA$5)))-(8742/(M2058+459.6))+15.64),EXP(INDEX(Antoines,MATCH(M2048,Antoine_Name,0),2)-INDEX(Antoines,MATCH(M2048,Antoine_Name,0),3)/(M2058+459.6))))),0)</f>
        <v>6.8260376495002202E-3</v>
      </c>
      <c r="N2069" cm="1">
        <f t="array" ref="N2069">IFERROR(IF(N2049="Chemical",(10^(INDEX(Antoines,MATCH(N2048,Antoine_Name,0),2)-INDEX(Antoines,MATCH(N2048,Antoine_Name,0),3)/(INDEX(Antoines,MATCH(N2048,Antoine_Name,0),4)+(N2058-32)*5/9)))*14.7/760,IF(N2049="Crude Oil",EXP((2799/(N2058+459.6)-2.227)*LOG10(INDEX(FX_Input,AA$5,N$3*$Z$5+$AA$5))-(7261/(N2058+459.6))+12.82),IF(N2049="Refined Petroleum Stock",EXP((0.7553-(413/(N2058+459.6)))*(INDEX(FX_Input,AA$5,N$3*$Z$5+$AA$5-1)^0.5)*LOG10(INDEX(FX_Input,AA$5,N$3*$Z$5+$AA$5))-(1.854-(1042/(N2058+459.6)))*(INDEX(FX_Input,AA$5,N$3*$Z$5+$AA$5-1)^0.5)+((2416/(N2058+459.6)-2.013)*LOG10(INDEX(FX_Input,AA$5,N$3*$Z$5+$AA$5)))-(8742/(N2058+459.6))+15.64),EXP(INDEX(Antoines,MATCH(N2048,Antoine_Name,0),2)-INDEX(Antoines,MATCH(N2048,Antoine_Name,0),3)/(N2058+459.6))))),0)</f>
        <v>5.4845718776011703E-3</v>
      </c>
      <c r="O2069" cm="1">
        <f t="array" ref="O2069">IFERROR(IF(O2049="Chemical",(10^(INDEX(Antoines,MATCH(O2048,Antoine_Name,0),2)-INDEX(Antoines,MATCH(O2048,Antoine_Name,0),3)/(INDEX(Antoines,MATCH(O2048,Antoine_Name,0),4)+(O2058-32)*5/9)))*14.7/760,IF(O2049="Crude Oil",EXP((2799/(O2058+459.6)-2.227)*LOG10(INDEX(FX_Input,AB$5,O$3*$Z$5+$AA$5))-(7261/(O2058+459.6))+12.82),IF(O2049="Refined Petroleum Stock",EXP((0.7553-(413/(O2058+459.6)))*(INDEX(FX_Input,AB$5,O$3*$Z$5+$AA$5-1)^0.5)*LOG10(INDEX(FX_Input,AB$5,O$3*$Z$5+$AA$5))-(1.854-(1042/(O2058+459.6)))*(INDEX(FX_Input,AB$5,O$3*$Z$5+$AA$5-1)^0.5)+((2416/(O2058+459.6)-2.013)*LOG10(INDEX(FX_Input,AB$5,O$3*$Z$5+$AA$5)))-(8742/(O2058+459.6))+15.64),EXP(INDEX(Antoines,MATCH(O2048,Antoine_Name,0),2)-INDEX(Antoines,MATCH(O2048,Antoine_Name,0),3)/(O2058+459.6))))),0)</f>
        <v>4.8161086599927579E-3</v>
      </c>
    </row>
    <row r="2070" spans="1:32" ht="17.149999999999999" x14ac:dyDescent="0.55000000000000004">
      <c r="B2070" t="str">
        <f t="shared" si="7132"/>
        <v>Portland</v>
      </c>
      <c r="C2070" t="s">
        <v>1389</v>
      </c>
      <c r="D2070">
        <f>D2069*D2052</f>
        <v>4.8847213797703236E-3</v>
      </c>
      <c r="E2070">
        <f t="shared" ref="E2070:O2070" si="7139">E2069*E2052</f>
        <v>5.1377970454196883E-3</v>
      </c>
      <c r="F2070">
        <f t="shared" si="7139"/>
        <v>5.5255769197630547E-3</v>
      </c>
      <c r="G2070">
        <f t="shared" si="7139"/>
        <v>6.219119610903932E-3</v>
      </c>
      <c r="H2070">
        <f t="shared" si="7139"/>
        <v>7.430518180814979E-3</v>
      </c>
      <c r="I2070">
        <f t="shared" si="7139"/>
        <v>8.4933610792594406E-3</v>
      </c>
      <c r="J2070">
        <f t="shared" si="7139"/>
        <v>9.5874007696552591E-3</v>
      </c>
      <c r="K2070">
        <f t="shared" si="7139"/>
        <v>9.5593988737869996E-3</v>
      </c>
      <c r="L2070">
        <f t="shared" si="7139"/>
        <v>8.6549593565446326E-3</v>
      </c>
      <c r="M2070">
        <f t="shared" si="7139"/>
        <v>6.8260376495002202E-3</v>
      </c>
      <c r="N2070">
        <f t="shared" si="7139"/>
        <v>5.4845718776011703E-3</v>
      </c>
      <c r="O2070">
        <f t="shared" si="7139"/>
        <v>4.8161086599927579E-3</v>
      </c>
    </row>
    <row r="2071" spans="1:32" ht="17.149999999999999" x14ac:dyDescent="0.55000000000000004">
      <c r="B2071" t="str">
        <f t="shared" si="7132"/>
        <v>Portland</v>
      </c>
      <c r="C2071" t="s">
        <v>1390</v>
      </c>
      <c r="D2071" cm="1">
        <f t="array" ref="D2071">IFERROR(IF(D2051="Chemical",(10^(INDEX(Antoines,MATCH(D2050,Antoine_Name,0),2)-INDEX(Antoines,MATCH(D2050,Antoine_Name,0),3)/(INDEX(Antoines,MATCH(D2050,Antoine_Name,0),4)+(D2058-32)*5/9)))*14.7/760,IF(D2051="Crude Oil",EXP((2799/(D2058+459.6)-2.227)*LOG10(INDEX(FX_Input,Q$5,D$3*$Z$5+$AA$5))-(7261/(D2058+459.6))+12.82),IF(D2051="Refined Petroleum Stock",EXP((0.7553-(413/(D2058+459.6)))*(INDEX(FX_Input,Q$5,D$3*$Z$5+$AA$5-1)^0.5)*LOG10(INDEX(FX_Input,Q$5,D$3*$Z$5+$AA$5))-(1.854-(1042/(D2058+459.6)))*(INDEX(FX_Input,Q$5,D$3*$Z$5+$AA$5-1)^0.5)+((2416/(D2058+459.6)-2.013)*LOG10(INDEX(FX_Input,Q$5,D$3*$Z$5+$AA$5)))-(8742/(D2058+459.6))+15.64),EXP(INDEX(Antoines,MATCH(D2050,Antoine_Name,0),2)-INDEX(Antoines,MATCH(D2050,Antoine_Name,0),3)/(D2058+459.6))))),0)</f>
        <v>0</v>
      </c>
      <c r="E2071" cm="1">
        <f t="array" ref="E2071">IFERROR(IF(E2051="Chemical",(10^(INDEX(Antoines,MATCH(E2050,Antoine_Name,0),2)-INDEX(Antoines,MATCH(E2050,Antoine_Name,0),3)/(INDEX(Antoines,MATCH(E2050,Antoine_Name,0),4)+(E2058-32)*5/9)))*14.7/760,IF(E2051="Crude Oil",EXP((2799/(E2058+459.6)-2.227)*LOG10(INDEX(FX_Input,R$5,E$3*$Z$5+$AA$5))-(7261/(E2058+459.6))+12.82),IF(E2051="Refined Petroleum Stock",EXP((0.7553-(413/(E2058+459.6)))*(INDEX(FX_Input,R$5,E$3*$Z$5+$AA$5-1)^0.5)*LOG10(INDEX(FX_Input,R$5,E$3*$Z$5+$AA$5))-(1.854-(1042/(E2058+459.6)))*(INDEX(FX_Input,R$5,E$3*$Z$5+$AA$5-1)^0.5)+((2416/(E2058+459.6)-2.013)*LOG10(INDEX(FX_Input,R$5,E$3*$Z$5+$AA$5)))-(8742/(E2058+459.6))+15.64),EXP(INDEX(Antoines,MATCH(E2050,Antoine_Name,0),2)-INDEX(Antoines,MATCH(E2050,Antoine_Name,0),3)/(E2058+459.6))))),0)</f>
        <v>0</v>
      </c>
      <c r="F2071" cm="1">
        <f t="array" ref="F2071">IFERROR(IF(F2051="Chemical",(10^(INDEX(Antoines,MATCH(F2050,Antoine_Name,0),2)-INDEX(Antoines,MATCH(F2050,Antoine_Name,0),3)/(INDEX(Antoines,MATCH(F2050,Antoine_Name,0),4)+(F2058-32)*5/9)))*14.7/760,IF(F2051="Crude Oil",EXP((2799/(F2058+459.6)-2.227)*LOG10(INDEX(FX_Input,S$5,F$3*$Z$5+$AA$5))-(7261/(F2058+459.6))+12.82),IF(F2051="Refined Petroleum Stock",EXP((0.7553-(413/(F2058+459.6)))*(INDEX(FX_Input,S$5,F$3*$Z$5+$AA$5-1)^0.5)*LOG10(INDEX(FX_Input,S$5,F$3*$Z$5+$AA$5))-(1.854-(1042/(F2058+459.6)))*(INDEX(FX_Input,S$5,F$3*$Z$5+$AA$5-1)^0.5)+((2416/(F2058+459.6)-2.013)*LOG10(INDEX(FX_Input,S$5,F$3*$Z$5+$AA$5)))-(8742/(F2058+459.6))+15.64),EXP(INDEX(Antoines,MATCH(F2050,Antoine_Name,0),2)-INDEX(Antoines,MATCH(F2050,Antoine_Name,0),3)/(F2058+459.6))))),0)</f>
        <v>0</v>
      </c>
      <c r="G2071" cm="1">
        <f t="array" ref="G2071">IFERROR(IF(G2051="Chemical",(10^(INDEX(Antoines,MATCH(G2050,Antoine_Name,0),2)-INDEX(Antoines,MATCH(G2050,Antoine_Name,0),3)/(INDEX(Antoines,MATCH(G2050,Antoine_Name,0),4)+(G2058-32)*5/9)))*14.7/760,IF(G2051="Crude Oil",EXP((2799/(G2058+459.6)-2.227)*LOG10(INDEX(FX_Input,T$5,G$3*$Z$5+$AA$5))-(7261/(G2058+459.6))+12.82),IF(G2051="Refined Petroleum Stock",EXP((0.7553-(413/(G2058+459.6)))*(INDEX(FX_Input,T$5,G$3*$Z$5+$AA$5-1)^0.5)*LOG10(INDEX(FX_Input,T$5,G$3*$Z$5+$AA$5))-(1.854-(1042/(G2058+459.6)))*(INDEX(FX_Input,T$5,G$3*$Z$5+$AA$5-1)^0.5)+((2416/(G2058+459.6)-2.013)*LOG10(INDEX(FX_Input,T$5,G$3*$Z$5+$AA$5)))-(8742/(G2058+459.6))+15.64),EXP(INDEX(Antoines,MATCH(G2050,Antoine_Name,0),2)-INDEX(Antoines,MATCH(G2050,Antoine_Name,0),3)/(G2058+459.6))))),0)</f>
        <v>0</v>
      </c>
      <c r="H2071" cm="1">
        <f t="array" ref="H2071">IFERROR(IF(H2051="Chemical",(10^(INDEX(Antoines,MATCH(H2050,Antoine_Name,0),2)-INDEX(Antoines,MATCH(H2050,Antoine_Name,0),3)/(INDEX(Antoines,MATCH(H2050,Antoine_Name,0),4)+(H2058-32)*5/9)))*14.7/760,IF(H2051="Crude Oil",EXP((2799/(H2058+459.6)-2.227)*LOG10(INDEX(FX_Input,U$5,H$3*$Z$5+$AA$5))-(7261/(H2058+459.6))+12.82),IF(H2051="Refined Petroleum Stock",EXP((0.7553-(413/(H2058+459.6)))*(INDEX(FX_Input,U$5,H$3*$Z$5+$AA$5-1)^0.5)*LOG10(INDEX(FX_Input,U$5,H$3*$Z$5+$AA$5))-(1.854-(1042/(H2058+459.6)))*(INDEX(FX_Input,U$5,H$3*$Z$5+$AA$5-1)^0.5)+((2416/(H2058+459.6)-2.013)*LOG10(INDEX(FX_Input,U$5,H$3*$Z$5+$AA$5)))-(8742/(H2058+459.6))+15.64),EXP(INDEX(Antoines,MATCH(H2050,Antoine_Name,0),2)-INDEX(Antoines,MATCH(H2050,Antoine_Name,0),3)/(H2058+459.6))))),0)</f>
        <v>0</v>
      </c>
      <c r="I2071" cm="1">
        <f t="array" ref="I2071">IFERROR(IF(I2051="Chemical",(10^(INDEX(Antoines,MATCH(I2050,Antoine_Name,0),2)-INDEX(Antoines,MATCH(I2050,Antoine_Name,0),3)/(INDEX(Antoines,MATCH(I2050,Antoine_Name,0),4)+(I2058-32)*5/9)))*14.7/760,IF(I2051="Crude Oil",EXP((2799/(I2058+459.6)-2.227)*LOG10(INDEX(FX_Input,V$5,I$3*$Z$5+$AA$5))-(7261/(I2058+459.6))+12.82),IF(I2051="Refined Petroleum Stock",EXP((0.7553-(413/(I2058+459.6)))*(INDEX(FX_Input,V$5,I$3*$Z$5+$AA$5-1)^0.5)*LOG10(INDEX(FX_Input,V$5,I$3*$Z$5+$AA$5))-(1.854-(1042/(I2058+459.6)))*(INDEX(FX_Input,V$5,I$3*$Z$5+$AA$5-1)^0.5)+((2416/(I2058+459.6)-2.013)*LOG10(INDEX(FX_Input,V$5,I$3*$Z$5+$AA$5)))-(8742/(I2058+459.6))+15.64),EXP(INDEX(Antoines,MATCH(I2050,Antoine_Name,0),2)-INDEX(Antoines,MATCH(I2050,Antoine_Name,0),3)/(I2058+459.6))))),0)</f>
        <v>0</v>
      </c>
      <c r="J2071" cm="1">
        <f t="array" ref="J2071">IFERROR(IF(J2051="Chemical",(10^(INDEX(Antoines,MATCH(J2050,Antoine_Name,0),2)-INDEX(Antoines,MATCH(J2050,Antoine_Name,0),3)/(INDEX(Antoines,MATCH(J2050,Antoine_Name,0),4)+(J2058-32)*5/9)))*14.7/760,IF(J2051="Crude Oil",EXP((2799/(J2058+459.6)-2.227)*LOG10(INDEX(FX_Input,W$5,J$3*$Z$5+$AA$5))-(7261/(J2058+459.6))+12.82),IF(J2051="Refined Petroleum Stock",EXP((0.7553-(413/(J2058+459.6)))*(INDEX(FX_Input,W$5,J$3*$Z$5+$AA$5-1)^0.5)*LOG10(INDEX(FX_Input,W$5,J$3*$Z$5+$AA$5))-(1.854-(1042/(J2058+459.6)))*(INDEX(FX_Input,W$5,J$3*$Z$5+$AA$5-1)^0.5)+((2416/(J2058+459.6)-2.013)*LOG10(INDEX(FX_Input,W$5,J$3*$Z$5+$AA$5)))-(8742/(J2058+459.6))+15.64),EXP(INDEX(Antoines,MATCH(J2050,Antoine_Name,0),2)-INDEX(Antoines,MATCH(J2050,Antoine_Name,0),3)/(J2058+459.6))))),0)</f>
        <v>0</v>
      </c>
      <c r="K2071" cm="1">
        <f t="array" ref="K2071">IFERROR(IF(K2051="Chemical",(10^(INDEX(Antoines,MATCH(K2050,Antoine_Name,0),2)-INDEX(Antoines,MATCH(K2050,Antoine_Name,0),3)/(INDEX(Antoines,MATCH(K2050,Antoine_Name,0),4)+(K2058-32)*5/9)))*14.7/760,IF(K2051="Crude Oil",EXP((2799/(K2058+459.6)-2.227)*LOG10(INDEX(FX_Input,X$5,K$3*$Z$5+$AA$5))-(7261/(K2058+459.6))+12.82),IF(K2051="Refined Petroleum Stock",EXP((0.7553-(413/(K2058+459.6)))*(INDEX(FX_Input,X$5,K$3*$Z$5+$AA$5-1)^0.5)*LOG10(INDEX(FX_Input,X$5,K$3*$Z$5+$AA$5))-(1.854-(1042/(K2058+459.6)))*(INDEX(FX_Input,X$5,K$3*$Z$5+$AA$5-1)^0.5)+((2416/(K2058+459.6)-2.013)*LOG10(INDEX(FX_Input,X$5,K$3*$Z$5+$AA$5)))-(8742/(K2058+459.6))+15.64),EXP(INDEX(Antoines,MATCH(K2050,Antoine_Name,0),2)-INDEX(Antoines,MATCH(K2050,Antoine_Name,0),3)/(K2058+459.6))))),0)</f>
        <v>0</v>
      </c>
      <c r="L2071" cm="1">
        <f t="array" ref="L2071">IFERROR(IF(L2051="Chemical",(10^(INDEX(Antoines,MATCH(L2050,Antoine_Name,0),2)-INDEX(Antoines,MATCH(L2050,Antoine_Name,0),3)/(INDEX(Antoines,MATCH(L2050,Antoine_Name,0),4)+(L2058-32)*5/9)))*14.7/760,IF(L2051="Crude Oil",EXP((2799/(L2058+459.6)-2.227)*LOG10(INDEX(FX_Input,Y$5,L$3*$Z$5+$AA$5))-(7261/(L2058+459.6))+12.82),IF(L2051="Refined Petroleum Stock",EXP((0.7553-(413/(L2058+459.6)))*(INDEX(FX_Input,Y$5,L$3*$Z$5+$AA$5-1)^0.5)*LOG10(INDEX(FX_Input,Y$5,L$3*$Z$5+$AA$5))-(1.854-(1042/(L2058+459.6)))*(INDEX(FX_Input,Y$5,L$3*$Z$5+$AA$5-1)^0.5)+((2416/(L2058+459.6)-2.013)*LOG10(INDEX(FX_Input,Y$5,L$3*$Z$5+$AA$5)))-(8742/(L2058+459.6))+15.64),EXP(INDEX(Antoines,MATCH(L2050,Antoine_Name,0),2)-INDEX(Antoines,MATCH(L2050,Antoine_Name,0),3)/(L2058+459.6))))),0)</f>
        <v>0</v>
      </c>
      <c r="M2071" cm="1">
        <f t="array" ref="M2071">IFERROR(IF(M2051="Chemical",(10^(INDEX(Antoines,MATCH(M2050,Antoine_Name,0),2)-INDEX(Antoines,MATCH(M2050,Antoine_Name,0),3)/(INDEX(Antoines,MATCH(M2050,Antoine_Name,0),4)+(M2058-32)*5/9)))*14.7/760,IF(M2051="Crude Oil",EXP((2799/(M2058+459.6)-2.227)*LOG10(INDEX(FX_Input,Z$5,M$3*$Z$5+$AA$5))-(7261/(M2058+459.6))+12.82),IF(M2051="Refined Petroleum Stock",EXP((0.7553-(413/(M2058+459.6)))*(INDEX(FX_Input,Z$5,M$3*$Z$5+$AA$5-1)^0.5)*LOG10(INDEX(FX_Input,Z$5,M$3*$Z$5+$AA$5))-(1.854-(1042/(M2058+459.6)))*(INDEX(FX_Input,Z$5,M$3*$Z$5+$AA$5-1)^0.5)+((2416/(M2058+459.6)-2.013)*LOG10(INDEX(FX_Input,Z$5,M$3*$Z$5+$AA$5)))-(8742/(M2058+459.6))+15.64),EXP(INDEX(Antoines,MATCH(M2050,Antoine_Name,0),2)-INDEX(Antoines,MATCH(M2050,Antoine_Name,0),3)/(M2058+459.6))))),0)</f>
        <v>0</v>
      </c>
      <c r="N2071" cm="1">
        <f t="array" ref="N2071">IFERROR(IF(N2051="Chemical",(10^(INDEX(Antoines,MATCH(N2050,Antoine_Name,0),2)-INDEX(Antoines,MATCH(N2050,Antoine_Name,0),3)/(INDEX(Antoines,MATCH(N2050,Antoine_Name,0),4)+(N2058-32)*5/9)))*14.7/760,IF(N2051="Crude Oil",EXP((2799/(N2058+459.6)-2.227)*LOG10(INDEX(FX_Input,AA$5,N$3*$Z$5+$AA$5))-(7261/(N2058+459.6))+12.82),IF(N2051="Refined Petroleum Stock",EXP((0.7553-(413/(N2058+459.6)))*(INDEX(FX_Input,AA$5,N$3*$Z$5+$AA$5-1)^0.5)*LOG10(INDEX(FX_Input,AA$5,N$3*$Z$5+$AA$5))-(1.854-(1042/(N2058+459.6)))*(INDEX(FX_Input,AA$5,N$3*$Z$5+$AA$5-1)^0.5)+((2416/(N2058+459.6)-2.013)*LOG10(INDEX(FX_Input,AA$5,N$3*$Z$5+$AA$5)))-(8742/(N2058+459.6))+15.64),EXP(INDEX(Antoines,MATCH(N2050,Antoine_Name,0),2)-INDEX(Antoines,MATCH(N2050,Antoine_Name,0),3)/(N2058+459.6))))),0)</f>
        <v>0</v>
      </c>
      <c r="O2071" cm="1">
        <f t="array" ref="O2071">IFERROR(IF(O2051="Chemical",(10^(INDEX(Antoines,MATCH(O2050,Antoine_Name,0),2)-INDEX(Antoines,MATCH(O2050,Antoine_Name,0),3)/(INDEX(Antoines,MATCH(O2050,Antoine_Name,0),4)+(O2058-32)*5/9)))*14.7/760,IF(O2051="Crude Oil",EXP((2799/(O2058+459.6)-2.227)*LOG10(INDEX(FX_Input,AB$5,O$3*$Z$5+$AA$5))-(7261/(O2058+459.6))+12.82),IF(O2051="Refined Petroleum Stock",EXP((0.7553-(413/(O2058+459.6)))*(INDEX(FX_Input,AB$5,O$3*$Z$5+$AA$5-1)^0.5)*LOG10(INDEX(FX_Input,AB$5,O$3*$Z$5+$AA$5))-(1.854-(1042/(O2058+459.6)))*(INDEX(FX_Input,AB$5,O$3*$Z$5+$AA$5-1)^0.5)+((2416/(O2058+459.6)-2.013)*LOG10(INDEX(FX_Input,AB$5,O$3*$Z$5+$AA$5)))-(8742/(O2058+459.6))+15.64),EXP(INDEX(Antoines,MATCH(O2050,Antoine_Name,0),2)-INDEX(Antoines,MATCH(O2050,Antoine_Name,0),3)/(O2058+459.6))))),0)</f>
        <v>0</v>
      </c>
    </row>
    <row r="2072" spans="1:32" ht="17.149999999999999" x14ac:dyDescent="0.55000000000000004">
      <c r="B2072" t="str">
        <f t="shared" si="7132"/>
        <v>Portland</v>
      </c>
      <c r="C2072" t="s">
        <v>1391</v>
      </c>
      <c r="D2072">
        <f>D2071*D2054</f>
        <v>0</v>
      </c>
      <c r="E2072">
        <f t="shared" ref="E2072:O2072" si="7140">E2071*E2054</f>
        <v>0</v>
      </c>
      <c r="F2072">
        <f t="shared" si="7140"/>
        <v>0</v>
      </c>
      <c r="G2072">
        <f t="shared" si="7140"/>
        <v>0</v>
      </c>
      <c r="H2072">
        <f t="shared" si="7140"/>
        <v>0</v>
      </c>
      <c r="I2072">
        <f t="shared" si="7140"/>
        <v>0</v>
      </c>
      <c r="J2072">
        <f t="shared" si="7140"/>
        <v>0</v>
      </c>
      <c r="K2072">
        <f t="shared" si="7140"/>
        <v>0</v>
      </c>
      <c r="L2072">
        <f t="shared" si="7140"/>
        <v>0</v>
      </c>
      <c r="M2072">
        <f t="shared" si="7140"/>
        <v>0</v>
      </c>
      <c r="N2072">
        <f t="shared" si="7140"/>
        <v>0</v>
      </c>
      <c r="O2072">
        <f t="shared" si="7140"/>
        <v>0</v>
      </c>
    </row>
    <row r="2073" spans="1:32" ht="17.149999999999999" x14ac:dyDescent="0.55000000000000004">
      <c r="B2073" t="str">
        <f t="shared" si="7132"/>
        <v>Portland</v>
      </c>
      <c r="C2073" t="s">
        <v>1392</v>
      </c>
      <c r="D2073">
        <f>D2070+D2072</f>
        <v>4.8847213797703236E-3</v>
      </c>
      <c r="E2073">
        <f t="shared" ref="E2073:O2073" si="7141">E2070+E2072</f>
        <v>5.1377970454196883E-3</v>
      </c>
      <c r="F2073">
        <f t="shared" si="7141"/>
        <v>5.5255769197630547E-3</v>
      </c>
      <c r="G2073">
        <f t="shared" si="7141"/>
        <v>6.219119610903932E-3</v>
      </c>
      <c r="H2073">
        <f t="shared" si="7141"/>
        <v>7.430518180814979E-3</v>
      </c>
      <c r="I2073">
        <f t="shared" si="7141"/>
        <v>8.4933610792594406E-3</v>
      </c>
      <c r="J2073">
        <f t="shared" si="7141"/>
        <v>9.5874007696552591E-3</v>
      </c>
      <c r="K2073">
        <f t="shared" si="7141"/>
        <v>9.5593988737869996E-3</v>
      </c>
      <c r="L2073">
        <f t="shared" si="7141"/>
        <v>8.6549593565446326E-3</v>
      </c>
      <c r="M2073">
        <f t="shared" si="7141"/>
        <v>6.8260376495002202E-3</v>
      </c>
      <c r="N2073">
        <f t="shared" si="7141"/>
        <v>5.4845718776011703E-3</v>
      </c>
      <c r="O2073">
        <f t="shared" si="7141"/>
        <v>4.8161086599927579E-3</v>
      </c>
    </row>
    <row r="2074" spans="1:32" ht="17.149999999999999" x14ac:dyDescent="0.55000000000000004">
      <c r="B2074" t="str">
        <f>B2068</f>
        <v>Portland</v>
      </c>
      <c r="C2074" t="s">
        <v>584</v>
      </c>
      <c r="D2074">
        <f>D2070/D2073</f>
        <v>1</v>
      </c>
      <c r="E2074">
        <f t="shared" ref="E2074:O2074" si="7142">E2070/E2073</f>
        <v>1</v>
      </c>
      <c r="F2074">
        <f t="shared" si="7142"/>
        <v>1</v>
      </c>
      <c r="G2074">
        <f t="shared" si="7142"/>
        <v>1</v>
      </c>
      <c r="H2074">
        <f t="shared" si="7142"/>
        <v>1</v>
      </c>
      <c r="I2074">
        <f t="shared" si="7142"/>
        <v>1</v>
      </c>
      <c r="J2074">
        <f t="shared" si="7142"/>
        <v>1</v>
      </c>
      <c r="K2074">
        <f t="shared" si="7142"/>
        <v>1</v>
      </c>
      <c r="L2074">
        <f t="shared" si="7142"/>
        <v>1</v>
      </c>
      <c r="M2074">
        <f t="shared" si="7142"/>
        <v>1</v>
      </c>
      <c r="N2074">
        <f t="shared" si="7142"/>
        <v>1</v>
      </c>
      <c r="O2074">
        <f t="shared" si="7142"/>
        <v>1</v>
      </c>
    </row>
    <row r="2075" spans="1:32" ht="17.149999999999999" x14ac:dyDescent="0.55000000000000004">
      <c r="B2075" t="str">
        <f>B2069</f>
        <v>Portland</v>
      </c>
      <c r="C2075" t="s">
        <v>585</v>
      </c>
      <c r="D2075">
        <f t="shared" ref="D2075:O2075" si="7143">INDEX(Phys_Prop,MATCH(D2048,Chem_List,0),3)</f>
        <v>130</v>
      </c>
      <c r="E2075">
        <f t="shared" si="7143"/>
        <v>130</v>
      </c>
      <c r="F2075">
        <f t="shared" si="7143"/>
        <v>130</v>
      </c>
      <c r="G2075">
        <f t="shared" si="7143"/>
        <v>130</v>
      </c>
      <c r="H2075">
        <f t="shared" si="7143"/>
        <v>130</v>
      </c>
      <c r="I2075">
        <f t="shared" si="7143"/>
        <v>130</v>
      </c>
      <c r="J2075">
        <f t="shared" si="7143"/>
        <v>130</v>
      </c>
      <c r="K2075">
        <f t="shared" si="7143"/>
        <v>130</v>
      </c>
      <c r="L2075">
        <f t="shared" si="7143"/>
        <v>130</v>
      </c>
      <c r="M2075">
        <f t="shared" si="7143"/>
        <v>130</v>
      </c>
      <c r="N2075">
        <f t="shared" si="7143"/>
        <v>130</v>
      </c>
      <c r="O2075">
        <f t="shared" si="7143"/>
        <v>130</v>
      </c>
    </row>
    <row r="2076" spans="1:32" ht="17.149999999999999" x14ac:dyDescent="0.55000000000000004">
      <c r="B2076" t="str">
        <f>B2075</f>
        <v>Portland</v>
      </c>
      <c r="C2076" t="s">
        <v>586</v>
      </c>
      <c r="D2076">
        <f>D2072/D2073</f>
        <v>0</v>
      </c>
      <c r="E2076">
        <f t="shared" ref="E2076:O2076" si="7144">E2072/E2073</f>
        <v>0</v>
      </c>
      <c r="F2076">
        <f t="shared" si="7144"/>
        <v>0</v>
      </c>
      <c r="G2076">
        <f t="shared" si="7144"/>
        <v>0</v>
      </c>
      <c r="H2076">
        <f t="shared" si="7144"/>
        <v>0</v>
      </c>
      <c r="I2076">
        <f t="shared" si="7144"/>
        <v>0</v>
      </c>
      <c r="J2076">
        <f t="shared" si="7144"/>
        <v>0</v>
      </c>
      <c r="K2076">
        <f t="shared" si="7144"/>
        <v>0</v>
      </c>
      <c r="L2076">
        <f t="shared" si="7144"/>
        <v>0</v>
      </c>
      <c r="M2076">
        <f t="shared" si="7144"/>
        <v>0</v>
      </c>
      <c r="N2076">
        <f t="shared" si="7144"/>
        <v>0</v>
      </c>
      <c r="O2076">
        <f t="shared" si="7144"/>
        <v>0</v>
      </c>
    </row>
    <row r="2077" spans="1:32" ht="17.149999999999999" x14ac:dyDescent="0.55000000000000004">
      <c r="B2077" t="str">
        <f t="shared" si="7132"/>
        <v>Portland</v>
      </c>
      <c r="C2077" t="s">
        <v>587</v>
      </c>
      <c r="D2077">
        <f t="shared" ref="D2077:O2077" si="7145">IFERROR(INDEX(Phys_Prop,MATCH(D2050,Chem_List,0),3),0)</f>
        <v>0</v>
      </c>
      <c r="E2077">
        <f t="shared" si="7145"/>
        <v>0</v>
      </c>
      <c r="F2077">
        <f t="shared" si="7145"/>
        <v>0</v>
      </c>
      <c r="G2077">
        <f t="shared" si="7145"/>
        <v>0</v>
      </c>
      <c r="H2077">
        <f t="shared" si="7145"/>
        <v>0</v>
      </c>
      <c r="I2077">
        <f t="shared" si="7145"/>
        <v>0</v>
      </c>
      <c r="J2077">
        <f t="shared" si="7145"/>
        <v>0</v>
      </c>
      <c r="K2077">
        <f t="shared" si="7145"/>
        <v>0</v>
      </c>
      <c r="L2077">
        <f t="shared" si="7145"/>
        <v>0</v>
      </c>
      <c r="M2077">
        <f t="shared" si="7145"/>
        <v>0</v>
      </c>
      <c r="N2077">
        <f t="shared" si="7145"/>
        <v>0</v>
      </c>
      <c r="O2077">
        <f t="shared" si="7145"/>
        <v>0</v>
      </c>
    </row>
    <row r="2078" spans="1:32" ht="17.149999999999999" x14ac:dyDescent="0.55000000000000004">
      <c r="A2078" s="11"/>
      <c r="B2078" s="11" t="str">
        <f t="shared" si="7132"/>
        <v>Portland</v>
      </c>
      <c r="C2078" s="11" t="s">
        <v>588</v>
      </c>
      <c r="D2078" s="11">
        <f>IFERROR(D2074*D2075+D2076*D2077,0)</f>
        <v>130</v>
      </c>
      <c r="E2078" s="11">
        <f t="shared" ref="E2078:O2078" si="7146">IFERROR(E2074*E2075+E2076*E2077,0)</f>
        <v>130</v>
      </c>
      <c r="F2078" s="11">
        <f t="shared" si="7146"/>
        <v>130</v>
      </c>
      <c r="G2078" s="11">
        <f t="shared" si="7146"/>
        <v>130</v>
      </c>
      <c r="H2078" s="11">
        <f t="shared" si="7146"/>
        <v>130</v>
      </c>
      <c r="I2078" s="11">
        <f t="shared" si="7146"/>
        <v>130</v>
      </c>
      <c r="J2078" s="11">
        <f t="shared" si="7146"/>
        <v>130</v>
      </c>
      <c r="K2078" s="11">
        <f t="shared" si="7146"/>
        <v>130</v>
      </c>
      <c r="L2078" s="11">
        <f t="shared" si="7146"/>
        <v>130</v>
      </c>
      <c r="M2078" s="11">
        <f t="shared" si="7146"/>
        <v>130</v>
      </c>
      <c r="N2078" s="11">
        <f t="shared" si="7146"/>
        <v>130</v>
      </c>
      <c r="O2078" s="11">
        <f t="shared" si="7146"/>
        <v>130</v>
      </c>
      <c r="P2078" s="11"/>
      <c r="Q2078" s="11"/>
      <c r="R2078" s="11"/>
      <c r="S2078" s="11"/>
      <c r="T2078" s="11"/>
      <c r="U2078" s="11"/>
      <c r="V2078" s="11"/>
      <c r="W2078" s="11"/>
      <c r="X2078" s="11"/>
      <c r="Y2078" s="11"/>
      <c r="Z2078" s="11"/>
      <c r="AA2078" s="11"/>
      <c r="AB2078" s="11"/>
      <c r="AC2078" s="11"/>
      <c r="AD2078" s="11"/>
      <c r="AE2078" s="11"/>
      <c r="AF2078" s="11"/>
    </row>
    <row r="2079" spans="1:32" ht="17.149999999999999" x14ac:dyDescent="0.55000000000000004">
      <c r="A2079" t="str" cm="1">
        <f t="array" ref="A2079">INDEX(FX_Input,$Q2079,R$5)</f>
        <v>FX - 62</v>
      </c>
      <c r="B2079" t="str" cm="1">
        <f t="array" ref="B2079">INDEX(FX_Input,Q2079,S2079)</f>
        <v>Portland</v>
      </c>
      <c r="C2079" t="s">
        <v>563</v>
      </c>
      <c r="D2079">
        <v>14.7</v>
      </c>
      <c r="E2079">
        <v>14.7</v>
      </c>
      <c r="F2079">
        <v>14.7</v>
      </c>
      <c r="G2079">
        <v>14.7</v>
      </c>
      <c r="H2079">
        <v>14.7</v>
      </c>
      <c r="I2079">
        <v>14.7</v>
      </c>
      <c r="J2079">
        <v>14.7</v>
      </c>
      <c r="K2079">
        <v>14.7</v>
      </c>
      <c r="L2079">
        <v>14.7</v>
      </c>
      <c r="M2079">
        <v>14.7</v>
      </c>
      <c r="N2079">
        <v>14.7</v>
      </c>
      <c r="O2079">
        <v>14.7</v>
      </c>
      <c r="Q2079">
        <f>Q2045+2</f>
        <v>123</v>
      </c>
      <c r="R2079">
        <v>1</v>
      </c>
      <c r="S2079">
        <v>3</v>
      </c>
      <c r="T2079">
        <v>1</v>
      </c>
      <c r="U2079">
        <v>19</v>
      </c>
      <c r="V2079">
        <v>20</v>
      </c>
      <c r="W2079">
        <v>25</v>
      </c>
      <c r="X2079">
        <v>1</v>
      </c>
      <c r="Y2079">
        <v>2</v>
      </c>
      <c r="Z2079">
        <f>(W2079-V2079)/(Y2079-X2079)</f>
        <v>5</v>
      </c>
      <c r="AA2079">
        <f>V2079-Z2079*X2079</f>
        <v>15</v>
      </c>
      <c r="AD2079">
        <f>AD2045+14</f>
        <v>855</v>
      </c>
      <c r="AF2079">
        <f>AF2045+14</f>
        <v>855</v>
      </c>
    </row>
    <row r="2080" spans="1:32" ht="17.149999999999999" x14ac:dyDescent="0.55000000000000004">
      <c r="B2080" t="str">
        <f t="shared" ref="B2080" si="7147">B2079</f>
        <v>Portland</v>
      </c>
      <c r="C2080" t="s">
        <v>564</v>
      </c>
      <c r="D2080" cm="1">
        <f t="array" ref="D2080">IF(ISBLANK(INDEX(FX_Input,$Q2079,$AB2080)),0.03,INDEX(FX_Input,Q2079,AB2080))</f>
        <v>0.03</v>
      </c>
      <c r="E2080" cm="1">
        <f t="array" ref="E2080">IF(ISBLANK(INDEX(FX_Input,$Q2079,$AB2080)),0.03,INDEX(FX_Input,R2079,#REF!))</f>
        <v>0.03</v>
      </c>
      <c r="F2080" cm="1">
        <f t="array" ref="F2080">IF(ISBLANK(INDEX(FX_Input,$Q2079,$AB2080)),0.03,INDEX(FX_Input,S2079,#REF!))</f>
        <v>0.03</v>
      </c>
      <c r="G2080" cm="1">
        <f t="array" ref="G2080">IF(ISBLANK(INDEX(FX_Input,$Q2079,$AB2080)),0.03,INDEX(FX_Input,AB2079,#REF!))</f>
        <v>0.03</v>
      </c>
      <c r="H2080" cm="1">
        <f t="array" ref="H2080">IF(ISBLANK(INDEX(FX_Input,$Q2079,$AB2080)),0.03,INDEX(FX_Input,#REF!,#REF!))</f>
        <v>0.03</v>
      </c>
      <c r="I2080" cm="1">
        <f t="array" ref="I2080">IF(ISBLANK(INDEX(FX_Input,$Q2079,$AB2080)),0.03,INDEX(FX_Input,#REF!,#REF!))</f>
        <v>0.03</v>
      </c>
      <c r="J2080" cm="1">
        <f t="array" ref="J2080">IF(ISBLANK(INDEX(FX_Input,$Q2079,$AB2080)),0.03,INDEX(FX_Input,#REF!,#REF!))</f>
        <v>0.03</v>
      </c>
      <c r="K2080" cm="1">
        <f t="array" ref="K2080">IF(ISBLANK(INDEX(FX_Input,$Q2079,$AB2080)),0.03,INDEX(FX_Input,#REF!,AC2080))</f>
        <v>0.03</v>
      </c>
      <c r="L2080" cm="1">
        <f t="array" ref="L2080">IF(ISBLANK(INDEX(FX_Input,$Q2079,$AB2080)),0.03,INDEX(FX_Input,#REF!,AD2080))</f>
        <v>0.03</v>
      </c>
      <c r="M2080" cm="1">
        <f t="array" ref="M2080">IF(ISBLANK(INDEX(FX_Input,$Q2079,$AB2080)),0.03,INDEX(FX_Input,#REF!,#REF!))</f>
        <v>0.03</v>
      </c>
      <c r="N2080" cm="1">
        <f t="array" ref="N2080">IF(ISBLANK(INDEX(FX_Input,$Q2079,$AB2080)),0.03,INDEX(FX_Input,AC2079,#REF!))</f>
        <v>0.03</v>
      </c>
      <c r="O2080" cm="1">
        <f t="array" ref="O2080">IF(ISBLANK(INDEX(FX_Input,$Q2079,$AB2080)),0.03,INDEX(FX_Input,AD2079,#REF!))</f>
        <v>0.03</v>
      </c>
      <c r="AB2080">
        <v>15</v>
      </c>
    </row>
    <row r="2081" spans="2:32" ht="17.149999999999999" x14ac:dyDescent="0.55000000000000004">
      <c r="B2081" t="str">
        <f>B2080</f>
        <v>Portland</v>
      </c>
      <c r="C2081" t="s">
        <v>565</v>
      </c>
      <c r="D2081" cm="1">
        <f t="array" ref="D2081">IF(ISBLANK(INDEX(FX_Input,$Q2079,$AB2081)),-0.03,INDEX(FX_Input,Q2079,AB2081))</f>
        <v>-0.03</v>
      </c>
      <c r="E2081" cm="1">
        <f t="array" ref="E2081">IF(ISBLANK(INDEX(FX_Input,$Q2079,$AB2081)),-0.03,INDEX(FX_Input,R2079,#REF!))</f>
        <v>-0.03</v>
      </c>
      <c r="F2081" cm="1">
        <f t="array" ref="F2081">IF(ISBLANK(INDEX(FX_Input,$Q2079,$AB2081)),-0.03,INDEX(FX_Input,S2079,#REF!))</f>
        <v>-0.03</v>
      </c>
      <c r="G2081" cm="1">
        <f t="array" ref="G2081">IF(ISBLANK(INDEX(FX_Input,$Q2079,$AB2081)),-0.03,INDEX(FX_Input,AB2079,#REF!))</f>
        <v>-0.03</v>
      </c>
      <c r="H2081" cm="1">
        <f t="array" ref="H2081">IF(ISBLANK(INDEX(FX_Input,$Q2079,$AB2081)),-0.03,INDEX(FX_Input,#REF!,#REF!))</f>
        <v>-0.03</v>
      </c>
      <c r="I2081" cm="1">
        <f t="array" ref="I2081">IF(ISBLANK(INDEX(FX_Input,$Q2079,$AB2081)),-0.03,INDEX(FX_Input,#REF!,#REF!))</f>
        <v>-0.03</v>
      </c>
      <c r="J2081" cm="1">
        <f t="array" ref="J2081">IF(ISBLANK(INDEX(FX_Input,$Q2079,$AB2081)),-0.03,INDEX(FX_Input,#REF!,#REF!))</f>
        <v>-0.03</v>
      </c>
      <c r="K2081" cm="1">
        <f t="array" ref="K2081">IF(ISBLANK(INDEX(FX_Input,$Q2079,$AB2081)),-0.03,INDEX(FX_Input,#REF!,AC2081))</f>
        <v>-0.03</v>
      </c>
      <c r="L2081" cm="1">
        <f t="array" ref="L2081">IF(ISBLANK(INDEX(FX_Input,$Q2079,$AB2081)),-0.03,INDEX(FX_Input,#REF!,AD2081))</f>
        <v>-0.03</v>
      </c>
      <c r="M2081" cm="1">
        <f t="array" ref="M2081">IF(ISBLANK(INDEX(FX_Input,$Q2079,$AB2081)),-0.03,INDEX(FX_Input,#REF!,#REF!))</f>
        <v>-0.03</v>
      </c>
      <c r="N2081" cm="1">
        <f t="array" ref="N2081">IF(ISBLANK(INDEX(FX_Input,$Q2079,$AB2081)),-0.03,INDEX(FX_Input,AC2079,#REF!))</f>
        <v>-0.03</v>
      </c>
      <c r="O2081" cm="1">
        <f t="array" ref="O2081">IF(ISBLANK(INDEX(FX_Input,$Q2079,$AB2081)),-0.03,INDEX(FX_Input,AD2079,#REF!))</f>
        <v>-0.03</v>
      </c>
      <c r="AB2081">
        <v>16</v>
      </c>
    </row>
    <row r="2082" spans="2:32" x14ac:dyDescent="0.4">
      <c r="B2082" t="str">
        <f t="shared" ref="B2082:B2083" si="7148">B2081</f>
        <v>Portland</v>
      </c>
      <c r="C2082" s="66" t="s">
        <v>567</v>
      </c>
      <c r="D2082" t="str" cm="1">
        <f t="array" ref="D2082">INDEX(FX_Multi,$AD2082,D$3)</f>
        <v>Jet kerosene</v>
      </c>
      <c r="E2082" t="str" cm="1">
        <f t="array" ref="E2082">INDEX(FX_Multi,$AD2082,E$3)</f>
        <v>Jet kerosene</v>
      </c>
      <c r="F2082" t="str" cm="1">
        <f t="array" ref="F2082">INDEX(FX_Multi,$AD2082,F$3)</f>
        <v>Jet kerosene</v>
      </c>
      <c r="G2082" t="str" cm="1">
        <f t="array" ref="G2082">INDEX(FX_Multi,$AD2082,G$3)</f>
        <v>Jet kerosene</v>
      </c>
      <c r="H2082" t="str" cm="1">
        <f t="array" ref="H2082">INDEX(FX_Multi,$AD2082,H$3)</f>
        <v>Jet kerosene</v>
      </c>
      <c r="I2082" t="str" cm="1">
        <f t="array" ref="I2082">INDEX(FX_Multi,$AD2082,I$3)</f>
        <v>Jet kerosene</v>
      </c>
      <c r="J2082" t="str" cm="1">
        <f t="array" ref="J2082">INDEX(FX_Multi,$AD2082,J$3)</f>
        <v>Jet kerosene</v>
      </c>
      <c r="K2082" t="str" cm="1">
        <f t="array" ref="K2082">INDEX(FX_Multi,$AD2082,K$3)</f>
        <v>Jet kerosene</v>
      </c>
      <c r="L2082" t="str" cm="1">
        <f t="array" ref="L2082">INDEX(FX_Multi,$AD2082,L$3)</f>
        <v>Jet kerosene</v>
      </c>
      <c r="M2082" t="str" cm="1">
        <f t="array" ref="M2082">INDEX(FX_Multi,$AD2082,M$3)</f>
        <v>Jet kerosene</v>
      </c>
      <c r="N2082" t="str" cm="1">
        <f t="array" ref="N2082">INDEX(FX_Multi,$AD2082,N$3)</f>
        <v>Jet kerosene</v>
      </c>
      <c r="O2082" t="str" cm="1">
        <f t="array" ref="O2082">INDEX(FX_Multi,$AD2082,O$3)</f>
        <v>Jet kerosene</v>
      </c>
      <c r="AC2082">
        <v>1</v>
      </c>
      <c r="AD2082">
        <f>AD2079</f>
        <v>855</v>
      </c>
      <c r="AE2082">
        <v>1</v>
      </c>
      <c r="AF2082">
        <f>AF2079</f>
        <v>855</v>
      </c>
    </row>
    <row r="2083" spans="2:32" x14ac:dyDescent="0.4">
      <c r="B2083" t="str">
        <f t="shared" si="7148"/>
        <v>Portland</v>
      </c>
      <c r="C2083" s="66" t="s">
        <v>566</v>
      </c>
      <c r="D2083" t="str" cm="1">
        <f t="array" ref="D2083">INDEX(FX_Multi,$AD2083,D$3)</f>
        <v>Select Pet Stock</v>
      </c>
      <c r="E2083" t="str" cm="1">
        <f t="array" ref="E2083">INDEX(FX_Multi,$AD2083,E$3)</f>
        <v>Select Pet Stock</v>
      </c>
      <c r="F2083" t="str" cm="1">
        <f t="array" ref="F2083">INDEX(FX_Multi,$AD2083,F$3)</f>
        <v>Select Pet Stock</v>
      </c>
      <c r="G2083" t="str" cm="1">
        <f t="array" ref="G2083">INDEX(FX_Multi,$AD2083,G$3)</f>
        <v>Select Pet Stock</v>
      </c>
      <c r="H2083" t="str" cm="1">
        <f t="array" ref="H2083">INDEX(FX_Multi,$AD2083,H$3)</f>
        <v>Select Pet Stock</v>
      </c>
      <c r="I2083" t="str" cm="1">
        <f t="array" ref="I2083">INDEX(FX_Multi,$AD2083,I$3)</f>
        <v>Select Pet Stock</v>
      </c>
      <c r="J2083" t="str" cm="1">
        <f t="array" ref="J2083">INDEX(FX_Multi,$AD2083,J$3)</f>
        <v>Select Pet Stock</v>
      </c>
      <c r="K2083" t="str" cm="1">
        <f t="array" ref="K2083">INDEX(FX_Multi,$AD2083,K$3)</f>
        <v>Select Pet Stock</v>
      </c>
      <c r="L2083" t="str" cm="1">
        <f t="array" ref="L2083">INDEX(FX_Multi,$AD2083,L$3)</f>
        <v>Select Pet Stock</v>
      </c>
      <c r="M2083" t="str" cm="1">
        <f t="array" ref="M2083">INDEX(FX_Multi,$AD2083,M$3)</f>
        <v>Select Pet Stock</v>
      </c>
      <c r="N2083" t="str" cm="1">
        <f t="array" ref="N2083">INDEX(FX_Multi,$AD2083,N$3)</f>
        <v>Select Pet Stock</v>
      </c>
      <c r="O2083" t="str" cm="1">
        <f t="array" ref="O2083">INDEX(FX_Multi,$AD2083,O$3)</f>
        <v>Select Pet Stock</v>
      </c>
      <c r="AC2083">
        <v>1</v>
      </c>
      <c r="AD2083">
        <f>AD2082+2</f>
        <v>857</v>
      </c>
      <c r="AE2083">
        <v>1</v>
      </c>
      <c r="AF2083">
        <f>AF2082+3</f>
        <v>858</v>
      </c>
    </row>
    <row r="2084" spans="2:32" x14ac:dyDescent="0.4">
      <c r="B2084" t="str">
        <f>B2080</f>
        <v>Portland</v>
      </c>
      <c r="C2084" s="66" t="s">
        <v>568</v>
      </c>
      <c r="D2084" cm="1">
        <f t="array" ref="D2084">INDEX(FX_Multi,$AD2084,D$3)</f>
        <v>0</v>
      </c>
      <c r="E2084" cm="1">
        <f t="array" ref="E2084">INDEX(FX_Multi,$AD2084,E$3)</f>
        <v>0</v>
      </c>
      <c r="F2084" cm="1">
        <f t="array" ref="F2084">INDEX(FX_Multi,$AD2084,F$3)</f>
        <v>0</v>
      </c>
      <c r="G2084" cm="1">
        <f t="array" ref="G2084">INDEX(FX_Multi,$AD2084,G$3)</f>
        <v>0</v>
      </c>
      <c r="H2084" cm="1">
        <f t="array" ref="H2084">INDEX(FX_Multi,$AD2084,H$3)</f>
        <v>0</v>
      </c>
      <c r="I2084" cm="1">
        <f t="array" ref="I2084">INDEX(FX_Multi,$AD2084,I$3)</f>
        <v>0</v>
      </c>
      <c r="J2084" cm="1">
        <f t="array" ref="J2084">INDEX(FX_Multi,$AD2084,J$3)</f>
        <v>0</v>
      </c>
      <c r="K2084" cm="1">
        <f t="array" ref="K2084">INDEX(FX_Multi,$AD2084,K$3)</f>
        <v>0</v>
      </c>
      <c r="L2084" cm="1">
        <f t="array" ref="L2084">INDEX(FX_Multi,$AD2084,L$3)</f>
        <v>0</v>
      </c>
      <c r="M2084" cm="1">
        <f t="array" ref="M2084">INDEX(FX_Multi,$AD2084,M$3)</f>
        <v>0</v>
      </c>
      <c r="N2084" cm="1">
        <f t="array" ref="N2084">INDEX(FX_Multi,$AD2084,N$3)</f>
        <v>0</v>
      </c>
      <c r="O2084" cm="1">
        <f t="array" ref="O2084">INDEX(FX_Multi,$AD2084,O$3)</f>
        <v>0</v>
      </c>
      <c r="AC2084">
        <v>1</v>
      </c>
      <c r="AD2084">
        <f>AD2083-1</f>
        <v>856</v>
      </c>
      <c r="AE2084">
        <v>1</v>
      </c>
      <c r="AF2084">
        <f>AF2082+1</f>
        <v>856</v>
      </c>
    </row>
    <row r="2085" spans="2:32" x14ac:dyDescent="0.4">
      <c r="B2085" t="str">
        <f t="shared" ref="B2085:B2089" si="7149">B2084</f>
        <v>Portland</v>
      </c>
      <c r="C2085" s="66" t="s">
        <v>569</v>
      </c>
      <c r="D2085" cm="1">
        <f t="array" ref="D2085">INDEX(FX_Multi,$AD2085,D$3)</f>
        <v>0</v>
      </c>
      <c r="E2085" cm="1">
        <f t="array" ref="E2085">INDEX(FX_Multi,$AD2085,E$3)</f>
        <v>0</v>
      </c>
      <c r="F2085" cm="1">
        <f t="array" ref="F2085">INDEX(FX_Multi,$AD2085,F$3)</f>
        <v>0</v>
      </c>
      <c r="G2085" cm="1">
        <f t="array" ref="G2085">INDEX(FX_Multi,$AD2085,G$3)</f>
        <v>0</v>
      </c>
      <c r="H2085" cm="1">
        <f t="array" ref="H2085">INDEX(FX_Multi,$AD2085,H$3)</f>
        <v>0</v>
      </c>
      <c r="I2085" cm="1">
        <f t="array" ref="I2085">INDEX(FX_Multi,$AD2085,I$3)</f>
        <v>0</v>
      </c>
      <c r="J2085" cm="1">
        <f t="array" ref="J2085">INDEX(FX_Multi,$AD2085,J$3)</f>
        <v>0</v>
      </c>
      <c r="K2085" cm="1">
        <f t="array" ref="K2085">INDEX(FX_Multi,$AD2085,K$3)</f>
        <v>0</v>
      </c>
      <c r="L2085" cm="1">
        <f t="array" ref="L2085">INDEX(FX_Multi,$AD2085,L$3)</f>
        <v>0</v>
      </c>
      <c r="M2085" cm="1">
        <f t="array" ref="M2085">INDEX(FX_Multi,$AD2085,M$3)</f>
        <v>0</v>
      </c>
      <c r="N2085" cm="1">
        <f t="array" ref="N2085">INDEX(FX_Multi,$AD2085,N$3)</f>
        <v>0</v>
      </c>
      <c r="O2085" cm="1">
        <f t="array" ref="O2085">INDEX(FX_Multi,$AD2085,O$3)</f>
        <v>0</v>
      </c>
      <c r="AC2085">
        <v>1</v>
      </c>
      <c r="AD2085">
        <f>AD2084+2</f>
        <v>858</v>
      </c>
      <c r="AE2085">
        <v>1</v>
      </c>
      <c r="AF2085">
        <f>AF2083</f>
        <v>858</v>
      </c>
    </row>
    <row r="2086" spans="2:32" ht="17.149999999999999" x14ac:dyDescent="0.55000000000000004">
      <c r="B2086" t="str">
        <f t="shared" si="7149"/>
        <v>Portland</v>
      </c>
      <c r="C2086" t="s">
        <v>570</v>
      </c>
      <c r="D2086" cm="1">
        <f t="array" ref="D2086">INDEX(FX_Multi,$AD2086,D$3)</f>
        <v>1</v>
      </c>
      <c r="E2086" cm="1">
        <f t="array" ref="E2086">INDEX(FX_Multi,$AD2086,E$3)</f>
        <v>1</v>
      </c>
      <c r="F2086" cm="1">
        <f t="array" ref="F2086">INDEX(FX_Multi,$AD2086,F$3)</f>
        <v>1</v>
      </c>
      <c r="G2086" cm="1">
        <f t="array" ref="G2086">INDEX(FX_Multi,$AD2086,G$3)</f>
        <v>1</v>
      </c>
      <c r="H2086" cm="1">
        <f t="array" ref="H2086">INDEX(FX_Multi,$AD2086,H$3)</f>
        <v>1</v>
      </c>
      <c r="I2086" cm="1">
        <f t="array" ref="I2086">INDEX(FX_Multi,$AD2086,I$3)</f>
        <v>1</v>
      </c>
      <c r="J2086" cm="1">
        <f t="array" ref="J2086">INDEX(FX_Multi,$AD2086,J$3)</f>
        <v>1</v>
      </c>
      <c r="K2086" cm="1">
        <f t="array" ref="K2086">INDEX(FX_Multi,$AD2086,K$3)</f>
        <v>1</v>
      </c>
      <c r="L2086" cm="1">
        <f t="array" ref="L2086">INDEX(FX_Multi,$AD2086,L$3)</f>
        <v>1</v>
      </c>
      <c r="M2086" cm="1">
        <f t="array" ref="M2086">INDEX(FX_Multi,$AD2086,M$3)</f>
        <v>1</v>
      </c>
      <c r="N2086" cm="1">
        <f t="array" ref="N2086">INDEX(FX_Multi,$AD2086,N$3)</f>
        <v>1</v>
      </c>
      <c r="O2086" cm="1">
        <f t="array" ref="O2086">INDEX(FX_Multi,$AD2086,O$3)</f>
        <v>1</v>
      </c>
      <c r="AC2086">
        <v>1</v>
      </c>
      <c r="AD2086">
        <f>AD2085+6</f>
        <v>864</v>
      </c>
      <c r="AE2086">
        <v>1</v>
      </c>
      <c r="AF2086">
        <f>AF2082+9</f>
        <v>864</v>
      </c>
    </row>
    <row r="2087" spans="2:32" ht="17.149999999999999" x14ac:dyDescent="0.55000000000000004">
      <c r="B2087" t="str">
        <f t="shared" si="7149"/>
        <v>Portland</v>
      </c>
      <c r="C2087" t="s">
        <v>571</v>
      </c>
      <c r="D2087" cm="1">
        <f t="array" ref="D2087">INDEX(FX_Multi,$AD2087,D$3)</f>
        <v>162</v>
      </c>
      <c r="E2087" cm="1">
        <f t="array" ref="E2087">INDEX(FX_Multi,$AD2087,E$3)</f>
        <v>162</v>
      </c>
      <c r="F2087" cm="1">
        <f t="array" ref="F2087">INDEX(FX_Multi,$AD2087,F$3)</f>
        <v>162</v>
      </c>
      <c r="G2087" cm="1">
        <f t="array" ref="G2087">INDEX(FX_Multi,$AD2087,G$3)</f>
        <v>162</v>
      </c>
      <c r="H2087" cm="1">
        <f t="array" ref="H2087">INDEX(FX_Multi,$AD2087,H$3)</f>
        <v>162</v>
      </c>
      <c r="I2087" cm="1">
        <f t="array" ref="I2087">INDEX(FX_Multi,$AD2087,I$3)</f>
        <v>162</v>
      </c>
      <c r="J2087" cm="1">
        <f t="array" ref="J2087">INDEX(FX_Multi,$AD2087,J$3)</f>
        <v>162</v>
      </c>
      <c r="K2087" cm="1">
        <f t="array" ref="K2087">INDEX(FX_Multi,$AD2087,K$3)</f>
        <v>162</v>
      </c>
      <c r="L2087" cm="1">
        <f t="array" ref="L2087">INDEX(FX_Multi,$AD2087,L$3)</f>
        <v>162</v>
      </c>
      <c r="M2087" cm="1">
        <f t="array" ref="M2087">INDEX(FX_Multi,$AD2087,M$3)</f>
        <v>162</v>
      </c>
      <c r="N2087" cm="1">
        <f t="array" ref="N2087">INDEX(FX_Multi,$AD2087,N$3)</f>
        <v>162</v>
      </c>
      <c r="O2087" cm="1">
        <f t="array" ref="O2087">INDEX(FX_Multi,$AD2087,O$3)</f>
        <v>162</v>
      </c>
      <c r="AC2087">
        <v>1</v>
      </c>
      <c r="AD2087">
        <f>AD2086-3</f>
        <v>861</v>
      </c>
      <c r="AE2087">
        <v>1</v>
      </c>
      <c r="AF2087">
        <f>AF2082+6</f>
        <v>861</v>
      </c>
    </row>
    <row r="2088" spans="2:32" ht="17.149999999999999" x14ac:dyDescent="0.55000000000000004">
      <c r="B2088" t="str">
        <f t="shared" si="7149"/>
        <v>Portland</v>
      </c>
      <c r="C2088" t="s">
        <v>572</v>
      </c>
      <c r="D2088" cm="1">
        <f t="array" ref="D2088">INDEX(FX_Multi,$AD2088,D$3)</f>
        <v>0</v>
      </c>
      <c r="E2088" cm="1">
        <f t="array" ref="E2088">INDEX(FX_Multi,$AD2088,E$3)</f>
        <v>0</v>
      </c>
      <c r="F2088" cm="1">
        <f t="array" ref="F2088">INDEX(FX_Multi,$AD2088,F$3)</f>
        <v>0</v>
      </c>
      <c r="G2088" cm="1">
        <f t="array" ref="G2088">INDEX(FX_Multi,$AD2088,G$3)</f>
        <v>0</v>
      </c>
      <c r="H2088" cm="1">
        <f t="array" ref="H2088">INDEX(FX_Multi,$AD2088,H$3)</f>
        <v>0</v>
      </c>
      <c r="I2088" cm="1">
        <f t="array" ref="I2088">INDEX(FX_Multi,$AD2088,I$3)</f>
        <v>0</v>
      </c>
      <c r="J2088" cm="1">
        <f t="array" ref="J2088">INDEX(FX_Multi,$AD2088,J$3)</f>
        <v>0</v>
      </c>
      <c r="K2088" cm="1">
        <f t="array" ref="K2088">INDEX(FX_Multi,$AD2088,K$3)</f>
        <v>0</v>
      </c>
      <c r="L2088" cm="1">
        <f t="array" ref="L2088">INDEX(FX_Multi,$AD2088,L$3)</f>
        <v>0</v>
      </c>
      <c r="M2088" cm="1">
        <f t="array" ref="M2088">INDEX(FX_Multi,$AD2088,M$3)</f>
        <v>0</v>
      </c>
      <c r="N2088" cm="1">
        <f t="array" ref="N2088">INDEX(FX_Multi,$AD2088,N$3)</f>
        <v>0</v>
      </c>
      <c r="O2088" cm="1">
        <f t="array" ref="O2088">INDEX(FX_Multi,$AD2088,O$3)</f>
        <v>0</v>
      </c>
      <c r="AC2088">
        <v>1</v>
      </c>
      <c r="AD2088">
        <f>AD2087+4</f>
        <v>865</v>
      </c>
      <c r="AE2088">
        <v>1</v>
      </c>
      <c r="AF2088">
        <f>AF2082+10</f>
        <v>865</v>
      </c>
    </row>
    <row r="2089" spans="2:32" ht="17.149999999999999" x14ac:dyDescent="0.55000000000000004">
      <c r="B2089" t="str">
        <f t="shared" si="7149"/>
        <v>Portland</v>
      </c>
      <c r="C2089" t="s">
        <v>573</v>
      </c>
      <c r="D2089" cm="1">
        <f t="array" ref="D2089">INDEX(FX_Multi,$AD2089,D$3)</f>
        <v>0</v>
      </c>
      <c r="E2089" cm="1">
        <f t="array" ref="E2089">INDEX(FX_Multi,$AD2089,E$3)</f>
        <v>0</v>
      </c>
      <c r="F2089" cm="1">
        <f t="array" ref="F2089">INDEX(FX_Multi,$AD2089,F$3)</f>
        <v>0</v>
      </c>
      <c r="G2089" cm="1">
        <f t="array" ref="G2089">INDEX(FX_Multi,$AD2089,G$3)</f>
        <v>0</v>
      </c>
      <c r="H2089" cm="1">
        <f t="array" ref="H2089">INDEX(FX_Multi,$AD2089,H$3)</f>
        <v>0</v>
      </c>
      <c r="I2089" cm="1">
        <f t="array" ref="I2089">INDEX(FX_Multi,$AD2089,I$3)</f>
        <v>0</v>
      </c>
      <c r="J2089" cm="1">
        <f t="array" ref="J2089">INDEX(FX_Multi,$AD2089,J$3)</f>
        <v>0</v>
      </c>
      <c r="K2089" cm="1">
        <f t="array" ref="K2089">INDEX(FX_Multi,$AD2089,K$3)</f>
        <v>0</v>
      </c>
      <c r="L2089" cm="1">
        <f t="array" ref="L2089">INDEX(FX_Multi,$AD2089,L$3)</f>
        <v>0</v>
      </c>
      <c r="M2089" cm="1">
        <f t="array" ref="M2089">INDEX(FX_Multi,$AD2089,M$3)</f>
        <v>0</v>
      </c>
      <c r="N2089" cm="1">
        <f t="array" ref="N2089">INDEX(FX_Multi,$AD2089,N$3)</f>
        <v>0</v>
      </c>
      <c r="O2089" cm="1">
        <f t="array" ref="O2089">INDEX(FX_Multi,$AD2089,O$3)</f>
        <v>0</v>
      </c>
      <c r="AC2089">
        <v>1</v>
      </c>
      <c r="AD2089">
        <f>AD2088-3</f>
        <v>862</v>
      </c>
      <c r="AE2089">
        <v>1</v>
      </c>
      <c r="AF2089">
        <f>AF2082+7</f>
        <v>862</v>
      </c>
    </row>
    <row r="2090" spans="2:32" ht="17.149999999999999" x14ac:dyDescent="0.55000000000000004">
      <c r="B2090" t="str">
        <f>B2085</f>
        <v>Portland</v>
      </c>
      <c r="C2090" t="s">
        <v>526</v>
      </c>
      <c r="D2090" cm="1">
        <f t="array" ref="D2090">INDEX(FX_Temps,$AF2090,D$3)</f>
        <v>43.899999999999977</v>
      </c>
      <c r="E2090" cm="1">
        <f t="array" ref="E2090">INDEX(FX_Temps,$AF2090,E$3)</f>
        <v>44.700000000000045</v>
      </c>
      <c r="F2090" cm="1">
        <f t="array" ref="F2090">INDEX(FX_Temps,$AF2090,F$3)</f>
        <v>46.100000000000023</v>
      </c>
      <c r="G2090" cm="1">
        <f t="array" ref="G2090">INDEX(FX_Temps,$AF2090,G$3)</f>
        <v>48.599999999999966</v>
      </c>
      <c r="H2090" cm="1">
        <f t="array" ref="H2090">INDEX(FX_Temps,$AF2090,H$3)</f>
        <v>53.149999999999977</v>
      </c>
      <c r="I2090" cm="1">
        <f t="array" ref="I2090">INDEX(FX_Temps,$AF2090,I$3)</f>
        <v>56.950000000000045</v>
      </c>
      <c r="J2090" cm="1">
        <f t="array" ref="J2090">INDEX(FX_Temps,$AF2090,J$3)</f>
        <v>60.449999999999932</v>
      </c>
      <c r="K2090" cm="1">
        <f t="array" ref="K2090">INDEX(FX_Temps,$AF2090,K$3)</f>
        <v>60.899999999999977</v>
      </c>
      <c r="L2090" cm="1">
        <f t="array" ref="L2090">INDEX(FX_Temps,$AF2090,L$3)</f>
        <v>58.600000000000023</v>
      </c>
      <c r="M2090" cm="1">
        <f t="array" ref="M2090">INDEX(FX_Temps,$AF2090,M$3)</f>
        <v>52.649999999999977</v>
      </c>
      <c r="N2090" cm="1">
        <f t="array" ref="N2090">INDEX(FX_Temps,$AF2090,N$3)</f>
        <v>47.100000000000023</v>
      </c>
      <c r="O2090" cm="1">
        <f t="array" ref="O2090">INDEX(FX_Temps,$AF2090,O$3)</f>
        <v>43.600000000000023</v>
      </c>
      <c r="AE2090">
        <v>1</v>
      </c>
      <c r="AF2090">
        <f>AF2082+10</f>
        <v>865</v>
      </c>
    </row>
    <row r="2091" spans="2:32" ht="17.149999999999999" x14ac:dyDescent="0.55000000000000004">
      <c r="B2091" t="str">
        <f t="shared" ref="B2091:B2112" si="7150">B2090</f>
        <v>Portland</v>
      </c>
      <c r="C2091" t="s">
        <v>527</v>
      </c>
      <c r="D2091" cm="1">
        <f t="array" ref="D2091">INDEX(FX_Temps,$AF2091,D$3)</f>
        <v>43.899999999999977</v>
      </c>
      <c r="E2091" cm="1">
        <f t="array" ref="E2091">INDEX(FX_Temps,$AF2091,E$3)</f>
        <v>44.700000000000045</v>
      </c>
      <c r="F2091" cm="1">
        <f t="array" ref="F2091">INDEX(FX_Temps,$AF2091,F$3)</f>
        <v>46.100000000000023</v>
      </c>
      <c r="G2091" cm="1">
        <f t="array" ref="G2091">INDEX(FX_Temps,$AF2091,G$3)</f>
        <v>48.599999999999966</v>
      </c>
      <c r="H2091" cm="1">
        <f t="array" ref="H2091">INDEX(FX_Temps,$AF2091,H$3)</f>
        <v>53.149999999999977</v>
      </c>
      <c r="I2091" cm="1">
        <f t="array" ref="I2091">INDEX(FX_Temps,$AF2091,I$3)</f>
        <v>56.950000000000045</v>
      </c>
      <c r="J2091" cm="1">
        <f t="array" ref="J2091">INDEX(FX_Temps,$AF2091,J$3)</f>
        <v>60.449999999999932</v>
      </c>
      <c r="K2091" cm="1">
        <f t="array" ref="K2091">INDEX(FX_Temps,$AF2091,K$3)</f>
        <v>60.899999999999977</v>
      </c>
      <c r="L2091" cm="1">
        <f t="array" ref="L2091">INDEX(FX_Temps,$AF2091,L$3)</f>
        <v>58.600000000000023</v>
      </c>
      <c r="M2091" cm="1">
        <f t="array" ref="M2091">INDEX(FX_Temps,$AF2091,M$3)</f>
        <v>52.649999999999977</v>
      </c>
      <c r="N2091" cm="1">
        <f t="array" ref="N2091">INDEX(FX_Temps,$AF2091,N$3)</f>
        <v>47.100000000000023</v>
      </c>
      <c r="O2091" cm="1">
        <f t="array" ref="O2091">INDEX(FX_Temps,$AF2091,O$3)</f>
        <v>43.600000000000023</v>
      </c>
      <c r="AE2091">
        <f>AE2090</f>
        <v>1</v>
      </c>
      <c r="AF2091">
        <f>AF2082+11</f>
        <v>866</v>
      </c>
    </row>
    <row r="2092" spans="2:32" ht="17.149999999999999" x14ac:dyDescent="0.55000000000000004">
      <c r="B2092" t="str">
        <f t="shared" si="7150"/>
        <v>Portland</v>
      </c>
      <c r="C2092" t="s">
        <v>552</v>
      </c>
      <c r="D2092" cm="1">
        <f t="array" ref="D2092">INDEX(FX_Temps,$AF2092,D$3)</f>
        <v>43.899999999999977</v>
      </c>
      <c r="E2092" cm="1">
        <f t="array" ref="E2092">INDEX(FX_Temps,$AF2092,E$3)</f>
        <v>44.700000000000045</v>
      </c>
      <c r="F2092" cm="1">
        <f t="array" ref="F2092">INDEX(FX_Temps,$AF2092,F$3)</f>
        <v>46.100000000000023</v>
      </c>
      <c r="G2092" cm="1">
        <f t="array" ref="G2092">INDEX(FX_Temps,$AF2092,G$3)</f>
        <v>48.599999999999966</v>
      </c>
      <c r="H2092" cm="1">
        <f t="array" ref="H2092">INDEX(FX_Temps,$AF2092,H$3)</f>
        <v>53.149999999999977</v>
      </c>
      <c r="I2092" cm="1">
        <f t="array" ref="I2092">INDEX(FX_Temps,$AF2092,I$3)</f>
        <v>56.950000000000045</v>
      </c>
      <c r="J2092" cm="1">
        <f t="array" ref="J2092">INDEX(FX_Temps,$AF2092,J$3)</f>
        <v>60.449999999999932</v>
      </c>
      <c r="K2092" cm="1">
        <f t="array" ref="K2092">INDEX(FX_Temps,$AF2092,K$3)</f>
        <v>60.899999999999977</v>
      </c>
      <c r="L2092" cm="1">
        <f t="array" ref="L2092">INDEX(FX_Temps,$AF2092,L$3)</f>
        <v>58.600000000000023</v>
      </c>
      <c r="M2092" cm="1">
        <f t="array" ref="M2092">INDEX(FX_Temps,$AF2092,M$3)</f>
        <v>52.649999999999977</v>
      </c>
      <c r="N2092" cm="1">
        <f t="array" ref="N2092">INDEX(FX_Temps,$AF2092,N$3)</f>
        <v>47.100000000000023</v>
      </c>
      <c r="O2092" cm="1">
        <f t="array" ref="O2092">INDEX(FX_Temps,$AF2092,O$3)</f>
        <v>43.600000000000023</v>
      </c>
      <c r="AE2092">
        <f>AE2091</f>
        <v>1</v>
      </c>
      <c r="AF2092">
        <f>AF2082+13</f>
        <v>868</v>
      </c>
    </row>
    <row r="2093" spans="2:32" ht="17.149999999999999" x14ac:dyDescent="0.55000000000000004">
      <c r="B2093" t="str">
        <f t="shared" si="7150"/>
        <v>Portland</v>
      </c>
      <c r="C2093" t="s">
        <v>574</v>
      </c>
      <c r="D2093" cm="1">
        <f t="array" ref="D2093">IFERROR(IF(D2083="Chemical",(10^(INDEX(Antoines,MATCH(D2082,Antoine_Name,0),2)-INDEX(Antoines,MATCH(D2082,Antoine_Name,0),3)/(INDEX(Antoines,MATCH(D2082,Antoine_Name,0),4)+(D2090-32)*5/9)))*14.7/760,IF(D2083="Crude Oil",EXP((2799/(D2090+459.6)-2.227)*LOG10(INDEX(FX_Input,Q$5,D$3*$Z$5+$AA$5))-(7261/(D2090+459.6))+12.82),IF(D2083="Refined Petroleum Stock",EXP((0.7553-(413/(D2090+459.6)))*(INDEX(FX_Input,Q$5,D$3*$Z$5+$AA$5-1)^0.5)*LOG10(INDEX(FX_Input,Q$5,D$3*$Z$5+$AA$5))-(1.854-(1042/(D2090+459.6)))*(INDEX(FX_Input,Q$5,D$3*$Z$5+$AA$5-1)^0.5)+((2416/(D2090+459.6)-2.013)*LOG10(INDEX(FX_Input,Q$5,D$3*$Z$5+$AA$5)))-(8742/(D2090+459.6))+15.64),EXP(INDEX(Antoines,MATCH(D2082,Antoine_Name,0),2)-INDEX(Antoines,MATCH(D2082,Antoine_Name,0),3)/(D2090+459.6))))),0)</f>
        <v>4.739577185808354E-3</v>
      </c>
      <c r="E2093" cm="1">
        <f t="array" ref="E2093">IFERROR(IF(E2083="Chemical",(10^(INDEX(Antoines,MATCH(E2082,Antoine_Name,0),2)-INDEX(Antoines,MATCH(E2082,Antoine_Name,0),3)/(INDEX(Antoines,MATCH(E2082,Antoine_Name,0),4)+(E2090-32)*5/9)))*14.7/760,IF(E2083="Crude Oil",EXP((2799/(E2090+459.6)-2.227)*LOG10(INDEX(FX_Input,R$5,E$3*$Z$5+$AA$5))-(7261/(E2090+459.6))+12.82),IF(E2083="Refined Petroleum Stock",EXP((0.7553-(413/(E2090+459.6)))*(INDEX(FX_Input,R$5,E$3*$Z$5+$AA$5-1)^0.5)*LOG10(INDEX(FX_Input,R$5,E$3*$Z$5+$AA$5))-(1.854-(1042/(E2090+459.6)))*(INDEX(FX_Input,R$5,E$3*$Z$5+$AA$5-1)^0.5)+((2416/(E2090+459.6)-2.013)*LOG10(INDEX(FX_Input,R$5,E$3*$Z$5+$AA$5)))-(8742/(E2090+459.6))+15.64),EXP(INDEX(Antoines,MATCH(E2082,Antoine_Name,0),2)-INDEX(Antoines,MATCH(E2082,Antoine_Name,0),3)/(E2090+459.6))))),0)</f>
        <v>4.8748667780818778E-3</v>
      </c>
      <c r="F2093" cm="1">
        <f t="array" ref="F2093">IFERROR(IF(F2083="Chemical",(10^(INDEX(Antoines,MATCH(F2082,Antoine_Name,0),2)-INDEX(Antoines,MATCH(F2082,Antoine_Name,0),3)/(INDEX(Antoines,MATCH(F2082,Antoine_Name,0),4)+(F2090-32)*5/9)))*14.7/760,IF(F2083="Crude Oil",EXP((2799/(F2090+459.6)-2.227)*LOG10(INDEX(FX_Input,S$5,F$3*$Z$5+$AA$5))-(7261/(F2090+459.6))+12.82),IF(F2083="Refined Petroleum Stock",EXP((0.7553-(413/(F2090+459.6)))*(INDEX(FX_Input,S$5,F$3*$Z$5+$AA$5-1)^0.5)*LOG10(INDEX(FX_Input,S$5,F$3*$Z$5+$AA$5))-(1.854-(1042/(F2090+459.6)))*(INDEX(FX_Input,S$5,F$3*$Z$5+$AA$5-1)^0.5)+((2416/(F2090+459.6)-2.013)*LOG10(INDEX(FX_Input,S$5,F$3*$Z$5+$AA$5)))-(8742/(F2090+459.6))+15.64),EXP(INDEX(Antoines,MATCH(F2082,Antoine_Name,0),2)-INDEX(Antoines,MATCH(F2082,Antoine_Name,0),3)/(F2090+459.6))))),0)</f>
        <v>5.119885034186122E-3</v>
      </c>
      <c r="G2093" cm="1">
        <f t="array" ref="G2093">IFERROR(IF(G2083="Chemical",(10^(INDEX(Antoines,MATCH(G2082,Antoine_Name,0),2)-INDEX(Antoines,MATCH(G2082,Antoine_Name,0),3)/(INDEX(Antoines,MATCH(G2082,Antoine_Name,0),4)+(G2090-32)*5/9)))*14.7/760,IF(G2083="Crude Oil",EXP((2799/(G2090+459.6)-2.227)*LOG10(INDEX(FX_Input,T$5,G$3*$Z$5+$AA$5))-(7261/(G2090+459.6))+12.82),IF(G2083="Refined Petroleum Stock",EXP((0.7553-(413/(G2090+459.6)))*(INDEX(FX_Input,T$5,G$3*$Z$5+$AA$5-1)^0.5)*LOG10(INDEX(FX_Input,T$5,G$3*$Z$5+$AA$5))-(1.854-(1042/(G2090+459.6)))*(INDEX(FX_Input,T$5,G$3*$Z$5+$AA$5-1)^0.5)+((2416/(G2090+459.6)-2.013)*LOG10(INDEX(FX_Input,T$5,G$3*$Z$5+$AA$5)))-(8742/(G2090+459.6))+15.64),EXP(INDEX(Antoines,MATCH(G2082,Antoine_Name,0),2)-INDEX(Antoines,MATCH(G2082,Antoine_Name,0),3)/(G2090+459.6))))),0)</f>
        <v>5.5846958573521795E-3</v>
      </c>
      <c r="H2093" cm="1">
        <f t="array" ref="H2093">IFERROR(IF(H2083="Chemical",(10^(INDEX(Antoines,MATCH(H2082,Antoine_Name,0),2)-INDEX(Antoines,MATCH(H2082,Antoine_Name,0),3)/(INDEX(Antoines,MATCH(H2082,Antoine_Name,0),4)+(H2090-32)*5/9)))*14.7/760,IF(H2083="Crude Oil",EXP((2799/(H2090+459.6)-2.227)*LOG10(INDEX(FX_Input,U$5,H$3*$Z$5+$AA$5))-(7261/(H2090+459.6))+12.82),IF(H2083="Refined Petroleum Stock",EXP((0.7553-(413/(H2090+459.6)))*(INDEX(FX_Input,U$5,H$3*$Z$5+$AA$5-1)^0.5)*LOG10(INDEX(FX_Input,U$5,H$3*$Z$5+$AA$5))-(1.854-(1042/(H2090+459.6)))*(INDEX(FX_Input,U$5,H$3*$Z$5+$AA$5-1)^0.5)+((2416/(H2090+459.6)-2.013)*LOG10(INDEX(FX_Input,U$5,H$3*$Z$5+$AA$5)))-(8742/(H2090+459.6))+15.64),EXP(INDEX(Antoines,MATCH(H2082,Antoine_Name,0),2)-INDEX(Antoines,MATCH(H2082,Antoine_Name,0),3)/(H2090+459.6))))),0)</f>
        <v>6.5274070972739821E-3</v>
      </c>
      <c r="I2093" cm="1">
        <f t="array" ref="I2093">IFERROR(IF(I2083="Chemical",(10^(INDEX(Antoines,MATCH(I2082,Antoine_Name,0),2)-INDEX(Antoines,MATCH(I2082,Antoine_Name,0),3)/(INDEX(Antoines,MATCH(I2082,Antoine_Name,0),4)+(I2090-32)*5/9)))*14.7/760,IF(I2083="Crude Oil",EXP((2799/(I2090+459.6)-2.227)*LOG10(INDEX(FX_Input,V$5,I$3*$Z$5+$AA$5))-(7261/(I2090+459.6))+12.82),IF(I2083="Refined Petroleum Stock",EXP((0.7553-(413/(I2090+459.6)))*(INDEX(FX_Input,V$5,I$3*$Z$5+$AA$5-1)^0.5)*LOG10(INDEX(FX_Input,V$5,I$3*$Z$5+$AA$5))-(1.854-(1042/(I2090+459.6)))*(INDEX(FX_Input,V$5,I$3*$Z$5+$AA$5-1)^0.5)+((2416/(I2090+459.6)-2.013)*LOG10(INDEX(FX_Input,V$5,I$3*$Z$5+$AA$5)))-(8742/(I2090+459.6))+15.64),EXP(INDEX(Antoines,MATCH(I2082,Antoine_Name,0),2)-INDEX(Antoines,MATCH(I2082,Antoine_Name,0),3)/(I2090+459.6))))),0)</f>
        <v>7.4199539958878279E-3</v>
      </c>
      <c r="J2093" cm="1">
        <f t="array" ref="J2093">IFERROR(IF(J2083="Chemical",(10^(INDEX(Antoines,MATCH(J2082,Antoine_Name,0),2)-INDEX(Antoines,MATCH(J2082,Antoine_Name,0),3)/(INDEX(Antoines,MATCH(J2082,Antoine_Name,0),4)+(J2090-32)*5/9)))*14.7/760,IF(J2083="Crude Oil",EXP((2799/(J2090+459.6)-2.227)*LOG10(INDEX(FX_Input,W$5,J$3*$Z$5+$AA$5))-(7261/(J2090+459.6))+12.82),IF(J2083="Refined Petroleum Stock",EXP((0.7553-(413/(J2090+459.6)))*(INDEX(FX_Input,W$5,J$3*$Z$5+$AA$5-1)^0.5)*LOG10(INDEX(FX_Input,W$5,J$3*$Z$5+$AA$5))-(1.854-(1042/(J2090+459.6)))*(INDEX(FX_Input,W$5,J$3*$Z$5+$AA$5-1)^0.5)+((2416/(J2090+459.6)-2.013)*LOG10(INDEX(FX_Input,W$5,J$3*$Z$5+$AA$5)))-(8742/(J2090+459.6))+15.64),EXP(INDEX(Antoines,MATCH(J2082,Antoine_Name,0),2)-INDEX(Antoines,MATCH(J2082,Antoine_Name,0),3)/(J2090+459.6))))),0)</f>
        <v>8.3358107202842254E-3</v>
      </c>
      <c r="K2093" cm="1">
        <f t="array" ref="K2093">IFERROR(IF(K2083="Chemical",(10^(INDEX(Antoines,MATCH(K2082,Antoine_Name,0),2)-INDEX(Antoines,MATCH(K2082,Antoine_Name,0),3)/(INDEX(Antoines,MATCH(K2082,Antoine_Name,0),4)+(K2090-32)*5/9)))*14.7/760,IF(K2083="Crude Oil",EXP((2799/(K2090+459.6)-2.227)*LOG10(INDEX(FX_Input,X$5,K$3*$Z$5+$AA$5))-(7261/(K2090+459.6))+12.82),IF(K2083="Refined Petroleum Stock",EXP((0.7553-(413/(K2090+459.6)))*(INDEX(FX_Input,X$5,K$3*$Z$5+$AA$5-1)^0.5)*LOG10(INDEX(FX_Input,X$5,K$3*$Z$5+$AA$5))-(1.854-(1042/(K2090+459.6)))*(INDEX(FX_Input,X$5,K$3*$Z$5+$AA$5-1)^0.5)+((2416/(K2090+459.6)-2.013)*LOG10(INDEX(FX_Input,X$5,K$3*$Z$5+$AA$5)))-(8742/(K2090+459.6))+15.64),EXP(INDEX(Antoines,MATCH(K2082,Antoine_Name,0),2)-INDEX(Antoines,MATCH(K2082,Antoine_Name,0),3)/(K2090+459.6))))),0)</f>
        <v>8.4605262729351115E-3</v>
      </c>
      <c r="L2093" cm="1">
        <f t="array" ref="L2093">IFERROR(IF(L2083="Chemical",(10^(INDEX(Antoines,MATCH(L2082,Antoine_Name,0),2)-INDEX(Antoines,MATCH(L2082,Antoine_Name,0),3)/(INDEX(Antoines,MATCH(L2082,Antoine_Name,0),4)+(L2090-32)*5/9)))*14.7/760,IF(L2083="Crude Oil",EXP((2799/(L2090+459.6)-2.227)*LOG10(INDEX(FX_Input,Y$5,L$3*$Z$5+$AA$5))-(7261/(L2090+459.6))+12.82),IF(L2083="Refined Petroleum Stock",EXP((0.7553-(413/(L2090+459.6)))*(INDEX(FX_Input,Y$5,L$3*$Z$5+$AA$5-1)^0.5)*LOG10(INDEX(FX_Input,Y$5,L$3*$Z$5+$AA$5))-(1.854-(1042/(L2090+459.6)))*(INDEX(FX_Input,Y$5,L$3*$Z$5+$AA$5-1)^0.5)+((2416/(L2090+459.6)-2.013)*LOG10(INDEX(FX_Input,Y$5,L$3*$Z$5+$AA$5)))-(8742/(L2090+459.6))+15.64),EXP(INDEX(Antoines,MATCH(L2082,Antoine_Name,0),2)-INDEX(Antoines,MATCH(L2082,Antoine_Name,0),3)/(L2090+459.6))))),0)</f>
        <v>7.8399882233967533E-3</v>
      </c>
      <c r="M2093" cm="1">
        <f t="array" ref="M2093">IFERROR(IF(M2083="Chemical",(10^(INDEX(Antoines,MATCH(M2082,Antoine_Name,0),2)-INDEX(Antoines,MATCH(M2082,Antoine_Name,0),3)/(INDEX(Antoines,MATCH(M2082,Antoine_Name,0),4)+(M2090-32)*5/9)))*14.7/760,IF(M2083="Crude Oil",EXP((2799/(M2090+459.6)-2.227)*LOG10(INDEX(FX_Input,Z$5,M$3*$Z$5+$AA$5))-(7261/(M2090+459.6))+12.82),IF(M2083="Refined Petroleum Stock",EXP((0.7553-(413/(M2090+459.6)))*(INDEX(FX_Input,Z$5,M$3*$Z$5+$AA$5-1)^0.5)*LOG10(INDEX(FX_Input,Z$5,M$3*$Z$5+$AA$5))-(1.854-(1042/(M2090+459.6)))*(INDEX(FX_Input,Z$5,M$3*$Z$5+$AA$5-1)^0.5)+((2416/(M2090+459.6)-2.013)*LOG10(INDEX(FX_Input,Z$5,M$3*$Z$5+$AA$5)))-(8742/(M2090+459.6))+15.64),EXP(INDEX(Antoines,MATCH(M2082,Antoine_Name,0),2)-INDEX(Antoines,MATCH(M2082,Antoine_Name,0),3)/(M2090+459.6))))),0)</f>
        <v>6.4173462075160911E-3</v>
      </c>
      <c r="N2093" cm="1">
        <f t="array" ref="N2093">IFERROR(IF(N2083="Chemical",(10^(INDEX(Antoines,MATCH(N2082,Antoine_Name,0),2)-INDEX(Antoines,MATCH(N2082,Antoine_Name,0),3)/(INDEX(Antoines,MATCH(N2082,Antoine_Name,0),4)+(N2090-32)*5/9)))*14.7/760,IF(N2083="Crude Oil",EXP((2799/(N2090+459.6)-2.227)*LOG10(INDEX(FX_Input,AA$5,N$3*$Z$5+$AA$5))-(7261/(N2090+459.6))+12.82),IF(N2083="Refined Petroleum Stock",EXP((0.7553-(413/(N2090+459.6)))*(INDEX(FX_Input,AA$5,N$3*$Z$5+$AA$5-1)^0.5)*LOG10(INDEX(FX_Input,AA$5,N$3*$Z$5+$AA$5))-(1.854-(1042/(N2090+459.6)))*(INDEX(FX_Input,AA$5,N$3*$Z$5+$AA$5-1)^0.5)+((2416/(N2090+459.6)-2.013)*LOG10(INDEX(FX_Input,AA$5,N$3*$Z$5+$AA$5)))-(8742/(N2090+459.6))+15.64),EXP(INDEX(Antoines,MATCH(N2082,Antoine_Name,0),2)-INDEX(Antoines,MATCH(N2082,Antoine_Name,0),3)/(N2090+459.6))))),0)</f>
        <v>5.3015226887581056E-3</v>
      </c>
      <c r="O2093" cm="1">
        <f t="array" ref="O2093">IFERROR(IF(O2083="Chemical",(10^(INDEX(Antoines,MATCH(O2082,Antoine_Name,0),2)-INDEX(Antoines,MATCH(O2082,Antoine_Name,0),3)/(INDEX(Antoines,MATCH(O2082,Antoine_Name,0),4)+(O2090-32)*5/9)))*14.7/760,IF(O2083="Crude Oil",EXP((2799/(O2090+459.6)-2.227)*LOG10(INDEX(FX_Input,AB$5,O$3*$Z$5+$AA$5))-(7261/(O2090+459.6))+12.82),IF(O2083="Refined Petroleum Stock",EXP((0.7553-(413/(O2090+459.6)))*(INDEX(FX_Input,AB$5,O$3*$Z$5+$AA$5-1)^0.5)*LOG10(INDEX(FX_Input,AB$5,O$3*$Z$5+$AA$5))-(1.854-(1042/(O2090+459.6)))*(INDEX(FX_Input,AB$5,O$3*$Z$5+$AA$5-1)^0.5)+((2416/(O2090+459.6)-2.013)*LOG10(INDEX(FX_Input,AB$5,O$3*$Z$5+$AA$5)))-(8742/(O2090+459.6))+15.64),EXP(INDEX(Antoines,MATCH(O2082,Antoine_Name,0),2)-INDEX(Antoines,MATCH(O2082,Antoine_Name,0),3)/(O2090+459.6))))),0)</f>
        <v>4.68970903600947E-3</v>
      </c>
    </row>
    <row r="2094" spans="2:32" ht="17.149999999999999" x14ac:dyDescent="0.55000000000000004">
      <c r="B2094" t="str">
        <f t="shared" si="7150"/>
        <v>Portland</v>
      </c>
      <c r="C2094" t="s">
        <v>576</v>
      </c>
      <c r="D2094">
        <f>D2086*D2093</f>
        <v>4.739577185808354E-3</v>
      </c>
      <c r="E2094">
        <f t="shared" ref="E2094:O2094" si="7151">E2086*E2093</f>
        <v>4.8748667780818778E-3</v>
      </c>
      <c r="F2094">
        <f t="shared" si="7151"/>
        <v>5.119885034186122E-3</v>
      </c>
      <c r="G2094">
        <f t="shared" si="7151"/>
        <v>5.5846958573521795E-3</v>
      </c>
      <c r="H2094">
        <f t="shared" si="7151"/>
        <v>6.5274070972739821E-3</v>
      </c>
      <c r="I2094">
        <f t="shared" si="7151"/>
        <v>7.4199539958878279E-3</v>
      </c>
      <c r="J2094">
        <f t="shared" si="7151"/>
        <v>8.3358107202842254E-3</v>
      </c>
      <c r="K2094">
        <f t="shared" si="7151"/>
        <v>8.4605262729351115E-3</v>
      </c>
      <c r="L2094">
        <f t="shared" si="7151"/>
        <v>7.8399882233967533E-3</v>
      </c>
      <c r="M2094">
        <f t="shared" si="7151"/>
        <v>6.4173462075160911E-3</v>
      </c>
      <c r="N2094">
        <f t="shared" si="7151"/>
        <v>5.3015226887581056E-3</v>
      </c>
      <c r="O2094">
        <f t="shared" si="7151"/>
        <v>4.68970903600947E-3</v>
      </c>
    </row>
    <row r="2095" spans="2:32" ht="17.149999999999999" x14ac:dyDescent="0.55000000000000004">
      <c r="B2095" t="str">
        <f t="shared" si="7150"/>
        <v>Portland</v>
      </c>
      <c r="C2095" t="s">
        <v>575</v>
      </c>
      <c r="D2095" cm="1">
        <f t="array" ref="D2095">IFERROR(IF(D2085="Chemical",(10^(INDEX(Antoines,MATCH(D2084,Antoine_Name,0),2)-INDEX(Antoines,MATCH(D2084,Antoine_Name,0),3)/(INDEX(Antoines,MATCH(D2084,Antoine_Name,0),4)+(D2090-32)*5/9)))*14.7/760,IF(D2085="Crude Oil",EXP((2799/(D2090+459.6)-2.227)*LOG10(INDEX(FX_Input,Q$5,D$3*$Z$5+$AA$5))-(7261/(D2090+459.6))+12.82),IF(D2085="Refined Petroleum Stock",EXP((0.7553-(413/(D2090+459.6)))*(INDEX(FX_Input,Q$5,D$3*$Z$5+$AA$5-1)^0.5)*LOG10(INDEX(FX_Input,Q$5,D$3*$Z$5+$AA$5))-(1.854-(1042/(D2090+459.6)))*(INDEX(FX_Input,Q$5,D$3*$Z$5+$AA$5-1)^0.5)+((2416/(D2090+459.6)-2.013)*LOG10(INDEX(FX_Input,Q$5,D$3*$Z$5+$AA$5)))-(8742/(D2090+459.6))+15.64),EXP(INDEX(Antoines,MATCH(D2084,Antoine_Name,0),2)-INDEX(Antoines,MATCH(D2084,Antoine_Name,0),3)/(D2090+459.6))))),0)</f>
        <v>0</v>
      </c>
      <c r="E2095" cm="1">
        <f t="array" ref="E2095">IFERROR(IF(E2085="Chemical",(10^(INDEX(Antoines,MATCH(E2084,Antoine_Name,0),2)-INDEX(Antoines,MATCH(E2084,Antoine_Name,0),3)/(INDEX(Antoines,MATCH(E2084,Antoine_Name,0),4)+(E2090-32)*5/9)))*14.7/760,IF(E2085="Crude Oil",EXP((2799/(E2090+459.6)-2.227)*LOG10(INDEX(FX_Input,R$5,E$3*$Z$5+$AA$5))-(7261/(E2090+459.6))+12.82),IF(E2085="Refined Petroleum Stock",EXP((0.7553-(413/(E2090+459.6)))*(INDEX(FX_Input,R$5,E$3*$Z$5+$AA$5-1)^0.5)*LOG10(INDEX(FX_Input,R$5,E$3*$Z$5+$AA$5))-(1.854-(1042/(E2090+459.6)))*(INDEX(FX_Input,R$5,E$3*$Z$5+$AA$5-1)^0.5)+((2416/(E2090+459.6)-2.013)*LOG10(INDEX(FX_Input,R$5,E$3*$Z$5+$AA$5)))-(8742/(E2090+459.6))+15.64),EXP(INDEX(Antoines,MATCH(E2084,Antoine_Name,0),2)-INDEX(Antoines,MATCH(E2084,Antoine_Name,0),3)/(E2090+459.6))))),0)</f>
        <v>0</v>
      </c>
      <c r="F2095" cm="1">
        <f t="array" ref="F2095">IFERROR(IF(F2085="Chemical",(10^(INDEX(Antoines,MATCH(F2084,Antoine_Name,0),2)-INDEX(Antoines,MATCH(F2084,Antoine_Name,0),3)/(INDEX(Antoines,MATCH(F2084,Antoine_Name,0),4)+(F2090-32)*5/9)))*14.7/760,IF(F2085="Crude Oil",EXP((2799/(F2090+459.6)-2.227)*LOG10(INDEX(FX_Input,S$5,F$3*$Z$5+$AA$5))-(7261/(F2090+459.6))+12.82),IF(F2085="Refined Petroleum Stock",EXP((0.7553-(413/(F2090+459.6)))*(INDEX(FX_Input,S$5,F$3*$Z$5+$AA$5-1)^0.5)*LOG10(INDEX(FX_Input,S$5,F$3*$Z$5+$AA$5))-(1.854-(1042/(F2090+459.6)))*(INDEX(FX_Input,S$5,F$3*$Z$5+$AA$5-1)^0.5)+((2416/(F2090+459.6)-2.013)*LOG10(INDEX(FX_Input,S$5,F$3*$Z$5+$AA$5)))-(8742/(F2090+459.6))+15.64),EXP(INDEX(Antoines,MATCH(F2084,Antoine_Name,0),2)-INDEX(Antoines,MATCH(F2084,Antoine_Name,0),3)/(F2090+459.6))))),0)</f>
        <v>0</v>
      </c>
      <c r="G2095" cm="1">
        <f t="array" ref="G2095">IFERROR(IF(G2085="Chemical",(10^(INDEX(Antoines,MATCH(G2084,Antoine_Name,0),2)-INDEX(Antoines,MATCH(G2084,Antoine_Name,0),3)/(INDEX(Antoines,MATCH(G2084,Antoine_Name,0),4)+(G2090-32)*5/9)))*14.7/760,IF(G2085="Crude Oil",EXP((2799/(G2090+459.6)-2.227)*LOG10(INDEX(FX_Input,T$5,G$3*$Z$5+$AA$5))-(7261/(G2090+459.6))+12.82),IF(G2085="Refined Petroleum Stock",EXP((0.7553-(413/(G2090+459.6)))*(INDEX(FX_Input,T$5,G$3*$Z$5+$AA$5-1)^0.5)*LOG10(INDEX(FX_Input,T$5,G$3*$Z$5+$AA$5))-(1.854-(1042/(G2090+459.6)))*(INDEX(FX_Input,T$5,G$3*$Z$5+$AA$5-1)^0.5)+((2416/(G2090+459.6)-2.013)*LOG10(INDEX(FX_Input,T$5,G$3*$Z$5+$AA$5)))-(8742/(G2090+459.6))+15.64),EXP(INDEX(Antoines,MATCH(G2084,Antoine_Name,0),2)-INDEX(Antoines,MATCH(G2084,Antoine_Name,0),3)/(G2090+459.6))))),0)</f>
        <v>0</v>
      </c>
      <c r="H2095" cm="1">
        <f t="array" ref="H2095">IFERROR(IF(H2085="Chemical",(10^(INDEX(Antoines,MATCH(H2084,Antoine_Name,0),2)-INDEX(Antoines,MATCH(H2084,Antoine_Name,0),3)/(INDEX(Antoines,MATCH(H2084,Antoine_Name,0),4)+(H2090-32)*5/9)))*14.7/760,IF(H2085="Crude Oil",EXP((2799/(H2090+459.6)-2.227)*LOG10(INDEX(FX_Input,U$5,H$3*$Z$5+$AA$5))-(7261/(H2090+459.6))+12.82),IF(H2085="Refined Petroleum Stock",EXP((0.7553-(413/(H2090+459.6)))*(INDEX(FX_Input,U$5,H$3*$Z$5+$AA$5-1)^0.5)*LOG10(INDEX(FX_Input,U$5,H$3*$Z$5+$AA$5))-(1.854-(1042/(H2090+459.6)))*(INDEX(FX_Input,U$5,H$3*$Z$5+$AA$5-1)^0.5)+((2416/(H2090+459.6)-2.013)*LOG10(INDEX(FX_Input,U$5,H$3*$Z$5+$AA$5)))-(8742/(H2090+459.6))+15.64),EXP(INDEX(Antoines,MATCH(H2084,Antoine_Name,0),2)-INDEX(Antoines,MATCH(H2084,Antoine_Name,0),3)/(H2090+459.6))))),0)</f>
        <v>0</v>
      </c>
      <c r="I2095" cm="1">
        <f t="array" ref="I2095">IFERROR(IF(I2085="Chemical",(10^(INDEX(Antoines,MATCH(I2084,Antoine_Name,0),2)-INDEX(Antoines,MATCH(I2084,Antoine_Name,0),3)/(INDEX(Antoines,MATCH(I2084,Antoine_Name,0),4)+(I2090-32)*5/9)))*14.7/760,IF(I2085="Crude Oil",EXP((2799/(I2090+459.6)-2.227)*LOG10(INDEX(FX_Input,V$5,I$3*$Z$5+$AA$5))-(7261/(I2090+459.6))+12.82),IF(I2085="Refined Petroleum Stock",EXP((0.7553-(413/(I2090+459.6)))*(INDEX(FX_Input,V$5,I$3*$Z$5+$AA$5-1)^0.5)*LOG10(INDEX(FX_Input,V$5,I$3*$Z$5+$AA$5))-(1.854-(1042/(I2090+459.6)))*(INDEX(FX_Input,V$5,I$3*$Z$5+$AA$5-1)^0.5)+((2416/(I2090+459.6)-2.013)*LOG10(INDEX(FX_Input,V$5,I$3*$Z$5+$AA$5)))-(8742/(I2090+459.6))+15.64),EXP(INDEX(Antoines,MATCH(I2084,Antoine_Name,0),2)-INDEX(Antoines,MATCH(I2084,Antoine_Name,0),3)/(I2090+459.6))))),0)</f>
        <v>0</v>
      </c>
      <c r="J2095" cm="1">
        <f t="array" ref="J2095">IFERROR(IF(J2085="Chemical",(10^(INDEX(Antoines,MATCH(J2084,Antoine_Name,0),2)-INDEX(Antoines,MATCH(J2084,Antoine_Name,0),3)/(INDEX(Antoines,MATCH(J2084,Antoine_Name,0),4)+(J2090-32)*5/9)))*14.7/760,IF(J2085="Crude Oil",EXP((2799/(J2090+459.6)-2.227)*LOG10(INDEX(FX_Input,W$5,J$3*$Z$5+$AA$5))-(7261/(J2090+459.6))+12.82),IF(J2085="Refined Petroleum Stock",EXP((0.7553-(413/(J2090+459.6)))*(INDEX(FX_Input,W$5,J$3*$Z$5+$AA$5-1)^0.5)*LOG10(INDEX(FX_Input,W$5,J$3*$Z$5+$AA$5))-(1.854-(1042/(J2090+459.6)))*(INDEX(FX_Input,W$5,J$3*$Z$5+$AA$5-1)^0.5)+((2416/(J2090+459.6)-2.013)*LOG10(INDEX(FX_Input,W$5,J$3*$Z$5+$AA$5)))-(8742/(J2090+459.6))+15.64),EXP(INDEX(Antoines,MATCH(J2084,Antoine_Name,0),2)-INDEX(Antoines,MATCH(J2084,Antoine_Name,0),3)/(J2090+459.6))))),0)</f>
        <v>0</v>
      </c>
      <c r="K2095" cm="1">
        <f t="array" ref="K2095">IFERROR(IF(K2085="Chemical",(10^(INDEX(Antoines,MATCH(K2084,Antoine_Name,0),2)-INDEX(Antoines,MATCH(K2084,Antoine_Name,0),3)/(INDEX(Antoines,MATCH(K2084,Antoine_Name,0),4)+(K2090-32)*5/9)))*14.7/760,IF(K2085="Crude Oil",EXP((2799/(K2090+459.6)-2.227)*LOG10(INDEX(FX_Input,X$5,K$3*$Z$5+$AA$5))-(7261/(K2090+459.6))+12.82),IF(K2085="Refined Petroleum Stock",EXP((0.7553-(413/(K2090+459.6)))*(INDEX(FX_Input,X$5,K$3*$Z$5+$AA$5-1)^0.5)*LOG10(INDEX(FX_Input,X$5,K$3*$Z$5+$AA$5))-(1.854-(1042/(K2090+459.6)))*(INDEX(FX_Input,X$5,K$3*$Z$5+$AA$5-1)^0.5)+((2416/(K2090+459.6)-2.013)*LOG10(INDEX(FX_Input,X$5,K$3*$Z$5+$AA$5)))-(8742/(K2090+459.6))+15.64),EXP(INDEX(Antoines,MATCH(K2084,Antoine_Name,0),2)-INDEX(Antoines,MATCH(K2084,Antoine_Name,0),3)/(K2090+459.6))))),0)</f>
        <v>0</v>
      </c>
      <c r="L2095" cm="1">
        <f t="array" ref="L2095">IFERROR(IF(L2085="Chemical",(10^(INDEX(Antoines,MATCH(L2084,Antoine_Name,0),2)-INDEX(Antoines,MATCH(L2084,Antoine_Name,0),3)/(INDEX(Antoines,MATCH(L2084,Antoine_Name,0),4)+(L2090-32)*5/9)))*14.7/760,IF(L2085="Crude Oil",EXP((2799/(L2090+459.6)-2.227)*LOG10(INDEX(FX_Input,Y$5,L$3*$Z$5+$AA$5))-(7261/(L2090+459.6))+12.82),IF(L2085="Refined Petroleum Stock",EXP((0.7553-(413/(L2090+459.6)))*(INDEX(FX_Input,Y$5,L$3*$Z$5+$AA$5-1)^0.5)*LOG10(INDEX(FX_Input,Y$5,L$3*$Z$5+$AA$5))-(1.854-(1042/(L2090+459.6)))*(INDEX(FX_Input,Y$5,L$3*$Z$5+$AA$5-1)^0.5)+((2416/(L2090+459.6)-2.013)*LOG10(INDEX(FX_Input,Y$5,L$3*$Z$5+$AA$5)))-(8742/(L2090+459.6))+15.64),EXP(INDEX(Antoines,MATCH(L2084,Antoine_Name,0),2)-INDEX(Antoines,MATCH(L2084,Antoine_Name,0),3)/(L2090+459.6))))),0)</f>
        <v>0</v>
      </c>
      <c r="M2095" cm="1">
        <f t="array" ref="M2095">IFERROR(IF(M2085="Chemical",(10^(INDEX(Antoines,MATCH(M2084,Antoine_Name,0),2)-INDEX(Antoines,MATCH(M2084,Antoine_Name,0),3)/(INDEX(Antoines,MATCH(M2084,Antoine_Name,0),4)+(M2090-32)*5/9)))*14.7/760,IF(M2085="Crude Oil",EXP((2799/(M2090+459.6)-2.227)*LOG10(INDEX(FX_Input,Z$5,M$3*$Z$5+$AA$5))-(7261/(M2090+459.6))+12.82),IF(M2085="Refined Petroleum Stock",EXP((0.7553-(413/(M2090+459.6)))*(INDEX(FX_Input,Z$5,M$3*$Z$5+$AA$5-1)^0.5)*LOG10(INDEX(FX_Input,Z$5,M$3*$Z$5+$AA$5))-(1.854-(1042/(M2090+459.6)))*(INDEX(FX_Input,Z$5,M$3*$Z$5+$AA$5-1)^0.5)+((2416/(M2090+459.6)-2.013)*LOG10(INDEX(FX_Input,Z$5,M$3*$Z$5+$AA$5)))-(8742/(M2090+459.6))+15.64),EXP(INDEX(Antoines,MATCH(M2084,Antoine_Name,0),2)-INDEX(Antoines,MATCH(M2084,Antoine_Name,0),3)/(M2090+459.6))))),0)</f>
        <v>0</v>
      </c>
      <c r="N2095" cm="1">
        <f t="array" ref="N2095">IFERROR(IF(N2085="Chemical",(10^(INDEX(Antoines,MATCH(N2084,Antoine_Name,0),2)-INDEX(Antoines,MATCH(N2084,Antoine_Name,0),3)/(INDEX(Antoines,MATCH(N2084,Antoine_Name,0),4)+(N2090-32)*5/9)))*14.7/760,IF(N2085="Crude Oil",EXP((2799/(N2090+459.6)-2.227)*LOG10(INDEX(FX_Input,AA$5,N$3*$Z$5+$AA$5))-(7261/(N2090+459.6))+12.82),IF(N2085="Refined Petroleum Stock",EXP((0.7553-(413/(N2090+459.6)))*(INDEX(FX_Input,AA$5,N$3*$Z$5+$AA$5-1)^0.5)*LOG10(INDEX(FX_Input,AA$5,N$3*$Z$5+$AA$5))-(1.854-(1042/(N2090+459.6)))*(INDEX(FX_Input,AA$5,N$3*$Z$5+$AA$5-1)^0.5)+((2416/(N2090+459.6)-2.013)*LOG10(INDEX(FX_Input,AA$5,N$3*$Z$5+$AA$5)))-(8742/(N2090+459.6))+15.64),EXP(INDEX(Antoines,MATCH(N2084,Antoine_Name,0),2)-INDEX(Antoines,MATCH(N2084,Antoine_Name,0),3)/(N2090+459.6))))),0)</f>
        <v>0</v>
      </c>
      <c r="O2095" cm="1">
        <f t="array" ref="O2095">IFERROR(IF(O2085="Chemical",(10^(INDEX(Antoines,MATCH(O2084,Antoine_Name,0),2)-INDEX(Antoines,MATCH(O2084,Antoine_Name,0),3)/(INDEX(Antoines,MATCH(O2084,Antoine_Name,0),4)+(O2090-32)*5/9)))*14.7/760,IF(O2085="Crude Oil",EXP((2799/(O2090+459.6)-2.227)*LOG10(INDEX(FX_Input,AB$5,O$3*$Z$5+$AA$5))-(7261/(O2090+459.6))+12.82),IF(O2085="Refined Petroleum Stock",EXP((0.7553-(413/(O2090+459.6)))*(INDEX(FX_Input,AB$5,O$3*$Z$5+$AA$5-1)^0.5)*LOG10(INDEX(FX_Input,AB$5,O$3*$Z$5+$AA$5))-(1.854-(1042/(O2090+459.6)))*(INDEX(FX_Input,AB$5,O$3*$Z$5+$AA$5-1)^0.5)+((2416/(O2090+459.6)-2.013)*LOG10(INDEX(FX_Input,AB$5,O$3*$Z$5+$AA$5)))-(8742/(O2090+459.6))+15.64),EXP(INDEX(Antoines,MATCH(O2084,Antoine_Name,0),2)-INDEX(Antoines,MATCH(O2084,Antoine_Name,0),3)/(O2090+459.6))))),0)</f>
        <v>0</v>
      </c>
    </row>
    <row r="2096" spans="2:32" ht="17.149999999999999" x14ac:dyDescent="0.55000000000000004">
      <c r="B2096" t="str">
        <f t="shared" si="7150"/>
        <v>Portland</v>
      </c>
      <c r="C2096" t="s">
        <v>577</v>
      </c>
      <c r="D2096">
        <f>D2095*D2088</f>
        <v>0</v>
      </c>
      <c r="E2096">
        <f t="shared" ref="E2096:O2096" si="7152">E2095*E2088</f>
        <v>0</v>
      </c>
      <c r="F2096">
        <f t="shared" si="7152"/>
        <v>0</v>
      </c>
      <c r="G2096">
        <f t="shared" si="7152"/>
        <v>0</v>
      </c>
      <c r="H2096">
        <f t="shared" si="7152"/>
        <v>0</v>
      </c>
      <c r="I2096">
        <f t="shared" si="7152"/>
        <v>0</v>
      </c>
      <c r="J2096">
        <f t="shared" si="7152"/>
        <v>0</v>
      </c>
      <c r="K2096">
        <f t="shared" si="7152"/>
        <v>0</v>
      </c>
      <c r="L2096">
        <f t="shared" si="7152"/>
        <v>0</v>
      </c>
      <c r="M2096">
        <f t="shared" si="7152"/>
        <v>0</v>
      </c>
      <c r="N2096">
        <f t="shared" si="7152"/>
        <v>0</v>
      </c>
      <c r="O2096">
        <f t="shared" si="7152"/>
        <v>0</v>
      </c>
    </row>
    <row r="2097" spans="1:32" ht="17.149999999999999" x14ac:dyDescent="0.55000000000000004">
      <c r="B2097" t="str">
        <f t="shared" si="7150"/>
        <v>Portland</v>
      </c>
      <c r="C2097" t="s">
        <v>578</v>
      </c>
      <c r="D2097">
        <f>D2096+D2094</f>
        <v>4.739577185808354E-3</v>
      </c>
      <c r="E2097">
        <f t="shared" ref="E2097:O2097" si="7153">E2096+E2094</f>
        <v>4.8748667780818778E-3</v>
      </c>
      <c r="F2097">
        <f t="shared" si="7153"/>
        <v>5.119885034186122E-3</v>
      </c>
      <c r="G2097">
        <f t="shared" si="7153"/>
        <v>5.5846958573521795E-3</v>
      </c>
      <c r="H2097">
        <f t="shared" si="7153"/>
        <v>6.5274070972739821E-3</v>
      </c>
      <c r="I2097">
        <f t="shared" si="7153"/>
        <v>7.4199539958878279E-3</v>
      </c>
      <c r="J2097">
        <f t="shared" si="7153"/>
        <v>8.3358107202842254E-3</v>
      </c>
      <c r="K2097">
        <f t="shared" si="7153"/>
        <v>8.4605262729351115E-3</v>
      </c>
      <c r="L2097">
        <f t="shared" si="7153"/>
        <v>7.8399882233967533E-3</v>
      </c>
      <c r="M2097">
        <f t="shared" si="7153"/>
        <v>6.4173462075160911E-3</v>
      </c>
      <c r="N2097">
        <f t="shared" si="7153"/>
        <v>5.3015226887581056E-3</v>
      </c>
      <c r="O2097">
        <f t="shared" si="7153"/>
        <v>4.68970903600947E-3</v>
      </c>
    </row>
    <row r="2098" spans="1:32" ht="17.149999999999999" x14ac:dyDescent="0.55000000000000004">
      <c r="B2098" t="str">
        <f t="shared" si="7150"/>
        <v>Portland</v>
      </c>
      <c r="C2098" t="s">
        <v>579</v>
      </c>
      <c r="D2098" cm="1">
        <f t="array" ref="D2098">IFERROR(IF(D2083="Chemical",(10^(INDEX(Antoines,MATCH(D2082,Antoine_Name,0),2)-INDEX(Antoines,MATCH(D2082,Antoine_Name,0),3)/(INDEX(Antoines,MATCH(D2082,Antoine_Name,0),4)+(D2091-32)*5/9)))*14.7/760,IF(D2083="Crude Oil",EXP((2799/(D2091+459.6)-2.227)*LOG10(INDEX(FX_Input,Q$5,D$3*$Z$5+$AA$5))-(7261/(D2091+459.6))+12.82),IF(D2083="Refined Petroleum Stock",EXP((0.7553-(413/(D2091+459.6)))*(INDEX(FX_Input,Q$5,D$3*$Z$5+$AA$5-1)^0.5)*LOG10(INDEX(FX_Input,Q$5,D$3*$Z$5+$AA$5))-(1.854-(1042/(D2091+459.6)))*(INDEX(FX_Input,Q$5,D$3*$Z$5+$AA$5-1)^0.5)+((2416/(D2091+459.6)-2.013)*LOG10(INDEX(FX_Input,Q$5,D$3*$Z$5+$AA$5)))-(8742/(D2091+459.6))+15.64),EXP(INDEX(Antoines,MATCH(D2082,Antoine_Name,0),2)-INDEX(Antoines,MATCH(D2082,Antoine_Name,0),3)/(D2091+459.6))))),0)</f>
        <v>4.739577185808354E-3</v>
      </c>
      <c r="E2098" cm="1">
        <f t="array" ref="E2098">IFERROR(IF(E2083="Chemical",(10^(INDEX(Antoines,MATCH(E2082,Antoine_Name,0),2)-INDEX(Antoines,MATCH(E2082,Antoine_Name,0),3)/(INDEX(Antoines,MATCH(E2082,Antoine_Name,0),4)+(E2091-32)*5/9)))*14.7/760,IF(E2083="Crude Oil",EXP((2799/(E2091+459.6)-2.227)*LOG10(INDEX(FX_Input,R$5,E$3*$Z$5+$AA$5))-(7261/(E2091+459.6))+12.82),IF(E2083="Refined Petroleum Stock",EXP((0.7553-(413/(E2091+459.6)))*(INDEX(FX_Input,R$5,E$3*$Z$5+$AA$5-1)^0.5)*LOG10(INDEX(FX_Input,R$5,E$3*$Z$5+$AA$5))-(1.854-(1042/(E2091+459.6)))*(INDEX(FX_Input,R$5,E$3*$Z$5+$AA$5-1)^0.5)+((2416/(E2091+459.6)-2.013)*LOG10(INDEX(FX_Input,R$5,E$3*$Z$5+$AA$5)))-(8742/(E2091+459.6))+15.64),EXP(INDEX(Antoines,MATCH(E2082,Antoine_Name,0),2)-INDEX(Antoines,MATCH(E2082,Antoine_Name,0),3)/(E2091+459.6))))),0)</f>
        <v>4.8748667780818778E-3</v>
      </c>
      <c r="F2098" cm="1">
        <f t="array" ref="F2098">IFERROR(IF(F2083="Chemical",(10^(INDEX(Antoines,MATCH(F2082,Antoine_Name,0),2)-INDEX(Antoines,MATCH(F2082,Antoine_Name,0),3)/(INDEX(Antoines,MATCH(F2082,Antoine_Name,0),4)+(F2091-32)*5/9)))*14.7/760,IF(F2083="Crude Oil",EXP((2799/(F2091+459.6)-2.227)*LOG10(INDEX(FX_Input,S$5,F$3*$Z$5+$AA$5))-(7261/(F2091+459.6))+12.82),IF(F2083="Refined Petroleum Stock",EXP((0.7553-(413/(F2091+459.6)))*(INDEX(FX_Input,S$5,F$3*$Z$5+$AA$5-1)^0.5)*LOG10(INDEX(FX_Input,S$5,F$3*$Z$5+$AA$5))-(1.854-(1042/(F2091+459.6)))*(INDEX(FX_Input,S$5,F$3*$Z$5+$AA$5-1)^0.5)+((2416/(F2091+459.6)-2.013)*LOG10(INDEX(FX_Input,S$5,F$3*$Z$5+$AA$5)))-(8742/(F2091+459.6))+15.64),EXP(INDEX(Antoines,MATCH(F2082,Antoine_Name,0),2)-INDEX(Antoines,MATCH(F2082,Antoine_Name,0),3)/(F2091+459.6))))),0)</f>
        <v>5.119885034186122E-3</v>
      </c>
      <c r="G2098" cm="1">
        <f t="array" ref="G2098">IFERROR(IF(G2083="Chemical",(10^(INDEX(Antoines,MATCH(G2082,Antoine_Name,0),2)-INDEX(Antoines,MATCH(G2082,Antoine_Name,0),3)/(INDEX(Antoines,MATCH(G2082,Antoine_Name,0),4)+(G2091-32)*5/9)))*14.7/760,IF(G2083="Crude Oil",EXP((2799/(G2091+459.6)-2.227)*LOG10(INDEX(FX_Input,T$5,G$3*$Z$5+$AA$5))-(7261/(G2091+459.6))+12.82),IF(G2083="Refined Petroleum Stock",EXP((0.7553-(413/(G2091+459.6)))*(INDEX(FX_Input,T$5,G$3*$Z$5+$AA$5-1)^0.5)*LOG10(INDEX(FX_Input,T$5,G$3*$Z$5+$AA$5))-(1.854-(1042/(G2091+459.6)))*(INDEX(FX_Input,T$5,G$3*$Z$5+$AA$5-1)^0.5)+((2416/(G2091+459.6)-2.013)*LOG10(INDEX(FX_Input,T$5,G$3*$Z$5+$AA$5)))-(8742/(G2091+459.6))+15.64),EXP(INDEX(Antoines,MATCH(G2082,Antoine_Name,0),2)-INDEX(Antoines,MATCH(G2082,Antoine_Name,0),3)/(G2091+459.6))))),0)</f>
        <v>5.5846958573521795E-3</v>
      </c>
      <c r="H2098" cm="1">
        <f t="array" ref="H2098">IFERROR(IF(H2083="Chemical",(10^(INDEX(Antoines,MATCH(H2082,Antoine_Name,0),2)-INDEX(Antoines,MATCH(H2082,Antoine_Name,0),3)/(INDEX(Antoines,MATCH(H2082,Antoine_Name,0),4)+(H2091-32)*5/9)))*14.7/760,IF(H2083="Crude Oil",EXP((2799/(H2091+459.6)-2.227)*LOG10(INDEX(FX_Input,U$5,H$3*$Z$5+$AA$5))-(7261/(H2091+459.6))+12.82),IF(H2083="Refined Petroleum Stock",EXP((0.7553-(413/(H2091+459.6)))*(INDEX(FX_Input,U$5,H$3*$Z$5+$AA$5-1)^0.5)*LOG10(INDEX(FX_Input,U$5,H$3*$Z$5+$AA$5))-(1.854-(1042/(H2091+459.6)))*(INDEX(FX_Input,U$5,H$3*$Z$5+$AA$5-1)^0.5)+((2416/(H2091+459.6)-2.013)*LOG10(INDEX(FX_Input,U$5,H$3*$Z$5+$AA$5)))-(8742/(H2091+459.6))+15.64),EXP(INDEX(Antoines,MATCH(H2082,Antoine_Name,0),2)-INDEX(Antoines,MATCH(H2082,Antoine_Name,0),3)/(H2091+459.6))))),0)</f>
        <v>6.5274070972739821E-3</v>
      </c>
      <c r="I2098" cm="1">
        <f t="array" ref="I2098">IFERROR(IF(I2083="Chemical",(10^(INDEX(Antoines,MATCH(I2082,Antoine_Name,0),2)-INDEX(Antoines,MATCH(I2082,Antoine_Name,0),3)/(INDEX(Antoines,MATCH(I2082,Antoine_Name,0),4)+(I2091-32)*5/9)))*14.7/760,IF(I2083="Crude Oil",EXP((2799/(I2091+459.6)-2.227)*LOG10(INDEX(FX_Input,V$5,I$3*$Z$5+$AA$5))-(7261/(I2091+459.6))+12.82),IF(I2083="Refined Petroleum Stock",EXP((0.7553-(413/(I2091+459.6)))*(INDEX(FX_Input,V$5,I$3*$Z$5+$AA$5-1)^0.5)*LOG10(INDEX(FX_Input,V$5,I$3*$Z$5+$AA$5))-(1.854-(1042/(I2091+459.6)))*(INDEX(FX_Input,V$5,I$3*$Z$5+$AA$5-1)^0.5)+((2416/(I2091+459.6)-2.013)*LOG10(INDEX(FX_Input,V$5,I$3*$Z$5+$AA$5)))-(8742/(I2091+459.6))+15.64),EXP(INDEX(Antoines,MATCH(I2082,Antoine_Name,0),2)-INDEX(Antoines,MATCH(I2082,Antoine_Name,0),3)/(I2091+459.6))))),0)</f>
        <v>7.4199539958878279E-3</v>
      </c>
      <c r="J2098" cm="1">
        <f t="array" ref="J2098">IFERROR(IF(J2083="Chemical",(10^(INDEX(Antoines,MATCH(J2082,Antoine_Name,0),2)-INDEX(Antoines,MATCH(J2082,Antoine_Name,0),3)/(INDEX(Antoines,MATCH(J2082,Antoine_Name,0),4)+(J2091-32)*5/9)))*14.7/760,IF(J2083="Crude Oil",EXP((2799/(J2091+459.6)-2.227)*LOG10(INDEX(FX_Input,W$5,J$3*$Z$5+$AA$5))-(7261/(J2091+459.6))+12.82),IF(J2083="Refined Petroleum Stock",EXP((0.7553-(413/(J2091+459.6)))*(INDEX(FX_Input,W$5,J$3*$Z$5+$AA$5-1)^0.5)*LOG10(INDEX(FX_Input,W$5,J$3*$Z$5+$AA$5))-(1.854-(1042/(J2091+459.6)))*(INDEX(FX_Input,W$5,J$3*$Z$5+$AA$5-1)^0.5)+((2416/(J2091+459.6)-2.013)*LOG10(INDEX(FX_Input,W$5,J$3*$Z$5+$AA$5)))-(8742/(J2091+459.6))+15.64),EXP(INDEX(Antoines,MATCH(J2082,Antoine_Name,0),2)-INDEX(Antoines,MATCH(J2082,Antoine_Name,0),3)/(J2091+459.6))))),0)</f>
        <v>8.3358107202842254E-3</v>
      </c>
      <c r="K2098" cm="1">
        <f t="array" ref="K2098">IFERROR(IF(K2083="Chemical",(10^(INDEX(Antoines,MATCH(K2082,Antoine_Name,0),2)-INDEX(Antoines,MATCH(K2082,Antoine_Name,0),3)/(INDEX(Antoines,MATCH(K2082,Antoine_Name,0),4)+(K2091-32)*5/9)))*14.7/760,IF(K2083="Crude Oil",EXP((2799/(K2091+459.6)-2.227)*LOG10(INDEX(FX_Input,X$5,K$3*$Z$5+$AA$5))-(7261/(K2091+459.6))+12.82),IF(K2083="Refined Petroleum Stock",EXP((0.7553-(413/(K2091+459.6)))*(INDEX(FX_Input,X$5,K$3*$Z$5+$AA$5-1)^0.5)*LOG10(INDEX(FX_Input,X$5,K$3*$Z$5+$AA$5))-(1.854-(1042/(K2091+459.6)))*(INDEX(FX_Input,X$5,K$3*$Z$5+$AA$5-1)^0.5)+((2416/(K2091+459.6)-2.013)*LOG10(INDEX(FX_Input,X$5,K$3*$Z$5+$AA$5)))-(8742/(K2091+459.6))+15.64),EXP(INDEX(Antoines,MATCH(K2082,Antoine_Name,0),2)-INDEX(Antoines,MATCH(K2082,Antoine_Name,0),3)/(K2091+459.6))))),0)</f>
        <v>8.4605262729351115E-3</v>
      </c>
      <c r="L2098" cm="1">
        <f t="array" ref="L2098">IFERROR(IF(L2083="Chemical",(10^(INDEX(Antoines,MATCH(L2082,Antoine_Name,0),2)-INDEX(Antoines,MATCH(L2082,Antoine_Name,0),3)/(INDEX(Antoines,MATCH(L2082,Antoine_Name,0),4)+(L2091-32)*5/9)))*14.7/760,IF(L2083="Crude Oil",EXP((2799/(L2091+459.6)-2.227)*LOG10(INDEX(FX_Input,Y$5,L$3*$Z$5+$AA$5))-(7261/(L2091+459.6))+12.82),IF(L2083="Refined Petroleum Stock",EXP((0.7553-(413/(L2091+459.6)))*(INDEX(FX_Input,Y$5,L$3*$Z$5+$AA$5-1)^0.5)*LOG10(INDEX(FX_Input,Y$5,L$3*$Z$5+$AA$5))-(1.854-(1042/(L2091+459.6)))*(INDEX(FX_Input,Y$5,L$3*$Z$5+$AA$5-1)^0.5)+((2416/(L2091+459.6)-2.013)*LOG10(INDEX(FX_Input,Y$5,L$3*$Z$5+$AA$5)))-(8742/(L2091+459.6))+15.64),EXP(INDEX(Antoines,MATCH(L2082,Antoine_Name,0),2)-INDEX(Antoines,MATCH(L2082,Antoine_Name,0),3)/(L2091+459.6))))),0)</f>
        <v>7.8399882233967533E-3</v>
      </c>
      <c r="M2098" cm="1">
        <f t="array" ref="M2098">IFERROR(IF(M2083="Chemical",(10^(INDEX(Antoines,MATCH(M2082,Antoine_Name,0),2)-INDEX(Antoines,MATCH(M2082,Antoine_Name,0),3)/(INDEX(Antoines,MATCH(M2082,Antoine_Name,0),4)+(M2091-32)*5/9)))*14.7/760,IF(M2083="Crude Oil",EXP((2799/(M2091+459.6)-2.227)*LOG10(INDEX(FX_Input,Z$5,M$3*$Z$5+$AA$5))-(7261/(M2091+459.6))+12.82),IF(M2083="Refined Petroleum Stock",EXP((0.7553-(413/(M2091+459.6)))*(INDEX(FX_Input,Z$5,M$3*$Z$5+$AA$5-1)^0.5)*LOG10(INDEX(FX_Input,Z$5,M$3*$Z$5+$AA$5))-(1.854-(1042/(M2091+459.6)))*(INDEX(FX_Input,Z$5,M$3*$Z$5+$AA$5-1)^0.5)+((2416/(M2091+459.6)-2.013)*LOG10(INDEX(FX_Input,Z$5,M$3*$Z$5+$AA$5)))-(8742/(M2091+459.6))+15.64),EXP(INDEX(Antoines,MATCH(M2082,Antoine_Name,0),2)-INDEX(Antoines,MATCH(M2082,Antoine_Name,0),3)/(M2091+459.6))))),0)</f>
        <v>6.4173462075160911E-3</v>
      </c>
      <c r="N2098" cm="1">
        <f t="array" ref="N2098">IFERROR(IF(N2083="Chemical",(10^(INDEX(Antoines,MATCH(N2082,Antoine_Name,0),2)-INDEX(Antoines,MATCH(N2082,Antoine_Name,0),3)/(INDEX(Antoines,MATCH(N2082,Antoine_Name,0),4)+(N2091-32)*5/9)))*14.7/760,IF(N2083="Crude Oil",EXP((2799/(N2091+459.6)-2.227)*LOG10(INDEX(FX_Input,AA$5,N$3*$Z$5+$AA$5))-(7261/(N2091+459.6))+12.82),IF(N2083="Refined Petroleum Stock",EXP((0.7553-(413/(N2091+459.6)))*(INDEX(FX_Input,AA$5,N$3*$Z$5+$AA$5-1)^0.5)*LOG10(INDEX(FX_Input,AA$5,N$3*$Z$5+$AA$5))-(1.854-(1042/(N2091+459.6)))*(INDEX(FX_Input,AA$5,N$3*$Z$5+$AA$5-1)^0.5)+((2416/(N2091+459.6)-2.013)*LOG10(INDEX(FX_Input,AA$5,N$3*$Z$5+$AA$5)))-(8742/(N2091+459.6))+15.64),EXP(INDEX(Antoines,MATCH(N2082,Antoine_Name,0),2)-INDEX(Antoines,MATCH(N2082,Antoine_Name,0),3)/(N2091+459.6))))),0)</f>
        <v>5.3015226887581056E-3</v>
      </c>
      <c r="O2098" cm="1">
        <f t="array" ref="O2098">IFERROR(IF(O2083="Chemical",(10^(INDEX(Antoines,MATCH(O2082,Antoine_Name,0),2)-INDEX(Antoines,MATCH(O2082,Antoine_Name,0),3)/(INDEX(Antoines,MATCH(O2082,Antoine_Name,0),4)+(O2091-32)*5/9)))*14.7/760,IF(O2083="Crude Oil",EXP((2799/(O2091+459.6)-2.227)*LOG10(INDEX(FX_Input,AB$5,O$3*$Z$5+$AA$5))-(7261/(O2091+459.6))+12.82),IF(O2083="Refined Petroleum Stock",EXP((0.7553-(413/(O2091+459.6)))*(INDEX(FX_Input,AB$5,O$3*$Z$5+$AA$5-1)^0.5)*LOG10(INDEX(FX_Input,AB$5,O$3*$Z$5+$AA$5))-(1.854-(1042/(O2091+459.6)))*(INDEX(FX_Input,AB$5,O$3*$Z$5+$AA$5-1)^0.5)+((2416/(O2091+459.6)-2.013)*LOG10(INDEX(FX_Input,AB$5,O$3*$Z$5+$AA$5)))-(8742/(O2091+459.6))+15.64),EXP(INDEX(Antoines,MATCH(O2082,Antoine_Name,0),2)-INDEX(Antoines,MATCH(O2082,Antoine_Name,0),3)/(O2091+459.6))))),0)</f>
        <v>4.68970903600947E-3</v>
      </c>
    </row>
    <row r="2099" spans="1:32" ht="17.149999999999999" x14ac:dyDescent="0.55000000000000004">
      <c r="B2099" t="str">
        <f t="shared" si="7150"/>
        <v>Portland</v>
      </c>
      <c r="C2099" t="s">
        <v>580</v>
      </c>
      <c r="D2099">
        <f>D2098*D2086</f>
        <v>4.739577185808354E-3</v>
      </c>
      <c r="E2099">
        <f t="shared" ref="E2099:O2099" si="7154">E2098*E2086</f>
        <v>4.8748667780818778E-3</v>
      </c>
      <c r="F2099">
        <f t="shared" si="7154"/>
        <v>5.119885034186122E-3</v>
      </c>
      <c r="G2099">
        <f t="shared" si="7154"/>
        <v>5.5846958573521795E-3</v>
      </c>
      <c r="H2099">
        <f t="shared" si="7154"/>
        <v>6.5274070972739821E-3</v>
      </c>
      <c r="I2099">
        <f t="shared" si="7154"/>
        <v>7.4199539958878279E-3</v>
      </c>
      <c r="J2099">
        <f t="shared" si="7154"/>
        <v>8.3358107202842254E-3</v>
      </c>
      <c r="K2099">
        <f t="shared" si="7154"/>
        <v>8.4605262729351115E-3</v>
      </c>
      <c r="L2099">
        <f t="shared" si="7154"/>
        <v>7.8399882233967533E-3</v>
      </c>
      <c r="M2099">
        <f t="shared" si="7154"/>
        <v>6.4173462075160911E-3</v>
      </c>
      <c r="N2099">
        <f t="shared" si="7154"/>
        <v>5.3015226887581056E-3</v>
      </c>
      <c r="O2099">
        <f t="shared" si="7154"/>
        <v>4.68970903600947E-3</v>
      </c>
    </row>
    <row r="2100" spans="1:32" ht="17.149999999999999" x14ac:dyDescent="0.55000000000000004">
      <c r="B2100" t="str">
        <f t="shared" si="7150"/>
        <v>Portland</v>
      </c>
      <c r="C2100" t="s">
        <v>581</v>
      </c>
      <c r="D2100" cm="1">
        <f t="array" ref="D2100">IFERROR(IF(D2085="Chemical",(10^(INDEX(Antoines,MATCH(D2084,Antoine_Name,0),2)-INDEX(Antoines,MATCH(D2084,Antoine_Name,0),3)/(INDEX(Antoines,MATCH(D2084,Antoine_Name,0),4)+(D2091-32)*5/9)))*14.7/760,IF(D2085="Crude Oil",EXP((2799/(D2091+459.6)-2.227)*LOG10(INDEX(FX_Input,Q$5,D$3*$Z$5+$AA$5))-(7261/(D2091+459.6))+12.82),IF(D2085="Refined Petroleum Stock",EXP((0.7553-(413/(D2091+459.6)))*(INDEX(FX_Input,Q$5,D$3*$Z$5+$AA$5-1)^0.5)*LOG10(INDEX(FX_Input,Q$5,D$3*$Z$5+$AA$5))-(1.854-(1042/(D2091+459.6)))*(INDEX(FX_Input,Q$5,D$3*$Z$5+$AA$5-1)^0.5)+((2416/(D2091+459.6)-2.013)*LOG10(INDEX(FX_Input,Q$5,D$3*$Z$5+$AA$5)))-(8742/(D2091+459.6))+15.64),EXP(INDEX(Antoines,MATCH(D2084,Antoine_Name,0),2)-INDEX(Antoines,MATCH(D2084,Antoine_Name,0),3)/(D2091+459.6))))),0)</f>
        <v>0</v>
      </c>
      <c r="E2100" cm="1">
        <f t="array" ref="E2100">IFERROR(IF(E2085="Chemical",(10^(INDEX(Antoines,MATCH(E2084,Antoine_Name,0),2)-INDEX(Antoines,MATCH(E2084,Antoine_Name,0),3)/(INDEX(Antoines,MATCH(E2084,Antoine_Name,0),4)+(E2091-32)*5/9)))*14.7/760,IF(E2085="Crude Oil",EXP((2799/(E2091+459.6)-2.227)*LOG10(INDEX(FX_Input,R$5,E$3*$Z$5+$AA$5))-(7261/(E2091+459.6))+12.82),IF(E2085="Refined Petroleum Stock",EXP((0.7553-(413/(E2091+459.6)))*(INDEX(FX_Input,R$5,E$3*$Z$5+$AA$5-1)^0.5)*LOG10(INDEX(FX_Input,R$5,E$3*$Z$5+$AA$5))-(1.854-(1042/(E2091+459.6)))*(INDEX(FX_Input,R$5,E$3*$Z$5+$AA$5-1)^0.5)+((2416/(E2091+459.6)-2.013)*LOG10(INDEX(FX_Input,R$5,E$3*$Z$5+$AA$5)))-(8742/(E2091+459.6))+15.64),EXP(INDEX(Antoines,MATCH(E2084,Antoine_Name,0),2)-INDEX(Antoines,MATCH(E2084,Antoine_Name,0),3)/(E2091+459.6))))),0)</f>
        <v>0</v>
      </c>
      <c r="F2100" cm="1">
        <f t="array" ref="F2100">IFERROR(IF(F2085="Chemical",(10^(INDEX(Antoines,MATCH(F2084,Antoine_Name,0),2)-INDEX(Antoines,MATCH(F2084,Antoine_Name,0),3)/(INDEX(Antoines,MATCH(F2084,Antoine_Name,0),4)+(F2091-32)*5/9)))*14.7/760,IF(F2085="Crude Oil",EXP((2799/(F2091+459.6)-2.227)*LOG10(INDEX(FX_Input,S$5,F$3*$Z$5+$AA$5))-(7261/(F2091+459.6))+12.82),IF(F2085="Refined Petroleum Stock",EXP((0.7553-(413/(F2091+459.6)))*(INDEX(FX_Input,S$5,F$3*$Z$5+$AA$5-1)^0.5)*LOG10(INDEX(FX_Input,S$5,F$3*$Z$5+$AA$5))-(1.854-(1042/(F2091+459.6)))*(INDEX(FX_Input,S$5,F$3*$Z$5+$AA$5-1)^0.5)+((2416/(F2091+459.6)-2.013)*LOG10(INDEX(FX_Input,S$5,F$3*$Z$5+$AA$5)))-(8742/(F2091+459.6))+15.64),EXP(INDEX(Antoines,MATCH(F2084,Antoine_Name,0),2)-INDEX(Antoines,MATCH(F2084,Antoine_Name,0),3)/(F2091+459.6))))),0)</f>
        <v>0</v>
      </c>
      <c r="G2100" cm="1">
        <f t="array" ref="G2100">IFERROR(IF(G2085="Chemical",(10^(INDEX(Antoines,MATCH(G2084,Antoine_Name,0),2)-INDEX(Antoines,MATCH(G2084,Antoine_Name,0),3)/(INDEX(Antoines,MATCH(G2084,Antoine_Name,0),4)+(G2091-32)*5/9)))*14.7/760,IF(G2085="Crude Oil",EXP((2799/(G2091+459.6)-2.227)*LOG10(INDEX(FX_Input,T$5,G$3*$Z$5+$AA$5))-(7261/(G2091+459.6))+12.82),IF(G2085="Refined Petroleum Stock",EXP((0.7553-(413/(G2091+459.6)))*(INDEX(FX_Input,T$5,G$3*$Z$5+$AA$5-1)^0.5)*LOG10(INDEX(FX_Input,T$5,G$3*$Z$5+$AA$5))-(1.854-(1042/(G2091+459.6)))*(INDEX(FX_Input,T$5,G$3*$Z$5+$AA$5-1)^0.5)+((2416/(G2091+459.6)-2.013)*LOG10(INDEX(FX_Input,T$5,G$3*$Z$5+$AA$5)))-(8742/(G2091+459.6))+15.64),EXP(INDEX(Antoines,MATCH(G2084,Antoine_Name,0),2)-INDEX(Antoines,MATCH(G2084,Antoine_Name,0),3)/(G2091+459.6))))),0)</f>
        <v>0</v>
      </c>
      <c r="H2100" cm="1">
        <f t="array" ref="H2100">IFERROR(IF(H2085="Chemical",(10^(INDEX(Antoines,MATCH(H2084,Antoine_Name,0),2)-INDEX(Antoines,MATCH(H2084,Antoine_Name,0),3)/(INDEX(Antoines,MATCH(H2084,Antoine_Name,0),4)+(H2091-32)*5/9)))*14.7/760,IF(H2085="Crude Oil",EXP((2799/(H2091+459.6)-2.227)*LOG10(INDEX(FX_Input,U$5,H$3*$Z$5+$AA$5))-(7261/(H2091+459.6))+12.82),IF(H2085="Refined Petroleum Stock",EXP((0.7553-(413/(H2091+459.6)))*(INDEX(FX_Input,U$5,H$3*$Z$5+$AA$5-1)^0.5)*LOG10(INDEX(FX_Input,U$5,H$3*$Z$5+$AA$5))-(1.854-(1042/(H2091+459.6)))*(INDEX(FX_Input,U$5,H$3*$Z$5+$AA$5-1)^0.5)+((2416/(H2091+459.6)-2.013)*LOG10(INDEX(FX_Input,U$5,H$3*$Z$5+$AA$5)))-(8742/(H2091+459.6))+15.64),EXP(INDEX(Antoines,MATCH(H2084,Antoine_Name,0),2)-INDEX(Antoines,MATCH(H2084,Antoine_Name,0),3)/(H2091+459.6))))),0)</f>
        <v>0</v>
      </c>
      <c r="I2100" cm="1">
        <f t="array" ref="I2100">IFERROR(IF(I2085="Chemical",(10^(INDEX(Antoines,MATCH(I2084,Antoine_Name,0),2)-INDEX(Antoines,MATCH(I2084,Antoine_Name,0),3)/(INDEX(Antoines,MATCH(I2084,Antoine_Name,0),4)+(I2091-32)*5/9)))*14.7/760,IF(I2085="Crude Oil",EXP((2799/(I2091+459.6)-2.227)*LOG10(INDEX(FX_Input,V$5,I$3*$Z$5+$AA$5))-(7261/(I2091+459.6))+12.82),IF(I2085="Refined Petroleum Stock",EXP((0.7553-(413/(I2091+459.6)))*(INDEX(FX_Input,V$5,I$3*$Z$5+$AA$5-1)^0.5)*LOG10(INDEX(FX_Input,V$5,I$3*$Z$5+$AA$5))-(1.854-(1042/(I2091+459.6)))*(INDEX(FX_Input,V$5,I$3*$Z$5+$AA$5-1)^0.5)+((2416/(I2091+459.6)-2.013)*LOG10(INDEX(FX_Input,V$5,I$3*$Z$5+$AA$5)))-(8742/(I2091+459.6))+15.64),EXP(INDEX(Antoines,MATCH(I2084,Antoine_Name,0),2)-INDEX(Antoines,MATCH(I2084,Antoine_Name,0),3)/(I2091+459.6))))),0)</f>
        <v>0</v>
      </c>
      <c r="J2100" cm="1">
        <f t="array" ref="J2100">IFERROR(IF(J2085="Chemical",(10^(INDEX(Antoines,MATCH(J2084,Antoine_Name,0),2)-INDEX(Antoines,MATCH(J2084,Antoine_Name,0),3)/(INDEX(Antoines,MATCH(J2084,Antoine_Name,0),4)+(J2091-32)*5/9)))*14.7/760,IF(J2085="Crude Oil",EXP((2799/(J2091+459.6)-2.227)*LOG10(INDEX(FX_Input,W$5,J$3*$Z$5+$AA$5))-(7261/(J2091+459.6))+12.82),IF(J2085="Refined Petroleum Stock",EXP((0.7553-(413/(J2091+459.6)))*(INDEX(FX_Input,W$5,J$3*$Z$5+$AA$5-1)^0.5)*LOG10(INDEX(FX_Input,W$5,J$3*$Z$5+$AA$5))-(1.854-(1042/(J2091+459.6)))*(INDEX(FX_Input,W$5,J$3*$Z$5+$AA$5-1)^0.5)+((2416/(J2091+459.6)-2.013)*LOG10(INDEX(FX_Input,W$5,J$3*$Z$5+$AA$5)))-(8742/(J2091+459.6))+15.64),EXP(INDEX(Antoines,MATCH(J2084,Antoine_Name,0),2)-INDEX(Antoines,MATCH(J2084,Antoine_Name,0),3)/(J2091+459.6))))),0)</f>
        <v>0</v>
      </c>
      <c r="K2100" cm="1">
        <f t="array" ref="K2100">IFERROR(IF(K2085="Chemical",(10^(INDEX(Antoines,MATCH(K2084,Antoine_Name,0),2)-INDEX(Antoines,MATCH(K2084,Antoine_Name,0),3)/(INDEX(Antoines,MATCH(K2084,Antoine_Name,0),4)+(K2091-32)*5/9)))*14.7/760,IF(K2085="Crude Oil",EXP((2799/(K2091+459.6)-2.227)*LOG10(INDEX(FX_Input,X$5,K$3*$Z$5+$AA$5))-(7261/(K2091+459.6))+12.82),IF(K2085="Refined Petroleum Stock",EXP((0.7553-(413/(K2091+459.6)))*(INDEX(FX_Input,X$5,K$3*$Z$5+$AA$5-1)^0.5)*LOG10(INDEX(FX_Input,X$5,K$3*$Z$5+$AA$5))-(1.854-(1042/(K2091+459.6)))*(INDEX(FX_Input,X$5,K$3*$Z$5+$AA$5-1)^0.5)+((2416/(K2091+459.6)-2.013)*LOG10(INDEX(FX_Input,X$5,K$3*$Z$5+$AA$5)))-(8742/(K2091+459.6))+15.64),EXP(INDEX(Antoines,MATCH(K2084,Antoine_Name,0),2)-INDEX(Antoines,MATCH(K2084,Antoine_Name,0),3)/(K2091+459.6))))),0)</f>
        <v>0</v>
      </c>
      <c r="L2100" cm="1">
        <f t="array" ref="L2100">IFERROR(IF(L2085="Chemical",(10^(INDEX(Antoines,MATCH(L2084,Antoine_Name,0),2)-INDEX(Antoines,MATCH(L2084,Antoine_Name,0),3)/(INDEX(Antoines,MATCH(L2084,Antoine_Name,0),4)+(L2091-32)*5/9)))*14.7/760,IF(L2085="Crude Oil",EXP((2799/(L2091+459.6)-2.227)*LOG10(INDEX(FX_Input,Y$5,L$3*$Z$5+$AA$5))-(7261/(L2091+459.6))+12.82),IF(L2085="Refined Petroleum Stock",EXP((0.7553-(413/(L2091+459.6)))*(INDEX(FX_Input,Y$5,L$3*$Z$5+$AA$5-1)^0.5)*LOG10(INDEX(FX_Input,Y$5,L$3*$Z$5+$AA$5))-(1.854-(1042/(L2091+459.6)))*(INDEX(FX_Input,Y$5,L$3*$Z$5+$AA$5-1)^0.5)+((2416/(L2091+459.6)-2.013)*LOG10(INDEX(FX_Input,Y$5,L$3*$Z$5+$AA$5)))-(8742/(L2091+459.6))+15.64),EXP(INDEX(Antoines,MATCH(L2084,Antoine_Name,0),2)-INDEX(Antoines,MATCH(L2084,Antoine_Name,0),3)/(L2091+459.6))))),0)</f>
        <v>0</v>
      </c>
      <c r="M2100" cm="1">
        <f t="array" ref="M2100">IFERROR(IF(M2085="Chemical",(10^(INDEX(Antoines,MATCH(M2084,Antoine_Name,0),2)-INDEX(Antoines,MATCH(M2084,Antoine_Name,0),3)/(INDEX(Antoines,MATCH(M2084,Antoine_Name,0),4)+(M2091-32)*5/9)))*14.7/760,IF(M2085="Crude Oil",EXP((2799/(M2091+459.6)-2.227)*LOG10(INDEX(FX_Input,Z$5,M$3*$Z$5+$AA$5))-(7261/(M2091+459.6))+12.82),IF(M2085="Refined Petroleum Stock",EXP((0.7553-(413/(M2091+459.6)))*(INDEX(FX_Input,Z$5,M$3*$Z$5+$AA$5-1)^0.5)*LOG10(INDEX(FX_Input,Z$5,M$3*$Z$5+$AA$5))-(1.854-(1042/(M2091+459.6)))*(INDEX(FX_Input,Z$5,M$3*$Z$5+$AA$5-1)^0.5)+((2416/(M2091+459.6)-2.013)*LOG10(INDEX(FX_Input,Z$5,M$3*$Z$5+$AA$5)))-(8742/(M2091+459.6))+15.64),EXP(INDEX(Antoines,MATCH(M2084,Antoine_Name,0),2)-INDEX(Antoines,MATCH(M2084,Antoine_Name,0),3)/(M2091+459.6))))),0)</f>
        <v>0</v>
      </c>
      <c r="N2100" cm="1">
        <f t="array" ref="N2100">IFERROR(IF(N2085="Chemical",(10^(INDEX(Antoines,MATCH(N2084,Antoine_Name,0),2)-INDEX(Antoines,MATCH(N2084,Antoine_Name,0),3)/(INDEX(Antoines,MATCH(N2084,Antoine_Name,0),4)+(N2091-32)*5/9)))*14.7/760,IF(N2085="Crude Oil",EXP((2799/(N2091+459.6)-2.227)*LOG10(INDEX(FX_Input,AA$5,N$3*$Z$5+$AA$5))-(7261/(N2091+459.6))+12.82),IF(N2085="Refined Petroleum Stock",EXP((0.7553-(413/(N2091+459.6)))*(INDEX(FX_Input,AA$5,N$3*$Z$5+$AA$5-1)^0.5)*LOG10(INDEX(FX_Input,AA$5,N$3*$Z$5+$AA$5))-(1.854-(1042/(N2091+459.6)))*(INDEX(FX_Input,AA$5,N$3*$Z$5+$AA$5-1)^0.5)+((2416/(N2091+459.6)-2.013)*LOG10(INDEX(FX_Input,AA$5,N$3*$Z$5+$AA$5)))-(8742/(N2091+459.6))+15.64),EXP(INDEX(Antoines,MATCH(N2084,Antoine_Name,0),2)-INDEX(Antoines,MATCH(N2084,Antoine_Name,0),3)/(N2091+459.6))))),0)</f>
        <v>0</v>
      </c>
      <c r="O2100" cm="1">
        <f t="array" ref="O2100">IFERROR(IF(O2085="Chemical",(10^(INDEX(Antoines,MATCH(O2084,Antoine_Name,0),2)-INDEX(Antoines,MATCH(O2084,Antoine_Name,0),3)/(INDEX(Antoines,MATCH(O2084,Antoine_Name,0),4)+(O2091-32)*5/9)))*14.7/760,IF(O2085="Crude Oil",EXP((2799/(O2091+459.6)-2.227)*LOG10(INDEX(FX_Input,AB$5,O$3*$Z$5+$AA$5))-(7261/(O2091+459.6))+12.82),IF(O2085="Refined Petroleum Stock",EXP((0.7553-(413/(O2091+459.6)))*(INDEX(FX_Input,AB$5,O$3*$Z$5+$AA$5-1)^0.5)*LOG10(INDEX(FX_Input,AB$5,O$3*$Z$5+$AA$5))-(1.854-(1042/(O2091+459.6)))*(INDEX(FX_Input,AB$5,O$3*$Z$5+$AA$5-1)^0.5)+((2416/(O2091+459.6)-2.013)*LOG10(INDEX(FX_Input,AB$5,O$3*$Z$5+$AA$5)))-(8742/(O2091+459.6))+15.64),EXP(INDEX(Antoines,MATCH(O2084,Antoine_Name,0),2)-INDEX(Antoines,MATCH(O2084,Antoine_Name,0),3)/(O2091+459.6))))),0)</f>
        <v>0</v>
      </c>
    </row>
    <row r="2101" spans="1:32" ht="17.149999999999999" x14ac:dyDescent="0.55000000000000004">
      <c r="B2101" t="str">
        <f t="shared" si="7150"/>
        <v>Portland</v>
      </c>
      <c r="C2101" t="s">
        <v>582</v>
      </c>
      <c r="D2101">
        <f>D2100*D2088</f>
        <v>0</v>
      </c>
      <c r="E2101">
        <f t="shared" ref="E2101:O2101" si="7155">E2100*E2088</f>
        <v>0</v>
      </c>
      <c r="F2101">
        <f t="shared" si="7155"/>
        <v>0</v>
      </c>
      <c r="G2101">
        <f t="shared" si="7155"/>
        <v>0</v>
      </c>
      <c r="H2101">
        <f t="shared" si="7155"/>
        <v>0</v>
      </c>
      <c r="I2101">
        <f t="shared" si="7155"/>
        <v>0</v>
      </c>
      <c r="J2101">
        <f t="shared" si="7155"/>
        <v>0</v>
      </c>
      <c r="K2101">
        <f t="shared" si="7155"/>
        <v>0</v>
      </c>
      <c r="L2101">
        <f t="shared" si="7155"/>
        <v>0</v>
      </c>
      <c r="M2101">
        <f t="shared" si="7155"/>
        <v>0</v>
      </c>
      <c r="N2101">
        <f t="shared" si="7155"/>
        <v>0</v>
      </c>
      <c r="O2101">
        <f t="shared" si="7155"/>
        <v>0</v>
      </c>
    </row>
    <row r="2102" spans="1:32" ht="17.149999999999999" x14ac:dyDescent="0.55000000000000004">
      <c r="B2102" t="str">
        <f t="shared" si="7150"/>
        <v>Portland</v>
      </c>
      <c r="C2102" t="s">
        <v>583</v>
      </c>
      <c r="D2102">
        <f>D2099+D2101</f>
        <v>4.739577185808354E-3</v>
      </c>
      <c r="E2102">
        <f t="shared" ref="E2102:O2102" si="7156">E2099+E2101</f>
        <v>4.8748667780818778E-3</v>
      </c>
      <c r="F2102">
        <f t="shared" si="7156"/>
        <v>5.119885034186122E-3</v>
      </c>
      <c r="G2102">
        <f t="shared" si="7156"/>
        <v>5.5846958573521795E-3</v>
      </c>
      <c r="H2102">
        <f t="shared" si="7156"/>
        <v>6.5274070972739821E-3</v>
      </c>
      <c r="I2102">
        <f t="shared" si="7156"/>
        <v>7.4199539958878279E-3</v>
      </c>
      <c r="J2102">
        <f t="shared" si="7156"/>
        <v>8.3358107202842254E-3</v>
      </c>
      <c r="K2102">
        <f t="shared" si="7156"/>
        <v>8.4605262729351115E-3</v>
      </c>
      <c r="L2102">
        <f t="shared" si="7156"/>
        <v>7.8399882233967533E-3</v>
      </c>
      <c r="M2102">
        <f t="shared" si="7156"/>
        <v>6.4173462075160911E-3</v>
      </c>
      <c r="N2102">
        <f t="shared" si="7156"/>
        <v>5.3015226887581056E-3</v>
      </c>
      <c r="O2102">
        <f t="shared" si="7156"/>
        <v>4.68970903600947E-3</v>
      </c>
    </row>
    <row r="2103" spans="1:32" ht="17.149999999999999" x14ac:dyDescent="0.55000000000000004">
      <c r="B2103" t="str">
        <f t="shared" si="7150"/>
        <v>Portland</v>
      </c>
      <c r="C2103" t="s">
        <v>1388</v>
      </c>
      <c r="D2103" cm="1">
        <f t="array" ref="D2103">IFERROR(IF(D2083="Chemical",(10^(INDEX(Antoines,MATCH(D2082,Antoine_Name,0),2)-INDEX(Antoines,MATCH(D2082,Antoine_Name,0),3)/(INDEX(Antoines,MATCH(D2082,Antoine_Name,0),4)+(D2092-32)*5/9)))*14.7/760,IF(D2083="Crude Oil",EXP((2799/(D2092+459.6)-2.227)*LOG10(INDEX(FX_Input,Q$5,D$3*$Z$5+$AA$5))-(7261/(D2092+459.6))+12.82),IF(D2083="Refined Petroleum Stock",EXP((0.7553-(413/(D2092+459.6)))*(INDEX(FX_Input,Q$5,D$3*$Z$5+$AA$5-1)^0.5)*LOG10(INDEX(FX_Input,Q$5,D$3*$Z$5+$AA$5))-(1.854-(1042/(D2092+459.6)))*(INDEX(FX_Input,Q$5,D$3*$Z$5+$AA$5-1)^0.5)+((2416/(D2092+459.6)-2.013)*LOG10(INDEX(FX_Input,Q$5,D$3*$Z$5+$AA$5)))-(8742/(D2092+459.6))+15.64),EXP(INDEX(Antoines,MATCH(D2082,Antoine_Name,0),2)-INDEX(Antoines,MATCH(D2082,Antoine_Name,0),3)/(D2092+459.6))))),0)</f>
        <v>4.739577185808354E-3</v>
      </c>
      <c r="E2103" cm="1">
        <f t="array" ref="E2103">IFERROR(IF(E2083="Chemical",(10^(INDEX(Antoines,MATCH(E2082,Antoine_Name,0),2)-INDEX(Antoines,MATCH(E2082,Antoine_Name,0),3)/(INDEX(Antoines,MATCH(E2082,Antoine_Name,0),4)+(E2092-32)*5/9)))*14.7/760,IF(E2083="Crude Oil",EXP((2799/(E2092+459.6)-2.227)*LOG10(INDEX(FX_Input,R$5,E$3*$Z$5+$AA$5))-(7261/(E2092+459.6))+12.82),IF(E2083="Refined Petroleum Stock",EXP((0.7553-(413/(E2092+459.6)))*(INDEX(FX_Input,R$5,E$3*$Z$5+$AA$5-1)^0.5)*LOG10(INDEX(FX_Input,R$5,E$3*$Z$5+$AA$5))-(1.854-(1042/(E2092+459.6)))*(INDEX(FX_Input,R$5,E$3*$Z$5+$AA$5-1)^0.5)+((2416/(E2092+459.6)-2.013)*LOG10(INDEX(FX_Input,R$5,E$3*$Z$5+$AA$5)))-(8742/(E2092+459.6))+15.64),EXP(INDEX(Antoines,MATCH(E2082,Antoine_Name,0),2)-INDEX(Antoines,MATCH(E2082,Antoine_Name,0),3)/(E2092+459.6))))),0)</f>
        <v>4.8748667780818778E-3</v>
      </c>
      <c r="F2103" cm="1">
        <f t="array" ref="F2103">IFERROR(IF(F2083="Chemical",(10^(INDEX(Antoines,MATCH(F2082,Antoine_Name,0),2)-INDEX(Antoines,MATCH(F2082,Antoine_Name,0),3)/(INDEX(Antoines,MATCH(F2082,Antoine_Name,0),4)+(F2092-32)*5/9)))*14.7/760,IF(F2083="Crude Oil",EXP((2799/(F2092+459.6)-2.227)*LOG10(INDEX(FX_Input,S$5,F$3*$Z$5+$AA$5))-(7261/(F2092+459.6))+12.82),IF(F2083="Refined Petroleum Stock",EXP((0.7553-(413/(F2092+459.6)))*(INDEX(FX_Input,S$5,F$3*$Z$5+$AA$5-1)^0.5)*LOG10(INDEX(FX_Input,S$5,F$3*$Z$5+$AA$5))-(1.854-(1042/(F2092+459.6)))*(INDEX(FX_Input,S$5,F$3*$Z$5+$AA$5-1)^0.5)+((2416/(F2092+459.6)-2.013)*LOG10(INDEX(FX_Input,S$5,F$3*$Z$5+$AA$5)))-(8742/(F2092+459.6))+15.64),EXP(INDEX(Antoines,MATCH(F2082,Antoine_Name,0),2)-INDEX(Antoines,MATCH(F2082,Antoine_Name,0),3)/(F2092+459.6))))),0)</f>
        <v>5.119885034186122E-3</v>
      </c>
      <c r="G2103" cm="1">
        <f t="array" ref="G2103">IFERROR(IF(G2083="Chemical",(10^(INDEX(Antoines,MATCH(G2082,Antoine_Name,0),2)-INDEX(Antoines,MATCH(G2082,Antoine_Name,0),3)/(INDEX(Antoines,MATCH(G2082,Antoine_Name,0),4)+(G2092-32)*5/9)))*14.7/760,IF(G2083="Crude Oil",EXP((2799/(G2092+459.6)-2.227)*LOG10(INDEX(FX_Input,T$5,G$3*$Z$5+$AA$5))-(7261/(G2092+459.6))+12.82),IF(G2083="Refined Petroleum Stock",EXP((0.7553-(413/(G2092+459.6)))*(INDEX(FX_Input,T$5,G$3*$Z$5+$AA$5-1)^0.5)*LOG10(INDEX(FX_Input,T$5,G$3*$Z$5+$AA$5))-(1.854-(1042/(G2092+459.6)))*(INDEX(FX_Input,T$5,G$3*$Z$5+$AA$5-1)^0.5)+((2416/(G2092+459.6)-2.013)*LOG10(INDEX(FX_Input,T$5,G$3*$Z$5+$AA$5)))-(8742/(G2092+459.6))+15.64),EXP(INDEX(Antoines,MATCH(G2082,Antoine_Name,0),2)-INDEX(Antoines,MATCH(G2082,Antoine_Name,0),3)/(G2092+459.6))))),0)</f>
        <v>5.5846958573521795E-3</v>
      </c>
      <c r="H2103" cm="1">
        <f t="array" ref="H2103">IFERROR(IF(H2083="Chemical",(10^(INDEX(Antoines,MATCH(H2082,Antoine_Name,0),2)-INDEX(Antoines,MATCH(H2082,Antoine_Name,0),3)/(INDEX(Antoines,MATCH(H2082,Antoine_Name,0),4)+(H2092-32)*5/9)))*14.7/760,IF(H2083="Crude Oil",EXP((2799/(H2092+459.6)-2.227)*LOG10(INDEX(FX_Input,U$5,H$3*$Z$5+$AA$5))-(7261/(H2092+459.6))+12.82),IF(H2083="Refined Petroleum Stock",EXP((0.7553-(413/(H2092+459.6)))*(INDEX(FX_Input,U$5,H$3*$Z$5+$AA$5-1)^0.5)*LOG10(INDEX(FX_Input,U$5,H$3*$Z$5+$AA$5))-(1.854-(1042/(H2092+459.6)))*(INDEX(FX_Input,U$5,H$3*$Z$5+$AA$5-1)^0.5)+((2416/(H2092+459.6)-2.013)*LOG10(INDEX(FX_Input,U$5,H$3*$Z$5+$AA$5)))-(8742/(H2092+459.6))+15.64),EXP(INDEX(Antoines,MATCH(H2082,Antoine_Name,0),2)-INDEX(Antoines,MATCH(H2082,Antoine_Name,0),3)/(H2092+459.6))))),0)</f>
        <v>6.5274070972739821E-3</v>
      </c>
      <c r="I2103" cm="1">
        <f t="array" ref="I2103">IFERROR(IF(I2083="Chemical",(10^(INDEX(Antoines,MATCH(I2082,Antoine_Name,0),2)-INDEX(Antoines,MATCH(I2082,Antoine_Name,0),3)/(INDEX(Antoines,MATCH(I2082,Antoine_Name,0),4)+(I2092-32)*5/9)))*14.7/760,IF(I2083="Crude Oil",EXP((2799/(I2092+459.6)-2.227)*LOG10(INDEX(FX_Input,V$5,I$3*$Z$5+$AA$5))-(7261/(I2092+459.6))+12.82),IF(I2083="Refined Petroleum Stock",EXP((0.7553-(413/(I2092+459.6)))*(INDEX(FX_Input,V$5,I$3*$Z$5+$AA$5-1)^0.5)*LOG10(INDEX(FX_Input,V$5,I$3*$Z$5+$AA$5))-(1.854-(1042/(I2092+459.6)))*(INDEX(FX_Input,V$5,I$3*$Z$5+$AA$5-1)^0.5)+((2416/(I2092+459.6)-2.013)*LOG10(INDEX(FX_Input,V$5,I$3*$Z$5+$AA$5)))-(8742/(I2092+459.6))+15.64),EXP(INDEX(Antoines,MATCH(I2082,Antoine_Name,0),2)-INDEX(Antoines,MATCH(I2082,Antoine_Name,0),3)/(I2092+459.6))))),0)</f>
        <v>7.4199539958878279E-3</v>
      </c>
      <c r="J2103" cm="1">
        <f t="array" ref="J2103">IFERROR(IF(J2083="Chemical",(10^(INDEX(Antoines,MATCH(J2082,Antoine_Name,0),2)-INDEX(Antoines,MATCH(J2082,Antoine_Name,0),3)/(INDEX(Antoines,MATCH(J2082,Antoine_Name,0),4)+(J2092-32)*5/9)))*14.7/760,IF(J2083="Crude Oil",EXP((2799/(J2092+459.6)-2.227)*LOG10(INDEX(FX_Input,W$5,J$3*$Z$5+$AA$5))-(7261/(J2092+459.6))+12.82),IF(J2083="Refined Petroleum Stock",EXP((0.7553-(413/(J2092+459.6)))*(INDEX(FX_Input,W$5,J$3*$Z$5+$AA$5-1)^0.5)*LOG10(INDEX(FX_Input,W$5,J$3*$Z$5+$AA$5))-(1.854-(1042/(J2092+459.6)))*(INDEX(FX_Input,W$5,J$3*$Z$5+$AA$5-1)^0.5)+((2416/(J2092+459.6)-2.013)*LOG10(INDEX(FX_Input,W$5,J$3*$Z$5+$AA$5)))-(8742/(J2092+459.6))+15.64),EXP(INDEX(Antoines,MATCH(J2082,Antoine_Name,0),2)-INDEX(Antoines,MATCH(J2082,Antoine_Name,0),3)/(J2092+459.6))))),0)</f>
        <v>8.3358107202842254E-3</v>
      </c>
      <c r="K2103" cm="1">
        <f t="array" ref="K2103">IFERROR(IF(K2083="Chemical",(10^(INDEX(Antoines,MATCH(K2082,Antoine_Name,0),2)-INDEX(Antoines,MATCH(K2082,Antoine_Name,0),3)/(INDEX(Antoines,MATCH(K2082,Antoine_Name,0),4)+(K2092-32)*5/9)))*14.7/760,IF(K2083="Crude Oil",EXP((2799/(K2092+459.6)-2.227)*LOG10(INDEX(FX_Input,X$5,K$3*$Z$5+$AA$5))-(7261/(K2092+459.6))+12.82),IF(K2083="Refined Petroleum Stock",EXP((0.7553-(413/(K2092+459.6)))*(INDEX(FX_Input,X$5,K$3*$Z$5+$AA$5-1)^0.5)*LOG10(INDEX(FX_Input,X$5,K$3*$Z$5+$AA$5))-(1.854-(1042/(K2092+459.6)))*(INDEX(FX_Input,X$5,K$3*$Z$5+$AA$5-1)^0.5)+((2416/(K2092+459.6)-2.013)*LOG10(INDEX(FX_Input,X$5,K$3*$Z$5+$AA$5)))-(8742/(K2092+459.6))+15.64),EXP(INDEX(Antoines,MATCH(K2082,Antoine_Name,0),2)-INDEX(Antoines,MATCH(K2082,Antoine_Name,0),3)/(K2092+459.6))))),0)</f>
        <v>8.4605262729351115E-3</v>
      </c>
      <c r="L2103" cm="1">
        <f t="array" ref="L2103">IFERROR(IF(L2083="Chemical",(10^(INDEX(Antoines,MATCH(L2082,Antoine_Name,0),2)-INDEX(Antoines,MATCH(L2082,Antoine_Name,0),3)/(INDEX(Antoines,MATCH(L2082,Antoine_Name,0),4)+(L2092-32)*5/9)))*14.7/760,IF(L2083="Crude Oil",EXP((2799/(L2092+459.6)-2.227)*LOG10(INDEX(FX_Input,Y$5,L$3*$Z$5+$AA$5))-(7261/(L2092+459.6))+12.82),IF(L2083="Refined Petroleum Stock",EXP((0.7553-(413/(L2092+459.6)))*(INDEX(FX_Input,Y$5,L$3*$Z$5+$AA$5-1)^0.5)*LOG10(INDEX(FX_Input,Y$5,L$3*$Z$5+$AA$5))-(1.854-(1042/(L2092+459.6)))*(INDEX(FX_Input,Y$5,L$3*$Z$5+$AA$5-1)^0.5)+((2416/(L2092+459.6)-2.013)*LOG10(INDEX(FX_Input,Y$5,L$3*$Z$5+$AA$5)))-(8742/(L2092+459.6))+15.64),EXP(INDEX(Antoines,MATCH(L2082,Antoine_Name,0),2)-INDEX(Antoines,MATCH(L2082,Antoine_Name,0),3)/(L2092+459.6))))),0)</f>
        <v>7.8399882233967533E-3</v>
      </c>
      <c r="M2103" cm="1">
        <f t="array" ref="M2103">IFERROR(IF(M2083="Chemical",(10^(INDEX(Antoines,MATCH(M2082,Antoine_Name,0),2)-INDEX(Antoines,MATCH(M2082,Antoine_Name,0),3)/(INDEX(Antoines,MATCH(M2082,Antoine_Name,0),4)+(M2092-32)*5/9)))*14.7/760,IF(M2083="Crude Oil",EXP((2799/(M2092+459.6)-2.227)*LOG10(INDEX(FX_Input,Z$5,M$3*$Z$5+$AA$5))-(7261/(M2092+459.6))+12.82),IF(M2083="Refined Petroleum Stock",EXP((0.7553-(413/(M2092+459.6)))*(INDEX(FX_Input,Z$5,M$3*$Z$5+$AA$5-1)^0.5)*LOG10(INDEX(FX_Input,Z$5,M$3*$Z$5+$AA$5))-(1.854-(1042/(M2092+459.6)))*(INDEX(FX_Input,Z$5,M$3*$Z$5+$AA$5-1)^0.5)+((2416/(M2092+459.6)-2.013)*LOG10(INDEX(FX_Input,Z$5,M$3*$Z$5+$AA$5)))-(8742/(M2092+459.6))+15.64),EXP(INDEX(Antoines,MATCH(M2082,Antoine_Name,0),2)-INDEX(Antoines,MATCH(M2082,Antoine_Name,0),3)/(M2092+459.6))))),0)</f>
        <v>6.4173462075160911E-3</v>
      </c>
      <c r="N2103" cm="1">
        <f t="array" ref="N2103">IFERROR(IF(N2083="Chemical",(10^(INDEX(Antoines,MATCH(N2082,Antoine_Name,0),2)-INDEX(Antoines,MATCH(N2082,Antoine_Name,0),3)/(INDEX(Antoines,MATCH(N2082,Antoine_Name,0),4)+(N2092-32)*5/9)))*14.7/760,IF(N2083="Crude Oil",EXP((2799/(N2092+459.6)-2.227)*LOG10(INDEX(FX_Input,AA$5,N$3*$Z$5+$AA$5))-(7261/(N2092+459.6))+12.82),IF(N2083="Refined Petroleum Stock",EXP((0.7553-(413/(N2092+459.6)))*(INDEX(FX_Input,AA$5,N$3*$Z$5+$AA$5-1)^0.5)*LOG10(INDEX(FX_Input,AA$5,N$3*$Z$5+$AA$5))-(1.854-(1042/(N2092+459.6)))*(INDEX(FX_Input,AA$5,N$3*$Z$5+$AA$5-1)^0.5)+((2416/(N2092+459.6)-2.013)*LOG10(INDEX(FX_Input,AA$5,N$3*$Z$5+$AA$5)))-(8742/(N2092+459.6))+15.64),EXP(INDEX(Antoines,MATCH(N2082,Antoine_Name,0),2)-INDEX(Antoines,MATCH(N2082,Antoine_Name,0),3)/(N2092+459.6))))),0)</f>
        <v>5.3015226887581056E-3</v>
      </c>
      <c r="O2103" cm="1">
        <f t="array" ref="O2103">IFERROR(IF(O2083="Chemical",(10^(INDEX(Antoines,MATCH(O2082,Antoine_Name,0),2)-INDEX(Antoines,MATCH(O2082,Antoine_Name,0),3)/(INDEX(Antoines,MATCH(O2082,Antoine_Name,0),4)+(O2092-32)*5/9)))*14.7/760,IF(O2083="Crude Oil",EXP((2799/(O2092+459.6)-2.227)*LOG10(INDEX(FX_Input,AB$5,O$3*$Z$5+$AA$5))-(7261/(O2092+459.6))+12.82),IF(O2083="Refined Petroleum Stock",EXP((0.7553-(413/(O2092+459.6)))*(INDEX(FX_Input,AB$5,O$3*$Z$5+$AA$5-1)^0.5)*LOG10(INDEX(FX_Input,AB$5,O$3*$Z$5+$AA$5))-(1.854-(1042/(O2092+459.6)))*(INDEX(FX_Input,AB$5,O$3*$Z$5+$AA$5-1)^0.5)+((2416/(O2092+459.6)-2.013)*LOG10(INDEX(FX_Input,AB$5,O$3*$Z$5+$AA$5)))-(8742/(O2092+459.6))+15.64),EXP(INDEX(Antoines,MATCH(O2082,Antoine_Name,0),2)-INDEX(Antoines,MATCH(O2082,Antoine_Name,0),3)/(O2092+459.6))))),0)</f>
        <v>4.68970903600947E-3</v>
      </c>
    </row>
    <row r="2104" spans="1:32" ht="17.149999999999999" x14ac:dyDescent="0.55000000000000004">
      <c r="B2104" t="str">
        <f t="shared" si="7150"/>
        <v>Portland</v>
      </c>
      <c r="C2104" t="s">
        <v>1389</v>
      </c>
      <c r="D2104">
        <f>D2103*D2086</f>
        <v>4.739577185808354E-3</v>
      </c>
      <c r="E2104">
        <f t="shared" ref="E2104:O2104" si="7157">E2103*E2086</f>
        <v>4.8748667780818778E-3</v>
      </c>
      <c r="F2104">
        <f t="shared" si="7157"/>
        <v>5.119885034186122E-3</v>
      </c>
      <c r="G2104">
        <f t="shared" si="7157"/>
        <v>5.5846958573521795E-3</v>
      </c>
      <c r="H2104">
        <f t="shared" si="7157"/>
        <v>6.5274070972739821E-3</v>
      </c>
      <c r="I2104">
        <f t="shared" si="7157"/>
        <v>7.4199539958878279E-3</v>
      </c>
      <c r="J2104">
        <f t="shared" si="7157"/>
        <v>8.3358107202842254E-3</v>
      </c>
      <c r="K2104">
        <f t="shared" si="7157"/>
        <v>8.4605262729351115E-3</v>
      </c>
      <c r="L2104">
        <f t="shared" si="7157"/>
        <v>7.8399882233967533E-3</v>
      </c>
      <c r="M2104">
        <f t="shared" si="7157"/>
        <v>6.4173462075160911E-3</v>
      </c>
      <c r="N2104">
        <f t="shared" si="7157"/>
        <v>5.3015226887581056E-3</v>
      </c>
      <c r="O2104">
        <f t="shared" si="7157"/>
        <v>4.68970903600947E-3</v>
      </c>
    </row>
    <row r="2105" spans="1:32" ht="17.149999999999999" x14ac:dyDescent="0.55000000000000004">
      <c r="B2105" t="str">
        <f t="shared" si="7150"/>
        <v>Portland</v>
      </c>
      <c r="C2105" t="s">
        <v>1390</v>
      </c>
      <c r="D2105" cm="1">
        <f t="array" ref="D2105">IFERROR(IF(D2085="Chemical",(10^(INDEX(Antoines,MATCH(D2084,Antoine_Name,0),2)-INDEX(Antoines,MATCH(D2084,Antoine_Name,0),3)/(INDEX(Antoines,MATCH(D2084,Antoine_Name,0),4)+(D2092-32)*5/9)))*14.7/760,IF(D2085="Crude Oil",EXP((2799/(D2092+459.6)-2.227)*LOG10(INDEX(FX_Input,Q$5,D$3*$Z$5+$AA$5))-(7261/(D2092+459.6))+12.82),IF(D2085="Refined Petroleum Stock",EXP((0.7553-(413/(D2092+459.6)))*(INDEX(FX_Input,Q$5,D$3*$Z$5+$AA$5-1)^0.5)*LOG10(INDEX(FX_Input,Q$5,D$3*$Z$5+$AA$5))-(1.854-(1042/(D2092+459.6)))*(INDEX(FX_Input,Q$5,D$3*$Z$5+$AA$5-1)^0.5)+((2416/(D2092+459.6)-2.013)*LOG10(INDEX(FX_Input,Q$5,D$3*$Z$5+$AA$5)))-(8742/(D2092+459.6))+15.64),EXP(INDEX(Antoines,MATCH(D2084,Antoine_Name,0),2)-INDEX(Antoines,MATCH(D2084,Antoine_Name,0),3)/(D2092+459.6))))),0)</f>
        <v>0</v>
      </c>
      <c r="E2105" cm="1">
        <f t="array" ref="E2105">IFERROR(IF(E2085="Chemical",(10^(INDEX(Antoines,MATCH(E2084,Antoine_Name,0),2)-INDEX(Antoines,MATCH(E2084,Antoine_Name,0),3)/(INDEX(Antoines,MATCH(E2084,Antoine_Name,0),4)+(E2092-32)*5/9)))*14.7/760,IF(E2085="Crude Oil",EXP((2799/(E2092+459.6)-2.227)*LOG10(INDEX(FX_Input,R$5,E$3*$Z$5+$AA$5))-(7261/(E2092+459.6))+12.82),IF(E2085="Refined Petroleum Stock",EXP((0.7553-(413/(E2092+459.6)))*(INDEX(FX_Input,R$5,E$3*$Z$5+$AA$5-1)^0.5)*LOG10(INDEX(FX_Input,R$5,E$3*$Z$5+$AA$5))-(1.854-(1042/(E2092+459.6)))*(INDEX(FX_Input,R$5,E$3*$Z$5+$AA$5-1)^0.5)+((2416/(E2092+459.6)-2.013)*LOG10(INDEX(FX_Input,R$5,E$3*$Z$5+$AA$5)))-(8742/(E2092+459.6))+15.64),EXP(INDEX(Antoines,MATCH(E2084,Antoine_Name,0),2)-INDEX(Antoines,MATCH(E2084,Antoine_Name,0),3)/(E2092+459.6))))),0)</f>
        <v>0</v>
      </c>
      <c r="F2105" cm="1">
        <f t="array" ref="F2105">IFERROR(IF(F2085="Chemical",(10^(INDEX(Antoines,MATCH(F2084,Antoine_Name,0),2)-INDEX(Antoines,MATCH(F2084,Antoine_Name,0),3)/(INDEX(Antoines,MATCH(F2084,Antoine_Name,0),4)+(F2092-32)*5/9)))*14.7/760,IF(F2085="Crude Oil",EXP((2799/(F2092+459.6)-2.227)*LOG10(INDEX(FX_Input,S$5,F$3*$Z$5+$AA$5))-(7261/(F2092+459.6))+12.82),IF(F2085="Refined Petroleum Stock",EXP((0.7553-(413/(F2092+459.6)))*(INDEX(FX_Input,S$5,F$3*$Z$5+$AA$5-1)^0.5)*LOG10(INDEX(FX_Input,S$5,F$3*$Z$5+$AA$5))-(1.854-(1042/(F2092+459.6)))*(INDEX(FX_Input,S$5,F$3*$Z$5+$AA$5-1)^0.5)+((2416/(F2092+459.6)-2.013)*LOG10(INDEX(FX_Input,S$5,F$3*$Z$5+$AA$5)))-(8742/(F2092+459.6))+15.64),EXP(INDEX(Antoines,MATCH(F2084,Antoine_Name,0),2)-INDEX(Antoines,MATCH(F2084,Antoine_Name,0),3)/(F2092+459.6))))),0)</f>
        <v>0</v>
      </c>
      <c r="G2105" cm="1">
        <f t="array" ref="G2105">IFERROR(IF(G2085="Chemical",(10^(INDEX(Antoines,MATCH(G2084,Antoine_Name,0),2)-INDEX(Antoines,MATCH(G2084,Antoine_Name,0),3)/(INDEX(Antoines,MATCH(G2084,Antoine_Name,0),4)+(G2092-32)*5/9)))*14.7/760,IF(G2085="Crude Oil",EXP((2799/(G2092+459.6)-2.227)*LOG10(INDEX(FX_Input,T$5,G$3*$Z$5+$AA$5))-(7261/(G2092+459.6))+12.82),IF(G2085="Refined Petroleum Stock",EXP((0.7553-(413/(G2092+459.6)))*(INDEX(FX_Input,T$5,G$3*$Z$5+$AA$5-1)^0.5)*LOG10(INDEX(FX_Input,T$5,G$3*$Z$5+$AA$5))-(1.854-(1042/(G2092+459.6)))*(INDEX(FX_Input,T$5,G$3*$Z$5+$AA$5-1)^0.5)+((2416/(G2092+459.6)-2.013)*LOG10(INDEX(FX_Input,T$5,G$3*$Z$5+$AA$5)))-(8742/(G2092+459.6))+15.64),EXP(INDEX(Antoines,MATCH(G2084,Antoine_Name,0),2)-INDEX(Antoines,MATCH(G2084,Antoine_Name,0),3)/(G2092+459.6))))),0)</f>
        <v>0</v>
      </c>
      <c r="H2105" cm="1">
        <f t="array" ref="H2105">IFERROR(IF(H2085="Chemical",(10^(INDEX(Antoines,MATCH(H2084,Antoine_Name,0),2)-INDEX(Antoines,MATCH(H2084,Antoine_Name,0),3)/(INDEX(Antoines,MATCH(H2084,Antoine_Name,0),4)+(H2092-32)*5/9)))*14.7/760,IF(H2085="Crude Oil",EXP((2799/(H2092+459.6)-2.227)*LOG10(INDEX(FX_Input,U$5,H$3*$Z$5+$AA$5))-(7261/(H2092+459.6))+12.82),IF(H2085="Refined Petroleum Stock",EXP((0.7553-(413/(H2092+459.6)))*(INDEX(FX_Input,U$5,H$3*$Z$5+$AA$5-1)^0.5)*LOG10(INDEX(FX_Input,U$5,H$3*$Z$5+$AA$5))-(1.854-(1042/(H2092+459.6)))*(INDEX(FX_Input,U$5,H$3*$Z$5+$AA$5-1)^0.5)+((2416/(H2092+459.6)-2.013)*LOG10(INDEX(FX_Input,U$5,H$3*$Z$5+$AA$5)))-(8742/(H2092+459.6))+15.64),EXP(INDEX(Antoines,MATCH(H2084,Antoine_Name,0),2)-INDEX(Antoines,MATCH(H2084,Antoine_Name,0),3)/(H2092+459.6))))),0)</f>
        <v>0</v>
      </c>
      <c r="I2105" cm="1">
        <f t="array" ref="I2105">IFERROR(IF(I2085="Chemical",(10^(INDEX(Antoines,MATCH(I2084,Antoine_Name,0),2)-INDEX(Antoines,MATCH(I2084,Antoine_Name,0),3)/(INDEX(Antoines,MATCH(I2084,Antoine_Name,0),4)+(I2092-32)*5/9)))*14.7/760,IF(I2085="Crude Oil",EXP((2799/(I2092+459.6)-2.227)*LOG10(INDEX(FX_Input,V$5,I$3*$Z$5+$AA$5))-(7261/(I2092+459.6))+12.82),IF(I2085="Refined Petroleum Stock",EXP((0.7553-(413/(I2092+459.6)))*(INDEX(FX_Input,V$5,I$3*$Z$5+$AA$5-1)^0.5)*LOG10(INDEX(FX_Input,V$5,I$3*$Z$5+$AA$5))-(1.854-(1042/(I2092+459.6)))*(INDEX(FX_Input,V$5,I$3*$Z$5+$AA$5-1)^0.5)+((2416/(I2092+459.6)-2.013)*LOG10(INDEX(FX_Input,V$5,I$3*$Z$5+$AA$5)))-(8742/(I2092+459.6))+15.64),EXP(INDEX(Antoines,MATCH(I2084,Antoine_Name,0),2)-INDEX(Antoines,MATCH(I2084,Antoine_Name,0),3)/(I2092+459.6))))),0)</f>
        <v>0</v>
      </c>
      <c r="J2105" cm="1">
        <f t="array" ref="J2105">IFERROR(IF(J2085="Chemical",(10^(INDEX(Antoines,MATCH(J2084,Antoine_Name,0),2)-INDEX(Antoines,MATCH(J2084,Antoine_Name,0),3)/(INDEX(Antoines,MATCH(J2084,Antoine_Name,0),4)+(J2092-32)*5/9)))*14.7/760,IF(J2085="Crude Oil",EXP((2799/(J2092+459.6)-2.227)*LOG10(INDEX(FX_Input,W$5,J$3*$Z$5+$AA$5))-(7261/(J2092+459.6))+12.82),IF(J2085="Refined Petroleum Stock",EXP((0.7553-(413/(J2092+459.6)))*(INDEX(FX_Input,W$5,J$3*$Z$5+$AA$5-1)^0.5)*LOG10(INDEX(FX_Input,W$5,J$3*$Z$5+$AA$5))-(1.854-(1042/(J2092+459.6)))*(INDEX(FX_Input,W$5,J$3*$Z$5+$AA$5-1)^0.5)+((2416/(J2092+459.6)-2.013)*LOG10(INDEX(FX_Input,W$5,J$3*$Z$5+$AA$5)))-(8742/(J2092+459.6))+15.64),EXP(INDEX(Antoines,MATCH(J2084,Antoine_Name,0),2)-INDEX(Antoines,MATCH(J2084,Antoine_Name,0),3)/(J2092+459.6))))),0)</f>
        <v>0</v>
      </c>
      <c r="K2105" cm="1">
        <f t="array" ref="K2105">IFERROR(IF(K2085="Chemical",(10^(INDEX(Antoines,MATCH(K2084,Antoine_Name,0),2)-INDEX(Antoines,MATCH(K2084,Antoine_Name,0),3)/(INDEX(Antoines,MATCH(K2084,Antoine_Name,0),4)+(K2092-32)*5/9)))*14.7/760,IF(K2085="Crude Oil",EXP((2799/(K2092+459.6)-2.227)*LOG10(INDEX(FX_Input,X$5,K$3*$Z$5+$AA$5))-(7261/(K2092+459.6))+12.82),IF(K2085="Refined Petroleum Stock",EXP((0.7553-(413/(K2092+459.6)))*(INDEX(FX_Input,X$5,K$3*$Z$5+$AA$5-1)^0.5)*LOG10(INDEX(FX_Input,X$5,K$3*$Z$5+$AA$5))-(1.854-(1042/(K2092+459.6)))*(INDEX(FX_Input,X$5,K$3*$Z$5+$AA$5-1)^0.5)+((2416/(K2092+459.6)-2.013)*LOG10(INDEX(FX_Input,X$5,K$3*$Z$5+$AA$5)))-(8742/(K2092+459.6))+15.64),EXP(INDEX(Antoines,MATCH(K2084,Antoine_Name,0),2)-INDEX(Antoines,MATCH(K2084,Antoine_Name,0),3)/(K2092+459.6))))),0)</f>
        <v>0</v>
      </c>
      <c r="L2105" cm="1">
        <f t="array" ref="L2105">IFERROR(IF(L2085="Chemical",(10^(INDEX(Antoines,MATCH(L2084,Antoine_Name,0),2)-INDEX(Antoines,MATCH(L2084,Antoine_Name,0),3)/(INDEX(Antoines,MATCH(L2084,Antoine_Name,0),4)+(L2092-32)*5/9)))*14.7/760,IF(L2085="Crude Oil",EXP((2799/(L2092+459.6)-2.227)*LOG10(INDEX(FX_Input,Y$5,L$3*$Z$5+$AA$5))-(7261/(L2092+459.6))+12.82),IF(L2085="Refined Petroleum Stock",EXP((0.7553-(413/(L2092+459.6)))*(INDEX(FX_Input,Y$5,L$3*$Z$5+$AA$5-1)^0.5)*LOG10(INDEX(FX_Input,Y$5,L$3*$Z$5+$AA$5))-(1.854-(1042/(L2092+459.6)))*(INDEX(FX_Input,Y$5,L$3*$Z$5+$AA$5-1)^0.5)+((2416/(L2092+459.6)-2.013)*LOG10(INDEX(FX_Input,Y$5,L$3*$Z$5+$AA$5)))-(8742/(L2092+459.6))+15.64),EXP(INDEX(Antoines,MATCH(L2084,Antoine_Name,0),2)-INDEX(Antoines,MATCH(L2084,Antoine_Name,0),3)/(L2092+459.6))))),0)</f>
        <v>0</v>
      </c>
      <c r="M2105" cm="1">
        <f t="array" ref="M2105">IFERROR(IF(M2085="Chemical",(10^(INDEX(Antoines,MATCH(M2084,Antoine_Name,0),2)-INDEX(Antoines,MATCH(M2084,Antoine_Name,0),3)/(INDEX(Antoines,MATCH(M2084,Antoine_Name,0),4)+(M2092-32)*5/9)))*14.7/760,IF(M2085="Crude Oil",EXP((2799/(M2092+459.6)-2.227)*LOG10(INDEX(FX_Input,Z$5,M$3*$Z$5+$AA$5))-(7261/(M2092+459.6))+12.82),IF(M2085="Refined Petroleum Stock",EXP((0.7553-(413/(M2092+459.6)))*(INDEX(FX_Input,Z$5,M$3*$Z$5+$AA$5-1)^0.5)*LOG10(INDEX(FX_Input,Z$5,M$3*$Z$5+$AA$5))-(1.854-(1042/(M2092+459.6)))*(INDEX(FX_Input,Z$5,M$3*$Z$5+$AA$5-1)^0.5)+((2416/(M2092+459.6)-2.013)*LOG10(INDEX(FX_Input,Z$5,M$3*$Z$5+$AA$5)))-(8742/(M2092+459.6))+15.64),EXP(INDEX(Antoines,MATCH(M2084,Antoine_Name,0),2)-INDEX(Antoines,MATCH(M2084,Antoine_Name,0),3)/(M2092+459.6))))),0)</f>
        <v>0</v>
      </c>
      <c r="N2105" cm="1">
        <f t="array" ref="N2105">IFERROR(IF(N2085="Chemical",(10^(INDEX(Antoines,MATCH(N2084,Antoine_Name,0),2)-INDEX(Antoines,MATCH(N2084,Antoine_Name,0),3)/(INDEX(Antoines,MATCH(N2084,Antoine_Name,0),4)+(N2092-32)*5/9)))*14.7/760,IF(N2085="Crude Oil",EXP((2799/(N2092+459.6)-2.227)*LOG10(INDEX(FX_Input,AA$5,N$3*$Z$5+$AA$5))-(7261/(N2092+459.6))+12.82),IF(N2085="Refined Petroleum Stock",EXP((0.7553-(413/(N2092+459.6)))*(INDEX(FX_Input,AA$5,N$3*$Z$5+$AA$5-1)^0.5)*LOG10(INDEX(FX_Input,AA$5,N$3*$Z$5+$AA$5))-(1.854-(1042/(N2092+459.6)))*(INDEX(FX_Input,AA$5,N$3*$Z$5+$AA$5-1)^0.5)+((2416/(N2092+459.6)-2.013)*LOG10(INDEX(FX_Input,AA$5,N$3*$Z$5+$AA$5)))-(8742/(N2092+459.6))+15.64),EXP(INDEX(Antoines,MATCH(N2084,Antoine_Name,0),2)-INDEX(Antoines,MATCH(N2084,Antoine_Name,0),3)/(N2092+459.6))))),0)</f>
        <v>0</v>
      </c>
      <c r="O2105" cm="1">
        <f t="array" ref="O2105">IFERROR(IF(O2085="Chemical",(10^(INDEX(Antoines,MATCH(O2084,Antoine_Name,0),2)-INDEX(Antoines,MATCH(O2084,Antoine_Name,0),3)/(INDEX(Antoines,MATCH(O2084,Antoine_Name,0),4)+(O2092-32)*5/9)))*14.7/760,IF(O2085="Crude Oil",EXP((2799/(O2092+459.6)-2.227)*LOG10(INDEX(FX_Input,AB$5,O$3*$Z$5+$AA$5))-(7261/(O2092+459.6))+12.82),IF(O2085="Refined Petroleum Stock",EXP((0.7553-(413/(O2092+459.6)))*(INDEX(FX_Input,AB$5,O$3*$Z$5+$AA$5-1)^0.5)*LOG10(INDEX(FX_Input,AB$5,O$3*$Z$5+$AA$5))-(1.854-(1042/(O2092+459.6)))*(INDEX(FX_Input,AB$5,O$3*$Z$5+$AA$5-1)^0.5)+((2416/(O2092+459.6)-2.013)*LOG10(INDEX(FX_Input,AB$5,O$3*$Z$5+$AA$5)))-(8742/(O2092+459.6))+15.64),EXP(INDEX(Antoines,MATCH(O2084,Antoine_Name,0),2)-INDEX(Antoines,MATCH(O2084,Antoine_Name,0),3)/(O2092+459.6))))),0)</f>
        <v>0</v>
      </c>
    </row>
    <row r="2106" spans="1:32" ht="17.149999999999999" x14ac:dyDescent="0.55000000000000004">
      <c r="B2106" t="str">
        <f t="shared" si="7150"/>
        <v>Portland</v>
      </c>
      <c r="C2106" t="s">
        <v>1391</v>
      </c>
      <c r="D2106">
        <f>D2105*D2088</f>
        <v>0</v>
      </c>
      <c r="E2106">
        <f t="shared" ref="E2106:O2106" si="7158">E2105*E2088</f>
        <v>0</v>
      </c>
      <c r="F2106">
        <f t="shared" si="7158"/>
        <v>0</v>
      </c>
      <c r="G2106">
        <f t="shared" si="7158"/>
        <v>0</v>
      </c>
      <c r="H2106">
        <f t="shared" si="7158"/>
        <v>0</v>
      </c>
      <c r="I2106">
        <f t="shared" si="7158"/>
        <v>0</v>
      </c>
      <c r="J2106">
        <f t="shared" si="7158"/>
        <v>0</v>
      </c>
      <c r="K2106">
        <f t="shared" si="7158"/>
        <v>0</v>
      </c>
      <c r="L2106">
        <f t="shared" si="7158"/>
        <v>0</v>
      </c>
      <c r="M2106">
        <f t="shared" si="7158"/>
        <v>0</v>
      </c>
      <c r="N2106">
        <f t="shared" si="7158"/>
        <v>0</v>
      </c>
      <c r="O2106">
        <f t="shared" si="7158"/>
        <v>0</v>
      </c>
    </row>
    <row r="2107" spans="1:32" ht="17.149999999999999" x14ac:dyDescent="0.55000000000000004">
      <c r="B2107" t="str">
        <f t="shared" si="7150"/>
        <v>Portland</v>
      </c>
      <c r="C2107" t="s">
        <v>1392</v>
      </c>
      <c r="D2107">
        <f>D2104+D2106</f>
        <v>4.739577185808354E-3</v>
      </c>
      <c r="E2107">
        <f t="shared" ref="E2107:O2107" si="7159">E2104+E2106</f>
        <v>4.8748667780818778E-3</v>
      </c>
      <c r="F2107">
        <f t="shared" si="7159"/>
        <v>5.119885034186122E-3</v>
      </c>
      <c r="G2107">
        <f t="shared" si="7159"/>
        <v>5.5846958573521795E-3</v>
      </c>
      <c r="H2107">
        <f t="shared" si="7159"/>
        <v>6.5274070972739821E-3</v>
      </c>
      <c r="I2107">
        <f t="shared" si="7159"/>
        <v>7.4199539958878279E-3</v>
      </c>
      <c r="J2107">
        <f t="shared" si="7159"/>
        <v>8.3358107202842254E-3</v>
      </c>
      <c r="K2107">
        <f t="shared" si="7159"/>
        <v>8.4605262729351115E-3</v>
      </c>
      <c r="L2107">
        <f t="shared" si="7159"/>
        <v>7.8399882233967533E-3</v>
      </c>
      <c r="M2107">
        <f t="shared" si="7159"/>
        <v>6.4173462075160911E-3</v>
      </c>
      <c r="N2107">
        <f t="shared" si="7159"/>
        <v>5.3015226887581056E-3</v>
      </c>
      <c r="O2107">
        <f t="shared" si="7159"/>
        <v>4.68970903600947E-3</v>
      </c>
    </row>
    <row r="2108" spans="1:32" ht="17.149999999999999" x14ac:dyDescent="0.55000000000000004">
      <c r="B2108" t="str">
        <f>B2102</f>
        <v>Portland</v>
      </c>
      <c r="C2108" t="s">
        <v>584</v>
      </c>
      <c r="D2108">
        <f>D2104/D2107</f>
        <v>1</v>
      </c>
      <c r="E2108">
        <f t="shared" ref="E2108:O2108" si="7160">E2104/E2107</f>
        <v>1</v>
      </c>
      <c r="F2108">
        <f t="shared" si="7160"/>
        <v>1</v>
      </c>
      <c r="G2108">
        <f t="shared" si="7160"/>
        <v>1</v>
      </c>
      <c r="H2108">
        <f t="shared" si="7160"/>
        <v>1</v>
      </c>
      <c r="I2108">
        <f t="shared" si="7160"/>
        <v>1</v>
      </c>
      <c r="J2108">
        <f t="shared" si="7160"/>
        <v>1</v>
      </c>
      <c r="K2108">
        <f t="shared" si="7160"/>
        <v>1</v>
      </c>
      <c r="L2108">
        <f t="shared" si="7160"/>
        <v>1</v>
      </c>
      <c r="M2108">
        <f t="shared" si="7160"/>
        <v>1</v>
      </c>
      <c r="N2108">
        <f t="shared" si="7160"/>
        <v>1</v>
      </c>
      <c r="O2108">
        <f t="shared" si="7160"/>
        <v>1</v>
      </c>
    </row>
    <row r="2109" spans="1:32" ht="17.149999999999999" x14ac:dyDescent="0.55000000000000004">
      <c r="B2109" t="str">
        <f>B2103</f>
        <v>Portland</v>
      </c>
      <c r="C2109" t="s">
        <v>585</v>
      </c>
      <c r="D2109">
        <f t="shared" ref="D2109:O2109" si="7161">INDEX(Phys_Prop,MATCH(D2082,Chem_List,0),3)</f>
        <v>130</v>
      </c>
      <c r="E2109">
        <f t="shared" si="7161"/>
        <v>130</v>
      </c>
      <c r="F2109">
        <f t="shared" si="7161"/>
        <v>130</v>
      </c>
      <c r="G2109">
        <f t="shared" si="7161"/>
        <v>130</v>
      </c>
      <c r="H2109">
        <f t="shared" si="7161"/>
        <v>130</v>
      </c>
      <c r="I2109">
        <f t="shared" si="7161"/>
        <v>130</v>
      </c>
      <c r="J2109">
        <f t="shared" si="7161"/>
        <v>130</v>
      </c>
      <c r="K2109">
        <f t="shared" si="7161"/>
        <v>130</v>
      </c>
      <c r="L2109">
        <f t="shared" si="7161"/>
        <v>130</v>
      </c>
      <c r="M2109">
        <f t="shared" si="7161"/>
        <v>130</v>
      </c>
      <c r="N2109">
        <f t="shared" si="7161"/>
        <v>130</v>
      </c>
      <c r="O2109">
        <f t="shared" si="7161"/>
        <v>130</v>
      </c>
    </row>
    <row r="2110" spans="1:32" ht="17.149999999999999" x14ac:dyDescent="0.55000000000000004">
      <c r="B2110" t="str">
        <f>B2109</f>
        <v>Portland</v>
      </c>
      <c r="C2110" t="s">
        <v>586</v>
      </c>
      <c r="D2110">
        <f>D2106/D2107</f>
        <v>0</v>
      </c>
      <c r="E2110">
        <f t="shared" ref="E2110:O2110" si="7162">E2106/E2107</f>
        <v>0</v>
      </c>
      <c r="F2110">
        <f t="shared" si="7162"/>
        <v>0</v>
      </c>
      <c r="G2110">
        <f t="shared" si="7162"/>
        <v>0</v>
      </c>
      <c r="H2110">
        <f t="shared" si="7162"/>
        <v>0</v>
      </c>
      <c r="I2110">
        <f t="shared" si="7162"/>
        <v>0</v>
      </c>
      <c r="J2110">
        <f t="shared" si="7162"/>
        <v>0</v>
      </c>
      <c r="K2110">
        <f t="shared" si="7162"/>
        <v>0</v>
      </c>
      <c r="L2110">
        <f t="shared" si="7162"/>
        <v>0</v>
      </c>
      <c r="M2110">
        <f t="shared" si="7162"/>
        <v>0</v>
      </c>
      <c r="N2110">
        <f t="shared" si="7162"/>
        <v>0</v>
      </c>
      <c r="O2110">
        <f t="shared" si="7162"/>
        <v>0</v>
      </c>
    </row>
    <row r="2111" spans="1:32" ht="17.149999999999999" x14ac:dyDescent="0.55000000000000004">
      <c r="B2111" t="str">
        <f t="shared" si="7150"/>
        <v>Portland</v>
      </c>
      <c r="C2111" t="s">
        <v>587</v>
      </c>
      <c r="D2111">
        <f t="shared" ref="D2111:O2111" si="7163">IFERROR(INDEX(Phys_Prop,MATCH(D2084,Chem_List,0),3),0)</f>
        <v>0</v>
      </c>
      <c r="E2111">
        <f t="shared" si="7163"/>
        <v>0</v>
      </c>
      <c r="F2111">
        <f t="shared" si="7163"/>
        <v>0</v>
      </c>
      <c r="G2111">
        <f t="shared" si="7163"/>
        <v>0</v>
      </c>
      <c r="H2111">
        <f t="shared" si="7163"/>
        <v>0</v>
      </c>
      <c r="I2111">
        <f t="shared" si="7163"/>
        <v>0</v>
      </c>
      <c r="J2111">
        <f t="shared" si="7163"/>
        <v>0</v>
      </c>
      <c r="K2111">
        <f t="shared" si="7163"/>
        <v>0</v>
      </c>
      <c r="L2111">
        <f t="shared" si="7163"/>
        <v>0</v>
      </c>
      <c r="M2111">
        <f t="shared" si="7163"/>
        <v>0</v>
      </c>
      <c r="N2111">
        <f t="shared" si="7163"/>
        <v>0</v>
      </c>
      <c r="O2111">
        <f t="shared" si="7163"/>
        <v>0</v>
      </c>
    </row>
    <row r="2112" spans="1:32" ht="17.149999999999999" x14ac:dyDescent="0.55000000000000004">
      <c r="A2112" s="11"/>
      <c r="B2112" s="11" t="str">
        <f t="shared" si="7150"/>
        <v>Portland</v>
      </c>
      <c r="C2112" s="11" t="s">
        <v>588</v>
      </c>
      <c r="D2112" s="11">
        <f>IFERROR(D2108*D2109+D2110*D2111,0)</f>
        <v>130</v>
      </c>
      <c r="E2112" s="11">
        <f t="shared" ref="E2112:O2112" si="7164">IFERROR(E2108*E2109+E2110*E2111,0)</f>
        <v>130</v>
      </c>
      <c r="F2112" s="11">
        <f t="shared" si="7164"/>
        <v>130</v>
      </c>
      <c r="G2112" s="11">
        <f t="shared" si="7164"/>
        <v>130</v>
      </c>
      <c r="H2112" s="11">
        <f t="shared" si="7164"/>
        <v>130</v>
      </c>
      <c r="I2112" s="11">
        <f t="shared" si="7164"/>
        <v>130</v>
      </c>
      <c r="J2112" s="11">
        <f t="shared" si="7164"/>
        <v>130</v>
      </c>
      <c r="K2112" s="11">
        <f t="shared" si="7164"/>
        <v>130</v>
      </c>
      <c r="L2112" s="11">
        <f t="shared" si="7164"/>
        <v>130</v>
      </c>
      <c r="M2112" s="11">
        <f t="shared" si="7164"/>
        <v>130</v>
      </c>
      <c r="N2112" s="11">
        <f t="shared" si="7164"/>
        <v>130</v>
      </c>
      <c r="O2112" s="11">
        <f t="shared" si="7164"/>
        <v>130</v>
      </c>
      <c r="P2112" s="11"/>
      <c r="Q2112" s="11"/>
      <c r="R2112" s="11"/>
      <c r="S2112" s="11"/>
      <c r="T2112" s="11"/>
      <c r="U2112" s="11"/>
      <c r="V2112" s="11"/>
      <c r="W2112" s="11"/>
      <c r="X2112" s="11"/>
      <c r="Y2112" s="11"/>
      <c r="Z2112" s="11"/>
      <c r="AA2112" s="11"/>
      <c r="AB2112" s="11"/>
      <c r="AC2112" s="11"/>
      <c r="AD2112" s="11"/>
      <c r="AE2112" s="11"/>
      <c r="AF2112" s="11"/>
    </row>
    <row r="2113" spans="1:32" ht="17.149999999999999" x14ac:dyDescent="0.55000000000000004">
      <c r="A2113" t="str" cm="1">
        <f t="array" ref="A2113">INDEX(FX_Input,$Q2113,R$5)</f>
        <v>FX - 63</v>
      </c>
      <c r="B2113" t="str" cm="1">
        <f t="array" ref="B2113">INDEX(FX_Input,Q2113,S2113)</f>
        <v>Portland</v>
      </c>
      <c r="C2113" t="s">
        <v>563</v>
      </c>
      <c r="D2113">
        <v>14.7</v>
      </c>
      <c r="E2113">
        <v>14.7</v>
      </c>
      <c r="F2113">
        <v>14.7</v>
      </c>
      <c r="G2113">
        <v>14.7</v>
      </c>
      <c r="H2113">
        <v>14.7</v>
      </c>
      <c r="I2113">
        <v>14.7</v>
      </c>
      <c r="J2113">
        <v>14.7</v>
      </c>
      <c r="K2113">
        <v>14.7</v>
      </c>
      <c r="L2113">
        <v>14.7</v>
      </c>
      <c r="M2113">
        <v>14.7</v>
      </c>
      <c r="N2113">
        <v>14.7</v>
      </c>
      <c r="O2113">
        <v>14.7</v>
      </c>
      <c r="Q2113">
        <f>Q2079+2</f>
        <v>125</v>
      </c>
      <c r="R2113">
        <v>1</v>
      </c>
      <c r="S2113">
        <v>3</v>
      </c>
      <c r="T2113">
        <v>1</v>
      </c>
      <c r="U2113">
        <v>19</v>
      </c>
      <c r="V2113">
        <v>20</v>
      </c>
      <c r="W2113">
        <v>25</v>
      </c>
      <c r="X2113">
        <v>1</v>
      </c>
      <c r="Y2113">
        <v>2</v>
      </c>
      <c r="Z2113">
        <f>(W2113-V2113)/(Y2113-X2113)</f>
        <v>5</v>
      </c>
      <c r="AA2113">
        <f>V2113-Z2113*X2113</f>
        <v>15</v>
      </c>
      <c r="AD2113">
        <f>AD2079+14</f>
        <v>869</v>
      </c>
      <c r="AF2113">
        <f>AF2079+14</f>
        <v>869</v>
      </c>
    </row>
    <row r="2114" spans="1:32" ht="17.149999999999999" x14ac:dyDescent="0.55000000000000004">
      <c r="B2114" t="str">
        <f t="shared" ref="B2114" si="7165">B2113</f>
        <v>Portland</v>
      </c>
      <c r="C2114" t="s">
        <v>564</v>
      </c>
      <c r="D2114" cm="1">
        <f t="array" ref="D2114">IF(ISBLANK(INDEX(FX_Input,$Q2113,$AB2114)),0.03,INDEX(FX_Input,Q2113,AB2114))</f>
        <v>0.03</v>
      </c>
      <c r="E2114" cm="1">
        <f t="array" ref="E2114">IF(ISBLANK(INDEX(FX_Input,$Q2113,$AB2114)),0.03,INDEX(FX_Input,R2113,#REF!))</f>
        <v>0.03</v>
      </c>
      <c r="F2114" cm="1">
        <f t="array" ref="F2114">IF(ISBLANK(INDEX(FX_Input,$Q2113,$AB2114)),0.03,INDEX(FX_Input,S2113,#REF!))</f>
        <v>0.03</v>
      </c>
      <c r="G2114" cm="1">
        <f t="array" ref="G2114">IF(ISBLANK(INDEX(FX_Input,$Q2113,$AB2114)),0.03,INDEX(FX_Input,AB2113,#REF!))</f>
        <v>0.03</v>
      </c>
      <c r="H2114" cm="1">
        <f t="array" ref="H2114">IF(ISBLANK(INDEX(FX_Input,$Q2113,$AB2114)),0.03,INDEX(FX_Input,#REF!,#REF!))</f>
        <v>0.03</v>
      </c>
      <c r="I2114" cm="1">
        <f t="array" ref="I2114">IF(ISBLANK(INDEX(FX_Input,$Q2113,$AB2114)),0.03,INDEX(FX_Input,#REF!,#REF!))</f>
        <v>0.03</v>
      </c>
      <c r="J2114" cm="1">
        <f t="array" ref="J2114">IF(ISBLANK(INDEX(FX_Input,$Q2113,$AB2114)),0.03,INDEX(FX_Input,#REF!,#REF!))</f>
        <v>0.03</v>
      </c>
      <c r="K2114" cm="1">
        <f t="array" ref="K2114">IF(ISBLANK(INDEX(FX_Input,$Q2113,$AB2114)),0.03,INDEX(FX_Input,#REF!,AC2114))</f>
        <v>0.03</v>
      </c>
      <c r="L2114" cm="1">
        <f t="array" ref="L2114">IF(ISBLANK(INDEX(FX_Input,$Q2113,$AB2114)),0.03,INDEX(FX_Input,#REF!,AD2114))</f>
        <v>0.03</v>
      </c>
      <c r="M2114" cm="1">
        <f t="array" ref="M2114">IF(ISBLANK(INDEX(FX_Input,$Q2113,$AB2114)),0.03,INDEX(FX_Input,#REF!,#REF!))</f>
        <v>0.03</v>
      </c>
      <c r="N2114" cm="1">
        <f t="array" ref="N2114">IF(ISBLANK(INDEX(FX_Input,$Q2113,$AB2114)),0.03,INDEX(FX_Input,AC2113,#REF!))</f>
        <v>0.03</v>
      </c>
      <c r="O2114" cm="1">
        <f t="array" ref="O2114">IF(ISBLANK(INDEX(FX_Input,$Q2113,$AB2114)),0.03,INDEX(FX_Input,AD2113,#REF!))</f>
        <v>0.03</v>
      </c>
      <c r="AB2114">
        <v>15</v>
      </c>
    </row>
    <row r="2115" spans="1:32" ht="17.149999999999999" x14ac:dyDescent="0.55000000000000004">
      <c r="B2115" t="str">
        <f>B2114</f>
        <v>Portland</v>
      </c>
      <c r="C2115" t="s">
        <v>565</v>
      </c>
      <c r="D2115" cm="1">
        <f t="array" ref="D2115">IF(ISBLANK(INDEX(FX_Input,$Q2113,$AB2115)),-0.03,INDEX(FX_Input,Q2113,AB2115))</f>
        <v>-0.03</v>
      </c>
      <c r="E2115" cm="1">
        <f t="array" ref="E2115">IF(ISBLANK(INDEX(FX_Input,$Q2113,$AB2115)),-0.03,INDEX(FX_Input,R2113,#REF!))</f>
        <v>-0.03</v>
      </c>
      <c r="F2115" cm="1">
        <f t="array" ref="F2115">IF(ISBLANK(INDEX(FX_Input,$Q2113,$AB2115)),-0.03,INDEX(FX_Input,S2113,#REF!))</f>
        <v>-0.03</v>
      </c>
      <c r="G2115" cm="1">
        <f t="array" ref="G2115">IF(ISBLANK(INDEX(FX_Input,$Q2113,$AB2115)),-0.03,INDEX(FX_Input,AB2113,#REF!))</f>
        <v>-0.03</v>
      </c>
      <c r="H2115" cm="1">
        <f t="array" ref="H2115">IF(ISBLANK(INDEX(FX_Input,$Q2113,$AB2115)),-0.03,INDEX(FX_Input,#REF!,#REF!))</f>
        <v>-0.03</v>
      </c>
      <c r="I2115" cm="1">
        <f t="array" ref="I2115">IF(ISBLANK(INDEX(FX_Input,$Q2113,$AB2115)),-0.03,INDEX(FX_Input,#REF!,#REF!))</f>
        <v>-0.03</v>
      </c>
      <c r="J2115" cm="1">
        <f t="array" ref="J2115">IF(ISBLANK(INDEX(FX_Input,$Q2113,$AB2115)),-0.03,INDEX(FX_Input,#REF!,#REF!))</f>
        <v>-0.03</v>
      </c>
      <c r="K2115" cm="1">
        <f t="array" ref="K2115">IF(ISBLANK(INDEX(FX_Input,$Q2113,$AB2115)),-0.03,INDEX(FX_Input,#REF!,AC2115))</f>
        <v>-0.03</v>
      </c>
      <c r="L2115" cm="1">
        <f t="array" ref="L2115">IF(ISBLANK(INDEX(FX_Input,$Q2113,$AB2115)),-0.03,INDEX(FX_Input,#REF!,AD2115))</f>
        <v>-0.03</v>
      </c>
      <c r="M2115" cm="1">
        <f t="array" ref="M2115">IF(ISBLANK(INDEX(FX_Input,$Q2113,$AB2115)),-0.03,INDEX(FX_Input,#REF!,#REF!))</f>
        <v>-0.03</v>
      </c>
      <c r="N2115" cm="1">
        <f t="array" ref="N2115">IF(ISBLANK(INDEX(FX_Input,$Q2113,$AB2115)),-0.03,INDEX(FX_Input,AC2113,#REF!))</f>
        <v>-0.03</v>
      </c>
      <c r="O2115" cm="1">
        <f t="array" ref="O2115">IF(ISBLANK(INDEX(FX_Input,$Q2113,$AB2115)),-0.03,INDEX(FX_Input,AD2113,#REF!))</f>
        <v>-0.03</v>
      </c>
      <c r="AB2115">
        <v>16</v>
      </c>
    </row>
    <row r="2116" spans="1:32" x14ac:dyDescent="0.4">
      <c r="B2116" t="str">
        <f t="shared" ref="B2116:B2117" si="7166">B2115</f>
        <v>Portland</v>
      </c>
      <c r="C2116" s="66" t="s">
        <v>567</v>
      </c>
      <c r="D2116" t="str" cm="1">
        <f t="array" ref="D2116">INDEX(FX_Multi,$AD2116,D$3)</f>
        <v>Jet kerosene</v>
      </c>
      <c r="E2116" t="str" cm="1">
        <f t="array" ref="E2116">INDEX(FX_Multi,$AD2116,E$3)</f>
        <v>Jet kerosene</v>
      </c>
      <c r="F2116" t="str" cm="1">
        <f t="array" ref="F2116">INDEX(FX_Multi,$AD2116,F$3)</f>
        <v>Jet kerosene</v>
      </c>
      <c r="G2116" t="str" cm="1">
        <f t="array" ref="G2116">INDEX(FX_Multi,$AD2116,G$3)</f>
        <v>Jet kerosene</v>
      </c>
      <c r="H2116" t="str" cm="1">
        <f t="array" ref="H2116">INDEX(FX_Multi,$AD2116,H$3)</f>
        <v>Jet kerosene</v>
      </c>
      <c r="I2116" t="str" cm="1">
        <f t="array" ref="I2116">INDEX(FX_Multi,$AD2116,I$3)</f>
        <v>Jet kerosene</v>
      </c>
      <c r="J2116" t="str" cm="1">
        <f t="array" ref="J2116">INDEX(FX_Multi,$AD2116,J$3)</f>
        <v>Jet kerosene</v>
      </c>
      <c r="K2116" t="str" cm="1">
        <f t="array" ref="K2116">INDEX(FX_Multi,$AD2116,K$3)</f>
        <v>Jet kerosene</v>
      </c>
      <c r="L2116" t="str" cm="1">
        <f t="array" ref="L2116">INDEX(FX_Multi,$AD2116,L$3)</f>
        <v>Jet kerosene</v>
      </c>
      <c r="M2116" t="str" cm="1">
        <f t="array" ref="M2116">INDEX(FX_Multi,$AD2116,M$3)</f>
        <v>Jet kerosene</v>
      </c>
      <c r="N2116" t="str" cm="1">
        <f t="array" ref="N2116">INDEX(FX_Multi,$AD2116,N$3)</f>
        <v>Jet kerosene</v>
      </c>
      <c r="O2116" t="str" cm="1">
        <f t="array" ref="O2116">INDEX(FX_Multi,$AD2116,O$3)</f>
        <v>Jet kerosene</v>
      </c>
      <c r="AC2116">
        <v>1</v>
      </c>
      <c r="AD2116">
        <f>AD2113</f>
        <v>869</v>
      </c>
      <c r="AE2116">
        <v>1</v>
      </c>
      <c r="AF2116">
        <f>AF2113</f>
        <v>869</v>
      </c>
    </row>
    <row r="2117" spans="1:32" x14ac:dyDescent="0.4">
      <c r="B2117" t="str">
        <f t="shared" si="7166"/>
        <v>Portland</v>
      </c>
      <c r="C2117" s="66" t="s">
        <v>566</v>
      </c>
      <c r="D2117" t="str" cm="1">
        <f t="array" ref="D2117">INDEX(FX_Multi,$AD2117,D$3)</f>
        <v>Select Pet Stock</v>
      </c>
      <c r="E2117" t="str" cm="1">
        <f t="array" ref="E2117">INDEX(FX_Multi,$AD2117,E$3)</f>
        <v>Select Pet Stock</v>
      </c>
      <c r="F2117" t="str" cm="1">
        <f t="array" ref="F2117">INDEX(FX_Multi,$AD2117,F$3)</f>
        <v>Select Pet Stock</v>
      </c>
      <c r="G2117" t="str" cm="1">
        <f t="array" ref="G2117">INDEX(FX_Multi,$AD2117,G$3)</f>
        <v>Select Pet Stock</v>
      </c>
      <c r="H2117" t="str" cm="1">
        <f t="array" ref="H2117">INDEX(FX_Multi,$AD2117,H$3)</f>
        <v>Select Pet Stock</v>
      </c>
      <c r="I2117" t="str" cm="1">
        <f t="array" ref="I2117">INDEX(FX_Multi,$AD2117,I$3)</f>
        <v>Select Pet Stock</v>
      </c>
      <c r="J2117" t="str" cm="1">
        <f t="array" ref="J2117">INDEX(FX_Multi,$AD2117,J$3)</f>
        <v>Select Pet Stock</v>
      </c>
      <c r="K2117" t="str" cm="1">
        <f t="array" ref="K2117">INDEX(FX_Multi,$AD2117,K$3)</f>
        <v>Select Pet Stock</v>
      </c>
      <c r="L2117" t="str" cm="1">
        <f t="array" ref="L2117">INDEX(FX_Multi,$AD2117,L$3)</f>
        <v>Select Pet Stock</v>
      </c>
      <c r="M2117" t="str" cm="1">
        <f t="array" ref="M2117">INDEX(FX_Multi,$AD2117,M$3)</f>
        <v>Select Pet Stock</v>
      </c>
      <c r="N2117" t="str" cm="1">
        <f t="array" ref="N2117">INDEX(FX_Multi,$AD2117,N$3)</f>
        <v>Select Pet Stock</v>
      </c>
      <c r="O2117" t="str" cm="1">
        <f t="array" ref="O2117">INDEX(FX_Multi,$AD2117,O$3)</f>
        <v>Select Pet Stock</v>
      </c>
      <c r="AC2117">
        <v>1</v>
      </c>
      <c r="AD2117">
        <f>AD2116+2</f>
        <v>871</v>
      </c>
      <c r="AE2117">
        <v>1</v>
      </c>
      <c r="AF2117">
        <f>AF2116+3</f>
        <v>872</v>
      </c>
    </row>
    <row r="2118" spans="1:32" x14ac:dyDescent="0.4">
      <c r="B2118" t="str">
        <f>B2114</f>
        <v>Portland</v>
      </c>
      <c r="C2118" s="66" t="s">
        <v>568</v>
      </c>
      <c r="D2118" cm="1">
        <f t="array" ref="D2118">INDEX(FX_Multi,$AD2118,D$3)</f>
        <v>0</v>
      </c>
      <c r="E2118" cm="1">
        <f t="array" ref="E2118">INDEX(FX_Multi,$AD2118,E$3)</f>
        <v>0</v>
      </c>
      <c r="F2118" cm="1">
        <f t="array" ref="F2118">INDEX(FX_Multi,$AD2118,F$3)</f>
        <v>0</v>
      </c>
      <c r="G2118" cm="1">
        <f t="array" ref="G2118">INDEX(FX_Multi,$AD2118,G$3)</f>
        <v>0</v>
      </c>
      <c r="H2118" cm="1">
        <f t="array" ref="H2118">INDEX(FX_Multi,$AD2118,H$3)</f>
        <v>0</v>
      </c>
      <c r="I2118" cm="1">
        <f t="array" ref="I2118">INDEX(FX_Multi,$AD2118,I$3)</f>
        <v>0</v>
      </c>
      <c r="J2118" cm="1">
        <f t="array" ref="J2118">INDEX(FX_Multi,$AD2118,J$3)</f>
        <v>0</v>
      </c>
      <c r="K2118" cm="1">
        <f t="array" ref="K2118">INDEX(FX_Multi,$AD2118,K$3)</f>
        <v>0</v>
      </c>
      <c r="L2118" cm="1">
        <f t="array" ref="L2118">INDEX(FX_Multi,$AD2118,L$3)</f>
        <v>0</v>
      </c>
      <c r="M2118" cm="1">
        <f t="array" ref="M2118">INDEX(FX_Multi,$AD2118,M$3)</f>
        <v>0</v>
      </c>
      <c r="N2118" cm="1">
        <f t="array" ref="N2118">INDEX(FX_Multi,$AD2118,N$3)</f>
        <v>0</v>
      </c>
      <c r="O2118" cm="1">
        <f t="array" ref="O2118">INDEX(FX_Multi,$AD2118,O$3)</f>
        <v>0</v>
      </c>
      <c r="AC2118">
        <v>1</v>
      </c>
      <c r="AD2118">
        <f>AD2117-1</f>
        <v>870</v>
      </c>
      <c r="AE2118">
        <v>1</v>
      </c>
      <c r="AF2118">
        <f>AF2116+1</f>
        <v>870</v>
      </c>
    </row>
    <row r="2119" spans="1:32" x14ac:dyDescent="0.4">
      <c r="B2119" t="str">
        <f t="shared" ref="B2119:B2123" si="7167">B2118</f>
        <v>Portland</v>
      </c>
      <c r="C2119" s="66" t="s">
        <v>569</v>
      </c>
      <c r="D2119" cm="1">
        <f t="array" ref="D2119">INDEX(FX_Multi,$AD2119,D$3)</f>
        <v>0</v>
      </c>
      <c r="E2119" cm="1">
        <f t="array" ref="E2119">INDEX(FX_Multi,$AD2119,E$3)</f>
        <v>0</v>
      </c>
      <c r="F2119" cm="1">
        <f t="array" ref="F2119">INDEX(FX_Multi,$AD2119,F$3)</f>
        <v>0</v>
      </c>
      <c r="G2119" cm="1">
        <f t="array" ref="G2119">INDEX(FX_Multi,$AD2119,G$3)</f>
        <v>0</v>
      </c>
      <c r="H2119" cm="1">
        <f t="array" ref="H2119">INDEX(FX_Multi,$AD2119,H$3)</f>
        <v>0</v>
      </c>
      <c r="I2119" cm="1">
        <f t="array" ref="I2119">INDEX(FX_Multi,$AD2119,I$3)</f>
        <v>0</v>
      </c>
      <c r="J2119" cm="1">
        <f t="array" ref="J2119">INDEX(FX_Multi,$AD2119,J$3)</f>
        <v>0</v>
      </c>
      <c r="K2119" cm="1">
        <f t="array" ref="K2119">INDEX(FX_Multi,$AD2119,K$3)</f>
        <v>0</v>
      </c>
      <c r="L2119" cm="1">
        <f t="array" ref="L2119">INDEX(FX_Multi,$AD2119,L$3)</f>
        <v>0</v>
      </c>
      <c r="M2119" cm="1">
        <f t="array" ref="M2119">INDEX(FX_Multi,$AD2119,M$3)</f>
        <v>0</v>
      </c>
      <c r="N2119" cm="1">
        <f t="array" ref="N2119">INDEX(FX_Multi,$AD2119,N$3)</f>
        <v>0</v>
      </c>
      <c r="O2119" cm="1">
        <f t="array" ref="O2119">INDEX(FX_Multi,$AD2119,O$3)</f>
        <v>0</v>
      </c>
      <c r="AC2119">
        <v>1</v>
      </c>
      <c r="AD2119">
        <f>AD2118+2</f>
        <v>872</v>
      </c>
      <c r="AE2119">
        <v>1</v>
      </c>
      <c r="AF2119">
        <f>AF2117</f>
        <v>872</v>
      </c>
    </row>
    <row r="2120" spans="1:32" ht="17.149999999999999" x14ac:dyDescent="0.55000000000000004">
      <c r="B2120" t="str">
        <f t="shared" si="7167"/>
        <v>Portland</v>
      </c>
      <c r="C2120" t="s">
        <v>570</v>
      </c>
      <c r="D2120" cm="1">
        <f t="array" ref="D2120">INDEX(FX_Multi,$AD2120,D$3)</f>
        <v>1</v>
      </c>
      <c r="E2120" cm="1">
        <f t="array" ref="E2120">INDEX(FX_Multi,$AD2120,E$3)</f>
        <v>1</v>
      </c>
      <c r="F2120" cm="1">
        <f t="array" ref="F2120">INDEX(FX_Multi,$AD2120,F$3)</f>
        <v>1</v>
      </c>
      <c r="G2120" cm="1">
        <f t="array" ref="G2120">INDEX(FX_Multi,$AD2120,G$3)</f>
        <v>1</v>
      </c>
      <c r="H2120" cm="1">
        <f t="array" ref="H2120">INDEX(FX_Multi,$AD2120,H$3)</f>
        <v>1</v>
      </c>
      <c r="I2120" cm="1">
        <f t="array" ref="I2120">INDEX(FX_Multi,$AD2120,I$3)</f>
        <v>1</v>
      </c>
      <c r="J2120" cm="1">
        <f t="array" ref="J2120">INDEX(FX_Multi,$AD2120,J$3)</f>
        <v>1</v>
      </c>
      <c r="K2120" cm="1">
        <f t="array" ref="K2120">INDEX(FX_Multi,$AD2120,K$3)</f>
        <v>1</v>
      </c>
      <c r="L2120" cm="1">
        <f t="array" ref="L2120">INDEX(FX_Multi,$AD2120,L$3)</f>
        <v>1</v>
      </c>
      <c r="M2120" cm="1">
        <f t="array" ref="M2120">INDEX(FX_Multi,$AD2120,M$3)</f>
        <v>1</v>
      </c>
      <c r="N2120" cm="1">
        <f t="array" ref="N2120">INDEX(FX_Multi,$AD2120,N$3)</f>
        <v>1</v>
      </c>
      <c r="O2120" cm="1">
        <f t="array" ref="O2120">INDEX(FX_Multi,$AD2120,O$3)</f>
        <v>1</v>
      </c>
      <c r="AC2120">
        <v>1</v>
      </c>
      <c r="AD2120">
        <f>AD2119+6</f>
        <v>878</v>
      </c>
      <c r="AE2120">
        <v>1</v>
      </c>
      <c r="AF2120">
        <f>AF2116+9</f>
        <v>878</v>
      </c>
    </row>
    <row r="2121" spans="1:32" ht="17.149999999999999" x14ac:dyDescent="0.55000000000000004">
      <c r="B2121" t="str">
        <f t="shared" si="7167"/>
        <v>Portland</v>
      </c>
      <c r="C2121" t="s">
        <v>571</v>
      </c>
      <c r="D2121" cm="1">
        <f t="array" ref="D2121">INDEX(FX_Multi,$AD2121,D$3)</f>
        <v>162</v>
      </c>
      <c r="E2121" cm="1">
        <f t="array" ref="E2121">INDEX(FX_Multi,$AD2121,E$3)</f>
        <v>162</v>
      </c>
      <c r="F2121" cm="1">
        <f t="array" ref="F2121">INDEX(FX_Multi,$AD2121,F$3)</f>
        <v>162</v>
      </c>
      <c r="G2121" cm="1">
        <f t="array" ref="G2121">INDEX(FX_Multi,$AD2121,G$3)</f>
        <v>162</v>
      </c>
      <c r="H2121" cm="1">
        <f t="array" ref="H2121">INDEX(FX_Multi,$AD2121,H$3)</f>
        <v>162</v>
      </c>
      <c r="I2121" cm="1">
        <f t="array" ref="I2121">INDEX(FX_Multi,$AD2121,I$3)</f>
        <v>162</v>
      </c>
      <c r="J2121" cm="1">
        <f t="array" ref="J2121">INDEX(FX_Multi,$AD2121,J$3)</f>
        <v>162</v>
      </c>
      <c r="K2121" cm="1">
        <f t="array" ref="K2121">INDEX(FX_Multi,$AD2121,K$3)</f>
        <v>162</v>
      </c>
      <c r="L2121" cm="1">
        <f t="array" ref="L2121">INDEX(FX_Multi,$AD2121,L$3)</f>
        <v>162</v>
      </c>
      <c r="M2121" cm="1">
        <f t="array" ref="M2121">INDEX(FX_Multi,$AD2121,M$3)</f>
        <v>162</v>
      </c>
      <c r="N2121" cm="1">
        <f t="array" ref="N2121">INDEX(FX_Multi,$AD2121,N$3)</f>
        <v>162</v>
      </c>
      <c r="O2121" cm="1">
        <f t="array" ref="O2121">INDEX(FX_Multi,$AD2121,O$3)</f>
        <v>162</v>
      </c>
      <c r="AC2121">
        <v>1</v>
      </c>
      <c r="AD2121">
        <f>AD2120-3</f>
        <v>875</v>
      </c>
      <c r="AE2121">
        <v>1</v>
      </c>
      <c r="AF2121">
        <f>AF2116+6</f>
        <v>875</v>
      </c>
    </row>
    <row r="2122" spans="1:32" ht="17.149999999999999" x14ac:dyDescent="0.55000000000000004">
      <c r="B2122" t="str">
        <f t="shared" si="7167"/>
        <v>Portland</v>
      </c>
      <c r="C2122" t="s">
        <v>572</v>
      </c>
      <c r="D2122" cm="1">
        <f t="array" ref="D2122">INDEX(FX_Multi,$AD2122,D$3)</f>
        <v>0</v>
      </c>
      <c r="E2122" cm="1">
        <f t="array" ref="E2122">INDEX(FX_Multi,$AD2122,E$3)</f>
        <v>0</v>
      </c>
      <c r="F2122" cm="1">
        <f t="array" ref="F2122">INDEX(FX_Multi,$AD2122,F$3)</f>
        <v>0</v>
      </c>
      <c r="G2122" cm="1">
        <f t="array" ref="G2122">INDEX(FX_Multi,$AD2122,G$3)</f>
        <v>0</v>
      </c>
      <c r="H2122" cm="1">
        <f t="array" ref="H2122">INDEX(FX_Multi,$AD2122,H$3)</f>
        <v>0</v>
      </c>
      <c r="I2122" cm="1">
        <f t="array" ref="I2122">INDEX(FX_Multi,$AD2122,I$3)</f>
        <v>0</v>
      </c>
      <c r="J2122" cm="1">
        <f t="array" ref="J2122">INDEX(FX_Multi,$AD2122,J$3)</f>
        <v>0</v>
      </c>
      <c r="K2122" cm="1">
        <f t="array" ref="K2122">INDEX(FX_Multi,$AD2122,K$3)</f>
        <v>0</v>
      </c>
      <c r="L2122" cm="1">
        <f t="array" ref="L2122">INDEX(FX_Multi,$AD2122,L$3)</f>
        <v>0</v>
      </c>
      <c r="M2122" cm="1">
        <f t="array" ref="M2122">INDEX(FX_Multi,$AD2122,M$3)</f>
        <v>0</v>
      </c>
      <c r="N2122" cm="1">
        <f t="array" ref="N2122">INDEX(FX_Multi,$AD2122,N$3)</f>
        <v>0</v>
      </c>
      <c r="O2122" cm="1">
        <f t="array" ref="O2122">INDEX(FX_Multi,$AD2122,O$3)</f>
        <v>0</v>
      </c>
      <c r="AC2122">
        <v>1</v>
      </c>
      <c r="AD2122">
        <f>AD2121+4</f>
        <v>879</v>
      </c>
      <c r="AE2122">
        <v>1</v>
      </c>
      <c r="AF2122">
        <f>AF2116+10</f>
        <v>879</v>
      </c>
    </row>
    <row r="2123" spans="1:32" ht="17.149999999999999" x14ac:dyDescent="0.55000000000000004">
      <c r="B2123" t="str">
        <f t="shared" si="7167"/>
        <v>Portland</v>
      </c>
      <c r="C2123" t="s">
        <v>573</v>
      </c>
      <c r="D2123" cm="1">
        <f t="array" ref="D2123">INDEX(FX_Multi,$AD2123,D$3)</f>
        <v>0</v>
      </c>
      <c r="E2123" cm="1">
        <f t="array" ref="E2123">INDEX(FX_Multi,$AD2123,E$3)</f>
        <v>0</v>
      </c>
      <c r="F2123" cm="1">
        <f t="array" ref="F2123">INDEX(FX_Multi,$AD2123,F$3)</f>
        <v>0</v>
      </c>
      <c r="G2123" cm="1">
        <f t="array" ref="G2123">INDEX(FX_Multi,$AD2123,G$3)</f>
        <v>0</v>
      </c>
      <c r="H2123" cm="1">
        <f t="array" ref="H2123">INDEX(FX_Multi,$AD2123,H$3)</f>
        <v>0</v>
      </c>
      <c r="I2123" cm="1">
        <f t="array" ref="I2123">INDEX(FX_Multi,$AD2123,I$3)</f>
        <v>0</v>
      </c>
      <c r="J2123" cm="1">
        <f t="array" ref="J2123">INDEX(FX_Multi,$AD2123,J$3)</f>
        <v>0</v>
      </c>
      <c r="K2123" cm="1">
        <f t="array" ref="K2123">INDEX(FX_Multi,$AD2123,K$3)</f>
        <v>0</v>
      </c>
      <c r="L2123" cm="1">
        <f t="array" ref="L2123">INDEX(FX_Multi,$AD2123,L$3)</f>
        <v>0</v>
      </c>
      <c r="M2123" cm="1">
        <f t="array" ref="M2123">INDEX(FX_Multi,$AD2123,M$3)</f>
        <v>0</v>
      </c>
      <c r="N2123" cm="1">
        <f t="array" ref="N2123">INDEX(FX_Multi,$AD2123,N$3)</f>
        <v>0</v>
      </c>
      <c r="O2123" cm="1">
        <f t="array" ref="O2123">INDEX(FX_Multi,$AD2123,O$3)</f>
        <v>0</v>
      </c>
      <c r="AC2123">
        <v>1</v>
      </c>
      <c r="AD2123">
        <f>AD2122-3</f>
        <v>876</v>
      </c>
      <c r="AE2123">
        <v>1</v>
      </c>
      <c r="AF2123">
        <f>AF2116+7</f>
        <v>876</v>
      </c>
    </row>
    <row r="2124" spans="1:32" ht="17.149999999999999" x14ac:dyDescent="0.55000000000000004">
      <c r="B2124" t="str">
        <f>B2119</f>
        <v>Portland</v>
      </c>
      <c r="C2124" t="s">
        <v>526</v>
      </c>
      <c r="D2124" cm="1">
        <f t="array" ref="D2124">INDEX(FX_Temps,$AF2124,D$3)</f>
        <v>43.899999999999977</v>
      </c>
      <c r="E2124" cm="1">
        <f t="array" ref="E2124">INDEX(FX_Temps,$AF2124,E$3)</f>
        <v>44.700000000000045</v>
      </c>
      <c r="F2124" cm="1">
        <f t="array" ref="F2124">INDEX(FX_Temps,$AF2124,F$3)</f>
        <v>46.100000000000023</v>
      </c>
      <c r="G2124" cm="1">
        <f t="array" ref="G2124">INDEX(FX_Temps,$AF2124,G$3)</f>
        <v>48.599999999999966</v>
      </c>
      <c r="H2124" cm="1">
        <f t="array" ref="H2124">INDEX(FX_Temps,$AF2124,H$3)</f>
        <v>53.149999999999977</v>
      </c>
      <c r="I2124" cm="1">
        <f t="array" ref="I2124">INDEX(FX_Temps,$AF2124,I$3)</f>
        <v>56.950000000000045</v>
      </c>
      <c r="J2124" cm="1">
        <f t="array" ref="J2124">INDEX(FX_Temps,$AF2124,J$3)</f>
        <v>60.449999999999932</v>
      </c>
      <c r="K2124" cm="1">
        <f t="array" ref="K2124">INDEX(FX_Temps,$AF2124,K$3)</f>
        <v>60.899999999999977</v>
      </c>
      <c r="L2124" cm="1">
        <f t="array" ref="L2124">INDEX(FX_Temps,$AF2124,L$3)</f>
        <v>58.600000000000023</v>
      </c>
      <c r="M2124" cm="1">
        <f t="array" ref="M2124">INDEX(FX_Temps,$AF2124,M$3)</f>
        <v>52.649999999999977</v>
      </c>
      <c r="N2124" cm="1">
        <f t="array" ref="N2124">INDEX(FX_Temps,$AF2124,N$3)</f>
        <v>47.100000000000023</v>
      </c>
      <c r="O2124" cm="1">
        <f t="array" ref="O2124">INDEX(FX_Temps,$AF2124,O$3)</f>
        <v>43.600000000000023</v>
      </c>
      <c r="AE2124">
        <v>1</v>
      </c>
      <c r="AF2124">
        <f>AF2116+10</f>
        <v>879</v>
      </c>
    </row>
    <row r="2125" spans="1:32" ht="17.149999999999999" x14ac:dyDescent="0.55000000000000004">
      <c r="B2125" t="str">
        <f t="shared" ref="B2125:B2146" si="7168">B2124</f>
        <v>Portland</v>
      </c>
      <c r="C2125" t="s">
        <v>527</v>
      </c>
      <c r="D2125" cm="1">
        <f t="array" ref="D2125">INDEX(FX_Temps,$AF2125,D$3)</f>
        <v>43.899999999999977</v>
      </c>
      <c r="E2125" cm="1">
        <f t="array" ref="E2125">INDEX(FX_Temps,$AF2125,E$3)</f>
        <v>44.700000000000045</v>
      </c>
      <c r="F2125" cm="1">
        <f t="array" ref="F2125">INDEX(FX_Temps,$AF2125,F$3)</f>
        <v>46.100000000000023</v>
      </c>
      <c r="G2125" cm="1">
        <f t="array" ref="G2125">INDEX(FX_Temps,$AF2125,G$3)</f>
        <v>48.599999999999966</v>
      </c>
      <c r="H2125" cm="1">
        <f t="array" ref="H2125">INDEX(FX_Temps,$AF2125,H$3)</f>
        <v>53.149999999999977</v>
      </c>
      <c r="I2125" cm="1">
        <f t="array" ref="I2125">INDEX(FX_Temps,$AF2125,I$3)</f>
        <v>56.950000000000045</v>
      </c>
      <c r="J2125" cm="1">
        <f t="array" ref="J2125">INDEX(FX_Temps,$AF2125,J$3)</f>
        <v>60.449999999999932</v>
      </c>
      <c r="K2125" cm="1">
        <f t="array" ref="K2125">INDEX(FX_Temps,$AF2125,K$3)</f>
        <v>60.899999999999977</v>
      </c>
      <c r="L2125" cm="1">
        <f t="array" ref="L2125">INDEX(FX_Temps,$AF2125,L$3)</f>
        <v>58.600000000000023</v>
      </c>
      <c r="M2125" cm="1">
        <f t="array" ref="M2125">INDEX(FX_Temps,$AF2125,M$3)</f>
        <v>52.649999999999977</v>
      </c>
      <c r="N2125" cm="1">
        <f t="array" ref="N2125">INDEX(FX_Temps,$AF2125,N$3)</f>
        <v>47.100000000000023</v>
      </c>
      <c r="O2125" cm="1">
        <f t="array" ref="O2125">INDEX(FX_Temps,$AF2125,O$3)</f>
        <v>43.600000000000023</v>
      </c>
      <c r="AE2125">
        <f>AE2124</f>
        <v>1</v>
      </c>
      <c r="AF2125">
        <f>AF2116+11</f>
        <v>880</v>
      </c>
    </row>
    <row r="2126" spans="1:32" ht="17.149999999999999" x14ac:dyDescent="0.55000000000000004">
      <c r="B2126" t="str">
        <f t="shared" si="7168"/>
        <v>Portland</v>
      </c>
      <c r="C2126" t="s">
        <v>552</v>
      </c>
      <c r="D2126" cm="1">
        <f t="array" ref="D2126">INDEX(FX_Temps,$AF2126,D$3)</f>
        <v>43.899999999999977</v>
      </c>
      <c r="E2126" cm="1">
        <f t="array" ref="E2126">INDEX(FX_Temps,$AF2126,E$3)</f>
        <v>44.700000000000045</v>
      </c>
      <c r="F2126" cm="1">
        <f t="array" ref="F2126">INDEX(FX_Temps,$AF2126,F$3)</f>
        <v>46.100000000000023</v>
      </c>
      <c r="G2126" cm="1">
        <f t="array" ref="G2126">INDEX(FX_Temps,$AF2126,G$3)</f>
        <v>48.599999999999966</v>
      </c>
      <c r="H2126" cm="1">
        <f t="array" ref="H2126">INDEX(FX_Temps,$AF2126,H$3)</f>
        <v>53.149999999999977</v>
      </c>
      <c r="I2126" cm="1">
        <f t="array" ref="I2126">INDEX(FX_Temps,$AF2126,I$3)</f>
        <v>56.950000000000045</v>
      </c>
      <c r="J2126" cm="1">
        <f t="array" ref="J2126">INDEX(FX_Temps,$AF2126,J$3)</f>
        <v>60.449999999999932</v>
      </c>
      <c r="K2126" cm="1">
        <f t="array" ref="K2126">INDEX(FX_Temps,$AF2126,K$3)</f>
        <v>60.899999999999977</v>
      </c>
      <c r="L2126" cm="1">
        <f t="array" ref="L2126">INDEX(FX_Temps,$AF2126,L$3)</f>
        <v>58.600000000000023</v>
      </c>
      <c r="M2126" cm="1">
        <f t="array" ref="M2126">INDEX(FX_Temps,$AF2126,M$3)</f>
        <v>52.649999999999977</v>
      </c>
      <c r="N2126" cm="1">
        <f t="array" ref="N2126">INDEX(FX_Temps,$AF2126,N$3)</f>
        <v>47.100000000000023</v>
      </c>
      <c r="O2126" cm="1">
        <f t="array" ref="O2126">INDEX(FX_Temps,$AF2126,O$3)</f>
        <v>43.600000000000023</v>
      </c>
      <c r="AE2126">
        <f>AE2125</f>
        <v>1</v>
      </c>
      <c r="AF2126">
        <f>AF2116+13</f>
        <v>882</v>
      </c>
    </row>
    <row r="2127" spans="1:32" ht="17.149999999999999" x14ac:dyDescent="0.55000000000000004">
      <c r="B2127" t="str">
        <f t="shared" si="7168"/>
        <v>Portland</v>
      </c>
      <c r="C2127" t="s">
        <v>574</v>
      </c>
      <c r="D2127" cm="1">
        <f t="array" ref="D2127">IFERROR(IF(D2117="Chemical",(10^(INDEX(Antoines,MATCH(D2116,Antoine_Name,0),2)-INDEX(Antoines,MATCH(D2116,Antoine_Name,0),3)/(INDEX(Antoines,MATCH(D2116,Antoine_Name,0),4)+(D2124-32)*5/9)))*14.7/760,IF(D2117="Crude Oil",EXP((2799/(D2124+459.6)-2.227)*LOG10(INDEX(FX_Input,Q$5,D$3*$Z$5+$AA$5))-(7261/(D2124+459.6))+12.82),IF(D2117="Refined Petroleum Stock",EXP((0.7553-(413/(D2124+459.6)))*(INDEX(FX_Input,Q$5,D$3*$Z$5+$AA$5-1)^0.5)*LOG10(INDEX(FX_Input,Q$5,D$3*$Z$5+$AA$5))-(1.854-(1042/(D2124+459.6)))*(INDEX(FX_Input,Q$5,D$3*$Z$5+$AA$5-1)^0.5)+((2416/(D2124+459.6)-2.013)*LOG10(INDEX(FX_Input,Q$5,D$3*$Z$5+$AA$5)))-(8742/(D2124+459.6))+15.64),EXP(INDEX(Antoines,MATCH(D2116,Antoine_Name,0),2)-INDEX(Antoines,MATCH(D2116,Antoine_Name,0),3)/(D2124+459.6))))),0)</f>
        <v>4.739577185808354E-3</v>
      </c>
      <c r="E2127" cm="1">
        <f t="array" ref="E2127">IFERROR(IF(E2117="Chemical",(10^(INDEX(Antoines,MATCH(E2116,Antoine_Name,0),2)-INDEX(Antoines,MATCH(E2116,Antoine_Name,0),3)/(INDEX(Antoines,MATCH(E2116,Antoine_Name,0),4)+(E2124-32)*5/9)))*14.7/760,IF(E2117="Crude Oil",EXP((2799/(E2124+459.6)-2.227)*LOG10(INDEX(FX_Input,R$5,E$3*$Z$5+$AA$5))-(7261/(E2124+459.6))+12.82),IF(E2117="Refined Petroleum Stock",EXP((0.7553-(413/(E2124+459.6)))*(INDEX(FX_Input,R$5,E$3*$Z$5+$AA$5-1)^0.5)*LOG10(INDEX(FX_Input,R$5,E$3*$Z$5+$AA$5))-(1.854-(1042/(E2124+459.6)))*(INDEX(FX_Input,R$5,E$3*$Z$5+$AA$5-1)^0.5)+((2416/(E2124+459.6)-2.013)*LOG10(INDEX(FX_Input,R$5,E$3*$Z$5+$AA$5)))-(8742/(E2124+459.6))+15.64),EXP(INDEX(Antoines,MATCH(E2116,Antoine_Name,0),2)-INDEX(Antoines,MATCH(E2116,Antoine_Name,0),3)/(E2124+459.6))))),0)</f>
        <v>4.8748667780818778E-3</v>
      </c>
      <c r="F2127" cm="1">
        <f t="array" ref="F2127">IFERROR(IF(F2117="Chemical",(10^(INDEX(Antoines,MATCH(F2116,Antoine_Name,0),2)-INDEX(Antoines,MATCH(F2116,Antoine_Name,0),3)/(INDEX(Antoines,MATCH(F2116,Antoine_Name,0),4)+(F2124-32)*5/9)))*14.7/760,IF(F2117="Crude Oil",EXP((2799/(F2124+459.6)-2.227)*LOG10(INDEX(FX_Input,S$5,F$3*$Z$5+$AA$5))-(7261/(F2124+459.6))+12.82),IF(F2117="Refined Petroleum Stock",EXP((0.7553-(413/(F2124+459.6)))*(INDEX(FX_Input,S$5,F$3*$Z$5+$AA$5-1)^0.5)*LOG10(INDEX(FX_Input,S$5,F$3*$Z$5+$AA$5))-(1.854-(1042/(F2124+459.6)))*(INDEX(FX_Input,S$5,F$3*$Z$5+$AA$5-1)^0.5)+((2416/(F2124+459.6)-2.013)*LOG10(INDEX(FX_Input,S$5,F$3*$Z$5+$AA$5)))-(8742/(F2124+459.6))+15.64),EXP(INDEX(Antoines,MATCH(F2116,Antoine_Name,0),2)-INDEX(Antoines,MATCH(F2116,Antoine_Name,0),3)/(F2124+459.6))))),0)</f>
        <v>5.119885034186122E-3</v>
      </c>
      <c r="G2127" cm="1">
        <f t="array" ref="G2127">IFERROR(IF(G2117="Chemical",(10^(INDEX(Antoines,MATCH(G2116,Antoine_Name,0),2)-INDEX(Antoines,MATCH(G2116,Antoine_Name,0),3)/(INDEX(Antoines,MATCH(G2116,Antoine_Name,0),4)+(G2124-32)*5/9)))*14.7/760,IF(G2117="Crude Oil",EXP((2799/(G2124+459.6)-2.227)*LOG10(INDEX(FX_Input,T$5,G$3*$Z$5+$AA$5))-(7261/(G2124+459.6))+12.82),IF(G2117="Refined Petroleum Stock",EXP((0.7553-(413/(G2124+459.6)))*(INDEX(FX_Input,T$5,G$3*$Z$5+$AA$5-1)^0.5)*LOG10(INDEX(FX_Input,T$5,G$3*$Z$5+$AA$5))-(1.854-(1042/(G2124+459.6)))*(INDEX(FX_Input,T$5,G$3*$Z$5+$AA$5-1)^0.5)+((2416/(G2124+459.6)-2.013)*LOG10(INDEX(FX_Input,T$5,G$3*$Z$5+$AA$5)))-(8742/(G2124+459.6))+15.64),EXP(INDEX(Antoines,MATCH(G2116,Antoine_Name,0),2)-INDEX(Antoines,MATCH(G2116,Antoine_Name,0),3)/(G2124+459.6))))),0)</f>
        <v>5.5846958573521795E-3</v>
      </c>
      <c r="H2127" cm="1">
        <f t="array" ref="H2127">IFERROR(IF(H2117="Chemical",(10^(INDEX(Antoines,MATCH(H2116,Antoine_Name,0),2)-INDEX(Antoines,MATCH(H2116,Antoine_Name,0),3)/(INDEX(Antoines,MATCH(H2116,Antoine_Name,0),4)+(H2124-32)*5/9)))*14.7/760,IF(H2117="Crude Oil",EXP((2799/(H2124+459.6)-2.227)*LOG10(INDEX(FX_Input,U$5,H$3*$Z$5+$AA$5))-(7261/(H2124+459.6))+12.82),IF(H2117="Refined Petroleum Stock",EXP((0.7553-(413/(H2124+459.6)))*(INDEX(FX_Input,U$5,H$3*$Z$5+$AA$5-1)^0.5)*LOG10(INDEX(FX_Input,U$5,H$3*$Z$5+$AA$5))-(1.854-(1042/(H2124+459.6)))*(INDEX(FX_Input,U$5,H$3*$Z$5+$AA$5-1)^0.5)+((2416/(H2124+459.6)-2.013)*LOG10(INDEX(FX_Input,U$5,H$3*$Z$5+$AA$5)))-(8742/(H2124+459.6))+15.64),EXP(INDEX(Antoines,MATCH(H2116,Antoine_Name,0),2)-INDEX(Antoines,MATCH(H2116,Antoine_Name,0),3)/(H2124+459.6))))),0)</f>
        <v>6.5274070972739821E-3</v>
      </c>
      <c r="I2127" cm="1">
        <f t="array" ref="I2127">IFERROR(IF(I2117="Chemical",(10^(INDEX(Antoines,MATCH(I2116,Antoine_Name,0),2)-INDEX(Antoines,MATCH(I2116,Antoine_Name,0),3)/(INDEX(Antoines,MATCH(I2116,Antoine_Name,0),4)+(I2124-32)*5/9)))*14.7/760,IF(I2117="Crude Oil",EXP((2799/(I2124+459.6)-2.227)*LOG10(INDEX(FX_Input,V$5,I$3*$Z$5+$AA$5))-(7261/(I2124+459.6))+12.82),IF(I2117="Refined Petroleum Stock",EXP((0.7553-(413/(I2124+459.6)))*(INDEX(FX_Input,V$5,I$3*$Z$5+$AA$5-1)^0.5)*LOG10(INDEX(FX_Input,V$5,I$3*$Z$5+$AA$5))-(1.854-(1042/(I2124+459.6)))*(INDEX(FX_Input,V$5,I$3*$Z$5+$AA$5-1)^0.5)+((2416/(I2124+459.6)-2.013)*LOG10(INDEX(FX_Input,V$5,I$3*$Z$5+$AA$5)))-(8742/(I2124+459.6))+15.64),EXP(INDEX(Antoines,MATCH(I2116,Antoine_Name,0),2)-INDEX(Antoines,MATCH(I2116,Antoine_Name,0),3)/(I2124+459.6))))),0)</f>
        <v>7.4199539958878279E-3</v>
      </c>
      <c r="J2127" cm="1">
        <f t="array" ref="J2127">IFERROR(IF(J2117="Chemical",(10^(INDEX(Antoines,MATCH(J2116,Antoine_Name,0),2)-INDEX(Antoines,MATCH(J2116,Antoine_Name,0),3)/(INDEX(Antoines,MATCH(J2116,Antoine_Name,0),4)+(J2124-32)*5/9)))*14.7/760,IF(J2117="Crude Oil",EXP((2799/(J2124+459.6)-2.227)*LOG10(INDEX(FX_Input,W$5,J$3*$Z$5+$AA$5))-(7261/(J2124+459.6))+12.82),IF(J2117="Refined Petroleum Stock",EXP((0.7553-(413/(J2124+459.6)))*(INDEX(FX_Input,W$5,J$3*$Z$5+$AA$5-1)^0.5)*LOG10(INDEX(FX_Input,W$5,J$3*$Z$5+$AA$5))-(1.854-(1042/(J2124+459.6)))*(INDEX(FX_Input,W$5,J$3*$Z$5+$AA$5-1)^0.5)+((2416/(J2124+459.6)-2.013)*LOG10(INDEX(FX_Input,W$5,J$3*$Z$5+$AA$5)))-(8742/(J2124+459.6))+15.64),EXP(INDEX(Antoines,MATCH(J2116,Antoine_Name,0),2)-INDEX(Antoines,MATCH(J2116,Antoine_Name,0),3)/(J2124+459.6))))),0)</f>
        <v>8.3358107202842254E-3</v>
      </c>
      <c r="K2127" cm="1">
        <f t="array" ref="K2127">IFERROR(IF(K2117="Chemical",(10^(INDEX(Antoines,MATCH(K2116,Antoine_Name,0),2)-INDEX(Antoines,MATCH(K2116,Antoine_Name,0),3)/(INDEX(Antoines,MATCH(K2116,Antoine_Name,0),4)+(K2124-32)*5/9)))*14.7/760,IF(K2117="Crude Oil",EXP((2799/(K2124+459.6)-2.227)*LOG10(INDEX(FX_Input,X$5,K$3*$Z$5+$AA$5))-(7261/(K2124+459.6))+12.82),IF(K2117="Refined Petroleum Stock",EXP((0.7553-(413/(K2124+459.6)))*(INDEX(FX_Input,X$5,K$3*$Z$5+$AA$5-1)^0.5)*LOG10(INDEX(FX_Input,X$5,K$3*$Z$5+$AA$5))-(1.854-(1042/(K2124+459.6)))*(INDEX(FX_Input,X$5,K$3*$Z$5+$AA$5-1)^0.5)+((2416/(K2124+459.6)-2.013)*LOG10(INDEX(FX_Input,X$5,K$3*$Z$5+$AA$5)))-(8742/(K2124+459.6))+15.64),EXP(INDEX(Antoines,MATCH(K2116,Antoine_Name,0),2)-INDEX(Antoines,MATCH(K2116,Antoine_Name,0),3)/(K2124+459.6))))),0)</f>
        <v>8.4605262729351115E-3</v>
      </c>
      <c r="L2127" cm="1">
        <f t="array" ref="L2127">IFERROR(IF(L2117="Chemical",(10^(INDEX(Antoines,MATCH(L2116,Antoine_Name,0),2)-INDEX(Antoines,MATCH(L2116,Antoine_Name,0),3)/(INDEX(Antoines,MATCH(L2116,Antoine_Name,0),4)+(L2124-32)*5/9)))*14.7/760,IF(L2117="Crude Oil",EXP((2799/(L2124+459.6)-2.227)*LOG10(INDEX(FX_Input,Y$5,L$3*$Z$5+$AA$5))-(7261/(L2124+459.6))+12.82),IF(L2117="Refined Petroleum Stock",EXP((0.7553-(413/(L2124+459.6)))*(INDEX(FX_Input,Y$5,L$3*$Z$5+$AA$5-1)^0.5)*LOG10(INDEX(FX_Input,Y$5,L$3*$Z$5+$AA$5))-(1.854-(1042/(L2124+459.6)))*(INDEX(FX_Input,Y$5,L$3*$Z$5+$AA$5-1)^0.5)+((2416/(L2124+459.6)-2.013)*LOG10(INDEX(FX_Input,Y$5,L$3*$Z$5+$AA$5)))-(8742/(L2124+459.6))+15.64),EXP(INDEX(Antoines,MATCH(L2116,Antoine_Name,0),2)-INDEX(Antoines,MATCH(L2116,Antoine_Name,0),3)/(L2124+459.6))))),0)</f>
        <v>7.8399882233967533E-3</v>
      </c>
      <c r="M2127" cm="1">
        <f t="array" ref="M2127">IFERROR(IF(M2117="Chemical",(10^(INDEX(Antoines,MATCH(M2116,Antoine_Name,0),2)-INDEX(Antoines,MATCH(M2116,Antoine_Name,0),3)/(INDEX(Antoines,MATCH(M2116,Antoine_Name,0),4)+(M2124-32)*5/9)))*14.7/760,IF(M2117="Crude Oil",EXP((2799/(M2124+459.6)-2.227)*LOG10(INDEX(FX_Input,Z$5,M$3*$Z$5+$AA$5))-(7261/(M2124+459.6))+12.82),IF(M2117="Refined Petroleum Stock",EXP((0.7553-(413/(M2124+459.6)))*(INDEX(FX_Input,Z$5,M$3*$Z$5+$AA$5-1)^0.5)*LOG10(INDEX(FX_Input,Z$5,M$3*$Z$5+$AA$5))-(1.854-(1042/(M2124+459.6)))*(INDEX(FX_Input,Z$5,M$3*$Z$5+$AA$5-1)^0.5)+((2416/(M2124+459.6)-2.013)*LOG10(INDEX(FX_Input,Z$5,M$3*$Z$5+$AA$5)))-(8742/(M2124+459.6))+15.64),EXP(INDEX(Antoines,MATCH(M2116,Antoine_Name,0),2)-INDEX(Antoines,MATCH(M2116,Antoine_Name,0),3)/(M2124+459.6))))),0)</f>
        <v>6.4173462075160911E-3</v>
      </c>
      <c r="N2127" cm="1">
        <f t="array" ref="N2127">IFERROR(IF(N2117="Chemical",(10^(INDEX(Antoines,MATCH(N2116,Antoine_Name,0),2)-INDEX(Antoines,MATCH(N2116,Antoine_Name,0),3)/(INDEX(Antoines,MATCH(N2116,Antoine_Name,0),4)+(N2124-32)*5/9)))*14.7/760,IF(N2117="Crude Oil",EXP((2799/(N2124+459.6)-2.227)*LOG10(INDEX(FX_Input,AA$5,N$3*$Z$5+$AA$5))-(7261/(N2124+459.6))+12.82),IF(N2117="Refined Petroleum Stock",EXP((0.7553-(413/(N2124+459.6)))*(INDEX(FX_Input,AA$5,N$3*$Z$5+$AA$5-1)^0.5)*LOG10(INDEX(FX_Input,AA$5,N$3*$Z$5+$AA$5))-(1.854-(1042/(N2124+459.6)))*(INDEX(FX_Input,AA$5,N$3*$Z$5+$AA$5-1)^0.5)+((2416/(N2124+459.6)-2.013)*LOG10(INDEX(FX_Input,AA$5,N$3*$Z$5+$AA$5)))-(8742/(N2124+459.6))+15.64),EXP(INDEX(Antoines,MATCH(N2116,Antoine_Name,0),2)-INDEX(Antoines,MATCH(N2116,Antoine_Name,0),3)/(N2124+459.6))))),0)</f>
        <v>5.3015226887581056E-3</v>
      </c>
      <c r="O2127" cm="1">
        <f t="array" ref="O2127">IFERROR(IF(O2117="Chemical",(10^(INDEX(Antoines,MATCH(O2116,Antoine_Name,0),2)-INDEX(Antoines,MATCH(O2116,Antoine_Name,0),3)/(INDEX(Antoines,MATCH(O2116,Antoine_Name,0),4)+(O2124-32)*5/9)))*14.7/760,IF(O2117="Crude Oil",EXP((2799/(O2124+459.6)-2.227)*LOG10(INDEX(FX_Input,AB$5,O$3*$Z$5+$AA$5))-(7261/(O2124+459.6))+12.82),IF(O2117="Refined Petroleum Stock",EXP((0.7553-(413/(O2124+459.6)))*(INDEX(FX_Input,AB$5,O$3*$Z$5+$AA$5-1)^0.5)*LOG10(INDEX(FX_Input,AB$5,O$3*$Z$5+$AA$5))-(1.854-(1042/(O2124+459.6)))*(INDEX(FX_Input,AB$5,O$3*$Z$5+$AA$5-1)^0.5)+((2416/(O2124+459.6)-2.013)*LOG10(INDEX(FX_Input,AB$5,O$3*$Z$5+$AA$5)))-(8742/(O2124+459.6))+15.64),EXP(INDEX(Antoines,MATCH(O2116,Antoine_Name,0),2)-INDEX(Antoines,MATCH(O2116,Antoine_Name,0),3)/(O2124+459.6))))),0)</f>
        <v>4.68970903600947E-3</v>
      </c>
    </row>
    <row r="2128" spans="1:32" ht="17.149999999999999" x14ac:dyDescent="0.55000000000000004">
      <c r="B2128" t="str">
        <f t="shared" si="7168"/>
        <v>Portland</v>
      </c>
      <c r="C2128" t="s">
        <v>576</v>
      </c>
      <c r="D2128">
        <f>D2120*D2127</f>
        <v>4.739577185808354E-3</v>
      </c>
      <c r="E2128">
        <f t="shared" ref="E2128:O2128" si="7169">E2120*E2127</f>
        <v>4.8748667780818778E-3</v>
      </c>
      <c r="F2128">
        <f t="shared" si="7169"/>
        <v>5.119885034186122E-3</v>
      </c>
      <c r="G2128">
        <f t="shared" si="7169"/>
        <v>5.5846958573521795E-3</v>
      </c>
      <c r="H2128">
        <f t="shared" si="7169"/>
        <v>6.5274070972739821E-3</v>
      </c>
      <c r="I2128">
        <f t="shared" si="7169"/>
        <v>7.4199539958878279E-3</v>
      </c>
      <c r="J2128">
        <f t="shared" si="7169"/>
        <v>8.3358107202842254E-3</v>
      </c>
      <c r="K2128">
        <f t="shared" si="7169"/>
        <v>8.4605262729351115E-3</v>
      </c>
      <c r="L2128">
        <f t="shared" si="7169"/>
        <v>7.8399882233967533E-3</v>
      </c>
      <c r="M2128">
        <f t="shared" si="7169"/>
        <v>6.4173462075160911E-3</v>
      </c>
      <c r="N2128">
        <f t="shared" si="7169"/>
        <v>5.3015226887581056E-3</v>
      </c>
      <c r="O2128">
        <f t="shared" si="7169"/>
        <v>4.68970903600947E-3</v>
      </c>
    </row>
    <row r="2129" spans="2:15" ht="17.149999999999999" x14ac:dyDescent="0.55000000000000004">
      <c r="B2129" t="str">
        <f t="shared" si="7168"/>
        <v>Portland</v>
      </c>
      <c r="C2129" t="s">
        <v>575</v>
      </c>
      <c r="D2129" cm="1">
        <f t="array" ref="D2129">IFERROR(IF(D2119="Chemical",(10^(INDEX(Antoines,MATCH(D2118,Antoine_Name,0),2)-INDEX(Antoines,MATCH(D2118,Antoine_Name,0),3)/(INDEX(Antoines,MATCH(D2118,Antoine_Name,0),4)+(D2124-32)*5/9)))*14.7/760,IF(D2119="Crude Oil",EXP((2799/(D2124+459.6)-2.227)*LOG10(INDEX(FX_Input,Q$5,D$3*$Z$5+$AA$5))-(7261/(D2124+459.6))+12.82),IF(D2119="Refined Petroleum Stock",EXP((0.7553-(413/(D2124+459.6)))*(INDEX(FX_Input,Q$5,D$3*$Z$5+$AA$5-1)^0.5)*LOG10(INDEX(FX_Input,Q$5,D$3*$Z$5+$AA$5))-(1.854-(1042/(D2124+459.6)))*(INDEX(FX_Input,Q$5,D$3*$Z$5+$AA$5-1)^0.5)+((2416/(D2124+459.6)-2.013)*LOG10(INDEX(FX_Input,Q$5,D$3*$Z$5+$AA$5)))-(8742/(D2124+459.6))+15.64),EXP(INDEX(Antoines,MATCH(D2118,Antoine_Name,0),2)-INDEX(Antoines,MATCH(D2118,Antoine_Name,0),3)/(D2124+459.6))))),0)</f>
        <v>0</v>
      </c>
      <c r="E2129" cm="1">
        <f t="array" ref="E2129">IFERROR(IF(E2119="Chemical",(10^(INDEX(Antoines,MATCH(E2118,Antoine_Name,0),2)-INDEX(Antoines,MATCH(E2118,Antoine_Name,0),3)/(INDEX(Antoines,MATCH(E2118,Antoine_Name,0),4)+(E2124-32)*5/9)))*14.7/760,IF(E2119="Crude Oil",EXP((2799/(E2124+459.6)-2.227)*LOG10(INDEX(FX_Input,R$5,E$3*$Z$5+$AA$5))-(7261/(E2124+459.6))+12.82),IF(E2119="Refined Petroleum Stock",EXP((0.7553-(413/(E2124+459.6)))*(INDEX(FX_Input,R$5,E$3*$Z$5+$AA$5-1)^0.5)*LOG10(INDEX(FX_Input,R$5,E$3*$Z$5+$AA$5))-(1.854-(1042/(E2124+459.6)))*(INDEX(FX_Input,R$5,E$3*$Z$5+$AA$5-1)^0.5)+((2416/(E2124+459.6)-2.013)*LOG10(INDEX(FX_Input,R$5,E$3*$Z$5+$AA$5)))-(8742/(E2124+459.6))+15.64),EXP(INDEX(Antoines,MATCH(E2118,Antoine_Name,0),2)-INDEX(Antoines,MATCH(E2118,Antoine_Name,0),3)/(E2124+459.6))))),0)</f>
        <v>0</v>
      </c>
      <c r="F2129" cm="1">
        <f t="array" ref="F2129">IFERROR(IF(F2119="Chemical",(10^(INDEX(Antoines,MATCH(F2118,Antoine_Name,0),2)-INDEX(Antoines,MATCH(F2118,Antoine_Name,0),3)/(INDEX(Antoines,MATCH(F2118,Antoine_Name,0),4)+(F2124-32)*5/9)))*14.7/760,IF(F2119="Crude Oil",EXP((2799/(F2124+459.6)-2.227)*LOG10(INDEX(FX_Input,S$5,F$3*$Z$5+$AA$5))-(7261/(F2124+459.6))+12.82),IF(F2119="Refined Petroleum Stock",EXP((0.7553-(413/(F2124+459.6)))*(INDEX(FX_Input,S$5,F$3*$Z$5+$AA$5-1)^0.5)*LOG10(INDEX(FX_Input,S$5,F$3*$Z$5+$AA$5))-(1.854-(1042/(F2124+459.6)))*(INDEX(FX_Input,S$5,F$3*$Z$5+$AA$5-1)^0.5)+((2416/(F2124+459.6)-2.013)*LOG10(INDEX(FX_Input,S$5,F$3*$Z$5+$AA$5)))-(8742/(F2124+459.6))+15.64),EXP(INDEX(Antoines,MATCH(F2118,Antoine_Name,0),2)-INDEX(Antoines,MATCH(F2118,Antoine_Name,0),3)/(F2124+459.6))))),0)</f>
        <v>0</v>
      </c>
      <c r="G2129" cm="1">
        <f t="array" ref="G2129">IFERROR(IF(G2119="Chemical",(10^(INDEX(Antoines,MATCH(G2118,Antoine_Name,0),2)-INDEX(Antoines,MATCH(G2118,Antoine_Name,0),3)/(INDEX(Antoines,MATCH(G2118,Antoine_Name,0),4)+(G2124-32)*5/9)))*14.7/760,IF(G2119="Crude Oil",EXP((2799/(G2124+459.6)-2.227)*LOG10(INDEX(FX_Input,T$5,G$3*$Z$5+$AA$5))-(7261/(G2124+459.6))+12.82),IF(G2119="Refined Petroleum Stock",EXP((0.7553-(413/(G2124+459.6)))*(INDEX(FX_Input,T$5,G$3*$Z$5+$AA$5-1)^0.5)*LOG10(INDEX(FX_Input,T$5,G$3*$Z$5+$AA$5))-(1.854-(1042/(G2124+459.6)))*(INDEX(FX_Input,T$5,G$3*$Z$5+$AA$5-1)^0.5)+((2416/(G2124+459.6)-2.013)*LOG10(INDEX(FX_Input,T$5,G$3*$Z$5+$AA$5)))-(8742/(G2124+459.6))+15.64),EXP(INDEX(Antoines,MATCH(G2118,Antoine_Name,0),2)-INDEX(Antoines,MATCH(G2118,Antoine_Name,0),3)/(G2124+459.6))))),0)</f>
        <v>0</v>
      </c>
      <c r="H2129" cm="1">
        <f t="array" ref="H2129">IFERROR(IF(H2119="Chemical",(10^(INDEX(Antoines,MATCH(H2118,Antoine_Name,0),2)-INDEX(Antoines,MATCH(H2118,Antoine_Name,0),3)/(INDEX(Antoines,MATCH(H2118,Antoine_Name,0),4)+(H2124-32)*5/9)))*14.7/760,IF(H2119="Crude Oil",EXP((2799/(H2124+459.6)-2.227)*LOG10(INDEX(FX_Input,U$5,H$3*$Z$5+$AA$5))-(7261/(H2124+459.6))+12.82),IF(H2119="Refined Petroleum Stock",EXP((0.7553-(413/(H2124+459.6)))*(INDEX(FX_Input,U$5,H$3*$Z$5+$AA$5-1)^0.5)*LOG10(INDEX(FX_Input,U$5,H$3*$Z$5+$AA$5))-(1.854-(1042/(H2124+459.6)))*(INDEX(FX_Input,U$5,H$3*$Z$5+$AA$5-1)^0.5)+((2416/(H2124+459.6)-2.013)*LOG10(INDEX(FX_Input,U$5,H$3*$Z$5+$AA$5)))-(8742/(H2124+459.6))+15.64),EXP(INDEX(Antoines,MATCH(H2118,Antoine_Name,0),2)-INDEX(Antoines,MATCH(H2118,Antoine_Name,0),3)/(H2124+459.6))))),0)</f>
        <v>0</v>
      </c>
      <c r="I2129" cm="1">
        <f t="array" ref="I2129">IFERROR(IF(I2119="Chemical",(10^(INDEX(Antoines,MATCH(I2118,Antoine_Name,0),2)-INDEX(Antoines,MATCH(I2118,Antoine_Name,0),3)/(INDEX(Antoines,MATCH(I2118,Antoine_Name,0),4)+(I2124-32)*5/9)))*14.7/760,IF(I2119="Crude Oil",EXP((2799/(I2124+459.6)-2.227)*LOG10(INDEX(FX_Input,V$5,I$3*$Z$5+$AA$5))-(7261/(I2124+459.6))+12.82),IF(I2119="Refined Petroleum Stock",EXP((0.7553-(413/(I2124+459.6)))*(INDEX(FX_Input,V$5,I$3*$Z$5+$AA$5-1)^0.5)*LOG10(INDEX(FX_Input,V$5,I$3*$Z$5+$AA$5))-(1.854-(1042/(I2124+459.6)))*(INDEX(FX_Input,V$5,I$3*$Z$5+$AA$5-1)^0.5)+((2416/(I2124+459.6)-2.013)*LOG10(INDEX(FX_Input,V$5,I$3*$Z$5+$AA$5)))-(8742/(I2124+459.6))+15.64),EXP(INDEX(Antoines,MATCH(I2118,Antoine_Name,0),2)-INDEX(Antoines,MATCH(I2118,Antoine_Name,0),3)/(I2124+459.6))))),0)</f>
        <v>0</v>
      </c>
      <c r="J2129" cm="1">
        <f t="array" ref="J2129">IFERROR(IF(J2119="Chemical",(10^(INDEX(Antoines,MATCH(J2118,Antoine_Name,0),2)-INDEX(Antoines,MATCH(J2118,Antoine_Name,0),3)/(INDEX(Antoines,MATCH(J2118,Antoine_Name,0),4)+(J2124-32)*5/9)))*14.7/760,IF(J2119="Crude Oil",EXP((2799/(J2124+459.6)-2.227)*LOG10(INDEX(FX_Input,W$5,J$3*$Z$5+$AA$5))-(7261/(J2124+459.6))+12.82),IF(J2119="Refined Petroleum Stock",EXP((0.7553-(413/(J2124+459.6)))*(INDEX(FX_Input,W$5,J$3*$Z$5+$AA$5-1)^0.5)*LOG10(INDEX(FX_Input,W$5,J$3*$Z$5+$AA$5))-(1.854-(1042/(J2124+459.6)))*(INDEX(FX_Input,W$5,J$3*$Z$5+$AA$5-1)^0.5)+((2416/(J2124+459.6)-2.013)*LOG10(INDEX(FX_Input,W$5,J$3*$Z$5+$AA$5)))-(8742/(J2124+459.6))+15.64),EXP(INDEX(Antoines,MATCH(J2118,Antoine_Name,0),2)-INDEX(Antoines,MATCH(J2118,Antoine_Name,0),3)/(J2124+459.6))))),0)</f>
        <v>0</v>
      </c>
      <c r="K2129" cm="1">
        <f t="array" ref="K2129">IFERROR(IF(K2119="Chemical",(10^(INDEX(Antoines,MATCH(K2118,Antoine_Name,0),2)-INDEX(Antoines,MATCH(K2118,Antoine_Name,0),3)/(INDEX(Antoines,MATCH(K2118,Antoine_Name,0),4)+(K2124-32)*5/9)))*14.7/760,IF(K2119="Crude Oil",EXP((2799/(K2124+459.6)-2.227)*LOG10(INDEX(FX_Input,X$5,K$3*$Z$5+$AA$5))-(7261/(K2124+459.6))+12.82),IF(K2119="Refined Petroleum Stock",EXP((0.7553-(413/(K2124+459.6)))*(INDEX(FX_Input,X$5,K$3*$Z$5+$AA$5-1)^0.5)*LOG10(INDEX(FX_Input,X$5,K$3*$Z$5+$AA$5))-(1.854-(1042/(K2124+459.6)))*(INDEX(FX_Input,X$5,K$3*$Z$5+$AA$5-1)^0.5)+((2416/(K2124+459.6)-2.013)*LOG10(INDEX(FX_Input,X$5,K$3*$Z$5+$AA$5)))-(8742/(K2124+459.6))+15.64),EXP(INDEX(Antoines,MATCH(K2118,Antoine_Name,0),2)-INDEX(Antoines,MATCH(K2118,Antoine_Name,0),3)/(K2124+459.6))))),0)</f>
        <v>0</v>
      </c>
      <c r="L2129" cm="1">
        <f t="array" ref="L2129">IFERROR(IF(L2119="Chemical",(10^(INDEX(Antoines,MATCH(L2118,Antoine_Name,0),2)-INDEX(Antoines,MATCH(L2118,Antoine_Name,0),3)/(INDEX(Antoines,MATCH(L2118,Antoine_Name,0),4)+(L2124-32)*5/9)))*14.7/760,IF(L2119="Crude Oil",EXP((2799/(L2124+459.6)-2.227)*LOG10(INDEX(FX_Input,Y$5,L$3*$Z$5+$AA$5))-(7261/(L2124+459.6))+12.82),IF(L2119="Refined Petroleum Stock",EXP((0.7553-(413/(L2124+459.6)))*(INDEX(FX_Input,Y$5,L$3*$Z$5+$AA$5-1)^0.5)*LOG10(INDEX(FX_Input,Y$5,L$3*$Z$5+$AA$5))-(1.854-(1042/(L2124+459.6)))*(INDEX(FX_Input,Y$5,L$3*$Z$5+$AA$5-1)^0.5)+((2416/(L2124+459.6)-2.013)*LOG10(INDEX(FX_Input,Y$5,L$3*$Z$5+$AA$5)))-(8742/(L2124+459.6))+15.64),EXP(INDEX(Antoines,MATCH(L2118,Antoine_Name,0),2)-INDEX(Antoines,MATCH(L2118,Antoine_Name,0),3)/(L2124+459.6))))),0)</f>
        <v>0</v>
      </c>
      <c r="M2129" cm="1">
        <f t="array" ref="M2129">IFERROR(IF(M2119="Chemical",(10^(INDEX(Antoines,MATCH(M2118,Antoine_Name,0),2)-INDEX(Antoines,MATCH(M2118,Antoine_Name,0),3)/(INDEX(Antoines,MATCH(M2118,Antoine_Name,0),4)+(M2124-32)*5/9)))*14.7/760,IF(M2119="Crude Oil",EXP((2799/(M2124+459.6)-2.227)*LOG10(INDEX(FX_Input,Z$5,M$3*$Z$5+$AA$5))-(7261/(M2124+459.6))+12.82),IF(M2119="Refined Petroleum Stock",EXP((0.7553-(413/(M2124+459.6)))*(INDEX(FX_Input,Z$5,M$3*$Z$5+$AA$5-1)^0.5)*LOG10(INDEX(FX_Input,Z$5,M$3*$Z$5+$AA$5))-(1.854-(1042/(M2124+459.6)))*(INDEX(FX_Input,Z$5,M$3*$Z$5+$AA$5-1)^0.5)+((2416/(M2124+459.6)-2.013)*LOG10(INDEX(FX_Input,Z$5,M$3*$Z$5+$AA$5)))-(8742/(M2124+459.6))+15.64),EXP(INDEX(Antoines,MATCH(M2118,Antoine_Name,0),2)-INDEX(Antoines,MATCH(M2118,Antoine_Name,0),3)/(M2124+459.6))))),0)</f>
        <v>0</v>
      </c>
      <c r="N2129" cm="1">
        <f t="array" ref="N2129">IFERROR(IF(N2119="Chemical",(10^(INDEX(Antoines,MATCH(N2118,Antoine_Name,0),2)-INDEX(Antoines,MATCH(N2118,Antoine_Name,0),3)/(INDEX(Antoines,MATCH(N2118,Antoine_Name,0),4)+(N2124-32)*5/9)))*14.7/760,IF(N2119="Crude Oil",EXP((2799/(N2124+459.6)-2.227)*LOG10(INDEX(FX_Input,AA$5,N$3*$Z$5+$AA$5))-(7261/(N2124+459.6))+12.82),IF(N2119="Refined Petroleum Stock",EXP((0.7553-(413/(N2124+459.6)))*(INDEX(FX_Input,AA$5,N$3*$Z$5+$AA$5-1)^0.5)*LOG10(INDEX(FX_Input,AA$5,N$3*$Z$5+$AA$5))-(1.854-(1042/(N2124+459.6)))*(INDEX(FX_Input,AA$5,N$3*$Z$5+$AA$5-1)^0.5)+((2416/(N2124+459.6)-2.013)*LOG10(INDEX(FX_Input,AA$5,N$3*$Z$5+$AA$5)))-(8742/(N2124+459.6))+15.64),EXP(INDEX(Antoines,MATCH(N2118,Antoine_Name,0),2)-INDEX(Antoines,MATCH(N2118,Antoine_Name,0),3)/(N2124+459.6))))),0)</f>
        <v>0</v>
      </c>
      <c r="O2129" cm="1">
        <f t="array" ref="O2129">IFERROR(IF(O2119="Chemical",(10^(INDEX(Antoines,MATCH(O2118,Antoine_Name,0),2)-INDEX(Antoines,MATCH(O2118,Antoine_Name,0),3)/(INDEX(Antoines,MATCH(O2118,Antoine_Name,0),4)+(O2124-32)*5/9)))*14.7/760,IF(O2119="Crude Oil",EXP((2799/(O2124+459.6)-2.227)*LOG10(INDEX(FX_Input,AB$5,O$3*$Z$5+$AA$5))-(7261/(O2124+459.6))+12.82),IF(O2119="Refined Petroleum Stock",EXP((0.7553-(413/(O2124+459.6)))*(INDEX(FX_Input,AB$5,O$3*$Z$5+$AA$5-1)^0.5)*LOG10(INDEX(FX_Input,AB$5,O$3*$Z$5+$AA$5))-(1.854-(1042/(O2124+459.6)))*(INDEX(FX_Input,AB$5,O$3*$Z$5+$AA$5-1)^0.5)+((2416/(O2124+459.6)-2.013)*LOG10(INDEX(FX_Input,AB$5,O$3*$Z$5+$AA$5)))-(8742/(O2124+459.6))+15.64),EXP(INDEX(Antoines,MATCH(O2118,Antoine_Name,0),2)-INDEX(Antoines,MATCH(O2118,Antoine_Name,0),3)/(O2124+459.6))))),0)</f>
        <v>0</v>
      </c>
    </row>
    <row r="2130" spans="2:15" ht="17.149999999999999" x14ac:dyDescent="0.55000000000000004">
      <c r="B2130" t="str">
        <f t="shared" si="7168"/>
        <v>Portland</v>
      </c>
      <c r="C2130" t="s">
        <v>577</v>
      </c>
      <c r="D2130">
        <f>D2129*D2122</f>
        <v>0</v>
      </c>
      <c r="E2130">
        <f t="shared" ref="E2130:O2130" si="7170">E2129*E2122</f>
        <v>0</v>
      </c>
      <c r="F2130">
        <f t="shared" si="7170"/>
        <v>0</v>
      </c>
      <c r="G2130">
        <f t="shared" si="7170"/>
        <v>0</v>
      </c>
      <c r="H2130">
        <f t="shared" si="7170"/>
        <v>0</v>
      </c>
      <c r="I2130">
        <f t="shared" si="7170"/>
        <v>0</v>
      </c>
      <c r="J2130">
        <f t="shared" si="7170"/>
        <v>0</v>
      </c>
      <c r="K2130">
        <f t="shared" si="7170"/>
        <v>0</v>
      </c>
      <c r="L2130">
        <f t="shared" si="7170"/>
        <v>0</v>
      </c>
      <c r="M2130">
        <f t="shared" si="7170"/>
        <v>0</v>
      </c>
      <c r="N2130">
        <f t="shared" si="7170"/>
        <v>0</v>
      </c>
      <c r="O2130">
        <f t="shared" si="7170"/>
        <v>0</v>
      </c>
    </row>
    <row r="2131" spans="2:15" ht="17.149999999999999" x14ac:dyDescent="0.55000000000000004">
      <c r="B2131" t="str">
        <f t="shared" si="7168"/>
        <v>Portland</v>
      </c>
      <c r="C2131" t="s">
        <v>578</v>
      </c>
      <c r="D2131">
        <f>D2130+D2128</f>
        <v>4.739577185808354E-3</v>
      </c>
      <c r="E2131">
        <f t="shared" ref="E2131:O2131" si="7171">E2130+E2128</f>
        <v>4.8748667780818778E-3</v>
      </c>
      <c r="F2131">
        <f t="shared" si="7171"/>
        <v>5.119885034186122E-3</v>
      </c>
      <c r="G2131">
        <f t="shared" si="7171"/>
        <v>5.5846958573521795E-3</v>
      </c>
      <c r="H2131">
        <f t="shared" si="7171"/>
        <v>6.5274070972739821E-3</v>
      </c>
      <c r="I2131">
        <f t="shared" si="7171"/>
        <v>7.4199539958878279E-3</v>
      </c>
      <c r="J2131">
        <f t="shared" si="7171"/>
        <v>8.3358107202842254E-3</v>
      </c>
      <c r="K2131">
        <f t="shared" si="7171"/>
        <v>8.4605262729351115E-3</v>
      </c>
      <c r="L2131">
        <f t="shared" si="7171"/>
        <v>7.8399882233967533E-3</v>
      </c>
      <c r="M2131">
        <f t="shared" si="7171"/>
        <v>6.4173462075160911E-3</v>
      </c>
      <c r="N2131">
        <f t="shared" si="7171"/>
        <v>5.3015226887581056E-3</v>
      </c>
      <c r="O2131">
        <f t="shared" si="7171"/>
        <v>4.68970903600947E-3</v>
      </c>
    </row>
    <row r="2132" spans="2:15" ht="17.149999999999999" x14ac:dyDescent="0.55000000000000004">
      <c r="B2132" t="str">
        <f t="shared" si="7168"/>
        <v>Portland</v>
      </c>
      <c r="C2132" t="s">
        <v>579</v>
      </c>
      <c r="D2132" cm="1">
        <f t="array" ref="D2132">IFERROR(IF(D2117="Chemical",(10^(INDEX(Antoines,MATCH(D2116,Antoine_Name,0),2)-INDEX(Antoines,MATCH(D2116,Antoine_Name,0),3)/(INDEX(Antoines,MATCH(D2116,Antoine_Name,0),4)+(D2125-32)*5/9)))*14.7/760,IF(D2117="Crude Oil",EXP((2799/(D2125+459.6)-2.227)*LOG10(INDEX(FX_Input,Q$5,D$3*$Z$5+$AA$5))-(7261/(D2125+459.6))+12.82),IF(D2117="Refined Petroleum Stock",EXP((0.7553-(413/(D2125+459.6)))*(INDEX(FX_Input,Q$5,D$3*$Z$5+$AA$5-1)^0.5)*LOG10(INDEX(FX_Input,Q$5,D$3*$Z$5+$AA$5))-(1.854-(1042/(D2125+459.6)))*(INDEX(FX_Input,Q$5,D$3*$Z$5+$AA$5-1)^0.5)+((2416/(D2125+459.6)-2.013)*LOG10(INDEX(FX_Input,Q$5,D$3*$Z$5+$AA$5)))-(8742/(D2125+459.6))+15.64),EXP(INDEX(Antoines,MATCH(D2116,Antoine_Name,0),2)-INDEX(Antoines,MATCH(D2116,Antoine_Name,0),3)/(D2125+459.6))))),0)</f>
        <v>4.739577185808354E-3</v>
      </c>
      <c r="E2132" cm="1">
        <f t="array" ref="E2132">IFERROR(IF(E2117="Chemical",(10^(INDEX(Antoines,MATCH(E2116,Antoine_Name,0),2)-INDEX(Antoines,MATCH(E2116,Antoine_Name,0),3)/(INDEX(Antoines,MATCH(E2116,Antoine_Name,0),4)+(E2125-32)*5/9)))*14.7/760,IF(E2117="Crude Oil",EXP((2799/(E2125+459.6)-2.227)*LOG10(INDEX(FX_Input,R$5,E$3*$Z$5+$AA$5))-(7261/(E2125+459.6))+12.82),IF(E2117="Refined Petroleum Stock",EXP((0.7553-(413/(E2125+459.6)))*(INDEX(FX_Input,R$5,E$3*$Z$5+$AA$5-1)^0.5)*LOG10(INDEX(FX_Input,R$5,E$3*$Z$5+$AA$5))-(1.854-(1042/(E2125+459.6)))*(INDEX(FX_Input,R$5,E$3*$Z$5+$AA$5-1)^0.5)+((2416/(E2125+459.6)-2.013)*LOG10(INDEX(FX_Input,R$5,E$3*$Z$5+$AA$5)))-(8742/(E2125+459.6))+15.64),EXP(INDEX(Antoines,MATCH(E2116,Antoine_Name,0),2)-INDEX(Antoines,MATCH(E2116,Antoine_Name,0),3)/(E2125+459.6))))),0)</f>
        <v>4.8748667780818778E-3</v>
      </c>
      <c r="F2132" cm="1">
        <f t="array" ref="F2132">IFERROR(IF(F2117="Chemical",(10^(INDEX(Antoines,MATCH(F2116,Antoine_Name,0),2)-INDEX(Antoines,MATCH(F2116,Antoine_Name,0),3)/(INDEX(Antoines,MATCH(F2116,Antoine_Name,0),4)+(F2125-32)*5/9)))*14.7/760,IF(F2117="Crude Oil",EXP((2799/(F2125+459.6)-2.227)*LOG10(INDEX(FX_Input,S$5,F$3*$Z$5+$AA$5))-(7261/(F2125+459.6))+12.82),IF(F2117="Refined Petroleum Stock",EXP((0.7553-(413/(F2125+459.6)))*(INDEX(FX_Input,S$5,F$3*$Z$5+$AA$5-1)^0.5)*LOG10(INDEX(FX_Input,S$5,F$3*$Z$5+$AA$5))-(1.854-(1042/(F2125+459.6)))*(INDEX(FX_Input,S$5,F$3*$Z$5+$AA$5-1)^0.5)+((2416/(F2125+459.6)-2.013)*LOG10(INDEX(FX_Input,S$5,F$3*$Z$5+$AA$5)))-(8742/(F2125+459.6))+15.64),EXP(INDEX(Antoines,MATCH(F2116,Antoine_Name,0),2)-INDEX(Antoines,MATCH(F2116,Antoine_Name,0),3)/(F2125+459.6))))),0)</f>
        <v>5.119885034186122E-3</v>
      </c>
      <c r="G2132" cm="1">
        <f t="array" ref="G2132">IFERROR(IF(G2117="Chemical",(10^(INDEX(Antoines,MATCH(G2116,Antoine_Name,0),2)-INDEX(Antoines,MATCH(G2116,Antoine_Name,0),3)/(INDEX(Antoines,MATCH(G2116,Antoine_Name,0),4)+(G2125-32)*5/9)))*14.7/760,IF(G2117="Crude Oil",EXP((2799/(G2125+459.6)-2.227)*LOG10(INDEX(FX_Input,T$5,G$3*$Z$5+$AA$5))-(7261/(G2125+459.6))+12.82),IF(G2117="Refined Petroleum Stock",EXP((0.7553-(413/(G2125+459.6)))*(INDEX(FX_Input,T$5,G$3*$Z$5+$AA$5-1)^0.5)*LOG10(INDEX(FX_Input,T$5,G$3*$Z$5+$AA$5))-(1.854-(1042/(G2125+459.6)))*(INDEX(FX_Input,T$5,G$3*$Z$5+$AA$5-1)^0.5)+((2416/(G2125+459.6)-2.013)*LOG10(INDEX(FX_Input,T$5,G$3*$Z$5+$AA$5)))-(8742/(G2125+459.6))+15.64),EXP(INDEX(Antoines,MATCH(G2116,Antoine_Name,0),2)-INDEX(Antoines,MATCH(G2116,Antoine_Name,0),3)/(G2125+459.6))))),0)</f>
        <v>5.5846958573521795E-3</v>
      </c>
      <c r="H2132" cm="1">
        <f t="array" ref="H2132">IFERROR(IF(H2117="Chemical",(10^(INDEX(Antoines,MATCH(H2116,Antoine_Name,0),2)-INDEX(Antoines,MATCH(H2116,Antoine_Name,0),3)/(INDEX(Antoines,MATCH(H2116,Antoine_Name,0),4)+(H2125-32)*5/9)))*14.7/760,IF(H2117="Crude Oil",EXP((2799/(H2125+459.6)-2.227)*LOG10(INDEX(FX_Input,U$5,H$3*$Z$5+$AA$5))-(7261/(H2125+459.6))+12.82),IF(H2117="Refined Petroleum Stock",EXP((0.7553-(413/(H2125+459.6)))*(INDEX(FX_Input,U$5,H$3*$Z$5+$AA$5-1)^0.5)*LOG10(INDEX(FX_Input,U$5,H$3*$Z$5+$AA$5))-(1.854-(1042/(H2125+459.6)))*(INDEX(FX_Input,U$5,H$3*$Z$5+$AA$5-1)^0.5)+((2416/(H2125+459.6)-2.013)*LOG10(INDEX(FX_Input,U$5,H$3*$Z$5+$AA$5)))-(8742/(H2125+459.6))+15.64),EXP(INDEX(Antoines,MATCH(H2116,Antoine_Name,0),2)-INDEX(Antoines,MATCH(H2116,Antoine_Name,0),3)/(H2125+459.6))))),0)</f>
        <v>6.5274070972739821E-3</v>
      </c>
      <c r="I2132" cm="1">
        <f t="array" ref="I2132">IFERROR(IF(I2117="Chemical",(10^(INDEX(Antoines,MATCH(I2116,Antoine_Name,0),2)-INDEX(Antoines,MATCH(I2116,Antoine_Name,0),3)/(INDEX(Antoines,MATCH(I2116,Antoine_Name,0),4)+(I2125-32)*5/9)))*14.7/760,IF(I2117="Crude Oil",EXP((2799/(I2125+459.6)-2.227)*LOG10(INDEX(FX_Input,V$5,I$3*$Z$5+$AA$5))-(7261/(I2125+459.6))+12.82),IF(I2117="Refined Petroleum Stock",EXP((0.7553-(413/(I2125+459.6)))*(INDEX(FX_Input,V$5,I$3*$Z$5+$AA$5-1)^0.5)*LOG10(INDEX(FX_Input,V$5,I$3*$Z$5+$AA$5))-(1.854-(1042/(I2125+459.6)))*(INDEX(FX_Input,V$5,I$3*$Z$5+$AA$5-1)^0.5)+((2416/(I2125+459.6)-2.013)*LOG10(INDEX(FX_Input,V$5,I$3*$Z$5+$AA$5)))-(8742/(I2125+459.6))+15.64),EXP(INDEX(Antoines,MATCH(I2116,Antoine_Name,0),2)-INDEX(Antoines,MATCH(I2116,Antoine_Name,0),3)/(I2125+459.6))))),0)</f>
        <v>7.4199539958878279E-3</v>
      </c>
      <c r="J2132" cm="1">
        <f t="array" ref="J2132">IFERROR(IF(J2117="Chemical",(10^(INDEX(Antoines,MATCH(J2116,Antoine_Name,0),2)-INDEX(Antoines,MATCH(J2116,Antoine_Name,0),3)/(INDEX(Antoines,MATCH(J2116,Antoine_Name,0),4)+(J2125-32)*5/9)))*14.7/760,IF(J2117="Crude Oil",EXP((2799/(J2125+459.6)-2.227)*LOG10(INDEX(FX_Input,W$5,J$3*$Z$5+$AA$5))-(7261/(J2125+459.6))+12.82),IF(J2117="Refined Petroleum Stock",EXP((0.7553-(413/(J2125+459.6)))*(INDEX(FX_Input,W$5,J$3*$Z$5+$AA$5-1)^0.5)*LOG10(INDEX(FX_Input,W$5,J$3*$Z$5+$AA$5))-(1.854-(1042/(J2125+459.6)))*(INDEX(FX_Input,W$5,J$3*$Z$5+$AA$5-1)^0.5)+((2416/(J2125+459.6)-2.013)*LOG10(INDEX(FX_Input,W$5,J$3*$Z$5+$AA$5)))-(8742/(J2125+459.6))+15.64),EXP(INDEX(Antoines,MATCH(J2116,Antoine_Name,0),2)-INDEX(Antoines,MATCH(J2116,Antoine_Name,0),3)/(J2125+459.6))))),0)</f>
        <v>8.3358107202842254E-3</v>
      </c>
      <c r="K2132" cm="1">
        <f t="array" ref="K2132">IFERROR(IF(K2117="Chemical",(10^(INDEX(Antoines,MATCH(K2116,Antoine_Name,0),2)-INDEX(Antoines,MATCH(K2116,Antoine_Name,0),3)/(INDEX(Antoines,MATCH(K2116,Antoine_Name,0),4)+(K2125-32)*5/9)))*14.7/760,IF(K2117="Crude Oil",EXP((2799/(K2125+459.6)-2.227)*LOG10(INDEX(FX_Input,X$5,K$3*$Z$5+$AA$5))-(7261/(K2125+459.6))+12.82),IF(K2117="Refined Petroleum Stock",EXP((0.7553-(413/(K2125+459.6)))*(INDEX(FX_Input,X$5,K$3*$Z$5+$AA$5-1)^0.5)*LOG10(INDEX(FX_Input,X$5,K$3*$Z$5+$AA$5))-(1.854-(1042/(K2125+459.6)))*(INDEX(FX_Input,X$5,K$3*$Z$5+$AA$5-1)^0.5)+((2416/(K2125+459.6)-2.013)*LOG10(INDEX(FX_Input,X$5,K$3*$Z$5+$AA$5)))-(8742/(K2125+459.6))+15.64),EXP(INDEX(Antoines,MATCH(K2116,Antoine_Name,0),2)-INDEX(Antoines,MATCH(K2116,Antoine_Name,0),3)/(K2125+459.6))))),0)</f>
        <v>8.4605262729351115E-3</v>
      </c>
      <c r="L2132" cm="1">
        <f t="array" ref="L2132">IFERROR(IF(L2117="Chemical",(10^(INDEX(Antoines,MATCH(L2116,Antoine_Name,0),2)-INDEX(Antoines,MATCH(L2116,Antoine_Name,0),3)/(INDEX(Antoines,MATCH(L2116,Antoine_Name,0),4)+(L2125-32)*5/9)))*14.7/760,IF(L2117="Crude Oil",EXP((2799/(L2125+459.6)-2.227)*LOG10(INDEX(FX_Input,Y$5,L$3*$Z$5+$AA$5))-(7261/(L2125+459.6))+12.82),IF(L2117="Refined Petroleum Stock",EXP((0.7553-(413/(L2125+459.6)))*(INDEX(FX_Input,Y$5,L$3*$Z$5+$AA$5-1)^0.5)*LOG10(INDEX(FX_Input,Y$5,L$3*$Z$5+$AA$5))-(1.854-(1042/(L2125+459.6)))*(INDEX(FX_Input,Y$5,L$3*$Z$5+$AA$5-1)^0.5)+((2416/(L2125+459.6)-2.013)*LOG10(INDEX(FX_Input,Y$5,L$3*$Z$5+$AA$5)))-(8742/(L2125+459.6))+15.64),EXP(INDEX(Antoines,MATCH(L2116,Antoine_Name,0),2)-INDEX(Antoines,MATCH(L2116,Antoine_Name,0),3)/(L2125+459.6))))),0)</f>
        <v>7.8399882233967533E-3</v>
      </c>
      <c r="M2132" cm="1">
        <f t="array" ref="M2132">IFERROR(IF(M2117="Chemical",(10^(INDEX(Antoines,MATCH(M2116,Antoine_Name,0),2)-INDEX(Antoines,MATCH(M2116,Antoine_Name,0),3)/(INDEX(Antoines,MATCH(M2116,Antoine_Name,0),4)+(M2125-32)*5/9)))*14.7/760,IF(M2117="Crude Oil",EXP((2799/(M2125+459.6)-2.227)*LOG10(INDEX(FX_Input,Z$5,M$3*$Z$5+$AA$5))-(7261/(M2125+459.6))+12.82),IF(M2117="Refined Petroleum Stock",EXP((0.7553-(413/(M2125+459.6)))*(INDEX(FX_Input,Z$5,M$3*$Z$5+$AA$5-1)^0.5)*LOG10(INDEX(FX_Input,Z$5,M$3*$Z$5+$AA$5))-(1.854-(1042/(M2125+459.6)))*(INDEX(FX_Input,Z$5,M$3*$Z$5+$AA$5-1)^0.5)+((2416/(M2125+459.6)-2.013)*LOG10(INDEX(FX_Input,Z$5,M$3*$Z$5+$AA$5)))-(8742/(M2125+459.6))+15.64),EXP(INDEX(Antoines,MATCH(M2116,Antoine_Name,0),2)-INDEX(Antoines,MATCH(M2116,Antoine_Name,0),3)/(M2125+459.6))))),0)</f>
        <v>6.4173462075160911E-3</v>
      </c>
      <c r="N2132" cm="1">
        <f t="array" ref="N2132">IFERROR(IF(N2117="Chemical",(10^(INDEX(Antoines,MATCH(N2116,Antoine_Name,0),2)-INDEX(Antoines,MATCH(N2116,Antoine_Name,0),3)/(INDEX(Antoines,MATCH(N2116,Antoine_Name,0),4)+(N2125-32)*5/9)))*14.7/760,IF(N2117="Crude Oil",EXP((2799/(N2125+459.6)-2.227)*LOG10(INDEX(FX_Input,AA$5,N$3*$Z$5+$AA$5))-(7261/(N2125+459.6))+12.82),IF(N2117="Refined Petroleum Stock",EXP((0.7553-(413/(N2125+459.6)))*(INDEX(FX_Input,AA$5,N$3*$Z$5+$AA$5-1)^0.5)*LOG10(INDEX(FX_Input,AA$5,N$3*$Z$5+$AA$5))-(1.854-(1042/(N2125+459.6)))*(INDEX(FX_Input,AA$5,N$3*$Z$5+$AA$5-1)^0.5)+((2416/(N2125+459.6)-2.013)*LOG10(INDEX(FX_Input,AA$5,N$3*$Z$5+$AA$5)))-(8742/(N2125+459.6))+15.64),EXP(INDEX(Antoines,MATCH(N2116,Antoine_Name,0),2)-INDEX(Antoines,MATCH(N2116,Antoine_Name,0),3)/(N2125+459.6))))),0)</f>
        <v>5.3015226887581056E-3</v>
      </c>
      <c r="O2132" cm="1">
        <f t="array" ref="O2132">IFERROR(IF(O2117="Chemical",(10^(INDEX(Antoines,MATCH(O2116,Antoine_Name,0),2)-INDEX(Antoines,MATCH(O2116,Antoine_Name,0),3)/(INDEX(Antoines,MATCH(O2116,Antoine_Name,0),4)+(O2125-32)*5/9)))*14.7/760,IF(O2117="Crude Oil",EXP((2799/(O2125+459.6)-2.227)*LOG10(INDEX(FX_Input,AB$5,O$3*$Z$5+$AA$5))-(7261/(O2125+459.6))+12.82),IF(O2117="Refined Petroleum Stock",EXP((0.7553-(413/(O2125+459.6)))*(INDEX(FX_Input,AB$5,O$3*$Z$5+$AA$5-1)^0.5)*LOG10(INDEX(FX_Input,AB$5,O$3*$Z$5+$AA$5))-(1.854-(1042/(O2125+459.6)))*(INDEX(FX_Input,AB$5,O$3*$Z$5+$AA$5-1)^0.5)+((2416/(O2125+459.6)-2.013)*LOG10(INDEX(FX_Input,AB$5,O$3*$Z$5+$AA$5)))-(8742/(O2125+459.6))+15.64),EXP(INDEX(Antoines,MATCH(O2116,Antoine_Name,0),2)-INDEX(Antoines,MATCH(O2116,Antoine_Name,0),3)/(O2125+459.6))))),0)</f>
        <v>4.68970903600947E-3</v>
      </c>
    </row>
    <row r="2133" spans="2:15" ht="17.149999999999999" x14ac:dyDescent="0.55000000000000004">
      <c r="B2133" t="str">
        <f t="shared" si="7168"/>
        <v>Portland</v>
      </c>
      <c r="C2133" t="s">
        <v>580</v>
      </c>
      <c r="D2133">
        <f>D2132*D2120</f>
        <v>4.739577185808354E-3</v>
      </c>
      <c r="E2133">
        <f t="shared" ref="E2133:O2133" si="7172">E2132*E2120</f>
        <v>4.8748667780818778E-3</v>
      </c>
      <c r="F2133">
        <f t="shared" si="7172"/>
        <v>5.119885034186122E-3</v>
      </c>
      <c r="G2133">
        <f t="shared" si="7172"/>
        <v>5.5846958573521795E-3</v>
      </c>
      <c r="H2133">
        <f t="shared" si="7172"/>
        <v>6.5274070972739821E-3</v>
      </c>
      <c r="I2133">
        <f t="shared" si="7172"/>
        <v>7.4199539958878279E-3</v>
      </c>
      <c r="J2133">
        <f t="shared" si="7172"/>
        <v>8.3358107202842254E-3</v>
      </c>
      <c r="K2133">
        <f t="shared" si="7172"/>
        <v>8.4605262729351115E-3</v>
      </c>
      <c r="L2133">
        <f t="shared" si="7172"/>
        <v>7.8399882233967533E-3</v>
      </c>
      <c r="M2133">
        <f t="shared" si="7172"/>
        <v>6.4173462075160911E-3</v>
      </c>
      <c r="N2133">
        <f t="shared" si="7172"/>
        <v>5.3015226887581056E-3</v>
      </c>
      <c r="O2133">
        <f t="shared" si="7172"/>
        <v>4.68970903600947E-3</v>
      </c>
    </row>
    <row r="2134" spans="2:15" ht="17.149999999999999" x14ac:dyDescent="0.55000000000000004">
      <c r="B2134" t="str">
        <f t="shared" si="7168"/>
        <v>Portland</v>
      </c>
      <c r="C2134" t="s">
        <v>581</v>
      </c>
      <c r="D2134" cm="1">
        <f t="array" ref="D2134">IFERROR(IF(D2119="Chemical",(10^(INDEX(Antoines,MATCH(D2118,Antoine_Name,0),2)-INDEX(Antoines,MATCH(D2118,Antoine_Name,0),3)/(INDEX(Antoines,MATCH(D2118,Antoine_Name,0),4)+(D2125-32)*5/9)))*14.7/760,IF(D2119="Crude Oil",EXP((2799/(D2125+459.6)-2.227)*LOG10(INDEX(FX_Input,Q$5,D$3*$Z$5+$AA$5))-(7261/(D2125+459.6))+12.82),IF(D2119="Refined Petroleum Stock",EXP((0.7553-(413/(D2125+459.6)))*(INDEX(FX_Input,Q$5,D$3*$Z$5+$AA$5-1)^0.5)*LOG10(INDEX(FX_Input,Q$5,D$3*$Z$5+$AA$5))-(1.854-(1042/(D2125+459.6)))*(INDEX(FX_Input,Q$5,D$3*$Z$5+$AA$5-1)^0.5)+((2416/(D2125+459.6)-2.013)*LOG10(INDEX(FX_Input,Q$5,D$3*$Z$5+$AA$5)))-(8742/(D2125+459.6))+15.64),EXP(INDEX(Antoines,MATCH(D2118,Antoine_Name,0),2)-INDEX(Antoines,MATCH(D2118,Antoine_Name,0),3)/(D2125+459.6))))),0)</f>
        <v>0</v>
      </c>
      <c r="E2134" cm="1">
        <f t="array" ref="E2134">IFERROR(IF(E2119="Chemical",(10^(INDEX(Antoines,MATCH(E2118,Antoine_Name,0),2)-INDEX(Antoines,MATCH(E2118,Antoine_Name,0),3)/(INDEX(Antoines,MATCH(E2118,Antoine_Name,0),4)+(E2125-32)*5/9)))*14.7/760,IF(E2119="Crude Oil",EXP((2799/(E2125+459.6)-2.227)*LOG10(INDEX(FX_Input,R$5,E$3*$Z$5+$AA$5))-(7261/(E2125+459.6))+12.82),IF(E2119="Refined Petroleum Stock",EXP((0.7553-(413/(E2125+459.6)))*(INDEX(FX_Input,R$5,E$3*$Z$5+$AA$5-1)^0.5)*LOG10(INDEX(FX_Input,R$5,E$3*$Z$5+$AA$5))-(1.854-(1042/(E2125+459.6)))*(INDEX(FX_Input,R$5,E$3*$Z$5+$AA$5-1)^0.5)+((2416/(E2125+459.6)-2.013)*LOG10(INDEX(FX_Input,R$5,E$3*$Z$5+$AA$5)))-(8742/(E2125+459.6))+15.64),EXP(INDEX(Antoines,MATCH(E2118,Antoine_Name,0),2)-INDEX(Antoines,MATCH(E2118,Antoine_Name,0),3)/(E2125+459.6))))),0)</f>
        <v>0</v>
      </c>
      <c r="F2134" cm="1">
        <f t="array" ref="F2134">IFERROR(IF(F2119="Chemical",(10^(INDEX(Antoines,MATCH(F2118,Antoine_Name,0),2)-INDEX(Antoines,MATCH(F2118,Antoine_Name,0),3)/(INDEX(Antoines,MATCH(F2118,Antoine_Name,0),4)+(F2125-32)*5/9)))*14.7/760,IF(F2119="Crude Oil",EXP((2799/(F2125+459.6)-2.227)*LOG10(INDEX(FX_Input,S$5,F$3*$Z$5+$AA$5))-(7261/(F2125+459.6))+12.82),IF(F2119="Refined Petroleum Stock",EXP((0.7553-(413/(F2125+459.6)))*(INDEX(FX_Input,S$5,F$3*$Z$5+$AA$5-1)^0.5)*LOG10(INDEX(FX_Input,S$5,F$3*$Z$5+$AA$5))-(1.854-(1042/(F2125+459.6)))*(INDEX(FX_Input,S$5,F$3*$Z$5+$AA$5-1)^0.5)+((2416/(F2125+459.6)-2.013)*LOG10(INDEX(FX_Input,S$5,F$3*$Z$5+$AA$5)))-(8742/(F2125+459.6))+15.64),EXP(INDEX(Antoines,MATCH(F2118,Antoine_Name,0),2)-INDEX(Antoines,MATCH(F2118,Antoine_Name,0),3)/(F2125+459.6))))),0)</f>
        <v>0</v>
      </c>
      <c r="G2134" cm="1">
        <f t="array" ref="G2134">IFERROR(IF(G2119="Chemical",(10^(INDEX(Antoines,MATCH(G2118,Antoine_Name,0),2)-INDEX(Antoines,MATCH(G2118,Antoine_Name,0),3)/(INDEX(Antoines,MATCH(G2118,Antoine_Name,0),4)+(G2125-32)*5/9)))*14.7/760,IF(G2119="Crude Oil",EXP((2799/(G2125+459.6)-2.227)*LOG10(INDEX(FX_Input,T$5,G$3*$Z$5+$AA$5))-(7261/(G2125+459.6))+12.82),IF(G2119="Refined Petroleum Stock",EXP((0.7553-(413/(G2125+459.6)))*(INDEX(FX_Input,T$5,G$3*$Z$5+$AA$5-1)^0.5)*LOG10(INDEX(FX_Input,T$5,G$3*$Z$5+$AA$5))-(1.854-(1042/(G2125+459.6)))*(INDEX(FX_Input,T$5,G$3*$Z$5+$AA$5-1)^0.5)+((2416/(G2125+459.6)-2.013)*LOG10(INDEX(FX_Input,T$5,G$3*$Z$5+$AA$5)))-(8742/(G2125+459.6))+15.64),EXP(INDEX(Antoines,MATCH(G2118,Antoine_Name,0),2)-INDEX(Antoines,MATCH(G2118,Antoine_Name,0),3)/(G2125+459.6))))),0)</f>
        <v>0</v>
      </c>
      <c r="H2134" cm="1">
        <f t="array" ref="H2134">IFERROR(IF(H2119="Chemical",(10^(INDEX(Antoines,MATCH(H2118,Antoine_Name,0),2)-INDEX(Antoines,MATCH(H2118,Antoine_Name,0),3)/(INDEX(Antoines,MATCH(H2118,Antoine_Name,0),4)+(H2125-32)*5/9)))*14.7/760,IF(H2119="Crude Oil",EXP((2799/(H2125+459.6)-2.227)*LOG10(INDEX(FX_Input,U$5,H$3*$Z$5+$AA$5))-(7261/(H2125+459.6))+12.82),IF(H2119="Refined Petroleum Stock",EXP((0.7553-(413/(H2125+459.6)))*(INDEX(FX_Input,U$5,H$3*$Z$5+$AA$5-1)^0.5)*LOG10(INDEX(FX_Input,U$5,H$3*$Z$5+$AA$5))-(1.854-(1042/(H2125+459.6)))*(INDEX(FX_Input,U$5,H$3*$Z$5+$AA$5-1)^0.5)+((2416/(H2125+459.6)-2.013)*LOG10(INDEX(FX_Input,U$5,H$3*$Z$5+$AA$5)))-(8742/(H2125+459.6))+15.64),EXP(INDEX(Antoines,MATCH(H2118,Antoine_Name,0),2)-INDEX(Antoines,MATCH(H2118,Antoine_Name,0),3)/(H2125+459.6))))),0)</f>
        <v>0</v>
      </c>
      <c r="I2134" cm="1">
        <f t="array" ref="I2134">IFERROR(IF(I2119="Chemical",(10^(INDEX(Antoines,MATCH(I2118,Antoine_Name,0),2)-INDEX(Antoines,MATCH(I2118,Antoine_Name,0),3)/(INDEX(Antoines,MATCH(I2118,Antoine_Name,0),4)+(I2125-32)*5/9)))*14.7/760,IF(I2119="Crude Oil",EXP((2799/(I2125+459.6)-2.227)*LOG10(INDEX(FX_Input,V$5,I$3*$Z$5+$AA$5))-(7261/(I2125+459.6))+12.82),IF(I2119="Refined Petroleum Stock",EXP((0.7553-(413/(I2125+459.6)))*(INDEX(FX_Input,V$5,I$3*$Z$5+$AA$5-1)^0.5)*LOG10(INDEX(FX_Input,V$5,I$3*$Z$5+$AA$5))-(1.854-(1042/(I2125+459.6)))*(INDEX(FX_Input,V$5,I$3*$Z$5+$AA$5-1)^0.5)+((2416/(I2125+459.6)-2.013)*LOG10(INDEX(FX_Input,V$5,I$3*$Z$5+$AA$5)))-(8742/(I2125+459.6))+15.64),EXP(INDEX(Antoines,MATCH(I2118,Antoine_Name,0),2)-INDEX(Antoines,MATCH(I2118,Antoine_Name,0),3)/(I2125+459.6))))),0)</f>
        <v>0</v>
      </c>
      <c r="J2134" cm="1">
        <f t="array" ref="J2134">IFERROR(IF(J2119="Chemical",(10^(INDEX(Antoines,MATCH(J2118,Antoine_Name,0),2)-INDEX(Antoines,MATCH(J2118,Antoine_Name,0),3)/(INDEX(Antoines,MATCH(J2118,Antoine_Name,0),4)+(J2125-32)*5/9)))*14.7/760,IF(J2119="Crude Oil",EXP((2799/(J2125+459.6)-2.227)*LOG10(INDEX(FX_Input,W$5,J$3*$Z$5+$AA$5))-(7261/(J2125+459.6))+12.82),IF(J2119="Refined Petroleum Stock",EXP((0.7553-(413/(J2125+459.6)))*(INDEX(FX_Input,W$5,J$3*$Z$5+$AA$5-1)^0.5)*LOG10(INDEX(FX_Input,W$5,J$3*$Z$5+$AA$5))-(1.854-(1042/(J2125+459.6)))*(INDEX(FX_Input,W$5,J$3*$Z$5+$AA$5-1)^0.5)+((2416/(J2125+459.6)-2.013)*LOG10(INDEX(FX_Input,W$5,J$3*$Z$5+$AA$5)))-(8742/(J2125+459.6))+15.64),EXP(INDEX(Antoines,MATCH(J2118,Antoine_Name,0),2)-INDEX(Antoines,MATCH(J2118,Antoine_Name,0),3)/(J2125+459.6))))),0)</f>
        <v>0</v>
      </c>
      <c r="K2134" cm="1">
        <f t="array" ref="K2134">IFERROR(IF(K2119="Chemical",(10^(INDEX(Antoines,MATCH(K2118,Antoine_Name,0),2)-INDEX(Antoines,MATCH(K2118,Antoine_Name,0),3)/(INDEX(Antoines,MATCH(K2118,Antoine_Name,0),4)+(K2125-32)*5/9)))*14.7/760,IF(K2119="Crude Oil",EXP((2799/(K2125+459.6)-2.227)*LOG10(INDEX(FX_Input,X$5,K$3*$Z$5+$AA$5))-(7261/(K2125+459.6))+12.82),IF(K2119="Refined Petroleum Stock",EXP((0.7553-(413/(K2125+459.6)))*(INDEX(FX_Input,X$5,K$3*$Z$5+$AA$5-1)^0.5)*LOG10(INDEX(FX_Input,X$5,K$3*$Z$5+$AA$5))-(1.854-(1042/(K2125+459.6)))*(INDEX(FX_Input,X$5,K$3*$Z$5+$AA$5-1)^0.5)+((2416/(K2125+459.6)-2.013)*LOG10(INDEX(FX_Input,X$5,K$3*$Z$5+$AA$5)))-(8742/(K2125+459.6))+15.64),EXP(INDEX(Antoines,MATCH(K2118,Antoine_Name,0),2)-INDEX(Antoines,MATCH(K2118,Antoine_Name,0),3)/(K2125+459.6))))),0)</f>
        <v>0</v>
      </c>
      <c r="L2134" cm="1">
        <f t="array" ref="L2134">IFERROR(IF(L2119="Chemical",(10^(INDEX(Antoines,MATCH(L2118,Antoine_Name,0),2)-INDEX(Antoines,MATCH(L2118,Antoine_Name,0),3)/(INDEX(Antoines,MATCH(L2118,Antoine_Name,0),4)+(L2125-32)*5/9)))*14.7/760,IF(L2119="Crude Oil",EXP((2799/(L2125+459.6)-2.227)*LOG10(INDEX(FX_Input,Y$5,L$3*$Z$5+$AA$5))-(7261/(L2125+459.6))+12.82),IF(L2119="Refined Petroleum Stock",EXP((0.7553-(413/(L2125+459.6)))*(INDEX(FX_Input,Y$5,L$3*$Z$5+$AA$5-1)^0.5)*LOG10(INDEX(FX_Input,Y$5,L$3*$Z$5+$AA$5))-(1.854-(1042/(L2125+459.6)))*(INDEX(FX_Input,Y$5,L$3*$Z$5+$AA$5-1)^0.5)+((2416/(L2125+459.6)-2.013)*LOG10(INDEX(FX_Input,Y$5,L$3*$Z$5+$AA$5)))-(8742/(L2125+459.6))+15.64),EXP(INDEX(Antoines,MATCH(L2118,Antoine_Name,0),2)-INDEX(Antoines,MATCH(L2118,Antoine_Name,0),3)/(L2125+459.6))))),0)</f>
        <v>0</v>
      </c>
      <c r="M2134" cm="1">
        <f t="array" ref="M2134">IFERROR(IF(M2119="Chemical",(10^(INDEX(Antoines,MATCH(M2118,Antoine_Name,0),2)-INDEX(Antoines,MATCH(M2118,Antoine_Name,0),3)/(INDEX(Antoines,MATCH(M2118,Antoine_Name,0),4)+(M2125-32)*5/9)))*14.7/760,IF(M2119="Crude Oil",EXP((2799/(M2125+459.6)-2.227)*LOG10(INDEX(FX_Input,Z$5,M$3*$Z$5+$AA$5))-(7261/(M2125+459.6))+12.82),IF(M2119="Refined Petroleum Stock",EXP((0.7553-(413/(M2125+459.6)))*(INDEX(FX_Input,Z$5,M$3*$Z$5+$AA$5-1)^0.5)*LOG10(INDEX(FX_Input,Z$5,M$3*$Z$5+$AA$5))-(1.854-(1042/(M2125+459.6)))*(INDEX(FX_Input,Z$5,M$3*$Z$5+$AA$5-1)^0.5)+((2416/(M2125+459.6)-2.013)*LOG10(INDEX(FX_Input,Z$5,M$3*$Z$5+$AA$5)))-(8742/(M2125+459.6))+15.64),EXP(INDEX(Antoines,MATCH(M2118,Antoine_Name,0),2)-INDEX(Antoines,MATCH(M2118,Antoine_Name,0),3)/(M2125+459.6))))),0)</f>
        <v>0</v>
      </c>
      <c r="N2134" cm="1">
        <f t="array" ref="N2134">IFERROR(IF(N2119="Chemical",(10^(INDEX(Antoines,MATCH(N2118,Antoine_Name,0),2)-INDEX(Antoines,MATCH(N2118,Antoine_Name,0),3)/(INDEX(Antoines,MATCH(N2118,Antoine_Name,0),4)+(N2125-32)*5/9)))*14.7/760,IF(N2119="Crude Oil",EXP((2799/(N2125+459.6)-2.227)*LOG10(INDEX(FX_Input,AA$5,N$3*$Z$5+$AA$5))-(7261/(N2125+459.6))+12.82),IF(N2119="Refined Petroleum Stock",EXP((0.7553-(413/(N2125+459.6)))*(INDEX(FX_Input,AA$5,N$3*$Z$5+$AA$5-1)^0.5)*LOG10(INDEX(FX_Input,AA$5,N$3*$Z$5+$AA$5))-(1.854-(1042/(N2125+459.6)))*(INDEX(FX_Input,AA$5,N$3*$Z$5+$AA$5-1)^0.5)+((2416/(N2125+459.6)-2.013)*LOG10(INDEX(FX_Input,AA$5,N$3*$Z$5+$AA$5)))-(8742/(N2125+459.6))+15.64),EXP(INDEX(Antoines,MATCH(N2118,Antoine_Name,0),2)-INDEX(Antoines,MATCH(N2118,Antoine_Name,0),3)/(N2125+459.6))))),0)</f>
        <v>0</v>
      </c>
      <c r="O2134" cm="1">
        <f t="array" ref="O2134">IFERROR(IF(O2119="Chemical",(10^(INDEX(Antoines,MATCH(O2118,Antoine_Name,0),2)-INDEX(Antoines,MATCH(O2118,Antoine_Name,0),3)/(INDEX(Antoines,MATCH(O2118,Antoine_Name,0),4)+(O2125-32)*5/9)))*14.7/760,IF(O2119="Crude Oil",EXP((2799/(O2125+459.6)-2.227)*LOG10(INDEX(FX_Input,AB$5,O$3*$Z$5+$AA$5))-(7261/(O2125+459.6))+12.82),IF(O2119="Refined Petroleum Stock",EXP((0.7553-(413/(O2125+459.6)))*(INDEX(FX_Input,AB$5,O$3*$Z$5+$AA$5-1)^0.5)*LOG10(INDEX(FX_Input,AB$5,O$3*$Z$5+$AA$5))-(1.854-(1042/(O2125+459.6)))*(INDEX(FX_Input,AB$5,O$3*$Z$5+$AA$5-1)^0.5)+((2416/(O2125+459.6)-2.013)*LOG10(INDEX(FX_Input,AB$5,O$3*$Z$5+$AA$5)))-(8742/(O2125+459.6))+15.64),EXP(INDEX(Antoines,MATCH(O2118,Antoine_Name,0),2)-INDEX(Antoines,MATCH(O2118,Antoine_Name,0),3)/(O2125+459.6))))),0)</f>
        <v>0</v>
      </c>
    </row>
    <row r="2135" spans="2:15" ht="17.149999999999999" x14ac:dyDescent="0.55000000000000004">
      <c r="B2135" t="str">
        <f t="shared" si="7168"/>
        <v>Portland</v>
      </c>
      <c r="C2135" t="s">
        <v>582</v>
      </c>
      <c r="D2135">
        <f>D2134*D2122</f>
        <v>0</v>
      </c>
      <c r="E2135">
        <f t="shared" ref="E2135:O2135" si="7173">E2134*E2122</f>
        <v>0</v>
      </c>
      <c r="F2135">
        <f t="shared" si="7173"/>
        <v>0</v>
      </c>
      <c r="G2135">
        <f t="shared" si="7173"/>
        <v>0</v>
      </c>
      <c r="H2135">
        <f t="shared" si="7173"/>
        <v>0</v>
      </c>
      <c r="I2135">
        <f t="shared" si="7173"/>
        <v>0</v>
      </c>
      <c r="J2135">
        <f t="shared" si="7173"/>
        <v>0</v>
      </c>
      <c r="K2135">
        <f t="shared" si="7173"/>
        <v>0</v>
      </c>
      <c r="L2135">
        <f t="shared" si="7173"/>
        <v>0</v>
      </c>
      <c r="M2135">
        <f t="shared" si="7173"/>
        <v>0</v>
      </c>
      <c r="N2135">
        <f t="shared" si="7173"/>
        <v>0</v>
      </c>
      <c r="O2135">
        <f t="shared" si="7173"/>
        <v>0</v>
      </c>
    </row>
    <row r="2136" spans="2:15" ht="17.149999999999999" x14ac:dyDescent="0.55000000000000004">
      <c r="B2136" t="str">
        <f t="shared" si="7168"/>
        <v>Portland</v>
      </c>
      <c r="C2136" t="s">
        <v>583</v>
      </c>
      <c r="D2136">
        <f>D2133+D2135</f>
        <v>4.739577185808354E-3</v>
      </c>
      <c r="E2136">
        <f t="shared" ref="E2136:O2136" si="7174">E2133+E2135</f>
        <v>4.8748667780818778E-3</v>
      </c>
      <c r="F2136">
        <f t="shared" si="7174"/>
        <v>5.119885034186122E-3</v>
      </c>
      <c r="G2136">
        <f t="shared" si="7174"/>
        <v>5.5846958573521795E-3</v>
      </c>
      <c r="H2136">
        <f t="shared" si="7174"/>
        <v>6.5274070972739821E-3</v>
      </c>
      <c r="I2136">
        <f t="shared" si="7174"/>
        <v>7.4199539958878279E-3</v>
      </c>
      <c r="J2136">
        <f t="shared" si="7174"/>
        <v>8.3358107202842254E-3</v>
      </c>
      <c r="K2136">
        <f t="shared" si="7174"/>
        <v>8.4605262729351115E-3</v>
      </c>
      <c r="L2136">
        <f t="shared" si="7174"/>
        <v>7.8399882233967533E-3</v>
      </c>
      <c r="M2136">
        <f t="shared" si="7174"/>
        <v>6.4173462075160911E-3</v>
      </c>
      <c r="N2136">
        <f t="shared" si="7174"/>
        <v>5.3015226887581056E-3</v>
      </c>
      <c r="O2136">
        <f t="shared" si="7174"/>
        <v>4.68970903600947E-3</v>
      </c>
    </row>
    <row r="2137" spans="2:15" ht="17.149999999999999" x14ac:dyDescent="0.55000000000000004">
      <c r="B2137" t="str">
        <f t="shared" si="7168"/>
        <v>Portland</v>
      </c>
      <c r="C2137" t="s">
        <v>1388</v>
      </c>
      <c r="D2137" cm="1">
        <f t="array" ref="D2137">IFERROR(IF(D2117="Chemical",(10^(INDEX(Antoines,MATCH(D2116,Antoine_Name,0),2)-INDEX(Antoines,MATCH(D2116,Antoine_Name,0),3)/(INDEX(Antoines,MATCH(D2116,Antoine_Name,0),4)+(D2126-32)*5/9)))*14.7/760,IF(D2117="Crude Oil",EXP((2799/(D2126+459.6)-2.227)*LOG10(INDEX(FX_Input,Q$5,D$3*$Z$5+$AA$5))-(7261/(D2126+459.6))+12.82),IF(D2117="Refined Petroleum Stock",EXP((0.7553-(413/(D2126+459.6)))*(INDEX(FX_Input,Q$5,D$3*$Z$5+$AA$5-1)^0.5)*LOG10(INDEX(FX_Input,Q$5,D$3*$Z$5+$AA$5))-(1.854-(1042/(D2126+459.6)))*(INDEX(FX_Input,Q$5,D$3*$Z$5+$AA$5-1)^0.5)+((2416/(D2126+459.6)-2.013)*LOG10(INDEX(FX_Input,Q$5,D$3*$Z$5+$AA$5)))-(8742/(D2126+459.6))+15.64),EXP(INDEX(Antoines,MATCH(D2116,Antoine_Name,0),2)-INDEX(Antoines,MATCH(D2116,Antoine_Name,0),3)/(D2126+459.6))))),0)</f>
        <v>4.739577185808354E-3</v>
      </c>
      <c r="E2137" cm="1">
        <f t="array" ref="E2137">IFERROR(IF(E2117="Chemical",(10^(INDEX(Antoines,MATCH(E2116,Antoine_Name,0),2)-INDEX(Antoines,MATCH(E2116,Antoine_Name,0),3)/(INDEX(Antoines,MATCH(E2116,Antoine_Name,0),4)+(E2126-32)*5/9)))*14.7/760,IF(E2117="Crude Oil",EXP((2799/(E2126+459.6)-2.227)*LOG10(INDEX(FX_Input,R$5,E$3*$Z$5+$AA$5))-(7261/(E2126+459.6))+12.82),IF(E2117="Refined Petroleum Stock",EXP((0.7553-(413/(E2126+459.6)))*(INDEX(FX_Input,R$5,E$3*$Z$5+$AA$5-1)^0.5)*LOG10(INDEX(FX_Input,R$5,E$3*$Z$5+$AA$5))-(1.854-(1042/(E2126+459.6)))*(INDEX(FX_Input,R$5,E$3*$Z$5+$AA$5-1)^0.5)+((2416/(E2126+459.6)-2.013)*LOG10(INDEX(FX_Input,R$5,E$3*$Z$5+$AA$5)))-(8742/(E2126+459.6))+15.64),EXP(INDEX(Antoines,MATCH(E2116,Antoine_Name,0),2)-INDEX(Antoines,MATCH(E2116,Antoine_Name,0),3)/(E2126+459.6))))),0)</f>
        <v>4.8748667780818778E-3</v>
      </c>
      <c r="F2137" cm="1">
        <f t="array" ref="F2137">IFERROR(IF(F2117="Chemical",(10^(INDEX(Antoines,MATCH(F2116,Antoine_Name,0),2)-INDEX(Antoines,MATCH(F2116,Antoine_Name,0),3)/(INDEX(Antoines,MATCH(F2116,Antoine_Name,0),4)+(F2126-32)*5/9)))*14.7/760,IF(F2117="Crude Oil",EXP((2799/(F2126+459.6)-2.227)*LOG10(INDEX(FX_Input,S$5,F$3*$Z$5+$AA$5))-(7261/(F2126+459.6))+12.82),IF(F2117="Refined Petroleum Stock",EXP((0.7553-(413/(F2126+459.6)))*(INDEX(FX_Input,S$5,F$3*$Z$5+$AA$5-1)^0.5)*LOG10(INDEX(FX_Input,S$5,F$3*$Z$5+$AA$5))-(1.854-(1042/(F2126+459.6)))*(INDEX(FX_Input,S$5,F$3*$Z$5+$AA$5-1)^0.5)+((2416/(F2126+459.6)-2.013)*LOG10(INDEX(FX_Input,S$5,F$3*$Z$5+$AA$5)))-(8742/(F2126+459.6))+15.64),EXP(INDEX(Antoines,MATCH(F2116,Antoine_Name,0),2)-INDEX(Antoines,MATCH(F2116,Antoine_Name,0),3)/(F2126+459.6))))),0)</f>
        <v>5.119885034186122E-3</v>
      </c>
      <c r="G2137" cm="1">
        <f t="array" ref="G2137">IFERROR(IF(G2117="Chemical",(10^(INDEX(Antoines,MATCH(G2116,Antoine_Name,0),2)-INDEX(Antoines,MATCH(G2116,Antoine_Name,0),3)/(INDEX(Antoines,MATCH(G2116,Antoine_Name,0),4)+(G2126-32)*5/9)))*14.7/760,IF(G2117="Crude Oil",EXP((2799/(G2126+459.6)-2.227)*LOG10(INDEX(FX_Input,T$5,G$3*$Z$5+$AA$5))-(7261/(G2126+459.6))+12.82),IF(G2117="Refined Petroleum Stock",EXP((0.7553-(413/(G2126+459.6)))*(INDEX(FX_Input,T$5,G$3*$Z$5+$AA$5-1)^0.5)*LOG10(INDEX(FX_Input,T$5,G$3*$Z$5+$AA$5))-(1.854-(1042/(G2126+459.6)))*(INDEX(FX_Input,T$5,G$3*$Z$5+$AA$5-1)^0.5)+((2416/(G2126+459.6)-2.013)*LOG10(INDEX(FX_Input,T$5,G$3*$Z$5+$AA$5)))-(8742/(G2126+459.6))+15.64),EXP(INDEX(Antoines,MATCH(G2116,Antoine_Name,0),2)-INDEX(Antoines,MATCH(G2116,Antoine_Name,0),3)/(G2126+459.6))))),0)</f>
        <v>5.5846958573521795E-3</v>
      </c>
      <c r="H2137" cm="1">
        <f t="array" ref="H2137">IFERROR(IF(H2117="Chemical",(10^(INDEX(Antoines,MATCH(H2116,Antoine_Name,0),2)-INDEX(Antoines,MATCH(H2116,Antoine_Name,0),3)/(INDEX(Antoines,MATCH(H2116,Antoine_Name,0),4)+(H2126-32)*5/9)))*14.7/760,IF(H2117="Crude Oil",EXP((2799/(H2126+459.6)-2.227)*LOG10(INDEX(FX_Input,U$5,H$3*$Z$5+$AA$5))-(7261/(H2126+459.6))+12.82),IF(H2117="Refined Petroleum Stock",EXP((0.7553-(413/(H2126+459.6)))*(INDEX(FX_Input,U$5,H$3*$Z$5+$AA$5-1)^0.5)*LOG10(INDEX(FX_Input,U$5,H$3*$Z$5+$AA$5))-(1.854-(1042/(H2126+459.6)))*(INDEX(FX_Input,U$5,H$3*$Z$5+$AA$5-1)^0.5)+((2416/(H2126+459.6)-2.013)*LOG10(INDEX(FX_Input,U$5,H$3*$Z$5+$AA$5)))-(8742/(H2126+459.6))+15.64),EXP(INDEX(Antoines,MATCH(H2116,Antoine_Name,0),2)-INDEX(Antoines,MATCH(H2116,Antoine_Name,0),3)/(H2126+459.6))))),0)</f>
        <v>6.5274070972739821E-3</v>
      </c>
      <c r="I2137" cm="1">
        <f t="array" ref="I2137">IFERROR(IF(I2117="Chemical",(10^(INDEX(Antoines,MATCH(I2116,Antoine_Name,0),2)-INDEX(Antoines,MATCH(I2116,Antoine_Name,0),3)/(INDEX(Antoines,MATCH(I2116,Antoine_Name,0),4)+(I2126-32)*5/9)))*14.7/760,IF(I2117="Crude Oil",EXP((2799/(I2126+459.6)-2.227)*LOG10(INDEX(FX_Input,V$5,I$3*$Z$5+$AA$5))-(7261/(I2126+459.6))+12.82),IF(I2117="Refined Petroleum Stock",EXP((0.7553-(413/(I2126+459.6)))*(INDEX(FX_Input,V$5,I$3*$Z$5+$AA$5-1)^0.5)*LOG10(INDEX(FX_Input,V$5,I$3*$Z$5+$AA$5))-(1.854-(1042/(I2126+459.6)))*(INDEX(FX_Input,V$5,I$3*$Z$5+$AA$5-1)^0.5)+((2416/(I2126+459.6)-2.013)*LOG10(INDEX(FX_Input,V$5,I$3*$Z$5+$AA$5)))-(8742/(I2126+459.6))+15.64),EXP(INDEX(Antoines,MATCH(I2116,Antoine_Name,0),2)-INDEX(Antoines,MATCH(I2116,Antoine_Name,0),3)/(I2126+459.6))))),0)</f>
        <v>7.4199539958878279E-3</v>
      </c>
      <c r="J2137" cm="1">
        <f t="array" ref="J2137">IFERROR(IF(J2117="Chemical",(10^(INDEX(Antoines,MATCH(J2116,Antoine_Name,0),2)-INDEX(Antoines,MATCH(J2116,Antoine_Name,0),3)/(INDEX(Antoines,MATCH(J2116,Antoine_Name,0),4)+(J2126-32)*5/9)))*14.7/760,IF(J2117="Crude Oil",EXP((2799/(J2126+459.6)-2.227)*LOG10(INDEX(FX_Input,W$5,J$3*$Z$5+$AA$5))-(7261/(J2126+459.6))+12.82),IF(J2117="Refined Petroleum Stock",EXP((0.7553-(413/(J2126+459.6)))*(INDEX(FX_Input,W$5,J$3*$Z$5+$AA$5-1)^0.5)*LOG10(INDEX(FX_Input,W$5,J$3*$Z$5+$AA$5))-(1.854-(1042/(J2126+459.6)))*(INDEX(FX_Input,W$5,J$3*$Z$5+$AA$5-1)^0.5)+((2416/(J2126+459.6)-2.013)*LOG10(INDEX(FX_Input,W$5,J$3*$Z$5+$AA$5)))-(8742/(J2126+459.6))+15.64),EXP(INDEX(Antoines,MATCH(J2116,Antoine_Name,0),2)-INDEX(Antoines,MATCH(J2116,Antoine_Name,0),3)/(J2126+459.6))))),0)</f>
        <v>8.3358107202842254E-3</v>
      </c>
      <c r="K2137" cm="1">
        <f t="array" ref="K2137">IFERROR(IF(K2117="Chemical",(10^(INDEX(Antoines,MATCH(K2116,Antoine_Name,0),2)-INDEX(Antoines,MATCH(K2116,Antoine_Name,0),3)/(INDEX(Antoines,MATCH(K2116,Antoine_Name,0),4)+(K2126-32)*5/9)))*14.7/760,IF(K2117="Crude Oil",EXP((2799/(K2126+459.6)-2.227)*LOG10(INDEX(FX_Input,X$5,K$3*$Z$5+$AA$5))-(7261/(K2126+459.6))+12.82),IF(K2117="Refined Petroleum Stock",EXP((0.7553-(413/(K2126+459.6)))*(INDEX(FX_Input,X$5,K$3*$Z$5+$AA$5-1)^0.5)*LOG10(INDEX(FX_Input,X$5,K$3*$Z$5+$AA$5))-(1.854-(1042/(K2126+459.6)))*(INDEX(FX_Input,X$5,K$3*$Z$5+$AA$5-1)^0.5)+((2416/(K2126+459.6)-2.013)*LOG10(INDEX(FX_Input,X$5,K$3*$Z$5+$AA$5)))-(8742/(K2126+459.6))+15.64),EXP(INDEX(Antoines,MATCH(K2116,Antoine_Name,0),2)-INDEX(Antoines,MATCH(K2116,Antoine_Name,0),3)/(K2126+459.6))))),0)</f>
        <v>8.4605262729351115E-3</v>
      </c>
      <c r="L2137" cm="1">
        <f t="array" ref="L2137">IFERROR(IF(L2117="Chemical",(10^(INDEX(Antoines,MATCH(L2116,Antoine_Name,0),2)-INDEX(Antoines,MATCH(L2116,Antoine_Name,0),3)/(INDEX(Antoines,MATCH(L2116,Antoine_Name,0),4)+(L2126-32)*5/9)))*14.7/760,IF(L2117="Crude Oil",EXP((2799/(L2126+459.6)-2.227)*LOG10(INDEX(FX_Input,Y$5,L$3*$Z$5+$AA$5))-(7261/(L2126+459.6))+12.82),IF(L2117="Refined Petroleum Stock",EXP((0.7553-(413/(L2126+459.6)))*(INDEX(FX_Input,Y$5,L$3*$Z$5+$AA$5-1)^0.5)*LOG10(INDEX(FX_Input,Y$5,L$3*$Z$5+$AA$5))-(1.854-(1042/(L2126+459.6)))*(INDEX(FX_Input,Y$5,L$3*$Z$5+$AA$5-1)^0.5)+((2416/(L2126+459.6)-2.013)*LOG10(INDEX(FX_Input,Y$5,L$3*$Z$5+$AA$5)))-(8742/(L2126+459.6))+15.64),EXP(INDEX(Antoines,MATCH(L2116,Antoine_Name,0),2)-INDEX(Antoines,MATCH(L2116,Antoine_Name,0),3)/(L2126+459.6))))),0)</f>
        <v>7.8399882233967533E-3</v>
      </c>
      <c r="M2137" cm="1">
        <f t="array" ref="M2137">IFERROR(IF(M2117="Chemical",(10^(INDEX(Antoines,MATCH(M2116,Antoine_Name,0),2)-INDEX(Antoines,MATCH(M2116,Antoine_Name,0),3)/(INDEX(Antoines,MATCH(M2116,Antoine_Name,0),4)+(M2126-32)*5/9)))*14.7/760,IF(M2117="Crude Oil",EXP((2799/(M2126+459.6)-2.227)*LOG10(INDEX(FX_Input,Z$5,M$3*$Z$5+$AA$5))-(7261/(M2126+459.6))+12.82),IF(M2117="Refined Petroleum Stock",EXP((0.7553-(413/(M2126+459.6)))*(INDEX(FX_Input,Z$5,M$3*$Z$5+$AA$5-1)^0.5)*LOG10(INDEX(FX_Input,Z$5,M$3*$Z$5+$AA$5))-(1.854-(1042/(M2126+459.6)))*(INDEX(FX_Input,Z$5,M$3*$Z$5+$AA$5-1)^0.5)+((2416/(M2126+459.6)-2.013)*LOG10(INDEX(FX_Input,Z$5,M$3*$Z$5+$AA$5)))-(8742/(M2126+459.6))+15.64),EXP(INDEX(Antoines,MATCH(M2116,Antoine_Name,0),2)-INDEX(Antoines,MATCH(M2116,Antoine_Name,0),3)/(M2126+459.6))))),0)</f>
        <v>6.4173462075160911E-3</v>
      </c>
      <c r="N2137" cm="1">
        <f t="array" ref="N2137">IFERROR(IF(N2117="Chemical",(10^(INDEX(Antoines,MATCH(N2116,Antoine_Name,0),2)-INDEX(Antoines,MATCH(N2116,Antoine_Name,0),3)/(INDEX(Antoines,MATCH(N2116,Antoine_Name,0),4)+(N2126-32)*5/9)))*14.7/760,IF(N2117="Crude Oil",EXP((2799/(N2126+459.6)-2.227)*LOG10(INDEX(FX_Input,AA$5,N$3*$Z$5+$AA$5))-(7261/(N2126+459.6))+12.82),IF(N2117="Refined Petroleum Stock",EXP((0.7553-(413/(N2126+459.6)))*(INDEX(FX_Input,AA$5,N$3*$Z$5+$AA$5-1)^0.5)*LOG10(INDEX(FX_Input,AA$5,N$3*$Z$5+$AA$5))-(1.854-(1042/(N2126+459.6)))*(INDEX(FX_Input,AA$5,N$3*$Z$5+$AA$5-1)^0.5)+((2416/(N2126+459.6)-2.013)*LOG10(INDEX(FX_Input,AA$5,N$3*$Z$5+$AA$5)))-(8742/(N2126+459.6))+15.64),EXP(INDEX(Antoines,MATCH(N2116,Antoine_Name,0),2)-INDEX(Antoines,MATCH(N2116,Antoine_Name,0),3)/(N2126+459.6))))),0)</f>
        <v>5.3015226887581056E-3</v>
      </c>
      <c r="O2137" cm="1">
        <f t="array" ref="O2137">IFERROR(IF(O2117="Chemical",(10^(INDEX(Antoines,MATCH(O2116,Antoine_Name,0),2)-INDEX(Antoines,MATCH(O2116,Antoine_Name,0),3)/(INDEX(Antoines,MATCH(O2116,Antoine_Name,0),4)+(O2126-32)*5/9)))*14.7/760,IF(O2117="Crude Oil",EXP((2799/(O2126+459.6)-2.227)*LOG10(INDEX(FX_Input,AB$5,O$3*$Z$5+$AA$5))-(7261/(O2126+459.6))+12.82),IF(O2117="Refined Petroleum Stock",EXP((0.7553-(413/(O2126+459.6)))*(INDEX(FX_Input,AB$5,O$3*$Z$5+$AA$5-1)^0.5)*LOG10(INDEX(FX_Input,AB$5,O$3*$Z$5+$AA$5))-(1.854-(1042/(O2126+459.6)))*(INDEX(FX_Input,AB$5,O$3*$Z$5+$AA$5-1)^0.5)+((2416/(O2126+459.6)-2.013)*LOG10(INDEX(FX_Input,AB$5,O$3*$Z$5+$AA$5)))-(8742/(O2126+459.6))+15.64),EXP(INDEX(Antoines,MATCH(O2116,Antoine_Name,0),2)-INDEX(Antoines,MATCH(O2116,Antoine_Name,0),3)/(O2126+459.6))))),0)</f>
        <v>4.68970903600947E-3</v>
      </c>
    </row>
    <row r="2138" spans="2:15" ht="17.149999999999999" x14ac:dyDescent="0.55000000000000004">
      <c r="B2138" t="str">
        <f t="shared" si="7168"/>
        <v>Portland</v>
      </c>
      <c r="C2138" t="s">
        <v>1389</v>
      </c>
      <c r="D2138">
        <f>D2137*D2120</f>
        <v>4.739577185808354E-3</v>
      </c>
      <c r="E2138">
        <f t="shared" ref="E2138:O2138" si="7175">E2137*E2120</f>
        <v>4.8748667780818778E-3</v>
      </c>
      <c r="F2138">
        <f t="shared" si="7175"/>
        <v>5.119885034186122E-3</v>
      </c>
      <c r="G2138">
        <f t="shared" si="7175"/>
        <v>5.5846958573521795E-3</v>
      </c>
      <c r="H2138">
        <f t="shared" si="7175"/>
        <v>6.5274070972739821E-3</v>
      </c>
      <c r="I2138">
        <f t="shared" si="7175"/>
        <v>7.4199539958878279E-3</v>
      </c>
      <c r="J2138">
        <f t="shared" si="7175"/>
        <v>8.3358107202842254E-3</v>
      </c>
      <c r="K2138">
        <f t="shared" si="7175"/>
        <v>8.4605262729351115E-3</v>
      </c>
      <c r="L2138">
        <f t="shared" si="7175"/>
        <v>7.8399882233967533E-3</v>
      </c>
      <c r="M2138">
        <f t="shared" si="7175"/>
        <v>6.4173462075160911E-3</v>
      </c>
      <c r="N2138">
        <f t="shared" si="7175"/>
        <v>5.3015226887581056E-3</v>
      </c>
      <c r="O2138">
        <f t="shared" si="7175"/>
        <v>4.68970903600947E-3</v>
      </c>
    </row>
    <row r="2139" spans="2:15" ht="17.149999999999999" x14ac:dyDescent="0.55000000000000004">
      <c r="B2139" t="str">
        <f t="shared" si="7168"/>
        <v>Portland</v>
      </c>
      <c r="C2139" t="s">
        <v>1390</v>
      </c>
      <c r="D2139" cm="1">
        <f t="array" ref="D2139">IFERROR(IF(D2119="Chemical",(10^(INDEX(Antoines,MATCH(D2118,Antoine_Name,0),2)-INDEX(Antoines,MATCH(D2118,Antoine_Name,0),3)/(INDEX(Antoines,MATCH(D2118,Antoine_Name,0),4)+(D2126-32)*5/9)))*14.7/760,IF(D2119="Crude Oil",EXP((2799/(D2126+459.6)-2.227)*LOG10(INDEX(FX_Input,Q$5,D$3*$Z$5+$AA$5))-(7261/(D2126+459.6))+12.82),IF(D2119="Refined Petroleum Stock",EXP((0.7553-(413/(D2126+459.6)))*(INDEX(FX_Input,Q$5,D$3*$Z$5+$AA$5-1)^0.5)*LOG10(INDEX(FX_Input,Q$5,D$3*$Z$5+$AA$5))-(1.854-(1042/(D2126+459.6)))*(INDEX(FX_Input,Q$5,D$3*$Z$5+$AA$5-1)^0.5)+((2416/(D2126+459.6)-2.013)*LOG10(INDEX(FX_Input,Q$5,D$3*$Z$5+$AA$5)))-(8742/(D2126+459.6))+15.64),EXP(INDEX(Antoines,MATCH(D2118,Antoine_Name,0),2)-INDEX(Antoines,MATCH(D2118,Antoine_Name,0),3)/(D2126+459.6))))),0)</f>
        <v>0</v>
      </c>
      <c r="E2139" cm="1">
        <f t="array" ref="E2139">IFERROR(IF(E2119="Chemical",(10^(INDEX(Antoines,MATCH(E2118,Antoine_Name,0),2)-INDEX(Antoines,MATCH(E2118,Antoine_Name,0),3)/(INDEX(Antoines,MATCH(E2118,Antoine_Name,0),4)+(E2126-32)*5/9)))*14.7/760,IF(E2119="Crude Oil",EXP((2799/(E2126+459.6)-2.227)*LOG10(INDEX(FX_Input,R$5,E$3*$Z$5+$AA$5))-(7261/(E2126+459.6))+12.82),IF(E2119="Refined Petroleum Stock",EXP((0.7553-(413/(E2126+459.6)))*(INDEX(FX_Input,R$5,E$3*$Z$5+$AA$5-1)^0.5)*LOG10(INDEX(FX_Input,R$5,E$3*$Z$5+$AA$5))-(1.854-(1042/(E2126+459.6)))*(INDEX(FX_Input,R$5,E$3*$Z$5+$AA$5-1)^0.5)+((2416/(E2126+459.6)-2.013)*LOG10(INDEX(FX_Input,R$5,E$3*$Z$5+$AA$5)))-(8742/(E2126+459.6))+15.64),EXP(INDEX(Antoines,MATCH(E2118,Antoine_Name,0),2)-INDEX(Antoines,MATCH(E2118,Antoine_Name,0),3)/(E2126+459.6))))),0)</f>
        <v>0</v>
      </c>
      <c r="F2139" cm="1">
        <f t="array" ref="F2139">IFERROR(IF(F2119="Chemical",(10^(INDEX(Antoines,MATCH(F2118,Antoine_Name,0),2)-INDEX(Antoines,MATCH(F2118,Antoine_Name,0),3)/(INDEX(Antoines,MATCH(F2118,Antoine_Name,0),4)+(F2126-32)*5/9)))*14.7/760,IF(F2119="Crude Oil",EXP((2799/(F2126+459.6)-2.227)*LOG10(INDEX(FX_Input,S$5,F$3*$Z$5+$AA$5))-(7261/(F2126+459.6))+12.82),IF(F2119="Refined Petroleum Stock",EXP((0.7553-(413/(F2126+459.6)))*(INDEX(FX_Input,S$5,F$3*$Z$5+$AA$5-1)^0.5)*LOG10(INDEX(FX_Input,S$5,F$3*$Z$5+$AA$5))-(1.854-(1042/(F2126+459.6)))*(INDEX(FX_Input,S$5,F$3*$Z$5+$AA$5-1)^0.5)+((2416/(F2126+459.6)-2.013)*LOG10(INDEX(FX_Input,S$5,F$3*$Z$5+$AA$5)))-(8742/(F2126+459.6))+15.64),EXP(INDEX(Antoines,MATCH(F2118,Antoine_Name,0),2)-INDEX(Antoines,MATCH(F2118,Antoine_Name,0),3)/(F2126+459.6))))),0)</f>
        <v>0</v>
      </c>
      <c r="G2139" cm="1">
        <f t="array" ref="G2139">IFERROR(IF(G2119="Chemical",(10^(INDEX(Antoines,MATCH(G2118,Antoine_Name,0),2)-INDEX(Antoines,MATCH(G2118,Antoine_Name,0),3)/(INDEX(Antoines,MATCH(G2118,Antoine_Name,0),4)+(G2126-32)*5/9)))*14.7/760,IF(G2119="Crude Oil",EXP((2799/(G2126+459.6)-2.227)*LOG10(INDEX(FX_Input,T$5,G$3*$Z$5+$AA$5))-(7261/(G2126+459.6))+12.82),IF(G2119="Refined Petroleum Stock",EXP((0.7553-(413/(G2126+459.6)))*(INDEX(FX_Input,T$5,G$3*$Z$5+$AA$5-1)^0.5)*LOG10(INDEX(FX_Input,T$5,G$3*$Z$5+$AA$5))-(1.854-(1042/(G2126+459.6)))*(INDEX(FX_Input,T$5,G$3*$Z$5+$AA$5-1)^0.5)+((2416/(G2126+459.6)-2.013)*LOG10(INDEX(FX_Input,T$5,G$3*$Z$5+$AA$5)))-(8742/(G2126+459.6))+15.64),EXP(INDEX(Antoines,MATCH(G2118,Antoine_Name,0),2)-INDEX(Antoines,MATCH(G2118,Antoine_Name,0),3)/(G2126+459.6))))),0)</f>
        <v>0</v>
      </c>
      <c r="H2139" cm="1">
        <f t="array" ref="H2139">IFERROR(IF(H2119="Chemical",(10^(INDEX(Antoines,MATCH(H2118,Antoine_Name,0),2)-INDEX(Antoines,MATCH(H2118,Antoine_Name,0),3)/(INDEX(Antoines,MATCH(H2118,Antoine_Name,0),4)+(H2126-32)*5/9)))*14.7/760,IF(H2119="Crude Oil",EXP((2799/(H2126+459.6)-2.227)*LOG10(INDEX(FX_Input,U$5,H$3*$Z$5+$AA$5))-(7261/(H2126+459.6))+12.82),IF(H2119="Refined Petroleum Stock",EXP((0.7553-(413/(H2126+459.6)))*(INDEX(FX_Input,U$5,H$3*$Z$5+$AA$5-1)^0.5)*LOG10(INDEX(FX_Input,U$5,H$3*$Z$5+$AA$5))-(1.854-(1042/(H2126+459.6)))*(INDEX(FX_Input,U$5,H$3*$Z$5+$AA$5-1)^0.5)+((2416/(H2126+459.6)-2.013)*LOG10(INDEX(FX_Input,U$5,H$3*$Z$5+$AA$5)))-(8742/(H2126+459.6))+15.64),EXP(INDEX(Antoines,MATCH(H2118,Antoine_Name,0),2)-INDEX(Antoines,MATCH(H2118,Antoine_Name,0),3)/(H2126+459.6))))),0)</f>
        <v>0</v>
      </c>
      <c r="I2139" cm="1">
        <f t="array" ref="I2139">IFERROR(IF(I2119="Chemical",(10^(INDEX(Antoines,MATCH(I2118,Antoine_Name,0),2)-INDEX(Antoines,MATCH(I2118,Antoine_Name,0),3)/(INDEX(Antoines,MATCH(I2118,Antoine_Name,0),4)+(I2126-32)*5/9)))*14.7/760,IF(I2119="Crude Oil",EXP((2799/(I2126+459.6)-2.227)*LOG10(INDEX(FX_Input,V$5,I$3*$Z$5+$AA$5))-(7261/(I2126+459.6))+12.82),IF(I2119="Refined Petroleum Stock",EXP((0.7553-(413/(I2126+459.6)))*(INDEX(FX_Input,V$5,I$3*$Z$5+$AA$5-1)^0.5)*LOG10(INDEX(FX_Input,V$5,I$3*$Z$5+$AA$5))-(1.854-(1042/(I2126+459.6)))*(INDEX(FX_Input,V$5,I$3*$Z$5+$AA$5-1)^0.5)+((2416/(I2126+459.6)-2.013)*LOG10(INDEX(FX_Input,V$5,I$3*$Z$5+$AA$5)))-(8742/(I2126+459.6))+15.64),EXP(INDEX(Antoines,MATCH(I2118,Antoine_Name,0),2)-INDEX(Antoines,MATCH(I2118,Antoine_Name,0),3)/(I2126+459.6))))),0)</f>
        <v>0</v>
      </c>
      <c r="J2139" cm="1">
        <f t="array" ref="J2139">IFERROR(IF(J2119="Chemical",(10^(INDEX(Antoines,MATCH(J2118,Antoine_Name,0),2)-INDEX(Antoines,MATCH(J2118,Antoine_Name,0),3)/(INDEX(Antoines,MATCH(J2118,Antoine_Name,0),4)+(J2126-32)*5/9)))*14.7/760,IF(J2119="Crude Oil",EXP((2799/(J2126+459.6)-2.227)*LOG10(INDEX(FX_Input,W$5,J$3*$Z$5+$AA$5))-(7261/(J2126+459.6))+12.82),IF(J2119="Refined Petroleum Stock",EXP((0.7553-(413/(J2126+459.6)))*(INDEX(FX_Input,W$5,J$3*$Z$5+$AA$5-1)^0.5)*LOG10(INDEX(FX_Input,W$5,J$3*$Z$5+$AA$5))-(1.854-(1042/(J2126+459.6)))*(INDEX(FX_Input,W$5,J$3*$Z$5+$AA$5-1)^0.5)+((2416/(J2126+459.6)-2.013)*LOG10(INDEX(FX_Input,W$5,J$3*$Z$5+$AA$5)))-(8742/(J2126+459.6))+15.64),EXP(INDEX(Antoines,MATCH(J2118,Antoine_Name,0),2)-INDEX(Antoines,MATCH(J2118,Antoine_Name,0),3)/(J2126+459.6))))),0)</f>
        <v>0</v>
      </c>
      <c r="K2139" cm="1">
        <f t="array" ref="K2139">IFERROR(IF(K2119="Chemical",(10^(INDEX(Antoines,MATCH(K2118,Antoine_Name,0),2)-INDEX(Antoines,MATCH(K2118,Antoine_Name,0),3)/(INDEX(Antoines,MATCH(K2118,Antoine_Name,0),4)+(K2126-32)*5/9)))*14.7/760,IF(K2119="Crude Oil",EXP((2799/(K2126+459.6)-2.227)*LOG10(INDEX(FX_Input,X$5,K$3*$Z$5+$AA$5))-(7261/(K2126+459.6))+12.82),IF(K2119="Refined Petroleum Stock",EXP((0.7553-(413/(K2126+459.6)))*(INDEX(FX_Input,X$5,K$3*$Z$5+$AA$5-1)^0.5)*LOG10(INDEX(FX_Input,X$5,K$3*$Z$5+$AA$5))-(1.854-(1042/(K2126+459.6)))*(INDEX(FX_Input,X$5,K$3*$Z$5+$AA$5-1)^0.5)+((2416/(K2126+459.6)-2.013)*LOG10(INDEX(FX_Input,X$5,K$3*$Z$5+$AA$5)))-(8742/(K2126+459.6))+15.64),EXP(INDEX(Antoines,MATCH(K2118,Antoine_Name,0),2)-INDEX(Antoines,MATCH(K2118,Antoine_Name,0),3)/(K2126+459.6))))),0)</f>
        <v>0</v>
      </c>
      <c r="L2139" cm="1">
        <f t="array" ref="L2139">IFERROR(IF(L2119="Chemical",(10^(INDEX(Antoines,MATCH(L2118,Antoine_Name,0),2)-INDEX(Antoines,MATCH(L2118,Antoine_Name,0),3)/(INDEX(Antoines,MATCH(L2118,Antoine_Name,0),4)+(L2126-32)*5/9)))*14.7/760,IF(L2119="Crude Oil",EXP((2799/(L2126+459.6)-2.227)*LOG10(INDEX(FX_Input,Y$5,L$3*$Z$5+$AA$5))-(7261/(L2126+459.6))+12.82),IF(L2119="Refined Petroleum Stock",EXP((0.7553-(413/(L2126+459.6)))*(INDEX(FX_Input,Y$5,L$3*$Z$5+$AA$5-1)^0.5)*LOG10(INDEX(FX_Input,Y$5,L$3*$Z$5+$AA$5))-(1.854-(1042/(L2126+459.6)))*(INDEX(FX_Input,Y$5,L$3*$Z$5+$AA$5-1)^0.5)+((2416/(L2126+459.6)-2.013)*LOG10(INDEX(FX_Input,Y$5,L$3*$Z$5+$AA$5)))-(8742/(L2126+459.6))+15.64),EXP(INDEX(Antoines,MATCH(L2118,Antoine_Name,0),2)-INDEX(Antoines,MATCH(L2118,Antoine_Name,0),3)/(L2126+459.6))))),0)</f>
        <v>0</v>
      </c>
      <c r="M2139" cm="1">
        <f t="array" ref="M2139">IFERROR(IF(M2119="Chemical",(10^(INDEX(Antoines,MATCH(M2118,Antoine_Name,0),2)-INDEX(Antoines,MATCH(M2118,Antoine_Name,0),3)/(INDEX(Antoines,MATCH(M2118,Antoine_Name,0),4)+(M2126-32)*5/9)))*14.7/760,IF(M2119="Crude Oil",EXP((2799/(M2126+459.6)-2.227)*LOG10(INDEX(FX_Input,Z$5,M$3*$Z$5+$AA$5))-(7261/(M2126+459.6))+12.82),IF(M2119="Refined Petroleum Stock",EXP((0.7553-(413/(M2126+459.6)))*(INDEX(FX_Input,Z$5,M$3*$Z$5+$AA$5-1)^0.5)*LOG10(INDEX(FX_Input,Z$5,M$3*$Z$5+$AA$5))-(1.854-(1042/(M2126+459.6)))*(INDEX(FX_Input,Z$5,M$3*$Z$5+$AA$5-1)^0.5)+((2416/(M2126+459.6)-2.013)*LOG10(INDEX(FX_Input,Z$5,M$3*$Z$5+$AA$5)))-(8742/(M2126+459.6))+15.64),EXP(INDEX(Antoines,MATCH(M2118,Antoine_Name,0),2)-INDEX(Antoines,MATCH(M2118,Antoine_Name,0),3)/(M2126+459.6))))),0)</f>
        <v>0</v>
      </c>
      <c r="N2139" cm="1">
        <f t="array" ref="N2139">IFERROR(IF(N2119="Chemical",(10^(INDEX(Antoines,MATCH(N2118,Antoine_Name,0),2)-INDEX(Antoines,MATCH(N2118,Antoine_Name,0),3)/(INDEX(Antoines,MATCH(N2118,Antoine_Name,0),4)+(N2126-32)*5/9)))*14.7/760,IF(N2119="Crude Oil",EXP((2799/(N2126+459.6)-2.227)*LOG10(INDEX(FX_Input,AA$5,N$3*$Z$5+$AA$5))-(7261/(N2126+459.6))+12.82),IF(N2119="Refined Petroleum Stock",EXP((0.7553-(413/(N2126+459.6)))*(INDEX(FX_Input,AA$5,N$3*$Z$5+$AA$5-1)^0.5)*LOG10(INDEX(FX_Input,AA$5,N$3*$Z$5+$AA$5))-(1.854-(1042/(N2126+459.6)))*(INDEX(FX_Input,AA$5,N$3*$Z$5+$AA$5-1)^0.5)+((2416/(N2126+459.6)-2.013)*LOG10(INDEX(FX_Input,AA$5,N$3*$Z$5+$AA$5)))-(8742/(N2126+459.6))+15.64),EXP(INDEX(Antoines,MATCH(N2118,Antoine_Name,0),2)-INDEX(Antoines,MATCH(N2118,Antoine_Name,0),3)/(N2126+459.6))))),0)</f>
        <v>0</v>
      </c>
      <c r="O2139" cm="1">
        <f t="array" ref="O2139">IFERROR(IF(O2119="Chemical",(10^(INDEX(Antoines,MATCH(O2118,Antoine_Name,0),2)-INDEX(Antoines,MATCH(O2118,Antoine_Name,0),3)/(INDEX(Antoines,MATCH(O2118,Antoine_Name,0),4)+(O2126-32)*5/9)))*14.7/760,IF(O2119="Crude Oil",EXP((2799/(O2126+459.6)-2.227)*LOG10(INDEX(FX_Input,AB$5,O$3*$Z$5+$AA$5))-(7261/(O2126+459.6))+12.82),IF(O2119="Refined Petroleum Stock",EXP((0.7553-(413/(O2126+459.6)))*(INDEX(FX_Input,AB$5,O$3*$Z$5+$AA$5-1)^0.5)*LOG10(INDEX(FX_Input,AB$5,O$3*$Z$5+$AA$5))-(1.854-(1042/(O2126+459.6)))*(INDEX(FX_Input,AB$5,O$3*$Z$5+$AA$5-1)^0.5)+((2416/(O2126+459.6)-2.013)*LOG10(INDEX(FX_Input,AB$5,O$3*$Z$5+$AA$5)))-(8742/(O2126+459.6))+15.64),EXP(INDEX(Antoines,MATCH(O2118,Antoine_Name,0),2)-INDEX(Antoines,MATCH(O2118,Antoine_Name,0),3)/(O2126+459.6))))),0)</f>
        <v>0</v>
      </c>
    </row>
    <row r="2140" spans="2:15" ht="17.149999999999999" x14ac:dyDescent="0.55000000000000004">
      <c r="B2140" t="str">
        <f t="shared" si="7168"/>
        <v>Portland</v>
      </c>
      <c r="C2140" t="s">
        <v>1391</v>
      </c>
      <c r="D2140">
        <f>D2139*D2122</f>
        <v>0</v>
      </c>
      <c r="E2140">
        <f t="shared" ref="E2140:O2140" si="7176">E2139*E2122</f>
        <v>0</v>
      </c>
      <c r="F2140">
        <f t="shared" si="7176"/>
        <v>0</v>
      </c>
      <c r="G2140">
        <f t="shared" si="7176"/>
        <v>0</v>
      </c>
      <c r="H2140">
        <f t="shared" si="7176"/>
        <v>0</v>
      </c>
      <c r="I2140">
        <f t="shared" si="7176"/>
        <v>0</v>
      </c>
      <c r="J2140">
        <f t="shared" si="7176"/>
        <v>0</v>
      </c>
      <c r="K2140">
        <f t="shared" si="7176"/>
        <v>0</v>
      </c>
      <c r="L2140">
        <f t="shared" si="7176"/>
        <v>0</v>
      </c>
      <c r="M2140">
        <f t="shared" si="7176"/>
        <v>0</v>
      </c>
      <c r="N2140">
        <f t="shared" si="7176"/>
        <v>0</v>
      </c>
      <c r="O2140">
        <f t="shared" si="7176"/>
        <v>0</v>
      </c>
    </row>
    <row r="2141" spans="2:15" ht="17.149999999999999" x14ac:dyDescent="0.55000000000000004">
      <c r="B2141" t="str">
        <f t="shared" si="7168"/>
        <v>Portland</v>
      </c>
      <c r="C2141" t="s">
        <v>1392</v>
      </c>
      <c r="D2141">
        <f>D2138+D2140</f>
        <v>4.739577185808354E-3</v>
      </c>
      <c r="E2141">
        <f t="shared" ref="E2141:O2141" si="7177">E2138+E2140</f>
        <v>4.8748667780818778E-3</v>
      </c>
      <c r="F2141">
        <f t="shared" si="7177"/>
        <v>5.119885034186122E-3</v>
      </c>
      <c r="G2141">
        <f t="shared" si="7177"/>
        <v>5.5846958573521795E-3</v>
      </c>
      <c r="H2141">
        <f t="shared" si="7177"/>
        <v>6.5274070972739821E-3</v>
      </c>
      <c r="I2141">
        <f t="shared" si="7177"/>
        <v>7.4199539958878279E-3</v>
      </c>
      <c r="J2141">
        <f t="shared" si="7177"/>
        <v>8.3358107202842254E-3</v>
      </c>
      <c r="K2141">
        <f t="shared" si="7177"/>
        <v>8.4605262729351115E-3</v>
      </c>
      <c r="L2141">
        <f t="shared" si="7177"/>
        <v>7.8399882233967533E-3</v>
      </c>
      <c r="M2141">
        <f t="shared" si="7177"/>
        <v>6.4173462075160911E-3</v>
      </c>
      <c r="N2141">
        <f t="shared" si="7177"/>
        <v>5.3015226887581056E-3</v>
      </c>
      <c r="O2141">
        <f t="shared" si="7177"/>
        <v>4.68970903600947E-3</v>
      </c>
    </row>
    <row r="2142" spans="2:15" ht="17.149999999999999" x14ac:dyDescent="0.55000000000000004">
      <c r="B2142" t="str">
        <f>B2136</f>
        <v>Portland</v>
      </c>
      <c r="C2142" t="s">
        <v>584</v>
      </c>
      <c r="D2142">
        <f>D2138/D2141</f>
        <v>1</v>
      </c>
      <c r="E2142">
        <f t="shared" ref="E2142:O2142" si="7178">E2138/E2141</f>
        <v>1</v>
      </c>
      <c r="F2142">
        <f t="shared" si="7178"/>
        <v>1</v>
      </c>
      <c r="G2142">
        <f t="shared" si="7178"/>
        <v>1</v>
      </c>
      <c r="H2142">
        <f t="shared" si="7178"/>
        <v>1</v>
      </c>
      <c r="I2142">
        <f t="shared" si="7178"/>
        <v>1</v>
      </c>
      <c r="J2142">
        <f t="shared" si="7178"/>
        <v>1</v>
      </c>
      <c r="K2142">
        <f t="shared" si="7178"/>
        <v>1</v>
      </c>
      <c r="L2142">
        <f t="shared" si="7178"/>
        <v>1</v>
      </c>
      <c r="M2142">
        <f t="shared" si="7178"/>
        <v>1</v>
      </c>
      <c r="N2142">
        <f t="shared" si="7178"/>
        <v>1</v>
      </c>
      <c r="O2142">
        <f t="shared" si="7178"/>
        <v>1</v>
      </c>
    </row>
    <row r="2143" spans="2:15" ht="17.149999999999999" x14ac:dyDescent="0.55000000000000004">
      <c r="B2143" t="str">
        <f>B2137</f>
        <v>Portland</v>
      </c>
      <c r="C2143" t="s">
        <v>585</v>
      </c>
      <c r="D2143">
        <f t="shared" ref="D2143:O2143" si="7179">INDEX(Phys_Prop,MATCH(D2116,Chem_List,0),3)</f>
        <v>130</v>
      </c>
      <c r="E2143">
        <f t="shared" si="7179"/>
        <v>130</v>
      </c>
      <c r="F2143">
        <f t="shared" si="7179"/>
        <v>130</v>
      </c>
      <c r="G2143">
        <f t="shared" si="7179"/>
        <v>130</v>
      </c>
      <c r="H2143">
        <f t="shared" si="7179"/>
        <v>130</v>
      </c>
      <c r="I2143">
        <f t="shared" si="7179"/>
        <v>130</v>
      </c>
      <c r="J2143">
        <f t="shared" si="7179"/>
        <v>130</v>
      </c>
      <c r="K2143">
        <f t="shared" si="7179"/>
        <v>130</v>
      </c>
      <c r="L2143">
        <f t="shared" si="7179"/>
        <v>130</v>
      </c>
      <c r="M2143">
        <f t="shared" si="7179"/>
        <v>130</v>
      </c>
      <c r="N2143">
        <f t="shared" si="7179"/>
        <v>130</v>
      </c>
      <c r="O2143">
        <f t="shared" si="7179"/>
        <v>130</v>
      </c>
    </row>
    <row r="2144" spans="2:15" ht="17.149999999999999" x14ac:dyDescent="0.55000000000000004">
      <c r="B2144" t="str">
        <f>B2143</f>
        <v>Portland</v>
      </c>
      <c r="C2144" t="s">
        <v>586</v>
      </c>
      <c r="D2144">
        <f>D2140/D2141</f>
        <v>0</v>
      </c>
      <c r="E2144">
        <f t="shared" ref="E2144:O2144" si="7180">E2140/E2141</f>
        <v>0</v>
      </c>
      <c r="F2144">
        <f t="shared" si="7180"/>
        <v>0</v>
      </c>
      <c r="G2144">
        <f t="shared" si="7180"/>
        <v>0</v>
      </c>
      <c r="H2144">
        <f t="shared" si="7180"/>
        <v>0</v>
      </c>
      <c r="I2144">
        <f t="shared" si="7180"/>
        <v>0</v>
      </c>
      <c r="J2144">
        <f t="shared" si="7180"/>
        <v>0</v>
      </c>
      <c r="K2144">
        <f t="shared" si="7180"/>
        <v>0</v>
      </c>
      <c r="L2144">
        <f t="shared" si="7180"/>
        <v>0</v>
      </c>
      <c r="M2144">
        <f t="shared" si="7180"/>
        <v>0</v>
      </c>
      <c r="N2144">
        <f t="shared" si="7180"/>
        <v>0</v>
      </c>
      <c r="O2144">
        <f t="shared" si="7180"/>
        <v>0</v>
      </c>
    </row>
    <row r="2145" spans="1:32" ht="17.149999999999999" x14ac:dyDescent="0.55000000000000004">
      <c r="B2145" t="str">
        <f t="shared" si="7168"/>
        <v>Portland</v>
      </c>
      <c r="C2145" t="s">
        <v>587</v>
      </c>
      <c r="D2145">
        <f t="shared" ref="D2145:O2145" si="7181">IFERROR(INDEX(Phys_Prop,MATCH(D2118,Chem_List,0),3),0)</f>
        <v>0</v>
      </c>
      <c r="E2145">
        <f t="shared" si="7181"/>
        <v>0</v>
      </c>
      <c r="F2145">
        <f t="shared" si="7181"/>
        <v>0</v>
      </c>
      <c r="G2145">
        <f t="shared" si="7181"/>
        <v>0</v>
      </c>
      <c r="H2145">
        <f t="shared" si="7181"/>
        <v>0</v>
      </c>
      <c r="I2145">
        <f t="shared" si="7181"/>
        <v>0</v>
      </c>
      <c r="J2145">
        <f t="shared" si="7181"/>
        <v>0</v>
      </c>
      <c r="K2145">
        <f t="shared" si="7181"/>
        <v>0</v>
      </c>
      <c r="L2145">
        <f t="shared" si="7181"/>
        <v>0</v>
      </c>
      <c r="M2145">
        <f t="shared" si="7181"/>
        <v>0</v>
      </c>
      <c r="N2145">
        <f t="shared" si="7181"/>
        <v>0</v>
      </c>
      <c r="O2145">
        <f t="shared" si="7181"/>
        <v>0</v>
      </c>
    </row>
    <row r="2146" spans="1:32" ht="17.149999999999999" x14ac:dyDescent="0.55000000000000004">
      <c r="A2146" s="11"/>
      <c r="B2146" s="11" t="str">
        <f t="shared" si="7168"/>
        <v>Portland</v>
      </c>
      <c r="C2146" s="11" t="s">
        <v>588</v>
      </c>
      <c r="D2146" s="11">
        <f>IFERROR(D2142*D2143+D2144*D2145,0)</f>
        <v>130</v>
      </c>
      <c r="E2146" s="11">
        <f t="shared" ref="E2146:O2146" si="7182">IFERROR(E2142*E2143+E2144*E2145,0)</f>
        <v>130</v>
      </c>
      <c r="F2146" s="11">
        <f t="shared" si="7182"/>
        <v>130</v>
      </c>
      <c r="G2146" s="11">
        <f t="shared" si="7182"/>
        <v>130</v>
      </c>
      <c r="H2146" s="11">
        <f t="shared" si="7182"/>
        <v>130</v>
      </c>
      <c r="I2146" s="11">
        <f t="shared" si="7182"/>
        <v>130</v>
      </c>
      <c r="J2146" s="11">
        <f t="shared" si="7182"/>
        <v>130</v>
      </c>
      <c r="K2146" s="11">
        <f t="shared" si="7182"/>
        <v>130</v>
      </c>
      <c r="L2146" s="11">
        <f t="shared" si="7182"/>
        <v>130</v>
      </c>
      <c r="M2146" s="11">
        <f t="shared" si="7182"/>
        <v>130</v>
      </c>
      <c r="N2146" s="11">
        <f t="shared" si="7182"/>
        <v>130</v>
      </c>
      <c r="O2146" s="11">
        <f t="shared" si="7182"/>
        <v>130</v>
      </c>
      <c r="P2146" s="11"/>
      <c r="Q2146" s="11"/>
      <c r="R2146" s="11"/>
      <c r="S2146" s="11"/>
      <c r="T2146" s="11"/>
      <c r="U2146" s="11"/>
      <c r="V2146" s="11"/>
      <c r="W2146" s="11"/>
      <c r="X2146" s="11"/>
      <c r="Y2146" s="11"/>
      <c r="Z2146" s="11"/>
      <c r="AA2146" s="11"/>
      <c r="AB2146" s="11"/>
      <c r="AC2146" s="11"/>
      <c r="AD2146" s="11"/>
      <c r="AE2146" s="11"/>
      <c r="AF2146" s="11"/>
    </row>
    <row r="2147" spans="1:32" ht="17.149999999999999" x14ac:dyDescent="0.55000000000000004">
      <c r="A2147" t="str" cm="1">
        <f t="array" ref="A2147">INDEX(FX_Input,$Q2147,R$5)</f>
        <v>FX - 64</v>
      </c>
      <c r="B2147" t="str" cm="1">
        <f t="array" ref="B2147">INDEX(FX_Input,Q2147,S2147)</f>
        <v>Portland</v>
      </c>
      <c r="C2147" t="s">
        <v>563</v>
      </c>
      <c r="D2147">
        <v>14.7</v>
      </c>
      <c r="E2147">
        <v>14.7</v>
      </c>
      <c r="F2147">
        <v>14.7</v>
      </c>
      <c r="G2147">
        <v>14.7</v>
      </c>
      <c r="H2147">
        <v>14.7</v>
      </c>
      <c r="I2147">
        <v>14.7</v>
      </c>
      <c r="J2147">
        <v>14.7</v>
      </c>
      <c r="K2147">
        <v>14.7</v>
      </c>
      <c r="L2147">
        <v>14.7</v>
      </c>
      <c r="M2147">
        <v>14.7</v>
      </c>
      <c r="N2147">
        <v>14.7</v>
      </c>
      <c r="O2147">
        <v>14.7</v>
      </c>
      <c r="Q2147">
        <f>Q2113+2</f>
        <v>127</v>
      </c>
      <c r="R2147">
        <v>1</v>
      </c>
      <c r="S2147">
        <v>3</v>
      </c>
      <c r="T2147">
        <v>1</v>
      </c>
      <c r="U2147">
        <v>19</v>
      </c>
      <c r="V2147">
        <v>20</v>
      </c>
      <c r="W2147">
        <v>25</v>
      </c>
      <c r="X2147">
        <v>1</v>
      </c>
      <c r="Y2147">
        <v>2</v>
      </c>
      <c r="Z2147">
        <f>(W2147-V2147)/(Y2147-X2147)</f>
        <v>5</v>
      </c>
      <c r="AA2147">
        <f>V2147-Z2147*X2147</f>
        <v>15</v>
      </c>
      <c r="AD2147">
        <f>AD2113+14</f>
        <v>883</v>
      </c>
      <c r="AF2147">
        <f>AF2113+14</f>
        <v>883</v>
      </c>
    </row>
    <row r="2148" spans="1:32" ht="17.149999999999999" x14ac:dyDescent="0.55000000000000004">
      <c r="B2148" t="str">
        <f t="shared" ref="B2148" si="7183">B2147</f>
        <v>Portland</v>
      </c>
      <c r="C2148" t="s">
        <v>564</v>
      </c>
      <c r="D2148" cm="1">
        <f t="array" ref="D2148">IF(ISBLANK(INDEX(FX_Input,$Q2147,$AB2148)),0.03,INDEX(FX_Input,Q2147,AB2148))</f>
        <v>0.03</v>
      </c>
      <c r="E2148" cm="1">
        <f t="array" ref="E2148">IF(ISBLANK(INDEX(FX_Input,$Q2147,$AB2148)),0.03,INDEX(FX_Input,R2147,#REF!))</f>
        <v>0.03</v>
      </c>
      <c r="F2148" cm="1">
        <f t="array" ref="F2148">IF(ISBLANK(INDEX(FX_Input,$Q2147,$AB2148)),0.03,INDEX(FX_Input,S2147,#REF!))</f>
        <v>0.03</v>
      </c>
      <c r="G2148" cm="1">
        <f t="array" ref="G2148">IF(ISBLANK(INDEX(FX_Input,$Q2147,$AB2148)),0.03,INDEX(FX_Input,AB2147,#REF!))</f>
        <v>0.03</v>
      </c>
      <c r="H2148" cm="1">
        <f t="array" ref="H2148">IF(ISBLANK(INDEX(FX_Input,$Q2147,$AB2148)),0.03,INDEX(FX_Input,#REF!,#REF!))</f>
        <v>0.03</v>
      </c>
      <c r="I2148" cm="1">
        <f t="array" ref="I2148">IF(ISBLANK(INDEX(FX_Input,$Q2147,$AB2148)),0.03,INDEX(FX_Input,#REF!,#REF!))</f>
        <v>0.03</v>
      </c>
      <c r="J2148" cm="1">
        <f t="array" ref="J2148">IF(ISBLANK(INDEX(FX_Input,$Q2147,$AB2148)),0.03,INDEX(FX_Input,#REF!,#REF!))</f>
        <v>0.03</v>
      </c>
      <c r="K2148" cm="1">
        <f t="array" ref="K2148">IF(ISBLANK(INDEX(FX_Input,$Q2147,$AB2148)),0.03,INDEX(FX_Input,#REF!,AC2148))</f>
        <v>0.03</v>
      </c>
      <c r="L2148" cm="1">
        <f t="array" ref="L2148">IF(ISBLANK(INDEX(FX_Input,$Q2147,$AB2148)),0.03,INDEX(FX_Input,#REF!,AD2148))</f>
        <v>0.03</v>
      </c>
      <c r="M2148" cm="1">
        <f t="array" ref="M2148">IF(ISBLANK(INDEX(FX_Input,$Q2147,$AB2148)),0.03,INDEX(FX_Input,#REF!,#REF!))</f>
        <v>0.03</v>
      </c>
      <c r="N2148" cm="1">
        <f t="array" ref="N2148">IF(ISBLANK(INDEX(FX_Input,$Q2147,$AB2148)),0.03,INDEX(FX_Input,AC2147,#REF!))</f>
        <v>0.03</v>
      </c>
      <c r="O2148" cm="1">
        <f t="array" ref="O2148">IF(ISBLANK(INDEX(FX_Input,$Q2147,$AB2148)),0.03,INDEX(FX_Input,AD2147,#REF!))</f>
        <v>0.03</v>
      </c>
      <c r="AB2148">
        <v>15</v>
      </c>
    </row>
    <row r="2149" spans="1:32" ht="17.149999999999999" x14ac:dyDescent="0.55000000000000004">
      <c r="B2149" t="str">
        <f>B2148</f>
        <v>Portland</v>
      </c>
      <c r="C2149" t="s">
        <v>565</v>
      </c>
      <c r="D2149" cm="1">
        <f t="array" ref="D2149">IF(ISBLANK(INDEX(FX_Input,$Q2147,$AB2149)),-0.03,INDEX(FX_Input,Q2147,AB2149))</f>
        <v>-0.03</v>
      </c>
      <c r="E2149" cm="1">
        <f t="array" ref="E2149">IF(ISBLANK(INDEX(FX_Input,$Q2147,$AB2149)),-0.03,INDEX(FX_Input,R2147,#REF!))</f>
        <v>-0.03</v>
      </c>
      <c r="F2149" cm="1">
        <f t="array" ref="F2149">IF(ISBLANK(INDEX(FX_Input,$Q2147,$AB2149)),-0.03,INDEX(FX_Input,S2147,#REF!))</f>
        <v>-0.03</v>
      </c>
      <c r="G2149" cm="1">
        <f t="array" ref="G2149">IF(ISBLANK(INDEX(FX_Input,$Q2147,$AB2149)),-0.03,INDEX(FX_Input,AB2147,#REF!))</f>
        <v>-0.03</v>
      </c>
      <c r="H2149" cm="1">
        <f t="array" ref="H2149">IF(ISBLANK(INDEX(FX_Input,$Q2147,$AB2149)),-0.03,INDEX(FX_Input,#REF!,#REF!))</f>
        <v>-0.03</v>
      </c>
      <c r="I2149" cm="1">
        <f t="array" ref="I2149">IF(ISBLANK(INDEX(FX_Input,$Q2147,$AB2149)),-0.03,INDEX(FX_Input,#REF!,#REF!))</f>
        <v>-0.03</v>
      </c>
      <c r="J2149" cm="1">
        <f t="array" ref="J2149">IF(ISBLANK(INDEX(FX_Input,$Q2147,$AB2149)),-0.03,INDEX(FX_Input,#REF!,#REF!))</f>
        <v>-0.03</v>
      </c>
      <c r="K2149" cm="1">
        <f t="array" ref="K2149">IF(ISBLANK(INDEX(FX_Input,$Q2147,$AB2149)),-0.03,INDEX(FX_Input,#REF!,AC2149))</f>
        <v>-0.03</v>
      </c>
      <c r="L2149" cm="1">
        <f t="array" ref="L2149">IF(ISBLANK(INDEX(FX_Input,$Q2147,$AB2149)),-0.03,INDEX(FX_Input,#REF!,AD2149))</f>
        <v>-0.03</v>
      </c>
      <c r="M2149" cm="1">
        <f t="array" ref="M2149">IF(ISBLANK(INDEX(FX_Input,$Q2147,$AB2149)),-0.03,INDEX(FX_Input,#REF!,#REF!))</f>
        <v>-0.03</v>
      </c>
      <c r="N2149" cm="1">
        <f t="array" ref="N2149">IF(ISBLANK(INDEX(FX_Input,$Q2147,$AB2149)),-0.03,INDEX(FX_Input,AC2147,#REF!))</f>
        <v>-0.03</v>
      </c>
      <c r="O2149" cm="1">
        <f t="array" ref="O2149">IF(ISBLANK(INDEX(FX_Input,$Q2147,$AB2149)),-0.03,INDEX(FX_Input,AD2147,#REF!))</f>
        <v>-0.03</v>
      </c>
      <c r="AB2149">
        <v>16</v>
      </c>
    </row>
    <row r="2150" spans="1:32" x14ac:dyDescent="0.4">
      <c r="B2150" t="str">
        <f t="shared" ref="B2150:B2151" si="7184">B2149</f>
        <v>Portland</v>
      </c>
      <c r="C2150" s="66" t="s">
        <v>567</v>
      </c>
      <c r="D2150" t="str" cm="1">
        <f t="array" ref="D2150">INDEX(FX_Multi,$AD2150,D$3)</f>
        <v>Jet kerosene</v>
      </c>
      <c r="E2150" t="str" cm="1">
        <f t="array" ref="E2150">INDEX(FX_Multi,$AD2150,E$3)</f>
        <v>Jet kerosene</v>
      </c>
      <c r="F2150" t="str" cm="1">
        <f t="array" ref="F2150">INDEX(FX_Multi,$AD2150,F$3)</f>
        <v>Jet kerosene</v>
      </c>
      <c r="G2150" t="str" cm="1">
        <f t="array" ref="G2150">INDEX(FX_Multi,$AD2150,G$3)</f>
        <v>Jet kerosene</v>
      </c>
      <c r="H2150" t="str" cm="1">
        <f t="array" ref="H2150">INDEX(FX_Multi,$AD2150,H$3)</f>
        <v>Jet kerosene</v>
      </c>
      <c r="I2150" t="str" cm="1">
        <f t="array" ref="I2150">INDEX(FX_Multi,$AD2150,I$3)</f>
        <v>Jet kerosene</v>
      </c>
      <c r="J2150" t="str" cm="1">
        <f t="array" ref="J2150">INDEX(FX_Multi,$AD2150,J$3)</f>
        <v>Jet kerosene</v>
      </c>
      <c r="K2150" t="str" cm="1">
        <f t="array" ref="K2150">INDEX(FX_Multi,$AD2150,K$3)</f>
        <v>Jet kerosene</v>
      </c>
      <c r="L2150" t="str" cm="1">
        <f t="array" ref="L2150">INDEX(FX_Multi,$AD2150,L$3)</f>
        <v>Jet kerosene</v>
      </c>
      <c r="M2150" t="str" cm="1">
        <f t="array" ref="M2150">INDEX(FX_Multi,$AD2150,M$3)</f>
        <v>Jet kerosene</v>
      </c>
      <c r="N2150" t="str" cm="1">
        <f t="array" ref="N2150">INDEX(FX_Multi,$AD2150,N$3)</f>
        <v>Jet kerosene</v>
      </c>
      <c r="O2150" t="str" cm="1">
        <f t="array" ref="O2150">INDEX(FX_Multi,$AD2150,O$3)</f>
        <v>Jet kerosene</v>
      </c>
      <c r="AC2150">
        <v>1</v>
      </c>
      <c r="AD2150">
        <f>AD2147</f>
        <v>883</v>
      </c>
      <c r="AE2150">
        <v>1</v>
      </c>
      <c r="AF2150">
        <f>AF2147</f>
        <v>883</v>
      </c>
    </row>
    <row r="2151" spans="1:32" x14ac:dyDescent="0.4">
      <c r="B2151" t="str">
        <f t="shared" si="7184"/>
        <v>Portland</v>
      </c>
      <c r="C2151" s="66" t="s">
        <v>566</v>
      </c>
      <c r="D2151" t="str" cm="1">
        <f t="array" ref="D2151">INDEX(FX_Multi,$AD2151,D$3)</f>
        <v>Select Pet Stock</v>
      </c>
      <c r="E2151" t="str" cm="1">
        <f t="array" ref="E2151">INDEX(FX_Multi,$AD2151,E$3)</f>
        <v>Select Pet Stock</v>
      </c>
      <c r="F2151" t="str" cm="1">
        <f t="array" ref="F2151">INDEX(FX_Multi,$AD2151,F$3)</f>
        <v>Select Pet Stock</v>
      </c>
      <c r="G2151" t="str" cm="1">
        <f t="array" ref="G2151">INDEX(FX_Multi,$AD2151,G$3)</f>
        <v>Select Pet Stock</v>
      </c>
      <c r="H2151" t="str" cm="1">
        <f t="array" ref="H2151">INDEX(FX_Multi,$AD2151,H$3)</f>
        <v>Select Pet Stock</v>
      </c>
      <c r="I2151" t="str" cm="1">
        <f t="array" ref="I2151">INDEX(FX_Multi,$AD2151,I$3)</f>
        <v>Select Pet Stock</v>
      </c>
      <c r="J2151" t="str" cm="1">
        <f t="array" ref="J2151">INDEX(FX_Multi,$AD2151,J$3)</f>
        <v>Select Pet Stock</v>
      </c>
      <c r="K2151" t="str" cm="1">
        <f t="array" ref="K2151">INDEX(FX_Multi,$AD2151,K$3)</f>
        <v>Select Pet Stock</v>
      </c>
      <c r="L2151" t="str" cm="1">
        <f t="array" ref="L2151">INDEX(FX_Multi,$AD2151,L$3)</f>
        <v>Select Pet Stock</v>
      </c>
      <c r="M2151" t="str" cm="1">
        <f t="array" ref="M2151">INDEX(FX_Multi,$AD2151,M$3)</f>
        <v>Select Pet Stock</v>
      </c>
      <c r="N2151" t="str" cm="1">
        <f t="array" ref="N2151">INDEX(FX_Multi,$AD2151,N$3)</f>
        <v>Select Pet Stock</v>
      </c>
      <c r="O2151" t="str" cm="1">
        <f t="array" ref="O2151">INDEX(FX_Multi,$AD2151,O$3)</f>
        <v>Select Pet Stock</v>
      </c>
      <c r="AC2151">
        <v>1</v>
      </c>
      <c r="AD2151">
        <f>AD2150+2</f>
        <v>885</v>
      </c>
      <c r="AE2151">
        <v>1</v>
      </c>
      <c r="AF2151">
        <f>AF2150+3</f>
        <v>886</v>
      </c>
    </row>
    <row r="2152" spans="1:32" x14ac:dyDescent="0.4">
      <c r="B2152" t="str">
        <f>B2148</f>
        <v>Portland</v>
      </c>
      <c r="C2152" s="66" t="s">
        <v>568</v>
      </c>
      <c r="D2152" cm="1">
        <f t="array" ref="D2152">INDEX(FX_Multi,$AD2152,D$3)</f>
        <v>0</v>
      </c>
      <c r="E2152" cm="1">
        <f t="array" ref="E2152">INDEX(FX_Multi,$AD2152,E$3)</f>
        <v>0</v>
      </c>
      <c r="F2152" cm="1">
        <f t="array" ref="F2152">INDEX(FX_Multi,$AD2152,F$3)</f>
        <v>0</v>
      </c>
      <c r="G2152" cm="1">
        <f t="array" ref="G2152">INDEX(FX_Multi,$AD2152,G$3)</f>
        <v>0</v>
      </c>
      <c r="H2152" cm="1">
        <f t="array" ref="H2152">INDEX(FX_Multi,$AD2152,H$3)</f>
        <v>0</v>
      </c>
      <c r="I2152" cm="1">
        <f t="array" ref="I2152">INDEX(FX_Multi,$AD2152,I$3)</f>
        <v>0</v>
      </c>
      <c r="J2152" cm="1">
        <f t="array" ref="J2152">INDEX(FX_Multi,$AD2152,J$3)</f>
        <v>0</v>
      </c>
      <c r="K2152" cm="1">
        <f t="array" ref="K2152">INDEX(FX_Multi,$AD2152,K$3)</f>
        <v>0</v>
      </c>
      <c r="L2152" cm="1">
        <f t="array" ref="L2152">INDEX(FX_Multi,$AD2152,L$3)</f>
        <v>0</v>
      </c>
      <c r="M2152" cm="1">
        <f t="array" ref="M2152">INDEX(FX_Multi,$AD2152,M$3)</f>
        <v>0</v>
      </c>
      <c r="N2152" cm="1">
        <f t="array" ref="N2152">INDEX(FX_Multi,$AD2152,N$3)</f>
        <v>0</v>
      </c>
      <c r="O2152" cm="1">
        <f t="array" ref="O2152">INDEX(FX_Multi,$AD2152,O$3)</f>
        <v>0</v>
      </c>
      <c r="AC2152">
        <v>1</v>
      </c>
      <c r="AD2152">
        <f>AD2151-1</f>
        <v>884</v>
      </c>
      <c r="AE2152">
        <v>1</v>
      </c>
      <c r="AF2152">
        <f>AF2150+1</f>
        <v>884</v>
      </c>
    </row>
    <row r="2153" spans="1:32" x14ac:dyDescent="0.4">
      <c r="B2153" t="str">
        <f t="shared" ref="B2153:B2157" si="7185">B2152</f>
        <v>Portland</v>
      </c>
      <c r="C2153" s="66" t="s">
        <v>569</v>
      </c>
      <c r="D2153" cm="1">
        <f t="array" ref="D2153">INDEX(FX_Multi,$AD2153,D$3)</f>
        <v>0</v>
      </c>
      <c r="E2153" cm="1">
        <f t="array" ref="E2153">INDEX(FX_Multi,$AD2153,E$3)</f>
        <v>0</v>
      </c>
      <c r="F2153" cm="1">
        <f t="array" ref="F2153">INDEX(FX_Multi,$AD2153,F$3)</f>
        <v>0</v>
      </c>
      <c r="G2153" cm="1">
        <f t="array" ref="G2153">INDEX(FX_Multi,$AD2153,G$3)</f>
        <v>0</v>
      </c>
      <c r="H2153" cm="1">
        <f t="array" ref="H2153">INDEX(FX_Multi,$AD2153,H$3)</f>
        <v>0</v>
      </c>
      <c r="I2153" cm="1">
        <f t="array" ref="I2153">INDEX(FX_Multi,$AD2153,I$3)</f>
        <v>0</v>
      </c>
      <c r="J2153" cm="1">
        <f t="array" ref="J2153">INDEX(FX_Multi,$AD2153,J$3)</f>
        <v>0</v>
      </c>
      <c r="K2153" cm="1">
        <f t="array" ref="K2153">INDEX(FX_Multi,$AD2153,K$3)</f>
        <v>0</v>
      </c>
      <c r="L2153" cm="1">
        <f t="array" ref="L2153">INDEX(FX_Multi,$AD2153,L$3)</f>
        <v>0</v>
      </c>
      <c r="M2153" cm="1">
        <f t="array" ref="M2153">INDEX(FX_Multi,$AD2153,M$3)</f>
        <v>0</v>
      </c>
      <c r="N2153" cm="1">
        <f t="array" ref="N2153">INDEX(FX_Multi,$AD2153,N$3)</f>
        <v>0</v>
      </c>
      <c r="O2153" cm="1">
        <f t="array" ref="O2153">INDEX(FX_Multi,$AD2153,O$3)</f>
        <v>0</v>
      </c>
      <c r="AC2153">
        <v>1</v>
      </c>
      <c r="AD2153">
        <f>AD2152+2</f>
        <v>886</v>
      </c>
      <c r="AE2153">
        <v>1</v>
      </c>
      <c r="AF2153">
        <f>AF2151</f>
        <v>886</v>
      </c>
    </row>
    <row r="2154" spans="1:32" ht="17.149999999999999" x14ac:dyDescent="0.55000000000000004">
      <c r="B2154" t="str">
        <f t="shared" si="7185"/>
        <v>Portland</v>
      </c>
      <c r="C2154" t="s">
        <v>570</v>
      </c>
      <c r="D2154" cm="1">
        <f t="array" ref="D2154">INDEX(FX_Multi,$AD2154,D$3)</f>
        <v>1</v>
      </c>
      <c r="E2154" cm="1">
        <f t="array" ref="E2154">INDEX(FX_Multi,$AD2154,E$3)</f>
        <v>1</v>
      </c>
      <c r="F2154" cm="1">
        <f t="array" ref="F2154">INDEX(FX_Multi,$AD2154,F$3)</f>
        <v>1</v>
      </c>
      <c r="G2154" cm="1">
        <f t="array" ref="G2154">INDEX(FX_Multi,$AD2154,G$3)</f>
        <v>1</v>
      </c>
      <c r="H2154" cm="1">
        <f t="array" ref="H2154">INDEX(FX_Multi,$AD2154,H$3)</f>
        <v>1</v>
      </c>
      <c r="I2154" cm="1">
        <f t="array" ref="I2154">INDEX(FX_Multi,$AD2154,I$3)</f>
        <v>1</v>
      </c>
      <c r="J2154" cm="1">
        <f t="array" ref="J2154">INDEX(FX_Multi,$AD2154,J$3)</f>
        <v>1</v>
      </c>
      <c r="K2154" cm="1">
        <f t="array" ref="K2154">INDEX(FX_Multi,$AD2154,K$3)</f>
        <v>1</v>
      </c>
      <c r="L2154" cm="1">
        <f t="array" ref="L2154">INDEX(FX_Multi,$AD2154,L$3)</f>
        <v>1</v>
      </c>
      <c r="M2154" cm="1">
        <f t="array" ref="M2154">INDEX(FX_Multi,$AD2154,M$3)</f>
        <v>1</v>
      </c>
      <c r="N2154" cm="1">
        <f t="array" ref="N2154">INDEX(FX_Multi,$AD2154,N$3)</f>
        <v>1</v>
      </c>
      <c r="O2154" cm="1">
        <f t="array" ref="O2154">INDEX(FX_Multi,$AD2154,O$3)</f>
        <v>1</v>
      </c>
      <c r="AC2154">
        <v>1</v>
      </c>
      <c r="AD2154">
        <f>AD2153+6</f>
        <v>892</v>
      </c>
      <c r="AE2154">
        <v>1</v>
      </c>
      <c r="AF2154">
        <f>AF2150+9</f>
        <v>892</v>
      </c>
    </row>
    <row r="2155" spans="1:32" ht="17.149999999999999" x14ac:dyDescent="0.55000000000000004">
      <c r="B2155" t="str">
        <f t="shared" si="7185"/>
        <v>Portland</v>
      </c>
      <c r="C2155" t="s">
        <v>571</v>
      </c>
      <c r="D2155" cm="1">
        <f t="array" ref="D2155">INDEX(FX_Multi,$AD2155,D$3)</f>
        <v>162</v>
      </c>
      <c r="E2155" cm="1">
        <f t="array" ref="E2155">INDEX(FX_Multi,$AD2155,E$3)</f>
        <v>162</v>
      </c>
      <c r="F2155" cm="1">
        <f t="array" ref="F2155">INDEX(FX_Multi,$AD2155,F$3)</f>
        <v>162</v>
      </c>
      <c r="G2155" cm="1">
        <f t="array" ref="G2155">INDEX(FX_Multi,$AD2155,G$3)</f>
        <v>162</v>
      </c>
      <c r="H2155" cm="1">
        <f t="array" ref="H2155">INDEX(FX_Multi,$AD2155,H$3)</f>
        <v>162</v>
      </c>
      <c r="I2155" cm="1">
        <f t="array" ref="I2155">INDEX(FX_Multi,$AD2155,I$3)</f>
        <v>162</v>
      </c>
      <c r="J2155" cm="1">
        <f t="array" ref="J2155">INDEX(FX_Multi,$AD2155,J$3)</f>
        <v>162</v>
      </c>
      <c r="K2155" cm="1">
        <f t="array" ref="K2155">INDEX(FX_Multi,$AD2155,K$3)</f>
        <v>162</v>
      </c>
      <c r="L2155" cm="1">
        <f t="array" ref="L2155">INDEX(FX_Multi,$AD2155,L$3)</f>
        <v>162</v>
      </c>
      <c r="M2155" cm="1">
        <f t="array" ref="M2155">INDEX(FX_Multi,$AD2155,M$3)</f>
        <v>162</v>
      </c>
      <c r="N2155" cm="1">
        <f t="array" ref="N2155">INDEX(FX_Multi,$AD2155,N$3)</f>
        <v>162</v>
      </c>
      <c r="O2155" cm="1">
        <f t="array" ref="O2155">INDEX(FX_Multi,$AD2155,O$3)</f>
        <v>162</v>
      </c>
      <c r="AC2155">
        <v>1</v>
      </c>
      <c r="AD2155">
        <f>AD2154-3</f>
        <v>889</v>
      </c>
      <c r="AE2155">
        <v>1</v>
      </c>
      <c r="AF2155">
        <f>AF2150+6</f>
        <v>889</v>
      </c>
    </row>
    <row r="2156" spans="1:32" ht="17.149999999999999" x14ac:dyDescent="0.55000000000000004">
      <c r="B2156" t="str">
        <f t="shared" si="7185"/>
        <v>Portland</v>
      </c>
      <c r="C2156" t="s">
        <v>572</v>
      </c>
      <c r="D2156" cm="1">
        <f t="array" ref="D2156">INDEX(FX_Multi,$AD2156,D$3)</f>
        <v>0</v>
      </c>
      <c r="E2156" cm="1">
        <f t="array" ref="E2156">INDEX(FX_Multi,$AD2156,E$3)</f>
        <v>0</v>
      </c>
      <c r="F2156" cm="1">
        <f t="array" ref="F2156">INDEX(FX_Multi,$AD2156,F$3)</f>
        <v>0</v>
      </c>
      <c r="G2156" cm="1">
        <f t="array" ref="G2156">INDEX(FX_Multi,$AD2156,G$3)</f>
        <v>0</v>
      </c>
      <c r="H2156" cm="1">
        <f t="array" ref="H2156">INDEX(FX_Multi,$AD2156,H$3)</f>
        <v>0</v>
      </c>
      <c r="I2156" cm="1">
        <f t="array" ref="I2156">INDEX(FX_Multi,$AD2156,I$3)</f>
        <v>0</v>
      </c>
      <c r="J2156" cm="1">
        <f t="array" ref="J2156">INDEX(FX_Multi,$AD2156,J$3)</f>
        <v>0</v>
      </c>
      <c r="K2156" cm="1">
        <f t="array" ref="K2156">INDEX(FX_Multi,$AD2156,K$3)</f>
        <v>0</v>
      </c>
      <c r="L2156" cm="1">
        <f t="array" ref="L2156">INDEX(FX_Multi,$AD2156,L$3)</f>
        <v>0</v>
      </c>
      <c r="M2156" cm="1">
        <f t="array" ref="M2156">INDEX(FX_Multi,$AD2156,M$3)</f>
        <v>0</v>
      </c>
      <c r="N2156" cm="1">
        <f t="array" ref="N2156">INDEX(FX_Multi,$AD2156,N$3)</f>
        <v>0</v>
      </c>
      <c r="O2156" cm="1">
        <f t="array" ref="O2156">INDEX(FX_Multi,$AD2156,O$3)</f>
        <v>0</v>
      </c>
      <c r="AC2156">
        <v>1</v>
      </c>
      <c r="AD2156">
        <f>AD2155+4</f>
        <v>893</v>
      </c>
      <c r="AE2156">
        <v>1</v>
      </c>
      <c r="AF2156">
        <f>AF2150+10</f>
        <v>893</v>
      </c>
    </row>
    <row r="2157" spans="1:32" ht="17.149999999999999" x14ac:dyDescent="0.55000000000000004">
      <c r="B2157" t="str">
        <f t="shared" si="7185"/>
        <v>Portland</v>
      </c>
      <c r="C2157" t="s">
        <v>573</v>
      </c>
      <c r="D2157" cm="1">
        <f t="array" ref="D2157">INDEX(FX_Multi,$AD2157,D$3)</f>
        <v>0</v>
      </c>
      <c r="E2157" cm="1">
        <f t="array" ref="E2157">INDEX(FX_Multi,$AD2157,E$3)</f>
        <v>0</v>
      </c>
      <c r="F2157" cm="1">
        <f t="array" ref="F2157">INDEX(FX_Multi,$AD2157,F$3)</f>
        <v>0</v>
      </c>
      <c r="G2157" cm="1">
        <f t="array" ref="G2157">INDEX(FX_Multi,$AD2157,G$3)</f>
        <v>0</v>
      </c>
      <c r="H2157" cm="1">
        <f t="array" ref="H2157">INDEX(FX_Multi,$AD2157,H$3)</f>
        <v>0</v>
      </c>
      <c r="I2157" cm="1">
        <f t="array" ref="I2157">INDEX(FX_Multi,$AD2157,I$3)</f>
        <v>0</v>
      </c>
      <c r="J2157" cm="1">
        <f t="array" ref="J2157">INDEX(FX_Multi,$AD2157,J$3)</f>
        <v>0</v>
      </c>
      <c r="K2157" cm="1">
        <f t="array" ref="K2157">INDEX(FX_Multi,$AD2157,K$3)</f>
        <v>0</v>
      </c>
      <c r="L2157" cm="1">
        <f t="array" ref="L2157">INDEX(FX_Multi,$AD2157,L$3)</f>
        <v>0</v>
      </c>
      <c r="M2157" cm="1">
        <f t="array" ref="M2157">INDEX(FX_Multi,$AD2157,M$3)</f>
        <v>0</v>
      </c>
      <c r="N2157" cm="1">
        <f t="array" ref="N2157">INDEX(FX_Multi,$AD2157,N$3)</f>
        <v>0</v>
      </c>
      <c r="O2157" cm="1">
        <f t="array" ref="O2157">INDEX(FX_Multi,$AD2157,O$3)</f>
        <v>0</v>
      </c>
      <c r="AC2157">
        <v>1</v>
      </c>
      <c r="AD2157">
        <f>AD2156-3</f>
        <v>890</v>
      </c>
      <c r="AE2157">
        <v>1</v>
      </c>
      <c r="AF2157">
        <f>AF2150+7</f>
        <v>890</v>
      </c>
    </row>
    <row r="2158" spans="1:32" ht="17.149999999999999" x14ac:dyDescent="0.55000000000000004">
      <c r="B2158" t="str">
        <f>B2153</f>
        <v>Portland</v>
      </c>
      <c r="C2158" t="s">
        <v>526</v>
      </c>
      <c r="D2158" cm="1">
        <f t="array" ref="D2158">INDEX(FX_Temps,$AF2158,D$3)</f>
        <v>43.899999999999977</v>
      </c>
      <c r="E2158" cm="1">
        <f t="array" ref="E2158">INDEX(FX_Temps,$AF2158,E$3)</f>
        <v>44.700000000000045</v>
      </c>
      <c r="F2158" cm="1">
        <f t="array" ref="F2158">INDEX(FX_Temps,$AF2158,F$3)</f>
        <v>46.100000000000023</v>
      </c>
      <c r="G2158" cm="1">
        <f t="array" ref="G2158">INDEX(FX_Temps,$AF2158,G$3)</f>
        <v>48.599999999999966</v>
      </c>
      <c r="H2158" cm="1">
        <f t="array" ref="H2158">INDEX(FX_Temps,$AF2158,H$3)</f>
        <v>53.149999999999977</v>
      </c>
      <c r="I2158" cm="1">
        <f t="array" ref="I2158">INDEX(FX_Temps,$AF2158,I$3)</f>
        <v>56.950000000000045</v>
      </c>
      <c r="J2158" cm="1">
        <f t="array" ref="J2158">INDEX(FX_Temps,$AF2158,J$3)</f>
        <v>60.449999999999932</v>
      </c>
      <c r="K2158" cm="1">
        <f t="array" ref="K2158">INDEX(FX_Temps,$AF2158,K$3)</f>
        <v>60.899999999999977</v>
      </c>
      <c r="L2158" cm="1">
        <f t="array" ref="L2158">INDEX(FX_Temps,$AF2158,L$3)</f>
        <v>58.600000000000023</v>
      </c>
      <c r="M2158" cm="1">
        <f t="array" ref="M2158">INDEX(FX_Temps,$AF2158,M$3)</f>
        <v>52.649999999999977</v>
      </c>
      <c r="N2158" cm="1">
        <f t="array" ref="N2158">INDEX(FX_Temps,$AF2158,N$3)</f>
        <v>47.100000000000023</v>
      </c>
      <c r="O2158" cm="1">
        <f t="array" ref="O2158">INDEX(FX_Temps,$AF2158,O$3)</f>
        <v>43.600000000000023</v>
      </c>
      <c r="AE2158">
        <v>1</v>
      </c>
      <c r="AF2158">
        <f>AF2150+10</f>
        <v>893</v>
      </c>
    </row>
    <row r="2159" spans="1:32" ht="17.149999999999999" x14ac:dyDescent="0.55000000000000004">
      <c r="B2159" t="str">
        <f t="shared" ref="B2159:B2180" si="7186">B2158</f>
        <v>Portland</v>
      </c>
      <c r="C2159" t="s">
        <v>527</v>
      </c>
      <c r="D2159" cm="1">
        <f t="array" ref="D2159">INDEX(FX_Temps,$AF2159,D$3)</f>
        <v>43.899999999999977</v>
      </c>
      <c r="E2159" cm="1">
        <f t="array" ref="E2159">INDEX(FX_Temps,$AF2159,E$3)</f>
        <v>44.700000000000045</v>
      </c>
      <c r="F2159" cm="1">
        <f t="array" ref="F2159">INDEX(FX_Temps,$AF2159,F$3)</f>
        <v>46.100000000000023</v>
      </c>
      <c r="G2159" cm="1">
        <f t="array" ref="G2159">INDEX(FX_Temps,$AF2159,G$3)</f>
        <v>48.599999999999966</v>
      </c>
      <c r="H2159" cm="1">
        <f t="array" ref="H2159">INDEX(FX_Temps,$AF2159,H$3)</f>
        <v>53.149999999999977</v>
      </c>
      <c r="I2159" cm="1">
        <f t="array" ref="I2159">INDEX(FX_Temps,$AF2159,I$3)</f>
        <v>56.950000000000045</v>
      </c>
      <c r="J2159" cm="1">
        <f t="array" ref="J2159">INDEX(FX_Temps,$AF2159,J$3)</f>
        <v>60.449999999999932</v>
      </c>
      <c r="K2159" cm="1">
        <f t="array" ref="K2159">INDEX(FX_Temps,$AF2159,K$3)</f>
        <v>60.899999999999977</v>
      </c>
      <c r="L2159" cm="1">
        <f t="array" ref="L2159">INDEX(FX_Temps,$AF2159,L$3)</f>
        <v>58.600000000000023</v>
      </c>
      <c r="M2159" cm="1">
        <f t="array" ref="M2159">INDEX(FX_Temps,$AF2159,M$3)</f>
        <v>52.649999999999977</v>
      </c>
      <c r="N2159" cm="1">
        <f t="array" ref="N2159">INDEX(FX_Temps,$AF2159,N$3)</f>
        <v>47.100000000000023</v>
      </c>
      <c r="O2159" cm="1">
        <f t="array" ref="O2159">INDEX(FX_Temps,$AF2159,O$3)</f>
        <v>43.600000000000023</v>
      </c>
      <c r="AE2159">
        <f>AE2158</f>
        <v>1</v>
      </c>
      <c r="AF2159">
        <f>AF2150+11</f>
        <v>894</v>
      </c>
    </row>
    <row r="2160" spans="1:32" ht="17.149999999999999" x14ac:dyDescent="0.55000000000000004">
      <c r="B2160" t="str">
        <f t="shared" si="7186"/>
        <v>Portland</v>
      </c>
      <c r="C2160" t="s">
        <v>552</v>
      </c>
      <c r="D2160" cm="1">
        <f t="array" ref="D2160">INDEX(FX_Temps,$AF2160,D$3)</f>
        <v>43.899999999999977</v>
      </c>
      <c r="E2160" cm="1">
        <f t="array" ref="E2160">INDEX(FX_Temps,$AF2160,E$3)</f>
        <v>44.700000000000045</v>
      </c>
      <c r="F2160" cm="1">
        <f t="array" ref="F2160">INDEX(FX_Temps,$AF2160,F$3)</f>
        <v>46.100000000000023</v>
      </c>
      <c r="G2160" cm="1">
        <f t="array" ref="G2160">INDEX(FX_Temps,$AF2160,G$3)</f>
        <v>48.599999999999966</v>
      </c>
      <c r="H2160" cm="1">
        <f t="array" ref="H2160">INDEX(FX_Temps,$AF2160,H$3)</f>
        <v>53.149999999999977</v>
      </c>
      <c r="I2160" cm="1">
        <f t="array" ref="I2160">INDEX(FX_Temps,$AF2160,I$3)</f>
        <v>56.950000000000045</v>
      </c>
      <c r="J2160" cm="1">
        <f t="array" ref="J2160">INDEX(FX_Temps,$AF2160,J$3)</f>
        <v>60.449999999999932</v>
      </c>
      <c r="K2160" cm="1">
        <f t="array" ref="K2160">INDEX(FX_Temps,$AF2160,K$3)</f>
        <v>60.899999999999977</v>
      </c>
      <c r="L2160" cm="1">
        <f t="array" ref="L2160">INDEX(FX_Temps,$AF2160,L$3)</f>
        <v>58.600000000000023</v>
      </c>
      <c r="M2160" cm="1">
        <f t="array" ref="M2160">INDEX(FX_Temps,$AF2160,M$3)</f>
        <v>52.649999999999977</v>
      </c>
      <c r="N2160" cm="1">
        <f t="array" ref="N2160">INDEX(FX_Temps,$AF2160,N$3)</f>
        <v>47.100000000000023</v>
      </c>
      <c r="O2160" cm="1">
        <f t="array" ref="O2160">INDEX(FX_Temps,$AF2160,O$3)</f>
        <v>43.600000000000023</v>
      </c>
      <c r="AE2160">
        <f>AE2159</f>
        <v>1</v>
      </c>
      <c r="AF2160">
        <f>AF2150+13</f>
        <v>896</v>
      </c>
    </row>
    <row r="2161" spans="2:15" ht="17.149999999999999" x14ac:dyDescent="0.55000000000000004">
      <c r="B2161" t="str">
        <f t="shared" si="7186"/>
        <v>Portland</v>
      </c>
      <c r="C2161" t="s">
        <v>574</v>
      </c>
      <c r="D2161" cm="1">
        <f t="array" ref="D2161">IFERROR(IF(D2151="Chemical",(10^(INDEX(Antoines,MATCH(D2150,Antoine_Name,0),2)-INDEX(Antoines,MATCH(D2150,Antoine_Name,0),3)/(INDEX(Antoines,MATCH(D2150,Antoine_Name,0),4)+(D2158-32)*5/9)))*14.7/760,IF(D2151="Crude Oil",EXP((2799/(D2158+459.6)-2.227)*LOG10(INDEX(FX_Input,Q$5,D$3*$Z$5+$AA$5))-(7261/(D2158+459.6))+12.82),IF(D2151="Refined Petroleum Stock",EXP((0.7553-(413/(D2158+459.6)))*(INDEX(FX_Input,Q$5,D$3*$Z$5+$AA$5-1)^0.5)*LOG10(INDEX(FX_Input,Q$5,D$3*$Z$5+$AA$5))-(1.854-(1042/(D2158+459.6)))*(INDEX(FX_Input,Q$5,D$3*$Z$5+$AA$5-1)^0.5)+((2416/(D2158+459.6)-2.013)*LOG10(INDEX(FX_Input,Q$5,D$3*$Z$5+$AA$5)))-(8742/(D2158+459.6))+15.64),EXP(INDEX(Antoines,MATCH(D2150,Antoine_Name,0),2)-INDEX(Antoines,MATCH(D2150,Antoine_Name,0),3)/(D2158+459.6))))),0)</f>
        <v>4.739577185808354E-3</v>
      </c>
      <c r="E2161" cm="1">
        <f t="array" ref="E2161">IFERROR(IF(E2151="Chemical",(10^(INDEX(Antoines,MATCH(E2150,Antoine_Name,0),2)-INDEX(Antoines,MATCH(E2150,Antoine_Name,0),3)/(INDEX(Antoines,MATCH(E2150,Antoine_Name,0),4)+(E2158-32)*5/9)))*14.7/760,IF(E2151="Crude Oil",EXP((2799/(E2158+459.6)-2.227)*LOG10(INDEX(FX_Input,R$5,E$3*$Z$5+$AA$5))-(7261/(E2158+459.6))+12.82),IF(E2151="Refined Petroleum Stock",EXP((0.7553-(413/(E2158+459.6)))*(INDEX(FX_Input,R$5,E$3*$Z$5+$AA$5-1)^0.5)*LOG10(INDEX(FX_Input,R$5,E$3*$Z$5+$AA$5))-(1.854-(1042/(E2158+459.6)))*(INDEX(FX_Input,R$5,E$3*$Z$5+$AA$5-1)^0.5)+((2416/(E2158+459.6)-2.013)*LOG10(INDEX(FX_Input,R$5,E$3*$Z$5+$AA$5)))-(8742/(E2158+459.6))+15.64),EXP(INDEX(Antoines,MATCH(E2150,Antoine_Name,0),2)-INDEX(Antoines,MATCH(E2150,Antoine_Name,0),3)/(E2158+459.6))))),0)</f>
        <v>4.8748667780818778E-3</v>
      </c>
      <c r="F2161" cm="1">
        <f t="array" ref="F2161">IFERROR(IF(F2151="Chemical",(10^(INDEX(Antoines,MATCH(F2150,Antoine_Name,0),2)-INDEX(Antoines,MATCH(F2150,Antoine_Name,0),3)/(INDEX(Antoines,MATCH(F2150,Antoine_Name,0),4)+(F2158-32)*5/9)))*14.7/760,IF(F2151="Crude Oil",EXP((2799/(F2158+459.6)-2.227)*LOG10(INDEX(FX_Input,S$5,F$3*$Z$5+$AA$5))-(7261/(F2158+459.6))+12.82),IF(F2151="Refined Petroleum Stock",EXP((0.7553-(413/(F2158+459.6)))*(INDEX(FX_Input,S$5,F$3*$Z$5+$AA$5-1)^0.5)*LOG10(INDEX(FX_Input,S$5,F$3*$Z$5+$AA$5))-(1.854-(1042/(F2158+459.6)))*(INDEX(FX_Input,S$5,F$3*$Z$5+$AA$5-1)^0.5)+((2416/(F2158+459.6)-2.013)*LOG10(INDEX(FX_Input,S$5,F$3*$Z$5+$AA$5)))-(8742/(F2158+459.6))+15.64),EXP(INDEX(Antoines,MATCH(F2150,Antoine_Name,0),2)-INDEX(Antoines,MATCH(F2150,Antoine_Name,0),3)/(F2158+459.6))))),0)</f>
        <v>5.119885034186122E-3</v>
      </c>
      <c r="G2161" cm="1">
        <f t="array" ref="G2161">IFERROR(IF(G2151="Chemical",(10^(INDEX(Antoines,MATCH(G2150,Antoine_Name,0),2)-INDEX(Antoines,MATCH(G2150,Antoine_Name,0),3)/(INDEX(Antoines,MATCH(G2150,Antoine_Name,0),4)+(G2158-32)*5/9)))*14.7/760,IF(G2151="Crude Oil",EXP((2799/(G2158+459.6)-2.227)*LOG10(INDEX(FX_Input,T$5,G$3*$Z$5+$AA$5))-(7261/(G2158+459.6))+12.82),IF(G2151="Refined Petroleum Stock",EXP((0.7553-(413/(G2158+459.6)))*(INDEX(FX_Input,T$5,G$3*$Z$5+$AA$5-1)^0.5)*LOG10(INDEX(FX_Input,T$5,G$3*$Z$5+$AA$5))-(1.854-(1042/(G2158+459.6)))*(INDEX(FX_Input,T$5,G$3*$Z$5+$AA$5-1)^0.5)+((2416/(G2158+459.6)-2.013)*LOG10(INDEX(FX_Input,T$5,G$3*$Z$5+$AA$5)))-(8742/(G2158+459.6))+15.64),EXP(INDEX(Antoines,MATCH(G2150,Antoine_Name,0),2)-INDEX(Antoines,MATCH(G2150,Antoine_Name,0),3)/(G2158+459.6))))),0)</f>
        <v>5.5846958573521795E-3</v>
      </c>
      <c r="H2161" cm="1">
        <f t="array" ref="H2161">IFERROR(IF(H2151="Chemical",(10^(INDEX(Antoines,MATCH(H2150,Antoine_Name,0),2)-INDEX(Antoines,MATCH(H2150,Antoine_Name,0),3)/(INDEX(Antoines,MATCH(H2150,Antoine_Name,0),4)+(H2158-32)*5/9)))*14.7/760,IF(H2151="Crude Oil",EXP((2799/(H2158+459.6)-2.227)*LOG10(INDEX(FX_Input,U$5,H$3*$Z$5+$AA$5))-(7261/(H2158+459.6))+12.82),IF(H2151="Refined Petroleum Stock",EXP((0.7553-(413/(H2158+459.6)))*(INDEX(FX_Input,U$5,H$3*$Z$5+$AA$5-1)^0.5)*LOG10(INDEX(FX_Input,U$5,H$3*$Z$5+$AA$5))-(1.854-(1042/(H2158+459.6)))*(INDEX(FX_Input,U$5,H$3*$Z$5+$AA$5-1)^0.5)+((2416/(H2158+459.6)-2.013)*LOG10(INDEX(FX_Input,U$5,H$3*$Z$5+$AA$5)))-(8742/(H2158+459.6))+15.64),EXP(INDEX(Antoines,MATCH(H2150,Antoine_Name,0),2)-INDEX(Antoines,MATCH(H2150,Antoine_Name,0),3)/(H2158+459.6))))),0)</f>
        <v>6.5274070972739821E-3</v>
      </c>
      <c r="I2161" cm="1">
        <f t="array" ref="I2161">IFERROR(IF(I2151="Chemical",(10^(INDEX(Antoines,MATCH(I2150,Antoine_Name,0),2)-INDEX(Antoines,MATCH(I2150,Antoine_Name,0),3)/(INDEX(Antoines,MATCH(I2150,Antoine_Name,0),4)+(I2158-32)*5/9)))*14.7/760,IF(I2151="Crude Oil",EXP((2799/(I2158+459.6)-2.227)*LOG10(INDEX(FX_Input,V$5,I$3*$Z$5+$AA$5))-(7261/(I2158+459.6))+12.82),IF(I2151="Refined Petroleum Stock",EXP((0.7553-(413/(I2158+459.6)))*(INDEX(FX_Input,V$5,I$3*$Z$5+$AA$5-1)^0.5)*LOG10(INDEX(FX_Input,V$5,I$3*$Z$5+$AA$5))-(1.854-(1042/(I2158+459.6)))*(INDEX(FX_Input,V$5,I$3*$Z$5+$AA$5-1)^0.5)+((2416/(I2158+459.6)-2.013)*LOG10(INDEX(FX_Input,V$5,I$3*$Z$5+$AA$5)))-(8742/(I2158+459.6))+15.64),EXP(INDEX(Antoines,MATCH(I2150,Antoine_Name,0),2)-INDEX(Antoines,MATCH(I2150,Antoine_Name,0),3)/(I2158+459.6))))),0)</f>
        <v>7.4199539958878279E-3</v>
      </c>
      <c r="J2161" cm="1">
        <f t="array" ref="J2161">IFERROR(IF(J2151="Chemical",(10^(INDEX(Antoines,MATCH(J2150,Antoine_Name,0),2)-INDEX(Antoines,MATCH(J2150,Antoine_Name,0),3)/(INDEX(Antoines,MATCH(J2150,Antoine_Name,0),4)+(J2158-32)*5/9)))*14.7/760,IF(J2151="Crude Oil",EXP((2799/(J2158+459.6)-2.227)*LOG10(INDEX(FX_Input,W$5,J$3*$Z$5+$AA$5))-(7261/(J2158+459.6))+12.82),IF(J2151="Refined Petroleum Stock",EXP((0.7553-(413/(J2158+459.6)))*(INDEX(FX_Input,W$5,J$3*$Z$5+$AA$5-1)^0.5)*LOG10(INDEX(FX_Input,W$5,J$3*$Z$5+$AA$5))-(1.854-(1042/(J2158+459.6)))*(INDEX(FX_Input,W$5,J$3*$Z$5+$AA$5-1)^0.5)+((2416/(J2158+459.6)-2.013)*LOG10(INDEX(FX_Input,W$5,J$3*$Z$5+$AA$5)))-(8742/(J2158+459.6))+15.64),EXP(INDEX(Antoines,MATCH(J2150,Antoine_Name,0),2)-INDEX(Antoines,MATCH(J2150,Antoine_Name,0),3)/(J2158+459.6))))),0)</f>
        <v>8.3358107202842254E-3</v>
      </c>
      <c r="K2161" cm="1">
        <f t="array" ref="K2161">IFERROR(IF(K2151="Chemical",(10^(INDEX(Antoines,MATCH(K2150,Antoine_Name,0),2)-INDEX(Antoines,MATCH(K2150,Antoine_Name,0),3)/(INDEX(Antoines,MATCH(K2150,Antoine_Name,0),4)+(K2158-32)*5/9)))*14.7/760,IF(K2151="Crude Oil",EXP((2799/(K2158+459.6)-2.227)*LOG10(INDEX(FX_Input,X$5,K$3*$Z$5+$AA$5))-(7261/(K2158+459.6))+12.82),IF(K2151="Refined Petroleum Stock",EXP((0.7553-(413/(K2158+459.6)))*(INDEX(FX_Input,X$5,K$3*$Z$5+$AA$5-1)^0.5)*LOG10(INDEX(FX_Input,X$5,K$3*$Z$5+$AA$5))-(1.854-(1042/(K2158+459.6)))*(INDEX(FX_Input,X$5,K$3*$Z$5+$AA$5-1)^0.5)+((2416/(K2158+459.6)-2.013)*LOG10(INDEX(FX_Input,X$5,K$3*$Z$5+$AA$5)))-(8742/(K2158+459.6))+15.64),EXP(INDEX(Antoines,MATCH(K2150,Antoine_Name,0),2)-INDEX(Antoines,MATCH(K2150,Antoine_Name,0),3)/(K2158+459.6))))),0)</f>
        <v>8.4605262729351115E-3</v>
      </c>
      <c r="L2161" cm="1">
        <f t="array" ref="L2161">IFERROR(IF(L2151="Chemical",(10^(INDEX(Antoines,MATCH(L2150,Antoine_Name,0),2)-INDEX(Antoines,MATCH(L2150,Antoine_Name,0),3)/(INDEX(Antoines,MATCH(L2150,Antoine_Name,0),4)+(L2158-32)*5/9)))*14.7/760,IF(L2151="Crude Oil",EXP((2799/(L2158+459.6)-2.227)*LOG10(INDEX(FX_Input,Y$5,L$3*$Z$5+$AA$5))-(7261/(L2158+459.6))+12.82),IF(L2151="Refined Petroleum Stock",EXP((0.7553-(413/(L2158+459.6)))*(INDEX(FX_Input,Y$5,L$3*$Z$5+$AA$5-1)^0.5)*LOG10(INDEX(FX_Input,Y$5,L$3*$Z$5+$AA$5))-(1.854-(1042/(L2158+459.6)))*(INDEX(FX_Input,Y$5,L$3*$Z$5+$AA$5-1)^0.5)+((2416/(L2158+459.6)-2.013)*LOG10(INDEX(FX_Input,Y$5,L$3*$Z$5+$AA$5)))-(8742/(L2158+459.6))+15.64),EXP(INDEX(Antoines,MATCH(L2150,Antoine_Name,0),2)-INDEX(Antoines,MATCH(L2150,Antoine_Name,0),3)/(L2158+459.6))))),0)</f>
        <v>7.8399882233967533E-3</v>
      </c>
      <c r="M2161" cm="1">
        <f t="array" ref="M2161">IFERROR(IF(M2151="Chemical",(10^(INDEX(Antoines,MATCH(M2150,Antoine_Name,0),2)-INDEX(Antoines,MATCH(M2150,Antoine_Name,0),3)/(INDEX(Antoines,MATCH(M2150,Antoine_Name,0),4)+(M2158-32)*5/9)))*14.7/760,IF(M2151="Crude Oil",EXP((2799/(M2158+459.6)-2.227)*LOG10(INDEX(FX_Input,Z$5,M$3*$Z$5+$AA$5))-(7261/(M2158+459.6))+12.82),IF(M2151="Refined Petroleum Stock",EXP((0.7553-(413/(M2158+459.6)))*(INDEX(FX_Input,Z$5,M$3*$Z$5+$AA$5-1)^0.5)*LOG10(INDEX(FX_Input,Z$5,M$3*$Z$5+$AA$5))-(1.854-(1042/(M2158+459.6)))*(INDEX(FX_Input,Z$5,M$3*$Z$5+$AA$5-1)^0.5)+((2416/(M2158+459.6)-2.013)*LOG10(INDEX(FX_Input,Z$5,M$3*$Z$5+$AA$5)))-(8742/(M2158+459.6))+15.64),EXP(INDEX(Antoines,MATCH(M2150,Antoine_Name,0),2)-INDEX(Antoines,MATCH(M2150,Antoine_Name,0),3)/(M2158+459.6))))),0)</f>
        <v>6.4173462075160911E-3</v>
      </c>
      <c r="N2161" cm="1">
        <f t="array" ref="N2161">IFERROR(IF(N2151="Chemical",(10^(INDEX(Antoines,MATCH(N2150,Antoine_Name,0),2)-INDEX(Antoines,MATCH(N2150,Antoine_Name,0),3)/(INDEX(Antoines,MATCH(N2150,Antoine_Name,0),4)+(N2158-32)*5/9)))*14.7/760,IF(N2151="Crude Oil",EXP((2799/(N2158+459.6)-2.227)*LOG10(INDEX(FX_Input,AA$5,N$3*$Z$5+$AA$5))-(7261/(N2158+459.6))+12.82),IF(N2151="Refined Petroleum Stock",EXP((0.7553-(413/(N2158+459.6)))*(INDEX(FX_Input,AA$5,N$3*$Z$5+$AA$5-1)^0.5)*LOG10(INDEX(FX_Input,AA$5,N$3*$Z$5+$AA$5))-(1.854-(1042/(N2158+459.6)))*(INDEX(FX_Input,AA$5,N$3*$Z$5+$AA$5-1)^0.5)+((2416/(N2158+459.6)-2.013)*LOG10(INDEX(FX_Input,AA$5,N$3*$Z$5+$AA$5)))-(8742/(N2158+459.6))+15.64),EXP(INDEX(Antoines,MATCH(N2150,Antoine_Name,0),2)-INDEX(Antoines,MATCH(N2150,Antoine_Name,0),3)/(N2158+459.6))))),0)</f>
        <v>5.3015226887581056E-3</v>
      </c>
      <c r="O2161" cm="1">
        <f t="array" ref="O2161">IFERROR(IF(O2151="Chemical",(10^(INDEX(Antoines,MATCH(O2150,Antoine_Name,0),2)-INDEX(Antoines,MATCH(O2150,Antoine_Name,0),3)/(INDEX(Antoines,MATCH(O2150,Antoine_Name,0),4)+(O2158-32)*5/9)))*14.7/760,IF(O2151="Crude Oil",EXP((2799/(O2158+459.6)-2.227)*LOG10(INDEX(FX_Input,AB$5,O$3*$Z$5+$AA$5))-(7261/(O2158+459.6))+12.82),IF(O2151="Refined Petroleum Stock",EXP((0.7553-(413/(O2158+459.6)))*(INDEX(FX_Input,AB$5,O$3*$Z$5+$AA$5-1)^0.5)*LOG10(INDEX(FX_Input,AB$5,O$3*$Z$5+$AA$5))-(1.854-(1042/(O2158+459.6)))*(INDEX(FX_Input,AB$5,O$3*$Z$5+$AA$5-1)^0.5)+((2416/(O2158+459.6)-2.013)*LOG10(INDEX(FX_Input,AB$5,O$3*$Z$5+$AA$5)))-(8742/(O2158+459.6))+15.64),EXP(INDEX(Antoines,MATCH(O2150,Antoine_Name,0),2)-INDEX(Antoines,MATCH(O2150,Antoine_Name,0),3)/(O2158+459.6))))),0)</f>
        <v>4.68970903600947E-3</v>
      </c>
    </row>
    <row r="2162" spans="2:15" ht="17.149999999999999" x14ac:dyDescent="0.55000000000000004">
      <c r="B2162" t="str">
        <f t="shared" si="7186"/>
        <v>Portland</v>
      </c>
      <c r="C2162" t="s">
        <v>576</v>
      </c>
      <c r="D2162">
        <f>D2154*D2161</f>
        <v>4.739577185808354E-3</v>
      </c>
      <c r="E2162">
        <f t="shared" ref="E2162:O2162" si="7187">E2154*E2161</f>
        <v>4.8748667780818778E-3</v>
      </c>
      <c r="F2162">
        <f t="shared" si="7187"/>
        <v>5.119885034186122E-3</v>
      </c>
      <c r="G2162">
        <f t="shared" si="7187"/>
        <v>5.5846958573521795E-3</v>
      </c>
      <c r="H2162">
        <f t="shared" si="7187"/>
        <v>6.5274070972739821E-3</v>
      </c>
      <c r="I2162">
        <f t="shared" si="7187"/>
        <v>7.4199539958878279E-3</v>
      </c>
      <c r="J2162">
        <f t="shared" si="7187"/>
        <v>8.3358107202842254E-3</v>
      </c>
      <c r="K2162">
        <f t="shared" si="7187"/>
        <v>8.4605262729351115E-3</v>
      </c>
      <c r="L2162">
        <f t="shared" si="7187"/>
        <v>7.8399882233967533E-3</v>
      </c>
      <c r="M2162">
        <f t="shared" si="7187"/>
        <v>6.4173462075160911E-3</v>
      </c>
      <c r="N2162">
        <f t="shared" si="7187"/>
        <v>5.3015226887581056E-3</v>
      </c>
      <c r="O2162">
        <f t="shared" si="7187"/>
        <v>4.68970903600947E-3</v>
      </c>
    </row>
    <row r="2163" spans="2:15" ht="17.149999999999999" x14ac:dyDescent="0.55000000000000004">
      <c r="B2163" t="str">
        <f t="shared" si="7186"/>
        <v>Portland</v>
      </c>
      <c r="C2163" t="s">
        <v>575</v>
      </c>
      <c r="D2163" cm="1">
        <f t="array" ref="D2163">IFERROR(IF(D2153="Chemical",(10^(INDEX(Antoines,MATCH(D2152,Antoine_Name,0),2)-INDEX(Antoines,MATCH(D2152,Antoine_Name,0),3)/(INDEX(Antoines,MATCH(D2152,Antoine_Name,0),4)+(D2158-32)*5/9)))*14.7/760,IF(D2153="Crude Oil",EXP((2799/(D2158+459.6)-2.227)*LOG10(INDEX(FX_Input,Q$5,D$3*$Z$5+$AA$5))-(7261/(D2158+459.6))+12.82),IF(D2153="Refined Petroleum Stock",EXP((0.7553-(413/(D2158+459.6)))*(INDEX(FX_Input,Q$5,D$3*$Z$5+$AA$5-1)^0.5)*LOG10(INDEX(FX_Input,Q$5,D$3*$Z$5+$AA$5))-(1.854-(1042/(D2158+459.6)))*(INDEX(FX_Input,Q$5,D$3*$Z$5+$AA$5-1)^0.5)+((2416/(D2158+459.6)-2.013)*LOG10(INDEX(FX_Input,Q$5,D$3*$Z$5+$AA$5)))-(8742/(D2158+459.6))+15.64),EXP(INDEX(Antoines,MATCH(D2152,Antoine_Name,0),2)-INDEX(Antoines,MATCH(D2152,Antoine_Name,0),3)/(D2158+459.6))))),0)</f>
        <v>0</v>
      </c>
      <c r="E2163" cm="1">
        <f t="array" ref="E2163">IFERROR(IF(E2153="Chemical",(10^(INDEX(Antoines,MATCH(E2152,Antoine_Name,0),2)-INDEX(Antoines,MATCH(E2152,Antoine_Name,0),3)/(INDEX(Antoines,MATCH(E2152,Antoine_Name,0),4)+(E2158-32)*5/9)))*14.7/760,IF(E2153="Crude Oil",EXP((2799/(E2158+459.6)-2.227)*LOG10(INDEX(FX_Input,R$5,E$3*$Z$5+$AA$5))-(7261/(E2158+459.6))+12.82),IF(E2153="Refined Petroleum Stock",EXP((0.7553-(413/(E2158+459.6)))*(INDEX(FX_Input,R$5,E$3*$Z$5+$AA$5-1)^0.5)*LOG10(INDEX(FX_Input,R$5,E$3*$Z$5+$AA$5))-(1.854-(1042/(E2158+459.6)))*(INDEX(FX_Input,R$5,E$3*$Z$5+$AA$5-1)^0.5)+((2416/(E2158+459.6)-2.013)*LOG10(INDEX(FX_Input,R$5,E$3*$Z$5+$AA$5)))-(8742/(E2158+459.6))+15.64),EXP(INDEX(Antoines,MATCH(E2152,Antoine_Name,0),2)-INDEX(Antoines,MATCH(E2152,Antoine_Name,0),3)/(E2158+459.6))))),0)</f>
        <v>0</v>
      </c>
      <c r="F2163" cm="1">
        <f t="array" ref="F2163">IFERROR(IF(F2153="Chemical",(10^(INDEX(Antoines,MATCH(F2152,Antoine_Name,0),2)-INDEX(Antoines,MATCH(F2152,Antoine_Name,0),3)/(INDEX(Antoines,MATCH(F2152,Antoine_Name,0),4)+(F2158-32)*5/9)))*14.7/760,IF(F2153="Crude Oil",EXP((2799/(F2158+459.6)-2.227)*LOG10(INDEX(FX_Input,S$5,F$3*$Z$5+$AA$5))-(7261/(F2158+459.6))+12.82),IF(F2153="Refined Petroleum Stock",EXP((0.7553-(413/(F2158+459.6)))*(INDEX(FX_Input,S$5,F$3*$Z$5+$AA$5-1)^0.5)*LOG10(INDEX(FX_Input,S$5,F$3*$Z$5+$AA$5))-(1.854-(1042/(F2158+459.6)))*(INDEX(FX_Input,S$5,F$3*$Z$5+$AA$5-1)^0.5)+((2416/(F2158+459.6)-2.013)*LOG10(INDEX(FX_Input,S$5,F$3*$Z$5+$AA$5)))-(8742/(F2158+459.6))+15.64),EXP(INDEX(Antoines,MATCH(F2152,Antoine_Name,0),2)-INDEX(Antoines,MATCH(F2152,Antoine_Name,0),3)/(F2158+459.6))))),0)</f>
        <v>0</v>
      </c>
      <c r="G2163" cm="1">
        <f t="array" ref="G2163">IFERROR(IF(G2153="Chemical",(10^(INDEX(Antoines,MATCH(G2152,Antoine_Name,0),2)-INDEX(Antoines,MATCH(G2152,Antoine_Name,0),3)/(INDEX(Antoines,MATCH(G2152,Antoine_Name,0),4)+(G2158-32)*5/9)))*14.7/760,IF(G2153="Crude Oil",EXP((2799/(G2158+459.6)-2.227)*LOG10(INDEX(FX_Input,T$5,G$3*$Z$5+$AA$5))-(7261/(G2158+459.6))+12.82),IF(G2153="Refined Petroleum Stock",EXP((0.7553-(413/(G2158+459.6)))*(INDEX(FX_Input,T$5,G$3*$Z$5+$AA$5-1)^0.5)*LOG10(INDEX(FX_Input,T$5,G$3*$Z$5+$AA$5))-(1.854-(1042/(G2158+459.6)))*(INDEX(FX_Input,T$5,G$3*$Z$5+$AA$5-1)^0.5)+((2416/(G2158+459.6)-2.013)*LOG10(INDEX(FX_Input,T$5,G$3*$Z$5+$AA$5)))-(8742/(G2158+459.6))+15.64),EXP(INDEX(Antoines,MATCH(G2152,Antoine_Name,0),2)-INDEX(Antoines,MATCH(G2152,Antoine_Name,0),3)/(G2158+459.6))))),0)</f>
        <v>0</v>
      </c>
      <c r="H2163" cm="1">
        <f t="array" ref="H2163">IFERROR(IF(H2153="Chemical",(10^(INDEX(Antoines,MATCH(H2152,Antoine_Name,0),2)-INDEX(Antoines,MATCH(H2152,Antoine_Name,0),3)/(INDEX(Antoines,MATCH(H2152,Antoine_Name,0),4)+(H2158-32)*5/9)))*14.7/760,IF(H2153="Crude Oil",EXP((2799/(H2158+459.6)-2.227)*LOG10(INDEX(FX_Input,U$5,H$3*$Z$5+$AA$5))-(7261/(H2158+459.6))+12.82),IF(H2153="Refined Petroleum Stock",EXP((0.7553-(413/(H2158+459.6)))*(INDEX(FX_Input,U$5,H$3*$Z$5+$AA$5-1)^0.5)*LOG10(INDEX(FX_Input,U$5,H$3*$Z$5+$AA$5))-(1.854-(1042/(H2158+459.6)))*(INDEX(FX_Input,U$5,H$3*$Z$5+$AA$5-1)^0.5)+((2416/(H2158+459.6)-2.013)*LOG10(INDEX(FX_Input,U$5,H$3*$Z$5+$AA$5)))-(8742/(H2158+459.6))+15.64),EXP(INDEX(Antoines,MATCH(H2152,Antoine_Name,0),2)-INDEX(Antoines,MATCH(H2152,Antoine_Name,0),3)/(H2158+459.6))))),0)</f>
        <v>0</v>
      </c>
      <c r="I2163" cm="1">
        <f t="array" ref="I2163">IFERROR(IF(I2153="Chemical",(10^(INDEX(Antoines,MATCH(I2152,Antoine_Name,0),2)-INDEX(Antoines,MATCH(I2152,Antoine_Name,0),3)/(INDEX(Antoines,MATCH(I2152,Antoine_Name,0),4)+(I2158-32)*5/9)))*14.7/760,IF(I2153="Crude Oil",EXP((2799/(I2158+459.6)-2.227)*LOG10(INDEX(FX_Input,V$5,I$3*$Z$5+$AA$5))-(7261/(I2158+459.6))+12.82),IF(I2153="Refined Petroleum Stock",EXP((0.7553-(413/(I2158+459.6)))*(INDEX(FX_Input,V$5,I$3*$Z$5+$AA$5-1)^0.5)*LOG10(INDEX(FX_Input,V$5,I$3*$Z$5+$AA$5))-(1.854-(1042/(I2158+459.6)))*(INDEX(FX_Input,V$5,I$3*$Z$5+$AA$5-1)^0.5)+((2416/(I2158+459.6)-2.013)*LOG10(INDEX(FX_Input,V$5,I$3*$Z$5+$AA$5)))-(8742/(I2158+459.6))+15.64),EXP(INDEX(Antoines,MATCH(I2152,Antoine_Name,0),2)-INDEX(Antoines,MATCH(I2152,Antoine_Name,0),3)/(I2158+459.6))))),0)</f>
        <v>0</v>
      </c>
      <c r="J2163" cm="1">
        <f t="array" ref="J2163">IFERROR(IF(J2153="Chemical",(10^(INDEX(Antoines,MATCH(J2152,Antoine_Name,0),2)-INDEX(Antoines,MATCH(J2152,Antoine_Name,0),3)/(INDEX(Antoines,MATCH(J2152,Antoine_Name,0),4)+(J2158-32)*5/9)))*14.7/760,IF(J2153="Crude Oil",EXP((2799/(J2158+459.6)-2.227)*LOG10(INDEX(FX_Input,W$5,J$3*$Z$5+$AA$5))-(7261/(J2158+459.6))+12.82),IF(J2153="Refined Petroleum Stock",EXP((0.7553-(413/(J2158+459.6)))*(INDEX(FX_Input,W$5,J$3*$Z$5+$AA$5-1)^0.5)*LOG10(INDEX(FX_Input,W$5,J$3*$Z$5+$AA$5))-(1.854-(1042/(J2158+459.6)))*(INDEX(FX_Input,W$5,J$3*$Z$5+$AA$5-1)^0.5)+((2416/(J2158+459.6)-2.013)*LOG10(INDEX(FX_Input,W$5,J$3*$Z$5+$AA$5)))-(8742/(J2158+459.6))+15.64),EXP(INDEX(Antoines,MATCH(J2152,Antoine_Name,0),2)-INDEX(Antoines,MATCH(J2152,Antoine_Name,0),3)/(J2158+459.6))))),0)</f>
        <v>0</v>
      </c>
      <c r="K2163" cm="1">
        <f t="array" ref="K2163">IFERROR(IF(K2153="Chemical",(10^(INDEX(Antoines,MATCH(K2152,Antoine_Name,0),2)-INDEX(Antoines,MATCH(K2152,Antoine_Name,0),3)/(INDEX(Antoines,MATCH(K2152,Antoine_Name,0),4)+(K2158-32)*5/9)))*14.7/760,IF(K2153="Crude Oil",EXP((2799/(K2158+459.6)-2.227)*LOG10(INDEX(FX_Input,X$5,K$3*$Z$5+$AA$5))-(7261/(K2158+459.6))+12.82),IF(K2153="Refined Petroleum Stock",EXP((0.7553-(413/(K2158+459.6)))*(INDEX(FX_Input,X$5,K$3*$Z$5+$AA$5-1)^0.5)*LOG10(INDEX(FX_Input,X$5,K$3*$Z$5+$AA$5))-(1.854-(1042/(K2158+459.6)))*(INDEX(FX_Input,X$5,K$3*$Z$5+$AA$5-1)^0.5)+((2416/(K2158+459.6)-2.013)*LOG10(INDEX(FX_Input,X$5,K$3*$Z$5+$AA$5)))-(8742/(K2158+459.6))+15.64),EXP(INDEX(Antoines,MATCH(K2152,Antoine_Name,0),2)-INDEX(Antoines,MATCH(K2152,Antoine_Name,0),3)/(K2158+459.6))))),0)</f>
        <v>0</v>
      </c>
      <c r="L2163" cm="1">
        <f t="array" ref="L2163">IFERROR(IF(L2153="Chemical",(10^(INDEX(Antoines,MATCH(L2152,Antoine_Name,0),2)-INDEX(Antoines,MATCH(L2152,Antoine_Name,0),3)/(INDEX(Antoines,MATCH(L2152,Antoine_Name,0),4)+(L2158-32)*5/9)))*14.7/760,IF(L2153="Crude Oil",EXP((2799/(L2158+459.6)-2.227)*LOG10(INDEX(FX_Input,Y$5,L$3*$Z$5+$AA$5))-(7261/(L2158+459.6))+12.82),IF(L2153="Refined Petroleum Stock",EXP((0.7553-(413/(L2158+459.6)))*(INDEX(FX_Input,Y$5,L$3*$Z$5+$AA$5-1)^0.5)*LOG10(INDEX(FX_Input,Y$5,L$3*$Z$5+$AA$5))-(1.854-(1042/(L2158+459.6)))*(INDEX(FX_Input,Y$5,L$3*$Z$5+$AA$5-1)^0.5)+((2416/(L2158+459.6)-2.013)*LOG10(INDEX(FX_Input,Y$5,L$3*$Z$5+$AA$5)))-(8742/(L2158+459.6))+15.64),EXP(INDEX(Antoines,MATCH(L2152,Antoine_Name,0),2)-INDEX(Antoines,MATCH(L2152,Antoine_Name,0),3)/(L2158+459.6))))),0)</f>
        <v>0</v>
      </c>
      <c r="M2163" cm="1">
        <f t="array" ref="M2163">IFERROR(IF(M2153="Chemical",(10^(INDEX(Antoines,MATCH(M2152,Antoine_Name,0),2)-INDEX(Antoines,MATCH(M2152,Antoine_Name,0),3)/(INDEX(Antoines,MATCH(M2152,Antoine_Name,0),4)+(M2158-32)*5/9)))*14.7/760,IF(M2153="Crude Oil",EXP((2799/(M2158+459.6)-2.227)*LOG10(INDEX(FX_Input,Z$5,M$3*$Z$5+$AA$5))-(7261/(M2158+459.6))+12.82),IF(M2153="Refined Petroleum Stock",EXP((0.7553-(413/(M2158+459.6)))*(INDEX(FX_Input,Z$5,M$3*$Z$5+$AA$5-1)^0.5)*LOG10(INDEX(FX_Input,Z$5,M$3*$Z$5+$AA$5))-(1.854-(1042/(M2158+459.6)))*(INDEX(FX_Input,Z$5,M$3*$Z$5+$AA$5-1)^0.5)+((2416/(M2158+459.6)-2.013)*LOG10(INDEX(FX_Input,Z$5,M$3*$Z$5+$AA$5)))-(8742/(M2158+459.6))+15.64),EXP(INDEX(Antoines,MATCH(M2152,Antoine_Name,0),2)-INDEX(Antoines,MATCH(M2152,Antoine_Name,0),3)/(M2158+459.6))))),0)</f>
        <v>0</v>
      </c>
      <c r="N2163" cm="1">
        <f t="array" ref="N2163">IFERROR(IF(N2153="Chemical",(10^(INDEX(Antoines,MATCH(N2152,Antoine_Name,0),2)-INDEX(Antoines,MATCH(N2152,Antoine_Name,0),3)/(INDEX(Antoines,MATCH(N2152,Antoine_Name,0),4)+(N2158-32)*5/9)))*14.7/760,IF(N2153="Crude Oil",EXP((2799/(N2158+459.6)-2.227)*LOG10(INDEX(FX_Input,AA$5,N$3*$Z$5+$AA$5))-(7261/(N2158+459.6))+12.82),IF(N2153="Refined Petroleum Stock",EXP((0.7553-(413/(N2158+459.6)))*(INDEX(FX_Input,AA$5,N$3*$Z$5+$AA$5-1)^0.5)*LOG10(INDEX(FX_Input,AA$5,N$3*$Z$5+$AA$5))-(1.854-(1042/(N2158+459.6)))*(INDEX(FX_Input,AA$5,N$3*$Z$5+$AA$5-1)^0.5)+((2416/(N2158+459.6)-2.013)*LOG10(INDEX(FX_Input,AA$5,N$3*$Z$5+$AA$5)))-(8742/(N2158+459.6))+15.64),EXP(INDEX(Antoines,MATCH(N2152,Antoine_Name,0),2)-INDEX(Antoines,MATCH(N2152,Antoine_Name,0),3)/(N2158+459.6))))),0)</f>
        <v>0</v>
      </c>
      <c r="O2163" cm="1">
        <f t="array" ref="O2163">IFERROR(IF(O2153="Chemical",(10^(INDEX(Antoines,MATCH(O2152,Antoine_Name,0),2)-INDEX(Antoines,MATCH(O2152,Antoine_Name,0),3)/(INDEX(Antoines,MATCH(O2152,Antoine_Name,0),4)+(O2158-32)*5/9)))*14.7/760,IF(O2153="Crude Oil",EXP((2799/(O2158+459.6)-2.227)*LOG10(INDEX(FX_Input,AB$5,O$3*$Z$5+$AA$5))-(7261/(O2158+459.6))+12.82),IF(O2153="Refined Petroleum Stock",EXP((0.7553-(413/(O2158+459.6)))*(INDEX(FX_Input,AB$5,O$3*$Z$5+$AA$5-1)^0.5)*LOG10(INDEX(FX_Input,AB$5,O$3*$Z$5+$AA$5))-(1.854-(1042/(O2158+459.6)))*(INDEX(FX_Input,AB$5,O$3*$Z$5+$AA$5-1)^0.5)+((2416/(O2158+459.6)-2.013)*LOG10(INDEX(FX_Input,AB$5,O$3*$Z$5+$AA$5)))-(8742/(O2158+459.6))+15.64),EXP(INDEX(Antoines,MATCH(O2152,Antoine_Name,0),2)-INDEX(Antoines,MATCH(O2152,Antoine_Name,0),3)/(O2158+459.6))))),0)</f>
        <v>0</v>
      </c>
    </row>
    <row r="2164" spans="2:15" ht="17.149999999999999" x14ac:dyDescent="0.55000000000000004">
      <c r="B2164" t="str">
        <f t="shared" si="7186"/>
        <v>Portland</v>
      </c>
      <c r="C2164" t="s">
        <v>577</v>
      </c>
      <c r="D2164">
        <f>D2163*D2156</f>
        <v>0</v>
      </c>
      <c r="E2164">
        <f t="shared" ref="E2164:O2164" si="7188">E2163*E2156</f>
        <v>0</v>
      </c>
      <c r="F2164">
        <f t="shared" si="7188"/>
        <v>0</v>
      </c>
      <c r="G2164">
        <f t="shared" si="7188"/>
        <v>0</v>
      </c>
      <c r="H2164">
        <f t="shared" si="7188"/>
        <v>0</v>
      </c>
      <c r="I2164">
        <f t="shared" si="7188"/>
        <v>0</v>
      </c>
      <c r="J2164">
        <f t="shared" si="7188"/>
        <v>0</v>
      </c>
      <c r="K2164">
        <f t="shared" si="7188"/>
        <v>0</v>
      </c>
      <c r="L2164">
        <f t="shared" si="7188"/>
        <v>0</v>
      </c>
      <c r="M2164">
        <f t="shared" si="7188"/>
        <v>0</v>
      </c>
      <c r="N2164">
        <f t="shared" si="7188"/>
        <v>0</v>
      </c>
      <c r="O2164">
        <f t="shared" si="7188"/>
        <v>0</v>
      </c>
    </row>
    <row r="2165" spans="2:15" ht="17.149999999999999" x14ac:dyDescent="0.55000000000000004">
      <c r="B2165" t="str">
        <f t="shared" si="7186"/>
        <v>Portland</v>
      </c>
      <c r="C2165" t="s">
        <v>578</v>
      </c>
      <c r="D2165">
        <f>D2164+D2162</f>
        <v>4.739577185808354E-3</v>
      </c>
      <c r="E2165">
        <f t="shared" ref="E2165:O2165" si="7189">E2164+E2162</f>
        <v>4.8748667780818778E-3</v>
      </c>
      <c r="F2165">
        <f t="shared" si="7189"/>
        <v>5.119885034186122E-3</v>
      </c>
      <c r="G2165">
        <f t="shared" si="7189"/>
        <v>5.5846958573521795E-3</v>
      </c>
      <c r="H2165">
        <f t="shared" si="7189"/>
        <v>6.5274070972739821E-3</v>
      </c>
      <c r="I2165">
        <f t="shared" si="7189"/>
        <v>7.4199539958878279E-3</v>
      </c>
      <c r="J2165">
        <f t="shared" si="7189"/>
        <v>8.3358107202842254E-3</v>
      </c>
      <c r="K2165">
        <f t="shared" si="7189"/>
        <v>8.4605262729351115E-3</v>
      </c>
      <c r="L2165">
        <f t="shared" si="7189"/>
        <v>7.8399882233967533E-3</v>
      </c>
      <c r="M2165">
        <f t="shared" si="7189"/>
        <v>6.4173462075160911E-3</v>
      </c>
      <c r="N2165">
        <f t="shared" si="7189"/>
        <v>5.3015226887581056E-3</v>
      </c>
      <c r="O2165">
        <f t="shared" si="7189"/>
        <v>4.68970903600947E-3</v>
      </c>
    </row>
    <row r="2166" spans="2:15" ht="17.149999999999999" x14ac:dyDescent="0.55000000000000004">
      <c r="B2166" t="str">
        <f t="shared" si="7186"/>
        <v>Portland</v>
      </c>
      <c r="C2166" t="s">
        <v>579</v>
      </c>
      <c r="D2166" cm="1">
        <f t="array" ref="D2166">IFERROR(IF(D2151="Chemical",(10^(INDEX(Antoines,MATCH(D2150,Antoine_Name,0),2)-INDEX(Antoines,MATCH(D2150,Antoine_Name,0),3)/(INDEX(Antoines,MATCH(D2150,Antoine_Name,0),4)+(D2159-32)*5/9)))*14.7/760,IF(D2151="Crude Oil",EXP((2799/(D2159+459.6)-2.227)*LOG10(INDEX(FX_Input,Q$5,D$3*$Z$5+$AA$5))-(7261/(D2159+459.6))+12.82),IF(D2151="Refined Petroleum Stock",EXP((0.7553-(413/(D2159+459.6)))*(INDEX(FX_Input,Q$5,D$3*$Z$5+$AA$5-1)^0.5)*LOG10(INDEX(FX_Input,Q$5,D$3*$Z$5+$AA$5))-(1.854-(1042/(D2159+459.6)))*(INDEX(FX_Input,Q$5,D$3*$Z$5+$AA$5-1)^0.5)+((2416/(D2159+459.6)-2.013)*LOG10(INDEX(FX_Input,Q$5,D$3*$Z$5+$AA$5)))-(8742/(D2159+459.6))+15.64),EXP(INDEX(Antoines,MATCH(D2150,Antoine_Name,0),2)-INDEX(Antoines,MATCH(D2150,Antoine_Name,0),3)/(D2159+459.6))))),0)</f>
        <v>4.739577185808354E-3</v>
      </c>
      <c r="E2166" cm="1">
        <f t="array" ref="E2166">IFERROR(IF(E2151="Chemical",(10^(INDEX(Antoines,MATCH(E2150,Antoine_Name,0),2)-INDEX(Antoines,MATCH(E2150,Antoine_Name,0),3)/(INDEX(Antoines,MATCH(E2150,Antoine_Name,0),4)+(E2159-32)*5/9)))*14.7/760,IF(E2151="Crude Oil",EXP((2799/(E2159+459.6)-2.227)*LOG10(INDEX(FX_Input,R$5,E$3*$Z$5+$AA$5))-(7261/(E2159+459.6))+12.82),IF(E2151="Refined Petroleum Stock",EXP((0.7553-(413/(E2159+459.6)))*(INDEX(FX_Input,R$5,E$3*$Z$5+$AA$5-1)^0.5)*LOG10(INDEX(FX_Input,R$5,E$3*$Z$5+$AA$5))-(1.854-(1042/(E2159+459.6)))*(INDEX(FX_Input,R$5,E$3*$Z$5+$AA$5-1)^0.5)+((2416/(E2159+459.6)-2.013)*LOG10(INDEX(FX_Input,R$5,E$3*$Z$5+$AA$5)))-(8742/(E2159+459.6))+15.64),EXP(INDEX(Antoines,MATCH(E2150,Antoine_Name,0),2)-INDEX(Antoines,MATCH(E2150,Antoine_Name,0),3)/(E2159+459.6))))),0)</f>
        <v>4.8748667780818778E-3</v>
      </c>
      <c r="F2166" cm="1">
        <f t="array" ref="F2166">IFERROR(IF(F2151="Chemical",(10^(INDEX(Antoines,MATCH(F2150,Antoine_Name,0),2)-INDEX(Antoines,MATCH(F2150,Antoine_Name,0),3)/(INDEX(Antoines,MATCH(F2150,Antoine_Name,0),4)+(F2159-32)*5/9)))*14.7/760,IF(F2151="Crude Oil",EXP((2799/(F2159+459.6)-2.227)*LOG10(INDEX(FX_Input,S$5,F$3*$Z$5+$AA$5))-(7261/(F2159+459.6))+12.82),IF(F2151="Refined Petroleum Stock",EXP((0.7553-(413/(F2159+459.6)))*(INDEX(FX_Input,S$5,F$3*$Z$5+$AA$5-1)^0.5)*LOG10(INDEX(FX_Input,S$5,F$3*$Z$5+$AA$5))-(1.854-(1042/(F2159+459.6)))*(INDEX(FX_Input,S$5,F$3*$Z$5+$AA$5-1)^0.5)+((2416/(F2159+459.6)-2.013)*LOG10(INDEX(FX_Input,S$5,F$3*$Z$5+$AA$5)))-(8742/(F2159+459.6))+15.64),EXP(INDEX(Antoines,MATCH(F2150,Antoine_Name,0),2)-INDEX(Antoines,MATCH(F2150,Antoine_Name,0),3)/(F2159+459.6))))),0)</f>
        <v>5.119885034186122E-3</v>
      </c>
      <c r="G2166" cm="1">
        <f t="array" ref="G2166">IFERROR(IF(G2151="Chemical",(10^(INDEX(Antoines,MATCH(G2150,Antoine_Name,0),2)-INDEX(Antoines,MATCH(G2150,Antoine_Name,0),3)/(INDEX(Antoines,MATCH(G2150,Antoine_Name,0),4)+(G2159-32)*5/9)))*14.7/760,IF(G2151="Crude Oil",EXP((2799/(G2159+459.6)-2.227)*LOG10(INDEX(FX_Input,T$5,G$3*$Z$5+$AA$5))-(7261/(G2159+459.6))+12.82),IF(G2151="Refined Petroleum Stock",EXP((0.7553-(413/(G2159+459.6)))*(INDEX(FX_Input,T$5,G$3*$Z$5+$AA$5-1)^0.5)*LOG10(INDEX(FX_Input,T$5,G$3*$Z$5+$AA$5))-(1.854-(1042/(G2159+459.6)))*(INDEX(FX_Input,T$5,G$3*$Z$5+$AA$5-1)^0.5)+((2416/(G2159+459.6)-2.013)*LOG10(INDEX(FX_Input,T$5,G$3*$Z$5+$AA$5)))-(8742/(G2159+459.6))+15.64),EXP(INDEX(Antoines,MATCH(G2150,Antoine_Name,0),2)-INDEX(Antoines,MATCH(G2150,Antoine_Name,0),3)/(G2159+459.6))))),0)</f>
        <v>5.5846958573521795E-3</v>
      </c>
      <c r="H2166" cm="1">
        <f t="array" ref="H2166">IFERROR(IF(H2151="Chemical",(10^(INDEX(Antoines,MATCH(H2150,Antoine_Name,0),2)-INDEX(Antoines,MATCH(H2150,Antoine_Name,0),3)/(INDEX(Antoines,MATCH(H2150,Antoine_Name,0),4)+(H2159-32)*5/9)))*14.7/760,IF(H2151="Crude Oil",EXP((2799/(H2159+459.6)-2.227)*LOG10(INDEX(FX_Input,U$5,H$3*$Z$5+$AA$5))-(7261/(H2159+459.6))+12.82),IF(H2151="Refined Petroleum Stock",EXP((0.7553-(413/(H2159+459.6)))*(INDEX(FX_Input,U$5,H$3*$Z$5+$AA$5-1)^0.5)*LOG10(INDEX(FX_Input,U$5,H$3*$Z$5+$AA$5))-(1.854-(1042/(H2159+459.6)))*(INDEX(FX_Input,U$5,H$3*$Z$5+$AA$5-1)^0.5)+((2416/(H2159+459.6)-2.013)*LOG10(INDEX(FX_Input,U$5,H$3*$Z$5+$AA$5)))-(8742/(H2159+459.6))+15.64),EXP(INDEX(Antoines,MATCH(H2150,Antoine_Name,0),2)-INDEX(Antoines,MATCH(H2150,Antoine_Name,0),3)/(H2159+459.6))))),0)</f>
        <v>6.5274070972739821E-3</v>
      </c>
      <c r="I2166" cm="1">
        <f t="array" ref="I2166">IFERROR(IF(I2151="Chemical",(10^(INDEX(Antoines,MATCH(I2150,Antoine_Name,0),2)-INDEX(Antoines,MATCH(I2150,Antoine_Name,0),3)/(INDEX(Antoines,MATCH(I2150,Antoine_Name,0),4)+(I2159-32)*5/9)))*14.7/760,IF(I2151="Crude Oil",EXP((2799/(I2159+459.6)-2.227)*LOG10(INDEX(FX_Input,V$5,I$3*$Z$5+$AA$5))-(7261/(I2159+459.6))+12.82),IF(I2151="Refined Petroleum Stock",EXP((0.7553-(413/(I2159+459.6)))*(INDEX(FX_Input,V$5,I$3*$Z$5+$AA$5-1)^0.5)*LOG10(INDEX(FX_Input,V$5,I$3*$Z$5+$AA$5))-(1.854-(1042/(I2159+459.6)))*(INDEX(FX_Input,V$5,I$3*$Z$5+$AA$5-1)^0.5)+((2416/(I2159+459.6)-2.013)*LOG10(INDEX(FX_Input,V$5,I$3*$Z$5+$AA$5)))-(8742/(I2159+459.6))+15.64),EXP(INDEX(Antoines,MATCH(I2150,Antoine_Name,0),2)-INDEX(Antoines,MATCH(I2150,Antoine_Name,0),3)/(I2159+459.6))))),0)</f>
        <v>7.4199539958878279E-3</v>
      </c>
      <c r="J2166" cm="1">
        <f t="array" ref="J2166">IFERROR(IF(J2151="Chemical",(10^(INDEX(Antoines,MATCH(J2150,Antoine_Name,0),2)-INDEX(Antoines,MATCH(J2150,Antoine_Name,0),3)/(INDEX(Antoines,MATCH(J2150,Antoine_Name,0),4)+(J2159-32)*5/9)))*14.7/760,IF(J2151="Crude Oil",EXP((2799/(J2159+459.6)-2.227)*LOG10(INDEX(FX_Input,W$5,J$3*$Z$5+$AA$5))-(7261/(J2159+459.6))+12.82),IF(J2151="Refined Petroleum Stock",EXP((0.7553-(413/(J2159+459.6)))*(INDEX(FX_Input,W$5,J$3*$Z$5+$AA$5-1)^0.5)*LOG10(INDEX(FX_Input,W$5,J$3*$Z$5+$AA$5))-(1.854-(1042/(J2159+459.6)))*(INDEX(FX_Input,W$5,J$3*$Z$5+$AA$5-1)^0.5)+((2416/(J2159+459.6)-2.013)*LOG10(INDEX(FX_Input,W$5,J$3*$Z$5+$AA$5)))-(8742/(J2159+459.6))+15.64),EXP(INDEX(Antoines,MATCH(J2150,Antoine_Name,0),2)-INDEX(Antoines,MATCH(J2150,Antoine_Name,0),3)/(J2159+459.6))))),0)</f>
        <v>8.3358107202842254E-3</v>
      </c>
      <c r="K2166" cm="1">
        <f t="array" ref="K2166">IFERROR(IF(K2151="Chemical",(10^(INDEX(Antoines,MATCH(K2150,Antoine_Name,0),2)-INDEX(Antoines,MATCH(K2150,Antoine_Name,0),3)/(INDEX(Antoines,MATCH(K2150,Antoine_Name,0),4)+(K2159-32)*5/9)))*14.7/760,IF(K2151="Crude Oil",EXP((2799/(K2159+459.6)-2.227)*LOG10(INDEX(FX_Input,X$5,K$3*$Z$5+$AA$5))-(7261/(K2159+459.6))+12.82),IF(K2151="Refined Petroleum Stock",EXP((0.7553-(413/(K2159+459.6)))*(INDEX(FX_Input,X$5,K$3*$Z$5+$AA$5-1)^0.5)*LOG10(INDEX(FX_Input,X$5,K$3*$Z$5+$AA$5))-(1.854-(1042/(K2159+459.6)))*(INDEX(FX_Input,X$5,K$3*$Z$5+$AA$5-1)^0.5)+((2416/(K2159+459.6)-2.013)*LOG10(INDEX(FX_Input,X$5,K$3*$Z$5+$AA$5)))-(8742/(K2159+459.6))+15.64),EXP(INDEX(Antoines,MATCH(K2150,Antoine_Name,0),2)-INDEX(Antoines,MATCH(K2150,Antoine_Name,0),3)/(K2159+459.6))))),0)</f>
        <v>8.4605262729351115E-3</v>
      </c>
      <c r="L2166" cm="1">
        <f t="array" ref="L2166">IFERROR(IF(L2151="Chemical",(10^(INDEX(Antoines,MATCH(L2150,Antoine_Name,0),2)-INDEX(Antoines,MATCH(L2150,Antoine_Name,0),3)/(INDEX(Antoines,MATCH(L2150,Antoine_Name,0),4)+(L2159-32)*5/9)))*14.7/760,IF(L2151="Crude Oil",EXP((2799/(L2159+459.6)-2.227)*LOG10(INDEX(FX_Input,Y$5,L$3*$Z$5+$AA$5))-(7261/(L2159+459.6))+12.82),IF(L2151="Refined Petroleum Stock",EXP((0.7553-(413/(L2159+459.6)))*(INDEX(FX_Input,Y$5,L$3*$Z$5+$AA$5-1)^0.5)*LOG10(INDEX(FX_Input,Y$5,L$3*$Z$5+$AA$5))-(1.854-(1042/(L2159+459.6)))*(INDEX(FX_Input,Y$5,L$3*$Z$5+$AA$5-1)^0.5)+((2416/(L2159+459.6)-2.013)*LOG10(INDEX(FX_Input,Y$5,L$3*$Z$5+$AA$5)))-(8742/(L2159+459.6))+15.64),EXP(INDEX(Antoines,MATCH(L2150,Antoine_Name,0),2)-INDEX(Antoines,MATCH(L2150,Antoine_Name,0),3)/(L2159+459.6))))),0)</f>
        <v>7.8399882233967533E-3</v>
      </c>
      <c r="M2166" cm="1">
        <f t="array" ref="M2166">IFERROR(IF(M2151="Chemical",(10^(INDEX(Antoines,MATCH(M2150,Antoine_Name,0),2)-INDEX(Antoines,MATCH(M2150,Antoine_Name,0),3)/(INDEX(Antoines,MATCH(M2150,Antoine_Name,0),4)+(M2159-32)*5/9)))*14.7/760,IF(M2151="Crude Oil",EXP((2799/(M2159+459.6)-2.227)*LOG10(INDEX(FX_Input,Z$5,M$3*$Z$5+$AA$5))-(7261/(M2159+459.6))+12.82),IF(M2151="Refined Petroleum Stock",EXP((0.7553-(413/(M2159+459.6)))*(INDEX(FX_Input,Z$5,M$3*$Z$5+$AA$5-1)^0.5)*LOG10(INDEX(FX_Input,Z$5,M$3*$Z$5+$AA$5))-(1.854-(1042/(M2159+459.6)))*(INDEX(FX_Input,Z$5,M$3*$Z$5+$AA$5-1)^0.5)+((2416/(M2159+459.6)-2.013)*LOG10(INDEX(FX_Input,Z$5,M$3*$Z$5+$AA$5)))-(8742/(M2159+459.6))+15.64),EXP(INDEX(Antoines,MATCH(M2150,Antoine_Name,0),2)-INDEX(Antoines,MATCH(M2150,Antoine_Name,0),3)/(M2159+459.6))))),0)</f>
        <v>6.4173462075160911E-3</v>
      </c>
      <c r="N2166" cm="1">
        <f t="array" ref="N2166">IFERROR(IF(N2151="Chemical",(10^(INDEX(Antoines,MATCH(N2150,Antoine_Name,0),2)-INDEX(Antoines,MATCH(N2150,Antoine_Name,0),3)/(INDEX(Antoines,MATCH(N2150,Antoine_Name,0),4)+(N2159-32)*5/9)))*14.7/760,IF(N2151="Crude Oil",EXP((2799/(N2159+459.6)-2.227)*LOG10(INDEX(FX_Input,AA$5,N$3*$Z$5+$AA$5))-(7261/(N2159+459.6))+12.82),IF(N2151="Refined Petroleum Stock",EXP((0.7553-(413/(N2159+459.6)))*(INDEX(FX_Input,AA$5,N$3*$Z$5+$AA$5-1)^0.5)*LOG10(INDEX(FX_Input,AA$5,N$3*$Z$5+$AA$5))-(1.854-(1042/(N2159+459.6)))*(INDEX(FX_Input,AA$5,N$3*$Z$5+$AA$5-1)^0.5)+((2416/(N2159+459.6)-2.013)*LOG10(INDEX(FX_Input,AA$5,N$3*$Z$5+$AA$5)))-(8742/(N2159+459.6))+15.64),EXP(INDEX(Antoines,MATCH(N2150,Antoine_Name,0),2)-INDEX(Antoines,MATCH(N2150,Antoine_Name,0),3)/(N2159+459.6))))),0)</f>
        <v>5.3015226887581056E-3</v>
      </c>
      <c r="O2166" cm="1">
        <f t="array" ref="O2166">IFERROR(IF(O2151="Chemical",(10^(INDEX(Antoines,MATCH(O2150,Antoine_Name,0),2)-INDEX(Antoines,MATCH(O2150,Antoine_Name,0),3)/(INDEX(Antoines,MATCH(O2150,Antoine_Name,0),4)+(O2159-32)*5/9)))*14.7/760,IF(O2151="Crude Oil",EXP((2799/(O2159+459.6)-2.227)*LOG10(INDEX(FX_Input,AB$5,O$3*$Z$5+$AA$5))-(7261/(O2159+459.6))+12.82),IF(O2151="Refined Petroleum Stock",EXP((0.7553-(413/(O2159+459.6)))*(INDEX(FX_Input,AB$5,O$3*$Z$5+$AA$5-1)^0.5)*LOG10(INDEX(FX_Input,AB$5,O$3*$Z$5+$AA$5))-(1.854-(1042/(O2159+459.6)))*(INDEX(FX_Input,AB$5,O$3*$Z$5+$AA$5-1)^0.5)+((2416/(O2159+459.6)-2.013)*LOG10(INDEX(FX_Input,AB$5,O$3*$Z$5+$AA$5)))-(8742/(O2159+459.6))+15.64),EXP(INDEX(Antoines,MATCH(O2150,Antoine_Name,0),2)-INDEX(Antoines,MATCH(O2150,Antoine_Name,0),3)/(O2159+459.6))))),0)</f>
        <v>4.68970903600947E-3</v>
      </c>
    </row>
    <row r="2167" spans="2:15" ht="17.149999999999999" x14ac:dyDescent="0.55000000000000004">
      <c r="B2167" t="str">
        <f t="shared" si="7186"/>
        <v>Portland</v>
      </c>
      <c r="C2167" t="s">
        <v>580</v>
      </c>
      <c r="D2167">
        <f>D2166*D2154</f>
        <v>4.739577185808354E-3</v>
      </c>
      <c r="E2167">
        <f t="shared" ref="E2167:O2167" si="7190">E2166*E2154</f>
        <v>4.8748667780818778E-3</v>
      </c>
      <c r="F2167">
        <f t="shared" si="7190"/>
        <v>5.119885034186122E-3</v>
      </c>
      <c r="G2167">
        <f t="shared" si="7190"/>
        <v>5.5846958573521795E-3</v>
      </c>
      <c r="H2167">
        <f t="shared" si="7190"/>
        <v>6.5274070972739821E-3</v>
      </c>
      <c r="I2167">
        <f t="shared" si="7190"/>
        <v>7.4199539958878279E-3</v>
      </c>
      <c r="J2167">
        <f t="shared" si="7190"/>
        <v>8.3358107202842254E-3</v>
      </c>
      <c r="K2167">
        <f t="shared" si="7190"/>
        <v>8.4605262729351115E-3</v>
      </c>
      <c r="L2167">
        <f t="shared" si="7190"/>
        <v>7.8399882233967533E-3</v>
      </c>
      <c r="M2167">
        <f t="shared" si="7190"/>
        <v>6.4173462075160911E-3</v>
      </c>
      <c r="N2167">
        <f t="shared" si="7190"/>
        <v>5.3015226887581056E-3</v>
      </c>
      <c r="O2167">
        <f t="shared" si="7190"/>
        <v>4.68970903600947E-3</v>
      </c>
    </row>
    <row r="2168" spans="2:15" ht="17.149999999999999" x14ac:dyDescent="0.55000000000000004">
      <c r="B2168" t="str">
        <f t="shared" si="7186"/>
        <v>Portland</v>
      </c>
      <c r="C2168" t="s">
        <v>581</v>
      </c>
      <c r="D2168" cm="1">
        <f t="array" ref="D2168">IFERROR(IF(D2153="Chemical",(10^(INDEX(Antoines,MATCH(D2152,Antoine_Name,0),2)-INDEX(Antoines,MATCH(D2152,Antoine_Name,0),3)/(INDEX(Antoines,MATCH(D2152,Antoine_Name,0),4)+(D2159-32)*5/9)))*14.7/760,IF(D2153="Crude Oil",EXP((2799/(D2159+459.6)-2.227)*LOG10(INDEX(FX_Input,Q$5,D$3*$Z$5+$AA$5))-(7261/(D2159+459.6))+12.82),IF(D2153="Refined Petroleum Stock",EXP((0.7553-(413/(D2159+459.6)))*(INDEX(FX_Input,Q$5,D$3*$Z$5+$AA$5-1)^0.5)*LOG10(INDEX(FX_Input,Q$5,D$3*$Z$5+$AA$5))-(1.854-(1042/(D2159+459.6)))*(INDEX(FX_Input,Q$5,D$3*$Z$5+$AA$5-1)^0.5)+((2416/(D2159+459.6)-2.013)*LOG10(INDEX(FX_Input,Q$5,D$3*$Z$5+$AA$5)))-(8742/(D2159+459.6))+15.64),EXP(INDEX(Antoines,MATCH(D2152,Antoine_Name,0),2)-INDEX(Antoines,MATCH(D2152,Antoine_Name,0),3)/(D2159+459.6))))),0)</f>
        <v>0</v>
      </c>
      <c r="E2168" cm="1">
        <f t="array" ref="E2168">IFERROR(IF(E2153="Chemical",(10^(INDEX(Antoines,MATCH(E2152,Antoine_Name,0),2)-INDEX(Antoines,MATCH(E2152,Antoine_Name,0),3)/(INDEX(Antoines,MATCH(E2152,Antoine_Name,0),4)+(E2159-32)*5/9)))*14.7/760,IF(E2153="Crude Oil",EXP((2799/(E2159+459.6)-2.227)*LOG10(INDEX(FX_Input,R$5,E$3*$Z$5+$AA$5))-(7261/(E2159+459.6))+12.82),IF(E2153="Refined Petroleum Stock",EXP((0.7553-(413/(E2159+459.6)))*(INDEX(FX_Input,R$5,E$3*$Z$5+$AA$5-1)^0.5)*LOG10(INDEX(FX_Input,R$5,E$3*$Z$5+$AA$5))-(1.854-(1042/(E2159+459.6)))*(INDEX(FX_Input,R$5,E$3*$Z$5+$AA$5-1)^0.5)+((2416/(E2159+459.6)-2.013)*LOG10(INDEX(FX_Input,R$5,E$3*$Z$5+$AA$5)))-(8742/(E2159+459.6))+15.64),EXP(INDEX(Antoines,MATCH(E2152,Antoine_Name,0),2)-INDEX(Antoines,MATCH(E2152,Antoine_Name,0),3)/(E2159+459.6))))),0)</f>
        <v>0</v>
      </c>
      <c r="F2168" cm="1">
        <f t="array" ref="F2168">IFERROR(IF(F2153="Chemical",(10^(INDEX(Antoines,MATCH(F2152,Antoine_Name,0),2)-INDEX(Antoines,MATCH(F2152,Antoine_Name,0),3)/(INDEX(Antoines,MATCH(F2152,Antoine_Name,0),4)+(F2159-32)*5/9)))*14.7/760,IF(F2153="Crude Oil",EXP((2799/(F2159+459.6)-2.227)*LOG10(INDEX(FX_Input,S$5,F$3*$Z$5+$AA$5))-(7261/(F2159+459.6))+12.82),IF(F2153="Refined Petroleum Stock",EXP((0.7553-(413/(F2159+459.6)))*(INDEX(FX_Input,S$5,F$3*$Z$5+$AA$5-1)^0.5)*LOG10(INDEX(FX_Input,S$5,F$3*$Z$5+$AA$5))-(1.854-(1042/(F2159+459.6)))*(INDEX(FX_Input,S$5,F$3*$Z$5+$AA$5-1)^0.5)+((2416/(F2159+459.6)-2.013)*LOG10(INDEX(FX_Input,S$5,F$3*$Z$5+$AA$5)))-(8742/(F2159+459.6))+15.64),EXP(INDEX(Antoines,MATCH(F2152,Antoine_Name,0),2)-INDEX(Antoines,MATCH(F2152,Antoine_Name,0),3)/(F2159+459.6))))),0)</f>
        <v>0</v>
      </c>
      <c r="G2168" cm="1">
        <f t="array" ref="G2168">IFERROR(IF(G2153="Chemical",(10^(INDEX(Antoines,MATCH(G2152,Antoine_Name,0),2)-INDEX(Antoines,MATCH(G2152,Antoine_Name,0),3)/(INDEX(Antoines,MATCH(G2152,Antoine_Name,0),4)+(G2159-32)*5/9)))*14.7/760,IF(G2153="Crude Oil",EXP((2799/(G2159+459.6)-2.227)*LOG10(INDEX(FX_Input,T$5,G$3*$Z$5+$AA$5))-(7261/(G2159+459.6))+12.82),IF(G2153="Refined Petroleum Stock",EXP((0.7553-(413/(G2159+459.6)))*(INDEX(FX_Input,T$5,G$3*$Z$5+$AA$5-1)^0.5)*LOG10(INDEX(FX_Input,T$5,G$3*$Z$5+$AA$5))-(1.854-(1042/(G2159+459.6)))*(INDEX(FX_Input,T$5,G$3*$Z$5+$AA$5-1)^0.5)+((2416/(G2159+459.6)-2.013)*LOG10(INDEX(FX_Input,T$5,G$3*$Z$5+$AA$5)))-(8742/(G2159+459.6))+15.64),EXP(INDEX(Antoines,MATCH(G2152,Antoine_Name,0),2)-INDEX(Antoines,MATCH(G2152,Antoine_Name,0),3)/(G2159+459.6))))),0)</f>
        <v>0</v>
      </c>
      <c r="H2168" cm="1">
        <f t="array" ref="H2168">IFERROR(IF(H2153="Chemical",(10^(INDEX(Antoines,MATCH(H2152,Antoine_Name,0),2)-INDEX(Antoines,MATCH(H2152,Antoine_Name,0),3)/(INDEX(Antoines,MATCH(H2152,Antoine_Name,0),4)+(H2159-32)*5/9)))*14.7/760,IF(H2153="Crude Oil",EXP((2799/(H2159+459.6)-2.227)*LOG10(INDEX(FX_Input,U$5,H$3*$Z$5+$AA$5))-(7261/(H2159+459.6))+12.82),IF(H2153="Refined Petroleum Stock",EXP((0.7553-(413/(H2159+459.6)))*(INDEX(FX_Input,U$5,H$3*$Z$5+$AA$5-1)^0.5)*LOG10(INDEX(FX_Input,U$5,H$3*$Z$5+$AA$5))-(1.854-(1042/(H2159+459.6)))*(INDEX(FX_Input,U$5,H$3*$Z$5+$AA$5-1)^0.5)+((2416/(H2159+459.6)-2.013)*LOG10(INDEX(FX_Input,U$5,H$3*$Z$5+$AA$5)))-(8742/(H2159+459.6))+15.64),EXP(INDEX(Antoines,MATCH(H2152,Antoine_Name,0),2)-INDEX(Antoines,MATCH(H2152,Antoine_Name,0),3)/(H2159+459.6))))),0)</f>
        <v>0</v>
      </c>
      <c r="I2168" cm="1">
        <f t="array" ref="I2168">IFERROR(IF(I2153="Chemical",(10^(INDEX(Antoines,MATCH(I2152,Antoine_Name,0),2)-INDEX(Antoines,MATCH(I2152,Antoine_Name,0),3)/(INDEX(Antoines,MATCH(I2152,Antoine_Name,0),4)+(I2159-32)*5/9)))*14.7/760,IF(I2153="Crude Oil",EXP((2799/(I2159+459.6)-2.227)*LOG10(INDEX(FX_Input,V$5,I$3*$Z$5+$AA$5))-(7261/(I2159+459.6))+12.82),IF(I2153="Refined Petroleum Stock",EXP((0.7553-(413/(I2159+459.6)))*(INDEX(FX_Input,V$5,I$3*$Z$5+$AA$5-1)^0.5)*LOG10(INDEX(FX_Input,V$5,I$3*$Z$5+$AA$5))-(1.854-(1042/(I2159+459.6)))*(INDEX(FX_Input,V$5,I$3*$Z$5+$AA$5-1)^0.5)+((2416/(I2159+459.6)-2.013)*LOG10(INDEX(FX_Input,V$5,I$3*$Z$5+$AA$5)))-(8742/(I2159+459.6))+15.64),EXP(INDEX(Antoines,MATCH(I2152,Antoine_Name,0),2)-INDEX(Antoines,MATCH(I2152,Antoine_Name,0),3)/(I2159+459.6))))),0)</f>
        <v>0</v>
      </c>
      <c r="J2168" cm="1">
        <f t="array" ref="J2168">IFERROR(IF(J2153="Chemical",(10^(INDEX(Antoines,MATCH(J2152,Antoine_Name,0),2)-INDEX(Antoines,MATCH(J2152,Antoine_Name,0),3)/(INDEX(Antoines,MATCH(J2152,Antoine_Name,0),4)+(J2159-32)*5/9)))*14.7/760,IF(J2153="Crude Oil",EXP((2799/(J2159+459.6)-2.227)*LOG10(INDEX(FX_Input,W$5,J$3*$Z$5+$AA$5))-(7261/(J2159+459.6))+12.82),IF(J2153="Refined Petroleum Stock",EXP((0.7553-(413/(J2159+459.6)))*(INDEX(FX_Input,W$5,J$3*$Z$5+$AA$5-1)^0.5)*LOG10(INDEX(FX_Input,W$5,J$3*$Z$5+$AA$5))-(1.854-(1042/(J2159+459.6)))*(INDEX(FX_Input,W$5,J$3*$Z$5+$AA$5-1)^0.5)+((2416/(J2159+459.6)-2.013)*LOG10(INDEX(FX_Input,W$5,J$3*$Z$5+$AA$5)))-(8742/(J2159+459.6))+15.64),EXP(INDEX(Antoines,MATCH(J2152,Antoine_Name,0),2)-INDEX(Antoines,MATCH(J2152,Antoine_Name,0),3)/(J2159+459.6))))),0)</f>
        <v>0</v>
      </c>
      <c r="K2168" cm="1">
        <f t="array" ref="K2168">IFERROR(IF(K2153="Chemical",(10^(INDEX(Antoines,MATCH(K2152,Antoine_Name,0),2)-INDEX(Antoines,MATCH(K2152,Antoine_Name,0),3)/(INDEX(Antoines,MATCH(K2152,Antoine_Name,0),4)+(K2159-32)*5/9)))*14.7/760,IF(K2153="Crude Oil",EXP((2799/(K2159+459.6)-2.227)*LOG10(INDEX(FX_Input,X$5,K$3*$Z$5+$AA$5))-(7261/(K2159+459.6))+12.82),IF(K2153="Refined Petroleum Stock",EXP((0.7553-(413/(K2159+459.6)))*(INDEX(FX_Input,X$5,K$3*$Z$5+$AA$5-1)^0.5)*LOG10(INDEX(FX_Input,X$5,K$3*$Z$5+$AA$5))-(1.854-(1042/(K2159+459.6)))*(INDEX(FX_Input,X$5,K$3*$Z$5+$AA$5-1)^0.5)+((2416/(K2159+459.6)-2.013)*LOG10(INDEX(FX_Input,X$5,K$3*$Z$5+$AA$5)))-(8742/(K2159+459.6))+15.64),EXP(INDEX(Antoines,MATCH(K2152,Antoine_Name,0),2)-INDEX(Antoines,MATCH(K2152,Antoine_Name,0),3)/(K2159+459.6))))),0)</f>
        <v>0</v>
      </c>
      <c r="L2168" cm="1">
        <f t="array" ref="L2168">IFERROR(IF(L2153="Chemical",(10^(INDEX(Antoines,MATCH(L2152,Antoine_Name,0),2)-INDEX(Antoines,MATCH(L2152,Antoine_Name,0),3)/(INDEX(Antoines,MATCH(L2152,Antoine_Name,0),4)+(L2159-32)*5/9)))*14.7/760,IF(L2153="Crude Oil",EXP((2799/(L2159+459.6)-2.227)*LOG10(INDEX(FX_Input,Y$5,L$3*$Z$5+$AA$5))-(7261/(L2159+459.6))+12.82),IF(L2153="Refined Petroleum Stock",EXP((0.7553-(413/(L2159+459.6)))*(INDEX(FX_Input,Y$5,L$3*$Z$5+$AA$5-1)^0.5)*LOG10(INDEX(FX_Input,Y$5,L$3*$Z$5+$AA$5))-(1.854-(1042/(L2159+459.6)))*(INDEX(FX_Input,Y$5,L$3*$Z$5+$AA$5-1)^0.5)+((2416/(L2159+459.6)-2.013)*LOG10(INDEX(FX_Input,Y$5,L$3*$Z$5+$AA$5)))-(8742/(L2159+459.6))+15.64),EXP(INDEX(Antoines,MATCH(L2152,Antoine_Name,0),2)-INDEX(Antoines,MATCH(L2152,Antoine_Name,0),3)/(L2159+459.6))))),0)</f>
        <v>0</v>
      </c>
      <c r="M2168" cm="1">
        <f t="array" ref="M2168">IFERROR(IF(M2153="Chemical",(10^(INDEX(Antoines,MATCH(M2152,Antoine_Name,0),2)-INDEX(Antoines,MATCH(M2152,Antoine_Name,0),3)/(INDEX(Antoines,MATCH(M2152,Antoine_Name,0),4)+(M2159-32)*5/9)))*14.7/760,IF(M2153="Crude Oil",EXP((2799/(M2159+459.6)-2.227)*LOG10(INDEX(FX_Input,Z$5,M$3*$Z$5+$AA$5))-(7261/(M2159+459.6))+12.82),IF(M2153="Refined Petroleum Stock",EXP((0.7553-(413/(M2159+459.6)))*(INDEX(FX_Input,Z$5,M$3*$Z$5+$AA$5-1)^0.5)*LOG10(INDEX(FX_Input,Z$5,M$3*$Z$5+$AA$5))-(1.854-(1042/(M2159+459.6)))*(INDEX(FX_Input,Z$5,M$3*$Z$5+$AA$5-1)^0.5)+((2416/(M2159+459.6)-2.013)*LOG10(INDEX(FX_Input,Z$5,M$3*$Z$5+$AA$5)))-(8742/(M2159+459.6))+15.64),EXP(INDEX(Antoines,MATCH(M2152,Antoine_Name,0),2)-INDEX(Antoines,MATCH(M2152,Antoine_Name,0),3)/(M2159+459.6))))),0)</f>
        <v>0</v>
      </c>
      <c r="N2168" cm="1">
        <f t="array" ref="N2168">IFERROR(IF(N2153="Chemical",(10^(INDEX(Antoines,MATCH(N2152,Antoine_Name,0),2)-INDEX(Antoines,MATCH(N2152,Antoine_Name,0),3)/(INDEX(Antoines,MATCH(N2152,Antoine_Name,0),4)+(N2159-32)*5/9)))*14.7/760,IF(N2153="Crude Oil",EXP((2799/(N2159+459.6)-2.227)*LOG10(INDEX(FX_Input,AA$5,N$3*$Z$5+$AA$5))-(7261/(N2159+459.6))+12.82),IF(N2153="Refined Petroleum Stock",EXP((0.7553-(413/(N2159+459.6)))*(INDEX(FX_Input,AA$5,N$3*$Z$5+$AA$5-1)^0.5)*LOG10(INDEX(FX_Input,AA$5,N$3*$Z$5+$AA$5))-(1.854-(1042/(N2159+459.6)))*(INDEX(FX_Input,AA$5,N$3*$Z$5+$AA$5-1)^0.5)+((2416/(N2159+459.6)-2.013)*LOG10(INDEX(FX_Input,AA$5,N$3*$Z$5+$AA$5)))-(8742/(N2159+459.6))+15.64),EXP(INDEX(Antoines,MATCH(N2152,Antoine_Name,0),2)-INDEX(Antoines,MATCH(N2152,Antoine_Name,0),3)/(N2159+459.6))))),0)</f>
        <v>0</v>
      </c>
      <c r="O2168" cm="1">
        <f t="array" ref="O2168">IFERROR(IF(O2153="Chemical",(10^(INDEX(Antoines,MATCH(O2152,Antoine_Name,0),2)-INDEX(Antoines,MATCH(O2152,Antoine_Name,0),3)/(INDEX(Antoines,MATCH(O2152,Antoine_Name,0),4)+(O2159-32)*5/9)))*14.7/760,IF(O2153="Crude Oil",EXP((2799/(O2159+459.6)-2.227)*LOG10(INDEX(FX_Input,AB$5,O$3*$Z$5+$AA$5))-(7261/(O2159+459.6))+12.82),IF(O2153="Refined Petroleum Stock",EXP((0.7553-(413/(O2159+459.6)))*(INDEX(FX_Input,AB$5,O$3*$Z$5+$AA$5-1)^0.5)*LOG10(INDEX(FX_Input,AB$5,O$3*$Z$5+$AA$5))-(1.854-(1042/(O2159+459.6)))*(INDEX(FX_Input,AB$5,O$3*$Z$5+$AA$5-1)^0.5)+((2416/(O2159+459.6)-2.013)*LOG10(INDEX(FX_Input,AB$5,O$3*$Z$5+$AA$5)))-(8742/(O2159+459.6))+15.64),EXP(INDEX(Antoines,MATCH(O2152,Antoine_Name,0),2)-INDEX(Antoines,MATCH(O2152,Antoine_Name,0),3)/(O2159+459.6))))),0)</f>
        <v>0</v>
      </c>
    </row>
    <row r="2169" spans="2:15" ht="17.149999999999999" x14ac:dyDescent="0.55000000000000004">
      <c r="B2169" t="str">
        <f t="shared" si="7186"/>
        <v>Portland</v>
      </c>
      <c r="C2169" t="s">
        <v>582</v>
      </c>
      <c r="D2169">
        <f>D2168*D2156</f>
        <v>0</v>
      </c>
      <c r="E2169">
        <f t="shared" ref="E2169:O2169" si="7191">E2168*E2156</f>
        <v>0</v>
      </c>
      <c r="F2169">
        <f t="shared" si="7191"/>
        <v>0</v>
      </c>
      <c r="G2169">
        <f t="shared" si="7191"/>
        <v>0</v>
      </c>
      <c r="H2169">
        <f t="shared" si="7191"/>
        <v>0</v>
      </c>
      <c r="I2169">
        <f t="shared" si="7191"/>
        <v>0</v>
      </c>
      <c r="J2169">
        <f t="shared" si="7191"/>
        <v>0</v>
      </c>
      <c r="K2169">
        <f t="shared" si="7191"/>
        <v>0</v>
      </c>
      <c r="L2169">
        <f t="shared" si="7191"/>
        <v>0</v>
      </c>
      <c r="M2169">
        <f t="shared" si="7191"/>
        <v>0</v>
      </c>
      <c r="N2169">
        <f t="shared" si="7191"/>
        <v>0</v>
      </c>
      <c r="O2169">
        <f t="shared" si="7191"/>
        <v>0</v>
      </c>
    </row>
    <row r="2170" spans="2:15" ht="17.149999999999999" x14ac:dyDescent="0.55000000000000004">
      <c r="B2170" t="str">
        <f t="shared" si="7186"/>
        <v>Portland</v>
      </c>
      <c r="C2170" t="s">
        <v>583</v>
      </c>
      <c r="D2170">
        <f>D2167+D2169</f>
        <v>4.739577185808354E-3</v>
      </c>
      <c r="E2170">
        <f t="shared" ref="E2170:O2170" si="7192">E2167+E2169</f>
        <v>4.8748667780818778E-3</v>
      </c>
      <c r="F2170">
        <f t="shared" si="7192"/>
        <v>5.119885034186122E-3</v>
      </c>
      <c r="G2170">
        <f t="shared" si="7192"/>
        <v>5.5846958573521795E-3</v>
      </c>
      <c r="H2170">
        <f t="shared" si="7192"/>
        <v>6.5274070972739821E-3</v>
      </c>
      <c r="I2170">
        <f t="shared" si="7192"/>
        <v>7.4199539958878279E-3</v>
      </c>
      <c r="J2170">
        <f t="shared" si="7192"/>
        <v>8.3358107202842254E-3</v>
      </c>
      <c r="K2170">
        <f t="shared" si="7192"/>
        <v>8.4605262729351115E-3</v>
      </c>
      <c r="L2170">
        <f t="shared" si="7192"/>
        <v>7.8399882233967533E-3</v>
      </c>
      <c r="M2170">
        <f t="shared" si="7192"/>
        <v>6.4173462075160911E-3</v>
      </c>
      <c r="N2170">
        <f t="shared" si="7192"/>
        <v>5.3015226887581056E-3</v>
      </c>
      <c r="O2170">
        <f t="shared" si="7192"/>
        <v>4.68970903600947E-3</v>
      </c>
    </row>
    <row r="2171" spans="2:15" ht="17.149999999999999" x14ac:dyDescent="0.55000000000000004">
      <c r="B2171" t="str">
        <f t="shared" si="7186"/>
        <v>Portland</v>
      </c>
      <c r="C2171" t="s">
        <v>1388</v>
      </c>
      <c r="D2171" cm="1">
        <f t="array" ref="D2171">IFERROR(IF(D2151="Chemical",(10^(INDEX(Antoines,MATCH(D2150,Antoine_Name,0),2)-INDEX(Antoines,MATCH(D2150,Antoine_Name,0),3)/(INDEX(Antoines,MATCH(D2150,Antoine_Name,0),4)+(D2160-32)*5/9)))*14.7/760,IF(D2151="Crude Oil",EXP((2799/(D2160+459.6)-2.227)*LOG10(INDEX(FX_Input,Q$5,D$3*$Z$5+$AA$5))-(7261/(D2160+459.6))+12.82),IF(D2151="Refined Petroleum Stock",EXP((0.7553-(413/(D2160+459.6)))*(INDEX(FX_Input,Q$5,D$3*$Z$5+$AA$5-1)^0.5)*LOG10(INDEX(FX_Input,Q$5,D$3*$Z$5+$AA$5))-(1.854-(1042/(D2160+459.6)))*(INDEX(FX_Input,Q$5,D$3*$Z$5+$AA$5-1)^0.5)+((2416/(D2160+459.6)-2.013)*LOG10(INDEX(FX_Input,Q$5,D$3*$Z$5+$AA$5)))-(8742/(D2160+459.6))+15.64),EXP(INDEX(Antoines,MATCH(D2150,Antoine_Name,0),2)-INDEX(Antoines,MATCH(D2150,Antoine_Name,0),3)/(D2160+459.6))))),0)</f>
        <v>4.739577185808354E-3</v>
      </c>
      <c r="E2171" cm="1">
        <f t="array" ref="E2171">IFERROR(IF(E2151="Chemical",(10^(INDEX(Antoines,MATCH(E2150,Antoine_Name,0),2)-INDEX(Antoines,MATCH(E2150,Antoine_Name,0),3)/(INDEX(Antoines,MATCH(E2150,Antoine_Name,0),4)+(E2160-32)*5/9)))*14.7/760,IF(E2151="Crude Oil",EXP((2799/(E2160+459.6)-2.227)*LOG10(INDEX(FX_Input,R$5,E$3*$Z$5+$AA$5))-(7261/(E2160+459.6))+12.82),IF(E2151="Refined Petroleum Stock",EXP((0.7553-(413/(E2160+459.6)))*(INDEX(FX_Input,R$5,E$3*$Z$5+$AA$5-1)^0.5)*LOG10(INDEX(FX_Input,R$5,E$3*$Z$5+$AA$5))-(1.854-(1042/(E2160+459.6)))*(INDEX(FX_Input,R$5,E$3*$Z$5+$AA$5-1)^0.5)+((2416/(E2160+459.6)-2.013)*LOG10(INDEX(FX_Input,R$5,E$3*$Z$5+$AA$5)))-(8742/(E2160+459.6))+15.64),EXP(INDEX(Antoines,MATCH(E2150,Antoine_Name,0),2)-INDEX(Antoines,MATCH(E2150,Antoine_Name,0),3)/(E2160+459.6))))),0)</f>
        <v>4.8748667780818778E-3</v>
      </c>
      <c r="F2171" cm="1">
        <f t="array" ref="F2171">IFERROR(IF(F2151="Chemical",(10^(INDEX(Antoines,MATCH(F2150,Antoine_Name,0),2)-INDEX(Antoines,MATCH(F2150,Antoine_Name,0),3)/(INDEX(Antoines,MATCH(F2150,Antoine_Name,0),4)+(F2160-32)*5/9)))*14.7/760,IF(F2151="Crude Oil",EXP((2799/(F2160+459.6)-2.227)*LOG10(INDEX(FX_Input,S$5,F$3*$Z$5+$AA$5))-(7261/(F2160+459.6))+12.82),IF(F2151="Refined Petroleum Stock",EXP((0.7553-(413/(F2160+459.6)))*(INDEX(FX_Input,S$5,F$3*$Z$5+$AA$5-1)^0.5)*LOG10(INDEX(FX_Input,S$5,F$3*$Z$5+$AA$5))-(1.854-(1042/(F2160+459.6)))*(INDEX(FX_Input,S$5,F$3*$Z$5+$AA$5-1)^0.5)+((2416/(F2160+459.6)-2.013)*LOG10(INDEX(FX_Input,S$5,F$3*$Z$5+$AA$5)))-(8742/(F2160+459.6))+15.64),EXP(INDEX(Antoines,MATCH(F2150,Antoine_Name,0),2)-INDEX(Antoines,MATCH(F2150,Antoine_Name,0),3)/(F2160+459.6))))),0)</f>
        <v>5.119885034186122E-3</v>
      </c>
      <c r="G2171" cm="1">
        <f t="array" ref="G2171">IFERROR(IF(G2151="Chemical",(10^(INDEX(Antoines,MATCH(G2150,Antoine_Name,0),2)-INDEX(Antoines,MATCH(G2150,Antoine_Name,0),3)/(INDEX(Antoines,MATCH(G2150,Antoine_Name,0),4)+(G2160-32)*5/9)))*14.7/760,IF(G2151="Crude Oil",EXP((2799/(G2160+459.6)-2.227)*LOG10(INDEX(FX_Input,T$5,G$3*$Z$5+$AA$5))-(7261/(G2160+459.6))+12.82),IF(G2151="Refined Petroleum Stock",EXP((0.7553-(413/(G2160+459.6)))*(INDEX(FX_Input,T$5,G$3*$Z$5+$AA$5-1)^0.5)*LOG10(INDEX(FX_Input,T$5,G$3*$Z$5+$AA$5))-(1.854-(1042/(G2160+459.6)))*(INDEX(FX_Input,T$5,G$3*$Z$5+$AA$5-1)^0.5)+((2416/(G2160+459.6)-2.013)*LOG10(INDEX(FX_Input,T$5,G$3*$Z$5+$AA$5)))-(8742/(G2160+459.6))+15.64),EXP(INDEX(Antoines,MATCH(G2150,Antoine_Name,0),2)-INDEX(Antoines,MATCH(G2150,Antoine_Name,0),3)/(G2160+459.6))))),0)</f>
        <v>5.5846958573521795E-3</v>
      </c>
      <c r="H2171" cm="1">
        <f t="array" ref="H2171">IFERROR(IF(H2151="Chemical",(10^(INDEX(Antoines,MATCH(H2150,Antoine_Name,0),2)-INDEX(Antoines,MATCH(H2150,Antoine_Name,0),3)/(INDEX(Antoines,MATCH(H2150,Antoine_Name,0),4)+(H2160-32)*5/9)))*14.7/760,IF(H2151="Crude Oil",EXP((2799/(H2160+459.6)-2.227)*LOG10(INDEX(FX_Input,U$5,H$3*$Z$5+$AA$5))-(7261/(H2160+459.6))+12.82),IF(H2151="Refined Petroleum Stock",EXP((0.7553-(413/(H2160+459.6)))*(INDEX(FX_Input,U$5,H$3*$Z$5+$AA$5-1)^0.5)*LOG10(INDEX(FX_Input,U$5,H$3*$Z$5+$AA$5))-(1.854-(1042/(H2160+459.6)))*(INDEX(FX_Input,U$5,H$3*$Z$5+$AA$5-1)^0.5)+((2416/(H2160+459.6)-2.013)*LOG10(INDEX(FX_Input,U$5,H$3*$Z$5+$AA$5)))-(8742/(H2160+459.6))+15.64),EXP(INDEX(Antoines,MATCH(H2150,Antoine_Name,0),2)-INDEX(Antoines,MATCH(H2150,Antoine_Name,0),3)/(H2160+459.6))))),0)</f>
        <v>6.5274070972739821E-3</v>
      </c>
      <c r="I2171" cm="1">
        <f t="array" ref="I2171">IFERROR(IF(I2151="Chemical",(10^(INDEX(Antoines,MATCH(I2150,Antoine_Name,0),2)-INDEX(Antoines,MATCH(I2150,Antoine_Name,0),3)/(INDEX(Antoines,MATCH(I2150,Antoine_Name,0),4)+(I2160-32)*5/9)))*14.7/760,IF(I2151="Crude Oil",EXP((2799/(I2160+459.6)-2.227)*LOG10(INDEX(FX_Input,V$5,I$3*$Z$5+$AA$5))-(7261/(I2160+459.6))+12.82),IF(I2151="Refined Petroleum Stock",EXP((0.7553-(413/(I2160+459.6)))*(INDEX(FX_Input,V$5,I$3*$Z$5+$AA$5-1)^0.5)*LOG10(INDEX(FX_Input,V$5,I$3*$Z$5+$AA$5))-(1.854-(1042/(I2160+459.6)))*(INDEX(FX_Input,V$5,I$3*$Z$5+$AA$5-1)^0.5)+((2416/(I2160+459.6)-2.013)*LOG10(INDEX(FX_Input,V$5,I$3*$Z$5+$AA$5)))-(8742/(I2160+459.6))+15.64),EXP(INDEX(Antoines,MATCH(I2150,Antoine_Name,0),2)-INDEX(Antoines,MATCH(I2150,Antoine_Name,0),3)/(I2160+459.6))))),0)</f>
        <v>7.4199539958878279E-3</v>
      </c>
      <c r="J2171" cm="1">
        <f t="array" ref="J2171">IFERROR(IF(J2151="Chemical",(10^(INDEX(Antoines,MATCH(J2150,Antoine_Name,0),2)-INDEX(Antoines,MATCH(J2150,Antoine_Name,0),3)/(INDEX(Antoines,MATCH(J2150,Antoine_Name,0),4)+(J2160-32)*5/9)))*14.7/760,IF(J2151="Crude Oil",EXP((2799/(J2160+459.6)-2.227)*LOG10(INDEX(FX_Input,W$5,J$3*$Z$5+$AA$5))-(7261/(J2160+459.6))+12.82),IF(J2151="Refined Petroleum Stock",EXP((0.7553-(413/(J2160+459.6)))*(INDEX(FX_Input,W$5,J$3*$Z$5+$AA$5-1)^0.5)*LOG10(INDEX(FX_Input,W$5,J$3*$Z$5+$AA$5))-(1.854-(1042/(J2160+459.6)))*(INDEX(FX_Input,W$5,J$3*$Z$5+$AA$5-1)^0.5)+((2416/(J2160+459.6)-2.013)*LOG10(INDEX(FX_Input,W$5,J$3*$Z$5+$AA$5)))-(8742/(J2160+459.6))+15.64),EXP(INDEX(Antoines,MATCH(J2150,Antoine_Name,0),2)-INDEX(Antoines,MATCH(J2150,Antoine_Name,0),3)/(J2160+459.6))))),0)</f>
        <v>8.3358107202842254E-3</v>
      </c>
      <c r="K2171" cm="1">
        <f t="array" ref="K2171">IFERROR(IF(K2151="Chemical",(10^(INDEX(Antoines,MATCH(K2150,Antoine_Name,0),2)-INDEX(Antoines,MATCH(K2150,Antoine_Name,0),3)/(INDEX(Antoines,MATCH(K2150,Antoine_Name,0),4)+(K2160-32)*5/9)))*14.7/760,IF(K2151="Crude Oil",EXP((2799/(K2160+459.6)-2.227)*LOG10(INDEX(FX_Input,X$5,K$3*$Z$5+$AA$5))-(7261/(K2160+459.6))+12.82),IF(K2151="Refined Petroleum Stock",EXP((0.7553-(413/(K2160+459.6)))*(INDEX(FX_Input,X$5,K$3*$Z$5+$AA$5-1)^0.5)*LOG10(INDEX(FX_Input,X$5,K$3*$Z$5+$AA$5))-(1.854-(1042/(K2160+459.6)))*(INDEX(FX_Input,X$5,K$3*$Z$5+$AA$5-1)^0.5)+((2416/(K2160+459.6)-2.013)*LOG10(INDEX(FX_Input,X$5,K$3*$Z$5+$AA$5)))-(8742/(K2160+459.6))+15.64),EXP(INDEX(Antoines,MATCH(K2150,Antoine_Name,0),2)-INDEX(Antoines,MATCH(K2150,Antoine_Name,0),3)/(K2160+459.6))))),0)</f>
        <v>8.4605262729351115E-3</v>
      </c>
      <c r="L2171" cm="1">
        <f t="array" ref="L2171">IFERROR(IF(L2151="Chemical",(10^(INDEX(Antoines,MATCH(L2150,Antoine_Name,0),2)-INDEX(Antoines,MATCH(L2150,Antoine_Name,0),3)/(INDEX(Antoines,MATCH(L2150,Antoine_Name,0),4)+(L2160-32)*5/9)))*14.7/760,IF(L2151="Crude Oil",EXP((2799/(L2160+459.6)-2.227)*LOG10(INDEX(FX_Input,Y$5,L$3*$Z$5+$AA$5))-(7261/(L2160+459.6))+12.82),IF(L2151="Refined Petroleum Stock",EXP((0.7553-(413/(L2160+459.6)))*(INDEX(FX_Input,Y$5,L$3*$Z$5+$AA$5-1)^0.5)*LOG10(INDEX(FX_Input,Y$5,L$3*$Z$5+$AA$5))-(1.854-(1042/(L2160+459.6)))*(INDEX(FX_Input,Y$5,L$3*$Z$5+$AA$5-1)^0.5)+((2416/(L2160+459.6)-2.013)*LOG10(INDEX(FX_Input,Y$5,L$3*$Z$5+$AA$5)))-(8742/(L2160+459.6))+15.64),EXP(INDEX(Antoines,MATCH(L2150,Antoine_Name,0),2)-INDEX(Antoines,MATCH(L2150,Antoine_Name,0),3)/(L2160+459.6))))),0)</f>
        <v>7.8399882233967533E-3</v>
      </c>
      <c r="M2171" cm="1">
        <f t="array" ref="M2171">IFERROR(IF(M2151="Chemical",(10^(INDEX(Antoines,MATCH(M2150,Antoine_Name,0),2)-INDEX(Antoines,MATCH(M2150,Antoine_Name,0),3)/(INDEX(Antoines,MATCH(M2150,Antoine_Name,0),4)+(M2160-32)*5/9)))*14.7/760,IF(M2151="Crude Oil",EXP((2799/(M2160+459.6)-2.227)*LOG10(INDEX(FX_Input,Z$5,M$3*$Z$5+$AA$5))-(7261/(M2160+459.6))+12.82),IF(M2151="Refined Petroleum Stock",EXP((0.7553-(413/(M2160+459.6)))*(INDEX(FX_Input,Z$5,M$3*$Z$5+$AA$5-1)^0.5)*LOG10(INDEX(FX_Input,Z$5,M$3*$Z$5+$AA$5))-(1.854-(1042/(M2160+459.6)))*(INDEX(FX_Input,Z$5,M$3*$Z$5+$AA$5-1)^0.5)+((2416/(M2160+459.6)-2.013)*LOG10(INDEX(FX_Input,Z$5,M$3*$Z$5+$AA$5)))-(8742/(M2160+459.6))+15.64),EXP(INDEX(Antoines,MATCH(M2150,Antoine_Name,0),2)-INDEX(Antoines,MATCH(M2150,Antoine_Name,0),3)/(M2160+459.6))))),0)</f>
        <v>6.4173462075160911E-3</v>
      </c>
      <c r="N2171" cm="1">
        <f t="array" ref="N2171">IFERROR(IF(N2151="Chemical",(10^(INDEX(Antoines,MATCH(N2150,Antoine_Name,0),2)-INDEX(Antoines,MATCH(N2150,Antoine_Name,0),3)/(INDEX(Antoines,MATCH(N2150,Antoine_Name,0),4)+(N2160-32)*5/9)))*14.7/760,IF(N2151="Crude Oil",EXP((2799/(N2160+459.6)-2.227)*LOG10(INDEX(FX_Input,AA$5,N$3*$Z$5+$AA$5))-(7261/(N2160+459.6))+12.82),IF(N2151="Refined Petroleum Stock",EXP((0.7553-(413/(N2160+459.6)))*(INDEX(FX_Input,AA$5,N$3*$Z$5+$AA$5-1)^0.5)*LOG10(INDEX(FX_Input,AA$5,N$3*$Z$5+$AA$5))-(1.854-(1042/(N2160+459.6)))*(INDEX(FX_Input,AA$5,N$3*$Z$5+$AA$5-1)^0.5)+((2416/(N2160+459.6)-2.013)*LOG10(INDEX(FX_Input,AA$5,N$3*$Z$5+$AA$5)))-(8742/(N2160+459.6))+15.64),EXP(INDEX(Antoines,MATCH(N2150,Antoine_Name,0),2)-INDEX(Antoines,MATCH(N2150,Antoine_Name,0),3)/(N2160+459.6))))),0)</f>
        <v>5.3015226887581056E-3</v>
      </c>
      <c r="O2171" cm="1">
        <f t="array" ref="O2171">IFERROR(IF(O2151="Chemical",(10^(INDEX(Antoines,MATCH(O2150,Antoine_Name,0),2)-INDEX(Antoines,MATCH(O2150,Antoine_Name,0),3)/(INDEX(Antoines,MATCH(O2150,Antoine_Name,0),4)+(O2160-32)*5/9)))*14.7/760,IF(O2151="Crude Oil",EXP((2799/(O2160+459.6)-2.227)*LOG10(INDEX(FX_Input,AB$5,O$3*$Z$5+$AA$5))-(7261/(O2160+459.6))+12.82),IF(O2151="Refined Petroleum Stock",EXP((0.7553-(413/(O2160+459.6)))*(INDEX(FX_Input,AB$5,O$3*$Z$5+$AA$5-1)^0.5)*LOG10(INDEX(FX_Input,AB$5,O$3*$Z$5+$AA$5))-(1.854-(1042/(O2160+459.6)))*(INDEX(FX_Input,AB$5,O$3*$Z$5+$AA$5-1)^0.5)+((2416/(O2160+459.6)-2.013)*LOG10(INDEX(FX_Input,AB$5,O$3*$Z$5+$AA$5)))-(8742/(O2160+459.6))+15.64),EXP(INDEX(Antoines,MATCH(O2150,Antoine_Name,0),2)-INDEX(Antoines,MATCH(O2150,Antoine_Name,0),3)/(O2160+459.6))))),0)</f>
        <v>4.68970903600947E-3</v>
      </c>
    </row>
    <row r="2172" spans="2:15" ht="17.149999999999999" x14ac:dyDescent="0.55000000000000004">
      <c r="B2172" t="str">
        <f t="shared" si="7186"/>
        <v>Portland</v>
      </c>
      <c r="C2172" t="s">
        <v>1389</v>
      </c>
      <c r="D2172">
        <f>D2171*D2154</f>
        <v>4.739577185808354E-3</v>
      </c>
      <c r="E2172">
        <f t="shared" ref="E2172:O2172" si="7193">E2171*E2154</f>
        <v>4.8748667780818778E-3</v>
      </c>
      <c r="F2172">
        <f t="shared" si="7193"/>
        <v>5.119885034186122E-3</v>
      </c>
      <c r="G2172">
        <f t="shared" si="7193"/>
        <v>5.5846958573521795E-3</v>
      </c>
      <c r="H2172">
        <f t="shared" si="7193"/>
        <v>6.5274070972739821E-3</v>
      </c>
      <c r="I2172">
        <f t="shared" si="7193"/>
        <v>7.4199539958878279E-3</v>
      </c>
      <c r="J2172">
        <f t="shared" si="7193"/>
        <v>8.3358107202842254E-3</v>
      </c>
      <c r="K2172">
        <f t="shared" si="7193"/>
        <v>8.4605262729351115E-3</v>
      </c>
      <c r="L2172">
        <f t="shared" si="7193"/>
        <v>7.8399882233967533E-3</v>
      </c>
      <c r="M2172">
        <f t="shared" si="7193"/>
        <v>6.4173462075160911E-3</v>
      </c>
      <c r="N2172">
        <f t="shared" si="7193"/>
        <v>5.3015226887581056E-3</v>
      </c>
      <c r="O2172">
        <f t="shared" si="7193"/>
        <v>4.68970903600947E-3</v>
      </c>
    </row>
    <row r="2173" spans="2:15" ht="17.149999999999999" x14ac:dyDescent="0.55000000000000004">
      <c r="B2173" t="str">
        <f t="shared" si="7186"/>
        <v>Portland</v>
      </c>
      <c r="C2173" t="s">
        <v>1390</v>
      </c>
      <c r="D2173" cm="1">
        <f t="array" ref="D2173">IFERROR(IF(D2153="Chemical",(10^(INDEX(Antoines,MATCH(D2152,Antoine_Name,0),2)-INDEX(Antoines,MATCH(D2152,Antoine_Name,0),3)/(INDEX(Antoines,MATCH(D2152,Antoine_Name,0),4)+(D2160-32)*5/9)))*14.7/760,IF(D2153="Crude Oil",EXP((2799/(D2160+459.6)-2.227)*LOG10(INDEX(FX_Input,Q$5,D$3*$Z$5+$AA$5))-(7261/(D2160+459.6))+12.82),IF(D2153="Refined Petroleum Stock",EXP((0.7553-(413/(D2160+459.6)))*(INDEX(FX_Input,Q$5,D$3*$Z$5+$AA$5-1)^0.5)*LOG10(INDEX(FX_Input,Q$5,D$3*$Z$5+$AA$5))-(1.854-(1042/(D2160+459.6)))*(INDEX(FX_Input,Q$5,D$3*$Z$5+$AA$5-1)^0.5)+((2416/(D2160+459.6)-2.013)*LOG10(INDEX(FX_Input,Q$5,D$3*$Z$5+$AA$5)))-(8742/(D2160+459.6))+15.64),EXP(INDEX(Antoines,MATCH(D2152,Antoine_Name,0),2)-INDEX(Antoines,MATCH(D2152,Antoine_Name,0),3)/(D2160+459.6))))),0)</f>
        <v>0</v>
      </c>
      <c r="E2173" cm="1">
        <f t="array" ref="E2173">IFERROR(IF(E2153="Chemical",(10^(INDEX(Antoines,MATCH(E2152,Antoine_Name,0),2)-INDEX(Antoines,MATCH(E2152,Antoine_Name,0),3)/(INDEX(Antoines,MATCH(E2152,Antoine_Name,0),4)+(E2160-32)*5/9)))*14.7/760,IF(E2153="Crude Oil",EXP((2799/(E2160+459.6)-2.227)*LOG10(INDEX(FX_Input,R$5,E$3*$Z$5+$AA$5))-(7261/(E2160+459.6))+12.82),IF(E2153="Refined Petroleum Stock",EXP((0.7553-(413/(E2160+459.6)))*(INDEX(FX_Input,R$5,E$3*$Z$5+$AA$5-1)^0.5)*LOG10(INDEX(FX_Input,R$5,E$3*$Z$5+$AA$5))-(1.854-(1042/(E2160+459.6)))*(INDEX(FX_Input,R$5,E$3*$Z$5+$AA$5-1)^0.5)+((2416/(E2160+459.6)-2.013)*LOG10(INDEX(FX_Input,R$5,E$3*$Z$5+$AA$5)))-(8742/(E2160+459.6))+15.64),EXP(INDEX(Antoines,MATCH(E2152,Antoine_Name,0),2)-INDEX(Antoines,MATCH(E2152,Antoine_Name,0),3)/(E2160+459.6))))),0)</f>
        <v>0</v>
      </c>
      <c r="F2173" cm="1">
        <f t="array" ref="F2173">IFERROR(IF(F2153="Chemical",(10^(INDEX(Antoines,MATCH(F2152,Antoine_Name,0),2)-INDEX(Antoines,MATCH(F2152,Antoine_Name,0),3)/(INDEX(Antoines,MATCH(F2152,Antoine_Name,0),4)+(F2160-32)*5/9)))*14.7/760,IF(F2153="Crude Oil",EXP((2799/(F2160+459.6)-2.227)*LOG10(INDEX(FX_Input,S$5,F$3*$Z$5+$AA$5))-(7261/(F2160+459.6))+12.82),IF(F2153="Refined Petroleum Stock",EXP((0.7553-(413/(F2160+459.6)))*(INDEX(FX_Input,S$5,F$3*$Z$5+$AA$5-1)^0.5)*LOG10(INDEX(FX_Input,S$5,F$3*$Z$5+$AA$5))-(1.854-(1042/(F2160+459.6)))*(INDEX(FX_Input,S$5,F$3*$Z$5+$AA$5-1)^0.5)+((2416/(F2160+459.6)-2.013)*LOG10(INDEX(FX_Input,S$5,F$3*$Z$5+$AA$5)))-(8742/(F2160+459.6))+15.64),EXP(INDEX(Antoines,MATCH(F2152,Antoine_Name,0),2)-INDEX(Antoines,MATCH(F2152,Antoine_Name,0),3)/(F2160+459.6))))),0)</f>
        <v>0</v>
      </c>
      <c r="G2173" cm="1">
        <f t="array" ref="G2173">IFERROR(IF(G2153="Chemical",(10^(INDEX(Antoines,MATCH(G2152,Antoine_Name,0),2)-INDEX(Antoines,MATCH(G2152,Antoine_Name,0),3)/(INDEX(Antoines,MATCH(G2152,Antoine_Name,0),4)+(G2160-32)*5/9)))*14.7/760,IF(G2153="Crude Oil",EXP((2799/(G2160+459.6)-2.227)*LOG10(INDEX(FX_Input,T$5,G$3*$Z$5+$AA$5))-(7261/(G2160+459.6))+12.82),IF(G2153="Refined Petroleum Stock",EXP((0.7553-(413/(G2160+459.6)))*(INDEX(FX_Input,T$5,G$3*$Z$5+$AA$5-1)^0.5)*LOG10(INDEX(FX_Input,T$5,G$3*$Z$5+$AA$5))-(1.854-(1042/(G2160+459.6)))*(INDEX(FX_Input,T$5,G$3*$Z$5+$AA$5-1)^0.5)+((2416/(G2160+459.6)-2.013)*LOG10(INDEX(FX_Input,T$5,G$3*$Z$5+$AA$5)))-(8742/(G2160+459.6))+15.64),EXP(INDEX(Antoines,MATCH(G2152,Antoine_Name,0),2)-INDEX(Antoines,MATCH(G2152,Antoine_Name,0),3)/(G2160+459.6))))),0)</f>
        <v>0</v>
      </c>
      <c r="H2173" cm="1">
        <f t="array" ref="H2173">IFERROR(IF(H2153="Chemical",(10^(INDEX(Antoines,MATCH(H2152,Antoine_Name,0),2)-INDEX(Antoines,MATCH(H2152,Antoine_Name,0),3)/(INDEX(Antoines,MATCH(H2152,Antoine_Name,0),4)+(H2160-32)*5/9)))*14.7/760,IF(H2153="Crude Oil",EXP((2799/(H2160+459.6)-2.227)*LOG10(INDEX(FX_Input,U$5,H$3*$Z$5+$AA$5))-(7261/(H2160+459.6))+12.82),IF(H2153="Refined Petroleum Stock",EXP((0.7553-(413/(H2160+459.6)))*(INDEX(FX_Input,U$5,H$3*$Z$5+$AA$5-1)^0.5)*LOG10(INDEX(FX_Input,U$5,H$3*$Z$5+$AA$5))-(1.854-(1042/(H2160+459.6)))*(INDEX(FX_Input,U$5,H$3*$Z$5+$AA$5-1)^0.5)+((2416/(H2160+459.6)-2.013)*LOG10(INDEX(FX_Input,U$5,H$3*$Z$5+$AA$5)))-(8742/(H2160+459.6))+15.64),EXP(INDEX(Antoines,MATCH(H2152,Antoine_Name,0),2)-INDEX(Antoines,MATCH(H2152,Antoine_Name,0),3)/(H2160+459.6))))),0)</f>
        <v>0</v>
      </c>
      <c r="I2173" cm="1">
        <f t="array" ref="I2173">IFERROR(IF(I2153="Chemical",(10^(INDEX(Antoines,MATCH(I2152,Antoine_Name,0),2)-INDEX(Antoines,MATCH(I2152,Antoine_Name,0),3)/(INDEX(Antoines,MATCH(I2152,Antoine_Name,0),4)+(I2160-32)*5/9)))*14.7/760,IF(I2153="Crude Oil",EXP((2799/(I2160+459.6)-2.227)*LOG10(INDEX(FX_Input,V$5,I$3*$Z$5+$AA$5))-(7261/(I2160+459.6))+12.82),IF(I2153="Refined Petroleum Stock",EXP((0.7553-(413/(I2160+459.6)))*(INDEX(FX_Input,V$5,I$3*$Z$5+$AA$5-1)^0.5)*LOG10(INDEX(FX_Input,V$5,I$3*$Z$5+$AA$5))-(1.854-(1042/(I2160+459.6)))*(INDEX(FX_Input,V$5,I$3*$Z$5+$AA$5-1)^0.5)+((2416/(I2160+459.6)-2.013)*LOG10(INDEX(FX_Input,V$5,I$3*$Z$5+$AA$5)))-(8742/(I2160+459.6))+15.64),EXP(INDEX(Antoines,MATCH(I2152,Antoine_Name,0),2)-INDEX(Antoines,MATCH(I2152,Antoine_Name,0),3)/(I2160+459.6))))),0)</f>
        <v>0</v>
      </c>
      <c r="J2173" cm="1">
        <f t="array" ref="J2173">IFERROR(IF(J2153="Chemical",(10^(INDEX(Antoines,MATCH(J2152,Antoine_Name,0),2)-INDEX(Antoines,MATCH(J2152,Antoine_Name,0),3)/(INDEX(Antoines,MATCH(J2152,Antoine_Name,0),4)+(J2160-32)*5/9)))*14.7/760,IF(J2153="Crude Oil",EXP((2799/(J2160+459.6)-2.227)*LOG10(INDEX(FX_Input,W$5,J$3*$Z$5+$AA$5))-(7261/(J2160+459.6))+12.82),IF(J2153="Refined Petroleum Stock",EXP((0.7553-(413/(J2160+459.6)))*(INDEX(FX_Input,W$5,J$3*$Z$5+$AA$5-1)^0.5)*LOG10(INDEX(FX_Input,W$5,J$3*$Z$5+$AA$5))-(1.854-(1042/(J2160+459.6)))*(INDEX(FX_Input,W$5,J$3*$Z$5+$AA$5-1)^0.5)+((2416/(J2160+459.6)-2.013)*LOG10(INDEX(FX_Input,W$5,J$3*$Z$5+$AA$5)))-(8742/(J2160+459.6))+15.64),EXP(INDEX(Antoines,MATCH(J2152,Antoine_Name,0),2)-INDEX(Antoines,MATCH(J2152,Antoine_Name,0),3)/(J2160+459.6))))),0)</f>
        <v>0</v>
      </c>
      <c r="K2173" cm="1">
        <f t="array" ref="K2173">IFERROR(IF(K2153="Chemical",(10^(INDEX(Antoines,MATCH(K2152,Antoine_Name,0),2)-INDEX(Antoines,MATCH(K2152,Antoine_Name,0),3)/(INDEX(Antoines,MATCH(K2152,Antoine_Name,0),4)+(K2160-32)*5/9)))*14.7/760,IF(K2153="Crude Oil",EXP((2799/(K2160+459.6)-2.227)*LOG10(INDEX(FX_Input,X$5,K$3*$Z$5+$AA$5))-(7261/(K2160+459.6))+12.82),IF(K2153="Refined Petroleum Stock",EXP((0.7553-(413/(K2160+459.6)))*(INDEX(FX_Input,X$5,K$3*$Z$5+$AA$5-1)^0.5)*LOG10(INDEX(FX_Input,X$5,K$3*$Z$5+$AA$5))-(1.854-(1042/(K2160+459.6)))*(INDEX(FX_Input,X$5,K$3*$Z$5+$AA$5-1)^0.5)+((2416/(K2160+459.6)-2.013)*LOG10(INDEX(FX_Input,X$5,K$3*$Z$5+$AA$5)))-(8742/(K2160+459.6))+15.64),EXP(INDEX(Antoines,MATCH(K2152,Antoine_Name,0),2)-INDEX(Antoines,MATCH(K2152,Antoine_Name,0),3)/(K2160+459.6))))),0)</f>
        <v>0</v>
      </c>
      <c r="L2173" cm="1">
        <f t="array" ref="L2173">IFERROR(IF(L2153="Chemical",(10^(INDEX(Antoines,MATCH(L2152,Antoine_Name,0),2)-INDEX(Antoines,MATCH(L2152,Antoine_Name,0),3)/(INDEX(Antoines,MATCH(L2152,Antoine_Name,0),4)+(L2160-32)*5/9)))*14.7/760,IF(L2153="Crude Oil",EXP((2799/(L2160+459.6)-2.227)*LOG10(INDEX(FX_Input,Y$5,L$3*$Z$5+$AA$5))-(7261/(L2160+459.6))+12.82),IF(L2153="Refined Petroleum Stock",EXP((0.7553-(413/(L2160+459.6)))*(INDEX(FX_Input,Y$5,L$3*$Z$5+$AA$5-1)^0.5)*LOG10(INDEX(FX_Input,Y$5,L$3*$Z$5+$AA$5))-(1.854-(1042/(L2160+459.6)))*(INDEX(FX_Input,Y$5,L$3*$Z$5+$AA$5-1)^0.5)+((2416/(L2160+459.6)-2.013)*LOG10(INDEX(FX_Input,Y$5,L$3*$Z$5+$AA$5)))-(8742/(L2160+459.6))+15.64),EXP(INDEX(Antoines,MATCH(L2152,Antoine_Name,0),2)-INDEX(Antoines,MATCH(L2152,Antoine_Name,0),3)/(L2160+459.6))))),0)</f>
        <v>0</v>
      </c>
      <c r="M2173" cm="1">
        <f t="array" ref="M2173">IFERROR(IF(M2153="Chemical",(10^(INDEX(Antoines,MATCH(M2152,Antoine_Name,0),2)-INDEX(Antoines,MATCH(M2152,Antoine_Name,0),3)/(INDEX(Antoines,MATCH(M2152,Antoine_Name,0),4)+(M2160-32)*5/9)))*14.7/760,IF(M2153="Crude Oil",EXP((2799/(M2160+459.6)-2.227)*LOG10(INDEX(FX_Input,Z$5,M$3*$Z$5+$AA$5))-(7261/(M2160+459.6))+12.82),IF(M2153="Refined Petroleum Stock",EXP((0.7553-(413/(M2160+459.6)))*(INDEX(FX_Input,Z$5,M$3*$Z$5+$AA$5-1)^0.5)*LOG10(INDEX(FX_Input,Z$5,M$3*$Z$5+$AA$5))-(1.854-(1042/(M2160+459.6)))*(INDEX(FX_Input,Z$5,M$3*$Z$5+$AA$5-1)^0.5)+((2416/(M2160+459.6)-2.013)*LOG10(INDEX(FX_Input,Z$5,M$3*$Z$5+$AA$5)))-(8742/(M2160+459.6))+15.64),EXP(INDEX(Antoines,MATCH(M2152,Antoine_Name,0),2)-INDEX(Antoines,MATCH(M2152,Antoine_Name,0),3)/(M2160+459.6))))),0)</f>
        <v>0</v>
      </c>
      <c r="N2173" cm="1">
        <f t="array" ref="N2173">IFERROR(IF(N2153="Chemical",(10^(INDEX(Antoines,MATCH(N2152,Antoine_Name,0),2)-INDEX(Antoines,MATCH(N2152,Antoine_Name,0),3)/(INDEX(Antoines,MATCH(N2152,Antoine_Name,0),4)+(N2160-32)*5/9)))*14.7/760,IF(N2153="Crude Oil",EXP((2799/(N2160+459.6)-2.227)*LOG10(INDEX(FX_Input,AA$5,N$3*$Z$5+$AA$5))-(7261/(N2160+459.6))+12.82),IF(N2153="Refined Petroleum Stock",EXP((0.7553-(413/(N2160+459.6)))*(INDEX(FX_Input,AA$5,N$3*$Z$5+$AA$5-1)^0.5)*LOG10(INDEX(FX_Input,AA$5,N$3*$Z$5+$AA$5))-(1.854-(1042/(N2160+459.6)))*(INDEX(FX_Input,AA$5,N$3*$Z$5+$AA$5-1)^0.5)+((2416/(N2160+459.6)-2.013)*LOG10(INDEX(FX_Input,AA$5,N$3*$Z$5+$AA$5)))-(8742/(N2160+459.6))+15.64),EXP(INDEX(Antoines,MATCH(N2152,Antoine_Name,0),2)-INDEX(Antoines,MATCH(N2152,Antoine_Name,0),3)/(N2160+459.6))))),0)</f>
        <v>0</v>
      </c>
      <c r="O2173" cm="1">
        <f t="array" ref="O2173">IFERROR(IF(O2153="Chemical",(10^(INDEX(Antoines,MATCH(O2152,Antoine_Name,0),2)-INDEX(Antoines,MATCH(O2152,Antoine_Name,0),3)/(INDEX(Antoines,MATCH(O2152,Antoine_Name,0),4)+(O2160-32)*5/9)))*14.7/760,IF(O2153="Crude Oil",EXP((2799/(O2160+459.6)-2.227)*LOG10(INDEX(FX_Input,AB$5,O$3*$Z$5+$AA$5))-(7261/(O2160+459.6))+12.82),IF(O2153="Refined Petroleum Stock",EXP((0.7553-(413/(O2160+459.6)))*(INDEX(FX_Input,AB$5,O$3*$Z$5+$AA$5-1)^0.5)*LOG10(INDEX(FX_Input,AB$5,O$3*$Z$5+$AA$5))-(1.854-(1042/(O2160+459.6)))*(INDEX(FX_Input,AB$5,O$3*$Z$5+$AA$5-1)^0.5)+((2416/(O2160+459.6)-2.013)*LOG10(INDEX(FX_Input,AB$5,O$3*$Z$5+$AA$5)))-(8742/(O2160+459.6))+15.64),EXP(INDEX(Antoines,MATCH(O2152,Antoine_Name,0),2)-INDEX(Antoines,MATCH(O2152,Antoine_Name,0),3)/(O2160+459.6))))),0)</f>
        <v>0</v>
      </c>
    </row>
    <row r="2174" spans="2:15" ht="17.149999999999999" x14ac:dyDescent="0.55000000000000004">
      <c r="B2174" t="str">
        <f t="shared" si="7186"/>
        <v>Portland</v>
      </c>
      <c r="C2174" t="s">
        <v>1391</v>
      </c>
      <c r="D2174">
        <f>D2173*D2156</f>
        <v>0</v>
      </c>
      <c r="E2174">
        <f t="shared" ref="E2174:O2174" si="7194">E2173*E2156</f>
        <v>0</v>
      </c>
      <c r="F2174">
        <f t="shared" si="7194"/>
        <v>0</v>
      </c>
      <c r="G2174">
        <f t="shared" si="7194"/>
        <v>0</v>
      </c>
      <c r="H2174">
        <f t="shared" si="7194"/>
        <v>0</v>
      </c>
      <c r="I2174">
        <f t="shared" si="7194"/>
        <v>0</v>
      </c>
      <c r="J2174">
        <f t="shared" si="7194"/>
        <v>0</v>
      </c>
      <c r="K2174">
        <f t="shared" si="7194"/>
        <v>0</v>
      </c>
      <c r="L2174">
        <f t="shared" si="7194"/>
        <v>0</v>
      </c>
      <c r="M2174">
        <f t="shared" si="7194"/>
        <v>0</v>
      </c>
      <c r="N2174">
        <f t="shared" si="7194"/>
        <v>0</v>
      </c>
      <c r="O2174">
        <f t="shared" si="7194"/>
        <v>0</v>
      </c>
    </row>
    <row r="2175" spans="2:15" ht="17.149999999999999" x14ac:dyDescent="0.55000000000000004">
      <c r="B2175" t="str">
        <f t="shared" si="7186"/>
        <v>Portland</v>
      </c>
      <c r="C2175" t="s">
        <v>1392</v>
      </c>
      <c r="D2175">
        <f>D2172+D2174</f>
        <v>4.739577185808354E-3</v>
      </c>
      <c r="E2175">
        <f t="shared" ref="E2175:O2175" si="7195">E2172+E2174</f>
        <v>4.8748667780818778E-3</v>
      </c>
      <c r="F2175">
        <f t="shared" si="7195"/>
        <v>5.119885034186122E-3</v>
      </c>
      <c r="G2175">
        <f t="shared" si="7195"/>
        <v>5.5846958573521795E-3</v>
      </c>
      <c r="H2175">
        <f t="shared" si="7195"/>
        <v>6.5274070972739821E-3</v>
      </c>
      <c r="I2175">
        <f t="shared" si="7195"/>
        <v>7.4199539958878279E-3</v>
      </c>
      <c r="J2175">
        <f t="shared" si="7195"/>
        <v>8.3358107202842254E-3</v>
      </c>
      <c r="K2175">
        <f t="shared" si="7195"/>
        <v>8.4605262729351115E-3</v>
      </c>
      <c r="L2175">
        <f t="shared" si="7195"/>
        <v>7.8399882233967533E-3</v>
      </c>
      <c r="M2175">
        <f t="shared" si="7195"/>
        <v>6.4173462075160911E-3</v>
      </c>
      <c r="N2175">
        <f t="shared" si="7195"/>
        <v>5.3015226887581056E-3</v>
      </c>
      <c r="O2175">
        <f t="shared" si="7195"/>
        <v>4.68970903600947E-3</v>
      </c>
    </row>
    <row r="2176" spans="2:15" ht="17.149999999999999" x14ac:dyDescent="0.55000000000000004">
      <c r="B2176" t="str">
        <f>B2170</f>
        <v>Portland</v>
      </c>
      <c r="C2176" t="s">
        <v>584</v>
      </c>
      <c r="D2176">
        <f>D2172/D2175</f>
        <v>1</v>
      </c>
      <c r="E2176">
        <f t="shared" ref="E2176:O2176" si="7196">E2172/E2175</f>
        <v>1</v>
      </c>
      <c r="F2176">
        <f t="shared" si="7196"/>
        <v>1</v>
      </c>
      <c r="G2176">
        <f t="shared" si="7196"/>
        <v>1</v>
      </c>
      <c r="H2176">
        <f t="shared" si="7196"/>
        <v>1</v>
      </c>
      <c r="I2176">
        <f t="shared" si="7196"/>
        <v>1</v>
      </c>
      <c r="J2176">
        <f t="shared" si="7196"/>
        <v>1</v>
      </c>
      <c r="K2176">
        <f t="shared" si="7196"/>
        <v>1</v>
      </c>
      <c r="L2176">
        <f t="shared" si="7196"/>
        <v>1</v>
      </c>
      <c r="M2176">
        <f t="shared" si="7196"/>
        <v>1</v>
      </c>
      <c r="N2176">
        <f t="shared" si="7196"/>
        <v>1</v>
      </c>
      <c r="O2176">
        <f t="shared" si="7196"/>
        <v>1</v>
      </c>
    </row>
    <row r="2177" spans="1:32" ht="17.149999999999999" x14ac:dyDescent="0.55000000000000004">
      <c r="B2177" t="str">
        <f>B2171</f>
        <v>Portland</v>
      </c>
      <c r="C2177" t="s">
        <v>585</v>
      </c>
      <c r="D2177">
        <f t="shared" ref="D2177:O2177" si="7197">INDEX(Phys_Prop,MATCH(D2150,Chem_List,0),3)</f>
        <v>130</v>
      </c>
      <c r="E2177">
        <f t="shared" si="7197"/>
        <v>130</v>
      </c>
      <c r="F2177">
        <f t="shared" si="7197"/>
        <v>130</v>
      </c>
      <c r="G2177">
        <f t="shared" si="7197"/>
        <v>130</v>
      </c>
      <c r="H2177">
        <f t="shared" si="7197"/>
        <v>130</v>
      </c>
      <c r="I2177">
        <f t="shared" si="7197"/>
        <v>130</v>
      </c>
      <c r="J2177">
        <f t="shared" si="7197"/>
        <v>130</v>
      </c>
      <c r="K2177">
        <f t="shared" si="7197"/>
        <v>130</v>
      </c>
      <c r="L2177">
        <f t="shared" si="7197"/>
        <v>130</v>
      </c>
      <c r="M2177">
        <f t="shared" si="7197"/>
        <v>130</v>
      </c>
      <c r="N2177">
        <f t="shared" si="7197"/>
        <v>130</v>
      </c>
      <c r="O2177">
        <f t="shared" si="7197"/>
        <v>130</v>
      </c>
    </row>
    <row r="2178" spans="1:32" ht="17.149999999999999" x14ac:dyDescent="0.55000000000000004">
      <c r="B2178" t="str">
        <f>B2177</f>
        <v>Portland</v>
      </c>
      <c r="C2178" t="s">
        <v>586</v>
      </c>
      <c r="D2178">
        <f>D2174/D2175</f>
        <v>0</v>
      </c>
      <c r="E2178">
        <f t="shared" ref="E2178:O2178" si="7198">E2174/E2175</f>
        <v>0</v>
      </c>
      <c r="F2178">
        <f t="shared" si="7198"/>
        <v>0</v>
      </c>
      <c r="G2178">
        <f t="shared" si="7198"/>
        <v>0</v>
      </c>
      <c r="H2178">
        <f t="shared" si="7198"/>
        <v>0</v>
      </c>
      <c r="I2178">
        <f t="shared" si="7198"/>
        <v>0</v>
      </c>
      <c r="J2178">
        <f t="shared" si="7198"/>
        <v>0</v>
      </c>
      <c r="K2178">
        <f t="shared" si="7198"/>
        <v>0</v>
      </c>
      <c r="L2178">
        <f t="shared" si="7198"/>
        <v>0</v>
      </c>
      <c r="M2178">
        <f t="shared" si="7198"/>
        <v>0</v>
      </c>
      <c r="N2178">
        <f t="shared" si="7198"/>
        <v>0</v>
      </c>
      <c r="O2178">
        <f t="shared" si="7198"/>
        <v>0</v>
      </c>
    </row>
    <row r="2179" spans="1:32" ht="17.149999999999999" x14ac:dyDescent="0.55000000000000004">
      <c r="B2179" t="str">
        <f t="shared" si="7186"/>
        <v>Portland</v>
      </c>
      <c r="C2179" t="s">
        <v>587</v>
      </c>
      <c r="D2179">
        <f t="shared" ref="D2179:O2179" si="7199">IFERROR(INDEX(Phys_Prop,MATCH(D2152,Chem_List,0),3),0)</f>
        <v>0</v>
      </c>
      <c r="E2179">
        <f t="shared" si="7199"/>
        <v>0</v>
      </c>
      <c r="F2179">
        <f t="shared" si="7199"/>
        <v>0</v>
      </c>
      <c r="G2179">
        <f t="shared" si="7199"/>
        <v>0</v>
      </c>
      <c r="H2179">
        <f t="shared" si="7199"/>
        <v>0</v>
      </c>
      <c r="I2179">
        <f t="shared" si="7199"/>
        <v>0</v>
      </c>
      <c r="J2179">
        <f t="shared" si="7199"/>
        <v>0</v>
      </c>
      <c r="K2179">
        <f t="shared" si="7199"/>
        <v>0</v>
      </c>
      <c r="L2179">
        <f t="shared" si="7199"/>
        <v>0</v>
      </c>
      <c r="M2179">
        <f t="shared" si="7199"/>
        <v>0</v>
      </c>
      <c r="N2179">
        <f t="shared" si="7199"/>
        <v>0</v>
      </c>
      <c r="O2179">
        <f t="shared" si="7199"/>
        <v>0</v>
      </c>
    </row>
    <row r="2180" spans="1:32" ht="17.149999999999999" x14ac:dyDescent="0.55000000000000004">
      <c r="A2180" s="11"/>
      <c r="B2180" s="11" t="str">
        <f t="shared" si="7186"/>
        <v>Portland</v>
      </c>
      <c r="C2180" s="11" t="s">
        <v>588</v>
      </c>
      <c r="D2180" s="11">
        <f>IFERROR(D2176*D2177+D2178*D2179,0)</f>
        <v>130</v>
      </c>
      <c r="E2180" s="11">
        <f t="shared" ref="E2180:O2180" si="7200">IFERROR(E2176*E2177+E2178*E2179,0)</f>
        <v>130</v>
      </c>
      <c r="F2180" s="11">
        <f t="shared" si="7200"/>
        <v>130</v>
      </c>
      <c r="G2180" s="11">
        <f t="shared" si="7200"/>
        <v>130</v>
      </c>
      <c r="H2180" s="11">
        <f t="shared" si="7200"/>
        <v>130</v>
      </c>
      <c r="I2180" s="11">
        <f t="shared" si="7200"/>
        <v>130</v>
      </c>
      <c r="J2180" s="11">
        <f t="shared" si="7200"/>
        <v>130</v>
      </c>
      <c r="K2180" s="11">
        <f t="shared" si="7200"/>
        <v>130</v>
      </c>
      <c r="L2180" s="11">
        <f t="shared" si="7200"/>
        <v>130</v>
      </c>
      <c r="M2180" s="11">
        <f t="shared" si="7200"/>
        <v>130</v>
      </c>
      <c r="N2180" s="11">
        <f t="shared" si="7200"/>
        <v>130</v>
      </c>
      <c r="O2180" s="11">
        <f t="shared" si="7200"/>
        <v>130</v>
      </c>
      <c r="P2180" s="11"/>
      <c r="Q2180" s="11"/>
      <c r="R2180" s="11"/>
      <c r="S2180" s="11"/>
      <c r="T2180" s="11"/>
      <c r="U2180" s="11"/>
      <c r="V2180" s="11"/>
      <c r="W2180" s="11"/>
      <c r="X2180" s="11"/>
      <c r="Y2180" s="11"/>
      <c r="Z2180" s="11"/>
      <c r="AA2180" s="11"/>
      <c r="AB2180" s="11"/>
      <c r="AC2180" s="11"/>
      <c r="AD2180" s="11"/>
      <c r="AE2180" s="11"/>
      <c r="AF2180" s="11"/>
    </row>
    <row r="2181" spans="1:32" ht="17.149999999999999" x14ac:dyDescent="0.55000000000000004">
      <c r="A2181" t="str" cm="1">
        <f t="array" ref="A2181">INDEX(FX_Input,$Q2181,R$5)</f>
        <v>FX - 65</v>
      </c>
      <c r="B2181" t="str" cm="1">
        <f t="array" ref="B2181">INDEX(FX_Input,Q2181,S2181)</f>
        <v>Portland</v>
      </c>
      <c r="C2181" t="s">
        <v>563</v>
      </c>
      <c r="D2181">
        <v>14.7</v>
      </c>
      <c r="E2181">
        <v>14.7</v>
      </c>
      <c r="F2181">
        <v>14.7</v>
      </c>
      <c r="G2181">
        <v>14.7</v>
      </c>
      <c r="H2181">
        <v>14.7</v>
      </c>
      <c r="I2181">
        <v>14.7</v>
      </c>
      <c r="J2181">
        <v>14.7</v>
      </c>
      <c r="K2181">
        <v>14.7</v>
      </c>
      <c r="L2181">
        <v>14.7</v>
      </c>
      <c r="M2181">
        <v>14.7</v>
      </c>
      <c r="N2181">
        <v>14.7</v>
      </c>
      <c r="O2181">
        <v>14.7</v>
      </c>
      <c r="Q2181">
        <f>Q2147+2</f>
        <v>129</v>
      </c>
      <c r="R2181">
        <v>1</v>
      </c>
      <c r="S2181">
        <v>3</v>
      </c>
      <c r="T2181">
        <v>1</v>
      </c>
      <c r="U2181">
        <v>19</v>
      </c>
      <c r="V2181">
        <v>20</v>
      </c>
      <c r="W2181">
        <v>25</v>
      </c>
      <c r="X2181">
        <v>1</v>
      </c>
      <c r="Y2181">
        <v>2</v>
      </c>
      <c r="Z2181">
        <f>(W2181-V2181)/(Y2181-X2181)</f>
        <v>5</v>
      </c>
      <c r="AA2181">
        <f>V2181-Z2181*X2181</f>
        <v>15</v>
      </c>
      <c r="AD2181">
        <f>AD2147+14</f>
        <v>897</v>
      </c>
      <c r="AF2181">
        <f>AF2147+14</f>
        <v>897</v>
      </c>
    </row>
    <row r="2182" spans="1:32" ht="17.149999999999999" x14ac:dyDescent="0.55000000000000004">
      <c r="B2182" t="str">
        <f t="shared" ref="B2182" si="7201">B2181</f>
        <v>Portland</v>
      </c>
      <c r="C2182" t="s">
        <v>564</v>
      </c>
      <c r="D2182" cm="1">
        <f t="array" ref="D2182">IF(ISBLANK(INDEX(FX_Input,$Q2181,$AB2182)),0.03,INDEX(FX_Input,Q2181,AB2182))</f>
        <v>0.03</v>
      </c>
      <c r="E2182" cm="1">
        <f t="array" ref="E2182">IF(ISBLANK(INDEX(FX_Input,$Q2181,$AB2182)),0.03,INDEX(FX_Input,R2181,#REF!))</f>
        <v>0.03</v>
      </c>
      <c r="F2182" cm="1">
        <f t="array" ref="F2182">IF(ISBLANK(INDEX(FX_Input,$Q2181,$AB2182)),0.03,INDEX(FX_Input,S2181,#REF!))</f>
        <v>0.03</v>
      </c>
      <c r="G2182" cm="1">
        <f t="array" ref="G2182">IF(ISBLANK(INDEX(FX_Input,$Q2181,$AB2182)),0.03,INDEX(FX_Input,AB2181,#REF!))</f>
        <v>0.03</v>
      </c>
      <c r="H2182" cm="1">
        <f t="array" ref="H2182">IF(ISBLANK(INDEX(FX_Input,$Q2181,$AB2182)),0.03,INDEX(FX_Input,#REF!,#REF!))</f>
        <v>0.03</v>
      </c>
      <c r="I2182" cm="1">
        <f t="array" ref="I2182">IF(ISBLANK(INDEX(FX_Input,$Q2181,$AB2182)),0.03,INDEX(FX_Input,#REF!,#REF!))</f>
        <v>0.03</v>
      </c>
      <c r="J2182" cm="1">
        <f t="array" ref="J2182">IF(ISBLANK(INDEX(FX_Input,$Q2181,$AB2182)),0.03,INDEX(FX_Input,#REF!,#REF!))</f>
        <v>0.03</v>
      </c>
      <c r="K2182" cm="1">
        <f t="array" ref="K2182">IF(ISBLANK(INDEX(FX_Input,$Q2181,$AB2182)),0.03,INDEX(FX_Input,#REF!,AC2182))</f>
        <v>0.03</v>
      </c>
      <c r="L2182" cm="1">
        <f t="array" ref="L2182">IF(ISBLANK(INDEX(FX_Input,$Q2181,$AB2182)),0.03,INDEX(FX_Input,#REF!,AD2182))</f>
        <v>0.03</v>
      </c>
      <c r="M2182" cm="1">
        <f t="array" ref="M2182">IF(ISBLANK(INDEX(FX_Input,$Q2181,$AB2182)),0.03,INDEX(FX_Input,#REF!,#REF!))</f>
        <v>0.03</v>
      </c>
      <c r="N2182" cm="1">
        <f t="array" ref="N2182">IF(ISBLANK(INDEX(FX_Input,$Q2181,$AB2182)),0.03,INDEX(FX_Input,AC2181,#REF!))</f>
        <v>0.03</v>
      </c>
      <c r="O2182" cm="1">
        <f t="array" ref="O2182">IF(ISBLANK(INDEX(FX_Input,$Q2181,$AB2182)),0.03,INDEX(FX_Input,AD2181,#REF!))</f>
        <v>0.03</v>
      </c>
      <c r="AB2182">
        <v>15</v>
      </c>
    </row>
    <row r="2183" spans="1:32" ht="17.149999999999999" x14ac:dyDescent="0.55000000000000004">
      <c r="B2183" t="str">
        <f>B2182</f>
        <v>Portland</v>
      </c>
      <c r="C2183" t="s">
        <v>565</v>
      </c>
      <c r="D2183" cm="1">
        <f t="array" ref="D2183">IF(ISBLANK(INDEX(FX_Input,$Q2181,$AB2183)),-0.03,INDEX(FX_Input,Q2181,AB2183))</f>
        <v>-0.03</v>
      </c>
      <c r="E2183" cm="1">
        <f t="array" ref="E2183">IF(ISBLANK(INDEX(FX_Input,$Q2181,$AB2183)),-0.03,INDEX(FX_Input,R2181,#REF!))</f>
        <v>-0.03</v>
      </c>
      <c r="F2183" cm="1">
        <f t="array" ref="F2183">IF(ISBLANK(INDEX(FX_Input,$Q2181,$AB2183)),-0.03,INDEX(FX_Input,S2181,#REF!))</f>
        <v>-0.03</v>
      </c>
      <c r="G2183" cm="1">
        <f t="array" ref="G2183">IF(ISBLANK(INDEX(FX_Input,$Q2181,$AB2183)),-0.03,INDEX(FX_Input,AB2181,#REF!))</f>
        <v>-0.03</v>
      </c>
      <c r="H2183" cm="1">
        <f t="array" ref="H2183">IF(ISBLANK(INDEX(FX_Input,$Q2181,$AB2183)),-0.03,INDEX(FX_Input,#REF!,#REF!))</f>
        <v>-0.03</v>
      </c>
      <c r="I2183" cm="1">
        <f t="array" ref="I2183">IF(ISBLANK(INDEX(FX_Input,$Q2181,$AB2183)),-0.03,INDEX(FX_Input,#REF!,#REF!))</f>
        <v>-0.03</v>
      </c>
      <c r="J2183" cm="1">
        <f t="array" ref="J2183">IF(ISBLANK(INDEX(FX_Input,$Q2181,$AB2183)),-0.03,INDEX(FX_Input,#REF!,#REF!))</f>
        <v>-0.03</v>
      </c>
      <c r="K2183" cm="1">
        <f t="array" ref="K2183">IF(ISBLANK(INDEX(FX_Input,$Q2181,$AB2183)),-0.03,INDEX(FX_Input,#REF!,AC2183))</f>
        <v>-0.03</v>
      </c>
      <c r="L2183" cm="1">
        <f t="array" ref="L2183">IF(ISBLANK(INDEX(FX_Input,$Q2181,$AB2183)),-0.03,INDEX(FX_Input,#REF!,AD2183))</f>
        <v>-0.03</v>
      </c>
      <c r="M2183" cm="1">
        <f t="array" ref="M2183">IF(ISBLANK(INDEX(FX_Input,$Q2181,$AB2183)),-0.03,INDEX(FX_Input,#REF!,#REF!))</f>
        <v>-0.03</v>
      </c>
      <c r="N2183" cm="1">
        <f t="array" ref="N2183">IF(ISBLANK(INDEX(FX_Input,$Q2181,$AB2183)),-0.03,INDEX(FX_Input,AC2181,#REF!))</f>
        <v>-0.03</v>
      </c>
      <c r="O2183" cm="1">
        <f t="array" ref="O2183">IF(ISBLANK(INDEX(FX_Input,$Q2181,$AB2183)),-0.03,INDEX(FX_Input,AD2181,#REF!))</f>
        <v>-0.03</v>
      </c>
      <c r="AB2183">
        <v>16</v>
      </c>
    </row>
    <row r="2184" spans="1:32" x14ac:dyDescent="0.4">
      <c r="B2184" t="str">
        <f t="shared" ref="B2184:B2185" si="7202">B2183</f>
        <v>Portland</v>
      </c>
      <c r="C2184" s="66" t="s">
        <v>567</v>
      </c>
      <c r="D2184" t="str" cm="1">
        <f t="array" ref="D2184">INDEX(FX_Multi,$AD2184,D$3)</f>
        <v>Jet kerosene</v>
      </c>
      <c r="E2184" t="str" cm="1">
        <f t="array" ref="E2184">INDEX(FX_Multi,$AD2184,E$3)</f>
        <v>Jet kerosene</v>
      </c>
      <c r="F2184" t="str" cm="1">
        <f t="array" ref="F2184">INDEX(FX_Multi,$AD2184,F$3)</f>
        <v>Jet kerosene</v>
      </c>
      <c r="G2184" t="str" cm="1">
        <f t="array" ref="G2184">INDEX(FX_Multi,$AD2184,G$3)</f>
        <v>Jet kerosene</v>
      </c>
      <c r="H2184" t="str" cm="1">
        <f t="array" ref="H2184">INDEX(FX_Multi,$AD2184,H$3)</f>
        <v>Jet kerosene</v>
      </c>
      <c r="I2184" t="str" cm="1">
        <f t="array" ref="I2184">INDEX(FX_Multi,$AD2184,I$3)</f>
        <v>Jet kerosene</v>
      </c>
      <c r="J2184" t="str" cm="1">
        <f t="array" ref="J2184">INDEX(FX_Multi,$AD2184,J$3)</f>
        <v>Jet kerosene</v>
      </c>
      <c r="K2184" t="str" cm="1">
        <f t="array" ref="K2184">INDEX(FX_Multi,$AD2184,K$3)</f>
        <v>Jet kerosene</v>
      </c>
      <c r="L2184" t="str" cm="1">
        <f t="array" ref="L2184">INDEX(FX_Multi,$AD2184,L$3)</f>
        <v>Jet kerosene</v>
      </c>
      <c r="M2184" t="str" cm="1">
        <f t="array" ref="M2184">INDEX(FX_Multi,$AD2184,M$3)</f>
        <v>Jet kerosene</v>
      </c>
      <c r="N2184" t="str" cm="1">
        <f t="array" ref="N2184">INDEX(FX_Multi,$AD2184,N$3)</f>
        <v>Jet kerosene</v>
      </c>
      <c r="O2184" t="str" cm="1">
        <f t="array" ref="O2184">INDEX(FX_Multi,$AD2184,O$3)</f>
        <v>Jet kerosene</v>
      </c>
      <c r="AC2184">
        <v>1</v>
      </c>
      <c r="AD2184">
        <f>AD2181</f>
        <v>897</v>
      </c>
      <c r="AE2184">
        <v>1</v>
      </c>
      <c r="AF2184">
        <f>AF2181</f>
        <v>897</v>
      </c>
    </row>
    <row r="2185" spans="1:32" x14ac:dyDescent="0.4">
      <c r="B2185" t="str">
        <f t="shared" si="7202"/>
        <v>Portland</v>
      </c>
      <c r="C2185" s="66" t="s">
        <v>566</v>
      </c>
      <c r="D2185" t="str" cm="1">
        <f t="array" ref="D2185">INDEX(FX_Multi,$AD2185,D$3)</f>
        <v>Select Pet Stock</v>
      </c>
      <c r="E2185" t="str" cm="1">
        <f t="array" ref="E2185">INDEX(FX_Multi,$AD2185,E$3)</f>
        <v>Select Pet Stock</v>
      </c>
      <c r="F2185" t="str" cm="1">
        <f t="array" ref="F2185">INDEX(FX_Multi,$AD2185,F$3)</f>
        <v>Select Pet Stock</v>
      </c>
      <c r="G2185" t="str" cm="1">
        <f t="array" ref="G2185">INDEX(FX_Multi,$AD2185,G$3)</f>
        <v>Select Pet Stock</v>
      </c>
      <c r="H2185" t="str" cm="1">
        <f t="array" ref="H2185">INDEX(FX_Multi,$AD2185,H$3)</f>
        <v>Select Pet Stock</v>
      </c>
      <c r="I2185" t="str" cm="1">
        <f t="array" ref="I2185">INDEX(FX_Multi,$AD2185,I$3)</f>
        <v>Select Pet Stock</v>
      </c>
      <c r="J2185" t="str" cm="1">
        <f t="array" ref="J2185">INDEX(FX_Multi,$AD2185,J$3)</f>
        <v>Select Pet Stock</v>
      </c>
      <c r="K2185" t="str" cm="1">
        <f t="array" ref="K2185">INDEX(FX_Multi,$AD2185,K$3)</f>
        <v>Select Pet Stock</v>
      </c>
      <c r="L2185" t="str" cm="1">
        <f t="array" ref="L2185">INDEX(FX_Multi,$AD2185,L$3)</f>
        <v>Select Pet Stock</v>
      </c>
      <c r="M2185" t="str" cm="1">
        <f t="array" ref="M2185">INDEX(FX_Multi,$AD2185,M$3)</f>
        <v>Select Pet Stock</v>
      </c>
      <c r="N2185" t="str" cm="1">
        <f t="array" ref="N2185">INDEX(FX_Multi,$AD2185,N$3)</f>
        <v>Select Pet Stock</v>
      </c>
      <c r="O2185" t="str" cm="1">
        <f t="array" ref="O2185">INDEX(FX_Multi,$AD2185,O$3)</f>
        <v>Select Pet Stock</v>
      </c>
      <c r="AC2185">
        <v>1</v>
      </c>
      <c r="AD2185">
        <f>AD2184+2</f>
        <v>899</v>
      </c>
      <c r="AE2185">
        <v>1</v>
      </c>
      <c r="AF2185">
        <f>AF2184+3</f>
        <v>900</v>
      </c>
    </row>
    <row r="2186" spans="1:32" x14ac:dyDescent="0.4">
      <c r="B2186" t="str">
        <f>B2182</f>
        <v>Portland</v>
      </c>
      <c r="C2186" s="66" t="s">
        <v>568</v>
      </c>
      <c r="D2186" cm="1">
        <f t="array" ref="D2186">INDEX(FX_Multi,$AD2186,D$3)</f>
        <v>0</v>
      </c>
      <c r="E2186" cm="1">
        <f t="array" ref="E2186">INDEX(FX_Multi,$AD2186,E$3)</f>
        <v>0</v>
      </c>
      <c r="F2186" cm="1">
        <f t="array" ref="F2186">INDEX(FX_Multi,$AD2186,F$3)</f>
        <v>0</v>
      </c>
      <c r="G2186" cm="1">
        <f t="array" ref="G2186">INDEX(FX_Multi,$AD2186,G$3)</f>
        <v>0</v>
      </c>
      <c r="H2186" cm="1">
        <f t="array" ref="H2186">INDEX(FX_Multi,$AD2186,H$3)</f>
        <v>0</v>
      </c>
      <c r="I2186" cm="1">
        <f t="array" ref="I2186">INDEX(FX_Multi,$AD2186,I$3)</f>
        <v>0</v>
      </c>
      <c r="J2186" cm="1">
        <f t="array" ref="J2186">INDEX(FX_Multi,$AD2186,J$3)</f>
        <v>0</v>
      </c>
      <c r="K2186" cm="1">
        <f t="array" ref="K2186">INDEX(FX_Multi,$AD2186,K$3)</f>
        <v>0</v>
      </c>
      <c r="L2186" cm="1">
        <f t="array" ref="L2186">INDEX(FX_Multi,$AD2186,L$3)</f>
        <v>0</v>
      </c>
      <c r="M2186" cm="1">
        <f t="array" ref="M2186">INDEX(FX_Multi,$AD2186,M$3)</f>
        <v>0</v>
      </c>
      <c r="N2186" cm="1">
        <f t="array" ref="N2186">INDEX(FX_Multi,$AD2186,N$3)</f>
        <v>0</v>
      </c>
      <c r="O2186" cm="1">
        <f t="array" ref="O2186">INDEX(FX_Multi,$AD2186,O$3)</f>
        <v>0</v>
      </c>
      <c r="AC2186">
        <v>1</v>
      </c>
      <c r="AD2186">
        <f>AD2185-1</f>
        <v>898</v>
      </c>
      <c r="AE2186">
        <v>1</v>
      </c>
      <c r="AF2186">
        <f>AF2184+1</f>
        <v>898</v>
      </c>
    </row>
    <row r="2187" spans="1:32" x14ac:dyDescent="0.4">
      <c r="B2187" t="str">
        <f t="shared" ref="B2187:B2191" si="7203">B2186</f>
        <v>Portland</v>
      </c>
      <c r="C2187" s="66" t="s">
        <v>569</v>
      </c>
      <c r="D2187" cm="1">
        <f t="array" ref="D2187">INDEX(FX_Multi,$AD2187,D$3)</f>
        <v>0</v>
      </c>
      <c r="E2187" cm="1">
        <f t="array" ref="E2187">INDEX(FX_Multi,$AD2187,E$3)</f>
        <v>0</v>
      </c>
      <c r="F2187" cm="1">
        <f t="array" ref="F2187">INDEX(FX_Multi,$AD2187,F$3)</f>
        <v>0</v>
      </c>
      <c r="G2187" cm="1">
        <f t="array" ref="G2187">INDEX(FX_Multi,$AD2187,G$3)</f>
        <v>0</v>
      </c>
      <c r="H2187" cm="1">
        <f t="array" ref="H2187">INDEX(FX_Multi,$AD2187,H$3)</f>
        <v>0</v>
      </c>
      <c r="I2187" cm="1">
        <f t="array" ref="I2187">INDEX(FX_Multi,$AD2187,I$3)</f>
        <v>0</v>
      </c>
      <c r="J2187" cm="1">
        <f t="array" ref="J2187">INDEX(FX_Multi,$AD2187,J$3)</f>
        <v>0</v>
      </c>
      <c r="K2187" cm="1">
        <f t="array" ref="K2187">INDEX(FX_Multi,$AD2187,K$3)</f>
        <v>0</v>
      </c>
      <c r="L2187" cm="1">
        <f t="array" ref="L2187">INDEX(FX_Multi,$AD2187,L$3)</f>
        <v>0</v>
      </c>
      <c r="M2187" cm="1">
        <f t="array" ref="M2187">INDEX(FX_Multi,$AD2187,M$3)</f>
        <v>0</v>
      </c>
      <c r="N2187" cm="1">
        <f t="array" ref="N2187">INDEX(FX_Multi,$AD2187,N$3)</f>
        <v>0</v>
      </c>
      <c r="O2187" cm="1">
        <f t="array" ref="O2187">INDEX(FX_Multi,$AD2187,O$3)</f>
        <v>0</v>
      </c>
      <c r="AC2187">
        <v>1</v>
      </c>
      <c r="AD2187">
        <f>AD2186+2</f>
        <v>900</v>
      </c>
      <c r="AE2187">
        <v>1</v>
      </c>
      <c r="AF2187">
        <f>AF2185</f>
        <v>900</v>
      </c>
    </row>
    <row r="2188" spans="1:32" ht="17.149999999999999" x14ac:dyDescent="0.55000000000000004">
      <c r="B2188" t="str">
        <f t="shared" si="7203"/>
        <v>Portland</v>
      </c>
      <c r="C2188" t="s">
        <v>570</v>
      </c>
      <c r="D2188" cm="1">
        <f t="array" ref="D2188">INDEX(FX_Multi,$AD2188,D$3)</f>
        <v>1</v>
      </c>
      <c r="E2188" cm="1">
        <f t="array" ref="E2188">INDEX(FX_Multi,$AD2188,E$3)</f>
        <v>1</v>
      </c>
      <c r="F2188" cm="1">
        <f t="array" ref="F2188">INDEX(FX_Multi,$AD2188,F$3)</f>
        <v>1</v>
      </c>
      <c r="G2188" cm="1">
        <f t="array" ref="G2188">INDEX(FX_Multi,$AD2188,G$3)</f>
        <v>1</v>
      </c>
      <c r="H2188" cm="1">
        <f t="array" ref="H2188">INDEX(FX_Multi,$AD2188,H$3)</f>
        <v>1</v>
      </c>
      <c r="I2188" cm="1">
        <f t="array" ref="I2188">INDEX(FX_Multi,$AD2188,I$3)</f>
        <v>1</v>
      </c>
      <c r="J2188" cm="1">
        <f t="array" ref="J2188">INDEX(FX_Multi,$AD2188,J$3)</f>
        <v>1</v>
      </c>
      <c r="K2188" cm="1">
        <f t="array" ref="K2188">INDEX(FX_Multi,$AD2188,K$3)</f>
        <v>1</v>
      </c>
      <c r="L2188" cm="1">
        <f t="array" ref="L2188">INDEX(FX_Multi,$AD2188,L$3)</f>
        <v>1</v>
      </c>
      <c r="M2188" cm="1">
        <f t="array" ref="M2188">INDEX(FX_Multi,$AD2188,M$3)</f>
        <v>1</v>
      </c>
      <c r="N2188" cm="1">
        <f t="array" ref="N2188">INDEX(FX_Multi,$AD2188,N$3)</f>
        <v>1</v>
      </c>
      <c r="O2188" cm="1">
        <f t="array" ref="O2188">INDEX(FX_Multi,$AD2188,O$3)</f>
        <v>1</v>
      </c>
      <c r="AC2188">
        <v>1</v>
      </c>
      <c r="AD2188">
        <f>AD2187+6</f>
        <v>906</v>
      </c>
      <c r="AE2188">
        <v>1</v>
      </c>
      <c r="AF2188">
        <f>AF2184+9</f>
        <v>906</v>
      </c>
    </row>
    <row r="2189" spans="1:32" ht="17.149999999999999" x14ac:dyDescent="0.55000000000000004">
      <c r="B2189" t="str">
        <f t="shared" si="7203"/>
        <v>Portland</v>
      </c>
      <c r="C2189" t="s">
        <v>571</v>
      </c>
      <c r="D2189" cm="1">
        <f t="array" ref="D2189">INDEX(FX_Multi,$AD2189,D$3)</f>
        <v>162</v>
      </c>
      <c r="E2189" cm="1">
        <f t="array" ref="E2189">INDEX(FX_Multi,$AD2189,E$3)</f>
        <v>162</v>
      </c>
      <c r="F2189" cm="1">
        <f t="array" ref="F2189">INDEX(FX_Multi,$AD2189,F$3)</f>
        <v>162</v>
      </c>
      <c r="G2189" cm="1">
        <f t="array" ref="G2189">INDEX(FX_Multi,$AD2189,G$3)</f>
        <v>162</v>
      </c>
      <c r="H2189" cm="1">
        <f t="array" ref="H2189">INDEX(FX_Multi,$AD2189,H$3)</f>
        <v>162</v>
      </c>
      <c r="I2189" cm="1">
        <f t="array" ref="I2189">INDEX(FX_Multi,$AD2189,I$3)</f>
        <v>162</v>
      </c>
      <c r="J2189" cm="1">
        <f t="array" ref="J2189">INDEX(FX_Multi,$AD2189,J$3)</f>
        <v>162</v>
      </c>
      <c r="K2189" cm="1">
        <f t="array" ref="K2189">INDEX(FX_Multi,$AD2189,K$3)</f>
        <v>162</v>
      </c>
      <c r="L2189" cm="1">
        <f t="array" ref="L2189">INDEX(FX_Multi,$AD2189,L$3)</f>
        <v>162</v>
      </c>
      <c r="M2189" cm="1">
        <f t="array" ref="M2189">INDEX(FX_Multi,$AD2189,M$3)</f>
        <v>162</v>
      </c>
      <c r="N2189" cm="1">
        <f t="array" ref="N2189">INDEX(FX_Multi,$AD2189,N$3)</f>
        <v>162</v>
      </c>
      <c r="O2189" cm="1">
        <f t="array" ref="O2189">INDEX(FX_Multi,$AD2189,O$3)</f>
        <v>162</v>
      </c>
      <c r="AC2189">
        <v>1</v>
      </c>
      <c r="AD2189">
        <f>AD2188-3</f>
        <v>903</v>
      </c>
      <c r="AE2189">
        <v>1</v>
      </c>
      <c r="AF2189">
        <f>AF2184+6</f>
        <v>903</v>
      </c>
    </row>
    <row r="2190" spans="1:32" ht="17.149999999999999" x14ac:dyDescent="0.55000000000000004">
      <c r="B2190" t="str">
        <f t="shared" si="7203"/>
        <v>Portland</v>
      </c>
      <c r="C2190" t="s">
        <v>572</v>
      </c>
      <c r="D2190" cm="1">
        <f t="array" ref="D2190">INDEX(FX_Multi,$AD2190,D$3)</f>
        <v>0</v>
      </c>
      <c r="E2190" cm="1">
        <f t="array" ref="E2190">INDEX(FX_Multi,$AD2190,E$3)</f>
        <v>0</v>
      </c>
      <c r="F2190" cm="1">
        <f t="array" ref="F2190">INDEX(FX_Multi,$AD2190,F$3)</f>
        <v>0</v>
      </c>
      <c r="G2190" cm="1">
        <f t="array" ref="G2190">INDEX(FX_Multi,$AD2190,G$3)</f>
        <v>0</v>
      </c>
      <c r="H2190" cm="1">
        <f t="array" ref="H2190">INDEX(FX_Multi,$AD2190,H$3)</f>
        <v>0</v>
      </c>
      <c r="I2190" cm="1">
        <f t="array" ref="I2190">INDEX(FX_Multi,$AD2190,I$3)</f>
        <v>0</v>
      </c>
      <c r="J2190" cm="1">
        <f t="array" ref="J2190">INDEX(FX_Multi,$AD2190,J$3)</f>
        <v>0</v>
      </c>
      <c r="K2190" cm="1">
        <f t="array" ref="K2190">INDEX(FX_Multi,$AD2190,K$3)</f>
        <v>0</v>
      </c>
      <c r="L2190" cm="1">
        <f t="array" ref="L2190">INDEX(FX_Multi,$AD2190,L$3)</f>
        <v>0</v>
      </c>
      <c r="M2190" cm="1">
        <f t="array" ref="M2190">INDEX(FX_Multi,$AD2190,M$3)</f>
        <v>0</v>
      </c>
      <c r="N2190" cm="1">
        <f t="array" ref="N2190">INDEX(FX_Multi,$AD2190,N$3)</f>
        <v>0</v>
      </c>
      <c r="O2190" cm="1">
        <f t="array" ref="O2190">INDEX(FX_Multi,$AD2190,O$3)</f>
        <v>0</v>
      </c>
      <c r="AC2190">
        <v>1</v>
      </c>
      <c r="AD2190">
        <f>AD2189+4</f>
        <v>907</v>
      </c>
      <c r="AE2190">
        <v>1</v>
      </c>
      <c r="AF2190">
        <f>AF2184+10</f>
        <v>907</v>
      </c>
    </row>
    <row r="2191" spans="1:32" ht="17.149999999999999" x14ac:dyDescent="0.55000000000000004">
      <c r="B2191" t="str">
        <f t="shared" si="7203"/>
        <v>Portland</v>
      </c>
      <c r="C2191" t="s">
        <v>573</v>
      </c>
      <c r="D2191" cm="1">
        <f t="array" ref="D2191">INDEX(FX_Multi,$AD2191,D$3)</f>
        <v>0</v>
      </c>
      <c r="E2191" cm="1">
        <f t="array" ref="E2191">INDEX(FX_Multi,$AD2191,E$3)</f>
        <v>0</v>
      </c>
      <c r="F2191" cm="1">
        <f t="array" ref="F2191">INDEX(FX_Multi,$AD2191,F$3)</f>
        <v>0</v>
      </c>
      <c r="G2191" cm="1">
        <f t="array" ref="G2191">INDEX(FX_Multi,$AD2191,G$3)</f>
        <v>0</v>
      </c>
      <c r="H2191" cm="1">
        <f t="array" ref="H2191">INDEX(FX_Multi,$AD2191,H$3)</f>
        <v>0</v>
      </c>
      <c r="I2191" cm="1">
        <f t="array" ref="I2191">INDEX(FX_Multi,$AD2191,I$3)</f>
        <v>0</v>
      </c>
      <c r="J2191" cm="1">
        <f t="array" ref="J2191">INDEX(FX_Multi,$AD2191,J$3)</f>
        <v>0</v>
      </c>
      <c r="K2191" cm="1">
        <f t="array" ref="K2191">INDEX(FX_Multi,$AD2191,K$3)</f>
        <v>0</v>
      </c>
      <c r="L2191" cm="1">
        <f t="array" ref="L2191">INDEX(FX_Multi,$AD2191,L$3)</f>
        <v>0</v>
      </c>
      <c r="M2191" cm="1">
        <f t="array" ref="M2191">INDEX(FX_Multi,$AD2191,M$3)</f>
        <v>0</v>
      </c>
      <c r="N2191" cm="1">
        <f t="array" ref="N2191">INDEX(FX_Multi,$AD2191,N$3)</f>
        <v>0</v>
      </c>
      <c r="O2191" cm="1">
        <f t="array" ref="O2191">INDEX(FX_Multi,$AD2191,O$3)</f>
        <v>0</v>
      </c>
      <c r="AC2191">
        <v>1</v>
      </c>
      <c r="AD2191">
        <f>AD2190-3</f>
        <v>904</v>
      </c>
      <c r="AE2191">
        <v>1</v>
      </c>
      <c r="AF2191">
        <f>AF2184+7</f>
        <v>904</v>
      </c>
    </row>
    <row r="2192" spans="1:32" ht="17.149999999999999" x14ac:dyDescent="0.55000000000000004">
      <c r="B2192" t="str">
        <f>B2187</f>
        <v>Portland</v>
      </c>
      <c r="C2192" t="s">
        <v>526</v>
      </c>
      <c r="D2192" cm="1">
        <f t="array" ref="D2192">INDEX(FX_Temps,$AF2192,D$3)</f>
        <v>43.899999999999977</v>
      </c>
      <c r="E2192" cm="1">
        <f t="array" ref="E2192">INDEX(FX_Temps,$AF2192,E$3)</f>
        <v>44.700000000000045</v>
      </c>
      <c r="F2192" cm="1">
        <f t="array" ref="F2192">INDEX(FX_Temps,$AF2192,F$3)</f>
        <v>46.100000000000023</v>
      </c>
      <c r="G2192" cm="1">
        <f t="array" ref="G2192">INDEX(FX_Temps,$AF2192,G$3)</f>
        <v>48.599999999999966</v>
      </c>
      <c r="H2192" cm="1">
        <f t="array" ref="H2192">INDEX(FX_Temps,$AF2192,H$3)</f>
        <v>53.149999999999977</v>
      </c>
      <c r="I2192" cm="1">
        <f t="array" ref="I2192">INDEX(FX_Temps,$AF2192,I$3)</f>
        <v>56.950000000000045</v>
      </c>
      <c r="J2192" cm="1">
        <f t="array" ref="J2192">INDEX(FX_Temps,$AF2192,J$3)</f>
        <v>60.449999999999932</v>
      </c>
      <c r="K2192" cm="1">
        <f t="array" ref="K2192">INDEX(FX_Temps,$AF2192,K$3)</f>
        <v>60.899999999999977</v>
      </c>
      <c r="L2192" cm="1">
        <f t="array" ref="L2192">INDEX(FX_Temps,$AF2192,L$3)</f>
        <v>58.600000000000023</v>
      </c>
      <c r="M2192" cm="1">
        <f t="array" ref="M2192">INDEX(FX_Temps,$AF2192,M$3)</f>
        <v>52.649999999999977</v>
      </c>
      <c r="N2192" cm="1">
        <f t="array" ref="N2192">INDEX(FX_Temps,$AF2192,N$3)</f>
        <v>47.100000000000023</v>
      </c>
      <c r="O2192" cm="1">
        <f t="array" ref="O2192">INDEX(FX_Temps,$AF2192,O$3)</f>
        <v>43.600000000000023</v>
      </c>
      <c r="AE2192">
        <v>1</v>
      </c>
      <c r="AF2192">
        <f>AF2184+10</f>
        <v>907</v>
      </c>
    </row>
    <row r="2193" spans="2:32" ht="17.149999999999999" x14ac:dyDescent="0.55000000000000004">
      <c r="B2193" t="str">
        <f t="shared" ref="B2193:B2214" si="7204">B2192</f>
        <v>Portland</v>
      </c>
      <c r="C2193" t="s">
        <v>527</v>
      </c>
      <c r="D2193" cm="1">
        <f t="array" ref="D2193">INDEX(FX_Temps,$AF2193,D$3)</f>
        <v>43.899999999999977</v>
      </c>
      <c r="E2193" cm="1">
        <f t="array" ref="E2193">INDEX(FX_Temps,$AF2193,E$3)</f>
        <v>44.700000000000045</v>
      </c>
      <c r="F2193" cm="1">
        <f t="array" ref="F2193">INDEX(FX_Temps,$AF2193,F$3)</f>
        <v>46.100000000000023</v>
      </c>
      <c r="G2193" cm="1">
        <f t="array" ref="G2193">INDEX(FX_Temps,$AF2193,G$3)</f>
        <v>48.599999999999966</v>
      </c>
      <c r="H2193" cm="1">
        <f t="array" ref="H2193">INDEX(FX_Temps,$AF2193,H$3)</f>
        <v>53.149999999999977</v>
      </c>
      <c r="I2193" cm="1">
        <f t="array" ref="I2193">INDEX(FX_Temps,$AF2193,I$3)</f>
        <v>56.950000000000045</v>
      </c>
      <c r="J2193" cm="1">
        <f t="array" ref="J2193">INDEX(FX_Temps,$AF2193,J$3)</f>
        <v>60.449999999999932</v>
      </c>
      <c r="K2193" cm="1">
        <f t="array" ref="K2193">INDEX(FX_Temps,$AF2193,K$3)</f>
        <v>60.899999999999977</v>
      </c>
      <c r="L2193" cm="1">
        <f t="array" ref="L2193">INDEX(FX_Temps,$AF2193,L$3)</f>
        <v>58.600000000000023</v>
      </c>
      <c r="M2193" cm="1">
        <f t="array" ref="M2193">INDEX(FX_Temps,$AF2193,M$3)</f>
        <v>52.649999999999977</v>
      </c>
      <c r="N2193" cm="1">
        <f t="array" ref="N2193">INDEX(FX_Temps,$AF2193,N$3)</f>
        <v>47.100000000000023</v>
      </c>
      <c r="O2193" cm="1">
        <f t="array" ref="O2193">INDEX(FX_Temps,$AF2193,O$3)</f>
        <v>43.600000000000023</v>
      </c>
      <c r="AE2193">
        <f>AE2192</f>
        <v>1</v>
      </c>
      <c r="AF2193">
        <f>AF2184+11</f>
        <v>908</v>
      </c>
    </row>
    <row r="2194" spans="2:32" ht="17.149999999999999" x14ac:dyDescent="0.55000000000000004">
      <c r="B2194" t="str">
        <f t="shared" si="7204"/>
        <v>Portland</v>
      </c>
      <c r="C2194" t="s">
        <v>552</v>
      </c>
      <c r="D2194" cm="1">
        <f t="array" ref="D2194">INDEX(FX_Temps,$AF2194,D$3)</f>
        <v>43.899999999999977</v>
      </c>
      <c r="E2194" cm="1">
        <f t="array" ref="E2194">INDEX(FX_Temps,$AF2194,E$3)</f>
        <v>44.700000000000045</v>
      </c>
      <c r="F2194" cm="1">
        <f t="array" ref="F2194">INDEX(FX_Temps,$AF2194,F$3)</f>
        <v>46.100000000000023</v>
      </c>
      <c r="G2194" cm="1">
        <f t="array" ref="G2194">INDEX(FX_Temps,$AF2194,G$3)</f>
        <v>48.599999999999966</v>
      </c>
      <c r="H2194" cm="1">
        <f t="array" ref="H2194">INDEX(FX_Temps,$AF2194,H$3)</f>
        <v>53.149999999999977</v>
      </c>
      <c r="I2194" cm="1">
        <f t="array" ref="I2194">INDEX(FX_Temps,$AF2194,I$3)</f>
        <v>56.950000000000045</v>
      </c>
      <c r="J2194" cm="1">
        <f t="array" ref="J2194">INDEX(FX_Temps,$AF2194,J$3)</f>
        <v>60.449999999999932</v>
      </c>
      <c r="K2194" cm="1">
        <f t="array" ref="K2194">INDEX(FX_Temps,$AF2194,K$3)</f>
        <v>60.899999999999977</v>
      </c>
      <c r="L2194" cm="1">
        <f t="array" ref="L2194">INDEX(FX_Temps,$AF2194,L$3)</f>
        <v>58.600000000000023</v>
      </c>
      <c r="M2194" cm="1">
        <f t="array" ref="M2194">INDEX(FX_Temps,$AF2194,M$3)</f>
        <v>52.649999999999977</v>
      </c>
      <c r="N2194" cm="1">
        <f t="array" ref="N2194">INDEX(FX_Temps,$AF2194,N$3)</f>
        <v>47.100000000000023</v>
      </c>
      <c r="O2194" cm="1">
        <f t="array" ref="O2194">INDEX(FX_Temps,$AF2194,O$3)</f>
        <v>43.600000000000023</v>
      </c>
      <c r="AE2194">
        <f>AE2193</f>
        <v>1</v>
      </c>
      <c r="AF2194">
        <f>AF2184+13</f>
        <v>910</v>
      </c>
    </row>
    <row r="2195" spans="2:32" ht="17.149999999999999" x14ac:dyDescent="0.55000000000000004">
      <c r="B2195" t="str">
        <f t="shared" si="7204"/>
        <v>Portland</v>
      </c>
      <c r="C2195" t="s">
        <v>574</v>
      </c>
      <c r="D2195" cm="1">
        <f t="array" ref="D2195">IFERROR(IF(D2185="Chemical",(10^(INDEX(Antoines,MATCH(D2184,Antoine_Name,0),2)-INDEX(Antoines,MATCH(D2184,Antoine_Name,0),3)/(INDEX(Antoines,MATCH(D2184,Antoine_Name,0),4)+(D2192-32)*5/9)))*14.7/760,IF(D2185="Crude Oil",EXP((2799/(D2192+459.6)-2.227)*LOG10(INDEX(FX_Input,Q$5,D$3*$Z$5+$AA$5))-(7261/(D2192+459.6))+12.82),IF(D2185="Refined Petroleum Stock",EXP((0.7553-(413/(D2192+459.6)))*(INDEX(FX_Input,Q$5,D$3*$Z$5+$AA$5-1)^0.5)*LOG10(INDEX(FX_Input,Q$5,D$3*$Z$5+$AA$5))-(1.854-(1042/(D2192+459.6)))*(INDEX(FX_Input,Q$5,D$3*$Z$5+$AA$5-1)^0.5)+((2416/(D2192+459.6)-2.013)*LOG10(INDEX(FX_Input,Q$5,D$3*$Z$5+$AA$5)))-(8742/(D2192+459.6))+15.64),EXP(INDEX(Antoines,MATCH(D2184,Antoine_Name,0),2)-INDEX(Antoines,MATCH(D2184,Antoine_Name,0),3)/(D2192+459.6))))),0)</f>
        <v>4.739577185808354E-3</v>
      </c>
      <c r="E2195" cm="1">
        <f t="array" ref="E2195">IFERROR(IF(E2185="Chemical",(10^(INDEX(Antoines,MATCH(E2184,Antoine_Name,0),2)-INDEX(Antoines,MATCH(E2184,Antoine_Name,0),3)/(INDEX(Antoines,MATCH(E2184,Antoine_Name,0),4)+(E2192-32)*5/9)))*14.7/760,IF(E2185="Crude Oil",EXP((2799/(E2192+459.6)-2.227)*LOG10(INDEX(FX_Input,R$5,E$3*$Z$5+$AA$5))-(7261/(E2192+459.6))+12.82),IF(E2185="Refined Petroleum Stock",EXP((0.7553-(413/(E2192+459.6)))*(INDEX(FX_Input,R$5,E$3*$Z$5+$AA$5-1)^0.5)*LOG10(INDEX(FX_Input,R$5,E$3*$Z$5+$AA$5))-(1.854-(1042/(E2192+459.6)))*(INDEX(FX_Input,R$5,E$3*$Z$5+$AA$5-1)^0.5)+((2416/(E2192+459.6)-2.013)*LOG10(INDEX(FX_Input,R$5,E$3*$Z$5+$AA$5)))-(8742/(E2192+459.6))+15.64),EXP(INDEX(Antoines,MATCH(E2184,Antoine_Name,0),2)-INDEX(Antoines,MATCH(E2184,Antoine_Name,0),3)/(E2192+459.6))))),0)</f>
        <v>4.8748667780818778E-3</v>
      </c>
      <c r="F2195" cm="1">
        <f t="array" ref="F2195">IFERROR(IF(F2185="Chemical",(10^(INDEX(Antoines,MATCH(F2184,Antoine_Name,0),2)-INDEX(Antoines,MATCH(F2184,Antoine_Name,0),3)/(INDEX(Antoines,MATCH(F2184,Antoine_Name,0),4)+(F2192-32)*5/9)))*14.7/760,IF(F2185="Crude Oil",EXP((2799/(F2192+459.6)-2.227)*LOG10(INDEX(FX_Input,S$5,F$3*$Z$5+$AA$5))-(7261/(F2192+459.6))+12.82),IF(F2185="Refined Petroleum Stock",EXP((0.7553-(413/(F2192+459.6)))*(INDEX(FX_Input,S$5,F$3*$Z$5+$AA$5-1)^0.5)*LOG10(INDEX(FX_Input,S$5,F$3*$Z$5+$AA$5))-(1.854-(1042/(F2192+459.6)))*(INDEX(FX_Input,S$5,F$3*$Z$5+$AA$5-1)^0.5)+((2416/(F2192+459.6)-2.013)*LOG10(INDEX(FX_Input,S$5,F$3*$Z$5+$AA$5)))-(8742/(F2192+459.6))+15.64),EXP(INDEX(Antoines,MATCH(F2184,Antoine_Name,0),2)-INDEX(Antoines,MATCH(F2184,Antoine_Name,0),3)/(F2192+459.6))))),0)</f>
        <v>5.119885034186122E-3</v>
      </c>
      <c r="G2195" cm="1">
        <f t="array" ref="G2195">IFERROR(IF(G2185="Chemical",(10^(INDEX(Antoines,MATCH(G2184,Antoine_Name,0),2)-INDEX(Antoines,MATCH(G2184,Antoine_Name,0),3)/(INDEX(Antoines,MATCH(G2184,Antoine_Name,0),4)+(G2192-32)*5/9)))*14.7/760,IF(G2185="Crude Oil",EXP((2799/(G2192+459.6)-2.227)*LOG10(INDEX(FX_Input,T$5,G$3*$Z$5+$AA$5))-(7261/(G2192+459.6))+12.82),IF(G2185="Refined Petroleum Stock",EXP((0.7553-(413/(G2192+459.6)))*(INDEX(FX_Input,T$5,G$3*$Z$5+$AA$5-1)^0.5)*LOG10(INDEX(FX_Input,T$5,G$3*$Z$5+$AA$5))-(1.854-(1042/(G2192+459.6)))*(INDEX(FX_Input,T$5,G$3*$Z$5+$AA$5-1)^0.5)+((2416/(G2192+459.6)-2.013)*LOG10(INDEX(FX_Input,T$5,G$3*$Z$5+$AA$5)))-(8742/(G2192+459.6))+15.64),EXP(INDEX(Antoines,MATCH(G2184,Antoine_Name,0),2)-INDEX(Antoines,MATCH(G2184,Antoine_Name,0),3)/(G2192+459.6))))),0)</f>
        <v>5.5846958573521795E-3</v>
      </c>
      <c r="H2195" cm="1">
        <f t="array" ref="H2195">IFERROR(IF(H2185="Chemical",(10^(INDEX(Antoines,MATCH(H2184,Antoine_Name,0),2)-INDEX(Antoines,MATCH(H2184,Antoine_Name,0),3)/(INDEX(Antoines,MATCH(H2184,Antoine_Name,0),4)+(H2192-32)*5/9)))*14.7/760,IF(H2185="Crude Oil",EXP((2799/(H2192+459.6)-2.227)*LOG10(INDEX(FX_Input,U$5,H$3*$Z$5+$AA$5))-(7261/(H2192+459.6))+12.82),IF(H2185="Refined Petroleum Stock",EXP((0.7553-(413/(H2192+459.6)))*(INDEX(FX_Input,U$5,H$3*$Z$5+$AA$5-1)^0.5)*LOG10(INDEX(FX_Input,U$5,H$3*$Z$5+$AA$5))-(1.854-(1042/(H2192+459.6)))*(INDEX(FX_Input,U$5,H$3*$Z$5+$AA$5-1)^0.5)+((2416/(H2192+459.6)-2.013)*LOG10(INDEX(FX_Input,U$5,H$3*$Z$5+$AA$5)))-(8742/(H2192+459.6))+15.64),EXP(INDEX(Antoines,MATCH(H2184,Antoine_Name,0),2)-INDEX(Antoines,MATCH(H2184,Antoine_Name,0),3)/(H2192+459.6))))),0)</f>
        <v>6.5274070972739821E-3</v>
      </c>
      <c r="I2195" cm="1">
        <f t="array" ref="I2195">IFERROR(IF(I2185="Chemical",(10^(INDEX(Antoines,MATCH(I2184,Antoine_Name,0),2)-INDEX(Antoines,MATCH(I2184,Antoine_Name,0),3)/(INDEX(Antoines,MATCH(I2184,Antoine_Name,0),4)+(I2192-32)*5/9)))*14.7/760,IF(I2185="Crude Oil",EXP((2799/(I2192+459.6)-2.227)*LOG10(INDEX(FX_Input,V$5,I$3*$Z$5+$AA$5))-(7261/(I2192+459.6))+12.82),IF(I2185="Refined Petroleum Stock",EXP((0.7553-(413/(I2192+459.6)))*(INDEX(FX_Input,V$5,I$3*$Z$5+$AA$5-1)^0.5)*LOG10(INDEX(FX_Input,V$5,I$3*$Z$5+$AA$5))-(1.854-(1042/(I2192+459.6)))*(INDEX(FX_Input,V$5,I$3*$Z$5+$AA$5-1)^0.5)+((2416/(I2192+459.6)-2.013)*LOG10(INDEX(FX_Input,V$5,I$3*$Z$5+$AA$5)))-(8742/(I2192+459.6))+15.64),EXP(INDEX(Antoines,MATCH(I2184,Antoine_Name,0),2)-INDEX(Antoines,MATCH(I2184,Antoine_Name,0),3)/(I2192+459.6))))),0)</f>
        <v>7.4199539958878279E-3</v>
      </c>
      <c r="J2195" cm="1">
        <f t="array" ref="J2195">IFERROR(IF(J2185="Chemical",(10^(INDEX(Antoines,MATCH(J2184,Antoine_Name,0),2)-INDEX(Antoines,MATCH(J2184,Antoine_Name,0),3)/(INDEX(Antoines,MATCH(J2184,Antoine_Name,0),4)+(J2192-32)*5/9)))*14.7/760,IF(J2185="Crude Oil",EXP((2799/(J2192+459.6)-2.227)*LOG10(INDEX(FX_Input,W$5,J$3*$Z$5+$AA$5))-(7261/(J2192+459.6))+12.82),IF(J2185="Refined Petroleum Stock",EXP((0.7553-(413/(J2192+459.6)))*(INDEX(FX_Input,W$5,J$3*$Z$5+$AA$5-1)^0.5)*LOG10(INDEX(FX_Input,W$5,J$3*$Z$5+$AA$5))-(1.854-(1042/(J2192+459.6)))*(INDEX(FX_Input,W$5,J$3*$Z$5+$AA$5-1)^0.5)+((2416/(J2192+459.6)-2.013)*LOG10(INDEX(FX_Input,W$5,J$3*$Z$5+$AA$5)))-(8742/(J2192+459.6))+15.64),EXP(INDEX(Antoines,MATCH(J2184,Antoine_Name,0),2)-INDEX(Antoines,MATCH(J2184,Antoine_Name,0),3)/(J2192+459.6))))),0)</f>
        <v>8.3358107202842254E-3</v>
      </c>
      <c r="K2195" cm="1">
        <f t="array" ref="K2195">IFERROR(IF(K2185="Chemical",(10^(INDEX(Antoines,MATCH(K2184,Antoine_Name,0),2)-INDEX(Antoines,MATCH(K2184,Antoine_Name,0),3)/(INDEX(Antoines,MATCH(K2184,Antoine_Name,0),4)+(K2192-32)*5/9)))*14.7/760,IF(K2185="Crude Oil",EXP((2799/(K2192+459.6)-2.227)*LOG10(INDEX(FX_Input,X$5,K$3*$Z$5+$AA$5))-(7261/(K2192+459.6))+12.82),IF(K2185="Refined Petroleum Stock",EXP((0.7553-(413/(K2192+459.6)))*(INDEX(FX_Input,X$5,K$3*$Z$5+$AA$5-1)^0.5)*LOG10(INDEX(FX_Input,X$5,K$3*$Z$5+$AA$5))-(1.854-(1042/(K2192+459.6)))*(INDEX(FX_Input,X$5,K$3*$Z$5+$AA$5-1)^0.5)+((2416/(K2192+459.6)-2.013)*LOG10(INDEX(FX_Input,X$5,K$3*$Z$5+$AA$5)))-(8742/(K2192+459.6))+15.64),EXP(INDEX(Antoines,MATCH(K2184,Antoine_Name,0),2)-INDEX(Antoines,MATCH(K2184,Antoine_Name,0),3)/(K2192+459.6))))),0)</f>
        <v>8.4605262729351115E-3</v>
      </c>
      <c r="L2195" cm="1">
        <f t="array" ref="L2195">IFERROR(IF(L2185="Chemical",(10^(INDEX(Antoines,MATCH(L2184,Antoine_Name,0),2)-INDEX(Antoines,MATCH(L2184,Antoine_Name,0),3)/(INDEX(Antoines,MATCH(L2184,Antoine_Name,0),4)+(L2192-32)*5/9)))*14.7/760,IF(L2185="Crude Oil",EXP((2799/(L2192+459.6)-2.227)*LOG10(INDEX(FX_Input,Y$5,L$3*$Z$5+$AA$5))-(7261/(L2192+459.6))+12.82),IF(L2185="Refined Petroleum Stock",EXP((0.7553-(413/(L2192+459.6)))*(INDEX(FX_Input,Y$5,L$3*$Z$5+$AA$5-1)^0.5)*LOG10(INDEX(FX_Input,Y$5,L$3*$Z$5+$AA$5))-(1.854-(1042/(L2192+459.6)))*(INDEX(FX_Input,Y$5,L$3*$Z$5+$AA$5-1)^0.5)+((2416/(L2192+459.6)-2.013)*LOG10(INDEX(FX_Input,Y$5,L$3*$Z$5+$AA$5)))-(8742/(L2192+459.6))+15.64),EXP(INDEX(Antoines,MATCH(L2184,Antoine_Name,0),2)-INDEX(Antoines,MATCH(L2184,Antoine_Name,0),3)/(L2192+459.6))))),0)</f>
        <v>7.8399882233967533E-3</v>
      </c>
      <c r="M2195" cm="1">
        <f t="array" ref="M2195">IFERROR(IF(M2185="Chemical",(10^(INDEX(Antoines,MATCH(M2184,Antoine_Name,0),2)-INDEX(Antoines,MATCH(M2184,Antoine_Name,0),3)/(INDEX(Antoines,MATCH(M2184,Antoine_Name,0),4)+(M2192-32)*5/9)))*14.7/760,IF(M2185="Crude Oil",EXP((2799/(M2192+459.6)-2.227)*LOG10(INDEX(FX_Input,Z$5,M$3*$Z$5+$AA$5))-(7261/(M2192+459.6))+12.82),IF(M2185="Refined Petroleum Stock",EXP((0.7553-(413/(M2192+459.6)))*(INDEX(FX_Input,Z$5,M$3*$Z$5+$AA$5-1)^0.5)*LOG10(INDEX(FX_Input,Z$5,M$3*$Z$5+$AA$5))-(1.854-(1042/(M2192+459.6)))*(INDEX(FX_Input,Z$5,M$3*$Z$5+$AA$5-1)^0.5)+((2416/(M2192+459.6)-2.013)*LOG10(INDEX(FX_Input,Z$5,M$3*$Z$5+$AA$5)))-(8742/(M2192+459.6))+15.64),EXP(INDEX(Antoines,MATCH(M2184,Antoine_Name,0),2)-INDEX(Antoines,MATCH(M2184,Antoine_Name,0),3)/(M2192+459.6))))),0)</f>
        <v>6.4173462075160911E-3</v>
      </c>
      <c r="N2195" cm="1">
        <f t="array" ref="N2195">IFERROR(IF(N2185="Chemical",(10^(INDEX(Antoines,MATCH(N2184,Antoine_Name,0),2)-INDEX(Antoines,MATCH(N2184,Antoine_Name,0),3)/(INDEX(Antoines,MATCH(N2184,Antoine_Name,0),4)+(N2192-32)*5/9)))*14.7/760,IF(N2185="Crude Oil",EXP((2799/(N2192+459.6)-2.227)*LOG10(INDEX(FX_Input,AA$5,N$3*$Z$5+$AA$5))-(7261/(N2192+459.6))+12.82),IF(N2185="Refined Petroleum Stock",EXP((0.7553-(413/(N2192+459.6)))*(INDEX(FX_Input,AA$5,N$3*$Z$5+$AA$5-1)^0.5)*LOG10(INDEX(FX_Input,AA$5,N$3*$Z$5+$AA$5))-(1.854-(1042/(N2192+459.6)))*(INDEX(FX_Input,AA$5,N$3*$Z$5+$AA$5-1)^0.5)+((2416/(N2192+459.6)-2.013)*LOG10(INDEX(FX_Input,AA$5,N$3*$Z$5+$AA$5)))-(8742/(N2192+459.6))+15.64),EXP(INDEX(Antoines,MATCH(N2184,Antoine_Name,0),2)-INDEX(Antoines,MATCH(N2184,Antoine_Name,0),3)/(N2192+459.6))))),0)</f>
        <v>5.3015226887581056E-3</v>
      </c>
      <c r="O2195" cm="1">
        <f t="array" ref="O2195">IFERROR(IF(O2185="Chemical",(10^(INDEX(Antoines,MATCH(O2184,Antoine_Name,0),2)-INDEX(Antoines,MATCH(O2184,Antoine_Name,0),3)/(INDEX(Antoines,MATCH(O2184,Antoine_Name,0),4)+(O2192-32)*5/9)))*14.7/760,IF(O2185="Crude Oil",EXP((2799/(O2192+459.6)-2.227)*LOG10(INDEX(FX_Input,AB$5,O$3*$Z$5+$AA$5))-(7261/(O2192+459.6))+12.82),IF(O2185="Refined Petroleum Stock",EXP((0.7553-(413/(O2192+459.6)))*(INDEX(FX_Input,AB$5,O$3*$Z$5+$AA$5-1)^0.5)*LOG10(INDEX(FX_Input,AB$5,O$3*$Z$5+$AA$5))-(1.854-(1042/(O2192+459.6)))*(INDEX(FX_Input,AB$5,O$3*$Z$5+$AA$5-1)^0.5)+((2416/(O2192+459.6)-2.013)*LOG10(INDEX(FX_Input,AB$5,O$3*$Z$5+$AA$5)))-(8742/(O2192+459.6))+15.64),EXP(INDEX(Antoines,MATCH(O2184,Antoine_Name,0),2)-INDEX(Antoines,MATCH(O2184,Antoine_Name,0),3)/(O2192+459.6))))),0)</f>
        <v>4.68970903600947E-3</v>
      </c>
    </row>
    <row r="2196" spans="2:32" ht="17.149999999999999" x14ac:dyDescent="0.55000000000000004">
      <c r="B2196" t="str">
        <f t="shared" si="7204"/>
        <v>Portland</v>
      </c>
      <c r="C2196" t="s">
        <v>576</v>
      </c>
      <c r="D2196">
        <f>D2188*D2195</f>
        <v>4.739577185808354E-3</v>
      </c>
      <c r="E2196">
        <f t="shared" ref="E2196:O2196" si="7205">E2188*E2195</f>
        <v>4.8748667780818778E-3</v>
      </c>
      <c r="F2196">
        <f t="shared" si="7205"/>
        <v>5.119885034186122E-3</v>
      </c>
      <c r="G2196">
        <f t="shared" si="7205"/>
        <v>5.5846958573521795E-3</v>
      </c>
      <c r="H2196">
        <f t="shared" si="7205"/>
        <v>6.5274070972739821E-3</v>
      </c>
      <c r="I2196">
        <f t="shared" si="7205"/>
        <v>7.4199539958878279E-3</v>
      </c>
      <c r="J2196">
        <f t="shared" si="7205"/>
        <v>8.3358107202842254E-3</v>
      </c>
      <c r="K2196">
        <f t="shared" si="7205"/>
        <v>8.4605262729351115E-3</v>
      </c>
      <c r="L2196">
        <f t="shared" si="7205"/>
        <v>7.8399882233967533E-3</v>
      </c>
      <c r="M2196">
        <f t="shared" si="7205"/>
        <v>6.4173462075160911E-3</v>
      </c>
      <c r="N2196">
        <f t="shared" si="7205"/>
        <v>5.3015226887581056E-3</v>
      </c>
      <c r="O2196">
        <f t="shared" si="7205"/>
        <v>4.68970903600947E-3</v>
      </c>
    </row>
    <row r="2197" spans="2:32" ht="17.149999999999999" x14ac:dyDescent="0.55000000000000004">
      <c r="B2197" t="str">
        <f t="shared" si="7204"/>
        <v>Portland</v>
      </c>
      <c r="C2197" t="s">
        <v>575</v>
      </c>
      <c r="D2197" cm="1">
        <f t="array" ref="D2197">IFERROR(IF(D2187="Chemical",(10^(INDEX(Antoines,MATCH(D2186,Antoine_Name,0),2)-INDEX(Antoines,MATCH(D2186,Antoine_Name,0),3)/(INDEX(Antoines,MATCH(D2186,Antoine_Name,0),4)+(D2192-32)*5/9)))*14.7/760,IF(D2187="Crude Oil",EXP((2799/(D2192+459.6)-2.227)*LOG10(INDEX(FX_Input,Q$5,D$3*$Z$5+$AA$5))-(7261/(D2192+459.6))+12.82),IF(D2187="Refined Petroleum Stock",EXP((0.7553-(413/(D2192+459.6)))*(INDEX(FX_Input,Q$5,D$3*$Z$5+$AA$5-1)^0.5)*LOG10(INDEX(FX_Input,Q$5,D$3*$Z$5+$AA$5))-(1.854-(1042/(D2192+459.6)))*(INDEX(FX_Input,Q$5,D$3*$Z$5+$AA$5-1)^0.5)+((2416/(D2192+459.6)-2.013)*LOG10(INDEX(FX_Input,Q$5,D$3*$Z$5+$AA$5)))-(8742/(D2192+459.6))+15.64),EXP(INDEX(Antoines,MATCH(D2186,Antoine_Name,0),2)-INDEX(Antoines,MATCH(D2186,Antoine_Name,0),3)/(D2192+459.6))))),0)</f>
        <v>0</v>
      </c>
      <c r="E2197" cm="1">
        <f t="array" ref="E2197">IFERROR(IF(E2187="Chemical",(10^(INDEX(Antoines,MATCH(E2186,Antoine_Name,0),2)-INDEX(Antoines,MATCH(E2186,Antoine_Name,0),3)/(INDEX(Antoines,MATCH(E2186,Antoine_Name,0),4)+(E2192-32)*5/9)))*14.7/760,IF(E2187="Crude Oil",EXP((2799/(E2192+459.6)-2.227)*LOG10(INDEX(FX_Input,R$5,E$3*$Z$5+$AA$5))-(7261/(E2192+459.6))+12.82),IF(E2187="Refined Petroleum Stock",EXP((0.7553-(413/(E2192+459.6)))*(INDEX(FX_Input,R$5,E$3*$Z$5+$AA$5-1)^0.5)*LOG10(INDEX(FX_Input,R$5,E$3*$Z$5+$AA$5))-(1.854-(1042/(E2192+459.6)))*(INDEX(FX_Input,R$5,E$3*$Z$5+$AA$5-1)^0.5)+((2416/(E2192+459.6)-2.013)*LOG10(INDEX(FX_Input,R$5,E$3*$Z$5+$AA$5)))-(8742/(E2192+459.6))+15.64),EXP(INDEX(Antoines,MATCH(E2186,Antoine_Name,0),2)-INDEX(Antoines,MATCH(E2186,Antoine_Name,0),3)/(E2192+459.6))))),0)</f>
        <v>0</v>
      </c>
      <c r="F2197" cm="1">
        <f t="array" ref="F2197">IFERROR(IF(F2187="Chemical",(10^(INDEX(Antoines,MATCH(F2186,Antoine_Name,0),2)-INDEX(Antoines,MATCH(F2186,Antoine_Name,0),3)/(INDEX(Antoines,MATCH(F2186,Antoine_Name,0),4)+(F2192-32)*5/9)))*14.7/760,IF(F2187="Crude Oil",EXP((2799/(F2192+459.6)-2.227)*LOG10(INDEX(FX_Input,S$5,F$3*$Z$5+$AA$5))-(7261/(F2192+459.6))+12.82),IF(F2187="Refined Petroleum Stock",EXP((0.7553-(413/(F2192+459.6)))*(INDEX(FX_Input,S$5,F$3*$Z$5+$AA$5-1)^0.5)*LOG10(INDEX(FX_Input,S$5,F$3*$Z$5+$AA$5))-(1.854-(1042/(F2192+459.6)))*(INDEX(FX_Input,S$5,F$3*$Z$5+$AA$5-1)^0.5)+((2416/(F2192+459.6)-2.013)*LOG10(INDEX(FX_Input,S$5,F$3*$Z$5+$AA$5)))-(8742/(F2192+459.6))+15.64),EXP(INDEX(Antoines,MATCH(F2186,Antoine_Name,0),2)-INDEX(Antoines,MATCH(F2186,Antoine_Name,0),3)/(F2192+459.6))))),0)</f>
        <v>0</v>
      </c>
      <c r="G2197" cm="1">
        <f t="array" ref="G2197">IFERROR(IF(G2187="Chemical",(10^(INDEX(Antoines,MATCH(G2186,Antoine_Name,0),2)-INDEX(Antoines,MATCH(G2186,Antoine_Name,0),3)/(INDEX(Antoines,MATCH(G2186,Antoine_Name,0),4)+(G2192-32)*5/9)))*14.7/760,IF(G2187="Crude Oil",EXP((2799/(G2192+459.6)-2.227)*LOG10(INDEX(FX_Input,T$5,G$3*$Z$5+$AA$5))-(7261/(G2192+459.6))+12.82),IF(G2187="Refined Petroleum Stock",EXP((0.7553-(413/(G2192+459.6)))*(INDEX(FX_Input,T$5,G$3*$Z$5+$AA$5-1)^0.5)*LOG10(INDEX(FX_Input,T$5,G$3*$Z$5+$AA$5))-(1.854-(1042/(G2192+459.6)))*(INDEX(FX_Input,T$5,G$3*$Z$5+$AA$5-1)^0.5)+((2416/(G2192+459.6)-2.013)*LOG10(INDEX(FX_Input,T$5,G$3*$Z$5+$AA$5)))-(8742/(G2192+459.6))+15.64),EXP(INDEX(Antoines,MATCH(G2186,Antoine_Name,0),2)-INDEX(Antoines,MATCH(G2186,Antoine_Name,0),3)/(G2192+459.6))))),0)</f>
        <v>0</v>
      </c>
      <c r="H2197" cm="1">
        <f t="array" ref="H2197">IFERROR(IF(H2187="Chemical",(10^(INDEX(Antoines,MATCH(H2186,Antoine_Name,0),2)-INDEX(Antoines,MATCH(H2186,Antoine_Name,0),3)/(INDEX(Antoines,MATCH(H2186,Antoine_Name,0),4)+(H2192-32)*5/9)))*14.7/760,IF(H2187="Crude Oil",EXP((2799/(H2192+459.6)-2.227)*LOG10(INDEX(FX_Input,U$5,H$3*$Z$5+$AA$5))-(7261/(H2192+459.6))+12.82),IF(H2187="Refined Petroleum Stock",EXP((0.7553-(413/(H2192+459.6)))*(INDEX(FX_Input,U$5,H$3*$Z$5+$AA$5-1)^0.5)*LOG10(INDEX(FX_Input,U$5,H$3*$Z$5+$AA$5))-(1.854-(1042/(H2192+459.6)))*(INDEX(FX_Input,U$5,H$3*$Z$5+$AA$5-1)^0.5)+((2416/(H2192+459.6)-2.013)*LOG10(INDEX(FX_Input,U$5,H$3*$Z$5+$AA$5)))-(8742/(H2192+459.6))+15.64),EXP(INDEX(Antoines,MATCH(H2186,Antoine_Name,0),2)-INDEX(Antoines,MATCH(H2186,Antoine_Name,0),3)/(H2192+459.6))))),0)</f>
        <v>0</v>
      </c>
      <c r="I2197" cm="1">
        <f t="array" ref="I2197">IFERROR(IF(I2187="Chemical",(10^(INDEX(Antoines,MATCH(I2186,Antoine_Name,0),2)-INDEX(Antoines,MATCH(I2186,Antoine_Name,0),3)/(INDEX(Antoines,MATCH(I2186,Antoine_Name,0),4)+(I2192-32)*5/9)))*14.7/760,IF(I2187="Crude Oil",EXP((2799/(I2192+459.6)-2.227)*LOG10(INDEX(FX_Input,V$5,I$3*$Z$5+$AA$5))-(7261/(I2192+459.6))+12.82),IF(I2187="Refined Petroleum Stock",EXP((0.7553-(413/(I2192+459.6)))*(INDEX(FX_Input,V$5,I$3*$Z$5+$AA$5-1)^0.5)*LOG10(INDEX(FX_Input,V$5,I$3*$Z$5+$AA$5))-(1.854-(1042/(I2192+459.6)))*(INDEX(FX_Input,V$5,I$3*$Z$5+$AA$5-1)^0.5)+((2416/(I2192+459.6)-2.013)*LOG10(INDEX(FX_Input,V$5,I$3*$Z$5+$AA$5)))-(8742/(I2192+459.6))+15.64),EXP(INDEX(Antoines,MATCH(I2186,Antoine_Name,0),2)-INDEX(Antoines,MATCH(I2186,Antoine_Name,0),3)/(I2192+459.6))))),0)</f>
        <v>0</v>
      </c>
      <c r="J2197" cm="1">
        <f t="array" ref="J2197">IFERROR(IF(J2187="Chemical",(10^(INDEX(Antoines,MATCH(J2186,Antoine_Name,0),2)-INDEX(Antoines,MATCH(J2186,Antoine_Name,0),3)/(INDEX(Antoines,MATCH(J2186,Antoine_Name,0),4)+(J2192-32)*5/9)))*14.7/760,IF(J2187="Crude Oil",EXP((2799/(J2192+459.6)-2.227)*LOG10(INDEX(FX_Input,W$5,J$3*$Z$5+$AA$5))-(7261/(J2192+459.6))+12.82),IF(J2187="Refined Petroleum Stock",EXP((0.7553-(413/(J2192+459.6)))*(INDEX(FX_Input,W$5,J$3*$Z$5+$AA$5-1)^0.5)*LOG10(INDEX(FX_Input,W$5,J$3*$Z$5+$AA$5))-(1.854-(1042/(J2192+459.6)))*(INDEX(FX_Input,W$5,J$3*$Z$5+$AA$5-1)^0.5)+((2416/(J2192+459.6)-2.013)*LOG10(INDEX(FX_Input,W$5,J$3*$Z$5+$AA$5)))-(8742/(J2192+459.6))+15.64),EXP(INDEX(Antoines,MATCH(J2186,Antoine_Name,0),2)-INDEX(Antoines,MATCH(J2186,Antoine_Name,0),3)/(J2192+459.6))))),0)</f>
        <v>0</v>
      </c>
      <c r="K2197" cm="1">
        <f t="array" ref="K2197">IFERROR(IF(K2187="Chemical",(10^(INDEX(Antoines,MATCH(K2186,Antoine_Name,0),2)-INDEX(Antoines,MATCH(K2186,Antoine_Name,0),3)/(INDEX(Antoines,MATCH(K2186,Antoine_Name,0),4)+(K2192-32)*5/9)))*14.7/760,IF(K2187="Crude Oil",EXP((2799/(K2192+459.6)-2.227)*LOG10(INDEX(FX_Input,X$5,K$3*$Z$5+$AA$5))-(7261/(K2192+459.6))+12.82),IF(K2187="Refined Petroleum Stock",EXP((0.7553-(413/(K2192+459.6)))*(INDEX(FX_Input,X$5,K$3*$Z$5+$AA$5-1)^0.5)*LOG10(INDEX(FX_Input,X$5,K$3*$Z$5+$AA$5))-(1.854-(1042/(K2192+459.6)))*(INDEX(FX_Input,X$5,K$3*$Z$5+$AA$5-1)^0.5)+((2416/(K2192+459.6)-2.013)*LOG10(INDEX(FX_Input,X$5,K$3*$Z$5+$AA$5)))-(8742/(K2192+459.6))+15.64),EXP(INDEX(Antoines,MATCH(K2186,Antoine_Name,0),2)-INDEX(Antoines,MATCH(K2186,Antoine_Name,0),3)/(K2192+459.6))))),0)</f>
        <v>0</v>
      </c>
      <c r="L2197" cm="1">
        <f t="array" ref="L2197">IFERROR(IF(L2187="Chemical",(10^(INDEX(Antoines,MATCH(L2186,Antoine_Name,0),2)-INDEX(Antoines,MATCH(L2186,Antoine_Name,0),3)/(INDEX(Antoines,MATCH(L2186,Antoine_Name,0),4)+(L2192-32)*5/9)))*14.7/760,IF(L2187="Crude Oil",EXP((2799/(L2192+459.6)-2.227)*LOG10(INDEX(FX_Input,Y$5,L$3*$Z$5+$AA$5))-(7261/(L2192+459.6))+12.82),IF(L2187="Refined Petroleum Stock",EXP((0.7553-(413/(L2192+459.6)))*(INDEX(FX_Input,Y$5,L$3*$Z$5+$AA$5-1)^0.5)*LOG10(INDEX(FX_Input,Y$5,L$3*$Z$5+$AA$5))-(1.854-(1042/(L2192+459.6)))*(INDEX(FX_Input,Y$5,L$3*$Z$5+$AA$5-1)^0.5)+((2416/(L2192+459.6)-2.013)*LOG10(INDEX(FX_Input,Y$5,L$3*$Z$5+$AA$5)))-(8742/(L2192+459.6))+15.64),EXP(INDEX(Antoines,MATCH(L2186,Antoine_Name,0),2)-INDEX(Antoines,MATCH(L2186,Antoine_Name,0),3)/(L2192+459.6))))),0)</f>
        <v>0</v>
      </c>
      <c r="M2197" cm="1">
        <f t="array" ref="M2197">IFERROR(IF(M2187="Chemical",(10^(INDEX(Antoines,MATCH(M2186,Antoine_Name,0),2)-INDEX(Antoines,MATCH(M2186,Antoine_Name,0),3)/(INDEX(Antoines,MATCH(M2186,Antoine_Name,0),4)+(M2192-32)*5/9)))*14.7/760,IF(M2187="Crude Oil",EXP((2799/(M2192+459.6)-2.227)*LOG10(INDEX(FX_Input,Z$5,M$3*$Z$5+$AA$5))-(7261/(M2192+459.6))+12.82),IF(M2187="Refined Petroleum Stock",EXP((0.7553-(413/(M2192+459.6)))*(INDEX(FX_Input,Z$5,M$3*$Z$5+$AA$5-1)^0.5)*LOG10(INDEX(FX_Input,Z$5,M$3*$Z$5+$AA$5))-(1.854-(1042/(M2192+459.6)))*(INDEX(FX_Input,Z$5,M$3*$Z$5+$AA$5-1)^0.5)+((2416/(M2192+459.6)-2.013)*LOG10(INDEX(FX_Input,Z$5,M$3*$Z$5+$AA$5)))-(8742/(M2192+459.6))+15.64),EXP(INDEX(Antoines,MATCH(M2186,Antoine_Name,0),2)-INDEX(Antoines,MATCH(M2186,Antoine_Name,0),3)/(M2192+459.6))))),0)</f>
        <v>0</v>
      </c>
      <c r="N2197" cm="1">
        <f t="array" ref="N2197">IFERROR(IF(N2187="Chemical",(10^(INDEX(Antoines,MATCH(N2186,Antoine_Name,0),2)-INDEX(Antoines,MATCH(N2186,Antoine_Name,0),3)/(INDEX(Antoines,MATCH(N2186,Antoine_Name,0),4)+(N2192-32)*5/9)))*14.7/760,IF(N2187="Crude Oil",EXP((2799/(N2192+459.6)-2.227)*LOG10(INDEX(FX_Input,AA$5,N$3*$Z$5+$AA$5))-(7261/(N2192+459.6))+12.82),IF(N2187="Refined Petroleum Stock",EXP((0.7553-(413/(N2192+459.6)))*(INDEX(FX_Input,AA$5,N$3*$Z$5+$AA$5-1)^0.5)*LOG10(INDEX(FX_Input,AA$5,N$3*$Z$5+$AA$5))-(1.854-(1042/(N2192+459.6)))*(INDEX(FX_Input,AA$5,N$3*$Z$5+$AA$5-1)^0.5)+((2416/(N2192+459.6)-2.013)*LOG10(INDEX(FX_Input,AA$5,N$3*$Z$5+$AA$5)))-(8742/(N2192+459.6))+15.64),EXP(INDEX(Antoines,MATCH(N2186,Antoine_Name,0),2)-INDEX(Antoines,MATCH(N2186,Antoine_Name,0),3)/(N2192+459.6))))),0)</f>
        <v>0</v>
      </c>
      <c r="O2197" cm="1">
        <f t="array" ref="O2197">IFERROR(IF(O2187="Chemical",(10^(INDEX(Antoines,MATCH(O2186,Antoine_Name,0),2)-INDEX(Antoines,MATCH(O2186,Antoine_Name,0),3)/(INDEX(Antoines,MATCH(O2186,Antoine_Name,0),4)+(O2192-32)*5/9)))*14.7/760,IF(O2187="Crude Oil",EXP((2799/(O2192+459.6)-2.227)*LOG10(INDEX(FX_Input,AB$5,O$3*$Z$5+$AA$5))-(7261/(O2192+459.6))+12.82),IF(O2187="Refined Petroleum Stock",EXP((0.7553-(413/(O2192+459.6)))*(INDEX(FX_Input,AB$5,O$3*$Z$5+$AA$5-1)^0.5)*LOG10(INDEX(FX_Input,AB$5,O$3*$Z$5+$AA$5))-(1.854-(1042/(O2192+459.6)))*(INDEX(FX_Input,AB$5,O$3*$Z$5+$AA$5-1)^0.5)+((2416/(O2192+459.6)-2.013)*LOG10(INDEX(FX_Input,AB$5,O$3*$Z$5+$AA$5)))-(8742/(O2192+459.6))+15.64),EXP(INDEX(Antoines,MATCH(O2186,Antoine_Name,0),2)-INDEX(Antoines,MATCH(O2186,Antoine_Name,0),3)/(O2192+459.6))))),0)</f>
        <v>0</v>
      </c>
    </row>
    <row r="2198" spans="2:32" ht="17.149999999999999" x14ac:dyDescent="0.55000000000000004">
      <c r="B2198" t="str">
        <f t="shared" si="7204"/>
        <v>Portland</v>
      </c>
      <c r="C2198" t="s">
        <v>577</v>
      </c>
      <c r="D2198">
        <f>D2197*D2190</f>
        <v>0</v>
      </c>
      <c r="E2198">
        <f t="shared" ref="E2198:O2198" si="7206">E2197*E2190</f>
        <v>0</v>
      </c>
      <c r="F2198">
        <f t="shared" si="7206"/>
        <v>0</v>
      </c>
      <c r="G2198">
        <f t="shared" si="7206"/>
        <v>0</v>
      </c>
      <c r="H2198">
        <f t="shared" si="7206"/>
        <v>0</v>
      </c>
      <c r="I2198">
        <f t="shared" si="7206"/>
        <v>0</v>
      </c>
      <c r="J2198">
        <f t="shared" si="7206"/>
        <v>0</v>
      </c>
      <c r="K2198">
        <f t="shared" si="7206"/>
        <v>0</v>
      </c>
      <c r="L2198">
        <f t="shared" si="7206"/>
        <v>0</v>
      </c>
      <c r="M2198">
        <f t="shared" si="7206"/>
        <v>0</v>
      </c>
      <c r="N2198">
        <f t="shared" si="7206"/>
        <v>0</v>
      </c>
      <c r="O2198">
        <f t="shared" si="7206"/>
        <v>0</v>
      </c>
    </row>
    <row r="2199" spans="2:32" ht="17.149999999999999" x14ac:dyDescent="0.55000000000000004">
      <c r="B2199" t="str">
        <f t="shared" si="7204"/>
        <v>Portland</v>
      </c>
      <c r="C2199" t="s">
        <v>578</v>
      </c>
      <c r="D2199">
        <f>D2198+D2196</f>
        <v>4.739577185808354E-3</v>
      </c>
      <c r="E2199">
        <f t="shared" ref="E2199:O2199" si="7207">E2198+E2196</f>
        <v>4.8748667780818778E-3</v>
      </c>
      <c r="F2199">
        <f t="shared" si="7207"/>
        <v>5.119885034186122E-3</v>
      </c>
      <c r="G2199">
        <f t="shared" si="7207"/>
        <v>5.5846958573521795E-3</v>
      </c>
      <c r="H2199">
        <f t="shared" si="7207"/>
        <v>6.5274070972739821E-3</v>
      </c>
      <c r="I2199">
        <f t="shared" si="7207"/>
        <v>7.4199539958878279E-3</v>
      </c>
      <c r="J2199">
        <f t="shared" si="7207"/>
        <v>8.3358107202842254E-3</v>
      </c>
      <c r="K2199">
        <f t="shared" si="7207"/>
        <v>8.4605262729351115E-3</v>
      </c>
      <c r="L2199">
        <f t="shared" si="7207"/>
        <v>7.8399882233967533E-3</v>
      </c>
      <c r="M2199">
        <f t="shared" si="7207"/>
        <v>6.4173462075160911E-3</v>
      </c>
      <c r="N2199">
        <f t="shared" si="7207"/>
        <v>5.3015226887581056E-3</v>
      </c>
      <c r="O2199">
        <f t="shared" si="7207"/>
        <v>4.68970903600947E-3</v>
      </c>
    </row>
    <row r="2200" spans="2:32" ht="17.149999999999999" x14ac:dyDescent="0.55000000000000004">
      <c r="B2200" t="str">
        <f t="shared" si="7204"/>
        <v>Portland</v>
      </c>
      <c r="C2200" t="s">
        <v>579</v>
      </c>
      <c r="D2200" cm="1">
        <f t="array" ref="D2200">IFERROR(IF(D2185="Chemical",(10^(INDEX(Antoines,MATCH(D2184,Antoine_Name,0),2)-INDEX(Antoines,MATCH(D2184,Antoine_Name,0),3)/(INDEX(Antoines,MATCH(D2184,Antoine_Name,0),4)+(D2193-32)*5/9)))*14.7/760,IF(D2185="Crude Oil",EXP((2799/(D2193+459.6)-2.227)*LOG10(INDEX(FX_Input,Q$5,D$3*$Z$5+$AA$5))-(7261/(D2193+459.6))+12.82),IF(D2185="Refined Petroleum Stock",EXP((0.7553-(413/(D2193+459.6)))*(INDEX(FX_Input,Q$5,D$3*$Z$5+$AA$5-1)^0.5)*LOG10(INDEX(FX_Input,Q$5,D$3*$Z$5+$AA$5))-(1.854-(1042/(D2193+459.6)))*(INDEX(FX_Input,Q$5,D$3*$Z$5+$AA$5-1)^0.5)+((2416/(D2193+459.6)-2.013)*LOG10(INDEX(FX_Input,Q$5,D$3*$Z$5+$AA$5)))-(8742/(D2193+459.6))+15.64),EXP(INDEX(Antoines,MATCH(D2184,Antoine_Name,0),2)-INDEX(Antoines,MATCH(D2184,Antoine_Name,0),3)/(D2193+459.6))))),0)</f>
        <v>4.739577185808354E-3</v>
      </c>
      <c r="E2200" cm="1">
        <f t="array" ref="E2200">IFERROR(IF(E2185="Chemical",(10^(INDEX(Antoines,MATCH(E2184,Antoine_Name,0),2)-INDEX(Antoines,MATCH(E2184,Antoine_Name,0),3)/(INDEX(Antoines,MATCH(E2184,Antoine_Name,0),4)+(E2193-32)*5/9)))*14.7/760,IF(E2185="Crude Oil",EXP((2799/(E2193+459.6)-2.227)*LOG10(INDEX(FX_Input,R$5,E$3*$Z$5+$AA$5))-(7261/(E2193+459.6))+12.82),IF(E2185="Refined Petroleum Stock",EXP((0.7553-(413/(E2193+459.6)))*(INDEX(FX_Input,R$5,E$3*$Z$5+$AA$5-1)^0.5)*LOG10(INDEX(FX_Input,R$5,E$3*$Z$5+$AA$5))-(1.854-(1042/(E2193+459.6)))*(INDEX(FX_Input,R$5,E$3*$Z$5+$AA$5-1)^0.5)+((2416/(E2193+459.6)-2.013)*LOG10(INDEX(FX_Input,R$5,E$3*$Z$5+$AA$5)))-(8742/(E2193+459.6))+15.64),EXP(INDEX(Antoines,MATCH(E2184,Antoine_Name,0),2)-INDEX(Antoines,MATCH(E2184,Antoine_Name,0),3)/(E2193+459.6))))),0)</f>
        <v>4.8748667780818778E-3</v>
      </c>
      <c r="F2200" cm="1">
        <f t="array" ref="F2200">IFERROR(IF(F2185="Chemical",(10^(INDEX(Antoines,MATCH(F2184,Antoine_Name,0),2)-INDEX(Antoines,MATCH(F2184,Antoine_Name,0),3)/(INDEX(Antoines,MATCH(F2184,Antoine_Name,0),4)+(F2193-32)*5/9)))*14.7/760,IF(F2185="Crude Oil",EXP((2799/(F2193+459.6)-2.227)*LOG10(INDEX(FX_Input,S$5,F$3*$Z$5+$AA$5))-(7261/(F2193+459.6))+12.82),IF(F2185="Refined Petroleum Stock",EXP((0.7553-(413/(F2193+459.6)))*(INDEX(FX_Input,S$5,F$3*$Z$5+$AA$5-1)^0.5)*LOG10(INDEX(FX_Input,S$5,F$3*$Z$5+$AA$5))-(1.854-(1042/(F2193+459.6)))*(INDEX(FX_Input,S$5,F$3*$Z$5+$AA$5-1)^0.5)+((2416/(F2193+459.6)-2.013)*LOG10(INDEX(FX_Input,S$5,F$3*$Z$5+$AA$5)))-(8742/(F2193+459.6))+15.64),EXP(INDEX(Antoines,MATCH(F2184,Antoine_Name,0),2)-INDEX(Antoines,MATCH(F2184,Antoine_Name,0),3)/(F2193+459.6))))),0)</f>
        <v>5.119885034186122E-3</v>
      </c>
      <c r="G2200" cm="1">
        <f t="array" ref="G2200">IFERROR(IF(G2185="Chemical",(10^(INDEX(Antoines,MATCH(G2184,Antoine_Name,0),2)-INDEX(Antoines,MATCH(G2184,Antoine_Name,0),3)/(INDEX(Antoines,MATCH(G2184,Antoine_Name,0),4)+(G2193-32)*5/9)))*14.7/760,IF(G2185="Crude Oil",EXP((2799/(G2193+459.6)-2.227)*LOG10(INDEX(FX_Input,T$5,G$3*$Z$5+$AA$5))-(7261/(G2193+459.6))+12.82),IF(G2185="Refined Petroleum Stock",EXP((0.7553-(413/(G2193+459.6)))*(INDEX(FX_Input,T$5,G$3*$Z$5+$AA$5-1)^0.5)*LOG10(INDEX(FX_Input,T$5,G$3*$Z$5+$AA$5))-(1.854-(1042/(G2193+459.6)))*(INDEX(FX_Input,T$5,G$3*$Z$5+$AA$5-1)^0.5)+((2416/(G2193+459.6)-2.013)*LOG10(INDEX(FX_Input,T$5,G$3*$Z$5+$AA$5)))-(8742/(G2193+459.6))+15.64),EXP(INDEX(Antoines,MATCH(G2184,Antoine_Name,0),2)-INDEX(Antoines,MATCH(G2184,Antoine_Name,0),3)/(G2193+459.6))))),0)</f>
        <v>5.5846958573521795E-3</v>
      </c>
      <c r="H2200" cm="1">
        <f t="array" ref="H2200">IFERROR(IF(H2185="Chemical",(10^(INDEX(Antoines,MATCH(H2184,Antoine_Name,0),2)-INDEX(Antoines,MATCH(H2184,Antoine_Name,0),3)/(INDEX(Antoines,MATCH(H2184,Antoine_Name,0),4)+(H2193-32)*5/9)))*14.7/760,IF(H2185="Crude Oil",EXP((2799/(H2193+459.6)-2.227)*LOG10(INDEX(FX_Input,U$5,H$3*$Z$5+$AA$5))-(7261/(H2193+459.6))+12.82),IF(H2185="Refined Petroleum Stock",EXP((0.7553-(413/(H2193+459.6)))*(INDEX(FX_Input,U$5,H$3*$Z$5+$AA$5-1)^0.5)*LOG10(INDEX(FX_Input,U$5,H$3*$Z$5+$AA$5))-(1.854-(1042/(H2193+459.6)))*(INDEX(FX_Input,U$5,H$3*$Z$5+$AA$5-1)^0.5)+((2416/(H2193+459.6)-2.013)*LOG10(INDEX(FX_Input,U$5,H$3*$Z$5+$AA$5)))-(8742/(H2193+459.6))+15.64),EXP(INDEX(Antoines,MATCH(H2184,Antoine_Name,0),2)-INDEX(Antoines,MATCH(H2184,Antoine_Name,0),3)/(H2193+459.6))))),0)</f>
        <v>6.5274070972739821E-3</v>
      </c>
      <c r="I2200" cm="1">
        <f t="array" ref="I2200">IFERROR(IF(I2185="Chemical",(10^(INDEX(Antoines,MATCH(I2184,Antoine_Name,0),2)-INDEX(Antoines,MATCH(I2184,Antoine_Name,0),3)/(INDEX(Antoines,MATCH(I2184,Antoine_Name,0),4)+(I2193-32)*5/9)))*14.7/760,IF(I2185="Crude Oil",EXP((2799/(I2193+459.6)-2.227)*LOG10(INDEX(FX_Input,V$5,I$3*$Z$5+$AA$5))-(7261/(I2193+459.6))+12.82),IF(I2185="Refined Petroleum Stock",EXP((0.7553-(413/(I2193+459.6)))*(INDEX(FX_Input,V$5,I$3*$Z$5+$AA$5-1)^0.5)*LOG10(INDEX(FX_Input,V$5,I$3*$Z$5+$AA$5))-(1.854-(1042/(I2193+459.6)))*(INDEX(FX_Input,V$5,I$3*$Z$5+$AA$5-1)^0.5)+((2416/(I2193+459.6)-2.013)*LOG10(INDEX(FX_Input,V$5,I$3*$Z$5+$AA$5)))-(8742/(I2193+459.6))+15.64),EXP(INDEX(Antoines,MATCH(I2184,Antoine_Name,0),2)-INDEX(Antoines,MATCH(I2184,Antoine_Name,0),3)/(I2193+459.6))))),0)</f>
        <v>7.4199539958878279E-3</v>
      </c>
      <c r="J2200" cm="1">
        <f t="array" ref="J2200">IFERROR(IF(J2185="Chemical",(10^(INDEX(Antoines,MATCH(J2184,Antoine_Name,0),2)-INDEX(Antoines,MATCH(J2184,Antoine_Name,0),3)/(INDEX(Antoines,MATCH(J2184,Antoine_Name,0),4)+(J2193-32)*5/9)))*14.7/760,IF(J2185="Crude Oil",EXP((2799/(J2193+459.6)-2.227)*LOG10(INDEX(FX_Input,W$5,J$3*$Z$5+$AA$5))-(7261/(J2193+459.6))+12.82),IF(J2185="Refined Petroleum Stock",EXP((0.7553-(413/(J2193+459.6)))*(INDEX(FX_Input,W$5,J$3*$Z$5+$AA$5-1)^0.5)*LOG10(INDEX(FX_Input,W$5,J$3*$Z$5+$AA$5))-(1.854-(1042/(J2193+459.6)))*(INDEX(FX_Input,W$5,J$3*$Z$5+$AA$5-1)^0.5)+((2416/(J2193+459.6)-2.013)*LOG10(INDEX(FX_Input,W$5,J$3*$Z$5+$AA$5)))-(8742/(J2193+459.6))+15.64),EXP(INDEX(Antoines,MATCH(J2184,Antoine_Name,0),2)-INDEX(Antoines,MATCH(J2184,Antoine_Name,0),3)/(J2193+459.6))))),0)</f>
        <v>8.3358107202842254E-3</v>
      </c>
      <c r="K2200" cm="1">
        <f t="array" ref="K2200">IFERROR(IF(K2185="Chemical",(10^(INDEX(Antoines,MATCH(K2184,Antoine_Name,0),2)-INDEX(Antoines,MATCH(K2184,Antoine_Name,0),3)/(INDEX(Antoines,MATCH(K2184,Antoine_Name,0),4)+(K2193-32)*5/9)))*14.7/760,IF(K2185="Crude Oil",EXP((2799/(K2193+459.6)-2.227)*LOG10(INDEX(FX_Input,X$5,K$3*$Z$5+$AA$5))-(7261/(K2193+459.6))+12.82),IF(K2185="Refined Petroleum Stock",EXP((0.7553-(413/(K2193+459.6)))*(INDEX(FX_Input,X$5,K$3*$Z$5+$AA$5-1)^0.5)*LOG10(INDEX(FX_Input,X$5,K$3*$Z$5+$AA$5))-(1.854-(1042/(K2193+459.6)))*(INDEX(FX_Input,X$5,K$3*$Z$5+$AA$5-1)^0.5)+((2416/(K2193+459.6)-2.013)*LOG10(INDEX(FX_Input,X$5,K$3*$Z$5+$AA$5)))-(8742/(K2193+459.6))+15.64),EXP(INDEX(Antoines,MATCH(K2184,Antoine_Name,0),2)-INDEX(Antoines,MATCH(K2184,Antoine_Name,0),3)/(K2193+459.6))))),0)</f>
        <v>8.4605262729351115E-3</v>
      </c>
      <c r="L2200" cm="1">
        <f t="array" ref="L2200">IFERROR(IF(L2185="Chemical",(10^(INDEX(Antoines,MATCH(L2184,Antoine_Name,0),2)-INDEX(Antoines,MATCH(L2184,Antoine_Name,0),3)/(INDEX(Antoines,MATCH(L2184,Antoine_Name,0),4)+(L2193-32)*5/9)))*14.7/760,IF(L2185="Crude Oil",EXP((2799/(L2193+459.6)-2.227)*LOG10(INDEX(FX_Input,Y$5,L$3*$Z$5+$AA$5))-(7261/(L2193+459.6))+12.82),IF(L2185="Refined Petroleum Stock",EXP((0.7553-(413/(L2193+459.6)))*(INDEX(FX_Input,Y$5,L$3*$Z$5+$AA$5-1)^0.5)*LOG10(INDEX(FX_Input,Y$5,L$3*$Z$5+$AA$5))-(1.854-(1042/(L2193+459.6)))*(INDEX(FX_Input,Y$5,L$3*$Z$5+$AA$5-1)^0.5)+((2416/(L2193+459.6)-2.013)*LOG10(INDEX(FX_Input,Y$5,L$3*$Z$5+$AA$5)))-(8742/(L2193+459.6))+15.64),EXP(INDEX(Antoines,MATCH(L2184,Antoine_Name,0),2)-INDEX(Antoines,MATCH(L2184,Antoine_Name,0),3)/(L2193+459.6))))),0)</f>
        <v>7.8399882233967533E-3</v>
      </c>
      <c r="M2200" cm="1">
        <f t="array" ref="M2200">IFERROR(IF(M2185="Chemical",(10^(INDEX(Antoines,MATCH(M2184,Antoine_Name,0),2)-INDEX(Antoines,MATCH(M2184,Antoine_Name,0),3)/(INDEX(Antoines,MATCH(M2184,Antoine_Name,0),4)+(M2193-32)*5/9)))*14.7/760,IF(M2185="Crude Oil",EXP((2799/(M2193+459.6)-2.227)*LOG10(INDEX(FX_Input,Z$5,M$3*$Z$5+$AA$5))-(7261/(M2193+459.6))+12.82),IF(M2185="Refined Petroleum Stock",EXP((0.7553-(413/(M2193+459.6)))*(INDEX(FX_Input,Z$5,M$3*$Z$5+$AA$5-1)^0.5)*LOG10(INDEX(FX_Input,Z$5,M$3*$Z$5+$AA$5))-(1.854-(1042/(M2193+459.6)))*(INDEX(FX_Input,Z$5,M$3*$Z$5+$AA$5-1)^0.5)+((2416/(M2193+459.6)-2.013)*LOG10(INDEX(FX_Input,Z$5,M$3*$Z$5+$AA$5)))-(8742/(M2193+459.6))+15.64),EXP(INDEX(Antoines,MATCH(M2184,Antoine_Name,0),2)-INDEX(Antoines,MATCH(M2184,Antoine_Name,0),3)/(M2193+459.6))))),0)</f>
        <v>6.4173462075160911E-3</v>
      </c>
      <c r="N2200" cm="1">
        <f t="array" ref="N2200">IFERROR(IF(N2185="Chemical",(10^(INDEX(Antoines,MATCH(N2184,Antoine_Name,0),2)-INDEX(Antoines,MATCH(N2184,Antoine_Name,0),3)/(INDEX(Antoines,MATCH(N2184,Antoine_Name,0),4)+(N2193-32)*5/9)))*14.7/760,IF(N2185="Crude Oil",EXP((2799/(N2193+459.6)-2.227)*LOG10(INDEX(FX_Input,AA$5,N$3*$Z$5+$AA$5))-(7261/(N2193+459.6))+12.82),IF(N2185="Refined Petroleum Stock",EXP((0.7553-(413/(N2193+459.6)))*(INDEX(FX_Input,AA$5,N$3*$Z$5+$AA$5-1)^0.5)*LOG10(INDEX(FX_Input,AA$5,N$3*$Z$5+$AA$5))-(1.854-(1042/(N2193+459.6)))*(INDEX(FX_Input,AA$5,N$3*$Z$5+$AA$5-1)^0.5)+((2416/(N2193+459.6)-2.013)*LOG10(INDEX(FX_Input,AA$5,N$3*$Z$5+$AA$5)))-(8742/(N2193+459.6))+15.64),EXP(INDEX(Antoines,MATCH(N2184,Antoine_Name,0),2)-INDEX(Antoines,MATCH(N2184,Antoine_Name,0),3)/(N2193+459.6))))),0)</f>
        <v>5.3015226887581056E-3</v>
      </c>
      <c r="O2200" cm="1">
        <f t="array" ref="O2200">IFERROR(IF(O2185="Chemical",(10^(INDEX(Antoines,MATCH(O2184,Antoine_Name,0),2)-INDEX(Antoines,MATCH(O2184,Antoine_Name,0),3)/(INDEX(Antoines,MATCH(O2184,Antoine_Name,0),4)+(O2193-32)*5/9)))*14.7/760,IF(O2185="Crude Oil",EXP((2799/(O2193+459.6)-2.227)*LOG10(INDEX(FX_Input,AB$5,O$3*$Z$5+$AA$5))-(7261/(O2193+459.6))+12.82),IF(O2185="Refined Petroleum Stock",EXP((0.7553-(413/(O2193+459.6)))*(INDEX(FX_Input,AB$5,O$3*$Z$5+$AA$5-1)^0.5)*LOG10(INDEX(FX_Input,AB$5,O$3*$Z$5+$AA$5))-(1.854-(1042/(O2193+459.6)))*(INDEX(FX_Input,AB$5,O$3*$Z$5+$AA$5-1)^0.5)+((2416/(O2193+459.6)-2.013)*LOG10(INDEX(FX_Input,AB$5,O$3*$Z$5+$AA$5)))-(8742/(O2193+459.6))+15.64),EXP(INDEX(Antoines,MATCH(O2184,Antoine_Name,0),2)-INDEX(Antoines,MATCH(O2184,Antoine_Name,0),3)/(O2193+459.6))))),0)</f>
        <v>4.68970903600947E-3</v>
      </c>
    </row>
    <row r="2201" spans="2:32" ht="17.149999999999999" x14ac:dyDescent="0.55000000000000004">
      <c r="B2201" t="str">
        <f t="shared" si="7204"/>
        <v>Portland</v>
      </c>
      <c r="C2201" t="s">
        <v>580</v>
      </c>
      <c r="D2201">
        <f>D2200*D2188</f>
        <v>4.739577185808354E-3</v>
      </c>
      <c r="E2201">
        <f t="shared" ref="E2201:O2201" si="7208">E2200*E2188</f>
        <v>4.8748667780818778E-3</v>
      </c>
      <c r="F2201">
        <f t="shared" si="7208"/>
        <v>5.119885034186122E-3</v>
      </c>
      <c r="G2201">
        <f t="shared" si="7208"/>
        <v>5.5846958573521795E-3</v>
      </c>
      <c r="H2201">
        <f t="shared" si="7208"/>
        <v>6.5274070972739821E-3</v>
      </c>
      <c r="I2201">
        <f t="shared" si="7208"/>
        <v>7.4199539958878279E-3</v>
      </c>
      <c r="J2201">
        <f t="shared" si="7208"/>
        <v>8.3358107202842254E-3</v>
      </c>
      <c r="K2201">
        <f t="shared" si="7208"/>
        <v>8.4605262729351115E-3</v>
      </c>
      <c r="L2201">
        <f t="shared" si="7208"/>
        <v>7.8399882233967533E-3</v>
      </c>
      <c r="M2201">
        <f t="shared" si="7208"/>
        <v>6.4173462075160911E-3</v>
      </c>
      <c r="N2201">
        <f t="shared" si="7208"/>
        <v>5.3015226887581056E-3</v>
      </c>
      <c r="O2201">
        <f t="shared" si="7208"/>
        <v>4.68970903600947E-3</v>
      </c>
    </row>
    <row r="2202" spans="2:32" ht="17.149999999999999" x14ac:dyDescent="0.55000000000000004">
      <c r="B2202" t="str">
        <f t="shared" si="7204"/>
        <v>Portland</v>
      </c>
      <c r="C2202" t="s">
        <v>581</v>
      </c>
      <c r="D2202" cm="1">
        <f t="array" ref="D2202">IFERROR(IF(D2187="Chemical",(10^(INDEX(Antoines,MATCH(D2186,Antoine_Name,0),2)-INDEX(Antoines,MATCH(D2186,Antoine_Name,0),3)/(INDEX(Antoines,MATCH(D2186,Antoine_Name,0),4)+(D2193-32)*5/9)))*14.7/760,IF(D2187="Crude Oil",EXP((2799/(D2193+459.6)-2.227)*LOG10(INDEX(FX_Input,Q$5,D$3*$Z$5+$AA$5))-(7261/(D2193+459.6))+12.82),IF(D2187="Refined Petroleum Stock",EXP((0.7553-(413/(D2193+459.6)))*(INDEX(FX_Input,Q$5,D$3*$Z$5+$AA$5-1)^0.5)*LOG10(INDEX(FX_Input,Q$5,D$3*$Z$5+$AA$5))-(1.854-(1042/(D2193+459.6)))*(INDEX(FX_Input,Q$5,D$3*$Z$5+$AA$5-1)^0.5)+((2416/(D2193+459.6)-2.013)*LOG10(INDEX(FX_Input,Q$5,D$3*$Z$5+$AA$5)))-(8742/(D2193+459.6))+15.64),EXP(INDEX(Antoines,MATCH(D2186,Antoine_Name,0),2)-INDEX(Antoines,MATCH(D2186,Antoine_Name,0),3)/(D2193+459.6))))),0)</f>
        <v>0</v>
      </c>
      <c r="E2202" cm="1">
        <f t="array" ref="E2202">IFERROR(IF(E2187="Chemical",(10^(INDEX(Antoines,MATCH(E2186,Antoine_Name,0),2)-INDEX(Antoines,MATCH(E2186,Antoine_Name,0),3)/(INDEX(Antoines,MATCH(E2186,Antoine_Name,0),4)+(E2193-32)*5/9)))*14.7/760,IF(E2187="Crude Oil",EXP((2799/(E2193+459.6)-2.227)*LOG10(INDEX(FX_Input,R$5,E$3*$Z$5+$AA$5))-(7261/(E2193+459.6))+12.82),IF(E2187="Refined Petroleum Stock",EXP((0.7553-(413/(E2193+459.6)))*(INDEX(FX_Input,R$5,E$3*$Z$5+$AA$5-1)^0.5)*LOG10(INDEX(FX_Input,R$5,E$3*$Z$5+$AA$5))-(1.854-(1042/(E2193+459.6)))*(INDEX(FX_Input,R$5,E$3*$Z$5+$AA$5-1)^0.5)+((2416/(E2193+459.6)-2.013)*LOG10(INDEX(FX_Input,R$5,E$3*$Z$5+$AA$5)))-(8742/(E2193+459.6))+15.64),EXP(INDEX(Antoines,MATCH(E2186,Antoine_Name,0),2)-INDEX(Antoines,MATCH(E2186,Antoine_Name,0),3)/(E2193+459.6))))),0)</f>
        <v>0</v>
      </c>
      <c r="F2202" cm="1">
        <f t="array" ref="F2202">IFERROR(IF(F2187="Chemical",(10^(INDEX(Antoines,MATCH(F2186,Antoine_Name,0),2)-INDEX(Antoines,MATCH(F2186,Antoine_Name,0),3)/(INDEX(Antoines,MATCH(F2186,Antoine_Name,0),4)+(F2193-32)*5/9)))*14.7/760,IF(F2187="Crude Oil",EXP((2799/(F2193+459.6)-2.227)*LOG10(INDEX(FX_Input,S$5,F$3*$Z$5+$AA$5))-(7261/(F2193+459.6))+12.82),IF(F2187="Refined Petroleum Stock",EXP((0.7553-(413/(F2193+459.6)))*(INDEX(FX_Input,S$5,F$3*$Z$5+$AA$5-1)^0.5)*LOG10(INDEX(FX_Input,S$5,F$3*$Z$5+$AA$5))-(1.854-(1042/(F2193+459.6)))*(INDEX(FX_Input,S$5,F$3*$Z$5+$AA$5-1)^0.5)+((2416/(F2193+459.6)-2.013)*LOG10(INDEX(FX_Input,S$5,F$3*$Z$5+$AA$5)))-(8742/(F2193+459.6))+15.64),EXP(INDEX(Antoines,MATCH(F2186,Antoine_Name,0),2)-INDEX(Antoines,MATCH(F2186,Antoine_Name,0),3)/(F2193+459.6))))),0)</f>
        <v>0</v>
      </c>
      <c r="G2202" cm="1">
        <f t="array" ref="G2202">IFERROR(IF(G2187="Chemical",(10^(INDEX(Antoines,MATCH(G2186,Antoine_Name,0),2)-INDEX(Antoines,MATCH(G2186,Antoine_Name,0),3)/(INDEX(Antoines,MATCH(G2186,Antoine_Name,0),4)+(G2193-32)*5/9)))*14.7/760,IF(G2187="Crude Oil",EXP((2799/(G2193+459.6)-2.227)*LOG10(INDEX(FX_Input,T$5,G$3*$Z$5+$AA$5))-(7261/(G2193+459.6))+12.82),IF(G2187="Refined Petroleum Stock",EXP((0.7553-(413/(G2193+459.6)))*(INDEX(FX_Input,T$5,G$3*$Z$5+$AA$5-1)^0.5)*LOG10(INDEX(FX_Input,T$5,G$3*$Z$5+$AA$5))-(1.854-(1042/(G2193+459.6)))*(INDEX(FX_Input,T$5,G$3*$Z$5+$AA$5-1)^0.5)+((2416/(G2193+459.6)-2.013)*LOG10(INDEX(FX_Input,T$5,G$3*$Z$5+$AA$5)))-(8742/(G2193+459.6))+15.64),EXP(INDEX(Antoines,MATCH(G2186,Antoine_Name,0),2)-INDEX(Antoines,MATCH(G2186,Antoine_Name,0),3)/(G2193+459.6))))),0)</f>
        <v>0</v>
      </c>
      <c r="H2202" cm="1">
        <f t="array" ref="H2202">IFERROR(IF(H2187="Chemical",(10^(INDEX(Antoines,MATCH(H2186,Antoine_Name,0),2)-INDEX(Antoines,MATCH(H2186,Antoine_Name,0),3)/(INDEX(Antoines,MATCH(H2186,Antoine_Name,0),4)+(H2193-32)*5/9)))*14.7/760,IF(H2187="Crude Oil",EXP((2799/(H2193+459.6)-2.227)*LOG10(INDEX(FX_Input,U$5,H$3*$Z$5+$AA$5))-(7261/(H2193+459.6))+12.82),IF(H2187="Refined Petroleum Stock",EXP((0.7553-(413/(H2193+459.6)))*(INDEX(FX_Input,U$5,H$3*$Z$5+$AA$5-1)^0.5)*LOG10(INDEX(FX_Input,U$5,H$3*$Z$5+$AA$5))-(1.854-(1042/(H2193+459.6)))*(INDEX(FX_Input,U$5,H$3*$Z$5+$AA$5-1)^0.5)+((2416/(H2193+459.6)-2.013)*LOG10(INDEX(FX_Input,U$5,H$3*$Z$5+$AA$5)))-(8742/(H2193+459.6))+15.64),EXP(INDEX(Antoines,MATCH(H2186,Antoine_Name,0),2)-INDEX(Antoines,MATCH(H2186,Antoine_Name,0),3)/(H2193+459.6))))),0)</f>
        <v>0</v>
      </c>
      <c r="I2202" cm="1">
        <f t="array" ref="I2202">IFERROR(IF(I2187="Chemical",(10^(INDEX(Antoines,MATCH(I2186,Antoine_Name,0),2)-INDEX(Antoines,MATCH(I2186,Antoine_Name,0),3)/(INDEX(Antoines,MATCH(I2186,Antoine_Name,0),4)+(I2193-32)*5/9)))*14.7/760,IF(I2187="Crude Oil",EXP((2799/(I2193+459.6)-2.227)*LOG10(INDEX(FX_Input,V$5,I$3*$Z$5+$AA$5))-(7261/(I2193+459.6))+12.82),IF(I2187="Refined Petroleum Stock",EXP((0.7553-(413/(I2193+459.6)))*(INDEX(FX_Input,V$5,I$3*$Z$5+$AA$5-1)^0.5)*LOG10(INDEX(FX_Input,V$5,I$3*$Z$5+$AA$5))-(1.854-(1042/(I2193+459.6)))*(INDEX(FX_Input,V$5,I$3*$Z$5+$AA$5-1)^0.5)+((2416/(I2193+459.6)-2.013)*LOG10(INDEX(FX_Input,V$5,I$3*$Z$5+$AA$5)))-(8742/(I2193+459.6))+15.64),EXP(INDEX(Antoines,MATCH(I2186,Antoine_Name,0),2)-INDEX(Antoines,MATCH(I2186,Antoine_Name,0),3)/(I2193+459.6))))),0)</f>
        <v>0</v>
      </c>
      <c r="J2202" cm="1">
        <f t="array" ref="J2202">IFERROR(IF(J2187="Chemical",(10^(INDEX(Antoines,MATCH(J2186,Antoine_Name,0),2)-INDEX(Antoines,MATCH(J2186,Antoine_Name,0),3)/(INDEX(Antoines,MATCH(J2186,Antoine_Name,0),4)+(J2193-32)*5/9)))*14.7/760,IF(J2187="Crude Oil",EXP((2799/(J2193+459.6)-2.227)*LOG10(INDEX(FX_Input,W$5,J$3*$Z$5+$AA$5))-(7261/(J2193+459.6))+12.82),IF(J2187="Refined Petroleum Stock",EXP((0.7553-(413/(J2193+459.6)))*(INDEX(FX_Input,W$5,J$3*$Z$5+$AA$5-1)^0.5)*LOG10(INDEX(FX_Input,W$5,J$3*$Z$5+$AA$5))-(1.854-(1042/(J2193+459.6)))*(INDEX(FX_Input,W$5,J$3*$Z$5+$AA$5-1)^0.5)+((2416/(J2193+459.6)-2.013)*LOG10(INDEX(FX_Input,W$5,J$3*$Z$5+$AA$5)))-(8742/(J2193+459.6))+15.64),EXP(INDEX(Antoines,MATCH(J2186,Antoine_Name,0),2)-INDEX(Antoines,MATCH(J2186,Antoine_Name,0),3)/(J2193+459.6))))),0)</f>
        <v>0</v>
      </c>
      <c r="K2202" cm="1">
        <f t="array" ref="K2202">IFERROR(IF(K2187="Chemical",(10^(INDEX(Antoines,MATCH(K2186,Antoine_Name,0),2)-INDEX(Antoines,MATCH(K2186,Antoine_Name,0),3)/(INDEX(Antoines,MATCH(K2186,Antoine_Name,0),4)+(K2193-32)*5/9)))*14.7/760,IF(K2187="Crude Oil",EXP((2799/(K2193+459.6)-2.227)*LOG10(INDEX(FX_Input,X$5,K$3*$Z$5+$AA$5))-(7261/(K2193+459.6))+12.82),IF(K2187="Refined Petroleum Stock",EXP((0.7553-(413/(K2193+459.6)))*(INDEX(FX_Input,X$5,K$3*$Z$5+$AA$5-1)^0.5)*LOG10(INDEX(FX_Input,X$5,K$3*$Z$5+$AA$5))-(1.854-(1042/(K2193+459.6)))*(INDEX(FX_Input,X$5,K$3*$Z$5+$AA$5-1)^0.5)+((2416/(K2193+459.6)-2.013)*LOG10(INDEX(FX_Input,X$5,K$3*$Z$5+$AA$5)))-(8742/(K2193+459.6))+15.64),EXP(INDEX(Antoines,MATCH(K2186,Antoine_Name,0),2)-INDEX(Antoines,MATCH(K2186,Antoine_Name,0),3)/(K2193+459.6))))),0)</f>
        <v>0</v>
      </c>
      <c r="L2202" cm="1">
        <f t="array" ref="L2202">IFERROR(IF(L2187="Chemical",(10^(INDEX(Antoines,MATCH(L2186,Antoine_Name,0),2)-INDEX(Antoines,MATCH(L2186,Antoine_Name,0),3)/(INDEX(Antoines,MATCH(L2186,Antoine_Name,0),4)+(L2193-32)*5/9)))*14.7/760,IF(L2187="Crude Oil",EXP((2799/(L2193+459.6)-2.227)*LOG10(INDEX(FX_Input,Y$5,L$3*$Z$5+$AA$5))-(7261/(L2193+459.6))+12.82),IF(L2187="Refined Petroleum Stock",EXP((0.7553-(413/(L2193+459.6)))*(INDEX(FX_Input,Y$5,L$3*$Z$5+$AA$5-1)^0.5)*LOG10(INDEX(FX_Input,Y$5,L$3*$Z$5+$AA$5))-(1.854-(1042/(L2193+459.6)))*(INDEX(FX_Input,Y$5,L$3*$Z$5+$AA$5-1)^0.5)+((2416/(L2193+459.6)-2.013)*LOG10(INDEX(FX_Input,Y$5,L$3*$Z$5+$AA$5)))-(8742/(L2193+459.6))+15.64),EXP(INDEX(Antoines,MATCH(L2186,Antoine_Name,0),2)-INDEX(Antoines,MATCH(L2186,Antoine_Name,0),3)/(L2193+459.6))))),0)</f>
        <v>0</v>
      </c>
      <c r="M2202" cm="1">
        <f t="array" ref="M2202">IFERROR(IF(M2187="Chemical",(10^(INDEX(Antoines,MATCH(M2186,Antoine_Name,0),2)-INDEX(Antoines,MATCH(M2186,Antoine_Name,0),3)/(INDEX(Antoines,MATCH(M2186,Antoine_Name,0),4)+(M2193-32)*5/9)))*14.7/760,IF(M2187="Crude Oil",EXP((2799/(M2193+459.6)-2.227)*LOG10(INDEX(FX_Input,Z$5,M$3*$Z$5+$AA$5))-(7261/(M2193+459.6))+12.82),IF(M2187="Refined Petroleum Stock",EXP((0.7553-(413/(M2193+459.6)))*(INDEX(FX_Input,Z$5,M$3*$Z$5+$AA$5-1)^0.5)*LOG10(INDEX(FX_Input,Z$5,M$3*$Z$5+$AA$5))-(1.854-(1042/(M2193+459.6)))*(INDEX(FX_Input,Z$5,M$3*$Z$5+$AA$5-1)^0.5)+((2416/(M2193+459.6)-2.013)*LOG10(INDEX(FX_Input,Z$5,M$3*$Z$5+$AA$5)))-(8742/(M2193+459.6))+15.64),EXP(INDEX(Antoines,MATCH(M2186,Antoine_Name,0),2)-INDEX(Antoines,MATCH(M2186,Antoine_Name,0),3)/(M2193+459.6))))),0)</f>
        <v>0</v>
      </c>
      <c r="N2202" cm="1">
        <f t="array" ref="N2202">IFERROR(IF(N2187="Chemical",(10^(INDEX(Antoines,MATCH(N2186,Antoine_Name,0),2)-INDEX(Antoines,MATCH(N2186,Antoine_Name,0),3)/(INDEX(Antoines,MATCH(N2186,Antoine_Name,0),4)+(N2193-32)*5/9)))*14.7/760,IF(N2187="Crude Oil",EXP((2799/(N2193+459.6)-2.227)*LOG10(INDEX(FX_Input,AA$5,N$3*$Z$5+$AA$5))-(7261/(N2193+459.6))+12.82),IF(N2187="Refined Petroleum Stock",EXP((0.7553-(413/(N2193+459.6)))*(INDEX(FX_Input,AA$5,N$3*$Z$5+$AA$5-1)^0.5)*LOG10(INDEX(FX_Input,AA$5,N$3*$Z$5+$AA$5))-(1.854-(1042/(N2193+459.6)))*(INDEX(FX_Input,AA$5,N$3*$Z$5+$AA$5-1)^0.5)+((2416/(N2193+459.6)-2.013)*LOG10(INDEX(FX_Input,AA$5,N$3*$Z$5+$AA$5)))-(8742/(N2193+459.6))+15.64),EXP(INDEX(Antoines,MATCH(N2186,Antoine_Name,0),2)-INDEX(Antoines,MATCH(N2186,Antoine_Name,0),3)/(N2193+459.6))))),0)</f>
        <v>0</v>
      </c>
      <c r="O2202" cm="1">
        <f t="array" ref="O2202">IFERROR(IF(O2187="Chemical",(10^(INDEX(Antoines,MATCH(O2186,Antoine_Name,0),2)-INDEX(Antoines,MATCH(O2186,Antoine_Name,0),3)/(INDEX(Antoines,MATCH(O2186,Antoine_Name,0),4)+(O2193-32)*5/9)))*14.7/760,IF(O2187="Crude Oil",EXP((2799/(O2193+459.6)-2.227)*LOG10(INDEX(FX_Input,AB$5,O$3*$Z$5+$AA$5))-(7261/(O2193+459.6))+12.82),IF(O2187="Refined Petroleum Stock",EXP((0.7553-(413/(O2193+459.6)))*(INDEX(FX_Input,AB$5,O$3*$Z$5+$AA$5-1)^0.5)*LOG10(INDEX(FX_Input,AB$5,O$3*$Z$5+$AA$5))-(1.854-(1042/(O2193+459.6)))*(INDEX(FX_Input,AB$5,O$3*$Z$5+$AA$5-1)^0.5)+((2416/(O2193+459.6)-2.013)*LOG10(INDEX(FX_Input,AB$5,O$3*$Z$5+$AA$5)))-(8742/(O2193+459.6))+15.64),EXP(INDEX(Antoines,MATCH(O2186,Antoine_Name,0),2)-INDEX(Antoines,MATCH(O2186,Antoine_Name,0),3)/(O2193+459.6))))),0)</f>
        <v>0</v>
      </c>
    </row>
    <row r="2203" spans="2:32" ht="17.149999999999999" x14ac:dyDescent="0.55000000000000004">
      <c r="B2203" t="str">
        <f t="shared" si="7204"/>
        <v>Portland</v>
      </c>
      <c r="C2203" t="s">
        <v>582</v>
      </c>
      <c r="D2203">
        <f>D2202*D2190</f>
        <v>0</v>
      </c>
      <c r="E2203">
        <f t="shared" ref="E2203:O2203" si="7209">E2202*E2190</f>
        <v>0</v>
      </c>
      <c r="F2203">
        <f t="shared" si="7209"/>
        <v>0</v>
      </c>
      <c r="G2203">
        <f t="shared" si="7209"/>
        <v>0</v>
      </c>
      <c r="H2203">
        <f t="shared" si="7209"/>
        <v>0</v>
      </c>
      <c r="I2203">
        <f t="shared" si="7209"/>
        <v>0</v>
      </c>
      <c r="J2203">
        <f t="shared" si="7209"/>
        <v>0</v>
      </c>
      <c r="K2203">
        <f t="shared" si="7209"/>
        <v>0</v>
      </c>
      <c r="L2203">
        <f t="shared" si="7209"/>
        <v>0</v>
      </c>
      <c r="M2203">
        <f t="shared" si="7209"/>
        <v>0</v>
      </c>
      <c r="N2203">
        <f t="shared" si="7209"/>
        <v>0</v>
      </c>
      <c r="O2203">
        <f t="shared" si="7209"/>
        <v>0</v>
      </c>
    </row>
    <row r="2204" spans="2:32" ht="17.149999999999999" x14ac:dyDescent="0.55000000000000004">
      <c r="B2204" t="str">
        <f t="shared" si="7204"/>
        <v>Portland</v>
      </c>
      <c r="C2204" t="s">
        <v>583</v>
      </c>
      <c r="D2204">
        <f>D2201+D2203</f>
        <v>4.739577185808354E-3</v>
      </c>
      <c r="E2204">
        <f t="shared" ref="E2204:O2204" si="7210">E2201+E2203</f>
        <v>4.8748667780818778E-3</v>
      </c>
      <c r="F2204">
        <f t="shared" si="7210"/>
        <v>5.119885034186122E-3</v>
      </c>
      <c r="G2204">
        <f t="shared" si="7210"/>
        <v>5.5846958573521795E-3</v>
      </c>
      <c r="H2204">
        <f t="shared" si="7210"/>
        <v>6.5274070972739821E-3</v>
      </c>
      <c r="I2204">
        <f t="shared" si="7210"/>
        <v>7.4199539958878279E-3</v>
      </c>
      <c r="J2204">
        <f t="shared" si="7210"/>
        <v>8.3358107202842254E-3</v>
      </c>
      <c r="K2204">
        <f t="shared" si="7210"/>
        <v>8.4605262729351115E-3</v>
      </c>
      <c r="L2204">
        <f t="shared" si="7210"/>
        <v>7.8399882233967533E-3</v>
      </c>
      <c r="M2204">
        <f t="shared" si="7210"/>
        <v>6.4173462075160911E-3</v>
      </c>
      <c r="N2204">
        <f t="shared" si="7210"/>
        <v>5.3015226887581056E-3</v>
      </c>
      <c r="O2204">
        <f t="shared" si="7210"/>
        <v>4.68970903600947E-3</v>
      </c>
    </row>
    <row r="2205" spans="2:32" ht="17.149999999999999" x14ac:dyDescent="0.55000000000000004">
      <c r="B2205" t="str">
        <f t="shared" si="7204"/>
        <v>Portland</v>
      </c>
      <c r="C2205" t="s">
        <v>1388</v>
      </c>
      <c r="D2205" cm="1">
        <f t="array" ref="D2205">IFERROR(IF(D2185="Chemical",(10^(INDEX(Antoines,MATCH(D2184,Antoine_Name,0),2)-INDEX(Antoines,MATCH(D2184,Antoine_Name,0),3)/(INDEX(Antoines,MATCH(D2184,Antoine_Name,0),4)+(D2194-32)*5/9)))*14.7/760,IF(D2185="Crude Oil",EXP((2799/(D2194+459.6)-2.227)*LOG10(INDEX(FX_Input,Q$5,D$3*$Z$5+$AA$5))-(7261/(D2194+459.6))+12.82),IF(D2185="Refined Petroleum Stock",EXP((0.7553-(413/(D2194+459.6)))*(INDEX(FX_Input,Q$5,D$3*$Z$5+$AA$5-1)^0.5)*LOG10(INDEX(FX_Input,Q$5,D$3*$Z$5+$AA$5))-(1.854-(1042/(D2194+459.6)))*(INDEX(FX_Input,Q$5,D$3*$Z$5+$AA$5-1)^0.5)+((2416/(D2194+459.6)-2.013)*LOG10(INDEX(FX_Input,Q$5,D$3*$Z$5+$AA$5)))-(8742/(D2194+459.6))+15.64),EXP(INDEX(Antoines,MATCH(D2184,Antoine_Name,0),2)-INDEX(Antoines,MATCH(D2184,Antoine_Name,0),3)/(D2194+459.6))))),0)</f>
        <v>4.739577185808354E-3</v>
      </c>
      <c r="E2205" cm="1">
        <f t="array" ref="E2205">IFERROR(IF(E2185="Chemical",(10^(INDEX(Antoines,MATCH(E2184,Antoine_Name,0),2)-INDEX(Antoines,MATCH(E2184,Antoine_Name,0),3)/(INDEX(Antoines,MATCH(E2184,Antoine_Name,0),4)+(E2194-32)*5/9)))*14.7/760,IF(E2185="Crude Oil",EXP((2799/(E2194+459.6)-2.227)*LOG10(INDEX(FX_Input,R$5,E$3*$Z$5+$AA$5))-(7261/(E2194+459.6))+12.82),IF(E2185="Refined Petroleum Stock",EXP((0.7553-(413/(E2194+459.6)))*(INDEX(FX_Input,R$5,E$3*$Z$5+$AA$5-1)^0.5)*LOG10(INDEX(FX_Input,R$5,E$3*$Z$5+$AA$5))-(1.854-(1042/(E2194+459.6)))*(INDEX(FX_Input,R$5,E$3*$Z$5+$AA$5-1)^0.5)+((2416/(E2194+459.6)-2.013)*LOG10(INDEX(FX_Input,R$5,E$3*$Z$5+$AA$5)))-(8742/(E2194+459.6))+15.64),EXP(INDEX(Antoines,MATCH(E2184,Antoine_Name,0),2)-INDEX(Antoines,MATCH(E2184,Antoine_Name,0),3)/(E2194+459.6))))),0)</f>
        <v>4.8748667780818778E-3</v>
      </c>
      <c r="F2205" cm="1">
        <f t="array" ref="F2205">IFERROR(IF(F2185="Chemical",(10^(INDEX(Antoines,MATCH(F2184,Antoine_Name,0),2)-INDEX(Antoines,MATCH(F2184,Antoine_Name,0),3)/(INDEX(Antoines,MATCH(F2184,Antoine_Name,0),4)+(F2194-32)*5/9)))*14.7/760,IF(F2185="Crude Oil",EXP((2799/(F2194+459.6)-2.227)*LOG10(INDEX(FX_Input,S$5,F$3*$Z$5+$AA$5))-(7261/(F2194+459.6))+12.82),IF(F2185="Refined Petroleum Stock",EXP((0.7553-(413/(F2194+459.6)))*(INDEX(FX_Input,S$5,F$3*$Z$5+$AA$5-1)^0.5)*LOG10(INDEX(FX_Input,S$5,F$3*$Z$5+$AA$5))-(1.854-(1042/(F2194+459.6)))*(INDEX(FX_Input,S$5,F$3*$Z$5+$AA$5-1)^0.5)+((2416/(F2194+459.6)-2.013)*LOG10(INDEX(FX_Input,S$5,F$3*$Z$5+$AA$5)))-(8742/(F2194+459.6))+15.64),EXP(INDEX(Antoines,MATCH(F2184,Antoine_Name,0),2)-INDEX(Antoines,MATCH(F2184,Antoine_Name,0),3)/(F2194+459.6))))),0)</f>
        <v>5.119885034186122E-3</v>
      </c>
      <c r="G2205" cm="1">
        <f t="array" ref="G2205">IFERROR(IF(G2185="Chemical",(10^(INDEX(Antoines,MATCH(G2184,Antoine_Name,0),2)-INDEX(Antoines,MATCH(G2184,Antoine_Name,0),3)/(INDEX(Antoines,MATCH(G2184,Antoine_Name,0),4)+(G2194-32)*5/9)))*14.7/760,IF(G2185="Crude Oil",EXP((2799/(G2194+459.6)-2.227)*LOG10(INDEX(FX_Input,T$5,G$3*$Z$5+$AA$5))-(7261/(G2194+459.6))+12.82),IF(G2185="Refined Petroleum Stock",EXP((0.7553-(413/(G2194+459.6)))*(INDEX(FX_Input,T$5,G$3*$Z$5+$AA$5-1)^0.5)*LOG10(INDEX(FX_Input,T$5,G$3*$Z$5+$AA$5))-(1.854-(1042/(G2194+459.6)))*(INDEX(FX_Input,T$5,G$3*$Z$5+$AA$5-1)^0.5)+((2416/(G2194+459.6)-2.013)*LOG10(INDEX(FX_Input,T$5,G$3*$Z$5+$AA$5)))-(8742/(G2194+459.6))+15.64),EXP(INDEX(Antoines,MATCH(G2184,Antoine_Name,0),2)-INDEX(Antoines,MATCH(G2184,Antoine_Name,0),3)/(G2194+459.6))))),0)</f>
        <v>5.5846958573521795E-3</v>
      </c>
      <c r="H2205" cm="1">
        <f t="array" ref="H2205">IFERROR(IF(H2185="Chemical",(10^(INDEX(Antoines,MATCH(H2184,Antoine_Name,0),2)-INDEX(Antoines,MATCH(H2184,Antoine_Name,0),3)/(INDEX(Antoines,MATCH(H2184,Antoine_Name,0),4)+(H2194-32)*5/9)))*14.7/760,IF(H2185="Crude Oil",EXP((2799/(H2194+459.6)-2.227)*LOG10(INDEX(FX_Input,U$5,H$3*$Z$5+$AA$5))-(7261/(H2194+459.6))+12.82),IF(H2185="Refined Petroleum Stock",EXP((0.7553-(413/(H2194+459.6)))*(INDEX(FX_Input,U$5,H$3*$Z$5+$AA$5-1)^0.5)*LOG10(INDEX(FX_Input,U$5,H$3*$Z$5+$AA$5))-(1.854-(1042/(H2194+459.6)))*(INDEX(FX_Input,U$5,H$3*$Z$5+$AA$5-1)^0.5)+((2416/(H2194+459.6)-2.013)*LOG10(INDEX(FX_Input,U$5,H$3*$Z$5+$AA$5)))-(8742/(H2194+459.6))+15.64),EXP(INDEX(Antoines,MATCH(H2184,Antoine_Name,0),2)-INDEX(Antoines,MATCH(H2184,Antoine_Name,0),3)/(H2194+459.6))))),0)</f>
        <v>6.5274070972739821E-3</v>
      </c>
      <c r="I2205" cm="1">
        <f t="array" ref="I2205">IFERROR(IF(I2185="Chemical",(10^(INDEX(Antoines,MATCH(I2184,Antoine_Name,0),2)-INDEX(Antoines,MATCH(I2184,Antoine_Name,0),3)/(INDEX(Antoines,MATCH(I2184,Antoine_Name,0),4)+(I2194-32)*5/9)))*14.7/760,IF(I2185="Crude Oil",EXP((2799/(I2194+459.6)-2.227)*LOG10(INDEX(FX_Input,V$5,I$3*$Z$5+$AA$5))-(7261/(I2194+459.6))+12.82),IF(I2185="Refined Petroleum Stock",EXP((0.7553-(413/(I2194+459.6)))*(INDEX(FX_Input,V$5,I$3*$Z$5+$AA$5-1)^0.5)*LOG10(INDEX(FX_Input,V$5,I$3*$Z$5+$AA$5))-(1.854-(1042/(I2194+459.6)))*(INDEX(FX_Input,V$5,I$3*$Z$5+$AA$5-1)^0.5)+((2416/(I2194+459.6)-2.013)*LOG10(INDEX(FX_Input,V$5,I$3*$Z$5+$AA$5)))-(8742/(I2194+459.6))+15.64),EXP(INDEX(Antoines,MATCH(I2184,Antoine_Name,0),2)-INDEX(Antoines,MATCH(I2184,Antoine_Name,0),3)/(I2194+459.6))))),0)</f>
        <v>7.4199539958878279E-3</v>
      </c>
      <c r="J2205" cm="1">
        <f t="array" ref="J2205">IFERROR(IF(J2185="Chemical",(10^(INDEX(Antoines,MATCH(J2184,Antoine_Name,0),2)-INDEX(Antoines,MATCH(J2184,Antoine_Name,0),3)/(INDEX(Antoines,MATCH(J2184,Antoine_Name,0),4)+(J2194-32)*5/9)))*14.7/760,IF(J2185="Crude Oil",EXP((2799/(J2194+459.6)-2.227)*LOG10(INDEX(FX_Input,W$5,J$3*$Z$5+$AA$5))-(7261/(J2194+459.6))+12.82),IF(J2185="Refined Petroleum Stock",EXP((0.7553-(413/(J2194+459.6)))*(INDEX(FX_Input,W$5,J$3*$Z$5+$AA$5-1)^0.5)*LOG10(INDEX(FX_Input,W$5,J$3*$Z$5+$AA$5))-(1.854-(1042/(J2194+459.6)))*(INDEX(FX_Input,W$5,J$3*$Z$5+$AA$5-1)^0.5)+((2416/(J2194+459.6)-2.013)*LOG10(INDEX(FX_Input,W$5,J$3*$Z$5+$AA$5)))-(8742/(J2194+459.6))+15.64),EXP(INDEX(Antoines,MATCH(J2184,Antoine_Name,0),2)-INDEX(Antoines,MATCH(J2184,Antoine_Name,0),3)/(J2194+459.6))))),0)</f>
        <v>8.3358107202842254E-3</v>
      </c>
      <c r="K2205" cm="1">
        <f t="array" ref="K2205">IFERROR(IF(K2185="Chemical",(10^(INDEX(Antoines,MATCH(K2184,Antoine_Name,0),2)-INDEX(Antoines,MATCH(K2184,Antoine_Name,0),3)/(INDEX(Antoines,MATCH(K2184,Antoine_Name,0),4)+(K2194-32)*5/9)))*14.7/760,IF(K2185="Crude Oil",EXP((2799/(K2194+459.6)-2.227)*LOG10(INDEX(FX_Input,X$5,K$3*$Z$5+$AA$5))-(7261/(K2194+459.6))+12.82),IF(K2185="Refined Petroleum Stock",EXP((0.7553-(413/(K2194+459.6)))*(INDEX(FX_Input,X$5,K$3*$Z$5+$AA$5-1)^0.5)*LOG10(INDEX(FX_Input,X$5,K$3*$Z$5+$AA$5))-(1.854-(1042/(K2194+459.6)))*(INDEX(FX_Input,X$5,K$3*$Z$5+$AA$5-1)^0.5)+((2416/(K2194+459.6)-2.013)*LOG10(INDEX(FX_Input,X$5,K$3*$Z$5+$AA$5)))-(8742/(K2194+459.6))+15.64),EXP(INDEX(Antoines,MATCH(K2184,Antoine_Name,0),2)-INDEX(Antoines,MATCH(K2184,Antoine_Name,0),3)/(K2194+459.6))))),0)</f>
        <v>8.4605262729351115E-3</v>
      </c>
      <c r="L2205" cm="1">
        <f t="array" ref="L2205">IFERROR(IF(L2185="Chemical",(10^(INDEX(Antoines,MATCH(L2184,Antoine_Name,0),2)-INDEX(Antoines,MATCH(L2184,Antoine_Name,0),3)/(INDEX(Antoines,MATCH(L2184,Antoine_Name,0),4)+(L2194-32)*5/9)))*14.7/760,IF(L2185="Crude Oil",EXP((2799/(L2194+459.6)-2.227)*LOG10(INDEX(FX_Input,Y$5,L$3*$Z$5+$AA$5))-(7261/(L2194+459.6))+12.82),IF(L2185="Refined Petroleum Stock",EXP((0.7553-(413/(L2194+459.6)))*(INDEX(FX_Input,Y$5,L$3*$Z$5+$AA$5-1)^0.5)*LOG10(INDEX(FX_Input,Y$5,L$3*$Z$5+$AA$5))-(1.854-(1042/(L2194+459.6)))*(INDEX(FX_Input,Y$5,L$3*$Z$5+$AA$5-1)^0.5)+((2416/(L2194+459.6)-2.013)*LOG10(INDEX(FX_Input,Y$5,L$3*$Z$5+$AA$5)))-(8742/(L2194+459.6))+15.64),EXP(INDEX(Antoines,MATCH(L2184,Antoine_Name,0),2)-INDEX(Antoines,MATCH(L2184,Antoine_Name,0),3)/(L2194+459.6))))),0)</f>
        <v>7.8399882233967533E-3</v>
      </c>
      <c r="M2205" cm="1">
        <f t="array" ref="M2205">IFERROR(IF(M2185="Chemical",(10^(INDEX(Antoines,MATCH(M2184,Antoine_Name,0),2)-INDEX(Antoines,MATCH(M2184,Antoine_Name,0),3)/(INDEX(Antoines,MATCH(M2184,Antoine_Name,0),4)+(M2194-32)*5/9)))*14.7/760,IF(M2185="Crude Oil",EXP((2799/(M2194+459.6)-2.227)*LOG10(INDEX(FX_Input,Z$5,M$3*$Z$5+$AA$5))-(7261/(M2194+459.6))+12.82),IF(M2185="Refined Petroleum Stock",EXP((0.7553-(413/(M2194+459.6)))*(INDEX(FX_Input,Z$5,M$3*$Z$5+$AA$5-1)^0.5)*LOG10(INDEX(FX_Input,Z$5,M$3*$Z$5+$AA$5))-(1.854-(1042/(M2194+459.6)))*(INDEX(FX_Input,Z$5,M$3*$Z$5+$AA$5-1)^0.5)+((2416/(M2194+459.6)-2.013)*LOG10(INDEX(FX_Input,Z$5,M$3*$Z$5+$AA$5)))-(8742/(M2194+459.6))+15.64),EXP(INDEX(Antoines,MATCH(M2184,Antoine_Name,0),2)-INDEX(Antoines,MATCH(M2184,Antoine_Name,0),3)/(M2194+459.6))))),0)</f>
        <v>6.4173462075160911E-3</v>
      </c>
      <c r="N2205" cm="1">
        <f t="array" ref="N2205">IFERROR(IF(N2185="Chemical",(10^(INDEX(Antoines,MATCH(N2184,Antoine_Name,0),2)-INDEX(Antoines,MATCH(N2184,Antoine_Name,0),3)/(INDEX(Antoines,MATCH(N2184,Antoine_Name,0),4)+(N2194-32)*5/9)))*14.7/760,IF(N2185="Crude Oil",EXP((2799/(N2194+459.6)-2.227)*LOG10(INDEX(FX_Input,AA$5,N$3*$Z$5+$AA$5))-(7261/(N2194+459.6))+12.82),IF(N2185="Refined Petroleum Stock",EXP((0.7553-(413/(N2194+459.6)))*(INDEX(FX_Input,AA$5,N$3*$Z$5+$AA$5-1)^0.5)*LOG10(INDEX(FX_Input,AA$5,N$3*$Z$5+$AA$5))-(1.854-(1042/(N2194+459.6)))*(INDEX(FX_Input,AA$5,N$3*$Z$5+$AA$5-1)^0.5)+((2416/(N2194+459.6)-2.013)*LOG10(INDEX(FX_Input,AA$5,N$3*$Z$5+$AA$5)))-(8742/(N2194+459.6))+15.64),EXP(INDEX(Antoines,MATCH(N2184,Antoine_Name,0),2)-INDEX(Antoines,MATCH(N2184,Antoine_Name,0),3)/(N2194+459.6))))),0)</f>
        <v>5.3015226887581056E-3</v>
      </c>
      <c r="O2205" cm="1">
        <f t="array" ref="O2205">IFERROR(IF(O2185="Chemical",(10^(INDEX(Antoines,MATCH(O2184,Antoine_Name,0),2)-INDEX(Antoines,MATCH(O2184,Antoine_Name,0),3)/(INDEX(Antoines,MATCH(O2184,Antoine_Name,0),4)+(O2194-32)*5/9)))*14.7/760,IF(O2185="Crude Oil",EXP((2799/(O2194+459.6)-2.227)*LOG10(INDEX(FX_Input,AB$5,O$3*$Z$5+$AA$5))-(7261/(O2194+459.6))+12.82),IF(O2185="Refined Petroleum Stock",EXP((0.7553-(413/(O2194+459.6)))*(INDEX(FX_Input,AB$5,O$3*$Z$5+$AA$5-1)^0.5)*LOG10(INDEX(FX_Input,AB$5,O$3*$Z$5+$AA$5))-(1.854-(1042/(O2194+459.6)))*(INDEX(FX_Input,AB$5,O$3*$Z$5+$AA$5-1)^0.5)+((2416/(O2194+459.6)-2.013)*LOG10(INDEX(FX_Input,AB$5,O$3*$Z$5+$AA$5)))-(8742/(O2194+459.6))+15.64),EXP(INDEX(Antoines,MATCH(O2184,Antoine_Name,0),2)-INDEX(Antoines,MATCH(O2184,Antoine_Name,0),3)/(O2194+459.6))))),0)</f>
        <v>4.68970903600947E-3</v>
      </c>
    </row>
    <row r="2206" spans="2:32" ht="17.149999999999999" x14ac:dyDescent="0.55000000000000004">
      <c r="B2206" t="str">
        <f t="shared" si="7204"/>
        <v>Portland</v>
      </c>
      <c r="C2206" t="s">
        <v>1389</v>
      </c>
      <c r="D2206">
        <f>D2205*D2188</f>
        <v>4.739577185808354E-3</v>
      </c>
      <c r="E2206">
        <f t="shared" ref="E2206:O2206" si="7211">E2205*E2188</f>
        <v>4.8748667780818778E-3</v>
      </c>
      <c r="F2206">
        <f t="shared" si="7211"/>
        <v>5.119885034186122E-3</v>
      </c>
      <c r="G2206">
        <f t="shared" si="7211"/>
        <v>5.5846958573521795E-3</v>
      </c>
      <c r="H2206">
        <f t="shared" si="7211"/>
        <v>6.5274070972739821E-3</v>
      </c>
      <c r="I2206">
        <f t="shared" si="7211"/>
        <v>7.4199539958878279E-3</v>
      </c>
      <c r="J2206">
        <f t="shared" si="7211"/>
        <v>8.3358107202842254E-3</v>
      </c>
      <c r="K2206">
        <f t="shared" si="7211"/>
        <v>8.4605262729351115E-3</v>
      </c>
      <c r="L2206">
        <f t="shared" si="7211"/>
        <v>7.8399882233967533E-3</v>
      </c>
      <c r="M2206">
        <f t="shared" si="7211"/>
        <v>6.4173462075160911E-3</v>
      </c>
      <c r="N2206">
        <f t="shared" si="7211"/>
        <v>5.3015226887581056E-3</v>
      </c>
      <c r="O2206">
        <f t="shared" si="7211"/>
        <v>4.68970903600947E-3</v>
      </c>
    </row>
    <row r="2207" spans="2:32" ht="17.149999999999999" x14ac:dyDescent="0.55000000000000004">
      <c r="B2207" t="str">
        <f t="shared" si="7204"/>
        <v>Portland</v>
      </c>
      <c r="C2207" t="s">
        <v>1390</v>
      </c>
      <c r="D2207" cm="1">
        <f t="array" ref="D2207">IFERROR(IF(D2187="Chemical",(10^(INDEX(Antoines,MATCH(D2186,Antoine_Name,0),2)-INDEX(Antoines,MATCH(D2186,Antoine_Name,0),3)/(INDEX(Antoines,MATCH(D2186,Antoine_Name,0),4)+(D2194-32)*5/9)))*14.7/760,IF(D2187="Crude Oil",EXP((2799/(D2194+459.6)-2.227)*LOG10(INDEX(FX_Input,Q$5,D$3*$Z$5+$AA$5))-(7261/(D2194+459.6))+12.82),IF(D2187="Refined Petroleum Stock",EXP((0.7553-(413/(D2194+459.6)))*(INDEX(FX_Input,Q$5,D$3*$Z$5+$AA$5-1)^0.5)*LOG10(INDEX(FX_Input,Q$5,D$3*$Z$5+$AA$5))-(1.854-(1042/(D2194+459.6)))*(INDEX(FX_Input,Q$5,D$3*$Z$5+$AA$5-1)^0.5)+((2416/(D2194+459.6)-2.013)*LOG10(INDEX(FX_Input,Q$5,D$3*$Z$5+$AA$5)))-(8742/(D2194+459.6))+15.64),EXP(INDEX(Antoines,MATCH(D2186,Antoine_Name,0),2)-INDEX(Antoines,MATCH(D2186,Antoine_Name,0),3)/(D2194+459.6))))),0)</f>
        <v>0</v>
      </c>
      <c r="E2207" cm="1">
        <f t="array" ref="E2207">IFERROR(IF(E2187="Chemical",(10^(INDEX(Antoines,MATCH(E2186,Antoine_Name,0),2)-INDEX(Antoines,MATCH(E2186,Antoine_Name,0),3)/(INDEX(Antoines,MATCH(E2186,Antoine_Name,0),4)+(E2194-32)*5/9)))*14.7/760,IF(E2187="Crude Oil",EXP((2799/(E2194+459.6)-2.227)*LOG10(INDEX(FX_Input,R$5,E$3*$Z$5+$AA$5))-(7261/(E2194+459.6))+12.82),IF(E2187="Refined Petroleum Stock",EXP((0.7553-(413/(E2194+459.6)))*(INDEX(FX_Input,R$5,E$3*$Z$5+$AA$5-1)^0.5)*LOG10(INDEX(FX_Input,R$5,E$3*$Z$5+$AA$5))-(1.854-(1042/(E2194+459.6)))*(INDEX(FX_Input,R$5,E$3*$Z$5+$AA$5-1)^0.5)+((2416/(E2194+459.6)-2.013)*LOG10(INDEX(FX_Input,R$5,E$3*$Z$5+$AA$5)))-(8742/(E2194+459.6))+15.64),EXP(INDEX(Antoines,MATCH(E2186,Antoine_Name,0),2)-INDEX(Antoines,MATCH(E2186,Antoine_Name,0),3)/(E2194+459.6))))),0)</f>
        <v>0</v>
      </c>
      <c r="F2207" cm="1">
        <f t="array" ref="F2207">IFERROR(IF(F2187="Chemical",(10^(INDEX(Antoines,MATCH(F2186,Antoine_Name,0),2)-INDEX(Antoines,MATCH(F2186,Antoine_Name,0),3)/(INDEX(Antoines,MATCH(F2186,Antoine_Name,0),4)+(F2194-32)*5/9)))*14.7/760,IF(F2187="Crude Oil",EXP((2799/(F2194+459.6)-2.227)*LOG10(INDEX(FX_Input,S$5,F$3*$Z$5+$AA$5))-(7261/(F2194+459.6))+12.82),IF(F2187="Refined Petroleum Stock",EXP((0.7553-(413/(F2194+459.6)))*(INDEX(FX_Input,S$5,F$3*$Z$5+$AA$5-1)^0.5)*LOG10(INDEX(FX_Input,S$5,F$3*$Z$5+$AA$5))-(1.854-(1042/(F2194+459.6)))*(INDEX(FX_Input,S$5,F$3*$Z$5+$AA$5-1)^0.5)+((2416/(F2194+459.6)-2.013)*LOG10(INDEX(FX_Input,S$5,F$3*$Z$5+$AA$5)))-(8742/(F2194+459.6))+15.64),EXP(INDEX(Antoines,MATCH(F2186,Antoine_Name,0),2)-INDEX(Antoines,MATCH(F2186,Antoine_Name,0),3)/(F2194+459.6))))),0)</f>
        <v>0</v>
      </c>
      <c r="G2207" cm="1">
        <f t="array" ref="G2207">IFERROR(IF(G2187="Chemical",(10^(INDEX(Antoines,MATCH(G2186,Antoine_Name,0),2)-INDEX(Antoines,MATCH(G2186,Antoine_Name,0),3)/(INDEX(Antoines,MATCH(G2186,Antoine_Name,0),4)+(G2194-32)*5/9)))*14.7/760,IF(G2187="Crude Oil",EXP((2799/(G2194+459.6)-2.227)*LOG10(INDEX(FX_Input,T$5,G$3*$Z$5+$AA$5))-(7261/(G2194+459.6))+12.82),IF(G2187="Refined Petroleum Stock",EXP((0.7553-(413/(G2194+459.6)))*(INDEX(FX_Input,T$5,G$3*$Z$5+$AA$5-1)^0.5)*LOG10(INDEX(FX_Input,T$5,G$3*$Z$5+$AA$5))-(1.854-(1042/(G2194+459.6)))*(INDEX(FX_Input,T$5,G$3*$Z$5+$AA$5-1)^0.5)+((2416/(G2194+459.6)-2.013)*LOG10(INDEX(FX_Input,T$5,G$3*$Z$5+$AA$5)))-(8742/(G2194+459.6))+15.64),EXP(INDEX(Antoines,MATCH(G2186,Antoine_Name,0),2)-INDEX(Antoines,MATCH(G2186,Antoine_Name,0),3)/(G2194+459.6))))),0)</f>
        <v>0</v>
      </c>
      <c r="H2207" cm="1">
        <f t="array" ref="H2207">IFERROR(IF(H2187="Chemical",(10^(INDEX(Antoines,MATCH(H2186,Antoine_Name,0),2)-INDEX(Antoines,MATCH(H2186,Antoine_Name,0),3)/(INDEX(Antoines,MATCH(H2186,Antoine_Name,0),4)+(H2194-32)*5/9)))*14.7/760,IF(H2187="Crude Oil",EXP((2799/(H2194+459.6)-2.227)*LOG10(INDEX(FX_Input,U$5,H$3*$Z$5+$AA$5))-(7261/(H2194+459.6))+12.82),IF(H2187="Refined Petroleum Stock",EXP((0.7553-(413/(H2194+459.6)))*(INDEX(FX_Input,U$5,H$3*$Z$5+$AA$5-1)^0.5)*LOG10(INDEX(FX_Input,U$5,H$3*$Z$5+$AA$5))-(1.854-(1042/(H2194+459.6)))*(INDEX(FX_Input,U$5,H$3*$Z$5+$AA$5-1)^0.5)+((2416/(H2194+459.6)-2.013)*LOG10(INDEX(FX_Input,U$5,H$3*$Z$5+$AA$5)))-(8742/(H2194+459.6))+15.64),EXP(INDEX(Antoines,MATCH(H2186,Antoine_Name,0),2)-INDEX(Antoines,MATCH(H2186,Antoine_Name,0),3)/(H2194+459.6))))),0)</f>
        <v>0</v>
      </c>
      <c r="I2207" cm="1">
        <f t="array" ref="I2207">IFERROR(IF(I2187="Chemical",(10^(INDEX(Antoines,MATCH(I2186,Antoine_Name,0),2)-INDEX(Antoines,MATCH(I2186,Antoine_Name,0),3)/(INDEX(Antoines,MATCH(I2186,Antoine_Name,0),4)+(I2194-32)*5/9)))*14.7/760,IF(I2187="Crude Oil",EXP((2799/(I2194+459.6)-2.227)*LOG10(INDEX(FX_Input,V$5,I$3*$Z$5+$AA$5))-(7261/(I2194+459.6))+12.82),IF(I2187="Refined Petroleum Stock",EXP((0.7553-(413/(I2194+459.6)))*(INDEX(FX_Input,V$5,I$3*$Z$5+$AA$5-1)^0.5)*LOG10(INDEX(FX_Input,V$5,I$3*$Z$5+$AA$5))-(1.854-(1042/(I2194+459.6)))*(INDEX(FX_Input,V$5,I$3*$Z$5+$AA$5-1)^0.5)+((2416/(I2194+459.6)-2.013)*LOG10(INDEX(FX_Input,V$5,I$3*$Z$5+$AA$5)))-(8742/(I2194+459.6))+15.64),EXP(INDEX(Antoines,MATCH(I2186,Antoine_Name,0),2)-INDEX(Antoines,MATCH(I2186,Antoine_Name,0),3)/(I2194+459.6))))),0)</f>
        <v>0</v>
      </c>
      <c r="J2207" cm="1">
        <f t="array" ref="J2207">IFERROR(IF(J2187="Chemical",(10^(INDEX(Antoines,MATCH(J2186,Antoine_Name,0),2)-INDEX(Antoines,MATCH(J2186,Antoine_Name,0),3)/(INDEX(Antoines,MATCH(J2186,Antoine_Name,0),4)+(J2194-32)*5/9)))*14.7/760,IF(J2187="Crude Oil",EXP((2799/(J2194+459.6)-2.227)*LOG10(INDEX(FX_Input,W$5,J$3*$Z$5+$AA$5))-(7261/(J2194+459.6))+12.82),IF(J2187="Refined Petroleum Stock",EXP((0.7553-(413/(J2194+459.6)))*(INDEX(FX_Input,W$5,J$3*$Z$5+$AA$5-1)^0.5)*LOG10(INDEX(FX_Input,W$5,J$3*$Z$5+$AA$5))-(1.854-(1042/(J2194+459.6)))*(INDEX(FX_Input,W$5,J$3*$Z$5+$AA$5-1)^0.5)+((2416/(J2194+459.6)-2.013)*LOG10(INDEX(FX_Input,W$5,J$3*$Z$5+$AA$5)))-(8742/(J2194+459.6))+15.64),EXP(INDEX(Antoines,MATCH(J2186,Antoine_Name,0),2)-INDEX(Antoines,MATCH(J2186,Antoine_Name,0),3)/(J2194+459.6))))),0)</f>
        <v>0</v>
      </c>
      <c r="K2207" cm="1">
        <f t="array" ref="K2207">IFERROR(IF(K2187="Chemical",(10^(INDEX(Antoines,MATCH(K2186,Antoine_Name,0),2)-INDEX(Antoines,MATCH(K2186,Antoine_Name,0),3)/(INDEX(Antoines,MATCH(K2186,Antoine_Name,0),4)+(K2194-32)*5/9)))*14.7/760,IF(K2187="Crude Oil",EXP((2799/(K2194+459.6)-2.227)*LOG10(INDEX(FX_Input,X$5,K$3*$Z$5+$AA$5))-(7261/(K2194+459.6))+12.82),IF(K2187="Refined Petroleum Stock",EXP((0.7553-(413/(K2194+459.6)))*(INDEX(FX_Input,X$5,K$3*$Z$5+$AA$5-1)^0.5)*LOG10(INDEX(FX_Input,X$5,K$3*$Z$5+$AA$5))-(1.854-(1042/(K2194+459.6)))*(INDEX(FX_Input,X$5,K$3*$Z$5+$AA$5-1)^0.5)+((2416/(K2194+459.6)-2.013)*LOG10(INDEX(FX_Input,X$5,K$3*$Z$5+$AA$5)))-(8742/(K2194+459.6))+15.64),EXP(INDEX(Antoines,MATCH(K2186,Antoine_Name,0),2)-INDEX(Antoines,MATCH(K2186,Antoine_Name,0),3)/(K2194+459.6))))),0)</f>
        <v>0</v>
      </c>
      <c r="L2207" cm="1">
        <f t="array" ref="L2207">IFERROR(IF(L2187="Chemical",(10^(INDEX(Antoines,MATCH(L2186,Antoine_Name,0),2)-INDEX(Antoines,MATCH(L2186,Antoine_Name,0),3)/(INDEX(Antoines,MATCH(L2186,Antoine_Name,0),4)+(L2194-32)*5/9)))*14.7/760,IF(L2187="Crude Oil",EXP((2799/(L2194+459.6)-2.227)*LOG10(INDEX(FX_Input,Y$5,L$3*$Z$5+$AA$5))-(7261/(L2194+459.6))+12.82),IF(L2187="Refined Petroleum Stock",EXP((0.7553-(413/(L2194+459.6)))*(INDEX(FX_Input,Y$5,L$3*$Z$5+$AA$5-1)^0.5)*LOG10(INDEX(FX_Input,Y$5,L$3*$Z$5+$AA$5))-(1.854-(1042/(L2194+459.6)))*(INDEX(FX_Input,Y$5,L$3*$Z$5+$AA$5-1)^0.5)+((2416/(L2194+459.6)-2.013)*LOG10(INDEX(FX_Input,Y$5,L$3*$Z$5+$AA$5)))-(8742/(L2194+459.6))+15.64),EXP(INDEX(Antoines,MATCH(L2186,Antoine_Name,0),2)-INDEX(Antoines,MATCH(L2186,Antoine_Name,0),3)/(L2194+459.6))))),0)</f>
        <v>0</v>
      </c>
      <c r="M2207" cm="1">
        <f t="array" ref="M2207">IFERROR(IF(M2187="Chemical",(10^(INDEX(Antoines,MATCH(M2186,Antoine_Name,0),2)-INDEX(Antoines,MATCH(M2186,Antoine_Name,0),3)/(INDEX(Antoines,MATCH(M2186,Antoine_Name,0),4)+(M2194-32)*5/9)))*14.7/760,IF(M2187="Crude Oil",EXP((2799/(M2194+459.6)-2.227)*LOG10(INDEX(FX_Input,Z$5,M$3*$Z$5+$AA$5))-(7261/(M2194+459.6))+12.82),IF(M2187="Refined Petroleum Stock",EXP((0.7553-(413/(M2194+459.6)))*(INDEX(FX_Input,Z$5,M$3*$Z$5+$AA$5-1)^0.5)*LOG10(INDEX(FX_Input,Z$5,M$3*$Z$5+$AA$5))-(1.854-(1042/(M2194+459.6)))*(INDEX(FX_Input,Z$5,M$3*$Z$5+$AA$5-1)^0.5)+((2416/(M2194+459.6)-2.013)*LOG10(INDEX(FX_Input,Z$5,M$3*$Z$5+$AA$5)))-(8742/(M2194+459.6))+15.64),EXP(INDEX(Antoines,MATCH(M2186,Antoine_Name,0),2)-INDEX(Antoines,MATCH(M2186,Antoine_Name,0),3)/(M2194+459.6))))),0)</f>
        <v>0</v>
      </c>
      <c r="N2207" cm="1">
        <f t="array" ref="N2207">IFERROR(IF(N2187="Chemical",(10^(INDEX(Antoines,MATCH(N2186,Antoine_Name,0),2)-INDEX(Antoines,MATCH(N2186,Antoine_Name,0),3)/(INDEX(Antoines,MATCH(N2186,Antoine_Name,0),4)+(N2194-32)*5/9)))*14.7/760,IF(N2187="Crude Oil",EXP((2799/(N2194+459.6)-2.227)*LOG10(INDEX(FX_Input,AA$5,N$3*$Z$5+$AA$5))-(7261/(N2194+459.6))+12.82),IF(N2187="Refined Petroleum Stock",EXP((0.7553-(413/(N2194+459.6)))*(INDEX(FX_Input,AA$5,N$3*$Z$5+$AA$5-1)^0.5)*LOG10(INDEX(FX_Input,AA$5,N$3*$Z$5+$AA$5))-(1.854-(1042/(N2194+459.6)))*(INDEX(FX_Input,AA$5,N$3*$Z$5+$AA$5-1)^0.5)+((2416/(N2194+459.6)-2.013)*LOG10(INDEX(FX_Input,AA$5,N$3*$Z$5+$AA$5)))-(8742/(N2194+459.6))+15.64),EXP(INDEX(Antoines,MATCH(N2186,Antoine_Name,0),2)-INDEX(Antoines,MATCH(N2186,Antoine_Name,0),3)/(N2194+459.6))))),0)</f>
        <v>0</v>
      </c>
      <c r="O2207" cm="1">
        <f t="array" ref="O2207">IFERROR(IF(O2187="Chemical",(10^(INDEX(Antoines,MATCH(O2186,Antoine_Name,0),2)-INDEX(Antoines,MATCH(O2186,Antoine_Name,0),3)/(INDEX(Antoines,MATCH(O2186,Antoine_Name,0),4)+(O2194-32)*5/9)))*14.7/760,IF(O2187="Crude Oil",EXP((2799/(O2194+459.6)-2.227)*LOG10(INDEX(FX_Input,AB$5,O$3*$Z$5+$AA$5))-(7261/(O2194+459.6))+12.82),IF(O2187="Refined Petroleum Stock",EXP((0.7553-(413/(O2194+459.6)))*(INDEX(FX_Input,AB$5,O$3*$Z$5+$AA$5-1)^0.5)*LOG10(INDEX(FX_Input,AB$5,O$3*$Z$5+$AA$5))-(1.854-(1042/(O2194+459.6)))*(INDEX(FX_Input,AB$5,O$3*$Z$5+$AA$5-1)^0.5)+((2416/(O2194+459.6)-2.013)*LOG10(INDEX(FX_Input,AB$5,O$3*$Z$5+$AA$5)))-(8742/(O2194+459.6))+15.64),EXP(INDEX(Antoines,MATCH(O2186,Antoine_Name,0),2)-INDEX(Antoines,MATCH(O2186,Antoine_Name,0),3)/(O2194+459.6))))),0)</f>
        <v>0</v>
      </c>
    </row>
    <row r="2208" spans="2:32" ht="17.149999999999999" x14ac:dyDescent="0.55000000000000004">
      <c r="B2208" t="str">
        <f t="shared" si="7204"/>
        <v>Portland</v>
      </c>
      <c r="C2208" t="s">
        <v>1391</v>
      </c>
      <c r="D2208">
        <f>D2207*D2190</f>
        <v>0</v>
      </c>
      <c r="E2208">
        <f t="shared" ref="E2208:O2208" si="7212">E2207*E2190</f>
        <v>0</v>
      </c>
      <c r="F2208">
        <f t="shared" si="7212"/>
        <v>0</v>
      </c>
      <c r="G2208">
        <f t="shared" si="7212"/>
        <v>0</v>
      </c>
      <c r="H2208">
        <f t="shared" si="7212"/>
        <v>0</v>
      </c>
      <c r="I2208">
        <f t="shared" si="7212"/>
        <v>0</v>
      </c>
      <c r="J2208">
        <f t="shared" si="7212"/>
        <v>0</v>
      </c>
      <c r="K2208">
        <f t="shared" si="7212"/>
        <v>0</v>
      </c>
      <c r="L2208">
        <f t="shared" si="7212"/>
        <v>0</v>
      </c>
      <c r="M2208">
        <f t="shared" si="7212"/>
        <v>0</v>
      </c>
      <c r="N2208">
        <f t="shared" si="7212"/>
        <v>0</v>
      </c>
      <c r="O2208">
        <f t="shared" si="7212"/>
        <v>0</v>
      </c>
    </row>
    <row r="2209" spans="1:32" ht="17.149999999999999" x14ac:dyDescent="0.55000000000000004">
      <c r="B2209" t="str">
        <f t="shared" si="7204"/>
        <v>Portland</v>
      </c>
      <c r="C2209" t="s">
        <v>1392</v>
      </c>
      <c r="D2209">
        <f>D2206+D2208</f>
        <v>4.739577185808354E-3</v>
      </c>
      <c r="E2209">
        <f t="shared" ref="E2209:O2209" si="7213">E2206+E2208</f>
        <v>4.8748667780818778E-3</v>
      </c>
      <c r="F2209">
        <f t="shared" si="7213"/>
        <v>5.119885034186122E-3</v>
      </c>
      <c r="G2209">
        <f t="shared" si="7213"/>
        <v>5.5846958573521795E-3</v>
      </c>
      <c r="H2209">
        <f t="shared" si="7213"/>
        <v>6.5274070972739821E-3</v>
      </c>
      <c r="I2209">
        <f t="shared" si="7213"/>
        <v>7.4199539958878279E-3</v>
      </c>
      <c r="J2209">
        <f t="shared" si="7213"/>
        <v>8.3358107202842254E-3</v>
      </c>
      <c r="K2209">
        <f t="shared" si="7213"/>
        <v>8.4605262729351115E-3</v>
      </c>
      <c r="L2209">
        <f t="shared" si="7213"/>
        <v>7.8399882233967533E-3</v>
      </c>
      <c r="M2209">
        <f t="shared" si="7213"/>
        <v>6.4173462075160911E-3</v>
      </c>
      <c r="N2209">
        <f t="shared" si="7213"/>
        <v>5.3015226887581056E-3</v>
      </c>
      <c r="O2209">
        <f t="shared" si="7213"/>
        <v>4.68970903600947E-3</v>
      </c>
    </row>
    <row r="2210" spans="1:32" ht="17.149999999999999" x14ac:dyDescent="0.55000000000000004">
      <c r="B2210" t="str">
        <f>B2204</f>
        <v>Portland</v>
      </c>
      <c r="C2210" t="s">
        <v>584</v>
      </c>
      <c r="D2210">
        <f>D2206/D2209</f>
        <v>1</v>
      </c>
      <c r="E2210">
        <f t="shared" ref="E2210:O2210" si="7214">E2206/E2209</f>
        <v>1</v>
      </c>
      <c r="F2210">
        <f t="shared" si="7214"/>
        <v>1</v>
      </c>
      <c r="G2210">
        <f t="shared" si="7214"/>
        <v>1</v>
      </c>
      <c r="H2210">
        <f t="shared" si="7214"/>
        <v>1</v>
      </c>
      <c r="I2210">
        <f t="shared" si="7214"/>
        <v>1</v>
      </c>
      <c r="J2210">
        <f t="shared" si="7214"/>
        <v>1</v>
      </c>
      <c r="K2210">
        <f t="shared" si="7214"/>
        <v>1</v>
      </c>
      <c r="L2210">
        <f t="shared" si="7214"/>
        <v>1</v>
      </c>
      <c r="M2210">
        <f t="shared" si="7214"/>
        <v>1</v>
      </c>
      <c r="N2210">
        <f t="shared" si="7214"/>
        <v>1</v>
      </c>
      <c r="O2210">
        <f t="shared" si="7214"/>
        <v>1</v>
      </c>
    </row>
    <row r="2211" spans="1:32" ht="17.149999999999999" x14ac:dyDescent="0.55000000000000004">
      <c r="B2211" t="str">
        <f>B2205</f>
        <v>Portland</v>
      </c>
      <c r="C2211" t="s">
        <v>585</v>
      </c>
      <c r="D2211">
        <f t="shared" ref="D2211:O2211" si="7215">INDEX(Phys_Prop,MATCH(D2184,Chem_List,0),3)</f>
        <v>130</v>
      </c>
      <c r="E2211">
        <f t="shared" si="7215"/>
        <v>130</v>
      </c>
      <c r="F2211">
        <f t="shared" si="7215"/>
        <v>130</v>
      </c>
      <c r="G2211">
        <f t="shared" si="7215"/>
        <v>130</v>
      </c>
      <c r="H2211">
        <f t="shared" si="7215"/>
        <v>130</v>
      </c>
      <c r="I2211">
        <f t="shared" si="7215"/>
        <v>130</v>
      </c>
      <c r="J2211">
        <f t="shared" si="7215"/>
        <v>130</v>
      </c>
      <c r="K2211">
        <f t="shared" si="7215"/>
        <v>130</v>
      </c>
      <c r="L2211">
        <f t="shared" si="7215"/>
        <v>130</v>
      </c>
      <c r="M2211">
        <f t="shared" si="7215"/>
        <v>130</v>
      </c>
      <c r="N2211">
        <f t="shared" si="7215"/>
        <v>130</v>
      </c>
      <c r="O2211">
        <f t="shared" si="7215"/>
        <v>130</v>
      </c>
    </row>
    <row r="2212" spans="1:32" ht="17.149999999999999" x14ac:dyDescent="0.55000000000000004">
      <c r="B2212" t="str">
        <f>B2211</f>
        <v>Portland</v>
      </c>
      <c r="C2212" t="s">
        <v>586</v>
      </c>
      <c r="D2212">
        <f>D2208/D2209</f>
        <v>0</v>
      </c>
      <c r="E2212">
        <f t="shared" ref="E2212:O2212" si="7216">E2208/E2209</f>
        <v>0</v>
      </c>
      <c r="F2212">
        <f t="shared" si="7216"/>
        <v>0</v>
      </c>
      <c r="G2212">
        <f t="shared" si="7216"/>
        <v>0</v>
      </c>
      <c r="H2212">
        <f t="shared" si="7216"/>
        <v>0</v>
      </c>
      <c r="I2212">
        <f t="shared" si="7216"/>
        <v>0</v>
      </c>
      <c r="J2212">
        <f t="shared" si="7216"/>
        <v>0</v>
      </c>
      <c r="K2212">
        <f t="shared" si="7216"/>
        <v>0</v>
      </c>
      <c r="L2212">
        <f t="shared" si="7216"/>
        <v>0</v>
      </c>
      <c r="M2212">
        <f t="shared" si="7216"/>
        <v>0</v>
      </c>
      <c r="N2212">
        <f t="shared" si="7216"/>
        <v>0</v>
      </c>
      <c r="O2212">
        <f t="shared" si="7216"/>
        <v>0</v>
      </c>
    </row>
    <row r="2213" spans="1:32" ht="17.149999999999999" x14ac:dyDescent="0.55000000000000004">
      <c r="B2213" t="str">
        <f t="shared" si="7204"/>
        <v>Portland</v>
      </c>
      <c r="C2213" t="s">
        <v>587</v>
      </c>
      <c r="D2213">
        <f t="shared" ref="D2213:O2213" si="7217">IFERROR(INDEX(Phys_Prop,MATCH(D2186,Chem_List,0),3),0)</f>
        <v>0</v>
      </c>
      <c r="E2213">
        <f t="shared" si="7217"/>
        <v>0</v>
      </c>
      <c r="F2213">
        <f t="shared" si="7217"/>
        <v>0</v>
      </c>
      <c r="G2213">
        <f t="shared" si="7217"/>
        <v>0</v>
      </c>
      <c r="H2213">
        <f t="shared" si="7217"/>
        <v>0</v>
      </c>
      <c r="I2213">
        <f t="shared" si="7217"/>
        <v>0</v>
      </c>
      <c r="J2213">
        <f t="shared" si="7217"/>
        <v>0</v>
      </c>
      <c r="K2213">
        <f t="shared" si="7217"/>
        <v>0</v>
      </c>
      <c r="L2213">
        <f t="shared" si="7217"/>
        <v>0</v>
      </c>
      <c r="M2213">
        <f t="shared" si="7217"/>
        <v>0</v>
      </c>
      <c r="N2213">
        <f t="shared" si="7217"/>
        <v>0</v>
      </c>
      <c r="O2213">
        <f t="shared" si="7217"/>
        <v>0</v>
      </c>
    </row>
    <row r="2214" spans="1:32" ht="17.149999999999999" x14ac:dyDescent="0.55000000000000004">
      <c r="A2214" s="11"/>
      <c r="B2214" s="11" t="str">
        <f t="shared" si="7204"/>
        <v>Portland</v>
      </c>
      <c r="C2214" s="11" t="s">
        <v>588</v>
      </c>
      <c r="D2214" s="11">
        <f>IFERROR(D2210*D2211+D2212*D2213,0)</f>
        <v>130</v>
      </c>
      <c r="E2214" s="11">
        <f t="shared" ref="E2214:O2214" si="7218">IFERROR(E2210*E2211+E2212*E2213,0)</f>
        <v>130</v>
      </c>
      <c r="F2214" s="11">
        <f t="shared" si="7218"/>
        <v>130</v>
      </c>
      <c r="G2214" s="11">
        <f t="shared" si="7218"/>
        <v>130</v>
      </c>
      <c r="H2214" s="11">
        <f t="shared" si="7218"/>
        <v>130</v>
      </c>
      <c r="I2214" s="11">
        <f t="shared" si="7218"/>
        <v>130</v>
      </c>
      <c r="J2214" s="11">
        <f t="shared" si="7218"/>
        <v>130</v>
      </c>
      <c r="K2214" s="11">
        <f t="shared" si="7218"/>
        <v>130</v>
      </c>
      <c r="L2214" s="11">
        <f t="shared" si="7218"/>
        <v>130</v>
      </c>
      <c r="M2214" s="11">
        <f t="shared" si="7218"/>
        <v>130</v>
      </c>
      <c r="N2214" s="11">
        <f t="shared" si="7218"/>
        <v>130</v>
      </c>
      <c r="O2214" s="11">
        <f t="shared" si="7218"/>
        <v>130</v>
      </c>
      <c r="P2214" s="11"/>
      <c r="Q2214" s="11"/>
      <c r="R2214" s="11"/>
      <c r="S2214" s="11"/>
      <c r="T2214" s="11"/>
      <c r="U2214" s="11"/>
      <c r="V2214" s="11"/>
      <c r="W2214" s="11"/>
      <c r="X2214" s="11"/>
      <c r="Y2214" s="11"/>
      <c r="Z2214" s="11"/>
      <c r="AA2214" s="11"/>
      <c r="AB2214" s="11"/>
      <c r="AC2214" s="11"/>
      <c r="AD2214" s="11"/>
      <c r="AE2214" s="11"/>
      <c r="AF2214" s="11"/>
    </row>
    <row r="2215" spans="1:32" ht="17.149999999999999" x14ac:dyDescent="0.55000000000000004">
      <c r="A2215" t="str" cm="1">
        <f t="array" ref="A2215">INDEX(FX_Input,$Q2215,R$5)</f>
        <v>FX - 66</v>
      </c>
      <c r="B2215" t="str" cm="1">
        <f t="array" ref="B2215">INDEX(FX_Input,Q2215,S2215)</f>
        <v>Portland</v>
      </c>
      <c r="C2215" t="s">
        <v>563</v>
      </c>
      <c r="D2215">
        <v>14.7</v>
      </c>
      <c r="E2215">
        <v>14.7</v>
      </c>
      <c r="F2215">
        <v>14.7</v>
      </c>
      <c r="G2215">
        <v>14.7</v>
      </c>
      <c r="H2215">
        <v>14.7</v>
      </c>
      <c r="I2215">
        <v>14.7</v>
      </c>
      <c r="J2215">
        <v>14.7</v>
      </c>
      <c r="K2215">
        <v>14.7</v>
      </c>
      <c r="L2215">
        <v>14.7</v>
      </c>
      <c r="M2215">
        <v>14.7</v>
      </c>
      <c r="N2215">
        <v>14.7</v>
      </c>
      <c r="O2215">
        <v>14.7</v>
      </c>
      <c r="Q2215">
        <f>Q2181+2</f>
        <v>131</v>
      </c>
      <c r="R2215">
        <v>1</v>
      </c>
      <c r="S2215">
        <v>3</v>
      </c>
      <c r="T2215">
        <v>1</v>
      </c>
      <c r="U2215">
        <v>19</v>
      </c>
      <c r="V2215">
        <v>20</v>
      </c>
      <c r="W2215">
        <v>25</v>
      </c>
      <c r="X2215">
        <v>1</v>
      </c>
      <c r="Y2215">
        <v>2</v>
      </c>
      <c r="Z2215">
        <f>(W2215-V2215)/(Y2215-X2215)</f>
        <v>5</v>
      </c>
      <c r="AA2215">
        <f>V2215-Z2215*X2215</f>
        <v>15</v>
      </c>
      <c r="AD2215">
        <f>AD2181+14</f>
        <v>911</v>
      </c>
      <c r="AF2215">
        <f>AF2181+14</f>
        <v>911</v>
      </c>
    </row>
    <row r="2216" spans="1:32" ht="17.149999999999999" x14ac:dyDescent="0.55000000000000004">
      <c r="B2216" t="str">
        <f t="shared" ref="B2216" si="7219">B2215</f>
        <v>Portland</v>
      </c>
      <c r="C2216" t="s">
        <v>564</v>
      </c>
      <c r="D2216" cm="1">
        <f t="array" ref="D2216">IF(ISBLANK(INDEX(FX_Input,$Q2215,$AB2216)),0.03,INDEX(FX_Input,Q2215,AB2216))</f>
        <v>0.03</v>
      </c>
      <c r="E2216" cm="1">
        <f t="array" ref="E2216">IF(ISBLANK(INDEX(FX_Input,$Q2215,$AB2216)),0.03,INDEX(FX_Input,R2215,#REF!))</f>
        <v>0.03</v>
      </c>
      <c r="F2216" cm="1">
        <f t="array" ref="F2216">IF(ISBLANK(INDEX(FX_Input,$Q2215,$AB2216)),0.03,INDEX(FX_Input,S2215,#REF!))</f>
        <v>0.03</v>
      </c>
      <c r="G2216" cm="1">
        <f t="array" ref="G2216">IF(ISBLANK(INDEX(FX_Input,$Q2215,$AB2216)),0.03,INDEX(FX_Input,AB2215,#REF!))</f>
        <v>0.03</v>
      </c>
      <c r="H2216" cm="1">
        <f t="array" ref="H2216">IF(ISBLANK(INDEX(FX_Input,$Q2215,$AB2216)),0.03,INDEX(FX_Input,#REF!,#REF!))</f>
        <v>0.03</v>
      </c>
      <c r="I2216" cm="1">
        <f t="array" ref="I2216">IF(ISBLANK(INDEX(FX_Input,$Q2215,$AB2216)),0.03,INDEX(FX_Input,#REF!,#REF!))</f>
        <v>0.03</v>
      </c>
      <c r="J2216" cm="1">
        <f t="array" ref="J2216">IF(ISBLANK(INDEX(FX_Input,$Q2215,$AB2216)),0.03,INDEX(FX_Input,#REF!,#REF!))</f>
        <v>0.03</v>
      </c>
      <c r="K2216" cm="1">
        <f t="array" ref="K2216">IF(ISBLANK(INDEX(FX_Input,$Q2215,$AB2216)),0.03,INDEX(FX_Input,#REF!,AC2216))</f>
        <v>0.03</v>
      </c>
      <c r="L2216" cm="1">
        <f t="array" ref="L2216">IF(ISBLANK(INDEX(FX_Input,$Q2215,$AB2216)),0.03,INDEX(FX_Input,#REF!,AD2216))</f>
        <v>0.03</v>
      </c>
      <c r="M2216" cm="1">
        <f t="array" ref="M2216">IF(ISBLANK(INDEX(FX_Input,$Q2215,$AB2216)),0.03,INDEX(FX_Input,#REF!,#REF!))</f>
        <v>0.03</v>
      </c>
      <c r="N2216" cm="1">
        <f t="array" ref="N2216">IF(ISBLANK(INDEX(FX_Input,$Q2215,$AB2216)),0.03,INDEX(FX_Input,AC2215,#REF!))</f>
        <v>0.03</v>
      </c>
      <c r="O2216" cm="1">
        <f t="array" ref="O2216">IF(ISBLANK(INDEX(FX_Input,$Q2215,$AB2216)),0.03,INDEX(FX_Input,AD2215,#REF!))</f>
        <v>0.03</v>
      </c>
      <c r="AB2216">
        <v>15</v>
      </c>
    </row>
    <row r="2217" spans="1:32" ht="17.149999999999999" x14ac:dyDescent="0.55000000000000004">
      <c r="B2217" t="str">
        <f>B2216</f>
        <v>Portland</v>
      </c>
      <c r="C2217" t="s">
        <v>565</v>
      </c>
      <c r="D2217" cm="1">
        <f t="array" ref="D2217">IF(ISBLANK(INDEX(FX_Input,$Q2215,$AB2217)),-0.03,INDEX(FX_Input,Q2215,AB2217))</f>
        <v>-0.03</v>
      </c>
      <c r="E2217" cm="1">
        <f t="array" ref="E2217">IF(ISBLANK(INDEX(FX_Input,$Q2215,$AB2217)),-0.03,INDEX(FX_Input,R2215,#REF!))</f>
        <v>-0.03</v>
      </c>
      <c r="F2217" cm="1">
        <f t="array" ref="F2217">IF(ISBLANK(INDEX(FX_Input,$Q2215,$AB2217)),-0.03,INDEX(FX_Input,S2215,#REF!))</f>
        <v>-0.03</v>
      </c>
      <c r="G2217" cm="1">
        <f t="array" ref="G2217">IF(ISBLANK(INDEX(FX_Input,$Q2215,$AB2217)),-0.03,INDEX(FX_Input,AB2215,#REF!))</f>
        <v>-0.03</v>
      </c>
      <c r="H2217" cm="1">
        <f t="array" ref="H2217">IF(ISBLANK(INDEX(FX_Input,$Q2215,$AB2217)),-0.03,INDEX(FX_Input,#REF!,#REF!))</f>
        <v>-0.03</v>
      </c>
      <c r="I2217" cm="1">
        <f t="array" ref="I2217">IF(ISBLANK(INDEX(FX_Input,$Q2215,$AB2217)),-0.03,INDEX(FX_Input,#REF!,#REF!))</f>
        <v>-0.03</v>
      </c>
      <c r="J2217" cm="1">
        <f t="array" ref="J2217">IF(ISBLANK(INDEX(FX_Input,$Q2215,$AB2217)),-0.03,INDEX(FX_Input,#REF!,#REF!))</f>
        <v>-0.03</v>
      </c>
      <c r="K2217" cm="1">
        <f t="array" ref="K2217">IF(ISBLANK(INDEX(FX_Input,$Q2215,$AB2217)),-0.03,INDEX(FX_Input,#REF!,AC2217))</f>
        <v>-0.03</v>
      </c>
      <c r="L2217" cm="1">
        <f t="array" ref="L2217">IF(ISBLANK(INDEX(FX_Input,$Q2215,$AB2217)),-0.03,INDEX(FX_Input,#REF!,AD2217))</f>
        <v>-0.03</v>
      </c>
      <c r="M2217" cm="1">
        <f t="array" ref="M2217">IF(ISBLANK(INDEX(FX_Input,$Q2215,$AB2217)),-0.03,INDEX(FX_Input,#REF!,#REF!))</f>
        <v>-0.03</v>
      </c>
      <c r="N2217" cm="1">
        <f t="array" ref="N2217">IF(ISBLANK(INDEX(FX_Input,$Q2215,$AB2217)),-0.03,INDEX(FX_Input,AC2215,#REF!))</f>
        <v>-0.03</v>
      </c>
      <c r="O2217" cm="1">
        <f t="array" ref="O2217">IF(ISBLANK(INDEX(FX_Input,$Q2215,$AB2217)),-0.03,INDEX(FX_Input,AD2215,#REF!))</f>
        <v>-0.03</v>
      </c>
      <c r="AB2217">
        <v>16</v>
      </c>
    </row>
    <row r="2218" spans="1:32" x14ac:dyDescent="0.4">
      <c r="B2218" t="str">
        <f t="shared" ref="B2218:B2219" si="7220">B2217</f>
        <v>Portland</v>
      </c>
      <c r="C2218" s="66" t="s">
        <v>567</v>
      </c>
      <c r="D2218" t="str" cm="1">
        <f t="array" ref="D2218">INDEX(FX_Multi,$AD2218,D$3)</f>
        <v>Jet kerosene</v>
      </c>
      <c r="E2218" t="str" cm="1">
        <f t="array" ref="E2218">INDEX(FX_Multi,$AD2218,E$3)</f>
        <v>Jet kerosene</v>
      </c>
      <c r="F2218" t="str" cm="1">
        <f t="array" ref="F2218">INDEX(FX_Multi,$AD2218,F$3)</f>
        <v>Jet kerosene</v>
      </c>
      <c r="G2218" t="str" cm="1">
        <f t="array" ref="G2218">INDEX(FX_Multi,$AD2218,G$3)</f>
        <v>Jet kerosene</v>
      </c>
      <c r="H2218" t="str" cm="1">
        <f t="array" ref="H2218">INDEX(FX_Multi,$AD2218,H$3)</f>
        <v>Jet kerosene</v>
      </c>
      <c r="I2218" t="str" cm="1">
        <f t="array" ref="I2218">INDEX(FX_Multi,$AD2218,I$3)</f>
        <v>Jet kerosene</v>
      </c>
      <c r="J2218" t="str" cm="1">
        <f t="array" ref="J2218">INDEX(FX_Multi,$AD2218,J$3)</f>
        <v>Jet kerosene</v>
      </c>
      <c r="K2218" t="str" cm="1">
        <f t="array" ref="K2218">INDEX(FX_Multi,$AD2218,K$3)</f>
        <v>Jet kerosene</v>
      </c>
      <c r="L2218" t="str" cm="1">
        <f t="array" ref="L2218">INDEX(FX_Multi,$AD2218,L$3)</f>
        <v>Jet kerosene</v>
      </c>
      <c r="M2218" t="str" cm="1">
        <f t="array" ref="M2218">INDEX(FX_Multi,$AD2218,M$3)</f>
        <v>Jet kerosene</v>
      </c>
      <c r="N2218" t="str" cm="1">
        <f t="array" ref="N2218">INDEX(FX_Multi,$AD2218,N$3)</f>
        <v>Jet kerosene</v>
      </c>
      <c r="O2218" t="str" cm="1">
        <f t="array" ref="O2218">INDEX(FX_Multi,$AD2218,O$3)</f>
        <v>Jet kerosene</v>
      </c>
      <c r="AC2218">
        <v>1</v>
      </c>
      <c r="AD2218">
        <f>AD2215</f>
        <v>911</v>
      </c>
      <c r="AE2218">
        <v>1</v>
      </c>
      <c r="AF2218">
        <f>AF2215</f>
        <v>911</v>
      </c>
    </row>
    <row r="2219" spans="1:32" x14ac:dyDescent="0.4">
      <c r="B2219" t="str">
        <f t="shared" si="7220"/>
        <v>Portland</v>
      </c>
      <c r="C2219" s="66" t="s">
        <v>566</v>
      </c>
      <c r="D2219" t="str" cm="1">
        <f t="array" ref="D2219">INDEX(FX_Multi,$AD2219,D$3)</f>
        <v>Select Pet Stock</v>
      </c>
      <c r="E2219" t="str" cm="1">
        <f t="array" ref="E2219">INDEX(FX_Multi,$AD2219,E$3)</f>
        <v>Select Pet Stock</v>
      </c>
      <c r="F2219" t="str" cm="1">
        <f t="array" ref="F2219">INDEX(FX_Multi,$AD2219,F$3)</f>
        <v>Select Pet Stock</v>
      </c>
      <c r="G2219" t="str" cm="1">
        <f t="array" ref="G2219">INDEX(FX_Multi,$AD2219,G$3)</f>
        <v>Select Pet Stock</v>
      </c>
      <c r="H2219" t="str" cm="1">
        <f t="array" ref="H2219">INDEX(FX_Multi,$AD2219,H$3)</f>
        <v>Select Pet Stock</v>
      </c>
      <c r="I2219" t="str" cm="1">
        <f t="array" ref="I2219">INDEX(FX_Multi,$AD2219,I$3)</f>
        <v>Select Pet Stock</v>
      </c>
      <c r="J2219" t="str" cm="1">
        <f t="array" ref="J2219">INDEX(FX_Multi,$AD2219,J$3)</f>
        <v>Select Pet Stock</v>
      </c>
      <c r="K2219" t="str" cm="1">
        <f t="array" ref="K2219">INDEX(FX_Multi,$AD2219,K$3)</f>
        <v>Select Pet Stock</v>
      </c>
      <c r="L2219" t="str" cm="1">
        <f t="array" ref="L2219">INDEX(FX_Multi,$AD2219,L$3)</f>
        <v>Select Pet Stock</v>
      </c>
      <c r="M2219" t="str" cm="1">
        <f t="array" ref="M2219">INDEX(FX_Multi,$AD2219,M$3)</f>
        <v>Select Pet Stock</v>
      </c>
      <c r="N2219" t="str" cm="1">
        <f t="array" ref="N2219">INDEX(FX_Multi,$AD2219,N$3)</f>
        <v>Select Pet Stock</v>
      </c>
      <c r="O2219" t="str" cm="1">
        <f t="array" ref="O2219">INDEX(FX_Multi,$AD2219,O$3)</f>
        <v>Select Pet Stock</v>
      </c>
      <c r="AC2219">
        <v>1</v>
      </c>
      <c r="AD2219">
        <f>AD2218+2</f>
        <v>913</v>
      </c>
      <c r="AE2219">
        <v>1</v>
      </c>
      <c r="AF2219">
        <f>AF2218+3</f>
        <v>914</v>
      </c>
    </row>
    <row r="2220" spans="1:32" x14ac:dyDescent="0.4">
      <c r="B2220" t="str">
        <f>B2216</f>
        <v>Portland</v>
      </c>
      <c r="C2220" s="66" t="s">
        <v>568</v>
      </c>
      <c r="D2220" cm="1">
        <f t="array" ref="D2220">INDEX(FX_Multi,$AD2220,D$3)</f>
        <v>0</v>
      </c>
      <c r="E2220" cm="1">
        <f t="array" ref="E2220">INDEX(FX_Multi,$AD2220,E$3)</f>
        <v>0</v>
      </c>
      <c r="F2220" cm="1">
        <f t="array" ref="F2220">INDEX(FX_Multi,$AD2220,F$3)</f>
        <v>0</v>
      </c>
      <c r="G2220" cm="1">
        <f t="array" ref="G2220">INDEX(FX_Multi,$AD2220,G$3)</f>
        <v>0</v>
      </c>
      <c r="H2220" cm="1">
        <f t="array" ref="H2220">INDEX(FX_Multi,$AD2220,H$3)</f>
        <v>0</v>
      </c>
      <c r="I2220" cm="1">
        <f t="array" ref="I2220">INDEX(FX_Multi,$AD2220,I$3)</f>
        <v>0</v>
      </c>
      <c r="J2220" cm="1">
        <f t="array" ref="J2220">INDEX(FX_Multi,$AD2220,J$3)</f>
        <v>0</v>
      </c>
      <c r="K2220" cm="1">
        <f t="array" ref="K2220">INDEX(FX_Multi,$AD2220,K$3)</f>
        <v>0</v>
      </c>
      <c r="L2220" cm="1">
        <f t="array" ref="L2220">INDEX(FX_Multi,$AD2220,L$3)</f>
        <v>0</v>
      </c>
      <c r="M2220" cm="1">
        <f t="array" ref="M2220">INDEX(FX_Multi,$AD2220,M$3)</f>
        <v>0</v>
      </c>
      <c r="N2220" cm="1">
        <f t="array" ref="N2220">INDEX(FX_Multi,$AD2220,N$3)</f>
        <v>0</v>
      </c>
      <c r="O2220" cm="1">
        <f t="array" ref="O2220">INDEX(FX_Multi,$AD2220,O$3)</f>
        <v>0</v>
      </c>
      <c r="AC2220">
        <v>1</v>
      </c>
      <c r="AD2220">
        <f>AD2219-1</f>
        <v>912</v>
      </c>
      <c r="AE2220">
        <v>1</v>
      </c>
      <c r="AF2220">
        <f>AF2218+1</f>
        <v>912</v>
      </c>
    </row>
    <row r="2221" spans="1:32" x14ac:dyDescent="0.4">
      <c r="B2221" t="str">
        <f t="shared" ref="B2221:B2225" si="7221">B2220</f>
        <v>Portland</v>
      </c>
      <c r="C2221" s="66" t="s">
        <v>569</v>
      </c>
      <c r="D2221" cm="1">
        <f t="array" ref="D2221">INDEX(FX_Multi,$AD2221,D$3)</f>
        <v>0</v>
      </c>
      <c r="E2221" cm="1">
        <f t="array" ref="E2221">INDEX(FX_Multi,$AD2221,E$3)</f>
        <v>0</v>
      </c>
      <c r="F2221" cm="1">
        <f t="array" ref="F2221">INDEX(FX_Multi,$AD2221,F$3)</f>
        <v>0</v>
      </c>
      <c r="G2221" cm="1">
        <f t="array" ref="G2221">INDEX(FX_Multi,$AD2221,G$3)</f>
        <v>0</v>
      </c>
      <c r="H2221" cm="1">
        <f t="array" ref="H2221">INDEX(FX_Multi,$AD2221,H$3)</f>
        <v>0</v>
      </c>
      <c r="I2221" cm="1">
        <f t="array" ref="I2221">INDEX(FX_Multi,$AD2221,I$3)</f>
        <v>0</v>
      </c>
      <c r="J2221" cm="1">
        <f t="array" ref="J2221">INDEX(FX_Multi,$AD2221,J$3)</f>
        <v>0</v>
      </c>
      <c r="K2221" cm="1">
        <f t="array" ref="K2221">INDEX(FX_Multi,$AD2221,K$3)</f>
        <v>0</v>
      </c>
      <c r="L2221" cm="1">
        <f t="array" ref="L2221">INDEX(FX_Multi,$AD2221,L$3)</f>
        <v>0</v>
      </c>
      <c r="M2221" cm="1">
        <f t="array" ref="M2221">INDEX(FX_Multi,$AD2221,M$3)</f>
        <v>0</v>
      </c>
      <c r="N2221" cm="1">
        <f t="array" ref="N2221">INDEX(FX_Multi,$AD2221,N$3)</f>
        <v>0</v>
      </c>
      <c r="O2221" cm="1">
        <f t="array" ref="O2221">INDEX(FX_Multi,$AD2221,O$3)</f>
        <v>0</v>
      </c>
      <c r="AC2221">
        <v>1</v>
      </c>
      <c r="AD2221">
        <f>AD2220+2</f>
        <v>914</v>
      </c>
      <c r="AE2221">
        <v>1</v>
      </c>
      <c r="AF2221">
        <f>AF2219</f>
        <v>914</v>
      </c>
    </row>
    <row r="2222" spans="1:32" ht="17.149999999999999" x14ac:dyDescent="0.55000000000000004">
      <c r="B2222" t="str">
        <f t="shared" si="7221"/>
        <v>Portland</v>
      </c>
      <c r="C2222" t="s">
        <v>570</v>
      </c>
      <c r="D2222" cm="1">
        <f t="array" ref="D2222">INDEX(FX_Multi,$AD2222,D$3)</f>
        <v>1</v>
      </c>
      <c r="E2222" cm="1">
        <f t="array" ref="E2222">INDEX(FX_Multi,$AD2222,E$3)</f>
        <v>1</v>
      </c>
      <c r="F2222" cm="1">
        <f t="array" ref="F2222">INDEX(FX_Multi,$AD2222,F$3)</f>
        <v>1</v>
      </c>
      <c r="G2222" cm="1">
        <f t="array" ref="G2222">INDEX(FX_Multi,$AD2222,G$3)</f>
        <v>1</v>
      </c>
      <c r="H2222" cm="1">
        <f t="array" ref="H2222">INDEX(FX_Multi,$AD2222,H$3)</f>
        <v>1</v>
      </c>
      <c r="I2222" cm="1">
        <f t="array" ref="I2222">INDEX(FX_Multi,$AD2222,I$3)</f>
        <v>1</v>
      </c>
      <c r="J2222" cm="1">
        <f t="array" ref="J2222">INDEX(FX_Multi,$AD2222,J$3)</f>
        <v>1</v>
      </c>
      <c r="K2222" cm="1">
        <f t="array" ref="K2222">INDEX(FX_Multi,$AD2222,K$3)</f>
        <v>1</v>
      </c>
      <c r="L2222" cm="1">
        <f t="array" ref="L2222">INDEX(FX_Multi,$AD2222,L$3)</f>
        <v>1</v>
      </c>
      <c r="M2222" cm="1">
        <f t="array" ref="M2222">INDEX(FX_Multi,$AD2222,M$3)</f>
        <v>1</v>
      </c>
      <c r="N2222" cm="1">
        <f t="array" ref="N2222">INDEX(FX_Multi,$AD2222,N$3)</f>
        <v>1</v>
      </c>
      <c r="O2222" cm="1">
        <f t="array" ref="O2222">INDEX(FX_Multi,$AD2222,O$3)</f>
        <v>1</v>
      </c>
      <c r="AC2222">
        <v>1</v>
      </c>
      <c r="AD2222">
        <f>AD2221+6</f>
        <v>920</v>
      </c>
      <c r="AE2222">
        <v>1</v>
      </c>
      <c r="AF2222">
        <f>AF2218+9</f>
        <v>920</v>
      </c>
    </row>
    <row r="2223" spans="1:32" ht="17.149999999999999" x14ac:dyDescent="0.55000000000000004">
      <c r="B2223" t="str">
        <f t="shared" si="7221"/>
        <v>Portland</v>
      </c>
      <c r="C2223" t="s">
        <v>571</v>
      </c>
      <c r="D2223" cm="1">
        <f t="array" ref="D2223">INDEX(FX_Multi,$AD2223,D$3)</f>
        <v>162</v>
      </c>
      <c r="E2223" cm="1">
        <f t="array" ref="E2223">INDEX(FX_Multi,$AD2223,E$3)</f>
        <v>162</v>
      </c>
      <c r="F2223" cm="1">
        <f t="array" ref="F2223">INDEX(FX_Multi,$AD2223,F$3)</f>
        <v>162</v>
      </c>
      <c r="G2223" cm="1">
        <f t="array" ref="G2223">INDEX(FX_Multi,$AD2223,G$3)</f>
        <v>162</v>
      </c>
      <c r="H2223" cm="1">
        <f t="array" ref="H2223">INDEX(FX_Multi,$AD2223,H$3)</f>
        <v>162</v>
      </c>
      <c r="I2223" cm="1">
        <f t="array" ref="I2223">INDEX(FX_Multi,$AD2223,I$3)</f>
        <v>162</v>
      </c>
      <c r="J2223" cm="1">
        <f t="array" ref="J2223">INDEX(FX_Multi,$AD2223,J$3)</f>
        <v>162</v>
      </c>
      <c r="K2223" cm="1">
        <f t="array" ref="K2223">INDEX(FX_Multi,$AD2223,K$3)</f>
        <v>162</v>
      </c>
      <c r="L2223" cm="1">
        <f t="array" ref="L2223">INDEX(FX_Multi,$AD2223,L$3)</f>
        <v>162</v>
      </c>
      <c r="M2223" cm="1">
        <f t="array" ref="M2223">INDEX(FX_Multi,$AD2223,M$3)</f>
        <v>162</v>
      </c>
      <c r="N2223" cm="1">
        <f t="array" ref="N2223">INDEX(FX_Multi,$AD2223,N$3)</f>
        <v>162</v>
      </c>
      <c r="O2223" cm="1">
        <f t="array" ref="O2223">INDEX(FX_Multi,$AD2223,O$3)</f>
        <v>162</v>
      </c>
      <c r="AC2223">
        <v>1</v>
      </c>
      <c r="AD2223">
        <f>AD2222-3</f>
        <v>917</v>
      </c>
      <c r="AE2223">
        <v>1</v>
      </c>
      <c r="AF2223">
        <f>AF2218+6</f>
        <v>917</v>
      </c>
    </row>
    <row r="2224" spans="1:32" ht="17.149999999999999" x14ac:dyDescent="0.55000000000000004">
      <c r="B2224" t="str">
        <f t="shared" si="7221"/>
        <v>Portland</v>
      </c>
      <c r="C2224" t="s">
        <v>572</v>
      </c>
      <c r="D2224" cm="1">
        <f t="array" ref="D2224">INDEX(FX_Multi,$AD2224,D$3)</f>
        <v>0</v>
      </c>
      <c r="E2224" cm="1">
        <f t="array" ref="E2224">INDEX(FX_Multi,$AD2224,E$3)</f>
        <v>0</v>
      </c>
      <c r="F2224" cm="1">
        <f t="array" ref="F2224">INDEX(FX_Multi,$AD2224,F$3)</f>
        <v>0</v>
      </c>
      <c r="G2224" cm="1">
        <f t="array" ref="G2224">INDEX(FX_Multi,$AD2224,G$3)</f>
        <v>0</v>
      </c>
      <c r="H2224" cm="1">
        <f t="array" ref="H2224">INDEX(FX_Multi,$AD2224,H$3)</f>
        <v>0</v>
      </c>
      <c r="I2224" cm="1">
        <f t="array" ref="I2224">INDEX(FX_Multi,$AD2224,I$3)</f>
        <v>0</v>
      </c>
      <c r="J2224" cm="1">
        <f t="array" ref="J2224">INDEX(FX_Multi,$AD2224,J$3)</f>
        <v>0</v>
      </c>
      <c r="K2224" cm="1">
        <f t="array" ref="K2224">INDEX(FX_Multi,$AD2224,K$3)</f>
        <v>0</v>
      </c>
      <c r="L2224" cm="1">
        <f t="array" ref="L2224">INDEX(FX_Multi,$AD2224,L$3)</f>
        <v>0</v>
      </c>
      <c r="M2224" cm="1">
        <f t="array" ref="M2224">INDEX(FX_Multi,$AD2224,M$3)</f>
        <v>0</v>
      </c>
      <c r="N2224" cm="1">
        <f t="array" ref="N2224">INDEX(FX_Multi,$AD2224,N$3)</f>
        <v>0</v>
      </c>
      <c r="O2224" cm="1">
        <f t="array" ref="O2224">INDEX(FX_Multi,$AD2224,O$3)</f>
        <v>0</v>
      </c>
      <c r="AC2224">
        <v>1</v>
      </c>
      <c r="AD2224">
        <f>AD2223+4</f>
        <v>921</v>
      </c>
      <c r="AE2224">
        <v>1</v>
      </c>
      <c r="AF2224">
        <f>AF2218+10</f>
        <v>921</v>
      </c>
    </row>
    <row r="2225" spans="2:32" ht="17.149999999999999" x14ac:dyDescent="0.55000000000000004">
      <c r="B2225" t="str">
        <f t="shared" si="7221"/>
        <v>Portland</v>
      </c>
      <c r="C2225" t="s">
        <v>573</v>
      </c>
      <c r="D2225" cm="1">
        <f t="array" ref="D2225">INDEX(FX_Multi,$AD2225,D$3)</f>
        <v>0</v>
      </c>
      <c r="E2225" cm="1">
        <f t="array" ref="E2225">INDEX(FX_Multi,$AD2225,E$3)</f>
        <v>0</v>
      </c>
      <c r="F2225" cm="1">
        <f t="array" ref="F2225">INDEX(FX_Multi,$AD2225,F$3)</f>
        <v>0</v>
      </c>
      <c r="G2225" cm="1">
        <f t="array" ref="G2225">INDEX(FX_Multi,$AD2225,G$3)</f>
        <v>0</v>
      </c>
      <c r="H2225" cm="1">
        <f t="array" ref="H2225">INDEX(FX_Multi,$AD2225,H$3)</f>
        <v>0</v>
      </c>
      <c r="I2225" cm="1">
        <f t="array" ref="I2225">INDEX(FX_Multi,$AD2225,I$3)</f>
        <v>0</v>
      </c>
      <c r="J2225" cm="1">
        <f t="array" ref="J2225">INDEX(FX_Multi,$AD2225,J$3)</f>
        <v>0</v>
      </c>
      <c r="K2225" cm="1">
        <f t="array" ref="K2225">INDEX(FX_Multi,$AD2225,K$3)</f>
        <v>0</v>
      </c>
      <c r="L2225" cm="1">
        <f t="array" ref="L2225">INDEX(FX_Multi,$AD2225,L$3)</f>
        <v>0</v>
      </c>
      <c r="M2225" cm="1">
        <f t="array" ref="M2225">INDEX(FX_Multi,$AD2225,M$3)</f>
        <v>0</v>
      </c>
      <c r="N2225" cm="1">
        <f t="array" ref="N2225">INDEX(FX_Multi,$AD2225,N$3)</f>
        <v>0</v>
      </c>
      <c r="O2225" cm="1">
        <f t="array" ref="O2225">INDEX(FX_Multi,$AD2225,O$3)</f>
        <v>0</v>
      </c>
      <c r="AC2225">
        <v>1</v>
      </c>
      <c r="AD2225">
        <f>AD2224-3</f>
        <v>918</v>
      </c>
      <c r="AE2225">
        <v>1</v>
      </c>
      <c r="AF2225">
        <f>AF2218+7</f>
        <v>918</v>
      </c>
    </row>
    <row r="2226" spans="2:32" ht="17.149999999999999" x14ac:dyDescent="0.55000000000000004">
      <c r="B2226" t="str">
        <f>B2221</f>
        <v>Portland</v>
      </c>
      <c r="C2226" t="s">
        <v>526</v>
      </c>
      <c r="D2226" cm="1">
        <f t="array" ref="D2226">INDEX(FX_Temps,$AF2226,D$3)</f>
        <v>43.899999999999977</v>
      </c>
      <c r="E2226" cm="1">
        <f t="array" ref="E2226">INDEX(FX_Temps,$AF2226,E$3)</f>
        <v>44.700000000000045</v>
      </c>
      <c r="F2226" cm="1">
        <f t="array" ref="F2226">INDEX(FX_Temps,$AF2226,F$3)</f>
        <v>46.100000000000023</v>
      </c>
      <c r="G2226" cm="1">
        <f t="array" ref="G2226">INDEX(FX_Temps,$AF2226,G$3)</f>
        <v>48.599999999999966</v>
      </c>
      <c r="H2226" cm="1">
        <f t="array" ref="H2226">INDEX(FX_Temps,$AF2226,H$3)</f>
        <v>53.149999999999977</v>
      </c>
      <c r="I2226" cm="1">
        <f t="array" ref="I2226">INDEX(FX_Temps,$AF2226,I$3)</f>
        <v>56.950000000000045</v>
      </c>
      <c r="J2226" cm="1">
        <f t="array" ref="J2226">INDEX(FX_Temps,$AF2226,J$3)</f>
        <v>60.449999999999932</v>
      </c>
      <c r="K2226" cm="1">
        <f t="array" ref="K2226">INDEX(FX_Temps,$AF2226,K$3)</f>
        <v>60.899999999999977</v>
      </c>
      <c r="L2226" cm="1">
        <f t="array" ref="L2226">INDEX(FX_Temps,$AF2226,L$3)</f>
        <v>58.600000000000023</v>
      </c>
      <c r="M2226" cm="1">
        <f t="array" ref="M2226">INDEX(FX_Temps,$AF2226,M$3)</f>
        <v>52.649999999999977</v>
      </c>
      <c r="N2226" cm="1">
        <f t="array" ref="N2226">INDEX(FX_Temps,$AF2226,N$3)</f>
        <v>47.100000000000023</v>
      </c>
      <c r="O2226" cm="1">
        <f t="array" ref="O2226">INDEX(FX_Temps,$AF2226,O$3)</f>
        <v>43.600000000000023</v>
      </c>
      <c r="AE2226">
        <v>1</v>
      </c>
      <c r="AF2226">
        <f>AF2218+10</f>
        <v>921</v>
      </c>
    </row>
    <row r="2227" spans="2:32" ht="17.149999999999999" x14ac:dyDescent="0.55000000000000004">
      <c r="B2227" t="str">
        <f t="shared" ref="B2227:B2248" si="7222">B2226</f>
        <v>Portland</v>
      </c>
      <c r="C2227" t="s">
        <v>527</v>
      </c>
      <c r="D2227" cm="1">
        <f t="array" ref="D2227">INDEX(FX_Temps,$AF2227,D$3)</f>
        <v>43.899999999999977</v>
      </c>
      <c r="E2227" cm="1">
        <f t="array" ref="E2227">INDEX(FX_Temps,$AF2227,E$3)</f>
        <v>44.700000000000045</v>
      </c>
      <c r="F2227" cm="1">
        <f t="array" ref="F2227">INDEX(FX_Temps,$AF2227,F$3)</f>
        <v>46.100000000000023</v>
      </c>
      <c r="G2227" cm="1">
        <f t="array" ref="G2227">INDEX(FX_Temps,$AF2227,G$3)</f>
        <v>48.599999999999966</v>
      </c>
      <c r="H2227" cm="1">
        <f t="array" ref="H2227">INDEX(FX_Temps,$AF2227,H$3)</f>
        <v>53.149999999999977</v>
      </c>
      <c r="I2227" cm="1">
        <f t="array" ref="I2227">INDEX(FX_Temps,$AF2227,I$3)</f>
        <v>56.950000000000045</v>
      </c>
      <c r="J2227" cm="1">
        <f t="array" ref="J2227">INDEX(FX_Temps,$AF2227,J$3)</f>
        <v>60.449999999999932</v>
      </c>
      <c r="K2227" cm="1">
        <f t="array" ref="K2227">INDEX(FX_Temps,$AF2227,K$3)</f>
        <v>60.899999999999977</v>
      </c>
      <c r="L2227" cm="1">
        <f t="array" ref="L2227">INDEX(FX_Temps,$AF2227,L$3)</f>
        <v>58.600000000000023</v>
      </c>
      <c r="M2227" cm="1">
        <f t="array" ref="M2227">INDEX(FX_Temps,$AF2227,M$3)</f>
        <v>52.649999999999977</v>
      </c>
      <c r="N2227" cm="1">
        <f t="array" ref="N2227">INDEX(FX_Temps,$AF2227,N$3)</f>
        <v>47.100000000000023</v>
      </c>
      <c r="O2227" cm="1">
        <f t="array" ref="O2227">INDEX(FX_Temps,$AF2227,O$3)</f>
        <v>43.600000000000023</v>
      </c>
      <c r="AE2227">
        <f>AE2226</f>
        <v>1</v>
      </c>
      <c r="AF2227">
        <f>AF2218+11</f>
        <v>922</v>
      </c>
    </row>
    <row r="2228" spans="2:32" ht="17.149999999999999" x14ac:dyDescent="0.55000000000000004">
      <c r="B2228" t="str">
        <f t="shared" si="7222"/>
        <v>Portland</v>
      </c>
      <c r="C2228" t="s">
        <v>552</v>
      </c>
      <c r="D2228" cm="1">
        <f t="array" ref="D2228">INDEX(FX_Temps,$AF2228,D$3)</f>
        <v>43.899999999999977</v>
      </c>
      <c r="E2228" cm="1">
        <f t="array" ref="E2228">INDEX(FX_Temps,$AF2228,E$3)</f>
        <v>44.700000000000045</v>
      </c>
      <c r="F2228" cm="1">
        <f t="array" ref="F2228">INDEX(FX_Temps,$AF2228,F$3)</f>
        <v>46.100000000000023</v>
      </c>
      <c r="G2228" cm="1">
        <f t="array" ref="G2228">INDEX(FX_Temps,$AF2228,G$3)</f>
        <v>48.599999999999966</v>
      </c>
      <c r="H2228" cm="1">
        <f t="array" ref="H2228">INDEX(FX_Temps,$AF2228,H$3)</f>
        <v>53.149999999999977</v>
      </c>
      <c r="I2228" cm="1">
        <f t="array" ref="I2228">INDEX(FX_Temps,$AF2228,I$3)</f>
        <v>56.950000000000045</v>
      </c>
      <c r="J2228" cm="1">
        <f t="array" ref="J2228">INDEX(FX_Temps,$AF2228,J$3)</f>
        <v>60.449999999999932</v>
      </c>
      <c r="K2228" cm="1">
        <f t="array" ref="K2228">INDEX(FX_Temps,$AF2228,K$3)</f>
        <v>60.899999999999977</v>
      </c>
      <c r="L2228" cm="1">
        <f t="array" ref="L2228">INDEX(FX_Temps,$AF2228,L$3)</f>
        <v>58.600000000000023</v>
      </c>
      <c r="M2228" cm="1">
        <f t="array" ref="M2228">INDEX(FX_Temps,$AF2228,M$3)</f>
        <v>52.649999999999977</v>
      </c>
      <c r="N2228" cm="1">
        <f t="array" ref="N2228">INDEX(FX_Temps,$AF2228,N$3)</f>
        <v>47.100000000000023</v>
      </c>
      <c r="O2228" cm="1">
        <f t="array" ref="O2228">INDEX(FX_Temps,$AF2228,O$3)</f>
        <v>43.600000000000023</v>
      </c>
      <c r="AE2228">
        <f>AE2227</f>
        <v>1</v>
      </c>
      <c r="AF2228">
        <f>AF2218+13</f>
        <v>924</v>
      </c>
    </row>
    <row r="2229" spans="2:32" ht="17.149999999999999" x14ac:dyDescent="0.55000000000000004">
      <c r="B2229" t="str">
        <f t="shared" si="7222"/>
        <v>Portland</v>
      </c>
      <c r="C2229" t="s">
        <v>574</v>
      </c>
      <c r="D2229" cm="1">
        <f t="array" ref="D2229">IFERROR(IF(D2219="Chemical",(10^(INDEX(Antoines,MATCH(D2218,Antoine_Name,0),2)-INDEX(Antoines,MATCH(D2218,Antoine_Name,0),3)/(INDEX(Antoines,MATCH(D2218,Antoine_Name,0),4)+(D2226-32)*5/9)))*14.7/760,IF(D2219="Crude Oil",EXP((2799/(D2226+459.6)-2.227)*LOG10(INDEX(FX_Input,Q$5,D$3*$Z$5+$AA$5))-(7261/(D2226+459.6))+12.82),IF(D2219="Refined Petroleum Stock",EXP((0.7553-(413/(D2226+459.6)))*(INDEX(FX_Input,Q$5,D$3*$Z$5+$AA$5-1)^0.5)*LOG10(INDEX(FX_Input,Q$5,D$3*$Z$5+$AA$5))-(1.854-(1042/(D2226+459.6)))*(INDEX(FX_Input,Q$5,D$3*$Z$5+$AA$5-1)^0.5)+((2416/(D2226+459.6)-2.013)*LOG10(INDEX(FX_Input,Q$5,D$3*$Z$5+$AA$5)))-(8742/(D2226+459.6))+15.64),EXP(INDEX(Antoines,MATCH(D2218,Antoine_Name,0),2)-INDEX(Antoines,MATCH(D2218,Antoine_Name,0),3)/(D2226+459.6))))),0)</f>
        <v>4.739577185808354E-3</v>
      </c>
      <c r="E2229" cm="1">
        <f t="array" ref="E2229">IFERROR(IF(E2219="Chemical",(10^(INDEX(Antoines,MATCH(E2218,Antoine_Name,0),2)-INDEX(Antoines,MATCH(E2218,Antoine_Name,0),3)/(INDEX(Antoines,MATCH(E2218,Antoine_Name,0),4)+(E2226-32)*5/9)))*14.7/760,IF(E2219="Crude Oil",EXP((2799/(E2226+459.6)-2.227)*LOG10(INDEX(FX_Input,R$5,E$3*$Z$5+$AA$5))-(7261/(E2226+459.6))+12.82),IF(E2219="Refined Petroleum Stock",EXP((0.7553-(413/(E2226+459.6)))*(INDEX(FX_Input,R$5,E$3*$Z$5+$AA$5-1)^0.5)*LOG10(INDEX(FX_Input,R$5,E$3*$Z$5+$AA$5))-(1.854-(1042/(E2226+459.6)))*(INDEX(FX_Input,R$5,E$3*$Z$5+$AA$5-1)^0.5)+((2416/(E2226+459.6)-2.013)*LOG10(INDEX(FX_Input,R$5,E$3*$Z$5+$AA$5)))-(8742/(E2226+459.6))+15.64),EXP(INDEX(Antoines,MATCH(E2218,Antoine_Name,0),2)-INDEX(Antoines,MATCH(E2218,Antoine_Name,0),3)/(E2226+459.6))))),0)</f>
        <v>4.8748667780818778E-3</v>
      </c>
      <c r="F2229" cm="1">
        <f t="array" ref="F2229">IFERROR(IF(F2219="Chemical",(10^(INDEX(Antoines,MATCH(F2218,Antoine_Name,0),2)-INDEX(Antoines,MATCH(F2218,Antoine_Name,0),3)/(INDEX(Antoines,MATCH(F2218,Antoine_Name,0),4)+(F2226-32)*5/9)))*14.7/760,IF(F2219="Crude Oil",EXP((2799/(F2226+459.6)-2.227)*LOG10(INDEX(FX_Input,S$5,F$3*$Z$5+$AA$5))-(7261/(F2226+459.6))+12.82),IF(F2219="Refined Petroleum Stock",EXP((0.7553-(413/(F2226+459.6)))*(INDEX(FX_Input,S$5,F$3*$Z$5+$AA$5-1)^0.5)*LOG10(INDEX(FX_Input,S$5,F$3*$Z$5+$AA$5))-(1.854-(1042/(F2226+459.6)))*(INDEX(FX_Input,S$5,F$3*$Z$5+$AA$5-1)^0.5)+((2416/(F2226+459.6)-2.013)*LOG10(INDEX(FX_Input,S$5,F$3*$Z$5+$AA$5)))-(8742/(F2226+459.6))+15.64),EXP(INDEX(Antoines,MATCH(F2218,Antoine_Name,0),2)-INDEX(Antoines,MATCH(F2218,Antoine_Name,0),3)/(F2226+459.6))))),0)</f>
        <v>5.119885034186122E-3</v>
      </c>
      <c r="G2229" cm="1">
        <f t="array" ref="G2229">IFERROR(IF(G2219="Chemical",(10^(INDEX(Antoines,MATCH(G2218,Antoine_Name,0),2)-INDEX(Antoines,MATCH(G2218,Antoine_Name,0),3)/(INDEX(Antoines,MATCH(G2218,Antoine_Name,0),4)+(G2226-32)*5/9)))*14.7/760,IF(G2219="Crude Oil",EXP((2799/(G2226+459.6)-2.227)*LOG10(INDEX(FX_Input,T$5,G$3*$Z$5+$AA$5))-(7261/(G2226+459.6))+12.82),IF(G2219="Refined Petroleum Stock",EXP((0.7553-(413/(G2226+459.6)))*(INDEX(FX_Input,T$5,G$3*$Z$5+$AA$5-1)^0.5)*LOG10(INDEX(FX_Input,T$5,G$3*$Z$5+$AA$5))-(1.854-(1042/(G2226+459.6)))*(INDEX(FX_Input,T$5,G$3*$Z$5+$AA$5-1)^0.5)+((2416/(G2226+459.6)-2.013)*LOG10(INDEX(FX_Input,T$5,G$3*$Z$5+$AA$5)))-(8742/(G2226+459.6))+15.64),EXP(INDEX(Antoines,MATCH(G2218,Antoine_Name,0),2)-INDEX(Antoines,MATCH(G2218,Antoine_Name,0),3)/(G2226+459.6))))),0)</f>
        <v>5.5846958573521795E-3</v>
      </c>
      <c r="H2229" cm="1">
        <f t="array" ref="H2229">IFERROR(IF(H2219="Chemical",(10^(INDEX(Antoines,MATCH(H2218,Antoine_Name,0),2)-INDEX(Antoines,MATCH(H2218,Antoine_Name,0),3)/(INDEX(Antoines,MATCH(H2218,Antoine_Name,0),4)+(H2226-32)*5/9)))*14.7/760,IF(H2219="Crude Oil",EXP((2799/(H2226+459.6)-2.227)*LOG10(INDEX(FX_Input,U$5,H$3*$Z$5+$AA$5))-(7261/(H2226+459.6))+12.82),IF(H2219="Refined Petroleum Stock",EXP((0.7553-(413/(H2226+459.6)))*(INDEX(FX_Input,U$5,H$3*$Z$5+$AA$5-1)^0.5)*LOG10(INDEX(FX_Input,U$5,H$3*$Z$5+$AA$5))-(1.854-(1042/(H2226+459.6)))*(INDEX(FX_Input,U$5,H$3*$Z$5+$AA$5-1)^0.5)+((2416/(H2226+459.6)-2.013)*LOG10(INDEX(FX_Input,U$5,H$3*$Z$5+$AA$5)))-(8742/(H2226+459.6))+15.64),EXP(INDEX(Antoines,MATCH(H2218,Antoine_Name,0),2)-INDEX(Antoines,MATCH(H2218,Antoine_Name,0),3)/(H2226+459.6))))),0)</f>
        <v>6.5274070972739821E-3</v>
      </c>
      <c r="I2229" cm="1">
        <f t="array" ref="I2229">IFERROR(IF(I2219="Chemical",(10^(INDEX(Antoines,MATCH(I2218,Antoine_Name,0),2)-INDEX(Antoines,MATCH(I2218,Antoine_Name,0),3)/(INDEX(Antoines,MATCH(I2218,Antoine_Name,0),4)+(I2226-32)*5/9)))*14.7/760,IF(I2219="Crude Oil",EXP((2799/(I2226+459.6)-2.227)*LOG10(INDEX(FX_Input,V$5,I$3*$Z$5+$AA$5))-(7261/(I2226+459.6))+12.82),IF(I2219="Refined Petroleum Stock",EXP((0.7553-(413/(I2226+459.6)))*(INDEX(FX_Input,V$5,I$3*$Z$5+$AA$5-1)^0.5)*LOG10(INDEX(FX_Input,V$5,I$3*$Z$5+$AA$5))-(1.854-(1042/(I2226+459.6)))*(INDEX(FX_Input,V$5,I$3*$Z$5+$AA$5-1)^0.5)+((2416/(I2226+459.6)-2.013)*LOG10(INDEX(FX_Input,V$5,I$3*$Z$5+$AA$5)))-(8742/(I2226+459.6))+15.64),EXP(INDEX(Antoines,MATCH(I2218,Antoine_Name,0),2)-INDEX(Antoines,MATCH(I2218,Antoine_Name,0),3)/(I2226+459.6))))),0)</f>
        <v>7.4199539958878279E-3</v>
      </c>
      <c r="J2229" cm="1">
        <f t="array" ref="J2229">IFERROR(IF(J2219="Chemical",(10^(INDEX(Antoines,MATCH(J2218,Antoine_Name,0),2)-INDEX(Antoines,MATCH(J2218,Antoine_Name,0),3)/(INDEX(Antoines,MATCH(J2218,Antoine_Name,0),4)+(J2226-32)*5/9)))*14.7/760,IF(J2219="Crude Oil",EXP((2799/(J2226+459.6)-2.227)*LOG10(INDEX(FX_Input,W$5,J$3*$Z$5+$AA$5))-(7261/(J2226+459.6))+12.82),IF(J2219="Refined Petroleum Stock",EXP((0.7553-(413/(J2226+459.6)))*(INDEX(FX_Input,W$5,J$3*$Z$5+$AA$5-1)^0.5)*LOG10(INDEX(FX_Input,W$5,J$3*$Z$5+$AA$5))-(1.854-(1042/(J2226+459.6)))*(INDEX(FX_Input,W$5,J$3*$Z$5+$AA$5-1)^0.5)+((2416/(J2226+459.6)-2.013)*LOG10(INDEX(FX_Input,W$5,J$3*$Z$5+$AA$5)))-(8742/(J2226+459.6))+15.64),EXP(INDEX(Antoines,MATCH(J2218,Antoine_Name,0),2)-INDEX(Antoines,MATCH(J2218,Antoine_Name,0),3)/(J2226+459.6))))),0)</f>
        <v>8.3358107202842254E-3</v>
      </c>
      <c r="K2229" cm="1">
        <f t="array" ref="K2229">IFERROR(IF(K2219="Chemical",(10^(INDEX(Antoines,MATCH(K2218,Antoine_Name,0),2)-INDEX(Antoines,MATCH(K2218,Antoine_Name,0),3)/(INDEX(Antoines,MATCH(K2218,Antoine_Name,0),4)+(K2226-32)*5/9)))*14.7/760,IF(K2219="Crude Oil",EXP((2799/(K2226+459.6)-2.227)*LOG10(INDEX(FX_Input,X$5,K$3*$Z$5+$AA$5))-(7261/(K2226+459.6))+12.82),IF(K2219="Refined Petroleum Stock",EXP((0.7553-(413/(K2226+459.6)))*(INDEX(FX_Input,X$5,K$3*$Z$5+$AA$5-1)^0.5)*LOG10(INDEX(FX_Input,X$5,K$3*$Z$5+$AA$5))-(1.854-(1042/(K2226+459.6)))*(INDEX(FX_Input,X$5,K$3*$Z$5+$AA$5-1)^0.5)+((2416/(K2226+459.6)-2.013)*LOG10(INDEX(FX_Input,X$5,K$3*$Z$5+$AA$5)))-(8742/(K2226+459.6))+15.64),EXP(INDEX(Antoines,MATCH(K2218,Antoine_Name,0),2)-INDEX(Antoines,MATCH(K2218,Antoine_Name,0),3)/(K2226+459.6))))),0)</f>
        <v>8.4605262729351115E-3</v>
      </c>
      <c r="L2229" cm="1">
        <f t="array" ref="L2229">IFERROR(IF(L2219="Chemical",(10^(INDEX(Antoines,MATCH(L2218,Antoine_Name,0),2)-INDEX(Antoines,MATCH(L2218,Antoine_Name,0),3)/(INDEX(Antoines,MATCH(L2218,Antoine_Name,0),4)+(L2226-32)*5/9)))*14.7/760,IF(L2219="Crude Oil",EXP((2799/(L2226+459.6)-2.227)*LOG10(INDEX(FX_Input,Y$5,L$3*$Z$5+$AA$5))-(7261/(L2226+459.6))+12.82),IF(L2219="Refined Petroleum Stock",EXP((0.7553-(413/(L2226+459.6)))*(INDEX(FX_Input,Y$5,L$3*$Z$5+$AA$5-1)^0.5)*LOG10(INDEX(FX_Input,Y$5,L$3*$Z$5+$AA$5))-(1.854-(1042/(L2226+459.6)))*(INDEX(FX_Input,Y$5,L$3*$Z$5+$AA$5-1)^0.5)+((2416/(L2226+459.6)-2.013)*LOG10(INDEX(FX_Input,Y$5,L$3*$Z$5+$AA$5)))-(8742/(L2226+459.6))+15.64),EXP(INDEX(Antoines,MATCH(L2218,Antoine_Name,0),2)-INDEX(Antoines,MATCH(L2218,Antoine_Name,0),3)/(L2226+459.6))))),0)</f>
        <v>7.8399882233967533E-3</v>
      </c>
      <c r="M2229" cm="1">
        <f t="array" ref="M2229">IFERROR(IF(M2219="Chemical",(10^(INDEX(Antoines,MATCH(M2218,Antoine_Name,0),2)-INDEX(Antoines,MATCH(M2218,Antoine_Name,0),3)/(INDEX(Antoines,MATCH(M2218,Antoine_Name,0),4)+(M2226-32)*5/9)))*14.7/760,IF(M2219="Crude Oil",EXP((2799/(M2226+459.6)-2.227)*LOG10(INDEX(FX_Input,Z$5,M$3*$Z$5+$AA$5))-(7261/(M2226+459.6))+12.82),IF(M2219="Refined Petroleum Stock",EXP((0.7553-(413/(M2226+459.6)))*(INDEX(FX_Input,Z$5,M$3*$Z$5+$AA$5-1)^0.5)*LOG10(INDEX(FX_Input,Z$5,M$3*$Z$5+$AA$5))-(1.854-(1042/(M2226+459.6)))*(INDEX(FX_Input,Z$5,M$3*$Z$5+$AA$5-1)^0.5)+((2416/(M2226+459.6)-2.013)*LOG10(INDEX(FX_Input,Z$5,M$3*$Z$5+$AA$5)))-(8742/(M2226+459.6))+15.64),EXP(INDEX(Antoines,MATCH(M2218,Antoine_Name,0),2)-INDEX(Antoines,MATCH(M2218,Antoine_Name,0),3)/(M2226+459.6))))),0)</f>
        <v>6.4173462075160911E-3</v>
      </c>
      <c r="N2229" cm="1">
        <f t="array" ref="N2229">IFERROR(IF(N2219="Chemical",(10^(INDEX(Antoines,MATCH(N2218,Antoine_Name,0),2)-INDEX(Antoines,MATCH(N2218,Antoine_Name,0),3)/(INDEX(Antoines,MATCH(N2218,Antoine_Name,0),4)+(N2226-32)*5/9)))*14.7/760,IF(N2219="Crude Oil",EXP((2799/(N2226+459.6)-2.227)*LOG10(INDEX(FX_Input,AA$5,N$3*$Z$5+$AA$5))-(7261/(N2226+459.6))+12.82),IF(N2219="Refined Petroleum Stock",EXP((0.7553-(413/(N2226+459.6)))*(INDEX(FX_Input,AA$5,N$3*$Z$5+$AA$5-1)^0.5)*LOG10(INDEX(FX_Input,AA$5,N$3*$Z$5+$AA$5))-(1.854-(1042/(N2226+459.6)))*(INDEX(FX_Input,AA$5,N$3*$Z$5+$AA$5-1)^0.5)+((2416/(N2226+459.6)-2.013)*LOG10(INDEX(FX_Input,AA$5,N$3*$Z$5+$AA$5)))-(8742/(N2226+459.6))+15.64),EXP(INDEX(Antoines,MATCH(N2218,Antoine_Name,0),2)-INDEX(Antoines,MATCH(N2218,Antoine_Name,0),3)/(N2226+459.6))))),0)</f>
        <v>5.3015226887581056E-3</v>
      </c>
      <c r="O2229" cm="1">
        <f t="array" ref="O2229">IFERROR(IF(O2219="Chemical",(10^(INDEX(Antoines,MATCH(O2218,Antoine_Name,0),2)-INDEX(Antoines,MATCH(O2218,Antoine_Name,0),3)/(INDEX(Antoines,MATCH(O2218,Antoine_Name,0),4)+(O2226-32)*5/9)))*14.7/760,IF(O2219="Crude Oil",EXP((2799/(O2226+459.6)-2.227)*LOG10(INDEX(FX_Input,AB$5,O$3*$Z$5+$AA$5))-(7261/(O2226+459.6))+12.82),IF(O2219="Refined Petroleum Stock",EXP((0.7553-(413/(O2226+459.6)))*(INDEX(FX_Input,AB$5,O$3*$Z$5+$AA$5-1)^0.5)*LOG10(INDEX(FX_Input,AB$5,O$3*$Z$5+$AA$5))-(1.854-(1042/(O2226+459.6)))*(INDEX(FX_Input,AB$5,O$3*$Z$5+$AA$5-1)^0.5)+((2416/(O2226+459.6)-2.013)*LOG10(INDEX(FX_Input,AB$5,O$3*$Z$5+$AA$5)))-(8742/(O2226+459.6))+15.64),EXP(INDEX(Antoines,MATCH(O2218,Antoine_Name,0),2)-INDEX(Antoines,MATCH(O2218,Antoine_Name,0),3)/(O2226+459.6))))),0)</f>
        <v>4.68970903600947E-3</v>
      </c>
    </row>
    <row r="2230" spans="2:32" ht="17.149999999999999" x14ac:dyDescent="0.55000000000000004">
      <c r="B2230" t="str">
        <f t="shared" si="7222"/>
        <v>Portland</v>
      </c>
      <c r="C2230" t="s">
        <v>576</v>
      </c>
      <c r="D2230">
        <f>D2222*D2229</f>
        <v>4.739577185808354E-3</v>
      </c>
      <c r="E2230">
        <f t="shared" ref="E2230:O2230" si="7223">E2222*E2229</f>
        <v>4.8748667780818778E-3</v>
      </c>
      <c r="F2230">
        <f t="shared" si="7223"/>
        <v>5.119885034186122E-3</v>
      </c>
      <c r="G2230">
        <f t="shared" si="7223"/>
        <v>5.5846958573521795E-3</v>
      </c>
      <c r="H2230">
        <f t="shared" si="7223"/>
        <v>6.5274070972739821E-3</v>
      </c>
      <c r="I2230">
        <f t="shared" si="7223"/>
        <v>7.4199539958878279E-3</v>
      </c>
      <c r="J2230">
        <f t="shared" si="7223"/>
        <v>8.3358107202842254E-3</v>
      </c>
      <c r="K2230">
        <f t="shared" si="7223"/>
        <v>8.4605262729351115E-3</v>
      </c>
      <c r="L2230">
        <f t="shared" si="7223"/>
        <v>7.8399882233967533E-3</v>
      </c>
      <c r="M2230">
        <f t="shared" si="7223"/>
        <v>6.4173462075160911E-3</v>
      </c>
      <c r="N2230">
        <f t="shared" si="7223"/>
        <v>5.3015226887581056E-3</v>
      </c>
      <c r="O2230">
        <f t="shared" si="7223"/>
        <v>4.68970903600947E-3</v>
      </c>
    </row>
    <row r="2231" spans="2:32" ht="17.149999999999999" x14ac:dyDescent="0.55000000000000004">
      <c r="B2231" t="str">
        <f t="shared" si="7222"/>
        <v>Portland</v>
      </c>
      <c r="C2231" t="s">
        <v>575</v>
      </c>
      <c r="D2231" cm="1">
        <f t="array" ref="D2231">IFERROR(IF(D2221="Chemical",(10^(INDEX(Antoines,MATCH(D2220,Antoine_Name,0),2)-INDEX(Antoines,MATCH(D2220,Antoine_Name,0),3)/(INDEX(Antoines,MATCH(D2220,Antoine_Name,0),4)+(D2226-32)*5/9)))*14.7/760,IF(D2221="Crude Oil",EXP((2799/(D2226+459.6)-2.227)*LOG10(INDEX(FX_Input,Q$5,D$3*$Z$5+$AA$5))-(7261/(D2226+459.6))+12.82),IF(D2221="Refined Petroleum Stock",EXP((0.7553-(413/(D2226+459.6)))*(INDEX(FX_Input,Q$5,D$3*$Z$5+$AA$5-1)^0.5)*LOG10(INDEX(FX_Input,Q$5,D$3*$Z$5+$AA$5))-(1.854-(1042/(D2226+459.6)))*(INDEX(FX_Input,Q$5,D$3*$Z$5+$AA$5-1)^0.5)+((2416/(D2226+459.6)-2.013)*LOG10(INDEX(FX_Input,Q$5,D$3*$Z$5+$AA$5)))-(8742/(D2226+459.6))+15.64),EXP(INDEX(Antoines,MATCH(D2220,Antoine_Name,0),2)-INDEX(Antoines,MATCH(D2220,Antoine_Name,0),3)/(D2226+459.6))))),0)</f>
        <v>0</v>
      </c>
      <c r="E2231" cm="1">
        <f t="array" ref="E2231">IFERROR(IF(E2221="Chemical",(10^(INDEX(Antoines,MATCH(E2220,Antoine_Name,0),2)-INDEX(Antoines,MATCH(E2220,Antoine_Name,0),3)/(INDEX(Antoines,MATCH(E2220,Antoine_Name,0),4)+(E2226-32)*5/9)))*14.7/760,IF(E2221="Crude Oil",EXP((2799/(E2226+459.6)-2.227)*LOG10(INDEX(FX_Input,R$5,E$3*$Z$5+$AA$5))-(7261/(E2226+459.6))+12.82),IF(E2221="Refined Petroleum Stock",EXP((0.7553-(413/(E2226+459.6)))*(INDEX(FX_Input,R$5,E$3*$Z$5+$AA$5-1)^0.5)*LOG10(INDEX(FX_Input,R$5,E$3*$Z$5+$AA$5))-(1.854-(1042/(E2226+459.6)))*(INDEX(FX_Input,R$5,E$3*$Z$5+$AA$5-1)^0.5)+((2416/(E2226+459.6)-2.013)*LOG10(INDEX(FX_Input,R$5,E$3*$Z$5+$AA$5)))-(8742/(E2226+459.6))+15.64),EXP(INDEX(Antoines,MATCH(E2220,Antoine_Name,0),2)-INDEX(Antoines,MATCH(E2220,Antoine_Name,0),3)/(E2226+459.6))))),0)</f>
        <v>0</v>
      </c>
      <c r="F2231" cm="1">
        <f t="array" ref="F2231">IFERROR(IF(F2221="Chemical",(10^(INDEX(Antoines,MATCH(F2220,Antoine_Name,0),2)-INDEX(Antoines,MATCH(F2220,Antoine_Name,0),3)/(INDEX(Antoines,MATCH(F2220,Antoine_Name,0),4)+(F2226-32)*5/9)))*14.7/760,IF(F2221="Crude Oil",EXP((2799/(F2226+459.6)-2.227)*LOG10(INDEX(FX_Input,S$5,F$3*$Z$5+$AA$5))-(7261/(F2226+459.6))+12.82),IF(F2221="Refined Petroleum Stock",EXP((0.7553-(413/(F2226+459.6)))*(INDEX(FX_Input,S$5,F$3*$Z$5+$AA$5-1)^0.5)*LOG10(INDEX(FX_Input,S$5,F$3*$Z$5+$AA$5))-(1.854-(1042/(F2226+459.6)))*(INDEX(FX_Input,S$5,F$3*$Z$5+$AA$5-1)^0.5)+((2416/(F2226+459.6)-2.013)*LOG10(INDEX(FX_Input,S$5,F$3*$Z$5+$AA$5)))-(8742/(F2226+459.6))+15.64),EXP(INDEX(Antoines,MATCH(F2220,Antoine_Name,0),2)-INDEX(Antoines,MATCH(F2220,Antoine_Name,0),3)/(F2226+459.6))))),0)</f>
        <v>0</v>
      </c>
      <c r="G2231" cm="1">
        <f t="array" ref="G2231">IFERROR(IF(G2221="Chemical",(10^(INDEX(Antoines,MATCH(G2220,Antoine_Name,0),2)-INDEX(Antoines,MATCH(G2220,Antoine_Name,0),3)/(INDEX(Antoines,MATCH(G2220,Antoine_Name,0),4)+(G2226-32)*5/9)))*14.7/760,IF(G2221="Crude Oil",EXP((2799/(G2226+459.6)-2.227)*LOG10(INDEX(FX_Input,T$5,G$3*$Z$5+$AA$5))-(7261/(G2226+459.6))+12.82),IF(G2221="Refined Petroleum Stock",EXP((0.7553-(413/(G2226+459.6)))*(INDEX(FX_Input,T$5,G$3*$Z$5+$AA$5-1)^0.5)*LOG10(INDEX(FX_Input,T$5,G$3*$Z$5+$AA$5))-(1.854-(1042/(G2226+459.6)))*(INDEX(FX_Input,T$5,G$3*$Z$5+$AA$5-1)^0.5)+((2416/(G2226+459.6)-2.013)*LOG10(INDEX(FX_Input,T$5,G$3*$Z$5+$AA$5)))-(8742/(G2226+459.6))+15.64),EXP(INDEX(Antoines,MATCH(G2220,Antoine_Name,0),2)-INDEX(Antoines,MATCH(G2220,Antoine_Name,0),3)/(G2226+459.6))))),0)</f>
        <v>0</v>
      </c>
      <c r="H2231" cm="1">
        <f t="array" ref="H2231">IFERROR(IF(H2221="Chemical",(10^(INDEX(Antoines,MATCH(H2220,Antoine_Name,0),2)-INDEX(Antoines,MATCH(H2220,Antoine_Name,0),3)/(INDEX(Antoines,MATCH(H2220,Antoine_Name,0),4)+(H2226-32)*5/9)))*14.7/760,IF(H2221="Crude Oil",EXP((2799/(H2226+459.6)-2.227)*LOG10(INDEX(FX_Input,U$5,H$3*$Z$5+$AA$5))-(7261/(H2226+459.6))+12.82),IF(H2221="Refined Petroleum Stock",EXP((0.7553-(413/(H2226+459.6)))*(INDEX(FX_Input,U$5,H$3*$Z$5+$AA$5-1)^0.5)*LOG10(INDEX(FX_Input,U$5,H$3*$Z$5+$AA$5))-(1.854-(1042/(H2226+459.6)))*(INDEX(FX_Input,U$5,H$3*$Z$5+$AA$5-1)^0.5)+((2416/(H2226+459.6)-2.013)*LOG10(INDEX(FX_Input,U$5,H$3*$Z$5+$AA$5)))-(8742/(H2226+459.6))+15.64),EXP(INDEX(Antoines,MATCH(H2220,Antoine_Name,0),2)-INDEX(Antoines,MATCH(H2220,Antoine_Name,0),3)/(H2226+459.6))))),0)</f>
        <v>0</v>
      </c>
      <c r="I2231" cm="1">
        <f t="array" ref="I2231">IFERROR(IF(I2221="Chemical",(10^(INDEX(Antoines,MATCH(I2220,Antoine_Name,0),2)-INDEX(Antoines,MATCH(I2220,Antoine_Name,0),3)/(INDEX(Antoines,MATCH(I2220,Antoine_Name,0),4)+(I2226-32)*5/9)))*14.7/760,IF(I2221="Crude Oil",EXP((2799/(I2226+459.6)-2.227)*LOG10(INDEX(FX_Input,V$5,I$3*$Z$5+$AA$5))-(7261/(I2226+459.6))+12.82),IF(I2221="Refined Petroleum Stock",EXP((0.7553-(413/(I2226+459.6)))*(INDEX(FX_Input,V$5,I$3*$Z$5+$AA$5-1)^0.5)*LOG10(INDEX(FX_Input,V$5,I$3*$Z$5+$AA$5))-(1.854-(1042/(I2226+459.6)))*(INDEX(FX_Input,V$5,I$3*$Z$5+$AA$5-1)^0.5)+((2416/(I2226+459.6)-2.013)*LOG10(INDEX(FX_Input,V$5,I$3*$Z$5+$AA$5)))-(8742/(I2226+459.6))+15.64),EXP(INDEX(Antoines,MATCH(I2220,Antoine_Name,0),2)-INDEX(Antoines,MATCH(I2220,Antoine_Name,0),3)/(I2226+459.6))))),0)</f>
        <v>0</v>
      </c>
      <c r="J2231" cm="1">
        <f t="array" ref="J2231">IFERROR(IF(J2221="Chemical",(10^(INDEX(Antoines,MATCH(J2220,Antoine_Name,0),2)-INDEX(Antoines,MATCH(J2220,Antoine_Name,0),3)/(INDEX(Antoines,MATCH(J2220,Antoine_Name,0),4)+(J2226-32)*5/9)))*14.7/760,IF(J2221="Crude Oil",EXP((2799/(J2226+459.6)-2.227)*LOG10(INDEX(FX_Input,W$5,J$3*$Z$5+$AA$5))-(7261/(J2226+459.6))+12.82),IF(J2221="Refined Petroleum Stock",EXP((0.7553-(413/(J2226+459.6)))*(INDEX(FX_Input,W$5,J$3*$Z$5+$AA$5-1)^0.5)*LOG10(INDEX(FX_Input,W$5,J$3*$Z$5+$AA$5))-(1.854-(1042/(J2226+459.6)))*(INDEX(FX_Input,W$5,J$3*$Z$5+$AA$5-1)^0.5)+((2416/(J2226+459.6)-2.013)*LOG10(INDEX(FX_Input,W$5,J$3*$Z$5+$AA$5)))-(8742/(J2226+459.6))+15.64),EXP(INDEX(Antoines,MATCH(J2220,Antoine_Name,0),2)-INDEX(Antoines,MATCH(J2220,Antoine_Name,0),3)/(J2226+459.6))))),0)</f>
        <v>0</v>
      </c>
      <c r="K2231" cm="1">
        <f t="array" ref="K2231">IFERROR(IF(K2221="Chemical",(10^(INDEX(Antoines,MATCH(K2220,Antoine_Name,0),2)-INDEX(Antoines,MATCH(K2220,Antoine_Name,0),3)/(INDEX(Antoines,MATCH(K2220,Antoine_Name,0),4)+(K2226-32)*5/9)))*14.7/760,IF(K2221="Crude Oil",EXP((2799/(K2226+459.6)-2.227)*LOG10(INDEX(FX_Input,X$5,K$3*$Z$5+$AA$5))-(7261/(K2226+459.6))+12.82),IF(K2221="Refined Petroleum Stock",EXP((0.7553-(413/(K2226+459.6)))*(INDEX(FX_Input,X$5,K$3*$Z$5+$AA$5-1)^0.5)*LOG10(INDEX(FX_Input,X$5,K$3*$Z$5+$AA$5))-(1.854-(1042/(K2226+459.6)))*(INDEX(FX_Input,X$5,K$3*$Z$5+$AA$5-1)^0.5)+((2416/(K2226+459.6)-2.013)*LOG10(INDEX(FX_Input,X$5,K$3*$Z$5+$AA$5)))-(8742/(K2226+459.6))+15.64),EXP(INDEX(Antoines,MATCH(K2220,Antoine_Name,0),2)-INDEX(Antoines,MATCH(K2220,Antoine_Name,0),3)/(K2226+459.6))))),0)</f>
        <v>0</v>
      </c>
      <c r="L2231" cm="1">
        <f t="array" ref="L2231">IFERROR(IF(L2221="Chemical",(10^(INDEX(Antoines,MATCH(L2220,Antoine_Name,0),2)-INDEX(Antoines,MATCH(L2220,Antoine_Name,0),3)/(INDEX(Antoines,MATCH(L2220,Antoine_Name,0),4)+(L2226-32)*5/9)))*14.7/760,IF(L2221="Crude Oil",EXP((2799/(L2226+459.6)-2.227)*LOG10(INDEX(FX_Input,Y$5,L$3*$Z$5+$AA$5))-(7261/(L2226+459.6))+12.82),IF(L2221="Refined Petroleum Stock",EXP((0.7553-(413/(L2226+459.6)))*(INDEX(FX_Input,Y$5,L$3*$Z$5+$AA$5-1)^0.5)*LOG10(INDEX(FX_Input,Y$5,L$3*$Z$5+$AA$5))-(1.854-(1042/(L2226+459.6)))*(INDEX(FX_Input,Y$5,L$3*$Z$5+$AA$5-1)^0.5)+((2416/(L2226+459.6)-2.013)*LOG10(INDEX(FX_Input,Y$5,L$3*$Z$5+$AA$5)))-(8742/(L2226+459.6))+15.64),EXP(INDEX(Antoines,MATCH(L2220,Antoine_Name,0),2)-INDEX(Antoines,MATCH(L2220,Antoine_Name,0),3)/(L2226+459.6))))),0)</f>
        <v>0</v>
      </c>
      <c r="M2231" cm="1">
        <f t="array" ref="M2231">IFERROR(IF(M2221="Chemical",(10^(INDEX(Antoines,MATCH(M2220,Antoine_Name,0),2)-INDEX(Antoines,MATCH(M2220,Antoine_Name,0),3)/(INDEX(Antoines,MATCH(M2220,Antoine_Name,0),4)+(M2226-32)*5/9)))*14.7/760,IF(M2221="Crude Oil",EXP((2799/(M2226+459.6)-2.227)*LOG10(INDEX(FX_Input,Z$5,M$3*$Z$5+$AA$5))-(7261/(M2226+459.6))+12.82),IF(M2221="Refined Petroleum Stock",EXP((0.7553-(413/(M2226+459.6)))*(INDEX(FX_Input,Z$5,M$3*$Z$5+$AA$5-1)^0.5)*LOG10(INDEX(FX_Input,Z$5,M$3*$Z$5+$AA$5))-(1.854-(1042/(M2226+459.6)))*(INDEX(FX_Input,Z$5,M$3*$Z$5+$AA$5-1)^0.5)+((2416/(M2226+459.6)-2.013)*LOG10(INDEX(FX_Input,Z$5,M$3*$Z$5+$AA$5)))-(8742/(M2226+459.6))+15.64),EXP(INDEX(Antoines,MATCH(M2220,Antoine_Name,0),2)-INDEX(Antoines,MATCH(M2220,Antoine_Name,0),3)/(M2226+459.6))))),0)</f>
        <v>0</v>
      </c>
      <c r="N2231" cm="1">
        <f t="array" ref="N2231">IFERROR(IF(N2221="Chemical",(10^(INDEX(Antoines,MATCH(N2220,Antoine_Name,0),2)-INDEX(Antoines,MATCH(N2220,Antoine_Name,0),3)/(INDEX(Antoines,MATCH(N2220,Antoine_Name,0),4)+(N2226-32)*5/9)))*14.7/760,IF(N2221="Crude Oil",EXP((2799/(N2226+459.6)-2.227)*LOG10(INDEX(FX_Input,AA$5,N$3*$Z$5+$AA$5))-(7261/(N2226+459.6))+12.82),IF(N2221="Refined Petroleum Stock",EXP((0.7553-(413/(N2226+459.6)))*(INDEX(FX_Input,AA$5,N$3*$Z$5+$AA$5-1)^0.5)*LOG10(INDEX(FX_Input,AA$5,N$3*$Z$5+$AA$5))-(1.854-(1042/(N2226+459.6)))*(INDEX(FX_Input,AA$5,N$3*$Z$5+$AA$5-1)^0.5)+((2416/(N2226+459.6)-2.013)*LOG10(INDEX(FX_Input,AA$5,N$3*$Z$5+$AA$5)))-(8742/(N2226+459.6))+15.64),EXP(INDEX(Antoines,MATCH(N2220,Antoine_Name,0),2)-INDEX(Antoines,MATCH(N2220,Antoine_Name,0),3)/(N2226+459.6))))),0)</f>
        <v>0</v>
      </c>
      <c r="O2231" cm="1">
        <f t="array" ref="O2231">IFERROR(IF(O2221="Chemical",(10^(INDEX(Antoines,MATCH(O2220,Antoine_Name,0),2)-INDEX(Antoines,MATCH(O2220,Antoine_Name,0),3)/(INDEX(Antoines,MATCH(O2220,Antoine_Name,0),4)+(O2226-32)*5/9)))*14.7/760,IF(O2221="Crude Oil",EXP((2799/(O2226+459.6)-2.227)*LOG10(INDEX(FX_Input,AB$5,O$3*$Z$5+$AA$5))-(7261/(O2226+459.6))+12.82),IF(O2221="Refined Petroleum Stock",EXP((0.7553-(413/(O2226+459.6)))*(INDEX(FX_Input,AB$5,O$3*$Z$5+$AA$5-1)^0.5)*LOG10(INDEX(FX_Input,AB$5,O$3*$Z$5+$AA$5))-(1.854-(1042/(O2226+459.6)))*(INDEX(FX_Input,AB$5,O$3*$Z$5+$AA$5-1)^0.5)+((2416/(O2226+459.6)-2.013)*LOG10(INDEX(FX_Input,AB$5,O$3*$Z$5+$AA$5)))-(8742/(O2226+459.6))+15.64),EXP(INDEX(Antoines,MATCH(O2220,Antoine_Name,0),2)-INDEX(Antoines,MATCH(O2220,Antoine_Name,0),3)/(O2226+459.6))))),0)</f>
        <v>0</v>
      </c>
    </row>
    <row r="2232" spans="2:32" ht="17.149999999999999" x14ac:dyDescent="0.55000000000000004">
      <c r="B2232" t="str">
        <f t="shared" si="7222"/>
        <v>Portland</v>
      </c>
      <c r="C2232" t="s">
        <v>577</v>
      </c>
      <c r="D2232">
        <f>D2231*D2224</f>
        <v>0</v>
      </c>
      <c r="E2232">
        <f t="shared" ref="E2232:O2232" si="7224">E2231*E2224</f>
        <v>0</v>
      </c>
      <c r="F2232">
        <f t="shared" si="7224"/>
        <v>0</v>
      </c>
      <c r="G2232">
        <f t="shared" si="7224"/>
        <v>0</v>
      </c>
      <c r="H2232">
        <f t="shared" si="7224"/>
        <v>0</v>
      </c>
      <c r="I2232">
        <f t="shared" si="7224"/>
        <v>0</v>
      </c>
      <c r="J2232">
        <f t="shared" si="7224"/>
        <v>0</v>
      </c>
      <c r="K2232">
        <f t="shared" si="7224"/>
        <v>0</v>
      </c>
      <c r="L2232">
        <f t="shared" si="7224"/>
        <v>0</v>
      </c>
      <c r="M2232">
        <f t="shared" si="7224"/>
        <v>0</v>
      </c>
      <c r="N2232">
        <f t="shared" si="7224"/>
        <v>0</v>
      </c>
      <c r="O2232">
        <f t="shared" si="7224"/>
        <v>0</v>
      </c>
    </row>
    <row r="2233" spans="2:32" ht="17.149999999999999" x14ac:dyDescent="0.55000000000000004">
      <c r="B2233" t="str">
        <f t="shared" si="7222"/>
        <v>Portland</v>
      </c>
      <c r="C2233" t="s">
        <v>578</v>
      </c>
      <c r="D2233">
        <f>D2232+D2230</f>
        <v>4.739577185808354E-3</v>
      </c>
      <c r="E2233">
        <f t="shared" ref="E2233:O2233" si="7225">E2232+E2230</f>
        <v>4.8748667780818778E-3</v>
      </c>
      <c r="F2233">
        <f t="shared" si="7225"/>
        <v>5.119885034186122E-3</v>
      </c>
      <c r="G2233">
        <f t="shared" si="7225"/>
        <v>5.5846958573521795E-3</v>
      </c>
      <c r="H2233">
        <f t="shared" si="7225"/>
        <v>6.5274070972739821E-3</v>
      </c>
      <c r="I2233">
        <f t="shared" si="7225"/>
        <v>7.4199539958878279E-3</v>
      </c>
      <c r="J2233">
        <f t="shared" si="7225"/>
        <v>8.3358107202842254E-3</v>
      </c>
      <c r="K2233">
        <f t="shared" si="7225"/>
        <v>8.4605262729351115E-3</v>
      </c>
      <c r="L2233">
        <f t="shared" si="7225"/>
        <v>7.8399882233967533E-3</v>
      </c>
      <c r="M2233">
        <f t="shared" si="7225"/>
        <v>6.4173462075160911E-3</v>
      </c>
      <c r="N2233">
        <f t="shared" si="7225"/>
        <v>5.3015226887581056E-3</v>
      </c>
      <c r="O2233">
        <f t="shared" si="7225"/>
        <v>4.68970903600947E-3</v>
      </c>
    </row>
    <row r="2234" spans="2:32" ht="17.149999999999999" x14ac:dyDescent="0.55000000000000004">
      <c r="B2234" t="str">
        <f t="shared" si="7222"/>
        <v>Portland</v>
      </c>
      <c r="C2234" t="s">
        <v>579</v>
      </c>
      <c r="D2234" cm="1">
        <f t="array" ref="D2234">IFERROR(IF(D2219="Chemical",(10^(INDEX(Antoines,MATCH(D2218,Antoine_Name,0),2)-INDEX(Antoines,MATCH(D2218,Antoine_Name,0),3)/(INDEX(Antoines,MATCH(D2218,Antoine_Name,0),4)+(D2227-32)*5/9)))*14.7/760,IF(D2219="Crude Oil",EXP((2799/(D2227+459.6)-2.227)*LOG10(INDEX(FX_Input,Q$5,D$3*$Z$5+$AA$5))-(7261/(D2227+459.6))+12.82),IF(D2219="Refined Petroleum Stock",EXP((0.7553-(413/(D2227+459.6)))*(INDEX(FX_Input,Q$5,D$3*$Z$5+$AA$5-1)^0.5)*LOG10(INDEX(FX_Input,Q$5,D$3*$Z$5+$AA$5))-(1.854-(1042/(D2227+459.6)))*(INDEX(FX_Input,Q$5,D$3*$Z$5+$AA$5-1)^0.5)+((2416/(D2227+459.6)-2.013)*LOG10(INDEX(FX_Input,Q$5,D$3*$Z$5+$AA$5)))-(8742/(D2227+459.6))+15.64),EXP(INDEX(Antoines,MATCH(D2218,Antoine_Name,0),2)-INDEX(Antoines,MATCH(D2218,Antoine_Name,0),3)/(D2227+459.6))))),0)</f>
        <v>4.739577185808354E-3</v>
      </c>
      <c r="E2234" cm="1">
        <f t="array" ref="E2234">IFERROR(IF(E2219="Chemical",(10^(INDEX(Antoines,MATCH(E2218,Antoine_Name,0),2)-INDEX(Antoines,MATCH(E2218,Antoine_Name,0),3)/(INDEX(Antoines,MATCH(E2218,Antoine_Name,0),4)+(E2227-32)*5/9)))*14.7/760,IF(E2219="Crude Oil",EXP((2799/(E2227+459.6)-2.227)*LOG10(INDEX(FX_Input,R$5,E$3*$Z$5+$AA$5))-(7261/(E2227+459.6))+12.82),IF(E2219="Refined Petroleum Stock",EXP((0.7553-(413/(E2227+459.6)))*(INDEX(FX_Input,R$5,E$3*$Z$5+$AA$5-1)^0.5)*LOG10(INDEX(FX_Input,R$5,E$3*$Z$5+$AA$5))-(1.854-(1042/(E2227+459.6)))*(INDEX(FX_Input,R$5,E$3*$Z$5+$AA$5-1)^0.5)+((2416/(E2227+459.6)-2.013)*LOG10(INDEX(FX_Input,R$5,E$3*$Z$5+$AA$5)))-(8742/(E2227+459.6))+15.64),EXP(INDEX(Antoines,MATCH(E2218,Antoine_Name,0),2)-INDEX(Antoines,MATCH(E2218,Antoine_Name,0),3)/(E2227+459.6))))),0)</f>
        <v>4.8748667780818778E-3</v>
      </c>
      <c r="F2234" cm="1">
        <f t="array" ref="F2234">IFERROR(IF(F2219="Chemical",(10^(INDEX(Antoines,MATCH(F2218,Antoine_Name,0),2)-INDEX(Antoines,MATCH(F2218,Antoine_Name,0),3)/(INDEX(Antoines,MATCH(F2218,Antoine_Name,0),4)+(F2227-32)*5/9)))*14.7/760,IF(F2219="Crude Oil",EXP((2799/(F2227+459.6)-2.227)*LOG10(INDEX(FX_Input,S$5,F$3*$Z$5+$AA$5))-(7261/(F2227+459.6))+12.82),IF(F2219="Refined Petroleum Stock",EXP((0.7553-(413/(F2227+459.6)))*(INDEX(FX_Input,S$5,F$3*$Z$5+$AA$5-1)^0.5)*LOG10(INDEX(FX_Input,S$5,F$3*$Z$5+$AA$5))-(1.854-(1042/(F2227+459.6)))*(INDEX(FX_Input,S$5,F$3*$Z$5+$AA$5-1)^0.5)+((2416/(F2227+459.6)-2.013)*LOG10(INDEX(FX_Input,S$5,F$3*$Z$5+$AA$5)))-(8742/(F2227+459.6))+15.64),EXP(INDEX(Antoines,MATCH(F2218,Antoine_Name,0),2)-INDEX(Antoines,MATCH(F2218,Antoine_Name,0),3)/(F2227+459.6))))),0)</f>
        <v>5.119885034186122E-3</v>
      </c>
      <c r="G2234" cm="1">
        <f t="array" ref="G2234">IFERROR(IF(G2219="Chemical",(10^(INDEX(Antoines,MATCH(G2218,Antoine_Name,0),2)-INDEX(Antoines,MATCH(G2218,Antoine_Name,0),3)/(INDEX(Antoines,MATCH(G2218,Antoine_Name,0),4)+(G2227-32)*5/9)))*14.7/760,IF(G2219="Crude Oil",EXP((2799/(G2227+459.6)-2.227)*LOG10(INDEX(FX_Input,T$5,G$3*$Z$5+$AA$5))-(7261/(G2227+459.6))+12.82),IF(G2219="Refined Petroleum Stock",EXP((0.7553-(413/(G2227+459.6)))*(INDEX(FX_Input,T$5,G$3*$Z$5+$AA$5-1)^0.5)*LOG10(INDEX(FX_Input,T$5,G$3*$Z$5+$AA$5))-(1.854-(1042/(G2227+459.6)))*(INDEX(FX_Input,T$5,G$3*$Z$5+$AA$5-1)^0.5)+((2416/(G2227+459.6)-2.013)*LOG10(INDEX(FX_Input,T$5,G$3*$Z$5+$AA$5)))-(8742/(G2227+459.6))+15.64),EXP(INDEX(Antoines,MATCH(G2218,Antoine_Name,0),2)-INDEX(Antoines,MATCH(G2218,Antoine_Name,0),3)/(G2227+459.6))))),0)</f>
        <v>5.5846958573521795E-3</v>
      </c>
      <c r="H2234" cm="1">
        <f t="array" ref="H2234">IFERROR(IF(H2219="Chemical",(10^(INDEX(Antoines,MATCH(H2218,Antoine_Name,0),2)-INDEX(Antoines,MATCH(H2218,Antoine_Name,0),3)/(INDEX(Antoines,MATCH(H2218,Antoine_Name,0),4)+(H2227-32)*5/9)))*14.7/760,IF(H2219="Crude Oil",EXP((2799/(H2227+459.6)-2.227)*LOG10(INDEX(FX_Input,U$5,H$3*$Z$5+$AA$5))-(7261/(H2227+459.6))+12.82),IF(H2219="Refined Petroleum Stock",EXP((0.7553-(413/(H2227+459.6)))*(INDEX(FX_Input,U$5,H$3*$Z$5+$AA$5-1)^0.5)*LOG10(INDEX(FX_Input,U$5,H$3*$Z$5+$AA$5))-(1.854-(1042/(H2227+459.6)))*(INDEX(FX_Input,U$5,H$3*$Z$5+$AA$5-1)^0.5)+((2416/(H2227+459.6)-2.013)*LOG10(INDEX(FX_Input,U$5,H$3*$Z$5+$AA$5)))-(8742/(H2227+459.6))+15.64),EXP(INDEX(Antoines,MATCH(H2218,Antoine_Name,0),2)-INDEX(Antoines,MATCH(H2218,Antoine_Name,0),3)/(H2227+459.6))))),0)</f>
        <v>6.5274070972739821E-3</v>
      </c>
      <c r="I2234" cm="1">
        <f t="array" ref="I2234">IFERROR(IF(I2219="Chemical",(10^(INDEX(Antoines,MATCH(I2218,Antoine_Name,0),2)-INDEX(Antoines,MATCH(I2218,Antoine_Name,0),3)/(INDEX(Antoines,MATCH(I2218,Antoine_Name,0),4)+(I2227-32)*5/9)))*14.7/760,IF(I2219="Crude Oil",EXP((2799/(I2227+459.6)-2.227)*LOG10(INDEX(FX_Input,V$5,I$3*$Z$5+$AA$5))-(7261/(I2227+459.6))+12.82),IF(I2219="Refined Petroleum Stock",EXP((0.7553-(413/(I2227+459.6)))*(INDEX(FX_Input,V$5,I$3*$Z$5+$AA$5-1)^0.5)*LOG10(INDEX(FX_Input,V$5,I$3*$Z$5+$AA$5))-(1.854-(1042/(I2227+459.6)))*(INDEX(FX_Input,V$5,I$3*$Z$5+$AA$5-1)^0.5)+((2416/(I2227+459.6)-2.013)*LOG10(INDEX(FX_Input,V$5,I$3*$Z$5+$AA$5)))-(8742/(I2227+459.6))+15.64),EXP(INDEX(Antoines,MATCH(I2218,Antoine_Name,0),2)-INDEX(Antoines,MATCH(I2218,Antoine_Name,0),3)/(I2227+459.6))))),0)</f>
        <v>7.4199539958878279E-3</v>
      </c>
      <c r="J2234" cm="1">
        <f t="array" ref="J2234">IFERROR(IF(J2219="Chemical",(10^(INDEX(Antoines,MATCH(J2218,Antoine_Name,0),2)-INDEX(Antoines,MATCH(J2218,Antoine_Name,0),3)/(INDEX(Antoines,MATCH(J2218,Antoine_Name,0),4)+(J2227-32)*5/9)))*14.7/760,IF(J2219="Crude Oil",EXP((2799/(J2227+459.6)-2.227)*LOG10(INDEX(FX_Input,W$5,J$3*$Z$5+$AA$5))-(7261/(J2227+459.6))+12.82),IF(J2219="Refined Petroleum Stock",EXP((0.7553-(413/(J2227+459.6)))*(INDEX(FX_Input,W$5,J$3*$Z$5+$AA$5-1)^0.5)*LOG10(INDEX(FX_Input,W$5,J$3*$Z$5+$AA$5))-(1.854-(1042/(J2227+459.6)))*(INDEX(FX_Input,W$5,J$3*$Z$5+$AA$5-1)^0.5)+((2416/(J2227+459.6)-2.013)*LOG10(INDEX(FX_Input,W$5,J$3*$Z$5+$AA$5)))-(8742/(J2227+459.6))+15.64),EXP(INDEX(Antoines,MATCH(J2218,Antoine_Name,0),2)-INDEX(Antoines,MATCH(J2218,Antoine_Name,0),3)/(J2227+459.6))))),0)</f>
        <v>8.3358107202842254E-3</v>
      </c>
      <c r="K2234" cm="1">
        <f t="array" ref="K2234">IFERROR(IF(K2219="Chemical",(10^(INDEX(Antoines,MATCH(K2218,Antoine_Name,0),2)-INDEX(Antoines,MATCH(K2218,Antoine_Name,0),3)/(INDEX(Antoines,MATCH(K2218,Antoine_Name,0),4)+(K2227-32)*5/9)))*14.7/760,IF(K2219="Crude Oil",EXP((2799/(K2227+459.6)-2.227)*LOG10(INDEX(FX_Input,X$5,K$3*$Z$5+$AA$5))-(7261/(K2227+459.6))+12.82),IF(K2219="Refined Petroleum Stock",EXP((0.7553-(413/(K2227+459.6)))*(INDEX(FX_Input,X$5,K$3*$Z$5+$AA$5-1)^0.5)*LOG10(INDEX(FX_Input,X$5,K$3*$Z$5+$AA$5))-(1.854-(1042/(K2227+459.6)))*(INDEX(FX_Input,X$5,K$3*$Z$5+$AA$5-1)^0.5)+((2416/(K2227+459.6)-2.013)*LOG10(INDEX(FX_Input,X$5,K$3*$Z$5+$AA$5)))-(8742/(K2227+459.6))+15.64),EXP(INDEX(Antoines,MATCH(K2218,Antoine_Name,0),2)-INDEX(Antoines,MATCH(K2218,Antoine_Name,0),3)/(K2227+459.6))))),0)</f>
        <v>8.4605262729351115E-3</v>
      </c>
      <c r="L2234" cm="1">
        <f t="array" ref="L2234">IFERROR(IF(L2219="Chemical",(10^(INDEX(Antoines,MATCH(L2218,Antoine_Name,0),2)-INDEX(Antoines,MATCH(L2218,Antoine_Name,0),3)/(INDEX(Antoines,MATCH(L2218,Antoine_Name,0),4)+(L2227-32)*5/9)))*14.7/760,IF(L2219="Crude Oil",EXP((2799/(L2227+459.6)-2.227)*LOG10(INDEX(FX_Input,Y$5,L$3*$Z$5+$AA$5))-(7261/(L2227+459.6))+12.82),IF(L2219="Refined Petroleum Stock",EXP((0.7553-(413/(L2227+459.6)))*(INDEX(FX_Input,Y$5,L$3*$Z$5+$AA$5-1)^0.5)*LOG10(INDEX(FX_Input,Y$5,L$3*$Z$5+$AA$5))-(1.854-(1042/(L2227+459.6)))*(INDEX(FX_Input,Y$5,L$3*$Z$5+$AA$5-1)^0.5)+((2416/(L2227+459.6)-2.013)*LOG10(INDEX(FX_Input,Y$5,L$3*$Z$5+$AA$5)))-(8742/(L2227+459.6))+15.64),EXP(INDEX(Antoines,MATCH(L2218,Antoine_Name,0),2)-INDEX(Antoines,MATCH(L2218,Antoine_Name,0),3)/(L2227+459.6))))),0)</f>
        <v>7.8399882233967533E-3</v>
      </c>
      <c r="M2234" cm="1">
        <f t="array" ref="M2234">IFERROR(IF(M2219="Chemical",(10^(INDEX(Antoines,MATCH(M2218,Antoine_Name,0),2)-INDEX(Antoines,MATCH(M2218,Antoine_Name,0),3)/(INDEX(Antoines,MATCH(M2218,Antoine_Name,0),4)+(M2227-32)*5/9)))*14.7/760,IF(M2219="Crude Oil",EXP((2799/(M2227+459.6)-2.227)*LOG10(INDEX(FX_Input,Z$5,M$3*$Z$5+$AA$5))-(7261/(M2227+459.6))+12.82),IF(M2219="Refined Petroleum Stock",EXP((0.7553-(413/(M2227+459.6)))*(INDEX(FX_Input,Z$5,M$3*$Z$5+$AA$5-1)^0.5)*LOG10(INDEX(FX_Input,Z$5,M$3*$Z$5+$AA$5))-(1.854-(1042/(M2227+459.6)))*(INDEX(FX_Input,Z$5,M$3*$Z$5+$AA$5-1)^0.5)+((2416/(M2227+459.6)-2.013)*LOG10(INDEX(FX_Input,Z$5,M$3*$Z$5+$AA$5)))-(8742/(M2227+459.6))+15.64),EXP(INDEX(Antoines,MATCH(M2218,Antoine_Name,0),2)-INDEX(Antoines,MATCH(M2218,Antoine_Name,0),3)/(M2227+459.6))))),0)</f>
        <v>6.4173462075160911E-3</v>
      </c>
      <c r="N2234" cm="1">
        <f t="array" ref="N2234">IFERROR(IF(N2219="Chemical",(10^(INDEX(Antoines,MATCH(N2218,Antoine_Name,0),2)-INDEX(Antoines,MATCH(N2218,Antoine_Name,0),3)/(INDEX(Antoines,MATCH(N2218,Antoine_Name,0),4)+(N2227-32)*5/9)))*14.7/760,IF(N2219="Crude Oil",EXP((2799/(N2227+459.6)-2.227)*LOG10(INDEX(FX_Input,AA$5,N$3*$Z$5+$AA$5))-(7261/(N2227+459.6))+12.82),IF(N2219="Refined Petroleum Stock",EXP((0.7553-(413/(N2227+459.6)))*(INDEX(FX_Input,AA$5,N$3*$Z$5+$AA$5-1)^0.5)*LOG10(INDEX(FX_Input,AA$5,N$3*$Z$5+$AA$5))-(1.854-(1042/(N2227+459.6)))*(INDEX(FX_Input,AA$5,N$3*$Z$5+$AA$5-1)^0.5)+((2416/(N2227+459.6)-2.013)*LOG10(INDEX(FX_Input,AA$5,N$3*$Z$5+$AA$5)))-(8742/(N2227+459.6))+15.64),EXP(INDEX(Antoines,MATCH(N2218,Antoine_Name,0),2)-INDEX(Antoines,MATCH(N2218,Antoine_Name,0),3)/(N2227+459.6))))),0)</f>
        <v>5.3015226887581056E-3</v>
      </c>
      <c r="O2234" cm="1">
        <f t="array" ref="O2234">IFERROR(IF(O2219="Chemical",(10^(INDEX(Antoines,MATCH(O2218,Antoine_Name,0),2)-INDEX(Antoines,MATCH(O2218,Antoine_Name,0),3)/(INDEX(Antoines,MATCH(O2218,Antoine_Name,0),4)+(O2227-32)*5/9)))*14.7/760,IF(O2219="Crude Oil",EXP((2799/(O2227+459.6)-2.227)*LOG10(INDEX(FX_Input,AB$5,O$3*$Z$5+$AA$5))-(7261/(O2227+459.6))+12.82),IF(O2219="Refined Petroleum Stock",EXP((0.7553-(413/(O2227+459.6)))*(INDEX(FX_Input,AB$5,O$3*$Z$5+$AA$5-1)^0.5)*LOG10(INDEX(FX_Input,AB$5,O$3*$Z$5+$AA$5))-(1.854-(1042/(O2227+459.6)))*(INDEX(FX_Input,AB$5,O$3*$Z$5+$AA$5-1)^0.5)+((2416/(O2227+459.6)-2.013)*LOG10(INDEX(FX_Input,AB$5,O$3*$Z$5+$AA$5)))-(8742/(O2227+459.6))+15.64),EXP(INDEX(Antoines,MATCH(O2218,Antoine_Name,0),2)-INDEX(Antoines,MATCH(O2218,Antoine_Name,0),3)/(O2227+459.6))))),0)</f>
        <v>4.68970903600947E-3</v>
      </c>
    </row>
    <row r="2235" spans="2:32" ht="17.149999999999999" x14ac:dyDescent="0.55000000000000004">
      <c r="B2235" t="str">
        <f t="shared" si="7222"/>
        <v>Portland</v>
      </c>
      <c r="C2235" t="s">
        <v>580</v>
      </c>
      <c r="D2235">
        <f>D2234*D2222</f>
        <v>4.739577185808354E-3</v>
      </c>
      <c r="E2235">
        <f t="shared" ref="E2235:O2235" si="7226">E2234*E2222</f>
        <v>4.8748667780818778E-3</v>
      </c>
      <c r="F2235">
        <f t="shared" si="7226"/>
        <v>5.119885034186122E-3</v>
      </c>
      <c r="G2235">
        <f t="shared" si="7226"/>
        <v>5.5846958573521795E-3</v>
      </c>
      <c r="H2235">
        <f t="shared" si="7226"/>
        <v>6.5274070972739821E-3</v>
      </c>
      <c r="I2235">
        <f t="shared" si="7226"/>
        <v>7.4199539958878279E-3</v>
      </c>
      <c r="J2235">
        <f t="shared" si="7226"/>
        <v>8.3358107202842254E-3</v>
      </c>
      <c r="K2235">
        <f t="shared" si="7226"/>
        <v>8.4605262729351115E-3</v>
      </c>
      <c r="L2235">
        <f t="shared" si="7226"/>
        <v>7.8399882233967533E-3</v>
      </c>
      <c r="M2235">
        <f t="shared" si="7226"/>
        <v>6.4173462075160911E-3</v>
      </c>
      <c r="N2235">
        <f t="shared" si="7226"/>
        <v>5.3015226887581056E-3</v>
      </c>
      <c r="O2235">
        <f t="shared" si="7226"/>
        <v>4.68970903600947E-3</v>
      </c>
    </row>
    <row r="2236" spans="2:32" ht="17.149999999999999" x14ac:dyDescent="0.55000000000000004">
      <c r="B2236" t="str">
        <f t="shared" si="7222"/>
        <v>Portland</v>
      </c>
      <c r="C2236" t="s">
        <v>581</v>
      </c>
      <c r="D2236" cm="1">
        <f t="array" ref="D2236">IFERROR(IF(D2221="Chemical",(10^(INDEX(Antoines,MATCH(D2220,Antoine_Name,0),2)-INDEX(Antoines,MATCH(D2220,Antoine_Name,0),3)/(INDEX(Antoines,MATCH(D2220,Antoine_Name,0),4)+(D2227-32)*5/9)))*14.7/760,IF(D2221="Crude Oil",EXP((2799/(D2227+459.6)-2.227)*LOG10(INDEX(FX_Input,Q$5,D$3*$Z$5+$AA$5))-(7261/(D2227+459.6))+12.82),IF(D2221="Refined Petroleum Stock",EXP((0.7553-(413/(D2227+459.6)))*(INDEX(FX_Input,Q$5,D$3*$Z$5+$AA$5-1)^0.5)*LOG10(INDEX(FX_Input,Q$5,D$3*$Z$5+$AA$5))-(1.854-(1042/(D2227+459.6)))*(INDEX(FX_Input,Q$5,D$3*$Z$5+$AA$5-1)^0.5)+((2416/(D2227+459.6)-2.013)*LOG10(INDEX(FX_Input,Q$5,D$3*$Z$5+$AA$5)))-(8742/(D2227+459.6))+15.64),EXP(INDEX(Antoines,MATCH(D2220,Antoine_Name,0),2)-INDEX(Antoines,MATCH(D2220,Antoine_Name,0),3)/(D2227+459.6))))),0)</f>
        <v>0</v>
      </c>
      <c r="E2236" cm="1">
        <f t="array" ref="E2236">IFERROR(IF(E2221="Chemical",(10^(INDEX(Antoines,MATCH(E2220,Antoine_Name,0),2)-INDEX(Antoines,MATCH(E2220,Antoine_Name,0),3)/(INDEX(Antoines,MATCH(E2220,Antoine_Name,0),4)+(E2227-32)*5/9)))*14.7/760,IF(E2221="Crude Oil",EXP((2799/(E2227+459.6)-2.227)*LOG10(INDEX(FX_Input,R$5,E$3*$Z$5+$AA$5))-(7261/(E2227+459.6))+12.82),IF(E2221="Refined Petroleum Stock",EXP((0.7553-(413/(E2227+459.6)))*(INDEX(FX_Input,R$5,E$3*$Z$5+$AA$5-1)^0.5)*LOG10(INDEX(FX_Input,R$5,E$3*$Z$5+$AA$5))-(1.854-(1042/(E2227+459.6)))*(INDEX(FX_Input,R$5,E$3*$Z$5+$AA$5-1)^0.5)+((2416/(E2227+459.6)-2.013)*LOG10(INDEX(FX_Input,R$5,E$3*$Z$5+$AA$5)))-(8742/(E2227+459.6))+15.64),EXP(INDEX(Antoines,MATCH(E2220,Antoine_Name,0),2)-INDEX(Antoines,MATCH(E2220,Antoine_Name,0),3)/(E2227+459.6))))),0)</f>
        <v>0</v>
      </c>
      <c r="F2236" cm="1">
        <f t="array" ref="F2236">IFERROR(IF(F2221="Chemical",(10^(INDEX(Antoines,MATCH(F2220,Antoine_Name,0),2)-INDEX(Antoines,MATCH(F2220,Antoine_Name,0),3)/(INDEX(Antoines,MATCH(F2220,Antoine_Name,0),4)+(F2227-32)*5/9)))*14.7/760,IF(F2221="Crude Oil",EXP((2799/(F2227+459.6)-2.227)*LOG10(INDEX(FX_Input,S$5,F$3*$Z$5+$AA$5))-(7261/(F2227+459.6))+12.82),IF(F2221="Refined Petroleum Stock",EXP((0.7553-(413/(F2227+459.6)))*(INDEX(FX_Input,S$5,F$3*$Z$5+$AA$5-1)^0.5)*LOG10(INDEX(FX_Input,S$5,F$3*$Z$5+$AA$5))-(1.854-(1042/(F2227+459.6)))*(INDEX(FX_Input,S$5,F$3*$Z$5+$AA$5-1)^0.5)+((2416/(F2227+459.6)-2.013)*LOG10(INDEX(FX_Input,S$5,F$3*$Z$5+$AA$5)))-(8742/(F2227+459.6))+15.64),EXP(INDEX(Antoines,MATCH(F2220,Antoine_Name,0),2)-INDEX(Antoines,MATCH(F2220,Antoine_Name,0),3)/(F2227+459.6))))),0)</f>
        <v>0</v>
      </c>
      <c r="G2236" cm="1">
        <f t="array" ref="G2236">IFERROR(IF(G2221="Chemical",(10^(INDEX(Antoines,MATCH(G2220,Antoine_Name,0),2)-INDEX(Antoines,MATCH(G2220,Antoine_Name,0),3)/(INDEX(Antoines,MATCH(G2220,Antoine_Name,0),4)+(G2227-32)*5/9)))*14.7/760,IF(G2221="Crude Oil",EXP((2799/(G2227+459.6)-2.227)*LOG10(INDEX(FX_Input,T$5,G$3*$Z$5+$AA$5))-(7261/(G2227+459.6))+12.82),IF(G2221="Refined Petroleum Stock",EXP((0.7553-(413/(G2227+459.6)))*(INDEX(FX_Input,T$5,G$3*$Z$5+$AA$5-1)^0.5)*LOG10(INDEX(FX_Input,T$5,G$3*$Z$5+$AA$5))-(1.854-(1042/(G2227+459.6)))*(INDEX(FX_Input,T$5,G$3*$Z$5+$AA$5-1)^0.5)+((2416/(G2227+459.6)-2.013)*LOG10(INDEX(FX_Input,T$5,G$3*$Z$5+$AA$5)))-(8742/(G2227+459.6))+15.64),EXP(INDEX(Antoines,MATCH(G2220,Antoine_Name,0),2)-INDEX(Antoines,MATCH(G2220,Antoine_Name,0),3)/(G2227+459.6))))),0)</f>
        <v>0</v>
      </c>
      <c r="H2236" cm="1">
        <f t="array" ref="H2236">IFERROR(IF(H2221="Chemical",(10^(INDEX(Antoines,MATCH(H2220,Antoine_Name,0),2)-INDEX(Antoines,MATCH(H2220,Antoine_Name,0),3)/(INDEX(Antoines,MATCH(H2220,Antoine_Name,0),4)+(H2227-32)*5/9)))*14.7/760,IF(H2221="Crude Oil",EXP((2799/(H2227+459.6)-2.227)*LOG10(INDEX(FX_Input,U$5,H$3*$Z$5+$AA$5))-(7261/(H2227+459.6))+12.82),IF(H2221="Refined Petroleum Stock",EXP((0.7553-(413/(H2227+459.6)))*(INDEX(FX_Input,U$5,H$3*$Z$5+$AA$5-1)^0.5)*LOG10(INDEX(FX_Input,U$5,H$3*$Z$5+$AA$5))-(1.854-(1042/(H2227+459.6)))*(INDEX(FX_Input,U$5,H$3*$Z$5+$AA$5-1)^0.5)+((2416/(H2227+459.6)-2.013)*LOG10(INDEX(FX_Input,U$5,H$3*$Z$5+$AA$5)))-(8742/(H2227+459.6))+15.64),EXP(INDEX(Antoines,MATCH(H2220,Antoine_Name,0),2)-INDEX(Antoines,MATCH(H2220,Antoine_Name,0),3)/(H2227+459.6))))),0)</f>
        <v>0</v>
      </c>
      <c r="I2236" cm="1">
        <f t="array" ref="I2236">IFERROR(IF(I2221="Chemical",(10^(INDEX(Antoines,MATCH(I2220,Antoine_Name,0),2)-INDEX(Antoines,MATCH(I2220,Antoine_Name,0),3)/(INDEX(Antoines,MATCH(I2220,Antoine_Name,0),4)+(I2227-32)*5/9)))*14.7/760,IF(I2221="Crude Oil",EXP((2799/(I2227+459.6)-2.227)*LOG10(INDEX(FX_Input,V$5,I$3*$Z$5+$AA$5))-(7261/(I2227+459.6))+12.82),IF(I2221="Refined Petroleum Stock",EXP((0.7553-(413/(I2227+459.6)))*(INDEX(FX_Input,V$5,I$3*$Z$5+$AA$5-1)^0.5)*LOG10(INDEX(FX_Input,V$5,I$3*$Z$5+$AA$5))-(1.854-(1042/(I2227+459.6)))*(INDEX(FX_Input,V$5,I$3*$Z$5+$AA$5-1)^0.5)+((2416/(I2227+459.6)-2.013)*LOG10(INDEX(FX_Input,V$5,I$3*$Z$5+$AA$5)))-(8742/(I2227+459.6))+15.64),EXP(INDEX(Antoines,MATCH(I2220,Antoine_Name,0),2)-INDEX(Antoines,MATCH(I2220,Antoine_Name,0),3)/(I2227+459.6))))),0)</f>
        <v>0</v>
      </c>
      <c r="J2236" cm="1">
        <f t="array" ref="J2236">IFERROR(IF(J2221="Chemical",(10^(INDEX(Antoines,MATCH(J2220,Antoine_Name,0),2)-INDEX(Antoines,MATCH(J2220,Antoine_Name,0),3)/(INDEX(Antoines,MATCH(J2220,Antoine_Name,0),4)+(J2227-32)*5/9)))*14.7/760,IF(J2221="Crude Oil",EXP((2799/(J2227+459.6)-2.227)*LOG10(INDEX(FX_Input,W$5,J$3*$Z$5+$AA$5))-(7261/(J2227+459.6))+12.82),IF(J2221="Refined Petroleum Stock",EXP((0.7553-(413/(J2227+459.6)))*(INDEX(FX_Input,W$5,J$3*$Z$5+$AA$5-1)^0.5)*LOG10(INDEX(FX_Input,W$5,J$3*$Z$5+$AA$5))-(1.854-(1042/(J2227+459.6)))*(INDEX(FX_Input,W$5,J$3*$Z$5+$AA$5-1)^0.5)+((2416/(J2227+459.6)-2.013)*LOG10(INDEX(FX_Input,W$5,J$3*$Z$5+$AA$5)))-(8742/(J2227+459.6))+15.64),EXP(INDEX(Antoines,MATCH(J2220,Antoine_Name,0),2)-INDEX(Antoines,MATCH(J2220,Antoine_Name,0),3)/(J2227+459.6))))),0)</f>
        <v>0</v>
      </c>
      <c r="K2236" cm="1">
        <f t="array" ref="K2236">IFERROR(IF(K2221="Chemical",(10^(INDEX(Antoines,MATCH(K2220,Antoine_Name,0),2)-INDEX(Antoines,MATCH(K2220,Antoine_Name,0),3)/(INDEX(Antoines,MATCH(K2220,Antoine_Name,0),4)+(K2227-32)*5/9)))*14.7/760,IF(K2221="Crude Oil",EXP((2799/(K2227+459.6)-2.227)*LOG10(INDEX(FX_Input,X$5,K$3*$Z$5+$AA$5))-(7261/(K2227+459.6))+12.82),IF(K2221="Refined Petroleum Stock",EXP((0.7553-(413/(K2227+459.6)))*(INDEX(FX_Input,X$5,K$3*$Z$5+$AA$5-1)^0.5)*LOG10(INDEX(FX_Input,X$5,K$3*$Z$5+$AA$5))-(1.854-(1042/(K2227+459.6)))*(INDEX(FX_Input,X$5,K$3*$Z$5+$AA$5-1)^0.5)+((2416/(K2227+459.6)-2.013)*LOG10(INDEX(FX_Input,X$5,K$3*$Z$5+$AA$5)))-(8742/(K2227+459.6))+15.64),EXP(INDEX(Antoines,MATCH(K2220,Antoine_Name,0),2)-INDEX(Antoines,MATCH(K2220,Antoine_Name,0),3)/(K2227+459.6))))),0)</f>
        <v>0</v>
      </c>
      <c r="L2236" cm="1">
        <f t="array" ref="L2236">IFERROR(IF(L2221="Chemical",(10^(INDEX(Antoines,MATCH(L2220,Antoine_Name,0),2)-INDEX(Antoines,MATCH(L2220,Antoine_Name,0),3)/(INDEX(Antoines,MATCH(L2220,Antoine_Name,0),4)+(L2227-32)*5/9)))*14.7/760,IF(L2221="Crude Oil",EXP((2799/(L2227+459.6)-2.227)*LOG10(INDEX(FX_Input,Y$5,L$3*$Z$5+$AA$5))-(7261/(L2227+459.6))+12.82),IF(L2221="Refined Petroleum Stock",EXP((0.7553-(413/(L2227+459.6)))*(INDEX(FX_Input,Y$5,L$3*$Z$5+$AA$5-1)^0.5)*LOG10(INDEX(FX_Input,Y$5,L$3*$Z$5+$AA$5))-(1.854-(1042/(L2227+459.6)))*(INDEX(FX_Input,Y$5,L$3*$Z$5+$AA$5-1)^0.5)+((2416/(L2227+459.6)-2.013)*LOG10(INDEX(FX_Input,Y$5,L$3*$Z$5+$AA$5)))-(8742/(L2227+459.6))+15.64),EXP(INDEX(Antoines,MATCH(L2220,Antoine_Name,0),2)-INDEX(Antoines,MATCH(L2220,Antoine_Name,0),3)/(L2227+459.6))))),0)</f>
        <v>0</v>
      </c>
      <c r="M2236" cm="1">
        <f t="array" ref="M2236">IFERROR(IF(M2221="Chemical",(10^(INDEX(Antoines,MATCH(M2220,Antoine_Name,0),2)-INDEX(Antoines,MATCH(M2220,Antoine_Name,0),3)/(INDEX(Antoines,MATCH(M2220,Antoine_Name,0),4)+(M2227-32)*5/9)))*14.7/760,IF(M2221="Crude Oil",EXP((2799/(M2227+459.6)-2.227)*LOG10(INDEX(FX_Input,Z$5,M$3*$Z$5+$AA$5))-(7261/(M2227+459.6))+12.82),IF(M2221="Refined Petroleum Stock",EXP((0.7553-(413/(M2227+459.6)))*(INDEX(FX_Input,Z$5,M$3*$Z$5+$AA$5-1)^0.5)*LOG10(INDEX(FX_Input,Z$5,M$3*$Z$5+$AA$5))-(1.854-(1042/(M2227+459.6)))*(INDEX(FX_Input,Z$5,M$3*$Z$5+$AA$5-1)^0.5)+((2416/(M2227+459.6)-2.013)*LOG10(INDEX(FX_Input,Z$5,M$3*$Z$5+$AA$5)))-(8742/(M2227+459.6))+15.64),EXP(INDEX(Antoines,MATCH(M2220,Antoine_Name,0),2)-INDEX(Antoines,MATCH(M2220,Antoine_Name,0),3)/(M2227+459.6))))),0)</f>
        <v>0</v>
      </c>
      <c r="N2236" cm="1">
        <f t="array" ref="N2236">IFERROR(IF(N2221="Chemical",(10^(INDEX(Antoines,MATCH(N2220,Antoine_Name,0),2)-INDEX(Antoines,MATCH(N2220,Antoine_Name,0),3)/(INDEX(Antoines,MATCH(N2220,Antoine_Name,0),4)+(N2227-32)*5/9)))*14.7/760,IF(N2221="Crude Oil",EXP((2799/(N2227+459.6)-2.227)*LOG10(INDEX(FX_Input,AA$5,N$3*$Z$5+$AA$5))-(7261/(N2227+459.6))+12.82),IF(N2221="Refined Petroleum Stock",EXP((0.7553-(413/(N2227+459.6)))*(INDEX(FX_Input,AA$5,N$3*$Z$5+$AA$5-1)^0.5)*LOG10(INDEX(FX_Input,AA$5,N$3*$Z$5+$AA$5))-(1.854-(1042/(N2227+459.6)))*(INDEX(FX_Input,AA$5,N$3*$Z$5+$AA$5-1)^0.5)+((2416/(N2227+459.6)-2.013)*LOG10(INDEX(FX_Input,AA$5,N$3*$Z$5+$AA$5)))-(8742/(N2227+459.6))+15.64),EXP(INDEX(Antoines,MATCH(N2220,Antoine_Name,0),2)-INDEX(Antoines,MATCH(N2220,Antoine_Name,0),3)/(N2227+459.6))))),0)</f>
        <v>0</v>
      </c>
      <c r="O2236" cm="1">
        <f t="array" ref="O2236">IFERROR(IF(O2221="Chemical",(10^(INDEX(Antoines,MATCH(O2220,Antoine_Name,0),2)-INDEX(Antoines,MATCH(O2220,Antoine_Name,0),3)/(INDEX(Antoines,MATCH(O2220,Antoine_Name,0),4)+(O2227-32)*5/9)))*14.7/760,IF(O2221="Crude Oil",EXP((2799/(O2227+459.6)-2.227)*LOG10(INDEX(FX_Input,AB$5,O$3*$Z$5+$AA$5))-(7261/(O2227+459.6))+12.82),IF(O2221="Refined Petroleum Stock",EXP((0.7553-(413/(O2227+459.6)))*(INDEX(FX_Input,AB$5,O$3*$Z$5+$AA$5-1)^0.5)*LOG10(INDEX(FX_Input,AB$5,O$3*$Z$5+$AA$5))-(1.854-(1042/(O2227+459.6)))*(INDEX(FX_Input,AB$5,O$3*$Z$5+$AA$5-1)^0.5)+((2416/(O2227+459.6)-2.013)*LOG10(INDEX(FX_Input,AB$5,O$3*$Z$5+$AA$5)))-(8742/(O2227+459.6))+15.64),EXP(INDEX(Antoines,MATCH(O2220,Antoine_Name,0),2)-INDEX(Antoines,MATCH(O2220,Antoine_Name,0),3)/(O2227+459.6))))),0)</f>
        <v>0</v>
      </c>
    </row>
    <row r="2237" spans="2:32" ht="17.149999999999999" x14ac:dyDescent="0.55000000000000004">
      <c r="B2237" t="str">
        <f t="shared" si="7222"/>
        <v>Portland</v>
      </c>
      <c r="C2237" t="s">
        <v>582</v>
      </c>
      <c r="D2237">
        <f>D2236*D2224</f>
        <v>0</v>
      </c>
      <c r="E2237">
        <f t="shared" ref="E2237:O2237" si="7227">E2236*E2224</f>
        <v>0</v>
      </c>
      <c r="F2237">
        <f t="shared" si="7227"/>
        <v>0</v>
      </c>
      <c r="G2237">
        <f t="shared" si="7227"/>
        <v>0</v>
      </c>
      <c r="H2237">
        <f t="shared" si="7227"/>
        <v>0</v>
      </c>
      <c r="I2237">
        <f t="shared" si="7227"/>
        <v>0</v>
      </c>
      <c r="J2237">
        <f t="shared" si="7227"/>
        <v>0</v>
      </c>
      <c r="K2237">
        <f t="shared" si="7227"/>
        <v>0</v>
      </c>
      <c r="L2237">
        <f t="shared" si="7227"/>
        <v>0</v>
      </c>
      <c r="M2237">
        <f t="shared" si="7227"/>
        <v>0</v>
      </c>
      <c r="N2237">
        <f t="shared" si="7227"/>
        <v>0</v>
      </c>
      <c r="O2237">
        <f t="shared" si="7227"/>
        <v>0</v>
      </c>
    </row>
    <row r="2238" spans="2:32" ht="17.149999999999999" x14ac:dyDescent="0.55000000000000004">
      <c r="B2238" t="str">
        <f t="shared" si="7222"/>
        <v>Portland</v>
      </c>
      <c r="C2238" t="s">
        <v>583</v>
      </c>
      <c r="D2238">
        <f>D2235+D2237</f>
        <v>4.739577185808354E-3</v>
      </c>
      <c r="E2238">
        <f t="shared" ref="E2238:O2238" si="7228">E2235+E2237</f>
        <v>4.8748667780818778E-3</v>
      </c>
      <c r="F2238">
        <f t="shared" si="7228"/>
        <v>5.119885034186122E-3</v>
      </c>
      <c r="G2238">
        <f t="shared" si="7228"/>
        <v>5.5846958573521795E-3</v>
      </c>
      <c r="H2238">
        <f t="shared" si="7228"/>
        <v>6.5274070972739821E-3</v>
      </c>
      <c r="I2238">
        <f t="shared" si="7228"/>
        <v>7.4199539958878279E-3</v>
      </c>
      <c r="J2238">
        <f t="shared" si="7228"/>
        <v>8.3358107202842254E-3</v>
      </c>
      <c r="K2238">
        <f t="shared" si="7228"/>
        <v>8.4605262729351115E-3</v>
      </c>
      <c r="L2238">
        <f t="shared" si="7228"/>
        <v>7.8399882233967533E-3</v>
      </c>
      <c r="M2238">
        <f t="shared" si="7228"/>
        <v>6.4173462075160911E-3</v>
      </c>
      <c r="N2238">
        <f t="shared" si="7228"/>
        <v>5.3015226887581056E-3</v>
      </c>
      <c r="O2238">
        <f t="shared" si="7228"/>
        <v>4.68970903600947E-3</v>
      </c>
    </row>
    <row r="2239" spans="2:32" ht="17.149999999999999" x14ac:dyDescent="0.55000000000000004">
      <c r="B2239" t="str">
        <f t="shared" si="7222"/>
        <v>Portland</v>
      </c>
      <c r="C2239" t="s">
        <v>1388</v>
      </c>
      <c r="D2239" cm="1">
        <f t="array" ref="D2239">IFERROR(IF(D2219="Chemical",(10^(INDEX(Antoines,MATCH(D2218,Antoine_Name,0),2)-INDEX(Antoines,MATCH(D2218,Antoine_Name,0),3)/(INDEX(Antoines,MATCH(D2218,Antoine_Name,0),4)+(D2228-32)*5/9)))*14.7/760,IF(D2219="Crude Oil",EXP((2799/(D2228+459.6)-2.227)*LOG10(INDEX(FX_Input,Q$5,D$3*$Z$5+$AA$5))-(7261/(D2228+459.6))+12.82),IF(D2219="Refined Petroleum Stock",EXP((0.7553-(413/(D2228+459.6)))*(INDEX(FX_Input,Q$5,D$3*$Z$5+$AA$5-1)^0.5)*LOG10(INDEX(FX_Input,Q$5,D$3*$Z$5+$AA$5))-(1.854-(1042/(D2228+459.6)))*(INDEX(FX_Input,Q$5,D$3*$Z$5+$AA$5-1)^0.5)+((2416/(D2228+459.6)-2.013)*LOG10(INDEX(FX_Input,Q$5,D$3*$Z$5+$AA$5)))-(8742/(D2228+459.6))+15.64),EXP(INDEX(Antoines,MATCH(D2218,Antoine_Name,0),2)-INDEX(Antoines,MATCH(D2218,Antoine_Name,0),3)/(D2228+459.6))))),0)</f>
        <v>4.739577185808354E-3</v>
      </c>
      <c r="E2239" cm="1">
        <f t="array" ref="E2239">IFERROR(IF(E2219="Chemical",(10^(INDEX(Antoines,MATCH(E2218,Antoine_Name,0),2)-INDEX(Antoines,MATCH(E2218,Antoine_Name,0),3)/(INDEX(Antoines,MATCH(E2218,Antoine_Name,0),4)+(E2228-32)*5/9)))*14.7/760,IF(E2219="Crude Oil",EXP((2799/(E2228+459.6)-2.227)*LOG10(INDEX(FX_Input,R$5,E$3*$Z$5+$AA$5))-(7261/(E2228+459.6))+12.82),IF(E2219="Refined Petroleum Stock",EXP((0.7553-(413/(E2228+459.6)))*(INDEX(FX_Input,R$5,E$3*$Z$5+$AA$5-1)^0.5)*LOG10(INDEX(FX_Input,R$5,E$3*$Z$5+$AA$5))-(1.854-(1042/(E2228+459.6)))*(INDEX(FX_Input,R$5,E$3*$Z$5+$AA$5-1)^0.5)+((2416/(E2228+459.6)-2.013)*LOG10(INDEX(FX_Input,R$5,E$3*$Z$5+$AA$5)))-(8742/(E2228+459.6))+15.64),EXP(INDEX(Antoines,MATCH(E2218,Antoine_Name,0),2)-INDEX(Antoines,MATCH(E2218,Antoine_Name,0),3)/(E2228+459.6))))),0)</f>
        <v>4.8748667780818778E-3</v>
      </c>
      <c r="F2239" cm="1">
        <f t="array" ref="F2239">IFERROR(IF(F2219="Chemical",(10^(INDEX(Antoines,MATCH(F2218,Antoine_Name,0),2)-INDEX(Antoines,MATCH(F2218,Antoine_Name,0),3)/(INDEX(Antoines,MATCH(F2218,Antoine_Name,0),4)+(F2228-32)*5/9)))*14.7/760,IF(F2219="Crude Oil",EXP((2799/(F2228+459.6)-2.227)*LOG10(INDEX(FX_Input,S$5,F$3*$Z$5+$AA$5))-(7261/(F2228+459.6))+12.82),IF(F2219="Refined Petroleum Stock",EXP((0.7553-(413/(F2228+459.6)))*(INDEX(FX_Input,S$5,F$3*$Z$5+$AA$5-1)^0.5)*LOG10(INDEX(FX_Input,S$5,F$3*$Z$5+$AA$5))-(1.854-(1042/(F2228+459.6)))*(INDEX(FX_Input,S$5,F$3*$Z$5+$AA$5-1)^0.5)+((2416/(F2228+459.6)-2.013)*LOG10(INDEX(FX_Input,S$5,F$3*$Z$5+$AA$5)))-(8742/(F2228+459.6))+15.64),EXP(INDEX(Antoines,MATCH(F2218,Antoine_Name,0),2)-INDEX(Antoines,MATCH(F2218,Antoine_Name,0),3)/(F2228+459.6))))),0)</f>
        <v>5.119885034186122E-3</v>
      </c>
      <c r="G2239" cm="1">
        <f t="array" ref="G2239">IFERROR(IF(G2219="Chemical",(10^(INDEX(Antoines,MATCH(G2218,Antoine_Name,0),2)-INDEX(Antoines,MATCH(G2218,Antoine_Name,0),3)/(INDEX(Antoines,MATCH(G2218,Antoine_Name,0),4)+(G2228-32)*5/9)))*14.7/760,IF(G2219="Crude Oil",EXP((2799/(G2228+459.6)-2.227)*LOG10(INDEX(FX_Input,T$5,G$3*$Z$5+$AA$5))-(7261/(G2228+459.6))+12.82),IF(G2219="Refined Petroleum Stock",EXP((0.7553-(413/(G2228+459.6)))*(INDEX(FX_Input,T$5,G$3*$Z$5+$AA$5-1)^0.5)*LOG10(INDEX(FX_Input,T$5,G$3*$Z$5+$AA$5))-(1.854-(1042/(G2228+459.6)))*(INDEX(FX_Input,T$5,G$3*$Z$5+$AA$5-1)^0.5)+((2416/(G2228+459.6)-2.013)*LOG10(INDEX(FX_Input,T$5,G$3*$Z$5+$AA$5)))-(8742/(G2228+459.6))+15.64),EXP(INDEX(Antoines,MATCH(G2218,Antoine_Name,0),2)-INDEX(Antoines,MATCH(G2218,Antoine_Name,0),3)/(G2228+459.6))))),0)</f>
        <v>5.5846958573521795E-3</v>
      </c>
      <c r="H2239" cm="1">
        <f t="array" ref="H2239">IFERROR(IF(H2219="Chemical",(10^(INDEX(Antoines,MATCH(H2218,Antoine_Name,0),2)-INDEX(Antoines,MATCH(H2218,Antoine_Name,0),3)/(INDEX(Antoines,MATCH(H2218,Antoine_Name,0),4)+(H2228-32)*5/9)))*14.7/760,IF(H2219="Crude Oil",EXP((2799/(H2228+459.6)-2.227)*LOG10(INDEX(FX_Input,U$5,H$3*$Z$5+$AA$5))-(7261/(H2228+459.6))+12.82),IF(H2219="Refined Petroleum Stock",EXP((0.7553-(413/(H2228+459.6)))*(INDEX(FX_Input,U$5,H$3*$Z$5+$AA$5-1)^0.5)*LOG10(INDEX(FX_Input,U$5,H$3*$Z$5+$AA$5))-(1.854-(1042/(H2228+459.6)))*(INDEX(FX_Input,U$5,H$3*$Z$5+$AA$5-1)^0.5)+((2416/(H2228+459.6)-2.013)*LOG10(INDEX(FX_Input,U$5,H$3*$Z$5+$AA$5)))-(8742/(H2228+459.6))+15.64),EXP(INDEX(Antoines,MATCH(H2218,Antoine_Name,0),2)-INDEX(Antoines,MATCH(H2218,Antoine_Name,0),3)/(H2228+459.6))))),0)</f>
        <v>6.5274070972739821E-3</v>
      </c>
      <c r="I2239" cm="1">
        <f t="array" ref="I2239">IFERROR(IF(I2219="Chemical",(10^(INDEX(Antoines,MATCH(I2218,Antoine_Name,0),2)-INDEX(Antoines,MATCH(I2218,Antoine_Name,0),3)/(INDEX(Antoines,MATCH(I2218,Antoine_Name,0),4)+(I2228-32)*5/9)))*14.7/760,IF(I2219="Crude Oil",EXP((2799/(I2228+459.6)-2.227)*LOG10(INDEX(FX_Input,V$5,I$3*$Z$5+$AA$5))-(7261/(I2228+459.6))+12.82),IF(I2219="Refined Petroleum Stock",EXP((0.7553-(413/(I2228+459.6)))*(INDEX(FX_Input,V$5,I$3*$Z$5+$AA$5-1)^0.5)*LOG10(INDEX(FX_Input,V$5,I$3*$Z$5+$AA$5))-(1.854-(1042/(I2228+459.6)))*(INDEX(FX_Input,V$5,I$3*$Z$5+$AA$5-1)^0.5)+((2416/(I2228+459.6)-2.013)*LOG10(INDEX(FX_Input,V$5,I$3*$Z$5+$AA$5)))-(8742/(I2228+459.6))+15.64),EXP(INDEX(Antoines,MATCH(I2218,Antoine_Name,0),2)-INDEX(Antoines,MATCH(I2218,Antoine_Name,0),3)/(I2228+459.6))))),0)</f>
        <v>7.4199539958878279E-3</v>
      </c>
      <c r="J2239" cm="1">
        <f t="array" ref="J2239">IFERROR(IF(J2219="Chemical",(10^(INDEX(Antoines,MATCH(J2218,Antoine_Name,0),2)-INDEX(Antoines,MATCH(J2218,Antoine_Name,0),3)/(INDEX(Antoines,MATCH(J2218,Antoine_Name,0),4)+(J2228-32)*5/9)))*14.7/760,IF(J2219="Crude Oil",EXP((2799/(J2228+459.6)-2.227)*LOG10(INDEX(FX_Input,W$5,J$3*$Z$5+$AA$5))-(7261/(J2228+459.6))+12.82),IF(J2219="Refined Petroleum Stock",EXP((0.7553-(413/(J2228+459.6)))*(INDEX(FX_Input,W$5,J$3*$Z$5+$AA$5-1)^0.5)*LOG10(INDEX(FX_Input,W$5,J$3*$Z$5+$AA$5))-(1.854-(1042/(J2228+459.6)))*(INDEX(FX_Input,W$5,J$3*$Z$5+$AA$5-1)^0.5)+((2416/(J2228+459.6)-2.013)*LOG10(INDEX(FX_Input,W$5,J$3*$Z$5+$AA$5)))-(8742/(J2228+459.6))+15.64),EXP(INDEX(Antoines,MATCH(J2218,Antoine_Name,0),2)-INDEX(Antoines,MATCH(J2218,Antoine_Name,0),3)/(J2228+459.6))))),0)</f>
        <v>8.3358107202842254E-3</v>
      </c>
      <c r="K2239" cm="1">
        <f t="array" ref="K2239">IFERROR(IF(K2219="Chemical",(10^(INDEX(Antoines,MATCH(K2218,Antoine_Name,0),2)-INDEX(Antoines,MATCH(K2218,Antoine_Name,0),3)/(INDEX(Antoines,MATCH(K2218,Antoine_Name,0),4)+(K2228-32)*5/9)))*14.7/760,IF(K2219="Crude Oil",EXP((2799/(K2228+459.6)-2.227)*LOG10(INDEX(FX_Input,X$5,K$3*$Z$5+$AA$5))-(7261/(K2228+459.6))+12.82),IF(K2219="Refined Petroleum Stock",EXP((0.7553-(413/(K2228+459.6)))*(INDEX(FX_Input,X$5,K$3*$Z$5+$AA$5-1)^0.5)*LOG10(INDEX(FX_Input,X$5,K$3*$Z$5+$AA$5))-(1.854-(1042/(K2228+459.6)))*(INDEX(FX_Input,X$5,K$3*$Z$5+$AA$5-1)^0.5)+((2416/(K2228+459.6)-2.013)*LOG10(INDEX(FX_Input,X$5,K$3*$Z$5+$AA$5)))-(8742/(K2228+459.6))+15.64),EXP(INDEX(Antoines,MATCH(K2218,Antoine_Name,0),2)-INDEX(Antoines,MATCH(K2218,Antoine_Name,0),3)/(K2228+459.6))))),0)</f>
        <v>8.4605262729351115E-3</v>
      </c>
      <c r="L2239" cm="1">
        <f t="array" ref="L2239">IFERROR(IF(L2219="Chemical",(10^(INDEX(Antoines,MATCH(L2218,Antoine_Name,0),2)-INDEX(Antoines,MATCH(L2218,Antoine_Name,0),3)/(INDEX(Antoines,MATCH(L2218,Antoine_Name,0),4)+(L2228-32)*5/9)))*14.7/760,IF(L2219="Crude Oil",EXP((2799/(L2228+459.6)-2.227)*LOG10(INDEX(FX_Input,Y$5,L$3*$Z$5+$AA$5))-(7261/(L2228+459.6))+12.82),IF(L2219="Refined Petroleum Stock",EXP((0.7553-(413/(L2228+459.6)))*(INDEX(FX_Input,Y$5,L$3*$Z$5+$AA$5-1)^0.5)*LOG10(INDEX(FX_Input,Y$5,L$3*$Z$5+$AA$5))-(1.854-(1042/(L2228+459.6)))*(INDEX(FX_Input,Y$5,L$3*$Z$5+$AA$5-1)^0.5)+((2416/(L2228+459.6)-2.013)*LOG10(INDEX(FX_Input,Y$5,L$3*$Z$5+$AA$5)))-(8742/(L2228+459.6))+15.64),EXP(INDEX(Antoines,MATCH(L2218,Antoine_Name,0),2)-INDEX(Antoines,MATCH(L2218,Antoine_Name,0),3)/(L2228+459.6))))),0)</f>
        <v>7.8399882233967533E-3</v>
      </c>
      <c r="M2239" cm="1">
        <f t="array" ref="M2239">IFERROR(IF(M2219="Chemical",(10^(INDEX(Antoines,MATCH(M2218,Antoine_Name,0),2)-INDEX(Antoines,MATCH(M2218,Antoine_Name,0),3)/(INDEX(Antoines,MATCH(M2218,Antoine_Name,0),4)+(M2228-32)*5/9)))*14.7/760,IF(M2219="Crude Oil",EXP((2799/(M2228+459.6)-2.227)*LOG10(INDEX(FX_Input,Z$5,M$3*$Z$5+$AA$5))-(7261/(M2228+459.6))+12.82),IF(M2219="Refined Petroleum Stock",EXP((0.7553-(413/(M2228+459.6)))*(INDEX(FX_Input,Z$5,M$3*$Z$5+$AA$5-1)^0.5)*LOG10(INDEX(FX_Input,Z$5,M$3*$Z$5+$AA$5))-(1.854-(1042/(M2228+459.6)))*(INDEX(FX_Input,Z$5,M$3*$Z$5+$AA$5-1)^0.5)+((2416/(M2228+459.6)-2.013)*LOG10(INDEX(FX_Input,Z$5,M$3*$Z$5+$AA$5)))-(8742/(M2228+459.6))+15.64),EXP(INDEX(Antoines,MATCH(M2218,Antoine_Name,0),2)-INDEX(Antoines,MATCH(M2218,Antoine_Name,0),3)/(M2228+459.6))))),0)</f>
        <v>6.4173462075160911E-3</v>
      </c>
      <c r="N2239" cm="1">
        <f t="array" ref="N2239">IFERROR(IF(N2219="Chemical",(10^(INDEX(Antoines,MATCH(N2218,Antoine_Name,0),2)-INDEX(Antoines,MATCH(N2218,Antoine_Name,0),3)/(INDEX(Antoines,MATCH(N2218,Antoine_Name,0),4)+(N2228-32)*5/9)))*14.7/760,IF(N2219="Crude Oil",EXP((2799/(N2228+459.6)-2.227)*LOG10(INDEX(FX_Input,AA$5,N$3*$Z$5+$AA$5))-(7261/(N2228+459.6))+12.82),IF(N2219="Refined Petroleum Stock",EXP((0.7553-(413/(N2228+459.6)))*(INDEX(FX_Input,AA$5,N$3*$Z$5+$AA$5-1)^0.5)*LOG10(INDEX(FX_Input,AA$5,N$3*$Z$5+$AA$5))-(1.854-(1042/(N2228+459.6)))*(INDEX(FX_Input,AA$5,N$3*$Z$5+$AA$5-1)^0.5)+((2416/(N2228+459.6)-2.013)*LOG10(INDEX(FX_Input,AA$5,N$3*$Z$5+$AA$5)))-(8742/(N2228+459.6))+15.64),EXP(INDEX(Antoines,MATCH(N2218,Antoine_Name,0),2)-INDEX(Antoines,MATCH(N2218,Antoine_Name,0),3)/(N2228+459.6))))),0)</f>
        <v>5.3015226887581056E-3</v>
      </c>
      <c r="O2239" cm="1">
        <f t="array" ref="O2239">IFERROR(IF(O2219="Chemical",(10^(INDEX(Antoines,MATCH(O2218,Antoine_Name,0),2)-INDEX(Antoines,MATCH(O2218,Antoine_Name,0),3)/(INDEX(Antoines,MATCH(O2218,Antoine_Name,0),4)+(O2228-32)*5/9)))*14.7/760,IF(O2219="Crude Oil",EXP((2799/(O2228+459.6)-2.227)*LOG10(INDEX(FX_Input,AB$5,O$3*$Z$5+$AA$5))-(7261/(O2228+459.6))+12.82),IF(O2219="Refined Petroleum Stock",EXP((0.7553-(413/(O2228+459.6)))*(INDEX(FX_Input,AB$5,O$3*$Z$5+$AA$5-1)^0.5)*LOG10(INDEX(FX_Input,AB$5,O$3*$Z$5+$AA$5))-(1.854-(1042/(O2228+459.6)))*(INDEX(FX_Input,AB$5,O$3*$Z$5+$AA$5-1)^0.5)+((2416/(O2228+459.6)-2.013)*LOG10(INDEX(FX_Input,AB$5,O$3*$Z$5+$AA$5)))-(8742/(O2228+459.6))+15.64),EXP(INDEX(Antoines,MATCH(O2218,Antoine_Name,0),2)-INDEX(Antoines,MATCH(O2218,Antoine_Name,0),3)/(O2228+459.6))))),0)</f>
        <v>4.68970903600947E-3</v>
      </c>
    </row>
    <row r="2240" spans="2:32" ht="17.149999999999999" x14ac:dyDescent="0.55000000000000004">
      <c r="B2240" t="str">
        <f t="shared" si="7222"/>
        <v>Portland</v>
      </c>
      <c r="C2240" t="s">
        <v>1389</v>
      </c>
      <c r="D2240">
        <f>D2239*D2222</f>
        <v>4.739577185808354E-3</v>
      </c>
      <c r="E2240">
        <f t="shared" ref="E2240:O2240" si="7229">E2239*E2222</f>
        <v>4.8748667780818778E-3</v>
      </c>
      <c r="F2240">
        <f t="shared" si="7229"/>
        <v>5.119885034186122E-3</v>
      </c>
      <c r="G2240">
        <f t="shared" si="7229"/>
        <v>5.5846958573521795E-3</v>
      </c>
      <c r="H2240">
        <f t="shared" si="7229"/>
        <v>6.5274070972739821E-3</v>
      </c>
      <c r="I2240">
        <f t="shared" si="7229"/>
        <v>7.4199539958878279E-3</v>
      </c>
      <c r="J2240">
        <f t="shared" si="7229"/>
        <v>8.3358107202842254E-3</v>
      </c>
      <c r="K2240">
        <f t="shared" si="7229"/>
        <v>8.4605262729351115E-3</v>
      </c>
      <c r="L2240">
        <f t="shared" si="7229"/>
        <v>7.8399882233967533E-3</v>
      </c>
      <c r="M2240">
        <f t="shared" si="7229"/>
        <v>6.4173462075160911E-3</v>
      </c>
      <c r="N2240">
        <f t="shared" si="7229"/>
        <v>5.3015226887581056E-3</v>
      </c>
      <c r="O2240">
        <f t="shared" si="7229"/>
        <v>4.68970903600947E-3</v>
      </c>
    </row>
    <row r="2241" spans="1:32" ht="17.149999999999999" x14ac:dyDescent="0.55000000000000004">
      <c r="B2241" t="str">
        <f t="shared" si="7222"/>
        <v>Portland</v>
      </c>
      <c r="C2241" t="s">
        <v>1390</v>
      </c>
      <c r="D2241" cm="1">
        <f t="array" ref="D2241">IFERROR(IF(D2221="Chemical",(10^(INDEX(Antoines,MATCH(D2220,Antoine_Name,0),2)-INDEX(Antoines,MATCH(D2220,Antoine_Name,0),3)/(INDEX(Antoines,MATCH(D2220,Antoine_Name,0),4)+(D2228-32)*5/9)))*14.7/760,IF(D2221="Crude Oil",EXP((2799/(D2228+459.6)-2.227)*LOG10(INDEX(FX_Input,Q$5,D$3*$Z$5+$AA$5))-(7261/(D2228+459.6))+12.82),IF(D2221="Refined Petroleum Stock",EXP((0.7553-(413/(D2228+459.6)))*(INDEX(FX_Input,Q$5,D$3*$Z$5+$AA$5-1)^0.5)*LOG10(INDEX(FX_Input,Q$5,D$3*$Z$5+$AA$5))-(1.854-(1042/(D2228+459.6)))*(INDEX(FX_Input,Q$5,D$3*$Z$5+$AA$5-1)^0.5)+((2416/(D2228+459.6)-2.013)*LOG10(INDEX(FX_Input,Q$5,D$3*$Z$5+$AA$5)))-(8742/(D2228+459.6))+15.64),EXP(INDEX(Antoines,MATCH(D2220,Antoine_Name,0),2)-INDEX(Antoines,MATCH(D2220,Antoine_Name,0),3)/(D2228+459.6))))),0)</f>
        <v>0</v>
      </c>
      <c r="E2241" cm="1">
        <f t="array" ref="E2241">IFERROR(IF(E2221="Chemical",(10^(INDEX(Antoines,MATCH(E2220,Antoine_Name,0),2)-INDEX(Antoines,MATCH(E2220,Antoine_Name,0),3)/(INDEX(Antoines,MATCH(E2220,Antoine_Name,0),4)+(E2228-32)*5/9)))*14.7/760,IF(E2221="Crude Oil",EXP((2799/(E2228+459.6)-2.227)*LOG10(INDEX(FX_Input,R$5,E$3*$Z$5+$AA$5))-(7261/(E2228+459.6))+12.82),IF(E2221="Refined Petroleum Stock",EXP((0.7553-(413/(E2228+459.6)))*(INDEX(FX_Input,R$5,E$3*$Z$5+$AA$5-1)^0.5)*LOG10(INDEX(FX_Input,R$5,E$3*$Z$5+$AA$5))-(1.854-(1042/(E2228+459.6)))*(INDEX(FX_Input,R$5,E$3*$Z$5+$AA$5-1)^0.5)+((2416/(E2228+459.6)-2.013)*LOG10(INDEX(FX_Input,R$5,E$3*$Z$5+$AA$5)))-(8742/(E2228+459.6))+15.64),EXP(INDEX(Antoines,MATCH(E2220,Antoine_Name,0),2)-INDEX(Antoines,MATCH(E2220,Antoine_Name,0),3)/(E2228+459.6))))),0)</f>
        <v>0</v>
      </c>
      <c r="F2241" cm="1">
        <f t="array" ref="F2241">IFERROR(IF(F2221="Chemical",(10^(INDEX(Antoines,MATCH(F2220,Antoine_Name,0),2)-INDEX(Antoines,MATCH(F2220,Antoine_Name,0),3)/(INDEX(Antoines,MATCH(F2220,Antoine_Name,0),4)+(F2228-32)*5/9)))*14.7/760,IF(F2221="Crude Oil",EXP((2799/(F2228+459.6)-2.227)*LOG10(INDEX(FX_Input,S$5,F$3*$Z$5+$AA$5))-(7261/(F2228+459.6))+12.82),IF(F2221="Refined Petroleum Stock",EXP((0.7553-(413/(F2228+459.6)))*(INDEX(FX_Input,S$5,F$3*$Z$5+$AA$5-1)^0.5)*LOG10(INDEX(FX_Input,S$5,F$3*$Z$5+$AA$5))-(1.854-(1042/(F2228+459.6)))*(INDEX(FX_Input,S$5,F$3*$Z$5+$AA$5-1)^0.5)+((2416/(F2228+459.6)-2.013)*LOG10(INDEX(FX_Input,S$5,F$3*$Z$5+$AA$5)))-(8742/(F2228+459.6))+15.64),EXP(INDEX(Antoines,MATCH(F2220,Antoine_Name,0),2)-INDEX(Antoines,MATCH(F2220,Antoine_Name,0),3)/(F2228+459.6))))),0)</f>
        <v>0</v>
      </c>
      <c r="G2241" cm="1">
        <f t="array" ref="G2241">IFERROR(IF(G2221="Chemical",(10^(INDEX(Antoines,MATCH(G2220,Antoine_Name,0),2)-INDEX(Antoines,MATCH(G2220,Antoine_Name,0),3)/(INDEX(Antoines,MATCH(G2220,Antoine_Name,0),4)+(G2228-32)*5/9)))*14.7/760,IF(G2221="Crude Oil",EXP((2799/(G2228+459.6)-2.227)*LOG10(INDEX(FX_Input,T$5,G$3*$Z$5+$AA$5))-(7261/(G2228+459.6))+12.82),IF(G2221="Refined Petroleum Stock",EXP((0.7553-(413/(G2228+459.6)))*(INDEX(FX_Input,T$5,G$3*$Z$5+$AA$5-1)^0.5)*LOG10(INDEX(FX_Input,T$5,G$3*$Z$5+$AA$5))-(1.854-(1042/(G2228+459.6)))*(INDEX(FX_Input,T$5,G$3*$Z$5+$AA$5-1)^0.5)+((2416/(G2228+459.6)-2.013)*LOG10(INDEX(FX_Input,T$5,G$3*$Z$5+$AA$5)))-(8742/(G2228+459.6))+15.64),EXP(INDEX(Antoines,MATCH(G2220,Antoine_Name,0),2)-INDEX(Antoines,MATCH(G2220,Antoine_Name,0),3)/(G2228+459.6))))),0)</f>
        <v>0</v>
      </c>
      <c r="H2241" cm="1">
        <f t="array" ref="H2241">IFERROR(IF(H2221="Chemical",(10^(INDEX(Antoines,MATCH(H2220,Antoine_Name,0),2)-INDEX(Antoines,MATCH(H2220,Antoine_Name,0),3)/(INDEX(Antoines,MATCH(H2220,Antoine_Name,0),4)+(H2228-32)*5/9)))*14.7/760,IF(H2221="Crude Oil",EXP((2799/(H2228+459.6)-2.227)*LOG10(INDEX(FX_Input,U$5,H$3*$Z$5+$AA$5))-(7261/(H2228+459.6))+12.82),IF(H2221="Refined Petroleum Stock",EXP((0.7553-(413/(H2228+459.6)))*(INDEX(FX_Input,U$5,H$3*$Z$5+$AA$5-1)^0.5)*LOG10(INDEX(FX_Input,U$5,H$3*$Z$5+$AA$5))-(1.854-(1042/(H2228+459.6)))*(INDEX(FX_Input,U$5,H$3*$Z$5+$AA$5-1)^0.5)+((2416/(H2228+459.6)-2.013)*LOG10(INDEX(FX_Input,U$5,H$3*$Z$5+$AA$5)))-(8742/(H2228+459.6))+15.64),EXP(INDEX(Antoines,MATCH(H2220,Antoine_Name,0),2)-INDEX(Antoines,MATCH(H2220,Antoine_Name,0),3)/(H2228+459.6))))),0)</f>
        <v>0</v>
      </c>
      <c r="I2241" cm="1">
        <f t="array" ref="I2241">IFERROR(IF(I2221="Chemical",(10^(INDEX(Antoines,MATCH(I2220,Antoine_Name,0),2)-INDEX(Antoines,MATCH(I2220,Antoine_Name,0),3)/(INDEX(Antoines,MATCH(I2220,Antoine_Name,0),4)+(I2228-32)*5/9)))*14.7/760,IF(I2221="Crude Oil",EXP((2799/(I2228+459.6)-2.227)*LOG10(INDEX(FX_Input,V$5,I$3*$Z$5+$AA$5))-(7261/(I2228+459.6))+12.82),IF(I2221="Refined Petroleum Stock",EXP((0.7553-(413/(I2228+459.6)))*(INDEX(FX_Input,V$5,I$3*$Z$5+$AA$5-1)^0.5)*LOG10(INDEX(FX_Input,V$5,I$3*$Z$5+$AA$5))-(1.854-(1042/(I2228+459.6)))*(INDEX(FX_Input,V$5,I$3*$Z$5+$AA$5-1)^0.5)+((2416/(I2228+459.6)-2.013)*LOG10(INDEX(FX_Input,V$5,I$3*$Z$5+$AA$5)))-(8742/(I2228+459.6))+15.64),EXP(INDEX(Antoines,MATCH(I2220,Antoine_Name,0),2)-INDEX(Antoines,MATCH(I2220,Antoine_Name,0),3)/(I2228+459.6))))),0)</f>
        <v>0</v>
      </c>
      <c r="J2241" cm="1">
        <f t="array" ref="J2241">IFERROR(IF(J2221="Chemical",(10^(INDEX(Antoines,MATCH(J2220,Antoine_Name,0),2)-INDEX(Antoines,MATCH(J2220,Antoine_Name,0),3)/(INDEX(Antoines,MATCH(J2220,Antoine_Name,0),4)+(J2228-32)*5/9)))*14.7/760,IF(J2221="Crude Oil",EXP((2799/(J2228+459.6)-2.227)*LOG10(INDEX(FX_Input,W$5,J$3*$Z$5+$AA$5))-(7261/(J2228+459.6))+12.82),IF(J2221="Refined Petroleum Stock",EXP((0.7553-(413/(J2228+459.6)))*(INDEX(FX_Input,W$5,J$3*$Z$5+$AA$5-1)^0.5)*LOG10(INDEX(FX_Input,W$5,J$3*$Z$5+$AA$5))-(1.854-(1042/(J2228+459.6)))*(INDEX(FX_Input,W$5,J$3*$Z$5+$AA$5-1)^0.5)+((2416/(J2228+459.6)-2.013)*LOG10(INDEX(FX_Input,W$5,J$3*$Z$5+$AA$5)))-(8742/(J2228+459.6))+15.64),EXP(INDEX(Antoines,MATCH(J2220,Antoine_Name,0),2)-INDEX(Antoines,MATCH(J2220,Antoine_Name,0),3)/(J2228+459.6))))),0)</f>
        <v>0</v>
      </c>
      <c r="K2241" cm="1">
        <f t="array" ref="K2241">IFERROR(IF(K2221="Chemical",(10^(INDEX(Antoines,MATCH(K2220,Antoine_Name,0),2)-INDEX(Antoines,MATCH(K2220,Antoine_Name,0),3)/(INDEX(Antoines,MATCH(K2220,Antoine_Name,0),4)+(K2228-32)*5/9)))*14.7/760,IF(K2221="Crude Oil",EXP((2799/(K2228+459.6)-2.227)*LOG10(INDEX(FX_Input,X$5,K$3*$Z$5+$AA$5))-(7261/(K2228+459.6))+12.82),IF(K2221="Refined Petroleum Stock",EXP((0.7553-(413/(K2228+459.6)))*(INDEX(FX_Input,X$5,K$3*$Z$5+$AA$5-1)^0.5)*LOG10(INDEX(FX_Input,X$5,K$3*$Z$5+$AA$5))-(1.854-(1042/(K2228+459.6)))*(INDEX(FX_Input,X$5,K$3*$Z$5+$AA$5-1)^0.5)+((2416/(K2228+459.6)-2.013)*LOG10(INDEX(FX_Input,X$5,K$3*$Z$5+$AA$5)))-(8742/(K2228+459.6))+15.64),EXP(INDEX(Antoines,MATCH(K2220,Antoine_Name,0),2)-INDEX(Antoines,MATCH(K2220,Antoine_Name,0),3)/(K2228+459.6))))),0)</f>
        <v>0</v>
      </c>
      <c r="L2241" cm="1">
        <f t="array" ref="L2241">IFERROR(IF(L2221="Chemical",(10^(INDEX(Antoines,MATCH(L2220,Antoine_Name,0),2)-INDEX(Antoines,MATCH(L2220,Antoine_Name,0),3)/(INDEX(Antoines,MATCH(L2220,Antoine_Name,0),4)+(L2228-32)*5/9)))*14.7/760,IF(L2221="Crude Oil",EXP((2799/(L2228+459.6)-2.227)*LOG10(INDEX(FX_Input,Y$5,L$3*$Z$5+$AA$5))-(7261/(L2228+459.6))+12.82),IF(L2221="Refined Petroleum Stock",EXP((0.7553-(413/(L2228+459.6)))*(INDEX(FX_Input,Y$5,L$3*$Z$5+$AA$5-1)^0.5)*LOG10(INDEX(FX_Input,Y$5,L$3*$Z$5+$AA$5))-(1.854-(1042/(L2228+459.6)))*(INDEX(FX_Input,Y$5,L$3*$Z$5+$AA$5-1)^0.5)+((2416/(L2228+459.6)-2.013)*LOG10(INDEX(FX_Input,Y$5,L$3*$Z$5+$AA$5)))-(8742/(L2228+459.6))+15.64),EXP(INDEX(Antoines,MATCH(L2220,Antoine_Name,0),2)-INDEX(Antoines,MATCH(L2220,Antoine_Name,0),3)/(L2228+459.6))))),0)</f>
        <v>0</v>
      </c>
      <c r="M2241" cm="1">
        <f t="array" ref="M2241">IFERROR(IF(M2221="Chemical",(10^(INDEX(Antoines,MATCH(M2220,Antoine_Name,0),2)-INDEX(Antoines,MATCH(M2220,Antoine_Name,0),3)/(INDEX(Antoines,MATCH(M2220,Antoine_Name,0),4)+(M2228-32)*5/9)))*14.7/760,IF(M2221="Crude Oil",EXP((2799/(M2228+459.6)-2.227)*LOG10(INDEX(FX_Input,Z$5,M$3*$Z$5+$AA$5))-(7261/(M2228+459.6))+12.82),IF(M2221="Refined Petroleum Stock",EXP((0.7553-(413/(M2228+459.6)))*(INDEX(FX_Input,Z$5,M$3*$Z$5+$AA$5-1)^0.5)*LOG10(INDEX(FX_Input,Z$5,M$3*$Z$5+$AA$5))-(1.854-(1042/(M2228+459.6)))*(INDEX(FX_Input,Z$5,M$3*$Z$5+$AA$5-1)^0.5)+((2416/(M2228+459.6)-2.013)*LOG10(INDEX(FX_Input,Z$5,M$3*$Z$5+$AA$5)))-(8742/(M2228+459.6))+15.64),EXP(INDEX(Antoines,MATCH(M2220,Antoine_Name,0),2)-INDEX(Antoines,MATCH(M2220,Antoine_Name,0),3)/(M2228+459.6))))),0)</f>
        <v>0</v>
      </c>
      <c r="N2241" cm="1">
        <f t="array" ref="N2241">IFERROR(IF(N2221="Chemical",(10^(INDEX(Antoines,MATCH(N2220,Antoine_Name,0),2)-INDEX(Antoines,MATCH(N2220,Antoine_Name,0),3)/(INDEX(Antoines,MATCH(N2220,Antoine_Name,0),4)+(N2228-32)*5/9)))*14.7/760,IF(N2221="Crude Oil",EXP((2799/(N2228+459.6)-2.227)*LOG10(INDEX(FX_Input,AA$5,N$3*$Z$5+$AA$5))-(7261/(N2228+459.6))+12.82),IF(N2221="Refined Petroleum Stock",EXP((0.7553-(413/(N2228+459.6)))*(INDEX(FX_Input,AA$5,N$3*$Z$5+$AA$5-1)^0.5)*LOG10(INDEX(FX_Input,AA$5,N$3*$Z$5+$AA$5))-(1.854-(1042/(N2228+459.6)))*(INDEX(FX_Input,AA$5,N$3*$Z$5+$AA$5-1)^0.5)+((2416/(N2228+459.6)-2.013)*LOG10(INDEX(FX_Input,AA$5,N$3*$Z$5+$AA$5)))-(8742/(N2228+459.6))+15.64),EXP(INDEX(Antoines,MATCH(N2220,Antoine_Name,0),2)-INDEX(Antoines,MATCH(N2220,Antoine_Name,0),3)/(N2228+459.6))))),0)</f>
        <v>0</v>
      </c>
      <c r="O2241" cm="1">
        <f t="array" ref="O2241">IFERROR(IF(O2221="Chemical",(10^(INDEX(Antoines,MATCH(O2220,Antoine_Name,0),2)-INDEX(Antoines,MATCH(O2220,Antoine_Name,0),3)/(INDEX(Antoines,MATCH(O2220,Antoine_Name,0),4)+(O2228-32)*5/9)))*14.7/760,IF(O2221="Crude Oil",EXP((2799/(O2228+459.6)-2.227)*LOG10(INDEX(FX_Input,AB$5,O$3*$Z$5+$AA$5))-(7261/(O2228+459.6))+12.82),IF(O2221="Refined Petroleum Stock",EXP((0.7553-(413/(O2228+459.6)))*(INDEX(FX_Input,AB$5,O$3*$Z$5+$AA$5-1)^0.5)*LOG10(INDEX(FX_Input,AB$5,O$3*$Z$5+$AA$5))-(1.854-(1042/(O2228+459.6)))*(INDEX(FX_Input,AB$5,O$3*$Z$5+$AA$5-1)^0.5)+((2416/(O2228+459.6)-2.013)*LOG10(INDEX(FX_Input,AB$5,O$3*$Z$5+$AA$5)))-(8742/(O2228+459.6))+15.64),EXP(INDEX(Antoines,MATCH(O2220,Antoine_Name,0),2)-INDEX(Antoines,MATCH(O2220,Antoine_Name,0),3)/(O2228+459.6))))),0)</f>
        <v>0</v>
      </c>
    </row>
    <row r="2242" spans="1:32" ht="17.149999999999999" x14ac:dyDescent="0.55000000000000004">
      <c r="B2242" t="str">
        <f t="shared" si="7222"/>
        <v>Portland</v>
      </c>
      <c r="C2242" t="s">
        <v>1391</v>
      </c>
      <c r="D2242">
        <f>D2241*D2224</f>
        <v>0</v>
      </c>
      <c r="E2242">
        <f t="shared" ref="E2242:O2242" si="7230">E2241*E2224</f>
        <v>0</v>
      </c>
      <c r="F2242">
        <f t="shared" si="7230"/>
        <v>0</v>
      </c>
      <c r="G2242">
        <f t="shared" si="7230"/>
        <v>0</v>
      </c>
      <c r="H2242">
        <f t="shared" si="7230"/>
        <v>0</v>
      </c>
      <c r="I2242">
        <f t="shared" si="7230"/>
        <v>0</v>
      </c>
      <c r="J2242">
        <f t="shared" si="7230"/>
        <v>0</v>
      </c>
      <c r="K2242">
        <f t="shared" si="7230"/>
        <v>0</v>
      </c>
      <c r="L2242">
        <f t="shared" si="7230"/>
        <v>0</v>
      </c>
      <c r="M2242">
        <f t="shared" si="7230"/>
        <v>0</v>
      </c>
      <c r="N2242">
        <f t="shared" si="7230"/>
        <v>0</v>
      </c>
      <c r="O2242">
        <f t="shared" si="7230"/>
        <v>0</v>
      </c>
    </row>
    <row r="2243" spans="1:32" ht="17.149999999999999" x14ac:dyDescent="0.55000000000000004">
      <c r="B2243" t="str">
        <f t="shared" si="7222"/>
        <v>Portland</v>
      </c>
      <c r="C2243" t="s">
        <v>1392</v>
      </c>
      <c r="D2243">
        <f>D2240+D2242</f>
        <v>4.739577185808354E-3</v>
      </c>
      <c r="E2243">
        <f t="shared" ref="E2243:O2243" si="7231">E2240+E2242</f>
        <v>4.8748667780818778E-3</v>
      </c>
      <c r="F2243">
        <f t="shared" si="7231"/>
        <v>5.119885034186122E-3</v>
      </c>
      <c r="G2243">
        <f t="shared" si="7231"/>
        <v>5.5846958573521795E-3</v>
      </c>
      <c r="H2243">
        <f t="shared" si="7231"/>
        <v>6.5274070972739821E-3</v>
      </c>
      <c r="I2243">
        <f t="shared" si="7231"/>
        <v>7.4199539958878279E-3</v>
      </c>
      <c r="J2243">
        <f t="shared" si="7231"/>
        <v>8.3358107202842254E-3</v>
      </c>
      <c r="K2243">
        <f t="shared" si="7231"/>
        <v>8.4605262729351115E-3</v>
      </c>
      <c r="L2243">
        <f t="shared" si="7231"/>
        <v>7.8399882233967533E-3</v>
      </c>
      <c r="M2243">
        <f t="shared" si="7231"/>
        <v>6.4173462075160911E-3</v>
      </c>
      <c r="N2243">
        <f t="shared" si="7231"/>
        <v>5.3015226887581056E-3</v>
      </c>
      <c r="O2243">
        <f t="shared" si="7231"/>
        <v>4.68970903600947E-3</v>
      </c>
    </row>
    <row r="2244" spans="1:32" ht="17.149999999999999" x14ac:dyDescent="0.55000000000000004">
      <c r="B2244" t="str">
        <f>B2238</f>
        <v>Portland</v>
      </c>
      <c r="C2244" t="s">
        <v>584</v>
      </c>
      <c r="D2244">
        <f>D2240/D2243</f>
        <v>1</v>
      </c>
      <c r="E2244">
        <f t="shared" ref="E2244:O2244" si="7232">E2240/E2243</f>
        <v>1</v>
      </c>
      <c r="F2244">
        <f t="shared" si="7232"/>
        <v>1</v>
      </c>
      <c r="G2244">
        <f t="shared" si="7232"/>
        <v>1</v>
      </c>
      <c r="H2244">
        <f t="shared" si="7232"/>
        <v>1</v>
      </c>
      <c r="I2244">
        <f t="shared" si="7232"/>
        <v>1</v>
      </c>
      <c r="J2244">
        <f t="shared" si="7232"/>
        <v>1</v>
      </c>
      <c r="K2244">
        <f t="shared" si="7232"/>
        <v>1</v>
      </c>
      <c r="L2244">
        <f t="shared" si="7232"/>
        <v>1</v>
      </c>
      <c r="M2244">
        <f t="shared" si="7232"/>
        <v>1</v>
      </c>
      <c r="N2244">
        <f t="shared" si="7232"/>
        <v>1</v>
      </c>
      <c r="O2244">
        <f t="shared" si="7232"/>
        <v>1</v>
      </c>
    </row>
    <row r="2245" spans="1:32" ht="17.149999999999999" x14ac:dyDescent="0.55000000000000004">
      <c r="B2245" t="str">
        <f>B2239</f>
        <v>Portland</v>
      </c>
      <c r="C2245" t="s">
        <v>585</v>
      </c>
      <c r="D2245">
        <f t="shared" ref="D2245:O2245" si="7233">INDEX(Phys_Prop,MATCH(D2218,Chem_List,0),3)</f>
        <v>130</v>
      </c>
      <c r="E2245">
        <f t="shared" si="7233"/>
        <v>130</v>
      </c>
      <c r="F2245">
        <f t="shared" si="7233"/>
        <v>130</v>
      </c>
      <c r="G2245">
        <f t="shared" si="7233"/>
        <v>130</v>
      </c>
      <c r="H2245">
        <f t="shared" si="7233"/>
        <v>130</v>
      </c>
      <c r="I2245">
        <f t="shared" si="7233"/>
        <v>130</v>
      </c>
      <c r="J2245">
        <f t="shared" si="7233"/>
        <v>130</v>
      </c>
      <c r="K2245">
        <f t="shared" si="7233"/>
        <v>130</v>
      </c>
      <c r="L2245">
        <f t="shared" si="7233"/>
        <v>130</v>
      </c>
      <c r="M2245">
        <f t="shared" si="7233"/>
        <v>130</v>
      </c>
      <c r="N2245">
        <f t="shared" si="7233"/>
        <v>130</v>
      </c>
      <c r="O2245">
        <f t="shared" si="7233"/>
        <v>130</v>
      </c>
    </row>
    <row r="2246" spans="1:32" ht="17.149999999999999" x14ac:dyDescent="0.55000000000000004">
      <c r="B2246" t="str">
        <f>B2245</f>
        <v>Portland</v>
      </c>
      <c r="C2246" t="s">
        <v>586</v>
      </c>
      <c r="D2246">
        <f>D2242/D2243</f>
        <v>0</v>
      </c>
      <c r="E2246">
        <f t="shared" ref="E2246:O2246" si="7234">E2242/E2243</f>
        <v>0</v>
      </c>
      <c r="F2246">
        <f t="shared" si="7234"/>
        <v>0</v>
      </c>
      <c r="G2246">
        <f t="shared" si="7234"/>
        <v>0</v>
      </c>
      <c r="H2246">
        <f t="shared" si="7234"/>
        <v>0</v>
      </c>
      <c r="I2246">
        <f t="shared" si="7234"/>
        <v>0</v>
      </c>
      <c r="J2246">
        <f t="shared" si="7234"/>
        <v>0</v>
      </c>
      <c r="K2246">
        <f t="shared" si="7234"/>
        <v>0</v>
      </c>
      <c r="L2246">
        <f t="shared" si="7234"/>
        <v>0</v>
      </c>
      <c r="M2246">
        <f t="shared" si="7234"/>
        <v>0</v>
      </c>
      <c r="N2246">
        <f t="shared" si="7234"/>
        <v>0</v>
      </c>
      <c r="O2246">
        <f t="shared" si="7234"/>
        <v>0</v>
      </c>
    </row>
    <row r="2247" spans="1:32" ht="17.149999999999999" x14ac:dyDescent="0.55000000000000004">
      <c r="B2247" t="str">
        <f t="shared" si="7222"/>
        <v>Portland</v>
      </c>
      <c r="C2247" t="s">
        <v>587</v>
      </c>
      <c r="D2247">
        <f t="shared" ref="D2247:O2247" si="7235">IFERROR(INDEX(Phys_Prop,MATCH(D2220,Chem_List,0),3),0)</f>
        <v>0</v>
      </c>
      <c r="E2247">
        <f t="shared" si="7235"/>
        <v>0</v>
      </c>
      <c r="F2247">
        <f t="shared" si="7235"/>
        <v>0</v>
      </c>
      <c r="G2247">
        <f t="shared" si="7235"/>
        <v>0</v>
      </c>
      <c r="H2247">
        <f t="shared" si="7235"/>
        <v>0</v>
      </c>
      <c r="I2247">
        <f t="shared" si="7235"/>
        <v>0</v>
      </c>
      <c r="J2247">
        <f t="shared" si="7235"/>
        <v>0</v>
      </c>
      <c r="K2247">
        <f t="shared" si="7235"/>
        <v>0</v>
      </c>
      <c r="L2247">
        <f t="shared" si="7235"/>
        <v>0</v>
      </c>
      <c r="M2247">
        <f t="shared" si="7235"/>
        <v>0</v>
      </c>
      <c r="N2247">
        <f t="shared" si="7235"/>
        <v>0</v>
      </c>
      <c r="O2247">
        <f t="shared" si="7235"/>
        <v>0</v>
      </c>
    </row>
    <row r="2248" spans="1:32" ht="17.149999999999999" x14ac:dyDescent="0.55000000000000004">
      <c r="A2248" s="11"/>
      <c r="B2248" s="11" t="str">
        <f t="shared" si="7222"/>
        <v>Portland</v>
      </c>
      <c r="C2248" s="11" t="s">
        <v>588</v>
      </c>
      <c r="D2248" s="11">
        <f>IFERROR(D2244*D2245+D2246*D2247,0)</f>
        <v>130</v>
      </c>
      <c r="E2248" s="11">
        <f t="shared" ref="E2248:O2248" si="7236">IFERROR(E2244*E2245+E2246*E2247,0)</f>
        <v>130</v>
      </c>
      <c r="F2248" s="11">
        <f t="shared" si="7236"/>
        <v>130</v>
      </c>
      <c r="G2248" s="11">
        <f t="shared" si="7236"/>
        <v>130</v>
      </c>
      <c r="H2248" s="11">
        <f t="shared" si="7236"/>
        <v>130</v>
      </c>
      <c r="I2248" s="11">
        <f t="shared" si="7236"/>
        <v>130</v>
      </c>
      <c r="J2248" s="11">
        <f t="shared" si="7236"/>
        <v>130</v>
      </c>
      <c r="K2248" s="11">
        <f t="shared" si="7236"/>
        <v>130</v>
      </c>
      <c r="L2248" s="11">
        <f t="shared" si="7236"/>
        <v>130</v>
      </c>
      <c r="M2248" s="11">
        <f t="shared" si="7236"/>
        <v>130</v>
      </c>
      <c r="N2248" s="11">
        <f t="shared" si="7236"/>
        <v>130</v>
      </c>
      <c r="O2248" s="11">
        <f t="shared" si="7236"/>
        <v>130</v>
      </c>
      <c r="P2248" s="11"/>
      <c r="Q2248" s="11"/>
      <c r="R2248" s="11"/>
      <c r="S2248" s="11"/>
      <c r="T2248" s="11"/>
      <c r="U2248" s="11"/>
      <c r="V2248" s="11"/>
      <c r="W2248" s="11"/>
      <c r="X2248" s="11"/>
      <c r="Y2248" s="11"/>
      <c r="Z2248" s="11"/>
      <c r="AA2248" s="11"/>
      <c r="AB2248" s="11"/>
      <c r="AC2248" s="11"/>
      <c r="AD2248" s="11"/>
      <c r="AE2248" s="11"/>
      <c r="AF2248" s="11"/>
    </row>
    <row r="2249" spans="1:32" ht="17.149999999999999" x14ac:dyDescent="0.55000000000000004">
      <c r="A2249" t="str" cm="1">
        <f t="array" ref="A2249">INDEX(FX_Input,$Q2249,R$5)</f>
        <v>FX - 67</v>
      </c>
      <c r="B2249" t="str" cm="1">
        <f t="array" ref="B2249">INDEX(FX_Input,Q2249,S2249)</f>
        <v>Portland</v>
      </c>
      <c r="C2249" t="s">
        <v>563</v>
      </c>
      <c r="D2249">
        <v>14.7</v>
      </c>
      <c r="E2249">
        <v>14.7</v>
      </c>
      <c r="F2249">
        <v>14.7</v>
      </c>
      <c r="G2249">
        <v>14.7</v>
      </c>
      <c r="H2249">
        <v>14.7</v>
      </c>
      <c r="I2249">
        <v>14.7</v>
      </c>
      <c r="J2249">
        <v>14.7</v>
      </c>
      <c r="K2249">
        <v>14.7</v>
      </c>
      <c r="L2249">
        <v>14.7</v>
      </c>
      <c r="M2249">
        <v>14.7</v>
      </c>
      <c r="N2249">
        <v>14.7</v>
      </c>
      <c r="O2249">
        <v>14.7</v>
      </c>
      <c r="Q2249">
        <f>Q2215+2</f>
        <v>133</v>
      </c>
      <c r="R2249">
        <v>1</v>
      </c>
      <c r="S2249">
        <v>3</v>
      </c>
      <c r="T2249">
        <v>1</v>
      </c>
      <c r="U2249">
        <v>19</v>
      </c>
      <c r="V2249">
        <v>20</v>
      </c>
      <c r="W2249">
        <v>25</v>
      </c>
      <c r="X2249">
        <v>1</v>
      </c>
      <c r="Y2249">
        <v>2</v>
      </c>
      <c r="Z2249">
        <f>(W2249-V2249)/(Y2249-X2249)</f>
        <v>5</v>
      </c>
      <c r="AA2249">
        <f>V2249-Z2249*X2249</f>
        <v>15</v>
      </c>
      <c r="AD2249">
        <f>AD2215+14</f>
        <v>925</v>
      </c>
      <c r="AF2249">
        <f>AF2215+14</f>
        <v>925</v>
      </c>
    </row>
    <row r="2250" spans="1:32" ht="17.149999999999999" x14ac:dyDescent="0.55000000000000004">
      <c r="B2250" t="str">
        <f t="shared" ref="B2250" si="7237">B2249</f>
        <v>Portland</v>
      </c>
      <c r="C2250" t="s">
        <v>564</v>
      </c>
      <c r="D2250" cm="1">
        <f t="array" ref="D2250">IF(ISBLANK(INDEX(FX_Input,$Q2249,$AB2250)),0.03,INDEX(FX_Input,Q2249,AB2250))</f>
        <v>0.03</v>
      </c>
      <c r="E2250" cm="1">
        <f t="array" ref="E2250">IF(ISBLANK(INDEX(FX_Input,$Q2249,$AB2250)),0.03,INDEX(FX_Input,R2249,#REF!))</f>
        <v>0.03</v>
      </c>
      <c r="F2250" cm="1">
        <f t="array" ref="F2250">IF(ISBLANK(INDEX(FX_Input,$Q2249,$AB2250)),0.03,INDEX(FX_Input,S2249,#REF!))</f>
        <v>0.03</v>
      </c>
      <c r="G2250" cm="1">
        <f t="array" ref="G2250">IF(ISBLANK(INDEX(FX_Input,$Q2249,$AB2250)),0.03,INDEX(FX_Input,AB2249,#REF!))</f>
        <v>0.03</v>
      </c>
      <c r="H2250" cm="1">
        <f t="array" ref="H2250">IF(ISBLANK(INDEX(FX_Input,$Q2249,$AB2250)),0.03,INDEX(FX_Input,#REF!,#REF!))</f>
        <v>0.03</v>
      </c>
      <c r="I2250" cm="1">
        <f t="array" ref="I2250">IF(ISBLANK(INDEX(FX_Input,$Q2249,$AB2250)),0.03,INDEX(FX_Input,#REF!,#REF!))</f>
        <v>0.03</v>
      </c>
      <c r="J2250" cm="1">
        <f t="array" ref="J2250">IF(ISBLANK(INDEX(FX_Input,$Q2249,$AB2250)),0.03,INDEX(FX_Input,#REF!,#REF!))</f>
        <v>0.03</v>
      </c>
      <c r="K2250" cm="1">
        <f t="array" ref="K2250">IF(ISBLANK(INDEX(FX_Input,$Q2249,$AB2250)),0.03,INDEX(FX_Input,#REF!,AC2250))</f>
        <v>0.03</v>
      </c>
      <c r="L2250" cm="1">
        <f t="array" ref="L2250">IF(ISBLANK(INDEX(FX_Input,$Q2249,$AB2250)),0.03,INDEX(FX_Input,#REF!,AD2250))</f>
        <v>0.03</v>
      </c>
      <c r="M2250" cm="1">
        <f t="array" ref="M2250">IF(ISBLANK(INDEX(FX_Input,$Q2249,$AB2250)),0.03,INDEX(FX_Input,#REF!,#REF!))</f>
        <v>0.03</v>
      </c>
      <c r="N2250" cm="1">
        <f t="array" ref="N2250">IF(ISBLANK(INDEX(FX_Input,$Q2249,$AB2250)),0.03,INDEX(FX_Input,AC2249,#REF!))</f>
        <v>0.03</v>
      </c>
      <c r="O2250" cm="1">
        <f t="array" ref="O2250">IF(ISBLANK(INDEX(FX_Input,$Q2249,$AB2250)),0.03,INDEX(FX_Input,AD2249,#REF!))</f>
        <v>0.03</v>
      </c>
      <c r="AB2250">
        <v>15</v>
      </c>
    </row>
    <row r="2251" spans="1:32" ht="17.149999999999999" x14ac:dyDescent="0.55000000000000004">
      <c r="B2251" t="str">
        <f>B2250</f>
        <v>Portland</v>
      </c>
      <c r="C2251" t="s">
        <v>565</v>
      </c>
      <c r="D2251" cm="1">
        <f t="array" ref="D2251">IF(ISBLANK(INDEX(FX_Input,$Q2249,$AB2251)),-0.03,INDEX(FX_Input,Q2249,AB2251))</f>
        <v>-0.03</v>
      </c>
      <c r="E2251" cm="1">
        <f t="array" ref="E2251">IF(ISBLANK(INDEX(FX_Input,$Q2249,$AB2251)),-0.03,INDEX(FX_Input,R2249,#REF!))</f>
        <v>-0.03</v>
      </c>
      <c r="F2251" cm="1">
        <f t="array" ref="F2251">IF(ISBLANK(INDEX(FX_Input,$Q2249,$AB2251)),-0.03,INDEX(FX_Input,S2249,#REF!))</f>
        <v>-0.03</v>
      </c>
      <c r="G2251" cm="1">
        <f t="array" ref="G2251">IF(ISBLANK(INDEX(FX_Input,$Q2249,$AB2251)),-0.03,INDEX(FX_Input,AB2249,#REF!))</f>
        <v>-0.03</v>
      </c>
      <c r="H2251" cm="1">
        <f t="array" ref="H2251">IF(ISBLANK(INDEX(FX_Input,$Q2249,$AB2251)),-0.03,INDEX(FX_Input,#REF!,#REF!))</f>
        <v>-0.03</v>
      </c>
      <c r="I2251" cm="1">
        <f t="array" ref="I2251">IF(ISBLANK(INDEX(FX_Input,$Q2249,$AB2251)),-0.03,INDEX(FX_Input,#REF!,#REF!))</f>
        <v>-0.03</v>
      </c>
      <c r="J2251" cm="1">
        <f t="array" ref="J2251">IF(ISBLANK(INDEX(FX_Input,$Q2249,$AB2251)),-0.03,INDEX(FX_Input,#REF!,#REF!))</f>
        <v>-0.03</v>
      </c>
      <c r="K2251" cm="1">
        <f t="array" ref="K2251">IF(ISBLANK(INDEX(FX_Input,$Q2249,$AB2251)),-0.03,INDEX(FX_Input,#REF!,AC2251))</f>
        <v>-0.03</v>
      </c>
      <c r="L2251" cm="1">
        <f t="array" ref="L2251">IF(ISBLANK(INDEX(FX_Input,$Q2249,$AB2251)),-0.03,INDEX(FX_Input,#REF!,AD2251))</f>
        <v>-0.03</v>
      </c>
      <c r="M2251" cm="1">
        <f t="array" ref="M2251">IF(ISBLANK(INDEX(FX_Input,$Q2249,$AB2251)),-0.03,INDEX(FX_Input,#REF!,#REF!))</f>
        <v>-0.03</v>
      </c>
      <c r="N2251" cm="1">
        <f t="array" ref="N2251">IF(ISBLANK(INDEX(FX_Input,$Q2249,$AB2251)),-0.03,INDEX(FX_Input,AC2249,#REF!))</f>
        <v>-0.03</v>
      </c>
      <c r="O2251" cm="1">
        <f t="array" ref="O2251">IF(ISBLANK(INDEX(FX_Input,$Q2249,$AB2251)),-0.03,INDEX(FX_Input,AD2249,#REF!))</f>
        <v>-0.03</v>
      </c>
      <c r="AB2251">
        <v>16</v>
      </c>
    </row>
    <row r="2252" spans="1:32" x14ac:dyDescent="0.4">
      <c r="B2252" t="str">
        <f t="shared" ref="B2252:B2253" si="7238">B2251</f>
        <v>Portland</v>
      </c>
      <c r="C2252" s="66" t="s">
        <v>567</v>
      </c>
      <c r="D2252" t="str" cm="1">
        <f t="array" ref="D2252">INDEX(FX_Multi,$AD2252,D$3)</f>
        <v>Jet kerosene</v>
      </c>
      <c r="E2252" t="str" cm="1">
        <f t="array" ref="E2252">INDEX(FX_Multi,$AD2252,E$3)</f>
        <v>Jet kerosene</v>
      </c>
      <c r="F2252" t="str" cm="1">
        <f t="array" ref="F2252">INDEX(FX_Multi,$AD2252,F$3)</f>
        <v>Jet kerosene</v>
      </c>
      <c r="G2252" t="str" cm="1">
        <f t="array" ref="G2252">INDEX(FX_Multi,$AD2252,G$3)</f>
        <v>Jet kerosene</v>
      </c>
      <c r="H2252" t="str" cm="1">
        <f t="array" ref="H2252">INDEX(FX_Multi,$AD2252,H$3)</f>
        <v>Jet kerosene</v>
      </c>
      <c r="I2252" t="str" cm="1">
        <f t="array" ref="I2252">INDEX(FX_Multi,$AD2252,I$3)</f>
        <v>Jet kerosene</v>
      </c>
      <c r="J2252" t="str" cm="1">
        <f t="array" ref="J2252">INDEX(FX_Multi,$AD2252,J$3)</f>
        <v>Jet kerosene</v>
      </c>
      <c r="K2252" t="str" cm="1">
        <f t="array" ref="K2252">INDEX(FX_Multi,$AD2252,K$3)</f>
        <v>Jet kerosene</v>
      </c>
      <c r="L2252" t="str" cm="1">
        <f t="array" ref="L2252">INDEX(FX_Multi,$AD2252,L$3)</f>
        <v>Jet kerosene</v>
      </c>
      <c r="M2252" t="str" cm="1">
        <f t="array" ref="M2252">INDEX(FX_Multi,$AD2252,M$3)</f>
        <v>Jet kerosene</v>
      </c>
      <c r="N2252" t="str" cm="1">
        <f t="array" ref="N2252">INDEX(FX_Multi,$AD2252,N$3)</f>
        <v>Jet kerosene</v>
      </c>
      <c r="O2252" t="str" cm="1">
        <f t="array" ref="O2252">INDEX(FX_Multi,$AD2252,O$3)</f>
        <v>Jet kerosene</v>
      </c>
      <c r="AC2252">
        <v>1</v>
      </c>
      <c r="AD2252">
        <f>AD2249</f>
        <v>925</v>
      </c>
      <c r="AE2252">
        <v>1</v>
      </c>
      <c r="AF2252">
        <f>AF2249</f>
        <v>925</v>
      </c>
    </row>
    <row r="2253" spans="1:32" x14ac:dyDescent="0.4">
      <c r="B2253" t="str">
        <f t="shared" si="7238"/>
        <v>Portland</v>
      </c>
      <c r="C2253" s="66" t="s">
        <v>566</v>
      </c>
      <c r="D2253" t="str" cm="1">
        <f t="array" ref="D2253">INDEX(FX_Multi,$AD2253,D$3)</f>
        <v>Select Pet Stock</v>
      </c>
      <c r="E2253" t="str" cm="1">
        <f t="array" ref="E2253">INDEX(FX_Multi,$AD2253,E$3)</f>
        <v>Select Pet Stock</v>
      </c>
      <c r="F2253" t="str" cm="1">
        <f t="array" ref="F2253">INDEX(FX_Multi,$AD2253,F$3)</f>
        <v>Select Pet Stock</v>
      </c>
      <c r="G2253" t="str" cm="1">
        <f t="array" ref="G2253">INDEX(FX_Multi,$AD2253,G$3)</f>
        <v>Select Pet Stock</v>
      </c>
      <c r="H2253" t="str" cm="1">
        <f t="array" ref="H2253">INDEX(FX_Multi,$AD2253,H$3)</f>
        <v>Select Pet Stock</v>
      </c>
      <c r="I2253" t="str" cm="1">
        <f t="array" ref="I2253">INDEX(FX_Multi,$AD2253,I$3)</f>
        <v>Select Pet Stock</v>
      </c>
      <c r="J2253" t="str" cm="1">
        <f t="array" ref="J2253">INDEX(FX_Multi,$AD2253,J$3)</f>
        <v>Select Pet Stock</v>
      </c>
      <c r="K2253" t="str" cm="1">
        <f t="array" ref="K2253">INDEX(FX_Multi,$AD2253,K$3)</f>
        <v>Select Pet Stock</v>
      </c>
      <c r="L2253" t="str" cm="1">
        <f t="array" ref="L2253">INDEX(FX_Multi,$AD2253,L$3)</f>
        <v>Select Pet Stock</v>
      </c>
      <c r="M2253" t="str" cm="1">
        <f t="array" ref="M2253">INDEX(FX_Multi,$AD2253,M$3)</f>
        <v>Select Pet Stock</v>
      </c>
      <c r="N2253" t="str" cm="1">
        <f t="array" ref="N2253">INDEX(FX_Multi,$AD2253,N$3)</f>
        <v>Select Pet Stock</v>
      </c>
      <c r="O2253" t="str" cm="1">
        <f t="array" ref="O2253">INDEX(FX_Multi,$AD2253,O$3)</f>
        <v>Select Pet Stock</v>
      </c>
      <c r="AC2253">
        <v>1</v>
      </c>
      <c r="AD2253">
        <f>AD2252+2</f>
        <v>927</v>
      </c>
      <c r="AE2253">
        <v>1</v>
      </c>
      <c r="AF2253">
        <f>AF2252+3</f>
        <v>928</v>
      </c>
    </row>
    <row r="2254" spans="1:32" x14ac:dyDescent="0.4">
      <c r="B2254" t="str">
        <f>B2250</f>
        <v>Portland</v>
      </c>
      <c r="C2254" s="66" t="s">
        <v>568</v>
      </c>
      <c r="D2254" cm="1">
        <f t="array" ref="D2254">INDEX(FX_Multi,$AD2254,D$3)</f>
        <v>0</v>
      </c>
      <c r="E2254" cm="1">
        <f t="array" ref="E2254">INDEX(FX_Multi,$AD2254,E$3)</f>
        <v>0</v>
      </c>
      <c r="F2254" cm="1">
        <f t="array" ref="F2254">INDEX(FX_Multi,$AD2254,F$3)</f>
        <v>0</v>
      </c>
      <c r="G2254" cm="1">
        <f t="array" ref="G2254">INDEX(FX_Multi,$AD2254,G$3)</f>
        <v>0</v>
      </c>
      <c r="H2254" cm="1">
        <f t="array" ref="H2254">INDEX(FX_Multi,$AD2254,H$3)</f>
        <v>0</v>
      </c>
      <c r="I2254" cm="1">
        <f t="array" ref="I2254">INDEX(FX_Multi,$AD2254,I$3)</f>
        <v>0</v>
      </c>
      <c r="J2254" cm="1">
        <f t="array" ref="J2254">INDEX(FX_Multi,$AD2254,J$3)</f>
        <v>0</v>
      </c>
      <c r="K2254" cm="1">
        <f t="array" ref="K2254">INDEX(FX_Multi,$AD2254,K$3)</f>
        <v>0</v>
      </c>
      <c r="L2254" cm="1">
        <f t="array" ref="L2254">INDEX(FX_Multi,$AD2254,L$3)</f>
        <v>0</v>
      </c>
      <c r="M2254" cm="1">
        <f t="array" ref="M2254">INDEX(FX_Multi,$AD2254,M$3)</f>
        <v>0</v>
      </c>
      <c r="N2254" cm="1">
        <f t="array" ref="N2254">INDEX(FX_Multi,$AD2254,N$3)</f>
        <v>0</v>
      </c>
      <c r="O2254" cm="1">
        <f t="array" ref="O2254">INDEX(FX_Multi,$AD2254,O$3)</f>
        <v>0</v>
      </c>
      <c r="AC2254">
        <v>1</v>
      </c>
      <c r="AD2254">
        <f>AD2253-1</f>
        <v>926</v>
      </c>
      <c r="AE2254">
        <v>1</v>
      </c>
      <c r="AF2254">
        <f>AF2252+1</f>
        <v>926</v>
      </c>
    </row>
    <row r="2255" spans="1:32" x14ac:dyDescent="0.4">
      <c r="B2255" t="str">
        <f t="shared" ref="B2255:B2259" si="7239">B2254</f>
        <v>Portland</v>
      </c>
      <c r="C2255" s="66" t="s">
        <v>569</v>
      </c>
      <c r="D2255" cm="1">
        <f t="array" ref="D2255">INDEX(FX_Multi,$AD2255,D$3)</f>
        <v>0</v>
      </c>
      <c r="E2255" cm="1">
        <f t="array" ref="E2255">INDEX(FX_Multi,$AD2255,E$3)</f>
        <v>0</v>
      </c>
      <c r="F2255" cm="1">
        <f t="array" ref="F2255">INDEX(FX_Multi,$AD2255,F$3)</f>
        <v>0</v>
      </c>
      <c r="G2255" cm="1">
        <f t="array" ref="G2255">INDEX(FX_Multi,$AD2255,G$3)</f>
        <v>0</v>
      </c>
      <c r="H2255" cm="1">
        <f t="array" ref="H2255">INDEX(FX_Multi,$AD2255,H$3)</f>
        <v>0</v>
      </c>
      <c r="I2255" cm="1">
        <f t="array" ref="I2255">INDEX(FX_Multi,$AD2255,I$3)</f>
        <v>0</v>
      </c>
      <c r="J2255" cm="1">
        <f t="array" ref="J2255">INDEX(FX_Multi,$AD2255,J$3)</f>
        <v>0</v>
      </c>
      <c r="K2255" cm="1">
        <f t="array" ref="K2255">INDEX(FX_Multi,$AD2255,K$3)</f>
        <v>0</v>
      </c>
      <c r="L2255" cm="1">
        <f t="array" ref="L2255">INDEX(FX_Multi,$AD2255,L$3)</f>
        <v>0</v>
      </c>
      <c r="M2255" cm="1">
        <f t="array" ref="M2255">INDEX(FX_Multi,$AD2255,M$3)</f>
        <v>0</v>
      </c>
      <c r="N2255" cm="1">
        <f t="array" ref="N2255">INDEX(FX_Multi,$AD2255,N$3)</f>
        <v>0</v>
      </c>
      <c r="O2255" cm="1">
        <f t="array" ref="O2255">INDEX(FX_Multi,$AD2255,O$3)</f>
        <v>0</v>
      </c>
      <c r="AC2255">
        <v>1</v>
      </c>
      <c r="AD2255">
        <f>AD2254+2</f>
        <v>928</v>
      </c>
      <c r="AE2255">
        <v>1</v>
      </c>
      <c r="AF2255">
        <f>AF2253</f>
        <v>928</v>
      </c>
    </row>
    <row r="2256" spans="1:32" ht="17.149999999999999" x14ac:dyDescent="0.55000000000000004">
      <c r="B2256" t="str">
        <f t="shared" si="7239"/>
        <v>Portland</v>
      </c>
      <c r="C2256" t="s">
        <v>570</v>
      </c>
      <c r="D2256" cm="1">
        <f t="array" ref="D2256">INDEX(FX_Multi,$AD2256,D$3)</f>
        <v>1</v>
      </c>
      <c r="E2256" cm="1">
        <f t="array" ref="E2256">INDEX(FX_Multi,$AD2256,E$3)</f>
        <v>1</v>
      </c>
      <c r="F2256" cm="1">
        <f t="array" ref="F2256">INDEX(FX_Multi,$AD2256,F$3)</f>
        <v>1</v>
      </c>
      <c r="G2256" cm="1">
        <f t="array" ref="G2256">INDEX(FX_Multi,$AD2256,G$3)</f>
        <v>1</v>
      </c>
      <c r="H2256" cm="1">
        <f t="array" ref="H2256">INDEX(FX_Multi,$AD2256,H$3)</f>
        <v>1</v>
      </c>
      <c r="I2256" cm="1">
        <f t="array" ref="I2256">INDEX(FX_Multi,$AD2256,I$3)</f>
        <v>1</v>
      </c>
      <c r="J2256" cm="1">
        <f t="array" ref="J2256">INDEX(FX_Multi,$AD2256,J$3)</f>
        <v>1</v>
      </c>
      <c r="K2256" cm="1">
        <f t="array" ref="K2256">INDEX(FX_Multi,$AD2256,K$3)</f>
        <v>1</v>
      </c>
      <c r="L2256" cm="1">
        <f t="array" ref="L2256">INDEX(FX_Multi,$AD2256,L$3)</f>
        <v>1</v>
      </c>
      <c r="M2256" cm="1">
        <f t="array" ref="M2256">INDEX(FX_Multi,$AD2256,M$3)</f>
        <v>1</v>
      </c>
      <c r="N2256" cm="1">
        <f t="array" ref="N2256">INDEX(FX_Multi,$AD2256,N$3)</f>
        <v>1</v>
      </c>
      <c r="O2256" cm="1">
        <f t="array" ref="O2256">INDEX(FX_Multi,$AD2256,O$3)</f>
        <v>1</v>
      </c>
      <c r="AC2256">
        <v>1</v>
      </c>
      <c r="AD2256">
        <f>AD2255+6</f>
        <v>934</v>
      </c>
      <c r="AE2256">
        <v>1</v>
      </c>
      <c r="AF2256">
        <f>AF2252+9</f>
        <v>934</v>
      </c>
    </row>
    <row r="2257" spans="2:32" ht="17.149999999999999" x14ac:dyDescent="0.55000000000000004">
      <c r="B2257" t="str">
        <f t="shared" si="7239"/>
        <v>Portland</v>
      </c>
      <c r="C2257" t="s">
        <v>571</v>
      </c>
      <c r="D2257" cm="1">
        <f t="array" ref="D2257">INDEX(FX_Multi,$AD2257,D$3)</f>
        <v>162</v>
      </c>
      <c r="E2257" cm="1">
        <f t="array" ref="E2257">INDEX(FX_Multi,$AD2257,E$3)</f>
        <v>162</v>
      </c>
      <c r="F2257" cm="1">
        <f t="array" ref="F2257">INDEX(FX_Multi,$AD2257,F$3)</f>
        <v>162</v>
      </c>
      <c r="G2257" cm="1">
        <f t="array" ref="G2257">INDEX(FX_Multi,$AD2257,G$3)</f>
        <v>162</v>
      </c>
      <c r="H2257" cm="1">
        <f t="array" ref="H2257">INDEX(FX_Multi,$AD2257,H$3)</f>
        <v>162</v>
      </c>
      <c r="I2257" cm="1">
        <f t="array" ref="I2257">INDEX(FX_Multi,$AD2257,I$3)</f>
        <v>162</v>
      </c>
      <c r="J2257" cm="1">
        <f t="array" ref="J2257">INDEX(FX_Multi,$AD2257,J$3)</f>
        <v>162</v>
      </c>
      <c r="K2257" cm="1">
        <f t="array" ref="K2257">INDEX(FX_Multi,$AD2257,K$3)</f>
        <v>162</v>
      </c>
      <c r="L2257" cm="1">
        <f t="array" ref="L2257">INDEX(FX_Multi,$AD2257,L$3)</f>
        <v>162</v>
      </c>
      <c r="M2257" cm="1">
        <f t="array" ref="M2257">INDEX(FX_Multi,$AD2257,M$3)</f>
        <v>162</v>
      </c>
      <c r="N2257" cm="1">
        <f t="array" ref="N2257">INDEX(FX_Multi,$AD2257,N$3)</f>
        <v>162</v>
      </c>
      <c r="O2257" cm="1">
        <f t="array" ref="O2257">INDEX(FX_Multi,$AD2257,O$3)</f>
        <v>162</v>
      </c>
      <c r="AC2257">
        <v>1</v>
      </c>
      <c r="AD2257">
        <f>AD2256-3</f>
        <v>931</v>
      </c>
      <c r="AE2257">
        <v>1</v>
      </c>
      <c r="AF2257">
        <f>AF2252+6</f>
        <v>931</v>
      </c>
    </row>
    <row r="2258" spans="2:32" ht="17.149999999999999" x14ac:dyDescent="0.55000000000000004">
      <c r="B2258" t="str">
        <f t="shared" si="7239"/>
        <v>Portland</v>
      </c>
      <c r="C2258" t="s">
        <v>572</v>
      </c>
      <c r="D2258" cm="1">
        <f t="array" ref="D2258">INDEX(FX_Multi,$AD2258,D$3)</f>
        <v>0</v>
      </c>
      <c r="E2258" cm="1">
        <f t="array" ref="E2258">INDEX(FX_Multi,$AD2258,E$3)</f>
        <v>0</v>
      </c>
      <c r="F2258" cm="1">
        <f t="array" ref="F2258">INDEX(FX_Multi,$AD2258,F$3)</f>
        <v>0</v>
      </c>
      <c r="G2258" cm="1">
        <f t="array" ref="G2258">INDEX(FX_Multi,$AD2258,G$3)</f>
        <v>0</v>
      </c>
      <c r="H2258" cm="1">
        <f t="array" ref="H2258">INDEX(FX_Multi,$AD2258,H$3)</f>
        <v>0</v>
      </c>
      <c r="I2258" cm="1">
        <f t="array" ref="I2258">INDEX(FX_Multi,$AD2258,I$3)</f>
        <v>0</v>
      </c>
      <c r="J2258" cm="1">
        <f t="array" ref="J2258">INDEX(FX_Multi,$AD2258,J$3)</f>
        <v>0</v>
      </c>
      <c r="K2258" cm="1">
        <f t="array" ref="K2258">INDEX(FX_Multi,$AD2258,K$3)</f>
        <v>0</v>
      </c>
      <c r="L2258" cm="1">
        <f t="array" ref="L2258">INDEX(FX_Multi,$AD2258,L$3)</f>
        <v>0</v>
      </c>
      <c r="M2258" cm="1">
        <f t="array" ref="M2258">INDEX(FX_Multi,$AD2258,M$3)</f>
        <v>0</v>
      </c>
      <c r="N2258" cm="1">
        <f t="array" ref="N2258">INDEX(FX_Multi,$AD2258,N$3)</f>
        <v>0</v>
      </c>
      <c r="O2258" cm="1">
        <f t="array" ref="O2258">INDEX(FX_Multi,$AD2258,O$3)</f>
        <v>0</v>
      </c>
      <c r="AC2258">
        <v>1</v>
      </c>
      <c r="AD2258">
        <f>AD2257+4</f>
        <v>935</v>
      </c>
      <c r="AE2258">
        <v>1</v>
      </c>
      <c r="AF2258">
        <f>AF2252+10</f>
        <v>935</v>
      </c>
    </row>
    <row r="2259" spans="2:32" ht="17.149999999999999" x14ac:dyDescent="0.55000000000000004">
      <c r="B2259" t="str">
        <f t="shared" si="7239"/>
        <v>Portland</v>
      </c>
      <c r="C2259" t="s">
        <v>573</v>
      </c>
      <c r="D2259" cm="1">
        <f t="array" ref="D2259">INDEX(FX_Multi,$AD2259,D$3)</f>
        <v>0</v>
      </c>
      <c r="E2259" cm="1">
        <f t="array" ref="E2259">INDEX(FX_Multi,$AD2259,E$3)</f>
        <v>0</v>
      </c>
      <c r="F2259" cm="1">
        <f t="array" ref="F2259">INDEX(FX_Multi,$AD2259,F$3)</f>
        <v>0</v>
      </c>
      <c r="G2259" cm="1">
        <f t="array" ref="G2259">INDEX(FX_Multi,$AD2259,G$3)</f>
        <v>0</v>
      </c>
      <c r="H2259" cm="1">
        <f t="array" ref="H2259">INDEX(FX_Multi,$AD2259,H$3)</f>
        <v>0</v>
      </c>
      <c r="I2259" cm="1">
        <f t="array" ref="I2259">INDEX(FX_Multi,$AD2259,I$3)</f>
        <v>0</v>
      </c>
      <c r="J2259" cm="1">
        <f t="array" ref="J2259">INDEX(FX_Multi,$AD2259,J$3)</f>
        <v>0</v>
      </c>
      <c r="K2259" cm="1">
        <f t="array" ref="K2259">INDEX(FX_Multi,$AD2259,K$3)</f>
        <v>0</v>
      </c>
      <c r="L2259" cm="1">
        <f t="array" ref="L2259">INDEX(FX_Multi,$AD2259,L$3)</f>
        <v>0</v>
      </c>
      <c r="M2259" cm="1">
        <f t="array" ref="M2259">INDEX(FX_Multi,$AD2259,M$3)</f>
        <v>0</v>
      </c>
      <c r="N2259" cm="1">
        <f t="array" ref="N2259">INDEX(FX_Multi,$AD2259,N$3)</f>
        <v>0</v>
      </c>
      <c r="O2259" cm="1">
        <f t="array" ref="O2259">INDEX(FX_Multi,$AD2259,O$3)</f>
        <v>0</v>
      </c>
      <c r="AC2259">
        <v>1</v>
      </c>
      <c r="AD2259">
        <f>AD2258-3</f>
        <v>932</v>
      </c>
      <c r="AE2259">
        <v>1</v>
      </c>
      <c r="AF2259">
        <f>AF2252+7</f>
        <v>932</v>
      </c>
    </row>
    <row r="2260" spans="2:32" ht="17.149999999999999" x14ac:dyDescent="0.55000000000000004">
      <c r="B2260" t="str">
        <f>B2255</f>
        <v>Portland</v>
      </c>
      <c r="C2260" t="s">
        <v>526</v>
      </c>
      <c r="D2260" cm="1">
        <f t="array" ref="D2260">INDEX(FX_Temps,$AF2260,D$3)</f>
        <v>43.899999999999977</v>
      </c>
      <c r="E2260" cm="1">
        <f t="array" ref="E2260">INDEX(FX_Temps,$AF2260,E$3)</f>
        <v>44.700000000000045</v>
      </c>
      <c r="F2260" cm="1">
        <f t="array" ref="F2260">INDEX(FX_Temps,$AF2260,F$3)</f>
        <v>46.100000000000023</v>
      </c>
      <c r="G2260" cm="1">
        <f t="array" ref="G2260">INDEX(FX_Temps,$AF2260,G$3)</f>
        <v>48.599999999999966</v>
      </c>
      <c r="H2260" cm="1">
        <f t="array" ref="H2260">INDEX(FX_Temps,$AF2260,H$3)</f>
        <v>53.149999999999977</v>
      </c>
      <c r="I2260" cm="1">
        <f t="array" ref="I2260">INDEX(FX_Temps,$AF2260,I$3)</f>
        <v>56.950000000000045</v>
      </c>
      <c r="J2260" cm="1">
        <f t="array" ref="J2260">INDEX(FX_Temps,$AF2260,J$3)</f>
        <v>60.449999999999932</v>
      </c>
      <c r="K2260" cm="1">
        <f t="array" ref="K2260">INDEX(FX_Temps,$AF2260,K$3)</f>
        <v>60.899999999999977</v>
      </c>
      <c r="L2260" cm="1">
        <f t="array" ref="L2260">INDEX(FX_Temps,$AF2260,L$3)</f>
        <v>58.600000000000023</v>
      </c>
      <c r="M2260" cm="1">
        <f t="array" ref="M2260">INDEX(FX_Temps,$AF2260,M$3)</f>
        <v>52.649999999999977</v>
      </c>
      <c r="N2260" cm="1">
        <f t="array" ref="N2260">INDEX(FX_Temps,$AF2260,N$3)</f>
        <v>47.100000000000023</v>
      </c>
      <c r="O2260" cm="1">
        <f t="array" ref="O2260">INDEX(FX_Temps,$AF2260,O$3)</f>
        <v>43.600000000000023</v>
      </c>
      <c r="AE2260">
        <v>1</v>
      </c>
      <c r="AF2260">
        <f>AF2252+10</f>
        <v>935</v>
      </c>
    </row>
    <row r="2261" spans="2:32" ht="17.149999999999999" x14ac:dyDescent="0.55000000000000004">
      <c r="B2261" t="str">
        <f t="shared" ref="B2261:B2282" si="7240">B2260</f>
        <v>Portland</v>
      </c>
      <c r="C2261" t="s">
        <v>527</v>
      </c>
      <c r="D2261" cm="1">
        <f t="array" ref="D2261">INDEX(FX_Temps,$AF2261,D$3)</f>
        <v>43.899999999999977</v>
      </c>
      <c r="E2261" cm="1">
        <f t="array" ref="E2261">INDEX(FX_Temps,$AF2261,E$3)</f>
        <v>44.700000000000045</v>
      </c>
      <c r="F2261" cm="1">
        <f t="array" ref="F2261">INDEX(FX_Temps,$AF2261,F$3)</f>
        <v>46.100000000000023</v>
      </c>
      <c r="G2261" cm="1">
        <f t="array" ref="G2261">INDEX(FX_Temps,$AF2261,G$3)</f>
        <v>48.599999999999966</v>
      </c>
      <c r="H2261" cm="1">
        <f t="array" ref="H2261">INDEX(FX_Temps,$AF2261,H$3)</f>
        <v>53.149999999999977</v>
      </c>
      <c r="I2261" cm="1">
        <f t="array" ref="I2261">INDEX(FX_Temps,$AF2261,I$3)</f>
        <v>56.950000000000045</v>
      </c>
      <c r="J2261" cm="1">
        <f t="array" ref="J2261">INDEX(FX_Temps,$AF2261,J$3)</f>
        <v>60.449999999999932</v>
      </c>
      <c r="K2261" cm="1">
        <f t="array" ref="K2261">INDEX(FX_Temps,$AF2261,K$3)</f>
        <v>60.899999999999977</v>
      </c>
      <c r="L2261" cm="1">
        <f t="array" ref="L2261">INDEX(FX_Temps,$AF2261,L$3)</f>
        <v>58.600000000000023</v>
      </c>
      <c r="M2261" cm="1">
        <f t="array" ref="M2261">INDEX(FX_Temps,$AF2261,M$3)</f>
        <v>52.649999999999977</v>
      </c>
      <c r="N2261" cm="1">
        <f t="array" ref="N2261">INDEX(FX_Temps,$AF2261,N$3)</f>
        <v>47.100000000000023</v>
      </c>
      <c r="O2261" cm="1">
        <f t="array" ref="O2261">INDEX(FX_Temps,$AF2261,O$3)</f>
        <v>43.600000000000023</v>
      </c>
      <c r="AE2261">
        <f>AE2260</f>
        <v>1</v>
      </c>
      <c r="AF2261">
        <f>AF2252+11</f>
        <v>936</v>
      </c>
    </row>
    <row r="2262" spans="2:32" ht="17.149999999999999" x14ac:dyDescent="0.55000000000000004">
      <c r="B2262" t="str">
        <f t="shared" si="7240"/>
        <v>Portland</v>
      </c>
      <c r="C2262" t="s">
        <v>552</v>
      </c>
      <c r="D2262" cm="1">
        <f t="array" ref="D2262">INDEX(FX_Temps,$AF2262,D$3)</f>
        <v>43.899999999999977</v>
      </c>
      <c r="E2262" cm="1">
        <f t="array" ref="E2262">INDEX(FX_Temps,$AF2262,E$3)</f>
        <v>44.700000000000045</v>
      </c>
      <c r="F2262" cm="1">
        <f t="array" ref="F2262">INDEX(FX_Temps,$AF2262,F$3)</f>
        <v>46.100000000000023</v>
      </c>
      <c r="G2262" cm="1">
        <f t="array" ref="G2262">INDEX(FX_Temps,$AF2262,G$3)</f>
        <v>48.599999999999966</v>
      </c>
      <c r="H2262" cm="1">
        <f t="array" ref="H2262">INDEX(FX_Temps,$AF2262,H$3)</f>
        <v>53.149999999999977</v>
      </c>
      <c r="I2262" cm="1">
        <f t="array" ref="I2262">INDEX(FX_Temps,$AF2262,I$3)</f>
        <v>56.950000000000045</v>
      </c>
      <c r="J2262" cm="1">
        <f t="array" ref="J2262">INDEX(FX_Temps,$AF2262,J$3)</f>
        <v>60.449999999999932</v>
      </c>
      <c r="K2262" cm="1">
        <f t="array" ref="K2262">INDEX(FX_Temps,$AF2262,K$3)</f>
        <v>60.899999999999977</v>
      </c>
      <c r="L2262" cm="1">
        <f t="array" ref="L2262">INDEX(FX_Temps,$AF2262,L$3)</f>
        <v>58.600000000000023</v>
      </c>
      <c r="M2262" cm="1">
        <f t="array" ref="M2262">INDEX(FX_Temps,$AF2262,M$3)</f>
        <v>52.649999999999977</v>
      </c>
      <c r="N2262" cm="1">
        <f t="array" ref="N2262">INDEX(FX_Temps,$AF2262,N$3)</f>
        <v>47.100000000000023</v>
      </c>
      <c r="O2262" cm="1">
        <f t="array" ref="O2262">INDEX(FX_Temps,$AF2262,O$3)</f>
        <v>43.600000000000023</v>
      </c>
      <c r="AE2262">
        <f>AE2261</f>
        <v>1</v>
      </c>
      <c r="AF2262">
        <f>AF2252+13</f>
        <v>938</v>
      </c>
    </row>
    <row r="2263" spans="2:32" ht="17.149999999999999" x14ac:dyDescent="0.55000000000000004">
      <c r="B2263" t="str">
        <f t="shared" si="7240"/>
        <v>Portland</v>
      </c>
      <c r="C2263" t="s">
        <v>574</v>
      </c>
      <c r="D2263" cm="1">
        <f t="array" ref="D2263">IFERROR(IF(D2253="Chemical",(10^(INDEX(Antoines,MATCH(D2252,Antoine_Name,0),2)-INDEX(Antoines,MATCH(D2252,Antoine_Name,0),3)/(INDEX(Antoines,MATCH(D2252,Antoine_Name,0),4)+(D2260-32)*5/9)))*14.7/760,IF(D2253="Crude Oil",EXP((2799/(D2260+459.6)-2.227)*LOG10(INDEX(FX_Input,Q$5,D$3*$Z$5+$AA$5))-(7261/(D2260+459.6))+12.82),IF(D2253="Refined Petroleum Stock",EXP((0.7553-(413/(D2260+459.6)))*(INDEX(FX_Input,Q$5,D$3*$Z$5+$AA$5-1)^0.5)*LOG10(INDEX(FX_Input,Q$5,D$3*$Z$5+$AA$5))-(1.854-(1042/(D2260+459.6)))*(INDEX(FX_Input,Q$5,D$3*$Z$5+$AA$5-1)^0.5)+((2416/(D2260+459.6)-2.013)*LOG10(INDEX(FX_Input,Q$5,D$3*$Z$5+$AA$5)))-(8742/(D2260+459.6))+15.64),EXP(INDEX(Antoines,MATCH(D2252,Antoine_Name,0),2)-INDEX(Antoines,MATCH(D2252,Antoine_Name,0),3)/(D2260+459.6))))),0)</f>
        <v>4.739577185808354E-3</v>
      </c>
      <c r="E2263" cm="1">
        <f t="array" ref="E2263">IFERROR(IF(E2253="Chemical",(10^(INDEX(Antoines,MATCH(E2252,Antoine_Name,0),2)-INDEX(Antoines,MATCH(E2252,Antoine_Name,0),3)/(INDEX(Antoines,MATCH(E2252,Antoine_Name,0),4)+(E2260-32)*5/9)))*14.7/760,IF(E2253="Crude Oil",EXP((2799/(E2260+459.6)-2.227)*LOG10(INDEX(FX_Input,R$5,E$3*$Z$5+$AA$5))-(7261/(E2260+459.6))+12.82),IF(E2253="Refined Petroleum Stock",EXP((0.7553-(413/(E2260+459.6)))*(INDEX(FX_Input,R$5,E$3*$Z$5+$AA$5-1)^0.5)*LOG10(INDEX(FX_Input,R$5,E$3*$Z$5+$AA$5))-(1.854-(1042/(E2260+459.6)))*(INDEX(FX_Input,R$5,E$3*$Z$5+$AA$5-1)^0.5)+((2416/(E2260+459.6)-2.013)*LOG10(INDEX(FX_Input,R$5,E$3*$Z$5+$AA$5)))-(8742/(E2260+459.6))+15.64),EXP(INDEX(Antoines,MATCH(E2252,Antoine_Name,0),2)-INDEX(Antoines,MATCH(E2252,Antoine_Name,0),3)/(E2260+459.6))))),0)</f>
        <v>4.8748667780818778E-3</v>
      </c>
      <c r="F2263" cm="1">
        <f t="array" ref="F2263">IFERROR(IF(F2253="Chemical",(10^(INDEX(Antoines,MATCH(F2252,Antoine_Name,0),2)-INDEX(Antoines,MATCH(F2252,Antoine_Name,0),3)/(INDEX(Antoines,MATCH(F2252,Antoine_Name,0),4)+(F2260-32)*5/9)))*14.7/760,IF(F2253="Crude Oil",EXP((2799/(F2260+459.6)-2.227)*LOG10(INDEX(FX_Input,S$5,F$3*$Z$5+$AA$5))-(7261/(F2260+459.6))+12.82),IF(F2253="Refined Petroleum Stock",EXP((0.7553-(413/(F2260+459.6)))*(INDEX(FX_Input,S$5,F$3*$Z$5+$AA$5-1)^0.5)*LOG10(INDEX(FX_Input,S$5,F$3*$Z$5+$AA$5))-(1.854-(1042/(F2260+459.6)))*(INDEX(FX_Input,S$5,F$3*$Z$5+$AA$5-1)^0.5)+((2416/(F2260+459.6)-2.013)*LOG10(INDEX(FX_Input,S$5,F$3*$Z$5+$AA$5)))-(8742/(F2260+459.6))+15.64),EXP(INDEX(Antoines,MATCH(F2252,Antoine_Name,0),2)-INDEX(Antoines,MATCH(F2252,Antoine_Name,0),3)/(F2260+459.6))))),0)</f>
        <v>5.119885034186122E-3</v>
      </c>
      <c r="G2263" cm="1">
        <f t="array" ref="G2263">IFERROR(IF(G2253="Chemical",(10^(INDEX(Antoines,MATCH(G2252,Antoine_Name,0),2)-INDEX(Antoines,MATCH(G2252,Antoine_Name,0),3)/(INDEX(Antoines,MATCH(G2252,Antoine_Name,0),4)+(G2260-32)*5/9)))*14.7/760,IF(G2253="Crude Oil",EXP((2799/(G2260+459.6)-2.227)*LOG10(INDEX(FX_Input,T$5,G$3*$Z$5+$AA$5))-(7261/(G2260+459.6))+12.82),IF(G2253="Refined Petroleum Stock",EXP((0.7553-(413/(G2260+459.6)))*(INDEX(FX_Input,T$5,G$3*$Z$5+$AA$5-1)^0.5)*LOG10(INDEX(FX_Input,T$5,G$3*$Z$5+$AA$5))-(1.854-(1042/(G2260+459.6)))*(INDEX(FX_Input,T$5,G$3*$Z$5+$AA$5-1)^0.5)+((2416/(G2260+459.6)-2.013)*LOG10(INDEX(FX_Input,T$5,G$3*$Z$5+$AA$5)))-(8742/(G2260+459.6))+15.64),EXP(INDEX(Antoines,MATCH(G2252,Antoine_Name,0),2)-INDEX(Antoines,MATCH(G2252,Antoine_Name,0),3)/(G2260+459.6))))),0)</f>
        <v>5.5846958573521795E-3</v>
      </c>
      <c r="H2263" cm="1">
        <f t="array" ref="H2263">IFERROR(IF(H2253="Chemical",(10^(INDEX(Antoines,MATCH(H2252,Antoine_Name,0),2)-INDEX(Antoines,MATCH(H2252,Antoine_Name,0),3)/(INDEX(Antoines,MATCH(H2252,Antoine_Name,0),4)+(H2260-32)*5/9)))*14.7/760,IF(H2253="Crude Oil",EXP((2799/(H2260+459.6)-2.227)*LOG10(INDEX(FX_Input,U$5,H$3*$Z$5+$AA$5))-(7261/(H2260+459.6))+12.82),IF(H2253="Refined Petroleum Stock",EXP((0.7553-(413/(H2260+459.6)))*(INDEX(FX_Input,U$5,H$3*$Z$5+$AA$5-1)^0.5)*LOG10(INDEX(FX_Input,U$5,H$3*$Z$5+$AA$5))-(1.854-(1042/(H2260+459.6)))*(INDEX(FX_Input,U$5,H$3*$Z$5+$AA$5-1)^0.5)+((2416/(H2260+459.6)-2.013)*LOG10(INDEX(FX_Input,U$5,H$3*$Z$5+$AA$5)))-(8742/(H2260+459.6))+15.64),EXP(INDEX(Antoines,MATCH(H2252,Antoine_Name,0),2)-INDEX(Antoines,MATCH(H2252,Antoine_Name,0),3)/(H2260+459.6))))),0)</f>
        <v>6.5274070972739821E-3</v>
      </c>
      <c r="I2263" cm="1">
        <f t="array" ref="I2263">IFERROR(IF(I2253="Chemical",(10^(INDEX(Antoines,MATCH(I2252,Antoine_Name,0),2)-INDEX(Antoines,MATCH(I2252,Antoine_Name,0),3)/(INDEX(Antoines,MATCH(I2252,Antoine_Name,0),4)+(I2260-32)*5/9)))*14.7/760,IF(I2253="Crude Oil",EXP((2799/(I2260+459.6)-2.227)*LOG10(INDEX(FX_Input,V$5,I$3*$Z$5+$AA$5))-(7261/(I2260+459.6))+12.82),IF(I2253="Refined Petroleum Stock",EXP((0.7553-(413/(I2260+459.6)))*(INDEX(FX_Input,V$5,I$3*$Z$5+$AA$5-1)^0.5)*LOG10(INDEX(FX_Input,V$5,I$3*$Z$5+$AA$5))-(1.854-(1042/(I2260+459.6)))*(INDEX(FX_Input,V$5,I$3*$Z$5+$AA$5-1)^0.5)+((2416/(I2260+459.6)-2.013)*LOG10(INDEX(FX_Input,V$5,I$3*$Z$5+$AA$5)))-(8742/(I2260+459.6))+15.64),EXP(INDEX(Antoines,MATCH(I2252,Antoine_Name,0),2)-INDEX(Antoines,MATCH(I2252,Antoine_Name,0),3)/(I2260+459.6))))),0)</f>
        <v>7.4199539958878279E-3</v>
      </c>
      <c r="J2263" cm="1">
        <f t="array" ref="J2263">IFERROR(IF(J2253="Chemical",(10^(INDEX(Antoines,MATCH(J2252,Antoine_Name,0),2)-INDEX(Antoines,MATCH(J2252,Antoine_Name,0),3)/(INDEX(Antoines,MATCH(J2252,Antoine_Name,0),4)+(J2260-32)*5/9)))*14.7/760,IF(J2253="Crude Oil",EXP((2799/(J2260+459.6)-2.227)*LOG10(INDEX(FX_Input,W$5,J$3*$Z$5+$AA$5))-(7261/(J2260+459.6))+12.82),IF(J2253="Refined Petroleum Stock",EXP((0.7553-(413/(J2260+459.6)))*(INDEX(FX_Input,W$5,J$3*$Z$5+$AA$5-1)^0.5)*LOG10(INDEX(FX_Input,W$5,J$3*$Z$5+$AA$5))-(1.854-(1042/(J2260+459.6)))*(INDEX(FX_Input,W$5,J$3*$Z$5+$AA$5-1)^0.5)+((2416/(J2260+459.6)-2.013)*LOG10(INDEX(FX_Input,W$5,J$3*$Z$5+$AA$5)))-(8742/(J2260+459.6))+15.64),EXP(INDEX(Antoines,MATCH(J2252,Antoine_Name,0),2)-INDEX(Antoines,MATCH(J2252,Antoine_Name,0),3)/(J2260+459.6))))),0)</f>
        <v>8.3358107202842254E-3</v>
      </c>
      <c r="K2263" cm="1">
        <f t="array" ref="K2263">IFERROR(IF(K2253="Chemical",(10^(INDEX(Antoines,MATCH(K2252,Antoine_Name,0),2)-INDEX(Antoines,MATCH(K2252,Antoine_Name,0),3)/(INDEX(Antoines,MATCH(K2252,Antoine_Name,0),4)+(K2260-32)*5/9)))*14.7/760,IF(K2253="Crude Oil",EXP((2799/(K2260+459.6)-2.227)*LOG10(INDEX(FX_Input,X$5,K$3*$Z$5+$AA$5))-(7261/(K2260+459.6))+12.82),IF(K2253="Refined Petroleum Stock",EXP((0.7553-(413/(K2260+459.6)))*(INDEX(FX_Input,X$5,K$3*$Z$5+$AA$5-1)^0.5)*LOG10(INDEX(FX_Input,X$5,K$3*$Z$5+$AA$5))-(1.854-(1042/(K2260+459.6)))*(INDEX(FX_Input,X$5,K$3*$Z$5+$AA$5-1)^0.5)+((2416/(K2260+459.6)-2.013)*LOG10(INDEX(FX_Input,X$5,K$3*$Z$5+$AA$5)))-(8742/(K2260+459.6))+15.64),EXP(INDEX(Antoines,MATCH(K2252,Antoine_Name,0),2)-INDEX(Antoines,MATCH(K2252,Antoine_Name,0),3)/(K2260+459.6))))),0)</f>
        <v>8.4605262729351115E-3</v>
      </c>
      <c r="L2263" cm="1">
        <f t="array" ref="L2263">IFERROR(IF(L2253="Chemical",(10^(INDEX(Antoines,MATCH(L2252,Antoine_Name,0),2)-INDEX(Antoines,MATCH(L2252,Antoine_Name,0),3)/(INDEX(Antoines,MATCH(L2252,Antoine_Name,0),4)+(L2260-32)*5/9)))*14.7/760,IF(L2253="Crude Oil",EXP((2799/(L2260+459.6)-2.227)*LOG10(INDEX(FX_Input,Y$5,L$3*$Z$5+$AA$5))-(7261/(L2260+459.6))+12.82),IF(L2253="Refined Petroleum Stock",EXP((0.7553-(413/(L2260+459.6)))*(INDEX(FX_Input,Y$5,L$3*$Z$5+$AA$5-1)^0.5)*LOG10(INDEX(FX_Input,Y$5,L$3*$Z$5+$AA$5))-(1.854-(1042/(L2260+459.6)))*(INDEX(FX_Input,Y$5,L$3*$Z$5+$AA$5-1)^0.5)+((2416/(L2260+459.6)-2.013)*LOG10(INDEX(FX_Input,Y$5,L$3*$Z$5+$AA$5)))-(8742/(L2260+459.6))+15.64),EXP(INDEX(Antoines,MATCH(L2252,Antoine_Name,0),2)-INDEX(Antoines,MATCH(L2252,Antoine_Name,0),3)/(L2260+459.6))))),0)</f>
        <v>7.8399882233967533E-3</v>
      </c>
      <c r="M2263" cm="1">
        <f t="array" ref="M2263">IFERROR(IF(M2253="Chemical",(10^(INDEX(Antoines,MATCH(M2252,Antoine_Name,0),2)-INDEX(Antoines,MATCH(M2252,Antoine_Name,0),3)/(INDEX(Antoines,MATCH(M2252,Antoine_Name,0),4)+(M2260-32)*5/9)))*14.7/760,IF(M2253="Crude Oil",EXP((2799/(M2260+459.6)-2.227)*LOG10(INDEX(FX_Input,Z$5,M$3*$Z$5+$AA$5))-(7261/(M2260+459.6))+12.82),IF(M2253="Refined Petroleum Stock",EXP((0.7553-(413/(M2260+459.6)))*(INDEX(FX_Input,Z$5,M$3*$Z$5+$AA$5-1)^0.5)*LOG10(INDEX(FX_Input,Z$5,M$3*$Z$5+$AA$5))-(1.854-(1042/(M2260+459.6)))*(INDEX(FX_Input,Z$5,M$3*$Z$5+$AA$5-1)^0.5)+((2416/(M2260+459.6)-2.013)*LOG10(INDEX(FX_Input,Z$5,M$3*$Z$5+$AA$5)))-(8742/(M2260+459.6))+15.64),EXP(INDEX(Antoines,MATCH(M2252,Antoine_Name,0),2)-INDEX(Antoines,MATCH(M2252,Antoine_Name,0),3)/(M2260+459.6))))),0)</f>
        <v>6.4173462075160911E-3</v>
      </c>
      <c r="N2263" cm="1">
        <f t="array" ref="N2263">IFERROR(IF(N2253="Chemical",(10^(INDEX(Antoines,MATCH(N2252,Antoine_Name,0),2)-INDEX(Antoines,MATCH(N2252,Antoine_Name,0),3)/(INDEX(Antoines,MATCH(N2252,Antoine_Name,0),4)+(N2260-32)*5/9)))*14.7/760,IF(N2253="Crude Oil",EXP((2799/(N2260+459.6)-2.227)*LOG10(INDEX(FX_Input,AA$5,N$3*$Z$5+$AA$5))-(7261/(N2260+459.6))+12.82),IF(N2253="Refined Petroleum Stock",EXP((0.7553-(413/(N2260+459.6)))*(INDEX(FX_Input,AA$5,N$3*$Z$5+$AA$5-1)^0.5)*LOG10(INDEX(FX_Input,AA$5,N$3*$Z$5+$AA$5))-(1.854-(1042/(N2260+459.6)))*(INDEX(FX_Input,AA$5,N$3*$Z$5+$AA$5-1)^0.5)+((2416/(N2260+459.6)-2.013)*LOG10(INDEX(FX_Input,AA$5,N$3*$Z$5+$AA$5)))-(8742/(N2260+459.6))+15.64),EXP(INDEX(Antoines,MATCH(N2252,Antoine_Name,0),2)-INDEX(Antoines,MATCH(N2252,Antoine_Name,0),3)/(N2260+459.6))))),0)</f>
        <v>5.3015226887581056E-3</v>
      </c>
      <c r="O2263" cm="1">
        <f t="array" ref="O2263">IFERROR(IF(O2253="Chemical",(10^(INDEX(Antoines,MATCH(O2252,Antoine_Name,0),2)-INDEX(Antoines,MATCH(O2252,Antoine_Name,0),3)/(INDEX(Antoines,MATCH(O2252,Antoine_Name,0),4)+(O2260-32)*5/9)))*14.7/760,IF(O2253="Crude Oil",EXP((2799/(O2260+459.6)-2.227)*LOG10(INDEX(FX_Input,AB$5,O$3*$Z$5+$AA$5))-(7261/(O2260+459.6))+12.82),IF(O2253="Refined Petroleum Stock",EXP((0.7553-(413/(O2260+459.6)))*(INDEX(FX_Input,AB$5,O$3*$Z$5+$AA$5-1)^0.5)*LOG10(INDEX(FX_Input,AB$5,O$3*$Z$5+$AA$5))-(1.854-(1042/(O2260+459.6)))*(INDEX(FX_Input,AB$5,O$3*$Z$5+$AA$5-1)^0.5)+((2416/(O2260+459.6)-2.013)*LOG10(INDEX(FX_Input,AB$5,O$3*$Z$5+$AA$5)))-(8742/(O2260+459.6))+15.64),EXP(INDEX(Antoines,MATCH(O2252,Antoine_Name,0),2)-INDEX(Antoines,MATCH(O2252,Antoine_Name,0),3)/(O2260+459.6))))),0)</f>
        <v>4.68970903600947E-3</v>
      </c>
    </row>
    <row r="2264" spans="2:32" ht="17.149999999999999" x14ac:dyDescent="0.55000000000000004">
      <c r="B2264" t="str">
        <f t="shared" si="7240"/>
        <v>Portland</v>
      </c>
      <c r="C2264" t="s">
        <v>576</v>
      </c>
      <c r="D2264">
        <f>D2256*D2263</f>
        <v>4.739577185808354E-3</v>
      </c>
      <c r="E2264">
        <f t="shared" ref="E2264:O2264" si="7241">E2256*E2263</f>
        <v>4.8748667780818778E-3</v>
      </c>
      <c r="F2264">
        <f t="shared" si="7241"/>
        <v>5.119885034186122E-3</v>
      </c>
      <c r="G2264">
        <f t="shared" si="7241"/>
        <v>5.5846958573521795E-3</v>
      </c>
      <c r="H2264">
        <f t="shared" si="7241"/>
        <v>6.5274070972739821E-3</v>
      </c>
      <c r="I2264">
        <f t="shared" si="7241"/>
        <v>7.4199539958878279E-3</v>
      </c>
      <c r="J2264">
        <f t="shared" si="7241"/>
        <v>8.3358107202842254E-3</v>
      </c>
      <c r="K2264">
        <f t="shared" si="7241"/>
        <v>8.4605262729351115E-3</v>
      </c>
      <c r="L2264">
        <f t="shared" si="7241"/>
        <v>7.8399882233967533E-3</v>
      </c>
      <c r="M2264">
        <f t="shared" si="7241"/>
        <v>6.4173462075160911E-3</v>
      </c>
      <c r="N2264">
        <f t="shared" si="7241"/>
        <v>5.3015226887581056E-3</v>
      </c>
      <c r="O2264">
        <f t="shared" si="7241"/>
        <v>4.68970903600947E-3</v>
      </c>
    </row>
    <row r="2265" spans="2:32" ht="17.149999999999999" x14ac:dyDescent="0.55000000000000004">
      <c r="B2265" t="str">
        <f t="shared" si="7240"/>
        <v>Portland</v>
      </c>
      <c r="C2265" t="s">
        <v>575</v>
      </c>
      <c r="D2265" cm="1">
        <f t="array" ref="D2265">IFERROR(IF(D2255="Chemical",(10^(INDEX(Antoines,MATCH(D2254,Antoine_Name,0),2)-INDEX(Antoines,MATCH(D2254,Antoine_Name,0),3)/(INDEX(Antoines,MATCH(D2254,Antoine_Name,0),4)+(D2260-32)*5/9)))*14.7/760,IF(D2255="Crude Oil",EXP((2799/(D2260+459.6)-2.227)*LOG10(INDEX(FX_Input,Q$5,D$3*$Z$5+$AA$5))-(7261/(D2260+459.6))+12.82),IF(D2255="Refined Petroleum Stock",EXP((0.7553-(413/(D2260+459.6)))*(INDEX(FX_Input,Q$5,D$3*$Z$5+$AA$5-1)^0.5)*LOG10(INDEX(FX_Input,Q$5,D$3*$Z$5+$AA$5))-(1.854-(1042/(D2260+459.6)))*(INDEX(FX_Input,Q$5,D$3*$Z$5+$AA$5-1)^0.5)+((2416/(D2260+459.6)-2.013)*LOG10(INDEX(FX_Input,Q$5,D$3*$Z$5+$AA$5)))-(8742/(D2260+459.6))+15.64),EXP(INDEX(Antoines,MATCH(D2254,Antoine_Name,0),2)-INDEX(Antoines,MATCH(D2254,Antoine_Name,0),3)/(D2260+459.6))))),0)</f>
        <v>0</v>
      </c>
      <c r="E2265" cm="1">
        <f t="array" ref="E2265">IFERROR(IF(E2255="Chemical",(10^(INDEX(Antoines,MATCH(E2254,Antoine_Name,0),2)-INDEX(Antoines,MATCH(E2254,Antoine_Name,0),3)/(INDEX(Antoines,MATCH(E2254,Antoine_Name,0),4)+(E2260-32)*5/9)))*14.7/760,IF(E2255="Crude Oil",EXP((2799/(E2260+459.6)-2.227)*LOG10(INDEX(FX_Input,R$5,E$3*$Z$5+$AA$5))-(7261/(E2260+459.6))+12.82),IF(E2255="Refined Petroleum Stock",EXP((0.7553-(413/(E2260+459.6)))*(INDEX(FX_Input,R$5,E$3*$Z$5+$AA$5-1)^0.5)*LOG10(INDEX(FX_Input,R$5,E$3*$Z$5+$AA$5))-(1.854-(1042/(E2260+459.6)))*(INDEX(FX_Input,R$5,E$3*$Z$5+$AA$5-1)^0.5)+((2416/(E2260+459.6)-2.013)*LOG10(INDEX(FX_Input,R$5,E$3*$Z$5+$AA$5)))-(8742/(E2260+459.6))+15.64),EXP(INDEX(Antoines,MATCH(E2254,Antoine_Name,0),2)-INDEX(Antoines,MATCH(E2254,Antoine_Name,0),3)/(E2260+459.6))))),0)</f>
        <v>0</v>
      </c>
      <c r="F2265" cm="1">
        <f t="array" ref="F2265">IFERROR(IF(F2255="Chemical",(10^(INDEX(Antoines,MATCH(F2254,Antoine_Name,0),2)-INDEX(Antoines,MATCH(F2254,Antoine_Name,0),3)/(INDEX(Antoines,MATCH(F2254,Antoine_Name,0),4)+(F2260-32)*5/9)))*14.7/760,IF(F2255="Crude Oil",EXP((2799/(F2260+459.6)-2.227)*LOG10(INDEX(FX_Input,S$5,F$3*$Z$5+$AA$5))-(7261/(F2260+459.6))+12.82),IF(F2255="Refined Petroleum Stock",EXP((0.7553-(413/(F2260+459.6)))*(INDEX(FX_Input,S$5,F$3*$Z$5+$AA$5-1)^0.5)*LOG10(INDEX(FX_Input,S$5,F$3*$Z$5+$AA$5))-(1.854-(1042/(F2260+459.6)))*(INDEX(FX_Input,S$5,F$3*$Z$5+$AA$5-1)^0.5)+((2416/(F2260+459.6)-2.013)*LOG10(INDEX(FX_Input,S$5,F$3*$Z$5+$AA$5)))-(8742/(F2260+459.6))+15.64),EXP(INDEX(Antoines,MATCH(F2254,Antoine_Name,0),2)-INDEX(Antoines,MATCH(F2254,Antoine_Name,0),3)/(F2260+459.6))))),0)</f>
        <v>0</v>
      </c>
      <c r="G2265" cm="1">
        <f t="array" ref="G2265">IFERROR(IF(G2255="Chemical",(10^(INDEX(Antoines,MATCH(G2254,Antoine_Name,0),2)-INDEX(Antoines,MATCH(G2254,Antoine_Name,0),3)/(INDEX(Antoines,MATCH(G2254,Antoine_Name,0),4)+(G2260-32)*5/9)))*14.7/760,IF(G2255="Crude Oil",EXP((2799/(G2260+459.6)-2.227)*LOG10(INDEX(FX_Input,T$5,G$3*$Z$5+$AA$5))-(7261/(G2260+459.6))+12.82),IF(G2255="Refined Petroleum Stock",EXP((0.7553-(413/(G2260+459.6)))*(INDEX(FX_Input,T$5,G$3*$Z$5+$AA$5-1)^0.5)*LOG10(INDEX(FX_Input,T$5,G$3*$Z$5+$AA$5))-(1.854-(1042/(G2260+459.6)))*(INDEX(FX_Input,T$5,G$3*$Z$5+$AA$5-1)^0.5)+((2416/(G2260+459.6)-2.013)*LOG10(INDEX(FX_Input,T$5,G$3*$Z$5+$AA$5)))-(8742/(G2260+459.6))+15.64),EXP(INDEX(Antoines,MATCH(G2254,Antoine_Name,0),2)-INDEX(Antoines,MATCH(G2254,Antoine_Name,0),3)/(G2260+459.6))))),0)</f>
        <v>0</v>
      </c>
      <c r="H2265" cm="1">
        <f t="array" ref="H2265">IFERROR(IF(H2255="Chemical",(10^(INDEX(Antoines,MATCH(H2254,Antoine_Name,0),2)-INDEX(Antoines,MATCH(H2254,Antoine_Name,0),3)/(INDEX(Antoines,MATCH(H2254,Antoine_Name,0),4)+(H2260-32)*5/9)))*14.7/760,IF(H2255="Crude Oil",EXP((2799/(H2260+459.6)-2.227)*LOG10(INDEX(FX_Input,U$5,H$3*$Z$5+$AA$5))-(7261/(H2260+459.6))+12.82),IF(H2255="Refined Petroleum Stock",EXP((0.7553-(413/(H2260+459.6)))*(INDEX(FX_Input,U$5,H$3*$Z$5+$AA$5-1)^0.5)*LOG10(INDEX(FX_Input,U$5,H$3*$Z$5+$AA$5))-(1.854-(1042/(H2260+459.6)))*(INDEX(FX_Input,U$5,H$3*$Z$5+$AA$5-1)^0.5)+((2416/(H2260+459.6)-2.013)*LOG10(INDEX(FX_Input,U$5,H$3*$Z$5+$AA$5)))-(8742/(H2260+459.6))+15.64),EXP(INDEX(Antoines,MATCH(H2254,Antoine_Name,0),2)-INDEX(Antoines,MATCH(H2254,Antoine_Name,0),3)/(H2260+459.6))))),0)</f>
        <v>0</v>
      </c>
      <c r="I2265" cm="1">
        <f t="array" ref="I2265">IFERROR(IF(I2255="Chemical",(10^(INDEX(Antoines,MATCH(I2254,Antoine_Name,0),2)-INDEX(Antoines,MATCH(I2254,Antoine_Name,0),3)/(INDEX(Antoines,MATCH(I2254,Antoine_Name,0),4)+(I2260-32)*5/9)))*14.7/760,IF(I2255="Crude Oil",EXP((2799/(I2260+459.6)-2.227)*LOG10(INDEX(FX_Input,V$5,I$3*$Z$5+$AA$5))-(7261/(I2260+459.6))+12.82),IF(I2255="Refined Petroleum Stock",EXP((0.7553-(413/(I2260+459.6)))*(INDEX(FX_Input,V$5,I$3*$Z$5+$AA$5-1)^0.5)*LOG10(INDEX(FX_Input,V$5,I$3*$Z$5+$AA$5))-(1.854-(1042/(I2260+459.6)))*(INDEX(FX_Input,V$5,I$3*$Z$5+$AA$5-1)^0.5)+((2416/(I2260+459.6)-2.013)*LOG10(INDEX(FX_Input,V$5,I$3*$Z$5+$AA$5)))-(8742/(I2260+459.6))+15.64),EXP(INDEX(Antoines,MATCH(I2254,Antoine_Name,0),2)-INDEX(Antoines,MATCH(I2254,Antoine_Name,0),3)/(I2260+459.6))))),0)</f>
        <v>0</v>
      </c>
      <c r="J2265" cm="1">
        <f t="array" ref="J2265">IFERROR(IF(J2255="Chemical",(10^(INDEX(Antoines,MATCH(J2254,Antoine_Name,0),2)-INDEX(Antoines,MATCH(J2254,Antoine_Name,0),3)/(INDEX(Antoines,MATCH(J2254,Antoine_Name,0),4)+(J2260-32)*5/9)))*14.7/760,IF(J2255="Crude Oil",EXP((2799/(J2260+459.6)-2.227)*LOG10(INDEX(FX_Input,W$5,J$3*$Z$5+$AA$5))-(7261/(J2260+459.6))+12.82),IF(J2255="Refined Petroleum Stock",EXP((0.7553-(413/(J2260+459.6)))*(INDEX(FX_Input,W$5,J$3*$Z$5+$AA$5-1)^0.5)*LOG10(INDEX(FX_Input,W$5,J$3*$Z$5+$AA$5))-(1.854-(1042/(J2260+459.6)))*(INDEX(FX_Input,W$5,J$3*$Z$5+$AA$5-1)^0.5)+((2416/(J2260+459.6)-2.013)*LOG10(INDEX(FX_Input,W$5,J$3*$Z$5+$AA$5)))-(8742/(J2260+459.6))+15.64),EXP(INDEX(Antoines,MATCH(J2254,Antoine_Name,0),2)-INDEX(Antoines,MATCH(J2254,Antoine_Name,0),3)/(J2260+459.6))))),0)</f>
        <v>0</v>
      </c>
      <c r="K2265" cm="1">
        <f t="array" ref="K2265">IFERROR(IF(K2255="Chemical",(10^(INDEX(Antoines,MATCH(K2254,Antoine_Name,0),2)-INDEX(Antoines,MATCH(K2254,Antoine_Name,0),3)/(INDEX(Antoines,MATCH(K2254,Antoine_Name,0),4)+(K2260-32)*5/9)))*14.7/760,IF(K2255="Crude Oil",EXP((2799/(K2260+459.6)-2.227)*LOG10(INDEX(FX_Input,X$5,K$3*$Z$5+$AA$5))-(7261/(K2260+459.6))+12.82),IF(K2255="Refined Petroleum Stock",EXP((0.7553-(413/(K2260+459.6)))*(INDEX(FX_Input,X$5,K$3*$Z$5+$AA$5-1)^0.5)*LOG10(INDEX(FX_Input,X$5,K$3*$Z$5+$AA$5))-(1.854-(1042/(K2260+459.6)))*(INDEX(FX_Input,X$5,K$3*$Z$5+$AA$5-1)^0.5)+((2416/(K2260+459.6)-2.013)*LOG10(INDEX(FX_Input,X$5,K$3*$Z$5+$AA$5)))-(8742/(K2260+459.6))+15.64),EXP(INDEX(Antoines,MATCH(K2254,Antoine_Name,0),2)-INDEX(Antoines,MATCH(K2254,Antoine_Name,0),3)/(K2260+459.6))))),0)</f>
        <v>0</v>
      </c>
      <c r="L2265" cm="1">
        <f t="array" ref="L2265">IFERROR(IF(L2255="Chemical",(10^(INDEX(Antoines,MATCH(L2254,Antoine_Name,0),2)-INDEX(Antoines,MATCH(L2254,Antoine_Name,0),3)/(INDEX(Antoines,MATCH(L2254,Antoine_Name,0),4)+(L2260-32)*5/9)))*14.7/760,IF(L2255="Crude Oil",EXP((2799/(L2260+459.6)-2.227)*LOG10(INDEX(FX_Input,Y$5,L$3*$Z$5+$AA$5))-(7261/(L2260+459.6))+12.82),IF(L2255="Refined Petroleum Stock",EXP((0.7553-(413/(L2260+459.6)))*(INDEX(FX_Input,Y$5,L$3*$Z$5+$AA$5-1)^0.5)*LOG10(INDEX(FX_Input,Y$5,L$3*$Z$5+$AA$5))-(1.854-(1042/(L2260+459.6)))*(INDEX(FX_Input,Y$5,L$3*$Z$5+$AA$5-1)^0.5)+((2416/(L2260+459.6)-2.013)*LOG10(INDEX(FX_Input,Y$5,L$3*$Z$5+$AA$5)))-(8742/(L2260+459.6))+15.64),EXP(INDEX(Antoines,MATCH(L2254,Antoine_Name,0),2)-INDEX(Antoines,MATCH(L2254,Antoine_Name,0),3)/(L2260+459.6))))),0)</f>
        <v>0</v>
      </c>
      <c r="M2265" cm="1">
        <f t="array" ref="M2265">IFERROR(IF(M2255="Chemical",(10^(INDEX(Antoines,MATCH(M2254,Antoine_Name,0),2)-INDEX(Antoines,MATCH(M2254,Antoine_Name,0),3)/(INDEX(Antoines,MATCH(M2254,Antoine_Name,0),4)+(M2260-32)*5/9)))*14.7/760,IF(M2255="Crude Oil",EXP((2799/(M2260+459.6)-2.227)*LOG10(INDEX(FX_Input,Z$5,M$3*$Z$5+$AA$5))-(7261/(M2260+459.6))+12.82),IF(M2255="Refined Petroleum Stock",EXP((0.7553-(413/(M2260+459.6)))*(INDEX(FX_Input,Z$5,M$3*$Z$5+$AA$5-1)^0.5)*LOG10(INDEX(FX_Input,Z$5,M$3*$Z$5+$AA$5))-(1.854-(1042/(M2260+459.6)))*(INDEX(FX_Input,Z$5,M$3*$Z$5+$AA$5-1)^0.5)+((2416/(M2260+459.6)-2.013)*LOG10(INDEX(FX_Input,Z$5,M$3*$Z$5+$AA$5)))-(8742/(M2260+459.6))+15.64),EXP(INDEX(Antoines,MATCH(M2254,Antoine_Name,0),2)-INDEX(Antoines,MATCH(M2254,Antoine_Name,0),3)/(M2260+459.6))))),0)</f>
        <v>0</v>
      </c>
      <c r="N2265" cm="1">
        <f t="array" ref="N2265">IFERROR(IF(N2255="Chemical",(10^(INDEX(Antoines,MATCH(N2254,Antoine_Name,0),2)-INDEX(Antoines,MATCH(N2254,Antoine_Name,0),3)/(INDEX(Antoines,MATCH(N2254,Antoine_Name,0),4)+(N2260-32)*5/9)))*14.7/760,IF(N2255="Crude Oil",EXP((2799/(N2260+459.6)-2.227)*LOG10(INDEX(FX_Input,AA$5,N$3*$Z$5+$AA$5))-(7261/(N2260+459.6))+12.82),IF(N2255="Refined Petroleum Stock",EXP((0.7553-(413/(N2260+459.6)))*(INDEX(FX_Input,AA$5,N$3*$Z$5+$AA$5-1)^0.5)*LOG10(INDEX(FX_Input,AA$5,N$3*$Z$5+$AA$5))-(1.854-(1042/(N2260+459.6)))*(INDEX(FX_Input,AA$5,N$3*$Z$5+$AA$5-1)^0.5)+((2416/(N2260+459.6)-2.013)*LOG10(INDEX(FX_Input,AA$5,N$3*$Z$5+$AA$5)))-(8742/(N2260+459.6))+15.64),EXP(INDEX(Antoines,MATCH(N2254,Antoine_Name,0),2)-INDEX(Antoines,MATCH(N2254,Antoine_Name,0),3)/(N2260+459.6))))),0)</f>
        <v>0</v>
      </c>
      <c r="O2265" cm="1">
        <f t="array" ref="O2265">IFERROR(IF(O2255="Chemical",(10^(INDEX(Antoines,MATCH(O2254,Antoine_Name,0),2)-INDEX(Antoines,MATCH(O2254,Antoine_Name,0),3)/(INDEX(Antoines,MATCH(O2254,Antoine_Name,0),4)+(O2260-32)*5/9)))*14.7/760,IF(O2255="Crude Oil",EXP((2799/(O2260+459.6)-2.227)*LOG10(INDEX(FX_Input,AB$5,O$3*$Z$5+$AA$5))-(7261/(O2260+459.6))+12.82),IF(O2255="Refined Petroleum Stock",EXP((0.7553-(413/(O2260+459.6)))*(INDEX(FX_Input,AB$5,O$3*$Z$5+$AA$5-1)^0.5)*LOG10(INDEX(FX_Input,AB$5,O$3*$Z$5+$AA$5))-(1.854-(1042/(O2260+459.6)))*(INDEX(FX_Input,AB$5,O$3*$Z$5+$AA$5-1)^0.5)+((2416/(O2260+459.6)-2.013)*LOG10(INDEX(FX_Input,AB$5,O$3*$Z$5+$AA$5)))-(8742/(O2260+459.6))+15.64),EXP(INDEX(Antoines,MATCH(O2254,Antoine_Name,0),2)-INDEX(Antoines,MATCH(O2254,Antoine_Name,0),3)/(O2260+459.6))))),0)</f>
        <v>0</v>
      </c>
    </row>
    <row r="2266" spans="2:32" ht="17.149999999999999" x14ac:dyDescent="0.55000000000000004">
      <c r="B2266" t="str">
        <f t="shared" si="7240"/>
        <v>Portland</v>
      </c>
      <c r="C2266" t="s">
        <v>577</v>
      </c>
      <c r="D2266">
        <f>D2265*D2258</f>
        <v>0</v>
      </c>
      <c r="E2266">
        <f t="shared" ref="E2266:O2266" si="7242">E2265*E2258</f>
        <v>0</v>
      </c>
      <c r="F2266">
        <f t="shared" si="7242"/>
        <v>0</v>
      </c>
      <c r="G2266">
        <f t="shared" si="7242"/>
        <v>0</v>
      </c>
      <c r="H2266">
        <f t="shared" si="7242"/>
        <v>0</v>
      </c>
      <c r="I2266">
        <f t="shared" si="7242"/>
        <v>0</v>
      </c>
      <c r="J2266">
        <f t="shared" si="7242"/>
        <v>0</v>
      </c>
      <c r="K2266">
        <f t="shared" si="7242"/>
        <v>0</v>
      </c>
      <c r="L2266">
        <f t="shared" si="7242"/>
        <v>0</v>
      </c>
      <c r="M2266">
        <f t="shared" si="7242"/>
        <v>0</v>
      </c>
      <c r="N2266">
        <f t="shared" si="7242"/>
        <v>0</v>
      </c>
      <c r="O2266">
        <f t="shared" si="7242"/>
        <v>0</v>
      </c>
    </row>
    <row r="2267" spans="2:32" ht="17.149999999999999" x14ac:dyDescent="0.55000000000000004">
      <c r="B2267" t="str">
        <f t="shared" si="7240"/>
        <v>Portland</v>
      </c>
      <c r="C2267" t="s">
        <v>578</v>
      </c>
      <c r="D2267">
        <f>D2266+D2264</f>
        <v>4.739577185808354E-3</v>
      </c>
      <c r="E2267">
        <f t="shared" ref="E2267:O2267" si="7243">E2266+E2264</f>
        <v>4.8748667780818778E-3</v>
      </c>
      <c r="F2267">
        <f t="shared" si="7243"/>
        <v>5.119885034186122E-3</v>
      </c>
      <c r="G2267">
        <f t="shared" si="7243"/>
        <v>5.5846958573521795E-3</v>
      </c>
      <c r="H2267">
        <f t="shared" si="7243"/>
        <v>6.5274070972739821E-3</v>
      </c>
      <c r="I2267">
        <f t="shared" si="7243"/>
        <v>7.4199539958878279E-3</v>
      </c>
      <c r="J2267">
        <f t="shared" si="7243"/>
        <v>8.3358107202842254E-3</v>
      </c>
      <c r="K2267">
        <f t="shared" si="7243"/>
        <v>8.4605262729351115E-3</v>
      </c>
      <c r="L2267">
        <f t="shared" si="7243"/>
        <v>7.8399882233967533E-3</v>
      </c>
      <c r="M2267">
        <f t="shared" si="7243"/>
        <v>6.4173462075160911E-3</v>
      </c>
      <c r="N2267">
        <f t="shared" si="7243"/>
        <v>5.3015226887581056E-3</v>
      </c>
      <c r="O2267">
        <f t="shared" si="7243"/>
        <v>4.68970903600947E-3</v>
      </c>
    </row>
    <row r="2268" spans="2:32" ht="17.149999999999999" x14ac:dyDescent="0.55000000000000004">
      <c r="B2268" t="str">
        <f t="shared" si="7240"/>
        <v>Portland</v>
      </c>
      <c r="C2268" t="s">
        <v>579</v>
      </c>
      <c r="D2268" cm="1">
        <f t="array" ref="D2268">IFERROR(IF(D2253="Chemical",(10^(INDEX(Antoines,MATCH(D2252,Antoine_Name,0),2)-INDEX(Antoines,MATCH(D2252,Antoine_Name,0),3)/(INDEX(Antoines,MATCH(D2252,Antoine_Name,0),4)+(D2261-32)*5/9)))*14.7/760,IF(D2253="Crude Oil",EXP((2799/(D2261+459.6)-2.227)*LOG10(INDEX(FX_Input,Q$5,D$3*$Z$5+$AA$5))-(7261/(D2261+459.6))+12.82),IF(D2253="Refined Petroleum Stock",EXP((0.7553-(413/(D2261+459.6)))*(INDEX(FX_Input,Q$5,D$3*$Z$5+$AA$5-1)^0.5)*LOG10(INDEX(FX_Input,Q$5,D$3*$Z$5+$AA$5))-(1.854-(1042/(D2261+459.6)))*(INDEX(FX_Input,Q$5,D$3*$Z$5+$AA$5-1)^0.5)+((2416/(D2261+459.6)-2.013)*LOG10(INDEX(FX_Input,Q$5,D$3*$Z$5+$AA$5)))-(8742/(D2261+459.6))+15.64),EXP(INDEX(Antoines,MATCH(D2252,Antoine_Name,0),2)-INDEX(Antoines,MATCH(D2252,Antoine_Name,0),3)/(D2261+459.6))))),0)</f>
        <v>4.739577185808354E-3</v>
      </c>
      <c r="E2268" cm="1">
        <f t="array" ref="E2268">IFERROR(IF(E2253="Chemical",(10^(INDEX(Antoines,MATCH(E2252,Antoine_Name,0),2)-INDEX(Antoines,MATCH(E2252,Antoine_Name,0),3)/(INDEX(Antoines,MATCH(E2252,Antoine_Name,0),4)+(E2261-32)*5/9)))*14.7/760,IF(E2253="Crude Oil",EXP((2799/(E2261+459.6)-2.227)*LOG10(INDEX(FX_Input,R$5,E$3*$Z$5+$AA$5))-(7261/(E2261+459.6))+12.82),IF(E2253="Refined Petroleum Stock",EXP((0.7553-(413/(E2261+459.6)))*(INDEX(FX_Input,R$5,E$3*$Z$5+$AA$5-1)^0.5)*LOG10(INDEX(FX_Input,R$5,E$3*$Z$5+$AA$5))-(1.854-(1042/(E2261+459.6)))*(INDEX(FX_Input,R$5,E$3*$Z$5+$AA$5-1)^0.5)+((2416/(E2261+459.6)-2.013)*LOG10(INDEX(FX_Input,R$5,E$3*$Z$5+$AA$5)))-(8742/(E2261+459.6))+15.64),EXP(INDEX(Antoines,MATCH(E2252,Antoine_Name,0),2)-INDEX(Antoines,MATCH(E2252,Antoine_Name,0),3)/(E2261+459.6))))),0)</f>
        <v>4.8748667780818778E-3</v>
      </c>
      <c r="F2268" cm="1">
        <f t="array" ref="F2268">IFERROR(IF(F2253="Chemical",(10^(INDEX(Antoines,MATCH(F2252,Antoine_Name,0),2)-INDEX(Antoines,MATCH(F2252,Antoine_Name,0),3)/(INDEX(Antoines,MATCH(F2252,Antoine_Name,0),4)+(F2261-32)*5/9)))*14.7/760,IF(F2253="Crude Oil",EXP((2799/(F2261+459.6)-2.227)*LOG10(INDEX(FX_Input,S$5,F$3*$Z$5+$AA$5))-(7261/(F2261+459.6))+12.82),IF(F2253="Refined Petroleum Stock",EXP((0.7553-(413/(F2261+459.6)))*(INDEX(FX_Input,S$5,F$3*$Z$5+$AA$5-1)^0.5)*LOG10(INDEX(FX_Input,S$5,F$3*$Z$5+$AA$5))-(1.854-(1042/(F2261+459.6)))*(INDEX(FX_Input,S$5,F$3*$Z$5+$AA$5-1)^0.5)+((2416/(F2261+459.6)-2.013)*LOG10(INDEX(FX_Input,S$5,F$3*$Z$5+$AA$5)))-(8742/(F2261+459.6))+15.64),EXP(INDEX(Antoines,MATCH(F2252,Antoine_Name,0),2)-INDEX(Antoines,MATCH(F2252,Antoine_Name,0),3)/(F2261+459.6))))),0)</f>
        <v>5.119885034186122E-3</v>
      </c>
      <c r="G2268" cm="1">
        <f t="array" ref="G2268">IFERROR(IF(G2253="Chemical",(10^(INDEX(Antoines,MATCH(G2252,Antoine_Name,0),2)-INDEX(Antoines,MATCH(G2252,Antoine_Name,0),3)/(INDEX(Antoines,MATCH(G2252,Antoine_Name,0),4)+(G2261-32)*5/9)))*14.7/760,IF(G2253="Crude Oil",EXP((2799/(G2261+459.6)-2.227)*LOG10(INDEX(FX_Input,T$5,G$3*$Z$5+$AA$5))-(7261/(G2261+459.6))+12.82),IF(G2253="Refined Petroleum Stock",EXP((0.7553-(413/(G2261+459.6)))*(INDEX(FX_Input,T$5,G$3*$Z$5+$AA$5-1)^0.5)*LOG10(INDEX(FX_Input,T$5,G$3*$Z$5+$AA$5))-(1.854-(1042/(G2261+459.6)))*(INDEX(FX_Input,T$5,G$3*$Z$5+$AA$5-1)^0.5)+((2416/(G2261+459.6)-2.013)*LOG10(INDEX(FX_Input,T$5,G$3*$Z$5+$AA$5)))-(8742/(G2261+459.6))+15.64),EXP(INDEX(Antoines,MATCH(G2252,Antoine_Name,0),2)-INDEX(Antoines,MATCH(G2252,Antoine_Name,0),3)/(G2261+459.6))))),0)</f>
        <v>5.5846958573521795E-3</v>
      </c>
      <c r="H2268" cm="1">
        <f t="array" ref="H2268">IFERROR(IF(H2253="Chemical",(10^(INDEX(Antoines,MATCH(H2252,Antoine_Name,0),2)-INDEX(Antoines,MATCH(H2252,Antoine_Name,0),3)/(INDEX(Antoines,MATCH(H2252,Antoine_Name,0),4)+(H2261-32)*5/9)))*14.7/760,IF(H2253="Crude Oil",EXP((2799/(H2261+459.6)-2.227)*LOG10(INDEX(FX_Input,U$5,H$3*$Z$5+$AA$5))-(7261/(H2261+459.6))+12.82),IF(H2253="Refined Petroleum Stock",EXP((0.7553-(413/(H2261+459.6)))*(INDEX(FX_Input,U$5,H$3*$Z$5+$AA$5-1)^0.5)*LOG10(INDEX(FX_Input,U$5,H$3*$Z$5+$AA$5))-(1.854-(1042/(H2261+459.6)))*(INDEX(FX_Input,U$5,H$3*$Z$5+$AA$5-1)^0.5)+((2416/(H2261+459.6)-2.013)*LOG10(INDEX(FX_Input,U$5,H$3*$Z$5+$AA$5)))-(8742/(H2261+459.6))+15.64),EXP(INDEX(Antoines,MATCH(H2252,Antoine_Name,0),2)-INDEX(Antoines,MATCH(H2252,Antoine_Name,0),3)/(H2261+459.6))))),0)</f>
        <v>6.5274070972739821E-3</v>
      </c>
      <c r="I2268" cm="1">
        <f t="array" ref="I2268">IFERROR(IF(I2253="Chemical",(10^(INDEX(Antoines,MATCH(I2252,Antoine_Name,0),2)-INDEX(Antoines,MATCH(I2252,Antoine_Name,0),3)/(INDEX(Antoines,MATCH(I2252,Antoine_Name,0),4)+(I2261-32)*5/9)))*14.7/760,IF(I2253="Crude Oil",EXP((2799/(I2261+459.6)-2.227)*LOG10(INDEX(FX_Input,V$5,I$3*$Z$5+$AA$5))-(7261/(I2261+459.6))+12.82),IF(I2253="Refined Petroleum Stock",EXP((0.7553-(413/(I2261+459.6)))*(INDEX(FX_Input,V$5,I$3*$Z$5+$AA$5-1)^0.5)*LOG10(INDEX(FX_Input,V$5,I$3*$Z$5+$AA$5))-(1.854-(1042/(I2261+459.6)))*(INDEX(FX_Input,V$5,I$3*$Z$5+$AA$5-1)^0.5)+((2416/(I2261+459.6)-2.013)*LOG10(INDEX(FX_Input,V$5,I$3*$Z$5+$AA$5)))-(8742/(I2261+459.6))+15.64),EXP(INDEX(Antoines,MATCH(I2252,Antoine_Name,0),2)-INDEX(Antoines,MATCH(I2252,Antoine_Name,0),3)/(I2261+459.6))))),0)</f>
        <v>7.4199539958878279E-3</v>
      </c>
      <c r="J2268" cm="1">
        <f t="array" ref="J2268">IFERROR(IF(J2253="Chemical",(10^(INDEX(Antoines,MATCH(J2252,Antoine_Name,0),2)-INDEX(Antoines,MATCH(J2252,Antoine_Name,0),3)/(INDEX(Antoines,MATCH(J2252,Antoine_Name,0),4)+(J2261-32)*5/9)))*14.7/760,IF(J2253="Crude Oil",EXP((2799/(J2261+459.6)-2.227)*LOG10(INDEX(FX_Input,W$5,J$3*$Z$5+$AA$5))-(7261/(J2261+459.6))+12.82),IF(J2253="Refined Petroleum Stock",EXP((0.7553-(413/(J2261+459.6)))*(INDEX(FX_Input,W$5,J$3*$Z$5+$AA$5-1)^0.5)*LOG10(INDEX(FX_Input,W$5,J$3*$Z$5+$AA$5))-(1.854-(1042/(J2261+459.6)))*(INDEX(FX_Input,W$5,J$3*$Z$5+$AA$5-1)^0.5)+((2416/(J2261+459.6)-2.013)*LOG10(INDEX(FX_Input,W$5,J$3*$Z$5+$AA$5)))-(8742/(J2261+459.6))+15.64),EXP(INDEX(Antoines,MATCH(J2252,Antoine_Name,0),2)-INDEX(Antoines,MATCH(J2252,Antoine_Name,0),3)/(J2261+459.6))))),0)</f>
        <v>8.3358107202842254E-3</v>
      </c>
      <c r="K2268" cm="1">
        <f t="array" ref="K2268">IFERROR(IF(K2253="Chemical",(10^(INDEX(Antoines,MATCH(K2252,Antoine_Name,0),2)-INDEX(Antoines,MATCH(K2252,Antoine_Name,0),3)/(INDEX(Antoines,MATCH(K2252,Antoine_Name,0),4)+(K2261-32)*5/9)))*14.7/760,IF(K2253="Crude Oil",EXP((2799/(K2261+459.6)-2.227)*LOG10(INDEX(FX_Input,X$5,K$3*$Z$5+$AA$5))-(7261/(K2261+459.6))+12.82),IF(K2253="Refined Petroleum Stock",EXP((0.7553-(413/(K2261+459.6)))*(INDEX(FX_Input,X$5,K$3*$Z$5+$AA$5-1)^0.5)*LOG10(INDEX(FX_Input,X$5,K$3*$Z$5+$AA$5))-(1.854-(1042/(K2261+459.6)))*(INDEX(FX_Input,X$5,K$3*$Z$5+$AA$5-1)^0.5)+((2416/(K2261+459.6)-2.013)*LOG10(INDEX(FX_Input,X$5,K$3*$Z$5+$AA$5)))-(8742/(K2261+459.6))+15.64),EXP(INDEX(Antoines,MATCH(K2252,Antoine_Name,0),2)-INDEX(Antoines,MATCH(K2252,Antoine_Name,0),3)/(K2261+459.6))))),0)</f>
        <v>8.4605262729351115E-3</v>
      </c>
      <c r="L2268" cm="1">
        <f t="array" ref="L2268">IFERROR(IF(L2253="Chemical",(10^(INDEX(Antoines,MATCH(L2252,Antoine_Name,0),2)-INDEX(Antoines,MATCH(L2252,Antoine_Name,0),3)/(INDEX(Antoines,MATCH(L2252,Antoine_Name,0),4)+(L2261-32)*5/9)))*14.7/760,IF(L2253="Crude Oil",EXP((2799/(L2261+459.6)-2.227)*LOG10(INDEX(FX_Input,Y$5,L$3*$Z$5+$AA$5))-(7261/(L2261+459.6))+12.82),IF(L2253="Refined Petroleum Stock",EXP((0.7553-(413/(L2261+459.6)))*(INDEX(FX_Input,Y$5,L$3*$Z$5+$AA$5-1)^0.5)*LOG10(INDEX(FX_Input,Y$5,L$3*$Z$5+$AA$5))-(1.854-(1042/(L2261+459.6)))*(INDEX(FX_Input,Y$5,L$3*$Z$5+$AA$5-1)^0.5)+((2416/(L2261+459.6)-2.013)*LOG10(INDEX(FX_Input,Y$5,L$3*$Z$5+$AA$5)))-(8742/(L2261+459.6))+15.64),EXP(INDEX(Antoines,MATCH(L2252,Antoine_Name,0),2)-INDEX(Antoines,MATCH(L2252,Antoine_Name,0),3)/(L2261+459.6))))),0)</f>
        <v>7.8399882233967533E-3</v>
      </c>
      <c r="M2268" cm="1">
        <f t="array" ref="M2268">IFERROR(IF(M2253="Chemical",(10^(INDEX(Antoines,MATCH(M2252,Antoine_Name,0),2)-INDEX(Antoines,MATCH(M2252,Antoine_Name,0),3)/(INDEX(Antoines,MATCH(M2252,Antoine_Name,0),4)+(M2261-32)*5/9)))*14.7/760,IF(M2253="Crude Oil",EXP((2799/(M2261+459.6)-2.227)*LOG10(INDEX(FX_Input,Z$5,M$3*$Z$5+$AA$5))-(7261/(M2261+459.6))+12.82),IF(M2253="Refined Petroleum Stock",EXP((0.7553-(413/(M2261+459.6)))*(INDEX(FX_Input,Z$5,M$3*$Z$5+$AA$5-1)^0.5)*LOG10(INDEX(FX_Input,Z$5,M$3*$Z$5+$AA$5))-(1.854-(1042/(M2261+459.6)))*(INDEX(FX_Input,Z$5,M$3*$Z$5+$AA$5-1)^0.5)+((2416/(M2261+459.6)-2.013)*LOG10(INDEX(FX_Input,Z$5,M$3*$Z$5+$AA$5)))-(8742/(M2261+459.6))+15.64),EXP(INDEX(Antoines,MATCH(M2252,Antoine_Name,0),2)-INDEX(Antoines,MATCH(M2252,Antoine_Name,0),3)/(M2261+459.6))))),0)</f>
        <v>6.4173462075160911E-3</v>
      </c>
      <c r="N2268" cm="1">
        <f t="array" ref="N2268">IFERROR(IF(N2253="Chemical",(10^(INDEX(Antoines,MATCH(N2252,Antoine_Name,0),2)-INDEX(Antoines,MATCH(N2252,Antoine_Name,0),3)/(INDEX(Antoines,MATCH(N2252,Antoine_Name,0),4)+(N2261-32)*5/9)))*14.7/760,IF(N2253="Crude Oil",EXP((2799/(N2261+459.6)-2.227)*LOG10(INDEX(FX_Input,AA$5,N$3*$Z$5+$AA$5))-(7261/(N2261+459.6))+12.82),IF(N2253="Refined Petroleum Stock",EXP((0.7553-(413/(N2261+459.6)))*(INDEX(FX_Input,AA$5,N$3*$Z$5+$AA$5-1)^0.5)*LOG10(INDEX(FX_Input,AA$5,N$3*$Z$5+$AA$5))-(1.854-(1042/(N2261+459.6)))*(INDEX(FX_Input,AA$5,N$3*$Z$5+$AA$5-1)^0.5)+((2416/(N2261+459.6)-2.013)*LOG10(INDEX(FX_Input,AA$5,N$3*$Z$5+$AA$5)))-(8742/(N2261+459.6))+15.64),EXP(INDEX(Antoines,MATCH(N2252,Antoine_Name,0),2)-INDEX(Antoines,MATCH(N2252,Antoine_Name,0),3)/(N2261+459.6))))),0)</f>
        <v>5.3015226887581056E-3</v>
      </c>
      <c r="O2268" cm="1">
        <f t="array" ref="O2268">IFERROR(IF(O2253="Chemical",(10^(INDEX(Antoines,MATCH(O2252,Antoine_Name,0),2)-INDEX(Antoines,MATCH(O2252,Antoine_Name,0),3)/(INDEX(Antoines,MATCH(O2252,Antoine_Name,0),4)+(O2261-32)*5/9)))*14.7/760,IF(O2253="Crude Oil",EXP((2799/(O2261+459.6)-2.227)*LOG10(INDEX(FX_Input,AB$5,O$3*$Z$5+$AA$5))-(7261/(O2261+459.6))+12.82),IF(O2253="Refined Petroleum Stock",EXP((0.7553-(413/(O2261+459.6)))*(INDEX(FX_Input,AB$5,O$3*$Z$5+$AA$5-1)^0.5)*LOG10(INDEX(FX_Input,AB$5,O$3*$Z$5+$AA$5))-(1.854-(1042/(O2261+459.6)))*(INDEX(FX_Input,AB$5,O$3*$Z$5+$AA$5-1)^0.5)+((2416/(O2261+459.6)-2.013)*LOG10(INDEX(FX_Input,AB$5,O$3*$Z$5+$AA$5)))-(8742/(O2261+459.6))+15.64),EXP(INDEX(Antoines,MATCH(O2252,Antoine_Name,0),2)-INDEX(Antoines,MATCH(O2252,Antoine_Name,0),3)/(O2261+459.6))))),0)</f>
        <v>4.68970903600947E-3</v>
      </c>
    </row>
    <row r="2269" spans="2:32" ht="17.149999999999999" x14ac:dyDescent="0.55000000000000004">
      <c r="B2269" t="str">
        <f t="shared" si="7240"/>
        <v>Portland</v>
      </c>
      <c r="C2269" t="s">
        <v>580</v>
      </c>
      <c r="D2269">
        <f>D2268*D2256</f>
        <v>4.739577185808354E-3</v>
      </c>
      <c r="E2269">
        <f t="shared" ref="E2269:O2269" si="7244">E2268*E2256</f>
        <v>4.8748667780818778E-3</v>
      </c>
      <c r="F2269">
        <f t="shared" si="7244"/>
        <v>5.119885034186122E-3</v>
      </c>
      <c r="G2269">
        <f t="shared" si="7244"/>
        <v>5.5846958573521795E-3</v>
      </c>
      <c r="H2269">
        <f t="shared" si="7244"/>
        <v>6.5274070972739821E-3</v>
      </c>
      <c r="I2269">
        <f t="shared" si="7244"/>
        <v>7.4199539958878279E-3</v>
      </c>
      <c r="J2269">
        <f t="shared" si="7244"/>
        <v>8.3358107202842254E-3</v>
      </c>
      <c r="K2269">
        <f t="shared" si="7244"/>
        <v>8.4605262729351115E-3</v>
      </c>
      <c r="L2269">
        <f t="shared" si="7244"/>
        <v>7.8399882233967533E-3</v>
      </c>
      <c r="M2269">
        <f t="shared" si="7244"/>
        <v>6.4173462075160911E-3</v>
      </c>
      <c r="N2269">
        <f t="shared" si="7244"/>
        <v>5.3015226887581056E-3</v>
      </c>
      <c r="O2269">
        <f t="shared" si="7244"/>
        <v>4.68970903600947E-3</v>
      </c>
    </row>
    <row r="2270" spans="2:32" ht="17.149999999999999" x14ac:dyDescent="0.55000000000000004">
      <c r="B2270" t="str">
        <f t="shared" si="7240"/>
        <v>Portland</v>
      </c>
      <c r="C2270" t="s">
        <v>581</v>
      </c>
      <c r="D2270" cm="1">
        <f t="array" ref="D2270">IFERROR(IF(D2255="Chemical",(10^(INDEX(Antoines,MATCH(D2254,Antoine_Name,0),2)-INDEX(Antoines,MATCH(D2254,Antoine_Name,0),3)/(INDEX(Antoines,MATCH(D2254,Antoine_Name,0),4)+(D2261-32)*5/9)))*14.7/760,IF(D2255="Crude Oil",EXP((2799/(D2261+459.6)-2.227)*LOG10(INDEX(FX_Input,Q$5,D$3*$Z$5+$AA$5))-(7261/(D2261+459.6))+12.82),IF(D2255="Refined Petroleum Stock",EXP((0.7553-(413/(D2261+459.6)))*(INDEX(FX_Input,Q$5,D$3*$Z$5+$AA$5-1)^0.5)*LOG10(INDEX(FX_Input,Q$5,D$3*$Z$5+$AA$5))-(1.854-(1042/(D2261+459.6)))*(INDEX(FX_Input,Q$5,D$3*$Z$5+$AA$5-1)^0.5)+((2416/(D2261+459.6)-2.013)*LOG10(INDEX(FX_Input,Q$5,D$3*$Z$5+$AA$5)))-(8742/(D2261+459.6))+15.64),EXP(INDEX(Antoines,MATCH(D2254,Antoine_Name,0),2)-INDEX(Antoines,MATCH(D2254,Antoine_Name,0),3)/(D2261+459.6))))),0)</f>
        <v>0</v>
      </c>
      <c r="E2270" cm="1">
        <f t="array" ref="E2270">IFERROR(IF(E2255="Chemical",(10^(INDEX(Antoines,MATCH(E2254,Antoine_Name,0),2)-INDEX(Antoines,MATCH(E2254,Antoine_Name,0),3)/(INDEX(Antoines,MATCH(E2254,Antoine_Name,0),4)+(E2261-32)*5/9)))*14.7/760,IF(E2255="Crude Oil",EXP((2799/(E2261+459.6)-2.227)*LOG10(INDEX(FX_Input,R$5,E$3*$Z$5+$AA$5))-(7261/(E2261+459.6))+12.82),IF(E2255="Refined Petroleum Stock",EXP((0.7553-(413/(E2261+459.6)))*(INDEX(FX_Input,R$5,E$3*$Z$5+$AA$5-1)^0.5)*LOG10(INDEX(FX_Input,R$5,E$3*$Z$5+$AA$5))-(1.854-(1042/(E2261+459.6)))*(INDEX(FX_Input,R$5,E$3*$Z$5+$AA$5-1)^0.5)+((2416/(E2261+459.6)-2.013)*LOG10(INDEX(FX_Input,R$5,E$3*$Z$5+$AA$5)))-(8742/(E2261+459.6))+15.64),EXP(INDEX(Antoines,MATCH(E2254,Antoine_Name,0),2)-INDEX(Antoines,MATCH(E2254,Antoine_Name,0),3)/(E2261+459.6))))),0)</f>
        <v>0</v>
      </c>
      <c r="F2270" cm="1">
        <f t="array" ref="F2270">IFERROR(IF(F2255="Chemical",(10^(INDEX(Antoines,MATCH(F2254,Antoine_Name,0),2)-INDEX(Antoines,MATCH(F2254,Antoine_Name,0),3)/(INDEX(Antoines,MATCH(F2254,Antoine_Name,0),4)+(F2261-32)*5/9)))*14.7/760,IF(F2255="Crude Oil",EXP((2799/(F2261+459.6)-2.227)*LOG10(INDEX(FX_Input,S$5,F$3*$Z$5+$AA$5))-(7261/(F2261+459.6))+12.82),IF(F2255="Refined Petroleum Stock",EXP((0.7553-(413/(F2261+459.6)))*(INDEX(FX_Input,S$5,F$3*$Z$5+$AA$5-1)^0.5)*LOG10(INDEX(FX_Input,S$5,F$3*$Z$5+$AA$5))-(1.854-(1042/(F2261+459.6)))*(INDEX(FX_Input,S$5,F$3*$Z$5+$AA$5-1)^0.5)+((2416/(F2261+459.6)-2.013)*LOG10(INDEX(FX_Input,S$5,F$3*$Z$5+$AA$5)))-(8742/(F2261+459.6))+15.64),EXP(INDEX(Antoines,MATCH(F2254,Antoine_Name,0),2)-INDEX(Antoines,MATCH(F2254,Antoine_Name,0),3)/(F2261+459.6))))),0)</f>
        <v>0</v>
      </c>
      <c r="G2270" cm="1">
        <f t="array" ref="G2270">IFERROR(IF(G2255="Chemical",(10^(INDEX(Antoines,MATCH(G2254,Antoine_Name,0),2)-INDEX(Antoines,MATCH(G2254,Antoine_Name,0),3)/(INDEX(Antoines,MATCH(G2254,Antoine_Name,0),4)+(G2261-32)*5/9)))*14.7/760,IF(G2255="Crude Oil",EXP((2799/(G2261+459.6)-2.227)*LOG10(INDEX(FX_Input,T$5,G$3*$Z$5+$AA$5))-(7261/(G2261+459.6))+12.82),IF(G2255="Refined Petroleum Stock",EXP((0.7553-(413/(G2261+459.6)))*(INDEX(FX_Input,T$5,G$3*$Z$5+$AA$5-1)^0.5)*LOG10(INDEX(FX_Input,T$5,G$3*$Z$5+$AA$5))-(1.854-(1042/(G2261+459.6)))*(INDEX(FX_Input,T$5,G$3*$Z$5+$AA$5-1)^0.5)+((2416/(G2261+459.6)-2.013)*LOG10(INDEX(FX_Input,T$5,G$3*$Z$5+$AA$5)))-(8742/(G2261+459.6))+15.64),EXP(INDEX(Antoines,MATCH(G2254,Antoine_Name,0),2)-INDEX(Antoines,MATCH(G2254,Antoine_Name,0),3)/(G2261+459.6))))),0)</f>
        <v>0</v>
      </c>
      <c r="H2270" cm="1">
        <f t="array" ref="H2270">IFERROR(IF(H2255="Chemical",(10^(INDEX(Antoines,MATCH(H2254,Antoine_Name,0),2)-INDEX(Antoines,MATCH(H2254,Antoine_Name,0),3)/(INDEX(Antoines,MATCH(H2254,Antoine_Name,0),4)+(H2261-32)*5/9)))*14.7/760,IF(H2255="Crude Oil",EXP((2799/(H2261+459.6)-2.227)*LOG10(INDEX(FX_Input,U$5,H$3*$Z$5+$AA$5))-(7261/(H2261+459.6))+12.82),IF(H2255="Refined Petroleum Stock",EXP((0.7553-(413/(H2261+459.6)))*(INDEX(FX_Input,U$5,H$3*$Z$5+$AA$5-1)^0.5)*LOG10(INDEX(FX_Input,U$5,H$3*$Z$5+$AA$5))-(1.854-(1042/(H2261+459.6)))*(INDEX(FX_Input,U$5,H$3*$Z$5+$AA$5-1)^0.5)+((2416/(H2261+459.6)-2.013)*LOG10(INDEX(FX_Input,U$5,H$3*$Z$5+$AA$5)))-(8742/(H2261+459.6))+15.64),EXP(INDEX(Antoines,MATCH(H2254,Antoine_Name,0),2)-INDEX(Antoines,MATCH(H2254,Antoine_Name,0),3)/(H2261+459.6))))),0)</f>
        <v>0</v>
      </c>
      <c r="I2270" cm="1">
        <f t="array" ref="I2270">IFERROR(IF(I2255="Chemical",(10^(INDEX(Antoines,MATCH(I2254,Antoine_Name,0),2)-INDEX(Antoines,MATCH(I2254,Antoine_Name,0),3)/(INDEX(Antoines,MATCH(I2254,Antoine_Name,0),4)+(I2261-32)*5/9)))*14.7/760,IF(I2255="Crude Oil",EXP((2799/(I2261+459.6)-2.227)*LOG10(INDEX(FX_Input,V$5,I$3*$Z$5+$AA$5))-(7261/(I2261+459.6))+12.82),IF(I2255="Refined Petroleum Stock",EXP((0.7553-(413/(I2261+459.6)))*(INDEX(FX_Input,V$5,I$3*$Z$5+$AA$5-1)^0.5)*LOG10(INDEX(FX_Input,V$5,I$3*$Z$5+$AA$5))-(1.854-(1042/(I2261+459.6)))*(INDEX(FX_Input,V$5,I$3*$Z$5+$AA$5-1)^0.5)+((2416/(I2261+459.6)-2.013)*LOG10(INDEX(FX_Input,V$5,I$3*$Z$5+$AA$5)))-(8742/(I2261+459.6))+15.64),EXP(INDEX(Antoines,MATCH(I2254,Antoine_Name,0),2)-INDEX(Antoines,MATCH(I2254,Antoine_Name,0),3)/(I2261+459.6))))),0)</f>
        <v>0</v>
      </c>
      <c r="J2270" cm="1">
        <f t="array" ref="J2270">IFERROR(IF(J2255="Chemical",(10^(INDEX(Antoines,MATCH(J2254,Antoine_Name,0),2)-INDEX(Antoines,MATCH(J2254,Antoine_Name,0),3)/(INDEX(Antoines,MATCH(J2254,Antoine_Name,0),4)+(J2261-32)*5/9)))*14.7/760,IF(J2255="Crude Oil",EXP((2799/(J2261+459.6)-2.227)*LOG10(INDEX(FX_Input,W$5,J$3*$Z$5+$AA$5))-(7261/(J2261+459.6))+12.82),IF(J2255="Refined Petroleum Stock",EXP((0.7553-(413/(J2261+459.6)))*(INDEX(FX_Input,W$5,J$3*$Z$5+$AA$5-1)^0.5)*LOG10(INDEX(FX_Input,W$5,J$3*$Z$5+$AA$5))-(1.854-(1042/(J2261+459.6)))*(INDEX(FX_Input,W$5,J$3*$Z$5+$AA$5-1)^0.5)+((2416/(J2261+459.6)-2.013)*LOG10(INDEX(FX_Input,W$5,J$3*$Z$5+$AA$5)))-(8742/(J2261+459.6))+15.64),EXP(INDEX(Antoines,MATCH(J2254,Antoine_Name,0),2)-INDEX(Antoines,MATCH(J2254,Antoine_Name,0),3)/(J2261+459.6))))),0)</f>
        <v>0</v>
      </c>
      <c r="K2270" cm="1">
        <f t="array" ref="K2270">IFERROR(IF(K2255="Chemical",(10^(INDEX(Antoines,MATCH(K2254,Antoine_Name,0),2)-INDEX(Antoines,MATCH(K2254,Antoine_Name,0),3)/(INDEX(Antoines,MATCH(K2254,Antoine_Name,0),4)+(K2261-32)*5/9)))*14.7/760,IF(K2255="Crude Oil",EXP((2799/(K2261+459.6)-2.227)*LOG10(INDEX(FX_Input,X$5,K$3*$Z$5+$AA$5))-(7261/(K2261+459.6))+12.82),IF(K2255="Refined Petroleum Stock",EXP((0.7553-(413/(K2261+459.6)))*(INDEX(FX_Input,X$5,K$3*$Z$5+$AA$5-1)^0.5)*LOG10(INDEX(FX_Input,X$5,K$3*$Z$5+$AA$5))-(1.854-(1042/(K2261+459.6)))*(INDEX(FX_Input,X$5,K$3*$Z$5+$AA$5-1)^0.5)+((2416/(K2261+459.6)-2.013)*LOG10(INDEX(FX_Input,X$5,K$3*$Z$5+$AA$5)))-(8742/(K2261+459.6))+15.64),EXP(INDEX(Antoines,MATCH(K2254,Antoine_Name,0),2)-INDEX(Antoines,MATCH(K2254,Antoine_Name,0),3)/(K2261+459.6))))),0)</f>
        <v>0</v>
      </c>
      <c r="L2270" cm="1">
        <f t="array" ref="L2270">IFERROR(IF(L2255="Chemical",(10^(INDEX(Antoines,MATCH(L2254,Antoine_Name,0),2)-INDEX(Antoines,MATCH(L2254,Antoine_Name,0),3)/(INDEX(Antoines,MATCH(L2254,Antoine_Name,0),4)+(L2261-32)*5/9)))*14.7/760,IF(L2255="Crude Oil",EXP((2799/(L2261+459.6)-2.227)*LOG10(INDEX(FX_Input,Y$5,L$3*$Z$5+$AA$5))-(7261/(L2261+459.6))+12.82),IF(L2255="Refined Petroleum Stock",EXP((0.7553-(413/(L2261+459.6)))*(INDEX(FX_Input,Y$5,L$3*$Z$5+$AA$5-1)^0.5)*LOG10(INDEX(FX_Input,Y$5,L$3*$Z$5+$AA$5))-(1.854-(1042/(L2261+459.6)))*(INDEX(FX_Input,Y$5,L$3*$Z$5+$AA$5-1)^0.5)+((2416/(L2261+459.6)-2.013)*LOG10(INDEX(FX_Input,Y$5,L$3*$Z$5+$AA$5)))-(8742/(L2261+459.6))+15.64),EXP(INDEX(Antoines,MATCH(L2254,Antoine_Name,0),2)-INDEX(Antoines,MATCH(L2254,Antoine_Name,0),3)/(L2261+459.6))))),0)</f>
        <v>0</v>
      </c>
      <c r="M2270" cm="1">
        <f t="array" ref="M2270">IFERROR(IF(M2255="Chemical",(10^(INDEX(Antoines,MATCH(M2254,Antoine_Name,0),2)-INDEX(Antoines,MATCH(M2254,Antoine_Name,0),3)/(INDEX(Antoines,MATCH(M2254,Antoine_Name,0),4)+(M2261-32)*5/9)))*14.7/760,IF(M2255="Crude Oil",EXP((2799/(M2261+459.6)-2.227)*LOG10(INDEX(FX_Input,Z$5,M$3*$Z$5+$AA$5))-(7261/(M2261+459.6))+12.82),IF(M2255="Refined Petroleum Stock",EXP((0.7553-(413/(M2261+459.6)))*(INDEX(FX_Input,Z$5,M$3*$Z$5+$AA$5-1)^0.5)*LOG10(INDEX(FX_Input,Z$5,M$3*$Z$5+$AA$5))-(1.854-(1042/(M2261+459.6)))*(INDEX(FX_Input,Z$5,M$3*$Z$5+$AA$5-1)^0.5)+((2416/(M2261+459.6)-2.013)*LOG10(INDEX(FX_Input,Z$5,M$3*$Z$5+$AA$5)))-(8742/(M2261+459.6))+15.64),EXP(INDEX(Antoines,MATCH(M2254,Antoine_Name,0),2)-INDEX(Antoines,MATCH(M2254,Antoine_Name,0),3)/(M2261+459.6))))),0)</f>
        <v>0</v>
      </c>
      <c r="N2270" cm="1">
        <f t="array" ref="N2270">IFERROR(IF(N2255="Chemical",(10^(INDEX(Antoines,MATCH(N2254,Antoine_Name,0),2)-INDEX(Antoines,MATCH(N2254,Antoine_Name,0),3)/(INDEX(Antoines,MATCH(N2254,Antoine_Name,0),4)+(N2261-32)*5/9)))*14.7/760,IF(N2255="Crude Oil",EXP((2799/(N2261+459.6)-2.227)*LOG10(INDEX(FX_Input,AA$5,N$3*$Z$5+$AA$5))-(7261/(N2261+459.6))+12.82),IF(N2255="Refined Petroleum Stock",EXP((0.7553-(413/(N2261+459.6)))*(INDEX(FX_Input,AA$5,N$3*$Z$5+$AA$5-1)^0.5)*LOG10(INDEX(FX_Input,AA$5,N$3*$Z$5+$AA$5))-(1.854-(1042/(N2261+459.6)))*(INDEX(FX_Input,AA$5,N$3*$Z$5+$AA$5-1)^0.5)+((2416/(N2261+459.6)-2.013)*LOG10(INDEX(FX_Input,AA$5,N$3*$Z$5+$AA$5)))-(8742/(N2261+459.6))+15.64),EXP(INDEX(Antoines,MATCH(N2254,Antoine_Name,0),2)-INDEX(Antoines,MATCH(N2254,Antoine_Name,0),3)/(N2261+459.6))))),0)</f>
        <v>0</v>
      </c>
      <c r="O2270" cm="1">
        <f t="array" ref="O2270">IFERROR(IF(O2255="Chemical",(10^(INDEX(Antoines,MATCH(O2254,Antoine_Name,0),2)-INDEX(Antoines,MATCH(O2254,Antoine_Name,0),3)/(INDEX(Antoines,MATCH(O2254,Antoine_Name,0),4)+(O2261-32)*5/9)))*14.7/760,IF(O2255="Crude Oil",EXP((2799/(O2261+459.6)-2.227)*LOG10(INDEX(FX_Input,AB$5,O$3*$Z$5+$AA$5))-(7261/(O2261+459.6))+12.82),IF(O2255="Refined Petroleum Stock",EXP((0.7553-(413/(O2261+459.6)))*(INDEX(FX_Input,AB$5,O$3*$Z$5+$AA$5-1)^0.5)*LOG10(INDEX(FX_Input,AB$5,O$3*$Z$5+$AA$5))-(1.854-(1042/(O2261+459.6)))*(INDEX(FX_Input,AB$5,O$3*$Z$5+$AA$5-1)^0.5)+((2416/(O2261+459.6)-2.013)*LOG10(INDEX(FX_Input,AB$5,O$3*$Z$5+$AA$5)))-(8742/(O2261+459.6))+15.64),EXP(INDEX(Antoines,MATCH(O2254,Antoine_Name,0),2)-INDEX(Antoines,MATCH(O2254,Antoine_Name,0),3)/(O2261+459.6))))),0)</f>
        <v>0</v>
      </c>
    </row>
    <row r="2271" spans="2:32" ht="17.149999999999999" x14ac:dyDescent="0.55000000000000004">
      <c r="B2271" t="str">
        <f t="shared" si="7240"/>
        <v>Portland</v>
      </c>
      <c r="C2271" t="s">
        <v>582</v>
      </c>
      <c r="D2271">
        <f>D2270*D2258</f>
        <v>0</v>
      </c>
      <c r="E2271">
        <f t="shared" ref="E2271:O2271" si="7245">E2270*E2258</f>
        <v>0</v>
      </c>
      <c r="F2271">
        <f t="shared" si="7245"/>
        <v>0</v>
      </c>
      <c r="G2271">
        <f t="shared" si="7245"/>
        <v>0</v>
      </c>
      <c r="H2271">
        <f t="shared" si="7245"/>
        <v>0</v>
      </c>
      <c r="I2271">
        <f t="shared" si="7245"/>
        <v>0</v>
      </c>
      <c r="J2271">
        <f t="shared" si="7245"/>
        <v>0</v>
      </c>
      <c r="K2271">
        <f t="shared" si="7245"/>
        <v>0</v>
      </c>
      <c r="L2271">
        <f t="shared" si="7245"/>
        <v>0</v>
      </c>
      <c r="M2271">
        <f t="shared" si="7245"/>
        <v>0</v>
      </c>
      <c r="N2271">
        <f t="shared" si="7245"/>
        <v>0</v>
      </c>
      <c r="O2271">
        <f t="shared" si="7245"/>
        <v>0</v>
      </c>
    </row>
    <row r="2272" spans="2:32" ht="17.149999999999999" x14ac:dyDescent="0.55000000000000004">
      <c r="B2272" t="str">
        <f t="shared" si="7240"/>
        <v>Portland</v>
      </c>
      <c r="C2272" t="s">
        <v>583</v>
      </c>
      <c r="D2272">
        <f>D2269+D2271</f>
        <v>4.739577185808354E-3</v>
      </c>
      <c r="E2272">
        <f t="shared" ref="E2272:O2272" si="7246">E2269+E2271</f>
        <v>4.8748667780818778E-3</v>
      </c>
      <c r="F2272">
        <f t="shared" si="7246"/>
        <v>5.119885034186122E-3</v>
      </c>
      <c r="G2272">
        <f t="shared" si="7246"/>
        <v>5.5846958573521795E-3</v>
      </c>
      <c r="H2272">
        <f t="shared" si="7246"/>
        <v>6.5274070972739821E-3</v>
      </c>
      <c r="I2272">
        <f t="shared" si="7246"/>
        <v>7.4199539958878279E-3</v>
      </c>
      <c r="J2272">
        <f t="shared" si="7246"/>
        <v>8.3358107202842254E-3</v>
      </c>
      <c r="K2272">
        <f t="shared" si="7246"/>
        <v>8.4605262729351115E-3</v>
      </c>
      <c r="L2272">
        <f t="shared" si="7246"/>
        <v>7.8399882233967533E-3</v>
      </c>
      <c r="M2272">
        <f t="shared" si="7246"/>
        <v>6.4173462075160911E-3</v>
      </c>
      <c r="N2272">
        <f t="shared" si="7246"/>
        <v>5.3015226887581056E-3</v>
      </c>
      <c r="O2272">
        <f t="shared" si="7246"/>
        <v>4.68970903600947E-3</v>
      </c>
    </row>
    <row r="2273" spans="1:32" ht="17.149999999999999" x14ac:dyDescent="0.55000000000000004">
      <c r="B2273" t="str">
        <f t="shared" si="7240"/>
        <v>Portland</v>
      </c>
      <c r="C2273" t="s">
        <v>1388</v>
      </c>
      <c r="D2273" cm="1">
        <f t="array" ref="D2273">IFERROR(IF(D2253="Chemical",(10^(INDEX(Antoines,MATCH(D2252,Antoine_Name,0),2)-INDEX(Antoines,MATCH(D2252,Antoine_Name,0),3)/(INDEX(Antoines,MATCH(D2252,Antoine_Name,0),4)+(D2262-32)*5/9)))*14.7/760,IF(D2253="Crude Oil",EXP((2799/(D2262+459.6)-2.227)*LOG10(INDEX(FX_Input,Q$5,D$3*$Z$5+$AA$5))-(7261/(D2262+459.6))+12.82),IF(D2253="Refined Petroleum Stock",EXP((0.7553-(413/(D2262+459.6)))*(INDEX(FX_Input,Q$5,D$3*$Z$5+$AA$5-1)^0.5)*LOG10(INDEX(FX_Input,Q$5,D$3*$Z$5+$AA$5))-(1.854-(1042/(D2262+459.6)))*(INDEX(FX_Input,Q$5,D$3*$Z$5+$AA$5-1)^0.5)+((2416/(D2262+459.6)-2.013)*LOG10(INDEX(FX_Input,Q$5,D$3*$Z$5+$AA$5)))-(8742/(D2262+459.6))+15.64),EXP(INDEX(Antoines,MATCH(D2252,Antoine_Name,0),2)-INDEX(Antoines,MATCH(D2252,Antoine_Name,0),3)/(D2262+459.6))))),0)</f>
        <v>4.739577185808354E-3</v>
      </c>
      <c r="E2273" cm="1">
        <f t="array" ref="E2273">IFERROR(IF(E2253="Chemical",(10^(INDEX(Antoines,MATCH(E2252,Antoine_Name,0),2)-INDEX(Antoines,MATCH(E2252,Antoine_Name,0),3)/(INDEX(Antoines,MATCH(E2252,Antoine_Name,0),4)+(E2262-32)*5/9)))*14.7/760,IF(E2253="Crude Oil",EXP((2799/(E2262+459.6)-2.227)*LOG10(INDEX(FX_Input,R$5,E$3*$Z$5+$AA$5))-(7261/(E2262+459.6))+12.82),IF(E2253="Refined Petroleum Stock",EXP((0.7553-(413/(E2262+459.6)))*(INDEX(FX_Input,R$5,E$3*$Z$5+$AA$5-1)^0.5)*LOG10(INDEX(FX_Input,R$5,E$3*$Z$5+$AA$5))-(1.854-(1042/(E2262+459.6)))*(INDEX(FX_Input,R$5,E$3*$Z$5+$AA$5-1)^0.5)+((2416/(E2262+459.6)-2.013)*LOG10(INDEX(FX_Input,R$5,E$3*$Z$5+$AA$5)))-(8742/(E2262+459.6))+15.64),EXP(INDEX(Antoines,MATCH(E2252,Antoine_Name,0),2)-INDEX(Antoines,MATCH(E2252,Antoine_Name,0),3)/(E2262+459.6))))),0)</f>
        <v>4.8748667780818778E-3</v>
      </c>
      <c r="F2273" cm="1">
        <f t="array" ref="F2273">IFERROR(IF(F2253="Chemical",(10^(INDEX(Antoines,MATCH(F2252,Antoine_Name,0),2)-INDEX(Antoines,MATCH(F2252,Antoine_Name,0),3)/(INDEX(Antoines,MATCH(F2252,Antoine_Name,0),4)+(F2262-32)*5/9)))*14.7/760,IF(F2253="Crude Oil",EXP((2799/(F2262+459.6)-2.227)*LOG10(INDEX(FX_Input,S$5,F$3*$Z$5+$AA$5))-(7261/(F2262+459.6))+12.82),IF(F2253="Refined Petroleum Stock",EXP((0.7553-(413/(F2262+459.6)))*(INDEX(FX_Input,S$5,F$3*$Z$5+$AA$5-1)^0.5)*LOG10(INDEX(FX_Input,S$5,F$3*$Z$5+$AA$5))-(1.854-(1042/(F2262+459.6)))*(INDEX(FX_Input,S$5,F$3*$Z$5+$AA$5-1)^0.5)+((2416/(F2262+459.6)-2.013)*LOG10(INDEX(FX_Input,S$5,F$3*$Z$5+$AA$5)))-(8742/(F2262+459.6))+15.64),EXP(INDEX(Antoines,MATCH(F2252,Antoine_Name,0),2)-INDEX(Antoines,MATCH(F2252,Antoine_Name,0),3)/(F2262+459.6))))),0)</f>
        <v>5.119885034186122E-3</v>
      </c>
      <c r="G2273" cm="1">
        <f t="array" ref="G2273">IFERROR(IF(G2253="Chemical",(10^(INDEX(Antoines,MATCH(G2252,Antoine_Name,0),2)-INDEX(Antoines,MATCH(G2252,Antoine_Name,0),3)/(INDEX(Antoines,MATCH(G2252,Antoine_Name,0),4)+(G2262-32)*5/9)))*14.7/760,IF(G2253="Crude Oil",EXP((2799/(G2262+459.6)-2.227)*LOG10(INDEX(FX_Input,T$5,G$3*$Z$5+$AA$5))-(7261/(G2262+459.6))+12.82),IF(G2253="Refined Petroleum Stock",EXP((0.7553-(413/(G2262+459.6)))*(INDEX(FX_Input,T$5,G$3*$Z$5+$AA$5-1)^0.5)*LOG10(INDEX(FX_Input,T$5,G$3*$Z$5+$AA$5))-(1.854-(1042/(G2262+459.6)))*(INDEX(FX_Input,T$5,G$3*$Z$5+$AA$5-1)^0.5)+((2416/(G2262+459.6)-2.013)*LOG10(INDEX(FX_Input,T$5,G$3*$Z$5+$AA$5)))-(8742/(G2262+459.6))+15.64),EXP(INDEX(Antoines,MATCH(G2252,Antoine_Name,0),2)-INDEX(Antoines,MATCH(G2252,Antoine_Name,0),3)/(G2262+459.6))))),0)</f>
        <v>5.5846958573521795E-3</v>
      </c>
      <c r="H2273" cm="1">
        <f t="array" ref="H2273">IFERROR(IF(H2253="Chemical",(10^(INDEX(Antoines,MATCH(H2252,Antoine_Name,0),2)-INDEX(Antoines,MATCH(H2252,Antoine_Name,0),3)/(INDEX(Antoines,MATCH(H2252,Antoine_Name,0),4)+(H2262-32)*5/9)))*14.7/760,IF(H2253="Crude Oil",EXP((2799/(H2262+459.6)-2.227)*LOG10(INDEX(FX_Input,U$5,H$3*$Z$5+$AA$5))-(7261/(H2262+459.6))+12.82),IF(H2253="Refined Petroleum Stock",EXP((0.7553-(413/(H2262+459.6)))*(INDEX(FX_Input,U$5,H$3*$Z$5+$AA$5-1)^0.5)*LOG10(INDEX(FX_Input,U$5,H$3*$Z$5+$AA$5))-(1.854-(1042/(H2262+459.6)))*(INDEX(FX_Input,U$5,H$3*$Z$5+$AA$5-1)^0.5)+((2416/(H2262+459.6)-2.013)*LOG10(INDEX(FX_Input,U$5,H$3*$Z$5+$AA$5)))-(8742/(H2262+459.6))+15.64),EXP(INDEX(Antoines,MATCH(H2252,Antoine_Name,0),2)-INDEX(Antoines,MATCH(H2252,Antoine_Name,0),3)/(H2262+459.6))))),0)</f>
        <v>6.5274070972739821E-3</v>
      </c>
      <c r="I2273" cm="1">
        <f t="array" ref="I2273">IFERROR(IF(I2253="Chemical",(10^(INDEX(Antoines,MATCH(I2252,Antoine_Name,0),2)-INDEX(Antoines,MATCH(I2252,Antoine_Name,0),3)/(INDEX(Antoines,MATCH(I2252,Antoine_Name,0),4)+(I2262-32)*5/9)))*14.7/760,IF(I2253="Crude Oil",EXP((2799/(I2262+459.6)-2.227)*LOG10(INDEX(FX_Input,V$5,I$3*$Z$5+$AA$5))-(7261/(I2262+459.6))+12.82),IF(I2253="Refined Petroleum Stock",EXP((0.7553-(413/(I2262+459.6)))*(INDEX(FX_Input,V$5,I$3*$Z$5+$AA$5-1)^0.5)*LOG10(INDEX(FX_Input,V$5,I$3*$Z$5+$AA$5))-(1.854-(1042/(I2262+459.6)))*(INDEX(FX_Input,V$5,I$3*$Z$5+$AA$5-1)^0.5)+((2416/(I2262+459.6)-2.013)*LOG10(INDEX(FX_Input,V$5,I$3*$Z$5+$AA$5)))-(8742/(I2262+459.6))+15.64),EXP(INDEX(Antoines,MATCH(I2252,Antoine_Name,0),2)-INDEX(Antoines,MATCH(I2252,Antoine_Name,0),3)/(I2262+459.6))))),0)</f>
        <v>7.4199539958878279E-3</v>
      </c>
      <c r="J2273" cm="1">
        <f t="array" ref="J2273">IFERROR(IF(J2253="Chemical",(10^(INDEX(Antoines,MATCH(J2252,Antoine_Name,0),2)-INDEX(Antoines,MATCH(J2252,Antoine_Name,0),3)/(INDEX(Antoines,MATCH(J2252,Antoine_Name,0),4)+(J2262-32)*5/9)))*14.7/760,IF(J2253="Crude Oil",EXP((2799/(J2262+459.6)-2.227)*LOG10(INDEX(FX_Input,W$5,J$3*$Z$5+$AA$5))-(7261/(J2262+459.6))+12.82),IF(J2253="Refined Petroleum Stock",EXP((0.7553-(413/(J2262+459.6)))*(INDEX(FX_Input,W$5,J$3*$Z$5+$AA$5-1)^0.5)*LOG10(INDEX(FX_Input,W$5,J$3*$Z$5+$AA$5))-(1.854-(1042/(J2262+459.6)))*(INDEX(FX_Input,W$5,J$3*$Z$5+$AA$5-1)^0.5)+((2416/(J2262+459.6)-2.013)*LOG10(INDEX(FX_Input,W$5,J$3*$Z$5+$AA$5)))-(8742/(J2262+459.6))+15.64),EXP(INDEX(Antoines,MATCH(J2252,Antoine_Name,0),2)-INDEX(Antoines,MATCH(J2252,Antoine_Name,0),3)/(J2262+459.6))))),0)</f>
        <v>8.3358107202842254E-3</v>
      </c>
      <c r="K2273" cm="1">
        <f t="array" ref="K2273">IFERROR(IF(K2253="Chemical",(10^(INDEX(Antoines,MATCH(K2252,Antoine_Name,0),2)-INDEX(Antoines,MATCH(K2252,Antoine_Name,0),3)/(INDEX(Antoines,MATCH(K2252,Antoine_Name,0),4)+(K2262-32)*5/9)))*14.7/760,IF(K2253="Crude Oil",EXP((2799/(K2262+459.6)-2.227)*LOG10(INDEX(FX_Input,X$5,K$3*$Z$5+$AA$5))-(7261/(K2262+459.6))+12.82),IF(K2253="Refined Petroleum Stock",EXP((0.7553-(413/(K2262+459.6)))*(INDEX(FX_Input,X$5,K$3*$Z$5+$AA$5-1)^0.5)*LOG10(INDEX(FX_Input,X$5,K$3*$Z$5+$AA$5))-(1.854-(1042/(K2262+459.6)))*(INDEX(FX_Input,X$5,K$3*$Z$5+$AA$5-1)^0.5)+((2416/(K2262+459.6)-2.013)*LOG10(INDEX(FX_Input,X$5,K$3*$Z$5+$AA$5)))-(8742/(K2262+459.6))+15.64),EXP(INDEX(Antoines,MATCH(K2252,Antoine_Name,0),2)-INDEX(Antoines,MATCH(K2252,Antoine_Name,0),3)/(K2262+459.6))))),0)</f>
        <v>8.4605262729351115E-3</v>
      </c>
      <c r="L2273" cm="1">
        <f t="array" ref="L2273">IFERROR(IF(L2253="Chemical",(10^(INDEX(Antoines,MATCH(L2252,Antoine_Name,0),2)-INDEX(Antoines,MATCH(L2252,Antoine_Name,0),3)/(INDEX(Antoines,MATCH(L2252,Antoine_Name,0),4)+(L2262-32)*5/9)))*14.7/760,IF(L2253="Crude Oil",EXP((2799/(L2262+459.6)-2.227)*LOG10(INDEX(FX_Input,Y$5,L$3*$Z$5+$AA$5))-(7261/(L2262+459.6))+12.82),IF(L2253="Refined Petroleum Stock",EXP((0.7553-(413/(L2262+459.6)))*(INDEX(FX_Input,Y$5,L$3*$Z$5+$AA$5-1)^0.5)*LOG10(INDEX(FX_Input,Y$5,L$3*$Z$5+$AA$5))-(1.854-(1042/(L2262+459.6)))*(INDEX(FX_Input,Y$5,L$3*$Z$5+$AA$5-1)^0.5)+((2416/(L2262+459.6)-2.013)*LOG10(INDEX(FX_Input,Y$5,L$3*$Z$5+$AA$5)))-(8742/(L2262+459.6))+15.64),EXP(INDEX(Antoines,MATCH(L2252,Antoine_Name,0),2)-INDEX(Antoines,MATCH(L2252,Antoine_Name,0),3)/(L2262+459.6))))),0)</f>
        <v>7.8399882233967533E-3</v>
      </c>
      <c r="M2273" cm="1">
        <f t="array" ref="M2273">IFERROR(IF(M2253="Chemical",(10^(INDEX(Antoines,MATCH(M2252,Antoine_Name,0),2)-INDEX(Antoines,MATCH(M2252,Antoine_Name,0),3)/(INDEX(Antoines,MATCH(M2252,Antoine_Name,0),4)+(M2262-32)*5/9)))*14.7/760,IF(M2253="Crude Oil",EXP((2799/(M2262+459.6)-2.227)*LOG10(INDEX(FX_Input,Z$5,M$3*$Z$5+$AA$5))-(7261/(M2262+459.6))+12.82),IF(M2253="Refined Petroleum Stock",EXP((0.7553-(413/(M2262+459.6)))*(INDEX(FX_Input,Z$5,M$3*$Z$5+$AA$5-1)^0.5)*LOG10(INDEX(FX_Input,Z$5,M$3*$Z$5+$AA$5))-(1.854-(1042/(M2262+459.6)))*(INDEX(FX_Input,Z$5,M$3*$Z$5+$AA$5-1)^0.5)+((2416/(M2262+459.6)-2.013)*LOG10(INDEX(FX_Input,Z$5,M$3*$Z$5+$AA$5)))-(8742/(M2262+459.6))+15.64),EXP(INDEX(Antoines,MATCH(M2252,Antoine_Name,0),2)-INDEX(Antoines,MATCH(M2252,Antoine_Name,0),3)/(M2262+459.6))))),0)</f>
        <v>6.4173462075160911E-3</v>
      </c>
      <c r="N2273" cm="1">
        <f t="array" ref="N2273">IFERROR(IF(N2253="Chemical",(10^(INDEX(Antoines,MATCH(N2252,Antoine_Name,0),2)-INDEX(Antoines,MATCH(N2252,Antoine_Name,0),3)/(INDEX(Antoines,MATCH(N2252,Antoine_Name,0),4)+(N2262-32)*5/9)))*14.7/760,IF(N2253="Crude Oil",EXP((2799/(N2262+459.6)-2.227)*LOG10(INDEX(FX_Input,AA$5,N$3*$Z$5+$AA$5))-(7261/(N2262+459.6))+12.82),IF(N2253="Refined Petroleum Stock",EXP((0.7553-(413/(N2262+459.6)))*(INDEX(FX_Input,AA$5,N$3*$Z$5+$AA$5-1)^0.5)*LOG10(INDEX(FX_Input,AA$5,N$3*$Z$5+$AA$5))-(1.854-(1042/(N2262+459.6)))*(INDEX(FX_Input,AA$5,N$3*$Z$5+$AA$5-1)^0.5)+((2416/(N2262+459.6)-2.013)*LOG10(INDEX(FX_Input,AA$5,N$3*$Z$5+$AA$5)))-(8742/(N2262+459.6))+15.64),EXP(INDEX(Antoines,MATCH(N2252,Antoine_Name,0),2)-INDEX(Antoines,MATCH(N2252,Antoine_Name,0),3)/(N2262+459.6))))),0)</f>
        <v>5.3015226887581056E-3</v>
      </c>
      <c r="O2273" cm="1">
        <f t="array" ref="O2273">IFERROR(IF(O2253="Chemical",(10^(INDEX(Antoines,MATCH(O2252,Antoine_Name,0),2)-INDEX(Antoines,MATCH(O2252,Antoine_Name,0),3)/(INDEX(Antoines,MATCH(O2252,Antoine_Name,0),4)+(O2262-32)*5/9)))*14.7/760,IF(O2253="Crude Oil",EXP((2799/(O2262+459.6)-2.227)*LOG10(INDEX(FX_Input,AB$5,O$3*$Z$5+$AA$5))-(7261/(O2262+459.6))+12.82),IF(O2253="Refined Petroleum Stock",EXP((0.7553-(413/(O2262+459.6)))*(INDEX(FX_Input,AB$5,O$3*$Z$5+$AA$5-1)^0.5)*LOG10(INDEX(FX_Input,AB$5,O$3*$Z$5+$AA$5))-(1.854-(1042/(O2262+459.6)))*(INDEX(FX_Input,AB$5,O$3*$Z$5+$AA$5-1)^0.5)+((2416/(O2262+459.6)-2.013)*LOG10(INDEX(FX_Input,AB$5,O$3*$Z$5+$AA$5)))-(8742/(O2262+459.6))+15.64),EXP(INDEX(Antoines,MATCH(O2252,Antoine_Name,0),2)-INDEX(Antoines,MATCH(O2252,Antoine_Name,0),3)/(O2262+459.6))))),0)</f>
        <v>4.68970903600947E-3</v>
      </c>
    </row>
    <row r="2274" spans="1:32" ht="17.149999999999999" x14ac:dyDescent="0.55000000000000004">
      <c r="B2274" t="str">
        <f t="shared" si="7240"/>
        <v>Portland</v>
      </c>
      <c r="C2274" t="s">
        <v>1389</v>
      </c>
      <c r="D2274">
        <f>D2273*D2256</f>
        <v>4.739577185808354E-3</v>
      </c>
      <c r="E2274">
        <f t="shared" ref="E2274:O2274" si="7247">E2273*E2256</f>
        <v>4.8748667780818778E-3</v>
      </c>
      <c r="F2274">
        <f t="shared" si="7247"/>
        <v>5.119885034186122E-3</v>
      </c>
      <c r="G2274">
        <f t="shared" si="7247"/>
        <v>5.5846958573521795E-3</v>
      </c>
      <c r="H2274">
        <f t="shared" si="7247"/>
        <v>6.5274070972739821E-3</v>
      </c>
      <c r="I2274">
        <f t="shared" si="7247"/>
        <v>7.4199539958878279E-3</v>
      </c>
      <c r="J2274">
        <f t="shared" si="7247"/>
        <v>8.3358107202842254E-3</v>
      </c>
      <c r="K2274">
        <f t="shared" si="7247"/>
        <v>8.4605262729351115E-3</v>
      </c>
      <c r="L2274">
        <f t="shared" si="7247"/>
        <v>7.8399882233967533E-3</v>
      </c>
      <c r="M2274">
        <f t="shared" si="7247"/>
        <v>6.4173462075160911E-3</v>
      </c>
      <c r="N2274">
        <f t="shared" si="7247"/>
        <v>5.3015226887581056E-3</v>
      </c>
      <c r="O2274">
        <f t="shared" si="7247"/>
        <v>4.68970903600947E-3</v>
      </c>
    </row>
    <row r="2275" spans="1:32" ht="17.149999999999999" x14ac:dyDescent="0.55000000000000004">
      <c r="B2275" t="str">
        <f t="shared" si="7240"/>
        <v>Portland</v>
      </c>
      <c r="C2275" t="s">
        <v>1390</v>
      </c>
      <c r="D2275" cm="1">
        <f t="array" ref="D2275">IFERROR(IF(D2255="Chemical",(10^(INDEX(Antoines,MATCH(D2254,Antoine_Name,0),2)-INDEX(Antoines,MATCH(D2254,Antoine_Name,0),3)/(INDEX(Antoines,MATCH(D2254,Antoine_Name,0),4)+(D2262-32)*5/9)))*14.7/760,IF(D2255="Crude Oil",EXP((2799/(D2262+459.6)-2.227)*LOG10(INDEX(FX_Input,Q$5,D$3*$Z$5+$AA$5))-(7261/(D2262+459.6))+12.82),IF(D2255="Refined Petroleum Stock",EXP((0.7553-(413/(D2262+459.6)))*(INDEX(FX_Input,Q$5,D$3*$Z$5+$AA$5-1)^0.5)*LOG10(INDEX(FX_Input,Q$5,D$3*$Z$5+$AA$5))-(1.854-(1042/(D2262+459.6)))*(INDEX(FX_Input,Q$5,D$3*$Z$5+$AA$5-1)^0.5)+((2416/(D2262+459.6)-2.013)*LOG10(INDEX(FX_Input,Q$5,D$3*$Z$5+$AA$5)))-(8742/(D2262+459.6))+15.64),EXP(INDEX(Antoines,MATCH(D2254,Antoine_Name,0),2)-INDEX(Antoines,MATCH(D2254,Antoine_Name,0),3)/(D2262+459.6))))),0)</f>
        <v>0</v>
      </c>
      <c r="E2275" cm="1">
        <f t="array" ref="E2275">IFERROR(IF(E2255="Chemical",(10^(INDEX(Antoines,MATCH(E2254,Antoine_Name,0),2)-INDEX(Antoines,MATCH(E2254,Antoine_Name,0),3)/(INDEX(Antoines,MATCH(E2254,Antoine_Name,0),4)+(E2262-32)*5/9)))*14.7/760,IF(E2255="Crude Oil",EXP((2799/(E2262+459.6)-2.227)*LOG10(INDEX(FX_Input,R$5,E$3*$Z$5+$AA$5))-(7261/(E2262+459.6))+12.82),IF(E2255="Refined Petroleum Stock",EXP((0.7553-(413/(E2262+459.6)))*(INDEX(FX_Input,R$5,E$3*$Z$5+$AA$5-1)^0.5)*LOG10(INDEX(FX_Input,R$5,E$3*$Z$5+$AA$5))-(1.854-(1042/(E2262+459.6)))*(INDEX(FX_Input,R$5,E$3*$Z$5+$AA$5-1)^0.5)+((2416/(E2262+459.6)-2.013)*LOG10(INDEX(FX_Input,R$5,E$3*$Z$5+$AA$5)))-(8742/(E2262+459.6))+15.64),EXP(INDEX(Antoines,MATCH(E2254,Antoine_Name,0),2)-INDEX(Antoines,MATCH(E2254,Antoine_Name,0),3)/(E2262+459.6))))),0)</f>
        <v>0</v>
      </c>
      <c r="F2275" cm="1">
        <f t="array" ref="F2275">IFERROR(IF(F2255="Chemical",(10^(INDEX(Antoines,MATCH(F2254,Antoine_Name,0),2)-INDEX(Antoines,MATCH(F2254,Antoine_Name,0),3)/(INDEX(Antoines,MATCH(F2254,Antoine_Name,0),4)+(F2262-32)*5/9)))*14.7/760,IF(F2255="Crude Oil",EXP((2799/(F2262+459.6)-2.227)*LOG10(INDEX(FX_Input,S$5,F$3*$Z$5+$AA$5))-(7261/(F2262+459.6))+12.82),IF(F2255="Refined Petroleum Stock",EXP((0.7553-(413/(F2262+459.6)))*(INDEX(FX_Input,S$5,F$3*$Z$5+$AA$5-1)^0.5)*LOG10(INDEX(FX_Input,S$5,F$3*$Z$5+$AA$5))-(1.854-(1042/(F2262+459.6)))*(INDEX(FX_Input,S$5,F$3*$Z$5+$AA$5-1)^0.5)+((2416/(F2262+459.6)-2.013)*LOG10(INDEX(FX_Input,S$5,F$3*$Z$5+$AA$5)))-(8742/(F2262+459.6))+15.64),EXP(INDEX(Antoines,MATCH(F2254,Antoine_Name,0),2)-INDEX(Antoines,MATCH(F2254,Antoine_Name,0),3)/(F2262+459.6))))),0)</f>
        <v>0</v>
      </c>
      <c r="G2275" cm="1">
        <f t="array" ref="G2275">IFERROR(IF(G2255="Chemical",(10^(INDEX(Antoines,MATCH(G2254,Antoine_Name,0),2)-INDEX(Antoines,MATCH(G2254,Antoine_Name,0),3)/(INDEX(Antoines,MATCH(G2254,Antoine_Name,0),4)+(G2262-32)*5/9)))*14.7/760,IF(G2255="Crude Oil",EXP((2799/(G2262+459.6)-2.227)*LOG10(INDEX(FX_Input,T$5,G$3*$Z$5+$AA$5))-(7261/(G2262+459.6))+12.82),IF(G2255="Refined Petroleum Stock",EXP((0.7553-(413/(G2262+459.6)))*(INDEX(FX_Input,T$5,G$3*$Z$5+$AA$5-1)^0.5)*LOG10(INDEX(FX_Input,T$5,G$3*$Z$5+$AA$5))-(1.854-(1042/(G2262+459.6)))*(INDEX(FX_Input,T$5,G$3*$Z$5+$AA$5-1)^0.5)+((2416/(G2262+459.6)-2.013)*LOG10(INDEX(FX_Input,T$5,G$3*$Z$5+$AA$5)))-(8742/(G2262+459.6))+15.64),EXP(INDEX(Antoines,MATCH(G2254,Antoine_Name,0),2)-INDEX(Antoines,MATCH(G2254,Antoine_Name,0),3)/(G2262+459.6))))),0)</f>
        <v>0</v>
      </c>
      <c r="H2275" cm="1">
        <f t="array" ref="H2275">IFERROR(IF(H2255="Chemical",(10^(INDEX(Antoines,MATCH(H2254,Antoine_Name,0),2)-INDEX(Antoines,MATCH(H2254,Antoine_Name,0),3)/(INDEX(Antoines,MATCH(H2254,Antoine_Name,0),4)+(H2262-32)*5/9)))*14.7/760,IF(H2255="Crude Oil",EXP((2799/(H2262+459.6)-2.227)*LOG10(INDEX(FX_Input,U$5,H$3*$Z$5+$AA$5))-(7261/(H2262+459.6))+12.82),IF(H2255="Refined Petroleum Stock",EXP((0.7553-(413/(H2262+459.6)))*(INDEX(FX_Input,U$5,H$3*$Z$5+$AA$5-1)^0.5)*LOG10(INDEX(FX_Input,U$5,H$3*$Z$5+$AA$5))-(1.854-(1042/(H2262+459.6)))*(INDEX(FX_Input,U$5,H$3*$Z$5+$AA$5-1)^0.5)+((2416/(H2262+459.6)-2.013)*LOG10(INDEX(FX_Input,U$5,H$3*$Z$5+$AA$5)))-(8742/(H2262+459.6))+15.64),EXP(INDEX(Antoines,MATCH(H2254,Antoine_Name,0),2)-INDEX(Antoines,MATCH(H2254,Antoine_Name,0),3)/(H2262+459.6))))),0)</f>
        <v>0</v>
      </c>
      <c r="I2275" cm="1">
        <f t="array" ref="I2275">IFERROR(IF(I2255="Chemical",(10^(INDEX(Antoines,MATCH(I2254,Antoine_Name,0),2)-INDEX(Antoines,MATCH(I2254,Antoine_Name,0),3)/(INDEX(Antoines,MATCH(I2254,Antoine_Name,0),4)+(I2262-32)*5/9)))*14.7/760,IF(I2255="Crude Oil",EXP((2799/(I2262+459.6)-2.227)*LOG10(INDEX(FX_Input,V$5,I$3*$Z$5+$AA$5))-(7261/(I2262+459.6))+12.82),IF(I2255="Refined Petroleum Stock",EXP((0.7553-(413/(I2262+459.6)))*(INDEX(FX_Input,V$5,I$3*$Z$5+$AA$5-1)^0.5)*LOG10(INDEX(FX_Input,V$5,I$3*$Z$5+$AA$5))-(1.854-(1042/(I2262+459.6)))*(INDEX(FX_Input,V$5,I$3*$Z$5+$AA$5-1)^0.5)+((2416/(I2262+459.6)-2.013)*LOG10(INDEX(FX_Input,V$5,I$3*$Z$5+$AA$5)))-(8742/(I2262+459.6))+15.64),EXP(INDEX(Antoines,MATCH(I2254,Antoine_Name,0),2)-INDEX(Antoines,MATCH(I2254,Antoine_Name,0),3)/(I2262+459.6))))),0)</f>
        <v>0</v>
      </c>
      <c r="J2275" cm="1">
        <f t="array" ref="J2275">IFERROR(IF(J2255="Chemical",(10^(INDEX(Antoines,MATCH(J2254,Antoine_Name,0),2)-INDEX(Antoines,MATCH(J2254,Antoine_Name,0),3)/(INDEX(Antoines,MATCH(J2254,Antoine_Name,0),4)+(J2262-32)*5/9)))*14.7/760,IF(J2255="Crude Oil",EXP((2799/(J2262+459.6)-2.227)*LOG10(INDEX(FX_Input,W$5,J$3*$Z$5+$AA$5))-(7261/(J2262+459.6))+12.82),IF(J2255="Refined Petroleum Stock",EXP((0.7553-(413/(J2262+459.6)))*(INDEX(FX_Input,W$5,J$3*$Z$5+$AA$5-1)^0.5)*LOG10(INDEX(FX_Input,W$5,J$3*$Z$5+$AA$5))-(1.854-(1042/(J2262+459.6)))*(INDEX(FX_Input,W$5,J$3*$Z$5+$AA$5-1)^0.5)+((2416/(J2262+459.6)-2.013)*LOG10(INDEX(FX_Input,W$5,J$3*$Z$5+$AA$5)))-(8742/(J2262+459.6))+15.64),EXP(INDEX(Antoines,MATCH(J2254,Antoine_Name,0),2)-INDEX(Antoines,MATCH(J2254,Antoine_Name,0),3)/(J2262+459.6))))),0)</f>
        <v>0</v>
      </c>
      <c r="K2275" cm="1">
        <f t="array" ref="K2275">IFERROR(IF(K2255="Chemical",(10^(INDEX(Antoines,MATCH(K2254,Antoine_Name,0),2)-INDEX(Antoines,MATCH(K2254,Antoine_Name,0),3)/(INDEX(Antoines,MATCH(K2254,Antoine_Name,0),4)+(K2262-32)*5/9)))*14.7/760,IF(K2255="Crude Oil",EXP((2799/(K2262+459.6)-2.227)*LOG10(INDEX(FX_Input,X$5,K$3*$Z$5+$AA$5))-(7261/(K2262+459.6))+12.82),IF(K2255="Refined Petroleum Stock",EXP((0.7553-(413/(K2262+459.6)))*(INDEX(FX_Input,X$5,K$3*$Z$5+$AA$5-1)^0.5)*LOG10(INDEX(FX_Input,X$5,K$3*$Z$5+$AA$5))-(1.854-(1042/(K2262+459.6)))*(INDEX(FX_Input,X$5,K$3*$Z$5+$AA$5-1)^0.5)+((2416/(K2262+459.6)-2.013)*LOG10(INDEX(FX_Input,X$5,K$3*$Z$5+$AA$5)))-(8742/(K2262+459.6))+15.64),EXP(INDEX(Antoines,MATCH(K2254,Antoine_Name,0),2)-INDEX(Antoines,MATCH(K2254,Antoine_Name,0),3)/(K2262+459.6))))),0)</f>
        <v>0</v>
      </c>
      <c r="L2275" cm="1">
        <f t="array" ref="L2275">IFERROR(IF(L2255="Chemical",(10^(INDEX(Antoines,MATCH(L2254,Antoine_Name,0),2)-INDEX(Antoines,MATCH(L2254,Antoine_Name,0),3)/(INDEX(Antoines,MATCH(L2254,Antoine_Name,0),4)+(L2262-32)*5/9)))*14.7/760,IF(L2255="Crude Oil",EXP((2799/(L2262+459.6)-2.227)*LOG10(INDEX(FX_Input,Y$5,L$3*$Z$5+$AA$5))-(7261/(L2262+459.6))+12.82),IF(L2255="Refined Petroleum Stock",EXP((0.7553-(413/(L2262+459.6)))*(INDEX(FX_Input,Y$5,L$3*$Z$5+$AA$5-1)^0.5)*LOG10(INDEX(FX_Input,Y$5,L$3*$Z$5+$AA$5))-(1.854-(1042/(L2262+459.6)))*(INDEX(FX_Input,Y$5,L$3*$Z$5+$AA$5-1)^0.5)+((2416/(L2262+459.6)-2.013)*LOG10(INDEX(FX_Input,Y$5,L$3*$Z$5+$AA$5)))-(8742/(L2262+459.6))+15.64),EXP(INDEX(Antoines,MATCH(L2254,Antoine_Name,0),2)-INDEX(Antoines,MATCH(L2254,Antoine_Name,0),3)/(L2262+459.6))))),0)</f>
        <v>0</v>
      </c>
      <c r="M2275" cm="1">
        <f t="array" ref="M2275">IFERROR(IF(M2255="Chemical",(10^(INDEX(Antoines,MATCH(M2254,Antoine_Name,0),2)-INDEX(Antoines,MATCH(M2254,Antoine_Name,0),3)/(INDEX(Antoines,MATCH(M2254,Antoine_Name,0),4)+(M2262-32)*5/9)))*14.7/760,IF(M2255="Crude Oil",EXP((2799/(M2262+459.6)-2.227)*LOG10(INDEX(FX_Input,Z$5,M$3*$Z$5+$AA$5))-(7261/(M2262+459.6))+12.82),IF(M2255="Refined Petroleum Stock",EXP((0.7553-(413/(M2262+459.6)))*(INDEX(FX_Input,Z$5,M$3*$Z$5+$AA$5-1)^0.5)*LOG10(INDEX(FX_Input,Z$5,M$3*$Z$5+$AA$5))-(1.854-(1042/(M2262+459.6)))*(INDEX(FX_Input,Z$5,M$3*$Z$5+$AA$5-1)^0.5)+((2416/(M2262+459.6)-2.013)*LOG10(INDEX(FX_Input,Z$5,M$3*$Z$5+$AA$5)))-(8742/(M2262+459.6))+15.64),EXP(INDEX(Antoines,MATCH(M2254,Antoine_Name,0),2)-INDEX(Antoines,MATCH(M2254,Antoine_Name,0),3)/(M2262+459.6))))),0)</f>
        <v>0</v>
      </c>
      <c r="N2275" cm="1">
        <f t="array" ref="N2275">IFERROR(IF(N2255="Chemical",(10^(INDEX(Antoines,MATCH(N2254,Antoine_Name,0),2)-INDEX(Antoines,MATCH(N2254,Antoine_Name,0),3)/(INDEX(Antoines,MATCH(N2254,Antoine_Name,0),4)+(N2262-32)*5/9)))*14.7/760,IF(N2255="Crude Oil",EXP((2799/(N2262+459.6)-2.227)*LOG10(INDEX(FX_Input,AA$5,N$3*$Z$5+$AA$5))-(7261/(N2262+459.6))+12.82),IF(N2255="Refined Petroleum Stock",EXP((0.7553-(413/(N2262+459.6)))*(INDEX(FX_Input,AA$5,N$3*$Z$5+$AA$5-1)^0.5)*LOG10(INDEX(FX_Input,AA$5,N$3*$Z$5+$AA$5))-(1.854-(1042/(N2262+459.6)))*(INDEX(FX_Input,AA$5,N$3*$Z$5+$AA$5-1)^0.5)+((2416/(N2262+459.6)-2.013)*LOG10(INDEX(FX_Input,AA$5,N$3*$Z$5+$AA$5)))-(8742/(N2262+459.6))+15.64),EXP(INDEX(Antoines,MATCH(N2254,Antoine_Name,0),2)-INDEX(Antoines,MATCH(N2254,Antoine_Name,0),3)/(N2262+459.6))))),0)</f>
        <v>0</v>
      </c>
      <c r="O2275" cm="1">
        <f t="array" ref="O2275">IFERROR(IF(O2255="Chemical",(10^(INDEX(Antoines,MATCH(O2254,Antoine_Name,0),2)-INDEX(Antoines,MATCH(O2254,Antoine_Name,0),3)/(INDEX(Antoines,MATCH(O2254,Antoine_Name,0),4)+(O2262-32)*5/9)))*14.7/760,IF(O2255="Crude Oil",EXP((2799/(O2262+459.6)-2.227)*LOG10(INDEX(FX_Input,AB$5,O$3*$Z$5+$AA$5))-(7261/(O2262+459.6))+12.82),IF(O2255="Refined Petroleum Stock",EXP((0.7553-(413/(O2262+459.6)))*(INDEX(FX_Input,AB$5,O$3*$Z$5+$AA$5-1)^0.5)*LOG10(INDEX(FX_Input,AB$5,O$3*$Z$5+$AA$5))-(1.854-(1042/(O2262+459.6)))*(INDEX(FX_Input,AB$5,O$3*$Z$5+$AA$5-1)^0.5)+((2416/(O2262+459.6)-2.013)*LOG10(INDEX(FX_Input,AB$5,O$3*$Z$5+$AA$5)))-(8742/(O2262+459.6))+15.64),EXP(INDEX(Antoines,MATCH(O2254,Antoine_Name,0),2)-INDEX(Antoines,MATCH(O2254,Antoine_Name,0),3)/(O2262+459.6))))),0)</f>
        <v>0</v>
      </c>
    </row>
    <row r="2276" spans="1:32" ht="17.149999999999999" x14ac:dyDescent="0.55000000000000004">
      <c r="B2276" t="str">
        <f t="shared" si="7240"/>
        <v>Portland</v>
      </c>
      <c r="C2276" t="s">
        <v>1391</v>
      </c>
      <c r="D2276">
        <f>D2275*D2258</f>
        <v>0</v>
      </c>
      <c r="E2276">
        <f t="shared" ref="E2276:O2276" si="7248">E2275*E2258</f>
        <v>0</v>
      </c>
      <c r="F2276">
        <f t="shared" si="7248"/>
        <v>0</v>
      </c>
      <c r="G2276">
        <f t="shared" si="7248"/>
        <v>0</v>
      </c>
      <c r="H2276">
        <f t="shared" si="7248"/>
        <v>0</v>
      </c>
      <c r="I2276">
        <f t="shared" si="7248"/>
        <v>0</v>
      </c>
      <c r="J2276">
        <f t="shared" si="7248"/>
        <v>0</v>
      </c>
      <c r="K2276">
        <f t="shared" si="7248"/>
        <v>0</v>
      </c>
      <c r="L2276">
        <f t="shared" si="7248"/>
        <v>0</v>
      </c>
      <c r="M2276">
        <f t="shared" si="7248"/>
        <v>0</v>
      </c>
      <c r="N2276">
        <f t="shared" si="7248"/>
        <v>0</v>
      </c>
      <c r="O2276">
        <f t="shared" si="7248"/>
        <v>0</v>
      </c>
    </row>
    <row r="2277" spans="1:32" ht="17.149999999999999" x14ac:dyDescent="0.55000000000000004">
      <c r="B2277" t="str">
        <f t="shared" si="7240"/>
        <v>Portland</v>
      </c>
      <c r="C2277" t="s">
        <v>1392</v>
      </c>
      <c r="D2277">
        <f>D2274+D2276</f>
        <v>4.739577185808354E-3</v>
      </c>
      <c r="E2277">
        <f t="shared" ref="E2277:O2277" si="7249">E2274+E2276</f>
        <v>4.8748667780818778E-3</v>
      </c>
      <c r="F2277">
        <f t="shared" si="7249"/>
        <v>5.119885034186122E-3</v>
      </c>
      <c r="G2277">
        <f t="shared" si="7249"/>
        <v>5.5846958573521795E-3</v>
      </c>
      <c r="H2277">
        <f t="shared" si="7249"/>
        <v>6.5274070972739821E-3</v>
      </c>
      <c r="I2277">
        <f t="shared" si="7249"/>
        <v>7.4199539958878279E-3</v>
      </c>
      <c r="J2277">
        <f t="shared" si="7249"/>
        <v>8.3358107202842254E-3</v>
      </c>
      <c r="K2277">
        <f t="shared" si="7249"/>
        <v>8.4605262729351115E-3</v>
      </c>
      <c r="L2277">
        <f t="shared" si="7249"/>
        <v>7.8399882233967533E-3</v>
      </c>
      <c r="M2277">
        <f t="shared" si="7249"/>
        <v>6.4173462075160911E-3</v>
      </c>
      <c r="N2277">
        <f t="shared" si="7249"/>
        <v>5.3015226887581056E-3</v>
      </c>
      <c r="O2277">
        <f t="shared" si="7249"/>
        <v>4.68970903600947E-3</v>
      </c>
    </row>
    <row r="2278" spans="1:32" ht="17.149999999999999" x14ac:dyDescent="0.55000000000000004">
      <c r="B2278" t="str">
        <f>B2272</f>
        <v>Portland</v>
      </c>
      <c r="C2278" t="s">
        <v>584</v>
      </c>
      <c r="D2278">
        <f>D2274/D2277</f>
        <v>1</v>
      </c>
      <c r="E2278">
        <f t="shared" ref="E2278:O2278" si="7250">E2274/E2277</f>
        <v>1</v>
      </c>
      <c r="F2278">
        <f t="shared" si="7250"/>
        <v>1</v>
      </c>
      <c r="G2278">
        <f t="shared" si="7250"/>
        <v>1</v>
      </c>
      <c r="H2278">
        <f t="shared" si="7250"/>
        <v>1</v>
      </c>
      <c r="I2278">
        <f t="shared" si="7250"/>
        <v>1</v>
      </c>
      <c r="J2278">
        <f t="shared" si="7250"/>
        <v>1</v>
      </c>
      <c r="K2278">
        <f t="shared" si="7250"/>
        <v>1</v>
      </c>
      <c r="L2278">
        <f t="shared" si="7250"/>
        <v>1</v>
      </c>
      <c r="M2278">
        <f t="shared" si="7250"/>
        <v>1</v>
      </c>
      <c r="N2278">
        <f t="shared" si="7250"/>
        <v>1</v>
      </c>
      <c r="O2278">
        <f t="shared" si="7250"/>
        <v>1</v>
      </c>
    </row>
    <row r="2279" spans="1:32" ht="17.149999999999999" x14ac:dyDescent="0.55000000000000004">
      <c r="B2279" t="str">
        <f>B2273</f>
        <v>Portland</v>
      </c>
      <c r="C2279" t="s">
        <v>585</v>
      </c>
      <c r="D2279">
        <f t="shared" ref="D2279:O2279" si="7251">INDEX(Phys_Prop,MATCH(D2252,Chem_List,0),3)</f>
        <v>130</v>
      </c>
      <c r="E2279">
        <f t="shared" si="7251"/>
        <v>130</v>
      </c>
      <c r="F2279">
        <f t="shared" si="7251"/>
        <v>130</v>
      </c>
      <c r="G2279">
        <f t="shared" si="7251"/>
        <v>130</v>
      </c>
      <c r="H2279">
        <f t="shared" si="7251"/>
        <v>130</v>
      </c>
      <c r="I2279">
        <f t="shared" si="7251"/>
        <v>130</v>
      </c>
      <c r="J2279">
        <f t="shared" si="7251"/>
        <v>130</v>
      </c>
      <c r="K2279">
        <f t="shared" si="7251"/>
        <v>130</v>
      </c>
      <c r="L2279">
        <f t="shared" si="7251"/>
        <v>130</v>
      </c>
      <c r="M2279">
        <f t="shared" si="7251"/>
        <v>130</v>
      </c>
      <c r="N2279">
        <f t="shared" si="7251"/>
        <v>130</v>
      </c>
      <c r="O2279">
        <f t="shared" si="7251"/>
        <v>130</v>
      </c>
    </row>
    <row r="2280" spans="1:32" ht="17.149999999999999" x14ac:dyDescent="0.55000000000000004">
      <c r="B2280" t="str">
        <f>B2279</f>
        <v>Portland</v>
      </c>
      <c r="C2280" t="s">
        <v>586</v>
      </c>
      <c r="D2280">
        <f>D2276/D2277</f>
        <v>0</v>
      </c>
      <c r="E2280">
        <f t="shared" ref="E2280:O2280" si="7252">E2276/E2277</f>
        <v>0</v>
      </c>
      <c r="F2280">
        <f t="shared" si="7252"/>
        <v>0</v>
      </c>
      <c r="G2280">
        <f t="shared" si="7252"/>
        <v>0</v>
      </c>
      <c r="H2280">
        <f t="shared" si="7252"/>
        <v>0</v>
      </c>
      <c r="I2280">
        <f t="shared" si="7252"/>
        <v>0</v>
      </c>
      <c r="J2280">
        <f t="shared" si="7252"/>
        <v>0</v>
      </c>
      <c r="K2280">
        <f t="shared" si="7252"/>
        <v>0</v>
      </c>
      <c r="L2280">
        <f t="shared" si="7252"/>
        <v>0</v>
      </c>
      <c r="M2280">
        <f t="shared" si="7252"/>
        <v>0</v>
      </c>
      <c r="N2280">
        <f t="shared" si="7252"/>
        <v>0</v>
      </c>
      <c r="O2280">
        <f t="shared" si="7252"/>
        <v>0</v>
      </c>
    </row>
    <row r="2281" spans="1:32" ht="17.149999999999999" x14ac:dyDescent="0.55000000000000004">
      <c r="B2281" t="str">
        <f t="shared" si="7240"/>
        <v>Portland</v>
      </c>
      <c r="C2281" t="s">
        <v>587</v>
      </c>
      <c r="D2281">
        <f t="shared" ref="D2281:O2281" si="7253">IFERROR(INDEX(Phys_Prop,MATCH(D2254,Chem_List,0),3),0)</f>
        <v>0</v>
      </c>
      <c r="E2281">
        <f t="shared" si="7253"/>
        <v>0</v>
      </c>
      <c r="F2281">
        <f t="shared" si="7253"/>
        <v>0</v>
      </c>
      <c r="G2281">
        <f t="shared" si="7253"/>
        <v>0</v>
      </c>
      <c r="H2281">
        <f t="shared" si="7253"/>
        <v>0</v>
      </c>
      <c r="I2281">
        <f t="shared" si="7253"/>
        <v>0</v>
      </c>
      <c r="J2281">
        <f t="shared" si="7253"/>
        <v>0</v>
      </c>
      <c r="K2281">
        <f t="shared" si="7253"/>
        <v>0</v>
      </c>
      <c r="L2281">
        <f t="shared" si="7253"/>
        <v>0</v>
      </c>
      <c r="M2281">
        <f t="shared" si="7253"/>
        <v>0</v>
      </c>
      <c r="N2281">
        <f t="shared" si="7253"/>
        <v>0</v>
      </c>
      <c r="O2281">
        <f t="shared" si="7253"/>
        <v>0</v>
      </c>
    </row>
    <row r="2282" spans="1:32" ht="17.149999999999999" x14ac:dyDescent="0.55000000000000004">
      <c r="A2282" s="11"/>
      <c r="B2282" s="11" t="str">
        <f t="shared" si="7240"/>
        <v>Portland</v>
      </c>
      <c r="C2282" s="11" t="s">
        <v>588</v>
      </c>
      <c r="D2282" s="11">
        <f>IFERROR(D2278*D2279+D2280*D2281,0)</f>
        <v>130</v>
      </c>
      <c r="E2282" s="11">
        <f t="shared" ref="E2282:O2282" si="7254">IFERROR(E2278*E2279+E2280*E2281,0)</f>
        <v>130</v>
      </c>
      <c r="F2282" s="11">
        <f t="shared" si="7254"/>
        <v>130</v>
      </c>
      <c r="G2282" s="11">
        <f t="shared" si="7254"/>
        <v>130</v>
      </c>
      <c r="H2282" s="11">
        <f t="shared" si="7254"/>
        <v>130</v>
      </c>
      <c r="I2282" s="11">
        <f t="shared" si="7254"/>
        <v>130</v>
      </c>
      <c r="J2282" s="11">
        <f t="shared" si="7254"/>
        <v>130</v>
      </c>
      <c r="K2282" s="11">
        <f t="shared" si="7254"/>
        <v>130</v>
      </c>
      <c r="L2282" s="11">
        <f t="shared" si="7254"/>
        <v>130</v>
      </c>
      <c r="M2282" s="11">
        <f t="shared" si="7254"/>
        <v>130</v>
      </c>
      <c r="N2282" s="11">
        <f t="shared" si="7254"/>
        <v>130</v>
      </c>
      <c r="O2282" s="11">
        <f t="shared" si="7254"/>
        <v>130</v>
      </c>
      <c r="P2282" s="11"/>
      <c r="Q2282" s="11"/>
      <c r="R2282" s="11"/>
      <c r="S2282" s="11"/>
      <c r="T2282" s="11"/>
      <c r="U2282" s="11"/>
      <c r="V2282" s="11"/>
      <c r="W2282" s="11"/>
      <c r="X2282" s="11"/>
      <c r="Y2282" s="11"/>
      <c r="Z2282" s="11"/>
      <c r="AA2282" s="11"/>
      <c r="AB2282" s="11"/>
      <c r="AC2282" s="11"/>
      <c r="AD2282" s="11"/>
      <c r="AE2282" s="11"/>
      <c r="AF2282" s="11"/>
    </row>
  </sheetData>
  <sheetProtection algorithmName="SHA-512" hashValue="gLgpQPDt7nOyVKss5DnOtDHCXsUeFlMiA+Po4mxWo83J3/7oZn4FwT7o8cuIR4zYuwY4Yn1VznmA7lgt1n/rWg==" saltValue="AD9e+VpqNioompUAF0qNkw==" spinCount="100000" sheet="1" objects="1" scenarios="1"/>
  <phoneticPr fontId="11" type="noConversion"/>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10499-6E6D-4EAD-A9D9-3B5687526991}">
  <sheetPr codeName="Sheet1">
    <tabColor theme="1"/>
    <pageSetUpPr fitToPage="1"/>
  </sheetPr>
  <dimension ref="C3:AA89"/>
  <sheetViews>
    <sheetView topLeftCell="C1" workbookViewId="0">
      <selection activeCell="C18" sqref="C18:K18"/>
    </sheetView>
  </sheetViews>
  <sheetFormatPr defaultColWidth="8.84375" defaultRowHeight="14.6" x14ac:dyDescent="0.4"/>
  <cols>
    <col min="3" max="3" width="13.4609375" bestFit="1" customWidth="1"/>
    <col min="4" max="4" width="14.4609375" bestFit="1" customWidth="1"/>
    <col min="5" max="5" width="28" customWidth="1"/>
    <col min="6" max="10" width="18" customWidth="1"/>
    <col min="11" max="11" width="20" customWidth="1"/>
    <col min="12" max="12" width="18.69140625" bestFit="1" customWidth="1"/>
    <col min="13" max="13" width="18.69140625" customWidth="1"/>
    <col min="14" max="14" width="10.15234375" customWidth="1"/>
    <col min="15" max="15" width="9.15234375" hidden="1" customWidth="1"/>
    <col min="16" max="16" width="11.3046875" hidden="1" customWidth="1"/>
    <col min="17" max="20" width="13.69140625" hidden="1" customWidth="1"/>
    <col min="21" max="24" width="9.15234375" hidden="1" customWidth="1"/>
    <col min="25" max="26" width="0" hidden="1" customWidth="1"/>
  </cols>
  <sheetData>
    <row r="3" spans="3:27" ht="19.5" customHeight="1" thickBot="1" x14ac:dyDescent="0.45">
      <c r="C3" s="441" t="s">
        <v>2013</v>
      </c>
      <c r="D3" s="441"/>
      <c r="E3" s="441"/>
      <c r="F3" s="441"/>
      <c r="G3" s="441"/>
      <c r="H3" s="441"/>
      <c r="I3" s="441"/>
      <c r="J3" s="441"/>
      <c r="K3" s="441"/>
    </row>
    <row r="4" spans="3:27" ht="15" x14ac:dyDescent="0.4">
      <c r="C4" s="437" t="s">
        <v>2006</v>
      </c>
      <c r="D4" s="439" t="s">
        <v>1880</v>
      </c>
      <c r="E4" s="442" t="s">
        <v>1881</v>
      </c>
      <c r="F4" s="435" t="s">
        <v>2009</v>
      </c>
      <c r="G4" s="436"/>
      <c r="H4" s="383" t="s">
        <v>231</v>
      </c>
      <c r="I4" s="383" t="s">
        <v>1747</v>
      </c>
      <c r="J4" s="442" t="s">
        <v>2010</v>
      </c>
      <c r="K4" s="349" t="s">
        <v>2011</v>
      </c>
      <c r="L4" s="362" t="s">
        <v>2023</v>
      </c>
      <c r="M4" s="362" t="s">
        <v>2040</v>
      </c>
      <c r="N4" s="313"/>
      <c r="O4" s="313" t="s">
        <v>1897</v>
      </c>
      <c r="P4" s="313"/>
      <c r="R4" s="313" t="s">
        <v>1901</v>
      </c>
      <c r="T4" s="313" t="s">
        <v>1899</v>
      </c>
      <c r="U4" t="s">
        <v>1894</v>
      </c>
    </row>
    <row r="5" spans="3:27" ht="15.45" thickBot="1" x14ac:dyDescent="0.45">
      <c r="C5" s="438"/>
      <c r="D5" s="440"/>
      <c r="E5" s="443"/>
      <c r="F5" s="348" t="s">
        <v>2008</v>
      </c>
      <c r="G5" s="348" t="s">
        <v>20</v>
      </c>
      <c r="H5" s="348" t="s">
        <v>19</v>
      </c>
      <c r="I5" s="348" t="s">
        <v>19</v>
      </c>
      <c r="J5" s="443"/>
      <c r="K5" s="350" t="s">
        <v>2012</v>
      </c>
      <c r="L5" s="350" t="s">
        <v>2008</v>
      </c>
      <c r="M5" s="350" t="s">
        <v>1888</v>
      </c>
      <c r="N5" s="313"/>
      <c r="O5" t="s">
        <v>1821</v>
      </c>
      <c r="P5" t="s">
        <v>2007</v>
      </c>
      <c r="Q5" t="s">
        <v>1898</v>
      </c>
      <c r="R5" t="s">
        <v>1902</v>
      </c>
      <c r="S5" t="s">
        <v>1903</v>
      </c>
      <c r="U5" t="s">
        <v>1821</v>
      </c>
      <c r="V5" t="s">
        <v>1900</v>
      </c>
      <c r="W5" t="s">
        <v>1895</v>
      </c>
      <c r="X5" t="s">
        <v>1896</v>
      </c>
    </row>
    <row r="6" spans="3:27" ht="15.45" x14ac:dyDescent="0.4">
      <c r="C6" s="314" t="str" cm="1">
        <f t="array" ref="C6">INDEX(FLT_Cons,O6,P6)</f>
        <v>FLT - 1</v>
      </c>
      <c r="D6" s="423" t="str" cm="1">
        <f t="array" ref="D6">INDEX(FLT_Cons,O6,Q6)</f>
        <v>EXTANK 105</v>
      </c>
      <c r="E6" s="352" t="s">
        <v>166</v>
      </c>
      <c r="F6" s="337">
        <v>137323</v>
      </c>
      <c r="G6" s="337">
        <f>F6*42</f>
        <v>5767566</v>
      </c>
      <c r="H6" s="336">
        <v>48</v>
      </c>
      <c r="I6" s="337">
        <v>144</v>
      </c>
      <c r="J6" s="352">
        <v>1</v>
      </c>
      <c r="K6" s="385">
        <f>J6*F6</f>
        <v>137323</v>
      </c>
      <c r="L6" s="386">
        <f>K6*12</f>
        <v>1647876</v>
      </c>
      <c r="M6" s="320" cm="1">
        <f t="array" ref="M6">INDEX(Flt_Emis,O6,18)</f>
        <v>2.7616509500929762</v>
      </c>
      <c r="N6" s="354"/>
      <c r="O6">
        <v>1</v>
      </c>
      <c r="P6">
        <v>1</v>
      </c>
      <c r="Q6">
        <v>2</v>
      </c>
      <c r="R6">
        <v>11</v>
      </c>
      <c r="S6">
        <v>13</v>
      </c>
      <c r="T6">
        <v>11</v>
      </c>
      <c r="U6">
        <v>1</v>
      </c>
      <c r="V6">
        <v>1</v>
      </c>
      <c r="AA6" s="34"/>
    </row>
    <row r="7" spans="3:27" ht="15.45" x14ac:dyDescent="0.4">
      <c r="C7" s="321" t="str" cm="1">
        <f t="array" ref="C7">INDEX(FLT_Cons,O7,P7)</f>
        <v>FLT - 2</v>
      </c>
      <c r="D7" s="424" t="str" cm="1">
        <f t="array" ref="D7">INDEX(FLT_Cons,O7,Q7)</f>
        <v>EXTANK 106</v>
      </c>
      <c r="E7" s="363" t="s">
        <v>166</v>
      </c>
      <c r="F7" s="222">
        <v>151066</v>
      </c>
      <c r="G7" s="222">
        <f t="shared" ref="G7:G15" si="0">F7*42</f>
        <v>6344772</v>
      </c>
      <c r="H7" s="282">
        <v>48</v>
      </c>
      <c r="I7" s="222">
        <v>150</v>
      </c>
      <c r="J7" s="221">
        <f>J6</f>
        <v>1</v>
      </c>
      <c r="K7" s="387">
        <f t="shared" ref="K7:K15" si="1">J7*F7</f>
        <v>151066</v>
      </c>
      <c r="L7" s="388">
        <f t="shared" ref="L7:L15" si="2">K7*12</f>
        <v>1812792</v>
      </c>
      <c r="M7" s="304" cm="1">
        <f t="array" ref="M7">INDEX(Flt_Emis,O7,18)</f>
        <v>2.7842700054136604</v>
      </c>
      <c r="N7" s="361"/>
      <c r="O7">
        <f>O6+1</f>
        <v>2</v>
      </c>
      <c r="P7">
        <v>1</v>
      </c>
      <c r="Q7">
        <f>Q6</f>
        <v>2</v>
      </c>
      <c r="R7">
        <f>R6+12</f>
        <v>23</v>
      </c>
      <c r="S7">
        <v>13</v>
      </c>
      <c r="T7">
        <f>T6+12</f>
        <v>23</v>
      </c>
      <c r="U7">
        <f>U6+1</f>
        <v>2</v>
      </c>
      <c r="V7">
        <v>1</v>
      </c>
      <c r="AA7" s="34"/>
    </row>
    <row r="8" spans="3:27" ht="15.75" customHeight="1" x14ac:dyDescent="0.4">
      <c r="C8" s="321" t="str" cm="1">
        <f t="array" ref="C8">INDEX(FLT_Cons,O8,P8)</f>
        <v>FLT - 3</v>
      </c>
      <c r="D8" s="321" t="str" cm="1">
        <f t="array" ref="D8">INDEX(FLT_Cons,O8,Q8)</f>
        <v>EXTANK 120</v>
      </c>
      <c r="E8" s="363" t="s">
        <v>1988</v>
      </c>
      <c r="F8" s="222">
        <v>4583</v>
      </c>
      <c r="G8" s="222">
        <f t="shared" si="0"/>
        <v>192486</v>
      </c>
      <c r="H8" s="282">
        <v>32</v>
      </c>
      <c r="I8" s="222">
        <v>32</v>
      </c>
      <c r="J8" s="221">
        <f t="shared" ref="J8:J15" si="3">J7</f>
        <v>1</v>
      </c>
      <c r="K8" s="387">
        <f t="shared" si="1"/>
        <v>4583</v>
      </c>
      <c r="L8" s="388">
        <f t="shared" si="2"/>
        <v>54996</v>
      </c>
      <c r="M8" s="304" cm="1">
        <f t="array" ref="M8">INDEX(Flt_Emis,O8,18)</f>
        <v>1.2587481127878499E-2</v>
      </c>
      <c r="N8" s="361"/>
      <c r="O8">
        <f t="shared" ref="O8:O15" si="4">O7+1</f>
        <v>3</v>
      </c>
      <c r="P8">
        <v>1</v>
      </c>
      <c r="Q8">
        <f t="shared" ref="Q8:Q15" si="5">Q7</f>
        <v>2</v>
      </c>
      <c r="R8">
        <f t="shared" ref="R8:R15" si="6">R7+12</f>
        <v>35</v>
      </c>
      <c r="S8">
        <v>13</v>
      </c>
      <c r="T8">
        <f t="shared" ref="T8:T15" si="7">T7+12</f>
        <v>35</v>
      </c>
      <c r="U8">
        <f t="shared" ref="U8:U15" si="8">U7+1</f>
        <v>3</v>
      </c>
      <c r="V8">
        <v>1</v>
      </c>
    </row>
    <row r="9" spans="3:27" ht="15.45" x14ac:dyDescent="0.4">
      <c r="C9" s="321" t="str" cm="1">
        <f t="array" ref="C9">INDEX(FLT_Cons,O9,P9)</f>
        <v>FLT - 4</v>
      </c>
      <c r="D9" s="424" t="str" cm="1">
        <f t="array" ref="D9">INDEX(FLT_Cons,O9,Q9)</f>
        <v>INTANK 63</v>
      </c>
      <c r="E9" s="363" t="s">
        <v>166</v>
      </c>
      <c r="F9" s="222">
        <v>130521</v>
      </c>
      <c r="G9" s="222">
        <f t="shared" si="0"/>
        <v>5481882</v>
      </c>
      <c r="H9" s="282">
        <v>45</v>
      </c>
      <c r="I9" s="222">
        <v>144</v>
      </c>
      <c r="J9" s="221">
        <f t="shared" si="3"/>
        <v>1</v>
      </c>
      <c r="K9" s="387">
        <f t="shared" si="1"/>
        <v>130521</v>
      </c>
      <c r="L9" s="388">
        <f t="shared" si="2"/>
        <v>1566252</v>
      </c>
      <c r="M9" s="233" cm="1">
        <f t="array" ref="M9">INDEX(Flt_Emis,O9,18)</f>
        <v>3.7619707257618158</v>
      </c>
      <c r="N9" s="361"/>
      <c r="O9">
        <f t="shared" si="4"/>
        <v>4</v>
      </c>
      <c r="P9">
        <v>1</v>
      </c>
      <c r="Q9">
        <f t="shared" si="5"/>
        <v>2</v>
      </c>
      <c r="R9">
        <f t="shared" si="6"/>
        <v>47</v>
      </c>
      <c r="S9">
        <v>13</v>
      </c>
      <c r="T9">
        <f t="shared" si="7"/>
        <v>47</v>
      </c>
      <c r="U9">
        <f t="shared" si="8"/>
        <v>4</v>
      </c>
      <c r="V9">
        <v>1</v>
      </c>
      <c r="AA9" s="34"/>
    </row>
    <row r="10" spans="3:27" ht="15.45" x14ac:dyDescent="0.4">
      <c r="C10" s="321" t="str" cm="1">
        <f t="array" ref="C10">INDEX(FLT_Cons,O10,P10)</f>
        <v>FLT - 5</v>
      </c>
      <c r="D10" s="424" t="str" cm="1">
        <f t="array" ref="D10">INDEX(FLT_Cons,O10,Q10)</f>
        <v>INTANK 68</v>
      </c>
      <c r="E10" s="364" t="s">
        <v>166</v>
      </c>
      <c r="F10" s="230">
        <v>81087</v>
      </c>
      <c r="G10" s="230">
        <f t="shared" si="0"/>
        <v>3405654</v>
      </c>
      <c r="H10" s="232">
        <v>39.08</v>
      </c>
      <c r="I10" s="230">
        <v>120</v>
      </c>
      <c r="J10" s="229">
        <f t="shared" si="3"/>
        <v>1</v>
      </c>
      <c r="K10" s="389">
        <f t="shared" si="1"/>
        <v>81087</v>
      </c>
      <c r="L10" s="390">
        <f t="shared" si="2"/>
        <v>973044</v>
      </c>
      <c r="M10" s="233" cm="1">
        <f t="array" ref="M10">INDEX(Flt_Emis,O10,18)</f>
        <v>2.9126991440197356</v>
      </c>
      <c r="N10" s="354"/>
      <c r="O10">
        <f t="shared" si="4"/>
        <v>5</v>
      </c>
      <c r="P10">
        <v>1</v>
      </c>
      <c r="Q10">
        <f t="shared" si="5"/>
        <v>2</v>
      </c>
      <c r="R10">
        <f t="shared" si="6"/>
        <v>59</v>
      </c>
      <c r="S10">
        <v>13</v>
      </c>
      <c r="T10">
        <f t="shared" si="7"/>
        <v>59</v>
      </c>
      <c r="U10">
        <f t="shared" si="8"/>
        <v>5</v>
      </c>
      <c r="V10">
        <v>1</v>
      </c>
      <c r="AA10" s="34"/>
    </row>
    <row r="11" spans="3:27" ht="15.45" x14ac:dyDescent="0.4">
      <c r="C11" s="321" t="str" cm="1">
        <f t="array" ref="C11">INDEX(FLT_Cons,O11,P11)</f>
        <v>FLT - 6</v>
      </c>
      <c r="D11" s="429" t="str" cm="1">
        <f t="array" ref="D11">INDEX(FLT_Cons,O11,Q11)</f>
        <v>INTANK 71</v>
      </c>
      <c r="E11" s="364" t="s">
        <v>190</v>
      </c>
      <c r="F11" s="230">
        <v>35808</v>
      </c>
      <c r="G11" s="230">
        <f t="shared" si="0"/>
        <v>1503936</v>
      </c>
      <c r="H11" s="232">
        <v>40</v>
      </c>
      <c r="I11" s="230">
        <v>80</v>
      </c>
      <c r="J11" s="229">
        <f t="shared" si="3"/>
        <v>1</v>
      </c>
      <c r="K11" s="389">
        <f t="shared" si="1"/>
        <v>35808</v>
      </c>
      <c r="L11" s="390">
        <f t="shared" si="2"/>
        <v>429696</v>
      </c>
      <c r="M11" s="233" cm="1">
        <f t="array" ref="M11">INDEX(Flt_Emis,O11,18)</f>
        <v>1.6339149865655798</v>
      </c>
      <c r="N11" s="354"/>
      <c r="O11">
        <f t="shared" si="4"/>
        <v>6</v>
      </c>
      <c r="P11">
        <v>1</v>
      </c>
      <c r="Q11">
        <f t="shared" si="5"/>
        <v>2</v>
      </c>
      <c r="R11">
        <f t="shared" si="6"/>
        <v>71</v>
      </c>
      <c r="S11">
        <v>13</v>
      </c>
      <c r="T11">
        <f t="shared" si="7"/>
        <v>71</v>
      </c>
      <c r="U11">
        <f t="shared" si="8"/>
        <v>6</v>
      </c>
      <c r="V11">
        <v>1</v>
      </c>
    </row>
    <row r="12" spans="3:27" ht="15.45" x14ac:dyDescent="0.4">
      <c r="C12" s="321" t="str" cm="1">
        <f t="array" ref="C12">INDEX(FLT_Cons,O12,P12)</f>
        <v>FLT - 7</v>
      </c>
      <c r="D12" s="321" t="str" cm="1">
        <f t="array" ref="D12">INDEX(FLT_Cons,O12,Q12)</f>
        <v>INTANK 95</v>
      </c>
      <c r="E12" s="364" t="s">
        <v>1988</v>
      </c>
      <c r="F12" s="230">
        <v>9668</v>
      </c>
      <c r="G12" s="230">
        <f t="shared" si="0"/>
        <v>406056</v>
      </c>
      <c r="H12" s="232">
        <v>30</v>
      </c>
      <c r="I12" s="230">
        <v>48</v>
      </c>
      <c r="J12" s="229">
        <f t="shared" si="3"/>
        <v>1</v>
      </c>
      <c r="K12" s="389">
        <f t="shared" si="1"/>
        <v>9668</v>
      </c>
      <c r="L12" s="390">
        <f t="shared" si="2"/>
        <v>116016</v>
      </c>
      <c r="M12" s="233" cm="1">
        <f t="array" ref="M12">INDEX(Flt_Emis,O12,18)</f>
        <v>1.842064687779001E-2</v>
      </c>
      <c r="N12" s="354"/>
      <c r="O12">
        <f t="shared" si="4"/>
        <v>7</v>
      </c>
      <c r="P12">
        <v>1</v>
      </c>
      <c r="Q12">
        <f t="shared" si="5"/>
        <v>2</v>
      </c>
      <c r="R12">
        <f t="shared" si="6"/>
        <v>83</v>
      </c>
      <c r="S12">
        <v>13</v>
      </c>
      <c r="T12">
        <f t="shared" si="7"/>
        <v>83</v>
      </c>
      <c r="U12">
        <f t="shared" si="8"/>
        <v>7</v>
      </c>
      <c r="V12">
        <v>1</v>
      </c>
    </row>
    <row r="13" spans="3:27" ht="15.45" x14ac:dyDescent="0.4">
      <c r="C13" s="321" t="str" cm="1">
        <f t="array" ref="C13">INDEX(FLT_Cons,O13,P13)</f>
        <v>FLT - 8</v>
      </c>
      <c r="D13" s="424" t="str" cm="1">
        <f t="array" ref="D13">INDEX(FLT_Cons,O13,Q13)</f>
        <v>INTANK 104</v>
      </c>
      <c r="E13" s="364" t="s">
        <v>166</v>
      </c>
      <c r="F13" s="230">
        <v>133421</v>
      </c>
      <c r="G13" s="230">
        <f t="shared" si="0"/>
        <v>5603682</v>
      </c>
      <c r="H13" s="232">
        <v>46</v>
      </c>
      <c r="I13" s="230">
        <v>144</v>
      </c>
      <c r="J13" s="229">
        <f t="shared" si="3"/>
        <v>1</v>
      </c>
      <c r="K13" s="389">
        <f t="shared" si="1"/>
        <v>133421</v>
      </c>
      <c r="L13" s="390">
        <f t="shared" si="2"/>
        <v>1601052</v>
      </c>
      <c r="M13" s="233" cm="1">
        <f t="array" ref="M13">INDEX(Flt_Emis,O13,18)</f>
        <v>4.5938269308358075</v>
      </c>
      <c r="N13" s="354"/>
      <c r="O13">
        <f t="shared" si="4"/>
        <v>8</v>
      </c>
      <c r="P13">
        <v>1</v>
      </c>
      <c r="Q13">
        <f t="shared" si="5"/>
        <v>2</v>
      </c>
      <c r="R13">
        <f t="shared" si="6"/>
        <v>95</v>
      </c>
      <c r="S13">
        <v>13</v>
      </c>
      <c r="T13">
        <f t="shared" si="7"/>
        <v>95</v>
      </c>
      <c r="U13">
        <f t="shared" si="8"/>
        <v>8</v>
      </c>
      <c r="V13">
        <v>1</v>
      </c>
      <c r="AA13" s="34"/>
    </row>
    <row r="14" spans="3:27" ht="15.45" x14ac:dyDescent="0.4">
      <c r="C14" s="321" t="str" cm="1">
        <f t="array" ref="C14">INDEX(FLT_Cons,O14,P14)</f>
        <v>FLT - 9</v>
      </c>
      <c r="D14" s="321" t="str" cm="1">
        <f t="array" ref="D14">INDEX(FLT_Cons,O14,Q14)</f>
        <v>INTANK 114</v>
      </c>
      <c r="E14" s="364" t="s">
        <v>1988</v>
      </c>
      <c r="F14" s="230">
        <v>15129</v>
      </c>
      <c r="G14" s="230">
        <f t="shared" si="0"/>
        <v>635418</v>
      </c>
      <c r="H14" s="232">
        <v>40</v>
      </c>
      <c r="I14" s="230">
        <v>52</v>
      </c>
      <c r="J14" s="229">
        <f t="shared" si="3"/>
        <v>1</v>
      </c>
      <c r="K14" s="389">
        <f t="shared" si="1"/>
        <v>15129</v>
      </c>
      <c r="L14" s="390">
        <f t="shared" si="2"/>
        <v>181548</v>
      </c>
      <c r="M14" s="233" cm="1">
        <f t="array" ref="M14">INDEX(Flt_Emis,O14,18)</f>
        <v>2.3393392145466919E-2</v>
      </c>
      <c r="N14" s="354"/>
      <c r="O14">
        <f t="shared" si="4"/>
        <v>9</v>
      </c>
      <c r="P14">
        <v>1</v>
      </c>
      <c r="Q14">
        <f t="shared" si="5"/>
        <v>2</v>
      </c>
      <c r="R14">
        <f t="shared" si="6"/>
        <v>107</v>
      </c>
      <c r="S14">
        <v>13</v>
      </c>
      <c r="T14">
        <f t="shared" si="7"/>
        <v>107</v>
      </c>
      <c r="U14">
        <f t="shared" si="8"/>
        <v>9</v>
      </c>
      <c r="V14">
        <v>1</v>
      </c>
    </row>
    <row r="15" spans="3:27" ht="15.9" thickBot="1" x14ac:dyDescent="0.45">
      <c r="C15" s="326" t="str" cm="1">
        <f t="array" ref="C15">INDEX(FLT_Cons,O15,P15)</f>
        <v>FLT - 10</v>
      </c>
      <c r="D15" s="425" t="str" cm="1">
        <f t="array" ref="D15">INDEX(FLT_Cons,O15,Q15)</f>
        <v>INTANK 130</v>
      </c>
      <c r="E15" s="365" t="s">
        <v>166</v>
      </c>
      <c r="F15" s="351">
        <v>80568</v>
      </c>
      <c r="G15" s="351">
        <f t="shared" si="0"/>
        <v>3383856</v>
      </c>
      <c r="H15" s="400">
        <v>40</v>
      </c>
      <c r="I15" s="351">
        <v>120</v>
      </c>
      <c r="J15" s="327">
        <f t="shared" si="3"/>
        <v>1</v>
      </c>
      <c r="K15" s="391">
        <f t="shared" si="1"/>
        <v>80568</v>
      </c>
      <c r="L15" s="392">
        <f t="shared" si="2"/>
        <v>966816</v>
      </c>
      <c r="M15" s="332" cm="1">
        <f t="array" ref="M15">INDEX(Flt_Emis,O15,18)</f>
        <v>3.0320829800113724</v>
      </c>
      <c r="N15" s="354"/>
      <c r="O15">
        <f t="shared" si="4"/>
        <v>10</v>
      </c>
      <c r="P15">
        <v>1</v>
      </c>
      <c r="Q15">
        <f t="shared" si="5"/>
        <v>2</v>
      </c>
      <c r="R15">
        <f t="shared" si="6"/>
        <v>119</v>
      </c>
      <c r="S15">
        <v>13</v>
      </c>
      <c r="T15">
        <f t="shared" si="7"/>
        <v>119</v>
      </c>
      <c r="U15">
        <f t="shared" si="8"/>
        <v>10</v>
      </c>
      <c r="V15">
        <v>1</v>
      </c>
      <c r="AA15" s="34"/>
    </row>
    <row r="16" spans="3:27" ht="15.45" x14ac:dyDescent="0.4">
      <c r="C16" s="353"/>
      <c r="D16" s="353"/>
      <c r="E16" s="354"/>
      <c r="F16" s="355"/>
      <c r="G16" s="355"/>
      <c r="H16" s="355"/>
      <c r="I16" s="355"/>
      <c r="J16" s="354"/>
      <c r="K16" s="354"/>
      <c r="L16" s="404" t="s">
        <v>2041</v>
      </c>
      <c r="M16" s="405">
        <f>SUM(M6:M15)</f>
        <v>21.534817242852085</v>
      </c>
      <c r="AA16" s="34"/>
    </row>
    <row r="17" spans="3:18" ht="15.45" x14ac:dyDescent="0.4">
      <c r="C17" s="353"/>
      <c r="D17" s="353"/>
      <c r="E17" s="354"/>
      <c r="F17" s="355"/>
      <c r="G17" s="355"/>
      <c r="H17" s="355"/>
      <c r="I17" s="355"/>
      <c r="J17" s="354"/>
      <c r="K17" s="354"/>
    </row>
    <row r="18" spans="3:18" ht="18" thickBot="1" x14ac:dyDescent="0.45">
      <c r="C18" s="441" t="s">
        <v>2014</v>
      </c>
      <c r="D18" s="441"/>
      <c r="E18" s="441"/>
      <c r="F18" s="441"/>
      <c r="G18" s="441"/>
      <c r="H18" s="441"/>
      <c r="I18" s="441"/>
      <c r="J18" s="441"/>
      <c r="K18" s="441"/>
    </row>
    <row r="19" spans="3:18" ht="16.5" customHeight="1" x14ac:dyDescent="0.4">
      <c r="C19" s="437" t="s">
        <v>2006</v>
      </c>
      <c r="D19" s="439" t="s">
        <v>1880</v>
      </c>
      <c r="E19" s="442" t="s">
        <v>1881</v>
      </c>
      <c r="F19" s="435" t="s">
        <v>2009</v>
      </c>
      <c r="G19" s="436"/>
      <c r="H19" s="383" t="s">
        <v>231</v>
      </c>
      <c r="I19" s="383" t="s">
        <v>1747</v>
      </c>
      <c r="J19" s="442" t="s">
        <v>2010</v>
      </c>
      <c r="K19" s="349" t="s">
        <v>2011</v>
      </c>
      <c r="L19" s="349" t="s">
        <v>2023</v>
      </c>
      <c r="M19" s="362" t="s">
        <v>2040</v>
      </c>
      <c r="O19" t="s">
        <v>1975</v>
      </c>
      <c r="R19" t="s">
        <v>1976</v>
      </c>
    </row>
    <row r="20" spans="3:18" ht="15.45" thickBot="1" x14ac:dyDescent="0.45">
      <c r="C20" s="438"/>
      <c r="D20" s="440"/>
      <c r="E20" s="443"/>
      <c r="F20" s="348" t="s">
        <v>2008</v>
      </c>
      <c r="G20" s="348" t="s">
        <v>20</v>
      </c>
      <c r="H20" s="348" t="s">
        <v>19</v>
      </c>
      <c r="I20" s="348" t="s">
        <v>19</v>
      </c>
      <c r="J20" s="443"/>
      <c r="K20" s="350" t="s">
        <v>2012</v>
      </c>
      <c r="L20" s="350" t="s">
        <v>2008</v>
      </c>
      <c r="M20" s="350" t="s">
        <v>1888</v>
      </c>
      <c r="P20" t="s">
        <v>2007</v>
      </c>
      <c r="Q20" t="s">
        <v>237</v>
      </c>
    </row>
    <row r="21" spans="3:18" ht="15.45" x14ac:dyDescent="0.4">
      <c r="C21" s="239" t="str" cm="1">
        <f t="array" ref="C21">INDEX(FX_Input,O21,1)</f>
        <v>FX - 1</v>
      </c>
      <c r="D21" s="426" t="str">
        <f>INDEX(FX_Input,O21,Q21)</f>
        <v>FIXTANK 66</v>
      </c>
      <c r="E21" s="366" t="s">
        <v>1988</v>
      </c>
      <c r="F21" s="228">
        <v>80568</v>
      </c>
      <c r="G21" s="228">
        <f t="shared" ref="G21:G84" si="9">F21*42</f>
        <v>3383856</v>
      </c>
      <c r="H21" s="240">
        <v>40</v>
      </c>
      <c r="I21" s="240">
        <v>120</v>
      </c>
      <c r="J21" s="430">
        <v>1</v>
      </c>
      <c r="K21" s="393">
        <f t="shared" ref="K21:K75" si="10">J21*F21</f>
        <v>80568</v>
      </c>
      <c r="L21" s="393">
        <f>K21*12</f>
        <v>966816</v>
      </c>
      <c r="M21" s="246" cm="1">
        <f t="array" ref="M21">INDEX(FX_Emis,R21,18)</f>
        <v>0.61220725061480508</v>
      </c>
      <c r="O21">
        <v>1</v>
      </c>
      <c r="P21">
        <v>1</v>
      </c>
      <c r="Q21">
        <v>2</v>
      </c>
      <c r="R21">
        <v>1</v>
      </c>
    </row>
    <row r="22" spans="3:18" ht="15.45" x14ac:dyDescent="0.4">
      <c r="C22" s="247" t="str" cm="1">
        <f t="array" ref="C22">INDEX(FX_Input,O22,1)</f>
        <v>FX - 2</v>
      </c>
      <c r="D22" s="427" t="str" cm="1">
        <f t="array" ref="D22">INDEX(FX_Input,O22,Q22)</f>
        <v>FIXTANK 67</v>
      </c>
      <c r="E22" s="363" t="s">
        <v>1988</v>
      </c>
      <c r="F22" s="222">
        <v>80568</v>
      </c>
      <c r="G22" s="222">
        <f t="shared" si="9"/>
        <v>3383856</v>
      </c>
      <c r="H22" s="282">
        <v>40</v>
      </c>
      <c r="I22" s="282">
        <v>120</v>
      </c>
      <c r="J22" s="221">
        <f>J21</f>
        <v>1</v>
      </c>
      <c r="K22" s="387">
        <f t="shared" si="10"/>
        <v>80568</v>
      </c>
      <c r="L22" s="387">
        <f t="shared" ref="L22:L87" si="11">K22*12</f>
        <v>966816</v>
      </c>
      <c r="M22" s="253" cm="1">
        <f t="array" ref="M22">INDEX(FX_Emis,R22,18)</f>
        <v>0.61220725061480508</v>
      </c>
      <c r="O22">
        <f>O21+2</f>
        <v>3</v>
      </c>
      <c r="P22">
        <f>P21</f>
        <v>1</v>
      </c>
      <c r="Q22">
        <v>2</v>
      </c>
      <c r="R22">
        <f>R21+1</f>
        <v>2</v>
      </c>
    </row>
    <row r="23" spans="3:18" ht="15.45" x14ac:dyDescent="0.4">
      <c r="C23" s="247" t="str" cm="1">
        <f t="array" ref="C23">INDEX(FX_Input,O23,1)</f>
        <v>FX - 3</v>
      </c>
      <c r="D23" s="427" t="str" cm="1">
        <f t="array" ref="D23">INDEX(FX_Input,O23,Q23)</f>
        <v>FIXTANK 69</v>
      </c>
      <c r="E23" s="363" t="s">
        <v>1988</v>
      </c>
      <c r="F23" s="222">
        <v>56285</v>
      </c>
      <c r="G23" s="222">
        <f t="shared" si="9"/>
        <v>2363970</v>
      </c>
      <c r="H23" s="282">
        <v>40</v>
      </c>
      <c r="I23" s="282">
        <v>100</v>
      </c>
      <c r="J23" s="221">
        <f t="shared" ref="J23:J75" si="12">J22</f>
        <v>1</v>
      </c>
      <c r="K23" s="387">
        <f t="shared" si="10"/>
        <v>56285</v>
      </c>
      <c r="L23" s="387">
        <f t="shared" si="11"/>
        <v>675420</v>
      </c>
      <c r="M23" s="253" cm="1">
        <f t="array" ref="M23">INDEX(FX_Emis,R23,18)</f>
        <v>0.42579919980894282</v>
      </c>
      <c r="O23">
        <f t="shared" ref="O23:O87" si="13">O22+2</f>
        <v>5</v>
      </c>
      <c r="P23">
        <f t="shared" ref="P23:P76" si="14">P22</f>
        <v>1</v>
      </c>
      <c r="Q23">
        <v>2</v>
      </c>
      <c r="R23">
        <f t="shared" ref="R23:R87" si="15">R22+1</f>
        <v>3</v>
      </c>
    </row>
    <row r="24" spans="3:18" ht="15.45" x14ac:dyDescent="0.4">
      <c r="C24" s="247" t="str" cm="1">
        <f t="array" ref="C24">INDEX(FX_Input,O24,1)</f>
        <v>FX - 4</v>
      </c>
      <c r="D24" s="247" t="str" cm="1">
        <f t="array" ref="D24">INDEX(FX_Input,O24,Q24)</f>
        <v>FIXTANK 70</v>
      </c>
      <c r="E24" s="363" t="s">
        <v>1988</v>
      </c>
      <c r="F24" s="222">
        <v>8716</v>
      </c>
      <c r="G24" s="222">
        <f t="shared" si="9"/>
        <v>366072</v>
      </c>
      <c r="H24" s="282">
        <v>48.33</v>
      </c>
      <c r="I24" s="282">
        <v>36</v>
      </c>
      <c r="J24" s="221">
        <f t="shared" si="12"/>
        <v>1</v>
      </c>
      <c r="K24" s="387">
        <f t="shared" si="10"/>
        <v>8716</v>
      </c>
      <c r="L24" s="387">
        <f t="shared" si="11"/>
        <v>104592</v>
      </c>
      <c r="M24" s="253" cm="1">
        <f t="array" ref="M24">INDEX(FX_Emis,R24,18)</f>
        <v>4.3572558589870983E-2</v>
      </c>
      <c r="O24">
        <f t="shared" si="13"/>
        <v>7</v>
      </c>
      <c r="P24">
        <f t="shared" si="14"/>
        <v>1</v>
      </c>
      <c r="Q24">
        <v>2</v>
      </c>
      <c r="R24">
        <f t="shared" si="15"/>
        <v>4</v>
      </c>
    </row>
    <row r="25" spans="3:18" ht="15.45" x14ac:dyDescent="0.4">
      <c r="C25" s="247" t="str" cm="1">
        <f t="array" ref="C25">INDEX(FX_Input,O25,1)</f>
        <v>FX - 5</v>
      </c>
      <c r="D25" s="247" t="str" cm="1">
        <f t="array" ref="D25">INDEX(FX_Input,O25,Q25)</f>
        <v>FIXTANK 74</v>
      </c>
      <c r="E25" s="363" t="s">
        <v>1988</v>
      </c>
      <c r="F25" s="222">
        <v>51564</v>
      </c>
      <c r="G25" s="222">
        <f t="shared" si="9"/>
        <v>2165688</v>
      </c>
      <c r="H25" s="282">
        <v>40</v>
      </c>
      <c r="I25" s="282">
        <v>96</v>
      </c>
      <c r="J25" s="221">
        <f t="shared" si="12"/>
        <v>1</v>
      </c>
      <c r="K25" s="387">
        <f t="shared" si="10"/>
        <v>51564</v>
      </c>
      <c r="L25" s="387">
        <f t="shared" si="11"/>
        <v>618768</v>
      </c>
      <c r="M25" s="253" cm="1">
        <f t="array" ref="M25">INDEX(FX_Emis,R25,18)</f>
        <v>0.25777597649473466</v>
      </c>
      <c r="O25">
        <f t="shared" si="13"/>
        <v>9</v>
      </c>
      <c r="P25">
        <f t="shared" si="14"/>
        <v>1</v>
      </c>
      <c r="Q25">
        <v>2</v>
      </c>
      <c r="R25">
        <f t="shared" si="15"/>
        <v>5</v>
      </c>
    </row>
    <row r="26" spans="3:18" ht="15.45" x14ac:dyDescent="0.4">
      <c r="C26" s="247" t="str" cm="1">
        <f t="array" ref="C26">INDEX(FX_Input,O26,1)</f>
        <v>FX - 6</v>
      </c>
      <c r="D26" s="247" t="str" cm="1">
        <f t="array" ref="D26">INDEX(FX_Input,O26,Q26)</f>
        <v>FIXTANK 93</v>
      </c>
      <c r="E26" s="363" t="s">
        <v>1988</v>
      </c>
      <c r="F26" s="222">
        <v>71061</v>
      </c>
      <c r="G26" s="222">
        <f t="shared" si="9"/>
        <v>2984562</v>
      </c>
      <c r="H26" s="282">
        <v>40.5</v>
      </c>
      <c r="I26" s="282">
        <v>112</v>
      </c>
      <c r="J26" s="221">
        <f t="shared" si="12"/>
        <v>1</v>
      </c>
      <c r="K26" s="387">
        <f t="shared" si="10"/>
        <v>71061</v>
      </c>
      <c r="L26" s="387">
        <f t="shared" si="11"/>
        <v>852732</v>
      </c>
      <c r="M26" s="253" cm="1">
        <f t="array" ref="M26">INDEX(FX_Emis,R26,18)</f>
        <v>0.35524433065108096</v>
      </c>
      <c r="O26">
        <f t="shared" si="13"/>
        <v>11</v>
      </c>
      <c r="P26">
        <f t="shared" si="14"/>
        <v>1</v>
      </c>
      <c r="Q26">
        <v>2</v>
      </c>
      <c r="R26">
        <f t="shared" si="15"/>
        <v>6</v>
      </c>
    </row>
    <row r="27" spans="3:18" ht="15.45" x14ac:dyDescent="0.4">
      <c r="C27" s="247" t="str" cm="1">
        <f t="array" ref="C27">INDEX(FX_Input,O27,1)</f>
        <v>FX - 7</v>
      </c>
      <c r="D27" s="247" t="str" cm="1">
        <f t="array" ref="D27">INDEX(FX_Input,O27,Q27)</f>
        <v>FIXTANK 100</v>
      </c>
      <c r="E27" s="363" t="s">
        <v>1988</v>
      </c>
      <c r="F27" s="222">
        <v>80568</v>
      </c>
      <c r="G27" s="222">
        <f t="shared" si="9"/>
        <v>3383856</v>
      </c>
      <c r="H27" s="282">
        <v>40</v>
      </c>
      <c r="I27" s="282">
        <v>120</v>
      </c>
      <c r="J27" s="221">
        <f t="shared" si="12"/>
        <v>1</v>
      </c>
      <c r="K27" s="387">
        <f t="shared" si="10"/>
        <v>80568</v>
      </c>
      <c r="L27" s="387">
        <f t="shared" si="11"/>
        <v>966816</v>
      </c>
      <c r="M27" s="253" cm="1">
        <f t="array" ref="M27">INDEX(FX_Emis,R27,18)</f>
        <v>0.61220725061480508</v>
      </c>
      <c r="O27">
        <f t="shared" si="13"/>
        <v>13</v>
      </c>
      <c r="P27">
        <f t="shared" si="14"/>
        <v>1</v>
      </c>
      <c r="Q27">
        <v>2</v>
      </c>
      <c r="R27">
        <f t="shared" si="15"/>
        <v>7</v>
      </c>
    </row>
    <row r="28" spans="3:18" ht="15.45" x14ac:dyDescent="0.4">
      <c r="C28" s="247" t="str" cm="1">
        <f t="array" ref="C28">INDEX(FX_Input,O28,1)</f>
        <v>FX - 8</v>
      </c>
      <c r="D28" s="247" t="str" cm="1">
        <f t="array" ref="D28">INDEX(FX_Input,O28,Q28)</f>
        <v>FIXTANK 101</v>
      </c>
      <c r="E28" s="363" t="s">
        <v>1988</v>
      </c>
      <c r="F28" s="222">
        <v>80568</v>
      </c>
      <c r="G28" s="222">
        <f t="shared" si="9"/>
        <v>3383856</v>
      </c>
      <c r="H28" s="282">
        <v>40</v>
      </c>
      <c r="I28" s="282">
        <v>120</v>
      </c>
      <c r="J28" s="221">
        <f t="shared" si="12"/>
        <v>1</v>
      </c>
      <c r="K28" s="387">
        <f t="shared" si="10"/>
        <v>80568</v>
      </c>
      <c r="L28" s="387">
        <f t="shared" si="11"/>
        <v>966816</v>
      </c>
      <c r="M28" s="253" cm="1">
        <f t="array" ref="M28">INDEX(FX_Emis,R28,18)</f>
        <v>0.61220725061480508</v>
      </c>
      <c r="O28">
        <f t="shared" si="13"/>
        <v>15</v>
      </c>
      <c r="P28">
        <f t="shared" si="14"/>
        <v>1</v>
      </c>
      <c r="Q28">
        <v>2</v>
      </c>
      <c r="R28">
        <f t="shared" si="15"/>
        <v>8</v>
      </c>
    </row>
    <row r="29" spans="3:18" ht="15.45" x14ac:dyDescent="0.4">
      <c r="C29" s="247" t="str" cm="1">
        <f t="array" ref="C29">INDEX(FX_Input,O29,1)</f>
        <v>FX - 9</v>
      </c>
      <c r="D29" s="247" t="str" cm="1">
        <f t="array" ref="D29">INDEX(FX_Input,O29,Q29)</f>
        <v>FIXTANK 102</v>
      </c>
      <c r="E29" s="363" t="s">
        <v>1988</v>
      </c>
      <c r="F29" s="222">
        <v>80568</v>
      </c>
      <c r="G29" s="222">
        <f t="shared" si="9"/>
        <v>3383856</v>
      </c>
      <c r="H29" s="282">
        <v>40</v>
      </c>
      <c r="I29" s="282">
        <v>120</v>
      </c>
      <c r="J29" s="221">
        <f t="shared" si="12"/>
        <v>1</v>
      </c>
      <c r="K29" s="387">
        <f t="shared" si="10"/>
        <v>80568</v>
      </c>
      <c r="L29" s="387">
        <f t="shared" si="11"/>
        <v>966816</v>
      </c>
      <c r="M29" s="253" cm="1">
        <f t="array" ref="M29">INDEX(FX_Emis,R29,18)</f>
        <v>0.61220725061480508</v>
      </c>
      <c r="O29">
        <f t="shared" si="13"/>
        <v>17</v>
      </c>
      <c r="P29">
        <f t="shared" si="14"/>
        <v>1</v>
      </c>
      <c r="Q29">
        <v>2</v>
      </c>
      <c r="R29">
        <f t="shared" si="15"/>
        <v>9</v>
      </c>
    </row>
    <row r="30" spans="3:18" ht="15.45" x14ac:dyDescent="0.4">
      <c r="C30" s="247" t="str" cm="1">
        <f t="array" ref="C30">INDEX(FX_Input,O30,1)</f>
        <v>FX - 10</v>
      </c>
      <c r="D30" s="247" t="str" cm="1">
        <f t="array" ref="D30">INDEX(FX_Input,O30,Q30)</f>
        <v>FIXTANK 110</v>
      </c>
      <c r="E30" s="367" t="s">
        <v>1988</v>
      </c>
      <c r="F30" s="230">
        <v>11119</v>
      </c>
      <c r="G30" s="230">
        <f t="shared" si="9"/>
        <v>466998</v>
      </c>
      <c r="H30" s="232">
        <v>32</v>
      </c>
      <c r="I30" s="232">
        <v>50</v>
      </c>
      <c r="J30" s="229">
        <f t="shared" si="12"/>
        <v>1</v>
      </c>
      <c r="K30" s="389">
        <f t="shared" si="10"/>
        <v>11119</v>
      </c>
      <c r="L30" s="389">
        <f t="shared" si="11"/>
        <v>133428</v>
      </c>
      <c r="M30" s="258" cm="1">
        <f t="array" ref="M30">INDEX(FX_Emis,R30,18)</f>
        <v>5.558550699412293E-2</v>
      </c>
      <c r="O30">
        <f t="shared" si="13"/>
        <v>19</v>
      </c>
      <c r="P30">
        <f t="shared" si="14"/>
        <v>1</v>
      </c>
      <c r="Q30">
        <v>2</v>
      </c>
      <c r="R30">
        <f t="shared" si="15"/>
        <v>10</v>
      </c>
    </row>
    <row r="31" spans="3:18" ht="15.9" thickBot="1" x14ac:dyDescent="0.45">
      <c r="C31" s="259" t="str" cm="1">
        <f t="array" ref="C31">INDEX(FX_Input,O31,1)</f>
        <v>FX - 11</v>
      </c>
      <c r="D31" s="259" t="str" cm="1">
        <f t="array" ref="D31">INDEX(FX_Input,O31,Q31)</f>
        <v>FIXTANK 111</v>
      </c>
      <c r="E31" s="368" t="s">
        <v>2015</v>
      </c>
      <c r="F31" s="226">
        <v>7162</v>
      </c>
      <c r="G31" s="226">
        <f t="shared" si="9"/>
        <v>300804</v>
      </c>
      <c r="H31" s="397">
        <v>32</v>
      </c>
      <c r="I31" s="397">
        <v>40</v>
      </c>
      <c r="J31" s="225">
        <v>0</v>
      </c>
      <c r="K31" s="394">
        <f t="shared" si="10"/>
        <v>0</v>
      </c>
      <c r="L31" s="394">
        <f t="shared" si="11"/>
        <v>0</v>
      </c>
      <c r="M31" s="265" cm="1">
        <f t="array" ref="M31">INDEX(FX_Emis,R31,18)</f>
        <v>0</v>
      </c>
      <c r="O31">
        <f t="shared" si="13"/>
        <v>21</v>
      </c>
      <c r="P31">
        <f t="shared" si="14"/>
        <v>1</v>
      </c>
      <c r="Q31">
        <v>2</v>
      </c>
      <c r="R31">
        <f t="shared" si="15"/>
        <v>11</v>
      </c>
    </row>
    <row r="32" spans="3:18" ht="15.45" x14ac:dyDescent="0.4">
      <c r="C32" s="266" t="str" cm="1">
        <f t="array" ref="C32">INDEX(FX_Input,O32,1)</f>
        <v>FX - 12</v>
      </c>
      <c r="D32" s="428" t="str" cm="1">
        <f t="array" ref="D32">INDEX(FX_Input,O32,Q32)</f>
        <v>FIXTANK 112</v>
      </c>
      <c r="E32" s="369" t="s">
        <v>1988</v>
      </c>
      <c r="F32" s="268">
        <v>31583</v>
      </c>
      <c r="G32" s="268">
        <f t="shared" si="9"/>
        <v>1326486</v>
      </c>
      <c r="H32" s="398">
        <v>32</v>
      </c>
      <c r="I32" s="398">
        <v>84</v>
      </c>
      <c r="J32" s="267">
        <v>1</v>
      </c>
      <c r="K32" s="395">
        <f t="shared" si="10"/>
        <v>31583</v>
      </c>
      <c r="L32" s="395">
        <f t="shared" si="11"/>
        <v>378996</v>
      </c>
      <c r="M32" s="272" cm="1">
        <f t="array" ref="M32">INDEX(FX_Emis,R32,18)</f>
        <v>0.23960624877849729</v>
      </c>
      <c r="O32">
        <f t="shared" si="13"/>
        <v>23</v>
      </c>
      <c r="P32">
        <f t="shared" si="14"/>
        <v>1</v>
      </c>
      <c r="Q32">
        <v>2</v>
      </c>
      <c r="R32">
        <f t="shared" si="15"/>
        <v>12</v>
      </c>
    </row>
    <row r="33" spans="3:18" ht="15.45" x14ac:dyDescent="0.4">
      <c r="C33" s="247" t="str" cm="1">
        <f t="array" ref="C33">INDEX(FX_Input,O33,1)</f>
        <v>FX - 13</v>
      </c>
      <c r="D33" s="247" t="str" cm="1">
        <f t="array" ref="D33">INDEX(FX_Input,O33,Q33)</f>
        <v>FIXTANK 113</v>
      </c>
      <c r="E33" s="370" t="s">
        <v>2015</v>
      </c>
      <c r="F33" s="384">
        <v>15663</v>
      </c>
      <c r="G33" s="384">
        <f t="shared" si="9"/>
        <v>657846</v>
      </c>
      <c r="H33" s="399">
        <v>32</v>
      </c>
      <c r="I33" s="399">
        <v>60</v>
      </c>
      <c r="J33" s="335">
        <v>0</v>
      </c>
      <c r="K33" s="396">
        <f t="shared" si="10"/>
        <v>0</v>
      </c>
      <c r="L33" s="396">
        <f t="shared" si="11"/>
        <v>0</v>
      </c>
      <c r="M33" s="277" cm="1">
        <f t="array" ref="M33">INDEX(FX_Emis,R33,18)</f>
        <v>0</v>
      </c>
      <c r="O33">
        <f t="shared" si="13"/>
        <v>25</v>
      </c>
      <c r="P33">
        <f t="shared" si="14"/>
        <v>1</v>
      </c>
      <c r="Q33">
        <v>2</v>
      </c>
      <c r="R33">
        <f t="shared" si="15"/>
        <v>13</v>
      </c>
    </row>
    <row r="34" spans="3:18" ht="15.45" x14ac:dyDescent="0.4">
      <c r="C34" s="247" t="str" cm="1">
        <f t="array" ref="C34">INDEX(FX_Input,O34,1)</f>
        <v>FX - 14</v>
      </c>
      <c r="D34" s="427" t="str" cm="1">
        <f t="array" ref="D34">INDEX(FX_Input,O34,Q34)</f>
        <v>FIXTANK 121</v>
      </c>
      <c r="E34" s="370" t="s">
        <v>1988</v>
      </c>
      <c r="F34" s="384">
        <v>4583</v>
      </c>
      <c r="G34" s="384">
        <f t="shared" si="9"/>
        <v>192486</v>
      </c>
      <c r="H34" s="399">
        <v>32</v>
      </c>
      <c r="I34" s="399">
        <v>32</v>
      </c>
      <c r="J34" s="335">
        <v>1</v>
      </c>
      <c r="K34" s="396">
        <f t="shared" si="10"/>
        <v>4583</v>
      </c>
      <c r="L34" s="396">
        <f t="shared" si="11"/>
        <v>54996</v>
      </c>
      <c r="M34" s="280" cm="1">
        <f t="array" ref="M34">INDEX(FX_Emis,R34,18)</f>
        <v>4.4809505124225352E-2</v>
      </c>
      <c r="O34">
        <f t="shared" si="13"/>
        <v>27</v>
      </c>
      <c r="P34">
        <f t="shared" si="14"/>
        <v>1</v>
      </c>
      <c r="Q34">
        <v>2</v>
      </c>
      <c r="R34">
        <f t="shared" si="15"/>
        <v>14</v>
      </c>
    </row>
    <row r="35" spans="3:18" ht="15.45" x14ac:dyDescent="0.4">
      <c r="C35" s="247" t="str" cm="1">
        <f t="array" ref="C35">INDEX(FX_Input,O35,1)</f>
        <v>FX - 15</v>
      </c>
      <c r="D35" s="427" t="str" cm="1">
        <f t="array" ref="D35">INDEX(FX_Input,O35,Q35)</f>
        <v>FIXTANK 122</v>
      </c>
      <c r="E35" s="363" t="s">
        <v>1988</v>
      </c>
      <c r="F35" s="222">
        <v>4583</v>
      </c>
      <c r="G35" s="222">
        <f t="shared" si="9"/>
        <v>192486</v>
      </c>
      <c r="H35" s="282">
        <v>32</v>
      </c>
      <c r="I35" s="282">
        <v>32</v>
      </c>
      <c r="J35" s="221">
        <f t="shared" si="12"/>
        <v>1</v>
      </c>
      <c r="K35" s="387">
        <f t="shared" si="10"/>
        <v>4583</v>
      </c>
      <c r="L35" s="387">
        <f t="shared" si="11"/>
        <v>54996</v>
      </c>
      <c r="M35" s="284" cm="1">
        <f t="array" ref="M35">INDEX(FX_Emis,R35,18)</f>
        <v>2.2911087197955333E-2</v>
      </c>
      <c r="O35">
        <f t="shared" si="13"/>
        <v>29</v>
      </c>
      <c r="P35">
        <f t="shared" si="14"/>
        <v>1</v>
      </c>
      <c r="Q35">
        <v>2</v>
      </c>
      <c r="R35">
        <f t="shared" si="15"/>
        <v>15</v>
      </c>
    </row>
    <row r="36" spans="3:18" ht="15.45" x14ac:dyDescent="0.4">
      <c r="C36" s="247" t="str" cm="1">
        <f t="array" ref="C36">INDEX(FX_Input,O36,1)</f>
        <v>FX - 16</v>
      </c>
      <c r="D36" s="427" t="str" cm="1">
        <f t="array" ref="D36">INDEX(FX_Input,O36,Q36)</f>
        <v>FIXTANK 123</v>
      </c>
      <c r="E36" s="363" t="s">
        <v>1988</v>
      </c>
      <c r="F36" s="222">
        <v>4583</v>
      </c>
      <c r="G36" s="222">
        <f t="shared" si="9"/>
        <v>192486</v>
      </c>
      <c r="H36" s="282">
        <v>32</v>
      </c>
      <c r="I36" s="282">
        <v>32</v>
      </c>
      <c r="J36" s="221">
        <f t="shared" si="12"/>
        <v>1</v>
      </c>
      <c r="K36" s="387">
        <f t="shared" si="10"/>
        <v>4583</v>
      </c>
      <c r="L36" s="387">
        <f t="shared" si="11"/>
        <v>54996</v>
      </c>
      <c r="M36" s="289" cm="1">
        <f t="array" ref="M36">INDEX(FX_Emis,R36,18)</f>
        <v>2.2911087197955333E-2</v>
      </c>
      <c r="O36">
        <f t="shared" si="13"/>
        <v>31</v>
      </c>
      <c r="P36">
        <f t="shared" si="14"/>
        <v>1</v>
      </c>
      <c r="Q36">
        <v>2</v>
      </c>
      <c r="R36">
        <f t="shared" si="15"/>
        <v>16</v>
      </c>
    </row>
    <row r="37" spans="3:18" ht="15.45" x14ac:dyDescent="0.4">
      <c r="C37" s="247" t="str" cm="1">
        <f t="array" ref="C37">INDEX(FX_Input,O37,1)</f>
        <v>FX - 17</v>
      </c>
      <c r="D37" s="427" t="str" cm="1">
        <f t="array" ref="D37">INDEX(FX_Input,O37,Q37)</f>
        <v>FIXTANK 124</v>
      </c>
      <c r="E37" s="363" t="s">
        <v>1988</v>
      </c>
      <c r="F37" s="222">
        <v>11190</v>
      </c>
      <c r="G37" s="222">
        <f t="shared" si="9"/>
        <v>469980</v>
      </c>
      <c r="H37" s="282">
        <v>32</v>
      </c>
      <c r="I37" s="282">
        <v>50</v>
      </c>
      <c r="J37" s="221">
        <f t="shared" si="12"/>
        <v>1</v>
      </c>
      <c r="K37" s="387">
        <f t="shared" si="10"/>
        <v>11190</v>
      </c>
      <c r="L37" s="387">
        <f t="shared" si="11"/>
        <v>134280</v>
      </c>
      <c r="M37" s="277" cm="1">
        <f t="array" ref="M37">INDEX(FX_Emis,R37,18)</f>
        <v>5.5940446376853643E-2</v>
      </c>
      <c r="O37">
        <f t="shared" si="13"/>
        <v>33</v>
      </c>
      <c r="P37">
        <f t="shared" si="14"/>
        <v>1</v>
      </c>
      <c r="Q37">
        <v>2</v>
      </c>
      <c r="R37">
        <f t="shared" si="15"/>
        <v>17</v>
      </c>
    </row>
    <row r="38" spans="3:18" ht="15.45" x14ac:dyDescent="0.4">
      <c r="C38" s="247" t="str" cm="1">
        <f t="array" ref="C38">INDEX(FX_Input,O38,1)</f>
        <v>FX - 18</v>
      </c>
      <c r="D38" s="427" t="str" cm="1">
        <f t="array" ref="D38">INDEX(FX_Input,O38,Q38)</f>
        <v>FIXTANK 125</v>
      </c>
      <c r="E38" s="363" t="s">
        <v>1988</v>
      </c>
      <c r="F38" s="222">
        <v>11190</v>
      </c>
      <c r="G38" s="222">
        <f t="shared" si="9"/>
        <v>469980</v>
      </c>
      <c r="H38" s="282">
        <v>32</v>
      </c>
      <c r="I38" s="282">
        <v>50</v>
      </c>
      <c r="J38" s="221">
        <f t="shared" si="12"/>
        <v>1</v>
      </c>
      <c r="K38" s="387">
        <f t="shared" si="10"/>
        <v>11190</v>
      </c>
      <c r="L38" s="387">
        <f t="shared" si="11"/>
        <v>134280</v>
      </c>
      <c r="M38" s="284" cm="1">
        <f t="array" ref="M38">INDEX(FX_Emis,R38,18)</f>
        <v>5.5940446376853643E-2</v>
      </c>
      <c r="O38">
        <f t="shared" si="13"/>
        <v>35</v>
      </c>
      <c r="P38">
        <f t="shared" si="14"/>
        <v>1</v>
      </c>
      <c r="Q38">
        <v>2</v>
      </c>
      <c r="R38">
        <f t="shared" si="15"/>
        <v>18</v>
      </c>
    </row>
    <row r="39" spans="3:18" ht="15.45" x14ac:dyDescent="0.4">
      <c r="C39" s="247" t="str" cm="1">
        <f t="array" ref="C39">INDEX(FX_Input,O39,1)</f>
        <v>FX - 19</v>
      </c>
      <c r="D39" s="427" t="str" cm="1">
        <f t="array" ref="D39">INDEX(FX_Input,O39,Q39)</f>
        <v>FIXTANK 126</v>
      </c>
      <c r="E39" s="363" t="s">
        <v>1988</v>
      </c>
      <c r="F39" s="222">
        <v>4500</v>
      </c>
      <c r="G39" s="222">
        <f t="shared" si="9"/>
        <v>189000</v>
      </c>
      <c r="H39" s="282">
        <v>35</v>
      </c>
      <c r="I39" s="282">
        <v>30</v>
      </c>
      <c r="J39" s="221">
        <f t="shared" si="12"/>
        <v>1</v>
      </c>
      <c r="K39" s="387">
        <f t="shared" si="10"/>
        <v>4500</v>
      </c>
      <c r="L39" s="387">
        <f t="shared" si="11"/>
        <v>54000</v>
      </c>
      <c r="M39" s="294" cm="1">
        <f t="array" ref="M39">INDEX(FX_Emis,R39,18)</f>
        <v>2.2496158060396908E-2</v>
      </c>
      <c r="O39">
        <f t="shared" si="13"/>
        <v>37</v>
      </c>
      <c r="P39">
        <f t="shared" si="14"/>
        <v>1</v>
      </c>
      <c r="Q39">
        <v>2</v>
      </c>
      <c r="R39">
        <f t="shared" si="15"/>
        <v>19</v>
      </c>
    </row>
    <row r="40" spans="3:18" ht="15.45" x14ac:dyDescent="0.4">
      <c r="C40" s="247" t="str" cm="1">
        <f t="array" ref="C40">INDEX(FX_Input,O40,1)</f>
        <v>FX - 20</v>
      </c>
      <c r="D40" s="247" t="str" cm="1">
        <f t="array" ref="D40">INDEX(FX_Input,O40,Q40)</f>
        <v>FIXTANK 127</v>
      </c>
      <c r="E40" s="363" t="s">
        <v>1988</v>
      </c>
      <c r="F40" s="222">
        <v>20142</v>
      </c>
      <c r="G40" s="222">
        <f t="shared" si="9"/>
        <v>845964</v>
      </c>
      <c r="H40" s="282">
        <v>40</v>
      </c>
      <c r="I40" s="282">
        <v>60</v>
      </c>
      <c r="J40" s="221">
        <f t="shared" si="12"/>
        <v>1</v>
      </c>
      <c r="K40" s="387">
        <f t="shared" si="10"/>
        <v>20142</v>
      </c>
      <c r="L40" s="387">
        <f t="shared" si="11"/>
        <v>241704</v>
      </c>
      <c r="M40" s="297" cm="1">
        <f t="array" ref="M40">INDEX(FX_Emis,R40,18)</f>
        <v>0.10069280347833653</v>
      </c>
      <c r="O40">
        <f t="shared" si="13"/>
        <v>39</v>
      </c>
      <c r="P40">
        <f t="shared" si="14"/>
        <v>1</v>
      </c>
      <c r="Q40">
        <v>2</v>
      </c>
      <c r="R40">
        <f t="shared" si="15"/>
        <v>20</v>
      </c>
    </row>
    <row r="41" spans="3:18" ht="15.45" x14ac:dyDescent="0.4">
      <c r="C41" s="247" t="str" cm="1">
        <f t="array" ref="C41">INDEX(FX_Input,O41,1)</f>
        <v>FX - 21</v>
      </c>
      <c r="D41" s="247" t="str" cm="1">
        <f t="array" ref="D41">INDEX(FX_Input,O41,Q41)</f>
        <v>FIXTANK 128</v>
      </c>
      <c r="E41" s="363" t="s">
        <v>1988</v>
      </c>
      <c r="F41" s="222">
        <v>55950</v>
      </c>
      <c r="G41" s="222">
        <f t="shared" si="9"/>
        <v>2349900</v>
      </c>
      <c r="H41" s="282">
        <v>40</v>
      </c>
      <c r="I41" s="282">
        <v>100</v>
      </c>
      <c r="J41" s="221">
        <f t="shared" si="12"/>
        <v>1</v>
      </c>
      <c r="K41" s="387">
        <f t="shared" si="10"/>
        <v>55950</v>
      </c>
      <c r="L41" s="387">
        <f t="shared" si="11"/>
        <v>671400</v>
      </c>
      <c r="M41" s="298" cm="1">
        <f t="array" ref="M41">INDEX(FX_Emis,R41,18)</f>
        <v>0.27970223188426824</v>
      </c>
      <c r="O41">
        <f t="shared" si="13"/>
        <v>41</v>
      </c>
      <c r="P41">
        <f t="shared" si="14"/>
        <v>1</v>
      </c>
      <c r="Q41">
        <v>2</v>
      </c>
      <c r="R41">
        <f t="shared" si="15"/>
        <v>21</v>
      </c>
    </row>
    <row r="42" spans="3:18" ht="15.45" x14ac:dyDescent="0.4">
      <c r="C42" s="247" t="str" cm="1">
        <f t="array" ref="C42">INDEX(FX_Input,O42,1)</f>
        <v>FX - 22</v>
      </c>
      <c r="D42" s="247" t="str" cm="1">
        <f t="array" ref="D42">INDEX(FX_Input,O42,Q42)</f>
        <v>FIXTANK 129</v>
      </c>
      <c r="E42" s="363" t="s">
        <v>1988</v>
      </c>
      <c r="F42" s="222">
        <v>80568</v>
      </c>
      <c r="G42" s="222">
        <f t="shared" si="9"/>
        <v>3383856</v>
      </c>
      <c r="H42" s="282">
        <v>40</v>
      </c>
      <c r="I42" s="282">
        <v>120</v>
      </c>
      <c r="J42" s="221">
        <f t="shared" si="12"/>
        <v>1</v>
      </c>
      <c r="K42" s="387">
        <f t="shared" si="10"/>
        <v>80568</v>
      </c>
      <c r="L42" s="387">
        <f t="shared" si="11"/>
        <v>966816</v>
      </c>
      <c r="M42" s="284" cm="1">
        <f t="array" ref="M42">INDEX(FX_Emis,R42,18)</f>
        <v>0.40277121391334614</v>
      </c>
      <c r="O42">
        <f t="shared" si="13"/>
        <v>43</v>
      </c>
      <c r="P42">
        <f t="shared" si="14"/>
        <v>1</v>
      </c>
      <c r="Q42">
        <v>2</v>
      </c>
      <c r="R42">
        <f t="shared" si="15"/>
        <v>22</v>
      </c>
    </row>
    <row r="43" spans="3:18" ht="15.45" x14ac:dyDescent="0.4">
      <c r="C43" s="247" t="str" cm="1">
        <f t="array" ref="C43">INDEX(FX_Input,O43,1)</f>
        <v>FX - 23</v>
      </c>
      <c r="D43" s="247" t="str" cm="1">
        <f t="array" ref="D43">INDEX(FX_Input,O43,Q43)</f>
        <v>FIXTANK 140</v>
      </c>
      <c r="E43" s="363" t="s">
        <v>2015</v>
      </c>
      <c r="F43" s="222">
        <v>1088</v>
      </c>
      <c r="G43" s="222">
        <f t="shared" si="9"/>
        <v>45696</v>
      </c>
      <c r="H43" s="282">
        <v>24</v>
      </c>
      <c r="I43" s="282">
        <v>18</v>
      </c>
      <c r="J43" s="221">
        <v>0</v>
      </c>
      <c r="K43" s="387">
        <f t="shared" si="10"/>
        <v>0</v>
      </c>
      <c r="L43" s="387">
        <f t="shared" si="11"/>
        <v>0</v>
      </c>
      <c r="M43" s="224" cm="1">
        <f t="array" ref="M43">INDEX(FX_Emis,R43,18)</f>
        <v>0</v>
      </c>
      <c r="O43">
        <f t="shared" si="13"/>
        <v>45</v>
      </c>
      <c r="P43">
        <f t="shared" si="14"/>
        <v>1</v>
      </c>
      <c r="Q43">
        <v>2</v>
      </c>
      <c r="R43">
        <f t="shared" si="15"/>
        <v>23</v>
      </c>
    </row>
    <row r="44" spans="3:18" ht="15.45" x14ac:dyDescent="0.4">
      <c r="C44" s="247" t="str" cm="1">
        <f t="array" ref="C44">INDEX(FX_Input,O44,1)</f>
        <v>FX - 24</v>
      </c>
      <c r="D44" s="247" t="str" cm="1">
        <f t="array" ref="D44">INDEX(FX_Input,O44,Q44)</f>
        <v>FIXTANK 141</v>
      </c>
      <c r="E44" s="363" t="s">
        <v>2015</v>
      </c>
      <c r="F44" s="222">
        <v>1088</v>
      </c>
      <c r="G44" s="222">
        <f t="shared" si="9"/>
        <v>45696</v>
      </c>
      <c r="H44" s="282">
        <v>24</v>
      </c>
      <c r="I44" s="282">
        <v>18</v>
      </c>
      <c r="J44" s="221">
        <f t="shared" si="12"/>
        <v>0</v>
      </c>
      <c r="K44" s="387">
        <f t="shared" si="10"/>
        <v>0</v>
      </c>
      <c r="L44" s="387">
        <f t="shared" si="11"/>
        <v>0</v>
      </c>
      <c r="M44" s="289" cm="1">
        <f t="array" ref="M44">INDEX(FX_Emis,R44,18)</f>
        <v>0</v>
      </c>
      <c r="O44">
        <f t="shared" si="13"/>
        <v>47</v>
      </c>
      <c r="P44">
        <f t="shared" si="14"/>
        <v>1</v>
      </c>
      <c r="Q44">
        <v>2</v>
      </c>
      <c r="R44">
        <f t="shared" si="15"/>
        <v>24</v>
      </c>
    </row>
    <row r="45" spans="3:18" ht="15.45" x14ac:dyDescent="0.4">
      <c r="C45" s="247" t="str" cm="1">
        <f t="array" ref="C45">INDEX(FX_Input,O45,1)</f>
        <v>FX - 25</v>
      </c>
      <c r="D45" s="247" t="str" cm="1">
        <f t="array" ref="D45">INDEX(FX_Input,O45,Q45)</f>
        <v>FIXTANK 142</v>
      </c>
      <c r="E45" s="363" t="s">
        <v>2015</v>
      </c>
      <c r="F45" s="222">
        <v>1088</v>
      </c>
      <c r="G45" s="222">
        <f t="shared" si="9"/>
        <v>45696</v>
      </c>
      <c r="H45" s="282">
        <v>24</v>
      </c>
      <c r="I45" s="282">
        <v>18</v>
      </c>
      <c r="J45" s="221">
        <f t="shared" si="12"/>
        <v>0</v>
      </c>
      <c r="K45" s="387">
        <f t="shared" si="10"/>
        <v>0</v>
      </c>
      <c r="L45" s="387">
        <f t="shared" si="11"/>
        <v>0</v>
      </c>
      <c r="M45" s="294" cm="1">
        <f t="array" ref="M45">INDEX(FX_Emis,R45,18)</f>
        <v>0</v>
      </c>
      <c r="O45">
        <f t="shared" si="13"/>
        <v>49</v>
      </c>
      <c r="P45">
        <f t="shared" si="14"/>
        <v>1</v>
      </c>
      <c r="Q45">
        <v>2</v>
      </c>
      <c r="R45">
        <f t="shared" si="15"/>
        <v>25</v>
      </c>
    </row>
    <row r="46" spans="3:18" ht="15.45" x14ac:dyDescent="0.4">
      <c r="C46" s="247" t="str" cm="1">
        <f t="array" ref="C46">INDEX(FX_Input,O46,1)</f>
        <v>FX - 26</v>
      </c>
      <c r="D46" s="247" t="str" cm="1">
        <f t="array" ref="D46">INDEX(FX_Input,O46,Q46)</f>
        <v>FIXTANK 143</v>
      </c>
      <c r="E46" s="363" t="s">
        <v>2015</v>
      </c>
      <c r="F46" s="222">
        <v>1088</v>
      </c>
      <c r="G46" s="222">
        <f t="shared" si="9"/>
        <v>45696</v>
      </c>
      <c r="H46" s="282">
        <v>24</v>
      </c>
      <c r="I46" s="282">
        <v>18</v>
      </c>
      <c r="J46" s="221">
        <f t="shared" si="12"/>
        <v>0</v>
      </c>
      <c r="K46" s="387">
        <f t="shared" si="10"/>
        <v>0</v>
      </c>
      <c r="L46" s="387">
        <f t="shared" si="11"/>
        <v>0</v>
      </c>
      <c r="M46" s="277" cm="1">
        <f t="array" ref="M46">INDEX(FX_Emis,R46,18)</f>
        <v>0</v>
      </c>
      <c r="O46">
        <f t="shared" si="13"/>
        <v>51</v>
      </c>
      <c r="P46">
        <f t="shared" si="14"/>
        <v>1</v>
      </c>
      <c r="Q46">
        <v>2</v>
      </c>
      <c r="R46">
        <f t="shared" si="15"/>
        <v>26</v>
      </c>
    </row>
    <row r="47" spans="3:18" ht="15.45" x14ac:dyDescent="0.4">
      <c r="C47" s="247" t="str" cm="1">
        <f t="array" ref="C47">INDEX(FX_Input,O47,1)</f>
        <v>FX - 27</v>
      </c>
      <c r="D47" s="247" t="str" cm="1">
        <f t="array" ref="D47">INDEX(FX_Input,O47,Q47)</f>
        <v>FIXTANK 144</v>
      </c>
      <c r="E47" s="363" t="s">
        <v>2015</v>
      </c>
      <c r="F47" s="222">
        <v>1088</v>
      </c>
      <c r="G47" s="222">
        <f t="shared" si="9"/>
        <v>45696</v>
      </c>
      <c r="H47" s="282">
        <v>24</v>
      </c>
      <c r="I47" s="282">
        <v>18</v>
      </c>
      <c r="J47" s="221">
        <f t="shared" si="12"/>
        <v>0</v>
      </c>
      <c r="K47" s="387">
        <f t="shared" si="10"/>
        <v>0</v>
      </c>
      <c r="L47" s="387">
        <f t="shared" si="11"/>
        <v>0</v>
      </c>
      <c r="M47" s="302" cm="1">
        <f t="array" ref="M47">INDEX(FX_Emis,R47,18)</f>
        <v>0</v>
      </c>
      <c r="O47">
        <f t="shared" si="13"/>
        <v>53</v>
      </c>
      <c r="P47">
        <f t="shared" si="14"/>
        <v>1</v>
      </c>
      <c r="Q47">
        <v>2</v>
      </c>
      <c r="R47">
        <f t="shared" si="15"/>
        <v>27</v>
      </c>
    </row>
    <row r="48" spans="3:18" ht="15.45" x14ac:dyDescent="0.4">
      <c r="C48" s="247" t="str" cm="1">
        <f t="array" ref="C48">INDEX(FX_Input,O48,1)</f>
        <v>FX - 28</v>
      </c>
      <c r="D48" s="247" t="str" cm="1">
        <f t="array" ref="D48">INDEX(FX_Input,O48,Q48)</f>
        <v>FIXTANK 145</v>
      </c>
      <c r="E48" s="363" t="s">
        <v>2015</v>
      </c>
      <c r="F48" s="222">
        <v>1088</v>
      </c>
      <c r="G48" s="222">
        <f t="shared" si="9"/>
        <v>45696</v>
      </c>
      <c r="H48" s="282">
        <v>24</v>
      </c>
      <c r="I48" s="282">
        <v>18</v>
      </c>
      <c r="J48" s="221">
        <f t="shared" si="12"/>
        <v>0</v>
      </c>
      <c r="K48" s="387">
        <f t="shared" si="10"/>
        <v>0</v>
      </c>
      <c r="L48" s="387">
        <f t="shared" si="11"/>
        <v>0</v>
      </c>
      <c r="M48" s="277" cm="1">
        <f t="array" ref="M48">INDEX(FX_Emis,R48,18)</f>
        <v>0</v>
      </c>
      <c r="O48">
        <f t="shared" si="13"/>
        <v>55</v>
      </c>
      <c r="P48">
        <f t="shared" si="14"/>
        <v>1</v>
      </c>
      <c r="Q48">
        <v>2</v>
      </c>
      <c r="R48">
        <f t="shared" si="15"/>
        <v>28</v>
      </c>
    </row>
    <row r="49" spans="3:18" ht="15.45" x14ac:dyDescent="0.4">
      <c r="C49" s="247" t="str" cm="1">
        <f t="array" ref="C49">INDEX(FX_Input,O49,1)</f>
        <v>FX - 29</v>
      </c>
      <c r="D49" s="247" t="str" cm="1">
        <f t="array" ref="D49">INDEX(FX_Input,O49,Q49)</f>
        <v>FIXTANK 146</v>
      </c>
      <c r="E49" s="363" t="s">
        <v>2015</v>
      </c>
      <c r="F49" s="222">
        <v>1088</v>
      </c>
      <c r="G49" s="222">
        <f t="shared" si="9"/>
        <v>45696</v>
      </c>
      <c r="H49" s="282">
        <v>24</v>
      </c>
      <c r="I49" s="282">
        <v>18</v>
      </c>
      <c r="J49" s="221">
        <f t="shared" si="12"/>
        <v>0</v>
      </c>
      <c r="K49" s="387">
        <f t="shared" si="10"/>
        <v>0</v>
      </c>
      <c r="L49" s="387">
        <f t="shared" si="11"/>
        <v>0</v>
      </c>
      <c r="M49" s="294" cm="1">
        <f t="array" ref="M49">INDEX(FX_Emis,R49,18)</f>
        <v>0</v>
      </c>
      <c r="O49">
        <f t="shared" si="13"/>
        <v>57</v>
      </c>
      <c r="P49">
        <f t="shared" si="14"/>
        <v>1</v>
      </c>
      <c r="Q49">
        <v>2</v>
      </c>
      <c r="R49">
        <f t="shared" si="15"/>
        <v>29</v>
      </c>
    </row>
    <row r="50" spans="3:18" ht="15.45" x14ac:dyDescent="0.4">
      <c r="C50" s="247" t="str" cm="1">
        <f t="array" ref="C50">INDEX(FX_Input,O50,1)</f>
        <v>FX - 30</v>
      </c>
      <c r="D50" s="247" t="str" cm="1">
        <f t="array" ref="D50">INDEX(FX_Input,O50,Q50)</f>
        <v>FIXTANK 147</v>
      </c>
      <c r="E50" s="363" t="s">
        <v>2015</v>
      </c>
      <c r="F50" s="222">
        <v>1088</v>
      </c>
      <c r="G50" s="222">
        <f t="shared" si="9"/>
        <v>45696</v>
      </c>
      <c r="H50" s="282">
        <v>24</v>
      </c>
      <c r="I50" s="282">
        <v>18</v>
      </c>
      <c r="J50" s="221">
        <f t="shared" si="12"/>
        <v>0</v>
      </c>
      <c r="K50" s="387">
        <f t="shared" si="10"/>
        <v>0</v>
      </c>
      <c r="L50" s="387">
        <f t="shared" si="11"/>
        <v>0</v>
      </c>
      <c r="M50" s="280" cm="1">
        <f t="array" ref="M50">INDEX(FX_Emis,R50,18)</f>
        <v>0</v>
      </c>
      <c r="O50">
        <f t="shared" si="13"/>
        <v>59</v>
      </c>
      <c r="P50">
        <f t="shared" si="14"/>
        <v>1</v>
      </c>
      <c r="Q50">
        <v>2</v>
      </c>
      <c r="R50">
        <f t="shared" si="15"/>
        <v>30</v>
      </c>
    </row>
    <row r="51" spans="3:18" ht="15.45" x14ac:dyDescent="0.4">
      <c r="C51" s="247" t="str" cm="1">
        <f t="array" ref="C51">INDEX(FX_Input,O51,1)</f>
        <v>FX - 31</v>
      </c>
      <c r="D51" s="247" t="str" cm="1">
        <f t="array" ref="D51">INDEX(FX_Input,O51,Q51)</f>
        <v>FIXTANK 148</v>
      </c>
      <c r="E51" s="363" t="s">
        <v>2015</v>
      </c>
      <c r="F51" s="222">
        <v>1088</v>
      </c>
      <c r="G51" s="222">
        <f t="shared" si="9"/>
        <v>45696</v>
      </c>
      <c r="H51" s="282">
        <v>24</v>
      </c>
      <c r="I51" s="282">
        <v>18</v>
      </c>
      <c r="J51" s="221">
        <f t="shared" si="12"/>
        <v>0</v>
      </c>
      <c r="K51" s="387">
        <f t="shared" si="10"/>
        <v>0</v>
      </c>
      <c r="L51" s="387">
        <f t="shared" si="11"/>
        <v>0</v>
      </c>
      <c r="M51" s="280" cm="1">
        <f t="array" ref="M51">INDEX(FX_Emis,R51,18)</f>
        <v>0</v>
      </c>
      <c r="O51">
        <f t="shared" si="13"/>
        <v>61</v>
      </c>
      <c r="P51">
        <f t="shared" si="14"/>
        <v>1</v>
      </c>
      <c r="Q51">
        <v>2</v>
      </c>
      <c r="R51">
        <f t="shared" si="15"/>
        <v>31</v>
      </c>
    </row>
    <row r="52" spans="3:18" ht="15.45" x14ac:dyDescent="0.4">
      <c r="C52" s="247" t="str" cm="1">
        <f t="array" ref="C52">INDEX(FX_Input,O52,1)</f>
        <v>FX - 32</v>
      </c>
      <c r="D52" s="247" t="str" cm="1">
        <f t="array" ref="D52">INDEX(FX_Input,O52,Q52)</f>
        <v>FIXTANK 149</v>
      </c>
      <c r="E52" s="363" t="s">
        <v>2015</v>
      </c>
      <c r="F52" s="222">
        <v>1088</v>
      </c>
      <c r="G52" s="222">
        <f t="shared" si="9"/>
        <v>45696</v>
      </c>
      <c r="H52" s="282">
        <v>24</v>
      </c>
      <c r="I52" s="282">
        <v>18</v>
      </c>
      <c r="J52" s="221">
        <f t="shared" si="12"/>
        <v>0</v>
      </c>
      <c r="K52" s="387">
        <f t="shared" si="10"/>
        <v>0</v>
      </c>
      <c r="L52" s="387">
        <f t="shared" si="11"/>
        <v>0</v>
      </c>
      <c r="M52" s="298" cm="1">
        <f t="array" ref="M52">INDEX(FX_Emis,R52,18)</f>
        <v>0</v>
      </c>
      <c r="O52">
        <f t="shared" si="13"/>
        <v>63</v>
      </c>
      <c r="P52">
        <f t="shared" si="14"/>
        <v>1</v>
      </c>
      <c r="Q52">
        <v>2</v>
      </c>
      <c r="R52">
        <f t="shared" si="15"/>
        <v>32</v>
      </c>
    </row>
    <row r="53" spans="3:18" ht="15.45" x14ac:dyDescent="0.4">
      <c r="C53" s="247" t="str" cm="1">
        <f t="array" ref="C53">INDEX(FX_Input,O53,1)</f>
        <v>FX - 33</v>
      </c>
      <c r="D53" s="247" t="str" cm="1">
        <f t="array" ref="D53">INDEX(FX_Input,O53,Q53)</f>
        <v>FIXTANK 150</v>
      </c>
      <c r="E53" s="363" t="s">
        <v>2015</v>
      </c>
      <c r="F53" s="222">
        <v>1088</v>
      </c>
      <c r="G53" s="222">
        <f t="shared" si="9"/>
        <v>45696</v>
      </c>
      <c r="H53" s="282">
        <v>24</v>
      </c>
      <c r="I53" s="282">
        <v>18</v>
      </c>
      <c r="J53" s="221">
        <f t="shared" si="12"/>
        <v>0</v>
      </c>
      <c r="K53" s="387">
        <f t="shared" si="10"/>
        <v>0</v>
      </c>
      <c r="L53" s="387">
        <f t="shared" si="11"/>
        <v>0</v>
      </c>
      <c r="M53" s="304" cm="1">
        <f t="array" ref="M53">INDEX(FX_Emis,R53,18)</f>
        <v>0</v>
      </c>
      <c r="O53">
        <f t="shared" si="13"/>
        <v>65</v>
      </c>
      <c r="P53">
        <f t="shared" si="14"/>
        <v>1</v>
      </c>
      <c r="Q53">
        <v>2</v>
      </c>
      <c r="R53">
        <f t="shared" si="15"/>
        <v>33</v>
      </c>
    </row>
    <row r="54" spans="3:18" ht="15.45" x14ac:dyDescent="0.4">
      <c r="C54" s="247" t="str" cm="1">
        <f t="array" ref="C54">INDEX(FX_Input,O54,1)</f>
        <v>FX - 34</v>
      </c>
      <c r="D54" s="247" t="str" cm="1">
        <f t="array" ref="D54">INDEX(FX_Input,O54,Q54)</f>
        <v>FIXTANK 151</v>
      </c>
      <c r="E54" s="363" t="s">
        <v>2015</v>
      </c>
      <c r="F54" s="222">
        <v>725</v>
      </c>
      <c r="G54" s="222">
        <f t="shared" si="9"/>
        <v>30450</v>
      </c>
      <c r="H54" s="282">
        <v>36</v>
      </c>
      <c r="I54" s="282">
        <v>12</v>
      </c>
      <c r="J54" s="221">
        <f t="shared" si="12"/>
        <v>0</v>
      </c>
      <c r="K54" s="387">
        <f t="shared" si="10"/>
        <v>0</v>
      </c>
      <c r="L54" s="387">
        <f t="shared" si="11"/>
        <v>0</v>
      </c>
      <c r="M54" s="294" cm="1">
        <f t="array" ref="M54">INDEX(FX_Emis,R54,18)</f>
        <v>0</v>
      </c>
      <c r="O54">
        <f t="shared" si="13"/>
        <v>67</v>
      </c>
      <c r="P54">
        <f t="shared" si="14"/>
        <v>1</v>
      </c>
      <c r="Q54">
        <v>2</v>
      </c>
      <c r="R54">
        <f t="shared" si="15"/>
        <v>34</v>
      </c>
    </row>
    <row r="55" spans="3:18" ht="15.45" x14ac:dyDescent="0.4">
      <c r="C55" s="247" t="str" cm="1">
        <f t="array" ref="C55">INDEX(FX_Input,O55,1)</f>
        <v>FX - 35</v>
      </c>
      <c r="D55" s="247" t="str" cm="1">
        <f t="array" ref="D55">INDEX(FX_Input,O55,Q55)</f>
        <v>FIXTANK 152</v>
      </c>
      <c r="E55" s="363" t="s">
        <v>2015</v>
      </c>
      <c r="F55" s="222">
        <v>725</v>
      </c>
      <c r="G55" s="222">
        <f t="shared" si="9"/>
        <v>30450</v>
      </c>
      <c r="H55" s="282">
        <v>36</v>
      </c>
      <c r="I55" s="282">
        <v>12</v>
      </c>
      <c r="J55" s="221">
        <f t="shared" si="12"/>
        <v>0</v>
      </c>
      <c r="K55" s="387">
        <f t="shared" si="10"/>
        <v>0</v>
      </c>
      <c r="L55" s="387">
        <f t="shared" si="11"/>
        <v>0</v>
      </c>
      <c r="M55" s="304" cm="1">
        <f t="array" ref="M55">INDEX(FX_Emis,R55,18)</f>
        <v>0</v>
      </c>
      <c r="O55">
        <f t="shared" si="13"/>
        <v>69</v>
      </c>
      <c r="P55">
        <f t="shared" si="14"/>
        <v>1</v>
      </c>
      <c r="Q55">
        <v>2</v>
      </c>
      <c r="R55">
        <f t="shared" si="15"/>
        <v>35</v>
      </c>
    </row>
    <row r="56" spans="3:18" ht="15.45" x14ac:dyDescent="0.4">
      <c r="C56" s="247" t="str" cm="1">
        <f t="array" ref="C56">INDEX(FX_Input,O56,1)</f>
        <v>FX - 36</v>
      </c>
      <c r="D56" s="247" t="str" cm="1">
        <f t="array" ref="D56">INDEX(FX_Input,O56,Q56)</f>
        <v>FIXTANK 157</v>
      </c>
      <c r="E56" s="363" t="s">
        <v>2015</v>
      </c>
      <c r="F56" s="222">
        <v>1088</v>
      </c>
      <c r="G56" s="222">
        <f t="shared" si="9"/>
        <v>45696</v>
      </c>
      <c r="H56" s="282">
        <v>20</v>
      </c>
      <c r="I56" s="282">
        <v>18</v>
      </c>
      <c r="J56" s="221">
        <f t="shared" si="12"/>
        <v>0</v>
      </c>
      <c r="K56" s="387">
        <f t="shared" si="10"/>
        <v>0</v>
      </c>
      <c r="L56" s="387">
        <f t="shared" si="11"/>
        <v>0</v>
      </c>
      <c r="M56" s="294" cm="1">
        <f t="array" ref="M56">INDEX(FX_Emis,R56,18)</f>
        <v>0</v>
      </c>
      <c r="O56">
        <f t="shared" si="13"/>
        <v>71</v>
      </c>
      <c r="P56">
        <f t="shared" si="14"/>
        <v>1</v>
      </c>
      <c r="Q56">
        <v>2</v>
      </c>
      <c r="R56">
        <f t="shared" si="15"/>
        <v>36</v>
      </c>
    </row>
    <row r="57" spans="3:18" ht="15.45" x14ac:dyDescent="0.4">
      <c r="C57" s="247" t="str" cm="1">
        <f t="array" ref="C57">INDEX(FX_Input,O57,1)</f>
        <v>FX - 37</v>
      </c>
      <c r="D57" s="247" t="str" cm="1">
        <f t="array" ref="D57">INDEX(FX_Input,O57,Q57)</f>
        <v>FIXTANK 158</v>
      </c>
      <c r="E57" s="363" t="s">
        <v>2015</v>
      </c>
      <c r="F57" s="222">
        <v>1088</v>
      </c>
      <c r="G57" s="222">
        <f t="shared" si="9"/>
        <v>45696</v>
      </c>
      <c r="H57" s="282">
        <v>24</v>
      </c>
      <c r="I57" s="282">
        <v>18</v>
      </c>
      <c r="J57" s="221">
        <f t="shared" si="12"/>
        <v>0</v>
      </c>
      <c r="K57" s="387">
        <f t="shared" si="10"/>
        <v>0</v>
      </c>
      <c r="L57" s="387">
        <f t="shared" si="11"/>
        <v>0</v>
      </c>
      <c r="M57" s="277" cm="1">
        <f t="array" ref="M57">INDEX(FX_Emis,R57,18)</f>
        <v>0</v>
      </c>
      <c r="O57">
        <f t="shared" si="13"/>
        <v>73</v>
      </c>
      <c r="P57">
        <f t="shared" si="14"/>
        <v>1</v>
      </c>
      <c r="Q57">
        <v>2</v>
      </c>
      <c r="R57">
        <f t="shared" si="15"/>
        <v>37</v>
      </c>
    </row>
    <row r="58" spans="3:18" ht="15.45" x14ac:dyDescent="0.4">
      <c r="C58" s="247" t="str" cm="1">
        <f t="array" ref="C58">INDEX(FX_Input,O58,1)</f>
        <v>FX - 38</v>
      </c>
      <c r="D58" s="247" t="str" cm="1">
        <f t="array" ref="D58">INDEX(FX_Input,O58,Q58)</f>
        <v>FIXTANK 166</v>
      </c>
      <c r="E58" s="363" t="s">
        <v>1988</v>
      </c>
      <c r="F58" s="222">
        <v>944</v>
      </c>
      <c r="G58" s="222">
        <f t="shared" si="9"/>
        <v>39648</v>
      </c>
      <c r="H58" s="282">
        <v>30</v>
      </c>
      <c r="I58" s="282">
        <v>15</v>
      </c>
      <c r="J58" s="221">
        <v>1</v>
      </c>
      <c r="K58" s="387">
        <f t="shared" si="10"/>
        <v>944</v>
      </c>
      <c r="L58" s="387">
        <f t="shared" si="11"/>
        <v>11328</v>
      </c>
      <c r="M58" s="277" cm="1">
        <f t="array" ref="M58">INDEX(FX_Emis,R58,18)</f>
        <v>4.7191940464477063E-3</v>
      </c>
      <c r="O58">
        <f t="shared" si="13"/>
        <v>75</v>
      </c>
      <c r="P58">
        <f t="shared" si="14"/>
        <v>1</v>
      </c>
      <c r="Q58">
        <v>2</v>
      </c>
      <c r="R58">
        <f t="shared" si="15"/>
        <v>38</v>
      </c>
    </row>
    <row r="59" spans="3:18" ht="15.45" x14ac:dyDescent="0.4">
      <c r="C59" s="247" t="str" cm="1">
        <f t="array" ref="C59">INDEX(FX_Input,O59,1)</f>
        <v>FX - 39</v>
      </c>
      <c r="D59" s="247" t="str" cm="1">
        <f t="array" ref="D59">INDEX(FX_Input,O59,Q59)</f>
        <v>FIXTANK 167</v>
      </c>
      <c r="E59" s="363" t="s">
        <v>1988</v>
      </c>
      <c r="F59" s="222">
        <v>944</v>
      </c>
      <c r="G59" s="222">
        <f t="shared" si="9"/>
        <v>39648</v>
      </c>
      <c r="H59" s="282">
        <v>30</v>
      </c>
      <c r="I59" s="282">
        <v>15</v>
      </c>
      <c r="J59" s="221">
        <f t="shared" si="12"/>
        <v>1</v>
      </c>
      <c r="K59" s="387">
        <f t="shared" si="10"/>
        <v>944</v>
      </c>
      <c r="L59" s="387">
        <f t="shared" si="11"/>
        <v>11328</v>
      </c>
      <c r="M59" s="294" cm="1">
        <f t="array" ref="M59">INDEX(FX_Emis,R59,18)</f>
        <v>4.7191940464477063E-3</v>
      </c>
      <c r="O59">
        <f t="shared" si="13"/>
        <v>77</v>
      </c>
      <c r="P59">
        <f t="shared" si="14"/>
        <v>1</v>
      </c>
      <c r="Q59">
        <v>2</v>
      </c>
      <c r="R59">
        <f t="shared" si="15"/>
        <v>39</v>
      </c>
    </row>
    <row r="60" spans="3:18" ht="15.45" x14ac:dyDescent="0.4">
      <c r="C60" s="247" t="str" cm="1">
        <f t="array" ref="C60">INDEX(FX_Input,O60,1)</f>
        <v>FX - 40</v>
      </c>
      <c r="D60" s="247" t="str" cm="1">
        <f t="array" ref="D60">INDEX(FX_Input,O60,Q60)</f>
        <v>FIXTANK 168</v>
      </c>
      <c r="E60" s="363" t="s">
        <v>1988</v>
      </c>
      <c r="F60" s="222">
        <v>944</v>
      </c>
      <c r="G60" s="222">
        <f t="shared" si="9"/>
        <v>39648</v>
      </c>
      <c r="H60" s="282">
        <v>30</v>
      </c>
      <c r="I60" s="282">
        <v>15</v>
      </c>
      <c r="J60" s="221">
        <f t="shared" si="12"/>
        <v>1</v>
      </c>
      <c r="K60" s="387">
        <f t="shared" si="10"/>
        <v>944</v>
      </c>
      <c r="L60" s="387">
        <f t="shared" si="11"/>
        <v>11328</v>
      </c>
      <c r="M60" s="294" cm="1">
        <f t="array" ref="M60">INDEX(FX_Emis,R60,18)</f>
        <v>4.7191940464477063E-3</v>
      </c>
      <c r="O60">
        <f t="shared" si="13"/>
        <v>79</v>
      </c>
      <c r="P60">
        <f t="shared" si="14"/>
        <v>1</v>
      </c>
      <c r="Q60">
        <v>2</v>
      </c>
      <c r="R60">
        <f t="shared" si="15"/>
        <v>40</v>
      </c>
    </row>
    <row r="61" spans="3:18" ht="15.45" x14ac:dyDescent="0.4">
      <c r="C61" s="247" t="str" cm="1">
        <f t="array" ref="C61">INDEX(FX_Input,O61,1)</f>
        <v>FX - 41</v>
      </c>
      <c r="D61" s="247" t="str" cm="1">
        <f t="array" ref="D61">INDEX(FX_Input,O61,Q61)</f>
        <v>FIXTANK 169</v>
      </c>
      <c r="E61" s="363" t="s">
        <v>1988</v>
      </c>
      <c r="F61" s="222">
        <v>566</v>
      </c>
      <c r="G61" s="222">
        <f t="shared" si="9"/>
        <v>23772</v>
      </c>
      <c r="H61" s="282">
        <v>18</v>
      </c>
      <c r="I61" s="282">
        <v>15</v>
      </c>
      <c r="J61" s="221">
        <f t="shared" si="12"/>
        <v>1</v>
      </c>
      <c r="K61" s="387">
        <f t="shared" si="10"/>
        <v>566</v>
      </c>
      <c r="L61" s="387">
        <f t="shared" si="11"/>
        <v>6792</v>
      </c>
      <c r="M61" s="280" cm="1">
        <f t="array" ref="M61">INDEX(FX_Emis,R61,18)</f>
        <v>2.8295167693743661E-3</v>
      </c>
      <c r="O61">
        <f t="shared" si="13"/>
        <v>81</v>
      </c>
      <c r="P61">
        <f t="shared" si="14"/>
        <v>1</v>
      </c>
      <c r="Q61">
        <v>2</v>
      </c>
      <c r="R61">
        <f t="shared" si="15"/>
        <v>41</v>
      </c>
    </row>
    <row r="62" spans="3:18" ht="15.45" x14ac:dyDescent="0.4">
      <c r="C62" s="247" t="str" cm="1">
        <f t="array" ref="C62">INDEX(FX_Input,O62,1)</f>
        <v>FX - 42</v>
      </c>
      <c r="D62" s="247" t="str" cm="1">
        <f t="array" ref="D62">INDEX(FX_Input,O62,Q62)</f>
        <v>FIXTANK 170</v>
      </c>
      <c r="E62" s="363" t="s">
        <v>1988</v>
      </c>
      <c r="F62" s="222">
        <v>3223</v>
      </c>
      <c r="G62" s="222">
        <f t="shared" si="9"/>
        <v>135366</v>
      </c>
      <c r="H62" s="282">
        <v>40</v>
      </c>
      <c r="I62" s="282">
        <v>24</v>
      </c>
      <c r="J62" s="221">
        <f t="shared" si="12"/>
        <v>1</v>
      </c>
      <c r="K62" s="387">
        <f t="shared" si="10"/>
        <v>3223</v>
      </c>
      <c r="L62" s="387">
        <f t="shared" si="11"/>
        <v>38676</v>
      </c>
      <c r="M62" s="294" cm="1">
        <f t="array" ref="M62">INDEX(FX_Emis,R62,18)</f>
        <v>1.6112248317479826E-2</v>
      </c>
      <c r="O62">
        <f t="shared" si="13"/>
        <v>83</v>
      </c>
      <c r="P62">
        <f t="shared" si="14"/>
        <v>1</v>
      </c>
      <c r="Q62">
        <v>2</v>
      </c>
      <c r="R62">
        <f t="shared" si="15"/>
        <v>42</v>
      </c>
    </row>
    <row r="63" spans="3:18" ht="15.45" x14ac:dyDescent="0.4">
      <c r="C63" s="247" t="str" cm="1">
        <f t="array" ref="C63">INDEX(FX_Input,O63,1)</f>
        <v>FX - 43</v>
      </c>
      <c r="D63" s="247" t="str" cm="1">
        <f t="array" ref="D63">INDEX(FX_Input,O63,Q63)</f>
        <v>FIXTANK 171</v>
      </c>
      <c r="E63" s="363" t="s">
        <v>1988</v>
      </c>
      <c r="F63" s="222">
        <v>3223</v>
      </c>
      <c r="G63" s="222">
        <f t="shared" si="9"/>
        <v>135366</v>
      </c>
      <c r="H63" s="282">
        <v>40</v>
      </c>
      <c r="I63" s="282">
        <v>24</v>
      </c>
      <c r="J63" s="221">
        <f t="shared" si="12"/>
        <v>1</v>
      </c>
      <c r="K63" s="387">
        <f t="shared" si="10"/>
        <v>3223</v>
      </c>
      <c r="L63" s="387">
        <f t="shared" si="11"/>
        <v>38676</v>
      </c>
      <c r="M63" s="277" cm="1">
        <f t="array" ref="M63">INDEX(FX_Emis,R63,18)</f>
        <v>1.6112248317479826E-2</v>
      </c>
      <c r="O63">
        <f t="shared" si="13"/>
        <v>85</v>
      </c>
      <c r="P63">
        <f t="shared" si="14"/>
        <v>1</v>
      </c>
      <c r="Q63">
        <v>2</v>
      </c>
      <c r="R63">
        <f t="shared" si="15"/>
        <v>43</v>
      </c>
    </row>
    <row r="64" spans="3:18" ht="15.45" x14ac:dyDescent="0.4">
      <c r="C64" s="247" t="str" cm="1">
        <f t="array" ref="C64">INDEX(FX_Input,O64,1)</f>
        <v>FX - 44</v>
      </c>
      <c r="D64" s="247" t="str" cm="1">
        <f t="array" ref="D64">INDEX(FX_Input,O64,Q64)</f>
        <v>FIXTANK 172</v>
      </c>
      <c r="E64" s="363" t="s">
        <v>1988</v>
      </c>
      <c r="F64" s="222">
        <v>3223</v>
      </c>
      <c r="G64" s="222">
        <f t="shared" si="9"/>
        <v>135366</v>
      </c>
      <c r="H64" s="282">
        <v>40</v>
      </c>
      <c r="I64" s="282">
        <v>24</v>
      </c>
      <c r="J64" s="221">
        <f t="shared" si="12"/>
        <v>1</v>
      </c>
      <c r="K64" s="387">
        <f t="shared" si="10"/>
        <v>3223</v>
      </c>
      <c r="L64" s="387">
        <f t="shared" si="11"/>
        <v>38676</v>
      </c>
      <c r="M64" s="294" cm="1">
        <f t="array" ref="M64">INDEX(FX_Emis,R64,18)</f>
        <v>1.6112248317479826E-2</v>
      </c>
      <c r="O64">
        <f t="shared" si="13"/>
        <v>87</v>
      </c>
      <c r="P64">
        <f t="shared" si="14"/>
        <v>1</v>
      </c>
      <c r="Q64">
        <v>2</v>
      </c>
      <c r="R64">
        <f t="shared" si="15"/>
        <v>44</v>
      </c>
    </row>
    <row r="65" spans="3:18" ht="15.45" x14ac:dyDescent="0.4">
      <c r="C65" s="247" t="str" cm="1">
        <f t="array" ref="C65">INDEX(FX_Input,O65,1)</f>
        <v>FX - 45</v>
      </c>
      <c r="D65" s="247" t="str" cm="1">
        <f t="array" ref="D65">INDEX(FX_Input,O65,Q65)</f>
        <v>FIXTANK 173</v>
      </c>
      <c r="E65" s="363" t="s">
        <v>1988</v>
      </c>
      <c r="F65" s="222">
        <v>3223</v>
      </c>
      <c r="G65" s="222">
        <f t="shared" si="9"/>
        <v>135366</v>
      </c>
      <c r="H65" s="282">
        <v>40</v>
      </c>
      <c r="I65" s="282">
        <v>24</v>
      </c>
      <c r="J65" s="221">
        <f t="shared" si="12"/>
        <v>1</v>
      </c>
      <c r="K65" s="387">
        <f t="shared" si="10"/>
        <v>3223</v>
      </c>
      <c r="L65" s="387">
        <f t="shared" si="11"/>
        <v>38676</v>
      </c>
      <c r="M65" s="294" cm="1">
        <f t="array" ref="M65">INDEX(FX_Emis,R65,18)</f>
        <v>1.6112248317479826E-2</v>
      </c>
      <c r="O65">
        <f t="shared" si="13"/>
        <v>89</v>
      </c>
      <c r="P65">
        <f t="shared" si="14"/>
        <v>1</v>
      </c>
      <c r="Q65">
        <v>2</v>
      </c>
      <c r="R65">
        <f t="shared" si="15"/>
        <v>45</v>
      </c>
    </row>
    <row r="66" spans="3:18" ht="15.45" x14ac:dyDescent="0.4">
      <c r="C66" s="247" t="str" cm="1">
        <f t="array" ref="C66">INDEX(FX_Input,O66,1)</f>
        <v>FX - 46</v>
      </c>
      <c r="D66" s="247" t="str" cm="1">
        <f t="array" ref="D66">INDEX(FX_Input,O66,Q66)</f>
        <v>FIXTANK 174</v>
      </c>
      <c r="E66" s="363" t="s">
        <v>1988</v>
      </c>
      <c r="F66" s="222">
        <v>3223</v>
      </c>
      <c r="G66" s="222">
        <f t="shared" si="9"/>
        <v>135366</v>
      </c>
      <c r="H66" s="282">
        <v>40</v>
      </c>
      <c r="I66" s="282">
        <v>24</v>
      </c>
      <c r="J66" s="221">
        <f t="shared" si="12"/>
        <v>1</v>
      </c>
      <c r="K66" s="387">
        <f t="shared" si="10"/>
        <v>3223</v>
      </c>
      <c r="L66" s="387">
        <f t="shared" si="11"/>
        <v>38676</v>
      </c>
      <c r="M66" s="294" cm="1">
        <f t="array" ref="M66">INDEX(FX_Emis,R66,18)</f>
        <v>1.6112248317479826E-2</v>
      </c>
      <c r="O66">
        <f t="shared" si="13"/>
        <v>91</v>
      </c>
      <c r="P66">
        <f t="shared" si="14"/>
        <v>1</v>
      </c>
      <c r="Q66">
        <v>2</v>
      </c>
      <c r="R66">
        <f t="shared" si="15"/>
        <v>46</v>
      </c>
    </row>
    <row r="67" spans="3:18" ht="15.45" x14ac:dyDescent="0.4">
      <c r="C67" s="247" t="str" cm="1">
        <f t="array" ref="C67">INDEX(FX_Input,O67,1)</f>
        <v>FX - 47</v>
      </c>
      <c r="D67" s="247" t="str" cm="1">
        <f t="array" ref="D67">INDEX(FX_Input,O67,Q67)</f>
        <v>FIXTANK 176</v>
      </c>
      <c r="E67" s="363" t="s">
        <v>2015</v>
      </c>
      <c r="F67" s="222">
        <v>1000</v>
      </c>
      <c r="G67" s="222">
        <f t="shared" si="9"/>
        <v>42000</v>
      </c>
      <c r="H67" s="282">
        <v>31.5</v>
      </c>
      <c r="I67" s="282">
        <v>15</v>
      </c>
      <c r="J67" s="221">
        <v>0</v>
      </c>
      <c r="K67" s="387">
        <f t="shared" si="10"/>
        <v>0</v>
      </c>
      <c r="L67" s="387">
        <f t="shared" si="11"/>
        <v>0</v>
      </c>
      <c r="M67" s="294" cm="1">
        <f t="array" ref="M67">INDEX(FX_Emis,R67,18)</f>
        <v>0</v>
      </c>
      <c r="O67">
        <f t="shared" si="13"/>
        <v>93</v>
      </c>
      <c r="P67">
        <f t="shared" si="14"/>
        <v>1</v>
      </c>
      <c r="Q67">
        <v>2</v>
      </c>
      <c r="R67">
        <f t="shared" si="15"/>
        <v>47</v>
      </c>
    </row>
    <row r="68" spans="3:18" ht="15.45" x14ac:dyDescent="0.4">
      <c r="C68" s="247" t="str" cm="1">
        <f t="array" ref="C68">INDEX(FX_Input,O68,1)</f>
        <v>FX - 48</v>
      </c>
      <c r="D68" s="247" t="str" cm="1">
        <f t="array" ref="D68">INDEX(FX_Input,O68,Q68)</f>
        <v>FIXTANK 177</v>
      </c>
      <c r="E68" s="363" t="s">
        <v>2015</v>
      </c>
      <c r="F68" s="222">
        <v>721</v>
      </c>
      <c r="G68" s="222">
        <f t="shared" si="9"/>
        <v>30282</v>
      </c>
      <c r="H68" s="282">
        <v>33</v>
      </c>
      <c r="I68" s="282">
        <v>12.5</v>
      </c>
      <c r="J68" s="221">
        <v>0</v>
      </c>
      <c r="K68" s="387">
        <f t="shared" si="10"/>
        <v>0</v>
      </c>
      <c r="L68" s="387">
        <f t="shared" si="11"/>
        <v>0</v>
      </c>
      <c r="M68" s="294" cm="1">
        <f t="array" ref="M68">INDEX(FX_Emis,R68,18)</f>
        <v>0</v>
      </c>
      <c r="O68">
        <f t="shared" si="13"/>
        <v>95</v>
      </c>
      <c r="P68">
        <f t="shared" si="14"/>
        <v>1</v>
      </c>
      <c r="Q68">
        <v>2</v>
      </c>
      <c r="R68">
        <f t="shared" si="15"/>
        <v>48</v>
      </c>
    </row>
    <row r="69" spans="3:18" ht="15.45" x14ac:dyDescent="0.4">
      <c r="C69" s="247" t="str" cm="1">
        <f t="array" ref="C69">INDEX(FX_Input,O69,1)</f>
        <v>FX - 49</v>
      </c>
      <c r="D69" s="247" t="str" cm="1">
        <f t="array" ref="D69">INDEX(FX_Input,O69,Q69)</f>
        <v>FIXTANK 179</v>
      </c>
      <c r="E69" s="363" t="s">
        <v>1988</v>
      </c>
      <c r="F69" s="222">
        <v>463</v>
      </c>
      <c r="G69" s="222">
        <f t="shared" si="9"/>
        <v>19446</v>
      </c>
      <c r="H69" s="282">
        <v>30</v>
      </c>
      <c r="I69" s="282">
        <v>10.5</v>
      </c>
      <c r="J69" s="221">
        <v>1</v>
      </c>
      <c r="K69" s="387">
        <f t="shared" si="10"/>
        <v>463</v>
      </c>
      <c r="L69" s="387">
        <f t="shared" si="11"/>
        <v>5556</v>
      </c>
      <c r="M69" s="294" cm="1">
        <f t="array" ref="M69">INDEX(FX_Emis,R69,18)</f>
        <v>3.4680178715988759E-3</v>
      </c>
      <c r="O69">
        <f t="shared" si="13"/>
        <v>97</v>
      </c>
      <c r="P69">
        <f t="shared" si="14"/>
        <v>1</v>
      </c>
      <c r="Q69">
        <v>2</v>
      </c>
      <c r="R69">
        <f t="shared" si="15"/>
        <v>49</v>
      </c>
    </row>
    <row r="70" spans="3:18" ht="15.45" x14ac:dyDescent="0.4">
      <c r="C70" s="247" t="str" cm="1">
        <f t="array" ref="C70">INDEX(FX_Input,O70,1)</f>
        <v>FX - 50</v>
      </c>
      <c r="D70" s="247" t="str" cm="1">
        <f t="array" ref="D70">INDEX(FX_Input,O70,Q70)</f>
        <v>FIXTANK 180</v>
      </c>
      <c r="E70" s="363" t="s">
        <v>1988</v>
      </c>
      <c r="F70" s="222">
        <v>463</v>
      </c>
      <c r="G70" s="222">
        <f t="shared" si="9"/>
        <v>19446</v>
      </c>
      <c r="H70" s="282">
        <v>30</v>
      </c>
      <c r="I70" s="282">
        <v>10.5</v>
      </c>
      <c r="J70" s="221">
        <f t="shared" si="12"/>
        <v>1</v>
      </c>
      <c r="K70" s="387">
        <f t="shared" si="10"/>
        <v>463</v>
      </c>
      <c r="L70" s="387">
        <f t="shared" si="11"/>
        <v>5556</v>
      </c>
      <c r="M70" s="294" cm="1">
        <f t="array" ref="M70">INDEX(FX_Emis,R70,18)</f>
        <v>3.4680178715988759E-3</v>
      </c>
      <c r="O70">
        <f t="shared" si="13"/>
        <v>99</v>
      </c>
      <c r="P70">
        <f t="shared" si="14"/>
        <v>1</v>
      </c>
      <c r="Q70">
        <v>2</v>
      </c>
      <c r="R70">
        <f t="shared" si="15"/>
        <v>50</v>
      </c>
    </row>
    <row r="71" spans="3:18" ht="15.45" x14ac:dyDescent="0.4">
      <c r="C71" s="247" t="str" cm="1">
        <f t="array" ref="C71">INDEX(FX_Input,O71,1)</f>
        <v>FX - 51</v>
      </c>
      <c r="D71" s="247" t="str" cm="1">
        <f t="array" ref="D71">INDEX(FX_Input,O71,Q71)</f>
        <v>FIXTANK 181</v>
      </c>
      <c r="E71" s="363" t="s">
        <v>2015</v>
      </c>
      <c r="F71" s="222">
        <v>1007</v>
      </c>
      <c r="G71" s="222">
        <f t="shared" si="9"/>
        <v>42294</v>
      </c>
      <c r="H71" s="282">
        <v>32</v>
      </c>
      <c r="I71" s="282">
        <v>15</v>
      </c>
      <c r="J71" s="221">
        <v>0</v>
      </c>
      <c r="K71" s="387">
        <f t="shared" si="10"/>
        <v>0</v>
      </c>
      <c r="L71" s="387">
        <f t="shared" si="11"/>
        <v>0</v>
      </c>
      <c r="M71" s="294" cm="1">
        <f t="array" ref="M71">INDEX(FX_Emis,R71,18)</f>
        <v>0</v>
      </c>
      <c r="O71">
        <f t="shared" si="13"/>
        <v>101</v>
      </c>
      <c r="P71">
        <f t="shared" si="14"/>
        <v>1</v>
      </c>
      <c r="Q71">
        <v>2</v>
      </c>
      <c r="R71">
        <f t="shared" si="15"/>
        <v>51</v>
      </c>
    </row>
    <row r="72" spans="3:18" ht="15.45" x14ac:dyDescent="0.4">
      <c r="C72" s="247" t="str" cm="1">
        <f t="array" ref="C72">INDEX(FX_Input,O72,1)</f>
        <v>FX - 52</v>
      </c>
      <c r="D72" s="247" t="str" cm="1">
        <f t="array" ref="D72">INDEX(FX_Input,O72,Q72)</f>
        <v>FIXTANK 182</v>
      </c>
      <c r="E72" s="363" t="s">
        <v>1988</v>
      </c>
      <c r="F72" s="222">
        <v>5290</v>
      </c>
      <c r="G72" s="222">
        <f t="shared" si="9"/>
        <v>222180</v>
      </c>
      <c r="H72" s="282">
        <v>42</v>
      </c>
      <c r="I72" s="282">
        <v>30</v>
      </c>
      <c r="J72" s="221">
        <v>1</v>
      </c>
      <c r="K72" s="387">
        <f t="shared" si="10"/>
        <v>5290</v>
      </c>
      <c r="L72" s="387">
        <f t="shared" si="11"/>
        <v>63480</v>
      </c>
      <c r="M72" s="294" cm="1">
        <f t="array" ref="M72">INDEX(FX_Emis,R72,18)</f>
        <v>5.1551600691114238E-2</v>
      </c>
      <c r="O72">
        <f t="shared" si="13"/>
        <v>103</v>
      </c>
      <c r="P72">
        <f t="shared" si="14"/>
        <v>1</v>
      </c>
      <c r="Q72">
        <v>2</v>
      </c>
      <c r="R72">
        <f t="shared" si="15"/>
        <v>52</v>
      </c>
    </row>
    <row r="73" spans="3:18" ht="15.45" x14ac:dyDescent="0.4">
      <c r="C73" s="247" t="str" cm="1">
        <f t="array" ref="C73">INDEX(FX_Input,O73,1)</f>
        <v>FX - 53</v>
      </c>
      <c r="D73" s="247" t="str" cm="1">
        <f t="array" ref="D73">INDEX(FX_Input,O73,Q73)</f>
        <v>FIXTANK 183</v>
      </c>
      <c r="E73" s="363" t="s">
        <v>1988</v>
      </c>
      <c r="F73" s="222">
        <v>5290</v>
      </c>
      <c r="G73" s="222">
        <f t="shared" si="9"/>
        <v>222180</v>
      </c>
      <c r="H73" s="282">
        <v>42</v>
      </c>
      <c r="I73" s="282">
        <v>30</v>
      </c>
      <c r="J73" s="221">
        <f t="shared" si="12"/>
        <v>1</v>
      </c>
      <c r="K73" s="387">
        <f t="shared" si="10"/>
        <v>5290</v>
      </c>
      <c r="L73" s="387">
        <f t="shared" si="11"/>
        <v>63480</v>
      </c>
      <c r="M73" s="294" cm="1">
        <f t="array" ref="M73">INDEX(FX_Emis,R73,18)</f>
        <v>5.1551600691114238E-2</v>
      </c>
      <c r="O73">
        <f t="shared" si="13"/>
        <v>105</v>
      </c>
      <c r="P73">
        <f t="shared" si="14"/>
        <v>1</v>
      </c>
      <c r="Q73">
        <v>2</v>
      </c>
      <c r="R73">
        <f t="shared" si="15"/>
        <v>53</v>
      </c>
    </row>
    <row r="74" spans="3:18" ht="15.45" x14ac:dyDescent="0.4">
      <c r="C74" s="247" t="str" cm="1">
        <f t="array" ref="C74">INDEX(FX_Input,O74,1)</f>
        <v>FX - 54</v>
      </c>
      <c r="D74" s="427" t="str" cm="1">
        <f t="array" ref="D74">INDEX(FX_Input,O74,Q74)</f>
        <v>FIXTANK 184</v>
      </c>
      <c r="E74" s="363" t="s">
        <v>1988</v>
      </c>
      <c r="F74" s="222">
        <v>5287</v>
      </c>
      <c r="G74" s="222">
        <f t="shared" si="9"/>
        <v>222054</v>
      </c>
      <c r="H74" s="282">
        <v>42</v>
      </c>
      <c r="I74" s="282">
        <v>30</v>
      </c>
      <c r="J74" s="221">
        <f t="shared" si="12"/>
        <v>1</v>
      </c>
      <c r="K74" s="387">
        <f t="shared" si="10"/>
        <v>5287</v>
      </c>
      <c r="L74" s="387">
        <f t="shared" si="11"/>
        <v>63444</v>
      </c>
      <c r="M74" s="294" cm="1">
        <f t="array" ref="M74">INDEX(FX_Emis,R74,18)</f>
        <v>5.1533286242303175E-2</v>
      </c>
      <c r="O74">
        <f t="shared" si="13"/>
        <v>107</v>
      </c>
      <c r="P74">
        <f t="shared" si="14"/>
        <v>1</v>
      </c>
      <c r="Q74">
        <v>2</v>
      </c>
      <c r="R74">
        <f t="shared" si="15"/>
        <v>54</v>
      </c>
    </row>
    <row r="75" spans="3:18" ht="15.45" x14ac:dyDescent="0.4">
      <c r="C75" s="247" t="str" cm="1">
        <f t="array" ref="C75">INDEX(FX_Input,O75,1)</f>
        <v>FX - 55</v>
      </c>
      <c r="D75" s="247" t="str" cm="1">
        <f t="array" ref="D75">INDEX(FX_Input,O75,Q75)</f>
        <v>FIXTANK 185</v>
      </c>
      <c r="E75" s="363" t="s">
        <v>1988</v>
      </c>
      <c r="F75" s="222">
        <v>5287</v>
      </c>
      <c r="G75" s="222">
        <f t="shared" si="9"/>
        <v>222054</v>
      </c>
      <c r="H75" s="282">
        <v>42</v>
      </c>
      <c r="I75" s="282">
        <v>30</v>
      </c>
      <c r="J75" s="221">
        <f t="shared" si="12"/>
        <v>1</v>
      </c>
      <c r="K75" s="387">
        <f t="shared" si="10"/>
        <v>5287</v>
      </c>
      <c r="L75" s="387">
        <f t="shared" si="11"/>
        <v>63444</v>
      </c>
      <c r="M75" s="294" cm="1">
        <f t="array" ref="M75">INDEX(FX_Emis,R75,18)</f>
        <v>5.1533286242303175E-2</v>
      </c>
      <c r="O75">
        <f t="shared" si="13"/>
        <v>109</v>
      </c>
      <c r="P75">
        <f t="shared" si="14"/>
        <v>1</v>
      </c>
      <c r="Q75">
        <v>2</v>
      </c>
      <c r="R75">
        <f t="shared" si="15"/>
        <v>55</v>
      </c>
    </row>
    <row r="76" spans="3:18" ht="15.45" x14ac:dyDescent="0.4">
      <c r="C76" s="247" t="str" cm="1">
        <f t="array" ref="C76">INDEX(FX_Input,O76,1)</f>
        <v>FX - 56</v>
      </c>
      <c r="D76" s="247" t="str" cm="1">
        <f t="array" ref="D76">INDEX(FX_Input,O76,Q76)</f>
        <v>FIXTANK 202</v>
      </c>
      <c r="E76" s="363" t="s">
        <v>1988</v>
      </c>
      <c r="F76" s="222">
        <v>280</v>
      </c>
      <c r="G76" s="222">
        <f t="shared" si="9"/>
        <v>11760</v>
      </c>
      <c r="H76" s="282">
        <v>20</v>
      </c>
      <c r="I76" s="282">
        <v>10</v>
      </c>
      <c r="J76" s="221">
        <f t="shared" ref="J76:J77" si="16">J75</f>
        <v>1</v>
      </c>
      <c r="K76" s="387">
        <f t="shared" ref="K76:K77" si="17">J76*F76</f>
        <v>280</v>
      </c>
      <c r="L76" s="387">
        <f t="shared" si="11"/>
        <v>3360</v>
      </c>
      <c r="M76" s="294" cm="1">
        <f t="array" ref="M76">INDEX(FX_Emis,R76,18)</f>
        <v>2.0402802180480152E-3</v>
      </c>
      <c r="O76">
        <f t="shared" si="13"/>
        <v>111</v>
      </c>
      <c r="P76">
        <f t="shared" si="14"/>
        <v>1</v>
      </c>
      <c r="Q76">
        <v>2</v>
      </c>
      <c r="R76">
        <f t="shared" si="15"/>
        <v>56</v>
      </c>
    </row>
    <row r="77" spans="3:18" ht="15.45" x14ac:dyDescent="0.4">
      <c r="C77" s="247" t="str" cm="1">
        <f t="array" ref="C77">INDEX(FX_Input,O77,1)</f>
        <v>FX - 57</v>
      </c>
      <c r="D77" s="247" t="str" cm="1">
        <f t="array" ref="D77">INDEX(FX_Input,O77,Q77)</f>
        <v>FIXTANK 203</v>
      </c>
      <c r="E77" s="363" t="s">
        <v>1988</v>
      </c>
      <c r="F77" s="222">
        <v>485</v>
      </c>
      <c r="G77" s="222">
        <f t="shared" si="9"/>
        <v>20370</v>
      </c>
      <c r="H77" s="282">
        <v>24</v>
      </c>
      <c r="I77" s="282">
        <v>12</v>
      </c>
      <c r="J77" s="221">
        <f t="shared" si="16"/>
        <v>1</v>
      </c>
      <c r="K77" s="387">
        <f t="shared" si="17"/>
        <v>485</v>
      </c>
      <c r="L77" s="387">
        <f t="shared" si="11"/>
        <v>5820</v>
      </c>
      <c r="M77" s="294" cm="1">
        <f t="array" ref="M77">INDEX(FX_Emis,R77,18)</f>
        <v>3.5312030728290944E-3</v>
      </c>
      <c r="O77">
        <f t="shared" si="13"/>
        <v>113</v>
      </c>
      <c r="P77">
        <f t="shared" ref="P77:P85" si="18">P76</f>
        <v>1</v>
      </c>
      <c r="Q77">
        <v>2</v>
      </c>
      <c r="R77">
        <f t="shared" si="15"/>
        <v>57</v>
      </c>
    </row>
    <row r="78" spans="3:18" ht="15.45" x14ac:dyDescent="0.4">
      <c r="C78" s="247" t="str" cm="1">
        <f t="array" ref="C78">INDEX(FX_Input,O78,1)</f>
        <v>FX - 58</v>
      </c>
      <c r="D78" s="247" t="str" cm="1">
        <f t="array" ref="D78">INDEX(FX_Input,O78,Q78)</f>
        <v>FIXTANK 204</v>
      </c>
      <c r="E78" s="363" t="s">
        <v>1988</v>
      </c>
      <c r="F78" s="222">
        <v>483</v>
      </c>
      <c r="G78" s="222">
        <f t="shared" si="9"/>
        <v>20286</v>
      </c>
      <c r="H78" s="282">
        <v>24</v>
      </c>
      <c r="I78" s="282">
        <v>12</v>
      </c>
      <c r="J78" s="221">
        <f t="shared" ref="J78:J85" si="19">J77</f>
        <v>1</v>
      </c>
      <c r="K78" s="387">
        <f t="shared" ref="K78:K85" si="20">J78*F78</f>
        <v>483</v>
      </c>
      <c r="L78" s="387">
        <f t="shared" si="11"/>
        <v>5796</v>
      </c>
      <c r="M78" s="294" cm="1">
        <f t="array" ref="M78">INDEX(FX_Emis,R78,18)</f>
        <v>3.5202977650215144E-3</v>
      </c>
      <c r="O78">
        <f t="shared" si="13"/>
        <v>115</v>
      </c>
      <c r="P78">
        <f t="shared" si="18"/>
        <v>1</v>
      </c>
      <c r="Q78">
        <v>2</v>
      </c>
      <c r="R78">
        <f t="shared" si="15"/>
        <v>58</v>
      </c>
    </row>
    <row r="79" spans="3:18" ht="15.45" x14ac:dyDescent="0.4">
      <c r="C79" s="247" t="str" cm="1">
        <f t="array" ref="C79">INDEX(FX_Input,O79,1)</f>
        <v>FX - 59</v>
      </c>
      <c r="D79" s="247" t="str" cm="1">
        <f t="array" ref="D79">INDEX(FX_Input,O79,Q79)</f>
        <v>FIXTANK 205</v>
      </c>
      <c r="E79" s="363" t="s">
        <v>1988</v>
      </c>
      <c r="F79" s="222">
        <v>483</v>
      </c>
      <c r="G79" s="222">
        <f t="shared" si="9"/>
        <v>20286</v>
      </c>
      <c r="H79" s="282">
        <v>24</v>
      </c>
      <c r="I79" s="282">
        <v>12</v>
      </c>
      <c r="J79" s="221">
        <f t="shared" si="19"/>
        <v>1</v>
      </c>
      <c r="K79" s="387">
        <f t="shared" si="20"/>
        <v>483</v>
      </c>
      <c r="L79" s="387">
        <f t="shared" si="11"/>
        <v>5796</v>
      </c>
      <c r="M79" s="294" cm="1">
        <f t="array" ref="M79">INDEX(FX_Emis,R79,18)</f>
        <v>3.5202977650215144E-3</v>
      </c>
      <c r="O79">
        <f t="shared" si="13"/>
        <v>117</v>
      </c>
      <c r="P79">
        <f t="shared" si="18"/>
        <v>1</v>
      </c>
      <c r="Q79">
        <v>2</v>
      </c>
      <c r="R79">
        <f t="shared" si="15"/>
        <v>59</v>
      </c>
    </row>
    <row r="80" spans="3:18" ht="15.45" x14ac:dyDescent="0.4">
      <c r="C80" s="247" t="str" cm="1">
        <f t="array" ref="C80">INDEX(FX_Input,O80,1)</f>
        <v>FX - 60</v>
      </c>
      <c r="D80" s="247" t="str" cm="1">
        <f t="array" ref="D80">INDEX(FX_Input,O80,Q80)</f>
        <v>FIXTANK 207</v>
      </c>
      <c r="E80" s="363" t="s">
        <v>1988</v>
      </c>
      <c r="F80" s="222">
        <v>280</v>
      </c>
      <c r="G80" s="222">
        <f t="shared" si="9"/>
        <v>11760</v>
      </c>
      <c r="H80" s="282">
        <v>20</v>
      </c>
      <c r="I80" s="282">
        <v>10</v>
      </c>
      <c r="J80" s="221">
        <f t="shared" si="19"/>
        <v>1</v>
      </c>
      <c r="K80" s="387">
        <f t="shared" si="20"/>
        <v>280</v>
      </c>
      <c r="L80" s="387">
        <f t="shared" si="11"/>
        <v>3360</v>
      </c>
      <c r="M80" s="294" cm="1">
        <f t="array" ref="M80">INDEX(FX_Emis,R80,18)</f>
        <v>2.0402802180480152E-3</v>
      </c>
      <c r="O80">
        <f t="shared" si="13"/>
        <v>119</v>
      </c>
      <c r="P80">
        <f t="shared" si="18"/>
        <v>1</v>
      </c>
      <c r="Q80">
        <v>2</v>
      </c>
      <c r="R80">
        <f t="shared" si="15"/>
        <v>60</v>
      </c>
    </row>
    <row r="81" spans="3:18" ht="15.45" x14ac:dyDescent="0.4">
      <c r="C81" s="247" t="str" cm="1">
        <f t="array" ref="C81">INDEX(FX_Input,O81,1)</f>
        <v>FX - 61</v>
      </c>
      <c r="D81" s="247" t="str" cm="1">
        <f t="array" ref="D81">INDEX(FX_Input,O81,Q81)</f>
        <v>FIXTANK 208</v>
      </c>
      <c r="E81" s="363" t="s">
        <v>1988</v>
      </c>
      <c r="F81" s="222">
        <v>280</v>
      </c>
      <c r="G81" s="222">
        <f t="shared" si="9"/>
        <v>11760</v>
      </c>
      <c r="H81" s="282">
        <v>20</v>
      </c>
      <c r="I81" s="282">
        <v>10</v>
      </c>
      <c r="J81" s="221">
        <f t="shared" si="19"/>
        <v>1</v>
      </c>
      <c r="K81" s="387">
        <f t="shared" si="20"/>
        <v>280</v>
      </c>
      <c r="L81" s="387">
        <f t="shared" si="11"/>
        <v>3360</v>
      </c>
      <c r="M81" s="294" cm="1">
        <f t="array" ref="M81">INDEX(FX_Emis,R81,18)</f>
        <v>2.0402802180480152E-3</v>
      </c>
      <c r="O81">
        <f t="shared" si="13"/>
        <v>121</v>
      </c>
      <c r="P81">
        <f t="shared" si="18"/>
        <v>1</v>
      </c>
      <c r="Q81">
        <v>2</v>
      </c>
      <c r="R81">
        <f t="shared" si="15"/>
        <v>61</v>
      </c>
    </row>
    <row r="82" spans="3:18" ht="15.45" x14ac:dyDescent="0.4">
      <c r="C82" s="247" t="str" cm="1">
        <f t="array" ref="C82">INDEX(FX_Input,O82,1)</f>
        <v>FX - 62</v>
      </c>
      <c r="D82" s="247" t="str" cm="1">
        <f t="array" ref="D82">INDEX(FX_Input,O82,Q82)</f>
        <v>FIXTANK 209</v>
      </c>
      <c r="E82" s="363" t="s">
        <v>1988</v>
      </c>
      <c r="F82" s="222">
        <v>406</v>
      </c>
      <c r="G82" s="222">
        <f t="shared" si="9"/>
        <v>17052</v>
      </c>
      <c r="H82" s="282">
        <v>24</v>
      </c>
      <c r="I82" s="282">
        <v>11</v>
      </c>
      <c r="J82" s="221">
        <f t="shared" si="19"/>
        <v>1</v>
      </c>
      <c r="K82" s="387">
        <f t="shared" si="20"/>
        <v>406</v>
      </c>
      <c r="L82" s="387">
        <f t="shared" si="11"/>
        <v>4872</v>
      </c>
      <c r="M82" s="294" cm="1">
        <f t="array" ref="M82">INDEX(FX_Emis,R82,18)</f>
        <v>2.0296533716713653E-3</v>
      </c>
      <c r="O82">
        <f t="shared" si="13"/>
        <v>123</v>
      </c>
      <c r="P82">
        <f t="shared" si="18"/>
        <v>1</v>
      </c>
      <c r="Q82">
        <v>2</v>
      </c>
      <c r="R82">
        <f t="shared" si="15"/>
        <v>62</v>
      </c>
    </row>
    <row r="83" spans="3:18" ht="15.45" x14ac:dyDescent="0.4">
      <c r="C83" s="247" t="str" cm="1">
        <f t="array" ref="C83">INDEX(FX_Input,O83,1)</f>
        <v>FX - 63</v>
      </c>
      <c r="D83" s="247" t="str" cm="1">
        <f t="array" ref="D83">INDEX(FX_Input,O83,Q83)</f>
        <v>FIXTANK 211</v>
      </c>
      <c r="E83" s="363" t="s">
        <v>1988</v>
      </c>
      <c r="F83" s="222">
        <v>500</v>
      </c>
      <c r="G83" s="222">
        <f t="shared" si="9"/>
        <v>21000</v>
      </c>
      <c r="H83" s="282">
        <v>24</v>
      </c>
      <c r="I83" s="282">
        <v>12</v>
      </c>
      <c r="J83" s="221">
        <f t="shared" si="19"/>
        <v>1</v>
      </c>
      <c r="K83" s="387">
        <f t="shared" si="20"/>
        <v>500</v>
      </c>
      <c r="L83" s="387">
        <f t="shared" si="11"/>
        <v>6000</v>
      </c>
      <c r="M83" s="294" cm="1">
        <f t="array" ref="M83">INDEX(FX_Emis,R83,18)</f>
        <v>2.4995731178218787E-3</v>
      </c>
      <c r="O83">
        <f t="shared" si="13"/>
        <v>125</v>
      </c>
      <c r="P83">
        <f t="shared" si="18"/>
        <v>1</v>
      </c>
      <c r="Q83">
        <v>2</v>
      </c>
      <c r="R83">
        <f t="shared" si="15"/>
        <v>63</v>
      </c>
    </row>
    <row r="84" spans="3:18" ht="15.45" x14ac:dyDescent="0.4">
      <c r="C84" s="247" t="str" cm="1">
        <f t="array" ref="C84">INDEX(FX_Input,O84,1)</f>
        <v>FX - 64</v>
      </c>
      <c r="D84" s="247" t="str" cm="1">
        <f t="array" ref="D84">INDEX(FX_Input,O84,Q84)</f>
        <v>FIXTANK 213</v>
      </c>
      <c r="E84" s="363" t="s">
        <v>1988</v>
      </c>
      <c r="F84" s="222">
        <v>308</v>
      </c>
      <c r="G84" s="222">
        <f t="shared" si="9"/>
        <v>12936</v>
      </c>
      <c r="H84" s="282">
        <v>20</v>
      </c>
      <c r="I84" s="282">
        <v>10.5</v>
      </c>
      <c r="J84" s="221">
        <f t="shared" si="19"/>
        <v>1</v>
      </c>
      <c r="K84" s="387">
        <f t="shared" si="20"/>
        <v>308</v>
      </c>
      <c r="L84" s="387">
        <f t="shared" si="11"/>
        <v>3696</v>
      </c>
      <c r="M84" s="294" cm="1">
        <f t="array" ref="M84">INDEX(FX_Emis,R84,18)</f>
        <v>1.5397370405782769E-3</v>
      </c>
      <c r="O84">
        <f t="shared" si="13"/>
        <v>127</v>
      </c>
      <c r="P84">
        <f t="shared" si="18"/>
        <v>1</v>
      </c>
      <c r="Q84">
        <v>2</v>
      </c>
      <c r="R84">
        <f t="shared" si="15"/>
        <v>64</v>
      </c>
    </row>
    <row r="85" spans="3:18" ht="15.45" x14ac:dyDescent="0.4">
      <c r="C85" s="247" t="str" cm="1">
        <f t="array" ref="C85">INDEX(FX_Input,O85,1)</f>
        <v>FX - 65</v>
      </c>
      <c r="D85" s="247" t="str" cm="1">
        <f t="array" ref="D85">INDEX(FX_Input,O85,Q85)</f>
        <v>FIXTANK 306</v>
      </c>
      <c r="E85" s="363" t="s">
        <v>1988</v>
      </c>
      <c r="F85" s="222">
        <v>70</v>
      </c>
      <c r="G85" s="222">
        <f t="shared" ref="G85:G87" si="21">F85*42</f>
        <v>2940</v>
      </c>
      <c r="H85" s="282">
        <v>13</v>
      </c>
      <c r="I85" s="282">
        <v>6</v>
      </c>
      <c r="J85" s="221">
        <f t="shared" si="19"/>
        <v>1</v>
      </c>
      <c r="K85" s="387">
        <f t="shared" si="20"/>
        <v>70</v>
      </c>
      <c r="L85" s="387">
        <f t="shared" si="11"/>
        <v>840</v>
      </c>
      <c r="M85" s="294" cm="1">
        <f t="array" ref="M85">INDEX(FX_Emis,R85,18)</f>
        <v>1.5397370405782769E-3</v>
      </c>
      <c r="O85">
        <f t="shared" si="13"/>
        <v>129</v>
      </c>
      <c r="P85">
        <f t="shared" si="18"/>
        <v>1</v>
      </c>
      <c r="Q85">
        <v>2</v>
      </c>
      <c r="R85">
        <f t="shared" si="15"/>
        <v>65</v>
      </c>
    </row>
    <row r="86" spans="3:18" ht="15.45" x14ac:dyDescent="0.4">
      <c r="C86" s="247" t="str" cm="1">
        <f t="array" ref="C86">INDEX(FX_Input,O86,1)</f>
        <v>FX - 66</v>
      </c>
      <c r="D86" s="247" t="str" cm="1">
        <f t="array" ref="D86">INDEX(FX_Input,O86,Q86)</f>
        <v>FIXTANK 307</v>
      </c>
      <c r="E86" s="363" t="s">
        <v>1988</v>
      </c>
      <c r="F86" s="222">
        <v>85</v>
      </c>
      <c r="G86" s="222">
        <f t="shared" si="21"/>
        <v>3570</v>
      </c>
      <c r="H86" s="282">
        <v>9</v>
      </c>
      <c r="I86" s="282">
        <v>7</v>
      </c>
      <c r="J86" s="221">
        <f t="shared" ref="J86" si="22">J85</f>
        <v>1</v>
      </c>
      <c r="K86" s="387">
        <f t="shared" ref="K86" si="23">J86*F86</f>
        <v>85</v>
      </c>
      <c r="L86" s="387">
        <f t="shared" si="11"/>
        <v>1020</v>
      </c>
      <c r="M86" s="294" cm="1">
        <f t="array" ref="M86">INDEX(FX_Emis,R86,18)</f>
        <v>3.4994023649506293E-4</v>
      </c>
      <c r="O86">
        <f t="shared" si="13"/>
        <v>131</v>
      </c>
      <c r="P86">
        <f t="shared" ref="P86" si="24">P85</f>
        <v>1</v>
      </c>
      <c r="Q86">
        <v>2</v>
      </c>
      <c r="R86">
        <f t="shared" si="15"/>
        <v>66</v>
      </c>
    </row>
    <row r="87" spans="3:18" ht="15.9" thickBot="1" x14ac:dyDescent="0.45">
      <c r="C87" s="340" t="str" cm="1">
        <f t="array" ref="C87">INDEX(FX_Input,O87,1)</f>
        <v>FX - 67</v>
      </c>
      <c r="D87" s="340" t="str" cm="1">
        <f t="array" ref="D87">INDEX(FX_Input,O87,Q87)</f>
        <v>FIXTANK 317</v>
      </c>
      <c r="E87" s="408" t="s">
        <v>1988</v>
      </c>
      <c r="F87" s="409">
        <v>250</v>
      </c>
      <c r="G87" s="409">
        <f t="shared" si="21"/>
        <v>10500</v>
      </c>
      <c r="H87" s="410">
        <v>17.5</v>
      </c>
      <c r="I87" s="410">
        <v>10</v>
      </c>
      <c r="J87" s="341">
        <f t="shared" ref="J87" si="25">J86</f>
        <v>1</v>
      </c>
      <c r="K87" s="411">
        <f t="shared" ref="K87" si="26">J87*F87</f>
        <v>250</v>
      </c>
      <c r="L87" s="411">
        <f t="shared" si="11"/>
        <v>3000</v>
      </c>
      <c r="M87" s="344" cm="1">
        <f t="array" ref="M87">INDEX(FX_Emis,R87,18)</f>
        <v>3.4994023649506293E-4</v>
      </c>
      <c r="O87">
        <f t="shared" si="13"/>
        <v>133</v>
      </c>
      <c r="P87">
        <f t="shared" ref="P87" si="27">P86</f>
        <v>1</v>
      </c>
      <c r="Q87">
        <v>2</v>
      </c>
      <c r="R87">
        <f t="shared" si="15"/>
        <v>67</v>
      </c>
    </row>
    <row r="88" spans="3:18" ht="15.45" thickBot="1" x14ac:dyDescent="0.45">
      <c r="L88" s="406" t="s">
        <v>2042</v>
      </c>
      <c r="M88" s="407">
        <f>SUM(M21:M87)</f>
        <v>5.7824504244082728</v>
      </c>
    </row>
    <row r="89" spans="3:18" ht="36" customHeight="1" x14ac:dyDescent="0.4">
      <c r="E89" s="444" t="s">
        <v>2053</v>
      </c>
      <c r="F89" s="444"/>
      <c r="L89" s="404" t="s">
        <v>2043</v>
      </c>
      <c r="M89" s="405">
        <f>M88+M16</f>
        <v>27.31726766726036</v>
      </c>
    </row>
  </sheetData>
  <sheetProtection algorithmName="SHA-512" hashValue="1C8XBggz59Bq7ih5nWphVMyDRRZR29HM+h+yrMMIfMVH1Wvl67uVi88W5+ocXK5OihsudeisMhYh42S+8HYgRg==" saltValue="P3qgk8FX9EQQjaNHjEsgiQ==" spinCount="100000" sheet="1" objects="1" scenarios="1"/>
  <mergeCells count="13">
    <mergeCell ref="E89:F89"/>
    <mergeCell ref="E19:E20"/>
    <mergeCell ref="J19:J20"/>
    <mergeCell ref="C18:K18"/>
    <mergeCell ref="F19:G19"/>
    <mergeCell ref="F4:G4"/>
    <mergeCell ref="C19:C20"/>
    <mergeCell ref="D19:D20"/>
    <mergeCell ref="C3:K3"/>
    <mergeCell ref="C4:C5"/>
    <mergeCell ref="D4:D5"/>
    <mergeCell ref="E4:E5"/>
    <mergeCell ref="J4:J5"/>
  </mergeCells>
  <conditionalFormatting sqref="M6:M15">
    <cfRule type="cellIs" dxfId="78" priority="15" operator="equal">
      <formula>0</formula>
    </cfRule>
    <cfRule type="cellIs" dxfId="77" priority="16" operator="greaterThan">
      <formula>100</formula>
    </cfRule>
    <cfRule type="cellIs" dxfId="76" priority="17" operator="between">
      <formula>10</formula>
      <formula>100</formula>
    </cfRule>
    <cfRule type="cellIs" dxfId="75" priority="18" operator="between">
      <formula>1</formula>
      <formula>10</formula>
    </cfRule>
    <cfRule type="cellIs" dxfId="74" priority="19" operator="between">
      <formula>0.1</formula>
      <formula>1</formula>
    </cfRule>
    <cfRule type="cellIs" dxfId="73" priority="20" operator="between">
      <formula>0.01</formula>
      <formula>0.1</formula>
    </cfRule>
    <cfRule type="cellIs" dxfId="72" priority="21" operator="lessThan">
      <formula>0.01</formula>
    </cfRule>
  </conditionalFormatting>
  <conditionalFormatting sqref="M21:M87">
    <cfRule type="cellIs" dxfId="71" priority="1" operator="equal">
      <formula>0</formula>
    </cfRule>
    <cfRule type="cellIs" dxfId="70" priority="2" operator="greaterThan">
      <formula>100</formula>
    </cfRule>
    <cfRule type="cellIs" dxfId="69" priority="3" operator="between">
      <formula>10</formula>
      <formula>100</formula>
    </cfRule>
    <cfRule type="cellIs" dxfId="68" priority="4" operator="between">
      <formula>1</formula>
      <formula>10</formula>
    </cfRule>
    <cfRule type="cellIs" dxfId="67" priority="5" operator="between">
      <formula>0.1</formula>
      <formula>1</formula>
    </cfRule>
    <cfRule type="cellIs" dxfId="66" priority="6" operator="between">
      <formula>0.01</formula>
      <formula>0.1</formula>
    </cfRule>
    <cfRule type="cellIs" dxfId="65" priority="7" operator="lessThan">
      <formula>0.01</formula>
    </cfRule>
  </conditionalFormatting>
  <dataValidations count="1">
    <dataValidation type="list" allowBlank="1" showInputMessage="1" showErrorMessage="1" sqref="E6:E17 E21:E87" xr:uid="{5BF795DB-A309-466B-8B73-96054C7B69E2}">
      <formula1>Product_GRP</formula1>
    </dataValidation>
  </dataValidations>
  <pageMargins left="0.7" right="0.7" top="0.75" bottom="0.75" header="0.3" footer="0.3"/>
  <pageSetup paperSize="3" scale="97" fitToHeight="0" orientation="landscape" r:id="rId1"/>
  <headerFooter>
    <oddFooter>&amp;RPage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F9678-4D8E-48D1-86D1-56D2E394AFC2}">
  <sheetPr codeName="Sheet19">
    <tabColor theme="1"/>
  </sheetPr>
  <dimension ref="B5:AG85"/>
  <sheetViews>
    <sheetView workbookViewId="0">
      <selection activeCell="J5" sqref="J5"/>
    </sheetView>
  </sheetViews>
  <sheetFormatPr defaultColWidth="8.84375" defaultRowHeight="14.6" x14ac:dyDescent="0.4"/>
  <cols>
    <col min="2" max="2" width="24.3046875" customWidth="1"/>
    <col min="3" max="3" width="14.69140625" bestFit="1" customWidth="1"/>
    <col min="4" max="4" width="20.4609375" bestFit="1" customWidth="1"/>
    <col min="5" max="5" width="29.4609375" bestFit="1" customWidth="1"/>
    <col min="6" max="6" width="10.84375" bestFit="1" customWidth="1"/>
    <col min="11" max="11" width="57.4609375" customWidth="1"/>
    <col min="12" max="12" width="54.84375" bestFit="1" customWidth="1"/>
    <col min="13" max="13" width="11.4609375" bestFit="1" customWidth="1"/>
    <col min="14" max="14" width="5" bestFit="1" customWidth="1"/>
    <col min="16" max="16" width="29.15234375" bestFit="1" customWidth="1"/>
    <col min="20" max="20" width="13.3046875" bestFit="1" customWidth="1"/>
    <col min="21" max="21" width="17.3046875" bestFit="1" customWidth="1"/>
    <col min="22" max="22" width="21.69140625" bestFit="1" customWidth="1"/>
    <col min="26" max="26" width="15.15234375" bestFit="1" customWidth="1"/>
    <col min="27" max="27" width="23.3046875" bestFit="1" customWidth="1"/>
    <col min="28" max="28" width="21.69140625" bestFit="1" customWidth="1"/>
    <col min="29" max="29" width="18.3046875" bestFit="1" customWidth="1"/>
    <col min="30" max="30" width="36.15234375" bestFit="1" customWidth="1"/>
    <col min="32" max="32" width="26.3046875" customWidth="1"/>
    <col min="33" max="33" width="13.69140625" customWidth="1"/>
  </cols>
  <sheetData>
    <row r="5" spans="2:33" x14ac:dyDescent="0.4">
      <c r="B5" s="9" t="s">
        <v>72</v>
      </c>
      <c r="C5" s="9"/>
      <c r="D5" s="9"/>
      <c r="E5" s="9"/>
      <c r="F5" s="9"/>
      <c r="G5" s="9"/>
      <c r="R5" s="9" t="s">
        <v>1726</v>
      </c>
      <c r="Y5" s="9" t="s">
        <v>1734</v>
      </c>
    </row>
    <row r="6" spans="2:33" x14ac:dyDescent="0.4">
      <c r="B6" s="10" t="s">
        <v>73</v>
      </c>
      <c r="C6" s="10"/>
      <c r="D6" s="10" t="s">
        <v>94</v>
      </c>
      <c r="E6" s="10" t="s">
        <v>89</v>
      </c>
      <c r="F6" s="10" t="s">
        <v>90</v>
      </c>
      <c r="G6" s="10" t="s">
        <v>91</v>
      </c>
      <c r="K6" s="9" t="s">
        <v>1658</v>
      </c>
      <c r="L6" s="9"/>
      <c r="M6" s="9" t="s">
        <v>1659</v>
      </c>
      <c r="N6" s="9"/>
      <c r="O6" s="9"/>
      <c r="P6" s="9" t="s">
        <v>1718</v>
      </c>
      <c r="R6" s="9" t="s">
        <v>1725</v>
      </c>
      <c r="Y6" t="s">
        <v>1727</v>
      </c>
      <c r="Z6" t="s">
        <v>1728</v>
      </c>
      <c r="AA6" t="s">
        <v>1723</v>
      </c>
      <c r="AF6" s="9" t="s">
        <v>1735</v>
      </c>
    </row>
    <row r="7" spans="2:33" x14ac:dyDescent="0.4">
      <c r="B7" t="s">
        <v>93</v>
      </c>
      <c r="D7" t="str">
        <f>IF(ISBLANK(C7),B7,B7&amp;"-"&amp;C7)</f>
        <v>Insulated</v>
      </c>
      <c r="E7" s="60" t="s">
        <v>95</v>
      </c>
      <c r="F7" s="60" t="s">
        <v>95</v>
      </c>
      <c r="G7" s="61" t="s">
        <v>95</v>
      </c>
      <c r="K7" s="10"/>
      <c r="L7" s="10"/>
      <c r="M7" s="10" t="s">
        <v>1530</v>
      </c>
      <c r="N7" s="10" t="s">
        <v>1705</v>
      </c>
      <c r="O7" s="10" t="s">
        <v>1532</v>
      </c>
      <c r="P7" s="10"/>
      <c r="R7" t="s">
        <v>6</v>
      </c>
      <c r="T7" s="447" t="s">
        <v>1719</v>
      </c>
      <c r="U7" s="447"/>
      <c r="V7" t="s">
        <v>1720</v>
      </c>
      <c r="Z7" t="s">
        <v>1730</v>
      </c>
      <c r="AA7" t="s">
        <v>1731</v>
      </c>
      <c r="AB7" t="s">
        <v>1732</v>
      </c>
      <c r="AC7" t="s">
        <v>1733</v>
      </c>
      <c r="AD7" t="s">
        <v>1729</v>
      </c>
      <c r="AF7" t="s">
        <v>1736</v>
      </c>
    </row>
    <row r="8" spans="2:33" x14ac:dyDescent="0.4">
      <c r="B8" t="s">
        <v>28</v>
      </c>
      <c r="D8" t="str">
        <f t="shared" ref="D8:D20" si="0">IF(ISBLANK(C8),B8,B8&amp;"-"&amp;C8)</f>
        <v>White</v>
      </c>
      <c r="E8" s="60">
        <v>0.17</v>
      </c>
      <c r="F8" s="60">
        <v>0.25</v>
      </c>
      <c r="G8" s="61">
        <v>0.34</v>
      </c>
      <c r="K8" t="s">
        <v>1660</v>
      </c>
      <c r="L8" t="s">
        <v>1661</v>
      </c>
      <c r="M8">
        <v>1.6</v>
      </c>
      <c r="N8">
        <v>0</v>
      </c>
      <c r="O8">
        <v>0</v>
      </c>
      <c r="P8">
        <v>1</v>
      </c>
      <c r="R8" t="s">
        <v>1721</v>
      </c>
      <c r="S8" t="s">
        <v>1722</v>
      </c>
      <c r="T8" t="s">
        <v>1723</v>
      </c>
      <c r="U8" t="s">
        <v>1724</v>
      </c>
      <c r="Y8">
        <v>1</v>
      </c>
      <c r="Z8">
        <v>30</v>
      </c>
      <c r="AA8">
        <v>4</v>
      </c>
      <c r="AB8">
        <v>2</v>
      </c>
      <c r="AC8">
        <v>6</v>
      </c>
      <c r="AD8">
        <v>6</v>
      </c>
      <c r="AF8" s="11" t="s">
        <v>1534</v>
      </c>
      <c r="AG8" s="11" t="s">
        <v>1742</v>
      </c>
    </row>
    <row r="9" spans="2:33" x14ac:dyDescent="0.4">
      <c r="B9" t="s">
        <v>74</v>
      </c>
      <c r="C9" t="s">
        <v>75</v>
      </c>
      <c r="D9" t="str">
        <f t="shared" si="0"/>
        <v>Aluminum-Specular</v>
      </c>
      <c r="E9" s="60">
        <v>0.39</v>
      </c>
      <c r="F9" s="60">
        <v>0.44</v>
      </c>
      <c r="G9" s="61">
        <v>0.49</v>
      </c>
      <c r="L9" t="s">
        <v>1662</v>
      </c>
      <c r="M9">
        <v>36</v>
      </c>
      <c r="N9">
        <v>5.9</v>
      </c>
      <c r="O9">
        <v>1.2</v>
      </c>
      <c r="P9">
        <v>1</v>
      </c>
      <c r="R9">
        <v>50</v>
      </c>
      <c r="S9">
        <v>1</v>
      </c>
      <c r="T9">
        <v>1</v>
      </c>
      <c r="U9">
        <v>1</v>
      </c>
      <c r="V9">
        <v>1</v>
      </c>
      <c r="Y9">
        <v>2</v>
      </c>
      <c r="Z9">
        <v>40</v>
      </c>
      <c r="AA9">
        <v>4</v>
      </c>
      <c r="AB9">
        <v>4</v>
      </c>
      <c r="AC9">
        <v>8</v>
      </c>
      <c r="AD9">
        <v>7</v>
      </c>
      <c r="AF9" t="s">
        <v>1737</v>
      </c>
      <c r="AG9">
        <v>0.2</v>
      </c>
    </row>
    <row r="10" spans="2:33" x14ac:dyDescent="0.4">
      <c r="B10" t="s">
        <v>74</v>
      </c>
      <c r="C10" t="s">
        <v>76</v>
      </c>
      <c r="D10" t="str">
        <f t="shared" si="0"/>
        <v>Aluminum-Diffuse</v>
      </c>
      <c r="E10" s="60">
        <v>0.6</v>
      </c>
      <c r="F10" s="60">
        <v>0.64</v>
      </c>
      <c r="G10" s="61">
        <v>0.68</v>
      </c>
      <c r="L10" t="s">
        <v>1663</v>
      </c>
      <c r="M10">
        <v>31</v>
      </c>
      <c r="N10">
        <v>5.2</v>
      </c>
      <c r="O10">
        <v>1.3</v>
      </c>
      <c r="P10">
        <v>1</v>
      </c>
      <c r="R10">
        <v>100</v>
      </c>
      <c r="S10">
        <v>2</v>
      </c>
      <c r="T10">
        <v>1</v>
      </c>
      <c r="U10">
        <v>1</v>
      </c>
      <c r="V10">
        <v>1</v>
      </c>
      <c r="Y10">
        <v>3</v>
      </c>
      <c r="Z10">
        <v>50</v>
      </c>
      <c r="AA10">
        <v>6</v>
      </c>
      <c r="AB10">
        <v>6</v>
      </c>
      <c r="AC10">
        <v>12</v>
      </c>
      <c r="AD10">
        <v>8</v>
      </c>
      <c r="AF10" t="s">
        <v>1738</v>
      </c>
      <c r="AG10">
        <v>0.17</v>
      </c>
    </row>
    <row r="11" spans="2:33" x14ac:dyDescent="0.4">
      <c r="B11" t="s">
        <v>74</v>
      </c>
      <c r="C11" t="s">
        <v>92</v>
      </c>
      <c r="D11" t="str">
        <f>IF(ISBLANK(C11),B11,B11&amp;"-"&amp;C11)</f>
        <v>Aluminum-Unpainted</v>
      </c>
      <c r="E11" s="60">
        <v>0.1</v>
      </c>
      <c r="F11" s="60">
        <v>0.12</v>
      </c>
      <c r="G11" s="61">
        <v>0.15</v>
      </c>
      <c r="L11" t="s">
        <v>1704</v>
      </c>
      <c r="M11">
        <v>1.6</v>
      </c>
      <c r="N11">
        <v>0</v>
      </c>
      <c r="O11">
        <v>0</v>
      </c>
      <c r="P11">
        <v>1</v>
      </c>
      <c r="R11">
        <v>150</v>
      </c>
      <c r="S11">
        <v>3</v>
      </c>
      <c r="T11">
        <v>2</v>
      </c>
      <c r="U11">
        <v>2</v>
      </c>
      <c r="V11">
        <v>2</v>
      </c>
      <c r="Y11">
        <v>4</v>
      </c>
      <c r="Z11">
        <v>60</v>
      </c>
      <c r="AA11">
        <v>9</v>
      </c>
      <c r="AB11">
        <v>7</v>
      </c>
      <c r="AC11">
        <v>16</v>
      </c>
      <c r="AD11">
        <v>10</v>
      </c>
      <c r="AF11" t="s">
        <v>1739</v>
      </c>
      <c r="AG11">
        <v>0.14000000000000001</v>
      </c>
    </row>
    <row r="12" spans="2:33" x14ac:dyDescent="0.4">
      <c r="B12" t="s">
        <v>77</v>
      </c>
      <c r="D12" t="str">
        <f t="shared" si="0"/>
        <v>Beige/Cream</v>
      </c>
      <c r="E12" s="60">
        <v>0.35</v>
      </c>
      <c r="F12" s="60">
        <v>0.42</v>
      </c>
      <c r="G12" s="61">
        <v>0.49</v>
      </c>
      <c r="K12" s="11"/>
      <c r="L12" s="11" t="s">
        <v>1647</v>
      </c>
      <c r="M12" s="11">
        <f>M9</f>
        <v>36</v>
      </c>
      <c r="N12" s="11">
        <f t="shared" ref="N12:P12" si="1">N9</f>
        <v>5.9</v>
      </c>
      <c r="O12" s="11">
        <f t="shared" si="1"/>
        <v>1.2</v>
      </c>
      <c r="P12" s="11">
        <f t="shared" si="1"/>
        <v>1</v>
      </c>
      <c r="R12">
        <v>200</v>
      </c>
      <c r="S12">
        <v>4</v>
      </c>
      <c r="T12">
        <v>3</v>
      </c>
      <c r="U12">
        <v>2</v>
      </c>
      <c r="V12">
        <v>3</v>
      </c>
      <c r="Y12">
        <v>5</v>
      </c>
      <c r="Z12">
        <v>70</v>
      </c>
      <c r="AA12">
        <v>13</v>
      </c>
      <c r="AB12">
        <v>9</v>
      </c>
      <c r="AC12">
        <v>22</v>
      </c>
      <c r="AD12">
        <v>13</v>
      </c>
      <c r="AF12" t="s">
        <v>1740</v>
      </c>
      <c r="AG12">
        <v>0.33</v>
      </c>
    </row>
    <row r="13" spans="2:33" x14ac:dyDescent="0.4">
      <c r="B13" t="s">
        <v>78</v>
      </c>
      <c r="D13" t="str">
        <f t="shared" si="0"/>
        <v>Black</v>
      </c>
      <c r="E13" s="60">
        <v>0.97</v>
      </c>
      <c r="F13" s="60">
        <v>0.97</v>
      </c>
      <c r="G13" s="61">
        <v>0.97</v>
      </c>
      <c r="K13" t="s">
        <v>1664</v>
      </c>
      <c r="L13" t="s">
        <v>1665</v>
      </c>
      <c r="M13">
        <v>31</v>
      </c>
      <c r="N13">
        <v>0</v>
      </c>
      <c r="O13">
        <v>0</v>
      </c>
      <c r="P13" t="s">
        <v>1706</v>
      </c>
      <c r="R13">
        <v>250</v>
      </c>
      <c r="S13">
        <v>5</v>
      </c>
      <c r="T13">
        <v>4</v>
      </c>
      <c r="U13">
        <v>3</v>
      </c>
      <c r="V13">
        <v>5</v>
      </c>
      <c r="Y13">
        <v>6</v>
      </c>
      <c r="Z13">
        <v>80</v>
      </c>
      <c r="AA13">
        <v>15</v>
      </c>
      <c r="AB13">
        <v>10</v>
      </c>
      <c r="AC13">
        <v>25</v>
      </c>
      <c r="AD13">
        <v>16</v>
      </c>
      <c r="AF13" t="s">
        <v>1741</v>
      </c>
      <c r="AG13">
        <v>0.28000000000000003</v>
      </c>
    </row>
    <row r="14" spans="2:33" x14ac:dyDescent="0.4">
      <c r="B14" t="s">
        <v>79</v>
      </c>
      <c r="D14" t="str">
        <f t="shared" si="0"/>
        <v>Brown</v>
      </c>
      <c r="E14" s="60">
        <v>0.57999999999999996</v>
      </c>
      <c r="F14" s="60">
        <v>0.62</v>
      </c>
      <c r="G14" s="61">
        <v>0.67</v>
      </c>
      <c r="L14" t="s">
        <v>1666</v>
      </c>
      <c r="M14">
        <v>25</v>
      </c>
      <c r="N14">
        <v>0</v>
      </c>
      <c r="O14">
        <v>0</v>
      </c>
      <c r="R14">
        <v>300</v>
      </c>
      <c r="S14">
        <v>6</v>
      </c>
      <c r="T14">
        <v>5</v>
      </c>
      <c r="U14">
        <v>3</v>
      </c>
      <c r="V14">
        <v>7</v>
      </c>
      <c r="Y14">
        <v>7</v>
      </c>
      <c r="Z14">
        <v>90</v>
      </c>
      <c r="AA14">
        <v>16</v>
      </c>
      <c r="AB14">
        <v>12</v>
      </c>
      <c r="AC14">
        <v>28</v>
      </c>
      <c r="AD14">
        <v>20</v>
      </c>
      <c r="AF14" t="s">
        <v>1559</v>
      </c>
      <c r="AG14">
        <f>AG9</f>
        <v>0.2</v>
      </c>
    </row>
    <row r="15" spans="2:33" x14ac:dyDescent="0.4">
      <c r="B15" t="s">
        <v>80</v>
      </c>
      <c r="C15" t="s">
        <v>81</v>
      </c>
      <c r="D15" t="str">
        <f t="shared" si="0"/>
        <v>Gray-Light</v>
      </c>
      <c r="E15" s="60">
        <v>0.54</v>
      </c>
      <c r="F15" s="60">
        <v>0.57999999999999996</v>
      </c>
      <c r="G15" s="61">
        <v>0.63</v>
      </c>
      <c r="L15" t="s">
        <v>1667</v>
      </c>
      <c r="M15">
        <v>10</v>
      </c>
      <c r="N15">
        <v>0</v>
      </c>
      <c r="O15">
        <v>0</v>
      </c>
      <c r="R15">
        <v>350</v>
      </c>
      <c r="S15">
        <v>7</v>
      </c>
      <c r="T15">
        <v>6</v>
      </c>
      <c r="U15">
        <v>4</v>
      </c>
      <c r="V15">
        <v>7</v>
      </c>
      <c r="Y15">
        <v>8</v>
      </c>
      <c r="Z15">
        <v>100</v>
      </c>
      <c r="AA15">
        <v>17</v>
      </c>
      <c r="AB15">
        <v>16</v>
      </c>
      <c r="AC15">
        <v>33</v>
      </c>
      <c r="AD15">
        <v>25</v>
      </c>
      <c r="AF15" t="s">
        <v>1743</v>
      </c>
      <c r="AG15">
        <v>0</v>
      </c>
    </row>
    <row r="16" spans="2:33" x14ac:dyDescent="0.4">
      <c r="B16" t="s">
        <v>80</v>
      </c>
      <c r="C16" t="s">
        <v>82</v>
      </c>
      <c r="D16" t="str">
        <f t="shared" si="0"/>
        <v>Gray-Medium</v>
      </c>
      <c r="E16" s="60">
        <v>0.68</v>
      </c>
      <c r="F16" s="60">
        <v>0.71</v>
      </c>
      <c r="G16" s="61">
        <v>0.74</v>
      </c>
      <c r="L16" t="s">
        <v>1668</v>
      </c>
      <c r="M16">
        <v>51</v>
      </c>
      <c r="N16">
        <v>0</v>
      </c>
      <c r="O16">
        <v>0</v>
      </c>
      <c r="R16" s="11">
        <v>400</v>
      </c>
      <c r="S16" s="11">
        <v>8</v>
      </c>
      <c r="T16" s="11">
        <v>7</v>
      </c>
      <c r="U16" s="11">
        <v>4</v>
      </c>
      <c r="V16" s="11">
        <v>7</v>
      </c>
      <c r="Y16">
        <v>9</v>
      </c>
      <c r="Z16">
        <v>110</v>
      </c>
      <c r="AA16">
        <v>18</v>
      </c>
      <c r="AB16">
        <v>20</v>
      </c>
      <c r="AC16">
        <v>38</v>
      </c>
      <c r="AD16">
        <v>29</v>
      </c>
    </row>
    <row r="17" spans="2:30" x14ac:dyDescent="0.4">
      <c r="B17" t="s">
        <v>83</v>
      </c>
      <c r="C17" t="s">
        <v>84</v>
      </c>
      <c r="D17" t="str">
        <f t="shared" si="0"/>
        <v>Green-Dark</v>
      </c>
      <c r="E17" s="60">
        <v>0.89</v>
      </c>
      <c r="F17" s="60">
        <v>0.9</v>
      </c>
      <c r="G17" s="61">
        <v>0.91</v>
      </c>
      <c r="L17" t="s">
        <v>1669</v>
      </c>
      <c r="M17">
        <v>33</v>
      </c>
      <c r="N17">
        <v>0</v>
      </c>
      <c r="O17">
        <v>0</v>
      </c>
      <c r="R17">
        <v>1</v>
      </c>
      <c r="S17">
        <v>2</v>
      </c>
      <c r="T17">
        <v>3</v>
      </c>
      <c r="U17">
        <v>4</v>
      </c>
      <c r="V17">
        <v>5</v>
      </c>
      <c r="Y17">
        <v>10</v>
      </c>
      <c r="Z17">
        <v>120</v>
      </c>
      <c r="AA17">
        <v>19</v>
      </c>
      <c r="AB17">
        <v>24</v>
      </c>
      <c r="AC17">
        <v>43</v>
      </c>
      <c r="AD17">
        <v>34</v>
      </c>
    </row>
    <row r="18" spans="2:30" x14ac:dyDescent="0.4">
      <c r="B18" t="s">
        <v>85</v>
      </c>
      <c r="C18" t="s">
        <v>86</v>
      </c>
      <c r="D18" t="str">
        <f t="shared" si="0"/>
        <v>Red-Primer</v>
      </c>
      <c r="E18" s="60">
        <v>0.89</v>
      </c>
      <c r="F18" s="60">
        <v>0.9</v>
      </c>
      <c r="G18" s="61">
        <v>0.91</v>
      </c>
      <c r="L18" t="s">
        <v>1559</v>
      </c>
      <c r="M18">
        <f>M16</f>
        <v>51</v>
      </c>
      <c r="N18">
        <v>0</v>
      </c>
      <c r="O18">
        <f>O16</f>
        <v>0</v>
      </c>
      <c r="Y18">
        <v>11</v>
      </c>
      <c r="Z18">
        <v>130</v>
      </c>
      <c r="AA18">
        <v>20</v>
      </c>
      <c r="AB18">
        <v>28</v>
      </c>
      <c r="AC18">
        <v>48</v>
      </c>
      <c r="AD18">
        <v>40</v>
      </c>
    </row>
    <row r="19" spans="2:30" x14ac:dyDescent="0.4">
      <c r="B19" t="s">
        <v>87</v>
      </c>
      <c r="D19" t="str">
        <f t="shared" si="0"/>
        <v>Rust</v>
      </c>
      <c r="E19" s="60">
        <v>0.38</v>
      </c>
      <c r="F19" s="60">
        <v>0.44</v>
      </c>
      <c r="G19" s="61">
        <v>0.5</v>
      </c>
      <c r="K19" s="11"/>
      <c r="L19" s="11" t="s">
        <v>1605</v>
      </c>
      <c r="M19" s="11">
        <v>0</v>
      </c>
      <c r="N19" s="11">
        <v>0</v>
      </c>
      <c r="O19" s="11">
        <v>0</v>
      </c>
      <c r="P19" s="11"/>
      <c r="Y19">
        <v>12</v>
      </c>
      <c r="Z19">
        <v>140</v>
      </c>
      <c r="AA19">
        <v>21</v>
      </c>
      <c r="AB19">
        <v>33</v>
      </c>
      <c r="AC19">
        <v>54</v>
      </c>
      <c r="AD19">
        <v>46</v>
      </c>
    </row>
    <row r="20" spans="2:30" x14ac:dyDescent="0.4">
      <c r="B20" t="s">
        <v>88</v>
      </c>
      <c r="D20" t="str">
        <f t="shared" si="0"/>
        <v>Tan</v>
      </c>
      <c r="E20" s="60">
        <v>0.43</v>
      </c>
      <c r="F20" s="60">
        <v>0.49</v>
      </c>
      <c r="G20" s="61">
        <v>0.55000000000000004</v>
      </c>
      <c r="K20" t="s">
        <v>1670</v>
      </c>
      <c r="L20" t="s">
        <v>1671</v>
      </c>
      <c r="M20">
        <v>31</v>
      </c>
      <c r="N20">
        <v>150</v>
      </c>
      <c r="O20">
        <v>1.4</v>
      </c>
      <c r="P20" t="s">
        <v>1706</v>
      </c>
      <c r="Y20">
        <v>13</v>
      </c>
      <c r="Z20">
        <v>150</v>
      </c>
      <c r="AA20">
        <v>23</v>
      </c>
      <c r="AB20">
        <v>38</v>
      </c>
      <c r="AC20">
        <v>61</v>
      </c>
      <c r="AD20">
        <v>52</v>
      </c>
    </row>
    <row r="21" spans="2:30" x14ac:dyDescent="0.4">
      <c r="B21" t="s">
        <v>516</v>
      </c>
      <c r="D21">
        <v>1</v>
      </c>
      <c r="E21">
        <v>2</v>
      </c>
      <c r="F21">
        <v>3</v>
      </c>
      <c r="G21">
        <v>4</v>
      </c>
      <c r="L21" t="s">
        <v>1672</v>
      </c>
      <c r="M21">
        <v>25</v>
      </c>
      <c r="N21">
        <v>2.2000000000000002</v>
      </c>
      <c r="O21">
        <v>2.1</v>
      </c>
      <c r="Y21">
        <v>14</v>
      </c>
      <c r="Z21">
        <v>160</v>
      </c>
      <c r="AA21">
        <v>26</v>
      </c>
      <c r="AB21">
        <v>42</v>
      </c>
      <c r="AC21">
        <v>68</v>
      </c>
      <c r="AD21">
        <v>58</v>
      </c>
    </row>
    <row r="22" spans="2:30" x14ac:dyDescent="0.4">
      <c r="L22" t="s">
        <v>1673</v>
      </c>
      <c r="M22">
        <v>25</v>
      </c>
      <c r="N22">
        <v>13</v>
      </c>
      <c r="O22">
        <v>2.2000000000000002</v>
      </c>
      <c r="Y22">
        <v>15</v>
      </c>
      <c r="Z22">
        <v>170</v>
      </c>
      <c r="AA22">
        <v>27</v>
      </c>
      <c r="AB22">
        <v>49</v>
      </c>
      <c r="AC22">
        <v>76</v>
      </c>
      <c r="AD22">
        <v>66</v>
      </c>
    </row>
    <row r="23" spans="2:30" x14ac:dyDescent="0.4">
      <c r="B23" s="9" t="s">
        <v>1639</v>
      </c>
      <c r="L23" t="s">
        <v>1674</v>
      </c>
      <c r="M23">
        <v>14</v>
      </c>
      <c r="N23">
        <v>3.7</v>
      </c>
      <c r="O23">
        <v>0.78</v>
      </c>
      <c r="Y23">
        <v>16</v>
      </c>
      <c r="Z23">
        <v>180</v>
      </c>
      <c r="AA23">
        <v>28</v>
      </c>
      <c r="AB23">
        <v>56</v>
      </c>
      <c r="AC23">
        <v>84</v>
      </c>
      <c r="AD23">
        <v>74</v>
      </c>
    </row>
    <row r="24" spans="2:30" x14ac:dyDescent="0.4">
      <c r="B24" s="10" t="s">
        <v>1640</v>
      </c>
      <c r="C24" s="159" t="s">
        <v>1641</v>
      </c>
      <c r="D24" s="10" t="s">
        <v>1642</v>
      </c>
      <c r="E24" s="10" t="s">
        <v>1643</v>
      </c>
      <c r="F24" s="10" t="s">
        <v>1644</v>
      </c>
      <c r="G24" s="10" t="s">
        <v>1648</v>
      </c>
      <c r="H24" s="10" t="s">
        <v>1649</v>
      </c>
      <c r="I24" s="9"/>
      <c r="L24" t="s">
        <v>1675</v>
      </c>
      <c r="M24">
        <v>8.6</v>
      </c>
      <c r="N24">
        <v>12</v>
      </c>
      <c r="O24">
        <v>0.81</v>
      </c>
      <c r="Y24">
        <v>17</v>
      </c>
      <c r="Z24">
        <v>190</v>
      </c>
      <c r="AA24">
        <v>29</v>
      </c>
      <c r="AB24">
        <v>62</v>
      </c>
      <c r="AC24">
        <v>91</v>
      </c>
      <c r="AD24">
        <v>82</v>
      </c>
    </row>
    <row r="25" spans="2:30" x14ac:dyDescent="0.4">
      <c r="B25" t="s">
        <v>1588</v>
      </c>
      <c r="C25" s="127">
        <v>5.8</v>
      </c>
      <c r="D25">
        <v>1.5</v>
      </c>
      <c r="E25">
        <v>0.3</v>
      </c>
      <c r="F25">
        <v>0.4</v>
      </c>
      <c r="G25">
        <v>2.1</v>
      </c>
      <c r="H25">
        <v>1.9</v>
      </c>
      <c r="L25" t="s">
        <v>1704</v>
      </c>
      <c r="M25">
        <f>M20</f>
        <v>31</v>
      </c>
      <c r="N25">
        <f>N20</f>
        <v>150</v>
      </c>
      <c r="O25">
        <f>O20</f>
        <v>1.4</v>
      </c>
      <c r="Y25">
        <v>18</v>
      </c>
      <c r="Z25">
        <v>200</v>
      </c>
      <c r="AA25">
        <v>30</v>
      </c>
      <c r="AB25">
        <v>69</v>
      </c>
      <c r="AC25">
        <v>99</v>
      </c>
      <c r="AD25">
        <v>90</v>
      </c>
    </row>
    <row r="26" spans="2:30" x14ac:dyDescent="0.4">
      <c r="B26" t="s">
        <v>1589</v>
      </c>
      <c r="C26" s="127">
        <v>1.6</v>
      </c>
      <c r="D26">
        <v>1</v>
      </c>
      <c r="E26">
        <v>0.3</v>
      </c>
      <c r="F26">
        <v>0.4</v>
      </c>
      <c r="G26">
        <v>1.6</v>
      </c>
      <c r="H26">
        <v>1.5</v>
      </c>
      <c r="K26" s="11"/>
      <c r="L26" s="11" t="s">
        <v>1582</v>
      </c>
      <c r="M26" s="11">
        <v>0</v>
      </c>
      <c r="N26" s="11">
        <v>0</v>
      </c>
      <c r="O26" s="11">
        <v>0</v>
      </c>
      <c r="P26" s="11"/>
      <c r="Y26">
        <v>19</v>
      </c>
      <c r="Z26">
        <v>210</v>
      </c>
      <c r="AA26">
        <v>31</v>
      </c>
      <c r="AB26">
        <v>77</v>
      </c>
      <c r="AC26">
        <v>108</v>
      </c>
      <c r="AD26">
        <v>98</v>
      </c>
    </row>
    <row r="27" spans="2:30" x14ac:dyDescent="0.4">
      <c r="B27" t="s">
        <v>1590</v>
      </c>
      <c r="C27" s="127">
        <v>0.6</v>
      </c>
      <c r="D27">
        <v>0.4</v>
      </c>
      <c r="E27">
        <v>0.4</v>
      </c>
      <c r="F27">
        <v>0.4</v>
      </c>
      <c r="G27">
        <v>1</v>
      </c>
      <c r="H27">
        <v>1</v>
      </c>
      <c r="K27" t="s">
        <v>1676</v>
      </c>
      <c r="L27" t="s">
        <v>1677</v>
      </c>
      <c r="M27">
        <v>43</v>
      </c>
      <c r="N27">
        <v>270</v>
      </c>
      <c r="O27">
        <v>1.4</v>
      </c>
      <c r="Y27">
        <v>20</v>
      </c>
      <c r="Z27">
        <v>220</v>
      </c>
      <c r="AA27">
        <v>32</v>
      </c>
      <c r="AB27">
        <v>83</v>
      </c>
      <c r="AC27">
        <v>115</v>
      </c>
      <c r="AD27">
        <v>107</v>
      </c>
    </row>
    <row r="28" spans="2:30" x14ac:dyDescent="0.4">
      <c r="B28" t="s">
        <v>1591</v>
      </c>
      <c r="C28" s="127">
        <v>1.6</v>
      </c>
      <c r="D28">
        <v>1</v>
      </c>
      <c r="E28">
        <v>0.3</v>
      </c>
      <c r="F28">
        <v>0.08</v>
      </c>
      <c r="G28">
        <v>1.5</v>
      </c>
      <c r="H28">
        <v>1.8</v>
      </c>
      <c r="L28" t="s">
        <v>1678</v>
      </c>
      <c r="M28">
        <v>31</v>
      </c>
      <c r="N28">
        <v>36</v>
      </c>
      <c r="O28">
        <v>2</v>
      </c>
      <c r="Y28">
        <v>21</v>
      </c>
      <c r="Z28">
        <v>230</v>
      </c>
      <c r="AA28">
        <v>33</v>
      </c>
      <c r="AB28">
        <v>92</v>
      </c>
      <c r="AC28">
        <v>125</v>
      </c>
      <c r="AD28">
        <v>115</v>
      </c>
    </row>
    <row r="29" spans="2:30" x14ac:dyDescent="0.4">
      <c r="B29" t="s">
        <v>1592</v>
      </c>
      <c r="C29" s="127">
        <v>0.7</v>
      </c>
      <c r="D29">
        <v>0.4</v>
      </c>
      <c r="E29">
        <v>0.3</v>
      </c>
      <c r="F29">
        <v>0.2</v>
      </c>
      <c r="G29">
        <v>1.2</v>
      </c>
      <c r="H29">
        <v>1.3</v>
      </c>
      <c r="L29" t="s">
        <v>1674</v>
      </c>
      <c r="M29">
        <v>41</v>
      </c>
      <c r="N29">
        <v>48</v>
      </c>
      <c r="O29">
        <v>1.4</v>
      </c>
      <c r="Y29">
        <v>22</v>
      </c>
      <c r="Z29">
        <v>240</v>
      </c>
      <c r="AA29">
        <v>34</v>
      </c>
      <c r="AB29">
        <v>101</v>
      </c>
      <c r="AC29">
        <v>135</v>
      </c>
      <c r="AD29">
        <v>127</v>
      </c>
    </row>
    <row r="30" spans="2:30" x14ac:dyDescent="0.4">
      <c r="B30" t="s">
        <v>1593</v>
      </c>
      <c r="C30" s="127">
        <v>0.3</v>
      </c>
      <c r="D30">
        <v>0.2</v>
      </c>
      <c r="E30">
        <v>0.6</v>
      </c>
      <c r="F30">
        <v>0.4</v>
      </c>
      <c r="G30">
        <v>0.3</v>
      </c>
      <c r="H30">
        <v>0.4</v>
      </c>
      <c r="L30" t="s">
        <v>1675</v>
      </c>
      <c r="M30">
        <v>11</v>
      </c>
      <c r="N30">
        <v>46</v>
      </c>
      <c r="O30">
        <v>1.4</v>
      </c>
      <c r="Y30">
        <v>23</v>
      </c>
      <c r="Z30">
        <v>250</v>
      </c>
      <c r="AA30">
        <v>35</v>
      </c>
      <c r="AB30">
        <v>109</v>
      </c>
      <c r="AC30">
        <v>144</v>
      </c>
      <c r="AD30">
        <v>138</v>
      </c>
    </row>
    <row r="31" spans="2:30" x14ac:dyDescent="0.4">
      <c r="B31" t="s">
        <v>1594</v>
      </c>
      <c r="C31" s="127">
        <v>6.7</v>
      </c>
      <c r="D31">
        <v>5.6</v>
      </c>
      <c r="E31">
        <v>0.2</v>
      </c>
      <c r="F31">
        <v>0.2</v>
      </c>
      <c r="G31">
        <v>3</v>
      </c>
      <c r="H31">
        <v>2.4</v>
      </c>
      <c r="L31" t="s">
        <v>1679</v>
      </c>
      <c r="M31">
        <v>8.3000000000000007</v>
      </c>
      <c r="N31">
        <v>4.4000000000000004</v>
      </c>
      <c r="O31">
        <v>1.6</v>
      </c>
      <c r="Y31">
        <v>24</v>
      </c>
      <c r="Z31">
        <v>260</v>
      </c>
      <c r="AA31">
        <v>36</v>
      </c>
      <c r="AB31">
        <v>118</v>
      </c>
      <c r="AC31">
        <v>154</v>
      </c>
      <c r="AD31">
        <v>149</v>
      </c>
    </row>
    <row r="32" spans="2:30" x14ac:dyDescent="0.4">
      <c r="B32" t="s">
        <v>1595</v>
      </c>
      <c r="C32" s="127">
        <v>3.3</v>
      </c>
      <c r="D32">
        <v>2.8</v>
      </c>
      <c r="E32">
        <v>0.1</v>
      </c>
      <c r="F32">
        <v>0.1</v>
      </c>
      <c r="G32">
        <v>3</v>
      </c>
      <c r="H32">
        <v>2.2999999999999998</v>
      </c>
      <c r="L32" t="s">
        <v>1680</v>
      </c>
      <c r="M32">
        <v>21</v>
      </c>
      <c r="N32">
        <v>7.9</v>
      </c>
      <c r="O32">
        <v>1.8</v>
      </c>
      <c r="Y32">
        <v>25</v>
      </c>
      <c r="Z32">
        <v>270</v>
      </c>
      <c r="AA32">
        <v>36</v>
      </c>
      <c r="AB32">
        <v>128</v>
      </c>
      <c r="AC32">
        <v>164</v>
      </c>
      <c r="AD32">
        <v>162</v>
      </c>
    </row>
    <row r="33" spans="2:30" x14ac:dyDescent="0.4">
      <c r="B33" t="s">
        <v>1596</v>
      </c>
      <c r="C33" s="127">
        <v>2.2000000000000002</v>
      </c>
      <c r="D33">
        <v>2.2000000000000002</v>
      </c>
      <c r="E33">
        <v>3.0000000000000001E-3</v>
      </c>
      <c r="F33">
        <v>0.02</v>
      </c>
      <c r="G33">
        <v>4.3</v>
      </c>
      <c r="H33">
        <v>2.6</v>
      </c>
      <c r="L33" t="s">
        <v>1681</v>
      </c>
      <c r="M33">
        <v>11</v>
      </c>
      <c r="N33">
        <v>9.9</v>
      </c>
      <c r="O33">
        <v>0.89</v>
      </c>
      <c r="Y33">
        <v>26</v>
      </c>
      <c r="Z33">
        <v>280</v>
      </c>
      <c r="AA33">
        <v>37</v>
      </c>
      <c r="AB33">
        <v>138</v>
      </c>
      <c r="AC33">
        <v>175</v>
      </c>
      <c r="AD33">
        <v>173</v>
      </c>
    </row>
    <row r="34" spans="2:30" x14ac:dyDescent="0.4">
      <c r="B34" t="s">
        <v>1645</v>
      </c>
      <c r="C34" s="127">
        <f>C25</f>
        <v>5.8</v>
      </c>
      <c r="D34">
        <f>C34</f>
        <v>5.8</v>
      </c>
      <c r="E34">
        <f>E25</f>
        <v>0.3</v>
      </c>
      <c r="F34">
        <f>E34</f>
        <v>0.3</v>
      </c>
      <c r="G34">
        <f>G25</f>
        <v>2.1</v>
      </c>
      <c r="H34">
        <f>G34</f>
        <v>2.1</v>
      </c>
      <c r="L34" t="s">
        <v>1707</v>
      </c>
      <c r="M34">
        <v>21</v>
      </c>
      <c r="N34">
        <v>7.9</v>
      </c>
      <c r="O34">
        <v>1.8</v>
      </c>
      <c r="Y34">
        <v>27</v>
      </c>
      <c r="Z34">
        <v>290</v>
      </c>
      <c r="AA34">
        <v>38</v>
      </c>
      <c r="AB34">
        <v>148</v>
      </c>
      <c r="AC34">
        <v>186</v>
      </c>
      <c r="AD34">
        <v>186</v>
      </c>
    </row>
    <row r="35" spans="2:30" x14ac:dyDescent="0.4">
      <c r="B35" t="s">
        <v>1646</v>
      </c>
      <c r="C35" s="127">
        <f>C25</f>
        <v>5.8</v>
      </c>
      <c r="D35">
        <f>C35</f>
        <v>5.8</v>
      </c>
      <c r="E35">
        <f>E25</f>
        <v>0.3</v>
      </c>
      <c r="F35">
        <f>E35</f>
        <v>0.3</v>
      </c>
      <c r="G35">
        <f>G25</f>
        <v>2.1</v>
      </c>
      <c r="H35">
        <f>G35</f>
        <v>2.1</v>
      </c>
      <c r="L35" t="s">
        <v>1605</v>
      </c>
      <c r="M35">
        <v>0</v>
      </c>
      <c r="N35">
        <v>0</v>
      </c>
      <c r="O35">
        <v>0</v>
      </c>
      <c r="Y35">
        <v>28</v>
      </c>
      <c r="Z35">
        <v>300</v>
      </c>
      <c r="AA35">
        <v>38</v>
      </c>
      <c r="AB35">
        <v>156</v>
      </c>
      <c r="AC35">
        <v>194</v>
      </c>
      <c r="AD35">
        <v>200</v>
      </c>
    </row>
    <row r="36" spans="2:30" x14ac:dyDescent="0.4">
      <c r="B36" s="11" t="s">
        <v>1647</v>
      </c>
      <c r="C36" s="125">
        <f>C31</f>
        <v>6.7</v>
      </c>
      <c r="D36" s="11">
        <f>C36</f>
        <v>6.7</v>
      </c>
      <c r="E36" s="11">
        <f>E31</f>
        <v>0.2</v>
      </c>
      <c r="F36" s="11">
        <f>E36</f>
        <v>0.2</v>
      </c>
      <c r="G36" s="11">
        <f>G31</f>
        <v>3</v>
      </c>
      <c r="H36" s="11">
        <f>G36</f>
        <v>3</v>
      </c>
      <c r="K36" s="11"/>
      <c r="L36" s="11" t="s">
        <v>1647</v>
      </c>
      <c r="M36" s="11">
        <f>M27</f>
        <v>43</v>
      </c>
      <c r="N36" s="11">
        <f>N27</f>
        <v>270</v>
      </c>
      <c r="O36" s="11">
        <f>O27</f>
        <v>1.4</v>
      </c>
      <c r="P36" s="11"/>
      <c r="Y36">
        <v>29</v>
      </c>
      <c r="Z36">
        <v>310</v>
      </c>
      <c r="AA36">
        <v>39</v>
      </c>
      <c r="AB36">
        <v>168</v>
      </c>
      <c r="AC36">
        <v>207</v>
      </c>
      <c r="AD36">
        <v>213</v>
      </c>
    </row>
    <row r="37" spans="2:30" x14ac:dyDescent="0.4">
      <c r="B37">
        <v>1</v>
      </c>
      <c r="C37">
        <v>2</v>
      </c>
      <c r="D37">
        <v>3</v>
      </c>
      <c r="E37">
        <v>4</v>
      </c>
      <c r="F37">
        <v>5</v>
      </c>
      <c r="G37">
        <v>6</v>
      </c>
      <c r="H37">
        <v>7</v>
      </c>
      <c r="K37" t="s">
        <v>1682</v>
      </c>
      <c r="L37" t="s">
        <v>1662</v>
      </c>
      <c r="M37">
        <v>14</v>
      </c>
      <c r="N37">
        <v>5.4</v>
      </c>
      <c r="O37">
        <v>1.1000000000000001</v>
      </c>
      <c r="P37">
        <v>1</v>
      </c>
      <c r="Y37">
        <v>30</v>
      </c>
      <c r="Z37">
        <v>320</v>
      </c>
      <c r="AA37">
        <v>39</v>
      </c>
      <c r="AB37">
        <v>179</v>
      </c>
      <c r="AC37">
        <v>218</v>
      </c>
      <c r="AD37">
        <v>226</v>
      </c>
    </row>
    <row r="38" spans="2:30" x14ac:dyDescent="0.4">
      <c r="L38" t="s">
        <v>1663</v>
      </c>
      <c r="M38">
        <v>4.3</v>
      </c>
      <c r="N38">
        <v>17</v>
      </c>
      <c r="O38">
        <v>0.38</v>
      </c>
      <c r="P38">
        <v>1</v>
      </c>
      <c r="Y38">
        <v>31</v>
      </c>
      <c r="Z38">
        <v>330</v>
      </c>
      <c r="AA38">
        <v>40</v>
      </c>
      <c r="AB38">
        <v>190</v>
      </c>
      <c r="AC38">
        <v>230</v>
      </c>
      <c r="AD38">
        <v>240</v>
      </c>
    </row>
    <row r="39" spans="2:30" x14ac:dyDescent="0.4">
      <c r="B39" s="9" t="s">
        <v>1650</v>
      </c>
      <c r="L39" t="s">
        <v>1661</v>
      </c>
      <c r="M39">
        <v>2.8</v>
      </c>
      <c r="N39">
        <v>0</v>
      </c>
      <c r="O39">
        <v>0</v>
      </c>
      <c r="P39">
        <v>1</v>
      </c>
      <c r="Y39">
        <v>32</v>
      </c>
      <c r="Z39">
        <v>340</v>
      </c>
      <c r="AA39">
        <v>41</v>
      </c>
      <c r="AB39">
        <v>202</v>
      </c>
      <c r="AC39">
        <v>243</v>
      </c>
      <c r="AD39">
        <v>255</v>
      </c>
    </row>
    <row r="40" spans="2:30" x14ac:dyDescent="0.4">
      <c r="B40" s="10" t="s">
        <v>1640</v>
      </c>
      <c r="C40" s="159" t="s">
        <v>1509</v>
      </c>
      <c r="D40" s="10" t="s">
        <v>1510</v>
      </c>
      <c r="E40" s="10" t="s">
        <v>1512</v>
      </c>
      <c r="F40" s="9"/>
      <c r="L40" t="s">
        <v>1704</v>
      </c>
      <c r="M40">
        <f>M37</f>
        <v>14</v>
      </c>
      <c r="N40">
        <f t="shared" ref="N40:P40" si="2">N37</f>
        <v>5.4</v>
      </c>
      <c r="O40">
        <f t="shared" si="2"/>
        <v>1.1000000000000001</v>
      </c>
      <c r="P40">
        <f t="shared" si="2"/>
        <v>1</v>
      </c>
      <c r="Y40">
        <v>33</v>
      </c>
      <c r="Z40">
        <v>350</v>
      </c>
      <c r="AA40">
        <v>42</v>
      </c>
      <c r="AB40">
        <v>213</v>
      </c>
      <c r="AC40">
        <v>255</v>
      </c>
      <c r="AD40">
        <v>270</v>
      </c>
    </row>
    <row r="41" spans="2:30" x14ac:dyDescent="0.4">
      <c r="B41" t="s">
        <v>1588</v>
      </c>
      <c r="C41" s="127">
        <v>10.8</v>
      </c>
      <c r="D41">
        <v>0.4</v>
      </c>
      <c r="E41">
        <v>2</v>
      </c>
      <c r="K41" s="11"/>
      <c r="L41" s="11" t="s">
        <v>1647</v>
      </c>
      <c r="M41" s="11">
        <f>M40</f>
        <v>14</v>
      </c>
      <c r="N41" s="11">
        <f t="shared" ref="N41:P41" si="3">N40</f>
        <v>5.4</v>
      </c>
      <c r="O41" s="11">
        <f t="shared" si="3"/>
        <v>1.1000000000000001</v>
      </c>
      <c r="P41" s="11">
        <f t="shared" si="3"/>
        <v>1</v>
      </c>
      <c r="Y41">
        <v>34</v>
      </c>
      <c r="Z41">
        <v>360</v>
      </c>
      <c r="AA41">
        <v>44</v>
      </c>
      <c r="AB41">
        <v>226</v>
      </c>
      <c r="AC41">
        <v>270</v>
      </c>
      <c r="AD41">
        <v>285</v>
      </c>
    </row>
    <row r="42" spans="2:30" x14ac:dyDescent="0.4">
      <c r="B42" t="s">
        <v>1589</v>
      </c>
      <c r="C42" s="127">
        <v>9.1999999999999993</v>
      </c>
      <c r="D42">
        <v>0.2</v>
      </c>
      <c r="E42">
        <v>1.9</v>
      </c>
      <c r="K42" t="s">
        <v>1683</v>
      </c>
      <c r="L42" t="s">
        <v>1684</v>
      </c>
      <c r="M42">
        <v>0.47</v>
      </c>
      <c r="N42">
        <v>0.02</v>
      </c>
      <c r="O42">
        <v>0.97</v>
      </c>
      <c r="P42">
        <v>1</v>
      </c>
      <c r="Y42">
        <v>35</v>
      </c>
      <c r="Z42">
        <v>370</v>
      </c>
      <c r="AA42">
        <v>45</v>
      </c>
      <c r="AB42">
        <v>238</v>
      </c>
      <c r="AC42">
        <v>283</v>
      </c>
      <c r="AD42">
        <v>300</v>
      </c>
    </row>
    <row r="43" spans="2:30" x14ac:dyDescent="0.4">
      <c r="B43" s="11" t="s">
        <v>1590</v>
      </c>
      <c r="C43" s="125">
        <v>1.1000000000000001</v>
      </c>
      <c r="D43" s="11">
        <v>0.3</v>
      </c>
      <c r="E43" s="11">
        <v>1.5</v>
      </c>
      <c r="L43" t="s">
        <v>1685</v>
      </c>
      <c r="M43">
        <v>2.2999999999999998</v>
      </c>
      <c r="N43">
        <v>0</v>
      </c>
      <c r="O43">
        <v>0</v>
      </c>
      <c r="P43">
        <v>1</v>
      </c>
      <c r="Y43">
        <v>36</v>
      </c>
      <c r="Z43">
        <v>380</v>
      </c>
      <c r="AA43">
        <v>46</v>
      </c>
      <c r="AB43">
        <v>252</v>
      </c>
      <c r="AC43">
        <v>298</v>
      </c>
      <c r="AD43">
        <v>315</v>
      </c>
    </row>
    <row r="44" spans="2:30" x14ac:dyDescent="0.4">
      <c r="B44">
        <v>1</v>
      </c>
      <c r="C44">
        <v>2</v>
      </c>
      <c r="D44">
        <v>3</v>
      </c>
      <c r="E44">
        <v>4</v>
      </c>
      <c r="L44" t="s">
        <v>1686</v>
      </c>
      <c r="M44">
        <v>12</v>
      </c>
      <c r="N44">
        <v>0</v>
      </c>
      <c r="O44">
        <v>0</v>
      </c>
      <c r="P44">
        <v>1</v>
      </c>
      <c r="Y44">
        <v>37</v>
      </c>
      <c r="Z44">
        <v>390</v>
      </c>
      <c r="AA44">
        <v>47</v>
      </c>
      <c r="AB44">
        <v>266</v>
      </c>
      <c r="AC44">
        <v>313</v>
      </c>
      <c r="AD44">
        <v>330</v>
      </c>
    </row>
    <row r="45" spans="2:30" x14ac:dyDescent="0.4">
      <c r="L45" t="s">
        <v>1704</v>
      </c>
      <c r="M45">
        <f>M42</f>
        <v>0.47</v>
      </c>
      <c r="N45">
        <f t="shared" ref="N45:P45" si="4">N42</f>
        <v>0.02</v>
      </c>
      <c r="O45">
        <f t="shared" si="4"/>
        <v>0.97</v>
      </c>
      <c r="P45">
        <f t="shared" si="4"/>
        <v>1</v>
      </c>
      <c r="Y45" s="11">
        <v>38</v>
      </c>
      <c r="Z45" s="11">
        <v>400</v>
      </c>
      <c r="AA45" s="11">
        <v>48</v>
      </c>
      <c r="AB45" s="11">
        <v>281</v>
      </c>
      <c r="AC45" s="11">
        <v>329</v>
      </c>
      <c r="AD45" s="11">
        <v>345</v>
      </c>
    </row>
    <row r="46" spans="2:30" x14ac:dyDescent="0.4">
      <c r="B46" s="9" t="s">
        <v>1651</v>
      </c>
      <c r="K46" s="11"/>
      <c r="L46" s="11" t="s">
        <v>1647</v>
      </c>
      <c r="M46" s="11">
        <f>M44</f>
        <v>12</v>
      </c>
      <c r="N46" s="11">
        <f t="shared" ref="N46:P46" si="5">N44</f>
        <v>0</v>
      </c>
      <c r="O46" s="11">
        <f t="shared" si="5"/>
        <v>0</v>
      </c>
      <c r="P46" s="11">
        <f t="shared" si="5"/>
        <v>1</v>
      </c>
      <c r="Y46">
        <v>1</v>
      </c>
      <c r="Z46">
        <v>2</v>
      </c>
      <c r="AA46">
        <v>3</v>
      </c>
      <c r="AB46">
        <v>4</v>
      </c>
      <c r="AC46">
        <v>5</v>
      </c>
      <c r="AD46">
        <v>6</v>
      </c>
    </row>
    <row r="47" spans="2:30" x14ac:dyDescent="0.4">
      <c r="B47" s="9" t="s">
        <v>1514</v>
      </c>
      <c r="C47" s="9" t="s">
        <v>1652</v>
      </c>
      <c r="D47" s="9"/>
      <c r="E47" s="9"/>
      <c r="K47" t="s">
        <v>1687</v>
      </c>
      <c r="L47" t="s">
        <v>1685</v>
      </c>
      <c r="M47">
        <v>7.8</v>
      </c>
      <c r="N47">
        <v>0.01</v>
      </c>
      <c r="O47">
        <v>4</v>
      </c>
      <c r="P47" t="s">
        <v>1706</v>
      </c>
    </row>
    <row r="48" spans="2:30" x14ac:dyDescent="0.4">
      <c r="B48" s="10"/>
      <c r="C48" s="10" t="s">
        <v>1636</v>
      </c>
      <c r="D48" s="10" t="s">
        <v>1637</v>
      </c>
      <c r="E48" s="10" t="s">
        <v>1638</v>
      </c>
      <c r="L48" t="s">
        <v>1684</v>
      </c>
      <c r="M48">
        <v>6.2</v>
      </c>
      <c r="N48">
        <v>1.2</v>
      </c>
      <c r="O48">
        <v>0.94</v>
      </c>
    </row>
    <row r="49" spans="2:16" x14ac:dyDescent="0.4">
      <c r="B49" t="s">
        <v>589</v>
      </c>
      <c r="C49">
        <v>1.5E-3</v>
      </c>
      <c r="D49">
        <v>7.4999999999999997E-3</v>
      </c>
      <c r="E49">
        <v>0.15</v>
      </c>
      <c r="L49" t="s">
        <v>1704</v>
      </c>
      <c r="M49">
        <f>M48</f>
        <v>6.2</v>
      </c>
      <c r="N49">
        <f t="shared" ref="N49:O49" si="6">N48</f>
        <v>1.2</v>
      </c>
      <c r="O49">
        <f t="shared" si="6"/>
        <v>0.94</v>
      </c>
    </row>
    <row r="50" spans="2:16" x14ac:dyDescent="0.4">
      <c r="B50" s="126" t="s">
        <v>166</v>
      </c>
      <c r="C50" s="11">
        <v>6.0000000000000001E-3</v>
      </c>
      <c r="D50" s="11">
        <v>0.03</v>
      </c>
      <c r="E50" s="11">
        <v>0.6</v>
      </c>
      <c r="K50" s="11"/>
      <c r="L50" s="11" t="s">
        <v>1647</v>
      </c>
      <c r="M50" s="11">
        <f>M48</f>
        <v>6.2</v>
      </c>
      <c r="N50" s="11">
        <f t="shared" ref="N50:O50" si="7">N48</f>
        <v>1.2</v>
      </c>
      <c r="O50" s="11">
        <f t="shared" si="7"/>
        <v>0.94</v>
      </c>
      <c r="P50" s="11"/>
    </row>
    <row r="51" spans="2:16" x14ac:dyDescent="0.4">
      <c r="K51" t="s">
        <v>1688</v>
      </c>
      <c r="L51" t="s">
        <v>1689</v>
      </c>
      <c r="M51">
        <v>1.5</v>
      </c>
      <c r="N51">
        <v>0.21</v>
      </c>
      <c r="O51">
        <v>1.7</v>
      </c>
      <c r="P51" t="s">
        <v>1690</v>
      </c>
    </row>
    <row r="52" spans="2:16" x14ac:dyDescent="0.4">
      <c r="L52" t="s">
        <v>1691</v>
      </c>
      <c r="M52">
        <v>1.8</v>
      </c>
      <c r="N52">
        <v>0.14000000000000001</v>
      </c>
      <c r="O52">
        <v>1.1000000000000001</v>
      </c>
    </row>
    <row r="53" spans="2:16" x14ac:dyDescent="0.4">
      <c r="B53" s="9" t="s">
        <v>1555</v>
      </c>
      <c r="L53" t="s">
        <v>1692</v>
      </c>
      <c r="M53">
        <v>1.2</v>
      </c>
      <c r="N53">
        <v>0</v>
      </c>
      <c r="O53">
        <v>0</v>
      </c>
    </row>
    <row r="54" spans="2:16" x14ac:dyDescent="0.4">
      <c r="B54" s="9"/>
      <c r="C54" s="597" t="s">
        <v>1653</v>
      </c>
      <c r="D54" s="597"/>
      <c r="E54" s="9" t="s">
        <v>1654</v>
      </c>
      <c r="L54" t="s">
        <v>1704</v>
      </c>
      <c r="M54">
        <f>M52</f>
        <v>1.8</v>
      </c>
      <c r="N54">
        <f t="shared" ref="N54" si="8">N52</f>
        <v>0.14000000000000001</v>
      </c>
      <c r="O54">
        <f t="shared" ref="O54" si="9">O52</f>
        <v>1.1000000000000001</v>
      </c>
    </row>
    <row r="55" spans="2:16" x14ac:dyDescent="0.4">
      <c r="B55" s="161" t="s">
        <v>1655</v>
      </c>
      <c r="C55" s="160" t="s">
        <v>1656</v>
      </c>
      <c r="D55" s="160" t="s">
        <v>1657</v>
      </c>
      <c r="E55" s="160"/>
      <c r="K55" s="11"/>
      <c r="L55" s="11" t="s">
        <v>1647</v>
      </c>
      <c r="M55" s="11">
        <v>0</v>
      </c>
      <c r="N55" s="11">
        <v>0</v>
      </c>
      <c r="O55" s="11">
        <v>0</v>
      </c>
      <c r="P55" s="11"/>
    </row>
    <row r="56" spans="2:16" x14ac:dyDescent="0.4">
      <c r="B56" s="128">
        <v>1</v>
      </c>
      <c r="C56">
        <v>0</v>
      </c>
      <c r="D56">
        <v>85</v>
      </c>
      <c r="E56">
        <v>1</v>
      </c>
      <c r="K56" t="s">
        <v>1708</v>
      </c>
      <c r="L56" t="s">
        <v>1709</v>
      </c>
      <c r="M56">
        <v>7.9</v>
      </c>
      <c r="N56">
        <v>0</v>
      </c>
      <c r="O56">
        <v>0</v>
      </c>
      <c r="P56" t="s">
        <v>1693</v>
      </c>
    </row>
    <row r="57" spans="2:16" x14ac:dyDescent="0.4">
      <c r="B57" s="128">
        <v>2</v>
      </c>
      <c r="C57">
        <v>85</v>
      </c>
      <c r="D57">
        <v>100</v>
      </c>
      <c r="E57">
        <v>6</v>
      </c>
      <c r="L57" t="s">
        <v>1605</v>
      </c>
      <c r="M57">
        <v>0</v>
      </c>
      <c r="N57">
        <v>0</v>
      </c>
      <c r="O57">
        <v>0</v>
      </c>
    </row>
    <row r="58" spans="2:16" x14ac:dyDescent="0.4">
      <c r="B58" s="128">
        <v>3</v>
      </c>
      <c r="C58">
        <v>100</v>
      </c>
      <c r="D58">
        <v>120</v>
      </c>
      <c r="E58">
        <v>7</v>
      </c>
      <c r="K58" s="11"/>
      <c r="L58" s="11" t="s">
        <v>1647</v>
      </c>
      <c r="M58" s="11">
        <f>M56</f>
        <v>7.9</v>
      </c>
      <c r="N58" s="11">
        <f t="shared" ref="N58:O58" si="10">N56</f>
        <v>0</v>
      </c>
      <c r="O58" s="11">
        <f t="shared" si="10"/>
        <v>0</v>
      </c>
      <c r="P58" s="11"/>
    </row>
    <row r="59" spans="2:16" x14ac:dyDescent="0.4">
      <c r="B59" s="128">
        <v>4</v>
      </c>
      <c r="C59">
        <v>120</v>
      </c>
      <c r="D59">
        <v>135</v>
      </c>
      <c r="E59">
        <v>8</v>
      </c>
      <c r="K59" t="s">
        <v>1711</v>
      </c>
      <c r="L59" t="s">
        <v>1694</v>
      </c>
      <c r="M59">
        <v>2</v>
      </c>
      <c r="N59">
        <v>0.37</v>
      </c>
      <c r="O59">
        <v>0.91</v>
      </c>
      <c r="P59" t="s">
        <v>1710</v>
      </c>
    </row>
    <row r="60" spans="2:16" x14ac:dyDescent="0.4">
      <c r="B60" s="128">
        <v>5</v>
      </c>
      <c r="C60">
        <v>135</v>
      </c>
      <c r="D60">
        <v>150</v>
      </c>
      <c r="E60">
        <v>9</v>
      </c>
      <c r="L60" t="s">
        <v>1695</v>
      </c>
      <c r="M60">
        <v>1.3</v>
      </c>
      <c r="N60">
        <v>0.08</v>
      </c>
      <c r="O60">
        <v>0.65</v>
      </c>
    </row>
    <row r="61" spans="2:16" x14ac:dyDescent="0.4">
      <c r="B61" s="128">
        <v>6</v>
      </c>
      <c r="C61">
        <v>150</v>
      </c>
      <c r="D61">
        <v>170</v>
      </c>
      <c r="E61">
        <v>16</v>
      </c>
      <c r="L61" t="s">
        <v>1696</v>
      </c>
      <c r="M61">
        <v>1.2</v>
      </c>
      <c r="N61">
        <v>0.14000000000000001</v>
      </c>
      <c r="O61">
        <v>0.65</v>
      </c>
    </row>
    <row r="62" spans="2:16" x14ac:dyDescent="0.4">
      <c r="B62" s="128">
        <v>7</v>
      </c>
      <c r="C62">
        <v>170</v>
      </c>
      <c r="D62">
        <v>190</v>
      </c>
      <c r="E62">
        <v>22</v>
      </c>
      <c r="L62" t="s">
        <v>1712</v>
      </c>
      <c r="M62">
        <f>M59</f>
        <v>2</v>
      </c>
      <c r="N62">
        <f t="shared" ref="N62:O62" si="11">N59</f>
        <v>0.37</v>
      </c>
      <c r="O62">
        <f t="shared" si="11"/>
        <v>0.91</v>
      </c>
    </row>
    <row r="63" spans="2:16" x14ac:dyDescent="0.4">
      <c r="B63" s="128">
        <v>8</v>
      </c>
      <c r="C63">
        <v>190</v>
      </c>
      <c r="D63">
        <v>220</v>
      </c>
      <c r="E63">
        <v>31</v>
      </c>
      <c r="L63" t="s">
        <v>1713</v>
      </c>
      <c r="M63">
        <v>0</v>
      </c>
      <c r="N63">
        <v>0</v>
      </c>
      <c r="O63">
        <v>0</v>
      </c>
    </row>
    <row r="64" spans="2:16" x14ac:dyDescent="0.4">
      <c r="B64" s="128">
        <v>9</v>
      </c>
      <c r="C64">
        <v>220</v>
      </c>
      <c r="D64">
        <v>235</v>
      </c>
      <c r="E64">
        <v>37</v>
      </c>
      <c r="K64" s="11"/>
      <c r="L64" s="11" t="s">
        <v>1582</v>
      </c>
      <c r="M64" s="11">
        <v>0</v>
      </c>
      <c r="N64" s="11">
        <v>0</v>
      </c>
      <c r="O64" s="11">
        <v>0</v>
      </c>
      <c r="P64" s="11"/>
    </row>
    <row r="65" spans="2:16" x14ac:dyDescent="0.4">
      <c r="B65" s="128">
        <v>10</v>
      </c>
      <c r="C65">
        <v>235</v>
      </c>
      <c r="D65">
        <v>270</v>
      </c>
      <c r="E65">
        <v>43</v>
      </c>
      <c r="K65" t="s">
        <v>1714</v>
      </c>
      <c r="L65" t="s">
        <v>1697</v>
      </c>
      <c r="M65">
        <v>0.82</v>
      </c>
      <c r="N65">
        <v>0.53</v>
      </c>
      <c r="O65">
        <v>0.14000000000000001</v>
      </c>
      <c r="P65" t="s">
        <v>1710</v>
      </c>
    </row>
    <row r="66" spans="2:16" x14ac:dyDescent="0.4">
      <c r="B66" s="128">
        <v>11</v>
      </c>
      <c r="C66">
        <v>270</v>
      </c>
      <c r="D66">
        <v>290</v>
      </c>
      <c r="E66">
        <v>49</v>
      </c>
      <c r="L66" t="s">
        <v>1698</v>
      </c>
      <c r="M66">
        <v>0.53</v>
      </c>
      <c r="N66">
        <v>0.11</v>
      </c>
      <c r="O66">
        <v>0.13</v>
      </c>
    </row>
    <row r="67" spans="2:16" x14ac:dyDescent="0.4">
      <c r="B67" s="128">
        <v>12</v>
      </c>
      <c r="C67">
        <v>290</v>
      </c>
      <c r="D67">
        <v>330</v>
      </c>
      <c r="E67">
        <v>61</v>
      </c>
      <c r="L67" t="s">
        <v>1699</v>
      </c>
      <c r="M67">
        <v>0.49</v>
      </c>
      <c r="N67">
        <v>0.16</v>
      </c>
      <c r="O67">
        <v>0.14000000000000001</v>
      </c>
    </row>
    <row r="68" spans="2:16" x14ac:dyDescent="0.4">
      <c r="B68" s="128">
        <v>13</v>
      </c>
      <c r="C68">
        <v>330</v>
      </c>
      <c r="D68">
        <v>360</v>
      </c>
      <c r="E68">
        <v>71</v>
      </c>
      <c r="L68" t="s">
        <v>1704</v>
      </c>
      <c r="M68">
        <f>M65</f>
        <v>0.82</v>
      </c>
      <c r="N68">
        <f>N65</f>
        <v>0.53</v>
      </c>
      <c r="O68">
        <f>O65</f>
        <v>0.14000000000000001</v>
      </c>
    </row>
    <row r="69" spans="2:16" x14ac:dyDescent="0.4">
      <c r="B69" s="126">
        <v>14</v>
      </c>
      <c r="C69" s="11">
        <v>360</v>
      </c>
      <c r="D69" s="11">
        <v>400</v>
      </c>
      <c r="E69" s="11">
        <v>81</v>
      </c>
      <c r="K69" s="11"/>
      <c r="L69" s="11" t="s">
        <v>1582</v>
      </c>
      <c r="M69" s="11">
        <v>0</v>
      </c>
      <c r="N69" s="11">
        <v>0</v>
      </c>
      <c r="O69" s="11">
        <v>0</v>
      </c>
      <c r="P69" s="11"/>
    </row>
    <row r="70" spans="2:16" x14ac:dyDescent="0.4">
      <c r="B70" s="128">
        <v>1</v>
      </c>
      <c r="C70">
        <v>2</v>
      </c>
      <c r="D70">
        <v>3</v>
      </c>
      <c r="E70">
        <v>4</v>
      </c>
      <c r="K70" t="s">
        <v>1700</v>
      </c>
      <c r="L70" t="s">
        <v>1685</v>
      </c>
      <c r="M70">
        <v>0.68</v>
      </c>
      <c r="N70">
        <v>1.8</v>
      </c>
      <c r="O70">
        <v>1</v>
      </c>
      <c r="P70">
        <v>1</v>
      </c>
    </row>
    <row r="71" spans="2:16" x14ac:dyDescent="0.4">
      <c r="L71" t="s">
        <v>1684</v>
      </c>
      <c r="M71">
        <v>0.71</v>
      </c>
      <c r="N71">
        <v>0.1</v>
      </c>
      <c r="O71">
        <v>1</v>
      </c>
      <c r="P71">
        <v>1</v>
      </c>
    </row>
    <row r="72" spans="2:16" x14ac:dyDescent="0.4">
      <c r="L72" t="s">
        <v>1704</v>
      </c>
      <c r="M72">
        <f>M71</f>
        <v>0.71</v>
      </c>
      <c r="N72">
        <f>N71</f>
        <v>0.1</v>
      </c>
      <c r="O72">
        <f t="shared" ref="O72:O73" si="12">O71</f>
        <v>1</v>
      </c>
      <c r="P72">
        <v>1</v>
      </c>
    </row>
    <row r="73" spans="2:16" x14ac:dyDescent="0.4">
      <c r="K73" s="11"/>
      <c r="L73" s="11" t="s">
        <v>1647</v>
      </c>
      <c r="M73" s="11">
        <f>M72</f>
        <v>0.71</v>
      </c>
      <c r="N73" s="11">
        <f t="shared" ref="N73" si="13">N72</f>
        <v>0.1</v>
      </c>
      <c r="O73" s="11">
        <f t="shared" si="12"/>
        <v>1</v>
      </c>
      <c r="P73" s="11">
        <f t="shared" ref="P73" si="14">P72</f>
        <v>1</v>
      </c>
    </row>
    <row r="74" spans="2:16" x14ac:dyDescent="0.4">
      <c r="K74" t="s">
        <v>1701</v>
      </c>
      <c r="L74" t="s">
        <v>1702</v>
      </c>
      <c r="M74">
        <v>98</v>
      </c>
      <c r="N74">
        <v>0</v>
      </c>
      <c r="O74">
        <v>0</v>
      </c>
      <c r="P74">
        <v>1</v>
      </c>
    </row>
    <row r="75" spans="2:16" x14ac:dyDescent="0.4">
      <c r="L75" t="s">
        <v>1703</v>
      </c>
      <c r="M75">
        <v>56</v>
      </c>
      <c r="N75">
        <v>0</v>
      </c>
      <c r="O75">
        <v>0</v>
      </c>
      <c r="P75">
        <v>1</v>
      </c>
    </row>
    <row r="76" spans="2:16" x14ac:dyDescent="0.4">
      <c r="L76" t="s">
        <v>1605</v>
      </c>
      <c r="M76">
        <v>0</v>
      </c>
      <c r="N76">
        <v>0</v>
      </c>
      <c r="O76">
        <v>0</v>
      </c>
      <c r="P76">
        <v>0</v>
      </c>
    </row>
    <row r="77" spans="2:16" x14ac:dyDescent="0.4">
      <c r="K77" s="11"/>
      <c r="L77" s="11" t="s">
        <v>1647</v>
      </c>
      <c r="M77" s="11">
        <f>M74</f>
        <v>98</v>
      </c>
      <c r="N77" s="11">
        <f t="shared" ref="N77" si="15">N76</f>
        <v>0</v>
      </c>
      <c r="O77" s="11">
        <f t="shared" ref="O77" si="16">O76</f>
        <v>0</v>
      </c>
      <c r="P77" s="11">
        <v>1</v>
      </c>
    </row>
    <row r="78" spans="2:16" x14ac:dyDescent="0.4">
      <c r="K78" t="s">
        <v>1715</v>
      </c>
      <c r="L78" t="s">
        <v>1716</v>
      </c>
      <c r="M78">
        <v>98</v>
      </c>
      <c r="N78">
        <v>0</v>
      </c>
      <c r="O78">
        <v>0</v>
      </c>
      <c r="P78">
        <v>1</v>
      </c>
    </row>
    <row r="79" spans="2:16" x14ac:dyDescent="0.4">
      <c r="L79" t="s">
        <v>1717</v>
      </c>
      <c r="M79">
        <v>65</v>
      </c>
      <c r="N79">
        <v>0</v>
      </c>
      <c r="O79">
        <v>0</v>
      </c>
      <c r="P79">
        <v>1</v>
      </c>
    </row>
    <row r="80" spans="2:16" x14ac:dyDescent="0.4">
      <c r="L80" t="s">
        <v>1717</v>
      </c>
      <c r="M80">
        <v>60</v>
      </c>
      <c r="N80">
        <v>0</v>
      </c>
      <c r="O80">
        <v>0</v>
      </c>
      <c r="P80">
        <v>1</v>
      </c>
    </row>
    <row r="81" spans="11:16" x14ac:dyDescent="0.4">
      <c r="L81" t="s">
        <v>1605</v>
      </c>
      <c r="M81">
        <v>0</v>
      </c>
      <c r="N81">
        <v>0</v>
      </c>
      <c r="O81">
        <v>0</v>
      </c>
      <c r="P81">
        <v>0</v>
      </c>
    </row>
    <row r="82" spans="11:16" x14ac:dyDescent="0.4">
      <c r="K82" s="11"/>
      <c r="L82" s="11" t="s">
        <v>1755</v>
      </c>
      <c r="M82" s="11">
        <v>0</v>
      </c>
      <c r="N82" s="11">
        <v>0</v>
      </c>
      <c r="O82" s="11">
        <v>0</v>
      </c>
      <c r="P82" s="11">
        <v>0</v>
      </c>
    </row>
    <row r="85" spans="11:16" x14ac:dyDescent="0.4">
      <c r="P85">
        <v>1</v>
      </c>
    </row>
  </sheetData>
  <sheetProtection algorithmName="SHA-512" hashValue="b7zaq/i0nHtDXqGKPcWP1waP7yuAndx/gUieWmMoL2j7iyTyyF5xH3ybenpu9c/0ftAKcOmnKcl2aT+gxwknbg==" saltValue="3gTYiPJ1Pgf696vjxJ1aqA==" spinCount="100000" sheet="1" objects="1" scenarios="1"/>
  <mergeCells count="2">
    <mergeCell ref="C54:D54"/>
    <mergeCell ref="T7:U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4EEA-2BF5-4192-8B63-38055215D77B}">
  <sheetPr codeName="Sheet20">
    <tabColor theme="1"/>
  </sheetPr>
  <dimension ref="B3:C87"/>
  <sheetViews>
    <sheetView workbookViewId="0">
      <selection activeCell="J5" sqref="J5"/>
    </sheetView>
  </sheetViews>
  <sheetFormatPr defaultColWidth="8.84375" defaultRowHeight="14.6" x14ac:dyDescent="0.4"/>
  <cols>
    <col min="2" max="2" width="45.4609375" bestFit="1" customWidth="1"/>
    <col min="3" max="3" width="16.84375" bestFit="1" customWidth="1"/>
  </cols>
  <sheetData>
    <row r="3" spans="2:3" x14ac:dyDescent="0.4">
      <c r="B3" s="9" t="s">
        <v>46</v>
      </c>
    </row>
    <row r="4" spans="2:3" x14ac:dyDescent="0.4">
      <c r="B4" s="10" t="s">
        <v>44</v>
      </c>
      <c r="C4" s="10" t="s">
        <v>45</v>
      </c>
    </row>
    <row r="5" spans="2:3" x14ac:dyDescent="0.4">
      <c r="B5" t="s">
        <v>47</v>
      </c>
      <c r="C5" t="s">
        <v>443</v>
      </c>
    </row>
    <row r="6" spans="2:3" x14ac:dyDescent="0.4">
      <c r="B6" t="s">
        <v>48</v>
      </c>
      <c r="C6" t="s">
        <v>352</v>
      </c>
    </row>
    <row r="7" spans="2:3" x14ac:dyDescent="0.4">
      <c r="B7" t="s">
        <v>49</v>
      </c>
      <c r="C7" t="s">
        <v>265</v>
      </c>
    </row>
    <row r="8" spans="2:3" x14ac:dyDescent="0.4">
      <c r="B8" t="s">
        <v>50</v>
      </c>
      <c r="C8" t="s">
        <v>410</v>
      </c>
    </row>
    <row r="9" spans="2:3" x14ac:dyDescent="0.4">
      <c r="B9" t="s">
        <v>51</v>
      </c>
      <c r="C9" t="s">
        <v>265</v>
      </c>
    </row>
    <row r="10" spans="2:3" x14ac:dyDescent="0.4">
      <c r="B10" t="s">
        <v>26</v>
      </c>
      <c r="C10" t="s">
        <v>424</v>
      </c>
    </row>
    <row r="11" spans="2:3" x14ac:dyDescent="0.4">
      <c r="B11" t="s">
        <v>52</v>
      </c>
      <c r="C11" t="s">
        <v>444</v>
      </c>
    </row>
    <row r="12" spans="2:3" x14ac:dyDescent="0.4">
      <c r="B12" t="s">
        <v>53</v>
      </c>
      <c r="C12" t="s">
        <v>320</v>
      </c>
    </row>
    <row r="13" spans="2:3" x14ac:dyDescent="0.4">
      <c r="B13" t="s">
        <v>54</v>
      </c>
      <c r="C13" t="s">
        <v>498</v>
      </c>
    </row>
    <row r="14" spans="2:3" x14ac:dyDescent="0.4">
      <c r="B14" t="s">
        <v>55</v>
      </c>
      <c r="C14" t="s">
        <v>441</v>
      </c>
    </row>
    <row r="15" spans="2:3" x14ac:dyDescent="0.4">
      <c r="B15" t="s">
        <v>56</v>
      </c>
      <c r="C15" t="s">
        <v>265</v>
      </c>
    </row>
    <row r="16" spans="2:3" x14ac:dyDescent="0.4">
      <c r="B16" t="s">
        <v>57</v>
      </c>
      <c r="C16" t="s">
        <v>482</v>
      </c>
    </row>
    <row r="17" spans="2:3" x14ac:dyDescent="0.4">
      <c r="B17" t="s">
        <v>58</v>
      </c>
      <c r="C17" t="s">
        <v>416</v>
      </c>
    </row>
    <row r="18" spans="2:3" x14ac:dyDescent="0.4">
      <c r="B18" t="s">
        <v>59</v>
      </c>
      <c r="C18" t="s">
        <v>448</v>
      </c>
    </row>
    <row r="19" spans="2:3" x14ac:dyDescent="0.4">
      <c r="B19" t="s">
        <v>60</v>
      </c>
      <c r="C19" t="s">
        <v>445</v>
      </c>
    </row>
    <row r="20" spans="2:3" x14ac:dyDescent="0.4">
      <c r="B20" t="s">
        <v>61</v>
      </c>
      <c r="C20" t="s">
        <v>432</v>
      </c>
    </row>
    <row r="21" spans="2:3" x14ac:dyDescent="0.4">
      <c r="B21" t="s">
        <v>1494</v>
      </c>
      <c r="C21" t="s">
        <v>288</v>
      </c>
    </row>
    <row r="22" spans="2:3" x14ac:dyDescent="0.4">
      <c r="B22" t="s">
        <v>62</v>
      </c>
      <c r="C22" t="s">
        <v>428</v>
      </c>
    </row>
    <row r="24" spans="2:3" x14ac:dyDescent="0.4">
      <c r="B24" s="9" t="s">
        <v>63</v>
      </c>
    </row>
    <row r="25" spans="2:3" x14ac:dyDescent="0.4">
      <c r="B25" t="s">
        <v>64</v>
      </c>
    </row>
    <row r="26" spans="2:3" x14ac:dyDescent="0.4">
      <c r="B26" t="s">
        <v>65</v>
      </c>
    </row>
    <row r="28" spans="2:3" x14ac:dyDescent="0.4">
      <c r="B28" s="9" t="s">
        <v>68</v>
      </c>
    </row>
    <row r="29" spans="2:3" x14ac:dyDescent="0.4">
      <c r="B29" t="s">
        <v>27</v>
      </c>
    </row>
    <row r="30" spans="2:3" x14ac:dyDescent="0.4">
      <c r="B30" t="s">
        <v>69</v>
      </c>
    </row>
    <row r="32" spans="2:3" x14ac:dyDescent="0.4">
      <c r="B32" s="9" t="s">
        <v>1570</v>
      </c>
    </row>
    <row r="33" spans="2:2" x14ac:dyDescent="0.4">
      <c r="B33" t="s">
        <v>1571</v>
      </c>
    </row>
    <row r="34" spans="2:2" x14ac:dyDescent="0.4">
      <c r="B34" t="s">
        <v>1572</v>
      </c>
    </row>
    <row r="36" spans="2:2" x14ac:dyDescent="0.4">
      <c r="B36" s="9" t="s">
        <v>1577</v>
      </c>
    </row>
    <row r="37" spans="2:2" x14ac:dyDescent="0.4">
      <c r="B37" t="s">
        <v>1574</v>
      </c>
    </row>
    <row r="38" spans="2:2" x14ac:dyDescent="0.4">
      <c r="B38" t="s">
        <v>1575</v>
      </c>
    </row>
    <row r="39" spans="2:2" x14ac:dyDescent="0.4">
      <c r="B39" t="s">
        <v>1576</v>
      </c>
    </row>
    <row r="41" spans="2:2" x14ac:dyDescent="0.4">
      <c r="B41" s="9" t="s">
        <v>1581</v>
      </c>
    </row>
    <row r="42" spans="2:2" x14ac:dyDescent="0.4">
      <c r="B42" t="s">
        <v>1550</v>
      </c>
    </row>
    <row r="43" spans="2:2" x14ac:dyDescent="0.4">
      <c r="B43" t="s">
        <v>1551</v>
      </c>
    </row>
    <row r="45" spans="2:2" x14ac:dyDescent="0.4">
      <c r="B45" s="9" t="s">
        <v>1561</v>
      </c>
    </row>
    <row r="46" spans="2:2" x14ac:dyDescent="0.4">
      <c r="B46" t="s">
        <v>1557</v>
      </c>
    </row>
    <row r="47" spans="2:2" x14ac:dyDescent="0.4">
      <c r="B47" t="s">
        <v>1558</v>
      </c>
    </row>
    <row r="48" spans="2:2" x14ac:dyDescent="0.4">
      <c r="B48" t="s">
        <v>1559</v>
      </c>
    </row>
    <row r="50" spans="2:2" x14ac:dyDescent="0.4">
      <c r="B50" s="9" t="s">
        <v>1560</v>
      </c>
    </row>
    <row r="51" spans="2:2" x14ac:dyDescent="0.4">
      <c r="B51" t="s">
        <v>1582</v>
      </c>
    </row>
    <row r="52" spans="2:2" x14ac:dyDescent="0.4">
      <c r="B52" t="s">
        <v>1583</v>
      </c>
    </row>
    <row r="53" spans="2:2" x14ac:dyDescent="0.4">
      <c r="B53" t="s">
        <v>1584</v>
      </c>
    </row>
    <row r="54" spans="2:2" x14ac:dyDescent="0.4">
      <c r="B54" t="s">
        <v>1585</v>
      </c>
    </row>
    <row r="56" spans="2:2" x14ac:dyDescent="0.4">
      <c r="B56" s="9" t="s">
        <v>1587</v>
      </c>
    </row>
    <row r="57" spans="2:2" x14ac:dyDescent="0.4">
      <c r="B57" t="s">
        <v>1588</v>
      </c>
    </row>
    <row r="58" spans="2:2" x14ac:dyDescent="0.4">
      <c r="B58" t="s">
        <v>1589</v>
      </c>
    </row>
    <row r="59" spans="2:2" x14ac:dyDescent="0.4">
      <c r="B59" t="s">
        <v>1590</v>
      </c>
    </row>
    <row r="60" spans="2:2" x14ac:dyDescent="0.4">
      <c r="B60" t="s">
        <v>1591</v>
      </c>
    </row>
    <row r="61" spans="2:2" x14ac:dyDescent="0.4">
      <c r="B61" t="s">
        <v>1592</v>
      </c>
    </row>
    <row r="62" spans="2:2" x14ac:dyDescent="0.4">
      <c r="B62" t="s">
        <v>1593</v>
      </c>
    </row>
    <row r="63" spans="2:2" x14ac:dyDescent="0.4">
      <c r="B63" t="s">
        <v>1594</v>
      </c>
    </row>
    <row r="64" spans="2:2" x14ac:dyDescent="0.4">
      <c r="B64" t="s">
        <v>1595</v>
      </c>
    </row>
    <row r="65" spans="2:2" x14ac:dyDescent="0.4">
      <c r="B65" t="s">
        <v>1596</v>
      </c>
    </row>
    <row r="66" spans="2:2" x14ac:dyDescent="0.4">
      <c r="B66" t="s">
        <v>1645</v>
      </c>
    </row>
    <row r="67" spans="2:2" x14ac:dyDescent="0.4">
      <c r="B67" t="s">
        <v>1646</v>
      </c>
    </row>
    <row r="68" spans="2:2" x14ac:dyDescent="0.4">
      <c r="B68" t="s">
        <v>1647</v>
      </c>
    </row>
    <row r="70" spans="2:2" x14ac:dyDescent="0.4">
      <c r="B70" s="9" t="s">
        <v>1598</v>
      </c>
    </row>
    <row r="71" spans="2:2" x14ac:dyDescent="0.4">
      <c r="B71" t="s">
        <v>90</v>
      </c>
    </row>
    <row r="72" spans="2:2" x14ac:dyDescent="0.4">
      <c r="B72" t="s">
        <v>1599</v>
      </c>
    </row>
    <row r="74" spans="2:2" x14ac:dyDescent="0.4">
      <c r="B74" s="9" t="s">
        <v>1601</v>
      </c>
    </row>
    <row r="75" spans="2:2" x14ac:dyDescent="0.4">
      <c r="B75" t="s">
        <v>1602</v>
      </c>
    </row>
    <row r="76" spans="2:2" x14ac:dyDescent="0.4">
      <c r="B76" t="s">
        <v>1603</v>
      </c>
    </row>
    <row r="77" spans="2:2" x14ac:dyDescent="0.4">
      <c r="B77" t="s">
        <v>1605</v>
      </c>
    </row>
    <row r="79" spans="2:2" x14ac:dyDescent="0.4">
      <c r="B79" s="9" t="s">
        <v>1606</v>
      </c>
    </row>
    <row r="80" spans="2:2" x14ac:dyDescent="0.4">
      <c r="B80" t="s">
        <v>1557</v>
      </c>
    </row>
    <row r="81" spans="2:2" x14ac:dyDescent="0.4">
      <c r="B81" t="s">
        <v>1558</v>
      </c>
    </row>
    <row r="82" spans="2:2" x14ac:dyDescent="0.4">
      <c r="B82" t="s">
        <v>1559</v>
      </c>
    </row>
    <row r="84" spans="2:2" x14ac:dyDescent="0.4">
      <c r="B84" s="9" t="s">
        <v>1635</v>
      </c>
    </row>
    <row r="85" spans="2:2" x14ac:dyDescent="0.4">
      <c r="B85" t="s">
        <v>1636</v>
      </c>
    </row>
    <row r="86" spans="2:2" x14ac:dyDescent="0.4">
      <c r="B86" t="s">
        <v>1637</v>
      </c>
    </row>
    <row r="87" spans="2:2" x14ac:dyDescent="0.4">
      <c r="B87" t="s">
        <v>1638</v>
      </c>
    </row>
  </sheetData>
  <sheetProtection algorithmName="SHA-512" hashValue="m7sZelVZx8S56LHlzz6GLrhLsAMztl/WUdGWNFHK0yHvQZwWgc+qHGbN3Acj+XTQ6mlPWBnJpdrrTIW80guBpQ==" saltValue="IhM7FL47rZDcmBUA+zJQHg==" spinCount="100000" sheet="1" objects="1" scenarios="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BAF2D-6608-4182-8D01-5DCFF0E5A3F9}">
  <sheetPr codeName="Sheet21">
    <tabColor theme="1" tint="4.9989318521683403E-2"/>
  </sheetPr>
  <dimension ref="B3:E32"/>
  <sheetViews>
    <sheetView workbookViewId="0">
      <selection activeCell="J5" sqref="J5"/>
    </sheetView>
  </sheetViews>
  <sheetFormatPr defaultColWidth="8.84375" defaultRowHeight="14.6" x14ac:dyDescent="0.4"/>
  <cols>
    <col min="2" max="2" width="19.3046875" bestFit="1" customWidth="1"/>
    <col min="3" max="3" width="10" bestFit="1" customWidth="1"/>
    <col min="4" max="4" width="11.69140625" bestFit="1" customWidth="1"/>
  </cols>
  <sheetData>
    <row r="3" spans="2:5" x14ac:dyDescent="0.4">
      <c r="B3" s="9" t="s">
        <v>96</v>
      </c>
    </row>
    <row r="4" spans="2:5" x14ac:dyDescent="0.4">
      <c r="D4" t="s">
        <v>97</v>
      </c>
      <c r="E4" t="s">
        <v>507</v>
      </c>
    </row>
    <row r="5" spans="2:5" x14ac:dyDescent="0.4">
      <c r="B5">
        <v>1</v>
      </c>
      <c r="C5" s="13" t="s">
        <v>30</v>
      </c>
      <c r="D5">
        <v>31</v>
      </c>
      <c r="E5">
        <v>2</v>
      </c>
    </row>
    <row r="6" spans="2:5" x14ac:dyDescent="0.4">
      <c r="B6">
        <v>2</v>
      </c>
      <c r="C6" s="13" t="s">
        <v>31</v>
      </c>
      <c r="D6">
        <v>28</v>
      </c>
      <c r="E6">
        <v>3</v>
      </c>
    </row>
    <row r="7" spans="2:5" x14ac:dyDescent="0.4">
      <c r="B7">
        <v>3</v>
      </c>
      <c r="C7" s="13" t="s">
        <v>32</v>
      </c>
      <c r="D7">
        <v>31</v>
      </c>
      <c r="E7">
        <v>4</v>
      </c>
    </row>
    <row r="8" spans="2:5" x14ac:dyDescent="0.4">
      <c r="B8">
        <v>4</v>
      </c>
      <c r="C8" s="13" t="s">
        <v>33</v>
      </c>
      <c r="D8">
        <v>30</v>
      </c>
      <c r="E8">
        <v>5</v>
      </c>
    </row>
    <row r="9" spans="2:5" x14ac:dyDescent="0.4">
      <c r="B9">
        <v>5</v>
      </c>
      <c r="C9" s="13" t="s">
        <v>34</v>
      </c>
      <c r="D9">
        <v>31</v>
      </c>
      <c r="E9">
        <v>6</v>
      </c>
    </row>
    <row r="10" spans="2:5" x14ac:dyDescent="0.4">
      <c r="B10">
        <v>6</v>
      </c>
      <c r="C10" s="13" t="s">
        <v>35</v>
      </c>
      <c r="D10">
        <v>30</v>
      </c>
      <c r="E10">
        <v>7</v>
      </c>
    </row>
    <row r="11" spans="2:5" x14ac:dyDescent="0.4">
      <c r="B11">
        <v>7</v>
      </c>
      <c r="C11" s="13" t="s">
        <v>36</v>
      </c>
      <c r="D11">
        <v>31</v>
      </c>
      <c r="E11">
        <v>8</v>
      </c>
    </row>
    <row r="12" spans="2:5" x14ac:dyDescent="0.4">
      <c r="B12">
        <v>8</v>
      </c>
      <c r="C12" s="13" t="s">
        <v>37</v>
      </c>
      <c r="D12">
        <v>31</v>
      </c>
      <c r="E12">
        <v>9</v>
      </c>
    </row>
    <row r="13" spans="2:5" x14ac:dyDescent="0.4">
      <c r="B13">
        <v>9</v>
      </c>
      <c r="C13" s="13" t="s">
        <v>38</v>
      </c>
      <c r="D13">
        <v>30</v>
      </c>
      <c r="E13">
        <v>10</v>
      </c>
    </row>
    <row r="14" spans="2:5" x14ac:dyDescent="0.4">
      <c r="B14">
        <v>10</v>
      </c>
      <c r="C14" s="13" t="s">
        <v>39</v>
      </c>
      <c r="D14">
        <v>31</v>
      </c>
      <c r="E14">
        <v>11</v>
      </c>
    </row>
    <row r="15" spans="2:5" x14ac:dyDescent="0.4">
      <c r="B15">
        <v>11</v>
      </c>
      <c r="C15" s="13" t="s">
        <v>40</v>
      </c>
      <c r="D15">
        <v>30</v>
      </c>
      <c r="E15">
        <v>12</v>
      </c>
    </row>
    <row r="16" spans="2:5" x14ac:dyDescent="0.4">
      <c r="B16">
        <v>12</v>
      </c>
      <c r="C16" s="13" t="s">
        <v>41</v>
      </c>
      <c r="D16">
        <v>31</v>
      </c>
      <c r="E16">
        <v>13</v>
      </c>
    </row>
    <row r="17" spans="2:5" x14ac:dyDescent="0.4">
      <c r="B17">
        <v>13</v>
      </c>
      <c r="C17" s="13" t="s">
        <v>42</v>
      </c>
      <c r="D17">
        <f>SUM(D5:D16)</f>
        <v>365</v>
      </c>
      <c r="E17">
        <v>14</v>
      </c>
    </row>
    <row r="20" spans="2:5" x14ac:dyDescent="0.4">
      <c r="B20" s="9" t="s">
        <v>515</v>
      </c>
    </row>
    <row r="21" spans="2:5" x14ac:dyDescent="0.4">
      <c r="B21" t="s">
        <v>89</v>
      </c>
      <c r="C21">
        <v>2</v>
      </c>
    </row>
    <row r="22" spans="2:5" x14ac:dyDescent="0.4">
      <c r="B22" t="s">
        <v>90</v>
      </c>
      <c r="C22">
        <v>3</v>
      </c>
    </row>
    <row r="23" spans="2:5" x14ac:dyDescent="0.4">
      <c r="B23" t="s">
        <v>91</v>
      </c>
      <c r="C23">
        <v>4</v>
      </c>
    </row>
    <row r="25" spans="2:5" ht="17.149999999999999" x14ac:dyDescent="0.55000000000000004">
      <c r="B25" s="9" t="s">
        <v>1549</v>
      </c>
    </row>
    <row r="26" spans="2:5" x14ac:dyDescent="0.4">
      <c r="B26" t="s">
        <v>1550</v>
      </c>
      <c r="C26">
        <v>0</v>
      </c>
    </row>
    <row r="27" spans="2:5" x14ac:dyDescent="0.4">
      <c r="B27" t="s">
        <v>1551</v>
      </c>
      <c r="C27">
        <v>1.4</v>
      </c>
    </row>
    <row r="29" spans="2:5" x14ac:dyDescent="0.4">
      <c r="B29" s="9" t="s">
        <v>1556</v>
      </c>
    </row>
    <row r="30" spans="2:5" x14ac:dyDescent="0.4">
      <c r="B30" t="s">
        <v>1557</v>
      </c>
      <c r="C30">
        <v>1.1000000000000001</v>
      </c>
    </row>
    <row r="31" spans="2:5" x14ac:dyDescent="0.4">
      <c r="B31" t="s">
        <v>1558</v>
      </c>
      <c r="C31">
        <v>0.7</v>
      </c>
    </row>
    <row r="32" spans="2:5" x14ac:dyDescent="0.4">
      <c r="B32" t="s">
        <v>1559</v>
      </c>
      <c r="C32">
        <v>1</v>
      </c>
    </row>
  </sheetData>
  <sheetProtection algorithmName="SHA-512" hashValue="51SugDiglIqFn0namrg4nYnos68SP6qLTrxkug5oGJkyvXKxaWXZzFg+xoGCAaQlMxN49RTvBMMXAYPOFoCuaQ==" saltValue="t37XPFwGLyXYdRefsZvlHg==" spinCount="100000" sheet="1" objects="1" scenarios="1"/>
  <pageMargins left="0.7" right="0.7" top="0.75" bottom="0.75" header="0.3" footer="0.3"/>
  <pageSetup orientation="portrait" horizontalDpi="0"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D5B2E-E7DB-4A90-8B64-5F3BE244D128}">
  <sheetPr codeName="Sheet22">
    <tabColor theme="2" tint="-0.89999084444715716"/>
    <pageSetUpPr fitToPage="1"/>
  </sheetPr>
  <dimension ref="B4:I26"/>
  <sheetViews>
    <sheetView workbookViewId="0">
      <selection activeCell="J5" sqref="J5"/>
    </sheetView>
  </sheetViews>
  <sheetFormatPr defaultColWidth="8.84375" defaultRowHeight="14.6" x14ac:dyDescent="0.4"/>
  <cols>
    <col min="2" max="2" width="24.4609375" bestFit="1" customWidth="1"/>
    <col min="3" max="3" width="24.3046875" bestFit="1" customWidth="1"/>
    <col min="4" max="4" width="18" bestFit="1" customWidth="1"/>
    <col min="5" max="5" width="18" customWidth="1"/>
    <col min="6" max="6" width="18" bestFit="1" customWidth="1"/>
    <col min="7" max="7" width="18" customWidth="1"/>
    <col min="8" max="8" width="20.4609375" bestFit="1" customWidth="1"/>
    <col min="9" max="9" width="20.15234375" bestFit="1" customWidth="1"/>
  </cols>
  <sheetData>
    <row r="4" spans="2:9" x14ac:dyDescent="0.4">
      <c r="B4" t="s">
        <v>1495</v>
      </c>
    </row>
    <row r="6" spans="2:9" x14ac:dyDescent="0.4">
      <c r="B6" s="123" t="s">
        <v>1546</v>
      </c>
      <c r="C6" s="124" t="s">
        <v>1548</v>
      </c>
      <c r="D6" s="123" t="s">
        <v>1496</v>
      </c>
      <c r="E6" s="124"/>
      <c r="F6" s="123" t="s">
        <v>1497</v>
      </c>
      <c r="G6" s="124"/>
      <c r="H6" s="123" t="s">
        <v>1498</v>
      </c>
      <c r="I6" s="124" t="s">
        <v>1499</v>
      </c>
    </row>
    <row r="7" spans="2:9" x14ac:dyDescent="0.4">
      <c r="B7" s="125"/>
      <c r="C7" s="126"/>
      <c r="D7" s="125" t="s">
        <v>1547</v>
      </c>
      <c r="E7" s="126" t="s">
        <v>4</v>
      </c>
      <c r="F7" s="125" t="s">
        <v>1547</v>
      </c>
      <c r="G7" s="126" t="s">
        <v>4</v>
      </c>
      <c r="H7" s="125"/>
      <c r="I7" s="126"/>
    </row>
    <row r="8" spans="2:9" x14ac:dyDescent="0.4">
      <c r="B8" s="127" t="s">
        <v>1564</v>
      </c>
      <c r="C8" s="128" t="s">
        <v>1565</v>
      </c>
      <c r="D8" s="127" t="s">
        <v>1509</v>
      </c>
      <c r="E8" s="128" t="s">
        <v>1540</v>
      </c>
      <c r="F8" s="127" t="s">
        <v>1511</v>
      </c>
      <c r="G8" s="128" t="s">
        <v>1569</v>
      </c>
      <c r="H8" s="127" t="s">
        <v>1527</v>
      </c>
      <c r="I8" s="128" t="s">
        <v>1500</v>
      </c>
    </row>
    <row r="9" spans="2:9" x14ac:dyDescent="0.4">
      <c r="B9" s="127" t="s">
        <v>1545</v>
      </c>
      <c r="C9" s="128" t="s">
        <v>1566</v>
      </c>
      <c r="D9" s="127" t="s">
        <v>1510</v>
      </c>
      <c r="E9" s="128" t="s">
        <v>1540</v>
      </c>
      <c r="F9" s="127" t="s">
        <v>255</v>
      </c>
      <c r="G9" s="128" t="s">
        <v>1569</v>
      </c>
      <c r="H9" s="127" t="s">
        <v>1526</v>
      </c>
      <c r="I9" s="128" t="s">
        <v>1501</v>
      </c>
    </row>
    <row r="10" spans="2:9" x14ac:dyDescent="0.4">
      <c r="B10" s="127" t="s">
        <v>4</v>
      </c>
      <c r="C10" s="128" t="s">
        <v>1567</v>
      </c>
      <c r="D10" s="127" t="s">
        <v>1512</v>
      </c>
      <c r="E10" s="128" t="s">
        <v>1540</v>
      </c>
      <c r="F10" s="127" t="s">
        <v>257</v>
      </c>
      <c r="G10" s="128" t="s">
        <v>1569</v>
      </c>
      <c r="H10" s="127"/>
      <c r="I10" s="128" t="s">
        <v>1502</v>
      </c>
    </row>
    <row r="11" spans="2:9" x14ac:dyDescent="0.4">
      <c r="B11" s="127" t="s">
        <v>224</v>
      </c>
      <c r="C11" s="128" t="s">
        <v>1536</v>
      </c>
      <c r="D11" s="127" t="s">
        <v>1541</v>
      </c>
      <c r="E11" s="128" t="s">
        <v>1542</v>
      </c>
      <c r="F11" s="127" t="s">
        <v>1519</v>
      </c>
      <c r="G11" s="128"/>
      <c r="H11" s="127"/>
      <c r="I11" s="128" t="s">
        <v>1503</v>
      </c>
    </row>
    <row r="12" spans="2:9" x14ac:dyDescent="0.4">
      <c r="B12" s="127" t="s">
        <v>520</v>
      </c>
      <c r="C12" s="128" t="s">
        <v>1517</v>
      </c>
      <c r="D12" s="127" t="s">
        <v>1531</v>
      </c>
      <c r="E12" s="128" t="s">
        <v>1542</v>
      </c>
      <c r="F12" s="127" t="s">
        <v>1520</v>
      </c>
      <c r="G12" s="128"/>
      <c r="H12" s="127"/>
      <c r="I12" s="128" t="s">
        <v>1504</v>
      </c>
    </row>
    <row r="13" spans="2:9" x14ac:dyDescent="0.4">
      <c r="B13" s="127" t="s">
        <v>5</v>
      </c>
      <c r="C13" s="128"/>
      <c r="D13" s="127" t="s">
        <v>1527</v>
      </c>
      <c r="E13" s="128" t="s">
        <v>1543</v>
      </c>
      <c r="F13" s="127" t="s">
        <v>260</v>
      </c>
      <c r="G13" s="128"/>
      <c r="H13" s="127"/>
      <c r="I13" s="128" t="s">
        <v>1505</v>
      </c>
    </row>
    <row r="14" spans="2:9" x14ac:dyDescent="0.4">
      <c r="B14" s="127" t="s">
        <v>1521</v>
      </c>
      <c r="C14" s="128"/>
      <c r="D14" s="127" t="s">
        <v>1532</v>
      </c>
      <c r="E14" s="128" t="s">
        <v>1542</v>
      </c>
      <c r="F14" s="127" t="s">
        <v>1538</v>
      </c>
      <c r="G14" s="128"/>
      <c r="H14" s="127"/>
      <c r="I14" s="128" t="s">
        <v>1513</v>
      </c>
    </row>
    <row r="15" spans="2:9" x14ac:dyDescent="0.4">
      <c r="B15" s="127" t="s">
        <v>1523</v>
      </c>
      <c r="C15" s="128"/>
      <c r="D15" s="127" t="s">
        <v>1533</v>
      </c>
      <c r="E15" s="128" t="s">
        <v>1552</v>
      </c>
      <c r="F15" s="127"/>
      <c r="G15" s="128"/>
      <c r="H15" s="127"/>
      <c r="I15" s="128" t="s">
        <v>1387</v>
      </c>
    </row>
    <row r="16" spans="2:9" x14ac:dyDescent="0.4">
      <c r="B16" s="127" t="s">
        <v>1522</v>
      </c>
      <c r="C16" s="128"/>
      <c r="D16" s="127" t="s">
        <v>1535</v>
      </c>
      <c r="E16" s="128" t="s">
        <v>1553</v>
      </c>
      <c r="F16" s="127"/>
      <c r="G16" s="128"/>
      <c r="H16" s="127"/>
      <c r="I16" s="128" t="s">
        <v>1426</v>
      </c>
    </row>
    <row r="17" spans="2:9" x14ac:dyDescent="0.4">
      <c r="B17" s="127" t="s">
        <v>1524</v>
      </c>
      <c r="C17" s="128"/>
      <c r="D17" s="127" t="s">
        <v>1537</v>
      </c>
      <c r="E17" s="128" t="s">
        <v>1554</v>
      </c>
      <c r="F17" s="127"/>
      <c r="G17" s="128"/>
      <c r="H17" s="127"/>
      <c r="I17" s="128" t="s">
        <v>1515</v>
      </c>
    </row>
    <row r="18" spans="2:9" x14ac:dyDescent="0.4">
      <c r="B18" s="127" t="s">
        <v>1507</v>
      </c>
      <c r="C18" s="128"/>
      <c r="D18" s="127" t="s">
        <v>1539</v>
      </c>
      <c r="E18" s="128" t="s">
        <v>1555</v>
      </c>
      <c r="F18" s="127"/>
      <c r="G18" s="128"/>
      <c r="H18" s="127"/>
      <c r="I18" s="128" t="s">
        <v>1516</v>
      </c>
    </row>
    <row r="19" spans="2:9" x14ac:dyDescent="0.4">
      <c r="B19" s="127" t="s">
        <v>1525</v>
      </c>
      <c r="C19" s="128"/>
      <c r="D19" s="127" t="s">
        <v>1556</v>
      </c>
      <c r="E19" s="128" t="s">
        <v>1552</v>
      </c>
      <c r="F19" s="127"/>
      <c r="G19" s="128"/>
      <c r="H19" s="127"/>
      <c r="I19" s="128" t="s">
        <v>1518</v>
      </c>
    </row>
    <row r="20" spans="2:9" x14ac:dyDescent="0.4">
      <c r="B20" s="127" t="s">
        <v>1534</v>
      </c>
      <c r="C20" s="128"/>
      <c r="D20" s="127" t="s">
        <v>1568</v>
      </c>
      <c r="E20" s="128"/>
      <c r="F20" s="127"/>
      <c r="G20" s="128"/>
      <c r="H20" s="127"/>
      <c r="I20" s="128" t="s">
        <v>1517</v>
      </c>
    </row>
    <row r="21" spans="2:9" x14ac:dyDescent="0.4">
      <c r="B21" s="127" t="s">
        <v>1506</v>
      </c>
      <c r="C21" s="128"/>
      <c r="D21" s="127"/>
      <c r="E21" s="128"/>
      <c r="F21" s="127"/>
      <c r="G21" s="128"/>
      <c r="H21" s="127"/>
      <c r="I21" s="128" t="s">
        <v>1528</v>
      </c>
    </row>
    <row r="22" spans="2:9" x14ac:dyDescent="0.4">
      <c r="B22" s="127" t="s">
        <v>1544</v>
      </c>
      <c r="C22" s="128"/>
      <c r="D22" s="127"/>
      <c r="E22" s="128"/>
      <c r="F22" s="127"/>
      <c r="G22" s="128"/>
      <c r="H22" s="127"/>
      <c r="I22" s="128"/>
    </row>
    <row r="23" spans="2:9" x14ac:dyDescent="0.4">
      <c r="B23" s="127" t="s">
        <v>1508</v>
      </c>
      <c r="C23" s="128"/>
      <c r="D23" s="127"/>
      <c r="E23" s="128"/>
      <c r="F23" s="127"/>
      <c r="G23" s="128"/>
      <c r="H23" s="127"/>
      <c r="I23" s="128"/>
    </row>
    <row r="24" spans="2:9" x14ac:dyDescent="0.4">
      <c r="B24" s="127" t="s">
        <v>1562</v>
      </c>
      <c r="C24" s="128"/>
      <c r="D24" s="127"/>
      <c r="E24" s="128"/>
      <c r="F24" s="127"/>
      <c r="G24" s="128"/>
      <c r="H24" s="127"/>
      <c r="I24" s="128"/>
    </row>
    <row r="25" spans="2:9" x14ac:dyDescent="0.4">
      <c r="B25" s="127" t="s">
        <v>1563</v>
      </c>
      <c r="C25" s="128"/>
      <c r="D25" s="127"/>
      <c r="E25" s="128"/>
      <c r="F25" s="127"/>
      <c r="G25" s="128"/>
      <c r="H25" s="127"/>
      <c r="I25" s="128"/>
    </row>
    <row r="26" spans="2:9" x14ac:dyDescent="0.4">
      <c r="B26" s="125" t="s">
        <v>1529</v>
      </c>
      <c r="C26" s="126"/>
      <c r="D26" s="125"/>
      <c r="E26" s="126"/>
      <c r="F26" s="125"/>
      <c r="G26" s="126"/>
      <c r="H26" s="125"/>
      <c r="I26" s="126"/>
    </row>
  </sheetData>
  <sheetProtection algorithmName="SHA-512" hashValue="l9tXfJ25waSV7z6UfZY8dIh2kc0J1aEunLTT/wENiO8VHZh4wbcfbTx53G++LnT3VwBseF6DFfmXOVNKQPFF6Q==" saltValue="F/iZE7CTZ74YQoNNUK1bFw==" spinCount="100000" sheet="1" objects="1" scenarios="1"/>
  <phoneticPr fontId="11" type="noConversion"/>
  <pageMargins left="0.7" right="0.7" top="0.75" bottom="0.75" header="0.3" footer="0.3"/>
  <pageSetup scale="75" fitToHeight="0" orientation="landscape"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65ACE-1243-452B-BF0B-BE558089B63C}">
  <sheetPr codeName="Sheet23">
    <tabColor theme="1" tint="4.9989318521683403E-2"/>
  </sheetPr>
  <dimension ref="A1:J826"/>
  <sheetViews>
    <sheetView topLeftCell="A784" workbookViewId="0">
      <selection activeCell="J5" sqref="J5"/>
    </sheetView>
  </sheetViews>
  <sheetFormatPr defaultColWidth="8.84375" defaultRowHeight="14.6" x14ac:dyDescent="0.4"/>
  <cols>
    <col min="1" max="1" width="26.4609375" customWidth="1"/>
    <col min="2" max="2" width="11.69140625" bestFit="1" customWidth="1"/>
    <col min="3" max="3" width="28.3046875" bestFit="1" customWidth="1"/>
    <col min="4" max="4" width="26.84375" bestFit="1" customWidth="1"/>
    <col min="5" max="6" width="9" bestFit="1" customWidth="1"/>
  </cols>
  <sheetData>
    <row r="1" spans="1:4" x14ac:dyDescent="0.4">
      <c r="A1" t="s">
        <v>594</v>
      </c>
    </row>
    <row r="2" spans="1:4" x14ac:dyDescent="0.4">
      <c r="A2" t="s">
        <v>595</v>
      </c>
    </row>
    <row r="3" spans="1:4" x14ac:dyDescent="0.4">
      <c r="A3" s="11" t="s">
        <v>596</v>
      </c>
      <c r="B3" s="11" t="s">
        <v>597</v>
      </c>
      <c r="C3" s="11" t="s">
        <v>598</v>
      </c>
      <c r="D3" s="11" t="s">
        <v>599</v>
      </c>
    </row>
    <row r="4" spans="1:4" x14ac:dyDescent="0.4">
      <c r="A4" t="s">
        <v>600</v>
      </c>
      <c r="B4">
        <v>6.8940999999999999</v>
      </c>
      <c r="C4">
        <v>1219.58</v>
      </c>
      <c r="D4">
        <v>227.17</v>
      </c>
    </row>
    <row r="5" spans="1:4" x14ac:dyDescent="0.4">
      <c r="A5" t="s">
        <v>601</v>
      </c>
      <c r="B5">
        <v>6.8842999999999996</v>
      </c>
      <c r="C5">
        <v>1043.01</v>
      </c>
      <c r="D5">
        <v>236.86</v>
      </c>
    </row>
    <row r="6" spans="1:4" x14ac:dyDescent="0.4">
      <c r="A6" t="s">
        <v>602</v>
      </c>
      <c r="B6">
        <v>6.6861899999999999</v>
      </c>
      <c r="C6">
        <v>782.072</v>
      </c>
      <c r="D6">
        <v>235.37700000000001</v>
      </c>
    </row>
    <row r="7" spans="1:4" x14ac:dyDescent="0.4">
      <c r="A7" t="s">
        <v>603</v>
      </c>
      <c r="B7">
        <v>6.3510900000000001</v>
      </c>
      <c r="C7">
        <v>522.06100000000004</v>
      </c>
      <c r="D7">
        <v>231.67699999999999</v>
      </c>
    </row>
    <row r="8" spans="1:4" x14ac:dyDescent="0.4">
      <c r="A8" t="s">
        <v>604</v>
      </c>
      <c r="B8">
        <v>6.9722999999999997</v>
      </c>
      <c r="C8">
        <v>540.5</v>
      </c>
      <c r="D8">
        <v>260.10000000000002</v>
      </c>
    </row>
    <row r="9" spans="1:4" x14ac:dyDescent="0.4">
      <c r="A9" t="s">
        <v>605</v>
      </c>
      <c r="B9">
        <v>6.2401999999999997</v>
      </c>
      <c r="C9">
        <v>230.27</v>
      </c>
      <c r="D9">
        <v>260.01</v>
      </c>
    </row>
    <row r="10" spans="1:4" x14ac:dyDescent="0.4">
      <c r="A10" t="s">
        <v>606</v>
      </c>
      <c r="B10">
        <v>9.8106000000000009</v>
      </c>
      <c r="C10">
        <v>1347.79</v>
      </c>
      <c r="D10">
        <v>273</v>
      </c>
    </row>
    <row r="11" spans="1:4" x14ac:dyDescent="0.4">
      <c r="A11" t="s">
        <v>607</v>
      </c>
      <c r="B11">
        <v>6.9072300000000002</v>
      </c>
      <c r="C11">
        <v>804.48</v>
      </c>
      <c r="D11">
        <v>250</v>
      </c>
    </row>
    <row r="12" spans="1:4" x14ac:dyDescent="0.4">
      <c r="A12" t="s">
        <v>608</v>
      </c>
      <c r="B12">
        <v>6.9419000000000004</v>
      </c>
      <c r="C12">
        <v>1168.6199999999999</v>
      </c>
      <c r="D12">
        <v>241.54</v>
      </c>
    </row>
    <row r="13" spans="1:4" x14ac:dyDescent="0.4">
      <c r="A13" t="s">
        <v>609</v>
      </c>
      <c r="B13">
        <v>6.9371</v>
      </c>
      <c r="C13">
        <v>1171.2</v>
      </c>
      <c r="D13">
        <v>227</v>
      </c>
    </row>
    <row r="14" spans="1:4" x14ac:dyDescent="0.4">
      <c r="A14" t="s">
        <v>610</v>
      </c>
      <c r="B14">
        <v>6.9757499999999997</v>
      </c>
      <c r="C14">
        <v>996.26700000000005</v>
      </c>
      <c r="D14">
        <v>234.172</v>
      </c>
    </row>
    <row r="15" spans="1:4" x14ac:dyDescent="0.4">
      <c r="A15" t="s">
        <v>611</v>
      </c>
      <c r="B15">
        <v>6.7576999999999998</v>
      </c>
      <c r="C15">
        <v>740.39</v>
      </c>
      <c r="D15">
        <v>231.86</v>
      </c>
    </row>
    <row r="16" spans="1:4" x14ac:dyDescent="0.4">
      <c r="A16" t="s">
        <v>612</v>
      </c>
      <c r="B16">
        <v>7.0885999999999996</v>
      </c>
      <c r="C16">
        <v>705.33</v>
      </c>
      <c r="D16">
        <v>249.78</v>
      </c>
    </row>
    <row r="17" spans="1:4" x14ac:dyDescent="0.4">
      <c r="A17" t="s">
        <v>613</v>
      </c>
      <c r="B17">
        <v>6.59598</v>
      </c>
      <c r="C17">
        <v>1567.8</v>
      </c>
      <c r="D17">
        <v>204</v>
      </c>
    </row>
    <row r="18" spans="1:4" x14ac:dyDescent="0.4">
      <c r="A18" t="s">
        <v>614</v>
      </c>
      <c r="B18">
        <v>0</v>
      </c>
      <c r="C18">
        <v>0</v>
      </c>
      <c r="D18">
        <v>0</v>
      </c>
    </row>
    <row r="19" spans="1:4" x14ac:dyDescent="0.4">
      <c r="A19" t="s">
        <v>615</v>
      </c>
      <c r="B19">
        <v>7.0803000000000003</v>
      </c>
      <c r="C19">
        <v>1138.9100000000001</v>
      </c>
      <c r="D19">
        <v>231.46</v>
      </c>
    </row>
    <row r="20" spans="1:4" x14ac:dyDescent="0.4">
      <c r="A20" t="s">
        <v>616</v>
      </c>
      <c r="B20">
        <v>6.2045199999999996</v>
      </c>
      <c r="C20">
        <v>740.39</v>
      </c>
      <c r="D20">
        <v>231.86</v>
      </c>
    </row>
    <row r="21" spans="1:4" x14ac:dyDescent="0.4">
      <c r="A21" t="s">
        <v>617</v>
      </c>
      <c r="B21">
        <v>7.1388999999999996</v>
      </c>
      <c r="C21">
        <v>821.7</v>
      </c>
      <c r="D21">
        <v>244.7</v>
      </c>
    </row>
    <row r="22" spans="1:4" x14ac:dyDescent="0.4">
      <c r="A22" t="s">
        <v>618</v>
      </c>
      <c r="B22">
        <v>6.9424599999999996</v>
      </c>
      <c r="C22">
        <v>1567.8</v>
      </c>
      <c r="D22">
        <v>204</v>
      </c>
    </row>
    <row r="23" spans="1:4" x14ac:dyDescent="0.4">
      <c r="A23" t="s">
        <v>619</v>
      </c>
      <c r="B23">
        <v>7.1561000000000003</v>
      </c>
      <c r="C23">
        <v>957.24</v>
      </c>
      <c r="D23">
        <v>243.01</v>
      </c>
    </row>
    <row r="24" spans="1:4" x14ac:dyDescent="0.4">
      <c r="A24" t="s">
        <v>620</v>
      </c>
      <c r="B24">
        <v>7.3779000000000003</v>
      </c>
      <c r="C24">
        <v>1563.28</v>
      </c>
      <c r="D24">
        <v>247.07</v>
      </c>
    </row>
    <row r="25" spans="1:4" x14ac:dyDescent="0.4">
      <c r="A25" t="s">
        <v>621</v>
      </c>
      <c r="B25">
        <v>6.9596999999999998</v>
      </c>
      <c r="C25">
        <v>986.59</v>
      </c>
      <c r="D25">
        <v>238.33</v>
      </c>
    </row>
    <row r="26" spans="1:4" x14ac:dyDescent="0.4">
      <c r="A26" t="s">
        <v>622</v>
      </c>
      <c r="B26">
        <v>6.9943999999999997</v>
      </c>
      <c r="C26">
        <v>902.45</v>
      </c>
      <c r="D26">
        <v>243.61</v>
      </c>
    </row>
    <row r="27" spans="1:4" x14ac:dyDescent="0.4">
      <c r="A27" t="s">
        <v>623</v>
      </c>
      <c r="B27">
        <v>7.0975999999999999</v>
      </c>
      <c r="C27">
        <v>740.22</v>
      </c>
      <c r="D27">
        <v>253.89</v>
      </c>
    </row>
    <row r="28" spans="1:4" x14ac:dyDescent="0.4">
      <c r="A28" t="s">
        <v>624</v>
      </c>
      <c r="B28">
        <v>6.9880000000000004</v>
      </c>
      <c r="C28">
        <v>1146.3399999999999</v>
      </c>
      <c r="D28">
        <v>236.66</v>
      </c>
    </row>
    <row r="29" spans="1:4" x14ac:dyDescent="0.4">
      <c r="A29" t="s">
        <v>625</v>
      </c>
      <c r="B29">
        <v>7.0439999999999996</v>
      </c>
      <c r="C29">
        <v>1291</v>
      </c>
      <c r="D29">
        <v>209.01</v>
      </c>
    </row>
    <row r="30" spans="1:4" x14ac:dyDescent="0.4">
      <c r="A30" t="s">
        <v>626</v>
      </c>
      <c r="B30">
        <v>0</v>
      </c>
      <c r="C30">
        <v>0</v>
      </c>
      <c r="D30">
        <v>0</v>
      </c>
    </row>
    <row r="31" spans="1:4" x14ac:dyDescent="0.4">
      <c r="A31" t="s">
        <v>627</v>
      </c>
      <c r="B31">
        <v>0</v>
      </c>
      <c r="C31">
        <v>0</v>
      </c>
      <c r="D31">
        <v>0</v>
      </c>
    </row>
    <row r="32" spans="1:4" x14ac:dyDescent="0.4">
      <c r="A32" t="s">
        <v>628</v>
      </c>
      <c r="B32">
        <v>6.6956100000000003</v>
      </c>
      <c r="C32">
        <v>405.42</v>
      </c>
      <c r="D32">
        <v>267.77699999999999</v>
      </c>
    </row>
    <row r="33" spans="1:4" x14ac:dyDescent="0.4">
      <c r="A33" t="s">
        <v>629</v>
      </c>
      <c r="B33">
        <v>8.0724</v>
      </c>
      <c r="C33">
        <v>1574.99</v>
      </c>
      <c r="D33">
        <v>238.87</v>
      </c>
    </row>
    <row r="34" spans="1:4" x14ac:dyDescent="0.4">
      <c r="A34" t="s">
        <v>630</v>
      </c>
      <c r="B34">
        <v>7.0316299999999998</v>
      </c>
      <c r="C34">
        <v>1015.547</v>
      </c>
      <c r="D34">
        <v>238.70599999999999</v>
      </c>
    </row>
    <row r="35" spans="1:4" x14ac:dyDescent="0.4">
      <c r="A35" t="s">
        <v>631</v>
      </c>
      <c r="B35">
        <v>7.4969000000000001</v>
      </c>
      <c r="C35">
        <v>1079.1500000000001</v>
      </c>
      <c r="D35">
        <v>240.24</v>
      </c>
    </row>
    <row r="36" spans="1:4" x14ac:dyDescent="0.4">
      <c r="A36" t="s">
        <v>632</v>
      </c>
      <c r="B36">
        <v>7.02</v>
      </c>
      <c r="C36">
        <v>1415.49</v>
      </c>
      <c r="D36">
        <v>221.01</v>
      </c>
    </row>
    <row r="37" spans="1:4" x14ac:dyDescent="0.4">
      <c r="A37" t="s">
        <v>633</v>
      </c>
      <c r="B37">
        <v>7.0863300000000002</v>
      </c>
      <c r="C37">
        <v>1626.9449999999999</v>
      </c>
      <c r="D37">
        <v>197.048</v>
      </c>
    </row>
    <row r="38" spans="1:4" x14ac:dyDescent="0.4">
      <c r="A38" t="s">
        <v>634</v>
      </c>
      <c r="B38">
        <v>6.8803000000000001</v>
      </c>
      <c r="C38">
        <v>1099.9000000000001</v>
      </c>
      <c r="D38">
        <v>227.5</v>
      </c>
    </row>
    <row r="39" spans="1:4" x14ac:dyDescent="0.4">
      <c r="A39" t="s">
        <v>635</v>
      </c>
      <c r="B39">
        <v>6.8708400000000003</v>
      </c>
      <c r="C39">
        <v>942.33600000000001</v>
      </c>
      <c r="D39">
        <v>232.63200000000001</v>
      </c>
    </row>
    <row r="40" spans="1:4" x14ac:dyDescent="0.4">
      <c r="A40" t="s">
        <v>636</v>
      </c>
      <c r="B40">
        <v>6.8333000000000004</v>
      </c>
      <c r="C40">
        <v>802.97</v>
      </c>
      <c r="D40">
        <v>242.28</v>
      </c>
    </row>
    <row r="41" spans="1:4" x14ac:dyDescent="0.4">
      <c r="A41" t="s">
        <v>637</v>
      </c>
      <c r="B41">
        <v>6.8966000000000003</v>
      </c>
      <c r="C41">
        <v>683.84</v>
      </c>
      <c r="D41">
        <v>245.94</v>
      </c>
    </row>
    <row r="42" spans="1:4" x14ac:dyDescent="0.4">
      <c r="A42" t="s">
        <v>638</v>
      </c>
      <c r="B42">
        <v>6.7933000000000003</v>
      </c>
      <c r="C42">
        <v>657.06</v>
      </c>
      <c r="D42">
        <v>246.22</v>
      </c>
    </row>
    <row r="43" spans="1:4" x14ac:dyDescent="0.4">
      <c r="A43" t="s">
        <v>639</v>
      </c>
      <c r="B43">
        <v>6.4362899999999996</v>
      </c>
      <c r="C43">
        <v>576.57899999999995</v>
      </c>
      <c r="D43">
        <v>182.30799999999999</v>
      </c>
    </row>
    <row r="44" spans="1:4" x14ac:dyDescent="0.4">
      <c r="A44" t="s">
        <v>640</v>
      </c>
      <c r="B44">
        <v>7.0281000000000002</v>
      </c>
      <c r="C44">
        <v>1315.1</v>
      </c>
      <c r="D44">
        <v>230.01</v>
      </c>
    </row>
    <row r="45" spans="1:4" x14ac:dyDescent="0.4">
      <c r="A45" t="s">
        <v>641</v>
      </c>
      <c r="B45">
        <v>6.74</v>
      </c>
      <c r="C45">
        <v>1378</v>
      </c>
      <c r="D45">
        <v>197</v>
      </c>
    </row>
    <row r="46" spans="1:4" x14ac:dyDescent="0.4">
      <c r="A46" t="s">
        <v>642</v>
      </c>
      <c r="B46">
        <v>5.6871499999999999</v>
      </c>
      <c r="C46">
        <v>491.35899999999998</v>
      </c>
      <c r="D46">
        <v>227.23</v>
      </c>
    </row>
    <row r="47" spans="1:4" x14ac:dyDescent="0.4">
      <c r="A47" t="s">
        <v>643</v>
      </c>
      <c r="B47">
        <v>9.1402000000000001</v>
      </c>
      <c r="C47">
        <v>1232.5999999999999</v>
      </c>
      <c r="D47">
        <v>280.89999999999998</v>
      </c>
    </row>
    <row r="48" spans="1:4" x14ac:dyDescent="0.4">
      <c r="A48" t="s">
        <v>644</v>
      </c>
      <c r="B48">
        <v>6.9722</v>
      </c>
      <c r="C48">
        <v>1099.4000000000001</v>
      </c>
      <c r="D48">
        <v>237.2</v>
      </c>
    </row>
    <row r="49" spans="1:4" x14ac:dyDescent="0.4">
      <c r="A49" t="s">
        <v>645</v>
      </c>
      <c r="B49">
        <v>7.0223000000000004</v>
      </c>
      <c r="C49">
        <v>1205.4000000000001</v>
      </c>
      <c r="D49">
        <v>230.6</v>
      </c>
    </row>
    <row r="50" spans="1:4" x14ac:dyDescent="0.4">
      <c r="A50" t="s">
        <v>646</v>
      </c>
      <c r="B50">
        <v>6.9650999999999996</v>
      </c>
      <c r="C50">
        <v>1141.9000000000001</v>
      </c>
      <c r="D50">
        <v>231.9</v>
      </c>
    </row>
    <row r="51" spans="1:4" x14ac:dyDescent="0.4">
      <c r="A51" t="s">
        <v>647</v>
      </c>
      <c r="B51">
        <v>6.6317000000000004</v>
      </c>
      <c r="C51">
        <v>1228.0999999999999</v>
      </c>
      <c r="D51">
        <v>179.9</v>
      </c>
    </row>
    <row r="52" spans="1:4" x14ac:dyDescent="0.4">
      <c r="A52" t="s">
        <v>648</v>
      </c>
      <c r="B52">
        <v>6.3491799999999996</v>
      </c>
      <c r="C52">
        <v>491.35899999999998</v>
      </c>
      <c r="D52">
        <v>227.239</v>
      </c>
    </row>
    <row r="53" spans="1:4" x14ac:dyDescent="0.4">
      <c r="A53" t="s">
        <v>649</v>
      </c>
      <c r="B53">
        <v>5.3140099999999997</v>
      </c>
      <c r="C53">
        <v>491.35899999999998</v>
      </c>
      <c r="D53">
        <v>227.23</v>
      </c>
    </row>
    <row r="54" spans="1:4" x14ac:dyDescent="0.4">
      <c r="A54" t="s">
        <v>650</v>
      </c>
      <c r="B54">
        <v>5.3140099999999997</v>
      </c>
      <c r="C54">
        <v>491.35899999999998</v>
      </c>
      <c r="D54">
        <v>227.23</v>
      </c>
    </row>
    <row r="55" spans="1:4" x14ac:dyDescent="0.4">
      <c r="A55" t="s">
        <v>651</v>
      </c>
      <c r="B55">
        <v>6.9573</v>
      </c>
      <c r="C55">
        <v>803.1</v>
      </c>
      <c r="D55">
        <v>238.01</v>
      </c>
    </row>
    <row r="56" spans="1:4" x14ac:dyDescent="0.4">
      <c r="A56" t="s">
        <v>652</v>
      </c>
      <c r="B56">
        <v>7.2437899999999997</v>
      </c>
      <c r="C56">
        <v>1219.308</v>
      </c>
      <c r="D56">
        <v>264.02100000000002</v>
      </c>
    </row>
    <row r="57" spans="1:4" x14ac:dyDescent="0.4">
      <c r="A57" t="s">
        <v>653</v>
      </c>
      <c r="B57">
        <v>6.4970999999999997</v>
      </c>
      <c r="C57">
        <v>783.4</v>
      </c>
      <c r="D57">
        <v>230.01</v>
      </c>
    </row>
    <row r="58" spans="1:4" x14ac:dyDescent="0.4">
      <c r="A58" t="s">
        <v>654</v>
      </c>
      <c r="B58">
        <v>6.9653</v>
      </c>
      <c r="C58">
        <v>1351</v>
      </c>
      <c r="D58">
        <v>217</v>
      </c>
    </row>
    <row r="59" spans="1:4" x14ac:dyDescent="0.4">
      <c r="A59" t="s">
        <v>655</v>
      </c>
      <c r="B59">
        <v>6.8407</v>
      </c>
      <c r="C59">
        <v>1062.8599999999999</v>
      </c>
      <c r="D59">
        <v>217.63</v>
      </c>
    </row>
    <row r="60" spans="1:4" x14ac:dyDescent="0.4">
      <c r="A60" t="s">
        <v>656</v>
      </c>
      <c r="B60">
        <v>6.3394899999999996</v>
      </c>
      <c r="C60">
        <v>593.55100000000004</v>
      </c>
      <c r="D60">
        <v>243.11099999999999</v>
      </c>
    </row>
    <row r="61" spans="1:4" x14ac:dyDescent="0.4">
      <c r="A61" t="s">
        <v>657</v>
      </c>
      <c r="B61">
        <v>6.9038000000000004</v>
      </c>
      <c r="C61">
        <v>788.21</v>
      </c>
      <c r="D61">
        <v>243.24</v>
      </c>
    </row>
    <row r="62" spans="1:4" x14ac:dyDescent="0.4">
      <c r="A62" t="s">
        <v>658</v>
      </c>
      <c r="B62">
        <v>7.0735000000000001</v>
      </c>
      <c r="C62">
        <v>1279.2</v>
      </c>
      <c r="D62">
        <v>224.01</v>
      </c>
    </row>
    <row r="63" spans="1:4" x14ac:dyDescent="0.4">
      <c r="A63" t="s">
        <v>659</v>
      </c>
      <c r="B63">
        <v>6.74756</v>
      </c>
      <c r="C63">
        <v>585</v>
      </c>
      <c r="D63">
        <v>255</v>
      </c>
    </row>
    <row r="64" spans="1:4" x14ac:dyDescent="0.4">
      <c r="A64" t="s">
        <v>660</v>
      </c>
      <c r="B64">
        <v>6.7214799999999997</v>
      </c>
      <c r="C64">
        <v>1280.82</v>
      </c>
      <c r="D64">
        <v>201.75</v>
      </c>
    </row>
    <row r="65" spans="1:4" x14ac:dyDescent="0.4">
      <c r="A65" t="s">
        <v>661</v>
      </c>
      <c r="B65">
        <v>6.9852999999999996</v>
      </c>
      <c r="C65">
        <v>1171.42</v>
      </c>
      <c r="D65">
        <v>228.13</v>
      </c>
    </row>
    <row r="66" spans="1:4" x14ac:dyDescent="0.4">
      <c r="A66" t="s">
        <v>662</v>
      </c>
      <c r="B66">
        <v>7.0252999999999997</v>
      </c>
      <c r="C66">
        <v>1271.25</v>
      </c>
      <c r="D66">
        <v>222.94</v>
      </c>
    </row>
    <row r="67" spans="1:4" x14ac:dyDescent="0.4">
      <c r="A67" t="s">
        <v>663</v>
      </c>
      <c r="B67">
        <v>7.03</v>
      </c>
      <c r="C67">
        <v>910</v>
      </c>
      <c r="D67">
        <v>244</v>
      </c>
    </row>
    <row r="68" spans="1:4" x14ac:dyDescent="0.4">
      <c r="A68" t="s">
        <v>664</v>
      </c>
      <c r="B68">
        <v>6.98834</v>
      </c>
      <c r="C68">
        <v>1647.1</v>
      </c>
      <c r="D68">
        <v>201</v>
      </c>
    </row>
    <row r="69" spans="1:4" x14ac:dyDescent="0.4">
      <c r="A69" t="s">
        <v>665</v>
      </c>
      <c r="B69">
        <v>7.2701000000000002</v>
      </c>
      <c r="C69">
        <v>1115.0999999999999</v>
      </c>
      <c r="D69">
        <v>244.15</v>
      </c>
    </row>
    <row r="70" spans="1:4" x14ac:dyDescent="0.4">
      <c r="A70" t="s">
        <v>666</v>
      </c>
      <c r="B70">
        <v>7.0564999999999998</v>
      </c>
      <c r="C70">
        <v>1070.5999999999999</v>
      </c>
      <c r="D70">
        <v>236.01</v>
      </c>
    </row>
    <row r="71" spans="1:4" x14ac:dyDescent="0.4">
      <c r="A71" t="s">
        <v>667</v>
      </c>
      <c r="B71">
        <v>7.2995999999999999</v>
      </c>
      <c r="C71">
        <v>1479.02</v>
      </c>
      <c r="D71">
        <v>216.82</v>
      </c>
    </row>
    <row r="72" spans="1:4" x14ac:dyDescent="0.4">
      <c r="A72" t="s">
        <v>668</v>
      </c>
      <c r="B72">
        <v>7.1703999999999999</v>
      </c>
      <c r="C72">
        <v>1125.2</v>
      </c>
      <c r="D72">
        <v>230.56</v>
      </c>
    </row>
    <row r="73" spans="1:4" x14ac:dyDescent="0.4">
      <c r="A73" t="s">
        <v>669</v>
      </c>
      <c r="B73">
        <v>7.7488900000000003</v>
      </c>
      <c r="C73">
        <v>1479.02</v>
      </c>
      <c r="D73">
        <v>216.82</v>
      </c>
    </row>
    <row r="74" spans="1:4" x14ac:dyDescent="0.4">
      <c r="A74" t="s">
        <v>670</v>
      </c>
      <c r="B74">
        <v>7.0372500000000002</v>
      </c>
      <c r="C74">
        <v>1194.3699999999999</v>
      </c>
      <c r="D74">
        <v>232.42</v>
      </c>
    </row>
    <row r="75" spans="1:4" x14ac:dyDescent="0.4">
      <c r="A75" t="s">
        <v>671</v>
      </c>
      <c r="B75">
        <v>6.92</v>
      </c>
      <c r="C75">
        <v>1090.81</v>
      </c>
      <c r="D75">
        <v>231.72</v>
      </c>
    </row>
    <row r="76" spans="1:4" x14ac:dyDescent="0.4">
      <c r="A76" t="s">
        <v>672</v>
      </c>
      <c r="B76">
        <v>6.94</v>
      </c>
      <c r="C76">
        <v>1012.78</v>
      </c>
      <c r="D76">
        <v>236.68</v>
      </c>
    </row>
    <row r="77" spans="1:4" x14ac:dyDescent="0.4">
      <c r="A77" t="s">
        <v>673</v>
      </c>
      <c r="B77">
        <v>6.9785000000000004</v>
      </c>
      <c r="C77">
        <v>854.21</v>
      </c>
      <c r="D77">
        <v>246.16</v>
      </c>
    </row>
    <row r="78" spans="1:4" x14ac:dyDescent="0.4">
      <c r="A78" t="s">
        <v>674</v>
      </c>
      <c r="B78">
        <v>6.9589999999999996</v>
      </c>
      <c r="C78">
        <v>1232</v>
      </c>
      <c r="D78">
        <v>229</v>
      </c>
    </row>
    <row r="79" spans="1:4" x14ac:dyDescent="0.4">
      <c r="A79" t="s">
        <v>675</v>
      </c>
      <c r="B79">
        <v>7.1322999999999999</v>
      </c>
      <c r="C79">
        <v>1133.7</v>
      </c>
      <c r="D79">
        <v>210.01</v>
      </c>
    </row>
    <row r="80" spans="1:4" x14ac:dyDescent="0.4">
      <c r="A80" t="s">
        <v>676</v>
      </c>
      <c r="B80">
        <v>7.5877699999999999</v>
      </c>
      <c r="C80">
        <v>1671.2660000000001</v>
      </c>
      <c r="D80">
        <v>241.18700000000001</v>
      </c>
    </row>
    <row r="81" spans="1:4" x14ac:dyDescent="0.4">
      <c r="A81" t="s">
        <v>677</v>
      </c>
      <c r="B81">
        <v>7.1637000000000004</v>
      </c>
      <c r="C81">
        <v>1338.8</v>
      </c>
      <c r="D81">
        <v>224.9</v>
      </c>
    </row>
    <row r="82" spans="1:4" x14ac:dyDescent="0.4">
      <c r="A82" t="s">
        <v>678</v>
      </c>
      <c r="B82">
        <v>6.8345200000000004</v>
      </c>
      <c r="C82">
        <v>663.7</v>
      </c>
      <c r="D82">
        <v>256.47000000000003</v>
      </c>
    </row>
    <row r="83" spans="1:4" x14ac:dyDescent="0.4">
      <c r="A83" t="s">
        <v>679</v>
      </c>
      <c r="B83">
        <v>7.3163999999999998</v>
      </c>
      <c r="C83">
        <v>1025.56</v>
      </c>
      <c r="D83">
        <v>256.06</v>
      </c>
    </row>
    <row r="84" spans="1:4" x14ac:dyDescent="0.4">
      <c r="A84" t="s">
        <v>133</v>
      </c>
      <c r="B84">
        <v>8.2133000000000003</v>
      </c>
      <c r="C84">
        <v>1652.05</v>
      </c>
      <c r="D84">
        <v>231.48</v>
      </c>
    </row>
    <row r="85" spans="1:4" x14ac:dyDescent="0.4">
      <c r="A85" t="s">
        <v>680</v>
      </c>
      <c r="B85">
        <v>8.7944999999999993</v>
      </c>
      <c r="C85">
        <v>2615.4</v>
      </c>
      <c r="D85">
        <v>244.91</v>
      </c>
    </row>
    <row r="86" spans="1:4" x14ac:dyDescent="0.4">
      <c r="A86" t="s">
        <v>681</v>
      </c>
      <c r="B86">
        <v>6.9487899999999998</v>
      </c>
      <c r="C86">
        <v>1090.7550000000001</v>
      </c>
      <c r="D86">
        <v>230.79900000000001</v>
      </c>
    </row>
    <row r="87" spans="1:4" x14ac:dyDescent="0.4">
      <c r="A87" t="s">
        <v>682</v>
      </c>
      <c r="B87">
        <v>6.9520600000000004</v>
      </c>
      <c r="C87">
        <v>1084.5309999999999</v>
      </c>
      <c r="D87">
        <v>231.38499999999999</v>
      </c>
    </row>
    <row r="88" spans="1:4" x14ac:dyDescent="0.4">
      <c r="A88" t="s">
        <v>683</v>
      </c>
      <c r="B88">
        <v>6.9779200000000001</v>
      </c>
      <c r="C88">
        <v>1346.3420000000001</v>
      </c>
      <c r="D88">
        <v>218.863</v>
      </c>
    </row>
    <row r="89" spans="1:4" x14ac:dyDescent="0.4">
      <c r="A89" t="s">
        <v>684</v>
      </c>
      <c r="B89">
        <v>7.3861999999999997</v>
      </c>
      <c r="C89">
        <v>1137.3</v>
      </c>
      <c r="D89">
        <v>235.86</v>
      </c>
    </row>
    <row r="90" spans="1:4" x14ac:dyDescent="0.4">
      <c r="A90" t="s">
        <v>685</v>
      </c>
      <c r="B90">
        <v>7.0639000000000003</v>
      </c>
      <c r="C90">
        <v>1024.4000000000001</v>
      </c>
      <c r="D90">
        <v>238.01</v>
      </c>
    </row>
    <row r="91" spans="1:4" x14ac:dyDescent="0.4">
      <c r="A91" t="s">
        <v>686</v>
      </c>
      <c r="B91">
        <v>6.9162999999999997</v>
      </c>
      <c r="C91">
        <v>1208.3</v>
      </c>
      <c r="D91">
        <v>222.01</v>
      </c>
    </row>
    <row r="92" spans="1:4" x14ac:dyDescent="0.4">
      <c r="A92" t="s">
        <v>687</v>
      </c>
      <c r="B92">
        <v>5.7137000000000002</v>
      </c>
      <c r="C92">
        <v>458.06</v>
      </c>
      <c r="D92">
        <v>196.07</v>
      </c>
    </row>
    <row r="93" spans="1:4" x14ac:dyDescent="0.4">
      <c r="A93" t="s">
        <v>688</v>
      </c>
      <c r="B93">
        <v>6.7848499999999996</v>
      </c>
      <c r="C93">
        <v>803.73</v>
      </c>
      <c r="D93">
        <v>229.08</v>
      </c>
    </row>
    <row r="94" spans="1:4" x14ac:dyDescent="0.4">
      <c r="A94" t="s">
        <v>689</v>
      </c>
      <c r="B94">
        <v>7.1925999999999997</v>
      </c>
      <c r="C94">
        <v>1441.5</v>
      </c>
      <c r="D94">
        <v>193.01</v>
      </c>
    </row>
    <row r="95" spans="1:4" x14ac:dyDescent="0.4">
      <c r="A95" t="s">
        <v>690</v>
      </c>
      <c r="B95">
        <v>7.0518700000000001</v>
      </c>
      <c r="C95">
        <v>1259.83</v>
      </c>
      <c r="D95">
        <v>232.04</v>
      </c>
    </row>
    <row r="96" spans="1:4" x14ac:dyDescent="0.4">
      <c r="A96" t="s">
        <v>691</v>
      </c>
      <c r="B96">
        <v>6.9387999999999996</v>
      </c>
      <c r="C96">
        <v>1099.5999999999999</v>
      </c>
      <c r="D96">
        <v>226.01</v>
      </c>
    </row>
    <row r="97" spans="1:4" x14ac:dyDescent="0.4">
      <c r="A97" t="s">
        <v>692</v>
      </c>
      <c r="B97">
        <v>7.0027999999999997</v>
      </c>
      <c r="C97">
        <v>1484.1</v>
      </c>
      <c r="D97">
        <v>204.01</v>
      </c>
    </row>
    <row r="98" spans="1:4" x14ac:dyDescent="0.4">
      <c r="A98" t="s">
        <v>693</v>
      </c>
      <c r="B98">
        <v>6.9692999999999996</v>
      </c>
      <c r="C98">
        <v>1316.5</v>
      </c>
      <c r="D98">
        <v>220</v>
      </c>
    </row>
    <row r="99" spans="1:4" x14ac:dyDescent="0.4">
      <c r="A99" t="s">
        <v>694</v>
      </c>
      <c r="B99">
        <v>6.9301000000000004</v>
      </c>
      <c r="C99">
        <v>1277.2</v>
      </c>
      <c r="D99">
        <v>218.01</v>
      </c>
    </row>
    <row r="100" spans="1:4" x14ac:dyDescent="0.4">
      <c r="A100" t="s">
        <v>695</v>
      </c>
      <c r="B100">
        <v>6.8196000000000003</v>
      </c>
      <c r="C100">
        <v>785</v>
      </c>
      <c r="D100">
        <v>247</v>
      </c>
    </row>
    <row r="101" spans="1:4" x14ac:dyDescent="0.4">
      <c r="A101" t="s">
        <v>696</v>
      </c>
      <c r="B101">
        <v>6.8879000000000001</v>
      </c>
      <c r="C101">
        <v>856.01</v>
      </c>
      <c r="D101">
        <v>246.51</v>
      </c>
    </row>
    <row r="102" spans="1:4" x14ac:dyDescent="0.4">
      <c r="A102" t="s">
        <v>697</v>
      </c>
      <c r="B102">
        <v>6.8910499999999999</v>
      </c>
      <c r="C102">
        <v>1419.6</v>
      </c>
      <c r="D102">
        <v>212</v>
      </c>
    </row>
    <row r="103" spans="1:4" x14ac:dyDescent="0.4">
      <c r="A103" t="s">
        <v>698</v>
      </c>
      <c r="B103">
        <v>6.9653999999999998</v>
      </c>
      <c r="C103">
        <v>1296.4000000000001</v>
      </c>
      <c r="D103">
        <v>221</v>
      </c>
    </row>
    <row r="104" spans="1:4" x14ac:dyDescent="0.4">
      <c r="A104" t="s">
        <v>699</v>
      </c>
      <c r="B104">
        <v>6.9718600000000004</v>
      </c>
      <c r="C104">
        <v>1376.2</v>
      </c>
      <c r="D104">
        <v>216</v>
      </c>
    </row>
    <row r="105" spans="1:4" x14ac:dyDescent="0.4">
      <c r="A105" t="s">
        <v>700</v>
      </c>
      <c r="B105">
        <v>6.9481999999999999</v>
      </c>
      <c r="C105">
        <v>1201.0999999999999</v>
      </c>
      <c r="D105">
        <v>226</v>
      </c>
    </row>
    <row r="106" spans="1:4" x14ac:dyDescent="0.4">
      <c r="A106" t="s">
        <v>701</v>
      </c>
      <c r="B106">
        <v>6.0765000000000002</v>
      </c>
      <c r="C106">
        <v>1507.41</v>
      </c>
      <c r="D106">
        <v>244.7</v>
      </c>
    </row>
    <row r="107" spans="1:4" x14ac:dyDescent="0.4">
      <c r="A107" t="s">
        <v>702</v>
      </c>
      <c r="B107">
        <v>6.6546000000000003</v>
      </c>
      <c r="C107">
        <v>915.31</v>
      </c>
      <c r="D107">
        <v>208.29</v>
      </c>
    </row>
    <row r="108" spans="1:4" x14ac:dyDescent="0.4">
      <c r="A108" t="s">
        <v>703</v>
      </c>
      <c r="B108">
        <v>7.3423999999999996</v>
      </c>
      <c r="C108">
        <v>1271.7</v>
      </c>
      <c r="D108">
        <v>188.01</v>
      </c>
    </row>
    <row r="109" spans="1:4" x14ac:dyDescent="0.4">
      <c r="A109" t="s">
        <v>704</v>
      </c>
      <c r="B109">
        <v>7.0492999999999997</v>
      </c>
      <c r="C109">
        <v>1154.8</v>
      </c>
      <c r="D109">
        <v>229.01</v>
      </c>
    </row>
    <row r="110" spans="1:4" x14ac:dyDescent="0.4">
      <c r="A110" t="s">
        <v>705</v>
      </c>
      <c r="B110">
        <v>7.2316000000000003</v>
      </c>
      <c r="C110">
        <v>1277.03</v>
      </c>
      <c r="D110">
        <v>237.23</v>
      </c>
    </row>
    <row r="111" spans="1:4" x14ac:dyDescent="0.4">
      <c r="A111" t="s">
        <v>706</v>
      </c>
      <c r="B111">
        <v>7.0166700000000004</v>
      </c>
      <c r="C111">
        <v>1321.3309999999999</v>
      </c>
      <c r="D111">
        <v>224.51300000000001</v>
      </c>
    </row>
    <row r="112" spans="1:4" x14ac:dyDescent="0.4">
      <c r="A112" t="s">
        <v>707</v>
      </c>
      <c r="B112">
        <v>7.0376599999999998</v>
      </c>
      <c r="C112">
        <v>1259.836</v>
      </c>
      <c r="D112">
        <v>232.042</v>
      </c>
    </row>
    <row r="113" spans="1:4" x14ac:dyDescent="0.4">
      <c r="A113" t="s">
        <v>708</v>
      </c>
      <c r="B113">
        <v>7.0046299999999997</v>
      </c>
      <c r="C113">
        <v>1223.4749999999999</v>
      </c>
      <c r="D113">
        <v>236.50800000000001</v>
      </c>
    </row>
    <row r="114" spans="1:4" x14ac:dyDescent="0.4">
      <c r="A114" t="s">
        <v>709</v>
      </c>
      <c r="B114">
        <v>6.9310999999999998</v>
      </c>
      <c r="C114">
        <v>1121.1199999999999</v>
      </c>
      <c r="D114">
        <v>230.21</v>
      </c>
    </row>
    <row r="115" spans="1:4" x14ac:dyDescent="0.4">
      <c r="A115" t="s">
        <v>710</v>
      </c>
      <c r="B115">
        <v>6.9653999999999998</v>
      </c>
      <c r="C115">
        <v>1081.5999999999999</v>
      </c>
      <c r="D115">
        <v>230.01</v>
      </c>
    </row>
    <row r="116" spans="1:4" x14ac:dyDescent="0.4">
      <c r="A116" t="s">
        <v>711</v>
      </c>
      <c r="B116">
        <v>6.9532999999999996</v>
      </c>
      <c r="C116">
        <v>965.18</v>
      </c>
      <c r="D116">
        <v>239.5</v>
      </c>
    </row>
    <row r="117" spans="1:4" x14ac:dyDescent="0.4">
      <c r="A117" t="s">
        <v>712</v>
      </c>
      <c r="B117">
        <v>7.0745100000000001</v>
      </c>
      <c r="C117">
        <v>965.18</v>
      </c>
      <c r="D117">
        <v>239.5</v>
      </c>
    </row>
    <row r="118" spans="1:4" x14ac:dyDescent="0.4">
      <c r="A118" t="s">
        <v>713</v>
      </c>
      <c r="B118">
        <v>7.2212100000000001</v>
      </c>
      <c r="C118">
        <v>1507.41</v>
      </c>
      <c r="D118">
        <v>244.70099999999999</v>
      </c>
    </row>
    <row r="119" spans="1:4" x14ac:dyDescent="0.4">
      <c r="A119" t="s">
        <v>714</v>
      </c>
      <c r="B119">
        <v>7.0167000000000002</v>
      </c>
      <c r="C119">
        <v>1340.4480000000001</v>
      </c>
      <c r="D119">
        <v>234.36500000000001</v>
      </c>
    </row>
    <row r="120" spans="1:4" x14ac:dyDescent="0.4">
      <c r="A120" t="s">
        <v>715</v>
      </c>
      <c r="B120">
        <v>7.1146000000000003</v>
      </c>
      <c r="C120">
        <v>1467.45</v>
      </c>
      <c r="D120">
        <v>215.23</v>
      </c>
    </row>
    <row r="121" spans="1:4" x14ac:dyDescent="0.4">
      <c r="A121" t="s">
        <v>716</v>
      </c>
      <c r="B121">
        <v>7.4865399999999998</v>
      </c>
      <c r="C121">
        <v>1664.0360000000001</v>
      </c>
      <c r="D121">
        <v>240.995</v>
      </c>
    </row>
    <row r="122" spans="1:4" x14ac:dyDescent="0.4">
      <c r="A122" t="s">
        <v>717</v>
      </c>
      <c r="B122">
        <v>7.73719</v>
      </c>
      <c r="C122">
        <v>1721.723</v>
      </c>
      <c r="D122">
        <v>245.49</v>
      </c>
    </row>
    <row r="123" spans="1:4" x14ac:dyDescent="0.4">
      <c r="A123" t="s">
        <v>718</v>
      </c>
      <c r="B123">
        <v>6.4200600000000003</v>
      </c>
      <c r="C123">
        <v>1018.568</v>
      </c>
      <c r="D123">
        <v>183.52799999999999</v>
      </c>
    </row>
    <row r="124" spans="1:4" x14ac:dyDescent="0.4">
      <c r="A124" t="s">
        <v>719</v>
      </c>
      <c r="B124">
        <v>6.8039800000000001</v>
      </c>
      <c r="C124">
        <v>803.81</v>
      </c>
      <c r="D124">
        <v>246.99</v>
      </c>
    </row>
    <row r="125" spans="1:4" x14ac:dyDescent="0.4">
      <c r="A125" t="s">
        <v>720</v>
      </c>
      <c r="B125">
        <v>5.8818999999999999</v>
      </c>
      <c r="C125">
        <v>504.49</v>
      </c>
      <c r="D125">
        <v>160.76</v>
      </c>
    </row>
    <row r="126" spans="1:4" x14ac:dyDescent="0.4">
      <c r="A126" t="s">
        <v>721</v>
      </c>
      <c r="B126">
        <v>7.6192000000000002</v>
      </c>
      <c r="C126">
        <v>1375.14</v>
      </c>
      <c r="D126">
        <v>193.01</v>
      </c>
    </row>
    <row r="127" spans="1:4" x14ac:dyDescent="0.4">
      <c r="A127" t="s">
        <v>722</v>
      </c>
      <c r="B127">
        <v>8.1181999999999999</v>
      </c>
      <c r="C127">
        <v>1580.92</v>
      </c>
      <c r="D127">
        <v>219.62</v>
      </c>
    </row>
    <row r="128" spans="1:4" x14ac:dyDescent="0.4">
      <c r="A128" t="s">
        <v>723</v>
      </c>
      <c r="B128">
        <v>6.9384899999999998</v>
      </c>
      <c r="C128">
        <v>1182.5619999999999</v>
      </c>
      <c r="D128">
        <v>224.78399999999999</v>
      </c>
    </row>
    <row r="129" spans="1:4" x14ac:dyDescent="0.4">
      <c r="A129" t="s">
        <v>724</v>
      </c>
      <c r="B129">
        <v>6.9284600000000003</v>
      </c>
      <c r="C129">
        <v>1183.307</v>
      </c>
      <c r="D129">
        <v>224.624</v>
      </c>
    </row>
    <row r="130" spans="1:4" x14ac:dyDescent="0.4">
      <c r="A130" t="s">
        <v>725</v>
      </c>
      <c r="B130">
        <v>6.8773400000000002</v>
      </c>
      <c r="C130">
        <v>1113.895</v>
      </c>
      <c r="D130">
        <v>226.15700000000001</v>
      </c>
    </row>
    <row r="131" spans="1:4" x14ac:dyDescent="0.4">
      <c r="A131" t="s">
        <v>726</v>
      </c>
      <c r="B131">
        <v>6.9467999999999996</v>
      </c>
      <c r="C131">
        <v>1108.2</v>
      </c>
      <c r="D131">
        <v>224.01</v>
      </c>
    </row>
    <row r="132" spans="1:4" x14ac:dyDescent="0.4">
      <c r="A132" t="s">
        <v>727</v>
      </c>
      <c r="B132">
        <v>6.9703999999999997</v>
      </c>
      <c r="C132">
        <v>968.7</v>
      </c>
      <c r="D132">
        <v>234.01</v>
      </c>
    </row>
    <row r="133" spans="1:4" x14ac:dyDescent="0.4">
      <c r="A133" t="s">
        <v>728</v>
      </c>
      <c r="B133">
        <v>6.8152999999999997</v>
      </c>
      <c r="C133">
        <v>862.49</v>
      </c>
      <c r="D133">
        <v>225.15</v>
      </c>
    </row>
    <row r="134" spans="1:4" x14ac:dyDescent="0.4">
      <c r="A134" t="s">
        <v>729</v>
      </c>
      <c r="B134">
        <v>5.5191699999999999</v>
      </c>
      <c r="C134">
        <v>460.68400000000003</v>
      </c>
      <c r="D134">
        <v>164.59399999999999</v>
      </c>
    </row>
    <row r="135" spans="1:4" x14ac:dyDescent="0.4">
      <c r="A135" t="s">
        <v>730</v>
      </c>
      <c r="B135">
        <v>6.9530000000000003</v>
      </c>
      <c r="C135">
        <v>957</v>
      </c>
      <c r="D135">
        <v>230.01</v>
      </c>
    </row>
    <row r="136" spans="1:4" x14ac:dyDescent="0.4">
      <c r="A136" t="s">
        <v>731</v>
      </c>
      <c r="B136">
        <v>6.9752999999999998</v>
      </c>
      <c r="C136">
        <v>1060.8499999999999</v>
      </c>
      <c r="D136">
        <v>227.75</v>
      </c>
    </row>
    <row r="137" spans="1:4" x14ac:dyDescent="0.4">
      <c r="A137" t="s">
        <v>732</v>
      </c>
      <c r="B137">
        <v>6.9592599999999996</v>
      </c>
      <c r="C137">
        <v>1246.02</v>
      </c>
      <c r="D137">
        <v>221.35</v>
      </c>
    </row>
    <row r="138" spans="1:4" x14ac:dyDescent="0.4">
      <c r="A138" t="s">
        <v>733</v>
      </c>
      <c r="B138">
        <v>6.99383</v>
      </c>
      <c r="C138">
        <v>1041.117</v>
      </c>
      <c r="D138">
        <v>242.274</v>
      </c>
    </row>
    <row r="139" spans="1:4" x14ac:dyDescent="0.4">
      <c r="A139" t="s">
        <v>734</v>
      </c>
      <c r="B139">
        <v>6.84999</v>
      </c>
      <c r="C139">
        <v>930.54600000000005</v>
      </c>
      <c r="D139">
        <v>238.85400000000001</v>
      </c>
    </row>
    <row r="140" spans="1:4" x14ac:dyDescent="0.4">
      <c r="A140" t="s">
        <v>735</v>
      </c>
      <c r="B140">
        <v>6.9819800000000001</v>
      </c>
      <c r="C140">
        <v>988.75</v>
      </c>
      <c r="D140">
        <v>233.01</v>
      </c>
    </row>
    <row r="141" spans="1:4" x14ac:dyDescent="0.4">
      <c r="A141" t="s">
        <v>736</v>
      </c>
      <c r="B141">
        <v>7.0733800000000002</v>
      </c>
      <c r="C141">
        <v>1101.71</v>
      </c>
      <c r="D141">
        <v>235.81</v>
      </c>
    </row>
    <row r="142" spans="1:4" x14ac:dyDescent="0.4">
      <c r="A142" t="s">
        <v>737</v>
      </c>
      <c r="B142">
        <v>6.9576900000000004</v>
      </c>
      <c r="C142">
        <v>1009.32</v>
      </c>
      <c r="D142">
        <v>244.98599999999999</v>
      </c>
    </row>
    <row r="143" spans="1:4" x14ac:dyDescent="0.4">
      <c r="A143" t="s">
        <v>738</v>
      </c>
      <c r="B143">
        <v>7.1215999999999999</v>
      </c>
      <c r="C143">
        <v>1427.77</v>
      </c>
      <c r="D143">
        <v>198.05</v>
      </c>
    </row>
    <row r="144" spans="1:4" x14ac:dyDescent="0.4">
      <c r="A144" t="s">
        <v>739</v>
      </c>
      <c r="B144">
        <v>7.0396000000000001</v>
      </c>
      <c r="C144">
        <v>1390.7</v>
      </c>
      <c r="D144">
        <v>217</v>
      </c>
    </row>
    <row r="145" spans="1:4" x14ac:dyDescent="0.4">
      <c r="A145" t="s">
        <v>740</v>
      </c>
      <c r="B145">
        <v>7.21591</v>
      </c>
      <c r="C145">
        <v>1390.7</v>
      </c>
      <c r="D145">
        <v>217</v>
      </c>
    </row>
    <row r="146" spans="1:4" x14ac:dyDescent="0.4">
      <c r="A146" t="s">
        <v>741</v>
      </c>
      <c r="B146">
        <v>6.8429000000000002</v>
      </c>
      <c r="C146">
        <v>926.1</v>
      </c>
      <c r="D146">
        <v>240</v>
      </c>
    </row>
    <row r="147" spans="1:4" x14ac:dyDescent="0.4">
      <c r="A147" t="s">
        <v>742</v>
      </c>
      <c r="B147">
        <v>6.8692599999999997</v>
      </c>
      <c r="C147">
        <v>960.1</v>
      </c>
      <c r="D147">
        <v>237</v>
      </c>
    </row>
    <row r="148" spans="1:4" x14ac:dyDescent="0.4">
      <c r="A148" t="s">
        <v>743</v>
      </c>
      <c r="B148">
        <v>6.8695199999999996</v>
      </c>
      <c r="C148">
        <v>960.8</v>
      </c>
      <c r="D148">
        <v>240</v>
      </c>
    </row>
    <row r="149" spans="1:4" x14ac:dyDescent="0.4">
      <c r="A149" t="s">
        <v>744</v>
      </c>
      <c r="B149">
        <v>6.8413399999999998</v>
      </c>
      <c r="C149">
        <v>923.2</v>
      </c>
      <c r="D149">
        <v>240</v>
      </c>
    </row>
    <row r="150" spans="1:4" x14ac:dyDescent="0.4">
      <c r="A150" t="s">
        <v>745</v>
      </c>
      <c r="B150">
        <v>6.9162999999999997</v>
      </c>
      <c r="C150">
        <v>1024.54</v>
      </c>
      <c r="D150">
        <v>241.38</v>
      </c>
    </row>
    <row r="151" spans="1:4" x14ac:dyDescent="0.4">
      <c r="A151" t="s">
        <v>746</v>
      </c>
      <c r="B151">
        <v>7.2569600000000003</v>
      </c>
      <c r="C151">
        <v>1759.076</v>
      </c>
      <c r="D151">
        <v>235.00899999999999</v>
      </c>
    </row>
    <row r="152" spans="1:4" x14ac:dyDescent="0.4">
      <c r="A152" t="s">
        <v>747</v>
      </c>
      <c r="B152">
        <v>7.2002300000000004</v>
      </c>
      <c r="C152">
        <v>1691.481</v>
      </c>
      <c r="D152">
        <v>230.22300000000001</v>
      </c>
    </row>
    <row r="153" spans="1:4" x14ac:dyDescent="0.4">
      <c r="A153" t="s">
        <v>748</v>
      </c>
      <c r="B153">
        <v>6.2432999999999996</v>
      </c>
      <c r="C153">
        <v>1507.41</v>
      </c>
      <c r="D153">
        <v>244.7</v>
      </c>
    </row>
    <row r="154" spans="1:4" x14ac:dyDescent="0.4">
      <c r="A154" t="s">
        <v>749</v>
      </c>
      <c r="B154">
        <v>7.0212000000000003</v>
      </c>
      <c r="C154">
        <v>1233</v>
      </c>
      <c r="D154">
        <v>223.01</v>
      </c>
    </row>
    <row r="155" spans="1:4" x14ac:dyDescent="0.4">
      <c r="A155" t="s">
        <v>750</v>
      </c>
      <c r="B155">
        <v>7.2087000000000003</v>
      </c>
      <c r="C155">
        <v>1368.21</v>
      </c>
      <c r="D155">
        <v>236.51</v>
      </c>
    </row>
    <row r="156" spans="1:4" x14ac:dyDescent="0.4">
      <c r="A156" t="s">
        <v>751</v>
      </c>
      <c r="B156">
        <v>7.0063000000000004</v>
      </c>
      <c r="C156">
        <v>1288.5</v>
      </c>
      <c r="D156">
        <v>211.01</v>
      </c>
    </row>
    <row r="157" spans="1:4" x14ac:dyDescent="0.4">
      <c r="A157" t="s">
        <v>752</v>
      </c>
      <c r="B157">
        <v>7.0145999999999997</v>
      </c>
      <c r="C157">
        <v>1211.9000000000001</v>
      </c>
      <c r="D157">
        <v>216.01</v>
      </c>
    </row>
    <row r="158" spans="1:4" x14ac:dyDescent="0.4">
      <c r="A158" t="s">
        <v>753</v>
      </c>
      <c r="B158">
        <v>6.9954000000000001</v>
      </c>
      <c r="C158">
        <v>1401.9390000000001</v>
      </c>
      <c r="D158">
        <v>219.607</v>
      </c>
    </row>
    <row r="159" spans="1:4" x14ac:dyDescent="0.4">
      <c r="A159" t="s">
        <v>754</v>
      </c>
      <c r="B159">
        <v>6.9225399999999997</v>
      </c>
      <c r="C159">
        <v>1298.6079999999999</v>
      </c>
      <c r="D159">
        <v>219.7</v>
      </c>
    </row>
    <row r="160" spans="1:4" x14ac:dyDescent="0.4">
      <c r="A160" t="s">
        <v>755</v>
      </c>
      <c r="B160">
        <v>6.8272399999999998</v>
      </c>
      <c r="C160">
        <v>1229.08</v>
      </c>
      <c r="D160">
        <v>220</v>
      </c>
    </row>
    <row r="161" spans="1:4" x14ac:dyDescent="0.4">
      <c r="A161" t="s">
        <v>756</v>
      </c>
      <c r="B161">
        <v>6.6684999999999999</v>
      </c>
      <c r="C161">
        <v>1129.7</v>
      </c>
      <c r="D161">
        <v>225</v>
      </c>
    </row>
    <row r="162" spans="1:4" x14ac:dyDescent="0.4">
      <c r="A162" t="s">
        <v>757</v>
      </c>
      <c r="B162">
        <v>6.9379</v>
      </c>
      <c r="C162">
        <v>1227.43</v>
      </c>
      <c r="D162">
        <v>224.11</v>
      </c>
    </row>
    <row r="163" spans="1:4" x14ac:dyDescent="0.4">
      <c r="A163" t="s">
        <v>758</v>
      </c>
      <c r="B163">
        <v>6.9447000000000001</v>
      </c>
      <c r="C163">
        <v>1195.8</v>
      </c>
      <c r="D163">
        <v>226.01</v>
      </c>
    </row>
    <row r="164" spans="1:4" x14ac:dyDescent="0.4">
      <c r="A164" t="s">
        <v>759</v>
      </c>
      <c r="B164">
        <v>6.9530399999999997</v>
      </c>
      <c r="C164">
        <v>1205.079</v>
      </c>
      <c r="D164">
        <v>227.04599999999999</v>
      </c>
    </row>
    <row r="165" spans="1:4" x14ac:dyDescent="0.4">
      <c r="A165" t="s">
        <v>760</v>
      </c>
      <c r="B165">
        <v>6.8670999999999998</v>
      </c>
      <c r="C165">
        <v>1114.9000000000001</v>
      </c>
      <c r="D165">
        <v>229.01</v>
      </c>
    </row>
    <row r="166" spans="1:4" x14ac:dyDescent="0.4">
      <c r="A166" t="s">
        <v>761</v>
      </c>
      <c r="B166">
        <v>7.2538999999999998</v>
      </c>
      <c r="C166">
        <v>1507.41</v>
      </c>
      <c r="D166">
        <v>244.7</v>
      </c>
    </row>
    <row r="167" spans="1:4" x14ac:dyDescent="0.4">
      <c r="A167" t="s">
        <v>762</v>
      </c>
      <c r="B167">
        <v>6.9245999999999999</v>
      </c>
      <c r="C167">
        <v>1179.99</v>
      </c>
      <c r="D167">
        <v>205.26</v>
      </c>
    </row>
    <row r="168" spans="1:4" x14ac:dyDescent="0.4">
      <c r="A168" t="s">
        <v>763</v>
      </c>
      <c r="B168">
        <v>6.8671499999999996</v>
      </c>
      <c r="C168">
        <v>1467.45</v>
      </c>
      <c r="D168">
        <v>215.23</v>
      </c>
    </row>
    <row r="169" spans="1:4" x14ac:dyDescent="0.4">
      <c r="A169" t="s">
        <v>764</v>
      </c>
      <c r="B169">
        <v>7.25197</v>
      </c>
      <c r="C169">
        <v>1664.03</v>
      </c>
      <c r="D169">
        <v>240.99</v>
      </c>
    </row>
    <row r="170" spans="1:4" x14ac:dyDescent="0.4">
      <c r="A170" t="s">
        <v>765</v>
      </c>
      <c r="B170">
        <v>6.8089599999999999</v>
      </c>
      <c r="C170">
        <v>935.86</v>
      </c>
      <c r="D170">
        <v>238.73</v>
      </c>
    </row>
    <row r="171" spans="1:4" x14ac:dyDescent="0.4">
      <c r="A171" t="s">
        <v>766</v>
      </c>
      <c r="B171">
        <v>6.9104799999999997</v>
      </c>
      <c r="C171">
        <v>946.35</v>
      </c>
      <c r="D171">
        <v>246.68</v>
      </c>
    </row>
    <row r="172" spans="1:4" x14ac:dyDescent="0.4">
      <c r="A172" t="s">
        <v>767</v>
      </c>
      <c r="B172">
        <v>6.9203200000000002</v>
      </c>
      <c r="C172">
        <v>1064.07</v>
      </c>
      <c r="D172">
        <v>228.8</v>
      </c>
    </row>
    <row r="173" spans="1:4" x14ac:dyDescent="0.4">
      <c r="A173" t="s">
        <v>768</v>
      </c>
      <c r="B173">
        <v>6.1185999999999998</v>
      </c>
      <c r="C173">
        <v>708.69</v>
      </c>
      <c r="D173">
        <v>179.9</v>
      </c>
    </row>
    <row r="174" spans="1:4" x14ac:dyDescent="0.4">
      <c r="A174" t="s">
        <v>769</v>
      </c>
      <c r="B174">
        <v>6.2449500000000002</v>
      </c>
      <c r="C174">
        <v>708.69</v>
      </c>
      <c r="D174">
        <v>179.9</v>
      </c>
    </row>
    <row r="175" spans="1:4" x14ac:dyDescent="0.4">
      <c r="A175" t="s">
        <v>770</v>
      </c>
      <c r="B175">
        <v>7.4767999999999999</v>
      </c>
      <c r="C175">
        <v>1362.39</v>
      </c>
      <c r="D175">
        <v>178.73</v>
      </c>
    </row>
    <row r="176" spans="1:4" x14ac:dyDescent="0.4">
      <c r="A176" t="s">
        <v>771</v>
      </c>
      <c r="B176">
        <v>7.4743000000000004</v>
      </c>
      <c r="C176">
        <v>1314.19</v>
      </c>
      <c r="D176">
        <v>186.51</v>
      </c>
    </row>
    <row r="177" spans="1:4" x14ac:dyDescent="0.4">
      <c r="A177" t="s">
        <v>772</v>
      </c>
      <c r="B177">
        <v>7.3198999999999996</v>
      </c>
      <c r="C177">
        <v>1154.48</v>
      </c>
      <c r="D177">
        <v>177.66</v>
      </c>
    </row>
    <row r="178" spans="1:4" x14ac:dyDescent="0.4">
      <c r="A178" t="s">
        <v>773</v>
      </c>
      <c r="B178">
        <v>6.9283599999999996</v>
      </c>
      <c r="C178">
        <v>1257.8330000000001</v>
      </c>
      <c r="D178">
        <v>218.66200000000001</v>
      </c>
    </row>
    <row r="179" spans="1:4" x14ac:dyDescent="0.4">
      <c r="A179" t="s">
        <v>774</v>
      </c>
      <c r="B179">
        <v>6.9019599999999999</v>
      </c>
      <c r="C179">
        <v>1232.17</v>
      </c>
      <c r="D179">
        <v>221.67</v>
      </c>
    </row>
    <row r="180" spans="1:4" x14ac:dyDescent="0.4">
      <c r="A180" t="s">
        <v>775</v>
      </c>
      <c r="B180">
        <v>6.9554499999999999</v>
      </c>
      <c r="C180">
        <v>1284.32</v>
      </c>
      <c r="D180">
        <v>219.66</v>
      </c>
    </row>
    <row r="181" spans="1:4" x14ac:dyDescent="0.4">
      <c r="A181" t="s">
        <v>776</v>
      </c>
      <c r="B181">
        <v>6.9275399999999996</v>
      </c>
      <c r="C181">
        <v>1281.018</v>
      </c>
      <c r="D181">
        <v>218.1</v>
      </c>
    </row>
    <row r="182" spans="1:4" x14ac:dyDescent="0.4">
      <c r="A182" t="s">
        <v>777</v>
      </c>
      <c r="B182">
        <v>6.8869800000000003</v>
      </c>
      <c r="C182">
        <v>1229.904</v>
      </c>
      <c r="D182">
        <v>222.02099999999999</v>
      </c>
    </row>
    <row r="183" spans="1:4" x14ac:dyDescent="0.4">
      <c r="A183" t="s">
        <v>778</v>
      </c>
      <c r="B183">
        <v>6.8874599999999999</v>
      </c>
      <c r="C183">
        <v>1237.2819999999999</v>
      </c>
      <c r="D183">
        <v>220.31299999999999</v>
      </c>
    </row>
    <row r="184" spans="1:4" x14ac:dyDescent="0.4">
      <c r="A184" t="s">
        <v>779</v>
      </c>
      <c r="B184">
        <v>6.7878100000000003</v>
      </c>
      <c r="C184">
        <v>1115.5650000000001</v>
      </c>
      <c r="D184">
        <v>221.31399999999999</v>
      </c>
    </row>
    <row r="185" spans="1:4" x14ac:dyDescent="0.4">
      <c r="A185" t="s">
        <v>780</v>
      </c>
      <c r="B185">
        <v>6.9750699999999997</v>
      </c>
      <c r="C185">
        <v>1485.97</v>
      </c>
      <c r="D185">
        <v>208.958</v>
      </c>
    </row>
    <row r="186" spans="1:4" x14ac:dyDescent="0.4">
      <c r="A186" t="s">
        <v>781</v>
      </c>
      <c r="B186">
        <v>7.2130000000000001</v>
      </c>
      <c r="C186">
        <v>1308.4000000000001</v>
      </c>
      <c r="D186">
        <v>224.2</v>
      </c>
    </row>
    <row r="187" spans="1:4" x14ac:dyDescent="0.4">
      <c r="A187" t="s">
        <v>782</v>
      </c>
      <c r="B187">
        <v>7.15069</v>
      </c>
      <c r="C187">
        <v>1238.3</v>
      </c>
      <c r="D187">
        <v>227</v>
      </c>
    </row>
    <row r="188" spans="1:4" x14ac:dyDescent="0.4">
      <c r="A188" t="s">
        <v>783</v>
      </c>
      <c r="B188">
        <v>6.7830899999999996</v>
      </c>
      <c r="C188">
        <v>993.26199999999994</v>
      </c>
      <c r="D188">
        <v>210.49299999999999</v>
      </c>
    </row>
    <row r="189" spans="1:4" x14ac:dyDescent="0.4">
      <c r="A189" t="s">
        <v>784</v>
      </c>
      <c r="B189">
        <v>6.9724000000000004</v>
      </c>
      <c r="C189">
        <v>1127</v>
      </c>
      <c r="D189">
        <v>220.01</v>
      </c>
    </row>
    <row r="190" spans="1:4" x14ac:dyDescent="0.4">
      <c r="A190" t="s">
        <v>785</v>
      </c>
      <c r="B190">
        <v>6.9882</v>
      </c>
      <c r="C190">
        <v>1344.2</v>
      </c>
      <c r="D190">
        <v>212.01</v>
      </c>
    </row>
    <row r="191" spans="1:4" x14ac:dyDescent="0.4">
      <c r="A191" t="s">
        <v>786</v>
      </c>
      <c r="B191">
        <v>6.9389700000000003</v>
      </c>
      <c r="C191">
        <v>1326.48</v>
      </c>
      <c r="D191">
        <v>214.31</v>
      </c>
    </row>
    <row r="192" spans="1:4" x14ac:dyDescent="0.4">
      <c r="A192" t="s">
        <v>787</v>
      </c>
      <c r="B192">
        <v>6.98611</v>
      </c>
      <c r="C192">
        <v>1363.84</v>
      </c>
      <c r="D192">
        <v>216.78</v>
      </c>
    </row>
    <row r="193" spans="1:4" x14ac:dyDescent="0.4">
      <c r="A193" t="s">
        <v>788</v>
      </c>
      <c r="B193">
        <v>6.9181999999999997</v>
      </c>
      <c r="C193">
        <v>1104.991</v>
      </c>
      <c r="D193">
        <v>228.851</v>
      </c>
    </row>
    <row r="194" spans="1:4" x14ac:dyDescent="0.4">
      <c r="A194" t="s">
        <v>789</v>
      </c>
      <c r="B194">
        <v>6.9108900000000002</v>
      </c>
      <c r="C194">
        <v>1101.923</v>
      </c>
      <c r="D194">
        <v>229.36699999999999</v>
      </c>
    </row>
    <row r="195" spans="1:4" x14ac:dyDescent="0.4">
      <c r="A195" t="s">
        <v>790</v>
      </c>
      <c r="B195">
        <v>6.91317</v>
      </c>
      <c r="C195">
        <v>1103.8399999999999</v>
      </c>
      <c r="D195">
        <v>231.72399999999999</v>
      </c>
    </row>
    <row r="196" spans="1:4" x14ac:dyDescent="0.4">
      <c r="A196" t="s">
        <v>791</v>
      </c>
      <c r="B196">
        <v>6.8354299999999997</v>
      </c>
      <c r="C196">
        <v>1017.995</v>
      </c>
      <c r="D196">
        <v>231.46100000000001</v>
      </c>
    </row>
    <row r="197" spans="1:4" x14ac:dyDescent="0.4">
      <c r="A197" t="s">
        <v>792</v>
      </c>
      <c r="B197">
        <v>6.9621599999999999</v>
      </c>
      <c r="C197">
        <v>1126.837</v>
      </c>
      <c r="D197">
        <v>227.84100000000001</v>
      </c>
    </row>
    <row r="198" spans="1:4" x14ac:dyDescent="0.4">
      <c r="A198" t="s">
        <v>793</v>
      </c>
      <c r="B198">
        <v>6.9435000000000002</v>
      </c>
      <c r="C198">
        <v>1103.9010000000001</v>
      </c>
      <c r="D198">
        <v>230.89</v>
      </c>
    </row>
    <row r="199" spans="1:4" x14ac:dyDescent="0.4">
      <c r="A199" t="s">
        <v>794</v>
      </c>
      <c r="B199">
        <v>6.8856400000000004</v>
      </c>
      <c r="C199">
        <v>1071.578</v>
      </c>
      <c r="D199">
        <v>233.51300000000001</v>
      </c>
    </row>
    <row r="200" spans="1:4" x14ac:dyDescent="0.4">
      <c r="A200" t="s">
        <v>795</v>
      </c>
      <c r="B200">
        <v>6.9672999999999998</v>
      </c>
      <c r="C200">
        <v>1092.52</v>
      </c>
      <c r="D200">
        <v>227.19</v>
      </c>
    </row>
    <row r="201" spans="1:4" x14ac:dyDescent="0.4">
      <c r="A201" t="s">
        <v>796</v>
      </c>
      <c r="B201">
        <v>7.0461400000000003</v>
      </c>
      <c r="C201">
        <v>1189.8699999999999</v>
      </c>
      <c r="D201">
        <v>229.6</v>
      </c>
    </row>
    <row r="202" spans="1:4" x14ac:dyDescent="0.4">
      <c r="A202" t="s">
        <v>797</v>
      </c>
      <c r="B202">
        <v>6.8848000000000003</v>
      </c>
      <c r="C202">
        <v>1014.81</v>
      </c>
      <c r="D202">
        <v>227.11</v>
      </c>
    </row>
    <row r="203" spans="1:4" x14ac:dyDescent="0.4">
      <c r="A203" t="s">
        <v>798</v>
      </c>
      <c r="B203">
        <v>6.9207000000000001</v>
      </c>
      <c r="C203">
        <v>1121.81</v>
      </c>
      <c r="D203">
        <v>233.46</v>
      </c>
    </row>
    <row r="204" spans="1:4" x14ac:dyDescent="0.4">
      <c r="A204" t="s">
        <v>799</v>
      </c>
      <c r="B204">
        <v>6.9169999999999998</v>
      </c>
      <c r="C204">
        <v>1090.08</v>
      </c>
      <c r="D204">
        <v>231.1</v>
      </c>
    </row>
    <row r="205" spans="1:4" x14ac:dyDescent="0.4">
      <c r="A205" t="s">
        <v>800</v>
      </c>
      <c r="B205">
        <v>6.8464999999999998</v>
      </c>
      <c r="C205">
        <v>1044.895</v>
      </c>
      <c r="D205">
        <v>233.51599999999999</v>
      </c>
    </row>
    <row r="206" spans="1:4" x14ac:dyDescent="0.4">
      <c r="A206" t="s">
        <v>801</v>
      </c>
      <c r="B206">
        <v>6.8727400000000003</v>
      </c>
      <c r="C206">
        <v>1067.951</v>
      </c>
      <c r="D206">
        <v>230.58500000000001</v>
      </c>
    </row>
    <row r="207" spans="1:4" x14ac:dyDescent="0.4">
      <c r="A207" t="s">
        <v>802</v>
      </c>
      <c r="B207">
        <v>6.9057500000000003</v>
      </c>
      <c r="C207">
        <v>1083.9870000000001</v>
      </c>
      <c r="D207">
        <v>232.965</v>
      </c>
    </row>
    <row r="208" spans="1:4" x14ac:dyDescent="0.4">
      <c r="A208" t="s">
        <v>803</v>
      </c>
      <c r="B208">
        <v>6.8731400000000002</v>
      </c>
      <c r="C208">
        <v>1053.78</v>
      </c>
      <c r="D208">
        <v>232.78800000000001</v>
      </c>
    </row>
    <row r="209" spans="1:8" x14ac:dyDescent="0.4">
      <c r="A209" t="s">
        <v>804</v>
      </c>
      <c r="B209">
        <v>6.8261799999999999</v>
      </c>
      <c r="C209">
        <v>1013.474</v>
      </c>
      <c r="D209">
        <v>236.816</v>
      </c>
    </row>
    <row r="210" spans="1:8" x14ac:dyDescent="0.4">
      <c r="A210" t="s">
        <v>805</v>
      </c>
      <c r="B210">
        <v>6.9156199999999997</v>
      </c>
      <c r="C210">
        <v>1095.088</v>
      </c>
      <c r="D210">
        <v>232.84200000000001</v>
      </c>
    </row>
    <row r="211" spans="1:8" x14ac:dyDescent="0.4">
      <c r="A211" t="s">
        <v>806</v>
      </c>
      <c r="B211">
        <v>6.8867599999999998</v>
      </c>
      <c r="C211">
        <v>1124.162</v>
      </c>
      <c r="D211">
        <v>231.36099999999999</v>
      </c>
    </row>
    <row r="212" spans="1:8" x14ac:dyDescent="0.4">
      <c r="A212" t="s">
        <v>807</v>
      </c>
      <c r="B212">
        <v>7.3673500000000001</v>
      </c>
      <c r="C212">
        <v>1695.9</v>
      </c>
      <c r="D212">
        <v>207</v>
      </c>
    </row>
    <row r="213" spans="1:8" x14ac:dyDescent="0.4">
      <c r="A213" t="s">
        <v>808</v>
      </c>
      <c r="B213">
        <v>7.0191999999999997</v>
      </c>
      <c r="C213">
        <v>1316</v>
      </c>
      <c r="D213">
        <v>215.01</v>
      </c>
    </row>
    <row r="214" spans="1:8" x14ac:dyDescent="0.4">
      <c r="A214" t="s">
        <v>809</v>
      </c>
      <c r="B214">
        <v>6.95</v>
      </c>
      <c r="C214">
        <v>1274.5999999999999</v>
      </c>
      <c r="D214">
        <v>210.91</v>
      </c>
    </row>
    <row r="215" spans="1:8" x14ac:dyDescent="0.4">
      <c r="A215" t="s">
        <v>810</v>
      </c>
      <c r="B215">
        <v>6.9051799999999997</v>
      </c>
      <c r="C215">
        <v>1422.47</v>
      </c>
      <c r="D215">
        <v>211.72</v>
      </c>
    </row>
    <row r="216" spans="1:8" x14ac:dyDescent="0.4">
      <c r="A216" t="s">
        <v>811</v>
      </c>
      <c r="B216">
        <v>6.9149700000000003</v>
      </c>
      <c r="C216">
        <v>1388.63</v>
      </c>
      <c r="D216">
        <v>212.05</v>
      </c>
    </row>
    <row r="217" spans="1:8" x14ac:dyDescent="0.4">
      <c r="A217" t="s">
        <v>812</v>
      </c>
      <c r="B217">
        <v>6.9558</v>
      </c>
      <c r="C217">
        <v>1401.634</v>
      </c>
      <c r="D217">
        <v>214.38</v>
      </c>
    </row>
    <row r="218" spans="1:8" x14ac:dyDescent="0.4">
      <c r="A218" t="s">
        <v>813</v>
      </c>
      <c r="B218">
        <v>6.96617</v>
      </c>
      <c r="C218">
        <v>1332.89</v>
      </c>
      <c r="D218">
        <v>218.5</v>
      </c>
    </row>
    <row r="219" spans="1:8" x14ac:dyDescent="0.4">
      <c r="A219" t="s">
        <v>814</v>
      </c>
      <c r="B219">
        <v>6.7952700000000004</v>
      </c>
      <c r="C219">
        <v>1258.5</v>
      </c>
      <c r="D219">
        <v>223</v>
      </c>
    </row>
    <row r="220" spans="1:8" x14ac:dyDescent="0.4">
      <c r="A220" t="s">
        <v>815</v>
      </c>
      <c r="B220">
        <v>6.9590199999999998</v>
      </c>
      <c r="C220">
        <v>1258.5</v>
      </c>
      <c r="D220">
        <v>223</v>
      </c>
    </row>
    <row r="221" spans="1:8" x14ac:dyDescent="0.4">
      <c r="A221" t="s">
        <v>816</v>
      </c>
      <c r="B221">
        <v>6.8763199999999998</v>
      </c>
      <c r="C221">
        <v>1075.78</v>
      </c>
      <c r="D221">
        <v>233.20500000000001</v>
      </c>
    </row>
    <row r="222" spans="1:8" x14ac:dyDescent="0.4">
      <c r="A222" t="s">
        <v>817</v>
      </c>
      <c r="B222">
        <v>6.8331499999999998</v>
      </c>
      <c r="C222">
        <v>1040.73</v>
      </c>
      <c r="D222">
        <v>235.44499999999999</v>
      </c>
    </row>
    <row r="223" spans="1:8" ht="15" thickBot="1" x14ac:dyDescent="0.45">
      <c r="A223" t="s">
        <v>818</v>
      </c>
      <c r="B223">
        <v>6.6042699999999996</v>
      </c>
      <c r="C223">
        <v>883.42</v>
      </c>
      <c r="D223">
        <v>227.78200000000001</v>
      </c>
    </row>
    <row r="224" spans="1:8" ht="15" thickBot="1" x14ac:dyDescent="0.45">
      <c r="A224" s="67" t="s">
        <v>161</v>
      </c>
      <c r="B224">
        <v>5.8959999999999999</v>
      </c>
      <c r="C224">
        <v>708.69</v>
      </c>
      <c r="D224">
        <v>179.9</v>
      </c>
      <c r="G224">
        <f>B224-(C224/(D224+25))</f>
        <v>2.4372884333821374</v>
      </c>
      <c r="H224">
        <f>10^G224</f>
        <v>273.70859376365019</v>
      </c>
    </row>
    <row r="225" spans="1:4" x14ac:dyDescent="0.4">
      <c r="A225" t="s">
        <v>819</v>
      </c>
      <c r="B225">
        <v>7.1776</v>
      </c>
      <c r="C225">
        <v>1314.56</v>
      </c>
      <c r="D225">
        <v>168.16</v>
      </c>
    </row>
    <row r="226" spans="1:4" x14ac:dyDescent="0.4">
      <c r="A226" t="s">
        <v>820</v>
      </c>
      <c r="B226">
        <v>7.8753000000000002</v>
      </c>
      <c r="C226">
        <v>1604.7</v>
      </c>
      <c r="D226">
        <v>208.16</v>
      </c>
    </row>
    <row r="227" spans="1:4" x14ac:dyDescent="0.4">
      <c r="A227" t="s">
        <v>821</v>
      </c>
      <c r="B227">
        <v>6.9458299999999999</v>
      </c>
      <c r="C227">
        <v>1363.808</v>
      </c>
      <c r="D227">
        <v>212.07400000000001</v>
      </c>
    </row>
    <row r="228" spans="1:4" x14ac:dyDescent="0.4">
      <c r="A228" t="s">
        <v>822</v>
      </c>
      <c r="B228">
        <v>6.9337999999999997</v>
      </c>
      <c r="C228">
        <v>1341.57</v>
      </c>
      <c r="D228">
        <v>212.51</v>
      </c>
    </row>
    <row r="229" spans="1:4" x14ac:dyDescent="0.4">
      <c r="A229" t="s">
        <v>823</v>
      </c>
      <c r="B229">
        <v>6.8283699999999996</v>
      </c>
      <c r="C229">
        <v>1254.885</v>
      </c>
      <c r="D229">
        <v>218.75899999999999</v>
      </c>
    </row>
    <row r="230" spans="1:4" x14ac:dyDescent="0.4">
      <c r="A230" t="s">
        <v>824</v>
      </c>
      <c r="B230">
        <v>6.9331100000000001</v>
      </c>
      <c r="C230">
        <v>1369.479</v>
      </c>
      <c r="D230">
        <v>211.31399999999999</v>
      </c>
    </row>
    <row r="231" spans="1:4" x14ac:dyDescent="0.4">
      <c r="A231" t="s">
        <v>825</v>
      </c>
      <c r="B231">
        <v>9.7860200000000006</v>
      </c>
      <c r="C231">
        <v>4597.57</v>
      </c>
      <c r="D231">
        <v>355.96100000000001</v>
      </c>
    </row>
    <row r="232" spans="1:4" x14ac:dyDescent="0.4">
      <c r="A232" t="s">
        <v>826</v>
      </c>
      <c r="B232">
        <v>7.0330000000000004</v>
      </c>
      <c r="C232">
        <v>1227.98</v>
      </c>
      <c r="D232">
        <v>215.5</v>
      </c>
    </row>
    <row r="233" spans="1:4" x14ac:dyDescent="0.4">
      <c r="A233" t="s">
        <v>827</v>
      </c>
      <c r="B233">
        <v>7.0702999999999996</v>
      </c>
      <c r="C233">
        <v>1649.55</v>
      </c>
      <c r="D233">
        <v>213.32</v>
      </c>
    </row>
    <row r="234" spans="1:4" x14ac:dyDescent="0.4">
      <c r="A234" t="s">
        <v>828</v>
      </c>
      <c r="B234">
        <v>7.3037000000000001</v>
      </c>
      <c r="C234">
        <v>1782.4</v>
      </c>
      <c r="D234">
        <v>230.01</v>
      </c>
    </row>
    <row r="235" spans="1:4" x14ac:dyDescent="0.4">
      <c r="A235" t="s">
        <v>829</v>
      </c>
      <c r="B235">
        <v>6.9980000000000002</v>
      </c>
      <c r="C235">
        <v>1575.11</v>
      </c>
      <c r="D235">
        <v>208.52</v>
      </c>
    </row>
    <row r="236" spans="1:4" x14ac:dyDescent="0.4">
      <c r="A236" t="s">
        <v>830</v>
      </c>
      <c r="B236">
        <v>7.0658200000000004</v>
      </c>
      <c r="C236">
        <v>1310.27</v>
      </c>
      <c r="D236">
        <v>222.58</v>
      </c>
    </row>
    <row r="237" spans="1:4" x14ac:dyDescent="0.4">
      <c r="A237" t="s">
        <v>831</v>
      </c>
      <c r="B237">
        <v>7.0203100000000003</v>
      </c>
      <c r="C237">
        <v>1310.271</v>
      </c>
      <c r="D237">
        <v>222.58699999999999</v>
      </c>
    </row>
    <row r="238" spans="1:4" x14ac:dyDescent="0.4">
      <c r="A238" t="s">
        <v>832</v>
      </c>
      <c r="B238">
        <v>7.08812</v>
      </c>
      <c r="C238">
        <v>1310.27</v>
      </c>
      <c r="D238">
        <v>222.58</v>
      </c>
    </row>
    <row r="239" spans="1:4" x14ac:dyDescent="0.4">
      <c r="A239" t="s">
        <v>833</v>
      </c>
      <c r="B239">
        <v>6.8605999999999998</v>
      </c>
      <c r="C239">
        <v>1438.82</v>
      </c>
      <c r="D239">
        <v>205.45</v>
      </c>
    </row>
    <row r="240" spans="1:4" x14ac:dyDescent="0.4">
      <c r="A240" t="s">
        <v>834</v>
      </c>
      <c r="B240">
        <v>6.9781000000000004</v>
      </c>
      <c r="C240">
        <v>1431.05</v>
      </c>
      <c r="D240">
        <v>217.56</v>
      </c>
    </row>
    <row r="241" spans="1:4" x14ac:dyDescent="0.4">
      <c r="A241" t="s">
        <v>835</v>
      </c>
      <c r="B241">
        <v>7.1870000000000003</v>
      </c>
      <c r="C241">
        <v>1381.83</v>
      </c>
      <c r="D241">
        <v>235.57</v>
      </c>
    </row>
    <row r="242" spans="1:4" x14ac:dyDescent="0.4">
      <c r="A242" t="s">
        <v>836</v>
      </c>
      <c r="B242">
        <v>7.0118999999999998</v>
      </c>
      <c r="C242">
        <v>1640.13</v>
      </c>
      <c r="D242">
        <v>208.78</v>
      </c>
    </row>
    <row r="243" spans="1:4" x14ac:dyDescent="0.4">
      <c r="A243" s="12" t="s">
        <v>112</v>
      </c>
      <c r="B243">
        <v>6.9056499999999996</v>
      </c>
      <c r="C243">
        <v>1211.0329999999999</v>
      </c>
      <c r="D243">
        <v>220.79</v>
      </c>
    </row>
    <row r="244" spans="1:4" x14ac:dyDescent="0.4">
      <c r="A244" t="s">
        <v>837</v>
      </c>
      <c r="B244">
        <v>7.1345000000000001</v>
      </c>
      <c r="C244">
        <v>1516.07</v>
      </c>
      <c r="D244">
        <v>174.57</v>
      </c>
    </row>
    <row r="245" spans="1:4" x14ac:dyDescent="0.4">
      <c r="A245" t="s">
        <v>838</v>
      </c>
      <c r="B245">
        <v>6.9901900000000001</v>
      </c>
      <c r="C245">
        <v>1529.454</v>
      </c>
      <c r="D245">
        <v>203.048</v>
      </c>
    </row>
    <row r="246" spans="1:4" x14ac:dyDescent="0.4">
      <c r="A246" t="s">
        <v>839</v>
      </c>
      <c r="B246">
        <v>7.0324</v>
      </c>
      <c r="C246">
        <v>1415.73</v>
      </c>
      <c r="D246">
        <v>211.58</v>
      </c>
    </row>
    <row r="247" spans="1:4" x14ac:dyDescent="0.4">
      <c r="A247" t="s">
        <v>840</v>
      </c>
      <c r="B247">
        <v>7.0502000000000002</v>
      </c>
      <c r="C247">
        <v>1481.77</v>
      </c>
      <c r="D247">
        <v>211.21</v>
      </c>
    </row>
    <row r="248" spans="1:4" x14ac:dyDescent="0.4">
      <c r="A248" t="s">
        <v>841</v>
      </c>
      <c r="B248">
        <v>7.2417999999999996</v>
      </c>
      <c r="C248">
        <v>1675.3</v>
      </c>
      <c r="D248">
        <v>200.01</v>
      </c>
    </row>
    <row r="249" spans="1:4" x14ac:dyDescent="0.4">
      <c r="A249" t="s">
        <v>842</v>
      </c>
      <c r="B249">
        <v>6.9121199999999998</v>
      </c>
      <c r="C249">
        <v>1194.5999999999999</v>
      </c>
      <c r="D249">
        <v>225</v>
      </c>
    </row>
    <row r="250" spans="1:4" x14ac:dyDescent="0.4">
      <c r="A250" t="s">
        <v>843</v>
      </c>
      <c r="B250">
        <v>6.8723999999999998</v>
      </c>
      <c r="C250">
        <v>1221.9000000000001</v>
      </c>
      <c r="D250">
        <v>223.18</v>
      </c>
    </row>
    <row r="251" spans="1:4" x14ac:dyDescent="0.4">
      <c r="A251" t="s">
        <v>844</v>
      </c>
      <c r="B251">
        <v>6.8688399999999996</v>
      </c>
      <c r="C251">
        <v>1199.5999999999999</v>
      </c>
      <c r="D251">
        <v>225</v>
      </c>
    </row>
    <row r="252" spans="1:4" x14ac:dyDescent="0.4">
      <c r="A252" t="s">
        <v>845</v>
      </c>
      <c r="B252">
        <v>6.8725899999999998</v>
      </c>
      <c r="C252">
        <v>1165.5999999999999</v>
      </c>
      <c r="D252">
        <v>227</v>
      </c>
    </row>
    <row r="253" spans="1:4" x14ac:dyDescent="0.4">
      <c r="A253" t="s">
        <v>846</v>
      </c>
      <c r="B253">
        <v>6.8701499999999998</v>
      </c>
      <c r="C253">
        <v>1197.5999999999999</v>
      </c>
      <c r="D253">
        <v>225</v>
      </c>
    </row>
    <row r="254" spans="1:4" x14ac:dyDescent="0.4">
      <c r="A254" t="s">
        <v>847</v>
      </c>
      <c r="B254">
        <v>6.97851</v>
      </c>
      <c r="C254">
        <v>1495.58</v>
      </c>
      <c r="D254">
        <v>209.559</v>
      </c>
    </row>
    <row r="255" spans="1:4" x14ac:dyDescent="0.4">
      <c r="A255" t="s">
        <v>848</v>
      </c>
      <c r="B255">
        <v>6.8657199999999996</v>
      </c>
      <c r="C255">
        <v>1152.971</v>
      </c>
      <c r="D255">
        <v>225.84899999999999</v>
      </c>
    </row>
    <row r="256" spans="1:4" x14ac:dyDescent="0.4">
      <c r="A256" t="s">
        <v>849</v>
      </c>
      <c r="B256">
        <v>7.0380500000000001</v>
      </c>
      <c r="C256">
        <v>1258.5709999999999</v>
      </c>
      <c r="D256">
        <v>233.851</v>
      </c>
    </row>
    <row r="257" spans="1:4" x14ac:dyDescent="0.4">
      <c r="A257" t="s">
        <v>850</v>
      </c>
      <c r="B257">
        <v>6.8934199999999999</v>
      </c>
      <c r="C257">
        <v>1173.3430000000001</v>
      </c>
      <c r="D257">
        <v>224.53</v>
      </c>
    </row>
    <row r="258" spans="1:4" x14ac:dyDescent="0.4">
      <c r="A258" t="s">
        <v>851</v>
      </c>
      <c r="B258">
        <v>6.8785400000000001</v>
      </c>
      <c r="C258">
        <v>1164.134</v>
      </c>
      <c r="D258">
        <v>224.749</v>
      </c>
    </row>
    <row r="259" spans="1:4" x14ac:dyDescent="0.4">
      <c r="A259" t="s">
        <v>852</v>
      </c>
      <c r="B259">
        <v>6.9177999999999997</v>
      </c>
      <c r="C259">
        <v>1180.7070000000001</v>
      </c>
      <c r="D259">
        <v>225.38399999999999</v>
      </c>
    </row>
    <row r="260" spans="1:4" x14ac:dyDescent="0.4">
      <c r="A260" t="s">
        <v>853</v>
      </c>
      <c r="B260">
        <v>6.8502999999999998</v>
      </c>
      <c r="C260">
        <v>1138.5160000000001</v>
      </c>
      <c r="D260">
        <v>224.70400000000001</v>
      </c>
    </row>
    <row r="261" spans="1:4" x14ac:dyDescent="0.4">
      <c r="A261" t="s">
        <v>854</v>
      </c>
      <c r="B261">
        <v>6.7552300000000001</v>
      </c>
      <c r="C261">
        <v>1086.316</v>
      </c>
      <c r="D261">
        <v>226.20400000000001</v>
      </c>
    </row>
    <row r="262" spans="1:4" x14ac:dyDescent="0.4">
      <c r="A262" t="s">
        <v>855</v>
      </c>
      <c r="B262">
        <v>6.8352899999999996</v>
      </c>
      <c r="C262">
        <v>1121.3019999999999</v>
      </c>
      <c r="D262">
        <v>229.68700000000001</v>
      </c>
    </row>
    <row r="263" spans="1:4" x14ac:dyDescent="0.4">
      <c r="A263" t="s">
        <v>856</v>
      </c>
      <c r="B263">
        <v>6.9236700000000004</v>
      </c>
      <c r="C263">
        <v>1183.837</v>
      </c>
      <c r="D263">
        <v>225.51400000000001</v>
      </c>
    </row>
    <row r="264" spans="1:4" x14ac:dyDescent="0.4">
      <c r="A264" t="s">
        <v>857</v>
      </c>
      <c r="B264">
        <v>6.91073</v>
      </c>
      <c r="C264">
        <v>1186.402</v>
      </c>
      <c r="D264">
        <v>226.696</v>
      </c>
    </row>
    <row r="265" spans="1:4" x14ac:dyDescent="0.4">
      <c r="A265" t="s">
        <v>858</v>
      </c>
      <c r="B265">
        <v>6.9263399999999997</v>
      </c>
      <c r="C265">
        <v>1194.527</v>
      </c>
      <c r="D265">
        <v>224.833</v>
      </c>
    </row>
    <row r="266" spans="1:4" x14ac:dyDescent="0.4">
      <c r="A266" t="s">
        <v>859</v>
      </c>
      <c r="B266">
        <v>6.8412899999999999</v>
      </c>
      <c r="C266">
        <v>1120.7070000000001</v>
      </c>
      <c r="D266">
        <v>226.58600000000001</v>
      </c>
    </row>
    <row r="267" spans="1:4" x14ac:dyDescent="0.4">
      <c r="A267" t="s">
        <v>860</v>
      </c>
      <c r="B267">
        <v>6.8803000000000001</v>
      </c>
      <c r="C267">
        <v>1142.874</v>
      </c>
      <c r="D267">
        <v>227.143</v>
      </c>
    </row>
    <row r="268" spans="1:4" x14ac:dyDescent="0.4">
      <c r="A268" t="s">
        <v>861</v>
      </c>
      <c r="B268">
        <v>6.9971199999999998</v>
      </c>
      <c r="C268">
        <v>1218.3520000000001</v>
      </c>
      <c r="D268">
        <v>231.3</v>
      </c>
    </row>
    <row r="269" spans="1:4" x14ac:dyDescent="0.4">
      <c r="A269" t="s">
        <v>862</v>
      </c>
      <c r="B269">
        <v>6.8623599999999998</v>
      </c>
      <c r="C269">
        <v>1134.675</v>
      </c>
      <c r="D269">
        <v>229.36699999999999</v>
      </c>
    </row>
    <row r="270" spans="1:4" x14ac:dyDescent="0.4">
      <c r="A270" t="s">
        <v>863</v>
      </c>
      <c r="B270">
        <v>6.6775099999999998</v>
      </c>
      <c r="C270">
        <v>1010.516</v>
      </c>
      <c r="D270">
        <v>224.90899999999999</v>
      </c>
    </row>
    <row r="271" spans="1:4" x14ac:dyDescent="0.4">
      <c r="A271" t="s">
        <v>864</v>
      </c>
      <c r="B271">
        <v>6.9505800000000004</v>
      </c>
      <c r="C271">
        <v>1215.4280000000001</v>
      </c>
      <c r="D271">
        <v>225.44300000000001</v>
      </c>
    </row>
    <row r="272" spans="1:4" x14ac:dyDescent="0.4">
      <c r="A272" t="s">
        <v>865</v>
      </c>
      <c r="B272">
        <v>6.8413000000000004</v>
      </c>
      <c r="C272">
        <v>1201.5309999999999</v>
      </c>
      <c r="D272">
        <v>222.64699999999999</v>
      </c>
    </row>
    <row r="273" spans="1:4" x14ac:dyDescent="0.4">
      <c r="A273" t="s">
        <v>866</v>
      </c>
      <c r="B273">
        <v>6.8628299999999998</v>
      </c>
      <c r="C273">
        <v>1186.059</v>
      </c>
      <c r="D273">
        <v>226.042</v>
      </c>
    </row>
    <row r="274" spans="1:4" x14ac:dyDescent="0.4">
      <c r="A274" t="s">
        <v>867</v>
      </c>
      <c r="B274">
        <v>6.2553000000000001</v>
      </c>
      <c r="C274">
        <v>912.87</v>
      </c>
      <c r="D274">
        <v>109.13</v>
      </c>
    </row>
    <row r="275" spans="1:4" x14ac:dyDescent="0.4">
      <c r="A275" t="s">
        <v>868</v>
      </c>
      <c r="B275">
        <v>6.7144199999999996</v>
      </c>
      <c r="C275">
        <v>1316</v>
      </c>
      <c r="D275">
        <v>215.01</v>
      </c>
    </row>
    <row r="276" spans="1:4" x14ac:dyDescent="0.4">
      <c r="A276" t="s">
        <v>869</v>
      </c>
      <c r="B276">
        <v>6.9052300000000004</v>
      </c>
      <c r="C276">
        <v>1422.47</v>
      </c>
      <c r="D276">
        <v>211.72</v>
      </c>
    </row>
    <row r="277" spans="1:4" x14ac:dyDescent="0.4">
      <c r="A277" t="s">
        <v>870</v>
      </c>
      <c r="B277">
        <v>6.8702399999999999</v>
      </c>
      <c r="C277">
        <v>1168.72</v>
      </c>
      <c r="D277">
        <v>224.21</v>
      </c>
    </row>
    <row r="278" spans="1:4" x14ac:dyDescent="0.4">
      <c r="A278" t="s">
        <v>871</v>
      </c>
      <c r="B278">
        <v>6.8391000000000002</v>
      </c>
      <c r="C278">
        <v>1135.4100000000001</v>
      </c>
      <c r="D278">
        <v>226.572</v>
      </c>
    </row>
    <row r="279" spans="1:4" x14ac:dyDescent="0.4">
      <c r="A279" t="s">
        <v>872</v>
      </c>
      <c r="B279">
        <v>6.8188700000000004</v>
      </c>
      <c r="C279">
        <v>1152.3679999999999</v>
      </c>
      <c r="D279">
        <v>227.12899999999999</v>
      </c>
    </row>
    <row r="280" spans="1:4" x14ac:dyDescent="0.4">
      <c r="A280" t="s">
        <v>873</v>
      </c>
      <c r="B280">
        <v>6.7548300000000001</v>
      </c>
      <c r="C280">
        <v>1081.1759999999999</v>
      </c>
      <c r="D280">
        <v>229.34299999999999</v>
      </c>
    </row>
    <row r="281" spans="1:4" x14ac:dyDescent="0.4">
      <c r="A281" t="s">
        <v>874</v>
      </c>
      <c r="B281">
        <v>6.8098299999999998</v>
      </c>
      <c r="C281">
        <v>1127.1869999999999</v>
      </c>
      <c r="D281">
        <v>228.9</v>
      </c>
    </row>
    <row r="282" spans="1:4" x14ac:dyDescent="0.4">
      <c r="A282" t="s">
        <v>875</v>
      </c>
      <c r="B282">
        <v>6.9476000000000004</v>
      </c>
      <c r="C282">
        <v>1256.5</v>
      </c>
      <c r="D282">
        <v>219</v>
      </c>
    </row>
    <row r="283" spans="1:4" x14ac:dyDescent="0.4">
      <c r="A283" t="s">
        <v>876</v>
      </c>
      <c r="B283">
        <v>7.0971000000000002</v>
      </c>
      <c r="C283">
        <v>1257.5999999999999</v>
      </c>
      <c r="D283">
        <v>230.01</v>
      </c>
    </row>
    <row r="284" spans="1:4" x14ac:dyDescent="0.4">
      <c r="A284" t="s">
        <v>877</v>
      </c>
      <c r="B284">
        <v>7.8604000000000003</v>
      </c>
      <c r="C284">
        <v>1761.26</v>
      </c>
      <c r="D284">
        <v>196.67</v>
      </c>
    </row>
    <row r="285" spans="1:4" x14ac:dyDescent="0.4">
      <c r="A285" t="s">
        <v>878</v>
      </c>
      <c r="B285">
        <v>6.94102</v>
      </c>
      <c r="C285">
        <v>1421.32</v>
      </c>
      <c r="D285">
        <v>205.81</v>
      </c>
    </row>
    <row r="286" spans="1:4" x14ac:dyDescent="0.4">
      <c r="A286" t="s">
        <v>879</v>
      </c>
      <c r="B286">
        <v>6.8711799999999998</v>
      </c>
      <c r="C286">
        <v>1327.12</v>
      </c>
      <c r="D286">
        <v>212.55</v>
      </c>
    </row>
    <row r="287" spans="1:4" x14ac:dyDescent="0.4">
      <c r="A287" t="s">
        <v>880</v>
      </c>
      <c r="B287">
        <v>7.1160899999999998</v>
      </c>
      <c r="C287">
        <v>1413.44</v>
      </c>
      <c r="D287">
        <v>205.73</v>
      </c>
    </row>
    <row r="288" spans="1:4" x14ac:dyDescent="0.4">
      <c r="A288" t="s">
        <v>881</v>
      </c>
      <c r="B288">
        <v>6.9357699999999998</v>
      </c>
      <c r="C288">
        <v>1413.44</v>
      </c>
      <c r="D288">
        <v>205.73</v>
      </c>
    </row>
    <row r="289" spans="1:4" x14ac:dyDescent="0.4">
      <c r="A289" t="s">
        <v>882</v>
      </c>
      <c r="B289">
        <v>6.9466400000000004</v>
      </c>
      <c r="C289">
        <v>1454.0039999999999</v>
      </c>
      <c r="D289">
        <v>204.95400000000001</v>
      </c>
    </row>
    <row r="290" spans="1:4" x14ac:dyDescent="0.4">
      <c r="A290" t="s">
        <v>883</v>
      </c>
      <c r="B290">
        <v>6.9752900000000002</v>
      </c>
      <c r="C290">
        <v>1603.7929999999999</v>
      </c>
      <c r="D290">
        <v>195.84800000000001</v>
      </c>
    </row>
    <row r="291" spans="1:4" x14ac:dyDescent="0.4">
      <c r="A291" t="s">
        <v>884</v>
      </c>
      <c r="B291">
        <v>6.8989000000000003</v>
      </c>
      <c r="C291">
        <v>1251.8</v>
      </c>
      <c r="D291">
        <v>222.01</v>
      </c>
    </row>
    <row r="292" spans="1:4" x14ac:dyDescent="0.4">
      <c r="A292" t="s">
        <v>885</v>
      </c>
      <c r="B292">
        <v>6.9704499999999996</v>
      </c>
      <c r="C292">
        <v>1306.3499999999999</v>
      </c>
      <c r="D292">
        <v>217.38</v>
      </c>
    </row>
    <row r="293" spans="1:4" x14ac:dyDescent="0.4">
      <c r="A293" t="s">
        <v>886</v>
      </c>
      <c r="B293">
        <v>7.7291100000000004</v>
      </c>
      <c r="C293">
        <v>2110.5720000000001</v>
      </c>
      <c r="D293">
        <v>244.81899999999999</v>
      </c>
    </row>
    <row r="294" spans="1:4" x14ac:dyDescent="0.4">
      <c r="A294" t="s">
        <v>887</v>
      </c>
      <c r="B294">
        <v>7.4539999999999997</v>
      </c>
      <c r="C294">
        <v>1820</v>
      </c>
      <c r="D294">
        <v>147.96</v>
      </c>
    </row>
    <row r="295" spans="1:4" x14ac:dyDescent="0.4">
      <c r="A295" t="s">
        <v>888</v>
      </c>
      <c r="B295">
        <v>6.9942599999999997</v>
      </c>
      <c r="C295">
        <v>1374.0550000000001</v>
      </c>
      <c r="D295">
        <v>217.4</v>
      </c>
    </row>
    <row r="296" spans="1:4" x14ac:dyDescent="0.4">
      <c r="A296" t="s">
        <v>889</v>
      </c>
      <c r="B296">
        <v>6.9546400000000004</v>
      </c>
      <c r="C296">
        <v>1344.8</v>
      </c>
      <c r="D296">
        <v>219.482</v>
      </c>
    </row>
    <row r="297" spans="1:4" x14ac:dyDescent="0.4">
      <c r="A297" t="s">
        <v>890</v>
      </c>
      <c r="B297">
        <v>6.9743300000000001</v>
      </c>
      <c r="C297">
        <v>1376.84</v>
      </c>
      <c r="D297">
        <v>220.75</v>
      </c>
    </row>
    <row r="298" spans="1:4" x14ac:dyDescent="0.4">
      <c r="A298" t="s">
        <v>891</v>
      </c>
      <c r="B298">
        <v>7.508</v>
      </c>
      <c r="C298">
        <v>1856.36</v>
      </c>
      <c r="D298">
        <v>199.07</v>
      </c>
    </row>
    <row r="299" spans="1:4" x14ac:dyDescent="0.4">
      <c r="A299" t="s">
        <v>892</v>
      </c>
      <c r="B299">
        <v>6.9116999999999997</v>
      </c>
      <c r="C299">
        <v>1435.5</v>
      </c>
      <c r="D299">
        <v>165.16</v>
      </c>
    </row>
    <row r="300" spans="1:4" x14ac:dyDescent="0.4">
      <c r="A300" t="s">
        <v>893</v>
      </c>
      <c r="B300">
        <v>7.0350999999999999</v>
      </c>
      <c r="C300">
        <v>1511.08</v>
      </c>
      <c r="D300">
        <v>161.86000000000001</v>
      </c>
    </row>
    <row r="301" spans="1:4" x14ac:dyDescent="0.4">
      <c r="A301" t="s">
        <v>894</v>
      </c>
      <c r="B301">
        <v>6.6859299999999999</v>
      </c>
      <c r="C301">
        <v>1216.5999999999999</v>
      </c>
      <c r="D301">
        <v>220</v>
      </c>
    </row>
    <row r="302" spans="1:4" x14ac:dyDescent="0.4">
      <c r="A302" t="s">
        <v>895</v>
      </c>
      <c r="B302">
        <v>6.90069</v>
      </c>
      <c r="C302">
        <v>1257.5050000000001</v>
      </c>
      <c r="D302">
        <v>219.179</v>
      </c>
    </row>
    <row r="303" spans="1:4" x14ac:dyDescent="0.4">
      <c r="A303" t="s">
        <v>896</v>
      </c>
      <c r="B303">
        <v>6.8539000000000003</v>
      </c>
      <c r="C303">
        <v>1331.57</v>
      </c>
      <c r="D303">
        <v>216.36</v>
      </c>
    </row>
    <row r="304" spans="1:4" x14ac:dyDescent="0.4">
      <c r="A304" t="s">
        <v>897</v>
      </c>
      <c r="B304">
        <v>6.8870899999999997</v>
      </c>
      <c r="C304">
        <v>1298.5989999999999</v>
      </c>
      <c r="D304">
        <v>220.67500000000001</v>
      </c>
    </row>
    <row r="305" spans="1:4" x14ac:dyDescent="0.4">
      <c r="A305" t="s">
        <v>898</v>
      </c>
      <c r="B305">
        <v>6.81724</v>
      </c>
      <c r="C305">
        <v>1219.4739999999999</v>
      </c>
      <c r="D305">
        <v>221.946</v>
      </c>
    </row>
    <row r="306" spans="1:4" x14ac:dyDescent="0.4">
      <c r="A306" t="s">
        <v>899</v>
      </c>
      <c r="B306">
        <v>6.8500800000000002</v>
      </c>
      <c r="C306">
        <v>1269.1400000000001</v>
      </c>
      <c r="D306">
        <v>220.209</v>
      </c>
    </row>
    <row r="307" spans="1:4" x14ac:dyDescent="0.4">
      <c r="A307" t="s">
        <v>900</v>
      </c>
      <c r="B307">
        <v>6.84422</v>
      </c>
      <c r="C307">
        <v>1242.748</v>
      </c>
      <c r="D307">
        <v>221.68600000000001</v>
      </c>
    </row>
    <row r="308" spans="1:4" x14ac:dyDescent="0.4">
      <c r="A308" t="s">
        <v>901</v>
      </c>
      <c r="B308">
        <v>6.8371500000000003</v>
      </c>
      <c r="C308">
        <v>1237.4559999999999</v>
      </c>
      <c r="D308">
        <v>222.005</v>
      </c>
    </row>
    <row r="309" spans="1:4" x14ac:dyDescent="0.4">
      <c r="A309" t="s">
        <v>902</v>
      </c>
      <c r="B309">
        <v>6.8381699999999999</v>
      </c>
      <c r="C309">
        <v>1240.0229999999999</v>
      </c>
      <c r="D309">
        <v>221.62100000000001</v>
      </c>
    </row>
    <row r="310" spans="1:4" x14ac:dyDescent="0.4">
      <c r="A310" t="s">
        <v>903</v>
      </c>
      <c r="B310">
        <v>6.8230000000000004</v>
      </c>
      <c r="C310">
        <v>1270.7629999999999</v>
      </c>
      <c r="D310">
        <v>221.416</v>
      </c>
    </row>
    <row r="311" spans="1:4" x14ac:dyDescent="0.4">
      <c r="A311" t="s">
        <v>904</v>
      </c>
      <c r="B311">
        <v>5.4758699999999996</v>
      </c>
      <c r="C311">
        <v>686.45299999999997</v>
      </c>
      <c r="D311">
        <v>111.81699999999999</v>
      </c>
    </row>
    <row r="312" spans="1:4" x14ac:dyDescent="0.4">
      <c r="A312" t="s">
        <v>905</v>
      </c>
      <c r="B312">
        <v>6.8938499999999996</v>
      </c>
      <c r="C312">
        <v>1264.3699999999999</v>
      </c>
      <c r="D312">
        <v>216.636</v>
      </c>
    </row>
    <row r="313" spans="1:4" x14ac:dyDescent="0.4">
      <c r="A313" t="s">
        <v>906</v>
      </c>
      <c r="B313">
        <v>6.8731799999999996</v>
      </c>
      <c r="C313">
        <v>1236.0260000000001</v>
      </c>
      <c r="D313">
        <v>219.54499999999999</v>
      </c>
    </row>
    <row r="314" spans="1:4" x14ac:dyDescent="0.4">
      <c r="A314" t="s">
        <v>907</v>
      </c>
      <c r="B314">
        <v>6.8676399999999997</v>
      </c>
      <c r="C314">
        <v>1240.1959999999999</v>
      </c>
      <c r="D314">
        <v>219.22300000000001</v>
      </c>
    </row>
    <row r="315" spans="1:4" x14ac:dyDescent="0.4">
      <c r="A315" t="s">
        <v>908</v>
      </c>
      <c r="B315">
        <v>6.8756399999999998</v>
      </c>
      <c r="C315">
        <v>1251.827</v>
      </c>
      <c r="D315">
        <v>219.887</v>
      </c>
    </row>
    <row r="316" spans="1:4" x14ac:dyDescent="0.4">
      <c r="A316" t="s">
        <v>909</v>
      </c>
      <c r="B316">
        <v>6.8148</v>
      </c>
      <c r="C316">
        <v>1190.0329999999999</v>
      </c>
      <c r="D316">
        <v>223.303</v>
      </c>
    </row>
    <row r="317" spans="1:4" x14ac:dyDescent="0.4">
      <c r="A317" t="s">
        <v>910</v>
      </c>
      <c r="B317">
        <v>6.8538199999999998</v>
      </c>
      <c r="C317">
        <v>1238.0170000000001</v>
      </c>
      <c r="D317">
        <v>221.82300000000001</v>
      </c>
    </row>
    <row r="318" spans="1:4" x14ac:dyDescent="0.4">
      <c r="A318" t="s">
        <v>911</v>
      </c>
      <c r="B318">
        <v>6.8262099999999997</v>
      </c>
      <c r="C318">
        <v>1192.0409999999999</v>
      </c>
      <c r="D318">
        <v>221.63399999999999</v>
      </c>
    </row>
    <row r="319" spans="1:4" x14ac:dyDescent="0.4">
      <c r="A319" t="s">
        <v>912</v>
      </c>
      <c r="B319">
        <v>6.82667</v>
      </c>
      <c r="C319">
        <v>1228.663</v>
      </c>
      <c r="D319">
        <v>225.316</v>
      </c>
    </row>
    <row r="320" spans="1:4" x14ac:dyDescent="0.4">
      <c r="A320" t="s">
        <v>913</v>
      </c>
      <c r="B320">
        <v>6.7923</v>
      </c>
      <c r="C320">
        <v>1200.5630000000001</v>
      </c>
      <c r="D320">
        <v>226.05</v>
      </c>
    </row>
    <row r="321" spans="1:4" x14ac:dyDescent="0.4">
      <c r="A321" t="s">
        <v>914</v>
      </c>
      <c r="B321">
        <v>6.62913</v>
      </c>
      <c r="C321">
        <v>1257.5999999999999</v>
      </c>
      <c r="D321">
        <v>230.01</v>
      </c>
    </row>
    <row r="322" spans="1:4" x14ac:dyDescent="0.4">
      <c r="A322" t="s">
        <v>915</v>
      </c>
      <c r="B322">
        <v>6.6475999999999997</v>
      </c>
      <c r="C322">
        <v>1140.6400000000001</v>
      </c>
      <c r="D322">
        <v>126.56</v>
      </c>
    </row>
    <row r="323" spans="1:4" x14ac:dyDescent="0.4">
      <c r="A323" t="s">
        <v>916</v>
      </c>
      <c r="B323">
        <v>6.6527900000000004</v>
      </c>
      <c r="C323">
        <v>1421.32</v>
      </c>
      <c r="D323">
        <v>205.81</v>
      </c>
    </row>
    <row r="324" spans="1:4" x14ac:dyDescent="0.4">
      <c r="A324" t="s">
        <v>917</v>
      </c>
      <c r="B324">
        <v>6.6527900000000004</v>
      </c>
      <c r="C324">
        <v>1421.32</v>
      </c>
      <c r="D324">
        <v>205.81</v>
      </c>
    </row>
    <row r="325" spans="1:4" x14ac:dyDescent="0.4">
      <c r="A325" t="s">
        <v>918</v>
      </c>
      <c r="B325">
        <v>6.6527900000000004</v>
      </c>
      <c r="C325">
        <v>1421.32</v>
      </c>
      <c r="D325">
        <v>205.81</v>
      </c>
    </row>
    <row r="326" spans="1:4" x14ac:dyDescent="0.4">
      <c r="A326" t="s">
        <v>919</v>
      </c>
      <c r="B326">
        <v>6.9524900000000001</v>
      </c>
      <c r="C326">
        <v>1525.3109999999999</v>
      </c>
      <c r="D326">
        <v>197.696</v>
      </c>
    </row>
    <row r="327" spans="1:4" x14ac:dyDescent="0.4">
      <c r="A327" t="s">
        <v>920</v>
      </c>
      <c r="B327">
        <v>6.9569999999999999</v>
      </c>
      <c r="C327">
        <v>1445.58</v>
      </c>
      <c r="D327">
        <v>209.44</v>
      </c>
    </row>
    <row r="328" spans="1:4" x14ac:dyDescent="0.4">
      <c r="A328" t="s">
        <v>921</v>
      </c>
      <c r="B328">
        <v>6.9570999999999996</v>
      </c>
      <c r="C328">
        <v>1445.58</v>
      </c>
      <c r="D328">
        <v>209.44</v>
      </c>
    </row>
    <row r="329" spans="1:4" x14ac:dyDescent="0.4">
      <c r="A329" t="s">
        <v>922</v>
      </c>
      <c r="B329">
        <v>7.0066899999999999</v>
      </c>
      <c r="C329">
        <v>1472.11</v>
      </c>
      <c r="D329">
        <v>215.84</v>
      </c>
    </row>
    <row r="330" spans="1:4" x14ac:dyDescent="0.4">
      <c r="A330" t="s">
        <v>923</v>
      </c>
      <c r="B330">
        <v>6.9571899999999998</v>
      </c>
      <c r="C330">
        <v>1424.2550000000001</v>
      </c>
      <c r="D330">
        <v>213.20599999999999</v>
      </c>
    </row>
    <row r="331" spans="1:4" x14ac:dyDescent="0.4">
      <c r="A331" t="s">
        <v>924</v>
      </c>
      <c r="B331">
        <v>7.00908</v>
      </c>
      <c r="C331">
        <v>1462.2660000000001</v>
      </c>
      <c r="D331">
        <v>215.10499999999999</v>
      </c>
    </row>
    <row r="332" spans="1:4" x14ac:dyDescent="0.4">
      <c r="A332" t="s">
        <v>925</v>
      </c>
      <c r="B332">
        <v>6.9989100000000004</v>
      </c>
      <c r="C332">
        <v>1474.6790000000001</v>
      </c>
      <c r="D332">
        <v>213.68600000000001</v>
      </c>
    </row>
    <row r="333" spans="1:4" x14ac:dyDescent="0.4">
      <c r="A333" t="s">
        <v>926</v>
      </c>
      <c r="B333">
        <v>6.9905200000000001</v>
      </c>
      <c r="C333">
        <v>1453.43</v>
      </c>
      <c r="D333">
        <v>215.30699999999999</v>
      </c>
    </row>
    <row r="334" spans="1:4" x14ac:dyDescent="0.4">
      <c r="A334" t="s">
        <v>927</v>
      </c>
      <c r="B334">
        <v>7.02447</v>
      </c>
      <c r="C334">
        <v>1413.8</v>
      </c>
      <c r="D334">
        <v>215</v>
      </c>
    </row>
    <row r="335" spans="1:4" x14ac:dyDescent="0.4">
      <c r="A335" t="s">
        <v>928</v>
      </c>
      <c r="B335">
        <v>6.9326299999999996</v>
      </c>
      <c r="C335">
        <v>1353.4860000000001</v>
      </c>
      <c r="D335">
        <v>212.76400000000001</v>
      </c>
    </row>
    <row r="336" spans="1:4" x14ac:dyDescent="0.4">
      <c r="A336" t="s">
        <v>929</v>
      </c>
      <c r="B336">
        <v>6.8619000000000003</v>
      </c>
      <c r="C336">
        <v>1437.78</v>
      </c>
      <c r="D336">
        <v>209.98</v>
      </c>
    </row>
    <row r="337" spans="1:4" x14ac:dyDescent="0.4">
      <c r="A337" t="s">
        <v>930</v>
      </c>
      <c r="B337">
        <v>6.9039200000000003</v>
      </c>
      <c r="C337">
        <v>1384.386</v>
      </c>
      <c r="D337">
        <v>213.15899999999999</v>
      </c>
    </row>
    <row r="338" spans="1:4" x14ac:dyDescent="0.4">
      <c r="A338" t="s">
        <v>931</v>
      </c>
      <c r="B338">
        <v>6.8672800000000001</v>
      </c>
      <c r="C338">
        <v>1382.4659999999999</v>
      </c>
      <c r="D338">
        <v>214.995</v>
      </c>
    </row>
    <row r="339" spans="1:4" x14ac:dyDescent="0.4">
      <c r="A339" t="s">
        <v>932</v>
      </c>
      <c r="B339">
        <v>6.7982100000000001</v>
      </c>
      <c r="C339">
        <v>1321.7049999999999</v>
      </c>
      <c r="D339">
        <v>217.845</v>
      </c>
    </row>
    <row r="340" spans="1:4" x14ac:dyDescent="0.4">
      <c r="A340" t="s">
        <v>933</v>
      </c>
      <c r="B340">
        <v>6.8374600000000001</v>
      </c>
      <c r="C340">
        <v>1367.3109999999999</v>
      </c>
      <c r="D340">
        <v>215.83500000000001</v>
      </c>
    </row>
    <row r="341" spans="1:4" x14ac:dyDescent="0.4">
      <c r="A341" t="s">
        <v>934</v>
      </c>
      <c r="B341">
        <v>6.8330799999999998</v>
      </c>
      <c r="C341">
        <v>1353.8810000000001</v>
      </c>
      <c r="D341">
        <v>219.13200000000001</v>
      </c>
    </row>
    <row r="342" spans="1:4" x14ac:dyDescent="0.4">
      <c r="A342" t="s">
        <v>935</v>
      </c>
      <c r="B342">
        <v>6.8388299999999997</v>
      </c>
      <c r="C342">
        <v>1338.473</v>
      </c>
      <c r="D342">
        <v>218.072</v>
      </c>
    </row>
    <row r="343" spans="1:4" x14ac:dyDescent="0.4">
      <c r="A343" t="s">
        <v>936</v>
      </c>
      <c r="B343">
        <v>6.8345500000000001</v>
      </c>
      <c r="C343">
        <v>1343.6869999999999</v>
      </c>
      <c r="D343">
        <v>215.39400000000001</v>
      </c>
    </row>
    <row r="344" spans="1:4" x14ac:dyDescent="0.4">
      <c r="A344" t="s">
        <v>937</v>
      </c>
      <c r="B344">
        <v>6.8328699999999998</v>
      </c>
      <c r="C344">
        <v>1345.6130000000001</v>
      </c>
      <c r="D344">
        <v>216.154</v>
      </c>
    </row>
    <row r="345" spans="1:4" x14ac:dyDescent="0.4">
      <c r="A345" t="s">
        <v>938</v>
      </c>
      <c r="B345">
        <v>6.8177300000000001</v>
      </c>
      <c r="C345">
        <v>1330.4369999999999</v>
      </c>
      <c r="D345">
        <v>218.58099999999999</v>
      </c>
    </row>
    <row r="346" spans="1:4" x14ac:dyDescent="0.4">
      <c r="A346" t="s">
        <v>939</v>
      </c>
      <c r="B346">
        <v>12.51168</v>
      </c>
      <c r="C346">
        <v>3977.5309999999999</v>
      </c>
      <c r="D346">
        <v>244.53200000000001</v>
      </c>
    </row>
    <row r="347" spans="1:4" x14ac:dyDescent="0.4">
      <c r="A347" t="s">
        <v>940</v>
      </c>
      <c r="B347">
        <v>6.9093999999999998</v>
      </c>
      <c r="C347">
        <v>1349.82</v>
      </c>
      <c r="D347">
        <v>209.38499999999999</v>
      </c>
    </row>
    <row r="348" spans="1:4" x14ac:dyDescent="0.4">
      <c r="A348" t="s">
        <v>941</v>
      </c>
      <c r="B348">
        <v>6.9173499999999999</v>
      </c>
      <c r="C348">
        <v>1337.4680000000001</v>
      </c>
      <c r="D348">
        <v>213.69300000000001</v>
      </c>
    </row>
    <row r="349" spans="1:4" x14ac:dyDescent="0.4">
      <c r="A349" t="s">
        <v>942</v>
      </c>
      <c r="B349">
        <v>6.8994400000000002</v>
      </c>
      <c r="C349">
        <v>1331.53</v>
      </c>
      <c r="D349">
        <v>212.41399999999999</v>
      </c>
    </row>
    <row r="350" spans="1:4" x14ac:dyDescent="0.4">
      <c r="A350" t="s">
        <v>943</v>
      </c>
      <c r="B350">
        <v>6.9006499999999997</v>
      </c>
      <c r="C350">
        <v>1327.6610000000001</v>
      </c>
      <c r="D350">
        <v>212.56800000000001</v>
      </c>
    </row>
    <row r="351" spans="1:4" x14ac:dyDescent="0.4">
      <c r="A351" t="s">
        <v>944</v>
      </c>
      <c r="B351">
        <v>6.8909799999999999</v>
      </c>
      <c r="C351">
        <v>1327.884</v>
      </c>
      <c r="D351">
        <v>212.595</v>
      </c>
    </row>
    <row r="352" spans="1:4" x14ac:dyDescent="0.4">
      <c r="A352" t="s">
        <v>945</v>
      </c>
      <c r="B352">
        <v>6.8371500000000003</v>
      </c>
      <c r="C352">
        <v>1273.5940000000001</v>
      </c>
      <c r="D352">
        <v>215.072</v>
      </c>
    </row>
    <row r="353" spans="1:4" x14ac:dyDescent="0.4">
      <c r="A353" t="s">
        <v>946</v>
      </c>
      <c r="B353">
        <v>6.8700400000000004</v>
      </c>
      <c r="C353">
        <v>1315.5029999999999</v>
      </c>
      <c r="D353">
        <v>214.15700000000001</v>
      </c>
    </row>
    <row r="354" spans="1:4" x14ac:dyDescent="0.4">
      <c r="A354" t="s">
        <v>947</v>
      </c>
      <c r="B354">
        <v>6.8530499999999996</v>
      </c>
      <c r="C354">
        <v>1287.876</v>
      </c>
      <c r="D354">
        <v>214.79</v>
      </c>
    </row>
    <row r="355" spans="1:4" x14ac:dyDescent="0.4">
      <c r="A355" t="s">
        <v>948</v>
      </c>
      <c r="B355">
        <v>6.8598400000000002</v>
      </c>
      <c r="C355">
        <v>1287.2739999999999</v>
      </c>
      <c r="D355">
        <v>214.41200000000001</v>
      </c>
    </row>
    <row r="356" spans="1:4" x14ac:dyDescent="0.4">
      <c r="A356" t="s">
        <v>949</v>
      </c>
      <c r="B356">
        <v>6.85121</v>
      </c>
      <c r="C356">
        <v>1307.8820000000001</v>
      </c>
      <c r="D356">
        <v>217.43899999999999</v>
      </c>
    </row>
    <row r="357" spans="1:4" x14ac:dyDescent="0.4">
      <c r="A357" t="s">
        <v>950</v>
      </c>
      <c r="B357">
        <v>6.8798599999999999</v>
      </c>
      <c r="C357">
        <v>1330.0350000000001</v>
      </c>
      <c r="D357">
        <v>214.863</v>
      </c>
    </row>
    <row r="358" spans="1:4" x14ac:dyDescent="0.4">
      <c r="A358" t="s">
        <v>951</v>
      </c>
      <c r="B358">
        <v>6.8635799999999998</v>
      </c>
      <c r="C358">
        <v>1318.12</v>
      </c>
      <c r="D358">
        <v>215.30600000000001</v>
      </c>
    </row>
    <row r="359" spans="1:4" x14ac:dyDescent="0.4">
      <c r="A359" t="s">
        <v>952</v>
      </c>
      <c r="B359">
        <v>6.8673099999999998</v>
      </c>
      <c r="C359">
        <v>1347.2090000000001</v>
      </c>
      <c r="D359">
        <v>219.684</v>
      </c>
    </row>
    <row r="360" spans="1:4" x14ac:dyDescent="0.4">
      <c r="A360" t="s">
        <v>953</v>
      </c>
      <c r="B360">
        <v>6.8254599999999996</v>
      </c>
      <c r="C360">
        <v>1294.875</v>
      </c>
      <c r="D360">
        <v>218.42</v>
      </c>
    </row>
    <row r="361" spans="1:4" x14ac:dyDescent="0.4">
      <c r="A361" t="s">
        <v>954</v>
      </c>
      <c r="B361">
        <v>6.81189</v>
      </c>
      <c r="C361">
        <v>1257.8399999999999</v>
      </c>
      <c r="D361">
        <v>220.73500000000001</v>
      </c>
    </row>
    <row r="362" spans="1:4" x14ac:dyDescent="0.4">
      <c r="A362" t="s">
        <v>955</v>
      </c>
      <c r="B362">
        <v>6.8435300000000003</v>
      </c>
      <c r="C362">
        <v>1328.046</v>
      </c>
      <c r="D362">
        <v>220.375</v>
      </c>
    </row>
    <row r="363" spans="1:4" x14ac:dyDescent="0.4">
      <c r="A363" t="s">
        <v>956</v>
      </c>
      <c r="B363">
        <v>6.8539599999999998</v>
      </c>
      <c r="C363">
        <v>1315.0840000000001</v>
      </c>
      <c r="D363">
        <v>217.52600000000001</v>
      </c>
    </row>
    <row r="364" spans="1:4" x14ac:dyDescent="0.4">
      <c r="A364" t="s">
        <v>957</v>
      </c>
      <c r="B364">
        <v>6.8766499999999997</v>
      </c>
      <c r="C364">
        <v>1329.93</v>
      </c>
      <c r="D364">
        <v>226.36</v>
      </c>
    </row>
    <row r="365" spans="1:4" x14ac:dyDescent="0.4">
      <c r="A365" t="s">
        <v>958</v>
      </c>
      <c r="B365">
        <v>6.9824999999999999</v>
      </c>
      <c r="C365">
        <v>1431.5</v>
      </c>
      <c r="D365">
        <v>207.01</v>
      </c>
    </row>
    <row r="366" spans="1:4" x14ac:dyDescent="0.4">
      <c r="A366" t="s">
        <v>959</v>
      </c>
      <c r="B366">
        <v>6.7915299999999998</v>
      </c>
      <c r="C366">
        <v>1348.53</v>
      </c>
      <c r="D366">
        <v>223.79</v>
      </c>
    </row>
    <row r="367" spans="1:4" x14ac:dyDescent="0.4">
      <c r="A367" t="s">
        <v>960</v>
      </c>
      <c r="B367">
        <v>6.9329400000000003</v>
      </c>
      <c r="C367">
        <v>1348.5329999999999</v>
      </c>
      <c r="D367">
        <v>223.79</v>
      </c>
    </row>
    <row r="368" spans="1:4" x14ac:dyDescent="0.4">
      <c r="A368" t="s">
        <v>961</v>
      </c>
      <c r="B368">
        <v>6.8369999999999997</v>
      </c>
      <c r="C368">
        <v>1310.6199999999999</v>
      </c>
      <c r="D368">
        <v>136.06</v>
      </c>
    </row>
    <row r="369" spans="1:4" x14ac:dyDescent="0.4">
      <c r="A369" t="s">
        <v>962</v>
      </c>
      <c r="B369">
        <v>6.54589</v>
      </c>
      <c r="C369">
        <v>1421.32</v>
      </c>
      <c r="D369">
        <v>205.81</v>
      </c>
    </row>
    <row r="370" spans="1:4" x14ac:dyDescent="0.4">
      <c r="A370" t="s">
        <v>963</v>
      </c>
      <c r="B370">
        <v>6.4269299999999996</v>
      </c>
      <c r="C370">
        <v>1421.32</v>
      </c>
      <c r="D370">
        <v>205.81</v>
      </c>
    </row>
    <row r="371" spans="1:4" x14ac:dyDescent="0.4">
      <c r="A371" t="s">
        <v>964</v>
      </c>
      <c r="B371">
        <v>6.4269299999999996</v>
      </c>
      <c r="C371">
        <v>1421.32</v>
      </c>
      <c r="D371">
        <v>205.81</v>
      </c>
    </row>
    <row r="372" spans="1:4" x14ac:dyDescent="0.4">
      <c r="A372" t="s">
        <v>965</v>
      </c>
      <c r="B372">
        <v>6.4269299999999996</v>
      </c>
      <c r="C372">
        <v>1421.32</v>
      </c>
      <c r="D372">
        <v>205.81</v>
      </c>
    </row>
    <row r="373" spans="1:4" x14ac:dyDescent="0.4">
      <c r="A373" t="s">
        <v>966</v>
      </c>
      <c r="B373">
        <v>6.9690899999999996</v>
      </c>
      <c r="C373">
        <v>1593</v>
      </c>
      <c r="D373">
        <v>190.61</v>
      </c>
    </row>
    <row r="374" spans="1:4" x14ac:dyDescent="0.4">
      <c r="A374" t="s">
        <v>967</v>
      </c>
      <c r="B374">
        <v>6.9638</v>
      </c>
      <c r="C374">
        <v>1684.1</v>
      </c>
      <c r="D374">
        <v>181.3</v>
      </c>
    </row>
    <row r="375" spans="1:4" x14ac:dyDescent="0.4">
      <c r="A375" t="s">
        <v>968</v>
      </c>
      <c r="B375">
        <v>7.0923999999999996</v>
      </c>
      <c r="C375">
        <v>1582.7</v>
      </c>
      <c r="D375">
        <v>206.01</v>
      </c>
    </row>
    <row r="376" spans="1:4" x14ac:dyDescent="0.4">
      <c r="A376" t="s">
        <v>969</v>
      </c>
      <c r="B376">
        <v>7.4496099999999998</v>
      </c>
      <c r="C376">
        <v>1909.0830000000001</v>
      </c>
      <c r="D376">
        <v>238.874</v>
      </c>
    </row>
    <row r="377" spans="1:4" x14ac:dyDescent="0.4">
      <c r="A377" t="s">
        <v>970</v>
      </c>
      <c r="B377">
        <v>7.5499299999999998</v>
      </c>
      <c r="C377">
        <v>1909.08</v>
      </c>
      <c r="D377">
        <v>238.87</v>
      </c>
    </row>
    <row r="378" spans="1:4" x14ac:dyDescent="0.4">
      <c r="A378" t="s">
        <v>971</v>
      </c>
      <c r="B378">
        <v>6.8792799999999996</v>
      </c>
      <c r="C378">
        <v>1471.44</v>
      </c>
      <c r="D378">
        <v>200</v>
      </c>
    </row>
    <row r="379" spans="1:4" x14ac:dyDescent="0.4">
      <c r="A379" t="s">
        <v>972</v>
      </c>
      <c r="B379">
        <v>6.8846100000000003</v>
      </c>
      <c r="C379">
        <v>1485.41</v>
      </c>
      <c r="D379">
        <v>200</v>
      </c>
    </row>
    <row r="380" spans="1:4" x14ac:dyDescent="0.4">
      <c r="A380" t="s">
        <v>973</v>
      </c>
      <c r="B380">
        <v>7.0111999999999997</v>
      </c>
      <c r="C380">
        <v>1535.1</v>
      </c>
      <c r="D380">
        <v>200.7</v>
      </c>
    </row>
    <row r="381" spans="1:4" x14ac:dyDescent="0.4">
      <c r="A381" t="s">
        <v>974</v>
      </c>
      <c r="B381">
        <v>6.9514199999999997</v>
      </c>
      <c r="C381">
        <v>1491.297</v>
      </c>
      <c r="D381">
        <v>207.14</v>
      </c>
    </row>
    <row r="382" spans="1:4" x14ac:dyDescent="0.4">
      <c r="A382" t="s">
        <v>975</v>
      </c>
      <c r="B382">
        <v>6.9366599999999998</v>
      </c>
      <c r="C382">
        <v>1460.7929999999999</v>
      </c>
      <c r="D382">
        <v>207.77699999999999</v>
      </c>
    </row>
    <row r="383" spans="1:4" x14ac:dyDescent="0.4">
      <c r="A383" t="s">
        <v>976</v>
      </c>
      <c r="B383">
        <v>7.0158199999999997</v>
      </c>
      <c r="C383">
        <v>1529.184</v>
      </c>
      <c r="D383">
        <v>208.50899999999999</v>
      </c>
    </row>
    <row r="384" spans="1:4" x14ac:dyDescent="0.4">
      <c r="A384" t="s">
        <v>977</v>
      </c>
      <c r="B384">
        <v>7.0031400000000001</v>
      </c>
      <c r="C384">
        <v>1535.374</v>
      </c>
      <c r="D384">
        <v>207.3</v>
      </c>
    </row>
    <row r="385" spans="1:4" x14ac:dyDescent="0.4">
      <c r="A385" t="s">
        <v>978</v>
      </c>
      <c r="B385">
        <v>6.9980200000000004</v>
      </c>
      <c r="C385">
        <v>1527.1130000000001</v>
      </c>
      <c r="D385">
        <v>208.92099999999999</v>
      </c>
    </row>
    <row r="386" spans="1:4" x14ac:dyDescent="0.4">
      <c r="A386" t="s">
        <v>979</v>
      </c>
      <c r="B386">
        <v>7.0408200000000001</v>
      </c>
      <c r="C386">
        <v>1593.9580000000001</v>
      </c>
      <c r="D386">
        <v>207.078</v>
      </c>
    </row>
    <row r="387" spans="1:4" x14ac:dyDescent="0.4">
      <c r="A387" t="s">
        <v>980</v>
      </c>
      <c r="B387">
        <v>7.0438299999999998</v>
      </c>
      <c r="C387">
        <v>1573.2670000000001</v>
      </c>
      <c r="D387">
        <v>208.56399999999999</v>
      </c>
    </row>
    <row r="388" spans="1:4" x14ac:dyDescent="0.4">
      <c r="A388" t="s">
        <v>981</v>
      </c>
      <c r="B388">
        <v>7.0743600000000004</v>
      </c>
      <c r="C388">
        <v>1569.6220000000001</v>
      </c>
      <c r="D388">
        <v>209.578</v>
      </c>
    </row>
    <row r="389" spans="1:4" x14ac:dyDescent="0.4">
      <c r="A389" t="s">
        <v>982</v>
      </c>
      <c r="B389">
        <v>6.7740999999999998</v>
      </c>
      <c r="C389">
        <v>1404.7</v>
      </c>
      <c r="D389">
        <v>210</v>
      </c>
    </row>
    <row r="390" spans="1:4" x14ac:dyDescent="0.4">
      <c r="A390" t="s">
        <v>983</v>
      </c>
      <c r="B390">
        <v>6.9538700000000002</v>
      </c>
      <c r="C390">
        <v>1435.3589999999999</v>
      </c>
      <c r="D390">
        <v>205.535</v>
      </c>
    </row>
    <row r="391" spans="1:4" x14ac:dyDescent="0.4">
      <c r="A391" t="s">
        <v>984</v>
      </c>
      <c r="B391">
        <v>6.8993500000000001</v>
      </c>
      <c r="C391">
        <v>1457.08</v>
      </c>
      <c r="D391">
        <v>205.99</v>
      </c>
    </row>
    <row r="392" spans="1:4" x14ac:dyDescent="0.4">
      <c r="A392" t="s">
        <v>985</v>
      </c>
      <c r="B392">
        <v>6.8864599999999996</v>
      </c>
      <c r="C392">
        <v>1460.8</v>
      </c>
      <c r="D392">
        <v>207.93899999999999</v>
      </c>
    </row>
    <row r="393" spans="1:4" x14ac:dyDescent="0.4">
      <c r="A393" t="s">
        <v>986</v>
      </c>
      <c r="B393">
        <v>7.0974300000000001</v>
      </c>
      <c r="C393">
        <v>1460.8</v>
      </c>
      <c r="D393">
        <v>207.93</v>
      </c>
    </row>
    <row r="394" spans="1:4" x14ac:dyDescent="0.4">
      <c r="A394" t="s">
        <v>987</v>
      </c>
      <c r="B394">
        <v>7.0727399999999996</v>
      </c>
      <c r="C394">
        <v>1460.8</v>
      </c>
      <c r="D394">
        <v>207.93</v>
      </c>
    </row>
    <row r="395" spans="1:4" x14ac:dyDescent="0.4">
      <c r="A395" t="s">
        <v>988</v>
      </c>
      <c r="B395">
        <v>7.8150500000000003</v>
      </c>
      <c r="C395">
        <v>2036.854</v>
      </c>
      <c r="D395">
        <v>227.48599999999999</v>
      </c>
    </row>
    <row r="396" spans="1:4" x14ac:dyDescent="0.4">
      <c r="A396" t="s">
        <v>989</v>
      </c>
      <c r="B396">
        <v>6.9344000000000001</v>
      </c>
      <c r="C396">
        <v>1429.46</v>
      </c>
      <c r="D396">
        <v>201.82</v>
      </c>
    </row>
    <row r="397" spans="1:4" x14ac:dyDescent="0.4">
      <c r="A397" t="s">
        <v>990</v>
      </c>
      <c r="B397">
        <v>6.9119099999999998</v>
      </c>
      <c r="C397">
        <v>1398.42</v>
      </c>
      <c r="D397">
        <v>203.65</v>
      </c>
    </row>
    <row r="398" spans="1:4" x14ac:dyDescent="0.4">
      <c r="A398" t="s">
        <v>991</v>
      </c>
      <c r="B398">
        <v>6.9092000000000002</v>
      </c>
      <c r="C398">
        <v>1405.8</v>
      </c>
      <c r="D398">
        <v>204.76</v>
      </c>
    </row>
    <row r="399" spans="1:4" x14ac:dyDescent="0.4">
      <c r="A399" t="s">
        <v>992</v>
      </c>
      <c r="B399">
        <v>6.9031799999999999</v>
      </c>
      <c r="C399">
        <v>1399.12</v>
      </c>
      <c r="D399">
        <v>205.41</v>
      </c>
    </row>
    <row r="400" spans="1:4" x14ac:dyDescent="0.4">
      <c r="A400" t="s">
        <v>993</v>
      </c>
      <c r="B400">
        <v>6.90489</v>
      </c>
      <c r="C400">
        <v>1406.5</v>
      </c>
      <c r="D400">
        <v>206.5</v>
      </c>
    </row>
    <row r="401" spans="1:4" x14ac:dyDescent="0.4">
      <c r="A401" t="s">
        <v>994</v>
      </c>
      <c r="B401">
        <v>6.8989799999999999</v>
      </c>
      <c r="C401">
        <v>1399.8</v>
      </c>
      <c r="D401">
        <v>207.2</v>
      </c>
    </row>
    <row r="402" spans="1:4" x14ac:dyDescent="0.4">
      <c r="A402" t="s">
        <v>995</v>
      </c>
      <c r="B402">
        <v>6.8817399999999997</v>
      </c>
      <c r="C402">
        <v>1363.91</v>
      </c>
      <c r="D402">
        <v>208.21</v>
      </c>
    </row>
    <row r="403" spans="1:4" x14ac:dyDescent="0.4">
      <c r="A403" t="s">
        <v>996</v>
      </c>
      <c r="B403">
        <v>6.8763500000000004</v>
      </c>
      <c r="C403">
        <v>1389.5</v>
      </c>
      <c r="D403">
        <v>207.3</v>
      </c>
    </row>
    <row r="404" spans="1:4" x14ac:dyDescent="0.4">
      <c r="A404" t="s">
        <v>997</v>
      </c>
      <c r="B404">
        <v>6.90252</v>
      </c>
      <c r="C404">
        <v>1368.72</v>
      </c>
      <c r="D404">
        <v>207.44</v>
      </c>
    </row>
    <row r="405" spans="1:4" x14ac:dyDescent="0.4">
      <c r="A405" t="s">
        <v>998</v>
      </c>
      <c r="B405">
        <v>6.8931699999999996</v>
      </c>
      <c r="C405">
        <v>1375.4</v>
      </c>
      <c r="D405">
        <v>206.8</v>
      </c>
    </row>
    <row r="406" spans="1:4" x14ac:dyDescent="0.4">
      <c r="A406" t="s">
        <v>999</v>
      </c>
      <c r="B406">
        <v>6.8938499999999996</v>
      </c>
      <c r="C406">
        <v>1368</v>
      </c>
      <c r="D406">
        <v>205.68</v>
      </c>
    </row>
    <row r="407" spans="1:4" x14ac:dyDescent="0.4">
      <c r="A407" t="s">
        <v>1000</v>
      </c>
      <c r="B407">
        <v>6.8755300000000004</v>
      </c>
      <c r="C407">
        <v>1385.36</v>
      </c>
      <c r="D407">
        <v>209.79</v>
      </c>
    </row>
    <row r="408" spans="1:4" x14ac:dyDescent="0.4">
      <c r="A408" t="s">
        <v>1001</v>
      </c>
      <c r="B408">
        <v>6.8835899999999999</v>
      </c>
      <c r="C408">
        <v>1396.9</v>
      </c>
      <c r="D408">
        <v>208.4</v>
      </c>
    </row>
    <row r="409" spans="1:4" x14ac:dyDescent="0.4">
      <c r="A409" t="s">
        <v>1002</v>
      </c>
      <c r="B409">
        <v>6.9016400000000004</v>
      </c>
      <c r="C409">
        <v>1382.8</v>
      </c>
      <c r="D409">
        <v>207.9</v>
      </c>
    </row>
    <row r="410" spans="1:4" x14ac:dyDescent="0.4">
      <c r="A410" t="s">
        <v>1003</v>
      </c>
      <c r="B410">
        <v>6.8696799999999998</v>
      </c>
      <c r="C410">
        <v>1378.7</v>
      </c>
      <c r="D410">
        <v>210.4</v>
      </c>
    </row>
    <row r="411" spans="1:4" x14ac:dyDescent="0.4">
      <c r="A411" t="s">
        <v>1004</v>
      </c>
      <c r="B411">
        <v>6.8868999999999998</v>
      </c>
      <c r="C411">
        <v>1390.2</v>
      </c>
      <c r="D411">
        <v>209</v>
      </c>
    </row>
    <row r="412" spans="1:4" x14ac:dyDescent="0.4">
      <c r="A412" t="s">
        <v>1005</v>
      </c>
      <c r="B412">
        <v>6.9002999999999997</v>
      </c>
      <c r="C412">
        <v>1376.1</v>
      </c>
      <c r="D412">
        <v>208.6</v>
      </c>
    </row>
    <row r="413" spans="1:4" x14ac:dyDescent="0.4">
      <c r="A413" t="s">
        <v>1006</v>
      </c>
      <c r="B413">
        <v>6.8778699999999997</v>
      </c>
      <c r="C413">
        <v>1406.8</v>
      </c>
      <c r="D413">
        <v>211.4</v>
      </c>
    </row>
    <row r="414" spans="1:4" x14ac:dyDescent="0.4">
      <c r="A414" t="s">
        <v>1007</v>
      </c>
      <c r="B414">
        <v>6.8943000000000003</v>
      </c>
      <c r="C414">
        <v>1404.3</v>
      </c>
      <c r="D414">
        <v>209.5</v>
      </c>
    </row>
    <row r="415" spans="1:4" x14ac:dyDescent="0.4">
      <c r="A415" t="s">
        <v>1008</v>
      </c>
      <c r="B415">
        <v>6.8657399999999997</v>
      </c>
      <c r="C415">
        <v>1375.72</v>
      </c>
      <c r="D415">
        <v>211.63</v>
      </c>
    </row>
    <row r="416" spans="1:4" x14ac:dyDescent="0.4">
      <c r="A416" t="s">
        <v>1009</v>
      </c>
      <c r="B416">
        <v>6.8492199999999999</v>
      </c>
      <c r="C416">
        <v>1340.9</v>
      </c>
      <c r="D416">
        <v>211.35</v>
      </c>
    </row>
    <row r="417" spans="1:4" x14ac:dyDescent="0.4">
      <c r="A417" t="s">
        <v>1010</v>
      </c>
      <c r="B417">
        <v>6.8353099999999998</v>
      </c>
      <c r="C417">
        <v>1324.049</v>
      </c>
      <c r="D417">
        <v>210.73699999999999</v>
      </c>
    </row>
    <row r="418" spans="1:4" x14ac:dyDescent="0.4">
      <c r="A418" t="s">
        <v>1011</v>
      </c>
      <c r="B418">
        <v>6.8541699999999999</v>
      </c>
      <c r="C418">
        <v>1389.79</v>
      </c>
      <c r="D418">
        <v>212.1</v>
      </c>
    </row>
    <row r="419" spans="1:4" x14ac:dyDescent="0.4">
      <c r="A419" t="s">
        <v>1012</v>
      </c>
      <c r="B419">
        <v>6.8527399999999998</v>
      </c>
      <c r="C419">
        <v>1387.22</v>
      </c>
      <c r="D419">
        <v>210.22</v>
      </c>
    </row>
    <row r="420" spans="1:4" x14ac:dyDescent="0.4">
      <c r="A420" t="s">
        <v>1013</v>
      </c>
      <c r="B420">
        <v>6.8707799999999999</v>
      </c>
      <c r="C420">
        <v>1359.09</v>
      </c>
      <c r="D420">
        <v>209.29</v>
      </c>
    </row>
    <row r="421" spans="1:4" x14ac:dyDescent="0.4">
      <c r="A421" t="s">
        <v>1014</v>
      </c>
      <c r="B421">
        <v>6.8516300000000001</v>
      </c>
      <c r="C421">
        <v>1368.723</v>
      </c>
      <c r="D421">
        <v>214.047</v>
      </c>
    </row>
    <row r="422" spans="1:4" x14ac:dyDescent="0.4">
      <c r="A422" t="s">
        <v>1015</v>
      </c>
      <c r="B422">
        <v>6.8576100000000002</v>
      </c>
      <c r="C422">
        <v>1403.88</v>
      </c>
      <c r="D422">
        <v>212.56</v>
      </c>
    </row>
    <row r="423" spans="1:4" x14ac:dyDescent="0.4">
      <c r="A423" t="s">
        <v>1016</v>
      </c>
      <c r="B423">
        <v>6.89262</v>
      </c>
      <c r="C423">
        <v>1451.2449999999999</v>
      </c>
      <c r="D423">
        <v>215.57499999999999</v>
      </c>
    </row>
    <row r="424" spans="1:4" x14ac:dyDescent="0.4">
      <c r="A424" t="s">
        <v>1017</v>
      </c>
      <c r="B424">
        <v>6.8716600000000003</v>
      </c>
      <c r="C424">
        <v>1383.13</v>
      </c>
      <c r="D424">
        <v>212.75</v>
      </c>
    </row>
    <row r="425" spans="1:4" x14ac:dyDescent="0.4">
      <c r="A425" t="s">
        <v>1018</v>
      </c>
      <c r="B425">
        <v>6.8446300000000004</v>
      </c>
      <c r="C425">
        <v>1418</v>
      </c>
      <c r="D425">
        <v>213</v>
      </c>
    </row>
    <row r="426" spans="1:4" x14ac:dyDescent="0.4">
      <c r="A426" t="s">
        <v>1019</v>
      </c>
      <c r="B426">
        <v>6.8529299999999997</v>
      </c>
      <c r="C426">
        <v>1380.54</v>
      </c>
      <c r="D426">
        <v>210.87</v>
      </c>
    </row>
    <row r="427" spans="1:4" x14ac:dyDescent="0.4">
      <c r="A427" t="s">
        <v>1020</v>
      </c>
      <c r="B427">
        <v>6.8287599999999999</v>
      </c>
      <c r="C427">
        <v>1397.4829999999999</v>
      </c>
      <c r="D427">
        <v>213.703</v>
      </c>
    </row>
    <row r="428" spans="1:4" x14ac:dyDescent="0.4">
      <c r="A428" t="s">
        <v>1021</v>
      </c>
      <c r="B428">
        <v>6.8317300000000003</v>
      </c>
      <c r="C428">
        <v>1374.0419999999999</v>
      </c>
      <c r="D428">
        <v>214.762</v>
      </c>
    </row>
    <row r="429" spans="1:4" x14ac:dyDescent="0.4">
      <c r="A429" t="s">
        <v>1022</v>
      </c>
      <c r="B429">
        <v>6.7971000000000004</v>
      </c>
      <c r="C429">
        <v>1325.183</v>
      </c>
      <c r="D429">
        <v>216.09299999999999</v>
      </c>
    </row>
    <row r="430" spans="1:4" x14ac:dyDescent="0.4">
      <c r="A430" t="s">
        <v>1023</v>
      </c>
      <c r="B430">
        <v>6.85961</v>
      </c>
      <c r="C430">
        <v>1417.473</v>
      </c>
      <c r="D430">
        <v>214.70500000000001</v>
      </c>
    </row>
    <row r="431" spans="1:4" x14ac:dyDescent="0.4">
      <c r="A431" t="s">
        <v>1024</v>
      </c>
      <c r="B431">
        <v>6.6757</v>
      </c>
      <c r="C431">
        <v>1276.6300000000001</v>
      </c>
      <c r="D431">
        <v>123.06</v>
      </c>
    </row>
    <row r="432" spans="1:4" x14ac:dyDescent="0.4">
      <c r="A432" t="s">
        <v>1025</v>
      </c>
      <c r="B432">
        <v>6.2344799999999996</v>
      </c>
      <c r="C432">
        <v>1421.32</v>
      </c>
      <c r="D432">
        <v>205.81</v>
      </c>
    </row>
    <row r="433" spans="1:4" x14ac:dyDescent="0.4">
      <c r="A433" t="s">
        <v>1026</v>
      </c>
      <c r="B433">
        <v>6.2344799999999996</v>
      </c>
      <c r="C433">
        <v>1421.32</v>
      </c>
      <c r="D433">
        <v>205.81</v>
      </c>
    </row>
    <row r="434" spans="1:4" x14ac:dyDescent="0.4">
      <c r="A434" t="s">
        <v>1027</v>
      </c>
      <c r="B434">
        <v>6.2344799999999996</v>
      </c>
      <c r="C434">
        <v>1421.32</v>
      </c>
      <c r="D434">
        <v>205.81</v>
      </c>
    </row>
    <row r="435" spans="1:4" x14ac:dyDescent="0.4">
      <c r="A435" t="s">
        <v>1028</v>
      </c>
      <c r="B435">
        <v>6.2344799999999996</v>
      </c>
      <c r="C435">
        <v>1421.32</v>
      </c>
      <c r="D435">
        <v>205.81</v>
      </c>
    </row>
    <row r="436" spans="1:4" x14ac:dyDescent="0.4">
      <c r="A436" t="s">
        <v>1029</v>
      </c>
      <c r="B436">
        <v>6.9839000000000002</v>
      </c>
      <c r="C436">
        <v>1655.6</v>
      </c>
      <c r="D436">
        <v>183.7</v>
      </c>
    </row>
    <row r="437" spans="1:4" x14ac:dyDescent="0.4">
      <c r="A437" t="s">
        <v>1030</v>
      </c>
      <c r="B437">
        <v>7.01065</v>
      </c>
      <c r="C437">
        <v>1733.71</v>
      </c>
      <c r="D437">
        <v>201.85900000000001</v>
      </c>
    </row>
    <row r="438" spans="1:4" x14ac:dyDescent="0.4">
      <c r="A438" t="s">
        <v>1031</v>
      </c>
      <c r="B438">
        <v>6.7868000000000004</v>
      </c>
      <c r="C438">
        <v>1733.71</v>
      </c>
      <c r="D438">
        <v>201.85</v>
      </c>
    </row>
    <row r="439" spans="1:4" x14ac:dyDescent="0.4">
      <c r="A439" t="s">
        <v>1032</v>
      </c>
      <c r="B439">
        <v>6.9831700000000003</v>
      </c>
      <c r="C439">
        <v>1577.9649999999999</v>
      </c>
      <c r="D439">
        <v>201.37799999999999</v>
      </c>
    </row>
    <row r="440" spans="1:4" x14ac:dyDescent="0.4">
      <c r="A440" t="s">
        <v>1033</v>
      </c>
      <c r="B440">
        <v>7.0035999999999996</v>
      </c>
      <c r="C440">
        <v>1575.31</v>
      </c>
      <c r="D440">
        <v>200.96</v>
      </c>
    </row>
    <row r="441" spans="1:4" x14ac:dyDescent="0.4">
      <c r="A441" t="s">
        <v>1034</v>
      </c>
      <c r="B441">
        <v>6.9878</v>
      </c>
      <c r="C441">
        <v>1576.94</v>
      </c>
      <c r="D441">
        <v>200.51</v>
      </c>
    </row>
    <row r="442" spans="1:4" x14ac:dyDescent="0.4">
      <c r="A442" t="s">
        <v>1035</v>
      </c>
      <c r="B442">
        <v>6.9981999999999998</v>
      </c>
      <c r="C442">
        <v>1588.31</v>
      </c>
      <c r="D442">
        <v>201.97</v>
      </c>
    </row>
    <row r="443" spans="1:4" x14ac:dyDescent="0.4">
      <c r="A443" t="s">
        <v>1036</v>
      </c>
      <c r="B443">
        <v>7.0594000000000001</v>
      </c>
      <c r="C443">
        <v>1690.54</v>
      </c>
      <c r="D443">
        <v>199.48</v>
      </c>
    </row>
    <row r="444" spans="1:4" x14ac:dyDescent="0.4">
      <c r="A444" t="s">
        <v>1037</v>
      </c>
      <c r="B444">
        <v>7.0778999999999996</v>
      </c>
      <c r="C444">
        <v>1675.43</v>
      </c>
      <c r="D444">
        <v>201.14</v>
      </c>
    </row>
    <row r="445" spans="1:4" x14ac:dyDescent="0.4">
      <c r="A445" t="s">
        <v>1038</v>
      </c>
      <c r="B445">
        <v>7.08</v>
      </c>
      <c r="C445">
        <v>1672.43</v>
      </c>
      <c r="D445">
        <v>201.43</v>
      </c>
    </row>
    <row r="446" spans="1:4" x14ac:dyDescent="0.4">
      <c r="A446" t="s">
        <v>1039</v>
      </c>
      <c r="B446">
        <v>7.1086999999999998</v>
      </c>
      <c r="C446">
        <v>1606.6</v>
      </c>
      <c r="D446">
        <v>206</v>
      </c>
    </row>
    <row r="447" spans="1:4" x14ac:dyDescent="0.4">
      <c r="A447" t="s">
        <v>1040</v>
      </c>
      <c r="B447">
        <v>6.8752899999999997</v>
      </c>
      <c r="C447">
        <v>1594.46</v>
      </c>
      <c r="D447">
        <v>203.392</v>
      </c>
    </row>
    <row r="448" spans="1:4" x14ac:dyDescent="0.4">
      <c r="A448" t="s">
        <v>1041</v>
      </c>
      <c r="B448">
        <v>6.8568100000000003</v>
      </c>
      <c r="C448">
        <v>1564.683</v>
      </c>
      <c r="D448">
        <v>206.25899999999999</v>
      </c>
    </row>
    <row r="449" spans="1:4" x14ac:dyDescent="0.4">
      <c r="A449" t="s">
        <v>1042</v>
      </c>
      <c r="B449">
        <v>6.9603400000000004</v>
      </c>
      <c r="C449">
        <v>1501.8720000000001</v>
      </c>
      <c r="D449">
        <v>197.578</v>
      </c>
    </row>
    <row r="450" spans="1:4" x14ac:dyDescent="0.4">
      <c r="A450" t="s">
        <v>1043</v>
      </c>
      <c r="B450">
        <v>6.9413999999999998</v>
      </c>
      <c r="C450">
        <v>1540.6</v>
      </c>
      <c r="D450">
        <v>198.8</v>
      </c>
    </row>
    <row r="451" spans="1:4" x14ac:dyDescent="0.4">
      <c r="A451" t="s">
        <v>1044</v>
      </c>
      <c r="B451">
        <v>6.9103000000000003</v>
      </c>
      <c r="C451">
        <v>1538.518</v>
      </c>
      <c r="D451">
        <v>200.833</v>
      </c>
    </row>
    <row r="452" spans="1:4" x14ac:dyDescent="0.4">
      <c r="A452" t="s">
        <v>1045</v>
      </c>
      <c r="B452">
        <v>8.2079400000000007</v>
      </c>
      <c r="C452">
        <v>2378.3159999999998</v>
      </c>
      <c r="D452">
        <v>237.905</v>
      </c>
    </row>
    <row r="453" spans="1:4" x14ac:dyDescent="0.4">
      <c r="A453" t="s">
        <v>1046</v>
      </c>
      <c r="B453">
        <v>6.9637500000000001</v>
      </c>
      <c r="C453">
        <v>1508.75</v>
      </c>
      <c r="D453">
        <v>195.374</v>
      </c>
    </row>
    <row r="454" spans="1:4" x14ac:dyDescent="0.4">
      <c r="A454" t="s">
        <v>1047</v>
      </c>
      <c r="B454">
        <v>6.9337200000000001</v>
      </c>
      <c r="C454">
        <v>1472.73</v>
      </c>
      <c r="D454">
        <v>196.38</v>
      </c>
    </row>
    <row r="455" spans="1:4" x14ac:dyDescent="0.4">
      <c r="A455" t="s">
        <v>1048</v>
      </c>
      <c r="B455">
        <v>6.9297500000000003</v>
      </c>
      <c r="C455">
        <v>1479.1</v>
      </c>
      <c r="D455">
        <v>197.5</v>
      </c>
    </row>
    <row r="456" spans="1:4" x14ac:dyDescent="0.4">
      <c r="A456" t="s">
        <v>1049</v>
      </c>
      <c r="B456">
        <v>6.9223400000000002</v>
      </c>
      <c r="C456">
        <v>1471</v>
      </c>
      <c r="D456">
        <v>198.3</v>
      </c>
    </row>
    <row r="457" spans="1:4" x14ac:dyDescent="0.4">
      <c r="A457" t="s">
        <v>1050</v>
      </c>
      <c r="B457">
        <v>6.9187799999999999</v>
      </c>
      <c r="C457">
        <v>1468.4</v>
      </c>
      <c r="D457">
        <v>198.5</v>
      </c>
    </row>
    <row r="458" spans="1:4" x14ac:dyDescent="0.4">
      <c r="A458" t="s">
        <v>1051</v>
      </c>
      <c r="B458">
        <v>6.91845</v>
      </c>
      <c r="C458">
        <v>1477.4</v>
      </c>
      <c r="D458">
        <v>199.4</v>
      </c>
    </row>
    <row r="459" spans="1:4" x14ac:dyDescent="0.4">
      <c r="A459" t="s">
        <v>1052</v>
      </c>
      <c r="B459">
        <v>6.9092200000000004</v>
      </c>
      <c r="C459">
        <v>1466.68</v>
      </c>
      <c r="D459">
        <v>200.44</v>
      </c>
    </row>
    <row r="460" spans="1:4" x14ac:dyDescent="0.4">
      <c r="A460" t="s">
        <v>1053</v>
      </c>
      <c r="B460">
        <v>6.9061700000000004</v>
      </c>
      <c r="C460">
        <v>1439.6</v>
      </c>
      <c r="D460">
        <v>200.7</v>
      </c>
    </row>
    <row r="461" spans="1:4" x14ac:dyDescent="0.4">
      <c r="A461" t="s">
        <v>1054</v>
      </c>
      <c r="B461">
        <v>6.8944900000000002</v>
      </c>
      <c r="C461">
        <v>1462.22</v>
      </c>
      <c r="D461">
        <v>200</v>
      </c>
    </row>
    <row r="462" spans="1:4" x14ac:dyDescent="0.4">
      <c r="A462" t="s">
        <v>1055</v>
      </c>
      <c r="B462">
        <v>6.9214599999999997</v>
      </c>
      <c r="C462">
        <v>1439.8</v>
      </c>
      <c r="D462">
        <v>200.4</v>
      </c>
    </row>
    <row r="463" spans="1:4" x14ac:dyDescent="0.4">
      <c r="A463" t="s">
        <v>1056</v>
      </c>
      <c r="B463">
        <v>6.9026300000000003</v>
      </c>
      <c r="C463">
        <v>1442.5</v>
      </c>
      <c r="D463">
        <v>200.2</v>
      </c>
    </row>
    <row r="464" spans="1:4" x14ac:dyDescent="0.4">
      <c r="A464" t="s">
        <v>1057</v>
      </c>
      <c r="B464">
        <v>6.9333099999999996</v>
      </c>
      <c r="C464">
        <v>1450.53</v>
      </c>
      <c r="D464">
        <v>199.4</v>
      </c>
    </row>
    <row r="465" spans="1:4" x14ac:dyDescent="0.4">
      <c r="A465" t="s">
        <v>1058</v>
      </c>
      <c r="B465">
        <v>6.9132600000000002</v>
      </c>
      <c r="C465">
        <v>1444.19</v>
      </c>
      <c r="D465">
        <v>198.27</v>
      </c>
    </row>
    <row r="466" spans="1:4" x14ac:dyDescent="0.4">
      <c r="A466" t="s">
        <v>1059</v>
      </c>
      <c r="B466">
        <v>6.8889500000000004</v>
      </c>
      <c r="C466">
        <v>1457.6</v>
      </c>
      <c r="D466">
        <v>202.5</v>
      </c>
    </row>
    <row r="467" spans="1:4" x14ac:dyDescent="0.4">
      <c r="A467" t="s">
        <v>1060</v>
      </c>
      <c r="B467">
        <v>6.8992599999999999</v>
      </c>
      <c r="C467">
        <v>1465.9</v>
      </c>
      <c r="D467">
        <v>201.4</v>
      </c>
    </row>
    <row r="468" spans="1:4" x14ac:dyDescent="0.4">
      <c r="A468" t="s">
        <v>1061</v>
      </c>
      <c r="B468">
        <v>6.8975799999999996</v>
      </c>
      <c r="C468">
        <v>1448.8</v>
      </c>
      <c r="D468">
        <v>201.3</v>
      </c>
    </row>
    <row r="469" spans="1:4" x14ac:dyDescent="0.4">
      <c r="A469" t="s">
        <v>1062</v>
      </c>
      <c r="B469">
        <v>6.9128400000000001</v>
      </c>
      <c r="C469">
        <v>1456.9</v>
      </c>
      <c r="D469">
        <v>200.5</v>
      </c>
    </row>
    <row r="470" spans="1:4" x14ac:dyDescent="0.4">
      <c r="A470" t="s">
        <v>1063</v>
      </c>
      <c r="B470">
        <v>6.8889100000000001</v>
      </c>
      <c r="C470">
        <v>1446.9</v>
      </c>
      <c r="D470">
        <v>203.5</v>
      </c>
    </row>
    <row r="471" spans="1:4" x14ac:dyDescent="0.4">
      <c r="A471" t="s">
        <v>1064</v>
      </c>
      <c r="B471">
        <v>6.8928799999999999</v>
      </c>
      <c r="C471">
        <v>1460.52</v>
      </c>
      <c r="D471">
        <v>201.9</v>
      </c>
    </row>
    <row r="472" spans="1:4" x14ac:dyDescent="0.4">
      <c r="A472" t="s">
        <v>1065</v>
      </c>
      <c r="B472">
        <v>6.9470999999999998</v>
      </c>
      <c r="C472">
        <v>1458.7</v>
      </c>
      <c r="D472">
        <v>201.2</v>
      </c>
    </row>
    <row r="473" spans="1:4" x14ac:dyDescent="0.4">
      <c r="A473" t="s">
        <v>1066</v>
      </c>
      <c r="B473">
        <v>6.8875700000000002</v>
      </c>
      <c r="C473">
        <v>1449.8</v>
      </c>
      <c r="D473">
        <v>202.9</v>
      </c>
    </row>
    <row r="474" spans="1:4" x14ac:dyDescent="0.4">
      <c r="A474" t="s">
        <v>1067</v>
      </c>
      <c r="B474">
        <v>6.8929400000000003</v>
      </c>
      <c r="C474">
        <v>1457.9</v>
      </c>
      <c r="D474">
        <v>202.2</v>
      </c>
    </row>
    <row r="475" spans="1:4" x14ac:dyDescent="0.4">
      <c r="A475" t="s">
        <v>1068</v>
      </c>
      <c r="B475">
        <v>6.8920000000000003</v>
      </c>
      <c r="C475">
        <v>1438.2</v>
      </c>
      <c r="D475">
        <v>202.3</v>
      </c>
    </row>
    <row r="476" spans="1:4" x14ac:dyDescent="0.4">
      <c r="A476" t="s">
        <v>1069</v>
      </c>
      <c r="B476">
        <v>6.8942399999999999</v>
      </c>
      <c r="C476">
        <v>1448.8</v>
      </c>
      <c r="D476">
        <v>201.3</v>
      </c>
    </row>
    <row r="477" spans="1:4" x14ac:dyDescent="0.4">
      <c r="A477" t="s">
        <v>1070</v>
      </c>
      <c r="B477">
        <v>6.88063</v>
      </c>
      <c r="C477">
        <v>1472.9</v>
      </c>
      <c r="D477">
        <v>204.5</v>
      </c>
    </row>
    <row r="478" spans="1:4" x14ac:dyDescent="0.4">
      <c r="A478" t="s">
        <v>1071</v>
      </c>
      <c r="B478">
        <v>6.8868900000000002</v>
      </c>
      <c r="C478">
        <v>1464.2</v>
      </c>
      <c r="D478">
        <v>203.3</v>
      </c>
    </row>
    <row r="479" spans="1:4" x14ac:dyDescent="0.4">
      <c r="A479" t="s">
        <v>1072</v>
      </c>
      <c r="B479">
        <v>6.9159300000000004</v>
      </c>
      <c r="C479">
        <v>1455.2</v>
      </c>
      <c r="D479">
        <v>202.4</v>
      </c>
    </row>
    <row r="480" spans="1:4" x14ac:dyDescent="0.4">
      <c r="A480" t="s">
        <v>1073</v>
      </c>
      <c r="B480">
        <v>6.8882700000000003</v>
      </c>
      <c r="C480">
        <v>1466.8</v>
      </c>
      <c r="D480">
        <v>203</v>
      </c>
    </row>
    <row r="481" spans="1:4" x14ac:dyDescent="0.4">
      <c r="A481" t="s">
        <v>1074</v>
      </c>
      <c r="B481">
        <v>6.8830200000000001</v>
      </c>
      <c r="C481">
        <v>1464.9</v>
      </c>
      <c r="D481">
        <v>205.2</v>
      </c>
    </row>
    <row r="482" spans="1:4" x14ac:dyDescent="0.4">
      <c r="A482" t="s">
        <v>1075</v>
      </c>
      <c r="B482">
        <v>6.87507</v>
      </c>
      <c r="C482">
        <v>1446.1</v>
      </c>
      <c r="D482">
        <v>204.4</v>
      </c>
    </row>
    <row r="483" spans="1:4" x14ac:dyDescent="0.4">
      <c r="A483" t="s">
        <v>1076</v>
      </c>
      <c r="B483">
        <v>6.8752500000000003</v>
      </c>
      <c r="C483">
        <v>1409.4</v>
      </c>
      <c r="D483">
        <v>204.5</v>
      </c>
    </row>
    <row r="484" spans="1:4" x14ac:dyDescent="0.4">
      <c r="A484" t="s">
        <v>1077</v>
      </c>
      <c r="B484">
        <v>6.8785499999999997</v>
      </c>
      <c r="C484">
        <v>1417.4</v>
      </c>
      <c r="D484">
        <v>203.8</v>
      </c>
    </row>
    <row r="485" spans="1:4" x14ac:dyDescent="0.4">
      <c r="A485" t="s">
        <v>1078</v>
      </c>
      <c r="B485">
        <v>6.8945400000000001</v>
      </c>
      <c r="C485">
        <v>1411.09</v>
      </c>
      <c r="D485">
        <v>202.63</v>
      </c>
    </row>
    <row r="486" spans="1:4" x14ac:dyDescent="0.4">
      <c r="A486" t="s">
        <v>1079</v>
      </c>
      <c r="B486">
        <v>6.87202</v>
      </c>
      <c r="C486">
        <v>1457.8</v>
      </c>
      <c r="D486">
        <v>205</v>
      </c>
    </row>
    <row r="487" spans="1:4" x14ac:dyDescent="0.4">
      <c r="A487" t="s">
        <v>1080</v>
      </c>
      <c r="B487">
        <v>6.8741700000000003</v>
      </c>
      <c r="C487">
        <v>1451.7</v>
      </c>
      <c r="D487">
        <v>203.6</v>
      </c>
    </row>
    <row r="488" spans="1:4" x14ac:dyDescent="0.4">
      <c r="A488" t="s">
        <v>1081</v>
      </c>
      <c r="B488">
        <v>6.8399000000000001</v>
      </c>
      <c r="C488">
        <v>1440</v>
      </c>
      <c r="D488">
        <v>203</v>
      </c>
    </row>
    <row r="489" spans="1:4" x14ac:dyDescent="0.4">
      <c r="A489" t="s">
        <v>1082</v>
      </c>
      <c r="B489">
        <v>6.8866800000000001</v>
      </c>
      <c r="C489">
        <v>1433.7</v>
      </c>
      <c r="D489">
        <v>201.9</v>
      </c>
    </row>
    <row r="490" spans="1:4" x14ac:dyDescent="0.4">
      <c r="A490" t="s">
        <v>1083</v>
      </c>
      <c r="B490">
        <v>6.8606199999999999</v>
      </c>
      <c r="C490">
        <v>1418.4</v>
      </c>
      <c r="D490">
        <v>205.4</v>
      </c>
    </row>
    <row r="491" spans="1:4" x14ac:dyDescent="0.4">
      <c r="A491" t="s">
        <v>1084</v>
      </c>
      <c r="B491">
        <v>6.8758299999999997</v>
      </c>
      <c r="C491">
        <v>1437.3</v>
      </c>
      <c r="D491">
        <v>203.3</v>
      </c>
    </row>
    <row r="492" spans="1:4" x14ac:dyDescent="0.4">
      <c r="A492" t="s">
        <v>1085</v>
      </c>
      <c r="B492">
        <v>6.9139499999999998</v>
      </c>
      <c r="C492">
        <v>1411.3</v>
      </c>
      <c r="D492">
        <v>202.3</v>
      </c>
    </row>
    <row r="493" spans="1:4" x14ac:dyDescent="0.4">
      <c r="A493" t="s">
        <v>1086</v>
      </c>
      <c r="B493">
        <v>6.8820399999999999</v>
      </c>
      <c r="C493">
        <v>1429.09</v>
      </c>
      <c r="D493">
        <v>204.36</v>
      </c>
    </row>
    <row r="494" spans="1:4" x14ac:dyDescent="0.4">
      <c r="A494" t="s">
        <v>1087</v>
      </c>
      <c r="B494">
        <v>6.8686100000000003</v>
      </c>
      <c r="C494">
        <v>1466.8</v>
      </c>
      <c r="D494">
        <v>205.9</v>
      </c>
    </row>
    <row r="495" spans="1:4" x14ac:dyDescent="0.4">
      <c r="A495" t="s">
        <v>1088</v>
      </c>
      <c r="B495">
        <v>6.8552400000000002</v>
      </c>
      <c r="C495">
        <v>1435.43</v>
      </c>
      <c r="D495">
        <v>205.49</v>
      </c>
    </row>
    <row r="496" spans="1:4" x14ac:dyDescent="0.4">
      <c r="A496" t="s">
        <v>1089</v>
      </c>
      <c r="B496">
        <v>6.86721</v>
      </c>
      <c r="C496">
        <v>1464.1</v>
      </c>
      <c r="D496">
        <v>206.2</v>
      </c>
    </row>
    <row r="497" spans="1:4" x14ac:dyDescent="0.4">
      <c r="A497" t="s">
        <v>1090</v>
      </c>
      <c r="B497">
        <v>6.87113</v>
      </c>
      <c r="C497">
        <v>1463.4</v>
      </c>
      <c r="D497">
        <v>204.2</v>
      </c>
    </row>
    <row r="498" spans="1:4" x14ac:dyDescent="0.4">
      <c r="A498" t="s">
        <v>1091</v>
      </c>
      <c r="B498">
        <v>6.7610299999999999</v>
      </c>
      <c r="C498">
        <v>1441</v>
      </c>
      <c r="D498">
        <v>204.7</v>
      </c>
    </row>
    <row r="499" spans="1:4" x14ac:dyDescent="0.4">
      <c r="A499" t="s">
        <v>1092</v>
      </c>
      <c r="B499">
        <v>6.8835499999999996</v>
      </c>
      <c r="C499">
        <v>1490.9</v>
      </c>
      <c r="D499">
        <v>206.2</v>
      </c>
    </row>
    <row r="500" spans="1:4" x14ac:dyDescent="0.4">
      <c r="A500" t="s">
        <v>1093</v>
      </c>
      <c r="B500">
        <v>6.88347</v>
      </c>
      <c r="C500">
        <v>1473.2</v>
      </c>
      <c r="D500">
        <v>204.2</v>
      </c>
    </row>
    <row r="501" spans="1:4" x14ac:dyDescent="0.4">
      <c r="A501" t="s">
        <v>1094</v>
      </c>
      <c r="B501">
        <v>6.8659400000000002</v>
      </c>
      <c r="C501">
        <v>1444.4</v>
      </c>
      <c r="D501">
        <v>206.4</v>
      </c>
    </row>
    <row r="502" spans="1:4" x14ac:dyDescent="0.4">
      <c r="A502" t="s">
        <v>1095</v>
      </c>
      <c r="B502">
        <v>6.8952600000000004</v>
      </c>
      <c r="C502">
        <v>1416</v>
      </c>
      <c r="D502">
        <v>206</v>
      </c>
    </row>
    <row r="503" spans="1:4" x14ac:dyDescent="0.4">
      <c r="A503" t="s">
        <v>1096</v>
      </c>
      <c r="B503">
        <v>6.8612799999999998</v>
      </c>
      <c r="C503">
        <v>1475.8</v>
      </c>
      <c r="D503">
        <v>206.8</v>
      </c>
    </row>
    <row r="504" spans="1:4" x14ac:dyDescent="0.4">
      <c r="A504" t="s">
        <v>1097</v>
      </c>
      <c r="B504">
        <v>6.8682299999999996</v>
      </c>
      <c r="C504">
        <v>1458</v>
      </c>
      <c r="D504">
        <v>204.7</v>
      </c>
    </row>
    <row r="505" spans="1:4" x14ac:dyDescent="0.4">
      <c r="A505" t="s">
        <v>1098</v>
      </c>
      <c r="B505">
        <v>6.8668199999999997</v>
      </c>
      <c r="C505">
        <v>1455.3</v>
      </c>
      <c r="D505">
        <v>205</v>
      </c>
    </row>
    <row r="506" spans="1:4" x14ac:dyDescent="0.4">
      <c r="A506" t="s">
        <v>1099</v>
      </c>
      <c r="B506">
        <v>6.86721</v>
      </c>
      <c r="C506">
        <v>1464.1</v>
      </c>
      <c r="D506">
        <v>206.2</v>
      </c>
    </row>
    <row r="507" spans="1:4" x14ac:dyDescent="0.4">
      <c r="A507" t="s">
        <v>1100</v>
      </c>
      <c r="B507">
        <v>6.87155</v>
      </c>
      <c r="C507">
        <v>1429.3</v>
      </c>
      <c r="D507">
        <v>204.1</v>
      </c>
    </row>
    <row r="508" spans="1:4" x14ac:dyDescent="0.4">
      <c r="A508" t="s">
        <v>1101</v>
      </c>
      <c r="B508">
        <v>6.8628799999999996</v>
      </c>
      <c r="C508">
        <v>1473.1</v>
      </c>
      <c r="D508">
        <v>207</v>
      </c>
    </row>
    <row r="509" spans="1:4" x14ac:dyDescent="0.4">
      <c r="A509" t="s">
        <v>1102</v>
      </c>
      <c r="B509">
        <v>6.8614800000000002</v>
      </c>
      <c r="C509">
        <v>1470.4</v>
      </c>
      <c r="D509">
        <v>207.3</v>
      </c>
    </row>
    <row r="510" spans="1:4" x14ac:dyDescent="0.4">
      <c r="A510" t="s">
        <v>1103</v>
      </c>
      <c r="B510">
        <v>6.8443800000000001</v>
      </c>
      <c r="C510">
        <v>1464.03</v>
      </c>
      <c r="D510">
        <v>209.06</v>
      </c>
    </row>
    <row r="511" spans="1:4" x14ac:dyDescent="0.4">
      <c r="A511" t="s">
        <v>1104</v>
      </c>
      <c r="B511">
        <v>6.8240999999999996</v>
      </c>
      <c r="C511">
        <v>1443.6</v>
      </c>
      <c r="D511">
        <v>207.3</v>
      </c>
    </row>
    <row r="512" spans="1:4" x14ac:dyDescent="0.4">
      <c r="A512" t="s">
        <v>1105</v>
      </c>
      <c r="B512">
        <v>6.8768500000000001</v>
      </c>
      <c r="C512">
        <v>1417.6</v>
      </c>
      <c r="D512">
        <v>206.3</v>
      </c>
    </row>
    <row r="513" spans="1:4" x14ac:dyDescent="0.4">
      <c r="A513" t="s">
        <v>1106</v>
      </c>
      <c r="B513">
        <v>6.7315100000000001</v>
      </c>
      <c r="C513">
        <v>1396</v>
      </c>
      <c r="D513">
        <v>208.7</v>
      </c>
    </row>
    <row r="514" spans="1:4" x14ac:dyDescent="0.4">
      <c r="A514" t="s">
        <v>1107</v>
      </c>
      <c r="B514">
        <v>6.83561</v>
      </c>
      <c r="C514">
        <v>1400.55</v>
      </c>
      <c r="D514">
        <v>206.26</v>
      </c>
    </row>
    <row r="515" spans="1:4" x14ac:dyDescent="0.4">
      <c r="A515" t="s">
        <v>1108</v>
      </c>
      <c r="B515">
        <v>6.88124</v>
      </c>
      <c r="C515">
        <v>1377.98</v>
      </c>
      <c r="D515">
        <v>207</v>
      </c>
    </row>
    <row r="516" spans="1:4" x14ac:dyDescent="0.4">
      <c r="A516" t="s">
        <v>1109</v>
      </c>
      <c r="B516">
        <v>6.8424300000000002</v>
      </c>
      <c r="C516">
        <v>1474.94</v>
      </c>
      <c r="D516">
        <v>207.72</v>
      </c>
    </row>
    <row r="517" spans="1:4" x14ac:dyDescent="0.4">
      <c r="A517" t="s">
        <v>1110</v>
      </c>
      <c r="B517">
        <v>6.8504300000000002</v>
      </c>
      <c r="C517">
        <v>1429.2</v>
      </c>
      <c r="D517">
        <v>206.9</v>
      </c>
    </row>
    <row r="518" spans="1:4" x14ac:dyDescent="0.4">
      <c r="A518" t="s">
        <v>1111</v>
      </c>
      <c r="B518">
        <v>6.8293999999999997</v>
      </c>
      <c r="C518">
        <v>1457.9</v>
      </c>
      <c r="D518">
        <v>207.6</v>
      </c>
    </row>
    <row r="519" spans="1:4" x14ac:dyDescent="0.4">
      <c r="A519" t="s">
        <v>1112</v>
      </c>
      <c r="B519">
        <v>6.8715599999999997</v>
      </c>
      <c r="C519">
        <v>1442.8</v>
      </c>
      <c r="D519">
        <v>205.3</v>
      </c>
    </row>
    <row r="520" spans="1:4" x14ac:dyDescent="0.4">
      <c r="A520" t="s">
        <v>1113</v>
      </c>
      <c r="B520">
        <v>6.8116399999999997</v>
      </c>
      <c r="C520">
        <v>1492.7</v>
      </c>
      <c r="D520">
        <v>209.7</v>
      </c>
    </row>
    <row r="521" spans="1:4" x14ac:dyDescent="0.4">
      <c r="A521" t="s">
        <v>1114</v>
      </c>
      <c r="B521">
        <v>6.8215399999999997</v>
      </c>
      <c r="C521">
        <v>1432.15</v>
      </c>
      <c r="D521">
        <v>206.38</v>
      </c>
    </row>
    <row r="522" spans="1:4" x14ac:dyDescent="0.4">
      <c r="A522" t="s">
        <v>1115</v>
      </c>
      <c r="B522">
        <v>6.8598400000000002</v>
      </c>
      <c r="C522">
        <v>1501.8</v>
      </c>
      <c r="D522">
        <v>207.7</v>
      </c>
    </row>
    <row r="523" spans="1:4" x14ac:dyDescent="0.4">
      <c r="A523" t="s">
        <v>1116</v>
      </c>
      <c r="B523">
        <v>6.8071000000000002</v>
      </c>
      <c r="C523">
        <v>1490.1</v>
      </c>
      <c r="D523">
        <v>210</v>
      </c>
    </row>
    <row r="524" spans="1:4" x14ac:dyDescent="0.4">
      <c r="A524" t="s">
        <v>1117</v>
      </c>
      <c r="B524">
        <v>6.8314899999999996</v>
      </c>
      <c r="C524">
        <v>1435.6</v>
      </c>
      <c r="D524">
        <v>208.1</v>
      </c>
    </row>
    <row r="525" spans="1:4" x14ac:dyDescent="0.4">
      <c r="A525" t="s">
        <v>1118</v>
      </c>
      <c r="B525">
        <v>6.81616</v>
      </c>
      <c r="C525">
        <v>1486.62</v>
      </c>
      <c r="D525">
        <v>208.32</v>
      </c>
    </row>
    <row r="526" spans="1:4" x14ac:dyDescent="0.4">
      <c r="A526" t="s">
        <v>1119</v>
      </c>
      <c r="B526">
        <v>6.7965900000000001</v>
      </c>
      <c r="C526">
        <v>1474.89</v>
      </c>
      <c r="D526">
        <v>210.6</v>
      </c>
    </row>
    <row r="527" spans="1:4" x14ac:dyDescent="0.4">
      <c r="A527" t="s">
        <v>1120</v>
      </c>
      <c r="B527">
        <v>6.7327300000000001</v>
      </c>
      <c r="C527">
        <v>1423.83</v>
      </c>
      <c r="D527">
        <v>210.35</v>
      </c>
    </row>
    <row r="528" spans="1:4" x14ac:dyDescent="0.4">
      <c r="A528" t="s">
        <v>1121</v>
      </c>
      <c r="B528">
        <v>6.9223999999999997</v>
      </c>
      <c r="C528">
        <v>1472.01</v>
      </c>
      <c r="D528">
        <v>134.16</v>
      </c>
    </row>
    <row r="529" spans="1:4" x14ac:dyDescent="0.4">
      <c r="A529" t="s">
        <v>1122</v>
      </c>
      <c r="B529">
        <v>6.0689799999999998</v>
      </c>
      <c r="C529">
        <v>1421.32</v>
      </c>
      <c r="D529">
        <v>205.81</v>
      </c>
    </row>
    <row r="530" spans="1:4" x14ac:dyDescent="0.4">
      <c r="A530" t="s">
        <v>1123</v>
      </c>
      <c r="B530">
        <v>6.0689799999999998</v>
      </c>
      <c r="C530">
        <v>1421.32</v>
      </c>
      <c r="D530">
        <v>205.81</v>
      </c>
    </row>
    <row r="531" spans="1:4" x14ac:dyDescent="0.4">
      <c r="A531" t="s">
        <v>1124</v>
      </c>
      <c r="B531">
        <v>6.0689799999999998</v>
      </c>
      <c r="C531">
        <v>1421.32</v>
      </c>
      <c r="D531">
        <v>205.81</v>
      </c>
    </row>
    <row r="532" spans="1:4" x14ac:dyDescent="0.4">
      <c r="A532" t="s">
        <v>1125</v>
      </c>
      <c r="B532">
        <v>6.0689799999999998</v>
      </c>
      <c r="C532">
        <v>1421.32</v>
      </c>
      <c r="D532">
        <v>205.81</v>
      </c>
    </row>
    <row r="533" spans="1:4" x14ac:dyDescent="0.4">
      <c r="A533" t="s">
        <v>1126</v>
      </c>
      <c r="B533">
        <v>6.0689799999999998</v>
      </c>
      <c r="C533">
        <v>1421.32</v>
      </c>
      <c r="D533">
        <v>205.81</v>
      </c>
    </row>
    <row r="534" spans="1:4" x14ac:dyDescent="0.4">
      <c r="A534" t="s">
        <v>1127</v>
      </c>
      <c r="B534">
        <v>6.9981</v>
      </c>
      <c r="C534">
        <v>1713.6</v>
      </c>
      <c r="D534">
        <v>177</v>
      </c>
    </row>
    <row r="535" spans="1:4" x14ac:dyDescent="0.4">
      <c r="A535" t="s">
        <v>1128</v>
      </c>
      <c r="B535">
        <v>6.9581</v>
      </c>
      <c r="C535">
        <v>1756</v>
      </c>
      <c r="D535">
        <v>166.8</v>
      </c>
    </row>
    <row r="536" spans="1:4" x14ac:dyDescent="0.4">
      <c r="A536" t="s">
        <v>1129</v>
      </c>
      <c r="B536">
        <v>7.03592</v>
      </c>
      <c r="C536">
        <v>1826.9480000000001</v>
      </c>
      <c r="D536">
        <v>195.00200000000001</v>
      </c>
    </row>
    <row r="537" spans="1:4" x14ac:dyDescent="0.4">
      <c r="A537" t="s">
        <v>1130</v>
      </c>
      <c r="B537">
        <v>7.0685000000000002</v>
      </c>
      <c r="C537">
        <v>1840.268</v>
      </c>
      <c r="D537">
        <v>198.39500000000001</v>
      </c>
    </row>
    <row r="538" spans="1:4" x14ac:dyDescent="0.4">
      <c r="A538" t="s">
        <v>1131</v>
      </c>
      <c r="B538">
        <v>6.9783299999999997</v>
      </c>
      <c r="C538">
        <v>1639.91</v>
      </c>
      <c r="D538">
        <v>194.76</v>
      </c>
    </row>
    <row r="539" spans="1:4" x14ac:dyDescent="0.4">
      <c r="A539" t="s">
        <v>1132</v>
      </c>
      <c r="B539">
        <v>7.1375999999999999</v>
      </c>
      <c r="C539">
        <v>1833.8</v>
      </c>
      <c r="D539">
        <v>198.96</v>
      </c>
    </row>
    <row r="540" spans="1:4" x14ac:dyDescent="0.4">
      <c r="A540" t="s">
        <v>1133</v>
      </c>
      <c r="B540">
        <v>7.1306399999999996</v>
      </c>
      <c r="C540">
        <v>1687.2</v>
      </c>
      <c r="D540">
        <v>202</v>
      </c>
    </row>
    <row r="541" spans="1:4" x14ac:dyDescent="0.4">
      <c r="A541" t="s">
        <v>1134</v>
      </c>
      <c r="B541">
        <v>6.9666199999999998</v>
      </c>
      <c r="C541">
        <v>1562.4690000000001</v>
      </c>
      <c r="D541">
        <v>189.74299999999999</v>
      </c>
    </row>
    <row r="542" spans="1:4" x14ac:dyDescent="0.4">
      <c r="A542" t="s">
        <v>1135</v>
      </c>
      <c r="B542">
        <v>6.9547999999999996</v>
      </c>
      <c r="C542">
        <v>1608</v>
      </c>
      <c r="D542">
        <v>191.6</v>
      </c>
    </row>
    <row r="543" spans="1:4" x14ac:dyDescent="0.4">
      <c r="A543" t="s">
        <v>1136</v>
      </c>
      <c r="B543">
        <v>6.9466700000000001</v>
      </c>
      <c r="C543">
        <v>1619.11</v>
      </c>
      <c r="D543">
        <v>194.51</v>
      </c>
    </row>
    <row r="544" spans="1:4" x14ac:dyDescent="0.4">
      <c r="A544" t="s">
        <v>1137</v>
      </c>
      <c r="B544">
        <v>6.9722</v>
      </c>
      <c r="C544">
        <v>1569.57</v>
      </c>
      <c r="D544">
        <v>187.7</v>
      </c>
    </row>
    <row r="545" spans="1:4" x14ac:dyDescent="0.4">
      <c r="A545" t="s">
        <v>1138</v>
      </c>
      <c r="B545">
        <v>6.5270999999999999</v>
      </c>
      <c r="C545">
        <v>1250</v>
      </c>
      <c r="D545">
        <v>100</v>
      </c>
    </row>
    <row r="546" spans="1:4" x14ac:dyDescent="0.4">
      <c r="A546" t="s">
        <v>1139</v>
      </c>
      <c r="B546">
        <v>5.9321000000000002</v>
      </c>
      <c r="C546">
        <v>1421.32</v>
      </c>
      <c r="D546">
        <v>205.81</v>
      </c>
    </row>
    <row r="547" spans="1:4" x14ac:dyDescent="0.4">
      <c r="A547" t="s">
        <v>1140</v>
      </c>
      <c r="B547">
        <v>5.9321000000000002</v>
      </c>
      <c r="C547">
        <v>1421.32</v>
      </c>
      <c r="D547">
        <v>205.81</v>
      </c>
    </row>
    <row r="548" spans="1:4" x14ac:dyDescent="0.4">
      <c r="A548" t="s">
        <v>1141</v>
      </c>
      <c r="B548">
        <v>5.9321000000000002</v>
      </c>
      <c r="C548">
        <v>1421.32</v>
      </c>
      <c r="D548">
        <v>205.81</v>
      </c>
    </row>
    <row r="549" spans="1:4" x14ac:dyDescent="0.4">
      <c r="A549" t="s">
        <v>1142</v>
      </c>
      <c r="B549">
        <v>5.9321000000000002</v>
      </c>
      <c r="C549">
        <v>1421.32</v>
      </c>
      <c r="D549">
        <v>205.81</v>
      </c>
    </row>
    <row r="550" spans="1:4" x14ac:dyDescent="0.4">
      <c r="A550" t="s">
        <v>1143</v>
      </c>
      <c r="B550">
        <v>7.0122</v>
      </c>
      <c r="C550">
        <v>1767.4</v>
      </c>
      <c r="D550">
        <v>170.4</v>
      </c>
    </row>
    <row r="551" spans="1:4" x14ac:dyDescent="0.4">
      <c r="A551" t="s">
        <v>1144</v>
      </c>
      <c r="B551">
        <v>7.2454000000000001</v>
      </c>
      <c r="C551">
        <v>1998.72</v>
      </c>
      <c r="D551">
        <v>202.74</v>
      </c>
    </row>
    <row r="552" spans="1:4" x14ac:dyDescent="0.4">
      <c r="A552" t="s">
        <v>1145</v>
      </c>
      <c r="B552">
        <v>7.0315899999999996</v>
      </c>
      <c r="C552">
        <v>1841.32</v>
      </c>
      <c r="D552">
        <v>185.28</v>
      </c>
    </row>
    <row r="553" spans="1:4" x14ac:dyDescent="0.4">
      <c r="A553" t="s">
        <v>1146</v>
      </c>
      <c r="B553">
        <v>7.0756600000000001</v>
      </c>
      <c r="C553">
        <v>1880.73</v>
      </c>
      <c r="D553">
        <v>191.41</v>
      </c>
    </row>
    <row r="554" spans="1:4" x14ac:dyDescent="0.4">
      <c r="A554" t="s">
        <v>1147</v>
      </c>
      <c r="B554">
        <v>7.0060500000000001</v>
      </c>
      <c r="C554">
        <v>1805.31</v>
      </c>
      <c r="D554">
        <v>171.37</v>
      </c>
    </row>
    <row r="555" spans="1:4" x14ac:dyDescent="0.4">
      <c r="A555" t="s">
        <v>1148</v>
      </c>
      <c r="B555">
        <v>7.2698</v>
      </c>
      <c r="C555">
        <v>2076</v>
      </c>
      <c r="D555">
        <v>210</v>
      </c>
    </row>
    <row r="556" spans="1:4" x14ac:dyDescent="0.4">
      <c r="A556" t="s">
        <v>1149</v>
      </c>
      <c r="B556">
        <v>7.2698</v>
      </c>
      <c r="C556">
        <v>2076</v>
      </c>
      <c r="D556">
        <v>210</v>
      </c>
    </row>
    <row r="557" spans="1:4" x14ac:dyDescent="0.4">
      <c r="A557" t="s">
        <v>1150</v>
      </c>
      <c r="B557">
        <v>7.0492999999999997</v>
      </c>
      <c r="C557">
        <v>1855</v>
      </c>
      <c r="D557">
        <v>180</v>
      </c>
    </row>
    <row r="558" spans="1:4" x14ac:dyDescent="0.4">
      <c r="A558" t="s">
        <v>1151</v>
      </c>
      <c r="B558">
        <v>7.2698</v>
      </c>
      <c r="C558">
        <v>2076</v>
      </c>
      <c r="D558">
        <v>210</v>
      </c>
    </row>
    <row r="559" spans="1:4" x14ac:dyDescent="0.4">
      <c r="A559" t="s">
        <v>1152</v>
      </c>
      <c r="B559">
        <v>7.0564</v>
      </c>
      <c r="C559">
        <v>1879</v>
      </c>
      <c r="D559">
        <v>180</v>
      </c>
    </row>
    <row r="560" spans="1:4" x14ac:dyDescent="0.4">
      <c r="A560" t="s">
        <v>1153</v>
      </c>
      <c r="B560">
        <v>7.0526999999999997</v>
      </c>
      <c r="C560">
        <v>1869</v>
      </c>
      <c r="D560">
        <v>180</v>
      </c>
    </row>
    <row r="561" spans="1:4" x14ac:dyDescent="0.4">
      <c r="A561" t="s">
        <v>1154</v>
      </c>
      <c r="B561">
        <v>7.0460000000000003</v>
      </c>
      <c r="C561">
        <v>1841</v>
      </c>
      <c r="D561">
        <v>180</v>
      </c>
    </row>
    <row r="562" spans="1:4" x14ac:dyDescent="0.4">
      <c r="A562" t="s">
        <v>1155</v>
      </c>
      <c r="B562">
        <v>7.0477999999999996</v>
      </c>
      <c r="C562">
        <v>1846</v>
      </c>
      <c r="D562">
        <v>180</v>
      </c>
    </row>
    <row r="563" spans="1:4" x14ac:dyDescent="0.4">
      <c r="A563" t="s">
        <v>1156</v>
      </c>
      <c r="B563">
        <v>6.9852999999999996</v>
      </c>
      <c r="C563">
        <v>1700.5</v>
      </c>
      <c r="D563">
        <v>188.2</v>
      </c>
    </row>
    <row r="564" spans="1:4" x14ac:dyDescent="0.4">
      <c r="A564" t="s">
        <v>1157</v>
      </c>
      <c r="B564">
        <v>7.5887700000000002</v>
      </c>
      <c r="C564">
        <v>2133.5500000000002</v>
      </c>
      <c r="D564">
        <v>235.68</v>
      </c>
    </row>
    <row r="565" spans="1:4" x14ac:dyDescent="0.4">
      <c r="A565" t="s">
        <v>1158</v>
      </c>
      <c r="B565">
        <v>7.5786899999999999</v>
      </c>
      <c r="C565">
        <v>2133.558</v>
      </c>
      <c r="D565">
        <v>235.68100000000001</v>
      </c>
    </row>
    <row r="566" spans="1:4" x14ac:dyDescent="0.4">
      <c r="A566" t="s">
        <v>1159</v>
      </c>
      <c r="B566">
        <v>7.6044</v>
      </c>
      <c r="C566">
        <v>2133.5500000000002</v>
      </c>
      <c r="D566">
        <v>235.68</v>
      </c>
    </row>
    <row r="567" spans="1:4" x14ac:dyDescent="0.4">
      <c r="A567" t="s">
        <v>1160</v>
      </c>
      <c r="B567">
        <v>7.1554399999999996</v>
      </c>
      <c r="C567">
        <v>2133.5500000000002</v>
      </c>
      <c r="D567">
        <v>235.68</v>
      </c>
    </row>
    <row r="568" spans="1:4" x14ac:dyDescent="0.4">
      <c r="A568" t="s">
        <v>1161</v>
      </c>
      <c r="B568">
        <v>7.1692900000000002</v>
      </c>
      <c r="C568">
        <v>1771.1</v>
      </c>
      <c r="D568">
        <v>198</v>
      </c>
    </row>
    <row r="569" spans="1:4" x14ac:dyDescent="0.4">
      <c r="A569" t="s">
        <v>1162</v>
      </c>
      <c r="B569">
        <v>6.9752200000000002</v>
      </c>
      <c r="C569">
        <v>1619.8620000000001</v>
      </c>
      <c r="D569">
        <v>182.27099999999999</v>
      </c>
    </row>
    <row r="570" spans="1:4" x14ac:dyDescent="0.4">
      <c r="A570" t="s">
        <v>1163</v>
      </c>
      <c r="B570">
        <v>6.9743000000000004</v>
      </c>
      <c r="C570">
        <v>1672.2</v>
      </c>
      <c r="D570">
        <v>184.4</v>
      </c>
    </row>
    <row r="571" spans="1:4" x14ac:dyDescent="0.4">
      <c r="A571" t="s">
        <v>1164</v>
      </c>
      <c r="B571">
        <v>6.9554999999999998</v>
      </c>
      <c r="C571">
        <v>1681</v>
      </c>
      <c r="D571">
        <v>187.8</v>
      </c>
    </row>
    <row r="572" spans="1:4" x14ac:dyDescent="0.4">
      <c r="A572" t="s">
        <v>1165</v>
      </c>
      <c r="B572">
        <v>6.9979500000000003</v>
      </c>
      <c r="C572">
        <v>1639.27</v>
      </c>
      <c r="D572">
        <v>181.83500000000001</v>
      </c>
    </row>
    <row r="573" spans="1:4" x14ac:dyDescent="0.4">
      <c r="A573" t="s">
        <v>1166</v>
      </c>
      <c r="B573">
        <v>7.53986</v>
      </c>
      <c r="C573">
        <v>2003.29</v>
      </c>
      <c r="D573">
        <v>168.13</v>
      </c>
    </row>
    <row r="574" spans="1:4" x14ac:dyDescent="0.4">
      <c r="A574" t="s">
        <v>1167</v>
      </c>
      <c r="B574">
        <v>6.6289999999999996</v>
      </c>
      <c r="C574">
        <v>1408</v>
      </c>
      <c r="D574">
        <v>116.06</v>
      </c>
    </row>
    <row r="575" spans="1:4" x14ac:dyDescent="0.4">
      <c r="A575" t="s">
        <v>1168</v>
      </c>
      <c r="B575">
        <v>5.8125099999999996</v>
      </c>
      <c r="C575">
        <v>1421.32</v>
      </c>
      <c r="D575">
        <v>205.81</v>
      </c>
    </row>
    <row r="576" spans="1:4" x14ac:dyDescent="0.4">
      <c r="A576" t="s">
        <v>1169</v>
      </c>
      <c r="B576">
        <v>5.8125099999999996</v>
      </c>
      <c r="C576">
        <v>1421.32</v>
      </c>
      <c r="D576">
        <v>205.81</v>
      </c>
    </row>
    <row r="577" spans="1:4" x14ac:dyDescent="0.4">
      <c r="A577" t="s">
        <v>1170</v>
      </c>
      <c r="B577">
        <v>5.8125099999999996</v>
      </c>
      <c r="C577">
        <v>1421.32</v>
      </c>
      <c r="D577">
        <v>205.81</v>
      </c>
    </row>
    <row r="578" spans="1:4" x14ac:dyDescent="0.4">
      <c r="A578" t="s">
        <v>1171</v>
      </c>
      <c r="B578">
        <v>5.8125099999999996</v>
      </c>
      <c r="C578">
        <v>1421.32</v>
      </c>
      <c r="D578">
        <v>205.81</v>
      </c>
    </row>
    <row r="579" spans="1:4" x14ac:dyDescent="0.4">
      <c r="A579" t="s">
        <v>1172</v>
      </c>
      <c r="B579">
        <v>7.0244</v>
      </c>
      <c r="C579">
        <v>1817.8</v>
      </c>
      <c r="D579">
        <v>164.1</v>
      </c>
    </row>
    <row r="580" spans="1:4" x14ac:dyDescent="0.4">
      <c r="A580" t="s">
        <v>1173</v>
      </c>
      <c r="B580">
        <v>6.9631999999999996</v>
      </c>
      <c r="C580">
        <v>1824.9</v>
      </c>
      <c r="D580">
        <v>153.5</v>
      </c>
    </row>
    <row r="581" spans="1:4" x14ac:dyDescent="0.4">
      <c r="A581" t="s">
        <v>1174</v>
      </c>
      <c r="B581">
        <v>7.0594000000000001</v>
      </c>
      <c r="C581">
        <v>1890.8</v>
      </c>
      <c r="D581">
        <v>180</v>
      </c>
    </row>
    <row r="582" spans="1:4" x14ac:dyDescent="0.4">
      <c r="A582" t="s">
        <v>1175</v>
      </c>
      <c r="B582">
        <v>7.0605000000000002</v>
      </c>
      <c r="C582">
        <v>1895.5</v>
      </c>
      <c r="D582">
        <v>180</v>
      </c>
    </row>
    <row r="583" spans="1:4" x14ac:dyDescent="0.4">
      <c r="A583" t="s">
        <v>1176</v>
      </c>
      <c r="B583">
        <v>7.0285099999999998</v>
      </c>
      <c r="C583">
        <v>1895.5</v>
      </c>
      <c r="D583">
        <v>180</v>
      </c>
    </row>
    <row r="584" spans="1:4" x14ac:dyDescent="0.4">
      <c r="A584" t="s">
        <v>1177</v>
      </c>
      <c r="B584">
        <v>7.0930299999999997</v>
      </c>
      <c r="C584">
        <v>1895.5</v>
      </c>
      <c r="D584">
        <v>180</v>
      </c>
    </row>
    <row r="585" spans="1:4" x14ac:dyDescent="0.4">
      <c r="A585" t="s">
        <v>1178</v>
      </c>
      <c r="B585">
        <v>7.0930299999999997</v>
      </c>
      <c r="C585">
        <v>1895.5</v>
      </c>
      <c r="D585">
        <v>180</v>
      </c>
    </row>
    <row r="586" spans="1:4" x14ac:dyDescent="0.4">
      <c r="A586" t="s">
        <v>1179</v>
      </c>
      <c r="B586">
        <v>7.0006000000000004</v>
      </c>
      <c r="C586">
        <v>1761.2</v>
      </c>
      <c r="D586">
        <v>181.5</v>
      </c>
    </row>
    <row r="587" spans="1:4" x14ac:dyDescent="0.4">
      <c r="A587" t="s">
        <v>1180</v>
      </c>
      <c r="B587">
        <v>7.1567400000000001</v>
      </c>
      <c r="C587">
        <v>1834.4</v>
      </c>
      <c r="D587">
        <v>195</v>
      </c>
    </row>
    <row r="588" spans="1:4" x14ac:dyDescent="0.4">
      <c r="A588" t="s">
        <v>1181</v>
      </c>
      <c r="B588">
        <v>6.9856299999999996</v>
      </c>
      <c r="C588">
        <v>1674.741</v>
      </c>
      <c r="D588">
        <v>175.214</v>
      </c>
    </row>
    <row r="589" spans="1:4" x14ac:dyDescent="0.4">
      <c r="A589" t="s">
        <v>1182</v>
      </c>
      <c r="B589">
        <v>6.9896000000000003</v>
      </c>
      <c r="C589">
        <v>1729.8</v>
      </c>
      <c r="D589">
        <v>177.3</v>
      </c>
    </row>
    <row r="590" spans="1:4" x14ac:dyDescent="0.4">
      <c r="A590" t="s">
        <v>1183</v>
      </c>
      <c r="B590">
        <v>6.9743000000000004</v>
      </c>
      <c r="C590">
        <v>1743</v>
      </c>
      <c r="D590">
        <v>180.9</v>
      </c>
    </row>
    <row r="591" spans="1:4" x14ac:dyDescent="0.4">
      <c r="A591" t="s">
        <v>1184</v>
      </c>
      <c r="B591">
        <v>7.0075599999999998</v>
      </c>
      <c r="C591">
        <v>1690.67</v>
      </c>
      <c r="D591">
        <v>174.22</v>
      </c>
    </row>
    <row r="592" spans="1:4" x14ac:dyDescent="0.4">
      <c r="A592" t="s">
        <v>1185</v>
      </c>
      <c r="B592">
        <v>7.41181</v>
      </c>
      <c r="C592">
        <v>2003.29</v>
      </c>
      <c r="D592">
        <v>168.13</v>
      </c>
    </row>
    <row r="593" spans="1:4" x14ac:dyDescent="0.4">
      <c r="A593" t="s">
        <v>1186</v>
      </c>
      <c r="B593">
        <v>5.70756</v>
      </c>
      <c r="C593">
        <v>1421.32</v>
      </c>
      <c r="D593">
        <v>205.81</v>
      </c>
    </row>
    <row r="594" spans="1:4" x14ac:dyDescent="0.4">
      <c r="A594" t="s">
        <v>1187</v>
      </c>
      <c r="B594">
        <v>5.70756</v>
      </c>
      <c r="C594">
        <v>1421.32</v>
      </c>
      <c r="D594">
        <v>205.81</v>
      </c>
    </row>
    <row r="595" spans="1:4" x14ac:dyDescent="0.4">
      <c r="A595" t="s">
        <v>1188</v>
      </c>
      <c r="B595">
        <v>5.70756</v>
      </c>
      <c r="C595">
        <v>1421.32</v>
      </c>
      <c r="D595">
        <v>205.81</v>
      </c>
    </row>
    <row r="596" spans="1:4" x14ac:dyDescent="0.4">
      <c r="A596" t="s">
        <v>1189</v>
      </c>
      <c r="B596">
        <v>5.70756</v>
      </c>
      <c r="C596">
        <v>1421.32</v>
      </c>
      <c r="D596">
        <v>205.81</v>
      </c>
    </row>
    <row r="597" spans="1:4" x14ac:dyDescent="0.4">
      <c r="A597" t="s">
        <v>1190</v>
      </c>
      <c r="B597">
        <v>7.0369999999999999</v>
      </c>
      <c r="C597">
        <v>1864.9</v>
      </c>
      <c r="D597">
        <v>157.9</v>
      </c>
    </row>
    <row r="598" spans="1:4" x14ac:dyDescent="0.4">
      <c r="A598" t="s">
        <v>1191</v>
      </c>
      <c r="B598">
        <v>4.9630999999999998</v>
      </c>
      <c r="C598">
        <v>656.8</v>
      </c>
      <c r="D598">
        <v>26</v>
      </c>
    </row>
    <row r="599" spans="1:4" x14ac:dyDescent="0.4">
      <c r="A599" t="s">
        <v>1192</v>
      </c>
      <c r="B599">
        <v>6.6116999999999999</v>
      </c>
      <c r="C599">
        <v>1591.4</v>
      </c>
      <c r="D599">
        <v>138.5</v>
      </c>
    </row>
    <row r="600" spans="1:4" x14ac:dyDescent="0.4">
      <c r="A600" t="s">
        <v>1193</v>
      </c>
      <c r="B600">
        <v>7.0086000000000004</v>
      </c>
      <c r="C600">
        <v>1812.2</v>
      </c>
      <c r="D600">
        <v>174.6</v>
      </c>
    </row>
    <row r="601" spans="1:4" x14ac:dyDescent="0.4">
      <c r="A601" t="s">
        <v>1194</v>
      </c>
      <c r="B601">
        <v>7.65632</v>
      </c>
      <c r="C601">
        <v>2312.864</v>
      </c>
      <c r="D601">
        <v>236.261</v>
      </c>
    </row>
    <row r="602" spans="1:4" x14ac:dyDescent="0.4">
      <c r="A602" t="s">
        <v>1195</v>
      </c>
      <c r="B602">
        <v>7.6323499999999997</v>
      </c>
      <c r="C602">
        <v>2312.86</v>
      </c>
      <c r="D602">
        <v>236.26</v>
      </c>
    </row>
    <row r="603" spans="1:4" x14ac:dyDescent="0.4">
      <c r="A603" t="s">
        <v>1196</v>
      </c>
      <c r="B603">
        <v>7.6372299999999997</v>
      </c>
      <c r="C603">
        <v>2312.86</v>
      </c>
      <c r="D603">
        <v>236.26</v>
      </c>
    </row>
    <row r="604" spans="1:4" x14ac:dyDescent="0.4">
      <c r="A604" t="s">
        <v>1197</v>
      </c>
      <c r="B604">
        <v>7.2322699999999998</v>
      </c>
      <c r="C604">
        <v>1927.7</v>
      </c>
      <c r="D604">
        <v>191</v>
      </c>
    </row>
    <row r="605" spans="1:4" x14ac:dyDescent="0.4">
      <c r="A605" t="s">
        <v>1198</v>
      </c>
      <c r="B605">
        <v>7.0200500000000003</v>
      </c>
      <c r="C605">
        <v>1745.001</v>
      </c>
      <c r="D605">
        <v>170.47499999999999</v>
      </c>
    </row>
    <row r="606" spans="1:4" x14ac:dyDescent="0.4">
      <c r="A606" t="s">
        <v>1199</v>
      </c>
      <c r="B606">
        <v>6.9960000000000004</v>
      </c>
      <c r="C606">
        <v>1779</v>
      </c>
      <c r="D606">
        <v>170.2</v>
      </c>
    </row>
    <row r="607" spans="1:4" x14ac:dyDescent="0.4">
      <c r="A607" t="s">
        <v>1200</v>
      </c>
      <c r="B607">
        <v>6.9897</v>
      </c>
      <c r="C607">
        <v>1799.3</v>
      </c>
      <c r="D607">
        <v>174.3</v>
      </c>
    </row>
    <row r="608" spans="1:4" x14ac:dyDescent="0.4">
      <c r="A608" t="s">
        <v>1201</v>
      </c>
      <c r="B608">
        <v>7.0129999999999999</v>
      </c>
      <c r="C608">
        <v>1740.88</v>
      </c>
      <c r="D608">
        <v>167.72</v>
      </c>
    </row>
    <row r="609" spans="1:4" x14ac:dyDescent="0.4">
      <c r="A609" t="s">
        <v>1202</v>
      </c>
      <c r="B609">
        <v>6.6741000000000001</v>
      </c>
      <c r="C609">
        <v>1204.5</v>
      </c>
      <c r="D609">
        <v>54</v>
      </c>
    </row>
    <row r="610" spans="1:4" x14ac:dyDescent="0.4">
      <c r="A610" t="s">
        <v>1203</v>
      </c>
      <c r="B610">
        <v>5.6151200000000001</v>
      </c>
      <c r="C610">
        <v>1421.32</v>
      </c>
      <c r="D610">
        <v>205.81</v>
      </c>
    </row>
    <row r="611" spans="1:4" x14ac:dyDescent="0.4">
      <c r="A611" t="s">
        <v>1204</v>
      </c>
      <c r="B611">
        <v>5.6151200000000001</v>
      </c>
      <c r="C611">
        <v>1421.32</v>
      </c>
      <c r="D611">
        <v>205.81</v>
      </c>
    </row>
    <row r="612" spans="1:4" x14ac:dyDescent="0.4">
      <c r="A612" t="s">
        <v>1205</v>
      </c>
      <c r="B612">
        <v>5.6151200000000001</v>
      </c>
      <c r="C612">
        <v>1421.32</v>
      </c>
      <c r="D612">
        <v>205.81</v>
      </c>
    </row>
    <row r="613" spans="1:4" x14ac:dyDescent="0.4">
      <c r="A613" t="s">
        <v>1206</v>
      </c>
      <c r="B613">
        <v>5.6151200000000001</v>
      </c>
      <c r="C613">
        <v>1421.32</v>
      </c>
      <c r="D613">
        <v>205.81</v>
      </c>
    </row>
    <row r="614" spans="1:4" x14ac:dyDescent="0.4">
      <c r="A614" t="s">
        <v>1207</v>
      </c>
      <c r="B614">
        <v>5.6151200000000001</v>
      </c>
      <c r="C614">
        <v>1421.32</v>
      </c>
      <c r="D614">
        <v>205.81</v>
      </c>
    </row>
    <row r="615" spans="1:4" x14ac:dyDescent="0.4">
      <c r="A615" t="s">
        <v>1208</v>
      </c>
      <c r="B615">
        <v>7.0484999999999998</v>
      </c>
      <c r="C615">
        <v>1909.2</v>
      </c>
      <c r="D615">
        <v>151.9</v>
      </c>
    </row>
    <row r="616" spans="1:4" x14ac:dyDescent="0.4">
      <c r="A616" t="s">
        <v>1209</v>
      </c>
      <c r="B616">
        <v>6.9602000000000004</v>
      </c>
      <c r="C616">
        <v>1878.6</v>
      </c>
      <c r="D616">
        <v>139.80000000000001</v>
      </c>
    </row>
    <row r="617" spans="1:4" x14ac:dyDescent="0.4">
      <c r="A617" t="s">
        <v>1210</v>
      </c>
      <c r="B617">
        <v>7.0743</v>
      </c>
      <c r="C617">
        <v>2000</v>
      </c>
      <c r="D617">
        <v>170</v>
      </c>
    </row>
    <row r="618" spans="1:4" x14ac:dyDescent="0.4">
      <c r="A618" t="s">
        <v>1211</v>
      </c>
      <c r="B618">
        <v>7.06</v>
      </c>
      <c r="C618">
        <v>2005.9</v>
      </c>
      <c r="D618">
        <v>170</v>
      </c>
    </row>
    <row r="619" spans="1:4" x14ac:dyDescent="0.4">
      <c r="A619" t="s">
        <v>1212</v>
      </c>
      <c r="B619">
        <v>7.0244999999999997</v>
      </c>
      <c r="C619">
        <v>1862.6</v>
      </c>
      <c r="D619">
        <v>167.5</v>
      </c>
    </row>
    <row r="620" spans="1:4" x14ac:dyDescent="0.4">
      <c r="A620" t="s">
        <v>1213</v>
      </c>
      <c r="B620">
        <v>7.2055300000000004</v>
      </c>
      <c r="C620">
        <v>1972.07</v>
      </c>
      <c r="D620">
        <v>188</v>
      </c>
    </row>
    <row r="621" spans="1:4" x14ac:dyDescent="0.4">
      <c r="A621" t="s">
        <v>1214</v>
      </c>
      <c r="B621">
        <v>7.0155500000000002</v>
      </c>
      <c r="C621">
        <v>1781.9739999999999</v>
      </c>
      <c r="D621">
        <v>162.58199999999999</v>
      </c>
    </row>
    <row r="622" spans="1:4" x14ac:dyDescent="0.4">
      <c r="A622" t="s">
        <v>1215</v>
      </c>
      <c r="B622">
        <v>7.0034900000000002</v>
      </c>
      <c r="C622">
        <v>1825.748</v>
      </c>
      <c r="D622">
        <v>163.47900000000001</v>
      </c>
    </row>
    <row r="623" spans="1:4" x14ac:dyDescent="0.4">
      <c r="A623" t="s">
        <v>1216</v>
      </c>
      <c r="B623">
        <v>7.0006000000000004</v>
      </c>
      <c r="C623">
        <v>1850.2</v>
      </c>
      <c r="D623">
        <v>167.6</v>
      </c>
    </row>
    <row r="624" spans="1:4" x14ac:dyDescent="0.4">
      <c r="A624" t="s">
        <v>1217</v>
      </c>
      <c r="B624">
        <v>7.0235900000000004</v>
      </c>
      <c r="C624">
        <v>1789.95</v>
      </c>
      <c r="D624">
        <v>161.38</v>
      </c>
    </row>
    <row r="625" spans="1:4" x14ac:dyDescent="0.4">
      <c r="A625" t="s">
        <v>1218</v>
      </c>
      <c r="B625">
        <v>6.2373700000000003</v>
      </c>
      <c r="C625">
        <v>1204.5</v>
      </c>
      <c r="D625">
        <v>54</v>
      </c>
    </row>
    <row r="626" spans="1:4" x14ac:dyDescent="0.4">
      <c r="A626" t="s">
        <v>1219</v>
      </c>
      <c r="B626">
        <v>5.5334700000000003</v>
      </c>
      <c r="C626">
        <v>1421.32</v>
      </c>
      <c r="D626">
        <v>205.81</v>
      </c>
    </row>
    <row r="627" spans="1:4" x14ac:dyDescent="0.4">
      <c r="A627" t="s">
        <v>1220</v>
      </c>
      <c r="B627">
        <v>5.5334700000000003</v>
      </c>
      <c r="C627">
        <v>1421.32</v>
      </c>
      <c r="D627">
        <v>205.81</v>
      </c>
    </row>
    <row r="628" spans="1:4" x14ac:dyDescent="0.4">
      <c r="A628" t="s">
        <v>1221</v>
      </c>
      <c r="B628">
        <v>5.5334700000000003</v>
      </c>
      <c r="C628">
        <v>1421.32</v>
      </c>
      <c r="D628">
        <v>205.81</v>
      </c>
    </row>
    <row r="629" spans="1:4" x14ac:dyDescent="0.4">
      <c r="A629" t="s">
        <v>1222</v>
      </c>
      <c r="B629">
        <v>5.5334700000000003</v>
      </c>
      <c r="C629">
        <v>1421.32</v>
      </c>
      <c r="D629">
        <v>205.81</v>
      </c>
    </row>
    <row r="630" spans="1:4" x14ac:dyDescent="0.4">
      <c r="A630" t="s">
        <v>1223</v>
      </c>
      <c r="B630">
        <v>7.0612000000000004</v>
      </c>
      <c r="C630">
        <v>1951</v>
      </c>
      <c r="D630">
        <v>146</v>
      </c>
    </row>
    <row r="631" spans="1:4" x14ac:dyDescent="0.4">
      <c r="A631" t="s">
        <v>1224</v>
      </c>
      <c r="B631">
        <v>7.0364199999999997</v>
      </c>
      <c r="C631">
        <v>1904.1320000000001</v>
      </c>
      <c r="D631">
        <v>160.31800000000001</v>
      </c>
    </row>
    <row r="632" spans="1:4" x14ac:dyDescent="0.4">
      <c r="A632" t="s">
        <v>1225</v>
      </c>
      <c r="B632">
        <v>8.29495</v>
      </c>
      <c r="C632">
        <v>2972.77</v>
      </c>
      <c r="D632">
        <v>272.05200000000002</v>
      </c>
    </row>
    <row r="633" spans="1:4" x14ac:dyDescent="0.4">
      <c r="A633" t="s">
        <v>1226</v>
      </c>
      <c r="B633">
        <v>7.4751099999999999</v>
      </c>
      <c r="C633">
        <v>2154.6999999999998</v>
      </c>
      <c r="D633">
        <v>185</v>
      </c>
    </row>
    <row r="634" spans="1:4" x14ac:dyDescent="0.4">
      <c r="A634" t="s">
        <v>1227</v>
      </c>
      <c r="B634">
        <v>7.0443699999999998</v>
      </c>
      <c r="C634">
        <v>1843.5809999999999</v>
      </c>
      <c r="D634">
        <v>157.917</v>
      </c>
    </row>
    <row r="635" spans="1:4" x14ac:dyDescent="0.4">
      <c r="A635" t="s">
        <v>1228</v>
      </c>
      <c r="B635">
        <v>7.02</v>
      </c>
      <c r="C635">
        <v>1869.2</v>
      </c>
      <c r="D635">
        <v>156</v>
      </c>
    </row>
    <row r="636" spans="1:4" x14ac:dyDescent="0.4">
      <c r="A636" t="s">
        <v>1229</v>
      </c>
      <c r="B636">
        <v>7.0185199999999996</v>
      </c>
      <c r="C636">
        <v>1899.242</v>
      </c>
      <c r="D636">
        <v>161.34800000000001</v>
      </c>
    </row>
    <row r="637" spans="1:4" x14ac:dyDescent="0.4">
      <c r="A637" t="s">
        <v>1230</v>
      </c>
      <c r="B637">
        <v>7.02867</v>
      </c>
      <c r="C637">
        <v>1830.51</v>
      </c>
      <c r="D637">
        <v>154.44999999999999</v>
      </c>
    </row>
    <row r="638" spans="1:4" x14ac:dyDescent="0.4">
      <c r="A638" t="s">
        <v>1231</v>
      </c>
      <c r="B638">
        <v>6.1585999999999999</v>
      </c>
      <c r="C638">
        <v>1380</v>
      </c>
      <c r="D638">
        <v>91</v>
      </c>
    </row>
    <row r="639" spans="1:4" x14ac:dyDescent="0.4">
      <c r="A639" t="s">
        <v>1232</v>
      </c>
      <c r="B639">
        <v>5.4612299999999996</v>
      </c>
      <c r="C639">
        <v>1421.32</v>
      </c>
      <c r="D639">
        <v>205.81</v>
      </c>
    </row>
    <row r="640" spans="1:4" x14ac:dyDescent="0.4">
      <c r="A640" t="s">
        <v>1233</v>
      </c>
      <c r="B640">
        <v>5.4612299999999996</v>
      </c>
      <c r="C640">
        <v>1421.32</v>
      </c>
      <c r="D640">
        <v>205.81</v>
      </c>
    </row>
    <row r="641" spans="1:4" x14ac:dyDescent="0.4">
      <c r="A641" t="s">
        <v>1234</v>
      </c>
      <c r="B641">
        <v>5.4612299999999996</v>
      </c>
      <c r="C641">
        <v>1421.32</v>
      </c>
      <c r="D641">
        <v>205.81</v>
      </c>
    </row>
    <row r="642" spans="1:4" x14ac:dyDescent="0.4">
      <c r="A642" t="s">
        <v>1235</v>
      </c>
      <c r="B642">
        <v>5.4612299999999996</v>
      </c>
      <c r="C642">
        <v>1421.32</v>
      </c>
      <c r="D642">
        <v>205.81</v>
      </c>
    </row>
    <row r="643" spans="1:4" x14ac:dyDescent="0.4">
      <c r="A643" t="s">
        <v>1236</v>
      </c>
      <c r="B643">
        <v>5.4612299999999996</v>
      </c>
      <c r="C643">
        <v>1421.32</v>
      </c>
      <c r="D643">
        <v>205.81</v>
      </c>
    </row>
    <row r="644" spans="1:4" x14ac:dyDescent="0.4">
      <c r="A644" t="s">
        <v>1237</v>
      </c>
      <c r="B644">
        <v>7.0750000000000002</v>
      </c>
      <c r="C644">
        <v>1990</v>
      </c>
      <c r="D644">
        <v>140</v>
      </c>
    </row>
    <row r="645" spans="1:4" x14ac:dyDescent="0.4">
      <c r="A645" t="s">
        <v>1238</v>
      </c>
      <c r="B645">
        <v>6.9579000000000004</v>
      </c>
      <c r="C645">
        <v>1935.6</v>
      </c>
      <c r="D645">
        <v>129</v>
      </c>
    </row>
    <row r="646" spans="1:4" x14ac:dyDescent="0.4">
      <c r="A646" t="s">
        <v>1239</v>
      </c>
      <c r="B646">
        <v>7.0509000000000004</v>
      </c>
      <c r="C646">
        <v>1944.1</v>
      </c>
      <c r="D646">
        <v>153</v>
      </c>
    </row>
    <row r="647" spans="1:4" x14ac:dyDescent="0.4">
      <c r="A647" t="s">
        <v>1240</v>
      </c>
      <c r="B647">
        <v>7.4882900000000001</v>
      </c>
      <c r="C647">
        <v>2216.1999999999998</v>
      </c>
      <c r="D647">
        <v>182</v>
      </c>
    </row>
    <row r="648" spans="1:4" x14ac:dyDescent="0.4">
      <c r="A648" t="s">
        <v>1241</v>
      </c>
      <c r="B648">
        <v>7.03925</v>
      </c>
      <c r="C648">
        <v>1877.91</v>
      </c>
      <c r="D648">
        <v>151.53</v>
      </c>
    </row>
    <row r="649" spans="1:4" x14ac:dyDescent="0.4">
      <c r="A649" t="s">
        <v>1242</v>
      </c>
      <c r="B649">
        <v>7.0319000000000003</v>
      </c>
      <c r="C649">
        <v>1909.1</v>
      </c>
      <c r="D649">
        <v>149</v>
      </c>
    </row>
    <row r="650" spans="1:4" x14ac:dyDescent="0.4">
      <c r="A650" t="s">
        <v>1243</v>
      </c>
      <c r="B650">
        <v>7.0289999999999999</v>
      </c>
      <c r="C650">
        <v>1939.7</v>
      </c>
      <c r="D650">
        <v>154.5</v>
      </c>
    </row>
    <row r="651" spans="1:4" x14ac:dyDescent="0.4">
      <c r="A651" t="s">
        <v>1244</v>
      </c>
      <c r="B651">
        <v>7.0143000000000004</v>
      </c>
      <c r="C651">
        <v>1865.1</v>
      </c>
      <c r="D651">
        <v>149.19999999999999</v>
      </c>
    </row>
    <row r="652" spans="1:4" x14ac:dyDescent="0.4">
      <c r="A652" t="s">
        <v>1245</v>
      </c>
      <c r="B652">
        <v>6.782</v>
      </c>
      <c r="C652">
        <v>1595</v>
      </c>
      <c r="D652">
        <v>85.06</v>
      </c>
    </row>
    <row r="653" spans="1:4" x14ac:dyDescent="0.4">
      <c r="A653" t="s">
        <v>1246</v>
      </c>
      <c r="B653">
        <v>5.3972699999999998</v>
      </c>
      <c r="C653">
        <v>1421.32</v>
      </c>
      <c r="D653">
        <v>205.81</v>
      </c>
    </row>
    <row r="654" spans="1:4" x14ac:dyDescent="0.4">
      <c r="A654" t="s">
        <v>1247</v>
      </c>
      <c r="B654">
        <v>5.3972699999999998</v>
      </c>
      <c r="C654">
        <v>1421.32</v>
      </c>
      <c r="D654">
        <v>205.81</v>
      </c>
    </row>
    <row r="655" spans="1:4" x14ac:dyDescent="0.4">
      <c r="A655" t="s">
        <v>1248</v>
      </c>
      <c r="B655">
        <v>5.3972699999999998</v>
      </c>
      <c r="C655">
        <v>1421.32</v>
      </c>
      <c r="D655">
        <v>205.81</v>
      </c>
    </row>
    <row r="656" spans="1:4" x14ac:dyDescent="0.4">
      <c r="A656" t="s">
        <v>1249</v>
      </c>
      <c r="B656">
        <v>5.3972699999999998</v>
      </c>
      <c r="C656">
        <v>1421.32</v>
      </c>
      <c r="D656">
        <v>205.81</v>
      </c>
    </row>
    <row r="657" spans="1:4" x14ac:dyDescent="0.4">
      <c r="A657" t="s">
        <v>1250</v>
      </c>
      <c r="B657">
        <v>7.0810000000000004</v>
      </c>
      <c r="C657">
        <v>2027</v>
      </c>
      <c r="D657">
        <v>135</v>
      </c>
    </row>
    <row r="658" spans="1:4" x14ac:dyDescent="0.4">
      <c r="A658" t="s">
        <v>1251</v>
      </c>
      <c r="B658">
        <v>7.0693000000000001</v>
      </c>
      <c r="C658">
        <v>1981.6</v>
      </c>
      <c r="D658">
        <v>145.5</v>
      </c>
    </row>
    <row r="659" spans="1:4" x14ac:dyDescent="0.4">
      <c r="A659" t="s">
        <v>1252</v>
      </c>
      <c r="B659">
        <v>7.5028800000000002</v>
      </c>
      <c r="C659">
        <v>2360.7330000000002</v>
      </c>
      <c r="D659">
        <v>212.65199999999999</v>
      </c>
    </row>
    <row r="660" spans="1:4" x14ac:dyDescent="0.4">
      <c r="A660" t="s">
        <v>1253</v>
      </c>
      <c r="B660">
        <v>7.5078699999999996</v>
      </c>
      <c r="C660">
        <v>2281.1</v>
      </c>
      <c r="D660">
        <v>180</v>
      </c>
    </row>
    <row r="661" spans="1:4" x14ac:dyDescent="0.4">
      <c r="A661" t="s">
        <v>1254</v>
      </c>
      <c r="B661">
        <v>7.0451800000000002</v>
      </c>
      <c r="C661">
        <v>1917.9</v>
      </c>
      <c r="D661">
        <v>145.9</v>
      </c>
    </row>
    <row r="662" spans="1:4" x14ac:dyDescent="0.4">
      <c r="A662" t="s">
        <v>1255</v>
      </c>
      <c r="B662">
        <v>7.0472999999999999</v>
      </c>
      <c r="C662">
        <v>1947</v>
      </c>
      <c r="D662">
        <v>141.9</v>
      </c>
    </row>
    <row r="663" spans="1:4" x14ac:dyDescent="0.4">
      <c r="A663" t="s">
        <v>1256</v>
      </c>
      <c r="B663">
        <v>7.0362</v>
      </c>
      <c r="C663">
        <v>1976.7</v>
      </c>
      <c r="D663">
        <v>148</v>
      </c>
    </row>
    <row r="664" spans="1:4" x14ac:dyDescent="0.4">
      <c r="A664" t="s">
        <v>1257</v>
      </c>
      <c r="B664">
        <v>7.0022000000000002</v>
      </c>
      <c r="C664">
        <v>1894.3</v>
      </c>
      <c r="D664">
        <v>143.30000000000001</v>
      </c>
    </row>
    <row r="665" spans="1:4" x14ac:dyDescent="0.4">
      <c r="A665" t="s">
        <v>1258</v>
      </c>
      <c r="B665">
        <v>6.8140000000000001</v>
      </c>
      <c r="C665">
        <v>1632</v>
      </c>
      <c r="D665">
        <v>80.06</v>
      </c>
    </row>
    <row r="666" spans="1:4" x14ac:dyDescent="0.4">
      <c r="A666" t="s">
        <v>1259</v>
      </c>
      <c r="B666">
        <v>5.3364000000000003</v>
      </c>
      <c r="C666">
        <v>1421.32</v>
      </c>
      <c r="D666">
        <v>205.81</v>
      </c>
    </row>
    <row r="667" spans="1:4" x14ac:dyDescent="0.4">
      <c r="A667" t="s">
        <v>1260</v>
      </c>
      <c r="B667">
        <v>5.3364000000000003</v>
      </c>
      <c r="C667">
        <v>1421.32</v>
      </c>
      <c r="D667">
        <v>205.81</v>
      </c>
    </row>
    <row r="668" spans="1:4" x14ac:dyDescent="0.4">
      <c r="A668" t="s">
        <v>1261</v>
      </c>
      <c r="B668">
        <v>5.3364000000000003</v>
      </c>
      <c r="C668">
        <v>1421.32</v>
      </c>
      <c r="D668">
        <v>205.81</v>
      </c>
    </row>
    <row r="669" spans="1:4" x14ac:dyDescent="0.4">
      <c r="A669" t="s">
        <v>1262</v>
      </c>
      <c r="B669">
        <v>5.3364000000000003</v>
      </c>
      <c r="C669">
        <v>1421.32</v>
      </c>
      <c r="D669">
        <v>205.81</v>
      </c>
    </row>
    <row r="670" spans="1:4" x14ac:dyDescent="0.4">
      <c r="A670" t="s">
        <v>1263</v>
      </c>
      <c r="B670">
        <v>5.3364000000000003</v>
      </c>
      <c r="C670">
        <v>1421.32</v>
      </c>
      <c r="D670">
        <v>205.81</v>
      </c>
    </row>
    <row r="671" spans="1:4" x14ac:dyDescent="0.4">
      <c r="A671" t="s">
        <v>1264</v>
      </c>
      <c r="B671">
        <v>7.0960000000000001</v>
      </c>
      <c r="C671">
        <v>2061</v>
      </c>
      <c r="D671">
        <v>129</v>
      </c>
    </row>
    <row r="672" spans="1:4" x14ac:dyDescent="0.4">
      <c r="A672" t="s">
        <v>1265</v>
      </c>
      <c r="B672">
        <v>6.9604999999999997</v>
      </c>
      <c r="C672">
        <v>1981.5</v>
      </c>
      <c r="D672">
        <v>117</v>
      </c>
    </row>
    <row r="673" spans="1:4" x14ac:dyDescent="0.4">
      <c r="A673" t="s">
        <v>1266</v>
      </c>
      <c r="B673">
        <v>7.0842999999999998</v>
      </c>
      <c r="C673">
        <v>2013.9</v>
      </c>
      <c r="D673">
        <v>137.9</v>
      </c>
    </row>
    <row r="674" spans="1:4" x14ac:dyDescent="0.4">
      <c r="A674" t="s">
        <v>1267</v>
      </c>
      <c r="B674">
        <v>7.5171099999999997</v>
      </c>
      <c r="C674">
        <v>2336.6999999999998</v>
      </c>
      <c r="D674">
        <v>177</v>
      </c>
    </row>
    <row r="675" spans="1:4" x14ac:dyDescent="0.4">
      <c r="A675" t="s">
        <v>1268</v>
      </c>
      <c r="B675">
        <v>7.0571000000000002</v>
      </c>
      <c r="C675">
        <v>1961.6</v>
      </c>
      <c r="D675">
        <v>141.19999999999999</v>
      </c>
    </row>
    <row r="676" spans="1:4" x14ac:dyDescent="0.4">
      <c r="A676" t="s">
        <v>1269</v>
      </c>
      <c r="B676">
        <v>7.0629999999999997</v>
      </c>
      <c r="C676">
        <v>1982</v>
      </c>
      <c r="D676">
        <v>135</v>
      </c>
    </row>
    <row r="677" spans="1:4" x14ac:dyDescent="0.4">
      <c r="A677" t="s">
        <v>1270</v>
      </c>
      <c r="B677">
        <v>7.0468999999999999</v>
      </c>
      <c r="C677">
        <v>2012.2</v>
      </c>
      <c r="D677">
        <v>141.5</v>
      </c>
    </row>
    <row r="678" spans="1:4" x14ac:dyDescent="0.4">
      <c r="A678" t="s">
        <v>1271</v>
      </c>
      <c r="B678">
        <v>7.0152999999999999</v>
      </c>
      <c r="C678">
        <v>1932.8</v>
      </c>
      <c r="D678">
        <v>137.6</v>
      </c>
    </row>
    <row r="679" spans="1:4" x14ac:dyDescent="0.4">
      <c r="A679" t="s">
        <v>1272</v>
      </c>
      <c r="B679">
        <v>6.6076899999999998</v>
      </c>
      <c r="C679">
        <v>1632</v>
      </c>
      <c r="D679">
        <v>80.06</v>
      </c>
    </row>
    <row r="680" spans="1:4" x14ac:dyDescent="0.4">
      <c r="A680" t="s">
        <v>1273</v>
      </c>
      <c r="B680">
        <v>5.2824600000000004</v>
      </c>
      <c r="C680">
        <v>1421.32</v>
      </c>
      <c r="D680">
        <v>205.81</v>
      </c>
    </row>
    <row r="681" spans="1:4" x14ac:dyDescent="0.4">
      <c r="A681" t="s">
        <v>1274</v>
      </c>
      <c r="B681">
        <v>5.2824600000000004</v>
      </c>
      <c r="C681">
        <v>1421.32</v>
      </c>
      <c r="D681">
        <v>205.81</v>
      </c>
    </row>
    <row r="682" spans="1:4" x14ac:dyDescent="0.4">
      <c r="A682" t="s">
        <v>1275</v>
      </c>
      <c r="B682">
        <v>5.2824600000000004</v>
      </c>
      <c r="C682">
        <v>1421.32</v>
      </c>
      <c r="D682">
        <v>205.81</v>
      </c>
    </row>
    <row r="683" spans="1:4" x14ac:dyDescent="0.4">
      <c r="A683" t="s">
        <v>1276</v>
      </c>
      <c r="B683">
        <v>5.2824600000000004</v>
      </c>
      <c r="C683">
        <v>1421.32</v>
      </c>
      <c r="D683">
        <v>205.81</v>
      </c>
    </row>
    <row r="684" spans="1:4" x14ac:dyDescent="0.4">
      <c r="A684" t="s">
        <v>1277</v>
      </c>
      <c r="B684">
        <v>7.1050000000000004</v>
      </c>
      <c r="C684">
        <v>2094</v>
      </c>
      <c r="D684">
        <v>124</v>
      </c>
    </row>
    <row r="685" spans="1:4" x14ac:dyDescent="0.4">
      <c r="A685" t="s">
        <v>1278</v>
      </c>
      <c r="B685">
        <v>7.101</v>
      </c>
      <c r="C685">
        <v>2042</v>
      </c>
      <c r="D685">
        <v>130</v>
      </c>
    </row>
    <row r="686" spans="1:4" x14ac:dyDescent="0.4">
      <c r="A686" t="s">
        <v>1279</v>
      </c>
      <c r="B686">
        <v>7.5233600000000003</v>
      </c>
      <c r="C686">
        <v>2386.3000000000002</v>
      </c>
      <c r="D686">
        <v>174</v>
      </c>
    </row>
    <row r="687" spans="1:4" x14ac:dyDescent="0.4">
      <c r="A687" t="s">
        <v>1280</v>
      </c>
      <c r="B687">
        <v>7.0576999999999996</v>
      </c>
      <c r="C687">
        <v>1995.3</v>
      </c>
      <c r="D687">
        <v>136</v>
      </c>
    </row>
    <row r="688" spans="1:4" x14ac:dyDescent="0.4">
      <c r="A688" t="s">
        <v>1281</v>
      </c>
      <c r="B688">
        <v>7.0830000000000002</v>
      </c>
      <c r="C688">
        <v>2016</v>
      </c>
      <c r="D688">
        <v>128</v>
      </c>
    </row>
    <row r="689" spans="1:4" x14ac:dyDescent="0.4">
      <c r="A689" t="s">
        <v>1282</v>
      </c>
      <c r="B689">
        <v>7.0609999999999999</v>
      </c>
      <c r="C689">
        <v>2046</v>
      </c>
      <c r="D689">
        <v>135</v>
      </c>
    </row>
    <row r="690" spans="1:4" x14ac:dyDescent="0.4">
      <c r="A690" t="s">
        <v>1283</v>
      </c>
      <c r="B690">
        <v>7.1521999999999997</v>
      </c>
      <c r="C690">
        <v>2032.7</v>
      </c>
      <c r="D690">
        <v>132.1</v>
      </c>
    </row>
    <row r="691" spans="1:4" x14ac:dyDescent="0.4">
      <c r="A691" t="s">
        <v>1284</v>
      </c>
      <c r="B691">
        <v>6.8719999999999999</v>
      </c>
      <c r="C691">
        <v>1699</v>
      </c>
      <c r="D691">
        <v>70.06</v>
      </c>
    </row>
    <row r="692" spans="1:4" x14ac:dyDescent="0.4">
      <c r="A692" t="s">
        <v>1285</v>
      </c>
      <c r="B692">
        <v>5.2347299999999999</v>
      </c>
      <c r="C692">
        <v>1421.32</v>
      </c>
      <c r="D692">
        <v>205.81</v>
      </c>
    </row>
    <row r="693" spans="1:4" x14ac:dyDescent="0.4">
      <c r="A693" t="s">
        <v>1286</v>
      </c>
      <c r="B693">
        <v>5.2347299999999999</v>
      </c>
      <c r="C693">
        <v>1421.32</v>
      </c>
      <c r="D693">
        <v>205.81</v>
      </c>
    </row>
    <row r="694" spans="1:4" x14ac:dyDescent="0.4">
      <c r="A694" t="s">
        <v>1287</v>
      </c>
      <c r="B694">
        <v>5.2347299999999999</v>
      </c>
      <c r="C694">
        <v>1421.32</v>
      </c>
      <c r="D694">
        <v>205.81</v>
      </c>
    </row>
    <row r="695" spans="1:4" x14ac:dyDescent="0.4">
      <c r="A695" t="s">
        <v>1288</v>
      </c>
      <c r="B695">
        <v>5.2347299999999999</v>
      </c>
      <c r="C695">
        <v>1421.32</v>
      </c>
      <c r="D695">
        <v>205.81</v>
      </c>
    </row>
    <row r="696" spans="1:4" x14ac:dyDescent="0.4">
      <c r="A696" t="s">
        <v>1289</v>
      </c>
      <c r="B696">
        <v>5.2347299999999999</v>
      </c>
      <c r="C696">
        <v>1421.32</v>
      </c>
      <c r="D696">
        <v>205.81</v>
      </c>
    </row>
    <row r="697" spans="1:4" x14ac:dyDescent="0.4">
      <c r="A697" t="s">
        <v>1290</v>
      </c>
      <c r="B697">
        <v>7.1139999999999999</v>
      </c>
      <c r="C697">
        <v>2125</v>
      </c>
      <c r="D697">
        <v>119</v>
      </c>
    </row>
    <row r="698" spans="1:4" x14ac:dyDescent="0.4">
      <c r="A698" t="s">
        <v>1291</v>
      </c>
      <c r="B698">
        <v>6.9720000000000004</v>
      </c>
      <c r="C698">
        <v>2019</v>
      </c>
      <c r="D698">
        <v>103.1</v>
      </c>
    </row>
    <row r="699" spans="1:4" x14ac:dyDescent="0.4">
      <c r="A699" t="s">
        <v>1292</v>
      </c>
      <c r="B699">
        <v>7.1139999999999999</v>
      </c>
      <c r="C699">
        <v>2067</v>
      </c>
      <c r="D699">
        <v>122</v>
      </c>
    </row>
    <row r="700" spans="1:4" x14ac:dyDescent="0.4">
      <c r="A700" t="s">
        <v>1293</v>
      </c>
      <c r="B700">
        <v>7.1029999999999998</v>
      </c>
      <c r="C700">
        <v>2048</v>
      </c>
      <c r="D700">
        <v>121</v>
      </c>
    </row>
    <row r="701" spans="1:4" x14ac:dyDescent="0.4">
      <c r="A701" t="s">
        <v>1294</v>
      </c>
      <c r="B701">
        <v>7.0720000000000001</v>
      </c>
      <c r="C701">
        <v>2078</v>
      </c>
      <c r="D701">
        <v>129</v>
      </c>
    </row>
    <row r="702" spans="1:4" x14ac:dyDescent="0.4">
      <c r="A702" t="s">
        <v>1295</v>
      </c>
      <c r="B702">
        <v>7.14</v>
      </c>
      <c r="C702">
        <v>2095</v>
      </c>
      <c r="D702">
        <v>114</v>
      </c>
    </row>
    <row r="703" spans="1:4" x14ac:dyDescent="0.4">
      <c r="A703" t="s">
        <v>1296</v>
      </c>
      <c r="B703">
        <v>7.0739999999999998</v>
      </c>
      <c r="C703">
        <v>2099</v>
      </c>
      <c r="D703">
        <v>122</v>
      </c>
    </row>
    <row r="704" spans="1:4" x14ac:dyDescent="0.4">
      <c r="A704" t="s">
        <v>1297</v>
      </c>
      <c r="B704">
        <v>8.0050000000000008</v>
      </c>
      <c r="C704">
        <v>1600.0170000000001</v>
      </c>
      <c r="D704">
        <v>291.80900000000003</v>
      </c>
    </row>
    <row r="705" spans="1:4" x14ac:dyDescent="0.4">
      <c r="A705" t="s">
        <v>1298</v>
      </c>
      <c r="B705">
        <v>7.3869999999999996</v>
      </c>
      <c r="C705">
        <v>1533.3130000000001</v>
      </c>
      <c r="D705">
        <v>222.309</v>
      </c>
    </row>
    <row r="706" spans="1:4" x14ac:dyDescent="0.4">
      <c r="A706" t="s">
        <v>1299</v>
      </c>
      <c r="B706">
        <v>7.149</v>
      </c>
      <c r="C706">
        <v>1444.7180000000001</v>
      </c>
      <c r="D706">
        <v>199.81700000000001</v>
      </c>
    </row>
    <row r="707" spans="1:4" x14ac:dyDescent="0.4">
      <c r="A707" t="s">
        <v>1300</v>
      </c>
      <c r="B707">
        <v>7.117</v>
      </c>
      <c r="C707">
        <v>1210.595</v>
      </c>
      <c r="D707">
        <v>229.66399999999999</v>
      </c>
    </row>
    <row r="708" spans="1:4" x14ac:dyDescent="0.4">
      <c r="A708" t="s">
        <v>1301</v>
      </c>
      <c r="B708">
        <v>7.1189999999999998</v>
      </c>
      <c r="C708">
        <v>1314.4</v>
      </c>
      <c r="D708">
        <v>230</v>
      </c>
    </row>
    <row r="709" spans="1:4" x14ac:dyDescent="0.4">
      <c r="A709" t="s">
        <v>1302</v>
      </c>
      <c r="B709">
        <v>11.293200000000001</v>
      </c>
      <c r="C709">
        <v>3939.877</v>
      </c>
      <c r="D709">
        <v>273.16000000000003</v>
      </c>
    </row>
    <row r="710" spans="1:4" x14ac:dyDescent="0.4">
      <c r="A710" t="s">
        <v>1303</v>
      </c>
      <c r="B710">
        <v>5.6520000000000001</v>
      </c>
      <c r="C710">
        <v>648.62900000000002</v>
      </c>
      <c r="D710">
        <v>154.68299999999999</v>
      </c>
    </row>
    <row r="711" spans="1:4" x14ac:dyDescent="0.4">
      <c r="A711" t="s">
        <v>1304</v>
      </c>
      <c r="B711">
        <v>7.0380000000000003</v>
      </c>
      <c r="C711">
        <v>1232.53</v>
      </c>
      <c r="D711">
        <v>222.47</v>
      </c>
    </row>
    <row r="712" spans="1:4" x14ac:dyDescent="0.4">
      <c r="A712" t="s">
        <v>1305</v>
      </c>
      <c r="B712">
        <v>7.32</v>
      </c>
      <c r="C712">
        <v>1731.5150000000001</v>
      </c>
      <c r="D712">
        <v>206.04900000000001</v>
      </c>
    </row>
    <row r="713" spans="1:4" x14ac:dyDescent="0.4">
      <c r="A713" t="s">
        <v>1306</v>
      </c>
      <c r="B713">
        <v>6.9050000000000002</v>
      </c>
      <c r="C713">
        <v>1211.0329999999999</v>
      </c>
      <c r="D713">
        <v>220.79</v>
      </c>
    </row>
    <row r="714" spans="1:4" x14ac:dyDescent="0.4">
      <c r="A714" t="s">
        <v>1307</v>
      </c>
      <c r="B714">
        <v>7.4743000000000004</v>
      </c>
      <c r="C714">
        <v>1314.19</v>
      </c>
      <c r="D714">
        <v>186.55</v>
      </c>
    </row>
    <row r="715" spans="1:4" x14ac:dyDescent="0.4">
      <c r="A715" t="s">
        <v>1308</v>
      </c>
      <c r="B715">
        <v>7.4767999999999999</v>
      </c>
      <c r="C715">
        <v>1362.39</v>
      </c>
      <c r="D715">
        <v>178.77</v>
      </c>
    </row>
    <row r="716" spans="1:4" x14ac:dyDescent="0.4">
      <c r="A716" t="s">
        <v>1309</v>
      </c>
      <c r="B716">
        <v>6.9420000000000002</v>
      </c>
      <c r="C716">
        <v>1169.1099999999999</v>
      </c>
      <c r="D716">
        <v>241.59</v>
      </c>
    </row>
    <row r="717" spans="1:4" x14ac:dyDescent="0.4">
      <c r="A717" t="s">
        <v>1310</v>
      </c>
      <c r="B717">
        <v>6.9340000000000002</v>
      </c>
      <c r="C717">
        <v>1242.43</v>
      </c>
      <c r="D717">
        <v>230</v>
      </c>
    </row>
    <row r="718" spans="1:4" x14ac:dyDescent="0.4">
      <c r="A718" t="s">
        <v>1311</v>
      </c>
      <c r="B718">
        <v>6.9779999999999998</v>
      </c>
      <c r="C718">
        <v>1431.05</v>
      </c>
      <c r="D718">
        <v>217.55</v>
      </c>
    </row>
    <row r="719" spans="1:4" x14ac:dyDescent="0.4">
      <c r="A719" t="s">
        <v>1312</v>
      </c>
      <c r="B719">
        <v>6.4930000000000003</v>
      </c>
      <c r="C719">
        <v>929.44</v>
      </c>
      <c r="D719">
        <v>196.03</v>
      </c>
    </row>
    <row r="720" spans="1:4" x14ac:dyDescent="0.4">
      <c r="A720" t="s">
        <v>1313</v>
      </c>
      <c r="B720">
        <v>6.1609999999999996</v>
      </c>
      <c r="C720">
        <v>783.45</v>
      </c>
      <c r="D720">
        <v>179.7</v>
      </c>
    </row>
    <row r="721" spans="1:4" x14ac:dyDescent="0.4">
      <c r="A721" t="s">
        <v>1314</v>
      </c>
      <c r="B721">
        <v>7.508</v>
      </c>
      <c r="C721">
        <v>1856.36</v>
      </c>
      <c r="D721">
        <v>199.07</v>
      </c>
    </row>
    <row r="722" spans="1:4" x14ac:dyDescent="0.4">
      <c r="A722" t="s">
        <v>1315</v>
      </c>
      <c r="B722">
        <v>6.9109999999999996</v>
      </c>
      <c r="C722">
        <v>1435.5</v>
      </c>
      <c r="D722">
        <v>165.16</v>
      </c>
    </row>
    <row r="723" spans="1:4" x14ac:dyDescent="0.4">
      <c r="A723" t="s">
        <v>1316</v>
      </c>
      <c r="B723">
        <v>7.0350000000000001</v>
      </c>
      <c r="C723">
        <v>1511.08</v>
      </c>
      <c r="D723">
        <v>161.85</v>
      </c>
    </row>
    <row r="724" spans="1:4" x14ac:dyDescent="0.4">
      <c r="A724" t="s">
        <v>1317</v>
      </c>
      <c r="B724">
        <v>6.9366599999999998</v>
      </c>
      <c r="C724">
        <v>1460.7929999999999</v>
      </c>
      <c r="D724">
        <v>207.78</v>
      </c>
    </row>
    <row r="725" spans="1:4" x14ac:dyDescent="0.4">
      <c r="A725" t="s">
        <v>1318</v>
      </c>
      <c r="B725">
        <v>6.8410000000000002</v>
      </c>
      <c r="C725">
        <v>1201.53</v>
      </c>
      <c r="D725">
        <v>222.65</v>
      </c>
    </row>
    <row r="726" spans="1:4" x14ac:dyDescent="0.4">
      <c r="A726" t="s">
        <v>1319</v>
      </c>
      <c r="B726">
        <v>6.2549999999999999</v>
      </c>
      <c r="C726">
        <v>912.87</v>
      </c>
      <c r="D726">
        <v>109.13</v>
      </c>
    </row>
    <row r="727" spans="1:4" x14ac:dyDescent="0.4">
      <c r="A727" t="s">
        <v>1320</v>
      </c>
      <c r="B727">
        <v>7.8491999999999997</v>
      </c>
      <c r="C727">
        <v>2137.192</v>
      </c>
      <c r="D727">
        <v>273.16000000000003</v>
      </c>
    </row>
    <row r="728" spans="1:4" x14ac:dyDescent="0.4">
      <c r="A728" t="s">
        <v>1321</v>
      </c>
      <c r="B728">
        <v>7.0250000000000004</v>
      </c>
      <c r="C728">
        <v>1272.3</v>
      </c>
      <c r="D728">
        <v>222.9</v>
      </c>
    </row>
    <row r="729" spans="1:4" x14ac:dyDescent="0.4">
      <c r="A729" t="s">
        <v>1322</v>
      </c>
      <c r="B729">
        <v>6.9649999999999999</v>
      </c>
      <c r="C729">
        <v>1141.9000000000001</v>
      </c>
      <c r="D729">
        <v>231.9</v>
      </c>
    </row>
    <row r="730" spans="1:4" x14ac:dyDescent="0.4">
      <c r="A730" t="s">
        <v>1323</v>
      </c>
      <c r="B730">
        <v>7.4660000000000002</v>
      </c>
      <c r="C730">
        <v>1993.57</v>
      </c>
      <c r="D730">
        <v>218.5</v>
      </c>
    </row>
    <row r="731" spans="1:4" x14ac:dyDescent="0.4">
      <c r="A731" t="s">
        <v>1324</v>
      </c>
      <c r="B731">
        <v>6.9279999999999999</v>
      </c>
      <c r="C731">
        <v>1400.87</v>
      </c>
      <c r="D731">
        <v>196.43</v>
      </c>
    </row>
    <row r="732" spans="1:4" x14ac:dyDescent="0.4">
      <c r="A732" t="s">
        <v>1325</v>
      </c>
      <c r="B732">
        <v>7.4080000000000004</v>
      </c>
      <c r="C732">
        <v>1305.9100000000001</v>
      </c>
      <c r="D732">
        <v>225.53</v>
      </c>
    </row>
    <row r="733" spans="1:4" x14ac:dyDescent="0.4">
      <c r="A733" t="s">
        <v>1326</v>
      </c>
      <c r="B733">
        <v>4.5220000000000002</v>
      </c>
      <c r="C733">
        <v>700.31</v>
      </c>
      <c r="D733">
        <v>51.42</v>
      </c>
    </row>
    <row r="734" spans="1:4" x14ac:dyDescent="0.4">
      <c r="A734" t="s">
        <v>1327</v>
      </c>
      <c r="B734">
        <v>4.3369999999999997</v>
      </c>
      <c r="C734">
        <v>229.2</v>
      </c>
      <c r="D734">
        <v>-137</v>
      </c>
    </row>
    <row r="735" spans="1:4" x14ac:dyDescent="0.4">
      <c r="A735" t="s">
        <v>1328</v>
      </c>
      <c r="B735">
        <v>7.431</v>
      </c>
      <c r="C735">
        <v>1554.68</v>
      </c>
      <c r="D735">
        <v>240.34</v>
      </c>
    </row>
    <row r="736" spans="1:4" x14ac:dyDescent="0.4">
      <c r="A736" t="s">
        <v>1329</v>
      </c>
      <c r="B736">
        <v>8.2294</v>
      </c>
      <c r="C736">
        <v>2086.8159999999998</v>
      </c>
      <c r="D736">
        <v>273.16000000000003</v>
      </c>
    </row>
    <row r="737" spans="1:4" x14ac:dyDescent="0.4">
      <c r="A737" t="s">
        <v>1330</v>
      </c>
      <c r="B737">
        <v>8.3209999999999997</v>
      </c>
      <c r="C737">
        <v>1718.21</v>
      </c>
      <c r="D737">
        <v>237.52</v>
      </c>
    </row>
    <row r="738" spans="1:4" x14ac:dyDescent="0.4">
      <c r="A738" t="s">
        <v>1331</v>
      </c>
      <c r="B738">
        <v>7.4560000000000004</v>
      </c>
      <c r="C738">
        <v>1577.67</v>
      </c>
      <c r="D738">
        <v>173.37</v>
      </c>
    </row>
    <row r="739" spans="1:4" x14ac:dyDescent="0.4">
      <c r="A739" t="s">
        <v>1332</v>
      </c>
      <c r="B739">
        <v>7.101</v>
      </c>
      <c r="C739">
        <v>1244.95</v>
      </c>
      <c r="D739">
        <v>217.88</v>
      </c>
    </row>
    <row r="740" spans="1:4" x14ac:dyDescent="0.4">
      <c r="A740" t="s">
        <v>1333</v>
      </c>
      <c r="B740">
        <v>7.9645000000000001</v>
      </c>
      <c r="C740">
        <v>1897.011</v>
      </c>
      <c r="D740">
        <v>273.16000000000003</v>
      </c>
    </row>
    <row r="741" spans="1:4" x14ac:dyDescent="0.4">
      <c r="A741" t="s">
        <v>1334</v>
      </c>
      <c r="B741">
        <v>6.9749999999999996</v>
      </c>
      <c r="C741">
        <v>1424.2550000000001</v>
      </c>
      <c r="D741">
        <v>213.21</v>
      </c>
    </row>
    <row r="742" spans="1:4" x14ac:dyDescent="0.4">
      <c r="A742" t="s">
        <v>1335</v>
      </c>
      <c r="B742">
        <v>6.9859999999999998</v>
      </c>
      <c r="C742">
        <v>1030.01</v>
      </c>
      <c r="D742">
        <v>238.61</v>
      </c>
    </row>
    <row r="743" spans="1:4" x14ac:dyDescent="0.4">
      <c r="A743" t="s">
        <v>1336</v>
      </c>
      <c r="B743">
        <v>6.92</v>
      </c>
      <c r="C743">
        <v>1064.07</v>
      </c>
      <c r="D743">
        <v>228.8</v>
      </c>
    </row>
    <row r="744" spans="1:4" x14ac:dyDescent="0.4">
      <c r="A744" t="s">
        <v>1337</v>
      </c>
      <c r="B744">
        <v>7.5810000000000004</v>
      </c>
      <c r="C744">
        <v>1699.2</v>
      </c>
      <c r="D744">
        <v>260.7</v>
      </c>
    </row>
    <row r="745" spans="1:4" x14ac:dyDescent="0.4">
      <c r="A745" t="s">
        <v>1338</v>
      </c>
      <c r="B745">
        <v>6.9749999999999996</v>
      </c>
      <c r="C745">
        <v>1060.8699999999999</v>
      </c>
      <c r="D745">
        <v>227.74</v>
      </c>
    </row>
    <row r="746" spans="1:4" x14ac:dyDescent="0.4">
      <c r="A746" t="s">
        <v>1339</v>
      </c>
      <c r="B746">
        <v>6.5750000000000002</v>
      </c>
      <c r="C746">
        <v>1198.7</v>
      </c>
      <c r="D746">
        <v>162.80000000000001</v>
      </c>
    </row>
    <row r="747" spans="1:4" x14ac:dyDescent="0.4">
      <c r="A747" t="s">
        <v>1340</v>
      </c>
      <c r="B747">
        <v>6.8994</v>
      </c>
      <c r="C747">
        <v>1331.53</v>
      </c>
      <c r="D747">
        <v>212.41</v>
      </c>
    </row>
    <row r="748" spans="1:4" x14ac:dyDescent="0.4">
      <c r="A748" t="s">
        <v>1341</v>
      </c>
      <c r="B748">
        <v>6.8760000000000003</v>
      </c>
      <c r="C748">
        <v>1171.17</v>
      </c>
      <c r="D748">
        <v>224.41</v>
      </c>
    </row>
    <row r="749" spans="1:4" x14ac:dyDescent="0.4">
      <c r="A749" t="s">
        <v>1342</v>
      </c>
      <c r="B749">
        <v>7.86</v>
      </c>
      <c r="C749">
        <v>1761.26</v>
      </c>
      <c r="D749">
        <v>196.66</v>
      </c>
    </row>
    <row r="750" spans="1:4" x14ac:dyDescent="0.4">
      <c r="A750" t="s">
        <v>1343</v>
      </c>
      <c r="B750">
        <v>7.5279999999999996</v>
      </c>
      <c r="C750">
        <v>1329.5</v>
      </c>
      <c r="D750">
        <v>260.39999999999998</v>
      </c>
    </row>
    <row r="751" spans="1:4" x14ac:dyDescent="0.4">
      <c r="A751" t="s">
        <v>1344</v>
      </c>
      <c r="B751">
        <v>8.1176999999999992</v>
      </c>
      <c r="C751">
        <v>1580.92</v>
      </c>
      <c r="D751">
        <v>219.61</v>
      </c>
    </row>
    <row r="752" spans="1:4" x14ac:dyDescent="0.4">
      <c r="A752" t="s">
        <v>1345</v>
      </c>
      <c r="B752">
        <v>7.8970000000000002</v>
      </c>
      <c r="C752">
        <v>1474.08</v>
      </c>
      <c r="D752">
        <v>229.13</v>
      </c>
    </row>
    <row r="753" spans="1:4" x14ac:dyDescent="0.4">
      <c r="A753" t="s">
        <v>1346</v>
      </c>
      <c r="B753">
        <v>7.0650000000000004</v>
      </c>
      <c r="C753">
        <v>1157.6300000000001</v>
      </c>
      <c r="D753">
        <v>219.73</v>
      </c>
    </row>
    <row r="754" spans="1:4" x14ac:dyDescent="0.4">
      <c r="A754" t="s">
        <v>1347</v>
      </c>
      <c r="B754">
        <v>6.8644999999999996</v>
      </c>
      <c r="C754">
        <v>1150.2070000000001</v>
      </c>
      <c r="D754">
        <v>209.24600000000001</v>
      </c>
    </row>
    <row r="755" spans="1:4" x14ac:dyDescent="0.4">
      <c r="A755" t="s">
        <v>1348</v>
      </c>
      <c r="B755">
        <v>6.6719999999999997</v>
      </c>
      <c r="C755">
        <v>1168.4000000000001</v>
      </c>
      <c r="D755">
        <v>191.9</v>
      </c>
    </row>
    <row r="756" spans="1:4" x14ac:dyDescent="0.4">
      <c r="A756" t="s">
        <v>1349</v>
      </c>
      <c r="B756">
        <v>8.4090000000000007</v>
      </c>
      <c r="C756">
        <v>2050.5</v>
      </c>
      <c r="D756">
        <v>274.39999999999998</v>
      </c>
    </row>
    <row r="757" spans="1:4" x14ac:dyDescent="0.4">
      <c r="A757" t="s">
        <v>1350</v>
      </c>
      <c r="B757">
        <v>6.923</v>
      </c>
      <c r="C757">
        <v>1486.88</v>
      </c>
      <c r="D757">
        <v>202.4</v>
      </c>
    </row>
    <row r="758" spans="1:4" x14ac:dyDescent="0.4">
      <c r="A758" t="s">
        <v>1351</v>
      </c>
      <c r="B758">
        <v>7.4089999999999998</v>
      </c>
      <c r="C758">
        <v>1325.9</v>
      </c>
      <c r="D758">
        <v>252.6</v>
      </c>
    </row>
    <row r="759" spans="1:4" x14ac:dyDescent="0.4">
      <c r="A759" t="s">
        <v>1352</v>
      </c>
      <c r="B759">
        <v>7.7180999999999997</v>
      </c>
      <c r="C759">
        <v>1745.8</v>
      </c>
      <c r="D759">
        <v>235</v>
      </c>
    </row>
    <row r="760" spans="1:4" x14ac:dyDescent="0.4">
      <c r="A760" t="s">
        <v>1353</v>
      </c>
      <c r="B760">
        <v>7.37</v>
      </c>
      <c r="C760">
        <v>1968.36</v>
      </c>
      <c r="D760">
        <v>222.61</v>
      </c>
    </row>
    <row r="761" spans="1:4" x14ac:dyDescent="0.4">
      <c r="A761" t="s">
        <v>1354</v>
      </c>
      <c r="B761">
        <v>7.1150000000000002</v>
      </c>
      <c r="C761">
        <v>1746.6</v>
      </c>
      <c r="D761">
        <v>201.8</v>
      </c>
    </row>
    <row r="762" spans="1:4" x14ac:dyDescent="0.4">
      <c r="A762" t="s">
        <v>1355</v>
      </c>
      <c r="B762">
        <v>6.74</v>
      </c>
      <c r="C762">
        <v>1378</v>
      </c>
      <c r="D762">
        <v>197</v>
      </c>
    </row>
    <row r="763" spans="1:4" x14ac:dyDescent="0.4">
      <c r="A763" t="s">
        <v>1356</v>
      </c>
      <c r="B763">
        <v>7.133</v>
      </c>
      <c r="C763">
        <v>1516.79</v>
      </c>
      <c r="D763">
        <v>174.95</v>
      </c>
    </row>
    <row r="764" spans="1:4" x14ac:dyDescent="0.4">
      <c r="A764" t="s">
        <v>1357</v>
      </c>
      <c r="B764">
        <v>7.032</v>
      </c>
      <c r="C764">
        <v>1415.73</v>
      </c>
      <c r="D764">
        <v>211.63</v>
      </c>
    </row>
    <row r="765" spans="1:4" x14ac:dyDescent="0.4">
      <c r="A765" t="s">
        <v>1358</v>
      </c>
      <c r="B765">
        <v>8.1170000000000009</v>
      </c>
      <c r="C765">
        <v>1580.92</v>
      </c>
      <c r="D765">
        <v>219.61</v>
      </c>
    </row>
    <row r="766" spans="1:4" x14ac:dyDescent="0.4">
      <c r="A766" t="s">
        <v>1359</v>
      </c>
      <c r="B766">
        <v>8.2081999999999997</v>
      </c>
      <c r="C766">
        <v>2085.9</v>
      </c>
      <c r="D766">
        <v>203.54</v>
      </c>
    </row>
    <row r="767" spans="1:4" x14ac:dyDescent="0.4">
      <c r="A767" t="s">
        <v>1360</v>
      </c>
      <c r="B767">
        <v>7.0670999999999999</v>
      </c>
      <c r="C767">
        <v>1133.2670000000001</v>
      </c>
      <c r="D767">
        <v>236.1054</v>
      </c>
    </row>
    <row r="768" spans="1:4" x14ac:dyDescent="0.4">
      <c r="A768" t="s">
        <v>1361</v>
      </c>
      <c r="B768">
        <v>7.0410000000000004</v>
      </c>
      <c r="C768">
        <v>1373.8</v>
      </c>
      <c r="D768">
        <v>214.98</v>
      </c>
    </row>
    <row r="769" spans="1:4" x14ac:dyDescent="0.4">
      <c r="A769" t="s">
        <v>1362</v>
      </c>
      <c r="B769">
        <v>6.9242999999999997</v>
      </c>
      <c r="C769">
        <v>1884.547</v>
      </c>
      <c r="D769">
        <v>186.06</v>
      </c>
    </row>
    <row r="770" spans="1:4" x14ac:dyDescent="0.4">
      <c r="A770" t="s">
        <v>1363</v>
      </c>
      <c r="B770">
        <v>7.14</v>
      </c>
      <c r="C770">
        <v>1574.51</v>
      </c>
      <c r="D770">
        <v>224.09</v>
      </c>
    </row>
    <row r="771" spans="1:4" x14ac:dyDescent="0.4">
      <c r="A771" t="s">
        <v>1364</v>
      </c>
      <c r="B771">
        <v>6.8979999999999997</v>
      </c>
      <c r="C771">
        <v>1365.88</v>
      </c>
      <c r="D771">
        <v>209.74</v>
      </c>
    </row>
    <row r="772" spans="1:4" x14ac:dyDescent="0.4">
      <c r="A772" t="s">
        <v>1365</v>
      </c>
      <c r="B772">
        <v>6.6310000000000002</v>
      </c>
      <c r="C772">
        <v>1228.0999999999999</v>
      </c>
      <c r="D772">
        <v>179.9</v>
      </c>
    </row>
    <row r="773" spans="1:4" x14ac:dyDescent="0.4">
      <c r="A773" t="s">
        <v>1366</v>
      </c>
      <c r="B773">
        <v>6.98</v>
      </c>
      <c r="C773">
        <v>1386.92</v>
      </c>
      <c r="D773">
        <v>217.53</v>
      </c>
    </row>
    <row r="774" spans="1:4" x14ac:dyDescent="0.4">
      <c r="A774" t="s">
        <v>1367</v>
      </c>
      <c r="B774">
        <v>6.9950000000000001</v>
      </c>
      <c r="C774">
        <v>1202.29</v>
      </c>
      <c r="D774">
        <v>226.25</v>
      </c>
    </row>
    <row r="775" spans="1:4" x14ac:dyDescent="0.4">
      <c r="A775" s="12" t="s">
        <v>158</v>
      </c>
      <c r="B775">
        <v>6.9539999999999997</v>
      </c>
      <c r="C775">
        <v>1344.8</v>
      </c>
      <c r="D775">
        <v>219.48</v>
      </c>
    </row>
    <row r="776" spans="1:4" x14ac:dyDescent="0.4">
      <c r="A776" t="s">
        <v>1368</v>
      </c>
      <c r="B776">
        <v>6.88</v>
      </c>
      <c r="C776">
        <v>1099.9000000000001</v>
      </c>
      <c r="D776">
        <v>227.5</v>
      </c>
    </row>
    <row r="777" spans="1:4" x14ac:dyDescent="0.4">
      <c r="A777" t="s">
        <v>1369</v>
      </c>
      <c r="B777">
        <v>8.6430000000000007</v>
      </c>
      <c r="C777">
        <v>2136.6</v>
      </c>
      <c r="D777">
        <v>302.8</v>
      </c>
    </row>
    <row r="778" spans="1:4" x14ac:dyDescent="0.4">
      <c r="A778" t="s">
        <v>1370</v>
      </c>
      <c r="B778">
        <v>6.9509999999999996</v>
      </c>
      <c r="C778">
        <v>1314.41</v>
      </c>
      <c r="D778">
        <v>209.2</v>
      </c>
    </row>
    <row r="779" spans="1:4" x14ac:dyDescent="0.4">
      <c r="A779" t="s">
        <v>1371</v>
      </c>
      <c r="B779">
        <v>6.5179999999999998</v>
      </c>
      <c r="C779">
        <v>1018.6</v>
      </c>
      <c r="D779">
        <v>192.7</v>
      </c>
    </row>
    <row r="780" spans="1:4" x14ac:dyDescent="0.4">
      <c r="A780" t="s">
        <v>1372</v>
      </c>
      <c r="B780">
        <v>6.8840000000000003</v>
      </c>
      <c r="C780">
        <v>1043.0039999999999</v>
      </c>
      <c r="D780">
        <v>236.88</v>
      </c>
    </row>
    <row r="781" spans="1:4" x14ac:dyDescent="0.4">
      <c r="A781" t="s">
        <v>1373</v>
      </c>
      <c r="B781">
        <v>6.9029999999999996</v>
      </c>
      <c r="C781">
        <v>788.2</v>
      </c>
      <c r="D781">
        <v>243.23</v>
      </c>
    </row>
    <row r="782" spans="1:4" x14ac:dyDescent="0.4">
      <c r="A782" t="s">
        <v>1374</v>
      </c>
      <c r="B782">
        <v>7.21</v>
      </c>
      <c r="C782">
        <v>1296.1300000000001</v>
      </c>
      <c r="D782">
        <v>226.66</v>
      </c>
    </row>
    <row r="783" spans="1:4" x14ac:dyDescent="0.4">
      <c r="A783" t="s">
        <v>1375</v>
      </c>
      <c r="B783">
        <v>6.9720000000000004</v>
      </c>
      <c r="C783">
        <v>1099.4000000000001</v>
      </c>
      <c r="D783">
        <v>237.2</v>
      </c>
    </row>
    <row r="784" spans="1:4" x14ac:dyDescent="0.4">
      <c r="A784" t="s">
        <v>1376</v>
      </c>
      <c r="B784">
        <v>7.0090000000000003</v>
      </c>
      <c r="C784">
        <v>1426.2660000000001</v>
      </c>
      <c r="D784">
        <v>215.11</v>
      </c>
    </row>
    <row r="785" spans="1:9" x14ac:dyDescent="0.4">
      <c r="A785" t="s">
        <v>1377</v>
      </c>
      <c r="B785">
        <v>6.9980000000000002</v>
      </c>
      <c r="C785">
        <v>1474.6790000000001</v>
      </c>
      <c r="D785">
        <v>213.69</v>
      </c>
    </row>
    <row r="786" spans="1:9" x14ac:dyDescent="0.4">
      <c r="A786" t="s">
        <v>1378</v>
      </c>
      <c r="B786">
        <v>7.02</v>
      </c>
      <c r="C786">
        <v>1474.4</v>
      </c>
      <c r="D786">
        <v>217.77</v>
      </c>
    </row>
    <row r="787" spans="1:9" x14ac:dyDescent="0.4">
      <c r="A787" t="s">
        <v>1379</v>
      </c>
      <c r="B787">
        <f>3.94736+LOG10(760/1.01325)</f>
        <v>6.8224569798670611</v>
      </c>
      <c r="C787">
        <v>1282.3320000000001</v>
      </c>
      <c r="D787">
        <f>273.15-48.444</f>
        <v>224.70599999999996</v>
      </c>
      <c r="F787">
        <f>194.64-273.15</f>
        <v>-78.509999999999991</v>
      </c>
      <c r="G787">
        <f>298.44-273.15</f>
        <v>25.29000000000002</v>
      </c>
      <c r="H787">
        <f>F787*9/5+32</f>
        <v>-109.31799999999998</v>
      </c>
      <c r="I787">
        <f>G787*9/5+32</f>
        <v>77.522000000000034</v>
      </c>
    </row>
    <row r="788" spans="1:9" x14ac:dyDescent="0.4">
      <c r="A788" t="s">
        <v>1380</v>
      </c>
      <c r="B788">
        <f>3.93679+LOG10(760/1.01325)</f>
        <v>6.8118869798670607</v>
      </c>
      <c r="C788">
        <v>1257.8399999999999</v>
      </c>
      <c r="D788">
        <f>273.15-52.415</f>
        <v>220.73499999999999</v>
      </c>
      <c r="F788">
        <f>297.51-273.15</f>
        <v>24.360000000000014</v>
      </c>
      <c r="G788">
        <f>373.28-273.15</f>
        <v>100.13</v>
      </c>
      <c r="H788">
        <f>F788*9/5+32</f>
        <v>75.848000000000027</v>
      </c>
      <c r="I788">
        <f>G788*9/5+32</f>
        <v>212.23399999999998</v>
      </c>
    </row>
    <row r="789" spans="1:9" x14ac:dyDescent="0.4">
      <c r="A789" t="s">
        <v>163</v>
      </c>
      <c r="B789">
        <v>5.9933463327388701</v>
      </c>
      <c r="C789">
        <v>976.79383350507635</v>
      </c>
      <c r="D789">
        <v>221.1621459490093</v>
      </c>
    </row>
    <row r="790" spans="1:9" x14ac:dyDescent="0.4">
      <c r="A790" t="s">
        <v>164</v>
      </c>
      <c r="B790">
        <v>1.6846285565999872</v>
      </c>
      <c r="C790">
        <v>48.315074565927219</v>
      </c>
      <c r="D790">
        <v>15.290374579049297</v>
      </c>
      <c r="E790" t="s">
        <v>1381</v>
      </c>
      <c r="F790" t="s">
        <v>17</v>
      </c>
    </row>
    <row r="791" spans="1:9" x14ac:dyDescent="0.4">
      <c r="A791" s="18" t="s">
        <v>166</v>
      </c>
      <c r="B791">
        <f>12.82-0.9672*LN(F791)</f>
        <v>11.263351651093739</v>
      </c>
      <c r="C791">
        <f>7261-1216*LN(F791)</f>
        <v>5303.9234984801342</v>
      </c>
      <c r="F791">
        <v>5</v>
      </c>
    </row>
    <row r="792" spans="1:9" x14ac:dyDescent="0.4">
      <c r="A792" s="19" t="s">
        <v>167</v>
      </c>
    </row>
    <row r="793" spans="1:9" x14ac:dyDescent="0.4">
      <c r="A793" s="19" t="s">
        <v>169</v>
      </c>
      <c r="B793">
        <f>15.64-1.854*E793^(0.5)-(0.8742-0.328*E793^(0.5))*LN(F793)</f>
        <v>11.833159350865042</v>
      </c>
      <c r="C793">
        <f>8742-1042*E793^(0.5)-(1049-179.4*E793^(0.5))*LN(F793)</f>
        <v>5500.5958071301211</v>
      </c>
      <c r="E793">
        <v>3</v>
      </c>
      <c r="F793">
        <v>7</v>
      </c>
    </row>
    <row r="794" spans="1:9" x14ac:dyDescent="0.4">
      <c r="A794" s="19" t="s">
        <v>170</v>
      </c>
      <c r="B794">
        <f>15.64-1.854*E794^(0.5)-(0.8742-0.328*E794^(0.5))*LN(F794)</f>
        <v>11.833159350865042</v>
      </c>
      <c r="C794">
        <f>8742-1042*E794^(0.5)-(1049-179.4*E794^(0.5))*LN(F794)</f>
        <v>5500.5958071301211</v>
      </c>
      <c r="E794">
        <v>3</v>
      </c>
      <c r="F794">
        <v>7</v>
      </c>
      <c r="H794">
        <f>B794-C794/(40+459.6)</f>
        <v>0.82315973691363986</v>
      </c>
    </row>
    <row r="795" spans="1:9" x14ac:dyDescent="0.4">
      <c r="A795" s="19" t="s">
        <v>171</v>
      </c>
      <c r="B795">
        <f t="shared" ref="B795:B801" si="0">15.64-1.854*E795^(0.5)-(0.8742-0.328*E795^(0.5))*LN(F795)</f>
        <v>11.800036543119012</v>
      </c>
      <c r="C795">
        <f t="shared" ref="C795:C801" si="1">8742-1042*E795^(0.5)-(1049-179.4*E795^(0.5))*LN(F795)</f>
        <v>5420.7049547864035</v>
      </c>
      <c r="E795">
        <v>3</v>
      </c>
      <c r="F795">
        <v>7.8</v>
      </c>
    </row>
    <row r="796" spans="1:9" x14ac:dyDescent="0.4">
      <c r="A796" s="19" t="s">
        <v>172</v>
      </c>
      <c r="B796">
        <f t="shared" si="0"/>
        <v>11.781018791813869</v>
      </c>
      <c r="C796">
        <f t="shared" si="1"/>
        <v>5374.834919459744</v>
      </c>
      <c r="E796">
        <v>3</v>
      </c>
      <c r="F796">
        <v>8.3000000000000007</v>
      </c>
    </row>
    <row r="797" spans="1:9" x14ac:dyDescent="0.4">
      <c r="A797" s="19" t="s">
        <v>173</v>
      </c>
      <c r="B797">
        <f t="shared" si="0"/>
        <v>11.723985667771684</v>
      </c>
      <c r="C797">
        <f t="shared" si="1"/>
        <v>5237.2733659075366</v>
      </c>
      <c r="E797">
        <v>3</v>
      </c>
      <c r="F797">
        <v>10</v>
      </c>
    </row>
    <row r="798" spans="1:9" x14ac:dyDescent="0.4">
      <c r="A798" s="19" t="s">
        <v>174</v>
      </c>
      <c r="B798">
        <f t="shared" si="0"/>
        <v>11.68120630727924</v>
      </c>
      <c r="C798">
        <f t="shared" si="1"/>
        <v>5134.0913048133925</v>
      </c>
      <c r="E798">
        <v>3</v>
      </c>
      <c r="F798">
        <v>11.5</v>
      </c>
    </row>
    <row r="799" spans="1:9" x14ac:dyDescent="0.4">
      <c r="A799" s="19" t="s">
        <v>175</v>
      </c>
      <c r="B799">
        <f t="shared" si="0"/>
        <v>11.643679289230791</v>
      </c>
      <c r="C799">
        <f t="shared" si="1"/>
        <v>5043.5776780461138</v>
      </c>
      <c r="E799">
        <v>3</v>
      </c>
      <c r="F799">
        <v>13</v>
      </c>
    </row>
    <row r="800" spans="1:9" x14ac:dyDescent="0.4">
      <c r="A800" s="19" t="s">
        <v>176</v>
      </c>
      <c r="B800">
        <f t="shared" si="0"/>
        <v>11.632127452812064</v>
      </c>
      <c r="C800">
        <f t="shared" si="1"/>
        <v>5015.71512289368</v>
      </c>
      <c r="E800">
        <v>3</v>
      </c>
      <c r="F800">
        <v>13.5</v>
      </c>
    </row>
    <row r="801" spans="1:8" x14ac:dyDescent="0.4">
      <c r="A801" s="19" t="s">
        <v>177</v>
      </c>
      <c r="B801">
        <f t="shared" si="0"/>
        <v>11.599877933347765</v>
      </c>
      <c r="C801">
        <f t="shared" si="1"/>
        <v>4937.9306060304634</v>
      </c>
      <c r="E801">
        <v>3</v>
      </c>
      <c r="F801">
        <v>15</v>
      </c>
    </row>
    <row r="802" spans="1:8" x14ac:dyDescent="0.4">
      <c r="A802" s="19" t="s">
        <v>178</v>
      </c>
      <c r="B802">
        <v>12.39</v>
      </c>
      <c r="C802">
        <v>8933</v>
      </c>
    </row>
    <row r="803" spans="1:8" x14ac:dyDescent="0.4">
      <c r="A803" s="19" t="s">
        <v>179</v>
      </c>
    </row>
    <row r="804" spans="1:8" x14ac:dyDescent="0.4">
      <c r="A804" s="19" t="s">
        <v>180</v>
      </c>
    </row>
    <row r="805" spans="1:8" x14ac:dyDescent="0.4">
      <c r="A805" s="19" t="s">
        <v>181</v>
      </c>
      <c r="B805">
        <f>12.82-0.9672*LN(F805)</f>
        <v>11.263351651093739</v>
      </c>
      <c r="C805">
        <f>7261-1216*LN(F805)</f>
        <v>5303.9234984801342</v>
      </c>
      <c r="F805">
        <v>5</v>
      </c>
    </row>
    <row r="806" spans="1:8" x14ac:dyDescent="0.4">
      <c r="A806" s="19" t="s">
        <v>182</v>
      </c>
      <c r="B806" s="68">
        <v>1.667826383373221</v>
      </c>
      <c r="C806" s="68">
        <v>12.128326825266859</v>
      </c>
      <c r="D806" s="68">
        <v>-6.3676904349208749</v>
      </c>
      <c r="F806" s="25"/>
    </row>
    <row r="807" spans="1:8" x14ac:dyDescent="0.4">
      <c r="A807" s="12" t="s">
        <v>183</v>
      </c>
      <c r="B807">
        <f>12.82-0.9672*LN(F807)</f>
        <v>13.314070543306466</v>
      </c>
      <c r="C807">
        <f>7261-1216*LN(F807)</f>
        <v>7882.1639584994446</v>
      </c>
      <c r="F807">
        <v>0.6</v>
      </c>
    </row>
    <row r="808" spans="1:8" x14ac:dyDescent="0.4">
      <c r="A808" s="12" t="s">
        <v>184</v>
      </c>
      <c r="B808">
        <f>12.82-0.9672*LN(F808)</f>
        <v>13.490411953037579</v>
      </c>
      <c r="C808">
        <f>7261-1216*LN(F808)</f>
        <v>8103.8669715608939</v>
      </c>
      <c r="F808">
        <v>0.5</v>
      </c>
    </row>
    <row r="809" spans="1:8" x14ac:dyDescent="0.4">
      <c r="A809" s="12" t="s">
        <v>1382</v>
      </c>
      <c r="B809">
        <f>12.82-0.9672*LN(F809)</f>
        <v>13.490411953037579</v>
      </c>
      <c r="C809">
        <f>7261-1216*LN(F809)</f>
        <v>8103.8669715608939</v>
      </c>
      <c r="F809">
        <v>0.5</v>
      </c>
    </row>
    <row r="810" spans="1:8" x14ac:dyDescent="0.4">
      <c r="A810" s="12" t="s">
        <v>29</v>
      </c>
      <c r="B810">
        <f>20.7962/LN(10)</f>
        <v>9.0316749045564038</v>
      </c>
      <c r="C810">
        <f>15032.54*(5/9)*1/LN(10)</f>
        <v>3626.971761661061</v>
      </c>
      <c r="D810">
        <v>273.14999999999998</v>
      </c>
      <c r="F810" t="str">
        <f>F814</f>
        <v>Antoine coeffiecents based on Clausius-Clayperon constants found in "Estimates of Air Emissions from Asphalt Storage Tanks and Truck Loading"; David C. Trumbore Asphalt Technology Laboratory. Owens Corning, Summit, IL 60501</v>
      </c>
      <c r="H810" s="69"/>
    </row>
    <row r="811" spans="1:8" x14ac:dyDescent="0.4">
      <c r="A811" s="12" t="s">
        <v>186</v>
      </c>
      <c r="B811">
        <v>12.101000000000001</v>
      </c>
      <c r="C811">
        <v>8907</v>
      </c>
    </row>
    <row r="812" spans="1:8" x14ac:dyDescent="0.4">
      <c r="A812" s="12" t="s">
        <v>1383</v>
      </c>
      <c r="B812">
        <v>12.101000000000001</v>
      </c>
      <c r="C812">
        <v>8907</v>
      </c>
      <c r="D812">
        <v>168.77145189525083</v>
      </c>
    </row>
    <row r="813" spans="1:8" x14ac:dyDescent="0.4">
      <c r="A813" s="12" t="s">
        <v>187</v>
      </c>
      <c r="B813">
        <v>12.101000000000001</v>
      </c>
      <c r="C813">
        <v>8907</v>
      </c>
      <c r="D813">
        <v>168.77145189525083</v>
      </c>
    </row>
    <row r="814" spans="1:8" x14ac:dyDescent="0.4">
      <c r="A814" s="12" t="s">
        <v>188</v>
      </c>
      <c r="B814">
        <f>20.7962/LN(10)</f>
        <v>9.0316749045564038</v>
      </c>
      <c r="C814">
        <f>C810</f>
        <v>3626.971761661061</v>
      </c>
      <c r="D814">
        <v>273.14999999999998</v>
      </c>
      <c r="F814" t="s">
        <v>1384</v>
      </c>
    </row>
    <row r="815" spans="1:8" x14ac:dyDescent="0.4">
      <c r="A815" s="12" t="s">
        <v>189</v>
      </c>
      <c r="B815">
        <v>7.9668099999999997</v>
      </c>
      <c r="C815">
        <v>1668.21</v>
      </c>
      <c r="D815">
        <v>228</v>
      </c>
    </row>
    <row r="816" spans="1:8" x14ac:dyDescent="0.4">
      <c r="A816" s="12" t="s">
        <v>190</v>
      </c>
      <c r="B816">
        <f>15.64-1.854*E816^(0.5)-(0.8742-0.328*E816^(0.5))*LN(F816)</f>
        <v>12.262112847360651</v>
      </c>
      <c r="C816">
        <f>8742-1042*E816^(0.5)-(1049-179.4*E816^(0.5))*LN(F816)</f>
        <v>5803.2854604205213</v>
      </c>
      <c r="E816">
        <v>2</v>
      </c>
      <c r="F816" s="25">
        <f>(38+49)/2*14.7/101.33</f>
        <v>6.3105694266258752</v>
      </c>
    </row>
    <row r="817" spans="1:10" x14ac:dyDescent="0.4">
      <c r="A817" s="12" t="s">
        <v>191</v>
      </c>
      <c r="B817">
        <v>-0.68017053373079983</v>
      </c>
      <c r="C817">
        <v>31.283833203393161</v>
      </c>
      <c r="D817">
        <v>-177.45484604402071</v>
      </c>
    </row>
    <row r="818" spans="1:10" x14ac:dyDescent="0.4">
      <c r="A818" s="12" t="s">
        <v>192</v>
      </c>
    </row>
    <row r="819" spans="1:10" x14ac:dyDescent="0.4">
      <c r="A819" s="98" t="s">
        <v>2004</v>
      </c>
      <c r="B819">
        <v>10.781000000000001</v>
      </c>
      <c r="C819">
        <v>8933</v>
      </c>
    </row>
    <row r="820" spans="1:10" x14ac:dyDescent="0.4">
      <c r="A820" s="12" t="s">
        <v>196</v>
      </c>
    </row>
    <row r="826" spans="1:10" x14ac:dyDescent="0.4">
      <c r="J826">
        <f>(459.6+32)*5/9</f>
        <v>273.11111111111109</v>
      </c>
    </row>
  </sheetData>
  <sheetProtection algorithmName="SHA-512" hashValue="hOZkU+ACwWIA30yoJthrnOFMevNyloSW2GWKX7Yd1v8gTQ0GAaXgqLgIFquMllXTA8RgHQzBq65+/wHlfEHQjA==" saltValue="wor+WcmMJFfeIM0HtpuiLw==" spinCount="100000" sheet="1" objects="1" scenarios="1"/>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D90E9-E09E-496B-9CA4-C563E39630A0}">
  <sheetPr codeName="Sheet24">
    <tabColor theme="1" tint="4.9989318521683403E-2"/>
  </sheetPr>
  <dimension ref="A1:K90"/>
  <sheetViews>
    <sheetView workbookViewId="0">
      <pane ySplit="2" topLeftCell="A54" activePane="bottomLeft" state="frozen"/>
      <selection activeCell="J5" sqref="J5"/>
      <selection pane="bottomLeft" activeCell="J5" sqref="J5"/>
    </sheetView>
  </sheetViews>
  <sheetFormatPr defaultColWidth="8.84375" defaultRowHeight="14.6" x14ac:dyDescent="0.4"/>
  <cols>
    <col min="1" max="1" width="36.4609375" bestFit="1" customWidth="1"/>
    <col min="2" max="3" width="12.4609375" customWidth="1"/>
    <col min="5" max="5" width="23.4609375" bestFit="1" customWidth="1"/>
    <col min="8" max="8" width="17.3046875" bestFit="1" customWidth="1"/>
  </cols>
  <sheetData>
    <row r="1" spans="1:6" ht="58.3" x14ac:dyDescent="0.4">
      <c r="A1" s="43" t="s">
        <v>101</v>
      </c>
      <c r="B1" s="16" t="s">
        <v>102</v>
      </c>
      <c r="C1" s="16" t="s">
        <v>103</v>
      </c>
      <c r="D1" s="16" t="s">
        <v>104</v>
      </c>
      <c r="E1" s="16" t="s">
        <v>105</v>
      </c>
      <c r="F1" s="16" t="s">
        <v>16</v>
      </c>
    </row>
    <row r="2" spans="1:6" x14ac:dyDescent="0.4">
      <c r="A2" s="11"/>
      <c r="B2" s="11"/>
      <c r="C2" s="11"/>
      <c r="D2" s="11"/>
      <c r="E2" s="11"/>
      <c r="F2" s="11"/>
    </row>
    <row r="3" spans="1:6" x14ac:dyDescent="0.4">
      <c r="A3" t="s">
        <v>106</v>
      </c>
      <c r="B3">
        <v>58.08</v>
      </c>
      <c r="C3">
        <v>58.08</v>
      </c>
      <c r="D3">
        <v>6.6280000000000001</v>
      </c>
      <c r="E3" t="s">
        <v>43</v>
      </c>
      <c r="F3" t="s">
        <v>95</v>
      </c>
    </row>
    <row r="4" spans="1:6" x14ac:dyDescent="0.4">
      <c r="A4" t="s">
        <v>107</v>
      </c>
      <c r="B4">
        <v>41.05</v>
      </c>
      <c r="C4">
        <v>41.05</v>
      </c>
      <c r="D4">
        <v>6.5579999999999998</v>
      </c>
      <c r="E4" t="s">
        <v>43</v>
      </c>
      <c r="F4" t="s">
        <v>95</v>
      </c>
    </row>
    <row r="5" spans="1:6" x14ac:dyDescent="0.4">
      <c r="A5" t="s">
        <v>108</v>
      </c>
      <c r="B5">
        <v>53.06</v>
      </c>
      <c r="C5">
        <v>53.06</v>
      </c>
      <c r="D5">
        <v>6.758</v>
      </c>
      <c r="E5" t="s">
        <v>43</v>
      </c>
      <c r="F5" t="s">
        <v>95</v>
      </c>
    </row>
    <row r="6" spans="1:6" x14ac:dyDescent="0.4">
      <c r="A6" t="s">
        <v>109</v>
      </c>
      <c r="B6">
        <v>58.08</v>
      </c>
      <c r="C6">
        <v>58.08</v>
      </c>
      <c r="D6">
        <v>7.125</v>
      </c>
      <c r="E6" t="s">
        <v>43</v>
      </c>
      <c r="F6" t="s">
        <v>95</v>
      </c>
    </row>
    <row r="7" spans="1:6" x14ac:dyDescent="0.4">
      <c r="A7" t="s">
        <v>110</v>
      </c>
      <c r="B7">
        <v>76.53</v>
      </c>
      <c r="C7">
        <v>76.53</v>
      </c>
      <c r="D7">
        <v>7.8639999999999999</v>
      </c>
      <c r="E7" t="s">
        <v>43</v>
      </c>
      <c r="F7" t="s">
        <v>95</v>
      </c>
    </row>
    <row r="8" spans="1:6" x14ac:dyDescent="0.4">
      <c r="A8" t="s">
        <v>111</v>
      </c>
      <c r="B8">
        <v>35.049999999999997</v>
      </c>
      <c r="C8">
        <v>35.049999999999997</v>
      </c>
      <c r="D8">
        <v>7.4809999999999999</v>
      </c>
      <c r="E8" t="s">
        <v>43</v>
      </c>
      <c r="F8" t="s">
        <v>95</v>
      </c>
    </row>
    <row r="9" spans="1:6" x14ac:dyDescent="0.4">
      <c r="A9" t="s">
        <v>112</v>
      </c>
      <c r="B9">
        <v>78.11</v>
      </c>
      <c r="C9">
        <v>78.11</v>
      </c>
      <c r="D9">
        <v>7.3650000000000002</v>
      </c>
      <c r="E9" t="s">
        <v>43</v>
      </c>
      <c r="F9" t="s">
        <v>95</v>
      </c>
    </row>
    <row r="10" spans="1:6" x14ac:dyDescent="0.4">
      <c r="A10" t="s">
        <v>113</v>
      </c>
      <c r="B10">
        <v>74.12</v>
      </c>
      <c r="C10">
        <v>74.12</v>
      </c>
      <c r="D10">
        <v>6.7119999999999997</v>
      </c>
      <c r="E10" t="s">
        <v>43</v>
      </c>
      <c r="F10" t="s">
        <v>95</v>
      </c>
    </row>
    <row r="11" spans="1:6" x14ac:dyDescent="0.4">
      <c r="A11" t="s">
        <v>114</v>
      </c>
      <c r="B11">
        <v>74.12</v>
      </c>
      <c r="C11">
        <v>74.12</v>
      </c>
      <c r="D11">
        <v>6.5949999999999998</v>
      </c>
      <c r="E11" t="s">
        <v>43</v>
      </c>
      <c r="F11" t="s">
        <v>95</v>
      </c>
    </row>
    <row r="12" spans="1:6" x14ac:dyDescent="0.4">
      <c r="A12" t="s">
        <v>115</v>
      </c>
      <c r="B12">
        <v>92.57</v>
      </c>
      <c r="C12">
        <v>92.57</v>
      </c>
      <c r="D12">
        <v>7.43</v>
      </c>
      <c r="E12" t="s">
        <v>43</v>
      </c>
      <c r="F12" t="s">
        <v>95</v>
      </c>
    </row>
    <row r="13" spans="1:6" x14ac:dyDescent="0.4">
      <c r="A13" t="s">
        <v>116</v>
      </c>
      <c r="B13">
        <v>76.13</v>
      </c>
      <c r="C13">
        <v>76.13</v>
      </c>
      <c r="D13">
        <v>10.587999999999999</v>
      </c>
      <c r="E13" t="s">
        <v>43</v>
      </c>
      <c r="F13" t="s">
        <v>95</v>
      </c>
    </row>
    <row r="14" spans="1:6" x14ac:dyDescent="0.4">
      <c r="A14" t="s">
        <v>117</v>
      </c>
      <c r="B14">
        <v>153.84</v>
      </c>
      <c r="C14">
        <v>153.84</v>
      </c>
      <c r="D14">
        <v>13.366</v>
      </c>
      <c r="E14" t="s">
        <v>43</v>
      </c>
      <c r="F14" t="s">
        <v>95</v>
      </c>
    </row>
    <row r="15" spans="1:6" x14ac:dyDescent="0.4">
      <c r="A15" t="s">
        <v>118</v>
      </c>
      <c r="B15">
        <v>119.39</v>
      </c>
      <c r="C15">
        <v>119.39</v>
      </c>
      <c r="D15">
        <v>12.488</v>
      </c>
      <c r="E15" t="s">
        <v>43</v>
      </c>
      <c r="F15" t="s">
        <v>95</v>
      </c>
    </row>
    <row r="16" spans="1:6" x14ac:dyDescent="0.4">
      <c r="A16" t="s">
        <v>119</v>
      </c>
      <c r="B16">
        <v>88.54</v>
      </c>
      <c r="C16">
        <v>88.54</v>
      </c>
      <c r="D16">
        <v>8.0459999999999994</v>
      </c>
      <c r="E16" t="s">
        <v>43</v>
      </c>
      <c r="F16" t="s">
        <v>95</v>
      </c>
    </row>
    <row r="17" spans="1:6" x14ac:dyDescent="0.4">
      <c r="A17" t="s">
        <v>120</v>
      </c>
      <c r="B17">
        <v>84.16</v>
      </c>
      <c r="C17">
        <v>84.16</v>
      </c>
      <c r="D17">
        <v>6.5220000000000002</v>
      </c>
      <c r="E17" t="s">
        <v>43</v>
      </c>
      <c r="F17" t="s">
        <v>95</v>
      </c>
    </row>
    <row r="18" spans="1:6" x14ac:dyDescent="0.4">
      <c r="A18" t="s">
        <v>121</v>
      </c>
      <c r="B18">
        <v>70.13</v>
      </c>
      <c r="C18">
        <v>70.13</v>
      </c>
      <c r="D18">
        <v>6.2480000000000002</v>
      </c>
      <c r="E18" t="s">
        <v>43</v>
      </c>
      <c r="F18" t="s">
        <v>95</v>
      </c>
    </row>
    <row r="19" spans="1:6" x14ac:dyDescent="0.4">
      <c r="A19" t="s">
        <v>122</v>
      </c>
      <c r="B19">
        <v>98.97</v>
      </c>
      <c r="C19">
        <v>98.97</v>
      </c>
      <c r="D19">
        <v>9.8610000000000007</v>
      </c>
      <c r="E19" t="s">
        <v>43</v>
      </c>
      <c r="F19" t="s">
        <v>95</v>
      </c>
    </row>
    <row r="20" spans="1:6" x14ac:dyDescent="0.4">
      <c r="A20" t="s">
        <v>123</v>
      </c>
      <c r="B20">
        <v>98.97</v>
      </c>
      <c r="C20">
        <v>98.97</v>
      </c>
      <c r="D20">
        <v>10.5</v>
      </c>
      <c r="E20" t="s">
        <v>43</v>
      </c>
      <c r="F20" t="s">
        <v>95</v>
      </c>
    </row>
    <row r="21" spans="1:6" x14ac:dyDescent="0.4">
      <c r="A21" t="s">
        <v>124</v>
      </c>
      <c r="B21">
        <v>96.95</v>
      </c>
      <c r="C21">
        <v>96.95</v>
      </c>
      <c r="D21">
        <v>10.763</v>
      </c>
      <c r="E21" t="s">
        <v>43</v>
      </c>
      <c r="F21" t="s">
        <v>95</v>
      </c>
    </row>
    <row r="22" spans="1:6" x14ac:dyDescent="0.4">
      <c r="A22" t="s">
        <v>125</v>
      </c>
      <c r="B22">
        <v>96.95</v>
      </c>
      <c r="C22">
        <v>96.95</v>
      </c>
      <c r="D22">
        <v>10.523999999999999</v>
      </c>
      <c r="E22" t="s">
        <v>43</v>
      </c>
      <c r="F22" t="s">
        <v>95</v>
      </c>
    </row>
    <row r="23" spans="1:6" x14ac:dyDescent="0.4">
      <c r="A23" t="s">
        <v>126</v>
      </c>
      <c r="B23">
        <v>73.14</v>
      </c>
      <c r="C23">
        <v>73.14</v>
      </c>
      <c r="D23">
        <v>5.9059999999999997</v>
      </c>
      <c r="E23" t="s">
        <v>43</v>
      </c>
      <c r="F23" t="s">
        <v>95</v>
      </c>
    </row>
    <row r="24" spans="1:6" x14ac:dyDescent="0.4">
      <c r="A24" t="s">
        <v>127</v>
      </c>
      <c r="B24">
        <v>74.12</v>
      </c>
      <c r="C24">
        <v>74.12</v>
      </c>
      <c r="D24">
        <v>5.9880000000000004</v>
      </c>
      <c r="E24" t="s">
        <v>43</v>
      </c>
      <c r="F24" t="s">
        <v>95</v>
      </c>
    </row>
    <row r="25" spans="1:6" x14ac:dyDescent="0.4">
      <c r="A25" t="s">
        <v>128</v>
      </c>
      <c r="B25">
        <v>102.17</v>
      </c>
      <c r="C25">
        <v>102.17</v>
      </c>
      <c r="D25">
        <v>6.0750000000000002</v>
      </c>
      <c r="E25" t="s">
        <v>43</v>
      </c>
      <c r="F25" t="s">
        <v>95</v>
      </c>
    </row>
    <row r="26" spans="1:6" x14ac:dyDescent="0.4">
      <c r="A26" t="s">
        <v>129</v>
      </c>
      <c r="B26">
        <v>88.1</v>
      </c>
      <c r="C26">
        <v>88.1</v>
      </c>
      <c r="D26">
        <v>8.6590000000000007</v>
      </c>
      <c r="E26" t="s">
        <v>43</v>
      </c>
      <c r="F26" t="s">
        <v>95</v>
      </c>
    </row>
    <row r="27" spans="1:6" x14ac:dyDescent="0.4">
      <c r="A27" t="s">
        <v>130</v>
      </c>
      <c r="B27">
        <v>102.17</v>
      </c>
      <c r="C27">
        <v>102.17</v>
      </c>
      <c r="D27">
        <v>6.26</v>
      </c>
      <c r="E27" t="s">
        <v>43</v>
      </c>
      <c r="F27" t="s">
        <v>95</v>
      </c>
    </row>
    <row r="28" spans="1:6" x14ac:dyDescent="0.4">
      <c r="A28" t="s">
        <v>131</v>
      </c>
      <c r="B28">
        <v>88.1</v>
      </c>
      <c r="C28">
        <v>88.1</v>
      </c>
      <c r="D28">
        <v>7.5510000000000002</v>
      </c>
      <c r="E28" t="s">
        <v>43</v>
      </c>
      <c r="F28" t="s">
        <v>95</v>
      </c>
    </row>
    <row r="29" spans="1:6" x14ac:dyDescent="0.4">
      <c r="A29" t="s">
        <v>132</v>
      </c>
      <c r="B29">
        <v>100.11</v>
      </c>
      <c r="C29">
        <v>100.11</v>
      </c>
      <c r="D29">
        <v>7.75</v>
      </c>
      <c r="E29" t="s">
        <v>43</v>
      </c>
      <c r="F29" t="s">
        <v>95</v>
      </c>
    </row>
    <row r="30" spans="1:6" x14ac:dyDescent="0.4">
      <c r="A30" t="s">
        <v>133</v>
      </c>
      <c r="B30">
        <v>46.07</v>
      </c>
      <c r="C30">
        <v>46.07</v>
      </c>
      <c r="D30">
        <v>6.61</v>
      </c>
      <c r="E30" t="s">
        <v>43</v>
      </c>
      <c r="F30" t="s">
        <v>95</v>
      </c>
    </row>
    <row r="31" spans="1:6" x14ac:dyDescent="0.4">
      <c r="A31" t="s">
        <v>134</v>
      </c>
      <c r="B31">
        <v>137.38</v>
      </c>
      <c r="C31">
        <v>137.38</v>
      </c>
      <c r="D31">
        <v>12.48</v>
      </c>
      <c r="E31" t="s">
        <v>43</v>
      </c>
      <c r="F31" t="s">
        <v>95</v>
      </c>
    </row>
    <row r="32" spans="1:6" x14ac:dyDescent="0.4">
      <c r="A32" t="s">
        <v>135</v>
      </c>
      <c r="B32">
        <v>100.2</v>
      </c>
      <c r="C32">
        <v>100.2</v>
      </c>
      <c r="D32">
        <v>5.7270000000000003</v>
      </c>
      <c r="E32" t="s">
        <v>43</v>
      </c>
      <c r="F32" t="s">
        <v>95</v>
      </c>
    </row>
    <row r="33" spans="1:6" x14ac:dyDescent="0.4">
      <c r="A33" t="s">
        <v>136</v>
      </c>
      <c r="B33">
        <v>86.17</v>
      </c>
      <c r="C33">
        <v>86.17</v>
      </c>
      <c r="D33">
        <v>5.5270000000000001</v>
      </c>
      <c r="E33" t="s">
        <v>43</v>
      </c>
      <c r="F33" t="s">
        <v>95</v>
      </c>
    </row>
    <row r="34" spans="1:6" x14ac:dyDescent="0.4">
      <c r="A34" t="s">
        <v>137</v>
      </c>
      <c r="B34">
        <v>27.03</v>
      </c>
      <c r="C34">
        <v>27.03</v>
      </c>
      <c r="D34">
        <v>5.7720000000000002</v>
      </c>
      <c r="E34" t="s">
        <v>43</v>
      </c>
      <c r="F34" t="s">
        <v>95</v>
      </c>
    </row>
    <row r="35" spans="1:6" x14ac:dyDescent="0.4">
      <c r="A35" t="s">
        <v>138</v>
      </c>
      <c r="B35">
        <v>72.150000000000006</v>
      </c>
      <c r="C35">
        <v>72.150000000000006</v>
      </c>
      <c r="D35">
        <v>5.1989999999999998</v>
      </c>
      <c r="E35" t="s">
        <v>43</v>
      </c>
      <c r="F35" t="s">
        <v>95</v>
      </c>
    </row>
    <row r="36" spans="1:6" x14ac:dyDescent="0.4">
      <c r="A36" t="s">
        <v>139</v>
      </c>
      <c r="B36">
        <v>68.11</v>
      </c>
      <c r="C36">
        <v>68.11</v>
      </c>
      <c r="D36">
        <v>5.7069999999999999</v>
      </c>
      <c r="E36" t="s">
        <v>43</v>
      </c>
      <c r="F36" t="s">
        <v>95</v>
      </c>
    </row>
    <row r="37" spans="1:6" x14ac:dyDescent="0.4">
      <c r="A37" t="s">
        <v>140</v>
      </c>
      <c r="B37">
        <v>60.09</v>
      </c>
      <c r="C37">
        <v>60.09</v>
      </c>
      <c r="D37">
        <v>6.5730000000000004</v>
      </c>
      <c r="E37" t="s">
        <v>43</v>
      </c>
      <c r="F37" t="s">
        <v>95</v>
      </c>
    </row>
    <row r="38" spans="1:6" x14ac:dyDescent="0.4">
      <c r="A38" t="s">
        <v>141</v>
      </c>
      <c r="B38">
        <v>67.09</v>
      </c>
      <c r="C38">
        <v>67.09</v>
      </c>
      <c r="D38">
        <v>6.7380000000000004</v>
      </c>
      <c r="E38" t="s">
        <v>43</v>
      </c>
      <c r="F38" t="s">
        <v>95</v>
      </c>
    </row>
    <row r="39" spans="1:6" x14ac:dyDescent="0.4">
      <c r="A39" t="s">
        <v>142</v>
      </c>
      <c r="B39">
        <v>74.08</v>
      </c>
      <c r="C39">
        <v>74.08</v>
      </c>
      <c r="D39">
        <v>7.8310000000000004</v>
      </c>
      <c r="E39" t="s">
        <v>43</v>
      </c>
      <c r="F39" t="s">
        <v>95</v>
      </c>
    </row>
    <row r="40" spans="1:6" x14ac:dyDescent="0.4">
      <c r="A40" t="s">
        <v>143</v>
      </c>
      <c r="B40">
        <v>86.09</v>
      </c>
      <c r="C40">
        <v>86.09</v>
      </c>
      <c r="D40">
        <v>7.9960000000000004</v>
      </c>
      <c r="E40" t="s">
        <v>43</v>
      </c>
      <c r="F40" t="s">
        <v>95</v>
      </c>
    </row>
    <row r="41" spans="1:6" x14ac:dyDescent="0.4">
      <c r="A41" t="s">
        <v>144</v>
      </c>
      <c r="B41">
        <v>32.04</v>
      </c>
      <c r="C41">
        <v>32.04</v>
      </c>
      <c r="D41">
        <v>6.63</v>
      </c>
      <c r="E41" t="s">
        <v>43</v>
      </c>
      <c r="F41" t="s">
        <v>95</v>
      </c>
    </row>
    <row r="42" spans="1:6" x14ac:dyDescent="0.4">
      <c r="A42" t="s">
        <v>145</v>
      </c>
      <c r="B42">
        <v>98.18</v>
      </c>
      <c r="C42">
        <v>98.18</v>
      </c>
      <c r="D42">
        <v>6.4409999999999998</v>
      </c>
      <c r="E42" t="s">
        <v>43</v>
      </c>
      <c r="F42" t="s">
        <v>95</v>
      </c>
    </row>
    <row r="43" spans="1:6" x14ac:dyDescent="0.4">
      <c r="A43" t="s">
        <v>146</v>
      </c>
      <c r="B43">
        <v>84.16</v>
      </c>
      <c r="C43">
        <v>84.16</v>
      </c>
      <c r="D43">
        <v>6.274</v>
      </c>
      <c r="E43" t="s">
        <v>43</v>
      </c>
      <c r="F43" t="s">
        <v>95</v>
      </c>
    </row>
    <row r="44" spans="1:6" x14ac:dyDescent="0.4">
      <c r="A44" t="s">
        <v>147</v>
      </c>
      <c r="B44">
        <v>84.94</v>
      </c>
      <c r="C44">
        <v>84.94</v>
      </c>
      <c r="D44">
        <v>11.122</v>
      </c>
      <c r="E44" t="s">
        <v>43</v>
      </c>
      <c r="F44" t="s">
        <v>95</v>
      </c>
    </row>
    <row r="45" spans="1:6" x14ac:dyDescent="0.4">
      <c r="A45" t="s">
        <v>148</v>
      </c>
      <c r="B45">
        <v>72.099999999999994</v>
      </c>
      <c r="C45">
        <v>72.099999999999994</v>
      </c>
      <c r="D45">
        <v>6.7469999999999999</v>
      </c>
      <c r="E45" t="s">
        <v>43</v>
      </c>
      <c r="F45" t="s">
        <v>95</v>
      </c>
    </row>
    <row r="46" spans="1:6" x14ac:dyDescent="0.4">
      <c r="A46" t="s">
        <v>149</v>
      </c>
      <c r="B46">
        <v>100.11</v>
      </c>
      <c r="C46">
        <v>100.11</v>
      </c>
      <c r="D46">
        <v>7.9089999999999998</v>
      </c>
      <c r="E46" t="s">
        <v>43</v>
      </c>
      <c r="F46" t="s">
        <v>95</v>
      </c>
    </row>
    <row r="47" spans="1:6" x14ac:dyDescent="0.4">
      <c r="A47" t="s">
        <v>150</v>
      </c>
      <c r="B47">
        <v>74.12</v>
      </c>
      <c r="C47">
        <v>74.12</v>
      </c>
      <c r="D47">
        <v>6.1660000000000004</v>
      </c>
      <c r="E47" t="s">
        <v>43</v>
      </c>
      <c r="F47" t="s">
        <v>95</v>
      </c>
    </row>
    <row r="48" spans="1:6" x14ac:dyDescent="0.4">
      <c r="A48" t="s">
        <v>151</v>
      </c>
      <c r="B48">
        <v>128.1705</v>
      </c>
      <c r="C48">
        <f>B48</f>
        <v>128.1705</v>
      </c>
      <c r="D48">
        <f>1.14*8.33</f>
        <v>9.4962</v>
      </c>
      <c r="E48" t="s">
        <v>43</v>
      </c>
      <c r="F48" t="s">
        <v>95</v>
      </c>
    </row>
    <row r="49" spans="1:6" x14ac:dyDescent="0.4">
      <c r="A49" t="s">
        <v>152</v>
      </c>
      <c r="B49">
        <v>61.04</v>
      </c>
      <c r="C49">
        <v>61.04</v>
      </c>
      <c r="D49">
        <v>9.5380000000000003</v>
      </c>
      <c r="E49" t="s">
        <v>43</v>
      </c>
      <c r="F49" t="s">
        <v>95</v>
      </c>
    </row>
    <row r="50" spans="1:6" x14ac:dyDescent="0.4">
      <c r="A50" t="s">
        <v>153</v>
      </c>
      <c r="B50">
        <v>72.150000000000006</v>
      </c>
      <c r="C50">
        <v>72.150000000000006</v>
      </c>
      <c r="D50">
        <v>5.2530000000000001</v>
      </c>
      <c r="E50" t="s">
        <v>43</v>
      </c>
      <c r="F50" t="s">
        <v>95</v>
      </c>
    </row>
    <row r="51" spans="1:6" x14ac:dyDescent="0.4">
      <c r="A51" t="s">
        <v>154</v>
      </c>
      <c r="B51">
        <v>59.11</v>
      </c>
      <c r="C51">
        <v>59.11</v>
      </c>
      <c r="D51">
        <v>6.03</v>
      </c>
      <c r="E51" t="s">
        <v>43</v>
      </c>
      <c r="F51" t="s">
        <v>95</v>
      </c>
    </row>
    <row r="52" spans="1:6" x14ac:dyDescent="0.4">
      <c r="A52" t="s">
        <v>155</v>
      </c>
      <c r="B52">
        <v>133.41999999999999</v>
      </c>
      <c r="C52">
        <v>133.41999999999999</v>
      </c>
      <c r="D52">
        <v>11.215999999999999</v>
      </c>
      <c r="E52" t="s">
        <v>43</v>
      </c>
      <c r="F52" t="s">
        <v>95</v>
      </c>
    </row>
    <row r="53" spans="1:6" x14ac:dyDescent="0.4">
      <c r="A53" t="s">
        <v>156</v>
      </c>
      <c r="B53">
        <v>131.4</v>
      </c>
      <c r="C53">
        <v>131.4</v>
      </c>
      <c r="D53">
        <v>12.272</v>
      </c>
      <c r="E53" t="s">
        <v>43</v>
      </c>
      <c r="F53" t="s">
        <v>95</v>
      </c>
    </row>
    <row r="54" spans="1:6" x14ac:dyDescent="0.4">
      <c r="A54" t="s">
        <v>157</v>
      </c>
      <c r="B54">
        <v>114.23</v>
      </c>
      <c r="C54">
        <v>114.23</v>
      </c>
      <c r="D54">
        <v>5.76</v>
      </c>
      <c r="E54" t="s">
        <v>43</v>
      </c>
      <c r="F54" t="s">
        <v>95</v>
      </c>
    </row>
    <row r="55" spans="1:6" x14ac:dyDescent="0.4">
      <c r="A55" t="s">
        <v>158</v>
      </c>
      <c r="B55">
        <v>92.13</v>
      </c>
      <c r="C55">
        <v>92.13</v>
      </c>
      <c r="D55">
        <v>7.2610000000000001</v>
      </c>
      <c r="E55" t="s">
        <v>43</v>
      </c>
      <c r="F55" t="s">
        <v>95</v>
      </c>
    </row>
    <row r="56" spans="1:6" x14ac:dyDescent="0.4">
      <c r="A56" t="s">
        <v>159</v>
      </c>
      <c r="B56">
        <v>86.09</v>
      </c>
      <c r="C56">
        <v>86.09</v>
      </c>
      <c r="D56">
        <v>7.8170000000000002</v>
      </c>
      <c r="E56" t="s">
        <v>43</v>
      </c>
      <c r="F56" t="s">
        <v>95</v>
      </c>
    </row>
    <row r="57" spans="1:6" x14ac:dyDescent="0.4">
      <c r="A57" t="s">
        <v>160</v>
      </c>
      <c r="B57">
        <v>96.5</v>
      </c>
      <c r="C57">
        <v>96.5</v>
      </c>
      <c r="D57">
        <v>10.382999999999999</v>
      </c>
      <c r="E57" t="s">
        <v>43</v>
      </c>
      <c r="F57" t="s">
        <v>95</v>
      </c>
    </row>
    <row r="58" spans="1:6" x14ac:dyDescent="0.4">
      <c r="A58" t="s">
        <v>161</v>
      </c>
      <c r="B58">
        <v>88.15</v>
      </c>
      <c r="C58">
        <v>88.15</v>
      </c>
      <c r="D58">
        <v>6.1683650000000005</v>
      </c>
      <c r="E58" t="s">
        <v>43</v>
      </c>
      <c r="F58" t="s">
        <v>95</v>
      </c>
    </row>
    <row r="59" spans="1:6" x14ac:dyDescent="0.4">
      <c r="A59" t="s">
        <v>162</v>
      </c>
      <c r="B59">
        <v>114.2285</v>
      </c>
      <c r="C59">
        <v>114.2285</v>
      </c>
      <c r="D59" s="17">
        <v>5.9986631016042775</v>
      </c>
      <c r="E59" t="s">
        <v>43</v>
      </c>
      <c r="F59" t="s">
        <v>95</v>
      </c>
    </row>
    <row r="60" spans="1:6" x14ac:dyDescent="0.4">
      <c r="A60" t="s">
        <v>163</v>
      </c>
      <c r="B60">
        <v>130</v>
      </c>
      <c r="D60">
        <v>7.1</v>
      </c>
      <c r="E60" t="s">
        <v>43</v>
      </c>
      <c r="F60" t="s">
        <v>95</v>
      </c>
    </row>
    <row r="61" spans="1:6" x14ac:dyDescent="0.4">
      <c r="A61" t="s">
        <v>164</v>
      </c>
      <c r="B61">
        <v>188</v>
      </c>
      <c r="C61">
        <v>130</v>
      </c>
      <c r="D61">
        <v>7.1</v>
      </c>
      <c r="E61" t="s">
        <v>43</v>
      </c>
      <c r="F61" t="s">
        <v>95</v>
      </c>
    </row>
    <row r="62" spans="1:6" x14ac:dyDescent="0.4">
      <c r="A62" t="s">
        <v>165</v>
      </c>
      <c r="B62">
        <v>350</v>
      </c>
      <c r="C62">
        <v>93.3</v>
      </c>
      <c r="D62">
        <v>7.35</v>
      </c>
      <c r="E62" t="s">
        <v>43</v>
      </c>
      <c r="F62" t="s">
        <v>95</v>
      </c>
    </row>
    <row r="63" spans="1:6" x14ac:dyDescent="0.4">
      <c r="A63" s="98" t="s">
        <v>166</v>
      </c>
      <c r="B63">
        <v>100</v>
      </c>
      <c r="C63">
        <v>50</v>
      </c>
      <c r="D63">
        <v>7.1</v>
      </c>
      <c r="E63" t="s">
        <v>166</v>
      </c>
      <c r="F63" t="s">
        <v>95</v>
      </c>
    </row>
    <row r="64" spans="1:6" x14ac:dyDescent="0.4">
      <c r="A64" s="21" t="s">
        <v>167</v>
      </c>
      <c r="B64">
        <v>188</v>
      </c>
      <c r="C64">
        <v>130</v>
      </c>
      <c r="D64">
        <v>7.1</v>
      </c>
      <c r="E64" t="s">
        <v>1385</v>
      </c>
      <c r="F64" t="s">
        <v>95</v>
      </c>
    </row>
    <row r="65" spans="1:11" x14ac:dyDescent="0.4">
      <c r="A65" s="21" t="s">
        <v>169</v>
      </c>
      <c r="B65">
        <v>92</v>
      </c>
      <c r="C65">
        <v>66</v>
      </c>
      <c r="D65">
        <v>5.6</v>
      </c>
      <c r="E65" t="s">
        <v>168</v>
      </c>
      <c r="F65">
        <v>3</v>
      </c>
    </row>
    <row r="66" spans="1:11" x14ac:dyDescent="0.4">
      <c r="A66" s="21" t="s">
        <v>178</v>
      </c>
      <c r="B66">
        <v>162</v>
      </c>
      <c r="C66">
        <v>130</v>
      </c>
      <c r="D66">
        <v>7</v>
      </c>
      <c r="E66" t="s">
        <v>1385</v>
      </c>
    </row>
    <row r="67" spans="1:11" x14ac:dyDescent="0.4">
      <c r="A67" s="21" t="s">
        <v>179</v>
      </c>
      <c r="B67">
        <v>80</v>
      </c>
      <c r="C67">
        <v>80</v>
      </c>
      <c r="D67">
        <v>6.4</v>
      </c>
      <c r="E67" t="s">
        <v>168</v>
      </c>
    </row>
    <row r="68" spans="1:11" x14ac:dyDescent="0.4">
      <c r="A68" s="21" t="s">
        <v>180</v>
      </c>
      <c r="B68">
        <v>387</v>
      </c>
      <c r="C68">
        <v>190</v>
      </c>
      <c r="D68">
        <v>7.9</v>
      </c>
      <c r="E68" t="s">
        <v>168</v>
      </c>
    </row>
    <row r="69" spans="1:11" x14ac:dyDescent="0.4">
      <c r="A69" t="s">
        <v>181</v>
      </c>
      <c r="B69">
        <v>58.96</v>
      </c>
      <c r="C69">
        <v>58.96</v>
      </c>
      <c r="D69" s="17">
        <v>6.9498525943396228</v>
      </c>
      <c r="E69" t="s">
        <v>166</v>
      </c>
    </row>
    <row r="70" spans="1:11" x14ac:dyDescent="0.4">
      <c r="A70" t="s">
        <v>182</v>
      </c>
      <c r="B70">
        <v>391</v>
      </c>
      <c r="C70">
        <v>190</v>
      </c>
      <c r="D70">
        <v>7.9551499999999997</v>
      </c>
      <c r="E70" t="s">
        <v>43</v>
      </c>
    </row>
    <row r="71" spans="1:11" x14ac:dyDescent="0.4">
      <c r="A71" t="s">
        <v>183</v>
      </c>
      <c r="B71">
        <v>390</v>
      </c>
      <c r="C71">
        <v>190</v>
      </c>
      <c r="D71" s="17">
        <v>7.2003359804520466</v>
      </c>
      <c r="E71" t="s">
        <v>166</v>
      </c>
    </row>
    <row r="72" spans="1:11" x14ac:dyDescent="0.4">
      <c r="A72" t="s">
        <v>184</v>
      </c>
      <c r="B72" s="20">
        <f>B73</f>
        <v>313.09876086844559</v>
      </c>
      <c r="C72" s="20">
        <f>C73</f>
        <v>70.040248071241521</v>
      </c>
      <c r="D72" s="17">
        <v>8.2715438596491229</v>
      </c>
      <c r="E72" t="s">
        <v>166</v>
      </c>
      <c r="K72" t="s">
        <v>215</v>
      </c>
    </row>
    <row r="73" spans="1:11" x14ac:dyDescent="0.4">
      <c r="A73" t="s">
        <v>185</v>
      </c>
      <c r="B73" s="20">
        <f>VLOOKUP($K73,HPCMW,12,FALSE)</f>
        <v>313.09876086844559</v>
      </c>
      <c r="C73" s="20">
        <f>VLOOKUP($K73,HPCMW,10,FALSE)</f>
        <v>70.040248071241521</v>
      </c>
      <c r="D73" s="17">
        <v>8.2716899999999995</v>
      </c>
      <c r="E73" t="s">
        <v>166</v>
      </c>
      <c r="H73" t="s">
        <v>216</v>
      </c>
      <c r="I73">
        <v>130</v>
      </c>
      <c r="J73" t="s">
        <v>217</v>
      </c>
      <c r="K73">
        <v>192.38</v>
      </c>
    </row>
    <row r="74" spans="1:11" x14ac:dyDescent="0.4">
      <c r="A74" t="s">
        <v>29</v>
      </c>
      <c r="B74">
        <v>1000</v>
      </c>
      <c r="C74">
        <v>105</v>
      </c>
      <c r="D74">
        <v>8.1633999999999993</v>
      </c>
      <c r="E74" t="s">
        <v>43</v>
      </c>
    </row>
    <row r="75" spans="1:11" x14ac:dyDescent="0.4">
      <c r="A75" t="s">
        <v>186</v>
      </c>
      <c r="B75">
        <v>188</v>
      </c>
      <c r="C75">
        <v>130</v>
      </c>
      <c r="D75">
        <v>7.1</v>
      </c>
      <c r="E75" t="s">
        <v>1385</v>
      </c>
    </row>
    <row r="76" spans="1:11" x14ac:dyDescent="0.4">
      <c r="A76" t="s">
        <v>187</v>
      </c>
      <c r="B76">
        <v>188</v>
      </c>
      <c r="C76">
        <v>130</v>
      </c>
      <c r="D76">
        <v>7.1</v>
      </c>
      <c r="E76" t="str">
        <f>E75</f>
        <v>Select Pet Stock</v>
      </c>
    </row>
    <row r="77" spans="1:11" x14ac:dyDescent="0.4">
      <c r="A77" s="12" t="s">
        <v>1383</v>
      </c>
      <c r="B77">
        <v>188</v>
      </c>
      <c r="C77">
        <v>130</v>
      </c>
      <c r="D77">
        <v>7.1</v>
      </c>
      <c r="E77" t="str">
        <f>E76</f>
        <v>Select Pet Stock</v>
      </c>
    </row>
    <row r="78" spans="1:11" x14ac:dyDescent="0.4">
      <c r="A78" t="s">
        <v>188</v>
      </c>
      <c r="B78">
        <v>1000</v>
      </c>
      <c r="C78">
        <v>105</v>
      </c>
      <c r="D78">
        <v>8.1633999999999993</v>
      </c>
      <c r="E78" t="str">
        <f>E76</f>
        <v>Select Pet Stock</v>
      </c>
    </row>
    <row r="79" spans="1:11" x14ac:dyDescent="0.4">
      <c r="A79" t="s">
        <v>189</v>
      </c>
      <c r="B79">
        <v>18</v>
      </c>
      <c r="C79">
        <v>18</v>
      </c>
      <c r="D79">
        <v>8.33</v>
      </c>
      <c r="E79" t="s">
        <v>43</v>
      </c>
    </row>
    <row r="80" spans="1:11" x14ac:dyDescent="0.4">
      <c r="A80" t="s">
        <v>190</v>
      </c>
      <c r="B80">
        <v>80</v>
      </c>
      <c r="C80">
        <v>80</v>
      </c>
      <c r="D80">
        <v>5.8309999999999995</v>
      </c>
      <c r="E80" t="s">
        <v>168</v>
      </c>
      <c r="F80">
        <v>2</v>
      </c>
    </row>
    <row r="81" spans="1:11" x14ac:dyDescent="0.4">
      <c r="A81" t="s">
        <v>191</v>
      </c>
      <c r="B81">
        <v>1000</v>
      </c>
      <c r="C81">
        <v>84</v>
      </c>
      <c r="D81">
        <v>8.1633999999999993</v>
      </c>
      <c r="E81" t="s">
        <v>168</v>
      </c>
    </row>
    <row r="82" spans="1:11" x14ac:dyDescent="0.4">
      <c r="A82" s="98" t="s">
        <v>192</v>
      </c>
      <c r="B82">
        <v>80</v>
      </c>
      <c r="C82">
        <v>80</v>
      </c>
      <c r="D82">
        <v>6.4</v>
      </c>
      <c r="E82" t="s">
        <v>168</v>
      </c>
      <c r="F82">
        <v>2.5</v>
      </c>
      <c r="K82" t="s">
        <v>215</v>
      </c>
    </row>
    <row r="83" spans="1:11" x14ac:dyDescent="0.4">
      <c r="A83" s="98" t="s">
        <v>193</v>
      </c>
      <c r="B83" s="20">
        <f>VLOOKUP($K83,AWBCMW,12,FALSE)</f>
        <v>207.38556812811382</v>
      </c>
      <c r="C83" s="20">
        <f>VLOOKUP($K83,AWBCMW,10,FALSE)</f>
        <v>57.820903146138797</v>
      </c>
      <c r="D83" s="17">
        <v>7.6802600000000005</v>
      </c>
      <c r="E83" t="s">
        <v>166</v>
      </c>
      <c r="H83" t="s">
        <v>216</v>
      </c>
      <c r="I83">
        <v>68</v>
      </c>
      <c r="J83" t="s">
        <v>217</v>
      </c>
      <c r="K83">
        <f>VLOOKUP(MIN(AWBCdT)+I83,AWBCMW,1,TRUE)</f>
        <v>94.5</v>
      </c>
    </row>
    <row r="84" spans="1:11" x14ac:dyDescent="0.4">
      <c r="A84" s="98" t="s">
        <v>194</v>
      </c>
      <c r="B84" s="20">
        <f>VLOOKUP($K84,BAKMW,12,FALSE)</f>
        <v>127.98873179194693</v>
      </c>
      <c r="C84" s="20">
        <f>VLOOKUP($K84,BAKMW,10,FALSE)</f>
        <v>61.103726164670178</v>
      </c>
      <c r="D84" s="17">
        <v>6.7389700000000001</v>
      </c>
      <c r="E84" t="s">
        <v>166</v>
      </c>
      <c r="H84" t="s">
        <v>216</v>
      </c>
      <c r="I84">
        <v>68</v>
      </c>
      <c r="J84" t="s">
        <v>217</v>
      </c>
      <c r="K84">
        <f>VLOOKUP(MIN(BAKdT)+I84,BAKMW,1,TRUE)</f>
        <v>65</v>
      </c>
    </row>
    <row r="85" spans="1:11" x14ac:dyDescent="0.4">
      <c r="A85" t="s">
        <v>195</v>
      </c>
      <c r="B85" s="20">
        <v>250.27</v>
      </c>
      <c r="C85" s="20">
        <f>B85</f>
        <v>250.27</v>
      </c>
      <c r="D85" s="17">
        <v>9.8975471193690687</v>
      </c>
      <c r="E85" t="s">
        <v>43</v>
      </c>
    </row>
    <row r="86" spans="1:11" x14ac:dyDescent="0.4">
      <c r="A86" s="98" t="s">
        <v>2004</v>
      </c>
      <c r="B86" s="20">
        <v>387</v>
      </c>
      <c r="C86" s="20">
        <v>130</v>
      </c>
      <c r="D86" s="17">
        <v>7.9</v>
      </c>
      <c r="E86" t="str">
        <f>E84</f>
        <v>Crude Oil</v>
      </c>
    </row>
    <row r="87" spans="1:11" x14ac:dyDescent="0.4">
      <c r="A87" t="s">
        <v>196</v>
      </c>
      <c r="B87" t="s">
        <v>95</v>
      </c>
      <c r="C87" t="s">
        <v>95</v>
      </c>
      <c r="D87" t="s">
        <v>95</v>
      </c>
      <c r="E87" t="s">
        <v>95</v>
      </c>
    </row>
    <row r="88" spans="1:11" x14ac:dyDescent="0.4">
      <c r="A88" s="98" t="s">
        <v>95</v>
      </c>
      <c r="B88" t="s">
        <v>95</v>
      </c>
      <c r="C88" t="s">
        <v>95</v>
      </c>
      <c r="D88" t="s">
        <v>95</v>
      </c>
      <c r="E88" t="s">
        <v>95</v>
      </c>
    </row>
    <row r="90" spans="1:11" x14ac:dyDescent="0.4">
      <c r="A90">
        <v>1</v>
      </c>
      <c r="B90">
        <v>2</v>
      </c>
      <c r="C90">
        <v>3</v>
      </c>
      <c r="D90">
        <v>4</v>
      </c>
      <c r="E90">
        <v>5</v>
      </c>
      <c r="F90">
        <v>6</v>
      </c>
    </row>
  </sheetData>
  <sheetProtection algorithmName="SHA-512" hashValue="9w/a3AOJUnT5bF4j/q2UDbqHf7QfKjEhXdn401/5AUZEBoUxvO3LqGBKpx+H47ICJ64BXe0Eyd7XHwywA2DkHg==" saltValue="MZ8mFIRsr/bbuqtOJwSeAQ==" spinCount="100000"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EA9BA-2E5B-4F87-A841-B7CBD0627F33}">
  <sheetPr codeName="Sheet25">
    <tabColor theme="1" tint="4.9989318521683403E-2"/>
  </sheetPr>
  <dimension ref="B3:R1213"/>
  <sheetViews>
    <sheetView workbookViewId="0">
      <pane xSplit="1" ySplit="3" topLeftCell="B845" activePane="bottomRight" state="frozen"/>
      <selection activeCell="J5" sqref="J5"/>
      <selection pane="topRight" activeCell="J5" sqref="J5"/>
      <selection pane="bottomLeft" activeCell="J5" sqref="J5"/>
      <selection pane="bottomRight" activeCell="J5" sqref="J5"/>
    </sheetView>
  </sheetViews>
  <sheetFormatPr defaultColWidth="8.84375" defaultRowHeight="14.6" x14ac:dyDescent="0.4"/>
  <cols>
    <col min="2" max="2" width="17.4609375" customWidth="1"/>
    <col min="3" max="3" width="9.15234375" style="52"/>
    <col min="5" max="5" width="14.84375" bestFit="1" customWidth="1"/>
    <col min="6" max="18" width="9.15234375" style="43"/>
  </cols>
  <sheetData>
    <row r="3" spans="2:18" x14ac:dyDescent="0.4">
      <c r="B3" s="46" t="s">
        <v>4</v>
      </c>
      <c r="C3" s="47" t="s">
        <v>241</v>
      </c>
      <c r="D3" s="47" t="s">
        <v>242</v>
      </c>
      <c r="E3" s="47" t="s">
        <v>505</v>
      </c>
      <c r="F3" s="54" t="s">
        <v>243</v>
      </c>
      <c r="G3" s="54" t="s">
        <v>244</v>
      </c>
      <c r="H3" s="54" t="s">
        <v>245</v>
      </c>
      <c r="I3" s="54" t="s">
        <v>246</v>
      </c>
      <c r="J3" s="54" t="s">
        <v>34</v>
      </c>
      <c r="K3" s="54" t="s">
        <v>247</v>
      </c>
      <c r="L3" s="54" t="s">
        <v>248</v>
      </c>
      <c r="M3" s="54" t="s">
        <v>249</v>
      </c>
      <c r="N3" s="54" t="s">
        <v>250</v>
      </c>
      <c r="O3" s="54" t="s">
        <v>251</v>
      </c>
      <c r="P3" s="54" t="s">
        <v>252</v>
      </c>
      <c r="Q3" s="54" t="s">
        <v>253</v>
      </c>
      <c r="R3" s="55" t="s">
        <v>42</v>
      </c>
    </row>
    <row r="4" spans="2:18" x14ac:dyDescent="0.4">
      <c r="B4" s="48" t="s">
        <v>254</v>
      </c>
      <c r="C4" s="53" t="s">
        <v>255</v>
      </c>
      <c r="D4" s="49" t="s">
        <v>256</v>
      </c>
      <c r="E4" s="49" t="str">
        <f>B4&amp;C4</f>
        <v>Birmingham, ALTAN</v>
      </c>
      <c r="F4" s="56">
        <v>35</v>
      </c>
      <c r="G4" s="56">
        <v>37.5</v>
      </c>
      <c r="H4" s="56">
        <v>44.1</v>
      </c>
      <c r="I4" s="56">
        <v>51.7</v>
      </c>
      <c r="J4" s="56">
        <v>60.6</v>
      </c>
      <c r="K4" s="56">
        <v>68.099999999999994</v>
      </c>
      <c r="L4" s="56">
        <v>71.7</v>
      </c>
      <c r="M4" s="56">
        <v>71.099999999999994</v>
      </c>
      <c r="N4" s="56">
        <v>64.7</v>
      </c>
      <c r="O4" s="56">
        <v>53.3</v>
      </c>
      <c r="P4" s="56">
        <v>43.3</v>
      </c>
      <c r="Q4" s="56">
        <v>36.700000000000003</v>
      </c>
      <c r="R4" s="57">
        <v>53.2</v>
      </c>
    </row>
    <row r="5" spans="2:18" x14ac:dyDescent="0.4">
      <c r="B5" s="50"/>
      <c r="C5" s="53" t="s">
        <v>257</v>
      </c>
      <c r="D5" s="49" t="s">
        <v>256</v>
      </c>
      <c r="E5" s="49" t="str">
        <f>B4&amp;C5</f>
        <v>Birmingham, ALTAX</v>
      </c>
      <c r="F5" s="56">
        <v>53.7</v>
      </c>
      <c r="G5" s="56">
        <v>57.8</v>
      </c>
      <c r="H5" s="56">
        <v>65.900000000000006</v>
      </c>
      <c r="I5" s="56">
        <v>73.900000000000006</v>
      </c>
      <c r="J5" s="56">
        <v>80.900000000000006</v>
      </c>
      <c r="K5" s="56">
        <v>86.8</v>
      </c>
      <c r="L5" s="56">
        <v>90</v>
      </c>
      <c r="M5" s="56">
        <v>89.8</v>
      </c>
      <c r="N5" s="56">
        <v>84.5</v>
      </c>
      <c r="O5" s="56">
        <v>74.7</v>
      </c>
      <c r="P5" s="56">
        <v>64.2</v>
      </c>
      <c r="Q5" s="56">
        <v>55.3</v>
      </c>
      <c r="R5" s="57">
        <v>73.099999999999994</v>
      </c>
    </row>
    <row r="6" spans="2:18" x14ac:dyDescent="0.4">
      <c r="B6" s="50"/>
      <c r="C6" s="53" t="s">
        <v>258</v>
      </c>
      <c r="D6" s="49" t="s">
        <v>259</v>
      </c>
      <c r="E6" s="49" t="str">
        <f>B4&amp;C6</f>
        <v>Birmingham, ALV</v>
      </c>
      <c r="F6" s="56">
        <v>7.2</v>
      </c>
      <c r="G6" s="56">
        <v>7.4</v>
      </c>
      <c r="H6" s="56">
        <v>7.8</v>
      </c>
      <c r="I6" s="56">
        <v>7.4</v>
      </c>
      <c r="J6" s="56">
        <v>6.3</v>
      </c>
      <c r="K6" s="56">
        <v>5.4</v>
      </c>
      <c r="L6" s="56">
        <v>5.0999999999999996</v>
      </c>
      <c r="M6" s="56">
        <v>4.7</v>
      </c>
      <c r="N6" s="56">
        <v>5.4</v>
      </c>
      <c r="O6" s="56">
        <v>5.4</v>
      </c>
      <c r="P6" s="56">
        <v>6</v>
      </c>
      <c r="Q6" s="56">
        <v>6.7</v>
      </c>
      <c r="R6" s="57">
        <v>6.3</v>
      </c>
    </row>
    <row r="7" spans="2:18" x14ac:dyDescent="0.4">
      <c r="B7" s="50"/>
      <c r="C7" s="53" t="s">
        <v>260</v>
      </c>
      <c r="D7" s="49" t="s">
        <v>261</v>
      </c>
      <c r="E7" s="49" t="str">
        <f>B4&amp;C7</f>
        <v>Birmingham, ALI</v>
      </c>
      <c r="F7" s="56">
        <v>769</v>
      </c>
      <c r="G7" s="56">
        <v>1013</v>
      </c>
      <c r="H7" s="56">
        <v>1382</v>
      </c>
      <c r="I7" s="56">
        <v>1720</v>
      </c>
      <c r="J7" s="56">
        <v>1884</v>
      </c>
      <c r="K7" s="56">
        <v>1928</v>
      </c>
      <c r="L7" s="56">
        <v>1889</v>
      </c>
      <c r="M7" s="56">
        <v>1760</v>
      </c>
      <c r="N7" s="56">
        <v>1504</v>
      </c>
      <c r="O7" s="56">
        <v>1212</v>
      </c>
      <c r="P7" s="56">
        <v>890</v>
      </c>
      <c r="Q7" s="56">
        <v>699</v>
      </c>
      <c r="R7" s="57">
        <v>1388</v>
      </c>
    </row>
    <row r="8" spans="2:18" x14ac:dyDescent="0.4">
      <c r="B8" s="50"/>
      <c r="C8" s="53" t="s">
        <v>262</v>
      </c>
      <c r="D8" s="49" t="s">
        <v>263</v>
      </c>
      <c r="E8" s="49" t="str">
        <f>B4&amp;C8</f>
        <v>Birmingham, ALPA</v>
      </c>
      <c r="F8" s="58" t="s">
        <v>506</v>
      </c>
      <c r="G8" s="58" t="s">
        <v>506</v>
      </c>
      <c r="H8" s="58" t="s">
        <v>506</v>
      </c>
      <c r="I8" s="58" t="s">
        <v>506</v>
      </c>
      <c r="J8" s="58" t="s">
        <v>506</v>
      </c>
      <c r="K8" s="58" t="s">
        <v>506</v>
      </c>
      <c r="L8" s="58" t="s">
        <v>506</v>
      </c>
      <c r="M8" s="58" t="s">
        <v>506</v>
      </c>
      <c r="N8" s="58" t="s">
        <v>506</v>
      </c>
      <c r="O8" s="58" t="s">
        <v>506</v>
      </c>
      <c r="P8" s="58" t="s">
        <v>506</v>
      </c>
      <c r="Q8" s="58" t="s">
        <v>506</v>
      </c>
      <c r="R8" s="57">
        <v>14.37</v>
      </c>
    </row>
    <row r="9" spans="2:18" x14ac:dyDescent="0.4">
      <c r="B9" s="48" t="s">
        <v>264</v>
      </c>
      <c r="C9" s="53" t="s">
        <v>255</v>
      </c>
      <c r="D9" s="49" t="s">
        <v>256</v>
      </c>
      <c r="E9" s="49" t="str">
        <f>B9&amp;C9</f>
        <v>Huntsville, ALTAN</v>
      </c>
      <c r="F9" s="56">
        <v>32.700000000000003</v>
      </c>
      <c r="G9" s="56">
        <v>35.200000000000003</v>
      </c>
      <c r="H9" s="56">
        <v>42.1</v>
      </c>
      <c r="I9" s="56">
        <v>50.6</v>
      </c>
      <c r="J9" s="56">
        <v>59.6</v>
      </c>
      <c r="K9" s="56">
        <v>67.2</v>
      </c>
      <c r="L9" s="56">
        <v>70.3</v>
      </c>
      <c r="M9" s="56">
        <v>69.2</v>
      </c>
      <c r="N9" s="56">
        <v>62.6</v>
      </c>
      <c r="O9" s="56">
        <v>51.1</v>
      </c>
      <c r="P9" s="56">
        <v>41.2</v>
      </c>
      <c r="Q9" s="56">
        <v>34.5</v>
      </c>
      <c r="R9" s="57">
        <v>51.4</v>
      </c>
    </row>
    <row r="10" spans="2:18" x14ac:dyDescent="0.4">
      <c r="B10" s="50"/>
      <c r="C10" s="53" t="s">
        <v>257</v>
      </c>
      <c r="D10" s="49" t="s">
        <v>256</v>
      </c>
      <c r="E10" s="49" t="str">
        <f>B9&amp;C10</f>
        <v>Huntsville, ALTAX</v>
      </c>
      <c r="F10" s="56">
        <v>50.3</v>
      </c>
      <c r="G10" s="56">
        <v>54.4</v>
      </c>
      <c r="H10" s="56">
        <v>63.1</v>
      </c>
      <c r="I10" s="56">
        <v>72.3</v>
      </c>
      <c r="J10" s="56">
        <v>79.900000000000006</v>
      </c>
      <c r="K10" s="56">
        <v>86.3</v>
      </c>
      <c r="L10" s="56">
        <v>88.9</v>
      </c>
      <c r="M10" s="56">
        <v>89.2</v>
      </c>
      <c r="N10" s="56">
        <v>83.7</v>
      </c>
      <c r="O10" s="56">
        <v>73.400000000000006</v>
      </c>
      <c r="P10" s="56">
        <v>61.6</v>
      </c>
      <c r="Q10" s="56">
        <v>52.1</v>
      </c>
      <c r="R10" s="57">
        <v>71.3</v>
      </c>
    </row>
    <row r="11" spans="2:18" x14ac:dyDescent="0.4">
      <c r="B11" s="50"/>
      <c r="C11" s="53" t="s">
        <v>258</v>
      </c>
      <c r="D11" s="49" t="s">
        <v>259</v>
      </c>
      <c r="E11" s="49" t="str">
        <f>B9&amp;C11</f>
        <v>Huntsville, ALV</v>
      </c>
      <c r="F11" s="56">
        <v>8.3000000000000007</v>
      </c>
      <c r="G11" s="56">
        <v>8.3000000000000007</v>
      </c>
      <c r="H11" s="56">
        <v>8.9</v>
      </c>
      <c r="I11" s="56">
        <v>8.5</v>
      </c>
      <c r="J11" s="56">
        <v>7.4</v>
      </c>
      <c r="K11" s="56">
        <v>5.8</v>
      </c>
      <c r="L11" s="56">
        <v>4.9000000000000004</v>
      </c>
      <c r="M11" s="56">
        <v>4.9000000000000004</v>
      </c>
      <c r="N11" s="56">
        <v>5.8</v>
      </c>
      <c r="O11" s="56">
        <v>6.3</v>
      </c>
      <c r="P11" s="56">
        <v>7.2</v>
      </c>
      <c r="Q11" s="56">
        <v>7.8</v>
      </c>
      <c r="R11" s="57">
        <v>7.2</v>
      </c>
    </row>
    <row r="12" spans="2:18" x14ac:dyDescent="0.4">
      <c r="B12" s="50"/>
      <c r="C12" s="53" t="s">
        <v>260</v>
      </c>
      <c r="D12" s="49" t="s">
        <v>261</v>
      </c>
      <c r="E12" s="49" t="str">
        <f>B9&amp;C12</f>
        <v>Huntsville, ALI</v>
      </c>
      <c r="F12" s="56">
        <v>714</v>
      </c>
      <c r="G12" s="56">
        <v>949</v>
      </c>
      <c r="H12" s="56">
        <v>1314</v>
      </c>
      <c r="I12" s="56">
        <v>1690</v>
      </c>
      <c r="J12" s="56">
        <v>1868</v>
      </c>
      <c r="K12" s="56">
        <v>1973</v>
      </c>
      <c r="L12" s="56">
        <v>1948</v>
      </c>
      <c r="M12" s="56">
        <v>1823</v>
      </c>
      <c r="N12" s="56">
        <v>1508</v>
      </c>
      <c r="O12" s="56">
        <v>1191</v>
      </c>
      <c r="P12" s="56">
        <v>835</v>
      </c>
      <c r="Q12" s="56">
        <v>656</v>
      </c>
      <c r="R12" s="57">
        <v>1372</v>
      </c>
    </row>
    <row r="13" spans="2:18" x14ac:dyDescent="0.4">
      <c r="B13" s="50"/>
      <c r="C13" s="53" t="s">
        <v>262</v>
      </c>
      <c r="D13" s="49" t="s">
        <v>263</v>
      </c>
      <c r="E13" s="49" t="str">
        <f>B9&amp;C13</f>
        <v>Huntsville, ALPA</v>
      </c>
      <c r="F13" s="58" t="s">
        <v>506</v>
      </c>
      <c r="G13" s="58" t="s">
        <v>506</v>
      </c>
      <c r="H13" s="58" t="s">
        <v>506</v>
      </c>
      <c r="I13" s="58" t="s">
        <v>506</v>
      </c>
      <c r="J13" s="58" t="s">
        <v>506</v>
      </c>
      <c r="K13" s="58" t="s">
        <v>506</v>
      </c>
      <c r="L13" s="58" t="s">
        <v>506</v>
      </c>
      <c r="M13" s="58" t="s">
        <v>506</v>
      </c>
      <c r="N13" s="58" t="s">
        <v>506</v>
      </c>
      <c r="O13" s="58" t="s">
        <v>506</v>
      </c>
      <c r="P13" s="58" t="s">
        <v>506</v>
      </c>
      <c r="Q13" s="58" t="s">
        <v>506</v>
      </c>
      <c r="R13" s="57">
        <v>14.36</v>
      </c>
    </row>
    <row r="14" spans="2:18" x14ac:dyDescent="0.4">
      <c r="B14" s="48" t="s">
        <v>265</v>
      </c>
      <c r="C14" s="53" t="s">
        <v>255</v>
      </c>
      <c r="D14" s="49" t="s">
        <v>256</v>
      </c>
      <c r="E14" s="49" t="str">
        <f>B14&amp;C14</f>
        <v>Mobile, ALTAN</v>
      </c>
      <c r="F14" s="56">
        <v>41.4</v>
      </c>
      <c r="G14" s="56">
        <v>43.8</v>
      </c>
      <c r="H14" s="56">
        <v>49.7</v>
      </c>
      <c r="I14" s="56">
        <v>56.3</v>
      </c>
      <c r="J14" s="56">
        <v>64.7</v>
      </c>
      <c r="K14" s="56">
        <v>71</v>
      </c>
      <c r="L14" s="56">
        <v>73.3</v>
      </c>
      <c r="M14" s="56">
        <v>73.099999999999994</v>
      </c>
      <c r="N14" s="56">
        <v>68.900000000000006</v>
      </c>
      <c r="O14" s="56">
        <v>58.4</v>
      </c>
      <c r="P14" s="56">
        <v>48.3</v>
      </c>
      <c r="Q14" s="56">
        <v>42.4</v>
      </c>
      <c r="R14" s="57">
        <v>57.6</v>
      </c>
    </row>
    <row r="15" spans="2:18" x14ac:dyDescent="0.4">
      <c r="B15" s="50"/>
      <c r="C15" s="53" t="s">
        <v>257</v>
      </c>
      <c r="D15" s="49" t="s">
        <v>256</v>
      </c>
      <c r="E15" s="49" t="str">
        <f>B14&amp;C15</f>
        <v>Mobile, ALTAX</v>
      </c>
      <c r="F15" s="56">
        <v>60.8</v>
      </c>
      <c r="G15" s="56">
        <v>64.2</v>
      </c>
      <c r="H15" s="56">
        <v>70.400000000000006</v>
      </c>
      <c r="I15" s="56">
        <v>76.7</v>
      </c>
      <c r="J15" s="56">
        <v>84</v>
      </c>
      <c r="K15" s="56">
        <v>88.3</v>
      </c>
      <c r="L15" s="56">
        <v>90.1</v>
      </c>
      <c r="M15" s="56">
        <v>89.9</v>
      </c>
      <c r="N15" s="56">
        <v>86.4</v>
      </c>
      <c r="O15" s="56">
        <v>78.5</v>
      </c>
      <c r="P15" s="56">
        <v>69.5</v>
      </c>
      <c r="Q15" s="56">
        <v>62.1</v>
      </c>
      <c r="R15" s="57">
        <v>76.7</v>
      </c>
    </row>
    <row r="16" spans="2:18" x14ac:dyDescent="0.4">
      <c r="B16" s="50"/>
      <c r="C16" s="53" t="s">
        <v>258</v>
      </c>
      <c r="D16" s="49" t="s">
        <v>259</v>
      </c>
      <c r="E16" s="49" t="str">
        <f>B14&amp;C16</f>
        <v>Mobile, ALV</v>
      </c>
      <c r="F16" s="56">
        <v>8.5</v>
      </c>
      <c r="G16" s="56">
        <v>8.5</v>
      </c>
      <c r="H16" s="56">
        <v>8.6999999999999993</v>
      </c>
      <c r="I16" s="56">
        <v>8.3000000000000007</v>
      </c>
      <c r="J16" s="56">
        <v>7.4</v>
      </c>
      <c r="K16" s="56">
        <v>6</v>
      </c>
      <c r="L16" s="56">
        <v>5.4</v>
      </c>
      <c r="M16" s="56">
        <v>5.4</v>
      </c>
      <c r="N16" s="56">
        <v>6.7</v>
      </c>
      <c r="O16" s="56">
        <v>6.9</v>
      </c>
      <c r="P16" s="56">
        <v>7.2</v>
      </c>
      <c r="Q16" s="56">
        <v>7.8</v>
      </c>
      <c r="R16" s="57">
        <v>7.2</v>
      </c>
    </row>
    <row r="17" spans="2:18" x14ac:dyDescent="0.4">
      <c r="B17" s="50"/>
      <c r="C17" s="53" t="s">
        <v>260</v>
      </c>
      <c r="D17" s="49" t="s">
        <v>261</v>
      </c>
      <c r="E17" s="49" t="str">
        <f>B14&amp;C17</f>
        <v>Mobile, ALI</v>
      </c>
      <c r="F17" s="56">
        <v>865</v>
      </c>
      <c r="G17" s="56">
        <v>1114</v>
      </c>
      <c r="H17" s="56">
        <v>1446</v>
      </c>
      <c r="I17" s="56">
        <v>1774</v>
      </c>
      <c r="J17" s="56">
        <v>1955</v>
      </c>
      <c r="K17" s="56">
        <v>1925</v>
      </c>
      <c r="L17" s="56">
        <v>1876</v>
      </c>
      <c r="M17" s="56">
        <v>1767</v>
      </c>
      <c r="N17" s="56">
        <v>1557</v>
      </c>
      <c r="O17" s="56">
        <v>1304</v>
      </c>
      <c r="P17" s="56">
        <v>1024</v>
      </c>
      <c r="Q17" s="56">
        <v>818</v>
      </c>
      <c r="R17" s="57">
        <v>1452</v>
      </c>
    </row>
    <row r="18" spans="2:18" x14ac:dyDescent="0.4">
      <c r="B18" s="50"/>
      <c r="C18" s="53" t="s">
        <v>262</v>
      </c>
      <c r="D18" s="49" t="s">
        <v>263</v>
      </c>
      <c r="E18" s="49" t="str">
        <f>B14&amp;C18</f>
        <v>Mobile, ALPA</v>
      </c>
      <c r="F18" s="58" t="s">
        <v>506</v>
      </c>
      <c r="G18" s="58" t="s">
        <v>506</v>
      </c>
      <c r="H18" s="58" t="s">
        <v>506</v>
      </c>
      <c r="I18" s="58" t="s">
        <v>506</v>
      </c>
      <c r="J18" s="58" t="s">
        <v>506</v>
      </c>
      <c r="K18" s="58" t="s">
        <v>506</v>
      </c>
      <c r="L18" s="58" t="s">
        <v>506</v>
      </c>
      <c r="M18" s="58" t="s">
        <v>506</v>
      </c>
      <c r="N18" s="58" t="s">
        <v>506</v>
      </c>
      <c r="O18" s="58" t="s">
        <v>506</v>
      </c>
      <c r="P18" s="58" t="s">
        <v>506</v>
      </c>
      <c r="Q18" s="58" t="s">
        <v>506</v>
      </c>
      <c r="R18" s="57">
        <v>14.58</v>
      </c>
    </row>
    <row r="19" spans="2:18" x14ac:dyDescent="0.4">
      <c r="B19" s="48" t="s">
        <v>266</v>
      </c>
      <c r="C19" s="53" t="s">
        <v>255</v>
      </c>
      <c r="D19" s="49" t="s">
        <v>256</v>
      </c>
      <c r="E19" s="49" t="str">
        <f>B19&amp;C19</f>
        <v>Montgomery, ALTAN</v>
      </c>
      <c r="F19" s="56">
        <v>37.1</v>
      </c>
      <c r="G19" s="56">
        <v>39.9</v>
      </c>
      <c r="H19" s="56">
        <v>46.1</v>
      </c>
      <c r="I19" s="56">
        <v>52.6</v>
      </c>
      <c r="J19" s="56">
        <v>61.8</v>
      </c>
      <c r="K19" s="56">
        <v>68.900000000000006</v>
      </c>
      <c r="L19" s="56">
        <v>72.2</v>
      </c>
      <c r="M19" s="56">
        <v>71.7</v>
      </c>
      <c r="N19" s="56">
        <v>66.2</v>
      </c>
      <c r="O19" s="56">
        <v>54.4</v>
      </c>
      <c r="P19" s="56">
        <v>44</v>
      </c>
      <c r="Q19" s="56">
        <v>38</v>
      </c>
      <c r="R19" s="57">
        <v>54.4</v>
      </c>
    </row>
    <row r="20" spans="2:18" x14ac:dyDescent="0.4">
      <c r="B20" s="50"/>
      <c r="C20" s="53" t="s">
        <v>257</v>
      </c>
      <c r="D20" s="49" t="s">
        <v>256</v>
      </c>
      <c r="E20" s="49" t="str">
        <f>B19&amp;C20</f>
        <v>Montgomery, ALTAX</v>
      </c>
      <c r="F20" s="56">
        <v>57.7</v>
      </c>
      <c r="G20" s="56">
        <v>62</v>
      </c>
      <c r="H20" s="56">
        <v>69.400000000000006</v>
      </c>
      <c r="I20" s="56">
        <v>76.599999999999994</v>
      </c>
      <c r="J20" s="56">
        <v>83.9</v>
      </c>
      <c r="K20" s="56">
        <v>89.4</v>
      </c>
      <c r="L20" s="56">
        <v>91.8</v>
      </c>
      <c r="M20" s="56">
        <v>91.5</v>
      </c>
      <c r="N20" s="56">
        <v>86.9</v>
      </c>
      <c r="O20" s="56">
        <v>77.7</v>
      </c>
      <c r="P20" s="56">
        <v>67.900000000000006</v>
      </c>
      <c r="Q20" s="56">
        <v>59.1</v>
      </c>
      <c r="R20" s="57">
        <v>76.2</v>
      </c>
    </row>
    <row r="21" spans="2:18" x14ac:dyDescent="0.4">
      <c r="B21" s="50"/>
      <c r="C21" s="53" t="s">
        <v>258</v>
      </c>
      <c r="D21" s="49" t="s">
        <v>259</v>
      </c>
      <c r="E21" s="49" t="str">
        <f>B19&amp;C21</f>
        <v>Montgomery, ALV</v>
      </c>
      <c r="F21" s="56">
        <v>7.2</v>
      </c>
      <c r="G21" s="56">
        <v>7.4</v>
      </c>
      <c r="H21" s="56">
        <v>7.6</v>
      </c>
      <c r="I21" s="56">
        <v>6.5</v>
      </c>
      <c r="J21" s="56">
        <v>5.8</v>
      </c>
      <c r="K21" s="56">
        <v>4.9000000000000004</v>
      </c>
      <c r="L21" s="56">
        <v>4.7</v>
      </c>
      <c r="M21" s="56">
        <v>4.7</v>
      </c>
      <c r="N21" s="56">
        <v>5.6</v>
      </c>
      <c r="O21" s="56">
        <v>5.4</v>
      </c>
      <c r="P21" s="56">
        <v>5.8</v>
      </c>
      <c r="Q21" s="56">
        <v>6.7</v>
      </c>
      <c r="R21" s="57">
        <v>6</v>
      </c>
    </row>
    <row r="22" spans="2:18" x14ac:dyDescent="0.4">
      <c r="B22" s="50"/>
      <c r="C22" s="53" t="s">
        <v>260</v>
      </c>
      <c r="D22" s="49" t="s">
        <v>261</v>
      </c>
      <c r="E22" s="49" t="str">
        <f>B19&amp;C22</f>
        <v>Montgomery, ALI</v>
      </c>
      <c r="F22" s="56">
        <v>823</v>
      </c>
      <c r="G22" s="56">
        <v>1076</v>
      </c>
      <c r="H22" s="56">
        <v>1421</v>
      </c>
      <c r="I22" s="56">
        <v>1766</v>
      </c>
      <c r="J22" s="56">
        <v>1952</v>
      </c>
      <c r="K22" s="56">
        <v>1951</v>
      </c>
      <c r="L22" s="56">
        <v>1943</v>
      </c>
      <c r="M22" s="56">
        <v>1781</v>
      </c>
      <c r="N22" s="56">
        <v>1530</v>
      </c>
      <c r="O22" s="56">
        <v>1223</v>
      </c>
      <c r="P22" s="56">
        <v>950</v>
      </c>
      <c r="Q22" s="56">
        <v>749</v>
      </c>
      <c r="R22" s="57">
        <v>1430</v>
      </c>
    </row>
    <row r="23" spans="2:18" x14ac:dyDescent="0.4">
      <c r="B23" s="50"/>
      <c r="C23" s="53" t="s">
        <v>262</v>
      </c>
      <c r="D23" s="49" t="s">
        <v>263</v>
      </c>
      <c r="E23" s="49" t="str">
        <f>B19&amp;C23</f>
        <v>Montgomery, ALPA</v>
      </c>
      <c r="F23" s="58" t="s">
        <v>506</v>
      </c>
      <c r="G23" s="58" t="s">
        <v>506</v>
      </c>
      <c r="H23" s="58" t="s">
        <v>506</v>
      </c>
      <c r="I23" s="58" t="s">
        <v>506</v>
      </c>
      <c r="J23" s="58" t="s">
        <v>506</v>
      </c>
      <c r="K23" s="58" t="s">
        <v>506</v>
      </c>
      <c r="L23" s="58" t="s">
        <v>506</v>
      </c>
      <c r="M23" s="58" t="s">
        <v>506</v>
      </c>
      <c r="N23" s="58" t="s">
        <v>506</v>
      </c>
      <c r="O23" s="58" t="s">
        <v>506</v>
      </c>
      <c r="P23" s="58" t="s">
        <v>506</v>
      </c>
      <c r="Q23" s="58" t="s">
        <v>506</v>
      </c>
      <c r="R23" s="57">
        <v>14.59</v>
      </c>
    </row>
    <row r="24" spans="2:18" x14ac:dyDescent="0.4">
      <c r="B24" s="48" t="s">
        <v>267</v>
      </c>
      <c r="C24" s="53" t="s">
        <v>255</v>
      </c>
      <c r="D24" s="49" t="s">
        <v>256</v>
      </c>
      <c r="E24" s="49" t="str">
        <f>B24&amp;C24</f>
        <v>Phoenix, AZTAN</v>
      </c>
      <c r="F24" s="56">
        <v>46.5</v>
      </c>
      <c r="G24" s="56">
        <v>49.5</v>
      </c>
      <c r="H24" s="56">
        <v>54</v>
      </c>
      <c r="I24" s="56">
        <v>60.1</v>
      </c>
      <c r="J24" s="56">
        <v>69.8</v>
      </c>
      <c r="K24" s="56">
        <v>78.099999999999994</v>
      </c>
      <c r="L24" s="56">
        <v>84.3</v>
      </c>
      <c r="M24" s="56">
        <v>83.4</v>
      </c>
      <c r="N24" s="56">
        <v>78.099999999999994</v>
      </c>
      <c r="O24" s="56">
        <v>65.400000000000006</v>
      </c>
      <c r="P24" s="56">
        <v>53.3</v>
      </c>
      <c r="Q24" s="56">
        <v>45.6</v>
      </c>
      <c r="R24" s="57">
        <v>64</v>
      </c>
    </row>
    <row r="25" spans="2:18" x14ac:dyDescent="0.4">
      <c r="B25" s="50"/>
      <c r="C25" s="53" t="s">
        <v>257</v>
      </c>
      <c r="D25" s="49" t="s">
        <v>256</v>
      </c>
      <c r="E25" s="49" t="str">
        <f>B24&amp;C25</f>
        <v>Phoenix, AZTAX</v>
      </c>
      <c r="F25" s="56">
        <v>66.7</v>
      </c>
      <c r="G25" s="56">
        <v>69.8</v>
      </c>
      <c r="H25" s="56">
        <v>76.099999999999994</v>
      </c>
      <c r="I25" s="56">
        <v>83.6</v>
      </c>
      <c r="J25" s="56">
        <v>93.8</v>
      </c>
      <c r="K25" s="56">
        <v>102.6</v>
      </c>
      <c r="L25" s="56">
        <v>105.4</v>
      </c>
      <c r="M25" s="56">
        <v>103.6</v>
      </c>
      <c r="N25" s="56">
        <v>99.6</v>
      </c>
      <c r="O25" s="56">
        <v>87.8</v>
      </c>
      <c r="P25" s="56">
        <v>75.099999999999994</v>
      </c>
      <c r="Q25" s="56">
        <v>65.599999999999994</v>
      </c>
      <c r="R25" s="57">
        <v>85.8</v>
      </c>
    </row>
    <row r="26" spans="2:18" x14ac:dyDescent="0.4">
      <c r="B26" s="50"/>
      <c r="C26" s="53" t="s">
        <v>258</v>
      </c>
      <c r="D26" s="49" t="s">
        <v>259</v>
      </c>
      <c r="E26" s="49" t="str">
        <f>B24&amp;C26</f>
        <v>Phoenix, AZV</v>
      </c>
      <c r="F26" s="56">
        <v>4.9000000000000004</v>
      </c>
      <c r="G26" s="56">
        <v>5.6</v>
      </c>
      <c r="H26" s="56">
        <v>6.3</v>
      </c>
      <c r="I26" s="56">
        <v>6.9</v>
      </c>
      <c r="J26" s="56">
        <v>6.9</v>
      </c>
      <c r="K26" s="56">
        <v>6.7</v>
      </c>
      <c r="L26" s="56">
        <v>6.9</v>
      </c>
      <c r="M26" s="56">
        <v>6.7</v>
      </c>
      <c r="N26" s="56">
        <v>6</v>
      </c>
      <c r="O26" s="56">
        <v>5.6</v>
      </c>
      <c r="P26" s="56">
        <v>4.9000000000000004</v>
      </c>
      <c r="Q26" s="56">
        <v>4.7</v>
      </c>
      <c r="R26" s="57">
        <v>6</v>
      </c>
    </row>
    <row r="27" spans="2:18" x14ac:dyDescent="0.4">
      <c r="B27" s="50"/>
      <c r="C27" s="53" t="s">
        <v>260</v>
      </c>
      <c r="D27" s="49" t="s">
        <v>261</v>
      </c>
      <c r="E27" s="49" t="str">
        <f>B24&amp;C27</f>
        <v>Phoenix, AZI</v>
      </c>
      <c r="F27" s="56">
        <v>1058</v>
      </c>
      <c r="G27" s="56">
        <v>1335</v>
      </c>
      <c r="H27" s="56">
        <v>1774</v>
      </c>
      <c r="I27" s="56">
        <v>2248</v>
      </c>
      <c r="J27" s="56">
        <v>2495</v>
      </c>
      <c r="K27" s="56">
        <v>2606</v>
      </c>
      <c r="L27" s="56">
        <v>2379</v>
      </c>
      <c r="M27" s="56">
        <v>2144</v>
      </c>
      <c r="N27" s="56">
        <v>1910</v>
      </c>
      <c r="O27" s="56">
        <v>1542</v>
      </c>
      <c r="P27" s="56">
        <v>1172</v>
      </c>
      <c r="Q27" s="56">
        <v>967</v>
      </c>
      <c r="R27" s="57">
        <v>1802</v>
      </c>
    </row>
    <row r="28" spans="2:18" x14ac:dyDescent="0.4">
      <c r="B28" s="50"/>
      <c r="C28" s="53" t="s">
        <v>262</v>
      </c>
      <c r="D28" s="49" t="s">
        <v>263</v>
      </c>
      <c r="E28" s="49" t="str">
        <f>B24&amp;C28</f>
        <v>Phoenix, AZPA</v>
      </c>
      <c r="F28" s="58" t="s">
        <v>506</v>
      </c>
      <c r="G28" s="58" t="s">
        <v>506</v>
      </c>
      <c r="H28" s="58" t="s">
        <v>506</v>
      </c>
      <c r="I28" s="58" t="s">
        <v>506</v>
      </c>
      <c r="J28" s="58" t="s">
        <v>506</v>
      </c>
      <c r="K28" s="58" t="s">
        <v>506</v>
      </c>
      <c r="L28" s="58" t="s">
        <v>506</v>
      </c>
      <c r="M28" s="58" t="s">
        <v>506</v>
      </c>
      <c r="N28" s="58" t="s">
        <v>506</v>
      </c>
      <c r="O28" s="58" t="s">
        <v>506</v>
      </c>
      <c r="P28" s="58" t="s">
        <v>506</v>
      </c>
      <c r="Q28" s="58" t="s">
        <v>506</v>
      </c>
      <c r="R28" s="57">
        <v>14.11</v>
      </c>
    </row>
    <row r="29" spans="2:18" x14ac:dyDescent="0.4">
      <c r="B29" s="48" t="s">
        <v>268</v>
      </c>
      <c r="C29" s="53" t="s">
        <v>255</v>
      </c>
      <c r="D29" s="49" t="s">
        <v>256</v>
      </c>
      <c r="E29" s="49" t="str">
        <f>B29&amp;C29</f>
        <v>Prescott, AZTAN</v>
      </c>
      <c r="F29" s="56">
        <v>26.8</v>
      </c>
      <c r="G29" s="56">
        <v>29.5</v>
      </c>
      <c r="H29" s="56">
        <v>33.5</v>
      </c>
      <c r="I29" s="56">
        <v>38.9</v>
      </c>
      <c r="J29" s="56">
        <v>48</v>
      </c>
      <c r="K29" s="56">
        <v>55.9</v>
      </c>
      <c r="L29" s="56">
        <v>63.3</v>
      </c>
      <c r="M29" s="56">
        <v>61.9</v>
      </c>
      <c r="N29" s="56">
        <v>54.9</v>
      </c>
      <c r="O29" s="56">
        <v>42.7</v>
      </c>
      <c r="P29" s="56">
        <v>32.299999999999997</v>
      </c>
      <c r="Q29" s="56">
        <v>26.2</v>
      </c>
      <c r="R29" s="57">
        <v>42.8</v>
      </c>
    </row>
    <row r="30" spans="2:18" x14ac:dyDescent="0.4">
      <c r="B30" s="50"/>
      <c r="C30" s="53" t="s">
        <v>257</v>
      </c>
      <c r="D30" s="49" t="s">
        <v>256</v>
      </c>
      <c r="E30" s="49" t="str">
        <f>B29&amp;C30</f>
        <v>Prescott, AZTAX</v>
      </c>
      <c r="F30" s="56">
        <v>51.4</v>
      </c>
      <c r="G30" s="56">
        <v>54.4</v>
      </c>
      <c r="H30" s="56">
        <v>60</v>
      </c>
      <c r="I30" s="56">
        <v>66.400000000000006</v>
      </c>
      <c r="J30" s="56">
        <v>76.5</v>
      </c>
      <c r="K30" s="56">
        <v>85.6</v>
      </c>
      <c r="L30" s="56">
        <v>89.2</v>
      </c>
      <c r="M30" s="56">
        <v>86.5</v>
      </c>
      <c r="N30" s="56">
        <v>82.2</v>
      </c>
      <c r="O30" s="56">
        <v>71.400000000000006</v>
      </c>
      <c r="P30" s="56">
        <v>60.1</v>
      </c>
      <c r="Q30" s="56">
        <v>51.1</v>
      </c>
      <c r="R30" s="57">
        <v>69.599999999999994</v>
      </c>
    </row>
    <row r="31" spans="2:18" x14ac:dyDescent="0.4">
      <c r="B31" s="50"/>
      <c r="C31" s="53" t="s">
        <v>258</v>
      </c>
      <c r="D31" s="49" t="s">
        <v>259</v>
      </c>
      <c r="E31" s="49" t="str">
        <f>B29&amp;C31</f>
        <v>Prescott, AZV</v>
      </c>
      <c r="F31" s="56">
        <v>6.5</v>
      </c>
      <c r="G31" s="56">
        <v>7.2</v>
      </c>
      <c r="H31" s="56">
        <v>8.1</v>
      </c>
      <c r="I31" s="56">
        <v>8.9</v>
      </c>
      <c r="J31" s="56">
        <v>8.6999999999999993</v>
      </c>
      <c r="K31" s="56">
        <v>8.6999999999999993</v>
      </c>
      <c r="L31" s="56">
        <v>7.4</v>
      </c>
      <c r="M31" s="56">
        <v>6.7</v>
      </c>
      <c r="N31" s="56">
        <v>6.9</v>
      </c>
      <c r="O31" s="56">
        <v>6.9</v>
      </c>
      <c r="P31" s="56">
        <v>6.5</v>
      </c>
      <c r="Q31" s="56">
        <v>6.3</v>
      </c>
      <c r="R31" s="57">
        <v>7.4</v>
      </c>
    </row>
    <row r="32" spans="2:18" x14ac:dyDescent="0.4">
      <c r="B32" s="50"/>
      <c r="C32" s="53" t="s">
        <v>260</v>
      </c>
      <c r="D32" s="49" t="s">
        <v>261</v>
      </c>
      <c r="E32" s="49" t="str">
        <f>B29&amp;C32</f>
        <v>Prescott, AZI</v>
      </c>
      <c r="F32" s="56">
        <v>982</v>
      </c>
      <c r="G32" s="56">
        <v>1245</v>
      </c>
      <c r="H32" s="56">
        <v>1694</v>
      </c>
      <c r="I32" s="56">
        <v>2156</v>
      </c>
      <c r="J32" s="56">
        <v>2415</v>
      </c>
      <c r="K32" s="56">
        <v>2571</v>
      </c>
      <c r="L32" s="56">
        <v>2171</v>
      </c>
      <c r="M32" s="56">
        <v>1903</v>
      </c>
      <c r="N32" s="56">
        <v>1805</v>
      </c>
      <c r="O32" s="56">
        <v>1493</v>
      </c>
      <c r="P32" s="56">
        <v>1130</v>
      </c>
      <c r="Q32" s="56">
        <v>901</v>
      </c>
      <c r="R32" s="57">
        <v>1705</v>
      </c>
    </row>
    <row r="33" spans="2:18" x14ac:dyDescent="0.4">
      <c r="B33" s="50"/>
      <c r="C33" s="53" t="s">
        <v>262</v>
      </c>
      <c r="D33" s="49" t="s">
        <v>263</v>
      </c>
      <c r="E33" s="49" t="str">
        <f>B29&amp;C33</f>
        <v>Prescott, AZPA</v>
      </c>
      <c r="F33" s="58" t="s">
        <v>506</v>
      </c>
      <c r="G33" s="58" t="s">
        <v>506</v>
      </c>
      <c r="H33" s="58" t="s">
        <v>506</v>
      </c>
      <c r="I33" s="58" t="s">
        <v>506</v>
      </c>
      <c r="J33" s="58" t="s">
        <v>506</v>
      </c>
      <c r="K33" s="58" t="s">
        <v>506</v>
      </c>
      <c r="L33" s="58" t="s">
        <v>506</v>
      </c>
      <c r="M33" s="58" t="s">
        <v>506</v>
      </c>
      <c r="N33" s="58" t="s">
        <v>506</v>
      </c>
      <c r="O33" s="58" t="s">
        <v>506</v>
      </c>
      <c r="P33" s="58" t="s">
        <v>506</v>
      </c>
      <c r="Q33" s="58" t="s">
        <v>506</v>
      </c>
      <c r="R33" s="57">
        <v>12.24</v>
      </c>
    </row>
    <row r="34" spans="2:18" x14ac:dyDescent="0.4">
      <c r="B34" s="48" t="s">
        <v>269</v>
      </c>
      <c r="C34" s="53" t="s">
        <v>255</v>
      </c>
      <c r="D34" s="49" t="s">
        <v>256</v>
      </c>
      <c r="E34" s="49" t="str">
        <f>B34&amp;C34</f>
        <v>Tucson, AZTAN</v>
      </c>
      <c r="F34" s="56">
        <v>40.700000000000003</v>
      </c>
      <c r="G34" s="56">
        <v>43.1</v>
      </c>
      <c r="H34" s="56">
        <v>47</v>
      </c>
      <c r="I34" s="56">
        <v>52.4</v>
      </c>
      <c r="J34" s="56">
        <v>61.6</v>
      </c>
      <c r="K34" s="56">
        <v>70.400000000000006</v>
      </c>
      <c r="L34" s="56">
        <v>75.7</v>
      </c>
      <c r="M34" s="56">
        <v>74.400000000000006</v>
      </c>
      <c r="N34" s="56">
        <v>70.099999999999994</v>
      </c>
      <c r="O34" s="56">
        <v>58.4</v>
      </c>
      <c r="P34" s="56">
        <v>47</v>
      </c>
      <c r="Q34" s="56">
        <v>40</v>
      </c>
      <c r="R34" s="57">
        <v>56.8</v>
      </c>
    </row>
    <row r="35" spans="2:18" x14ac:dyDescent="0.4">
      <c r="B35" s="50"/>
      <c r="C35" s="51" t="s">
        <v>257</v>
      </c>
      <c r="D35" s="49" t="s">
        <v>256</v>
      </c>
      <c r="E35" s="49" t="str">
        <f>B34&amp;C35</f>
        <v>Tucson, AZTAX</v>
      </c>
      <c r="F35" s="56">
        <v>65.8</v>
      </c>
      <c r="G35" s="56">
        <v>68.400000000000006</v>
      </c>
      <c r="H35" s="56">
        <v>74.2</v>
      </c>
      <c r="I35" s="56">
        <v>81.7</v>
      </c>
      <c r="J35" s="56">
        <v>91.7</v>
      </c>
      <c r="K35" s="56">
        <v>99.9</v>
      </c>
      <c r="L35" s="56">
        <v>99.6</v>
      </c>
      <c r="M35" s="56">
        <v>97.3</v>
      </c>
      <c r="N35" s="56">
        <v>94.7</v>
      </c>
      <c r="O35" s="56">
        <v>85.1</v>
      </c>
      <c r="P35" s="56">
        <v>74.099999999999994</v>
      </c>
      <c r="Q35" s="56">
        <v>65</v>
      </c>
      <c r="R35" s="57">
        <v>83.1</v>
      </c>
    </row>
    <row r="36" spans="2:18" x14ac:dyDescent="0.4">
      <c r="B36" s="50"/>
      <c r="C36" s="51" t="s">
        <v>258</v>
      </c>
      <c r="D36" s="49" t="s">
        <v>259</v>
      </c>
      <c r="E36" s="49" t="str">
        <f>B34&amp;C36</f>
        <v>Tucson, AZV</v>
      </c>
      <c r="F36" s="56">
        <v>6.9</v>
      </c>
      <c r="G36" s="56">
        <v>7.4</v>
      </c>
      <c r="H36" s="56">
        <v>7.8</v>
      </c>
      <c r="I36" s="56">
        <v>8.3000000000000007</v>
      </c>
      <c r="J36" s="56">
        <v>8.1</v>
      </c>
      <c r="K36" s="56">
        <v>8.1</v>
      </c>
      <c r="L36" s="56">
        <v>7.8</v>
      </c>
      <c r="M36" s="56">
        <v>7.4</v>
      </c>
      <c r="N36" s="56">
        <v>7.6</v>
      </c>
      <c r="O36" s="56">
        <v>7.6</v>
      </c>
      <c r="P36" s="56">
        <v>7.2</v>
      </c>
      <c r="Q36" s="56">
        <v>6.9</v>
      </c>
      <c r="R36" s="57">
        <v>7.6</v>
      </c>
    </row>
    <row r="37" spans="2:18" x14ac:dyDescent="0.4">
      <c r="B37" s="50"/>
      <c r="C37" s="51" t="s">
        <v>260</v>
      </c>
      <c r="D37" s="49" t="s">
        <v>261</v>
      </c>
      <c r="E37" s="49" t="str">
        <f>B34&amp;C37</f>
        <v>Tucson, AZI</v>
      </c>
      <c r="F37" s="56">
        <v>1110</v>
      </c>
      <c r="G37" s="56">
        <v>1370</v>
      </c>
      <c r="H37" s="56">
        <v>1840</v>
      </c>
      <c r="I37" s="56">
        <v>2279</v>
      </c>
      <c r="J37" s="56">
        <v>2510</v>
      </c>
      <c r="K37" s="56">
        <v>2582</v>
      </c>
      <c r="L37" s="56">
        <v>2198</v>
      </c>
      <c r="M37" s="56">
        <v>2007</v>
      </c>
      <c r="N37" s="56">
        <v>1886</v>
      </c>
      <c r="O37" s="56">
        <v>1595</v>
      </c>
      <c r="P37" s="56">
        <v>1249</v>
      </c>
      <c r="Q37" s="56">
        <v>1033</v>
      </c>
      <c r="R37" s="57">
        <v>1805</v>
      </c>
    </row>
    <row r="38" spans="2:18" x14ac:dyDescent="0.4">
      <c r="B38" s="50"/>
      <c r="C38" s="51" t="s">
        <v>262</v>
      </c>
      <c r="D38" s="49" t="s">
        <v>263</v>
      </c>
      <c r="E38" s="49" t="str">
        <f>B34&amp;C38</f>
        <v>Tucson, AZPA</v>
      </c>
      <c r="F38" s="58" t="s">
        <v>506</v>
      </c>
      <c r="G38" s="58" t="s">
        <v>506</v>
      </c>
      <c r="H38" s="58" t="s">
        <v>506</v>
      </c>
      <c r="I38" s="58" t="s">
        <v>506</v>
      </c>
      <c r="J38" s="58" t="s">
        <v>506</v>
      </c>
      <c r="K38" s="58" t="s">
        <v>506</v>
      </c>
      <c r="L38" s="58" t="s">
        <v>506</v>
      </c>
      <c r="M38" s="58" t="s">
        <v>506</v>
      </c>
      <c r="N38" s="58" t="s">
        <v>506</v>
      </c>
      <c r="O38" s="58" t="s">
        <v>506</v>
      </c>
      <c r="P38" s="58" t="s">
        <v>506</v>
      </c>
      <c r="Q38" s="58" t="s">
        <v>506</v>
      </c>
      <c r="R38" s="57">
        <v>13.4</v>
      </c>
    </row>
    <row r="39" spans="2:18" x14ac:dyDescent="0.4">
      <c r="B39" s="48" t="s">
        <v>270</v>
      </c>
      <c r="C39" s="51" t="s">
        <v>255</v>
      </c>
      <c r="D39" s="49" t="s">
        <v>256</v>
      </c>
      <c r="E39" s="49" t="str">
        <f>B39&amp;C39</f>
        <v>Fort Smith, ARTAN</v>
      </c>
      <c r="F39" s="56">
        <v>30.7</v>
      </c>
      <c r="G39" s="56">
        <v>34.299999999999997</v>
      </c>
      <c r="H39" s="56">
        <v>41.8</v>
      </c>
      <c r="I39" s="56">
        <v>50.5</v>
      </c>
      <c r="J39" s="56">
        <v>60.4</v>
      </c>
      <c r="K39" s="56">
        <v>68.400000000000006</v>
      </c>
      <c r="L39" s="56">
        <v>72.400000000000006</v>
      </c>
      <c r="M39" s="56">
        <v>71.400000000000006</v>
      </c>
      <c r="N39" s="56">
        <v>63</v>
      </c>
      <c r="O39" s="56">
        <v>51.6</v>
      </c>
      <c r="P39" s="56">
        <v>41</v>
      </c>
      <c r="Q39" s="56">
        <v>32.799999999999997</v>
      </c>
      <c r="R39" s="57">
        <v>51.5</v>
      </c>
    </row>
    <row r="40" spans="2:18" x14ac:dyDescent="0.4">
      <c r="B40" s="50"/>
      <c r="C40" s="51" t="s">
        <v>257</v>
      </c>
      <c r="D40" s="49" t="s">
        <v>256</v>
      </c>
      <c r="E40" s="49" t="str">
        <f>B39&amp;C40</f>
        <v>Fort Smith, ARTAX</v>
      </c>
      <c r="F40" s="56">
        <v>49.4</v>
      </c>
      <c r="G40" s="56">
        <v>55.3</v>
      </c>
      <c r="H40" s="56">
        <v>63.7</v>
      </c>
      <c r="I40" s="56">
        <v>73</v>
      </c>
      <c r="J40" s="56">
        <v>79.8</v>
      </c>
      <c r="K40" s="56">
        <v>87.1</v>
      </c>
      <c r="L40" s="56">
        <v>92.3</v>
      </c>
      <c r="M40" s="56">
        <v>92.8</v>
      </c>
      <c r="N40" s="56">
        <v>84.4</v>
      </c>
      <c r="O40" s="56">
        <v>74.3</v>
      </c>
      <c r="P40" s="56">
        <v>61.8</v>
      </c>
      <c r="Q40" s="56">
        <v>51.6</v>
      </c>
      <c r="R40" s="57">
        <v>72.099999999999994</v>
      </c>
    </row>
    <row r="41" spans="2:18" x14ac:dyDescent="0.4">
      <c r="B41" s="50"/>
      <c r="C41" s="51" t="s">
        <v>258</v>
      </c>
      <c r="D41" s="49" t="s">
        <v>259</v>
      </c>
      <c r="E41" s="49" t="str">
        <f>B39&amp;C41</f>
        <v>Fort Smith, ARV</v>
      </c>
      <c r="F41" s="56">
        <v>7.6</v>
      </c>
      <c r="G41" s="56">
        <v>8.1</v>
      </c>
      <c r="H41" s="56">
        <v>8.6999999999999993</v>
      </c>
      <c r="I41" s="56">
        <v>8.3000000000000007</v>
      </c>
      <c r="J41" s="56">
        <v>6.9</v>
      </c>
      <c r="K41" s="56">
        <v>6</v>
      </c>
      <c r="L41" s="56">
        <v>5.4</v>
      </c>
      <c r="M41" s="56">
        <v>5.6</v>
      </c>
      <c r="N41" s="56">
        <v>6</v>
      </c>
      <c r="O41" s="56">
        <v>6.3</v>
      </c>
      <c r="P41" s="56">
        <v>7.2</v>
      </c>
      <c r="Q41" s="56">
        <v>7.6</v>
      </c>
      <c r="R41" s="57">
        <v>6.9</v>
      </c>
    </row>
    <row r="42" spans="2:18" x14ac:dyDescent="0.4">
      <c r="B42" s="50"/>
      <c r="C42" s="51" t="s">
        <v>260</v>
      </c>
      <c r="D42" s="49" t="s">
        <v>261</v>
      </c>
      <c r="E42" s="49" t="str">
        <f>B39&amp;C42</f>
        <v>Fort Smith, ARI</v>
      </c>
      <c r="F42" s="56">
        <v>738</v>
      </c>
      <c r="G42" s="56">
        <v>977</v>
      </c>
      <c r="H42" s="56">
        <v>1299</v>
      </c>
      <c r="I42" s="56">
        <v>1674</v>
      </c>
      <c r="J42" s="56">
        <v>1808</v>
      </c>
      <c r="K42" s="56">
        <v>1991</v>
      </c>
      <c r="L42" s="56">
        <v>2117</v>
      </c>
      <c r="M42" s="56">
        <v>1918</v>
      </c>
      <c r="N42" s="56">
        <v>1522</v>
      </c>
      <c r="O42" s="56">
        <v>1177</v>
      </c>
      <c r="P42" s="56">
        <v>811</v>
      </c>
      <c r="Q42" s="56">
        <v>674</v>
      </c>
      <c r="R42" s="57">
        <v>1392</v>
      </c>
    </row>
    <row r="43" spans="2:18" x14ac:dyDescent="0.4">
      <c r="B43" s="50"/>
      <c r="C43" s="51" t="s">
        <v>262</v>
      </c>
      <c r="D43" s="49" t="s">
        <v>263</v>
      </c>
      <c r="E43" s="49" t="str">
        <f>B39&amp;C43</f>
        <v>Fort Smith, ARPA</v>
      </c>
      <c r="F43" s="58" t="s">
        <v>506</v>
      </c>
      <c r="G43" s="58" t="s">
        <v>506</v>
      </c>
      <c r="H43" s="58" t="s">
        <v>506</v>
      </c>
      <c r="I43" s="58" t="s">
        <v>506</v>
      </c>
      <c r="J43" s="58" t="s">
        <v>506</v>
      </c>
      <c r="K43" s="58" t="s">
        <v>506</v>
      </c>
      <c r="L43" s="58" t="s">
        <v>506</v>
      </c>
      <c r="M43" s="58" t="s">
        <v>506</v>
      </c>
      <c r="N43" s="58" t="s">
        <v>506</v>
      </c>
      <c r="O43" s="58" t="s">
        <v>506</v>
      </c>
      <c r="P43" s="58" t="s">
        <v>506</v>
      </c>
      <c r="Q43" s="58" t="s">
        <v>506</v>
      </c>
      <c r="R43" s="57">
        <v>14.46</v>
      </c>
    </row>
    <row r="44" spans="2:18" x14ac:dyDescent="0.4">
      <c r="B44" s="48" t="s">
        <v>271</v>
      </c>
      <c r="C44" s="51" t="s">
        <v>255</v>
      </c>
      <c r="D44" s="49" t="s">
        <v>256</v>
      </c>
      <c r="E44" s="49" t="str">
        <f>B44&amp;C44</f>
        <v>Little Rock, ARTAN</v>
      </c>
      <c r="F44" s="56">
        <v>33.299999999999997</v>
      </c>
      <c r="G44" s="56">
        <v>36.299999999999997</v>
      </c>
      <c r="H44" s="56">
        <v>43.8</v>
      </c>
      <c r="I44" s="56">
        <v>52.4</v>
      </c>
      <c r="J44" s="56">
        <v>61.6</v>
      </c>
      <c r="K44" s="56">
        <v>69.7</v>
      </c>
      <c r="L44" s="56">
        <v>73.2</v>
      </c>
      <c r="M44" s="56">
        <v>72.2</v>
      </c>
      <c r="N44" s="56">
        <v>64.400000000000006</v>
      </c>
      <c r="O44" s="56">
        <v>53.1</v>
      </c>
      <c r="P44" s="56">
        <v>42.9</v>
      </c>
      <c r="Q44" s="56">
        <v>35</v>
      </c>
      <c r="R44" s="57">
        <v>53.2</v>
      </c>
    </row>
    <row r="45" spans="2:18" x14ac:dyDescent="0.4">
      <c r="B45" s="50"/>
      <c r="C45" s="51" t="s">
        <v>257</v>
      </c>
      <c r="D45" s="49" t="s">
        <v>256</v>
      </c>
      <c r="E45" s="49" t="str">
        <f>B44&amp;C45</f>
        <v>Little Rock, ARTAX</v>
      </c>
      <c r="F45" s="56">
        <v>50.6</v>
      </c>
      <c r="G45" s="56">
        <v>55.5</v>
      </c>
      <c r="H45" s="56">
        <v>63.7</v>
      </c>
      <c r="I45" s="56">
        <v>73.099999999999994</v>
      </c>
      <c r="J45" s="56">
        <v>80.8</v>
      </c>
      <c r="K45" s="56">
        <v>88.1</v>
      </c>
      <c r="L45" s="56">
        <v>91.8</v>
      </c>
      <c r="M45" s="56">
        <v>92.2</v>
      </c>
      <c r="N45" s="56">
        <v>84.9</v>
      </c>
      <c r="O45" s="56">
        <v>74.400000000000006</v>
      </c>
      <c r="P45" s="56">
        <v>62.1</v>
      </c>
      <c r="Q45" s="56">
        <v>52.3</v>
      </c>
      <c r="R45" s="57">
        <v>72.5</v>
      </c>
    </row>
    <row r="46" spans="2:18" x14ac:dyDescent="0.4">
      <c r="B46" s="50"/>
      <c r="C46" s="51" t="s">
        <v>258</v>
      </c>
      <c r="D46" s="49" t="s">
        <v>259</v>
      </c>
      <c r="E46" s="49" t="str">
        <f>B44&amp;C46</f>
        <v>Little Rock, ARV</v>
      </c>
      <c r="F46" s="56">
        <v>7.8</v>
      </c>
      <c r="G46" s="56">
        <v>7.8</v>
      </c>
      <c r="H46" s="56">
        <v>8.6999999999999993</v>
      </c>
      <c r="I46" s="56">
        <v>8.5</v>
      </c>
      <c r="J46" s="56">
        <v>7.2</v>
      </c>
      <c r="K46" s="56">
        <v>6.3</v>
      </c>
      <c r="L46" s="56">
        <v>6</v>
      </c>
      <c r="M46" s="56">
        <v>5.6</v>
      </c>
      <c r="N46" s="56">
        <v>6.3</v>
      </c>
      <c r="O46" s="56">
        <v>6</v>
      </c>
      <c r="P46" s="56">
        <v>7.2</v>
      </c>
      <c r="Q46" s="56">
        <v>7.6</v>
      </c>
      <c r="R46" s="57">
        <v>7.2</v>
      </c>
    </row>
    <row r="47" spans="2:18" x14ac:dyDescent="0.4">
      <c r="B47" s="50"/>
      <c r="C47" s="51" t="s">
        <v>260</v>
      </c>
      <c r="D47" s="49" t="s">
        <v>261</v>
      </c>
      <c r="E47" s="49" t="str">
        <f>B44&amp;C47</f>
        <v>Little Rock, ARI</v>
      </c>
      <c r="F47" s="56">
        <v>717</v>
      </c>
      <c r="G47" s="56">
        <v>970</v>
      </c>
      <c r="H47" s="56">
        <v>1302</v>
      </c>
      <c r="I47" s="56">
        <v>1686</v>
      </c>
      <c r="J47" s="56">
        <v>1820</v>
      </c>
      <c r="K47" s="56">
        <v>2008</v>
      </c>
      <c r="L47" s="56">
        <v>2009</v>
      </c>
      <c r="M47" s="56">
        <v>1879</v>
      </c>
      <c r="N47" s="56">
        <v>1534</v>
      </c>
      <c r="O47" s="56">
        <v>1171</v>
      </c>
      <c r="P47" s="56">
        <v>814</v>
      </c>
      <c r="Q47" s="56">
        <v>656</v>
      </c>
      <c r="R47" s="57">
        <v>1380</v>
      </c>
    </row>
    <row r="48" spans="2:18" x14ac:dyDescent="0.4">
      <c r="B48" s="50"/>
      <c r="C48" s="51" t="s">
        <v>262</v>
      </c>
      <c r="D48" s="49" t="s">
        <v>263</v>
      </c>
      <c r="E48" s="49" t="str">
        <f>B44&amp;C48</f>
        <v>Little Rock, ARPA</v>
      </c>
      <c r="F48" s="58" t="s">
        <v>506</v>
      </c>
      <c r="G48" s="58" t="s">
        <v>506</v>
      </c>
      <c r="H48" s="58" t="s">
        <v>506</v>
      </c>
      <c r="I48" s="58" t="s">
        <v>506</v>
      </c>
      <c r="J48" s="58" t="s">
        <v>506</v>
      </c>
      <c r="K48" s="58" t="s">
        <v>506</v>
      </c>
      <c r="L48" s="58" t="s">
        <v>506</v>
      </c>
      <c r="M48" s="58" t="s">
        <v>506</v>
      </c>
      <c r="N48" s="58" t="s">
        <v>506</v>
      </c>
      <c r="O48" s="58" t="s">
        <v>506</v>
      </c>
      <c r="P48" s="58" t="s">
        <v>506</v>
      </c>
      <c r="Q48" s="58" t="s">
        <v>506</v>
      </c>
      <c r="R48" s="57">
        <v>14.56</v>
      </c>
    </row>
    <row r="49" spans="2:18" x14ac:dyDescent="0.4">
      <c r="B49" s="48" t="s">
        <v>272</v>
      </c>
      <c r="C49" s="51" t="s">
        <v>255</v>
      </c>
      <c r="D49" s="49" t="s">
        <v>256</v>
      </c>
      <c r="E49" s="49" t="str">
        <f>B49&amp;C49</f>
        <v>Arcata, CATAN</v>
      </c>
      <c r="F49" s="56">
        <v>40.700000000000003</v>
      </c>
      <c r="G49" s="56">
        <v>41.4</v>
      </c>
      <c r="H49" s="56">
        <v>41.1</v>
      </c>
      <c r="I49" s="56">
        <v>42.4</v>
      </c>
      <c r="J49" s="56">
        <v>46</v>
      </c>
      <c r="K49" s="56">
        <v>48.4</v>
      </c>
      <c r="L49" s="56">
        <v>51.4</v>
      </c>
      <c r="M49" s="56">
        <v>51.4</v>
      </c>
      <c r="N49" s="56">
        <v>48.3</v>
      </c>
      <c r="O49" s="56">
        <v>45.1</v>
      </c>
      <c r="P49" s="56">
        <v>42.5</v>
      </c>
      <c r="Q49" s="56">
        <v>40.200000000000003</v>
      </c>
      <c r="R49" s="57">
        <v>44.9</v>
      </c>
    </row>
    <row r="50" spans="2:18" x14ac:dyDescent="0.4">
      <c r="B50" s="50"/>
      <c r="C50" s="51" t="s">
        <v>257</v>
      </c>
      <c r="D50" s="49" t="s">
        <v>256</v>
      </c>
      <c r="E50" s="49" t="str">
        <f>B49&amp;C50</f>
        <v>Arcata, CATAX</v>
      </c>
      <c r="F50" s="56">
        <v>55.1</v>
      </c>
      <c r="G50" s="56">
        <v>55.6</v>
      </c>
      <c r="H50" s="56">
        <v>55.5</v>
      </c>
      <c r="I50" s="56">
        <v>56.2</v>
      </c>
      <c r="J50" s="56">
        <v>58.9</v>
      </c>
      <c r="K50" s="56">
        <v>61.1</v>
      </c>
      <c r="L50" s="56">
        <v>62.2</v>
      </c>
      <c r="M50" s="56">
        <v>63.2</v>
      </c>
      <c r="N50" s="56">
        <v>63.2</v>
      </c>
      <c r="O50" s="56">
        <v>61.9</v>
      </c>
      <c r="P50" s="56">
        <v>57.5</v>
      </c>
      <c r="Q50" s="56">
        <v>54.9</v>
      </c>
      <c r="R50" s="57">
        <v>58.8</v>
      </c>
    </row>
    <row r="51" spans="2:18" x14ac:dyDescent="0.4">
      <c r="B51" s="50"/>
      <c r="C51" s="51" t="s">
        <v>258</v>
      </c>
      <c r="D51" s="49" t="s">
        <v>259</v>
      </c>
      <c r="E51" s="49" t="str">
        <f>B49&amp;C51</f>
        <v>Arcata, CAV</v>
      </c>
      <c r="F51" s="56">
        <v>6.7</v>
      </c>
      <c r="G51" s="56">
        <v>6.7</v>
      </c>
      <c r="H51" s="56">
        <v>7.2</v>
      </c>
      <c r="I51" s="56">
        <v>7.2</v>
      </c>
      <c r="J51" s="56">
        <v>7.2</v>
      </c>
      <c r="K51" s="56">
        <v>7.2</v>
      </c>
      <c r="L51" s="56">
        <v>6</v>
      </c>
      <c r="M51" s="56">
        <v>5.6</v>
      </c>
      <c r="N51" s="56">
        <v>5.0999999999999996</v>
      </c>
      <c r="O51" s="56">
        <v>5.4</v>
      </c>
      <c r="P51" s="56">
        <v>5.8</v>
      </c>
      <c r="Q51" s="56">
        <v>6.9</v>
      </c>
      <c r="R51" s="57">
        <v>6.3</v>
      </c>
    </row>
    <row r="52" spans="2:18" x14ac:dyDescent="0.4">
      <c r="B52" s="50"/>
      <c r="C52" s="51" t="s">
        <v>260</v>
      </c>
      <c r="D52" s="49" t="s">
        <v>261</v>
      </c>
      <c r="E52" s="49" t="str">
        <f>B49&amp;C52</f>
        <v>Arcata, CAI</v>
      </c>
      <c r="F52" s="56">
        <v>527</v>
      </c>
      <c r="G52" s="56">
        <v>730</v>
      </c>
      <c r="H52" s="56">
        <v>1139</v>
      </c>
      <c r="I52" s="56">
        <v>1516</v>
      </c>
      <c r="J52" s="56">
        <v>1822</v>
      </c>
      <c r="K52" s="56">
        <v>1946</v>
      </c>
      <c r="L52" s="56">
        <v>1809</v>
      </c>
      <c r="M52" s="56">
        <v>1573</v>
      </c>
      <c r="N52" s="56">
        <v>1327</v>
      </c>
      <c r="O52" s="56">
        <v>971</v>
      </c>
      <c r="P52" s="56">
        <v>613</v>
      </c>
      <c r="Q52" s="56">
        <v>460</v>
      </c>
      <c r="R52" s="57">
        <v>1203</v>
      </c>
    </row>
    <row r="53" spans="2:18" x14ac:dyDescent="0.4">
      <c r="B53" s="50"/>
      <c r="C53" s="51" t="s">
        <v>262</v>
      </c>
      <c r="D53" s="49" t="s">
        <v>263</v>
      </c>
      <c r="E53" s="49" t="str">
        <f>B49&amp;C53</f>
        <v>Arcata, CAPA</v>
      </c>
      <c r="F53" s="58" t="s">
        <v>506</v>
      </c>
      <c r="G53" s="58" t="s">
        <v>506</v>
      </c>
      <c r="H53" s="58" t="s">
        <v>506</v>
      </c>
      <c r="I53" s="58" t="s">
        <v>506</v>
      </c>
      <c r="J53" s="58" t="s">
        <v>506</v>
      </c>
      <c r="K53" s="58" t="s">
        <v>506</v>
      </c>
      <c r="L53" s="58" t="s">
        <v>506</v>
      </c>
      <c r="M53" s="58" t="s">
        <v>506</v>
      </c>
      <c r="N53" s="58" t="s">
        <v>506</v>
      </c>
      <c r="O53" s="58" t="s">
        <v>506</v>
      </c>
      <c r="P53" s="58" t="s">
        <v>506</v>
      </c>
      <c r="Q53" s="58" t="s">
        <v>506</v>
      </c>
      <c r="R53" s="57">
        <v>14.59</v>
      </c>
    </row>
    <row r="54" spans="2:18" x14ac:dyDescent="0.4">
      <c r="B54" s="48" t="s">
        <v>273</v>
      </c>
      <c r="C54" s="51" t="s">
        <v>255</v>
      </c>
      <c r="D54" s="49" t="s">
        <v>256</v>
      </c>
      <c r="E54" s="49" t="str">
        <f>B54&amp;C54</f>
        <v>Bakersfield, CATAN</v>
      </c>
      <c r="F54" s="56">
        <v>40.299999999999997</v>
      </c>
      <c r="G54" s="56">
        <v>43.7</v>
      </c>
      <c r="H54" s="56">
        <v>46.9</v>
      </c>
      <c r="I54" s="56">
        <v>49.8</v>
      </c>
      <c r="J54" s="56">
        <v>57.8</v>
      </c>
      <c r="K54" s="56">
        <v>64.2</v>
      </c>
      <c r="L54" s="56">
        <v>70.7</v>
      </c>
      <c r="M54" s="56">
        <v>69.3</v>
      </c>
      <c r="N54" s="56">
        <v>64.5</v>
      </c>
      <c r="O54" s="56">
        <v>55.3</v>
      </c>
      <c r="P54" s="56">
        <v>45.3</v>
      </c>
      <c r="Q54" s="56">
        <v>39.700000000000003</v>
      </c>
      <c r="R54" s="57">
        <v>54</v>
      </c>
    </row>
    <row r="55" spans="2:18" x14ac:dyDescent="0.4">
      <c r="B55" s="50"/>
      <c r="C55" s="51" t="s">
        <v>257</v>
      </c>
      <c r="D55" s="49" t="s">
        <v>256</v>
      </c>
      <c r="E55" s="49" t="str">
        <f>B54&amp;C55</f>
        <v>Bakersfield, CATAX</v>
      </c>
      <c r="F55" s="56">
        <v>56.9</v>
      </c>
      <c r="G55" s="56">
        <v>62.9</v>
      </c>
      <c r="H55" s="56">
        <v>69</v>
      </c>
      <c r="I55" s="56">
        <v>74.099999999999994</v>
      </c>
      <c r="J55" s="56">
        <v>83.3</v>
      </c>
      <c r="K55" s="56">
        <v>90.6</v>
      </c>
      <c r="L55" s="56">
        <v>96.9</v>
      </c>
      <c r="M55" s="56">
        <v>95.7</v>
      </c>
      <c r="N55" s="56">
        <v>90.4</v>
      </c>
      <c r="O55" s="56">
        <v>79</v>
      </c>
      <c r="P55" s="56">
        <v>65.7</v>
      </c>
      <c r="Q55" s="56">
        <v>57.3</v>
      </c>
      <c r="R55" s="57">
        <v>76.8</v>
      </c>
    </row>
    <row r="56" spans="2:18" x14ac:dyDescent="0.4">
      <c r="B56" s="50"/>
      <c r="C56" s="51" t="s">
        <v>258</v>
      </c>
      <c r="D56" s="49" t="s">
        <v>259</v>
      </c>
      <c r="E56" s="49" t="str">
        <f>B54&amp;C56</f>
        <v>Bakersfield, CAV</v>
      </c>
      <c r="F56" s="56">
        <v>4.9000000000000004</v>
      </c>
      <c r="G56" s="56">
        <v>5.6</v>
      </c>
      <c r="H56" s="56">
        <v>6</v>
      </c>
      <c r="I56" s="56">
        <v>6.9</v>
      </c>
      <c r="J56" s="56">
        <v>7.4</v>
      </c>
      <c r="K56" s="56">
        <v>7.6</v>
      </c>
      <c r="L56" s="56">
        <v>6.9</v>
      </c>
      <c r="M56" s="56">
        <v>6.7</v>
      </c>
      <c r="N56" s="56">
        <v>6</v>
      </c>
      <c r="O56" s="56">
        <v>5.4</v>
      </c>
      <c r="P56" s="56">
        <v>4.7</v>
      </c>
      <c r="Q56" s="56">
        <v>4.9000000000000004</v>
      </c>
      <c r="R56" s="57">
        <v>6</v>
      </c>
    </row>
    <row r="57" spans="2:18" x14ac:dyDescent="0.4">
      <c r="B57" s="50"/>
      <c r="C57" s="51" t="s">
        <v>260</v>
      </c>
      <c r="D57" s="49" t="s">
        <v>261</v>
      </c>
      <c r="E57" s="49" t="str">
        <f>B54&amp;C57</f>
        <v>Bakersfield, CAI</v>
      </c>
      <c r="F57" s="56">
        <v>717</v>
      </c>
      <c r="G57" s="56">
        <v>1031</v>
      </c>
      <c r="H57" s="56">
        <v>1543</v>
      </c>
      <c r="I57" s="56">
        <v>2010</v>
      </c>
      <c r="J57" s="56">
        <v>2358</v>
      </c>
      <c r="K57" s="56">
        <v>2570</v>
      </c>
      <c r="L57" s="56">
        <v>2500</v>
      </c>
      <c r="M57" s="56">
        <v>2293</v>
      </c>
      <c r="N57" s="56">
        <v>1911</v>
      </c>
      <c r="O57" s="56">
        <v>1411</v>
      </c>
      <c r="P57" s="56">
        <v>952</v>
      </c>
      <c r="Q57" s="56">
        <v>696</v>
      </c>
      <c r="R57" s="57">
        <v>1666</v>
      </c>
    </row>
    <row r="58" spans="2:18" x14ac:dyDescent="0.4">
      <c r="B58" s="50"/>
      <c r="C58" s="51" t="s">
        <v>262</v>
      </c>
      <c r="D58" s="49" t="s">
        <v>263</v>
      </c>
      <c r="E58" s="49" t="str">
        <f>B54&amp;C58</f>
        <v>Bakersfield, CAPA</v>
      </c>
      <c r="F58" s="58" t="s">
        <v>506</v>
      </c>
      <c r="G58" s="58" t="s">
        <v>506</v>
      </c>
      <c r="H58" s="58" t="s">
        <v>506</v>
      </c>
      <c r="I58" s="58" t="s">
        <v>506</v>
      </c>
      <c r="J58" s="58" t="s">
        <v>506</v>
      </c>
      <c r="K58" s="58" t="s">
        <v>506</v>
      </c>
      <c r="L58" s="58" t="s">
        <v>506</v>
      </c>
      <c r="M58" s="58" t="s">
        <v>506</v>
      </c>
      <c r="N58" s="58" t="s">
        <v>506</v>
      </c>
      <c r="O58" s="58" t="s">
        <v>506</v>
      </c>
      <c r="P58" s="58" t="s">
        <v>506</v>
      </c>
      <c r="Q58" s="58" t="s">
        <v>506</v>
      </c>
      <c r="R58" s="57">
        <v>14.43</v>
      </c>
    </row>
    <row r="59" spans="2:18" x14ac:dyDescent="0.4">
      <c r="B59" s="48" t="s">
        <v>274</v>
      </c>
      <c r="C59" s="51" t="s">
        <v>255</v>
      </c>
      <c r="D59" s="49" t="s">
        <v>256</v>
      </c>
      <c r="E59" s="49" t="str">
        <f>B59&amp;C59</f>
        <v>Bishop, CATAN</v>
      </c>
      <c r="F59" s="56">
        <v>24</v>
      </c>
      <c r="G59" s="56">
        <v>27.4</v>
      </c>
      <c r="H59" s="56">
        <v>32.1</v>
      </c>
      <c r="I59" s="56">
        <v>36.799999999999997</v>
      </c>
      <c r="J59" s="56">
        <v>45.1</v>
      </c>
      <c r="K59" s="56">
        <v>51.9</v>
      </c>
      <c r="L59" s="56">
        <v>57.7</v>
      </c>
      <c r="M59" s="56">
        <v>54.8</v>
      </c>
      <c r="N59" s="56">
        <v>47.6</v>
      </c>
      <c r="O59" s="56">
        <v>38.5</v>
      </c>
      <c r="P59" s="56">
        <v>28.3</v>
      </c>
      <c r="Q59" s="56">
        <v>22.9</v>
      </c>
      <c r="R59" s="57">
        <v>38.9</v>
      </c>
    </row>
    <row r="60" spans="2:18" x14ac:dyDescent="0.4">
      <c r="B60" s="50"/>
      <c r="C60" s="51" t="s">
        <v>257</v>
      </c>
      <c r="D60" s="49" t="s">
        <v>256</v>
      </c>
      <c r="E60" s="49" t="str">
        <f>B59&amp;C60</f>
        <v>Bishop, CATAX</v>
      </c>
      <c r="F60" s="56">
        <v>53</v>
      </c>
      <c r="G60" s="56">
        <v>56.2</v>
      </c>
      <c r="H60" s="56">
        <v>64.5</v>
      </c>
      <c r="I60" s="56">
        <v>70.5</v>
      </c>
      <c r="J60" s="56">
        <v>80.8</v>
      </c>
      <c r="K60" s="56">
        <v>90.4</v>
      </c>
      <c r="L60" s="56">
        <v>97.5</v>
      </c>
      <c r="M60" s="56">
        <v>95.5</v>
      </c>
      <c r="N60" s="56">
        <v>87.6</v>
      </c>
      <c r="O60" s="56">
        <v>75.2</v>
      </c>
      <c r="P60" s="56">
        <v>61.9</v>
      </c>
      <c r="Q60" s="56">
        <v>52.5</v>
      </c>
      <c r="R60" s="57">
        <v>73.8</v>
      </c>
    </row>
    <row r="61" spans="2:18" x14ac:dyDescent="0.4">
      <c r="B61" s="50"/>
      <c r="C61" s="51" t="s">
        <v>258</v>
      </c>
      <c r="D61" s="49" t="s">
        <v>259</v>
      </c>
      <c r="E61" s="49" t="str">
        <f>B59&amp;C61</f>
        <v>Bishop, CAV</v>
      </c>
      <c r="F61" s="56">
        <v>7.2</v>
      </c>
      <c r="G61" s="56">
        <v>8.1</v>
      </c>
      <c r="H61" s="56">
        <v>9.4</v>
      </c>
      <c r="I61" s="56">
        <v>10.1</v>
      </c>
      <c r="J61" s="56">
        <v>9.1999999999999993</v>
      </c>
      <c r="K61" s="56">
        <v>8.3000000000000007</v>
      </c>
      <c r="L61" s="56">
        <v>7.8</v>
      </c>
      <c r="M61" s="56">
        <v>8.1</v>
      </c>
      <c r="N61" s="56">
        <v>7.6</v>
      </c>
      <c r="O61" s="56">
        <v>7.8</v>
      </c>
      <c r="P61" s="56">
        <v>7.4</v>
      </c>
      <c r="Q61" s="56">
        <v>6.9</v>
      </c>
      <c r="R61" s="57">
        <v>8.1</v>
      </c>
    </row>
    <row r="62" spans="2:18" x14ac:dyDescent="0.4">
      <c r="B62" s="50"/>
      <c r="C62" s="51" t="s">
        <v>260</v>
      </c>
      <c r="D62" s="49" t="s">
        <v>261</v>
      </c>
      <c r="E62" s="49" t="str">
        <f>B59&amp;C62</f>
        <v>Bishop, CAI</v>
      </c>
      <c r="F62" s="56">
        <v>882</v>
      </c>
      <c r="G62" s="56">
        <v>1186</v>
      </c>
      <c r="H62" s="56">
        <v>1683</v>
      </c>
      <c r="I62" s="56">
        <v>2080</v>
      </c>
      <c r="J62" s="56">
        <v>2378</v>
      </c>
      <c r="K62" s="56">
        <v>2564</v>
      </c>
      <c r="L62" s="56">
        <v>2487</v>
      </c>
      <c r="M62" s="56">
        <v>2278</v>
      </c>
      <c r="N62" s="56">
        <v>1925</v>
      </c>
      <c r="O62" s="56">
        <v>1457</v>
      </c>
      <c r="P62" s="56">
        <v>1046</v>
      </c>
      <c r="Q62" s="56">
        <v>824</v>
      </c>
      <c r="R62" s="57">
        <v>1732</v>
      </c>
    </row>
    <row r="63" spans="2:18" x14ac:dyDescent="0.4">
      <c r="B63" s="50"/>
      <c r="C63" s="51" t="s">
        <v>262</v>
      </c>
      <c r="D63" s="49" t="s">
        <v>263</v>
      </c>
      <c r="E63" s="49" t="str">
        <f>B59&amp;C63</f>
        <v>Bishop, CAPA</v>
      </c>
      <c r="F63" s="58" t="s">
        <v>506</v>
      </c>
      <c r="G63" s="58" t="s">
        <v>506</v>
      </c>
      <c r="H63" s="58" t="s">
        <v>506</v>
      </c>
      <c r="I63" s="58" t="s">
        <v>506</v>
      </c>
      <c r="J63" s="58" t="s">
        <v>506</v>
      </c>
      <c r="K63" s="58" t="s">
        <v>506</v>
      </c>
      <c r="L63" s="58" t="s">
        <v>506</v>
      </c>
      <c r="M63" s="58" t="s">
        <v>506</v>
      </c>
      <c r="N63" s="58" t="s">
        <v>506</v>
      </c>
      <c r="O63" s="58" t="s">
        <v>506</v>
      </c>
      <c r="P63" s="58" t="s">
        <v>506</v>
      </c>
      <c r="Q63" s="58" t="s">
        <v>506</v>
      </c>
      <c r="R63" s="57">
        <v>12.68</v>
      </c>
    </row>
    <row r="64" spans="2:18" x14ac:dyDescent="0.4">
      <c r="B64" s="48" t="s">
        <v>275</v>
      </c>
      <c r="C64" s="51" t="s">
        <v>255</v>
      </c>
      <c r="D64" s="49" t="s">
        <v>256</v>
      </c>
      <c r="E64" s="49" t="str">
        <f>B64&amp;C64</f>
        <v>Daggett, CATAN</v>
      </c>
      <c r="F64" s="56">
        <v>37.5</v>
      </c>
      <c r="G64" s="56">
        <v>41.2</v>
      </c>
      <c r="H64" s="56">
        <v>46.2</v>
      </c>
      <c r="I64" s="56">
        <v>51.3</v>
      </c>
      <c r="J64" s="56">
        <v>60.6</v>
      </c>
      <c r="K64" s="56">
        <v>68</v>
      </c>
      <c r="L64" s="56">
        <v>74.7</v>
      </c>
      <c r="M64" s="56">
        <v>73.599999999999994</v>
      </c>
      <c r="N64" s="56">
        <v>66.5</v>
      </c>
      <c r="O64" s="56">
        <v>55.3</v>
      </c>
      <c r="P64" s="56">
        <v>43.2</v>
      </c>
      <c r="Q64" s="56">
        <v>36.1</v>
      </c>
      <c r="R64" s="57">
        <v>54.5</v>
      </c>
    </row>
    <row r="65" spans="2:18" x14ac:dyDescent="0.4">
      <c r="B65" s="50"/>
      <c r="C65" s="51" t="s">
        <v>257</v>
      </c>
      <c r="D65" s="49" t="s">
        <v>256</v>
      </c>
      <c r="E65" s="49" t="str">
        <f>B64&amp;C65</f>
        <v>Daggett, CATAX</v>
      </c>
      <c r="F65" s="56">
        <v>60.8</v>
      </c>
      <c r="G65" s="56">
        <v>64.400000000000006</v>
      </c>
      <c r="H65" s="56">
        <v>71.7</v>
      </c>
      <c r="I65" s="56">
        <v>78.3</v>
      </c>
      <c r="J65" s="56">
        <v>88.9</v>
      </c>
      <c r="K65" s="56">
        <v>98</v>
      </c>
      <c r="L65" s="56">
        <v>104.6</v>
      </c>
      <c r="M65" s="56">
        <v>103.1</v>
      </c>
      <c r="N65" s="56">
        <v>95.7</v>
      </c>
      <c r="O65" s="56">
        <v>82.5</v>
      </c>
      <c r="P65" s="56">
        <v>69.099999999999994</v>
      </c>
      <c r="Q65" s="56">
        <v>59.6</v>
      </c>
      <c r="R65" s="57">
        <v>81.400000000000006</v>
      </c>
    </row>
    <row r="66" spans="2:18" x14ac:dyDescent="0.4">
      <c r="B66" s="50"/>
      <c r="C66" s="51" t="s">
        <v>258</v>
      </c>
      <c r="D66" s="49" t="s">
        <v>259</v>
      </c>
      <c r="E66" s="49" t="str">
        <f>B64&amp;C66</f>
        <v>Daggett, CAV</v>
      </c>
      <c r="F66" s="56">
        <v>8.1</v>
      </c>
      <c r="G66" s="56">
        <v>9.4</v>
      </c>
      <c r="H66" s="56">
        <v>11.4</v>
      </c>
      <c r="I66" s="56">
        <v>13.9</v>
      </c>
      <c r="J66" s="56">
        <v>14.1</v>
      </c>
      <c r="K66" s="56">
        <v>13.6</v>
      </c>
      <c r="L66" s="56">
        <v>11.6</v>
      </c>
      <c r="M66" s="56">
        <v>11</v>
      </c>
      <c r="N66" s="56">
        <v>10.1</v>
      </c>
      <c r="O66" s="56">
        <v>9.6</v>
      </c>
      <c r="P66" s="56">
        <v>8.5</v>
      </c>
      <c r="Q66" s="56">
        <v>7.6</v>
      </c>
      <c r="R66" s="57">
        <v>10.7</v>
      </c>
    </row>
    <row r="67" spans="2:18" x14ac:dyDescent="0.4">
      <c r="B67" s="50"/>
      <c r="C67" s="51" t="s">
        <v>260</v>
      </c>
      <c r="D67" s="49" t="s">
        <v>261</v>
      </c>
      <c r="E67" s="49" t="str">
        <f>B64&amp;C67</f>
        <v>Daggett, CAI</v>
      </c>
      <c r="F67" s="56">
        <v>992</v>
      </c>
      <c r="G67" s="56">
        <v>1270</v>
      </c>
      <c r="H67" s="56">
        <v>1756</v>
      </c>
      <c r="I67" s="56">
        <v>2197</v>
      </c>
      <c r="J67" s="56">
        <v>2492</v>
      </c>
      <c r="K67" s="56">
        <v>2656</v>
      </c>
      <c r="L67" s="56">
        <v>2470</v>
      </c>
      <c r="M67" s="56">
        <v>2259</v>
      </c>
      <c r="N67" s="56">
        <v>1972</v>
      </c>
      <c r="O67" s="56">
        <v>1544</v>
      </c>
      <c r="P67" s="56">
        <v>1142</v>
      </c>
      <c r="Q67" s="56">
        <v>921</v>
      </c>
      <c r="R67" s="57">
        <v>1806</v>
      </c>
    </row>
    <row r="68" spans="2:18" x14ac:dyDescent="0.4">
      <c r="B68" s="50"/>
      <c r="C68" s="51" t="s">
        <v>262</v>
      </c>
      <c r="D68" s="49" t="s">
        <v>263</v>
      </c>
      <c r="E68" s="49" t="str">
        <f>B64&amp;C68</f>
        <v>Daggett, CAPA</v>
      </c>
      <c r="F68" s="58" t="s">
        <v>506</v>
      </c>
      <c r="G68" s="58" t="s">
        <v>506</v>
      </c>
      <c r="H68" s="58" t="s">
        <v>506</v>
      </c>
      <c r="I68" s="58" t="s">
        <v>506</v>
      </c>
      <c r="J68" s="58" t="s">
        <v>506</v>
      </c>
      <c r="K68" s="58" t="s">
        <v>506</v>
      </c>
      <c r="L68" s="58" t="s">
        <v>506</v>
      </c>
      <c r="M68" s="58" t="s">
        <v>506</v>
      </c>
      <c r="N68" s="58" t="s">
        <v>506</v>
      </c>
      <c r="O68" s="58" t="s">
        <v>506</v>
      </c>
      <c r="P68" s="58" t="s">
        <v>506</v>
      </c>
      <c r="Q68" s="58" t="s">
        <v>506</v>
      </c>
      <c r="R68" s="57">
        <v>13.71</v>
      </c>
    </row>
    <row r="69" spans="2:18" x14ac:dyDescent="0.4">
      <c r="B69" s="48" t="s">
        <v>276</v>
      </c>
      <c r="C69" s="51" t="s">
        <v>255</v>
      </c>
      <c r="D69" s="49" t="s">
        <v>256</v>
      </c>
      <c r="E69" s="49" t="str">
        <f>B69&amp;C69</f>
        <v>Fresno, CATAN</v>
      </c>
      <c r="F69" s="56">
        <v>39.9</v>
      </c>
      <c r="G69" s="56">
        <v>43.1</v>
      </c>
      <c r="H69" s="56">
        <v>46.5</v>
      </c>
      <c r="I69" s="56">
        <v>49.6</v>
      </c>
      <c r="J69" s="56">
        <v>56.9</v>
      </c>
      <c r="K69" s="56">
        <v>62.4</v>
      </c>
      <c r="L69" s="56">
        <v>68.3</v>
      </c>
      <c r="M69" s="56">
        <v>66.7</v>
      </c>
      <c r="N69" s="56">
        <v>62.2</v>
      </c>
      <c r="O69" s="56">
        <v>53.7</v>
      </c>
      <c r="P69" s="56">
        <v>44.6</v>
      </c>
      <c r="Q69" s="56">
        <v>39.4</v>
      </c>
      <c r="R69" s="57">
        <v>52.8</v>
      </c>
    </row>
    <row r="70" spans="2:18" x14ac:dyDescent="0.4">
      <c r="B70" s="50"/>
      <c r="C70" s="51" t="s">
        <v>257</v>
      </c>
      <c r="D70" s="49" t="s">
        <v>256</v>
      </c>
      <c r="E70" s="49" t="str">
        <f>B69&amp;C70</f>
        <v>Fresno, CATAX</v>
      </c>
      <c r="F70" s="56">
        <v>55</v>
      </c>
      <c r="G70" s="56">
        <v>61.1</v>
      </c>
      <c r="H70" s="56">
        <v>67.400000000000006</v>
      </c>
      <c r="I70" s="56">
        <v>73.099999999999994</v>
      </c>
      <c r="J70" s="56">
        <v>83.2</v>
      </c>
      <c r="K70" s="56">
        <v>90.9</v>
      </c>
      <c r="L70" s="56">
        <v>97.7</v>
      </c>
      <c r="M70" s="56">
        <v>96.3</v>
      </c>
      <c r="N70" s="56">
        <v>90.7</v>
      </c>
      <c r="O70" s="56">
        <v>78.5</v>
      </c>
      <c r="P70" s="56">
        <v>64.7</v>
      </c>
      <c r="Q70" s="56">
        <v>55.1</v>
      </c>
      <c r="R70" s="57">
        <v>76.099999999999994</v>
      </c>
    </row>
    <row r="71" spans="2:18" x14ac:dyDescent="0.4">
      <c r="B71" s="50"/>
      <c r="C71" s="51" t="s">
        <v>258</v>
      </c>
      <c r="D71" s="49" t="s">
        <v>259</v>
      </c>
      <c r="E71" s="49" t="str">
        <f>B69&amp;C71</f>
        <v>Fresno, CAV</v>
      </c>
      <c r="F71" s="56">
        <v>4.3</v>
      </c>
      <c r="G71" s="56">
        <v>5.0999999999999996</v>
      </c>
      <c r="H71" s="56">
        <v>5.8</v>
      </c>
      <c r="I71" s="56">
        <v>7.4</v>
      </c>
      <c r="J71" s="56">
        <v>8.3000000000000007</v>
      </c>
      <c r="K71" s="56">
        <v>8.5</v>
      </c>
      <c r="L71" s="56">
        <v>7.6</v>
      </c>
      <c r="M71" s="56">
        <v>6.9</v>
      </c>
      <c r="N71" s="56">
        <v>6</v>
      </c>
      <c r="O71" s="56">
        <v>4.7</v>
      </c>
      <c r="P71" s="56">
        <v>4</v>
      </c>
      <c r="Q71" s="56">
        <v>4.3</v>
      </c>
      <c r="R71" s="57">
        <v>6</v>
      </c>
    </row>
    <row r="72" spans="2:18" x14ac:dyDescent="0.4">
      <c r="B72" s="50"/>
      <c r="C72" s="51" t="s">
        <v>260</v>
      </c>
      <c r="D72" s="49" t="s">
        <v>261</v>
      </c>
      <c r="E72" s="49" t="str">
        <f>B69&amp;C72</f>
        <v>Fresno, CAI</v>
      </c>
      <c r="F72" s="56">
        <v>638</v>
      </c>
      <c r="G72" s="56">
        <v>973</v>
      </c>
      <c r="H72" s="56">
        <v>1519</v>
      </c>
      <c r="I72" s="56">
        <v>2002</v>
      </c>
      <c r="J72" s="56">
        <v>2368</v>
      </c>
      <c r="K72" s="56">
        <v>2573</v>
      </c>
      <c r="L72" s="56">
        <v>2534</v>
      </c>
      <c r="M72" s="56">
        <v>2290</v>
      </c>
      <c r="N72" s="56">
        <v>1895</v>
      </c>
      <c r="O72" s="56">
        <v>1383</v>
      </c>
      <c r="P72" s="56">
        <v>889</v>
      </c>
      <c r="Q72" s="56">
        <v>602</v>
      </c>
      <c r="R72" s="57">
        <v>1639</v>
      </c>
    </row>
    <row r="73" spans="2:18" x14ac:dyDescent="0.4">
      <c r="B73" s="50"/>
      <c r="C73" s="51" t="s">
        <v>262</v>
      </c>
      <c r="D73" s="49" t="s">
        <v>263</v>
      </c>
      <c r="E73" s="49" t="str">
        <f>B69&amp;C73</f>
        <v>Fresno, CAPA</v>
      </c>
      <c r="F73" s="58" t="s">
        <v>506</v>
      </c>
      <c r="G73" s="58" t="s">
        <v>506</v>
      </c>
      <c r="H73" s="58" t="s">
        <v>506</v>
      </c>
      <c r="I73" s="58" t="s">
        <v>506</v>
      </c>
      <c r="J73" s="58" t="s">
        <v>506</v>
      </c>
      <c r="K73" s="58" t="s">
        <v>506</v>
      </c>
      <c r="L73" s="58" t="s">
        <v>506</v>
      </c>
      <c r="M73" s="58" t="s">
        <v>506</v>
      </c>
      <c r="N73" s="58" t="s">
        <v>506</v>
      </c>
      <c r="O73" s="58" t="s">
        <v>506</v>
      </c>
      <c r="P73" s="58" t="s">
        <v>506</v>
      </c>
      <c r="Q73" s="58" t="s">
        <v>506</v>
      </c>
      <c r="R73" s="57">
        <v>14.52</v>
      </c>
    </row>
    <row r="74" spans="2:18" x14ac:dyDescent="0.4">
      <c r="B74" s="48" t="s">
        <v>277</v>
      </c>
      <c r="C74" s="51" t="s">
        <v>255</v>
      </c>
      <c r="D74" s="49" t="s">
        <v>256</v>
      </c>
      <c r="E74" s="49" t="str">
        <f>B74&amp;C74</f>
        <v>Long Beach, CATAN</v>
      </c>
      <c r="F74" s="56">
        <v>47.6</v>
      </c>
      <c r="G74" s="56">
        <v>49</v>
      </c>
      <c r="H74" s="56">
        <v>51.5</v>
      </c>
      <c r="I74" s="56">
        <v>53.6</v>
      </c>
      <c r="J74" s="56">
        <v>58.2</v>
      </c>
      <c r="K74" s="56">
        <v>61.4</v>
      </c>
      <c r="L74" s="56">
        <v>64.7</v>
      </c>
      <c r="M74" s="56">
        <v>65.3</v>
      </c>
      <c r="N74" s="56">
        <v>63.5</v>
      </c>
      <c r="O74" s="56">
        <v>58.8</v>
      </c>
      <c r="P74" s="56">
        <v>51.8</v>
      </c>
      <c r="Q74" s="56">
        <v>46.8</v>
      </c>
      <c r="R74" s="57">
        <v>56</v>
      </c>
    </row>
    <row r="75" spans="2:18" x14ac:dyDescent="0.4">
      <c r="B75" s="50"/>
      <c r="C75" s="51" t="s">
        <v>257</v>
      </c>
      <c r="D75" s="49" t="s">
        <v>256</v>
      </c>
      <c r="E75" s="49" t="str">
        <f>B74&amp;C75</f>
        <v>Long Beach, CATAX</v>
      </c>
      <c r="F75" s="56">
        <v>66.5</v>
      </c>
      <c r="G75" s="56">
        <v>65.900000000000006</v>
      </c>
      <c r="H75" s="56">
        <v>67.7</v>
      </c>
      <c r="I75" s="56">
        <v>70.400000000000006</v>
      </c>
      <c r="J75" s="56">
        <v>72.599999999999994</v>
      </c>
      <c r="K75" s="56">
        <v>75.7</v>
      </c>
      <c r="L75" s="56">
        <v>80.3</v>
      </c>
      <c r="M75" s="56">
        <v>82.5</v>
      </c>
      <c r="N75" s="56">
        <v>81</v>
      </c>
      <c r="O75" s="56">
        <v>76</v>
      </c>
      <c r="P75" s="56">
        <v>71.400000000000006</v>
      </c>
      <c r="Q75" s="56">
        <v>66</v>
      </c>
      <c r="R75" s="57">
        <v>73</v>
      </c>
    </row>
    <row r="76" spans="2:18" x14ac:dyDescent="0.4">
      <c r="B76" s="50"/>
      <c r="C76" s="51" t="s">
        <v>258</v>
      </c>
      <c r="D76" s="49" t="s">
        <v>259</v>
      </c>
      <c r="E76" s="49" t="str">
        <f>B74&amp;C76</f>
        <v>Long Beach, CAV</v>
      </c>
      <c r="F76" s="56">
        <v>4.5</v>
      </c>
      <c r="G76" s="56">
        <v>5.0999999999999996</v>
      </c>
      <c r="H76" s="56">
        <v>5.6</v>
      </c>
      <c r="I76" s="56">
        <v>6.3</v>
      </c>
      <c r="J76" s="56">
        <v>6</v>
      </c>
      <c r="K76" s="56">
        <v>6</v>
      </c>
      <c r="L76" s="56">
        <v>6</v>
      </c>
      <c r="M76" s="56">
        <v>5.8</v>
      </c>
      <c r="N76" s="56">
        <v>5.4</v>
      </c>
      <c r="O76" s="56">
        <v>4.7</v>
      </c>
      <c r="P76" s="56">
        <v>4.3</v>
      </c>
      <c r="Q76" s="56">
        <v>4.3</v>
      </c>
      <c r="R76" s="57">
        <v>5.4</v>
      </c>
    </row>
    <row r="77" spans="2:18" x14ac:dyDescent="0.4">
      <c r="B77" s="50"/>
      <c r="C77" s="51" t="s">
        <v>260</v>
      </c>
      <c r="D77" s="49" t="s">
        <v>261</v>
      </c>
      <c r="E77" s="49" t="str">
        <f>B74&amp;C77</f>
        <v>Long Beach, CAI</v>
      </c>
      <c r="F77" s="56">
        <v>894</v>
      </c>
      <c r="G77" s="56">
        <v>1109</v>
      </c>
      <c r="H77" s="56">
        <v>1548</v>
      </c>
      <c r="I77" s="56">
        <v>1958</v>
      </c>
      <c r="J77" s="56">
        <v>2066</v>
      </c>
      <c r="K77" s="56">
        <v>2207</v>
      </c>
      <c r="L77" s="56">
        <v>2264</v>
      </c>
      <c r="M77" s="56">
        <v>2156</v>
      </c>
      <c r="N77" s="56">
        <v>1767</v>
      </c>
      <c r="O77" s="56">
        <v>1327</v>
      </c>
      <c r="P77" s="56">
        <v>1039</v>
      </c>
      <c r="Q77" s="56">
        <v>843</v>
      </c>
      <c r="R77" s="57">
        <v>1598</v>
      </c>
    </row>
    <row r="78" spans="2:18" x14ac:dyDescent="0.4">
      <c r="B78" s="50"/>
      <c r="C78" s="51" t="s">
        <v>262</v>
      </c>
      <c r="D78" s="49" t="s">
        <v>263</v>
      </c>
      <c r="E78" s="49" t="str">
        <f>B74&amp;C78</f>
        <v>Long Beach, CAPA</v>
      </c>
      <c r="F78" s="58" t="s">
        <v>506</v>
      </c>
      <c r="G78" s="58" t="s">
        <v>506</v>
      </c>
      <c r="H78" s="58" t="s">
        <v>506</v>
      </c>
      <c r="I78" s="58" t="s">
        <v>506</v>
      </c>
      <c r="J78" s="58" t="s">
        <v>506</v>
      </c>
      <c r="K78" s="58" t="s">
        <v>506</v>
      </c>
      <c r="L78" s="58" t="s">
        <v>506</v>
      </c>
      <c r="M78" s="58" t="s">
        <v>506</v>
      </c>
      <c r="N78" s="58" t="s">
        <v>506</v>
      </c>
      <c r="O78" s="58" t="s">
        <v>506</v>
      </c>
      <c r="P78" s="58" t="s">
        <v>506</v>
      </c>
      <c r="Q78" s="58" t="s">
        <v>506</v>
      </c>
      <c r="R78" s="57">
        <v>14.68</v>
      </c>
    </row>
    <row r="79" spans="2:18" ht="20.6" x14ac:dyDescent="0.4">
      <c r="B79" s="48" t="s">
        <v>278</v>
      </c>
      <c r="C79" s="51" t="s">
        <v>255</v>
      </c>
      <c r="D79" s="49" t="s">
        <v>256</v>
      </c>
      <c r="E79" s="49" t="str">
        <f>B79&amp;C79</f>
        <v>Los Angeles AP, CATAN</v>
      </c>
      <c r="F79" s="56">
        <v>50</v>
      </c>
      <c r="G79" s="56">
        <v>50.9</v>
      </c>
      <c r="H79" s="56">
        <v>52.4</v>
      </c>
      <c r="I79" s="56">
        <v>54.1</v>
      </c>
      <c r="J79" s="56">
        <v>57.8</v>
      </c>
      <c r="K79" s="56">
        <v>61</v>
      </c>
      <c r="L79" s="56">
        <v>64</v>
      </c>
      <c r="M79" s="56">
        <v>64.599999999999994</v>
      </c>
      <c r="N79" s="56">
        <v>63.4</v>
      </c>
      <c r="O79" s="56">
        <v>59.6</v>
      </c>
      <c r="P79" s="56">
        <v>54</v>
      </c>
      <c r="Q79" s="56">
        <v>49.7</v>
      </c>
      <c r="R79" s="57">
        <v>56.8</v>
      </c>
    </row>
    <row r="80" spans="2:18" ht="20.6" x14ac:dyDescent="0.4">
      <c r="B80" s="50"/>
      <c r="C80" s="51" t="s">
        <v>257</v>
      </c>
      <c r="D80" s="49" t="s">
        <v>256</v>
      </c>
      <c r="E80" s="49" t="str">
        <f>B79&amp;C80</f>
        <v>Los Angeles AP, CATAX</v>
      </c>
      <c r="F80" s="56">
        <v>64.900000000000006</v>
      </c>
      <c r="G80" s="56">
        <v>64.400000000000006</v>
      </c>
      <c r="H80" s="56">
        <v>64.7</v>
      </c>
      <c r="I80" s="56">
        <v>66.5</v>
      </c>
      <c r="J80" s="56">
        <v>68.5</v>
      </c>
      <c r="K80" s="56">
        <v>71</v>
      </c>
      <c r="L80" s="56">
        <v>73.900000000000006</v>
      </c>
      <c r="M80" s="56">
        <v>75.3</v>
      </c>
      <c r="N80" s="56">
        <v>74.5</v>
      </c>
      <c r="O80" s="56">
        <v>72.3</v>
      </c>
      <c r="P80" s="56">
        <v>69.3</v>
      </c>
      <c r="Q80" s="56">
        <v>64.8</v>
      </c>
      <c r="R80" s="57">
        <v>69.2</v>
      </c>
    </row>
    <row r="81" spans="2:18" ht="20.6" x14ac:dyDescent="0.4">
      <c r="B81" s="50"/>
      <c r="C81" s="51" t="s">
        <v>258</v>
      </c>
      <c r="D81" s="49" t="s">
        <v>259</v>
      </c>
      <c r="E81" s="49" t="str">
        <f>B79&amp;C81</f>
        <v>Los Angeles AP, CAV</v>
      </c>
      <c r="F81" s="56">
        <v>6.5</v>
      </c>
      <c r="G81" s="56">
        <v>7.6</v>
      </c>
      <c r="H81" s="56">
        <v>8.1</v>
      </c>
      <c r="I81" s="56">
        <v>8.6999999999999993</v>
      </c>
      <c r="J81" s="56">
        <v>8.1</v>
      </c>
      <c r="K81" s="56">
        <v>8.1</v>
      </c>
      <c r="L81" s="56">
        <v>8.1</v>
      </c>
      <c r="M81" s="56">
        <v>7.6</v>
      </c>
      <c r="N81" s="56">
        <v>7.4</v>
      </c>
      <c r="O81" s="56">
        <v>6.7</v>
      </c>
      <c r="P81" s="56">
        <v>6.3</v>
      </c>
      <c r="Q81" s="56">
        <v>6.5</v>
      </c>
      <c r="R81" s="57">
        <v>7.4</v>
      </c>
    </row>
    <row r="82" spans="2:18" x14ac:dyDescent="0.4">
      <c r="B82" s="50"/>
      <c r="C82" s="51" t="s">
        <v>260</v>
      </c>
      <c r="D82" s="49" t="s">
        <v>261</v>
      </c>
      <c r="E82" s="49" t="str">
        <f>B79&amp;C82</f>
        <v>Los Angeles AP, CAI</v>
      </c>
      <c r="F82" s="56">
        <v>895</v>
      </c>
      <c r="G82" s="56">
        <v>1115</v>
      </c>
      <c r="H82" s="56">
        <v>1537</v>
      </c>
      <c r="I82" s="56">
        <v>1988</v>
      </c>
      <c r="J82" s="56">
        <v>2045</v>
      </c>
      <c r="K82" s="56">
        <v>2140</v>
      </c>
      <c r="L82" s="56">
        <v>2117</v>
      </c>
      <c r="M82" s="56">
        <v>2037</v>
      </c>
      <c r="N82" s="56">
        <v>1662</v>
      </c>
      <c r="O82" s="56">
        <v>1298</v>
      </c>
      <c r="P82" s="56">
        <v>1036</v>
      </c>
      <c r="Q82" s="56">
        <v>834</v>
      </c>
      <c r="R82" s="57">
        <v>1559</v>
      </c>
    </row>
    <row r="83" spans="2:18" ht="20.6" x14ac:dyDescent="0.4">
      <c r="B83" s="50"/>
      <c r="C83" s="51" t="s">
        <v>262</v>
      </c>
      <c r="D83" s="49" t="s">
        <v>263</v>
      </c>
      <c r="E83" s="49" t="str">
        <f>B79&amp;C83</f>
        <v>Los Angeles AP, CAPA</v>
      </c>
      <c r="F83" s="58" t="s">
        <v>506</v>
      </c>
      <c r="G83" s="58" t="s">
        <v>506</v>
      </c>
      <c r="H83" s="58" t="s">
        <v>506</v>
      </c>
      <c r="I83" s="58" t="s">
        <v>506</v>
      </c>
      <c r="J83" s="58" t="s">
        <v>506</v>
      </c>
      <c r="K83" s="58" t="s">
        <v>506</v>
      </c>
      <c r="L83" s="58" t="s">
        <v>506</v>
      </c>
      <c r="M83" s="58" t="s">
        <v>506</v>
      </c>
      <c r="N83" s="58" t="s">
        <v>506</v>
      </c>
      <c r="O83" s="58" t="s">
        <v>506</v>
      </c>
      <c r="P83" s="58" t="s">
        <v>506</v>
      </c>
      <c r="Q83" s="58" t="s">
        <v>506</v>
      </c>
      <c r="R83" s="57">
        <v>14.63</v>
      </c>
    </row>
    <row r="84" spans="2:18" x14ac:dyDescent="0.4">
      <c r="B84" s="48" t="s">
        <v>279</v>
      </c>
      <c r="C84" s="51" t="s">
        <v>255</v>
      </c>
      <c r="D84" s="49" t="s">
        <v>256</v>
      </c>
      <c r="E84" s="49" t="str">
        <f>B84&amp;C84</f>
        <v>Redding, CATAN</v>
      </c>
      <c r="F84" s="56">
        <v>38.200000000000003</v>
      </c>
      <c r="G84" s="56">
        <v>40.6</v>
      </c>
      <c r="H84" s="56">
        <v>43.7</v>
      </c>
      <c r="I84" s="56">
        <v>46.6</v>
      </c>
      <c r="J84" s="56">
        <v>55</v>
      </c>
      <c r="K84" s="56">
        <v>62</v>
      </c>
      <c r="L84" s="56">
        <v>67</v>
      </c>
      <c r="M84" s="56">
        <v>63.8</v>
      </c>
      <c r="N84" s="56">
        <v>58.7</v>
      </c>
      <c r="O84" s="56">
        <v>50.4</v>
      </c>
      <c r="P84" s="56">
        <v>41.8</v>
      </c>
      <c r="Q84" s="56">
        <v>37.6</v>
      </c>
      <c r="R84" s="57">
        <v>50.4</v>
      </c>
    </row>
    <row r="85" spans="2:18" x14ac:dyDescent="0.4">
      <c r="B85" s="50"/>
      <c r="C85" s="51" t="s">
        <v>257</v>
      </c>
      <c r="D85" s="49" t="s">
        <v>256</v>
      </c>
      <c r="E85" s="49" t="str">
        <f>B84&amp;C85</f>
        <v>Redding, CATAX</v>
      </c>
      <c r="F85" s="56">
        <v>55</v>
      </c>
      <c r="G85" s="56">
        <v>58.3</v>
      </c>
      <c r="H85" s="56">
        <v>64.900000000000006</v>
      </c>
      <c r="I85" s="56">
        <v>69.599999999999994</v>
      </c>
      <c r="J85" s="56">
        <v>80.400000000000006</v>
      </c>
      <c r="K85" s="56">
        <v>89.3</v>
      </c>
      <c r="L85" s="56">
        <v>98.1</v>
      </c>
      <c r="M85" s="56">
        <v>96.2</v>
      </c>
      <c r="N85" s="56">
        <v>90.4</v>
      </c>
      <c r="O85" s="56">
        <v>77.099999999999994</v>
      </c>
      <c r="P85" s="56">
        <v>62.5</v>
      </c>
      <c r="Q85" s="56">
        <v>54</v>
      </c>
      <c r="R85" s="57">
        <v>74.7</v>
      </c>
    </row>
    <row r="86" spans="2:18" x14ac:dyDescent="0.4">
      <c r="B86" s="50"/>
      <c r="C86" s="51" t="s">
        <v>258</v>
      </c>
      <c r="D86" s="49" t="s">
        <v>259</v>
      </c>
      <c r="E86" s="49" t="str">
        <f>B84&amp;C86</f>
        <v>Redding, CAV</v>
      </c>
      <c r="F86" s="56">
        <v>5.8</v>
      </c>
      <c r="G86" s="56">
        <v>6.5</v>
      </c>
      <c r="H86" s="56">
        <v>6.7</v>
      </c>
      <c r="I86" s="56">
        <v>6.7</v>
      </c>
      <c r="J86" s="56">
        <v>6.7</v>
      </c>
      <c r="K86" s="56">
        <v>6.9</v>
      </c>
      <c r="L86" s="56">
        <v>6</v>
      </c>
      <c r="M86" s="56">
        <v>5.6</v>
      </c>
      <c r="N86" s="56">
        <v>5.4</v>
      </c>
      <c r="O86" s="56">
        <v>5.6</v>
      </c>
      <c r="P86" s="56">
        <v>4.9000000000000004</v>
      </c>
      <c r="Q86" s="56">
        <v>6</v>
      </c>
      <c r="R86" s="57">
        <v>6</v>
      </c>
    </row>
    <row r="87" spans="2:18" x14ac:dyDescent="0.4">
      <c r="B87" s="50"/>
      <c r="C87" s="51" t="s">
        <v>260</v>
      </c>
      <c r="D87" s="49" t="s">
        <v>261</v>
      </c>
      <c r="E87" s="49" t="str">
        <f>B84&amp;C87</f>
        <v>Redding, CAI</v>
      </c>
      <c r="F87" s="56">
        <v>577</v>
      </c>
      <c r="G87" s="56">
        <v>856</v>
      </c>
      <c r="H87" s="56">
        <v>1354</v>
      </c>
      <c r="I87" s="56">
        <v>1772</v>
      </c>
      <c r="J87" s="56">
        <v>2198</v>
      </c>
      <c r="K87" s="56">
        <v>2464</v>
      </c>
      <c r="L87" s="56">
        <v>2526</v>
      </c>
      <c r="M87" s="56">
        <v>2246</v>
      </c>
      <c r="N87" s="56">
        <v>1786</v>
      </c>
      <c r="O87" s="56">
        <v>1209</v>
      </c>
      <c r="P87" s="56">
        <v>721</v>
      </c>
      <c r="Q87" s="56">
        <v>497</v>
      </c>
      <c r="R87" s="57">
        <v>1517</v>
      </c>
    </row>
    <row r="88" spans="2:18" x14ac:dyDescent="0.4">
      <c r="B88" s="50"/>
      <c r="C88" s="51" t="s">
        <v>262</v>
      </c>
      <c r="D88" s="49" t="s">
        <v>263</v>
      </c>
      <c r="E88" s="49" t="str">
        <f>B84&amp;C88</f>
        <v>Redding, CAPA</v>
      </c>
      <c r="F88" s="58" t="s">
        <v>506</v>
      </c>
      <c r="G88" s="58" t="s">
        <v>506</v>
      </c>
      <c r="H88" s="58" t="s">
        <v>506</v>
      </c>
      <c r="I88" s="58" t="s">
        <v>506</v>
      </c>
      <c r="J88" s="58" t="s">
        <v>506</v>
      </c>
      <c r="K88" s="58" t="s">
        <v>506</v>
      </c>
      <c r="L88" s="58" t="s">
        <v>506</v>
      </c>
      <c r="M88" s="58" t="s">
        <v>506</v>
      </c>
      <c r="N88" s="58" t="s">
        <v>506</v>
      </c>
      <c r="O88" s="58" t="s">
        <v>506</v>
      </c>
      <c r="P88" s="58" t="s">
        <v>506</v>
      </c>
      <c r="Q88" s="58" t="s">
        <v>506</v>
      </c>
      <c r="R88" s="57">
        <v>14.43</v>
      </c>
    </row>
    <row r="89" spans="2:18" x14ac:dyDescent="0.4">
      <c r="B89" s="48" t="s">
        <v>280</v>
      </c>
      <c r="C89" s="51" t="s">
        <v>255</v>
      </c>
      <c r="D89" s="49" t="s">
        <v>256</v>
      </c>
      <c r="E89" s="49" t="str">
        <f>B89&amp;C89</f>
        <v>Sacramento, CATAN</v>
      </c>
      <c r="F89" s="56">
        <v>40</v>
      </c>
      <c r="G89" s="56">
        <v>42.7</v>
      </c>
      <c r="H89" s="56">
        <v>44.7</v>
      </c>
      <c r="I89" s="56">
        <v>46.8</v>
      </c>
      <c r="J89" s="56">
        <v>52.1</v>
      </c>
      <c r="K89" s="56">
        <v>56.5</v>
      </c>
      <c r="L89" s="56">
        <v>59.1</v>
      </c>
      <c r="M89" s="56">
        <v>58.9</v>
      </c>
      <c r="N89" s="56">
        <v>56.4</v>
      </c>
      <c r="O89" s="56">
        <v>50.7</v>
      </c>
      <c r="P89" s="56">
        <v>43.3</v>
      </c>
      <c r="Q89" s="56">
        <v>39.5</v>
      </c>
      <c r="R89" s="57">
        <v>49.2</v>
      </c>
    </row>
    <row r="90" spans="2:18" x14ac:dyDescent="0.4">
      <c r="B90" s="50"/>
      <c r="C90" s="51" t="s">
        <v>257</v>
      </c>
      <c r="D90" s="49" t="s">
        <v>256</v>
      </c>
      <c r="E90" s="49" t="str">
        <f>B89&amp;C90</f>
        <v>Sacramento, CATAX</v>
      </c>
      <c r="F90" s="56">
        <v>54.3</v>
      </c>
      <c r="G90" s="56">
        <v>59.6</v>
      </c>
      <c r="H90" s="56">
        <v>65.400000000000006</v>
      </c>
      <c r="I90" s="56">
        <v>70.3</v>
      </c>
      <c r="J90" s="56">
        <v>79.3</v>
      </c>
      <c r="K90" s="56">
        <v>86.1</v>
      </c>
      <c r="L90" s="56">
        <v>91.4</v>
      </c>
      <c r="M90" s="56">
        <v>90.9</v>
      </c>
      <c r="N90" s="56">
        <v>87.4</v>
      </c>
      <c r="O90" s="56">
        <v>77.099999999999994</v>
      </c>
      <c r="P90" s="56">
        <v>63.8</v>
      </c>
      <c r="Q90" s="56">
        <v>54.4</v>
      </c>
      <c r="R90" s="57">
        <v>73.3</v>
      </c>
    </row>
    <row r="91" spans="2:18" x14ac:dyDescent="0.4">
      <c r="B91" s="50"/>
      <c r="C91" s="51" t="s">
        <v>258</v>
      </c>
      <c r="D91" s="49" t="s">
        <v>259</v>
      </c>
      <c r="E91" s="49" t="str">
        <f>B89&amp;C91</f>
        <v>Sacramento, CAV</v>
      </c>
      <c r="F91" s="56">
        <v>5.6</v>
      </c>
      <c r="G91" s="56">
        <v>6</v>
      </c>
      <c r="H91" s="56">
        <v>6.7</v>
      </c>
      <c r="I91" s="56">
        <v>7.4</v>
      </c>
      <c r="J91" s="56">
        <v>7.6</v>
      </c>
      <c r="K91" s="56">
        <v>8.1</v>
      </c>
      <c r="L91" s="56">
        <v>7.6</v>
      </c>
      <c r="M91" s="56">
        <v>6.9</v>
      </c>
      <c r="N91" s="56">
        <v>5.8</v>
      </c>
      <c r="O91" s="56">
        <v>5.4</v>
      </c>
      <c r="P91" s="56">
        <v>4.9000000000000004</v>
      </c>
      <c r="Q91" s="56">
        <v>5.8</v>
      </c>
      <c r="R91" s="57">
        <v>6.5</v>
      </c>
    </row>
    <row r="92" spans="2:18" x14ac:dyDescent="0.4">
      <c r="B92" s="50"/>
      <c r="C92" s="51" t="s">
        <v>260</v>
      </c>
      <c r="D92" s="49" t="s">
        <v>261</v>
      </c>
      <c r="E92" s="49" t="str">
        <f>B89&amp;C92</f>
        <v>Sacramento, CAI</v>
      </c>
      <c r="F92" s="56">
        <v>563</v>
      </c>
      <c r="G92" s="56">
        <v>877</v>
      </c>
      <c r="H92" s="56">
        <v>1409</v>
      </c>
      <c r="I92" s="56">
        <v>1891</v>
      </c>
      <c r="J92" s="56">
        <v>2249</v>
      </c>
      <c r="K92" s="56">
        <v>2510</v>
      </c>
      <c r="L92" s="56">
        <v>2514</v>
      </c>
      <c r="M92" s="56">
        <v>2239</v>
      </c>
      <c r="N92" s="56">
        <v>1823</v>
      </c>
      <c r="O92" s="56">
        <v>1269</v>
      </c>
      <c r="P92" s="56">
        <v>790</v>
      </c>
      <c r="Q92" s="56">
        <v>518</v>
      </c>
      <c r="R92" s="57">
        <v>1555</v>
      </c>
    </row>
    <row r="93" spans="2:18" x14ac:dyDescent="0.4">
      <c r="B93" s="50"/>
      <c r="C93" s="51" t="s">
        <v>262</v>
      </c>
      <c r="D93" s="49" t="s">
        <v>263</v>
      </c>
      <c r="E93" s="49" t="str">
        <f>B89&amp;C93</f>
        <v>Sacramento, CAPA</v>
      </c>
      <c r="F93" s="58" t="s">
        <v>506</v>
      </c>
      <c r="G93" s="58" t="s">
        <v>506</v>
      </c>
      <c r="H93" s="58" t="s">
        <v>506</v>
      </c>
      <c r="I93" s="58" t="s">
        <v>506</v>
      </c>
      <c r="J93" s="58" t="s">
        <v>506</v>
      </c>
      <c r="K93" s="58" t="s">
        <v>506</v>
      </c>
      <c r="L93" s="58" t="s">
        <v>506</v>
      </c>
      <c r="M93" s="58" t="s">
        <v>506</v>
      </c>
      <c r="N93" s="58" t="s">
        <v>506</v>
      </c>
      <c r="O93" s="58" t="s">
        <v>506</v>
      </c>
      <c r="P93" s="58" t="s">
        <v>506</v>
      </c>
      <c r="Q93" s="58" t="s">
        <v>506</v>
      </c>
      <c r="R93" s="57">
        <v>14.68</v>
      </c>
    </row>
    <row r="94" spans="2:18" x14ac:dyDescent="0.4">
      <c r="B94" s="48" t="s">
        <v>281</v>
      </c>
      <c r="C94" s="51" t="s">
        <v>255</v>
      </c>
      <c r="D94" s="49" t="s">
        <v>256</v>
      </c>
      <c r="E94" s="49" t="str">
        <f>B94&amp;C94</f>
        <v>San Diego, CATAN</v>
      </c>
      <c r="F94" s="56">
        <v>50.1</v>
      </c>
      <c r="G94" s="56">
        <v>51.6</v>
      </c>
      <c r="H94" s="56">
        <v>53.9</v>
      </c>
      <c r="I94" s="56">
        <v>56.2</v>
      </c>
      <c r="J94" s="56">
        <v>59.8</v>
      </c>
      <c r="K94" s="56">
        <v>62.3</v>
      </c>
      <c r="L94" s="56">
        <v>65.400000000000006</v>
      </c>
      <c r="M94" s="56">
        <v>66.900000000000006</v>
      </c>
      <c r="N94" s="56">
        <v>65.400000000000006</v>
      </c>
      <c r="O94" s="56">
        <v>61</v>
      </c>
      <c r="P94" s="56">
        <v>54.4</v>
      </c>
      <c r="Q94" s="56">
        <v>49.5</v>
      </c>
      <c r="R94" s="57">
        <v>58</v>
      </c>
    </row>
    <row r="95" spans="2:18" x14ac:dyDescent="0.4">
      <c r="B95" s="50"/>
      <c r="C95" s="51" t="s">
        <v>257</v>
      </c>
      <c r="D95" s="49" t="s">
        <v>256</v>
      </c>
      <c r="E95" s="49" t="str">
        <f>B94&amp;C95</f>
        <v>San Diego, CATAX</v>
      </c>
      <c r="F95" s="56">
        <v>64.5</v>
      </c>
      <c r="G95" s="56">
        <v>64.3</v>
      </c>
      <c r="H95" s="56">
        <v>65</v>
      </c>
      <c r="I95" s="56">
        <v>66.599999999999994</v>
      </c>
      <c r="J95" s="56">
        <v>67.900000000000006</v>
      </c>
      <c r="K95" s="56">
        <v>70.099999999999994</v>
      </c>
      <c r="L95" s="56">
        <v>73.400000000000006</v>
      </c>
      <c r="M95" s="56">
        <v>75.599999999999994</v>
      </c>
      <c r="N95" s="56">
        <v>75</v>
      </c>
      <c r="O95" s="56">
        <v>72</v>
      </c>
      <c r="P95" s="56">
        <v>68.599999999999994</v>
      </c>
      <c r="Q95" s="56">
        <v>64.2</v>
      </c>
      <c r="R95" s="57">
        <v>68.900000000000006</v>
      </c>
    </row>
    <row r="96" spans="2:18" x14ac:dyDescent="0.4">
      <c r="B96" s="50"/>
      <c r="C96" s="51" t="s">
        <v>258</v>
      </c>
      <c r="D96" s="49" t="s">
        <v>259</v>
      </c>
      <c r="E96" s="49" t="str">
        <f>B94&amp;C96</f>
        <v>San Diego, CAV</v>
      </c>
      <c r="F96" s="56">
        <v>5.4</v>
      </c>
      <c r="G96" s="56">
        <v>6.3</v>
      </c>
      <c r="H96" s="56">
        <v>6.7</v>
      </c>
      <c r="I96" s="56">
        <v>7.4</v>
      </c>
      <c r="J96" s="56">
        <v>7.2</v>
      </c>
      <c r="K96" s="56">
        <v>7.4</v>
      </c>
      <c r="L96" s="56">
        <v>7.2</v>
      </c>
      <c r="M96" s="56">
        <v>6.9</v>
      </c>
      <c r="N96" s="56">
        <v>6.7</v>
      </c>
      <c r="O96" s="56">
        <v>5.8</v>
      </c>
      <c r="P96" s="56">
        <v>4.9000000000000004</v>
      </c>
      <c r="Q96" s="56">
        <v>4.9000000000000004</v>
      </c>
      <c r="R96" s="57">
        <v>6.5</v>
      </c>
    </row>
    <row r="97" spans="2:18" x14ac:dyDescent="0.4">
      <c r="B97" s="50"/>
      <c r="C97" s="51" t="s">
        <v>260</v>
      </c>
      <c r="D97" s="49" t="s">
        <v>261</v>
      </c>
      <c r="E97" s="49" t="str">
        <f>B94&amp;C97</f>
        <v>San Diego, CAI</v>
      </c>
      <c r="F97" s="56">
        <v>990</v>
      </c>
      <c r="G97" s="56">
        <v>1206</v>
      </c>
      <c r="H97" s="56">
        <v>1604</v>
      </c>
      <c r="I97" s="56">
        <v>1990</v>
      </c>
      <c r="J97" s="56">
        <v>1993</v>
      </c>
      <c r="K97" s="56">
        <v>2135</v>
      </c>
      <c r="L97" s="56">
        <v>2127</v>
      </c>
      <c r="M97" s="56">
        <v>2087</v>
      </c>
      <c r="N97" s="56">
        <v>1774</v>
      </c>
      <c r="O97" s="56">
        <v>1367</v>
      </c>
      <c r="P97" s="56">
        <v>1107</v>
      </c>
      <c r="Q97" s="56">
        <v>922</v>
      </c>
      <c r="R97" s="57">
        <v>1608</v>
      </c>
    </row>
    <row r="98" spans="2:18" x14ac:dyDescent="0.4">
      <c r="B98" s="50"/>
      <c r="C98" s="51" t="s">
        <v>262</v>
      </c>
      <c r="D98" s="49" t="s">
        <v>263</v>
      </c>
      <c r="E98" s="49" t="str">
        <f>B94&amp;C98</f>
        <v>San Diego, CAPA</v>
      </c>
      <c r="F98" s="58" t="s">
        <v>506</v>
      </c>
      <c r="G98" s="58" t="s">
        <v>506</v>
      </c>
      <c r="H98" s="58" t="s">
        <v>506</v>
      </c>
      <c r="I98" s="58" t="s">
        <v>506</v>
      </c>
      <c r="J98" s="58" t="s">
        <v>506</v>
      </c>
      <c r="K98" s="58" t="s">
        <v>506</v>
      </c>
      <c r="L98" s="58" t="s">
        <v>506</v>
      </c>
      <c r="M98" s="58" t="s">
        <v>506</v>
      </c>
      <c r="N98" s="58" t="s">
        <v>506</v>
      </c>
      <c r="O98" s="58" t="s">
        <v>506</v>
      </c>
      <c r="P98" s="58" t="s">
        <v>506</v>
      </c>
      <c r="Q98" s="58" t="s">
        <v>506</v>
      </c>
      <c r="R98" s="57">
        <v>14.69</v>
      </c>
    </row>
    <row r="99" spans="2:18" ht="20.6" x14ac:dyDescent="0.4">
      <c r="B99" s="48" t="s">
        <v>282</v>
      </c>
      <c r="C99" s="51" t="s">
        <v>255</v>
      </c>
      <c r="D99" s="49" t="s">
        <v>256</v>
      </c>
      <c r="E99" s="49" t="str">
        <f>B99&amp;C99</f>
        <v>San Francisco AP, CATAN</v>
      </c>
      <c r="F99" s="56">
        <v>45.2</v>
      </c>
      <c r="G99" s="56">
        <v>47.2</v>
      </c>
      <c r="H99" s="56">
        <v>48.3</v>
      </c>
      <c r="I99" s="56">
        <v>49.4</v>
      </c>
      <c r="J99" s="56">
        <v>52.2</v>
      </c>
      <c r="K99" s="56">
        <v>54</v>
      </c>
      <c r="L99" s="56">
        <v>55.8</v>
      </c>
      <c r="M99" s="56">
        <v>56.6</v>
      </c>
      <c r="N99" s="56">
        <v>56.2</v>
      </c>
      <c r="O99" s="56">
        <v>53.9</v>
      </c>
      <c r="P99" s="56">
        <v>49.4</v>
      </c>
      <c r="Q99" s="56">
        <v>45.6</v>
      </c>
      <c r="R99" s="57">
        <v>51.1</v>
      </c>
    </row>
    <row r="100" spans="2:18" ht="20.6" x14ac:dyDescent="0.4">
      <c r="B100" s="50"/>
      <c r="C100" s="51" t="s">
        <v>257</v>
      </c>
      <c r="D100" s="49" t="s">
        <v>256</v>
      </c>
      <c r="E100" s="49" t="str">
        <f>B99&amp;C100</f>
        <v>San Francisco AP, CATAX</v>
      </c>
      <c r="F100" s="56">
        <v>55.9</v>
      </c>
      <c r="G100" s="56">
        <v>58.6</v>
      </c>
      <c r="H100" s="56">
        <v>61.4</v>
      </c>
      <c r="I100" s="56">
        <v>63.3</v>
      </c>
      <c r="J100" s="56">
        <v>66.3</v>
      </c>
      <c r="K100" s="56">
        <v>69.2</v>
      </c>
      <c r="L100" s="56">
        <v>70.599999999999994</v>
      </c>
      <c r="M100" s="56">
        <v>71.599999999999994</v>
      </c>
      <c r="N100" s="56">
        <v>72.5</v>
      </c>
      <c r="O100" s="56">
        <v>69.400000000000006</v>
      </c>
      <c r="P100" s="56">
        <v>62.3</v>
      </c>
      <c r="Q100" s="56">
        <v>56.2</v>
      </c>
      <c r="R100" s="57">
        <v>64.8</v>
      </c>
    </row>
    <row r="101" spans="2:18" ht="20.6" x14ac:dyDescent="0.4">
      <c r="B101" s="50"/>
      <c r="C101" s="51" t="s">
        <v>258</v>
      </c>
      <c r="D101" s="49" t="s">
        <v>259</v>
      </c>
      <c r="E101" s="49" t="str">
        <f>B99&amp;C101</f>
        <v>San Francisco AP, CAV</v>
      </c>
      <c r="F101" s="56">
        <v>6.9</v>
      </c>
      <c r="G101" s="56">
        <v>8.3000000000000007</v>
      </c>
      <c r="H101" s="56">
        <v>10.3</v>
      </c>
      <c r="I101" s="56">
        <v>12.5</v>
      </c>
      <c r="J101" s="56">
        <v>13.4</v>
      </c>
      <c r="K101" s="56">
        <v>14.1</v>
      </c>
      <c r="L101" s="56">
        <v>12.8</v>
      </c>
      <c r="M101" s="56">
        <v>12.3</v>
      </c>
      <c r="N101" s="56">
        <v>10.7</v>
      </c>
      <c r="O101" s="56">
        <v>9.1999999999999993</v>
      </c>
      <c r="P101" s="56">
        <v>7.4</v>
      </c>
      <c r="Q101" s="56">
        <v>7.4</v>
      </c>
      <c r="R101" s="57">
        <v>10.5</v>
      </c>
    </row>
    <row r="102" spans="2:18" ht="20.6" x14ac:dyDescent="0.4">
      <c r="B102" s="50"/>
      <c r="C102" s="51" t="s">
        <v>260</v>
      </c>
      <c r="D102" s="49" t="s">
        <v>261</v>
      </c>
      <c r="E102" s="49" t="str">
        <f>B99&amp;C102</f>
        <v>San Francisco AP, CAI</v>
      </c>
      <c r="F102" s="56">
        <v>666</v>
      </c>
      <c r="G102" s="56">
        <v>896</v>
      </c>
      <c r="H102" s="56">
        <v>1353</v>
      </c>
      <c r="I102" s="56">
        <v>1813</v>
      </c>
      <c r="J102" s="56">
        <v>1981</v>
      </c>
      <c r="K102" s="56">
        <v>2123</v>
      </c>
      <c r="L102" s="56">
        <v>2023</v>
      </c>
      <c r="M102" s="56">
        <v>1747</v>
      </c>
      <c r="N102" s="56">
        <v>1488</v>
      </c>
      <c r="O102" s="56">
        <v>1124</v>
      </c>
      <c r="P102" s="56">
        <v>798</v>
      </c>
      <c r="Q102" s="56">
        <v>619</v>
      </c>
      <c r="R102" s="57">
        <v>1386</v>
      </c>
    </row>
    <row r="103" spans="2:18" ht="20.6" x14ac:dyDescent="0.4">
      <c r="B103" s="50"/>
      <c r="C103" s="51" t="s">
        <v>262</v>
      </c>
      <c r="D103" s="49" t="s">
        <v>263</v>
      </c>
      <c r="E103" s="49" t="str">
        <f>B99&amp;C103</f>
        <v>San Francisco AP, CAPA</v>
      </c>
      <c r="F103" s="58" t="s">
        <v>506</v>
      </c>
      <c r="G103" s="58" t="s">
        <v>506</v>
      </c>
      <c r="H103" s="58" t="s">
        <v>506</v>
      </c>
      <c r="I103" s="58" t="s">
        <v>506</v>
      </c>
      <c r="J103" s="58" t="s">
        <v>506</v>
      </c>
      <c r="K103" s="58" t="s">
        <v>506</v>
      </c>
      <c r="L103" s="58" t="s">
        <v>506</v>
      </c>
      <c r="M103" s="58" t="s">
        <v>506</v>
      </c>
      <c r="N103" s="58" t="s">
        <v>506</v>
      </c>
      <c r="O103" s="58" t="s">
        <v>506</v>
      </c>
      <c r="P103" s="58" t="s">
        <v>506</v>
      </c>
      <c r="Q103" s="58" t="s">
        <v>506</v>
      </c>
      <c r="R103" s="57">
        <v>14.69</v>
      </c>
    </row>
    <row r="104" spans="2:18" ht="20.6" x14ac:dyDescent="0.4">
      <c r="B104" s="48" t="s">
        <v>283</v>
      </c>
      <c r="C104" s="51" t="s">
        <v>255</v>
      </c>
      <c r="D104" s="49" t="s">
        <v>256</v>
      </c>
      <c r="E104" s="49" t="str">
        <f>B104&amp;C104</f>
        <v>Santa Barbara, CATAN</v>
      </c>
      <c r="F104" s="56">
        <v>41.9</v>
      </c>
      <c r="G104" s="56">
        <v>44.6</v>
      </c>
      <c r="H104" s="56">
        <v>46.8</v>
      </c>
      <c r="I104" s="56">
        <v>48.2</v>
      </c>
      <c r="J104" s="56">
        <v>52.1</v>
      </c>
      <c r="K104" s="56">
        <v>54.8</v>
      </c>
      <c r="L104" s="56">
        <v>57.9</v>
      </c>
      <c r="M104" s="56">
        <v>58</v>
      </c>
      <c r="N104" s="56">
        <v>56.3</v>
      </c>
      <c r="O104" s="56">
        <v>51.7</v>
      </c>
      <c r="P104" s="56">
        <v>45.4</v>
      </c>
      <c r="Q104" s="56">
        <v>41.1</v>
      </c>
      <c r="R104" s="57">
        <v>49.9</v>
      </c>
    </row>
    <row r="105" spans="2:18" ht="20.6" x14ac:dyDescent="0.4">
      <c r="B105" s="50"/>
      <c r="C105" s="51" t="s">
        <v>257</v>
      </c>
      <c r="D105" s="49" t="s">
        <v>256</v>
      </c>
      <c r="E105" s="49" t="str">
        <f>B104&amp;C105</f>
        <v>Santa Barbara, CATAX</v>
      </c>
      <c r="F105" s="56">
        <v>63.7</v>
      </c>
      <c r="G105" s="56">
        <v>63.8</v>
      </c>
      <c r="H105" s="56">
        <v>64.8</v>
      </c>
      <c r="I105" s="56">
        <v>67.2</v>
      </c>
      <c r="J105" s="56">
        <v>69</v>
      </c>
      <c r="K105" s="56">
        <v>70.7</v>
      </c>
      <c r="L105" s="56">
        <v>73.2</v>
      </c>
      <c r="M105" s="56">
        <v>74.2</v>
      </c>
      <c r="N105" s="56">
        <v>73.900000000000006</v>
      </c>
      <c r="O105" s="56">
        <v>71.900000000000006</v>
      </c>
      <c r="P105" s="56">
        <v>68.7</v>
      </c>
      <c r="Q105" s="56">
        <v>63.7</v>
      </c>
      <c r="R105" s="57">
        <v>68.8</v>
      </c>
    </row>
    <row r="106" spans="2:18" x14ac:dyDescent="0.4">
      <c r="B106" s="50"/>
      <c r="C106" s="51" t="s">
        <v>258</v>
      </c>
      <c r="D106" s="49" t="s">
        <v>259</v>
      </c>
      <c r="E106" s="49" t="str">
        <f>B104&amp;C106</f>
        <v>Santa Barbara, CAV</v>
      </c>
      <c r="F106" s="56">
        <v>4.5</v>
      </c>
      <c r="G106" s="56">
        <v>5.6</v>
      </c>
      <c r="H106" s="56">
        <v>5.8</v>
      </c>
      <c r="I106" s="56">
        <v>6.7</v>
      </c>
      <c r="J106" s="56">
        <v>6.5</v>
      </c>
      <c r="K106" s="56">
        <v>6</v>
      </c>
      <c r="L106" s="56">
        <v>6</v>
      </c>
      <c r="M106" s="56">
        <v>5.6</v>
      </c>
      <c r="N106" s="56">
        <v>5.0999999999999996</v>
      </c>
      <c r="O106" s="56">
        <v>4.7</v>
      </c>
      <c r="P106" s="56">
        <v>4.3</v>
      </c>
      <c r="Q106" s="56">
        <v>4.3</v>
      </c>
      <c r="R106" s="57">
        <v>5.4</v>
      </c>
    </row>
    <row r="107" spans="2:18" x14ac:dyDescent="0.4">
      <c r="B107" s="50"/>
      <c r="C107" s="51" t="s">
        <v>260</v>
      </c>
      <c r="D107" s="49" t="s">
        <v>261</v>
      </c>
      <c r="E107" s="49" t="str">
        <f>B104&amp;C107</f>
        <v>Santa Barbara, CAI</v>
      </c>
      <c r="F107" s="56">
        <v>907</v>
      </c>
      <c r="G107" s="56">
        <v>1116</v>
      </c>
      <c r="H107" s="56">
        <v>1543</v>
      </c>
      <c r="I107" s="56">
        <v>1968</v>
      </c>
      <c r="J107" s="56">
        <v>2115</v>
      </c>
      <c r="K107" s="56">
        <v>2184</v>
      </c>
      <c r="L107" s="56">
        <v>2153</v>
      </c>
      <c r="M107" s="56">
        <v>2107</v>
      </c>
      <c r="N107" s="56">
        <v>1749</v>
      </c>
      <c r="O107" s="56">
        <v>1346</v>
      </c>
      <c r="P107" s="56">
        <v>1051</v>
      </c>
      <c r="Q107" s="56">
        <v>839</v>
      </c>
      <c r="R107" s="57">
        <v>1590</v>
      </c>
    </row>
    <row r="108" spans="2:18" x14ac:dyDescent="0.4">
      <c r="B108" s="50"/>
      <c r="C108" s="51" t="s">
        <v>262</v>
      </c>
      <c r="D108" s="49" t="s">
        <v>263</v>
      </c>
      <c r="E108" s="49" t="str">
        <f>B104&amp;C108</f>
        <v>Santa Barbara, CAPA</v>
      </c>
      <c r="F108" s="58" t="s">
        <v>506</v>
      </c>
      <c r="G108" s="58" t="s">
        <v>506</v>
      </c>
      <c r="H108" s="58" t="s">
        <v>506</v>
      </c>
      <c r="I108" s="58" t="s">
        <v>506</v>
      </c>
      <c r="J108" s="58" t="s">
        <v>506</v>
      </c>
      <c r="K108" s="58" t="s">
        <v>506</v>
      </c>
      <c r="L108" s="58" t="s">
        <v>506</v>
      </c>
      <c r="M108" s="58" t="s">
        <v>506</v>
      </c>
      <c r="N108" s="58" t="s">
        <v>506</v>
      </c>
      <c r="O108" s="58" t="s">
        <v>506</v>
      </c>
      <c r="P108" s="58" t="s">
        <v>506</v>
      </c>
      <c r="Q108" s="58" t="s">
        <v>506</v>
      </c>
      <c r="R108" s="57">
        <v>14.69</v>
      </c>
    </row>
    <row r="109" spans="2:18" x14ac:dyDescent="0.4">
      <c r="B109" s="48" t="s">
        <v>284</v>
      </c>
      <c r="C109" s="51" t="s">
        <v>255</v>
      </c>
      <c r="D109" s="49" t="s">
        <v>256</v>
      </c>
      <c r="E109" s="49" t="str">
        <f>B109&amp;C109</f>
        <v>Santa Maria, CATAN</v>
      </c>
      <c r="F109" s="56">
        <v>41.1</v>
      </c>
      <c r="G109" s="56">
        <v>43</v>
      </c>
      <c r="H109" s="56">
        <v>44.2</v>
      </c>
      <c r="I109" s="56">
        <v>44.6</v>
      </c>
      <c r="J109" s="56">
        <v>48.2</v>
      </c>
      <c r="K109" s="56">
        <v>50.9</v>
      </c>
      <c r="L109" s="56">
        <v>54</v>
      </c>
      <c r="M109" s="56">
        <v>54.3</v>
      </c>
      <c r="N109" s="56">
        <v>53</v>
      </c>
      <c r="O109" s="56">
        <v>49.3</v>
      </c>
      <c r="P109" s="56">
        <v>44</v>
      </c>
      <c r="Q109" s="56">
        <v>40.200000000000003</v>
      </c>
      <c r="R109" s="57">
        <v>47.2</v>
      </c>
    </row>
    <row r="110" spans="2:18" x14ac:dyDescent="0.4">
      <c r="B110" s="50"/>
      <c r="C110" s="51" t="s">
        <v>257</v>
      </c>
      <c r="D110" s="49" t="s">
        <v>256</v>
      </c>
      <c r="E110" s="49" t="str">
        <f>B109&amp;C110</f>
        <v>Santa Maria, CATAX</v>
      </c>
      <c r="F110" s="56">
        <v>63.2</v>
      </c>
      <c r="G110" s="56">
        <v>63.6</v>
      </c>
      <c r="H110" s="56">
        <v>64.900000000000006</v>
      </c>
      <c r="I110" s="56">
        <v>66.5</v>
      </c>
      <c r="J110" s="56">
        <v>68.3</v>
      </c>
      <c r="K110" s="56">
        <v>69.900000000000006</v>
      </c>
      <c r="L110" s="56">
        <v>71.7</v>
      </c>
      <c r="M110" s="56">
        <v>72.400000000000006</v>
      </c>
      <c r="N110" s="56">
        <v>73.3</v>
      </c>
      <c r="O110" s="56">
        <v>72.2</v>
      </c>
      <c r="P110" s="56">
        <v>68.5</v>
      </c>
      <c r="Q110" s="56">
        <v>63.1</v>
      </c>
      <c r="R110" s="57">
        <v>68.099999999999994</v>
      </c>
    </row>
    <row r="111" spans="2:18" x14ac:dyDescent="0.4">
      <c r="B111" s="50"/>
      <c r="C111" s="51" t="s">
        <v>258</v>
      </c>
      <c r="D111" s="49" t="s">
        <v>259</v>
      </c>
      <c r="E111" s="49" t="str">
        <f>B109&amp;C111</f>
        <v>Santa Maria, CAV</v>
      </c>
      <c r="F111" s="56">
        <v>6</v>
      </c>
      <c r="G111" s="56">
        <v>6.7</v>
      </c>
      <c r="H111" s="56">
        <v>7.6</v>
      </c>
      <c r="I111" s="56">
        <v>8.3000000000000007</v>
      </c>
      <c r="J111" s="56">
        <v>8.3000000000000007</v>
      </c>
      <c r="K111" s="56">
        <v>7.8</v>
      </c>
      <c r="L111" s="56">
        <v>6.5</v>
      </c>
      <c r="M111" s="56">
        <v>6.3</v>
      </c>
      <c r="N111" s="56">
        <v>5.8</v>
      </c>
      <c r="O111" s="56">
        <v>6</v>
      </c>
      <c r="P111" s="56">
        <v>6</v>
      </c>
      <c r="Q111" s="56">
        <v>6</v>
      </c>
      <c r="R111" s="57">
        <v>6.7</v>
      </c>
    </row>
    <row r="112" spans="2:18" x14ac:dyDescent="0.4">
      <c r="B112" s="50"/>
      <c r="C112" s="51" t="s">
        <v>260</v>
      </c>
      <c r="D112" s="49" t="s">
        <v>261</v>
      </c>
      <c r="E112" s="49" t="str">
        <f>B109&amp;C112</f>
        <v>Santa Maria, CAI</v>
      </c>
      <c r="F112" s="56">
        <v>892</v>
      </c>
      <c r="G112" s="56">
        <v>1109</v>
      </c>
      <c r="H112" s="56">
        <v>1563</v>
      </c>
      <c r="I112" s="56">
        <v>2010</v>
      </c>
      <c r="J112" s="56">
        <v>2253</v>
      </c>
      <c r="K112" s="56">
        <v>2358</v>
      </c>
      <c r="L112" s="56">
        <v>2261</v>
      </c>
      <c r="M112" s="56">
        <v>2111</v>
      </c>
      <c r="N112" s="56">
        <v>1784</v>
      </c>
      <c r="O112" s="56">
        <v>1386</v>
      </c>
      <c r="P112" s="56">
        <v>1036</v>
      </c>
      <c r="Q112" s="56">
        <v>828</v>
      </c>
      <c r="R112" s="57">
        <v>1633</v>
      </c>
    </row>
    <row r="113" spans="2:18" x14ac:dyDescent="0.4">
      <c r="B113" s="50"/>
      <c r="C113" s="51" t="s">
        <v>262</v>
      </c>
      <c r="D113" s="49" t="s">
        <v>263</v>
      </c>
      <c r="E113" s="49" t="str">
        <f>B109&amp;C113</f>
        <v>Santa Maria, CAPA</v>
      </c>
      <c r="F113" s="58" t="s">
        <v>506</v>
      </c>
      <c r="G113" s="58" t="s">
        <v>506</v>
      </c>
      <c r="H113" s="58" t="s">
        <v>506</v>
      </c>
      <c r="I113" s="58" t="s">
        <v>506</v>
      </c>
      <c r="J113" s="58" t="s">
        <v>506</v>
      </c>
      <c r="K113" s="58" t="s">
        <v>506</v>
      </c>
      <c r="L113" s="58" t="s">
        <v>506</v>
      </c>
      <c r="M113" s="58" t="s">
        <v>506</v>
      </c>
      <c r="N113" s="58" t="s">
        <v>506</v>
      </c>
      <c r="O113" s="58" t="s">
        <v>506</v>
      </c>
      <c r="P113" s="58" t="s">
        <v>506</v>
      </c>
      <c r="Q113" s="58" t="s">
        <v>506</v>
      </c>
      <c r="R113" s="57">
        <v>14.56</v>
      </c>
    </row>
    <row r="114" spans="2:18" x14ac:dyDescent="0.4">
      <c r="B114" s="48" t="s">
        <v>285</v>
      </c>
      <c r="C114" s="51" t="s">
        <v>255</v>
      </c>
      <c r="D114" s="49" t="s">
        <v>256</v>
      </c>
      <c r="E114" s="49" t="str">
        <f>B114&amp;C114</f>
        <v>Stockton, CATAN</v>
      </c>
      <c r="F114" s="56">
        <v>39.5</v>
      </c>
      <c r="G114" s="56">
        <v>42.2</v>
      </c>
      <c r="H114" s="56">
        <v>44.3</v>
      </c>
      <c r="I114" s="56">
        <v>47</v>
      </c>
      <c r="J114" s="56">
        <v>52.8</v>
      </c>
      <c r="K114" s="56">
        <v>57.6</v>
      </c>
      <c r="L114" s="56">
        <v>60.9</v>
      </c>
      <c r="M114" s="56">
        <v>60.4</v>
      </c>
      <c r="N114" s="56">
        <v>57.5</v>
      </c>
      <c r="O114" s="56">
        <v>50.9</v>
      </c>
      <c r="P114" s="56">
        <v>43.1</v>
      </c>
      <c r="Q114" s="56">
        <v>38.9</v>
      </c>
      <c r="R114" s="57">
        <v>49.6</v>
      </c>
    </row>
    <row r="115" spans="2:18" x14ac:dyDescent="0.4">
      <c r="B115" s="50"/>
      <c r="C115" s="51" t="s">
        <v>257</v>
      </c>
      <c r="D115" s="49" t="s">
        <v>256</v>
      </c>
      <c r="E115" s="49" t="str">
        <f>B114&amp;C115</f>
        <v>Stockton, CATAX</v>
      </c>
      <c r="F115" s="56">
        <v>54.5</v>
      </c>
      <c r="G115" s="56">
        <v>60.4</v>
      </c>
      <c r="H115" s="56">
        <v>66.5</v>
      </c>
      <c r="I115" s="56">
        <v>71.7</v>
      </c>
      <c r="J115" s="56">
        <v>80.599999999999994</v>
      </c>
      <c r="K115" s="56">
        <v>87.8</v>
      </c>
      <c r="L115" s="56">
        <v>93.4</v>
      </c>
      <c r="M115" s="56">
        <v>92.3</v>
      </c>
      <c r="N115" s="56">
        <v>88.5</v>
      </c>
      <c r="O115" s="56">
        <v>78</v>
      </c>
      <c r="P115" s="56">
        <v>64.599999999999994</v>
      </c>
      <c r="Q115" s="56">
        <v>54.7</v>
      </c>
      <c r="R115" s="57">
        <v>74.400000000000006</v>
      </c>
    </row>
    <row r="116" spans="2:18" x14ac:dyDescent="0.4">
      <c r="B116" s="50"/>
      <c r="C116" s="51" t="s">
        <v>258</v>
      </c>
      <c r="D116" s="49" t="s">
        <v>259</v>
      </c>
      <c r="E116" s="49" t="str">
        <f>B114&amp;C116</f>
        <v>Stockton, CAV</v>
      </c>
      <c r="F116" s="56">
        <v>6.7</v>
      </c>
      <c r="G116" s="56">
        <v>7.2</v>
      </c>
      <c r="H116" s="56">
        <v>7.6</v>
      </c>
      <c r="I116" s="56">
        <v>8.9</v>
      </c>
      <c r="J116" s="56">
        <v>9.6</v>
      </c>
      <c r="K116" s="56">
        <v>10.1</v>
      </c>
      <c r="L116" s="56">
        <v>8.9</v>
      </c>
      <c r="M116" s="56">
        <v>8.3000000000000007</v>
      </c>
      <c r="N116" s="56">
        <v>7.4</v>
      </c>
      <c r="O116" s="56">
        <v>6.5</v>
      </c>
      <c r="P116" s="56">
        <v>5.8</v>
      </c>
      <c r="Q116" s="56">
        <v>6.9</v>
      </c>
      <c r="R116" s="57">
        <v>7.8</v>
      </c>
    </row>
    <row r="117" spans="2:18" x14ac:dyDescent="0.4">
      <c r="B117" s="50"/>
      <c r="C117" s="51" t="s">
        <v>260</v>
      </c>
      <c r="D117" s="49" t="s">
        <v>261</v>
      </c>
      <c r="E117" s="49" t="str">
        <f>B114&amp;C117</f>
        <v>Stockton, CAI</v>
      </c>
      <c r="F117" s="56">
        <v>573</v>
      </c>
      <c r="G117" s="56">
        <v>907</v>
      </c>
      <c r="H117" s="56">
        <v>1445</v>
      </c>
      <c r="I117" s="56">
        <v>1879</v>
      </c>
      <c r="J117" s="56">
        <v>2251</v>
      </c>
      <c r="K117" s="56">
        <v>2525</v>
      </c>
      <c r="L117" s="56">
        <v>2510</v>
      </c>
      <c r="M117" s="56">
        <v>2256</v>
      </c>
      <c r="N117" s="56">
        <v>1844</v>
      </c>
      <c r="O117" s="56">
        <v>1308</v>
      </c>
      <c r="P117" s="56">
        <v>824</v>
      </c>
      <c r="Q117" s="56">
        <v>552</v>
      </c>
      <c r="R117" s="57">
        <v>1573</v>
      </c>
    </row>
    <row r="118" spans="2:18" x14ac:dyDescent="0.4">
      <c r="B118" s="50"/>
      <c r="C118" s="51" t="s">
        <v>262</v>
      </c>
      <c r="D118" s="49" t="s">
        <v>263</v>
      </c>
      <c r="E118" s="49" t="str">
        <f>B114&amp;C118</f>
        <v>Stockton, CAPA</v>
      </c>
      <c r="F118" s="58" t="s">
        <v>506</v>
      </c>
      <c r="G118" s="58" t="s">
        <v>506</v>
      </c>
      <c r="H118" s="58" t="s">
        <v>506</v>
      </c>
      <c r="I118" s="58" t="s">
        <v>506</v>
      </c>
      <c r="J118" s="58" t="s">
        <v>506</v>
      </c>
      <c r="K118" s="58" t="s">
        <v>506</v>
      </c>
      <c r="L118" s="58" t="s">
        <v>506</v>
      </c>
      <c r="M118" s="58" t="s">
        <v>506</v>
      </c>
      <c r="N118" s="58" t="s">
        <v>506</v>
      </c>
      <c r="O118" s="58" t="s">
        <v>506</v>
      </c>
      <c r="P118" s="58" t="s">
        <v>506</v>
      </c>
      <c r="Q118" s="58" t="s">
        <v>506</v>
      </c>
      <c r="R118" s="57">
        <v>14.68</v>
      </c>
    </row>
    <row r="119" spans="2:18" x14ac:dyDescent="0.4">
      <c r="B119" s="48" t="s">
        <v>286</v>
      </c>
      <c r="C119" s="51" t="s">
        <v>255</v>
      </c>
      <c r="D119" s="49" t="s">
        <v>256</v>
      </c>
      <c r="E119" s="49" t="str">
        <f>B119&amp;C119</f>
        <v>Alamosa, COTAN</v>
      </c>
      <c r="F119" s="56">
        <v>0.5</v>
      </c>
      <c r="G119" s="56">
        <v>7.4</v>
      </c>
      <c r="H119" s="56">
        <v>18</v>
      </c>
      <c r="I119" s="56">
        <v>25.4</v>
      </c>
      <c r="J119" s="56">
        <v>34.799999999999997</v>
      </c>
      <c r="K119" s="56">
        <v>41.4</v>
      </c>
      <c r="L119" s="56">
        <v>47.7</v>
      </c>
      <c r="M119" s="56">
        <v>46.7</v>
      </c>
      <c r="N119" s="56">
        <v>37.4</v>
      </c>
      <c r="O119" s="56">
        <v>25.4</v>
      </c>
      <c r="P119" s="56">
        <v>12.7</v>
      </c>
      <c r="Q119" s="56">
        <v>2</v>
      </c>
      <c r="R119" s="57">
        <v>24.9</v>
      </c>
    </row>
    <row r="120" spans="2:18" x14ac:dyDescent="0.4">
      <c r="B120" s="50"/>
      <c r="C120" s="51" t="s">
        <v>257</v>
      </c>
      <c r="D120" s="49" t="s">
        <v>256</v>
      </c>
      <c r="E120" s="49" t="str">
        <f>B119&amp;C120</f>
        <v>Alamosa, COTAX</v>
      </c>
      <c r="F120" s="56">
        <v>34.200000000000003</v>
      </c>
      <c r="G120" s="56">
        <v>39.700000000000003</v>
      </c>
      <c r="H120" s="56">
        <v>50.1</v>
      </c>
      <c r="I120" s="56">
        <v>58.5</v>
      </c>
      <c r="J120" s="56">
        <v>69.099999999999994</v>
      </c>
      <c r="K120" s="56">
        <v>78</v>
      </c>
      <c r="L120" s="56">
        <v>81.7</v>
      </c>
      <c r="M120" s="56">
        <v>78.900000000000006</v>
      </c>
      <c r="N120" s="56">
        <v>72.599999999999994</v>
      </c>
      <c r="O120" s="56">
        <v>61.3</v>
      </c>
      <c r="P120" s="56">
        <v>46.5</v>
      </c>
      <c r="Q120" s="56">
        <v>34.9</v>
      </c>
      <c r="R120" s="57">
        <v>58.8</v>
      </c>
    </row>
    <row r="121" spans="2:18" x14ac:dyDescent="0.4">
      <c r="B121" s="50"/>
      <c r="C121" s="51" t="s">
        <v>258</v>
      </c>
      <c r="D121" s="49" t="s">
        <v>259</v>
      </c>
      <c r="E121" s="49" t="str">
        <f>B119&amp;C121</f>
        <v>Alamosa, COV</v>
      </c>
      <c r="F121" s="56">
        <v>5.0999999999999996</v>
      </c>
      <c r="G121" s="56">
        <v>6.5</v>
      </c>
      <c r="H121" s="56">
        <v>8.1</v>
      </c>
      <c r="I121" s="56">
        <v>10.1</v>
      </c>
      <c r="J121" s="56">
        <v>9.6</v>
      </c>
      <c r="K121" s="56">
        <v>8.6999999999999993</v>
      </c>
      <c r="L121" s="56">
        <v>6.7</v>
      </c>
      <c r="M121" s="56">
        <v>6.3</v>
      </c>
      <c r="N121" s="56">
        <v>6.5</v>
      </c>
      <c r="O121" s="56">
        <v>6.5</v>
      </c>
      <c r="P121" s="56">
        <v>5.8</v>
      </c>
      <c r="Q121" s="56">
        <v>4.9000000000000004</v>
      </c>
      <c r="R121" s="57">
        <v>7.2</v>
      </c>
    </row>
    <row r="122" spans="2:18" x14ac:dyDescent="0.4">
      <c r="B122" s="50"/>
      <c r="C122" s="51" t="s">
        <v>260</v>
      </c>
      <c r="D122" s="49" t="s">
        <v>261</v>
      </c>
      <c r="E122" s="49" t="str">
        <f>B119&amp;C122</f>
        <v>Alamosa, COI</v>
      </c>
      <c r="F122" s="56">
        <v>898</v>
      </c>
      <c r="G122" s="56">
        <v>1191</v>
      </c>
      <c r="H122" s="56">
        <v>1619</v>
      </c>
      <c r="I122" s="56">
        <v>1987</v>
      </c>
      <c r="J122" s="56">
        <v>2266</v>
      </c>
      <c r="K122" s="56">
        <v>2427</v>
      </c>
      <c r="L122" s="56">
        <v>2269</v>
      </c>
      <c r="M122" s="56">
        <v>1992</v>
      </c>
      <c r="N122" s="56">
        <v>1786</v>
      </c>
      <c r="O122" s="56">
        <v>1397</v>
      </c>
      <c r="P122" s="56">
        <v>1023</v>
      </c>
      <c r="Q122" s="56">
        <v>798</v>
      </c>
      <c r="R122" s="57">
        <v>1638</v>
      </c>
    </row>
    <row r="123" spans="2:18" x14ac:dyDescent="0.4">
      <c r="B123" s="50"/>
      <c r="C123" s="51" t="s">
        <v>262</v>
      </c>
      <c r="D123" s="49" t="s">
        <v>263</v>
      </c>
      <c r="E123" s="49" t="str">
        <f>B119&amp;C123</f>
        <v>Alamosa, COPA</v>
      </c>
      <c r="F123" s="58" t="s">
        <v>506</v>
      </c>
      <c r="G123" s="58" t="s">
        <v>506</v>
      </c>
      <c r="H123" s="58" t="s">
        <v>506</v>
      </c>
      <c r="I123" s="58" t="s">
        <v>506</v>
      </c>
      <c r="J123" s="58" t="s">
        <v>506</v>
      </c>
      <c r="K123" s="58" t="s">
        <v>506</v>
      </c>
      <c r="L123" s="58" t="s">
        <v>506</v>
      </c>
      <c r="M123" s="58" t="s">
        <v>506</v>
      </c>
      <c r="N123" s="58" t="s">
        <v>506</v>
      </c>
      <c r="O123" s="58" t="s">
        <v>506</v>
      </c>
      <c r="P123" s="58" t="s">
        <v>506</v>
      </c>
      <c r="Q123" s="58" t="s">
        <v>506</v>
      </c>
      <c r="R123" s="57">
        <v>11.2</v>
      </c>
    </row>
    <row r="124" spans="2:18" ht="20.6" x14ac:dyDescent="0.4">
      <c r="B124" s="48" t="s">
        <v>287</v>
      </c>
      <c r="C124" s="51" t="s">
        <v>255</v>
      </c>
      <c r="D124" s="49" t="s">
        <v>256</v>
      </c>
      <c r="E124" s="49" t="str">
        <f>B124&amp;C124</f>
        <v>Colorado Springs, COTAN</v>
      </c>
      <c r="F124" s="56">
        <v>18.8</v>
      </c>
      <c r="G124" s="56">
        <v>20.9</v>
      </c>
      <c r="H124" s="56">
        <v>27.1</v>
      </c>
      <c r="I124" s="56">
        <v>34.1</v>
      </c>
      <c r="J124" s="56">
        <v>43.8</v>
      </c>
      <c r="K124" s="56">
        <v>52.2</v>
      </c>
      <c r="L124" s="56">
        <v>57.8</v>
      </c>
      <c r="M124" s="56">
        <v>56.4</v>
      </c>
      <c r="N124" s="56">
        <v>47.9</v>
      </c>
      <c r="O124" s="56">
        <v>36.799999999999997</v>
      </c>
      <c r="P124" s="56">
        <v>26</v>
      </c>
      <c r="Q124" s="56">
        <v>19.399999999999999</v>
      </c>
      <c r="R124" s="57">
        <v>36.799999999999997</v>
      </c>
    </row>
    <row r="125" spans="2:18" ht="20.6" x14ac:dyDescent="0.4">
      <c r="B125" s="50"/>
      <c r="C125" s="51" t="s">
        <v>257</v>
      </c>
      <c r="D125" s="49" t="s">
        <v>256</v>
      </c>
      <c r="E125" s="49" t="str">
        <f>B124&amp;C125</f>
        <v>Colorado Springs, COTAX</v>
      </c>
      <c r="F125" s="56">
        <v>42.6</v>
      </c>
      <c r="G125" s="56">
        <v>45</v>
      </c>
      <c r="H125" s="56">
        <v>51.9</v>
      </c>
      <c r="I125" s="56">
        <v>58.6</v>
      </c>
      <c r="J125" s="56">
        <v>68.8</v>
      </c>
      <c r="K125" s="56">
        <v>78.099999999999994</v>
      </c>
      <c r="L125" s="56">
        <v>84.1</v>
      </c>
      <c r="M125" s="56">
        <v>80.900000000000006</v>
      </c>
      <c r="N125" s="56">
        <v>74.2</v>
      </c>
      <c r="O125" s="56">
        <v>62.6</v>
      </c>
      <c r="P125" s="56">
        <v>50.1</v>
      </c>
      <c r="Q125" s="56">
        <v>42.5</v>
      </c>
      <c r="R125" s="57">
        <v>61.6</v>
      </c>
    </row>
    <row r="126" spans="2:18" ht="20.6" x14ac:dyDescent="0.4">
      <c r="B126" s="50"/>
      <c r="C126" s="51" t="s">
        <v>258</v>
      </c>
      <c r="D126" s="49" t="s">
        <v>259</v>
      </c>
      <c r="E126" s="49" t="str">
        <f>B124&amp;C126</f>
        <v>Colorado Springs, COV</v>
      </c>
      <c r="F126" s="56">
        <v>8.6999999999999993</v>
      </c>
      <c r="G126" s="56">
        <v>9.4</v>
      </c>
      <c r="H126" s="56">
        <v>10.3</v>
      </c>
      <c r="I126" s="56">
        <v>11.6</v>
      </c>
      <c r="J126" s="56">
        <v>10.7</v>
      </c>
      <c r="K126" s="56">
        <v>10.1</v>
      </c>
      <c r="L126" s="56">
        <v>8.9</v>
      </c>
      <c r="M126" s="56">
        <v>8.5</v>
      </c>
      <c r="N126" s="56">
        <v>8.9</v>
      </c>
      <c r="O126" s="56">
        <v>9.4</v>
      </c>
      <c r="P126" s="56">
        <v>8.6999999999999993</v>
      </c>
      <c r="Q126" s="56">
        <v>8.9</v>
      </c>
      <c r="R126" s="57">
        <v>9.6</v>
      </c>
    </row>
    <row r="127" spans="2:18" ht="20.6" x14ac:dyDescent="0.4">
      <c r="B127" s="50"/>
      <c r="C127" s="51" t="s">
        <v>260</v>
      </c>
      <c r="D127" s="49" t="s">
        <v>261</v>
      </c>
      <c r="E127" s="49" t="str">
        <f>B124&amp;C127</f>
        <v>Colorado Springs, COI</v>
      </c>
      <c r="F127" s="56">
        <v>843</v>
      </c>
      <c r="G127" s="56">
        <v>1093</v>
      </c>
      <c r="H127" s="56">
        <v>1467</v>
      </c>
      <c r="I127" s="56">
        <v>1794</v>
      </c>
      <c r="J127" s="56">
        <v>2012</v>
      </c>
      <c r="K127" s="56">
        <v>2182</v>
      </c>
      <c r="L127" s="56">
        <v>2108</v>
      </c>
      <c r="M127" s="56">
        <v>1884</v>
      </c>
      <c r="N127" s="56">
        <v>1667</v>
      </c>
      <c r="O127" s="56">
        <v>1275</v>
      </c>
      <c r="P127" s="56">
        <v>899</v>
      </c>
      <c r="Q127" s="56">
        <v>742</v>
      </c>
      <c r="R127" s="57">
        <v>1497</v>
      </c>
    </row>
    <row r="128" spans="2:18" ht="20.6" x14ac:dyDescent="0.4">
      <c r="B128" s="50"/>
      <c r="C128" s="51" t="s">
        <v>262</v>
      </c>
      <c r="D128" s="49" t="s">
        <v>263</v>
      </c>
      <c r="E128" s="49" t="str">
        <f>B124&amp;C128</f>
        <v>Colorado Springs, COPA</v>
      </c>
      <c r="F128" s="58" t="s">
        <v>506</v>
      </c>
      <c r="G128" s="58" t="s">
        <v>506</v>
      </c>
      <c r="H128" s="58" t="s">
        <v>506</v>
      </c>
      <c r="I128" s="58" t="s">
        <v>506</v>
      </c>
      <c r="J128" s="58" t="s">
        <v>506</v>
      </c>
      <c r="K128" s="58" t="s">
        <v>506</v>
      </c>
      <c r="L128" s="58" t="s">
        <v>506</v>
      </c>
      <c r="M128" s="58" t="s">
        <v>506</v>
      </c>
      <c r="N128" s="58" t="s">
        <v>506</v>
      </c>
      <c r="O128" s="58" t="s">
        <v>506</v>
      </c>
      <c r="P128" s="58" t="s">
        <v>506</v>
      </c>
      <c r="Q128" s="58" t="s">
        <v>506</v>
      </c>
      <c r="R128" s="57">
        <v>11.78</v>
      </c>
    </row>
    <row r="129" spans="2:18" x14ac:dyDescent="0.4">
      <c r="B129" s="48" t="s">
        <v>288</v>
      </c>
      <c r="C129" s="51" t="s">
        <v>255</v>
      </c>
      <c r="D129" s="49" t="s">
        <v>256</v>
      </c>
      <c r="E129" s="49" t="str">
        <f>B129&amp;C129</f>
        <v>Denver, COTAN</v>
      </c>
      <c r="F129" s="56">
        <v>19.2</v>
      </c>
      <c r="G129" s="56">
        <v>21.7</v>
      </c>
      <c r="H129" s="56">
        <v>28.2</v>
      </c>
      <c r="I129" s="56">
        <v>34.799999999999997</v>
      </c>
      <c r="J129" s="56">
        <v>44.7</v>
      </c>
      <c r="K129" s="56">
        <v>53.2</v>
      </c>
      <c r="L129" s="56">
        <v>60.4</v>
      </c>
      <c r="M129" s="56">
        <v>58.7</v>
      </c>
      <c r="N129" s="56">
        <v>49.6</v>
      </c>
      <c r="O129" s="56">
        <v>37.700000000000003</v>
      </c>
      <c r="P129" s="56">
        <v>26.7</v>
      </c>
      <c r="Q129" s="56">
        <v>19.600000000000001</v>
      </c>
      <c r="R129" s="57">
        <v>37.9</v>
      </c>
    </row>
    <row r="130" spans="2:18" x14ac:dyDescent="0.4">
      <c r="B130" s="50"/>
      <c r="C130" s="51" t="s">
        <v>257</v>
      </c>
      <c r="D130" s="49" t="s">
        <v>256</v>
      </c>
      <c r="E130" s="49" t="str">
        <f>B129&amp;C130</f>
        <v>Denver, COTAX</v>
      </c>
      <c r="F130" s="56">
        <v>42.9</v>
      </c>
      <c r="G130" s="56">
        <v>45.7</v>
      </c>
      <c r="H130" s="56">
        <v>53.7</v>
      </c>
      <c r="I130" s="56">
        <v>60.1</v>
      </c>
      <c r="J130" s="56">
        <v>70.599999999999994</v>
      </c>
      <c r="K130" s="56">
        <v>80.900000000000006</v>
      </c>
      <c r="L130" s="56">
        <v>88</v>
      </c>
      <c r="M130" s="56">
        <v>85.2</v>
      </c>
      <c r="N130" s="56">
        <v>77.3</v>
      </c>
      <c r="O130" s="56">
        <v>64</v>
      </c>
      <c r="P130" s="56">
        <v>51.1</v>
      </c>
      <c r="Q130" s="56">
        <v>43</v>
      </c>
      <c r="R130" s="57">
        <v>63.5</v>
      </c>
    </row>
    <row r="131" spans="2:18" x14ac:dyDescent="0.4">
      <c r="B131" s="50"/>
      <c r="C131" s="51" t="s">
        <v>258</v>
      </c>
      <c r="D131" s="49" t="s">
        <v>259</v>
      </c>
      <c r="E131" s="49" t="str">
        <f>B129&amp;C131</f>
        <v>Denver, COV</v>
      </c>
      <c r="F131" s="56">
        <v>9.1999999999999993</v>
      </c>
      <c r="G131" s="56">
        <v>9.1999999999999993</v>
      </c>
      <c r="H131" s="56">
        <v>10.3</v>
      </c>
      <c r="I131" s="56">
        <v>11</v>
      </c>
      <c r="J131" s="56">
        <v>10.1</v>
      </c>
      <c r="K131" s="56">
        <v>9.6</v>
      </c>
      <c r="L131" s="56">
        <v>9.1999999999999993</v>
      </c>
      <c r="M131" s="56">
        <v>8.9</v>
      </c>
      <c r="N131" s="56">
        <v>8.9</v>
      </c>
      <c r="O131" s="56">
        <v>9.1999999999999993</v>
      </c>
      <c r="P131" s="56">
        <v>8.9</v>
      </c>
      <c r="Q131" s="56">
        <v>9.1999999999999993</v>
      </c>
      <c r="R131" s="57">
        <v>9.4</v>
      </c>
    </row>
    <row r="132" spans="2:18" x14ac:dyDescent="0.4">
      <c r="B132" s="50"/>
      <c r="C132" s="51" t="s">
        <v>260</v>
      </c>
      <c r="D132" s="49" t="s">
        <v>261</v>
      </c>
      <c r="E132" s="49" t="str">
        <f>B129&amp;C132</f>
        <v>Denver, COI</v>
      </c>
      <c r="F132" s="56">
        <v>764</v>
      </c>
      <c r="G132" s="56">
        <v>1052</v>
      </c>
      <c r="H132" s="56">
        <v>1463</v>
      </c>
      <c r="I132" s="56">
        <v>1779</v>
      </c>
      <c r="J132" s="56">
        <v>2049</v>
      </c>
      <c r="K132" s="56">
        <v>2275</v>
      </c>
      <c r="L132" s="56">
        <v>2213</v>
      </c>
      <c r="M132" s="56">
        <v>1941</v>
      </c>
      <c r="N132" s="56">
        <v>1658</v>
      </c>
      <c r="O132" s="56">
        <v>1216</v>
      </c>
      <c r="P132" s="56">
        <v>817</v>
      </c>
      <c r="Q132" s="56">
        <v>664</v>
      </c>
      <c r="R132" s="57">
        <v>1491</v>
      </c>
    </row>
    <row r="133" spans="2:18" x14ac:dyDescent="0.4">
      <c r="B133" s="50"/>
      <c r="C133" s="51" t="s">
        <v>262</v>
      </c>
      <c r="D133" s="49" t="s">
        <v>263</v>
      </c>
      <c r="E133" s="49" t="str">
        <f>B129&amp;C133</f>
        <v>Denver, COPA</v>
      </c>
      <c r="F133" s="58" t="s">
        <v>506</v>
      </c>
      <c r="G133" s="58" t="s">
        <v>506</v>
      </c>
      <c r="H133" s="58" t="s">
        <v>506</v>
      </c>
      <c r="I133" s="58" t="s">
        <v>506</v>
      </c>
      <c r="J133" s="58" t="s">
        <v>506</v>
      </c>
      <c r="K133" s="58" t="s">
        <v>506</v>
      </c>
      <c r="L133" s="58" t="s">
        <v>506</v>
      </c>
      <c r="M133" s="58" t="s">
        <v>506</v>
      </c>
      <c r="N133" s="58" t="s">
        <v>506</v>
      </c>
      <c r="O133" s="58" t="s">
        <v>506</v>
      </c>
      <c r="P133" s="58" t="s">
        <v>506</v>
      </c>
      <c r="Q133" s="58" t="s">
        <v>506</v>
      </c>
      <c r="R133" s="57">
        <v>12.08</v>
      </c>
    </row>
    <row r="134" spans="2:18" ht="20.6" x14ac:dyDescent="0.4">
      <c r="B134" s="48" t="s">
        <v>289</v>
      </c>
      <c r="C134" s="51" t="s">
        <v>255</v>
      </c>
      <c r="D134" s="49" t="s">
        <v>256</v>
      </c>
      <c r="E134" s="49" t="str">
        <f>B134&amp;C134</f>
        <v>Grand Junction, COTAN</v>
      </c>
      <c r="F134" s="56">
        <v>19.3</v>
      </c>
      <c r="G134" s="56">
        <v>25.9</v>
      </c>
      <c r="H134" s="56">
        <v>32.700000000000003</v>
      </c>
      <c r="I134" s="56">
        <v>39.5</v>
      </c>
      <c r="J134" s="56">
        <v>48.8</v>
      </c>
      <c r="K134" s="56">
        <v>57.9</v>
      </c>
      <c r="L134" s="56">
        <v>65.2</v>
      </c>
      <c r="M134" s="56">
        <v>62.8</v>
      </c>
      <c r="N134" s="56">
        <v>53.4</v>
      </c>
      <c r="O134" s="56">
        <v>41.3</v>
      </c>
      <c r="P134" s="56">
        <v>28.8</v>
      </c>
      <c r="Q134" s="56">
        <v>19.899999999999999</v>
      </c>
      <c r="R134" s="57">
        <v>41.3</v>
      </c>
    </row>
    <row r="135" spans="2:18" ht="20.6" x14ac:dyDescent="0.4">
      <c r="B135" s="50"/>
      <c r="C135" s="51" t="s">
        <v>257</v>
      </c>
      <c r="D135" s="49" t="s">
        <v>256</v>
      </c>
      <c r="E135" s="49" t="str">
        <f>B134&amp;C135</f>
        <v>Grand Junction, COTAX</v>
      </c>
      <c r="F135" s="56">
        <v>37.4</v>
      </c>
      <c r="G135" s="56">
        <v>45.3</v>
      </c>
      <c r="H135" s="56">
        <v>56.5</v>
      </c>
      <c r="I135" s="56">
        <v>64.400000000000006</v>
      </c>
      <c r="J135" s="56">
        <v>76.2</v>
      </c>
      <c r="K135" s="56">
        <v>86.9</v>
      </c>
      <c r="L135" s="56">
        <v>93.4</v>
      </c>
      <c r="M135" s="56">
        <v>89.3</v>
      </c>
      <c r="N135" s="56">
        <v>79.900000000000006</v>
      </c>
      <c r="O135" s="56">
        <v>66</v>
      </c>
      <c r="P135" s="56">
        <v>49.9</v>
      </c>
      <c r="Q135" s="56">
        <v>38</v>
      </c>
      <c r="R135" s="57">
        <v>65.3</v>
      </c>
    </row>
    <row r="136" spans="2:18" x14ac:dyDescent="0.4">
      <c r="B136" s="50"/>
      <c r="C136" s="51" t="s">
        <v>258</v>
      </c>
      <c r="D136" s="49" t="s">
        <v>259</v>
      </c>
      <c r="E136" s="49" t="str">
        <f>B134&amp;C136</f>
        <v>Grand Junction, COV</v>
      </c>
      <c r="F136" s="56">
        <v>5.4</v>
      </c>
      <c r="G136" s="56">
        <v>6.5</v>
      </c>
      <c r="H136" s="56">
        <v>7.8</v>
      </c>
      <c r="I136" s="56">
        <v>8.9</v>
      </c>
      <c r="J136" s="56">
        <v>9.1999999999999993</v>
      </c>
      <c r="K136" s="56">
        <v>9.6</v>
      </c>
      <c r="L136" s="56">
        <v>9.4</v>
      </c>
      <c r="M136" s="56">
        <v>8.9</v>
      </c>
      <c r="N136" s="56">
        <v>8.5</v>
      </c>
      <c r="O136" s="56">
        <v>7.6</v>
      </c>
      <c r="P136" s="56">
        <v>6</v>
      </c>
      <c r="Q136" s="56">
        <v>5.4</v>
      </c>
      <c r="R136" s="57">
        <v>7.8</v>
      </c>
    </row>
    <row r="137" spans="2:18" x14ac:dyDescent="0.4">
      <c r="B137" s="50"/>
      <c r="C137" s="51" t="s">
        <v>260</v>
      </c>
      <c r="D137" s="49" t="s">
        <v>261</v>
      </c>
      <c r="E137" s="49" t="str">
        <f>B134&amp;C137</f>
        <v>Grand Junction, COI</v>
      </c>
      <c r="F137" s="56">
        <v>739</v>
      </c>
      <c r="G137" s="56">
        <v>1039</v>
      </c>
      <c r="H137" s="56">
        <v>1522</v>
      </c>
      <c r="I137" s="56">
        <v>1876</v>
      </c>
      <c r="J137" s="56">
        <v>2211</v>
      </c>
      <c r="K137" s="56">
        <v>2434</v>
      </c>
      <c r="L137" s="56">
        <v>2339</v>
      </c>
      <c r="M137" s="56">
        <v>2020</v>
      </c>
      <c r="N137" s="56">
        <v>1721</v>
      </c>
      <c r="O137" s="56">
        <v>1281</v>
      </c>
      <c r="P137" s="56">
        <v>874</v>
      </c>
      <c r="Q137" s="56">
        <v>662</v>
      </c>
      <c r="R137" s="57">
        <v>1560</v>
      </c>
    </row>
    <row r="138" spans="2:18" ht="20.6" x14ac:dyDescent="0.4">
      <c r="B138" s="50"/>
      <c r="C138" s="51" t="s">
        <v>262</v>
      </c>
      <c r="D138" s="49" t="s">
        <v>263</v>
      </c>
      <c r="E138" s="49" t="str">
        <f>B134&amp;C138</f>
        <v>Grand Junction, COPA</v>
      </c>
      <c r="F138" s="58" t="s">
        <v>506</v>
      </c>
      <c r="G138" s="58" t="s">
        <v>506</v>
      </c>
      <c r="H138" s="58" t="s">
        <v>506</v>
      </c>
      <c r="I138" s="58" t="s">
        <v>506</v>
      </c>
      <c r="J138" s="58" t="s">
        <v>506</v>
      </c>
      <c r="K138" s="58" t="s">
        <v>506</v>
      </c>
      <c r="L138" s="58" t="s">
        <v>506</v>
      </c>
      <c r="M138" s="58" t="s">
        <v>506</v>
      </c>
      <c r="N138" s="58" t="s">
        <v>506</v>
      </c>
      <c r="O138" s="58" t="s">
        <v>506</v>
      </c>
      <c r="P138" s="58" t="s">
        <v>506</v>
      </c>
      <c r="Q138" s="58" t="s">
        <v>506</v>
      </c>
      <c r="R138" s="57">
        <v>12.34</v>
      </c>
    </row>
    <row r="139" spans="2:18" x14ac:dyDescent="0.4">
      <c r="B139" s="48" t="s">
        <v>290</v>
      </c>
      <c r="C139" s="51" t="s">
        <v>255</v>
      </c>
      <c r="D139" s="49" t="s">
        <v>256</v>
      </c>
      <c r="E139" s="49" t="str">
        <f>B139&amp;C139</f>
        <v>Limon, COTAN</v>
      </c>
      <c r="F139" s="56">
        <v>12.4</v>
      </c>
      <c r="G139" s="56">
        <v>15.2</v>
      </c>
      <c r="H139" s="56">
        <v>22</v>
      </c>
      <c r="I139" s="56">
        <v>29.2</v>
      </c>
      <c r="J139" s="56">
        <v>39.4</v>
      </c>
      <c r="K139" s="56">
        <v>49.3</v>
      </c>
      <c r="L139" s="56">
        <v>54.8</v>
      </c>
      <c r="M139" s="56">
        <v>53.9</v>
      </c>
      <c r="N139" s="56">
        <v>43.7</v>
      </c>
      <c r="O139" s="56">
        <v>31.6</v>
      </c>
      <c r="P139" s="56">
        <v>19.899999999999999</v>
      </c>
      <c r="Q139" s="56">
        <v>12.7</v>
      </c>
      <c r="R139" s="57">
        <v>32</v>
      </c>
    </row>
    <row r="140" spans="2:18" x14ac:dyDescent="0.4">
      <c r="B140" s="50"/>
      <c r="C140" s="51" t="s">
        <v>257</v>
      </c>
      <c r="D140" s="49" t="s">
        <v>256</v>
      </c>
      <c r="E140" s="49" t="str">
        <f>B139&amp;C140</f>
        <v>Limon, COTAX</v>
      </c>
      <c r="F140" s="56">
        <v>41.7</v>
      </c>
      <c r="G140" s="56">
        <v>44.2</v>
      </c>
      <c r="H140" s="56">
        <v>52.7</v>
      </c>
      <c r="I140" s="56">
        <v>59.5</v>
      </c>
      <c r="J140" s="56">
        <v>69.7</v>
      </c>
      <c r="K140" s="56">
        <v>79.599999999999994</v>
      </c>
      <c r="L140" s="56">
        <v>86.2</v>
      </c>
      <c r="M140" s="56">
        <v>82.7</v>
      </c>
      <c r="N140" s="56">
        <v>75.8</v>
      </c>
      <c r="O140" s="56">
        <v>63.4</v>
      </c>
      <c r="P140" s="56">
        <v>49.6</v>
      </c>
      <c r="Q140" s="56">
        <v>41.8</v>
      </c>
      <c r="R140" s="57">
        <v>62.2</v>
      </c>
    </row>
    <row r="141" spans="2:18" x14ac:dyDescent="0.4">
      <c r="B141" s="50"/>
      <c r="C141" s="51" t="s">
        <v>258</v>
      </c>
      <c r="D141" s="49" t="s">
        <v>259</v>
      </c>
      <c r="E141" s="49" t="str">
        <f>B139&amp;C141</f>
        <v>Limon, COV</v>
      </c>
      <c r="F141" s="56">
        <v>8.6999999999999993</v>
      </c>
      <c r="G141" s="56">
        <v>9.4</v>
      </c>
      <c r="H141" s="56">
        <v>10.7</v>
      </c>
      <c r="I141" s="56">
        <v>11.9</v>
      </c>
      <c r="J141" s="56">
        <v>11</v>
      </c>
      <c r="K141" s="56">
        <v>10.1</v>
      </c>
      <c r="L141" s="56">
        <v>9.1999999999999993</v>
      </c>
      <c r="M141" s="56">
        <v>8.6999999999999993</v>
      </c>
      <c r="N141" s="56">
        <v>8.9</v>
      </c>
      <c r="O141" s="56">
        <v>9.4</v>
      </c>
      <c r="P141" s="56">
        <v>8.9</v>
      </c>
      <c r="Q141" s="56">
        <v>8.9</v>
      </c>
      <c r="R141" s="57">
        <v>9.6</v>
      </c>
    </row>
    <row r="142" spans="2:18" x14ac:dyDescent="0.4">
      <c r="B142" s="50"/>
      <c r="C142" s="51" t="s">
        <v>260</v>
      </c>
      <c r="D142" s="49" t="s">
        <v>261</v>
      </c>
      <c r="E142" s="49" t="str">
        <f>B139&amp;C142</f>
        <v>Limon, COI</v>
      </c>
      <c r="F142" s="56">
        <v>797</v>
      </c>
      <c r="G142" s="56">
        <v>1066</v>
      </c>
      <c r="H142" s="56">
        <v>1466</v>
      </c>
      <c r="I142" s="56">
        <v>1773</v>
      </c>
      <c r="J142" s="56">
        <v>2074</v>
      </c>
      <c r="K142" s="56">
        <v>2301</v>
      </c>
      <c r="L142" s="56">
        <v>2267</v>
      </c>
      <c r="M142" s="56">
        <v>2003</v>
      </c>
      <c r="N142" s="56">
        <v>1712</v>
      </c>
      <c r="O142" s="56">
        <v>1264</v>
      </c>
      <c r="P142" s="56">
        <v>860</v>
      </c>
      <c r="Q142" s="56">
        <v>693</v>
      </c>
      <c r="R142" s="57">
        <v>1523</v>
      </c>
    </row>
    <row r="143" spans="2:18" x14ac:dyDescent="0.4">
      <c r="B143" s="50"/>
      <c r="C143" s="51" t="s">
        <v>262</v>
      </c>
      <c r="D143" s="49" t="s">
        <v>263</v>
      </c>
      <c r="E143" s="49" t="str">
        <f>B139&amp;C143</f>
        <v>Limon, COPA</v>
      </c>
      <c r="F143" s="58" t="s">
        <v>506</v>
      </c>
      <c r="G143" s="58" t="s">
        <v>506</v>
      </c>
      <c r="H143" s="58" t="s">
        <v>506</v>
      </c>
      <c r="I143" s="58" t="s">
        <v>506</v>
      </c>
      <c r="J143" s="58" t="s">
        <v>506</v>
      </c>
      <c r="K143" s="58" t="s">
        <v>506</v>
      </c>
      <c r="L143" s="58" t="s">
        <v>506</v>
      </c>
      <c r="M143" s="58" t="s">
        <v>506</v>
      </c>
      <c r="N143" s="58" t="s">
        <v>506</v>
      </c>
      <c r="O143" s="58" t="s">
        <v>506</v>
      </c>
      <c r="P143" s="58" t="s">
        <v>506</v>
      </c>
      <c r="Q143" s="58" t="s">
        <v>506</v>
      </c>
      <c r="R143" s="57">
        <v>12.02</v>
      </c>
    </row>
    <row r="144" spans="2:18" x14ac:dyDescent="0.4">
      <c r="B144" s="48" t="s">
        <v>291</v>
      </c>
      <c r="C144" s="51" t="s">
        <v>255</v>
      </c>
      <c r="D144" s="49" t="s">
        <v>256</v>
      </c>
      <c r="E144" s="49" t="str">
        <f>B144&amp;C144</f>
        <v>Pueblo, COTAN</v>
      </c>
      <c r="F144" s="56">
        <v>15.3</v>
      </c>
      <c r="G144" s="56">
        <v>18.5</v>
      </c>
      <c r="H144" s="56">
        <v>26.5</v>
      </c>
      <c r="I144" s="56">
        <v>34.799999999999997</v>
      </c>
      <c r="J144" s="56">
        <v>45.2</v>
      </c>
      <c r="K144" s="56">
        <v>53.6</v>
      </c>
      <c r="L144" s="56">
        <v>59.6</v>
      </c>
      <c r="M144" s="56">
        <v>58.3</v>
      </c>
      <c r="N144" s="56">
        <v>48.3</v>
      </c>
      <c r="O144" s="56">
        <v>35.1</v>
      </c>
      <c r="P144" s="56">
        <v>23.4</v>
      </c>
      <c r="Q144" s="56">
        <v>15.9</v>
      </c>
      <c r="R144" s="57">
        <v>36.200000000000003</v>
      </c>
    </row>
    <row r="145" spans="2:18" x14ac:dyDescent="0.4">
      <c r="B145" s="50"/>
      <c r="C145" s="51" t="s">
        <v>257</v>
      </c>
      <c r="D145" s="49" t="s">
        <v>256</v>
      </c>
      <c r="E145" s="49" t="str">
        <f>B144&amp;C145</f>
        <v>Pueblo, COTAX</v>
      </c>
      <c r="F145" s="56">
        <v>47.2</v>
      </c>
      <c r="G145" s="56">
        <v>50.8</v>
      </c>
      <c r="H145" s="56">
        <v>58.9</v>
      </c>
      <c r="I145" s="56">
        <v>66.099999999999994</v>
      </c>
      <c r="J145" s="56">
        <v>76.7</v>
      </c>
      <c r="K145" s="56">
        <v>86.3</v>
      </c>
      <c r="L145" s="56">
        <v>92.3</v>
      </c>
      <c r="M145" s="56">
        <v>88.8</v>
      </c>
      <c r="N145" s="56">
        <v>81.400000000000006</v>
      </c>
      <c r="O145" s="56">
        <v>68.900000000000006</v>
      </c>
      <c r="P145" s="56">
        <v>55.1</v>
      </c>
      <c r="Q145" s="56">
        <v>46.8</v>
      </c>
      <c r="R145" s="57">
        <v>68.3</v>
      </c>
    </row>
    <row r="146" spans="2:18" x14ac:dyDescent="0.4">
      <c r="B146" s="50"/>
      <c r="C146" s="51" t="s">
        <v>258</v>
      </c>
      <c r="D146" s="49" t="s">
        <v>259</v>
      </c>
      <c r="E146" s="49" t="str">
        <f>B144&amp;C146</f>
        <v>Pueblo, COV</v>
      </c>
      <c r="F146" s="56">
        <v>6.7</v>
      </c>
      <c r="G146" s="56">
        <v>7.4</v>
      </c>
      <c r="H146" s="56">
        <v>8.5</v>
      </c>
      <c r="I146" s="56">
        <v>9.8000000000000007</v>
      </c>
      <c r="J146" s="56">
        <v>8.9</v>
      </c>
      <c r="K146" s="56">
        <v>8.6999999999999993</v>
      </c>
      <c r="L146" s="56">
        <v>8.1</v>
      </c>
      <c r="M146" s="56">
        <v>7.4</v>
      </c>
      <c r="N146" s="56">
        <v>7.4</v>
      </c>
      <c r="O146" s="56">
        <v>7.4</v>
      </c>
      <c r="P146" s="56">
        <v>6.5</v>
      </c>
      <c r="Q146" s="56">
        <v>6.5</v>
      </c>
      <c r="R146" s="57">
        <v>7.8</v>
      </c>
    </row>
    <row r="147" spans="2:18" x14ac:dyDescent="0.4">
      <c r="B147" s="50"/>
      <c r="C147" s="51" t="s">
        <v>260</v>
      </c>
      <c r="D147" s="49" t="s">
        <v>261</v>
      </c>
      <c r="E147" s="49" t="str">
        <f>B144&amp;C147</f>
        <v>Pueblo, COI</v>
      </c>
      <c r="F147" s="56">
        <v>862</v>
      </c>
      <c r="G147" s="56">
        <v>1144</v>
      </c>
      <c r="H147" s="56">
        <v>1557</v>
      </c>
      <c r="I147" s="56">
        <v>1897</v>
      </c>
      <c r="J147" s="56">
        <v>2197</v>
      </c>
      <c r="K147" s="56">
        <v>2399</v>
      </c>
      <c r="L147" s="56">
        <v>2356</v>
      </c>
      <c r="M147" s="56">
        <v>2093</v>
      </c>
      <c r="N147" s="56">
        <v>1783</v>
      </c>
      <c r="O147" s="56">
        <v>1344</v>
      </c>
      <c r="P147" s="56">
        <v>950</v>
      </c>
      <c r="Q147" s="56">
        <v>779</v>
      </c>
      <c r="R147" s="57">
        <v>1613</v>
      </c>
    </row>
    <row r="148" spans="2:18" x14ac:dyDescent="0.4">
      <c r="B148" s="50"/>
      <c r="C148" s="51" t="s">
        <v>262</v>
      </c>
      <c r="D148" s="49" t="s">
        <v>263</v>
      </c>
      <c r="E148" s="49" t="str">
        <f>B144&amp;C148</f>
        <v>Pueblo, COPA</v>
      </c>
      <c r="F148" s="58" t="s">
        <v>506</v>
      </c>
      <c r="G148" s="58" t="s">
        <v>506</v>
      </c>
      <c r="H148" s="58" t="s">
        <v>506</v>
      </c>
      <c r="I148" s="58" t="s">
        <v>506</v>
      </c>
      <c r="J148" s="58" t="s">
        <v>506</v>
      </c>
      <c r="K148" s="58" t="s">
        <v>506</v>
      </c>
      <c r="L148" s="58" t="s">
        <v>506</v>
      </c>
      <c r="M148" s="58" t="s">
        <v>506</v>
      </c>
      <c r="N148" s="58" t="s">
        <v>506</v>
      </c>
      <c r="O148" s="58" t="s">
        <v>506</v>
      </c>
      <c r="P148" s="58" t="s">
        <v>506</v>
      </c>
      <c r="Q148" s="58" t="s">
        <v>506</v>
      </c>
      <c r="R148" s="57">
        <v>12.4</v>
      </c>
    </row>
    <row r="149" spans="2:18" x14ac:dyDescent="0.4">
      <c r="B149" s="48" t="s">
        <v>292</v>
      </c>
      <c r="C149" s="51" t="s">
        <v>255</v>
      </c>
      <c r="D149" s="49" t="s">
        <v>256</v>
      </c>
      <c r="E149" s="49" t="str">
        <f>B149&amp;C149</f>
        <v>Bridgeport, CTTAN</v>
      </c>
      <c r="F149" s="56">
        <v>24.4</v>
      </c>
      <c r="G149" s="56">
        <v>25.9</v>
      </c>
      <c r="H149" s="56">
        <v>32.1</v>
      </c>
      <c r="I149" s="56">
        <v>41.8</v>
      </c>
      <c r="J149" s="56">
        <v>51.1</v>
      </c>
      <c r="K149" s="56">
        <v>61.4</v>
      </c>
      <c r="L149" s="56">
        <v>67</v>
      </c>
      <c r="M149" s="56">
        <v>66.599999999999994</v>
      </c>
      <c r="N149" s="56">
        <v>59.2</v>
      </c>
      <c r="O149" s="56">
        <v>47.4</v>
      </c>
      <c r="P149" s="56">
        <v>38.9</v>
      </c>
      <c r="Q149" s="56">
        <v>29.5</v>
      </c>
      <c r="R149" s="57">
        <v>45.4</v>
      </c>
    </row>
    <row r="150" spans="2:18" x14ac:dyDescent="0.4">
      <c r="B150" s="50"/>
      <c r="C150" s="51" t="s">
        <v>257</v>
      </c>
      <c r="D150" s="49" t="s">
        <v>256</v>
      </c>
      <c r="E150" s="49" t="str">
        <f>B149&amp;C150</f>
        <v>Bridgeport, CTTAX</v>
      </c>
      <c r="F150" s="56">
        <v>37.200000000000003</v>
      </c>
      <c r="G150" s="56">
        <v>39.1</v>
      </c>
      <c r="H150" s="56">
        <v>46.3</v>
      </c>
      <c r="I150" s="56">
        <v>57.1</v>
      </c>
      <c r="J150" s="56">
        <v>66.8</v>
      </c>
      <c r="K150" s="56">
        <v>76.400000000000006</v>
      </c>
      <c r="L150" s="56">
        <v>81.400000000000006</v>
      </c>
      <c r="M150" s="56">
        <v>80.400000000000006</v>
      </c>
      <c r="N150" s="56">
        <v>73.7</v>
      </c>
      <c r="O150" s="56">
        <v>62.7</v>
      </c>
      <c r="P150" s="56">
        <v>52.4</v>
      </c>
      <c r="Q150" s="56">
        <v>42.1</v>
      </c>
      <c r="R150" s="57">
        <v>59.6</v>
      </c>
    </row>
    <row r="151" spans="2:18" x14ac:dyDescent="0.4">
      <c r="B151" s="50"/>
      <c r="C151" s="51" t="s">
        <v>258</v>
      </c>
      <c r="D151" s="49" t="s">
        <v>259</v>
      </c>
      <c r="E151" s="49" t="str">
        <f>B149&amp;C151</f>
        <v>Bridgeport, CTV</v>
      </c>
      <c r="F151" s="56">
        <v>9.8000000000000007</v>
      </c>
      <c r="G151" s="56">
        <v>10.1</v>
      </c>
      <c r="H151" s="56">
        <v>10.3</v>
      </c>
      <c r="I151" s="56">
        <v>9.6</v>
      </c>
      <c r="J151" s="56">
        <v>8.9</v>
      </c>
      <c r="K151" s="56">
        <v>7.8</v>
      </c>
      <c r="L151" s="56">
        <v>7.6</v>
      </c>
      <c r="M151" s="56">
        <v>7.8</v>
      </c>
      <c r="N151" s="56">
        <v>8.6999999999999993</v>
      </c>
      <c r="O151" s="56">
        <v>9.1999999999999993</v>
      </c>
      <c r="P151" s="56">
        <v>9.4</v>
      </c>
      <c r="Q151" s="56">
        <v>9.8000000000000007</v>
      </c>
      <c r="R151" s="57">
        <v>9.1999999999999993</v>
      </c>
    </row>
    <row r="152" spans="2:18" x14ac:dyDescent="0.4">
      <c r="B152" s="50"/>
      <c r="C152" s="51" t="s">
        <v>260</v>
      </c>
      <c r="D152" s="49" t="s">
        <v>261</v>
      </c>
      <c r="E152" s="49" t="str">
        <f>B149&amp;C152</f>
        <v>Bridgeport, CTI</v>
      </c>
      <c r="F152" s="56">
        <v>560</v>
      </c>
      <c r="G152" s="56">
        <v>847</v>
      </c>
      <c r="H152" s="56">
        <v>1156</v>
      </c>
      <c r="I152" s="56">
        <v>1490</v>
      </c>
      <c r="J152" s="56">
        <v>1750</v>
      </c>
      <c r="K152" s="56">
        <v>1862</v>
      </c>
      <c r="L152" s="56">
        <v>1904</v>
      </c>
      <c r="M152" s="56">
        <v>1685</v>
      </c>
      <c r="N152" s="56">
        <v>1320</v>
      </c>
      <c r="O152" s="56">
        <v>948</v>
      </c>
      <c r="P152" s="56">
        <v>621</v>
      </c>
      <c r="Q152" s="56">
        <v>501</v>
      </c>
      <c r="R152" s="57">
        <v>1220</v>
      </c>
    </row>
    <row r="153" spans="2:18" x14ac:dyDescent="0.4">
      <c r="B153" s="50"/>
      <c r="C153" s="51" t="s">
        <v>262</v>
      </c>
      <c r="D153" s="49" t="s">
        <v>263</v>
      </c>
      <c r="E153" s="49" t="str">
        <f>B149&amp;C153</f>
        <v>Bridgeport, CTPA</v>
      </c>
      <c r="F153" s="58" t="s">
        <v>506</v>
      </c>
      <c r="G153" s="58" t="s">
        <v>506</v>
      </c>
      <c r="H153" s="58" t="s">
        <v>506</v>
      </c>
      <c r="I153" s="58" t="s">
        <v>506</v>
      </c>
      <c r="J153" s="58" t="s">
        <v>506</v>
      </c>
      <c r="K153" s="58" t="s">
        <v>506</v>
      </c>
      <c r="L153" s="58" t="s">
        <v>506</v>
      </c>
      <c r="M153" s="58" t="s">
        <v>506</v>
      </c>
      <c r="N153" s="58" t="s">
        <v>506</v>
      </c>
      <c r="O153" s="58" t="s">
        <v>506</v>
      </c>
      <c r="P153" s="58" t="s">
        <v>506</v>
      </c>
      <c r="Q153" s="58" t="s">
        <v>506</v>
      </c>
      <c r="R153" s="57">
        <v>14.69</v>
      </c>
    </row>
    <row r="154" spans="2:18" x14ac:dyDescent="0.4">
      <c r="B154" s="48" t="s">
        <v>293</v>
      </c>
      <c r="C154" s="51" t="s">
        <v>255</v>
      </c>
      <c r="D154" s="49" t="s">
        <v>256</v>
      </c>
      <c r="E154" s="49" t="str">
        <f>B154&amp;C154</f>
        <v>Hartford, CTTAN</v>
      </c>
      <c r="F154" s="56">
        <v>19.399999999999999</v>
      </c>
      <c r="G154" s="56">
        <v>21.4</v>
      </c>
      <c r="H154" s="56">
        <v>28.8</v>
      </c>
      <c r="I154" s="56">
        <v>39.200000000000003</v>
      </c>
      <c r="J154" s="56">
        <v>48.3</v>
      </c>
      <c r="K154" s="56">
        <v>58.4</v>
      </c>
      <c r="L154" s="56">
        <v>63.3</v>
      </c>
      <c r="M154" s="56">
        <v>61.9</v>
      </c>
      <c r="N154" s="56">
        <v>53.9</v>
      </c>
      <c r="O154" s="56">
        <v>42.2</v>
      </c>
      <c r="P154" s="56">
        <v>34.1</v>
      </c>
      <c r="Q154" s="56">
        <v>24.6</v>
      </c>
      <c r="R154" s="57">
        <v>41.3</v>
      </c>
    </row>
    <row r="155" spans="2:18" x14ac:dyDescent="0.4">
      <c r="B155" s="50"/>
      <c r="C155" s="51" t="s">
        <v>257</v>
      </c>
      <c r="D155" s="49" t="s">
        <v>256</v>
      </c>
      <c r="E155" s="49" t="str">
        <f>B154&amp;C155</f>
        <v>Hartford, CTTAX</v>
      </c>
      <c r="F155" s="56">
        <v>34.4</v>
      </c>
      <c r="G155" s="56">
        <v>37.5</v>
      </c>
      <c r="H155" s="56">
        <v>46.7</v>
      </c>
      <c r="I155" s="56">
        <v>60.2</v>
      </c>
      <c r="J155" s="56">
        <v>70.400000000000006</v>
      </c>
      <c r="K155" s="56">
        <v>79.099999999999994</v>
      </c>
      <c r="L155" s="56">
        <v>83.6</v>
      </c>
      <c r="M155" s="56">
        <v>82.2</v>
      </c>
      <c r="N155" s="56">
        <v>74.400000000000006</v>
      </c>
      <c r="O155" s="56">
        <v>62.3</v>
      </c>
      <c r="P155" s="56">
        <v>50.8</v>
      </c>
      <c r="Q155" s="56">
        <v>39.5</v>
      </c>
      <c r="R155" s="57">
        <v>60.1</v>
      </c>
    </row>
    <row r="156" spans="2:18" x14ac:dyDescent="0.4">
      <c r="B156" s="50"/>
      <c r="C156" s="51" t="s">
        <v>258</v>
      </c>
      <c r="D156" s="49" t="s">
        <v>259</v>
      </c>
      <c r="E156" s="49" t="str">
        <f>B154&amp;C156</f>
        <v>Hartford, CTV</v>
      </c>
      <c r="F156" s="56">
        <v>8.5</v>
      </c>
      <c r="G156" s="56">
        <v>8.9</v>
      </c>
      <c r="H156" s="56">
        <v>9.4</v>
      </c>
      <c r="I156" s="56">
        <v>8.9</v>
      </c>
      <c r="J156" s="56">
        <v>8.1</v>
      </c>
      <c r="K156" s="56">
        <v>6.9</v>
      </c>
      <c r="L156" s="56">
        <v>6.5</v>
      </c>
      <c r="M156" s="56">
        <v>6.3</v>
      </c>
      <c r="N156" s="56">
        <v>6.7</v>
      </c>
      <c r="O156" s="56">
        <v>7.4</v>
      </c>
      <c r="P156" s="56">
        <v>7.6</v>
      </c>
      <c r="Q156" s="56">
        <v>8.3000000000000007</v>
      </c>
      <c r="R156" s="57">
        <v>7.8</v>
      </c>
    </row>
    <row r="157" spans="2:18" x14ac:dyDescent="0.4">
      <c r="B157" s="50"/>
      <c r="C157" s="51" t="s">
        <v>260</v>
      </c>
      <c r="D157" s="49" t="s">
        <v>261</v>
      </c>
      <c r="E157" s="49" t="str">
        <f>B154&amp;C157</f>
        <v>Hartford, CTI</v>
      </c>
      <c r="F157" s="56">
        <v>560</v>
      </c>
      <c r="G157" s="56">
        <v>814</v>
      </c>
      <c r="H157" s="56">
        <v>1133</v>
      </c>
      <c r="I157" s="56">
        <v>1453</v>
      </c>
      <c r="J157" s="56">
        <v>1700</v>
      </c>
      <c r="K157" s="56">
        <v>1797</v>
      </c>
      <c r="L157" s="56">
        <v>1833</v>
      </c>
      <c r="M157" s="56">
        <v>1622</v>
      </c>
      <c r="N157" s="56">
        <v>1289</v>
      </c>
      <c r="O157" s="56">
        <v>905</v>
      </c>
      <c r="P157" s="56">
        <v>582</v>
      </c>
      <c r="Q157" s="56">
        <v>482</v>
      </c>
      <c r="R157" s="57">
        <v>1181</v>
      </c>
    </row>
    <row r="158" spans="2:18" x14ac:dyDescent="0.4">
      <c r="B158" s="50"/>
      <c r="C158" s="51" t="s">
        <v>262</v>
      </c>
      <c r="D158" s="49" t="s">
        <v>263</v>
      </c>
      <c r="E158" s="49" t="str">
        <f>B154&amp;C158</f>
        <v>Hartford, CTPA</v>
      </c>
      <c r="F158" s="58" t="s">
        <v>506</v>
      </c>
      <c r="G158" s="58" t="s">
        <v>506</v>
      </c>
      <c r="H158" s="58" t="s">
        <v>506</v>
      </c>
      <c r="I158" s="58" t="s">
        <v>506</v>
      </c>
      <c r="J158" s="58" t="s">
        <v>506</v>
      </c>
      <c r="K158" s="58" t="s">
        <v>506</v>
      </c>
      <c r="L158" s="58" t="s">
        <v>506</v>
      </c>
      <c r="M158" s="58" t="s">
        <v>506</v>
      </c>
      <c r="N158" s="58" t="s">
        <v>506</v>
      </c>
      <c r="O158" s="58" t="s">
        <v>506</v>
      </c>
      <c r="P158" s="58" t="s">
        <v>506</v>
      </c>
      <c r="Q158" s="58" t="s">
        <v>506</v>
      </c>
      <c r="R158" s="57">
        <v>14.61</v>
      </c>
    </row>
    <row r="159" spans="2:18" ht="20.6" x14ac:dyDescent="0.4">
      <c r="B159" s="48" t="s">
        <v>294</v>
      </c>
      <c r="C159" s="51" t="s">
        <v>255</v>
      </c>
      <c r="D159" s="49" t="s">
        <v>256</v>
      </c>
      <c r="E159" s="49" t="str">
        <f>B159&amp;C159</f>
        <v>Wilmington_DE, DETAN</v>
      </c>
      <c r="F159" s="56">
        <v>26.3</v>
      </c>
      <c r="G159" s="56">
        <v>27.2</v>
      </c>
      <c r="H159" s="56">
        <v>34.299999999999997</v>
      </c>
      <c r="I159" s="56">
        <v>43.8</v>
      </c>
      <c r="J159" s="56">
        <v>53</v>
      </c>
      <c r="K159" s="56">
        <v>63.2</v>
      </c>
      <c r="L159" s="56">
        <v>67.900000000000006</v>
      </c>
      <c r="M159" s="56">
        <v>66.900000000000006</v>
      </c>
      <c r="N159" s="56">
        <v>58.9</v>
      </c>
      <c r="O159" s="56">
        <v>46.8</v>
      </c>
      <c r="P159" s="56">
        <v>38.4</v>
      </c>
      <c r="Q159" s="56">
        <v>30.1</v>
      </c>
      <c r="R159" s="57">
        <v>46.4</v>
      </c>
    </row>
    <row r="160" spans="2:18" ht="20.6" x14ac:dyDescent="0.4">
      <c r="B160" s="50"/>
      <c r="C160" s="51" t="s">
        <v>257</v>
      </c>
      <c r="D160" s="49" t="s">
        <v>256</v>
      </c>
      <c r="E160" s="49" t="str">
        <f>B159&amp;C160</f>
        <v>Wilmington_DE, DETAX</v>
      </c>
      <c r="F160" s="56">
        <v>40.5</v>
      </c>
      <c r="G160" s="56">
        <v>42.7</v>
      </c>
      <c r="H160" s="56">
        <v>51.6</v>
      </c>
      <c r="I160" s="56">
        <v>63.1</v>
      </c>
      <c r="J160" s="56">
        <v>72.099999999999994</v>
      </c>
      <c r="K160" s="56">
        <v>80.900000000000006</v>
      </c>
      <c r="L160" s="56">
        <v>85.1</v>
      </c>
      <c r="M160" s="56">
        <v>83.9</v>
      </c>
      <c r="N160" s="56">
        <v>76.8</v>
      </c>
      <c r="O160" s="56">
        <v>65.5</v>
      </c>
      <c r="P160" s="56">
        <v>55</v>
      </c>
      <c r="Q160" s="56">
        <v>44.7</v>
      </c>
      <c r="R160" s="57">
        <v>63.5</v>
      </c>
    </row>
    <row r="161" spans="2:18" x14ac:dyDescent="0.4">
      <c r="B161" s="50"/>
      <c r="C161" s="51" t="s">
        <v>258</v>
      </c>
      <c r="D161" s="49" t="s">
        <v>259</v>
      </c>
      <c r="E161" s="49" t="str">
        <f>B159&amp;C161</f>
        <v>Wilmington_DE, DEV</v>
      </c>
      <c r="F161" s="56">
        <v>9.4</v>
      </c>
      <c r="G161" s="56">
        <v>9.8000000000000007</v>
      </c>
      <c r="H161" s="56">
        <v>10.1</v>
      </c>
      <c r="I161" s="56">
        <v>9.6</v>
      </c>
      <c r="J161" s="56">
        <v>8.3000000000000007</v>
      </c>
      <c r="K161" s="56">
        <v>7.6</v>
      </c>
      <c r="L161" s="56">
        <v>7.4</v>
      </c>
      <c r="M161" s="56">
        <v>6.9</v>
      </c>
      <c r="N161" s="56">
        <v>7.8</v>
      </c>
      <c r="O161" s="56">
        <v>7.6</v>
      </c>
      <c r="P161" s="56">
        <v>8.5</v>
      </c>
      <c r="Q161" s="56">
        <v>8.9</v>
      </c>
      <c r="R161" s="57">
        <v>8.5</v>
      </c>
    </row>
    <row r="162" spans="2:18" x14ac:dyDescent="0.4">
      <c r="B162" s="50"/>
      <c r="C162" s="51" t="s">
        <v>260</v>
      </c>
      <c r="D162" s="49" t="s">
        <v>261</v>
      </c>
      <c r="E162" s="49" t="str">
        <f>B159&amp;C162</f>
        <v>Wilmington_DE, DEI</v>
      </c>
      <c r="F162" s="56">
        <v>629</v>
      </c>
      <c r="G162" s="56">
        <v>911</v>
      </c>
      <c r="H162" s="56">
        <v>1185</v>
      </c>
      <c r="I162" s="56">
        <v>1528</v>
      </c>
      <c r="J162" s="56">
        <v>1786</v>
      </c>
      <c r="K162" s="56">
        <v>1909</v>
      </c>
      <c r="L162" s="56">
        <v>1916</v>
      </c>
      <c r="M162" s="56">
        <v>1680</v>
      </c>
      <c r="N162" s="56">
        <v>1366</v>
      </c>
      <c r="O162" s="56">
        <v>1016</v>
      </c>
      <c r="P162" s="56">
        <v>678</v>
      </c>
      <c r="Q162" s="56">
        <v>556</v>
      </c>
      <c r="R162" s="57">
        <v>1264</v>
      </c>
    </row>
    <row r="163" spans="2:18" ht="20.6" x14ac:dyDescent="0.4">
      <c r="B163" s="50"/>
      <c r="C163" s="51" t="s">
        <v>262</v>
      </c>
      <c r="D163" s="49" t="s">
        <v>263</v>
      </c>
      <c r="E163" s="49" t="str">
        <f>B159&amp;C163</f>
        <v>Wilmington_DE, DEPA</v>
      </c>
      <c r="F163" s="58" t="s">
        <v>506</v>
      </c>
      <c r="G163" s="58" t="s">
        <v>506</v>
      </c>
      <c r="H163" s="58" t="s">
        <v>506</v>
      </c>
      <c r="I163" s="58" t="s">
        <v>506</v>
      </c>
      <c r="J163" s="58" t="s">
        <v>506</v>
      </c>
      <c r="K163" s="58" t="s">
        <v>506</v>
      </c>
      <c r="L163" s="58" t="s">
        <v>506</v>
      </c>
      <c r="M163" s="58" t="s">
        <v>506</v>
      </c>
      <c r="N163" s="58" t="s">
        <v>506</v>
      </c>
      <c r="O163" s="58" t="s">
        <v>506</v>
      </c>
      <c r="P163" s="58" t="s">
        <v>506</v>
      </c>
      <c r="Q163" s="58" t="s">
        <v>506</v>
      </c>
      <c r="R163" s="57">
        <v>14.65</v>
      </c>
    </row>
    <row r="164" spans="2:18" ht="20.6" x14ac:dyDescent="0.4">
      <c r="B164" s="48" t="s">
        <v>295</v>
      </c>
      <c r="C164" s="51" t="s">
        <v>255</v>
      </c>
      <c r="D164" s="49" t="s">
        <v>256</v>
      </c>
      <c r="E164" s="49" t="str">
        <f>B164&amp;C164</f>
        <v>Daytona Beach, FLTAN</v>
      </c>
      <c r="F164" s="56">
        <v>49</v>
      </c>
      <c r="G164" s="56">
        <v>50.6</v>
      </c>
      <c r="H164" s="56">
        <v>55</v>
      </c>
      <c r="I164" s="56">
        <v>59.8</v>
      </c>
      <c r="J164" s="56">
        <v>66.400000000000006</v>
      </c>
      <c r="K164" s="56">
        <v>72.099999999999994</v>
      </c>
      <c r="L164" s="56">
        <v>73.7</v>
      </c>
      <c r="M164" s="56">
        <v>74</v>
      </c>
      <c r="N164" s="56">
        <v>73.2</v>
      </c>
      <c r="O164" s="56">
        <v>66.900000000000006</v>
      </c>
      <c r="P164" s="56">
        <v>57.7</v>
      </c>
      <c r="Q164" s="56">
        <v>52.3</v>
      </c>
      <c r="R164" s="57">
        <v>62.5</v>
      </c>
    </row>
    <row r="165" spans="2:18" ht="20.6" x14ac:dyDescent="0.4">
      <c r="B165" s="50"/>
      <c r="C165" s="51" t="s">
        <v>257</v>
      </c>
      <c r="D165" s="49" t="s">
        <v>256</v>
      </c>
      <c r="E165" s="49" t="str">
        <f>B164&amp;C165</f>
        <v>Daytona Beach, FLTAX</v>
      </c>
      <c r="F165" s="56">
        <v>68.400000000000006</v>
      </c>
      <c r="G165" s="56">
        <v>69.900000000000006</v>
      </c>
      <c r="H165" s="56">
        <v>74.2</v>
      </c>
      <c r="I165" s="56">
        <v>78.8</v>
      </c>
      <c r="J165" s="56">
        <v>84.5</v>
      </c>
      <c r="K165" s="56">
        <v>87.7</v>
      </c>
      <c r="L165" s="56">
        <v>89.5</v>
      </c>
      <c r="M165" s="56">
        <v>88.8</v>
      </c>
      <c r="N165" s="56">
        <v>86.3</v>
      </c>
      <c r="O165" s="56">
        <v>81.5</v>
      </c>
      <c r="P165" s="56">
        <v>75.099999999999994</v>
      </c>
      <c r="Q165" s="56">
        <v>70.2</v>
      </c>
      <c r="R165" s="57">
        <v>79.599999999999994</v>
      </c>
    </row>
    <row r="166" spans="2:18" x14ac:dyDescent="0.4">
      <c r="B166" s="50"/>
      <c r="C166" s="51" t="s">
        <v>258</v>
      </c>
      <c r="D166" s="49" t="s">
        <v>259</v>
      </c>
      <c r="E166" s="49" t="str">
        <f>B164&amp;C166</f>
        <v>Daytona Beach, FLV</v>
      </c>
      <c r="F166" s="56">
        <v>7.2</v>
      </c>
      <c r="G166" s="56">
        <v>7.6</v>
      </c>
      <c r="H166" s="56">
        <v>8.3000000000000007</v>
      </c>
      <c r="I166" s="56">
        <v>7.8</v>
      </c>
      <c r="J166" s="56">
        <v>7.4</v>
      </c>
      <c r="K166" s="56">
        <v>6.3</v>
      </c>
      <c r="L166" s="56">
        <v>5.6</v>
      </c>
      <c r="M166" s="56">
        <v>5.6</v>
      </c>
      <c r="N166" s="56">
        <v>6.7</v>
      </c>
      <c r="O166" s="56">
        <v>7.4</v>
      </c>
      <c r="P166" s="56">
        <v>6.9</v>
      </c>
      <c r="Q166" s="56">
        <v>6.7</v>
      </c>
      <c r="R166" s="57">
        <v>6.9</v>
      </c>
    </row>
    <row r="167" spans="2:18" x14ac:dyDescent="0.4">
      <c r="B167" s="50"/>
      <c r="C167" s="51" t="s">
        <v>260</v>
      </c>
      <c r="D167" s="49" t="s">
        <v>261</v>
      </c>
      <c r="E167" s="49" t="str">
        <f>B164&amp;C167</f>
        <v>Daytona Beach, FLI</v>
      </c>
      <c r="F167" s="56">
        <v>1018</v>
      </c>
      <c r="G167" s="56">
        <v>1215</v>
      </c>
      <c r="H167" s="56">
        <v>1579</v>
      </c>
      <c r="I167" s="56">
        <v>1931</v>
      </c>
      <c r="J167" s="56">
        <v>2049</v>
      </c>
      <c r="K167" s="56">
        <v>1893</v>
      </c>
      <c r="L167" s="56">
        <v>1911</v>
      </c>
      <c r="M167" s="56">
        <v>1767</v>
      </c>
      <c r="N167" s="56">
        <v>1518</v>
      </c>
      <c r="O167" s="56">
        <v>1296</v>
      </c>
      <c r="P167" s="56">
        <v>1063</v>
      </c>
      <c r="Q167" s="56">
        <v>916</v>
      </c>
      <c r="R167" s="57">
        <v>1513</v>
      </c>
    </row>
    <row r="168" spans="2:18" ht="20.6" x14ac:dyDescent="0.4">
      <c r="B168" s="50"/>
      <c r="C168" s="51" t="s">
        <v>262</v>
      </c>
      <c r="D168" s="49" t="s">
        <v>263</v>
      </c>
      <c r="E168" s="49" t="str">
        <f>B164&amp;C168</f>
        <v>Daytona Beach, FLPA</v>
      </c>
      <c r="F168" s="58" t="s">
        <v>506</v>
      </c>
      <c r="G168" s="58" t="s">
        <v>506</v>
      </c>
      <c r="H168" s="58" t="s">
        <v>506</v>
      </c>
      <c r="I168" s="58" t="s">
        <v>506</v>
      </c>
      <c r="J168" s="58" t="s">
        <v>506</v>
      </c>
      <c r="K168" s="58" t="s">
        <v>506</v>
      </c>
      <c r="L168" s="58" t="s">
        <v>506</v>
      </c>
      <c r="M168" s="58" t="s">
        <v>506</v>
      </c>
      <c r="N168" s="58" t="s">
        <v>506</v>
      </c>
      <c r="O168" s="58" t="s">
        <v>506</v>
      </c>
      <c r="P168" s="58" t="s">
        <v>506</v>
      </c>
      <c r="Q168" s="58" t="s">
        <v>506</v>
      </c>
      <c r="R168" s="57">
        <v>14.68</v>
      </c>
    </row>
    <row r="169" spans="2:18" x14ac:dyDescent="0.4">
      <c r="B169" s="48" t="s">
        <v>296</v>
      </c>
      <c r="C169" s="51" t="s">
        <v>255</v>
      </c>
      <c r="D169" s="49" t="s">
        <v>256</v>
      </c>
      <c r="E169" s="49" t="str">
        <f>B169&amp;C169</f>
        <v>Fort Myers, FLTAN</v>
      </c>
      <c r="F169" s="56">
        <v>54.4</v>
      </c>
      <c r="G169" s="56">
        <v>56.1</v>
      </c>
      <c r="H169" s="56">
        <v>59.8</v>
      </c>
      <c r="I169" s="56">
        <v>64</v>
      </c>
      <c r="J169" s="56">
        <v>69.3</v>
      </c>
      <c r="K169" s="56">
        <v>73.8</v>
      </c>
      <c r="L169" s="56">
        <v>75</v>
      </c>
      <c r="M169" s="56">
        <v>75.400000000000006</v>
      </c>
      <c r="N169" s="56">
        <v>74.7</v>
      </c>
      <c r="O169" s="56">
        <v>69.400000000000006</v>
      </c>
      <c r="P169" s="56">
        <v>61.8</v>
      </c>
      <c r="Q169" s="56">
        <v>56.7</v>
      </c>
      <c r="R169" s="57">
        <v>65.900000000000006</v>
      </c>
    </row>
    <row r="170" spans="2:18" x14ac:dyDescent="0.4">
      <c r="B170" s="50"/>
      <c r="C170" s="51" t="s">
        <v>257</v>
      </c>
      <c r="D170" s="49" t="s">
        <v>256</v>
      </c>
      <c r="E170" s="49" t="str">
        <f>B169&amp;C170</f>
        <v>Fort Myers, FLTAX</v>
      </c>
      <c r="F170" s="56">
        <v>74.2</v>
      </c>
      <c r="G170" s="56">
        <v>76.2</v>
      </c>
      <c r="H170" s="56">
        <v>79.599999999999994</v>
      </c>
      <c r="I170" s="56">
        <v>83.5</v>
      </c>
      <c r="J170" s="56">
        <v>88.5</v>
      </c>
      <c r="K170" s="56">
        <v>90.3</v>
      </c>
      <c r="L170" s="56">
        <v>90.7</v>
      </c>
      <c r="M170" s="56">
        <v>90.8</v>
      </c>
      <c r="N170" s="56">
        <v>89.3</v>
      </c>
      <c r="O170" s="56">
        <v>85.8</v>
      </c>
      <c r="P170" s="56">
        <v>80.2</v>
      </c>
      <c r="Q170" s="56">
        <v>75.5</v>
      </c>
      <c r="R170" s="57">
        <v>83.7</v>
      </c>
    </row>
    <row r="171" spans="2:18" x14ac:dyDescent="0.4">
      <c r="B171" s="50"/>
      <c r="C171" s="51" t="s">
        <v>258</v>
      </c>
      <c r="D171" s="49" t="s">
        <v>259</v>
      </c>
      <c r="E171" s="49" t="str">
        <f>B169&amp;C171</f>
        <v>Fort Myers, FLV</v>
      </c>
      <c r="F171" s="56">
        <v>7.4</v>
      </c>
      <c r="G171" s="56">
        <v>7.8</v>
      </c>
      <c r="H171" s="56">
        <v>8.3000000000000007</v>
      </c>
      <c r="I171" s="56">
        <v>8.1</v>
      </c>
      <c r="J171" s="56">
        <v>7.2</v>
      </c>
      <c r="K171" s="56">
        <v>6.3</v>
      </c>
      <c r="L171" s="56">
        <v>5.4</v>
      </c>
      <c r="M171" s="56">
        <v>5.6</v>
      </c>
      <c r="N171" s="56">
        <v>6.3</v>
      </c>
      <c r="O171" s="56">
        <v>7.2</v>
      </c>
      <c r="P171" s="56">
        <v>7.4</v>
      </c>
      <c r="Q171" s="56">
        <v>7.2</v>
      </c>
      <c r="R171" s="57">
        <v>6.9</v>
      </c>
    </row>
    <row r="172" spans="2:18" x14ac:dyDescent="0.4">
      <c r="B172" s="50"/>
      <c r="C172" s="51" t="s">
        <v>260</v>
      </c>
      <c r="D172" s="49" t="s">
        <v>261</v>
      </c>
      <c r="E172" s="49" t="str">
        <f>B169&amp;C172</f>
        <v>Fort Myers, FLI</v>
      </c>
      <c r="F172" s="56">
        <v>1150</v>
      </c>
      <c r="G172" s="56">
        <v>1426</v>
      </c>
      <c r="H172" s="56">
        <v>1718</v>
      </c>
      <c r="I172" s="56">
        <v>1993</v>
      </c>
      <c r="J172" s="56">
        <v>2075</v>
      </c>
      <c r="K172" s="56">
        <v>1880</v>
      </c>
      <c r="L172" s="56">
        <v>1805</v>
      </c>
      <c r="M172" s="56">
        <v>1740</v>
      </c>
      <c r="N172" s="56">
        <v>1533</v>
      </c>
      <c r="O172" s="56">
        <v>1415</v>
      </c>
      <c r="P172" s="56">
        <v>1205</v>
      </c>
      <c r="Q172" s="56">
        <v>1054</v>
      </c>
      <c r="R172" s="57">
        <v>1583</v>
      </c>
    </row>
    <row r="173" spans="2:18" x14ac:dyDescent="0.4">
      <c r="B173" s="50"/>
      <c r="C173" s="51" t="s">
        <v>262</v>
      </c>
      <c r="D173" s="49" t="s">
        <v>263</v>
      </c>
      <c r="E173" s="49" t="str">
        <f>B169&amp;C173</f>
        <v>Fort Myers, FLPA</v>
      </c>
      <c r="F173" s="58" t="s">
        <v>506</v>
      </c>
      <c r="G173" s="58" t="s">
        <v>506</v>
      </c>
      <c r="H173" s="58" t="s">
        <v>506</v>
      </c>
      <c r="I173" s="58" t="s">
        <v>506</v>
      </c>
      <c r="J173" s="58" t="s">
        <v>506</v>
      </c>
      <c r="K173" s="58" t="s">
        <v>506</v>
      </c>
      <c r="L173" s="58" t="s">
        <v>506</v>
      </c>
      <c r="M173" s="58" t="s">
        <v>506</v>
      </c>
      <c r="N173" s="58" t="s">
        <v>506</v>
      </c>
      <c r="O173" s="58" t="s">
        <v>506</v>
      </c>
      <c r="P173" s="58" t="s">
        <v>506</v>
      </c>
      <c r="Q173" s="58" t="s">
        <v>506</v>
      </c>
      <c r="R173" s="57">
        <v>14.68</v>
      </c>
    </row>
    <row r="174" spans="2:18" x14ac:dyDescent="0.4">
      <c r="B174" s="48" t="s">
        <v>297</v>
      </c>
      <c r="C174" s="51" t="s">
        <v>255</v>
      </c>
      <c r="D174" s="49" t="s">
        <v>256</v>
      </c>
      <c r="E174" s="49" t="str">
        <f>B174&amp;C174</f>
        <v>Gainesville, FLTAN</v>
      </c>
      <c r="F174" s="56">
        <v>43.4</v>
      </c>
      <c r="G174" s="56">
        <v>45.5</v>
      </c>
      <c r="H174" s="56">
        <v>50.2</v>
      </c>
      <c r="I174" s="56">
        <v>55.6</v>
      </c>
      <c r="J174" s="56">
        <v>63.2</v>
      </c>
      <c r="K174" s="56">
        <v>69.8</v>
      </c>
      <c r="L174" s="56">
        <v>72.099999999999994</v>
      </c>
      <c r="M174" s="56">
        <v>72.099999999999994</v>
      </c>
      <c r="N174" s="56">
        <v>69.400000000000006</v>
      </c>
      <c r="O174" s="56">
        <v>61.1</v>
      </c>
      <c r="P174" s="56">
        <v>51.4</v>
      </c>
      <c r="Q174" s="56">
        <v>45.5</v>
      </c>
      <c r="R174" s="57">
        <v>58.3</v>
      </c>
    </row>
    <row r="175" spans="2:18" x14ac:dyDescent="0.4">
      <c r="B175" s="50"/>
      <c r="C175" s="51" t="s">
        <v>257</v>
      </c>
      <c r="D175" s="49" t="s">
        <v>256</v>
      </c>
      <c r="E175" s="49" t="str">
        <f>B174&amp;C175</f>
        <v>Gainesville, FLTAX</v>
      </c>
      <c r="F175" s="56">
        <v>66.3</v>
      </c>
      <c r="G175" s="56">
        <v>69</v>
      </c>
      <c r="H175" s="56">
        <v>74.400000000000006</v>
      </c>
      <c r="I175" s="56">
        <v>80</v>
      </c>
      <c r="J175" s="56">
        <v>86.4</v>
      </c>
      <c r="K175" s="56">
        <v>89</v>
      </c>
      <c r="L175" s="56">
        <v>90.2</v>
      </c>
      <c r="M175" s="56">
        <v>89.4</v>
      </c>
      <c r="N175" s="56">
        <v>86.6</v>
      </c>
      <c r="O175" s="56">
        <v>80.7</v>
      </c>
      <c r="P175" s="56">
        <v>73.599999999999994</v>
      </c>
      <c r="Q175" s="56">
        <v>67.599999999999994</v>
      </c>
      <c r="R175" s="57">
        <v>79.400000000000006</v>
      </c>
    </row>
    <row r="176" spans="2:18" x14ac:dyDescent="0.4">
      <c r="B176" s="50"/>
      <c r="C176" s="51" t="s">
        <v>258</v>
      </c>
      <c r="D176" s="49" t="s">
        <v>259</v>
      </c>
      <c r="E176" s="49" t="str">
        <f>B174&amp;C176</f>
        <v>Gainesville, FLV</v>
      </c>
      <c r="F176" s="56">
        <v>6.5</v>
      </c>
      <c r="G176" s="56">
        <v>6.9</v>
      </c>
      <c r="H176" s="56">
        <v>7.4</v>
      </c>
      <c r="I176" s="56">
        <v>7.2</v>
      </c>
      <c r="J176" s="56">
        <v>6.7</v>
      </c>
      <c r="K176" s="56">
        <v>5.6</v>
      </c>
      <c r="L176" s="56">
        <v>5.0999999999999996</v>
      </c>
      <c r="M176" s="56">
        <v>4.9000000000000004</v>
      </c>
      <c r="N176" s="56">
        <v>5.8</v>
      </c>
      <c r="O176" s="56">
        <v>5.8</v>
      </c>
      <c r="P176" s="56">
        <v>6</v>
      </c>
      <c r="Q176" s="56">
        <v>5.8</v>
      </c>
      <c r="R176" s="57">
        <v>6.3</v>
      </c>
    </row>
    <row r="177" spans="2:18" x14ac:dyDescent="0.4">
      <c r="B177" s="50"/>
      <c r="C177" s="51" t="s">
        <v>260</v>
      </c>
      <c r="D177" s="49" t="s">
        <v>261</v>
      </c>
      <c r="E177" s="49" t="str">
        <f>B174&amp;C177</f>
        <v>Gainesville, FLI</v>
      </c>
      <c r="F177" s="56">
        <v>970</v>
      </c>
      <c r="G177" s="56">
        <v>1213</v>
      </c>
      <c r="H177" s="56">
        <v>1549</v>
      </c>
      <c r="I177" s="56">
        <v>1890</v>
      </c>
      <c r="J177" s="56">
        <v>2019</v>
      </c>
      <c r="K177" s="56">
        <v>1865</v>
      </c>
      <c r="L177" s="56">
        <v>1863</v>
      </c>
      <c r="M177" s="56">
        <v>1704</v>
      </c>
      <c r="N177" s="56">
        <v>1484</v>
      </c>
      <c r="O177" s="56">
        <v>1276</v>
      </c>
      <c r="P177" s="56">
        <v>1063</v>
      </c>
      <c r="Q177" s="56">
        <v>887</v>
      </c>
      <c r="R177" s="57">
        <v>1482</v>
      </c>
    </row>
    <row r="178" spans="2:18" x14ac:dyDescent="0.4">
      <c r="B178" s="50"/>
      <c r="C178" s="51" t="s">
        <v>262</v>
      </c>
      <c r="D178" s="49" t="s">
        <v>263</v>
      </c>
      <c r="E178" s="49" t="str">
        <f>B174&amp;C178</f>
        <v>Gainesville, FLPA</v>
      </c>
      <c r="F178" s="58" t="s">
        <v>506</v>
      </c>
      <c r="G178" s="58" t="s">
        <v>506</v>
      </c>
      <c r="H178" s="58" t="s">
        <v>506</v>
      </c>
      <c r="I178" s="58" t="s">
        <v>506</v>
      </c>
      <c r="J178" s="58" t="s">
        <v>506</v>
      </c>
      <c r="K178" s="58" t="s">
        <v>506</v>
      </c>
      <c r="L178" s="58" t="s">
        <v>506</v>
      </c>
      <c r="M178" s="58" t="s">
        <v>506</v>
      </c>
      <c r="N178" s="58" t="s">
        <v>506</v>
      </c>
      <c r="O178" s="58" t="s">
        <v>506</v>
      </c>
      <c r="P178" s="58" t="s">
        <v>506</v>
      </c>
      <c r="Q178" s="58" t="s">
        <v>506</v>
      </c>
      <c r="R178" s="57">
        <v>14.62</v>
      </c>
    </row>
    <row r="179" spans="2:18" x14ac:dyDescent="0.4">
      <c r="B179" s="48" t="s">
        <v>298</v>
      </c>
      <c r="C179" s="51" t="s">
        <v>255</v>
      </c>
      <c r="D179" s="49" t="s">
        <v>256</v>
      </c>
      <c r="E179" s="49" t="str">
        <f>B179&amp;C179</f>
        <v>Jacksonville, FLTAN</v>
      </c>
      <c r="F179" s="56">
        <v>42.9</v>
      </c>
      <c r="G179" s="56">
        <v>45.1</v>
      </c>
      <c r="H179" s="56">
        <v>50.1</v>
      </c>
      <c r="I179" s="56">
        <v>55.5</v>
      </c>
      <c r="J179" s="56">
        <v>63.7</v>
      </c>
      <c r="K179" s="56">
        <v>70.5</v>
      </c>
      <c r="L179" s="56">
        <v>72.900000000000006</v>
      </c>
      <c r="M179" s="56">
        <v>73.099999999999994</v>
      </c>
      <c r="N179" s="56">
        <v>70.099999999999994</v>
      </c>
      <c r="O179" s="56">
        <v>61</v>
      </c>
      <c r="P179" s="56">
        <v>50.8</v>
      </c>
      <c r="Q179" s="56">
        <v>44.4</v>
      </c>
      <c r="R179" s="57">
        <v>58.3</v>
      </c>
    </row>
    <row r="180" spans="2:18" x14ac:dyDescent="0.4">
      <c r="B180" s="50"/>
      <c r="C180" s="51" t="s">
        <v>257</v>
      </c>
      <c r="D180" s="49" t="s">
        <v>256</v>
      </c>
      <c r="E180" s="49" t="str">
        <f>B179&amp;C180</f>
        <v>Jacksonville, FLTAX</v>
      </c>
      <c r="F180" s="56">
        <v>64.5</v>
      </c>
      <c r="G180" s="56">
        <v>67.2</v>
      </c>
      <c r="H180" s="56">
        <v>72.7</v>
      </c>
      <c r="I180" s="56">
        <v>78.3</v>
      </c>
      <c r="J180" s="56">
        <v>84.8</v>
      </c>
      <c r="K180" s="56">
        <v>88.7</v>
      </c>
      <c r="L180" s="56">
        <v>91</v>
      </c>
      <c r="M180" s="56">
        <v>89.6</v>
      </c>
      <c r="N180" s="56">
        <v>85.8</v>
      </c>
      <c r="O180" s="56">
        <v>79.599999999999994</v>
      </c>
      <c r="P180" s="56">
        <v>72.2</v>
      </c>
      <c r="Q180" s="56">
        <v>65.400000000000006</v>
      </c>
      <c r="R180" s="57">
        <v>78.3</v>
      </c>
    </row>
    <row r="181" spans="2:18" x14ac:dyDescent="0.4">
      <c r="B181" s="50"/>
      <c r="C181" s="51" t="s">
        <v>258</v>
      </c>
      <c r="D181" s="49" t="s">
        <v>259</v>
      </c>
      <c r="E181" s="49" t="str">
        <f>B179&amp;C181</f>
        <v>Jacksonville, FLV</v>
      </c>
      <c r="F181" s="56">
        <v>7.2</v>
      </c>
      <c r="G181" s="56">
        <v>7.4</v>
      </c>
      <c r="H181" s="56">
        <v>8.1</v>
      </c>
      <c r="I181" s="56">
        <v>7.6</v>
      </c>
      <c r="J181" s="56">
        <v>7.2</v>
      </c>
      <c r="K181" s="56">
        <v>6.5</v>
      </c>
      <c r="L181" s="56">
        <v>5.8</v>
      </c>
      <c r="M181" s="56">
        <v>5.8</v>
      </c>
      <c r="N181" s="56">
        <v>6.5</v>
      </c>
      <c r="O181" s="56">
        <v>6.3</v>
      </c>
      <c r="P181" s="56">
        <v>6.3</v>
      </c>
      <c r="Q181" s="56">
        <v>6.5</v>
      </c>
      <c r="R181" s="57">
        <v>6.7</v>
      </c>
    </row>
    <row r="182" spans="2:18" x14ac:dyDescent="0.4">
      <c r="B182" s="50"/>
      <c r="C182" s="51" t="s">
        <v>260</v>
      </c>
      <c r="D182" s="49" t="s">
        <v>261</v>
      </c>
      <c r="E182" s="49" t="str">
        <f>B179&amp;C182</f>
        <v>Jacksonville, FLI</v>
      </c>
      <c r="F182" s="56">
        <v>937</v>
      </c>
      <c r="G182" s="56">
        <v>1186</v>
      </c>
      <c r="H182" s="56">
        <v>1522</v>
      </c>
      <c r="I182" s="56">
        <v>1890</v>
      </c>
      <c r="J182" s="56">
        <v>2035</v>
      </c>
      <c r="K182" s="56">
        <v>1911</v>
      </c>
      <c r="L182" s="56">
        <v>1948</v>
      </c>
      <c r="M182" s="56">
        <v>1756</v>
      </c>
      <c r="N182" s="56">
        <v>1466</v>
      </c>
      <c r="O182" s="56">
        <v>1237</v>
      </c>
      <c r="P182" s="56">
        <v>1021</v>
      </c>
      <c r="Q182" s="56">
        <v>846</v>
      </c>
      <c r="R182" s="57">
        <v>1480</v>
      </c>
    </row>
    <row r="183" spans="2:18" x14ac:dyDescent="0.4">
      <c r="B183" s="50"/>
      <c r="C183" s="51" t="s">
        <v>262</v>
      </c>
      <c r="D183" s="49" t="s">
        <v>263</v>
      </c>
      <c r="E183" s="49" t="str">
        <f>B179&amp;C183</f>
        <v>Jacksonville, FLPA</v>
      </c>
      <c r="F183" s="58" t="s">
        <v>506</v>
      </c>
      <c r="G183" s="58" t="s">
        <v>506</v>
      </c>
      <c r="H183" s="58" t="s">
        <v>506</v>
      </c>
      <c r="I183" s="58" t="s">
        <v>506</v>
      </c>
      <c r="J183" s="58" t="s">
        <v>506</v>
      </c>
      <c r="K183" s="58" t="s">
        <v>506</v>
      </c>
      <c r="L183" s="58" t="s">
        <v>506</v>
      </c>
      <c r="M183" s="58" t="s">
        <v>506</v>
      </c>
      <c r="N183" s="58" t="s">
        <v>506</v>
      </c>
      <c r="O183" s="58" t="s">
        <v>506</v>
      </c>
      <c r="P183" s="58" t="s">
        <v>506</v>
      </c>
      <c r="Q183" s="58" t="s">
        <v>506</v>
      </c>
      <c r="R183" s="57">
        <v>14.68</v>
      </c>
    </row>
    <row r="184" spans="2:18" x14ac:dyDescent="0.4">
      <c r="B184" s="48" t="s">
        <v>299</v>
      </c>
      <c r="C184" s="51" t="s">
        <v>255</v>
      </c>
      <c r="D184" s="49" t="s">
        <v>256</v>
      </c>
      <c r="E184" s="49" t="str">
        <f>B184&amp;C184</f>
        <v>Key West, FLTAN</v>
      </c>
      <c r="F184" s="56">
        <v>64.900000000000006</v>
      </c>
      <c r="G184" s="56">
        <v>66.2</v>
      </c>
      <c r="H184" s="56">
        <v>68.7</v>
      </c>
      <c r="I184" s="56">
        <v>72.2</v>
      </c>
      <c r="J184" s="56">
        <v>76.2</v>
      </c>
      <c r="K184" s="56">
        <v>79.400000000000006</v>
      </c>
      <c r="L184" s="56">
        <v>80.599999999999994</v>
      </c>
      <c r="M184" s="56">
        <v>80.5</v>
      </c>
      <c r="N184" s="56">
        <v>79.2</v>
      </c>
      <c r="O184" s="56">
        <v>76.5</v>
      </c>
      <c r="P184" s="56">
        <v>71.8</v>
      </c>
      <c r="Q184" s="56">
        <v>67.099999999999994</v>
      </c>
      <c r="R184" s="57">
        <v>73.599999999999994</v>
      </c>
    </row>
    <row r="185" spans="2:18" x14ac:dyDescent="0.4">
      <c r="B185" s="50"/>
      <c r="C185" s="51" t="s">
        <v>257</v>
      </c>
      <c r="D185" s="49" t="s">
        <v>256</v>
      </c>
      <c r="E185" s="49" t="str">
        <f>B184&amp;C185</f>
        <v>Key West, FLTAX</v>
      </c>
      <c r="F185" s="56">
        <v>74.400000000000006</v>
      </c>
      <c r="G185" s="56">
        <v>75.7</v>
      </c>
      <c r="H185" s="56">
        <v>78.2</v>
      </c>
      <c r="I185" s="56">
        <v>81</v>
      </c>
      <c r="J185" s="56">
        <v>84.6</v>
      </c>
      <c r="K185" s="56">
        <v>87.7</v>
      </c>
      <c r="L185" s="56">
        <v>89</v>
      </c>
      <c r="M185" s="56">
        <v>89.4</v>
      </c>
      <c r="N185" s="56">
        <v>87.7</v>
      </c>
      <c r="O185" s="56">
        <v>84.5</v>
      </c>
      <c r="P185" s="56">
        <v>79.599999999999994</v>
      </c>
      <c r="Q185" s="56">
        <v>75.7</v>
      </c>
      <c r="R185" s="57">
        <v>82.3</v>
      </c>
    </row>
    <row r="186" spans="2:18" x14ac:dyDescent="0.4">
      <c r="B186" s="50"/>
      <c r="C186" s="51" t="s">
        <v>258</v>
      </c>
      <c r="D186" s="49" t="s">
        <v>259</v>
      </c>
      <c r="E186" s="49" t="str">
        <f>B184&amp;C186</f>
        <v>Key West, FLV</v>
      </c>
      <c r="F186" s="56">
        <v>11</v>
      </c>
      <c r="G186" s="56">
        <v>10.5</v>
      </c>
      <c r="H186" s="56">
        <v>11</v>
      </c>
      <c r="I186" s="56">
        <v>11.2</v>
      </c>
      <c r="J186" s="56">
        <v>9.8000000000000007</v>
      </c>
      <c r="K186" s="56">
        <v>8.6999999999999993</v>
      </c>
      <c r="L186" s="56">
        <v>8.5</v>
      </c>
      <c r="M186" s="56">
        <v>8.3000000000000007</v>
      </c>
      <c r="N186" s="56">
        <v>8.6999999999999993</v>
      </c>
      <c r="O186" s="56">
        <v>10.1</v>
      </c>
      <c r="P186" s="56">
        <v>11.2</v>
      </c>
      <c r="Q186" s="56">
        <v>10.5</v>
      </c>
      <c r="R186" s="57">
        <v>10.1</v>
      </c>
    </row>
    <row r="187" spans="2:18" x14ac:dyDescent="0.4">
      <c r="B187" s="50"/>
      <c r="C187" s="51" t="s">
        <v>260</v>
      </c>
      <c r="D187" s="49" t="s">
        <v>261</v>
      </c>
      <c r="E187" s="49" t="str">
        <f>B184&amp;C187</f>
        <v>Key West, FLI</v>
      </c>
      <c r="F187" s="56">
        <v>1206</v>
      </c>
      <c r="G187" s="56">
        <v>1462</v>
      </c>
      <c r="H187" s="56">
        <v>1805</v>
      </c>
      <c r="I187" s="56">
        <v>2069</v>
      </c>
      <c r="J187" s="56">
        <v>2131</v>
      </c>
      <c r="K187" s="56">
        <v>2035</v>
      </c>
      <c r="L187" s="56">
        <v>2041</v>
      </c>
      <c r="M187" s="56">
        <v>1943</v>
      </c>
      <c r="N187" s="56">
        <v>1667</v>
      </c>
      <c r="O187" s="56">
        <v>1465</v>
      </c>
      <c r="P187" s="56">
        <v>1240</v>
      </c>
      <c r="Q187" s="56">
        <v>1098</v>
      </c>
      <c r="R187" s="57">
        <v>1680</v>
      </c>
    </row>
    <row r="188" spans="2:18" x14ac:dyDescent="0.4">
      <c r="B188" s="50"/>
      <c r="C188" s="51" t="s">
        <v>262</v>
      </c>
      <c r="D188" s="49" t="s">
        <v>263</v>
      </c>
      <c r="E188" s="49" t="str">
        <f>B184&amp;C188</f>
        <v>Key West, FLPA</v>
      </c>
      <c r="F188" s="58" t="s">
        <v>506</v>
      </c>
      <c r="G188" s="58" t="s">
        <v>506</v>
      </c>
      <c r="H188" s="58" t="s">
        <v>506</v>
      </c>
      <c r="I188" s="58" t="s">
        <v>506</v>
      </c>
      <c r="J188" s="58" t="s">
        <v>506</v>
      </c>
      <c r="K188" s="58" t="s">
        <v>506</v>
      </c>
      <c r="L188" s="58" t="s">
        <v>506</v>
      </c>
      <c r="M188" s="58" t="s">
        <v>506</v>
      </c>
      <c r="N188" s="58" t="s">
        <v>506</v>
      </c>
      <c r="O188" s="58" t="s">
        <v>506</v>
      </c>
      <c r="P188" s="58" t="s">
        <v>506</v>
      </c>
      <c r="Q188" s="58" t="s">
        <v>506</v>
      </c>
      <c r="R188" s="57">
        <v>14.69</v>
      </c>
    </row>
    <row r="189" spans="2:18" x14ac:dyDescent="0.4">
      <c r="B189" s="48" t="s">
        <v>300</v>
      </c>
      <c r="C189" s="51" t="s">
        <v>255</v>
      </c>
      <c r="D189" s="49" t="s">
        <v>256</v>
      </c>
      <c r="E189" s="49" t="str">
        <f>B189&amp;C189</f>
        <v>Miami, FLTAN</v>
      </c>
      <c r="F189" s="56">
        <v>61.2</v>
      </c>
      <c r="G189" s="56">
        <v>62.6</v>
      </c>
      <c r="H189" s="56">
        <v>65.8</v>
      </c>
      <c r="I189" s="56">
        <v>69.400000000000006</v>
      </c>
      <c r="J189" s="56">
        <v>73.900000000000006</v>
      </c>
      <c r="K189" s="56">
        <v>76.599999999999994</v>
      </c>
      <c r="L189" s="56">
        <v>78.099999999999994</v>
      </c>
      <c r="M189" s="56">
        <v>78.2</v>
      </c>
      <c r="N189" s="56">
        <v>77.3</v>
      </c>
      <c r="O189" s="56">
        <v>74.3</v>
      </c>
      <c r="P189" s="56">
        <v>68.400000000000006</v>
      </c>
      <c r="Q189" s="56">
        <v>63.6</v>
      </c>
      <c r="R189" s="57">
        <v>70.8</v>
      </c>
    </row>
    <row r="190" spans="2:18" x14ac:dyDescent="0.4">
      <c r="B190" s="50"/>
      <c r="C190" s="51" t="s">
        <v>257</v>
      </c>
      <c r="D190" s="49" t="s">
        <v>256</v>
      </c>
      <c r="E190" s="49" t="str">
        <f>B189&amp;C190</f>
        <v>Miami, FLTAX</v>
      </c>
      <c r="F190" s="56">
        <v>75.5</v>
      </c>
      <c r="G190" s="56">
        <v>77</v>
      </c>
      <c r="H190" s="56">
        <v>79.599999999999994</v>
      </c>
      <c r="I190" s="56">
        <v>82.4</v>
      </c>
      <c r="J190" s="56">
        <v>86.2</v>
      </c>
      <c r="K190" s="56">
        <v>88.4</v>
      </c>
      <c r="L190" s="56">
        <v>89.9</v>
      </c>
      <c r="M190" s="56">
        <v>90</v>
      </c>
      <c r="N190" s="56">
        <v>88.2</v>
      </c>
      <c r="O190" s="56">
        <v>85.1</v>
      </c>
      <c r="P190" s="56">
        <v>80.5</v>
      </c>
      <c r="Q190" s="56">
        <v>76.900000000000006</v>
      </c>
      <c r="R190" s="57">
        <v>83.3</v>
      </c>
    </row>
    <row r="191" spans="2:18" x14ac:dyDescent="0.4">
      <c r="B191" s="50"/>
      <c r="C191" s="51" t="s">
        <v>258</v>
      </c>
      <c r="D191" s="49" t="s">
        <v>259</v>
      </c>
      <c r="E191" s="49" t="str">
        <f>B189&amp;C191</f>
        <v>Miami, FLV</v>
      </c>
      <c r="F191" s="56">
        <v>8.5</v>
      </c>
      <c r="G191" s="56">
        <v>8.5</v>
      </c>
      <c r="H191" s="56">
        <v>9.6</v>
      </c>
      <c r="I191" s="56">
        <v>9.8000000000000007</v>
      </c>
      <c r="J191" s="56">
        <v>8.6999999999999993</v>
      </c>
      <c r="K191" s="56">
        <v>7.4</v>
      </c>
      <c r="L191" s="56">
        <v>7.2</v>
      </c>
      <c r="M191" s="56">
        <v>6.9</v>
      </c>
      <c r="N191" s="56">
        <v>7.4</v>
      </c>
      <c r="O191" s="56">
        <v>8.3000000000000007</v>
      </c>
      <c r="P191" s="56">
        <v>8.5</v>
      </c>
      <c r="Q191" s="56">
        <v>8.1</v>
      </c>
      <c r="R191" s="57">
        <v>8.3000000000000007</v>
      </c>
    </row>
    <row r="192" spans="2:18" x14ac:dyDescent="0.4">
      <c r="B192" s="50"/>
      <c r="C192" s="51" t="s">
        <v>260</v>
      </c>
      <c r="D192" s="49" t="s">
        <v>261</v>
      </c>
      <c r="E192" s="49" t="str">
        <f>B189&amp;C192</f>
        <v>Miami, FLI</v>
      </c>
      <c r="F192" s="56">
        <v>1118</v>
      </c>
      <c r="G192" s="56">
        <v>1346</v>
      </c>
      <c r="H192" s="56">
        <v>1625</v>
      </c>
      <c r="I192" s="56">
        <v>1875</v>
      </c>
      <c r="J192" s="56">
        <v>1938</v>
      </c>
      <c r="K192" s="56">
        <v>1737</v>
      </c>
      <c r="L192" s="56">
        <v>1813</v>
      </c>
      <c r="M192" s="56">
        <v>1701</v>
      </c>
      <c r="N192" s="56">
        <v>1456</v>
      </c>
      <c r="O192" s="56">
        <v>1309</v>
      </c>
      <c r="P192" s="56">
        <v>1113</v>
      </c>
      <c r="Q192" s="56">
        <v>1015</v>
      </c>
      <c r="R192" s="57">
        <v>1504</v>
      </c>
    </row>
    <row r="193" spans="2:18" x14ac:dyDescent="0.4">
      <c r="B193" s="50"/>
      <c r="C193" s="51" t="s">
        <v>262</v>
      </c>
      <c r="D193" s="49" t="s">
        <v>263</v>
      </c>
      <c r="E193" s="49" t="str">
        <f>B189&amp;C193</f>
        <v>Miami, FLPA</v>
      </c>
      <c r="F193" s="58" t="s">
        <v>506</v>
      </c>
      <c r="G193" s="58" t="s">
        <v>506</v>
      </c>
      <c r="H193" s="58" t="s">
        <v>506</v>
      </c>
      <c r="I193" s="58" t="s">
        <v>506</v>
      </c>
      <c r="J193" s="58" t="s">
        <v>506</v>
      </c>
      <c r="K193" s="58" t="s">
        <v>506</v>
      </c>
      <c r="L193" s="58" t="s">
        <v>506</v>
      </c>
      <c r="M193" s="58" t="s">
        <v>506</v>
      </c>
      <c r="N193" s="58" t="s">
        <v>506</v>
      </c>
      <c r="O193" s="58" t="s">
        <v>506</v>
      </c>
      <c r="P193" s="58" t="s">
        <v>506</v>
      </c>
      <c r="Q193" s="58" t="s">
        <v>506</v>
      </c>
      <c r="R193" s="57">
        <v>14.68</v>
      </c>
    </row>
    <row r="194" spans="2:18" x14ac:dyDescent="0.4">
      <c r="B194" s="48" t="s">
        <v>301</v>
      </c>
      <c r="C194" s="51" t="s">
        <v>255</v>
      </c>
      <c r="D194" s="49" t="s">
        <v>256</v>
      </c>
      <c r="E194" s="49" t="str">
        <f>B194&amp;C194</f>
        <v>Orlando, FLTAN</v>
      </c>
      <c r="F194" s="56">
        <v>50.5</v>
      </c>
      <c r="G194" s="56">
        <v>52.5</v>
      </c>
      <c r="H194" s="56">
        <v>56.5</v>
      </c>
      <c r="I194" s="56">
        <v>61</v>
      </c>
      <c r="J194" s="56">
        <v>67.3</v>
      </c>
      <c r="K194" s="56">
        <v>72.400000000000006</v>
      </c>
      <c r="L194" s="56">
        <v>74</v>
      </c>
      <c r="M194" s="56">
        <v>74.400000000000006</v>
      </c>
      <c r="N194" s="56">
        <v>73.2</v>
      </c>
      <c r="O194" s="56">
        <v>66.8</v>
      </c>
      <c r="P194" s="56">
        <v>58.7</v>
      </c>
      <c r="Q194" s="56">
        <v>52.9</v>
      </c>
      <c r="R194" s="57">
        <v>63.4</v>
      </c>
    </row>
    <row r="195" spans="2:18" x14ac:dyDescent="0.4">
      <c r="B195" s="50"/>
      <c r="C195" s="51" t="s">
        <v>257</v>
      </c>
      <c r="D195" s="49" t="s">
        <v>256</v>
      </c>
      <c r="E195" s="49" t="str">
        <f>B194&amp;C195</f>
        <v>Orlando, FLTAX</v>
      </c>
      <c r="F195" s="56">
        <v>70.7</v>
      </c>
      <c r="G195" s="56">
        <v>72.8</v>
      </c>
      <c r="H195" s="56">
        <v>77.2</v>
      </c>
      <c r="I195" s="56">
        <v>81.7</v>
      </c>
      <c r="J195" s="56">
        <v>87.2</v>
      </c>
      <c r="K195" s="56">
        <v>89.5</v>
      </c>
      <c r="L195" s="56">
        <v>90.8</v>
      </c>
      <c r="M195" s="56">
        <v>90.5</v>
      </c>
      <c r="N195" s="56">
        <v>88.3</v>
      </c>
      <c r="O195" s="56">
        <v>83.4</v>
      </c>
      <c r="P195" s="56">
        <v>77</v>
      </c>
      <c r="Q195" s="56">
        <v>71.8</v>
      </c>
      <c r="R195" s="57">
        <v>81.8</v>
      </c>
    </row>
    <row r="196" spans="2:18" x14ac:dyDescent="0.4">
      <c r="B196" s="50"/>
      <c r="C196" s="51" t="s">
        <v>258</v>
      </c>
      <c r="D196" s="49" t="s">
        <v>259</v>
      </c>
      <c r="E196" s="49" t="str">
        <f>B194&amp;C196</f>
        <v>Orlando, FLV</v>
      </c>
      <c r="F196" s="56">
        <v>8.3000000000000007</v>
      </c>
      <c r="G196" s="56">
        <v>8.6999999999999993</v>
      </c>
      <c r="H196" s="56">
        <v>9.1999999999999993</v>
      </c>
      <c r="I196" s="56">
        <v>8.6999999999999993</v>
      </c>
      <c r="J196" s="56">
        <v>8.1</v>
      </c>
      <c r="K196" s="56">
        <v>6.9</v>
      </c>
      <c r="L196" s="56">
        <v>6.3</v>
      </c>
      <c r="M196" s="56">
        <v>6.5</v>
      </c>
      <c r="N196" s="56">
        <v>7.2</v>
      </c>
      <c r="O196" s="56">
        <v>7.8</v>
      </c>
      <c r="P196" s="56">
        <v>8.1</v>
      </c>
      <c r="Q196" s="56">
        <v>7.8</v>
      </c>
      <c r="R196" s="57">
        <v>7.8</v>
      </c>
    </row>
    <row r="197" spans="2:18" x14ac:dyDescent="0.4">
      <c r="B197" s="50"/>
      <c r="C197" s="51" t="s">
        <v>260</v>
      </c>
      <c r="D197" s="49" t="s">
        <v>261</v>
      </c>
      <c r="E197" s="49" t="str">
        <f>B194&amp;C197</f>
        <v>Orlando, FLI</v>
      </c>
      <c r="F197" s="56">
        <v>1043</v>
      </c>
      <c r="G197" s="56">
        <v>1257</v>
      </c>
      <c r="H197" s="56">
        <v>1588</v>
      </c>
      <c r="I197" s="56">
        <v>1904</v>
      </c>
      <c r="J197" s="56">
        <v>2021</v>
      </c>
      <c r="K197" s="56">
        <v>1849</v>
      </c>
      <c r="L197" s="56">
        <v>1854</v>
      </c>
      <c r="M197" s="56">
        <v>1726</v>
      </c>
      <c r="N197" s="56">
        <v>1506</v>
      </c>
      <c r="O197" s="56">
        <v>1328</v>
      </c>
      <c r="P197" s="56">
        <v>1096</v>
      </c>
      <c r="Q197" s="56">
        <v>944</v>
      </c>
      <c r="R197" s="57">
        <v>1510</v>
      </c>
    </row>
    <row r="198" spans="2:18" x14ac:dyDescent="0.4">
      <c r="B198" s="50"/>
      <c r="C198" s="51" t="s">
        <v>262</v>
      </c>
      <c r="D198" s="49" t="s">
        <v>263</v>
      </c>
      <c r="E198" s="49" t="str">
        <f>B194&amp;C198</f>
        <v>Orlando, FLPA</v>
      </c>
      <c r="F198" s="58" t="s">
        <v>506</v>
      </c>
      <c r="G198" s="58" t="s">
        <v>506</v>
      </c>
      <c r="H198" s="58" t="s">
        <v>506</v>
      </c>
      <c r="I198" s="58" t="s">
        <v>506</v>
      </c>
      <c r="J198" s="58" t="s">
        <v>506</v>
      </c>
      <c r="K198" s="58" t="s">
        <v>506</v>
      </c>
      <c r="L198" s="58" t="s">
        <v>506</v>
      </c>
      <c r="M198" s="58" t="s">
        <v>506</v>
      </c>
      <c r="N198" s="58" t="s">
        <v>506</v>
      </c>
      <c r="O198" s="58" t="s">
        <v>506</v>
      </c>
      <c r="P198" s="58" t="s">
        <v>506</v>
      </c>
      <c r="Q198" s="58" t="s">
        <v>506</v>
      </c>
      <c r="R198" s="57">
        <v>14.65</v>
      </c>
    </row>
    <row r="199" spans="2:18" x14ac:dyDescent="0.4">
      <c r="B199" s="48" t="s">
        <v>302</v>
      </c>
      <c r="C199" s="51" t="s">
        <v>255</v>
      </c>
      <c r="D199" s="49" t="s">
        <v>256</v>
      </c>
      <c r="E199" s="49" t="str">
        <f>B199&amp;C199</f>
        <v>Pensacola, FLTAN</v>
      </c>
      <c r="F199" s="56">
        <v>43.5</v>
      </c>
      <c r="G199" s="56">
        <v>46</v>
      </c>
      <c r="H199" s="56">
        <v>52</v>
      </c>
      <c r="I199" s="56">
        <v>58.6</v>
      </c>
      <c r="J199" s="56">
        <v>67</v>
      </c>
      <c r="K199" s="56">
        <v>73.3</v>
      </c>
      <c r="L199" s="56">
        <v>75.2</v>
      </c>
      <c r="M199" s="56">
        <v>74.8</v>
      </c>
      <c r="N199" s="56">
        <v>71.099999999999994</v>
      </c>
      <c r="O199" s="56">
        <v>61.1</v>
      </c>
      <c r="P199" s="56">
        <v>51</v>
      </c>
      <c r="Q199" s="56">
        <v>44.6</v>
      </c>
      <c r="R199" s="57">
        <v>59.9</v>
      </c>
    </row>
    <row r="200" spans="2:18" x14ac:dyDescent="0.4">
      <c r="B200" s="50"/>
      <c r="C200" s="51" t="s">
        <v>257</v>
      </c>
      <c r="D200" s="49" t="s">
        <v>256</v>
      </c>
      <c r="E200" s="49" t="str">
        <f>B199&amp;C200</f>
        <v>Pensacola, FLTAX</v>
      </c>
      <c r="F200" s="56">
        <v>61</v>
      </c>
      <c r="G200" s="56">
        <v>63.9</v>
      </c>
      <c r="H200" s="56">
        <v>69.8</v>
      </c>
      <c r="I200" s="56">
        <v>75.599999999999994</v>
      </c>
      <c r="J200" s="56">
        <v>83.4</v>
      </c>
      <c r="K200" s="56">
        <v>88.4</v>
      </c>
      <c r="L200" s="56">
        <v>89.9</v>
      </c>
      <c r="M200" s="56">
        <v>89.4</v>
      </c>
      <c r="N200" s="56">
        <v>86.6</v>
      </c>
      <c r="O200" s="56">
        <v>79</v>
      </c>
      <c r="P200" s="56">
        <v>70.099999999999994</v>
      </c>
      <c r="Q200" s="56">
        <v>62.6</v>
      </c>
      <c r="R200" s="57">
        <v>76.599999999999994</v>
      </c>
    </row>
    <row r="201" spans="2:18" x14ac:dyDescent="0.4">
      <c r="B201" s="50"/>
      <c r="C201" s="51" t="s">
        <v>258</v>
      </c>
      <c r="D201" s="49" t="s">
        <v>259</v>
      </c>
      <c r="E201" s="49" t="str">
        <f>B199&amp;C201</f>
        <v>Pensacola, FLV</v>
      </c>
      <c r="F201" s="56">
        <v>8.6999999999999993</v>
      </c>
      <c r="G201" s="56">
        <v>8.6999999999999993</v>
      </c>
      <c r="H201" s="56">
        <v>9.1999999999999993</v>
      </c>
      <c r="I201" s="56">
        <v>9.1999999999999993</v>
      </c>
      <c r="J201" s="56">
        <v>8.3000000000000007</v>
      </c>
      <c r="K201" s="56">
        <v>7.2</v>
      </c>
      <c r="L201" s="56">
        <v>6.5</v>
      </c>
      <c r="M201" s="56">
        <v>6.3</v>
      </c>
      <c r="N201" s="56">
        <v>7.2</v>
      </c>
      <c r="O201" s="56">
        <v>7.4</v>
      </c>
      <c r="P201" s="56">
        <v>7.8</v>
      </c>
      <c r="Q201" s="56">
        <v>8.1</v>
      </c>
      <c r="R201" s="57">
        <v>7.8</v>
      </c>
    </row>
    <row r="202" spans="2:18" x14ac:dyDescent="0.4">
      <c r="B202" s="50"/>
      <c r="C202" s="51" t="s">
        <v>260</v>
      </c>
      <c r="D202" s="49" t="s">
        <v>261</v>
      </c>
      <c r="E202" s="49" t="str">
        <f>B199&amp;C202</f>
        <v>Pensacola, FLI</v>
      </c>
      <c r="F202" s="56">
        <v>890</v>
      </c>
      <c r="G202" s="56">
        <v>1144</v>
      </c>
      <c r="H202" s="56">
        <v>1504</v>
      </c>
      <c r="I202" s="56">
        <v>1813</v>
      </c>
      <c r="J202" s="56">
        <v>2038</v>
      </c>
      <c r="K202" s="56">
        <v>2019</v>
      </c>
      <c r="L202" s="56">
        <v>1911</v>
      </c>
      <c r="M202" s="56">
        <v>1783</v>
      </c>
      <c r="N202" s="56">
        <v>1594</v>
      </c>
      <c r="O202" s="56">
        <v>1327</v>
      </c>
      <c r="P202" s="56">
        <v>1040</v>
      </c>
      <c r="Q202" s="56">
        <v>830</v>
      </c>
      <c r="R202" s="57">
        <v>1491</v>
      </c>
    </row>
    <row r="203" spans="2:18" x14ac:dyDescent="0.4">
      <c r="B203" s="50"/>
      <c r="C203" s="51" t="s">
        <v>262</v>
      </c>
      <c r="D203" s="49" t="s">
        <v>263</v>
      </c>
      <c r="E203" s="49" t="str">
        <f>B199&amp;C203</f>
        <v>Pensacola, FLPA</v>
      </c>
      <c r="F203" s="58" t="s">
        <v>506</v>
      </c>
      <c r="G203" s="58" t="s">
        <v>506</v>
      </c>
      <c r="H203" s="58" t="s">
        <v>506</v>
      </c>
      <c r="I203" s="58" t="s">
        <v>506</v>
      </c>
      <c r="J203" s="58" t="s">
        <v>506</v>
      </c>
      <c r="K203" s="58" t="s">
        <v>506</v>
      </c>
      <c r="L203" s="58" t="s">
        <v>506</v>
      </c>
      <c r="M203" s="58" t="s">
        <v>506</v>
      </c>
      <c r="N203" s="58" t="s">
        <v>506</v>
      </c>
      <c r="O203" s="58" t="s">
        <v>506</v>
      </c>
      <c r="P203" s="58" t="s">
        <v>506</v>
      </c>
      <c r="Q203" s="58" t="s">
        <v>506</v>
      </c>
      <c r="R203" s="57">
        <v>14.63</v>
      </c>
    </row>
    <row r="204" spans="2:18" x14ac:dyDescent="0.4">
      <c r="B204" s="48" t="s">
        <v>303</v>
      </c>
      <c r="C204" s="51" t="s">
        <v>255</v>
      </c>
      <c r="D204" s="49" t="s">
        <v>256</v>
      </c>
      <c r="E204" s="49" t="str">
        <f>B204&amp;C204</f>
        <v>Tallahassee, FLTAN</v>
      </c>
      <c r="F204" s="56">
        <v>40.5</v>
      </c>
      <c r="G204" s="56">
        <v>42.4</v>
      </c>
      <c r="H204" s="56">
        <v>47.9</v>
      </c>
      <c r="I204" s="56">
        <v>53.7</v>
      </c>
      <c r="J204" s="56">
        <v>62.8</v>
      </c>
      <c r="K204" s="56">
        <v>70.3</v>
      </c>
      <c r="L204" s="56">
        <v>72.8</v>
      </c>
      <c r="M204" s="56">
        <v>72.8</v>
      </c>
      <c r="N204" s="56">
        <v>69.099999999999994</v>
      </c>
      <c r="O204" s="56">
        <v>58.2</v>
      </c>
      <c r="P204" s="56">
        <v>47.6</v>
      </c>
      <c r="Q204" s="56">
        <v>41.5</v>
      </c>
      <c r="R204" s="57">
        <v>56.6</v>
      </c>
    </row>
    <row r="205" spans="2:18" x14ac:dyDescent="0.4">
      <c r="B205" s="50"/>
      <c r="C205" s="51" t="s">
        <v>257</v>
      </c>
      <c r="D205" s="49" t="s">
        <v>256</v>
      </c>
      <c r="E205" s="49" t="str">
        <f>B204&amp;C205</f>
        <v>Tallahassee, FLTAX</v>
      </c>
      <c r="F205" s="56">
        <v>63.6</v>
      </c>
      <c r="G205" s="56">
        <v>66.8</v>
      </c>
      <c r="H205" s="56">
        <v>73.3</v>
      </c>
      <c r="I205" s="56">
        <v>79.400000000000006</v>
      </c>
      <c r="J205" s="56">
        <v>86.7</v>
      </c>
      <c r="K205" s="56">
        <v>90.1</v>
      </c>
      <c r="L205" s="56">
        <v>91.6</v>
      </c>
      <c r="M205" s="56">
        <v>90.9</v>
      </c>
      <c r="N205" s="56">
        <v>87.9</v>
      </c>
      <c r="O205" s="56">
        <v>80.900000000000006</v>
      </c>
      <c r="P205" s="56">
        <v>72</v>
      </c>
      <c r="Q205" s="56">
        <v>64.7</v>
      </c>
      <c r="R205" s="57">
        <v>79</v>
      </c>
    </row>
    <row r="206" spans="2:18" x14ac:dyDescent="0.4">
      <c r="B206" s="50"/>
      <c r="C206" s="51" t="s">
        <v>258</v>
      </c>
      <c r="D206" s="49" t="s">
        <v>259</v>
      </c>
      <c r="E206" s="49" t="str">
        <f>B204&amp;C206</f>
        <v>Tallahassee, FLV</v>
      </c>
      <c r="F206" s="56">
        <v>5.8</v>
      </c>
      <c r="G206" s="56">
        <v>6.3</v>
      </c>
      <c r="H206" s="56">
        <v>6.5</v>
      </c>
      <c r="I206" s="56">
        <v>6.3</v>
      </c>
      <c r="J206" s="56">
        <v>6</v>
      </c>
      <c r="K206" s="56">
        <v>5.0999999999999996</v>
      </c>
      <c r="L206" s="56">
        <v>4.5</v>
      </c>
      <c r="M206" s="56">
        <v>4.7</v>
      </c>
      <c r="N206" s="56">
        <v>5.6</v>
      </c>
      <c r="O206" s="56">
        <v>5.4</v>
      </c>
      <c r="P206" s="56">
        <v>5.4</v>
      </c>
      <c r="Q206" s="56">
        <v>5.4</v>
      </c>
      <c r="R206" s="57">
        <v>5.6</v>
      </c>
    </row>
    <row r="207" spans="2:18" x14ac:dyDescent="0.4">
      <c r="B207" s="50"/>
      <c r="C207" s="51" t="s">
        <v>260</v>
      </c>
      <c r="D207" s="49" t="s">
        <v>261</v>
      </c>
      <c r="E207" s="49" t="str">
        <f>B204&amp;C207</f>
        <v>Tallahassee, FLI</v>
      </c>
      <c r="F207" s="56">
        <v>933</v>
      </c>
      <c r="G207" s="56">
        <v>1195</v>
      </c>
      <c r="H207" s="56">
        <v>1553</v>
      </c>
      <c r="I207" s="56">
        <v>1904</v>
      </c>
      <c r="J207" s="56">
        <v>2031</v>
      </c>
      <c r="K207" s="56">
        <v>1925</v>
      </c>
      <c r="L207" s="56">
        <v>1866</v>
      </c>
      <c r="M207" s="56">
        <v>1764</v>
      </c>
      <c r="N207" s="56">
        <v>1565</v>
      </c>
      <c r="O207" s="56">
        <v>1327</v>
      </c>
      <c r="P207" s="56">
        <v>1070</v>
      </c>
      <c r="Q207" s="56">
        <v>872</v>
      </c>
      <c r="R207" s="57">
        <v>1500</v>
      </c>
    </row>
    <row r="208" spans="2:18" x14ac:dyDescent="0.4">
      <c r="B208" s="50"/>
      <c r="C208" s="51" t="s">
        <v>262</v>
      </c>
      <c r="D208" s="49" t="s">
        <v>263</v>
      </c>
      <c r="E208" s="49" t="str">
        <f>B204&amp;C208</f>
        <v>Tallahassee, FLPA</v>
      </c>
      <c r="F208" s="58" t="s">
        <v>506</v>
      </c>
      <c r="G208" s="58" t="s">
        <v>506</v>
      </c>
      <c r="H208" s="58" t="s">
        <v>506</v>
      </c>
      <c r="I208" s="58" t="s">
        <v>506</v>
      </c>
      <c r="J208" s="58" t="s">
        <v>506</v>
      </c>
      <c r="K208" s="58" t="s">
        <v>506</v>
      </c>
      <c r="L208" s="58" t="s">
        <v>506</v>
      </c>
      <c r="M208" s="58" t="s">
        <v>506</v>
      </c>
      <c r="N208" s="58" t="s">
        <v>506</v>
      </c>
      <c r="O208" s="58" t="s">
        <v>506</v>
      </c>
      <c r="P208" s="58" t="s">
        <v>506</v>
      </c>
      <c r="Q208" s="58" t="s">
        <v>506</v>
      </c>
      <c r="R208" s="57">
        <v>14.65</v>
      </c>
    </row>
    <row r="209" spans="2:18" x14ac:dyDescent="0.4">
      <c r="B209" s="48" t="s">
        <v>304</v>
      </c>
      <c r="C209" s="51" t="s">
        <v>255</v>
      </c>
      <c r="D209" s="49" t="s">
        <v>256</v>
      </c>
      <c r="E209" s="49" t="str">
        <f>B209&amp;C209</f>
        <v>Tampa, FLTAN</v>
      </c>
      <c r="F209" s="56">
        <v>52.3</v>
      </c>
      <c r="G209" s="56">
        <v>54.1</v>
      </c>
      <c r="H209" s="56">
        <v>58.5</v>
      </c>
      <c r="I209" s="56">
        <v>63.5</v>
      </c>
      <c r="J209" s="56">
        <v>70.2</v>
      </c>
      <c r="K209" s="56">
        <v>74.8</v>
      </c>
      <c r="L209" s="56">
        <v>76.2</v>
      </c>
      <c r="M209" s="56">
        <v>76.2</v>
      </c>
      <c r="N209" s="56">
        <v>74.599999999999994</v>
      </c>
      <c r="O209" s="56">
        <v>68.2</v>
      </c>
      <c r="P209" s="56">
        <v>59.9</v>
      </c>
      <c r="Q209" s="56">
        <v>54.3</v>
      </c>
      <c r="R209" s="57">
        <v>65.2</v>
      </c>
    </row>
    <row r="210" spans="2:18" x14ac:dyDescent="0.4">
      <c r="B210" s="50"/>
      <c r="C210" s="51" t="s">
        <v>257</v>
      </c>
      <c r="D210" s="49" t="s">
        <v>256</v>
      </c>
      <c r="E210" s="49" t="str">
        <f>B209&amp;C210</f>
        <v>Tampa, FLTAX</v>
      </c>
      <c r="F210" s="56">
        <v>69.8</v>
      </c>
      <c r="G210" s="56">
        <v>71.599999999999994</v>
      </c>
      <c r="H210" s="56">
        <v>75.900000000000006</v>
      </c>
      <c r="I210" s="56">
        <v>80.8</v>
      </c>
      <c r="J210" s="56">
        <v>86.7</v>
      </c>
      <c r="K210" s="56">
        <v>89.1</v>
      </c>
      <c r="L210" s="56">
        <v>89.5</v>
      </c>
      <c r="M210" s="56">
        <v>89.6</v>
      </c>
      <c r="N210" s="56">
        <v>88.4</v>
      </c>
      <c r="O210" s="56">
        <v>83.8</v>
      </c>
      <c r="P210" s="56">
        <v>77.099999999999994</v>
      </c>
      <c r="Q210" s="56">
        <v>71.400000000000006</v>
      </c>
      <c r="R210" s="57">
        <v>81.2</v>
      </c>
    </row>
    <row r="211" spans="2:18" x14ac:dyDescent="0.4">
      <c r="B211" s="50"/>
      <c r="C211" s="51" t="s">
        <v>258</v>
      </c>
      <c r="D211" s="49" t="s">
        <v>259</v>
      </c>
      <c r="E211" s="49" t="str">
        <f>B209&amp;C211</f>
        <v>Tampa, FLV</v>
      </c>
      <c r="F211" s="56">
        <v>7.2</v>
      </c>
      <c r="G211" s="56">
        <v>7.4</v>
      </c>
      <c r="H211" s="56">
        <v>8.1</v>
      </c>
      <c r="I211" s="56">
        <v>7.8</v>
      </c>
      <c r="J211" s="56">
        <v>7.2</v>
      </c>
      <c r="K211" s="56">
        <v>6.5</v>
      </c>
      <c r="L211" s="56">
        <v>5.6</v>
      </c>
      <c r="M211" s="56">
        <v>5.6</v>
      </c>
      <c r="N211" s="56">
        <v>6.3</v>
      </c>
      <c r="O211" s="56">
        <v>6.7</v>
      </c>
      <c r="P211" s="56">
        <v>6.9</v>
      </c>
      <c r="Q211" s="56">
        <v>6.7</v>
      </c>
      <c r="R211" s="57">
        <v>6.7</v>
      </c>
    </row>
    <row r="212" spans="2:18" x14ac:dyDescent="0.4">
      <c r="B212" s="50"/>
      <c r="C212" s="51" t="s">
        <v>260</v>
      </c>
      <c r="D212" s="49" t="s">
        <v>261</v>
      </c>
      <c r="E212" s="49" t="str">
        <f>B209&amp;C212</f>
        <v>Tampa, FLI</v>
      </c>
      <c r="F212" s="56">
        <v>1073</v>
      </c>
      <c r="G212" s="56">
        <v>1294</v>
      </c>
      <c r="H212" s="56">
        <v>1656</v>
      </c>
      <c r="I212" s="56">
        <v>1991</v>
      </c>
      <c r="J212" s="56">
        <v>2124</v>
      </c>
      <c r="K212" s="56">
        <v>1962</v>
      </c>
      <c r="L212" s="56">
        <v>1851</v>
      </c>
      <c r="M212" s="56">
        <v>1732</v>
      </c>
      <c r="N212" s="56">
        <v>1561</v>
      </c>
      <c r="O212" s="56">
        <v>1394</v>
      </c>
      <c r="P212" s="56">
        <v>1158</v>
      </c>
      <c r="Q212" s="56">
        <v>990</v>
      </c>
      <c r="R212" s="57">
        <v>1566</v>
      </c>
    </row>
    <row r="213" spans="2:18" x14ac:dyDescent="0.4">
      <c r="B213" s="50"/>
      <c r="C213" s="51" t="s">
        <v>262</v>
      </c>
      <c r="D213" s="49" t="s">
        <v>263</v>
      </c>
      <c r="E213" s="49" t="str">
        <f>B209&amp;C213</f>
        <v>Tampa, FLPA</v>
      </c>
      <c r="F213" s="58" t="s">
        <v>506</v>
      </c>
      <c r="G213" s="58" t="s">
        <v>506</v>
      </c>
      <c r="H213" s="58" t="s">
        <v>506</v>
      </c>
      <c r="I213" s="58" t="s">
        <v>506</v>
      </c>
      <c r="J213" s="58" t="s">
        <v>506</v>
      </c>
      <c r="K213" s="58" t="s">
        <v>506</v>
      </c>
      <c r="L213" s="58" t="s">
        <v>506</v>
      </c>
      <c r="M213" s="58" t="s">
        <v>506</v>
      </c>
      <c r="N213" s="58" t="s">
        <v>506</v>
      </c>
      <c r="O213" s="58" t="s">
        <v>506</v>
      </c>
      <c r="P213" s="58" t="s">
        <v>506</v>
      </c>
      <c r="Q213" s="58" t="s">
        <v>506</v>
      </c>
      <c r="R213" s="57">
        <v>14.68</v>
      </c>
    </row>
    <row r="214" spans="2:18" x14ac:dyDescent="0.4">
      <c r="B214" s="48" t="s">
        <v>305</v>
      </c>
      <c r="C214" s="51" t="s">
        <v>255</v>
      </c>
      <c r="D214" s="49" t="s">
        <v>256</v>
      </c>
      <c r="E214" s="49" t="str">
        <f>B214&amp;C214</f>
        <v>Vero Beach, FLTAN</v>
      </c>
      <c r="F214" s="56">
        <v>52.7</v>
      </c>
      <c r="G214" s="56">
        <v>54.2</v>
      </c>
      <c r="H214" s="56">
        <v>58.2</v>
      </c>
      <c r="I214" s="56">
        <v>62.3</v>
      </c>
      <c r="J214" s="56">
        <v>68.5</v>
      </c>
      <c r="K214" s="56">
        <v>72.599999999999994</v>
      </c>
      <c r="L214" s="56">
        <v>73.900000000000006</v>
      </c>
      <c r="M214" s="56">
        <v>73.900000000000006</v>
      </c>
      <c r="N214" s="56">
        <v>73.900000000000006</v>
      </c>
      <c r="O214" s="56">
        <v>69.599999999999994</v>
      </c>
      <c r="P214" s="56">
        <v>62</v>
      </c>
      <c r="Q214" s="56">
        <v>56.4</v>
      </c>
      <c r="R214" s="57">
        <v>64.900000000000006</v>
      </c>
    </row>
    <row r="215" spans="2:18" x14ac:dyDescent="0.4">
      <c r="B215" s="50"/>
      <c r="C215" s="51" t="s">
        <v>257</v>
      </c>
      <c r="D215" s="49" t="s">
        <v>256</v>
      </c>
      <c r="E215" s="49" t="str">
        <f>B214&amp;C215</f>
        <v>Vero Beach, FLTAX</v>
      </c>
      <c r="F215" s="56">
        <v>72.3</v>
      </c>
      <c r="G215" s="56">
        <v>73.900000000000006</v>
      </c>
      <c r="H215" s="56">
        <v>77.099999999999994</v>
      </c>
      <c r="I215" s="56">
        <v>80.2</v>
      </c>
      <c r="J215" s="56">
        <v>84.6</v>
      </c>
      <c r="K215" s="56">
        <v>87.9</v>
      </c>
      <c r="L215" s="56">
        <v>89.4</v>
      </c>
      <c r="M215" s="56">
        <v>89.3</v>
      </c>
      <c r="N215" s="56">
        <v>87.5</v>
      </c>
      <c r="O215" s="56">
        <v>83.7</v>
      </c>
      <c r="P215" s="56">
        <v>78.3</v>
      </c>
      <c r="Q215" s="56">
        <v>74.099999999999994</v>
      </c>
      <c r="R215" s="57">
        <v>81.5</v>
      </c>
    </row>
    <row r="216" spans="2:18" x14ac:dyDescent="0.4">
      <c r="B216" s="50"/>
      <c r="C216" s="51" t="s">
        <v>258</v>
      </c>
      <c r="D216" s="49" t="s">
        <v>259</v>
      </c>
      <c r="E216" s="49" t="str">
        <f>B214&amp;C216</f>
        <v>Vero Beach, FLV</v>
      </c>
      <c r="F216" s="56">
        <v>8.5</v>
      </c>
      <c r="G216" s="56">
        <v>8.6999999999999993</v>
      </c>
      <c r="H216" s="56">
        <v>9.6</v>
      </c>
      <c r="I216" s="56">
        <v>9.6</v>
      </c>
      <c r="J216" s="56">
        <v>8.9</v>
      </c>
      <c r="K216" s="56">
        <v>7.6</v>
      </c>
      <c r="L216" s="56">
        <v>6.7</v>
      </c>
      <c r="M216" s="56">
        <v>6.7</v>
      </c>
      <c r="N216" s="56">
        <v>7.4</v>
      </c>
      <c r="O216" s="56">
        <v>8.5</v>
      </c>
      <c r="P216" s="56">
        <v>8.5</v>
      </c>
      <c r="Q216" s="56">
        <v>8.1</v>
      </c>
      <c r="R216" s="57">
        <v>8.3000000000000007</v>
      </c>
    </row>
    <row r="217" spans="2:18" x14ac:dyDescent="0.4">
      <c r="B217" s="50"/>
      <c r="C217" s="51" t="s">
        <v>260</v>
      </c>
      <c r="D217" s="49" t="s">
        <v>261</v>
      </c>
      <c r="E217" s="49" t="str">
        <f>B214&amp;C217</f>
        <v>Vero Beach, FLI</v>
      </c>
      <c r="F217" s="56">
        <v>1052</v>
      </c>
      <c r="G217" s="56">
        <v>1300</v>
      </c>
      <c r="H217" s="56">
        <v>1593</v>
      </c>
      <c r="I217" s="56">
        <v>1906</v>
      </c>
      <c r="J217" s="56">
        <v>2000</v>
      </c>
      <c r="K217" s="56">
        <v>1848</v>
      </c>
      <c r="L217" s="56">
        <v>1898</v>
      </c>
      <c r="M217" s="56">
        <v>1752</v>
      </c>
      <c r="N217" s="56">
        <v>1516</v>
      </c>
      <c r="O217" s="56">
        <v>1318</v>
      </c>
      <c r="P217" s="56">
        <v>1083</v>
      </c>
      <c r="Q217" s="56">
        <v>949</v>
      </c>
      <c r="R217" s="57">
        <v>1518</v>
      </c>
    </row>
    <row r="218" spans="2:18" x14ac:dyDescent="0.4">
      <c r="B218" s="50"/>
      <c r="C218" s="51" t="s">
        <v>262</v>
      </c>
      <c r="D218" s="49" t="s">
        <v>263</v>
      </c>
      <c r="E218" s="49" t="str">
        <f>B214&amp;C218</f>
        <v>Vero Beach, FLPA</v>
      </c>
      <c r="F218" s="58" t="s">
        <v>506</v>
      </c>
      <c r="G218" s="58" t="s">
        <v>506</v>
      </c>
      <c r="H218" s="58" t="s">
        <v>506</v>
      </c>
      <c r="I218" s="58" t="s">
        <v>506</v>
      </c>
      <c r="J218" s="58" t="s">
        <v>506</v>
      </c>
      <c r="K218" s="58" t="s">
        <v>506</v>
      </c>
      <c r="L218" s="58" t="s">
        <v>506</v>
      </c>
      <c r="M218" s="58" t="s">
        <v>506</v>
      </c>
      <c r="N218" s="58" t="s">
        <v>506</v>
      </c>
      <c r="O218" s="58" t="s">
        <v>506</v>
      </c>
      <c r="P218" s="58" t="s">
        <v>506</v>
      </c>
      <c r="Q218" s="58" t="s">
        <v>506</v>
      </c>
      <c r="R218" s="57">
        <v>14.68</v>
      </c>
    </row>
    <row r="219" spans="2:18" ht="20.6" x14ac:dyDescent="0.4">
      <c r="B219" s="48" t="s">
        <v>306</v>
      </c>
      <c r="C219" s="51" t="s">
        <v>255</v>
      </c>
      <c r="D219" s="49" t="s">
        <v>256</v>
      </c>
      <c r="E219" s="49" t="str">
        <f>B219&amp;C219</f>
        <v>West Palm Beach, FLTAN</v>
      </c>
      <c r="F219" s="56">
        <v>58.1</v>
      </c>
      <c r="G219" s="56">
        <v>59.4</v>
      </c>
      <c r="H219" s="56">
        <v>63.1</v>
      </c>
      <c r="I219" s="56">
        <v>67.099999999999994</v>
      </c>
      <c r="J219" s="56">
        <v>72</v>
      </c>
      <c r="K219" s="56">
        <v>75.099999999999994</v>
      </c>
      <c r="L219" s="56">
        <v>76.400000000000006</v>
      </c>
      <c r="M219" s="56">
        <v>76.599999999999994</v>
      </c>
      <c r="N219" s="56">
        <v>76</v>
      </c>
      <c r="O219" s="56">
        <v>72.599999999999994</v>
      </c>
      <c r="P219" s="56">
        <v>65.8</v>
      </c>
      <c r="Q219" s="56">
        <v>60.6</v>
      </c>
      <c r="R219" s="57">
        <v>68.599999999999994</v>
      </c>
    </row>
    <row r="220" spans="2:18" ht="20.6" x14ac:dyDescent="0.4">
      <c r="B220" s="50"/>
      <c r="C220" s="51" t="s">
        <v>257</v>
      </c>
      <c r="D220" s="49" t="s">
        <v>256</v>
      </c>
      <c r="E220" s="49" t="str">
        <f>B219&amp;C220</f>
        <v>West Palm Beach, FLTAX</v>
      </c>
      <c r="F220" s="56">
        <v>74</v>
      </c>
      <c r="G220" s="56">
        <v>75.599999999999994</v>
      </c>
      <c r="H220" s="56">
        <v>78.400000000000006</v>
      </c>
      <c r="I220" s="56">
        <v>81.2</v>
      </c>
      <c r="J220" s="56">
        <v>85.3</v>
      </c>
      <c r="K220" s="56">
        <v>87.8</v>
      </c>
      <c r="L220" s="56">
        <v>89.2</v>
      </c>
      <c r="M220" s="56">
        <v>89.3</v>
      </c>
      <c r="N220" s="56">
        <v>87.6</v>
      </c>
      <c r="O220" s="56">
        <v>84.4</v>
      </c>
      <c r="P220" s="56">
        <v>79.400000000000006</v>
      </c>
      <c r="Q220" s="56">
        <v>75.5</v>
      </c>
      <c r="R220" s="57">
        <v>82.3</v>
      </c>
    </row>
    <row r="221" spans="2:18" ht="20.6" x14ac:dyDescent="0.4">
      <c r="B221" s="50"/>
      <c r="C221" s="51" t="s">
        <v>258</v>
      </c>
      <c r="D221" s="49" t="s">
        <v>259</v>
      </c>
      <c r="E221" s="49" t="str">
        <f>B219&amp;C221</f>
        <v>West Palm Beach, FLV</v>
      </c>
      <c r="F221" s="56">
        <v>9.8000000000000007</v>
      </c>
      <c r="G221" s="56">
        <v>9.8000000000000007</v>
      </c>
      <c r="H221" s="56">
        <v>11</v>
      </c>
      <c r="I221" s="56">
        <v>10.7</v>
      </c>
      <c r="J221" s="56">
        <v>9.8000000000000007</v>
      </c>
      <c r="K221" s="56">
        <v>7.8</v>
      </c>
      <c r="L221" s="56">
        <v>7.4</v>
      </c>
      <c r="M221" s="56">
        <v>7.4</v>
      </c>
      <c r="N221" s="56">
        <v>8.3000000000000007</v>
      </c>
      <c r="O221" s="56">
        <v>9.4</v>
      </c>
      <c r="P221" s="56">
        <v>9.8000000000000007</v>
      </c>
      <c r="Q221" s="56">
        <v>9.4</v>
      </c>
      <c r="R221" s="57">
        <v>9.1999999999999993</v>
      </c>
    </row>
    <row r="222" spans="2:18" ht="20.6" x14ac:dyDescent="0.4">
      <c r="B222" s="50"/>
      <c r="C222" s="51" t="s">
        <v>260</v>
      </c>
      <c r="D222" s="49" t="s">
        <v>261</v>
      </c>
      <c r="E222" s="49" t="str">
        <f>B219&amp;C222</f>
        <v>West Palm Beach, FLI</v>
      </c>
      <c r="F222" s="56">
        <v>1105</v>
      </c>
      <c r="G222" s="56">
        <v>1342</v>
      </c>
      <c r="H222" s="56">
        <v>1635</v>
      </c>
      <c r="I222" s="56">
        <v>1912</v>
      </c>
      <c r="J222" s="56">
        <v>1999</v>
      </c>
      <c r="K222" s="56">
        <v>1852</v>
      </c>
      <c r="L222" s="56">
        <v>1936</v>
      </c>
      <c r="M222" s="56">
        <v>1789</v>
      </c>
      <c r="N222" s="56">
        <v>1555</v>
      </c>
      <c r="O222" s="56">
        <v>1352</v>
      </c>
      <c r="P222" s="56">
        <v>1113</v>
      </c>
      <c r="Q222" s="56">
        <v>998</v>
      </c>
      <c r="R222" s="57">
        <v>1549</v>
      </c>
    </row>
    <row r="223" spans="2:18" ht="20.6" x14ac:dyDescent="0.4">
      <c r="B223" s="50"/>
      <c r="C223" s="51" t="s">
        <v>262</v>
      </c>
      <c r="D223" s="49" t="s">
        <v>263</v>
      </c>
      <c r="E223" s="49" t="str">
        <f>B219&amp;C223</f>
        <v>West Palm Beach, FLPA</v>
      </c>
      <c r="F223" s="58" t="s">
        <v>506</v>
      </c>
      <c r="G223" s="58" t="s">
        <v>506</v>
      </c>
      <c r="H223" s="58" t="s">
        <v>506</v>
      </c>
      <c r="I223" s="58" t="s">
        <v>506</v>
      </c>
      <c r="J223" s="58" t="s">
        <v>506</v>
      </c>
      <c r="K223" s="58" t="s">
        <v>506</v>
      </c>
      <c r="L223" s="58" t="s">
        <v>506</v>
      </c>
      <c r="M223" s="58" t="s">
        <v>506</v>
      </c>
      <c r="N223" s="58" t="s">
        <v>506</v>
      </c>
      <c r="O223" s="58" t="s">
        <v>506</v>
      </c>
      <c r="P223" s="58" t="s">
        <v>506</v>
      </c>
      <c r="Q223" s="58" t="s">
        <v>506</v>
      </c>
      <c r="R223" s="57">
        <v>14.68</v>
      </c>
    </row>
    <row r="224" spans="2:18" x14ac:dyDescent="0.4">
      <c r="B224" s="48" t="s">
        <v>307</v>
      </c>
      <c r="C224" s="51" t="s">
        <v>255</v>
      </c>
      <c r="D224" s="49" t="s">
        <v>256</v>
      </c>
      <c r="E224" s="49" t="str">
        <f>B224&amp;C224</f>
        <v>Athens, GATAN</v>
      </c>
      <c r="F224" s="56">
        <v>34.4</v>
      </c>
      <c r="G224" s="56">
        <v>36.799999999999997</v>
      </c>
      <c r="H224" s="56">
        <v>43.1</v>
      </c>
      <c r="I224" s="56">
        <v>50.1</v>
      </c>
      <c r="J224" s="56">
        <v>58.9</v>
      </c>
      <c r="K224" s="56">
        <v>66.7</v>
      </c>
      <c r="L224" s="56">
        <v>70.2</v>
      </c>
      <c r="M224" s="56">
        <v>69.599999999999994</v>
      </c>
      <c r="N224" s="56">
        <v>63.3</v>
      </c>
      <c r="O224" s="56">
        <v>52</v>
      </c>
      <c r="P224" s="56">
        <v>42.4</v>
      </c>
      <c r="Q224" s="56">
        <v>35.5</v>
      </c>
      <c r="R224" s="57">
        <v>51.9</v>
      </c>
    </row>
    <row r="225" spans="2:18" x14ac:dyDescent="0.4">
      <c r="B225" s="50"/>
      <c r="C225" s="51" t="s">
        <v>257</v>
      </c>
      <c r="D225" s="49" t="s">
        <v>256</v>
      </c>
      <c r="E225" s="49" t="str">
        <f>B224&amp;C225</f>
        <v>Athens, GATAX</v>
      </c>
      <c r="F225" s="56">
        <v>53.2</v>
      </c>
      <c r="G225" s="56">
        <v>56.8</v>
      </c>
      <c r="H225" s="56">
        <v>64.8</v>
      </c>
      <c r="I225" s="56">
        <v>72.900000000000006</v>
      </c>
      <c r="J225" s="56">
        <v>80.2</v>
      </c>
      <c r="K225" s="56">
        <v>86.7</v>
      </c>
      <c r="L225" s="56">
        <v>89.8</v>
      </c>
      <c r="M225" s="56">
        <v>88.6</v>
      </c>
      <c r="N225" s="56">
        <v>82.7</v>
      </c>
      <c r="O225" s="56">
        <v>73.099999999999994</v>
      </c>
      <c r="P225" s="56">
        <v>63.5</v>
      </c>
      <c r="Q225" s="56">
        <v>54.5</v>
      </c>
      <c r="R225" s="57">
        <v>72.2</v>
      </c>
    </row>
    <row r="226" spans="2:18" x14ac:dyDescent="0.4">
      <c r="B226" s="50"/>
      <c r="C226" s="51" t="s">
        <v>258</v>
      </c>
      <c r="D226" s="49" t="s">
        <v>259</v>
      </c>
      <c r="E226" s="49" t="str">
        <f>B224&amp;C226</f>
        <v>Athens, GAV</v>
      </c>
      <c r="F226" s="56">
        <v>7.4</v>
      </c>
      <c r="G226" s="56">
        <v>7.4</v>
      </c>
      <c r="H226" s="56">
        <v>7.6</v>
      </c>
      <c r="I226" s="56">
        <v>6.9</v>
      </c>
      <c r="J226" s="56">
        <v>6</v>
      </c>
      <c r="K226" s="56">
        <v>5.4</v>
      </c>
      <c r="L226" s="56">
        <v>5.0999999999999996</v>
      </c>
      <c r="M226" s="56">
        <v>4.9000000000000004</v>
      </c>
      <c r="N226" s="56">
        <v>5.6</v>
      </c>
      <c r="O226" s="56">
        <v>5.6</v>
      </c>
      <c r="P226" s="56">
        <v>6</v>
      </c>
      <c r="Q226" s="56">
        <v>6.7</v>
      </c>
      <c r="R226" s="57">
        <v>6.3</v>
      </c>
    </row>
    <row r="227" spans="2:18" x14ac:dyDescent="0.4">
      <c r="B227" s="50"/>
      <c r="C227" s="51" t="s">
        <v>260</v>
      </c>
      <c r="D227" s="49" t="s">
        <v>261</v>
      </c>
      <c r="E227" s="49" t="str">
        <f>B224&amp;C227</f>
        <v>Athens, GAI</v>
      </c>
      <c r="F227" s="56">
        <v>819</v>
      </c>
      <c r="G227" s="56">
        <v>1062</v>
      </c>
      <c r="H227" s="56">
        <v>1390</v>
      </c>
      <c r="I227" s="56">
        <v>1764</v>
      </c>
      <c r="J227" s="56">
        <v>1951</v>
      </c>
      <c r="K227" s="56">
        <v>1978</v>
      </c>
      <c r="L227" s="56">
        <v>1946</v>
      </c>
      <c r="M227" s="56">
        <v>1760</v>
      </c>
      <c r="N227" s="56">
        <v>1487</v>
      </c>
      <c r="O227" s="56">
        <v>1211</v>
      </c>
      <c r="P227" s="56">
        <v>915</v>
      </c>
      <c r="Q227" s="56">
        <v>743</v>
      </c>
      <c r="R227" s="57">
        <v>1419</v>
      </c>
    </row>
    <row r="228" spans="2:18" x14ac:dyDescent="0.4">
      <c r="B228" s="50"/>
      <c r="C228" s="51" t="s">
        <v>262</v>
      </c>
      <c r="D228" s="49" t="s">
        <v>263</v>
      </c>
      <c r="E228" s="49" t="str">
        <f>B224&amp;C228</f>
        <v>Athens, GAPA</v>
      </c>
      <c r="F228" s="58" t="s">
        <v>506</v>
      </c>
      <c r="G228" s="58" t="s">
        <v>506</v>
      </c>
      <c r="H228" s="58" t="s">
        <v>506</v>
      </c>
      <c r="I228" s="58" t="s">
        <v>506</v>
      </c>
      <c r="J228" s="58" t="s">
        <v>506</v>
      </c>
      <c r="K228" s="58" t="s">
        <v>506</v>
      </c>
      <c r="L228" s="58" t="s">
        <v>506</v>
      </c>
      <c r="M228" s="58" t="s">
        <v>506</v>
      </c>
      <c r="N228" s="58" t="s">
        <v>506</v>
      </c>
      <c r="O228" s="58" t="s">
        <v>506</v>
      </c>
      <c r="P228" s="58" t="s">
        <v>506</v>
      </c>
      <c r="Q228" s="58" t="s">
        <v>506</v>
      </c>
      <c r="R228" s="57">
        <v>14.27</v>
      </c>
    </row>
    <row r="229" spans="2:18" x14ac:dyDescent="0.4">
      <c r="B229" s="48" t="s">
        <v>308</v>
      </c>
      <c r="C229" s="51" t="s">
        <v>255</v>
      </c>
      <c r="D229" s="49" t="s">
        <v>256</v>
      </c>
      <c r="E229" s="49" t="str">
        <f>B229&amp;C229</f>
        <v>Atlanta, GATAN</v>
      </c>
      <c r="F229" s="56">
        <v>35.5</v>
      </c>
      <c r="G229" s="56">
        <v>38.200000000000003</v>
      </c>
      <c r="H229" s="56">
        <v>44.8</v>
      </c>
      <c r="I229" s="56">
        <v>52.3</v>
      </c>
      <c r="J229" s="56">
        <v>61.2</v>
      </c>
      <c r="K229" s="56">
        <v>68.5</v>
      </c>
      <c r="L229" s="56">
        <v>71.7</v>
      </c>
      <c r="M229" s="56">
        <v>71.3</v>
      </c>
      <c r="N229" s="56">
        <v>65.400000000000006</v>
      </c>
      <c r="O229" s="56">
        <v>54.4</v>
      </c>
      <c r="P229" s="56">
        <v>44.2</v>
      </c>
      <c r="Q229" s="56">
        <v>37.1</v>
      </c>
      <c r="R229" s="57">
        <v>53.7</v>
      </c>
    </row>
    <row r="230" spans="2:18" x14ac:dyDescent="0.4">
      <c r="B230" s="50"/>
      <c r="C230" s="51" t="s">
        <v>257</v>
      </c>
      <c r="D230" s="49" t="s">
        <v>256</v>
      </c>
      <c r="E230" s="49" t="str">
        <f>B229&amp;C230</f>
        <v>Atlanta, GATAX</v>
      </c>
      <c r="F230" s="56">
        <v>52.8</v>
      </c>
      <c r="G230" s="56">
        <v>56.5</v>
      </c>
      <c r="H230" s="56">
        <v>64.099999999999994</v>
      </c>
      <c r="I230" s="56">
        <v>72.2</v>
      </c>
      <c r="J230" s="56">
        <v>79.5</v>
      </c>
      <c r="K230" s="56">
        <v>85.5</v>
      </c>
      <c r="L230" s="56">
        <v>88.4</v>
      </c>
      <c r="M230" s="56">
        <v>87.6</v>
      </c>
      <c r="N230" s="56">
        <v>81.900000000000006</v>
      </c>
      <c r="O230" s="56">
        <v>72.400000000000006</v>
      </c>
      <c r="P230" s="56">
        <v>62.7</v>
      </c>
      <c r="Q230" s="56">
        <v>53.9</v>
      </c>
      <c r="R230" s="57">
        <v>71.5</v>
      </c>
    </row>
    <row r="231" spans="2:18" x14ac:dyDescent="0.4">
      <c r="B231" s="50"/>
      <c r="C231" s="51" t="s">
        <v>258</v>
      </c>
      <c r="D231" s="49" t="s">
        <v>259</v>
      </c>
      <c r="E231" s="49" t="str">
        <f>B229&amp;C231</f>
        <v>Atlanta, GAV</v>
      </c>
      <c r="F231" s="56">
        <v>9.4</v>
      </c>
      <c r="G231" s="56">
        <v>9.4</v>
      </c>
      <c r="H231" s="56">
        <v>9.6</v>
      </c>
      <c r="I231" s="56">
        <v>8.6999999999999993</v>
      </c>
      <c r="J231" s="56">
        <v>7.8</v>
      </c>
      <c r="K231" s="56">
        <v>7.4</v>
      </c>
      <c r="L231" s="56">
        <v>6.9</v>
      </c>
      <c r="M231" s="56">
        <v>6.7</v>
      </c>
      <c r="N231" s="56">
        <v>7.6</v>
      </c>
      <c r="O231" s="56">
        <v>7.8</v>
      </c>
      <c r="P231" s="56">
        <v>8.1</v>
      </c>
      <c r="Q231" s="56">
        <v>8.9</v>
      </c>
      <c r="R231" s="57">
        <v>8.3000000000000007</v>
      </c>
    </row>
    <row r="232" spans="2:18" x14ac:dyDescent="0.4">
      <c r="B232" s="50"/>
      <c r="C232" s="51" t="s">
        <v>260</v>
      </c>
      <c r="D232" s="49" t="s">
        <v>261</v>
      </c>
      <c r="E232" s="49" t="str">
        <f>B229&amp;C232</f>
        <v>Atlanta, GAI</v>
      </c>
      <c r="F232" s="56">
        <v>801</v>
      </c>
      <c r="G232" s="56">
        <v>1046</v>
      </c>
      <c r="H232" s="56">
        <v>1379</v>
      </c>
      <c r="I232" s="56">
        <v>1747</v>
      </c>
      <c r="J232" s="56">
        <v>1925</v>
      </c>
      <c r="K232" s="56">
        <v>1949</v>
      </c>
      <c r="L232" s="56">
        <v>1925</v>
      </c>
      <c r="M232" s="56">
        <v>1739</v>
      </c>
      <c r="N232" s="56">
        <v>1477</v>
      </c>
      <c r="O232" s="56">
        <v>1201</v>
      </c>
      <c r="P232" s="56">
        <v>896</v>
      </c>
      <c r="Q232" s="56">
        <v>718</v>
      </c>
      <c r="R232" s="57">
        <v>1400</v>
      </c>
    </row>
    <row r="233" spans="2:18" x14ac:dyDescent="0.4">
      <c r="B233" s="50"/>
      <c r="C233" s="51" t="s">
        <v>262</v>
      </c>
      <c r="D233" s="49" t="s">
        <v>263</v>
      </c>
      <c r="E233" s="49" t="str">
        <f>B229&amp;C233</f>
        <v>Atlanta, GAPA</v>
      </c>
      <c r="F233" s="58" t="s">
        <v>506</v>
      </c>
      <c r="G233" s="58" t="s">
        <v>506</v>
      </c>
      <c r="H233" s="58" t="s">
        <v>506</v>
      </c>
      <c r="I233" s="58" t="s">
        <v>506</v>
      </c>
      <c r="J233" s="58" t="s">
        <v>506</v>
      </c>
      <c r="K233" s="58" t="s">
        <v>506</v>
      </c>
      <c r="L233" s="58" t="s">
        <v>506</v>
      </c>
      <c r="M233" s="58" t="s">
        <v>506</v>
      </c>
      <c r="N233" s="58" t="s">
        <v>506</v>
      </c>
      <c r="O233" s="58" t="s">
        <v>506</v>
      </c>
      <c r="P233" s="58" t="s">
        <v>506</v>
      </c>
      <c r="Q233" s="58" t="s">
        <v>506</v>
      </c>
      <c r="R233" s="57">
        <v>14.17</v>
      </c>
    </row>
    <row r="234" spans="2:18" x14ac:dyDescent="0.4">
      <c r="B234" s="48" t="s">
        <v>309</v>
      </c>
      <c r="C234" s="51" t="s">
        <v>255</v>
      </c>
      <c r="D234" s="49" t="s">
        <v>256</v>
      </c>
      <c r="E234" s="49" t="str">
        <f>B234&amp;C234</f>
        <v>Augusta, GATAN</v>
      </c>
      <c r="F234" s="56">
        <v>34.700000000000003</v>
      </c>
      <c r="G234" s="56">
        <v>36.700000000000003</v>
      </c>
      <c r="H234" s="56">
        <v>43</v>
      </c>
      <c r="I234" s="56">
        <v>49.6</v>
      </c>
      <c r="J234" s="56">
        <v>58.6</v>
      </c>
      <c r="K234" s="56">
        <v>67.2</v>
      </c>
      <c r="L234" s="56">
        <v>70.5</v>
      </c>
      <c r="M234" s="56">
        <v>70</v>
      </c>
      <c r="N234" s="56">
        <v>63.7</v>
      </c>
      <c r="O234" s="56">
        <v>51.9</v>
      </c>
      <c r="P234" s="56">
        <v>41.8</v>
      </c>
      <c r="Q234" s="56">
        <v>35.299999999999997</v>
      </c>
      <c r="R234" s="57">
        <v>51.9</v>
      </c>
    </row>
    <row r="235" spans="2:18" x14ac:dyDescent="0.4">
      <c r="B235" s="50"/>
      <c r="C235" s="51" t="s">
        <v>257</v>
      </c>
      <c r="D235" s="49" t="s">
        <v>256</v>
      </c>
      <c r="E235" s="49" t="str">
        <f>B234&amp;C235</f>
        <v>Augusta, GATAX</v>
      </c>
      <c r="F235" s="56">
        <v>57.7</v>
      </c>
      <c r="G235" s="56">
        <v>61.1</v>
      </c>
      <c r="H235" s="56">
        <v>68.7</v>
      </c>
      <c r="I235" s="56">
        <v>76.400000000000006</v>
      </c>
      <c r="J235" s="56">
        <v>83.8</v>
      </c>
      <c r="K235" s="56">
        <v>89.2</v>
      </c>
      <c r="L235" s="56">
        <v>91.8</v>
      </c>
      <c r="M235" s="56">
        <v>90.6</v>
      </c>
      <c r="N235" s="56">
        <v>85.5</v>
      </c>
      <c r="O235" s="56">
        <v>76.599999999999994</v>
      </c>
      <c r="P235" s="56">
        <v>67.599999999999994</v>
      </c>
      <c r="Q235" s="56">
        <v>58.9</v>
      </c>
      <c r="R235" s="57">
        <v>75.7</v>
      </c>
    </row>
    <row r="236" spans="2:18" x14ac:dyDescent="0.4">
      <c r="B236" s="50"/>
      <c r="C236" s="51" t="s">
        <v>258</v>
      </c>
      <c r="D236" s="49" t="s">
        <v>259</v>
      </c>
      <c r="E236" s="49" t="str">
        <f>B234&amp;C236</f>
        <v>Augusta, GAV</v>
      </c>
      <c r="F236" s="56">
        <v>6</v>
      </c>
      <c r="G236" s="56">
        <v>6.3</v>
      </c>
      <c r="H236" s="56">
        <v>6.7</v>
      </c>
      <c r="I236" s="56">
        <v>6.3</v>
      </c>
      <c r="J236" s="56">
        <v>5.6</v>
      </c>
      <c r="K236" s="56">
        <v>4.9000000000000004</v>
      </c>
      <c r="L236" s="56">
        <v>4.7</v>
      </c>
      <c r="M236" s="56">
        <v>4</v>
      </c>
      <c r="N236" s="56">
        <v>4.7</v>
      </c>
      <c r="O236" s="56">
        <v>4.5</v>
      </c>
      <c r="P236" s="56">
        <v>4.9000000000000004</v>
      </c>
      <c r="Q236" s="56">
        <v>5.4</v>
      </c>
      <c r="R236" s="57">
        <v>5.4</v>
      </c>
    </row>
    <row r="237" spans="2:18" x14ac:dyDescent="0.4">
      <c r="B237" s="50"/>
      <c r="C237" s="51" t="s">
        <v>260</v>
      </c>
      <c r="D237" s="49" t="s">
        <v>261</v>
      </c>
      <c r="E237" s="49" t="str">
        <f>B234&amp;C237</f>
        <v>Augusta, GAI</v>
      </c>
      <c r="F237" s="56">
        <v>836</v>
      </c>
      <c r="G237" s="56">
        <v>1084</v>
      </c>
      <c r="H237" s="56">
        <v>1432</v>
      </c>
      <c r="I237" s="56">
        <v>1806</v>
      </c>
      <c r="J237" s="56">
        <v>1995</v>
      </c>
      <c r="K237" s="56">
        <v>1979</v>
      </c>
      <c r="L237" s="56">
        <v>1965</v>
      </c>
      <c r="M237" s="56">
        <v>1782</v>
      </c>
      <c r="N237" s="56">
        <v>1509</v>
      </c>
      <c r="O237" s="56">
        <v>1214</v>
      </c>
      <c r="P237" s="56">
        <v>935</v>
      </c>
      <c r="Q237" s="56">
        <v>775</v>
      </c>
      <c r="R237" s="57">
        <v>1443</v>
      </c>
    </row>
    <row r="238" spans="2:18" x14ac:dyDescent="0.4">
      <c r="B238" s="50"/>
      <c r="C238" s="51" t="s">
        <v>262</v>
      </c>
      <c r="D238" s="49" t="s">
        <v>263</v>
      </c>
      <c r="E238" s="49" t="str">
        <f>B234&amp;C238</f>
        <v>Augusta, GAPA</v>
      </c>
      <c r="F238" s="58" t="s">
        <v>506</v>
      </c>
      <c r="G238" s="58" t="s">
        <v>506</v>
      </c>
      <c r="H238" s="58" t="s">
        <v>506</v>
      </c>
      <c r="I238" s="58" t="s">
        <v>506</v>
      </c>
      <c r="J238" s="58" t="s">
        <v>506</v>
      </c>
      <c r="K238" s="58" t="s">
        <v>506</v>
      </c>
      <c r="L238" s="58" t="s">
        <v>506</v>
      </c>
      <c r="M238" s="58" t="s">
        <v>506</v>
      </c>
      <c r="N238" s="58" t="s">
        <v>506</v>
      </c>
      <c r="O238" s="58" t="s">
        <v>506</v>
      </c>
      <c r="P238" s="58" t="s">
        <v>506</v>
      </c>
      <c r="Q238" s="58" t="s">
        <v>506</v>
      </c>
      <c r="R238" s="57">
        <v>14.62</v>
      </c>
    </row>
    <row r="239" spans="2:18" x14ac:dyDescent="0.4">
      <c r="B239" s="48" t="s">
        <v>310</v>
      </c>
      <c r="C239" s="51" t="s">
        <v>255</v>
      </c>
      <c r="D239" s="49" t="s">
        <v>256</v>
      </c>
      <c r="E239" s="49" t="str">
        <f>B239&amp;C239</f>
        <v>Columbus, GATAN</v>
      </c>
      <c r="F239" s="56">
        <v>38</v>
      </c>
      <c r="G239" s="56">
        <v>40.4</v>
      </c>
      <c r="H239" s="56">
        <v>46.6</v>
      </c>
      <c r="I239" s="56">
        <v>53.5</v>
      </c>
      <c r="J239" s="56">
        <v>62.9</v>
      </c>
      <c r="K239" s="56">
        <v>70.099999999999994</v>
      </c>
      <c r="L239" s="56">
        <v>73.2</v>
      </c>
      <c r="M239" s="56">
        <v>72.7</v>
      </c>
      <c r="N239" s="56">
        <v>67.3</v>
      </c>
      <c r="O239" s="56">
        <v>56.2</v>
      </c>
      <c r="P239" s="56">
        <v>45.9</v>
      </c>
      <c r="Q239" s="56">
        <v>39.1</v>
      </c>
      <c r="R239" s="57">
        <v>55.5</v>
      </c>
    </row>
    <row r="240" spans="2:18" x14ac:dyDescent="0.4">
      <c r="B240" s="50"/>
      <c r="C240" s="51" t="s">
        <v>257</v>
      </c>
      <c r="D240" s="49" t="s">
        <v>256</v>
      </c>
      <c r="E240" s="49" t="str">
        <f>B239&amp;C240</f>
        <v>Columbus, GATAX</v>
      </c>
      <c r="F240" s="56">
        <v>57.4</v>
      </c>
      <c r="G240" s="56">
        <v>61.2</v>
      </c>
      <c r="H240" s="56">
        <v>68.7</v>
      </c>
      <c r="I240" s="56">
        <v>76</v>
      </c>
      <c r="J240" s="56">
        <v>83.4</v>
      </c>
      <c r="K240" s="56">
        <v>88.5</v>
      </c>
      <c r="L240" s="56">
        <v>91.3</v>
      </c>
      <c r="M240" s="56">
        <v>90.4</v>
      </c>
      <c r="N240" s="56">
        <v>85.5</v>
      </c>
      <c r="O240" s="56">
        <v>76.400000000000006</v>
      </c>
      <c r="P240" s="56">
        <v>67.2</v>
      </c>
      <c r="Q240" s="56">
        <v>58.4</v>
      </c>
      <c r="R240" s="57">
        <v>75.400000000000006</v>
      </c>
    </row>
    <row r="241" spans="2:18" x14ac:dyDescent="0.4">
      <c r="B241" s="50"/>
      <c r="C241" s="51" t="s">
        <v>258</v>
      </c>
      <c r="D241" s="49" t="s">
        <v>259</v>
      </c>
      <c r="E241" s="49" t="str">
        <f>B239&amp;C241</f>
        <v>Columbus, GAV</v>
      </c>
      <c r="F241" s="56">
        <v>6.5</v>
      </c>
      <c r="G241" s="56">
        <v>6.7</v>
      </c>
      <c r="H241" s="56">
        <v>7.2</v>
      </c>
      <c r="I241" s="56">
        <v>6.7</v>
      </c>
      <c r="J241" s="56">
        <v>6.3</v>
      </c>
      <c r="K241" s="56">
        <v>5.6</v>
      </c>
      <c r="L241" s="56">
        <v>5.6</v>
      </c>
      <c r="M241" s="56">
        <v>5.0999999999999996</v>
      </c>
      <c r="N241" s="56">
        <v>6</v>
      </c>
      <c r="O241" s="56">
        <v>5.6</v>
      </c>
      <c r="P241" s="56">
        <v>5.6</v>
      </c>
      <c r="Q241" s="56">
        <v>6</v>
      </c>
      <c r="R241" s="57">
        <v>6</v>
      </c>
    </row>
    <row r="242" spans="2:18" x14ac:dyDescent="0.4">
      <c r="B242" s="50"/>
      <c r="C242" s="51" t="s">
        <v>260</v>
      </c>
      <c r="D242" s="49" t="s">
        <v>261</v>
      </c>
      <c r="E242" s="49" t="str">
        <f>B239&amp;C242</f>
        <v>Columbus, GAI</v>
      </c>
      <c r="F242" s="56">
        <v>823</v>
      </c>
      <c r="G242" s="56">
        <v>1079</v>
      </c>
      <c r="H242" s="56">
        <v>1409</v>
      </c>
      <c r="I242" s="56">
        <v>1773</v>
      </c>
      <c r="J242" s="56">
        <v>1936</v>
      </c>
      <c r="K242" s="56">
        <v>1936</v>
      </c>
      <c r="L242" s="56">
        <v>1936</v>
      </c>
      <c r="M242" s="56">
        <v>1718</v>
      </c>
      <c r="N242" s="56">
        <v>1491</v>
      </c>
      <c r="O242" s="56">
        <v>1211</v>
      </c>
      <c r="P242" s="56">
        <v>949</v>
      </c>
      <c r="Q242" s="56">
        <v>753</v>
      </c>
      <c r="R242" s="57">
        <v>1418</v>
      </c>
    </row>
    <row r="243" spans="2:18" x14ac:dyDescent="0.4">
      <c r="B243" s="50"/>
      <c r="C243" s="51" t="s">
        <v>262</v>
      </c>
      <c r="D243" s="49" t="s">
        <v>263</v>
      </c>
      <c r="E243" s="49" t="str">
        <f>B239&amp;C243</f>
        <v>Columbus, GAPA</v>
      </c>
      <c r="F243" s="58" t="s">
        <v>506</v>
      </c>
      <c r="G243" s="58" t="s">
        <v>506</v>
      </c>
      <c r="H243" s="58" t="s">
        <v>506</v>
      </c>
      <c r="I243" s="58" t="s">
        <v>506</v>
      </c>
      <c r="J243" s="58" t="s">
        <v>506</v>
      </c>
      <c r="K243" s="58" t="s">
        <v>506</v>
      </c>
      <c r="L243" s="58" t="s">
        <v>506</v>
      </c>
      <c r="M243" s="58" t="s">
        <v>506</v>
      </c>
      <c r="N243" s="58" t="s">
        <v>506</v>
      </c>
      <c r="O243" s="58" t="s">
        <v>506</v>
      </c>
      <c r="P243" s="58" t="s">
        <v>506</v>
      </c>
      <c r="Q243" s="58" t="s">
        <v>506</v>
      </c>
      <c r="R243" s="57">
        <v>14.49</v>
      </c>
    </row>
    <row r="244" spans="2:18" x14ac:dyDescent="0.4">
      <c r="B244" s="48" t="s">
        <v>311</v>
      </c>
      <c r="C244" s="51" t="s">
        <v>255</v>
      </c>
      <c r="D244" s="49" t="s">
        <v>256</v>
      </c>
      <c r="E244" s="49" t="str">
        <f>B244&amp;C244</f>
        <v>Macon, GATAN</v>
      </c>
      <c r="F244" s="56">
        <v>36.299999999999997</v>
      </c>
      <c r="G244" s="56">
        <v>38.6</v>
      </c>
      <c r="H244" s="56">
        <v>44.8</v>
      </c>
      <c r="I244" s="56">
        <v>51</v>
      </c>
      <c r="J244" s="56">
        <v>60.1</v>
      </c>
      <c r="K244" s="56">
        <v>68.3</v>
      </c>
      <c r="L244" s="56">
        <v>71.599999999999994</v>
      </c>
      <c r="M244" s="56">
        <v>70.8</v>
      </c>
      <c r="N244" s="56">
        <v>64.7</v>
      </c>
      <c r="O244" s="56">
        <v>53</v>
      </c>
      <c r="P244" s="56">
        <v>43</v>
      </c>
      <c r="Q244" s="56">
        <v>36.799999999999997</v>
      </c>
      <c r="R244" s="57">
        <v>53.2</v>
      </c>
    </row>
    <row r="245" spans="2:18" x14ac:dyDescent="0.4">
      <c r="B245" s="50"/>
      <c r="C245" s="51" t="s">
        <v>257</v>
      </c>
      <c r="D245" s="49" t="s">
        <v>256</v>
      </c>
      <c r="E245" s="49" t="str">
        <f>B244&amp;C245</f>
        <v>Macon, GATAX</v>
      </c>
      <c r="F245" s="56">
        <v>57.8</v>
      </c>
      <c r="G245" s="56">
        <v>61.3</v>
      </c>
      <c r="H245" s="56">
        <v>68.8</v>
      </c>
      <c r="I245" s="56">
        <v>76.099999999999994</v>
      </c>
      <c r="J245" s="56">
        <v>83.9</v>
      </c>
      <c r="K245" s="56">
        <v>89</v>
      </c>
      <c r="L245" s="56">
        <v>91.7</v>
      </c>
      <c r="M245" s="56">
        <v>90.5</v>
      </c>
      <c r="N245" s="56">
        <v>85.5</v>
      </c>
      <c r="O245" s="56">
        <v>76.599999999999994</v>
      </c>
      <c r="P245" s="56">
        <v>67.599999999999994</v>
      </c>
      <c r="Q245" s="56">
        <v>58.9</v>
      </c>
      <c r="R245" s="57">
        <v>75.7</v>
      </c>
    </row>
    <row r="246" spans="2:18" x14ac:dyDescent="0.4">
      <c r="B246" s="50"/>
      <c r="C246" s="51" t="s">
        <v>258</v>
      </c>
      <c r="D246" s="49" t="s">
        <v>259</v>
      </c>
      <c r="E246" s="49" t="str">
        <f>B244&amp;C246</f>
        <v>Macon, GAV</v>
      </c>
      <c r="F246" s="56">
        <v>6.7</v>
      </c>
      <c r="G246" s="56">
        <v>6.7</v>
      </c>
      <c r="H246" s="56">
        <v>6.9</v>
      </c>
      <c r="I246" s="56">
        <v>6.5</v>
      </c>
      <c r="J246" s="56">
        <v>6</v>
      </c>
      <c r="K246" s="56">
        <v>5.4</v>
      </c>
      <c r="L246" s="56">
        <v>4.9000000000000004</v>
      </c>
      <c r="M246" s="56">
        <v>4.7</v>
      </c>
      <c r="N246" s="56">
        <v>5.4</v>
      </c>
      <c r="O246" s="56">
        <v>5.0999999999999996</v>
      </c>
      <c r="P246" s="56">
        <v>5.4</v>
      </c>
      <c r="Q246" s="56">
        <v>6</v>
      </c>
      <c r="R246" s="57">
        <v>5.8</v>
      </c>
    </row>
    <row r="247" spans="2:18" x14ac:dyDescent="0.4">
      <c r="B247" s="50"/>
      <c r="C247" s="51" t="s">
        <v>260</v>
      </c>
      <c r="D247" s="49" t="s">
        <v>261</v>
      </c>
      <c r="E247" s="49" t="str">
        <f>B244&amp;C247</f>
        <v>Macon, GAI</v>
      </c>
      <c r="F247" s="56">
        <v>852</v>
      </c>
      <c r="G247" s="56">
        <v>1107</v>
      </c>
      <c r="H247" s="56">
        <v>1460</v>
      </c>
      <c r="I247" s="56">
        <v>1839</v>
      </c>
      <c r="J247" s="56">
        <v>2026</v>
      </c>
      <c r="K247" s="56">
        <v>1978</v>
      </c>
      <c r="L247" s="56">
        <v>1981</v>
      </c>
      <c r="M247" s="56">
        <v>1788</v>
      </c>
      <c r="N247" s="56">
        <v>1523</v>
      </c>
      <c r="O247" s="56">
        <v>1233</v>
      </c>
      <c r="P247" s="56">
        <v>960</v>
      </c>
      <c r="Q247" s="56">
        <v>783</v>
      </c>
      <c r="R247" s="57">
        <v>1461</v>
      </c>
    </row>
    <row r="248" spans="2:18" x14ac:dyDescent="0.4">
      <c r="B248" s="50"/>
      <c r="C248" s="51" t="s">
        <v>262</v>
      </c>
      <c r="D248" s="49" t="s">
        <v>263</v>
      </c>
      <c r="E248" s="49" t="str">
        <f>B244&amp;C248</f>
        <v>Macon, GAPA</v>
      </c>
      <c r="F248" s="58" t="s">
        <v>506</v>
      </c>
      <c r="G248" s="58" t="s">
        <v>506</v>
      </c>
      <c r="H248" s="58" t="s">
        <v>506</v>
      </c>
      <c r="I248" s="58" t="s">
        <v>506</v>
      </c>
      <c r="J248" s="58" t="s">
        <v>506</v>
      </c>
      <c r="K248" s="58" t="s">
        <v>506</v>
      </c>
      <c r="L248" s="58" t="s">
        <v>506</v>
      </c>
      <c r="M248" s="58" t="s">
        <v>506</v>
      </c>
      <c r="N248" s="58" t="s">
        <v>506</v>
      </c>
      <c r="O248" s="58" t="s">
        <v>506</v>
      </c>
      <c r="P248" s="58" t="s">
        <v>506</v>
      </c>
      <c r="Q248" s="58" t="s">
        <v>506</v>
      </c>
      <c r="R248" s="57">
        <v>14.5</v>
      </c>
    </row>
    <row r="249" spans="2:18" x14ac:dyDescent="0.4">
      <c r="B249" s="48" t="s">
        <v>312</v>
      </c>
      <c r="C249" s="51" t="s">
        <v>255</v>
      </c>
      <c r="D249" s="49" t="s">
        <v>256</v>
      </c>
      <c r="E249" s="49" t="str">
        <f>B249&amp;C249</f>
        <v>Savannah, GATAN</v>
      </c>
      <c r="F249" s="56">
        <v>40</v>
      </c>
      <c r="G249" s="56">
        <v>42</v>
      </c>
      <c r="H249" s="56">
        <v>48.3</v>
      </c>
      <c r="I249" s="56">
        <v>54.5</v>
      </c>
      <c r="J249" s="56">
        <v>62.9</v>
      </c>
      <c r="K249" s="56">
        <v>70.400000000000006</v>
      </c>
      <c r="L249" s="56">
        <v>73.3</v>
      </c>
      <c r="M249" s="56">
        <v>73</v>
      </c>
      <c r="N249" s="56">
        <v>68.599999999999994</v>
      </c>
      <c r="O249" s="56">
        <v>58.1</v>
      </c>
      <c r="P249" s="56">
        <v>47.9</v>
      </c>
      <c r="Q249" s="56">
        <v>41.3</v>
      </c>
      <c r="R249" s="57">
        <v>56.7</v>
      </c>
    </row>
    <row r="250" spans="2:18" x14ac:dyDescent="0.4">
      <c r="B250" s="50"/>
      <c r="C250" s="51" t="s">
        <v>257</v>
      </c>
      <c r="D250" s="49" t="s">
        <v>256</v>
      </c>
      <c r="E250" s="49" t="str">
        <f>B249&amp;C250</f>
        <v>Savannah, GATAX</v>
      </c>
      <c r="F250" s="56">
        <v>60.5</v>
      </c>
      <c r="G250" s="56">
        <v>63.5</v>
      </c>
      <c r="H250" s="56">
        <v>70.2</v>
      </c>
      <c r="I250" s="56">
        <v>76.900000000000006</v>
      </c>
      <c r="J250" s="56">
        <v>83.6</v>
      </c>
      <c r="K250" s="56">
        <v>88.3</v>
      </c>
      <c r="L250" s="56">
        <v>91.3</v>
      </c>
      <c r="M250" s="56">
        <v>89.7</v>
      </c>
      <c r="N250" s="56">
        <v>85.2</v>
      </c>
      <c r="O250" s="56">
        <v>77.599999999999994</v>
      </c>
      <c r="P250" s="56">
        <v>69.5</v>
      </c>
      <c r="Q250" s="56">
        <v>61.8</v>
      </c>
      <c r="R250" s="57">
        <v>76.5</v>
      </c>
    </row>
    <row r="251" spans="2:18" x14ac:dyDescent="0.4">
      <c r="B251" s="50"/>
      <c r="C251" s="51" t="s">
        <v>258</v>
      </c>
      <c r="D251" s="49" t="s">
        <v>259</v>
      </c>
      <c r="E251" s="49" t="str">
        <f>B249&amp;C251</f>
        <v>Savannah, GAV</v>
      </c>
      <c r="F251" s="56">
        <v>7.2</v>
      </c>
      <c r="G251" s="56">
        <v>7.4</v>
      </c>
      <c r="H251" s="56">
        <v>7.8</v>
      </c>
      <c r="I251" s="56">
        <v>7.4</v>
      </c>
      <c r="J251" s="56">
        <v>6.7</v>
      </c>
      <c r="K251" s="56">
        <v>6.3</v>
      </c>
      <c r="L251" s="56">
        <v>5.6</v>
      </c>
      <c r="M251" s="56">
        <v>5.6</v>
      </c>
      <c r="N251" s="56">
        <v>6.5</v>
      </c>
      <c r="O251" s="56">
        <v>6.3</v>
      </c>
      <c r="P251" s="56">
        <v>6</v>
      </c>
      <c r="Q251" s="56">
        <v>6.5</v>
      </c>
      <c r="R251" s="57">
        <v>6.5</v>
      </c>
    </row>
    <row r="252" spans="2:18" x14ac:dyDescent="0.4">
      <c r="B252" s="50"/>
      <c r="C252" s="51" t="s">
        <v>260</v>
      </c>
      <c r="D252" s="49" t="s">
        <v>261</v>
      </c>
      <c r="E252" s="49" t="str">
        <f>B249&amp;C252</f>
        <v>Savannah, GAI</v>
      </c>
      <c r="F252" s="56">
        <v>876</v>
      </c>
      <c r="G252" s="56">
        <v>1134</v>
      </c>
      <c r="H252" s="56">
        <v>1484</v>
      </c>
      <c r="I252" s="56">
        <v>1847</v>
      </c>
      <c r="J252" s="56">
        <v>2015</v>
      </c>
      <c r="K252" s="56">
        <v>1947</v>
      </c>
      <c r="L252" s="56">
        <v>1981</v>
      </c>
      <c r="M252" s="56">
        <v>1765</v>
      </c>
      <c r="N252" s="56">
        <v>1477</v>
      </c>
      <c r="O252" s="56">
        <v>1224</v>
      </c>
      <c r="P252" s="56">
        <v>993</v>
      </c>
      <c r="Q252" s="56">
        <v>817</v>
      </c>
      <c r="R252" s="57">
        <v>1464</v>
      </c>
    </row>
    <row r="253" spans="2:18" x14ac:dyDescent="0.4">
      <c r="B253" s="50"/>
      <c r="C253" s="51" t="s">
        <v>262</v>
      </c>
      <c r="D253" s="49" t="s">
        <v>263</v>
      </c>
      <c r="E253" s="49" t="str">
        <f>B249&amp;C253</f>
        <v>Savannah, GAPA</v>
      </c>
      <c r="F253" s="58" t="s">
        <v>506</v>
      </c>
      <c r="G253" s="58" t="s">
        <v>506</v>
      </c>
      <c r="H253" s="58" t="s">
        <v>506</v>
      </c>
      <c r="I253" s="58" t="s">
        <v>506</v>
      </c>
      <c r="J253" s="58" t="s">
        <v>506</v>
      </c>
      <c r="K253" s="58" t="s">
        <v>506</v>
      </c>
      <c r="L253" s="58" t="s">
        <v>506</v>
      </c>
      <c r="M253" s="58" t="s">
        <v>506</v>
      </c>
      <c r="N253" s="58" t="s">
        <v>506</v>
      </c>
      <c r="O253" s="58" t="s">
        <v>506</v>
      </c>
      <c r="P253" s="58" t="s">
        <v>506</v>
      </c>
      <c r="Q253" s="58" t="s">
        <v>506</v>
      </c>
      <c r="R253" s="57">
        <v>14.66</v>
      </c>
    </row>
    <row r="254" spans="2:18" x14ac:dyDescent="0.4">
      <c r="B254" s="48" t="s">
        <v>313</v>
      </c>
      <c r="C254" s="51" t="s">
        <v>255</v>
      </c>
      <c r="D254" s="49" t="s">
        <v>256</v>
      </c>
      <c r="E254" s="49" t="str">
        <f>B254&amp;C254</f>
        <v>Hilo, HITAN</v>
      </c>
      <c r="F254" s="56">
        <v>64.099999999999994</v>
      </c>
      <c r="G254" s="56">
        <v>64</v>
      </c>
      <c r="H254" s="56">
        <v>65.099999999999994</v>
      </c>
      <c r="I254" s="56">
        <v>65.900000000000006</v>
      </c>
      <c r="J254" s="56">
        <v>67.2</v>
      </c>
      <c r="K254" s="56">
        <v>68.5</v>
      </c>
      <c r="L254" s="56">
        <v>69.5</v>
      </c>
      <c r="M254" s="56">
        <v>70</v>
      </c>
      <c r="N254" s="56">
        <v>69.400000000000006</v>
      </c>
      <c r="O254" s="56">
        <v>68.8</v>
      </c>
      <c r="P254" s="56">
        <v>67.5</v>
      </c>
      <c r="Q254" s="56">
        <v>65.599999999999994</v>
      </c>
      <c r="R254" s="57">
        <v>67.099999999999994</v>
      </c>
    </row>
    <row r="255" spans="2:18" x14ac:dyDescent="0.4">
      <c r="B255" s="50"/>
      <c r="C255" s="51" t="s">
        <v>257</v>
      </c>
      <c r="D255" s="49" t="s">
        <v>256</v>
      </c>
      <c r="E255" s="49" t="str">
        <f>B254&amp;C255</f>
        <v>Hilo, HITAX</v>
      </c>
      <c r="F255" s="56">
        <v>78.599999999999994</v>
      </c>
      <c r="G255" s="56">
        <v>78.099999999999994</v>
      </c>
      <c r="H255" s="56">
        <v>78.5</v>
      </c>
      <c r="I255" s="56">
        <v>78.7</v>
      </c>
      <c r="J255" s="56">
        <v>80.7</v>
      </c>
      <c r="K255" s="56">
        <v>81.900000000000006</v>
      </c>
      <c r="L255" s="56">
        <v>82.7</v>
      </c>
      <c r="M255" s="56">
        <v>83</v>
      </c>
      <c r="N255" s="56">
        <v>83</v>
      </c>
      <c r="O255" s="56">
        <v>82.3</v>
      </c>
      <c r="P255" s="56">
        <v>80.400000000000006</v>
      </c>
      <c r="Q255" s="56">
        <v>79</v>
      </c>
      <c r="R255" s="57">
        <v>80.599999999999994</v>
      </c>
    </row>
    <row r="256" spans="2:18" x14ac:dyDescent="0.4">
      <c r="B256" s="50"/>
      <c r="C256" s="51" t="s">
        <v>258</v>
      </c>
      <c r="D256" s="49" t="s">
        <v>259</v>
      </c>
      <c r="E256" s="49" t="str">
        <f>B254&amp;C256</f>
        <v>Hilo, HIV</v>
      </c>
      <c r="F256" s="56">
        <v>6.7</v>
      </c>
      <c r="G256" s="56">
        <v>7.2</v>
      </c>
      <c r="H256" s="56">
        <v>7.2</v>
      </c>
      <c r="I256" s="56">
        <v>6.9</v>
      </c>
      <c r="J256" s="56">
        <v>6.7</v>
      </c>
      <c r="K256" s="56">
        <v>6.5</v>
      </c>
      <c r="L256" s="56">
        <v>6.5</v>
      </c>
      <c r="M256" s="56">
        <v>6.3</v>
      </c>
      <c r="N256" s="56">
        <v>6.3</v>
      </c>
      <c r="O256" s="56">
        <v>6.3</v>
      </c>
      <c r="P256" s="56">
        <v>6.3</v>
      </c>
      <c r="Q256" s="56">
        <v>6.5</v>
      </c>
      <c r="R256" s="57">
        <v>6.5</v>
      </c>
    </row>
    <row r="257" spans="2:18" x14ac:dyDescent="0.4">
      <c r="B257" s="50"/>
      <c r="C257" s="51" t="s">
        <v>260</v>
      </c>
      <c r="D257" s="49" t="s">
        <v>261</v>
      </c>
      <c r="E257" s="49" t="str">
        <f>B254&amp;C257</f>
        <v>Hilo, HII</v>
      </c>
      <c r="F257" s="56">
        <v>1187</v>
      </c>
      <c r="G257" s="56">
        <v>1316</v>
      </c>
      <c r="H257" s="56">
        <v>1431</v>
      </c>
      <c r="I257" s="56">
        <v>1617</v>
      </c>
      <c r="J257" s="56">
        <v>1743</v>
      </c>
      <c r="K257" s="56">
        <v>1820</v>
      </c>
      <c r="L257" s="56">
        <v>1822</v>
      </c>
      <c r="M257" s="56">
        <v>1748</v>
      </c>
      <c r="N257" s="56">
        <v>1672</v>
      </c>
      <c r="O257" s="56">
        <v>1413</v>
      </c>
      <c r="P257" s="56">
        <v>1137</v>
      </c>
      <c r="Q257" s="56">
        <v>1076</v>
      </c>
      <c r="R257" s="57">
        <v>1498</v>
      </c>
    </row>
    <row r="258" spans="2:18" x14ac:dyDescent="0.4">
      <c r="B258" s="50"/>
      <c r="C258" s="51" t="s">
        <v>262</v>
      </c>
      <c r="D258" s="49" t="s">
        <v>263</v>
      </c>
      <c r="E258" s="49" t="str">
        <f>B254&amp;C258</f>
        <v>Hilo, HIPA</v>
      </c>
      <c r="F258" s="58" t="s">
        <v>506</v>
      </c>
      <c r="G258" s="58" t="s">
        <v>506</v>
      </c>
      <c r="H258" s="58" t="s">
        <v>506</v>
      </c>
      <c r="I258" s="58" t="s">
        <v>506</v>
      </c>
      <c r="J258" s="58" t="s">
        <v>506</v>
      </c>
      <c r="K258" s="58" t="s">
        <v>506</v>
      </c>
      <c r="L258" s="58" t="s">
        <v>506</v>
      </c>
      <c r="M258" s="58" t="s">
        <v>506</v>
      </c>
      <c r="N258" s="58" t="s">
        <v>506</v>
      </c>
      <c r="O258" s="58" t="s">
        <v>506</v>
      </c>
      <c r="P258" s="58" t="s">
        <v>506</v>
      </c>
      <c r="Q258" s="58" t="s">
        <v>506</v>
      </c>
      <c r="R258" s="57">
        <v>14.68</v>
      </c>
    </row>
    <row r="259" spans="2:18" x14ac:dyDescent="0.4">
      <c r="B259" s="48" t="s">
        <v>314</v>
      </c>
      <c r="C259" s="51" t="s">
        <v>255</v>
      </c>
      <c r="D259" s="49" t="s">
        <v>256</v>
      </c>
      <c r="E259" s="49" t="str">
        <f>B259&amp;C259</f>
        <v>Honolulu, HITAN</v>
      </c>
      <c r="F259" s="56">
        <v>67.099999999999994</v>
      </c>
      <c r="G259" s="56">
        <v>67.3</v>
      </c>
      <c r="H259" s="56">
        <v>68.5</v>
      </c>
      <c r="I259" s="56">
        <v>70.3</v>
      </c>
      <c r="J259" s="56">
        <v>71.8</v>
      </c>
      <c r="K259" s="56">
        <v>74.3</v>
      </c>
      <c r="L259" s="56">
        <v>75.3</v>
      </c>
      <c r="M259" s="56">
        <v>76</v>
      </c>
      <c r="N259" s="56">
        <v>75.099999999999994</v>
      </c>
      <c r="O259" s="56">
        <v>74.2</v>
      </c>
      <c r="P259" s="56">
        <v>72.099999999999994</v>
      </c>
      <c r="Q259" s="56">
        <v>69.5</v>
      </c>
      <c r="R259" s="57">
        <v>71.8</v>
      </c>
    </row>
    <row r="260" spans="2:18" x14ac:dyDescent="0.4">
      <c r="B260" s="50"/>
      <c r="C260" s="51" t="s">
        <v>257</v>
      </c>
      <c r="D260" s="49" t="s">
        <v>256</v>
      </c>
      <c r="E260" s="49" t="str">
        <f>B259&amp;C260</f>
        <v>Honolulu, HITAX</v>
      </c>
      <c r="F260" s="56">
        <v>79.5</v>
      </c>
      <c r="G260" s="56">
        <v>79.599999999999994</v>
      </c>
      <c r="H260" s="56">
        <v>80.400000000000006</v>
      </c>
      <c r="I260" s="56">
        <v>82.3</v>
      </c>
      <c r="J260" s="56">
        <v>84.1</v>
      </c>
      <c r="K260" s="56">
        <v>86.3</v>
      </c>
      <c r="L260" s="56">
        <v>87.2</v>
      </c>
      <c r="M260" s="56">
        <v>88</v>
      </c>
      <c r="N260" s="56">
        <v>87.6</v>
      </c>
      <c r="O260" s="56">
        <v>86</v>
      </c>
      <c r="P260" s="56">
        <v>83.2</v>
      </c>
      <c r="Q260" s="56">
        <v>80.8</v>
      </c>
      <c r="R260" s="57">
        <v>83.8</v>
      </c>
    </row>
    <row r="261" spans="2:18" x14ac:dyDescent="0.4">
      <c r="B261" s="50"/>
      <c r="C261" s="51" t="s">
        <v>258</v>
      </c>
      <c r="D261" s="49" t="s">
        <v>259</v>
      </c>
      <c r="E261" s="49" t="str">
        <f>B259&amp;C261</f>
        <v>Honolulu, HIV</v>
      </c>
      <c r="F261" s="56">
        <v>8.6999999999999993</v>
      </c>
      <c r="G261" s="56">
        <v>9.1999999999999993</v>
      </c>
      <c r="H261" s="56">
        <v>10.3</v>
      </c>
      <c r="I261" s="56">
        <v>11.2</v>
      </c>
      <c r="J261" s="56">
        <v>10.3</v>
      </c>
      <c r="K261" s="56">
        <v>12.1</v>
      </c>
      <c r="L261" s="56">
        <v>12.1</v>
      </c>
      <c r="M261" s="56">
        <v>12.1</v>
      </c>
      <c r="N261" s="56">
        <v>10.5</v>
      </c>
      <c r="O261" s="56">
        <v>10.1</v>
      </c>
      <c r="P261" s="56">
        <v>9.6</v>
      </c>
      <c r="Q261" s="56">
        <v>9.4</v>
      </c>
      <c r="R261" s="57">
        <v>10.5</v>
      </c>
    </row>
    <row r="262" spans="2:18" x14ac:dyDescent="0.4">
      <c r="B262" s="50"/>
      <c r="C262" s="51" t="s">
        <v>260</v>
      </c>
      <c r="D262" s="49" t="s">
        <v>261</v>
      </c>
      <c r="E262" s="49" t="str">
        <f>B259&amp;C262</f>
        <v>Honolulu, HII</v>
      </c>
      <c r="F262" s="56">
        <v>1279</v>
      </c>
      <c r="G262" s="56">
        <v>1511</v>
      </c>
      <c r="H262" s="56">
        <v>1737</v>
      </c>
      <c r="I262" s="56">
        <v>1995</v>
      </c>
      <c r="J262" s="56">
        <v>2071</v>
      </c>
      <c r="K262" s="56">
        <v>2155</v>
      </c>
      <c r="L262" s="56">
        <v>2127</v>
      </c>
      <c r="M262" s="56">
        <v>2075</v>
      </c>
      <c r="N262" s="56">
        <v>1901</v>
      </c>
      <c r="O262" s="56">
        <v>1595</v>
      </c>
      <c r="P262" s="56">
        <v>1318</v>
      </c>
      <c r="Q262" s="56">
        <v>1177</v>
      </c>
      <c r="R262" s="57">
        <v>1745</v>
      </c>
    </row>
    <row r="263" spans="2:18" x14ac:dyDescent="0.4">
      <c r="B263" s="50"/>
      <c r="C263" s="51" t="s">
        <v>262</v>
      </c>
      <c r="D263" s="49" t="s">
        <v>263</v>
      </c>
      <c r="E263" s="49" t="str">
        <f>B259&amp;C263</f>
        <v>Honolulu, HIPA</v>
      </c>
      <c r="F263" s="58" t="s">
        <v>506</v>
      </c>
      <c r="G263" s="58" t="s">
        <v>506</v>
      </c>
      <c r="H263" s="58" t="s">
        <v>506</v>
      </c>
      <c r="I263" s="58" t="s">
        <v>506</v>
      </c>
      <c r="J263" s="58" t="s">
        <v>506</v>
      </c>
      <c r="K263" s="58" t="s">
        <v>506</v>
      </c>
      <c r="L263" s="58" t="s">
        <v>506</v>
      </c>
      <c r="M263" s="58" t="s">
        <v>506</v>
      </c>
      <c r="N263" s="58" t="s">
        <v>506</v>
      </c>
      <c r="O263" s="58" t="s">
        <v>506</v>
      </c>
      <c r="P263" s="58" t="s">
        <v>506</v>
      </c>
      <c r="Q263" s="58" t="s">
        <v>506</v>
      </c>
      <c r="R263" s="57">
        <v>14.69</v>
      </c>
    </row>
    <row r="264" spans="2:18" x14ac:dyDescent="0.4">
      <c r="B264" s="48" t="s">
        <v>315</v>
      </c>
      <c r="C264" s="51" t="s">
        <v>255</v>
      </c>
      <c r="D264" s="49" t="s">
        <v>256</v>
      </c>
      <c r="E264" s="49" t="str">
        <f>B264&amp;C264</f>
        <v>Kahului, HITAN</v>
      </c>
      <c r="F264" s="56">
        <v>64</v>
      </c>
      <c r="G264" s="56">
        <v>63.7</v>
      </c>
      <c r="H264" s="56">
        <v>65</v>
      </c>
      <c r="I264" s="56">
        <v>66.5</v>
      </c>
      <c r="J264" s="56">
        <v>67.7</v>
      </c>
      <c r="K264" s="56">
        <v>70.3</v>
      </c>
      <c r="L264" s="56">
        <v>71.8</v>
      </c>
      <c r="M264" s="56">
        <v>72.3</v>
      </c>
      <c r="N264" s="56">
        <v>71.2</v>
      </c>
      <c r="O264" s="56">
        <v>70.2</v>
      </c>
      <c r="P264" s="56">
        <v>68.400000000000006</v>
      </c>
      <c r="Q264" s="56">
        <v>65.900000000000006</v>
      </c>
      <c r="R264" s="57">
        <v>68.099999999999994</v>
      </c>
    </row>
    <row r="265" spans="2:18" x14ac:dyDescent="0.4">
      <c r="B265" s="50"/>
      <c r="C265" s="51" t="s">
        <v>257</v>
      </c>
      <c r="D265" s="49" t="s">
        <v>256</v>
      </c>
      <c r="E265" s="49" t="str">
        <f>B264&amp;C265</f>
        <v>Kahului, HITAX</v>
      </c>
      <c r="F265" s="56">
        <v>79.7</v>
      </c>
      <c r="G265" s="56">
        <v>79.7</v>
      </c>
      <c r="H265" s="56">
        <v>80.3</v>
      </c>
      <c r="I265" s="56">
        <v>81.599999999999994</v>
      </c>
      <c r="J265" s="56">
        <v>83.9</v>
      </c>
      <c r="K265" s="56">
        <v>85.5</v>
      </c>
      <c r="L265" s="56">
        <v>86.3</v>
      </c>
      <c r="M265" s="56">
        <v>87</v>
      </c>
      <c r="N265" s="56">
        <v>87</v>
      </c>
      <c r="O265" s="56">
        <v>86</v>
      </c>
      <c r="P265" s="56">
        <v>83.1</v>
      </c>
      <c r="Q265" s="56">
        <v>80.900000000000006</v>
      </c>
      <c r="R265" s="57">
        <v>83.4</v>
      </c>
    </row>
    <row r="266" spans="2:18" x14ac:dyDescent="0.4">
      <c r="B266" s="50"/>
      <c r="C266" s="51" t="s">
        <v>258</v>
      </c>
      <c r="D266" s="49" t="s">
        <v>259</v>
      </c>
      <c r="E266" s="49" t="str">
        <f>B264&amp;C266</f>
        <v>Kahului, HIV</v>
      </c>
      <c r="F266" s="56">
        <v>10.5</v>
      </c>
      <c r="G266" s="56">
        <v>11.2</v>
      </c>
      <c r="H266" s="56">
        <v>11.9</v>
      </c>
      <c r="I266" s="56">
        <v>13</v>
      </c>
      <c r="J266" s="56">
        <v>12.1</v>
      </c>
      <c r="K266" s="56">
        <v>14.8</v>
      </c>
      <c r="L266" s="56">
        <v>15</v>
      </c>
      <c r="M266" s="56">
        <v>14.5</v>
      </c>
      <c r="N266" s="56">
        <v>12.8</v>
      </c>
      <c r="O266" s="56">
        <v>11.9</v>
      </c>
      <c r="P266" s="56">
        <v>11.2</v>
      </c>
      <c r="Q266" s="56">
        <v>10.7</v>
      </c>
      <c r="R266" s="57">
        <v>12.5</v>
      </c>
    </row>
    <row r="267" spans="2:18" x14ac:dyDescent="0.4">
      <c r="B267" s="50"/>
      <c r="C267" s="51" t="s">
        <v>260</v>
      </c>
      <c r="D267" s="49" t="s">
        <v>261</v>
      </c>
      <c r="E267" s="49" t="str">
        <f>B264&amp;C267</f>
        <v>Kahului, HII</v>
      </c>
      <c r="F267" s="56">
        <v>1335</v>
      </c>
      <c r="G267" s="56">
        <v>1552</v>
      </c>
      <c r="H267" s="56">
        <v>1727</v>
      </c>
      <c r="I267" s="56">
        <v>1984</v>
      </c>
      <c r="J267" s="56">
        <v>2126</v>
      </c>
      <c r="K267" s="56">
        <v>2228</v>
      </c>
      <c r="L267" s="56">
        <v>2164</v>
      </c>
      <c r="M267" s="56">
        <v>2115</v>
      </c>
      <c r="N267" s="56">
        <v>1932</v>
      </c>
      <c r="O267" s="56">
        <v>1682</v>
      </c>
      <c r="P267" s="56">
        <v>1377</v>
      </c>
      <c r="Q267" s="56">
        <v>1257</v>
      </c>
      <c r="R267" s="57">
        <v>1790</v>
      </c>
    </row>
    <row r="268" spans="2:18" x14ac:dyDescent="0.4">
      <c r="B268" s="50"/>
      <c r="C268" s="51" t="s">
        <v>262</v>
      </c>
      <c r="D268" s="49" t="s">
        <v>263</v>
      </c>
      <c r="E268" s="49" t="str">
        <f>B264&amp;C268</f>
        <v>Kahului, HIPA</v>
      </c>
      <c r="F268" s="58" t="s">
        <v>506</v>
      </c>
      <c r="G268" s="58" t="s">
        <v>506</v>
      </c>
      <c r="H268" s="58" t="s">
        <v>506</v>
      </c>
      <c r="I268" s="58" t="s">
        <v>506</v>
      </c>
      <c r="J268" s="58" t="s">
        <v>506</v>
      </c>
      <c r="K268" s="58" t="s">
        <v>506</v>
      </c>
      <c r="L268" s="58" t="s">
        <v>506</v>
      </c>
      <c r="M268" s="58" t="s">
        <v>506</v>
      </c>
      <c r="N268" s="58" t="s">
        <v>506</v>
      </c>
      <c r="O268" s="58" t="s">
        <v>506</v>
      </c>
      <c r="P268" s="58" t="s">
        <v>506</v>
      </c>
      <c r="Q268" s="58" t="s">
        <v>506</v>
      </c>
      <c r="R268" s="57">
        <v>14.66</v>
      </c>
    </row>
    <row r="269" spans="2:18" x14ac:dyDescent="0.4">
      <c r="B269" s="48" t="s">
        <v>316</v>
      </c>
      <c r="C269" s="51" t="s">
        <v>255</v>
      </c>
      <c r="D269" s="49" t="s">
        <v>256</v>
      </c>
      <c r="E269" s="49" t="str">
        <f>B269&amp;C269</f>
        <v>Lihue, HITAN</v>
      </c>
      <c r="F269" s="56">
        <v>66</v>
      </c>
      <c r="G269" s="56">
        <v>66.3</v>
      </c>
      <c r="H269" s="56">
        <v>67.400000000000006</v>
      </c>
      <c r="I269" s="56">
        <v>69.3</v>
      </c>
      <c r="J269" s="56">
        <v>71</v>
      </c>
      <c r="K269" s="56">
        <v>73.7</v>
      </c>
      <c r="L269" s="56">
        <v>74.599999999999994</v>
      </c>
      <c r="M269" s="56">
        <v>75.2</v>
      </c>
      <c r="N269" s="56">
        <v>74.7</v>
      </c>
      <c r="O269" s="56">
        <v>73.7</v>
      </c>
      <c r="P269" s="56">
        <v>71.3</v>
      </c>
      <c r="Q269" s="56">
        <v>68.7</v>
      </c>
      <c r="R269" s="57">
        <v>71</v>
      </c>
    </row>
    <row r="270" spans="2:18" x14ac:dyDescent="0.4">
      <c r="B270" s="50"/>
      <c r="C270" s="51" t="s">
        <v>257</v>
      </c>
      <c r="D270" s="49" t="s">
        <v>256</v>
      </c>
      <c r="E270" s="49" t="str">
        <f>B269&amp;C270</f>
        <v>Lihue, HITAX</v>
      </c>
      <c r="F270" s="56">
        <v>77.099999999999994</v>
      </c>
      <c r="G270" s="56">
        <v>76.599999999999994</v>
      </c>
      <c r="H270" s="56">
        <v>77.3</v>
      </c>
      <c r="I270" s="56">
        <v>78.2</v>
      </c>
      <c r="J270" s="56">
        <v>80.5</v>
      </c>
      <c r="K270" s="56">
        <v>82.4</v>
      </c>
      <c r="L270" s="56">
        <v>83.4</v>
      </c>
      <c r="M270" s="56">
        <v>83.9</v>
      </c>
      <c r="N270" s="56">
        <v>84</v>
      </c>
      <c r="O270" s="56">
        <v>82.7</v>
      </c>
      <c r="P270" s="56">
        <v>80</v>
      </c>
      <c r="Q270" s="56">
        <v>78.2</v>
      </c>
      <c r="R270" s="57">
        <v>80.400000000000006</v>
      </c>
    </row>
    <row r="271" spans="2:18" x14ac:dyDescent="0.4">
      <c r="B271" s="50"/>
      <c r="C271" s="51" t="s">
        <v>258</v>
      </c>
      <c r="D271" s="49" t="s">
        <v>259</v>
      </c>
      <c r="E271" s="49" t="str">
        <f>B269&amp;C271</f>
        <v>Lihue, HIV</v>
      </c>
      <c r="F271" s="56">
        <v>11.9</v>
      </c>
      <c r="G271" s="56">
        <v>12.5</v>
      </c>
      <c r="H271" s="56">
        <v>13.2</v>
      </c>
      <c r="I271" s="56">
        <v>14.3</v>
      </c>
      <c r="J271" s="56">
        <v>12.8</v>
      </c>
      <c r="K271" s="56">
        <v>14.3</v>
      </c>
      <c r="L271" s="56">
        <v>14.8</v>
      </c>
      <c r="M271" s="56">
        <v>14.3</v>
      </c>
      <c r="N271" s="56">
        <v>13</v>
      </c>
      <c r="O271" s="56">
        <v>13</v>
      </c>
      <c r="P271" s="56">
        <v>13.2</v>
      </c>
      <c r="Q271" s="56">
        <v>12.8</v>
      </c>
      <c r="R271" s="57">
        <v>13.4</v>
      </c>
    </row>
    <row r="272" spans="2:18" x14ac:dyDescent="0.4">
      <c r="B272" s="50"/>
      <c r="C272" s="51" t="s">
        <v>260</v>
      </c>
      <c r="D272" s="49" t="s">
        <v>261</v>
      </c>
      <c r="E272" s="49" t="str">
        <f>B269&amp;C272</f>
        <v>Lihue, HII</v>
      </c>
      <c r="F272" s="56">
        <v>1193</v>
      </c>
      <c r="G272" s="56">
        <v>1375</v>
      </c>
      <c r="H272" s="56">
        <v>1566</v>
      </c>
      <c r="I272" s="56">
        <v>1755</v>
      </c>
      <c r="J272" s="56">
        <v>1941</v>
      </c>
      <c r="K272" s="56">
        <v>2022</v>
      </c>
      <c r="L272" s="56">
        <v>1956</v>
      </c>
      <c r="M272" s="56">
        <v>1918</v>
      </c>
      <c r="N272" s="56">
        <v>1779</v>
      </c>
      <c r="O272" s="56">
        <v>1427</v>
      </c>
      <c r="P272" s="56">
        <v>1161</v>
      </c>
      <c r="Q272" s="56">
        <v>1036</v>
      </c>
      <c r="R272" s="57">
        <v>1594</v>
      </c>
    </row>
    <row r="273" spans="2:18" x14ac:dyDescent="0.4">
      <c r="B273" s="50"/>
      <c r="C273" s="51" t="s">
        <v>262</v>
      </c>
      <c r="D273" s="49" t="s">
        <v>263</v>
      </c>
      <c r="E273" s="49" t="str">
        <f>B269&amp;C273</f>
        <v>Lihue, HIPA</v>
      </c>
      <c r="F273" s="58" t="s">
        <v>506</v>
      </c>
      <c r="G273" s="58" t="s">
        <v>506</v>
      </c>
      <c r="H273" s="58" t="s">
        <v>506</v>
      </c>
      <c r="I273" s="58" t="s">
        <v>506</v>
      </c>
      <c r="J273" s="58" t="s">
        <v>506</v>
      </c>
      <c r="K273" s="58" t="s">
        <v>506</v>
      </c>
      <c r="L273" s="58" t="s">
        <v>506</v>
      </c>
      <c r="M273" s="58" t="s">
        <v>506</v>
      </c>
      <c r="N273" s="58" t="s">
        <v>506</v>
      </c>
      <c r="O273" s="58" t="s">
        <v>506</v>
      </c>
      <c r="P273" s="58" t="s">
        <v>506</v>
      </c>
      <c r="Q273" s="58" t="s">
        <v>506</v>
      </c>
      <c r="R273" s="57">
        <v>14.63</v>
      </c>
    </row>
    <row r="274" spans="2:18" x14ac:dyDescent="0.4">
      <c r="B274" s="48" t="s">
        <v>317</v>
      </c>
      <c r="C274" s="51" t="s">
        <v>255</v>
      </c>
      <c r="D274" s="49" t="s">
        <v>256</v>
      </c>
      <c r="E274" s="49" t="str">
        <f>B274&amp;C274</f>
        <v>Boise, IDTAN</v>
      </c>
      <c r="F274" s="56">
        <v>26.2</v>
      </c>
      <c r="G274" s="56">
        <v>29</v>
      </c>
      <c r="H274" s="56">
        <v>34.5</v>
      </c>
      <c r="I274" s="56">
        <v>39.299999999999997</v>
      </c>
      <c r="J274" s="56">
        <v>47.2</v>
      </c>
      <c r="K274" s="56">
        <v>53.9</v>
      </c>
      <c r="L274" s="56">
        <v>61.5</v>
      </c>
      <c r="M274" s="56">
        <v>60.5</v>
      </c>
      <c r="N274" s="56">
        <v>52.2</v>
      </c>
      <c r="O274" s="56">
        <v>41.3</v>
      </c>
      <c r="P274" s="56">
        <v>31.9</v>
      </c>
      <c r="Q274" s="56">
        <v>26.2</v>
      </c>
      <c r="R274" s="57">
        <v>42</v>
      </c>
    </row>
    <row r="275" spans="2:18" x14ac:dyDescent="0.4">
      <c r="B275" s="50"/>
      <c r="C275" s="51" t="s">
        <v>257</v>
      </c>
      <c r="D275" s="49" t="s">
        <v>256</v>
      </c>
      <c r="E275" s="49" t="str">
        <f>B274&amp;C275</f>
        <v>Boise, IDTAX</v>
      </c>
      <c r="F275" s="56">
        <v>38.5</v>
      </c>
      <c r="G275" s="56">
        <v>45.3</v>
      </c>
      <c r="H275" s="56">
        <v>54.4</v>
      </c>
      <c r="I275" s="56">
        <v>61</v>
      </c>
      <c r="J275" s="56">
        <v>71.3</v>
      </c>
      <c r="K275" s="56">
        <v>80</v>
      </c>
      <c r="L275" s="56">
        <v>91.3</v>
      </c>
      <c r="M275" s="56">
        <v>89.3</v>
      </c>
      <c r="N275" s="56">
        <v>79.099999999999994</v>
      </c>
      <c r="O275" s="56">
        <v>64</v>
      </c>
      <c r="P275" s="56">
        <v>47.8</v>
      </c>
      <c r="Q275" s="56">
        <v>38.5</v>
      </c>
      <c r="R275" s="57">
        <v>63.4</v>
      </c>
    </row>
    <row r="276" spans="2:18" x14ac:dyDescent="0.4">
      <c r="B276" s="50"/>
      <c r="C276" s="51" t="s">
        <v>258</v>
      </c>
      <c r="D276" s="49" t="s">
        <v>259</v>
      </c>
      <c r="E276" s="49" t="str">
        <f>B274&amp;C276</f>
        <v>Boise, IDV</v>
      </c>
      <c r="F276" s="56">
        <v>6.9</v>
      </c>
      <c r="G276" s="56">
        <v>7.6</v>
      </c>
      <c r="H276" s="56">
        <v>8.6999999999999993</v>
      </c>
      <c r="I276" s="56">
        <v>8.6999999999999993</v>
      </c>
      <c r="J276" s="56">
        <v>8.3000000000000007</v>
      </c>
      <c r="K276" s="56">
        <v>8.1</v>
      </c>
      <c r="L276" s="56">
        <v>7.6</v>
      </c>
      <c r="M276" s="56">
        <v>7.4</v>
      </c>
      <c r="N276" s="56">
        <v>7.2</v>
      </c>
      <c r="O276" s="56">
        <v>7.2</v>
      </c>
      <c r="P276" s="56">
        <v>6.9</v>
      </c>
      <c r="Q276" s="56">
        <v>7.4</v>
      </c>
      <c r="R276" s="57">
        <v>7.6</v>
      </c>
    </row>
    <row r="277" spans="2:18" x14ac:dyDescent="0.4">
      <c r="B277" s="50"/>
      <c r="C277" s="51" t="s">
        <v>260</v>
      </c>
      <c r="D277" s="49" t="s">
        <v>261</v>
      </c>
      <c r="E277" s="49" t="str">
        <f>B274&amp;C277</f>
        <v>Boise, IDI</v>
      </c>
      <c r="F277" s="56">
        <v>492</v>
      </c>
      <c r="G277" s="56">
        <v>831</v>
      </c>
      <c r="H277" s="56">
        <v>1255</v>
      </c>
      <c r="I277" s="56">
        <v>1705</v>
      </c>
      <c r="J277" s="56">
        <v>2135</v>
      </c>
      <c r="K277" s="56">
        <v>2360</v>
      </c>
      <c r="L277" s="56">
        <v>2476</v>
      </c>
      <c r="M277" s="56">
        <v>2163</v>
      </c>
      <c r="N277" s="56">
        <v>1695</v>
      </c>
      <c r="O277" s="56">
        <v>1102</v>
      </c>
      <c r="P277" s="56">
        <v>580</v>
      </c>
      <c r="Q277" s="56">
        <v>427</v>
      </c>
      <c r="R277" s="57">
        <v>1435</v>
      </c>
    </row>
    <row r="278" spans="2:18" x14ac:dyDescent="0.4">
      <c r="B278" s="50"/>
      <c r="C278" s="51" t="s">
        <v>262</v>
      </c>
      <c r="D278" s="49" t="s">
        <v>263</v>
      </c>
      <c r="E278" s="49" t="str">
        <f>B274&amp;C278</f>
        <v>Boise, IDPA</v>
      </c>
      <c r="F278" s="58" t="s">
        <v>506</v>
      </c>
      <c r="G278" s="58" t="s">
        <v>506</v>
      </c>
      <c r="H278" s="58" t="s">
        <v>506</v>
      </c>
      <c r="I278" s="58" t="s">
        <v>506</v>
      </c>
      <c r="J278" s="58" t="s">
        <v>506</v>
      </c>
      <c r="K278" s="58" t="s">
        <v>506</v>
      </c>
      <c r="L278" s="58" t="s">
        <v>506</v>
      </c>
      <c r="M278" s="58" t="s">
        <v>506</v>
      </c>
      <c r="N278" s="58" t="s">
        <v>506</v>
      </c>
      <c r="O278" s="58" t="s">
        <v>506</v>
      </c>
      <c r="P278" s="58" t="s">
        <v>506</v>
      </c>
      <c r="Q278" s="58" t="s">
        <v>506</v>
      </c>
      <c r="R278" s="57">
        <v>13.52</v>
      </c>
    </row>
    <row r="279" spans="2:18" x14ac:dyDescent="0.4">
      <c r="B279" s="48" t="s">
        <v>318</v>
      </c>
      <c r="C279" s="51" t="s">
        <v>255</v>
      </c>
      <c r="D279" s="49" t="s">
        <v>256</v>
      </c>
      <c r="E279" s="49" t="str">
        <f>B279&amp;C279</f>
        <v>Lewiston, IDTAN</v>
      </c>
      <c r="F279" s="56">
        <v>30.7</v>
      </c>
      <c r="G279" s="56">
        <v>32.4</v>
      </c>
      <c r="H279" s="56">
        <v>36.4</v>
      </c>
      <c r="I279" s="56">
        <v>41.2</v>
      </c>
      <c r="J279" s="56">
        <v>48.1</v>
      </c>
      <c r="K279" s="56">
        <v>54.1</v>
      </c>
      <c r="L279" s="56">
        <v>61.3</v>
      </c>
      <c r="M279" s="56">
        <v>60.3</v>
      </c>
      <c r="N279" s="56">
        <v>52.4</v>
      </c>
      <c r="O279" s="56">
        <v>42</v>
      </c>
      <c r="P279" s="56">
        <v>34.700000000000003</v>
      </c>
      <c r="Q279" s="56">
        <v>29.9</v>
      </c>
      <c r="R279" s="57">
        <v>43.6</v>
      </c>
    </row>
    <row r="280" spans="2:18" x14ac:dyDescent="0.4">
      <c r="B280" s="50"/>
      <c r="C280" s="51" t="s">
        <v>257</v>
      </c>
      <c r="D280" s="49" t="s">
        <v>256</v>
      </c>
      <c r="E280" s="49" t="str">
        <f>B279&amp;C280</f>
        <v>Lewiston, IDTAX</v>
      </c>
      <c r="F280" s="56">
        <v>41.1</v>
      </c>
      <c r="G280" s="56">
        <v>46.7</v>
      </c>
      <c r="H280" s="56">
        <v>54.1</v>
      </c>
      <c r="I280" s="56">
        <v>60.9</v>
      </c>
      <c r="J280" s="56">
        <v>70.099999999999994</v>
      </c>
      <c r="K280" s="56">
        <v>77.099999999999994</v>
      </c>
      <c r="L280" s="56">
        <v>88.9</v>
      </c>
      <c r="M280" s="56">
        <v>88.1</v>
      </c>
      <c r="N280" s="56">
        <v>78.2</v>
      </c>
      <c r="O280" s="56">
        <v>61.6</v>
      </c>
      <c r="P280" s="56">
        <v>47.4</v>
      </c>
      <c r="Q280" s="56">
        <v>39.700000000000003</v>
      </c>
      <c r="R280" s="57">
        <v>62.8</v>
      </c>
    </row>
    <row r="281" spans="2:18" x14ac:dyDescent="0.4">
      <c r="B281" s="50"/>
      <c r="C281" s="51" t="s">
        <v>258</v>
      </c>
      <c r="D281" s="49" t="s">
        <v>259</v>
      </c>
      <c r="E281" s="49" t="str">
        <f>B279&amp;C281</f>
        <v>Lewiston, IDV</v>
      </c>
      <c r="F281" s="56">
        <v>6</v>
      </c>
      <c r="G281" s="56">
        <v>5.6</v>
      </c>
      <c r="H281" s="56">
        <v>6</v>
      </c>
      <c r="I281" s="56">
        <v>6</v>
      </c>
      <c r="J281" s="56">
        <v>5.6</v>
      </c>
      <c r="K281" s="56">
        <v>5.6</v>
      </c>
      <c r="L281" s="56">
        <v>5.6</v>
      </c>
      <c r="M281" s="56">
        <v>5.4</v>
      </c>
      <c r="N281" s="56">
        <v>4.7</v>
      </c>
      <c r="O281" s="56">
        <v>4.7</v>
      </c>
      <c r="P281" s="56">
        <v>5.4</v>
      </c>
      <c r="Q281" s="56">
        <v>6</v>
      </c>
      <c r="R281" s="57">
        <v>5.6</v>
      </c>
    </row>
    <row r="282" spans="2:18" x14ac:dyDescent="0.4">
      <c r="B282" s="50"/>
      <c r="C282" s="51" t="s">
        <v>260</v>
      </c>
      <c r="D282" s="49" t="s">
        <v>261</v>
      </c>
      <c r="E282" s="49" t="str">
        <f>B279&amp;C282</f>
        <v>Lewiston, IDI</v>
      </c>
      <c r="F282" s="56">
        <v>407</v>
      </c>
      <c r="G282" s="56">
        <v>698</v>
      </c>
      <c r="H282" s="56">
        <v>1068</v>
      </c>
      <c r="I282" s="56">
        <v>1497</v>
      </c>
      <c r="J282" s="56">
        <v>1870</v>
      </c>
      <c r="K282" s="56">
        <v>2063</v>
      </c>
      <c r="L282" s="56">
        <v>2307</v>
      </c>
      <c r="M282" s="56">
        <v>2003</v>
      </c>
      <c r="N282" s="56">
        <v>1473</v>
      </c>
      <c r="O282" s="56">
        <v>882</v>
      </c>
      <c r="P282" s="56">
        <v>448</v>
      </c>
      <c r="Q282" s="56">
        <v>326</v>
      </c>
      <c r="R282" s="57">
        <v>1254</v>
      </c>
    </row>
    <row r="283" spans="2:18" x14ac:dyDescent="0.4">
      <c r="B283" s="50"/>
      <c r="C283" s="51" t="s">
        <v>262</v>
      </c>
      <c r="D283" s="49" t="s">
        <v>263</v>
      </c>
      <c r="E283" s="49" t="str">
        <f>B279&amp;C283</f>
        <v>Lewiston, IDPA</v>
      </c>
      <c r="F283" s="58" t="s">
        <v>506</v>
      </c>
      <c r="G283" s="58" t="s">
        <v>506</v>
      </c>
      <c r="H283" s="58" t="s">
        <v>506</v>
      </c>
      <c r="I283" s="58" t="s">
        <v>506</v>
      </c>
      <c r="J283" s="58" t="s">
        <v>506</v>
      </c>
      <c r="K283" s="58" t="s">
        <v>506</v>
      </c>
      <c r="L283" s="58" t="s">
        <v>506</v>
      </c>
      <c r="M283" s="58" t="s">
        <v>506</v>
      </c>
      <c r="N283" s="58" t="s">
        <v>506</v>
      </c>
      <c r="O283" s="58" t="s">
        <v>506</v>
      </c>
      <c r="P283" s="58" t="s">
        <v>506</v>
      </c>
      <c r="Q283" s="58" t="s">
        <v>506</v>
      </c>
      <c r="R283" s="57">
        <v>13.95</v>
      </c>
    </row>
    <row r="284" spans="2:18" x14ac:dyDescent="0.4">
      <c r="B284" s="48" t="s">
        <v>319</v>
      </c>
      <c r="C284" s="51" t="s">
        <v>255</v>
      </c>
      <c r="D284" s="49" t="s">
        <v>256</v>
      </c>
      <c r="E284" s="49" t="str">
        <f>B284&amp;C284</f>
        <v>Pocatello, IDTAN</v>
      </c>
      <c r="F284" s="56">
        <v>18</v>
      </c>
      <c r="G284" s="56">
        <v>20.7</v>
      </c>
      <c r="H284" s="56">
        <v>27.9</v>
      </c>
      <c r="I284" s="56">
        <v>33.5</v>
      </c>
      <c r="J284" s="56">
        <v>40.799999999999997</v>
      </c>
      <c r="K284" s="56">
        <v>47</v>
      </c>
      <c r="L284" s="56">
        <v>53.2</v>
      </c>
      <c r="M284" s="56">
        <v>51.5</v>
      </c>
      <c r="N284" s="56">
        <v>42.9</v>
      </c>
      <c r="O284" s="56">
        <v>33.799999999999997</v>
      </c>
      <c r="P284" s="56">
        <v>24.4</v>
      </c>
      <c r="Q284" s="56">
        <v>18.7</v>
      </c>
      <c r="R284" s="57">
        <v>34.4</v>
      </c>
    </row>
    <row r="285" spans="2:18" x14ac:dyDescent="0.4">
      <c r="B285" s="50"/>
      <c r="C285" s="51" t="s">
        <v>257</v>
      </c>
      <c r="D285" s="49" t="s">
        <v>256</v>
      </c>
      <c r="E285" s="49" t="str">
        <f>B284&amp;C285</f>
        <v>Pocatello, IDTAX</v>
      </c>
      <c r="F285" s="56">
        <v>33.4</v>
      </c>
      <c r="G285" s="56">
        <v>38.1</v>
      </c>
      <c r="H285" s="56">
        <v>49</v>
      </c>
      <c r="I285" s="56">
        <v>57.4</v>
      </c>
      <c r="J285" s="56">
        <v>67.900000000000006</v>
      </c>
      <c r="K285" s="56">
        <v>76.7</v>
      </c>
      <c r="L285" s="56">
        <v>87.9</v>
      </c>
      <c r="M285" s="56">
        <v>86.8</v>
      </c>
      <c r="N285" s="56">
        <v>76</v>
      </c>
      <c r="O285" s="56">
        <v>60.7</v>
      </c>
      <c r="P285" s="56">
        <v>44.5</v>
      </c>
      <c r="Q285" s="56">
        <v>33.799999999999997</v>
      </c>
      <c r="R285" s="57">
        <v>59.3</v>
      </c>
    </row>
    <row r="286" spans="2:18" x14ac:dyDescent="0.4">
      <c r="B286" s="50"/>
      <c r="C286" s="51" t="s">
        <v>258</v>
      </c>
      <c r="D286" s="49" t="s">
        <v>259</v>
      </c>
      <c r="E286" s="49" t="str">
        <f>B284&amp;C286</f>
        <v>Pocatello, IDV</v>
      </c>
      <c r="F286" s="56">
        <v>9.4</v>
      </c>
      <c r="G286" s="56">
        <v>8.9</v>
      </c>
      <c r="H286" s="56">
        <v>10.5</v>
      </c>
      <c r="I286" s="56">
        <v>11.2</v>
      </c>
      <c r="J286" s="56">
        <v>10.3</v>
      </c>
      <c r="K286" s="56">
        <v>9.6</v>
      </c>
      <c r="L286" s="56">
        <v>8.5</v>
      </c>
      <c r="M286" s="56">
        <v>8.5</v>
      </c>
      <c r="N286" s="56">
        <v>8.3000000000000007</v>
      </c>
      <c r="O286" s="56">
        <v>9.4</v>
      </c>
      <c r="P286" s="56">
        <v>9.4</v>
      </c>
      <c r="Q286" s="56">
        <v>9.4</v>
      </c>
      <c r="R286" s="57">
        <v>9.4</v>
      </c>
    </row>
    <row r="287" spans="2:18" x14ac:dyDescent="0.4">
      <c r="B287" s="50"/>
      <c r="C287" s="51" t="s">
        <v>260</v>
      </c>
      <c r="D287" s="49" t="s">
        <v>261</v>
      </c>
      <c r="E287" s="49" t="str">
        <f>B284&amp;C287</f>
        <v>Pocatello, IDI</v>
      </c>
      <c r="F287" s="56">
        <v>485</v>
      </c>
      <c r="G287" s="56">
        <v>817</v>
      </c>
      <c r="H287" s="56">
        <v>1292</v>
      </c>
      <c r="I287" s="56">
        <v>1680</v>
      </c>
      <c r="J287" s="56">
        <v>2084</v>
      </c>
      <c r="K287" s="56">
        <v>2327</v>
      </c>
      <c r="L287" s="56">
        <v>2398</v>
      </c>
      <c r="M287" s="56">
        <v>2081</v>
      </c>
      <c r="N287" s="56">
        <v>1634</v>
      </c>
      <c r="O287" s="56">
        <v>1103</v>
      </c>
      <c r="P287" s="56">
        <v>605</v>
      </c>
      <c r="Q287" s="56">
        <v>413</v>
      </c>
      <c r="R287" s="57">
        <v>1410</v>
      </c>
    </row>
    <row r="288" spans="2:18" x14ac:dyDescent="0.4">
      <c r="B288" s="50"/>
      <c r="C288" s="51" t="s">
        <v>262</v>
      </c>
      <c r="D288" s="49" t="s">
        <v>263</v>
      </c>
      <c r="E288" s="49" t="str">
        <f>B284&amp;C288</f>
        <v>Pocatello, IDPA</v>
      </c>
      <c r="F288" s="58" t="s">
        <v>506</v>
      </c>
      <c r="G288" s="58" t="s">
        <v>506</v>
      </c>
      <c r="H288" s="58" t="s">
        <v>506</v>
      </c>
      <c r="I288" s="58" t="s">
        <v>506</v>
      </c>
      <c r="J288" s="58" t="s">
        <v>506</v>
      </c>
      <c r="K288" s="58" t="s">
        <v>506</v>
      </c>
      <c r="L288" s="58" t="s">
        <v>506</v>
      </c>
      <c r="M288" s="58" t="s">
        <v>506</v>
      </c>
      <c r="N288" s="58" t="s">
        <v>506</v>
      </c>
      <c r="O288" s="58" t="s">
        <v>506</v>
      </c>
      <c r="P288" s="58" t="s">
        <v>506</v>
      </c>
      <c r="Q288" s="58" t="s">
        <v>506</v>
      </c>
      <c r="R288" s="57">
        <v>12.52</v>
      </c>
    </row>
    <row r="289" spans="2:18" x14ac:dyDescent="0.4">
      <c r="B289" s="48" t="s">
        <v>320</v>
      </c>
      <c r="C289" s="51" t="s">
        <v>255</v>
      </c>
      <c r="D289" s="49" t="s">
        <v>256</v>
      </c>
      <c r="E289" s="49" t="str">
        <f>B289&amp;C289</f>
        <v>Chicago, ILTAN</v>
      </c>
      <c r="F289" s="56">
        <v>17.7</v>
      </c>
      <c r="G289" s="56">
        <v>21.4</v>
      </c>
      <c r="H289" s="56">
        <v>29.8</v>
      </c>
      <c r="I289" s="56">
        <v>39.799999999999997</v>
      </c>
      <c r="J289" s="56">
        <v>49.3</v>
      </c>
      <c r="K289" s="56">
        <v>59.3</v>
      </c>
      <c r="L289" s="56">
        <v>64.900000000000006</v>
      </c>
      <c r="M289" s="56">
        <v>64</v>
      </c>
      <c r="N289" s="56">
        <v>55.3</v>
      </c>
      <c r="O289" s="56">
        <v>44.2</v>
      </c>
      <c r="P289" s="56">
        <v>33.299999999999997</v>
      </c>
      <c r="Q289" s="56">
        <v>22.3</v>
      </c>
      <c r="R289" s="57">
        <v>41.8</v>
      </c>
    </row>
    <row r="290" spans="2:18" x14ac:dyDescent="0.4">
      <c r="B290" s="50"/>
      <c r="C290" s="51" t="s">
        <v>257</v>
      </c>
      <c r="D290" s="49" t="s">
        <v>256</v>
      </c>
      <c r="E290" s="49" t="str">
        <f>B289&amp;C290</f>
        <v>Chicago, ILTAX</v>
      </c>
      <c r="F290" s="56">
        <v>30.7</v>
      </c>
      <c r="G290" s="56">
        <v>35.200000000000003</v>
      </c>
      <c r="H290" s="56">
        <v>46</v>
      </c>
      <c r="I290" s="56">
        <v>58.4</v>
      </c>
      <c r="J290" s="56">
        <v>69.099999999999994</v>
      </c>
      <c r="K290" s="56">
        <v>78.900000000000006</v>
      </c>
      <c r="L290" s="56">
        <v>83</v>
      </c>
      <c r="M290" s="56">
        <v>81</v>
      </c>
      <c r="N290" s="56">
        <v>74.2</v>
      </c>
      <c r="O290" s="56">
        <v>61.8</v>
      </c>
      <c r="P290" s="56">
        <v>47.7</v>
      </c>
      <c r="Q290" s="56">
        <v>34.9</v>
      </c>
      <c r="R290" s="57">
        <v>58.4</v>
      </c>
    </row>
    <row r="291" spans="2:18" x14ac:dyDescent="0.4">
      <c r="B291" s="50"/>
      <c r="C291" s="51" t="s">
        <v>258</v>
      </c>
      <c r="D291" s="49" t="s">
        <v>259</v>
      </c>
      <c r="E291" s="49" t="str">
        <f>B289&amp;C291</f>
        <v>Chicago, ILV</v>
      </c>
      <c r="F291" s="56">
        <v>11</v>
      </c>
      <c r="G291" s="56">
        <v>10.7</v>
      </c>
      <c r="H291" s="56">
        <v>11</v>
      </c>
      <c r="I291" s="56">
        <v>11.2</v>
      </c>
      <c r="J291" s="56">
        <v>9.8000000000000007</v>
      </c>
      <c r="K291" s="56">
        <v>8.5</v>
      </c>
      <c r="L291" s="56">
        <v>8.3000000000000007</v>
      </c>
      <c r="M291" s="56">
        <v>7.8</v>
      </c>
      <c r="N291" s="56">
        <v>8.3000000000000007</v>
      </c>
      <c r="O291" s="56">
        <v>9.6</v>
      </c>
      <c r="P291" s="56">
        <v>10.5</v>
      </c>
      <c r="Q291" s="56">
        <v>10.3</v>
      </c>
      <c r="R291" s="57">
        <v>9.8000000000000007</v>
      </c>
    </row>
    <row r="292" spans="2:18" x14ac:dyDescent="0.4">
      <c r="B292" s="50"/>
      <c r="C292" s="51" t="s">
        <v>260</v>
      </c>
      <c r="D292" s="49" t="s">
        <v>261</v>
      </c>
      <c r="E292" s="49" t="str">
        <f>B289&amp;C292</f>
        <v>Chicago, ILI</v>
      </c>
      <c r="F292" s="56">
        <v>487</v>
      </c>
      <c r="G292" s="56">
        <v>755</v>
      </c>
      <c r="H292" s="56">
        <v>1103</v>
      </c>
      <c r="I292" s="56">
        <v>1453</v>
      </c>
      <c r="J292" s="56">
        <v>1718</v>
      </c>
      <c r="K292" s="56">
        <v>1939</v>
      </c>
      <c r="L292" s="56">
        <v>1898</v>
      </c>
      <c r="M292" s="56">
        <v>1621</v>
      </c>
      <c r="N292" s="56">
        <v>1332</v>
      </c>
      <c r="O292" s="56">
        <v>913</v>
      </c>
      <c r="P292" s="56">
        <v>549</v>
      </c>
      <c r="Q292" s="56">
        <v>423</v>
      </c>
      <c r="R292" s="57">
        <v>1183</v>
      </c>
    </row>
    <row r="293" spans="2:18" x14ac:dyDescent="0.4">
      <c r="B293" s="50"/>
      <c r="C293" s="51" t="s">
        <v>262</v>
      </c>
      <c r="D293" s="49" t="s">
        <v>263</v>
      </c>
      <c r="E293" s="49" t="str">
        <f>B289&amp;C293</f>
        <v>Chicago, ILPA</v>
      </c>
      <c r="F293" s="58" t="s">
        <v>506</v>
      </c>
      <c r="G293" s="58" t="s">
        <v>506</v>
      </c>
      <c r="H293" s="58" t="s">
        <v>506</v>
      </c>
      <c r="I293" s="58" t="s">
        <v>506</v>
      </c>
      <c r="J293" s="58" t="s">
        <v>506</v>
      </c>
      <c r="K293" s="58" t="s">
        <v>506</v>
      </c>
      <c r="L293" s="58" t="s">
        <v>506</v>
      </c>
      <c r="M293" s="58" t="s">
        <v>506</v>
      </c>
      <c r="N293" s="58" t="s">
        <v>506</v>
      </c>
      <c r="O293" s="58" t="s">
        <v>506</v>
      </c>
      <c r="P293" s="58" t="s">
        <v>506</v>
      </c>
      <c r="Q293" s="58" t="s">
        <v>506</v>
      </c>
      <c r="R293" s="57">
        <v>14.34</v>
      </c>
    </row>
    <row r="294" spans="2:18" x14ac:dyDescent="0.4">
      <c r="B294" s="48" t="s">
        <v>321</v>
      </c>
      <c r="C294" s="51" t="s">
        <v>255</v>
      </c>
      <c r="D294" s="49" t="s">
        <v>256</v>
      </c>
      <c r="E294" s="49" t="str">
        <f>B294&amp;C294</f>
        <v>Moline, ILTAN</v>
      </c>
      <c r="F294" s="56">
        <v>15.3</v>
      </c>
      <c r="G294" s="56">
        <v>20.2</v>
      </c>
      <c r="H294" s="56">
        <v>29.9</v>
      </c>
      <c r="I294" s="56">
        <v>40.9</v>
      </c>
      <c r="J294" s="56">
        <v>51.2</v>
      </c>
      <c r="K294" s="56">
        <v>61</v>
      </c>
      <c r="L294" s="56">
        <v>65.099999999999994</v>
      </c>
      <c r="M294" s="56">
        <v>63.5</v>
      </c>
      <c r="N294" s="56">
        <v>54.2</v>
      </c>
      <c r="O294" s="56">
        <v>43.2</v>
      </c>
      <c r="P294" s="56">
        <v>31.9</v>
      </c>
      <c r="Q294" s="56">
        <v>20.3</v>
      </c>
      <c r="R294" s="57">
        <v>41.4</v>
      </c>
    </row>
    <row r="295" spans="2:18" x14ac:dyDescent="0.4">
      <c r="B295" s="50"/>
      <c r="C295" s="51" t="s">
        <v>257</v>
      </c>
      <c r="D295" s="49" t="s">
        <v>256</v>
      </c>
      <c r="E295" s="49" t="str">
        <f>B294&amp;C295</f>
        <v>Moline, ILTAX</v>
      </c>
      <c r="F295" s="56">
        <v>30.5</v>
      </c>
      <c r="G295" s="56">
        <v>35.799999999999997</v>
      </c>
      <c r="H295" s="56">
        <v>48.7</v>
      </c>
      <c r="I295" s="56">
        <v>62.1</v>
      </c>
      <c r="J295" s="56">
        <v>72.3</v>
      </c>
      <c r="K295" s="56">
        <v>81.599999999999994</v>
      </c>
      <c r="L295" s="56">
        <v>84.5</v>
      </c>
      <c r="M295" s="56">
        <v>82.8</v>
      </c>
      <c r="N295" s="56">
        <v>76.2</v>
      </c>
      <c r="O295" s="56">
        <v>63.8</v>
      </c>
      <c r="P295" s="56">
        <v>48.7</v>
      </c>
      <c r="Q295" s="56">
        <v>34.9</v>
      </c>
      <c r="R295" s="57">
        <v>60.2</v>
      </c>
    </row>
    <row r="296" spans="2:18" x14ac:dyDescent="0.4">
      <c r="B296" s="50"/>
      <c r="C296" s="51" t="s">
        <v>258</v>
      </c>
      <c r="D296" s="49" t="s">
        <v>259</v>
      </c>
      <c r="E296" s="49" t="str">
        <f>B294&amp;C296</f>
        <v>Moline, ILV</v>
      </c>
      <c r="F296" s="56">
        <v>9.1999999999999993</v>
      </c>
      <c r="G296" s="56">
        <v>8.9</v>
      </c>
      <c r="H296" s="56">
        <v>9.8000000000000007</v>
      </c>
      <c r="I296" s="56">
        <v>10.1</v>
      </c>
      <c r="J296" s="56">
        <v>8.5</v>
      </c>
      <c r="K296" s="56">
        <v>6.9</v>
      </c>
      <c r="L296" s="56">
        <v>6.3</v>
      </c>
      <c r="M296" s="56">
        <v>5.8</v>
      </c>
      <c r="N296" s="56">
        <v>6.5</v>
      </c>
      <c r="O296" s="56">
        <v>7.8</v>
      </c>
      <c r="P296" s="56">
        <v>8.6999999999999993</v>
      </c>
      <c r="Q296" s="56">
        <v>8.5</v>
      </c>
      <c r="R296" s="57">
        <v>8.1</v>
      </c>
    </row>
    <row r="297" spans="2:18" x14ac:dyDescent="0.4">
      <c r="B297" s="50"/>
      <c r="C297" s="51" t="s">
        <v>260</v>
      </c>
      <c r="D297" s="49" t="s">
        <v>261</v>
      </c>
      <c r="E297" s="49" t="str">
        <f>B294&amp;C297</f>
        <v>Moline, ILI</v>
      </c>
      <c r="F297" s="56">
        <v>532</v>
      </c>
      <c r="G297" s="56">
        <v>798</v>
      </c>
      <c r="H297" s="56">
        <v>1181</v>
      </c>
      <c r="I297" s="56">
        <v>1469</v>
      </c>
      <c r="J297" s="56">
        <v>1756</v>
      </c>
      <c r="K297" s="56">
        <v>1959</v>
      </c>
      <c r="L297" s="56">
        <v>1949</v>
      </c>
      <c r="M297" s="56">
        <v>1712</v>
      </c>
      <c r="N297" s="56">
        <v>1400</v>
      </c>
      <c r="O297" s="56">
        <v>946</v>
      </c>
      <c r="P297" s="56">
        <v>593</v>
      </c>
      <c r="Q297" s="56">
        <v>456</v>
      </c>
      <c r="R297" s="57">
        <v>1229</v>
      </c>
    </row>
    <row r="298" spans="2:18" x14ac:dyDescent="0.4">
      <c r="B298" s="50"/>
      <c r="C298" s="51" t="s">
        <v>262</v>
      </c>
      <c r="D298" s="49" t="s">
        <v>263</v>
      </c>
      <c r="E298" s="49" t="str">
        <f>B294&amp;C298</f>
        <v>Moline, ILPA</v>
      </c>
      <c r="F298" s="58" t="s">
        <v>506</v>
      </c>
      <c r="G298" s="58" t="s">
        <v>506</v>
      </c>
      <c r="H298" s="58" t="s">
        <v>506</v>
      </c>
      <c r="I298" s="58" t="s">
        <v>506</v>
      </c>
      <c r="J298" s="58" t="s">
        <v>506</v>
      </c>
      <c r="K298" s="58" t="s">
        <v>506</v>
      </c>
      <c r="L298" s="58" t="s">
        <v>506</v>
      </c>
      <c r="M298" s="58" t="s">
        <v>506</v>
      </c>
      <c r="N298" s="58" t="s">
        <v>506</v>
      </c>
      <c r="O298" s="58" t="s">
        <v>506</v>
      </c>
      <c r="P298" s="58" t="s">
        <v>506</v>
      </c>
      <c r="Q298" s="58" t="s">
        <v>506</v>
      </c>
      <c r="R298" s="57">
        <v>14.39</v>
      </c>
    </row>
    <row r="299" spans="2:18" x14ac:dyDescent="0.4">
      <c r="B299" s="48" t="s">
        <v>322</v>
      </c>
      <c r="C299" s="51" t="s">
        <v>255</v>
      </c>
      <c r="D299" s="49" t="s">
        <v>256</v>
      </c>
      <c r="E299" s="49" t="str">
        <f>B299&amp;C299</f>
        <v>Peoria, ILTAN</v>
      </c>
      <c r="F299" s="56">
        <v>17.8</v>
      </c>
      <c r="G299" s="56">
        <v>22.2</v>
      </c>
      <c r="H299" s="56">
        <v>31.4</v>
      </c>
      <c r="I299" s="56">
        <v>42.4</v>
      </c>
      <c r="J299" s="56">
        <v>52.4</v>
      </c>
      <c r="K299" s="56">
        <v>62</v>
      </c>
      <c r="L299" s="56">
        <v>65.8</v>
      </c>
      <c r="M299" s="56">
        <v>64.599999999999994</v>
      </c>
      <c r="N299" s="56">
        <v>55.7</v>
      </c>
      <c r="O299" s="56">
        <v>44.3</v>
      </c>
      <c r="P299" s="56">
        <v>33.299999999999997</v>
      </c>
      <c r="Q299" s="56">
        <v>22.5</v>
      </c>
      <c r="R299" s="57">
        <v>42.9</v>
      </c>
    </row>
    <row r="300" spans="2:18" x14ac:dyDescent="0.4">
      <c r="B300" s="50"/>
      <c r="C300" s="51" t="s">
        <v>257</v>
      </c>
      <c r="D300" s="49" t="s">
        <v>256</v>
      </c>
      <c r="E300" s="49" t="str">
        <f>B299&amp;C300</f>
        <v>Peoria, ILTAX</v>
      </c>
      <c r="F300" s="56">
        <v>32.1</v>
      </c>
      <c r="G300" s="56">
        <v>37.799999999999997</v>
      </c>
      <c r="H300" s="56">
        <v>50</v>
      </c>
      <c r="I300" s="56">
        <v>62.6</v>
      </c>
      <c r="J300" s="56">
        <v>72.3</v>
      </c>
      <c r="K300" s="56">
        <v>81.400000000000006</v>
      </c>
      <c r="L300" s="56">
        <v>84.5</v>
      </c>
      <c r="M300" s="56">
        <v>83</v>
      </c>
      <c r="N300" s="56">
        <v>76.5</v>
      </c>
      <c r="O300" s="56">
        <v>64.099999999999994</v>
      </c>
      <c r="P300" s="56">
        <v>49.7</v>
      </c>
      <c r="Q300" s="56">
        <v>36.4</v>
      </c>
      <c r="R300" s="57">
        <v>60.9</v>
      </c>
    </row>
    <row r="301" spans="2:18" x14ac:dyDescent="0.4">
      <c r="B301" s="50"/>
      <c r="C301" s="51" t="s">
        <v>258</v>
      </c>
      <c r="D301" s="49" t="s">
        <v>259</v>
      </c>
      <c r="E301" s="49" t="str">
        <f>B299&amp;C301</f>
        <v>Peoria, ILV</v>
      </c>
      <c r="F301" s="56">
        <v>9.1999999999999993</v>
      </c>
      <c r="G301" s="56">
        <v>9.1999999999999993</v>
      </c>
      <c r="H301" s="56">
        <v>9.8000000000000007</v>
      </c>
      <c r="I301" s="56">
        <v>10.1</v>
      </c>
      <c r="J301" s="56">
        <v>8.5</v>
      </c>
      <c r="K301" s="56">
        <v>7.2</v>
      </c>
      <c r="L301" s="56">
        <v>6.5</v>
      </c>
      <c r="M301" s="56">
        <v>6</v>
      </c>
      <c r="N301" s="56">
        <v>6.5</v>
      </c>
      <c r="O301" s="56">
        <v>7.8</v>
      </c>
      <c r="P301" s="56">
        <v>8.9</v>
      </c>
      <c r="Q301" s="56">
        <v>8.6999999999999993</v>
      </c>
      <c r="R301" s="57">
        <v>8.3000000000000007</v>
      </c>
    </row>
    <row r="302" spans="2:18" x14ac:dyDescent="0.4">
      <c r="B302" s="50"/>
      <c r="C302" s="51" t="s">
        <v>260</v>
      </c>
      <c r="D302" s="49" t="s">
        <v>261</v>
      </c>
      <c r="E302" s="49" t="str">
        <f>B299&amp;C302</f>
        <v>Peoria, ILI</v>
      </c>
      <c r="F302" s="56">
        <v>553</v>
      </c>
      <c r="G302" s="56">
        <v>845</v>
      </c>
      <c r="H302" s="56">
        <v>1179</v>
      </c>
      <c r="I302" s="56">
        <v>1503</v>
      </c>
      <c r="J302" s="56">
        <v>1746</v>
      </c>
      <c r="K302" s="56">
        <v>1990</v>
      </c>
      <c r="L302" s="56">
        <v>1982</v>
      </c>
      <c r="M302" s="56">
        <v>1724</v>
      </c>
      <c r="N302" s="56">
        <v>1444</v>
      </c>
      <c r="O302" s="56">
        <v>983</v>
      </c>
      <c r="P302" s="56">
        <v>608</v>
      </c>
      <c r="Q302" s="56">
        <v>475</v>
      </c>
      <c r="R302" s="57">
        <v>1253</v>
      </c>
    </row>
    <row r="303" spans="2:18" x14ac:dyDescent="0.4">
      <c r="B303" s="50"/>
      <c r="C303" s="51" t="s">
        <v>262</v>
      </c>
      <c r="D303" s="49" t="s">
        <v>263</v>
      </c>
      <c r="E303" s="49" t="str">
        <f>B299&amp;C303</f>
        <v>Peoria, ILPA</v>
      </c>
      <c r="F303" s="58" t="s">
        <v>506</v>
      </c>
      <c r="G303" s="58" t="s">
        <v>506</v>
      </c>
      <c r="H303" s="58" t="s">
        <v>506</v>
      </c>
      <c r="I303" s="58" t="s">
        <v>506</v>
      </c>
      <c r="J303" s="58" t="s">
        <v>506</v>
      </c>
      <c r="K303" s="58" t="s">
        <v>506</v>
      </c>
      <c r="L303" s="58" t="s">
        <v>506</v>
      </c>
      <c r="M303" s="58" t="s">
        <v>506</v>
      </c>
      <c r="N303" s="58" t="s">
        <v>506</v>
      </c>
      <c r="O303" s="58" t="s">
        <v>506</v>
      </c>
      <c r="P303" s="58" t="s">
        <v>506</v>
      </c>
      <c r="Q303" s="58" t="s">
        <v>506</v>
      </c>
      <c r="R303" s="57">
        <v>14.34</v>
      </c>
    </row>
    <row r="304" spans="2:18" x14ac:dyDescent="0.4">
      <c r="B304" s="48" t="s">
        <v>323</v>
      </c>
      <c r="C304" s="51" t="s">
        <v>255</v>
      </c>
      <c r="D304" s="49" t="s">
        <v>256</v>
      </c>
      <c r="E304" s="49" t="str">
        <f>B304&amp;C304</f>
        <v>Rockford, ILTAN</v>
      </c>
      <c r="F304" s="56">
        <v>14.1</v>
      </c>
      <c r="G304" s="56">
        <v>18.5</v>
      </c>
      <c r="H304" s="56">
        <v>27.7</v>
      </c>
      <c r="I304" s="56">
        <v>38.6</v>
      </c>
      <c r="J304" s="56">
        <v>48.9</v>
      </c>
      <c r="K304" s="56">
        <v>59.1</v>
      </c>
      <c r="L304" s="56">
        <v>62.8</v>
      </c>
      <c r="M304" s="56">
        <v>61.6</v>
      </c>
      <c r="N304" s="56">
        <v>52.6</v>
      </c>
      <c r="O304" s="56">
        <v>41.4</v>
      </c>
      <c r="P304" s="56">
        <v>30.6</v>
      </c>
      <c r="Q304" s="56">
        <v>18.899999999999999</v>
      </c>
      <c r="R304" s="57">
        <v>39.6</v>
      </c>
    </row>
    <row r="305" spans="2:18" x14ac:dyDescent="0.4">
      <c r="B305" s="50"/>
      <c r="C305" s="51" t="s">
        <v>257</v>
      </c>
      <c r="D305" s="49" t="s">
        <v>256</v>
      </c>
      <c r="E305" s="49" t="str">
        <f>B304&amp;C305</f>
        <v>Rockford, ILTAX</v>
      </c>
      <c r="F305" s="56">
        <v>28.3</v>
      </c>
      <c r="G305" s="56">
        <v>33.4</v>
      </c>
      <c r="H305" s="56">
        <v>45.7</v>
      </c>
      <c r="I305" s="56">
        <v>59.4</v>
      </c>
      <c r="J305" s="56">
        <v>70.099999999999994</v>
      </c>
      <c r="K305" s="56">
        <v>79.5</v>
      </c>
      <c r="L305" s="56">
        <v>82.5</v>
      </c>
      <c r="M305" s="56">
        <v>81</v>
      </c>
      <c r="N305" s="56">
        <v>74.2</v>
      </c>
      <c r="O305" s="56">
        <v>61.7</v>
      </c>
      <c r="P305" s="56">
        <v>46.5</v>
      </c>
      <c r="Q305" s="56">
        <v>32.799999999999997</v>
      </c>
      <c r="R305" s="57">
        <v>57.9</v>
      </c>
    </row>
    <row r="306" spans="2:18" x14ac:dyDescent="0.4">
      <c r="B306" s="50"/>
      <c r="C306" s="51" t="s">
        <v>258</v>
      </c>
      <c r="D306" s="49" t="s">
        <v>259</v>
      </c>
      <c r="E306" s="49" t="str">
        <f>B304&amp;C306</f>
        <v>Rockford, ILV</v>
      </c>
      <c r="F306" s="56">
        <v>9.8000000000000007</v>
      </c>
      <c r="G306" s="56">
        <v>9.8000000000000007</v>
      </c>
      <c r="H306" s="56">
        <v>10.5</v>
      </c>
      <c r="I306" s="56">
        <v>11.2</v>
      </c>
      <c r="J306" s="56">
        <v>9.6</v>
      </c>
      <c r="K306" s="56">
        <v>7.8</v>
      </c>
      <c r="L306" s="56">
        <v>7.2</v>
      </c>
      <c r="M306" s="56">
        <v>6.7</v>
      </c>
      <c r="N306" s="56">
        <v>7.4</v>
      </c>
      <c r="O306" s="56">
        <v>8.9</v>
      </c>
      <c r="P306" s="56">
        <v>9.8000000000000007</v>
      </c>
      <c r="Q306" s="56">
        <v>9.4</v>
      </c>
      <c r="R306" s="57">
        <v>8.9</v>
      </c>
    </row>
    <row r="307" spans="2:18" x14ac:dyDescent="0.4">
      <c r="B307" s="50"/>
      <c r="C307" s="51" t="s">
        <v>260</v>
      </c>
      <c r="D307" s="49" t="s">
        <v>261</v>
      </c>
      <c r="E307" s="49" t="str">
        <f>B304&amp;C307</f>
        <v>Rockford, ILI</v>
      </c>
      <c r="F307" s="56">
        <v>483</v>
      </c>
      <c r="G307" s="56">
        <v>766</v>
      </c>
      <c r="H307" s="56">
        <v>1123</v>
      </c>
      <c r="I307" s="56">
        <v>1442</v>
      </c>
      <c r="J307" s="56">
        <v>1700</v>
      </c>
      <c r="K307" s="56">
        <v>1933</v>
      </c>
      <c r="L307" s="56">
        <v>1881</v>
      </c>
      <c r="M307" s="56">
        <v>1647</v>
      </c>
      <c r="N307" s="56">
        <v>1337</v>
      </c>
      <c r="O307" s="56">
        <v>902</v>
      </c>
      <c r="P307" s="56">
        <v>545</v>
      </c>
      <c r="Q307" s="56">
        <v>401</v>
      </c>
      <c r="R307" s="57">
        <v>1180</v>
      </c>
    </row>
    <row r="308" spans="2:18" x14ac:dyDescent="0.4">
      <c r="B308" s="50"/>
      <c r="C308" s="51" t="s">
        <v>262</v>
      </c>
      <c r="D308" s="49" t="s">
        <v>263</v>
      </c>
      <c r="E308" s="49" t="str">
        <f>B304&amp;C308</f>
        <v>Rockford, ILPA</v>
      </c>
      <c r="F308" s="58" t="s">
        <v>506</v>
      </c>
      <c r="G308" s="58" t="s">
        <v>506</v>
      </c>
      <c r="H308" s="58" t="s">
        <v>506</v>
      </c>
      <c r="I308" s="58" t="s">
        <v>506</v>
      </c>
      <c r="J308" s="58" t="s">
        <v>506</v>
      </c>
      <c r="K308" s="58" t="s">
        <v>506</v>
      </c>
      <c r="L308" s="58" t="s">
        <v>506</v>
      </c>
      <c r="M308" s="58" t="s">
        <v>506</v>
      </c>
      <c r="N308" s="58" t="s">
        <v>506</v>
      </c>
      <c r="O308" s="58" t="s">
        <v>506</v>
      </c>
      <c r="P308" s="58" t="s">
        <v>506</v>
      </c>
      <c r="Q308" s="58" t="s">
        <v>506</v>
      </c>
      <c r="R308" s="57">
        <v>14.32</v>
      </c>
    </row>
    <row r="309" spans="2:18" ht="20.6" x14ac:dyDescent="0.4">
      <c r="B309" s="48" t="s">
        <v>324</v>
      </c>
      <c r="C309" s="51" t="s">
        <v>255</v>
      </c>
      <c r="D309" s="49" t="s">
        <v>256</v>
      </c>
      <c r="E309" s="49" t="str">
        <f>B309&amp;C309</f>
        <v>Springfield_IL, ILTAN</v>
      </c>
      <c r="F309" s="56">
        <v>19.899999999999999</v>
      </c>
      <c r="G309" s="56">
        <v>24.2</v>
      </c>
      <c r="H309" s="56">
        <v>32.9</v>
      </c>
      <c r="I309" s="56">
        <v>43.4</v>
      </c>
      <c r="J309" s="56">
        <v>53.8</v>
      </c>
      <c r="K309" s="56">
        <v>62.7</v>
      </c>
      <c r="L309" s="56">
        <v>65.599999999999994</v>
      </c>
      <c r="M309" s="56">
        <v>64.5</v>
      </c>
      <c r="N309" s="56">
        <v>55</v>
      </c>
      <c r="O309" s="56">
        <v>44.6</v>
      </c>
      <c r="P309" s="56">
        <v>34.6</v>
      </c>
      <c r="Q309" s="56">
        <v>24.4</v>
      </c>
      <c r="R309" s="57">
        <v>43.8</v>
      </c>
    </row>
    <row r="310" spans="2:18" ht="20.6" x14ac:dyDescent="0.4">
      <c r="B310" s="50"/>
      <c r="C310" s="51" t="s">
        <v>257</v>
      </c>
      <c r="D310" s="49" t="s">
        <v>256</v>
      </c>
      <c r="E310" s="49" t="str">
        <f>B309&amp;C310</f>
        <v>Springfield_IL, ILTAX</v>
      </c>
      <c r="F310" s="56">
        <v>34.299999999999997</v>
      </c>
      <c r="G310" s="56">
        <v>40.200000000000003</v>
      </c>
      <c r="H310" s="56">
        <v>51.7</v>
      </c>
      <c r="I310" s="56">
        <v>64.3</v>
      </c>
      <c r="J310" s="56">
        <v>73.900000000000006</v>
      </c>
      <c r="K310" s="56">
        <v>82.1</v>
      </c>
      <c r="L310" s="56">
        <v>85</v>
      </c>
      <c r="M310" s="56">
        <v>84.1</v>
      </c>
      <c r="N310" s="56">
        <v>78.2</v>
      </c>
      <c r="O310" s="56">
        <v>66.099999999999994</v>
      </c>
      <c r="P310" s="56">
        <v>51.7</v>
      </c>
      <c r="Q310" s="56">
        <v>38.700000000000003</v>
      </c>
      <c r="R310" s="57">
        <v>62.5</v>
      </c>
    </row>
    <row r="311" spans="2:18" x14ac:dyDescent="0.4">
      <c r="B311" s="50"/>
      <c r="C311" s="51" t="s">
        <v>258</v>
      </c>
      <c r="D311" s="49" t="s">
        <v>259</v>
      </c>
      <c r="E311" s="49" t="str">
        <f>B309&amp;C311</f>
        <v>Springfield_IL, ILV</v>
      </c>
      <c r="F311" s="56">
        <v>10.7</v>
      </c>
      <c r="G311" s="56">
        <v>10.7</v>
      </c>
      <c r="H311" s="56">
        <v>11.2</v>
      </c>
      <c r="I311" s="56">
        <v>11.4</v>
      </c>
      <c r="J311" s="56">
        <v>9.4</v>
      </c>
      <c r="K311" s="56">
        <v>7.6</v>
      </c>
      <c r="L311" s="56">
        <v>6.5</v>
      </c>
      <c r="M311" s="56">
        <v>6.3</v>
      </c>
      <c r="N311" s="56">
        <v>6.7</v>
      </c>
      <c r="O311" s="56">
        <v>8.6999999999999993</v>
      </c>
      <c r="P311" s="56">
        <v>10.5</v>
      </c>
      <c r="Q311" s="56">
        <v>10.3</v>
      </c>
      <c r="R311" s="57">
        <v>9.1999999999999993</v>
      </c>
    </row>
    <row r="312" spans="2:18" x14ac:dyDescent="0.4">
      <c r="B312" s="50"/>
      <c r="C312" s="51" t="s">
        <v>260</v>
      </c>
      <c r="D312" s="49" t="s">
        <v>261</v>
      </c>
      <c r="E312" s="49" t="str">
        <f>B309&amp;C312</f>
        <v>Springfield_IL, ILI</v>
      </c>
      <c r="F312" s="56">
        <v>561</v>
      </c>
      <c r="G312" s="56">
        <v>862</v>
      </c>
      <c r="H312" s="56">
        <v>1179</v>
      </c>
      <c r="I312" s="56">
        <v>1513</v>
      </c>
      <c r="J312" s="56">
        <v>1747</v>
      </c>
      <c r="K312" s="56">
        <v>1983</v>
      </c>
      <c r="L312" s="56">
        <v>2017</v>
      </c>
      <c r="M312" s="56">
        <v>1766</v>
      </c>
      <c r="N312" s="56">
        <v>1459</v>
      </c>
      <c r="O312" s="56">
        <v>1035</v>
      </c>
      <c r="P312" s="56">
        <v>641</v>
      </c>
      <c r="Q312" s="56">
        <v>501</v>
      </c>
      <c r="R312" s="57">
        <v>1272</v>
      </c>
    </row>
    <row r="313" spans="2:18" x14ac:dyDescent="0.4">
      <c r="B313" s="50"/>
      <c r="C313" s="51" t="s">
        <v>262</v>
      </c>
      <c r="D313" s="49" t="s">
        <v>263</v>
      </c>
      <c r="E313" s="49" t="str">
        <f>B309&amp;C313</f>
        <v>Springfield_IL, ILPA</v>
      </c>
      <c r="F313" s="58" t="s">
        <v>506</v>
      </c>
      <c r="G313" s="58" t="s">
        <v>506</v>
      </c>
      <c r="H313" s="58" t="s">
        <v>506</v>
      </c>
      <c r="I313" s="58" t="s">
        <v>506</v>
      </c>
      <c r="J313" s="58" t="s">
        <v>506</v>
      </c>
      <c r="K313" s="58" t="s">
        <v>506</v>
      </c>
      <c r="L313" s="58" t="s">
        <v>506</v>
      </c>
      <c r="M313" s="58" t="s">
        <v>506</v>
      </c>
      <c r="N313" s="58" t="s">
        <v>506</v>
      </c>
      <c r="O313" s="58" t="s">
        <v>506</v>
      </c>
      <c r="P313" s="58" t="s">
        <v>506</v>
      </c>
      <c r="Q313" s="58" t="s">
        <v>506</v>
      </c>
      <c r="R313" s="57">
        <v>14.39</v>
      </c>
    </row>
    <row r="314" spans="2:18" x14ac:dyDescent="0.4">
      <c r="B314" s="48" t="s">
        <v>325</v>
      </c>
      <c r="C314" s="51" t="s">
        <v>255</v>
      </c>
      <c r="D314" s="49" t="s">
        <v>256</v>
      </c>
      <c r="E314" s="49" t="str">
        <f>B314&amp;C314</f>
        <v>Evansville, INTAN</v>
      </c>
      <c r="F314" s="56">
        <v>25.9</v>
      </c>
      <c r="G314" s="56">
        <v>28.6</v>
      </c>
      <c r="H314" s="56">
        <v>36.299999999999997</v>
      </c>
      <c r="I314" s="56">
        <v>46.3</v>
      </c>
      <c r="J314" s="56">
        <v>56.2</v>
      </c>
      <c r="K314" s="56">
        <v>65.2</v>
      </c>
      <c r="L314" s="56">
        <v>68.599999999999994</v>
      </c>
      <c r="M314" s="56">
        <v>66.8</v>
      </c>
      <c r="N314" s="56">
        <v>58.1</v>
      </c>
      <c r="O314" s="56">
        <v>47.1</v>
      </c>
      <c r="P314" s="56">
        <v>37.4</v>
      </c>
      <c r="Q314" s="56">
        <v>28.8</v>
      </c>
      <c r="R314" s="57">
        <v>47.1</v>
      </c>
    </row>
    <row r="315" spans="2:18" x14ac:dyDescent="0.4">
      <c r="B315" s="50"/>
      <c r="C315" s="51" t="s">
        <v>257</v>
      </c>
      <c r="D315" s="49" t="s">
        <v>256</v>
      </c>
      <c r="E315" s="49" t="str">
        <f>B314&amp;C315</f>
        <v>Evansville, INTAX</v>
      </c>
      <c r="F315" s="56">
        <v>40.700000000000003</v>
      </c>
      <c r="G315" s="56">
        <v>45.6</v>
      </c>
      <c r="H315" s="56">
        <v>55.6</v>
      </c>
      <c r="I315" s="56">
        <v>67.2</v>
      </c>
      <c r="J315" s="56">
        <v>76</v>
      </c>
      <c r="K315" s="56">
        <v>84.4</v>
      </c>
      <c r="L315" s="56">
        <v>87.2</v>
      </c>
      <c r="M315" s="56">
        <v>87.3</v>
      </c>
      <c r="N315" s="56">
        <v>80.599999999999994</v>
      </c>
      <c r="O315" s="56">
        <v>69.2</v>
      </c>
      <c r="P315" s="56">
        <v>55.5</v>
      </c>
      <c r="Q315" s="56">
        <v>43.8</v>
      </c>
      <c r="R315" s="57">
        <v>66.099999999999994</v>
      </c>
    </row>
    <row r="316" spans="2:18" x14ac:dyDescent="0.4">
      <c r="B316" s="50"/>
      <c r="C316" s="51" t="s">
        <v>258</v>
      </c>
      <c r="D316" s="49" t="s">
        <v>259</v>
      </c>
      <c r="E316" s="49" t="str">
        <f>B314&amp;C316</f>
        <v>Evansville, INV</v>
      </c>
      <c r="F316" s="56">
        <v>8.3000000000000007</v>
      </c>
      <c r="G316" s="56">
        <v>8.3000000000000007</v>
      </c>
      <c r="H316" s="56">
        <v>8.3000000000000007</v>
      </c>
      <c r="I316" s="56">
        <v>8.5</v>
      </c>
      <c r="J316" s="56">
        <v>6.9</v>
      </c>
      <c r="K316" s="56">
        <v>6</v>
      </c>
      <c r="L316" s="56">
        <v>5.6</v>
      </c>
      <c r="M316" s="56">
        <v>5.0999999999999996</v>
      </c>
      <c r="N316" s="56">
        <v>5.4</v>
      </c>
      <c r="O316" s="56">
        <v>6</v>
      </c>
      <c r="P316" s="56">
        <v>7.4</v>
      </c>
      <c r="Q316" s="56">
        <v>7.6</v>
      </c>
      <c r="R316" s="57">
        <v>6.9</v>
      </c>
    </row>
    <row r="317" spans="2:18" x14ac:dyDescent="0.4">
      <c r="B317" s="50"/>
      <c r="C317" s="51" t="s">
        <v>260</v>
      </c>
      <c r="D317" s="49" t="s">
        <v>261</v>
      </c>
      <c r="E317" s="49" t="str">
        <f>B314&amp;C317</f>
        <v>Evansville, INI</v>
      </c>
      <c r="F317" s="56">
        <v>598</v>
      </c>
      <c r="G317" s="56">
        <v>880</v>
      </c>
      <c r="H317" s="56">
        <v>1173</v>
      </c>
      <c r="I317" s="56">
        <v>1574</v>
      </c>
      <c r="J317" s="56">
        <v>1796</v>
      </c>
      <c r="K317" s="56">
        <v>2005</v>
      </c>
      <c r="L317" s="56">
        <v>1994</v>
      </c>
      <c r="M317" s="56">
        <v>1850</v>
      </c>
      <c r="N317" s="56">
        <v>1484</v>
      </c>
      <c r="O317" s="56">
        <v>1097</v>
      </c>
      <c r="P317" s="56">
        <v>693</v>
      </c>
      <c r="Q317" s="56">
        <v>525</v>
      </c>
      <c r="R317" s="57">
        <v>1306</v>
      </c>
    </row>
    <row r="318" spans="2:18" x14ac:dyDescent="0.4">
      <c r="B318" s="50"/>
      <c r="C318" s="51" t="s">
        <v>262</v>
      </c>
      <c r="D318" s="49" t="s">
        <v>263</v>
      </c>
      <c r="E318" s="49" t="str">
        <f>B314&amp;C318</f>
        <v>Evansville, INPA</v>
      </c>
      <c r="F318" s="58" t="s">
        <v>506</v>
      </c>
      <c r="G318" s="58" t="s">
        <v>506</v>
      </c>
      <c r="H318" s="58" t="s">
        <v>506</v>
      </c>
      <c r="I318" s="58" t="s">
        <v>506</v>
      </c>
      <c r="J318" s="58" t="s">
        <v>506</v>
      </c>
      <c r="K318" s="58" t="s">
        <v>506</v>
      </c>
      <c r="L318" s="58" t="s">
        <v>506</v>
      </c>
      <c r="M318" s="58" t="s">
        <v>506</v>
      </c>
      <c r="N318" s="58" t="s">
        <v>506</v>
      </c>
      <c r="O318" s="58" t="s">
        <v>506</v>
      </c>
      <c r="P318" s="58" t="s">
        <v>506</v>
      </c>
      <c r="Q318" s="58" t="s">
        <v>506</v>
      </c>
      <c r="R318" s="57">
        <v>14.49</v>
      </c>
    </row>
    <row r="319" spans="2:18" x14ac:dyDescent="0.4">
      <c r="B319" s="48" t="s">
        <v>326</v>
      </c>
      <c r="C319" s="51" t="s">
        <v>255</v>
      </c>
      <c r="D319" s="49" t="s">
        <v>256</v>
      </c>
      <c r="E319" s="49" t="str">
        <f>B319&amp;C319</f>
        <v>Fort Wayne, INTAN</v>
      </c>
      <c r="F319" s="56">
        <v>18.600000000000001</v>
      </c>
      <c r="G319" s="56">
        <v>21.5</v>
      </c>
      <c r="H319" s="56">
        <v>29.6</v>
      </c>
      <c r="I319" s="56">
        <v>40</v>
      </c>
      <c r="J319" s="56">
        <v>50</v>
      </c>
      <c r="K319" s="56">
        <v>60.4</v>
      </c>
      <c r="L319" s="56">
        <v>63.2</v>
      </c>
      <c r="M319" s="56">
        <v>61.6</v>
      </c>
      <c r="N319" s="56">
        <v>53.1</v>
      </c>
      <c r="O319" s="56">
        <v>42.9</v>
      </c>
      <c r="P319" s="56">
        <v>33.5</v>
      </c>
      <c r="Q319" s="56">
        <v>23.5</v>
      </c>
      <c r="R319" s="57">
        <v>41.5</v>
      </c>
    </row>
    <row r="320" spans="2:18" x14ac:dyDescent="0.4">
      <c r="B320" s="50"/>
      <c r="C320" s="51" t="s">
        <v>257</v>
      </c>
      <c r="D320" s="49" t="s">
        <v>256</v>
      </c>
      <c r="E320" s="49" t="str">
        <f>B319&amp;C320</f>
        <v>Fort Wayne, INTAX</v>
      </c>
      <c r="F320" s="56">
        <v>32</v>
      </c>
      <c r="G320" s="56">
        <v>36.200000000000003</v>
      </c>
      <c r="H320" s="56">
        <v>47.4</v>
      </c>
      <c r="I320" s="56">
        <v>60.7</v>
      </c>
      <c r="J320" s="56">
        <v>70.900000000000006</v>
      </c>
      <c r="K320" s="56">
        <v>80.099999999999994</v>
      </c>
      <c r="L320" s="56">
        <v>83.2</v>
      </c>
      <c r="M320" s="56">
        <v>81.3</v>
      </c>
      <c r="N320" s="56">
        <v>75.5</v>
      </c>
      <c r="O320" s="56">
        <v>63.1</v>
      </c>
      <c r="P320" s="56">
        <v>49</v>
      </c>
      <c r="Q320" s="56">
        <v>36.1</v>
      </c>
      <c r="R320" s="57">
        <v>59.6</v>
      </c>
    </row>
    <row r="321" spans="2:18" x14ac:dyDescent="0.4">
      <c r="B321" s="50"/>
      <c r="C321" s="51" t="s">
        <v>258</v>
      </c>
      <c r="D321" s="49" t="s">
        <v>259</v>
      </c>
      <c r="E321" s="49" t="str">
        <f>B319&amp;C321</f>
        <v>Fort Wayne, INV</v>
      </c>
      <c r="F321" s="56">
        <v>11</v>
      </c>
      <c r="G321" s="56">
        <v>10.5</v>
      </c>
      <c r="H321" s="56">
        <v>10.5</v>
      </c>
      <c r="I321" s="56">
        <v>10.7</v>
      </c>
      <c r="J321" s="56">
        <v>9.4</v>
      </c>
      <c r="K321" s="56">
        <v>7.6</v>
      </c>
      <c r="L321" s="56">
        <v>6.9</v>
      </c>
      <c r="M321" s="56">
        <v>6.3</v>
      </c>
      <c r="N321" s="56">
        <v>6.9</v>
      </c>
      <c r="O321" s="56">
        <v>8.5</v>
      </c>
      <c r="P321" s="56">
        <v>9.8000000000000007</v>
      </c>
      <c r="Q321" s="56">
        <v>10.3</v>
      </c>
      <c r="R321" s="57">
        <v>9.1999999999999993</v>
      </c>
    </row>
    <row r="322" spans="2:18" x14ac:dyDescent="0.4">
      <c r="B322" s="50"/>
      <c r="C322" s="51" t="s">
        <v>260</v>
      </c>
      <c r="D322" s="49" t="s">
        <v>261</v>
      </c>
      <c r="E322" s="49" t="str">
        <f>B319&amp;C322</f>
        <v>Fort Wayne, INI</v>
      </c>
      <c r="F322" s="56">
        <v>490</v>
      </c>
      <c r="G322" s="56">
        <v>750</v>
      </c>
      <c r="H322" s="56">
        <v>1131</v>
      </c>
      <c r="I322" s="56">
        <v>1458</v>
      </c>
      <c r="J322" s="56">
        <v>1709</v>
      </c>
      <c r="K322" s="56">
        <v>1923</v>
      </c>
      <c r="L322" s="56">
        <v>1944</v>
      </c>
      <c r="M322" s="56">
        <v>1677</v>
      </c>
      <c r="N322" s="56">
        <v>1371</v>
      </c>
      <c r="O322" s="56">
        <v>935</v>
      </c>
      <c r="P322" s="56">
        <v>560</v>
      </c>
      <c r="Q322" s="56">
        <v>420</v>
      </c>
      <c r="R322" s="57">
        <v>1197</v>
      </c>
    </row>
    <row r="323" spans="2:18" x14ac:dyDescent="0.4">
      <c r="B323" s="50"/>
      <c r="C323" s="51" t="s">
        <v>262</v>
      </c>
      <c r="D323" s="49" t="s">
        <v>263</v>
      </c>
      <c r="E323" s="49" t="str">
        <f>B319&amp;C323</f>
        <v>Fort Wayne, INPA</v>
      </c>
      <c r="F323" s="58" t="s">
        <v>506</v>
      </c>
      <c r="G323" s="58" t="s">
        <v>506</v>
      </c>
      <c r="H323" s="58" t="s">
        <v>506</v>
      </c>
      <c r="I323" s="58" t="s">
        <v>506</v>
      </c>
      <c r="J323" s="58" t="s">
        <v>506</v>
      </c>
      <c r="K323" s="58" t="s">
        <v>506</v>
      </c>
      <c r="L323" s="58" t="s">
        <v>506</v>
      </c>
      <c r="M323" s="58" t="s">
        <v>506</v>
      </c>
      <c r="N323" s="58" t="s">
        <v>506</v>
      </c>
      <c r="O323" s="58" t="s">
        <v>506</v>
      </c>
      <c r="P323" s="58" t="s">
        <v>506</v>
      </c>
      <c r="Q323" s="58" t="s">
        <v>506</v>
      </c>
      <c r="R323" s="57">
        <v>14.29</v>
      </c>
    </row>
    <row r="324" spans="2:18" x14ac:dyDescent="0.4">
      <c r="B324" s="48" t="s">
        <v>327</v>
      </c>
      <c r="C324" s="51" t="s">
        <v>255</v>
      </c>
      <c r="D324" s="49" t="s">
        <v>256</v>
      </c>
      <c r="E324" s="49" t="str">
        <f>B324&amp;C324</f>
        <v>Indianapolis, INTAN</v>
      </c>
      <c r="F324" s="56">
        <v>21.5</v>
      </c>
      <c r="G324" s="56">
        <v>24.7</v>
      </c>
      <c r="H324" s="56">
        <v>33.299999999999997</v>
      </c>
      <c r="I324" s="56">
        <v>43.8</v>
      </c>
      <c r="J324" s="56">
        <v>53.5</v>
      </c>
      <c r="K324" s="56">
        <v>63.1</v>
      </c>
      <c r="L324" s="56">
        <v>66.2</v>
      </c>
      <c r="M324" s="56">
        <v>65.5</v>
      </c>
      <c r="N324" s="56">
        <v>57.2</v>
      </c>
      <c r="O324" s="56">
        <v>45.7</v>
      </c>
      <c r="P324" s="56">
        <v>35.700000000000003</v>
      </c>
      <c r="Q324" s="56">
        <v>25.9</v>
      </c>
      <c r="R324" s="57">
        <v>44.7</v>
      </c>
    </row>
    <row r="325" spans="2:18" x14ac:dyDescent="0.4">
      <c r="B325" s="50"/>
      <c r="C325" s="51" t="s">
        <v>257</v>
      </c>
      <c r="D325" s="49" t="s">
        <v>256</v>
      </c>
      <c r="E325" s="49" t="str">
        <f>B324&amp;C325</f>
        <v>Indianapolis, INTAX</v>
      </c>
      <c r="F325" s="56">
        <v>35.6</v>
      </c>
      <c r="G325" s="56">
        <v>40.200000000000003</v>
      </c>
      <c r="H325" s="56">
        <v>51.2</v>
      </c>
      <c r="I325" s="56">
        <v>63.3</v>
      </c>
      <c r="J325" s="56">
        <v>72.3</v>
      </c>
      <c r="K325" s="56">
        <v>81.099999999999994</v>
      </c>
      <c r="L325" s="56">
        <v>84.1</v>
      </c>
      <c r="M325" s="56">
        <v>83.6</v>
      </c>
      <c r="N325" s="56">
        <v>77.3</v>
      </c>
      <c r="O325" s="56">
        <v>65.099999999999994</v>
      </c>
      <c r="P325" s="56">
        <v>51.6</v>
      </c>
      <c r="Q325" s="56">
        <v>39.299999999999997</v>
      </c>
      <c r="R325" s="57">
        <v>62</v>
      </c>
    </row>
    <row r="326" spans="2:18" x14ac:dyDescent="0.4">
      <c r="B326" s="50"/>
      <c r="C326" s="51" t="s">
        <v>258</v>
      </c>
      <c r="D326" s="49" t="s">
        <v>259</v>
      </c>
      <c r="E326" s="49" t="str">
        <f>B324&amp;C326</f>
        <v>Indianapolis, INV</v>
      </c>
      <c r="F326" s="56">
        <v>11</v>
      </c>
      <c r="G326" s="56">
        <v>11</v>
      </c>
      <c r="H326" s="56">
        <v>11</v>
      </c>
      <c r="I326" s="56">
        <v>11.4</v>
      </c>
      <c r="J326" s="56">
        <v>9.6</v>
      </c>
      <c r="K326" s="56">
        <v>8.3000000000000007</v>
      </c>
      <c r="L326" s="56">
        <v>7.8</v>
      </c>
      <c r="M326" s="56">
        <v>7.4</v>
      </c>
      <c r="N326" s="56">
        <v>7.8</v>
      </c>
      <c r="O326" s="56">
        <v>8.9</v>
      </c>
      <c r="P326" s="56">
        <v>10.3</v>
      </c>
      <c r="Q326" s="56">
        <v>10.5</v>
      </c>
      <c r="R326" s="57">
        <v>9.6</v>
      </c>
    </row>
    <row r="327" spans="2:18" x14ac:dyDescent="0.4">
      <c r="B327" s="50"/>
      <c r="C327" s="51" t="s">
        <v>260</v>
      </c>
      <c r="D327" s="49" t="s">
        <v>261</v>
      </c>
      <c r="E327" s="49" t="str">
        <f>B324&amp;C327</f>
        <v>Indianapolis, INI</v>
      </c>
      <c r="F327" s="56">
        <v>550</v>
      </c>
      <c r="G327" s="56">
        <v>815</v>
      </c>
      <c r="H327" s="56">
        <v>1165</v>
      </c>
      <c r="I327" s="56">
        <v>1486</v>
      </c>
      <c r="J327" s="56">
        <v>1757</v>
      </c>
      <c r="K327" s="56">
        <v>1958</v>
      </c>
      <c r="L327" s="56">
        <v>1934</v>
      </c>
      <c r="M327" s="56">
        <v>1739</v>
      </c>
      <c r="N327" s="56">
        <v>1441</v>
      </c>
      <c r="O327" s="56">
        <v>1012</v>
      </c>
      <c r="P327" s="56">
        <v>615</v>
      </c>
      <c r="Q327" s="56">
        <v>472</v>
      </c>
      <c r="R327" s="57">
        <v>1245</v>
      </c>
    </row>
    <row r="328" spans="2:18" x14ac:dyDescent="0.4">
      <c r="B328" s="50"/>
      <c r="C328" s="51" t="s">
        <v>262</v>
      </c>
      <c r="D328" s="49" t="s">
        <v>263</v>
      </c>
      <c r="E328" s="49" t="str">
        <f>B324&amp;C328</f>
        <v>Indianapolis, INPA</v>
      </c>
      <c r="F328" s="58" t="s">
        <v>506</v>
      </c>
      <c r="G328" s="58" t="s">
        <v>506</v>
      </c>
      <c r="H328" s="58" t="s">
        <v>506</v>
      </c>
      <c r="I328" s="58" t="s">
        <v>506</v>
      </c>
      <c r="J328" s="58" t="s">
        <v>506</v>
      </c>
      <c r="K328" s="58" t="s">
        <v>506</v>
      </c>
      <c r="L328" s="58" t="s">
        <v>506</v>
      </c>
      <c r="M328" s="58" t="s">
        <v>506</v>
      </c>
      <c r="N328" s="58" t="s">
        <v>506</v>
      </c>
      <c r="O328" s="58" t="s">
        <v>506</v>
      </c>
      <c r="P328" s="58" t="s">
        <v>506</v>
      </c>
      <c r="Q328" s="58" t="s">
        <v>506</v>
      </c>
      <c r="R328" s="57">
        <v>14.29</v>
      </c>
    </row>
    <row r="329" spans="2:18" x14ac:dyDescent="0.4">
      <c r="B329" s="48" t="s">
        <v>328</v>
      </c>
      <c r="C329" s="51" t="s">
        <v>255</v>
      </c>
      <c r="D329" s="49" t="s">
        <v>256</v>
      </c>
      <c r="E329" s="49" t="str">
        <f>B329&amp;C329</f>
        <v>South Bend, INTAN</v>
      </c>
      <c r="F329" s="56">
        <v>18.600000000000001</v>
      </c>
      <c r="G329" s="56">
        <v>21.4</v>
      </c>
      <c r="H329" s="56">
        <v>28.9</v>
      </c>
      <c r="I329" s="56">
        <v>39.200000000000003</v>
      </c>
      <c r="J329" s="56">
        <v>49.2</v>
      </c>
      <c r="K329" s="56">
        <v>59.4</v>
      </c>
      <c r="L329" s="56">
        <v>63.3</v>
      </c>
      <c r="M329" s="56">
        <v>62.2</v>
      </c>
      <c r="N329" s="56">
        <v>54</v>
      </c>
      <c r="O329" s="56">
        <v>43.4</v>
      </c>
      <c r="P329" s="56">
        <v>33.5</v>
      </c>
      <c r="Q329" s="56">
        <v>23.6</v>
      </c>
      <c r="R329" s="57">
        <v>41.4</v>
      </c>
    </row>
    <row r="330" spans="2:18" x14ac:dyDescent="0.4">
      <c r="B330" s="50"/>
      <c r="C330" s="51" t="s">
        <v>257</v>
      </c>
      <c r="D330" s="49" t="s">
        <v>256</v>
      </c>
      <c r="E330" s="49" t="str">
        <f>B329&amp;C330</f>
        <v>South Bend, INTAX</v>
      </c>
      <c r="F330" s="56">
        <v>31.3</v>
      </c>
      <c r="G330" s="56">
        <v>35.4</v>
      </c>
      <c r="H330" s="56">
        <v>46.5</v>
      </c>
      <c r="I330" s="56">
        <v>59.5</v>
      </c>
      <c r="J330" s="56">
        <v>69.599999999999994</v>
      </c>
      <c r="K330" s="56">
        <v>79.099999999999994</v>
      </c>
      <c r="L330" s="56">
        <v>82.3</v>
      </c>
      <c r="M330" s="56">
        <v>80.5</v>
      </c>
      <c r="N330" s="56">
        <v>73.900000000000006</v>
      </c>
      <c r="O330" s="56">
        <v>61.7</v>
      </c>
      <c r="P330" s="56">
        <v>47.8</v>
      </c>
      <c r="Q330" s="56">
        <v>35.5</v>
      </c>
      <c r="R330" s="57">
        <v>58.6</v>
      </c>
    </row>
    <row r="331" spans="2:18" x14ac:dyDescent="0.4">
      <c r="B331" s="50"/>
      <c r="C331" s="51" t="s">
        <v>258</v>
      </c>
      <c r="D331" s="49" t="s">
        <v>259</v>
      </c>
      <c r="E331" s="49" t="str">
        <f>B329&amp;C331</f>
        <v>South Bend, INV</v>
      </c>
      <c r="F331" s="56">
        <v>10.7</v>
      </c>
      <c r="G331" s="56">
        <v>10.3</v>
      </c>
      <c r="H331" s="56">
        <v>10.3</v>
      </c>
      <c r="I331" s="56">
        <v>10.5</v>
      </c>
      <c r="J331" s="56">
        <v>9.1999999999999993</v>
      </c>
      <c r="K331" s="56">
        <v>7.6</v>
      </c>
      <c r="L331" s="56">
        <v>7.4</v>
      </c>
      <c r="M331" s="56">
        <v>6.7</v>
      </c>
      <c r="N331" s="56">
        <v>7.2</v>
      </c>
      <c r="O331" s="56">
        <v>8.5</v>
      </c>
      <c r="P331" s="56">
        <v>9.6</v>
      </c>
      <c r="Q331" s="56">
        <v>10.1</v>
      </c>
      <c r="R331" s="57">
        <v>8.9</v>
      </c>
    </row>
    <row r="332" spans="2:18" x14ac:dyDescent="0.4">
      <c r="B332" s="50"/>
      <c r="C332" s="51" t="s">
        <v>260</v>
      </c>
      <c r="D332" s="49" t="s">
        <v>261</v>
      </c>
      <c r="E332" s="49" t="str">
        <f>B329&amp;C332</f>
        <v>South Bend, INI</v>
      </c>
      <c r="F332" s="56">
        <v>433</v>
      </c>
      <c r="G332" s="56">
        <v>698</v>
      </c>
      <c r="H332" s="56">
        <v>1130</v>
      </c>
      <c r="I332" s="56">
        <v>1471</v>
      </c>
      <c r="J332" s="56">
        <v>1729</v>
      </c>
      <c r="K332" s="56">
        <v>1935</v>
      </c>
      <c r="L332" s="56">
        <v>1898</v>
      </c>
      <c r="M332" s="56">
        <v>1646</v>
      </c>
      <c r="N332" s="56">
        <v>1335</v>
      </c>
      <c r="O332" s="56">
        <v>889</v>
      </c>
      <c r="P332" s="56">
        <v>518</v>
      </c>
      <c r="Q332" s="56">
        <v>389</v>
      </c>
      <c r="R332" s="57">
        <v>1173</v>
      </c>
    </row>
    <row r="333" spans="2:18" x14ac:dyDescent="0.4">
      <c r="B333" s="50"/>
      <c r="C333" s="51" t="s">
        <v>262</v>
      </c>
      <c r="D333" s="49" t="s">
        <v>263</v>
      </c>
      <c r="E333" s="49" t="str">
        <f>B329&amp;C333</f>
        <v>South Bend, INPA</v>
      </c>
      <c r="F333" s="58" t="s">
        <v>506</v>
      </c>
      <c r="G333" s="58" t="s">
        <v>506</v>
      </c>
      <c r="H333" s="58" t="s">
        <v>506</v>
      </c>
      <c r="I333" s="58" t="s">
        <v>506</v>
      </c>
      <c r="J333" s="58" t="s">
        <v>506</v>
      </c>
      <c r="K333" s="58" t="s">
        <v>506</v>
      </c>
      <c r="L333" s="58" t="s">
        <v>506</v>
      </c>
      <c r="M333" s="58" t="s">
        <v>506</v>
      </c>
      <c r="N333" s="58" t="s">
        <v>506</v>
      </c>
      <c r="O333" s="58" t="s">
        <v>506</v>
      </c>
      <c r="P333" s="58" t="s">
        <v>506</v>
      </c>
      <c r="Q333" s="58" t="s">
        <v>506</v>
      </c>
      <c r="R333" s="57">
        <v>14.29</v>
      </c>
    </row>
    <row r="334" spans="2:18" x14ac:dyDescent="0.4">
      <c r="B334" s="48" t="s">
        <v>329</v>
      </c>
      <c r="C334" s="51" t="s">
        <v>255</v>
      </c>
      <c r="D334" s="49" t="s">
        <v>256</v>
      </c>
      <c r="E334" s="49" t="str">
        <f>B334&amp;C334</f>
        <v>Des Moines, IATAN</v>
      </c>
      <c r="F334" s="56">
        <v>14.1</v>
      </c>
      <c r="G334" s="56">
        <v>19.3</v>
      </c>
      <c r="H334" s="56">
        <v>29.6</v>
      </c>
      <c r="I334" s="56">
        <v>41.3</v>
      </c>
      <c r="J334" s="56">
        <v>52.4</v>
      </c>
      <c r="K334" s="56">
        <v>62.4</v>
      </c>
      <c r="L334" s="56">
        <v>66.599999999999994</v>
      </c>
      <c r="M334" s="56">
        <v>64.900000000000006</v>
      </c>
      <c r="N334" s="56">
        <v>55.1</v>
      </c>
      <c r="O334" s="56">
        <v>43.6</v>
      </c>
      <c r="P334" s="56">
        <v>30.9</v>
      </c>
      <c r="Q334" s="56">
        <v>19.3</v>
      </c>
      <c r="R334" s="57">
        <v>41.6</v>
      </c>
    </row>
    <row r="335" spans="2:18" x14ac:dyDescent="0.4">
      <c r="B335" s="50"/>
      <c r="C335" s="51" t="s">
        <v>257</v>
      </c>
      <c r="D335" s="49" t="s">
        <v>256</v>
      </c>
      <c r="E335" s="49" t="str">
        <f>B334&amp;C335</f>
        <v>Des Moines, IATAX</v>
      </c>
      <c r="F335" s="56">
        <v>29.6</v>
      </c>
      <c r="G335" s="56">
        <v>35.5</v>
      </c>
      <c r="H335" s="56">
        <v>48</v>
      </c>
      <c r="I335" s="56">
        <v>61.3</v>
      </c>
      <c r="J335" s="56">
        <v>71.2</v>
      </c>
      <c r="K335" s="56">
        <v>80.5</v>
      </c>
      <c r="L335" s="56">
        <v>84.3</v>
      </c>
      <c r="M335" s="56">
        <v>82.7</v>
      </c>
      <c r="N335" s="56">
        <v>75.5</v>
      </c>
      <c r="O335" s="56">
        <v>62.9</v>
      </c>
      <c r="P335" s="56">
        <v>47.4</v>
      </c>
      <c r="Q335" s="56">
        <v>34.5</v>
      </c>
      <c r="R335" s="57">
        <v>59.5</v>
      </c>
    </row>
    <row r="336" spans="2:18" x14ac:dyDescent="0.4">
      <c r="B336" s="50"/>
      <c r="C336" s="51" t="s">
        <v>258</v>
      </c>
      <c r="D336" s="49" t="s">
        <v>259</v>
      </c>
      <c r="E336" s="49" t="str">
        <f>B334&amp;C336</f>
        <v>Des Moines, IAV</v>
      </c>
      <c r="F336" s="56">
        <v>10.3</v>
      </c>
      <c r="G336" s="56">
        <v>10.1</v>
      </c>
      <c r="H336" s="56">
        <v>11</v>
      </c>
      <c r="I336" s="56">
        <v>11.2</v>
      </c>
      <c r="J336" s="56">
        <v>10.1</v>
      </c>
      <c r="K336" s="56">
        <v>8.6999999999999993</v>
      </c>
      <c r="L336" s="56">
        <v>8.1</v>
      </c>
      <c r="M336" s="56">
        <v>7.6</v>
      </c>
      <c r="N336" s="56">
        <v>8.5</v>
      </c>
      <c r="O336" s="56">
        <v>9.6</v>
      </c>
      <c r="P336" s="56">
        <v>10.3</v>
      </c>
      <c r="Q336" s="56">
        <v>9.8000000000000007</v>
      </c>
      <c r="R336" s="57">
        <v>9.6</v>
      </c>
    </row>
    <row r="337" spans="2:18" x14ac:dyDescent="0.4">
      <c r="B337" s="50"/>
      <c r="C337" s="51" t="s">
        <v>260</v>
      </c>
      <c r="D337" s="49" t="s">
        <v>261</v>
      </c>
      <c r="E337" s="49" t="str">
        <f>B334&amp;C337</f>
        <v>Des Moines, IAI</v>
      </c>
      <c r="F337" s="56">
        <v>545</v>
      </c>
      <c r="G337" s="56">
        <v>817</v>
      </c>
      <c r="H337" s="56">
        <v>1181</v>
      </c>
      <c r="I337" s="56">
        <v>1507</v>
      </c>
      <c r="J337" s="56">
        <v>1782</v>
      </c>
      <c r="K337" s="56">
        <v>1979</v>
      </c>
      <c r="L337" s="56">
        <v>1995</v>
      </c>
      <c r="M337" s="56">
        <v>1762</v>
      </c>
      <c r="N337" s="56">
        <v>1435</v>
      </c>
      <c r="O337" s="56">
        <v>986</v>
      </c>
      <c r="P337" s="56">
        <v>613</v>
      </c>
      <c r="Q337" s="56">
        <v>482</v>
      </c>
      <c r="R337" s="57">
        <v>1257</v>
      </c>
    </row>
    <row r="338" spans="2:18" x14ac:dyDescent="0.4">
      <c r="B338" s="50"/>
      <c r="C338" s="51" t="s">
        <v>262</v>
      </c>
      <c r="D338" s="49" t="s">
        <v>263</v>
      </c>
      <c r="E338" s="49" t="str">
        <f>B334&amp;C338</f>
        <v>Des Moines, IAPA</v>
      </c>
      <c r="F338" s="58" t="s">
        <v>506</v>
      </c>
      <c r="G338" s="58" t="s">
        <v>506</v>
      </c>
      <c r="H338" s="58" t="s">
        <v>506</v>
      </c>
      <c r="I338" s="58" t="s">
        <v>506</v>
      </c>
      <c r="J338" s="58" t="s">
        <v>506</v>
      </c>
      <c r="K338" s="58" t="s">
        <v>506</v>
      </c>
      <c r="L338" s="58" t="s">
        <v>506</v>
      </c>
      <c r="M338" s="58" t="s">
        <v>506</v>
      </c>
      <c r="N338" s="58" t="s">
        <v>506</v>
      </c>
      <c r="O338" s="58" t="s">
        <v>506</v>
      </c>
      <c r="P338" s="58" t="s">
        <v>506</v>
      </c>
      <c r="Q338" s="58" t="s">
        <v>506</v>
      </c>
      <c r="R338" s="57">
        <v>14.2</v>
      </c>
    </row>
    <row r="339" spans="2:18" x14ac:dyDescent="0.4">
      <c r="B339" s="48" t="s">
        <v>330</v>
      </c>
      <c r="C339" s="51" t="s">
        <v>255</v>
      </c>
      <c r="D339" s="49" t="s">
        <v>256</v>
      </c>
      <c r="E339" s="49" t="str">
        <f>B339&amp;C339</f>
        <v>Dubuque, IATAN</v>
      </c>
      <c r="F339" s="56">
        <v>11.8</v>
      </c>
      <c r="G339" s="56">
        <v>16.7</v>
      </c>
      <c r="H339" s="56">
        <v>27</v>
      </c>
      <c r="I339" s="56">
        <v>38.4</v>
      </c>
      <c r="J339" s="56">
        <v>49</v>
      </c>
      <c r="K339" s="56">
        <v>58.9</v>
      </c>
      <c r="L339" s="56">
        <v>62.3</v>
      </c>
      <c r="M339" s="56">
        <v>60.9</v>
      </c>
      <c r="N339" s="56">
        <v>52.1</v>
      </c>
      <c r="O339" s="56">
        <v>40.700000000000003</v>
      </c>
      <c r="P339" s="56">
        <v>29.2</v>
      </c>
      <c r="Q339" s="56">
        <v>17</v>
      </c>
      <c r="R339" s="57">
        <v>38.700000000000003</v>
      </c>
    </row>
    <row r="340" spans="2:18" x14ac:dyDescent="0.4">
      <c r="B340" s="50"/>
      <c r="C340" s="51" t="s">
        <v>257</v>
      </c>
      <c r="D340" s="49" t="s">
        <v>256</v>
      </c>
      <c r="E340" s="49" t="str">
        <f>B339&amp;C340</f>
        <v>Dubuque, IATAX</v>
      </c>
      <c r="F340" s="56">
        <v>26</v>
      </c>
      <c r="G340" s="56">
        <v>31.1</v>
      </c>
      <c r="H340" s="56">
        <v>43.6</v>
      </c>
      <c r="I340" s="56">
        <v>57.6</v>
      </c>
      <c r="J340" s="56">
        <v>68.400000000000006</v>
      </c>
      <c r="K340" s="56">
        <v>77.599999999999994</v>
      </c>
      <c r="L340" s="56">
        <v>80.400000000000006</v>
      </c>
      <c r="M340" s="56">
        <v>78.900000000000006</v>
      </c>
      <c r="N340" s="56">
        <v>71.900000000000006</v>
      </c>
      <c r="O340" s="56">
        <v>59.5</v>
      </c>
      <c r="P340" s="56">
        <v>44.3</v>
      </c>
      <c r="Q340" s="56">
        <v>30.6</v>
      </c>
      <c r="R340" s="57">
        <v>55.8</v>
      </c>
    </row>
    <row r="341" spans="2:18" x14ac:dyDescent="0.4">
      <c r="B341" s="50"/>
      <c r="C341" s="51" t="s">
        <v>258</v>
      </c>
      <c r="D341" s="49" t="s">
        <v>259</v>
      </c>
      <c r="E341" s="49" t="str">
        <f>B339&amp;C341</f>
        <v>Dubuque, IAV</v>
      </c>
      <c r="F341" s="56">
        <v>11</v>
      </c>
      <c r="G341" s="56">
        <v>11</v>
      </c>
      <c r="H341" s="56">
        <v>11.4</v>
      </c>
      <c r="I341" s="56">
        <v>11.9</v>
      </c>
      <c r="J341" s="56">
        <v>10.1</v>
      </c>
      <c r="K341" s="56">
        <v>8.5</v>
      </c>
      <c r="L341" s="56">
        <v>7.6</v>
      </c>
      <c r="M341" s="56">
        <v>7.2</v>
      </c>
      <c r="N341" s="56">
        <v>8.3000000000000007</v>
      </c>
      <c r="O341" s="56">
        <v>10.1</v>
      </c>
      <c r="P341" s="56">
        <v>11</v>
      </c>
      <c r="Q341" s="56">
        <v>10.5</v>
      </c>
      <c r="R341" s="57">
        <v>9.8000000000000007</v>
      </c>
    </row>
    <row r="342" spans="2:18" x14ac:dyDescent="0.4">
      <c r="B342" s="50"/>
      <c r="C342" s="51" t="s">
        <v>260</v>
      </c>
      <c r="D342" s="49" t="s">
        <v>261</v>
      </c>
      <c r="E342" s="49" t="str">
        <f>B339&amp;C342</f>
        <v>Dubuque, IAI</v>
      </c>
      <c r="F342" s="56">
        <v>503</v>
      </c>
      <c r="G342" s="56">
        <v>764</v>
      </c>
      <c r="H342" s="56">
        <v>1135</v>
      </c>
      <c r="I342" s="56">
        <v>1476</v>
      </c>
      <c r="J342" s="56">
        <v>1718</v>
      </c>
      <c r="K342" s="56">
        <v>1933</v>
      </c>
      <c r="L342" s="56">
        <v>1904</v>
      </c>
      <c r="M342" s="56">
        <v>1668</v>
      </c>
      <c r="N342" s="56">
        <v>1348</v>
      </c>
      <c r="O342" s="56">
        <v>903</v>
      </c>
      <c r="P342" s="56">
        <v>551</v>
      </c>
      <c r="Q342" s="56">
        <v>422</v>
      </c>
      <c r="R342" s="57">
        <v>1194</v>
      </c>
    </row>
    <row r="343" spans="2:18" x14ac:dyDescent="0.4">
      <c r="B343" s="50"/>
      <c r="C343" s="51" t="s">
        <v>262</v>
      </c>
      <c r="D343" s="49" t="s">
        <v>263</v>
      </c>
      <c r="E343" s="49" t="str">
        <f>B339&amp;C343</f>
        <v>Dubuque, IAPA</v>
      </c>
      <c r="F343" s="58" t="s">
        <v>506</v>
      </c>
      <c r="G343" s="58" t="s">
        <v>506</v>
      </c>
      <c r="H343" s="58" t="s">
        <v>506</v>
      </c>
      <c r="I343" s="58" t="s">
        <v>506</v>
      </c>
      <c r="J343" s="58" t="s">
        <v>506</v>
      </c>
      <c r="K343" s="58" t="s">
        <v>506</v>
      </c>
      <c r="L343" s="58" t="s">
        <v>506</v>
      </c>
      <c r="M343" s="58" t="s">
        <v>506</v>
      </c>
      <c r="N343" s="58" t="s">
        <v>506</v>
      </c>
      <c r="O343" s="58" t="s">
        <v>506</v>
      </c>
      <c r="P343" s="58" t="s">
        <v>506</v>
      </c>
      <c r="Q343" s="58" t="s">
        <v>506</v>
      </c>
      <c r="R343" s="57">
        <v>14.14</v>
      </c>
    </row>
    <row r="344" spans="2:18" x14ac:dyDescent="0.4">
      <c r="B344" s="48" t="s">
        <v>331</v>
      </c>
      <c r="C344" s="51" t="s">
        <v>255</v>
      </c>
      <c r="D344" s="49" t="s">
        <v>256</v>
      </c>
      <c r="E344" s="49" t="str">
        <f>B344&amp;C344</f>
        <v>Mason City, IATAN</v>
      </c>
      <c r="F344" s="56">
        <v>7.8</v>
      </c>
      <c r="G344" s="56">
        <v>12.9</v>
      </c>
      <c r="H344" s="56">
        <v>24.1</v>
      </c>
      <c r="I344" s="56">
        <v>35.700000000000003</v>
      </c>
      <c r="J344" s="56">
        <v>47.4</v>
      </c>
      <c r="K344" s="56">
        <v>57.7</v>
      </c>
      <c r="L344" s="56">
        <v>61</v>
      </c>
      <c r="M344" s="56">
        <v>58.6</v>
      </c>
      <c r="N344" s="56">
        <v>48.9</v>
      </c>
      <c r="O344" s="56">
        <v>37.700000000000003</v>
      </c>
      <c r="P344" s="56">
        <v>25.5</v>
      </c>
      <c r="Q344" s="56">
        <v>13.5</v>
      </c>
      <c r="R344" s="57">
        <v>35.9</v>
      </c>
    </row>
    <row r="345" spans="2:18" x14ac:dyDescent="0.4">
      <c r="B345" s="50"/>
      <c r="C345" s="51" t="s">
        <v>257</v>
      </c>
      <c r="D345" s="49" t="s">
        <v>256</v>
      </c>
      <c r="E345" s="49" t="str">
        <f>B344&amp;C345</f>
        <v>Mason City, IATAX</v>
      </c>
      <c r="F345" s="56">
        <v>23.6</v>
      </c>
      <c r="G345" s="56">
        <v>29</v>
      </c>
      <c r="H345" s="56">
        <v>41.6</v>
      </c>
      <c r="I345" s="56">
        <v>57.7</v>
      </c>
      <c r="J345" s="56">
        <v>68.900000000000006</v>
      </c>
      <c r="K345" s="56">
        <v>78.5</v>
      </c>
      <c r="L345" s="56">
        <v>81.599999999999994</v>
      </c>
      <c r="M345" s="56">
        <v>79.400000000000006</v>
      </c>
      <c r="N345" s="56">
        <v>72.900000000000006</v>
      </c>
      <c r="O345" s="56">
        <v>59.8</v>
      </c>
      <c r="P345" s="56">
        <v>42.9</v>
      </c>
      <c r="Q345" s="56">
        <v>28.7</v>
      </c>
      <c r="R345" s="57">
        <v>55.4</v>
      </c>
    </row>
    <row r="346" spans="2:18" x14ac:dyDescent="0.4">
      <c r="B346" s="50"/>
      <c r="C346" s="51" t="s">
        <v>258</v>
      </c>
      <c r="D346" s="49" t="s">
        <v>259</v>
      </c>
      <c r="E346" s="49" t="str">
        <f>B344&amp;C346</f>
        <v>Mason City, IAV</v>
      </c>
      <c r="F346" s="56">
        <v>12.3</v>
      </c>
      <c r="G346" s="56">
        <v>12.3</v>
      </c>
      <c r="H346" s="56">
        <v>12.5</v>
      </c>
      <c r="I346" s="56">
        <v>13.2</v>
      </c>
      <c r="J346" s="56">
        <v>12.3</v>
      </c>
      <c r="K346" s="56">
        <v>10.3</v>
      </c>
      <c r="L346" s="56">
        <v>8.6999999999999993</v>
      </c>
      <c r="M346" s="56">
        <v>7.8</v>
      </c>
      <c r="N346" s="56">
        <v>9.1999999999999993</v>
      </c>
      <c r="O346" s="56">
        <v>11</v>
      </c>
      <c r="P346" s="56">
        <v>11.9</v>
      </c>
      <c r="Q346" s="56">
        <v>11.9</v>
      </c>
      <c r="R346" s="57">
        <v>11.2</v>
      </c>
    </row>
    <row r="347" spans="2:18" x14ac:dyDescent="0.4">
      <c r="B347" s="50"/>
      <c r="C347" s="51" t="s">
        <v>260</v>
      </c>
      <c r="D347" s="49" t="s">
        <v>261</v>
      </c>
      <c r="E347" s="49" t="str">
        <f>B344&amp;C347</f>
        <v>Mason City, IAI</v>
      </c>
      <c r="F347" s="56">
        <v>469</v>
      </c>
      <c r="G347" s="56">
        <v>722</v>
      </c>
      <c r="H347" s="56">
        <v>1111</v>
      </c>
      <c r="I347" s="56">
        <v>1479</v>
      </c>
      <c r="J347" s="56">
        <v>1707</v>
      </c>
      <c r="K347" s="56">
        <v>1902</v>
      </c>
      <c r="L347" s="56">
        <v>1944</v>
      </c>
      <c r="M347" s="56">
        <v>1678</v>
      </c>
      <c r="N347" s="56">
        <v>1308</v>
      </c>
      <c r="O347" s="56">
        <v>878</v>
      </c>
      <c r="P347" s="56">
        <v>538</v>
      </c>
      <c r="Q347" s="56">
        <v>388</v>
      </c>
      <c r="R347" s="57">
        <v>1177</v>
      </c>
    </row>
    <row r="348" spans="2:18" x14ac:dyDescent="0.4">
      <c r="B348" s="50"/>
      <c r="C348" s="51" t="s">
        <v>262</v>
      </c>
      <c r="D348" s="49" t="s">
        <v>263</v>
      </c>
      <c r="E348" s="49" t="str">
        <f>B344&amp;C348</f>
        <v>Mason City, IAPA</v>
      </c>
      <c r="F348" s="58" t="s">
        <v>506</v>
      </c>
      <c r="G348" s="58" t="s">
        <v>506</v>
      </c>
      <c r="H348" s="58" t="s">
        <v>506</v>
      </c>
      <c r="I348" s="58" t="s">
        <v>506</v>
      </c>
      <c r="J348" s="58" t="s">
        <v>506</v>
      </c>
      <c r="K348" s="58" t="s">
        <v>506</v>
      </c>
      <c r="L348" s="58" t="s">
        <v>506</v>
      </c>
      <c r="M348" s="58" t="s">
        <v>506</v>
      </c>
      <c r="N348" s="58" t="s">
        <v>506</v>
      </c>
      <c r="O348" s="58" t="s">
        <v>506</v>
      </c>
      <c r="P348" s="58" t="s">
        <v>506</v>
      </c>
      <c r="Q348" s="58" t="s">
        <v>506</v>
      </c>
      <c r="R348" s="57">
        <v>14.07</v>
      </c>
    </row>
    <row r="349" spans="2:18" x14ac:dyDescent="0.4">
      <c r="B349" s="48" t="s">
        <v>332</v>
      </c>
      <c r="C349" s="51" t="s">
        <v>255</v>
      </c>
      <c r="D349" s="49" t="s">
        <v>256</v>
      </c>
      <c r="E349" s="49" t="str">
        <f>B349&amp;C349</f>
        <v>Sioux City, IATAN</v>
      </c>
      <c r="F349" s="56">
        <v>11</v>
      </c>
      <c r="G349" s="56">
        <v>16.5</v>
      </c>
      <c r="H349" s="56">
        <v>26.3</v>
      </c>
      <c r="I349" s="56">
        <v>37.9</v>
      </c>
      <c r="J349" s="56">
        <v>49.7</v>
      </c>
      <c r="K349" s="56">
        <v>59.7</v>
      </c>
      <c r="L349" s="56">
        <v>63.9</v>
      </c>
      <c r="M349" s="56">
        <v>61.6</v>
      </c>
      <c r="N349" s="56">
        <v>51.2</v>
      </c>
      <c r="O349" s="56">
        <v>39.200000000000003</v>
      </c>
      <c r="P349" s="56">
        <v>26.2</v>
      </c>
      <c r="Q349" s="56">
        <v>15.3</v>
      </c>
      <c r="R349" s="57">
        <v>38.200000000000003</v>
      </c>
    </row>
    <row r="350" spans="2:18" x14ac:dyDescent="0.4">
      <c r="B350" s="50"/>
      <c r="C350" s="51" t="s">
        <v>257</v>
      </c>
      <c r="D350" s="49" t="s">
        <v>256</v>
      </c>
      <c r="E350" s="49" t="str">
        <f>B349&amp;C350</f>
        <v>Sioux City, IATAX</v>
      </c>
      <c r="F350" s="56">
        <v>28.9</v>
      </c>
      <c r="G350" s="56">
        <v>34.700000000000003</v>
      </c>
      <c r="H350" s="56">
        <v>46.7</v>
      </c>
      <c r="I350" s="56">
        <v>61.1</v>
      </c>
      <c r="J350" s="56">
        <v>72.2</v>
      </c>
      <c r="K350" s="56">
        <v>81.2</v>
      </c>
      <c r="L350" s="56">
        <v>84.4</v>
      </c>
      <c r="M350" s="56">
        <v>82.6</v>
      </c>
      <c r="N350" s="56">
        <v>76</v>
      </c>
      <c r="O350" s="56">
        <v>63</v>
      </c>
      <c r="P350" s="56">
        <v>46.2</v>
      </c>
      <c r="Q350" s="56">
        <v>32.700000000000003</v>
      </c>
      <c r="R350" s="57">
        <v>59.1</v>
      </c>
    </row>
    <row r="351" spans="2:18" x14ac:dyDescent="0.4">
      <c r="B351" s="50"/>
      <c r="C351" s="51" t="s">
        <v>258</v>
      </c>
      <c r="D351" s="49" t="s">
        <v>259</v>
      </c>
      <c r="E351" s="49" t="str">
        <f>B349&amp;C351</f>
        <v>Sioux City, IAV</v>
      </c>
      <c r="F351" s="56">
        <v>11</v>
      </c>
      <c r="G351" s="56">
        <v>11</v>
      </c>
      <c r="H351" s="56">
        <v>11.4</v>
      </c>
      <c r="I351" s="56">
        <v>12.5</v>
      </c>
      <c r="J351" s="56">
        <v>11.6</v>
      </c>
      <c r="K351" s="56">
        <v>9.6</v>
      </c>
      <c r="L351" s="56">
        <v>8.3000000000000007</v>
      </c>
      <c r="M351" s="56">
        <v>7.8</v>
      </c>
      <c r="N351" s="56">
        <v>9.1999999999999993</v>
      </c>
      <c r="O351" s="56">
        <v>10.1</v>
      </c>
      <c r="P351" s="56">
        <v>10.7</v>
      </c>
      <c r="Q351" s="56">
        <v>10.7</v>
      </c>
      <c r="R351" s="57">
        <v>10.3</v>
      </c>
    </row>
    <row r="352" spans="2:18" x14ac:dyDescent="0.4">
      <c r="B352" s="50"/>
      <c r="C352" s="51" t="s">
        <v>260</v>
      </c>
      <c r="D352" s="49" t="s">
        <v>261</v>
      </c>
      <c r="E352" s="49" t="str">
        <f>B349&amp;C352</f>
        <v>Sioux City, IAI</v>
      </c>
      <c r="F352" s="56">
        <v>522</v>
      </c>
      <c r="G352" s="56">
        <v>787</v>
      </c>
      <c r="H352" s="56">
        <v>1178</v>
      </c>
      <c r="I352" s="56">
        <v>1532</v>
      </c>
      <c r="J352" s="56">
        <v>1774</v>
      </c>
      <c r="K352" s="56">
        <v>2010</v>
      </c>
      <c r="L352" s="56">
        <v>2046</v>
      </c>
      <c r="M352" s="56">
        <v>1787</v>
      </c>
      <c r="N352" s="56">
        <v>1418</v>
      </c>
      <c r="O352" s="56">
        <v>982</v>
      </c>
      <c r="P352" s="56">
        <v>624</v>
      </c>
      <c r="Q352" s="56">
        <v>468</v>
      </c>
      <c r="R352" s="57">
        <v>1260</v>
      </c>
    </row>
    <row r="353" spans="2:18" x14ac:dyDescent="0.4">
      <c r="B353" s="50"/>
      <c r="C353" s="51" t="s">
        <v>262</v>
      </c>
      <c r="D353" s="49" t="s">
        <v>263</v>
      </c>
      <c r="E353" s="49" t="str">
        <f>B349&amp;C353</f>
        <v>Sioux City, IAPA</v>
      </c>
      <c r="F353" s="58" t="s">
        <v>506</v>
      </c>
      <c r="G353" s="58" t="s">
        <v>506</v>
      </c>
      <c r="H353" s="58" t="s">
        <v>506</v>
      </c>
      <c r="I353" s="58" t="s">
        <v>506</v>
      </c>
      <c r="J353" s="58" t="s">
        <v>506</v>
      </c>
      <c r="K353" s="58" t="s">
        <v>506</v>
      </c>
      <c r="L353" s="58" t="s">
        <v>506</v>
      </c>
      <c r="M353" s="58" t="s">
        <v>506</v>
      </c>
      <c r="N353" s="58" t="s">
        <v>506</v>
      </c>
      <c r="O353" s="58" t="s">
        <v>506</v>
      </c>
      <c r="P353" s="58" t="s">
        <v>506</v>
      </c>
      <c r="Q353" s="58" t="s">
        <v>506</v>
      </c>
      <c r="R353" s="57">
        <v>14.13</v>
      </c>
    </row>
    <row r="354" spans="2:18" x14ac:dyDescent="0.4">
      <c r="B354" s="48" t="s">
        <v>333</v>
      </c>
      <c r="C354" s="51" t="s">
        <v>255</v>
      </c>
      <c r="D354" s="49" t="s">
        <v>256</v>
      </c>
      <c r="E354" s="49" t="str">
        <f>B354&amp;C354</f>
        <v>Waterloo, IATAN</v>
      </c>
      <c r="F354" s="56">
        <v>9.6999999999999993</v>
      </c>
      <c r="G354" s="56">
        <v>15.3</v>
      </c>
      <c r="H354" s="56">
        <v>26.2</v>
      </c>
      <c r="I354" s="56">
        <v>37.700000000000003</v>
      </c>
      <c r="J354" s="56">
        <v>49.4</v>
      </c>
      <c r="K354" s="56">
        <v>59.7</v>
      </c>
      <c r="L354" s="56">
        <v>62.8</v>
      </c>
      <c r="M354" s="56">
        <v>60.4</v>
      </c>
      <c r="N354" s="56">
        <v>51</v>
      </c>
      <c r="O354" s="56">
        <v>39.6</v>
      </c>
      <c r="P354" s="56">
        <v>27.4</v>
      </c>
      <c r="Q354" s="56">
        <v>15.3</v>
      </c>
      <c r="R354" s="57">
        <v>37.9</v>
      </c>
    </row>
    <row r="355" spans="2:18" x14ac:dyDescent="0.4">
      <c r="B355" s="50"/>
      <c r="C355" s="51" t="s">
        <v>257</v>
      </c>
      <c r="D355" s="49" t="s">
        <v>256</v>
      </c>
      <c r="E355" s="49" t="str">
        <f>B354&amp;C355</f>
        <v>Waterloo, IATAX</v>
      </c>
      <c r="F355" s="56">
        <v>26.3</v>
      </c>
      <c r="G355" s="56">
        <v>31.5</v>
      </c>
      <c r="H355" s="56">
        <v>44.6</v>
      </c>
      <c r="I355" s="56">
        <v>59.6</v>
      </c>
      <c r="J355" s="56">
        <v>70.599999999999994</v>
      </c>
      <c r="K355" s="56">
        <v>80</v>
      </c>
      <c r="L355" s="56">
        <v>82.7</v>
      </c>
      <c r="M355" s="56">
        <v>80.8</v>
      </c>
      <c r="N355" s="56">
        <v>74.7</v>
      </c>
      <c r="O355" s="56">
        <v>61.5</v>
      </c>
      <c r="P355" s="56">
        <v>45.3</v>
      </c>
      <c r="Q355" s="56">
        <v>31.2</v>
      </c>
      <c r="R355" s="57">
        <v>57.4</v>
      </c>
    </row>
    <row r="356" spans="2:18" x14ac:dyDescent="0.4">
      <c r="B356" s="50"/>
      <c r="C356" s="51" t="s">
        <v>258</v>
      </c>
      <c r="D356" s="49" t="s">
        <v>259</v>
      </c>
      <c r="E356" s="49" t="str">
        <f>B354&amp;C356</f>
        <v>Waterloo, IAV</v>
      </c>
      <c r="F356" s="56">
        <v>10.5</v>
      </c>
      <c r="G356" s="56">
        <v>10.7</v>
      </c>
      <c r="H356" s="56">
        <v>11.2</v>
      </c>
      <c r="I356" s="56">
        <v>11.9</v>
      </c>
      <c r="J356" s="56">
        <v>10.5</v>
      </c>
      <c r="K356" s="56">
        <v>8.6999999999999993</v>
      </c>
      <c r="L356" s="56">
        <v>7.6</v>
      </c>
      <c r="M356" s="56">
        <v>7.2</v>
      </c>
      <c r="N356" s="56">
        <v>8.1</v>
      </c>
      <c r="O356" s="56">
        <v>9.6</v>
      </c>
      <c r="P356" s="56">
        <v>10.3</v>
      </c>
      <c r="Q356" s="56">
        <v>10.1</v>
      </c>
      <c r="R356" s="57">
        <v>9.6</v>
      </c>
    </row>
    <row r="357" spans="2:18" x14ac:dyDescent="0.4">
      <c r="B357" s="50"/>
      <c r="C357" s="51" t="s">
        <v>260</v>
      </c>
      <c r="D357" s="49" t="s">
        <v>261</v>
      </c>
      <c r="E357" s="49" t="str">
        <f>B354&amp;C357</f>
        <v>Waterloo, IAI</v>
      </c>
      <c r="F357" s="56">
        <v>505</v>
      </c>
      <c r="G357" s="56">
        <v>755</v>
      </c>
      <c r="H357" s="56">
        <v>1131</v>
      </c>
      <c r="I357" s="56">
        <v>1451</v>
      </c>
      <c r="J357" s="56">
        <v>1722</v>
      </c>
      <c r="K357" s="56">
        <v>1924</v>
      </c>
      <c r="L357" s="56">
        <v>1952</v>
      </c>
      <c r="M357" s="56">
        <v>1698</v>
      </c>
      <c r="N357" s="56">
        <v>1357</v>
      </c>
      <c r="O357" s="56">
        <v>909</v>
      </c>
      <c r="P357" s="56">
        <v>554</v>
      </c>
      <c r="Q357" s="56">
        <v>418</v>
      </c>
      <c r="R357" s="57">
        <v>1198</v>
      </c>
    </row>
    <row r="358" spans="2:18" x14ac:dyDescent="0.4">
      <c r="B358" s="50"/>
      <c r="C358" s="51" t="s">
        <v>262</v>
      </c>
      <c r="D358" s="49" t="s">
        <v>263</v>
      </c>
      <c r="E358" s="49" t="str">
        <f>B354&amp;C358</f>
        <v>Waterloo, IAPA</v>
      </c>
      <c r="F358" s="58" t="s">
        <v>506</v>
      </c>
      <c r="G358" s="58" t="s">
        <v>506</v>
      </c>
      <c r="H358" s="58" t="s">
        <v>506</v>
      </c>
      <c r="I358" s="58" t="s">
        <v>506</v>
      </c>
      <c r="J358" s="58" t="s">
        <v>506</v>
      </c>
      <c r="K358" s="58" t="s">
        <v>506</v>
      </c>
      <c r="L358" s="58" t="s">
        <v>506</v>
      </c>
      <c r="M358" s="58" t="s">
        <v>506</v>
      </c>
      <c r="N358" s="58" t="s">
        <v>506</v>
      </c>
      <c r="O358" s="58" t="s">
        <v>506</v>
      </c>
      <c r="P358" s="58" t="s">
        <v>506</v>
      </c>
      <c r="Q358" s="58" t="s">
        <v>506</v>
      </c>
      <c r="R358" s="57">
        <v>14.24</v>
      </c>
    </row>
    <row r="359" spans="2:18" x14ac:dyDescent="0.4">
      <c r="B359" s="48" t="s">
        <v>334</v>
      </c>
      <c r="C359" s="51" t="s">
        <v>255</v>
      </c>
      <c r="D359" s="49" t="s">
        <v>256</v>
      </c>
      <c r="E359" s="49" t="str">
        <f>B359&amp;C359</f>
        <v>Concordia, KSTAN</v>
      </c>
      <c r="F359" s="56">
        <v>19.3</v>
      </c>
      <c r="G359" s="56">
        <v>23.3</v>
      </c>
      <c r="H359" s="56">
        <v>31.9</v>
      </c>
      <c r="I359" s="56">
        <v>42</v>
      </c>
      <c r="J359" s="56">
        <v>52.8</v>
      </c>
      <c r="K359" s="56">
        <v>62.7</v>
      </c>
      <c r="L359" s="56">
        <v>68</v>
      </c>
      <c r="M359" s="56">
        <v>66.099999999999994</v>
      </c>
      <c r="N359" s="56">
        <v>56.5</v>
      </c>
      <c r="O359" s="56">
        <v>44.6</v>
      </c>
      <c r="P359" s="56">
        <v>32</v>
      </c>
      <c r="Q359" s="56">
        <v>22.1</v>
      </c>
      <c r="R359" s="57">
        <v>43.4</v>
      </c>
    </row>
    <row r="360" spans="2:18" x14ac:dyDescent="0.4">
      <c r="B360" s="50"/>
      <c r="C360" s="51" t="s">
        <v>257</v>
      </c>
      <c r="D360" s="49" t="s">
        <v>256</v>
      </c>
      <c r="E360" s="49" t="str">
        <f>B359&amp;C360</f>
        <v>Concordia, KSTAX</v>
      </c>
      <c r="F360" s="56">
        <v>37.6</v>
      </c>
      <c r="G360" s="56">
        <v>43.2</v>
      </c>
      <c r="H360" s="56">
        <v>53.9</v>
      </c>
      <c r="I360" s="56">
        <v>64</v>
      </c>
      <c r="J360" s="56">
        <v>73.7</v>
      </c>
      <c r="K360" s="56">
        <v>84.3</v>
      </c>
      <c r="L360" s="56">
        <v>89.7</v>
      </c>
      <c r="M360" s="56">
        <v>87.9</v>
      </c>
      <c r="N360" s="56">
        <v>79.3</v>
      </c>
      <c r="O360" s="56">
        <v>66.8</v>
      </c>
      <c r="P360" s="56">
        <v>51.6</v>
      </c>
      <c r="Q360" s="56">
        <v>40</v>
      </c>
      <c r="R360" s="57">
        <v>64.3</v>
      </c>
    </row>
    <row r="361" spans="2:18" x14ac:dyDescent="0.4">
      <c r="B361" s="50"/>
      <c r="C361" s="51" t="s">
        <v>258</v>
      </c>
      <c r="D361" s="49" t="s">
        <v>259</v>
      </c>
      <c r="E361" s="49" t="str">
        <f>B359&amp;C361</f>
        <v>Concordia, KSV</v>
      </c>
      <c r="F361" s="56">
        <v>10.3</v>
      </c>
      <c r="G361" s="56">
        <v>10.7</v>
      </c>
      <c r="H361" s="56">
        <v>12.1</v>
      </c>
      <c r="I361" s="56">
        <v>12.8</v>
      </c>
      <c r="J361" s="56">
        <v>11.2</v>
      </c>
      <c r="K361" s="56">
        <v>10.7</v>
      </c>
      <c r="L361" s="56">
        <v>10.1</v>
      </c>
      <c r="M361" s="56">
        <v>9.4</v>
      </c>
      <c r="N361" s="56">
        <v>10.5</v>
      </c>
      <c r="O361" s="56">
        <v>10.7</v>
      </c>
      <c r="P361" s="56">
        <v>11</v>
      </c>
      <c r="Q361" s="56">
        <v>10.3</v>
      </c>
      <c r="R361" s="57">
        <v>10.7</v>
      </c>
    </row>
    <row r="362" spans="2:18" x14ac:dyDescent="0.4">
      <c r="B362" s="50"/>
      <c r="C362" s="51" t="s">
        <v>260</v>
      </c>
      <c r="D362" s="49" t="s">
        <v>261</v>
      </c>
      <c r="E362" s="49" t="str">
        <f>B359&amp;C362</f>
        <v>Concordia, KSI</v>
      </c>
      <c r="F362" s="56">
        <v>701</v>
      </c>
      <c r="G362" s="56">
        <v>948</v>
      </c>
      <c r="H362" s="56">
        <v>1319</v>
      </c>
      <c r="I362" s="56">
        <v>1647</v>
      </c>
      <c r="J362" s="56">
        <v>1881</v>
      </c>
      <c r="K362" s="56">
        <v>2123</v>
      </c>
      <c r="L362" s="56">
        <v>2140</v>
      </c>
      <c r="M362" s="56">
        <v>1916</v>
      </c>
      <c r="N362" s="56">
        <v>1544</v>
      </c>
      <c r="O362" s="56">
        <v>1128</v>
      </c>
      <c r="P362" s="56">
        <v>772</v>
      </c>
      <c r="Q362" s="56">
        <v>608</v>
      </c>
      <c r="R362" s="57">
        <v>1394</v>
      </c>
    </row>
    <row r="363" spans="2:18" x14ac:dyDescent="0.4">
      <c r="B363" s="50"/>
      <c r="C363" s="51" t="s">
        <v>262</v>
      </c>
      <c r="D363" s="49" t="s">
        <v>263</v>
      </c>
      <c r="E363" s="49" t="str">
        <f>B359&amp;C363</f>
        <v>Concordia, KSPA</v>
      </c>
      <c r="F363" s="58" t="s">
        <v>506</v>
      </c>
      <c r="G363" s="58" t="s">
        <v>506</v>
      </c>
      <c r="H363" s="58" t="s">
        <v>506</v>
      </c>
      <c r="I363" s="58" t="s">
        <v>506</v>
      </c>
      <c r="J363" s="58" t="s">
        <v>506</v>
      </c>
      <c r="K363" s="58" t="s">
        <v>506</v>
      </c>
      <c r="L363" s="58" t="s">
        <v>506</v>
      </c>
      <c r="M363" s="58" t="s">
        <v>506</v>
      </c>
      <c r="N363" s="58" t="s">
        <v>506</v>
      </c>
      <c r="O363" s="58" t="s">
        <v>506</v>
      </c>
      <c r="P363" s="58" t="s">
        <v>506</v>
      </c>
      <c r="Q363" s="58" t="s">
        <v>506</v>
      </c>
      <c r="R363" s="57">
        <v>13.94</v>
      </c>
    </row>
    <row r="364" spans="2:18" x14ac:dyDescent="0.4">
      <c r="B364" s="48" t="s">
        <v>335</v>
      </c>
      <c r="C364" s="51" t="s">
        <v>255</v>
      </c>
      <c r="D364" s="49" t="s">
        <v>256</v>
      </c>
      <c r="E364" s="49" t="str">
        <f>B364&amp;C364</f>
        <v>Dodge City, KSTAN</v>
      </c>
      <c r="F364" s="56">
        <v>20.8</v>
      </c>
      <c r="G364" s="56">
        <v>24.4</v>
      </c>
      <c r="H364" s="56">
        <v>31.6</v>
      </c>
      <c r="I364" s="56">
        <v>40.9</v>
      </c>
      <c r="J364" s="56">
        <v>52.1</v>
      </c>
      <c r="K364" s="56">
        <v>61.4</v>
      </c>
      <c r="L364" s="56">
        <v>66.7</v>
      </c>
      <c r="M364" s="56">
        <v>65.400000000000006</v>
      </c>
      <c r="N364" s="56">
        <v>56.1</v>
      </c>
      <c r="O364" s="56">
        <v>43.7</v>
      </c>
      <c r="P364" s="56">
        <v>30.7</v>
      </c>
      <c r="Q364" s="56">
        <v>22.6</v>
      </c>
      <c r="R364" s="57">
        <v>43</v>
      </c>
    </row>
    <row r="365" spans="2:18" x14ac:dyDescent="0.4">
      <c r="B365" s="50"/>
      <c r="C365" s="51" t="s">
        <v>257</v>
      </c>
      <c r="D365" s="49" t="s">
        <v>256</v>
      </c>
      <c r="E365" s="49" t="str">
        <f>B364&amp;C365</f>
        <v>Dodge City, KSTAX</v>
      </c>
      <c r="F365" s="56">
        <v>43.6</v>
      </c>
      <c r="G365" s="56">
        <v>48.3</v>
      </c>
      <c r="H365" s="56">
        <v>57.2</v>
      </c>
      <c r="I365" s="56">
        <v>66.7</v>
      </c>
      <c r="J365" s="56">
        <v>76.599999999999994</v>
      </c>
      <c r="K365" s="56">
        <v>86</v>
      </c>
      <c r="L365" s="56">
        <v>91.9</v>
      </c>
      <c r="M365" s="56">
        <v>89.7</v>
      </c>
      <c r="N365" s="56">
        <v>81.5</v>
      </c>
      <c r="O365" s="56">
        <v>69.2</v>
      </c>
      <c r="P365" s="56">
        <v>55.1</v>
      </c>
      <c r="Q365" s="56">
        <v>44.6</v>
      </c>
      <c r="R365" s="57">
        <v>67.599999999999994</v>
      </c>
    </row>
    <row r="366" spans="2:18" x14ac:dyDescent="0.4">
      <c r="B366" s="50"/>
      <c r="C366" s="51" t="s">
        <v>258</v>
      </c>
      <c r="D366" s="49" t="s">
        <v>259</v>
      </c>
      <c r="E366" s="49" t="str">
        <f>B364&amp;C366</f>
        <v>Dodge City, KSV</v>
      </c>
      <c r="F366" s="56">
        <v>12.1</v>
      </c>
      <c r="G366" s="56">
        <v>12.8</v>
      </c>
      <c r="H366" s="56">
        <v>14.1</v>
      </c>
      <c r="I366" s="56">
        <v>14.8</v>
      </c>
      <c r="J366" s="56">
        <v>13.6</v>
      </c>
      <c r="K366" s="56">
        <v>13.2</v>
      </c>
      <c r="L366" s="56">
        <v>12.1</v>
      </c>
      <c r="M366" s="56">
        <v>11.4</v>
      </c>
      <c r="N366" s="56">
        <v>12.8</v>
      </c>
      <c r="O366" s="56">
        <v>12.8</v>
      </c>
      <c r="P366" s="56">
        <v>12.5</v>
      </c>
      <c r="Q366" s="56">
        <v>12.1</v>
      </c>
      <c r="R366" s="57">
        <v>13</v>
      </c>
    </row>
    <row r="367" spans="2:18" x14ac:dyDescent="0.4">
      <c r="B367" s="50"/>
      <c r="C367" s="51" t="s">
        <v>260</v>
      </c>
      <c r="D367" s="49" t="s">
        <v>261</v>
      </c>
      <c r="E367" s="49" t="str">
        <f>B364&amp;C367</f>
        <v>Dodge City, KSI</v>
      </c>
      <c r="F367" s="56">
        <v>816</v>
      </c>
      <c r="G367" s="56">
        <v>1068</v>
      </c>
      <c r="H367" s="56">
        <v>1439</v>
      </c>
      <c r="I367" s="56">
        <v>1786</v>
      </c>
      <c r="J367" s="56">
        <v>2049</v>
      </c>
      <c r="K367" s="56">
        <v>2230</v>
      </c>
      <c r="L367" s="56">
        <v>2272</v>
      </c>
      <c r="M367" s="56">
        <v>1980</v>
      </c>
      <c r="N367" s="56">
        <v>1636</v>
      </c>
      <c r="O367" s="56">
        <v>1239</v>
      </c>
      <c r="P367" s="56">
        <v>889</v>
      </c>
      <c r="Q367" s="56">
        <v>740</v>
      </c>
      <c r="R367" s="57">
        <v>1512</v>
      </c>
    </row>
    <row r="368" spans="2:18" x14ac:dyDescent="0.4">
      <c r="B368" s="50"/>
      <c r="C368" s="51" t="s">
        <v>262</v>
      </c>
      <c r="D368" s="49" t="s">
        <v>263</v>
      </c>
      <c r="E368" s="49" t="str">
        <f>B364&amp;C368</f>
        <v>Dodge City, KSPA</v>
      </c>
      <c r="F368" s="58" t="s">
        <v>506</v>
      </c>
      <c r="G368" s="58" t="s">
        <v>506</v>
      </c>
      <c r="H368" s="58" t="s">
        <v>506</v>
      </c>
      <c r="I368" s="58" t="s">
        <v>506</v>
      </c>
      <c r="J368" s="58" t="s">
        <v>506</v>
      </c>
      <c r="K368" s="58" t="s">
        <v>506</v>
      </c>
      <c r="L368" s="58" t="s">
        <v>506</v>
      </c>
      <c r="M368" s="58" t="s">
        <v>506</v>
      </c>
      <c r="N368" s="58" t="s">
        <v>506</v>
      </c>
      <c r="O368" s="58" t="s">
        <v>506</v>
      </c>
      <c r="P368" s="58" t="s">
        <v>506</v>
      </c>
      <c r="Q368" s="58" t="s">
        <v>506</v>
      </c>
      <c r="R368" s="57">
        <v>13.39</v>
      </c>
    </row>
    <row r="369" spans="2:18" x14ac:dyDescent="0.4">
      <c r="B369" s="48" t="s">
        <v>336</v>
      </c>
      <c r="C369" s="51" t="s">
        <v>255</v>
      </c>
      <c r="D369" s="49" t="s">
        <v>256</v>
      </c>
      <c r="E369" s="49" t="str">
        <f>B369&amp;C369</f>
        <v>Goodland, KSTAN</v>
      </c>
      <c r="F369" s="56">
        <v>17.7</v>
      </c>
      <c r="G369" s="56">
        <v>20.399999999999999</v>
      </c>
      <c r="H369" s="56">
        <v>27.1</v>
      </c>
      <c r="I369" s="56">
        <v>35.299999999999997</v>
      </c>
      <c r="J369" s="56">
        <v>46.3</v>
      </c>
      <c r="K369" s="56">
        <v>56.3</v>
      </c>
      <c r="L369" s="56">
        <v>62</v>
      </c>
      <c r="M369" s="56">
        <v>60.5</v>
      </c>
      <c r="N369" s="56">
        <v>50.6</v>
      </c>
      <c r="O369" s="56">
        <v>38.1</v>
      </c>
      <c r="P369" s="56">
        <v>26.5</v>
      </c>
      <c r="Q369" s="56">
        <v>18.8</v>
      </c>
      <c r="R369" s="57">
        <v>38.299999999999997</v>
      </c>
    </row>
    <row r="370" spans="2:18" x14ac:dyDescent="0.4">
      <c r="B370" s="50"/>
      <c r="C370" s="51" t="s">
        <v>257</v>
      </c>
      <c r="D370" s="49" t="s">
        <v>256</v>
      </c>
      <c r="E370" s="49" t="str">
        <f>B369&amp;C370</f>
        <v>Goodland, KSTAX</v>
      </c>
      <c r="F370" s="56">
        <v>41.8</v>
      </c>
      <c r="G370" s="56">
        <v>45.4</v>
      </c>
      <c r="H370" s="56">
        <v>54.4</v>
      </c>
      <c r="I370" s="56">
        <v>62.7</v>
      </c>
      <c r="J370" s="56">
        <v>72.900000000000006</v>
      </c>
      <c r="K370" s="56">
        <v>83.2</v>
      </c>
      <c r="L370" s="56">
        <v>89.2</v>
      </c>
      <c r="M370" s="56">
        <v>86.3</v>
      </c>
      <c r="N370" s="56">
        <v>78.5</v>
      </c>
      <c r="O370" s="56">
        <v>65.599999999999994</v>
      </c>
      <c r="P370" s="56">
        <v>51.7</v>
      </c>
      <c r="Q370" s="56">
        <v>42.9</v>
      </c>
      <c r="R370" s="57">
        <v>64.5</v>
      </c>
    </row>
    <row r="371" spans="2:18" x14ac:dyDescent="0.4">
      <c r="B371" s="50"/>
      <c r="C371" s="51" t="s">
        <v>258</v>
      </c>
      <c r="D371" s="49" t="s">
        <v>259</v>
      </c>
      <c r="E371" s="49" t="str">
        <f>B369&amp;C371</f>
        <v>Goodland, KSV</v>
      </c>
      <c r="F371" s="56">
        <v>11.6</v>
      </c>
      <c r="G371" s="56">
        <v>12.1</v>
      </c>
      <c r="H371" s="56">
        <v>13.2</v>
      </c>
      <c r="I371" s="56">
        <v>13.9</v>
      </c>
      <c r="J371" s="56">
        <v>13</v>
      </c>
      <c r="K371" s="56">
        <v>12.3</v>
      </c>
      <c r="L371" s="56">
        <v>11</v>
      </c>
      <c r="M371" s="56">
        <v>10.5</v>
      </c>
      <c r="N371" s="56">
        <v>11.4</v>
      </c>
      <c r="O371" s="56">
        <v>11.9</v>
      </c>
      <c r="P371" s="56">
        <v>11.6</v>
      </c>
      <c r="Q371" s="56">
        <v>11.6</v>
      </c>
      <c r="R371" s="57">
        <v>12.1</v>
      </c>
    </row>
    <row r="372" spans="2:18" x14ac:dyDescent="0.4">
      <c r="B372" s="50"/>
      <c r="C372" s="51" t="s">
        <v>260</v>
      </c>
      <c r="D372" s="49" t="s">
        <v>261</v>
      </c>
      <c r="E372" s="49" t="str">
        <f>B369&amp;C372</f>
        <v>Goodland, KSI</v>
      </c>
      <c r="F372" s="56">
        <v>785</v>
      </c>
      <c r="G372" s="56">
        <v>1014</v>
      </c>
      <c r="H372" s="56">
        <v>1426</v>
      </c>
      <c r="I372" s="56">
        <v>1762</v>
      </c>
      <c r="J372" s="56">
        <v>2007</v>
      </c>
      <c r="K372" s="56">
        <v>2274</v>
      </c>
      <c r="L372" s="56">
        <v>2301</v>
      </c>
      <c r="M372" s="56">
        <v>2013</v>
      </c>
      <c r="N372" s="56">
        <v>1646</v>
      </c>
      <c r="O372" s="56">
        <v>1216</v>
      </c>
      <c r="P372" s="56">
        <v>826</v>
      </c>
      <c r="Q372" s="56">
        <v>681</v>
      </c>
      <c r="R372" s="57">
        <v>1496</v>
      </c>
    </row>
    <row r="373" spans="2:18" x14ac:dyDescent="0.4">
      <c r="B373" s="50"/>
      <c r="C373" s="51" t="s">
        <v>262</v>
      </c>
      <c r="D373" s="49" t="s">
        <v>263</v>
      </c>
      <c r="E373" s="49" t="str">
        <f>B369&amp;C373</f>
        <v>Goodland, KSPA</v>
      </c>
      <c r="F373" s="58" t="s">
        <v>506</v>
      </c>
      <c r="G373" s="58" t="s">
        <v>506</v>
      </c>
      <c r="H373" s="58" t="s">
        <v>506</v>
      </c>
      <c r="I373" s="58" t="s">
        <v>506</v>
      </c>
      <c r="J373" s="58" t="s">
        <v>506</v>
      </c>
      <c r="K373" s="58" t="s">
        <v>506</v>
      </c>
      <c r="L373" s="58" t="s">
        <v>506</v>
      </c>
      <c r="M373" s="58" t="s">
        <v>506</v>
      </c>
      <c r="N373" s="58" t="s">
        <v>506</v>
      </c>
      <c r="O373" s="58" t="s">
        <v>506</v>
      </c>
      <c r="P373" s="58" t="s">
        <v>506</v>
      </c>
      <c r="Q373" s="58" t="s">
        <v>506</v>
      </c>
      <c r="R373" s="57">
        <v>12.88</v>
      </c>
    </row>
    <row r="374" spans="2:18" x14ac:dyDescent="0.4">
      <c r="B374" s="48" t="s">
        <v>337</v>
      </c>
      <c r="C374" s="51" t="s">
        <v>255</v>
      </c>
      <c r="D374" s="49" t="s">
        <v>256</v>
      </c>
      <c r="E374" s="49" t="str">
        <f>B374&amp;C374</f>
        <v>Russell, KSTAN</v>
      </c>
      <c r="F374" s="56">
        <v>18.8</v>
      </c>
      <c r="G374" s="56">
        <v>22.8</v>
      </c>
      <c r="H374" s="56">
        <v>31.4</v>
      </c>
      <c r="I374" s="56">
        <v>40.9</v>
      </c>
      <c r="J374" s="56">
        <v>52.3</v>
      </c>
      <c r="K374" s="56">
        <v>62.4</v>
      </c>
      <c r="L374" s="56">
        <v>67.599999999999994</v>
      </c>
      <c r="M374" s="56">
        <v>66.3</v>
      </c>
      <c r="N374" s="56">
        <v>56.5</v>
      </c>
      <c r="O374" s="56">
        <v>43.7</v>
      </c>
      <c r="P374" s="56">
        <v>30.5</v>
      </c>
      <c r="Q374" s="56">
        <v>21.3</v>
      </c>
      <c r="R374" s="57">
        <v>42.9</v>
      </c>
    </row>
    <row r="375" spans="2:18" x14ac:dyDescent="0.4">
      <c r="B375" s="50"/>
      <c r="C375" s="51" t="s">
        <v>257</v>
      </c>
      <c r="D375" s="49" t="s">
        <v>256</v>
      </c>
      <c r="E375" s="49" t="str">
        <f>B374&amp;C375</f>
        <v>Russell, KSTAX</v>
      </c>
      <c r="F375" s="56">
        <v>40.700000000000003</v>
      </c>
      <c r="G375" s="56">
        <v>45.6</v>
      </c>
      <c r="H375" s="56">
        <v>55.6</v>
      </c>
      <c r="I375" s="56">
        <v>65.2</v>
      </c>
      <c r="J375" s="56">
        <v>75.099999999999994</v>
      </c>
      <c r="K375" s="56">
        <v>85.6</v>
      </c>
      <c r="L375" s="56">
        <v>91.6</v>
      </c>
      <c r="M375" s="56">
        <v>89.1</v>
      </c>
      <c r="N375" s="56">
        <v>80.7</v>
      </c>
      <c r="O375" s="56">
        <v>68.3</v>
      </c>
      <c r="P375" s="56">
        <v>53.9</v>
      </c>
      <c r="Q375" s="56">
        <v>42.3</v>
      </c>
      <c r="R375" s="57">
        <v>66.099999999999994</v>
      </c>
    </row>
    <row r="376" spans="2:18" x14ac:dyDescent="0.4">
      <c r="B376" s="50"/>
      <c r="C376" s="51" t="s">
        <v>258</v>
      </c>
      <c r="D376" s="49" t="s">
        <v>259</v>
      </c>
      <c r="E376" s="49" t="str">
        <f>B374&amp;C376</f>
        <v>Russell, KSV</v>
      </c>
      <c r="F376" s="56">
        <v>11.4</v>
      </c>
      <c r="G376" s="56">
        <v>12.1</v>
      </c>
      <c r="H376" s="56">
        <v>13.4</v>
      </c>
      <c r="I376" s="56">
        <v>14.3</v>
      </c>
      <c r="J376" s="56">
        <v>12.8</v>
      </c>
      <c r="K376" s="56">
        <v>12.5</v>
      </c>
      <c r="L376" s="56">
        <v>11.9</v>
      </c>
      <c r="M376" s="56">
        <v>11.2</v>
      </c>
      <c r="N376" s="56">
        <v>12.3</v>
      </c>
      <c r="O376" s="56">
        <v>12.8</v>
      </c>
      <c r="P376" s="56">
        <v>12.3</v>
      </c>
      <c r="Q376" s="56">
        <v>11.6</v>
      </c>
      <c r="R376" s="57">
        <v>12.3</v>
      </c>
    </row>
    <row r="377" spans="2:18" x14ac:dyDescent="0.4">
      <c r="B377" s="50"/>
      <c r="C377" s="51" t="s">
        <v>260</v>
      </c>
      <c r="D377" s="49" t="s">
        <v>261</v>
      </c>
      <c r="E377" s="49" t="str">
        <f>B374&amp;C377</f>
        <v>Russell, KSI</v>
      </c>
      <c r="F377" s="56">
        <v>739</v>
      </c>
      <c r="G377" s="56">
        <v>986</v>
      </c>
      <c r="H377" s="56">
        <v>1343</v>
      </c>
      <c r="I377" s="56">
        <v>1669</v>
      </c>
      <c r="J377" s="56">
        <v>1944</v>
      </c>
      <c r="K377" s="56">
        <v>2144</v>
      </c>
      <c r="L377" s="56">
        <v>2176</v>
      </c>
      <c r="M377" s="56">
        <v>1927</v>
      </c>
      <c r="N377" s="56">
        <v>1571</v>
      </c>
      <c r="O377" s="56">
        <v>1153</v>
      </c>
      <c r="P377" s="56">
        <v>818</v>
      </c>
      <c r="Q377" s="56">
        <v>655</v>
      </c>
      <c r="R377" s="57">
        <v>1427</v>
      </c>
    </row>
    <row r="378" spans="2:18" x14ac:dyDescent="0.4">
      <c r="B378" s="50"/>
      <c r="C378" s="51" t="s">
        <v>262</v>
      </c>
      <c r="D378" s="49" t="s">
        <v>263</v>
      </c>
      <c r="E378" s="49" t="str">
        <f>B374&amp;C378</f>
        <v>Russell, KSPA</v>
      </c>
      <c r="F378" s="58" t="s">
        <v>506</v>
      </c>
      <c r="G378" s="58" t="s">
        <v>506</v>
      </c>
      <c r="H378" s="58" t="s">
        <v>506</v>
      </c>
      <c r="I378" s="58" t="s">
        <v>506</v>
      </c>
      <c r="J378" s="58" t="s">
        <v>506</v>
      </c>
      <c r="K378" s="58" t="s">
        <v>506</v>
      </c>
      <c r="L378" s="58" t="s">
        <v>506</v>
      </c>
      <c r="M378" s="58" t="s">
        <v>506</v>
      </c>
      <c r="N378" s="58" t="s">
        <v>506</v>
      </c>
      <c r="O378" s="58" t="s">
        <v>506</v>
      </c>
      <c r="P378" s="58" t="s">
        <v>506</v>
      </c>
      <c r="Q378" s="58" t="s">
        <v>506</v>
      </c>
      <c r="R378" s="57">
        <v>13.74</v>
      </c>
    </row>
    <row r="379" spans="2:18" x14ac:dyDescent="0.4">
      <c r="B379" s="48" t="s">
        <v>338</v>
      </c>
      <c r="C379" s="51" t="s">
        <v>255</v>
      </c>
      <c r="D379" s="49" t="s">
        <v>256</v>
      </c>
      <c r="E379" s="49" t="str">
        <f>B379&amp;C379</f>
        <v>Topeka, KSTAN</v>
      </c>
      <c r="F379" s="56">
        <v>20.3</v>
      </c>
      <c r="G379" s="56">
        <v>25.1</v>
      </c>
      <c r="H379" s="56">
        <v>33.700000000000003</v>
      </c>
      <c r="I379" s="56">
        <v>44.3</v>
      </c>
      <c r="J379" s="56">
        <v>55</v>
      </c>
      <c r="K379" s="56">
        <v>64.599999999999994</v>
      </c>
      <c r="L379" s="56">
        <v>69.3</v>
      </c>
      <c r="M379" s="56">
        <v>67.400000000000006</v>
      </c>
      <c r="N379" s="56">
        <v>57</v>
      </c>
      <c r="O379" s="56">
        <v>45.8</v>
      </c>
      <c r="P379" s="56">
        <v>33.799999999999997</v>
      </c>
      <c r="Q379" s="56">
        <v>24</v>
      </c>
      <c r="R379" s="57">
        <v>45</v>
      </c>
    </row>
    <row r="380" spans="2:18" x14ac:dyDescent="0.4">
      <c r="B380" s="50"/>
      <c r="C380" s="51" t="s">
        <v>257</v>
      </c>
      <c r="D380" s="49" t="s">
        <v>256</v>
      </c>
      <c r="E380" s="49" t="str">
        <f>B379&amp;C380</f>
        <v>Topeka, KSTAX</v>
      </c>
      <c r="F380" s="56">
        <v>39</v>
      </c>
      <c r="G380" s="56">
        <v>45.3</v>
      </c>
      <c r="H380" s="56">
        <v>55.7</v>
      </c>
      <c r="I380" s="56">
        <v>65.900000000000006</v>
      </c>
      <c r="J380" s="56">
        <v>75.400000000000006</v>
      </c>
      <c r="K380" s="56">
        <v>83.9</v>
      </c>
      <c r="L380" s="56">
        <v>89</v>
      </c>
      <c r="M380" s="56">
        <v>88.5</v>
      </c>
      <c r="N380" s="56">
        <v>79.599999999999994</v>
      </c>
      <c r="O380" s="56">
        <v>68.099999999999994</v>
      </c>
      <c r="P380" s="56">
        <v>53.9</v>
      </c>
      <c r="Q380" s="56">
        <v>42.3</v>
      </c>
      <c r="R380" s="57">
        <v>65.599999999999994</v>
      </c>
    </row>
    <row r="381" spans="2:18" x14ac:dyDescent="0.4">
      <c r="B381" s="50"/>
      <c r="C381" s="51" t="s">
        <v>258</v>
      </c>
      <c r="D381" s="49" t="s">
        <v>259</v>
      </c>
      <c r="E381" s="49" t="str">
        <f>B379&amp;C381</f>
        <v>Topeka, KSV</v>
      </c>
      <c r="F381" s="56">
        <v>8.1</v>
      </c>
      <c r="G381" s="56">
        <v>8.3000000000000007</v>
      </c>
      <c r="H381" s="56">
        <v>9.6</v>
      </c>
      <c r="I381" s="56">
        <v>9.8000000000000007</v>
      </c>
      <c r="J381" s="56">
        <v>8.3000000000000007</v>
      </c>
      <c r="K381" s="56">
        <v>7.6</v>
      </c>
      <c r="L381" s="56">
        <v>6.7</v>
      </c>
      <c r="M381" s="56">
        <v>6</v>
      </c>
      <c r="N381" s="56">
        <v>6.7</v>
      </c>
      <c r="O381" s="56">
        <v>7.4</v>
      </c>
      <c r="P381" s="56">
        <v>8.1</v>
      </c>
      <c r="Q381" s="56">
        <v>7.6</v>
      </c>
      <c r="R381" s="57">
        <v>7.8</v>
      </c>
    </row>
    <row r="382" spans="2:18" x14ac:dyDescent="0.4">
      <c r="B382" s="50"/>
      <c r="C382" s="51" t="s">
        <v>260</v>
      </c>
      <c r="D382" s="49" t="s">
        <v>261</v>
      </c>
      <c r="E382" s="49" t="str">
        <f>B379&amp;C382</f>
        <v>Topeka, KSI</v>
      </c>
      <c r="F382" s="56">
        <v>679</v>
      </c>
      <c r="G382" s="56">
        <v>944</v>
      </c>
      <c r="H382" s="56">
        <v>1277</v>
      </c>
      <c r="I382" s="56">
        <v>1574</v>
      </c>
      <c r="J382" s="56">
        <v>1809</v>
      </c>
      <c r="K382" s="56">
        <v>2027</v>
      </c>
      <c r="L382" s="56">
        <v>2069</v>
      </c>
      <c r="M382" s="56">
        <v>1864</v>
      </c>
      <c r="N382" s="56">
        <v>1497</v>
      </c>
      <c r="O382" s="56">
        <v>1102</v>
      </c>
      <c r="P382" s="56">
        <v>733</v>
      </c>
      <c r="Q382" s="56">
        <v>598</v>
      </c>
      <c r="R382" s="57">
        <v>1348</v>
      </c>
    </row>
    <row r="383" spans="2:18" x14ac:dyDescent="0.4">
      <c r="B383" s="50"/>
      <c r="C383" s="51" t="s">
        <v>262</v>
      </c>
      <c r="D383" s="49" t="s">
        <v>263</v>
      </c>
      <c r="E383" s="49" t="str">
        <f>B379&amp;C383</f>
        <v>Topeka, KSPA</v>
      </c>
      <c r="F383" s="58" t="s">
        <v>506</v>
      </c>
      <c r="G383" s="58" t="s">
        <v>506</v>
      </c>
      <c r="H383" s="58" t="s">
        <v>506</v>
      </c>
      <c r="I383" s="58" t="s">
        <v>506</v>
      </c>
      <c r="J383" s="58" t="s">
        <v>506</v>
      </c>
      <c r="K383" s="58" t="s">
        <v>506</v>
      </c>
      <c r="L383" s="58" t="s">
        <v>506</v>
      </c>
      <c r="M383" s="58" t="s">
        <v>506</v>
      </c>
      <c r="N383" s="58" t="s">
        <v>506</v>
      </c>
      <c r="O383" s="58" t="s">
        <v>506</v>
      </c>
      <c r="P383" s="58" t="s">
        <v>506</v>
      </c>
      <c r="Q383" s="58" t="s">
        <v>506</v>
      </c>
      <c r="R383" s="57">
        <v>14.23</v>
      </c>
    </row>
    <row r="384" spans="2:18" x14ac:dyDescent="0.4">
      <c r="B384" s="48" t="s">
        <v>339</v>
      </c>
      <c r="C384" s="51" t="s">
        <v>255</v>
      </c>
      <c r="D384" s="49" t="s">
        <v>256</v>
      </c>
      <c r="E384" s="49" t="str">
        <f>B384&amp;C384</f>
        <v>Wichita, KSTAN</v>
      </c>
      <c r="F384" s="56">
        <v>23.1</v>
      </c>
      <c r="G384" s="56">
        <v>27.4</v>
      </c>
      <c r="H384" s="56">
        <v>35.700000000000003</v>
      </c>
      <c r="I384" s="56">
        <v>45.2</v>
      </c>
      <c r="J384" s="56">
        <v>56.2</v>
      </c>
      <c r="K384" s="56">
        <v>65.5</v>
      </c>
      <c r="L384" s="56">
        <v>70.3</v>
      </c>
      <c r="M384" s="56">
        <v>69.3</v>
      </c>
      <c r="N384" s="56">
        <v>60</v>
      </c>
      <c r="O384" s="56">
        <v>47.7</v>
      </c>
      <c r="P384" s="56">
        <v>35.5</v>
      </c>
      <c r="Q384" s="56">
        <v>25.8</v>
      </c>
      <c r="R384" s="57">
        <v>46.8</v>
      </c>
    </row>
    <row r="385" spans="2:18" x14ac:dyDescent="0.4">
      <c r="B385" s="50"/>
      <c r="C385" s="51" t="s">
        <v>257</v>
      </c>
      <c r="D385" s="49" t="s">
        <v>256</v>
      </c>
      <c r="E385" s="49" t="str">
        <f>B384&amp;C385</f>
        <v>Wichita, KSTAX</v>
      </c>
      <c r="F385" s="56">
        <v>42.2</v>
      </c>
      <c r="G385" s="56">
        <v>48.5</v>
      </c>
      <c r="H385" s="56">
        <v>57.3</v>
      </c>
      <c r="I385" s="56">
        <v>67</v>
      </c>
      <c r="J385" s="56">
        <v>76.3</v>
      </c>
      <c r="K385" s="56">
        <v>85.8</v>
      </c>
      <c r="L385" s="56">
        <v>91.3</v>
      </c>
      <c r="M385" s="56">
        <v>90.4</v>
      </c>
      <c r="N385" s="56">
        <v>81.7</v>
      </c>
      <c r="O385" s="56">
        <v>69.599999999999994</v>
      </c>
      <c r="P385" s="56">
        <v>55.7</v>
      </c>
      <c r="Q385" s="56">
        <v>44</v>
      </c>
      <c r="R385" s="57">
        <v>67.5</v>
      </c>
    </row>
    <row r="386" spans="2:18" x14ac:dyDescent="0.4">
      <c r="B386" s="50"/>
      <c r="C386" s="51" t="s">
        <v>258</v>
      </c>
      <c r="D386" s="49" t="s">
        <v>259</v>
      </c>
      <c r="E386" s="49" t="str">
        <f>B384&amp;C386</f>
        <v>Wichita, KSV</v>
      </c>
      <c r="F386" s="56">
        <v>11</v>
      </c>
      <c r="G386" s="56">
        <v>11.4</v>
      </c>
      <c r="H386" s="56">
        <v>12.8</v>
      </c>
      <c r="I386" s="56">
        <v>13.4</v>
      </c>
      <c r="J386" s="56">
        <v>11.6</v>
      </c>
      <c r="K386" s="56">
        <v>11.6</v>
      </c>
      <c r="L386" s="56">
        <v>10.7</v>
      </c>
      <c r="M386" s="56">
        <v>10.1</v>
      </c>
      <c r="N386" s="56">
        <v>10.7</v>
      </c>
      <c r="O386" s="56">
        <v>11.2</v>
      </c>
      <c r="P386" s="56">
        <v>11.4</v>
      </c>
      <c r="Q386" s="56">
        <v>10.7</v>
      </c>
      <c r="R386" s="57">
        <v>11.4</v>
      </c>
    </row>
    <row r="387" spans="2:18" x14ac:dyDescent="0.4">
      <c r="B387" s="50"/>
      <c r="C387" s="51" t="s">
        <v>260</v>
      </c>
      <c r="D387" s="49" t="s">
        <v>261</v>
      </c>
      <c r="E387" s="49" t="str">
        <f>B384&amp;C387</f>
        <v>Wichita, KSI</v>
      </c>
      <c r="F387" s="56">
        <v>763</v>
      </c>
      <c r="G387" s="56">
        <v>1050</v>
      </c>
      <c r="H387" s="56">
        <v>1345</v>
      </c>
      <c r="I387" s="56">
        <v>1701</v>
      </c>
      <c r="J387" s="56">
        <v>1930</v>
      </c>
      <c r="K387" s="56">
        <v>2132</v>
      </c>
      <c r="L387" s="56">
        <v>2179</v>
      </c>
      <c r="M387" s="56">
        <v>1961</v>
      </c>
      <c r="N387" s="56">
        <v>1567</v>
      </c>
      <c r="O387" s="56">
        <v>1173</v>
      </c>
      <c r="P387" s="56">
        <v>831</v>
      </c>
      <c r="Q387" s="56">
        <v>666</v>
      </c>
      <c r="R387" s="57">
        <v>1442</v>
      </c>
    </row>
    <row r="388" spans="2:18" x14ac:dyDescent="0.4">
      <c r="B388" s="50"/>
      <c r="C388" s="51" t="s">
        <v>262</v>
      </c>
      <c r="D388" s="49" t="s">
        <v>263</v>
      </c>
      <c r="E388" s="49" t="str">
        <f>B384&amp;C388</f>
        <v>Wichita, KSPA</v>
      </c>
      <c r="F388" s="58" t="s">
        <v>506</v>
      </c>
      <c r="G388" s="58" t="s">
        <v>506</v>
      </c>
      <c r="H388" s="58" t="s">
        <v>506</v>
      </c>
      <c r="I388" s="58" t="s">
        <v>506</v>
      </c>
      <c r="J388" s="58" t="s">
        <v>506</v>
      </c>
      <c r="K388" s="58" t="s">
        <v>506</v>
      </c>
      <c r="L388" s="58" t="s">
        <v>506</v>
      </c>
      <c r="M388" s="58" t="s">
        <v>506</v>
      </c>
      <c r="N388" s="58" t="s">
        <v>506</v>
      </c>
      <c r="O388" s="58" t="s">
        <v>506</v>
      </c>
      <c r="P388" s="58" t="s">
        <v>506</v>
      </c>
      <c r="Q388" s="58" t="s">
        <v>506</v>
      </c>
      <c r="R388" s="57">
        <v>14.01</v>
      </c>
    </row>
    <row r="389" spans="2:18" x14ac:dyDescent="0.4">
      <c r="B389" s="48" t="s">
        <v>340</v>
      </c>
      <c r="C389" s="51" t="s">
        <v>255</v>
      </c>
      <c r="D389" s="49" t="s">
        <v>256</v>
      </c>
      <c r="E389" s="49" t="str">
        <f>B389&amp;C389</f>
        <v>Cincinnati, KYTAN</v>
      </c>
      <c r="F389" s="56">
        <v>23.8</v>
      </c>
      <c r="G389" s="56">
        <v>26.2</v>
      </c>
      <c r="H389" s="56">
        <v>34.1</v>
      </c>
      <c r="I389" s="56">
        <v>44.3</v>
      </c>
      <c r="J389" s="56">
        <v>53.7</v>
      </c>
      <c r="K389" s="56">
        <v>62.5</v>
      </c>
      <c r="L389" s="56">
        <v>66.099999999999994</v>
      </c>
      <c r="M389" s="56">
        <v>65.400000000000006</v>
      </c>
      <c r="N389" s="56">
        <v>57.4</v>
      </c>
      <c r="O389" s="56">
        <v>45.9</v>
      </c>
      <c r="P389" s="56">
        <v>36.200000000000003</v>
      </c>
      <c r="Q389" s="56">
        <v>27.4</v>
      </c>
      <c r="R389" s="57">
        <v>45.2</v>
      </c>
    </row>
    <row r="390" spans="2:18" x14ac:dyDescent="0.4">
      <c r="B390" s="50"/>
      <c r="C390" s="51" t="s">
        <v>257</v>
      </c>
      <c r="D390" s="49" t="s">
        <v>256</v>
      </c>
      <c r="E390" s="49" t="str">
        <f>B389&amp;C390</f>
        <v>Cincinnati, KYTAX</v>
      </c>
      <c r="F390" s="56">
        <v>38.299999999999997</v>
      </c>
      <c r="G390" s="56">
        <v>42.3</v>
      </c>
      <c r="H390" s="56">
        <v>52.2</v>
      </c>
      <c r="I390" s="56">
        <v>64.2</v>
      </c>
      <c r="J390" s="56">
        <v>72.900000000000006</v>
      </c>
      <c r="K390" s="56">
        <v>81.2</v>
      </c>
      <c r="L390" s="56">
        <v>84.4</v>
      </c>
      <c r="M390" s="56">
        <v>84.2</v>
      </c>
      <c r="N390" s="56">
        <v>77.5</v>
      </c>
      <c r="O390" s="56">
        <v>65.599999999999994</v>
      </c>
      <c r="P390" s="56">
        <v>52.9</v>
      </c>
      <c r="Q390" s="56">
        <v>41.4</v>
      </c>
      <c r="R390" s="57">
        <v>63.1</v>
      </c>
    </row>
    <row r="391" spans="2:18" x14ac:dyDescent="0.4">
      <c r="B391" s="50"/>
      <c r="C391" s="51" t="s">
        <v>258</v>
      </c>
      <c r="D391" s="49" t="s">
        <v>259</v>
      </c>
      <c r="E391" s="49" t="str">
        <f>B389&amp;C391</f>
        <v>Cincinnati, KYV</v>
      </c>
      <c r="F391" s="56">
        <v>9.4</v>
      </c>
      <c r="G391" s="56">
        <v>9.6</v>
      </c>
      <c r="H391" s="56">
        <v>9.8000000000000007</v>
      </c>
      <c r="I391" s="56">
        <v>9.6</v>
      </c>
      <c r="J391" s="56">
        <v>7.8</v>
      </c>
      <c r="K391" s="56">
        <v>6.9</v>
      </c>
      <c r="L391" s="56">
        <v>6.5</v>
      </c>
      <c r="M391" s="56">
        <v>6.3</v>
      </c>
      <c r="N391" s="56">
        <v>6.7</v>
      </c>
      <c r="O391" s="56">
        <v>7.4</v>
      </c>
      <c r="P391" s="56">
        <v>8.6999999999999993</v>
      </c>
      <c r="Q391" s="56">
        <v>8.9</v>
      </c>
      <c r="R391" s="57">
        <v>8.1</v>
      </c>
    </row>
    <row r="392" spans="2:18" x14ac:dyDescent="0.4">
      <c r="B392" s="50"/>
      <c r="C392" s="51" t="s">
        <v>260</v>
      </c>
      <c r="D392" s="49" t="s">
        <v>261</v>
      </c>
      <c r="E392" s="49" t="str">
        <f>B389&amp;C392</f>
        <v>Cincinnati, KYI</v>
      </c>
      <c r="F392" s="56">
        <v>553</v>
      </c>
      <c r="G392" s="56">
        <v>832</v>
      </c>
      <c r="H392" s="56">
        <v>1167</v>
      </c>
      <c r="I392" s="56">
        <v>1532</v>
      </c>
      <c r="J392" s="56">
        <v>1782</v>
      </c>
      <c r="K392" s="56">
        <v>1956</v>
      </c>
      <c r="L392" s="56">
        <v>1937</v>
      </c>
      <c r="M392" s="56">
        <v>1768</v>
      </c>
      <c r="N392" s="56">
        <v>1439</v>
      </c>
      <c r="O392" s="56">
        <v>1027</v>
      </c>
      <c r="P392" s="56">
        <v>644</v>
      </c>
      <c r="Q392" s="56">
        <v>487</v>
      </c>
      <c r="R392" s="57">
        <v>1260</v>
      </c>
    </row>
    <row r="393" spans="2:18" x14ac:dyDescent="0.4">
      <c r="B393" s="50"/>
      <c r="C393" s="51" t="s">
        <v>262</v>
      </c>
      <c r="D393" s="49" t="s">
        <v>263</v>
      </c>
      <c r="E393" s="49" t="str">
        <f>B389&amp;C393</f>
        <v>Cincinnati, KYPA</v>
      </c>
      <c r="F393" s="58" t="s">
        <v>506</v>
      </c>
      <c r="G393" s="58" t="s">
        <v>506</v>
      </c>
      <c r="H393" s="58" t="s">
        <v>506</v>
      </c>
      <c r="I393" s="58" t="s">
        <v>506</v>
      </c>
      <c r="J393" s="58" t="s">
        <v>506</v>
      </c>
      <c r="K393" s="58" t="s">
        <v>506</v>
      </c>
      <c r="L393" s="58" t="s">
        <v>506</v>
      </c>
      <c r="M393" s="58" t="s">
        <v>506</v>
      </c>
      <c r="N393" s="58" t="s">
        <v>506</v>
      </c>
      <c r="O393" s="58" t="s">
        <v>506</v>
      </c>
      <c r="P393" s="58" t="s">
        <v>506</v>
      </c>
      <c r="Q393" s="58" t="s">
        <v>506</v>
      </c>
      <c r="R393" s="57">
        <v>14.24</v>
      </c>
    </row>
    <row r="394" spans="2:18" x14ac:dyDescent="0.4">
      <c r="B394" s="48" t="s">
        <v>341</v>
      </c>
      <c r="C394" s="51" t="s">
        <v>255</v>
      </c>
      <c r="D394" s="49" t="s">
        <v>256</v>
      </c>
      <c r="E394" s="49" t="str">
        <f>B394&amp;C394</f>
        <v>Jackson_KY, KYTAN</v>
      </c>
      <c r="F394" s="56">
        <v>27.9</v>
      </c>
      <c r="G394" s="56">
        <v>30.5</v>
      </c>
      <c r="H394" s="56">
        <v>37.799999999999997</v>
      </c>
      <c r="I394" s="56">
        <v>47.7</v>
      </c>
      <c r="J394" s="56">
        <v>55.4</v>
      </c>
      <c r="K394" s="56">
        <v>63.1</v>
      </c>
      <c r="L394" s="56">
        <v>66.599999999999994</v>
      </c>
      <c r="M394" s="56">
        <v>65.7</v>
      </c>
      <c r="N394" s="56">
        <v>58.9</v>
      </c>
      <c r="O394" s="56">
        <v>48.7</v>
      </c>
      <c r="P394" s="56">
        <v>39.6</v>
      </c>
      <c r="Q394" s="56">
        <v>31.4</v>
      </c>
      <c r="R394" s="57">
        <v>47.8</v>
      </c>
    </row>
    <row r="395" spans="2:18" x14ac:dyDescent="0.4">
      <c r="B395" s="50"/>
      <c r="C395" s="51" t="s">
        <v>257</v>
      </c>
      <c r="D395" s="49" t="s">
        <v>256</v>
      </c>
      <c r="E395" s="49" t="str">
        <f>B394&amp;C395</f>
        <v>Jackson_KY, KYTAX</v>
      </c>
      <c r="F395" s="56">
        <v>43.1</v>
      </c>
      <c r="G395" s="56">
        <v>46.9</v>
      </c>
      <c r="H395" s="56">
        <v>56.2</v>
      </c>
      <c r="I395" s="56">
        <v>67.400000000000006</v>
      </c>
      <c r="J395" s="56">
        <v>73.7</v>
      </c>
      <c r="K395" s="56">
        <v>80.400000000000006</v>
      </c>
      <c r="L395" s="56">
        <v>83.2</v>
      </c>
      <c r="M395" s="56">
        <v>83.4</v>
      </c>
      <c r="N395" s="56">
        <v>77.3</v>
      </c>
      <c r="O395" s="56">
        <v>67.400000000000006</v>
      </c>
      <c r="P395" s="56">
        <v>55.9</v>
      </c>
      <c r="Q395" s="56">
        <v>46.2</v>
      </c>
      <c r="R395" s="57">
        <v>65.099999999999994</v>
      </c>
    </row>
    <row r="396" spans="2:18" x14ac:dyDescent="0.4">
      <c r="B396" s="50"/>
      <c r="C396" s="51" t="s">
        <v>258</v>
      </c>
      <c r="D396" s="49" t="s">
        <v>259</v>
      </c>
      <c r="E396" s="49" t="str">
        <f>B394&amp;C396</f>
        <v>Jackson_KY, KYV</v>
      </c>
      <c r="F396" s="56">
        <v>6</v>
      </c>
      <c r="G396" s="56">
        <v>6</v>
      </c>
      <c r="H396" s="56">
        <v>6.3</v>
      </c>
      <c r="I396" s="56">
        <v>6.3</v>
      </c>
      <c r="J396" s="56">
        <v>4.5</v>
      </c>
      <c r="K396" s="56">
        <v>3.6</v>
      </c>
      <c r="L396" s="56">
        <v>3.4</v>
      </c>
      <c r="M396" s="56">
        <v>3.1</v>
      </c>
      <c r="N396" s="56">
        <v>3.8</v>
      </c>
      <c r="O396" s="56">
        <v>4.3</v>
      </c>
      <c r="P396" s="56">
        <v>5.4</v>
      </c>
      <c r="Q396" s="56">
        <v>5.6</v>
      </c>
      <c r="R396" s="57">
        <v>4.9000000000000004</v>
      </c>
    </row>
    <row r="397" spans="2:18" x14ac:dyDescent="0.4">
      <c r="B397" s="50"/>
      <c r="C397" s="51" t="s">
        <v>260</v>
      </c>
      <c r="D397" s="49" t="s">
        <v>261</v>
      </c>
      <c r="E397" s="49" t="str">
        <f>B394&amp;C397</f>
        <v>Jackson_KY, KYI</v>
      </c>
      <c r="F397" s="56">
        <v>591</v>
      </c>
      <c r="G397" s="56">
        <v>831</v>
      </c>
      <c r="H397" s="56">
        <v>1165</v>
      </c>
      <c r="I397" s="56">
        <v>1534</v>
      </c>
      <c r="J397" s="56">
        <v>1745</v>
      </c>
      <c r="K397" s="56">
        <v>1909</v>
      </c>
      <c r="L397" s="56">
        <v>1882</v>
      </c>
      <c r="M397" s="56">
        <v>1752</v>
      </c>
      <c r="N397" s="56">
        <v>1416</v>
      </c>
      <c r="O397" s="56">
        <v>1060</v>
      </c>
      <c r="P397" s="56">
        <v>708</v>
      </c>
      <c r="Q397" s="56">
        <v>539</v>
      </c>
      <c r="R397" s="57">
        <v>1261</v>
      </c>
    </row>
    <row r="398" spans="2:18" x14ac:dyDescent="0.4">
      <c r="B398" s="50"/>
      <c r="C398" s="51" t="s">
        <v>262</v>
      </c>
      <c r="D398" s="49" t="s">
        <v>263</v>
      </c>
      <c r="E398" s="49" t="str">
        <f>B394&amp;C398</f>
        <v>Jackson_KY, KYPA</v>
      </c>
      <c r="F398" s="58" t="s">
        <v>506</v>
      </c>
      <c r="G398" s="58" t="s">
        <v>506</v>
      </c>
      <c r="H398" s="58" t="s">
        <v>506</v>
      </c>
      <c r="I398" s="58" t="s">
        <v>506</v>
      </c>
      <c r="J398" s="58" t="s">
        <v>506</v>
      </c>
      <c r="K398" s="58" t="s">
        <v>506</v>
      </c>
      <c r="L398" s="58" t="s">
        <v>506</v>
      </c>
      <c r="M398" s="58" t="s">
        <v>506</v>
      </c>
      <c r="N398" s="58" t="s">
        <v>506</v>
      </c>
      <c r="O398" s="58" t="s">
        <v>506</v>
      </c>
      <c r="P398" s="58" t="s">
        <v>506</v>
      </c>
      <c r="Q398" s="58" t="s">
        <v>506</v>
      </c>
      <c r="R398" s="57">
        <v>13.98</v>
      </c>
    </row>
    <row r="399" spans="2:18" x14ac:dyDescent="0.4">
      <c r="B399" s="48" t="s">
        <v>342</v>
      </c>
      <c r="C399" s="51" t="s">
        <v>255</v>
      </c>
      <c r="D399" s="49" t="s">
        <v>256</v>
      </c>
      <c r="E399" s="49" t="str">
        <f>B399&amp;C399</f>
        <v>Lexington, KYTAN</v>
      </c>
      <c r="F399" s="56">
        <v>25.9</v>
      </c>
      <c r="G399" s="56">
        <v>28.5</v>
      </c>
      <c r="H399" s="56">
        <v>35.9</v>
      </c>
      <c r="I399" s="56">
        <v>45.6</v>
      </c>
      <c r="J399" s="56">
        <v>55</v>
      </c>
      <c r="K399" s="56">
        <v>63.4</v>
      </c>
      <c r="L399" s="56">
        <v>66.900000000000006</v>
      </c>
      <c r="M399" s="56">
        <v>65.8</v>
      </c>
      <c r="N399" s="56">
        <v>58.3</v>
      </c>
      <c r="O399" s="56">
        <v>47.1</v>
      </c>
      <c r="P399" s="56">
        <v>37.4</v>
      </c>
      <c r="Q399" s="56">
        <v>28.9</v>
      </c>
      <c r="R399" s="57">
        <v>46.5</v>
      </c>
    </row>
    <row r="400" spans="2:18" x14ac:dyDescent="0.4">
      <c r="B400" s="50"/>
      <c r="C400" s="51" t="s">
        <v>257</v>
      </c>
      <c r="D400" s="49" t="s">
        <v>256</v>
      </c>
      <c r="E400" s="49" t="str">
        <f>B399&amp;C400</f>
        <v>Lexington, KYTAX</v>
      </c>
      <c r="F400" s="56">
        <v>40.799999999999997</v>
      </c>
      <c r="G400" s="56">
        <v>44.8</v>
      </c>
      <c r="H400" s="56">
        <v>54.2</v>
      </c>
      <c r="I400" s="56">
        <v>65.400000000000006</v>
      </c>
      <c r="J400" s="56">
        <v>73.599999999999994</v>
      </c>
      <c r="K400" s="56">
        <v>81.8</v>
      </c>
      <c r="L400" s="56">
        <v>84.9</v>
      </c>
      <c r="M400" s="56">
        <v>84.9</v>
      </c>
      <c r="N400" s="56">
        <v>78.3</v>
      </c>
      <c r="O400" s="56">
        <v>66.900000000000006</v>
      </c>
      <c r="P400" s="56">
        <v>54.4</v>
      </c>
      <c r="Q400" s="56">
        <v>43.5</v>
      </c>
      <c r="R400" s="57">
        <v>64.5</v>
      </c>
    </row>
    <row r="401" spans="2:18" x14ac:dyDescent="0.4">
      <c r="B401" s="50"/>
      <c r="C401" s="51" t="s">
        <v>258</v>
      </c>
      <c r="D401" s="49" t="s">
        <v>259</v>
      </c>
      <c r="E401" s="49" t="str">
        <f>B399&amp;C401</f>
        <v>Lexington, KYV</v>
      </c>
      <c r="F401" s="56">
        <v>9.4</v>
      </c>
      <c r="G401" s="56">
        <v>9.1999999999999993</v>
      </c>
      <c r="H401" s="56">
        <v>9.1999999999999993</v>
      </c>
      <c r="I401" s="56">
        <v>9.1999999999999993</v>
      </c>
      <c r="J401" s="56">
        <v>7.6</v>
      </c>
      <c r="K401" s="56">
        <v>6.5</v>
      </c>
      <c r="L401" s="56">
        <v>6</v>
      </c>
      <c r="M401" s="56">
        <v>5.8</v>
      </c>
      <c r="N401" s="56">
        <v>6.3</v>
      </c>
      <c r="O401" s="56">
        <v>7.2</v>
      </c>
      <c r="P401" s="56">
        <v>8.3000000000000007</v>
      </c>
      <c r="Q401" s="56">
        <v>8.6999999999999993</v>
      </c>
      <c r="R401" s="57">
        <v>7.8</v>
      </c>
    </row>
    <row r="402" spans="2:18" x14ac:dyDescent="0.4">
      <c r="B402" s="50"/>
      <c r="C402" s="51" t="s">
        <v>260</v>
      </c>
      <c r="D402" s="49" t="s">
        <v>261</v>
      </c>
      <c r="E402" s="49" t="str">
        <f>B399&amp;C402</f>
        <v>Lexington, KYI</v>
      </c>
      <c r="F402" s="56">
        <v>571</v>
      </c>
      <c r="G402" s="56">
        <v>841</v>
      </c>
      <c r="H402" s="56">
        <v>1177</v>
      </c>
      <c r="I402" s="56">
        <v>1572</v>
      </c>
      <c r="J402" s="56">
        <v>1814</v>
      </c>
      <c r="K402" s="56">
        <v>1963</v>
      </c>
      <c r="L402" s="56">
        <v>1925</v>
      </c>
      <c r="M402" s="56">
        <v>1782</v>
      </c>
      <c r="N402" s="56">
        <v>1444</v>
      </c>
      <c r="O402" s="56">
        <v>1079</v>
      </c>
      <c r="P402" s="56">
        <v>688</v>
      </c>
      <c r="Q402" s="56">
        <v>517</v>
      </c>
      <c r="R402" s="57">
        <v>1281</v>
      </c>
    </row>
    <row r="403" spans="2:18" x14ac:dyDescent="0.4">
      <c r="B403" s="50"/>
      <c r="C403" s="51" t="s">
        <v>262</v>
      </c>
      <c r="D403" s="49" t="s">
        <v>263</v>
      </c>
      <c r="E403" s="49" t="str">
        <f>B399&amp;C403</f>
        <v>Lexington, KYPA</v>
      </c>
      <c r="F403" s="58" t="s">
        <v>506</v>
      </c>
      <c r="G403" s="58" t="s">
        <v>506</v>
      </c>
      <c r="H403" s="58" t="s">
        <v>506</v>
      </c>
      <c r="I403" s="58" t="s">
        <v>506</v>
      </c>
      <c r="J403" s="58" t="s">
        <v>506</v>
      </c>
      <c r="K403" s="58" t="s">
        <v>506</v>
      </c>
      <c r="L403" s="58" t="s">
        <v>506</v>
      </c>
      <c r="M403" s="58" t="s">
        <v>506</v>
      </c>
      <c r="N403" s="58" t="s">
        <v>506</v>
      </c>
      <c r="O403" s="58" t="s">
        <v>506</v>
      </c>
      <c r="P403" s="58" t="s">
        <v>506</v>
      </c>
      <c r="Q403" s="58" t="s">
        <v>506</v>
      </c>
      <c r="R403" s="57">
        <v>14.18</v>
      </c>
    </row>
    <row r="404" spans="2:18" x14ac:dyDescent="0.4">
      <c r="B404" s="48" t="s">
        <v>343</v>
      </c>
      <c r="C404" s="51" t="s">
        <v>255</v>
      </c>
      <c r="D404" s="49" t="s">
        <v>256</v>
      </c>
      <c r="E404" s="49" t="str">
        <f>B404&amp;C404</f>
        <v>Louisville, KYTAN</v>
      </c>
      <c r="F404" s="56">
        <v>27.7</v>
      </c>
      <c r="G404" s="56">
        <v>30.5</v>
      </c>
      <c r="H404" s="56">
        <v>38.200000000000003</v>
      </c>
      <c r="I404" s="56">
        <v>48.2</v>
      </c>
      <c r="J404" s="56">
        <v>57.8</v>
      </c>
      <c r="K404" s="56">
        <v>66.8</v>
      </c>
      <c r="L404" s="56">
        <v>70.3</v>
      </c>
      <c r="M404" s="56">
        <v>69.400000000000006</v>
      </c>
      <c r="N404" s="56">
        <v>61.2</v>
      </c>
      <c r="O404" s="56">
        <v>49.7</v>
      </c>
      <c r="P404" s="56">
        <v>39.700000000000003</v>
      </c>
      <c r="Q404" s="56">
        <v>30.9</v>
      </c>
      <c r="R404" s="57">
        <v>49.2</v>
      </c>
    </row>
    <row r="405" spans="2:18" x14ac:dyDescent="0.4">
      <c r="B405" s="50"/>
      <c r="C405" s="51" t="s">
        <v>257</v>
      </c>
      <c r="D405" s="49" t="s">
        <v>256</v>
      </c>
      <c r="E405" s="49" t="str">
        <f>B404&amp;C405</f>
        <v>Louisville, KYTAX</v>
      </c>
      <c r="F405" s="56">
        <v>42.3</v>
      </c>
      <c r="G405" s="56">
        <v>46.8</v>
      </c>
      <c r="H405" s="56">
        <v>56.6</v>
      </c>
      <c r="I405" s="56">
        <v>67.900000000000006</v>
      </c>
      <c r="J405" s="56">
        <v>76</v>
      </c>
      <c r="K405" s="56">
        <v>84.1</v>
      </c>
      <c r="L405" s="56">
        <v>87.3</v>
      </c>
      <c r="M405" s="56">
        <v>87.4</v>
      </c>
      <c r="N405" s="56">
        <v>80.599999999999994</v>
      </c>
      <c r="O405" s="56">
        <v>69.2</v>
      </c>
      <c r="P405" s="56">
        <v>56.6</v>
      </c>
      <c r="Q405" s="56">
        <v>44.9</v>
      </c>
      <c r="R405" s="57">
        <v>66.7</v>
      </c>
    </row>
    <row r="406" spans="2:18" x14ac:dyDescent="0.4">
      <c r="B406" s="50"/>
      <c r="C406" s="51" t="s">
        <v>258</v>
      </c>
      <c r="D406" s="49" t="s">
        <v>259</v>
      </c>
      <c r="E406" s="49" t="str">
        <f>B404&amp;C406</f>
        <v>Louisville, KYV</v>
      </c>
      <c r="F406" s="56">
        <v>8.9</v>
      </c>
      <c r="G406" s="56">
        <v>8.9</v>
      </c>
      <c r="H406" s="56">
        <v>8.9</v>
      </c>
      <c r="I406" s="56">
        <v>8.9</v>
      </c>
      <c r="J406" s="56">
        <v>7.6</v>
      </c>
      <c r="K406" s="56">
        <v>6.9</v>
      </c>
      <c r="L406" s="56">
        <v>6.7</v>
      </c>
      <c r="M406" s="56">
        <v>6.3</v>
      </c>
      <c r="N406" s="56">
        <v>6.3</v>
      </c>
      <c r="O406" s="56">
        <v>6.7</v>
      </c>
      <c r="P406" s="56">
        <v>7.8</v>
      </c>
      <c r="Q406" s="56">
        <v>8.1</v>
      </c>
      <c r="R406" s="57">
        <v>7.6</v>
      </c>
    </row>
    <row r="407" spans="2:18" x14ac:dyDescent="0.4">
      <c r="B407" s="50"/>
      <c r="C407" s="51" t="s">
        <v>260</v>
      </c>
      <c r="D407" s="49" t="s">
        <v>261</v>
      </c>
      <c r="E407" s="49" t="str">
        <f>B404&amp;C407</f>
        <v>Louisville, KYI</v>
      </c>
      <c r="F407" s="56">
        <v>595</v>
      </c>
      <c r="G407" s="56">
        <v>895</v>
      </c>
      <c r="H407" s="56">
        <v>1206</v>
      </c>
      <c r="I407" s="56">
        <v>1563</v>
      </c>
      <c r="J407" s="56">
        <v>1816</v>
      </c>
      <c r="K407" s="56">
        <v>1982</v>
      </c>
      <c r="L407" s="56">
        <v>1963</v>
      </c>
      <c r="M407" s="56">
        <v>1811</v>
      </c>
      <c r="N407" s="56">
        <v>1471</v>
      </c>
      <c r="O407" s="56">
        <v>1073</v>
      </c>
      <c r="P407" s="56">
        <v>692</v>
      </c>
      <c r="Q407" s="56">
        <v>520</v>
      </c>
      <c r="R407" s="57">
        <v>1299</v>
      </c>
    </row>
    <row r="408" spans="2:18" x14ac:dyDescent="0.4">
      <c r="B408" s="50"/>
      <c r="C408" s="51" t="s">
        <v>262</v>
      </c>
      <c r="D408" s="49" t="s">
        <v>263</v>
      </c>
      <c r="E408" s="49" t="str">
        <f>B404&amp;C408</f>
        <v>Louisville, KYPA</v>
      </c>
      <c r="F408" s="58" t="s">
        <v>506</v>
      </c>
      <c r="G408" s="58" t="s">
        <v>506</v>
      </c>
      <c r="H408" s="58" t="s">
        <v>506</v>
      </c>
      <c r="I408" s="58" t="s">
        <v>506</v>
      </c>
      <c r="J408" s="58" t="s">
        <v>506</v>
      </c>
      <c r="K408" s="58" t="s">
        <v>506</v>
      </c>
      <c r="L408" s="58" t="s">
        <v>506</v>
      </c>
      <c r="M408" s="58" t="s">
        <v>506</v>
      </c>
      <c r="N408" s="58" t="s">
        <v>506</v>
      </c>
      <c r="O408" s="58" t="s">
        <v>506</v>
      </c>
      <c r="P408" s="58" t="s">
        <v>506</v>
      </c>
      <c r="Q408" s="58" t="s">
        <v>506</v>
      </c>
      <c r="R408" s="57">
        <v>14.45</v>
      </c>
    </row>
    <row r="409" spans="2:18" x14ac:dyDescent="0.4">
      <c r="B409" s="48" t="s">
        <v>344</v>
      </c>
      <c r="C409" s="51" t="s">
        <v>255</v>
      </c>
      <c r="D409" s="49" t="s">
        <v>256</v>
      </c>
      <c r="E409" s="49" t="str">
        <f>B409&amp;C409</f>
        <v>Paducah, KYTAN</v>
      </c>
      <c r="F409" s="56">
        <v>27.4</v>
      </c>
      <c r="G409" s="56">
        <v>30.6</v>
      </c>
      <c r="H409" s="56">
        <v>38.299999999999997</v>
      </c>
      <c r="I409" s="56">
        <v>47.8</v>
      </c>
      <c r="J409" s="56">
        <v>57.2</v>
      </c>
      <c r="K409" s="56">
        <v>65.7</v>
      </c>
      <c r="L409" s="56">
        <v>69.099999999999994</v>
      </c>
      <c r="M409" s="56">
        <v>66.8</v>
      </c>
      <c r="N409" s="56">
        <v>58.2</v>
      </c>
      <c r="O409" s="56">
        <v>47.5</v>
      </c>
      <c r="P409" s="56">
        <v>38.200000000000003</v>
      </c>
      <c r="Q409" s="56">
        <v>30</v>
      </c>
      <c r="R409" s="57">
        <v>48.1</v>
      </c>
    </row>
    <row r="410" spans="2:18" x14ac:dyDescent="0.4">
      <c r="B410" s="50"/>
      <c r="C410" s="51" t="s">
        <v>257</v>
      </c>
      <c r="D410" s="49" t="s">
        <v>256</v>
      </c>
      <c r="E410" s="49" t="str">
        <f>B409&amp;C410</f>
        <v>Paducah, KYTAX</v>
      </c>
      <c r="F410" s="56">
        <v>43.4</v>
      </c>
      <c r="G410" s="56">
        <v>48.5</v>
      </c>
      <c r="H410" s="56">
        <v>58.3</v>
      </c>
      <c r="I410" s="56">
        <v>69</v>
      </c>
      <c r="J410" s="56">
        <v>77.5</v>
      </c>
      <c r="K410" s="56">
        <v>85.4</v>
      </c>
      <c r="L410" s="56">
        <v>88.3</v>
      </c>
      <c r="M410" s="56">
        <v>88.2</v>
      </c>
      <c r="N410" s="56">
        <v>81.5</v>
      </c>
      <c r="O410" s="56">
        <v>70.599999999999994</v>
      </c>
      <c r="P410" s="56">
        <v>57.3</v>
      </c>
      <c r="Q410" s="56">
        <v>46</v>
      </c>
      <c r="R410" s="57">
        <v>67.8</v>
      </c>
    </row>
    <row r="411" spans="2:18" x14ac:dyDescent="0.4">
      <c r="B411" s="50"/>
      <c r="C411" s="51" t="s">
        <v>258</v>
      </c>
      <c r="D411" s="49" t="s">
        <v>259</v>
      </c>
      <c r="E411" s="49" t="str">
        <f>B409&amp;C411</f>
        <v>Paducah, KYV</v>
      </c>
      <c r="F411" s="56">
        <v>8.3000000000000007</v>
      </c>
      <c r="G411" s="56">
        <v>8.3000000000000007</v>
      </c>
      <c r="H411" s="56">
        <v>8.9</v>
      </c>
      <c r="I411" s="56">
        <v>8.5</v>
      </c>
      <c r="J411" s="56">
        <v>6.9</v>
      </c>
      <c r="K411" s="56">
        <v>5.8</v>
      </c>
      <c r="L411" s="56">
        <v>5.4</v>
      </c>
      <c r="M411" s="56">
        <v>4.7</v>
      </c>
      <c r="N411" s="56">
        <v>5.0999999999999996</v>
      </c>
      <c r="O411" s="56">
        <v>6</v>
      </c>
      <c r="P411" s="56">
        <v>7.4</v>
      </c>
      <c r="Q411" s="56">
        <v>7.8</v>
      </c>
      <c r="R411" s="57">
        <v>6.9</v>
      </c>
    </row>
    <row r="412" spans="2:18" x14ac:dyDescent="0.4">
      <c r="B412" s="50"/>
      <c r="C412" s="51" t="s">
        <v>260</v>
      </c>
      <c r="D412" s="49" t="s">
        <v>261</v>
      </c>
      <c r="E412" s="49" t="str">
        <f>B409&amp;C412</f>
        <v>Paducah, KYI</v>
      </c>
      <c r="F412" s="56">
        <v>630</v>
      </c>
      <c r="G412" s="56">
        <v>893</v>
      </c>
      <c r="H412" s="56">
        <v>1224</v>
      </c>
      <c r="I412" s="56">
        <v>1607</v>
      </c>
      <c r="J412" s="56">
        <v>1820</v>
      </c>
      <c r="K412" s="56">
        <v>2017</v>
      </c>
      <c r="L412" s="56">
        <v>2031</v>
      </c>
      <c r="M412" s="56">
        <v>1888</v>
      </c>
      <c r="N412" s="56">
        <v>1494</v>
      </c>
      <c r="O412" s="56">
        <v>1121</v>
      </c>
      <c r="P412" s="56">
        <v>726</v>
      </c>
      <c r="Q412" s="56">
        <v>556</v>
      </c>
      <c r="R412" s="57">
        <v>1334</v>
      </c>
    </row>
    <row r="413" spans="2:18" x14ac:dyDescent="0.4">
      <c r="B413" s="50"/>
      <c r="C413" s="51" t="s">
        <v>262</v>
      </c>
      <c r="D413" s="49" t="s">
        <v>263</v>
      </c>
      <c r="E413" s="49" t="str">
        <f>B409&amp;C413</f>
        <v>Paducah, KYPA</v>
      </c>
      <c r="F413" s="58" t="s">
        <v>506</v>
      </c>
      <c r="G413" s="58" t="s">
        <v>506</v>
      </c>
      <c r="H413" s="58" t="s">
        <v>506</v>
      </c>
      <c r="I413" s="58" t="s">
        <v>506</v>
      </c>
      <c r="J413" s="58" t="s">
        <v>506</v>
      </c>
      <c r="K413" s="58" t="s">
        <v>506</v>
      </c>
      <c r="L413" s="58" t="s">
        <v>506</v>
      </c>
      <c r="M413" s="58" t="s">
        <v>506</v>
      </c>
      <c r="N413" s="58" t="s">
        <v>506</v>
      </c>
      <c r="O413" s="58" t="s">
        <v>506</v>
      </c>
      <c r="P413" s="58" t="s">
        <v>506</v>
      </c>
      <c r="Q413" s="58" t="s">
        <v>506</v>
      </c>
      <c r="R413" s="57">
        <v>14.47</v>
      </c>
    </row>
    <row r="414" spans="2:18" x14ac:dyDescent="0.4">
      <c r="B414" s="48" t="s">
        <v>345</v>
      </c>
      <c r="C414" s="51" t="s">
        <v>255</v>
      </c>
      <c r="D414" s="49" t="s">
        <v>256</v>
      </c>
      <c r="E414" s="49" t="str">
        <f>B414&amp;C414</f>
        <v>Baton Rouge, LATAN</v>
      </c>
      <c r="F414" s="56">
        <v>42.2</v>
      </c>
      <c r="G414" s="56">
        <v>44.5</v>
      </c>
      <c r="H414" s="56">
        <v>50.5</v>
      </c>
      <c r="I414" s="56">
        <v>56.9</v>
      </c>
      <c r="J414" s="56">
        <v>65.5</v>
      </c>
      <c r="K414" s="56">
        <v>71.400000000000006</v>
      </c>
      <c r="L414" s="56">
        <v>73.900000000000006</v>
      </c>
      <c r="M414" s="56">
        <v>73.2</v>
      </c>
      <c r="N414" s="56">
        <v>68.599999999999994</v>
      </c>
      <c r="O414" s="56">
        <v>58.1</v>
      </c>
      <c r="P414" s="56">
        <v>48.2</v>
      </c>
      <c r="Q414" s="56">
        <v>42.8</v>
      </c>
      <c r="R414" s="57">
        <v>58</v>
      </c>
    </row>
    <row r="415" spans="2:18" x14ac:dyDescent="0.4">
      <c r="B415" s="50"/>
      <c r="C415" s="51" t="s">
        <v>257</v>
      </c>
      <c r="D415" s="49" t="s">
        <v>256</v>
      </c>
      <c r="E415" s="49" t="str">
        <f>B414&amp;C415</f>
        <v>Baton Rouge, LATAX</v>
      </c>
      <c r="F415" s="56">
        <v>61.6</v>
      </c>
      <c r="G415" s="56">
        <v>65.2</v>
      </c>
      <c r="H415" s="56">
        <v>71.400000000000006</v>
      </c>
      <c r="I415" s="56">
        <v>78</v>
      </c>
      <c r="J415" s="56">
        <v>85</v>
      </c>
      <c r="K415" s="56">
        <v>89.4</v>
      </c>
      <c r="L415" s="56">
        <v>90.9</v>
      </c>
      <c r="M415" s="56">
        <v>91.3</v>
      </c>
      <c r="N415" s="56">
        <v>87.6</v>
      </c>
      <c r="O415" s="56">
        <v>79.7</v>
      </c>
      <c r="P415" s="56">
        <v>70.099999999999994</v>
      </c>
      <c r="Q415" s="56">
        <v>63.1</v>
      </c>
      <c r="R415" s="57">
        <v>77.8</v>
      </c>
    </row>
    <row r="416" spans="2:18" x14ac:dyDescent="0.4">
      <c r="B416" s="50"/>
      <c r="C416" s="51" t="s">
        <v>258</v>
      </c>
      <c r="D416" s="49" t="s">
        <v>259</v>
      </c>
      <c r="E416" s="49" t="str">
        <f>B414&amp;C416</f>
        <v>Baton Rouge, LAV</v>
      </c>
      <c r="F416" s="56">
        <v>7.2</v>
      </c>
      <c r="G416" s="56">
        <v>7.4</v>
      </c>
      <c r="H416" s="56">
        <v>7.4</v>
      </c>
      <c r="I416" s="56">
        <v>7.4</v>
      </c>
      <c r="J416" s="56">
        <v>6.5</v>
      </c>
      <c r="K416" s="56">
        <v>5.4</v>
      </c>
      <c r="L416" s="56">
        <v>4.9000000000000004</v>
      </c>
      <c r="M416" s="56">
        <v>4.5</v>
      </c>
      <c r="N416" s="56">
        <v>5.0999999999999996</v>
      </c>
      <c r="O416" s="56">
        <v>5.4</v>
      </c>
      <c r="P416" s="56">
        <v>5.8</v>
      </c>
      <c r="Q416" s="56">
        <v>6.5</v>
      </c>
      <c r="R416" s="57">
        <v>6</v>
      </c>
    </row>
    <row r="417" spans="2:18" x14ac:dyDescent="0.4">
      <c r="B417" s="50"/>
      <c r="C417" s="51" t="s">
        <v>260</v>
      </c>
      <c r="D417" s="49" t="s">
        <v>261</v>
      </c>
      <c r="E417" s="49" t="str">
        <f>B414&amp;C417</f>
        <v>Baton Rouge, LAI</v>
      </c>
      <c r="F417" s="56">
        <v>822</v>
      </c>
      <c r="G417" s="56">
        <v>1075</v>
      </c>
      <c r="H417" s="56">
        <v>1375</v>
      </c>
      <c r="I417" s="56">
        <v>1736</v>
      </c>
      <c r="J417" s="56">
        <v>1894</v>
      </c>
      <c r="K417" s="56">
        <v>1914</v>
      </c>
      <c r="L417" s="56">
        <v>1896</v>
      </c>
      <c r="M417" s="56">
        <v>1813</v>
      </c>
      <c r="N417" s="56">
        <v>1553</v>
      </c>
      <c r="O417" s="56">
        <v>1291</v>
      </c>
      <c r="P417" s="56">
        <v>983</v>
      </c>
      <c r="Q417" s="56">
        <v>784</v>
      </c>
      <c r="R417" s="57">
        <v>1428</v>
      </c>
    </row>
    <row r="418" spans="2:18" x14ac:dyDescent="0.4">
      <c r="B418" s="50"/>
      <c r="C418" s="51" t="s">
        <v>262</v>
      </c>
      <c r="D418" s="49" t="s">
        <v>263</v>
      </c>
      <c r="E418" s="49" t="str">
        <f>B414&amp;C418</f>
        <v>Baton Rouge, LAPA</v>
      </c>
      <c r="F418" s="58" t="s">
        <v>506</v>
      </c>
      <c r="G418" s="58" t="s">
        <v>506</v>
      </c>
      <c r="H418" s="58" t="s">
        <v>506</v>
      </c>
      <c r="I418" s="58" t="s">
        <v>506</v>
      </c>
      <c r="J418" s="58" t="s">
        <v>506</v>
      </c>
      <c r="K418" s="58" t="s">
        <v>506</v>
      </c>
      <c r="L418" s="58" t="s">
        <v>506</v>
      </c>
      <c r="M418" s="58" t="s">
        <v>506</v>
      </c>
      <c r="N418" s="58" t="s">
        <v>506</v>
      </c>
      <c r="O418" s="58" t="s">
        <v>506</v>
      </c>
      <c r="P418" s="58" t="s">
        <v>506</v>
      </c>
      <c r="Q418" s="58" t="s">
        <v>506</v>
      </c>
      <c r="R418" s="57">
        <v>14.66</v>
      </c>
    </row>
    <row r="419" spans="2:18" x14ac:dyDescent="0.4">
      <c r="B419" s="48" t="s">
        <v>346</v>
      </c>
      <c r="C419" s="51" t="s">
        <v>255</v>
      </c>
      <c r="D419" s="49" t="s">
        <v>256</v>
      </c>
      <c r="E419" s="49" t="str">
        <f>B419&amp;C419</f>
        <v>Lake Charles, LATAN</v>
      </c>
      <c r="F419" s="56">
        <v>43.4</v>
      </c>
      <c r="G419" s="56">
        <v>46.1</v>
      </c>
      <c r="H419" s="56">
        <v>52.1</v>
      </c>
      <c r="I419" s="56">
        <v>59</v>
      </c>
      <c r="J419" s="56">
        <v>67.5</v>
      </c>
      <c r="K419" s="56">
        <v>73.400000000000006</v>
      </c>
      <c r="L419" s="56">
        <v>75.400000000000006</v>
      </c>
      <c r="M419" s="56">
        <v>74.599999999999994</v>
      </c>
      <c r="N419" s="56">
        <v>69.900000000000006</v>
      </c>
      <c r="O419" s="56">
        <v>60.3</v>
      </c>
      <c r="P419" s="56">
        <v>50.5</v>
      </c>
      <c r="Q419" s="56">
        <v>44.6</v>
      </c>
      <c r="R419" s="57">
        <v>59.7</v>
      </c>
    </row>
    <row r="420" spans="2:18" x14ac:dyDescent="0.4">
      <c r="B420" s="50"/>
      <c r="C420" s="51" t="s">
        <v>257</v>
      </c>
      <c r="D420" s="49" t="s">
        <v>256</v>
      </c>
      <c r="E420" s="49" t="str">
        <f>B419&amp;C420</f>
        <v>Lake Charles, LATAX</v>
      </c>
      <c r="F420" s="56">
        <v>61.4</v>
      </c>
      <c r="G420" s="56">
        <v>64.7</v>
      </c>
      <c r="H420" s="56">
        <v>70.8</v>
      </c>
      <c r="I420" s="56">
        <v>77.2</v>
      </c>
      <c r="J420" s="56">
        <v>84.2</v>
      </c>
      <c r="K420" s="56">
        <v>89</v>
      </c>
      <c r="L420" s="56">
        <v>90.6</v>
      </c>
      <c r="M420" s="56">
        <v>91.2</v>
      </c>
      <c r="N420" s="56">
        <v>87.8</v>
      </c>
      <c r="O420" s="56">
        <v>80.3</v>
      </c>
      <c r="P420" s="56">
        <v>70.5</v>
      </c>
      <c r="Q420" s="56">
        <v>63.3</v>
      </c>
      <c r="R420" s="57">
        <v>77.599999999999994</v>
      </c>
    </row>
    <row r="421" spans="2:18" x14ac:dyDescent="0.4">
      <c r="B421" s="50"/>
      <c r="C421" s="51" t="s">
        <v>258</v>
      </c>
      <c r="D421" s="49" t="s">
        <v>259</v>
      </c>
      <c r="E421" s="49" t="str">
        <f>B419&amp;C421</f>
        <v>Lake Charles, LAV</v>
      </c>
      <c r="F421" s="56">
        <v>8.6999999999999993</v>
      </c>
      <c r="G421" s="56">
        <v>8.9</v>
      </c>
      <c r="H421" s="56">
        <v>8.9</v>
      </c>
      <c r="I421" s="56">
        <v>8.6999999999999993</v>
      </c>
      <c r="J421" s="56">
        <v>7.4</v>
      </c>
      <c r="K421" s="56">
        <v>6.3</v>
      </c>
      <c r="L421" s="56">
        <v>5.4</v>
      </c>
      <c r="M421" s="56">
        <v>5.0999999999999996</v>
      </c>
      <c r="N421" s="56">
        <v>6.5</v>
      </c>
      <c r="O421" s="56">
        <v>7.2</v>
      </c>
      <c r="P421" s="56">
        <v>7.6</v>
      </c>
      <c r="Q421" s="56">
        <v>8.5</v>
      </c>
      <c r="R421" s="57">
        <v>7.4</v>
      </c>
    </row>
    <row r="422" spans="2:18" x14ac:dyDescent="0.4">
      <c r="B422" s="50"/>
      <c r="C422" s="51" t="s">
        <v>260</v>
      </c>
      <c r="D422" s="49" t="s">
        <v>261</v>
      </c>
      <c r="E422" s="49" t="str">
        <f>B419&amp;C422</f>
        <v>Lake Charles, LAI</v>
      </c>
      <c r="F422" s="56">
        <v>833</v>
      </c>
      <c r="G422" s="56">
        <v>1046</v>
      </c>
      <c r="H422" s="56">
        <v>1395</v>
      </c>
      <c r="I422" s="56">
        <v>1727</v>
      </c>
      <c r="J422" s="56">
        <v>1920</v>
      </c>
      <c r="K422" s="56">
        <v>1977</v>
      </c>
      <c r="L422" s="56">
        <v>1930</v>
      </c>
      <c r="M422" s="56">
        <v>1825</v>
      </c>
      <c r="N422" s="56">
        <v>1575</v>
      </c>
      <c r="O422" s="56">
        <v>1321</v>
      </c>
      <c r="P422" s="56">
        <v>987</v>
      </c>
      <c r="Q422" s="56">
        <v>786</v>
      </c>
      <c r="R422" s="57">
        <v>1443</v>
      </c>
    </row>
    <row r="423" spans="2:18" x14ac:dyDescent="0.4">
      <c r="B423" s="50"/>
      <c r="C423" s="51" t="s">
        <v>262</v>
      </c>
      <c r="D423" s="49" t="s">
        <v>263</v>
      </c>
      <c r="E423" s="49" t="str">
        <f>B419&amp;C423</f>
        <v>Lake Charles, LAPA</v>
      </c>
      <c r="F423" s="58" t="s">
        <v>506</v>
      </c>
      <c r="G423" s="58" t="s">
        <v>506</v>
      </c>
      <c r="H423" s="58" t="s">
        <v>506</v>
      </c>
      <c r="I423" s="58" t="s">
        <v>506</v>
      </c>
      <c r="J423" s="58" t="s">
        <v>506</v>
      </c>
      <c r="K423" s="58" t="s">
        <v>506</v>
      </c>
      <c r="L423" s="58" t="s">
        <v>506</v>
      </c>
      <c r="M423" s="58" t="s">
        <v>506</v>
      </c>
      <c r="N423" s="58" t="s">
        <v>506</v>
      </c>
      <c r="O423" s="58" t="s">
        <v>506</v>
      </c>
      <c r="P423" s="58" t="s">
        <v>506</v>
      </c>
      <c r="Q423" s="58" t="s">
        <v>506</v>
      </c>
      <c r="R423" s="57">
        <v>14.68</v>
      </c>
    </row>
    <row r="424" spans="2:18" x14ac:dyDescent="0.4">
      <c r="B424" s="48" t="s">
        <v>347</v>
      </c>
      <c r="C424" s="51" t="s">
        <v>255</v>
      </c>
      <c r="D424" s="49" t="s">
        <v>256</v>
      </c>
      <c r="E424" s="49" t="str">
        <f>B424&amp;C424</f>
        <v>New Orleans, LATAN</v>
      </c>
      <c r="F424" s="56">
        <v>45.7</v>
      </c>
      <c r="G424" s="56">
        <v>48.1</v>
      </c>
      <c r="H424" s="56">
        <v>53.8</v>
      </c>
      <c r="I424" s="56">
        <v>60.5</v>
      </c>
      <c r="J424" s="56">
        <v>68.599999999999994</v>
      </c>
      <c r="K424" s="56">
        <v>73.900000000000006</v>
      </c>
      <c r="L424" s="56">
        <v>75.7</v>
      </c>
      <c r="M424" s="56">
        <v>75.599999999999994</v>
      </c>
      <c r="N424" s="56">
        <v>72.7</v>
      </c>
      <c r="O424" s="56">
        <v>63.4</v>
      </c>
      <c r="P424" s="56">
        <v>52.9</v>
      </c>
      <c r="Q424" s="56">
        <v>46.9</v>
      </c>
      <c r="R424" s="57">
        <v>61.5</v>
      </c>
    </row>
    <row r="425" spans="2:18" x14ac:dyDescent="0.4">
      <c r="B425" s="50"/>
      <c r="C425" s="51" t="s">
        <v>257</v>
      </c>
      <c r="D425" s="49" t="s">
        <v>256</v>
      </c>
      <c r="E425" s="49" t="str">
        <f>B424&amp;C425</f>
        <v>New Orleans, LATAX</v>
      </c>
      <c r="F425" s="56">
        <v>61.8</v>
      </c>
      <c r="G425" s="56">
        <v>65.099999999999994</v>
      </c>
      <c r="H425" s="56">
        <v>70.900000000000006</v>
      </c>
      <c r="I425" s="56">
        <v>77.5</v>
      </c>
      <c r="J425" s="56">
        <v>84.7</v>
      </c>
      <c r="K425" s="56">
        <v>88.9</v>
      </c>
      <c r="L425" s="56">
        <v>90.6</v>
      </c>
      <c r="M425" s="56">
        <v>90.4</v>
      </c>
      <c r="N425" s="56">
        <v>87</v>
      </c>
      <c r="O425" s="56">
        <v>79.5</v>
      </c>
      <c r="P425" s="56">
        <v>70.5</v>
      </c>
      <c r="Q425" s="56">
        <v>63.6</v>
      </c>
      <c r="R425" s="57">
        <v>77.5</v>
      </c>
    </row>
    <row r="426" spans="2:18" x14ac:dyDescent="0.4">
      <c r="B426" s="50"/>
      <c r="C426" s="51" t="s">
        <v>258</v>
      </c>
      <c r="D426" s="49" t="s">
        <v>259</v>
      </c>
      <c r="E426" s="49" t="str">
        <f>B424&amp;C426</f>
        <v>New Orleans, LAV</v>
      </c>
      <c r="F426" s="56">
        <v>9.1999999999999993</v>
      </c>
      <c r="G426" s="56">
        <v>9.1999999999999993</v>
      </c>
      <c r="H426" s="56">
        <v>9.4</v>
      </c>
      <c r="I426" s="56">
        <v>9.4</v>
      </c>
      <c r="J426" s="56">
        <v>8.1</v>
      </c>
      <c r="K426" s="56">
        <v>6.5</v>
      </c>
      <c r="L426" s="56">
        <v>5.8</v>
      </c>
      <c r="M426" s="56">
        <v>5.8</v>
      </c>
      <c r="N426" s="56">
        <v>7.4</v>
      </c>
      <c r="O426" s="56">
        <v>8.1</v>
      </c>
      <c r="P426" s="56">
        <v>8.1</v>
      </c>
      <c r="Q426" s="56">
        <v>8.6999999999999993</v>
      </c>
      <c r="R426" s="57">
        <v>8.1</v>
      </c>
    </row>
    <row r="427" spans="2:18" x14ac:dyDescent="0.4">
      <c r="B427" s="50"/>
      <c r="C427" s="51" t="s">
        <v>260</v>
      </c>
      <c r="D427" s="49" t="s">
        <v>261</v>
      </c>
      <c r="E427" s="49" t="str">
        <f>B424&amp;C427</f>
        <v>New Orleans, LAI</v>
      </c>
      <c r="F427" s="56">
        <v>873</v>
      </c>
      <c r="G427" s="56">
        <v>1114</v>
      </c>
      <c r="H427" s="56">
        <v>1454</v>
      </c>
      <c r="I427" s="56">
        <v>1798</v>
      </c>
      <c r="J427" s="56">
        <v>1964</v>
      </c>
      <c r="K427" s="56">
        <v>1928</v>
      </c>
      <c r="L427" s="56">
        <v>1856</v>
      </c>
      <c r="M427" s="56">
        <v>1791</v>
      </c>
      <c r="N427" s="56">
        <v>1570</v>
      </c>
      <c r="O427" s="56">
        <v>1328</v>
      </c>
      <c r="P427" s="56">
        <v>1038</v>
      </c>
      <c r="Q427" s="56">
        <v>827</v>
      </c>
      <c r="R427" s="57">
        <v>1462</v>
      </c>
    </row>
    <row r="428" spans="2:18" x14ac:dyDescent="0.4">
      <c r="B428" s="50"/>
      <c r="C428" s="51" t="s">
        <v>262</v>
      </c>
      <c r="D428" s="49" t="s">
        <v>263</v>
      </c>
      <c r="E428" s="49" t="str">
        <f>B424&amp;C428</f>
        <v>New Orleans, LAPA</v>
      </c>
      <c r="F428" s="58" t="s">
        <v>506</v>
      </c>
      <c r="G428" s="58" t="s">
        <v>506</v>
      </c>
      <c r="H428" s="58" t="s">
        <v>506</v>
      </c>
      <c r="I428" s="58" t="s">
        <v>506</v>
      </c>
      <c r="J428" s="58" t="s">
        <v>506</v>
      </c>
      <c r="K428" s="58" t="s">
        <v>506</v>
      </c>
      <c r="L428" s="58" t="s">
        <v>506</v>
      </c>
      <c r="M428" s="58" t="s">
        <v>506</v>
      </c>
      <c r="N428" s="58" t="s">
        <v>506</v>
      </c>
      <c r="O428" s="58" t="s">
        <v>506</v>
      </c>
      <c r="P428" s="58" t="s">
        <v>506</v>
      </c>
      <c r="Q428" s="58" t="s">
        <v>506</v>
      </c>
      <c r="R428" s="57">
        <v>14.69</v>
      </c>
    </row>
    <row r="429" spans="2:18" x14ac:dyDescent="0.4">
      <c r="B429" s="48" t="s">
        <v>348</v>
      </c>
      <c r="C429" s="51" t="s">
        <v>255</v>
      </c>
      <c r="D429" s="49" t="s">
        <v>256</v>
      </c>
      <c r="E429" s="49" t="str">
        <f>B429&amp;C429</f>
        <v>Shreveport, LATAN</v>
      </c>
      <c r="F429" s="56">
        <v>38.200000000000003</v>
      </c>
      <c r="G429" s="56">
        <v>41.3</v>
      </c>
      <c r="H429" s="56">
        <v>47.8</v>
      </c>
      <c r="I429" s="56">
        <v>54.9</v>
      </c>
      <c r="J429" s="56">
        <v>64.3</v>
      </c>
      <c r="K429" s="56">
        <v>70.900000000000006</v>
      </c>
      <c r="L429" s="56">
        <v>74</v>
      </c>
      <c r="M429" s="56">
        <v>73.400000000000006</v>
      </c>
      <c r="N429" s="56">
        <v>67.2</v>
      </c>
      <c r="O429" s="56">
        <v>56.1</v>
      </c>
      <c r="P429" s="56">
        <v>46</v>
      </c>
      <c r="Q429" s="56">
        <v>39.200000000000003</v>
      </c>
      <c r="R429" s="57">
        <v>56.1</v>
      </c>
    </row>
    <row r="430" spans="2:18" x14ac:dyDescent="0.4">
      <c r="B430" s="50"/>
      <c r="C430" s="51" t="s">
        <v>257</v>
      </c>
      <c r="D430" s="49" t="s">
        <v>256</v>
      </c>
      <c r="E430" s="49" t="str">
        <f>B429&amp;C430</f>
        <v>Shreveport, LATAX</v>
      </c>
      <c r="F430" s="56">
        <v>57.2</v>
      </c>
      <c r="G430" s="56">
        <v>61.4</v>
      </c>
      <c r="H430" s="56">
        <v>68.5</v>
      </c>
      <c r="I430" s="56">
        <v>76.099999999999994</v>
      </c>
      <c r="J430" s="56">
        <v>83.3</v>
      </c>
      <c r="K430" s="56">
        <v>89.6</v>
      </c>
      <c r="L430" s="56">
        <v>92.9</v>
      </c>
      <c r="M430" s="56">
        <v>93.3</v>
      </c>
      <c r="N430" s="56">
        <v>87.6</v>
      </c>
      <c r="O430" s="56">
        <v>77.8</v>
      </c>
      <c r="P430" s="56">
        <v>66.5</v>
      </c>
      <c r="Q430" s="56">
        <v>58.4</v>
      </c>
      <c r="R430" s="57">
        <v>76</v>
      </c>
    </row>
    <row r="431" spans="2:18" x14ac:dyDescent="0.4">
      <c r="B431" s="50"/>
      <c r="C431" s="51" t="s">
        <v>258</v>
      </c>
      <c r="D431" s="49" t="s">
        <v>259</v>
      </c>
      <c r="E431" s="49" t="str">
        <f>B429&amp;C431</f>
        <v>Shreveport, LAV</v>
      </c>
      <c r="F431" s="56">
        <v>8.3000000000000007</v>
      </c>
      <c r="G431" s="56">
        <v>8.3000000000000007</v>
      </c>
      <c r="H431" s="56">
        <v>8.9</v>
      </c>
      <c r="I431" s="56">
        <v>8.6999999999999993</v>
      </c>
      <c r="J431" s="56">
        <v>7.6</v>
      </c>
      <c r="K431" s="56">
        <v>6.5</v>
      </c>
      <c r="L431" s="56">
        <v>6</v>
      </c>
      <c r="M431" s="56">
        <v>5.4</v>
      </c>
      <c r="N431" s="56">
        <v>6.3</v>
      </c>
      <c r="O431" s="56">
        <v>6.3</v>
      </c>
      <c r="P431" s="56">
        <v>7.2</v>
      </c>
      <c r="Q431" s="56">
        <v>7.8</v>
      </c>
      <c r="R431" s="57">
        <v>7.2</v>
      </c>
    </row>
    <row r="432" spans="2:18" x14ac:dyDescent="0.4">
      <c r="B432" s="50"/>
      <c r="C432" s="51" t="s">
        <v>260</v>
      </c>
      <c r="D432" s="49" t="s">
        <v>261</v>
      </c>
      <c r="E432" s="49" t="str">
        <f>B429&amp;C432</f>
        <v>Shreveport, LAI</v>
      </c>
      <c r="F432" s="56">
        <v>783</v>
      </c>
      <c r="G432" s="56">
        <v>1001</v>
      </c>
      <c r="H432" s="56">
        <v>1342</v>
      </c>
      <c r="I432" s="56">
        <v>1709</v>
      </c>
      <c r="J432" s="56">
        <v>1837</v>
      </c>
      <c r="K432" s="56">
        <v>2007</v>
      </c>
      <c r="L432" s="56">
        <v>2049</v>
      </c>
      <c r="M432" s="56">
        <v>1915</v>
      </c>
      <c r="N432" s="56">
        <v>1575</v>
      </c>
      <c r="O432" s="56">
        <v>1251</v>
      </c>
      <c r="P432" s="56">
        <v>884</v>
      </c>
      <c r="Q432" s="56">
        <v>732</v>
      </c>
      <c r="R432" s="57">
        <v>1424</v>
      </c>
    </row>
    <row r="433" spans="2:18" x14ac:dyDescent="0.4">
      <c r="B433" s="50"/>
      <c r="C433" s="51" t="s">
        <v>262</v>
      </c>
      <c r="D433" s="49" t="s">
        <v>263</v>
      </c>
      <c r="E433" s="49" t="str">
        <f>B429&amp;C433</f>
        <v>Shreveport, LAPA</v>
      </c>
      <c r="F433" s="58" t="s">
        <v>506</v>
      </c>
      <c r="G433" s="58" t="s">
        <v>506</v>
      </c>
      <c r="H433" s="58" t="s">
        <v>506</v>
      </c>
      <c r="I433" s="58" t="s">
        <v>506</v>
      </c>
      <c r="J433" s="58" t="s">
        <v>506</v>
      </c>
      <c r="K433" s="58" t="s">
        <v>506</v>
      </c>
      <c r="L433" s="58" t="s">
        <v>506</v>
      </c>
      <c r="M433" s="58" t="s">
        <v>506</v>
      </c>
      <c r="N433" s="58" t="s">
        <v>506</v>
      </c>
      <c r="O433" s="58" t="s">
        <v>506</v>
      </c>
      <c r="P433" s="58" t="s">
        <v>506</v>
      </c>
      <c r="Q433" s="58" t="s">
        <v>506</v>
      </c>
      <c r="R433" s="57">
        <v>14.56</v>
      </c>
    </row>
    <row r="434" spans="2:18" x14ac:dyDescent="0.4">
      <c r="B434" s="48" t="s">
        <v>349</v>
      </c>
      <c r="C434" s="51" t="s">
        <v>255</v>
      </c>
      <c r="D434" s="49" t="s">
        <v>256</v>
      </c>
      <c r="E434" s="49" t="str">
        <f>B434&amp;C434</f>
        <v>Bangor, METAN</v>
      </c>
      <c r="F434" s="56">
        <v>8.5</v>
      </c>
      <c r="G434" s="56">
        <v>11.1</v>
      </c>
      <c r="H434" s="56">
        <v>21.7</v>
      </c>
      <c r="I434" s="56">
        <v>32.9</v>
      </c>
      <c r="J434" s="56">
        <v>43.3</v>
      </c>
      <c r="K434" s="56">
        <v>53.3</v>
      </c>
      <c r="L434" s="56">
        <v>58.8</v>
      </c>
      <c r="M434" s="56">
        <v>57.1</v>
      </c>
      <c r="N434" s="56">
        <v>48.7</v>
      </c>
      <c r="O434" s="56">
        <v>37.799999999999997</v>
      </c>
      <c r="P434" s="56">
        <v>29.5</v>
      </c>
      <c r="Q434" s="56">
        <v>17.3</v>
      </c>
      <c r="R434" s="57">
        <v>35</v>
      </c>
    </row>
    <row r="435" spans="2:18" x14ac:dyDescent="0.4">
      <c r="B435" s="50"/>
      <c r="C435" s="51" t="s">
        <v>257</v>
      </c>
      <c r="D435" s="49" t="s">
        <v>256</v>
      </c>
      <c r="E435" s="49" t="str">
        <f>B434&amp;C435</f>
        <v>Bangor, METAX</v>
      </c>
      <c r="F435" s="56">
        <v>27</v>
      </c>
      <c r="G435" s="56">
        <v>30.5</v>
      </c>
      <c r="H435" s="56">
        <v>39.700000000000003</v>
      </c>
      <c r="I435" s="56">
        <v>52.7</v>
      </c>
      <c r="J435" s="56">
        <v>64.900000000000006</v>
      </c>
      <c r="K435" s="56">
        <v>74.400000000000006</v>
      </c>
      <c r="L435" s="56">
        <v>79.099999999999994</v>
      </c>
      <c r="M435" s="56">
        <v>78.3</v>
      </c>
      <c r="N435" s="56">
        <v>69.7</v>
      </c>
      <c r="O435" s="56">
        <v>56.8</v>
      </c>
      <c r="P435" s="56">
        <v>45.1</v>
      </c>
      <c r="Q435" s="56">
        <v>33.799999999999997</v>
      </c>
      <c r="R435" s="57">
        <v>54.3</v>
      </c>
    </row>
    <row r="436" spans="2:18" x14ac:dyDescent="0.4">
      <c r="B436" s="50"/>
      <c r="C436" s="51" t="s">
        <v>258</v>
      </c>
      <c r="D436" s="49" t="s">
        <v>259</v>
      </c>
      <c r="E436" s="49" t="str">
        <f>B434&amp;C436</f>
        <v>Bangor, MEV</v>
      </c>
      <c r="F436" s="56">
        <v>7.8</v>
      </c>
      <c r="G436" s="56">
        <v>8.1</v>
      </c>
      <c r="H436" s="56">
        <v>8.9</v>
      </c>
      <c r="I436" s="56">
        <v>8.9</v>
      </c>
      <c r="J436" s="56">
        <v>8.1</v>
      </c>
      <c r="K436" s="56">
        <v>7.2</v>
      </c>
      <c r="L436" s="56">
        <v>6.7</v>
      </c>
      <c r="M436" s="56">
        <v>6.3</v>
      </c>
      <c r="N436" s="56">
        <v>6.9</v>
      </c>
      <c r="O436" s="56">
        <v>7.8</v>
      </c>
      <c r="P436" s="56">
        <v>7.6</v>
      </c>
      <c r="Q436" s="56">
        <v>7.6</v>
      </c>
      <c r="R436" s="57">
        <v>7.6</v>
      </c>
    </row>
    <row r="437" spans="2:18" x14ac:dyDescent="0.4">
      <c r="B437" s="50"/>
      <c r="C437" s="51" t="s">
        <v>260</v>
      </c>
      <c r="D437" s="49" t="s">
        <v>261</v>
      </c>
      <c r="E437" s="49" t="str">
        <f>B434&amp;C437</f>
        <v>Bangor, MEI</v>
      </c>
      <c r="F437" s="56">
        <v>496</v>
      </c>
      <c r="G437" s="56">
        <v>752</v>
      </c>
      <c r="H437" s="56">
        <v>1059</v>
      </c>
      <c r="I437" s="56">
        <v>1410</v>
      </c>
      <c r="J437" s="56">
        <v>1639</v>
      </c>
      <c r="K437" s="56">
        <v>1762</v>
      </c>
      <c r="L437" s="56">
        <v>1751</v>
      </c>
      <c r="M437" s="56">
        <v>1585</v>
      </c>
      <c r="N437" s="56">
        <v>1227</v>
      </c>
      <c r="O437" s="56">
        <v>792</v>
      </c>
      <c r="P437" s="56">
        <v>491</v>
      </c>
      <c r="Q437" s="56">
        <v>411</v>
      </c>
      <c r="R437" s="57">
        <v>1115</v>
      </c>
    </row>
    <row r="438" spans="2:18" x14ac:dyDescent="0.4">
      <c r="B438" s="50"/>
      <c r="C438" s="51" t="s">
        <v>262</v>
      </c>
      <c r="D438" s="49" t="s">
        <v>263</v>
      </c>
      <c r="E438" s="49" t="str">
        <f>B434&amp;C438</f>
        <v>Bangor, MEPA</v>
      </c>
      <c r="F438" s="58" t="s">
        <v>506</v>
      </c>
      <c r="G438" s="58" t="s">
        <v>506</v>
      </c>
      <c r="H438" s="58" t="s">
        <v>506</v>
      </c>
      <c r="I438" s="58" t="s">
        <v>506</v>
      </c>
      <c r="J438" s="58" t="s">
        <v>506</v>
      </c>
      <c r="K438" s="58" t="s">
        <v>506</v>
      </c>
      <c r="L438" s="58" t="s">
        <v>506</v>
      </c>
      <c r="M438" s="58" t="s">
        <v>506</v>
      </c>
      <c r="N438" s="58" t="s">
        <v>506</v>
      </c>
      <c r="O438" s="58" t="s">
        <v>506</v>
      </c>
      <c r="P438" s="58" t="s">
        <v>506</v>
      </c>
      <c r="Q438" s="58" t="s">
        <v>506</v>
      </c>
      <c r="R438" s="57">
        <v>14.59</v>
      </c>
    </row>
    <row r="439" spans="2:18" x14ac:dyDescent="0.4">
      <c r="B439" s="48" t="s">
        <v>350</v>
      </c>
      <c r="C439" s="51" t="s">
        <v>255</v>
      </c>
      <c r="D439" s="49" t="s">
        <v>256</v>
      </c>
      <c r="E439" s="49" t="str">
        <f>B439&amp;C439</f>
        <v>Caribou, METAN</v>
      </c>
      <c r="F439" s="56">
        <v>1.7</v>
      </c>
      <c r="G439" s="56">
        <v>4.4000000000000004</v>
      </c>
      <c r="H439" s="56">
        <v>15.9</v>
      </c>
      <c r="I439" s="56">
        <v>29.6</v>
      </c>
      <c r="J439" s="56">
        <v>40.9</v>
      </c>
      <c r="K439" s="56">
        <v>50.6</v>
      </c>
      <c r="L439" s="56">
        <v>55.9</v>
      </c>
      <c r="M439" s="56">
        <v>53.4</v>
      </c>
      <c r="N439" s="56">
        <v>45.3</v>
      </c>
      <c r="O439" s="56">
        <v>35.200000000000003</v>
      </c>
      <c r="P439" s="56">
        <v>25.5</v>
      </c>
      <c r="Q439" s="56">
        <v>12.1</v>
      </c>
      <c r="R439" s="57">
        <v>30.9</v>
      </c>
    </row>
    <row r="440" spans="2:18" x14ac:dyDescent="0.4">
      <c r="B440" s="50"/>
      <c r="C440" s="51" t="s">
        <v>257</v>
      </c>
      <c r="D440" s="49" t="s">
        <v>256</v>
      </c>
      <c r="E440" s="49" t="str">
        <f>B439&amp;C440</f>
        <v>Caribou, METAX</v>
      </c>
      <c r="F440" s="56">
        <v>19</v>
      </c>
      <c r="G440" s="56">
        <v>22.9</v>
      </c>
      <c r="H440" s="56">
        <v>33.5</v>
      </c>
      <c r="I440" s="56">
        <v>46.8</v>
      </c>
      <c r="J440" s="56">
        <v>61.6</v>
      </c>
      <c r="K440" s="56">
        <v>71.2</v>
      </c>
      <c r="L440" s="56">
        <v>75.099999999999994</v>
      </c>
      <c r="M440" s="56">
        <v>73.900000000000006</v>
      </c>
      <c r="N440" s="56">
        <v>65.400000000000006</v>
      </c>
      <c r="O440" s="56">
        <v>51.4</v>
      </c>
      <c r="P440" s="56">
        <v>38.5</v>
      </c>
      <c r="Q440" s="56">
        <v>26.5</v>
      </c>
      <c r="R440" s="57">
        <v>48.8</v>
      </c>
    </row>
    <row r="441" spans="2:18" x14ac:dyDescent="0.4">
      <c r="B441" s="50"/>
      <c r="C441" s="51" t="s">
        <v>258</v>
      </c>
      <c r="D441" s="49" t="s">
        <v>259</v>
      </c>
      <c r="E441" s="49" t="str">
        <f>B439&amp;C441</f>
        <v>Caribou, MEV</v>
      </c>
      <c r="F441" s="56">
        <v>7.8</v>
      </c>
      <c r="G441" s="56">
        <v>8.3000000000000007</v>
      </c>
      <c r="H441" s="56">
        <v>8.6999999999999993</v>
      </c>
      <c r="I441" s="56">
        <v>8.5</v>
      </c>
      <c r="J441" s="56">
        <v>7.6</v>
      </c>
      <c r="K441" s="56">
        <v>6.7</v>
      </c>
      <c r="L441" s="56">
        <v>6</v>
      </c>
      <c r="M441" s="56">
        <v>5.8</v>
      </c>
      <c r="N441" s="56">
        <v>6.5</v>
      </c>
      <c r="O441" s="56">
        <v>7.6</v>
      </c>
      <c r="P441" s="56">
        <v>7.6</v>
      </c>
      <c r="Q441" s="56">
        <v>8.1</v>
      </c>
      <c r="R441" s="57">
        <v>7.4</v>
      </c>
    </row>
    <row r="442" spans="2:18" x14ac:dyDescent="0.4">
      <c r="B442" s="50"/>
      <c r="C442" s="51" t="s">
        <v>260</v>
      </c>
      <c r="D442" s="49" t="s">
        <v>261</v>
      </c>
      <c r="E442" s="49" t="str">
        <f>B439&amp;C442</f>
        <v>Caribou, MEI</v>
      </c>
      <c r="F442" s="56">
        <v>428</v>
      </c>
      <c r="G442" s="56">
        <v>674</v>
      </c>
      <c r="H442" s="56">
        <v>1034</v>
      </c>
      <c r="I442" s="56">
        <v>1390</v>
      </c>
      <c r="J442" s="56">
        <v>1684</v>
      </c>
      <c r="K442" s="56">
        <v>1800</v>
      </c>
      <c r="L442" s="56">
        <v>1703</v>
      </c>
      <c r="M442" s="56">
        <v>1542</v>
      </c>
      <c r="N442" s="56">
        <v>1136</v>
      </c>
      <c r="O442" s="56">
        <v>689</v>
      </c>
      <c r="P442" s="56">
        <v>424</v>
      </c>
      <c r="Q442" s="56">
        <v>353</v>
      </c>
      <c r="R442" s="57">
        <v>1071</v>
      </c>
    </row>
    <row r="443" spans="2:18" x14ac:dyDescent="0.4">
      <c r="B443" s="50"/>
      <c r="C443" s="51" t="s">
        <v>262</v>
      </c>
      <c r="D443" s="49" t="s">
        <v>263</v>
      </c>
      <c r="E443" s="49" t="str">
        <f>B439&amp;C443</f>
        <v>Caribou, MEPA</v>
      </c>
      <c r="F443" s="58" t="s">
        <v>506</v>
      </c>
      <c r="G443" s="58" t="s">
        <v>506</v>
      </c>
      <c r="H443" s="58" t="s">
        <v>506</v>
      </c>
      <c r="I443" s="58" t="s">
        <v>506</v>
      </c>
      <c r="J443" s="58" t="s">
        <v>506</v>
      </c>
      <c r="K443" s="58" t="s">
        <v>506</v>
      </c>
      <c r="L443" s="58" t="s">
        <v>506</v>
      </c>
      <c r="M443" s="58" t="s">
        <v>506</v>
      </c>
      <c r="N443" s="58" t="s">
        <v>506</v>
      </c>
      <c r="O443" s="58" t="s">
        <v>506</v>
      </c>
      <c r="P443" s="58" t="s">
        <v>506</v>
      </c>
      <c r="Q443" s="58" t="s">
        <v>506</v>
      </c>
      <c r="R443" s="57">
        <v>14.36</v>
      </c>
    </row>
    <row r="444" spans="2:18" x14ac:dyDescent="0.4">
      <c r="B444" s="48" t="s">
        <v>351</v>
      </c>
      <c r="C444" s="51" t="s">
        <v>255</v>
      </c>
      <c r="D444" s="49" t="s">
        <v>256</v>
      </c>
      <c r="E444" s="49" t="str">
        <f>B444&amp;C444</f>
        <v>Portland, METAN</v>
      </c>
      <c r="F444" s="56">
        <v>14.9</v>
      </c>
      <c r="G444" s="56">
        <v>17.100000000000001</v>
      </c>
      <c r="H444" s="56">
        <v>25.8</v>
      </c>
      <c r="I444" s="56">
        <v>35.299999999999997</v>
      </c>
      <c r="J444" s="56">
        <v>44.8</v>
      </c>
      <c r="K444" s="56">
        <v>54.8</v>
      </c>
      <c r="L444" s="56">
        <v>60.2</v>
      </c>
      <c r="M444" s="56">
        <v>59.2</v>
      </c>
      <c r="N444" s="56">
        <v>51.5</v>
      </c>
      <c r="O444" s="56">
        <v>40</v>
      </c>
      <c r="P444" s="56">
        <v>31.9</v>
      </c>
      <c r="Q444" s="56">
        <v>21.9</v>
      </c>
      <c r="R444" s="57">
        <v>38.1</v>
      </c>
    </row>
    <row r="445" spans="2:18" x14ac:dyDescent="0.4">
      <c r="B445" s="50"/>
      <c r="C445" s="51" t="s">
        <v>257</v>
      </c>
      <c r="D445" s="49" t="s">
        <v>256</v>
      </c>
      <c r="E445" s="49" t="str">
        <f>B444&amp;C445</f>
        <v>Portland, METAX</v>
      </c>
      <c r="F445" s="56">
        <v>30.8</v>
      </c>
      <c r="G445" s="56">
        <v>33.700000000000003</v>
      </c>
      <c r="H445" s="56">
        <v>41.3</v>
      </c>
      <c r="I445" s="56">
        <v>52.8</v>
      </c>
      <c r="J445" s="56">
        <v>62.8</v>
      </c>
      <c r="K445" s="56">
        <v>72.599999999999994</v>
      </c>
      <c r="L445" s="56">
        <v>77.7</v>
      </c>
      <c r="M445" s="56">
        <v>77.2</v>
      </c>
      <c r="N445" s="56">
        <v>69.400000000000006</v>
      </c>
      <c r="O445" s="56">
        <v>57.9</v>
      </c>
      <c r="P445" s="56">
        <v>47.4</v>
      </c>
      <c r="Q445" s="56">
        <v>37.200000000000003</v>
      </c>
      <c r="R445" s="57">
        <v>55.1</v>
      </c>
    </row>
    <row r="446" spans="2:18" x14ac:dyDescent="0.4">
      <c r="B446" s="50"/>
      <c r="C446" s="51" t="s">
        <v>258</v>
      </c>
      <c r="D446" s="49" t="s">
        <v>259</v>
      </c>
      <c r="E446" s="49" t="str">
        <f>B444&amp;C446</f>
        <v>Portland, MEV</v>
      </c>
      <c r="F446" s="56">
        <v>8.1</v>
      </c>
      <c r="G446" s="56">
        <v>8.5</v>
      </c>
      <c r="H446" s="56">
        <v>9.1999999999999993</v>
      </c>
      <c r="I446" s="56">
        <v>9.1999999999999993</v>
      </c>
      <c r="J446" s="56">
        <v>8.1</v>
      </c>
      <c r="K446" s="56">
        <v>7.2</v>
      </c>
      <c r="L446" s="56">
        <v>6.7</v>
      </c>
      <c r="M446" s="56">
        <v>6.5</v>
      </c>
      <c r="N446" s="56">
        <v>6.9</v>
      </c>
      <c r="O446" s="56">
        <v>7.6</v>
      </c>
      <c r="P446" s="56">
        <v>7.6</v>
      </c>
      <c r="Q446" s="56">
        <v>8.1</v>
      </c>
      <c r="R446" s="57">
        <v>7.8</v>
      </c>
    </row>
    <row r="447" spans="2:18" x14ac:dyDescent="0.4">
      <c r="B447" s="50"/>
      <c r="C447" s="51" t="s">
        <v>260</v>
      </c>
      <c r="D447" s="49" t="s">
        <v>261</v>
      </c>
      <c r="E447" s="49" t="str">
        <f>B444&amp;C447</f>
        <v>Portland, MEI</v>
      </c>
      <c r="F447" s="56">
        <v>530</v>
      </c>
      <c r="G447" s="56">
        <v>803</v>
      </c>
      <c r="H447" s="56">
        <v>1111</v>
      </c>
      <c r="I447" s="56">
        <v>1471</v>
      </c>
      <c r="J447" s="56">
        <v>1714</v>
      </c>
      <c r="K447" s="56">
        <v>1838</v>
      </c>
      <c r="L447" s="56">
        <v>1844</v>
      </c>
      <c r="M447" s="56">
        <v>1688</v>
      </c>
      <c r="N447" s="56">
        <v>1295</v>
      </c>
      <c r="O447" s="56">
        <v>879</v>
      </c>
      <c r="P447" s="56">
        <v>552</v>
      </c>
      <c r="Q447" s="56">
        <v>458</v>
      </c>
      <c r="R447" s="57">
        <v>1182</v>
      </c>
    </row>
    <row r="448" spans="2:18" x14ac:dyDescent="0.4">
      <c r="B448" s="50"/>
      <c r="C448" s="51" t="s">
        <v>262</v>
      </c>
      <c r="D448" s="49" t="s">
        <v>263</v>
      </c>
      <c r="E448" s="49" t="str">
        <f>B444&amp;C448</f>
        <v>Portland, MEPA</v>
      </c>
      <c r="F448" s="58" t="s">
        <v>506</v>
      </c>
      <c r="G448" s="58" t="s">
        <v>506</v>
      </c>
      <c r="H448" s="58" t="s">
        <v>506</v>
      </c>
      <c r="I448" s="58" t="s">
        <v>506</v>
      </c>
      <c r="J448" s="58" t="s">
        <v>506</v>
      </c>
      <c r="K448" s="58" t="s">
        <v>506</v>
      </c>
      <c r="L448" s="58" t="s">
        <v>506</v>
      </c>
      <c r="M448" s="58" t="s">
        <v>506</v>
      </c>
      <c r="N448" s="58" t="s">
        <v>506</v>
      </c>
      <c r="O448" s="58" t="s">
        <v>506</v>
      </c>
      <c r="P448" s="58" t="s">
        <v>506</v>
      </c>
      <c r="Q448" s="58" t="s">
        <v>506</v>
      </c>
      <c r="R448" s="57">
        <v>14.66</v>
      </c>
    </row>
    <row r="449" spans="2:18" x14ac:dyDescent="0.4">
      <c r="B449" s="48" t="s">
        <v>352</v>
      </c>
      <c r="C449" s="51" t="s">
        <v>255</v>
      </c>
      <c r="D449" s="49" t="s">
        <v>256</v>
      </c>
      <c r="E449" s="49" t="str">
        <f>B449&amp;C449</f>
        <v>Baltimore , MDTAN</v>
      </c>
      <c r="F449" s="56">
        <v>26.6</v>
      </c>
      <c r="G449" s="56">
        <v>27.4</v>
      </c>
      <c r="H449" s="56">
        <v>34.799999999999997</v>
      </c>
      <c r="I449" s="56">
        <v>44.3</v>
      </c>
      <c r="J449" s="56">
        <v>53.2</v>
      </c>
      <c r="K449" s="56">
        <v>63.1</v>
      </c>
      <c r="L449" s="56">
        <v>68</v>
      </c>
      <c r="M449" s="56">
        <v>66.599999999999994</v>
      </c>
      <c r="N449" s="56">
        <v>59.1</v>
      </c>
      <c r="O449" s="56">
        <v>46.6</v>
      </c>
      <c r="P449" s="56">
        <v>37.700000000000003</v>
      </c>
      <c r="Q449" s="56">
        <v>29.6</v>
      </c>
      <c r="R449" s="57">
        <v>46.4</v>
      </c>
    </row>
    <row r="450" spans="2:18" x14ac:dyDescent="0.4">
      <c r="B450" s="50"/>
      <c r="C450" s="51" t="s">
        <v>257</v>
      </c>
      <c r="D450" s="49" t="s">
        <v>256</v>
      </c>
      <c r="E450" s="49" t="str">
        <f>B449&amp;C450</f>
        <v>Baltimore , MDTAX</v>
      </c>
      <c r="F450" s="56">
        <v>42.2</v>
      </c>
      <c r="G450" s="56">
        <v>44.7</v>
      </c>
      <c r="H450" s="56">
        <v>53.5</v>
      </c>
      <c r="I450" s="56">
        <v>65.099999999999994</v>
      </c>
      <c r="J450" s="56">
        <v>73.900000000000006</v>
      </c>
      <c r="K450" s="56">
        <v>82.8</v>
      </c>
      <c r="L450" s="56">
        <v>86.9</v>
      </c>
      <c r="M450" s="56">
        <v>85.3</v>
      </c>
      <c r="N450" s="56">
        <v>78</v>
      </c>
      <c r="O450" s="56">
        <v>66.7</v>
      </c>
      <c r="P450" s="56">
        <v>56.2</v>
      </c>
      <c r="Q450" s="56">
        <v>45.5</v>
      </c>
      <c r="R450" s="57">
        <v>65</v>
      </c>
    </row>
    <row r="451" spans="2:18" x14ac:dyDescent="0.4">
      <c r="B451" s="50"/>
      <c r="C451" s="51" t="s">
        <v>258</v>
      </c>
      <c r="D451" s="49" t="s">
        <v>259</v>
      </c>
      <c r="E451" s="49" t="str">
        <f>B449&amp;C451</f>
        <v>Baltimore , MDV</v>
      </c>
      <c r="F451" s="56">
        <v>7.8</v>
      </c>
      <c r="G451" s="56">
        <v>8.3000000000000007</v>
      </c>
      <c r="H451" s="56">
        <v>8.6999999999999993</v>
      </c>
      <c r="I451" s="56">
        <v>8.3000000000000007</v>
      </c>
      <c r="J451" s="56">
        <v>7.2</v>
      </c>
      <c r="K451" s="56">
        <v>6.5</v>
      </c>
      <c r="L451" s="56">
        <v>6</v>
      </c>
      <c r="M451" s="56">
        <v>5.6</v>
      </c>
      <c r="N451" s="56">
        <v>6.3</v>
      </c>
      <c r="O451" s="56">
        <v>6.3</v>
      </c>
      <c r="P451" s="56">
        <v>6.9</v>
      </c>
      <c r="Q451" s="56">
        <v>7.4</v>
      </c>
      <c r="R451" s="57">
        <v>7.2</v>
      </c>
    </row>
    <row r="452" spans="2:18" x14ac:dyDescent="0.4">
      <c r="B452" s="50"/>
      <c r="C452" s="51" t="s">
        <v>260</v>
      </c>
      <c r="D452" s="49" t="s">
        <v>261</v>
      </c>
      <c r="E452" s="49" t="str">
        <f>B449&amp;C452</f>
        <v>Baltimore , MDI</v>
      </c>
      <c r="F452" s="56">
        <v>653</v>
      </c>
      <c r="G452" s="56">
        <v>929</v>
      </c>
      <c r="H452" s="56">
        <v>1231</v>
      </c>
      <c r="I452" s="56">
        <v>1555</v>
      </c>
      <c r="J452" s="56">
        <v>1774</v>
      </c>
      <c r="K452" s="56">
        <v>1918</v>
      </c>
      <c r="L452" s="56">
        <v>1866</v>
      </c>
      <c r="M452" s="56">
        <v>1681</v>
      </c>
      <c r="N452" s="56">
        <v>1350</v>
      </c>
      <c r="O452" s="56">
        <v>1036</v>
      </c>
      <c r="P452" s="56">
        <v>709</v>
      </c>
      <c r="Q452" s="56">
        <v>580</v>
      </c>
      <c r="R452" s="57">
        <v>1274</v>
      </c>
    </row>
    <row r="453" spans="2:18" x14ac:dyDescent="0.4">
      <c r="B453" s="50"/>
      <c r="C453" s="51" t="s">
        <v>262</v>
      </c>
      <c r="D453" s="49" t="s">
        <v>263</v>
      </c>
      <c r="E453" s="49" t="str">
        <f>B449&amp;C453</f>
        <v>Baltimore , MDPA</v>
      </c>
      <c r="F453" s="58" t="s">
        <v>506</v>
      </c>
      <c r="G453" s="58" t="s">
        <v>506</v>
      </c>
      <c r="H453" s="58" t="s">
        <v>506</v>
      </c>
      <c r="I453" s="58" t="s">
        <v>506</v>
      </c>
      <c r="J453" s="58" t="s">
        <v>506</v>
      </c>
      <c r="K453" s="58" t="s">
        <v>506</v>
      </c>
      <c r="L453" s="58" t="s">
        <v>506</v>
      </c>
      <c r="M453" s="58" t="s">
        <v>506</v>
      </c>
      <c r="N453" s="58" t="s">
        <v>506</v>
      </c>
      <c r="O453" s="58" t="s">
        <v>506</v>
      </c>
      <c r="P453" s="58" t="s">
        <v>506</v>
      </c>
      <c r="Q453" s="58" t="s">
        <v>506</v>
      </c>
      <c r="R453" s="57">
        <v>14.62</v>
      </c>
    </row>
    <row r="454" spans="2:18" x14ac:dyDescent="0.4">
      <c r="B454" s="48" t="s">
        <v>353</v>
      </c>
      <c r="C454" s="51" t="s">
        <v>255</v>
      </c>
      <c r="D454" s="49" t="s">
        <v>256</v>
      </c>
      <c r="E454" s="49" t="str">
        <f>B454&amp;C454</f>
        <v>Boston, MATAN</v>
      </c>
      <c r="F454" s="56">
        <v>23.1</v>
      </c>
      <c r="G454" s="56">
        <v>25</v>
      </c>
      <c r="H454" s="56">
        <v>31.7</v>
      </c>
      <c r="I454" s="56">
        <v>41.2</v>
      </c>
      <c r="J454" s="56">
        <v>50.4</v>
      </c>
      <c r="K454" s="56">
        <v>60.3</v>
      </c>
      <c r="L454" s="56">
        <v>66</v>
      </c>
      <c r="M454" s="56">
        <v>65.2</v>
      </c>
      <c r="N454" s="56">
        <v>58.2</v>
      </c>
      <c r="O454" s="56">
        <v>47.2</v>
      </c>
      <c r="P454" s="56">
        <v>38.6</v>
      </c>
      <c r="Q454" s="56">
        <v>29.1</v>
      </c>
      <c r="R454" s="57">
        <v>44.7</v>
      </c>
    </row>
    <row r="455" spans="2:18" x14ac:dyDescent="0.4">
      <c r="B455" s="50"/>
      <c r="C455" s="51" t="s">
        <v>257</v>
      </c>
      <c r="D455" s="49" t="s">
        <v>256</v>
      </c>
      <c r="E455" s="49" t="str">
        <f>B454&amp;C455</f>
        <v>Boston, MATAX</v>
      </c>
      <c r="F455" s="56">
        <v>36.200000000000003</v>
      </c>
      <c r="G455" s="56">
        <v>38.299999999999997</v>
      </c>
      <c r="H455" s="56">
        <v>45.1</v>
      </c>
      <c r="I455" s="56">
        <v>55.8</v>
      </c>
      <c r="J455" s="56">
        <v>65.7</v>
      </c>
      <c r="K455" s="56">
        <v>75.8</v>
      </c>
      <c r="L455" s="56">
        <v>80.8</v>
      </c>
      <c r="M455" s="56">
        <v>79.3</v>
      </c>
      <c r="N455" s="56">
        <v>72.099999999999994</v>
      </c>
      <c r="O455" s="56">
        <v>61.3</v>
      </c>
      <c r="P455" s="56">
        <v>51.1</v>
      </c>
      <c r="Q455" s="56">
        <v>41.4</v>
      </c>
      <c r="R455" s="57">
        <v>58.6</v>
      </c>
    </row>
    <row r="456" spans="2:18" x14ac:dyDescent="0.4">
      <c r="B456" s="50"/>
      <c r="C456" s="51" t="s">
        <v>258</v>
      </c>
      <c r="D456" s="49" t="s">
        <v>259</v>
      </c>
      <c r="E456" s="49" t="str">
        <f>B454&amp;C456</f>
        <v>Boston, MAV</v>
      </c>
      <c r="F456" s="56">
        <v>12.5</v>
      </c>
      <c r="G456" s="56">
        <v>12.8</v>
      </c>
      <c r="H456" s="56">
        <v>13</v>
      </c>
      <c r="I456" s="56">
        <v>12.1</v>
      </c>
      <c r="J456" s="56">
        <v>11.2</v>
      </c>
      <c r="K456" s="56">
        <v>10.3</v>
      </c>
      <c r="L456" s="56">
        <v>10.1</v>
      </c>
      <c r="M456" s="56">
        <v>9.8000000000000007</v>
      </c>
      <c r="N456" s="56">
        <v>10.5</v>
      </c>
      <c r="O456" s="56">
        <v>11.2</v>
      </c>
      <c r="P456" s="56">
        <v>11.4</v>
      </c>
      <c r="Q456" s="56">
        <v>12.5</v>
      </c>
      <c r="R456" s="57">
        <v>11.4</v>
      </c>
    </row>
    <row r="457" spans="2:18" x14ac:dyDescent="0.4">
      <c r="B457" s="50"/>
      <c r="C457" s="51" t="s">
        <v>260</v>
      </c>
      <c r="D457" s="49" t="s">
        <v>261</v>
      </c>
      <c r="E457" s="49" t="str">
        <f>B454&amp;C457</f>
        <v>Boston, MAI</v>
      </c>
      <c r="F457" s="56">
        <v>558</v>
      </c>
      <c r="G457" s="56">
        <v>833</v>
      </c>
      <c r="H457" s="56">
        <v>1113</v>
      </c>
      <c r="I457" s="56">
        <v>1461</v>
      </c>
      <c r="J457" s="56">
        <v>1703</v>
      </c>
      <c r="K457" s="56">
        <v>1811</v>
      </c>
      <c r="L457" s="56">
        <v>1830</v>
      </c>
      <c r="M457" s="56">
        <v>1657</v>
      </c>
      <c r="N457" s="56">
        <v>1284</v>
      </c>
      <c r="O457" s="56">
        <v>913</v>
      </c>
      <c r="P457" s="56">
        <v>576</v>
      </c>
      <c r="Q457" s="56">
        <v>475</v>
      </c>
      <c r="R457" s="57">
        <v>1184</v>
      </c>
    </row>
    <row r="458" spans="2:18" x14ac:dyDescent="0.4">
      <c r="B458" s="50"/>
      <c r="C458" s="51" t="s">
        <v>262</v>
      </c>
      <c r="D458" s="49" t="s">
        <v>263</v>
      </c>
      <c r="E458" s="49" t="str">
        <f>B454&amp;C458</f>
        <v>Boston, MAPA</v>
      </c>
      <c r="F458" s="58" t="s">
        <v>506</v>
      </c>
      <c r="G458" s="58" t="s">
        <v>506</v>
      </c>
      <c r="H458" s="58" t="s">
        <v>506</v>
      </c>
      <c r="I458" s="58" t="s">
        <v>506</v>
      </c>
      <c r="J458" s="58" t="s">
        <v>506</v>
      </c>
      <c r="K458" s="58" t="s">
        <v>506</v>
      </c>
      <c r="L458" s="58" t="s">
        <v>506</v>
      </c>
      <c r="M458" s="58" t="s">
        <v>506</v>
      </c>
      <c r="N458" s="58" t="s">
        <v>506</v>
      </c>
      <c r="O458" s="58" t="s">
        <v>506</v>
      </c>
      <c r="P458" s="58" t="s">
        <v>506</v>
      </c>
      <c r="Q458" s="58" t="s">
        <v>506</v>
      </c>
      <c r="R458" s="57">
        <v>14.68</v>
      </c>
    </row>
    <row r="459" spans="2:18" x14ac:dyDescent="0.4">
      <c r="B459" s="48" t="s">
        <v>354</v>
      </c>
      <c r="C459" s="51" t="s">
        <v>255</v>
      </c>
      <c r="D459" s="49" t="s">
        <v>256</v>
      </c>
      <c r="E459" s="49" t="str">
        <f>B459&amp;C459</f>
        <v>Worchester, MATAN</v>
      </c>
      <c r="F459" s="56">
        <v>17.7</v>
      </c>
      <c r="G459" s="56">
        <v>19.600000000000001</v>
      </c>
      <c r="H459" s="56">
        <v>26.9</v>
      </c>
      <c r="I459" s="56">
        <v>37.5</v>
      </c>
      <c r="J459" s="56">
        <v>47.2</v>
      </c>
      <c r="K459" s="56">
        <v>56.9</v>
      </c>
      <c r="L459" s="56">
        <v>62</v>
      </c>
      <c r="M459" s="56">
        <v>61.1</v>
      </c>
      <c r="N459" s="56">
        <v>53.7</v>
      </c>
      <c r="O459" s="56">
        <v>42.4</v>
      </c>
      <c r="P459" s="56">
        <v>33.799999999999997</v>
      </c>
      <c r="Q459" s="56">
        <v>23.8</v>
      </c>
      <c r="R459" s="57">
        <v>40.200000000000003</v>
      </c>
    </row>
    <row r="460" spans="2:18" x14ac:dyDescent="0.4">
      <c r="B460" s="50"/>
      <c r="C460" s="51" t="s">
        <v>257</v>
      </c>
      <c r="D460" s="49" t="s">
        <v>256</v>
      </c>
      <c r="E460" s="49" t="str">
        <f>B459&amp;C460</f>
        <v>Worchester, MATAX</v>
      </c>
      <c r="F460" s="56">
        <v>31.2</v>
      </c>
      <c r="G460" s="56">
        <v>34</v>
      </c>
      <c r="H460" s="56">
        <v>42.2</v>
      </c>
      <c r="I460" s="56">
        <v>55</v>
      </c>
      <c r="J460" s="56">
        <v>65.2</v>
      </c>
      <c r="K460" s="56">
        <v>73.5</v>
      </c>
      <c r="L460" s="56">
        <v>77.900000000000006</v>
      </c>
      <c r="M460" s="56">
        <v>76.7</v>
      </c>
      <c r="N460" s="56">
        <v>68.900000000000006</v>
      </c>
      <c r="O460" s="56">
        <v>57.8</v>
      </c>
      <c r="P460" s="56">
        <v>47.3</v>
      </c>
      <c r="Q460" s="56">
        <v>36.6</v>
      </c>
      <c r="R460" s="57">
        <v>55.5</v>
      </c>
    </row>
    <row r="461" spans="2:18" x14ac:dyDescent="0.4">
      <c r="B461" s="50"/>
      <c r="C461" s="51" t="s">
        <v>258</v>
      </c>
      <c r="D461" s="49" t="s">
        <v>259</v>
      </c>
      <c r="E461" s="49" t="str">
        <f>B459&amp;C461</f>
        <v>Worchester, MAV</v>
      </c>
      <c r="F461" s="56">
        <v>11.4</v>
      </c>
      <c r="G461" s="56">
        <v>11.9</v>
      </c>
      <c r="H461" s="56">
        <v>11.4</v>
      </c>
      <c r="I461" s="56">
        <v>10.7</v>
      </c>
      <c r="J461" s="56">
        <v>10.1</v>
      </c>
      <c r="K461" s="56">
        <v>9.1999999999999993</v>
      </c>
      <c r="L461" s="56">
        <v>8.9</v>
      </c>
      <c r="M461" s="56">
        <v>8.5</v>
      </c>
      <c r="N461" s="56">
        <v>8.9</v>
      </c>
      <c r="O461" s="56">
        <v>10.1</v>
      </c>
      <c r="P461" s="56">
        <v>10.5</v>
      </c>
      <c r="Q461" s="56">
        <v>11.6</v>
      </c>
      <c r="R461" s="57">
        <v>10.3</v>
      </c>
    </row>
    <row r="462" spans="2:18" x14ac:dyDescent="0.4">
      <c r="B462" s="50"/>
      <c r="C462" s="51" t="s">
        <v>260</v>
      </c>
      <c r="D462" s="49" t="s">
        <v>261</v>
      </c>
      <c r="E462" s="49" t="str">
        <f>B459&amp;C462</f>
        <v>Worchester, MAI</v>
      </c>
      <c r="F462" s="56">
        <v>567</v>
      </c>
      <c r="G462" s="56">
        <v>821</v>
      </c>
      <c r="H462" s="56">
        <v>1123</v>
      </c>
      <c r="I462" s="56">
        <v>1454</v>
      </c>
      <c r="J462" s="56">
        <v>1675</v>
      </c>
      <c r="K462" s="56">
        <v>1764</v>
      </c>
      <c r="L462" s="56">
        <v>1848</v>
      </c>
      <c r="M462" s="56">
        <v>1619</v>
      </c>
      <c r="N462" s="56">
        <v>1276</v>
      </c>
      <c r="O462" s="56">
        <v>903</v>
      </c>
      <c r="P462" s="56">
        <v>584</v>
      </c>
      <c r="Q462" s="56">
        <v>477</v>
      </c>
      <c r="R462" s="57">
        <v>1176</v>
      </c>
    </row>
    <row r="463" spans="2:18" x14ac:dyDescent="0.4">
      <c r="B463" s="50"/>
      <c r="C463" s="51" t="s">
        <v>262</v>
      </c>
      <c r="D463" s="49" t="s">
        <v>263</v>
      </c>
      <c r="E463" s="49" t="str">
        <f>B459&amp;C463</f>
        <v>Worchester, MAPA</v>
      </c>
      <c r="F463" s="58" t="s">
        <v>506</v>
      </c>
      <c r="G463" s="58" t="s">
        <v>506</v>
      </c>
      <c r="H463" s="58" t="s">
        <v>506</v>
      </c>
      <c r="I463" s="58" t="s">
        <v>506</v>
      </c>
      <c r="J463" s="58" t="s">
        <v>506</v>
      </c>
      <c r="K463" s="58" t="s">
        <v>506</v>
      </c>
      <c r="L463" s="58" t="s">
        <v>506</v>
      </c>
      <c r="M463" s="58" t="s">
        <v>506</v>
      </c>
      <c r="N463" s="58" t="s">
        <v>506</v>
      </c>
      <c r="O463" s="58" t="s">
        <v>506</v>
      </c>
      <c r="P463" s="58" t="s">
        <v>506</v>
      </c>
      <c r="Q463" s="58" t="s">
        <v>506</v>
      </c>
      <c r="R463" s="57">
        <v>14.18</v>
      </c>
    </row>
    <row r="464" spans="2:18" x14ac:dyDescent="0.4">
      <c r="B464" s="48" t="s">
        <v>355</v>
      </c>
      <c r="C464" s="51" t="s">
        <v>255</v>
      </c>
      <c r="D464" s="49" t="s">
        <v>256</v>
      </c>
      <c r="E464" s="49" t="str">
        <f>B464&amp;C464</f>
        <v>Alpena, MITAN</v>
      </c>
      <c r="F464" s="56">
        <v>12.7</v>
      </c>
      <c r="G464" s="56">
        <v>12.1</v>
      </c>
      <c r="H464" s="56">
        <v>19.8</v>
      </c>
      <c r="I464" s="56">
        <v>31.5</v>
      </c>
      <c r="J464" s="56">
        <v>41.4</v>
      </c>
      <c r="K464" s="56">
        <v>51.3</v>
      </c>
      <c r="L464" s="56">
        <v>56.1</v>
      </c>
      <c r="M464" s="56">
        <v>54.7</v>
      </c>
      <c r="N464" s="56">
        <v>47.4</v>
      </c>
      <c r="O464" s="56">
        <v>37.700000000000003</v>
      </c>
      <c r="P464" s="56">
        <v>29.3</v>
      </c>
      <c r="Q464" s="56">
        <v>19.399999999999999</v>
      </c>
      <c r="R464" s="57">
        <v>34.4</v>
      </c>
    </row>
    <row r="465" spans="2:18" x14ac:dyDescent="0.4">
      <c r="B465" s="50"/>
      <c r="C465" s="51" t="s">
        <v>257</v>
      </c>
      <c r="D465" s="49" t="s">
        <v>256</v>
      </c>
      <c r="E465" s="49" t="str">
        <f>B464&amp;C465</f>
        <v>Alpena, MITAX</v>
      </c>
      <c r="F465" s="56">
        <v>26.9</v>
      </c>
      <c r="G465" s="56">
        <v>29.1</v>
      </c>
      <c r="H465" s="56">
        <v>38.299999999999997</v>
      </c>
      <c r="I465" s="56">
        <v>51.6</v>
      </c>
      <c r="J465" s="56">
        <v>63.9</v>
      </c>
      <c r="K465" s="56">
        <v>74.3</v>
      </c>
      <c r="L465" s="56">
        <v>78</v>
      </c>
      <c r="M465" s="56">
        <v>76.8</v>
      </c>
      <c r="N465" s="56">
        <v>69.099999999999994</v>
      </c>
      <c r="O465" s="56">
        <v>56.1</v>
      </c>
      <c r="P465" s="56">
        <v>43.1</v>
      </c>
      <c r="Q465" s="56">
        <v>32.299999999999997</v>
      </c>
      <c r="R465" s="57">
        <v>53.3</v>
      </c>
    </row>
    <row r="466" spans="2:18" x14ac:dyDescent="0.4">
      <c r="B466" s="50"/>
      <c r="C466" s="51" t="s">
        <v>258</v>
      </c>
      <c r="D466" s="49" t="s">
        <v>259</v>
      </c>
      <c r="E466" s="49" t="str">
        <f>B464&amp;C466</f>
        <v>Alpena, MIV</v>
      </c>
      <c r="F466" s="56">
        <v>8.3000000000000007</v>
      </c>
      <c r="G466" s="56">
        <v>8.3000000000000007</v>
      </c>
      <c r="H466" s="56">
        <v>8.3000000000000007</v>
      </c>
      <c r="I466" s="56">
        <v>8.6999999999999993</v>
      </c>
      <c r="J466" s="56">
        <v>7.8</v>
      </c>
      <c r="K466" s="56">
        <v>6.5</v>
      </c>
      <c r="L466" s="56">
        <v>6.3</v>
      </c>
      <c r="M466" s="56">
        <v>6</v>
      </c>
      <c r="N466" s="56">
        <v>6.7</v>
      </c>
      <c r="O466" s="56">
        <v>7.4</v>
      </c>
      <c r="P466" s="56">
        <v>7.8</v>
      </c>
      <c r="Q466" s="56">
        <v>7.8</v>
      </c>
      <c r="R466" s="57">
        <v>7.4</v>
      </c>
    </row>
    <row r="467" spans="2:18" x14ac:dyDescent="0.4">
      <c r="B467" s="50"/>
      <c r="C467" s="51" t="s">
        <v>260</v>
      </c>
      <c r="D467" s="49" t="s">
        <v>261</v>
      </c>
      <c r="E467" s="49" t="str">
        <f>B464&amp;C467</f>
        <v>Alpena, MII</v>
      </c>
      <c r="F467" s="56">
        <v>401</v>
      </c>
      <c r="G467" s="56">
        <v>653</v>
      </c>
      <c r="H467" s="56">
        <v>1103</v>
      </c>
      <c r="I467" s="56">
        <v>1457</v>
      </c>
      <c r="J467" s="56">
        <v>1771</v>
      </c>
      <c r="K467" s="56">
        <v>1948</v>
      </c>
      <c r="L467" s="56">
        <v>1896</v>
      </c>
      <c r="M467" s="56">
        <v>1632</v>
      </c>
      <c r="N467" s="56">
        <v>1232</v>
      </c>
      <c r="O467" s="56">
        <v>752</v>
      </c>
      <c r="P467" s="56">
        <v>439</v>
      </c>
      <c r="Q467" s="56">
        <v>346</v>
      </c>
      <c r="R467" s="57">
        <v>1136</v>
      </c>
    </row>
    <row r="468" spans="2:18" x14ac:dyDescent="0.4">
      <c r="B468" s="50"/>
      <c r="C468" s="51" t="s">
        <v>262</v>
      </c>
      <c r="D468" s="49" t="s">
        <v>263</v>
      </c>
      <c r="E468" s="49" t="str">
        <f>B464&amp;C468</f>
        <v>Alpena, MIPA</v>
      </c>
      <c r="F468" s="58" t="s">
        <v>506</v>
      </c>
      <c r="G468" s="58" t="s">
        <v>506</v>
      </c>
      <c r="H468" s="58" t="s">
        <v>506</v>
      </c>
      <c r="I468" s="58" t="s">
        <v>506</v>
      </c>
      <c r="J468" s="58" t="s">
        <v>506</v>
      </c>
      <c r="K468" s="58" t="s">
        <v>506</v>
      </c>
      <c r="L468" s="58" t="s">
        <v>506</v>
      </c>
      <c r="M468" s="58" t="s">
        <v>506</v>
      </c>
      <c r="N468" s="58" t="s">
        <v>506</v>
      </c>
      <c r="O468" s="58" t="s">
        <v>506</v>
      </c>
      <c r="P468" s="58" t="s">
        <v>506</v>
      </c>
      <c r="Q468" s="58" t="s">
        <v>506</v>
      </c>
      <c r="R468" s="57">
        <v>14.33</v>
      </c>
    </row>
    <row r="469" spans="2:18" ht="20.6" x14ac:dyDescent="0.4">
      <c r="B469" s="48" t="s">
        <v>356</v>
      </c>
      <c r="C469" s="51" t="s">
        <v>255</v>
      </c>
      <c r="D469" s="49" t="s">
        <v>256</v>
      </c>
      <c r="E469" s="49" t="str">
        <f>B469&amp;C469</f>
        <v>Detroit Metro_AP, MITAN</v>
      </c>
      <c r="F469" s="56">
        <v>19.600000000000001</v>
      </c>
      <c r="G469" s="56">
        <v>21.6</v>
      </c>
      <c r="H469" s="56">
        <v>28.8</v>
      </c>
      <c r="I469" s="56">
        <v>39.9</v>
      </c>
      <c r="J469" s="56">
        <v>49.9</v>
      </c>
      <c r="K469" s="56">
        <v>60.5</v>
      </c>
      <c r="L469" s="56">
        <v>64.099999999999994</v>
      </c>
      <c r="M469" s="56">
        <v>63.4</v>
      </c>
      <c r="N469" s="56">
        <v>55.2</v>
      </c>
      <c r="O469" s="56">
        <v>44</v>
      </c>
      <c r="P469" s="56">
        <v>34.6</v>
      </c>
      <c r="Q469" s="56">
        <v>24.9</v>
      </c>
      <c r="R469" s="57">
        <v>42.2</v>
      </c>
    </row>
    <row r="470" spans="2:18" ht="20.6" x14ac:dyDescent="0.4">
      <c r="B470" s="50"/>
      <c r="C470" s="51" t="s">
        <v>257</v>
      </c>
      <c r="D470" s="49" t="s">
        <v>256</v>
      </c>
      <c r="E470" s="49" t="str">
        <f>B469&amp;C470</f>
        <v>Detroit Metro_AP, MITAX</v>
      </c>
      <c r="F470" s="56">
        <v>31.9</v>
      </c>
      <c r="G470" s="56">
        <v>34.9</v>
      </c>
      <c r="H470" s="56">
        <v>45.4</v>
      </c>
      <c r="I470" s="56">
        <v>58.7</v>
      </c>
      <c r="J470" s="56">
        <v>69.099999999999994</v>
      </c>
      <c r="K470" s="56">
        <v>78.900000000000006</v>
      </c>
      <c r="L470" s="56">
        <v>82.3</v>
      </c>
      <c r="M470" s="56">
        <v>80.7</v>
      </c>
      <c r="N470" s="56">
        <v>73.7</v>
      </c>
      <c r="O470" s="56">
        <v>61.4</v>
      </c>
      <c r="P470" s="56">
        <v>48.1</v>
      </c>
      <c r="Q470" s="56">
        <v>36.1</v>
      </c>
      <c r="R470" s="57">
        <v>58.4</v>
      </c>
    </row>
    <row r="471" spans="2:18" ht="20.6" x14ac:dyDescent="0.4">
      <c r="B471" s="50"/>
      <c r="C471" s="51" t="s">
        <v>258</v>
      </c>
      <c r="D471" s="49" t="s">
        <v>259</v>
      </c>
      <c r="E471" s="49" t="str">
        <f>B469&amp;C471</f>
        <v>Detroit Metro_AP, MIV</v>
      </c>
      <c r="F471" s="56">
        <v>11</v>
      </c>
      <c r="G471" s="56">
        <v>10.3</v>
      </c>
      <c r="H471" s="56">
        <v>10.1</v>
      </c>
      <c r="I471" s="56">
        <v>10.3</v>
      </c>
      <c r="J471" s="56">
        <v>8.9</v>
      </c>
      <c r="K471" s="56">
        <v>8.1</v>
      </c>
      <c r="L471" s="56">
        <v>8.1</v>
      </c>
      <c r="M471" s="56">
        <v>7.2</v>
      </c>
      <c r="N471" s="56">
        <v>7.6</v>
      </c>
      <c r="O471" s="56">
        <v>9.1999999999999993</v>
      </c>
      <c r="P471" s="56">
        <v>10.1</v>
      </c>
      <c r="Q471" s="56">
        <v>10.3</v>
      </c>
      <c r="R471" s="57">
        <v>9.1999999999999993</v>
      </c>
    </row>
    <row r="472" spans="2:18" x14ac:dyDescent="0.4">
      <c r="B472" s="50"/>
      <c r="C472" s="51" t="s">
        <v>260</v>
      </c>
      <c r="D472" s="49" t="s">
        <v>261</v>
      </c>
      <c r="E472" s="49" t="str">
        <f>B469&amp;C472</f>
        <v>Detroit Metro_AP, MII</v>
      </c>
      <c r="F472" s="56">
        <v>479</v>
      </c>
      <c r="G472" s="56">
        <v>755</v>
      </c>
      <c r="H472" s="56">
        <v>1117</v>
      </c>
      <c r="I472" s="56">
        <v>1442</v>
      </c>
      <c r="J472" s="56">
        <v>1738</v>
      </c>
      <c r="K472" s="56">
        <v>1922</v>
      </c>
      <c r="L472" s="56">
        <v>1896</v>
      </c>
      <c r="M472" s="56">
        <v>1620</v>
      </c>
      <c r="N472" s="56">
        <v>1332</v>
      </c>
      <c r="O472" s="56">
        <v>861</v>
      </c>
      <c r="P472" s="56">
        <v>510</v>
      </c>
      <c r="Q472" s="56">
        <v>400</v>
      </c>
      <c r="R472" s="57">
        <v>1173</v>
      </c>
    </row>
    <row r="473" spans="2:18" ht="20.6" x14ac:dyDescent="0.4">
      <c r="B473" s="50"/>
      <c r="C473" s="51" t="s">
        <v>262</v>
      </c>
      <c r="D473" s="49" t="s">
        <v>263</v>
      </c>
      <c r="E473" s="49" t="str">
        <f>B469&amp;C473</f>
        <v>Detroit Metro_AP, MIPA</v>
      </c>
      <c r="F473" s="58" t="s">
        <v>506</v>
      </c>
      <c r="G473" s="58" t="s">
        <v>506</v>
      </c>
      <c r="H473" s="58" t="s">
        <v>506</v>
      </c>
      <c r="I473" s="58" t="s">
        <v>506</v>
      </c>
      <c r="J473" s="58" t="s">
        <v>506</v>
      </c>
      <c r="K473" s="58" t="s">
        <v>506</v>
      </c>
      <c r="L473" s="58" t="s">
        <v>506</v>
      </c>
      <c r="M473" s="58" t="s">
        <v>506</v>
      </c>
      <c r="N473" s="58" t="s">
        <v>506</v>
      </c>
      <c r="O473" s="58" t="s">
        <v>506</v>
      </c>
      <c r="P473" s="58" t="s">
        <v>506</v>
      </c>
      <c r="Q473" s="58" t="s">
        <v>506</v>
      </c>
      <c r="R473" s="57">
        <v>14.36</v>
      </c>
    </row>
    <row r="474" spans="2:18" x14ac:dyDescent="0.4">
      <c r="B474" s="48" t="s">
        <v>357</v>
      </c>
      <c r="C474" s="51" t="s">
        <v>255</v>
      </c>
      <c r="D474" s="49" t="s">
        <v>256</v>
      </c>
      <c r="E474" s="49" t="str">
        <f>B474&amp;C474</f>
        <v>Detroit - City, MITAN</v>
      </c>
      <c r="F474" s="56">
        <v>20.9</v>
      </c>
      <c r="G474" s="56">
        <v>22.5</v>
      </c>
      <c r="H474" s="56">
        <v>29.3</v>
      </c>
      <c r="I474" s="56">
        <v>40.1</v>
      </c>
      <c r="J474" s="56">
        <v>50.3</v>
      </c>
      <c r="K474" s="56">
        <v>61.1</v>
      </c>
      <c r="L474" s="56">
        <v>65.5</v>
      </c>
      <c r="M474" s="56">
        <v>64.599999999999994</v>
      </c>
      <c r="N474" s="56">
        <v>56.6</v>
      </c>
      <c r="O474" s="56">
        <v>45.4</v>
      </c>
      <c r="P474" s="56">
        <v>35.799999999999997</v>
      </c>
      <c r="Q474" s="56">
        <v>26.1</v>
      </c>
      <c r="R474" s="57">
        <v>43.2</v>
      </c>
    </row>
    <row r="475" spans="2:18" x14ac:dyDescent="0.4">
      <c r="B475" s="50"/>
      <c r="C475" s="51" t="s">
        <v>257</v>
      </c>
      <c r="D475" s="49" t="s">
        <v>256</v>
      </c>
      <c r="E475" s="49" t="str">
        <f>B474&amp;C475</f>
        <v>Detroit - City, MITAX</v>
      </c>
      <c r="F475" s="56">
        <v>32.299999999999997</v>
      </c>
      <c r="G475" s="56">
        <v>35.299999999999997</v>
      </c>
      <c r="H475" s="56">
        <v>45</v>
      </c>
      <c r="I475" s="56">
        <v>58.1</v>
      </c>
      <c r="J475" s="56">
        <v>68.900000000000006</v>
      </c>
      <c r="K475" s="56">
        <v>79</v>
      </c>
      <c r="L475" s="56">
        <v>82.8</v>
      </c>
      <c r="M475" s="56">
        <v>81</v>
      </c>
      <c r="N475" s="56">
        <v>73.8</v>
      </c>
      <c r="O475" s="56">
        <v>61.2</v>
      </c>
      <c r="P475" s="56">
        <v>48.1</v>
      </c>
      <c r="Q475" s="56">
        <v>36.5</v>
      </c>
      <c r="R475" s="57">
        <v>58.5</v>
      </c>
    </row>
    <row r="476" spans="2:18" x14ac:dyDescent="0.4">
      <c r="B476" s="50"/>
      <c r="C476" s="51" t="s">
        <v>258</v>
      </c>
      <c r="D476" s="49" t="s">
        <v>259</v>
      </c>
      <c r="E476" s="49" t="str">
        <f>B474&amp;C476</f>
        <v>Detroit - City, MIV</v>
      </c>
      <c r="F476" s="56">
        <v>10.1</v>
      </c>
      <c r="G476" s="56">
        <v>9.8000000000000007</v>
      </c>
      <c r="H476" s="56">
        <v>9.6</v>
      </c>
      <c r="I476" s="56">
        <v>9.8000000000000007</v>
      </c>
      <c r="J476" s="56">
        <v>8.6999999999999993</v>
      </c>
      <c r="K476" s="56">
        <v>7.6</v>
      </c>
      <c r="L476" s="56">
        <v>7.6</v>
      </c>
      <c r="M476" s="56">
        <v>6.9</v>
      </c>
      <c r="N476" s="56">
        <v>7.4</v>
      </c>
      <c r="O476" s="56">
        <v>8.5</v>
      </c>
      <c r="P476" s="56">
        <v>9.1999999999999993</v>
      </c>
      <c r="Q476" s="56">
        <v>9.6</v>
      </c>
      <c r="R476" s="57">
        <v>8.6999999999999993</v>
      </c>
    </row>
    <row r="477" spans="2:18" x14ac:dyDescent="0.4">
      <c r="B477" s="50"/>
      <c r="C477" s="51" t="s">
        <v>260</v>
      </c>
      <c r="D477" s="49" t="s">
        <v>261</v>
      </c>
      <c r="E477" s="49" t="str">
        <f>B474&amp;C477</f>
        <v>Detroit - City, MII</v>
      </c>
      <c r="F477" s="56">
        <v>469</v>
      </c>
      <c r="G477" s="56">
        <v>746</v>
      </c>
      <c r="H477" s="56">
        <v>1120</v>
      </c>
      <c r="I477" s="56">
        <v>1437</v>
      </c>
      <c r="J477" s="56">
        <v>1711</v>
      </c>
      <c r="K477" s="56">
        <v>1884</v>
      </c>
      <c r="L477" s="56">
        <v>1850</v>
      </c>
      <c r="M477" s="56">
        <v>1585</v>
      </c>
      <c r="N477" s="56">
        <v>1316</v>
      </c>
      <c r="O477" s="56">
        <v>870</v>
      </c>
      <c r="P477" s="56">
        <v>507</v>
      </c>
      <c r="Q477" s="56">
        <v>409</v>
      </c>
      <c r="R477" s="57">
        <v>1159</v>
      </c>
    </row>
    <row r="478" spans="2:18" x14ac:dyDescent="0.4">
      <c r="B478" s="50"/>
      <c r="C478" s="51" t="s">
        <v>262</v>
      </c>
      <c r="D478" s="49" t="s">
        <v>263</v>
      </c>
      <c r="E478" s="49" t="str">
        <f>B474&amp;C478</f>
        <v>Detroit - City, MIPA</v>
      </c>
      <c r="F478" s="58" t="s">
        <v>506</v>
      </c>
      <c r="G478" s="58" t="s">
        <v>506</v>
      </c>
      <c r="H478" s="58" t="s">
        <v>506</v>
      </c>
      <c r="I478" s="58" t="s">
        <v>506</v>
      </c>
      <c r="J478" s="58" t="s">
        <v>506</v>
      </c>
      <c r="K478" s="58" t="s">
        <v>506</v>
      </c>
      <c r="L478" s="58" t="s">
        <v>506</v>
      </c>
      <c r="M478" s="58" t="s">
        <v>506</v>
      </c>
      <c r="N478" s="58" t="s">
        <v>506</v>
      </c>
      <c r="O478" s="58" t="s">
        <v>506</v>
      </c>
      <c r="P478" s="58" t="s">
        <v>506</v>
      </c>
      <c r="Q478" s="58" t="s">
        <v>506</v>
      </c>
      <c r="R478" s="57">
        <v>14.36</v>
      </c>
    </row>
    <row r="479" spans="2:18" x14ac:dyDescent="0.4">
      <c r="B479" s="48" t="s">
        <v>358</v>
      </c>
      <c r="C479" s="51" t="s">
        <v>255</v>
      </c>
      <c r="D479" s="49" t="s">
        <v>256</v>
      </c>
      <c r="E479" s="49" t="str">
        <f>B479&amp;C479</f>
        <v>Flint, MITAN</v>
      </c>
      <c r="F479" s="56">
        <v>16.7</v>
      </c>
      <c r="G479" s="56">
        <v>18.2</v>
      </c>
      <c r="H479" s="56">
        <v>25.7</v>
      </c>
      <c r="I479" s="56">
        <v>36.6</v>
      </c>
      <c r="J479" s="56">
        <v>46.6</v>
      </c>
      <c r="K479" s="56">
        <v>56.9</v>
      </c>
      <c r="L479" s="56">
        <v>60</v>
      </c>
      <c r="M479" s="56">
        <v>59.1</v>
      </c>
      <c r="N479" s="56">
        <v>50.8</v>
      </c>
      <c r="O479" s="56">
        <v>40.799999999999997</v>
      </c>
      <c r="P479" s="56">
        <v>32</v>
      </c>
      <c r="Q479" s="56">
        <v>22.3</v>
      </c>
      <c r="R479" s="57">
        <v>38.799999999999997</v>
      </c>
    </row>
    <row r="480" spans="2:18" x14ac:dyDescent="0.4">
      <c r="B480" s="50"/>
      <c r="C480" s="51" t="s">
        <v>257</v>
      </c>
      <c r="D480" s="49" t="s">
        <v>256</v>
      </c>
      <c r="E480" s="49" t="str">
        <f>B479&amp;C480</f>
        <v>Flint, MITAX</v>
      </c>
      <c r="F480" s="56">
        <v>29.8</v>
      </c>
      <c r="G480" s="56">
        <v>33</v>
      </c>
      <c r="H480" s="56">
        <v>43.4</v>
      </c>
      <c r="I480" s="56">
        <v>57.1</v>
      </c>
      <c r="J480" s="56">
        <v>68.099999999999994</v>
      </c>
      <c r="K480" s="56">
        <v>77.900000000000006</v>
      </c>
      <c r="L480" s="56">
        <v>81.099999999999994</v>
      </c>
      <c r="M480" s="56">
        <v>79.400000000000006</v>
      </c>
      <c r="N480" s="56">
        <v>72.400000000000006</v>
      </c>
      <c r="O480" s="56">
        <v>59.7</v>
      </c>
      <c r="P480" s="56">
        <v>46.5</v>
      </c>
      <c r="Q480" s="56">
        <v>34.4</v>
      </c>
      <c r="R480" s="57">
        <v>56.9</v>
      </c>
    </row>
    <row r="481" spans="2:18" x14ac:dyDescent="0.4">
      <c r="B481" s="50"/>
      <c r="C481" s="51" t="s">
        <v>258</v>
      </c>
      <c r="D481" s="49" t="s">
        <v>259</v>
      </c>
      <c r="E481" s="49" t="str">
        <f>B479&amp;C481</f>
        <v>Flint, MIV</v>
      </c>
      <c r="F481" s="56">
        <v>10.3</v>
      </c>
      <c r="G481" s="56">
        <v>10.3</v>
      </c>
      <c r="H481" s="56">
        <v>10.3</v>
      </c>
      <c r="I481" s="56">
        <v>10.5</v>
      </c>
      <c r="J481" s="56">
        <v>9.1999999999999993</v>
      </c>
      <c r="K481" s="56">
        <v>7.6</v>
      </c>
      <c r="L481" s="56">
        <v>7.4</v>
      </c>
      <c r="M481" s="56">
        <v>6.9</v>
      </c>
      <c r="N481" s="56">
        <v>7.6</v>
      </c>
      <c r="O481" s="56">
        <v>8.9</v>
      </c>
      <c r="P481" s="56">
        <v>9.6</v>
      </c>
      <c r="Q481" s="56">
        <v>9.6</v>
      </c>
      <c r="R481" s="57">
        <v>8.9</v>
      </c>
    </row>
    <row r="482" spans="2:18" x14ac:dyDescent="0.4">
      <c r="B482" s="50"/>
      <c r="C482" s="51" t="s">
        <v>260</v>
      </c>
      <c r="D482" s="49" t="s">
        <v>261</v>
      </c>
      <c r="E482" s="49" t="str">
        <f>B479&amp;C482</f>
        <v>Flint, MII</v>
      </c>
      <c r="F482" s="56">
        <v>440</v>
      </c>
      <c r="G482" s="56">
        <v>713</v>
      </c>
      <c r="H482" s="56">
        <v>1104</v>
      </c>
      <c r="I482" s="56">
        <v>1474</v>
      </c>
      <c r="J482" s="56">
        <v>1747</v>
      </c>
      <c r="K482" s="56">
        <v>1947</v>
      </c>
      <c r="L482" s="56">
        <v>1921</v>
      </c>
      <c r="M482" s="56">
        <v>1635</v>
      </c>
      <c r="N482" s="56">
        <v>1309</v>
      </c>
      <c r="O482" s="56">
        <v>839</v>
      </c>
      <c r="P482" s="56">
        <v>491</v>
      </c>
      <c r="Q482" s="56">
        <v>394</v>
      </c>
      <c r="R482" s="57">
        <v>1168</v>
      </c>
    </row>
    <row r="483" spans="2:18" x14ac:dyDescent="0.4">
      <c r="B483" s="50"/>
      <c r="C483" s="51" t="s">
        <v>262</v>
      </c>
      <c r="D483" s="49" t="s">
        <v>263</v>
      </c>
      <c r="E483" s="49" t="str">
        <f>B479&amp;C483</f>
        <v>Flint, MIPA</v>
      </c>
      <c r="F483" s="58" t="s">
        <v>506</v>
      </c>
      <c r="G483" s="58" t="s">
        <v>506</v>
      </c>
      <c r="H483" s="58" t="s">
        <v>506</v>
      </c>
      <c r="I483" s="58" t="s">
        <v>506</v>
      </c>
      <c r="J483" s="58" t="s">
        <v>506</v>
      </c>
      <c r="K483" s="58" t="s">
        <v>506</v>
      </c>
      <c r="L483" s="58" t="s">
        <v>506</v>
      </c>
      <c r="M483" s="58" t="s">
        <v>506</v>
      </c>
      <c r="N483" s="58" t="s">
        <v>506</v>
      </c>
      <c r="O483" s="58" t="s">
        <v>506</v>
      </c>
      <c r="P483" s="58" t="s">
        <v>506</v>
      </c>
      <c r="Q483" s="58" t="s">
        <v>506</v>
      </c>
      <c r="R483" s="57">
        <v>14.29</v>
      </c>
    </row>
    <row r="484" spans="2:18" ht="20.6" x14ac:dyDescent="0.4">
      <c r="B484" s="48" t="s">
        <v>359</v>
      </c>
      <c r="C484" s="51" t="s">
        <v>255</v>
      </c>
      <c r="D484" s="49" t="s">
        <v>256</v>
      </c>
      <c r="E484" s="49" t="str">
        <f>B484&amp;C484</f>
        <v>Grand Rapids, MITAN</v>
      </c>
      <c r="F484" s="56">
        <v>18.2</v>
      </c>
      <c r="G484" s="56">
        <v>19.7</v>
      </c>
      <c r="H484" s="56">
        <v>26.7</v>
      </c>
      <c r="I484" s="56">
        <v>37.5</v>
      </c>
      <c r="J484" s="56">
        <v>47.8</v>
      </c>
      <c r="K484" s="56">
        <v>58</v>
      </c>
      <c r="L484" s="56">
        <v>61.7</v>
      </c>
      <c r="M484" s="56">
        <v>60.8</v>
      </c>
      <c r="N484" s="56">
        <v>52.4</v>
      </c>
      <c r="O484" s="56">
        <v>41.8</v>
      </c>
      <c r="P484" s="56">
        <v>32.6</v>
      </c>
      <c r="Q484" s="56">
        <v>23.7</v>
      </c>
      <c r="R484" s="57">
        <v>40.1</v>
      </c>
    </row>
    <row r="485" spans="2:18" ht="20.6" x14ac:dyDescent="0.4">
      <c r="B485" s="50"/>
      <c r="C485" s="51" t="s">
        <v>257</v>
      </c>
      <c r="D485" s="49" t="s">
        <v>256</v>
      </c>
      <c r="E485" s="49" t="str">
        <f>B484&amp;C485</f>
        <v>Grand Rapids, MITAX</v>
      </c>
      <c r="F485" s="56">
        <v>29.8</v>
      </c>
      <c r="G485" s="56">
        <v>32.799999999999997</v>
      </c>
      <c r="H485" s="56">
        <v>43.4</v>
      </c>
      <c r="I485" s="56">
        <v>57.2</v>
      </c>
      <c r="J485" s="56">
        <v>68.2</v>
      </c>
      <c r="K485" s="56">
        <v>77.900000000000006</v>
      </c>
      <c r="L485" s="56">
        <v>81.099999999999994</v>
      </c>
      <c r="M485" s="56">
        <v>79.400000000000006</v>
      </c>
      <c r="N485" s="56">
        <v>72.2</v>
      </c>
      <c r="O485" s="56">
        <v>59.5</v>
      </c>
      <c r="P485" s="56">
        <v>46.1</v>
      </c>
      <c r="Q485" s="56">
        <v>34.4</v>
      </c>
      <c r="R485" s="57">
        <v>56.8</v>
      </c>
    </row>
    <row r="486" spans="2:18" x14ac:dyDescent="0.4">
      <c r="B486" s="50"/>
      <c r="C486" s="51" t="s">
        <v>258</v>
      </c>
      <c r="D486" s="49" t="s">
        <v>259</v>
      </c>
      <c r="E486" s="49" t="str">
        <f>B484&amp;C486</f>
        <v>Grand Rapids, MIV</v>
      </c>
      <c r="F486" s="56">
        <v>11</v>
      </c>
      <c r="G486" s="56">
        <v>10.5</v>
      </c>
      <c r="H486" s="56">
        <v>10.5</v>
      </c>
      <c r="I486" s="56">
        <v>11</v>
      </c>
      <c r="J486" s="56">
        <v>9.8000000000000007</v>
      </c>
      <c r="K486" s="56">
        <v>8.3000000000000007</v>
      </c>
      <c r="L486" s="56">
        <v>8.1</v>
      </c>
      <c r="M486" s="56">
        <v>7.4</v>
      </c>
      <c r="N486" s="56">
        <v>7.8</v>
      </c>
      <c r="O486" s="56">
        <v>9.4</v>
      </c>
      <c r="P486" s="56">
        <v>10.1</v>
      </c>
      <c r="Q486" s="56">
        <v>10.3</v>
      </c>
      <c r="R486" s="57">
        <v>9.6</v>
      </c>
    </row>
    <row r="487" spans="2:18" x14ac:dyDescent="0.4">
      <c r="B487" s="50"/>
      <c r="C487" s="51" t="s">
        <v>260</v>
      </c>
      <c r="D487" s="49" t="s">
        <v>261</v>
      </c>
      <c r="E487" s="49" t="str">
        <f>B484&amp;C487</f>
        <v>Grand Rapids, MII</v>
      </c>
      <c r="F487" s="56">
        <v>405</v>
      </c>
      <c r="G487" s="56">
        <v>684</v>
      </c>
      <c r="H487" s="56">
        <v>1109</v>
      </c>
      <c r="I487" s="56">
        <v>1461</v>
      </c>
      <c r="J487" s="56">
        <v>1746</v>
      </c>
      <c r="K487" s="56">
        <v>1943</v>
      </c>
      <c r="L487" s="56">
        <v>1913</v>
      </c>
      <c r="M487" s="56">
        <v>1635</v>
      </c>
      <c r="N487" s="56">
        <v>1306</v>
      </c>
      <c r="O487" s="56">
        <v>819</v>
      </c>
      <c r="P487" s="56">
        <v>487</v>
      </c>
      <c r="Q487" s="56">
        <v>367</v>
      </c>
      <c r="R487" s="57">
        <v>1156</v>
      </c>
    </row>
    <row r="488" spans="2:18" x14ac:dyDescent="0.4">
      <c r="B488" s="50"/>
      <c r="C488" s="51" t="s">
        <v>262</v>
      </c>
      <c r="D488" s="49" t="s">
        <v>263</v>
      </c>
      <c r="E488" s="49" t="str">
        <f>B484&amp;C488</f>
        <v>Grand Rapids, MIPA</v>
      </c>
      <c r="F488" s="58" t="s">
        <v>506</v>
      </c>
      <c r="G488" s="58" t="s">
        <v>506</v>
      </c>
      <c r="H488" s="58" t="s">
        <v>506</v>
      </c>
      <c r="I488" s="58" t="s">
        <v>506</v>
      </c>
      <c r="J488" s="58" t="s">
        <v>506</v>
      </c>
      <c r="K488" s="58" t="s">
        <v>506</v>
      </c>
      <c r="L488" s="58" t="s">
        <v>506</v>
      </c>
      <c r="M488" s="58" t="s">
        <v>506</v>
      </c>
      <c r="N488" s="58" t="s">
        <v>506</v>
      </c>
      <c r="O488" s="58" t="s">
        <v>506</v>
      </c>
      <c r="P488" s="58" t="s">
        <v>506</v>
      </c>
      <c r="Q488" s="58" t="s">
        <v>506</v>
      </c>
      <c r="R488" s="57">
        <v>14.27</v>
      </c>
    </row>
    <row r="489" spans="2:18" ht="20.6" x14ac:dyDescent="0.4">
      <c r="B489" s="48" t="s">
        <v>360</v>
      </c>
      <c r="C489" s="51" t="s">
        <v>255</v>
      </c>
      <c r="D489" s="49" t="s">
        <v>256</v>
      </c>
      <c r="E489" s="49" t="str">
        <f>B489&amp;C489</f>
        <v>Houghton Lake, MITAN</v>
      </c>
      <c r="F489" s="56">
        <v>12.3</v>
      </c>
      <c r="G489" s="56">
        <v>12.3</v>
      </c>
      <c r="H489" s="56">
        <v>20.3</v>
      </c>
      <c r="I489" s="56">
        <v>32.1</v>
      </c>
      <c r="J489" s="56">
        <v>42.9</v>
      </c>
      <c r="K489" s="56">
        <v>52.2</v>
      </c>
      <c r="L489" s="56">
        <v>55.7</v>
      </c>
      <c r="M489" s="56">
        <v>54.2</v>
      </c>
      <c r="N489" s="56">
        <v>46.6</v>
      </c>
      <c r="O489" s="56">
        <v>37.700000000000003</v>
      </c>
      <c r="P489" s="56">
        <v>29</v>
      </c>
      <c r="Q489" s="56">
        <v>19.2</v>
      </c>
      <c r="R489" s="57">
        <v>34.5</v>
      </c>
    </row>
    <row r="490" spans="2:18" ht="20.6" x14ac:dyDescent="0.4">
      <c r="B490" s="50"/>
      <c r="C490" s="51" t="s">
        <v>257</v>
      </c>
      <c r="D490" s="49" t="s">
        <v>256</v>
      </c>
      <c r="E490" s="49" t="str">
        <f>B489&amp;C490</f>
        <v>Houghton Lake, MITAX</v>
      </c>
      <c r="F490" s="56">
        <v>26.1</v>
      </c>
      <c r="G490" s="56">
        <v>29.1</v>
      </c>
      <c r="H490" s="56">
        <v>39.700000000000003</v>
      </c>
      <c r="I490" s="56">
        <v>53.5</v>
      </c>
      <c r="J490" s="56">
        <v>65.5</v>
      </c>
      <c r="K490" s="56">
        <v>75.5</v>
      </c>
      <c r="L490" s="56">
        <v>78.599999999999994</v>
      </c>
      <c r="M490" s="56">
        <v>76.900000000000006</v>
      </c>
      <c r="N490" s="56">
        <v>69.099999999999994</v>
      </c>
      <c r="O490" s="56">
        <v>55.8</v>
      </c>
      <c r="P490" s="56">
        <v>42.3</v>
      </c>
      <c r="Q490" s="56">
        <v>31</v>
      </c>
      <c r="R490" s="57">
        <v>53.6</v>
      </c>
    </row>
    <row r="491" spans="2:18" x14ac:dyDescent="0.4">
      <c r="B491" s="50"/>
      <c r="C491" s="51" t="s">
        <v>258</v>
      </c>
      <c r="D491" s="49" t="s">
        <v>259</v>
      </c>
      <c r="E491" s="49" t="str">
        <f>B489&amp;C491</f>
        <v>Houghton Lake, MIV</v>
      </c>
      <c r="F491" s="56">
        <v>8.6999999999999993</v>
      </c>
      <c r="G491" s="56">
        <v>8.3000000000000007</v>
      </c>
      <c r="H491" s="56">
        <v>8.3000000000000007</v>
      </c>
      <c r="I491" s="56">
        <v>9.1999999999999993</v>
      </c>
      <c r="J491" s="56">
        <v>8.3000000000000007</v>
      </c>
      <c r="K491" s="56">
        <v>6.9</v>
      </c>
      <c r="L491" s="56">
        <v>6.7</v>
      </c>
      <c r="M491" s="56">
        <v>6.5</v>
      </c>
      <c r="N491" s="56">
        <v>6.9</v>
      </c>
      <c r="O491" s="56">
        <v>8.1</v>
      </c>
      <c r="P491" s="56">
        <v>8.6999999999999993</v>
      </c>
      <c r="Q491" s="56">
        <v>8.6999999999999993</v>
      </c>
      <c r="R491" s="57">
        <v>7.8</v>
      </c>
    </row>
    <row r="492" spans="2:18" x14ac:dyDescent="0.4">
      <c r="B492" s="50"/>
      <c r="C492" s="51" t="s">
        <v>260</v>
      </c>
      <c r="D492" s="49" t="s">
        <v>261</v>
      </c>
      <c r="E492" s="49" t="str">
        <f>B489&amp;C492</f>
        <v>Houghton Lake, MII</v>
      </c>
      <c r="F492" s="56">
        <v>401</v>
      </c>
      <c r="G492" s="56">
        <v>646</v>
      </c>
      <c r="H492" s="56">
        <v>1089</v>
      </c>
      <c r="I492" s="56">
        <v>1462</v>
      </c>
      <c r="J492" s="56">
        <v>1708</v>
      </c>
      <c r="K492" s="56">
        <v>1894</v>
      </c>
      <c r="L492" s="56">
        <v>1874</v>
      </c>
      <c r="M492" s="56">
        <v>1593</v>
      </c>
      <c r="N492" s="56">
        <v>1219</v>
      </c>
      <c r="O492" s="56">
        <v>763</v>
      </c>
      <c r="P492" s="56">
        <v>439</v>
      </c>
      <c r="Q492" s="56">
        <v>363</v>
      </c>
      <c r="R492" s="57">
        <v>1121</v>
      </c>
    </row>
    <row r="493" spans="2:18" ht="20.6" x14ac:dyDescent="0.4">
      <c r="B493" s="50"/>
      <c r="C493" s="51" t="s">
        <v>262</v>
      </c>
      <c r="D493" s="49" t="s">
        <v>263</v>
      </c>
      <c r="E493" s="49" t="str">
        <f>B489&amp;C493</f>
        <v>Houghton Lake, MIPA</v>
      </c>
      <c r="F493" s="58" t="s">
        <v>506</v>
      </c>
      <c r="G493" s="58" t="s">
        <v>506</v>
      </c>
      <c r="H493" s="58" t="s">
        <v>506</v>
      </c>
      <c r="I493" s="58" t="s">
        <v>506</v>
      </c>
      <c r="J493" s="58" t="s">
        <v>506</v>
      </c>
      <c r="K493" s="58" t="s">
        <v>506</v>
      </c>
      <c r="L493" s="58" t="s">
        <v>506</v>
      </c>
      <c r="M493" s="58" t="s">
        <v>506</v>
      </c>
      <c r="N493" s="58" t="s">
        <v>506</v>
      </c>
      <c r="O493" s="58" t="s">
        <v>506</v>
      </c>
      <c r="P493" s="58" t="s">
        <v>506</v>
      </c>
      <c r="Q493" s="58" t="s">
        <v>506</v>
      </c>
      <c r="R493" s="57">
        <v>14.1</v>
      </c>
    </row>
    <row r="494" spans="2:18" x14ac:dyDescent="0.4">
      <c r="B494" s="48" t="s">
        <v>361</v>
      </c>
      <c r="C494" s="51" t="s">
        <v>255</v>
      </c>
      <c r="D494" s="49" t="s">
        <v>256</v>
      </c>
      <c r="E494" s="49" t="str">
        <f>B494&amp;C494</f>
        <v>Lansing, MITAN</v>
      </c>
      <c r="F494" s="56">
        <v>16.5</v>
      </c>
      <c r="G494" s="56">
        <v>17.899999999999999</v>
      </c>
      <c r="H494" s="56">
        <v>25.4</v>
      </c>
      <c r="I494" s="56">
        <v>36.200000000000003</v>
      </c>
      <c r="J494" s="56">
        <v>46.2</v>
      </c>
      <c r="K494" s="56">
        <v>56.4</v>
      </c>
      <c r="L494" s="56">
        <v>59.5</v>
      </c>
      <c r="M494" s="56">
        <v>58.7</v>
      </c>
      <c r="N494" s="56">
        <v>50.3</v>
      </c>
      <c r="O494" s="56">
        <v>40.4</v>
      </c>
      <c r="P494" s="56">
        <v>31.7</v>
      </c>
      <c r="Q494" s="56">
        <v>22.1</v>
      </c>
      <c r="R494" s="57">
        <v>38.4</v>
      </c>
    </row>
    <row r="495" spans="2:18" x14ac:dyDescent="0.4">
      <c r="B495" s="50"/>
      <c r="C495" s="51" t="s">
        <v>257</v>
      </c>
      <c r="D495" s="49" t="s">
        <v>256</v>
      </c>
      <c r="E495" s="49" t="str">
        <f>B494&amp;C495</f>
        <v>Lansing, MITAX</v>
      </c>
      <c r="F495" s="56">
        <v>29.8</v>
      </c>
      <c r="G495" s="56">
        <v>32.9</v>
      </c>
      <c r="H495" s="56">
        <v>43.6</v>
      </c>
      <c r="I495" s="56">
        <v>57.3</v>
      </c>
      <c r="J495" s="56">
        <v>67.900000000000006</v>
      </c>
      <c r="K495" s="56">
        <v>77.7</v>
      </c>
      <c r="L495" s="56">
        <v>81</v>
      </c>
      <c r="M495" s="56">
        <v>79.2</v>
      </c>
      <c r="N495" s="56">
        <v>72.3</v>
      </c>
      <c r="O495" s="56">
        <v>59.6</v>
      </c>
      <c r="P495" s="56">
        <v>46.3</v>
      </c>
      <c r="Q495" s="56">
        <v>34.299999999999997</v>
      </c>
      <c r="R495" s="57">
        <v>56.8</v>
      </c>
    </row>
    <row r="496" spans="2:18" x14ac:dyDescent="0.4">
      <c r="B496" s="50"/>
      <c r="C496" s="51" t="s">
        <v>258</v>
      </c>
      <c r="D496" s="49" t="s">
        <v>259</v>
      </c>
      <c r="E496" s="49" t="str">
        <f>B494&amp;C496</f>
        <v>Lansing, MIV</v>
      </c>
      <c r="F496" s="56">
        <v>10.3</v>
      </c>
      <c r="G496" s="56">
        <v>10.1</v>
      </c>
      <c r="H496" s="56">
        <v>9.8000000000000007</v>
      </c>
      <c r="I496" s="56">
        <v>10.1</v>
      </c>
      <c r="J496" s="56">
        <v>8.9</v>
      </c>
      <c r="K496" s="56">
        <v>7.6</v>
      </c>
      <c r="L496" s="56">
        <v>7.4</v>
      </c>
      <c r="M496" s="56">
        <v>6.7</v>
      </c>
      <c r="N496" s="56">
        <v>7.2</v>
      </c>
      <c r="O496" s="56">
        <v>8.6999999999999993</v>
      </c>
      <c r="P496" s="56">
        <v>9.6</v>
      </c>
      <c r="Q496" s="56">
        <v>10.1</v>
      </c>
      <c r="R496" s="57">
        <v>8.9</v>
      </c>
    </row>
    <row r="497" spans="2:18" x14ac:dyDescent="0.4">
      <c r="B497" s="50"/>
      <c r="C497" s="51" t="s">
        <v>260</v>
      </c>
      <c r="D497" s="49" t="s">
        <v>261</v>
      </c>
      <c r="E497" s="49" t="str">
        <f>B494&amp;C497</f>
        <v>Lansing, MII</v>
      </c>
      <c r="F497" s="56">
        <v>459</v>
      </c>
      <c r="G497" s="56">
        <v>729</v>
      </c>
      <c r="H497" s="56">
        <v>1109</v>
      </c>
      <c r="I497" s="56">
        <v>1441</v>
      </c>
      <c r="J497" s="56">
        <v>1707</v>
      </c>
      <c r="K497" s="56">
        <v>1905</v>
      </c>
      <c r="L497" s="56">
        <v>1863</v>
      </c>
      <c r="M497" s="56">
        <v>1595</v>
      </c>
      <c r="N497" s="56">
        <v>1303</v>
      </c>
      <c r="O497" s="56">
        <v>833</v>
      </c>
      <c r="P497" s="56">
        <v>494</v>
      </c>
      <c r="Q497" s="56">
        <v>398</v>
      </c>
      <c r="R497" s="57">
        <v>1153</v>
      </c>
    </row>
    <row r="498" spans="2:18" x14ac:dyDescent="0.4">
      <c r="B498" s="50"/>
      <c r="C498" s="51" t="s">
        <v>262</v>
      </c>
      <c r="D498" s="49" t="s">
        <v>263</v>
      </c>
      <c r="E498" s="49" t="str">
        <f>B494&amp;C498</f>
        <v>Lansing, MIPA</v>
      </c>
      <c r="F498" s="58" t="s">
        <v>506</v>
      </c>
      <c r="G498" s="58" t="s">
        <v>506</v>
      </c>
      <c r="H498" s="58" t="s">
        <v>506</v>
      </c>
      <c r="I498" s="58" t="s">
        <v>506</v>
      </c>
      <c r="J498" s="58" t="s">
        <v>506</v>
      </c>
      <c r="K498" s="58" t="s">
        <v>506</v>
      </c>
      <c r="L498" s="58" t="s">
        <v>506</v>
      </c>
      <c r="M498" s="58" t="s">
        <v>506</v>
      </c>
      <c r="N498" s="58" t="s">
        <v>506</v>
      </c>
      <c r="O498" s="58" t="s">
        <v>506</v>
      </c>
      <c r="P498" s="58" t="s">
        <v>506</v>
      </c>
      <c r="Q498" s="58" t="s">
        <v>506</v>
      </c>
      <c r="R498" s="57">
        <v>14.26</v>
      </c>
    </row>
    <row r="499" spans="2:18" x14ac:dyDescent="0.4">
      <c r="B499" s="48" t="s">
        <v>362</v>
      </c>
      <c r="C499" s="51" t="s">
        <v>255</v>
      </c>
      <c r="D499" s="49" t="s">
        <v>256</v>
      </c>
      <c r="E499" s="49" t="str">
        <f>B499&amp;C499</f>
        <v>Muskegon, MITAN</v>
      </c>
      <c r="F499" s="56">
        <v>20.2</v>
      </c>
      <c r="G499" s="56">
        <v>20.8</v>
      </c>
      <c r="H499" s="56">
        <v>26.7</v>
      </c>
      <c r="I499" s="56">
        <v>37</v>
      </c>
      <c r="J499" s="56">
        <v>46.7</v>
      </c>
      <c r="K499" s="56">
        <v>56.7</v>
      </c>
      <c r="L499" s="56">
        <v>61.3</v>
      </c>
      <c r="M499" s="56">
        <v>60.8</v>
      </c>
      <c r="N499" s="56">
        <v>52.4</v>
      </c>
      <c r="O499" s="56">
        <v>42.6</v>
      </c>
      <c r="P499" s="56">
        <v>33.700000000000003</v>
      </c>
      <c r="Q499" s="56">
        <v>25.2</v>
      </c>
      <c r="R499" s="57">
        <v>40.299999999999997</v>
      </c>
    </row>
    <row r="500" spans="2:18" x14ac:dyDescent="0.4">
      <c r="B500" s="50"/>
      <c r="C500" s="51" t="s">
        <v>257</v>
      </c>
      <c r="D500" s="49" t="s">
        <v>256</v>
      </c>
      <c r="E500" s="49" t="str">
        <f>B499&amp;C500</f>
        <v>Muskegon, MITAX</v>
      </c>
      <c r="F500" s="56">
        <v>30.6</v>
      </c>
      <c r="G500" s="56">
        <v>33.1</v>
      </c>
      <c r="H500" s="56">
        <v>42.5</v>
      </c>
      <c r="I500" s="56">
        <v>55.2</v>
      </c>
      <c r="J500" s="56">
        <v>65.900000000000006</v>
      </c>
      <c r="K500" s="56">
        <v>75.3</v>
      </c>
      <c r="L500" s="56">
        <v>78.900000000000006</v>
      </c>
      <c r="M500" s="56">
        <v>77.900000000000006</v>
      </c>
      <c r="N500" s="56">
        <v>70.900000000000006</v>
      </c>
      <c r="O500" s="56">
        <v>58.5</v>
      </c>
      <c r="P500" s="56">
        <v>45.9</v>
      </c>
      <c r="Q500" s="56">
        <v>35.200000000000003</v>
      </c>
      <c r="R500" s="57">
        <v>55.8</v>
      </c>
    </row>
    <row r="501" spans="2:18" x14ac:dyDescent="0.4">
      <c r="B501" s="50"/>
      <c r="C501" s="51" t="s">
        <v>258</v>
      </c>
      <c r="D501" s="49" t="s">
        <v>259</v>
      </c>
      <c r="E501" s="49" t="str">
        <f>B499&amp;C501</f>
        <v>Muskegon, MIV</v>
      </c>
      <c r="F501" s="56">
        <v>11.2</v>
      </c>
      <c r="G501" s="56">
        <v>10.7</v>
      </c>
      <c r="H501" s="56">
        <v>10.3</v>
      </c>
      <c r="I501" s="56">
        <v>10.7</v>
      </c>
      <c r="J501" s="56">
        <v>9.4</v>
      </c>
      <c r="K501" s="56">
        <v>8.3000000000000007</v>
      </c>
      <c r="L501" s="56">
        <v>8.1</v>
      </c>
      <c r="M501" s="56">
        <v>7.8</v>
      </c>
      <c r="N501" s="56">
        <v>8.3000000000000007</v>
      </c>
      <c r="O501" s="56">
        <v>9.8000000000000007</v>
      </c>
      <c r="P501" s="56">
        <v>11</v>
      </c>
      <c r="Q501" s="56">
        <v>11</v>
      </c>
      <c r="R501" s="57">
        <v>9.6</v>
      </c>
    </row>
    <row r="502" spans="2:18" x14ac:dyDescent="0.4">
      <c r="B502" s="50"/>
      <c r="C502" s="51" t="s">
        <v>260</v>
      </c>
      <c r="D502" s="49" t="s">
        <v>261</v>
      </c>
      <c r="E502" s="49" t="str">
        <f>B499&amp;C502</f>
        <v>Muskegon, MII</v>
      </c>
      <c r="F502" s="56">
        <v>391</v>
      </c>
      <c r="G502" s="56">
        <v>659</v>
      </c>
      <c r="H502" s="56">
        <v>1102</v>
      </c>
      <c r="I502" s="56">
        <v>1479</v>
      </c>
      <c r="J502" s="56">
        <v>1775</v>
      </c>
      <c r="K502" s="56">
        <v>1986</v>
      </c>
      <c r="L502" s="56">
        <v>1962</v>
      </c>
      <c r="M502" s="56">
        <v>1671</v>
      </c>
      <c r="N502" s="56">
        <v>1290</v>
      </c>
      <c r="O502" s="56">
        <v>809</v>
      </c>
      <c r="P502" s="56">
        <v>451</v>
      </c>
      <c r="Q502" s="56">
        <v>339</v>
      </c>
      <c r="R502" s="57">
        <v>1160</v>
      </c>
    </row>
    <row r="503" spans="2:18" x14ac:dyDescent="0.4">
      <c r="B503" s="50"/>
      <c r="C503" s="51" t="s">
        <v>262</v>
      </c>
      <c r="D503" s="49" t="s">
        <v>263</v>
      </c>
      <c r="E503" s="49" t="str">
        <f>B499&amp;C503</f>
        <v>Muskegon, MIPA</v>
      </c>
      <c r="F503" s="58" t="s">
        <v>506</v>
      </c>
      <c r="G503" s="58" t="s">
        <v>506</v>
      </c>
      <c r="H503" s="58" t="s">
        <v>506</v>
      </c>
      <c r="I503" s="58" t="s">
        <v>506</v>
      </c>
      <c r="J503" s="58" t="s">
        <v>506</v>
      </c>
      <c r="K503" s="58" t="s">
        <v>506</v>
      </c>
      <c r="L503" s="58" t="s">
        <v>506</v>
      </c>
      <c r="M503" s="58" t="s">
        <v>506</v>
      </c>
      <c r="N503" s="58" t="s">
        <v>506</v>
      </c>
      <c r="O503" s="58" t="s">
        <v>506</v>
      </c>
      <c r="P503" s="58" t="s">
        <v>506</v>
      </c>
      <c r="Q503" s="58" t="s">
        <v>506</v>
      </c>
      <c r="R503" s="57">
        <v>14.36</v>
      </c>
    </row>
    <row r="504" spans="2:18" ht="20.6" x14ac:dyDescent="0.4">
      <c r="B504" s="48" t="s">
        <v>363</v>
      </c>
      <c r="C504" s="51" t="s">
        <v>255</v>
      </c>
      <c r="D504" s="49" t="s">
        <v>256</v>
      </c>
      <c r="E504" s="49" t="str">
        <f>B504&amp;C504</f>
        <v>Sault Ste Marie, MITAN</v>
      </c>
      <c r="F504" s="56">
        <v>8.1</v>
      </c>
      <c r="G504" s="56">
        <v>9.5</v>
      </c>
      <c r="H504" s="56">
        <v>18.2</v>
      </c>
      <c r="I504" s="56">
        <v>30.9</v>
      </c>
      <c r="J504" s="56">
        <v>40.9</v>
      </c>
      <c r="K504" s="56">
        <v>49.8</v>
      </c>
      <c r="L504" s="56">
        <v>54.8</v>
      </c>
      <c r="M504" s="56">
        <v>55</v>
      </c>
      <c r="N504" s="56">
        <v>48.4</v>
      </c>
      <c r="O504" s="56">
        <v>38.299999999999997</v>
      </c>
      <c r="P504" s="56">
        <v>28.5</v>
      </c>
      <c r="Q504" s="56">
        <v>17</v>
      </c>
      <c r="R504" s="57">
        <v>33.299999999999997</v>
      </c>
    </row>
    <row r="505" spans="2:18" ht="20.6" x14ac:dyDescent="0.4">
      <c r="B505" s="50"/>
      <c r="C505" s="51" t="s">
        <v>257</v>
      </c>
      <c r="D505" s="49" t="s">
        <v>256</v>
      </c>
      <c r="E505" s="49" t="str">
        <f>B504&amp;C505</f>
        <v>Sault Ste Marie, MITAX</v>
      </c>
      <c r="F505" s="56">
        <v>22.2</v>
      </c>
      <c r="G505" s="56">
        <v>25.2</v>
      </c>
      <c r="H505" s="56">
        <v>34.200000000000003</v>
      </c>
      <c r="I505" s="56">
        <v>47.8</v>
      </c>
      <c r="J505" s="56">
        <v>61.1</v>
      </c>
      <c r="K505" s="56">
        <v>70.8</v>
      </c>
      <c r="L505" s="56">
        <v>74.2</v>
      </c>
      <c r="M505" s="56">
        <v>73.8</v>
      </c>
      <c r="N505" s="56">
        <v>65.8</v>
      </c>
      <c r="O505" s="56">
        <v>52.4</v>
      </c>
      <c r="P505" s="56">
        <v>39.6</v>
      </c>
      <c r="Q505" s="56">
        <v>29</v>
      </c>
      <c r="R505" s="57">
        <v>49.7</v>
      </c>
    </row>
    <row r="506" spans="2:18" x14ac:dyDescent="0.4">
      <c r="B506" s="50"/>
      <c r="C506" s="51" t="s">
        <v>258</v>
      </c>
      <c r="D506" s="49" t="s">
        <v>259</v>
      </c>
      <c r="E506" s="49" t="str">
        <f>B504&amp;C506</f>
        <v>Sault Ste Marie, MIV</v>
      </c>
      <c r="F506" s="56">
        <v>7.8</v>
      </c>
      <c r="G506" s="56">
        <v>7.8</v>
      </c>
      <c r="H506" s="56">
        <v>8.1</v>
      </c>
      <c r="I506" s="56">
        <v>8.6999999999999993</v>
      </c>
      <c r="J506" s="56">
        <v>8.5</v>
      </c>
      <c r="K506" s="56">
        <v>7.2</v>
      </c>
      <c r="L506" s="56">
        <v>6.9</v>
      </c>
      <c r="M506" s="56">
        <v>6.7</v>
      </c>
      <c r="N506" s="56">
        <v>7.2</v>
      </c>
      <c r="O506" s="56">
        <v>7.8</v>
      </c>
      <c r="P506" s="56">
        <v>8.5</v>
      </c>
      <c r="Q506" s="56">
        <v>8.1</v>
      </c>
      <c r="R506" s="57">
        <v>7.8</v>
      </c>
    </row>
    <row r="507" spans="2:18" x14ac:dyDescent="0.4">
      <c r="B507" s="50"/>
      <c r="C507" s="51" t="s">
        <v>260</v>
      </c>
      <c r="D507" s="49" t="s">
        <v>261</v>
      </c>
      <c r="E507" s="49" t="str">
        <f>B504&amp;C507</f>
        <v>Sault Ste Marie, MII</v>
      </c>
      <c r="F507" s="56">
        <v>357</v>
      </c>
      <c r="G507" s="56">
        <v>617</v>
      </c>
      <c r="H507" s="56">
        <v>1042</v>
      </c>
      <c r="I507" s="56">
        <v>1473</v>
      </c>
      <c r="J507" s="56">
        <v>1794</v>
      </c>
      <c r="K507" s="56">
        <v>1962</v>
      </c>
      <c r="L507" s="56">
        <v>1837</v>
      </c>
      <c r="M507" s="56">
        <v>1611</v>
      </c>
      <c r="N507" s="56">
        <v>1128</v>
      </c>
      <c r="O507" s="56">
        <v>677</v>
      </c>
      <c r="P507" s="56">
        <v>378</v>
      </c>
      <c r="Q507" s="56">
        <v>291</v>
      </c>
      <c r="R507" s="57">
        <v>1097</v>
      </c>
    </row>
    <row r="508" spans="2:18" ht="20.6" x14ac:dyDescent="0.4">
      <c r="B508" s="50"/>
      <c r="C508" s="51" t="s">
        <v>262</v>
      </c>
      <c r="D508" s="49" t="s">
        <v>263</v>
      </c>
      <c r="E508" s="49" t="str">
        <f>B504&amp;C508</f>
        <v>Sault Ste Marie, MIPA</v>
      </c>
      <c r="F508" s="58" t="s">
        <v>506</v>
      </c>
      <c r="G508" s="58" t="s">
        <v>506</v>
      </c>
      <c r="H508" s="58" t="s">
        <v>506</v>
      </c>
      <c r="I508" s="58" t="s">
        <v>506</v>
      </c>
      <c r="J508" s="58" t="s">
        <v>506</v>
      </c>
      <c r="K508" s="58" t="s">
        <v>506</v>
      </c>
      <c r="L508" s="58" t="s">
        <v>506</v>
      </c>
      <c r="M508" s="58" t="s">
        <v>506</v>
      </c>
      <c r="N508" s="58" t="s">
        <v>506</v>
      </c>
      <c r="O508" s="58" t="s">
        <v>506</v>
      </c>
      <c r="P508" s="58" t="s">
        <v>506</v>
      </c>
      <c r="Q508" s="58" t="s">
        <v>506</v>
      </c>
      <c r="R508" s="57">
        <v>14.32</v>
      </c>
    </row>
    <row r="509" spans="2:18" x14ac:dyDescent="0.4">
      <c r="B509" s="48" t="s">
        <v>364</v>
      </c>
      <c r="C509" s="51" t="s">
        <v>255</v>
      </c>
      <c r="D509" s="49" t="s">
        <v>256</v>
      </c>
      <c r="E509" s="49" t="str">
        <f>B509&amp;C509</f>
        <v>Traverse City, MITAN</v>
      </c>
      <c r="F509" s="56">
        <v>17</v>
      </c>
      <c r="G509" s="56">
        <v>16.5</v>
      </c>
      <c r="H509" s="56">
        <v>23.3</v>
      </c>
      <c r="I509" s="56">
        <v>33.299999999999997</v>
      </c>
      <c r="J509" s="56">
        <v>43.2</v>
      </c>
      <c r="K509" s="56">
        <v>54.2</v>
      </c>
      <c r="L509" s="56">
        <v>58.7</v>
      </c>
      <c r="M509" s="56">
        <v>58.2</v>
      </c>
      <c r="N509" s="56">
        <v>51</v>
      </c>
      <c r="O509" s="56">
        <v>40.9</v>
      </c>
      <c r="P509" s="56">
        <v>31.7</v>
      </c>
      <c r="Q509" s="56">
        <v>22.8</v>
      </c>
      <c r="R509" s="57">
        <v>37.6</v>
      </c>
    </row>
    <row r="510" spans="2:18" x14ac:dyDescent="0.4">
      <c r="B510" s="50"/>
      <c r="C510" s="51" t="s">
        <v>257</v>
      </c>
      <c r="D510" s="49" t="s">
        <v>256</v>
      </c>
      <c r="E510" s="49" t="str">
        <f>B509&amp;C510</f>
        <v>Traverse City, MITAX</v>
      </c>
      <c r="F510" s="56">
        <v>28.3</v>
      </c>
      <c r="G510" s="56">
        <v>30.6</v>
      </c>
      <c r="H510" s="56">
        <v>40.299999999999997</v>
      </c>
      <c r="I510" s="56">
        <v>53.7</v>
      </c>
      <c r="J510" s="56">
        <v>65.599999999999994</v>
      </c>
      <c r="K510" s="56">
        <v>75.900000000000006</v>
      </c>
      <c r="L510" s="56">
        <v>79.400000000000006</v>
      </c>
      <c r="M510" s="56">
        <v>78</v>
      </c>
      <c r="N510" s="56">
        <v>70.400000000000006</v>
      </c>
      <c r="O510" s="56">
        <v>57.5</v>
      </c>
      <c r="P510" s="56">
        <v>44.3</v>
      </c>
      <c r="Q510" s="56">
        <v>33.4</v>
      </c>
      <c r="R510" s="57">
        <v>54.8</v>
      </c>
    </row>
    <row r="511" spans="2:18" x14ac:dyDescent="0.4">
      <c r="B511" s="50"/>
      <c r="C511" s="51" t="s">
        <v>258</v>
      </c>
      <c r="D511" s="49" t="s">
        <v>259</v>
      </c>
      <c r="E511" s="49" t="str">
        <f>B509&amp;C511</f>
        <v>Traverse City, MIV</v>
      </c>
      <c r="F511" s="56">
        <v>8.3000000000000007</v>
      </c>
      <c r="G511" s="56">
        <v>8.3000000000000007</v>
      </c>
      <c r="H511" s="56">
        <v>7.6</v>
      </c>
      <c r="I511" s="56">
        <v>8.1</v>
      </c>
      <c r="J511" s="56">
        <v>6.9</v>
      </c>
      <c r="K511" s="56">
        <v>6.3</v>
      </c>
      <c r="L511" s="56">
        <v>6.5</v>
      </c>
      <c r="M511" s="56">
        <v>6</v>
      </c>
      <c r="N511" s="56">
        <v>6.5</v>
      </c>
      <c r="O511" s="56">
        <v>7.6</v>
      </c>
      <c r="P511" s="56">
        <v>8.1</v>
      </c>
      <c r="Q511" s="56">
        <v>7.8</v>
      </c>
      <c r="R511" s="57">
        <v>7.4</v>
      </c>
    </row>
    <row r="512" spans="2:18" x14ac:dyDescent="0.4">
      <c r="B512" s="50"/>
      <c r="C512" s="51" t="s">
        <v>260</v>
      </c>
      <c r="D512" s="49" t="s">
        <v>261</v>
      </c>
      <c r="E512" s="49" t="str">
        <f>B509&amp;C512</f>
        <v>Traverse City, MII</v>
      </c>
      <c r="F512" s="56">
        <v>403</v>
      </c>
      <c r="G512" s="56">
        <v>648</v>
      </c>
      <c r="H512" s="56">
        <v>1101</v>
      </c>
      <c r="I512" s="56">
        <v>1462</v>
      </c>
      <c r="J512" s="56">
        <v>1756</v>
      </c>
      <c r="K512" s="56">
        <v>1921</v>
      </c>
      <c r="L512" s="56">
        <v>1874</v>
      </c>
      <c r="M512" s="56">
        <v>1619</v>
      </c>
      <c r="N512" s="56">
        <v>1210</v>
      </c>
      <c r="O512" s="56">
        <v>725</v>
      </c>
      <c r="P512" s="56">
        <v>405</v>
      </c>
      <c r="Q512" s="56">
        <v>339</v>
      </c>
      <c r="R512" s="57">
        <v>1122</v>
      </c>
    </row>
    <row r="513" spans="2:18" x14ac:dyDescent="0.4">
      <c r="B513" s="50"/>
      <c r="C513" s="51" t="s">
        <v>262</v>
      </c>
      <c r="D513" s="49" t="s">
        <v>263</v>
      </c>
      <c r="E513" s="49" t="str">
        <f>B509&amp;C513</f>
        <v>Traverse City, MIPA</v>
      </c>
      <c r="F513" s="58" t="s">
        <v>506</v>
      </c>
      <c r="G513" s="58" t="s">
        <v>506</v>
      </c>
      <c r="H513" s="58" t="s">
        <v>506</v>
      </c>
      <c r="I513" s="58" t="s">
        <v>506</v>
      </c>
      <c r="J513" s="58" t="s">
        <v>506</v>
      </c>
      <c r="K513" s="58" t="s">
        <v>506</v>
      </c>
      <c r="L513" s="58" t="s">
        <v>506</v>
      </c>
      <c r="M513" s="58" t="s">
        <v>506</v>
      </c>
      <c r="N513" s="58" t="s">
        <v>506</v>
      </c>
      <c r="O513" s="58" t="s">
        <v>506</v>
      </c>
      <c r="P513" s="58" t="s">
        <v>506</v>
      </c>
      <c r="Q513" s="58" t="s">
        <v>506</v>
      </c>
      <c r="R513" s="57">
        <v>14.37</v>
      </c>
    </row>
    <row r="514" spans="2:18" x14ac:dyDescent="0.4">
      <c r="B514" s="48" t="s">
        <v>365</v>
      </c>
      <c r="C514" s="51" t="s">
        <v>255</v>
      </c>
      <c r="D514" s="49" t="s">
        <v>256</v>
      </c>
      <c r="E514" s="49" t="str">
        <f>B514&amp;C514</f>
        <v>Duluth, MNTAN</v>
      </c>
      <c r="F514" s="56">
        <v>2.6</v>
      </c>
      <c r="G514" s="56">
        <v>7.1</v>
      </c>
      <c r="H514" s="56">
        <v>18.2</v>
      </c>
      <c r="I514" s="56">
        <v>30.7</v>
      </c>
      <c r="J514" s="56">
        <v>41.4</v>
      </c>
      <c r="K514" s="56">
        <v>50.6</v>
      </c>
      <c r="L514" s="56">
        <v>55.9</v>
      </c>
      <c r="M514" s="56">
        <v>55.4</v>
      </c>
      <c r="N514" s="56">
        <v>47.2</v>
      </c>
      <c r="O514" s="56">
        <v>35.700000000000003</v>
      </c>
      <c r="P514" s="56">
        <v>23</v>
      </c>
      <c r="Q514" s="56">
        <v>9.4</v>
      </c>
      <c r="R514" s="57">
        <v>31.4</v>
      </c>
    </row>
    <row r="515" spans="2:18" x14ac:dyDescent="0.4">
      <c r="B515" s="50"/>
      <c r="C515" s="51" t="s">
        <v>257</v>
      </c>
      <c r="D515" s="49" t="s">
        <v>256</v>
      </c>
      <c r="E515" s="49" t="str">
        <f>B514&amp;C515</f>
        <v>Duluth, MNTAX</v>
      </c>
      <c r="F515" s="56">
        <v>18.5</v>
      </c>
      <c r="G515" s="56">
        <v>23.9</v>
      </c>
      <c r="H515" s="56">
        <v>34.299999999999997</v>
      </c>
      <c r="I515" s="56">
        <v>48</v>
      </c>
      <c r="J515" s="56">
        <v>61</v>
      </c>
      <c r="K515" s="56">
        <v>69.8</v>
      </c>
      <c r="L515" s="56">
        <v>74.7</v>
      </c>
      <c r="M515" s="56">
        <v>73.599999999999994</v>
      </c>
      <c r="N515" s="56">
        <v>64.7</v>
      </c>
      <c r="O515" s="56">
        <v>51</v>
      </c>
      <c r="P515" s="56">
        <v>35.6</v>
      </c>
      <c r="Q515" s="56">
        <v>23</v>
      </c>
      <c r="R515" s="57">
        <v>48.2</v>
      </c>
    </row>
    <row r="516" spans="2:18" x14ac:dyDescent="0.4">
      <c r="B516" s="50"/>
      <c r="C516" s="51" t="s">
        <v>258</v>
      </c>
      <c r="D516" s="49" t="s">
        <v>259</v>
      </c>
      <c r="E516" s="49" t="str">
        <f>B514&amp;C516</f>
        <v>Duluth, MNV</v>
      </c>
      <c r="F516" s="56">
        <v>10.5</v>
      </c>
      <c r="G516" s="56">
        <v>10.3</v>
      </c>
      <c r="H516" s="56">
        <v>10.5</v>
      </c>
      <c r="I516" s="56">
        <v>11</v>
      </c>
      <c r="J516" s="56">
        <v>10.7</v>
      </c>
      <c r="K516" s="56">
        <v>9.4</v>
      </c>
      <c r="L516" s="56">
        <v>8.6999999999999993</v>
      </c>
      <c r="M516" s="56">
        <v>8.6999999999999993</v>
      </c>
      <c r="N516" s="56">
        <v>9.6</v>
      </c>
      <c r="O516" s="56">
        <v>10.5</v>
      </c>
      <c r="P516" s="56">
        <v>10.7</v>
      </c>
      <c r="Q516" s="56">
        <v>10.3</v>
      </c>
      <c r="R516" s="57">
        <v>10.1</v>
      </c>
    </row>
    <row r="517" spans="2:18" x14ac:dyDescent="0.4">
      <c r="B517" s="50"/>
      <c r="C517" s="51" t="s">
        <v>260</v>
      </c>
      <c r="D517" s="49" t="s">
        <v>261</v>
      </c>
      <c r="E517" s="49" t="str">
        <f>B514&amp;C517</f>
        <v>Duluth, MNI</v>
      </c>
      <c r="F517" s="56">
        <v>461</v>
      </c>
      <c r="G517" s="56">
        <v>707</v>
      </c>
      <c r="H517" s="56">
        <v>1083</v>
      </c>
      <c r="I517" s="56">
        <v>1499</v>
      </c>
      <c r="J517" s="56">
        <v>1770</v>
      </c>
      <c r="K517" s="56">
        <v>1844</v>
      </c>
      <c r="L517" s="56">
        <v>1899</v>
      </c>
      <c r="M517" s="56">
        <v>1627</v>
      </c>
      <c r="N517" s="56">
        <v>1179</v>
      </c>
      <c r="O517" s="56">
        <v>724</v>
      </c>
      <c r="P517" s="56">
        <v>441</v>
      </c>
      <c r="Q517" s="56">
        <v>365</v>
      </c>
      <c r="R517" s="57">
        <v>1133</v>
      </c>
    </row>
    <row r="518" spans="2:18" x14ac:dyDescent="0.4">
      <c r="B518" s="50"/>
      <c r="C518" s="51" t="s">
        <v>262</v>
      </c>
      <c r="D518" s="49" t="s">
        <v>263</v>
      </c>
      <c r="E518" s="49" t="str">
        <f>B514&amp;C518</f>
        <v>Duluth, MNPA</v>
      </c>
      <c r="F518" s="58" t="s">
        <v>506</v>
      </c>
      <c r="G518" s="58" t="s">
        <v>506</v>
      </c>
      <c r="H518" s="58" t="s">
        <v>506</v>
      </c>
      <c r="I518" s="58" t="s">
        <v>506</v>
      </c>
      <c r="J518" s="58" t="s">
        <v>506</v>
      </c>
      <c r="K518" s="58" t="s">
        <v>506</v>
      </c>
      <c r="L518" s="58" t="s">
        <v>506</v>
      </c>
      <c r="M518" s="58" t="s">
        <v>506</v>
      </c>
      <c r="N518" s="58" t="s">
        <v>506</v>
      </c>
      <c r="O518" s="58" t="s">
        <v>506</v>
      </c>
      <c r="P518" s="58" t="s">
        <v>506</v>
      </c>
      <c r="Q518" s="58" t="s">
        <v>506</v>
      </c>
      <c r="R518" s="57">
        <v>13.95</v>
      </c>
    </row>
    <row r="519" spans="2:18" ht="20.6" x14ac:dyDescent="0.4">
      <c r="B519" s="48" t="s">
        <v>366</v>
      </c>
      <c r="C519" s="51" t="s">
        <v>255</v>
      </c>
      <c r="D519" s="49" t="s">
        <v>256</v>
      </c>
      <c r="E519" s="49" t="str">
        <f>B519&amp;C519</f>
        <v>International Falls, MNTAN</v>
      </c>
      <c r="F519" s="56">
        <v>-4.5</v>
      </c>
      <c r="G519" s="56">
        <v>0.3</v>
      </c>
      <c r="H519" s="56">
        <v>13.7</v>
      </c>
      <c r="I519" s="56">
        <v>28.4</v>
      </c>
      <c r="J519" s="56">
        <v>39.799999999999997</v>
      </c>
      <c r="K519" s="56">
        <v>50</v>
      </c>
      <c r="L519" s="56">
        <v>53.4</v>
      </c>
      <c r="M519" s="56">
        <v>51.8</v>
      </c>
      <c r="N519" s="56">
        <v>43.2</v>
      </c>
      <c r="O519" s="56">
        <v>32.5</v>
      </c>
      <c r="P519" s="56">
        <v>19.399999999999999</v>
      </c>
      <c r="Q519" s="56">
        <v>3.7</v>
      </c>
      <c r="R519" s="57">
        <v>27.6</v>
      </c>
    </row>
    <row r="520" spans="2:18" ht="20.6" x14ac:dyDescent="0.4">
      <c r="B520" s="50"/>
      <c r="C520" s="51" t="s">
        <v>257</v>
      </c>
      <c r="D520" s="49" t="s">
        <v>256</v>
      </c>
      <c r="E520" s="49" t="str">
        <f>B519&amp;C520</f>
        <v>International Falls, MNTAX</v>
      </c>
      <c r="F520" s="56">
        <v>15</v>
      </c>
      <c r="G520" s="56">
        <v>21.9</v>
      </c>
      <c r="H520" s="56">
        <v>34.5</v>
      </c>
      <c r="I520" s="56">
        <v>50.4</v>
      </c>
      <c r="J520" s="56">
        <v>63.3</v>
      </c>
      <c r="K520" s="56">
        <v>72.400000000000006</v>
      </c>
      <c r="L520" s="56">
        <v>76.2</v>
      </c>
      <c r="M520" s="56">
        <v>75</v>
      </c>
      <c r="N520" s="56">
        <v>65.400000000000006</v>
      </c>
      <c r="O520" s="56">
        <v>50.6</v>
      </c>
      <c r="P520" s="56">
        <v>33.799999999999997</v>
      </c>
      <c r="Q520" s="56">
        <v>20</v>
      </c>
      <c r="R520" s="57">
        <v>48.2</v>
      </c>
    </row>
    <row r="521" spans="2:18" ht="20.6" x14ac:dyDescent="0.4">
      <c r="B521" s="50"/>
      <c r="C521" s="51" t="s">
        <v>258</v>
      </c>
      <c r="D521" s="49" t="s">
        <v>259</v>
      </c>
      <c r="E521" s="49" t="str">
        <f>B519&amp;C521</f>
        <v>International Falls, MNV</v>
      </c>
      <c r="F521" s="56">
        <v>7.8</v>
      </c>
      <c r="G521" s="56">
        <v>7.8</v>
      </c>
      <c r="H521" s="56">
        <v>8.5</v>
      </c>
      <c r="I521" s="56">
        <v>8.5</v>
      </c>
      <c r="J521" s="56">
        <v>8.6999999999999993</v>
      </c>
      <c r="K521" s="56">
        <v>7.6</v>
      </c>
      <c r="L521" s="56">
        <v>6.9</v>
      </c>
      <c r="M521" s="56">
        <v>6.7</v>
      </c>
      <c r="N521" s="56">
        <v>7.6</v>
      </c>
      <c r="O521" s="56">
        <v>8.3000000000000007</v>
      </c>
      <c r="P521" s="56">
        <v>8.3000000000000007</v>
      </c>
      <c r="Q521" s="56">
        <v>7.6</v>
      </c>
      <c r="R521" s="57">
        <v>7.8</v>
      </c>
    </row>
    <row r="522" spans="2:18" ht="20.6" x14ac:dyDescent="0.4">
      <c r="B522" s="50"/>
      <c r="C522" s="51" t="s">
        <v>260</v>
      </c>
      <c r="D522" s="49" t="s">
        <v>261</v>
      </c>
      <c r="E522" s="49" t="str">
        <f>B519&amp;C522</f>
        <v>International Falls, MNI</v>
      </c>
      <c r="F522" s="56">
        <v>402</v>
      </c>
      <c r="G522" s="56">
        <v>667</v>
      </c>
      <c r="H522" s="56">
        <v>1041</v>
      </c>
      <c r="I522" s="56">
        <v>1501</v>
      </c>
      <c r="J522" s="56">
        <v>1708</v>
      </c>
      <c r="K522" s="56">
        <v>1788</v>
      </c>
      <c r="L522" s="56">
        <v>1807</v>
      </c>
      <c r="M522" s="56">
        <v>1574</v>
      </c>
      <c r="N522" s="56">
        <v>1102</v>
      </c>
      <c r="O522" s="56">
        <v>657</v>
      </c>
      <c r="P522" s="56">
        <v>375</v>
      </c>
      <c r="Q522" s="56">
        <v>300</v>
      </c>
      <c r="R522" s="57">
        <v>1077</v>
      </c>
    </row>
    <row r="523" spans="2:18" ht="20.6" x14ac:dyDescent="0.4">
      <c r="B523" s="50"/>
      <c r="C523" s="51" t="s">
        <v>262</v>
      </c>
      <c r="D523" s="49" t="s">
        <v>263</v>
      </c>
      <c r="E523" s="49" t="str">
        <f>B519&amp;C523</f>
        <v>International Falls, MNPA</v>
      </c>
      <c r="F523" s="58" t="s">
        <v>506</v>
      </c>
      <c r="G523" s="58" t="s">
        <v>506</v>
      </c>
      <c r="H523" s="58" t="s">
        <v>506</v>
      </c>
      <c r="I523" s="58" t="s">
        <v>506</v>
      </c>
      <c r="J523" s="58" t="s">
        <v>506</v>
      </c>
      <c r="K523" s="58" t="s">
        <v>506</v>
      </c>
      <c r="L523" s="58" t="s">
        <v>506</v>
      </c>
      <c r="M523" s="58" t="s">
        <v>506</v>
      </c>
      <c r="N523" s="58" t="s">
        <v>506</v>
      </c>
      <c r="O523" s="58" t="s">
        <v>506</v>
      </c>
      <c r="P523" s="58" t="s">
        <v>506</v>
      </c>
      <c r="Q523" s="58" t="s">
        <v>506</v>
      </c>
      <c r="R523" s="57">
        <v>14.08</v>
      </c>
    </row>
    <row r="524" spans="2:18" ht="23.15" x14ac:dyDescent="0.4">
      <c r="B524" s="48" t="s">
        <v>367</v>
      </c>
      <c r="C524" s="51" t="s">
        <v>255</v>
      </c>
      <c r="D524" s="49" t="s">
        <v>256</v>
      </c>
      <c r="E524" s="49" t="str">
        <f>B524&amp;C524</f>
        <v>Minneapolis-St Paul, MNTAN</v>
      </c>
      <c r="F524" s="56">
        <v>8.3000000000000007</v>
      </c>
      <c r="G524" s="56">
        <v>13.6</v>
      </c>
      <c r="H524" s="56">
        <v>24.6</v>
      </c>
      <c r="I524" s="56">
        <v>37.9</v>
      </c>
      <c r="J524" s="56">
        <v>49.6</v>
      </c>
      <c r="K524" s="56">
        <v>59.7</v>
      </c>
      <c r="L524" s="56">
        <v>64.5</v>
      </c>
      <c r="M524" s="56">
        <v>62.5</v>
      </c>
      <c r="N524" s="56">
        <v>53.3</v>
      </c>
      <c r="O524" s="56">
        <v>40.9</v>
      </c>
      <c r="P524" s="56">
        <v>27.5</v>
      </c>
      <c r="Q524" s="56">
        <v>14.4</v>
      </c>
      <c r="R524" s="57">
        <v>38.1</v>
      </c>
    </row>
    <row r="525" spans="2:18" ht="20.6" x14ac:dyDescent="0.4">
      <c r="B525" s="50"/>
      <c r="C525" s="51" t="s">
        <v>257</v>
      </c>
      <c r="D525" s="49" t="s">
        <v>256</v>
      </c>
      <c r="E525" s="49" t="str">
        <f>B524&amp;C525</f>
        <v>Minneapolis-St Paul, MNTAX</v>
      </c>
      <c r="F525" s="56">
        <v>22.8</v>
      </c>
      <c r="G525" s="56">
        <v>28.5</v>
      </c>
      <c r="H525" s="56">
        <v>40.6</v>
      </c>
      <c r="I525" s="56">
        <v>56.7</v>
      </c>
      <c r="J525" s="56">
        <v>68.3</v>
      </c>
      <c r="K525" s="56">
        <v>77.8</v>
      </c>
      <c r="L525" s="56">
        <v>81.900000000000006</v>
      </c>
      <c r="M525" s="56">
        <v>79.8</v>
      </c>
      <c r="N525" s="56">
        <v>71.5</v>
      </c>
      <c r="O525" s="56">
        <v>57.8</v>
      </c>
      <c r="P525" s="56">
        <v>41</v>
      </c>
      <c r="Q525" s="56">
        <v>27.7</v>
      </c>
      <c r="R525" s="57">
        <v>54.5</v>
      </c>
    </row>
    <row r="526" spans="2:18" ht="20.6" x14ac:dyDescent="0.4">
      <c r="B526" s="50"/>
      <c r="C526" s="51" t="s">
        <v>258</v>
      </c>
      <c r="D526" s="49" t="s">
        <v>259</v>
      </c>
      <c r="E526" s="49" t="str">
        <f>B524&amp;C526</f>
        <v>Minneapolis-St Paul, MNV</v>
      </c>
      <c r="F526" s="56">
        <v>9.4</v>
      </c>
      <c r="G526" s="56">
        <v>9.4</v>
      </c>
      <c r="H526" s="56">
        <v>9.8000000000000007</v>
      </c>
      <c r="I526" s="56">
        <v>10.7</v>
      </c>
      <c r="J526" s="56">
        <v>10.3</v>
      </c>
      <c r="K526" s="56">
        <v>9.1999999999999993</v>
      </c>
      <c r="L526" s="56">
        <v>8.5</v>
      </c>
      <c r="M526" s="56">
        <v>8.3000000000000007</v>
      </c>
      <c r="N526" s="56">
        <v>9.1999999999999993</v>
      </c>
      <c r="O526" s="56">
        <v>9.8000000000000007</v>
      </c>
      <c r="P526" s="56">
        <v>9.6</v>
      </c>
      <c r="Q526" s="56">
        <v>9.1999999999999993</v>
      </c>
      <c r="R526" s="57">
        <v>9.4</v>
      </c>
    </row>
    <row r="527" spans="2:18" ht="20.6" x14ac:dyDescent="0.4">
      <c r="B527" s="50"/>
      <c r="C527" s="51" t="s">
        <v>260</v>
      </c>
      <c r="D527" s="49" t="s">
        <v>261</v>
      </c>
      <c r="E527" s="49" t="str">
        <f>B524&amp;C527</f>
        <v>Minneapolis-St Paul, MNI</v>
      </c>
      <c r="F527" s="56">
        <v>490</v>
      </c>
      <c r="G527" s="56">
        <v>752</v>
      </c>
      <c r="H527" s="56">
        <v>1116</v>
      </c>
      <c r="I527" s="56">
        <v>1476</v>
      </c>
      <c r="J527" s="56">
        <v>1712</v>
      </c>
      <c r="K527" s="56">
        <v>1856</v>
      </c>
      <c r="L527" s="56">
        <v>1930</v>
      </c>
      <c r="M527" s="56">
        <v>1655</v>
      </c>
      <c r="N527" s="56">
        <v>1265</v>
      </c>
      <c r="O527" s="56">
        <v>814</v>
      </c>
      <c r="P527" s="56">
        <v>501</v>
      </c>
      <c r="Q527" s="56">
        <v>389</v>
      </c>
      <c r="R527" s="57">
        <v>1163</v>
      </c>
    </row>
    <row r="528" spans="2:18" ht="20.6" x14ac:dyDescent="0.4">
      <c r="B528" s="50"/>
      <c r="C528" s="51" t="s">
        <v>262</v>
      </c>
      <c r="D528" s="49" t="s">
        <v>263</v>
      </c>
      <c r="E528" s="49" t="str">
        <f>B524&amp;C528</f>
        <v>Minneapolis-St Paul, MNPA</v>
      </c>
      <c r="F528" s="58" t="s">
        <v>506</v>
      </c>
      <c r="G528" s="58" t="s">
        <v>506</v>
      </c>
      <c r="H528" s="58" t="s">
        <v>506</v>
      </c>
      <c r="I528" s="58" t="s">
        <v>506</v>
      </c>
      <c r="J528" s="58" t="s">
        <v>506</v>
      </c>
      <c r="K528" s="58" t="s">
        <v>506</v>
      </c>
      <c r="L528" s="58" t="s">
        <v>506</v>
      </c>
      <c r="M528" s="58" t="s">
        <v>506</v>
      </c>
      <c r="N528" s="58" t="s">
        <v>506</v>
      </c>
      <c r="O528" s="58" t="s">
        <v>506</v>
      </c>
      <c r="P528" s="58" t="s">
        <v>506</v>
      </c>
      <c r="Q528" s="58" t="s">
        <v>506</v>
      </c>
      <c r="R528" s="57">
        <v>14.26</v>
      </c>
    </row>
    <row r="529" spans="2:18" ht="20.6" x14ac:dyDescent="0.4">
      <c r="B529" s="48" t="s">
        <v>368</v>
      </c>
      <c r="C529" s="51" t="s">
        <v>255</v>
      </c>
      <c r="D529" s="49" t="s">
        <v>256</v>
      </c>
      <c r="E529" s="49" t="str">
        <f>B529&amp;C529</f>
        <v>Rochester_MN, MNTAN</v>
      </c>
      <c r="F529" s="56">
        <v>7.3</v>
      </c>
      <c r="G529" s="56">
        <v>12.2</v>
      </c>
      <c r="H529" s="56">
        <v>23.6</v>
      </c>
      <c r="I529" s="56">
        <v>36</v>
      </c>
      <c r="J529" s="56">
        <v>47.4</v>
      </c>
      <c r="K529" s="56">
        <v>57.5</v>
      </c>
      <c r="L529" s="56">
        <v>60.7</v>
      </c>
      <c r="M529" s="56">
        <v>58.8</v>
      </c>
      <c r="N529" s="56">
        <v>50.1</v>
      </c>
      <c r="O529" s="56">
        <v>38.6</v>
      </c>
      <c r="P529" s="56">
        <v>26.2</v>
      </c>
      <c r="Q529" s="56">
        <v>13.3</v>
      </c>
      <c r="R529" s="57">
        <v>36</v>
      </c>
    </row>
    <row r="530" spans="2:18" ht="20.6" x14ac:dyDescent="0.4">
      <c r="B530" s="50"/>
      <c r="C530" s="51" t="s">
        <v>257</v>
      </c>
      <c r="D530" s="49" t="s">
        <v>256</v>
      </c>
      <c r="E530" s="49" t="str">
        <f>B529&amp;C530</f>
        <v>Rochester_MN, MNTAX</v>
      </c>
      <c r="F530" s="56">
        <v>21.8</v>
      </c>
      <c r="G530" s="56">
        <v>26.8</v>
      </c>
      <c r="H530" s="56">
        <v>39.1</v>
      </c>
      <c r="I530" s="56">
        <v>55.3</v>
      </c>
      <c r="J530" s="56">
        <v>67</v>
      </c>
      <c r="K530" s="56">
        <v>76.400000000000006</v>
      </c>
      <c r="L530" s="56">
        <v>79</v>
      </c>
      <c r="M530" s="56">
        <v>77</v>
      </c>
      <c r="N530" s="56">
        <v>70.3</v>
      </c>
      <c r="O530" s="56">
        <v>57.4</v>
      </c>
      <c r="P530" s="56">
        <v>40.700000000000003</v>
      </c>
      <c r="Q530" s="56">
        <v>27.1</v>
      </c>
      <c r="R530" s="57">
        <v>53.2</v>
      </c>
    </row>
    <row r="531" spans="2:18" x14ac:dyDescent="0.4">
      <c r="B531" s="50"/>
      <c r="C531" s="51" t="s">
        <v>258</v>
      </c>
      <c r="D531" s="49" t="s">
        <v>259</v>
      </c>
      <c r="E531" s="49" t="str">
        <f>B529&amp;C531</f>
        <v>Rochester_MN, MNV</v>
      </c>
      <c r="F531" s="56">
        <v>13</v>
      </c>
      <c r="G531" s="56">
        <v>13</v>
      </c>
      <c r="H531" s="56">
        <v>13</v>
      </c>
      <c r="I531" s="56">
        <v>13.4</v>
      </c>
      <c r="J531" s="56">
        <v>12.8</v>
      </c>
      <c r="K531" s="56">
        <v>10.7</v>
      </c>
      <c r="L531" s="56">
        <v>9.6</v>
      </c>
      <c r="M531" s="56">
        <v>8.9</v>
      </c>
      <c r="N531" s="56">
        <v>10.3</v>
      </c>
      <c r="O531" s="56">
        <v>11.6</v>
      </c>
      <c r="P531" s="56">
        <v>12.8</v>
      </c>
      <c r="Q531" s="56">
        <v>13</v>
      </c>
      <c r="R531" s="57">
        <v>11.9</v>
      </c>
    </row>
    <row r="532" spans="2:18" x14ac:dyDescent="0.4">
      <c r="B532" s="50"/>
      <c r="C532" s="51" t="s">
        <v>260</v>
      </c>
      <c r="D532" s="49" t="s">
        <v>261</v>
      </c>
      <c r="E532" s="49" t="str">
        <f>B529&amp;C532</f>
        <v>Rochester_MN, MNI</v>
      </c>
      <c r="F532" s="56">
        <v>474</v>
      </c>
      <c r="G532" s="56">
        <v>708</v>
      </c>
      <c r="H532" s="56">
        <v>1106</v>
      </c>
      <c r="I532" s="56">
        <v>1489</v>
      </c>
      <c r="J532" s="56">
        <v>1709</v>
      </c>
      <c r="K532" s="56">
        <v>1891</v>
      </c>
      <c r="L532" s="56">
        <v>1955</v>
      </c>
      <c r="M532" s="56">
        <v>1664</v>
      </c>
      <c r="N532" s="56">
        <v>1286</v>
      </c>
      <c r="O532" s="56">
        <v>848</v>
      </c>
      <c r="P532" s="56">
        <v>513</v>
      </c>
      <c r="Q532" s="56">
        <v>384</v>
      </c>
      <c r="R532" s="57">
        <v>1169</v>
      </c>
    </row>
    <row r="533" spans="2:18" ht="20.6" x14ac:dyDescent="0.4">
      <c r="B533" s="50"/>
      <c r="C533" s="51" t="s">
        <v>262</v>
      </c>
      <c r="D533" s="49" t="s">
        <v>263</v>
      </c>
      <c r="E533" s="49" t="str">
        <f>B529&amp;C533</f>
        <v>Rochester_MN, MNPA</v>
      </c>
      <c r="F533" s="58" t="s">
        <v>506</v>
      </c>
      <c r="G533" s="58" t="s">
        <v>506</v>
      </c>
      <c r="H533" s="58" t="s">
        <v>506</v>
      </c>
      <c r="I533" s="58" t="s">
        <v>506</v>
      </c>
      <c r="J533" s="58" t="s">
        <v>506</v>
      </c>
      <c r="K533" s="58" t="s">
        <v>506</v>
      </c>
      <c r="L533" s="58" t="s">
        <v>506</v>
      </c>
      <c r="M533" s="58" t="s">
        <v>506</v>
      </c>
      <c r="N533" s="58" t="s">
        <v>506</v>
      </c>
      <c r="O533" s="58" t="s">
        <v>506</v>
      </c>
      <c r="P533" s="58" t="s">
        <v>506</v>
      </c>
      <c r="Q533" s="58" t="s">
        <v>506</v>
      </c>
      <c r="R533" s="57">
        <v>14.01</v>
      </c>
    </row>
    <row r="534" spans="2:18" x14ac:dyDescent="0.4">
      <c r="B534" s="48" t="s">
        <v>369</v>
      </c>
      <c r="C534" s="51" t="s">
        <v>255</v>
      </c>
      <c r="D534" s="49" t="s">
        <v>256</v>
      </c>
      <c r="E534" s="49" t="str">
        <f>B534&amp;C534</f>
        <v>St Cloud, MNTAN</v>
      </c>
      <c r="F534" s="56">
        <v>2.8</v>
      </c>
      <c r="G534" s="56">
        <v>7.8</v>
      </c>
      <c r="H534" s="56">
        <v>20.100000000000001</v>
      </c>
      <c r="I534" s="56">
        <v>33.1</v>
      </c>
      <c r="J534" s="56">
        <v>44.5</v>
      </c>
      <c r="K534" s="56">
        <v>54.8</v>
      </c>
      <c r="L534" s="56">
        <v>58.6</v>
      </c>
      <c r="M534" s="56">
        <v>56.5</v>
      </c>
      <c r="N534" s="56">
        <v>47.6</v>
      </c>
      <c r="O534" s="56">
        <v>35.9</v>
      </c>
      <c r="P534" s="56">
        <v>23.1</v>
      </c>
      <c r="Q534" s="56">
        <v>9.6</v>
      </c>
      <c r="R534" s="57">
        <v>32.9</v>
      </c>
    </row>
    <row r="535" spans="2:18" x14ac:dyDescent="0.4">
      <c r="B535" s="50"/>
      <c r="C535" s="51" t="s">
        <v>257</v>
      </c>
      <c r="D535" s="49" t="s">
        <v>256</v>
      </c>
      <c r="E535" s="49" t="str">
        <f>B534&amp;C535</f>
        <v>St Cloud, MNTAX</v>
      </c>
      <c r="F535" s="56">
        <v>20.399999999999999</v>
      </c>
      <c r="G535" s="56">
        <v>26.3</v>
      </c>
      <c r="H535" s="56">
        <v>38.200000000000003</v>
      </c>
      <c r="I535" s="56">
        <v>55</v>
      </c>
      <c r="J535" s="56">
        <v>67.599999999999994</v>
      </c>
      <c r="K535" s="56">
        <v>76.400000000000006</v>
      </c>
      <c r="L535" s="56">
        <v>80.7</v>
      </c>
      <c r="M535" s="56">
        <v>78.8</v>
      </c>
      <c r="N535" s="56">
        <v>70.3</v>
      </c>
      <c r="O535" s="56">
        <v>56.2</v>
      </c>
      <c r="P535" s="56">
        <v>38.9</v>
      </c>
      <c r="Q535" s="56">
        <v>25.4</v>
      </c>
      <c r="R535" s="57">
        <v>52.9</v>
      </c>
    </row>
    <row r="536" spans="2:18" x14ac:dyDescent="0.4">
      <c r="B536" s="50"/>
      <c r="C536" s="51" t="s">
        <v>258</v>
      </c>
      <c r="D536" s="49" t="s">
        <v>259</v>
      </c>
      <c r="E536" s="49" t="str">
        <f>B534&amp;C536</f>
        <v>St Cloud, MNV</v>
      </c>
      <c r="F536" s="56">
        <v>8.3000000000000007</v>
      </c>
      <c r="G536" s="56">
        <v>8.3000000000000007</v>
      </c>
      <c r="H536" s="56">
        <v>8.6999999999999993</v>
      </c>
      <c r="I536" s="56">
        <v>9.4</v>
      </c>
      <c r="J536" s="56">
        <v>9.1999999999999993</v>
      </c>
      <c r="K536" s="56">
        <v>7.8</v>
      </c>
      <c r="L536" s="56">
        <v>6.7</v>
      </c>
      <c r="M536" s="56">
        <v>6.5</v>
      </c>
      <c r="N536" s="56">
        <v>7.4</v>
      </c>
      <c r="O536" s="56">
        <v>8.5</v>
      </c>
      <c r="P536" s="56">
        <v>8.5</v>
      </c>
      <c r="Q536" s="56">
        <v>8.3000000000000007</v>
      </c>
      <c r="R536" s="57">
        <v>8.1</v>
      </c>
    </row>
    <row r="537" spans="2:18" x14ac:dyDescent="0.4">
      <c r="B537" s="50"/>
      <c r="C537" s="51" t="s">
        <v>260</v>
      </c>
      <c r="D537" s="49" t="s">
        <v>261</v>
      </c>
      <c r="E537" s="49" t="str">
        <f>B534&amp;C537</f>
        <v>St Cloud, MNI</v>
      </c>
      <c r="F537" s="56">
        <v>453</v>
      </c>
      <c r="G537" s="56">
        <v>700</v>
      </c>
      <c r="H537" s="56">
        <v>1094</v>
      </c>
      <c r="I537" s="56">
        <v>1527</v>
      </c>
      <c r="J537" s="56">
        <v>1754</v>
      </c>
      <c r="K537" s="56">
        <v>1906</v>
      </c>
      <c r="L537" s="56">
        <v>1967</v>
      </c>
      <c r="M537" s="56">
        <v>1669</v>
      </c>
      <c r="N537" s="56">
        <v>1259</v>
      </c>
      <c r="O537" s="56">
        <v>802</v>
      </c>
      <c r="P537" s="56">
        <v>481</v>
      </c>
      <c r="Q537" s="56">
        <v>367</v>
      </c>
      <c r="R537" s="57">
        <v>1165</v>
      </c>
    </row>
    <row r="538" spans="2:18" x14ac:dyDescent="0.4">
      <c r="B538" s="50"/>
      <c r="C538" s="51" t="s">
        <v>262</v>
      </c>
      <c r="D538" s="49" t="s">
        <v>263</v>
      </c>
      <c r="E538" s="49" t="str">
        <f>B534&amp;C538</f>
        <v>St Cloud, MNPA</v>
      </c>
      <c r="F538" s="58" t="s">
        <v>506</v>
      </c>
      <c r="G538" s="58" t="s">
        <v>506</v>
      </c>
      <c r="H538" s="58" t="s">
        <v>506</v>
      </c>
      <c r="I538" s="58" t="s">
        <v>506</v>
      </c>
      <c r="J538" s="58" t="s">
        <v>506</v>
      </c>
      <c r="K538" s="58" t="s">
        <v>506</v>
      </c>
      <c r="L538" s="58" t="s">
        <v>506</v>
      </c>
      <c r="M538" s="58" t="s">
        <v>506</v>
      </c>
      <c r="N538" s="58" t="s">
        <v>506</v>
      </c>
      <c r="O538" s="58" t="s">
        <v>506</v>
      </c>
      <c r="P538" s="58" t="s">
        <v>506</v>
      </c>
      <c r="Q538" s="58" t="s">
        <v>506</v>
      </c>
      <c r="R538" s="57">
        <v>14.16</v>
      </c>
    </row>
    <row r="539" spans="2:18" x14ac:dyDescent="0.4">
      <c r="B539" s="48" t="s">
        <v>370</v>
      </c>
      <c r="C539" s="51" t="s">
        <v>255</v>
      </c>
      <c r="D539" s="49" t="s">
        <v>256</v>
      </c>
      <c r="E539" s="49" t="str">
        <f>B539&amp;C539</f>
        <v>Jackson, MSTAN</v>
      </c>
      <c r="F539" s="56">
        <v>37</v>
      </c>
      <c r="G539" s="56">
        <v>39.299999999999997</v>
      </c>
      <c r="H539" s="56">
        <v>45.9</v>
      </c>
      <c r="I539" s="56">
        <v>53.3</v>
      </c>
      <c r="J539" s="56">
        <v>62.5</v>
      </c>
      <c r="K539" s="56">
        <v>69.2</v>
      </c>
      <c r="L539" s="56">
        <v>72.099999999999994</v>
      </c>
      <c r="M539" s="56">
        <v>71.400000000000006</v>
      </c>
      <c r="N539" s="56">
        <v>65.5</v>
      </c>
      <c r="O539" s="56">
        <v>53.9</v>
      </c>
      <c r="P539" s="56">
        <v>43.9</v>
      </c>
      <c r="Q539" s="56">
        <v>37.9</v>
      </c>
      <c r="R539" s="57">
        <v>54.3</v>
      </c>
    </row>
    <row r="540" spans="2:18" x14ac:dyDescent="0.4">
      <c r="B540" s="50"/>
      <c r="C540" s="51" t="s">
        <v>257</v>
      </c>
      <c r="D540" s="49" t="s">
        <v>256</v>
      </c>
      <c r="E540" s="49" t="str">
        <f>B539&amp;C540</f>
        <v>Jackson, MSTAX</v>
      </c>
      <c r="F540" s="56">
        <v>56.5</v>
      </c>
      <c r="G540" s="56">
        <v>60.8</v>
      </c>
      <c r="H540" s="56">
        <v>68.099999999999994</v>
      </c>
      <c r="I540" s="56">
        <v>75.7</v>
      </c>
      <c r="J540" s="56">
        <v>83</v>
      </c>
      <c r="K540" s="56">
        <v>89</v>
      </c>
      <c r="L540" s="56">
        <v>91.1</v>
      </c>
      <c r="M540" s="56">
        <v>91.2</v>
      </c>
      <c r="N540" s="56">
        <v>86.5</v>
      </c>
      <c r="O540" s="56">
        <v>77.099999999999994</v>
      </c>
      <c r="P540" s="56">
        <v>66.3</v>
      </c>
      <c r="Q540" s="56">
        <v>58.1</v>
      </c>
      <c r="R540" s="57">
        <v>75.3</v>
      </c>
    </row>
    <row r="541" spans="2:18" x14ac:dyDescent="0.4">
      <c r="B541" s="50"/>
      <c r="C541" s="51" t="s">
        <v>258</v>
      </c>
      <c r="D541" s="49" t="s">
        <v>259</v>
      </c>
      <c r="E541" s="49" t="str">
        <f>B539&amp;C541</f>
        <v>Jackson, MSV</v>
      </c>
      <c r="F541" s="56">
        <v>6.7</v>
      </c>
      <c r="G541" s="56">
        <v>6.9</v>
      </c>
      <c r="H541" s="56">
        <v>7.2</v>
      </c>
      <c r="I541" s="56">
        <v>6.7</v>
      </c>
      <c r="J541" s="56">
        <v>5.6</v>
      </c>
      <c r="K541" s="56">
        <v>4.7</v>
      </c>
      <c r="L541" s="56">
        <v>4</v>
      </c>
      <c r="M541" s="56">
        <v>4</v>
      </c>
      <c r="N541" s="56">
        <v>5.0999999999999996</v>
      </c>
      <c r="O541" s="56">
        <v>5.0999999999999996</v>
      </c>
      <c r="P541" s="56">
        <v>5.4</v>
      </c>
      <c r="Q541" s="56">
        <v>6.3</v>
      </c>
      <c r="R541" s="57">
        <v>5.6</v>
      </c>
    </row>
    <row r="542" spans="2:18" x14ac:dyDescent="0.4">
      <c r="B542" s="50"/>
      <c r="C542" s="51" t="s">
        <v>260</v>
      </c>
      <c r="D542" s="49" t="s">
        <v>261</v>
      </c>
      <c r="E542" s="49" t="str">
        <f>B539&amp;C542</f>
        <v>Jackson, MSI</v>
      </c>
      <c r="F542" s="56">
        <v>783</v>
      </c>
      <c r="G542" s="56">
        <v>1039</v>
      </c>
      <c r="H542" s="56">
        <v>1369</v>
      </c>
      <c r="I542" s="56">
        <v>1762</v>
      </c>
      <c r="J542" s="56">
        <v>1929</v>
      </c>
      <c r="K542" s="56">
        <v>2025</v>
      </c>
      <c r="L542" s="56">
        <v>1969</v>
      </c>
      <c r="M542" s="56">
        <v>1849</v>
      </c>
      <c r="N542" s="56">
        <v>1576</v>
      </c>
      <c r="O542" s="56">
        <v>1262</v>
      </c>
      <c r="P542" s="56">
        <v>922</v>
      </c>
      <c r="Q542" s="56">
        <v>726</v>
      </c>
      <c r="R542" s="57">
        <v>1434</v>
      </c>
    </row>
    <row r="543" spans="2:18" x14ac:dyDescent="0.4">
      <c r="B543" s="50"/>
      <c r="C543" s="51" t="s">
        <v>262</v>
      </c>
      <c r="D543" s="49" t="s">
        <v>263</v>
      </c>
      <c r="E543" s="49" t="str">
        <f>B539&amp;C543</f>
        <v>Jackson, MSPA</v>
      </c>
      <c r="F543" s="58" t="s">
        <v>506</v>
      </c>
      <c r="G543" s="58" t="s">
        <v>506</v>
      </c>
      <c r="H543" s="58" t="s">
        <v>506</v>
      </c>
      <c r="I543" s="58" t="s">
        <v>506</v>
      </c>
      <c r="J543" s="58" t="s">
        <v>506</v>
      </c>
      <c r="K543" s="58" t="s">
        <v>506</v>
      </c>
      <c r="L543" s="58" t="s">
        <v>506</v>
      </c>
      <c r="M543" s="58" t="s">
        <v>506</v>
      </c>
      <c r="N543" s="58" t="s">
        <v>506</v>
      </c>
      <c r="O543" s="58" t="s">
        <v>506</v>
      </c>
      <c r="P543" s="58" t="s">
        <v>506</v>
      </c>
      <c r="Q543" s="58" t="s">
        <v>506</v>
      </c>
      <c r="R543" s="57">
        <v>14.53</v>
      </c>
    </row>
    <row r="544" spans="2:18" x14ac:dyDescent="0.4">
      <c r="B544" s="48" t="s">
        <v>371</v>
      </c>
      <c r="C544" s="51" t="s">
        <v>255</v>
      </c>
      <c r="D544" s="49" t="s">
        <v>256</v>
      </c>
      <c r="E544" s="49" t="str">
        <f>B544&amp;C544</f>
        <v>Meridian, MSTAN</v>
      </c>
      <c r="F544" s="56">
        <v>35.799999999999997</v>
      </c>
      <c r="G544" s="56">
        <v>38.1</v>
      </c>
      <c r="H544" s="56">
        <v>44.5</v>
      </c>
      <c r="I544" s="56">
        <v>51.5</v>
      </c>
      <c r="J544" s="56">
        <v>60.8</v>
      </c>
      <c r="K544" s="56">
        <v>67.8</v>
      </c>
      <c r="L544" s="56">
        <v>70.8</v>
      </c>
      <c r="M544" s="56">
        <v>70.2</v>
      </c>
      <c r="N544" s="56">
        <v>64.2</v>
      </c>
      <c r="O544" s="56">
        <v>52.5</v>
      </c>
      <c r="P544" s="56">
        <v>42.5</v>
      </c>
      <c r="Q544" s="56">
        <v>36.9</v>
      </c>
      <c r="R544" s="57">
        <v>53</v>
      </c>
    </row>
    <row r="545" spans="2:18" x14ac:dyDescent="0.4">
      <c r="B545" s="50"/>
      <c r="C545" s="51" t="s">
        <v>257</v>
      </c>
      <c r="D545" s="49" t="s">
        <v>256</v>
      </c>
      <c r="E545" s="49" t="str">
        <f>B544&amp;C545</f>
        <v>Meridian, MSTAX</v>
      </c>
      <c r="F545" s="56">
        <v>57.1</v>
      </c>
      <c r="G545" s="56">
        <v>61.4</v>
      </c>
      <c r="H545" s="56">
        <v>68.8</v>
      </c>
      <c r="I545" s="56">
        <v>76.2</v>
      </c>
      <c r="J545" s="56">
        <v>83.4</v>
      </c>
      <c r="K545" s="56">
        <v>88.8</v>
      </c>
      <c r="L545" s="56">
        <v>91.4</v>
      </c>
      <c r="M545" s="56">
        <v>91.1</v>
      </c>
      <c r="N545" s="56">
        <v>86.5</v>
      </c>
      <c r="O545" s="56">
        <v>77.3</v>
      </c>
      <c r="P545" s="56">
        <v>66.900000000000006</v>
      </c>
      <c r="Q545" s="56">
        <v>58.5</v>
      </c>
      <c r="R545" s="57">
        <v>75.599999999999994</v>
      </c>
    </row>
    <row r="546" spans="2:18" x14ac:dyDescent="0.4">
      <c r="B546" s="50"/>
      <c r="C546" s="51" t="s">
        <v>258</v>
      </c>
      <c r="D546" s="49" t="s">
        <v>259</v>
      </c>
      <c r="E546" s="49" t="str">
        <f>B544&amp;C546</f>
        <v>Meridian, MSV</v>
      </c>
      <c r="F546" s="56">
        <v>6.9</v>
      </c>
      <c r="G546" s="56">
        <v>7.2</v>
      </c>
      <c r="H546" s="56">
        <v>7.4</v>
      </c>
      <c r="I546" s="56">
        <v>6.9</v>
      </c>
      <c r="J546" s="56">
        <v>5.8</v>
      </c>
      <c r="K546" s="56">
        <v>4.9000000000000004</v>
      </c>
      <c r="L546" s="56">
        <v>4.5</v>
      </c>
      <c r="M546" s="56">
        <v>4.3</v>
      </c>
      <c r="N546" s="56">
        <v>5.0999999999999996</v>
      </c>
      <c r="O546" s="56">
        <v>5.0999999999999996</v>
      </c>
      <c r="P546" s="56">
        <v>5.6</v>
      </c>
      <c r="Q546" s="56">
        <v>6.3</v>
      </c>
      <c r="R546" s="57">
        <v>5.8</v>
      </c>
    </row>
    <row r="547" spans="2:18" x14ac:dyDescent="0.4">
      <c r="B547" s="50"/>
      <c r="C547" s="51" t="s">
        <v>260</v>
      </c>
      <c r="D547" s="49" t="s">
        <v>261</v>
      </c>
      <c r="E547" s="49" t="str">
        <f>B544&amp;C547</f>
        <v>Meridian, MSI</v>
      </c>
      <c r="F547" s="56">
        <v>783</v>
      </c>
      <c r="G547" s="56">
        <v>1044</v>
      </c>
      <c r="H547" s="56">
        <v>1380</v>
      </c>
      <c r="I547" s="56">
        <v>1726</v>
      </c>
      <c r="J547" s="56">
        <v>1918</v>
      </c>
      <c r="K547" s="56">
        <v>1989</v>
      </c>
      <c r="L547" s="56">
        <v>1945</v>
      </c>
      <c r="M547" s="56">
        <v>1823</v>
      </c>
      <c r="N547" s="56">
        <v>1544</v>
      </c>
      <c r="O547" s="56">
        <v>1252</v>
      </c>
      <c r="P547" s="56">
        <v>924</v>
      </c>
      <c r="Q547" s="56">
        <v>727</v>
      </c>
      <c r="R547" s="57">
        <v>1421</v>
      </c>
    </row>
    <row r="548" spans="2:18" x14ac:dyDescent="0.4">
      <c r="B548" s="50"/>
      <c r="C548" s="51" t="s">
        <v>262</v>
      </c>
      <c r="D548" s="49" t="s">
        <v>263</v>
      </c>
      <c r="E548" s="49" t="str">
        <f>B544&amp;C548</f>
        <v>Meridian, MSPA</v>
      </c>
      <c r="F548" s="58" t="s">
        <v>506</v>
      </c>
      <c r="G548" s="58" t="s">
        <v>506</v>
      </c>
      <c r="H548" s="58" t="s">
        <v>506</v>
      </c>
      <c r="I548" s="58" t="s">
        <v>506</v>
      </c>
      <c r="J548" s="58" t="s">
        <v>506</v>
      </c>
      <c r="K548" s="58" t="s">
        <v>506</v>
      </c>
      <c r="L548" s="58" t="s">
        <v>506</v>
      </c>
      <c r="M548" s="58" t="s">
        <v>506</v>
      </c>
      <c r="N548" s="58" t="s">
        <v>506</v>
      </c>
      <c r="O548" s="58" t="s">
        <v>506</v>
      </c>
      <c r="P548" s="58" t="s">
        <v>506</v>
      </c>
      <c r="Q548" s="58" t="s">
        <v>506</v>
      </c>
      <c r="R548" s="57">
        <v>14.53</v>
      </c>
    </row>
    <row r="549" spans="2:18" x14ac:dyDescent="0.4">
      <c r="B549" s="48" t="s">
        <v>372</v>
      </c>
      <c r="C549" s="51" t="s">
        <v>255</v>
      </c>
      <c r="D549" s="49" t="s">
        <v>256</v>
      </c>
      <c r="E549" s="49" t="str">
        <f>B549&amp;C549</f>
        <v>Tupelo, MSTAN</v>
      </c>
      <c r="F549" s="56">
        <v>33.200000000000003</v>
      </c>
      <c r="G549" s="56">
        <v>35.9</v>
      </c>
      <c r="H549" s="56">
        <v>43</v>
      </c>
      <c r="I549" s="56">
        <v>51</v>
      </c>
      <c r="J549" s="56">
        <v>60.2</v>
      </c>
      <c r="K549" s="56">
        <v>68.099999999999994</v>
      </c>
      <c r="L549" s="56">
        <v>71.5</v>
      </c>
      <c r="M549" s="56">
        <v>70.599999999999994</v>
      </c>
      <c r="N549" s="56">
        <v>63.4</v>
      </c>
      <c r="O549" s="56">
        <v>51.6</v>
      </c>
      <c r="P549" s="56">
        <v>42</v>
      </c>
      <c r="Q549" s="56">
        <v>34.799999999999997</v>
      </c>
      <c r="R549" s="57">
        <v>52.1</v>
      </c>
    </row>
    <row r="550" spans="2:18" x14ac:dyDescent="0.4">
      <c r="B550" s="50"/>
      <c r="C550" s="51" t="s">
        <v>257</v>
      </c>
      <c r="D550" s="49" t="s">
        <v>256</v>
      </c>
      <c r="E550" s="49" t="str">
        <f>B549&amp;C550</f>
        <v>Tupelo, MSTAX</v>
      </c>
      <c r="F550" s="56">
        <v>51.3</v>
      </c>
      <c r="G550" s="56">
        <v>55.8</v>
      </c>
      <c r="H550" s="56">
        <v>64.3</v>
      </c>
      <c r="I550" s="56">
        <v>73</v>
      </c>
      <c r="J550" s="56">
        <v>80.599999999999994</v>
      </c>
      <c r="K550" s="56">
        <v>87.4</v>
      </c>
      <c r="L550" s="56">
        <v>90.1</v>
      </c>
      <c r="M550" s="56">
        <v>90.1</v>
      </c>
      <c r="N550" s="56">
        <v>84.2</v>
      </c>
      <c r="O550" s="56">
        <v>74.2</v>
      </c>
      <c r="P550" s="56">
        <v>62.9</v>
      </c>
      <c r="Q550" s="56">
        <v>52.8</v>
      </c>
      <c r="R550" s="57">
        <v>72.2</v>
      </c>
    </row>
    <row r="551" spans="2:18" x14ac:dyDescent="0.4">
      <c r="B551" s="50"/>
      <c r="C551" s="51" t="s">
        <v>258</v>
      </c>
      <c r="D551" s="49" t="s">
        <v>259</v>
      </c>
      <c r="E551" s="49" t="str">
        <f>B549&amp;C551</f>
        <v>Tupelo, MSV</v>
      </c>
      <c r="F551" s="56">
        <v>7.6</v>
      </c>
      <c r="G551" s="56">
        <v>7.8</v>
      </c>
      <c r="H551" s="56">
        <v>8.1</v>
      </c>
      <c r="I551" s="56">
        <v>7.6</v>
      </c>
      <c r="J551" s="56">
        <v>6.3</v>
      </c>
      <c r="K551" s="56">
        <v>5.4</v>
      </c>
      <c r="L551" s="56">
        <v>4.7</v>
      </c>
      <c r="M551" s="56">
        <v>4.7</v>
      </c>
      <c r="N551" s="56">
        <v>5.6</v>
      </c>
      <c r="O551" s="56">
        <v>5.6</v>
      </c>
      <c r="P551" s="56">
        <v>6</v>
      </c>
      <c r="Q551" s="56">
        <v>6.9</v>
      </c>
      <c r="R551" s="57">
        <v>6.3</v>
      </c>
    </row>
    <row r="552" spans="2:18" x14ac:dyDescent="0.4">
      <c r="B552" s="50"/>
      <c r="C552" s="51" t="s">
        <v>260</v>
      </c>
      <c r="D552" s="49" t="s">
        <v>261</v>
      </c>
      <c r="E552" s="49" t="str">
        <f>B549&amp;C552</f>
        <v>Tupelo, MSI</v>
      </c>
      <c r="F552" s="56">
        <v>730</v>
      </c>
      <c r="G552" s="56">
        <v>964</v>
      </c>
      <c r="H552" s="56">
        <v>1309</v>
      </c>
      <c r="I552" s="56">
        <v>1682</v>
      </c>
      <c r="J552" s="56">
        <v>1912</v>
      </c>
      <c r="K552" s="56">
        <v>2026</v>
      </c>
      <c r="L552" s="56">
        <v>1990</v>
      </c>
      <c r="M552" s="56">
        <v>1849</v>
      </c>
      <c r="N552" s="56">
        <v>1536</v>
      </c>
      <c r="O552" s="56">
        <v>1201</v>
      </c>
      <c r="P552" s="56">
        <v>832</v>
      </c>
      <c r="Q552" s="56">
        <v>648</v>
      </c>
      <c r="R552" s="57">
        <v>1390</v>
      </c>
    </row>
    <row r="553" spans="2:18" x14ac:dyDescent="0.4">
      <c r="B553" s="50"/>
      <c r="C553" s="51" t="s">
        <v>262</v>
      </c>
      <c r="D553" s="49" t="s">
        <v>263</v>
      </c>
      <c r="E553" s="49" t="str">
        <f>B549&amp;C553</f>
        <v>Tupelo, MSPA</v>
      </c>
      <c r="F553" s="58" t="s">
        <v>506</v>
      </c>
      <c r="G553" s="58" t="s">
        <v>506</v>
      </c>
      <c r="H553" s="58" t="s">
        <v>506</v>
      </c>
      <c r="I553" s="58" t="s">
        <v>506</v>
      </c>
      <c r="J553" s="58" t="s">
        <v>506</v>
      </c>
      <c r="K553" s="58" t="s">
        <v>506</v>
      </c>
      <c r="L553" s="58" t="s">
        <v>506</v>
      </c>
      <c r="M553" s="58" t="s">
        <v>506</v>
      </c>
      <c r="N553" s="58" t="s">
        <v>506</v>
      </c>
      <c r="O553" s="58" t="s">
        <v>506</v>
      </c>
      <c r="P553" s="58" t="s">
        <v>506</v>
      </c>
      <c r="Q553" s="58" t="s">
        <v>506</v>
      </c>
      <c r="R553" s="57">
        <v>14.5</v>
      </c>
    </row>
    <row r="554" spans="2:18" ht="20.6" x14ac:dyDescent="0.4">
      <c r="B554" s="48" t="s">
        <v>373</v>
      </c>
      <c r="C554" s="51" t="s">
        <v>255</v>
      </c>
      <c r="D554" s="49" t="s">
        <v>256</v>
      </c>
      <c r="E554" s="49" t="str">
        <f>B554&amp;C554</f>
        <v>Columbia_MO, MOTAN</v>
      </c>
      <c r="F554" s="56">
        <v>21.4</v>
      </c>
      <c r="G554" s="56">
        <v>26</v>
      </c>
      <c r="H554" s="56">
        <v>34.200000000000003</v>
      </c>
      <c r="I554" s="56">
        <v>44.8</v>
      </c>
      <c r="J554" s="56">
        <v>54.6</v>
      </c>
      <c r="K554" s="56">
        <v>63.3</v>
      </c>
      <c r="L554" s="56">
        <v>67.3</v>
      </c>
      <c r="M554" s="56">
        <v>65.900000000000006</v>
      </c>
      <c r="N554" s="56">
        <v>56.7</v>
      </c>
      <c r="O554" s="56">
        <v>46</v>
      </c>
      <c r="P554" s="56">
        <v>35.4</v>
      </c>
      <c r="Q554" s="56">
        <v>25.3</v>
      </c>
      <c r="R554" s="57">
        <v>45.1</v>
      </c>
    </row>
    <row r="555" spans="2:18" ht="20.6" x14ac:dyDescent="0.4">
      <c r="B555" s="50"/>
      <c r="C555" s="51" t="s">
        <v>257</v>
      </c>
      <c r="D555" s="49" t="s">
        <v>256</v>
      </c>
      <c r="E555" s="49" t="str">
        <f>B554&amp;C555</f>
        <v>Columbia_MO, MOTAX</v>
      </c>
      <c r="F555" s="56">
        <v>37.6</v>
      </c>
      <c r="G555" s="56">
        <v>43.9</v>
      </c>
      <c r="H555" s="56">
        <v>54.5</v>
      </c>
      <c r="I555" s="56">
        <v>65.400000000000006</v>
      </c>
      <c r="J555" s="56">
        <v>74</v>
      </c>
      <c r="K555" s="56">
        <v>82.2</v>
      </c>
      <c r="L555" s="56">
        <v>86.6</v>
      </c>
      <c r="M555" s="56">
        <v>86.5</v>
      </c>
      <c r="N555" s="56">
        <v>77.8</v>
      </c>
      <c r="O555" s="56">
        <v>66.7</v>
      </c>
      <c r="P555" s="56">
        <v>53.2</v>
      </c>
      <c r="Q555" s="56">
        <v>41.4</v>
      </c>
      <c r="R555" s="57">
        <v>64.2</v>
      </c>
    </row>
    <row r="556" spans="2:18" x14ac:dyDescent="0.4">
      <c r="B556" s="50"/>
      <c r="C556" s="51" t="s">
        <v>258</v>
      </c>
      <c r="D556" s="49" t="s">
        <v>259</v>
      </c>
      <c r="E556" s="49" t="str">
        <f>B554&amp;C556</f>
        <v>Columbia_MO, MOV</v>
      </c>
      <c r="F556" s="56">
        <v>10.3</v>
      </c>
      <c r="G556" s="56">
        <v>10.5</v>
      </c>
      <c r="H556" s="56">
        <v>11.2</v>
      </c>
      <c r="I556" s="56">
        <v>11.2</v>
      </c>
      <c r="J556" s="56">
        <v>9.1999999999999993</v>
      </c>
      <c r="K556" s="56">
        <v>8.1</v>
      </c>
      <c r="L556" s="56">
        <v>7.4</v>
      </c>
      <c r="M556" s="56">
        <v>7.2</v>
      </c>
      <c r="N556" s="56">
        <v>7.8</v>
      </c>
      <c r="O556" s="56">
        <v>9.1999999999999993</v>
      </c>
      <c r="P556" s="56">
        <v>10.1</v>
      </c>
      <c r="Q556" s="56">
        <v>10.1</v>
      </c>
      <c r="R556" s="57">
        <v>9.4</v>
      </c>
    </row>
    <row r="557" spans="2:18" x14ac:dyDescent="0.4">
      <c r="B557" s="50"/>
      <c r="C557" s="51" t="s">
        <v>260</v>
      </c>
      <c r="D557" s="49" t="s">
        <v>261</v>
      </c>
      <c r="E557" s="49" t="str">
        <f>B554&amp;C557</f>
        <v>Columbia_MO, MOI</v>
      </c>
      <c r="F557" s="56">
        <v>629</v>
      </c>
      <c r="G557" s="56">
        <v>886</v>
      </c>
      <c r="H557" s="56">
        <v>1251</v>
      </c>
      <c r="I557" s="56">
        <v>1575</v>
      </c>
      <c r="J557" s="56">
        <v>1808</v>
      </c>
      <c r="K557" s="56">
        <v>2033</v>
      </c>
      <c r="L557" s="56">
        <v>2027</v>
      </c>
      <c r="M557" s="56">
        <v>1823</v>
      </c>
      <c r="N557" s="56">
        <v>1490</v>
      </c>
      <c r="O557" s="56">
        <v>1070</v>
      </c>
      <c r="P557" s="56">
        <v>690</v>
      </c>
      <c r="Q557" s="56">
        <v>556</v>
      </c>
      <c r="R557" s="57">
        <v>1320</v>
      </c>
    </row>
    <row r="558" spans="2:18" ht="20.6" x14ac:dyDescent="0.4">
      <c r="B558" s="50"/>
      <c r="C558" s="51" t="s">
        <v>262</v>
      </c>
      <c r="D558" s="49" t="s">
        <v>263</v>
      </c>
      <c r="E558" s="49" t="str">
        <f>B554&amp;C558</f>
        <v>Columbia_MO, MOPA</v>
      </c>
      <c r="F558" s="58" t="s">
        <v>506</v>
      </c>
      <c r="G558" s="58" t="s">
        <v>506</v>
      </c>
      <c r="H558" s="58" t="s">
        <v>506</v>
      </c>
      <c r="I558" s="58" t="s">
        <v>506</v>
      </c>
      <c r="J558" s="58" t="s">
        <v>506</v>
      </c>
      <c r="K558" s="58" t="s">
        <v>506</v>
      </c>
      <c r="L558" s="58" t="s">
        <v>506</v>
      </c>
      <c r="M558" s="58" t="s">
        <v>506</v>
      </c>
      <c r="N558" s="58" t="s">
        <v>506</v>
      </c>
      <c r="O558" s="58" t="s">
        <v>506</v>
      </c>
      <c r="P558" s="58" t="s">
        <v>506</v>
      </c>
      <c r="Q558" s="58" t="s">
        <v>506</v>
      </c>
      <c r="R558" s="57">
        <v>14.23</v>
      </c>
    </row>
    <row r="559" spans="2:18" x14ac:dyDescent="0.4">
      <c r="B559" s="48" t="s">
        <v>374</v>
      </c>
      <c r="C559" s="51" t="s">
        <v>255</v>
      </c>
      <c r="D559" s="49" t="s">
        <v>256</v>
      </c>
      <c r="E559" s="49" t="str">
        <f>B559&amp;C559</f>
        <v>Kansas City, MOTAN</v>
      </c>
      <c r="F559" s="56">
        <v>20.399999999999999</v>
      </c>
      <c r="G559" s="56">
        <v>25.2</v>
      </c>
      <c r="H559" s="56">
        <v>33.9</v>
      </c>
      <c r="I559" s="56">
        <v>44.9</v>
      </c>
      <c r="J559" s="56">
        <v>55.1</v>
      </c>
      <c r="K559" s="56">
        <v>64.3</v>
      </c>
      <c r="L559" s="56">
        <v>68.8</v>
      </c>
      <c r="M559" s="56">
        <v>67.5</v>
      </c>
      <c r="N559" s="56">
        <v>57.6</v>
      </c>
      <c r="O559" s="56">
        <v>46.8</v>
      </c>
      <c r="P559" s="56">
        <v>34.9</v>
      </c>
      <c r="Q559" s="56">
        <v>24.5</v>
      </c>
      <c r="R559" s="57">
        <v>45.3</v>
      </c>
    </row>
    <row r="560" spans="2:18" x14ac:dyDescent="0.4">
      <c r="B560" s="50"/>
      <c r="C560" s="51" t="s">
        <v>257</v>
      </c>
      <c r="D560" s="49" t="s">
        <v>256</v>
      </c>
      <c r="E560" s="49" t="str">
        <f>B559&amp;C560</f>
        <v>Kansas City, MOTAX</v>
      </c>
      <c r="F560" s="56">
        <v>37.1</v>
      </c>
      <c r="G560" s="56">
        <v>43.4</v>
      </c>
      <c r="H560" s="56">
        <v>54.2</v>
      </c>
      <c r="I560" s="56">
        <v>64.8</v>
      </c>
      <c r="J560" s="56">
        <v>74.2</v>
      </c>
      <c r="K560" s="56">
        <v>82.7</v>
      </c>
      <c r="L560" s="56">
        <v>87.2</v>
      </c>
      <c r="M560" s="56">
        <v>86.8</v>
      </c>
      <c r="N560" s="56">
        <v>78.099999999999994</v>
      </c>
      <c r="O560" s="56">
        <v>66.5</v>
      </c>
      <c r="P560" s="56">
        <v>52.5</v>
      </c>
      <c r="Q560" s="56">
        <v>40.799999999999997</v>
      </c>
      <c r="R560" s="57">
        <v>64</v>
      </c>
    </row>
    <row r="561" spans="2:18" x14ac:dyDescent="0.4">
      <c r="B561" s="50"/>
      <c r="C561" s="51" t="s">
        <v>258</v>
      </c>
      <c r="D561" s="49" t="s">
        <v>259</v>
      </c>
      <c r="E561" s="49" t="str">
        <f>B559&amp;C561</f>
        <v>Kansas City, MOV</v>
      </c>
      <c r="F561" s="56">
        <v>10.7</v>
      </c>
      <c r="G561" s="56">
        <v>10.7</v>
      </c>
      <c r="H561" s="56">
        <v>11.9</v>
      </c>
      <c r="I561" s="56">
        <v>12.3</v>
      </c>
      <c r="J561" s="56">
        <v>10.3</v>
      </c>
      <c r="K561" s="56">
        <v>9.6</v>
      </c>
      <c r="L561" s="56">
        <v>8.6999999999999993</v>
      </c>
      <c r="M561" s="56">
        <v>8.5</v>
      </c>
      <c r="N561" s="56">
        <v>9.1999999999999993</v>
      </c>
      <c r="O561" s="56">
        <v>10.3</v>
      </c>
      <c r="P561" s="56">
        <v>10.7</v>
      </c>
      <c r="Q561" s="56">
        <v>10.5</v>
      </c>
      <c r="R561" s="57">
        <v>10.3</v>
      </c>
    </row>
    <row r="562" spans="2:18" x14ac:dyDescent="0.4">
      <c r="B562" s="50"/>
      <c r="C562" s="51" t="s">
        <v>260</v>
      </c>
      <c r="D562" s="49" t="s">
        <v>261</v>
      </c>
      <c r="E562" s="49" t="str">
        <f>B559&amp;C562</f>
        <v>Kansas City, MOI</v>
      </c>
      <c r="F562" s="56">
        <v>641</v>
      </c>
      <c r="G562" s="56">
        <v>929</v>
      </c>
      <c r="H562" s="56">
        <v>1273</v>
      </c>
      <c r="I562" s="56">
        <v>1566</v>
      </c>
      <c r="J562" s="56">
        <v>1815</v>
      </c>
      <c r="K562" s="56">
        <v>1999</v>
      </c>
      <c r="L562" s="56">
        <v>2028</v>
      </c>
      <c r="M562" s="56">
        <v>1823</v>
      </c>
      <c r="N562" s="56">
        <v>1488</v>
      </c>
      <c r="O562" s="56">
        <v>1074</v>
      </c>
      <c r="P562" s="56">
        <v>701</v>
      </c>
      <c r="Q562" s="56">
        <v>566</v>
      </c>
      <c r="R562" s="57">
        <v>1325</v>
      </c>
    </row>
    <row r="563" spans="2:18" x14ac:dyDescent="0.4">
      <c r="B563" s="50"/>
      <c r="C563" s="51" t="s">
        <v>262</v>
      </c>
      <c r="D563" s="49" t="s">
        <v>263</v>
      </c>
      <c r="E563" s="49" t="str">
        <f>B559&amp;C563</f>
        <v>Kansas City, MOPA</v>
      </c>
      <c r="F563" s="58" t="s">
        <v>506</v>
      </c>
      <c r="G563" s="58" t="s">
        <v>506</v>
      </c>
      <c r="H563" s="58" t="s">
        <v>506</v>
      </c>
      <c r="I563" s="58" t="s">
        <v>506</v>
      </c>
      <c r="J563" s="58" t="s">
        <v>506</v>
      </c>
      <c r="K563" s="58" t="s">
        <v>506</v>
      </c>
      <c r="L563" s="58" t="s">
        <v>506</v>
      </c>
      <c r="M563" s="58" t="s">
        <v>506</v>
      </c>
      <c r="N563" s="58" t="s">
        <v>506</v>
      </c>
      <c r="O563" s="58" t="s">
        <v>506</v>
      </c>
      <c r="P563" s="58" t="s">
        <v>506</v>
      </c>
      <c r="Q563" s="58" t="s">
        <v>506</v>
      </c>
      <c r="R563" s="57">
        <v>14.18</v>
      </c>
    </row>
    <row r="564" spans="2:18" ht="20.6" x14ac:dyDescent="0.4">
      <c r="B564" s="48" t="s">
        <v>375</v>
      </c>
      <c r="C564" s="51" t="s">
        <v>255</v>
      </c>
      <c r="D564" s="49" t="s">
        <v>256</v>
      </c>
      <c r="E564" s="49" t="str">
        <f>B564&amp;C564</f>
        <v>Springfield_MO, MOTAN</v>
      </c>
      <c r="F564" s="56">
        <v>24.3</v>
      </c>
      <c r="G564" s="56">
        <v>28.5</v>
      </c>
      <c r="H564" s="56">
        <v>35.799999999999997</v>
      </c>
      <c r="I564" s="56">
        <v>45.6</v>
      </c>
      <c r="J564" s="56">
        <v>55.5</v>
      </c>
      <c r="K564" s="56">
        <v>63.9</v>
      </c>
      <c r="L564" s="56">
        <v>68.3</v>
      </c>
      <c r="M564" s="56">
        <v>67.3</v>
      </c>
      <c r="N564" s="56">
        <v>58.2</v>
      </c>
      <c r="O564" s="56">
        <v>47.3</v>
      </c>
      <c r="P564" s="56">
        <v>36.6</v>
      </c>
      <c r="Q564" s="56">
        <v>27.1</v>
      </c>
      <c r="R564" s="57">
        <v>46.5</v>
      </c>
    </row>
    <row r="565" spans="2:18" ht="20.6" x14ac:dyDescent="0.4">
      <c r="B565" s="50"/>
      <c r="C565" s="51" t="s">
        <v>257</v>
      </c>
      <c r="D565" s="49" t="s">
        <v>256</v>
      </c>
      <c r="E565" s="49" t="str">
        <f>B564&amp;C565</f>
        <v>Springfield_MO, MOTAX</v>
      </c>
      <c r="F565" s="56">
        <v>42.3</v>
      </c>
      <c r="G565" s="56">
        <v>48.2</v>
      </c>
      <c r="H565" s="56">
        <v>56.8</v>
      </c>
      <c r="I565" s="56">
        <v>66.599999999999994</v>
      </c>
      <c r="J565" s="56">
        <v>74.5</v>
      </c>
      <c r="K565" s="56">
        <v>82.9</v>
      </c>
      <c r="L565" s="56">
        <v>87.4</v>
      </c>
      <c r="M565" s="56">
        <v>87.9</v>
      </c>
      <c r="N565" s="56">
        <v>79.2</v>
      </c>
      <c r="O565" s="56">
        <v>68.400000000000006</v>
      </c>
      <c r="P565" s="56">
        <v>55.7</v>
      </c>
      <c r="Q565" s="56">
        <v>44.8</v>
      </c>
      <c r="R565" s="57">
        <v>66.2</v>
      </c>
    </row>
    <row r="566" spans="2:18" ht="20.6" x14ac:dyDescent="0.4">
      <c r="B566" s="50"/>
      <c r="C566" s="51" t="s">
        <v>258</v>
      </c>
      <c r="D566" s="49" t="s">
        <v>259</v>
      </c>
      <c r="E566" s="49" t="str">
        <f>B564&amp;C566</f>
        <v>Springfield_MO, MOV</v>
      </c>
      <c r="F566" s="56">
        <v>9.8000000000000007</v>
      </c>
      <c r="G566" s="56">
        <v>10.1</v>
      </c>
      <c r="H566" s="56">
        <v>11</v>
      </c>
      <c r="I566" s="56">
        <v>10.7</v>
      </c>
      <c r="J566" s="56">
        <v>8.9</v>
      </c>
      <c r="K566" s="56">
        <v>8.1</v>
      </c>
      <c r="L566" s="56">
        <v>7.2</v>
      </c>
      <c r="M566" s="56">
        <v>7.2</v>
      </c>
      <c r="N566" s="56">
        <v>7.8</v>
      </c>
      <c r="O566" s="56">
        <v>8.9</v>
      </c>
      <c r="P566" s="56">
        <v>9.8000000000000007</v>
      </c>
      <c r="Q566" s="56">
        <v>9.8000000000000007</v>
      </c>
      <c r="R566" s="57">
        <v>9.1999999999999993</v>
      </c>
    </row>
    <row r="567" spans="2:18" x14ac:dyDescent="0.4">
      <c r="B567" s="50"/>
      <c r="C567" s="51" t="s">
        <v>260</v>
      </c>
      <c r="D567" s="49" t="s">
        <v>261</v>
      </c>
      <c r="E567" s="49" t="str">
        <f>B564&amp;C567</f>
        <v>Springfield_MO, MOI</v>
      </c>
      <c r="F567" s="56">
        <v>677</v>
      </c>
      <c r="G567" s="56">
        <v>929</v>
      </c>
      <c r="H567" s="56">
        <v>1242</v>
      </c>
      <c r="I567" s="56">
        <v>1593</v>
      </c>
      <c r="J567" s="56">
        <v>1783</v>
      </c>
      <c r="K567" s="56">
        <v>1996</v>
      </c>
      <c r="L567" s="56">
        <v>2030</v>
      </c>
      <c r="M567" s="56">
        <v>1868</v>
      </c>
      <c r="N567" s="56">
        <v>1494</v>
      </c>
      <c r="O567" s="56">
        <v>1129</v>
      </c>
      <c r="P567" s="56">
        <v>742</v>
      </c>
      <c r="Q567" s="56">
        <v>601</v>
      </c>
      <c r="R567" s="57">
        <v>1340</v>
      </c>
    </row>
    <row r="568" spans="2:18" ht="20.6" x14ac:dyDescent="0.4">
      <c r="B568" s="50"/>
      <c r="C568" s="51" t="s">
        <v>262</v>
      </c>
      <c r="D568" s="49" t="s">
        <v>263</v>
      </c>
      <c r="E568" s="49" t="str">
        <f>B564&amp;C568</f>
        <v>Springfield_MO, MOPA</v>
      </c>
      <c r="F568" s="58" t="s">
        <v>506</v>
      </c>
      <c r="G568" s="58" t="s">
        <v>506</v>
      </c>
      <c r="H568" s="58" t="s">
        <v>506</v>
      </c>
      <c r="I568" s="58" t="s">
        <v>506</v>
      </c>
      <c r="J568" s="58" t="s">
        <v>506</v>
      </c>
      <c r="K568" s="58" t="s">
        <v>506</v>
      </c>
      <c r="L568" s="58" t="s">
        <v>506</v>
      </c>
      <c r="M568" s="58" t="s">
        <v>506</v>
      </c>
      <c r="N568" s="58" t="s">
        <v>506</v>
      </c>
      <c r="O568" s="58" t="s">
        <v>506</v>
      </c>
      <c r="P568" s="58" t="s">
        <v>506</v>
      </c>
      <c r="Q568" s="58" t="s">
        <v>506</v>
      </c>
      <c r="R568" s="57">
        <v>14.04</v>
      </c>
    </row>
    <row r="569" spans="2:18" ht="23.15" x14ac:dyDescent="0.4">
      <c r="B569" s="48" t="s">
        <v>376</v>
      </c>
      <c r="C569" s="51" t="s">
        <v>255</v>
      </c>
      <c r="D569" s="49" t="s">
        <v>256</v>
      </c>
      <c r="E569" s="49" t="str">
        <f>B569&amp;C569</f>
        <v>St Louis - Lambert, MOTAN</v>
      </c>
      <c r="F569" s="56">
        <v>24.6</v>
      </c>
      <c r="G569" s="56">
        <v>28.7</v>
      </c>
      <c r="H569" s="56">
        <v>37.200000000000003</v>
      </c>
      <c r="I569" s="56">
        <v>47.9</v>
      </c>
      <c r="J569" s="56">
        <v>58.2</v>
      </c>
      <c r="K569" s="56">
        <v>67.2</v>
      </c>
      <c r="L569" s="56">
        <v>71.3</v>
      </c>
      <c r="M569" s="56">
        <v>70</v>
      </c>
      <c r="N569" s="56">
        <v>60.9</v>
      </c>
      <c r="O569" s="56">
        <v>49.6</v>
      </c>
      <c r="P569" s="56">
        <v>38.5</v>
      </c>
      <c r="Q569" s="56">
        <v>28.5</v>
      </c>
      <c r="R569" s="57">
        <v>48.5</v>
      </c>
    </row>
    <row r="570" spans="2:18" ht="20.6" x14ac:dyDescent="0.4">
      <c r="B570" s="50"/>
      <c r="C570" s="51" t="s">
        <v>257</v>
      </c>
      <c r="D570" s="49" t="s">
        <v>256</v>
      </c>
      <c r="E570" s="49" t="str">
        <f>B569&amp;C570</f>
        <v>St Louis - Lambert, MOTAX</v>
      </c>
      <c r="F570" s="56">
        <v>39.200000000000003</v>
      </c>
      <c r="G570" s="56">
        <v>45.1</v>
      </c>
      <c r="H570" s="56">
        <v>55.5</v>
      </c>
      <c r="I570" s="56">
        <v>67</v>
      </c>
      <c r="J570" s="56">
        <v>75.7</v>
      </c>
      <c r="K570" s="56">
        <v>84.3</v>
      </c>
      <c r="L570" s="56">
        <v>88.1</v>
      </c>
      <c r="M570" s="56">
        <v>87.3</v>
      </c>
      <c r="N570" s="56">
        <v>79.400000000000006</v>
      </c>
      <c r="O570" s="56">
        <v>68.2</v>
      </c>
      <c r="P570" s="56">
        <v>54.7</v>
      </c>
      <c r="Q570" s="56">
        <v>42.8</v>
      </c>
      <c r="R570" s="57">
        <v>65.599999999999994</v>
      </c>
    </row>
    <row r="571" spans="2:18" ht="20.6" x14ac:dyDescent="0.4">
      <c r="B571" s="50"/>
      <c r="C571" s="51" t="s">
        <v>258</v>
      </c>
      <c r="D571" s="49" t="s">
        <v>259</v>
      </c>
      <c r="E571" s="49" t="str">
        <f>B569&amp;C571</f>
        <v>St Louis - Lambert, MOV</v>
      </c>
      <c r="F571" s="56">
        <v>9.8000000000000007</v>
      </c>
      <c r="G571" s="56">
        <v>10.1</v>
      </c>
      <c r="H571" s="56">
        <v>10.5</v>
      </c>
      <c r="I571" s="56">
        <v>10.5</v>
      </c>
      <c r="J571" s="56">
        <v>9.1999999999999993</v>
      </c>
      <c r="K571" s="56">
        <v>8.1</v>
      </c>
      <c r="L571" s="56">
        <v>7.6</v>
      </c>
      <c r="M571" s="56">
        <v>7.2</v>
      </c>
      <c r="N571" s="56">
        <v>7.4</v>
      </c>
      <c r="O571" s="56">
        <v>8.5</v>
      </c>
      <c r="P571" s="56">
        <v>9.4</v>
      </c>
      <c r="Q571" s="56">
        <v>9.6</v>
      </c>
      <c r="R571" s="57">
        <v>8.9</v>
      </c>
    </row>
    <row r="572" spans="2:18" ht="20.6" x14ac:dyDescent="0.4">
      <c r="B572" s="50"/>
      <c r="C572" s="51" t="s">
        <v>260</v>
      </c>
      <c r="D572" s="49" t="s">
        <v>261</v>
      </c>
      <c r="E572" s="49" t="str">
        <f>B569&amp;C572</f>
        <v>St Louis - Lambert, MOI</v>
      </c>
      <c r="F572" s="56">
        <v>598</v>
      </c>
      <c r="G572" s="56">
        <v>882</v>
      </c>
      <c r="H572" s="56">
        <v>1217</v>
      </c>
      <c r="I572" s="56">
        <v>1557</v>
      </c>
      <c r="J572" s="56">
        <v>1765</v>
      </c>
      <c r="K572" s="56">
        <v>2007</v>
      </c>
      <c r="L572" s="56">
        <v>1978</v>
      </c>
      <c r="M572" s="56">
        <v>1802</v>
      </c>
      <c r="N572" s="56">
        <v>1471</v>
      </c>
      <c r="O572" s="56">
        <v>1076</v>
      </c>
      <c r="P572" s="56">
        <v>703</v>
      </c>
      <c r="Q572" s="56">
        <v>537</v>
      </c>
      <c r="R572" s="57">
        <v>1299</v>
      </c>
    </row>
    <row r="573" spans="2:18" ht="20.6" x14ac:dyDescent="0.4">
      <c r="B573" s="50"/>
      <c r="C573" s="51" t="s">
        <v>262</v>
      </c>
      <c r="D573" s="49" t="s">
        <v>263</v>
      </c>
      <c r="E573" s="49" t="str">
        <f>B569&amp;C573</f>
        <v>St Louis - Lambert, MOPA</v>
      </c>
      <c r="F573" s="58" t="s">
        <v>506</v>
      </c>
      <c r="G573" s="58" t="s">
        <v>506</v>
      </c>
      <c r="H573" s="58" t="s">
        <v>506</v>
      </c>
      <c r="I573" s="58" t="s">
        <v>506</v>
      </c>
      <c r="J573" s="58" t="s">
        <v>506</v>
      </c>
      <c r="K573" s="58" t="s">
        <v>506</v>
      </c>
      <c r="L573" s="58" t="s">
        <v>506</v>
      </c>
      <c r="M573" s="58" t="s">
        <v>506</v>
      </c>
      <c r="N573" s="58" t="s">
        <v>506</v>
      </c>
      <c r="O573" s="58" t="s">
        <v>506</v>
      </c>
      <c r="P573" s="58" t="s">
        <v>506</v>
      </c>
      <c r="Q573" s="58" t="s">
        <v>506</v>
      </c>
      <c r="R573" s="57">
        <v>14.39</v>
      </c>
    </row>
    <row r="574" spans="2:18" ht="20.6" x14ac:dyDescent="0.4">
      <c r="B574" s="48" t="s">
        <v>377</v>
      </c>
      <c r="C574" s="51" t="s">
        <v>255</v>
      </c>
      <c r="D574" s="49" t="s">
        <v>256</v>
      </c>
      <c r="E574" s="49" t="str">
        <f>B574&amp;C574</f>
        <v>St Louis - Spirit, MOTAN</v>
      </c>
      <c r="F574" s="56">
        <v>22.6</v>
      </c>
      <c r="G574" s="56">
        <v>26.7</v>
      </c>
      <c r="H574" s="56">
        <v>34.6</v>
      </c>
      <c r="I574" s="56">
        <v>44.9</v>
      </c>
      <c r="J574" s="56">
        <v>55</v>
      </c>
      <c r="K574" s="56">
        <v>63.9</v>
      </c>
      <c r="L574" s="56">
        <v>67.900000000000006</v>
      </c>
      <c r="M574" s="56">
        <v>66</v>
      </c>
      <c r="N574" s="56">
        <v>56.3</v>
      </c>
      <c r="O574" s="56">
        <v>45.4</v>
      </c>
      <c r="P574" s="56">
        <v>35.4</v>
      </c>
      <c r="Q574" s="56">
        <v>26.2</v>
      </c>
      <c r="R574" s="57">
        <v>45.4</v>
      </c>
    </row>
    <row r="575" spans="2:18" ht="20.6" x14ac:dyDescent="0.4">
      <c r="B575" s="50"/>
      <c r="C575" s="51" t="s">
        <v>257</v>
      </c>
      <c r="D575" s="49" t="s">
        <v>256</v>
      </c>
      <c r="E575" s="49" t="str">
        <f>B574&amp;C575</f>
        <v>St Louis - Spirit, MOTAX</v>
      </c>
      <c r="F575" s="56">
        <v>39.6</v>
      </c>
      <c r="G575" s="56">
        <v>45.5</v>
      </c>
      <c r="H575" s="56">
        <v>56.3</v>
      </c>
      <c r="I575" s="56">
        <v>67.5</v>
      </c>
      <c r="J575" s="56">
        <v>75.8</v>
      </c>
      <c r="K575" s="56">
        <v>84.1</v>
      </c>
      <c r="L575" s="56">
        <v>88</v>
      </c>
      <c r="M575" s="56">
        <v>87.2</v>
      </c>
      <c r="N575" s="56">
        <v>79.400000000000006</v>
      </c>
      <c r="O575" s="56">
        <v>68.599999999999994</v>
      </c>
      <c r="P575" s="56">
        <v>55.3</v>
      </c>
      <c r="Q575" s="56">
        <v>43.3</v>
      </c>
      <c r="R575" s="57">
        <v>65.900000000000006</v>
      </c>
    </row>
    <row r="576" spans="2:18" x14ac:dyDescent="0.4">
      <c r="B576" s="50"/>
      <c r="C576" s="51" t="s">
        <v>258</v>
      </c>
      <c r="D576" s="49" t="s">
        <v>259</v>
      </c>
      <c r="E576" s="49" t="str">
        <f>B574&amp;C576</f>
        <v>St Louis - Spirit, MOV</v>
      </c>
      <c r="F576" s="56">
        <v>8.1</v>
      </c>
      <c r="G576" s="56">
        <v>8.1</v>
      </c>
      <c r="H576" s="56">
        <v>8.5</v>
      </c>
      <c r="I576" s="56">
        <v>8.6999999999999993</v>
      </c>
      <c r="J576" s="56">
        <v>6.7</v>
      </c>
      <c r="K576" s="56">
        <v>5.8</v>
      </c>
      <c r="L576" s="56">
        <v>5.4</v>
      </c>
      <c r="M576" s="56">
        <v>4.9000000000000004</v>
      </c>
      <c r="N576" s="56">
        <v>4.9000000000000004</v>
      </c>
      <c r="O576" s="56">
        <v>6.3</v>
      </c>
      <c r="P576" s="56">
        <v>7.4</v>
      </c>
      <c r="Q576" s="56">
        <v>7.4</v>
      </c>
      <c r="R576" s="57">
        <v>6.9</v>
      </c>
    </row>
    <row r="577" spans="2:18" x14ac:dyDescent="0.4">
      <c r="B577" s="50"/>
      <c r="C577" s="51" t="s">
        <v>260</v>
      </c>
      <c r="D577" s="49" t="s">
        <v>261</v>
      </c>
      <c r="E577" s="49" t="str">
        <f>B574&amp;C577</f>
        <v>St Louis - Spirit, MOI</v>
      </c>
      <c r="F577" s="56">
        <v>604</v>
      </c>
      <c r="G577" s="56">
        <v>888</v>
      </c>
      <c r="H577" s="56">
        <v>1226</v>
      </c>
      <c r="I577" s="56">
        <v>1570</v>
      </c>
      <c r="J577" s="56">
        <v>1763</v>
      </c>
      <c r="K577" s="56">
        <v>2009</v>
      </c>
      <c r="L577" s="56">
        <v>1992</v>
      </c>
      <c r="M577" s="56">
        <v>1811</v>
      </c>
      <c r="N577" s="56">
        <v>1467</v>
      </c>
      <c r="O577" s="56">
        <v>1073</v>
      </c>
      <c r="P577" s="56">
        <v>694</v>
      </c>
      <c r="Q577" s="56">
        <v>545</v>
      </c>
      <c r="R577" s="57">
        <v>1303</v>
      </c>
    </row>
    <row r="578" spans="2:18" ht="20.6" x14ac:dyDescent="0.4">
      <c r="B578" s="50"/>
      <c r="C578" s="51" t="s">
        <v>262</v>
      </c>
      <c r="D578" s="49" t="s">
        <v>263</v>
      </c>
      <c r="E578" s="49" t="str">
        <f>B574&amp;C578</f>
        <v>St Louis - Spirit, MOPA</v>
      </c>
      <c r="F578" s="58" t="s">
        <v>506</v>
      </c>
      <c r="G578" s="58" t="s">
        <v>506</v>
      </c>
      <c r="H578" s="58" t="s">
        <v>506</v>
      </c>
      <c r="I578" s="58" t="s">
        <v>506</v>
      </c>
      <c r="J578" s="58" t="s">
        <v>506</v>
      </c>
      <c r="K578" s="58" t="s">
        <v>506</v>
      </c>
      <c r="L578" s="58" t="s">
        <v>506</v>
      </c>
      <c r="M578" s="58" t="s">
        <v>506</v>
      </c>
      <c r="N578" s="58" t="s">
        <v>506</v>
      </c>
      <c r="O578" s="58" t="s">
        <v>506</v>
      </c>
      <c r="P578" s="58" t="s">
        <v>506</v>
      </c>
      <c r="Q578" s="58" t="s">
        <v>506</v>
      </c>
      <c r="R578" s="57">
        <v>14.45</v>
      </c>
    </row>
    <row r="579" spans="2:18" x14ac:dyDescent="0.4">
      <c r="B579" s="48" t="s">
        <v>378</v>
      </c>
      <c r="C579" s="51" t="s">
        <v>255</v>
      </c>
      <c r="D579" s="49" t="s">
        <v>256</v>
      </c>
      <c r="E579" s="49" t="str">
        <f>B579&amp;C579</f>
        <v>Billings, MTTAN</v>
      </c>
      <c r="F579" s="56">
        <v>18</v>
      </c>
      <c r="G579" s="56">
        <v>21.8</v>
      </c>
      <c r="H579" s="56">
        <v>27.3</v>
      </c>
      <c r="I579" s="56">
        <v>35.200000000000003</v>
      </c>
      <c r="J579" s="56">
        <v>44.2</v>
      </c>
      <c r="K579" s="56">
        <v>52.5</v>
      </c>
      <c r="L579" s="56">
        <v>59.6</v>
      </c>
      <c r="M579" s="56">
        <v>58</v>
      </c>
      <c r="N579" s="56">
        <v>48.8</v>
      </c>
      <c r="O579" s="56">
        <v>37.700000000000003</v>
      </c>
      <c r="P579" s="56">
        <v>27.3</v>
      </c>
      <c r="Q579" s="56">
        <v>19.600000000000001</v>
      </c>
      <c r="R579" s="57">
        <v>37.5</v>
      </c>
    </row>
    <row r="580" spans="2:18" x14ac:dyDescent="0.4">
      <c r="B580" s="50"/>
      <c r="C580" s="51" t="s">
        <v>257</v>
      </c>
      <c r="D580" s="49" t="s">
        <v>256</v>
      </c>
      <c r="E580" s="49" t="str">
        <f>B579&amp;C580</f>
        <v>Billings, MTTAX</v>
      </c>
      <c r="F580" s="56">
        <v>34.9</v>
      </c>
      <c r="G580" s="56">
        <v>40.1</v>
      </c>
      <c r="H580" s="56">
        <v>48</v>
      </c>
      <c r="I580" s="56">
        <v>56.1</v>
      </c>
      <c r="J580" s="56">
        <v>66.400000000000006</v>
      </c>
      <c r="K580" s="56">
        <v>75.099999999999994</v>
      </c>
      <c r="L580" s="56">
        <v>85.7</v>
      </c>
      <c r="M580" s="56">
        <v>84.8</v>
      </c>
      <c r="N580" s="56">
        <v>73</v>
      </c>
      <c r="O580" s="56">
        <v>58.1</v>
      </c>
      <c r="P580" s="56">
        <v>44.8</v>
      </c>
      <c r="Q580" s="56">
        <v>35.299999999999997</v>
      </c>
      <c r="R580" s="57">
        <v>58.5</v>
      </c>
    </row>
    <row r="581" spans="2:18" x14ac:dyDescent="0.4">
      <c r="B581" s="50"/>
      <c r="C581" s="51" t="s">
        <v>258</v>
      </c>
      <c r="D581" s="49" t="s">
        <v>259</v>
      </c>
      <c r="E581" s="49" t="str">
        <f>B579&amp;C581</f>
        <v>Billings, MTV</v>
      </c>
      <c r="F581" s="56">
        <v>12.8</v>
      </c>
      <c r="G581" s="56">
        <v>11.6</v>
      </c>
      <c r="H581" s="56">
        <v>10.7</v>
      </c>
      <c r="I581" s="56">
        <v>10.5</v>
      </c>
      <c r="J581" s="56">
        <v>9.8000000000000007</v>
      </c>
      <c r="K581" s="56">
        <v>9.4</v>
      </c>
      <c r="L581" s="56">
        <v>8.9</v>
      </c>
      <c r="M581" s="56">
        <v>8.9</v>
      </c>
      <c r="N581" s="56">
        <v>9.4</v>
      </c>
      <c r="O581" s="56">
        <v>10.5</v>
      </c>
      <c r="P581" s="56">
        <v>11.9</v>
      </c>
      <c r="Q581" s="56">
        <v>12.5</v>
      </c>
      <c r="R581" s="57">
        <v>10.5</v>
      </c>
    </row>
    <row r="582" spans="2:18" x14ac:dyDescent="0.4">
      <c r="B582" s="50"/>
      <c r="C582" s="51" t="s">
        <v>260</v>
      </c>
      <c r="D582" s="49" t="s">
        <v>261</v>
      </c>
      <c r="E582" s="49" t="str">
        <f>B579&amp;C582</f>
        <v>Billings, MTI</v>
      </c>
      <c r="F582" s="56">
        <v>478</v>
      </c>
      <c r="G582" s="56">
        <v>784</v>
      </c>
      <c r="H582" s="56">
        <v>1148</v>
      </c>
      <c r="I582" s="56">
        <v>1514</v>
      </c>
      <c r="J582" s="56">
        <v>1883</v>
      </c>
      <c r="K582" s="56">
        <v>2048</v>
      </c>
      <c r="L582" s="56">
        <v>2221</v>
      </c>
      <c r="M582" s="56">
        <v>1912</v>
      </c>
      <c r="N582" s="56">
        <v>1424</v>
      </c>
      <c r="O582" s="56">
        <v>903</v>
      </c>
      <c r="P582" s="56">
        <v>544</v>
      </c>
      <c r="Q582" s="56">
        <v>398</v>
      </c>
      <c r="R582" s="57">
        <v>1271</v>
      </c>
    </row>
    <row r="583" spans="2:18" x14ac:dyDescent="0.4">
      <c r="B583" s="50"/>
      <c r="C583" s="51" t="s">
        <v>262</v>
      </c>
      <c r="D583" s="49" t="s">
        <v>263</v>
      </c>
      <c r="E583" s="49" t="str">
        <f>B579&amp;C583</f>
        <v>Billings, MTPA</v>
      </c>
      <c r="F583" s="58" t="s">
        <v>506</v>
      </c>
      <c r="G583" s="58" t="s">
        <v>506</v>
      </c>
      <c r="H583" s="58" t="s">
        <v>506</v>
      </c>
      <c r="I583" s="58" t="s">
        <v>506</v>
      </c>
      <c r="J583" s="58" t="s">
        <v>506</v>
      </c>
      <c r="K583" s="58" t="s">
        <v>506</v>
      </c>
      <c r="L583" s="58" t="s">
        <v>506</v>
      </c>
      <c r="M583" s="58" t="s">
        <v>506</v>
      </c>
      <c r="N583" s="58" t="s">
        <v>506</v>
      </c>
      <c r="O583" s="58" t="s">
        <v>506</v>
      </c>
      <c r="P583" s="58" t="s">
        <v>506</v>
      </c>
      <c r="Q583" s="58" t="s">
        <v>506</v>
      </c>
      <c r="R583" s="57">
        <v>12.92</v>
      </c>
    </row>
    <row r="584" spans="2:18" x14ac:dyDescent="0.4">
      <c r="B584" s="48" t="s">
        <v>379</v>
      </c>
      <c r="C584" s="51" t="s">
        <v>255</v>
      </c>
      <c r="D584" s="49" t="s">
        <v>256</v>
      </c>
      <c r="E584" s="49" t="str">
        <f>B584&amp;C584</f>
        <v>Glasgow, MTTAN</v>
      </c>
      <c r="F584" s="56">
        <v>3.8</v>
      </c>
      <c r="G584" s="56">
        <v>9.8000000000000007</v>
      </c>
      <c r="H584" s="56">
        <v>20.6</v>
      </c>
      <c r="I584" s="56">
        <v>32.299999999999997</v>
      </c>
      <c r="J584" s="56">
        <v>42.2</v>
      </c>
      <c r="K584" s="56">
        <v>51.5</v>
      </c>
      <c r="L584" s="56">
        <v>57.4</v>
      </c>
      <c r="M584" s="56">
        <v>56.3</v>
      </c>
      <c r="N584" s="56">
        <v>45.6</v>
      </c>
      <c r="O584" s="56">
        <v>32.9</v>
      </c>
      <c r="P584" s="56">
        <v>19.899999999999999</v>
      </c>
      <c r="Q584" s="56">
        <v>8.3000000000000007</v>
      </c>
      <c r="R584" s="57">
        <v>31.7</v>
      </c>
    </row>
    <row r="585" spans="2:18" x14ac:dyDescent="0.4">
      <c r="B585" s="50"/>
      <c r="C585" s="51" t="s">
        <v>257</v>
      </c>
      <c r="D585" s="49" t="s">
        <v>256</v>
      </c>
      <c r="E585" s="49" t="str">
        <f>B584&amp;C585</f>
        <v>Glasgow, MTTAX</v>
      </c>
      <c r="F585" s="56">
        <v>21.7</v>
      </c>
      <c r="G585" s="56">
        <v>28.4</v>
      </c>
      <c r="H585" s="56">
        <v>41.4</v>
      </c>
      <c r="I585" s="56">
        <v>56.4</v>
      </c>
      <c r="J585" s="56">
        <v>66.5</v>
      </c>
      <c r="K585" s="56">
        <v>74.7</v>
      </c>
      <c r="L585" s="56">
        <v>83.9</v>
      </c>
      <c r="M585" s="56">
        <v>83.7</v>
      </c>
      <c r="N585" s="56">
        <v>72.099999999999994</v>
      </c>
      <c r="O585" s="56">
        <v>55.9</v>
      </c>
      <c r="P585" s="56">
        <v>39.4</v>
      </c>
      <c r="Q585" s="56">
        <v>26.3</v>
      </c>
      <c r="R585" s="57">
        <v>54.2</v>
      </c>
    </row>
    <row r="586" spans="2:18" x14ac:dyDescent="0.4">
      <c r="B586" s="50"/>
      <c r="C586" s="51" t="s">
        <v>258</v>
      </c>
      <c r="D586" s="49" t="s">
        <v>259</v>
      </c>
      <c r="E586" s="49" t="str">
        <f>B584&amp;C586</f>
        <v>Glasgow, MTV</v>
      </c>
      <c r="F586" s="56">
        <v>9.4</v>
      </c>
      <c r="G586" s="56">
        <v>9.4</v>
      </c>
      <c r="H586" s="56">
        <v>11</v>
      </c>
      <c r="I586" s="56">
        <v>12.1</v>
      </c>
      <c r="J586" s="56">
        <v>12.1</v>
      </c>
      <c r="K586" s="56">
        <v>11</v>
      </c>
      <c r="L586" s="56">
        <v>10.1</v>
      </c>
      <c r="M586" s="56">
        <v>10.7</v>
      </c>
      <c r="N586" s="56">
        <v>10.3</v>
      </c>
      <c r="O586" s="56">
        <v>10.3</v>
      </c>
      <c r="P586" s="56">
        <v>9.6</v>
      </c>
      <c r="Q586" s="56">
        <v>9.4</v>
      </c>
      <c r="R586" s="57">
        <v>10.5</v>
      </c>
    </row>
    <row r="587" spans="2:18" x14ac:dyDescent="0.4">
      <c r="B587" s="50"/>
      <c r="C587" s="51" t="s">
        <v>260</v>
      </c>
      <c r="D587" s="49" t="s">
        <v>261</v>
      </c>
      <c r="E587" s="49" t="str">
        <f>B584&amp;C587</f>
        <v>Glasgow, MTI</v>
      </c>
      <c r="F587" s="56">
        <v>366</v>
      </c>
      <c r="G587" s="56">
        <v>628</v>
      </c>
      <c r="H587" s="56">
        <v>1068</v>
      </c>
      <c r="I587" s="56">
        <v>1545</v>
      </c>
      <c r="J587" s="56">
        <v>1889</v>
      </c>
      <c r="K587" s="56">
        <v>2051</v>
      </c>
      <c r="L587" s="56">
        <v>2180</v>
      </c>
      <c r="M587" s="56">
        <v>1872</v>
      </c>
      <c r="N587" s="56">
        <v>1340</v>
      </c>
      <c r="O587" s="56">
        <v>834</v>
      </c>
      <c r="P587" s="56">
        <v>444</v>
      </c>
      <c r="Q587" s="56">
        <v>311</v>
      </c>
      <c r="R587" s="57">
        <v>1211</v>
      </c>
    </row>
    <row r="588" spans="2:18" x14ac:dyDescent="0.4">
      <c r="B588" s="50"/>
      <c r="C588" s="51" t="s">
        <v>262</v>
      </c>
      <c r="D588" s="49" t="s">
        <v>263</v>
      </c>
      <c r="E588" s="49" t="str">
        <f>B584&amp;C588</f>
        <v>Glasgow, MTPA</v>
      </c>
      <c r="F588" s="58" t="s">
        <v>506</v>
      </c>
      <c r="G588" s="58" t="s">
        <v>506</v>
      </c>
      <c r="H588" s="58" t="s">
        <v>506</v>
      </c>
      <c r="I588" s="58" t="s">
        <v>506</v>
      </c>
      <c r="J588" s="58" t="s">
        <v>506</v>
      </c>
      <c r="K588" s="58" t="s">
        <v>506</v>
      </c>
      <c r="L588" s="58" t="s">
        <v>506</v>
      </c>
      <c r="M588" s="58" t="s">
        <v>506</v>
      </c>
      <c r="N588" s="58" t="s">
        <v>506</v>
      </c>
      <c r="O588" s="58" t="s">
        <v>506</v>
      </c>
      <c r="P588" s="58" t="s">
        <v>506</v>
      </c>
      <c r="Q588" s="58" t="s">
        <v>506</v>
      </c>
      <c r="R588" s="57">
        <v>13.53</v>
      </c>
    </row>
    <row r="589" spans="2:18" x14ac:dyDescent="0.4">
      <c r="B589" s="48" t="s">
        <v>380</v>
      </c>
      <c r="C589" s="51" t="s">
        <v>255</v>
      </c>
      <c r="D589" s="49" t="s">
        <v>256</v>
      </c>
      <c r="E589" s="49" t="str">
        <f>B589&amp;C589</f>
        <v>Great Falls, MTTAN</v>
      </c>
      <c r="F589" s="56">
        <v>15.9</v>
      </c>
      <c r="G589" s="56">
        <v>18.8</v>
      </c>
      <c r="H589" s="56">
        <v>23.7</v>
      </c>
      <c r="I589" s="56">
        <v>31.6</v>
      </c>
      <c r="J589" s="56">
        <v>39.9</v>
      </c>
      <c r="K589" s="56">
        <v>47</v>
      </c>
      <c r="L589" s="56">
        <v>53</v>
      </c>
      <c r="M589" s="56">
        <v>51.7</v>
      </c>
      <c r="N589" s="56">
        <v>44</v>
      </c>
      <c r="O589" s="56">
        <v>34.200000000000003</v>
      </c>
      <c r="P589" s="56">
        <v>25.2</v>
      </c>
      <c r="Q589" s="56">
        <v>17.7</v>
      </c>
      <c r="R589" s="57">
        <v>33.5</v>
      </c>
    </row>
    <row r="590" spans="2:18" x14ac:dyDescent="0.4">
      <c r="B590" s="50"/>
      <c r="C590" s="51" t="s">
        <v>257</v>
      </c>
      <c r="D590" s="49" t="s">
        <v>256</v>
      </c>
      <c r="E590" s="49" t="str">
        <f>B589&amp;C590</f>
        <v>Great Falls, MTTAX</v>
      </c>
      <c r="F590" s="56">
        <v>34.1</v>
      </c>
      <c r="G590" s="56">
        <v>38.1</v>
      </c>
      <c r="H590" s="56">
        <v>45.2</v>
      </c>
      <c r="I590" s="56">
        <v>53.9</v>
      </c>
      <c r="J590" s="56">
        <v>63.7</v>
      </c>
      <c r="K590" s="56">
        <v>71.099999999999994</v>
      </c>
      <c r="L590" s="56">
        <v>82.7</v>
      </c>
      <c r="M590" s="56">
        <v>81.5</v>
      </c>
      <c r="N590" s="56">
        <v>70.5</v>
      </c>
      <c r="O590" s="56">
        <v>56.5</v>
      </c>
      <c r="P590" s="56">
        <v>42.7</v>
      </c>
      <c r="Q590" s="56">
        <v>35</v>
      </c>
      <c r="R590" s="57">
        <v>56.2</v>
      </c>
    </row>
    <row r="591" spans="2:18" x14ac:dyDescent="0.4">
      <c r="B591" s="50"/>
      <c r="C591" s="51" t="s">
        <v>258</v>
      </c>
      <c r="D591" s="49" t="s">
        <v>259</v>
      </c>
      <c r="E591" s="49" t="str">
        <f>B589&amp;C591</f>
        <v>Great Falls, MTV</v>
      </c>
      <c r="F591" s="56">
        <v>13.4</v>
      </c>
      <c r="G591" s="56">
        <v>11.9</v>
      </c>
      <c r="H591" s="56">
        <v>11.9</v>
      </c>
      <c r="I591" s="56">
        <v>11.2</v>
      </c>
      <c r="J591" s="56">
        <v>10.5</v>
      </c>
      <c r="K591" s="56">
        <v>9.8000000000000007</v>
      </c>
      <c r="L591" s="56">
        <v>8.9</v>
      </c>
      <c r="M591" s="56">
        <v>8.9</v>
      </c>
      <c r="N591" s="56">
        <v>10.1</v>
      </c>
      <c r="O591" s="56">
        <v>11.9</v>
      </c>
      <c r="P591" s="56">
        <v>13.4</v>
      </c>
      <c r="Q591" s="56">
        <v>13.6</v>
      </c>
      <c r="R591" s="57">
        <v>11.4</v>
      </c>
    </row>
    <row r="592" spans="2:18" x14ac:dyDescent="0.4">
      <c r="B592" s="50"/>
      <c r="C592" s="51" t="s">
        <v>260</v>
      </c>
      <c r="D592" s="49" t="s">
        <v>261</v>
      </c>
      <c r="E592" s="49" t="str">
        <f>B589&amp;C592</f>
        <v>Great Falls, MTI</v>
      </c>
      <c r="F592" s="56">
        <v>428</v>
      </c>
      <c r="G592" s="56">
        <v>706</v>
      </c>
      <c r="H592" s="56">
        <v>1106</v>
      </c>
      <c r="I592" s="56">
        <v>1450</v>
      </c>
      <c r="J592" s="56">
        <v>1806</v>
      </c>
      <c r="K592" s="56">
        <v>2001</v>
      </c>
      <c r="L592" s="56">
        <v>2163</v>
      </c>
      <c r="M592" s="56">
        <v>1857</v>
      </c>
      <c r="N592" s="56">
        <v>1360</v>
      </c>
      <c r="O592" s="56">
        <v>840</v>
      </c>
      <c r="P592" s="56">
        <v>465</v>
      </c>
      <c r="Q592" s="56">
        <v>358</v>
      </c>
      <c r="R592" s="57">
        <v>1212</v>
      </c>
    </row>
    <row r="593" spans="2:18" x14ac:dyDescent="0.4">
      <c r="B593" s="50"/>
      <c r="C593" s="51" t="s">
        <v>262</v>
      </c>
      <c r="D593" s="49" t="s">
        <v>263</v>
      </c>
      <c r="E593" s="49" t="str">
        <f>B589&amp;C593</f>
        <v>Great Falls, MTPA</v>
      </c>
      <c r="F593" s="58" t="s">
        <v>506</v>
      </c>
      <c r="G593" s="58" t="s">
        <v>506</v>
      </c>
      <c r="H593" s="58" t="s">
        <v>506</v>
      </c>
      <c r="I593" s="58" t="s">
        <v>506</v>
      </c>
      <c r="J593" s="58" t="s">
        <v>506</v>
      </c>
      <c r="K593" s="58" t="s">
        <v>506</v>
      </c>
      <c r="L593" s="58" t="s">
        <v>506</v>
      </c>
      <c r="M593" s="58" t="s">
        <v>506</v>
      </c>
      <c r="N593" s="58" t="s">
        <v>506</v>
      </c>
      <c r="O593" s="58" t="s">
        <v>506</v>
      </c>
      <c r="P593" s="58" t="s">
        <v>506</v>
      </c>
      <c r="Q593" s="58" t="s">
        <v>506</v>
      </c>
      <c r="R593" s="57">
        <v>12.88</v>
      </c>
    </row>
    <row r="594" spans="2:18" x14ac:dyDescent="0.4">
      <c r="B594" s="48" t="s">
        <v>381</v>
      </c>
      <c r="C594" s="51" t="s">
        <v>255</v>
      </c>
      <c r="D594" s="49" t="s">
        <v>256</v>
      </c>
      <c r="E594" s="49" t="str">
        <f>B594&amp;C594</f>
        <v>Harve City, MTTAN</v>
      </c>
      <c r="F594" s="56">
        <v>6.4</v>
      </c>
      <c r="G594" s="56">
        <v>12</v>
      </c>
      <c r="H594" s="56">
        <v>20.7</v>
      </c>
      <c r="I594" s="56">
        <v>31.4</v>
      </c>
      <c r="J594" s="56">
        <v>40.799999999999997</v>
      </c>
      <c r="K594" s="56">
        <v>48.9</v>
      </c>
      <c r="L594" s="56">
        <v>54.1</v>
      </c>
      <c r="M594" s="56">
        <v>52.5</v>
      </c>
      <c r="N594" s="56">
        <v>42.6</v>
      </c>
      <c r="O594" s="56">
        <v>31.1</v>
      </c>
      <c r="P594" s="56">
        <v>20.399999999999999</v>
      </c>
      <c r="Q594" s="56">
        <v>9.9</v>
      </c>
      <c r="R594" s="57">
        <v>30.9</v>
      </c>
    </row>
    <row r="595" spans="2:18" x14ac:dyDescent="0.4">
      <c r="B595" s="50"/>
      <c r="C595" s="51" t="s">
        <v>257</v>
      </c>
      <c r="D595" s="49" t="s">
        <v>256</v>
      </c>
      <c r="E595" s="49" t="str">
        <f>B594&amp;C595</f>
        <v>Harve City, MTTAX</v>
      </c>
      <c r="F595" s="56">
        <v>26.6</v>
      </c>
      <c r="G595" s="56">
        <v>33.1</v>
      </c>
      <c r="H595" s="56">
        <v>43.8</v>
      </c>
      <c r="I595" s="56">
        <v>56.9</v>
      </c>
      <c r="J595" s="56">
        <v>66.400000000000006</v>
      </c>
      <c r="K595" s="56">
        <v>74</v>
      </c>
      <c r="L595" s="56">
        <v>84.3</v>
      </c>
      <c r="M595" s="56">
        <v>83.5</v>
      </c>
      <c r="N595" s="56">
        <v>72</v>
      </c>
      <c r="O595" s="56">
        <v>57.3</v>
      </c>
      <c r="P595" s="56">
        <v>41.6</v>
      </c>
      <c r="Q595" s="56">
        <v>30.6</v>
      </c>
      <c r="R595" s="57">
        <v>55.8</v>
      </c>
    </row>
    <row r="596" spans="2:18" x14ac:dyDescent="0.4">
      <c r="B596" s="50"/>
      <c r="C596" s="51" t="s">
        <v>258</v>
      </c>
      <c r="D596" s="49" t="s">
        <v>259</v>
      </c>
      <c r="E596" s="49" t="str">
        <f>B594&amp;C596</f>
        <v>Harve City, MTV</v>
      </c>
      <c r="F596" s="56">
        <v>9.6</v>
      </c>
      <c r="G596" s="56">
        <v>9.1999999999999993</v>
      </c>
      <c r="H596" s="56">
        <v>9.8000000000000007</v>
      </c>
      <c r="I596" s="56">
        <v>10.5</v>
      </c>
      <c r="J596" s="56">
        <v>10.5</v>
      </c>
      <c r="K596" s="56">
        <v>9.6</v>
      </c>
      <c r="L596" s="56">
        <v>8.6999999999999993</v>
      </c>
      <c r="M596" s="56">
        <v>8.6999999999999993</v>
      </c>
      <c r="N596" s="56">
        <v>8.9</v>
      </c>
      <c r="O596" s="56">
        <v>9.4</v>
      </c>
      <c r="P596" s="56">
        <v>10.1</v>
      </c>
      <c r="Q596" s="56">
        <v>9.8000000000000007</v>
      </c>
      <c r="R596" s="57">
        <v>9.6</v>
      </c>
    </row>
    <row r="597" spans="2:18" x14ac:dyDescent="0.4">
      <c r="B597" s="50"/>
      <c r="C597" s="51" t="s">
        <v>260</v>
      </c>
      <c r="D597" s="49" t="s">
        <v>261</v>
      </c>
      <c r="E597" s="49" t="str">
        <f>B594&amp;C597</f>
        <v>Harve City, MTI</v>
      </c>
      <c r="F597" s="56">
        <v>371</v>
      </c>
      <c r="G597" s="56">
        <v>632</v>
      </c>
      <c r="H597" s="56">
        <v>1091</v>
      </c>
      <c r="I597" s="56">
        <v>1522</v>
      </c>
      <c r="J597" s="56">
        <v>1828</v>
      </c>
      <c r="K597" s="56">
        <v>2035</v>
      </c>
      <c r="L597" s="56">
        <v>2166</v>
      </c>
      <c r="M597" s="56">
        <v>1862</v>
      </c>
      <c r="N597" s="56">
        <v>1333</v>
      </c>
      <c r="O597" s="56">
        <v>826</v>
      </c>
      <c r="P597" s="56">
        <v>435</v>
      </c>
      <c r="Q597" s="56">
        <v>318</v>
      </c>
      <c r="R597" s="57">
        <v>1202</v>
      </c>
    </row>
    <row r="598" spans="2:18" x14ac:dyDescent="0.4">
      <c r="B598" s="50"/>
      <c r="C598" s="51" t="s">
        <v>262</v>
      </c>
      <c r="D598" s="49" t="s">
        <v>263</v>
      </c>
      <c r="E598" s="49" t="str">
        <f>B594&amp;C598</f>
        <v>Harve City, MTPA</v>
      </c>
      <c r="F598" s="58" t="s">
        <v>506</v>
      </c>
      <c r="G598" s="58" t="s">
        <v>506</v>
      </c>
      <c r="H598" s="58" t="s">
        <v>506</v>
      </c>
      <c r="I598" s="58" t="s">
        <v>506</v>
      </c>
      <c r="J598" s="58" t="s">
        <v>506</v>
      </c>
      <c r="K598" s="58" t="s">
        <v>506</v>
      </c>
      <c r="L598" s="58" t="s">
        <v>506</v>
      </c>
      <c r="M598" s="58" t="s">
        <v>506</v>
      </c>
      <c r="N598" s="58" t="s">
        <v>506</v>
      </c>
      <c r="O598" s="58" t="s">
        <v>506</v>
      </c>
      <c r="P598" s="58" t="s">
        <v>506</v>
      </c>
      <c r="Q598" s="58" t="s">
        <v>506</v>
      </c>
      <c r="R598" s="57">
        <v>13.39</v>
      </c>
    </row>
    <row r="599" spans="2:18" x14ac:dyDescent="0.4">
      <c r="B599" s="48" t="s">
        <v>382</v>
      </c>
      <c r="C599" s="51" t="s">
        <v>255</v>
      </c>
      <c r="D599" s="49" t="s">
        <v>256</v>
      </c>
      <c r="E599" s="49" t="str">
        <f>B599&amp;C599</f>
        <v>Helena, MTTAN</v>
      </c>
      <c r="F599" s="56">
        <v>13.5</v>
      </c>
      <c r="G599" s="56">
        <v>18.399999999999999</v>
      </c>
      <c r="H599" s="56">
        <v>24.9</v>
      </c>
      <c r="I599" s="56">
        <v>32.799999999999997</v>
      </c>
      <c r="J599" s="56">
        <v>41.8</v>
      </c>
      <c r="K599" s="56">
        <v>49</v>
      </c>
      <c r="L599" s="56">
        <v>55.3</v>
      </c>
      <c r="M599" s="56">
        <v>53</v>
      </c>
      <c r="N599" s="56">
        <v>44.4</v>
      </c>
      <c r="O599" s="56">
        <v>33.5</v>
      </c>
      <c r="P599" s="56">
        <v>23.1</v>
      </c>
      <c r="Q599" s="56">
        <v>14.5</v>
      </c>
      <c r="R599" s="57">
        <v>33.700000000000003</v>
      </c>
    </row>
    <row r="600" spans="2:18" x14ac:dyDescent="0.4">
      <c r="B600" s="50"/>
      <c r="C600" s="51" t="s">
        <v>257</v>
      </c>
      <c r="D600" s="49" t="s">
        <v>256</v>
      </c>
      <c r="E600" s="49" t="str">
        <f>B599&amp;C600</f>
        <v>Helena, MTTAX</v>
      </c>
      <c r="F600" s="56">
        <v>31.2</v>
      </c>
      <c r="G600" s="56">
        <v>37.6</v>
      </c>
      <c r="H600" s="56">
        <v>46.8</v>
      </c>
      <c r="I600" s="56">
        <v>55.6</v>
      </c>
      <c r="J600" s="56">
        <v>65.599999999999994</v>
      </c>
      <c r="K600" s="56">
        <v>73.3</v>
      </c>
      <c r="L600" s="56">
        <v>84.6</v>
      </c>
      <c r="M600" s="56">
        <v>83.3</v>
      </c>
      <c r="N600" s="56">
        <v>72.2</v>
      </c>
      <c r="O600" s="56">
        <v>57</v>
      </c>
      <c r="P600" s="56">
        <v>41.8</v>
      </c>
      <c r="Q600" s="56">
        <v>31.6</v>
      </c>
      <c r="R600" s="57">
        <v>56.7</v>
      </c>
    </row>
    <row r="601" spans="2:18" x14ac:dyDescent="0.4">
      <c r="B601" s="50"/>
      <c r="C601" s="51" t="s">
        <v>258</v>
      </c>
      <c r="D601" s="49" t="s">
        <v>259</v>
      </c>
      <c r="E601" s="49" t="str">
        <f>B599&amp;C601</f>
        <v>Helena, MTV</v>
      </c>
      <c r="F601" s="56">
        <v>5.6</v>
      </c>
      <c r="G601" s="56">
        <v>6</v>
      </c>
      <c r="H601" s="56">
        <v>7.4</v>
      </c>
      <c r="I601" s="56">
        <v>8.3000000000000007</v>
      </c>
      <c r="J601" s="56">
        <v>8.1</v>
      </c>
      <c r="K601" s="56">
        <v>7.8</v>
      </c>
      <c r="L601" s="56">
        <v>7.2</v>
      </c>
      <c r="M601" s="56">
        <v>6.5</v>
      </c>
      <c r="N601" s="56">
        <v>6.3</v>
      </c>
      <c r="O601" s="56">
        <v>6.5</v>
      </c>
      <c r="P601" s="56">
        <v>6</v>
      </c>
      <c r="Q601" s="56">
        <v>5.6</v>
      </c>
      <c r="R601" s="57">
        <v>6.7</v>
      </c>
    </row>
    <row r="602" spans="2:18" x14ac:dyDescent="0.4">
      <c r="B602" s="50"/>
      <c r="C602" s="51" t="s">
        <v>260</v>
      </c>
      <c r="D602" s="49" t="s">
        <v>261</v>
      </c>
      <c r="E602" s="49" t="str">
        <f>B599&amp;C602</f>
        <v>Helena, MTI</v>
      </c>
      <c r="F602" s="56">
        <v>456</v>
      </c>
      <c r="G602" s="56">
        <v>767</v>
      </c>
      <c r="H602" s="56">
        <v>1185</v>
      </c>
      <c r="I602" s="56">
        <v>1513</v>
      </c>
      <c r="J602" s="56">
        <v>1832</v>
      </c>
      <c r="K602" s="56">
        <v>2048</v>
      </c>
      <c r="L602" s="56">
        <v>2214</v>
      </c>
      <c r="M602" s="56">
        <v>1898</v>
      </c>
      <c r="N602" s="56">
        <v>1420</v>
      </c>
      <c r="O602" s="56">
        <v>889</v>
      </c>
      <c r="P602" s="56">
        <v>503</v>
      </c>
      <c r="Q602" s="56">
        <v>390</v>
      </c>
      <c r="R602" s="57">
        <v>1260</v>
      </c>
    </row>
    <row r="603" spans="2:18" x14ac:dyDescent="0.4">
      <c r="B603" s="50"/>
      <c r="C603" s="51" t="s">
        <v>262</v>
      </c>
      <c r="D603" s="49" t="s">
        <v>263</v>
      </c>
      <c r="E603" s="49" t="str">
        <f>B599&amp;C603</f>
        <v>Helena, MTPA</v>
      </c>
      <c r="F603" s="58" t="s">
        <v>506</v>
      </c>
      <c r="G603" s="58" t="s">
        <v>506</v>
      </c>
      <c r="H603" s="58" t="s">
        <v>506</v>
      </c>
      <c r="I603" s="58" t="s">
        <v>506</v>
      </c>
      <c r="J603" s="58" t="s">
        <v>506</v>
      </c>
      <c r="K603" s="58" t="s">
        <v>506</v>
      </c>
      <c r="L603" s="58" t="s">
        <v>506</v>
      </c>
      <c r="M603" s="58" t="s">
        <v>506</v>
      </c>
      <c r="N603" s="58" t="s">
        <v>506</v>
      </c>
      <c r="O603" s="58" t="s">
        <v>506</v>
      </c>
      <c r="P603" s="58" t="s">
        <v>506</v>
      </c>
      <c r="Q603" s="58" t="s">
        <v>506</v>
      </c>
      <c r="R603" s="57">
        <v>12.79</v>
      </c>
    </row>
    <row r="604" spans="2:18" x14ac:dyDescent="0.4">
      <c r="B604" s="48" t="s">
        <v>383</v>
      </c>
      <c r="C604" s="51" t="s">
        <v>255</v>
      </c>
      <c r="D604" s="49" t="s">
        <v>256</v>
      </c>
      <c r="E604" s="49" t="str">
        <f>B604&amp;C604</f>
        <v>Kalispell, MTTAN</v>
      </c>
      <c r="F604" s="56">
        <v>17.2</v>
      </c>
      <c r="G604" s="56">
        <v>20</v>
      </c>
      <c r="H604" s="56">
        <v>25.5</v>
      </c>
      <c r="I604" s="56">
        <v>31.9</v>
      </c>
      <c r="J604" s="56">
        <v>39.4</v>
      </c>
      <c r="K604" s="56">
        <v>45.2</v>
      </c>
      <c r="L604" s="56">
        <v>49.1</v>
      </c>
      <c r="M604" s="56">
        <v>47.2</v>
      </c>
      <c r="N604" s="56">
        <v>39.6</v>
      </c>
      <c r="O604" s="56">
        <v>30.5</v>
      </c>
      <c r="P604" s="56">
        <v>24.8</v>
      </c>
      <c r="Q604" s="56">
        <v>18.3</v>
      </c>
      <c r="R604" s="57">
        <v>32.4</v>
      </c>
    </row>
    <row r="605" spans="2:18" x14ac:dyDescent="0.4">
      <c r="B605" s="50"/>
      <c r="C605" s="51" t="s">
        <v>257</v>
      </c>
      <c r="D605" s="49" t="s">
        <v>256</v>
      </c>
      <c r="E605" s="49" t="str">
        <f>B604&amp;C605</f>
        <v>Kalispell, MTTAX</v>
      </c>
      <c r="F605" s="56">
        <v>30.2</v>
      </c>
      <c r="G605" s="56">
        <v>35.6</v>
      </c>
      <c r="H605" s="56">
        <v>44.4</v>
      </c>
      <c r="I605" s="56">
        <v>54.4</v>
      </c>
      <c r="J605" s="56">
        <v>64</v>
      </c>
      <c r="K605" s="56">
        <v>70</v>
      </c>
      <c r="L605" s="56">
        <v>80.7</v>
      </c>
      <c r="M605" s="56">
        <v>80.3</v>
      </c>
      <c r="N605" s="56">
        <v>69.5</v>
      </c>
      <c r="O605" s="56">
        <v>53.9</v>
      </c>
      <c r="P605" s="56">
        <v>39.1</v>
      </c>
      <c r="Q605" s="56">
        <v>30</v>
      </c>
      <c r="R605" s="57">
        <v>54.4</v>
      </c>
    </row>
    <row r="606" spans="2:18" x14ac:dyDescent="0.4">
      <c r="B606" s="50"/>
      <c r="C606" s="51" t="s">
        <v>258</v>
      </c>
      <c r="D606" s="49" t="s">
        <v>259</v>
      </c>
      <c r="E606" s="49" t="str">
        <f>B604&amp;C606</f>
        <v>Kalispell, MTV</v>
      </c>
      <c r="F606" s="56">
        <v>4</v>
      </c>
      <c r="G606" s="56">
        <v>4.3</v>
      </c>
      <c r="H606" s="56">
        <v>5.8</v>
      </c>
      <c r="I606" s="56">
        <v>6.7</v>
      </c>
      <c r="J606" s="56">
        <v>6.5</v>
      </c>
      <c r="K606" s="56">
        <v>5.8</v>
      </c>
      <c r="L606" s="56">
        <v>5.4</v>
      </c>
      <c r="M606" s="56">
        <v>5.0999999999999996</v>
      </c>
      <c r="N606" s="56">
        <v>4.7</v>
      </c>
      <c r="O606" s="56">
        <v>4.5</v>
      </c>
      <c r="P606" s="56">
        <v>4</v>
      </c>
      <c r="Q606" s="56">
        <v>3.8</v>
      </c>
      <c r="R606" s="57">
        <v>5.0999999999999996</v>
      </c>
    </row>
    <row r="607" spans="2:18" x14ac:dyDescent="0.4">
      <c r="B607" s="50"/>
      <c r="C607" s="51" t="s">
        <v>260</v>
      </c>
      <c r="D607" s="49" t="s">
        <v>261</v>
      </c>
      <c r="E607" s="49" t="str">
        <f>B604&amp;C607</f>
        <v>Kalispell, MTI</v>
      </c>
      <c r="F607" s="56">
        <v>322</v>
      </c>
      <c r="G607" s="56">
        <v>605</v>
      </c>
      <c r="H607" s="56">
        <v>1031</v>
      </c>
      <c r="I607" s="56">
        <v>1440</v>
      </c>
      <c r="J607" s="56">
        <v>1761</v>
      </c>
      <c r="K607" s="56">
        <v>1895</v>
      </c>
      <c r="L607" s="56">
        <v>2166</v>
      </c>
      <c r="M607" s="56">
        <v>1812</v>
      </c>
      <c r="N607" s="56">
        <v>1300</v>
      </c>
      <c r="O607" s="56">
        <v>742</v>
      </c>
      <c r="P607" s="56">
        <v>377</v>
      </c>
      <c r="Q607" s="56">
        <v>259</v>
      </c>
      <c r="R607" s="57">
        <v>1142</v>
      </c>
    </row>
    <row r="608" spans="2:18" x14ac:dyDescent="0.4">
      <c r="B608" s="50"/>
      <c r="C608" s="51" t="s">
        <v>262</v>
      </c>
      <c r="D608" s="49" t="s">
        <v>263</v>
      </c>
      <c r="E608" s="49" t="str">
        <f>B604&amp;C608</f>
        <v>Kalispell, MTPA</v>
      </c>
      <c r="F608" s="58" t="s">
        <v>506</v>
      </c>
      <c r="G608" s="58" t="s">
        <v>506</v>
      </c>
      <c r="H608" s="58" t="s">
        <v>506</v>
      </c>
      <c r="I608" s="58" t="s">
        <v>506</v>
      </c>
      <c r="J608" s="58" t="s">
        <v>506</v>
      </c>
      <c r="K608" s="58" t="s">
        <v>506</v>
      </c>
      <c r="L608" s="58" t="s">
        <v>506</v>
      </c>
      <c r="M608" s="58" t="s">
        <v>506</v>
      </c>
      <c r="N608" s="58" t="s">
        <v>506</v>
      </c>
      <c r="O608" s="58" t="s">
        <v>506</v>
      </c>
      <c r="P608" s="58" t="s">
        <v>506</v>
      </c>
      <c r="Q608" s="58" t="s">
        <v>506</v>
      </c>
      <c r="R608" s="57">
        <v>13.2</v>
      </c>
    </row>
    <row r="609" spans="2:18" x14ac:dyDescent="0.4">
      <c r="B609" s="48" t="s">
        <v>384</v>
      </c>
      <c r="C609" s="51" t="s">
        <v>255</v>
      </c>
      <c r="D609" s="49" t="s">
        <v>256</v>
      </c>
      <c r="E609" s="49" t="str">
        <f>B609&amp;C609</f>
        <v>Missoula, MTTAN</v>
      </c>
      <c r="F609" s="56">
        <v>19</v>
      </c>
      <c r="G609" s="56">
        <v>22.1</v>
      </c>
      <c r="H609" s="56">
        <v>27.8</v>
      </c>
      <c r="I609" s="56">
        <v>33.200000000000003</v>
      </c>
      <c r="J609" s="56">
        <v>40.5</v>
      </c>
      <c r="K609" s="56">
        <v>47</v>
      </c>
      <c r="L609" s="56">
        <v>52.7</v>
      </c>
      <c r="M609" s="56">
        <v>50.9</v>
      </c>
      <c r="N609" s="56">
        <v>43</v>
      </c>
      <c r="O609" s="56">
        <v>33.4</v>
      </c>
      <c r="P609" s="56">
        <v>25.3</v>
      </c>
      <c r="Q609" s="56">
        <v>19</v>
      </c>
      <c r="R609" s="57">
        <v>34.5</v>
      </c>
    </row>
    <row r="610" spans="2:18" x14ac:dyDescent="0.4">
      <c r="B610" s="50"/>
      <c r="C610" s="51" t="s">
        <v>257</v>
      </c>
      <c r="D610" s="49" t="s">
        <v>256</v>
      </c>
      <c r="E610" s="49" t="str">
        <f>B609&amp;C610</f>
        <v>Missoula, MTTAX</v>
      </c>
      <c r="F610" s="56">
        <v>31.5</v>
      </c>
      <c r="G610" s="56">
        <v>37.6</v>
      </c>
      <c r="H610" s="56">
        <v>48</v>
      </c>
      <c r="I610" s="56">
        <v>55.9</v>
      </c>
      <c r="J610" s="56">
        <v>65.599999999999994</v>
      </c>
      <c r="K610" s="56">
        <v>72.400000000000006</v>
      </c>
      <c r="L610" s="56">
        <v>84.7</v>
      </c>
      <c r="M610" s="56">
        <v>83.5</v>
      </c>
      <c r="N610" s="56">
        <v>72.2</v>
      </c>
      <c r="O610" s="56">
        <v>56</v>
      </c>
      <c r="P610" s="56">
        <v>39.9</v>
      </c>
      <c r="Q610" s="56">
        <v>30.8</v>
      </c>
      <c r="R610" s="57">
        <v>56.5</v>
      </c>
    </row>
    <row r="611" spans="2:18" x14ac:dyDescent="0.4">
      <c r="B611" s="50"/>
      <c r="C611" s="51" t="s">
        <v>258</v>
      </c>
      <c r="D611" s="49" t="s">
        <v>259</v>
      </c>
      <c r="E611" s="49" t="str">
        <f>B609&amp;C611</f>
        <v>Missoula, MTV</v>
      </c>
      <c r="F611" s="56">
        <v>3.8</v>
      </c>
      <c r="G611" s="56">
        <v>4.3</v>
      </c>
      <c r="H611" s="56">
        <v>5.8</v>
      </c>
      <c r="I611" s="56">
        <v>6.5</v>
      </c>
      <c r="J611" s="56">
        <v>6.3</v>
      </c>
      <c r="K611" s="56">
        <v>6.5</v>
      </c>
      <c r="L611" s="56">
        <v>6.3</v>
      </c>
      <c r="M611" s="56">
        <v>5.8</v>
      </c>
      <c r="N611" s="56">
        <v>4.9000000000000004</v>
      </c>
      <c r="O611" s="56">
        <v>4.5</v>
      </c>
      <c r="P611" s="56">
        <v>4</v>
      </c>
      <c r="Q611" s="56">
        <v>4</v>
      </c>
      <c r="R611" s="57">
        <v>5.0999999999999996</v>
      </c>
    </row>
    <row r="612" spans="2:18" x14ac:dyDescent="0.4">
      <c r="B612" s="50"/>
      <c r="C612" s="51" t="s">
        <v>260</v>
      </c>
      <c r="D612" s="49" t="s">
        <v>261</v>
      </c>
      <c r="E612" s="49" t="str">
        <f>B609&amp;C612</f>
        <v>Missoula, MTI</v>
      </c>
      <c r="F612" s="56">
        <v>387</v>
      </c>
      <c r="G612" s="56">
        <v>676</v>
      </c>
      <c r="H612" s="56">
        <v>1088</v>
      </c>
      <c r="I612" s="56">
        <v>1451</v>
      </c>
      <c r="J612" s="56">
        <v>1787</v>
      </c>
      <c r="K612" s="56">
        <v>1966</v>
      </c>
      <c r="L612" s="56">
        <v>2229</v>
      </c>
      <c r="M612" s="56">
        <v>1883</v>
      </c>
      <c r="N612" s="56">
        <v>1385</v>
      </c>
      <c r="O612" s="56">
        <v>820</v>
      </c>
      <c r="P612" s="56">
        <v>428</v>
      </c>
      <c r="Q612" s="56">
        <v>315</v>
      </c>
      <c r="R612" s="57">
        <v>1201</v>
      </c>
    </row>
    <row r="613" spans="2:18" x14ac:dyDescent="0.4">
      <c r="B613" s="50"/>
      <c r="C613" s="51" t="s">
        <v>262</v>
      </c>
      <c r="D613" s="49" t="s">
        <v>263</v>
      </c>
      <c r="E613" s="49" t="str">
        <f>B609&amp;C613</f>
        <v>Missoula, MTPA</v>
      </c>
      <c r="F613" s="58" t="s">
        <v>506</v>
      </c>
      <c r="G613" s="58" t="s">
        <v>506</v>
      </c>
      <c r="H613" s="58" t="s">
        <v>506</v>
      </c>
      <c r="I613" s="58" t="s">
        <v>506</v>
      </c>
      <c r="J613" s="58" t="s">
        <v>506</v>
      </c>
      <c r="K613" s="58" t="s">
        <v>506</v>
      </c>
      <c r="L613" s="58" t="s">
        <v>506</v>
      </c>
      <c r="M613" s="58" t="s">
        <v>506</v>
      </c>
      <c r="N613" s="58" t="s">
        <v>506</v>
      </c>
      <c r="O613" s="58" t="s">
        <v>506</v>
      </c>
      <c r="P613" s="58" t="s">
        <v>506</v>
      </c>
      <c r="Q613" s="58" t="s">
        <v>506</v>
      </c>
      <c r="R613" s="57">
        <v>13.1</v>
      </c>
    </row>
    <row r="614" spans="2:18" x14ac:dyDescent="0.4">
      <c r="B614" s="48" t="s">
        <v>385</v>
      </c>
      <c r="C614" s="51" t="s">
        <v>255</v>
      </c>
      <c r="D614" s="49" t="s">
        <v>256</v>
      </c>
      <c r="E614" s="49" t="str">
        <f>B614&amp;C614</f>
        <v>Grand Island, NETAN</v>
      </c>
      <c r="F614" s="56">
        <v>14.9</v>
      </c>
      <c r="G614" s="56">
        <v>19.399999999999999</v>
      </c>
      <c r="H614" s="56">
        <v>28</v>
      </c>
      <c r="I614" s="56">
        <v>38.4</v>
      </c>
      <c r="J614" s="56">
        <v>50.2</v>
      </c>
      <c r="K614" s="56">
        <v>60</v>
      </c>
      <c r="L614" s="56">
        <v>65.099999999999994</v>
      </c>
      <c r="M614" s="56">
        <v>63.2</v>
      </c>
      <c r="N614" s="56">
        <v>52.8</v>
      </c>
      <c r="O614" s="56">
        <v>40.4</v>
      </c>
      <c r="P614" s="56">
        <v>27.6</v>
      </c>
      <c r="Q614" s="56">
        <v>18.3</v>
      </c>
      <c r="R614" s="57">
        <v>39.9</v>
      </c>
    </row>
    <row r="615" spans="2:18" x14ac:dyDescent="0.4">
      <c r="B615" s="50"/>
      <c r="C615" s="51" t="s">
        <v>257</v>
      </c>
      <c r="D615" s="49" t="s">
        <v>256</v>
      </c>
      <c r="E615" s="49" t="str">
        <f>B614&amp;C615</f>
        <v>Grand Island, NETAX</v>
      </c>
      <c r="F615" s="56">
        <v>34.700000000000003</v>
      </c>
      <c r="G615" s="56">
        <v>39.700000000000003</v>
      </c>
      <c r="H615" s="56">
        <v>50.4</v>
      </c>
      <c r="I615" s="56">
        <v>61.8</v>
      </c>
      <c r="J615" s="56">
        <v>72</v>
      </c>
      <c r="K615" s="56">
        <v>81.900000000000006</v>
      </c>
      <c r="L615" s="56">
        <v>86.5</v>
      </c>
      <c r="M615" s="56">
        <v>84.7</v>
      </c>
      <c r="N615" s="56">
        <v>77.599999999999994</v>
      </c>
      <c r="O615" s="56">
        <v>64.3</v>
      </c>
      <c r="P615" s="56">
        <v>49.1</v>
      </c>
      <c r="Q615" s="56">
        <v>37.4</v>
      </c>
      <c r="R615" s="57">
        <v>61.7</v>
      </c>
    </row>
    <row r="616" spans="2:18" x14ac:dyDescent="0.4">
      <c r="B616" s="50"/>
      <c r="C616" s="51" t="s">
        <v>258</v>
      </c>
      <c r="D616" s="49" t="s">
        <v>259</v>
      </c>
      <c r="E616" s="49" t="str">
        <f>B614&amp;C616</f>
        <v>Grand Island, NEV</v>
      </c>
      <c r="F616" s="56">
        <v>11</v>
      </c>
      <c r="G616" s="56">
        <v>11.4</v>
      </c>
      <c r="H616" s="56">
        <v>12.5</v>
      </c>
      <c r="I616" s="56">
        <v>13.4</v>
      </c>
      <c r="J616" s="56">
        <v>12.1</v>
      </c>
      <c r="K616" s="56">
        <v>10.7</v>
      </c>
      <c r="L616" s="56">
        <v>9.1999999999999993</v>
      </c>
      <c r="M616" s="56">
        <v>8.9</v>
      </c>
      <c r="N616" s="56">
        <v>10.5</v>
      </c>
      <c r="O616" s="56">
        <v>11.2</v>
      </c>
      <c r="P616" s="56">
        <v>11.2</v>
      </c>
      <c r="Q616" s="56">
        <v>11</v>
      </c>
      <c r="R616" s="57">
        <v>11.2</v>
      </c>
    </row>
    <row r="617" spans="2:18" x14ac:dyDescent="0.4">
      <c r="B617" s="50"/>
      <c r="C617" s="51" t="s">
        <v>260</v>
      </c>
      <c r="D617" s="49" t="s">
        <v>261</v>
      </c>
      <c r="E617" s="49" t="str">
        <f>B614&amp;C617</f>
        <v>Grand Island, NEI</v>
      </c>
      <c r="F617" s="56">
        <v>637</v>
      </c>
      <c r="G617" s="56">
        <v>908</v>
      </c>
      <c r="H617" s="56">
        <v>1284</v>
      </c>
      <c r="I617" s="56">
        <v>1619</v>
      </c>
      <c r="J617" s="56">
        <v>1846</v>
      </c>
      <c r="K617" s="56">
        <v>2102</v>
      </c>
      <c r="L617" s="56">
        <v>2100</v>
      </c>
      <c r="M617" s="56">
        <v>1855</v>
      </c>
      <c r="N617" s="56">
        <v>1492</v>
      </c>
      <c r="O617" s="56">
        <v>1080</v>
      </c>
      <c r="P617" s="56">
        <v>711</v>
      </c>
      <c r="Q617" s="56">
        <v>554</v>
      </c>
      <c r="R617" s="57">
        <v>1349</v>
      </c>
    </row>
    <row r="618" spans="2:18" x14ac:dyDescent="0.4">
      <c r="B618" s="50"/>
      <c r="C618" s="51" t="s">
        <v>262</v>
      </c>
      <c r="D618" s="49" t="s">
        <v>263</v>
      </c>
      <c r="E618" s="49" t="str">
        <f>B614&amp;C618</f>
        <v>Grand Island, NEPA</v>
      </c>
      <c r="F618" s="58" t="s">
        <v>506</v>
      </c>
      <c r="G618" s="58" t="s">
        <v>506</v>
      </c>
      <c r="H618" s="58" t="s">
        <v>506</v>
      </c>
      <c r="I618" s="58" t="s">
        <v>506</v>
      </c>
      <c r="J618" s="58" t="s">
        <v>506</v>
      </c>
      <c r="K618" s="58" t="s">
        <v>506</v>
      </c>
      <c r="L618" s="58" t="s">
        <v>506</v>
      </c>
      <c r="M618" s="58" t="s">
        <v>506</v>
      </c>
      <c r="N618" s="58" t="s">
        <v>506</v>
      </c>
      <c r="O618" s="58" t="s">
        <v>506</v>
      </c>
      <c r="P618" s="58" t="s">
        <v>506</v>
      </c>
      <c r="Q618" s="58" t="s">
        <v>506</v>
      </c>
      <c r="R618" s="57">
        <v>13.75</v>
      </c>
    </row>
    <row r="619" spans="2:18" x14ac:dyDescent="0.4">
      <c r="B619" s="48" t="s">
        <v>386</v>
      </c>
      <c r="C619" s="51" t="s">
        <v>255</v>
      </c>
      <c r="D619" s="49" t="s">
        <v>256</v>
      </c>
      <c r="E619" s="49" t="str">
        <f>B619&amp;C619</f>
        <v>Lincoln, NETAN</v>
      </c>
      <c r="F619" s="56">
        <v>14.3</v>
      </c>
      <c r="G619" s="56">
        <v>19.3</v>
      </c>
      <c r="H619" s="56">
        <v>28.4</v>
      </c>
      <c r="I619" s="56">
        <v>39.5</v>
      </c>
      <c r="J619" s="56">
        <v>51.1</v>
      </c>
      <c r="K619" s="56">
        <v>61.6</v>
      </c>
      <c r="L619" s="56">
        <v>66.5</v>
      </c>
      <c r="M619" s="56">
        <v>64.2</v>
      </c>
      <c r="N619" s="56">
        <v>53.6</v>
      </c>
      <c r="O619" s="56">
        <v>41.4</v>
      </c>
      <c r="P619" s="56">
        <v>28.4</v>
      </c>
      <c r="Q619" s="56">
        <v>18.100000000000001</v>
      </c>
      <c r="R619" s="57">
        <v>40.5</v>
      </c>
    </row>
    <row r="620" spans="2:18" x14ac:dyDescent="0.4">
      <c r="B620" s="50"/>
      <c r="C620" s="51" t="s">
        <v>257</v>
      </c>
      <c r="D620" s="49" t="s">
        <v>256</v>
      </c>
      <c r="E620" s="49" t="str">
        <f>B619&amp;C620</f>
        <v>Lincoln, NETAX</v>
      </c>
      <c r="F620" s="56">
        <v>34.1</v>
      </c>
      <c r="G620" s="56">
        <v>39.799999999999997</v>
      </c>
      <c r="H620" s="56">
        <v>51.5</v>
      </c>
      <c r="I620" s="56">
        <v>63.2</v>
      </c>
      <c r="J620" s="56">
        <v>73.5</v>
      </c>
      <c r="K620" s="56">
        <v>82.9</v>
      </c>
      <c r="L620" s="56">
        <v>87.8</v>
      </c>
      <c r="M620" s="56">
        <v>86.1</v>
      </c>
      <c r="N620" s="56">
        <v>78.3</v>
      </c>
      <c r="O620" s="56">
        <v>65.400000000000006</v>
      </c>
      <c r="P620" s="56">
        <v>49.7</v>
      </c>
      <c r="Q620" s="56">
        <v>37.799999999999997</v>
      </c>
      <c r="R620" s="57">
        <v>62.5</v>
      </c>
    </row>
    <row r="621" spans="2:18" x14ac:dyDescent="0.4">
      <c r="B621" s="50"/>
      <c r="C621" s="51" t="s">
        <v>258</v>
      </c>
      <c r="D621" s="49" t="s">
        <v>259</v>
      </c>
      <c r="E621" s="49" t="str">
        <f>B619&amp;C621</f>
        <v>Lincoln, NEV</v>
      </c>
      <c r="F621" s="56">
        <v>8.9</v>
      </c>
      <c r="G621" s="56">
        <v>9.6</v>
      </c>
      <c r="H621" s="56">
        <v>11</v>
      </c>
      <c r="I621" s="56">
        <v>11.9</v>
      </c>
      <c r="J621" s="56">
        <v>10.5</v>
      </c>
      <c r="K621" s="56">
        <v>9.6</v>
      </c>
      <c r="L621" s="56">
        <v>8.6999999999999993</v>
      </c>
      <c r="M621" s="56">
        <v>8.3000000000000007</v>
      </c>
      <c r="N621" s="56">
        <v>9.1999999999999993</v>
      </c>
      <c r="O621" s="56">
        <v>9.6</v>
      </c>
      <c r="P621" s="56">
        <v>9.4</v>
      </c>
      <c r="Q621" s="56">
        <v>8.9</v>
      </c>
      <c r="R621" s="57">
        <v>9.6</v>
      </c>
    </row>
    <row r="622" spans="2:18" x14ac:dyDescent="0.4">
      <c r="B622" s="50"/>
      <c r="C622" s="51" t="s">
        <v>260</v>
      </c>
      <c r="D622" s="49" t="s">
        <v>261</v>
      </c>
      <c r="E622" s="49" t="str">
        <f>B619&amp;C622</f>
        <v>Lincoln, NEI</v>
      </c>
      <c r="F622" s="56">
        <v>591</v>
      </c>
      <c r="G622" s="56">
        <v>872</v>
      </c>
      <c r="H622" s="56">
        <v>1205</v>
      </c>
      <c r="I622" s="56">
        <v>1555</v>
      </c>
      <c r="J622" s="56">
        <v>1782</v>
      </c>
      <c r="K622" s="56">
        <v>1994</v>
      </c>
      <c r="L622" s="56">
        <v>2017</v>
      </c>
      <c r="M622" s="56">
        <v>1784</v>
      </c>
      <c r="N622" s="56">
        <v>1465</v>
      </c>
      <c r="O622" s="56">
        <v>1030</v>
      </c>
      <c r="P622" s="56">
        <v>663</v>
      </c>
      <c r="Q622" s="56">
        <v>521</v>
      </c>
      <c r="R622" s="57">
        <v>1290</v>
      </c>
    </row>
    <row r="623" spans="2:18" x14ac:dyDescent="0.4">
      <c r="B623" s="50"/>
      <c r="C623" s="51" t="s">
        <v>262</v>
      </c>
      <c r="D623" s="49" t="s">
        <v>263</v>
      </c>
      <c r="E623" s="49" t="str">
        <f>B619&amp;C623</f>
        <v>Lincoln, NEPA</v>
      </c>
      <c r="F623" s="58" t="s">
        <v>506</v>
      </c>
      <c r="G623" s="58" t="s">
        <v>506</v>
      </c>
      <c r="H623" s="58" t="s">
        <v>506</v>
      </c>
      <c r="I623" s="58" t="s">
        <v>506</v>
      </c>
      <c r="J623" s="58" t="s">
        <v>506</v>
      </c>
      <c r="K623" s="58" t="s">
        <v>506</v>
      </c>
      <c r="L623" s="58" t="s">
        <v>506</v>
      </c>
      <c r="M623" s="58" t="s">
        <v>506</v>
      </c>
      <c r="N623" s="58" t="s">
        <v>506</v>
      </c>
      <c r="O623" s="58" t="s">
        <v>506</v>
      </c>
      <c r="P623" s="58" t="s">
        <v>506</v>
      </c>
      <c r="Q623" s="58" t="s">
        <v>506</v>
      </c>
      <c r="R623" s="57">
        <v>14.08</v>
      </c>
    </row>
    <row r="624" spans="2:18" x14ac:dyDescent="0.4">
      <c r="B624" s="48" t="s">
        <v>387</v>
      </c>
      <c r="C624" s="51" t="s">
        <v>255</v>
      </c>
      <c r="D624" s="49" t="s">
        <v>256</v>
      </c>
      <c r="E624" s="49" t="str">
        <f>B624&amp;C624</f>
        <v>Norfolk_NE, NETAN</v>
      </c>
      <c r="F624" s="56">
        <v>13</v>
      </c>
      <c r="G624" s="56">
        <v>18</v>
      </c>
      <c r="H624" s="56">
        <v>26.9</v>
      </c>
      <c r="I624" s="56">
        <v>38.1</v>
      </c>
      <c r="J624" s="56">
        <v>49.2</v>
      </c>
      <c r="K624" s="56">
        <v>59.4</v>
      </c>
      <c r="L624" s="56">
        <v>64.099999999999994</v>
      </c>
      <c r="M624" s="56">
        <v>62.2</v>
      </c>
      <c r="N624" s="56">
        <v>52</v>
      </c>
      <c r="O624" s="56">
        <v>39.700000000000003</v>
      </c>
      <c r="P624" s="56">
        <v>26.7</v>
      </c>
      <c r="Q624" s="56">
        <v>16.8</v>
      </c>
      <c r="R624" s="57">
        <v>38.799999999999997</v>
      </c>
    </row>
    <row r="625" spans="2:18" x14ac:dyDescent="0.4">
      <c r="B625" s="50"/>
      <c r="C625" s="51" t="s">
        <v>257</v>
      </c>
      <c r="D625" s="49" t="s">
        <v>256</v>
      </c>
      <c r="E625" s="49" t="str">
        <f>B624&amp;C625</f>
        <v>Norfolk_NE, NETAX</v>
      </c>
      <c r="F625" s="56">
        <v>31.9</v>
      </c>
      <c r="G625" s="56">
        <v>37.1</v>
      </c>
      <c r="H625" s="56">
        <v>48.3</v>
      </c>
      <c r="I625" s="56">
        <v>60.8</v>
      </c>
      <c r="J625" s="56">
        <v>71.7</v>
      </c>
      <c r="K625" s="56">
        <v>80.900000000000006</v>
      </c>
      <c r="L625" s="56">
        <v>85.5</v>
      </c>
      <c r="M625" s="56">
        <v>83.5</v>
      </c>
      <c r="N625" s="56">
        <v>76.3</v>
      </c>
      <c r="O625" s="56">
        <v>63.2</v>
      </c>
      <c r="P625" s="56">
        <v>47.2</v>
      </c>
      <c r="Q625" s="56">
        <v>34.799999999999997</v>
      </c>
      <c r="R625" s="57">
        <v>60.1</v>
      </c>
    </row>
    <row r="626" spans="2:18" x14ac:dyDescent="0.4">
      <c r="B626" s="50"/>
      <c r="C626" s="51" t="s">
        <v>258</v>
      </c>
      <c r="D626" s="49" t="s">
        <v>259</v>
      </c>
      <c r="E626" s="49" t="str">
        <f>B624&amp;C626</f>
        <v>Norfolk_NE, NEV</v>
      </c>
      <c r="F626" s="56">
        <v>10.5</v>
      </c>
      <c r="G626" s="56">
        <v>11</v>
      </c>
      <c r="H626" s="56">
        <v>11.6</v>
      </c>
      <c r="I626" s="56">
        <v>12.5</v>
      </c>
      <c r="J626" s="56">
        <v>11.2</v>
      </c>
      <c r="K626" s="56">
        <v>9.8000000000000007</v>
      </c>
      <c r="L626" s="56">
        <v>8.9</v>
      </c>
      <c r="M626" s="56">
        <v>8.6999999999999993</v>
      </c>
      <c r="N626" s="56">
        <v>9.8000000000000007</v>
      </c>
      <c r="O626" s="56">
        <v>10.3</v>
      </c>
      <c r="P626" s="56">
        <v>10.5</v>
      </c>
      <c r="Q626" s="56">
        <v>10.5</v>
      </c>
      <c r="R626" s="57">
        <v>10.5</v>
      </c>
    </row>
    <row r="627" spans="2:18" x14ac:dyDescent="0.4">
      <c r="B627" s="50"/>
      <c r="C627" s="51" t="s">
        <v>260</v>
      </c>
      <c r="D627" s="49" t="s">
        <v>261</v>
      </c>
      <c r="E627" s="49" t="str">
        <f>B624&amp;C627</f>
        <v>Norfolk_NE, NEI</v>
      </c>
      <c r="F627" s="56">
        <v>566</v>
      </c>
      <c r="G627" s="56">
        <v>836</v>
      </c>
      <c r="H627" s="56">
        <v>1226</v>
      </c>
      <c r="I627" s="56">
        <v>1556</v>
      </c>
      <c r="J627" s="56">
        <v>1807</v>
      </c>
      <c r="K627" s="56">
        <v>2036</v>
      </c>
      <c r="L627" s="56">
        <v>2063</v>
      </c>
      <c r="M627" s="56">
        <v>1794</v>
      </c>
      <c r="N627" s="56">
        <v>1452</v>
      </c>
      <c r="O627" s="56">
        <v>1012</v>
      </c>
      <c r="P627" s="56">
        <v>647</v>
      </c>
      <c r="Q627" s="56">
        <v>507</v>
      </c>
      <c r="R627" s="57">
        <v>1292</v>
      </c>
    </row>
    <row r="628" spans="2:18" x14ac:dyDescent="0.4">
      <c r="B628" s="50"/>
      <c r="C628" s="51" t="s">
        <v>262</v>
      </c>
      <c r="D628" s="49" t="s">
        <v>263</v>
      </c>
      <c r="E628" s="49" t="str">
        <f>B624&amp;C628</f>
        <v>Norfolk_NE, NEPA</v>
      </c>
      <c r="F628" s="58" t="s">
        <v>506</v>
      </c>
      <c r="G628" s="58" t="s">
        <v>506</v>
      </c>
      <c r="H628" s="58" t="s">
        <v>506</v>
      </c>
      <c r="I628" s="58" t="s">
        <v>506</v>
      </c>
      <c r="J628" s="58" t="s">
        <v>506</v>
      </c>
      <c r="K628" s="58" t="s">
        <v>506</v>
      </c>
      <c r="L628" s="58" t="s">
        <v>506</v>
      </c>
      <c r="M628" s="58" t="s">
        <v>506</v>
      </c>
      <c r="N628" s="58" t="s">
        <v>506</v>
      </c>
      <c r="O628" s="58" t="s">
        <v>506</v>
      </c>
      <c r="P628" s="58" t="s">
        <v>506</v>
      </c>
      <c r="Q628" s="58" t="s">
        <v>506</v>
      </c>
      <c r="R628" s="57">
        <v>13.89</v>
      </c>
    </row>
    <row r="629" spans="2:18" x14ac:dyDescent="0.4">
      <c r="B629" s="48" t="s">
        <v>388</v>
      </c>
      <c r="C629" s="51" t="s">
        <v>255</v>
      </c>
      <c r="D629" s="49" t="s">
        <v>256</v>
      </c>
      <c r="E629" s="49" t="str">
        <f>B629&amp;C629</f>
        <v>North Platte, NETAN</v>
      </c>
      <c r="F629" s="56">
        <v>12.7</v>
      </c>
      <c r="G629" s="56">
        <v>16.5</v>
      </c>
      <c r="H629" s="56">
        <v>24.5</v>
      </c>
      <c r="I629" s="56">
        <v>34.200000000000003</v>
      </c>
      <c r="J629" s="56">
        <v>45.3</v>
      </c>
      <c r="K629" s="56">
        <v>55.5</v>
      </c>
      <c r="L629" s="56">
        <v>61.7</v>
      </c>
      <c r="M629" s="56">
        <v>59.7</v>
      </c>
      <c r="N629" s="56">
        <v>48.3</v>
      </c>
      <c r="O629" s="56">
        <v>35</v>
      </c>
      <c r="P629" s="56">
        <v>22.3</v>
      </c>
      <c r="Q629" s="56">
        <v>14.1</v>
      </c>
      <c r="R629" s="57">
        <v>35.799999999999997</v>
      </c>
    </row>
    <row r="630" spans="2:18" x14ac:dyDescent="0.4">
      <c r="B630" s="50"/>
      <c r="C630" s="51" t="s">
        <v>257</v>
      </c>
      <c r="D630" s="49" t="s">
        <v>256</v>
      </c>
      <c r="E630" s="49" t="str">
        <f>B629&amp;C630</f>
        <v>North Platte, NETAX</v>
      </c>
      <c r="F630" s="56">
        <v>38.700000000000003</v>
      </c>
      <c r="G630" s="56">
        <v>43</v>
      </c>
      <c r="H630" s="56">
        <v>52.1</v>
      </c>
      <c r="I630" s="56">
        <v>60.8</v>
      </c>
      <c r="J630" s="56">
        <v>71.099999999999994</v>
      </c>
      <c r="K630" s="56">
        <v>80.7</v>
      </c>
      <c r="L630" s="56">
        <v>87.2</v>
      </c>
      <c r="M630" s="56">
        <v>85.1</v>
      </c>
      <c r="N630" s="56">
        <v>77.3</v>
      </c>
      <c r="O630" s="56">
        <v>63.7</v>
      </c>
      <c r="P630" s="56">
        <v>49.9</v>
      </c>
      <c r="Q630" s="56">
        <v>40</v>
      </c>
      <c r="R630" s="57">
        <v>62.5</v>
      </c>
    </row>
    <row r="631" spans="2:18" x14ac:dyDescent="0.4">
      <c r="B631" s="50"/>
      <c r="C631" s="51" t="s">
        <v>258</v>
      </c>
      <c r="D631" s="49" t="s">
        <v>259</v>
      </c>
      <c r="E631" s="49" t="str">
        <f>B629&amp;C631</f>
        <v>North Platte, NEV</v>
      </c>
      <c r="F631" s="56">
        <v>8.3000000000000007</v>
      </c>
      <c r="G631" s="56">
        <v>8.9</v>
      </c>
      <c r="H631" s="56">
        <v>10.3</v>
      </c>
      <c r="I631" s="56">
        <v>11.4</v>
      </c>
      <c r="J631" s="56">
        <v>10.3</v>
      </c>
      <c r="K631" s="56">
        <v>9.4</v>
      </c>
      <c r="L631" s="56">
        <v>8.5</v>
      </c>
      <c r="M631" s="56">
        <v>8.1</v>
      </c>
      <c r="N631" s="56">
        <v>8.9</v>
      </c>
      <c r="O631" s="56">
        <v>8.9</v>
      </c>
      <c r="P631" s="56">
        <v>8.6999999999999993</v>
      </c>
      <c r="Q631" s="56">
        <v>8.3000000000000007</v>
      </c>
      <c r="R631" s="57">
        <v>9.1999999999999993</v>
      </c>
    </row>
    <row r="632" spans="2:18" x14ac:dyDescent="0.4">
      <c r="B632" s="50"/>
      <c r="C632" s="51" t="s">
        <v>260</v>
      </c>
      <c r="D632" s="49" t="s">
        <v>261</v>
      </c>
      <c r="E632" s="49" t="str">
        <f>B629&amp;C632</f>
        <v>North Platte, NEI</v>
      </c>
      <c r="F632" s="56">
        <v>666</v>
      </c>
      <c r="G632" s="56">
        <v>938</v>
      </c>
      <c r="H632" s="56">
        <v>1324</v>
      </c>
      <c r="I632" s="56">
        <v>1642</v>
      </c>
      <c r="J632" s="56">
        <v>1899</v>
      </c>
      <c r="K632" s="56">
        <v>2170</v>
      </c>
      <c r="L632" s="56">
        <v>2191</v>
      </c>
      <c r="M632" s="56">
        <v>1905</v>
      </c>
      <c r="N632" s="56">
        <v>1546</v>
      </c>
      <c r="O632" s="56">
        <v>1097</v>
      </c>
      <c r="P632" s="56">
        <v>710</v>
      </c>
      <c r="Q632" s="56">
        <v>587</v>
      </c>
      <c r="R632" s="57">
        <v>1390</v>
      </c>
    </row>
    <row r="633" spans="2:18" x14ac:dyDescent="0.4">
      <c r="B633" s="50"/>
      <c r="C633" s="51" t="s">
        <v>262</v>
      </c>
      <c r="D633" s="49" t="s">
        <v>263</v>
      </c>
      <c r="E633" s="49" t="str">
        <f>B629&amp;C633</f>
        <v>North Platte, NEPA</v>
      </c>
      <c r="F633" s="58" t="s">
        <v>506</v>
      </c>
      <c r="G633" s="58" t="s">
        <v>506</v>
      </c>
      <c r="H633" s="58" t="s">
        <v>506</v>
      </c>
      <c r="I633" s="58" t="s">
        <v>506</v>
      </c>
      <c r="J633" s="58" t="s">
        <v>506</v>
      </c>
      <c r="K633" s="58" t="s">
        <v>506</v>
      </c>
      <c r="L633" s="58" t="s">
        <v>506</v>
      </c>
      <c r="M633" s="58" t="s">
        <v>506</v>
      </c>
      <c r="N633" s="58" t="s">
        <v>506</v>
      </c>
      <c r="O633" s="58" t="s">
        <v>506</v>
      </c>
      <c r="P633" s="58" t="s">
        <v>506</v>
      </c>
      <c r="Q633" s="58" t="s">
        <v>506</v>
      </c>
      <c r="R633" s="57">
        <v>13.29</v>
      </c>
    </row>
    <row r="634" spans="2:18" x14ac:dyDescent="0.4">
      <c r="B634" s="48" t="s">
        <v>389</v>
      </c>
      <c r="C634" s="51" t="s">
        <v>255</v>
      </c>
      <c r="D634" s="49" t="s">
        <v>256</v>
      </c>
      <c r="E634" s="49" t="str">
        <f>B634&amp;C634</f>
        <v>Omaha, NETAN</v>
      </c>
      <c r="F634" s="56">
        <v>14.2</v>
      </c>
      <c r="G634" s="56">
        <v>19.5</v>
      </c>
      <c r="H634" s="56">
        <v>28.8</v>
      </c>
      <c r="I634" s="56">
        <v>40.700000000000003</v>
      </c>
      <c r="J634" s="56">
        <v>52</v>
      </c>
      <c r="K634" s="56">
        <v>62.1</v>
      </c>
      <c r="L634" s="56">
        <v>67</v>
      </c>
      <c r="M634" s="56">
        <v>64.8</v>
      </c>
      <c r="N634" s="56">
        <v>54.6</v>
      </c>
      <c r="O634" s="56">
        <v>42.7</v>
      </c>
      <c r="P634" s="56">
        <v>29.8</v>
      </c>
      <c r="Q634" s="56">
        <v>18.899999999999999</v>
      </c>
      <c r="R634" s="57">
        <v>41.3</v>
      </c>
    </row>
    <row r="635" spans="2:18" x14ac:dyDescent="0.4">
      <c r="B635" s="50"/>
      <c r="C635" s="51" t="s">
        <v>257</v>
      </c>
      <c r="D635" s="49" t="s">
        <v>256</v>
      </c>
      <c r="E635" s="49" t="str">
        <f>B634&amp;C635</f>
        <v>Omaha, NETAX</v>
      </c>
      <c r="F635" s="56">
        <v>31.7</v>
      </c>
      <c r="G635" s="56">
        <v>37.700000000000003</v>
      </c>
      <c r="H635" s="56">
        <v>49.9</v>
      </c>
      <c r="I635" s="56">
        <v>62.7</v>
      </c>
      <c r="J635" s="56">
        <v>73</v>
      </c>
      <c r="K635" s="56">
        <v>82.3</v>
      </c>
      <c r="L635" s="56">
        <v>86.2</v>
      </c>
      <c r="M635" s="56">
        <v>84.4</v>
      </c>
      <c r="N635" s="56">
        <v>77.2</v>
      </c>
      <c r="O635" s="56">
        <v>64.5</v>
      </c>
      <c r="P635" s="56">
        <v>48.4</v>
      </c>
      <c r="Q635" s="56">
        <v>35.9</v>
      </c>
      <c r="R635" s="57">
        <v>61.2</v>
      </c>
    </row>
    <row r="636" spans="2:18" x14ac:dyDescent="0.4">
      <c r="B636" s="50"/>
      <c r="C636" s="51" t="s">
        <v>258</v>
      </c>
      <c r="D636" s="49" t="s">
        <v>259</v>
      </c>
      <c r="E636" s="49" t="str">
        <f>B634&amp;C636</f>
        <v>Omaha, NEV</v>
      </c>
      <c r="F636" s="56">
        <v>10.1</v>
      </c>
      <c r="G636" s="56">
        <v>10.3</v>
      </c>
      <c r="H636" s="56">
        <v>11.2</v>
      </c>
      <c r="I636" s="56">
        <v>11.9</v>
      </c>
      <c r="J636" s="56">
        <v>10.5</v>
      </c>
      <c r="K636" s="56">
        <v>9.4</v>
      </c>
      <c r="L636" s="56">
        <v>8.3000000000000007</v>
      </c>
      <c r="M636" s="56">
        <v>8.1</v>
      </c>
      <c r="N636" s="56">
        <v>8.9</v>
      </c>
      <c r="O636" s="56">
        <v>9.6</v>
      </c>
      <c r="P636" s="56">
        <v>10.1</v>
      </c>
      <c r="Q636" s="56">
        <v>9.8000000000000007</v>
      </c>
      <c r="R636" s="57">
        <v>9.8000000000000007</v>
      </c>
    </row>
    <row r="637" spans="2:18" x14ac:dyDescent="0.4">
      <c r="B637" s="50"/>
      <c r="C637" s="51" t="s">
        <v>260</v>
      </c>
      <c r="D637" s="49" t="s">
        <v>261</v>
      </c>
      <c r="E637" s="49" t="str">
        <f>B634&amp;C637</f>
        <v>Omaha, NEI</v>
      </c>
      <c r="F637" s="56">
        <v>582</v>
      </c>
      <c r="G637" s="56">
        <v>852</v>
      </c>
      <c r="H637" s="56">
        <v>1204</v>
      </c>
      <c r="I637" s="56">
        <v>1512</v>
      </c>
      <c r="J637" s="56">
        <v>1776</v>
      </c>
      <c r="K637" s="56">
        <v>1992</v>
      </c>
      <c r="L637" s="56">
        <v>2001</v>
      </c>
      <c r="M637" s="56">
        <v>1749</v>
      </c>
      <c r="N637" s="56">
        <v>1447</v>
      </c>
      <c r="O637" s="56">
        <v>1007</v>
      </c>
      <c r="P637" s="56">
        <v>646</v>
      </c>
      <c r="Q637" s="56">
        <v>506</v>
      </c>
      <c r="R637" s="57">
        <v>1273</v>
      </c>
    </row>
    <row r="638" spans="2:18" x14ac:dyDescent="0.4">
      <c r="B638" s="50"/>
      <c r="C638" s="51" t="s">
        <v>262</v>
      </c>
      <c r="D638" s="49" t="s">
        <v>263</v>
      </c>
      <c r="E638" s="49" t="str">
        <f>B634&amp;C638</f>
        <v>Omaha, NEPA</v>
      </c>
      <c r="F638" s="58" t="s">
        <v>506</v>
      </c>
      <c r="G638" s="58" t="s">
        <v>506</v>
      </c>
      <c r="H638" s="58" t="s">
        <v>506</v>
      </c>
      <c r="I638" s="58" t="s">
        <v>506</v>
      </c>
      <c r="J638" s="58" t="s">
        <v>506</v>
      </c>
      <c r="K638" s="58" t="s">
        <v>506</v>
      </c>
      <c r="L638" s="58" t="s">
        <v>506</v>
      </c>
      <c r="M638" s="58" t="s">
        <v>506</v>
      </c>
      <c r="N638" s="58" t="s">
        <v>506</v>
      </c>
      <c r="O638" s="58" t="s">
        <v>506</v>
      </c>
      <c r="P638" s="58" t="s">
        <v>506</v>
      </c>
      <c r="Q638" s="58" t="s">
        <v>506</v>
      </c>
      <c r="R638" s="57">
        <v>14.18</v>
      </c>
    </row>
    <row r="639" spans="2:18" x14ac:dyDescent="0.4">
      <c r="B639" s="48" t="s">
        <v>390</v>
      </c>
      <c r="C639" s="51" t="s">
        <v>255</v>
      </c>
      <c r="D639" s="49" t="s">
        <v>256</v>
      </c>
      <c r="E639" s="49" t="str">
        <f>B639&amp;C639</f>
        <v>Scottsbluff, NETAN</v>
      </c>
      <c r="F639" s="56">
        <v>14.8</v>
      </c>
      <c r="G639" s="56">
        <v>17.7</v>
      </c>
      <c r="H639" s="56">
        <v>24.6</v>
      </c>
      <c r="I639" s="56">
        <v>32.6</v>
      </c>
      <c r="J639" s="56">
        <v>43.5</v>
      </c>
      <c r="K639" s="56">
        <v>52.9</v>
      </c>
      <c r="L639" s="56">
        <v>59.1</v>
      </c>
      <c r="M639" s="56">
        <v>57.1</v>
      </c>
      <c r="N639" s="56">
        <v>46.2</v>
      </c>
      <c r="O639" s="56">
        <v>33.700000000000003</v>
      </c>
      <c r="P639" s="56">
        <v>22.5</v>
      </c>
      <c r="Q639" s="56">
        <v>14.9</v>
      </c>
      <c r="R639" s="57">
        <v>35</v>
      </c>
    </row>
    <row r="640" spans="2:18" x14ac:dyDescent="0.4">
      <c r="B640" s="50"/>
      <c r="C640" s="51" t="s">
        <v>257</v>
      </c>
      <c r="D640" s="49" t="s">
        <v>256</v>
      </c>
      <c r="E640" s="49" t="str">
        <f>B639&amp;C640</f>
        <v>Scottsbluff, NETAX</v>
      </c>
      <c r="F640" s="56">
        <v>39.799999999999997</v>
      </c>
      <c r="G640" s="56">
        <v>44</v>
      </c>
      <c r="H640" s="56">
        <v>52.2</v>
      </c>
      <c r="I640" s="56">
        <v>60</v>
      </c>
      <c r="J640" s="56">
        <v>70.8</v>
      </c>
      <c r="K640" s="56">
        <v>80.8</v>
      </c>
      <c r="L640" s="56">
        <v>88.7</v>
      </c>
      <c r="M640" s="56">
        <v>86.5</v>
      </c>
      <c r="N640" s="56">
        <v>77.2</v>
      </c>
      <c r="O640" s="56">
        <v>63</v>
      </c>
      <c r="P640" s="56">
        <v>49.2</v>
      </c>
      <c r="Q640" s="56">
        <v>40.1</v>
      </c>
      <c r="R640" s="57">
        <v>62.7</v>
      </c>
    </row>
    <row r="641" spans="2:18" x14ac:dyDescent="0.4">
      <c r="B641" s="50"/>
      <c r="C641" s="51" t="s">
        <v>258</v>
      </c>
      <c r="D641" s="49" t="s">
        <v>259</v>
      </c>
      <c r="E641" s="49" t="str">
        <f>B639&amp;C641</f>
        <v>Scottsbluff, NEV</v>
      </c>
      <c r="F641" s="56">
        <v>9.6</v>
      </c>
      <c r="G641" s="56">
        <v>10.3</v>
      </c>
      <c r="H641" s="56">
        <v>11</v>
      </c>
      <c r="I641" s="56">
        <v>11.4</v>
      </c>
      <c r="J641" s="56">
        <v>11</v>
      </c>
      <c r="K641" s="56">
        <v>9.8000000000000007</v>
      </c>
      <c r="L641" s="56">
        <v>8.5</v>
      </c>
      <c r="M641" s="56">
        <v>8.3000000000000007</v>
      </c>
      <c r="N641" s="56">
        <v>8.3000000000000007</v>
      </c>
      <c r="O641" s="56">
        <v>9.1999999999999993</v>
      </c>
      <c r="P641" s="56">
        <v>9.4</v>
      </c>
      <c r="Q641" s="56">
        <v>9.4</v>
      </c>
      <c r="R641" s="57">
        <v>9.6</v>
      </c>
    </row>
    <row r="642" spans="2:18" x14ac:dyDescent="0.4">
      <c r="B642" s="50"/>
      <c r="C642" s="51" t="s">
        <v>260</v>
      </c>
      <c r="D642" s="49" t="s">
        <v>261</v>
      </c>
      <c r="E642" s="49" t="str">
        <f>B639&amp;C642</f>
        <v>Scottsbluff, NEI</v>
      </c>
      <c r="F642" s="56">
        <v>672</v>
      </c>
      <c r="G642" s="56">
        <v>923</v>
      </c>
      <c r="H642" s="56">
        <v>1295</v>
      </c>
      <c r="I642" s="56">
        <v>1647</v>
      </c>
      <c r="J642" s="56">
        <v>1955</v>
      </c>
      <c r="K642" s="56">
        <v>2180</v>
      </c>
      <c r="L642" s="56">
        <v>2261</v>
      </c>
      <c r="M642" s="56">
        <v>1963</v>
      </c>
      <c r="N642" s="56">
        <v>1571</v>
      </c>
      <c r="O642" s="56">
        <v>1089</v>
      </c>
      <c r="P642" s="56">
        <v>715</v>
      </c>
      <c r="Q642" s="56">
        <v>559</v>
      </c>
      <c r="R642" s="57">
        <v>1403</v>
      </c>
    </row>
    <row r="643" spans="2:18" x14ac:dyDescent="0.4">
      <c r="B643" s="50"/>
      <c r="C643" s="51" t="s">
        <v>262</v>
      </c>
      <c r="D643" s="49" t="s">
        <v>263</v>
      </c>
      <c r="E643" s="49" t="str">
        <f>B639&amp;C643</f>
        <v>Scottsbluff, NEPA</v>
      </c>
      <c r="F643" s="58" t="s">
        <v>506</v>
      </c>
      <c r="G643" s="58" t="s">
        <v>506</v>
      </c>
      <c r="H643" s="58" t="s">
        <v>506</v>
      </c>
      <c r="I643" s="58" t="s">
        <v>506</v>
      </c>
      <c r="J643" s="58" t="s">
        <v>506</v>
      </c>
      <c r="K643" s="58" t="s">
        <v>506</v>
      </c>
      <c r="L643" s="58" t="s">
        <v>506</v>
      </c>
      <c r="M643" s="58" t="s">
        <v>506</v>
      </c>
      <c r="N643" s="58" t="s">
        <v>506</v>
      </c>
      <c r="O643" s="58" t="s">
        <v>506</v>
      </c>
      <c r="P643" s="58" t="s">
        <v>506</v>
      </c>
      <c r="Q643" s="58" t="s">
        <v>506</v>
      </c>
      <c r="R643" s="57">
        <v>12.75</v>
      </c>
    </row>
    <row r="644" spans="2:18" x14ac:dyDescent="0.4">
      <c r="B644" s="48" t="s">
        <v>391</v>
      </c>
      <c r="C644" s="51" t="s">
        <v>255</v>
      </c>
      <c r="D644" s="49" t="s">
        <v>256</v>
      </c>
      <c r="E644" s="49" t="str">
        <f>B644&amp;C644</f>
        <v>Valentine, NETAN</v>
      </c>
      <c r="F644" s="56">
        <v>11.5</v>
      </c>
      <c r="G644" s="56">
        <v>15.7</v>
      </c>
      <c r="H644" s="56">
        <v>23.8</v>
      </c>
      <c r="I644" s="56">
        <v>33.799999999999997</v>
      </c>
      <c r="J644" s="56">
        <v>44.6</v>
      </c>
      <c r="K644" s="56">
        <v>54.7</v>
      </c>
      <c r="L644" s="56">
        <v>60.8</v>
      </c>
      <c r="M644" s="56">
        <v>59.2</v>
      </c>
      <c r="N644" s="56">
        <v>48.3</v>
      </c>
      <c r="O644" s="56">
        <v>34.799999999999997</v>
      </c>
      <c r="P644" s="56">
        <v>22.2</v>
      </c>
      <c r="Q644" s="56">
        <v>13.5</v>
      </c>
      <c r="R644" s="57">
        <v>35.200000000000003</v>
      </c>
    </row>
    <row r="645" spans="2:18" x14ac:dyDescent="0.4">
      <c r="B645" s="50"/>
      <c r="C645" s="51" t="s">
        <v>257</v>
      </c>
      <c r="D645" s="49" t="s">
        <v>256</v>
      </c>
      <c r="E645" s="49" t="str">
        <f>B644&amp;C645</f>
        <v>Valentine, NETAX</v>
      </c>
      <c r="F645" s="56">
        <v>35.5</v>
      </c>
      <c r="G645" s="56">
        <v>39.5</v>
      </c>
      <c r="H645" s="56">
        <v>48.6</v>
      </c>
      <c r="I645" s="56">
        <v>58.8</v>
      </c>
      <c r="J645" s="56">
        <v>69.900000000000006</v>
      </c>
      <c r="K645" s="56">
        <v>79.400000000000006</v>
      </c>
      <c r="L645" s="56">
        <v>87.3</v>
      </c>
      <c r="M645" s="56">
        <v>86.1</v>
      </c>
      <c r="N645" s="56">
        <v>76.7</v>
      </c>
      <c r="O645" s="56">
        <v>62</v>
      </c>
      <c r="P645" s="56">
        <v>47.4</v>
      </c>
      <c r="Q645" s="56">
        <v>37.200000000000003</v>
      </c>
      <c r="R645" s="57">
        <v>60.7</v>
      </c>
    </row>
    <row r="646" spans="2:18" x14ac:dyDescent="0.4">
      <c r="B646" s="50"/>
      <c r="C646" s="51" t="s">
        <v>258</v>
      </c>
      <c r="D646" s="49" t="s">
        <v>259</v>
      </c>
      <c r="E646" s="49" t="str">
        <f>B644&amp;C646</f>
        <v>Valentine, NEV</v>
      </c>
      <c r="F646" s="56">
        <v>9.4</v>
      </c>
      <c r="G646" s="56">
        <v>9.8000000000000007</v>
      </c>
      <c r="H646" s="56">
        <v>10.5</v>
      </c>
      <c r="I646" s="56">
        <v>11.4</v>
      </c>
      <c r="J646" s="56">
        <v>11.4</v>
      </c>
      <c r="K646" s="56">
        <v>10.3</v>
      </c>
      <c r="L646" s="56">
        <v>9.1999999999999993</v>
      </c>
      <c r="M646" s="56">
        <v>9.6</v>
      </c>
      <c r="N646" s="56">
        <v>10.3</v>
      </c>
      <c r="O646" s="56">
        <v>10.1</v>
      </c>
      <c r="P646" s="56">
        <v>9.8000000000000007</v>
      </c>
      <c r="Q646" s="56">
        <v>9.6</v>
      </c>
      <c r="R646" s="57">
        <v>10.1</v>
      </c>
    </row>
    <row r="647" spans="2:18" x14ac:dyDescent="0.4">
      <c r="B647" s="50"/>
      <c r="C647" s="51" t="s">
        <v>260</v>
      </c>
      <c r="D647" s="49" t="s">
        <v>261</v>
      </c>
      <c r="E647" s="49" t="str">
        <f>B644&amp;C647</f>
        <v>Valentine, NEI</v>
      </c>
      <c r="F647" s="56">
        <v>601</v>
      </c>
      <c r="G647" s="56">
        <v>853</v>
      </c>
      <c r="H647" s="56">
        <v>1215</v>
      </c>
      <c r="I647" s="56">
        <v>1539</v>
      </c>
      <c r="J647" s="56">
        <v>1862</v>
      </c>
      <c r="K647" s="56">
        <v>2066</v>
      </c>
      <c r="L647" s="56">
        <v>2187</v>
      </c>
      <c r="M647" s="56">
        <v>1883</v>
      </c>
      <c r="N647" s="56">
        <v>1496</v>
      </c>
      <c r="O647" s="56">
        <v>1011</v>
      </c>
      <c r="P647" s="56">
        <v>643</v>
      </c>
      <c r="Q647" s="56">
        <v>514</v>
      </c>
      <c r="R647" s="57">
        <v>1322</v>
      </c>
    </row>
    <row r="648" spans="2:18" x14ac:dyDescent="0.4">
      <c r="B648" s="50"/>
      <c r="C648" s="51" t="s">
        <v>262</v>
      </c>
      <c r="D648" s="49" t="s">
        <v>263</v>
      </c>
      <c r="E648" s="49" t="str">
        <f>B644&amp;C648</f>
        <v>Valentine, NEPA</v>
      </c>
      <c r="F648" s="58" t="s">
        <v>506</v>
      </c>
      <c r="G648" s="58" t="s">
        <v>506</v>
      </c>
      <c r="H648" s="58" t="s">
        <v>506</v>
      </c>
      <c r="I648" s="58" t="s">
        <v>506</v>
      </c>
      <c r="J648" s="58" t="s">
        <v>506</v>
      </c>
      <c r="K648" s="58" t="s">
        <v>506</v>
      </c>
      <c r="L648" s="58" t="s">
        <v>506</v>
      </c>
      <c r="M648" s="58" t="s">
        <v>506</v>
      </c>
      <c r="N648" s="58" t="s">
        <v>506</v>
      </c>
      <c r="O648" s="58" t="s">
        <v>506</v>
      </c>
      <c r="P648" s="58" t="s">
        <v>506</v>
      </c>
      <c r="Q648" s="58" t="s">
        <v>506</v>
      </c>
      <c r="R648" s="57">
        <v>13.39</v>
      </c>
    </row>
    <row r="649" spans="2:18" x14ac:dyDescent="0.4">
      <c r="B649" s="48" t="s">
        <v>392</v>
      </c>
      <c r="C649" s="51" t="s">
        <v>255</v>
      </c>
      <c r="D649" s="49" t="s">
        <v>256</v>
      </c>
      <c r="E649" s="49" t="str">
        <f>B649&amp;C649</f>
        <v>Ely, NVTAN</v>
      </c>
      <c r="F649" s="56">
        <v>13.1</v>
      </c>
      <c r="G649" s="56">
        <v>16.899999999999999</v>
      </c>
      <c r="H649" s="56">
        <v>22.9</v>
      </c>
      <c r="I649" s="56">
        <v>27.7</v>
      </c>
      <c r="J649" s="56">
        <v>34.4</v>
      </c>
      <c r="K649" s="56">
        <v>42</v>
      </c>
      <c r="L649" s="56">
        <v>49.2</v>
      </c>
      <c r="M649" s="56">
        <v>48.1</v>
      </c>
      <c r="N649" s="56">
        <v>38.700000000000003</v>
      </c>
      <c r="O649" s="56">
        <v>28.9</v>
      </c>
      <c r="P649" s="56">
        <v>19.8</v>
      </c>
      <c r="Q649" s="56">
        <v>12.6</v>
      </c>
      <c r="R649" s="57">
        <v>29.5</v>
      </c>
    </row>
    <row r="650" spans="2:18" x14ac:dyDescent="0.4">
      <c r="B650" s="50"/>
      <c r="C650" s="51" t="s">
        <v>257</v>
      </c>
      <c r="D650" s="49" t="s">
        <v>256</v>
      </c>
      <c r="E650" s="49" t="str">
        <f>B649&amp;C650</f>
        <v>Ely, NVTAX</v>
      </c>
      <c r="F650" s="56">
        <v>38.9</v>
      </c>
      <c r="G650" s="56">
        <v>41.6</v>
      </c>
      <c r="H650" s="56">
        <v>49.8</v>
      </c>
      <c r="I650" s="56">
        <v>56</v>
      </c>
      <c r="J650" s="56">
        <v>67</v>
      </c>
      <c r="K650" s="56">
        <v>77.7</v>
      </c>
      <c r="L650" s="56">
        <v>86.9</v>
      </c>
      <c r="M650" s="56">
        <v>84.6</v>
      </c>
      <c r="N650" s="56">
        <v>75.599999999999994</v>
      </c>
      <c r="O650" s="56">
        <v>62.1</v>
      </c>
      <c r="P650" s="56">
        <v>48.1</v>
      </c>
      <c r="Q650" s="56">
        <v>38.799999999999997</v>
      </c>
      <c r="R650" s="57">
        <v>60.6</v>
      </c>
    </row>
    <row r="651" spans="2:18" x14ac:dyDescent="0.4">
      <c r="B651" s="50"/>
      <c r="C651" s="51" t="s">
        <v>258</v>
      </c>
      <c r="D651" s="49" t="s">
        <v>259</v>
      </c>
      <c r="E651" s="49" t="str">
        <f>B649&amp;C651</f>
        <v>Ely, NVV</v>
      </c>
      <c r="F651" s="56">
        <v>9.1999999999999993</v>
      </c>
      <c r="G651" s="56">
        <v>8.9</v>
      </c>
      <c r="H651" s="56">
        <v>9.6</v>
      </c>
      <c r="I651" s="56">
        <v>9.8000000000000007</v>
      </c>
      <c r="J651" s="56">
        <v>9.4</v>
      </c>
      <c r="K651" s="56">
        <v>9.6</v>
      </c>
      <c r="L651" s="56">
        <v>9.4</v>
      </c>
      <c r="M651" s="56">
        <v>9.6</v>
      </c>
      <c r="N651" s="56">
        <v>9.1999999999999993</v>
      </c>
      <c r="O651" s="56">
        <v>9.1999999999999993</v>
      </c>
      <c r="P651" s="56">
        <v>8.6999999999999993</v>
      </c>
      <c r="Q651" s="56">
        <v>8.9</v>
      </c>
      <c r="R651" s="57">
        <v>9.4</v>
      </c>
    </row>
    <row r="652" spans="2:18" x14ac:dyDescent="0.4">
      <c r="B652" s="50"/>
      <c r="C652" s="51" t="s">
        <v>260</v>
      </c>
      <c r="D652" s="49" t="s">
        <v>261</v>
      </c>
      <c r="E652" s="49" t="str">
        <f>B649&amp;C652</f>
        <v>Ely, NVI</v>
      </c>
      <c r="F652" s="56">
        <v>724</v>
      </c>
      <c r="G652" s="56">
        <v>1006</v>
      </c>
      <c r="H652" s="56">
        <v>1454</v>
      </c>
      <c r="I652" s="56">
        <v>1843</v>
      </c>
      <c r="J652" s="56">
        <v>2146</v>
      </c>
      <c r="K652" s="56">
        <v>2418</v>
      </c>
      <c r="L652" s="56">
        <v>2371</v>
      </c>
      <c r="M652" s="56">
        <v>2173</v>
      </c>
      <c r="N652" s="56">
        <v>1800</v>
      </c>
      <c r="O652" s="56">
        <v>1303</v>
      </c>
      <c r="P652" s="56">
        <v>875</v>
      </c>
      <c r="Q652" s="56">
        <v>669</v>
      </c>
      <c r="R652" s="57">
        <v>1565</v>
      </c>
    </row>
    <row r="653" spans="2:18" x14ac:dyDescent="0.4">
      <c r="B653" s="50"/>
      <c r="C653" s="51" t="s">
        <v>262</v>
      </c>
      <c r="D653" s="49" t="s">
        <v>263</v>
      </c>
      <c r="E653" s="49" t="str">
        <f>B649&amp;C653</f>
        <v>Ely, NVPA</v>
      </c>
      <c r="F653" s="58" t="s">
        <v>506</v>
      </c>
      <c r="G653" s="58" t="s">
        <v>506</v>
      </c>
      <c r="H653" s="58" t="s">
        <v>506</v>
      </c>
      <c r="I653" s="58" t="s">
        <v>506</v>
      </c>
      <c r="J653" s="58" t="s">
        <v>506</v>
      </c>
      <c r="K653" s="58" t="s">
        <v>506</v>
      </c>
      <c r="L653" s="58" t="s">
        <v>506</v>
      </c>
      <c r="M653" s="58" t="s">
        <v>506</v>
      </c>
      <c r="N653" s="58" t="s">
        <v>506</v>
      </c>
      <c r="O653" s="58" t="s">
        <v>506</v>
      </c>
      <c r="P653" s="58" t="s">
        <v>506</v>
      </c>
      <c r="Q653" s="58" t="s">
        <v>506</v>
      </c>
      <c r="R653" s="57">
        <v>11.72</v>
      </c>
    </row>
    <row r="654" spans="2:18" x14ac:dyDescent="0.4">
      <c r="B654" s="48" t="s">
        <v>393</v>
      </c>
      <c r="C654" s="51" t="s">
        <v>255</v>
      </c>
      <c r="D654" s="49" t="s">
        <v>256</v>
      </c>
      <c r="E654" s="49" t="str">
        <f>B654&amp;C654</f>
        <v>Las Vegas, NVTAN</v>
      </c>
      <c r="F654" s="56">
        <v>39.4</v>
      </c>
      <c r="G654" s="56">
        <v>43.2</v>
      </c>
      <c r="H654" s="56">
        <v>49.2</v>
      </c>
      <c r="I654" s="56">
        <v>55.6</v>
      </c>
      <c r="J654" s="56">
        <v>65.8</v>
      </c>
      <c r="K654" s="56">
        <v>74.3</v>
      </c>
      <c r="L654" s="56">
        <v>81.2</v>
      </c>
      <c r="M654" s="56">
        <v>79.8</v>
      </c>
      <c r="N654" s="56">
        <v>71.400000000000006</v>
      </c>
      <c r="O654" s="56">
        <v>58.7</v>
      </c>
      <c r="P654" s="56">
        <v>46.3</v>
      </c>
      <c r="Q654" s="56">
        <v>38.700000000000003</v>
      </c>
      <c r="R654" s="57">
        <v>58.6</v>
      </c>
    </row>
    <row r="655" spans="2:18" x14ac:dyDescent="0.4">
      <c r="B655" s="50"/>
      <c r="C655" s="51" t="s">
        <v>257</v>
      </c>
      <c r="D655" s="49" t="s">
        <v>256</v>
      </c>
      <c r="E655" s="49" t="str">
        <f>B654&amp;C655</f>
        <v>Las Vegas, NVTAX</v>
      </c>
      <c r="F655" s="56">
        <v>57.6</v>
      </c>
      <c r="G655" s="56">
        <v>61.9</v>
      </c>
      <c r="H655" s="56">
        <v>69.8</v>
      </c>
      <c r="I655" s="56">
        <v>77.099999999999994</v>
      </c>
      <c r="J655" s="56">
        <v>88.2</v>
      </c>
      <c r="K655" s="56">
        <v>97.7</v>
      </c>
      <c r="L655" s="56">
        <v>103.7</v>
      </c>
      <c r="M655" s="56">
        <v>101.8</v>
      </c>
      <c r="N655" s="56">
        <v>94</v>
      </c>
      <c r="O655" s="56">
        <v>80.2</v>
      </c>
      <c r="P655" s="56">
        <v>66</v>
      </c>
      <c r="Q655" s="56">
        <v>56.3</v>
      </c>
      <c r="R655" s="57">
        <v>79.5</v>
      </c>
    </row>
    <row r="656" spans="2:18" x14ac:dyDescent="0.4">
      <c r="B656" s="50"/>
      <c r="C656" s="51" t="s">
        <v>258</v>
      </c>
      <c r="D656" s="49" t="s">
        <v>259</v>
      </c>
      <c r="E656" s="49" t="str">
        <f>B654&amp;C656</f>
        <v>Las Vegas, NVV</v>
      </c>
      <c r="F656" s="56">
        <v>6.5</v>
      </c>
      <c r="G656" s="56">
        <v>7.2</v>
      </c>
      <c r="H656" s="56">
        <v>8.6999999999999993</v>
      </c>
      <c r="I656" s="56">
        <v>10.3</v>
      </c>
      <c r="J656" s="56">
        <v>10.1</v>
      </c>
      <c r="K656" s="56">
        <v>10.1</v>
      </c>
      <c r="L656" s="56">
        <v>8.9</v>
      </c>
      <c r="M656" s="56">
        <v>8.5</v>
      </c>
      <c r="N656" s="56">
        <v>7.8</v>
      </c>
      <c r="O656" s="56">
        <v>7.2</v>
      </c>
      <c r="P656" s="56">
        <v>6.5</v>
      </c>
      <c r="Q656" s="56">
        <v>6.5</v>
      </c>
      <c r="R656" s="57">
        <v>8.3000000000000007</v>
      </c>
    </row>
    <row r="657" spans="2:18" x14ac:dyDescent="0.4">
      <c r="B657" s="50"/>
      <c r="C657" s="51" t="s">
        <v>260</v>
      </c>
      <c r="D657" s="49" t="s">
        <v>261</v>
      </c>
      <c r="E657" s="49" t="str">
        <f>B654&amp;C657</f>
        <v>Las Vegas, NVI</v>
      </c>
      <c r="F657" s="56">
        <v>965</v>
      </c>
      <c r="G657" s="56">
        <v>1244</v>
      </c>
      <c r="H657" s="56">
        <v>1732</v>
      </c>
      <c r="I657" s="56">
        <v>2164</v>
      </c>
      <c r="J657" s="56">
        <v>2466</v>
      </c>
      <c r="K657" s="56">
        <v>2628</v>
      </c>
      <c r="L657" s="56">
        <v>2439</v>
      </c>
      <c r="M657" s="56">
        <v>2202</v>
      </c>
      <c r="N657" s="56">
        <v>1938</v>
      </c>
      <c r="O657" s="56">
        <v>1479</v>
      </c>
      <c r="P657" s="56">
        <v>1093</v>
      </c>
      <c r="Q657" s="56">
        <v>885</v>
      </c>
      <c r="R657" s="57">
        <v>1769</v>
      </c>
    </row>
    <row r="658" spans="2:18" x14ac:dyDescent="0.4">
      <c r="B658" s="50"/>
      <c r="C658" s="51" t="s">
        <v>262</v>
      </c>
      <c r="D658" s="49" t="s">
        <v>263</v>
      </c>
      <c r="E658" s="49" t="str">
        <f>B654&amp;C658</f>
        <v>Las Vegas, NVPA</v>
      </c>
      <c r="F658" s="58" t="s">
        <v>506</v>
      </c>
      <c r="G658" s="58" t="s">
        <v>506</v>
      </c>
      <c r="H658" s="58" t="s">
        <v>506</v>
      </c>
      <c r="I658" s="58" t="s">
        <v>506</v>
      </c>
      <c r="J658" s="58" t="s">
        <v>506</v>
      </c>
      <c r="K658" s="58" t="s">
        <v>506</v>
      </c>
      <c r="L658" s="58" t="s">
        <v>506</v>
      </c>
      <c r="M658" s="58" t="s">
        <v>506</v>
      </c>
      <c r="N658" s="58" t="s">
        <v>506</v>
      </c>
      <c r="O658" s="58" t="s">
        <v>506</v>
      </c>
      <c r="P658" s="58" t="s">
        <v>506</v>
      </c>
      <c r="Q658" s="58" t="s">
        <v>506</v>
      </c>
      <c r="R658" s="57">
        <v>13.6</v>
      </c>
    </row>
    <row r="659" spans="2:18" x14ac:dyDescent="0.4">
      <c r="B659" s="48" t="s">
        <v>394</v>
      </c>
      <c r="C659" s="51" t="s">
        <v>255</v>
      </c>
      <c r="D659" s="49" t="s">
        <v>256</v>
      </c>
      <c r="E659" s="49" t="str">
        <f>B659&amp;C659</f>
        <v>Lovelock, NVTAN</v>
      </c>
      <c r="F659" s="56">
        <v>20.8</v>
      </c>
      <c r="G659" s="56">
        <v>25.3</v>
      </c>
      <c r="H659" s="56">
        <v>29.2</v>
      </c>
      <c r="I659" s="56">
        <v>35.200000000000003</v>
      </c>
      <c r="J659" s="56">
        <v>44.8</v>
      </c>
      <c r="K659" s="56">
        <v>51.9</v>
      </c>
      <c r="L659" s="56">
        <v>58.3</v>
      </c>
      <c r="M659" s="56">
        <v>54.6</v>
      </c>
      <c r="N659" s="56">
        <v>45.3</v>
      </c>
      <c r="O659" s="56">
        <v>35.200000000000003</v>
      </c>
      <c r="P659" s="56">
        <v>24.4</v>
      </c>
      <c r="Q659" s="56">
        <v>19.3</v>
      </c>
      <c r="R659" s="57">
        <v>37</v>
      </c>
    </row>
    <row r="660" spans="2:18" x14ac:dyDescent="0.4">
      <c r="B660" s="50"/>
      <c r="C660" s="51" t="s">
        <v>257</v>
      </c>
      <c r="D660" s="49" t="s">
        <v>256</v>
      </c>
      <c r="E660" s="49" t="str">
        <f>B659&amp;C660</f>
        <v>Lovelock, NVTAX</v>
      </c>
      <c r="F660" s="56">
        <v>43.4</v>
      </c>
      <c r="G660" s="56">
        <v>50.5</v>
      </c>
      <c r="H660" s="56">
        <v>59.3</v>
      </c>
      <c r="I660" s="56">
        <v>64.7</v>
      </c>
      <c r="J660" s="56">
        <v>75.400000000000006</v>
      </c>
      <c r="K660" s="56">
        <v>84.8</v>
      </c>
      <c r="L660" s="56">
        <v>95.4</v>
      </c>
      <c r="M660" s="56">
        <v>92.8</v>
      </c>
      <c r="N660" s="56">
        <v>83.9</v>
      </c>
      <c r="O660" s="56">
        <v>69.3</v>
      </c>
      <c r="P660" s="56">
        <v>53.9</v>
      </c>
      <c r="Q660" s="56">
        <v>43.4</v>
      </c>
      <c r="R660" s="57">
        <v>68.099999999999994</v>
      </c>
    </row>
    <row r="661" spans="2:18" x14ac:dyDescent="0.4">
      <c r="B661" s="50"/>
      <c r="C661" s="51" t="s">
        <v>258</v>
      </c>
      <c r="D661" s="49" t="s">
        <v>259</v>
      </c>
      <c r="E661" s="49" t="str">
        <f>B659&amp;C661</f>
        <v>Lovelock, NVV</v>
      </c>
      <c r="F661" s="56">
        <v>4.9000000000000004</v>
      </c>
      <c r="G661" s="56">
        <v>6</v>
      </c>
      <c r="H661" s="56">
        <v>7.4</v>
      </c>
      <c r="I661" s="56">
        <v>8.3000000000000007</v>
      </c>
      <c r="J661" s="56">
        <v>8.5</v>
      </c>
      <c r="K661" s="56">
        <v>8.3000000000000007</v>
      </c>
      <c r="L661" s="56">
        <v>7.6</v>
      </c>
      <c r="M661" s="56">
        <v>6.9</v>
      </c>
      <c r="N661" s="56">
        <v>6</v>
      </c>
      <c r="O661" s="56">
        <v>5.8</v>
      </c>
      <c r="P661" s="56">
        <v>5.0999999999999996</v>
      </c>
      <c r="Q661" s="56">
        <v>4.7</v>
      </c>
      <c r="R661" s="57">
        <v>6.7</v>
      </c>
    </row>
    <row r="662" spans="2:18" x14ac:dyDescent="0.4">
      <c r="B662" s="50"/>
      <c r="C662" s="51" t="s">
        <v>260</v>
      </c>
      <c r="D662" s="49" t="s">
        <v>261</v>
      </c>
      <c r="E662" s="49" t="str">
        <f>B659&amp;C662</f>
        <v>Lovelock, NVI</v>
      </c>
      <c r="F662" s="56">
        <v>687</v>
      </c>
      <c r="G662" s="56">
        <v>992</v>
      </c>
      <c r="H662" s="56">
        <v>1414</v>
      </c>
      <c r="I662" s="56">
        <v>1822</v>
      </c>
      <c r="J662" s="56">
        <v>2189</v>
      </c>
      <c r="K662" s="56">
        <v>2471</v>
      </c>
      <c r="L662" s="56">
        <v>2533</v>
      </c>
      <c r="M662" s="56">
        <v>2252</v>
      </c>
      <c r="N662" s="56">
        <v>1833</v>
      </c>
      <c r="O662" s="56">
        <v>1274</v>
      </c>
      <c r="P662" s="56">
        <v>802</v>
      </c>
      <c r="Q662" s="56">
        <v>587</v>
      </c>
      <c r="R662" s="57">
        <v>1571</v>
      </c>
    </row>
    <row r="663" spans="2:18" x14ac:dyDescent="0.4">
      <c r="B663" s="50"/>
      <c r="C663" s="51" t="s">
        <v>262</v>
      </c>
      <c r="D663" s="49" t="s">
        <v>263</v>
      </c>
      <c r="E663" s="49" t="str">
        <f>B659&amp;C663</f>
        <v>Lovelock, NVPA</v>
      </c>
      <c r="F663" s="58" t="s">
        <v>506</v>
      </c>
      <c r="G663" s="58" t="s">
        <v>506</v>
      </c>
      <c r="H663" s="58" t="s">
        <v>506</v>
      </c>
      <c r="I663" s="58" t="s">
        <v>506</v>
      </c>
      <c r="J663" s="58" t="s">
        <v>506</v>
      </c>
      <c r="K663" s="58" t="s">
        <v>506</v>
      </c>
      <c r="L663" s="58" t="s">
        <v>506</v>
      </c>
      <c r="M663" s="58" t="s">
        <v>506</v>
      </c>
      <c r="N663" s="58" t="s">
        <v>506</v>
      </c>
      <c r="O663" s="58" t="s">
        <v>506</v>
      </c>
      <c r="P663" s="58" t="s">
        <v>506</v>
      </c>
      <c r="Q663" s="58" t="s">
        <v>506</v>
      </c>
      <c r="R663" s="57">
        <v>12.76</v>
      </c>
    </row>
    <row r="664" spans="2:18" x14ac:dyDescent="0.4">
      <c r="B664" s="48" t="s">
        <v>395</v>
      </c>
      <c r="C664" s="51" t="s">
        <v>255</v>
      </c>
      <c r="D664" s="49" t="s">
        <v>256</v>
      </c>
      <c r="E664" s="49" t="str">
        <f>B664&amp;C664</f>
        <v>Mercury, NVTAN</v>
      </c>
      <c r="F664" s="56">
        <v>35.1</v>
      </c>
      <c r="G664" s="56">
        <v>38.200000000000003</v>
      </c>
      <c r="H664" s="56">
        <v>42.8</v>
      </c>
      <c r="I664" s="56">
        <v>48.2</v>
      </c>
      <c r="J664" s="56">
        <v>57.9</v>
      </c>
      <c r="K664" s="56">
        <v>66.2</v>
      </c>
      <c r="L664" s="56">
        <v>73.7</v>
      </c>
      <c r="M664" s="56">
        <v>72.400000000000006</v>
      </c>
      <c r="N664" s="56">
        <v>64</v>
      </c>
      <c r="O664" s="56">
        <v>52</v>
      </c>
      <c r="P664" s="56">
        <v>41.1</v>
      </c>
      <c r="Q664" s="56">
        <v>34.200000000000003</v>
      </c>
      <c r="R664" s="57">
        <v>52.2</v>
      </c>
    </row>
    <row r="665" spans="2:18" x14ac:dyDescent="0.4">
      <c r="B665" s="50"/>
      <c r="C665" s="51" t="s">
        <v>257</v>
      </c>
      <c r="D665" s="49" t="s">
        <v>256</v>
      </c>
      <c r="E665" s="49" t="str">
        <f>B664&amp;C665</f>
        <v>Mercury, NVTAX</v>
      </c>
      <c r="F665" s="56">
        <v>55.2</v>
      </c>
      <c r="G665" s="56">
        <v>58.3</v>
      </c>
      <c r="H665" s="56">
        <v>65.8</v>
      </c>
      <c r="I665" s="56">
        <v>72</v>
      </c>
      <c r="J665" s="56">
        <v>82.9</v>
      </c>
      <c r="K665" s="56">
        <v>92.2</v>
      </c>
      <c r="L665" s="56">
        <v>99</v>
      </c>
      <c r="M665" s="56">
        <v>97.3</v>
      </c>
      <c r="N665" s="56">
        <v>89.6</v>
      </c>
      <c r="O665" s="56">
        <v>76.400000000000006</v>
      </c>
      <c r="P665" s="56">
        <v>63.3</v>
      </c>
      <c r="Q665" s="56">
        <v>54.1</v>
      </c>
      <c r="R665" s="57">
        <v>75.5</v>
      </c>
    </row>
    <row r="666" spans="2:18" x14ac:dyDescent="0.4">
      <c r="B666" s="50"/>
      <c r="C666" s="51" t="s">
        <v>258</v>
      </c>
      <c r="D666" s="49" t="s">
        <v>259</v>
      </c>
      <c r="E666" s="49" t="str">
        <f>B664&amp;C666</f>
        <v>Mercury, NVV</v>
      </c>
      <c r="F666" s="56">
        <v>8.3000000000000007</v>
      </c>
      <c r="G666" s="56">
        <v>8.5</v>
      </c>
      <c r="H666" s="56">
        <v>9.1999999999999993</v>
      </c>
      <c r="I666" s="56">
        <v>10.3</v>
      </c>
      <c r="J666" s="56">
        <v>9.8000000000000007</v>
      </c>
      <c r="K666" s="56">
        <v>10.1</v>
      </c>
      <c r="L666" s="56">
        <v>9.1999999999999993</v>
      </c>
      <c r="M666" s="56">
        <v>9.1999999999999993</v>
      </c>
      <c r="N666" s="56">
        <v>8.3000000000000007</v>
      </c>
      <c r="O666" s="56">
        <v>8.1</v>
      </c>
      <c r="P666" s="56">
        <v>8.1</v>
      </c>
      <c r="Q666" s="56">
        <v>8.1</v>
      </c>
      <c r="R666" s="57">
        <v>8.9</v>
      </c>
    </row>
    <row r="667" spans="2:18" x14ac:dyDescent="0.4">
      <c r="B667" s="50"/>
      <c r="C667" s="51" t="s">
        <v>260</v>
      </c>
      <c r="D667" s="49" t="s">
        <v>261</v>
      </c>
      <c r="E667" s="49" t="str">
        <f>B664&amp;C667</f>
        <v>Mercury, NVI</v>
      </c>
      <c r="F667" s="56">
        <v>937</v>
      </c>
      <c r="G667" s="56">
        <v>1212</v>
      </c>
      <c r="H667" s="56">
        <v>1714</v>
      </c>
      <c r="I667" s="56">
        <v>2151</v>
      </c>
      <c r="J667" s="56">
        <v>2464</v>
      </c>
      <c r="K667" s="56">
        <v>2664</v>
      </c>
      <c r="L667" s="56">
        <v>2527</v>
      </c>
      <c r="M667" s="56">
        <v>2313</v>
      </c>
      <c r="N667" s="56">
        <v>1977</v>
      </c>
      <c r="O667" s="56">
        <v>1482</v>
      </c>
      <c r="P667" s="56">
        <v>1077</v>
      </c>
      <c r="Q667" s="56">
        <v>860</v>
      </c>
      <c r="R667" s="57">
        <v>1781</v>
      </c>
    </row>
    <row r="668" spans="2:18" x14ac:dyDescent="0.4">
      <c r="B668" s="50"/>
      <c r="C668" s="51" t="s">
        <v>262</v>
      </c>
      <c r="D668" s="49" t="s">
        <v>263</v>
      </c>
      <c r="E668" s="49" t="str">
        <f>B664&amp;C668</f>
        <v>Mercury, NVPA</v>
      </c>
      <c r="F668" s="58" t="s">
        <v>506</v>
      </c>
      <c r="G668" s="58" t="s">
        <v>506</v>
      </c>
      <c r="H668" s="58" t="s">
        <v>506</v>
      </c>
      <c r="I668" s="58" t="s">
        <v>506</v>
      </c>
      <c r="J668" s="58" t="s">
        <v>506</v>
      </c>
      <c r="K668" s="58" t="s">
        <v>506</v>
      </c>
      <c r="L668" s="58" t="s">
        <v>506</v>
      </c>
      <c r="M668" s="58" t="s">
        <v>506</v>
      </c>
      <c r="N668" s="58" t="s">
        <v>506</v>
      </c>
      <c r="O668" s="58" t="s">
        <v>506</v>
      </c>
      <c r="P668" s="58" t="s">
        <v>506</v>
      </c>
      <c r="Q668" s="58" t="s">
        <v>506</v>
      </c>
      <c r="R668" s="57">
        <v>13.16</v>
      </c>
    </row>
    <row r="669" spans="2:18" x14ac:dyDescent="0.4">
      <c r="B669" s="48" t="s">
        <v>396</v>
      </c>
      <c r="C669" s="51" t="s">
        <v>255</v>
      </c>
      <c r="D669" s="49" t="s">
        <v>256</v>
      </c>
      <c r="E669" s="49" t="str">
        <f>B669&amp;C669</f>
        <v>Reno, NVTAN</v>
      </c>
      <c r="F669" s="56">
        <v>25.1</v>
      </c>
      <c r="G669" s="56">
        <v>28.6</v>
      </c>
      <c r="H669" s="56">
        <v>32.799999999999997</v>
      </c>
      <c r="I669" s="56">
        <v>37</v>
      </c>
      <c r="J669" s="56">
        <v>45.5</v>
      </c>
      <c r="K669" s="56">
        <v>52.3</v>
      </c>
      <c r="L669" s="56">
        <v>59.2</v>
      </c>
      <c r="M669" s="56">
        <v>56.7</v>
      </c>
      <c r="N669" s="56">
        <v>48.7</v>
      </c>
      <c r="O669" s="56">
        <v>39</v>
      </c>
      <c r="P669" s="56">
        <v>30</v>
      </c>
      <c r="Q669" s="56">
        <v>25.1</v>
      </c>
      <c r="R669" s="57">
        <v>40</v>
      </c>
    </row>
    <row r="670" spans="2:18" x14ac:dyDescent="0.4">
      <c r="B670" s="50"/>
      <c r="C670" s="51" t="s">
        <v>257</v>
      </c>
      <c r="D670" s="49" t="s">
        <v>256</v>
      </c>
      <c r="E670" s="49" t="str">
        <f>B669&amp;C670</f>
        <v>Reno, NVTAX</v>
      </c>
      <c r="F670" s="56">
        <v>45.5</v>
      </c>
      <c r="G670" s="56">
        <v>50.3</v>
      </c>
      <c r="H670" s="56">
        <v>57.7</v>
      </c>
      <c r="I670" s="56">
        <v>62.3</v>
      </c>
      <c r="J670" s="56">
        <v>72.599999999999994</v>
      </c>
      <c r="K670" s="56">
        <v>81.900000000000006</v>
      </c>
      <c r="L670" s="56">
        <v>91.7</v>
      </c>
      <c r="M670" s="56">
        <v>89.7</v>
      </c>
      <c r="N670" s="56">
        <v>81.8</v>
      </c>
      <c r="O670" s="56">
        <v>68.5</v>
      </c>
      <c r="P670" s="56">
        <v>54.8</v>
      </c>
      <c r="Q670" s="56">
        <v>45.2</v>
      </c>
      <c r="R670" s="57">
        <v>66.8</v>
      </c>
    </row>
    <row r="671" spans="2:18" x14ac:dyDescent="0.4">
      <c r="B671" s="50"/>
      <c r="C671" s="51" t="s">
        <v>258</v>
      </c>
      <c r="D671" s="49" t="s">
        <v>259</v>
      </c>
      <c r="E671" s="49" t="str">
        <f>B669&amp;C671</f>
        <v>Reno, NVV</v>
      </c>
      <c r="F671" s="56">
        <v>4.7</v>
      </c>
      <c r="G671" s="56">
        <v>5.6</v>
      </c>
      <c r="H671" s="56">
        <v>6.9</v>
      </c>
      <c r="I671" s="56">
        <v>8.3000000000000007</v>
      </c>
      <c r="J671" s="56">
        <v>7.8</v>
      </c>
      <c r="K671" s="56">
        <v>7.6</v>
      </c>
      <c r="L671" s="56">
        <v>7.2</v>
      </c>
      <c r="M671" s="56">
        <v>6.5</v>
      </c>
      <c r="N671" s="56">
        <v>5.4</v>
      </c>
      <c r="O671" s="56">
        <v>4.7</v>
      </c>
      <c r="P671" s="56">
        <v>4.9000000000000004</v>
      </c>
      <c r="Q671" s="56">
        <v>5.0999999999999996</v>
      </c>
      <c r="R671" s="57">
        <v>6.3</v>
      </c>
    </row>
    <row r="672" spans="2:18" x14ac:dyDescent="0.4">
      <c r="B672" s="50"/>
      <c r="C672" s="51" t="s">
        <v>260</v>
      </c>
      <c r="D672" s="49" t="s">
        <v>261</v>
      </c>
      <c r="E672" s="49" t="str">
        <f>B669&amp;C672</f>
        <v>Reno, NVI</v>
      </c>
      <c r="F672" s="56">
        <v>715</v>
      </c>
      <c r="G672" s="56">
        <v>992</v>
      </c>
      <c r="H672" s="56">
        <v>1471</v>
      </c>
      <c r="I672" s="56">
        <v>1889</v>
      </c>
      <c r="J672" s="56">
        <v>2232</v>
      </c>
      <c r="K672" s="56">
        <v>2473</v>
      </c>
      <c r="L672" s="56">
        <v>2512</v>
      </c>
      <c r="M672" s="56">
        <v>2249</v>
      </c>
      <c r="N672" s="56">
        <v>1854</v>
      </c>
      <c r="O672" s="56">
        <v>1310</v>
      </c>
      <c r="P672" s="56">
        <v>859</v>
      </c>
      <c r="Q672" s="56">
        <v>633</v>
      </c>
      <c r="R672" s="57">
        <v>1599</v>
      </c>
    </row>
    <row r="673" spans="2:18" x14ac:dyDescent="0.4">
      <c r="B673" s="50"/>
      <c r="C673" s="51" t="s">
        <v>262</v>
      </c>
      <c r="D673" s="49" t="s">
        <v>263</v>
      </c>
      <c r="E673" s="49" t="str">
        <f>B669&amp;C673</f>
        <v>Reno, NVPA</v>
      </c>
      <c r="F673" s="58" t="s">
        <v>506</v>
      </c>
      <c r="G673" s="58" t="s">
        <v>506</v>
      </c>
      <c r="H673" s="58" t="s">
        <v>506</v>
      </c>
      <c r="I673" s="58" t="s">
        <v>506</v>
      </c>
      <c r="J673" s="58" t="s">
        <v>506</v>
      </c>
      <c r="K673" s="58" t="s">
        <v>506</v>
      </c>
      <c r="L673" s="58" t="s">
        <v>506</v>
      </c>
      <c r="M673" s="58" t="s">
        <v>506</v>
      </c>
      <c r="N673" s="58" t="s">
        <v>506</v>
      </c>
      <c r="O673" s="58" t="s">
        <v>506</v>
      </c>
      <c r="P673" s="58" t="s">
        <v>506</v>
      </c>
      <c r="Q673" s="58" t="s">
        <v>506</v>
      </c>
      <c r="R673" s="57">
        <v>12.53</v>
      </c>
    </row>
    <row r="674" spans="2:18" x14ac:dyDescent="0.4">
      <c r="B674" s="48" t="s">
        <v>397</v>
      </c>
      <c r="C674" s="51" t="s">
        <v>255</v>
      </c>
      <c r="D674" s="49" t="s">
        <v>256</v>
      </c>
      <c r="E674" s="49" t="str">
        <f>B674&amp;C674</f>
        <v>Tonopah, NVTAN</v>
      </c>
      <c r="F674" s="56">
        <v>21.9</v>
      </c>
      <c r="G674" s="56">
        <v>25.6</v>
      </c>
      <c r="H674" s="56">
        <v>29.9</v>
      </c>
      <c r="I674" s="56">
        <v>34.9</v>
      </c>
      <c r="J674" s="56">
        <v>44.2</v>
      </c>
      <c r="K674" s="56">
        <v>52.3</v>
      </c>
      <c r="L674" s="56">
        <v>58.8</v>
      </c>
      <c r="M674" s="56">
        <v>56.8</v>
      </c>
      <c r="N674" s="56">
        <v>49.1</v>
      </c>
      <c r="O674" s="56">
        <v>38.4</v>
      </c>
      <c r="P674" s="56">
        <v>27.5</v>
      </c>
      <c r="Q674" s="56">
        <v>20.2</v>
      </c>
      <c r="R674" s="57">
        <v>38.299999999999997</v>
      </c>
    </row>
    <row r="675" spans="2:18" x14ac:dyDescent="0.4">
      <c r="B675" s="50"/>
      <c r="C675" s="51" t="s">
        <v>257</v>
      </c>
      <c r="D675" s="49" t="s">
        <v>256</v>
      </c>
      <c r="E675" s="49" t="str">
        <f>B674&amp;C675</f>
        <v>Tonopah, NVTAX</v>
      </c>
      <c r="F675" s="56">
        <v>44.5</v>
      </c>
      <c r="G675" s="56">
        <v>48.3</v>
      </c>
      <c r="H675" s="56">
        <v>56.5</v>
      </c>
      <c r="I675" s="56">
        <v>62.7</v>
      </c>
      <c r="J675" s="56">
        <v>73.5</v>
      </c>
      <c r="K675" s="56">
        <v>83.5</v>
      </c>
      <c r="L675" s="56">
        <v>91.4</v>
      </c>
      <c r="M675" s="56">
        <v>89.2</v>
      </c>
      <c r="N675" s="56">
        <v>80.599999999999994</v>
      </c>
      <c r="O675" s="56">
        <v>67.599999999999994</v>
      </c>
      <c r="P675" s="56">
        <v>53.7</v>
      </c>
      <c r="Q675" s="56">
        <v>43.8</v>
      </c>
      <c r="R675" s="57">
        <v>66.3</v>
      </c>
    </row>
    <row r="676" spans="2:18" x14ac:dyDescent="0.4">
      <c r="B676" s="50"/>
      <c r="C676" s="51" t="s">
        <v>258</v>
      </c>
      <c r="D676" s="49" t="s">
        <v>259</v>
      </c>
      <c r="E676" s="49" t="str">
        <f>B674&amp;C676</f>
        <v>Tonopah, NVV</v>
      </c>
      <c r="F676" s="56">
        <v>8.9</v>
      </c>
      <c r="G676" s="56">
        <v>9.6</v>
      </c>
      <c r="H676" s="56">
        <v>10.7</v>
      </c>
      <c r="I676" s="56">
        <v>11.6</v>
      </c>
      <c r="J676" s="56">
        <v>10.7</v>
      </c>
      <c r="K676" s="56">
        <v>10.3</v>
      </c>
      <c r="L676" s="56">
        <v>9.1999999999999993</v>
      </c>
      <c r="M676" s="56">
        <v>9.1999999999999993</v>
      </c>
      <c r="N676" s="56">
        <v>8.9</v>
      </c>
      <c r="O676" s="56">
        <v>9.4</v>
      </c>
      <c r="P676" s="56">
        <v>9.1999999999999993</v>
      </c>
      <c r="Q676" s="56">
        <v>8.6999999999999993</v>
      </c>
      <c r="R676" s="57">
        <v>9.6</v>
      </c>
    </row>
    <row r="677" spans="2:18" x14ac:dyDescent="0.4">
      <c r="B677" s="50"/>
      <c r="C677" s="51" t="s">
        <v>260</v>
      </c>
      <c r="D677" s="49" t="s">
        <v>261</v>
      </c>
      <c r="E677" s="49" t="str">
        <f>B674&amp;C677</f>
        <v>Tonopah, NVI</v>
      </c>
      <c r="F677" s="56">
        <v>828</v>
      </c>
      <c r="G677" s="56">
        <v>1128</v>
      </c>
      <c r="H677" s="56">
        <v>1629</v>
      </c>
      <c r="I677" s="56">
        <v>2056</v>
      </c>
      <c r="J677" s="56">
        <v>2344</v>
      </c>
      <c r="K677" s="56">
        <v>2586</v>
      </c>
      <c r="L677" s="56">
        <v>2507</v>
      </c>
      <c r="M677" s="56">
        <v>2304</v>
      </c>
      <c r="N677" s="56">
        <v>1922</v>
      </c>
      <c r="O677" s="56">
        <v>1430</v>
      </c>
      <c r="P677" s="56">
        <v>997</v>
      </c>
      <c r="Q677" s="56">
        <v>779</v>
      </c>
      <c r="R677" s="57">
        <v>1709</v>
      </c>
    </row>
    <row r="678" spans="2:18" x14ac:dyDescent="0.4">
      <c r="B678" s="50"/>
      <c r="C678" s="51" t="s">
        <v>262</v>
      </c>
      <c r="D678" s="49" t="s">
        <v>263</v>
      </c>
      <c r="E678" s="49" t="str">
        <f>B674&amp;C678</f>
        <v>Tonopah, NVPA</v>
      </c>
      <c r="F678" s="58" t="s">
        <v>506</v>
      </c>
      <c r="G678" s="58" t="s">
        <v>506</v>
      </c>
      <c r="H678" s="58" t="s">
        <v>506</v>
      </c>
      <c r="I678" s="58" t="s">
        <v>506</v>
      </c>
      <c r="J678" s="58" t="s">
        <v>506</v>
      </c>
      <c r="K678" s="58" t="s">
        <v>506</v>
      </c>
      <c r="L678" s="58" t="s">
        <v>506</v>
      </c>
      <c r="M678" s="58" t="s">
        <v>506</v>
      </c>
      <c r="N678" s="58" t="s">
        <v>506</v>
      </c>
      <c r="O678" s="58" t="s">
        <v>506</v>
      </c>
      <c r="P678" s="58" t="s">
        <v>506</v>
      </c>
      <c r="Q678" s="58" t="s">
        <v>506</v>
      </c>
      <c r="R678" s="57">
        <v>12.08</v>
      </c>
    </row>
    <row r="679" spans="2:18" ht="20.6" x14ac:dyDescent="0.4">
      <c r="B679" s="48" t="s">
        <v>398</v>
      </c>
      <c r="C679" s="51" t="s">
        <v>255</v>
      </c>
      <c r="D679" s="49" t="s">
        <v>256</v>
      </c>
      <c r="E679" s="49" t="str">
        <f>B679&amp;C679</f>
        <v>Winnemucca, NVTAN</v>
      </c>
      <c r="F679" s="56">
        <v>20.5</v>
      </c>
      <c r="G679" s="56">
        <v>24.4</v>
      </c>
      <c r="H679" s="56">
        <v>27.5</v>
      </c>
      <c r="I679" s="56">
        <v>31.4</v>
      </c>
      <c r="J679" s="56">
        <v>39.4</v>
      </c>
      <c r="K679" s="56">
        <v>46.3</v>
      </c>
      <c r="L679" s="56">
        <v>53.5</v>
      </c>
      <c r="M679" s="56">
        <v>49.9</v>
      </c>
      <c r="N679" s="56">
        <v>40.700000000000003</v>
      </c>
      <c r="O679" s="56">
        <v>30.5</v>
      </c>
      <c r="P679" s="56">
        <v>23.1</v>
      </c>
      <c r="Q679" s="56">
        <v>18.8</v>
      </c>
      <c r="R679" s="57">
        <v>33.799999999999997</v>
      </c>
    </row>
    <row r="680" spans="2:18" ht="20.6" x14ac:dyDescent="0.4">
      <c r="B680" s="50"/>
      <c r="C680" s="51" t="s">
        <v>257</v>
      </c>
      <c r="D680" s="49" t="s">
        <v>256</v>
      </c>
      <c r="E680" s="49" t="str">
        <f>B679&amp;C680</f>
        <v>Winnemucca, NVTAX</v>
      </c>
      <c r="F680" s="56">
        <v>41.4</v>
      </c>
      <c r="G680" s="56">
        <v>47</v>
      </c>
      <c r="H680" s="56">
        <v>55.3</v>
      </c>
      <c r="I680" s="56">
        <v>60.4</v>
      </c>
      <c r="J680" s="56">
        <v>71.3</v>
      </c>
      <c r="K680" s="56">
        <v>81.5</v>
      </c>
      <c r="L680" s="56">
        <v>92.8</v>
      </c>
      <c r="M680" s="56">
        <v>90.4</v>
      </c>
      <c r="N680" s="56">
        <v>81.099999999999994</v>
      </c>
      <c r="O680" s="56">
        <v>66.099999999999994</v>
      </c>
      <c r="P680" s="56">
        <v>51.3</v>
      </c>
      <c r="Q680" s="56">
        <v>41.1</v>
      </c>
      <c r="R680" s="57">
        <v>65</v>
      </c>
    </row>
    <row r="681" spans="2:18" x14ac:dyDescent="0.4">
      <c r="B681" s="50"/>
      <c r="C681" s="51" t="s">
        <v>258</v>
      </c>
      <c r="D681" s="49" t="s">
        <v>259</v>
      </c>
      <c r="E681" s="49" t="str">
        <f>B679&amp;C681</f>
        <v>Winnemucca, NVV</v>
      </c>
      <c r="F681" s="56">
        <v>7.2</v>
      </c>
      <c r="G681" s="56">
        <v>7.6</v>
      </c>
      <c r="H681" s="56">
        <v>8.1</v>
      </c>
      <c r="I681" s="56">
        <v>8.3000000000000007</v>
      </c>
      <c r="J681" s="56">
        <v>8.3000000000000007</v>
      </c>
      <c r="K681" s="56">
        <v>8.3000000000000007</v>
      </c>
      <c r="L681" s="56">
        <v>7.6</v>
      </c>
      <c r="M681" s="56">
        <v>7.4</v>
      </c>
      <c r="N681" s="56">
        <v>6.9</v>
      </c>
      <c r="O681" s="56">
        <v>6.7</v>
      </c>
      <c r="P681" s="56">
        <v>6.7</v>
      </c>
      <c r="Q681" s="56">
        <v>7.2</v>
      </c>
      <c r="R681" s="57">
        <v>7.6</v>
      </c>
    </row>
    <row r="682" spans="2:18" x14ac:dyDescent="0.4">
      <c r="B682" s="50"/>
      <c r="C682" s="51" t="s">
        <v>260</v>
      </c>
      <c r="D682" s="49" t="s">
        <v>261</v>
      </c>
      <c r="E682" s="49" t="str">
        <f>B679&amp;C682</f>
        <v>Winnemucca, NVI</v>
      </c>
      <c r="F682" s="56">
        <v>652</v>
      </c>
      <c r="G682" s="56">
        <v>964</v>
      </c>
      <c r="H682" s="56">
        <v>1380</v>
      </c>
      <c r="I682" s="56">
        <v>1762</v>
      </c>
      <c r="J682" s="56">
        <v>2147</v>
      </c>
      <c r="K682" s="56">
        <v>2437</v>
      </c>
      <c r="L682" s="56">
        <v>2523</v>
      </c>
      <c r="M682" s="56">
        <v>2232</v>
      </c>
      <c r="N682" s="56">
        <v>1795</v>
      </c>
      <c r="O682" s="56">
        <v>1248</v>
      </c>
      <c r="P682" s="56">
        <v>760</v>
      </c>
      <c r="Q682" s="56">
        <v>555</v>
      </c>
      <c r="R682" s="57">
        <v>1538</v>
      </c>
    </row>
    <row r="683" spans="2:18" x14ac:dyDescent="0.4">
      <c r="B683" s="50"/>
      <c r="C683" s="51" t="s">
        <v>262</v>
      </c>
      <c r="D683" s="49" t="s">
        <v>263</v>
      </c>
      <c r="E683" s="49" t="str">
        <f>B679&amp;C683</f>
        <v>Winnemucca, NVPA</v>
      </c>
      <c r="F683" s="58" t="s">
        <v>506</v>
      </c>
      <c r="G683" s="58" t="s">
        <v>506</v>
      </c>
      <c r="H683" s="58" t="s">
        <v>506</v>
      </c>
      <c r="I683" s="58" t="s">
        <v>506</v>
      </c>
      <c r="J683" s="58" t="s">
        <v>506</v>
      </c>
      <c r="K683" s="58" t="s">
        <v>506</v>
      </c>
      <c r="L683" s="58" t="s">
        <v>506</v>
      </c>
      <c r="M683" s="58" t="s">
        <v>506</v>
      </c>
      <c r="N683" s="58" t="s">
        <v>506</v>
      </c>
      <c r="O683" s="58" t="s">
        <v>506</v>
      </c>
      <c r="P683" s="58" t="s">
        <v>506</v>
      </c>
      <c r="Q683" s="58" t="s">
        <v>506</v>
      </c>
      <c r="R683" s="57">
        <v>12.57</v>
      </c>
    </row>
    <row r="684" spans="2:18" x14ac:dyDescent="0.4">
      <c r="B684" s="48" t="s">
        <v>399</v>
      </c>
      <c r="C684" s="51" t="s">
        <v>255</v>
      </c>
      <c r="D684" s="49" t="s">
        <v>256</v>
      </c>
      <c r="E684" s="49" t="str">
        <f>B684&amp;C684</f>
        <v>Concord, NHTAN</v>
      </c>
      <c r="F684" s="56">
        <v>12.3</v>
      </c>
      <c r="G684" s="56">
        <v>14.6</v>
      </c>
      <c r="H684" s="56">
        <v>23.2</v>
      </c>
      <c r="I684" s="56">
        <v>33.200000000000003</v>
      </c>
      <c r="J684" s="56">
        <v>43.2</v>
      </c>
      <c r="K684" s="56">
        <v>53.8</v>
      </c>
      <c r="L684" s="56">
        <v>58.5</v>
      </c>
      <c r="M684" s="56">
        <v>57.1</v>
      </c>
      <c r="N684" s="56">
        <v>48.4</v>
      </c>
      <c r="O684" s="56">
        <v>36.799999999999997</v>
      </c>
      <c r="P684" s="56">
        <v>29</v>
      </c>
      <c r="Q684" s="56">
        <v>18.8</v>
      </c>
      <c r="R684" s="57">
        <v>35.700000000000003</v>
      </c>
    </row>
    <row r="685" spans="2:18" x14ac:dyDescent="0.4">
      <c r="B685" s="50"/>
      <c r="C685" s="51" t="s">
        <v>257</v>
      </c>
      <c r="D685" s="49" t="s">
        <v>256</v>
      </c>
      <c r="E685" s="49" t="str">
        <f>B684&amp;C685</f>
        <v>Concord, NHTAX</v>
      </c>
      <c r="F685" s="56">
        <v>30.5</v>
      </c>
      <c r="G685" s="56">
        <v>34</v>
      </c>
      <c r="H685" s="56">
        <v>43</v>
      </c>
      <c r="I685" s="56">
        <v>57</v>
      </c>
      <c r="J685" s="56">
        <v>68.099999999999994</v>
      </c>
      <c r="K685" s="56">
        <v>77</v>
      </c>
      <c r="L685" s="56">
        <v>81.400000000000006</v>
      </c>
      <c r="M685" s="56">
        <v>80.599999999999994</v>
      </c>
      <c r="N685" s="56">
        <v>72.3</v>
      </c>
      <c r="O685" s="56">
        <v>59.8</v>
      </c>
      <c r="P685" s="56">
        <v>47.8</v>
      </c>
      <c r="Q685" s="56">
        <v>36.299999999999997</v>
      </c>
      <c r="R685" s="57">
        <v>57.3</v>
      </c>
    </row>
    <row r="686" spans="2:18" x14ac:dyDescent="0.4">
      <c r="B686" s="50"/>
      <c r="C686" s="51" t="s">
        <v>258</v>
      </c>
      <c r="D686" s="49" t="s">
        <v>259</v>
      </c>
      <c r="E686" s="49" t="str">
        <f>B684&amp;C686</f>
        <v>Concord, NHV</v>
      </c>
      <c r="F686" s="56">
        <v>6.7</v>
      </c>
      <c r="G686" s="56">
        <v>7.4</v>
      </c>
      <c r="H686" s="56">
        <v>7.4</v>
      </c>
      <c r="I686" s="56">
        <v>7.2</v>
      </c>
      <c r="J686" s="56">
        <v>6.3</v>
      </c>
      <c r="K686" s="56">
        <v>5.6</v>
      </c>
      <c r="L686" s="56">
        <v>5.0999999999999996</v>
      </c>
      <c r="M686" s="56">
        <v>4.7</v>
      </c>
      <c r="N686" s="56">
        <v>4.9000000000000004</v>
      </c>
      <c r="O686" s="56">
        <v>5.6</v>
      </c>
      <c r="P686" s="56">
        <v>5.6</v>
      </c>
      <c r="Q686" s="56">
        <v>6.5</v>
      </c>
      <c r="R686" s="57">
        <v>6</v>
      </c>
    </row>
    <row r="687" spans="2:18" x14ac:dyDescent="0.4">
      <c r="B687" s="50"/>
      <c r="C687" s="51" t="s">
        <v>260</v>
      </c>
      <c r="D687" s="49" t="s">
        <v>261</v>
      </c>
      <c r="E687" s="49" t="str">
        <f>B684&amp;C687</f>
        <v>Concord, NHI</v>
      </c>
      <c r="F687" s="56">
        <v>535</v>
      </c>
      <c r="G687" s="56">
        <v>803</v>
      </c>
      <c r="H687" s="56">
        <v>1097</v>
      </c>
      <c r="I687" s="56">
        <v>1469</v>
      </c>
      <c r="J687" s="56">
        <v>1684</v>
      </c>
      <c r="K687" s="56">
        <v>1801</v>
      </c>
      <c r="L687" s="56">
        <v>1844</v>
      </c>
      <c r="M687" s="56">
        <v>1644</v>
      </c>
      <c r="N687" s="56">
        <v>1267</v>
      </c>
      <c r="O687" s="56">
        <v>869</v>
      </c>
      <c r="P687" s="56">
        <v>556</v>
      </c>
      <c r="Q687" s="56">
        <v>446</v>
      </c>
      <c r="R687" s="57">
        <v>1168</v>
      </c>
    </row>
    <row r="688" spans="2:18" x14ac:dyDescent="0.4">
      <c r="B688" s="50"/>
      <c r="C688" s="51" t="s">
        <v>262</v>
      </c>
      <c r="D688" s="49" t="s">
        <v>263</v>
      </c>
      <c r="E688" s="49" t="str">
        <f>B684&amp;C688</f>
        <v>Concord, NHPA</v>
      </c>
      <c r="F688" s="58" t="s">
        <v>506</v>
      </c>
      <c r="G688" s="58" t="s">
        <v>506</v>
      </c>
      <c r="H688" s="58" t="s">
        <v>506</v>
      </c>
      <c r="I688" s="58" t="s">
        <v>506</v>
      </c>
      <c r="J688" s="58" t="s">
        <v>506</v>
      </c>
      <c r="K688" s="58" t="s">
        <v>506</v>
      </c>
      <c r="L688" s="58" t="s">
        <v>506</v>
      </c>
      <c r="M688" s="58" t="s">
        <v>506</v>
      </c>
      <c r="N688" s="58" t="s">
        <v>506</v>
      </c>
      <c r="O688" s="58" t="s">
        <v>506</v>
      </c>
      <c r="P688" s="58" t="s">
        <v>506</v>
      </c>
      <c r="Q688" s="58" t="s">
        <v>506</v>
      </c>
      <c r="R688" s="57">
        <v>14.5</v>
      </c>
    </row>
    <row r="689" spans="2:18" x14ac:dyDescent="0.4">
      <c r="B689" s="48" t="s">
        <v>400</v>
      </c>
      <c r="C689" s="51" t="s">
        <v>255</v>
      </c>
      <c r="D689" s="49" t="s">
        <v>256</v>
      </c>
      <c r="E689" s="49" t="str">
        <f>B689&amp;C689</f>
        <v>Atlantic City, NJTAN</v>
      </c>
      <c r="F689" s="56">
        <v>25.5</v>
      </c>
      <c r="G689" s="56">
        <v>25.9</v>
      </c>
      <c r="H689" s="56">
        <v>32.700000000000003</v>
      </c>
      <c r="I689" s="56">
        <v>41.9</v>
      </c>
      <c r="J689" s="56">
        <v>50.5</v>
      </c>
      <c r="K689" s="56">
        <v>61</v>
      </c>
      <c r="L689" s="56">
        <v>66.5</v>
      </c>
      <c r="M689" s="56">
        <v>65</v>
      </c>
      <c r="N689" s="56">
        <v>57.5</v>
      </c>
      <c r="O689" s="56">
        <v>45.6</v>
      </c>
      <c r="P689" s="56">
        <v>37.1</v>
      </c>
      <c r="Q689" s="56">
        <v>28.7</v>
      </c>
      <c r="R689" s="57">
        <v>44.8</v>
      </c>
    </row>
    <row r="690" spans="2:18" x14ac:dyDescent="0.4">
      <c r="B690" s="50"/>
      <c r="C690" s="51" t="s">
        <v>257</v>
      </c>
      <c r="D690" s="49" t="s">
        <v>256</v>
      </c>
      <c r="E690" s="49" t="str">
        <f>B689&amp;C690</f>
        <v>Atlantic City, NJTAX</v>
      </c>
      <c r="F690" s="56">
        <v>42.4</v>
      </c>
      <c r="G690" s="56">
        <v>44</v>
      </c>
      <c r="H690" s="56">
        <v>51.4</v>
      </c>
      <c r="I690" s="56">
        <v>62</v>
      </c>
      <c r="J690" s="56">
        <v>71</v>
      </c>
      <c r="K690" s="56">
        <v>79.900000000000006</v>
      </c>
      <c r="L690" s="56">
        <v>84.8</v>
      </c>
      <c r="M690" s="56">
        <v>83.4</v>
      </c>
      <c r="N690" s="56">
        <v>76.900000000000006</v>
      </c>
      <c r="O690" s="56">
        <v>66.2</v>
      </c>
      <c r="P690" s="56">
        <v>55.9</v>
      </c>
      <c r="Q690" s="56">
        <v>46.1</v>
      </c>
      <c r="R690" s="57">
        <v>63.7</v>
      </c>
    </row>
    <row r="691" spans="2:18" x14ac:dyDescent="0.4">
      <c r="B691" s="50"/>
      <c r="C691" s="51" t="s">
        <v>258</v>
      </c>
      <c r="D691" s="49" t="s">
        <v>259</v>
      </c>
      <c r="E691" s="49" t="str">
        <f>B689&amp;C691</f>
        <v>Atlantic City, NJV</v>
      </c>
      <c r="F691" s="56">
        <v>9.8000000000000007</v>
      </c>
      <c r="G691" s="56">
        <v>10.1</v>
      </c>
      <c r="H691" s="56">
        <v>10.5</v>
      </c>
      <c r="I691" s="56">
        <v>10.3</v>
      </c>
      <c r="J691" s="56">
        <v>8.6999999999999993</v>
      </c>
      <c r="K691" s="56">
        <v>7.8</v>
      </c>
      <c r="L691" s="56">
        <v>7.4</v>
      </c>
      <c r="M691" s="56">
        <v>6.7</v>
      </c>
      <c r="N691" s="56">
        <v>7.4</v>
      </c>
      <c r="O691" s="56">
        <v>7.6</v>
      </c>
      <c r="P691" s="56">
        <v>8.5</v>
      </c>
      <c r="Q691" s="56">
        <v>9.4</v>
      </c>
      <c r="R691" s="57">
        <v>8.6999999999999993</v>
      </c>
    </row>
    <row r="692" spans="2:18" x14ac:dyDescent="0.4">
      <c r="B692" s="50"/>
      <c r="C692" s="51" t="s">
        <v>260</v>
      </c>
      <c r="D692" s="49" t="s">
        <v>261</v>
      </c>
      <c r="E692" s="49" t="str">
        <f>B689&amp;C692</f>
        <v>Atlantic City, NJI</v>
      </c>
      <c r="F692" s="56">
        <v>646</v>
      </c>
      <c r="G692" s="56">
        <v>924</v>
      </c>
      <c r="H692" s="56">
        <v>1224</v>
      </c>
      <c r="I692" s="56">
        <v>1581</v>
      </c>
      <c r="J692" s="56">
        <v>1800</v>
      </c>
      <c r="K692" s="56">
        <v>1935</v>
      </c>
      <c r="L692" s="56">
        <v>1927</v>
      </c>
      <c r="M692" s="56">
        <v>1733</v>
      </c>
      <c r="N692" s="56">
        <v>1394</v>
      </c>
      <c r="O692" s="56">
        <v>1048</v>
      </c>
      <c r="P692" s="56">
        <v>720</v>
      </c>
      <c r="Q692" s="56">
        <v>578</v>
      </c>
      <c r="R692" s="57">
        <v>1292</v>
      </c>
    </row>
    <row r="693" spans="2:18" x14ac:dyDescent="0.4">
      <c r="B693" s="50"/>
      <c r="C693" s="51" t="s">
        <v>262</v>
      </c>
      <c r="D693" s="49" t="s">
        <v>263</v>
      </c>
      <c r="E693" s="49" t="str">
        <f>B689&amp;C693</f>
        <v>Atlantic City, NJPA</v>
      </c>
      <c r="F693" s="58" t="s">
        <v>506</v>
      </c>
      <c r="G693" s="58" t="s">
        <v>506</v>
      </c>
      <c r="H693" s="58" t="s">
        <v>506</v>
      </c>
      <c r="I693" s="58" t="s">
        <v>506</v>
      </c>
      <c r="J693" s="58" t="s">
        <v>506</v>
      </c>
      <c r="K693" s="58" t="s">
        <v>506</v>
      </c>
      <c r="L693" s="58" t="s">
        <v>506</v>
      </c>
      <c r="M693" s="58" t="s">
        <v>506</v>
      </c>
      <c r="N693" s="58" t="s">
        <v>506</v>
      </c>
      <c r="O693" s="58" t="s">
        <v>506</v>
      </c>
      <c r="P693" s="58" t="s">
        <v>506</v>
      </c>
      <c r="Q693" s="58" t="s">
        <v>506</v>
      </c>
      <c r="R693" s="57">
        <v>14.66</v>
      </c>
    </row>
    <row r="694" spans="2:18" x14ac:dyDescent="0.4">
      <c r="B694" s="48" t="s">
        <v>401</v>
      </c>
      <c r="C694" s="51" t="s">
        <v>255</v>
      </c>
      <c r="D694" s="49" t="s">
        <v>256</v>
      </c>
      <c r="E694" s="49" t="str">
        <f>B694&amp;C694</f>
        <v>Newark, NJTAN</v>
      </c>
      <c r="F694" s="56">
        <v>26.3</v>
      </c>
      <c r="G694" s="56">
        <v>27.7</v>
      </c>
      <c r="H694" s="56">
        <v>34.799999999999997</v>
      </c>
      <c r="I694" s="56">
        <v>44.8</v>
      </c>
      <c r="J694" s="56">
        <v>54.1</v>
      </c>
      <c r="K694" s="56">
        <v>64.3</v>
      </c>
      <c r="L694" s="56">
        <v>69.5</v>
      </c>
      <c r="M694" s="56">
        <v>68.599999999999994</v>
      </c>
      <c r="N694" s="56">
        <v>60.9</v>
      </c>
      <c r="O694" s="56">
        <v>49</v>
      </c>
      <c r="P694" s="56">
        <v>40.299999999999997</v>
      </c>
      <c r="Q694" s="56">
        <v>31</v>
      </c>
      <c r="R694" s="57">
        <v>47.6</v>
      </c>
    </row>
    <row r="695" spans="2:18" x14ac:dyDescent="0.4">
      <c r="B695" s="50"/>
      <c r="C695" s="51" t="s">
        <v>257</v>
      </c>
      <c r="D695" s="49" t="s">
        <v>256</v>
      </c>
      <c r="E695" s="49" t="str">
        <f>B694&amp;C695</f>
        <v>Newark, NJTAX</v>
      </c>
      <c r="F695" s="56">
        <v>39.6</v>
      </c>
      <c r="G695" s="56">
        <v>42.1</v>
      </c>
      <c r="H695" s="56">
        <v>50.5</v>
      </c>
      <c r="I695" s="56">
        <v>62</v>
      </c>
      <c r="J695" s="56">
        <v>72</v>
      </c>
      <c r="K695" s="56">
        <v>81.3</v>
      </c>
      <c r="L695" s="56">
        <v>85.7</v>
      </c>
      <c r="M695" s="56">
        <v>84.2</v>
      </c>
      <c r="N695" s="56">
        <v>76.7</v>
      </c>
      <c r="O695" s="56">
        <v>65.2</v>
      </c>
      <c r="P695" s="56">
        <v>54.6</v>
      </c>
      <c r="Q695" s="56">
        <v>43.8</v>
      </c>
      <c r="R695" s="57">
        <v>63.1</v>
      </c>
    </row>
    <row r="696" spans="2:18" x14ac:dyDescent="0.4">
      <c r="B696" s="50"/>
      <c r="C696" s="51" t="s">
        <v>258</v>
      </c>
      <c r="D696" s="49" t="s">
        <v>259</v>
      </c>
      <c r="E696" s="49" t="str">
        <f>B694&amp;C696</f>
        <v>Newark, NJV</v>
      </c>
      <c r="F696" s="56">
        <v>11</v>
      </c>
      <c r="G696" s="56">
        <v>11.2</v>
      </c>
      <c r="H696" s="56">
        <v>11.2</v>
      </c>
      <c r="I696" s="56">
        <v>10.5</v>
      </c>
      <c r="J696" s="56">
        <v>9.6</v>
      </c>
      <c r="K696" s="56">
        <v>9.1999999999999993</v>
      </c>
      <c r="L696" s="56">
        <v>8.9</v>
      </c>
      <c r="M696" s="56">
        <v>8.5</v>
      </c>
      <c r="N696" s="56">
        <v>8.9</v>
      </c>
      <c r="O696" s="56">
        <v>9.4</v>
      </c>
      <c r="P696" s="56">
        <v>9.8000000000000007</v>
      </c>
      <c r="Q696" s="56">
        <v>10.7</v>
      </c>
      <c r="R696" s="57">
        <v>9.8000000000000007</v>
      </c>
    </row>
    <row r="697" spans="2:18" x14ac:dyDescent="0.4">
      <c r="B697" s="50"/>
      <c r="C697" s="51" t="s">
        <v>260</v>
      </c>
      <c r="D697" s="49" t="s">
        <v>261</v>
      </c>
      <c r="E697" s="49" t="str">
        <f>B694&amp;C697</f>
        <v>Newark, NJI</v>
      </c>
      <c r="F697" s="56">
        <v>602</v>
      </c>
      <c r="G697" s="56">
        <v>887</v>
      </c>
      <c r="H697" s="56">
        <v>1195</v>
      </c>
      <c r="I697" s="56">
        <v>1502</v>
      </c>
      <c r="J697" s="56">
        <v>1748</v>
      </c>
      <c r="K697" s="56">
        <v>1854</v>
      </c>
      <c r="L697" s="56">
        <v>1838</v>
      </c>
      <c r="M697" s="56">
        <v>1629</v>
      </c>
      <c r="N697" s="56">
        <v>1324</v>
      </c>
      <c r="O697" s="56">
        <v>975</v>
      </c>
      <c r="P697" s="56">
        <v>638</v>
      </c>
      <c r="Q697" s="56">
        <v>521</v>
      </c>
      <c r="R697" s="57">
        <v>1226</v>
      </c>
    </row>
    <row r="698" spans="2:18" x14ac:dyDescent="0.4">
      <c r="B698" s="50"/>
      <c r="C698" s="51" t="s">
        <v>262</v>
      </c>
      <c r="D698" s="49" t="s">
        <v>263</v>
      </c>
      <c r="E698" s="49" t="str">
        <f>B694&amp;C698</f>
        <v>Newark, NJPA</v>
      </c>
      <c r="F698" s="58" t="s">
        <v>506</v>
      </c>
      <c r="G698" s="58" t="s">
        <v>506</v>
      </c>
      <c r="H698" s="58" t="s">
        <v>506</v>
      </c>
      <c r="I698" s="58" t="s">
        <v>506</v>
      </c>
      <c r="J698" s="58" t="s">
        <v>506</v>
      </c>
      <c r="K698" s="58" t="s">
        <v>506</v>
      </c>
      <c r="L698" s="58" t="s">
        <v>506</v>
      </c>
      <c r="M698" s="58" t="s">
        <v>506</v>
      </c>
      <c r="N698" s="58" t="s">
        <v>506</v>
      </c>
      <c r="O698" s="58" t="s">
        <v>506</v>
      </c>
      <c r="P698" s="58" t="s">
        <v>506</v>
      </c>
      <c r="Q698" s="58" t="s">
        <v>506</v>
      </c>
      <c r="R698" s="57">
        <v>14.69</v>
      </c>
    </row>
    <row r="699" spans="2:18" ht="20.6" x14ac:dyDescent="0.4">
      <c r="B699" s="48" t="s">
        <v>402</v>
      </c>
      <c r="C699" s="51" t="s">
        <v>255</v>
      </c>
      <c r="D699" s="49" t="s">
        <v>256</v>
      </c>
      <c r="E699" s="49" t="str">
        <f>B699&amp;C699</f>
        <v>Albuquerque, NMTAN</v>
      </c>
      <c r="F699" s="56">
        <v>27.6</v>
      </c>
      <c r="G699" s="56">
        <v>31.4</v>
      </c>
      <c r="H699" s="56">
        <v>36.4</v>
      </c>
      <c r="I699" s="56">
        <v>43.7</v>
      </c>
      <c r="J699" s="56">
        <v>53.8</v>
      </c>
      <c r="K699" s="56">
        <v>62.3</v>
      </c>
      <c r="L699" s="56">
        <v>67.099999999999994</v>
      </c>
      <c r="M699" s="56">
        <v>65.400000000000006</v>
      </c>
      <c r="N699" s="56">
        <v>58.6</v>
      </c>
      <c r="O699" s="56">
        <v>46.7</v>
      </c>
      <c r="P699" s="56">
        <v>35</v>
      </c>
      <c r="Q699" s="56">
        <v>27.5</v>
      </c>
      <c r="R699" s="57">
        <v>46.3</v>
      </c>
    </row>
    <row r="700" spans="2:18" ht="20.6" x14ac:dyDescent="0.4">
      <c r="B700" s="50"/>
      <c r="C700" s="51" t="s">
        <v>257</v>
      </c>
      <c r="D700" s="49" t="s">
        <v>256</v>
      </c>
      <c r="E700" s="49" t="str">
        <f>B699&amp;C700</f>
        <v>Albuquerque, NMTAX</v>
      </c>
      <c r="F700" s="56">
        <v>48.1</v>
      </c>
      <c r="G700" s="56">
        <v>53.7</v>
      </c>
      <c r="H700" s="56">
        <v>61.2</v>
      </c>
      <c r="I700" s="56">
        <v>69.400000000000006</v>
      </c>
      <c r="J700" s="56">
        <v>79.8</v>
      </c>
      <c r="K700" s="56">
        <v>88.8</v>
      </c>
      <c r="L700" s="56">
        <v>90.5</v>
      </c>
      <c r="M700" s="56">
        <v>87.8</v>
      </c>
      <c r="N700" s="56">
        <v>81.400000000000006</v>
      </c>
      <c r="O700" s="56">
        <v>69.900000000000006</v>
      </c>
      <c r="P700" s="56">
        <v>56.6</v>
      </c>
      <c r="Q700" s="56">
        <v>47.1</v>
      </c>
      <c r="R700" s="57">
        <v>69.5</v>
      </c>
    </row>
    <row r="701" spans="2:18" x14ac:dyDescent="0.4">
      <c r="B701" s="50"/>
      <c r="C701" s="51" t="s">
        <v>258</v>
      </c>
      <c r="D701" s="49" t="s">
        <v>259</v>
      </c>
      <c r="E701" s="49" t="str">
        <f>B699&amp;C701</f>
        <v>Albuquerque, NMV</v>
      </c>
      <c r="F701" s="56">
        <v>7.2</v>
      </c>
      <c r="G701" s="56">
        <v>7.8</v>
      </c>
      <c r="H701" s="56">
        <v>8.6999999999999993</v>
      </c>
      <c r="I701" s="56">
        <v>9.8000000000000007</v>
      </c>
      <c r="J701" s="56">
        <v>9.4</v>
      </c>
      <c r="K701" s="56">
        <v>8.9</v>
      </c>
      <c r="L701" s="56">
        <v>7.8</v>
      </c>
      <c r="M701" s="56">
        <v>7.4</v>
      </c>
      <c r="N701" s="56">
        <v>7.4</v>
      </c>
      <c r="O701" s="56">
        <v>7.4</v>
      </c>
      <c r="P701" s="56">
        <v>7.2</v>
      </c>
      <c r="Q701" s="56">
        <v>6.7</v>
      </c>
      <c r="R701" s="57">
        <v>8.1</v>
      </c>
    </row>
    <row r="702" spans="2:18" x14ac:dyDescent="0.4">
      <c r="B702" s="50"/>
      <c r="C702" s="51" t="s">
        <v>260</v>
      </c>
      <c r="D702" s="49" t="s">
        <v>261</v>
      </c>
      <c r="E702" s="49" t="str">
        <f>B699&amp;C702</f>
        <v>Albuquerque, NMI</v>
      </c>
      <c r="F702" s="56">
        <v>1003</v>
      </c>
      <c r="G702" s="56">
        <v>1270</v>
      </c>
      <c r="H702" s="56">
        <v>1699</v>
      </c>
      <c r="I702" s="56">
        <v>2126</v>
      </c>
      <c r="J702" s="56">
        <v>2356</v>
      </c>
      <c r="K702" s="56">
        <v>2479</v>
      </c>
      <c r="L702" s="56">
        <v>2312</v>
      </c>
      <c r="M702" s="56">
        <v>2082</v>
      </c>
      <c r="N702" s="56">
        <v>1846</v>
      </c>
      <c r="O702" s="56">
        <v>1469</v>
      </c>
      <c r="P702" s="56">
        <v>1114</v>
      </c>
      <c r="Q702" s="56">
        <v>904</v>
      </c>
      <c r="R702" s="57">
        <v>1722</v>
      </c>
    </row>
    <row r="703" spans="2:18" x14ac:dyDescent="0.4">
      <c r="B703" s="50"/>
      <c r="C703" s="51" t="s">
        <v>262</v>
      </c>
      <c r="D703" s="49" t="s">
        <v>263</v>
      </c>
      <c r="E703" s="49" t="str">
        <f>B699&amp;C703</f>
        <v>Albuquerque, NMPA</v>
      </c>
      <c r="F703" s="58" t="s">
        <v>506</v>
      </c>
      <c r="G703" s="58" t="s">
        <v>506</v>
      </c>
      <c r="H703" s="58" t="s">
        <v>506</v>
      </c>
      <c r="I703" s="58" t="s">
        <v>506</v>
      </c>
      <c r="J703" s="58" t="s">
        <v>506</v>
      </c>
      <c r="K703" s="58" t="s">
        <v>506</v>
      </c>
      <c r="L703" s="58" t="s">
        <v>506</v>
      </c>
      <c r="M703" s="58" t="s">
        <v>506</v>
      </c>
      <c r="N703" s="58" t="s">
        <v>506</v>
      </c>
      <c r="O703" s="58" t="s">
        <v>506</v>
      </c>
      <c r="P703" s="58" t="s">
        <v>506</v>
      </c>
      <c r="Q703" s="58" t="s">
        <v>506</v>
      </c>
      <c r="R703" s="57">
        <v>12.13</v>
      </c>
    </row>
    <row r="704" spans="2:18" x14ac:dyDescent="0.4">
      <c r="B704" s="48" t="s">
        <v>403</v>
      </c>
      <c r="C704" s="51" t="s">
        <v>255</v>
      </c>
      <c r="D704" s="49" t="s">
        <v>256</v>
      </c>
      <c r="E704" s="49" t="str">
        <f>B704&amp;C704</f>
        <v>Gallup, NMTAN</v>
      </c>
      <c r="F704" s="56">
        <v>14.9</v>
      </c>
      <c r="G704" s="56">
        <v>19.5</v>
      </c>
      <c r="H704" s="56">
        <v>22.7</v>
      </c>
      <c r="I704" s="56">
        <v>28.4</v>
      </c>
      <c r="J704" s="56">
        <v>37.5</v>
      </c>
      <c r="K704" s="56">
        <v>45.1</v>
      </c>
      <c r="L704" s="56">
        <v>54.3</v>
      </c>
      <c r="M704" s="56">
        <v>53.3</v>
      </c>
      <c r="N704" s="56">
        <v>43.8</v>
      </c>
      <c r="O704" s="56">
        <v>30.9</v>
      </c>
      <c r="P704" s="56">
        <v>19.899999999999999</v>
      </c>
      <c r="Q704" s="56">
        <v>13.8</v>
      </c>
      <c r="R704" s="57">
        <v>32</v>
      </c>
    </row>
    <row r="705" spans="2:18" x14ac:dyDescent="0.4">
      <c r="B705" s="50"/>
      <c r="C705" s="51" t="s">
        <v>257</v>
      </c>
      <c r="D705" s="49" t="s">
        <v>256</v>
      </c>
      <c r="E705" s="49" t="str">
        <f>B704&amp;C705</f>
        <v>Gallup, NMTAX</v>
      </c>
      <c r="F705" s="56">
        <v>44.1</v>
      </c>
      <c r="G705" s="56">
        <v>48.7</v>
      </c>
      <c r="H705" s="56">
        <v>56.4</v>
      </c>
      <c r="I705" s="56">
        <v>64</v>
      </c>
      <c r="J705" s="56">
        <v>74.3</v>
      </c>
      <c r="K705" s="56">
        <v>83.9</v>
      </c>
      <c r="L705" s="56">
        <v>87.5</v>
      </c>
      <c r="M705" s="56">
        <v>84.3</v>
      </c>
      <c r="N705" s="56">
        <v>78.5</v>
      </c>
      <c r="O705" s="56">
        <v>67</v>
      </c>
      <c r="P705" s="56">
        <v>54.2</v>
      </c>
      <c r="Q705" s="56">
        <v>44</v>
      </c>
      <c r="R705" s="57">
        <v>65.599999999999994</v>
      </c>
    </row>
    <row r="706" spans="2:18" x14ac:dyDescent="0.4">
      <c r="B706" s="50"/>
      <c r="C706" s="51" t="s">
        <v>258</v>
      </c>
      <c r="D706" s="49" t="s">
        <v>259</v>
      </c>
      <c r="E706" s="49" t="str">
        <f>B704&amp;C706</f>
        <v>Gallup, NMV</v>
      </c>
      <c r="F706" s="56">
        <v>5.4</v>
      </c>
      <c r="G706" s="56">
        <v>6.5</v>
      </c>
      <c r="H706" s="56">
        <v>7.8</v>
      </c>
      <c r="I706" s="56">
        <v>9.4</v>
      </c>
      <c r="J706" s="56">
        <v>8.6999999999999993</v>
      </c>
      <c r="K706" s="56">
        <v>8.1</v>
      </c>
      <c r="L706" s="56">
        <v>6.7</v>
      </c>
      <c r="M706" s="56">
        <v>5.8</v>
      </c>
      <c r="N706" s="56">
        <v>5.8</v>
      </c>
      <c r="O706" s="56">
        <v>6</v>
      </c>
      <c r="P706" s="56">
        <v>5.6</v>
      </c>
      <c r="Q706" s="56">
        <v>5.0999999999999996</v>
      </c>
      <c r="R706" s="57">
        <v>6.7</v>
      </c>
    </row>
    <row r="707" spans="2:18" x14ac:dyDescent="0.4">
      <c r="B707" s="50"/>
      <c r="C707" s="51" t="s">
        <v>260</v>
      </c>
      <c r="D707" s="49" t="s">
        <v>261</v>
      </c>
      <c r="E707" s="49" t="str">
        <f>B704&amp;C707</f>
        <v>Gallup, NMI</v>
      </c>
      <c r="F707" s="56">
        <v>930</v>
      </c>
      <c r="G707" s="56">
        <v>1194</v>
      </c>
      <c r="H707" s="56">
        <v>1654</v>
      </c>
      <c r="I707" s="56">
        <v>2095</v>
      </c>
      <c r="J707" s="56">
        <v>2350</v>
      </c>
      <c r="K707" s="56">
        <v>2507</v>
      </c>
      <c r="L707" s="56">
        <v>2187</v>
      </c>
      <c r="M707" s="56">
        <v>1943</v>
      </c>
      <c r="N707" s="56">
        <v>1806</v>
      </c>
      <c r="O707" s="56">
        <v>1466</v>
      </c>
      <c r="P707" s="56">
        <v>1072</v>
      </c>
      <c r="Q707" s="56">
        <v>825</v>
      </c>
      <c r="R707" s="57">
        <v>1669</v>
      </c>
    </row>
    <row r="708" spans="2:18" x14ac:dyDescent="0.4">
      <c r="B708" s="50"/>
      <c r="C708" s="51" t="s">
        <v>262</v>
      </c>
      <c r="D708" s="49" t="s">
        <v>263</v>
      </c>
      <c r="E708" s="49" t="str">
        <f>B704&amp;C708</f>
        <v>Gallup, NMPA</v>
      </c>
      <c r="F708" s="58" t="s">
        <v>506</v>
      </c>
      <c r="G708" s="58" t="s">
        <v>506</v>
      </c>
      <c r="H708" s="58" t="s">
        <v>506</v>
      </c>
      <c r="I708" s="58" t="s">
        <v>506</v>
      </c>
      <c r="J708" s="58" t="s">
        <v>506</v>
      </c>
      <c r="K708" s="58" t="s">
        <v>506</v>
      </c>
      <c r="L708" s="58" t="s">
        <v>506</v>
      </c>
      <c r="M708" s="58" t="s">
        <v>506</v>
      </c>
      <c r="N708" s="58" t="s">
        <v>506</v>
      </c>
      <c r="O708" s="58" t="s">
        <v>506</v>
      </c>
      <c r="P708" s="58" t="s">
        <v>506</v>
      </c>
      <c r="Q708" s="58" t="s">
        <v>506</v>
      </c>
      <c r="R708" s="57">
        <v>11.63</v>
      </c>
    </row>
    <row r="709" spans="2:18" x14ac:dyDescent="0.4">
      <c r="B709" s="48" t="s">
        <v>404</v>
      </c>
      <c r="C709" s="51" t="s">
        <v>255</v>
      </c>
      <c r="D709" s="49" t="s">
        <v>256</v>
      </c>
      <c r="E709" s="49" t="str">
        <f>B709&amp;C709</f>
        <v>Roswell, NMTAN</v>
      </c>
      <c r="F709" s="56">
        <v>27.8</v>
      </c>
      <c r="G709" s="56">
        <v>32.5</v>
      </c>
      <c r="H709" s="56">
        <v>38.5</v>
      </c>
      <c r="I709" s="56">
        <v>46.1</v>
      </c>
      <c r="J709" s="56">
        <v>56.4</v>
      </c>
      <c r="K709" s="56">
        <v>64.5</v>
      </c>
      <c r="L709" s="56">
        <v>68.5</v>
      </c>
      <c r="M709" s="56">
        <v>67</v>
      </c>
      <c r="N709" s="56">
        <v>59.5</v>
      </c>
      <c r="O709" s="56">
        <v>47.9</v>
      </c>
      <c r="P709" s="56">
        <v>35.200000000000003</v>
      </c>
      <c r="Q709" s="56">
        <v>27.7</v>
      </c>
      <c r="R709" s="57">
        <v>47.6</v>
      </c>
    </row>
    <row r="710" spans="2:18" x14ac:dyDescent="0.4">
      <c r="B710" s="50"/>
      <c r="C710" s="51" t="s">
        <v>257</v>
      </c>
      <c r="D710" s="49" t="s">
        <v>256</v>
      </c>
      <c r="E710" s="49" t="str">
        <f>B709&amp;C710</f>
        <v>Roswell, NMTAX</v>
      </c>
      <c r="F710" s="56">
        <v>55.6</v>
      </c>
      <c r="G710" s="56">
        <v>61.3</v>
      </c>
      <c r="H710" s="56">
        <v>68.400000000000006</v>
      </c>
      <c r="I710" s="56">
        <v>77</v>
      </c>
      <c r="J710" s="56">
        <v>86.1</v>
      </c>
      <c r="K710" s="56">
        <v>93.7</v>
      </c>
      <c r="L710" s="56">
        <v>93.9</v>
      </c>
      <c r="M710" s="56">
        <v>91.9</v>
      </c>
      <c r="N710" s="56">
        <v>86</v>
      </c>
      <c r="O710" s="56">
        <v>76</v>
      </c>
      <c r="P710" s="56">
        <v>64</v>
      </c>
      <c r="Q710" s="56">
        <v>55.3</v>
      </c>
      <c r="R710" s="57">
        <v>75.8</v>
      </c>
    </row>
    <row r="711" spans="2:18" x14ac:dyDescent="0.4">
      <c r="B711" s="50"/>
      <c r="C711" s="51" t="s">
        <v>258</v>
      </c>
      <c r="D711" s="49" t="s">
        <v>259</v>
      </c>
      <c r="E711" s="49" t="str">
        <f>B709&amp;C711</f>
        <v>Roswell, NMV</v>
      </c>
      <c r="F711" s="56">
        <v>7.6</v>
      </c>
      <c r="G711" s="56">
        <v>8.6999999999999993</v>
      </c>
      <c r="H711" s="56">
        <v>9.6</v>
      </c>
      <c r="I711" s="56">
        <v>10.5</v>
      </c>
      <c r="J711" s="56">
        <v>10.1</v>
      </c>
      <c r="K711" s="56">
        <v>10.1</v>
      </c>
      <c r="L711" s="56">
        <v>8.5</v>
      </c>
      <c r="M711" s="56">
        <v>7.6</v>
      </c>
      <c r="N711" s="56">
        <v>7.8</v>
      </c>
      <c r="O711" s="56">
        <v>7.8</v>
      </c>
      <c r="P711" s="56">
        <v>7.6</v>
      </c>
      <c r="Q711" s="56">
        <v>7.4</v>
      </c>
      <c r="R711" s="57">
        <v>8.6999999999999993</v>
      </c>
    </row>
    <row r="712" spans="2:18" x14ac:dyDescent="0.4">
      <c r="B712" s="50"/>
      <c r="C712" s="51" t="s">
        <v>260</v>
      </c>
      <c r="D712" s="49" t="s">
        <v>261</v>
      </c>
      <c r="E712" s="49" t="str">
        <f>B709&amp;C712</f>
        <v>Roswell, NMI</v>
      </c>
      <c r="F712" s="56">
        <v>1013</v>
      </c>
      <c r="G712" s="56">
        <v>1323</v>
      </c>
      <c r="H712" s="56">
        <v>1744</v>
      </c>
      <c r="I712" s="56">
        <v>2125</v>
      </c>
      <c r="J712" s="56">
        <v>2301</v>
      </c>
      <c r="K712" s="56">
        <v>2434</v>
      </c>
      <c r="L712" s="56">
        <v>2302</v>
      </c>
      <c r="M712" s="56">
        <v>2085</v>
      </c>
      <c r="N712" s="56">
        <v>1822</v>
      </c>
      <c r="O712" s="56">
        <v>1452</v>
      </c>
      <c r="P712" s="56">
        <v>1127</v>
      </c>
      <c r="Q712" s="56">
        <v>939</v>
      </c>
      <c r="R712" s="57">
        <v>1722</v>
      </c>
    </row>
    <row r="713" spans="2:18" x14ac:dyDescent="0.4">
      <c r="B713" s="50"/>
      <c r="C713" s="51" t="s">
        <v>262</v>
      </c>
      <c r="D713" s="49" t="s">
        <v>263</v>
      </c>
      <c r="E713" s="49" t="str">
        <f>B709&amp;C713</f>
        <v>Roswell, NMPA</v>
      </c>
      <c r="F713" s="58" t="s">
        <v>506</v>
      </c>
      <c r="G713" s="58" t="s">
        <v>506</v>
      </c>
      <c r="H713" s="58" t="s">
        <v>506</v>
      </c>
      <c r="I713" s="58" t="s">
        <v>506</v>
      </c>
      <c r="J713" s="58" t="s">
        <v>506</v>
      </c>
      <c r="K713" s="58" t="s">
        <v>506</v>
      </c>
      <c r="L713" s="58" t="s">
        <v>506</v>
      </c>
      <c r="M713" s="58" t="s">
        <v>506</v>
      </c>
      <c r="N713" s="58" t="s">
        <v>506</v>
      </c>
      <c r="O713" s="58" t="s">
        <v>506</v>
      </c>
      <c r="P713" s="58" t="s">
        <v>506</v>
      </c>
      <c r="Q713" s="58" t="s">
        <v>506</v>
      </c>
      <c r="R713" s="57">
        <v>12.88</v>
      </c>
    </row>
    <row r="714" spans="2:18" x14ac:dyDescent="0.4">
      <c r="B714" s="48" t="s">
        <v>405</v>
      </c>
      <c r="C714" s="51" t="s">
        <v>255</v>
      </c>
      <c r="D714" s="49" t="s">
        <v>256</v>
      </c>
      <c r="E714" s="49" t="str">
        <f>B714&amp;C714</f>
        <v>Albany, NYTAN</v>
      </c>
      <c r="F714" s="56">
        <v>16.100000000000001</v>
      </c>
      <c r="G714" s="56">
        <v>18.100000000000001</v>
      </c>
      <c r="H714" s="56">
        <v>26.4</v>
      </c>
      <c r="I714" s="56">
        <v>37.700000000000003</v>
      </c>
      <c r="J714" s="56">
        <v>47.7</v>
      </c>
      <c r="K714" s="56">
        <v>57.9</v>
      </c>
      <c r="L714" s="56">
        <v>62</v>
      </c>
      <c r="M714" s="56">
        <v>60.9</v>
      </c>
      <c r="N714" s="56">
        <v>52.7</v>
      </c>
      <c r="O714" s="56">
        <v>40.799999999999997</v>
      </c>
      <c r="P714" s="56">
        <v>32.5</v>
      </c>
      <c r="Q714" s="56">
        <v>22.4</v>
      </c>
      <c r="R714" s="57">
        <v>39.6</v>
      </c>
    </row>
    <row r="715" spans="2:18" x14ac:dyDescent="0.4">
      <c r="B715" s="50"/>
      <c r="C715" s="51" t="s">
        <v>257</v>
      </c>
      <c r="D715" s="49" t="s">
        <v>256</v>
      </c>
      <c r="E715" s="49" t="str">
        <f>B714&amp;C715</f>
        <v>Albany, NYTAX</v>
      </c>
      <c r="F715" s="56">
        <v>31</v>
      </c>
      <c r="G715" s="56">
        <v>34.1</v>
      </c>
      <c r="H715" s="56">
        <v>43.8</v>
      </c>
      <c r="I715" s="56">
        <v>57.8</v>
      </c>
      <c r="J715" s="56">
        <v>68.7</v>
      </c>
      <c r="K715" s="56">
        <v>77.599999999999994</v>
      </c>
      <c r="L715" s="56">
        <v>81.3</v>
      </c>
      <c r="M715" s="56">
        <v>80</v>
      </c>
      <c r="N715" s="56">
        <v>72</v>
      </c>
      <c r="O715" s="56">
        <v>59.3</v>
      </c>
      <c r="P715" s="56">
        <v>47.7</v>
      </c>
      <c r="Q715" s="56">
        <v>35.9</v>
      </c>
      <c r="R715" s="57">
        <v>57.4</v>
      </c>
    </row>
    <row r="716" spans="2:18" x14ac:dyDescent="0.4">
      <c r="B716" s="50"/>
      <c r="C716" s="51" t="s">
        <v>258</v>
      </c>
      <c r="D716" s="49" t="s">
        <v>259</v>
      </c>
      <c r="E716" s="49" t="str">
        <f>B714&amp;C716</f>
        <v>Albany, NYV</v>
      </c>
      <c r="F716" s="56">
        <v>8.5</v>
      </c>
      <c r="G716" s="56">
        <v>8.9</v>
      </c>
      <c r="H716" s="56">
        <v>9.4</v>
      </c>
      <c r="I716" s="56">
        <v>9.1999999999999993</v>
      </c>
      <c r="J716" s="56">
        <v>7.8</v>
      </c>
      <c r="K716" s="56">
        <v>6.9</v>
      </c>
      <c r="L716" s="56">
        <v>6.7</v>
      </c>
      <c r="M716" s="56">
        <v>5.8</v>
      </c>
      <c r="N716" s="56">
        <v>6.3</v>
      </c>
      <c r="O716" s="56">
        <v>7.2</v>
      </c>
      <c r="P716" s="56">
        <v>7.8</v>
      </c>
      <c r="Q716" s="56">
        <v>8.5</v>
      </c>
      <c r="R716" s="57">
        <v>7.8</v>
      </c>
    </row>
    <row r="717" spans="2:18" x14ac:dyDescent="0.4">
      <c r="B717" s="50"/>
      <c r="C717" s="51" t="s">
        <v>260</v>
      </c>
      <c r="D717" s="49" t="s">
        <v>261</v>
      </c>
      <c r="E717" s="49" t="str">
        <f>B714&amp;C717</f>
        <v>Albany, NYI</v>
      </c>
      <c r="F717" s="56">
        <v>532</v>
      </c>
      <c r="G717" s="56">
        <v>789</v>
      </c>
      <c r="H717" s="56">
        <v>1096</v>
      </c>
      <c r="I717" s="56">
        <v>1496</v>
      </c>
      <c r="J717" s="56">
        <v>1739</v>
      </c>
      <c r="K717" s="56">
        <v>1853</v>
      </c>
      <c r="L717" s="56">
        <v>1872</v>
      </c>
      <c r="M717" s="56">
        <v>1640</v>
      </c>
      <c r="N717" s="56">
        <v>1300</v>
      </c>
      <c r="O717" s="56">
        <v>882</v>
      </c>
      <c r="P717" s="56">
        <v>534</v>
      </c>
      <c r="Q717" s="56">
        <v>422</v>
      </c>
      <c r="R717" s="57">
        <v>1180</v>
      </c>
    </row>
    <row r="718" spans="2:18" x14ac:dyDescent="0.4">
      <c r="B718" s="50"/>
      <c r="C718" s="51" t="s">
        <v>262</v>
      </c>
      <c r="D718" s="49" t="s">
        <v>263</v>
      </c>
      <c r="E718" s="49" t="str">
        <f>B714&amp;C718</f>
        <v>Albany, NYPA</v>
      </c>
      <c r="F718" s="58" t="s">
        <v>506</v>
      </c>
      <c r="G718" s="58" t="s">
        <v>506</v>
      </c>
      <c r="H718" s="58" t="s">
        <v>506</v>
      </c>
      <c r="I718" s="58" t="s">
        <v>506</v>
      </c>
      <c r="J718" s="58" t="s">
        <v>506</v>
      </c>
      <c r="K718" s="58" t="s">
        <v>506</v>
      </c>
      <c r="L718" s="58" t="s">
        <v>506</v>
      </c>
      <c r="M718" s="58" t="s">
        <v>506</v>
      </c>
      <c r="N718" s="58" t="s">
        <v>506</v>
      </c>
      <c r="O718" s="58" t="s">
        <v>506</v>
      </c>
      <c r="P718" s="58" t="s">
        <v>506</v>
      </c>
      <c r="Q718" s="58" t="s">
        <v>506</v>
      </c>
      <c r="R718" s="57">
        <v>14.55</v>
      </c>
    </row>
    <row r="719" spans="2:18" x14ac:dyDescent="0.4">
      <c r="B719" s="48" t="s">
        <v>406</v>
      </c>
      <c r="C719" s="51" t="s">
        <v>255</v>
      </c>
      <c r="D719" s="49" t="s">
        <v>256</v>
      </c>
      <c r="E719" s="49" t="str">
        <f>B719&amp;C719</f>
        <v>Binghamton, NYTAN</v>
      </c>
      <c r="F719" s="56">
        <v>16.600000000000001</v>
      </c>
      <c r="G719" s="56">
        <v>17.600000000000001</v>
      </c>
      <c r="H719" s="56">
        <v>25.1</v>
      </c>
      <c r="I719" s="56">
        <v>36.299999999999997</v>
      </c>
      <c r="J719" s="56">
        <v>46.5</v>
      </c>
      <c r="K719" s="56">
        <v>56.1</v>
      </c>
      <c r="L719" s="56">
        <v>59.9</v>
      </c>
      <c r="M719" s="56">
        <v>59.1</v>
      </c>
      <c r="N719" s="56">
        <v>51.3</v>
      </c>
      <c r="O719" s="56">
        <v>40.9</v>
      </c>
      <c r="P719" s="56">
        <v>32</v>
      </c>
      <c r="Q719" s="56">
        <v>22</v>
      </c>
      <c r="R719" s="57">
        <v>38.6</v>
      </c>
    </row>
    <row r="720" spans="2:18" x14ac:dyDescent="0.4">
      <c r="B720" s="50"/>
      <c r="C720" s="51" t="s">
        <v>257</v>
      </c>
      <c r="D720" s="49" t="s">
        <v>256</v>
      </c>
      <c r="E720" s="49" t="str">
        <f>B719&amp;C720</f>
        <v>Binghamton, NYTAX</v>
      </c>
      <c r="F720" s="56">
        <v>29.2</v>
      </c>
      <c r="G720" s="56">
        <v>31.7</v>
      </c>
      <c r="H720" s="56">
        <v>40.5</v>
      </c>
      <c r="I720" s="56">
        <v>54.1</v>
      </c>
      <c r="J720" s="56">
        <v>65.2</v>
      </c>
      <c r="K720" s="56">
        <v>73.599999999999994</v>
      </c>
      <c r="L720" s="56">
        <v>77.099999999999994</v>
      </c>
      <c r="M720" s="56">
        <v>76.2</v>
      </c>
      <c r="N720" s="56">
        <v>68.400000000000006</v>
      </c>
      <c r="O720" s="56">
        <v>56.4</v>
      </c>
      <c r="P720" s="56">
        <v>44.8</v>
      </c>
      <c r="Q720" s="56">
        <v>33.5</v>
      </c>
      <c r="R720" s="57">
        <v>54.2</v>
      </c>
    </row>
    <row r="721" spans="2:18" x14ac:dyDescent="0.4">
      <c r="B721" s="50"/>
      <c r="C721" s="51" t="s">
        <v>258</v>
      </c>
      <c r="D721" s="49" t="s">
        <v>259</v>
      </c>
      <c r="E721" s="49" t="str">
        <f>B719&amp;C721</f>
        <v>Binghamton, NYV</v>
      </c>
      <c r="F721" s="56">
        <v>9.8000000000000007</v>
      </c>
      <c r="G721" s="56">
        <v>9.8000000000000007</v>
      </c>
      <c r="H721" s="56">
        <v>9.8000000000000007</v>
      </c>
      <c r="I721" s="56">
        <v>9.6</v>
      </c>
      <c r="J721" s="56">
        <v>8.5</v>
      </c>
      <c r="K721" s="56">
        <v>7.8</v>
      </c>
      <c r="L721" s="56">
        <v>7.4</v>
      </c>
      <c r="M721" s="56">
        <v>6.9</v>
      </c>
      <c r="N721" s="56">
        <v>7.8</v>
      </c>
      <c r="O721" s="56">
        <v>8.5</v>
      </c>
      <c r="P721" s="56">
        <v>8.9</v>
      </c>
      <c r="Q721" s="56">
        <v>9.6</v>
      </c>
      <c r="R721" s="57">
        <v>8.6999999999999993</v>
      </c>
    </row>
    <row r="722" spans="2:18" x14ac:dyDescent="0.4">
      <c r="B722" s="50"/>
      <c r="C722" s="51" t="s">
        <v>260</v>
      </c>
      <c r="D722" s="49" t="s">
        <v>261</v>
      </c>
      <c r="E722" s="49" t="str">
        <f>B719&amp;C722</f>
        <v>Binghamton, NYI</v>
      </c>
      <c r="F722" s="56">
        <v>500</v>
      </c>
      <c r="G722" s="56">
        <v>745</v>
      </c>
      <c r="H722" s="56">
        <v>1056</v>
      </c>
      <c r="I722" s="56">
        <v>1449</v>
      </c>
      <c r="J722" s="56">
        <v>1722</v>
      </c>
      <c r="K722" s="56">
        <v>1839</v>
      </c>
      <c r="L722" s="56">
        <v>1818</v>
      </c>
      <c r="M722" s="56">
        <v>1614</v>
      </c>
      <c r="N722" s="56">
        <v>1224</v>
      </c>
      <c r="O722" s="56">
        <v>833</v>
      </c>
      <c r="P722" s="56">
        <v>498</v>
      </c>
      <c r="Q722" s="56">
        <v>406</v>
      </c>
      <c r="R722" s="57">
        <v>1142</v>
      </c>
    </row>
    <row r="723" spans="2:18" x14ac:dyDescent="0.4">
      <c r="B723" s="50"/>
      <c r="C723" s="51" t="s">
        <v>262</v>
      </c>
      <c r="D723" s="49" t="s">
        <v>263</v>
      </c>
      <c r="E723" s="49" t="str">
        <f>B719&amp;C723</f>
        <v>Binghamton, NYPA</v>
      </c>
      <c r="F723" s="58" t="s">
        <v>506</v>
      </c>
      <c r="G723" s="58" t="s">
        <v>506</v>
      </c>
      <c r="H723" s="58" t="s">
        <v>506</v>
      </c>
      <c r="I723" s="58" t="s">
        <v>506</v>
      </c>
      <c r="J723" s="58" t="s">
        <v>506</v>
      </c>
      <c r="K723" s="58" t="s">
        <v>506</v>
      </c>
      <c r="L723" s="58" t="s">
        <v>506</v>
      </c>
      <c r="M723" s="58" t="s">
        <v>506</v>
      </c>
      <c r="N723" s="58" t="s">
        <v>506</v>
      </c>
      <c r="O723" s="58" t="s">
        <v>506</v>
      </c>
      <c r="P723" s="58" t="s">
        <v>506</v>
      </c>
      <c r="Q723" s="58" t="s">
        <v>506</v>
      </c>
      <c r="R723" s="57">
        <v>13.87</v>
      </c>
    </row>
    <row r="724" spans="2:18" x14ac:dyDescent="0.4">
      <c r="B724" s="48" t="s">
        <v>407</v>
      </c>
      <c r="C724" s="51" t="s">
        <v>255</v>
      </c>
      <c r="D724" s="49" t="s">
        <v>256</v>
      </c>
      <c r="E724" s="49" t="str">
        <f>B724&amp;C724</f>
        <v>Buffalo, NYTAN</v>
      </c>
      <c r="F724" s="56">
        <v>19.3</v>
      </c>
      <c r="G724" s="56">
        <v>19.7</v>
      </c>
      <c r="H724" s="56">
        <v>26.5</v>
      </c>
      <c r="I724" s="56">
        <v>37.200000000000003</v>
      </c>
      <c r="J724" s="56">
        <v>47.9</v>
      </c>
      <c r="K724" s="56">
        <v>58.4</v>
      </c>
      <c r="L724" s="56">
        <v>62.6</v>
      </c>
      <c r="M724" s="56">
        <v>61.7</v>
      </c>
      <c r="N724" s="56">
        <v>54.2</v>
      </c>
      <c r="O724" s="56">
        <v>43.7</v>
      </c>
      <c r="P724" s="56">
        <v>34.700000000000003</v>
      </c>
      <c r="Q724" s="56">
        <v>24.9</v>
      </c>
      <c r="R724" s="57">
        <v>40.9</v>
      </c>
    </row>
    <row r="725" spans="2:18" x14ac:dyDescent="0.4">
      <c r="B725" s="50"/>
      <c r="C725" s="51" t="s">
        <v>257</v>
      </c>
      <c r="D725" s="49" t="s">
        <v>256</v>
      </c>
      <c r="E725" s="49" t="str">
        <f>B724&amp;C725</f>
        <v>Buffalo, NYTAX</v>
      </c>
      <c r="F725" s="56">
        <v>31.5</v>
      </c>
      <c r="G725" s="56">
        <v>32.9</v>
      </c>
      <c r="H725" s="56">
        <v>41.3</v>
      </c>
      <c r="I725" s="56">
        <v>54.7</v>
      </c>
      <c r="J725" s="56">
        <v>66.099999999999994</v>
      </c>
      <c r="K725" s="56">
        <v>75.3</v>
      </c>
      <c r="L725" s="56">
        <v>78.900000000000006</v>
      </c>
      <c r="M725" s="56">
        <v>78.099999999999994</v>
      </c>
      <c r="N725" s="56">
        <v>71.099999999999994</v>
      </c>
      <c r="O725" s="56">
        <v>58.7</v>
      </c>
      <c r="P725" s="56">
        <v>47.4</v>
      </c>
      <c r="Q725" s="56">
        <v>36.1</v>
      </c>
      <c r="R725" s="57">
        <v>56</v>
      </c>
    </row>
    <row r="726" spans="2:18" x14ac:dyDescent="0.4">
      <c r="B726" s="50"/>
      <c r="C726" s="51" t="s">
        <v>258</v>
      </c>
      <c r="D726" s="49" t="s">
        <v>259</v>
      </c>
      <c r="E726" s="49" t="str">
        <f>B724&amp;C726</f>
        <v>Buffalo, NYV</v>
      </c>
      <c r="F726" s="56">
        <v>12.1</v>
      </c>
      <c r="G726" s="56">
        <v>11.6</v>
      </c>
      <c r="H726" s="56">
        <v>10.7</v>
      </c>
      <c r="I726" s="56">
        <v>10.5</v>
      </c>
      <c r="J726" s="56">
        <v>9.8000000000000007</v>
      </c>
      <c r="K726" s="56">
        <v>8.9</v>
      </c>
      <c r="L726" s="56">
        <v>8.9</v>
      </c>
      <c r="M726" s="56">
        <v>8.1</v>
      </c>
      <c r="N726" s="56">
        <v>8.6999999999999993</v>
      </c>
      <c r="O726" s="56">
        <v>9.6</v>
      </c>
      <c r="P726" s="56">
        <v>10.5</v>
      </c>
      <c r="Q726" s="56">
        <v>11.4</v>
      </c>
      <c r="R726" s="57">
        <v>10.1</v>
      </c>
    </row>
    <row r="727" spans="2:18" x14ac:dyDescent="0.4">
      <c r="B727" s="50"/>
      <c r="C727" s="51" t="s">
        <v>260</v>
      </c>
      <c r="D727" s="49" t="s">
        <v>261</v>
      </c>
      <c r="E727" s="49" t="str">
        <f>B724&amp;C727</f>
        <v>Buffalo, NYI</v>
      </c>
      <c r="F727" s="56">
        <v>447</v>
      </c>
      <c r="G727" s="56">
        <v>730</v>
      </c>
      <c r="H727" s="56">
        <v>1070</v>
      </c>
      <c r="I727" s="56">
        <v>1453</v>
      </c>
      <c r="J727" s="56">
        <v>1793</v>
      </c>
      <c r="K727" s="56">
        <v>1939</v>
      </c>
      <c r="L727" s="56">
        <v>1865</v>
      </c>
      <c r="M727" s="56">
        <v>1643</v>
      </c>
      <c r="N727" s="56">
        <v>1273</v>
      </c>
      <c r="O727" s="56">
        <v>808</v>
      </c>
      <c r="P727" s="56">
        <v>478</v>
      </c>
      <c r="Q727" s="56">
        <v>382</v>
      </c>
      <c r="R727" s="57">
        <v>1157</v>
      </c>
    </row>
    <row r="728" spans="2:18" x14ac:dyDescent="0.4">
      <c r="B728" s="50"/>
      <c r="C728" s="51" t="s">
        <v>262</v>
      </c>
      <c r="D728" s="49" t="s">
        <v>263</v>
      </c>
      <c r="E728" s="49" t="str">
        <f>B724&amp;C728</f>
        <v>Buffalo, NYPA</v>
      </c>
      <c r="F728" s="58" t="s">
        <v>506</v>
      </c>
      <c r="G728" s="58" t="s">
        <v>506</v>
      </c>
      <c r="H728" s="58" t="s">
        <v>506</v>
      </c>
      <c r="I728" s="58" t="s">
        <v>506</v>
      </c>
      <c r="J728" s="58" t="s">
        <v>506</v>
      </c>
      <c r="K728" s="58" t="s">
        <v>506</v>
      </c>
      <c r="L728" s="58" t="s">
        <v>506</v>
      </c>
      <c r="M728" s="58" t="s">
        <v>506</v>
      </c>
      <c r="N728" s="58" t="s">
        <v>506</v>
      </c>
      <c r="O728" s="58" t="s">
        <v>506</v>
      </c>
      <c r="P728" s="58" t="s">
        <v>506</v>
      </c>
      <c r="Q728" s="58" t="s">
        <v>506</v>
      </c>
      <c r="R728" s="57">
        <v>14.33</v>
      </c>
    </row>
    <row r="729" spans="2:18" x14ac:dyDescent="0.4">
      <c r="B729" s="48" t="s">
        <v>408</v>
      </c>
      <c r="C729" s="51" t="s">
        <v>255</v>
      </c>
      <c r="D729" s="49" t="s">
        <v>256</v>
      </c>
      <c r="E729" s="49" t="str">
        <f>B729&amp;C729</f>
        <v>Long Island, NYTAN</v>
      </c>
      <c r="F729" s="56">
        <v>24.7</v>
      </c>
      <c r="G729" s="56">
        <v>25.3</v>
      </c>
      <c r="H729" s="56">
        <v>31.8</v>
      </c>
      <c r="I729" s="56">
        <v>41.1</v>
      </c>
      <c r="J729" s="56">
        <v>50.1</v>
      </c>
      <c r="K729" s="56">
        <v>60.7</v>
      </c>
      <c r="L729" s="56">
        <v>66.5</v>
      </c>
      <c r="M729" s="56">
        <v>65.599999999999994</v>
      </c>
      <c r="N729" s="56">
        <v>58.1</v>
      </c>
      <c r="O729" s="56">
        <v>46.1</v>
      </c>
      <c r="P729" s="56">
        <v>38</v>
      </c>
      <c r="Q729" s="56">
        <v>29.4</v>
      </c>
      <c r="R729" s="57">
        <v>44.8</v>
      </c>
    </row>
    <row r="730" spans="2:18" x14ac:dyDescent="0.4">
      <c r="B730" s="50"/>
      <c r="C730" s="51" t="s">
        <v>257</v>
      </c>
      <c r="D730" s="49" t="s">
        <v>256</v>
      </c>
      <c r="E730" s="49" t="str">
        <f>B729&amp;C730</f>
        <v>Long Island, NYTAX</v>
      </c>
      <c r="F730" s="56">
        <v>38.9</v>
      </c>
      <c r="G730" s="56">
        <v>40.4</v>
      </c>
      <c r="H730" s="56">
        <v>47.3</v>
      </c>
      <c r="I730" s="56">
        <v>58</v>
      </c>
      <c r="J730" s="56">
        <v>67.599999999999994</v>
      </c>
      <c r="K730" s="56">
        <v>76.599999999999994</v>
      </c>
      <c r="L730" s="56">
        <v>81.8</v>
      </c>
      <c r="M730" s="56">
        <v>80.5</v>
      </c>
      <c r="N730" s="56">
        <v>73.8</v>
      </c>
      <c r="O730" s="56">
        <v>63.2</v>
      </c>
      <c r="P730" s="56">
        <v>53.3</v>
      </c>
      <c r="Q730" s="56">
        <v>43.9</v>
      </c>
      <c r="R730" s="57">
        <v>60.5</v>
      </c>
    </row>
    <row r="731" spans="2:18" x14ac:dyDescent="0.4">
      <c r="B731" s="50"/>
      <c r="C731" s="51" t="s">
        <v>258</v>
      </c>
      <c r="D731" s="49" t="s">
        <v>259</v>
      </c>
      <c r="E731" s="49" t="str">
        <f>B729&amp;C731</f>
        <v>Long Island, NYV</v>
      </c>
      <c r="F731" s="56">
        <v>10.1</v>
      </c>
      <c r="G731" s="56">
        <v>10.3</v>
      </c>
      <c r="H731" s="56">
        <v>10.5</v>
      </c>
      <c r="I731" s="56">
        <v>10.1</v>
      </c>
      <c r="J731" s="56">
        <v>8.9</v>
      </c>
      <c r="K731" s="56">
        <v>8.3000000000000007</v>
      </c>
      <c r="L731" s="56">
        <v>7.8</v>
      </c>
      <c r="M731" s="56">
        <v>7.4</v>
      </c>
      <c r="N731" s="56">
        <v>8.1</v>
      </c>
      <c r="O731" s="56">
        <v>8.5</v>
      </c>
      <c r="P731" s="56">
        <v>9.1999999999999993</v>
      </c>
      <c r="Q731" s="56">
        <v>9.8000000000000007</v>
      </c>
      <c r="R731" s="57">
        <v>8.9</v>
      </c>
    </row>
    <row r="732" spans="2:18" x14ac:dyDescent="0.4">
      <c r="B732" s="50"/>
      <c r="C732" s="51" t="s">
        <v>260</v>
      </c>
      <c r="D732" s="49" t="s">
        <v>261</v>
      </c>
      <c r="E732" s="49" t="str">
        <f>B729&amp;C732</f>
        <v>Long Island, NYI</v>
      </c>
      <c r="F732" s="56">
        <v>591</v>
      </c>
      <c r="G732" s="56">
        <v>878</v>
      </c>
      <c r="H732" s="56">
        <v>1196</v>
      </c>
      <c r="I732" s="56">
        <v>1527</v>
      </c>
      <c r="J732" s="56">
        <v>1785</v>
      </c>
      <c r="K732" s="56">
        <v>1896</v>
      </c>
      <c r="L732" s="56">
        <v>1890</v>
      </c>
      <c r="M732" s="56">
        <v>1694</v>
      </c>
      <c r="N732" s="56">
        <v>1347</v>
      </c>
      <c r="O732" s="56">
        <v>988</v>
      </c>
      <c r="P732" s="56">
        <v>643</v>
      </c>
      <c r="Q732" s="56">
        <v>518</v>
      </c>
      <c r="R732" s="57">
        <v>1246</v>
      </c>
    </row>
    <row r="733" spans="2:18" x14ac:dyDescent="0.4">
      <c r="B733" s="50"/>
      <c r="C733" s="51" t="s">
        <v>262</v>
      </c>
      <c r="D733" s="49" t="s">
        <v>263</v>
      </c>
      <c r="E733" s="49" t="str">
        <f>B729&amp;C733</f>
        <v>Long Island, NYPA</v>
      </c>
      <c r="F733" s="58" t="s">
        <v>506</v>
      </c>
      <c r="G733" s="58" t="s">
        <v>506</v>
      </c>
      <c r="H733" s="58" t="s">
        <v>506</v>
      </c>
      <c r="I733" s="58" t="s">
        <v>506</v>
      </c>
      <c r="J733" s="58" t="s">
        <v>506</v>
      </c>
      <c r="K733" s="58" t="s">
        <v>506</v>
      </c>
      <c r="L733" s="58" t="s">
        <v>506</v>
      </c>
      <c r="M733" s="58" t="s">
        <v>506</v>
      </c>
      <c r="N733" s="58" t="s">
        <v>506</v>
      </c>
      <c r="O733" s="58" t="s">
        <v>506</v>
      </c>
      <c r="P733" s="58" t="s">
        <v>506</v>
      </c>
      <c r="Q733" s="58" t="s">
        <v>506</v>
      </c>
      <c r="R733" s="57">
        <v>14.65</v>
      </c>
    </row>
    <row r="734" spans="2:18" x14ac:dyDescent="0.4">
      <c r="B734" s="48" t="s">
        <v>409</v>
      </c>
      <c r="C734" s="51" t="s">
        <v>255</v>
      </c>
      <c r="D734" s="49" t="s">
        <v>256</v>
      </c>
      <c r="E734" s="49" t="str">
        <f>B734&amp;C734</f>
        <v>Massena, NYTAN</v>
      </c>
      <c r="F734" s="56">
        <v>6.6</v>
      </c>
      <c r="G734" s="56">
        <v>8</v>
      </c>
      <c r="H734" s="56">
        <v>19.5</v>
      </c>
      <c r="I734" s="56">
        <v>33.799999999999997</v>
      </c>
      <c r="J734" s="56">
        <v>44.8</v>
      </c>
      <c r="K734" s="56">
        <v>54.8</v>
      </c>
      <c r="L734" s="56">
        <v>59.3</v>
      </c>
      <c r="M734" s="56">
        <v>57.2</v>
      </c>
      <c r="N734" s="56">
        <v>48.9</v>
      </c>
      <c r="O734" s="56">
        <v>38.200000000000003</v>
      </c>
      <c r="P734" s="56">
        <v>28.6</v>
      </c>
      <c r="Q734" s="56">
        <v>16</v>
      </c>
      <c r="R734" s="57">
        <v>34.6</v>
      </c>
    </row>
    <row r="735" spans="2:18" x14ac:dyDescent="0.4">
      <c r="B735" s="50"/>
      <c r="C735" s="51" t="s">
        <v>257</v>
      </c>
      <c r="D735" s="49" t="s">
        <v>256</v>
      </c>
      <c r="E735" s="49" t="str">
        <f>B734&amp;C735</f>
        <v>Massena, NYTAX</v>
      </c>
      <c r="F735" s="56">
        <v>24.3</v>
      </c>
      <c r="G735" s="56">
        <v>27.4</v>
      </c>
      <c r="H735" s="56">
        <v>37.9</v>
      </c>
      <c r="I735" s="56">
        <v>53.7</v>
      </c>
      <c r="J735" s="56">
        <v>66.900000000000006</v>
      </c>
      <c r="K735" s="56">
        <v>75.7</v>
      </c>
      <c r="L735" s="56">
        <v>79.400000000000006</v>
      </c>
      <c r="M735" s="56">
        <v>78.099999999999994</v>
      </c>
      <c r="N735" s="56">
        <v>70.099999999999994</v>
      </c>
      <c r="O735" s="56">
        <v>56.5</v>
      </c>
      <c r="P735" s="56">
        <v>44.2</v>
      </c>
      <c r="Q735" s="56">
        <v>31.3</v>
      </c>
      <c r="R735" s="57">
        <v>53.8</v>
      </c>
    </row>
    <row r="736" spans="2:18" x14ac:dyDescent="0.4">
      <c r="B736" s="50"/>
      <c r="C736" s="51" t="s">
        <v>258</v>
      </c>
      <c r="D736" s="49" t="s">
        <v>259</v>
      </c>
      <c r="E736" s="49" t="str">
        <f>B734&amp;C736</f>
        <v>Massena, NYV</v>
      </c>
      <c r="F736" s="56">
        <v>8.6999999999999993</v>
      </c>
      <c r="G736" s="56">
        <v>8.5</v>
      </c>
      <c r="H736" s="56">
        <v>8.6999999999999993</v>
      </c>
      <c r="I736" s="56">
        <v>8.9</v>
      </c>
      <c r="J736" s="56">
        <v>7.8</v>
      </c>
      <c r="K736" s="56">
        <v>6.7</v>
      </c>
      <c r="L736" s="56">
        <v>6.5</v>
      </c>
      <c r="M736" s="56">
        <v>5.8</v>
      </c>
      <c r="N736" s="56">
        <v>6.3</v>
      </c>
      <c r="O736" s="56">
        <v>7.6</v>
      </c>
      <c r="P736" s="56">
        <v>8.3000000000000007</v>
      </c>
      <c r="Q736" s="56">
        <v>8.5</v>
      </c>
      <c r="R736" s="57">
        <v>7.6</v>
      </c>
    </row>
    <row r="737" spans="2:18" x14ac:dyDescent="0.4">
      <c r="B737" s="50"/>
      <c r="C737" s="51" t="s">
        <v>260</v>
      </c>
      <c r="D737" s="49" t="s">
        <v>261</v>
      </c>
      <c r="E737" s="49" t="str">
        <f>B734&amp;C737</f>
        <v>Massena, NYI</v>
      </c>
      <c r="F737" s="56">
        <v>445</v>
      </c>
      <c r="G737" s="56">
        <v>741</v>
      </c>
      <c r="H737" s="56">
        <v>1072</v>
      </c>
      <c r="I737" s="56">
        <v>1452</v>
      </c>
      <c r="J737" s="56">
        <v>1753</v>
      </c>
      <c r="K737" s="56">
        <v>1876</v>
      </c>
      <c r="L737" s="56">
        <v>1865</v>
      </c>
      <c r="M737" s="56">
        <v>1646</v>
      </c>
      <c r="N737" s="56">
        <v>1236</v>
      </c>
      <c r="O737" s="56">
        <v>764</v>
      </c>
      <c r="P737" s="56">
        <v>449</v>
      </c>
      <c r="Q737" s="56">
        <v>348</v>
      </c>
      <c r="R737" s="57">
        <v>1137</v>
      </c>
    </row>
    <row r="738" spans="2:18" x14ac:dyDescent="0.4">
      <c r="B738" s="50"/>
      <c r="C738" s="51" t="s">
        <v>262</v>
      </c>
      <c r="D738" s="49" t="s">
        <v>263</v>
      </c>
      <c r="E738" s="49" t="str">
        <f>B734&amp;C738</f>
        <v>Massena, NYPA</v>
      </c>
      <c r="F738" s="58" t="s">
        <v>506</v>
      </c>
      <c r="G738" s="58" t="s">
        <v>506</v>
      </c>
      <c r="H738" s="58" t="s">
        <v>506</v>
      </c>
      <c r="I738" s="58" t="s">
        <v>506</v>
      </c>
      <c r="J738" s="58" t="s">
        <v>506</v>
      </c>
      <c r="K738" s="58" t="s">
        <v>506</v>
      </c>
      <c r="L738" s="58" t="s">
        <v>506</v>
      </c>
      <c r="M738" s="58" t="s">
        <v>506</v>
      </c>
      <c r="N738" s="58" t="s">
        <v>506</v>
      </c>
      <c r="O738" s="58" t="s">
        <v>506</v>
      </c>
      <c r="P738" s="58" t="s">
        <v>506</v>
      </c>
      <c r="Q738" s="58" t="s">
        <v>506</v>
      </c>
      <c r="R738" s="57">
        <v>14.58</v>
      </c>
    </row>
    <row r="739" spans="2:18" ht="23.15" x14ac:dyDescent="0.4">
      <c r="B739" s="48" t="s">
        <v>410</v>
      </c>
      <c r="C739" s="51" t="s">
        <v>255</v>
      </c>
      <c r="D739" s="49" t="s">
        <v>256</v>
      </c>
      <c r="E739" s="49" t="str">
        <f>B739&amp;C739</f>
        <v>New York-LaGuardia, NYTAN</v>
      </c>
      <c r="F739" s="56">
        <v>28.3</v>
      </c>
      <c r="G739" s="56">
        <v>29.4</v>
      </c>
      <c r="H739" s="56">
        <v>35.9</v>
      </c>
      <c r="I739" s="56">
        <v>45.7</v>
      </c>
      <c r="J739" s="56">
        <v>55.1</v>
      </c>
      <c r="K739" s="56">
        <v>65.400000000000006</v>
      </c>
      <c r="L739" s="56">
        <v>71</v>
      </c>
      <c r="M739" s="56">
        <v>70.5</v>
      </c>
      <c r="N739" s="56">
        <v>63.7</v>
      </c>
      <c r="O739" s="56">
        <v>52.4</v>
      </c>
      <c r="P739" s="56">
        <v>43.3</v>
      </c>
      <c r="Q739" s="56">
        <v>33.6</v>
      </c>
      <c r="R739" s="57">
        <v>49.5</v>
      </c>
    </row>
    <row r="740" spans="2:18" ht="20.6" x14ac:dyDescent="0.4">
      <c r="B740" s="50"/>
      <c r="C740" s="51" t="s">
        <v>257</v>
      </c>
      <c r="D740" s="49" t="s">
        <v>256</v>
      </c>
      <c r="E740" s="49" t="str">
        <f>B739&amp;C740</f>
        <v>New York-LaGuardia, NYTAX</v>
      </c>
      <c r="F740" s="56">
        <v>39.6</v>
      </c>
      <c r="G740" s="56">
        <v>41.6</v>
      </c>
      <c r="H740" s="56">
        <v>49</v>
      </c>
      <c r="I740" s="56">
        <v>60.5</v>
      </c>
      <c r="J740" s="56">
        <v>70.3</v>
      </c>
      <c r="K740" s="56">
        <v>79.8</v>
      </c>
      <c r="L740" s="56">
        <v>84.7</v>
      </c>
      <c r="M740" s="56">
        <v>83.2</v>
      </c>
      <c r="N740" s="56">
        <v>75.900000000000006</v>
      </c>
      <c r="O740" s="56">
        <v>64.7</v>
      </c>
      <c r="P740" s="56">
        <v>54.1</v>
      </c>
      <c r="Q740" s="56">
        <v>44.1</v>
      </c>
      <c r="R740" s="57">
        <v>62.3</v>
      </c>
    </row>
    <row r="741" spans="2:18" ht="20.6" x14ac:dyDescent="0.4">
      <c r="B741" s="50"/>
      <c r="C741" s="51" t="s">
        <v>258</v>
      </c>
      <c r="D741" s="49" t="s">
        <v>259</v>
      </c>
      <c r="E741" s="49" t="str">
        <f>B739&amp;C741</f>
        <v>New York-LaGuardia, NYV</v>
      </c>
      <c r="F741" s="56">
        <v>12.8</v>
      </c>
      <c r="G741" s="56">
        <v>12.8</v>
      </c>
      <c r="H741" s="56">
        <v>12.8</v>
      </c>
      <c r="I741" s="56">
        <v>11.6</v>
      </c>
      <c r="J741" s="56">
        <v>10.7</v>
      </c>
      <c r="K741" s="56">
        <v>10.1</v>
      </c>
      <c r="L741" s="56">
        <v>9.6</v>
      </c>
      <c r="M741" s="56">
        <v>9.4</v>
      </c>
      <c r="N741" s="56">
        <v>10.3</v>
      </c>
      <c r="O741" s="56">
        <v>10.7</v>
      </c>
      <c r="P741" s="56">
        <v>11.6</v>
      </c>
      <c r="Q741" s="56">
        <v>12.5</v>
      </c>
      <c r="R741" s="57">
        <v>11.2</v>
      </c>
    </row>
    <row r="742" spans="2:18" ht="20.6" x14ac:dyDescent="0.4">
      <c r="B742" s="50"/>
      <c r="C742" s="51" t="s">
        <v>260</v>
      </c>
      <c r="D742" s="49" t="s">
        <v>261</v>
      </c>
      <c r="E742" s="49" t="str">
        <f>B739&amp;C742</f>
        <v>New York-LaGuardia, NYI</v>
      </c>
      <c r="F742" s="56">
        <v>583</v>
      </c>
      <c r="G742" s="56">
        <v>863</v>
      </c>
      <c r="H742" s="56">
        <v>1154</v>
      </c>
      <c r="I742" s="56">
        <v>1499</v>
      </c>
      <c r="J742" s="56">
        <v>1760</v>
      </c>
      <c r="K742" s="56">
        <v>1878</v>
      </c>
      <c r="L742" s="56">
        <v>1859</v>
      </c>
      <c r="M742" s="56">
        <v>1636</v>
      </c>
      <c r="N742" s="56">
        <v>1314</v>
      </c>
      <c r="O742" s="56">
        <v>962</v>
      </c>
      <c r="P742" s="56">
        <v>627</v>
      </c>
      <c r="Q742" s="56">
        <v>511</v>
      </c>
      <c r="R742" s="57">
        <v>1220</v>
      </c>
    </row>
    <row r="743" spans="2:18" ht="20.6" x14ac:dyDescent="0.4">
      <c r="B743" s="50"/>
      <c r="C743" s="51" t="s">
        <v>262</v>
      </c>
      <c r="D743" s="49" t="s">
        <v>263</v>
      </c>
      <c r="E743" s="49" t="str">
        <f>B739&amp;C743</f>
        <v>New York-LaGuardia, NYPA</v>
      </c>
      <c r="F743" s="58" t="s">
        <v>506</v>
      </c>
      <c r="G743" s="58" t="s">
        <v>506</v>
      </c>
      <c r="H743" s="58" t="s">
        <v>506</v>
      </c>
      <c r="I743" s="58" t="s">
        <v>506</v>
      </c>
      <c r="J743" s="58" t="s">
        <v>506</v>
      </c>
      <c r="K743" s="58" t="s">
        <v>506</v>
      </c>
      <c r="L743" s="58" t="s">
        <v>506</v>
      </c>
      <c r="M743" s="58" t="s">
        <v>506</v>
      </c>
      <c r="N743" s="58" t="s">
        <v>506</v>
      </c>
      <c r="O743" s="58" t="s">
        <v>506</v>
      </c>
      <c r="P743" s="58" t="s">
        <v>506</v>
      </c>
      <c r="Q743" s="58" t="s">
        <v>506</v>
      </c>
      <c r="R743" s="57">
        <v>14.69</v>
      </c>
    </row>
    <row r="744" spans="2:18" ht="23.15" x14ac:dyDescent="0.4">
      <c r="B744" s="48" t="s">
        <v>411</v>
      </c>
      <c r="C744" s="51" t="s">
        <v>255</v>
      </c>
      <c r="D744" s="49" t="s">
        <v>256</v>
      </c>
      <c r="E744" s="49" t="str">
        <f>B744&amp;C744</f>
        <v>New York-Kennedy, NYTAN</v>
      </c>
      <c r="F744" s="56">
        <v>27.1</v>
      </c>
      <c r="G744" s="56">
        <v>28.1</v>
      </c>
      <c r="H744" s="56">
        <v>34.6</v>
      </c>
      <c r="I744" s="56">
        <v>43.9</v>
      </c>
      <c r="J744" s="56">
        <v>53</v>
      </c>
      <c r="K744" s="56">
        <v>63.1</v>
      </c>
      <c r="L744" s="56">
        <v>68.900000000000006</v>
      </c>
      <c r="M744" s="56">
        <v>68.3</v>
      </c>
      <c r="N744" s="56">
        <v>61.5</v>
      </c>
      <c r="O744" s="56">
        <v>50.1</v>
      </c>
      <c r="P744" s="56">
        <v>41.2</v>
      </c>
      <c r="Q744" s="56">
        <v>32</v>
      </c>
      <c r="R744" s="57">
        <v>47.6</v>
      </c>
    </row>
    <row r="745" spans="2:18" ht="20.6" x14ac:dyDescent="0.4">
      <c r="B745" s="50"/>
      <c r="C745" s="51" t="s">
        <v>257</v>
      </c>
      <c r="D745" s="49" t="s">
        <v>256</v>
      </c>
      <c r="E745" s="49" t="str">
        <f>B744&amp;C745</f>
        <v>New York-Kennedy, NYTAX</v>
      </c>
      <c r="F745" s="56">
        <v>39.200000000000003</v>
      </c>
      <c r="G745" s="56">
        <v>41</v>
      </c>
      <c r="H745" s="56">
        <v>48.2</v>
      </c>
      <c r="I745" s="56">
        <v>58.5</v>
      </c>
      <c r="J745" s="56">
        <v>67.8</v>
      </c>
      <c r="K745" s="56">
        <v>77.2</v>
      </c>
      <c r="L745" s="56">
        <v>82.4</v>
      </c>
      <c r="M745" s="56">
        <v>81.400000000000006</v>
      </c>
      <c r="N745" s="56">
        <v>75</v>
      </c>
      <c r="O745" s="56">
        <v>63.8</v>
      </c>
      <c r="P745" s="56">
        <v>53.5</v>
      </c>
      <c r="Q745" s="56">
        <v>43.6</v>
      </c>
      <c r="R745" s="57">
        <v>61</v>
      </c>
    </row>
    <row r="746" spans="2:18" ht="20.6" x14ac:dyDescent="0.4">
      <c r="B746" s="50"/>
      <c r="C746" s="51" t="s">
        <v>258</v>
      </c>
      <c r="D746" s="49" t="s">
        <v>259</v>
      </c>
      <c r="E746" s="49" t="str">
        <f>B744&amp;C746</f>
        <v>New York-Kennedy, NYV</v>
      </c>
      <c r="F746" s="56">
        <v>12.5</v>
      </c>
      <c r="G746" s="56">
        <v>12.8</v>
      </c>
      <c r="H746" s="56">
        <v>12.8</v>
      </c>
      <c r="I746" s="56">
        <v>11.9</v>
      </c>
      <c r="J746" s="56">
        <v>10.5</v>
      </c>
      <c r="K746" s="56">
        <v>10.1</v>
      </c>
      <c r="L746" s="56">
        <v>9.8000000000000007</v>
      </c>
      <c r="M746" s="56">
        <v>9.4</v>
      </c>
      <c r="N746" s="56">
        <v>9.8000000000000007</v>
      </c>
      <c r="O746" s="56">
        <v>10.7</v>
      </c>
      <c r="P746" s="56">
        <v>11.4</v>
      </c>
      <c r="Q746" s="56">
        <v>12.8</v>
      </c>
      <c r="R746" s="57">
        <v>11.2</v>
      </c>
    </row>
    <row r="747" spans="2:18" ht="20.6" x14ac:dyDescent="0.4">
      <c r="B747" s="50"/>
      <c r="C747" s="51" t="s">
        <v>260</v>
      </c>
      <c r="D747" s="49" t="s">
        <v>261</v>
      </c>
      <c r="E747" s="49" t="str">
        <f>B744&amp;C747</f>
        <v>New York-Kennedy, NYI</v>
      </c>
      <c r="F747" s="56">
        <v>588</v>
      </c>
      <c r="G747" s="56">
        <v>861</v>
      </c>
      <c r="H747" s="56">
        <v>1175</v>
      </c>
      <c r="I747" s="56">
        <v>1516</v>
      </c>
      <c r="J747" s="56">
        <v>1760</v>
      </c>
      <c r="K747" s="56">
        <v>1898</v>
      </c>
      <c r="L747" s="56">
        <v>1867</v>
      </c>
      <c r="M747" s="56">
        <v>1661</v>
      </c>
      <c r="N747" s="56">
        <v>1328</v>
      </c>
      <c r="O747" s="56">
        <v>969</v>
      </c>
      <c r="P747" s="56">
        <v>630</v>
      </c>
      <c r="Q747" s="56">
        <v>513</v>
      </c>
      <c r="R747" s="57">
        <v>1231</v>
      </c>
    </row>
    <row r="748" spans="2:18" ht="20.6" x14ac:dyDescent="0.4">
      <c r="B748" s="50"/>
      <c r="C748" s="51" t="s">
        <v>262</v>
      </c>
      <c r="D748" s="49" t="s">
        <v>263</v>
      </c>
      <c r="E748" s="49" t="str">
        <f>B744&amp;C748</f>
        <v>New York-Kennedy, NYPA</v>
      </c>
      <c r="F748" s="58" t="s">
        <v>506</v>
      </c>
      <c r="G748" s="58" t="s">
        <v>506</v>
      </c>
      <c r="H748" s="58" t="s">
        <v>506</v>
      </c>
      <c r="I748" s="58" t="s">
        <v>506</v>
      </c>
      <c r="J748" s="58" t="s">
        <v>506</v>
      </c>
      <c r="K748" s="58" t="s">
        <v>506</v>
      </c>
      <c r="L748" s="58" t="s">
        <v>506</v>
      </c>
      <c r="M748" s="58" t="s">
        <v>506</v>
      </c>
      <c r="N748" s="58" t="s">
        <v>506</v>
      </c>
      <c r="O748" s="58" t="s">
        <v>506</v>
      </c>
      <c r="P748" s="58" t="s">
        <v>506</v>
      </c>
      <c r="Q748" s="58" t="s">
        <v>506</v>
      </c>
      <c r="R748" s="57">
        <v>14.68</v>
      </c>
    </row>
    <row r="749" spans="2:18" x14ac:dyDescent="0.4">
      <c r="B749" s="48" t="s">
        <v>412</v>
      </c>
      <c r="C749" s="51" t="s">
        <v>255</v>
      </c>
      <c r="D749" s="49" t="s">
        <v>256</v>
      </c>
      <c r="E749" s="49" t="str">
        <f>B749&amp;C749</f>
        <v>Rochester, NYTAN</v>
      </c>
      <c r="F749" s="56">
        <v>18.7</v>
      </c>
      <c r="G749" s="56">
        <v>19.3</v>
      </c>
      <c r="H749" s="56">
        <v>26.4</v>
      </c>
      <c r="I749" s="56">
        <v>37.200000000000003</v>
      </c>
      <c r="J749" s="56">
        <v>47</v>
      </c>
      <c r="K749" s="56">
        <v>57.1</v>
      </c>
      <c r="L749" s="56">
        <v>61.2</v>
      </c>
      <c r="M749" s="56">
        <v>60.3</v>
      </c>
      <c r="N749" s="56">
        <v>52.7</v>
      </c>
      <c r="O749" s="56">
        <v>42.4</v>
      </c>
      <c r="P749" s="56">
        <v>33.700000000000003</v>
      </c>
      <c r="Q749" s="56">
        <v>24.4</v>
      </c>
      <c r="R749" s="57">
        <v>40</v>
      </c>
    </row>
    <row r="750" spans="2:18" x14ac:dyDescent="0.4">
      <c r="B750" s="50"/>
      <c r="C750" s="51" t="s">
        <v>257</v>
      </c>
      <c r="D750" s="49" t="s">
        <v>256</v>
      </c>
      <c r="E750" s="49" t="str">
        <f>B749&amp;C750</f>
        <v>Rochester, NYTAX</v>
      </c>
      <c r="F750" s="56">
        <v>31.9</v>
      </c>
      <c r="G750" s="56">
        <v>33.799999999999997</v>
      </c>
      <c r="H750" s="56">
        <v>42.1</v>
      </c>
      <c r="I750" s="56">
        <v>55.6</v>
      </c>
      <c r="J750" s="56">
        <v>67.099999999999994</v>
      </c>
      <c r="K750" s="56">
        <v>76.400000000000006</v>
      </c>
      <c r="L750" s="56">
        <v>80</v>
      </c>
      <c r="M750" s="56">
        <v>78.8</v>
      </c>
      <c r="N750" s="56">
        <v>71.5</v>
      </c>
      <c r="O750" s="56">
        <v>59.3</v>
      </c>
      <c r="P750" s="56">
        <v>47.7</v>
      </c>
      <c r="Q750" s="56">
        <v>36.6</v>
      </c>
      <c r="R750" s="57">
        <v>56.7</v>
      </c>
    </row>
    <row r="751" spans="2:18" x14ac:dyDescent="0.4">
      <c r="B751" s="50"/>
      <c r="C751" s="51" t="s">
        <v>258</v>
      </c>
      <c r="D751" s="49" t="s">
        <v>259</v>
      </c>
      <c r="E751" s="49" t="str">
        <f>B749&amp;C751</f>
        <v>Rochester, NYV</v>
      </c>
      <c r="F751" s="56">
        <v>10.7</v>
      </c>
      <c r="G751" s="56">
        <v>10.5</v>
      </c>
      <c r="H751" s="56">
        <v>10.3</v>
      </c>
      <c r="I751" s="56">
        <v>10.1</v>
      </c>
      <c r="J751" s="56">
        <v>8.9</v>
      </c>
      <c r="K751" s="56">
        <v>8.1</v>
      </c>
      <c r="L751" s="56">
        <v>7.8</v>
      </c>
      <c r="M751" s="56">
        <v>7.2</v>
      </c>
      <c r="N751" s="56">
        <v>7.6</v>
      </c>
      <c r="O751" s="56">
        <v>8.6999999999999993</v>
      </c>
      <c r="P751" s="56">
        <v>9.4</v>
      </c>
      <c r="Q751" s="56">
        <v>10.3</v>
      </c>
      <c r="R751" s="57">
        <v>9.1999999999999993</v>
      </c>
    </row>
    <row r="752" spans="2:18" x14ac:dyDescent="0.4">
      <c r="B752" s="50"/>
      <c r="C752" s="51" t="s">
        <v>260</v>
      </c>
      <c r="D752" s="49" t="s">
        <v>261</v>
      </c>
      <c r="E752" s="49" t="str">
        <f>B749&amp;C752</f>
        <v>Rochester, NYI</v>
      </c>
      <c r="F752" s="56">
        <v>463</v>
      </c>
      <c r="G752" s="56">
        <v>719</v>
      </c>
      <c r="H752" s="56">
        <v>1059</v>
      </c>
      <c r="I752" s="56">
        <v>1432</v>
      </c>
      <c r="J752" s="56">
        <v>1759</v>
      </c>
      <c r="K752" s="56">
        <v>1886</v>
      </c>
      <c r="L752" s="56">
        <v>1849</v>
      </c>
      <c r="M752" s="56">
        <v>1621</v>
      </c>
      <c r="N752" s="56">
        <v>1242</v>
      </c>
      <c r="O752" s="56">
        <v>788</v>
      </c>
      <c r="P752" s="56">
        <v>480</v>
      </c>
      <c r="Q752" s="56">
        <v>385</v>
      </c>
      <c r="R752" s="57">
        <v>1140</v>
      </c>
    </row>
    <row r="753" spans="2:18" x14ac:dyDescent="0.4">
      <c r="B753" s="50"/>
      <c r="C753" s="51" t="s">
        <v>262</v>
      </c>
      <c r="D753" s="49" t="s">
        <v>263</v>
      </c>
      <c r="E753" s="49" t="str">
        <f>B749&amp;C753</f>
        <v>Rochester, NYPA</v>
      </c>
      <c r="F753" s="58" t="s">
        <v>506</v>
      </c>
      <c r="G753" s="58" t="s">
        <v>506</v>
      </c>
      <c r="H753" s="58" t="s">
        <v>506</v>
      </c>
      <c r="I753" s="58" t="s">
        <v>506</v>
      </c>
      <c r="J753" s="58" t="s">
        <v>506</v>
      </c>
      <c r="K753" s="58" t="s">
        <v>506</v>
      </c>
      <c r="L753" s="58" t="s">
        <v>506</v>
      </c>
      <c r="M753" s="58" t="s">
        <v>506</v>
      </c>
      <c r="N753" s="58" t="s">
        <v>506</v>
      </c>
      <c r="O753" s="58" t="s">
        <v>506</v>
      </c>
      <c r="P753" s="58" t="s">
        <v>506</v>
      </c>
      <c r="Q753" s="58" t="s">
        <v>506</v>
      </c>
      <c r="R753" s="57">
        <v>14.37</v>
      </c>
    </row>
    <row r="754" spans="2:18" x14ac:dyDescent="0.4">
      <c r="B754" s="48" t="s">
        <v>413</v>
      </c>
      <c r="C754" s="51" t="s">
        <v>255</v>
      </c>
      <c r="D754" s="49" t="s">
        <v>256</v>
      </c>
      <c r="E754" s="49" t="str">
        <f>B754&amp;C754</f>
        <v>Syracuse, NYTAN</v>
      </c>
      <c r="F754" s="56">
        <v>17</v>
      </c>
      <c r="G754" s="56">
        <v>18</v>
      </c>
      <c r="H754" s="56">
        <v>25.7</v>
      </c>
      <c r="I754" s="56">
        <v>36.9</v>
      </c>
      <c r="J754" s="56">
        <v>47</v>
      </c>
      <c r="K754" s="56">
        <v>57.2</v>
      </c>
      <c r="L754" s="56">
        <v>61.7</v>
      </c>
      <c r="M754" s="56">
        <v>60.6</v>
      </c>
      <c r="N754" s="56">
        <v>52.7</v>
      </c>
      <c r="O754" s="56">
        <v>42.2</v>
      </c>
      <c r="P754" s="56">
        <v>33.5</v>
      </c>
      <c r="Q754" s="56">
        <v>23.4</v>
      </c>
      <c r="R754" s="57">
        <v>39.700000000000003</v>
      </c>
    </row>
    <row r="755" spans="2:18" x14ac:dyDescent="0.4">
      <c r="B755" s="50"/>
      <c r="C755" s="51" t="s">
        <v>257</v>
      </c>
      <c r="D755" s="49" t="s">
        <v>256</v>
      </c>
      <c r="E755" s="49" t="str">
        <f>B754&amp;C755</f>
        <v>Syracuse, NYTAX</v>
      </c>
      <c r="F755" s="56">
        <v>31.3</v>
      </c>
      <c r="G755" s="56">
        <v>33.200000000000003</v>
      </c>
      <c r="H755" s="56">
        <v>42.1</v>
      </c>
      <c r="I755" s="56">
        <v>56.5</v>
      </c>
      <c r="J755" s="56">
        <v>68</v>
      </c>
      <c r="K755" s="56">
        <v>77.099999999999994</v>
      </c>
      <c r="L755" s="56">
        <v>80.599999999999994</v>
      </c>
      <c r="M755" s="56">
        <v>79.7</v>
      </c>
      <c r="N755" s="56">
        <v>72</v>
      </c>
      <c r="O755" s="56">
        <v>59.4</v>
      </c>
      <c r="P755" s="56">
        <v>47.9</v>
      </c>
      <c r="Q755" s="56">
        <v>36.4</v>
      </c>
      <c r="R755" s="57">
        <v>57</v>
      </c>
    </row>
    <row r="756" spans="2:18" x14ac:dyDescent="0.4">
      <c r="B756" s="50"/>
      <c r="C756" s="51" t="s">
        <v>258</v>
      </c>
      <c r="D756" s="49" t="s">
        <v>259</v>
      </c>
      <c r="E756" s="49" t="str">
        <f>B754&amp;C756</f>
        <v>Syracuse, NYV</v>
      </c>
      <c r="F756" s="56">
        <v>9.8000000000000007</v>
      </c>
      <c r="G756" s="56">
        <v>9.6</v>
      </c>
      <c r="H756" s="56">
        <v>9.4</v>
      </c>
      <c r="I756" s="56">
        <v>9.1999999999999993</v>
      </c>
      <c r="J756" s="56">
        <v>8.1</v>
      </c>
      <c r="K756" s="56">
        <v>7.2</v>
      </c>
      <c r="L756" s="56">
        <v>7.2</v>
      </c>
      <c r="M756" s="56">
        <v>6.5</v>
      </c>
      <c r="N756" s="56">
        <v>7.2</v>
      </c>
      <c r="O756" s="56">
        <v>7.8</v>
      </c>
      <c r="P756" s="56">
        <v>8.6999999999999993</v>
      </c>
      <c r="Q756" s="56">
        <v>9.6</v>
      </c>
      <c r="R756" s="57">
        <v>8.3000000000000007</v>
      </c>
    </row>
    <row r="757" spans="2:18" x14ac:dyDescent="0.4">
      <c r="B757" s="50"/>
      <c r="C757" s="51" t="s">
        <v>260</v>
      </c>
      <c r="D757" s="49" t="s">
        <v>261</v>
      </c>
      <c r="E757" s="49" t="str">
        <f>B754&amp;C757</f>
        <v>Syracuse, NYI</v>
      </c>
      <c r="F757" s="56">
        <v>457</v>
      </c>
      <c r="G757" s="56">
        <v>685</v>
      </c>
      <c r="H757" s="56">
        <v>1033</v>
      </c>
      <c r="I757" s="56">
        <v>1468</v>
      </c>
      <c r="J757" s="56">
        <v>1797</v>
      </c>
      <c r="K757" s="56">
        <v>1896</v>
      </c>
      <c r="L757" s="56">
        <v>1884</v>
      </c>
      <c r="M757" s="56">
        <v>1651</v>
      </c>
      <c r="N757" s="56">
        <v>1246</v>
      </c>
      <c r="O757" s="56">
        <v>801</v>
      </c>
      <c r="P757" s="56">
        <v>472</v>
      </c>
      <c r="Q757" s="56">
        <v>380</v>
      </c>
      <c r="R757" s="57">
        <v>1147</v>
      </c>
    </row>
    <row r="758" spans="2:18" x14ac:dyDescent="0.4">
      <c r="B758" s="50"/>
      <c r="C758" s="51" t="s">
        <v>262</v>
      </c>
      <c r="D758" s="49" t="s">
        <v>263</v>
      </c>
      <c r="E758" s="49" t="str">
        <f>B754&amp;C758</f>
        <v>Syracuse, NYPA</v>
      </c>
      <c r="F758" s="58" t="s">
        <v>506</v>
      </c>
      <c r="G758" s="58" t="s">
        <v>506</v>
      </c>
      <c r="H758" s="58" t="s">
        <v>506</v>
      </c>
      <c r="I758" s="58" t="s">
        <v>506</v>
      </c>
      <c r="J758" s="58" t="s">
        <v>506</v>
      </c>
      <c r="K758" s="58" t="s">
        <v>506</v>
      </c>
      <c r="L758" s="58" t="s">
        <v>506</v>
      </c>
      <c r="M758" s="58" t="s">
        <v>506</v>
      </c>
      <c r="N758" s="58" t="s">
        <v>506</v>
      </c>
      <c r="O758" s="58" t="s">
        <v>506</v>
      </c>
      <c r="P758" s="58" t="s">
        <v>506</v>
      </c>
      <c r="Q758" s="58" t="s">
        <v>506</v>
      </c>
      <c r="R758" s="57">
        <v>14.47</v>
      </c>
    </row>
    <row r="759" spans="2:18" x14ac:dyDescent="0.4">
      <c r="B759" s="48" t="s">
        <v>414</v>
      </c>
      <c r="C759" s="51" t="s">
        <v>255</v>
      </c>
      <c r="D759" s="49" t="s">
        <v>256</v>
      </c>
      <c r="E759" s="49" t="str">
        <f>B759&amp;C759</f>
        <v>Asheville, NCTAN</v>
      </c>
      <c r="F759" s="56">
        <v>28.4</v>
      </c>
      <c r="G759" s="56">
        <v>30.3</v>
      </c>
      <c r="H759" s="56">
        <v>36.1</v>
      </c>
      <c r="I759" s="56">
        <v>44</v>
      </c>
      <c r="J759" s="56">
        <v>52.3</v>
      </c>
      <c r="K759" s="56">
        <v>60.3</v>
      </c>
      <c r="L759" s="56">
        <v>64</v>
      </c>
      <c r="M759" s="56">
        <v>63.5</v>
      </c>
      <c r="N759" s="56">
        <v>56.7</v>
      </c>
      <c r="O759" s="56">
        <v>45.2</v>
      </c>
      <c r="P759" s="56">
        <v>36</v>
      </c>
      <c r="Q759" s="56">
        <v>29.7</v>
      </c>
      <c r="R759" s="57">
        <v>45.6</v>
      </c>
    </row>
    <row r="760" spans="2:18" x14ac:dyDescent="0.4">
      <c r="B760" s="50"/>
      <c r="C760" s="51" t="s">
        <v>257</v>
      </c>
      <c r="D760" s="49" t="s">
        <v>256</v>
      </c>
      <c r="E760" s="49" t="str">
        <f>B759&amp;C760</f>
        <v>Asheville, NCTAX</v>
      </c>
      <c r="F760" s="56">
        <v>47.5</v>
      </c>
      <c r="G760" s="56">
        <v>50.3</v>
      </c>
      <c r="H760" s="56">
        <v>57.7</v>
      </c>
      <c r="I760" s="56">
        <v>67.3</v>
      </c>
      <c r="J760" s="56">
        <v>74</v>
      </c>
      <c r="K760" s="56">
        <v>80</v>
      </c>
      <c r="L760" s="56">
        <v>83</v>
      </c>
      <c r="M760" s="56">
        <v>82.1</v>
      </c>
      <c r="N760" s="56">
        <v>76.2</v>
      </c>
      <c r="O760" s="56">
        <v>67.400000000000006</v>
      </c>
      <c r="P760" s="56">
        <v>57.9</v>
      </c>
      <c r="Q760" s="56">
        <v>48.8</v>
      </c>
      <c r="R760" s="57">
        <v>66</v>
      </c>
    </row>
    <row r="761" spans="2:18" x14ac:dyDescent="0.4">
      <c r="B761" s="50"/>
      <c r="C761" s="51" t="s">
        <v>258</v>
      </c>
      <c r="D761" s="49" t="s">
        <v>259</v>
      </c>
      <c r="E761" s="49" t="str">
        <f>B759&amp;C761</f>
        <v>Asheville, NCV</v>
      </c>
      <c r="F761" s="56">
        <v>8.5</v>
      </c>
      <c r="G761" s="56">
        <v>8.3000000000000007</v>
      </c>
      <c r="H761" s="56">
        <v>8.3000000000000007</v>
      </c>
      <c r="I761" s="56">
        <v>7.6</v>
      </c>
      <c r="J761" s="56">
        <v>6</v>
      </c>
      <c r="K761" s="56">
        <v>4.9000000000000004</v>
      </c>
      <c r="L761" s="56">
        <v>4.7</v>
      </c>
      <c r="M761" s="56">
        <v>4.3</v>
      </c>
      <c r="N761" s="56">
        <v>4.7</v>
      </c>
      <c r="O761" s="56">
        <v>5.6</v>
      </c>
      <c r="P761" s="56">
        <v>6.9</v>
      </c>
      <c r="Q761" s="56">
        <v>7.6</v>
      </c>
      <c r="R761" s="57">
        <v>6.5</v>
      </c>
    </row>
    <row r="762" spans="2:18" x14ac:dyDescent="0.4">
      <c r="B762" s="50"/>
      <c r="C762" s="51" t="s">
        <v>260</v>
      </c>
      <c r="D762" s="49" t="s">
        <v>261</v>
      </c>
      <c r="E762" s="49" t="str">
        <f>B759&amp;C762</f>
        <v>Asheville, NCI</v>
      </c>
      <c r="F762" s="56">
        <v>802</v>
      </c>
      <c r="G762" s="56">
        <v>1054</v>
      </c>
      <c r="H762" s="56">
        <v>1361</v>
      </c>
      <c r="I762" s="56">
        <v>1697</v>
      </c>
      <c r="J762" s="56">
        <v>1862</v>
      </c>
      <c r="K762" s="56">
        <v>1887</v>
      </c>
      <c r="L762" s="56">
        <v>1872</v>
      </c>
      <c r="M762" s="56">
        <v>1723</v>
      </c>
      <c r="N762" s="56">
        <v>1455</v>
      </c>
      <c r="O762" s="56">
        <v>1186</v>
      </c>
      <c r="P762" s="56">
        <v>870</v>
      </c>
      <c r="Q762" s="56">
        <v>717</v>
      </c>
      <c r="R762" s="57">
        <v>1374</v>
      </c>
    </row>
    <row r="763" spans="2:18" x14ac:dyDescent="0.4">
      <c r="B763" s="50"/>
      <c r="C763" s="51" t="s">
        <v>262</v>
      </c>
      <c r="D763" s="49" t="s">
        <v>263</v>
      </c>
      <c r="E763" s="49" t="str">
        <f>B759&amp;C763</f>
        <v>Asheville, NCPA</v>
      </c>
      <c r="F763" s="58" t="s">
        <v>506</v>
      </c>
      <c r="G763" s="58" t="s">
        <v>506</v>
      </c>
      <c r="H763" s="58" t="s">
        <v>506</v>
      </c>
      <c r="I763" s="58" t="s">
        <v>506</v>
      </c>
      <c r="J763" s="58" t="s">
        <v>506</v>
      </c>
      <c r="K763" s="58" t="s">
        <v>506</v>
      </c>
      <c r="L763" s="58" t="s">
        <v>506</v>
      </c>
      <c r="M763" s="58" t="s">
        <v>506</v>
      </c>
      <c r="N763" s="58" t="s">
        <v>506</v>
      </c>
      <c r="O763" s="58" t="s">
        <v>506</v>
      </c>
      <c r="P763" s="58" t="s">
        <v>506</v>
      </c>
      <c r="Q763" s="58" t="s">
        <v>506</v>
      </c>
      <c r="R763" s="57">
        <v>13.6</v>
      </c>
    </row>
    <row r="764" spans="2:18" x14ac:dyDescent="0.4">
      <c r="B764" s="48" t="s">
        <v>415</v>
      </c>
      <c r="C764" s="51" t="s">
        <v>255</v>
      </c>
      <c r="D764" s="49" t="s">
        <v>256</v>
      </c>
      <c r="E764" s="49" t="str">
        <f>B764&amp;C764</f>
        <v>Charlotte, NCTAN</v>
      </c>
      <c r="F764" s="56">
        <v>33.1</v>
      </c>
      <c r="G764" s="56">
        <v>35.200000000000003</v>
      </c>
      <c r="H764" s="56">
        <v>41.9</v>
      </c>
      <c r="I764" s="56">
        <v>49.7</v>
      </c>
      <c r="J764" s="56">
        <v>58.4</v>
      </c>
      <c r="K764" s="56">
        <v>66.7</v>
      </c>
      <c r="L764" s="56">
        <v>70.099999999999994</v>
      </c>
      <c r="M764" s="56">
        <v>69.3</v>
      </c>
      <c r="N764" s="56">
        <v>62.7</v>
      </c>
      <c r="O764" s="56">
        <v>50.9</v>
      </c>
      <c r="P764" s="56">
        <v>41.2</v>
      </c>
      <c r="Q764" s="56">
        <v>34.299999999999997</v>
      </c>
      <c r="R764" s="57">
        <v>51.1</v>
      </c>
    </row>
    <row r="765" spans="2:18" x14ac:dyDescent="0.4">
      <c r="B765" s="50"/>
      <c r="C765" s="51" t="s">
        <v>257</v>
      </c>
      <c r="D765" s="49" t="s">
        <v>256</v>
      </c>
      <c r="E765" s="49" t="str">
        <f>B764&amp;C765</f>
        <v>Charlotte, NCTAX</v>
      </c>
      <c r="F765" s="56">
        <v>51.5</v>
      </c>
      <c r="G765" s="56">
        <v>55</v>
      </c>
      <c r="H765" s="56">
        <v>62.9</v>
      </c>
      <c r="I765" s="56">
        <v>71.900000000000006</v>
      </c>
      <c r="J765" s="56">
        <v>78.7</v>
      </c>
      <c r="K765" s="56">
        <v>85.5</v>
      </c>
      <c r="L765" s="56">
        <v>88.6</v>
      </c>
      <c r="M765" s="56">
        <v>87.4</v>
      </c>
      <c r="N765" s="56">
        <v>81.3</v>
      </c>
      <c r="O765" s="56">
        <v>71.8</v>
      </c>
      <c r="P765" s="56">
        <v>62.1</v>
      </c>
      <c r="Q765" s="56">
        <v>52.9</v>
      </c>
      <c r="R765" s="57">
        <v>70.8</v>
      </c>
    </row>
    <row r="766" spans="2:18" x14ac:dyDescent="0.4">
      <c r="B766" s="50"/>
      <c r="C766" s="51" t="s">
        <v>258</v>
      </c>
      <c r="D766" s="49" t="s">
        <v>259</v>
      </c>
      <c r="E766" s="49" t="str">
        <f>B764&amp;C766</f>
        <v>Charlotte, NCV</v>
      </c>
      <c r="F766" s="56">
        <v>6.5</v>
      </c>
      <c r="G766" s="56">
        <v>6.9</v>
      </c>
      <c r="H766" s="56">
        <v>7.6</v>
      </c>
      <c r="I766" s="56">
        <v>7.4</v>
      </c>
      <c r="J766" s="56">
        <v>6.7</v>
      </c>
      <c r="K766" s="56">
        <v>5.8</v>
      </c>
      <c r="L766" s="56">
        <v>5.6</v>
      </c>
      <c r="M766" s="56">
        <v>5.4</v>
      </c>
      <c r="N766" s="56">
        <v>6</v>
      </c>
      <c r="O766" s="56">
        <v>5.4</v>
      </c>
      <c r="P766" s="56">
        <v>5.8</v>
      </c>
      <c r="Q766" s="56">
        <v>6</v>
      </c>
      <c r="R766" s="57">
        <v>6.3</v>
      </c>
    </row>
    <row r="767" spans="2:18" x14ac:dyDescent="0.4">
      <c r="B767" s="50"/>
      <c r="C767" s="51" t="s">
        <v>260</v>
      </c>
      <c r="D767" s="49" t="s">
        <v>261</v>
      </c>
      <c r="E767" s="49" t="str">
        <f>B764&amp;C767</f>
        <v>Charlotte, NCI</v>
      </c>
      <c r="F767" s="56">
        <v>785</v>
      </c>
      <c r="G767" s="56">
        <v>1029</v>
      </c>
      <c r="H767" s="56">
        <v>1385</v>
      </c>
      <c r="I767" s="56">
        <v>1741</v>
      </c>
      <c r="J767" s="56">
        <v>1918</v>
      </c>
      <c r="K767" s="56">
        <v>1996</v>
      </c>
      <c r="L767" s="56">
        <v>1931</v>
      </c>
      <c r="M767" s="56">
        <v>1731</v>
      </c>
      <c r="N767" s="56">
        <v>1475</v>
      </c>
      <c r="O767" s="56">
        <v>1177</v>
      </c>
      <c r="P767" s="56">
        <v>866</v>
      </c>
      <c r="Q767" s="56">
        <v>707</v>
      </c>
      <c r="R767" s="57">
        <v>1395</v>
      </c>
    </row>
    <row r="768" spans="2:18" x14ac:dyDescent="0.4">
      <c r="B768" s="50"/>
      <c r="C768" s="51" t="s">
        <v>262</v>
      </c>
      <c r="D768" s="49" t="s">
        <v>263</v>
      </c>
      <c r="E768" s="49" t="str">
        <f>B764&amp;C768</f>
        <v>Charlotte, NCPA</v>
      </c>
      <c r="F768" s="58" t="s">
        <v>506</v>
      </c>
      <c r="G768" s="58" t="s">
        <v>506</v>
      </c>
      <c r="H768" s="58" t="s">
        <v>506</v>
      </c>
      <c r="I768" s="58" t="s">
        <v>506</v>
      </c>
      <c r="J768" s="58" t="s">
        <v>506</v>
      </c>
      <c r="K768" s="58" t="s">
        <v>506</v>
      </c>
      <c r="L768" s="58" t="s">
        <v>506</v>
      </c>
      <c r="M768" s="58" t="s">
        <v>506</v>
      </c>
      <c r="N768" s="58" t="s">
        <v>506</v>
      </c>
      <c r="O768" s="58" t="s">
        <v>506</v>
      </c>
      <c r="P768" s="58" t="s">
        <v>506</v>
      </c>
      <c r="Q768" s="58" t="s">
        <v>506</v>
      </c>
      <c r="R768" s="57">
        <v>14.32</v>
      </c>
    </row>
    <row r="769" spans="2:18" ht="20.6" x14ac:dyDescent="0.4">
      <c r="B769" s="48" t="s">
        <v>416</v>
      </c>
      <c r="C769" s="51" t="s">
        <v>255</v>
      </c>
      <c r="D769" s="49" t="s">
        <v>256</v>
      </c>
      <c r="E769" s="49" t="str">
        <f>B769&amp;C769</f>
        <v>Raleigh-Durham, NCTAN</v>
      </c>
      <c r="F769" s="56">
        <v>32.1</v>
      </c>
      <c r="G769" s="56">
        <v>33.799999999999997</v>
      </c>
      <c r="H769" s="56">
        <v>40.299999999999997</v>
      </c>
      <c r="I769" s="56">
        <v>48.6</v>
      </c>
      <c r="J769" s="56">
        <v>56.9</v>
      </c>
      <c r="K769" s="56">
        <v>66</v>
      </c>
      <c r="L769" s="56">
        <v>69.900000000000006</v>
      </c>
      <c r="M769" s="56">
        <v>68.7</v>
      </c>
      <c r="N769" s="56">
        <v>61.9</v>
      </c>
      <c r="O769" s="56">
        <v>49.7</v>
      </c>
      <c r="P769" s="56">
        <v>40.4</v>
      </c>
      <c r="Q769" s="56">
        <v>33.5</v>
      </c>
      <c r="R769" s="57">
        <v>50.2</v>
      </c>
    </row>
    <row r="770" spans="2:18" ht="20.6" x14ac:dyDescent="0.4">
      <c r="B770" s="50"/>
      <c r="C770" s="51" t="s">
        <v>257</v>
      </c>
      <c r="D770" s="49" t="s">
        <v>256</v>
      </c>
      <c r="E770" s="49" t="str">
        <f>B769&amp;C770</f>
        <v>Raleigh-Durham, NCTAX</v>
      </c>
      <c r="F770" s="56">
        <v>51</v>
      </c>
      <c r="G770" s="56">
        <v>54.2</v>
      </c>
      <c r="H770" s="56">
        <v>62.4</v>
      </c>
      <c r="I770" s="56">
        <v>71.599999999999994</v>
      </c>
      <c r="J770" s="56">
        <v>78.5</v>
      </c>
      <c r="K770" s="56">
        <v>85.9</v>
      </c>
      <c r="L770" s="56">
        <v>89.1</v>
      </c>
      <c r="M770" s="56">
        <v>87.7</v>
      </c>
      <c r="N770" s="56">
        <v>81.2</v>
      </c>
      <c r="O770" s="56">
        <v>71.7</v>
      </c>
      <c r="P770" s="56">
        <v>62.3</v>
      </c>
      <c r="Q770" s="56">
        <v>52.8</v>
      </c>
      <c r="R770" s="57">
        <v>70.7</v>
      </c>
    </row>
    <row r="771" spans="2:18" ht="20.6" x14ac:dyDescent="0.4">
      <c r="B771" s="50"/>
      <c r="C771" s="51" t="s">
        <v>258</v>
      </c>
      <c r="D771" s="49" t="s">
        <v>259</v>
      </c>
      <c r="E771" s="49" t="str">
        <f>B769&amp;C771</f>
        <v>Raleigh-Durham, NCV</v>
      </c>
      <c r="F771" s="56">
        <v>6.9</v>
      </c>
      <c r="G771" s="56">
        <v>6.9</v>
      </c>
      <c r="H771" s="56">
        <v>7.8</v>
      </c>
      <c r="I771" s="56">
        <v>7.8</v>
      </c>
      <c r="J771" s="56">
        <v>6.9</v>
      </c>
      <c r="K771" s="56">
        <v>6</v>
      </c>
      <c r="L771" s="56">
        <v>6</v>
      </c>
      <c r="M771" s="56">
        <v>5.4</v>
      </c>
      <c r="N771" s="56">
        <v>5.8</v>
      </c>
      <c r="O771" s="56">
        <v>5.0999999999999996</v>
      </c>
      <c r="P771" s="56">
        <v>5.6</v>
      </c>
      <c r="Q771" s="56">
        <v>6</v>
      </c>
      <c r="R771" s="57">
        <v>6.5</v>
      </c>
    </row>
    <row r="772" spans="2:18" x14ac:dyDescent="0.4">
      <c r="B772" s="50"/>
      <c r="C772" s="51" t="s">
        <v>260</v>
      </c>
      <c r="D772" s="49" t="s">
        <v>261</v>
      </c>
      <c r="E772" s="49" t="str">
        <f>B769&amp;C772</f>
        <v>Raleigh-Durham, NCI</v>
      </c>
      <c r="F772" s="56">
        <v>771</v>
      </c>
      <c r="G772" s="56">
        <v>1029</v>
      </c>
      <c r="H772" s="56">
        <v>1359</v>
      </c>
      <c r="I772" s="56">
        <v>1725</v>
      </c>
      <c r="J772" s="56">
        <v>1911</v>
      </c>
      <c r="K772" s="56">
        <v>1969</v>
      </c>
      <c r="L772" s="56">
        <v>1931</v>
      </c>
      <c r="M772" s="56">
        <v>1744</v>
      </c>
      <c r="N772" s="56">
        <v>1435</v>
      </c>
      <c r="O772" s="56">
        <v>1155</v>
      </c>
      <c r="P772" s="56">
        <v>853</v>
      </c>
      <c r="Q772" s="56">
        <v>699</v>
      </c>
      <c r="R772" s="57">
        <v>1382</v>
      </c>
    </row>
    <row r="773" spans="2:18" ht="20.6" x14ac:dyDescent="0.4">
      <c r="B773" s="50"/>
      <c r="C773" s="51" t="s">
        <v>262</v>
      </c>
      <c r="D773" s="49" t="s">
        <v>263</v>
      </c>
      <c r="E773" s="49" t="str">
        <f>B769&amp;C773</f>
        <v>Raleigh-Durham, NCPA</v>
      </c>
      <c r="F773" s="58" t="s">
        <v>506</v>
      </c>
      <c r="G773" s="58" t="s">
        <v>506</v>
      </c>
      <c r="H773" s="58" t="s">
        <v>506</v>
      </c>
      <c r="I773" s="58" t="s">
        <v>506</v>
      </c>
      <c r="J773" s="58" t="s">
        <v>506</v>
      </c>
      <c r="K773" s="58" t="s">
        <v>506</v>
      </c>
      <c r="L773" s="58" t="s">
        <v>506</v>
      </c>
      <c r="M773" s="58" t="s">
        <v>506</v>
      </c>
      <c r="N773" s="58" t="s">
        <v>506</v>
      </c>
      <c r="O773" s="58" t="s">
        <v>506</v>
      </c>
      <c r="P773" s="58" t="s">
        <v>506</v>
      </c>
      <c r="Q773" s="58" t="s">
        <v>506</v>
      </c>
      <c r="R773" s="57">
        <v>14.47</v>
      </c>
    </row>
    <row r="774" spans="2:18" x14ac:dyDescent="0.4">
      <c r="B774" s="48" t="s">
        <v>417</v>
      </c>
      <c r="C774" s="51" t="s">
        <v>255</v>
      </c>
      <c r="D774" s="49" t="s">
        <v>256</v>
      </c>
      <c r="E774" s="49" t="str">
        <f>B774&amp;C774</f>
        <v>Greensboro, NCTAN</v>
      </c>
      <c r="F774" s="56">
        <v>30.9</v>
      </c>
      <c r="G774" s="56">
        <v>32.700000000000003</v>
      </c>
      <c r="H774" s="56">
        <v>39.700000000000003</v>
      </c>
      <c r="I774" s="56">
        <v>48.1</v>
      </c>
      <c r="J774" s="56">
        <v>56.7</v>
      </c>
      <c r="K774" s="56">
        <v>65.599999999999994</v>
      </c>
      <c r="L774" s="56">
        <v>69.3</v>
      </c>
      <c r="M774" s="56">
        <v>68.2</v>
      </c>
      <c r="N774" s="56">
        <v>61.1</v>
      </c>
      <c r="O774" s="56">
        <v>49.3</v>
      </c>
      <c r="P774" s="56">
        <v>39.799999999999997</v>
      </c>
      <c r="Q774" s="56">
        <v>32.5</v>
      </c>
      <c r="R774" s="57">
        <v>49.5</v>
      </c>
    </row>
    <row r="775" spans="2:18" x14ac:dyDescent="0.4">
      <c r="B775" s="50"/>
      <c r="C775" s="51" t="s">
        <v>257</v>
      </c>
      <c r="D775" s="49" t="s">
        <v>256</v>
      </c>
      <c r="E775" s="49" t="str">
        <f>B774&amp;C775</f>
        <v>Greensboro, NCTAX</v>
      </c>
      <c r="F775" s="56">
        <v>48.4</v>
      </c>
      <c r="G775" s="56">
        <v>51.7</v>
      </c>
      <c r="H775" s="56">
        <v>60</v>
      </c>
      <c r="I775" s="56">
        <v>69.7</v>
      </c>
      <c r="J775" s="56">
        <v>76.5</v>
      </c>
      <c r="K775" s="56">
        <v>83.7</v>
      </c>
      <c r="L775" s="56">
        <v>86.8</v>
      </c>
      <c r="M775" s="56">
        <v>85.6</v>
      </c>
      <c r="N775" s="56">
        <v>79</v>
      </c>
      <c r="O775" s="56">
        <v>69.599999999999994</v>
      </c>
      <c r="P775" s="56">
        <v>59.8</v>
      </c>
      <c r="Q775" s="56">
        <v>50.1</v>
      </c>
      <c r="R775" s="57">
        <v>68.400000000000006</v>
      </c>
    </row>
    <row r="776" spans="2:18" x14ac:dyDescent="0.4">
      <c r="B776" s="50"/>
      <c r="C776" s="51" t="s">
        <v>258</v>
      </c>
      <c r="D776" s="49" t="s">
        <v>259</v>
      </c>
      <c r="E776" s="49" t="str">
        <f>B774&amp;C776</f>
        <v>Greensboro, NCV</v>
      </c>
      <c r="F776" s="56">
        <v>8.1</v>
      </c>
      <c r="G776" s="56">
        <v>8.1</v>
      </c>
      <c r="H776" s="56">
        <v>8.6999999999999993</v>
      </c>
      <c r="I776" s="56">
        <v>8.6999999999999993</v>
      </c>
      <c r="J776" s="56">
        <v>7.6</v>
      </c>
      <c r="K776" s="56">
        <v>6.7</v>
      </c>
      <c r="L776" s="56">
        <v>6.3</v>
      </c>
      <c r="M776" s="56">
        <v>5.8</v>
      </c>
      <c r="N776" s="56">
        <v>6.3</v>
      </c>
      <c r="O776" s="56">
        <v>6.3</v>
      </c>
      <c r="P776" s="56">
        <v>6.7</v>
      </c>
      <c r="Q776" s="56">
        <v>6.9</v>
      </c>
      <c r="R776" s="57">
        <v>7.2</v>
      </c>
    </row>
    <row r="777" spans="2:18" x14ac:dyDescent="0.4">
      <c r="B777" s="50"/>
      <c r="C777" s="51" t="s">
        <v>260</v>
      </c>
      <c r="D777" s="49" t="s">
        <v>261</v>
      </c>
      <c r="E777" s="49" t="str">
        <f>B774&amp;C777</f>
        <v>Greensboro, NCI</v>
      </c>
      <c r="F777" s="56">
        <v>758</v>
      </c>
      <c r="G777" s="56">
        <v>1023</v>
      </c>
      <c r="H777" s="56">
        <v>1354</v>
      </c>
      <c r="I777" s="56">
        <v>1701</v>
      </c>
      <c r="J777" s="56">
        <v>1875</v>
      </c>
      <c r="K777" s="56">
        <v>1956</v>
      </c>
      <c r="L777" s="56">
        <v>1912</v>
      </c>
      <c r="M777" s="56">
        <v>1717</v>
      </c>
      <c r="N777" s="56">
        <v>1418</v>
      </c>
      <c r="O777" s="56">
        <v>1146</v>
      </c>
      <c r="P777" s="56">
        <v>851</v>
      </c>
      <c r="Q777" s="56">
        <v>692</v>
      </c>
      <c r="R777" s="57">
        <v>1367</v>
      </c>
    </row>
    <row r="778" spans="2:18" x14ac:dyDescent="0.4">
      <c r="B778" s="50"/>
      <c r="C778" s="51" t="s">
        <v>262</v>
      </c>
      <c r="D778" s="49" t="s">
        <v>263</v>
      </c>
      <c r="E778" s="49" t="str">
        <f>B774&amp;C778</f>
        <v>Greensboro, NCPA</v>
      </c>
      <c r="F778" s="58" t="s">
        <v>506</v>
      </c>
      <c r="G778" s="58" t="s">
        <v>506</v>
      </c>
      <c r="H778" s="58" t="s">
        <v>506</v>
      </c>
      <c r="I778" s="58" t="s">
        <v>506</v>
      </c>
      <c r="J778" s="58" t="s">
        <v>506</v>
      </c>
      <c r="K778" s="58" t="s">
        <v>506</v>
      </c>
      <c r="L778" s="58" t="s">
        <v>506</v>
      </c>
      <c r="M778" s="58" t="s">
        <v>506</v>
      </c>
      <c r="N778" s="58" t="s">
        <v>506</v>
      </c>
      <c r="O778" s="58" t="s">
        <v>506</v>
      </c>
      <c r="P778" s="58" t="s">
        <v>506</v>
      </c>
      <c r="Q778" s="58" t="s">
        <v>506</v>
      </c>
      <c r="R778" s="57">
        <v>14.23</v>
      </c>
    </row>
    <row r="779" spans="2:18" x14ac:dyDescent="0.4">
      <c r="B779" s="48" t="s">
        <v>418</v>
      </c>
      <c r="C779" s="51" t="s">
        <v>255</v>
      </c>
      <c r="D779" s="49" t="s">
        <v>256</v>
      </c>
      <c r="E779" s="49" t="str">
        <f>B779&amp;C779</f>
        <v>Wilmington, NCTAN</v>
      </c>
      <c r="F779" s="56">
        <v>36.9</v>
      </c>
      <c r="G779" s="56">
        <v>38</v>
      </c>
      <c r="H779" s="56">
        <v>44.2</v>
      </c>
      <c r="I779" s="56">
        <v>52.5</v>
      </c>
      <c r="J779" s="56">
        <v>60.7</v>
      </c>
      <c r="K779" s="56">
        <v>69.2</v>
      </c>
      <c r="L779" s="56">
        <v>73</v>
      </c>
      <c r="M779" s="56">
        <v>71.5</v>
      </c>
      <c r="N779" s="56">
        <v>66.2</v>
      </c>
      <c r="O779" s="56">
        <v>55.1</v>
      </c>
      <c r="P779" s="56">
        <v>45.3</v>
      </c>
      <c r="Q779" s="56">
        <v>38.1</v>
      </c>
      <c r="R779" s="57">
        <v>54.2</v>
      </c>
    </row>
    <row r="780" spans="2:18" x14ac:dyDescent="0.4">
      <c r="B780" s="50"/>
      <c r="C780" s="51" t="s">
        <v>257</v>
      </c>
      <c r="D780" s="49" t="s">
        <v>256</v>
      </c>
      <c r="E780" s="49" t="str">
        <f>B779&amp;C780</f>
        <v>Wilmington, NCTAX</v>
      </c>
      <c r="F780" s="56">
        <v>56.3</v>
      </c>
      <c r="G780" s="56">
        <v>58.8</v>
      </c>
      <c r="H780" s="56">
        <v>65.5</v>
      </c>
      <c r="I780" s="56">
        <v>73.7</v>
      </c>
      <c r="J780" s="56">
        <v>79.7</v>
      </c>
      <c r="K780" s="56">
        <v>85.7</v>
      </c>
      <c r="L780" s="56">
        <v>88.7</v>
      </c>
      <c r="M780" s="56">
        <v>87.2</v>
      </c>
      <c r="N780" s="56">
        <v>82.6</v>
      </c>
      <c r="O780" s="56">
        <v>74.8</v>
      </c>
      <c r="P780" s="56">
        <v>66.7</v>
      </c>
      <c r="Q780" s="56">
        <v>58.4</v>
      </c>
      <c r="R780" s="57">
        <v>73.2</v>
      </c>
    </row>
    <row r="781" spans="2:18" x14ac:dyDescent="0.4">
      <c r="B781" s="50"/>
      <c r="C781" s="51" t="s">
        <v>258</v>
      </c>
      <c r="D781" s="49" t="s">
        <v>259</v>
      </c>
      <c r="E781" s="49" t="str">
        <f>B779&amp;C781</f>
        <v>Wilmington, NCV</v>
      </c>
      <c r="F781" s="56">
        <v>8.1</v>
      </c>
      <c r="G781" s="56">
        <v>8.3000000000000007</v>
      </c>
      <c r="H781" s="56">
        <v>8.9</v>
      </c>
      <c r="I781" s="56">
        <v>9.1999999999999993</v>
      </c>
      <c r="J781" s="56">
        <v>8.3000000000000007</v>
      </c>
      <c r="K781" s="56">
        <v>7.4</v>
      </c>
      <c r="L781" s="56">
        <v>6.9</v>
      </c>
      <c r="M781" s="56">
        <v>6.5</v>
      </c>
      <c r="N781" s="56">
        <v>7.2</v>
      </c>
      <c r="O781" s="56">
        <v>6.5</v>
      </c>
      <c r="P781" s="56">
        <v>6.9</v>
      </c>
      <c r="Q781" s="56">
        <v>7.4</v>
      </c>
      <c r="R781" s="57">
        <v>7.6</v>
      </c>
    </row>
    <row r="782" spans="2:18" x14ac:dyDescent="0.4">
      <c r="B782" s="50"/>
      <c r="C782" s="51" t="s">
        <v>260</v>
      </c>
      <c r="D782" s="49" t="s">
        <v>261</v>
      </c>
      <c r="E782" s="49" t="str">
        <f>B779&amp;C782</f>
        <v>Wilmington, NCI</v>
      </c>
      <c r="F782" s="56">
        <v>811</v>
      </c>
      <c r="G782" s="56">
        <v>1068</v>
      </c>
      <c r="H782" s="56">
        <v>1426</v>
      </c>
      <c r="I782" s="56">
        <v>1808</v>
      </c>
      <c r="J782" s="56">
        <v>1938</v>
      </c>
      <c r="K782" s="56">
        <v>1942</v>
      </c>
      <c r="L782" s="56">
        <v>1917</v>
      </c>
      <c r="M782" s="56">
        <v>1722</v>
      </c>
      <c r="N782" s="56">
        <v>1405</v>
      </c>
      <c r="O782" s="56">
        <v>1178</v>
      </c>
      <c r="P782" s="56">
        <v>910</v>
      </c>
      <c r="Q782" s="56">
        <v>747</v>
      </c>
      <c r="R782" s="57">
        <v>1406</v>
      </c>
    </row>
    <row r="783" spans="2:18" x14ac:dyDescent="0.4">
      <c r="B783" s="50"/>
      <c r="C783" s="51" t="s">
        <v>262</v>
      </c>
      <c r="D783" s="49" t="s">
        <v>263</v>
      </c>
      <c r="E783" s="49" t="str">
        <f>B779&amp;C783</f>
        <v>Wilmington, NCPA</v>
      </c>
      <c r="F783" s="58" t="s">
        <v>506</v>
      </c>
      <c r="G783" s="58" t="s">
        <v>506</v>
      </c>
      <c r="H783" s="58" t="s">
        <v>506</v>
      </c>
      <c r="I783" s="58" t="s">
        <v>506</v>
      </c>
      <c r="J783" s="58" t="s">
        <v>506</v>
      </c>
      <c r="K783" s="58" t="s">
        <v>506</v>
      </c>
      <c r="L783" s="58" t="s">
        <v>506</v>
      </c>
      <c r="M783" s="58" t="s">
        <v>506</v>
      </c>
      <c r="N783" s="58" t="s">
        <v>506</v>
      </c>
      <c r="O783" s="58" t="s">
        <v>506</v>
      </c>
      <c r="P783" s="58" t="s">
        <v>506</v>
      </c>
      <c r="Q783" s="58" t="s">
        <v>506</v>
      </c>
      <c r="R783" s="57">
        <v>14.68</v>
      </c>
    </row>
    <row r="784" spans="2:18" x14ac:dyDescent="0.4">
      <c r="B784" s="48" t="s">
        <v>419</v>
      </c>
      <c r="C784" s="51" t="s">
        <v>255</v>
      </c>
      <c r="D784" s="49" t="s">
        <v>256</v>
      </c>
      <c r="E784" s="49" t="str">
        <f>B784&amp;C784</f>
        <v>Bismarck, NDTAN</v>
      </c>
      <c r="F784" s="56">
        <v>2.1</v>
      </c>
      <c r="G784" s="56">
        <v>8.4</v>
      </c>
      <c r="H784" s="56">
        <v>19.3</v>
      </c>
      <c r="I784" s="56">
        <v>31.3</v>
      </c>
      <c r="J784" s="56">
        <v>43</v>
      </c>
      <c r="K784" s="56">
        <v>52.9</v>
      </c>
      <c r="L784" s="56">
        <v>57.8</v>
      </c>
      <c r="M784" s="56">
        <v>56.1</v>
      </c>
      <c r="N784" s="56">
        <v>46.1</v>
      </c>
      <c r="O784" s="56">
        <v>33.1</v>
      </c>
      <c r="P784" s="56">
        <v>20</v>
      </c>
      <c r="Q784" s="56">
        <v>8.4</v>
      </c>
      <c r="R784" s="57">
        <v>31.5</v>
      </c>
    </row>
    <row r="785" spans="2:18" x14ac:dyDescent="0.4">
      <c r="B785" s="50"/>
      <c r="C785" s="51" t="s">
        <v>257</v>
      </c>
      <c r="D785" s="49" t="s">
        <v>256</v>
      </c>
      <c r="E785" s="49" t="str">
        <f>B784&amp;C785</f>
        <v>Bismarck, NDTAX</v>
      </c>
      <c r="F785" s="56">
        <v>21.6</v>
      </c>
      <c r="G785" s="56">
        <v>27.6</v>
      </c>
      <c r="H785" s="56">
        <v>39.9</v>
      </c>
      <c r="I785" s="56">
        <v>55.9</v>
      </c>
      <c r="J785" s="56">
        <v>67.3</v>
      </c>
      <c r="K785" s="56">
        <v>76.2</v>
      </c>
      <c r="L785" s="56">
        <v>83.4</v>
      </c>
      <c r="M785" s="56">
        <v>83</v>
      </c>
      <c r="N785" s="56">
        <v>72.3</v>
      </c>
      <c r="O785" s="56">
        <v>56.7</v>
      </c>
      <c r="P785" s="56">
        <v>39.5</v>
      </c>
      <c r="Q785" s="56">
        <v>26.8</v>
      </c>
      <c r="R785" s="57">
        <v>54.2</v>
      </c>
    </row>
    <row r="786" spans="2:18" x14ac:dyDescent="0.4">
      <c r="B786" s="50"/>
      <c r="C786" s="51" t="s">
        <v>258</v>
      </c>
      <c r="D786" s="49" t="s">
        <v>259</v>
      </c>
      <c r="E786" s="49" t="str">
        <f>B784&amp;C786</f>
        <v>Bismarck, NDV</v>
      </c>
      <c r="F786" s="56">
        <v>8.9</v>
      </c>
      <c r="G786" s="56">
        <v>9.1999999999999993</v>
      </c>
      <c r="H786" s="56">
        <v>10.1</v>
      </c>
      <c r="I786" s="56">
        <v>10.7</v>
      </c>
      <c r="J786" s="56">
        <v>10.7</v>
      </c>
      <c r="K786" s="56">
        <v>9.6</v>
      </c>
      <c r="L786" s="56">
        <v>8.6999999999999993</v>
      </c>
      <c r="M786" s="56">
        <v>8.9</v>
      </c>
      <c r="N786" s="56">
        <v>9.1999999999999993</v>
      </c>
      <c r="O786" s="56">
        <v>9.4</v>
      </c>
      <c r="P786" s="56">
        <v>8.9</v>
      </c>
      <c r="Q786" s="56">
        <v>9.1999999999999993</v>
      </c>
      <c r="R786" s="57">
        <v>9.4</v>
      </c>
    </row>
    <row r="787" spans="2:18" x14ac:dyDescent="0.4">
      <c r="B787" s="50"/>
      <c r="C787" s="51" t="s">
        <v>260</v>
      </c>
      <c r="D787" s="49" t="s">
        <v>261</v>
      </c>
      <c r="E787" s="49" t="str">
        <f>B784&amp;C787</f>
        <v>Bismarck, NDI</v>
      </c>
      <c r="F787" s="56">
        <v>411</v>
      </c>
      <c r="G787" s="56">
        <v>666</v>
      </c>
      <c r="H787" s="56">
        <v>1092</v>
      </c>
      <c r="I787" s="56">
        <v>1523</v>
      </c>
      <c r="J787" s="56">
        <v>1811</v>
      </c>
      <c r="K787" s="56">
        <v>1994</v>
      </c>
      <c r="L787" s="56">
        <v>2092</v>
      </c>
      <c r="M787" s="56">
        <v>1798</v>
      </c>
      <c r="N787" s="56">
        <v>1335</v>
      </c>
      <c r="O787" s="56">
        <v>859</v>
      </c>
      <c r="P787" s="56">
        <v>488</v>
      </c>
      <c r="Q787" s="56">
        <v>348</v>
      </c>
      <c r="R787" s="57">
        <v>1201</v>
      </c>
    </row>
    <row r="788" spans="2:18" x14ac:dyDescent="0.4">
      <c r="B788" s="50"/>
      <c r="C788" s="51" t="s">
        <v>262</v>
      </c>
      <c r="D788" s="49" t="s">
        <v>263</v>
      </c>
      <c r="E788" s="49" t="str">
        <f>B784&amp;C788</f>
        <v>Bismarck, NDPA</v>
      </c>
      <c r="F788" s="58" t="s">
        <v>506</v>
      </c>
      <c r="G788" s="58" t="s">
        <v>506</v>
      </c>
      <c r="H788" s="58" t="s">
        <v>506</v>
      </c>
      <c r="I788" s="58" t="s">
        <v>506</v>
      </c>
      <c r="J788" s="58" t="s">
        <v>506</v>
      </c>
      <c r="K788" s="58" t="s">
        <v>506</v>
      </c>
      <c r="L788" s="58" t="s">
        <v>506</v>
      </c>
      <c r="M788" s="58" t="s">
        <v>506</v>
      </c>
      <c r="N788" s="58" t="s">
        <v>506</v>
      </c>
      <c r="O788" s="58" t="s">
        <v>506</v>
      </c>
      <c r="P788" s="58" t="s">
        <v>506</v>
      </c>
      <c r="Q788" s="58" t="s">
        <v>506</v>
      </c>
      <c r="R788" s="57">
        <v>13.85</v>
      </c>
    </row>
    <row r="789" spans="2:18" x14ac:dyDescent="0.4">
      <c r="B789" s="48" t="s">
        <v>420</v>
      </c>
      <c r="C789" s="51" t="s">
        <v>255</v>
      </c>
      <c r="D789" s="49" t="s">
        <v>256</v>
      </c>
      <c r="E789" s="49" t="str">
        <f>B789&amp;C789</f>
        <v>Fargo, NDTAN</v>
      </c>
      <c r="F789" s="56">
        <v>0.3</v>
      </c>
      <c r="G789" s="56">
        <v>5.7</v>
      </c>
      <c r="H789" s="56">
        <v>19.3</v>
      </c>
      <c r="I789" s="56">
        <v>33.5</v>
      </c>
      <c r="J789" s="56">
        <v>45.3</v>
      </c>
      <c r="K789" s="56">
        <v>56</v>
      </c>
      <c r="L789" s="56">
        <v>59.6</v>
      </c>
      <c r="M789" s="56">
        <v>57.8</v>
      </c>
      <c r="N789" s="56">
        <v>48.6</v>
      </c>
      <c r="O789" s="56">
        <v>36.1</v>
      </c>
      <c r="P789" s="56">
        <v>21.6</v>
      </c>
      <c r="Q789" s="56">
        <v>7.9</v>
      </c>
      <c r="R789" s="57">
        <v>32.6</v>
      </c>
    </row>
    <row r="790" spans="2:18" x14ac:dyDescent="0.4">
      <c r="B790" s="50"/>
      <c r="C790" s="51" t="s">
        <v>257</v>
      </c>
      <c r="D790" s="49" t="s">
        <v>256</v>
      </c>
      <c r="E790" s="49" t="str">
        <f>B789&amp;C790</f>
        <v>Fargo, NDTAX</v>
      </c>
      <c r="F790" s="56">
        <v>16.7</v>
      </c>
      <c r="G790" s="56">
        <v>22.7</v>
      </c>
      <c r="H790" s="56">
        <v>35.200000000000003</v>
      </c>
      <c r="I790" s="56">
        <v>54.3</v>
      </c>
      <c r="J790" s="56">
        <v>67.599999999999994</v>
      </c>
      <c r="K790" s="56">
        <v>76.3</v>
      </c>
      <c r="L790" s="56">
        <v>80.5</v>
      </c>
      <c r="M790" s="56">
        <v>80</v>
      </c>
      <c r="N790" s="56">
        <v>70.8</v>
      </c>
      <c r="O790" s="56">
        <v>55.2</v>
      </c>
      <c r="P790" s="56">
        <v>37.1</v>
      </c>
      <c r="Q790" s="56">
        <v>22.7</v>
      </c>
      <c r="R790" s="57">
        <v>51.6</v>
      </c>
    </row>
    <row r="791" spans="2:18" x14ac:dyDescent="0.4">
      <c r="B791" s="50"/>
      <c r="C791" s="51" t="s">
        <v>258</v>
      </c>
      <c r="D791" s="49" t="s">
        <v>259</v>
      </c>
      <c r="E791" s="49" t="str">
        <f>B789&amp;C791</f>
        <v>Fargo, NDV</v>
      </c>
      <c r="F791" s="56">
        <v>11</v>
      </c>
      <c r="G791" s="56">
        <v>11.4</v>
      </c>
      <c r="H791" s="56">
        <v>12.1</v>
      </c>
      <c r="I791" s="56">
        <v>12.3</v>
      </c>
      <c r="J791" s="56">
        <v>12.3</v>
      </c>
      <c r="K791" s="56">
        <v>10.3</v>
      </c>
      <c r="L791" s="56">
        <v>9.1999999999999993</v>
      </c>
      <c r="M791" s="56">
        <v>9.6</v>
      </c>
      <c r="N791" s="56">
        <v>10.5</v>
      </c>
      <c r="O791" s="56">
        <v>11.4</v>
      </c>
      <c r="P791" s="56">
        <v>11.4</v>
      </c>
      <c r="Q791" s="56">
        <v>11.2</v>
      </c>
      <c r="R791" s="57">
        <v>11</v>
      </c>
    </row>
    <row r="792" spans="2:18" x14ac:dyDescent="0.4">
      <c r="B792" s="50"/>
      <c r="C792" s="51" t="s">
        <v>260</v>
      </c>
      <c r="D792" s="49" t="s">
        <v>261</v>
      </c>
      <c r="E792" s="49" t="str">
        <f>B789&amp;C792</f>
        <v>Fargo, NDI</v>
      </c>
      <c r="F792" s="56">
        <v>383</v>
      </c>
      <c r="G792" s="56">
        <v>606</v>
      </c>
      <c r="H792" s="56">
        <v>1023</v>
      </c>
      <c r="I792" s="56">
        <v>1562</v>
      </c>
      <c r="J792" s="56">
        <v>1804</v>
      </c>
      <c r="K792" s="56">
        <v>1914</v>
      </c>
      <c r="L792" s="56">
        <v>1984</v>
      </c>
      <c r="M792" s="56">
        <v>1716</v>
      </c>
      <c r="N792" s="56">
        <v>1261</v>
      </c>
      <c r="O792" s="56">
        <v>785</v>
      </c>
      <c r="P792" s="56">
        <v>445</v>
      </c>
      <c r="Q792" s="56">
        <v>313</v>
      </c>
      <c r="R792" s="57">
        <v>1149</v>
      </c>
    </row>
    <row r="793" spans="2:18" x14ac:dyDescent="0.4">
      <c r="B793" s="50"/>
      <c r="C793" s="51" t="s">
        <v>262</v>
      </c>
      <c r="D793" s="49" t="s">
        <v>263</v>
      </c>
      <c r="E793" s="49" t="str">
        <f>B789&amp;C793</f>
        <v>Fargo, NDPA</v>
      </c>
      <c r="F793" s="58" t="s">
        <v>506</v>
      </c>
      <c r="G793" s="58" t="s">
        <v>506</v>
      </c>
      <c r="H793" s="58" t="s">
        <v>506</v>
      </c>
      <c r="I793" s="58" t="s">
        <v>506</v>
      </c>
      <c r="J793" s="58" t="s">
        <v>506</v>
      </c>
      <c r="K793" s="58" t="s">
        <v>506</v>
      </c>
      <c r="L793" s="58" t="s">
        <v>506</v>
      </c>
      <c r="M793" s="58" t="s">
        <v>506</v>
      </c>
      <c r="N793" s="58" t="s">
        <v>506</v>
      </c>
      <c r="O793" s="58" t="s">
        <v>506</v>
      </c>
      <c r="P793" s="58" t="s">
        <v>506</v>
      </c>
      <c r="Q793" s="58" t="s">
        <v>506</v>
      </c>
      <c r="R793" s="57">
        <v>14.23</v>
      </c>
    </row>
    <row r="794" spans="2:18" x14ac:dyDescent="0.4">
      <c r="B794" s="48" t="s">
        <v>421</v>
      </c>
      <c r="C794" s="51" t="s">
        <v>255</v>
      </c>
      <c r="D794" s="49" t="s">
        <v>256</v>
      </c>
      <c r="E794" s="49" t="str">
        <f>B794&amp;C794</f>
        <v>Minot, NDTAN</v>
      </c>
      <c r="F794" s="56">
        <v>3.5</v>
      </c>
      <c r="G794" s="56">
        <v>8.8000000000000007</v>
      </c>
      <c r="H794" s="56">
        <v>19.3</v>
      </c>
      <c r="I794" s="56">
        <v>32.1</v>
      </c>
      <c r="J794" s="56">
        <v>43.3</v>
      </c>
      <c r="K794" s="56">
        <v>53.4</v>
      </c>
      <c r="L794" s="56">
        <v>58.2</v>
      </c>
      <c r="M794" s="56">
        <v>56.2</v>
      </c>
      <c r="N794" s="56">
        <v>47</v>
      </c>
      <c r="O794" s="56">
        <v>34.4</v>
      </c>
      <c r="P794" s="56">
        <v>20.9</v>
      </c>
      <c r="Q794" s="56">
        <v>8.9</v>
      </c>
      <c r="R794" s="57">
        <v>32.200000000000003</v>
      </c>
    </row>
    <row r="795" spans="2:18" x14ac:dyDescent="0.4">
      <c r="B795" s="50"/>
      <c r="C795" s="51" t="s">
        <v>257</v>
      </c>
      <c r="D795" s="49" t="s">
        <v>256</v>
      </c>
      <c r="E795" s="49" t="str">
        <f>B794&amp;C795</f>
        <v>Minot, NDTAX</v>
      </c>
      <c r="F795" s="56">
        <v>19.399999999999999</v>
      </c>
      <c r="G795" s="56">
        <v>24.9</v>
      </c>
      <c r="H795" s="56">
        <v>36.4</v>
      </c>
      <c r="I795" s="56">
        <v>53.9</v>
      </c>
      <c r="J795" s="56">
        <v>65.400000000000006</v>
      </c>
      <c r="K795" s="56">
        <v>73.7</v>
      </c>
      <c r="L795" s="56">
        <v>80.2</v>
      </c>
      <c r="M795" s="56">
        <v>80.5</v>
      </c>
      <c r="N795" s="56">
        <v>70.099999999999994</v>
      </c>
      <c r="O795" s="56">
        <v>54.4</v>
      </c>
      <c r="P795" s="56">
        <v>36.700000000000003</v>
      </c>
      <c r="Q795" s="56">
        <v>23.9</v>
      </c>
      <c r="R795" s="57">
        <v>51.6</v>
      </c>
    </row>
    <row r="796" spans="2:18" x14ac:dyDescent="0.4">
      <c r="B796" s="50"/>
      <c r="C796" s="51" t="s">
        <v>258</v>
      </c>
      <c r="D796" s="49" t="s">
        <v>259</v>
      </c>
      <c r="E796" s="49" t="str">
        <f>B794&amp;C796</f>
        <v>Minot, NDV</v>
      </c>
      <c r="F796" s="56">
        <v>12.1</v>
      </c>
      <c r="G796" s="56">
        <v>11.6</v>
      </c>
      <c r="H796" s="56">
        <v>11.6</v>
      </c>
      <c r="I796" s="56">
        <v>11.4</v>
      </c>
      <c r="J796" s="56">
        <v>11.9</v>
      </c>
      <c r="K796" s="56">
        <v>10.5</v>
      </c>
      <c r="L796" s="56">
        <v>9.6</v>
      </c>
      <c r="M796" s="56">
        <v>9.8000000000000007</v>
      </c>
      <c r="N796" s="56">
        <v>10.5</v>
      </c>
      <c r="O796" s="56">
        <v>11.6</v>
      </c>
      <c r="P796" s="56">
        <v>11.9</v>
      </c>
      <c r="Q796" s="56">
        <v>12.1</v>
      </c>
      <c r="R796" s="57">
        <v>11.2</v>
      </c>
    </row>
    <row r="797" spans="2:18" x14ac:dyDescent="0.4">
      <c r="B797" s="50"/>
      <c r="C797" s="51" t="s">
        <v>260</v>
      </c>
      <c r="D797" s="49" t="s">
        <v>261</v>
      </c>
      <c r="E797" s="49" t="str">
        <f>B794&amp;C797</f>
        <v>Minot, NDI</v>
      </c>
      <c r="F797" s="56">
        <v>380</v>
      </c>
      <c r="G797" s="56">
        <v>628</v>
      </c>
      <c r="H797" s="56">
        <v>1069</v>
      </c>
      <c r="I797" s="56">
        <v>1537</v>
      </c>
      <c r="J797" s="56">
        <v>1781</v>
      </c>
      <c r="K797" s="56">
        <v>1928</v>
      </c>
      <c r="L797" s="56">
        <v>2042</v>
      </c>
      <c r="M797" s="56">
        <v>1735</v>
      </c>
      <c r="N797" s="56">
        <v>1249</v>
      </c>
      <c r="O797" s="56">
        <v>793</v>
      </c>
      <c r="P797" s="56">
        <v>433</v>
      </c>
      <c r="Q797" s="56">
        <v>299</v>
      </c>
      <c r="R797" s="57">
        <v>1156</v>
      </c>
    </row>
    <row r="798" spans="2:18" x14ac:dyDescent="0.4">
      <c r="B798" s="50"/>
      <c r="C798" s="51" t="s">
        <v>262</v>
      </c>
      <c r="D798" s="49" t="s">
        <v>263</v>
      </c>
      <c r="E798" s="49" t="str">
        <f>B794&amp;C798</f>
        <v>Minot, NDPA</v>
      </c>
      <c r="F798" s="58" t="s">
        <v>506</v>
      </c>
      <c r="G798" s="58" t="s">
        <v>506</v>
      </c>
      <c r="H798" s="58" t="s">
        <v>506</v>
      </c>
      <c r="I798" s="58" t="s">
        <v>506</v>
      </c>
      <c r="J798" s="58" t="s">
        <v>506</v>
      </c>
      <c r="K798" s="58" t="s">
        <v>506</v>
      </c>
      <c r="L798" s="58" t="s">
        <v>506</v>
      </c>
      <c r="M798" s="58" t="s">
        <v>506</v>
      </c>
      <c r="N798" s="58" t="s">
        <v>506</v>
      </c>
      <c r="O798" s="58" t="s">
        <v>506</v>
      </c>
      <c r="P798" s="58" t="s">
        <v>506</v>
      </c>
      <c r="Q798" s="58" t="s">
        <v>506</v>
      </c>
      <c r="R798" s="57">
        <v>13.81</v>
      </c>
    </row>
    <row r="799" spans="2:18" x14ac:dyDescent="0.4">
      <c r="B799" s="48" t="s">
        <v>422</v>
      </c>
      <c r="C799" s="51" t="s">
        <v>255</v>
      </c>
      <c r="D799" s="49" t="s">
        <v>256</v>
      </c>
      <c r="E799" s="49" t="str">
        <f>B799&amp;C799</f>
        <v>Williston, NDTAN</v>
      </c>
      <c r="F799" s="56">
        <v>0.5</v>
      </c>
      <c r="G799" s="56">
        <v>7.4</v>
      </c>
      <c r="H799" s="56">
        <v>18.399999999999999</v>
      </c>
      <c r="I799" s="56">
        <v>30.9</v>
      </c>
      <c r="J799" s="56">
        <v>40.9</v>
      </c>
      <c r="K799" s="56">
        <v>50.6</v>
      </c>
      <c r="L799" s="56">
        <v>56.6</v>
      </c>
      <c r="M799" s="56">
        <v>54.9</v>
      </c>
      <c r="N799" s="56">
        <v>43.8</v>
      </c>
      <c r="O799" s="56">
        <v>31.3</v>
      </c>
      <c r="P799" s="56">
        <v>18.100000000000001</v>
      </c>
      <c r="Q799" s="56">
        <v>6</v>
      </c>
      <c r="R799" s="57">
        <v>29.9</v>
      </c>
    </row>
    <row r="800" spans="2:18" x14ac:dyDescent="0.4">
      <c r="B800" s="50"/>
      <c r="C800" s="51" t="s">
        <v>257</v>
      </c>
      <c r="D800" s="49" t="s">
        <v>256</v>
      </c>
      <c r="E800" s="49" t="str">
        <f>B799&amp;C800</f>
        <v>Williston, NDTAX</v>
      </c>
      <c r="F800" s="56">
        <v>20.3</v>
      </c>
      <c r="G800" s="56">
        <v>26.9</v>
      </c>
      <c r="H800" s="56">
        <v>39.299999999999997</v>
      </c>
      <c r="I800" s="56">
        <v>55.5</v>
      </c>
      <c r="J800" s="56">
        <v>66</v>
      </c>
      <c r="K800" s="56">
        <v>74.900000000000006</v>
      </c>
      <c r="L800" s="56">
        <v>82.9</v>
      </c>
      <c r="M800" s="56">
        <v>82.8</v>
      </c>
      <c r="N800" s="56">
        <v>71.5</v>
      </c>
      <c r="O800" s="56">
        <v>55.2</v>
      </c>
      <c r="P800" s="56">
        <v>37.700000000000003</v>
      </c>
      <c r="Q800" s="56">
        <v>25</v>
      </c>
      <c r="R800" s="57">
        <v>53.2</v>
      </c>
    </row>
    <row r="801" spans="2:18" x14ac:dyDescent="0.4">
      <c r="B801" s="50"/>
      <c r="C801" s="51" t="s">
        <v>258</v>
      </c>
      <c r="D801" s="49" t="s">
        <v>259</v>
      </c>
      <c r="E801" s="49" t="str">
        <f>B799&amp;C801</f>
        <v>Williston, NDV</v>
      </c>
      <c r="F801" s="56">
        <v>8.3000000000000007</v>
      </c>
      <c r="G801" s="56">
        <v>8.5</v>
      </c>
      <c r="H801" s="56">
        <v>9.1999999999999993</v>
      </c>
      <c r="I801" s="56">
        <v>10.1</v>
      </c>
      <c r="J801" s="56">
        <v>10.3</v>
      </c>
      <c r="K801" s="56">
        <v>9.4</v>
      </c>
      <c r="L801" s="56">
        <v>8.3000000000000007</v>
      </c>
      <c r="M801" s="56">
        <v>8.6999999999999993</v>
      </c>
      <c r="N801" s="56">
        <v>8.6999999999999993</v>
      </c>
      <c r="O801" s="56">
        <v>8.9</v>
      </c>
      <c r="P801" s="56">
        <v>8.5</v>
      </c>
      <c r="Q801" s="56">
        <v>8.5</v>
      </c>
      <c r="R801" s="57">
        <v>8.9</v>
      </c>
    </row>
    <row r="802" spans="2:18" x14ac:dyDescent="0.4">
      <c r="B802" s="50"/>
      <c r="C802" s="51" t="s">
        <v>260</v>
      </c>
      <c r="D802" s="49" t="s">
        <v>261</v>
      </c>
      <c r="E802" s="49" t="str">
        <f>B799&amp;C802</f>
        <v>Williston, NDI</v>
      </c>
      <c r="F802" s="56">
        <v>369</v>
      </c>
      <c r="G802" s="56">
        <v>634</v>
      </c>
      <c r="H802" s="56">
        <v>1067</v>
      </c>
      <c r="I802" s="56">
        <v>1545</v>
      </c>
      <c r="J802" s="56">
        <v>1838</v>
      </c>
      <c r="K802" s="56">
        <v>2010</v>
      </c>
      <c r="L802" s="56">
        <v>2154</v>
      </c>
      <c r="M802" s="56">
        <v>1817</v>
      </c>
      <c r="N802" s="56">
        <v>1312</v>
      </c>
      <c r="O802" s="56">
        <v>813</v>
      </c>
      <c r="P802" s="56">
        <v>445</v>
      </c>
      <c r="Q802" s="56">
        <v>311</v>
      </c>
      <c r="R802" s="57">
        <v>1193</v>
      </c>
    </row>
    <row r="803" spans="2:18" x14ac:dyDescent="0.4">
      <c r="B803" s="50"/>
      <c r="C803" s="51" t="s">
        <v>262</v>
      </c>
      <c r="D803" s="49" t="s">
        <v>263</v>
      </c>
      <c r="E803" s="49" t="str">
        <f>B799&amp;C803</f>
        <v>Williston, NDPA</v>
      </c>
      <c r="F803" s="58" t="s">
        <v>506</v>
      </c>
      <c r="G803" s="58" t="s">
        <v>506</v>
      </c>
      <c r="H803" s="58" t="s">
        <v>506</v>
      </c>
      <c r="I803" s="58" t="s">
        <v>506</v>
      </c>
      <c r="J803" s="58" t="s">
        <v>506</v>
      </c>
      <c r="K803" s="58" t="s">
        <v>506</v>
      </c>
      <c r="L803" s="58" t="s">
        <v>506</v>
      </c>
      <c r="M803" s="58" t="s">
        <v>506</v>
      </c>
      <c r="N803" s="58" t="s">
        <v>506</v>
      </c>
      <c r="O803" s="58" t="s">
        <v>506</v>
      </c>
      <c r="P803" s="58" t="s">
        <v>506</v>
      </c>
      <c r="Q803" s="58" t="s">
        <v>506</v>
      </c>
      <c r="R803" s="57">
        <v>13.72</v>
      </c>
    </row>
    <row r="804" spans="2:18" x14ac:dyDescent="0.4">
      <c r="B804" s="48" t="s">
        <v>423</v>
      </c>
      <c r="C804" s="51" t="s">
        <v>255</v>
      </c>
      <c r="D804" s="49" t="s">
        <v>256</v>
      </c>
      <c r="E804" s="49" t="str">
        <f>B804&amp;C804</f>
        <v>Akron, OHTAN</v>
      </c>
      <c r="F804" s="56">
        <v>20.100000000000001</v>
      </c>
      <c r="G804" s="56">
        <v>21.7</v>
      </c>
      <c r="H804" s="56">
        <v>29</v>
      </c>
      <c r="I804" s="56">
        <v>39.700000000000003</v>
      </c>
      <c r="J804" s="56">
        <v>49.2</v>
      </c>
      <c r="K804" s="56">
        <v>58.9</v>
      </c>
      <c r="L804" s="56">
        <v>62.5</v>
      </c>
      <c r="M804" s="56">
        <v>61.5</v>
      </c>
      <c r="N804" s="56">
        <v>53.9</v>
      </c>
      <c r="O804" s="56">
        <v>43</v>
      </c>
      <c r="P804" s="56">
        <v>34.1</v>
      </c>
      <c r="Q804" s="56">
        <v>24.7</v>
      </c>
      <c r="R804" s="57">
        <v>41.5</v>
      </c>
    </row>
    <row r="805" spans="2:18" x14ac:dyDescent="0.4">
      <c r="B805" s="50"/>
      <c r="C805" s="51" t="s">
        <v>257</v>
      </c>
      <c r="D805" s="49" t="s">
        <v>256</v>
      </c>
      <c r="E805" s="49" t="str">
        <f>B804&amp;C805</f>
        <v>Akron, OHTAX</v>
      </c>
      <c r="F805" s="56">
        <v>33.4</v>
      </c>
      <c r="G805" s="56">
        <v>36.1</v>
      </c>
      <c r="H805" s="56">
        <v>46</v>
      </c>
      <c r="I805" s="56">
        <v>59.6</v>
      </c>
      <c r="J805" s="56">
        <v>69</v>
      </c>
      <c r="K805" s="56">
        <v>77.8</v>
      </c>
      <c r="L805" s="56">
        <v>81.3</v>
      </c>
      <c r="M805" s="56">
        <v>80.099999999999994</v>
      </c>
      <c r="N805" s="56">
        <v>72.8</v>
      </c>
      <c r="O805" s="56">
        <v>60.8</v>
      </c>
      <c r="P805" s="56">
        <v>48.5</v>
      </c>
      <c r="Q805" s="56">
        <v>36.9</v>
      </c>
      <c r="R805" s="57">
        <v>58.5</v>
      </c>
    </row>
    <row r="806" spans="2:18" x14ac:dyDescent="0.4">
      <c r="B806" s="50"/>
      <c r="C806" s="51" t="s">
        <v>258</v>
      </c>
      <c r="D806" s="49" t="s">
        <v>259</v>
      </c>
      <c r="E806" s="49" t="str">
        <f>B804&amp;C806</f>
        <v>Akron, OHV</v>
      </c>
      <c r="F806" s="56">
        <v>10.7</v>
      </c>
      <c r="G806" s="56">
        <v>10.5</v>
      </c>
      <c r="H806" s="56">
        <v>10.3</v>
      </c>
      <c r="I806" s="56">
        <v>10.1</v>
      </c>
      <c r="J806" s="56">
        <v>8.6999999999999993</v>
      </c>
      <c r="K806" s="56">
        <v>7.6</v>
      </c>
      <c r="L806" s="56">
        <v>7.4</v>
      </c>
      <c r="M806" s="56">
        <v>6.7</v>
      </c>
      <c r="N806" s="56">
        <v>7.4</v>
      </c>
      <c r="O806" s="56">
        <v>8.5</v>
      </c>
      <c r="P806" s="56">
        <v>9.6</v>
      </c>
      <c r="Q806" s="56">
        <v>10.3</v>
      </c>
      <c r="R806" s="57">
        <v>8.9</v>
      </c>
    </row>
    <row r="807" spans="2:18" x14ac:dyDescent="0.4">
      <c r="B807" s="50"/>
      <c r="C807" s="51" t="s">
        <v>260</v>
      </c>
      <c r="D807" s="49" t="s">
        <v>261</v>
      </c>
      <c r="E807" s="49" t="str">
        <f>B804&amp;C807</f>
        <v>Akron, OHI</v>
      </c>
      <c r="F807" s="56">
        <v>490</v>
      </c>
      <c r="G807" s="56">
        <v>720</v>
      </c>
      <c r="H807" s="56">
        <v>1075</v>
      </c>
      <c r="I807" s="56">
        <v>1421</v>
      </c>
      <c r="J807" s="56">
        <v>1683</v>
      </c>
      <c r="K807" s="56">
        <v>1840</v>
      </c>
      <c r="L807" s="56">
        <v>1859</v>
      </c>
      <c r="M807" s="56">
        <v>1645</v>
      </c>
      <c r="N807" s="56">
        <v>1327</v>
      </c>
      <c r="O807" s="56">
        <v>892</v>
      </c>
      <c r="P807" s="56">
        <v>538</v>
      </c>
      <c r="Q807" s="56">
        <v>432</v>
      </c>
      <c r="R807" s="57">
        <v>1160</v>
      </c>
    </row>
    <row r="808" spans="2:18" x14ac:dyDescent="0.4">
      <c r="B808" s="50"/>
      <c r="C808" s="51" t="s">
        <v>262</v>
      </c>
      <c r="D808" s="49" t="s">
        <v>263</v>
      </c>
      <c r="E808" s="49" t="str">
        <f>B804&amp;C808</f>
        <v>Akron, OHPA</v>
      </c>
      <c r="F808" s="58" t="s">
        <v>506</v>
      </c>
      <c r="G808" s="58" t="s">
        <v>506</v>
      </c>
      <c r="H808" s="58" t="s">
        <v>506</v>
      </c>
      <c r="I808" s="58" t="s">
        <v>506</v>
      </c>
      <c r="J808" s="58" t="s">
        <v>506</v>
      </c>
      <c r="K808" s="58" t="s">
        <v>506</v>
      </c>
      <c r="L808" s="58" t="s">
        <v>506</v>
      </c>
      <c r="M808" s="58" t="s">
        <v>506</v>
      </c>
      <c r="N808" s="58" t="s">
        <v>506</v>
      </c>
      <c r="O808" s="58" t="s">
        <v>506</v>
      </c>
      <c r="P808" s="58" t="s">
        <v>506</v>
      </c>
      <c r="Q808" s="58" t="s">
        <v>506</v>
      </c>
      <c r="R808" s="57">
        <v>14.07</v>
      </c>
    </row>
    <row r="809" spans="2:18" x14ac:dyDescent="0.4">
      <c r="B809" s="48" t="s">
        <v>424</v>
      </c>
      <c r="C809" s="51" t="s">
        <v>255</v>
      </c>
      <c r="D809" s="49" t="s">
        <v>256</v>
      </c>
      <c r="E809" s="49" t="str">
        <f>B809&amp;C809</f>
        <v>Cleveland, OHTAN</v>
      </c>
      <c r="F809" s="56">
        <v>21.6</v>
      </c>
      <c r="G809" s="56">
        <v>23.2</v>
      </c>
      <c r="H809" s="56">
        <v>29.8</v>
      </c>
      <c r="I809" s="56">
        <v>40.4</v>
      </c>
      <c r="J809" s="56">
        <v>50</v>
      </c>
      <c r="K809" s="56">
        <v>60.1</v>
      </c>
      <c r="L809" s="56">
        <v>64.099999999999994</v>
      </c>
      <c r="M809" s="56">
        <v>63.2</v>
      </c>
      <c r="N809" s="56">
        <v>55.8</v>
      </c>
      <c r="O809" s="56">
        <v>45.3</v>
      </c>
      <c r="P809" s="56">
        <v>36.299999999999997</v>
      </c>
      <c r="Q809" s="56">
        <v>26.4</v>
      </c>
      <c r="R809" s="57">
        <v>43</v>
      </c>
    </row>
    <row r="810" spans="2:18" x14ac:dyDescent="0.4">
      <c r="B810" s="50"/>
      <c r="C810" s="51" t="s">
        <v>257</v>
      </c>
      <c r="D810" s="49" t="s">
        <v>256</v>
      </c>
      <c r="E810" s="49" t="str">
        <f>B809&amp;C810</f>
        <v>Cleveland, OHTAX</v>
      </c>
      <c r="F810" s="56">
        <v>34.200000000000003</v>
      </c>
      <c r="G810" s="56">
        <v>36.700000000000003</v>
      </c>
      <c r="H810" s="56">
        <v>45.2</v>
      </c>
      <c r="I810" s="56">
        <v>58.3</v>
      </c>
      <c r="J810" s="56">
        <v>68.5</v>
      </c>
      <c r="K810" s="56">
        <v>77.900000000000006</v>
      </c>
      <c r="L810" s="56">
        <v>81.3</v>
      </c>
      <c r="M810" s="56">
        <v>80</v>
      </c>
      <c r="N810" s="56">
        <v>73.3</v>
      </c>
      <c r="O810" s="56">
        <v>61.7</v>
      </c>
      <c r="P810" s="56">
        <v>49.7</v>
      </c>
      <c r="Q810" s="56">
        <v>37.9</v>
      </c>
      <c r="R810" s="57">
        <v>58.7</v>
      </c>
    </row>
    <row r="811" spans="2:18" x14ac:dyDescent="0.4">
      <c r="B811" s="50"/>
      <c r="C811" s="51" t="s">
        <v>258</v>
      </c>
      <c r="D811" s="49" t="s">
        <v>259</v>
      </c>
      <c r="E811" s="49" t="str">
        <f>B809&amp;C811</f>
        <v>Cleveland, OHV</v>
      </c>
      <c r="F811" s="56">
        <v>11.2</v>
      </c>
      <c r="G811" s="56">
        <v>10.5</v>
      </c>
      <c r="H811" s="56">
        <v>10.5</v>
      </c>
      <c r="I811" s="56">
        <v>10.3</v>
      </c>
      <c r="J811" s="56">
        <v>9.1999999999999993</v>
      </c>
      <c r="K811" s="56">
        <v>8.3000000000000007</v>
      </c>
      <c r="L811" s="56">
        <v>8.1</v>
      </c>
      <c r="M811" s="56">
        <v>7.6</v>
      </c>
      <c r="N811" s="56">
        <v>8.3000000000000007</v>
      </c>
      <c r="O811" s="56">
        <v>9.4</v>
      </c>
      <c r="P811" s="56">
        <v>10.5</v>
      </c>
      <c r="Q811" s="56">
        <v>11</v>
      </c>
      <c r="R811" s="57">
        <v>9.6</v>
      </c>
    </row>
    <row r="812" spans="2:18" x14ac:dyDescent="0.4">
      <c r="B812" s="50"/>
      <c r="C812" s="51" t="s">
        <v>260</v>
      </c>
      <c r="D812" s="49" t="s">
        <v>261</v>
      </c>
      <c r="E812" s="49" t="str">
        <f>B809&amp;C812</f>
        <v>Cleveland, OHI</v>
      </c>
      <c r="F812" s="56">
        <v>462</v>
      </c>
      <c r="G812" s="56">
        <v>689</v>
      </c>
      <c r="H812" s="56">
        <v>1067</v>
      </c>
      <c r="I812" s="56">
        <v>1430</v>
      </c>
      <c r="J812" s="56">
        <v>1756</v>
      </c>
      <c r="K812" s="56">
        <v>1944</v>
      </c>
      <c r="L812" s="56">
        <v>1923</v>
      </c>
      <c r="M812" s="56">
        <v>1672</v>
      </c>
      <c r="N812" s="56">
        <v>1335</v>
      </c>
      <c r="O812" s="56">
        <v>851</v>
      </c>
      <c r="P812" s="56">
        <v>511</v>
      </c>
      <c r="Q812" s="56">
        <v>380</v>
      </c>
      <c r="R812" s="57">
        <v>1168</v>
      </c>
    </row>
    <row r="813" spans="2:18" x14ac:dyDescent="0.4">
      <c r="B813" s="50"/>
      <c r="C813" s="51" t="s">
        <v>262</v>
      </c>
      <c r="D813" s="49" t="s">
        <v>263</v>
      </c>
      <c r="E813" s="49" t="str">
        <f>B809&amp;C813</f>
        <v>Cleveland, OHPA</v>
      </c>
      <c r="F813" s="58" t="s">
        <v>506</v>
      </c>
      <c r="G813" s="58" t="s">
        <v>506</v>
      </c>
      <c r="H813" s="58" t="s">
        <v>506</v>
      </c>
      <c r="I813" s="58" t="s">
        <v>506</v>
      </c>
      <c r="J813" s="58" t="s">
        <v>506</v>
      </c>
      <c r="K813" s="58" t="s">
        <v>506</v>
      </c>
      <c r="L813" s="58" t="s">
        <v>506</v>
      </c>
      <c r="M813" s="58" t="s">
        <v>506</v>
      </c>
      <c r="N813" s="58" t="s">
        <v>506</v>
      </c>
      <c r="O813" s="58" t="s">
        <v>506</v>
      </c>
      <c r="P813" s="58" t="s">
        <v>506</v>
      </c>
      <c r="Q813" s="58" t="s">
        <v>506</v>
      </c>
      <c r="R813" s="57">
        <v>14.29</v>
      </c>
    </row>
    <row r="814" spans="2:18" ht="20.6" x14ac:dyDescent="0.4">
      <c r="B814" s="48" t="s">
        <v>425</v>
      </c>
      <c r="C814" s="51" t="s">
        <v>255</v>
      </c>
      <c r="D814" s="49" t="s">
        <v>256</v>
      </c>
      <c r="E814" s="49" t="str">
        <f>B814&amp;C814</f>
        <v>Columbus_OH, OHTAN</v>
      </c>
      <c r="F814" s="56">
        <v>23</v>
      </c>
      <c r="G814" s="56">
        <v>25</v>
      </c>
      <c r="H814" s="56">
        <v>32.700000000000003</v>
      </c>
      <c r="I814" s="56">
        <v>43.1</v>
      </c>
      <c r="J814" s="56">
        <v>52.4</v>
      </c>
      <c r="K814" s="56">
        <v>62.3</v>
      </c>
      <c r="L814" s="56">
        <v>65.7</v>
      </c>
      <c r="M814" s="56">
        <v>64.599999999999994</v>
      </c>
      <c r="N814" s="56">
        <v>56.8</v>
      </c>
      <c r="O814" s="56">
        <v>45.2</v>
      </c>
      <c r="P814" s="56">
        <v>36.200000000000003</v>
      </c>
      <c r="Q814" s="56">
        <v>27.2</v>
      </c>
      <c r="R814" s="57">
        <v>44.5</v>
      </c>
    </row>
    <row r="815" spans="2:18" ht="20.6" x14ac:dyDescent="0.4">
      <c r="B815" s="50"/>
      <c r="C815" s="51" t="s">
        <v>257</v>
      </c>
      <c r="D815" s="49" t="s">
        <v>256</v>
      </c>
      <c r="E815" s="49" t="str">
        <f>B814&amp;C815</f>
        <v>Columbus_OH, OHTAX</v>
      </c>
      <c r="F815" s="56">
        <v>36.5</v>
      </c>
      <c r="G815" s="56">
        <v>39.9</v>
      </c>
      <c r="H815" s="56">
        <v>50.3</v>
      </c>
      <c r="I815" s="56">
        <v>63.4</v>
      </c>
      <c r="J815" s="56">
        <v>72.5</v>
      </c>
      <c r="K815" s="56">
        <v>81.099999999999994</v>
      </c>
      <c r="L815" s="56">
        <v>84.1</v>
      </c>
      <c r="M815" s="56">
        <v>83.3</v>
      </c>
      <c r="N815" s="56">
        <v>76.7</v>
      </c>
      <c r="O815" s="56">
        <v>64.7</v>
      </c>
      <c r="P815" s="56">
        <v>51.9</v>
      </c>
      <c r="Q815" s="56">
        <v>40.1</v>
      </c>
      <c r="R815" s="57">
        <v>62</v>
      </c>
    </row>
    <row r="816" spans="2:18" x14ac:dyDescent="0.4">
      <c r="B816" s="50"/>
      <c r="C816" s="51" t="s">
        <v>258</v>
      </c>
      <c r="D816" s="49" t="s">
        <v>259</v>
      </c>
      <c r="E816" s="49" t="str">
        <f>B814&amp;C816</f>
        <v>Columbus_OH, OHV</v>
      </c>
      <c r="F816" s="56">
        <v>9.1999999999999993</v>
      </c>
      <c r="G816" s="56">
        <v>8.9</v>
      </c>
      <c r="H816" s="56">
        <v>8.9</v>
      </c>
      <c r="I816" s="56">
        <v>8.9</v>
      </c>
      <c r="J816" s="56">
        <v>7.6</v>
      </c>
      <c r="K816" s="56">
        <v>6.7</v>
      </c>
      <c r="L816" s="56">
        <v>6.3</v>
      </c>
      <c r="M816" s="56">
        <v>5.8</v>
      </c>
      <c r="N816" s="56">
        <v>6</v>
      </c>
      <c r="O816" s="56">
        <v>6.9</v>
      </c>
      <c r="P816" s="56">
        <v>8.1</v>
      </c>
      <c r="Q816" s="56">
        <v>8.6999999999999993</v>
      </c>
      <c r="R816" s="57">
        <v>7.6</v>
      </c>
    </row>
    <row r="817" spans="2:18" x14ac:dyDescent="0.4">
      <c r="B817" s="50"/>
      <c r="C817" s="51" t="s">
        <v>260</v>
      </c>
      <c r="D817" s="49" t="s">
        <v>261</v>
      </c>
      <c r="E817" s="49" t="str">
        <f>B814&amp;C817</f>
        <v>Columbus_OH, OHI</v>
      </c>
      <c r="F817" s="56">
        <v>527</v>
      </c>
      <c r="G817" s="56">
        <v>743</v>
      </c>
      <c r="H817" s="56">
        <v>1080</v>
      </c>
      <c r="I817" s="56">
        <v>1472</v>
      </c>
      <c r="J817" s="56">
        <v>1716</v>
      </c>
      <c r="K817" s="56">
        <v>1889</v>
      </c>
      <c r="L817" s="56">
        <v>1866</v>
      </c>
      <c r="M817" s="56">
        <v>1692</v>
      </c>
      <c r="N817" s="56">
        <v>1388</v>
      </c>
      <c r="O817" s="56">
        <v>971</v>
      </c>
      <c r="P817" s="56">
        <v>601</v>
      </c>
      <c r="Q817" s="56">
        <v>456</v>
      </c>
      <c r="R817" s="57">
        <v>1200</v>
      </c>
    </row>
    <row r="818" spans="2:18" ht="20.6" x14ac:dyDescent="0.4">
      <c r="B818" s="50"/>
      <c r="C818" s="51" t="s">
        <v>262</v>
      </c>
      <c r="D818" s="49" t="s">
        <v>263</v>
      </c>
      <c r="E818" s="49" t="str">
        <f>B814&amp;C818</f>
        <v>Columbus_OH, OHPA</v>
      </c>
      <c r="F818" s="58" t="s">
        <v>506</v>
      </c>
      <c r="G818" s="58" t="s">
        <v>506</v>
      </c>
      <c r="H818" s="58" t="s">
        <v>506</v>
      </c>
      <c r="I818" s="58" t="s">
        <v>506</v>
      </c>
      <c r="J818" s="58" t="s">
        <v>506</v>
      </c>
      <c r="K818" s="58" t="s">
        <v>506</v>
      </c>
      <c r="L818" s="58" t="s">
        <v>506</v>
      </c>
      <c r="M818" s="58" t="s">
        <v>506</v>
      </c>
      <c r="N818" s="58" t="s">
        <v>506</v>
      </c>
      <c r="O818" s="58" t="s">
        <v>506</v>
      </c>
      <c r="P818" s="58" t="s">
        <v>506</v>
      </c>
      <c r="Q818" s="58" t="s">
        <v>506</v>
      </c>
      <c r="R818" s="57">
        <v>14.27</v>
      </c>
    </row>
    <row r="819" spans="2:18" x14ac:dyDescent="0.4">
      <c r="B819" s="48" t="s">
        <v>426</v>
      </c>
      <c r="C819" s="51" t="s">
        <v>255</v>
      </c>
      <c r="D819" s="49" t="s">
        <v>256</v>
      </c>
      <c r="E819" s="49" t="str">
        <f>B819&amp;C819</f>
        <v>Dayton, OHTAN</v>
      </c>
      <c r="F819" s="56">
        <v>21.1</v>
      </c>
      <c r="G819" s="56">
        <v>23.6</v>
      </c>
      <c r="H819" s="56">
        <v>31.6</v>
      </c>
      <c r="I819" s="56">
        <v>42.3</v>
      </c>
      <c r="J819" s="56">
        <v>52.2</v>
      </c>
      <c r="K819" s="56">
        <v>61.9</v>
      </c>
      <c r="L819" s="56">
        <v>64.900000000000006</v>
      </c>
      <c r="M819" s="56">
        <v>63.6</v>
      </c>
      <c r="N819" s="56">
        <v>55.4</v>
      </c>
      <c r="O819" s="56">
        <v>44.7</v>
      </c>
      <c r="P819" s="56">
        <v>34.9</v>
      </c>
      <c r="Q819" s="56">
        <v>25.4</v>
      </c>
      <c r="R819" s="57">
        <v>43.5</v>
      </c>
    </row>
    <row r="820" spans="2:18" x14ac:dyDescent="0.4">
      <c r="B820" s="50"/>
      <c r="C820" s="51" t="s">
        <v>257</v>
      </c>
      <c r="D820" s="49" t="s">
        <v>256</v>
      </c>
      <c r="E820" s="49" t="str">
        <f>B819&amp;C820</f>
        <v>Dayton, OHTAX</v>
      </c>
      <c r="F820" s="56">
        <v>34.9</v>
      </c>
      <c r="G820" s="56">
        <v>38.700000000000003</v>
      </c>
      <c r="H820" s="56">
        <v>49.1</v>
      </c>
      <c r="I820" s="56">
        <v>62.1</v>
      </c>
      <c r="J820" s="56">
        <v>71.3</v>
      </c>
      <c r="K820" s="56">
        <v>80</v>
      </c>
      <c r="L820" s="56">
        <v>83.2</v>
      </c>
      <c r="M820" s="56">
        <v>82.4</v>
      </c>
      <c r="N820" s="56">
        <v>75.900000000000006</v>
      </c>
      <c r="O820" s="56">
        <v>63.9</v>
      </c>
      <c r="P820" s="56">
        <v>50.7</v>
      </c>
      <c r="Q820" s="56">
        <v>38.4</v>
      </c>
      <c r="R820" s="57">
        <v>60.9</v>
      </c>
    </row>
    <row r="821" spans="2:18" x14ac:dyDescent="0.4">
      <c r="B821" s="50"/>
      <c r="C821" s="51" t="s">
        <v>258</v>
      </c>
      <c r="D821" s="49" t="s">
        <v>259</v>
      </c>
      <c r="E821" s="49" t="str">
        <f>B819&amp;C821</f>
        <v>Dayton, OHV</v>
      </c>
      <c r="F821" s="56">
        <v>11.4</v>
      </c>
      <c r="G821" s="56">
        <v>11</v>
      </c>
      <c r="H821" s="56">
        <v>11</v>
      </c>
      <c r="I821" s="56">
        <v>11</v>
      </c>
      <c r="J821" s="56">
        <v>9.4</v>
      </c>
      <c r="K821" s="56">
        <v>8.3000000000000007</v>
      </c>
      <c r="L821" s="56">
        <v>7.8</v>
      </c>
      <c r="M821" s="56">
        <v>7.2</v>
      </c>
      <c r="N821" s="56">
        <v>7.8</v>
      </c>
      <c r="O821" s="56">
        <v>9.1999999999999993</v>
      </c>
      <c r="P821" s="56">
        <v>10.3</v>
      </c>
      <c r="Q821" s="56">
        <v>10.7</v>
      </c>
      <c r="R821" s="57">
        <v>9.6</v>
      </c>
    </row>
    <row r="822" spans="2:18" x14ac:dyDescent="0.4">
      <c r="B822" s="50"/>
      <c r="C822" s="51" t="s">
        <v>260</v>
      </c>
      <c r="D822" s="49" t="s">
        <v>261</v>
      </c>
      <c r="E822" s="49" t="str">
        <f>B819&amp;C822</f>
        <v>Dayton, OHI</v>
      </c>
      <c r="F822" s="56">
        <v>517</v>
      </c>
      <c r="G822" s="56">
        <v>759</v>
      </c>
      <c r="H822" s="56">
        <v>1122</v>
      </c>
      <c r="I822" s="56">
        <v>1479</v>
      </c>
      <c r="J822" s="56">
        <v>1747</v>
      </c>
      <c r="K822" s="56">
        <v>1925</v>
      </c>
      <c r="L822" s="56">
        <v>1936</v>
      </c>
      <c r="M822" s="56">
        <v>1738</v>
      </c>
      <c r="N822" s="56">
        <v>1409</v>
      </c>
      <c r="O822" s="56">
        <v>993</v>
      </c>
      <c r="P822" s="56">
        <v>607</v>
      </c>
      <c r="Q822" s="56">
        <v>456</v>
      </c>
      <c r="R822" s="57">
        <v>1224</v>
      </c>
    </row>
    <row r="823" spans="2:18" x14ac:dyDescent="0.4">
      <c r="B823" s="50"/>
      <c r="C823" s="51" t="s">
        <v>262</v>
      </c>
      <c r="D823" s="49" t="s">
        <v>263</v>
      </c>
      <c r="E823" s="49" t="str">
        <f>B819&amp;C823</f>
        <v>Dayton, OHPA</v>
      </c>
      <c r="F823" s="58" t="s">
        <v>506</v>
      </c>
      <c r="G823" s="58" t="s">
        <v>506</v>
      </c>
      <c r="H823" s="58" t="s">
        <v>506</v>
      </c>
      <c r="I823" s="58" t="s">
        <v>506</v>
      </c>
      <c r="J823" s="58" t="s">
        <v>506</v>
      </c>
      <c r="K823" s="58" t="s">
        <v>506</v>
      </c>
      <c r="L823" s="58" t="s">
        <v>506</v>
      </c>
      <c r="M823" s="58" t="s">
        <v>506</v>
      </c>
      <c r="N823" s="58" t="s">
        <v>506</v>
      </c>
      <c r="O823" s="58" t="s">
        <v>506</v>
      </c>
      <c r="P823" s="58" t="s">
        <v>506</v>
      </c>
      <c r="Q823" s="58" t="s">
        <v>506</v>
      </c>
      <c r="R823" s="57">
        <v>14.17</v>
      </c>
    </row>
    <row r="824" spans="2:18" x14ac:dyDescent="0.4">
      <c r="B824" s="48" t="s">
        <v>427</v>
      </c>
      <c r="C824" s="51" t="s">
        <v>255</v>
      </c>
      <c r="D824" s="49" t="s">
        <v>256</v>
      </c>
      <c r="E824" s="49" t="str">
        <f>B824&amp;C824</f>
        <v>Mansfield, OHTAN</v>
      </c>
      <c r="F824" s="56">
        <v>19.399999999999999</v>
      </c>
      <c r="G824" s="56">
        <v>21.3</v>
      </c>
      <c r="H824" s="56">
        <v>28.8</v>
      </c>
      <c r="I824" s="56">
        <v>39.299999999999997</v>
      </c>
      <c r="J824" s="56">
        <v>48.9</v>
      </c>
      <c r="K824" s="56">
        <v>58.6</v>
      </c>
      <c r="L824" s="56">
        <v>61.9</v>
      </c>
      <c r="M824" s="56">
        <v>61</v>
      </c>
      <c r="N824" s="56">
        <v>53.2</v>
      </c>
      <c r="O824" s="56">
        <v>42.9</v>
      </c>
      <c r="P824" s="56">
        <v>33.6</v>
      </c>
      <c r="Q824" s="56">
        <v>24.4</v>
      </c>
      <c r="R824" s="57">
        <v>41.1</v>
      </c>
    </row>
    <row r="825" spans="2:18" x14ac:dyDescent="0.4">
      <c r="B825" s="50"/>
      <c r="C825" s="51" t="s">
        <v>257</v>
      </c>
      <c r="D825" s="49" t="s">
        <v>256</v>
      </c>
      <c r="E825" s="49" t="str">
        <f>B824&amp;C825</f>
        <v>Mansfield, OHTAX</v>
      </c>
      <c r="F825" s="56">
        <v>32.799999999999997</v>
      </c>
      <c r="G825" s="56">
        <v>35.6</v>
      </c>
      <c r="H825" s="56">
        <v>45.4</v>
      </c>
      <c r="I825" s="56">
        <v>59.1</v>
      </c>
      <c r="J825" s="56">
        <v>68.900000000000006</v>
      </c>
      <c r="K825" s="56">
        <v>77.7</v>
      </c>
      <c r="L825" s="56">
        <v>80.8</v>
      </c>
      <c r="M825" s="56">
        <v>79.5</v>
      </c>
      <c r="N825" s="56">
        <v>72.900000000000006</v>
      </c>
      <c r="O825" s="56">
        <v>61.3</v>
      </c>
      <c r="P825" s="56">
        <v>48.1</v>
      </c>
      <c r="Q825" s="56">
        <v>37.1</v>
      </c>
      <c r="R825" s="57">
        <v>58.3</v>
      </c>
    </row>
    <row r="826" spans="2:18" x14ac:dyDescent="0.4">
      <c r="B826" s="50"/>
      <c r="C826" s="51" t="s">
        <v>258</v>
      </c>
      <c r="D826" s="49" t="s">
        <v>259</v>
      </c>
      <c r="E826" s="49" t="str">
        <f>B824&amp;C826</f>
        <v>Mansfield, OHV</v>
      </c>
      <c r="F826" s="56">
        <v>11.2</v>
      </c>
      <c r="G826" s="56">
        <v>10.7</v>
      </c>
      <c r="H826" s="56">
        <v>10.5</v>
      </c>
      <c r="I826" s="56">
        <v>10.7</v>
      </c>
      <c r="J826" s="56">
        <v>9.1999999999999993</v>
      </c>
      <c r="K826" s="56">
        <v>7.8</v>
      </c>
      <c r="L826" s="56">
        <v>7.4</v>
      </c>
      <c r="M826" s="56">
        <v>6.7</v>
      </c>
      <c r="N826" s="56">
        <v>7.4</v>
      </c>
      <c r="O826" s="56">
        <v>8.9</v>
      </c>
      <c r="P826" s="56">
        <v>10.3</v>
      </c>
      <c r="Q826" s="56">
        <v>10.7</v>
      </c>
      <c r="R826" s="57">
        <v>9.4</v>
      </c>
    </row>
    <row r="827" spans="2:18" x14ac:dyDescent="0.4">
      <c r="B827" s="50"/>
      <c r="C827" s="51" t="s">
        <v>260</v>
      </c>
      <c r="D827" s="49" t="s">
        <v>261</v>
      </c>
      <c r="E827" s="49" t="str">
        <f>B824&amp;C827</f>
        <v>Mansfield, OHI</v>
      </c>
      <c r="F827" s="56">
        <v>492</v>
      </c>
      <c r="G827" s="56">
        <v>700</v>
      </c>
      <c r="H827" s="56">
        <v>1071</v>
      </c>
      <c r="I827" s="56">
        <v>1438</v>
      </c>
      <c r="J827" s="56">
        <v>1709</v>
      </c>
      <c r="K827" s="56">
        <v>1882</v>
      </c>
      <c r="L827" s="56">
        <v>1904</v>
      </c>
      <c r="M827" s="56">
        <v>1643</v>
      </c>
      <c r="N827" s="56">
        <v>1329</v>
      </c>
      <c r="O827" s="56">
        <v>918</v>
      </c>
      <c r="P827" s="56">
        <v>553</v>
      </c>
      <c r="Q827" s="56">
        <v>423</v>
      </c>
      <c r="R827" s="57">
        <v>1172</v>
      </c>
    </row>
    <row r="828" spans="2:18" x14ac:dyDescent="0.4">
      <c r="B828" s="50"/>
      <c r="C828" s="51" t="s">
        <v>262</v>
      </c>
      <c r="D828" s="49" t="s">
        <v>263</v>
      </c>
      <c r="E828" s="49" t="str">
        <f>B824&amp;C828</f>
        <v>Mansfield, OHPA</v>
      </c>
      <c r="F828" s="58" t="s">
        <v>506</v>
      </c>
      <c r="G828" s="58" t="s">
        <v>506</v>
      </c>
      <c r="H828" s="58" t="s">
        <v>506</v>
      </c>
      <c r="I828" s="58" t="s">
        <v>506</v>
      </c>
      <c r="J828" s="58" t="s">
        <v>506</v>
      </c>
      <c r="K828" s="58" t="s">
        <v>506</v>
      </c>
      <c r="L828" s="58" t="s">
        <v>506</v>
      </c>
      <c r="M828" s="58" t="s">
        <v>506</v>
      </c>
      <c r="N828" s="58" t="s">
        <v>506</v>
      </c>
      <c r="O828" s="58" t="s">
        <v>506</v>
      </c>
      <c r="P828" s="58" t="s">
        <v>506</v>
      </c>
      <c r="Q828" s="58" t="s">
        <v>506</v>
      </c>
      <c r="R828" s="57">
        <v>14.03</v>
      </c>
    </row>
    <row r="829" spans="2:18" x14ac:dyDescent="0.4">
      <c r="B829" s="48" t="s">
        <v>428</v>
      </c>
      <c r="C829" s="51" t="s">
        <v>255</v>
      </c>
      <c r="D829" s="49" t="s">
        <v>256</v>
      </c>
      <c r="E829" s="49" t="str">
        <f>B829&amp;C829</f>
        <v>Toledo, OHTAN</v>
      </c>
      <c r="F829" s="56">
        <v>19.399999999999999</v>
      </c>
      <c r="G829" s="56">
        <v>21.5</v>
      </c>
      <c r="H829" s="56">
        <v>28.9</v>
      </c>
      <c r="I829" s="56">
        <v>39.700000000000003</v>
      </c>
      <c r="J829" s="56">
        <v>49.4</v>
      </c>
      <c r="K829" s="56">
        <v>59.5</v>
      </c>
      <c r="L829" s="56">
        <v>62.8</v>
      </c>
      <c r="M829" s="56">
        <v>61.8</v>
      </c>
      <c r="N829" s="56">
        <v>53.5</v>
      </c>
      <c r="O829" s="56">
        <v>42.9</v>
      </c>
      <c r="P829" s="56">
        <v>33.700000000000003</v>
      </c>
      <c r="Q829" s="56">
        <v>24.1</v>
      </c>
      <c r="R829" s="57">
        <v>41.5</v>
      </c>
    </row>
    <row r="830" spans="2:18" x14ac:dyDescent="0.4">
      <c r="B830" s="50"/>
      <c r="C830" s="51" t="s">
        <v>257</v>
      </c>
      <c r="D830" s="49" t="s">
        <v>256</v>
      </c>
      <c r="E830" s="49" t="str">
        <f>B829&amp;C830</f>
        <v>Toledo, OHTAX</v>
      </c>
      <c r="F830" s="56">
        <v>32.4</v>
      </c>
      <c r="G830" s="56">
        <v>35.700000000000003</v>
      </c>
      <c r="H830" s="56">
        <v>46.2</v>
      </c>
      <c r="I830" s="56">
        <v>59.8</v>
      </c>
      <c r="J830" s="56">
        <v>70.3</v>
      </c>
      <c r="K830" s="56">
        <v>80.099999999999994</v>
      </c>
      <c r="L830" s="56">
        <v>83.5</v>
      </c>
      <c r="M830" s="56">
        <v>81.599999999999994</v>
      </c>
      <c r="N830" s="56">
        <v>75.099999999999994</v>
      </c>
      <c r="O830" s="56">
        <v>62.5</v>
      </c>
      <c r="P830" s="56">
        <v>48.9</v>
      </c>
      <c r="Q830" s="56">
        <v>36.299999999999997</v>
      </c>
      <c r="R830" s="57">
        <v>59.4</v>
      </c>
    </row>
    <row r="831" spans="2:18" x14ac:dyDescent="0.4">
      <c r="B831" s="50"/>
      <c r="C831" s="51" t="s">
        <v>258</v>
      </c>
      <c r="D831" s="49" t="s">
        <v>259</v>
      </c>
      <c r="E831" s="49" t="str">
        <f>B829&amp;C831</f>
        <v>Toledo, OHV</v>
      </c>
      <c r="F831" s="56">
        <v>10.5</v>
      </c>
      <c r="G831" s="56">
        <v>9.8000000000000007</v>
      </c>
      <c r="H831" s="56">
        <v>9.8000000000000007</v>
      </c>
      <c r="I831" s="56">
        <v>10.3</v>
      </c>
      <c r="J831" s="56">
        <v>8.6999999999999993</v>
      </c>
      <c r="K831" s="56">
        <v>7.2</v>
      </c>
      <c r="L831" s="56">
        <v>6.9</v>
      </c>
      <c r="M831" s="56">
        <v>6.3</v>
      </c>
      <c r="N831" s="56">
        <v>6.7</v>
      </c>
      <c r="O831" s="56">
        <v>8.3000000000000007</v>
      </c>
      <c r="P831" s="56">
        <v>9.4</v>
      </c>
      <c r="Q831" s="56">
        <v>9.6</v>
      </c>
      <c r="R831" s="57">
        <v>8.6999999999999993</v>
      </c>
    </row>
    <row r="832" spans="2:18" x14ac:dyDescent="0.4">
      <c r="B832" s="50"/>
      <c r="C832" s="51" t="s">
        <v>260</v>
      </c>
      <c r="D832" s="49" t="s">
        <v>261</v>
      </c>
      <c r="E832" s="49" t="str">
        <f>B829&amp;C832</f>
        <v>Toledo, OHI</v>
      </c>
      <c r="F832" s="56">
        <v>485</v>
      </c>
      <c r="G832" s="56">
        <v>754</v>
      </c>
      <c r="H832" s="56">
        <v>1125</v>
      </c>
      <c r="I832" s="56">
        <v>1446</v>
      </c>
      <c r="J832" s="56">
        <v>1747</v>
      </c>
      <c r="K832" s="56">
        <v>1939</v>
      </c>
      <c r="L832" s="56">
        <v>1938</v>
      </c>
      <c r="M832" s="56">
        <v>1656</v>
      </c>
      <c r="N832" s="56">
        <v>1360</v>
      </c>
      <c r="O832" s="56">
        <v>912</v>
      </c>
      <c r="P832" s="56">
        <v>537</v>
      </c>
      <c r="Q832" s="56">
        <v>408</v>
      </c>
      <c r="R832" s="57">
        <v>1192</v>
      </c>
    </row>
    <row r="833" spans="2:18" x14ac:dyDescent="0.4">
      <c r="B833" s="50"/>
      <c r="C833" s="51" t="s">
        <v>262</v>
      </c>
      <c r="D833" s="49" t="s">
        <v>263</v>
      </c>
      <c r="E833" s="49" t="str">
        <f>B829&amp;C833</f>
        <v>Toledo, OHPA</v>
      </c>
      <c r="F833" s="58" t="s">
        <v>506</v>
      </c>
      <c r="G833" s="58" t="s">
        <v>506</v>
      </c>
      <c r="H833" s="58" t="s">
        <v>506</v>
      </c>
      <c r="I833" s="58" t="s">
        <v>506</v>
      </c>
      <c r="J833" s="58" t="s">
        <v>506</v>
      </c>
      <c r="K833" s="58" t="s">
        <v>506</v>
      </c>
      <c r="L833" s="58" t="s">
        <v>506</v>
      </c>
      <c r="M833" s="58" t="s">
        <v>506</v>
      </c>
      <c r="N833" s="58" t="s">
        <v>506</v>
      </c>
      <c r="O833" s="58" t="s">
        <v>506</v>
      </c>
      <c r="P833" s="58" t="s">
        <v>506</v>
      </c>
      <c r="Q833" s="58" t="s">
        <v>506</v>
      </c>
      <c r="R833" s="57">
        <v>14.34</v>
      </c>
    </row>
    <row r="834" spans="2:18" x14ac:dyDescent="0.4">
      <c r="B834" s="48" t="s">
        <v>429</v>
      </c>
      <c r="C834" s="51" t="s">
        <v>255</v>
      </c>
      <c r="D834" s="49" t="s">
        <v>256</v>
      </c>
      <c r="E834" s="49" t="str">
        <f>B834&amp;C834</f>
        <v>Youngstown, OHTAN</v>
      </c>
      <c r="F834" s="56">
        <v>20.100000000000001</v>
      </c>
      <c r="G834" s="56">
        <v>21.3</v>
      </c>
      <c r="H834" s="56">
        <v>28.2</v>
      </c>
      <c r="I834" s="56">
        <v>38.799999999999997</v>
      </c>
      <c r="J834" s="56">
        <v>47.3</v>
      </c>
      <c r="K834" s="56">
        <v>56.6</v>
      </c>
      <c r="L834" s="56">
        <v>60.2</v>
      </c>
      <c r="M834" s="56">
        <v>59.2</v>
      </c>
      <c r="N834" s="56">
        <v>52.1</v>
      </c>
      <c r="O834" s="56">
        <v>42</v>
      </c>
      <c r="P834" s="56">
        <v>34.299999999999997</v>
      </c>
      <c r="Q834" s="56">
        <v>24.7</v>
      </c>
      <c r="R834" s="57">
        <v>40.4</v>
      </c>
    </row>
    <row r="835" spans="2:18" x14ac:dyDescent="0.4">
      <c r="B835" s="50"/>
      <c r="C835" s="51" t="s">
        <v>257</v>
      </c>
      <c r="D835" s="49" t="s">
        <v>256</v>
      </c>
      <c r="E835" s="49" t="str">
        <f>B834&amp;C835</f>
        <v>Youngstown, OHTAX</v>
      </c>
      <c r="F835" s="56">
        <v>33.299999999999997</v>
      </c>
      <c r="G835" s="56">
        <v>36</v>
      </c>
      <c r="H835" s="56">
        <v>45.5</v>
      </c>
      <c r="I835" s="56">
        <v>59.3</v>
      </c>
      <c r="J835" s="56">
        <v>68.900000000000006</v>
      </c>
      <c r="K835" s="56">
        <v>77.5</v>
      </c>
      <c r="L835" s="56">
        <v>80.900000000000006</v>
      </c>
      <c r="M835" s="56">
        <v>79.8</v>
      </c>
      <c r="N835" s="56">
        <v>72.400000000000006</v>
      </c>
      <c r="O835" s="56">
        <v>60.6</v>
      </c>
      <c r="P835" s="56">
        <v>48.7</v>
      </c>
      <c r="Q835" s="56">
        <v>36.9</v>
      </c>
      <c r="R835" s="57">
        <v>58.3</v>
      </c>
    </row>
    <row r="836" spans="2:18" x14ac:dyDescent="0.4">
      <c r="B836" s="50"/>
      <c r="C836" s="51" t="s">
        <v>258</v>
      </c>
      <c r="D836" s="49" t="s">
        <v>259</v>
      </c>
      <c r="E836" s="49" t="str">
        <f>B834&amp;C836</f>
        <v>Youngstown, OHV</v>
      </c>
      <c r="F836" s="56">
        <v>10.1</v>
      </c>
      <c r="G836" s="56">
        <v>9.6</v>
      </c>
      <c r="H836" s="56">
        <v>9.6</v>
      </c>
      <c r="I836" s="56">
        <v>9.6</v>
      </c>
      <c r="J836" s="56">
        <v>8.3000000000000007</v>
      </c>
      <c r="K836" s="56">
        <v>7.2</v>
      </c>
      <c r="L836" s="56">
        <v>6.9</v>
      </c>
      <c r="M836" s="56">
        <v>6.5</v>
      </c>
      <c r="N836" s="56">
        <v>7.2</v>
      </c>
      <c r="O836" s="56">
        <v>8.1</v>
      </c>
      <c r="P836" s="56">
        <v>9.1999999999999993</v>
      </c>
      <c r="Q836" s="56">
        <v>9.6</v>
      </c>
      <c r="R836" s="57">
        <v>8.5</v>
      </c>
    </row>
    <row r="837" spans="2:18" x14ac:dyDescent="0.4">
      <c r="B837" s="50"/>
      <c r="C837" s="51" t="s">
        <v>260</v>
      </c>
      <c r="D837" s="49" t="s">
        <v>261</v>
      </c>
      <c r="E837" s="49" t="str">
        <f>B834&amp;C837</f>
        <v>Youngstown, OHI</v>
      </c>
      <c r="F837" s="56">
        <v>476</v>
      </c>
      <c r="G837" s="56">
        <v>714</v>
      </c>
      <c r="H837" s="56">
        <v>1070</v>
      </c>
      <c r="I837" s="56">
        <v>1410</v>
      </c>
      <c r="J837" s="56">
        <v>1680</v>
      </c>
      <c r="K837" s="56">
        <v>1842</v>
      </c>
      <c r="L837" s="56">
        <v>1839</v>
      </c>
      <c r="M837" s="56">
        <v>1631</v>
      </c>
      <c r="N837" s="56">
        <v>1295</v>
      </c>
      <c r="O837" s="56">
        <v>859</v>
      </c>
      <c r="P837" s="56">
        <v>520</v>
      </c>
      <c r="Q837" s="56">
        <v>423</v>
      </c>
      <c r="R837" s="57">
        <v>1147</v>
      </c>
    </row>
    <row r="838" spans="2:18" x14ac:dyDescent="0.4">
      <c r="B838" s="50"/>
      <c r="C838" s="51" t="s">
        <v>262</v>
      </c>
      <c r="D838" s="49" t="s">
        <v>263</v>
      </c>
      <c r="E838" s="49" t="str">
        <f>B834&amp;C838</f>
        <v>Youngstown, OHPA</v>
      </c>
      <c r="F838" s="58" t="s">
        <v>506</v>
      </c>
      <c r="G838" s="58" t="s">
        <v>506</v>
      </c>
      <c r="H838" s="58" t="s">
        <v>506</v>
      </c>
      <c r="I838" s="58" t="s">
        <v>506</v>
      </c>
      <c r="J838" s="58" t="s">
        <v>506</v>
      </c>
      <c r="K838" s="58" t="s">
        <v>506</v>
      </c>
      <c r="L838" s="58" t="s">
        <v>506</v>
      </c>
      <c r="M838" s="58" t="s">
        <v>506</v>
      </c>
      <c r="N838" s="58" t="s">
        <v>506</v>
      </c>
      <c r="O838" s="58" t="s">
        <v>506</v>
      </c>
      <c r="P838" s="58" t="s">
        <v>506</v>
      </c>
      <c r="Q838" s="58" t="s">
        <v>506</v>
      </c>
      <c r="R838" s="57">
        <v>14.08</v>
      </c>
    </row>
    <row r="839" spans="2:18" ht="20.6" x14ac:dyDescent="0.4">
      <c r="B839" s="48" t="s">
        <v>430</v>
      </c>
      <c r="C839" s="51" t="s">
        <v>255</v>
      </c>
      <c r="D839" s="49" t="s">
        <v>256</v>
      </c>
      <c r="E839" s="49" t="str">
        <f>B839&amp;C839</f>
        <v>Oklahoma City, OKTAN</v>
      </c>
      <c r="F839" s="56">
        <v>28.7</v>
      </c>
      <c r="G839" s="56">
        <v>32.799999999999997</v>
      </c>
      <c r="H839" s="56">
        <v>40.5</v>
      </c>
      <c r="I839" s="56">
        <v>49.1</v>
      </c>
      <c r="J839" s="56">
        <v>59.3</v>
      </c>
      <c r="K839" s="56">
        <v>67.400000000000006</v>
      </c>
      <c r="L839" s="56">
        <v>71.5</v>
      </c>
      <c r="M839" s="56">
        <v>70.599999999999994</v>
      </c>
      <c r="N839" s="56">
        <v>62.5</v>
      </c>
      <c r="O839" s="56">
        <v>51</v>
      </c>
      <c r="P839" s="56">
        <v>39.5</v>
      </c>
      <c r="Q839" s="56">
        <v>30.9</v>
      </c>
      <c r="R839" s="57">
        <v>50.3</v>
      </c>
    </row>
    <row r="840" spans="2:18" ht="20.6" x14ac:dyDescent="0.4">
      <c r="B840" s="50"/>
      <c r="C840" s="51" t="s">
        <v>257</v>
      </c>
      <c r="D840" s="49" t="s">
        <v>256</v>
      </c>
      <c r="E840" s="49" t="str">
        <f>B839&amp;C840</f>
        <v>Oklahoma City, OKTAX</v>
      </c>
      <c r="F840" s="56">
        <v>48.7</v>
      </c>
      <c r="G840" s="56">
        <v>54.1</v>
      </c>
      <c r="H840" s="56">
        <v>62.1</v>
      </c>
      <c r="I840" s="56">
        <v>70.8</v>
      </c>
      <c r="J840" s="56">
        <v>78.900000000000006</v>
      </c>
      <c r="K840" s="56">
        <v>86.9</v>
      </c>
      <c r="L840" s="56">
        <v>92.8</v>
      </c>
      <c r="M840" s="56">
        <v>92.1</v>
      </c>
      <c r="N840" s="56">
        <v>83.2</v>
      </c>
      <c r="O840" s="56">
        <v>72.599999999999994</v>
      </c>
      <c r="P840" s="56">
        <v>60.3</v>
      </c>
      <c r="Q840" s="56">
        <v>50.4</v>
      </c>
      <c r="R840" s="57">
        <v>71.099999999999994</v>
      </c>
    </row>
    <row r="841" spans="2:18" x14ac:dyDescent="0.4">
      <c r="B841" s="50"/>
      <c r="C841" s="51" t="s">
        <v>258</v>
      </c>
      <c r="D841" s="49" t="s">
        <v>259</v>
      </c>
      <c r="E841" s="49" t="str">
        <f>B839&amp;C841</f>
        <v>Oklahoma City, OKV</v>
      </c>
      <c r="F841" s="56">
        <v>11.4</v>
      </c>
      <c r="G841" s="56">
        <v>11.9</v>
      </c>
      <c r="H841" s="56">
        <v>13.4</v>
      </c>
      <c r="I841" s="56">
        <v>13.4</v>
      </c>
      <c r="J841" s="56">
        <v>11.4</v>
      </c>
      <c r="K841" s="56">
        <v>10.7</v>
      </c>
      <c r="L841" s="56">
        <v>9.8000000000000007</v>
      </c>
      <c r="M841" s="56">
        <v>9.1999999999999993</v>
      </c>
      <c r="N841" s="56">
        <v>9.6</v>
      </c>
      <c r="O841" s="56">
        <v>11</v>
      </c>
      <c r="P841" s="56">
        <v>11.6</v>
      </c>
      <c r="Q841" s="56">
        <v>11.4</v>
      </c>
      <c r="R841" s="57">
        <v>11.2</v>
      </c>
    </row>
    <row r="842" spans="2:18" x14ac:dyDescent="0.4">
      <c r="B842" s="50"/>
      <c r="C842" s="51" t="s">
        <v>260</v>
      </c>
      <c r="D842" s="49" t="s">
        <v>261</v>
      </c>
      <c r="E842" s="49" t="str">
        <f>B839&amp;C842</f>
        <v>Oklahoma City, OKI</v>
      </c>
      <c r="F842" s="56">
        <v>831</v>
      </c>
      <c r="G842" s="56">
        <v>1090</v>
      </c>
      <c r="H842" s="56">
        <v>1389</v>
      </c>
      <c r="I842" s="56">
        <v>1757</v>
      </c>
      <c r="J842" s="56">
        <v>1898</v>
      </c>
      <c r="K842" s="56">
        <v>2111</v>
      </c>
      <c r="L842" s="56">
        <v>2215</v>
      </c>
      <c r="M842" s="56">
        <v>1982</v>
      </c>
      <c r="N842" s="56">
        <v>1600</v>
      </c>
      <c r="O842" s="56">
        <v>1235</v>
      </c>
      <c r="P842" s="56">
        <v>889</v>
      </c>
      <c r="Q842" s="56">
        <v>751</v>
      </c>
      <c r="R842" s="57">
        <v>1479</v>
      </c>
    </row>
    <row r="843" spans="2:18" ht="20.6" x14ac:dyDescent="0.4">
      <c r="B843" s="50"/>
      <c r="C843" s="51" t="s">
        <v>262</v>
      </c>
      <c r="D843" s="49" t="s">
        <v>263</v>
      </c>
      <c r="E843" s="49" t="str">
        <f>B839&amp;C843</f>
        <v>Oklahoma City, OKPA</v>
      </c>
      <c r="F843" s="58" t="s">
        <v>506</v>
      </c>
      <c r="G843" s="58" t="s">
        <v>506</v>
      </c>
      <c r="H843" s="58" t="s">
        <v>506</v>
      </c>
      <c r="I843" s="58" t="s">
        <v>506</v>
      </c>
      <c r="J843" s="58" t="s">
        <v>506</v>
      </c>
      <c r="K843" s="58" t="s">
        <v>506</v>
      </c>
      <c r="L843" s="58" t="s">
        <v>506</v>
      </c>
      <c r="M843" s="58" t="s">
        <v>506</v>
      </c>
      <c r="N843" s="58" t="s">
        <v>506</v>
      </c>
      <c r="O843" s="58" t="s">
        <v>506</v>
      </c>
      <c r="P843" s="58" t="s">
        <v>506</v>
      </c>
      <c r="Q843" s="58" t="s">
        <v>506</v>
      </c>
      <c r="R843" s="57">
        <v>14.01</v>
      </c>
    </row>
    <row r="844" spans="2:18" x14ac:dyDescent="0.4">
      <c r="B844" s="48" t="s">
        <v>431</v>
      </c>
      <c r="C844" s="51" t="s">
        <v>255</v>
      </c>
      <c r="D844" s="49" t="s">
        <v>256</v>
      </c>
      <c r="E844" s="49" t="str">
        <f>B844&amp;C844</f>
        <v>Tulsa, OKTAN</v>
      </c>
      <c r="F844" s="56">
        <v>28.9</v>
      </c>
      <c r="G844" s="56">
        <v>32.9</v>
      </c>
      <c r="H844" s="56">
        <v>40.9</v>
      </c>
      <c r="I844" s="56">
        <v>50.1</v>
      </c>
      <c r="J844" s="56">
        <v>60.2</v>
      </c>
      <c r="K844" s="56">
        <v>68.599999999999994</v>
      </c>
      <c r="L844" s="56">
        <v>73.400000000000006</v>
      </c>
      <c r="M844" s="56">
        <v>72.2</v>
      </c>
      <c r="N844" s="56">
        <v>62.6</v>
      </c>
      <c r="O844" s="56">
        <v>51.3</v>
      </c>
      <c r="P844" s="56">
        <v>40.4</v>
      </c>
      <c r="Q844" s="56">
        <v>31.3</v>
      </c>
      <c r="R844" s="57">
        <v>51.1</v>
      </c>
    </row>
    <row r="845" spans="2:18" x14ac:dyDescent="0.4">
      <c r="B845" s="50"/>
      <c r="C845" s="51" t="s">
        <v>257</v>
      </c>
      <c r="D845" s="49" t="s">
        <v>256</v>
      </c>
      <c r="E845" s="49" t="str">
        <f>B844&amp;C845</f>
        <v>Tulsa, OKTAX</v>
      </c>
      <c r="F845" s="56">
        <v>47.4</v>
      </c>
      <c r="G845" s="56">
        <v>53.4</v>
      </c>
      <c r="H845" s="56">
        <v>61.7</v>
      </c>
      <c r="I845" s="56">
        <v>71</v>
      </c>
      <c r="J845" s="56">
        <v>78.7</v>
      </c>
      <c r="K845" s="56">
        <v>86.5</v>
      </c>
      <c r="L845" s="56">
        <v>92.3</v>
      </c>
      <c r="M845" s="56">
        <v>92.4</v>
      </c>
      <c r="N845" s="56">
        <v>83.2</v>
      </c>
      <c r="O845" s="56">
        <v>72.599999999999994</v>
      </c>
      <c r="P845" s="56">
        <v>60.2</v>
      </c>
      <c r="Q845" s="56">
        <v>49.6</v>
      </c>
      <c r="R845" s="57">
        <v>70.8</v>
      </c>
    </row>
    <row r="846" spans="2:18" x14ac:dyDescent="0.4">
      <c r="B846" s="50"/>
      <c r="C846" s="51" t="s">
        <v>258</v>
      </c>
      <c r="D846" s="49" t="s">
        <v>259</v>
      </c>
      <c r="E846" s="49" t="str">
        <f>B844&amp;C846</f>
        <v>Tulsa, OKV</v>
      </c>
      <c r="F846" s="56">
        <v>9.1999999999999993</v>
      </c>
      <c r="G846" s="56">
        <v>9.4</v>
      </c>
      <c r="H846" s="56">
        <v>10.7</v>
      </c>
      <c r="I846" s="56">
        <v>11.2</v>
      </c>
      <c r="J846" s="56">
        <v>9.6</v>
      </c>
      <c r="K846" s="56">
        <v>9.1999999999999993</v>
      </c>
      <c r="L846" s="56">
        <v>8.6999999999999993</v>
      </c>
      <c r="M846" s="56">
        <v>7.6</v>
      </c>
      <c r="N846" s="56">
        <v>7.8</v>
      </c>
      <c r="O846" s="56">
        <v>8.6999999999999993</v>
      </c>
      <c r="P846" s="56">
        <v>9.4</v>
      </c>
      <c r="Q846" s="56">
        <v>9.1999999999999993</v>
      </c>
      <c r="R846" s="57">
        <v>9.1999999999999993</v>
      </c>
    </row>
    <row r="847" spans="2:18" x14ac:dyDescent="0.4">
      <c r="B847" s="50"/>
      <c r="C847" s="51" t="s">
        <v>260</v>
      </c>
      <c r="D847" s="49" t="s">
        <v>261</v>
      </c>
      <c r="E847" s="49" t="str">
        <f>B844&amp;C847</f>
        <v>Tulsa, OKI</v>
      </c>
      <c r="F847" s="56">
        <v>748</v>
      </c>
      <c r="G847" s="56">
        <v>1023</v>
      </c>
      <c r="H847" s="56">
        <v>1320</v>
      </c>
      <c r="I847" s="56">
        <v>1671</v>
      </c>
      <c r="J847" s="56">
        <v>1822</v>
      </c>
      <c r="K847" s="56">
        <v>2027</v>
      </c>
      <c r="L847" s="56">
        <v>2152</v>
      </c>
      <c r="M847" s="56">
        <v>1938</v>
      </c>
      <c r="N847" s="56">
        <v>1523</v>
      </c>
      <c r="O847" s="56">
        <v>1166</v>
      </c>
      <c r="P847" s="56">
        <v>816</v>
      </c>
      <c r="Q847" s="56">
        <v>682</v>
      </c>
      <c r="R847" s="57">
        <v>1407</v>
      </c>
    </row>
    <row r="848" spans="2:18" x14ac:dyDescent="0.4">
      <c r="B848" s="50"/>
      <c r="C848" s="51" t="s">
        <v>262</v>
      </c>
      <c r="D848" s="49" t="s">
        <v>263</v>
      </c>
      <c r="E848" s="49" t="str">
        <f>B844&amp;C848</f>
        <v>Tulsa, OKPA</v>
      </c>
      <c r="F848" s="58" t="s">
        <v>506</v>
      </c>
      <c r="G848" s="58" t="s">
        <v>506</v>
      </c>
      <c r="H848" s="58" t="s">
        <v>506</v>
      </c>
      <c r="I848" s="58" t="s">
        <v>506</v>
      </c>
      <c r="J848" s="58" t="s">
        <v>506</v>
      </c>
      <c r="K848" s="58" t="s">
        <v>506</v>
      </c>
      <c r="L848" s="58" t="s">
        <v>506</v>
      </c>
      <c r="M848" s="58" t="s">
        <v>506</v>
      </c>
      <c r="N848" s="58" t="s">
        <v>506</v>
      </c>
      <c r="O848" s="58" t="s">
        <v>506</v>
      </c>
      <c r="P848" s="58" t="s">
        <v>506</v>
      </c>
      <c r="Q848" s="58" t="s">
        <v>506</v>
      </c>
      <c r="R848" s="57">
        <v>14.36</v>
      </c>
    </row>
    <row r="849" spans="2:18" x14ac:dyDescent="0.4">
      <c r="B849" s="48" t="s">
        <v>432</v>
      </c>
      <c r="C849" s="51" t="s">
        <v>255</v>
      </c>
      <c r="D849" s="49" t="s">
        <v>256</v>
      </c>
      <c r="E849" s="49" t="str">
        <f>B849&amp;C849</f>
        <v>Astoria, ORTAN</v>
      </c>
      <c r="F849" s="56">
        <v>38.700000000000003</v>
      </c>
      <c r="G849" s="56">
        <v>38.1</v>
      </c>
      <c r="H849" s="56">
        <v>39.5</v>
      </c>
      <c r="I849" s="56">
        <v>41.9</v>
      </c>
      <c r="J849" s="56">
        <v>46.5</v>
      </c>
      <c r="K849" s="56">
        <v>50.7</v>
      </c>
      <c r="L849" s="56">
        <v>54.1</v>
      </c>
      <c r="M849" s="56">
        <v>54.1</v>
      </c>
      <c r="N849" s="56">
        <v>50.4</v>
      </c>
      <c r="O849" s="56">
        <v>45.3</v>
      </c>
      <c r="P849" s="56">
        <v>41</v>
      </c>
      <c r="Q849" s="56">
        <v>38.6</v>
      </c>
      <c r="R849" s="57">
        <v>44.9</v>
      </c>
    </row>
    <row r="850" spans="2:18" x14ac:dyDescent="0.4">
      <c r="B850" s="50"/>
      <c r="C850" s="51" t="s">
        <v>257</v>
      </c>
      <c r="D850" s="49" t="s">
        <v>256</v>
      </c>
      <c r="E850" s="49" t="str">
        <f>B849&amp;C850</f>
        <v>Astoria, ORTAX</v>
      </c>
      <c r="F850" s="56">
        <v>49.1</v>
      </c>
      <c r="G850" s="56">
        <v>51.3</v>
      </c>
      <c r="H850" s="56">
        <v>52.7</v>
      </c>
      <c r="I850" s="56">
        <v>55.3</v>
      </c>
      <c r="J850" s="56">
        <v>59.8</v>
      </c>
      <c r="K850" s="56">
        <v>63.2</v>
      </c>
      <c r="L850" s="56">
        <v>66.8</v>
      </c>
      <c r="M850" s="56">
        <v>67.7</v>
      </c>
      <c r="N850" s="56">
        <v>66.8</v>
      </c>
      <c r="O850" s="56">
        <v>60</v>
      </c>
      <c r="P850" s="56">
        <v>53.2</v>
      </c>
      <c r="Q850" s="56">
        <v>48.6</v>
      </c>
      <c r="R850" s="57">
        <v>57.9</v>
      </c>
    </row>
    <row r="851" spans="2:18" x14ac:dyDescent="0.4">
      <c r="B851" s="50"/>
      <c r="C851" s="51" t="s">
        <v>258</v>
      </c>
      <c r="D851" s="49" t="s">
        <v>259</v>
      </c>
      <c r="E851" s="49" t="str">
        <f>B849&amp;C851</f>
        <v>Astoria, ORV</v>
      </c>
      <c r="F851" s="56">
        <v>8.5</v>
      </c>
      <c r="G851" s="56">
        <v>7.8</v>
      </c>
      <c r="H851" s="56">
        <v>7.8</v>
      </c>
      <c r="I851" s="56">
        <v>7.8</v>
      </c>
      <c r="J851" s="56">
        <v>7.6</v>
      </c>
      <c r="K851" s="56">
        <v>7.8</v>
      </c>
      <c r="L851" s="56">
        <v>8.1</v>
      </c>
      <c r="M851" s="56">
        <v>7.2</v>
      </c>
      <c r="N851" s="56">
        <v>6.7</v>
      </c>
      <c r="O851" s="56">
        <v>6.7</v>
      </c>
      <c r="P851" s="56">
        <v>7.8</v>
      </c>
      <c r="Q851" s="56">
        <v>8.6999999999999993</v>
      </c>
      <c r="R851" s="57">
        <v>7.6</v>
      </c>
    </row>
    <row r="852" spans="2:18" x14ac:dyDescent="0.4">
      <c r="B852" s="50"/>
      <c r="C852" s="51" t="s">
        <v>260</v>
      </c>
      <c r="D852" s="49" t="s">
        <v>261</v>
      </c>
      <c r="E852" s="49" t="str">
        <f>B849&amp;C852</f>
        <v>Astoria, ORI</v>
      </c>
      <c r="F852" s="56">
        <v>343</v>
      </c>
      <c r="G852" s="56">
        <v>600</v>
      </c>
      <c r="H852" s="56">
        <v>877</v>
      </c>
      <c r="I852" s="56">
        <v>1252</v>
      </c>
      <c r="J852" s="56">
        <v>1537</v>
      </c>
      <c r="K852" s="56">
        <v>1627</v>
      </c>
      <c r="L852" s="56">
        <v>1708</v>
      </c>
      <c r="M852" s="56">
        <v>1492</v>
      </c>
      <c r="N852" s="56">
        <v>1196</v>
      </c>
      <c r="O852" s="56">
        <v>728</v>
      </c>
      <c r="P852" s="56">
        <v>391</v>
      </c>
      <c r="Q852" s="56">
        <v>302</v>
      </c>
      <c r="R852" s="57">
        <v>1005</v>
      </c>
    </row>
    <row r="853" spans="2:18" x14ac:dyDescent="0.4">
      <c r="B853" s="50"/>
      <c r="C853" s="51" t="s">
        <v>262</v>
      </c>
      <c r="D853" s="49" t="s">
        <v>263</v>
      </c>
      <c r="E853" s="49" t="str">
        <f>B849&amp;C853</f>
        <v>Astoria, ORPA</v>
      </c>
      <c r="F853" s="58" t="s">
        <v>506</v>
      </c>
      <c r="G853" s="58" t="s">
        <v>506</v>
      </c>
      <c r="H853" s="58" t="s">
        <v>506</v>
      </c>
      <c r="I853" s="58" t="s">
        <v>506</v>
      </c>
      <c r="J853" s="58" t="s">
        <v>506</v>
      </c>
      <c r="K853" s="58" t="s">
        <v>506</v>
      </c>
      <c r="L853" s="58" t="s">
        <v>506</v>
      </c>
      <c r="M853" s="58" t="s">
        <v>506</v>
      </c>
      <c r="N853" s="58" t="s">
        <v>506</v>
      </c>
      <c r="O853" s="58" t="s">
        <v>506</v>
      </c>
      <c r="P853" s="58" t="s">
        <v>506</v>
      </c>
      <c r="Q853" s="58" t="s">
        <v>506</v>
      </c>
      <c r="R853" s="57">
        <v>14.69</v>
      </c>
    </row>
    <row r="854" spans="2:18" x14ac:dyDescent="0.4">
      <c r="B854" s="48" t="s">
        <v>433</v>
      </c>
      <c r="C854" s="51" t="s">
        <v>255</v>
      </c>
      <c r="D854" s="49" t="s">
        <v>256</v>
      </c>
      <c r="E854" s="49" t="str">
        <f>B854&amp;C854</f>
        <v>Burns, ORTAN</v>
      </c>
      <c r="F854" s="56">
        <v>17.3</v>
      </c>
      <c r="G854" s="56">
        <v>19.399999999999999</v>
      </c>
      <c r="H854" s="56">
        <v>25.6</v>
      </c>
      <c r="I854" s="56">
        <v>29.5</v>
      </c>
      <c r="J854" s="56">
        <v>37.299999999999997</v>
      </c>
      <c r="K854" s="56">
        <v>42.5</v>
      </c>
      <c r="L854" s="56">
        <v>48.4</v>
      </c>
      <c r="M854" s="56">
        <v>45.6</v>
      </c>
      <c r="N854" s="56">
        <v>37.299999999999997</v>
      </c>
      <c r="O854" s="56">
        <v>28.3</v>
      </c>
      <c r="P854" s="56">
        <v>22.3</v>
      </c>
      <c r="Q854" s="56">
        <v>16</v>
      </c>
      <c r="R854" s="57">
        <v>30.8</v>
      </c>
    </row>
    <row r="855" spans="2:18" x14ac:dyDescent="0.4">
      <c r="B855" s="50"/>
      <c r="C855" s="51" t="s">
        <v>257</v>
      </c>
      <c r="D855" s="49" t="s">
        <v>256</v>
      </c>
      <c r="E855" s="49" t="str">
        <f>B854&amp;C855</f>
        <v>Burns, ORTAX</v>
      </c>
      <c r="F855" s="56">
        <v>35.1</v>
      </c>
      <c r="G855" s="56">
        <v>39.299999999999997</v>
      </c>
      <c r="H855" s="56">
        <v>49</v>
      </c>
      <c r="I855" s="56">
        <v>55.6</v>
      </c>
      <c r="J855" s="56">
        <v>65.8</v>
      </c>
      <c r="K855" s="56">
        <v>74</v>
      </c>
      <c r="L855" s="56">
        <v>86</v>
      </c>
      <c r="M855" s="56">
        <v>84.4</v>
      </c>
      <c r="N855" s="56">
        <v>76</v>
      </c>
      <c r="O855" s="56">
        <v>61.2</v>
      </c>
      <c r="P855" s="56">
        <v>45</v>
      </c>
      <c r="Q855" s="56">
        <v>34.700000000000003</v>
      </c>
      <c r="R855" s="57">
        <v>58.8</v>
      </c>
    </row>
    <row r="856" spans="2:18" x14ac:dyDescent="0.4">
      <c r="B856" s="50"/>
      <c r="C856" s="51" t="s">
        <v>258</v>
      </c>
      <c r="D856" s="49" t="s">
        <v>259</v>
      </c>
      <c r="E856" s="49" t="str">
        <f>B854&amp;C856</f>
        <v>Burns, ORV</v>
      </c>
      <c r="F856" s="56">
        <v>5.0999999999999996</v>
      </c>
      <c r="G856" s="56">
        <v>5.6</v>
      </c>
      <c r="H856" s="56">
        <v>6.9</v>
      </c>
      <c r="I856" s="56">
        <v>7.8</v>
      </c>
      <c r="J856" s="56">
        <v>7.6</v>
      </c>
      <c r="K856" s="56">
        <v>7.2</v>
      </c>
      <c r="L856" s="56">
        <v>6.7</v>
      </c>
      <c r="M856" s="56">
        <v>6.5</v>
      </c>
      <c r="N856" s="56">
        <v>6</v>
      </c>
      <c r="O856" s="56">
        <v>5.8</v>
      </c>
      <c r="P856" s="56">
        <v>5.4</v>
      </c>
      <c r="Q856" s="56">
        <v>5.0999999999999996</v>
      </c>
      <c r="R856" s="57">
        <v>6.3</v>
      </c>
    </row>
    <row r="857" spans="2:18" x14ac:dyDescent="0.4">
      <c r="B857" s="50"/>
      <c r="C857" s="51" t="s">
        <v>260</v>
      </c>
      <c r="D857" s="49" t="s">
        <v>261</v>
      </c>
      <c r="E857" s="49" t="str">
        <f>B854&amp;C857</f>
        <v>Burns, ORI</v>
      </c>
      <c r="F857" s="56">
        <v>475</v>
      </c>
      <c r="G857" s="56">
        <v>707</v>
      </c>
      <c r="H857" s="56">
        <v>1195</v>
      </c>
      <c r="I857" s="56">
        <v>1606</v>
      </c>
      <c r="J857" s="56">
        <v>2000</v>
      </c>
      <c r="K857" s="56">
        <v>2285</v>
      </c>
      <c r="L857" s="56">
        <v>2459</v>
      </c>
      <c r="M857" s="56">
        <v>2155</v>
      </c>
      <c r="N857" s="56">
        <v>1691</v>
      </c>
      <c r="O857" s="56">
        <v>1098</v>
      </c>
      <c r="P857" s="56">
        <v>573</v>
      </c>
      <c r="Q857" s="56">
        <v>384</v>
      </c>
      <c r="R857" s="57">
        <v>1386</v>
      </c>
    </row>
    <row r="858" spans="2:18" x14ac:dyDescent="0.4">
      <c r="B858" s="50"/>
      <c r="C858" s="51" t="s">
        <v>262</v>
      </c>
      <c r="D858" s="49" t="s">
        <v>263</v>
      </c>
      <c r="E858" s="49" t="str">
        <f>B854&amp;C858</f>
        <v>Burns, ORPA</v>
      </c>
      <c r="F858" s="58" t="s">
        <v>506</v>
      </c>
      <c r="G858" s="58" t="s">
        <v>506</v>
      </c>
      <c r="H858" s="58" t="s">
        <v>506</v>
      </c>
      <c r="I858" s="58" t="s">
        <v>506</v>
      </c>
      <c r="J858" s="58" t="s">
        <v>506</v>
      </c>
      <c r="K858" s="58" t="s">
        <v>506</v>
      </c>
      <c r="L858" s="58" t="s">
        <v>506</v>
      </c>
      <c r="M858" s="58" t="s">
        <v>506</v>
      </c>
      <c r="N858" s="58" t="s">
        <v>506</v>
      </c>
      <c r="O858" s="58" t="s">
        <v>506</v>
      </c>
      <c r="P858" s="58" t="s">
        <v>506</v>
      </c>
      <c r="Q858" s="58" t="s">
        <v>506</v>
      </c>
      <c r="R858" s="57">
        <v>12.63</v>
      </c>
    </row>
    <row r="859" spans="2:18" x14ac:dyDescent="0.4">
      <c r="B859" s="48" t="s">
        <v>434</v>
      </c>
      <c r="C859" s="51" t="s">
        <v>255</v>
      </c>
      <c r="D859" s="49" t="s">
        <v>256</v>
      </c>
      <c r="E859" s="49" t="str">
        <f>B859&amp;C859</f>
        <v>Eugene, ORTAN</v>
      </c>
      <c r="F859" s="56">
        <v>35.6</v>
      </c>
      <c r="G859" s="56">
        <v>36</v>
      </c>
      <c r="H859" s="56">
        <v>38</v>
      </c>
      <c r="I859" s="56">
        <v>40.5</v>
      </c>
      <c r="J859" s="56">
        <v>44.7</v>
      </c>
      <c r="K859" s="56">
        <v>48.3</v>
      </c>
      <c r="L859" s="56">
        <v>52.7</v>
      </c>
      <c r="M859" s="56">
        <v>52.2</v>
      </c>
      <c r="N859" s="56">
        <v>48.4</v>
      </c>
      <c r="O859" s="56">
        <v>42.4</v>
      </c>
      <c r="P859" s="56">
        <v>38.6</v>
      </c>
      <c r="Q859" s="56">
        <v>35.5</v>
      </c>
      <c r="R859" s="57">
        <v>42.7</v>
      </c>
    </row>
    <row r="860" spans="2:18" x14ac:dyDescent="0.4">
      <c r="B860" s="50"/>
      <c r="C860" s="51" t="s">
        <v>257</v>
      </c>
      <c r="D860" s="49" t="s">
        <v>256</v>
      </c>
      <c r="E860" s="49" t="str">
        <f>B859&amp;C860</f>
        <v>Eugene, ORTAX</v>
      </c>
      <c r="F860" s="56">
        <v>47.1</v>
      </c>
      <c r="G860" s="56">
        <v>50.9</v>
      </c>
      <c r="H860" s="56">
        <v>55.4</v>
      </c>
      <c r="I860" s="56">
        <v>59.6</v>
      </c>
      <c r="J860" s="56">
        <v>66.2</v>
      </c>
      <c r="K860" s="56">
        <v>72.099999999999994</v>
      </c>
      <c r="L860" s="56">
        <v>82.5</v>
      </c>
      <c r="M860" s="56">
        <v>82</v>
      </c>
      <c r="N860" s="56">
        <v>76.7</v>
      </c>
      <c r="O860" s="56">
        <v>63.4</v>
      </c>
      <c r="P860" s="56">
        <v>51.8</v>
      </c>
      <c r="Q860" s="56">
        <v>45.9</v>
      </c>
      <c r="R860" s="57">
        <v>62.8</v>
      </c>
    </row>
    <row r="861" spans="2:18" x14ac:dyDescent="0.4">
      <c r="B861" s="50"/>
      <c r="C861" s="51" t="s">
        <v>258</v>
      </c>
      <c r="D861" s="49" t="s">
        <v>259</v>
      </c>
      <c r="E861" s="49" t="str">
        <f>B859&amp;C861</f>
        <v>Eugene, ORV</v>
      </c>
      <c r="F861" s="56">
        <v>6.9</v>
      </c>
      <c r="G861" s="56">
        <v>6.9</v>
      </c>
      <c r="H861" s="56">
        <v>7.2</v>
      </c>
      <c r="I861" s="56">
        <v>6.9</v>
      </c>
      <c r="J861" s="56">
        <v>6.5</v>
      </c>
      <c r="K861" s="56">
        <v>6.9</v>
      </c>
      <c r="L861" s="56">
        <v>7.4</v>
      </c>
      <c r="M861" s="56">
        <v>7.2</v>
      </c>
      <c r="N861" s="56">
        <v>6.7</v>
      </c>
      <c r="O861" s="56">
        <v>6.5</v>
      </c>
      <c r="P861" s="56">
        <v>6.7</v>
      </c>
      <c r="Q861" s="56">
        <v>7.2</v>
      </c>
      <c r="R861" s="57">
        <v>6.9</v>
      </c>
    </row>
    <row r="862" spans="2:18" x14ac:dyDescent="0.4">
      <c r="B862" s="50"/>
      <c r="C862" s="51" t="s">
        <v>260</v>
      </c>
      <c r="D862" s="49" t="s">
        <v>261</v>
      </c>
      <c r="E862" s="49" t="str">
        <f>B859&amp;C862</f>
        <v>Eugene, ORI</v>
      </c>
      <c r="F862" s="56">
        <v>396</v>
      </c>
      <c r="G862" s="56">
        <v>673</v>
      </c>
      <c r="H862" s="56">
        <v>998</v>
      </c>
      <c r="I862" s="56">
        <v>1386</v>
      </c>
      <c r="J862" s="56">
        <v>1739</v>
      </c>
      <c r="K862" s="56">
        <v>1961</v>
      </c>
      <c r="L862" s="56">
        <v>2238</v>
      </c>
      <c r="M862" s="56">
        <v>1960</v>
      </c>
      <c r="N862" s="56">
        <v>1491</v>
      </c>
      <c r="O862" s="56">
        <v>839</v>
      </c>
      <c r="P862" s="56">
        <v>449</v>
      </c>
      <c r="Q862" s="56">
        <v>322</v>
      </c>
      <c r="R862" s="57">
        <v>1204</v>
      </c>
    </row>
    <row r="863" spans="2:18" x14ac:dyDescent="0.4">
      <c r="B863" s="50"/>
      <c r="C863" s="51" t="s">
        <v>262</v>
      </c>
      <c r="D863" s="49" t="s">
        <v>263</v>
      </c>
      <c r="E863" s="49" t="str">
        <f>B859&amp;C863</f>
        <v>Eugene, ORPA</v>
      </c>
      <c r="F863" s="58" t="s">
        <v>506</v>
      </c>
      <c r="G863" s="58" t="s">
        <v>506</v>
      </c>
      <c r="H863" s="58" t="s">
        <v>506</v>
      </c>
      <c r="I863" s="58" t="s">
        <v>506</v>
      </c>
      <c r="J863" s="58" t="s">
        <v>506</v>
      </c>
      <c r="K863" s="58" t="s">
        <v>506</v>
      </c>
      <c r="L863" s="58" t="s">
        <v>506</v>
      </c>
      <c r="M863" s="58" t="s">
        <v>506</v>
      </c>
      <c r="N863" s="58" t="s">
        <v>506</v>
      </c>
      <c r="O863" s="58" t="s">
        <v>506</v>
      </c>
      <c r="P863" s="58" t="s">
        <v>506</v>
      </c>
      <c r="Q863" s="58" t="s">
        <v>506</v>
      </c>
      <c r="R863" s="57">
        <v>14.5</v>
      </c>
    </row>
    <row r="864" spans="2:18" x14ac:dyDescent="0.4">
      <c r="B864" s="48" t="s">
        <v>435</v>
      </c>
      <c r="C864" s="51" t="s">
        <v>255</v>
      </c>
      <c r="D864" s="49" t="s">
        <v>256</v>
      </c>
      <c r="E864" s="49" t="str">
        <f>B864&amp;C864</f>
        <v>Medford, ORTAN</v>
      </c>
      <c r="F864" s="56">
        <v>33</v>
      </c>
      <c r="G864" s="56">
        <v>34.5</v>
      </c>
      <c r="H864" s="56">
        <v>37.200000000000003</v>
      </c>
      <c r="I864" s="56">
        <v>40.6</v>
      </c>
      <c r="J864" s="56">
        <v>47</v>
      </c>
      <c r="K864" s="56">
        <v>52.1</v>
      </c>
      <c r="L864" s="56">
        <v>58.7</v>
      </c>
      <c r="M864" s="56">
        <v>57.5</v>
      </c>
      <c r="N864" s="56">
        <v>50.8</v>
      </c>
      <c r="O864" s="56">
        <v>42.2</v>
      </c>
      <c r="P864" s="56">
        <v>36.4</v>
      </c>
      <c r="Q864" s="56">
        <v>33.1</v>
      </c>
      <c r="R864" s="57">
        <v>43.6</v>
      </c>
    </row>
    <row r="865" spans="2:18" x14ac:dyDescent="0.4">
      <c r="B865" s="50"/>
      <c r="C865" s="51" t="s">
        <v>257</v>
      </c>
      <c r="D865" s="49" t="s">
        <v>256</v>
      </c>
      <c r="E865" s="49" t="str">
        <f>B864&amp;C865</f>
        <v>Medford, ORTAX</v>
      </c>
      <c r="F865" s="56">
        <v>47.6</v>
      </c>
      <c r="G865" s="56">
        <v>54.3</v>
      </c>
      <c r="H865" s="56">
        <v>58.8</v>
      </c>
      <c r="I865" s="56">
        <v>63.4</v>
      </c>
      <c r="J865" s="56">
        <v>72.599999999999994</v>
      </c>
      <c r="K865" s="56">
        <v>80</v>
      </c>
      <c r="L865" s="56">
        <v>90.7</v>
      </c>
      <c r="M865" s="56">
        <v>89.6</v>
      </c>
      <c r="N865" s="56">
        <v>83.9</v>
      </c>
      <c r="O865" s="56">
        <v>69.2</v>
      </c>
      <c r="P865" s="56">
        <v>52.9</v>
      </c>
      <c r="Q865" s="56">
        <v>45.8</v>
      </c>
      <c r="R865" s="57">
        <v>67.400000000000006</v>
      </c>
    </row>
    <row r="866" spans="2:18" x14ac:dyDescent="0.4">
      <c r="B866" s="50"/>
      <c r="C866" s="51" t="s">
        <v>258</v>
      </c>
      <c r="D866" s="49" t="s">
        <v>259</v>
      </c>
      <c r="E866" s="49" t="str">
        <f>B864&amp;C866</f>
        <v>Medford, ORV</v>
      </c>
      <c r="F866" s="56">
        <v>3.4</v>
      </c>
      <c r="G866" s="56">
        <v>4</v>
      </c>
      <c r="H866" s="56">
        <v>4.5</v>
      </c>
      <c r="I866" s="56">
        <v>4.7</v>
      </c>
      <c r="J866" s="56">
        <v>5.0999999999999996</v>
      </c>
      <c r="K866" s="56">
        <v>5.4</v>
      </c>
      <c r="L866" s="56">
        <v>5.0999999999999996</v>
      </c>
      <c r="M866" s="56">
        <v>4.7</v>
      </c>
      <c r="N866" s="56">
        <v>3.6</v>
      </c>
      <c r="O866" s="56">
        <v>3.1</v>
      </c>
      <c r="P866" s="56">
        <v>2.9</v>
      </c>
      <c r="Q866" s="56">
        <v>3.4</v>
      </c>
      <c r="R866" s="57">
        <v>4</v>
      </c>
    </row>
    <row r="867" spans="2:18" x14ac:dyDescent="0.4">
      <c r="B867" s="50"/>
      <c r="C867" s="51" t="s">
        <v>260</v>
      </c>
      <c r="D867" s="49" t="s">
        <v>261</v>
      </c>
      <c r="E867" s="49" t="str">
        <f>B864&amp;C867</f>
        <v>Medford, ORI</v>
      </c>
      <c r="F867" s="56">
        <v>502</v>
      </c>
      <c r="G867" s="56">
        <v>774</v>
      </c>
      <c r="H867" s="56">
        <v>1143</v>
      </c>
      <c r="I867" s="56">
        <v>1490</v>
      </c>
      <c r="J867" s="56">
        <v>1917</v>
      </c>
      <c r="K867" s="56">
        <v>2257</v>
      </c>
      <c r="L867" s="56">
        <v>2415</v>
      </c>
      <c r="M867" s="56">
        <v>2117</v>
      </c>
      <c r="N867" s="56">
        <v>1649</v>
      </c>
      <c r="O867" s="56">
        <v>1051</v>
      </c>
      <c r="P867" s="56">
        <v>541</v>
      </c>
      <c r="Q867" s="56">
        <v>430</v>
      </c>
      <c r="R867" s="57">
        <v>1357</v>
      </c>
    </row>
    <row r="868" spans="2:18" x14ac:dyDescent="0.4">
      <c r="B868" s="50"/>
      <c r="C868" s="51" t="s">
        <v>262</v>
      </c>
      <c r="D868" s="49" t="s">
        <v>263</v>
      </c>
      <c r="E868" s="49" t="str">
        <f>B864&amp;C868</f>
        <v>Medford, ORPA</v>
      </c>
      <c r="F868" s="58" t="s">
        <v>506</v>
      </c>
      <c r="G868" s="58" t="s">
        <v>506</v>
      </c>
      <c r="H868" s="58" t="s">
        <v>506</v>
      </c>
      <c r="I868" s="58" t="s">
        <v>506</v>
      </c>
      <c r="J868" s="58" t="s">
        <v>506</v>
      </c>
      <c r="K868" s="58" t="s">
        <v>506</v>
      </c>
      <c r="L868" s="58" t="s">
        <v>506</v>
      </c>
      <c r="M868" s="58" t="s">
        <v>506</v>
      </c>
      <c r="N868" s="58" t="s">
        <v>506</v>
      </c>
      <c r="O868" s="58" t="s">
        <v>506</v>
      </c>
      <c r="P868" s="58" t="s">
        <v>506</v>
      </c>
      <c r="Q868" s="58" t="s">
        <v>506</v>
      </c>
      <c r="R868" s="57">
        <v>13.69</v>
      </c>
    </row>
    <row r="869" spans="2:18" x14ac:dyDescent="0.4">
      <c r="B869" s="48" t="s">
        <v>436</v>
      </c>
      <c r="C869" s="51" t="s">
        <v>255</v>
      </c>
      <c r="D869" s="49" t="s">
        <v>256</v>
      </c>
      <c r="E869" s="49" t="str">
        <f>B869&amp;C869</f>
        <v>Pendleton, ORTAN</v>
      </c>
      <c r="F869" s="56">
        <v>29.5</v>
      </c>
      <c r="G869" s="56">
        <v>31.4</v>
      </c>
      <c r="H869" s="56">
        <v>35.4</v>
      </c>
      <c r="I869" s="56">
        <v>39.6</v>
      </c>
      <c r="J869" s="56">
        <v>46.4</v>
      </c>
      <c r="K869" s="56">
        <v>52</v>
      </c>
      <c r="L869" s="56">
        <v>58.4</v>
      </c>
      <c r="M869" s="56">
        <v>57.5</v>
      </c>
      <c r="N869" s="56">
        <v>50.6</v>
      </c>
      <c r="O869" s="56">
        <v>40.799999999999997</v>
      </c>
      <c r="P869" s="56">
        <v>34</v>
      </c>
      <c r="Q869" s="56">
        <v>29.1</v>
      </c>
      <c r="R869" s="57">
        <v>42.1</v>
      </c>
    </row>
    <row r="870" spans="2:18" x14ac:dyDescent="0.4">
      <c r="B870" s="50"/>
      <c r="C870" s="51" t="s">
        <v>257</v>
      </c>
      <c r="D870" s="49" t="s">
        <v>256</v>
      </c>
      <c r="E870" s="49" t="str">
        <f>B869&amp;C870</f>
        <v>Pendleton, ORTAX</v>
      </c>
      <c r="F870" s="56">
        <v>41.1</v>
      </c>
      <c r="G870" s="56">
        <v>46.2</v>
      </c>
      <c r="H870" s="56">
        <v>54.3</v>
      </c>
      <c r="I870" s="56">
        <v>60.8</v>
      </c>
      <c r="J870" s="56">
        <v>69.400000000000006</v>
      </c>
      <c r="K870" s="56">
        <v>77.099999999999994</v>
      </c>
      <c r="L870" s="56">
        <v>87.9</v>
      </c>
      <c r="M870" s="56">
        <v>86.2</v>
      </c>
      <c r="N870" s="56">
        <v>77.400000000000006</v>
      </c>
      <c r="O870" s="56">
        <v>62.6</v>
      </c>
      <c r="P870" s="56">
        <v>48.3</v>
      </c>
      <c r="Q870" s="56">
        <v>40.1</v>
      </c>
      <c r="R870" s="57">
        <v>62.6</v>
      </c>
    </row>
    <row r="871" spans="2:18" x14ac:dyDescent="0.4">
      <c r="B871" s="50"/>
      <c r="C871" s="51" t="s">
        <v>258</v>
      </c>
      <c r="D871" s="49" t="s">
        <v>259</v>
      </c>
      <c r="E871" s="49" t="str">
        <f>B869&amp;C871</f>
        <v>Pendleton, ORV</v>
      </c>
      <c r="F871" s="56">
        <v>7.2</v>
      </c>
      <c r="G871" s="56">
        <v>7.2</v>
      </c>
      <c r="H871" s="56">
        <v>8.9</v>
      </c>
      <c r="I871" s="56">
        <v>9.4</v>
      </c>
      <c r="J871" s="56">
        <v>9.1999999999999993</v>
      </c>
      <c r="K871" s="56">
        <v>9.1999999999999993</v>
      </c>
      <c r="L871" s="56">
        <v>8.6999999999999993</v>
      </c>
      <c r="M871" s="56">
        <v>8.5</v>
      </c>
      <c r="N871" s="56">
        <v>8.1</v>
      </c>
      <c r="O871" s="56">
        <v>7.6</v>
      </c>
      <c r="P871" s="56">
        <v>7.4</v>
      </c>
      <c r="Q871" s="56">
        <v>7.2</v>
      </c>
      <c r="R871" s="57">
        <v>8.3000000000000007</v>
      </c>
    </row>
    <row r="872" spans="2:18" x14ac:dyDescent="0.4">
      <c r="B872" s="50"/>
      <c r="C872" s="51" t="s">
        <v>260</v>
      </c>
      <c r="D872" s="49" t="s">
        <v>261</v>
      </c>
      <c r="E872" s="49" t="str">
        <f>B869&amp;C872</f>
        <v>Pendleton, ORI</v>
      </c>
      <c r="F872" s="56">
        <v>376</v>
      </c>
      <c r="G872" s="56">
        <v>678</v>
      </c>
      <c r="H872" s="56">
        <v>1117</v>
      </c>
      <c r="I872" s="56">
        <v>1628</v>
      </c>
      <c r="J872" s="56">
        <v>1970</v>
      </c>
      <c r="K872" s="56">
        <v>2228</v>
      </c>
      <c r="L872" s="56">
        <v>2372</v>
      </c>
      <c r="M872" s="56">
        <v>2058</v>
      </c>
      <c r="N872" s="56">
        <v>1541</v>
      </c>
      <c r="O872" s="56">
        <v>960</v>
      </c>
      <c r="P872" s="56">
        <v>460</v>
      </c>
      <c r="Q872" s="56">
        <v>309</v>
      </c>
      <c r="R872" s="57">
        <v>1308</v>
      </c>
    </row>
    <row r="873" spans="2:18" x14ac:dyDescent="0.4">
      <c r="B873" s="50"/>
      <c r="C873" s="51" t="s">
        <v>262</v>
      </c>
      <c r="D873" s="49" t="s">
        <v>263</v>
      </c>
      <c r="E873" s="49" t="str">
        <f>B869&amp;C873</f>
        <v>Pendleton, ORPA</v>
      </c>
      <c r="F873" s="58" t="s">
        <v>506</v>
      </c>
      <c r="G873" s="58" t="s">
        <v>506</v>
      </c>
      <c r="H873" s="58" t="s">
        <v>506</v>
      </c>
      <c r="I873" s="58" t="s">
        <v>506</v>
      </c>
      <c r="J873" s="58" t="s">
        <v>506</v>
      </c>
      <c r="K873" s="58" t="s">
        <v>506</v>
      </c>
      <c r="L873" s="58" t="s">
        <v>506</v>
      </c>
      <c r="M873" s="58" t="s">
        <v>506</v>
      </c>
      <c r="N873" s="58" t="s">
        <v>506</v>
      </c>
      <c r="O873" s="58" t="s">
        <v>506</v>
      </c>
      <c r="P873" s="58" t="s">
        <v>506</v>
      </c>
      <c r="Q873" s="58" t="s">
        <v>506</v>
      </c>
      <c r="R873" s="57">
        <v>13.92</v>
      </c>
    </row>
    <row r="874" spans="2:18" x14ac:dyDescent="0.4">
      <c r="B874" s="48" t="s">
        <v>437</v>
      </c>
      <c r="C874" s="51" t="s">
        <v>255</v>
      </c>
      <c r="D874" s="49" t="s">
        <v>256</v>
      </c>
      <c r="E874" s="49" t="str">
        <f>B874&amp;C874</f>
        <v>Salem, ORTAN</v>
      </c>
      <c r="F874" s="56">
        <v>36</v>
      </c>
      <c r="G874" s="56">
        <v>35.9</v>
      </c>
      <c r="H874" s="56">
        <v>38.299999999999997</v>
      </c>
      <c r="I874" s="56">
        <v>40.9</v>
      </c>
      <c r="J874" s="56">
        <v>46.1</v>
      </c>
      <c r="K874" s="56">
        <v>50.3</v>
      </c>
      <c r="L874" s="56">
        <v>54.9</v>
      </c>
      <c r="M874" s="56">
        <v>54.3</v>
      </c>
      <c r="N874" s="56">
        <v>50.2</v>
      </c>
      <c r="O874" s="56">
        <v>43.7</v>
      </c>
      <c r="P874" s="56">
        <v>39.4</v>
      </c>
      <c r="Q874" s="56">
        <v>35.700000000000003</v>
      </c>
      <c r="R874" s="57">
        <v>43.8</v>
      </c>
    </row>
    <row r="875" spans="2:18" x14ac:dyDescent="0.4">
      <c r="B875" s="50"/>
      <c r="C875" s="51" t="s">
        <v>257</v>
      </c>
      <c r="D875" s="49" t="s">
        <v>256</v>
      </c>
      <c r="E875" s="49" t="str">
        <f>B874&amp;C875</f>
        <v>Salem, ORTAX</v>
      </c>
      <c r="F875" s="56">
        <v>47.4</v>
      </c>
      <c r="G875" s="56">
        <v>51.6</v>
      </c>
      <c r="H875" s="56">
        <v>55.6</v>
      </c>
      <c r="I875" s="56">
        <v>59.9</v>
      </c>
      <c r="J875" s="56">
        <v>67.099999999999994</v>
      </c>
      <c r="K875" s="56">
        <v>72.599999999999994</v>
      </c>
      <c r="L875" s="56">
        <v>81.8</v>
      </c>
      <c r="M875" s="56">
        <v>81.3</v>
      </c>
      <c r="N875" s="56">
        <v>76.3</v>
      </c>
      <c r="O875" s="56">
        <v>63.4</v>
      </c>
      <c r="P875" s="56">
        <v>52.2</v>
      </c>
      <c r="Q875" s="56">
        <v>46.6</v>
      </c>
      <c r="R875" s="57">
        <v>63</v>
      </c>
    </row>
    <row r="876" spans="2:18" x14ac:dyDescent="0.4">
      <c r="B876" s="50"/>
      <c r="C876" s="51" t="s">
        <v>258</v>
      </c>
      <c r="D876" s="49" t="s">
        <v>259</v>
      </c>
      <c r="E876" s="49" t="str">
        <f>B874&amp;C876</f>
        <v>Salem, ORV</v>
      </c>
      <c r="F876" s="56">
        <v>7.2</v>
      </c>
      <c r="G876" s="56">
        <v>6.7</v>
      </c>
      <c r="H876" s="56">
        <v>7.2</v>
      </c>
      <c r="I876" s="56">
        <v>6.7</v>
      </c>
      <c r="J876" s="56">
        <v>6.3</v>
      </c>
      <c r="K876" s="56">
        <v>6.5</v>
      </c>
      <c r="L876" s="56">
        <v>6.3</v>
      </c>
      <c r="M876" s="56">
        <v>5.8</v>
      </c>
      <c r="N876" s="56">
        <v>5.4</v>
      </c>
      <c r="O876" s="56">
        <v>5.6</v>
      </c>
      <c r="P876" s="56">
        <v>6.9</v>
      </c>
      <c r="Q876" s="56">
        <v>7.4</v>
      </c>
      <c r="R876" s="57">
        <v>6.5</v>
      </c>
    </row>
    <row r="877" spans="2:18" x14ac:dyDescent="0.4">
      <c r="B877" s="50"/>
      <c r="C877" s="51" t="s">
        <v>260</v>
      </c>
      <c r="D877" s="49" t="s">
        <v>261</v>
      </c>
      <c r="E877" s="49" t="str">
        <f>B874&amp;C877</f>
        <v>Salem, ORI</v>
      </c>
      <c r="F877" s="56">
        <v>370</v>
      </c>
      <c r="G877" s="56">
        <v>638</v>
      </c>
      <c r="H877" s="56">
        <v>951</v>
      </c>
      <c r="I877" s="56">
        <v>1355</v>
      </c>
      <c r="J877" s="56">
        <v>1703</v>
      </c>
      <c r="K877" s="56">
        <v>1859</v>
      </c>
      <c r="L877" s="56">
        <v>2099</v>
      </c>
      <c r="M877" s="56">
        <v>1846</v>
      </c>
      <c r="N877" s="56">
        <v>1392</v>
      </c>
      <c r="O877" s="56">
        <v>807</v>
      </c>
      <c r="P877" s="56">
        <v>416</v>
      </c>
      <c r="Q877" s="56">
        <v>307</v>
      </c>
      <c r="R877" s="57">
        <v>1145</v>
      </c>
    </row>
    <row r="878" spans="2:18" x14ac:dyDescent="0.4">
      <c r="B878" s="50"/>
      <c r="C878" s="51" t="s">
        <v>262</v>
      </c>
      <c r="D878" s="49" t="s">
        <v>263</v>
      </c>
      <c r="E878" s="49" t="str">
        <f>B874&amp;C878</f>
        <v>Salem, ORPA</v>
      </c>
      <c r="F878" s="58" t="s">
        <v>506</v>
      </c>
      <c r="G878" s="58" t="s">
        <v>506</v>
      </c>
      <c r="H878" s="58" t="s">
        <v>506</v>
      </c>
      <c r="I878" s="58" t="s">
        <v>506</v>
      </c>
      <c r="J878" s="58" t="s">
        <v>506</v>
      </c>
      <c r="K878" s="58" t="s">
        <v>506</v>
      </c>
      <c r="L878" s="58" t="s">
        <v>506</v>
      </c>
      <c r="M878" s="58" t="s">
        <v>506</v>
      </c>
      <c r="N878" s="58" t="s">
        <v>506</v>
      </c>
      <c r="O878" s="58" t="s">
        <v>506</v>
      </c>
      <c r="P878" s="58" t="s">
        <v>506</v>
      </c>
      <c r="Q878" s="58" t="s">
        <v>506</v>
      </c>
      <c r="R878" s="57">
        <v>14.59</v>
      </c>
    </row>
    <row r="879" spans="2:18" x14ac:dyDescent="0.4">
      <c r="B879" s="48" t="s">
        <v>438</v>
      </c>
      <c r="C879" s="51" t="s">
        <v>255</v>
      </c>
      <c r="D879" s="49" t="s">
        <v>256</v>
      </c>
      <c r="E879" s="49" t="str">
        <f>B879&amp;C879</f>
        <v>Allentown, PATAN</v>
      </c>
      <c r="F879" s="56">
        <v>22</v>
      </c>
      <c r="G879" s="56">
        <v>23.1</v>
      </c>
      <c r="H879" s="56">
        <v>30.5</v>
      </c>
      <c r="I879" s="56">
        <v>40.299999999999997</v>
      </c>
      <c r="J879" s="56">
        <v>49.7</v>
      </c>
      <c r="K879" s="56">
        <v>59.7</v>
      </c>
      <c r="L879" s="56">
        <v>63.9</v>
      </c>
      <c r="M879" s="56">
        <v>62.5</v>
      </c>
      <c r="N879" s="56">
        <v>54.6</v>
      </c>
      <c r="O879" s="56">
        <v>42.8</v>
      </c>
      <c r="P879" s="56">
        <v>34.5</v>
      </c>
      <c r="Q879" s="56">
        <v>25.9</v>
      </c>
      <c r="R879" s="57">
        <v>42.5</v>
      </c>
    </row>
    <row r="880" spans="2:18" x14ac:dyDescent="0.4">
      <c r="B880" s="50"/>
      <c r="C880" s="51" t="s">
        <v>257</v>
      </c>
      <c r="D880" s="49" t="s">
        <v>256</v>
      </c>
      <c r="E880" s="49" t="str">
        <f>B879&amp;C880</f>
        <v>Allentown, PATAX</v>
      </c>
      <c r="F880" s="56">
        <v>36.700000000000003</v>
      </c>
      <c r="G880" s="56">
        <v>39.5</v>
      </c>
      <c r="H880" s="56">
        <v>49</v>
      </c>
      <c r="I880" s="56">
        <v>61.4</v>
      </c>
      <c r="J880" s="56">
        <v>71.099999999999994</v>
      </c>
      <c r="K880" s="56">
        <v>79.8</v>
      </c>
      <c r="L880" s="56">
        <v>83.8</v>
      </c>
      <c r="M880" s="56">
        <v>82.5</v>
      </c>
      <c r="N880" s="56">
        <v>75</v>
      </c>
      <c r="O880" s="56">
        <v>63.3</v>
      </c>
      <c r="P880" s="56">
        <v>52.1</v>
      </c>
      <c r="Q880" s="56">
        <v>40.799999999999997</v>
      </c>
      <c r="R880" s="57">
        <v>61.3</v>
      </c>
    </row>
    <row r="881" spans="2:18" x14ac:dyDescent="0.4">
      <c r="B881" s="50"/>
      <c r="C881" s="51" t="s">
        <v>258</v>
      </c>
      <c r="D881" s="49" t="s">
        <v>259</v>
      </c>
      <c r="E881" s="49" t="str">
        <f>B879&amp;C881</f>
        <v>Allentown, PAV</v>
      </c>
      <c r="F881" s="56">
        <v>8.3000000000000007</v>
      </c>
      <c r="G881" s="56">
        <v>8.6999999999999993</v>
      </c>
      <c r="H881" s="56">
        <v>8.9</v>
      </c>
      <c r="I881" s="56">
        <v>8.6999999999999993</v>
      </c>
      <c r="J881" s="56">
        <v>7.4</v>
      </c>
      <c r="K881" s="56">
        <v>6.7</v>
      </c>
      <c r="L881" s="56">
        <v>6.3</v>
      </c>
      <c r="M881" s="56">
        <v>5.6</v>
      </c>
      <c r="N881" s="56">
        <v>6.3</v>
      </c>
      <c r="O881" s="56">
        <v>6.5</v>
      </c>
      <c r="P881" s="56">
        <v>6.9</v>
      </c>
      <c r="Q881" s="56">
        <v>7.8</v>
      </c>
      <c r="R881" s="57">
        <v>7.4</v>
      </c>
    </row>
    <row r="882" spans="2:18" x14ac:dyDescent="0.4">
      <c r="B882" s="50"/>
      <c r="C882" s="51" t="s">
        <v>260</v>
      </c>
      <c r="D882" s="49" t="s">
        <v>261</v>
      </c>
      <c r="E882" s="49" t="str">
        <f>B879&amp;C882</f>
        <v>Allentown, PAI</v>
      </c>
      <c r="F882" s="56">
        <v>568</v>
      </c>
      <c r="G882" s="56">
        <v>845</v>
      </c>
      <c r="H882" s="56">
        <v>1165</v>
      </c>
      <c r="I882" s="56">
        <v>1495</v>
      </c>
      <c r="J882" s="56">
        <v>1739</v>
      </c>
      <c r="K882" s="56">
        <v>1841</v>
      </c>
      <c r="L882" s="56">
        <v>1869</v>
      </c>
      <c r="M882" s="56">
        <v>1636</v>
      </c>
      <c r="N882" s="56">
        <v>1309</v>
      </c>
      <c r="O882" s="56">
        <v>950</v>
      </c>
      <c r="P882" s="56">
        <v>614</v>
      </c>
      <c r="Q882" s="56">
        <v>495</v>
      </c>
      <c r="R882" s="57">
        <v>1210</v>
      </c>
    </row>
    <row r="883" spans="2:18" x14ac:dyDescent="0.4">
      <c r="B883" s="50"/>
      <c r="C883" s="51" t="s">
        <v>262</v>
      </c>
      <c r="D883" s="49" t="s">
        <v>263</v>
      </c>
      <c r="E883" s="49" t="str">
        <f>B879&amp;C883</f>
        <v>Allentown, PAPA</v>
      </c>
      <c r="F883" s="58" t="s">
        <v>506</v>
      </c>
      <c r="G883" s="58" t="s">
        <v>506</v>
      </c>
      <c r="H883" s="58" t="s">
        <v>506</v>
      </c>
      <c r="I883" s="58" t="s">
        <v>506</v>
      </c>
      <c r="J883" s="58" t="s">
        <v>506</v>
      </c>
      <c r="K883" s="58" t="s">
        <v>506</v>
      </c>
      <c r="L883" s="58" t="s">
        <v>506</v>
      </c>
      <c r="M883" s="58" t="s">
        <v>506</v>
      </c>
      <c r="N883" s="58" t="s">
        <v>506</v>
      </c>
      <c r="O883" s="58" t="s">
        <v>506</v>
      </c>
      <c r="P883" s="58" t="s">
        <v>506</v>
      </c>
      <c r="Q883" s="58" t="s">
        <v>506</v>
      </c>
      <c r="R883" s="57">
        <v>14.49</v>
      </c>
    </row>
    <row r="884" spans="2:18" x14ac:dyDescent="0.4">
      <c r="B884" s="48" t="s">
        <v>439</v>
      </c>
      <c r="C884" s="51" t="s">
        <v>255</v>
      </c>
      <c r="D884" s="49" t="s">
        <v>256</v>
      </c>
      <c r="E884" s="49" t="str">
        <f>B884&amp;C884</f>
        <v>Bradford, PATAN</v>
      </c>
      <c r="F884" s="56">
        <v>15.5</v>
      </c>
      <c r="G884" s="56">
        <v>15.9</v>
      </c>
      <c r="H884" s="56">
        <v>22.9</v>
      </c>
      <c r="I884" s="56">
        <v>33.200000000000003</v>
      </c>
      <c r="J884" s="56">
        <v>41.6</v>
      </c>
      <c r="K884" s="56">
        <v>50.7</v>
      </c>
      <c r="L884" s="56">
        <v>54.1</v>
      </c>
      <c r="M884" s="56">
        <v>53.5</v>
      </c>
      <c r="N884" s="56">
        <v>46.4</v>
      </c>
      <c r="O884" s="56">
        <v>36.9</v>
      </c>
      <c r="P884" s="56">
        <v>30</v>
      </c>
      <c r="Q884" s="56">
        <v>20</v>
      </c>
      <c r="R884" s="57">
        <v>35.1</v>
      </c>
    </row>
    <row r="885" spans="2:18" x14ac:dyDescent="0.4">
      <c r="B885" s="50"/>
      <c r="C885" s="51" t="s">
        <v>257</v>
      </c>
      <c r="D885" s="49" t="s">
        <v>256</v>
      </c>
      <c r="E885" s="49" t="str">
        <f>B884&amp;C885</f>
        <v>Bradford, PATAX</v>
      </c>
      <c r="F885" s="56">
        <v>29.2</v>
      </c>
      <c r="G885" s="56">
        <v>31.7</v>
      </c>
      <c r="H885" s="56">
        <v>40.9</v>
      </c>
      <c r="I885" s="56">
        <v>54.6</v>
      </c>
      <c r="J885" s="56">
        <v>64.900000000000006</v>
      </c>
      <c r="K885" s="56">
        <v>73</v>
      </c>
      <c r="L885" s="56">
        <v>75.8</v>
      </c>
      <c r="M885" s="56">
        <v>74.900000000000006</v>
      </c>
      <c r="N885" s="56">
        <v>67.599999999999994</v>
      </c>
      <c r="O885" s="56">
        <v>56.1</v>
      </c>
      <c r="P885" s="56">
        <v>44.3</v>
      </c>
      <c r="Q885" s="56">
        <v>32.9</v>
      </c>
      <c r="R885" s="57">
        <v>53.8</v>
      </c>
    </row>
    <row r="886" spans="2:18" x14ac:dyDescent="0.4">
      <c r="B886" s="50"/>
      <c r="C886" s="51" t="s">
        <v>258</v>
      </c>
      <c r="D886" s="49" t="s">
        <v>259</v>
      </c>
      <c r="E886" s="49" t="str">
        <f>B884&amp;C886</f>
        <v>Bradford, PAV</v>
      </c>
      <c r="F886" s="56">
        <v>8.9</v>
      </c>
      <c r="G886" s="56">
        <v>8.6999999999999993</v>
      </c>
      <c r="H886" s="56">
        <v>8.5</v>
      </c>
      <c r="I886" s="56">
        <v>8.3000000000000007</v>
      </c>
      <c r="J886" s="56">
        <v>6.9</v>
      </c>
      <c r="K886" s="56">
        <v>5.8</v>
      </c>
      <c r="L886" s="56">
        <v>5.4</v>
      </c>
      <c r="M886" s="56">
        <v>5.0999999999999996</v>
      </c>
      <c r="N886" s="56">
        <v>5.8</v>
      </c>
      <c r="O886" s="56">
        <v>6.7</v>
      </c>
      <c r="P886" s="56">
        <v>7.6</v>
      </c>
      <c r="Q886" s="56">
        <v>8.3000000000000007</v>
      </c>
      <c r="R886" s="57">
        <v>7.2</v>
      </c>
    </row>
    <row r="887" spans="2:18" x14ac:dyDescent="0.4">
      <c r="B887" s="50"/>
      <c r="C887" s="51" t="s">
        <v>260</v>
      </c>
      <c r="D887" s="49" t="s">
        <v>261</v>
      </c>
      <c r="E887" s="49" t="str">
        <f>B884&amp;C887</f>
        <v>Bradford, PAI</v>
      </c>
      <c r="F887" s="56">
        <v>483</v>
      </c>
      <c r="G887" s="56">
        <v>742</v>
      </c>
      <c r="H887" s="56">
        <v>1056</v>
      </c>
      <c r="I887" s="56">
        <v>1439</v>
      </c>
      <c r="J887" s="56">
        <v>1651</v>
      </c>
      <c r="K887" s="56">
        <v>1781</v>
      </c>
      <c r="L887" s="56">
        <v>1759</v>
      </c>
      <c r="M887" s="56">
        <v>1563</v>
      </c>
      <c r="N887" s="56">
        <v>1218</v>
      </c>
      <c r="O887" s="56">
        <v>820</v>
      </c>
      <c r="P887" s="56">
        <v>508</v>
      </c>
      <c r="Q887" s="56">
        <v>412</v>
      </c>
      <c r="R887" s="57">
        <v>1119</v>
      </c>
    </row>
    <row r="888" spans="2:18" x14ac:dyDescent="0.4">
      <c r="B888" s="50"/>
      <c r="C888" s="51" t="s">
        <v>262</v>
      </c>
      <c r="D888" s="49" t="s">
        <v>263</v>
      </c>
      <c r="E888" s="49" t="str">
        <f>B884&amp;C888</f>
        <v>Bradford, PAPA</v>
      </c>
      <c r="F888" s="58" t="s">
        <v>506</v>
      </c>
      <c r="G888" s="58" t="s">
        <v>506</v>
      </c>
      <c r="H888" s="58" t="s">
        <v>506</v>
      </c>
      <c r="I888" s="58" t="s">
        <v>506</v>
      </c>
      <c r="J888" s="58" t="s">
        <v>506</v>
      </c>
      <c r="K888" s="58" t="s">
        <v>506</v>
      </c>
      <c r="L888" s="58" t="s">
        <v>506</v>
      </c>
      <c r="M888" s="58" t="s">
        <v>506</v>
      </c>
      <c r="N888" s="58" t="s">
        <v>506</v>
      </c>
      <c r="O888" s="58" t="s">
        <v>506</v>
      </c>
      <c r="P888" s="58" t="s">
        <v>506</v>
      </c>
      <c r="Q888" s="58" t="s">
        <v>506</v>
      </c>
      <c r="R888" s="57">
        <v>13.62</v>
      </c>
    </row>
    <row r="889" spans="2:18" x14ac:dyDescent="0.4">
      <c r="B889" s="48" t="s">
        <v>440</v>
      </c>
      <c r="C889" s="51" t="s">
        <v>255</v>
      </c>
      <c r="D889" s="49" t="s">
        <v>256</v>
      </c>
      <c r="E889" s="49" t="str">
        <f>B889&amp;C889</f>
        <v>Erie, PATAN</v>
      </c>
      <c r="F889" s="56">
        <v>22</v>
      </c>
      <c r="G889" s="56">
        <v>22</v>
      </c>
      <c r="H889" s="56">
        <v>28.3</v>
      </c>
      <c r="I889" s="56">
        <v>39</v>
      </c>
      <c r="J889" s="56">
        <v>49.1</v>
      </c>
      <c r="K889" s="56">
        <v>59.7</v>
      </c>
      <c r="L889" s="56">
        <v>64.2</v>
      </c>
      <c r="M889" s="56">
        <v>63.4</v>
      </c>
      <c r="N889" s="56">
        <v>56.5</v>
      </c>
      <c r="O889" s="56">
        <v>46.1</v>
      </c>
      <c r="P889" s="56">
        <v>37.299999999999997</v>
      </c>
      <c r="Q889" s="56">
        <v>27.5</v>
      </c>
      <c r="R889" s="57">
        <v>42.9</v>
      </c>
    </row>
    <row r="890" spans="2:18" x14ac:dyDescent="0.4">
      <c r="B890" s="50"/>
      <c r="C890" s="51" t="s">
        <v>257</v>
      </c>
      <c r="D890" s="49" t="s">
        <v>256</v>
      </c>
      <c r="E890" s="49" t="str">
        <f>B889&amp;C890</f>
        <v>Erie, PATAX</v>
      </c>
      <c r="F890" s="56">
        <v>33.700000000000003</v>
      </c>
      <c r="G890" s="56">
        <v>35</v>
      </c>
      <c r="H890" s="56">
        <v>42.6</v>
      </c>
      <c r="I890" s="56">
        <v>55.4</v>
      </c>
      <c r="J890" s="56">
        <v>65.8</v>
      </c>
      <c r="K890" s="56">
        <v>75.400000000000006</v>
      </c>
      <c r="L890" s="56">
        <v>78.900000000000006</v>
      </c>
      <c r="M890" s="56">
        <v>78</v>
      </c>
      <c r="N890" s="56">
        <v>71.3</v>
      </c>
      <c r="O890" s="56">
        <v>60.2</v>
      </c>
      <c r="P890" s="56">
        <v>49</v>
      </c>
      <c r="Q890" s="56">
        <v>38</v>
      </c>
      <c r="R890" s="57">
        <v>56.9</v>
      </c>
    </row>
    <row r="891" spans="2:18" x14ac:dyDescent="0.4">
      <c r="B891" s="50"/>
      <c r="C891" s="51" t="s">
        <v>258</v>
      </c>
      <c r="D891" s="49" t="s">
        <v>259</v>
      </c>
      <c r="E891" s="49" t="str">
        <f>B889&amp;C891</f>
        <v>Erie, PAV</v>
      </c>
      <c r="F891" s="56">
        <v>11.9</v>
      </c>
      <c r="G891" s="56">
        <v>10.7</v>
      </c>
      <c r="H891" s="56">
        <v>10.5</v>
      </c>
      <c r="I891" s="56">
        <v>10.1</v>
      </c>
      <c r="J891" s="56">
        <v>9.1999999999999993</v>
      </c>
      <c r="K891" s="56">
        <v>8.3000000000000007</v>
      </c>
      <c r="L891" s="56">
        <v>8.1</v>
      </c>
      <c r="M891" s="56">
        <v>7.8</v>
      </c>
      <c r="N891" s="56">
        <v>8.9</v>
      </c>
      <c r="O891" s="56">
        <v>9.8000000000000007</v>
      </c>
      <c r="P891" s="56">
        <v>11.2</v>
      </c>
      <c r="Q891" s="56">
        <v>11.6</v>
      </c>
      <c r="R891" s="57">
        <v>9.8000000000000007</v>
      </c>
    </row>
    <row r="892" spans="2:18" x14ac:dyDescent="0.4">
      <c r="B892" s="50"/>
      <c r="C892" s="51" t="s">
        <v>260</v>
      </c>
      <c r="D892" s="49" t="s">
        <v>261</v>
      </c>
      <c r="E892" s="49" t="str">
        <f>B889&amp;C892</f>
        <v>Erie, PAI</v>
      </c>
      <c r="F892" s="56">
        <v>367</v>
      </c>
      <c r="G892" s="56">
        <v>647</v>
      </c>
      <c r="H892" s="56">
        <v>994</v>
      </c>
      <c r="I892" s="56">
        <v>1425</v>
      </c>
      <c r="J892" s="56">
        <v>1756</v>
      </c>
      <c r="K892" s="56">
        <v>1946</v>
      </c>
      <c r="L892" s="56">
        <v>1921</v>
      </c>
      <c r="M892" s="56">
        <v>1661</v>
      </c>
      <c r="N892" s="56">
        <v>1281</v>
      </c>
      <c r="O892" s="56">
        <v>825</v>
      </c>
      <c r="P892" s="56">
        <v>474</v>
      </c>
      <c r="Q892" s="56">
        <v>327</v>
      </c>
      <c r="R892" s="57">
        <v>1135</v>
      </c>
    </row>
    <row r="893" spans="2:18" x14ac:dyDescent="0.4">
      <c r="B893" s="50"/>
      <c r="C893" s="51" t="s">
        <v>262</v>
      </c>
      <c r="D893" s="49" t="s">
        <v>263</v>
      </c>
      <c r="E893" s="49" t="str">
        <f>B889&amp;C893</f>
        <v>Erie, PAPA</v>
      </c>
      <c r="F893" s="58" t="s">
        <v>506</v>
      </c>
      <c r="G893" s="58" t="s">
        <v>506</v>
      </c>
      <c r="H893" s="58" t="s">
        <v>506</v>
      </c>
      <c r="I893" s="58" t="s">
        <v>506</v>
      </c>
      <c r="J893" s="58" t="s">
        <v>506</v>
      </c>
      <c r="K893" s="58" t="s">
        <v>506</v>
      </c>
      <c r="L893" s="58" t="s">
        <v>506</v>
      </c>
      <c r="M893" s="58" t="s">
        <v>506</v>
      </c>
      <c r="N893" s="58" t="s">
        <v>506</v>
      </c>
      <c r="O893" s="58" t="s">
        <v>506</v>
      </c>
      <c r="P893" s="58" t="s">
        <v>506</v>
      </c>
      <c r="Q893" s="58" t="s">
        <v>506</v>
      </c>
      <c r="R893" s="57">
        <v>14.32</v>
      </c>
    </row>
    <row r="894" spans="2:18" x14ac:dyDescent="0.4">
      <c r="B894" s="48" t="s">
        <v>441</v>
      </c>
      <c r="C894" s="51" t="s">
        <v>255</v>
      </c>
      <c r="D894" s="49" t="s">
        <v>256</v>
      </c>
      <c r="E894" s="49" t="str">
        <f>B894&amp;C894</f>
        <v>Middletown, PATAN</v>
      </c>
      <c r="F894" s="56">
        <v>24.1</v>
      </c>
      <c r="G894" s="56">
        <v>25.3</v>
      </c>
      <c r="H894" s="56">
        <v>33.200000000000003</v>
      </c>
      <c r="I894" s="56">
        <v>43.2</v>
      </c>
      <c r="J894" s="56">
        <v>53.1</v>
      </c>
      <c r="K894" s="56">
        <v>63.2</v>
      </c>
      <c r="L894" s="56">
        <v>67.5</v>
      </c>
      <c r="M894" s="56">
        <v>66.099999999999994</v>
      </c>
      <c r="N894" s="56">
        <v>58</v>
      </c>
      <c r="O894" s="56">
        <v>45.5</v>
      </c>
      <c r="P894" s="56">
        <v>37.1</v>
      </c>
      <c r="Q894" s="56">
        <v>28.4</v>
      </c>
      <c r="R894" s="57">
        <v>45.4</v>
      </c>
    </row>
    <row r="895" spans="2:18" x14ac:dyDescent="0.4">
      <c r="B895" s="50"/>
      <c r="C895" s="51" t="s">
        <v>257</v>
      </c>
      <c r="D895" s="49" t="s">
        <v>256</v>
      </c>
      <c r="E895" s="49" t="str">
        <f>B894&amp;C895</f>
        <v>Middletown, PATAX</v>
      </c>
      <c r="F895" s="56">
        <v>37.9</v>
      </c>
      <c r="G895" s="56">
        <v>40.9</v>
      </c>
      <c r="H895" s="56">
        <v>50.4</v>
      </c>
      <c r="I895" s="56">
        <v>62.9</v>
      </c>
      <c r="J895" s="56">
        <v>72.5</v>
      </c>
      <c r="K895" s="56">
        <v>81.400000000000006</v>
      </c>
      <c r="L895" s="56">
        <v>85.4</v>
      </c>
      <c r="M895" s="56">
        <v>83.8</v>
      </c>
      <c r="N895" s="56">
        <v>76</v>
      </c>
      <c r="O895" s="56">
        <v>64.400000000000006</v>
      </c>
      <c r="P895" s="56">
        <v>53.3</v>
      </c>
      <c r="Q895" s="56">
        <v>42.2</v>
      </c>
      <c r="R895" s="57">
        <v>62.6</v>
      </c>
    </row>
    <row r="896" spans="2:18" x14ac:dyDescent="0.4">
      <c r="B896" s="50"/>
      <c r="C896" s="51" t="s">
        <v>258</v>
      </c>
      <c r="D896" s="49" t="s">
        <v>259</v>
      </c>
      <c r="E896" s="49" t="str">
        <f>B894&amp;C896</f>
        <v>Middletown, PAV</v>
      </c>
      <c r="F896" s="56">
        <v>8.9</v>
      </c>
      <c r="G896" s="56">
        <v>9.1999999999999993</v>
      </c>
      <c r="H896" s="56">
        <v>9.8000000000000007</v>
      </c>
      <c r="I896" s="56">
        <v>9.1999999999999993</v>
      </c>
      <c r="J896" s="56">
        <v>7.6</v>
      </c>
      <c r="K896" s="56">
        <v>6.7</v>
      </c>
      <c r="L896" s="56">
        <v>6.3</v>
      </c>
      <c r="M896" s="56">
        <v>5.8</v>
      </c>
      <c r="N896" s="56">
        <v>6.3</v>
      </c>
      <c r="O896" s="56">
        <v>6.5</v>
      </c>
      <c r="P896" s="56">
        <v>7.8</v>
      </c>
      <c r="Q896" s="56">
        <v>8.5</v>
      </c>
      <c r="R896" s="57">
        <v>7.6</v>
      </c>
    </row>
    <row r="897" spans="2:18" x14ac:dyDescent="0.4">
      <c r="B897" s="50"/>
      <c r="C897" s="51" t="s">
        <v>260</v>
      </c>
      <c r="D897" s="49" t="s">
        <v>261</v>
      </c>
      <c r="E897" s="49" t="str">
        <f>B894&amp;C897</f>
        <v>Middletown, PAI</v>
      </c>
      <c r="F897" s="56">
        <v>580</v>
      </c>
      <c r="G897" s="56">
        <v>840</v>
      </c>
      <c r="H897" s="56">
        <v>1164</v>
      </c>
      <c r="I897" s="56">
        <v>1497</v>
      </c>
      <c r="J897" s="56">
        <v>1754</v>
      </c>
      <c r="K897" s="56">
        <v>1889</v>
      </c>
      <c r="L897" s="56">
        <v>1852</v>
      </c>
      <c r="M897" s="56">
        <v>1639</v>
      </c>
      <c r="N897" s="56">
        <v>1304</v>
      </c>
      <c r="O897" s="56">
        <v>967</v>
      </c>
      <c r="P897" s="56">
        <v>630</v>
      </c>
      <c r="Q897" s="56">
        <v>512</v>
      </c>
      <c r="R897" s="57">
        <v>1219</v>
      </c>
    </row>
    <row r="898" spans="2:18" x14ac:dyDescent="0.4">
      <c r="B898" s="50"/>
      <c r="C898" s="51" t="s">
        <v>262</v>
      </c>
      <c r="D898" s="49" t="s">
        <v>263</v>
      </c>
      <c r="E898" s="49" t="str">
        <f>B894&amp;C898</f>
        <v>Middletown, PAPA</v>
      </c>
      <c r="F898" s="58" t="s">
        <v>506</v>
      </c>
      <c r="G898" s="58" t="s">
        <v>506</v>
      </c>
      <c r="H898" s="58" t="s">
        <v>506</v>
      </c>
      <c r="I898" s="58" t="s">
        <v>506</v>
      </c>
      <c r="J898" s="58" t="s">
        <v>506</v>
      </c>
      <c r="K898" s="58" t="s">
        <v>506</v>
      </c>
      <c r="L898" s="58" t="s">
        <v>506</v>
      </c>
      <c r="M898" s="58" t="s">
        <v>506</v>
      </c>
      <c r="N898" s="58" t="s">
        <v>506</v>
      </c>
      <c r="O898" s="58" t="s">
        <v>506</v>
      </c>
      <c r="P898" s="58" t="s">
        <v>506</v>
      </c>
      <c r="Q898" s="58" t="s">
        <v>506</v>
      </c>
      <c r="R898" s="57">
        <v>14.53</v>
      </c>
    </row>
    <row r="899" spans="2:18" x14ac:dyDescent="0.4">
      <c r="B899" s="48" t="s">
        <v>442</v>
      </c>
      <c r="C899" s="51" t="s">
        <v>255</v>
      </c>
      <c r="D899" s="49" t="s">
        <v>256</v>
      </c>
      <c r="E899" s="49" t="str">
        <f>B899&amp;C899</f>
        <v>Philadelphia, PATAN</v>
      </c>
      <c r="F899" s="56">
        <v>27.4</v>
      </c>
      <c r="G899" s="56">
        <v>28.3</v>
      </c>
      <c r="H899" s="56">
        <v>35.5</v>
      </c>
      <c r="I899" s="56">
        <v>45.4</v>
      </c>
      <c r="J899" s="56">
        <v>54.8</v>
      </c>
      <c r="K899" s="56">
        <v>64.900000000000006</v>
      </c>
      <c r="L899" s="56">
        <v>70.2</v>
      </c>
      <c r="M899" s="56">
        <v>69</v>
      </c>
      <c r="N899" s="56">
        <v>61.6</v>
      </c>
      <c r="O899" s="56">
        <v>49.6</v>
      </c>
      <c r="P899" s="56">
        <v>40.5</v>
      </c>
      <c r="Q899" s="56">
        <v>31.5</v>
      </c>
      <c r="R899" s="57">
        <v>48.2</v>
      </c>
    </row>
    <row r="900" spans="2:18" x14ac:dyDescent="0.4">
      <c r="B900" s="50"/>
      <c r="C900" s="51" t="s">
        <v>257</v>
      </c>
      <c r="D900" s="49" t="s">
        <v>256</v>
      </c>
      <c r="E900" s="49" t="str">
        <f>B899&amp;C900</f>
        <v>Philadelphia, PATAX</v>
      </c>
      <c r="F900" s="56">
        <v>40.700000000000003</v>
      </c>
      <c r="G900" s="56">
        <v>43.2</v>
      </c>
      <c r="H900" s="56">
        <v>52.1</v>
      </c>
      <c r="I900" s="56">
        <v>63.9</v>
      </c>
      <c r="J900" s="56">
        <v>73.3</v>
      </c>
      <c r="K900" s="56">
        <v>82.3</v>
      </c>
      <c r="L900" s="56">
        <v>86.5</v>
      </c>
      <c r="M900" s="56">
        <v>85</v>
      </c>
      <c r="N900" s="56">
        <v>77.7</v>
      </c>
      <c r="O900" s="56">
        <v>66.099999999999994</v>
      </c>
      <c r="P900" s="56">
        <v>55.3</v>
      </c>
      <c r="Q900" s="56">
        <v>44.5</v>
      </c>
      <c r="R900" s="57">
        <v>64.2</v>
      </c>
    </row>
    <row r="901" spans="2:18" x14ac:dyDescent="0.4">
      <c r="B901" s="50"/>
      <c r="C901" s="51" t="s">
        <v>258</v>
      </c>
      <c r="D901" s="49" t="s">
        <v>259</v>
      </c>
      <c r="E901" s="49" t="str">
        <f>B899&amp;C901</f>
        <v>Philadelphia, PAV</v>
      </c>
      <c r="F901" s="56">
        <v>10.3</v>
      </c>
      <c r="G901" s="56">
        <v>10.5</v>
      </c>
      <c r="H901" s="56">
        <v>11</v>
      </c>
      <c r="I901" s="56">
        <v>10.3</v>
      </c>
      <c r="J901" s="56">
        <v>8.9</v>
      </c>
      <c r="K901" s="56">
        <v>8.6999999999999993</v>
      </c>
      <c r="L901" s="56">
        <v>8.5</v>
      </c>
      <c r="M901" s="56">
        <v>8.1</v>
      </c>
      <c r="N901" s="56">
        <v>8.5</v>
      </c>
      <c r="O901" s="56">
        <v>8.6999999999999993</v>
      </c>
      <c r="P901" s="56">
        <v>9.1999999999999993</v>
      </c>
      <c r="Q901" s="56">
        <v>10.1</v>
      </c>
      <c r="R901" s="57">
        <v>9.4</v>
      </c>
    </row>
    <row r="902" spans="2:18" x14ac:dyDescent="0.4">
      <c r="B902" s="50"/>
      <c r="C902" s="51" t="s">
        <v>260</v>
      </c>
      <c r="D902" s="49" t="s">
        <v>261</v>
      </c>
      <c r="E902" s="49" t="str">
        <f>B899&amp;C902</f>
        <v>Philadelphia, PAI</v>
      </c>
      <c r="F902" s="56">
        <v>611</v>
      </c>
      <c r="G902" s="56">
        <v>911</v>
      </c>
      <c r="H902" s="56">
        <v>1190</v>
      </c>
      <c r="I902" s="56">
        <v>1537</v>
      </c>
      <c r="J902" s="56">
        <v>1778</v>
      </c>
      <c r="K902" s="56">
        <v>1917</v>
      </c>
      <c r="L902" s="56">
        <v>1891</v>
      </c>
      <c r="M902" s="56">
        <v>1698</v>
      </c>
      <c r="N902" s="56">
        <v>1357</v>
      </c>
      <c r="O902" s="56">
        <v>1015</v>
      </c>
      <c r="P902" s="56">
        <v>678</v>
      </c>
      <c r="Q902" s="56">
        <v>549</v>
      </c>
      <c r="R902" s="57">
        <v>1261</v>
      </c>
    </row>
    <row r="903" spans="2:18" x14ac:dyDescent="0.4">
      <c r="B903" s="50"/>
      <c r="C903" s="51" t="s">
        <v>262</v>
      </c>
      <c r="D903" s="49" t="s">
        <v>263</v>
      </c>
      <c r="E903" s="49" t="str">
        <f>B899&amp;C903</f>
        <v>Philadelphia, PAPA</v>
      </c>
      <c r="F903" s="58" t="s">
        <v>506</v>
      </c>
      <c r="G903" s="58" t="s">
        <v>506</v>
      </c>
      <c r="H903" s="58" t="s">
        <v>506</v>
      </c>
      <c r="I903" s="58" t="s">
        <v>506</v>
      </c>
      <c r="J903" s="58" t="s">
        <v>506</v>
      </c>
      <c r="K903" s="58" t="s">
        <v>506</v>
      </c>
      <c r="L903" s="58" t="s">
        <v>506</v>
      </c>
      <c r="M903" s="58" t="s">
        <v>506</v>
      </c>
      <c r="N903" s="58" t="s">
        <v>506</v>
      </c>
      <c r="O903" s="58" t="s">
        <v>506</v>
      </c>
      <c r="P903" s="58" t="s">
        <v>506</v>
      </c>
      <c r="Q903" s="58" t="s">
        <v>506</v>
      </c>
      <c r="R903" s="57">
        <v>14.69</v>
      </c>
    </row>
    <row r="904" spans="2:18" x14ac:dyDescent="0.4">
      <c r="B904" s="48" t="s">
        <v>443</v>
      </c>
      <c r="C904" s="51" t="s">
        <v>255</v>
      </c>
      <c r="D904" s="49" t="s">
        <v>256</v>
      </c>
      <c r="E904" s="49" t="str">
        <f>B904&amp;C904</f>
        <v>Pittsburgh, PATAN</v>
      </c>
      <c r="F904" s="56">
        <v>22.2</v>
      </c>
      <c r="G904" s="56">
        <v>23.5</v>
      </c>
      <c r="H904" s="56">
        <v>30.8</v>
      </c>
      <c r="I904" s="56">
        <v>41.3</v>
      </c>
      <c r="J904" s="56">
        <v>50.2</v>
      </c>
      <c r="K904" s="56">
        <v>59.6</v>
      </c>
      <c r="L904" s="56">
        <v>63.5</v>
      </c>
      <c r="M904" s="56">
        <v>62.5</v>
      </c>
      <c r="N904" s="56">
        <v>54.8</v>
      </c>
      <c r="O904" s="56">
        <v>43.4</v>
      </c>
      <c r="P904" s="56">
        <v>35.299999999999997</v>
      </c>
      <c r="Q904" s="56">
        <v>26.2</v>
      </c>
      <c r="R904" s="57">
        <v>42.8</v>
      </c>
    </row>
    <row r="905" spans="2:18" x14ac:dyDescent="0.4">
      <c r="B905" s="50"/>
      <c r="C905" s="51" t="s">
        <v>257</v>
      </c>
      <c r="D905" s="49" t="s">
        <v>256</v>
      </c>
      <c r="E905" s="49" t="str">
        <f>B904&amp;C905</f>
        <v>Pittsburgh, PATAX</v>
      </c>
      <c r="F905" s="56">
        <v>36.200000000000003</v>
      </c>
      <c r="G905" s="56">
        <v>38.9</v>
      </c>
      <c r="H905" s="56">
        <v>48.7</v>
      </c>
      <c r="I905" s="56">
        <v>62</v>
      </c>
      <c r="J905" s="56">
        <v>70.599999999999994</v>
      </c>
      <c r="K905" s="56">
        <v>78.900000000000006</v>
      </c>
      <c r="L905" s="56">
        <v>81.900000000000006</v>
      </c>
      <c r="M905" s="56">
        <v>81.2</v>
      </c>
      <c r="N905" s="56">
        <v>73.900000000000006</v>
      </c>
      <c r="O905" s="56">
        <v>62.4</v>
      </c>
      <c r="P905" s="56">
        <v>50.7</v>
      </c>
      <c r="Q905" s="56">
        <v>39.5</v>
      </c>
      <c r="R905" s="57">
        <v>60.4</v>
      </c>
    </row>
    <row r="906" spans="2:18" x14ac:dyDescent="0.4">
      <c r="B906" s="50"/>
      <c r="C906" s="51" t="s">
        <v>258</v>
      </c>
      <c r="D906" s="49" t="s">
        <v>259</v>
      </c>
      <c r="E906" s="49" t="str">
        <f>B904&amp;C906</f>
        <v>Pittsburgh, PAV</v>
      </c>
      <c r="F906" s="56">
        <v>9.4</v>
      </c>
      <c r="G906" s="56">
        <v>9.1999999999999993</v>
      </c>
      <c r="H906" s="56">
        <v>9.4</v>
      </c>
      <c r="I906" s="56">
        <v>9.1999999999999993</v>
      </c>
      <c r="J906" s="56">
        <v>7.6</v>
      </c>
      <c r="K906" s="56">
        <v>6.9</v>
      </c>
      <c r="L906" s="56">
        <v>6.5</v>
      </c>
      <c r="M906" s="56">
        <v>6</v>
      </c>
      <c r="N906" s="56">
        <v>6.3</v>
      </c>
      <c r="O906" s="56">
        <v>6.9</v>
      </c>
      <c r="P906" s="56">
        <v>8.1</v>
      </c>
      <c r="Q906" s="56">
        <v>8.6999999999999993</v>
      </c>
      <c r="R906" s="57">
        <v>7.8</v>
      </c>
    </row>
    <row r="907" spans="2:18" x14ac:dyDescent="0.4">
      <c r="B907" s="50"/>
      <c r="C907" s="51" t="s">
        <v>260</v>
      </c>
      <c r="D907" s="49" t="s">
        <v>261</v>
      </c>
      <c r="E907" s="49" t="str">
        <f>B904&amp;C907</f>
        <v>Pittsburgh, PAI</v>
      </c>
      <c r="F907" s="56">
        <v>520</v>
      </c>
      <c r="G907" s="56">
        <v>760</v>
      </c>
      <c r="H907" s="56">
        <v>1080</v>
      </c>
      <c r="I907" s="56">
        <v>1440</v>
      </c>
      <c r="J907" s="56">
        <v>1691</v>
      </c>
      <c r="K907" s="56">
        <v>1846</v>
      </c>
      <c r="L907" s="56">
        <v>1823</v>
      </c>
      <c r="M907" s="56">
        <v>1636</v>
      </c>
      <c r="N907" s="56">
        <v>1306</v>
      </c>
      <c r="O907" s="56">
        <v>919</v>
      </c>
      <c r="P907" s="56">
        <v>566</v>
      </c>
      <c r="Q907" s="56">
        <v>459</v>
      </c>
      <c r="R907" s="57">
        <v>1170</v>
      </c>
    </row>
    <row r="908" spans="2:18" x14ac:dyDescent="0.4">
      <c r="B908" s="50"/>
      <c r="C908" s="51" t="s">
        <v>262</v>
      </c>
      <c r="D908" s="49" t="s">
        <v>263</v>
      </c>
      <c r="E908" s="49" t="str">
        <f>B904&amp;C908</f>
        <v>Pittsburgh, PAPA</v>
      </c>
      <c r="F908" s="58" t="s">
        <v>506</v>
      </c>
      <c r="G908" s="58" t="s">
        <v>506</v>
      </c>
      <c r="H908" s="58" t="s">
        <v>506</v>
      </c>
      <c r="I908" s="58" t="s">
        <v>506</v>
      </c>
      <c r="J908" s="58" t="s">
        <v>506</v>
      </c>
      <c r="K908" s="58" t="s">
        <v>506</v>
      </c>
      <c r="L908" s="58" t="s">
        <v>506</v>
      </c>
      <c r="M908" s="58" t="s">
        <v>506</v>
      </c>
      <c r="N908" s="58" t="s">
        <v>506</v>
      </c>
      <c r="O908" s="58" t="s">
        <v>506</v>
      </c>
      <c r="P908" s="58" t="s">
        <v>506</v>
      </c>
      <c r="Q908" s="58" t="s">
        <v>506</v>
      </c>
      <c r="R908" s="57">
        <v>14.1</v>
      </c>
    </row>
    <row r="909" spans="2:18" x14ac:dyDescent="0.4">
      <c r="B909" s="48" t="s">
        <v>444</v>
      </c>
      <c r="C909" s="51" t="s">
        <v>255</v>
      </c>
      <c r="D909" s="49" t="s">
        <v>256</v>
      </c>
      <c r="E909" s="49" t="str">
        <f>B909&amp;C909</f>
        <v>Scranton, PATAN</v>
      </c>
      <c r="F909" s="56">
        <v>20.3</v>
      </c>
      <c r="G909" s="56">
        <v>21.5</v>
      </c>
      <c r="H909" s="56">
        <v>28.7</v>
      </c>
      <c r="I909" s="56">
        <v>39.200000000000003</v>
      </c>
      <c r="J909" s="56">
        <v>48.6</v>
      </c>
      <c r="K909" s="56">
        <v>57.8</v>
      </c>
      <c r="L909" s="56">
        <v>61.7</v>
      </c>
      <c r="M909" s="56">
        <v>60.7</v>
      </c>
      <c r="N909" s="56">
        <v>53.2</v>
      </c>
      <c r="O909" s="56">
        <v>42.2</v>
      </c>
      <c r="P909" s="56">
        <v>34.5</v>
      </c>
      <c r="Q909" s="56">
        <v>25</v>
      </c>
      <c r="R909" s="57">
        <v>41.1</v>
      </c>
    </row>
    <row r="910" spans="2:18" x14ac:dyDescent="0.4">
      <c r="B910" s="50"/>
      <c r="C910" s="51" t="s">
        <v>257</v>
      </c>
      <c r="D910" s="49" t="s">
        <v>256</v>
      </c>
      <c r="E910" s="49" t="str">
        <f>B909&amp;C910</f>
        <v>Scranton, PATAX</v>
      </c>
      <c r="F910" s="56">
        <v>33.799999999999997</v>
      </c>
      <c r="G910" s="56">
        <v>36.5</v>
      </c>
      <c r="H910" s="56">
        <v>45.8</v>
      </c>
      <c r="I910" s="56">
        <v>59.1</v>
      </c>
      <c r="J910" s="56">
        <v>69.5</v>
      </c>
      <c r="K910" s="56">
        <v>77.599999999999994</v>
      </c>
      <c r="L910" s="56">
        <v>81.599999999999994</v>
      </c>
      <c r="M910" s="56">
        <v>80.2</v>
      </c>
      <c r="N910" s="56">
        <v>72.400000000000006</v>
      </c>
      <c r="O910" s="56">
        <v>60.4</v>
      </c>
      <c r="P910" s="56">
        <v>49.2</v>
      </c>
      <c r="Q910" s="56">
        <v>37.700000000000003</v>
      </c>
      <c r="R910" s="57">
        <v>58.6</v>
      </c>
    </row>
    <row r="911" spans="2:18" x14ac:dyDescent="0.4">
      <c r="B911" s="50"/>
      <c r="C911" s="51" t="s">
        <v>258</v>
      </c>
      <c r="D911" s="49" t="s">
        <v>259</v>
      </c>
      <c r="E911" s="49" t="str">
        <f>B909&amp;C911</f>
        <v>Scranton, PAV</v>
      </c>
      <c r="F911" s="56">
        <v>7.6</v>
      </c>
      <c r="G911" s="56">
        <v>8.1</v>
      </c>
      <c r="H911" s="56">
        <v>8.1</v>
      </c>
      <c r="I911" s="56">
        <v>7.8</v>
      </c>
      <c r="J911" s="56">
        <v>6.9</v>
      </c>
      <c r="K911" s="56">
        <v>6</v>
      </c>
      <c r="L911" s="56">
        <v>6</v>
      </c>
      <c r="M911" s="56">
        <v>5.6</v>
      </c>
      <c r="N911" s="56">
        <v>6</v>
      </c>
      <c r="O911" s="56">
        <v>6.3</v>
      </c>
      <c r="P911" s="56">
        <v>6.9</v>
      </c>
      <c r="Q911" s="56">
        <v>7.4</v>
      </c>
      <c r="R911" s="57">
        <v>6.9</v>
      </c>
    </row>
    <row r="912" spans="2:18" x14ac:dyDescent="0.4">
      <c r="B912" s="50"/>
      <c r="C912" s="51" t="s">
        <v>260</v>
      </c>
      <c r="D912" s="49" t="s">
        <v>261</v>
      </c>
      <c r="E912" s="49" t="str">
        <f>B909&amp;C912</f>
        <v>Scranton, PAI</v>
      </c>
      <c r="F912" s="56">
        <v>538</v>
      </c>
      <c r="G912" s="56">
        <v>789</v>
      </c>
      <c r="H912" s="56">
        <v>1115</v>
      </c>
      <c r="I912" s="56">
        <v>1455</v>
      </c>
      <c r="J912" s="56">
        <v>1710</v>
      </c>
      <c r="K912" s="56">
        <v>1843</v>
      </c>
      <c r="L912" s="56">
        <v>1852</v>
      </c>
      <c r="M912" s="56">
        <v>1616</v>
      </c>
      <c r="N912" s="56">
        <v>1261</v>
      </c>
      <c r="O912" s="56">
        <v>888</v>
      </c>
      <c r="P912" s="56">
        <v>548</v>
      </c>
      <c r="Q912" s="56">
        <v>455</v>
      </c>
      <c r="R912" s="57">
        <v>1173</v>
      </c>
    </row>
    <row r="913" spans="2:18" x14ac:dyDescent="0.4">
      <c r="B913" s="50"/>
      <c r="C913" s="51" t="s">
        <v>262</v>
      </c>
      <c r="D913" s="49" t="s">
        <v>263</v>
      </c>
      <c r="E913" s="49" t="str">
        <f>B909&amp;C913</f>
        <v>Scranton, PAPA</v>
      </c>
      <c r="F913" s="58" t="s">
        <v>506</v>
      </c>
      <c r="G913" s="58" t="s">
        <v>506</v>
      </c>
      <c r="H913" s="58" t="s">
        <v>506</v>
      </c>
      <c r="I913" s="58" t="s">
        <v>506</v>
      </c>
      <c r="J913" s="58" t="s">
        <v>506</v>
      </c>
      <c r="K913" s="58" t="s">
        <v>506</v>
      </c>
      <c r="L913" s="58" t="s">
        <v>506</v>
      </c>
      <c r="M913" s="58" t="s">
        <v>506</v>
      </c>
      <c r="N913" s="58" t="s">
        <v>506</v>
      </c>
      <c r="O913" s="58" t="s">
        <v>506</v>
      </c>
      <c r="P913" s="58" t="s">
        <v>506</v>
      </c>
      <c r="Q913" s="58" t="s">
        <v>506</v>
      </c>
      <c r="R913" s="57">
        <v>14.21</v>
      </c>
    </row>
    <row r="914" spans="2:18" x14ac:dyDescent="0.4">
      <c r="B914" s="48" t="s">
        <v>445</v>
      </c>
      <c r="C914" s="51" t="s">
        <v>255</v>
      </c>
      <c r="D914" s="49" t="s">
        <v>256</v>
      </c>
      <c r="E914" s="49" t="str">
        <f>B914&amp;C914</f>
        <v>Williamsport, PATAN</v>
      </c>
      <c r="F914" s="56">
        <v>20.8</v>
      </c>
      <c r="G914" s="56">
        <v>21.8</v>
      </c>
      <c r="H914" s="56">
        <v>29.5</v>
      </c>
      <c r="I914" s="56">
        <v>39.5</v>
      </c>
      <c r="J914" s="56">
        <v>48.5</v>
      </c>
      <c r="K914" s="56">
        <v>58.6</v>
      </c>
      <c r="L914" s="56">
        <v>62.3</v>
      </c>
      <c r="M914" s="56">
        <v>61.3</v>
      </c>
      <c r="N914" s="56">
        <v>53.7</v>
      </c>
      <c r="O914" s="56">
        <v>42</v>
      </c>
      <c r="P914" s="56">
        <v>34</v>
      </c>
      <c r="Q914" s="56">
        <v>25</v>
      </c>
      <c r="R914" s="57">
        <v>41.4</v>
      </c>
    </row>
    <row r="915" spans="2:18" x14ac:dyDescent="0.4">
      <c r="B915" s="50"/>
      <c r="C915" s="51" t="s">
        <v>257</v>
      </c>
      <c r="D915" s="49" t="s">
        <v>256</v>
      </c>
      <c r="E915" s="49" t="str">
        <f>B914&amp;C915</f>
        <v>Williamsport, PATAX</v>
      </c>
      <c r="F915" s="56">
        <v>34.9</v>
      </c>
      <c r="G915" s="56">
        <v>37.9</v>
      </c>
      <c r="H915" s="56">
        <v>47.9</v>
      </c>
      <c r="I915" s="56">
        <v>61.3</v>
      </c>
      <c r="J915" s="56">
        <v>71.400000000000006</v>
      </c>
      <c r="K915" s="56">
        <v>79.8</v>
      </c>
      <c r="L915" s="56">
        <v>83.5</v>
      </c>
      <c r="M915" s="56">
        <v>82</v>
      </c>
      <c r="N915" s="56">
        <v>73.8</v>
      </c>
      <c r="O915" s="56">
        <v>62.1</v>
      </c>
      <c r="P915" s="56">
        <v>50.2</v>
      </c>
      <c r="Q915" s="56">
        <v>38.6</v>
      </c>
      <c r="R915" s="57">
        <v>60.3</v>
      </c>
    </row>
    <row r="916" spans="2:18" x14ac:dyDescent="0.4">
      <c r="B916" s="50"/>
      <c r="C916" s="51" t="s">
        <v>258</v>
      </c>
      <c r="D916" s="49" t="s">
        <v>259</v>
      </c>
      <c r="E916" s="49" t="str">
        <f>B914&amp;C916</f>
        <v>Williamsport, PAV</v>
      </c>
      <c r="F916" s="56">
        <v>7.6</v>
      </c>
      <c r="G916" s="56">
        <v>7.8</v>
      </c>
      <c r="H916" s="56">
        <v>7.8</v>
      </c>
      <c r="I916" s="56">
        <v>7.6</v>
      </c>
      <c r="J916" s="56">
        <v>6.5</v>
      </c>
      <c r="K916" s="56">
        <v>5.6</v>
      </c>
      <c r="L916" s="56">
        <v>5.4</v>
      </c>
      <c r="M916" s="56">
        <v>4.7</v>
      </c>
      <c r="N916" s="56">
        <v>5.0999999999999996</v>
      </c>
      <c r="O916" s="56">
        <v>5.6</v>
      </c>
      <c r="P916" s="56">
        <v>6.5</v>
      </c>
      <c r="Q916" s="56">
        <v>7.2</v>
      </c>
      <c r="R916" s="57">
        <v>6.5</v>
      </c>
    </row>
    <row r="917" spans="2:18" x14ac:dyDescent="0.4">
      <c r="B917" s="50"/>
      <c r="C917" s="51" t="s">
        <v>260</v>
      </c>
      <c r="D917" s="49" t="s">
        <v>261</v>
      </c>
      <c r="E917" s="49" t="str">
        <f>B914&amp;C917</f>
        <v>Williamsport, PAI</v>
      </c>
      <c r="F917" s="56">
        <v>550</v>
      </c>
      <c r="G917" s="56">
        <v>803</v>
      </c>
      <c r="H917" s="56">
        <v>1122</v>
      </c>
      <c r="I917" s="56">
        <v>1457</v>
      </c>
      <c r="J917" s="56">
        <v>1714</v>
      </c>
      <c r="K917" s="56">
        <v>1846</v>
      </c>
      <c r="L917" s="56">
        <v>1830</v>
      </c>
      <c r="M917" s="56">
        <v>1603</v>
      </c>
      <c r="N917" s="56">
        <v>1233</v>
      </c>
      <c r="O917" s="56">
        <v>884</v>
      </c>
      <c r="P917" s="56">
        <v>545</v>
      </c>
      <c r="Q917" s="56">
        <v>449</v>
      </c>
      <c r="R917" s="57">
        <v>1170</v>
      </c>
    </row>
    <row r="918" spans="2:18" x14ac:dyDescent="0.4">
      <c r="B918" s="50"/>
      <c r="C918" s="51" t="s">
        <v>262</v>
      </c>
      <c r="D918" s="49" t="s">
        <v>263</v>
      </c>
      <c r="E918" s="49" t="str">
        <f>B914&amp;C918</f>
        <v>Williamsport, PAPA</v>
      </c>
      <c r="F918" s="58" t="s">
        <v>506</v>
      </c>
      <c r="G918" s="58" t="s">
        <v>506</v>
      </c>
      <c r="H918" s="58" t="s">
        <v>506</v>
      </c>
      <c r="I918" s="58" t="s">
        <v>506</v>
      </c>
      <c r="J918" s="58" t="s">
        <v>506</v>
      </c>
      <c r="K918" s="58" t="s">
        <v>506</v>
      </c>
      <c r="L918" s="58" t="s">
        <v>506</v>
      </c>
      <c r="M918" s="58" t="s">
        <v>506</v>
      </c>
      <c r="N918" s="58" t="s">
        <v>506</v>
      </c>
      <c r="O918" s="58" t="s">
        <v>506</v>
      </c>
      <c r="P918" s="58" t="s">
        <v>506</v>
      </c>
      <c r="Q918" s="58" t="s">
        <v>506</v>
      </c>
      <c r="R918" s="57">
        <v>14.42</v>
      </c>
    </row>
    <row r="919" spans="2:18" x14ac:dyDescent="0.4">
      <c r="B919" s="48" t="s">
        <v>446</v>
      </c>
      <c r="C919" s="51" t="s">
        <v>255</v>
      </c>
      <c r="D919" s="49" t="s">
        <v>256</v>
      </c>
      <c r="E919" s="49" t="str">
        <f>B919&amp;C919</f>
        <v>Providence, RITAN</v>
      </c>
      <c r="F919" s="56">
        <v>22.5</v>
      </c>
      <c r="G919" s="56">
        <v>24</v>
      </c>
      <c r="H919" s="56">
        <v>30.7</v>
      </c>
      <c r="I919" s="56">
        <v>40.200000000000003</v>
      </c>
      <c r="J919" s="56">
        <v>49.2</v>
      </c>
      <c r="K919" s="56">
        <v>59.3</v>
      </c>
      <c r="L919" s="56">
        <v>64.900000000000006</v>
      </c>
      <c r="M919" s="56">
        <v>64</v>
      </c>
      <c r="N919" s="56">
        <v>56.6</v>
      </c>
      <c r="O919" s="56">
        <v>44.9</v>
      </c>
      <c r="P919" s="56">
        <v>36.799999999999997</v>
      </c>
      <c r="Q919" s="56">
        <v>27.6</v>
      </c>
      <c r="R919" s="57">
        <v>43.4</v>
      </c>
    </row>
    <row r="920" spans="2:18" x14ac:dyDescent="0.4">
      <c r="B920" s="50"/>
      <c r="C920" s="51" t="s">
        <v>257</v>
      </c>
      <c r="D920" s="49" t="s">
        <v>256</v>
      </c>
      <c r="E920" s="49" t="str">
        <f>B919&amp;C920</f>
        <v>Providence, RITAX</v>
      </c>
      <c r="F920" s="56">
        <v>37.4</v>
      </c>
      <c r="G920" s="56">
        <v>39.5</v>
      </c>
      <c r="H920" s="56">
        <v>47</v>
      </c>
      <c r="I920" s="56">
        <v>58.1</v>
      </c>
      <c r="J920" s="56">
        <v>67.7</v>
      </c>
      <c r="K920" s="56">
        <v>76.900000000000006</v>
      </c>
      <c r="L920" s="56">
        <v>82.2</v>
      </c>
      <c r="M920" s="56">
        <v>80.900000000000006</v>
      </c>
      <c r="N920" s="56">
        <v>73.5</v>
      </c>
      <c r="O920" s="56">
        <v>62.5</v>
      </c>
      <c r="P920" s="56">
        <v>52.4</v>
      </c>
      <c r="Q920" s="56">
        <v>42.2</v>
      </c>
      <c r="R920" s="57">
        <v>60</v>
      </c>
    </row>
    <row r="921" spans="2:18" x14ac:dyDescent="0.4">
      <c r="B921" s="50"/>
      <c r="C921" s="51" t="s">
        <v>258</v>
      </c>
      <c r="D921" s="49" t="s">
        <v>259</v>
      </c>
      <c r="E921" s="49" t="str">
        <f>B919&amp;C921</f>
        <v>Providence, RIV</v>
      </c>
      <c r="F921" s="56">
        <v>9.6</v>
      </c>
      <c r="G921" s="56">
        <v>10.1</v>
      </c>
      <c r="H921" s="56">
        <v>10.5</v>
      </c>
      <c r="I921" s="56">
        <v>10.3</v>
      </c>
      <c r="J921" s="56">
        <v>9.4</v>
      </c>
      <c r="K921" s="56">
        <v>8.6999999999999993</v>
      </c>
      <c r="L921" s="56">
        <v>8.5</v>
      </c>
      <c r="M921" s="56">
        <v>8.1</v>
      </c>
      <c r="N921" s="56">
        <v>8.1</v>
      </c>
      <c r="O921" s="56">
        <v>8.5</v>
      </c>
      <c r="P921" s="56">
        <v>8.6999999999999993</v>
      </c>
      <c r="Q921" s="56">
        <v>9.4</v>
      </c>
      <c r="R921" s="57">
        <v>9.1999999999999993</v>
      </c>
    </row>
    <row r="922" spans="2:18" x14ac:dyDescent="0.4">
      <c r="B922" s="50"/>
      <c r="C922" s="51" t="s">
        <v>260</v>
      </c>
      <c r="D922" s="49" t="s">
        <v>261</v>
      </c>
      <c r="E922" s="49" t="str">
        <f>B919&amp;C922</f>
        <v>Providence, RII</v>
      </c>
      <c r="F922" s="56">
        <v>579</v>
      </c>
      <c r="G922" s="56">
        <v>859</v>
      </c>
      <c r="H922" s="56">
        <v>1150</v>
      </c>
      <c r="I922" s="56">
        <v>1477</v>
      </c>
      <c r="J922" s="56">
        <v>1738</v>
      </c>
      <c r="K922" s="56">
        <v>1847</v>
      </c>
      <c r="L922" s="56">
        <v>1840</v>
      </c>
      <c r="M922" s="56">
        <v>1640</v>
      </c>
      <c r="N922" s="56">
        <v>1301</v>
      </c>
      <c r="O922" s="56">
        <v>937</v>
      </c>
      <c r="P922" s="56">
        <v>604</v>
      </c>
      <c r="Q922" s="56">
        <v>501</v>
      </c>
      <c r="R922" s="57">
        <v>1206</v>
      </c>
    </row>
    <row r="923" spans="2:18" x14ac:dyDescent="0.4">
      <c r="B923" s="50"/>
      <c r="C923" s="51" t="s">
        <v>262</v>
      </c>
      <c r="D923" s="49" t="s">
        <v>263</v>
      </c>
      <c r="E923" s="49" t="str">
        <f>B919&amp;C923</f>
        <v>Providence, RIPA</v>
      </c>
      <c r="F923" s="58" t="s">
        <v>506</v>
      </c>
      <c r="G923" s="58" t="s">
        <v>506</v>
      </c>
      <c r="H923" s="58" t="s">
        <v>506</v>
      </c>
      <c r="I923" s="58" t="s">
        <v>506</v>
      </c>
      <c r="J923" s="58" t="s">
        <v>506</v>
      </c>
      <c r="K923" s="58" t="s">
        <v>506</v>
      </c>
      <c r="L923" s="58" t="s">
        <v>506</v>
      </c>
      <c r="M923" s="58" t="s">
        <v>506</v>
      </c>
      <c r="N923" s="58" t="s">
        <v>506</v>
      </c>
      <c r="O923" s="58" t="s">
        <v>506</v>
      </c>
      <c r="P923" s="58" t="s">
        <v>506</v>
      </c>
      <c r="Q923" s="58" t="s">
        <v>506</v>
      </c>
      <c r="R923" s="57">
        <v>14.66</v>
      </c>
    </row>
    <row r="924" spans="2:18" x14ac:dyDescent="0.4">
      <c r="B924" s="48" t="s">
        <v>447</v>
      </c>
      <c r="C924" s="51" t="s">
        <v>255</v>
      </c>
      <c r="D924" s="49" t="s">
        <v>256</v>
      </c>
      <c r="E924" s="49" t="str">
        <f>B924&amp;C924</f>
        <v>Charleston, SCTAN</v>
      </c>
      <c r="F924" s="56">
        <v>39.6</v>
      </c>
      <c r="G924" s="56">
        <v>41.6</v>
      </c>
      <c r="H924" s="56">
        <v>47.8</v>
      </c>
      <c r="I924" s="56">
        <v>54.8</v>
      </c>
      <c r="J924" s="56">
        <v>63.2</v>
      </c>
      <c r="K924" s="56">
        <v>70.7</v>
      </c>
      <c r="L924" s="56">
        <v>74</v>
      </c>
      <c r="M924" s="56">
        <v>73.3</v>
      </c>
      <c r="N924" s="56">
        <v>68.3</v>
      </c>
      <c r="O924" s="56">
        <v>57.7</v>
      </c>
      <c r="P924" s="56">
        <v>48</v>
      </c>
      <c r="Q924" s="56">
        <v>41.1</v>
      </c>
      <c r="R924" s="57">
        <v>56.7</v>
      </c>
    </row>
    <row r="925" spans="2:18" x14ac:dyDescent="0.4">
      <c r="B925" s="50"/>
      <c r="C925" s="51" t="s">
        <v>257</v>
      </c>
      <c r="D925" s="49" t="s">
        <v>256</v>
      </c>
      <c r="E925" s="49" t="str">
        <f>B924&amp;C925</f>
        <v>Charleston, SCTAX</v>
      </c>
      <c r="F925" s="56">
        <v>59.2</v>
      </c>
      <c r="G925" s="56">
        <v>62.1</v>
      </c>
      <c r="H925" s="56">
        <v>68.900000000000006</v>
      </c>
      <c r="I925" s="56">
        <v>75.8</v>
      </c>
      <c r="J925" s="56">
        <v>82.3</v>
      </c>
      <c r="K925" s="56">
        <v>87.3</v>
      </c>
      <c r="L925" s="56">
        <v>90.2</v>
      </c>
      <c r="M925" s="56">
        <v>88.7</v>
      </c>
      <c r="N925" s="56">
        <v>84.1</v>
      </c>
      <c r="O925" s="56">
        <v>76.5</v>
      </c>
      <c r="P925" s="56">
        <v>68.599999999999994</v>
      </c>
      <c r="Q925" s="56">
        <v>60.9</v>
      </c>
      <c r="R925" s="57">
        <v>75.400000000000006</v>
      </c>
    </row>
    <row r="926" spans="2:18" x14ac:dyDescent="0.4">
      <c r="B926" s="50"/>
      <c r="C926" s="51" t="s">
        <v>258</v>
      </c>
      <c r="D926" s="49" t="s">
        <v>259</v>
      </c>
      <c r="E926" s="49" t="str">
        <f>B924&amp;C926</f>
        <v>Charleston, SCV</v>
      </c>
      <c r="F926" s="56">
        <v>8.3000000000000007</v>
      </c>
      <c r="G926" s="56">
        <v>8.5</v>
      </c>
      <c r="H926" s="56">
        <v>9.1999999999999993</v>
      </c>
      <c r="I926" s="56">
        <v>9.1999999999999993</v>
      </c>
      <c r="J926" s="56">
        <v>8.3000000000000007</v>
      </c>
      <c r="K926" s="56">
        <v>7.6</v>
      </c>
      <c r="L926" s="56">
        <v>7.2</v>
      </c>
      <c r="M926" s="56">
        <v>6.7</v>
      </c>
      <c r="N926" s="56">
        <v>7.4</v>
      </c>
      <c r="O926" s="56">
        <v>7.2</v>
      </c>
      <c r="P926" s="56">
        <v>7.2</v>
      </c>
      <c r="Q926" s="56">
        <v>7.6</v>
      </c>
      <c r="R926" s="57">
        <v>7.8</v>
      </c>
    </row>
    <row r="927" spans="2:18" x14ac:dyDescent="0.4">
      <c r="B927" s="50"/>
      <c r="C927" s="51" t="s">
        <v>260</v>
      </c>
      <c r="D927" s="49" t="s">
        <v>261</v>
      </c>
      <c r="E927" s="49" t="str">
        <f>B924&amp;C927</f>
        <v>Charleston, SCI</v>
      </c>
      <c r="F927" s="56">
        <v>852</v>
      </c>
      <c r="G927" s="56">
        <v>1111</v>
      </c>
      <c r="H927" s="56">
        <v>1471</v>
      </c>
      <c r="I927" s="56">
        <v>1856</v>
      </c>
      <c r="J927" s="56">
        <v>1992</v>
      </c>
      <c r="K927" s="56">
        <v>1943</v>
      </c>
      <c r="L927" s="56">
        <v>1951</v>
      </c>
      <c r="M927" s="56">
        <v>1723</v>
      </c>
      <c r="N927" s="56">
        <v>1438</v>
      </c>
      <c r="O927" s="56">
        <v>1210</v>
      </c>
      <c r="P927" s="56">
        <v>972</v>
      </c>
      <c r="Q927" s="56">
        <v>797</v>
      </c>
      <c r="R927" s="57">
        <v>1443</v>
      </c>
    </row>
    <row r="928" spans="2:18" x14ac:dyDescent="0.4">
      <c r="B928" s="50"/>
      <c r="C928" s="51" t="s">
        <v>262</v>
      </c>
      <c r="D928" s="49" t="s">
        <v>263</v>
      </c>
      <c r="E928" s="49" t="str">
        <f>B924&amp;C928</f>
        <v>Charleston, SCPA</v>
      </c>
      <c r="F928" s="58" t="s">
        <v>506</v>
      </c>
      <c r="G928" s="58" t="s">
        <v>506</v>
      </c>
      <c r="H928" s="58" t="s">
        <v>506</v>
      </c>
      <c r="I928" s="58" t="s">
        <v>506</v>
      </c>
      <c r="J928" s="58" t="s">
        <v>506</v>
      </c>
      <c r="K928" s="58" t="s">
        <v>506</v>
      </c>
      <c r="L928" s="58" t="s">
        <v>506</v>
      </c>
      <c r="M928" s="58" t="s">
        <v>506</v>
      </c>
      <c r="N928" s="58" t="s">
        <v>506</v>
      </c>
      <c r="O928" s="58" t="s">
        <v>506</v>
      </c>
      <c r="P928" s="58" t="s">
        <v>506</v>
      </c>
      <c r="Q928" s="58" t="s">
        <v>506</v>
      </c>
      <c r="R928" s="57">
        <v>14.68</v>
      </c>
    </row>
    <row r="929" spans="2:18" x14ac:dyDescent="0.4">
      <c r="B929" s="48" t="s">
        <v>448</v>
      </c>
      <c r="C929" s="51" t="s">
        <v>255</v>
      </c>
      <c r="D929" s="49" t="s">
        <v>256</v>
      </c>
      <c r="E929" s="49" t="str">
        <f>B929&amp;C929</f>
        <v>Columbia, SCTAN</v>
      </c>
      <c r="F929" s="56">
        <v>35.299999999999997</v>
      </c>
      <c r="G929" s="56">
        <v>37.4</v>
      </c>
      <c r="H929" s="56">
        <v>43.9</v>
      </c>
      <c r="I929" s="56">
        <v>51.7</v>
      </c>
      <c r="J929" s="56">
        <v>60.7</v>
      </c>
      <c r="K929" s="56">
        <v>68.8</v>
      </c>
      <c r="L929" s="56">
        <v>72.2</v>
      </c>
      <c r="M929" s="56">
        <v>71.5</v>
      </c>
      <c r="N929" s="56">
        <v>65.2</v>
      </c>
      <c r="O929" s="56">
        <v>52.7</v>
      </c>
      <c r="P929" s="56">
        <v>42.4</v>
      </c>
      <c r="Q929" s="56">
        <v>35.700000000000003</v>
      </c>
      <c r="R929" s="57">
        <v>53.1</v>
      </c>
    </row>
    <row r="930" spans="2:18" x14ac:dyDescent="0.4">
      <c r="B930" s="50"/>
      <c r="C930" s="51" t="s">
        <v>257</v>
      </c>
      <c r="D930" s="49" t="s">
        <v>256</v>
      </c>
      <c r="E930" s="49" t="str">
        <f>B929&amp;C930</f>
        <v>Columbia, SCTAX</v>
      </c>
      <c r="F930" s="56">
        <v>56.2</v>
      </c>
      <c r="G930" s="56">
        <v>59.6</v>
      </c>
      <c r="H930" s="56">
        <v>67.400000000000006</v>
      </c>
      <c r="I930" s="56">
        <v>75.7</v>
      </c>
      <c r="J930" s="56">
        <v>82.9</v>
      </c>
      <c r="K930" s="56">
        <v>88.6</v>
      </c>
      <c r="L930" s="56">
        <v>91.6</v>
      </c>
      <c r="M930" s="56">
        <v>90</v>
      </c>
      <c r="N930" s="56">
        <v>84.5</v>
      </c>
      <c r="O930" s="56">
        <v>75.3</v>
      </c>
      <c r="P930" s="56">
        <v>66.099999999999994</v>
      </c>
      <c r="Q930" s="56">
        <v>57.4</v>
      </c>
      <c r="R930" s="57">
        <v>74.599999999999994</v>
      </c>
    </row>
    <row r="931" spans="2:18" x14ac:dyDescent="0.4">
      <c r="B931" s="50"/>
      <c r="C931" s="51" t="s">
        <v>258</v>
      </c>
      <c r="D931" s="49" t="s">
        <v>259</v>
      </c>
      <c r="E931" s="49" t="str">
        <f>B929&amp;C931</f>
        <v>Columbia, SCV</v>
      </c>
      <c r="F931" s="56">
        <v>6.7</v>
      </c>
      <c r="G931" s="56">
        <v>6.7</v>
      </c>
      <c r="H931" s="56">
        <v>7.4</v>
      </c>
      <c r="I931" s="56">
        <v>7.4</v>
      </c>
      <c r="J931" s="56">
        <v>6.7</v>
      </c>
      <c r="K931" s="56">
        <v>6</v>
      </c>
      <c r="L931" s="56">
        <v>5.6</v>
      </c>
      <c r="M931" s="56">
        <v>5.0999999999999996</v>
      </c>
      <c r="N931" s="56">
        <v>5.6</v>
      </c>
      <c r="O931" s="56">
        <v>5.0999999999999996</v>
      </c>
      <c r="P931" s="56">
        <v>5.0999999999999996</v>
      </c>
      <c r="Q931" s="56">
        <v>5.8</v>
      </c>
      <c r="R931" s="57">
        <v>6</v>
      </c>
    </row>
    <row r="932" spans="2:18" x14ac:dyDescent="0.4">
      <c r="B932" s="50"/>
      <c r="C932" s="51" t="s">
        <v>260</v>
      </c>
      <c r="D932" s="49" t="s">
        <v>261</v>
      </c>
      <c r="E932" s="49" t="str">
        <f>B929&amp;C932</f>
        <v>Columbia, SCI</v>
      </c>
      <c r="F932" s="56">
        <v>824</v>
      </c>
      <c r="G932" s="56">
        <v>1073</v>
      </c>
      <c r="H932" s="56">
        <v>1415</v>
      </c>
      <c r="I932" s="56">
        <v>1781</v>
      </c>
      <c r="J932" s="56">
        <v>1944</v>
      </c>
      <c r="K932" s="56">
        <v>1975</v>
      </c>
      <c r="L932" s="56">
        <v>1949</v>
      </c>
      <c r="M932" s="56">
        <v>1756</v>
      </c>
      <c r="N932" s="56">
        <v>1497</v>
      </c>
      <c r="O932" s="56">
        <v>1206</v>
      </c>
      <c r="P932" s="56">
        <v>923</v>
      </c>
      <c r="Q932" s="56">
        <v>761</v>
      </c>
      <c r="R932" s="57">
        <v>1425</v>
      </c>
    </row>
    <row r="933" spans="2:18" x14ac:dyDescent="0.4">
      <c r="B933" s="50"/>
      <c r="C933" s="51" t="s">
        <v>262</v>
      </c>
      <c r="D933" s="49" t="s">
        <v>263</v>
      </c>
      <c r="E933" s="49" t="str">
        <f>B929&amp;C933</f>
        <v>Columbia, SCPA</v>
      </c>
      <c r="F933" s="58" t="s">
        <v>506</v>
      </c>
      <c r="G933" s="58" t="s">
        <v>506</v>
      </c>
      <c r="H933" s="58" t="s">
        <v>506</v>
      </c>
      <c r="I933" s="58" t="s">
        <v>506</v>
      </c>
      <c r="J933" s="58" t="s">
        <v>506</v>
      </c>
      <c r="K933" s="58" t="s">
        <v>506</v>
      </c>
      <c r="L933" s="58" t="s">
        <v>506</v>
      </c>
      <c r="M933" s="58" t="s">
        <v>506</v>
      </c>
      <c r="N933" s="58" t="s">
        <v>506</v>
      </c>
      <c r="O933" s="58" t="s">
        <v>506</v>
      </c>
      <c r="P933" s="58" t="s">
        <v>506</v>
      </c>
      <c r="Q933" s="58" t="s">
        <v>506</v>
      </c>
      <c r="R933" s="57">
        <v>14.58</v>
      </c>
    </row>
    <row r="934" spans="2:18" x14ac:dyDescent="0.4">
      <c r="B934" s="48" t="s">
        <v>449</v>
      </c>
      <c r="C934" s="51" t="s">
        <v>255</v>
      </c>
      <c r="D934" s="49" t="s">
        <v>256</v>
      </c>
      <c r="E934" s="49" t="str">
        <f>B934&amp;C934</f>
        <v>Greer, SCTAN</v>
      </c>
      <c r="F934" s="56">
        <v>33.5</v>
      </c>
      <c r="G934" s="56">
        <v>35.5</v>
      </c>
      <c r="H934" s="56">
        <v>41.9</v>
      </c>
      <c r="I934" s="56">
        <v>49.5</v>
      </c>
      <c r="J934" s="56">
        <v>58.1</v>
      </c>
      <c r="K934" s="56">
        <v>66.099999999999994</v>
      </c>
      <c r="L934" s="56">
        <v>69.8</v>
      </c>
      <c r="M934" s="56">
        <v>69.2</v>
      </c>
      <c r="N934" s="56">
        <v>62.5</v>
      </c>
      <c r="O934" s="56">
        <v>51.1</v>
      </c>
      <c r="P934" s="56">
        <v>41.6</v>
      </c>
      <c r="Q934" s="56">
        <v>34.700000000000003</v>
      </c>
      <c r="R934" s="57">
        <v>51.1</v>
      </c>
    </row>
    <row r="935" spans="2:18" x14ac:dyDescent="0.4">
      <c r="B935" s="50"/>
      <c r="C935" s="51" t="s">
        <v>257</v>
      </c>
      <c r="D935" s="49" t="s">
        <v>256</v>
      </c>
      <c r="E935" s="49" t="str">
        <f>B934&amp;C935</f>
        <v>Greer, SCTAX</v>
      </c>
      <c r="F935" s="56">
        <v>51.7</v>
      </c>
      <c r="G935" s="56">
        <v>55.2</v>
      </c>
      <c r="H935" s="56">
        <v>62.9</v>
      </c>
      <c r="I935" s="56">
        <v>71.7</v>
      </c>
      <c r="J935" s="56">
        <v>78.599999999999994</v>
      </c>
      <c r="K935" s="56">
        <v>85.4</v>
      </c>
      <c r="L935" s="56">
        <v>88.8</v>
      </c>
      <c r="M935" s="56">
        <v>87.3</v>
      </c>
      <c r="N935" s="56">
        <v>81.099999999999994</v>
      </c>
      <c r="O935" s="56">
        <v>71.400000000000006</v>
      </c>
      <c r="P935" s="56">
        <v>61.9</v>
      </c>
      <c r="Q935" s="56">
        <v>52.8</v>
      </c>
      <c r="R935" s="57">
        <v>70.7</v>
      </c>
    </row>
    <row r="936" spans="2:18" x14ac:dyDescent="0.4">
      <c r="B936" s="50"/>
      <c r="C936" s="51" t="s">
        <v>258</v>
      </c>
      <c r="D936" s="49" t="s">
        <v>259</v>
      </c>
      <c r="E936" s="49" t="str">
        <f>B934&amp;C936</f>
        <v>Greer, SCV</v>
      </c>
      <c r="F936" s="56">
        <v>7.4</v>
      </c>
      <c r="G936" s="56">
        <v>7.6</v>
      </c>
      <c r="H936" s="56">
        <v>8.3000000000000007</v>
      </c>
      <c r="I936" s="56">
        <v>7.8</v>
      </c>
      <c r="J936" s="56">
        <v>6.9</v>
      </c>
      <c r="K936" s="56">
        <v>6</v>
      </c>
      <c r="L936" s="56">
        <v>5.8</v>
      </c>
      <c r="M936" s="56">
        <v>5.4</v>
      </c>
      <c r="N936" s="56">
        <v>5.8</v>
      </c>
      <c r="O936" s="56">
        <v>5.8</v>
      </c>
      <c r="P936" s="56">
        <v>6.3</v>
      </c>
      <c r="Q936" s="56">
        <v>6.7</v>
      </c>
      <c r="R936" s="57">
        <v>6.7</v>
      </c>
    </row>
    <row r="937" spans="2:18" x14ac:dyDescent="0.4">
      <c r="B937" s="50"/>
      <c r="C937" s="51" t="s">
        <v>260</v>
      </c>
      <c r="D937" s="49" t="s">
        <v>261</v>
      </c>
      <c r="E937" s="49" t="str">
        <f>B934&amp;C937</f>
        <v>Greer, SCI</v>
      </c>
      <c r="F937" s="56">
        <v>812</v>
      </c>
      <c r="G937" s="56">
        <v>1057</v>
      </c>
      <c r="H937" s="56">
        <v>1401</v>
      </c>
      <c r="I937" s="56">
        <v>1767</v>
      </c>
      <c r="J937" s="56">
        <v>1936</v>
      </c>
      <c r="K937" s="56">
        <v>1988</v>
      </c>
      <c r="L937" s="56">
        <v>1945</v>
      </c>
      <c r="M937" s="56">
        <v>1780</v>
      </c>
      <c r="N937" s="56">
        <v>1493</v>
      </c>
      <c r="O937" s="56">
        <v>1196</v>
      </c>
      <c r="P937" s="56">
        <v>888</v>
      </c>
      <c r="Q937" s="56">
        <v>741</v>
      </c>
      <c r="R937" s="57">
        <v>1417</v>
      </c>
    </row>
    <row r="938" spans="2:18" x14ac:dyDescent="0.4">
      <c r="B938" s="50"/>
      <c r="C938" s="51" t="s">
        <v>262</v>
      </c>
      <c r="D938" s="49" t="s">
        <v>263</v>
      </c>
      <c r="E938" s="49" t="str">
        <f>B934&amp;C938</f>
        <v>Greer, SCPA</v>
      </c>
      <c r="F938" s="58" t="s">
        <v>506</v>
      </c>
      <c r="G938" s="58" t="s">
        <v>506</v>
      </c>
      <c r="H938" s="58" t="s">
        <v>506</v>
      </c>
      <c r="I938" s="58" t="s">
        <v>506</v>
      </c>
      <c r="J938" s="58" t="s">
        <v>506</v>
      </c>
      <c r="K938" s="58" t="s">
        <v>506</v>
      </c>
      <c r="L938" s="58" t="s">
        <v>506</v>
      </c>
      <c r="M938" s="58" t="s">
        <v>506</v>
      </c>
      <c r="N938" s="58" t="s">
        <v>506</v>
      </c>
      <c r="O938" s="58" t="s">
        <v>506</v>
      </c>
      <c r="P938" s="58" t="s">
        <v>506</v>
      </c>
      <c r="Q938" s="58" t="s">
        <v>506</v>
      </c>
      <c r="R938" s="57">
        <v>14.2</v>
      </c>
    </row>
    <row r="939" spans="2:18" x14ac:dyDescent="0.4">
      <c r="B939" s="48" t="s">
        <v>450</v>
      </c>
      <c r="C939" s="51" t="s">
        <v>255</v>
      </c>
      <c r="D939" s="49" t="s">
        <v>256</v>
      </c>
      <c r="E939" s="49" t="str">
        <f>B939&amp;C939</f>
        <v>Aberdeen, SDTAN</v>
      </c>
      <c r="F939" s="56">
        <v>2.2000000000000002</v>
      </c>
      <c r="G939" s="56">
        <v>8.1999999999999993</v>
      </c>
      <c r="H939" s="56">
        <v>20.399999999999999</v>
      </c>
      <c r="I939" s="56">
        <v>32.9</v>
      </c>
      <c r="J939" s="56">
        <v>45.2</v>
      </c>
      <c r="K939" s="56">
        <v>55.7</v>
      </c>
      <c r="L939" s="56">
        <v>60.1</v>
      </c>
      <c r="M939" s="56">
        <v>57.3</v>
      </c>
      <c r="N939" s="56">
        <v>47.2</v>
      </c>
      <c r="O939" s="56">
        <v>34.4</v>
      </c>
      <c r="P939" s="56">
        <v>20.399999999999999</v>
      </c>
      <c r="Q939" s="56">
        <v>8.5</v>
      </c>
      <c r="R939" s="57">
        <v>32.700000000000003</v>
      </c>
    </row>
    <row r="940" spans="2:18" x14ac:dyDescent="0.4">
      <c r="B940" s="50"/>
      <c r="C940" s="51" t="s">
        <v>257</v>
      </c>
      <c r="D940" s="49" t="s">
        <v>256</v>
      </c>
      <c r="E940" s="49" t="str">
        <f>B939&amp;C940</f>
        <v>Aberdeen, SDTAX</v>
      </c>
      <c r="F940" s="56">
        <v>21.1</v>
      </c>
      <c r="G940" s="56">
        <v>27.6</v>
      </c>
      <c r="H940" s="56">
        <v>39.700000000000003</v>
      </c>
      <c r="I940" s="56">
        <v>56.2</v>
      </c>
      <c r="J940" s="56">
        <v>68.3</v>
      </c>
      <c r="K940" s="56">
        <v>77.2</v>
      </c>
      <c r="L940" s="56">
        <v>82.2</v>
      </c>
      <c r="M940" s="56">
        <v>81</v>
      </c>
      <c r="N940" s="56">
        <v>72.400000000000006</v>
      </c>
      <c r="O940" s="56">
        <v>57.6</v>
      </c>
      <c r="P940" s="56">
        <v>40.1</v>
      </c>
      <c r="Q940" s="56">
        <v>26.5</v>
      </c>
      <c r="R940" s="57">
        <v>54.1</v>
      </c>
    </row>
    <row r="941" spans="2:18" x14ac:dyDescent="0.4">
      <c r="B941" s="50"/>
      <c r="C941" s="51" t="s">
        <v>258</v>
      </c>
      <c r="D941" s="49" t="s">
        <v>259</v>
      </c>
      <c r="E941" s="49" t="str">
        <f>B939&amp;C941</f>
        <v>Aberdeen, SDV</v>
      </c>
      <c r="F941" s="56">
        <v>10.1</v>
      </c>
      <c r="G941" s="56">
        <v>10.5</v>
      </c>
      <c r="H941" s="56">
        <v>11.2</v>
      </c>
      <c r="I941" s="56">
        <v>12.1</v>
      </c>
      <c r="J941" s="56">
        <v>12.1</v>
      </c>
      <c r="K941" s="56">
        <v>10.3</v>
      </c>
      <c r="L941" s="56">
        <v>8.6999999999999993</v>
      </c>
      <c r="M941" s="56">
        <v>8.6999999999999993</v>
      </c>
      <c r="N941" s="56">
        <v>10.1</v>
      </c>
      <c r="O941" s="56">
        <v>10.3</v>
      </c>
      <c r="P941" s="56">
        <v>10.3</v>
      </c>
      <c r="Q941" s="56">
        <v>10.3</v>
      </c>
      <c r="R941" s="57">
        <v>10.5</v>
      </c>
    </row>
    <row r="942" spans="2:18" x14ac:dyDescent="0.4">
      <c r="B942" s="50"/>
      <c r="C942" s="51" t="s">
        <v>260</v>
      </c>
      <c r="D942" s="49" t="s">
        <v>261</v>
      </c>
      <c r="E942" s="49" t="str">
        <f>B939&amp;C942</f>
        <v>Aberdeen, SDI</v>
      </c>
      <c r="F942" s="56">
        <v>435</v>
      </c>
      <c r="G942" s="56">
        <v>703</v>
      </c>
      <c r="H942" s="56">
        <v>1115</v>
      </c>
      <c r="I942" s="56">
        <v>1559</v>
      </c>
      <c r="J942" s="56">
        <v>1815</v>
      </c>
      <c r="K942" s="56">
        <v>1996</v>
      </c>
      <c r="L942" s="56">
        <v>2073</v>
      </c>
      <c r="M942" s="56">
        <v>1799</v>
      </c>
      <c r="N942" s="56">
        <v>1358</v>
      </c>
      <c r="O942" s="56">
        <v>880</v>
      </c>
      <c r="P942" s="56">
        <v>520</v>
      </c>
      <c r="Q942" s="56">
        <v>372</v>
      </c>
      <c r="R942" s="57">
        <v>1219</v>
      </c>
    </row>
    <row r="943" spans="2:18" x14ac:dyDescent="0.4">
      <c r="B943" s="50"/>
      <c r="C943" s="51" t="s">
        <v>262</v>
      </c>
      <c r="D943" s="49" t="s">
        <v>263</v>
      </c>
      <c r="E943" s="49" t="str">
        <f>B939&amp;C943</f>
        <v>Aberdeen, SDPA</v>
      </c>
      <c r="F943" s="58" t="s">
        <v>506</v>
      </c>
      <c r="G943" s="58" t="s">
        <v>506</v>
      </c>
      <c r="H943" s="58" t="s">
        <v>506</v>
      </c>
      <c r="I943" s="58" t="s">
        <v>506</v>
      </c>
      <c r="J943" s="58" t="s">
        <v>506</v>
      </c>
      <c r="K943" s="58" t="s">
        <v>506</v>
      </c>
      <c r="L943" s="58" t="s">
        <v>506</v>
      </c>
      <c r="M943" s="58" t="s">
        <v>506</v>
      </c>
      <c r="N943" s="58" t="s">
        <v>506</v>
      </c>
      <c r="O943" s="58" t="s">
        <v>506</v>
      </c>
      <c r="P943" s="58" t="s">
        <v>506</v>
      </c>
      <c r="Q943" s="58" t="s">
        <v>506</v>
      </c>
      <c r="R943" s="57">
        <v>14.01</v>
      </c>
    </row>
    <row r="944" spans="2:18" x14ac:dyDescent="0.4">
      <c r="B944" s="48" t="s">
        <v>451</v>
      </c>
      <c r="C944" s="51" t="s">
        <v>255</v>
      </c>
      <c r="D944" s="49" t="s">
        <v>256</v>
      </c>
      <c r="E944" s="49" t="str">
        <f>B944&amp;C944</f>
        <v>Huron, SDTAN</v>
      </c>
      <c r="F944" s="56">
        <v>6.7</v>
      </c>
      <c r="G944" s="56">
        <v>12</v>
      </c>
      <c r="H944" s="56">
        <v>22.6</v>
      </c>
      <c r="I944" s="56">
        <v>34.6</v>
      </c>
      <c r="J944" s="56">
        <v>46.5</v>
      </c>
      <c r="K944" s="56">
        <v>57</v>
      </c>
      <c r="L944" s="56">
        <v>61.9</v>
      </c>
      <c r="M944" s="56">
        <v>59.9</v>
      </c>
      <c r="N944" s="56">
        <v>49.7</v>
      </c>
      <c r="O944" s="56">
        <v>36.299999999999997</v>
      </c>
      <c r="P944" s="56">
        <v>23.1</v>
      </c>
      <c r="Q944" s="56">
        <v>11.9</v>
      </c>
      <c r="R944" s="57">
        <v>35.200000000000003</v>
      </c>
    </row>
    <row r="945" spans="2:18" x14ac:dyDescent="0.4">
      <c r="B945" s="50"/>
      <c r="C945" s="51" t="s">
        <v>257</v>
      </c>
      <c r="D945" s="49" t="s">
        <v>256</v>
      </c>
      <c r="E945" s="49" t="str">
        <f>B944&amp;C945</f>
        <v>Huron, SDTAX</v>
      </c>
      <c r="F945" s="56">
        <v>25</v>
      </c>
      <c r="G945" s="56">
        <v>31.3</v>
      </c>
      <c r="H945" s="56">
        <v>42.9</v>
      </c>
      <c r="I945" s="56">
        <v>57.8</v>
      </c>
      <c r="J945" s="56">
        <v>69.2</v>
      </c>
      <c r="K945" s="56">
        <v>78.400000000000006</v>
      </c>
      <c r="L945" s="56">
        <v>84.6</v>
      </c>
      <c r="M945" s="56">
        <v>83.1</v>
      </c>
      <c r="N945" s="56">
        <v>74.400000000000006</v>
      </c>
      <c r="O945" s="56">
        <v>59.9</v>
      </c>
      <c r="P945" s="56">
        <v>42.6</v>
      </c>
      <c r="Q945" s="56">
        <v>29.3</v>
      </c>
      <c r="R945" s="57">
        <v>56.5</v>
      </c>
    </row>
    <row r="946" spans="2:18" x14ac:dyDescent="0.4">
      <c r="B946" s="50"/>
      <c r="C946" s="51" t="s">
        <v>258</v>
      </c>
      <c r="D946" s="49" t="s">
        <v>259</v>
      </c>
      <c r="E946" s="49" t="str">
        <f>B944&amp;C946</f>
        <v>Huron, SDV</v>
      </c>
      <c r="F946" s="56">
        <v>10.5</v>
      </c>
      <c r="G946" s="56">
        <v>10.7</v>
      </c>
      <c r="H946" s="56">
        <v>11.4</v>
      </c>
      <c r="I946" s="56">
        <v>11.9</v>
      </c>
      <c r="J946" s="56">
        <v>11.4</v>
      </c>
      <c r="K946" s="56">
        <v>9.8000000000000007</v>
      </c>
      <c r="L946" s="56">
        <v>9.1999999999999993</v>
      </c>
      <c r="M946" s="56">
        <v>9.1999999999999993</v>
      </c>
      <c r="N946" s="56">
        <v>10.1</v>
      </c>
      <c r="O946" s="56">
        <v>10.3</v>
      </c>
      <c r="P946" s="56">
        <v>10.5</v>
      </c>
      <c r="Q946" s="56">
        <v>10.5</v>
      </c>
      <c r="R946" s="57">
        <v>10.5</v>
      </c>
    </row>
    <row r="947" spans="2:18" x14ac:dyDescent="0.4">
      <c r="B947" s="50"/>
      <c r="C947" s="51" t="s">
        <v>260</v>
      </c>
      <c r="D947" s="49" t="s">
        <v>261</v>
      </c>
      <c r="E947" s="49" t="str">
        <f>B944&amp;C947</f>
        <v>Huron, SDI</v>
      </c>
      <c r="F947" s="56">
        <v>483</v>
      </c>
      <c r="G947" s="56">
        <v>770</v>
      </c>
      <c r="H947" s="56">
        <v>1131</v>
      </c>
      <c r="I947" s="56">
        <v>1556</v>
      </c>
      <c r="J947" s="56">
        <v>1845</v>
      </c>
      <c r="K947" s="56">
        <v>2014</v>
      </c>
      <c r="L947" s="56">
        <v>2094</v>
      </c>
      <c r="M947" s="56">
        <v>1817</v>
      </c>
      <c r="N947" s="56">
        <v>1404</v>
      </c>
      <c r="O947" s="56">
        <v>919</v>
      </c>
      <c r="P947" s="56">
        <v>562</v>
      </c>
      <c r="Q947" s="56">
        <v>403</v>
      </c>
      <c r="R947" s="57">
        <v>1250</v>
      </c>
    </row>
    <row r="948" spans="2:18" x14ac:dyDescent="0.4">
      <c r="B948" s="50"/>
      <c r="C948" s="51" t="s">
        <v>262</v>
      </c>
      <c r="D948" s="49" t="s">
        <v>263</v>
      </c>
      <c r="E948" s="49" t="str">
        <f>B944&amp;C948</f>
        <v>Huron, SDPA</v>
      </c>
      <c r="F948" s="58" t="s">
        <v>506</v>
      </c>
      <c r="G948" s="58" t="s">
        <v>506</v>
      </c>
      <c r="H948" s="58" t="s">
        <v>506</v>
      </c>
      <c r="I948" s="58" t="s">
        <v>506</v>
      </c>
      <c r="J948" s="58" t="s">
        <v>506</v>
      </c>
      <c r="K948" s="58" t="s">
        <v>506</v>
      </c>
      <c r="L948" s="58" t="s">
        <v>506</v>
      </c>
      <c r="M948" s="58" t="s">
        <v>506</v>
      </c>
      <c r="N948" s="58" t="s">
        <v>506</v>
      </c>
      <c r="O948" s="58" t="s">
        <v>506</v>
      </c>
      <c r="P948" s="58" t="s">
        <v>506</v>
      </c>
      <c r="Q948" s="58" t="s">
        <v>506</v>
      </c>
      <c r="R948" s="57">
        <v>14.03</v>
      </c>
    </row>
    <row r="949" spans="2:18" x14ac:dyDescent="0.4">
      <c r="B949" s="48" t="s">
        <v>452</v>
      </c>
      <c r="C949" s="51" t="s">
        <v>255</v>
      </c>
      <c r="D949" s="49" t="s">
        <v>256</v>
      </c>
      <c r="E949" s="49" t="str">
        <f>B949&amp;C949</f>
        <v>Pierre, SDTAN</v>
      </c>
      <c r="F949" s="56">
        <v>10</v>
      </c>
      <c r="G949" s="56">
        <v>14.7</v>
      </c>
      <c r="H949" s="56">
        <v>23.7</v>
      </c>
      <c r="I949" s="56">
        <v>34.799999999999997</v>
      </c>
      <c r="J949" s="56">
        <v>45.9</v>
      </c>
      <c r="K949" s="56">
        <v>56</v>
      </c>
      <c r="L949" s="56">
        <v>62.1</v>
      </c>
      <c r="M949" s="56">
        <v>60.4</v>
      </c>
      <c r="N949" s="56">
        <v>50.5</v>
      </c>
      <c r="O949" s="56">
        <v>37.200000000000003</v>
      </c>
      <c r="P949" s="56">
        <v>24.6</v>
      </c>
      <c r="Q949" s="56">
        <v>14.6</v>
      </c>
      <c r="R949" s="57">
        <v>36.200000000000003</v>
      </c>
    </row>
    <row r="950" spans="2:18" x14ac:dyDescent="0.4">
      <c r="B950" s="50"/>
      <c r="C950" s="51" t="s">
        <v>257</v>
      </c>
      <c r="D950" s="49" t="s">
        <v>256</v>
      </c>
      <c r="E950" s="49" t="str">
        <f>B949&amp;C950</f>
        <v>Pierre, SDTAX</v>
      </c>
      <c r="F950" s="56">
        <v>28.7</v>
      </c>
      <c r="G950" s="56">
        <v>34.700000000000003</v>
      </c>
      <c r="H950" s="56">
        <v>45.4</v>
      </c>
      <c r="I950" s="56">
        <v>58.9</v>
      </c>
      <c r="J950" s="56">
        <v>69.5</v>
      </c>
      <c r="K950" s="56">
        <v>79.2</v>
      </c>
      <c r="L950" s="56">
        <v>87.7</v>
      </c>
      <c r="M950" s="56">
        <v>86.7</v>
      </c>
      <c r="N950" s="56">
        <v>77.2</v>
      </c>
      <c r="O950" s="56">
        <v>60.6</v>
      </c>
      <c r="P950" s="56">
        <v>44.6</v>
      </c>
      <c r="Q950" s="56">
        <v>32.6</v>
      </c>
      <c r="R950" s="57">
        <v>58.8</v>
      </c>
    </row>
    <row r="951" spans="2:18" x14ac:dyDescent="0.4">
      <c r="B951" s="50"/>
      <c r="C951" s="51" t="s">
        <v>258</v>
      </c>
      <c r="D951" s="49" t="s">
        <v>259</v>
      </c>
      <c r="E951" s="49" t="str">
        <f>B949&amp;C951</f>
        <v>Pierre, SDV</v>
      </c>
      <c r="F951" s="56">
        <v>10.7</v>
      </c>
      <c r="G951" s="56">
        <v>10.7</v>
      </c>
      <c r="H951" s="56">
        <v>11.9</v>
      </c>
      <c r="I951" s="56">
        <v>12.1</v>
      </c>
      <c r="J951" s="56">
        <v>11.9</v>
      </c>
      <c r="K951" s="56">
        <v>10.5</v>
      </c>
      <c r="L951" s="56">
        <v>10.3</v>
      </c>
      <c r="M951" s="56">
        <v>10.3</v>
      </c>
      <c r="N951" s="56">
        <v>10.7</v>
      </c>
      <c r="O951" s="56">
        <v>11</v>
      </c>
      <c r="P951" s="56">
        <v>10.5</v>
      </c>
      <c r="Q951" s="56">
        <v>11</v>
      </c>
      <c r="R951" s="57">
        <v>11</v>
      </c>
    </row>
    <row r="952" spans="2:18" x14ac:dyDescent="0.4">
      <c r="B952" s="50"/>
      <c r="C952" s="51" t="s">
        <v>260</v>
      </c>
      <c r="D952" s="49" t="s">
        <v>261</v>
      </c>
      <c r="E952" s="49" t="str">
        <f>B949&amp;C952</f>
        <v>Pierre, SDI</v>
      </c>
      <c r="F952" s="56">
        <v>506</v>
      </c>
      <c r="G952" s="56">
        <v>772</v>
      </c>
      <c r="H952" s="56">
        <v>1135</v>
      </c>
      <c r="I952" s="56">
        <v>1521</v>
      </c>
      <c r="J952" s="56">
        <v>1857</v>
      </c>
      <c r="K952" s="56">
        <v>2054</v>
      </c>
      <c r="L952" s="56">
        <v>2099</v>
      </c>
      <c r="M952" s="56">
        <v>1853</v>
      </c>
      <c r="N952" s="56">
        <v>1428</v>
      </c>
      <c r="O952" s="56">
        <v>927</v>
      </c>
      <c r="P952" s="56">
        <v>553</v>
      </c>
      <c r="Q952" s="56">
        <v>421</v>
      </c>
      <c r="R952" s="57">
        <v>1261</v>
      </c>
    </row>
    <row r="953" spans="2:18" x14ac:dyDescent="0.4">
      <c r="B953" s="50"/>
      <c r="C953" s="51" t="s">
        <v>262</v>
      </c>
      <c r="D953" s="49" t="s">
        <v>263</v>
      </c>
      <c r="E953" s="49" t="str">
        <f>B949&amp;C953</f>
        <v>Pierre, SDPA</v>
      </c>
      <c r="F953" s="58" t="s">
        <v>506</v>
      </c>
      <c r="G953" s="58" t="s">
        <v>506</v>
      </c>
      <c r="H953" s="58" t="s">
        <v>506</v>
      </c>
      <c r="I953" s="58" t="s">
        <v>506</v>
      </c>
      <c r="J953" s="58" t="s">
        <v>506</v>
      </c>
      <c r="K953" s="58" t="s">
        <v>506</v>
      </c>
      <c r="L953" s="58" t="s">
        <v>506</v>
      </c>
      <c r="M953" s="58" t="s">
        <v>506</v>
      </c>
      <c r="N953" s="58" t="s">
        <v>506</v>
      </c>
      <c r="O953" s="58" t="s">
        <v>506</v>
      </c>
      <c r="P953" s="58" t="s">
        <v>506</v>
      </c>
      <c r="Q953" s="58" t="s">
        <v>506</v>
      </c>
      <c r="R953" s="57">
        <v>13.81</v>
      </c>
    </row>
    <row r="954" spans="2:18" x14ac:dyDescent="0.4">
      <c r="B954" s="48" t="s">
        <v>453</v>
      </c>
      <c r="C954" s="51" t="s">
        <v>255</v>
      </c>
      <c r="D954" s="49" t="s">
        <v>256</v>
      </c>
      <c r="E954" s="49" t="str">
        <f>B954&amp;C954</f>
        <v>Rapid City, SDTAN</v>
      </c>
      <c r="F954" s="56">
        <v>13.6</v>
      </c>
      <c r="G954" s="56">
        <v>16.600000000000001</v>
      </c>
      <c r="H954" s="56">
        <v>23.8</v>
      </c>
      <c r="I954" s="56">
        <v>32.700000000000003</v>
      </c>
      <c r="J954" s="56">
        <v>43</v>
      </c>
      <c r="K954" s="56">
        <v>52.3</v>
      </c>
      <c r="L954" s="56">
        <v>59.1</v>
      </c>
      <c r="M954" s="56">
        <v>57.6</v>
      </c>
      <c r="N954" s="56">
        <v>47.4</v>
      </c>
      <c r="O954" s="56">
        <v>35.4</v>
      </c>
      <c r="P954" s="56">
        <v>23.4</v>
      </c>
      <c r="Q954" s="56">
        <v>15.5</v>
      </c>
      <c r="R954" s="57">
        <v>35</v>
      </c>
    </row>
    <row r="955" spans="2:18" x14ac:dyDescent="0.4">
      <c r="B955" s="50"/>
      <c r="C955" s="51" t="s">
        <v>257</v>
      </c>
      <c r="D955" s="49" t="s">
        <v>256</v>
      </c>
      <c r="E955" s="49" t="str">
        <f>B954&amp;C955</f>
        <v>Rapid City, SDTAX</v>
      </c>
      <c r="F955" s="56">
        <v>35.5</v>
      </c>
      <c r="G955" s="56">
        <v>39</v>
      </c>
      <c r="H955" s="56">
        <v>47.3</v>
      </c>
      <c r="I955" s="56">
        <v>56.5</v>
      </c>
      <c r="J955" s="56">
        <v>66.599999999999994</v>
      </c>
      <c r="K955" s="56">
        <v>76.400000000000006</v>
      </c>
      <c r="L955" s="56">
        <v>85.9</v>
      </c>
      <c r="M955" s="56">
        <v>85.7</v>
      </c>
      <c r="N955" s="56">
        <v>75.5</v>
      </c>
      <c r="O955" s="56">
        <v>60.6</v>
      </c>
      <c r="P955" s="56">
        <v>46.4</v>
      </c>
      <c r="Q955" s="56">
        <v>37.200000000000003</v>
      </c>
      <c r="R955" s="57">
        <v>59.4</v>
      </c>
    </row>
    <row r="956" spans="2:18" x14ac:dyDescent="0.4">
      <c r="B956" s="50"/>
      <c r="C956" s="51" t="s">
        <v>258</v>
      </c>
      <c r="D956" s="49" t="s">
        <v>259</v>
      </c>
      <c r="E956" s="49" t="str">
        <f>B954&amp;C956</f>
        <v>Rapid City, SDV</v>
      </c>
      <c r="F956" s="56">
        <v>9.8000000000000007</v>
      </c>
      <c r="G956" s="56">
        <v>10.7</v>
      </c>
      <c r="H956" s="56">
        <v>11.4</v>
      </c>
      <c r="I956" s="56">
        <v>12.1</v>
      </c>
      <c r="J956" s="56">
        <v>11.6</v>
      </c>
      <c r="K956" s="56">
        <v>10.1</v>
      </c>
      <c r="L956" s="56">
        <v>9.4</v>
      </c>
      <c r="M956" s="56">
        <v>9.4</v>
      </c>
      <c r="N956" s="56">
        <v>9.8000000000000007</v>
      </c>
      <c r="O956" s="56">
        <v>10.7</v>
      </c>
      <c r="P956" s="56">
        <v>10.3</v>
      </c>
      <c r="Q956" s="56">
        <v>9.8000000000000007</v>
      </c>
      <c r="R956" s="57">
        <v>10.5</v>
      </c>
    </row>
    <row r="957" spans="2:18" x14ac:dyDescent="0.4">
      <c r="B957" s="50"/>
      <c r="C957" s="51" t="s">
        <v>260</v>
      </c>
      <c r="D957" s="49" t="s">
        <v>261</v>
      </c>
      <c r="E957" s="49" t="str">
        <f>B954&amp;C957</f>
        <v>Rapid City, SDI</v>
      </c>
      <c r="F957" s="56">
        <v>599</v>
      </c>
      <c r="G957" s="56">
        <v>844</v>
      </c>
      <c r="H957" s="56">
        <v>1212</v>
      </c>
      <c r="I957" s="56">
        <v>1588</v>
      </c>
      <c r="J957" s="56">
        <v>1906</v>
      </c>
      <c r="K957" s="56">
        <v>2092</v>
      </c>
      <c r="L957" s="56">
        <v>2150</v>
      </c>
      <c r="M957" s="56">
        <v>1920</v>
      </c>
      <c r="N957" s="56">
        <v>1505</v>
      </c>
      <c r="O957" s="56">
        <v>1016</v>
      </c>
      <c r="P957" s="56">
        <v>619</v>
      </c>
      <c r="Q957" s="56">
        <v>503</v>
      </c>
      <c r="R957" s="57">
        <v>1329</v>
      </c>
    </row>
    <row r="958" spans="2:18" x14ac:dyDescent="0.4">
      <c r="B958" s="50"/>
      <c r="C958" s="51" t="s">
        <v>262</v>
      </c>
      <c r="D958" s="49" t="s">
        <v>263</v>
      </c>
      <c r="E958" s="49" t="str">
        <f>B954&amp;C958</f>
        <v>Rapid City, SDPA</v>
      </c>
      <c r="F958" s="58" t="s">
        <v>506</v>
      </c>
      <c r="G958" s="58" t="s">
        <v>506</v>
      </c>
      <c r="H958" s="58" t="s">
        <v>506</v>
      </c>
      <c r="I958" s="58" t="s">
        <v>506</v>
      </c>
      <c r="J958" s="58" t="s">
        <v>506</v>
      </c>
      <c r="K958" s="58" t="s">
        <v>506</v>
      </c>
      <c r="L958" s="58" t="s">
        <v>506</v>
      </c>
      <c r="M958" s="58" t="s">
        <v>506</v>
      </c>
      <c r="N958" s="58" t="s">
        <v>506</v>
      </c>
      <c r="O958" s="58" t="s">
        <v>506</v>
      </c>
      <c r="P958" s="58" t="s">
        <v>506</v>
      </c>
      <c r="Q958" s="58" t="s">
        <v>506</v>
      </c>
      <c r="R958" s="57">
        <v>13.11</v>
      </c>
    </row>
    <row r="959" spans="2:18" x14ac:dyDescent="0.4">
      <c r="B959" s="48" t="s">
        <v>454</v>
      </c>
      <c r="C959" s="51" t="s">
        <v>255</v>
      </c>
      <c r="D959" s="49" t="s">
        <v>256</v>
      </c>
      <c r="E959" s="49" t="str">
        <f>B959&amp;C959</f>
        <v>Sioux Falls, SDTAN</v>
      </c>
      <c r="F959" s="56">
        <v>7.9</v>
      </c>
      <c r="G959" s="56">
        <v>13.1</v>
      </c>
      <c r="H959" s="56">
        <v>23.5</v>
      </c>
      <c r="I959" s="56">
        <v>35.4</v>
      </c>
      <c r="J959" s="56">
        <v>47.2</v>
      </c>
      <c r="K959" s="56">
        <v>57.9</v>
      </c>
      <c r="L959" s="56">
        <v>62.5</v>
      </c>
      <c r="M959" s="56">
        <v>60.6</v>
      </c>
      <c r="N959" s="56">
        <v>50.6</v>
      </c>
      <c r="O959" s="56">
        <v>37.799999999999997</v>
      </c>
      <c r="P959" s="56">
        <v>24.2</v>
      </c>
      <c r="Q959" s="56">
        <v>12.7</v>
      </c>
      <c r="R959" s="57">
        <v>36.1</v>
      </c>
    </row>
    <row r="960" spans="2:18" x14ac:dyDescent="0.4">
      <c r="B960" s="50"/>
      <c r="C960" s="51" t="s">
        <v>257</v>
      </c>
      <c r="D960" s="49" t="s">
        <v>256</v>
      </c>
      <c r="E960" s="49" t="str">
        <f>B959&amp;C960</f>
        <v>Sioux Falls, SDTAX</v>
      </c>
      <c r="F960" s="56">
        <v>25.2</v>
      </c>
      <c r="G960" s="56">
        <v>31.2</v>
      </c>
      <c r="H960" s="56">
        <v>42.5</v>
      </c>
      <c r="I960" s="56">
        <v>57.5</v>
      </c>
      <c r="J960" s="56">
        <v>68.900000000000006</v>
      </c>
      <c r="K960" s="56">
        <v>78.400000000000006</v>
      </c>
      <c r="L960" s="56">
        <v>82.9</v>
      </c>
      <c r="M960" s="56">
        <v>81</v>
      </c>
      <c r="N960" s="56">
        <v>73.2</v>
      </c>
      <c r="O960" s="56">
        <v>59.6</v>
      </c>
      <c r="P960" s="56">
        <v>42.7</v>
      </c>
      <c r="Q960" s="56">
        <v>29.4</v>
      </c>
      <c r="R960" s="57">
        <v>56</v>
      </c>
    </row>
    <row r="961" spans="2:18" x14ac:dyDescent="0.4">
      <c r="B961" s="50"/>
      <c r="C961" s="51" t="s">
        <v>258</v>
      </c>
      <c r="D961" s="49" t="s">
        <v>259</v>
      </c>
      <c r="E961" s="49" t="str">
        <f>B959&amp;C961</f>
        <v>Sioux Falls, SDV</v>
      </c>
      <c r="F961" s="56">
        <v>10.1</v>
      </c>
      <c r="G961" s="56">
        <v>10.3</v>
      </c>
      <c r="H961" s="56">
        <v>11.2</v>
      </c>
      <c r="I961" s="56">
        <v>11.9</v>
      </c>
      <c r="J961" s="56">
        <v>11.2</v>
      </c>
      <c r="K961" s="56">
        <v>9.8000000000000007</v>
      </c>
      <c r="L961" s="56">
        <v>9.1999999999999993</v>
      </c>
      <c r="M961" s="56">
        <v>8.6999999999999993</v>
      </c>
      <c r="N961" s="56">
        <v>9.6</v>
      </c>
      <c r="O961" s="56">
        <v>9.8000000000000007</v>
      </c>
      <c r="P961" s="56">
        <v>10.1</v>
      </c>
      <c r="Q961" s="56">
        <v>9.8000000000000007</v>
      </c>
      <c r="R961" s="57">
        <v>10.1</v>
      </c>
    </row>
    <row r="962" spans="2:18" x14ac:dyDescent="0.4">
      <c r="B962" s="50"/>
      <c r="C962" s="51" t="s">
        <v>260</v>
      </c>
      <c r="D962" s="49" t="s">
        <v>261</v>
      </c>
      <c r="E962" s="49" t="str">
        <f>B959&amp;C962</f>
        <v>Sioux Falls, SDI</v>
      </c>
      <c r="F962" s="56">
        <v>507</v>
      </c>
      <c r="G962" s="56">
        <v>777</v>
      </c>
      <c r="H962" s="56">
        <v>1169</v>
      </c>
      <c r="I962" s="56">
        <v>1523</v>
      </c>
      <c r="J962" s="56">
        <v>1751</v>
      </c>
      <c r="K962" s="56">
        <v>1979</v>
      </c>
      <c r="L962" s="56">
        <v>2046</v>
      </c>
      <c r="M962" s="56">
        <v>1762</v>
      </c>
      <c r="N962" s="56">
        <v>1393</v>
      </c>
      <c r="O962" s="56">
        <v>947</v>
      </c>
      <c r="P962" s="56">
        <v>576</v>
      </c>
      <c r="Q962" s="56">
        <v>442</v>
      </c>
      <c r="R962" s="57">
        <v>1239</v>
      </c>
    </row>
    <row r="963" spans="2:18" x14ac:dyDescent="0.4">
      <c r="B963" s="50"/>
      <c r="C963" s="51" t="s">
        <v>262</v>
      </c>
      <c r="D963" s="49" t="s">
        <v>263</v>
      </c>
      <c r="E963" s="49" t="str">
        <f>B959&amp;C963</f>
        <v>Sioux Falls, SDPA</v>
      </c>
      <c r="F963" s="58" t="s">
        <v>506</v>
      </c>
      <c r="G963" s="58" t="s">
        <v>506</v>
      </c>
      <c r="H963" s="58" t="s">
        <v>506</v>
      </c>
      <c r="I963" s="58" t="s">
        <v>506</v>
      </c>
      <c r="J963" s="58" t="s">
        <v>506</v>
      </c>
      <c r="K963" s="58" t="s">
        <v>506</v>
      </c>
      <c r="L963" s="58" t="s">
        <v>506</v>
      </c>
      <c r="M963" s="58" t="s">
        <v>506</v>
      </c>
      <c r="N963" s="58" t="s">
        <v>506</v>
      </c>
      <c r="O963" s="58" t="s">
        <v>506</v>
      </c>
      <c r="P963" s="58" t="s">
        <v>506</v>
      </c>
      <c r="Q963" s="58" t="s">
        <v>506</v>
      </c>
      <c r="R963" s="57">
        <v>13.95</v>
      </c>
    </row>
    <row r="964" spans="2:18" x14ac:dyDescent="0.4">
      <c r="B964" s="48" t="s">
        <v>455</v>
      </c>
      <c r="C964" s="51" t="s">
        <v>255</v>
      </c>
      <c r="D964" s="49" t="s">
        <v>256</v>
      </c>
      <c r="E964" s="49" t="str">
        <f>B964&amp;C964</f>
        <v>Bristol, TNTAN</v>
      </c>
      <c r="F964" s="56">
        <v>27.2</v>
      </c>
      <c r="G964" s="56">
        <v>29.5</v>
      </c>
      <c r="H964" s="56">
        <v>35.5</v>
      </c>
      <c r="I964" s="56">
        <v>44</v>
      </c>
      <c r="J964" s="56">
        <v>52.5</v>
      </c>
      <c r="K964" s="56">
        <v>61.2</v>
      </c>
      <c r="L964" s="56">
        <v>64.900000000000006</v>
      </c>
      <c r="M964" s="56">
        <v>63.7</v>
      </c>
      <c r="N964" s="56">
        <v>56.4</v>
      </c>
      <c r="O964" s="56">
        <v>44.7</v>
      </c>
      <c r="P964" s="56">
        <v>35.6</v>
      </c>
      <c r="Q964" s="56">
        <v>28.9</v>
      </c>
      <c r="R964" s="57">
        <v>45.3</v>
      </c>
    </row>
    <row r="965" spans="2:18" x14ac:dyDescent="0.4">
      <c r="B965" s="50"/>
      <c r="C965" s="51" t="s">
        <v>257</v>
      </c>
      <c r="D965" s="49" t="s">
        <v>256</v>
      </c>
      <c r="E965" s="49" t="str">
        <f>B964&amp;C965</f>
        <v>Bristol, TNTAX</v>
      </c>
      <c r="F965" s="56">
        <v>45.5</v>
      </c>
      <c r="G965" s="56">
        <v>49.2</v>
      </c>
      <c r="H965" s="56">
        <v>58</v>
      </c>
      <c r="I965" s="56">
        <v>67.900000000000006</v>
      </c>
      <c r="J965" s="56">
        <v>75.5</v>
      </c>
      <c r="K965" s="56">
        <v>82.1</v>
      </c>
      <c r="L965" s="56">
        <v>84.6</v>
      </c>
      <c r="M965" s="56">
        <v>84.5</v>
      </c>
      <c r="N965" s="56">
        <v>78.8</v>
      </c>
      <c r="O965" s="56">
        <v>68.8</v>
      </c>
      <c r="P965" s="56">
        <v>57.7</v>
      </c>
      <c r="Q965" s="56">
        <v>47.9</v>
      </c>
      <c r="R965" s="57">
        <v>66.7</v>
      </c>
    </row>
    <row r="966" spans="2:18" x14ac:dyDescent="0.4">
      <c r="B966" s="50"/>
      <c r="C966" s="51" t="s">
        <v>258</v>
      </c>
      <c r="D966" s="49" t="s">
        <v>259</v>
      </c>
      <c r="E966" s="49" t="str">
        <f>B964&amp;C966</f>
        <v>Bristol, TNV</v>
      </c>
      <c r="F966" s="56">
        <v>5.4</v>
      </c>
      <c r="G966" s="56">
        <v>5.6</v>
      </c>
      <c r="H966" s="56">
        <v>6</v>
      </c>
      <c r="I966" s="56">
        <v>5.6</v>
      </c>
      <c r="J966" s="56">
        <v>4.7</v>
      </c>
      <c r="K966" s="56">
        <v>3.8</v>
      </c>
      <c r="L966" s="56">
        <v>3.6</v>
      </c>
      <c r="M966" s="56">
        <v>2.9</v>
      </c>
      <c r="N966" s="56">
        <v>3.1</v>
      </c>
      <c r="O966" s="56">
        <v>3.6</v>
      </c>
      <c r="P966" s="56">
        <v>4</v>
      </c>
      <c r="Q966" s="56">
        <v>4.7</v>
      </c>
      <c r="R966" s="57">
        <v>4.5</v>
      </c>
    </row>
    <row r="967" spans="2:18" x14ac:dyDescent="0.4">
      <c r="B967" s="50"/>
      <c r="C967" s="51" t="s">
        <v>260</v>
      </c>
      <c r="D967" s="49" t="s">
        <v>261</v>
      </c>
      <c r="E967" s="49" t="str">
        <f>B964&amp;C967</f>
        <v>Bristol, TNI</v>
      </c>
      <c r="F967" s="56">
        <v>682</v>
      </c>
      <c r="G967" s="56">
        <v>901</v>
      </c>
      <c r="H967" s="56">
        <v>1249</v>
      </c>
      <c r="I967" s="56">
        <v>1616</v>
      </c>
      <c r="J967" s="56">
        <v>1853</v>
      </c>
      <c r="K967" s="56">
        <v>1928</v>
      </c>
      <c r="L967" s="56">
        <v>1885</v>
      </c>
      <c r="M967" s="56">
        <v>1780</v>
      </c>
      <c r="N967" s="56">
        <v>1483</v>
      </c>
      <c r="O967" s="56">
        <v>1128</v>
      </c>
      <c r="P967" s="56">
        <v>790</v>
      </c>
      <c r="Q967" s="56">
        <v>611</v>
      </c>
      <c r="R967" s="57">
        <v>1325</v>
      </c>
    </row>
    <row r="968" spans="2:18" x14ac:dyDescent="0.4">
      <c r="B968" s="50"/>
      <c r="C968" s="51" t="s">
        <v>262</v>
      </c>
      <c r="D968" s="49" t="s">
        <v>263</v>
      </c>
      <c r="E968" s="49" t="str">
        <f>B964&amp;C968</f>
        <v>Bristol, TNPA</v>
      </c>
      <c r="F968" s="58" t="s">
        <v>506</v>
      </c>
      <c r="G968" s="58" t="s">
        <v>506</v>
      </c>
      <c r="H968" s="58" t="s">
        <v>506</v>
      </c>
      <c r="I968" s="58" t="s">
        <v>506</v>
      </c>
      <c r="J968" s="58" t="s">
        <v>506</v>
      </c>
      <c r="K968" s="58" t="s">
        <v>506</v>
      </c>
      <c r="L968" s="58" t="s">
        <v>506</v>
      </c>
      <c r="M968" s="58" t="s">
        <v>506</v>
      </c>
      <c r="N968" s="58" t="s">
        <v>506</v>
      </c>
      <c r="O968" s="58" t="s">
        <v>506</v>
      </c>
      <c r="P968" s="58" t="s">
        <v>506</v>
      </c>
      <c r="Q968" s="58" t="s">
        <v>506</v>
      </c>
      <c r="R968" s="57">
        <v>13.92</v>
      </c>
    </row>
    <row r="969" spans="2:18" x14ac:dyDescent="0.4">
      <c r="B969" s="48" t="s">
        <v>456</v>
      </c>
      <c r="C969" s="51" t="s">
        <v>255</v>
      </c>
      <c r="D969" s="49" t="s">
        <v>256</v>
      </c>
      <c r="E969" s="49" t="str">
        <f>B969&amp;C969</f>
        <v>Chattanooga, TNTAN</v>
      </c>
      <c r="F969" s="56">
        <v>32.700000000000003</v>
      </c>
      <c r="G969" s="56">
        <v>34.799999999999997</v>
      </c>
      <c r="H969" s="56">
        <v>41.6</v>
      </c>
      <c r="I969" s="56">
        <v>49.7</v>
      </c>
      <c r="J969" s="56">
        <v>58.5</v>
      </c>
      <c r="K969" s="56">
        <v>66.8</v>
      </c>
      <c r="L969" s="56">
        <v>70.599999999999994</v>
      </c>
      <c r="M969" s="56">
        <v>70</v>
      </c>
      <c r="N969" s="56">
        <v>63</v>
      </c>
      <c r="O969" s="56">
        <v>50.8</v>
      </c>
      <c r="P969" s="56">
        <v>40.5</v>
      </c>
      <c r="Q969" s="56">
        <v>34.200000000000003</v>
      </c>
      <c r="R969" s="57">
        <v>51.1</v>
      </c>
    </row>
    <row r="970" spans="2:18" x14ac:dyDescent="0.4">
      <c r="B970" s="50"/>
      <c r="C970" s="51" t="s">
        <v>257</v>
      </c>
      <c r="D970" s="49" t="s">
        <v>256</v>
      </c>
      <c r="E970" s="49" t="str">
        <f>B969&amp;C970</f>
        <v>Chattanooga, TNTAX</v>
      </c>
      <c r="F970" s="56">
        <v>50.4</v>
      </c>
      <c r="G970" s="56">
        <v>54.3</v>
      </c>
      <c r="H970" s="56">
        <v>63</v>
      </c>
      <c r="I970" s="56">
        <v>72.5</v>
      </c>
      <c r="J970" s="56">
        <v>79.400000000000006</v>
      </c>
      <c r="K970" s="56">
        <v>86.1</v>
      </c>
      <c r="L970" s="56">
        <v>89.2</v>
      </c>
      <c r="M970" s="56">
        <v>89</v>
      </c>
      <c r="N970" s="56">
        <v>83</v>
      </c>
      <c r="O970" s="56">
        <v>72.8</v>
      </c>
      <c r="P970" s="56">
        <v>61.4</v>
      </c>
      <c r="Q970" s="56">
        <v>51.9</v>
      </c>
      <c r="R970" s="57">
        <v>71.099999999999994</v>
      </c>
    </row>
    <row r="971" spans="2:18" x14ac:dyDescent="0.4">
      <c r="B971" s="50"/>
      <c r="C971" s="51" t="s">
        <v>258</v>
      </c>
      <c r="D971" s="49" t="s">
        <v>259</v>
      </c>
      <c r="E971" s="49" t="str">
        <f>B969&amp;C971</f>
        <v>Chattanooga, TNV</v>
      </c>
      <c r="F971" s="56">
        <v>5.8</v>
      </c>
      <c r="G971" s="56">
        <v>6</v>
      </c>
      <c r="H971" s="56">
        <v>6.5</v>
      </c>
      <c r="I971" s="56">
        <v>6</v>
      </c>
      <c r="J971" s="56">
        <v>4.9000000000000004</v>
      </c>
      <c r="K971" s="56">
        <v>4.3</v>
      </c>
      <c r="L971" s="56">
        <v>4.3</v>
      </c>
      <c r="M971" s="56">
        <v>3.8</v>
      </c>
      <c r="N971" s="56">
        <v>4</v>
      </c>
      <c r="O971" s="56">
        <v>4</v>
      </c>
      <c r="P971" s="56">
        <v>4.5</v>
      </c>
      <c r="Q971" s="56">
        <v>5.4</v>
      </c>
      <c r="R971" s="57">
        <v>4.9000000000000004</v>
      </c>
    </row>
    <row r="972" spans="2:18" x14ac:dyDescent="0.4">
      <c r="B972" s="50"/>
      <c r="C972" s="51" t="s">
        <v>260</v>
      </c>
      <c r="D972" s="49" t="s">
        <v>261</v>
      </c>
      <c r="E972" s="49" t="str">
        <f>B969&amp;C972</f>
        <v>Chattanooga, TNI</v>
      </c>
      <c r="F972" s="56">
        <v>722</v>
      </c>
      <c r="G972" s="56">
        <v>965</v>
      </c>
      <c r="H972" s="56">
        <v>1295</v>
      </c>
      <c r="I972" s="56">
        <v>1662</v>
      </c>
      <c r="J972" s="56">
        <v>1859</v>
      </c>
      <c r="K972" s="56">
        <v>1950</v>
      </c>
      <c r="L972" s="56">
        <v>1915</v>
      </c>
      <c r="M972" s="56">
        <v>1796</v>
      </c>
      <c r="N972" s="56">
        <v>1471</v>
      </c>
      <c r="O972" s="56">
        <v>1170</v>
      </c>
      <c r="P972" s="56">
        <v>824</v>
      </c>
      <c r="Q972" s="56">
        <v>654</v>
      </c>
      <c r="R972" s="57">
        <v>1357</v>
      </c>
    </row>
    <row r="973" spans="2:18" x14ac:dyDescent="0.4">
      <c r="B973" s="50"/>
      <c r="C973" s="51" t="s">
        <v>262</v>
      </c>
      <c r="D973" s="49" t="s">
        <v>263</v>
      </c>
      <c r="E973" s="49" t="str">
        <f>B969&amp;C973</f>
        <v>Chattanooga, TNPA</v>
      </c>
      <c r="F973" s="58" t="s">
        <v>506</v>
      </c>
      <c r="G973" s="58" t="s">
        <v>506</v>
      </c>
      <c r="H973" s="58" t="s">
        <v>506</v>
      </c>
      <c r="I973" s="58" t="s">
        <v>506</v>
      </c>
      <c r="J973" s="58" t="s">
        <v>506</v>
      </c>
      <c r="K973" s="58" t="s">
        <v>506</v>
      </c>
      <c r="L973" s="58" t="s">
        <v>506</v>
      </c>
      <c r="M973" s="58" t="s">
        <v>506</v>
      </c>
      <c r="N973" s="58" t="s">
        <v>506</v>
      </c>
      <c r="O973" s="58" t="s">
        <v>506</v>
      </c>
      <c r="P973" s="58" t="s">
        <v>506</v>
      </c>
      <c r="Q973" s="58" t="s">
        <v>506</v>
      </c>
      <c r="R973" s="57">
        <v>14.34</v>
      </c>
    </row>
    <row r="974" spans="2:18" x14ac:dyDescent="0.4">
      <c r="B974" s="48" t="s">
        <v>457</v>
      </c>
      <c r="C974" s="51" t="s">
        <v>255</v>
      </c>
      <c r="D974" s="49" t="s">
        <v>256</v>
      </c>
      <c r="E974" s="49" t="str">
        <f>B974&amp;C974</f>
        <v>Knoxville, TNTAN</v>
      </c>
      <c r="F974" s="56">
        <v>30.8</v>
      </c>
      <c r="G974" s="56">
        <v>33.299999999999997</v>
      </c>
      <c r="H974" s="56">
        <v>40</v>
      </c>
      <c r="I974" s="56">
        <v>48.7</v>
      </c>
      <c r="J974" s="56">
        <v>57.3</v>
      </c>
      <c r="K974" s="56">
        <v>65.599999999999994</v>
      </c>
      <c r="L974" s="56">
        <v>69.2</v>
      </c>
      <c r="M974" s="56">
        <v>68.3</v>
      </c>
      <c r="N974" s="56">
        <v>61.4</v>
      </c>
      <c r="O974" s="56">
        <v>49.2</v>
      </c>
      <c r="P974" s="56">
        <v>39.299999999999997</v>
      </c>
      <c r="Q974" s="56">
        <v>32.4</v>
      </c>
      <c r="R974" s="57">
        <v>49.6</v>
      </c>
    </row>
    <row r="975" spans="2:18" x14ac:dyDescent="0.4">
      <c r="B975" s="50"/>
      <c r="C975" s="51" t="s">
        <v>257</v>
      </c>
      <c r="D975" s="49" t="s">
        <v>256</v>
      </c>
      <c r="E975" s="49" t="str">
        <f>B974&amp;C975</f>
        <v>Knoxville, TNTAX</v>
      </c>
      <c r="F975" s="56">
        <v>47.3</v>
      </c>
      <c r="G975" s="56">
        <v>51.4</v>
      </c>
      <c r="H975" s="56">
        <v>60.2</v>
      </c>
      <c r="I975" s="56">
        <v>69.8</v>
      </c>
      <c r="J975" s="56">
        <v>77.5</v>
      </c>
      <c r="K975" s="56">
        <v>84.2</v>
      </c>
      <c r="L975" s="56">
        <v>87.2</v>
      </c>
      <c r="M975" s="56">
        <v>87</v>
      </c>
      <c r="N975" s="56">
        <v>81.099999999999994</v>
      </c>
      <c r="O975" s="56">
        <v>70.400000000000006</v>
      </c>
      <c r="P975" s="56">
        <v>59.1</v>
      </c>
      <c r="Q975" s="56">
        <v>49.1</v>
      </c>
      <c r="R975" s="57">
        <v>68.7</v>
      </c>
    </row>
    <row r="976" spans="2:18" x14ac:dyDescent="0.4">
      <c r="B976" s="50"/>
      <c r="C976" s="51" t="s">
        <v>258</v>
      </c>
      <c r="D976" s="49" t="s">
        <v>259</v>
      </c>
      <c r="E976" s="49" t="str">
        <f>B974&amp;C976</f>
        <v>Knoxville, TNV</v>
      </c>
      <c r="F976" s="56">
        <v>6.5</v>
      </c>
      <c r="G976" s="56">
        <v>6.7</v>
      </c>
      <c r="H976" s="56">
        <v>7.2</v>
      </c>
      <c r="I976" s="56">
        <v>6.9</v>
      </c>
      <c r="J976" s="56">
        <v>6.3</v>
      </c>
      <c r="K976" s="56">
        <v>5.4</v>
      </c>
      <c r="L976" s="56">
        <v>5.4</v>
      </c>
      <c r="M976" s="56">
        <v>4.5</v>
      </c>
      <c r="N976" s="56">
        <v>4.7</v>
      </c>
      <c r="O976" s="56">
        <v>4.7</v>
      </c>
      <c r="P976" s="56">
        <v>5.4</v>
      </c>
      <c r="Q976" s="56">
        <v>6</v>
      </c>
      <c r="R976" s="57">
        <v>5.8</v>
      </c>
    </row>
    <row r="977" spans="2:18" x14ac:dyDescent="0.4">
      <c r="B977" s="50"/>
      <c r="C977" s="51" t="s">
        <v>260</v>
      </c>
      <c r="D977" s="49" t="s">
        <v>261</v>
      </c>
      <c r="E977" s="49" t="str">
        <f>B974&amp;C977</f>
        <v>Knoxville, TNI</v>
      </c>
      <c r="F977" s="56">
        <v>692</v>
      </c>
      <c r="G977" s="56">
        <v>933</v>
      </c>
      <c r="H977" s="56">
        <v>1270</v>
      </c>
      <c r="I977" s="56">
        <v>1656</v>
      </c>
      <c r="J977" s="56">
        <v>1877</v>
      </c>
      <c r="K977" s="56">
        <v>1970</v>
      </c>
      <c r="L977" s="56">
        <v>1925</v>
      </c>
      <c r="M977" s="56">
        <v>1808</v>
      </c>
      <c r="N977" s="56">
        <v>1484</v>
      </c>
      <c r="O977" s="56">
        <v>1160</v>
      </c>
      <c r="P977" s="56">
        <v>798</v>
      </c>
      <c r="Q977" s="56">
        <v>625</v>
      </c>
      <c r="R977" s="57">
        <v>1350</v>
      </c>
    </row>
    <row r="978" spans="2:18" x14ac:dyDescent="0.4">
      <c r="B978" s="50"/>
      <c r="C978" s="51" t="s">
        <v>262</v>
      </c>
      <c r="D978" s="49" t="s">
        <v>263</v>
      </c>
      <c r="E978" s="49" t="str">
        <f>B974&amp;C978</f>
        <v>Knoxville, TNPA</v>
      </c>
      <c r="F978" s="58" t="s">
        <v>506</v>
      </c>
      <c r="G978" s="58" t="s">
        <v>506</v>
      </c>
      <c r="H978" s="58" t="s">
        <v>506</v>
      </c>
      <c r="I978" s="58" t="s">
        <v>506</v>
      </c>
      <c r="J978" s="58" t="s">
        <v>506</v>
      </c>
      <c r="K978" s="58" t="s">
        <v>506</v>
      </c>
      <c r="L978" s="58" t="s">
        <v>506</v>
      </c>
      <c r="M978" s="58" t="s">
        <v>506</v>
      </c>
      <c r="N978" s="58" t="s">
        <v>506</v>
      </c>
      <c r="O978" s="58" t="s">
        <v>506</v>
      </c>
      <c r="P978" s="58" t="s">
        <v>506</v>
      </c>
      <c r="Q978" s="58" t="s">
        <v>506</v>
      </c>
      <c r="R978" s="57">
        <v>14.18</v>
      </c>
    </row>
    <row r="979" spans="2:18" x14ac:dyDescent="0.4">
      <c r="B979" s="48" t="s">
        <v>458</v>
      </c>
      <c r="C979" s="51" t="s">
        <v>255</v>
      </c>
      <c r="D979" s="49" t="s">
        <v>256</v>
      </c>
      <c r="E979" s="49" t="str">
        <f>B979&amp;C979</f>
        <v>Memphis, TNTAN</v>
      </c>
      <c r="F979" s="56">
        <v>34</v>
      </c>
      <c r="G979" s="56">
        <v>37.1</v>
      </c>
      <c r="H979" s="56">
        <v>44.7</v>
      </c>
      <c r="I979" s="56">
        <v>53.9</v>
      </c>
      <c r="J979" s="56">
        <v>63.1</v>
      </c>
      <c r="K979" s="56">
        <v>70.900000000000006</v>
      </c>
      <c r="L979" s="56">
        <v>74.099999999999994</v>
      </c>
      <c r="M979" s="56">
        <v>73.2</v>
      </c>
      <c r="N979" s="56">
        <v>65.8</v>
      </c>
      <c r="O979" s="56">
        <v>54.6</v>
      </c>
      <c r="P979" s="56">
        <v>43.9</v>
      </c>
      <c r="Q979" s="56">
        <v>36.200000000000003</v>
      </c>
      <c r="R979" s="57">
        <v>54.3</v>
      </c>
    </row>
    <row r="980" spans="2:18" x14ac:dyDescent="0.4">
      <c r="B980" s="50"/>
      <c r="C980" s="51" t="s">
        <v>257</v>
      </c>
      <c r="D980" s="49" t="s">
        <v>256</v>
      </c>
      <c r="E980" s="49" t="str">
        <f>B979&amp;C980</f>
        <v>Memphis, TNTAX</v>
      </c>
      <c r="F980" s="56">
        <v>49.7</v>
      </c>
      <c r="G980" s="56">
        <v>54.3</v>
      </c>
      <c r="H980" s="56">
        <v>62.9</v>
      </c>
      <c r="I980" s="56">
        <v>72.400000000000006</v>
      </c>
      <c r="J980" s="56">
        <v>80.7</v>
      </c>
      <c r="K980" s="56">
        <v>88.1</v>
      </c>
      <c r="L980" s="56">
        <v>90.8</v>
      </c>
      <c r="M980" s="56">
        <v>90.7</v>
      </c>
      <c r="N980" s="56">
        <v>84.6</v>
      </c>
      <c r="O980" s="56">
        <v>74</v>
      </c>
      <c r="P980" s="56">
        <v>61.6</v>
      </c>
      <c r="Q980" s="56">
        <v>51.7</v>
      </c>
      <c r="R980" s="57">
        <v>71.8</v>
      </c>
    </row>
    <row r="981" spans="2:18" x14ac:dyDescent="0.4">
      <c r="B981" s="50"/>
      <c r="C981" s="51" t="s">
        <v>258</v>
      </c>
      <c r="D981" s="49" t="s">
        <v>259</v>
      </c>
      <c r="E981" s="49" t="str">
        <f>B979&amp;C981</f>
        <v>Memphis, TNV</v>
      </c>
      <c r="F981" s="56">
        <v>9.1999999999999993</v>
      </c>
      <c r="G981" s="56">
        <v>9.1999999999999993</v>
      </c>
      <c r="H981" s="56">
        <v>9.8000000000000007</v>
      </c>
      <c r="I981" s="56">
        <v>9.6</v>
      </c>
      <c r="J981" s="56">
        <v>8.5</v>
      </c>
      <c r="K981" s="56">
        <v>7.4</v>
      </c>
      <c r="L981" s="56">
        <v>6.9</v>
      </c>
      <c r="M981" s="56">
        <v>6.7</v>
      </c>
      <c r="N981" s="56">
        <v>7.2</v>
      </c>
      <c r="O981" s="56">
        <v>7.2</v>
      </c>
      <c r="P981" s="56">
        <v>8.1</v>
      </c>
      <c r="Q981" s="56">
        <v>8.6999999999999993</v>
      </c>
      <c r="R981" s="57">
        <v>8.3000000000000007</v>
      </c>
    </row>
    <row r="982" spans="2:18" x14ac:dyDescent="0.4">
      <c r="B982" s="50"/>
      <c r="C982" s="51" t="s">
        <v>260</v>
      </c>
      <c r="D982" s="49" t="s">
        <v>261</v>
      </c>
      <c r="E982" s="49" t="str">
        <f>B979&amp;C982</f>
        <v>Memphis, TNI</v>
      </c>
      <c r="F982" s="56">
        <v>696</v>
      </c>
      <c r="G982" s="56">
        <v>939</v>
      </c>
      <c r="H982" s="56">
        <v>1275</v>
      </c>
      <c r="I982" s="56">
        <v>1661</v>
      </c>
      <c r="J982" s="56">
        <v>1860</v>
      </c>
      <c r="K982" s="56">
        <v>2008</v>
      </c>
      <c r="L982" s="56">
        <v>1967</v>
      </c>
      <c r="M982" s="56">
        <v>1832</v>
      </c>
      <c r="N982" s="56">
        <v>1508</v>
      </c>
      <c r="O982" s="56">
        <v>1165</v>
      </c>
      <c r="P982" s="56">
        <v>794</v>
      </c>
      <c r="Q982" s="56">
        <v>626</v>
      </c>
      <c r="R982" s="57">
        <v>1361</v>
      </c>
    </row>
    <row r="983" spans="2:18" x14ac:dyDescent="0.4">
      <c r="B983" s="50"/>
      <c r="C983" s="51" t="s">
        <v>262</v>
      </c>
      <c r="D983" s="49" t="s">
        <v>263</v>
      </c>
      <c r="E983" s="49" t="str">
        <f>B979&amp;C983</f>
        <v>Memphis, TNPA</v>
      </c>
      <c r="F983" s="58" t="s">
        <v>506</v>
      </c>
      <c r="G983" s="58" t="s">
        <v>506</v>
      </c>
      <c r="H983" s="58" t="s">
        <v>506</v>
      </c>
      <c r="I983" s="58" t="s">
        <v>506</v>
      </c>
      <c r="J983" s="58" t="s">
        <v>506</v>
      </c>
      <c r="K983" s="58" t="s">
        <v>506</v>
      </c>
      <c r="L983" s="58" t="s">
        <v>506</v>
      </c>
      <c r="M983" s="58" t="s">
        <v>506</v>
      </c>
      <c r="N983" s="58" t="s">
        <v>506</v>
      </c>
      <c r="O983" s="58" t="s">
        <v>506</v>
      </c>
      <c r="P983" s="58" t="s">
        <v>506</v>
      </c>
      <c r="Q983" s="58" t="s">
        <v>506</v>
      </c>
      <c r="R983" s="57">
        <v>14.55</v>
      </c>
    </row>
    <row r="984" spans="2:18" x14ac:dyDescent="0.4">
      <c r="B984" s="48" t="s">
        <v>459</v>
      </c>
      <c r="C984" s="51" t="s">
        <v>255</v>
      </c>
      <c r="D984" s="49" t="s">
        <v>256</v>
      </c>
      <c r="E984" s="49" t="str">
        <f>B984&amp;C984</f>
        <v>Nashville, TNTAN</v>
      </c>
      <c r="F984" s="56">
        <v>30.5</v>
      </c>
      <c r="G984" s="56">
        <v>32.9</v>
      </c>
      <c r="H984" s="56">
        <v>40.200000000000003</v>
      </c>
      <c r="I984" s="56">
        <v>49.3</v>
      </c>
      <c r="J984" s="56">
        <v>58.5</v>
      </c>
      <c r="K984" s="56">
        <v>66.7</v>
      </c>
      <c r="L984" s="56">
        <v>70.8</v>
      </c>
      <c r="M984" s="56">
        <v>69.8</v>
      </c>
      <c r="N984" s="56">
        <v>62.1</v>
      </c>
      <c r="O984" s="56">
        <v>50.3</v>
      </c>
      <c r="P984" s="56">
        <v>40.200000000000003</v>
      </c>
      <c r="Q984" s="56">
        <v>32.799999999999997</v>
      </c>
      <c r="R984" s="57">
        <v>50.3</v>
      </c>
    </row>
    <row r="985" spans="2:18" x14ac:dyDescent="0.4">
      <c r="B985" s="50"/>
      <c r="C985" s="51" t="s">
        <v>257</v>
      </c>
      <c r="D985" s="49" t="s">
        <v>256</v>
      </c>
      <c r="E985" s="49" t="str">
        <f>B984&amp;C985</f>
        <v>Nashville, TNTAX</v>
      </c>
      <c r="F985" s="56">
        <v>47.2</v>
      </c>
      <c r="G985" s="56">
        <v>51.5</v>
      </c>
      <c r="H985" s="56">
        <v>60.5</v>
      </c>
      <c r="I985" s="56">
        <v>70.400000000000006</v>
      </c>
      <c r="J985" s="56">
        <v>77.900000000000006</v>
      </c>
      <c r="K985" s="56">
        <v>85.2</v>
      </c>
      <c r="L985" s="56">
        <v>88.6</v>
      </c>
      <c r="M985" s="56">
        <v>88.6</v>
      </c>
      <c r="N985" s="56">
        <v>82.2</v>
      </c>
      <c r="O985" s="56">
        <v>71.400000000000006</v>
      </c>
      <c r="P985" s="56">
        <v>59.5</v>
      </c>
      <c r="Q985" s="56">
        <v>49.5</v>
      </c>
      <c r="R985" s="57">
        <v>69.400000000000006</v>
      </c>
    </row>
    <row r="986" spans="2:18" x14ac:dyDescent="0.4">
      <c r="B986" s="50"/>
      <c r="C986" s="51" t="s">
        <v>258</v>
      </c>
      <c r="D986" s="49" t="s">
        <v>259</v>
      </c>
      <c r="E986" s="49" t="str">
        <f>B984&amp;C986</f>
        <v>Nashville, TNV</v>
      </c>
      <c r="F986" s="56">
        <v>8.1</v>
      </c>
      <c r="G986" s="56">
        <v>8.1</v>
      </c>
      <c r="H986" s="56">
        <v>8.3000000000000007</v>
      </c>
      <c r="I986" s="56">
        <v>8.1</v>
      </c>
      <c r="J986" s="56">
        <v>6.7</v>
      </c>
      <c r="K986" s="56">
        <v>6</v>
      </c>
      <c r="L986" s="56">
        <v>5.8</v>
      </c>
      <c r="M986" s="56">
        <v>5.6</v>
      </c>
      <c r="N986" s="56">
        <v>5.8</v>
      </c>
      <c r="O986" s="56">
        <v>6.3</v>
      </c>
      <c r="P986" s="56">
        <v>7.2</v>
      </c>
      <c r="Q986" s="56">
        <v>7.6</v>
      </c>
      <c r="R986" s="57">
        <v>6.9</v>
      </c>
    </row>
    <row r="987" spans="2:18" x14ac:dyDescent="0.4">
      <c r="B987" s="50"/>
      <c r="C987" s="51" t="s">
        <v>260</v>
      </c>
      <c r="D987" s="49" t="s">
        <v>261</v>
      </c>
      <c r="E987" s="49" t="str">
        <f>B984&amp;C987</f>
        <v>Nashville, TNI</v>
      </c>
      <c r="F987" s="56">
        <v>654</v>
      </c>
      <c r="G987" s="56">
        <v>896</v>
      </c>
      <c r="H987" s="56">
        <v>1261</v>
      </c>
      <c r="I987" s="56">
        <v>1614</v>
      </c>
      <c r="J987" s="56">
        <v>1798</v>
      </c>
      <c r="K987" s="56">
        <v>1955</v>
      </c>
      <c r="L987" s="56">
        <v>1886</v>
      </c>
      <c r="M987" s="56">
        <v>1778</v>
      </c>
      <c r="N987" s="56">
        <v>1467</v>
      </c>
      <c r="O987" s="56">
        <v>1128</v>
      </c>
      <c r="P987" s="56">
        <v>772</v>
      </c>
      <c r="Q987" s="56">
        <v>583</v>
      </c>
      <c r="R987" s="57">
        <v>1316</v>
      </c>
    </row>
    <row r="988" spans="2:18" x14ac:dyDescent="0.4">
      <c r="B988" s="50"/>
      <c r="C988" s="51" t="s">
        <v>262</v>
      </c>
      <c r="D988" s="49" t="s">
        <v>263</v>
      </c>
      <c r="E988" s="49" t="str">
        <f>B984&amp;C988</f>
        <v>Nashville, TNPA</v>
      </c>
      <c r="F988" s="58" t="s">
        <v>506</v>
      </c>
      <c r="G988" s="58" t="s">
        <v>506</v>
      </c>
      <c r="H988" s="58" t="s">
        <v>506</v>
      </c>
      <c r="I988" s="58" t="s">
        <v>506</v>
      </c>
      <c r="J988" s="58" t="s">
        <v>506</v>
      </c>
      <c r="K988" s="58" t="s">
        <v>506</v>
      </c>
      <c r="L988" s="58" t="s">
        <v>506</v>
      </c>
      <c r="M988" s="58" t="s">
        <v>506</v>
      </c>
      <c r="N988" s="58" t="s">
        <v>506</v>
      </c>
      <c r="O988" s="58" t="s">
        <v>506</v>
      </c>
      <c r="P988" s="58" t="s">
        <v>506</v>
      </c>
      <c r="Q988" s="58" t="s">
        <v>506</v>
      </c>
      <c r="R988" s="57">
        <v>14.39</v>
      </c>
    </row>
    <row r="989" spans="2:18" x14ac:dyDescent="0.4">
      <c r="B989" s="48" t="s">
        <v>460</v>
      </c>
      <c r="C989" s="51" t="s">
        <v>255</v>
      </c>
      <c r="D989" s="49" t="s">
        <v>256</v>
      </c>
      <c r="E989" s="49" t="str">
        <f>B989&amp;C989</f>
        <v>Abilene, TXTAN</v>
      </c>
      <c r="F989" s="56">
        <v>34.200000000000003</v>
      </c>
      <c r="G989" s="56">
        <v>37.799999999999997</v>
      </c>
      <c r="H989" s="56">
        <v>44.9</v>
      </c>
      <c r="I989" s="56">
        <v>52.6</v>
      </c>
      <c r="J989" s="56">
        <v>62.1</v>
      </c>
      <c r="K989" s="56">
        <v>69.099999999999994</v>
      </c>
      <c r="L989" s="56">
        <v>72.599999999999994</v>
      </c>
      <c r="M989" s="56">
        <v>72</v>
      </c>
      <c r="N989" s="56">
        <v>64.400000000000006</v>
      </c>
      <c r="O989" s="56">
        <v>54.6</v>
      </c>
      <c r="P989" s="56">
        <v>43.4</v>
      </c>
      <c r="Q989" s="56">
        <v>35.200000000000003</v>
      </c>
      <c r="R989" s="57">
        <v>53.6</v>
      </c>
    </row>
    <row r="990" spans="2:18" x14ac:dyDescent="0.4">
      <c r="B990" s="50"/>
      <c r="C990" s="51" t="s">
        <v>257</v>
      </c>
      <c r="D990" s="49" t="s">
        <v>256</v>
      </c>
      <c r="E990" s="49" t="str">
        <f>B989&amp;C990</f>
        <v>Abilene, TXTAX</v>
      </c>
      <c r="F990" s="56">
        <v>56.5</v>
      </c>
      <c r="G990" s="56">
        <v>60.6</v>
      </c>
      <c r="H990" s="56">
        <v>68</v>
      </c>
      <c r="I990" s="56">
        <v>76.599999999999994</v>
      </c>
      <c r="J990" s="56">
        <v>83.9</v>
      </c>
      <c r="K990" s="56">
        <v>89.9</v>
      </c>
      <c r="L990" s="56">
        <v>93.6</v>
      </c>
      <c r="M990" s="56">
        <v>92.8</v>
      </c>
      <c r="N990" s="56">
        <v>85.9</v>
      </c>
      <c r="O990" s="56">
        <v>76.8</v>
      </c>
      <c r="P990" s="56">
        <v>65.400000000000006</v>
      </c>
      <c r="Q990" s="56">
        <v>57.4</v>
      </c>
      <c r="R990" s="57">
        <v>75.599999999999994</v>
      </c>
    </row>
    <row r="991" spans="2:18" x14ac:dyDescent="0.4">
      <c r="B991" s="50"/>
      <c r="C991" s="51" t="s">
        <v>258</v>
      </c>
      <c r="D991" s="49" t="s">
        <v>259</v>
      </c>
      <c r="E991" s="49" t="str">
        <f>B989&amp;C991</f>
        <v>Abilene, TXV</v>
      </c>
      <c r="F991" s="56">
        <v>11</v>
      </c>
      <c r="G991" s="56">
        <v>11.4</v>
      </c>
      <c r="H991" s="56">
        <v>12.5</v>
      </c>
      <c r="I991" s="56">
        <v>13.2</v>
      </c>
      <c r="J991" s="56">
        <v>11.9</v>
      </c>
      <c r="K991" s="56">
        <v>11.2</v>
      </c>
      <c r="L991" s="56">
        <v>10.1</v>
      </c>
      <c r="M991" s="56">
        <v>8.6999999999999993</v>
      </c>
      <c r="N991" s="56">
        <v>8.9</v>
      </c>
      <c r="O991" s="56">
        <v>10.3</v>
      </c>
      <c r="P991" s="56">
        <v>10.7</v>
      </c>
      <c r="Q991" s="56">
        <v>10.7</v>
      </c>
      <c r="R991" s="57">
        <v>11</v>
      </c>
    </row>
    <row r="992" spans="2:18" x14ac:dyDescent="0.4">
      <c r="B992" s="50"/>
      <c r="C992" s="51" t="s">
        <v>260</v>
      </c>
      <c r="D992" s="49" t="s">
        <v>261</v>
      </c>
      <c r="E992" s="49" t="str">
        <f>B989&amp;C992</f>
        <v>Abilene, TXI</v>
      </c>
      <c r="F992" s="56">
        <v>959</v>
      </c>
      <c r="G992" s="56">
        <v>1205</v>
      </c>
      <c r="H992" s="56">
        <v>1557</v>
      </c>
      <c r="I992" s="56">
        <v>1936</v>
      </c>
      <c r="J992" s="56">
        <v>2052</v>
      </c>
      <c r="K992" s="56">
        <v>2245</v>
      </c>
      <c r="L992" s="56">
        <v>2252</v>
      </c>
      <c r="M992" s="56">
        <v>2006</v>
      </c>
      <c r="N992" s="56">
        <v>1701</v>
      </c>
      <c r="O992" s="56">
        <v>1375</v>
      </c>
      <c r="P992" s="56">
        <v>1046</v>
      </c>
      <c r="Q992" s="56">
        <v>902</v>
      </c>
      <c r="R992" s="57">
        <v>1603</v>
      </c>
    </row>
    <row r="993" spans="2:18" x14ac:dyDescent="0.4">
      <c r="B993" s="50"/>
      <c r="C993" s="51" t="s">
        <v>262</v>
      </c>
      <c r="D993" s="49" t="s">
        <v>263</v>
      </c>
      <c r="E993" s="49" t="str">
        <f>B989&amp;C993</f>
        <v>Abilene, TXPA</v>
      </c>
      <c r="F993" s="58" t="s">
        <v>506</v>
      </c>
      <c r="G993" s="58" t="s">
        <v>506</v>
      </c>
      <c r="H993" s="58" t="s">
        <v>506</v>
      </c>
      <c r="I993" s="58" t="s">
        <v>506</v>
      </c>
      <c r="J993" s="58" t="s">
        <v>506</v>
      </c>
      <c r="K993" s="58" t="s">
        <v>506</v>
      </c>
      <c r="L993" s="58" t="s">
        <v>506</v>
      </c>
      <c r="M993" s="58" t="s">
        <v>506</v>
      </c>
      <c r="N993" s="58" t="s">
        <v>506</v>
      </c>
      <c r="O993" s="58" t="s">
        <v>506</v>
      </c>
      <c r="P993" s="58" t="s">
        <v>506</v>
      </c>
      <c r="Q993" s="58" t="s">
        <v>506</v>
      </c>
      <c r="R993" s="57">
        <v>13.79</v>
      </c>
    </row>
    <row r="994" spans="2:18" x14ac:dyDescent="0.4">
      <c r="B994" s="48" t="s">
        <v>461</v>
      </c>
      <c r="C994" s="51" t="s">
        <v>255</v>
      </c>
      <c r="D994" s="49" t="s">
        <v>256</v>
      </c>
      <c r="E994" s="49" t="str">
        <f>B994&amp;C994</f>
        <v>Amarillo, TXTAN</v>
      </c>
      <c r="F994" s="56">
        <v>24.9</v>
      </c>
      <c r="G994" s="56">
        <v>28</v>
      </c>
      <c r="H994" s="56">
        <v>34.1</v>
      </c>
      <c r="I994" s="56">
        <v>42.4</v>
      </c>
      <c r="J994" s="56">
        <v>52.8</v>
      </c>
      <c r="K994" s="56">
        <v>61.7</v>
      </c>
      <c r="L994" s="56">
        <v>65.8</v>
      </c>
      <c r="M994" s="56">
        <v>64.8</v>
      </c>
      <c r="N994" s="56">
        <v>56.9</v>
      </c>
      <c r="O994" s="56">
        <v>45.3</v>
      </c>
      <c r="P994" s="56">
        <v>33.200000000000003</v>
      </c>
      <c r="Q994" s="56">
        <v>25.8</v>
      </c>
      <c r="R994" s="57">
        <v>44.7</v>
      </c>
    </row>
    <row r="995" spans="2:18" x14ac:dyDescent="0.4">
      <c r="B995" s="50"/>
      <c r="C995" s="51" t="s">
        <v>257</v>
      </c>
      <c r="D995" s="49" t="s">
        <v>256</v>
      </c>
      <c r="E995" s="49" t="str">
        <f>B994&amp;C995</f>
        <v>Amarillo, TXTAX</v>
      </c>
      <c r="F995" s="56">
        <v>50.1</v>
      </c>
      <c r="G995" s="56">
        <v>54.4</v>
      </c>
      <c r="H995" s="56">
        <v>61.9</v>
      </c>
      <c r="I995" s="56">
        <v>70</v>
      </c>
      <c r="J995" s="56">
        <v>78.900000000000006</v>
      </c>
      <c r="K995" s="56">
        <v>87.1</v>
      </c>
      <c r="L995" s="56">
        <v>90.5</v>
      </c>
      <c r="M995" s="56">
        <v>88.3</v>
      </c>
      <c r="N995" s="56">
        <v>81.8</v>
      </c>
      <c r="O995" s="56">
        <v>71.3</v>
      </c>
      <c r="P995" s="56">
        <v>59</v>
      </c>
      <c r="Q995" s="56">
        <v>50.1</v>
      </c>
      <c r="R995" s="57">
        <v>70.3</v>
      </c>
    </row>
    <row r="996" spans="2:18" x14ac:dyDescent="0.4">
      <c r="B996" s="50"/>
      <c r="C996" s="51" t="s">
        <v>258</v>
      </c>
      <c r="D996" s="49" t="s">
        <v>259</v>
      </c>
      <c r="E996" s="49" t="str">
        <f>B994&amp;C996</f>
        <v>Amarillo, TXV</v>
      </c>
      <c r="F996" s="56">
        <v>12.1</v>
      </c>
      <c r="G996" s="56">
        <v>12.5</v>
      </c>
      <c r="H996" s="56">
        <v>13.9</v>
      </c>
      <c r="I996" s="56">
        <v>14.8</v>
      </c>
      <c r="J996" s="56">
        <v>13.6</v>
      </c>
      <c r="K996" s="56">
        <v>13.9</v>
      </c>
      <c r="L996" s="56">
        <v>12.3</v>
      </c>
      <c r="M996" s="56">
        <v>11.6</v>
      </c>
      <c r="N996" s="56">
        <v>12.1</v>
      </c>
      <c r="O996" s="56">
        <v>12.5</v>
      </c>
      <c r="P996" s="56">
        <v>12.5</v>
      </c>
      <c r="Q996" s="56">
        <v>12.1</v>
      </c>
      <c r="R996" s="57">
        <v>12.8</v>
      </c>
    </row>
    <row r="997" spans="2:18" x14ac:dyDescent="0.4">
      <c r="B997" s="50"/>
      <c r="C997" s="51" t="s">
        <v>260</v>
      </c>
      <c r="D997" s="49" t="s">
        <v>261</v>
      </c>
      <c r="E997" s="49" t="str">
        <f>B994&amp;C997</f>
        <v>Amarillo, TXI</v>
      </c>
      <c r="F997" s="56">
        <v>882</v>
      </c>
      <c r="G997" s="56">
        <v>1232</v>
      </c>
      <c r="H997" s="56">
        <v>1607</v>
      </c>
      <c r="I997" s="56">
        <v>1972</v>
      </c>
      <c r="J997" s="56">
        <v>2156</v>
      </c>
      <c r="K997" s="56">
        <v>2357</v>
      </c>
      <c r="L997" s="56">
        <v>2313</v>
      </c>
      <c r="M997" s="56">
        <v>2021</v>
      </c>
      <c r="N997" s="56">
        <v>1748</v>
      </c>
      <c r="O997" s="56">
        <v>1388</v>
      </c>
      <c r="P997" s="56">
        <v>1057</v>
      </c>
      <c r="Q997" s="56">
        <v>877</v>
      </c>
      <c r="R997" s="57">
        <v>1634</v>
      </c>
    </row>
    <row r="998" spans="2:18" x14ac:dyDescent="0.4">
      <c r="B998" s="50"/>
      <c r="C998" s="51" t="s">
        <v>262</v>
      </c>
      <c r="D998" s="49" t="s">
        <v>263</v>
      </c>
      <c r="E998" s="49" t="str">
        <f>B994&amp;C998</f>
        <v>Amarillo, TXPA</v>
      </c>
      <c r="F998" s="58" t="s">
        <v>506</v>
      </c>
      <c r="G998" s="58" t="s">
        <v>506</v>
      </c>
      <c r="H998" s="58" t="s">
        <v>506</v>
      </c>
      <c r="I998" s="58" t="s">
        <v>506</v>
      </c>
      <c r="J998" s="58" t="s">
        <v>506</v>
      </c>
      <c r="K998" s="58" t="s">
        <v>506</v>
      </c>
      <c r="L998" s="58" t="s">
        <v>506</v>
      </c>
      <c r="M998" s="58" t="s">
        <v>506</v>
      </c>
      <c r="N998" s="58" t="s">
        <v>506</v>
      </c>
      <c r="O998" s="58" t="s">
        <v>506</v>
      </c>
      <c r="P998" s="58" t="s">
        <v>506</v>
      </c>
      <c r="Q998" s="58" t="s">
        <v>506</v>
      </c>
      <c r="R998" s="57">
        <v>12.95</v>
      </c>
    </row>
    <row r="999" spans="2:18" x14ac:dyDescent="0.4">
      <c r="B999" s="48" t="s">
        <v>462</v>
      </c>
      <c r="C999" s="51" t="s">
        <v>255</v>
      </c>
      <c r="D999" s="49" t="s">
        <v>256</v>
      </c>
      <c r="E999" s="49" t="str">
        <f>B999&amp;C999</f>
        <v>Austin, TXTAN</v>
      </c>
      <c r="F999" s="56">
        <v>40.299999999999997</v>
      </c>
      <c r="G999" s="56">
        <v>43.9</v>
      </c>
      <c r="H999" s="56">
        <v>49.9</v>
      </c>
      <c r="I999" s="56">
        <v>57.5</v>
      </c>
      <c r="J999" s="56">
        <v>66.3</v>
      </c>
      <c r="K999" s="56">
        <v>71.900000000000006</v>
      </c>
      <c r="L999" s="56">
        <v>73.8</v>
      </c>
      <c r="M999" s="56">
        <v>73.5</v>
      </c>
      <c r="N999" s="56">
        <v>68.2</v>
      </c>
      <c r="O999" s="56">
        <v>58.8</v>
      </c>
      <c r="P999" s="56">
        <v>48.3</v>
      </c>
      <c r="Q999" s="56">
        <v>41</v>
      </c>
      <c r="R999" s="57">
        <v>57.8</v>
      </c>
    </row>
    <row r="1000" spans="2:18" x14ac:dyDescent="0.4">
      <c r="B1000" s="50"/>
      <c r="C1000" s="51" t="s">
        <v>257</v>
      </c>
      <c r="D1000" s="49" t="s">
        <v>256</v>
      </c>
      <c r="E1000" s="49" t="str">
        <f>B999&amp;C1000</f>
        <v>Austin, TXTAX</v>
      </c>
      <c r="F1000" s="56">
        <v>61.6</v>
      </c>
      <c r="G1000" s="56">
        <v>65.3</v>
      </c>
      <c r="H1000" s="56">
        <v>71.599999999999994</v>
      </c>
      <c r="I1000" s="56">
        <v>78.900000000000006</v>
      </c>
      <c r="J1000" s="56">
        <v>85.9</v>
      </c>
      <c r="K1000" s="56">
        <v>91.5</v>
      </c>
      <c r="L1000" s="56">
        <v>94.4</v>
      </c>
      <c r="M1000" s="56">
        <v>95.5</v>
      </c>
      <c r="N1000" s="56">
        <v>89.8</v>
      </c>
      <c r="O1000" s="56">
        <v>81.400000000000006</v>
      </c>
      <c r="P1000" s="56">
        <v>70.5</v>
      </c>
      <c r="Q1000" s="56">
        <v>63.1</v>
      </c>
      <c r="R1000" s="57">
        <v>79.099999999999994</v>
      </c>
    </row>
    <row r="1001" spans="2:18" x14ac:dyDescent="0.4">
      <c r="B1001" s="50"/>
      <c r="C1001" s="51" t="s">
        <v>258</v>
      </c>
      <c r="D1001" s="49" t="s">
        <v>259</v>
      </c>
      <c r="E1001" s="49" t="str">
        <f>B999&amp;C1001</f>
        <v>Austin, TXV</v>
      </c>
      <c r="F1001" s="56">
        <v>8.3000000000000007</v>
      </c>
      <c r="G1001" s="56">
        <v>8.6999999999999993</v>
      </c>
      <c r="H1001" s="56">
        <v>9.1999999999999993</v>
      </c>
      <c r="I1001" s="56">
        <v>8.9</v>
      </c>
      <c r="J1001" s="56">
        <v>8.5</v>
      </c>
      <c r="K1001" s="56">
        <v>8.1</v>
      </c>
      <c r="L1001" s="56">
        <v>7.4</v>
      </c>
      <c r="M1001" s="56">
        <v>6.5</v>
      </c>
      <c r="N1001" s="56">
        <v>6.3</v>
      </c>
      <c r="O1001" s="56">
        <v>6.9</v>
      </c>
      <c r="P1001" s="56">
        <v>7.6</v>
      </c>
      <c r="Q1001" s="56">
        <v>7.8</v>
      </c>
      <c r="R1001" s="57">
        <v>7.8</v>
      </c>
    </row>
    <row r="1002" spans="2:18" x14ac:dyDescent="0.4">
      <c r="B1002" s="50"/>
      <c r="C1002" s="51" t="s">
        <v>260</v>
      </c>
      <c r="D1002" s="49" t="s">
        <v>261</v>
      </c>
      <c r="E1002" s="49" t="str">
        <f>B999&amp;C1002</f>
        <v>Austin, TXI</v>
      </c>
      <c r="F1002" s="56">
        <v>868</v>
      </c>
      <c r="G1002" s="56">
        <v>1085</v>
      </c>
      <c r="H1002" s="56">
        <v>1368</v>
      </c>
      <c r="I1002" s="56">
        <v>1699</v>
      </c>
      <c r="J1002" s="56">
        <v>1812</v>
      </c>
      <c r="K1002" s="56">
        <v>2094</v>
      </c>
      <c r="L1002" s="56">
        <v>2135</v>
      </c>
      <c r="M1002" s="56">
        <v>2023</v>
      </c>
      <c r="N1002" s="56">
        <v>1645</v>
      </c>
      <c r="O1002" s="56">
        <v>1313</v>
      </c>
      <c r="P1002" s="56">
        <v>956</v>
      </c>
      <c r="Q1002" s="56">
        <v>806</v>
      </c>
      <c r="R1002" s="57">
        <v>1484</v>
      </c>
    </row>
    <row r="1003" spans="2:18" x14ac:dyDescent="0.4">
      <c r="B1003" s="50"/>
      <c r="C1003" s="51" t="s">
        <v>262</v>
      </c>
      <c r="D1003" s="49" t="s">
        <v>263</v>
      </c>
      <c r="E1003" s="49" t="str">
        <f>B999&amp;C1003</f>
        <v>Austin, TXPA</v>
      </c>
      <c r="F1003" s="58" t="s">
        <v>506</v>
      </c>
      <c r="G1003" s="58" t="s">
        <v>506</v>
      </c>
      <c r="H1003" s="58" t="s">
        <v>506</v>
      </c>
      <c r="I1003" s="58" t="s">
        <v>506</v>
      </c>
      <c r="J1003" s="58" t="s">
        <v>506</v>
      </c>
      <c r="K1003" s="58" t="s">
        <v>506</v>
      </c>
      <c r="L1003" s="58" t="s">
        <v>506</v>
      </c>
      <c r="M1003" s="58" t="s">
        <v>506</v>
      </c>
      <c r="N1003" s="58" t="s">
        <v>506</v>
      </c>
      <c r="O1003" s="58" t="s">
        <v>506</v>
      </c>
      <c r="P1003" s="58" t="s">
        <v>506</v>
      </c>
      <c r="Q1003" s="58" t="s">
        <v>506</v>
      </c>
      <c r="R1003" s="57">
        <v>14.33</v>
      </c>
    </row>
    <row r="1004" spans="2:18" x14ac:dyDescent="0.4">
      <c r="B1004" s="48" t="s">
        <v>463</v>
      </c>
      <c r="C1004" s="51" t="s">
        <v>255</v>
      </c>
      <c r="D1004" s="49" t="s">
        <v>256</v>
      </c>
      <c r="E1004" s="49" t="str">
        <f>B1004&amp;C1004</f>
        <v>Brownsville, TXTAN</v>
      </c>
      <c r="F1004" s="56">
        <v>52.8</v>
      </c>
      <c r="G1004" s="56">
        <v>56</v>
      </c>
      <c r="H1004" s="56">
        <v>60.7</v>
      </c>
      <c r="I1004" s="56">
        <v>66.599999999999994</v>
      </c>
      <c r="J1004" s="56">
        <v>72.7</v>
      </c>
      <c r="K1004" s="56">
        <v>76.400000000000006</v>
      </c>
      <c r="L1004" s="56">
        <v>76.900000000000006</v>
      </c>
      <c r="M1004" s="56">
        <v>76.8</v>
      </c>
      <c r="N1004" s="56">
        <v>73.599999999999994</v>
      </c>
      <c r="O1004" s="56">
        <v>67.599999999999994</v>
      </c>
      <c r="P1004" s="56">
        <v>59.9</v>
      </c>
      <c r="Q1004" s="56">
        <v>53.5</v>
      </c>
      <c r="R1004" s="57">
        <v>66.099999999999994</v>
      </c>
    </row>
    <row r="1005" spans="2:18" x14ac:dyDescent="0.4">
      <c r="B1005" s="50"/>
      <c r="C1005" s="51" t="s">
        <v>257</v>
      </c>
      <c r="D1005" s="49" t="s">
        <v>256</v>
      </c>
      <c r="E1005" s="49" t="str">
        <f>B1004&amp;C1005</f>
        <v>Brownsville, TXTAX</v>
      </c>
      <c r="F1005" s="56">
        <v>70.599999999999994</v>
      </c>
      <c r="G1005" s="56">
        <v>73.7</v>
      </c>
      <c r="H1005" s="56">
        <v>78.099999999999994</v>
      </c>
      <c r="I1005" s="56">
        <v>82.8</v>
      </c>
      <c r="J1005" s="56">
        <v>88</v>
      </c>
      <c r="K1005" s="56">
        <v>91.6</v>
      </c>
      <c r="L1005" s="56">
        <v>92.8</v>
      </c>
      <c r="M1005" s="56">
        <v>93.5</v>
      </c>
      <c r="N1005" s="56">
        <v>89.6</v>
      </c>
      <c r="O1005" s="56">
        <v>84.7</v>
      </c>
      <c r="P1005" s="56">
        <v>78</v>
      </c>
      <c r="Q1005" s="56">
        <v>71.599999999999994</v>
      </c>
      <c r="R1005" s="57">
        <v>82.9</v>
      </c>
    </row>
    <row r="1006" spans="2:18" x14ac:dyDescent="0.4">
      <c r="B1006" s="50"/>
      <c r="C1006" s="51" t="s">
        <v>258</v>
      </c>
      <c r="D1006" s="49" t="s">
        <v>259</v>
      </c>
      <c r="E1006" s="49" t="str">
        <f>B1004&amp;C1006</f>
        <v>Brownsville, TXV</v>
      </c>
      <c r="F1006" s="56">
        <v>10.1</v>
      </c>
      <c r="G1006" s="56">
        <v>11.2</v>
      </c>
      <c r="H1006" s="56">
        <v>11.9</v>
      </c>
      <c r="I1006" s="56">
        <v>12.5</v>
      </c>
      <c r="J1006" s="56">
        <v>12.1</v>
      </c>
      <c r="K1006" s="56">
        <v>11</v>
      </c>
      <c r="L1006" s="56">
        <v>11</v>
      </c>
      <c r="M1006" s="56">
        <v>9.1999999999999993</v>
      </c>
      <c r="N1006" s="56">
        <v>7.4</v>
      </c>
      <c r="O1006" s="56">
        <v>8.6999999999999993</v>
      </c>
      <c r="P1006" s="56">
        <v>9.1999999999999993</v>
      </c>
      <c r="Q1006" s="56">
        <v>9.6</v>
      </c>
      <c r="R1006" s="57">
        <v>10.3</v>
      </c>
    </row>
    <row r="1007" spans="2:18" x14ac:dyDescent="0.4">
      <c r="B1007" s="50"/>
      <c r="C1007" s="51" t="s">
        <v>260</v>
      </c>
      <c r="D1007" s="49" t="s">
        <v>261</v>
      </c>
      <c r="E1007" s="49" t="str">
        <f>B1004&amp;C1007</f>
        <v>Brownsville, TXI</v>
      </c>
      <c r="F1007" s="56">
        <v>899</v>
      </c>
      <c r="G1007" s="56">
        <v>1152</v>
      </c>
      <c r="H1007" s="56">
        <v>1425</v>
      </c>
      <c r="I1007" s="56">
        <v>1673</v>
      </c>
      <c r="J1007" s="56">
        <v>1913</v>
      </c>
      <c r="K1007" s="56">
        <v>2051</v>
      </c>
      <c r="L1007" s="56">
        <v>2061</v>
      </c>
      <c r="M1007" s="56">
        <v>1951</v>
      </c>
      <c r="N1007" s="56">
        <v>1616</v>
      </c>
      <c r="O1007" s="56">
        <v>1386</v>
      </c>
      <c r="P1007" s="56">
        <v>1040</v>
      </c>
      <c r="Q1007" s="56">
        <v>846</v>
      </c>
      <c r="R1007" s="57">
        <v>1501</v>
      </c>
    </row>
    <row r="1008" spans="2:18" x14ac:dyDescent="0.4">
      <c r="B1008" s="50"/>
      <c r="C1008" s="51" t="s">
        <v>262</v>
      </c>
      <c r="D1008" s="49" t="s">
        <v>263</v>
      </c>
      <c r="E1008" s="49" t="str">
        <f>B1004&amp;C1008</f>
        <v>Brownsville, TXPA</v>
      </c>
      <c r="F1008" s="58" t="s">
        <v>506</v>
      </c>
      <c r="G1008" s="58" t="s">
        <v>506</v>
      </c>
      <c r="H1008" s="58" t="s">
        <v>506</v>
      </c>
      <c r="I1008" s="58" t="s">
        <v>506</v>
      </c>
      <c r="J1008" s="58" t="s">
        <v>506</v>
      </c>
      <c r="K1008" s="58" t="s">
        <v>506</v>
      </c>
      <c r="L1008" s="58" t="s">
        <v>506</v>
      </c>
      <c r="M1008" s="58" t="s">
        <v>506</v>
      </c>
      <c r="N1008" s="58" t="s">
        <v>506</v>
      </c>
      <c r="O1008" s="58" t="s">
        <v>506</v>
      </c>
      <c r="P1008" s="58" t="s">
        <v>506</v>
      </c>
      <c r="Q1008" s="58" t="s">
        <v>506</v>
      </c>
      <c r="R1008" s="57">
        <v>14.68</v>
      </c>
    </row>
    <row r="1009" spans="2:18" ht="20.6" x14ac:dyDescent="0.4">
      <c r="B1009" s="48" t="s">
        <v>464</v>
      </c>
      <c r="C1009" s="51" t="s">
        <v>255</v>
      </c>
      <c r="D1009" s="49" t="s">
        <v>256</v>
      </c>
      <c r="E1009" s="49" t="str">
        <f>B1009&amp;C1009</f>
        <v>Corpus Christi, TXTAN</v>
      </c>
      <c r="F1009" s="56">
        <v>48.4</v>
      </c>
      <c r="G1009" s="56">
        <v>51.9</v>
      </c>
      <c r="H1009" s="56">
        <v>57.3</v>
      </c>
      <c r="I1009" s="56">
        <v>63.9</v>
      </c>
      <c r="J1009" s="56">
        <v>70.599999999999994</v>
      </c>
      <c r="K1009" s="56">
        <v>74.5</v>
      </c>
      <c r="L1009" s="56">
        <v>75.3</v>
      </c>
      <c r="M1009" s="56">
        <v>75.5</v>
      </c>
      <c r="N1009" s="56">
        <v>72.5</v>
      </c>
      <c r="O1009" s="56">
        <v>65.3</v>
      </c>
      <c r="P1009" s="56">
        <v>56.2</v>
      </c>
      <c r="Q1009" s="56">
        <v>49.6</v>
      </c>
      <c r="R1009" s="57">
        <v>63.4</v>
      </c>
    </row>
    <row r="1010" spans="2:18" ht="20.6" x14ac:dyDescent="0.4">
      <c r="B1010" s="50"/>
      <c r="C1010" s="51" t="s">
        <v>257</v>
      </c>
      <c r="D1010" s="49" t="s">
        <v>256</v>
      </c>
      <c r="E1010" s="49" t="str">
        <f>B1009&amp;C1010</f>
        <v>Corpus Christi, TXTAX</v>
      </c>
      <c r="F1010" s="56">
        <v>66.900000000000006</v>
      </c>
      <c r="G1010" s="56">
        <v>70.599999999999994</v>
      </c>
      <c r="H1010" s="56">
        <v>75.5</v>
      </c>
      <c r="I1010" s="56">
        <v>81.099999999999994</v>
      </c>
      <c r="J1010" s="56">
        <v>86.2</v>
      </c>
      <c r="K1010" s="56">
        <v>90.4</v>
      </c>
      <c r="L1010" s="56">
        <v>92.4</v>
      </c>
      <c r="M1010" s="56">
        <v>93.8</v>
      </c>
      <c r="N1010" s="56">
        <v>89.3</v>
      </c>
      <c r="O1010" s="56">
        <v>83.7</v>
      </c>
      <c r="P1010" s="56">
        <v>75.099999999999994</v>
      </c>
      <c r="Q1010" s="56">
        <v>68.5</v>
      </c>
      <c r="R1010" s="57">
        <v>81.099999999999994</v>
      </c>
    </row>
    <row r="1011" spans="2:18" x14ac:dyDescent="0.4">
      <c r="B1011" s="50"/>
      <c r="C1011" s="51" t="s">
        <v>258</v>
      </c>
      <c r="D1011" s="49" t="s">
        <v>259</v>
      </c>
      <c r="E1011" s="49" t="str">
        <f>B1009&amp;C1011</f>
        <v>Corpus Christi, TXV</v>
      </c>
      <c r="F1011" s="56">
        <v>12.1</v>
      </c>
      <c r="G1011" s="56">
        <v>12.5</v>
      </c>
      <c r="H1011" s="56">
        <v>13.4</v>
      </c>
      <c r="I1011" s="56">
        <v>14.1</v>
      </c>
      <c r="J1011" s="56">
        <v>12.5</v>
      </c>
      <c r="K1011" s="56">
        <v>10.5</v>
      </c>
      <c r="L1011" s="56">
        <v>10.7</v>
      </c>
      <c r="M1011" s="56">
        <v>9.8000000000000007</v>
      </c>
      <c r="N1011" s="56">
        <v>9.1999999999999993</v>
      </c>
      <c r="O1011" s="56">
        <v>10.7</v>
      </c>
      <c r="P1011" s="56">
        <v>11.4</v>
      </c>
      <c r="Q1011" s="56">
        <v>11.6</v>
      </c>
      <c r="R1011" s="57">
        <v>11.6</v>
      </c>
    </row>
    <row r="1012" spans="2:18" x14ac:dyDescent="0.4">
      <c r="B1012" s="50"/>
      <c r="C1012" s="51" t="s">
        <v>260</v>
      </c>
      <c r="D1012" s="49" t="s">
        <v>261</v>
      </c>
      <c r="E1012" s="49" t="str">
        <f>B1009&amp;C1012</f>
        <v>Corpus Christi, TXI</v>
      </c>
      <c r="F1012" s="56">
        <v>891</v>
      </c>
      <c r="G1012" s="56">
        <v>1113</v>
      </c>
      <c r="H1012" s="56">
        <v>1385</v>
      </c>
      <c r="I1012" s="56">
        <v>1636</v>
      </c>
      <c r="J1012" s="56">
        <v>1850</v>
      </c>
      <c r="K1012" s="56">
        <v>2072</v>
      </c>
      <c r="L1012" s="56">
        <v>2110</v>
      </c>
      <c r="M1012" s="56">
        <v>1975</v>
      </c>
      <c r="N1012" s="56">
        <v>1662</v>
      </c>
      <c r="O1012" s="56">
        <v>1397</v>
      </c>
      <c r="P1012" s="56">
        <v>1040</v>
      </c>
      <c r="Q1012" s="56">
        <v>838</v>
      </c>
      <c r="R1012" s="57">
        <v>1497</v>
      </c>
    </row>
    <row r="1013" spans="2:18" x14ac:dyDescent="0.4">
      <c r="B1013" s="50"/>
      <c r="C1013" s="51" t="s">
        <v>262</v>
      </c>
      <c r="D1013" s="49" t="s">
        <v>263</v>
      </c>
      <c r="E1013" s="49" t="str">
        <f>B1009&amp;C1013</f>
        <v>Corpus Christi, TXPA</v>
      </c>
      <c r="F1013" s="58" t="s">
        <v>506</v>
      </c>
      <c r="G1013" s="58" t="s">
        <v>506</v>
      </c>
      <c r="H1013" s="58" t="s">
        <v>506</v>
      </c>
      <c r="I1013" s="58" t="s">
        <v>506</v>
      </c>
      <c r="J1013" s="58" t="s">
        <v>506</v>
      </c>
      <c r="K1013" s="58" t="s">
        <v>506</v>
      </c>
      <c r="L1013" s="58" t="s">
        <v>506</v>
      </c>
      <c r="M1013" s="58" t="s">
        <v>506</v>
      </c>
      <c r="N1013" s="58" t="s">
        <v>506</v>
      </c>
      <c r="O1013" s="58" t="s">
        <v>506</v>
      </c>
      <c r="P1013" s="58" t="s">
        <v>506</v>
      </c>
      <c r="Q1013" s="58" t="s">
        <v>506</v>
      </c>
      <c r="R1013" s="57">
        <v>14.68</v>
      </c>
    </row>
    <row r="1014" spans="2:18" ht="20.6" x14ac:dyDescent="0.4">
      <c r="B1014" s="48" t="s">
        <v>465</v>
      </c>
      <c r="C1014" s="51" t="s">
        <v>255</v>
      </c>
      <c r="D1014" s="49" t="s">
        <v>256</v>
      </c>
      <c r="E1014" s="49" t="str">
        <f>B1014&amp;C1014</f>
        <v>Dallas-Fort Worth, TXTAN</v>
      </c>
      <c r="F1014" s="56">
        <v>37</v>
      </c>
      <c r="G1014" s="56">
        <v>40.799999999999997</v>
      </c>
      <c r="H1014" s="56">
        <v>47.8</v>
      </c>
      <c r="I1014" s="56">
        <v>55.8</v>
      </c>
      <c r="J1014" s="56">
        <v>65.400000000000006</v>
      </c>
      <c r="K1014" s="56">
        <v>72.599999999999994</v>
      </c>
      <c r="L1014" s="56">
        <v>76.3</v>
      </c>
      <c r="M1014" s="56">
        <v>76.099999999999994</v>
      </c>
      <c r="N1014" s="56">
        <v>68.599999999999994</v>
      </c>
      <c r="O1014" s="56">
        <v>57.8</v>
      </c>
      <c r="P1014" s="56">
        <v>47.1</v>
      </c>
      <c r="Q1014" s="56">
        <v>38.799999999999997</v>
      </c>
      <c r="R1014" s="57">
        <v>57</v>
      </c>
    </row>
    <row r="1015" spans="2:18" ht="20.6" x14ac:dyDescent="0.4">
      <c r="B1015" s="50"/>
      <c r="C1015" s="51" t="s">
        <v>257</v>
      </c>
      <c r="D1015" s="49" t="s">
        <v>256</v>
      </c>
      <c r="E1015" s="49" t="str">
        <f>B1014&amp;C1015</f>
        <v>Dallas-Fort Worth, TXTAX</v>
      </c>
      <c r="F1015" s="56">
        <v>56.2</v>
      </c>
      <c r="G1015" s="56">
        <v>60.7</v>
      </c>
      <c r="H1015" s="56">
        <v>67.8</v>
      </c>
      <c r="I1015" s="56">
        <v>75.7</v>
      </c>
      <c r="J1015" s="56">
        <v>83.4</v>
      </c>
      <c r="K1015" s="56">
        <v>91</v>
      </c>
      <c r="L1015" s="56">
        <v>95.3</v>
      </c>
      <c r="M1015" s="56">
        <v>95.3</v>
      </c>
      <c r="N1015" s="56">
        <v>87.8</v>
      </c>
      <c r="O1015" s="56">
        <v>78</v>
      </c>
      <c r="P1015" s="56">
        <v>66.2</v>
      </c>
      <c r="Q1015" s="56">
        <v>57.7</v>
      </c>
      <c r="R1015" s="57">
        <v>76.3</v>
      </c>
    </row>
    <row r="1016" spans="2:18" ht="20.6" x14ac:dyDescent="0.4">
      <c r="B1016" s="50"/>
      <c r="C1016" s="51" t="s">
        <v>258</v>
      </c>
      <c r="D1016" s="49" t="s">
        <v>259</v>
      </c>
      <c r="E1016" s="49" t="str">
        <f>B1014&amp;C1016</f>
        <v>Dallas-Fort Worth, TXV</v>
      </c>
      <c r="F1016" s="56">
        <v>10.5</v>
      </c>
      <c r="G1016" s="56">
        <v>10.7</v>
      </c>
      <c r="H1016" s="56">
        <v>11.9</v>
      </c>
      <c r="I1016" s="56">
        <v>12.1</v>
      </c>
      <c r="J1016" s="56">
        <v>11</v>
      </c>
      <c r="K1016" s="56">
        <v>10.5</v>
      </c>
      <c r="L1016" s="56">
        <v>9.8000000000000007</v>
      </c>
      <c r="M1016" s="56">
        <v>8.5</v>
      </c>
      <c r="N1016" s="56">
        <v>8.3000000000000007</v>
      </c>
      <c r="O1016" s="56">
        <v>9.4</v>
      </c>
      <c r="P1016" s="56">
        <v>10.3</v>
      </c>
      <c r="Q1016" s="56">
        <v>10.3</v>
      </c>
      <c r="R1016" s="57">
        <v>10.3</v>
      </c>
    </row>
    <row r="1017" spans="2:18" ht="20.6" x14ac:dyDescent="0.4">
      <c r="B1017" s="50"/>
      <c r="C1017" s="51" t="s">
        <v>260</v>
      </c>
      <c r="D1017" s="49" t="s">
        <v>261</v>
      </c>
      <c r="E1017" s="49" t="str">
        <f>B1014&amp;C1017</f>
        <v>Dallas-Fort Worth, TXI</v>
      </c>
      <c r="F1017" s="56">
        <v>837</v>
      </c>
      <c r="G1017" s="56">
        <v>1089</v>
      </c>
      <c r="H1017" s="56">
        <v>1388</v>
      </c>
      <c r="I1017" s="56">
        <v>1744</v>
      </c>
      <c r="J1017" s="56">
        <v>1860</v>
      </c>
      <c r="K1017" s="56">
        <v>2087</v>
      </c>
      <c r="L1017" s="56">
        <v>2171</v>
      </c>
      <c r="M1017" s="56">
        <v>1981</v>
      </c>
      <c r="N1017" s="56">
        <v>1623</v>
      </c>
      <c r="O1017" s="56">
        <v>1263</v>
      </c>
      <c r="P1017" s="56">
        <v>933</v>
      </c>
      <c r="Q1017" s="56">
        <v>795</v>
      </c>
      <c r="R1017" s="57">
        <v>1481</v>
      </c>
    </row>
    <row r="1018" spans="2:18" ht="20.6" x14ac:dyDescent="0.4">
      <c r="B1018" s="50"/>
      <c r="C1018" s="51" t="s">
        <v>262</v>
      </c>
      <c r="D1018" s="49" t="s">
        <v>263</v>
      </c>
      <c r="E1018" s="49" t="str">
        <f>B1014&amp;C1018</f>
        <v>Dallas-Fort Worth, TXPA</v>
      </c>
      <c r="F1018" s="58" t="s">
        <v>506</v>
      </c>
      <c r="G1018" s="58" t="s">
        <v>506</v>
      </c>
      <c r="H1018" s="58" t="s">
        <v>506</v>
      </c>
      <c r="I1018" s="58" t="s">
        <v>506</v>
      </c>
      <c r="J1018" s="58" t="s">
        <v>506</v>
      </c>
      <c r="K1018" s="58" t="s">
        <v>506</v>
      </c>
      <c r="L1018" s="58" t="s">
        <v>506</v>
      </c>
      <c r="M1018" s="58" t="s">
        <v>506</v>
      </c>
      <c r="N1018" s="58" t="s">
        <v>506</v>
      </c>
      <c r="O1018" s="58" t="s">
        <v>506</v>
      </c>
      <c r="P1018" s="58" t="s">
        <v>506</v>
      </c>
      <c r="Q1018" s="58" t="s">
        <v>506</v>
      </c>
      <c r="R1018" s="57">
        <v>14.4</v>
      </c>
    </row>
    <row r="1019" spans="2:18" x14ac:dyDescent="0.4">
      <c r="B1019" s="48" t="s">
        <v>466</v>
      </c>
      <c r="C1019" s="51" t="s">
        <v>255</v>
      </c>
      <c r="D1019" s="49" t="s">
        <v>256</v>
      </c>
      <c r="E1019" s="49" t="str">
        <f>B1019&amp;C1019</f>
        <v>El Paso, TXTAN</v>
      </c>
      <c r="F1019" s="56">
        <v>34.6</v>
      </c>
      <c r="G1019" s="56">
        <v>38.799999999999997</v>
      </c>
      <c r="H1019" s="56">
        <v>44.3</v>
      </c>
      <c r="I1019" s="56">
        <v>52.2</v>
      </c>
      <c r="J1019" s="56">
        <v>62.3</v>
      </c>
      <c r="K1019" s="56">
        <v>69.8</v>
      </c>
      <c r="L1019" s="56">
        <v>72.2</v>
      </c>
      <c r="M1019" s="56">
        <v>70.599999999999994</v>
      </c>
      <c r="N1019" s="56">
        <v>64.5</v>
      </c>
      <c r="O1019" s="56">
        <v>53.3</v>
      </c>
      <c r="P1019" s="56">
        <v>40.799999999999997</v>
      </c>
      <c r="Q1019" s="56">
        <v>33.9</v>
      </c>
      <c r="R1019" s="57">
        <v>53.1</v>
      </c>
    </row>
    <row r="1020" spans="2:18" x14ac:dyDescent="0.4">
      <c r="B1020" s="50"/>
      <c r="C1020" s="51" t="s">
        <v>257</v>
      </c>
      <c r="D1020" s="49" t="s">
        <v>256</v>
      </c>
      <c r="E1020" s="49" t="str">
        <f>B1019&amp;C1020</f>
        <v>El Paso, TXTAX</v>
      </c>
      <c r="F1020" s="56">
        <v>58.2</v>
      </c>
      <c r="G1020" s="56">
        <v>63.2</v>
      </c>
      <c r="H1020" s="56">
        <v>70.3</v>
      </c>
      <c r="I1020" s="56">
        <v>78.7</v>
      </c>
      <c r="J1020" s="56">
        <v>88.2</v>
      </c>
      <c r="K1020" s="56">
        <v>95.4</v>
      </c>
      <c r="L1020" s="56">
        <v>94.4</v>
      </c>
      <c r="M1020" s="56">
        <v>92.4</v>
      </c>
      <c r="N1020" s="56">
        <v>87.4</v>
      </c>
      <c r="O1020" s="56">
        <v>78.3</v>
      </c>
      <c r="P1020" s="56">
        <v>66.099999999999994</v>
      </c>
      <c r="Q1020" s="56">
        <v>57.3</v>
      </c>
      <c r="R1020" s="57">
        <v>77.5</v>
      </c>
    </row>
    <row r="1021" spans="2:18" x14ac:dyDescent="0.4">
      <c r="B1021" s="50"/>
      <c r="C1021" s="51" t="s">
        <v>258</v>
      </c>
      <c r="D1021" s="49" t="s">
        <v>259</v>
      </c>
      <c r="E1021" s="49" t="str">
        <f>B1019&amp;C1021</f>
        <v>El Paso, TXV</v>
      </c>
      <c r="F1021" s="56">
        <v>7.8</v>
      </c>
      <c r="G1021" s="56">
        <v>8.9</v>
      </c>
      <c r="H1021" s="56">
        <v>10.1</v>
      </c>
      <c r="I1021" s="56">
        <v>11</v>
      </c>
      <c r="J1021" s="56">
        <v>10.1</v>
      </c>
      <c r="K1021" s="56">
        <v>9.1999999999999993</v>
      </c>
      <c r="L1021" s="56">
        <v>8.1</v>
      </c>
      <c r="M1021" s="56">
        <v>7.4</v>
      </c>
      <c r="N1021" s="56">
        <v>7.4</v>
      </c>
      <c r="O1021" s="56">
        <v>7.6</v>
      </c>
      <c r="P1021" s="56">
        <v>7.4</v>
      </c>
      <c r="Q1021" s="56">
        <v>7.4</v>
      </c>
      <c r="R1021" s="57">
        <v>8.5</v>
      </c>
    </row>
    <row r="1022" spans="2:18" x14ac:dyDescent="0.4">
      <c r="B1022" s="50"/>
      <c r="C1022" s="51" t="s">
        <v>260</v>
      </c>
      <c r="D1022" s="49" t="s">
        <v>261</v>
      </c>
      <c r="E1022" s="49" t="str">
        <f>B1019&amp;C1022</f>
        <v>El Paso, TXI</v>
      </c>
      <c r="F1022" s="56">
        <v>1125</v>
      </c>
      <c r="G1022" s="56">
        <v>1406</v>
      </c>
      <c r="H1022" s="56">
        <v>1856</v>
      </c>
      <c r="I1022" s="56">
        <v>2259</v>
      </c>
      <c r="J1022" s="56">
        <v>2494</v>
      </c>
      <c r="K1022" s="56">
        <v>2537</v>
      </c>
      <c r="L1022" s="56">
        <v>2276</v>
      </c>
      <c r="M1022" s="56">
        <v>2106</v>
      </c>
      <c r="N1022" s="56">
        <v>1895</v>
      </c>
      <c r="O1022" s="56">
        <v>1574</v>
      </c>
      <c r="P1022" s="56">
        <v>1244</v>
      </c>
      <c r="Q1022" s="56">
        <v>1048</v>
      </c>
      <c r="R1022" s="57">
        <v>1818</v>
      </c>
    </row>
    <row r="1023" spans="2:18" x14ac:dyDescent="0.4">
      <c r="B1023" s="50"/>
      <c r="C1023" s="51" t="s">
        <v>262</v>
      </c>
      <c r="D1023" s="49" t="s">
        <v>263</v>
      </c>
      <c r="E1023" s="49" t="str">
        <f>B1019&amp;C1023</f>
        <v>El Paso, TXPA</v>
      </c>
      <c r="F1023" s="58" t="s">
        <v>506</v>
      </c>
      <c r="G1023" s="58" t="s">
        <v>506</v>
      </c>
      <c r="H1023" s="58" t="s">
        <v>506</v>
      </c>
      <c r="I1023" s="58" t="s">
        <v>506</v>
      </c>
      <c r="J1023" s="58" t="s">
        <v>506</v>
      </c>
      <c r="K1023" s="58" t="s">
        <v>506</v>
      </c>
      <c r="L1023" s="58" t="s">
        <v>506</v>
      </c>
      <c r="M1023" s="58" t="s">
        <v>506</v>
      </c>
      <c r="N1023" s="58" t="s">
        <v>506</v>
      </c>
      <c r="O1023" s="58" t="s">
        <v>506</v>
      </c>
      <c r="P1023" s="58" t="s">
        <v>506</v>
      </c>
      <c r="Q1023" s="58" t="s">
        <v>506</v>
      </c>
      <c r="R1023" s="57">
        <v>12.76</v>
      </c>
    </row>
    <row r="1024" spans="2:18" x14ac:dyDescent="0.4">
      <c r="B1024" s="48" t="s">
        <v>467</v>
      </c>
      <c r="C1024" s="51" t="s">
        <v>255</v>
      </c>
      <c r="D1024" s="49" t="s">
        <v>256</v>
      </c>
      <c r="E1024" s="49" t="str">
        <f>B1024&amp;C1024</f>
        <v>Houston, TXTAN</v>
      </c>
      <c r="F1024" s="56">
        <v>43.8</v>
      </c>
      <c r="G1024" s="56">
        <v>47</v>
      </c>
      <c r="H1024" s="56">
        <v>52.7</v>
      </c>
      <c r="I1024" s="56">
        <v>59.6</v>
      </c>
      <c r="J1024" s="56">
        <v>67.900000000000006</v>
      </c>
      <c r="K1024" s="56">
        <v>73.400000000000006</v>
      </c>
      <c r="L1024" s="56">
        <v>75.099999999999994</v>
      </c>
      <c r="M1024" s="56">
        <v>74.7</v>
      </c>
      <c r="N1024" s="56">
        <v>69.900000000000006</v>
      </c>
      <c r="O1024" s="56">
        <v>61</v>
      </c>
      <c r="P1024" s="56">
        <v>51.2</v>
      </c>
      <c r="Q1024" s="56">
        <v>44.9</v>
      </c>
      <c r="R1024" s="57">
        <v>60.1</v>
      </c>
    </row>
    <row r="1025" spans="2:18" x14ac:dyDescent="0.4">
      <c r="B1025" s="50"/>
      <c r="C1025" s="51" t="s">
        <v>257</v>
      </c>
      <c r="D1025" s="49" t="s">
        <v>256</v>
      </c>
      <c r="E1025" s="49" t="str">
        <f>B1024&amp;C1025</f>
        <v>Houston, TXTAX</v>
      </c>
      <c r="F1025" s="56">
        <v>62.6</v>
      </c>
      <c r="G1025" s="56">
        <v>66.400000000000006</v>
      </c>
      <c r="H1025" s="56">
        <v>72.3</v>
      </c>
      <c r="I1025" s="56">
        <v>78.7</v>
      </c>
      <c r="J1025" s="56">
        <v>85.9</v>
      </c>
      <c r="K1025" s="56">
        <v>90.7</v>
      </c>
      <c r="L1025" s="56">
        <v>93.1</v>
      </c>
      <c r="M1025" s="56">
        <v>93.4</v>
      </c>
      <c r="N1025" s="56">
        <v>88.9</v>
      </c>
      <c r="O1025" s="56">
        <v>81.2</v>
      </c>
      <c r="P1025" s="56">
        <v>71.2</v>
      </c>
      <c r="Q1025" s="56">
        <v>64.099999999999994</v>
      </c>
      <c r="R1025" s="57">
        <v>79</v>
      </c>
    </row>
    <row r="1026" spans="2:18" x14ac:dyDescent="0.4">
      <c r="B1026" s="50"/>
      <c r="C1026" s="51" t="s">
        <v>258</v>
      </c>
      <c r="D1026" s="49" t="s">
        <v>259</v>
      </c>
      <c r="E1026" s="49" t="str">
        <f>B1024&amp;C1026</f>
        <v>Houston, TXV</v>
      </c>
      <c r="F1026" s="56">
        <v>7.8</v>
      </c>
      <c r="G1026" s="56">
        <v>8.3000000000000007</v>
      </c>
      <c r="H1026" s="56">
        <v>8.5</v>
      </c>
      <c r="I1026" s="56">
        <v>8.9</v>
      </c>
      <c r="J1026" s="56">
        <v>8.1</v>
      </c>
      <c r="K1026" s="56">
        <v>6.7</v>
      </c>
      <c r="L1026" s="56">
        <v>5.8</v>
      </c>
      <c r="M1026" s="56">
        <v>5.6</v>
      </c>
      <c r="N1026" s="56">
        <v>6</v>
      </c>
      <c r="O1026" s="56">
        <v>6.7</v>
      </c>
      <c r="P1026" s="56">
        <v>7.2</v>
      </c>
      <c r="Q1026" s="56">
        <v>7.6</v>
      </c>
      <c r="R1026" s="57">
        <v>7.4</v>
      </c>
    </row>
    <row r="1027" spans="2:18" x14ac:dyDescent="0.4">
      <c r="B1027" s="50"/>
      <c r="C1027" s="51" t="s">
        <v>260</v>
      </c>
      <c r="D1027" s="49" t="s">
        <v>261</v>
      </c>
      <c r="E1027" s="49" t="str">
        <f>B1024&amp;C1027</f>
        <v>Houston, TXI</v>
      </c>
      <c r="F1027" s="56">
        <v>832</v>
      </c>
      <c r="G1027" s="56">
        <v>1022</v>
      </c>
      <c r="H1027" s="56">
        <v>1333</v>
      </c>
      <c r="I1027" s="56">
        <v>1635</v>
      </c>
      <c r="J1027" s="56">
        <v>1828</v>
      </c>
      <c r="K1027" s="56">
        <v>1915</v>
      </c>
      <c r="L1027" s="56">
        <v>1930</v>
      </c>
      <c r="M1027" s="56">
        <v>1804</v>
      </c>
      <c r="N1027" s="56">
        <v>1567</v>
      </c>
      <c r="O1027" s="56">
        <v>1288</v>
      </c>
      <c r="P1027" s="56">
        <v>930</v>
      </c>
      <c r="Q1027" s="56">
        <v>767</v>
      </c>
      <c r="R1027" s="57">
        <v>1404</v>
      </c>
    </row>
    <row r="1028" spans="2:18" x14ac:dyDescent="0.4">
      <c r="B1028" s="50"/>
      <c r="C1028" s="51" t="s">
        <v>262</v>
      </c>
      <c r="D1028" s="49" t="s">
        <v>263</v>
      </c>
      <c r="E1028" s="49" t="str">
        <f>B1024&amp;C1028</f>
        <v>Houston, TXPA</v>
      </c>
      <c r="F1028" s="58" t="s">
        <v>506</v>
      </c>
      <c r="G1028" s="58" t="s">
        <v>506</v>
      </c>
      <c r="H1028" s="58" t="s">
        <v>506</v>
      </c>
      <c r="I1028" s="58" t="s">
        <v>506</v>
      </c>
      <c r="J1028" s="58" t="s">
        <v>506</v>
      </c>
      <c r="K1028" s="58" t="s">
        <v>506</v>
      </c>
      <c r="L1028" s="58" t="s">
        <v>506</v>
      </c>
      <c r="M1028" s="58" t="s">
        <v>506</v>
      </c>
      <c r="N1028" s="58" t="s">
        <v>506</v>
      </c>
      <c r="O1028" s="58" t="s">
        <v>506</v>
      </c>
      <c r="P1028" s="58" t="s">
        <v>506</v>
      </c>
      <c r="Q1028" s="58" t="s">
        <v>506</v>
      </c>
      <c r="R1028" s="57">
        <v>14.65</v>
      </c>
    </row>
    <row r="1029" spans="2:18" x14ac:dyDescent="0.4">
      <c r="B1029" s="48" t="s">
        <v>468</v>
      </c>
      <c r="C1029" s="51" t="s">
        <v>255</v>
      </c>
      <c r="D1029" s="49" t="s">
        <v>256</v>
      </c>
      <c r="E1029" s="49" t="str">
        <f>B1029&amp;C1029</f>
        <v>Lubbock, TXTAN</v>
      </c>
      <c r="F1029" s="56">
        <v>28</v>
      </c>
      <c r="G1029" s="56">
        <v>31.6</v>
      </c>
      <c r="H1029" s="56">
        <v>38.200000000000003</v>
      </c>
      <c r="I1029" s="56">
        <v>46.8</v>
      </c>
      <c r="J1029" s="56">
        <v>57.3</v>
      </c>
      <c r="K1029" s="56">
        <v>65.400000000000006</v>
      </c>
      <c r="L1029" s="56">
        <v>69</v>
      </c>
      <c r="M1029" s="56">
        <v>67.5</v>
      </c>
      <c r="N1029" s="56">
        <v>59.6</v>
      </c>
      <c r="O1029" s="56">
        <v>48.6</v>
      </c>
      <c r="P1029" s="56">
        <v>36.6</v>
      </c>
      <c r="Q1029" s="56">
        <v>28.5</v>
      </c>
      <c r="R1029" s="57">
        <v>48.1</v>
      </c>
    </row>
    <row r="1030" spans="2:18" x14ac:dyDescent="0.4">
      <c r="B1030" s="50"/>
      <c r="C1030" s="51" t="s">
        <v>257</v>
      </c>
      <c r="D1030" s="49" t="s">
        <v>256</v>
      </c>
      <c r="E1030" s="49" t="str">
        <f>B1029&amp;C1030</f>
        <v>Lubbock, TXTAX</v>
      </c>
      <c r="F1030" s="56">
        <v>54</v>
      </c>
      <c r="G1030" s="56">
        <v>58.8</v>
      </c>
      <c r="H1030" s="56">
        <v>66.099999999999994</v>
      </c>
      <c r="I1030" s="56">
        <v>74.7</v>
      </c>
      <c r="J1030" s="56">
        <v>83.3</v>
      </c>
      <c r="K1030" s="56">
        <v>90.3</v>
      </c>
      <c r="L1030" s="56">
        <v>92.3</v>
      </c>
      <c r="M1030" s="56">
        <v>90.6</v>
      </c>
      <c r="N1030" s="56">
        <v>84</v>
      </c>
      <c r="O1030" s="56">
        <v>74.8</v>
      </c>
      <c r="P1030" s="56">
        <v>62.7</v>
      </c>
      <c r="Q1030" s="56">
        <v>54.6</v>
      </c>
      <c r="R1030" s="57">
        <v>73.900000000000006</v>
      </c>
    </row>
    <row r="1031" spans="2:18" x14ac:dyDescent="0.4">
      <c r="B1031" s="50"/>
      <c r="C1031" s="51" t="s">
        <v>258</v>
      </c>
      <c r="D1031" s="49" t="s">
        <v>259</v>
      </c>
      <c r="E1031" s="49" t="str">
        <f>B1029&amp;C1031</f>
        <v>Lubbock, TXV</v>
      </c>
      <c r="F1031" s="56">
        <v>11.6</v>
      </c>
      <c r="G1031" s="56">
        <v>12.3</v>
      </c>
      <c r="H1031" s="56">
        <v>13.9</v>
      </c>
      <c r="I1031" s="56">
        <v>14.3</v>
      </c>
      <c r="J1031" s="56">
        <v>13.6</v>
      </c>
      <c r="K1031" s="56">
        <v>13</v>
      </c>
      <c r="L1031" s="56">
        <v>11</v>
      </c>
      <c r="M1031" s="56">
        <v>9.8000000000000007</v>
      </c>
      <c r="N1031" s="56">
        <v>10.1</v>
      </c>
      <c r="O1031" s="56">
        <v>11</v>
      </c>
      <c r="P1031" s="56">
        <v>11.4</v>
      </c>
      <c r="Q1031" s="56">
        <v>11.4</v>
      </c>
      <c r="R1031" s="57">
        <v>11.9</v>
      </c>
    </row>
    <row r="1032" spans="2:18" x14ac:dyDescent="0.4">
      <c r="B1032" s="50"/>
      <c r="C1032" s="51" t="s">
        <v>260</v>
      </c>
      <c r="D1032" s="49" t="s">
        <v>261</v>
      </c>
      <c r="E1032" s="49" t="str">
        <f>B1029&amp;C1032</f>
        <v>Lubbock, TXI</v>
      </c>
      <c r="F1032" s="56">
        <v>968</v>
      </c>
      <c r="G1032" s="56">
        <v>1252</v>
      </c>
      <c r="H1032" s="56">
        <v>1627</v>
      </c>
      <c r="I1032" s="56">
        <v>2008</v>
      </c>
      <c r="J1032" s="56">
        <v>2166</v>
      </c>
      <c r="K1032" s="56">
        <v>2352</v>
      </c>
      <c r="L1032" s="56">
        <v>2283</v>
      </c>
      <c r="M1032" s="56">
        <v>2060</v>
      </c>
      <c r="N1032" s="56">
        <v>1728</v>
      </c>
      <c r="O1032" s="56">
        <v>1406</v>
      </c>
      <c r="P1032" s="56">
        <v>1081</v>
      </c>
      <c r="Q1032" s="56">
        <v>904</v>
      </c>
      <c r="R1032" s="57">
        <v>1653</v>
      </c>
    </row>
    <row r="1033" spans="2:18" x14ac:dyDescent="0.4">
      <c r="B1033" s="50"/>
      <c r="C1033" s="51" t="s">
        <v>262</v>
      </c>
      <c r="D1033" s="49" t="s">
        <v>263</v>
      </c>
      <c r="E1033" s="49" t="str">
        <f>B1029&amp;C1033</f>
        <v>Lubbock, TXPA</v>
      </c>
      <c r="F1033" s="58" t="s">
        <v>506</v>
      </c>
      <c r="G1033" s="58" t="s">
        <v>506</v>
      </c>
      <c r="H1033" s="58" t="s">
        <v>506</v>
      </c>
      <c r="I1033" s="58" t="s">
        <v>506</v>
      </c>
      <c r="J1033" s="58" t="s">
        <v>506</v>
      </c>
      <c r="K1033" s="58" t="s">
        <v>506</v>
      </c>
      <c r="L1033" s="58" t="s">
        <v>506</v>
      </c>
      <c r="M1033" s="58" t="s">
        <v>506</v>
      </c>
      <c r="N1033" s="58" t="s">
        <v>506</v>
      </c>
      <c r="O1033" s="58" t="s">
        <v>506</v>
      </c>
      <c r="P1033" s="58" t="s">
        <v>506</v>
      </c>
      <c r="Q1033" s="58" t="s">
        <v>506</v>
      </c>
      <c r="R1033" s="57">
        <v>13.07</v>
      </c>
    </row>
    <row r="1034" spans="2:18" x14ac:dyDescent="0.4">
      <c r="B1034" s="48" t="s">
        <v>469</v>
      </c>
      <c r="C1034" s="51" t="s">
        <v>255</v>
      </c>
      <c r="D1034" s="49" t="s">
        <v>256</v>
      </c>
      <c r="E1034" s="49" t="str">
        <f>B1034&amp;C1034</f>
        <v>Lufkin, TXTAN</v>
      </c>
      <c r="F1034" s="56">
        <v>39.299999999999997</v>
      </c>
      <c r="G1034" s="56">
        <v>42.4</v>
      </c>
      <c r="H1034" s="56">
        <v>48.6</v>
      </c>
      <c r="I1034" s="56">
        <v>55.6</v>
      </c>
      <c r="J1034" s="56">
        <v>64.7</v>
      </c>
      <c r="K1034" s="56">
        <v>70.7</v>
      </c>
      <c r="L1034" s="56">
        <v>72.8</v>
      </c>
      <c r="M1034" s="56">
        <v>72.099999999999994</v>
      </c>
      <c r="N1034" s="56">
        <v>66.8</v>
      </c>
      <c r="O1034" s="56">
        <v>56.5</v>
      </c>
      <c r="P1034" s="56">
        <v>46.8</v>
      </c>
      <c r="Q1034" s="56">
        <v>40.299999999999997</v>
      </c>
      <c r="R1034" s="57">
        <v>56.4</v>
      </c>
    </row>
    <row r="1035" spans="2:18" x14ac:dyDescent="0.4">
      <c r="B1035" s="50"/>
      <c r="C1035" s="51" t="s">
        <v>257</v>
      </c>
      <c r="D1035" s="49" t="s">
        <v>256</v>
      </c>
      <c r="E1035" s="49" t="str">
        <f>B1034&amp;C1035</f>
        <v>Lufkin, TXTAX</v>
      </c>
      <c r="F1035" s="56">
        <v>59.8</v>
      </c>
      <c r="G1035" s="56">
        <v>64</v>
      </c>
      <c r="H1035" s="56">
        <v>70.5</v>
      </c>
      <c r="I1035" s="56">
        <v>77.5</v>
      </c>
      <c r="J1035" s="56">
        <v>84.6</v>
      </c>
      <c r="K1035" s="56">
        <v>90</v>
      </c>
      <c r="L1035" s="56">
        <v>93.1</v>
      </c>
      <c r="M1035" s="56">
        <v>93.6</v>
      </c>
      <c r="N1035" s="56">
        <v>88.3</v>
      </c>
      <c r="O1035" s="56">
        <v>79.5</v>
      </c>
      <c r="P1035" s="56">
        <v>68.8</v>
      </c>
      <c r="Q1035" s="56">
        <v>61.1</v>
      </c>
      <c r="R1035" s="57">
        <v>77.599999999999994</v>
      </c>
    </row>
    <row r="1036" spans="2:18" x14ac:dyDescent="0.4">
      <c r="B1036" s="50"/>
      <c r="C1036" s="51" t="s">
        <v>258</v>
      </c>
      <c r="D1036" s="49" t="s">
        <v>259</v>
      </c>
      <c r="E1036" s="49" t="str">
        <f>B1034&amp;C1036</f>
        <v>Lufkin, TXV</v>
      </c>
      <c r="F1036" s="56">
        <v>6.9</v>
      </c>
      <c r="G1036" s="56">
        <v>7.4</v>
      </c>
      <c r="H1036" s="56">
        <v>7.6</v>
      </c>
      <c r="I1036" s="56">
        <v>7.6</v>
      </c>
      <c r="J1036" s="56">
        <v>6.9</v>
      </c>
      <c r="K1036" s="56">
        <v>5.8</v>
      </c>
      <c r="L1036" s="56">
        <v>5.4</v>
      </c>
      <c r="M1036" s="56">
        <v>4.9000000000000004</v>
      </c>
      <c r="N1036" s="56">
        <v>5.4</v>
      </c>
      <c r="O1036" s="56">
        <v>5.8</v>
      </c>
      <c r="P1036" s="56">
        <v>6.3</v>
      </c>
      <c r="Q1036" s="56">
        <v>6.5</v>
      </c>
      <c r="R1036" s="57">
        <v>6.5</v>
      </c>
    </row>
    <row r="1037" spans="2:18" x14ac:dyDescent="0.4">
      <c r="B1037" s="50"/>
      <c r="C1037" s="51" t="s">
        <v>260</v>
      </c>
      <c r="D1037" s="49" t="s">
        <v>261</v>
      </c>
      <c r="E1037" s="49" t="str">
        <f>B1034&amp;C1037</f>
        <v>Lufkin, TXI</v>
      </c>
      <c r="F1037" s="56">
        <v>796</v>
      </c>
      <c r="G1037" s="56">
        <v>1027</v>
      </c>
      <c r="H1037" s="56">
        <v>1342</v>
      </c>
      <c r="I1037" s="56">
        <v>1686</v>
      </c>
      <c r="J1037" s="56">
        <v>1856</v>
      </c>
      <c r="K1037" s="56">
        <v>1988</v>
      </c>
      <c r="L1037" s="56">
        <v>2043</v>
      </c>
      <c r="M1037" s="56">
        <v>1915</v>
      </c>
      <c r="N1037" s="56">
        <v>1590</v>
      </c>
      <c r="O1037" s="56">
        <v>1275</v>
      </c>
      <c r="P1037" s="56">
        <v>913</v>
      </c>
      <c r="Q1037" s="56">
        <v>747</v>
      </c>
      <c r="R1037" s="57">
        <v>1432</v>
      </c>
    </row>
    <row r="1038" spans="2:18" x14ac:dyDescent="0.4">
      <c r="B1038" s="50"/>
      <c r="C1038" s="51" t="s">
        <v>262</v>
      </c>
      <c r="D1038" s="49" t="s">
        <v>263</v>
      </c>
      <c r="E1038" s="49" t="str">
        <f>B1034&amp;C1038</f>
        <v>Lufkin, TXPA</v>
      </c>
      <c r="F1038" s="58" t="s">
        <v>506</v>
      </c>
      <c r="G1038" s="58" t="s">
        <v>506</v>
      </c>
      <c r="H1038" s="58" t="s">
        <v>506</v>
      </c>
      <c r="I1038" s="58" t="s">
        <v>506</v>
      </c>
      <c r="J1038" s="58" t="s">
        <v>506</v>
      </c>
      <c r="K1038" s="58" t="s">
        <v>506</v>
      </c>
      <c r="L1038" s="58" t="s">
        <v>506</v>
      </c>
      <c r="M1038" s="58" t="s">
        <v>506</v>
      </c>
      <c r="N1038" s="58" t="s">
        <v>506</v>
      </c>
      <c r="O1038" s="58" t="s">
        <v>506</v>
      </c>
      <c r="P1038" s="58" t="s">
        <v>506</v>
      </c>
      <c r="Q1038" s="58" t="s">
        <v>506</v>
      </c>
      <c r="R1038" s="57">
        <v>14.55</v>
      </c>
    </row>
    <row r="1039" spans="2:18" x14ac:dyDescent="0.4">
      <c r="B1039" s="48" t="s">
        <v>470</v>
      </c>
      <c r="C1039" s="51" t="s">
        <v>255</v>
      </c>
      <c r="D1039" s="49" t="s">
        <v>256</v>
      </c>
      <c r="E1039" s="49" t="str">
        <f>B1039&amp;C1039</f>
        <v>Midland, TXTAN</v>
      </c>
      <c r="F1039" s="56">
        <v>31.8</v>
      </c>
      <c r="G1039" s="56">
        <v>35.9</v>
      </c>
      <c r="H1039" s="56">
        <v>42.1</v>
      </c>
      <c r="I1039" s="56">
        <v>50.1</v>
      </c>
      <c r="J1039" s="56">
        <v>60.9</v>
      </c>
      <c r="K1039" s="56">
        <v>68.5</v>
      </c>
      <c r="L1039" s="56">
        <v>71</v>
      </c>
      <c r="M1039" s="56">
        <v>69.7</v>
      </c>
      <c r="N1039" s="56">
        <v>62.7</v>
      </c>
      <c r="O1039" s="56">
        <v>52.4</v>
      </c>
      <c r="P1039" s="56">
        <v>39.799999999999997</v>
      </c>
      <c r="Q1039" s="56">
        <v>32.1</v>
      </c>
      <c r="R1039" s="57">
        <v>51.4</v>
      </c>
    </row>
    <row r="1040" spans="2:18" x14ac:dyDescent="0.4">
      <c r="B1040" s="50"/>
      <c r="C1040" s="51" t="s">
        <v>257</v>
      </c>
      <c r="D1040" s="49" t="s">
        <v>256</v>
      </c>
      <c r="E1040" s="49" t="str">
        <f>B1039&amp;C1040</f>
        <v>Midland, TXTAX</v>
      </c>
      <c r="F1040" s="56">
        <v>57.4</v>
      </c>
      <c r="G1040" s="56">
        <v>62.2</v>
      </c>
      <c r="H1040" s="56">
        <v>69.400000000000006</v>
      </c>
      <c r="I1040" s="56">
        <v>78.400000000000006</v>
      </c>
      <c r="J1040" s="56">
        <v>87.1</v>
      </c>
      <c r="K1040" s="56">
        <v>93</v>
      </c>
      <c r="L1040" s="56">
        <v>93.8</v>
      </c>
      <c r="M1040" s="56">
        <v>92.4</v>
      </c>
      <c r="N1040" s="56">
        <v>86</v>
      </c>
      <c r="O1040" s="56">
        <v>77.5</v>
      </c>
      <c r="P1040" s="56">
        <v>65.599999999999994</v>
      </c>
      <c r="Q1040" s="56">
        <v>58.1</v>
      </c>
      <c r="R1040" s="57">
        <v>76.7</v>
      </c>
    </row>
    <row r="1041" spans="2:18" x14ac:dyDescent="0.4">
      <c r="B1041" s="50"/>
      <c r="C1041" s="51" t="s">
        <v>258</v>
      </c>
      <c r="D1041" s="49" t="s">
        <v>259</v>
      </c>
      <c r="E1041" s="49" t="str">
        <f>B1039&amp;C1041</f>
        <v>Midland, TXV</v>
      </c>
      <c r="F1041" s="56">
        <v>10.1</v>
      </c>
      <c r="G1041" s="56">
        <v>11</v>
      </c>
      <c r="H1041" s="56">
        <v>12.1</v>
      </c>
      <c r="I1041" s="56">
        <v>12.8</v>
      </c>
      <c r="J1041" s="56">
        <v>12.3</v>
      </c>
      <c r="K1041" s="56">
        <v>12.3</v>
      </c>
      <c r="L1041" s="56">
        <v>10.7</v>
      </c>
      <c r="M1041" s="56">
        <v>9.6</v>
      </c>
      <c r="N1041" s="56">
        <v>9.6</v>
      </c>
      <c r="O1041" s="56">
        <v>10.3</v>
      </c>
      <c r="P1041" s="56">
        <v>9.8000000000000007</v>
      </c>
      <c r="Q1041" s="56">
        <v>9.8000000000000007</v>
      </c>
      <c r="R1041" s="57">
        <v>11</v>
      </c>
    </row>
    <row r="1042" spans="2:18" x14ac:dyDescent="0.4">
      <c r="B1042" s="50"/>
      <c r="C1042" s="51" t="s">
        <v>260</v>
      </c>
      <c r="D1042" s="49" t="s">
        <v>261</v>
      </c>
      <c r="E1042" s="49" t="str">
        <f>B1039&amp;C1042</f>
        <v>Midland, TXI</v>
      </c>
      <c r="F1042" s="56">
        <v>1015</v>
      </c>
      <c r="G1042" s="56">
        <v>1294</v>
      </c>
      <c r="H1042" s="56">
        <v>1695</v>
      </c>
      <c r="I1042" s="56">
        <v>2089</v>
      </c>
      <c r="J1042" s="56">
        <v>2226</v>
      </c>
      <c r="K1042" s="56">
        <v>2365</v>
      </c>
      <c r="L1042" s="56">
        <v>2272</v>
      </c>
      <c r="M1042" s="56">
        <v>2073</v>
      </c>
      <c r="N1042" s="56">
        <v>1776</v>
      </c>
      <c r="O1042" s="56">
        <v>1458</v>
      </c>
      <c r="P1042" s="56">
        <v>1140</v>
      </c>
      <c r="Q1042" s="56">
        <v>973</v>
      </c>
      <c r="R1042" s="57">
        <v>1698</v>
      </c>
    </row>
    <row r="1043" spans="2:18" x14ac:dyDescent="0.4">
      <c r="B1043" s="50"/>
      <c r="C1043" s="51" t="s">
        <v>262</v>
      </c>
      <c r="D1043" s="49" t="s">
        <v>263</v>
      </c>
      <c r="E1043" s="49" t="str">
        <f>B1039&amp;C1043</f>
        <v>Midland, TXPA</v>
      </c>
      <c r="F1043" s="58" t="s">
        <v>506</v>
      </c>
      <c r="G1043" s="58" t="s">
        <v>506</v>
      </c>
      <c r="H1043" s="58" t="s">
        <v>506</v>
      </c>
      <c r="I1043" s="58" t="s">
        <v>506</v>
      </c>
      <c r="J1043" s="58" t="s">
        <v>506</v>
      </c>
      <c r="K1043" s="58" t="s">
        <v>506</v>
      </c>
      <c r="L1043" s="58" t="s">
        <v>506</v>
      </c>
      <c r="M1043" s="58" t="s">
        <v>506</v>
      </c>
      <c r="N1043" s="58" t="s">
        <v>506</v>
      </c>
      <c r="O1043" s="58" t="s">
        <v>506</v>
      </c>
      <c r="P1043" s="58" t="s">
        <v>506</v>
      </c>
      <c r="Q1043" s="58" t="s">
        <v>506</v>
      </c>
      <c r="R1043" s="57">
        <v>13.26</v>
      </c>
    </row>
    <row r="1044" spans="2:18" x14ac:dyDescent="0.4">
      <c r="B1044" s="48" t="s">
        <v>471</v>
      </c>
      <c r="C1044" s="51" t="s">
        <v>255</v>
      </c>
      <c r="D1044" s="49" t="s">
        <v>256</v>
      </c>
      <c r="E1044" s="49" t="str">
        <f>B1044&amp;C1044</f>
        <v>Port Arthur, TXTAN</v>
      </c>
      <c r="F1044" s="56">
        <v>44.6</v>
      </c>
      <c r="G1044" s="56">
        <v>47.7</v>
      </c>
      <c r="H1044" s="56">
        <v>53.2</v>
      </c>
      <c r="I1044" s="56">
        <v>60.1</v>
      </c>
      <c r="J1044" s="56">
        <v>68</v>
      </c>
      <c r="K1044" s="56">
        <v>73.5</v>
      </c>
      <c r="L1044" s="56">
        <v>75</v>
      </c>
      <c r="M1044" s="56">
        <v>74.7</v>
      </c>
      <c r="N1044" s="56">
        <v>70.599999999999994</v>
      </c>
      <c r="O1044" s="56">
        <v>61.5</v>
      </c>
      <c r="P1044" s="56">
        <v>51.7</v>
      </c>
      <c r="Q1044" s="56">
        <v>45.7</v>
      </c>
      <c r="R1044" s="57">
        <v>60.5</v>
      </c>
    </row>
    <row r="1045" spans="2:18" x14ac:dyDescent="0.4">
      <c r="B1045" s="50"/>
      <c r="C1045" s="51" t="s">
        <v>257</v>
      </c>
      <c r="D1045" s="49" t="s">
        <v>256</v>
      </c>
      <c r="E1045" s="49" t="str">
        <f>B1044&amp;C1045</f>
        <v>Port Arthur, TXTAX</v>
      </c>
      <c r="F1045" s="56">
        <v>61.9</v>
      </c>
      <c r="G1045" s="56">
        <v>65.3</v>
      </c>
      <c r="H1045" s="56">
        <v>71.2</v>
      </c>
      <c r="I1045" s="56">
        <v>77.3</v>
      </c>
      <c r="J1045" s="56">
        <v>84.3</v>
      </c>
      <c r="K1045" s="56">
        <v>89.1</v>
      </c>
      <c r="L1045" s="56">
        <v>91</v>
      </c>
      <c r="M1045" s="56">
        <v>91.5</v>
      </c>
      <c r="N1045" s="56">
        <v>87.8</v>
      </c>
      <c r="O1045" s="56">
        <v>80.2</v>
      </c>
      <c r="P1045" s="56">
        <v>70.5</v>
      </c>
      <c r="Q1045" s="56">
        <v>63.4</v>
      </c>
      <c r="R1045" s="57">
        <v>77.8</v>
      </c>
    </row>
    <row r="1046" spans="2:18" x14ac:dyDescent="0.4">
      <c r="B1046" s="50"/>
      <c r="C1046" s="51" t="s">
        <v>258</v>
      </c>
      <c r="D1046" s="49" t="s">
        <v>259</v>
      </c>
      <c r="E1046" s="49" t="str">
        <f>B1044&amp;C1046</f>
        <v>Port Arthur, TXV</v>
      </c>
      <c r="F1046" s="56">
        <v>9.6</v>
      </c>
      <c r="G1046" s="56">
        <v>10.1</v>
      </c>
      <c r="H1046" s="56">
        <v>10.3</v>
      </c>
      <c r="I1046" s="56">
        <v>10.3</v>
      </c>
      <c r="J1046" s="56">
        <v>9.1999999999999993</v>
      </c>
      <c r="K1046" s="56">
        <v>7.6</v>
      </c>
      <c r="L1046" s="56">
        <v>6</v>
      </c>
      <c r="M1046" s="56">
        <v>5.8</v>
      </c>
      <c r="N1046" s="56">
        <v>7.2</v>
      </c>
      <c r="O1046" s="56">
        <v>8.1</v>
      </c>
      <c r="P1046" s="56">
        <v>8.5</v>
      </c>
      <c r="Q1046" s="56">
        <v>9.1999999999999993</v>
      </c>
      <c r="R1046" s="57">
        <v>8.5</v>
      </c>
    </row>
    <row r="1047" spans="2:18" x14ac:dyDescent="0.4">
      <c r="B1047" s="50"/>
      <c r="C1047" s="51" t="s">
        <v>260</v>
      </c>
      <c r="D1047" s="49" t="s">
        <v>261</v>
      </c>
      <c r="E1047" s="49" t="str">
        <f>B1044&amp;C1047</f>
        <v>Port Arthur, TXI</v>
      </c>
      <c r="F1047" s="56">
        <v>824</v>
      </c>
      <c r="G1047" s="56">
        <v>1017</v>
      </c>
      <c r="H1047" s="56">
        <v>1355</v>
      </c>
      <c r="I1047" s="56">
        <v>1646</v>
      </c>
      <c r="J1047" s="56">
        <v>1868</v>
      </c>
      <c r="K1047" s="56">
        <v>1931</v>
      </c>
      <c r="L1047" s="56">
        <v>1918</v>
      </c>
      <c r="M1047" s="56">
        <v>1801</v>
      </c>
      <c r="N1047" s="56">
        <v>1552</v>
      </c>
      <c r="O1047" s="56">
        <v>1300</v>
      </c>
      <c r="P1047" s="56">
        <v>955</v>
      </c>
      <c r="Q1047" s="56">
        <v>773</v>
      </c>
      <c r="R1047" s="57">
        <v>1412</v>
      </c>
    </row>
    <row r="1048" spans="2:18" x14ac:dyDescent="0.4">
      <c r="B1048" s="50"/>
      <c r="C1048" s="51" t="s">
        <v>262</v>
      </c>
      <c r="D1048" s="49" t="s">
        <v>263</v>
      </c>
      <c r="E1048" s="49" t="str">
        <f>B1044&amp;C1048</f>
        <v>Port Arthur, TXPA</v>
      </c>
      <c r="F1048" s="58" t="s">
        <v>506</v>
      </c>
      <c r="G1048" s="58" t="s">
        <v>506</v>
      </c>
      <c r="H1048" s="58" t="s">
        <v>506</v>
      </c>
      <c r="I1048" s="58" t="s">
        <v>506</v>
      </c>
      <c r="J1048" s="58" t="s">
        <v>506</v>
      </c>
      <c r="K1048" s="58" t="s">
        <v>506</v>
      </c>
      <c r="L1048" s="58" t="s">
        <v>506</v>
      </c>
      <c r="M1048" s="58" t="s">
        <v>506</v>
      </c>
      <c r="N1048" s="58" t="s">
        <v>506</v>
      </c>
      <c r="O1048" s="58" t="s">
        <v>506</v>
      </c>
      <c r="P1048" s="58" t="s">
        <v>506</v>
      </c>
      <c r="Q1048" s="58" t="s">
        <v>506</v>
      </c>
      <c r="R1048" s="57">
        <v>14.68</v>
      </c>
    </row>
    <row r="1049" spans="2:18" x14ac:dyDescent="0.4">
      <c r="B1049" s="48" t="s">
        <v>472</v>
      </c>
      <c r="C1049" s="51" t="s">
        <v>255</v>
      </c>
      <c r="D1049" s="49" t="s">
        <v>256</v>
      </c>
      <c r="E1049" s="49" t="str">
        <f>B1049&amp;C1049</f>
        <v>San Angelo, TXTAN</v>
      </c>
      <c r="F1049" s="56">
        <v>34.4</v>
      </c>
      <c r="G1049" s="56">
        <v>38</v>
      </c>
      <c r="H1049" s="56">
        <v>45.2</v>
      </c>
      <c r="I1049" s="56">
        <v>52.8</v>
      </c>
      <c r="J1049" s="56">
        <v>62.8</v>
      </c>
      <c r="K1049" s="56">
        <v>69.599999999999994</v>
      </c>
      <c r="L1049" s="56">
        <v>72.099999999999994</v>
      </c>
      <c r="M1049" s="56">
        <v>71.3</v>
      </c>
      <c r="N1049" s="56">
        <v>64</v>
      </c>
      <c r="O1049" s="56">
        <v>53.8</v>
      </c>
      <c r="P1049" s="56">
        <v>42.7</v>
      </c>
      <c r="Q1049" s="56">
        <v>35.1</v>
      </c>
      <c r="R1049" s="57">
        <v>53.5</v>
      </c>
    </row>
    <row r="1050" spans="2:18" x14ac:dyDescent="0.4">
      <c r="B1050" s="50"/>
      <c r="C1050" s="51" t="s">
        <v>257</v>
      </c>
      <c r="D1050" s="49" t="s">
        <v>256</v>
      </c>
      <c r="E1050" s="49" t="str">
        <f>B1049&amp;C1050</f>
        <v>San Angelo, TXTAX</v>
      </c>
      <c r="F1050" s="56">
        <v>59.5</v>
      </c>
      <c r="G1050" s="56">
        <v>63.7</v>
      </c>
      <c r="H1050" s="56">
        <v>70.7</v>
      </c>
      <c r="I1050" s="56">
        <v>79.5</v>
      </c>
      <c r="J1050" s="56">
        <v>87.4</v>
      </c>
      <c r="K1050" s="56">
        <v>92.4</v>
      </c>
      <c r="L1050" s="56">
        <v>95.1</v>
      </c>
      <c r="M1050" s="56">
        <v>94</v>
      </c>
      <c r="N1050" s="56">
        <v>87.4</v>
      </c>
      <c r="O1050" s="56">
        <v>78.599999999999994</v>
      </c>
      <c r="P1050" s="56">
        <v>67.400000000000006</v>
      </c>
      <c r="Q1050" s="56">
        <v>60.5</v>
      </c>
      <c r="R1050" s="57">
        <v>78</v>
      </c>
    </row>
    <row r="1051" spans="2:18" x14ac:dyDescent="0.4">
      <c r="B1051" s="50"/>
      <c r="C1051" s="51" t="s">
        <v>258</v>
      </c>
      <c r="D1051" s="49" t="s">
        <v>259</v>
      </c>
      <c r="E1051" s="49" t="str">
        <f>B1049&amp;C1051</f>
        <v>San Angelo, TXV</v>
      </c>
      <c r="F1051" s="56">
        <v>9.6</v>
      </c>
      <c r="G1051" s="56">
        <v>10.1</v>
      </c>
      <c r="H1051" s="56">
        <v>10.7</v>
      </c>
      <c r="I1051" s="56">
        <v>11.4</v>
      </c>
      <c r="J1051" s="56">
        <v>10.5</v>
      </c>
      <c r="K1051" s="56">
        <v>10.1</v>
      </c>
      <c r="L1051" s="56">
        <v>9.1999999999999993</v>
      </c>
      <c r="M1051" s="56">
        <v>8.1</v>
      </c>
      <c r="N1051" s="56">
        <v>7.8</v>
      </c>
      <c r="O1051" s="56">
        <v>8.5</v>
      </c>
      <c r="P1051" s="56">
        <v>9.1999999999999993</v>
      </c>
      <c r="Q1051" s="56">
        <v>9.4</v>
      </c>
      <c r="R1051" s="57">
        <v>9.6</v>
      </c>
    </row>
    <row r="1052" spans="2:18" x14ac:dyDescent="0.4">
      <c r="B1052" s="50"/>
      <c r="C1052" s="51" t="s">
        <v>260</v>
      </c>
      <c r="D1052" s="49" t="s">
        <v>261</v>
      </c>
      <c r="E1052" s="49" t="str">
        <f>B1049&amp;C1052</f>
        <v>San Angelo, TXI</v>
      </c>
      <c r="F1052" s="56">
        <v>968</v>
      </c>
      <c r="G1052" s="56">
        <v>1229</v>
      </c>
      <c r="H1052" s="56">
        <v>1591</v>
      </c>
      <c r="I1052" s="56">
        <v>1961</v>
      </c>
      <c r="J1052" s="56">
        <v>2072</v>
      </c>
      <c r="K1052" s="56">
        <v>2236</v>
      </c>
      <c r="L1052" s="56">
        <v>2220</v>
      </c>
      <c r="M1052" s="56">
        <v>2021</v>
      </c>
      <c r="N1052" s="56">
        <v>1711</v>
      </c>
      <c r="O1052" s="56">
        <v>1382</v>
      </c>
      <c r="P1052" s="56">
        <v>1090</v>
      </c>
      <c r="Q1052" s="56">
        <v>921</v>
      </c>
      <c r="R1052" s="57">
        <v>1617</v>
      </c>
    </row>
    <row r="1053" spans="2:18" x14ac:dyDescent="0.4">
      <c r="B1053" s="50"/>
      <c r="C1053" s="51" t="s">
        <v>262</v>
      </c>
      <c r="D1053" s="49" t="s">
        <v>263</v>
      </c>
      <c r="E1053" s="49" t="str">
        <f>B1049&amp;C1053</f>
        <v>San Angelo, TXPA</v>
      </c>
      <c r="F1053" s="58" t="s">
        <v>506</v>
      </c>
      <c r="G1053" s="58" t="s">
        <v>506</v>
      </c>
      <c r="H1053" s="58" t="s">
        <v>506</v>
      </c>
      <c r="I1053" s="58" t="s">
        <v>506</v>
      </c>
      <c r="J1053" s="58" t="s">
        <v>506</v>
      </c>
      <c r="K1053" s="58" t="s">
        <v>506</v>
      </c>
      <c r="L1053" s="58" t="s">
        <v>506</v>
      </c>
      <c r="M1053" s="58" t="s">
        <v>506</v>
      </c>
      <c r="N1053" s="58" t="s">
        <v>506</v>
      </c>
      <c r="O1053" s="58" t="s">
        <v>506</v>
      </c>
      <c r="P1053" s="58" t="s">
        <v>506</v>
      </c>
      <c r="Q1053" s="58" t="s">
        <v>506</v>
      </c>
      <c r="R1053" s="57">
        <v>13.71</v>
      </c>
    </row>
    <row r="1054" spans="2:18" x14ac:dyDescent="0.4">
      <c r="B1054" s="48" t="s">
        <v>473</v>
      </c>
      <c r="C1054" s="51" t="s">
        <v>255</v>
      </c>
      <c r="D1054" s="49" t="s">
        <v>256</v>
      </c>
      <c r="E1054" s="49" t="str">
        <f>B1054&amp;C1054</f>
        <v>San Antonio, TXTAN</v>
      </c>
      <c r="F1054" s="56">
        <v>42</v>
      </c>
      <c r="G1054" s="56">
        <v>45.8</v>
      </c>
      <c r="H1054" s="56">
        <v>51.8</v>
      </c>
      <c r="I1054" s="56">
        <v>59.1</v>
      </c>
      <c r="J1054" s="56">
        <v>67.599999999999994</v>
      </c>
      <c r="K1054" s="56">
        <v>73.2</v>
      </c>
      <c r="L1054" s="56">
        <v>75.2</v>
      </c>
      <c r="M1054" s="56">
        <v>75.3</v>
      </c>
      <c r="N1054" s="56">
        <v>69.8</v>
      </c>
      <c r="O1054" s="56">
        <v>60.8</v>
      </c>
      <c r="P1054" s="56">
        <v>50.5</v>
      </c>
      <c r="Q1054" s="56">
        <v>43.1</v>
      </c>
      <c r="R1054" s="57">
        <v>59.5</v>
      </c>
    </row>
    <row r="1055" spans="2:18" x14ac:dyDescent="0.4">
      <c r="B1055" s="50"/>
      <c r="C1055" s="51" t="s">
        <v>257</v>
      </c>
      <c r="D1055" s="49" t="s">
        <v>256</v>
      </c>
      <c r="E1055" s="49" t="str">
        <f>B1054&amp;C1055</f>
        <v>San Antonio, TXTAX</v>
      </c>
      <c r="F1055" s="56">
        <v>62.9</v>
      </c>
      <c r="G1055" s="56">
        <v>67.2</v>
      </c>
      <c r="H1055" s="56">
        <v>73.099999999999994</v>
      </c>
      <c r="I1055" s="56">
        <v>79.900000000000006</v>
      </c>
      <c r="J1055" s="56">
        <v>86.6</v>
      </c>
      <c r="K1055" s="56">
        <v>91.9</v>
      </c>
      <c r="L1055" s="56">
        <v>94</v>
      </c>
      <c r="M1055" s="56">
        <v>95</v>
      </c>
      <c r="N1055" s="56">
        <v>89.5</v>
      </c>
      <c r="O1055" s="56">
        <v>81.599999999999994</v>
      </c>
      <c r="P1055" s="56">
        <v>71.3</v>
      </c>
      <c r="Q1055" s="56">
        <v>64.3</v>
      </c>
      <c r="R1055" s="57">
        <v>79.8</v>
      </c>
    </row>
    <row r="1056" spans="2:18" x14ac:dyDescent="0.4">
      <c r="B1056" s="50"/>
      <c r="C1056" s="51" t="s">
        <v>258</v>
      </c>
      <c r="D1056" s="49" t="s">
        <v>259</v>
      </c>
      <c r="E1056" s="49" t="str">
        <f>B1054&amp;C1056</f>
        <v>San Antonio, TXV</v>
      </c>
      <c r="F1056" s="56">
        <v>7.6</v>
      </c>
      <c r="G1056" s="56">
        <v>7.8</v>
      </c>
      <c r="H1056" s="56">
        <v>8.9</v>
      </c>
      <c r="I1056" s="56">
        <v>9.4</v>
      </c>
      <c r="J1056" s="56">
        <v>9.4</v>
      </c>
      <c r="K1056" s="56">
        <v>9.1999999999999993</v>
      </c>
      <c r="L1056" s="56">
        <v>8.5</v>
      </c>
      <c r="M1056" s="56">
        <v>7.8</v>
      </c>
      <c r="N1056" s="56">
        <v>6.9</v>
      </c>
      <c r="O1056" s="56">
        <v>7.4</v>
      </c>
      <c r="P1056" s="56">
        <v>7.6</v>
      </c>
      <c r="Q1056" s="56">
        <v>7.4</v>
      </c>
      <c r="R1056" s="57">
        <v>8.1</v>
      </c>
    </row>
    <row r="1057" spans="2:18" x14ac:dyDescent="0.4">
      <c r="B1057" s="50"/>
      <c r="C1057" s="51" t="s">
        <v>260</v>
      </c>
      <c r="D1057" s="49" t="s">
        <v>261</v>
      </c>
      <c r="E1057" s="49" t="str">
        <f>B1054&amp;C1057</f>
        <v>San Antonio, TXI</v>
      </c>
      <c r="F1057" s="56">
        <v>893</v>
      </c>
      <c r="G1057" s="56">
        <v>1083</v>
      </c>
      <c r="H1057" s="56">
        <v>1377</v>
      </c>
      <c r="I1057" s="56">
        <v>1682</v>
      </c>
      <c r="J1057" s="56">
        <v>1821</v>
      </c>
      <c r="K1057" s="56">
        <v>2059</v>
      </c>
      <c r="L1057" s="56">
        <v>2081</v>
      </c>
      <c r="M1057" s="56">
        <v>1961</v>
      </c>
      <c r="N1057" s="56">
        <v>1640</v>
      </c>
      <c r="O1057" s="56">
        <v>1323</v>
      </c>
      <c r="P1057" s="56">
        <v>985</v>
      </c>
      <c r="Q1057" s="56">
        <v>825</v>
      </c>
      <c r="R1057" s="57">
        <v>1477</v>
      </c>
    </row>
    <row r="1058" spans="2:18" x14ac:dyDescent="0.4">
      <c r="B1058" s="50"/>
      <c r="C1058" s="51" t="s">
        <v>262</v>
      </c>
      <c r="D1058" s="49" t="s">
        <v>263</v>
      </c>
      <c r="E1058" s="49" t="str">
        <f>B1054&amp;C1058</f>
        <v>San Antonio, TXPA</v>
      </c>
      <c r="F1058" s="58" t="s">
        <v>506</v>
      </c>
      <c r="G1058" s="58" t="s">
        <v>506</v>
      </c>
      <c r="H1058" s="58" t="s">
        <v>506</v>
      </c>
      <c r="I1058" s="58" t="s">
        <v>506</v>
      </c>
      <c r="J1058" s="58" t="s">
        <v>506</v>
      </c>
      <c r="K1058" s="58" t="s">
        <v>506</v>
      </c>
      <c r="L1058" s="58" t="s">
        <v>506</v>
      </c>
      <c r="M1058" s="58" t="s">
        <v>506</v>
      </c>
      <c r="N1058" s="58" t="s">
        <v>506</v>
      </c>
      <c r="O1058" s="58" t="s">
        <v>506</v>
      </c>
      <c r="P1058" s="58" t="s">
        <v>506</v>
      </c>
      <c r="Q1058" s="58" t="s">
        <v>506</v>
      </c>
      <c r="R1058" s="57">
        <v>14.27</v>
      </c>
    </row>
    <row r="1059" spans="2:18" x14ac:dyDescent="0.4">
      <c r="B1059" s="48" t="s">
        <v>474</v>
      </c>
      <c r="C1059" s="51" t="s">
        <v>255</v>
      </c>
      <c r="D1059" s="49" t="s">
        <v>256</v>
      </c>
      <c r="E1059" s="49" t="str">
        <f>B1059&amp;C1059</f>
        <v>Victoria, TXTAN</v>
      </c>
      <c r="F1059" s="56">
        <v>44.5</v>
      </c>
      <c r="G1059" s="56">
        <v>48</v>
      </c>
      <c r="H1059" s="56">
        <v>53.7</v>
      </c>
      <c r="I1059" s="56">
        <v>60.5</v>
      </c>
      <c r="J1059" s="56">
        <v>68.3</v>
      </c>
      <c r="K1059" s="56">
        <v>73.3</v>
      </c>
      <c r="L1059" s="56">
        <v>74.8</v>
      </c>
      <c r="M1059" s="56">
        <v>74.400000000000006</v>
      </c>
      <c r="N1059" s="56">
        <v>70.099999999999994</v>
      </c>
      <c r="O1059" s="56">
        <v>61.6</v>
      </c>
      <c r="P1059" s="56">
        <v>51.9</v>
      </c>
      <c r="Q1059" s="56">
        <v>45.5</v>
      </c>
      <c r="R1059" s="57">
        <v>60.5</v>
      </c>
    </row>
    <row r="1060" spans="2:18" x14ac:dyDescent="0.4">
      <c r="B1060" s="50"/>
      <c r="C1060" s="51" t="s">
        <v>257</v>
      </c>
      <c r="D1060" s="49" t="s">
        <v>256</v>
      </c>
      <c r="E1060" s="49" t="str">
        <f>B1059&amp;C1060</f>
        <v>Victoria, TXTAX</v>
      </c>
      <c r="F1060" s="56">
        <v>64.599999999999994</v>
      </c>
      <c r="G1060" s="56">
        <v>68.2</v>
      </c>
      <c r="H1060" s="56">
        <v>73.5</v>
      </c>
      <c r="I1060" s="56">
        <v>79.599999999999994</v>
      </c>
      <c r="J1060" s="56">
        <v>86.1</v>
      </c>
      <c r="K1060" s="56">
        <v>91</v>
      </c>
      <c r="L1060" s="56">
        <v>93.1</v>
      </c>
      <c r="M1060" s="56">
        <v>94</v>
      </c>
      <c r="N1060" s="56">
        <v>89.5</v>
      </c>
      <c r="O1060" s="56">
        <v>82.7</v>
      </c>
      <c r="P1060" s="56">
        <v>73.099999999999994</v>
      </c>
      <c r="Q1060" s="56">
        <v>66.099999999999994</v>
      </c>
      <c r="R1060" s="57">
        <v>80.099999999999994</v>
      </c>
    </row>
    <row r="1061" spans="2:18" x14ac:dyDescent="0.4">
      <c r="B1061" s="50"/>
      <c r="C1061" s="51" t="s">
        <v>258</v>
      </c>
      <c r="D1061" s="49" t="s">
        <v>259</v>
      </c>
      <c r="E1061" s="49" t="str">
        <f>B1059&amp;C1061</f>
        <v>Victoria, TXV</v>
      </c>
      <c r="F1061" s="56">
        <v>9.8000000000000007</v>
      </c>
      <c r="G1061" s="56">
        <v>10.1</v>
      </c>
      <c r="H1061" s="56">
        <v>10.5</v>
      </c>
      <c r="I1061" s="56">
        <v>11</v>
      </c>
      <c r="J1061" s="56">
        <v>10.3</v>
      </c>
      <c r="K1061" s="56">
        <v>9.1999999999999993</v>
      </c>
      <c r="L1061" s="56">
        <v>8.3000000000000007</v>
      </c>
      <c r="M1061" s="56">
        <v>7.4</v>
      </c>
      <c r="N1061" s="56">
        <v>7.4</v>
      </c>
      <c r="O1061" s="56">
        <v>8.3000000000000007</v>
      </c>
      <c r="P1061" s="56">
        <v>8.6999999999999993</v>
      </c>
      <c r="Q1061" s="56">
        <v>9.1999999999999993</v>
      </c>
      <c r="R1061" s="57">
        <v>9.1999999999999993</v>
      </c>
    </row>
    <row r="1062" spans="2:18" x14ac:dyDescent="0.4">
      <c r="B1062" s="50"/>
      <c r="C1062" s="51" t="s">
        <v>260</v>
      </c>
      <c r="D1062" s="49" t="s">
        <v>261</v>
      </c>
      <c r="E1062" s="49" t="str">
        <f>B1059&amp;C1062</f>
        <v>Victoria, TXI</v>
      </c>
      <c r="F1062" s="56">
        <v>849</v>
      </c>
      <c r="G1062" s="56">
        <v>1038</v>
      </c>
      <c r="H1062" s="56">
        <v>1328</v>
      </c>
      <c r="I1062" s="56">
        <v>1597</v>
      </c>
      <c r="J1062" s="56">
        <v>1823</v>
      </c>
      <c r="K1062" s="56">
        <v>2009</v>
      </c>
      <c r="L1062" s="56">
        <v>2029</v>
      </c>
      <c r="M1062" s="56">
        <v>1887</v>
      </c>
      <c r="N1062" s="56">
        <v>1596</v>
      </c>
      <c r="O1062" s="56">
        <v>1328</v>
      </c>
      <c r="P1062" s="56">
        <v>989</v>
      </c>
      <c r="Q1062" s="56">
        <v>801</v>
      </c>
      <c r="R1062" s="57">
        <v>1439</v>
      </c>
    </row>
    <row r="1063" spans="2:18" x14ac:dyDescent="0.4">
      <c r="B1063" s="50"/>
      <c r="C1063" s="51" t="s">
        <v>262</v>
      </c>
      <c r="D1063" s="49" t="s">
        <v>263</v>
      </c>
      <c r="E1063" s="49" t="str">
        <f>B1059&amp;C1063</f>
        <v>Victoria, TXPA</v>
      </c>
      <c r="F1063" s="58" t="s">
        <v>506</v>
      </c>
      <c r="G1063" s="58" t="s">
        <v>506</v>
      </c>
      <c r="H1063" s="58" t="s">
        <v>506</v>
      </c>
      <c r="I1063" s="58" t="s">
        <v>506</v>
      </c>
      <c r="J1063" s="58" t="s">
        <v>506</v>
      </c>
      <c r="K1063" s="58" t="s">
        <v>506</v>
      </c>
      <c r="L1063" s="58" t="s">
        <v>506</v>
      </c>
      <c r="M1063" s="58" t="s">
        <v>506</v>
      </c>
      <c r="N1063" s="58" t="s">
        <v>506</v>
      </c>
      <c r="O1063" s="58" t="s">
        <v>506</v>
      </c>
      <c r="P1063" s="58" t="s">
        <v>506</v>
      </c>
      <c r="Q1063" s="58" t="s">
        <v>506</v>
      </c>
      <c r="R1063" s="57">
        <v>14.63</v>
      </c>
    </row>
    <row r="1064" spans="2:18" x14ac:dyDescent="0.4">
      <c r="B1064" s="48" t="s">
        <v>475</v>
      </c>
      <c r="C1064" s="51" t="s">
        <v>255</v>
      </c>
      <c r="D1064" s="49" t="s">
        <v>256</v>
      </c>
      <c r="E1064" s="49" t="str">
        <f>B1064&amp;C1064</f>
        <v>Waco, TXTAN</v>
      </c>
      <c r="F1064" s="56">
        <v>37.6</v>
      </c>
      <c r="G1064" s="56">
        <v>41.3</v>
      </c>
      <c r="H1064" s="56">
        <v>48.1</v>
      </c>
      <c r="I1064" s="56">
        <v>55.7</v>
      </c>
      <c r="J1064" s="56">
        <v>64.7</v>
      </c>
      <c r="K1064" s="56">
        <v>71.7</v>
      </c>
      <c r="L1064" s="56">
        <v>75</v>
      </c>
      <c r="M1064" s="56">
        <v>74.400000000000006</v>
      </c>
      <c r="N1064" s="56">
        <v>67.3</v>
      </c>
      <c r="O1064" s="56">
        <v>57.2</v>
      </c>
      <c r="P1064" s="56">
        <v>46.9</v>
      </c>
      <c r="Q1064" s="56">
        <v>39</v>
      </c>
      <c r="R1064" s="57">
        <v>56.6</v>
      </c>
    </row>
    <row r="1065" spans="2:18" x14ac:dyDescent="0.4">
      <c r="B1065" s="50"/>
      <c r="C1065" s="51" t="s">
        <v>257</v>
      </c>
      <c r="D1065" s="49" t="s">
        <v>256</v>
      </c>
      <c r="E1065" s="49" t="str">
        <f>B1064&amp;C1065</f>
        <v>Waco, TXTAX</v>
      </c>
      <c r="F1065" s="56">
        <v>58.4</v>
      </c>
      <c r="G1065" s="56">
        <v>62.4</v>
      </c>
      <c r="H1065" s="56">
        <v>69.2</v>
      </c>
      <c r="I1065" s="56">
        <v>77.099999999999994</v>
      </c>
      <c r="J1065" s="56">
        <v>84.7</v>
      </c>
      <c r="K1065" s="56">
        <v>91.5</v>
      </c>
      <c r="L1065" s="56">
        <v>95.8</v>
      </c>
      <c r="M1065" s="56">
        <v>96</v>
      </c>
      <c r="N1065" s="56">
        <v>89.4</v>
      </c>
      <c r="O1065" s="56">
        <v>79.8</v>
      </c>
      <c r="P1065" s="56">
        <v>68</v>
      </c>
      <c r="Q1065" s="56">
        <v>59.7</v>
      </c>
      <c r="R1065" s="57">
        <v>77.7</v>
      </c>
    </row>
    <row r="1066" spans="2:18" x14ac:dyDescent="0.4">
      <c r="B1066" s="50"/>
      <c r="C1066" s="51" t="s">
        <v>258</v>
      </c>
      <c r="D1066" s="49" t="s">
        <v>259</v>
      </c>
      <c r="E1066" s="49" t="str">
        <f>B1064&amp;C1066</f>
        <v>Waco, TXV</v>
      </c>
      <c r="F1066" s="56">
        <v>9.8000000000000007</v>
      </c>
      <c r="G1066" s="56">
        <v>10.1</v>
      </c>
      <c r="H1066" s="56">
        <v>11</v>
      </c>
      <c r="I1066" s="56">
        <v>11.2</v>
      </c>
      <c r="J1066" s="56">
        <v>10.1</v>
      </c>
      <c r="K1066" s="56">
        <v>9.6</v>
      </c>
      <c r="L1066" s="56">
        <v>9.6</v>
      </c>
      <c r="M1066" s="56">
        <v>8.5</v>
      </c>
      <c r="N1066" s="56">
        <v>7.8</v>
      </c>
      <c r="O1066" s="56">
        <v>8.6999999999999993</v>
      </c>
      <c r="P1066" s="56">
        <v>9.4</v>
      </c>
      <c r="Q1066" s="56">
        <v>9.4</v>
      </c>
      <c r="R1066" s="57">
        <v>9.6</v>
      </c>
    </row>
    <row r="1067" spans="2:18" x14ac:dyDescent="0.4">
      <c r="B1067" s="50"/>
      <c r="C1067" s="51" t="s">
        <v>260</v>
      </c>
      <c r="D1067" s="49" t="s">
        <v>261</v>
      </c>
      <c r="E1067" s="49" t="str">
        <f>B1064&amp;C1067</f>
        <v>Waco, TXI</v>
      </c>
      <c r="F1067" s="56">
        <v>864</v>
      </c>
      <c r="G1067" s="56">
        <v>1081</v>
      </c>
      <c r="H1067" s="56">
        <v>1387</v>
      </c>
      <c r="I1067" s="56">
        <v>1732</v>
      </c>
      <c r="J1067" s="56">
        <v>1890</v>
      </c>
      <c r="K1067" s="56">
        <v>2135</v>
      </c>
      <c r="L1067" s="56">
        <v>2198</v>
      </c>
      <c r="M1067" s="56">
        <v>2022</v>
      </c>
      <c r="N1067" s="56">
        <v>1674</v>
      </c>
      <c r="O1067" s="56">
        <v>1302</v>
      </c>
      <c r="P1067" s="56">
        <v>958</v>
      </c>
      <c r="Q1067" s="56">
        <v>823</v>
      </c>
      <c r="R1067" s="57">
        <v>1505</v>
      </c>
    </row>
    <row r="1068" spans="2:18" x14ac:dyDescent="0.4">
      <c r="B1068" s="50"/>
      <c r="C1068" s="51" t="s">
        <v>262</v>
      </c>
      <c r="D1068" s="49" t="s">
        <v>263</v>
      </c>
      <c r="E1068" s="49" t="str">
        <f>B1064&amp;C1068</f>
        <v>Waco, TXPA</v>
      </c>
      <c r="F1068" s="58" t="s">
        <v>506</v>
      </c>
      <c r="G1068" s="58" t="s">
        <v>506</v>
      </c>
      <c r="H1068" s="58" t="s">
        <v>506</v>
      </c>
      <c r="I1068" s="58" t="s">
        <v>506</v>
      </c>
      <c r="J1068" s="58" t="s">
        <v>506</v>
      </c>
      <c r="K1068" s="58" t="s">
        <v>506</v>
      </c>
      <c r="L1068" s="58" t="s">
        <v>506</v>
      </c>
      <c r="M1068" s="58" t="s">
        <v>506</v>
      </c>
      <c r="N1068" s="58" t="s">
        <v>506</v>
      </c>
      <c r="O1068" s="58" t="s">
        <v>506</v>
      </c>
      <c r="P1068" s="58" t="s">
        <v>506</v>
      </c>
      <c r="Q1068" s="58" t="s">
        <v>506</v>
      </c>
      <c r="R1068" s="57">
        <v>14.43</v>
      </c>
    </row>
    <row r="1069" spans="2:18" x14ac:dyDescent="0.4">
      <c r="B1069" s="48" t="s">
        <v>476</v>
      </c>
      <c r="C1069" s="51" t="s">
        <v>255</v>
      </c>
      <c r="D1069" s="49" t="s">
        <v>256</v>
      </c>
      <c r="E1069" s="49" t="str">
        <f>B1069&amp;C1069</f>
        <v>Cedar City, UTTAN</v>
      </c>
      <c r="F1069" s="56">
        <v>19.2</v>
      </c>
      <c r="G1069" s="56">
        <v>23.3</v>
      </c>
      <c r="H1069" s="56">
        <v>28.3</v>
      </c>
      <c r="I1069" s="56">
        <v>33.5</v>
      </c>
      <c r="J1069" s="56">
        <v>42.2</v>
      </c>
      <c r="K1069" s="56">
        <v>50.9</v>
      </c>
      <c r="L1069" s="56">
        <v>59</v>
      </c>
      <c r="M1069" s="56">
        <v>57.7</v>
      </c>
      <c r="N1069" s="56">
        <v>47.7</v>
      </c>
      <c r="O1069" s="56">
        <v>36</v>
      </c>
      <c r="P1069" s="56">
        <v>25</v>
      </c>
      <c r="Q1069" s="56">
        <v>18.7</v>
      </c>
      <c r="R1069" s="57">
        <v>36.799999999999997</v>
      </c>
    </row>
    <row r="1070" spans="2:18" x14ac:dyDescent="0.4">
      <c r="B1070" s="50"/>
      <c r="C1070" s="51" t="s">
        <v>257</v>
      </c>
      <c r="D1070" s="49" t="s">
        <v>256</v>
      </c>
      <c r="E1070" s="49" t="str">
        <f>B1069&amp;C1070</f>
        <v>Cedar City, UTTAX</v>
      </c>
      <c r="F1070" s="56">
        <v>41.9</v>
      </c>
      <c r="G1070" s="56">
        <v>46</v>
      </c>
      <c r="H1070" s="56">
        <v>54.6</v>
      </c>
      <c r="I1070" s="56">
        <v>61.1</v>
      </c>
      <c r="J1070" s="56">
        <v>72.3</v>
      </c>
      <c r="K1070" s="56">
        <v>82.5</v>
      </c>
      <c r="L1070" s="56">
        <v>89.5</v>
      </c>
      <c r="M1070" s="56">
        <v>87.2</v>
      </c>
      <c r="N1070" s="56">
        <v>79.3</v>
      </c>
      <c r="O1070" s="56">
        <v>65.7</v>
      </c>
      <c r="P1070" s="56">
        <v>51.7</v>
      </c>
      <c r="Q1070" s="56">
        <v>41.5</v>
      </c>
      <c r="R1070" s="57">
        <v>64.400000000000006</v>
      </c>
    </row>
    <row r="1071" spans="2:18" x14ac:dyDescent="0.4">
      <c r="B1071" s="50"/>
      <c r="C1071" s="51" t="s">
        <v>258</v>
      </c>
      <c r="D1071" s="49" t="s">
        <v>259</v>
      </c>
      <c r="E1071" s="49" t="str">
        <f>B1069&amp;C1071</f>
        <v>Cedar City, UTV</v>
      </c>
      <c r="F1071" s="56">
        <v>6.3</v>
      </c>
      <c r="G1071" s="56">
        <v>6.7</v>
      </c>
      <c r="H1071" s="56">
        <v>8.1</v>
      </c>
      <c r="I1071" s="56">
        <v>8.9</v>
      </c>
      <c r="J1071" s="56">
        <v>8.6999999999999993</v>
      </c>
      <c r="K1071" s="56">
        <v>8.6999999999999993</v>
      </c>
      <c r="L1071" s="56">
        <v>7.6</v>
      </c>
      <c r="M1071" s="56">
        <v>7.6</v>
      </c>
      <c r="N1071" s="56">
        <v>7.2</v>
      </c>
      <c r="O1071" s="56">
        <v>6.7</v>
      </c>
      <c r="P1071" s="56">
        <v>6.3</v>
      </c>
      <c r="Q1071" s="56">
        <v>6.3</v>
      </c>
      <c r="R1071" s="57">
        <v>7.4</v>
      </c>
    </row>
    <row r="1072" spans="2:18" x14ac:dyDescent="0.4">
      <c r="B1072" s="50"/>
      <c r="C1072" s="51" t="s">
        <v>260</v>
      </c>
      <c r="D1072" s="49" t="s">
        <v>261</v>
      </c>
      <c r="E1072" s="49" t="str">
        <f>B1069&amp;C1072</f>
        <v>Cedar City, UTI</v>
      </c>
      <c r="F1072" s="56">
        <v>818</v>
      </c>
      <c r="G1072" s="56">
        <v>1072</v>
      </c>
      <c r="H1072" s="56">
        <v>1548</v>
      </c>
      <c r="I1072" s="56">
        <v>1969</v>
      </c>
      <c r="J1072" s="56">
        <v>2299</v>
      </c>
      <c r="K1072" s="56">
        <v>2534</v>
      </c>
      <c r="L1072" s="56">
        <v>2285</v>
      </c>
      <c r="M1072" s="56">
        <v>2082</v>
      </c>
      <c r="N1072" s="56">
        <v>1827</v>
      </c>
      <c r="O1072" s="56">
        <v>1355</v>
      </c>
      <c r="P1072" s="56">
        <v>944</v>
      </c>
      <c r="Q1072" s="56">
        <v>741</v>
      </c>
      <c r="R1072" s="57">
        <v>1623</v>
      </c>
    </row>
    <row r="1073" spans="2:18" x14ac:dyDescent="0.4">
      <c r="B1073" s="50"/>
      <c r="C1073" s="51" t="s">
        <v>262</v>
      </c>
      <c r="D1073" s="49" t="s">
        <v>263</v>
      </c>
      <c r="E1073" s="49" t="str">
        <f>B1069&amp;C1073</f>
        <v>Cedar City, UTPA</v>
      </c>
      <c r="F1073" s="58" t="s">
        <v>506</v>
      </c>
      <c r="G1073" s="58" t="s">
        <v>506</v>
      </c>
      <c r="H1073" s="58" t="s">
        <v>506</v>
      </c>
      <c r="I1073" s="58" t="s">
        <v>506</v>
      </c>
      <c r="J1073" s="58" t="s">
        <v>506</v>
      </c>
      <c r="K1073" s="58" t="s">
        <v>506</v>
      </c>
      <c r="L1073" s="58" t="s">
        <v>506</v>
      </c>
      <c r="M1073" s="58" t="s">
        <v>506</v>
      </c>
      <c r="N1073" s="58" t="s">
        <v>506</v>
      </c>
      <c r="O1073" s="58" t="s">
        <v>506</v>
      </c>
      <c r="P1073" s="58" t="s">
        <v>506</v>
      </c>
      <c r="Q1073" s="58" t="s">
        <v>506</v>
      </c>
      <c r="R1073" s="57">
        <v>12.01</v>
      </c>
    </row>
    <row r="1074" spans="2:18" ht="20.6" x14ac:dyDescent="0.4">
      <c r="B1074" s="48" t="s">
        <v>477</v>
      </c>
      <c r="C1074" s="51" t="s">
        <v>255</v>
      </c>
      <c r="D1074" s="49" t="s">
        <v>256</v>
      </c>
      <c r="E1074" s="49" t="str">
        <f>B1074&amp;C1074</f>
        <v>Salt Lake City, UTTAN</v>
      </c>
      <c r="F1074" s="56">
        <v>23.3</v>
      </c>
      <c r="G1074" s="56">
        <v>26.9</v>
      </c>
      <c r="H1074" s="56">
        <v>34.4</v>
      </c>
      <c r="I1074" s="56">
        <v>40.200000000000003</v>
      </c>
      <c r="J1074" s="56">
        <v>49</v>
      </c>
      <c r="K1074" s="56">
        <v>57.3</v>
      </c>
      <c r="L1074" s="56">
        <v>66.400000000000006</v>
      </c>
      <c r="M1074" s="56">
        <v>64.900000000000006</v>
      </c>
      <c r="N1074" s="56">
        <v>54.3</v>
      </c>
      <c r="O1074" s="56">
        <v>42.2</v>
      </c>
      <c r="P1074" s="56">
        <v>31.1</v>
      </c>
      <c r="Q1074" s="56">
        <v>24.1</v>
      </c>
      <c r="R1074" s="57">
        <v>42.9</v>
      </c>
    </row>
    <row r="1075" spans="2:18" ht="20.6" x14ac:dyDescent="0.4">
      <c r="B1075" s="50"/>
      <c r="C1075" s="51" t="s">
        <v>257</v>
      </c>
      <c r="D1075" s="49" t="s">
        <v>256</v>
      </c>
      <c r="E1075" s="49" t="str">
        <f>B1074&amp;C1075</f>
        <v>Salt Lake City, UTTAX</v>
      </c>
      <c r="F1075" s="56">
        <v>37.700000000000003</v>
      </c>
      <c r="G1075" s="56">
        <v>43.1</v>
      </c>
      <c r="H1075" s="56">
        <v>53.4</v>
      </c>
      <c r="I1075" s="56">
        <v>60.3</v>
      </c>
      <c r="J1075" s="56">
        <v>71.5</v>
      </c>
      <c r="K1075" s="56">
        <v>81.8</v>
      </c>
      <c r="L1075" s="56">
        <v>92.4</v>
      </c>
      <c r="M1075" s="56">
        <v>90.1</v>
      </c>
      <c r="N1075" s="56">
        <v>78.900000000000006</v>
      </c>
      <c r="O1075" s="56">
        <v>64</v>
      </c>
      <c r="P1075" s="56">
        <v>48.7</v>
      </c>
      <c r="Q1075" s="56">
        <v>38</v>
      </c>
      <c r="R1075" s="57">
        <v>63.3</v>
      </c>
    </row>
    <row r="1076" spans="2:18" x14ac:dyDescent="0.4">
      <c r="B1076" s="50"/>
      <c r="C1076" s="51" t="s">
        <v>258</v>
      </c>
      <c r="D1076" s="49" t="s">
        <v>259</v>
      </c>
      <c r="E1076" s="49" t="str">
        <f>B1074&amp;C1076</f>
        <v>Salt Lake City, UTV</v>
      </c>
      <c r="F1076" s="56">
        <v>6.7</v>
      </c>
      <c r="G1076" s="56">
        <v>7.2</v>
      </c>
      <c r="H1076" s="56">
        <v>8.6999999999999993</v>
      </c>
      <c r="I1076" s="56">
        <v>9.6</v>
      </c>
      <c r="J1076" s="56">
        <v>8.9</v>
      </c>
      <c r="K1076" s="56">
        <v>9.1999999999999993</v>
      </c>
      <c r="L1076" s="56">
        <v>8.9</v>
      </c>
      <c r="M1076" s="56">
        <v>9.6</v>
      </c>
      <c r="N1076" s="56">
        <v>8.6999999999999993</v>
      </c>
      <c r="O1076" s="56">
        <v>8.1</v>
      </c>
      <c r="P1076" s="56">
        <v>7.4</v>
      </c>
      <c r="Q1076" s="56">
        <v>7.2</v>
      </c>
      <c r="R1076" s="57">
        <v>8.3000000000000007</v>
      </c>
    </row>
    <row r="1077" spans="2:18" x14ac:dyDescent="0.4">
      <c r="B1077" s="50"/>
      <c r="C1077" s="51" t="s">
        <v>260</v>
      </c>
      <c r="D1077" s="49" t="s">
        <v>261</v>
      </c>
      <c r="E1077" s="49" t="str">
        <f>B1074&amp;C1077</f>
        <v>Salt Lake City, UTI</v>
      </c>
      <c r="F1077" s="56">
        <v>596</v>
      </c>
      <c r="G1077" s="56">
        <v>877</v>
      </c>
      <c r="H1077" s="56">
        <v>1348</v>
      </c>
      <c r="I1077" s="56">
        <v>1685</v>
      </c>
      <c r="J1077" s="56">
        <v>2071</v>
      </c>
      <c r="K1077" s="56">
        <v>2336</v>
      </c>
      <c r="L1077" s="56">
        <v>2338</v>
      </c>
      <c r="M1077" s="56">
        <v>2052</v>
      </c>
      <c r="N1077" s="56">
        <v>1689</v>
      </c>
      <c r="O1077" s="56">
        <v>1144</v>
      </c>
      <c r="P1077" s="56">
        <v>700</v>
      </c>
      <c r="Q1077" s="56">
        <v>469</v>
      </c>
      <c r="R1077" s="57">
        <v>1442</v>
      </c>
    </row>
    <row r="1078" spans="2:18" x14ac:dyDescent="0.4">
      <c r="B1078" s="50"/>
      <c r="C1078" s="51" t="s">
        <v>262</v>
      </c>
      <c r="D1078" s="49" t="s">
        <v>263</v>
      </c>
      <c r="E1078" s="49" t="str">
        <f>B1074&amp;C1078</f>
        <v>Salt Lake City, UTPA</v>
      </c>
      <c r="F1078" s="58" t="s">
        <v>506</v>
      </c>
      <c r="G1078" s="58" t="s">
        <v>506</v>
      </c>
      <c r="H1078" s="58" t="s">
        <v>506</v>
      </c>
      <c r="I1078" s="58" t="s">
        <v>506</v>
      </c>
      <c r="J1078" s="58" t="s">
        <v>506</v>
      </c>
      <c r="K1078" s="58" t="s">
        <v>506</v>
      </c>
      <c r="L1078" s="58" t="s">
        <v>506</v>
      </c>
      <c r="M1078" s="58" t="s">
        <v>506</v>
      </c>
      <c r="N1078" s="58" t="s">
        <v>506</v>
      </c>
      <c r="O1078" s="58" t="s">
        <v>506</v>
      </c>
      <c r="P1078" s="58" t="s">
        <v>506</v>
      </c>
      <c r="Q1078" s="58" t="s">
        <v>506</v>
      </c>
      <c r="R1078" s="57">
        <v>12.62</v>
      </c>
    </row>
    <row r="1079" spans="2:18" x14ac:dyDescent="0.4">
      <c r="B1079" s="48" t="s">
        <v>478</v>
      </c>
      <c r="C1079" s="51" t="s">
        <v>255</v>
      </c>
      <c r="D1079" s="49" t="s">
        <v>256</v>
      </c>
      <c r="E1079" s="49" t="str">
        <f>B1079&amp;C1079</f>
        <v>Burlington, VTTAN</v>
      </c>
      <c r="F1079" s="56">
        <v>11.6</v>
      </c>
      <c r="G1079" s="56">
        <v>13.1</v>
      </c>
      <c r="H1079" s="56">
        <v>22.7</v>
      </c>
      <c r="I1079" s="56">
        <v>35.1</v>
      </c>
      <c r="J1079" s="56">
        <v>46.1</v>
      </c>
      <c r="K1079" s="56">
        <v>56.4</v>
      </c>
      <c r="L1079" s="56">
        <v>61</v>
      </c>
      <c r="M1079" s="56">
        <v>59.2</v>
      </c>
      <c r="N1079" s="56">
        <v>51.5</v>
      </c>
      <c r="O1079" s="56">
        <v>40.200000000000003</v>
      </c>
      <c r="P1079" s="56">
        <v>31.6</v>
      </c>
      <c r="Q1079" s="56">
        <v>19.8</v>
      </c>
      <c r="R1079" s="57">
        <v>37.4</v>
      </c>
    </row>
    <row r="1080" spans="2:18" x14ac:dyDescent="0.4">
      <c r="B1080" s="50"/>
      <c r="C1080" s="51" t="s">
        <v>257</v>
      </c>
      <c r="D1080" s="49" t="s">
        <v>256</v>
      </c>
      <c r="E1080" s="49" t="str">
        <f>B1079&amp;C1080</f>
        <v>Burlington, VTTAX</v>
      </c>
      <c r="F1080" s="56">
        <v>27</v>
      </c>
      <c r="G1080" s="56">
        <v>29.8</v>
      </c>
      <c r="H1080" s="56">
        <v>39.6</v>
      </c>
      <c r="I1080" s="56">
        <v>54.1</v>
      </c>
      <c r="J1080" s="56">
        <v>66.8</v>
      </c>
      <c r="K1080" s="56">
        <v>76.2</v>
      </c>
      <c r="L1080" s="56">
        <v>79.900000000000006</v>
      </c>
      <c r="M1080" s="56">
        <v>78.599999999999994</v>
      </c>
      <c r="N1080" s="56">
        <v>70.3</v>
      </c>
      <c r="O1080" s="56">
        <v>56.6</v>
      </c>
      <c r="P1080" s="56">
        <v>45.1</v>
      </c>
      <c r="Q1080" s="56">
        <v>33.200000000000003</v>
      </c>
      <c r="R1080" s="57">
        <v>54.8</v>
      </c>
    </row>
    <row r="1081" spans="2:18" x14ac:dyDescent="0.4">
      <c r="B1081" s="50"/>
      <c r="C1081" s="51" t="s">
        <v>258</v>
      </c>
      <c r="D1081" s="49" t="s">
        <v>259</v>
      </c>
      <c r="E1081" s="49" t="str">
        <f>B1079&amp;C1081</f>
        <v>Burlington, VTV</v>
      </c>
      <c r="F1081" s="56">
        <v>8.9</v>
      </c>
      <c r="G1081" s="56">
        <v>8.5</v>
      </c>
      <c r="H1081" s="56">
        <v>8.5</v>
      </c>
      <c r="I1081" s="56">
        <v>8.6999999999999993</v>
      </c>
      <c r="J1081" s="56">
        <v>8.1</v>
      </c>
      <c r="K1081" s="56">
        <v>7.4</v>
      </c>
      <c r="L1081" s="56">
        <v>6.9</v>
      </c>
      <c r="M1081" s="56">
        <v>6.9</v>
      </c>
      <c r="N1081" s="56">
        <v>7.6</v>
      </c>
      <c r="O1081" s="56">
        <v>8.1</v>
      </c>
      <c r="P1081" s="56">
        <v>8.6999999999999993</v>
      </c>
      <c r="Q1081" s="56">
        <v>8.9</v>
      </c>
      <c r="R1081" s="57">
        <v>8.1</v>
      </c>
    </row>
    <row r="1082" spans="2:18" x14ac:dyDescent="0.4">
      <c r="B1082" s="50"/>
      <c r="C1082" s="51" t="s">
        <v>260</v>
      </c>
      <c r="D1082" s="49" t="s">
        <v>261</v>
      </c>
      <c r="E1082" s="49" t="str">
        <f>B1079&amp;C1082</f>
        <v>Burlington, VTI</v>
      </c>
      <c r="F1082" s="56">
        <v>474</v>
      </c>
      <c r="G1082" s="56">
        <v>733</v>
      </c>
      <c r="H1082" s="56">
        <v>1046</v>
      </c>
      <c r="I1082" s="56">
        <v>1449</v>
      </c>
      <c r="J1082" s="56">
        <v>1720</v>
      </c>
      <c r="K1082" s="56">
        <v>1874</v>
      </c>
      <c r="L1082" s="56">
        <v>1835</v>
      </c>
      <c r="M1082" s="56">
        <v>1642</v>
      </c>
      <c r="N1082" s="56">
        <v>1239</v>
      </c>
      <c r="O1082" s="56">
        <v>770</v>
      </c>
      <c r="P1082" s="56">
        <v>464</v>
      </c>
      <c r="Q1082" s="56">
        <v>377</v>
      </c>
      <c r="R1082" s="57">
        <v>1135</v>
      </c>
    </row>
    <row r="1083" spans="2:18" x14ac:dyDescent="0.4">
      <c r="B1083" s="50"/>
      <c r="C1083" s="51" t="s">
        <v>262</v>
      </c>
      <c r="D1083" s="49" t="s">
        <v>263</v>
      </c>
      <c r="E1083" s="49" t="str">
        <f>B1079&amp;C1083</f>
        <v>Burlington, VTPA</v>
      </c>
      <c r="F1083" s="58" t="s">
        <v>506</v>
      </c>
      <c r="G1083" s="58" t="s">
        <v>506</v>
      </c>
      <c r="H1083" s="58" t="s">
        <v>506</v>
      </c>
      <c r="I1083" s="58" t="s">
        <v>506</v>
      </c>
      <c r="J1083" s="58" t="s">
        <v>506</v>
      </c>
      <c r="K1083" s="58" t="s">
        <v>506</v>
      </c>
      <c r="L1083" s="58" t="s">
        <v>506</v>
      </c>
      <c r="M1083" s="58" t="s">
        <v>506</v>
      </c>
      <c r="N1083" s="58" t="s">
        <v>506</v>
      </c>
      <c r="O1083" s="58" t="s">
        <v>506</v>
      </c>
      <c r="P1083" s="58" t="s">
        <v>506</v>
      </c>
      <c r="Q1083" s="58" t="s">
        <v>506</v>
      </c>
      <c r="R1083" s="57">
        <v>14.52</v>
      </c>
    </row>
    <row r="1084" spans="2:18" x14ac:dyDescent="0.4">
      <c r="B1084" s="48" t="s">
        <v>479</v>
      </c>
      <c r="C1084" s="51" t="s">
        <v>255</v>
      </c>
      <c r="D1084" s="49" t="s">
        <v>256</v>
      </c>
      <c r="E1084" s="49" t="str">
        <f>B1084&amp;C1084</f>
        <v>DC-Dulles, VATAN</v>
      </c>
      <c r="F1084" s="56">
        <v>25.8</v>
      </c>
      <c r="G1084" s="56">
        <v>26.7</v>
      </c>
      <c r="H1084" s="56">
        <v>33.9</v>
      </c>
      <c r="I1084" s="56">
        <v>43.4</v>
      </c>
      <c r="J1084" s="56">
        <v>52.3</v>
      </c>
      <c r="K1084" s="56">
        <v>61.9</v>
      </c>
      <c r="L1084" s="56">
        <v>66.5</v>
      </c>
      <c r="M1084" s="56">
        <v>65.400000000000006</v>
      </c>
      <c r="N1084" s="56">
        <v>57.6</v>
      </c>
      <c r="O1084" s="56">
        <v>44.8</v>
      </c>
      <c r="P1084" s="56">
        <v>36.200000000000003</v>
      </c>
      <c r="Q1084" s="56">
        <v>28.2</v>
      </c>
      <c r="R1084" s="57">
        <v>45.2</v>
      </c>
    </row>
    <row r="1085" spans="2:18" x14ac:dyDescent="0.4">
      <c r="B1085" s="50"/>
      <c r="C1085" s="51" t="s">
        <v>257</v>
      </c>
      <c r="D1085" s="49" t="s">
        <v>256</v>
      </c>
      <c r="E1085" s="49" t="str">
        <f>B1084&amp;C1085</f>
        <v>DC-Dulles, VATAX</v>
      </c>
      <c r="F1085" s="56">
        <v>42.4</v>
      </c>
      <c r="G1085" s="56">
        <v>45.2</v>
      </c>
      <c r="H1085" s="56">
        <v>54.4</v>
      </c>
      <c r="I1085" s="56">
        <v>66.3</v>
      </c>
      <c r="J1085" s="56">
        <v>74</v>
      </c>
      <c r="K1085" s="56">
        <v>82.5</v>
      </c>
      <c r="L1085" s="56">
        <v>86.4</v>
      </c>
      <c r="M1085" s="56">
        <v>85.9</v>
      </c>
      <c r="N1085" s="56">
        <v>78.3</v>
      </c>
      <c r="O1085" s="56">
        <v>67</v>
      </c>
      <c r="P1085" s="56">
        <v>56.2</v>
      </c>
      <c r="Q1085" s="56">
        <v>45.2</v>
      </c>
      <c r="R1085" s="57">
        <v>65.3</v>
      </c>
    </row>
    <row r="1086" spans="2:18" x14ac:dyDescent="0.4">
      <c r="B1086" s="50"/>
      <c r="C1086" s="51" t="s">
        <v>258</v>
      </c>
      <c r="D1086" s="49" t="s">
        <v>259</v>
      </c>
      <c r="E1086" s="49" t="str">
        <f>B1084&amp;C1086</f>
        <v>DC-Dulles, VAV</v>
      </c>
      <c r="F1086" s="56">
        <v>7.8</v>
      </c>
      <c r="G1086" s="56">
        <v>8.1</v>
      </c>
      <c r="H1086" s="56">
        <v>8.5</v>
      </c>
      <c r="I1086" s="56">
        <v>8.1</v>
      </c>
      <c r="J1086" s="56">
        <v>6.7</v>
      </c>
      <c r="K1086" s="56">
        <v>6</v>
      </c>
      <c r="L1086" s="56">
        <v>5.8</v>
      </c>
      <c r="M1086" s="56">
        <v>5.6</v>
      </c>
      <c r="N1086" s="56">
        <v>6</v>
      </c>
      <c r="O1086" s="56">
        <v>6</v>
      </c>
      <c r="P1086" s="56">
        <v>6.7</v>
      </c>
      <c r="Q1086" s="56">
        <v>7.2</v>
      </c>
      <c r="R1086" s="57">
        <v>6.9</v>
      </c>
    </row>
    <row r="1087" spans="2:18" x14ac:dyDescent="0.4">
      <c r="B1087" s="50"/>
      <c r="C1087" s="51" t="s">
        <v>260</v>
      </c>
      <c r="D1087" s="49" t="s">
        <v>261</v>
      </c>
      <c r="E1087" s="49" t="str">
        <f>B1084&amp;C1087</f>
        <v>DC-Dulles, VAI</v>
      </c>
      <c r="F1087" s="56">
        <v>653</v>
      </c>
      <c r="G1087" s="56">
        <v>939</v>
      </c>
      <c r="H1087" s="56">
        <v>1233</v>
      </c>
      <c r="I1087" s="56">
        <v>1567</v>
      </c>
      <c r="J1087" s="56">
        <v>1771</v>
      </c>
      <c r="K1087" s="56">
        <v>1900</v>
      </c>
      <c r="L1087" s="56">
        <v>1862</v>
      </c>
      <c r="M1087" s="56">
        <v>1684</v>
      </c>
      <c r="N1087" s="56">
        <v>1376</v>
      </c>
      <c r="O1087" s="56">
        <v>1062</v>
      </c>
      <c r="P1087" s="56">
        <v>711</v>
      </c>
      <c r="Q1087" s="56">
        <v>590</v>
      </c>
      <c r="R1087" s="57">
        <v>1279</v>
      </c>
    </row>
    <row r="1088" spans="2:18" x14ac:dyDescent="0.4">
      <c r="B1088" s="50"/>
      <c r="C1088" s="51" t="s">
        <v>262</v>
      </c>
      <c r="D1088" s="49" t="s">
        <v>263</v>
      </c>
      <c r="E1088" s="49" t="str">
        <f>B1084&amp;C1088</f>
        <v>DC-Dulles, VAPA</v>
      </c>
      <c r="F1088" s="58" t="s">
        <v>506</v>
      </c>
      <c r="G1088" s="58" t="s">
        <v>506</v>
      </c>
      <c r="H1088" s="58" t="s">
        <v>506</v>
      </c>
      <c r="I1088" s="58" t="s">
        <v>506</v>
      </c>
      <c r="J1088" s="58" t="s">
        <v>506</v>
      </c>
      <c r="K1088" s="58" t="s">
        <v>506</v>
      </c>
      <c r="L1088" s="58" t="s">
        <v>506</v>
      </c>
      <c r="M1088" s="58" t="s">
        <v>506</v>
      </c>
      <c r="N1088" s="58" t="s">
        <v>506</v>
      </c>
      <c r="O1088" s="58" t="s">
        <v>506</v>
      </c>
      <c r="P1088" s="58" t="s">
        <v>506</v>
      </c>
      <c r="Q1088" s="58" t="s">
        <v>506</v>
      </c>
      <c r="R1088" s="57">
        <v>14.55</v>
      </c>
    </row>
    <row r="1089" spans="2:18" x14ac:dyDescent="0.4">
      <c r="B1089" s="48" t="s">
        <v>480</v>
      </c>
      <c r="C1089" s="51" t="s">
        <v>255</v>
      </c>
      <c r="D1089" s="49" t="s">
        <v>256</v>
      </c>
      <c r="E1089" s="49" t="str">
        <f>B1089&amp;C1089</f>
        <v>DC-Reagan, VATAN</v>
      </c>
      <c r="F1089" s="56">
        <v>30</v>
      </c>
      <c r="G1089" s="56">
        <v>31.2</v>
      </c>
      <c r="H1089" s="56">
        <v>38.299999999999997</v>
      </c>
      <c r="I1089" s="56">
        <v>47.9</v>
      </c>
      <c r="J1089" s="56">
        <v>57</v>
      </c>
      <c r="K1089" s="56">
        <v>66.7</v>
      </c>
      <c r="L1089" s="56">
        <v>71.5</v>
      </c>
      <c r="M1089" s="56">
        <v>70.400000000000006</v>
      </c>
      <c r="N1089" s="56">
        <v>63.2</v>
      </c>
      <c r="O1089" s="56">
        <v>51.2</v>
      </c>
      <c r="P1089" s="56">
        <v>41.7</v>
      </c>
      <c r="Q1089" s="56">
        <v>33.299999999999997</v>
      </c>
      <c r="R1089" s="57">
        <v>50.2</v>
      </c>
    </row>
    <row r="1090" spans="2:18" x14ac:dyDescent="0.4">
      <c r="B1090" s="50"/>
      <c r="C1090" s="51" t="s">
        <v>257</v>
      </c>
      <c r="D1090" s="49" t="s">
        <v>256</v>
      </c>
      <c r="E1090" s="49" t="str">
        <f>B1089&amp;C1090</f>
        <v>DC-Reagan, VATAX</v>
      </c>
      <c r="F1090" s="56">
        <v>43.6</v>
      </c>
      <c r="G1090" s="56">
        <v>46.3</v>
      </c>
      <c r="H1090" s="56">
        <v>55.2</v>
      </c>
      <c r="I1090" s="56">
        <v>66.3</v>
      </c>
      <c r="J1090" s="56">
        <v>74.599999999999994</v>
      </c>
      <c r="K1090" s="56">
        <v>83.3</v>
      </c>
      <c r="L1090" s="56">
        <v>87.6</v>
      </c>
      <c r="M1090" s="56">
        <v>86.3</v>
      </c>
      <c r="N1090" s="56">
        <v>79</v>
      </c>
      <c r="O1090" s="56">
        <v>67.599999999999994</v>
      </c>
      <c r="P1090" s="56">
        <v>57</v>
      </c>
      <c r="Q1090" s="56">
        <v>46.5</v>
      </c>
      <c r="R1090" s="57">
        <v>66.099999999999994</v>
      </c>
    </row>
    <row r="1091" spans="2:18" x14ac:dyDescent="0.4">
      <c r="B1091" s="50"/>
      <c r="C1091" s="51" t="s">
        <v>258</v>
      </c>
      <c r="D1091" s="49" t="s">
        <v>259</v>
      </c>
      <c r="E1091" s="49" t="str">
        <f>B1089&amp;C1091</f>
        <v>DC-Reagan, VAV</v>
      </c>
      <c r="F1091" s="56">
        <v>9.6</v>
      </c>
      <c r="G1091" s="56">
        <v>9.6</v>
      </c>
      <c r="H1091" s="56">
        <v>10.5</v>
      </c>
      <c r="I1091" s="56">
        <v>9.8000000000000007</v>
      </c>
      <c r="J1091" s="56">
        <v>8.9</v>
      </c>
      <c r="K1091" s="56">
        <v>8.5</v>
      </c>
      <c r="L1091" s="56">
        <v>8.1</v>
      </c>
      <c r="M1091" s="56">
        <v>7.8</v>
      </c>
      <c r="N1091" s="56">
        <v>8.3000000000000007</v>
      </c>
      <c r="O1091" s="56">
        <v>8.1</v>
      </c>
      <c r="P1091" s="56">
        <v>8.6999999999999993</v>
      </c>
      <c r="Q1091" s="56">
        <v>8.9</v>
      </c>
      <c r="R1091" s="57">
        <v>8.9</v>
      </c>
    </row>
    <row r="1092" spans="2:18" x14ac:dyDescent="0.4">
      <c r="B1092" s="50"/>
      <c r="C1092" s="51" t="s">
        <v>260</v>
      </c>
      <c r="D1092" s="49" t="s">
        <v>261</v>
      </c>
      <c r="E1092" s="49" t="str">
        <f>B1089&amp;C1092</f>
        <v>DC-Reagan, VAI</v>
      </c>
      <c r="F1092" s="56">
        <v>653</v>
      </c>
      <c r="G1092" s="56">
        <v>934</v>
      </c>
      <c r="H1092" s="56">
        <v>1246</v>
      </c>
      <c r="I1092" s="56">
        <v>1578</v>
      </c>
      <c r="J1092" s="56">
        <v>1767</v>
      </c>
      <c r="K1092" s="56">
        <v>1903</v>
      </c>
      <c r="L1092" s="56">
        <v>1864</v>
      </c>
      <c r="M1092" s="56">
        <v>1712</v>
      </c>
      <c r="N1092" s="56">
        <v>1371</v>
      </c>
      <c r="O1092" s="56">
        <v>1045</v>
      </c>
      <c r="P1092" s="56">
        <v>718</v>
      </c>
      <c r="Q1092" s="56">
        <v>587</v>
      </c>
      <c r="R1092" s="57">
        <v>1282</v>
      </c>
    </row>
    <row r="1093" spans="2:18" x14ac:dyDescent="0.4">
      <c r="B1093" s="50"/>
      <c r="C1093" s="51" t="s">
        <v>262</v>
      </c>
      <c r="D1093" s="49" t="s">
        <v>263</v>
      </c>
      <c r="E1093" s="49" t="str">
        <f>B1089&amp;C1093</f>
        <v>DC-Reagan, VAPA</v>
      </c>
      <c r="F1093" s="58" t="s">
        <v>506</v>
      </c>
      <c r="G1093" s="58" t="s">
        <v>506</v>
      </c>
      <c r="H1093" s="58" t="s">
        <v>506</v>
      </c>
      <c r="I1093" s="58" t="s">
        <v>506</v>
      </c>
      <c r="J1093" s="58" t="s">
        <v>506</v>
      </c>
      <c r="K1093" s="58" t="s">
        <v>506</v>
      </c>
      <c r="L1093" s="58" t="s">
        <v>506</v>
      </c>
      <c r="M1093" s="58" t="s">
        <v>506</v>
      </c>
      <c r="N1093" s="58" t="s">
        <v>506</v>
      </c>
      <c r="O1093" s="58" t="s">
        <v>506</v>
      </c>
      <c r="P1093" s="58" t="s">
        <v>506</v>
      </c>
      <c r="Q1093" s="58" t="s">
        <v>506</v>
      </c>
      <c r="R1093" s="57">
        <v>14.69</v>
      </c>
    </row>
    <row r="1094" spans="2:18" x14ac:dyDescent="0.4">
      <c r="B1094" s="48" t="s">
        <v>481</v>
      </c>
      <c r="C1094" s="51" t="s">
        <v>255</v>
      </c>
      <c r="D1094" s="49" t="s">
        <v>256</v>
      </c>
      <c r="E1094" s="49" t="str">
        <f>B1094&amp;C1094</f>
        <v>Lynchburg, VATAN</v>
      </c>
      <c r="F1094" s="56">
        <v>27.6</v>
      </c>
      <c r="G1094" s="56">
        <v>29.1</v>
      </c>
      <c r="H1094" s="56">
        <v>35.9</v>
      </c>
      <c r="I1094" s="56">
        <v>44.7</v>
      </c>
      <c r="J1094" s="56">
        <v>53</v>
      </c>
      <c r="K1094" s="56">
        <v>61.9</v>
      </c>
      <c r="L1094" s="56">
        <v>65.8</v>
      </c>
      <c r="M1094" s="56">
        <v>64.7</v>
      </c>
      <c r="N1094" s="56">
        <v>57.5</v>
      </c>
      <c r="O1094" s="56">
        <v>45.5</v>
      </c>
      <c r="P1094" s="56">
        <v>36.5</v>
      </c>
      <c r="Q1094" s="56">
        <v>29.1</v>
      </c>
      <c r="R1094" s="57">
        <v>46</v>
      </c>
    </row>
    <row r="1095" spans="2:18" x14ac:dyDescent="0.4">
      <c r="B1095" s="50"/>
      <c r="C1095" s="51" t="s">
        <v>257</v>
      </c>
      <c r="D1095" s="49" t="s">
        <v>256</v>
      </c>
      <c r="E1095" s="49" t="str">
        <f>B1094&amp;C1095</f>
        <v>Lynchburg, VATAX</v>
      </c>
      <c r="F1095" s="56">
        <v>45.5</v>
      </c>
      <c r="G1095" s="56">
        <v>48.3</v>
      </c>
      <c r="H1095" s="56">
        <v>57.2</v>
      </c>
      <c r="I1095" s="56">
        <v>67.900000000000006</v>
      </c>
      <c r="J1095" s="56">
        <v>74.599999999999994</v>
      </c>
      <c r="K1095" s="56">
        <v>82.2</v>
      </c>
      <c r="L1095" s="56">
        <v>85.6</v>
      </c>
      <c r="M1095" s="56">
        <v>84.7</v>
      </c>
      <c r="N1095" s="56">
        <v>77.900000000000006</v>
      </c>
      <c r="O1095" s="56">
        <v>67.900000000000006</v>
      </c>
      <c r="P1095" s="56">
        <v>57.7</v>
      </c>
      <c r="Q1095" s="56">
        <v>47.4</v>
      </c>
      <c r="R1095" s="57">
        <v>66.400000000000006</v>
      </c>
    </row>
    <row r="1096" spans="2:18" x14ac:dyDescent="0.4">
      <c r="B1096" s="50"/>
      <c r="C1096" s="51" t="s">
        <v>258</v>
      </c>
      <c r="D1096" s="49" t="s">
        <v>259</v>
      </c>
      <c r="E1096" s="49" t="str">
        <f>B1094&amp;C1096</f>
        <v>Lynchburg, VAV</v>
      </c>
      <c r="F1096" s="56">
        <v>6</v>
      </c>
      <c r="G1096" s="56">
        <v>6</v>
      </c>
      <c r="H1096" s="56">
        <v>6.7</v>
      </c>
      <c r="I1096" s="56">
        <v>6.5</v>
      </c>
      <c r="J1096" s="56">
        <v>5.6</v>
      </c>
      <c r="K1096" s="56">
        <v>4.7</v>
      </c>
      <c r="L1096" s="56">
        <v>4.3</v>
      </c>
      <c r="M1096" s="56">
        <v>3.8</v>
      </c>
      <c r="N1096" s="56">
        <v>4.3</v>
      </c>
      <c r="O1096" s="56">
        <v>4.3</v>
      </c>
      <c r="P1096" s="56">
        <v>4.9000000000000004</v>
      </c>
      <c r="Q1096" s="56">
        <v>5.0999999999999996</v>
      </c>
      <c r="R1096" s="57">
        <v>5.0999999999999996</v>
      </c>
    </row>
    <row r="1097" spans="2:18" x14ac:dyDescent="0.4">
      <c r="B1097" s="50"/>
      <c r="C1097" s="51" t="s">
        <v>260</v>
      </c>
      <c r="D1097" s="49" t="s">
        <v>261</v>
      </c>
      <c r="E1097" s="49" t="str">
        <f>B1094&amp;C1097</f>
        <v>Lynchburg, VAI</v>
      </c>
      <c r="F1097" s="56">
        <v>740</v>
      </c>
      <c r="G1097" s="56">
        <v>1006</v>
      </c>
      <c r="H1097" s="56">
        <v>1334</v>
      </c>
      <c r="I1097" s="56">
        <v>1655</v>
      </c>
      <c r="J1097" s="56">
        <v>1855</v>
      </c>
      <c r="K1097" s="56">
        <v>2001</v>
      </c>
      <c r="L1097" s="56">
        <v>1913</v>
      </c>
      <c r="M1097" s="56">
        <v>1758</v>
      </c>
      <c r="N1097" s="56">
        <v>1439</v>
      </c>
      <c r="O1097" s="56">
        <v>1128</v>
      </c>
      <c r="P1097" s="56">
        <v>807</v>
      </c>
      <c r="Q1097" s="56">
        <v>662</v>
      </c>
      <c r="R1097" s="57">
        <v>1358</v>
      </c>
    </row>
    <row r="1098" spans="2:18" x14ac:dyDescent="0.4">
      <c r="B1098" s="50"/>
      <c r="C1098" s="51" t="s">
        <v>262</v>
      </c>
      <c r="D1098" s="49" t="s">
        <v>263</v>
      </c>
      <c r="E1098" s="49" t="str">
        <f>B1094&amp;C1098</f>
        <v>Lynchburg, VAPA</v>
      </c>
      <c r="F1098" s="58" t="s">
        <v>506</v>
      </c>
      <c r="G1098" s="58" t="s">
        <v>506</v>
      </c>
      <c r="H1098" s="58" t="s">
        <v>506</v>
      </c>
      <c r="I1098" s="58" t="s">
        <v>506</v>
      </c>
      <c r="J1098" s="58" t="s">
        <v>506</v>
      </c>
      <c r="K1098" s="58" t="s">
        <v>506</v>
      </c>
      <c r="L1098" s="58" t="s">
        <v>506</v>
      </c>
      <c r="M1098" s="58" t="s">
        <v>506</v>
      </c>
      <c r="N1098" s="58" t="s">
        <v>506</v>
      </c>
      <c r="O1098" s="58" t="s">
        <v>506</v>
      </c>
      <c r="P1098" s="58" t="s">
        <v>506</v>
      </c>
      <c r="Q1098" s="58" t="s">
        <v>506</v>
      </c>
      <c r="R1098" s="57">
        <v>14.2</v>
      </c>
    </row>
    <row r="1099" spans="2:18" x14ac:dyDescent="0.4">
      <c r="B1099" s="48" t="s">
        <v>482</v>
      </c>
      <c r="C1099" s="51" t="s">
        <v>255</v>
      </c>
      <c r="D1099" s="49" t="s">
        <v>256</v>
      </c>
      <c r="E1099" s="49" t="str">
        <f>B1099&amp;C1099</f>
        <v>Norfolk, VATAN</v>
      </c>
      <c r="F1099" s="56">
        <v>34.5</v>
      </c>
      <c r="G1099" s="56">
        <v>35.200000000000003</v>
      </c>
      <c r="H1099" s="56">
        <v>41.6</v>
      </c>
      <c r="I1099" s="56">
        <v>50.2</v>
      </c>
      <c r="J1099" s="56">
        <v>58.7</v>
      </c>
      <c r="K1099" s="56">
        <v>68.099999999999994</v>
      </c>
      <c r="L1099" s="56">
        <v>72.7</v>
      </c>
      <c r="M1099" s="56">
        <v>71.599999999999994</v>
      </c>
      <c r="N1099" s="56">
        <v>66.400000000000006</v>
      </c>
      <c r="O1099" s="56">
        <v>54.8</v>
      </c>
      <c r="P1099" s="56">
        <v>45.1</v>
      </c>
      <c r="Q1099" s="56">
        <v>37.200000000000003</v>
      </c>
      <c r="R1099" s="57">
        <v>53</v>
      </c>
    </row>
    <row r="1100" spans="2:18" x14ac:dyDescent="0.4">
      <c r="B1100" s="50"/>
      <c r="C1100" s="51" t="s">
        <v>257</v>
      </c>
      <c r="D1100" s="49" t="s">
        <v>256</v>
      </c>
      <c r="E1100" s="49" t="str">
        <f>B1099&amp;C1100</f>
        <v>Norfolk, VATAX</v>
      </c>
      <c r="F1100" s="56">
        <v>49.3</v>
      </c>
      <c r="G1100" s="56">
        <v>50.9</v>
      </c>
      <c r="H1100" s="56">
        <v>58.3</v>
      </c>
      <c r="I1100" s="56">
        <v>68.099999999999994</v>
      </c>
      <c r="J1100" s="56">
        <v>75.099999999999994</v>
      </c>
      <c r="K1100" s="56">
        <v>83.1</v>
      </c>
      <c r="L1100" s="56">
        <v>87.2</v>
      </c>
      <c r="M1100" s="56">
        <v>85.2</v>
      </c>
      <c r="N1100" s="56">
        <v>79.3</v>
      </c>
      <c r="O1100" s="56">
        <v>70</v>
      </c>
      <c r="P1100" s="56">
        <v>60.6</v>
      </c>
      <c r="Q1100" s="56">
        <v>52.1</v>
      </c>
      <c r="R1100" s="57">
        <v>68.3</v>
      </c>
    </row>
    <row r="1101" spans="2:18" x14ac:dyDescent="0.4">
      <c r="B1101" s="50"/>
      <c r="C1101" s="51" t="s">
        <v>258</v>
      </c>
      <c r="D1101" s="49" t="s">
        <v>259</v>
      </c>
      <c r="E1101" s="49" t="str">
        <f>B1099&amp;C1101</f>
        <v>Norfolk, VAV</v>
      </c>
      <c r="F1101" s="56">
        <v>9.8000000000000007</v>
      </c>
      <c r="G1101" s="56">
        <v>10.1</v>
      </c>
      <c r="H1101" s="56">
        <v>10.5</v>
      </c>
      <c r="I1101" s="56">
        <v>10.7</v>
      </c>
      <c r="J1101" s="56">
        <v>9.8000000000000007</v>
      </c>
      <c r="K1101" s="56">
        <v>8.6999999999999993</v>
      </c>
      <c r="L1101" s="56">
        <v>8.3000000000000007</v>
      </c>
      <c r="M1101" s="56">
        <v>7.8</v>
      </c>
      <c r="N1101" s="56">
        <v>9.1999999999999993</v>
      </c>
      <c r="O1101" s="56">
        <v>8.6999999999999993</v>
      </c>
      <c r="P1101" s="56">
        <v>8.9</v>
      </c>
      <c r="Q1101" s="56">
        <v>9.1999999999999993</v>
      </c>
      <c r="R1101" s="57">
        <v>9.1999999999999993</v>
      </c>
    </row>
    <row r="1102" spans="2:18" x14ac:dyDescent="0.4">
      <c r="B1102" s="50"/>
      <c r="C1102" s="51" t="s">
        <v>260</v>
      </c>
      <c r="D1102" s="49" t="s">
        <v>261</v>
      </c>
      <c r="E1102" s="49" t="str">
        <f>B1099&amp;C1102</f>
        <v>Norfolk, VAI</v>
      </c>
      <c r="F1102" s="56">
        <v>723</v>
      </c>
      <c r="G1102" s="56">
        <v>962</v>
      </c>
      <c r="H1102" s="56">
        <v>1312</v>
      </c>
      <c r="I1102" s="56">
        <v>1674</v>
      </c>
      <c r="J1102" s="56">
        <v>1872</v>
      </c>
      <c r="K1102" s="56">
        <v>1989</v>
      </c>
      <c r="L1102" s="56">
        <v>1940</v>
      </c>
      <c r="M1102" s="56">
        <v>1743</v>
      </c>
      <c r="N1102" s="56">
        <v>1406</v>
      </c>
      <c r="O1102" s="56">
        <v>1101</v>
      </c>
      <c r="P1102" s="56">
        <v>807</v>
      </c>
      <c r="Q1102" s="56">
        <v>655</v>
      </c>
      <c r="R1102" s="57">
        <v>1349</v>
      </c>
    </row>
    <row r="1103" spans="2:18" x14ac:dyDescent="0.4">
      <c r="B1103" s="50"/>
      <c r="C1103" s="51" t="s">
        <v>262</v>
      </c>
      <c r="D1103" s="49" t="s">
        <v>263</v>
      </c>
      <c r="E1103" s="49" t="str">
        <f>B1099&amp;C1103</f>
        <v>Norfolk, VAPA</v>
      </c>
      <c r="F1103" s="58" t="s">
        <v>506</v>
      </c>
      <c r="G1103" s="58" t="s">
        <v>506</v>
      </c>
      <c r="H1103" s="58" t="s">
        <v>506</v>
      </c>
      <c r="I1103" s="58" t="s">
        <v>506</v>
      </c>
      <c r="J1103" s="58" t="s">
        <v>506</v>
      </c>
      <c r="K1103" s="58" t="s">
        <v>506</v>
      </c>
      <c r="L1103" s="58" t="s">
        <v>506</v>
      </c>
      <c r="M1103" s="58" t="s">
        <v>506</v>
      </c>
      <c r="N1103" s="58" t="s">
        <v>506</v>
      </c>
      <c r="O1103" s="58" t="s">
        <v>506</v>
      </c>
      <c r="P1103" s="58" t="s">
        <v>506</v>
      </c>
      <c r="Q1103" s="58" t="s">
        <v>506</v>
      </c>
      <c r="R1103" s="57">
        <v>14.68</v>
      </c>
    </row>
    <row r="1104" spans="2:18" x14ac:dyDescent="0.4">
      <c r="B1104" s="48" t="s">
        <v>483</v>
      </c>
      <c r="C1104" s="51" t="s">
        <v>255</v>
      </c>
      <c r="D1104" s="49" t="s">
        <v>256</v>
      </c>
      <c r="E1104" s="49" t="str">
        <f>B1104&amp;C1104</f>
        <v>Richmond, VATAN</v>
      </c>
      <c r="F1104" s="56">
        <v>30.2</v>
      </c>
      <c r="G1104" s="56">
        <v>31</v>
      </c>
      <c r="H1104" s="56">
        <v>38</v>
      </c>
      <c r="I1104" s="56">
        <v>47.2</v>
      </c>
      <c r="J1104" s="56">
        <v>55.8</v>
      </c>
      <c r="K1104" s="56">
        <v>65.2</v>
      </c>
      <c r="L1104" s="56">
        <v>69.5</v>
      </c>
      <c r="M1104" s="56">
        <v>68.3</v>
      </c>
      <c r="N1104" s="56">
        <v>61.2</v>
      </c>
      <c r="O1104" s="56">
        <v>49.2</v>
      </c>
      <c r="P1104" s="56">
        <v>40.200000000000003</v>
      </c>
      <c r="Q1104" s="56">
        <v>32.299999999999997</v>
      </c>
      <c r="R1104" s="57">
        <v>49</v>
      </c>
    </row>
    <row r="1105" spans="2:18" x14ac:dyDescent="0.4">
      <c r="B1105" s="50"/>
      <c r="C1105" s="51" t="s">
        <v>257</v>
      </c>
      <c r="D1105" s="49" t="s">
        <v>256</v>
      </c>
      <c r="E1105" s="49" t="str">
        <f>B1104&amp;C1105</f>
        <v>Richmond, VATAX</v>
      </c>
      <c r="F1105" s="56">
        <v>47.5</v>
      </c>
      <c r="G1105" s="56">
        <v>50.5</v>
      </c>
      <c r="H1105" s="56">
        <v>59</v>
      </c>
      <c r="I1105" s="56">
        <v>69.7</v>
      </c>
      <c r="J1105" s="56">
        <v>76.599999999999994</v>
      </c>
      <c r="K1105" s="56">
        <v>84.7</v>
      </c>
      <c r="L1105" s="56">
        <v>88.5</v>
      </c>
      <c r="M1105" s="56">
        <v>86.9</v>
      </c>
      <c r="N1105" s="56">
        <v>80.3</v>
      </c>
      <c r="O1105" s="56">
        <v>70.2</v>
      </c>
      <c r="P1105" s="56">
        <v>60.2</v>
      </c>
      <c r="Q1105" s="56">
        <v>50.1</v>
      </c>
      <c r="R1105" s="57">
        <v>68.7</v>
      </c>
    </row>
    <row r="1106" spans="2:18" x14ac:dyDescent="0.4">
      <c r="B1106" s="50"/>
      <c r="C1106" s="51" t="s">
        <v>258</v>
      </c>
      <c r="D1106" s="49" t="s">
        <v>259</v>
      </c>
      <c r="E1106" s="49" t="str">
        <f>B1104&amp;C1106</f>
        <v>Richmond, VAV</v>
      </c>
      <c r="F1106" s="56">
        <v>8.3000000000000007</v>
      </c>
      <c r="G1106" s="56">
        <v>8.5</v>
      </c>
      <c r="H1106" s="56">
        <v>9.1999999999999993</v>
      </c>
      <c r="I1106" s="56">
        <v>8.9</v>
      </c>
      <c r="J1106" s="56">
        <v>7.8</v>
      </c>
      <c r="K1106" s="56">
        <v>7.2</v>
      </c>
      <c r="L1106" s="56">
        <v>6.7</v>
      </c>
      <c r="M1106" s="56">
        <v>6.3</v>
      </c>
      <c r="N1106" s="56">
        <v>6.9</v>
      </c>
      <c r="O1106" s="56">
        <v>6.7</v>
      </c>
      <c r="P1106" s="56">
        <v>7.4</v>
      </c>
      <c r="Q1106" s="56">
        <v>7.6</v>
      </c>
      <c r="R1106" s="57">
        <v>7.6</v>
      </c>
    </row>
    <row r="1107" spans="2:18" x14ac:dyDescent="0.4">
      <c r="B1107" s="50"/>
      <c r="C1107" s="51" t="s">
        <v>260</v>
      </c>
      <c r="D1107" s="49" t="s">
        <v>261</v>
      </c>
      <c r="E1107" s="49" t="str">
        <f>B1104&amp;C1107</f>
        <v>Richmond, VAI</v>
      </c>
      <c r="F1107" s="56">
        <v>723</v>
      </c>
      <c r="G1107" s="56">
        <v>993</v>
      </c>
      <c r="H1107" s="56">
        <v>1305</v>
      </c>
      <c r="I1107" s="56">
        <v>1650</v>
      </c>
      <c r="J1107" s="56">
        <v>1856</v>
      </c>
      <c r="K1107" s="56">
        <v>1986</v>
      </c>
      <c r="L1107" s="56">
        <v>1890</v>
      </c>
      <c r="M1107" s="56">
        <v>1735</v>
      </c>
      <c r="N1107" s="56">
        <v>1415</v>
      </c>
      <c r="O1107" s="56">
        <v>1099</v>
      </c>
      <c r="P1107" s="56">
        <v>798</v>
      </c>
      <c r="Q1107" s="56">
        <v>649</v>
      </c>
      <c r="R1107" s="57">
        <v>1341</v>
      </c>
    </row>
    <row r="1108" spans="2:18" x14ac:dyDescent="0.4">
      <c r="B1108" s="50"/>
      <c r="C1108" s="51" t="s">
        <v>262</v>
      </c>
      <c r="D1108" s="49" t="s">
        <v>263</v>
      </c>
      <c r="E1108" s="49" t="str">
        <f>B1104&amp;C1108</f>
        <v>Richmond, VAPA</v>
      </c>
      <c r="F1108" s="58" t="s">
        <v>506</v>
      </c>
      <c r="G1108" s="58" t="s">
        <v>506</v>
      </c>
      <c r="H1108" s="58" t="s">
        <v>506</v>
      </c>
      <c r="I1108" s="58" t="s">
        <v>506</v>
      </c>
      <c r="J1108" s="58" t="s">
        <v>506</v>
      </c>
      <c r="K1108" s="58" t="s">
        <v>506</v>
      </c>
      <c r="L1108" s="58" t="s">
        <v>506</v>
      </c>
      <c r="M1108" s="58" t="s">
        <v>506</v>
      </c>
      <c r="N1108" s="58" t="s">
        <v>506</v>
      </c>
      <c r="O1108" s="58" t="s">
        <v>506</v>
      </c>
      <c r="P1108" s="58" t="s">
        <v>506</v>
      </c>
      <c r="Q1108" s="58" t="s">
        <v>506</v>
      </c>
      <c r="R1108" s="57">
        <v>14.61</v>
      </c>
    </row>
    <row r="1109" spans="2:18" x14ac:dyDescent="0.4">
      <c r="B1109" s="48" t="s">
        <v>484</v>
      </c>
      <c r="C1109" s="51" t="s">
        <v>255</v>
      </c>
      <c r="D1109" s="49" t="s">
        <v>256</v>
      </c>
      <c r="E1109" s="49" t="str">
        <f>B1109&amp;C1109</f>
        <v>Roanoke, VATAN</v>
      </c>
      <c r="F1109" s="56">
        <v>29.4</v>
      </c>
      <c r="G1109" s="56">
        <v>31</v>
      </c>
      <c r="H1109" s="56">
        <v>37.9</v>
      </c>
      <c r="I1109" s="56">
        <v>46.7</v>
      </c>
      <c r="J1109" s="56">
        <v>54.7</v>
      </c>
      <c r="K1109" s="56">
        <v>63.4</v>
      </c>
      <c r="L1109" s="56">
        <v>67.2</v>
      </c>
      <c r="M1109" s="56">
        <v>66.2</v>
      </c>
      <c r="N1109" s="56">
        <v>58.8</v>
      </c>
      <c r="O1109" s="56">
        <v>47.7</v>
      </c>
      <c r="P1109" s="56">
        <v>38.700000000000003</v>
      </c>
      <c r="Q1109" s="56">
        <v>31.3</v>
      </c>
      <c r="R1109" s="57">
        <v>47.8</v>
      </c>
    </row>
    <row r="1110" spans="2:18" x14ac:dyDescent="0.4">
      <c r="B1110" s="50"/>
      <c r="C1110" s="51" t="s">
        <v>257</v>
      </c>
      <c r="D1110" s="49" t="s">
        <v>256</v>
      </c>
      <c r="E1110" s="49" t="str">
        <f>B1109&amp;C1110</f>
        <v>Roanoke, VATAX</v>
      </c>
      <c r="F1110" s="56">
        <v>45.8</v>
      </c>
      <c r="G1110" s="56">
        <v>48.7</v>
      </c>
      <c r="H1110" s="56">
        <v>57.3</v>
      </c>
      <c r="I1110" s="56">
        <v>67.8</v>
      </c>
      <c r="J1110" s="56">
        <v>75</v>
      </c>
      <c r="K1110" s="56">
        <v>82.3</v>
      </c>
      <c r="L1110" s="56">
        <v>85.9</v>
      </c>
      <c r="M1110" s="56">
        <v>85.1</v>
      </c>
      <c r="N1110" s="56">
        <v>78</v>
      </c>
      <c r="O1110" s="56">
        <v>68.400000000000006</v>
      </c>
      <c r="P1110" s="56">
        <v>57.7</v>
      </c>
      <c r="Q1110" s="56">
        <v>47.4</v>
      </c>
      <c r="R1110" s="57">
        <v>66.599999999999994</v>
      </c>
    </row>
    <row r="1111" spans="2:18" x14ac:dyDescent="0.4">
      <c r="B1111" s="50"/>
      <c r="C1111" s="51" t="s">
        <v>258</v>
      </c>
      <c r="D1111" s="49" t="s">
        <v>259</v>
      </c>
      <c r="E1111" s="49" t="str">
        <f>B1109&amp;C1111</f>
        <v>Roanoke, VAV</v>
      </c>
      <c r="F1111" s="56">
        <v>8.1</v>
      </c>
      <c r="G1111" s="56">
        <v>8.1</v>
      </c>
      <c r="H1111" s="56">
        <v>8.3000000000000007</v>
      </c>
      <c r="I1111" s="56">
        <v>7.8</v>
      </c>
      <c r="J1111" s="56">
        <v>6.5</v>
      </c>
      <c r="K1111" s="56">
        <v>5.8</v>
      </c>
      <c r="L1111" s="56">
        <v>5.6</v>
      </c>
      <c r="M1111" s="56">
        <v>4.9000000000000004</v>
      </c>
      <c r="N1111" s="56">
        <v>5.0999999999999996</v>
      </c>
      <c r="O1111" s="56">
        <v>5.6</v>
      </c>
      <c r="P1111" s="56">
        <v>6.5</v>
      </c>
      <c r="Q1111" s="56">
        <v>7.4</v>
      </c>
      <c r="R1111" s="57">
        <v>6.7</v>
      </c>
    </row>
    <row r="1112" spans="2:18" x14ac:dyDescent="0.4">
      <c r="B1112" s="50"/>
      <c r="C1112" s="51" t="s">
        <v>260</v>
      </c>
      <c r="D1112" s="49" t="s">
        <v>261</v>
      </c>
      <c r="E1112" s="49" t="str">
        <f>B1109&amp;C1112</f>
        <v>Roanoke, VAI</v>
      </c>
      <c r="F1112" s="56">
        <v>729</v>
      </c>
      <c r="G1112" s="56">
        <v>986</v>
      </c>
      <c r="H1112" s="56">
        <v>1293</v>
      </c>
      <c r="I1112" s="56">
        <v>1611</v>
      </c>
      <c r="J1112" s="56">
        <v>1795</v>
      </c>
      <c r="K1112" s="56">
        <v>1892</v>
      </c>
      <c r="L1112" s="56">
        <v>1860</v>
      </c>
      <c r="M1112" s="56">
        <v>1699</v>
      </c>
      <c r="N1112" s="56">
        <v>1395</v>
      </c>
      <c r="O1112" s="56">
        <v>1104</v>
      </c>
      <c r="P1112" s="56">
        <v>781</v>
      </c>
      <c r="Q1112" s="56">
        <v>646</v>
      </c>
      <c r="R1112" s="57">
        <v>1316</v>
      </c>
    </row>
    <row r="1113" spans="2:18" x14ac:dyDescent="0.4">
      <c r="B1113" s="50"/>
      <c r="C1113" s="51" t="s">
        <v>262</v>
      </c>
      <c r="D1113" s="49" t="s">
        <v>263</v>
      </c>
      <c r="E1113" s="49" t="str">
        <f>B1109&amp;C1113</f>
        <v>Roanoke, VAPA</v>
      </c>
      <c r="F1113" s="58" t="s">
        <v>506</v>
      </c>
      <c r="G1113" s="58" t="s">
        <v>506</v>
      </c>
      <c r="H1113" s="58" t="s">
        <v>506</v>
      </c>
      <c r="I1113" s="58" t="s">
        <v>506</v>
      </c>
      <c r="J1113" s="58" t="s">
        <v>506</v>
      </c>
      <c r="K1113" s="58" t="s">
        <v>506</v>
      </c>
      <c r="L1113" s="58" t="s">
        <v>506</v>
      </c>
      <c r="M1113" s="58" t="s">
        <v>506</v>
      </c>
      <c r="N1113" s="58" t="s">
        <v>506</v>
      </c>
      <c r="O1113" s="58" t="s">
        <v>506</v>
      </c>
      <c r="P1113" s="58" t="s">
        <v>506</v>
      </c>
      <c r="Q1113" s="58" t="s">
        <v>506</v>
      </c>
      <c r="R1113" s="57">
        <v>14.1</v>
      </c>
    </row>
    <row r="1114" spans="2:18" x14ac:dyDescent="0.4">
      <c r="B1114" s="48" t="s">
        <v>485</v>
      </c>
      <c r="C1114" s="51" t="s">
        <v>255</v>
      </c>
      <c r="D1114" s="49" t="s">
        <v>256</v>
      </c>
      <c r="E1114" s="49" t="str">
        <f>B1114&amp;C1114</f>
        <v>Olympia, WATAN</v>
      </c>
      <c r="F1114" s="56">
        <v>33.799999999999997</v>
      </c>
      <c r="G1114" s="56">
        <v>32.9</v>
      </c>
      <c r="H1114" s="56">
        <v>35.299999999999997</v>
      </c>
      <c r="I1114" s="56">
        <v>38</v>
      </c>
      <c r="J1114" s="56">
        <v>43.4</v>
      </c>
      <c r="K1114" s="56">
        <v>47.8</v>
      </c>
      <c r="L1114" s="56">
        <v>51.3</v>
      </c>
      <c r="M1114" s="56">
        <v>50.9</v>
      </c>
      <c r="N1114" s="56">
        <v>46.4</v>
      </c>
      <c r="O1114" s="56">
        <v>40.9</v>
      </c>
      <c r="P1114" s="56">
        <v>36.6</v>
      </c>
      <c r="Q1114" s="56">
        <v>33.4</v>
      </c>
      <c r="R1114" s="57">
        <v>40.9</v>
      </c>
    </row>
    <row r="1115" spans="2:18" x14ac:dyDescent="0.4">
      <c r="B1115" s="50"/>
      <c r="C1115" s="51" t="s">
        <v>257</v>
      </c>
      <c r="D1115" s="49" t="s">
        <v>256</v>
      </c>
      <c r="E1115" s="49" t="str">
        <f>B1114&amp;C1115</f>
        <v>Olympia, WATAX</v>
      </c>
      <c r="F1115" s="56">
        <v>45.7</v>
      </c>
      <c r="G1115" s="56">
        <v>49.3</v>
      </c>
      <c r="H1115" s="56">
        <v>53.2</v>
      </c>
      <c r="I1115" s="56">
        <v>58</v>
      </c>
      <c r="J1115" s="56">
        <v>64.900000000000006</v>
      </c>
      <c r="K1115" s="56">
        <v>69.7</v>
      </c>
      <c r="L1115" s="56">
        <v>76.7</v>
      </c>
      <c r="M1115" s="56">
        <v>76.599999999999994</v>
      </c>
      <c r="N1115" s="56">
        <v>71.5</v>
      </c>
      <c r="O1115" s="56">
        <v>59.7</v>
      </c>
      <c r="P1115" s="56">
        <v>50.2</v>
      </c>
      <c r="Q1115" s="56">
        <v>44.5</v>
      </c>
      <c r="R1115" s="57">
        <v>60</v>
      </c>
    </row>
    <row r="1116" spans="2:18" x14ac:dyDescent="0.4">
      <c r="B1116" s="50"/>
      <c r="C1116" s="51" t="s">
        <v>258</v>
      </c>
      <c r="D1116" s="49" t="s">
        <v>259</v>
      </c>
      <c r="E1116" s="49" t="str">
        <f>B1114&amp;C1116</f>
        <v>Olympia, WAV</v>
      </c>
      <c r="F1116" s="56">
        <v>6</v>
      </c>
      <c r="G1116" s="56">
        <v>5.6</v>
      </c>
      <c r="H1116" s="56">
        <v>6.3</v>
      </c>
      <c r="I1116" s="56">
        <v>6.3</v>
      </c>
      <c r="J1116" s="56">
        <v>6</v>
      </c>
      <c r="K1116" s="56">
        <v>6</v>
      </c>
      <c r="L1116" s="56">
        <v>5.4</v>
      </c>
      <c r="M1116" s="56">
        <v>4.9000000000000004</v>
      </c>
      <c r="N1116" s="56">
        <v>4.7</v>
      </c>
      <c r="O1116" s="56">
        <v>5.0999999999999996</v>
      </c>
      <c r="P1116" s="56">
        <v>6</v>
      </c>
      <c r="Q1116" s="56">
        <v>6</v>
      </c>
      <c r="R1116" s="57">
        <v>5.6</v>
      </c>
    </row>
    <row r="1117" spans="2:18" x14ac:dyDescent="0.4">
      <c r="B1117" s="50"/>
      <c r="C1117" s="51" t="s">
        <v>260</v>
      </c>
      <c r="D1117" s="49" t="s">
        <v>261</v>
      </c>
      <c r="E1117" s="49" t="str">
        <f>B1114&amp;C1117</f>
        <v>Olympia, WAI</v>
      </c>
      <c r="F1117" s="56">
        <v>319</v>
      </c>
      <c r="G1117" s="56">
        <v>562</v>
      </c>
      <c r="H1117" s="56">
        <v>866</v>
      </c>
      <c r="I1117" s="56">
        <v>1257</v>
      </c>
      <c r="J1117" s="56">
        <v>1574</v>
      </c>
      <c r="K1117" s="56">
        <v>1721</v>
      </c>
      <c r="L1117" s="56">
        <v>1876</v>
      </c>
      <c r="M1117" s="56">
        <v>1624</v>
      </c>
      <c r="N1117" s="56">
        <v>1257</v>
      </c>
      <c r="O1117" s="56">
        <v>676</v>
      </c>
      <c r="P1117" s="56">
        <v>352</v>
      </c>
      <c r="Q1117" s="56">
        <v>264</v>
      </c>
      <c r="R1117" s="57">
        <v>1029</v>
      </c>
    </row>
    <row r="1118" spans="2:18" x14ac:dyDescent="0.4">
      <c r="B1118" s="50"/>
      <c r="C1118" s="51" t="s">
        <v>262</v>
      </c>
      <c r="D1118" s="49" t="s">
        <v>263</v>
      </c>
      <c r="E1118" s="49" t="str">
        <f>B1114&amp;C1118</f>
        <v>Olympia, WAPA</v>
      </c>
      <c r="F1118" s="58" t="s">
        <v>506</v>
      </c>
      <c r="G1118" s="58" t="s">
        <v>506</v>
      </c>
      <c r="H1118" s="58" t="s">
        <v>506</v>
      </c>
      <c r="I1118" s="58" t="s">
        <v>506</v>
      </c>
      <c r="J1118" s="58" t="s">
        <v>506</v>
      </c>
      <c r="K1118" s="58" t="s">
        <v>506</v>
      </c>
      <c r="L1118" s="58" t="s">
        <v>506</v>
      </c>
      <c r="M1118" s="58" t="s">
        <v>506</v>
      </c>
      <c r="N1118" s="58" t="s">
        <v>506</v>
      </c>
      <c r="O1118" s="58" t="s">
        <v>506</v>
      </c>
      <c r="P1118" s="58" t="s">
        <v>506</v>
      </c>
      <c r="Q1118" s="58" t="s">
        <v>506</v>
      </c>
      <c r="R1118" s="57">
        <v>14.58</v>
      </c>
    </row>
    <row r="1119" spans="2:18" x14ac:dyDescent="0.4">
      <c r="B1119" s="48" t="s">
        <v>486</v>
      </c>
      <c r="C1119" s="51" t="s">
        <v>255</v>
      </c>
      <c r="D1119" s="49" t="s">
        <v>256</v>
      </c>
      <c r="E1119" s="49" t="str">
        <f>B1119&amp;C1119</f>
        <v>Quillayute, WATAN</v>
      </c>
      <c r="F1119" s="56">
        <v>36.4</v>
      </c>
      <c r="G1119" s="56">
        <v>35.6</v>
      </c>
      <c r="H1119" s="56">
        <v>37</v>
      </c>
      <c r="I1119" s="56">
        <v>39.1</v>
      </c>
      <c r="J1119" s="56">
        <v>43.5</v>
      </c>
      <c r="K1119" s="56">
        <v>47.9</v>
      </c>
      <c r="L1119" s="56">
        <v>51.2</v>
      </c>
      <c r="M1119" s="56">
        <v>51</v>
      </c>
      <c r="N1119" s="56">
        <v>47.5</v>
      </c>
      <c r="O1119" s="56">
        <v>42.4</v>
      </c>
      <c r="P1119" s="56">
        <v>38.6</v>
      </c>
      <c r="Q1119" s="56">
        <v>35.700000000000003</v>
      </c>
      <c r="R1119" s="57">
        <v>42.2</v>
      </c>
    </row>
    <row r="1120" spans="2:18" x14ac:dyDescent="0.4">
      <c r="B1120" s="50"/>
      <c r="C1120" s="51" t="s">
        <v>257</v>
      </c>
      <c r="D1120" s="49" t="s">
        <v>256</v>
      </c>
      <c r="E1120" s="49" t="str">
        <f>B1119&amp;C1120</f>
        <v>Quillayute, WATAX</v>
      </c>
      <c r="F1120" s="56">
        <v>47.1</v>
      </c>
      <c r="G1120" s="56">
        <v>49.5</v>
      </c>
      <c r="H1120" s="56">
        <v>50.8</v>
      </c>
      <c r="I1120" s="56">
        <v>54.2</v>
      </c>
      <c r="J1120" s="56">
        <v>59.1</v>
      </c>
      <c r="K1120" s="56">
        <v>62.7</v>
      </c>
      <c r="L1120" s="56">
        <v>66.900000000000006</v>
      </c>
      <c r="M1120" s="56">
        <v>67.599999999999994</v>
      </c>
      <c r="N1120" s="56">
        <v>65.8</v>
      </c>
      <c r="O1120" s="56">
        <v>57.9</v>
      </c>
      <c r="P1120" s="56">
        <v>50.7</v>
      </c>
      <c r="Q1120" s="56">
        <v>46.5</v>
      </c>
      <c r="R1120" s="57">
        <v>56.6</v>
      </c>
    </row>
    <row r="1121" spans="2:18" x14ac:dyDescent="0.4">
      <c r="B1121" s="50"/>
      <c r="C1121" s="51" t="s">
        <v>258</v>
      </c>
      <c r="D1121" s="49" t="s">
        <v>259</v>
      </c>
      <c r="E1121" s="49" t="str">
        <f>B1119&amp;C1121</f>
        <v>Quillayute, WAV</v>
      </c>
      <c r="F1121" s="56">
        <v>6.5</v>
      </c>
      <c r="G1121" s="56">
        <v>6</v>
      </c>
      <c r="H1121" s="56">
        <v>6.3</v>
      </c>
      <c r="I1121" s="56">
        <v>5.8</v>
      </c>
      <c r="J1121" s="56">
        <v>5.4</v>
      </c>
      <c r="K1121" s="56">
        <v>4.9000000000000004</v>
      </c>
      <c r="L1121" s="56">
        <v>4.7</v>
      </c>
      <c r="M1121" s="56">
        <v>4.5</v>
      </c>
      <c r="N1121" s="56">
        <v>4</v>
      </c>
      <c r="O1121" s="56">
        <v>4.9000000000000004</v>
      </c>
      <c r="P1121" s="56">
        <v>6</v>
      </c>
      <c r="Q1121" s="56">
        <v>6.3</v>
      </c>
      <c r="R1121" s="57">
        <v>5.4</v>
      </c>
    </row>
    <row r="1122" spans="2:18" x14ac:dyDescent="0.4">
      <c r="B1122" s="50"/>
      <c r="C1122" s="51" t="s">
        <v>260</v>
      </c>
      <c r="D1122" s="49" t="s">
        <v>261</v>
      </c>
      <c r="E1122" s="49" t="str">
        <f>B1119&amp;C1122</f>
        <v>Quillayute, WAI</v>
      </c>
      <c r="F1122" s="56">
        <v>304</v>
      </c>
      <c r="G1122" s="56">
        <v>556</v>
      </c>
      <c r="H1122" s="56">
        <v>831</v>
      </c>
      <c r="I1122" s="56">
        <v>1225</v>
      </c>
      <c r="J1122" s="56">
        <v>1520</v>
      </c>
      <c r="K1122" s="56">
        <v>1600</v>
      </c>
      <c r="L1122" s="56">
        <v>1681</v>
      </c>
      <c r="M1122" s="56">
        <v>1469</v>
      </c>
      <c r="N1122" s="56">
        <v>1170</v>
      </c>
      <c r="O1122" s="56">
        <v>653</v>
      </c>
      <c r="P1122" s="56">
        <v>351</v>
      </c>
      <c r="Q1122" s="56">
        <v>257</v>
      </c>
      <c r="R1122" s="57">
        <v>968</v>
      </c>
    </row>
    <row r="1123" spans="2:18" x14ac:dyDescent="0.4">
      <c r="B1123" s="50"/>
      <c r="C1123" s="51" t="s">
        <v>262</v>
      </c>
      <c r="D1123" s="49" t="s">
        <v>263</v>
      </c>
      <c r="E1123" s="49" t="str">
        <f>B1119&amp;C1123</f>
        <v>Quillayute, WAPA</v>
      </c>
      <c r="F1123" s="58" t="s">
        <v>506</v>
      </c>
      <c r="G1123" s="58" t="s">
        <v>506</v>
      </c>
      <c r="H1123" s="58" t="s">
        <v>506</v>
      </c>
      <c r="I1123" s="58" t="s">
        <v>506</v>
      </c>
      <c r="J1123" s="58" t="s">
        <v>506</v>
      </c>
      <c r="K1123" s="58" t="s">
        <v>506</v>
      </c>
      <c r="L1123" s="58" t="s">
        <v>506</v>
      </c>
      <c r="M1123" s="58" t="s">
        <v>506</v>
      </c>
      <c r="N1123" s="58" t="s">
        <v>506</v>
      </c>
      <c r="O1123" s="58" t="s">
        <v>506</v>
      </c>
      <c r="P1123" s="58" t="s">
        <v>506</v>
      </c>
      <c r="Q1123" s="58" t="s">
        <v>506</v>
      </c>
      <c r="R1123" s="57">
        <v>14.59</v>
      </c>
    </row>
    <row r="1124" spans="2:18" x14ac:dyDescent="0.4">
      <c r="B1124" s="48" t="s">
        <v>487</v>
      </c>
      <c r="C1124" s="51" t="s">
        <v>255</v>
      </c>
      <c r="D1124" s="49" t="s">
        <v>256</v>
      </c>
      <c r="E1124" s="49" t="str">
        <f>B1124&amp;C1124</f>
        <v>Seattle, WATAN</v>
      </c>
      <c r="F1124" s="56">
        <v>37.6</v>
      </c>
      <c r="G1124" s="56">
        <v>37.799999999999997</v>
      </c>
      <c r="H1124" s="56">
        <v>39.700000000000003</v>
      </c>
      <c r="I1124" s="56">
        <v>42.8</v>
      </c>
      <c r="J1124" s="56">
        <v>48</v>
      </c>
      <c r="K1124" s="56">
        <v>52.4</v>
      </c>
      <c r="L1124" s="56">
        <v>56.4</v>
      </c>
      <c r="M1124" s="56">
        <v>56.5</v>
      </c>
      <c r="N1124" s="56">
        <v>52.9</v>
      </c>
      <c r="O1124" s="56">
        <v>46.5</v>
      </c>
      <c r="P1124" s="56">
        <v>40.5</v>
      </c>
      <c r="Q1124" s="56">
        <v>36.799999999999997</v>
      </c>
      <c r="R1124" s="57">
        <v>45.7</v>
      </c>
    </row>
    <row r="1125" spans="2:18" x14ac:dyDescent="0.4">
      <c r="B1125" s="50"/>
      <c r="C1125" s="51" t="s">
        <v>257</v>
      </c>
      <c r="D1125" s="49" t="s">
        <v>256</v>
      </c>
      <c r="E1125" s="49" t="str">
        <f>B1124&amp;C1125</f>
        <v>Seattle, WATAX</v>
      </c>
      <c r="F1125" s="56">
        <v>46.4</v>
      </c>
      <c r="G1125" s="56">
        <v>49.4</v>
      </c>
      <c r="H1125" s="56">
        <v>52.4</v>
      </c>
      <c r="I1125" s="56">
        <v>57.2</v>
      </c>
      <c r="J1125" s="56">
        <v>63.7</v>
      </c>
      <c r="K1125" s="56">
        <v>68.5</v>
      </c>
      <c r="L1125" s="56">
        <v>75.099999999999994</v>
      </c>
      <c r="M1125" s="56">
        <v>74.8</v>
      </c>
      <c r="N1125" s="56">
        <v>69.5</v>
      </c>
      <c r="O1125" s="56">
        <v>58.6</v>
      </c>
      <c r="P1125" s="56">
        <v>50.3</v>
      </c>
      <c r="Q1125" s="56">
        <v>45.4</v>
      </c>
      <c r="R1125" s="57">
        <v>59.3</v>
      </c>
    </row>
    <row r="1126" spans="2:18" x14ac:dyDescent="0.4">
      <c r="B1126" s="50"/>
      <c r="C1126" s="51" t="s">
        <v>258</v>
      </c>
      <c r="D1126" s="49" t="s">
        <v>259</v>
      </c>
      <c r="E1126" s="49" t="str">
        <f>B1124&amp;C1126</f>
        <v>Seattle, WAV</v>
      </c>
      <c r="F1126" s="56">
        <v>8.5</v>
      </c>
      <c r="G1126" s="56">
        <v>8.3000000000000007</v>
      </c>
      <c r="H1126" s="56">
        <v>8.5</v>
      </c>
      <c r="I1126" s="56">
        <v>7.8</v>
      </c>
      <c r="J1126" s="56">
        <v>7.6</v>
      </c>
      <c r="K1126" s="56">
        <v>7.6</v>
      </c>
      <c r="L1126" s="56">
        <v>7.2</v>
      </c>
      <c r="M1126" s="56">
        <v>6.9</v>
      </c>
      <c r="N1126" s="56">
        <v>6.7</v>
      </c>
      <c r="O1126" s="56">
        <v>7.2</v>
      </c>
      <c r="P1126" s="56">
        <v>8.1</v>
      </c>
      <c r="Q1126" s="56">
        <v>8.6999999999999993</v>
      </c>
      <c r="R1126" s="57">
        <v>7.8</v>
      </c>
    </row>
    <row r="1127" spans="2:18" x14ac:dyDescent="0.4">
      <c r="B1127" s="50"/>
      <c r="C1127" s="51" t="s">
        <v>260</v>
      </c>
      <c r="D1127" s="49" t="s">
        <v>261</v>
      </c>
      <c r="E1127" s="49" t="str">
        <f>B1124&amp;C1127</f>
        <v>Seattle, WAI</v>
      </c>
      <c r="F1127" s="56">
        <v>316</v>
      </c>
      <c r="G1127" s="56">
        <v>595</v>
      </c>
      <c r="H1127" s="56">
        <v>882</v>
      </c>
      <c r="I1127" s="56">
        <v>1329</v>
      </c>
      <c r="J1127" s="56">
        <v>1678</v>
      </c>
      <c r="K1127" s="56">
        <v>1842</v>
      </c>
      <c r="L1127" s="56">
        <v>1951</v>
      </c>
      <c r="M1127" s="56">
        <v>1679</v>
      </c>
      <c r="N1127" s="56">
        <v>1235</v>
      </c>
      <c r="O1127" s="56">
        <v>671</v>
      </c>
      <c r="P1127" s="56">
        <v>356</v>
      </c>
      <c r="Q1127" s="56">
        <v>267</v>
      </c>
      <c r="R1127" s="57">
        <v>1067</v>
      </c>
    </row>
    <row r="1128" spans="2:18" x14ac:dyDescent="0.4">
      <c r="B1128" s="50"/>
      <c r="C1128" s="51" t="s">
        <v>262</v>
      </c>
      <c r="D1128" s="49" t="s">
        <v>263</v>
      </c>
      <c r="E1128" s="49" t="str">
        <f>B1124&amp;C1128</f>
        <v>Seattle, WAPA</v>
      </c>
      <c r="F1128" s="58" t="s">
        <v>506</v>
      </c>
      <c r="G1128" s="58" t="s">
        <v>506</v>
      </c>
      <c r="H1128" s="58" t="s">
        <v>506</v>
      </c>
      <c r="I1128" s="58" t="s">
        <v>506</v>
      </c>
      <c r="J1128" s="58" t="s">
        <v>506</v>
      </c>
      <c r="K1128" s="58" t="s">
        <v>506</v>
      </c>
      <c r="L1128" s="58" t="s">
        <v>506</v>
      </c>
      <c r="M1128" s="58" t="s">
        <v>506</v>
      </c>
      <c r="N1128" s="58" t="s">
        <v>506</v>
      </c>
      <c r="O1128" s="58" t="s">
        <v>506</v>
      </c>
      <c r="P1128" s="58" t="s">
        <v>506</v>
      </c>
      <c r="Q1128" s="58" t="s">
        <v>506</v>
      </c>
      <c r="R1128" s="57">
        <v>14.47</v>
      </c>
    </row>
    <row r="1129" spans="2:18" x14ac:dyDescent="0.4">
      <c r="B1129" s="48" t="s">
        <v>488</v>
      </c>
      <c r="C1129" s="51" t="s">
        <v>255</v>
      </c>
      <c r="D1129" s="49" t="s">
        <v>256</v>
      </c>
      <c r="E1129" s="49" t="str">
        <f>B1129&amp;C1129</f>
        <v>Spokane, WATAN</v>
      </c>
      <c r="F1129" s="56">
        <v>24.3</v>
      </c>
      <c r="G1129" s="56">
        <v>26.4</v>
      </c>
      <c r="H1129" s="56">
        <v>30.9</v>
      </c>
      <c r="I1129" s="56">
        <v>36.4</v>
      </c>
      <c r="J1129" s="56">
        <v>43.8</v>
      </c>
      <c r="K1129" s="56">
        <v>49.9</v>
      </c>
      <c r="L1129" s="56">
        <v>56.7</v>
      </c>
      <c r="M1129" s="56">
        <v>55.7</v>
      </c>
      <c r="N1129" s="56">
        <v>47.7</v>
      </c>
      <c r="O1129" s="56">
        <v>37.299999999999997</v>
      </c>
      <c r="P1129" s="56">
        <v>29.3</v>
      </c>
      <c r="Q1129" s="56">
        <v>23.7</v>
      </c>
      <c r="R1129" s="57">
        <v>38.5</v>
      </c>
    </row>
    <row r="1130" spans="2:18" x14ac:dyDescent="0.4">
      <c r="B1130" s="50"/>
      <c r="C1130" s="51" t="s">
        <v>257</v>
      </c>
      <c r="D1130" s="49" t="s">
        <v>256</v>
      </c>
      <c r="E1130" s="49" t="str">
        <f>B1129&amp;C1130</f>
        <v>Spokane, WATAX</v>
      </c>
      <c r="F1130" s="56">
        <v>34.1</v>
      </c>
      <c r="G1130" s="56">
        <v>39.700000000000003</v>
      </c>
      <c r="H1130" s="56">
        <v>48.1</v>
      </c>
      <c r="I1130" s="56">
        <v>56</v>
      </c>
      <c r="J1130" s="56">
        <v>65.8</v>
      </c>
      <c r="K1130" s="56">
        <v>72.5</v>
      </c>
      <c r="L1130" s="56">
        <v>83.2</v>
      </c>
      <c r="M1130" s="56">
        <v>82.2</v>
      </c>
      <c r="N1130" s="56">
        <v>72.8</v>
      </c>
      <c r="O1130" s="56">
        <v>57.2</v>
      </c>
      <c r="P1130" s="56">
        <v>41.5</v>
      </c>
      <c r="Q1130" s="56">
        <v>33</v>
      </c>
      <c r="R1130" s="57">
        <v>57.2</v>
      </c>
    </row>
    <row r="1131" spans="2:18" x14ac:dyDescent="0.4">
      <c r="B1131" s="50"/>
      <c r="C1131" s="51" t="s">
        <v>258</v>
      </c>
      <c r="D1131" s="49" t="s">
        <v>259</v>
      </c>
      <c r="E1131" s="49" t="str">
        <f>B1129&amp;C1131</f>
        <v>Spokane, WAV</v>
      </c>
      <c r="F1131" s="56">
        <v>8.3000000000000007</v>
      </c>
      <c r="G1131" s="56">
        <v>8.3000000000000007</v>
      </c>
      <c r="H1131" s="56">
        <v>9.6</v>
      </c>
      <c r="I1131" s="56">
        <v>9.6</v>
      </c>
      <c r="J1131" s="56">
        <v>9.4</v>
      </c>
      <c r="K1131" s="56">
        <v>9.1999999999999993</v>
      </c>
      <c r="L1131" s="56">
        <v>8.5</v>
      </c>
      <c r="M1131" s="56">
        <v>8.1</v>
      </c>
      <c r="N1131" s="56">
        <v>7.8</v>
      </c>
      <c r="O1131" s="56">
        <v>8.1</v>
      </c>
      <c r="P1131" s="56">
        <v>8.3000000000000007</v>
      </c>
      <c r="Q1131" s="56">
        <v>8.3000000000000007</v>
      </c>
      <c r="R1131" s="57">
        <v>8.6999999999999993</v>
      </c>
    </row>
    <row r="1132" spans="2:18" x14ac:dyDescent="0.4">
      <c r="B1132" s="50"/>
      <c r="C1132" s="51" t="s">
        <v>260</v>
      </c>
      <c r="D1132" s="49" t="s">
        <v>261</v>
      </c>
      <c r="E1132" s="49" t="str">
        <f>B1129&amp;C1132</f>
        <v>Spokane, WAI</v>
      </c>
      <c r="F1132" s="56">
        <v>345</v>
      </c>
      <c r="G1132" s="56">
        <v>650</v>
      </c>
      <c r="H1132" s="56">
        <v>1060</v>
      </c>
      <c r="I1132" s="56">
        <v>1497</v>
      </c>
      <c r="J1132" s="56">
        <v>1893</v>
      </c>
      <c r="K1132" s="56">
        <v>2071</v>
      </c>
      <c r="L1132" s="56">
        <v>2274</v>
      </c>
      <c r="M1132" s="56">
        <v>1947</v>
      </c>
      <c r="N1132" s="56">
        <v>1430</v>
      </c>
      <c r="O1132" s="56">
        <v>841</v>
      </c>
      <c r="P1132" s="56">
        <v>401</v>
      </c>
      <c r="Q1132" s="56">
        <v>283</v>
      </c>
      <c r="R1132" s="57">
        <v>1224</v>
      </c>
    </row>
    <row r="1133" spans="2:18" x14ac:dyDescent="0.4">
      <c r="B1133" s="50"/>
      <c r="C1133" s="51" t="s">
        <v>262</v>
      </c>
      <c r="D1133" s="49" t="s">
        <v>263</v>
      </c>
      <c r="E1133" s="49" t="str">
        <f>B1129&amp;C1133</f>
        <v>Spokane, WAPA</v>
      </c>
      <c r="F1133" s="58" t="s">
        <v>506</v>
      </c>
      <c r="G1133" s="58" t="s">
        <v>506</v>
      </c>
      <c r="H1133" s="58" t="s">
        <v>506</v>
      </c>
      <c r="I1133" s="58" t="s">
        <v>506</v>
      </c>
      <c r="J1133" s="58" t="s">
        <v>506</v>
      </c>
      <c r="K1133" s="58" t="s">
        <v>506</v>
      </c>
      <c r="L1133" s="58" t="s">
        <v>506</v>
      </c>
      <c r="M1133" s="58" t="s">
        <v>506</v>
      </c>
      <c r="N1133" s="58" t="s">
        <v>506</v>
      </c>
      <c r="O1133" s="58" t="s">
        <v>506</v>
      </c>
      <c r="P1133" s="58" t="s">
        <v>506</v>
      </c>
      <c r="Q1133" s="58" t="s">
        <v>506</v>
      </c>
      <c r="R1133" s="57">
        <v>13.4</v>
      </c>
    </row>
    <row r="1134" spans="2:18" ht="20.6" x14ac:dyDescent="0.4">
      <c r="B1134" s="48" t="s">
        <v>489</v>
      </c>
      <c r="C1134" s="51" t="s">
        <v>255</v>
      </c>
      <c r="D1134" s="49" t="s">
        <v>256</v>
      </c>
      <c r="E1134" s="49" t="str">
        <f>B1134&amp;C1134</f>
        <v>Stampede Pass, WATAN</v>
      </c>
      <c r="F1134" s="56">
        <v>24</v>
      </c>
      <c r="G1134" s="56">
        <v>25.7</v>
      </c>
      <c r="H1134" s="56">
        <v>28.6</v>
      </c>
      <c r="I1134" s="56">
        <v>31.8</v>
      </c>
      <c r="J1134" s="56">
        <v>37.799999999999997</v>
      </c>
      <c r="K1134" s="56">
        <v>42.4</v>
      </c>
      <c r="L1134" s="56">
        <v>49</v>
      </c>
      <c r="M1134" s="56">
        <v>49.3</v>
      </c>
      <c r="N1134" s="56">
        <v>45.5</v>
      </c>
      <c r="O1134" s="56">
        <v>36.700000000000003</v>
      </c>
      <c r="P1134" s="56">
        <v>29.2</v>
      </c>
      <c r="Q1134" s="56">
        <v>23.5</v>
      </c>
      <c r="R1134" s="57">
        <v>35.299999999999997</v>
      </c>
    </row>
    <row r="1135" spans="2:18" ht="20.6" x14ac:dyDescent="0.4">
      <c r="B1135" s="50"/>
      <c r="C1135" s="51" t="s">
        <v>257</v>
      </c>
      <c r="D1135" s="49" t="s">
        <v>256</v>
      </c>
      <c r="E1135" s="49" t="str">
        <f>B1134&amp;C1135</f>
        <v>Stampede Pass, WATAX</v>
      </c>
      <c r="F1135" s="56">
        <v>30.7</v>
      </c>
      <c r="G1135" s="56">
        <v>33.799999999999997</v>
      </c>
      <c r="H1135" s="56">
        <v>37.9</v>
      </c>
      <c r="I1135" s="56">
        <v>43.1</v>
      </c>
      <c r="J1135" s="56">
        <v>51</v>
      </c>
      <c r="K1135" s="56">
        <v>56.6</v>
      </c>
      <c r="L1135" s="56">
        <v>65.7</v>
      </c>
      <c r="M1135" s="56">
        <v>65.7</v>
      </c>
      <c r="N1135" s="56">
        <v>60</v>
      </c>
      <c r="O1135" s="56">
        <v>47.3</v>
      </c>
      <c r="P1135" s="56">
        <v>36.200000000000003</v>
      </c>
      <c r="Q1135" s="56">
        <v>30.1</v>
      </c>
      <c r="R1135" s="57">
        <v>46.5</v>
      </c>
    </row>
    <row r="1136" spans="2:18" ht="20.6" x14ac:dyDescent="0.4">
      <c r="B1136" s="50"/>
      <c r="C1136" s="51" t="s">
        <v>258</v>
      </c>
      <c r="D1136" s="49" t="s">
        <v>259</v>
      </c>
      <c r="E1136" s="49" t="str">
        <f>B1134&amp;C1136</f>
        <v>Stampede Pass, WAV</v>
      </c>
      <c r="F1136" s="56">
        <v>7.4</v>
      </c>
      <c r="G1136" s="56">
        <v>7.4</v>
      </c>
      <c r="H1136" s="56">
        <v>6.9</v>
      </c>
      <c r="I1136" s="56">
        <v>6.7</v>
      </c>
      <c r="J1136" s="56">
        <v>6.9</v>
      </c>
      <c r="K1136" s="56">
        <v>7.4</v>
      </c>
      <c r="L1136" s="56">
        <v>7.4</v>
      </c>
      <c r="M1136" s="56">
        <v>6.9</v>
      </c>
      <c r="N1136" s="56">
        <v>6.7</v>
      </c>
      <c r="O1136" s="56">
        <v>6.7</v>
      </c>
      <c r="P1136" s="56">
        <v>6.9</v>
      </c>
      <c r="Q1136" s="56">
        <v>7.4</v>
      </c>
      <c r="R1136" s="57">
        <v>7.2</v>
      </c>
    </row>
    <row r="1137" spans="2:18" ht="20.6" x14ac:dyDescent="0.4">
      <c r="B1137" s="50"/>
      <c r="C1137" s="51" t="s">
        <v>260</v>
      </c>
      <c r="D1137" s="49" t="s">
        <v>261</v>
      </c>
      <c r="E1137" s="49" t="str">
        <f>B1134&amp;C1137</f>
        <v>Stampede Pass, WAI</v>
      </c>
      <c r="F1137" s="56">
        <v>345</v>
      </c>
      <c r="G1137" s="56">
        <v>595</v>
      </c>
      <c r="H1137" s="56">
        <v>857</v>
      </c>
      <c r="I1137" s="56">
        <v>1281</v>
      </c>
      <c r="J1137" s="56">
        <v>1599</v>
      </c>
      <c r="K1137" s="56">
        <v>1703</v>
      </c>
      <c r="L1137" s="56">
        <v>1946</v>
      </c>
      <c r="M1137" s="56">
        <v>1676</v>
      </c>
      <c r="N1137" s="56">
        <v>1218</v>
      </c>
      <c r="O1137" s="56">
        <v>678</v>
      </c>
      <c r="P1137" s="56">
        <v>366</v>
      </c>
      <c r="Q1137" s="56">
        <v>286</v>
      </c>
      <c r="R1137" s="57">
        <v>1046</v>
      </c>
    </row>
    <row r="1138" spans="2:18" ht="20.6" x14ac:dyDescent="0.4">
      <c r="B1138" s="50"/>
      <c r="C1138" s="51" t="s">
        <v>262</v>
      </c>
      <c r="D1138" s="49" t="s">
        <v>263</v>
      </c>
      <c r="E1138" s="49" t="str">
        <f>B1134&amp;C1138</f>
        <v>Stampede Pass, WAPA</v>
      </c>
      <c r="F1138" s="58" t="s">
        <v>506</v>
      </c>
      <c r="G1138" s="58" t="s">
        <v>506</v>
      </c>
      <c r="H1138" s="58" t="s">
        <v>506</v>
      </c>
      <c r="I1138" s="58" t="s">
        <v>506</v>
      </c>
      <c r="J1138" s="58" t="s">
        <v>506</v>
      </c>
      <c r="K1138" s="58" t="s">
        <v>506</v>
      </c>
      <c r="L1138" s="58" t="s">
        <v>506</v>
      </c>
      <c r="M1138" s="58" t="s">
        <v>506</v>
      </c>
      <c r="N1138" s="58" t="s">
        <v>506</v>
      </c>
      <c r="O1138" s="58" t="s">
        <v>506</v>
      </c>
      <c r="P1138" s="58" t="s">
        <v>506</v>
      </c>
      <c r="Q1138" s="58" t="s">
        <v>506</v>
      </c>
      <c r="R1138" s="57">
        <v>12.73</v>
      </c>
    </row>
    <row r="1139" spans="2:18" x14ac:dyDescent="0.4">
      <c r="B1139" s="48" t="s">
        <v>490</v>
      </c>
      <c r="C1139" s="51" t="s">
        <v>255</v>
      </c>
      <c r="D1139" s="49" t="s">
        <v>256</v>
      </c>
      <c r="E1139" s="49" t="str">
        <f>B1139&amp;C1139</f>
        <v>Yakima, WATAN</v>
      </c>
      <c r="F1139" s="56">
        <v>24.1</v>
      </c>
      <c r="G1139" s="56">
        <v>27.1</v>
      </c>
      <c r="H1139" s="56">
        <v>30.8</v>
      </c>
      <c r="I1139" s="56">
        <v>35.5</v>
      </c>
      <c r="J1139" s="56">
        <v>43.5</v>
      </c>
      <c r="K1139" s="56">
        <v>49.6</v>
      </c>
      <c r="L1139" s="56">
        <v>55.1</v>
      </c>
      <c r="M1139" s="56">
        <v>53</v>
      </c>
      <c r="N1139" s="56">
        <v>45</v>
      </c>
      <c r="O1139" s="56">
        <v>35.200000000000003</v>
      </c>
      <c r="P1139" s="56">
        <v>27.5</v>
      </c>
      <c r="Q1139" s="56">
        <v>23.4</v>
      </c>
      <c r="R1139" s="57">
        <v>37.5</v>
      </c>
    </row>
    <row r="1140" spans="2:18" x14ac:dyDescent="0.4">
      <c r="B1140" s="50"/>
      <c r="C1140" s="51" t="s">
        <v>257</v>
      </c>
      <c r="D1140" s="49" t="s">
        <v>256</v>
      </c>
      <c r="E1140" s="49" t="str">
        <f>B1139&amp;C1140</f>
        <v>Yakima, WATAX</v>
      </c>
      <c r="F1140" s="56">
        <v>38.1</v>
      </c>
      <c r="G1140" s="56">
        <v>46</v>
      </c>
      <c r="H1140" s="56">
        <v>55.3</v>
      </c>
      <c r="I1140" s="56">
        <v>62.6</v>
      </c>
      <c r="J1140" s="56">
        <v>71.8</v>
      </c>
      <c r="K1140" s="56">
        <v>78.599999999999994</v>
      </c>
      <c r="L1140" s="56">
        <v>87.9</v>
      </c>
      <c r="M1140" s="56">
        <v>86.2</v>
      </c>
      <c r="N1140" s="56">
        <v>77.900000000000006</v>
      </c>
      <c r="O1140" s="56">
        <v>63</v>
      </c>
      <c r="P1140" s="56">
        <v>47.3</v>
      </c>
      <c r="Q1140" s="56">
        <v>36.6</v>
      </c>
      <c r="R1140" s="57">
        <v>62.6</v>
      </c>
    </row>
    <row r="1141" spans="2:18" x14ac:dyDescent="0.4">
      <c r="B1141" s="50"/>
      <c r="C1141" s="51" t="s">
        <v>258</v>
      </c>
      <c r="D1141" s="49" t="s">
        <v>259</v>
      </c>
      <c r="E1141" s="49" t="str">
        <f>B1139&amp;C1141</f>
        <v>Yakima, WAV</v>
      </c>
      <c r="F1141" s="56">
        <v>4.3</v>
      </c>
      <c r="G1141" s="56">
        <v>5.4</v>
      </c>
      <c r="H1141" s="56">
        <v>6.7</v>
      </c>
      <c r="I1141" s="56">
        <v>7.4</v>
      </c>
      <c r="J1141" s="56">
        <v>7.4</v>
      </c>
      <c r="K1141" s="56">
        <v>7.6</v>
      </c>
      <c r="L1141" s="56">
        <v>7.2</v>
      </c>
      <c r="M1141" s="56">
        <v>6.7</v>
      </c>
      <c r="N1141" s="56">
        <v>6.3</v>
      </c>
      <c r="O1141" s="56">
        <v>5.6</v>
      </c>
      <c r="P1141" s="56">
        <v>4.7</v>
      </c>
      <c r="Q1141" s="56">
        <v>4</v>
      </c>
      <c r="R1141" s="57">
        <v>6</v>
      </c>
    </row>
    <row r="1142" spans="2:18" x14ac:dyDescent="0.4">
      <c r="B1142" s="50"/>
      <c r="C1142" s="51" t="s">
        <v>260</v>
      </c>
      <c r="D1142" s="49" t="s">
        <v>261</v>
      </c>
      <c r="E1142" s="49" t="str">
        <f>B1139&amp;C1142</f>
        <v>Yakima, WAI</v>
      </c>
      <c r="F1142" s="56">
        <v>399</v>
      </c>
      <c r="G1142" s="56">
        <v>740</v>
      </c>
      <c r="H1142" s="56">
        <v>1187</v>
      </c>
      <c r="I1142" s="56">
        <v>1639</v>
      </c>
      <c r="J1142" s="56">
        <v>1987</v>
      </c>
      <c r="K1142" s="56">
        <v>2252</v>
      </c>
      <c r="L1142" s="56">
        <v>2374</v>
      </c>
      <c r="M1142" s="56">
        <v>2033</v>
      </c>
      <c r="N1142" s="56">
        <v>1537</v>
      </c>
      <c r="O1142" s="56">
        <v>937</v>
      </c>
      <c r="P1142" s="56">
        <v>483</v>
      </c>
      <c r="Q1142" s="56">
        <v>315</v>
      </c>
      <c r="R1142" s="57">
        <v>1324</v>
      </c>
    </row>
    <row r="1143" spans="2:18" x14ac:dyDescent="0.4">
      <c r="B1143" s="50"/>
      <c r="C1143" s="51" t="s">
        <v>262</v>
      </c>
      <c r="D1143" s="49" t="s">
        <v>263</v>
      </c>
      <c r="E1143" s="49" t="str">
        <f>B1139&amp;C1143</f>
        <v>Yakima, WAPA</v>
      </c>
      <c r="F1143" s="58" t="s">
        <v>506</v>
      </c>
      <c r="G1143" s="58" t="s">
        <v>506</v>
      </c>
      <c r="H1143" s="58" t="s">
        <v>506</v>
      </c>
      <c r="I1143" s="58" t="s">
        <v>506</v>
      </c>
      <c r="J1143" s="58" t="s">
        <v>506</v>
      </c>
      <c r="K1143" s="58" t="s">
        <v>506</v>
      </c>
      <c r="L1143" s="58" t="s">
        <v>506</v>
      </c>
      <c r="M1143" s="58" t="s">
        <v>506</v>
      </c>
      <c r="N1143" s="58" t="s">
        <v>506</v>
      </c>
      <c r="O1143" s="58" t="s">
        <v>506</v>
      </c>
      <c r="P1143" s="58" t="s">
        <v>506</v>
      </c>
      <c r="Q1143" s="58" t="s">
        <v>506</v>
      </c>
      <c r="R1143" s="57">
        <v>14.14</v>
      </c>
    </row>
    <row r="1144" spans="2:18" x14ac:dyDescent="0.4">
      <c r="B1144" s="48" t="s">
        <v>491</v>
      </c>
      <c r="C1144" s="51" t="s">
        <v>255</v>
      </c>
      <c r="D1144" s="49" t="s">
        <v>256</v>
      </c>
      <c r="E1144" s="49" t="str">
        <f>B1144&amp;C1144</f>
        <v>Beckley, WVTAN</v>
      </c>
      <c r="F1144" s="56">
        <v>24.2</v>
      </c>
      <c r="G1144" s="56">
        <v>26.2</v>
      </c>
      <c r="H1144" s="56">
        <v>32.9</v>
      </c>
      <c r="I1144" s="56">
        <v>42.7</v>
      </c>
      <c r="J1144" s="56">
        <v>50.3</v>
      </c>
      <c r="K1144" s="56">
        <v>58.6</v>
      </c>
      <c r="L1144" s="56">
        <v>62</v>
      </c>
      <c r="M1144" s="56">
        <v>61.1</v>
      </c>
      <c r="N1144" s="56">
        <v>54.2</v>
      </c>
      <c r="O1144" s="56">
        <v>43.8</v>
      </c>
      <c r="P1144" s="56">
        <v>35.200000000000003</v>
      </c>
      <c r="Q1144" s="56">
        <v>27</v>
      </c>
      <c r="R1144" s="57">
        <v>43.2</v>
      </c>
    </row>
    <row r="1145" spans="2:18" x14ac:dyDescent="0.4">
      <c r="B1145" s="50"/>
      <c r="C1145" s="51" t="s">
        <v>257</v>
      </c>
      <c r="D1145" s="49" t="s">
        <v>256</v>
      </c>
      <c r="E1145" s="49" t="str">
        <f>B1144&amp;C1145</f>
        <v>Beckley, WVTAX</v>
      </c>
      <c r="F1145" s="56">
        <v>39.5</v>
      </c>
      <c r="G1145" s="56">
        <v>42.2</v>
      </c>
      <c r="H1145" s="56">
        <v>50.7</v>
      </c>
      <c r="I1145" s="56">
        <v>62.6</v>
      </c>
      <c r="J1145" s="56">
        <v>69.3</v>
      </c>
      <c r="K1145" s="56">
        <v>76</v>
      </c>
      <c r="L1145" s="56">
        <v>78.7</v>
      </c>
      <c r="M1145" s="56">
        <v>78.400000000000006</v>
      </c>
      <c r="N1145" s="56">
        <v>72.3</v>
      </c>
      <c r="O1145" s="56">
        <v>62.8</v>
      </c>
      <c r="P1145" s="56">
        <v>51.9</v>
      </c>
      <c r="Q1145" s="56">
        <v>41.6</v>
      </c>
      <c r="R1145" s="57">
        <v>60.5</v>
      </c>
    </row>
    <row r="1146" spans="2:18" x14ac:dyDescent="0.4">
      <c r="B1146" s="50"/>
      <c r="C1146" s="51" t="s">
        <v>258</v>
      </c>
      <c r="D1146" s="49" t="s">
        <v>259</v>
      </c>
      <c r="E1146" s="49" t="str">
        <f>B1144&amp;C1146</f>
        <v>Beckley, WVV</v>
      </c>
      <c r="F1146" s="56">
        <v>8.3000000000000007</v>
      </c>
      <c r="G1146" s="56">
        <v>8.1</v>
      </c>
      <c r="H1146" s="56">
        <v>8.1</v>
      </c>
      <c r="I1146" s="56">
        <v>7.8</v>
      </c>
      <c r="J1146" s="56">
        <v>6.7</v>
      </c>
      <c r="K1146" s="56">
        <v>5.6</v>
      </c>
      <c r="L1146" s="56">
        <v>5.0999999999999996</v>
      </c>
      <c r="M1146" s="56">
        <v>4.9000000000000004</v>
      </c>
      <c r="N1146" s="56">
        <v>5.6</v>
      </c>
      <c r="O1146" s="56">
        <v>6.3</v>
      </c>
      <c r="P1146" s="56">
        <v>6.9</v>
      </c>
      <c r="Q1146" s="56">
        <v>7.6</v>
      </c>
      <c r="R1146" s="57">
        <v>6.7</v>
      </c>
    </row>
    <row r="1147" spans="2:18" x14ac:dyDescent="0.4">
      <c r="B1147" s="50"/>
      <c r="C1147" s="51" t="s">
        <v>260</v>
      </c>
      <c r="D1147" s="49" t="s">
        <v>261</v>
      </c>
      <c r="E1147" s="49" t="str">
        <f>B1144&amp;C1147</f>
        <v>Beckley, WVI</v>
      </c>
      <c r="F1147" s="56">
        <v>632</v>
      </c>
      <c r="G1147" s="56">
        <v>847</v>
      </c>
      <c r="H1147" s="56">
        <v>1144</v>
      </c>
      <c r="I1147" s="56">
        <v>1499</v>
      </c>
      <c r="J1147" s="56">
        <v>1680</v>
      </c>
      <c r="K1147" s="56">
        <v>1797</v>
      </c>
      <c r="L1147" s="56">
        <v>1752</v>
      </c>
      <c r="M1147" s="56">
        <v>1643</v>
      </c>
      <c r="N1147" s="56">
        <v>1346</v>
      </c>
      <c r="O1147" s="56">
        <v>1018</v>
      </c>
      <c r="P1147" s="56">
        <v>691</v>
      </c>
      <c r="Q1147" s="56">
        <v>538</v>
      </c>
      <c r="R1147" s="57">
        <v>1216</v>
      </c>
    </row>
    <row r="1148" spans="2:18" x14ac:dyDescent="0.4">
      <c r="B1148" s="50"/>
      <c r="C1148" s="51" t="s">
        <v>262</v>
      </c>
      <c r="D1148" s="49" t="s">
        <v>263</v>
      </c>
      <c r="E1148" s="49" t="str">
        <f>B1144&amp;C1148</f>
        <v>Beckley, WVPA</v>
      </c>
      <c r="F1148" s="58" t="s">
        <v>506</v>
      </c>
      <c r="G1148" s="58" t="s">
        <v>506</v>
      </c>
      <c r="H1148" s="58" t="s">
        <v>506</v>
      </c>
      <c r="I1148" s="58" t="s">
        <v>506</v>
      </c>
      <c r="J1148" s="58" t="s">
        <v>506</v>
      </c>
      <c r="K1148" s="58" t="s">
        <v>506</v>
      </c>
      <c r="L1148" s="58" t="s">
        <v>506</v>
      </c>
      <c r="M1148" s="58" t="s">
        <v>506</v>
      </c>
      <c r="N1148" s="58" t="s">
        <v>506</v>
      </c>
      <c r="O1148" s="58" t="s">
        <v>506</v>
      </c>
      <c r="P1148" s="58" t="s">
        <v>506</v>
      </c>
      <c r="Q1148" s="58" t="s">
        <v>506</v>
      </c>
      <c r="R1148" s="57">
        <v>13.42</v>
      </c>
    </row>
    <row r="1149" spans="2:18" x14ac:dyDescent="0.4">
      <c r="B1149" s="48" t="s">
        <v>492</v>
      </c>
      <c r="C1149" s="51" t="s">
        <v>255</v>
      </c>
      <c r="D1149" s="49" t="s">
        <v>256</v>
      </c>
      <c r="E1149" s="49" t="str">
        <f>B1149&amp;C1149</f>
        <v>Charleston, WVTAN</v>
      </c>
      <c r="F1149" s="56">
        <v>26.8</v>
      </c>
      <c r="G1149" s="56">
        <v>28.6</v>
      </c>
      <c r="H1149" s="56">
        <v>35.1</v>
      </c>
      <c r="I1149" s="56">
        <v>44.9</v>
      </c>
      <c r="J1149" s="56">
        <v>52.6</v>
      </c>
      <c r="K1149" s="56">
        <v>61.6</v>
      </c>
      <c r="L1149" s="56">
        <v>65.2</v>
      </c>
      <c r="M1149" s="56">
        <v>64.3</v>
      </c>
      <c r="N1149" s="56">
        <v>56.6</v>
      </c>
      <c r="O1149" s="56">
        <v>45</v>
      </c>
      <c r="P1149" s="56">
        <v>36.4</v>
      </c>
      <c r="Q1149" s="56">
        <v>29.2</v>
      </c>
      <c r="R1149" s="57">
        <v>45.5</v>
      </c>
    </row>
    <row r="1150" spans="2:18" x14ac:dyDescent="0.4">
      <c r="B1150" s="50"/>
      <c r="C1150" s="51" t="s">
        <v>257</v>
      </c>
      <c r="D1150" s="49" t="s">
        <v>256</v>
      </c>
      <c r="E1150" s="49" t="str">
        <f>B1149&amp;C1150</f>
        <v>Charleston, WVTAX</v>
      </c>
      <c r="F1150" s="56">
        <v>43.1</v>
      </c>
      <c r="G1150" s="56">
        <v>46.3</v>
      </c>
      <c r="H1150" s="56">
        <v>55.5</v>
      </c>
      <c r="I1150" s="56">
        <v>68.099999999999994</v>
      </c>
      <c r="J1150" s="56">
        <v>74.5</v>
      </c>
      <c r="K1150" s="56">
        <v>81.599999999999994</v>
      </c>
      <c r="L1150" s="56">
        <v>84.4</v>
      </c>
      <c r="M1150" s="56">
        <v>83.9</v>
      </c>
      <c r="N1150" s="56">
        <v>77.7</v>
      </c>
      <c r="O1150" s="56">
        <v>67.599999999999994</v>
      </c>
      <c r="P1150" s="56">
        <v>56.3</v>
      </c>
      <c r="Q1150" s="56">
        <v>45.5</v>
      </c>
      <c r="R1150" s="57">
        <v>65.400000000000006</v>
      </c>
    </row>
    <row r="1151" spans="2:18" x14ac:dyDescent="0.4">
      <c r="B1151" s="50"/>
      <c r="C1151" s="51" t="s">
        <v>258</v>
      </c>
      <c r="D1151" s="49" t="s">
        <v>259</v>
      </c>
      <c r="E1151" s="49" t="str">
        <f>B1149&amp;C1151</f>
        <v>Charleston, WVV</v>
      </c>
      <c r="F1151" s="56">
        <v>5.4</v>
      </c>
      <c r="G1151" s="56">
        <v>5.0999999999999996</v>
      </c>
      <c r="H1151" s="56">
        <v>5.0999999999999996</v>
      </c>
      <c r="I1151" s="56">
        <v>5.0999999999999996</v>
      </c>
      <c r="J1151" s="56">
        <v>4</v>
      </c>
      <c r="K1151" s="56">
        <v>3.4</v>
      </c>
      <c r="L1151" s="56">
        <v>3.1</v>
      </c>
      <c r="M1151" s="56">
        <v>2.7</v>
      </c>
      <c r="N1151" s="56">
        <v>2.9</v>
      </c>
      <c r="O1151" s="56">
        <v>3.1</v>
      </c>
      <c r="P1151" s="56">
        <v>4</v>
      </c>
      <c r="Q1151" s="56">
        <v>4.7</v>
      </c>
      <c r="R1151" s="57">
        <v>4</v>
      </c>
    </row>
    <row r="1152" spans="2:18" x14ac:dyDescent="0.4">
      <c r="B1152" s="50"/>
      <c r="C1152" s="51" t="s">
        <v>260</v>
      </c>
      <c r="D1152" s="49" t="s">
        <v>261</v>
      </c>
      <c r="E1152" s="49" t="str">
        <f>B1149&amp;C1152</f>
        <v>Charleston, WVI</v>
      </c>
      <c r="F1152" s="56">
        <v>579</v>
      </c>
      <c r="G1152" s="56">
        <v>814</v>
      </c>
      <c r="H1152" s="56">
        <v>1126</v>
      </c>
      <c r="I1152" s="56">
        <v>1524</v>
      </c>
      <c r="J1152" s="56">
        <v>1737</v>
      </c>
      <c r="K1152" s="56">
        <v>1916</v>
      </c>
      <c r="L1152" s="56">
        <v>1843</v>
      </c>
      <c r="M1152" s="56">
        <v>1721</v>
      </c>
      <c r="N1152" s="56">
        <v>1378</v>
      </c>
      <c r="O1152" s="56">
        <v>1024</v>
      </c>
      <c r="P1152" s="56">
        <v>667</v>
      </c>
      <c r="Q1152" s="56">
        <v>512</v>
      </c>
      <c r="R1152" s="57">
        <v>1237</v>
      </c>
    </row>
    <row r="1153" spans="2:18" x14ac:dyDescent="0.4">
      <c r="B1153" s="50"/>
      <c r="C1153" s="51" t="s">
        <v>262</v>
      </c>
      <c r="D1153" s="49" t="s">
        <v>263</v>
      </c>
      <c r="E1153" s="49" t="str">
        <f>B1149&amp;C1153</f>
        <v>Charleston, WVPA</v>
      </c>
      <c r="F1153" s="58" t="s">
        <v>506</v>
      </c>
      <c r="G1153" s="58" t="s">
        <v>506</v>
      </c>
      <c r="H1153" s="58" t="s">
        <v>506</v>
      </c>
      <c r="I1153" s="58" t="s">
        <v>506</v>
      </c>
      <c r="J1153" s="58" t="s">
        <v>506</v>
      </c>
      <c r="K1153" s="58" t="s">
        <v>506</v>
      </c>
      <c r="L1153" s="58" t="s">
        <v>506</v>
      </c>
      <c r="M1153" s="58" t="s">
        <v>506</v>
      </c>
      <c r="N1153" s="58" t="s">
        <v>506</v>
      </c>
      <c r="O1153" s="58" t="s">
        <v>506</v>
      </c>
      <c r="P1153" s="58" t="s">
        <v>506</v>
      </c>
      <c r="Q1153" s="58" t="s">
        <v>506</v>
      </c>
      <c r="R1153" s="57">
        <v>14.16</v>
      </c>
    </row>
    <row r="1154" spans="2:18" x14ac:dyDescent="0.4">
      <c r="B1154" s="48" t="s">
        <v>493</v>
      </c>
      <c r="C1154" s="51" t="s">
        <v>255</v>
      </c>
      <c r="D1154" s="49" t="s">
        <v>256</v>
      </c>
      <c r="E1154" s="49" t="str">
        <f>B1154&amp;C1154</f>
        <v>Elkins, WVTAN</v>
      </c>
      <c r="F1154" s="56">
        <v>20.6</v>
      </c>
      <c r="G1154" s="56">
        <v>21.5</v>
      </c>
      <c r="H1154" s="56">
        <v>28.1</v>
      </c>
      <c r="I1154" s="56">
        <v>37</v>
      </c>
      <c r="J1154" s="56">
        <v>45.9</v>
      </c>
      <c r="K1154" s="56">
        <v>55.1</v>
      </c>
      <c r="L1154" s="56">
        <v>58.9</v>
      </c>
      <c r="M1154" s="56">
        <v>58.3</v>
      </c>
      <c r="N1154" s="56">
        <v>50.7</v>
      </c>
      <c r="O1154" s="56">
        <v>38.1</v>
      </c>
      <c r="P1154" s="56">
        <v>30.3</v>
      </c>
      <c r="Q1154" s="56">
        <v>22.9</v>
      </c>
      <c r="R1154" s="57">
        <v>39</v>
      </c>
    </row>
    <row r="1155" spans="2:18" x14ac:dyDescent="0.4">
      <c r="B1155" s="50"/>
      <c r="C1155" s="51" t="s">
        <v>257</v>
      </c>
      <c r="D1155" s="49" t="s">
        <v>256</v>
      </c>
      <c r="E1155" s="49" t="str">
        <f>B1154&amp;C1155</f>
        <v>Elkins, WVTAX</v>
      </c>
      <c r="F1155" s="56">
        <v>39.700000000000003</v>
      </c>
      <c r="G1155" s="56">
        <v>42.3</v>
      </c>
      <c r="H1155" s="56">
        <v>51.2</v>
      </c>
      <c r="I1155" s="56">
        <v>63.3</v>
      </c>
      <c r="J1155" s="56">
        <v>70.5</v>
      </c>
      <c r="K1155" s="56">
        <v>77.7</v>
      </c>
      <c r="L1155" s="56">
        <v>80.5</v>
      </c>
      <c r="M1155" s="56">
        <v>80.3</v>
      </c>
      <c r="N1155" s="56">
        <v>73.900000000000006</v>
      </c>
      <c r="O1155" s="56">
        <v>64</v>
      </c>
      <c r="P1155" s="56">
        <v>52.7</v>
      </c>
      <c r="Q1155" s="56">
        <v>42.2</v>
      </c>
      <c r="R1155" s="57">
        <v>61.5</v>
      </c>
    </row>
    <row r="1156" spans="2:18" x14ac:dyDescent="0.4">
      <c r="B1156" s="50"/>
      <c r="C1156" s="51" t="s">
        <v>258</v>
      </c>
      <c r="D1156" s="49" t="s">
        <v>259</v>
      </c>
      <c r="E1156" s="49" t="str">
        <f>B1154&amp;C1156</f>
        <v>Elkins, WVV</v>
      </c>
      <c r="F1156" s="56">
        <v>5.8</v>
      </c>
      <c r="G1156" s="56">
        <v>5.8</v>
      </c>
      <c r="H1156" s="56">
        <v>5.8</v>
      </c>
      <c r="I1156" s="56">
        <v>5.8</v>
      </c>
      <c r="J1156" s="56">
        <v>4.5</v>
      </c>
      <c r="K1156" s="56">
        <v>3.6</v>
      </c>
      <c r="L1156" s="56">
        <v>3.1</v>
      </c>
      <c r="M1156" s="56">
        <v>2.7</v>
      </c>
      <c r="N1156" s="56">
        <v>2.9</v>
      </c>
      <c r="O1156" s="56">
        <v>3.6</v>
      </c>
      <c r="P1156" s="56">
        <v>4.7</v>
      </c>
      <c r="Q1156" s="56">
        <v>5.0999999999999996</v>
      </c>
      <c r="R1156" s="57">
        <v>4.5</v>
      </c>
    </row>
    <row r="1157" spans="2:18" x14ac:dyDescent="0.4">
      <c r="B1157" s="50"/>
      <c r="C1157" s="51" t="s">
        <v>260</v>
      </c>
      <c r="D1157" s="49" t="s">
        <v>261</v>
      </c>
      <c r="E1157" s="49" t="str">
        <f>B1154&amp;C1157</f>
        <v>Elkins, WVI</v>
      </c>
      <c r="F1157" s="56">
        <v>574</v>
      </c>
      <c r="G1157" s="56">
        <v>794</v>
      </c>
      <c r="H1157" s="56">
        <v>1113</v>
      </c>
      <c r="I1157" s="56">
        <v>1461</v>
      </c>
      <c r="J1157" s="56">
        <v>1619</v>
      </c>
      <c r="K1157" s="56">
        <v>1793</v>
      </c>
      <c r="L1157" s="56">
        <v>1738</v>
      </c>
      <c r="M1157" s="56">
        <v>1611</v>
      </c>
      <c r="N1157" s="56">
        <v>1293</v>
      </c>
      <c r="O1157" s="56">
        <v>972</v>
      </c>
      <c r="P1157" s="56">
        <v>618</v>
      </c>
      <c r="Q1157" s="56">
        <v>498</v>
      </c>
      <c r="R1157" s="57">
        <v>1173</v>
      </c>
    </row>
    <row r="1158" spans="2:18" x14ac:dyDescent="0.4">
      <c r="B1158" s="50"/>
      <c r="C1158" s="51" t="s">
        <v>262</v>
      </c>
      <c r="D1158" s="49" t="s">
        <v>263</v>
      </c>
      <c r="E1158" s="49" t="str">
        <f>B1154&amp;C1158</f>
        <v>Elkins, WVPA</v>
      </c>
      <c r="F1158" s="58" t="s">
        <v>506</v>
      </c>
      <c r="G1158" s="58" t="s">
        <v>506</v>
      </c>
      <c r="H1158" s="58" t="s">
        <v>506</v>
      </c>
      <c r="I1158" s="58" t="s">
        <v>506</v>
      </c>
      <c r="J1158" s="58" t="s">
        <v>506</v>
      </c>
      <c r="K1158" s="58" t="s">
        <v>506</v>
      </c>
      <c r="L1158" s="58" t="s">
        <v>506</v>
      </c>
      <c r="M1158" s="58" t="s">
        <v>506</v>
      </c>
      <c r="N1158" s="58" t="s">
        <v>506</v>
      </c>
      <c r="O1158" s="58" t="s">
        <v>506</v>
      </c>
      <c r="P1158" s="58" t="s">
        <v>506</v>
      </c>
      <c r="Q1158" s="58" t="s">
        <v>506</v>
      </c>
      <c r="R1158" s="57">
        <v>13.69</v>
      </c>
    </row>
    <row r="1159" spans="2:18" x14ac:dyDescent="0.4">
      <c r="B1159" s="48" t="s">
        <v>494</v>
      </c>
      <c r="C1159" s="51" t="s">
        <v>255</v>
      </c>
      <c r="D1159" s="49" t="s">
        <v>256</v>
      </c>
      <c r="E1159" s="49" t="str">
        <f>B1159&amp;C1159</f>
        <v>Huntington, WVTAN</v>
      </c>
      <c r="F1159" s="56">
        <v>26.7</v>
      </c>
      <c r="G1159" s="56">
        <v>28.9</v>
      </c>
      <c r="H1159" s="56">
        <v>35.9</v>
      </c>
      <c r="I1159" s="56">
        <v>45.8</v>
      </c>
      <c r="J1159" s="56">
        <v>53.7</v>
      </c>
      <c r="K1159" s="56">
        <v>62.5</v>
      </c>
      <c r="L1159" s="56">
        <v>66.099999999999994</v>
      </c>
      <c r="M1159" s="56">
        <v>65</v>
      </c>
      <c r="N1159" s="56">
        <v>57.1</v>
      </c>
      <c r="O1159" s="56">
        <v>45.7</v>
      </c>
      <c r="P1159" s="56">
        <v>37.200000000000003</v>
      </c>
      <c r="Q1159" s="56">
        <v>29.4</v>
      </c>
      <c r="R1159" s="57">
        <v>46.2</v>
      </c>
    </row>
    <row r="1160" spans="2:18" x14ac:dyDescent="0.4">
      <c r="B1160" s="50"/>
      <c r="C1160" s="51" t="s">
        <v>257</v>
      </c>
      <c r="D1160" s="49" t="s">
        <v>256</v>
      </c>
      <c r="E1160" s="49" t="str">
        <f>B1159&amp;C1160</f>
        <v>Huntington, WVTAX</v>
      </c>
      <c r="F1160" s="56">
        <v>42.4</v>
      </c>
      <c r="G1160" s="56">
        <v>45.9</v>
      </c>
      <c r="H1160" s="56">
        <v>55.5</v>
      </c>
      <c r="I1160" s="56">
        <v>67.7</v>
      </c>
      <c r="J1160" s="56">
        <v>74.7</v>
      </c>
      <c r="K1160" s="56">
        <v>82</v>
      </c>
      <c r="L1160" s="56">
        <v>85</v>
      </c>
      <c r="M1160" s="56">
        <v>84.7</v>
      </c>
      <c r="N1160" s="56">
        <v>78.2</v>
      </c>
      <c r="O1160" s="56">
        <v>67.599999999999994</v>
      </c>
      <c r="P1160" s="56">
        <v>55.7</v>
      </c>
      <c r="Q1160" s="56">
        <v>44.9</v>
      </c>
      <c r="R1160" s="57">
        <v>65.3</v>
      </c>
    </row>
    <row r="1161" spans="2:18" x14ac:dyDescent="0.4">
      <c r="B1161" s="50"/>
      <c r="C1161" s="51" t="s">
        <v>258</v>
      </c>
      <c r="D1161" s="49" t="s">
        <v>259</v>
      </c>
      <c r="E1161" s="49" t="str">
        <f>B1159&amp;C1161</f>
        <v>Huntington, WVV</v>
      </c>
      <c r="F1161" s="56">
        <v>6.9</v>
      </c>
      <c r="G1161" s="56">
        <v>6.7</v>
      </c>
      <c r="H1161" s="56">
        <v>6.9</v>
      </c>
      <c r="I1161" s="56">
        <v>6.7</v>
      </c>
      <c r="J1161" s="56">
        <v>5.6</v>
      </c>
      <c r="K1161" s="56">
        <v>4.9000000000000004</v>
      </c>
      <c r="L1161" s="56">
        <v>4.7</v>
      </c>
      <c r="M1161" s="56">
        <v>4.3</v>
      </c>
      <c r="N1161" s="56">
        <v>4.5</v>
      </c>
      <c r="O1161" s="56">
        <v>4.9000000000000004</v>
      </c>
      <c r="P1161" s="56">
        <v>5.8</v>
      </c>
      <c r="Q1161" s="56">
        <v>6.3</v>
      </c>
      <c r="R1161" s="57">
        <v>5.6</v>
      </c>
    </row>
    <row r="1162" spans="2:18" x14ac:dyDescent="0.4">
      <c r="B1162" s="50"/>
      <c r="C1162" s="51" t="s">
        <v>260</v>
      </c>
      <c r="D1162" s="49" t="s">
        <v>261</v>
      </c>
      <c r="E1162" s="49" t="str">
        <f>B1159&amp;C1162</f>
        <v>Huntington, WVI</v>
      </c>
      <c r="F1162" s="56">
        <v>570</v>
      </c>
      <c r="G1162" s="56">
        <v>828</v>
      </c>
      <c r="H1162" s="56">
        <v>1163</v>
      </c>
      <c r="I1162" s="56">
        <v>1545</v>
      </c>
      <c r="J1162" s="56">
        <v>1751</v>
      </c>
      <c r="K1162" s="56">
        <v>1915</v>
      </c>
      <c r="L1162" s="56">
        <v>1856</v>
      </c>
      <c r="M1162" s="56">
        <v>1725</v>
      </c>
      <c r="N1162" s="56">
        <v>1404</v>
      </c>
      <c r="O1162" s="56">
        <v>1045</v>
      </c>
      <c r="P1162" s="56">
        <v>676</v>
      </c>
      <c r="Q1162" s="56">
        <v>519</v>
      </c>
      <c r="R1162" s="57">
        <v>1250</v>
      </c>
    </row>
    <row r="1163" spans="2:18" x14ac:dyDescent="0.4">
      <c r="B1163" s="50"/>
      <c r="C1163" s="51" t="s">
        <v>262</v>
      </c>
      <c r="D1163" s="49" t="s">
        <v>263</v>
      </c>
      <c r="E1163" s="49" t="str">
        <f>B1159&amp;C1163</f>
        <v>Huntington, WVPA</v>
      </c>
      <c r="F1163" s="58" t="s">
        <v>506</v>
      </c>
      <c r="G1163" s="58" t="s">
        <v>506</v>
      </c>
      <c r="H1163" s="58" t="s">
        <v>506</v>
      </c>
      <c r="I1163" s="58" t="s">
        <v>506</v>
      </c>
      <c r="J1163" s="58" t="s">
        <v>506</v>
      </c>
      <c r="K1163" s="58" t="s">
        <v>506</v>
      </c>
      <c r="L1163" s="58" t="s">
        <v>506</v>
      </c>
      <c r="M1163" s="58" t="s">
        <v>506</v>
      </c>
      <c r="N1163" s="58" t="s">
        <v>506</v>
      </c>
      <c r="O1163" s="58" t="s">
        <v>506</v>
      </c>
      <c r="P1163" s="58" t="s">
        <v>506</v>
      </c>
      <c r="Q1163" s="58" t="s">
        <v>506</v>
      </c>
      <c r="R1163" s="57">
        <v>14.26</v>
      </c>
    </row>
    <row r="1164" spans="2:18" x14ac:dyDescent="0.4">
      <c r="B1164" s="48" t="s">
        <v>495</v>
      </c>
      <c r="C1164" s="51" t="s">
        <v>255</v>
      </c>
      <c r="D1164" s="49" t="s">
        <v>256</v>
      </c>
      <c r="E1164" s="49" t="str">
        <f>B1164&amp;C1164</f>
        <v>Eau Claire, WITAN</v>
      </c>
      <c r="F1164" s="56">
        <v>6.6</v>
      </c>
      <c r="G1164" s="56">
        <v>11.2</v>
      </c>
      <c r="H1164" s="56">
        <v>22</v>
      </c>
      <c r="I1164" s="56">
        <v>34.799999999999997</v>
      </c>
      <c r="J1164" s="56">
        <v>46.1</v>
      </c>
      <c r="K1164" s="56">
        <v>56.4</v>
      </c>
      <c r="L1164" s="56">
        <v>60.5</v>
      </c>
      <c r="M1164" s="56">
        <v>58.9</v>
      </c>
      <c r="N1164" s="56">
        <v>49.8</v>
      </c>
      <c r="O1164" s="56">
        <v>38.1</v>
      </c>
      <c r="P1164" s="56">
        <v>25.7</v>
      </c>
      <c r="Q1164" s="56">
        <v>12.8</v>
      </c>
      <c r="R1164" s="57">
        <v>35.200000000000003</v>
      </c>
    </row>
    <row r="1165" spans="2:18" x14ac:dyDescent="0.4">
      <c r="B1165" s="50"/>
      <c r="C1165" s="51" t="s">
        <v>257</v>
      </c>
      <c r="D1165" s="49" t="s">
        <v>256</v>
      </c>
      <c r="E1165" s="49" t="str">
        <f>B1164&amp;C1165</f>
        <v>Eau Claire, WITAX</v>
      </c>
      <c r="F1165" s="56">
        <v>22.7</v>
      </c>
      <c r="G1165" s="56">
        <v>28.6</v>
      </c>
      <c r="H1165" s="56">
        <v>40.700000000000003</v>
      </c>
      <c r="I1165" s="56">
        <v>56.9</v>
      </c>
      <c r="J1165" s="56">
        <v>68.599999999999994</v>
      </c>
      <c r="K1165" s="56">
        <v>77.599999999999994</v>
      </c>
      <c r="L1165" s="56">
        <v>81.400000000000006</v>
      </c>
      <c r="M1165" s="56">
        <v>79.599999999999994</v>
      </c>
      <c r="N1165" s="56">
        <v>71.2</v>
      </c>
      <c r="O1165" s="56">
        <v>57.7</v>
      </c>
      <c r="P1165" s="56">
        <v>41.2</v>
      </c>
      <c r="Q1165" s="56">
        <v>27.9</v>
      </c>
      <c r="R1165" s="57">
        <v>54.5</v>
      </c>
    </row>
    <row r="1166" spans="2:18" x14ac:dyDescent="0.4">
      <c r="B1166" s="50"/>
      <c r="C1166" s="51" t="s">
        <v>258</v>
      </c>
      <c r="D1166" s="49" t="s">
        <v>259</v>
      </c>
      <c r="E1166" s="49" t="str">
        <f>B1164&amp;C1166</f>
        <v>Eau Claire, WIV</v>
      </c>
      <c r="F1166" s="56">
        <v>7.4</v>
      </c>
      <c r="G1166" s="56">
        <v>7.6</v>
      </c>
      <c r="H1166" s="56">
        <v>7.6</v>
      </c>
      <c r="I1166" s="56">
        <v>8.6999999999999993</v>
      </c>
      <c r="J1166" s="56">
        <v>8.3000000000000007</v>
      </c>
      <c r="K1166" s="56">
        <v>7.2</v>
      </c>
      <c r="L1166" s="56">
        <v>6.5</v>
      </c>
      <c r="M1166" s="56">
        <v>6.3</v>
      </c>
      <c r="N1166" s="56">
        <v>6.9</v>
      </c>
      <c r="O1166" s="56">
        <v>7.6</v>
      </c>
      <c r="P1166" s="56">
        <v>7.6</v>
      </c>
      <c r="Q1166" s="56">
        <v>7.2</v>
      </c>
      <c r="R1166" s="57">
        <v>7.4</v>
      </c>
    </row>
    <row r="1167" spans="2:18" x14ac:dyDescent="0.4">
      <c r="B1167" s="50"/>
      <c r="C1167" s="51" t="s">
        <v>260</v>
      </c>
      <c r="D1167" s="49" t="s">
        <v>261</v>
      </c>
      <c r="E1167" s="49" t="str">
        <f>B1164&amp;C1167</f>
        <v>Eau Claire, WII</v>
      </c>
      <c r="F1167" s="56">
        <v>485</v>
      </c>
      <c r="G1167" s="56">
        <v>734</v>
      </c>
      <c r="H1167" s="56">
        <v>1116</v>
      </c>
      <c r="I1167" s="56">
        <v>1485</v>
      </c>
      <c r="J1167" s="56">
        <v>1716</v>
      </c>
      <c r="K1167" s="56">
        <v>1866</v>
      </c>
      <c r="L1167" s="56">
        <v>1895</v>
      </c>
      <c r="M1167" s="56">
        <v>1616</v>
      </c>
      <c r="N1167" s="56">
        <v>1234</v>
      </c>
      <c r="O1167" s="56">
        <v>802</v>
      </c>
      <c r="P1167" s="56">
        <v>484</v>
      </c>
      <c r="Q1167" s="56">
        <v>377</v>
      </c>
      <c r="R1167" s="57">
        <v>1151</v>
      </c>
    </row>
    <row r="1168" spans="2:18" x14ac:dyDescent="0.4">
      <c r="B1168" s="50"/>
      <c r="C1168" s="51" t="s">
        <v>262</v>
      </c>
      <c r="D1168" s="49" t="s">
        <v>263</v>
      </c>
      <c r="E1168" s="49" t="str">
        <f>B1164&amp;C1168</f>
        <v>Eau Claire, WIPA</v>
      </c>
      <c r="F1168" s="58" t="s">
        <v>506</v>
      </c>
      <c r="G1168" s="58" t="s">
        <v>506</v>
      </c>
      <c r="H1168" s="58" t="s">
        <v>506</v>
      </c>
      <c r="I1168" s="58" t="s">
        <v>506</v>
      </c>
      <c r="J1168" s="58" t="s">
        <v>506</v>
      </c>
      <c r="K1168" s="58" t="s">
        <v>506</v>
      </c>
      <c r="L1168" s="58" t="s">
        <v>506</v>
      </c>
      <c r="M1168" s="58" t="s">
        <v>506</v>
      </c>
      <c r="N1168" s="58" t="s">
        <v>506</v>
      </c>
      <c r="O1168" s="58" t="s">
        <v>506</v>
      </c>
      <c r="P1168" s="58" t="s">
        <v>506</v>
      </c>
      <c r="Q1168" s="58" t="s">
        <v>506</v>
      </c>
      <c r="R1168" s="57">
        <v>14.23</v>
      </c>
    </row>
    <row r="1169" spans="2:18" x14ac:dyDescent="0.4">
      <c r="B1169" s="48" t="s">
        <v>496</v>
      </c>
      <c r="C1169" s="51" t="s">
        <v>255</v>
      </c>
      <c r="D1169" s="49" t="s">
        <v>256</v>
      </c>
      <c r="E1169" s="49" t="str">
        <f>B1169&amp;C1169</f>
        <v>Green Bay, WITAN</v>
      </c>
      <c r="F1169" s="56">
        <v>10.7</v>
      </c>
      <c r="G1169" s="56">
        <v>14</v>
      </c>
      <c r="H1169" s="56">
        <v>23.7</v>
      </c>
      <c r="I1169" s="56">
        <v>35.1</v>
      </c>
      <c r="J1169" s="56">
        <v>45.5</v>
      </c>
      <c r="K1169" s="56">
        <v>55.9</v>
      </c>
      <c r="L1169" s="56">
        <v>59.2</v>
      </c>
      <c r="M1169" s="56">
        <v>58</v>
      </c>
      <c r="N1169" s="56">
        <v>49.6</v>
      </c>
      <c r="O1169" s="56">
        <v>39.1</v>
      </c>
      <c r="P1169" s="56">
        <v>28.4</v>
      </c>
      <c r="Q1169" s="56">
        <v>16.899999999999999</v>
      </c>
      <c r="R1169" s="57">
        <v>36.299999999999997</v>
      </c>
    </row>
    <row r="1170" spans="2:18" x14ac:dyDescent="0.4">
      <c r="B1170" s="50"/>
      <c r="C1170" s="51" t="s">
        <v>257</v>
      </c>
      <c r="D1170" s="49" t="s">
        <v>256</v>
      </c>
      <c r="E1170" s="49" t="str">
        <f>B1169&amp;C1170</f>
        <v>Green Bay, WITAX</v>
      </c>
      <c r="F1170" s="56">
        <v>24.9</v>
      </c>
      <c r="G1170" s="56">
        <v>29.1</v>
      </c>
      <c r="H1170" s="56">
        <v>39.9</v>
      </c>
      <c r="I1170" s="56">
        <v>54.3</v>
      </c>
      <c r="J1170" s="56">
        <v>66.2</v>
      </c>
      <c r="K1170" s="56">
        <v>75.7</v>
      </c>
      <c r="L1170" s="56">
        <v>79.599999999999994</v>
      </c>
      <c r="M1170" s="56">
        <v>78.099999999999994</v>
      </c>
      <c r="N1170" s="56">
        <v>70.8</v>
      </c>
      <c r="O1170" s="56">
        <v>57.5</v>
      </c>
      <c r="P1170" s="56">
        <v>43.1</v>
      </c>
      <c r="Q1170" s="56">
        <v>30.3</v>
      </c>
      <c r="R1170" s="57">
        <v>54.1</v>
      </c>
    </row>
    <row r="1171" spans="2:18" x14ac:dyDescent="0.4">
      <c r="B1171" s="50"/>
      <c r="C1171" s="51" t="s">
        <v>258</v>
      </c>
      <c r="D1171" s="49" t="s">
        <v>259</v>
      </c>
      <c r="E1171" s="49" t="str">
        <f>B1169&amp;C1171</f>
        <v>Green Bay, WIV</v>
      </c>
      <c r="F1171" s="56">
        <v>9.6</v>
      </c>
      <c r="G1171" s="56">
        <v>9.4</v>
      </c>
      <c r="H1171" s="56">
        <v>9.4</v>
      </c>
      <c r="I1171" s="56">
        <v>10.5</v>
      </c>
      <c r="J1171" s="56">
        <v>9.1999999999999993</v>
      </c>
      <c r="K1171" s="56">
        <v>7.6</v>
      </c>
      <c r="L1171" s="56">
        <v>7.2</v>
      </c>
      <c r="M1171" s="56">
        <v>6.7</v>
      </c>
      <c r="N1171" s="56">
        <v>7.6</v>
      </c>
      <c r="O1171" s="56">
        <v>8.6999999999999993</v>
      </c>
      <c r="P1171" s="56">
        <v>9.1999999999999993</v>
      </c>
      <c r="Q1171" s="56">
        <v>8.9</v>
      </c>
      <c r="R1171" s="57">
        <v>8.6999999999999993</v>
      </c>
    </row>
    <row r="1172" spans="2:18" x14ac:dyDescent="0.4">
      <c r="B1172" s="50"/>
      <c r="C1172" s="51" t="s">
        <v>260</v>
      </c>
      <c r="D1172" s="49" t="s">
        <v>261</v>
      </c>
      <c r="E1172" s="49" t="str">
        <f>B1169&amp;C1172</f>
        <v>Green Bay, WII</v>
      </c>
      <c r="F1172" s="56">
        <v>426</v>
      </c>
      <c r="G1172" s="56">
        <v>678</v>
      </c>
      <c r="H1172" s="56">
        <v>1103</v>
      </c>
      <c r="I1172" s="56">
        <v>1501</v>
      </c>
      <c r="J1172" s="56">
        <v>1748</v>
      </c>
      <c r="K1172" s="56">
        <v>1923</v>
      </c>
      <c r="L1172" s="56">
        <v>1900</v>
      </c>
      <c r="M1172" s="56">
        <v>1624</v>
      </c>
      <c r="N1172" s="56">
        <v>1274</v>
      </c>
      <c r="O1172" s="56">
        <v>820</v>
      </c>
      <c r="P1172" s="56">
        <v>504</v>
      </c>
      <c r="Q1172" s="56">
        <v>373</v>
      </c>
      <c r="R1172" s="57">
        <v>1156</v>
      </c>
    </row>
    <row r="1173" spans="2:18" x14ac:dyDescent="0.4">
      <c r="B1173" s="50"/>
      <c r="C1173" s="51" t="s">
        <v>262</v>
      </c>
      <c r="D1173" s="49" t="s">
        <v>263</v>
      </c>
      <c r="E1173" s="49" t="str">
        <f>B1169&amp;C1173</f>
        <v>Green Bay, WIPA</v>
      </c>
      <c r="F1173" s="58" t="s">
        <v>506</v>
      </c>
      <c r="G1173" s="58" t="s">
        <v>506</v>
      </c>
      <c r="H1173" s="58" t="s">
        <v>506</v>
      </c>
      <c r="I1173" s="58" t="s">
        <v>506</v>
      </c>
      <c r="J1173" s="58" t="s">
        <v>506</v>
      </c>
      <c r="K1173" s="58" t="s">
        <v>506</v>
      </c>
      <c r="L1173" s="58" t="s">
        <v>506</v>
      </c>
      <c r="M1173" s="58" t="s">
        <v>506</v>
      </c>
      <c r="N1173" s="58" t="s">
        <v>506</v>
      </c>
      <c r="O1173" s="58" t="s">
        <v>506</v>
      </c>
      <c r="P1173" s="58" t="s">
        <v>506</v>
      </c>
      <c r="Q1173" s="58" t="s">
        <v>506</v>
      </c>
      <c r="R1173" s="57">
        <v>14.33</v>
      </c>
    </row>
    <row r="1174" spans="2:18" x14ac:dyDescent="0.4">
      <c r="B1174" s="48" t="s">
        <v>497</v>
      </c>
      <c r="C1174" s="51" t="s">
        <v>255</v>
      </c>
      <c r="D1174" s="49" t="s">
        <v>256</v>
      </c>
      <c r="E1174" s="49" t="str">
        <f>B1174&amp;C1174</f>
        <v>La Crosse, WITAN</v>
      </c>
      <c r="F1174" s="56">
        <v>9.9</v>
      </c>
      <c r="G1174" s="56">
        <v>15</v>
      </c>
      <c r="H1174" s="56">
        <v>25.7</v>
      </c>
      <c r="I1174" s="56">
        <v>38.700000000000003</v>
      </c>
      <c r="J1174" s="56">
        <v>49.5</v>
      </c>
      <c r="K1174" s="56">
        <v>59.6</v>
      </c>
      <c r="L1174" s="56">
        <v>63.6</v>
      </c>
      <c r="M1174" s="56">
        <v>61.9</v>
      </c>
      <c r="N1174" s="56">
        <v>53.2</v>
      </c>
      <c r="O1174" s="56">
        <v>41.6</v>
      </c>
      <c r="P1174" s="56">
        <v>29.3</v>
      </c>
      <c r="Q1174" s="56">
        <v>16.5</v>
      </c>
      <c r="R1174" s="57">
        <v>38.700000000000003</v>
      </c>
    </row>
    <row r="1175" spans="2:18" x14ac:dyDescent="0.4">
      <c r="B1175" s="50"/>
      <c r="C1175" s="51" t="s">
        <v>257</v>
      </c>
      <c r="D1175" s="49" t="s">
        <v>256</v>
      </c>
      <c r="E1175" s="49" t="str">
        <f>B1174&amp;C1175</f>
        <v>La Crosse, WITAX</v>
      </c>
      <c r="F1175" s="56">
        <v>25.6</v>
      </c>
      <c r="G1175" s="56">
        <v>31.4</v>
      </c>
      <c r="H1175" s="56">
        <v>43.7</v>
      </c>
      <c r="I1175" s="56">
        <v>58.7</v>
      </c>
      <c r="J1175" s="56">
        <v>70.099999999999994</v>
      </c>
      <c r="K1175" s="56">
        <v>79.5</v>
      </c>
      <c r="L1175" s="56">
        <v>83.2</v>
      </c>
      <c r="M1175" s="56">
        <v>81</v>
      </c>
      <c r="N1175" s="56">
        <v>73.2</v>
      </c>
      <c r="O1175" s="56">
        <v>60</v>
      </c>
      <c r="P1175" s="56">
        <v>43.8</v>
      </c>
      <c r="Q1175" s="56">
        <v>30.4</v>
      </c>
      <c r="R1175" s="57">
        <v>56.7</v>
      </c>
    </row>
    <row r="1176" spans="2:18" x14ac:dyDescent="0.4">
      <c r="B1176" s="50"/>
      <c r="C1176" s="51" t="s">
        <v>258</v>
      </c>
      <c r="D1176" s="49" t="s">
        <v>259</v>
      </c>
      <c r="E1176" s="49" t="str">
        <f>B1174&amp;C1176</f>
        <v>La Crosse, WIV</v>
      </c>
      <c r="F1176" s="56">
        <v>8.6999999999999993</v>
      </c>
      <c r="G1176" s="56">
        <v>8.9</v>
      </c>
      <c r="H1176" s="56">
        <v>9.1999999999999993</v>
      </c>
      <c r="I1176" s="56">
        <v>9.8000000000000007</v>
      </c>
      <c r="J1176" s="56">
        <v>9.1999999999999993</v>
      </c>
      <c r="K1176" s="56">
        <v>8.1</v>
      </c>
      <c r="L1176" s="56">
        <v>7.6</v>
      </c>
      <c r="M1176" s="56">
        <v>7.4</v>
      </c>
      <c r="N1176" s="56">
        <v>8.3000000000000007</v>
      </c>
      <c r="O1176" s="56">
        <v>9.1999999999999993</v>
      </c>
      <c r="P1176" s="56">
        <v>9.4</v>
      </c>
      <c r="Q1176" s="56">
        <v>8.6999999999999993</v>
      </c>
      <c r="R1176" s="57">
        <v>8.6999999999999993</v>
      </c>
    </row>
    <row r="1177" spans="2:18" x14ac:dyDescent="0.4">
      <c r="B1177" s="50"/>
      <c r="C1177" s="51" t="s">
        <v>260</v>
      </c>
      <c r="D1177" s="49" t="s">
        <v>261</v>
      </c>
      <c r="E1177" s="49" t="str">
        <f>B1174&amp;C1177</f>
        <v>La Crosse, WII</v>
      </c>
      <c r="F1177" s="56">
        <v>507</v>
      </c>
      <c r="G1177" s="56">
        <v>767</v>
      </c>
      <c r="H1177" s="56">
        <v>1131</v>
      </c>
      <c r="I1177" s="56">
        <v>1445</v>
      </c>
      <c r="J1177" s="56">
        <v>1723</v>
      </c>
      <c r="K1177" s="56">
        <v>1887</v>
      </c>
      <c r="L1177" s="56">
        <v>1895</v>
      </c>
      <c r="M1177" s="56">
        <v>1615</v>
      </c>
      <c r="N1177" s="56">
        <v>1260</v>
      </c>
      <c r="O1177" s="56">
        <v>829</v>
      </c>
      <c r="P1177" s="56">
        <v>512</v>
      </c>
      <c r="Q1177" s="56">
        <v>397</v>
      </c>
      <c r="R1177" s="57">
        <v>1164</v>
      </c>
    </row>
    <row r="1178" spans="2:18" x14ac:dyDescent="0.4">
      <c r="B1178" s="50"/>
      <c r="C1178" s="51" t="s">
        <v>262</v>
      </c>
      <c r="D1178" s="49" t="s">
        <v>263</v>
      </c>
      <c r="E1178" s="49" t="str">
        <f>B1174&amp;C1178</f>
        <v>La Crosse, WIPA</v>
      </c>
      <c r="F1178" s="58" t="s">
        <v>506</v>
      </c>
      <c r="G1178" s="58" t="s">
        <v>506</v>
      </c>
      <c r="H1178" s="58" t="s">
        <v>506</v>
      </c>
      <c r="I1178" s="58" t="s">
        <v>506</v>
      </c>
      <c r="J1178" s="58" t="s">
        <v>506</v>
      </c>
      <c r="K1178" s="58" t="s">
        <v>506</v>
      </c>
      <c r="L1178" s="58" t="s">
        <v>506</v>
      </c>
      <c r="M1178" s="58" t="s">
        <v>506</v>
      </c>
      <c r="N1178" s="58" t="s">
        <v>506</v>
      </c>
      <c r="O1178" s="58" t="s">
        <v>506</v>
      </c>
      <c r="P1178" s="58" t="s">
        <v>506</v>
      </c>
      <c r="Q1178" s="58" t="s">
        <v>506</v>
      </c>
      <c r="R1178" s="57">
        <v>14.36</v>
      </c>
    </row>
    <row r="1179" spans="2:18" x14ac:dyDescent="0.4">
      <c r="B1179" s="48" t="s">
        <v>498</v>
      </c>
      <c r="C1179" s="51" t="s">
        <v>255</v>
      </c>
      <c r="D1179" s="49" t="s">
        <v>256</v>
      </c>
      <c r="E1179" s="49" t="str">
        <f>B1179&amp;C1179</f>
        <v>Madison, WITAN</v>
      </c>
      <c r="F1179" s="56">
        <v>12.1</v>
      </c>
      <c r="G1179" s="56">
        <v>16.2</v>
      </c>
      <c r="H1179" s="56">
        <v>25.4</v>
      </c>
      <c r="I1179" s="56">
        <v>36.700000000000003</v>
      </c>
      <c r="J1179" s="56">
        <v>47.3</v>
      </c>
      <c r="K1179" s="56">
        <v>57.6</v>
      </c>
      <c r="L1179" s="56">
        <v>61.5</v>
      </c>
      <c r="M1179" s="56">
        <v>59.8</v>
      </c>
      <c r="N1179" s="56">
        <v>51</v>
      </c>
      <c r="O1179" s="56">
        <v>40.1</v>
      </c>
      <c r="P1179" s="56">
        <v>29.3</v>
      </c>
      <c r="Q1179" s="56">
        <v>17.600000000000001</v>
      </c>
      <c r="R1179" s="57">
        <v>37.9</v>
      </c>
    </row>
    <row r="1180" spans="2:18" x14ac:dyDescent="0.4">
      <c r="B1180" s="50"/>
      <c r="C1180" s="51" t="s">
        <v>257</v>
      </c>
      <c r="D1180" s="49" t="s">
        <v>256</v>
      </c>
      <c r="E1180" s="49" t="str">
        <f>B1179&amp;C1180</f>
        <v>Madison, WITAX</v>
      </c>
      <c r="F1180" s="56">
        <v>26.7</v>
      </c>
      <c r="G1180" s="56">
        <v>31.6</v>
      </c>
      <c r="H1180" s="56">
        <v>43.3</v>
      </c>
      <c r="I1180" s="56">
        <v>57</v>
      </c>
      <c r="J1180" s="56">
        <v>68.3</v>
      </c>
      <c r="K1180" s="56">
        <v>77.8</v>
      </c>
      <c r="L1180" s="56">
        <v>81</v>
      </c>
      <c r="M1180" s="56">
        <v>79.2</v>
      </c>
      <c r="N1180" s="56">
        <v>72.099999999999994</v>
      </c>
      <c r="O1180" s="56">
        <v>59.4</v>
      </c>
      <c r="P1180" s="56">
        <v>44.5</v>
      </c>
      <c r="Q1180" s="56">
        <v>31.4</v>
      </c>
      <c r="R1180" s="57">
        <v>56</v>
      </c>
    </row>
    <row r="1181" spans="2:18" x14ac:dyDescent="0.4">
      <c r="B1181" s="50"/>
      <c r="C1181" s="51" t="s">
        <v>258</v>
      </c>
      <c r="D1181" s="49" t="s">
        <v>259</v>
      </c>
      <c r="E1181" s="49" t="str">
        <f>B1179&amp;C1181</f>
        <v>Madison, WIV</v>
      </c>
      <c r="F1181" s="56">
        <v>8.5</v>
      </c>
      <c r="G1181" s="56">
        <v>8.5</v>
      </c>
      <c r="H1181" s="56">
        <v>8.9</v>
      </c>
      <c r="I1181" s="56">
        <v>9.6</v>
      </c>
      <c r="J1181" s="56">
        <v>8.3000000000000007</v>
      </c>
      <c r="K1181" s="56">
        <v>6.9</v>
      </c>
      <c r="L1181" s="56">
        <v>6.5</v>
      </c>
      <c r="M1181" s="56">
        <v>6</v>
      </c>
      <c r="N1181" s="56">
        <v>6.7</v>
      </c>
      <c r="O1181" s="56">
        <v>7.8</v>
      </c>
      <c r="P1181" s="56">
        <v>8.5</v>
      </c>
      <c r="Q1181" s="56">
        <v>8.1</v>
      </c>
      <c r="R1181" s="57">
        <v>7.8</v>
      </c>
    </row>
    <row r="1182" spans="2:18" x14ac:dyDescent="0.4">
      <c r="B1182" s="50"/>
      <c r="C1182" s="51" t="s">
        <v>260</v>
      </c>
      <c r="D1182" s="49" t="s">
        <v>261</v>
      </c>
      <c r="E1182" s="49" t="str">
        <f>B1179&amp;C1182</f>
        <v>Madison, WII</v>
      </c>
      <c r="F1182" s="56">
        <v>441</v>
      </c>
      <c r="G1182" s="56">
        <v>718</v>
      </c>
      <c r="H1182" s="56">
        <v>1122</v>
      </c>
      <c r="I1182" s="56">
        <v>1478</v>
      </c>
      <c r="J1182" s="56">
        <v>1735</v>
      </c>
      <c r="K1182" s="56">
        <v>1931</v>
      </c>
      <c r="L1182" s="56">
        <v>1911</v>
      </c>
      <c r="M1182" s="56">
        <v>1634</v>
      </c>
      <c r="N1182" s="56">
        <v>1324</v>
      </c>
      <c r="O1182" s="56">
        <v>871</v>
      </c>
      <c r="P1182" s="56">
        <v>541</v>
      </c>
      <c r="Q1182" s="56">
        <v>422</v>
      </c>
      <c r="R1182" s="57">
        <v>1177</v>
      </c>
    </row>
    <row r="1183" spans="2:18" x14ac:dyDescent="0.4">
      <c r="B1183" s="50"/>
      <c r="C1183" s="51" t="s">
        <v>262</v>
      </c>
      <c r="D1183" s="49" t="s">
        <v>263</v>
      </c>
      <c r="E1183" s="49" t="str">
        <f>B1179&amp;C1183</f>
        <v>Madison, WIPA</v>
      </c>
      <c r="F1183" s="58" t="s">
        <v>506</v>
      </c>
      <c r="G1183" s="58" t="s">
        <v>506</v>
      </c>
      <c r="H1183" s="58" t="s">
        <v>506</v>
      </c>
      <c r="I1183" s="58" t="s">
        <v>506</v>
      </c>
      <c r="J1183" s="58" t="s">
        <v>506</v>
      </c>
      <c r="K1183" s="58" t="s">
        <v>506</v>
      </c>
      <c r="L1183" s="58" t="s">
        <v>506</v>
      </c>
      <c r="M1183" s="58" t="s">
        <v>506</v>
      </c>
      <c r="N1183" s="58" t="s">
        <v>506</v>
      </c>
      <c r="O1183" s="58" t="s">
        <v>506</v>
      </c>
      <c r="P1183" s="58" t="s">
        <v>506</v>
      </c>
      <c r="Q1183" s="58" t="s">
        <v>506</v>
      </c>
      <c r="R1183" s="57">
        <v>14.24</v>
      </c>
    </row>
    <row r="1184" spans="2:18" x14ac:dyDescent="0.4">
      <c r="B1184" s="48" t="s">
        <v>499</v>
      </c>
      <c r="C1184" s="51" t="s">
        <v>255</v>
      </c>
      <c r="D1184" s="49" t="s">
        <v>256</v>
      </c>
      <c r="E1184" s="49" t="str">
        <f>B1184&amp;C1184</f>
        <v>Milwaukee, WITAN</v>
      </c>
      <c r="F1184" s="56">
        <v>16.899999999999999</v>
      </c>
      <c r="G1184" s="56">
        <v>20.6</v>
      </c>
      <c r="H1184" s="56">
        <v>28.5</v>
      </c>
      <c r="I1184" s="56">
        <v>38.1</v>
      </c>
      <c r="J1184" s="56">
        <v>47.7</v>
      </c>
      <c r="K1184" s="56">
        <v>58.5</v>
      </c>
      <c r="L1184" s="56">
        <v>64.2</v>
      </c>
      <c r="M1184" s="56">
        <v>64.099999999999994</v>
      </c>
      <c r="N1184" s="56">
        <v>55.9</v>
      </c>
      <c r="O1184" s="56">
        <v>44.6</v>
      </c>
      <c r="P1184" s="56">
        <v>33</v>
      </c>
      <c r="Q1184" s="56">
        <v>21.9</v>
      </c>
      <c r="R1184" s="57">
        <v>41.2</v>
      </c>
    </row>
    <row r="1185" spans="2:18" x14ac:dyDescent="0.4">
      <c r="B1185" s="50"/>
      <c r="C1185" s="51" t="s">
        <v>257</v>
      </c>
      <c r="D1185" s="49" t="s">
        <v>256</v>
      </c>
      <c r="E1185" s="49" t="str">
        <f>B1184&amp;C1185</f>
        <v>Milwaukee, WITAX</v>
      </c>
      <c r="F1185" s="56">
        <v>29.5</v>
      </c>
      <c r="G1185" s="56">
        <v>33.1</v>
      </c>
      <c r="H1185" s="56">
        <v>42.5</v>
      </c>
      <c r="I1185" s="56">
        <v>53.6</v>
      </c>
      <c r="J1185" s="56">
        <v>64.5</v>
      </c>
      <c r="K1185" s="56">
        <v>75</v>
      </c>
      <c r="L1185" s="56">
        <v>79.599999999999994</v>
      </c>
      <c r="M1185" s="56">
        <v>78.400000000000006</v>
      </c>
      <c r="N1185" s="56">
        <v>71.5</v>
      </c>
      <c r="O1185" s="56">
        <v>59.6</v>
      </c>
      <c r="P1185" s="56">
        <v>46.1</v>
      </c>
      <c r="Q1185" s="56">
        <v>33.799999999999997</v>
      </c>
      <c r="R1185" s="57">
        <v>55.6</v>
      </c>
    </row>
    <row r="1186" spans="2:18" x14ac:dyDescent="0.4">
      <c r="B1186" s="50"/>
      <c r="C1186" s="51" t="s">
        <v>258</v>
      </c>
      <c r="D1186" s="49" t="s">
        <v>259</v>
      </c>
      <c r="E1186" s="49" t="str">
        <f>B1184&amp;C1186</f>
        <v>Milwaukee, WIV</v>
      </c>
      <c r="F1186" s="56">
        <v>11</v>
      </c>
      <c r="G1186" s="56">
        <v>10.7</v>
      </c>
      <c r="H1186" s="56">
        <v>10.7</v>
      </c>
      <c r="I1186" s="56">
        <v>11.6</v>
      </c>
      <c r="J1186" s="56">
        <v>10.3</v>
      </c>
      <c r="K1186" s="56">
        <v>8.6999999999999993</v>
      </c>
      <c r="L1186" s="56">
        <v>8.9</v>
      </c>
      <c r="M1186" s="56">
        <v>8.5</v>
      </c>
      <c r="N1186" s="56">
        <v>8.9</v>
      </c>
      <c r="O1186" s="56">
        <v>10.1</v>
      </c>
      <c r="P1186" s="56">
        <v>10.5</v>
      </c>
      <c r="Q1186" s="56">
        <v>10.5</v>
      </c>
      <c r="R1186" s="57">
        <v>10.1</v>
      </c>
    </row>
    <row r="1187" spans="2:18" x14ac:dyDescent="0.4">
      <c r="B1187" s="50"/>
      <c r="C1187" s="51" t="s">
        <v>260</v>
      </c>
      <c r="D1187" s="49" t="s">
        <v>261</v>
      </c>
      <c r="E1187" s="49" t="str">
        <f>B1184&amp;C1187</f>
        <v>Milwaukee, WII</v>
      </c>
      <c r="F1187" s="56">
        <v>477</v>
      </c>
      <c r="G1187" s="56">
        <v>755</v>
      </c>
      <c r="H1187" s="56">
        <v>1096</v>
      </c>
      <c r="I1187" s="56">
        <v>1444</v>
      </c>
      <c r="J1187" s="56">
        <v>1729</v>
      </c>
      <c r="K1187" s="56">
        <v>1926</v>
      </c>
      <c r="L1187" s="56">
        <v>1894</v>
      </c>
      <c r="M1187" s="56">
        <v>1612</v>
      </c>
      <c r="N1187" s="56">
        <v>1322</v>
      </c>
      <c r="O1187" s="56">
        <v>873</v>
      </c>
      <c r="P1187" s="56">
        <v>536</v>
      </c>
      <c r="Q1187" s="56">
        <v>411</v>
      </c>
      <c r="R1187" s="57">
        <v>1173</v>
      </c>
    </row>
    <row r="1188" spans="2:18" x14ac:dyDescent="0.4">
      <c r="B1188" s="50"/>
      <c r="C1188" s="51" t="s">
        <v>262</v>
      </c>
      <c r="D1188" s="49" t="s">
        <v>263</v>
      </c>
      <c r="E1188" s="49" t="str">
        <f>B1184&amp;C1188</f>
        <v>Milwaukee, WIPA</v>
      </c>
      <c r="F1188" s="58" t="s">
        <v>506</v>
      </c>
      <c r="G1188" s="58" t="s">
        <v>506</v>
      </c>
      <c r="H1188" s="58" t="s">
        <v>506</v>
      </c>
      <c r="I1188" s="58" t="s">
        <v>506</v>
      </c>
      <c r="J1188" s="58" t="s">
        <v>506</v>
      </c>
      <c r="K1188" s="58" t="s">
        <v>506</v>
      </c>
      <c r="L1188" s="58" t="s">
        <v>506</v>
      </c>
      <c r="M1188" s="58" t="s">
        <v>506</v>
      </c>
      <c r="N1188" s="58" t="s">
        <v>506</v>
      </c>
      <c r="O1188" s="58" t="s">
        <v>506</v>
      </c>
      <c r="P1188" s="58" t="s">
        <v>506</v>
      </c>
      <c r="Q1188" s="58" t="s">
        <v>506</v>
      </c>
      <c r="R1188" s="57">
        <v>14.34</v>
      </c>
    </row>
    <row r="1189" spans="2:18" x14ac:dyDescent="0.4">
      <c r="B1189" s="48" t="s">
        <v>500</v>
      </c>
      <c r="C1189" s="51" t="s">
        <v>255</v>
      </c>
      <c r="D1189" s="49" t="s">
        <v>256</v>
      </c>
      <c r="E1189" s="49" t="str">
        <f>B1189&amp;C1189</f>
        <v>Casper, WYTAN</v>
      </c>
      <c r="F1189" s="56">
        <v>16.2</v>
      </c>
      <c r="G1189" s="56">
        <v>18.100000000000001</v>
      </c>
      <c r="H1189" s="56">
        <v>23.7</v>
      </c>
      <c r="I1189" s="56">
        <v>30</v>
      </c>
      <c r="J1189" s="56">
        <v>38.700000000000003</v>
      </c>
      <c r="K1189" s="56">
        <v>46.7</v>
      </c>
      <c r="L1189" s="56">
        <v>54.4</v>
      </c>
      <c r="M1189" s="56">
        <v>53.3</v>
      </c>
      <c r="N1189" s="56">
        <v>43.4</v>
      </c>
      <c r="O1189" s="56">
        <v>32.700000000000003</v>
      </c>
      <c r="P1189" s="56">
        <v>23.8</v>
      </c>
      <c r="Q1189" s="56">
        <v>16.399999999999999</v>
      </c>
      <c r="R1189" s="57">
        <v>33.1</v>
      </c>
    </row>
    <row r="1190" spans="2:18" x14ac:dyDescent="0.4">
      <c r="B1190" s="50"/>
      <c r="C1190" s="51" t="s">
        <v>257</v>
      </c>
      <c r="D1190" s="49" t="s">
        <v>256</v>
      </c>
      <c r="E1190" s="49" t="str">
        <f>B1189&amp;C1190</f>
        <v>Casper, WYTAX</v>
      </c>
      <c r="F1190" s="56">
        <v>35.1</v>
      </c>
      <c r="G1190" s="56">
        <v>38.5</v>
      </c>
      <c r="H1190" s="56">
        <v>47.8</v>
      </c>
      <c r="I1190" s="56">
        <v>55.6</v>
      </c>
      <c r="J1190" s="56">
        <v>66.5</v>
      </c>
      <c r="K1190" s="56">
        <v>77.7</v>
      </c>
      <c r="L1190" s="56">
        <v>87.6</v>
      </c>
      <c r="M1190" s="56">
        <v>85.6</v>
      </c>
      <c r="N1190" s="56">
        <v>74.2</v>
      </c>
      <c r="O1190" s="56">
        <v>59</v>
      </c>
      <c r="P1190" s="56">
        <v>44.7</v>
      </c>
      <c r="Q1190" s="56">
        <v>35.1</v>
      </c>
      <c r="R1190" s="57">
        <v>58.9</v>
      </c>
    </row>
    <row r="1191" spans="2:18" x14ac:dyDescent="0.4">
      <c r="B1191" s="50"/>
      <c r="C1191" s="51" t="s">
        <v>258</v>
      </c>
      <c r="D1191" s="49" t="s">
        <v>259</v>
      </c>
      <c r="E1191" s="49" t="str">
        <f>B1189&amp;C1191</f>
        <v>Casper, WYV</v>
      </c>
      <c r="F1191" s="56">
        <v>14.8</v>
      </c>
      <c r="G1191" s="56">
        <v>13.4</v>
      </c>
      <c r="H1191" s="56">
        <v>12.5</v>
      </c>
      <c r="I1191" s="56">
        <v>11.6</v>
      </c>
      <c r="J1191" s="56">
        <v>10.5</v>
      </c>
      <c r="K1191" s="56">
        <v>10.3</v>
      </c>
      <c r="L1191" s="56">
        <v>9.1999999999999993</v>
      </c>
      <c r="M1191" s="56">
        <v>9.4</v>
      </c>
      <c r="N1191" s="56">
        <v>9.8000000000000007</v>
      </c>
      <c r="O1191" s="56">
        <v>11</v>
      </c>
      <c r="P1191" s="56">
        <v>13.4</v>
      </c>
      <c r="Q1191" s="56">
        <v>15</v>
      </c>
      <c r="R1191" s="57">
        <v>11.6</v>
      </c>
    </row>
    <row r="1192" spans="2:18" x14ac:dyDescent="0.4">
      <c r="B1192" s="50"/>
      <c r="C1192" s="51" t="s">
        <v>260</v>
      </c>
      <c r="D1192" s="49" t="s">
        <v>261</v>
      </c>
      <c r="E1192" s="49" t="str">
        <f>B1189&amp;C1192</f>
        <v>Casper, WYI</v>
      </c>
      <c r="F1192" s="56">
        <v>601</v>
      </c>
      <c r="G1192" s="56">
        <v>877</v>
      </c>
      <c r="H1192" s="56">
        <v>1259</v>
      </c>
      <c r="I1192" s="56">
        <v>1631</v>
      </c>
      <c r="J1192" s="56">
        <v>1980</v>
      </c>
      <c r="K1192" s="56">
        <v>2243</v>
      </c>
      <c r="L1192" s="56">
        <v>2292</v>
      </c>
      <c r="M1192" s="56">
        <v>1988</v>
      </c>
      <c r="N1192" s="56">
        <v>1552</v>
      </c>
      <c r="O1192" s="56">
        <v>1046</v>
      </c>
      <c r="P1192" s="56">
        <v>650</v>
      </c>
      <c r="Q1192" s="56">
        <v>505</v>
      </c>
      <c r="R1192" s="57">
        <v>1385</v>
      </c>
    </row>
    <row r="1193" spans="2:18" x14ac:dyDescent="0.4">
      <c r="B1193" s="50"/>
      <c r="C1193" s="51" t="s">
        <v>262</v>
      </c>
      <c r="D1193" s="49" t="s">
        <v>263</v>
      </c>
      <c r="E1193" s="49" t="str">
        <f>B1189&amp;C1193</f>
        <v>Casper, WYPA</v>
      </c>
      <c r="F1193" s="58" t="s">
        <v>506</v>
      </c>
      <c r="G1193" s="58" t="s">
        <v>506</v>
      </c>
      <c r="H1193" s="58" t="s">
        <v>506</v>
      </c>
      <c r="I1193" s="58" t="s">
        <v>506</v>
      </c>
      <c r="J1193" s="58" t="s">
        <v>506</v>
      </c>
      <c r="K1193" s="58" t="s">
        <v>506</v>
      </c>
      <c r="L1193" s="58" t="s">
        <v>506</v>
      </c>
      <c r="M1193" s="58" t="s">
        <v>506</v>
      </c>
      <c r="N1193" s="58" t="s">
        <v>506</v>
      </c>
      <c r="O1193" s="58" t="s">
        <v>506</v>
      </c>
      <c r="P1193" s="58" t="s">
        <v>506</v>
      </c>
      <c r="Q1193" s="58" t="s">
        <v>506</v>
      </c>
      <c r="R1193" s="57">
        <v>12.13</v>
      </c>
    </row>
    <row r="1194" spans="2:18" x14ac:dyDescent="0.4">
      <c r="B1194" s="48" t="s">
        <v>501</v>
      </c>
      <c r="C1194" s="51" t="s">
        <v>255</v>
      </c>
      <c r="D1194" s="49" t="s">
        <v>256</v>
      </c>
      <c r="E1194" s="49" t="str">
        <f>B1194&amp;C1194</f>
        <v>Cheyenne, WYTAN</v>
      </c>
      <c r="F1194" s="56">
        <v>18.8</v>
      </c>
      <c r="G1194" s="56">
        <v>19.8</v>
      </c>
      <c r="H1194" s="56">
        <v>25.1</v>
      </c>
      <c r="I1194" s="56">
        <v>31.3</v>
      </c>
      <c r="J1194" s="56">
        <v>40.700000000000003</v>
      </c>
      <c r="K1194" s="56">
        <v>49.2</v>
      </c>
      <c r="L1194" s="56">
        <v>56.1</v>
      </c>
      <c r="M1194" s="56">
        <v>54.6</v>
      </c>
      <c r="N1194" s="56">
        <v>45.4</v>
      </c>
      <c r="O1194" s="56">
        <v>34.4</v>
      </c>
      <c r="P1194" s="56">
        <v>25.1</v>
      </c>
      <c r="Q1194" s="56">
        <v>19.100000000000001</v>
      </c>
      <c r="R1194" s="57">
        <v>35</v>
      </c>
    </row>
    <row r="1195" spans="2:18" x14ac:dyDescent="0.4">
      <c r="B1195" s="50"/>
      <c r="C1195" s="51" t="s">
        <v>257</v>
      </c>
      <c r="D1195" s="49" t="s">
        <v>256</v>
      </c>
      <c r="E1195" s="49" t="str">
        <f>B1194&amp;C1195</f>
        <v>Cheyenne, WYTAX</v>
      </c>
      <c r="F1195" s="56">
        <v>38.799999999999997</v>
      </c>
      <c r="G1195" s="56">
        <v>40.4</v>
      </c>
      <c r="H1195" s="56">
        <v>47.3</v>
      </c>
      <c r="I1195" s="56">
        <v>53.7</v>
      </c>
      <c r="J1195" s="56">
        <v>63.9</v>
      </c>
      <c r="K1195" s="56">
        <v>74.3</v>
      </c>
      <c r="L1195" s="56">
        <v>82.6</v>
      </c>
      <c r="M1195" s="56">
        <v>80.2</v>
      </c>
      <c r="N1195" s="56">
        <v>71.3</v>
      </c>
      <c r="O1195" s="56">
        <v>58</v>
      </c>
      <c r="P1195" s="56">
        <v>45.8</v>
      </c>
      <c r="Q1195" s="56">
        <v>38.6</v>
      </c>
      <c r="R1195" s="57">
        <v>57.9</v>
      </c>
    </row>
    <row r="1196" spans="2:18" x14ac:dyDescent="0.4">
      <c r="B1196" s="50"/>
      <c r="C1196" s="51" t="s">
        <v>258</v>
      </c>
      <c r="D1196" s="49" t="s">
        <v>259</v>
      </c>
      <c r="E1196" s="49" t="str">
        <f>B1194&amp;C1196</f>
        <v>Cheyenne, WYV</v>
      </c>
      <c r="F1196" s="56">
        <v>14.1</v>
      </c>
      <c r="G1196" s="56">
        <v>13.6</v>
      </c>
      <c r="H1196" s="56">
        <v>13.6</v>
      </c>
      <c r="I1196" s="56">
        <v>13.2</v>
      </c>
      <c r="J1196" s="56">
        <v>12.1</v>
      </c>
      <c r="K1196" s="56">
        <v>11</v>
      </c>
      <c r="L1196" s="56">
        <v>9.8000000000000007</v>
      </c>
      <c r="M1196" s="56">
        <v>9.8000000000000007</v>
      </c>
      <c r="N1196" s="56">
        <v>10.5</v>
      </c>
      <c r="O1196" s="56">
        <v>11.9</v>
      </c>
      <c r="P1196" s="56">
        <v>13.2</v>
      </c>
      <c r="Q1196" s="56">
        <v>13.9</v>
      </c>
      <c r="R1196" s="57">
        <v>12.3</v>
      </c>
    </row>
    <row r="1197" spans="2:18" x14ac:dyDescent="0.4">
      <c r="B1197" s="50"/>
      <c r="C1197" s="51" t="s">
        <v>260</v>
      </c>
      <c r="D1197" s="49" t="s">
        <v>261</v>
      </c>
      <c r="E1197" s="49" t="str">
        <f>B1194&amp;C1197</f>
        <v>Cheyenne, WYI</v>
      </c>
      <c r="F1197" s="56">
        <v>712</v>
      </c>
      <c r="G1197" s="56">
        <v>975</v>
      </c>
      <c r="H1197" s="56">
        <v>1360</v>
      </c>
      <c r="I1197" s="56">
        <v>1668</v>
      </c>
      <c r="J1197" s="56">
        <v>1919</v>
      </c>
      <c r="K1197" s="56">
        <v>2196</v>
      </c>
      <c r="L1197" s="56">
        <v>2163</v>
      </c>
      <c r="M1197" s="56">
        <v>1883</v>
      </c>
      <c r="N1197" s="56">
        <v>1588</v>
      </c>
      <c r="O1197" s="56">
        <v>1131</v>
      </c>
      <c r="P1197" s="56">
        <v>761</v>
      </c>
      <c r="Q1197" s="56">
        <v>609</v>
      </c>
      <c r="R1197" s="57">
        <v>1414</v>
      </c>
    </row>
    <row r="1198" spans="2:18" x14ac:dyDescent="0.4">
      <c r="B1198" s="50"/>
      <c r="C1198" s="51" t="s">
        <v>262</v>
      </c>
      <c r="D1198" s="49" t="s">
        <v>263</v>
      </c>
      <c r="E1198" s="49" t="str">
        <f>B1194&amp;C1198</f>
        <v>Cheyenne, WYPA</v>
      </c>
      <c r="F1198" s="58" t="s">
        <v>506</v>
      </c>
      <c r="G1198" s="58" t="s">
        <v>506</v>
      </c>
      <c r="H1198" s="58" t="s">
        <v>506</v>
      </c>
      <c r="I1198" s="58" t="s">
        <v>506</v>
      </c>
      <c r="J1198" s="58" t="s">
        <v>506</v>
      </c>
      <c r="K1198" s="58" t="s">
        <v>506</v>
      </c>
      <c r="L1198" s="58" t="s">
        <v>506</v>
      </c>
      <c r="M1198" s="58" t="s">
        <v>506</v>
      </c>
      <c r="N1198" s="58" t="s">
        <v>506</v>
      </c>
      <c r="O1198" s="58" t="s">
        <v>506</v>
      </c>
      <c r="P1198" s="58" t="s">
        <v>506</v>
      </c>
      <c r="Q1198" s="58" t="s">
        <v>506</v>
      </c>
      <c r="R1198" s="57">
        <v>11.78</v>
      </c>
    </row>
    <row r="1199" spans="2:18" x14ac:dyDescent="0.4">
      <c r="B1199" s="48" t="s">
        <v>502</v>
      </c>
      <c r="C1199" s="51" t="s">
        <v>255</v>
      </c>
      <c r="D1199" s="49" t="s">
        <v>256</v>
      </c>
      <c r="E1199" s="49" t="str">
        <f>B1199&amp;C1199</f>
        <v>Lander, WYTAN</v>
      </c>
      <c r="F1199" s="56">
        <v>12.5</v>
      </c>
      <c r="G1199" s="56">
        <v>16.2</v>
      </c>
      <c r="H1199" s="56">
        <v>24.9</v>
      </c>
      <c r="I1199" s="56">
        <v>32.5</v>
      </c>
      <c r="J1199" s="56">
        <v>41.6</v>
      </c>
      <c r="K1199" s="56">
        <v>49.6</v>
      </c>
      <c r="L1199" s="56">
        <v>57.5</v>
      </c>
      <c r="M1199" s="56">
        <v>56.1</v>
      </c>
      <c r="N1199" s="56">
        <v>46.4</v>
      </c>
      <c r="O1199" s="56">
        <v>34.200000000000003</v>
      </c>
      <c r="P1199" s="56">
        <v>21.8</v>
      </c>
      <c r="Q1199" s="56">
        <v>13.2</v>
      </c>
      <c r="R1199" s="57">
        <v>33.9</v>
      </c>
    </row>
    <row r="1200" spans="2:18" x14ac:dyDescent="0.4">
      <c r="B1200" s="50"/>
      <c r="C1200" s="51" t="s">
        <v>257</v>
      </c>
      <c r="D1200" s="49" t="s">
        <v>256</v>
      </c>
      <c r="E1200" s="49" t="str">
        <f>B1199&amp;C1200</f>
        <v>Lander, WYTAX</v>
      </c>
      <c r="F1200" s="56">
        <v>32</v>
      </c>
      <c r="G1200" s="56">
        <v>36.200000000000003</v>
      </c>
      <c r="H1200" s="56">
        <v>46.9</v>
      </c>
      <c r="I1200" s="56">
        <v>55.1</v>
      </c>
      <c r="J1200" s="56">
        <v>65.7</v>
      </c>
      <c r="K1200" s="56">
        <v>76</v>
      </c>
      <c r="L1200" s="56">
        <v>86.2</v>
      </c>
      <c r="M1200" s="56">
        <v>84.3</v>
      </c>
      <c r="N1200" s="56">
        <v>73</v>
      </c>
      <c r="O1200" s="56">
        <v>57.8</v>
      </c>
      <c r="P1200" s="56">
        <v>42.6</v>
      </c>
      <c r="Q1200" s="56">
        <v>32.299999999999997</v>
      </c>
      <c r="R1200" s="57">
        <v>57.3</v>
      </c>
    </row>
    <row r="1201" spans="2:18" x14ac:dyDescent="0.4">
      <c r="B1201" s="50"/>
      <c r="C1201" s="51" t="s">
        <v>258</v>
      </c>
      <c r="D1201" s="49" t="s">
        <v>259</v>
      </c>
      <c r="E1201" s="49" t="str">
        <f>B1199&amp;C1201</f>
        <v>Lander, WYV</v>
      </c>
      <c r="F1201" s="56">
        <v>4.9000000000000004</v>
      </c>
      <c r="G1201" s="56">
        <v>4.9000000000000004</v>
      </c>
      <c r="H1201" s="56">
        <v>6.7</v>
      </c>
      <c r="I1201" s="56">
        <v>7.4</v>
      </c>
      <c r="J1201" s="56">
        <v>7.4</v>
      </c>
      <c r="K1201" s="56">
        <v>7.4</v>
      </c>
      <c r="L1201" s="56">
        <v>7.2</v>
      </c>
      <c r="M1201" s="56">
        <v>6.9</v>
      </c>
      <c r="N1201" s="56">
        <v>6.5</v>
      </c>
      <c r="O1201" s="56">
        <v>5.6</v>
      </c>
      <c r="P1201" s="56">
        <v>5.0999999999999996</v>
      </c>
      <c r="Q1201" s="56">
        <v>4.9000000000000004</v>
      </c>
      <c r="R1201" s="57">
        <v>6.3</v>
      </c>
    </row>
    <row r="1202" spans="2:18" x14ac:dyDescent="0.4">
      <c r="B1202" s="50"/>
      <c r="C1202" s="51" t="s">
        <v>260</v>
      </c>
      <c r="D1202" s="49" t="s">
        <v>261</v>
      </c>
      <c r="E1202" s="49" t="str">
        <f>B1199&amp;C1202</f>
        <v>Lander, WYI</v>
      </c>
      <c r="F1202" s="56">
        <v>640</v>
      </c>
      <c r="G1202" s="56">
        <v>920</v>
      </c>
      <c r="H1202" s="56">
        <v>1320</v>
      </c>
      <c r="I1202" s="56">
        <v>1658</v>
      </c>
      <c r="J1202" s="56">
        <v>2026</v>
      </c>
      <c r="K1202" s="56">
        <v>2242</v>
      </c>
      <c r="L1202" s="56">
        <v>2256</v>
      </c>
      <c r="M1202" s="56">
        <v>1966</v>
      </c>
      <c r="N1202" s="56">
        <v>1564</v>
      </c>
      <c r="O1202" s="56">
        <v>1086</v>
      </c>
      <c r="P1202" s="56">
        <v>696</v>
      </c>
      <c r="Q1202" s="56">
        <v>551</v>
      </c>
      <c r="R1202" s="57">
        <v>1411</v>
      </c>
    </row>
    <row r="1203" spans="2:18" x14ac:dyDescent="0.4">
      <c r="B1203" s="50"/>
      <c r="C1203" s="51" t="s">
        <v>262</v>
      </c>
      <c r="D1203" s="49" t="s">
        <v>263</v>
      </c>
      <c r="E1203" s="49" t="str">
        <f>B1199&amp;C1203</f>
        <v>Lander, WYPA</v>
      </c>
      <c r="F1203" s="58" t="s">
        <v>506</v>
      </c>
      <c r="G1203" s="58" t="s">
        <v>506</v>
      </c>
      <c r="H1203" s="58" t="s">
        <v>506</v>
      </c>
      <c r="I1203" s="58" t="s">
        <v>506</v>
      </c>
      <c r="J1203" s="58" t="s">
        <v>506</v>
      </c>
      <c r="K1203" s="58" t="s">
        <v>506</v>
      </c>
      <c r="L1203" s="58" t="s">
        <v>506</v>
      </c>
      <c r="M1203" s="58" t="s">
        <v>506</v>
      </c>
      <c r="N1203" s="58" t="s">
        <v>506</v>
      </c>
      <c r="O1203" s="58" t="s">
        <v>506</v>
      </c>
      <c r="P1203" s="58" t="s">
        <v>506</v>
      </c>
      <c r="Q1203" s="58" t="s">
        <v>506</v>
      </c>
      <c r="R1203" s="57">
        <v>12.02</v>
      </c>
    </row>
    <row r="1204" spans="2:18" ht="20.6" x14ac:dyDescent="0.4">
      <c r="B1204" s="48" t="s">
        <v>503</v>
      </c>
      <c r="C1204" s="51" t="s">
        <v>255</v>
      </c>
      <c r="D1204" s="49" t="s">
        <v>256</v>
      </c>
      <c r="E1204" s="49" t="str">
        <f>B1204&amp;C1204</f>
        <v>Rock Springs, WYTAN</v>
      </c>
      <c r="F1204" s="56">
        <v>13.6</v>
      </c>
      <c r="G1204" s="56">
        <v>15.5</v>
      </c>
      <c r="H1204" s="56">
        <v>23.8</v>
      </c>
      <c r="I1204" s="56">
        <v>29.7</v>
      </c>
      <c r="J1204" s="56">
        <v>38.6</v>
      </c>
      <c r="K1204" s="56">
        <v>46.8</v>
      </c>
      <c r="L1204" s="56">
        <v>55</v>
      </c>
      <c r="M1204" s="56">
        <v>53.3</v>
      </c>
      <c r="N1204" s="56">
        <v>43.6</v>
      </c>
      <c r="O1204" s="56">
        <v>33.200000000000003</v>
      </c>
      <c r="P1204" s="56">
        <v>22.1</v>
      </c>
      <c r="Q1204" s="56">
        <v>14.2</v>
      </c>
      <c r="R1204" s="57">
        <v>32.5</v>
      </c>
    </row>
    <row r="1205" spans="2:18" ht="20.6" x14ac:dyDescent="0.4">
      <c r="B1205" s="50"/>
      <c r="C1205" s="51" t="s">
        <v>257</v>
      </c>
      <c r="D1205" s="49" t="s">
        <v>256</v>
      </c>
      <c r="E1205" s="49" t="str">
        <f>B1204&amp;C1205</f>
        <v>Rock Springs, WYTAX</v>
      </c>
      <c r="F1205" s="56">
        <v>29.2</v>
      </c>
      <c r="G1205" s="56">
        <v>32.299999999999997</v>
      </c>
      <c r="H1205" s="56">
        <v>42.8</v>
      </c>
      <c r="I1205" s="56">
        <v>51.9</v>
      </c>
      <c r="J1205" s="56">
        <v>62.7</v>
      </c>
      <c r="K1205" s="56">
        <v>73</v>
      </c>
      <c r="L1205" s="56">
        <v>82.9</v>
      </c>
      <c r="M1205" s="56">
        <v>80.2</v>
      </c>
      <c r="N1205" s="56">
        <v>69.400000000000006</v>
      </c>
      <c r="O1205" s="56">
        <v>55.5</v>
      </c>
      <c r="P1205" s="56">
        <v>39.9</v>
      </c>
      <c r="Q1205" s="56">
        <v>29.6</v>
      </c>
      <c r="R1205" s="57">
        <v>54.1</v>
      </c>
    </row>
    <row r="1206" spans="2:18" x14ac:dyDescent="0.4">
      <c r="B1206" s="50"/>
      <c r="C1206" s="51" t="s">
        <v>258</v>
      </c>
      <c r="D1206" s="49" t="s">
        <v>259</v>
      </c>
      <c r="E1206" s="49" t="str">
        <f>B1204&amp;C1206</f>
        <v>Rock Springs, WYV</v>
      </c>
      <c r="F1206" s="56">
        <v>12.1</v>
      </c>
      <c r="G1206" s="56">
        <v>11.2</v>
      </c>
      <c r="H1206" s="56">
        <v>12.1</v>
      </c>
      <c r="I1206" s="56">
        <v>12.3</v>
      </c>
      <c r="J1206" s="56">
        <v>11.2</v>
      </c>
      <c r="K1206" s="56">
        <v>10.7</v>
      </c>
      <c r="L1206" s="56">
        <v>9.4</v>
      </c>
      <c r="M1206" s="56">
        <v>8.9</v>
      </c>
      <c r="N1206" s="56">
        <v>9.4</v>
      </c>
      <c r="O1206" s="56">
        <v>11</v>
      </c>
      <c r="P1206" s="56">
        <v>11.2</v>
      </c>
      <c r="Q1206" s="56">
        <v>11.4</v>
      </c>
      <c r="R1206" s="57">
        <v>11</v>
      </c>
    </row>
    <row r="1207" spans="2:18" x14ac:dyDescent="0.4">
      <c r="B1207" s="50"/>
      <c r="C1207" s="51" t="s">
        <v>260</v>
      </c>
      <c r="D1207" s="49" t="s">
        <v>261</v>
      </c>
      <c r="E1207" s="49" t="str">
        <f>B1204&amp;C1207</f>
        <v>Rock Springs, WYI</v>
      </c>
      <c r="F1207" s="56">
        <v>654</v>
      </c>
      <c r="G1207" s="56">
        <v>928</v>
      </c>
      <c r="H1207" s="56">
        <v>1342</v>
      </c>
      <c r="I1207" s="56">
        <v>1738</v>
      </c>
      <c r="J1207" s="56">
        <v>2044</v>
      </c>
      <c r="K1207" s="56">
        <v>2307</v>
      </c>
      <c r="L1207" s="56">
        <v>2301</v>
      </c>
      <c r="M1207" s="56">
        <v>2019</v>
      </c>
      <c r="N1207" s="56">
        <v>1673</v>
      </c>
      <c r="O1207" s="56">
        <v>1186</v>
      </c>
      <c r="P1207" s="56">
        <v>716</v>
      </c>
      <c r="Q1207" s="56">
        <v>564</v>
      </c>
      <c r="R1207" s="57">
        <v>1456</v>
      </c>
    </row>
    <row r="1208" spans="2:18" x14ac:dyDescent="0.4">
      <c r="B1208" s="50"/>
      <c r="C1208" s="51" t="s">
        <v>262</v>
      </c>
      <c r="D1208" s="49" t="s">
        <v>263</v>
      </c>
      <c r="E1208" s="49" t="str">
        <f>B1204&amp;C1208</f>
        <v>Rock Springs, WYPA</v>
      </c>
      <c r="F1208" s="58" t="s">
        <v>506</v>
      </c>
      <c r="G1208" s="58" t="s">
        <v>506</v>
      </c>
      <c r="H1208" s="58" t="s">
        <v>506</v>
      </c>
      <c r="I1208" s="58" t="s">
        <v>506</v>
      </c>
      <c r="J1208" s="58" t="s">
        <v>506</v>
      </c>
      <c r="K1208" s="58" t="s">
        <v>506</v>
      </c>
      <c r="L1208" s="58" t="s">
        <v>506</v>
      </c>
      <c r="M1208" s="58" t="s">
        <v>506</v>
      </c>
      <c r="N1208" s="58" t="s">
        <v>506</v>
      </c>
      <c r="O1208" s="58" t="s">
        <v>506</v>
      </c>
      <c r="P1208" s="58" t="s">
        <v>506</v>
      </c>
      <c r="Q1208" s="58" t="s">
        <v>506</v>
      </c>
      <c r="R1208" s="57">
        <v>13.05</v>
      </c>
    </row>
    <row r="1209" spans="2:18" x14ac:dyDescent="0.4">
      <c r="B1209" s="48" t="s">
        <v>504</v>
      </c>
      <c r="C1209" s="51" t="s">
        <v>255</v>
      </c>
      <c r="D1209" s="49" t="s">
        <v>256</v>
      </c>
      <c r="E1209" s="49" t="str">
        <f>B1209&amp;C1209</f>
        <v>Sheridan, WYTAN</v>
      </c>
      <c r="F1209" s="56">
        <v>13</v>
      </c>
      <c r="G1209" s="56">
        <v>16.8</v>
      </c>
      <c r="H1209" s="56">
        <v>23.4</v>
      </c>
      <c r="I1209" s="56">
        <v>31.4</v>
      </c>
      <c r="J1209" s="56">
        <v>39.799999999999997</v>
      </c>
      <c r="K1209" s="56">
        <v>47.9</v>
      </c>
      <c r="L1209" s="56">
        <v>54.8</v>
      </c>
      <c r="M1209" s="56">
        <v>53.2</v>
      </c>
      <c r="N1209" s="56">
        <v>43.5</v>
      </c>
      <c r="O1209" s="56">
        <v>32.5</v>
      </c>
      <c r="P1209" s="56">
        <v>21.5</v>
      </c>
      <c r="Q1209" s="56">
        <v>13.6</v>
      </c>
      <c r="R1209" s="57">
        <v>32.6</v>
      </c>
    </row>
    <row r="1210" spans="2:18" x14ac:dyDescent="0.4">
      <c r="B1210" s="50"/>
      <c r="C1210" s="51" t="s">
        <v>257</v>
      </c>
      <c r="D1210" s="49" t="s">
        <v>256</v>
      </c>
      <c r="E1210" s="49" t="str">
        <f>B1209&amp;C1210</f>
        <v>Sheridan, WYTAX</v>
      </c>
      <c r="F1210" s="56">
        <v>34.4</v>
      </c>
      <c r="G1210" s="56">
        <v>38.5</v>
      </c>
      <c r="H1210" s="56">
        <v>47.5</v>
      </c>
      <c r="I1210" s="56">
        <v>55.7</v>
      </c>
      <c r="J1210" s="56">
        <v>65.400000000000006</v>
      </c>
      <c r="K1210" s="56">
        <v>74.8</v>
      </c>
      <c r="L1210" s="56">
        <v>85.9</v>
      </c>
      <c r="M1210" s="56">
        <v>85.2</v>
      </c>
      <c r="N1210" s="56">
        <v>74</v>
      </c>
      <c r="O1210" s="56">
        <v>58.8</v>
      </c>
      <c r="P1210" s="56">
        <v>45.5</v>
      </c>
      <c r="Q1210" s="56">
        <v>35.4</v>
      </c>
      <c r="R1210" s="57">
        <v>58.4</v>
      </c>
    </row>
    <row r="1211" spans="2:18" x14ac:dyDescent="0.4">
      <c r="B1211" s="50"/>
      <c r="C1211" s="51" t="s">
        <v>258</v>
      </c>
      <c r="D1211" s="49" t="s">
        <v>259</v>
      </c>
      <c r="E1211" s="49" t="str">
        <f>B1209&amp;C1211</f>
        <v>Sheridan, WYV</v>
      </c>
      <c r="F1211" s="56">
        <v>6.5</v>
      </c>
      <c r="G1211" s="56">
        <v>6.9</v>
      </c>
      <c r="H1211" s="56">
        <v>7.8</v>
      </c>
      <c r="I1211" s="56">
        <v>8.9</v>
      </c>
      <c r="J1211" s="56">
        <v>8.3000000000000007</v>
      </c>
      <c r="K1211" s="56">
        <v>7.2</v>
      </c>
      <c r="L1211" s="56">
        <v>6.5</v>
      </c>
      <c r="M1211" s="56">
        <v>6</v>
      </c>
      <c r="N1211" s="56">
        <v>6.3</v>
      </c>
      <c r="O1211" s="56">
        <v>6.7</v>
      </c>
      <c r="P1211" s="56">
        <v>6.5</v>
      </c>
      <c r="Q1211" s="56">
        <v>6.5</v>
      </c>
      <c r="R1211" s="57">
        <v>6.9</v>
      </c>
    </row>
    <row r="1212" spans="2:18" x14ac:dyDescent="0.4">
      <c r="B1212" s="50"/>
      <c r="C1212" s="51" t="s">
        <v>260</v>
      </c>
      <c r="D1212" s="49" t="s">
        <v>261</v>
      </c>
      <c r="E1212" s="49" t="str">
        <f>B1209&amp;C1212</f>
        <v>Sheridan, WYI</v>
      </c>
      <c r="F1212" s="56">
        <v>482</v>
      </c>
      <c r="G1212" s="56">
        <v>767</v>
      </c>
      <c r="H1212" s="56">
        <v>1145</v>
      </c>
      <c r="I1212" s="56">
        <v>1509</v>
      </c>
      <c r="J1212" s="56">
        <v>1850</v>
      </c>
      <c r="K1212" s="56">
        <v>2030</v>
      </c>
      <c r="L1212" s="56">
        <v>2152</v>
      </c>
      <c r="M1212" s="56">
        <v>1860</v>
      </c>
      <c r="N1212" s="56">
        <v>1419</v>
      </c>
      <c r="O1212" s="56">
        <v>909</v>
      </c>
      <c r="P1212" s="56">
        <v>569</v>
      </c>
      <c r="Q1212" s="56">
        <v>429</v>
      </c>
      <c r="R1212" s="57">
        <v>1260</v>
      </c>
    </row>
    <row r="1213" spans="2:18" x14ac:dyDescent="0.4">
      <c r="B1213" s="50"/>
      <c r="C1213" s="51" t="s">
        <v>262</v>
      </c>
      <c r="D1213" s="49" t="s">
        <v>263</v>
      </c>
      <c r="E1213" s="49" t="str">
        <f>B1209&amp;C1213</f>
        <v>Sheridan, WYPA</v>
      </c>
      <c r="F1213" s="58" t="s">
        <v>506</v>
      </c>
      <c r="G1213" s="58" t="s">
        <v>506</v>
      </c>
      <c r="H1213" s="58" t="s">
        <v>506</v>
      </c>
      <c r="I1213" s="58" t="s">
        <v>506</v>
      </c>
      <c r="J1213" s="58" t="s">
        <v>506</v>
      </c>
      <c r="K1213" s="58" t="s">
        <v>506</v>
      </c>
      <c r="L1213" s="58" t="s">
        <v>506</v>
      </c>
      <c r="M1213" s="58" t="s">
        <v>506</v>
      </c>
      <c r="N1213" s="58" t="s">
        <v>506</v>
      </c>
      <c r="O1213" s="58" t="s">
        <v>506</v>
      </c>
      <c r="P1213" s="58" t="s">
        <v>506</v>
      </c>
      <c r="Q1213" s="58" t="s">
        <v>506</v>
      </c>
      <c r="R1213" s="57">
        <v>12.73</v>
      </c>
    </row>
  </sheetData>
  <sheetProtection algorithmName="SHA-512" hashValue="SVE/9j/+axV+2VD1hpmj5rf6LSFvdbWyndzcMTAddBuWqEYExFE7mrTb5KkKtrCWF5nNo2g84YcaWpt1j8+Dvw==" saltValue="wgcAc4RNfXzqpzfBd4beSw=="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CC635-4016-4847-B313-1A03A9342A52}">
  <sheetPr codeName="Sheet26">
    <tabColor theme="1" tint="4.9989318521683403E-2"/>
  </sheetPr>
  <dimension ref="D1:S95"/>
  <sheetViews>
    <sheetView workbookViewId="0">
      <selection activeCell="A16" sqref="A16"/>
    </sheetView>
  </sheetViews>
  <sheetFormatPr defaultColWidth="8.84375" defaultRowHeight="14.6" x14ac:dyDescent="0.4"/>
  <cols>
    <col min="7" max="7" width="14.84375" bestFit="1" customWidth="1"/>
    <col min="8" max="8" width="17.4609375" bestFit="1" customWidth="1"/>
    <col min="9" max="9" width="14.69140625" customWidth="1"/>
    <col min="10" max="10" width="10" bestFit="1" customWidth="1"/>
    <col min="11" max="11" width="26.84375" bestFit="1" customWidth="1"/>
    <col min="12" max="12" width="16.3046875" bestFit="1" customWidth="1"/>
    <col min="13" max="13" width="14.4609375" bestFit="1" customWidth="1"/>
    <col min="14" max="14" width="14.4609375" customWidth="1"/>
    <col min="15" max="15" width="14.84375" bestFit="1" customWidth="1"/>
    <col min="16" max="16" width="12" bestFit="1" customWidth="1"/>
    <col min="18" max="18" width="23.69140625" bestFit="1" customWidth="1"/>
  </cols>
  <sheetData>
    <row r="1" spans="4:19" x14ac:dyDescent="0.4">
      <c r="D1" t="s">
        <v>197</v>
      </c>
    </row>
    <row r="2" spans="4:19" x14ac:dyDescent="0.4">
      <c r="D2" t="s">
        <v>198</v>
      </c>
      <c r="E2" t="s">
        <v>199</v>
      </c>
      <c r="F2" t="s">
        <v>200</v>
      </c>
      <c r="G2" t="s">
        <v>201</v>
      </c>
      <c r="H2" t="s">
        <v>202</v>
      </c>
      <c r="I2" t="s">
        <v>203</v>
      </c>
      <c r="J2" t="s">
        <v>204</v>
      </c>
      <c r="K2" t="s">
        <v>205</v>
      </c>
      <c r="L2" t="s">
        <v>206</v>
      </c>
      <c r="M2" t="s">
        <v>207</v>
      </c>
      <c r="N2" t="s">
        <v>208</v>
      </c>
      <c r="O2" t="s">
        <v>209</v>
      </c>
      <c r="P2" t="s">
        <v>210</v>
      </c>
      <c r="R2" t="s">
        <v>211</v>
      </c>
      <c r="S2" s="21" t="s">
        <v>212</v>
      </c>
    </row>
    <row r="3" spans="4:19" x14ac:dyDescent="0.4">
      <c r="D3" s="8">
        <v>89.1</v>
      </c>
      <c r="E3" s="8">
        <f>D3*9/5+32</f>
        <v>192.38</v>
      </c>
      <c r="F3">
        <f>E3+459.6</f>
        <v>651.98</v>
      </c>
      <c r="G3" s="8">
        <v>0.01</v>
      </c>
      <c r="H3" s="8">
        <f>G3/$G$14</f>
        <v>1.386962552011096E-4</v>
      </c>
      <c r="I3">
        <f>H3</f>
        <v>1.386962552011096E-4</v>
      </c>
      <c r="J3">
        <v>0.99299999999999999</v>
      </c>
      <c r="K3">
        <f>IF(E3&gt;750,0.000045673*(F3^2.1962)*1/(J3^1.0164),20.486*(F3^1.26007)*(J3^4.98308)*EXP(0.0001165*F3-7.7812*J3+0.0011582*F3*J3))</f>
        <v>70.040248071241521</v>
      </c>
      <c r="L3">
        <f>I3/K3</f>
        <v>1.9802364928809866E-6</v>
      </c>
      <c r="M3">
        <f>L3</f>
        <v>1.9802364928809866E-6</v>
      </c>
      <c r="N3">
        <f>H3/M3</f>
        <v>70.040248071241521</v>
      </c>
      <c r="O3">
        <f>SUM($L$3:$L$14)-M3</f>
        <v>3.1934374347936485E-3</v>
      </c>
      <c r="P3">
        <f>(1-H3)/O3</f>
        <v>313.09876086844559</v>
      </c>
      <c r="R3" s="8">
        <v>130</v>
      </c>
      <c r="S3" s="8">
        <f>E3-R3</f>
        <v>62.379999999999995</v>
      </c>
    </row>
    <row r="4" spans="4:19" x14ac:dyDescent="0.4">
      <c r="D4" s="22">
        <v>199.1</v>
      </c>
      <c r="E4" s="8">
        <f t="shared" ref="E4:E14" si="0">D4*9/5+32</f>
        <v>390.38</v>
      </c>
      <c r="F4">
        <f t="shared" ref="F4:F14" si="1">E4+459.6</f>
        <v>849.98</v>
      </c>
      <c r="G4" s="8">
        <v>5</v>
      </c>
      <c r="H4" s="8">
        <f t="shared" ref="H4:H14" si="2">G4/$G$14</f>
        <v>6.9348127600554796E-2</v>
      </c>
      <c r="I4">
        <f>H4-H3</f>
        <v>6.9209431345353692E-2</v>
      </c>
      <c r="J4">
        <v>0.99299999999999999</v>
      </c>
      <c r="K4">
        <f t="shared" ref="K4:K14" si="3">IF(E4&gt;750,0.000045673*(F4^2.1962)*1/(J4^1.0164),20.486*(F4^1.26007)*(J4^4.98308)*EXP(0.0001165*F4-7.7812*J4+0.0011582*F4*J4))</f>
        <v>125.71590057310507</v>
      </c>
      <c r="L4">
        <f t="shared" ref="L4:L14" si="4">I4/K4</f>
        <v>5.505224958008212E-4</v>
      </c>
      <c r="M4">
        <f>M3+L4</f>
        <v>5.525027322937022E-4</v>
      </c>
      <c r="N4">
        <f t="shared" ref="N4:N14" si="5">H4/M4</f>
        <v>125.51635231315086</v>
      </c>
      <c r="O4">
        <f t="shared" ref="O4:O14" si="6">SUM($L$3:$L$14)-M4</f>
        <v>2.6429149389928272E-3</v>
      </c>
      <c r="P4">
        <f t="shared" ref="P4:P14" si="7">(1-H4)/O4</f>
        <v>352.13084563141553</v>
      </c>
      <c r="R4" s="8">
        <f>R3</f>
        <v>130</v>
      </c>
      <c r="S4" s="8">
        <f t="shared" ref="S4:S14" si="8">E4-R4</f>
        <v>260.38</v>
      </c>
    </row>
    <row r="5" spans="4:19" x14ac:dyDescent="0.4">
      <c r="D5" s="22">
        <v>264.5</v>
      </c>
      <c r="E5" s="8">
        <f t="shared" si="0"/>
        <v>508.1</v>
      </c>
      <c r="F5">
        <f t="shared" si="1"/>
        <v>967.7</v>
      </c>
      <c r="G5" s="8">
        <f>G4+5</f>
        <v>10</v>
      </c>
      <c r="H5" s="8">
        <f t="shared" si="2"/>
        <v>0.13869625520110959</v>
      </c>
      <c r="I5">
        <f t="shared" ref="I5:I14" si="9">H5-H4</f>
        <v>6.9348127600554796E-2</v>
      </c>
      <c r="J5">
        <v>0.99299999999999999</v>
      </c>
      <c r="K5">
        <f t="shared" si="3"/>
        <v>171.84118117031858</v>
      </c>
      <c r="L5">
        <f t="shared" si="4"/>
        <v>4.0355942113678284E-4</v>
      </c>
      <c r="M5">
        <f t="shared" ref="M5:M14" si="10">M4+L5</f>
        <v>9.5606215343048504E-4</v>
      </c>
      <c r="N5">
        <f t="shared" si="5"/>
        <v>145.07033324501757</v>
      </c>
      <c r="O5">
        <f t="shared" si="6"/>
        <v>2.2393555178560442E-3</v>
      </c>
      <c r="P5">
        <f t="shared" si="7"/>
        <v>384.62126175637417</v>
      </c>
      <c r="R5" s="8">
        <f t="shared" ref="R5:R14" si="11">R4</f>
        <v>130</v>
      </c>
      <c r="S5" s="8">
        <f t="shared" si="8"/>
        <v>378.1</v>
      </c>
    </row>
    <row r="6" spans="4:19" x14ac:dyDescent="0.4">
      <c r="D6" s="8">
        <v>315.39999999999998</v>
      </c>
      <c r="E6" s="8">
        <f t="shared" si="0"/>
        <v>599.72</v>
      </c>
      <c r="F6">
        <f t="shared" si="1"/>
        <v>1059.3200000000002</v>
      </c>
      <c r="G6" s="8">
        <f>G5+5</f>
        <v>15</v>
      </c>
      <c r="H6" s="8">
        <f t="shared" si="2"/>
        <v>0.20804438280166437</v>
      </c>
      <c r="I6">
        <f t="shared" si="9"/>
        <v>6.9348127600554782E-2</v>
      </c>
      <c r="J6">
        <v>0.99299999999999999</v>
      </c>
      <c r="K6">
        <f t="shared" si="3"/>
        <v>216.28614408187462</v>
      </c>
      <c r="L6">
        <f t="shared" si="4"/>
        <v>3.2063139270864808E-4</v>
      </c>
      <c r="M6">
        <f t="shared" si="10"/>
        <v>1.2766935461391332E-3</v>
      </c>
      <c r="N6">
        <f t="shared" si="5"/>
        <v>162.95561564544153</v>
      </c>
      <c r="O6">
        <f t="shared" si="6"/>
        <v>1.918724125147396E-3</v>
      </c>
      <c r="P6">
        <f t="shared" si="7"/>
        <v>412.75116459876574</v>
      </c>
      <c r="R6" s="8">
        <f t="shared" si="11"/>
        <v>130</v>
      </c>
      <c r="S6" s="8">
        <f t="shared" si="8"/>
        <v>469.72</v>
      </c>
    </row>
    <row r="7" spans="4:19" x14ac:dyDescent="0.4">
      <c r="D7" s="8">
        <v>360.5</v>
      </c>
      <c r="E7" s="8">
        <f t="shared" si="0"/>
        <v>680.9</v>
      </c>
      <c r="F7">
        <f t="shared" si="1"/>
        <v>1140.5</v>
      </c>
      <c r="G7" s="8">
        <f>G6+5</f>
        <v>20</v>
      </c>
      <c r="H7" s="8">
        <f t="shared" si="2"/>
        <v>0.27739251040221918</v>
      </c>
      <c r="I7">
        <f t="shared" si="9"/>
        <v>6.934812760055481E-2</v>
      </c>
      <c r="J7">
        <v>0.99299999999999999</v>
      </c>
      <c r="K7">
        <f t="shared" si="3"/>
        <v>263.08239872092338</v>
      </c>
      <c r="L7">
        <f t="shared" si="4"/>
        <v>2.6359850730310158E-4</v>
      </c>
      <c r="M7">
        <f t="shared" si="10"/>
        <v>1.5402920534422348E-3</v>
      </c>
      <c r="N7">
        <f t="shared" si="5"/>
        <v>180.09085340815994</v>
      </c>
      <c r="O7">
        <f t="shared" si="6"/>
        <v>1.6551256178442945E-3</v>
      </c>
      <c r="P7">
        <f t="shared" si="7"/>
        <v>436.58770174733644</v>
      </c>
      <c r="R7" s="8">
        <f t="shared" si="11"/>
        <v>130</v>
      </c>
      <c r="S7" s="8">
        <f t="shared" si="8"/>
        <v>550.9</v>
      </c>
    </row>
    <row r="8" spans="4:19" x14ac:dyDescent="0.4">
      <c r="D8" s="8">
        <v>403.7</v>
      </c>
      <c r="E8" s="8">
        <f t="shared" si="0"/>
        <v>758.66</v>
      </c>
      <c r="F8">
        <f t="shared" si="1"/>
        <v>1218.26</v>
      </c>
      <c r="G8" s="8">
        <f>G7+5</f>
        <v>25</v>
      </c>
      <c r="H8" s="8">
        <f t="shared" si="2"/>
        <v>0.34674063800277394</v>
      </c>
      <c r="I8">
        <f t="shared" si="9"/>
        <v>6.9348127600554754E-2</v>
      </c>
      <c r="J8">
        <v>0.99299999999999999</v>
      </c>
      <c r="K8">
        <f t="shared" si="3"/>
        <v>275.20890201077719</v>
      </c>
      <c r="L8">
        <f t="shared" si="4"/>
        <v>2.5198359171477337E-4</v>
      </c>
      <c r="M8">
        <f t="shared" si="10"/>
        <v>1.7922756451570082E-3</v>
      </c>
      <c r="N8">
        <f t="shared" si="5"/>
        <v>193.46390101306014</v>
      </c>
      <c r="O8">
        <f t="shared" si="6"/>
        <v>1.4031420261295211E-3</v>
      </c>
      <c r="P8">
        <f t="shared" si="7"/>
        <v>465.56895156166109</v>
      </c>
      <c r="R8" s="8">
        <f t="shared" si="11"/>
        <v>130</v>
      </c>
      <c r="S8" s="8">
        <f t="shared" si="8"/>
        <v>628.66</v>
      </c>
    </row>
    <row r="9" spans="4:19" x14ac:dyDescent="0.4">
      <c r="D9" s="8">
        <v>440.9</v>
      </c>
      <c r="E9" s="8">
        <f t="shared" si="0"/>
        <v>825.62</v>
      </c>
      <c r="F9">
        <f t="shared" si="1"/>
        <v>1285.22</v>
      </c>
      <c r="G9" s="8">
        <f>G8+5</f>
        <v>30</v>
      </c>
      <c r="H9" s="8">
        <f t="shared" si="2"/>
        <v>0.41608876560332875</v>
      </c>
      <c r="I9">
        <f t="shared" si="9"/>
        <v>6.934812760055481E-2</v>
      </c>
      <c r="J9">
        <v>0.99299999999999999</v>
      </c>
      <c r="K9">
        <f t="shared" si="3"/>
        <v>309.52565677882342</v>
      </c>
      <c r="L9">
        <f t="shared" si="4"/>
        <v>2.2404645974181275E-4</v>
      </c>
      <c r="M9">
        <f t="shared" si="10"/>
        <v>2.016322104898821E-3</v>
      </c>
      <c r="N9">
        <f t="shared" si="5"/>
        <v>206.36026584859965</v>
      </c>
      <c r="O9">
        <f t="shared" si="6"/>
        <v>1.1790955663877082E-3</v>
      </c>
      <c r="P9">
        <f t="shared" si="7"/>
        <v>495.2195997017858</v>
      </c>
      <c r="R9" s="8">
        <f t="shared" si="11"/>
        <v>130</v>
      </c>
      <c r="S9" s="8">
        <f t="shared" si="8"/>
        <v>695.62</v>
      </c>
    </row>
    <row r="10" spans="4:19" x14ac:dyDescent="0.4">
      <c r="D10" s="8">
        <v>514.6</v>
      </c>
      <c r="E10" s="8">
        <f t="shared" si="0"/>
        <v>958.28000000000009</v>
      </c>
      <c r="F10">
        <f t="shared" si="1"/>
        <v>1417.88</v>
      </c>
      <c r="G10" s="8">
        <v>40</v>
      </c>
      <c r="H10" s="8">
        <f t="shared" si="2"/>
        <v>0.55478502080443837</v>
      </c>
      <c r="I10">
        <f t="shared" si="9"/>
        <v>0.13869625520110962</v>
      </c>
      <c r="J10">
        <v>0.99299999999999999</v>
      </c>
      <c r="K10">
        <f t="shared" si="3"/>
        <v>384.05280480571821</v>
      </c>
      <c r="L10">
        <f t="shared" si="4"/>
        <v>3.6113850352237955E-4</v>
      </c>
      <c r="M10">
        <f t="shared" si="10"/>
        <v>2.3774606084212007E-3</v>
      </c>
      <c r="N10">
        <f t="shared" si="5"/>
        <v>233.35192971834525</v>
      </c>
      <c r="O10">
        <f t="shared" si="6"/>
        <v>8.1795706286532863E-4</v>
      </c>
      <c r="P10">
        <f t="shared" si="7"/>
        <v>544.30116128096006</v>
      </c>
      <c r="R10" s="8">
        <f t="shared" si="11"/>
        <v>130</v>
      </c>
      <c r="S10" s="8">
        <f t="shared" si="8"/>
        <v>828.28000000000009</v>
      </c>
    </row>
    <row r="11" spans="4:19" x14ac:dyDescent="0.4">
      <c r="D11" s="8">
        <v>586.70000000000005</v>
      </c>
      <c r="E11" s="8">
        <f t="shared" si="0"/>
        <v>1088.06</v>
      </c>
      <c r="F11">
        <f t="shared" si="1"/>
        <v>1547.6599999999999</v>
      </c>
      <c r="G11" s="8">
        <v>50</v>
      </c>
      <c r="H11" s="8">
        <f t="shared" si="2"/>
        <v>0.69348127600554788</v>
      </c>
      <c r="I11">
        <f t="shared" si="9"/>
        <v>0.13869625520110951</v>
      </c>
      <c r="J11">
        <v>0.99299999999999999</v>
      </c>
      <c r="K11">
        <f t="shared" si="3"/>
        <v>465.50653652670292</v>
      </c>
      <c r="L11">
        <f t="shared" si="4"/>
        <v>2.9794695523712258E-4</v>
      </c>
      <c r="M11">
        <f t="shared" si="10"/>
        <v>2.6754075636583234E-3</v>
      </c>
      <c r="N11">
        <f t="shared" si="5"/>
        <v>259.20584415829677</v>
      </c>
      <c r="O11">
        <f t="shared" si="6"/>
        <v>5.2001010762820583E-4</v>
      </c>
      <c r="P11">
        <f t="shared" si="7"/>
        <v>589.44762707113625</v>
      </c>
      <c r="R11" s="8">
        <f t="shared" si="11"/>
        <v>130</v>
      </c>
      <c r="S11" s="8">
        <f t="shared" si="8"/>
        <v>958.06</v>
      </c>
    </row>
    <row r="12" spans="4:19" x14ac:dyDescent="0.4">
      <c r="D12" s="8">
        <v>650.79999999999995</v>
      </c>
      <c r="E12" s="8">
        <f t="shared" si="0"/>
        <v>1203.44</v>
      </c>
      <c r="F12">
        <f t="shared" si="1"/>
        <v>1663.04</v>
      </c>
      <c r="G12" s="8">
        <v>60</v>
      </c>
      <c r="H12" s="8">
        <f t="shared" si="2"/>
        <v>0.83217753120665749</v>
      </c>
      <c r="I12">
        <f t="shared" si="9"/>
        <v>0.13869625520110962</v>
      </c>
      <c r="J12">
        <v>0.99299999999999999</v>
      </c>
      <c r="K12">
        <f t="shared" si="3"/>
        <v>545.13845851378005</v>
      </c>
      <c r="L12">
        <f t="shared" si="4"/>
        <v>2.5442390467045659E-4</v>
      </c>
      <c r="M12">
        <f t="shared" si="10"/>
        <v>2.9298314683287802E-3</v>
      </c>
      <c r="N12">
        <f t="shared" si="5"/>
        <v>284.03597278629275</v>
      </c>
      <c r="O12">
        <f t="shared" si="6"/>
        <v>2.6558620295774908E-4</v>
      </c>
      <c r="P12">
        <f t="shared" si="7"/>
        <v>631.89452962675409</v>
      </c>
      <c r="R12" s="8">
        <f t="shared" si="11"/>
        <v>130</v>
      </c>
      <c r="S12" s="8">
        <f t="shared" si="8"/>
        <v>1073.44</v>
      </c>
    </row>
    <row r="13" spans="4:19" x14ac:dyDescent="0.4">
      <c r="D13" s="8">
        <v>708.2</v>
      </c>
      <c r="E13" s="8">
        <f t="shared" si="0"/>
        <v>1306.76</v>
      </c>
      <c r="F13">
        <f t="shared" si="1"/>
        <v>1766.3600000000001</v>
      </c>
      <c r="G13" s="8">
        <v>70</v>
      </c>
      <c r="H13" s="8">
        <f t="shared" si="2"/>
        <v>0.97087378640776711</v>
      </c>
      <c r="I13">
        <f t="shared" si="9"/>
        <v>0.13869625520110962</v>
      </c>
      <c r="J13">
        <v>0.99299999999999999</v>
      </c>
      <c r="K13">
        <f t="shared" si="3"/>
        <v>622.29413617804562</v>
      </c>
      <c r="L13">
        <f t="shared" si="4"/>
        <v>2.2287893640287655E-4</v>
      </c>
      <c r="M13">
        <f t="shared" si="10"/>
        <v>3.1527104047316566E-3</v>
      </c>
      <c r="N13">
        <f t="shared" si="5"/>
        <v>307.94892704089108</v>
      </c>
      <c r="O13">
        <f t="shared" si="6"/>
        <v>4.2707266554872694E-5</v>
      </c>
      <c r="P13">
        <f t="shared" si="7"/>
        <v>681.99667039823055</v>
      </c>
      <c r="R13" s="8">
        <f t="shared" si="11"/>
        <v>130</v>
      </c>
      <c r="S13" s="8">
        <f t="shared" si="8"/>
        <v>1176.76</v>
      </c>
    </row>
    <row r="14" spans="4:19" x14ac:dyDescent="0.4">
      <c r="D14" s="8">
        <v>750</v>
      </c>
      <c r="E14" s="8">
        <f t="shared" si="0"/>
        <v>1382</v>
      </c>
      <c r="F14">
        <f t="shared" si="1"/>
        <v>1841.6</v>
      </c>
      <c r="G14" s="8">
        <v>72.099999999999994</v>
      </c>
      <c r="H14" s="8">
        <f t="shared" si="2"/>
        <v>1</v>
      </c>
      <c r="I14">
        <f t="shared" si="9"/>
        <v>2.9126213592232886E-2</v>
      </c>
      <c r="J14">
        <v>0.99299999999999999</v>
      </c>
      <c r="K14">
        <f t="shared" si="3"/>
        <v>681.99667039822805</v>
      </c>
      <c r="L14">
        <f t="shared" si="4"/>
        <v>4.2707266554872849E-5</v>
      </c>
      <c r="M14">
        <f t="shared" si="10"/>
        <v>3.1954176712865293E-3</v>
      </c>
      <c r="N14">
        <f t="shared" si="5"/>
        <v>312.94813475741438</v>
      </c>
      <c r="O14">
        <f t="shared" si="6"/>
        <v>0</v>
      </c>
      <c r="P14" t="e">
        <f t="shared" si="7"/>
        <v>#DIV/0!</v>
      </c>
      <c r="R14" s="8">
        <f t="shared" si="11"/>
        <v>130</v>
      </c>
      <c r="S14" s="8">
        <f t="shared" si="8"/>
        <v>1252</v>
      </c>
    </row>
    <row r="15" spans="4:19" x14ac:dyDescent="0.4">
      <c r="D15" s="8"/>
      <c r="E15" s="8"/>
      <c r="G15" s="8"/>
      <c r="H15" s="8"/>
      <c r="R15" s="8"/>
      <c r="S15" s="8"/>
    </row>
    <row r="16" spans="4:19" x14ac:dyDescent="0.4">
      <c r="D16" s="23" t="s">
        <v>213</v>
      </c>
      <c r="E16" s="8"/>
      <c r="G16" s="8"/>
      <c r="H16" s="8"/>
      <c r="R16" s="8"/>
      <c r="S16" s="8"/>
    </row>
    <row r="17" spans="4:19" x14ac:dyDescent="0.4">
      <c r="D17" s="8"/>
      <c r="E17" s="8">
        <v>1</v>
      </c>
      <c r="F17" s="8">
        <v>2</v>
      </c>
      <c r="G17" s="8">
        <v>3</v>
      </c>
      <c r="H17" s="8">
        <v>4</v>
      </c>
      <c r="I17" s="8">
        <v>5</v>
      </c>
      <c r="J17" s="8">
        <v>6</v>
      </c>
      <c r="K17" s="8">
        <v>7</v>
      </c>
      <c r="L17" s="8">
        <v>8</v>
      </c>
      <c r="M17" s="8">
        <v>9</v>
      </c>
      <c r="N17" s="8">
        <v>10</v>
      </c>
      <c r="O17" s="8">
        <v>11</v>
      </c>
      <c r="P17" s="8">
        <v>12</v>
      </c>
      <c r="R17" s="8"/>
      <c r="S17" s="8"/>
    </row>
    <row r="18" spans="4:19" x14ac:dyDescent="0.4">
      <c r="D18" s="8"/>
      <c r="E18" s="8"/>
      <c r="G18" s="8"/>
      <c r="H18" s="8"/>
      <c r="R18" s="8"/>
      <c r="S18" s="8"/>
    </row>
    <row r="19" spans="4:19" x14ac:dyDescent="0.4">
      <c r="D19" s="22"/>
      <c r="E19" s="8"/>
      <c r="G19" s="8"/>
      <c r="H19" s="8"/>
      <c r="R19" s="8"/>
      <c r="S19" s="22"/>
    </row>
    <row r="20" spans="4:19" x14ac:dyDescent="0.4">
      <c r="D20" s="22"/>
      <c r="E20" s="8"/>
      <c r="G20" s="8"/>
      <c r="H20" s="8"/>
      <c r="R20" s="8"/>
      <c r="S20" s="22"/>
    </row>
    <row r="21" spans="4:19" x14ac:dyDescent="0.4">
      <c r="D21" s="22"/>
      <c r="E21" s="8"/>
      <c r="G21" s="8"/>
      <c r="H21" s="8"/>
      <c r="R21" s="8"/>
      <c r="S21" s="22"/>
    </row>
    <row r="22" spans="4:19" x14ac:dyDescent="0.4">
      <c r="D22" s="22"/>
      <c r="E22" s="8"/>
      <c r="G22" s="8"/>
      <c r="H22" s="8"/>
      <c r="R22" s="8"/>
      <c r="S22" s="22"/>
    </row>
    <row r="23" spans="4:19" x14ac:dyDescent="0.4">
      <c r="D23" s="8"/>
      <c r="E23" s="8"/>
      <c r="G23" s="8"/>
      <c r="H23" s="8"/>
      <c r="R23" s="8"/>
      <c r="S23" s="8"/>
    </row>
    <row r="24" spans="4:19" x14ac:dyDescent="0.4">
      <c r="D24" s="8"/>
      <c r="E24" s="8"/>
      <c r="G24" s="8"/>
      <c r="H24" s="8"/>
      <c r="R24" s="8"/>
      <c r="S24" s="8"/>
    </row>
    <row r="25" spans="4:19" x14ac:dyDescent="0.4">
      <c r="D25" s="8"/>
      <c r="E25" s="8"/>
      <c r="G25" s="8"/>
      <c r="H25" s="8"/>
      <c r="R25" s="8"/>
      <c r="S25" s="8"/>
    </row>
    <row r="26" spans="4:19" x14ac:dyDescent="0.4">
      <c r="D26" s="8"/>
      <c r="E26" s="8"/>
      <c r="G26" s="8"/>
      <c r="H26" s="8"/>
      <c r="R26" s="8"/>
      <c r="S26" s="8"/>
    </row>
    <row r="27" spans="4:19" x14ac:dyDescent="0.4">
      <c r="D27" s="8"/>
      <c r="E27" s="8"/>
      <c r="G27" s="8"/>
      <c r="H27" s="8"/>
      <c r="R27" s="8"/>
      <c r="S27" s="8"/>
    </row>
    <row r="28" spans="4:19" x14ac:dyDescent="0.4">
      <c r="D28" s="8"/>
      <c r="E28" s="8"/>
      <c r="G28" s="8"/>
      <c r="H28" s="8"/>
      <c r="R28" s="8"/>
      <c r="S28" s="8"/>
    </row>
    <row r="29" spans="4:19" x14ac:dyDescent="0.4">
      <c r="D29" s="8"/>
      <c r="E29" s="8"/>
      <c r="G29" s="8"/>
      <c r="H29" s="8"/>
      <c r="R29" s="8"/>
      <c r="S29" s="8"/>
    </row>
    <row r="30" spans="4:19" x14ac:dyDescent="0.4">
      <c r="D30" s="8"/>
      <c r="E30" s="8"/>
      <c r="G30" s="8"/>
      <c r="H30" s="8"/>
      <c r="R30" s="8"/>
      <c r="S30" s="8"/>
    </row>
    <row r="31" spans="4:19" x14ac:dyDescent="0.4">
      <c r="D31" s="8"/>
      <c r="E31" s="8"/>
      <c r="G31" s="8"/>
      <c r="H31" s="8"/>
      <c r="R31" s="8"/>
      <c r="S31" s="8"/>
    </row>
    <row r="32" spans="4:19" x14ac:dyDescent="0.4">
      <c r="D32" s="8"/>
      <c r="E32" s="8"/>
      <c r="G32" s="8"/>
      <c r="H32" s="8"/>
      <c r="R32" s="8"/>
      <c r="S32" s="8"/>
    </row>
    <row r="33" spans="4:19" x14ac:dyDescent="0.4">
      <c r="D33" s="8"/>
      <c r="E33" s="8"/>
      <c r="G33" s="8"/>
      <c r="H33" s="8"/>
      <c r="R33" s="8"/>
      <c r="S33" s="8"/>
    </row>
    <row r="34" spans="4:19" x14ac:dyDescent="0.4">
      <c r="D34" s="22"/>
      <c r="E34" s="8"/>
      <c r="G34" s="8"/>
      <c r="H34" s="8"/>
      <c r="R34" s="8"/>
      <c r="S34" s="22"/>
    </row>
    <row r="35" spans="4:19" x14ac:dyDescent="0.4">
      <c r="D35" s="22"/>
      <c r="E35" s="8"/>
      <c r="G35" s="8"/>
      <c r="H35" s="8"/>
      <c r="R35" s="8"/>
      <c r="S35" s="22"/>
    </row>
    <row r="36" spans="4:19" x14ac:dyDescent="0.4">
      <c r="D36" s="8"/>
      <c r="E36" s="8"/>
      <c r="G36" s="8"/>
      <c r="H36" s="8"/>
      <c r="R36" s="8"/>
      <c r="S36" s="8"/>
    </row>
    <row r="37" spans="4:19" x14ac:dyDescent="0.4">
      <c r="D37" s="8"/>
      <c r="E37" s="8"/>
      <c r="G37" s="8"/>
      <c r="H37" s="8"/>
      <c r="R37" s="8"/>
      <c r="S37" s="8"/>
    </row>
    <row r="38" spans="4:19" x14ac:dyDescent="0.4">
      <c r="D38" s="8"/>
      <c r="E38" s="8"/>
      <c r="G38" s="8"/>
      <c r="H38" s="8"/>
      <c r="R38" s="8"/>
      <c r="S38" s="8"/>
    </row>
    <row r="39" spans="4:19" x14ac:dyDescent="0.4">
      <c r="D39" s="8"/>
      <c r="E39" s="8"/>
      <c r="G39" s="8"/>
      <c r="H39" s="8"/>
      <c r="R39" s="8"/>
      <c r="S39" s="8"/>
    </row>
    <row r="40" spans="4:19" x14ac:dyDescent="0.4">
      <c r="D40" s="8"/>
      <c r="E40" s="8"/>
      <c r="G40" s="8"/>
      <c r="H40" s="8"/>
      <c r="R40" s="8"/>
      <c r="S40" s="8"/>
    </row>
    <row r="41" spans="4:19" x14ac:dyDescent="0.4">
      <c r="D41" s="8"/>
      <c r="E41" s="8"/>
      <c r="G41" s="8"/>
      <c r="H41" s="8"/>
      <c r="R41" s="8"/>
      <c r="S41" s="8"/>
    </row>
    <row r="42" spans="4:19" x14ac:dyDescent="0.4">
      <c r="D42" s="8"/>
      <c r="E42" s="8"/>
      <c r="G42" s="8"/>
      <c r="H42" s="8"/>
      <c r="R42" s="8"/>
      <c r="S42" s="8"/>
    </row>
    <row r="43" spans="4:19" x14ac:dyDescent="0.4">
      <c r="D43" s="8"/>
      <c r="E43" s="8"/>
      <c r="G43" s="8"/>
      <c r="H43" s="8"/>
      <c r="R43" s="8"/>
      <c r="S43" s="8"/>
    </row>
    <row r="44" spans="4:19" x14ac:dyDescent="0.4">
      <c r="D44" s="8"/>
      <c r="E44" s="8"/>
      <c r="G44" s="8"/>
      <c r="H44" s="8"/>
      <c r="R44" s="8"/>
      <c r="S44" s="8"/>
    </row>
    <row r="45" spans="4:19" x14ac:dyDescent="0.4">
      <c r="D45" s="8"/>
      <c r="E45" s="8"/>
      <c r="G45" s="8"/>
      <c r="H45" s="8"/>
      <c r="R45" s="8"/>
      <c r="S45" s="8"/>
    </row>
    <row r="46" spans="4:19" x14ac:dyDescent="0.4">
      <c r="D46" s="8"/>
      <c r="E46" s="8"/>
      <c r="G46" s="8"/>
      <c r="H46" s="8"/>
      <c r="R46" s="8"/>
      <c r="S46" s="8"/>
    </row>
    <row r="47" spans="4:19" x14ac:dyDescent="0.4">
      <c r="D47" s="8"/>
      <c r="E47" s="8"/>
      <c r="G47" s="8"/>
      <c r="H47" s="8"/>
      <c r="R47" s="8"/>
      <c r="S47" s="8"/>
    </row>
    <row r="48" spans="4:19" x14ac:dyDescent="0.4">
      <c r="D48" s="8"/>
      <c r="E48" s="8"/>
      <c r="G48" s="8"/>
      <c r="H48" s="8"/>
      <c r="R48" s="8"/>
      <c r="S48" s="8"/>
    </row>
    <row r="49" spans="4:19" x14ac:dyDescent="0.4">
      <c r="D49" s="22"/>
      <c r="E49" s="8"/>
      <c r="G49" s="8"/>
      <c r="H49" s="8"/>
      <c r="R49" s="8"/>
      <c r="S49" s="22"/>
    </row>
    <row r="50" spans="4:19" x14ac:dyDescent="0.4">
      <c r="D50" s="22"/>
      <c r="E50" s="8"/>
      <c r="G50" s="8"/>
      <c r="H50" s="8"/>
      <c r="R50" s="8"/>
      <c r="S50" s="22"/>
    </row>
    <row r="51" spans="4:19" x14ac:dyDescent="0.4">
      <c r="D51" s="8"/>
      <c r="E51" s="8"/>
      <c r="G51" s="8"/>
      <c r="H51" s="8"/>
      <c r="R51" s="8"/>
      <c r="S51" s="8"/>
    </row>
    <row r="52" spans="4:19" x14ac:dyDescent="0.4">
      <c r="D52" s="8"/>
      <c r="E52" s="8"/>
      <c r="G52" s="8"/>
      <c r="H52" s="8"/>
      <c r="R52" s="8"/>
      <c r="S52" s="8"/>
    </row>
    <row r="53" spans="4:19" x14ac:dyDescent="0.4">
      <c r="D53" s="8"/>
      <c r="E53" s="8"/>
      <c r="G53" s="8"/>
      <c r="H53" s="8"/>
      <c r="R53" s="8"/>
      <c r="S53" s="8"/>
    </row>
    <row r="54" spans="4:19" x14ac:dyDescent="0.4">
      <c r="D54" s="8"/>
      <c r="E54" s="8"/>
      <c r="G54" s="8"/>
      <c r="H54" s="8"/>
      <c r="R54" s="8"/>
      <c r="S54" s="8"/>
    </row>
    <row r="55" spans="4:19" x14ac:dyDescent="0.4">
      <c r="D55" s="8"/>
      <c r="E55" s="8"/>
      <c r="G55" s="8"/>
      <c r="H55" s="8"/>
      <c r="R55" s="8"/>
      <c r="S55" s="8"/>
    </row>
    <row r="56" spans="4:19" x14ac:dyDescent="0.4">
      <c r="D56" s="8"/>
      <c r="E56" s="8"/>
      <c r="G56" s="8"/>
      <c r="H56" s="8"/>
      <c r="R56" s="8"/>
      <c r="S56" s="8"/>
    </row>
    <row r="57" spans="4:19" x14ac:dyDescent="0.4">
      <c r="D57" s="8"/>
      <c r="E57" s="8"/>
      <c r="G57" s="8"/>
      <c r="H57" s="8"/>
      <c r="R57" s="8"/>
      <c r="S57" s="8"/>
    </row>
    <row r="58" spans="4:19" x14ac:dyDescent="0.4">
      <c r="D58" s="8"/>
      <c r="E58" s="8"/>
      <c r="G58" s="8"/>
      <c r="H58" s="8"/>
      <c r="R58" s="8"/>
      <c r="S58" s="8"/>
    </row>
    <row r="59" spans="4:19" x14ac:dyDescent="0.4">
      <c r="D59" s="8"/>
      <c r="E59" s="8"/>
      <c r="G59" s="8"/>
      <c r="H59" s="8"/>
      <c r="R59" s="8"/>
      <c r="S59" s="8"/>
    </row>
    <row r="60" spans="4:19" x14ac:dyDescent="0.4">
      <c r="D60" s="8"/>
      <c r="E60" s="8"/>
      <c r="G60" s="8"/>
      <c r="H60" s="8"/>
      <c r="R60" s="8"/>
      <c r="S60" s="8"/>
    </row>
    <row r="61" spans="4:19" x14ac:dyDescent="0.4">
      <c r="D61" s="8"/>
      <c r="E61" s="8"/>
      <c r="G61" s="8"/>
      <c r="H61" s="8"/>
      <c r="R61" s="8"/>
      <c r="S61" s="8"/>
    </row>
    <row r="62" spans="4:19" x14ac:dyDescent="0.4">
      <c r="D62" s="8"/>
      <c r="E62" s="8"/>
      <c r="G62" s="8"/>
      <c r="H62" s="8"/>
      <c r="R62" s="8"/>
      <c r="S62" s="8"/>
    </row>
    <row r="63" spans="4:19" x14ac:dyDescent="0.4">
      <c r="D63" s="24"/>
      <c r="E63" s="8"/>
      <c r="G63" s="8"/>
      <c r="H63" s="8"/>
      <c r="R63" s="8"/>
      <c r="S63" s="24"/>
    </row>
    <row r="64" spans="4:19" x14ac:dyDescent="0.4">
      <c r="D64" s="8"/>
      <c r="E64" s="8"/>
      <c r="G64" s="8"/>
      <c r="H64" s="8"/>
      <c r="R64" s="8"/>
      <c r="S64" s="8"/>
    </row>
    <row r="65" spans="4:19" x14ac:dyDescent="0.4">
      <c r="D65" s="22"/>
      <c r="E65" s="8"/>
      <c r="G65" s="8"/>
      <c r="H65" s="8"/>
      <c r="R65" s="8"/>
      <c r="S65" s="22"/>
    </row>
    <row r="66" spans="4:19" x14ac:dyDescent="0.4">
      <c r="D66" s="22"/>
      <c r="E66" s="8"/>
      <c r="G66" s="8"/>
      <c r="H66" s="8"/>
      <c r="R66" s="8"/>
      <c r="S66" s="22"/>
    </row>
    <row r="67" spans="4:19" x14ac:dyDescent="0.4">
      <c r="D67" s="22"/>
      <c r="E67" s="8"/>
      <c r="G67" s="8"/>
      <c r="H67" s="8"/>
      <c r="R67" s="8"/>
      <c r="S67" s="22"/>
    </row>
    <row r="68" spans="4:19" x14ac:dyDescent="0.4">
      <c r="D68" s="8"/>
      <c r="E68" s="8"/>
      <c r="G68" s="8"/>
      <c r="H68" s="8"/>
      <c r="R68" s="8"/>
      <c r="S68" s="8"/>
    </row>
    <row r="69" spans="4:19" x14ac:dyDescent="0.4">
      <c r="D69" s="22"/>
      <c r="E69" s="8"/>
      <c r="G69" s="8"/>
      <c r="H69" s="8"/>
      <c r="R69" s="8"/>
      <c r="S69" s="22"/>
    </row>
    <row r="70" spans="4:19" x14ac:dyDescent="0.4">
      <c r="D70" s="8"/>
      <c r="E70" s="8"/>
      <c r="G70" s="8"/>
      <c r="H70" s="8"/>
      <c r="R70" s="8"/>
      <c r="S70" s="8"/>
    </row>
    <row r="71" spans="4:19" x14ac:dyDescent="0.4">
      <c r="D71" s="22"/>
      <c r="E71" s="8"/>
      <c r="G71" s="8"/>
      <c r="H71" s="8"/>
      <c r="R71" s="8"/>
      <c r="S71" s="22"/>
    </row>
    <row r="72" spans="4:19" x14ac:dyDescent="0.4">
      <c r="D72" s="8"/>
      <c r="E72" s="8"/>
      <c r="G72" s="8"/>
      <c r="H72" s="8"/>
      <c r="R72" s="8"/>
      <c r="S72" s="8"/>
    </row>
    <row r="73" spans="4:19" x14ac:dyDescent="0.4">
      <c r="D73" s="22"/>
      <c r="E73" s="8"/>
      <c r="G73" s="8"/>
      <c r="H73" s="8"/>
      <c r="R73" s="8"/>
      <c r="S73" s="22"/>
    </row>
    <row r="74" spans="4:19" x14ac:dyDescent="0.4">
      <c r="D74" s="8"/>
      <c r="E74" s="8"/>
      <c r="G74" s="8"/>
      <c r="H74" s="8"/>
      <c r="R74" s="8"/>
      <c r="S74" s="8"/>
    </row>
    <row r="75" spans="4:19" x14ac:dyDescent="0.4">
      <c r="D75" s="22"/>
      <c r="E75" s="8"/>
      <c r="G75" s="8"/>
      <c r="H75" s="8"/>
      <c r="R75" s="8"/>
      <c r="S75" s="22"/>
    </row>
    <row r="76" spans="4:19" x14ac:dyDescent="0.4">
      <c r="D76" s="8"/>
      <c r="E76" s="8"/>
      <c r="G76" s="8"/>
      <c r="H76" s="8"/>
      <c r="R76" s="8"/>
      <c r="S76" s="8"/>
    </row>
    <row r="77" spans="4:19" x14ac:dyDescent="0.4">
      <c r="D77" s="22"/>
      <c r="E77" s="8"/>
      <c r="G77" s="8"/>
      <c r="H77" s="8"/>
      <c r="R77" s="8"/>
      <c r="S77" s="22"/>
    </row>
    <row r="78" spans="4:19" x14ac:dyDescent="0.4">
      <c r="D78" s="24"/>
      <c r="E78" s="8"/>
      <c r="G78" s="8"/>
      <c r="H78" s="8"/>
      <c r="R78" s="8"/>
      <c r="S78" s="24"/>
    </row>
    <row r="79" spans="4:19" x14ac:dyDescent="0.4">
      <c r="D79" s="8"/>
      <c r="E79" s="8"/>
      <c r="G79" s="8"/>
      <c r="H79" s="8"/>
      <c r="R79" s="8"/>
      <c r="S79" s="8"/>
    </row>
    <row r="80" spans="4:19" x14ac:dyDescent="0.4">
      <c r="D80" s="22"/>
      <c r="E80" s="8"/>
      <c r="G80" s="8"/>
      <c r="H80" s="8"/>
      <c r="R80" s="8"/>
      <c r="S80" s="22"/>
    </row>
    <row r="81" spans="4:19" x14ac:dyDescent="0.4">
      <c r="D81" s="22"/>
      <c r="E81" s="8"/>
      <c r="G81" s="8"/>
      <c r="H81" s="8"/>
      <c r="R81" s="8"/>
      <c r="S81" s="22"/>
    </row>
    <row r="82" spans="4:19" x14ac:dyDescent="0.4">
      <c r="D82" s="22"/>
      <c r="E82" s="8"/>
      <c r="G82" s="8"/>
      <c r="H82" s="8"/>
      <c r="R82" s="8"/>
      <c r="S82" s="22"/>
    </row>
    <row r="83" spans="4:19" x14ac:dyDescent="0.4">
      <c r="D83" s="8"/>
      <c r="E83" s="8"/>
      <c r="G83" s="8"/>
      <c r="H83" s="8"/>
      <c r="R83" s="8"/>
      <c r="S83" s="8"/>
    </row>
    <row r="84" spans="4:19" x14ac:dyDescent="0.4">
      <c r="D84" s="22"/>
      <c r="E84" s="8"/>
      <c r="G84" s="8"/>
      <c r="H84" s="8"/>
      <c r="R84" s="8"/>
      <c r="S84" s="22"/>
    </row>
    <row r="85" spans="4:19" x14ac:dyDescent="0.4">
      <c r="D85" s="8"/>
      <c r="E85" s="8"/>
      <c r="G85" s="8"/>
      <c r="H85" s="8"/>
      <c r="R85" s="8"/>
      <c r="S85" s="8"/>
    </row>
    <row r="86" spans="4:19" x14ac:dyDescent="0.4">
      <c r="D86" s="22"/>
      <c r="E86" s="8"/>
      <c r="G86" s="8"/>
      <c r="H86" s="8"/>
      <c r="R86" s="8"/>
      <c r="S86" s="22"/>
    </row>
    <row r="87" spans="4:19" x14ac:dyDescent="0.4">
      <c r="D87" s="8"/>
      <c r="E87" s="8"/>
      <c r="G87" s="8"/>
      <c r="H87" s="8"/>
      <c r="R87" s="8"/>
      <c r="S87" s="8"/>
    </row>
    <row r="88" spans="4:19" x14ac:dyDescent="0.4">
      <c r="D88" s="22"/>
      <c r="E88" s="8"/>
      <c r="G88" s="8"/>
      <c r="H88" s="8"/>
      <c r="R88" s="8"/>
      <c r="S88" s="22"/>
    </row>
    <row r="89" spans="4:19" x14ac:dyDescent="0.4">
      <c r="D89" s="8"/>
      <c r="E89" s="8"/>
      <c r="G89" s="8"/>
      <c r="H89" s="8"/>
      <c r="R89" s="8"/>
      <c r="S89" s="8"/>
    </row>
    <row r="90" spans="4:19" x14ac:dyDescent="0.4">
      <c r="D90" s="22"/>
      <c r="E90" s="8"/>
      <c r="G90" s="8"/>
      <c r="H90" s="8"/>
      <c r="R90" s="8"/>
      <c r="S90" s="22"/>
    </row>
    <row r="91" spans="4:19" x14ac:dyDescent="0.4">
      <c r="D91" s="8"/>
      <c r="E91" s="8"/>
      <c r="G91" s="8"/>
      <c r="H91" s="8"/>
      <c r="R91" s="8"/>
      <c r="S91" s="8"/>
    </row>
    <row r="92" spans="4:19" x14ac:dyDescent="0.4">
      <c r="D92" s="22"/>
      <c r="E92" s="8"/>
      <c r="G92" s="8"/>
      <c r="H92" s="8"/>
      <c r="R92" s="8"/>
      <c r="S92" s="22"/>
    </row>
    <row r="93" spans="4:19" x14ac:dyDescent="0.4">
      <c r="D93" s="24"/>
      <c r="E93" s="8"/>
      <c r="G93" s="8"/>
      <c r="H93" s="8"/>
      <c r="R93" s="8"/>
      <c r="S93" s="24"/>
    </row>
    <row r="94" spans="4:19" x14ac:dyDescent="0.4">
      <c r="D94" s="22"/>
      <c r="E94" s="8"/>
      <c r="G94" s="8"/>
      <c r="H94" s="8"/>
      <c r="R94" s="8"/>
      <c r="S94" s="22"/>
    </row>
    <row r="95" spans="4:19" x14ac:dyDescent="0.4">
      <c r="D95" s="22"/>
      <c r="E95" s="8"/>
      <c r="G95" s="8"/>
      <c r="H95" s="8"/>
      <c r="R95" s="8"/>
      <c r="S95" s="22"/>
    </row>
  </sheetData>
  <sheetProtection algorithmName="SHA-512" hashValue="Gvr3XNJXpEqJJBdf04zrtIIhm9kKq0qTUo1HMGDw9h7R1PVLK5qX5tuvEYQTCHPN/VQWxvyfRjvj11Ua9T0zpw==" saltValue="TesM6V/7cQZzrL8WbKBGdg==" spinCount="100000" sheet="1" objects="1" scenarios="1"/>
  <pageMargins left="0.7" right="0.7" top="0.75" bottom="0.75" header="0.3" footer="0.3"/>
  <pageSetup orientation="portrait"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A8C56-D526-413C-AF58-78EA778BC66B}">
  <sheetPr codeName="Sheet27">
    <tabColor theme="1" tint="4.9989318521683403E-2"/>
  </sheetPr>
  <dimension ref="D1:S95"/>
  <sheetViews>
    <sheetView workbookViewId="0">
      <selection activeCell="J5" sqref="J5"/>
    </sheetView>
  </sheetViews>
  <sheetFormatPr defaultColWidth="8.84375" defaultRowHeight="14.6" x14ac:dyDescent="0.4"/>
  <cols>
    <col min="7" max="7" width="14.84375" bestFit="1" customWidth="1"/>
    <col min="8" max="8" width="17.4609375" bestFit="1" customWidth="1"/>
    <col min="9" max="9" width="14.69140625" customWidth="1"/>
    <col min="10" max="10" width="10" bestFit="1" customWidth="1"/>
    <col min="11" max="11" width="26.84375" bestFit="1" customWidth="1"/>
    <col min="12" max="12" width="16.3046875" bestFit="1" customWidth="1"/>
    <col min="13" max="13" width="14.4609375" bestFit="1" customWidth="1"/>
    <col min="14" max="14" width="14.4609375" customWidth="1"/>
    <col min="15" max="15" width="14.84375" bestFit="1" customWidth="1"/>
    <col min="16" max="16" width="12" bestFit="1" customWidth="1"/>
    <col min="18" max="18" width="23.69140625" bestFit="1" customWidth="1"/>
  </cols>
  <sheetData>
    <row r="1" spans="4:19" x14ac:dyDescent="0.4">
      <c r="D1" t="s">
        <v>214</v>
      </c>
    </row>
    <row r="2" spans="4:19" x14ac:dyDescent="0.4">
      <c r="D2" t="s">
        <v>198</v>
      </c>
      <c r="E2" t="s">
        <v>199</v>
      </c>
      <c r="F2" t="s">
        <v>200</v>
      </c>
      <c r="G2" t="s">
        <v>201</v>
      </c>
      <c r="H2" t="s">
        <v>202</v>
      </c>
      <c r="I2" t="s">
        <v>203</v>
      </c>
      <c r="J2" t="s">
        <v>204</v>
      </c>
      <c r="K2" t="s">
        <v>205</v>
      </c>
      <c r="L2" t="s">
        <v>206</v>
      </c>
      <c r="M2" t="s">
        <v>207</v>
      </c>
      <c r="N2" t="s">
        <v>208</v>
      </c>
      <c r="O2" t="s">
        <v>209</v>
      </c>
      <c r="P2" t="s">
        <v>210</v>
      </c>
      <c r="R2" t="s">
        <v>211</v>
      </c>
      <c r="S2" s="21" t="s">
        <v>212</v>
      </c>
    </row>
    <row r="3" spans="4:19" x14ac:dyDescent="0.4">
      <c r="D3" s="8"/>
      <c r="E3" s="8">
        <v>94.5</v>
      </c>
      <c r="F3">
        <f>E3+459.6</f>
        <v>554.1</v>
      </c>
      <c r="G3" s="8">
        <v>0.01</v>
      </c>
      <c r="H3" s="8">
        <f>G3/$G$12</f>
        <v>1.25E-4</v>
      </c>
      <c r="I3">
        <f>H3</f>
        <v>1.25E-4</v>
      </c>
      <c r="J3">
        <v>0.92200000000000004</v>
      </c>
      <c r="K3">
        <f>IF(E3&gt;750,0.000045673*(F3^2.1962)*1/(J3^1.0164),20.486*(F3^1.26007)*(J3^4.98308)*EXP(0.0001165*F3-7.7812*J3+0.0011582*F3*J3))</f>
        <v>57.820903146138789</v>
      </c>
      <c r="L3">
        <f>I3/K3</f>
        <v>2.1618479338530938E-6</v>
      </c>
      <c r="M3">
        <f>L3</f>
        <v>2.1618479338530938E-6</v>
      </c>
      <c r="N3">
        <f>H3/M3</f>
        <v>57.820903146138797</v>
      </c>
      <c r="O3">
        <f>SUM($L$3:$L$14)-M3</f>
        <v>4.8213335625279406E-3</v>
      </c>
      <c r="P3">
        <f>(1-H3)/O3</f>
        <v>207.38556812811382</v>
      </c>
      <c r="R3" s="8">
        <v>68</v>
      </c>
      <c r="S3" s="8">
        <f>E3-R3</f>
        <v>26.5</v>
      </c>
    </row>
    <row r="4" spans="4:19" x14ac:dyDescent="0.4">
      <c r="D4" s="22"/>
      <c r="E4" s="8">
        <v>98.1</v>
      </c>
      <c r="F4">
        <f t="shared" ref="F4:F12" si="0">E4+459.6</f>
        <v>557.70000000000005</v>
      </c>
      <c r="G4" s="8">
        <v>5</v>
      </c>
      <c r="H4" s="8">
        <f t="shared" ref="H4:H12" si="1">G4/$G$12</f>
        <v>6.25E-2</v>
      </c>
      <c r="I4">
        <f>H4-H3</f>
        <v>6.2375E-2</v>
      </c>
      <c r="J4">
        <v>0.92200000000000004</v>
      </c>
      <c r="K4">
        <f t="shared" ref="K4:K12" si="2">IF(E4&gt;750,0.000045673*(F4^2.1962)*1/(J4^1.0164),20.486*(F4^1.26007)*(J4^4.98308)*EXP(0.0001165*F4-7.7812*J4+0.0011582*F4*J4))</f>
        <v>58.5437464107004</v>
      </c>
      <c r="L4">
        <f t="shared" ref="L4:L12" si="3">I4/K4</f>
        <v>1.065442576264633E-3</v>
      </c>
      <c r="M4">
        <f>M3+L4</f>
        <v>1.067604424198486E-3</v>
      </c>
      <c r="N4">
        <f t="shared" ref="N4:N12" si="4">H4/M4</f>
        <v>58.542282687637282</v>
      </c>
      <c r="O4">
        <f t="shared" ref="O4:O12" si="5">SUM($L$3:$L$14)-M4</f>
        <v>3.7558909862633076E-3</v>
      </c>
      <c r="P4">
        <f t="shared" ref="P4:P12" si="6">(1-H4)/O4</f>
        <v>249.60788356978057</v>
      </c>
      <c r="R4" s="8">
        <f>R3</f>
        <v>68</v>
      </c>
      <c r="S4" s="8">
        <f t="shared" ref="S4:S12" si="7">E4-R4</f>
        <v>30.099999999999994</v>
      </c>
    </row>
    <row r="5" spans="4:19" x14ac:dyDescent="0.4">
      <c r="D5" s="22"/>
      <c r="E5" s="8">
        <v>134.80000000000001</v>
      </c>
      <c r="F5">
        <f t="shared" si="0"/>
        <v>594.40000000000009</v>
      </c>
      <c r="G5" s="8">
        <f>G4+5</f>
        <v>10</v>
      </c>
      <c r="H5" s="8">
        <f t="shared" si="1"/>
        <v>0.125</v>
      </c>
      <c r="I5">
        <f t="shared" ref="I5:I12" si="8">H5-H4</f>
        <v>6.25E-2</v>
      </c>
      <c r="J5">
        <v>0.92200000000000004</v>
      </c>
      <c r="K5">
        <f t="shared" si="2"/>
        <v>66.257337612437098</v>
      </c>
      <c r="L5">
        <f t="shared" si="3"/>
        <v>9.432917508032829E-4</v>
      </c>
      <c r="M5">
        <f t="shared" ref="M5:M12" si="9">M4+L5</f>
        <v>2.010896175001769E-3</v>
      </c>
      <c r="N5">
        <f t="shared" si="4"/>
        <v>62.161339582780812</v>
      </c>
      <c r="O5">
        <f t="shared" si="5"/>
        <v>2.8125992354600246E-3</v>
      </c>
      <c r="P5">
        <f t="shared" si="6"/>
        <v>311.10013434135288</v>
      </c>
      <c r="R5" s="8">
        <f t="shared" ref="R5:R12" si="10">R4</f>
        <v>68</v>
      </c>
      <c r="S5" s="8">
        <f t="shared" si="7"/>
        <v>66.800000000000011</v>
      </c>
    </row>
    <row r="6" spans="4:19" x14ac:dyDescent="0.4">
      <c r="D6" s="8"/>
      <c r="E6" s="8">
        <v>389.1</v>
      </c>
      <c r="F6">
        <f t="shared" si="0"/>
        <v>848.7</v>
      </c>
      <c r="G6" s="8">
        <f>G5+10</f>
        <v>20</v>
      </c>
      <c r="H6" s="8">
        <f t="shared" si="1"/>
        <v>0.25</v>
      </c>
      <c r="I6">
        <f t="shared" si="8"/>
        <v>0.125</v>
      </c>
      <c r="J6">
        <v>0.92200000000000004</v>
      </c>
      <c r="K6">
        <f t="shared" si="2"/>
        <v>140.26130122451542</v>
      </c>
      <c r="L6">
        <f t="shared" si="3"/>
        <v>8.9119378551831096E-4</v>
      </c>
      <c r="M6">
        <f t="shared" si="9"/>
        <v>2.9020899605200802E-3</v>
      </c>
      <c r="N6">
        <f t="shared" si="4"/>
        <v>86.144814048148177</v>
      </c>
      <c r="O6">
        <f t="shared" si="5"/>
        <v>1.9214054499417134E-3</v>
      </c>
      <c r="P6">
        <f t="shared" si="6"/>
        <v>390.33926963346107</v>
      </c>
      <c r="R6" s="8">
        <f t="shared" si="10"/>
        <v>68</v>
      </c>
      <c r="S6" s="8">
        <f t="shared" si="7"/>
        <v>321.10000000000002</v>
      </c>
    </row>
    <row r="7" spans="4:19" x14ac:dyDescent="0.4">
      <c r="D7" s="8"/>
      <c r="E7" s="8">
        <v>609.6</v>
      </c>
      <c r="F7">
        <f t="shared" si="0"/>
        <v>1069.2</v>
      </c>
      <c r="G7" s="8">
        <f t="shared" ref="G7:G12" si="11">G6+10</f>
        <v>30</v>
      </c>
      <c r="H7" s="8">
        <f t="shared" si="1"/>
        <v>0.375</v>
      </c>
      <c r="I7">
        <f t="shared" si="8"/>
        <v>0.125</v>
      </c>
      <c r="J7">
        <v>0.92200000000000004</v>
      </c>
      <c r="K7">
        <f t="shared" si="2"/>
        <v>243.6382710218538</v>
      </c>
      <c r="L7">
        <f t="shared" si="3"/>
        <v>5.1305568487139603E-4</v>
      </c>
      <c r="M7">
        <f t="shared" si="9"/>
        <v>3.415145645391476E-3</v>
      </c>
      <c r="N7">
        <f t="shared" si="4"/>
        <v>109.80498020810295</v>
      </c>
      <c r="O7">
        <f t="shared" si="5"/>
        <v>1.4083497650703176E-3</v>
      </c>
      <c r="P7">
        <f t="shared" si="6"/>
        <v>443.78180442185419</v>
      </c>
      <c r="R7" s="8">
        <f t="shared" si="10"/>
        <v>68</v>
      </c>
      <c r="S7" s="8">
        <f t="shared" si="7"/>
        <v>541.6</v>
      </c>
    </row>
    <row r="8" spans="4:19" x14ac:dyDescent="0.4">
      <c r="D8" s="8"/>
      <c r="E8" s="8">
        <v>746.4</v>
      </c>
      <c r="F8">
        <f t="shared" si="0"/>
        <v>1206</v>
      </c>
      <c r="G8" s="8">
        <f t="shared" si="11"/>
        <v>40</v>
      </c>
      <c r="H8" s="8">
        <f t="shared" si="1"/>
        <v>0.5</v>
      </c>
      <c r="I8">
        <f t="shared" si="8"/>
        <v>0.125</v>
      </c>
      <c r="J8">
        <v>0.92200000000000004</v>
      </c>
      <c r="K8">
        <f t="shared" si="2"/>
        <v>333.4241940474526</v>
      </c>
      <c r="L8">
        <f t="shared" si="3"/>
        <v>3.7489780955190708E-4</v>
      </c>
      <c r="M8">
        <f t="shared" si="9"/>
        <v>3.7900434549433832E-3</v>
      </c>
      <c r="N8">
        <f t="shared" si="4"/>
        <v>131.92460876612012</v>
      </c>
      <c r="O8">
        <f t="shared" si="5"/>
        <v>1.0334519555184104E-3</v>
      </c>
      <c r="P8">
        <f t="shared" si="6"/>
        <v>483.81542782913897</v>
      </c>
      <c r="R8" s="8">
        <f t="shared" si="10"/>
        <v>68</v>
      </c>
      <c r="S8" s="8">
        <f t="shared" si="7"/>
        <v>678.4</v>
      </c>
    </row>
    <row r="9" spans="4:19" x14ac:dyDescent="0.4">
      <c r="D9" s="8"/>
      <c r="E9" s="8">
        <v>869</v>
      </c>
      <c r="F9">
        <f t="shared" si="0"/>
        <v>1328.6</v>
      </c>
      <c r="G9" s="8">
        <f t="shared" si="11"/>
        <v>50</v>
      </c>
      <c r="H9" s="8">
        <f t="shared" si="1"/>
        <v>0.625</v>
      </c>
      <c r="I9">
        <f t="shared" si="8"/>
        <v>0.125</v>
      </c>
      <c r="J9">
        <v>0.92200000000000004</v>
      </c>
      <c r="K9">
        <f t="shared" si="2"/>
        <v>359.00911768615879</v>
      </c>
      <c r="L9">
        <f t="shared" si="3"/>
        <v>3.4818057214155052E-4</v>
      </c>
      <c r="M9">
        <f t="shared" si="9"/>
        <v>4.1382240270849335E-3</v>
      </c>
      <c r="N9">
        <f t="shared" si="4"/>
        <v>151.03097268522345</v>
      </c>
      <c r="O9">
        <f t="shared" si="5"/>
        <v>6.8527138337686009E-4</v>
      </c>
      <c r="P9">
        <f t="shared" si="6"/>
        <v>547.22845444396944</v>
      </c>
      <c r="R9" s="8">
        <f t="shared" si="10"/>
        <v>68</v>
      </c>
      <c r="S9" s="8">
        <f t="shared" si="7"/>
        <v>801</v>
      </c>
    </row>
    <row r="10" spans="4:19" x14ac:dyDescent="0.4">
      <c r="D10" s="8"/>
      <c r="E10" s="8">
        <v>1009.6</v>
      </c>
      <c r="F10">
        <f t="shared" si="0"/>
        <v>1469.2</v>
      </c>
      <c r="G10" s="8">
        <f t="shared" si="11"/>
        <v>60</v>
      </c>
      <c r="H10" s="8">
        <f t="shared" si="1"/>
        <v>0.75</v>
      </c>
      <c r="I10">
        <f t="shared" si="8"/>
        <v>0.125</v>
      </c>
      <c r="J10">
        <v>0.92200000000000004</v>
      </c>
      <c r="K10">
        <f t="shared" si="2"/>
        <v>447.76500309654256</v>
      </c>
      <c r="L10">
        <f t="shared" si="3"/>
        <v>2.791642918395942E-4</v>
      </c>
      <c r="M10">
        <f t="shared" si="9"/>
        <v>4.4173883189245278E-3</v>
      </c>
      <c r="N10">
        <f t="shared" si="4"/>
        <v>169.7835793124471</v>
      </c>
      <c r="O10">
        <f t="shared" si="5"/>
        <v>4.0610709153726578E-4</v>
      </c>
      <c r="P10">
        <f t="shared" si="6"/>
        <v>615.60116828705793</v>
      </c>
      <c r="R10" s="8">
        <f t="shared" si="10"/>
        <v>68</v>
      </c>
      <c r="S10" s="8">
        <f t="shared" si="7"/>
        <v>941.6</v>
      </c>
    </row>
    <row r="11" spans="4:19" x14ac:dyDescent="0.4">
      <c r="D11" s="8"/>
      <c r="E11" s="8">
        <v>1167.4000000000001</v>
      </c>
      <c r="F11">
        <f t="shared" si="0"/>
        <v>1627</v>
      </c>
      <c r="G11" s="8">
        <f t="shared" si="11"/>
        <v>70</v>
      </c>
      <c r="H11" s="8">
        <f t="shared" si="1"/>
        <v>0.875</v>
      </c>
      <c r="I11">
        <f t="shared" si="8"/>
        <v>0.125</v>
      </c>
      <c r="J11">
        <v>0.92200000000000004</v>
      </c>
      <c r="K11">
        <f t="shared" si="2"/>
        <v>560.21711733724396</v>
      </c>
      <c r="L11">
        <f t="shared" si="3"/>
        <v>2.2312777694857814E-4</v>
      </c>
      <c r="M11">
        <f t="shared" si="9"/>
        <v>4.6405160958731062E-3</v>
      </c>
      <c r="N11">
        <f t="shared" si="4"/>
        <v>188.55661351506853</v>
      </c>
      <c r="O11">
        <f t="shared" si="5"/>
        <v>1.8297931458868735E-4</v>
      </c>
      <c r="P11">
        <f t="shared" si="6"/>
        <v>683.1373277410238</v>
      </c>
      <c r="R11" s="8">
        <f t="shared" si="10"/>
        <v>68</v>
      </c>
      <c r="S11" s="8">
        <f t="shared" si="7"/>
        <v>1099.4000000000001</v>
      </c>
    </row>
    <row r="12" spans="4:19" x14ac:dyDescent="0.4">
      <c r="D12" s="8"/>
      <c r="E12" s="8">
        <v>1321.2</v>
      </c>
      <c r="F12">
        <f t="shared" si="0"/>
        <v>1780.8000000000002</v>
      </c>
      <c r="G12" s="8">
        <f t="shared" si="11"/>
        <v>80</v>
      </c>
      <c r="H12" s="8">
        <f t="shared" si="1"/>
        <v>1</v>
      </c>
      <c r="I12">
        <f t="shared" si="8"/>
        <v>0.125</v>
      </c>
      <c r="J12">
        <v>0.92200000000000004</v>
      </c>
      <c r="K12">
        <f t="shared" si="2"/>
        <v>683.13732774102391</v>
      </c>
      <c r="L12">
        <f t="shared" si="3"/>
        <v>1.8297931458868732E-4</v>
      </c>
      <c r="M12">
        <f t="shared" si="9"/>
        <v>4.8234954104617936E-3</v>
      </c>
      <c r="N12">
        <f t="shared" si="4"/>
        <v>207.31853456957299</v>
      </c>
      <c r="O12">
        <f t="shared" si="5"/>
        <v>0</v>
      </c>
      <c r="P12" t="e">
        <f t="shared" si="6"/>
        <v>#DIV/0!</v>
      </c>
      <c r="R12" s="8">
        <f t="shared" si="10"/>
        <v>68</v>
      </c>
      <c r="S12" s="8">
        <f t="shared" si="7"/>
        <v>1253.2</v>
      </c>
    </row>
    <row r="13" spans="4:19" x14ac:dyDescent="0.4">
      <c r="D13" s="8"/>
      <c r="E13" s="8"/>
      <c r="G13" s="8"/>
      <c r="H13" s="8"/>
      <c r="R13" s="8"/>
      <c r="S13" s="8"/>
    </row>
    <row r="14" spans="4:19" x14ac:dyDescent="0.4">
      <c r="D14" s="8"/>
      <c r="E14" s="8"/>
      <c r="G14" s="8"/>
      <c r="H14" s="8"/>
      <c r="R14" s="8"/>
      <c r="S14" s="8"/>
    </row>
    <row r="15" spans="4:19" x14ac:dyDescent="0.4">
      <c r="D15" s="8"/>
      <c r="E15" s="8"/>
      <c r="G15" s="8"/>
      <c r="H15" s="8"/>
      <c r="R15" s="8"/>
      <c r="S15" s="8"/>
    </row>
    <row r="16" spans="4:19" x14ac:dyDescent="0.4">
      <c r="D16" s="23" t="s">
        <v>213</v>
      </c>
      <c r="E16" s="8"/>
      <c r="G16" s="8"/>
      <c r="H16" s="8"/>
      <c r="R16" s="8"/>
      <c r="S16" s="8"/>
    </row>
    <row r="17" spans="4:19" x14ac:dyDescent="0.4">
      <c r="D17" s="8"/>
      <c r="E17" s="8">
        <v>1</v>
      </c>
      <c r="F17" s="8">
        <v>2</v>
      </c>
      <c r="G17" s="8">
        <v>3</v>
      </c>
      <c r="H17" s="8">
        <v>4</v>
      </c>
      <c r="I17" s="8">
        <v>5</v>
      </c>
      <c r="J17" s="8">
        <v>6</v>
      </c>
      <c r="K17" s="8">
        <v>7</v>
      </c>
      <c r="L17" s="8">
        <v>8</v>
      </c>
      <c r="M17" s="8">
        <v>9</v>
      </c>
      <c r="N17" s="8">
        <v>10</v>
      </c>
      <c r="O17" s="8">
        <v>11</v>
      </c>
      <c r="P17" s="8">
        <v>12</v>
      </c>
      <c r="R17" s="8"/>
      <c r="S17" s="8"/>
    </row>
    <row r="18" spans="4:19" x14ac:dyDescent="0.4">
      <c r="D18" s="8"/>
      <c r="E18" s="8"/>
      <c r="G18" s="8"/>
      <c r="H18" s="8"/>
      <c r="R18" s="8"/>
      <c r="S18" s="8"/>
    </row>
    <row r="19" spans="4:19" x14ac:dyDescent="0.4">
      <c r="D19" s="22"/>
      <c r="E19" s="8"/>
      <c r="G19" s="8"/>
      <c r="H19" s="8"/>
      <c r="R19" s="8"/>
      <c r="S19" s="22"/>
    </row>
    <row r="20" spans="4:19" x14ac:dyDescent="0.4">
      <c r="D20" s="22"/>
      <c r="E20" s="8"/>
      <c r="G20" s="8"/>
      <c r="H20" s="8"/>
      <c r="R20" s="8"/>
      <c r="S20" s="22"/>
    </row>
    <row r="21" spans="4:19" x14ac:dyDescent="0.4">
      <c r="D21" s="22"/>
      <c r="E21" s="8"/>
      <c r="G21" s="8"/>
      <c r="H21" s="8"/>
      <c r="R21" s="8"/>
      <c r="S21" s="22"/>
    </row>
    <row r="22" spans="4:19" x14ac:dyDescent="0.4">
      <c r="D22" s="22"/>
      <c r="E22" s="8"/>
      <c r="G22" s="8"/>
      <c r="H22" s="8"/>
      <c r="R22" s="8"/>
      <c r="S22" s="22"/>
    </row>
    <row r="23" spans="4:19" x14ac:dyDescent="0.4">
      <c r="D23" s="8"/>
      <c r="E23" s="8"/>
      <c r="G23" s="8"/>
      <c r="H23" s="8"/>
      <c r="R23" s="8"/>
      <c r="S23" s="8"/>
    </row>
    <row r="24" spans="4:19" x14ac:dyDescent="0.4">
      <c r="D24" s="8"/>
      <c r="E24" s="8"/>
      <c r="G24" s="8"/>
      <c r="H24" s="8"/>
      <c r="R24" s="8"/>
      <c r="S24" s="8"/>
    </row>
    <row r="25" spans="4:19" x14ac:dyDescent="0.4">
      <c r="D25" s="8"/>
      <c r="E25" s="8"/>
      <c r="G25" s="8"/>
      <c r="H25" s="8"/>
      <c r="R25" s="8"/>
      <c r="S25" s="8"/>
    </row>
    <row r="26" spans="4:19" x14ac:dyDescent="0.4">
      <c r="D26" s="8"/>
      <c r="E26" s="8"/>
      <c r="G26" s="8"/>
      <c r="H26" s="8"/>
      <c r="R26" s="8"/>
      <c r="S26" s="8"/>
    </row>
    <row r="27" spans="4:19" x14ac:dyDescent="0.4">
      <c r="D27" s="8"/>
      <c r="E27" s="8"/>
      <c r="G27" s="8"/>
      <c r="H27" s="8"/>
      <c r="R27" s="8"/>
      <c r="S27" s="8"/>
    </row>
    <row r="28" spans="4:19" x14ac:dyDescent="0.4">
      <c r="D28" s="8"/>
      <c r="E28" s="8"/>
      <c r="G28" s="8"/>
      <c r="H28" s="8"/>
      <c r="R28" s="8"/>
      <c r="S28" s="8"/>
    </row>
    <row r="29" spans="4:19" x14ac:dyDescent="0.4">
      <c r="D29" s="8"/>
      <c r="E29" s="8"/>
      <c r="G29" s="8"/>
      <c r="H29" s="8"/>
      <c r="R29" s="8"/>
      <c r="S29" s="8"/>
    </row>
    <row r="30" spans="4:19" x14ac:dyDescent="0.4">
      <c r="D30" s="8"/>
      <c r="E30" s="8"/>
      <c r="G30" s="8"/>
      <c r="H30" s="8"/>
      <c r="R30" s="8"/>
      <c r="S30" s="8"/>
    </row>
    <row r="31" spans="4:19" x14ac:dyDescent="0.4">
      <c r="D31" s="8"/>
      <c r="E31" s="8"/>
      <c r="G31" s="8"/>
      <c r="H31" s="8"/>
      <c r="R31" s="8"/>
      <c r="S31" s="8"/>
    </row>
    <row r="32" spans="4:19" x14ac:dyDescent="0.4">
      <c r="D32" s="8"/>
      <c r="E32" s="8"/>
      <c r="G32" s="8"/>
      <c r="H32" s="8"/>
      <c r="R32" s="8"/>
      <c r="S32" s="8"/>
    </row>
    <row r="33" spans="4:19" x14ac:dyDescent="0.4">
      <c r="D33" s="8"/>
      <c r="E33" s="8"/>
      <c r="G33" s="8"/>
      <c r="H33" s="8"/>
      <c r="R33" s="8"/>
      <c r="S33" s="8"/>
    </row>
    <row r="34" spans="4:19" x14ac:dyDescent="0.4">
      <c r="D34" s="22"/>
      <c r="E34" s="8"/>
      <c r="G34" s="8"/>
      <c r="H34" s="8"/>
      <c r="R34" s="8"/>
      <c r="S34" s="22"/>
    </row>
    <row r="35" spans="4:19" x14ac:dyDescent="0.4">
      <c r="D35" s="22"/>
      <c r="E35" s="8"/>
      <c r="G35" s="8"/>
      <c r="H35" s="8"/>
      <c r="R35" s="8"/>
      <c r="S35" s="22"/>
    </row>
    <row r="36" spans="4:19" x14ac:dyDescent="0.4">
      <c r="D36" s="8"/>
      <c r="E36" s="8"/>
      <c r="G36" s="8"/>
      <c r="H36" s="8"/>
      <c r="R36" s="8"/>
      <c r="S36" s="8"/>
    </row>
    <row r="37" spans="4:19" x14ac:dyDescent="0.4">
      <c r="D37" s="8"/>
      <c r="E37" s="8"/>
      <c r="G37" s="8"/>
      <c r="H37" s="8"/>
      <c r="R37" s="8"/>
      <c r="S37" s="8"/>
    </row>
    <row r="38" spans="4:19" x14ac:dyDescent="0.4">
      <c r="D38" s="8"/>
      <c r="E38" s="8"/>
      <c r="G38" s="8"/>
      <c r="H38" s="8"/>
      <c r="R38" s="8"/>
      <c r="S38" s="8"/>
    </row>
    <row r="39" spans="4:19" x14ac:dyDescent="0.4">
      <c r="D39" s="8"/>
      <c r="E39" s="8"/>
      <c r="G39" s="8"/>
      <c r="H39" s="8"/>
      <c r="R39" s="8"/>
      <c r="S39" s="8"/>
    </row>
    <row r="40" spans="4:19" x14ac:dyDescent="0.4">
      <c r="D40" s="8"/>
      <c r="E40" s="8"/>
      <c r="G40" s="8"/>
      <c r="H40" s="8"/>
      <c r="R40" s="8"/>
      <c r="S40" s="8"/>
    </row>
    <row r="41" spans="4:19" x14ac:dyDescent="0.4">
      <c r="D41" s="8"/>
      <c r="E41" s="8"/>
      <c r="G41" s="8"/>
      <c r="H41" s="8"/>
      <c r="R41" s="8"/>
      <c r="S41" s="8"/>
    </row>
    <row r="42" spans="4:19" x14ac:dyDescent="0.4">
      <c r="D42" s="8"/>
      <c r="E42" s="8"/>
      <c r="G42" s="8"/>
      <c r="H42" s="8"/>
      <c r="R42" s="8"/>
      <c r="S42" s="8"/>
    </row>
    <row r="43" spans="4:19" x14ac:dyDescent="0.4">
      <c r="D43" s="8"/>
      <c r="E43" s="8"/>
      <c r="G43" s="8"/>
      <c r="H43" s="8"/>
      <c r="R43" s="8"/>
      <c r="S43" s="8"/>
    </row>
    <row r="44" spans="4:19" x14ac:dyDescent="0.4">
      <c r="D44" s="8"/>
      <c r="E44" s="8"/>
      <c r="G44" s="8"/>
      <c r="H44" s="8"/>
      <c r="R44" s="8"/>
      <c r="S44" s="8"/>
    </row>
    <row r="45" spans="4:19" x14ac:dyDescent="0.4">
      <c r="D45" s="8"/>
      <c r="E45" s="8"/>
      <c r="G45" s="8"/>
      <c r="H45" s="8"/>
      <c r="R45" s="8"/>
      <c r="S45" s="8"/>
    </row>
    <row r="46" spans="4:19" x14ac:dyDescent="0.4">
      <c r="D46" s="8"/>
      <c r="E46" s="8"/>
      <c r="G46" s="8"/>
      <c r="H46" s="8"/>
      <c r="R46" s="8"/>
      <c r="S46" s="8"/>
    </row>
    <row r="47" spans="4:19" x14ac:dyDescent="0.4">
      <c r="D47" s="8"/>
      <c r="E47" s="8"/>
      <c r="G47" s="8"/>
      <c r="H47" s="8"/>
      <c r="R47" s="8"/>
      <c r="S47" s="8"/>
    </row>
    <row r="48" spans="4:19" x14ac:dyDescent="0.4">
      <c r="D48" s="8"/>
      <c r="E48" s="8"/>
      <c r="G48" s="8"/>
      <c r="H48" s="8"/>
      <c r="R48" s="8"/>
      <c r="S48" s="8"/>
    </row>
    <row r="49" spans="4:19" x14ac:dyDescent="0.4">
      <c r="D49" s="22"/>
      <c r="E49" s="8"/>
      <c r="G49" s="8"/>
      <c r="H49" s="8"/>
      <c r="R49" s="8"/>
      <c r="S49" s="22"/>
    </row>
    <row r="50" spans="4:19" x14ac:dyDescent="0.4">
      <c r="D50" s="22"/>
      <c r="E50" s="8"/>
      <c r="G50" s="8"/>
      <c r="H50" s="8"/>
      <c r="R50" s="8"/>
      <c r="S50" s="22"/>
    </row>
    <row r="51" spans="4:19" x14ac:dyDescent="0.4">
      <c r="D51" s="8"/>
      <c r="E51" s="8"/>
      <c r="G51" s="8"/>
      <c r="H51" s="8"/>
      <c r="R51" s="8"/>
      <c r="S51" s="8"/>
    </row>
    <row r="52" spans="4:19" x14ac:dyDescent="0.4">
      <c r="D52" s="8"/>
      <c r="E52" s="8"/>
      <c r="G52" s="8"/>
      <c r="H52" s="8"/>
      <c r="R52" s="8"/>
      <c r="S52" s="8"/>
    </row>
    <row r="53" spans="4:19" x14ac:dyDescent="0.4">
      <c r="D53" s="8"/>
      <c r="E53" s="8"/>
      <c r="G53" s="8"/>
      <c r="H53" s="8"/>
      <c r="R53" s="8"/>
      <c r="S53" s="8"/>
    </row>
    <row r="54" spans="4:19" x14ac:dyDescent="0.4">
      <c r="D54" s="8"/>
      <c r="E54" s="8"/>
      <c r="G54" s="8"/>
      <c r="H54" s="8"/>
      <c r="R54" s="8"/>
      <c r="S54" s="8"/>
    </row>
    <row r="55" spans="4:19" x14ac:dyDescent="0.4">
      <c r="D55" s="8"/>
      <c r="E55" s="8"/>
      <c r="G55" s="8"/>
      <c r="H55" s="8"/>
      <c r="R55" s="8"/>
      <c r="S55" s="8"/>
    </row>
    <row r="56" spans="4:19" x14ac:dyDescent="0.4">
      <c r="D56" s="8"/>
      <c r="E56" s="8"/>
      <c r="G56" s="8"/>
      <c r="H56" s="8"/>
      <c r="R56" s="8"/>
      <c r="S56" s="8"/>
    </row>
    <row r="57" spans="4:19" x14ac:dyDescent="0.4">
      <c r="D57" s="8"/>
      <c r="E57" s="8"/>
      <c r="G57" s="8"/>
      <c r="H57" s="8"/>
      <c r="R57" s="8"/>
      <c r="S57" s="8"/>
    </row>
    <row r="58" spans="4:19" x14ac:dyDescent="0.4">
      <c r="D58" s="8"/>
      <c r="E58" s="8"/>
      <c r="G58" s="8"/>
      <c r="H58" s="8"/>
      <c r="R58" s="8"/>
      <c r="S58" s="8"/>
    </row>
    <row r="59" spans="4:19" x14ac:dyDescent="0.4">
      <c r="D59" s="8"/>
      <c r="E59" s="8"/>
      <c r="G59" s="8"/>
      <c r="H59" s="8"/>
      <c r="R59" s="8"/>
      <c r="S59" s="8"/>
    </row>
    <row r="60" spans="4:19" x14ac:dyDescent="0.4">
      <c r="D60" s="8"/>
      <c r="E60" s="8"/>
      <c r="G60" s="8"/>
      <c r="H60" s="8"/>
      <c r="R60" s="8"/>
      <c r="S60" s="8"/>
    </row>
    <row r="61" spans="4:19" x14ac:dyDescent="0.4">
      <c r="D61" s="8"/>
      <c r="E61" s="8"/>
      <c r="G61" s="8"/>
      <c r="H61" s="8"/>
      <c r="R61" s="8"/>
      <c r="S61" s="8"/>
    </row>
    <row r="62" spans="4:19" x14ac:dyDescent="0.4">
      <c r="D62" s="8"/>
      <c r="E62" s="8"/>
      <c r="G62" s="8"/>
      <c r="H62" s="8"/>
      <c r="R62" s="8"/>
      <c r="S62" s="8"/>
    </row>
    <row r="63" spans="4:19" x14ac:dyDescent="0.4">
      <c r="D63" s="24"/>
      <c r="E63" s="8"/>
      <c r="G63" s="8"/>
      <c r="H63" s="8"/>
      <c r="R63" s="8"/>
      <c r="S63" s="24"/>
    </row>
    <row r="64" spans="4:19" x14ac:dyDescent="0.4">
      <c r="D64" s="8"/>
      <c r="E64" s="8"/>
      <c r="G64" s="8"/>
      <c r="H64" s="8"/>
      <c r="R64" s="8"/>
      <c r="S64" s="8"/>
    </row>
    <row r="65" spans="4:19" x14ac:dyDescent="0.4">
      <c r="D65" s="22"/>
      <c r="E65" s="8"/>
      <c r="G65" s="8"/>
      <c r="H65" s="8"/>
      <c r="R65" s="8"/>
      <c r="S65" s="22"/>
    </row>
    <row r="66" spans="4:19" x14ac:dyDescent="0.4">
      <c r="D66" s="22"/>
      <c r="E66" s="8"/>
      <c r="G66" s="8"/>
      <c r="H66" s="8"/>
      <c r="R66" s="8"/>
      <c r="S66" s="22"/>
    </row>
    <row r="67" spans="4:19" x14ac:dyDescent="0.4">
      <c r="D67" s="22"/>
      <c r="E67" s="8"/>
      <c r="G67" s="8"/>
      <c r="H67" s="8"/>
      <c r="R67" s="8"/>
      <c r="S67" s="22"/>
    </row>
    <row r="68" spans="4:19" x14ac:dyDescent="0.4">
      <c r="D68" s="8"/>
      <c r="E68" s="8"/>
      <c r="G68" s="8"/>
      <c r="H68" s="8"/>
      <c r="R68" s="8"/>
      <c r="S68" s="8"/>
    </row>
    <row r="69" spans="4:19" x14ac:dyDescent="0.4">
      <c r="D69" s="22"/>
      <c r="E69" s="8"/>
      <c r="G69" s="8"/>
      <c r="H69" s="8"/>
      <c r="R69" s="8"/>
      <c r="S69" s="22"/>
    </row>
    <row r="70" spans="4:19" x14ac:dyDescent="0.4">
      <c r="D70" s="8"/>
      <c r="E70" s="8"/>
      <c r="G70" s="8"/>
      <c r="H70" s="8"/>
      <c r="R70" s="8"/>
      <c r="S70" s="8"/>
    </row>
    <row r="71" spans="4:19" x14ac:dyDescent="0.4">
      <c r="D71" s="22"/>
      <c r="E71" s="8"/>
      <c r="G71" s="8"/>
      <c r="H71" s="8"/>
      <c r="R71" s="8"/>
      <c r="S71" s="22"/>
    </row>
    <row r="72" spans="4:19" x14ac:dyDescent="0.4">
      <c r="D72" s="8"/>
      <c r="E72" s="8"/>
      <c r="G72" s="8"/>
      <c r="H72" s="8"/>
      <c r="R72" s="8"/>
      <c r="S72" s="8"/>
    </row>
    <row r="73" spans="4:19" x14ac:dyDescent="0.4">
      <c r="D73" s="22"/>
      <c r="E73" s="8"/>
      <c r="G73" s="8"/>
      <c r="H73" s="8"/>
      <c r="R73" s="8"/>
      <c r="S73" s="22"/>
    </row>
    <row r="74" spans="4:19" x14ac:dyDescent="0.4">
      <c r="D74" s="8"/>
      <c r="E74" s="8"/>
      <c r="G74" s="8"/>
      <c r="H74" s="8"/>
      <c r="R74" s="8"/>
      <c r="S74" s="8"/>
    </row>
    <row r="75" spans="4:19" x14ac:dyDescent="0.4">
      <c r="D75" s="22"/>
      <c r="E75" s="8"/>
      <c r="G75" s="8"/>
      <c r="H75" s="8"/>
      <c r="R75" s="8"/>
      <c r="S75" s="22"/>
    </row>
    <row r="76" spans="4:19" x14ac:dyDescent="0.4">
      <c r="D76" s="8"/>
      <c r="E76" s="8"/>
      <c r="G76" s="8"/>
      <c r="H76" s="8"/>
      <c r="R76" s="8"/>
      <c r="S76" s="8"/>
    </row>
    <row r="77" spans="4:19" x14ac:dyDescent="0.4">
      <c r="D77" s="22"/>
      <c r="E77" s="8"/>
      <c r="G77" s="8"/>
      <c r="H77" s="8"/>
      <c r="R77" s="8"/>
      <c r="S77" s="22"/>
    </row>
    <row r="78" spans="4:19" x14ac:dyDescent="0.4">
      <c r="D78" s="24"/>
      <c r="E78" s="8"/>
      <c r="G78" s="8"/>
      <c r="H78" s="8"/>
      <c r="R78" s="8"/>
      <c r="S78" s="24"/>
    </row>
    <row r="79" spans="4:19" x14ac:dyDescent="0.4">
      <c r="D79" s="8"/>
      <c r="E79" s="8"/>
      <c r="G79" s="8"/>
      <c r="H79" s="8"/>
      <c r="R79" s="8"/>
      <c r="S79" s="8"/>
    </row>
    <row r="80" spans="4:19" x14ac:dyDescent="0.4">
      <c r="D80" s="22"/>
      <c r="E80" s="8"/>
      <c r="G80" s="8"/>
      <c r="H80" s="8"/>
      <c r="R80" s="8"/>
      <c r="S80" s="22"/>
    </row>
    <row r="81" spans="4:19" x14ac:dyDescent="0.4">
      <c r="D81" s="22"/>
      <c r="E81" s="8"/>
      <c r="G81" s="8"/>
      <c r="H81" s="8"/>
      <c r="R81" s="8"/>
      <c r="S81" s="22"/>
    </row>
    <row r="82" spans="4:19" x14ac:dyDescent="0.4">
      <c r="D82" s="22"/>
      <c r="E82" s="8"/>
      <c r="G82" s="8"/>
      <c r="H82" s="8"/>
      <c r="R82" s="8"/>
      <c r="S82" s="22"/>
    </row>
    <row r="83" spans="4:19" x14ac:dyDescent="0.4">
      <c r="D83" s="8"/>
      <c r="E83" s="8"/>
      <c r="G83" s="8"/>
      <c r="H83" s="8"/>
      <c r="R83" s="8"/>
      <c r="S83" s="8"/>
    </row>
    <row r="84" spans="4:19" x14ac:dyDescent="0.4">
      <c r="D84" s="22"/>
      <c r="E84" s="8"/>
      <c r="G84" s="8"/>
      <c r="H84" s="8"/>
      <c r="R84" s="8"/>
      <c r="S84" s="22"/>
    </row>
    <row r="85" spans="4:19" x14ac:dyDescent="0.4">
      <c r="D85" s="8"/>
      <c r="E85" s="8"/>
      <c r="G85" s="8"/>
      <c r="H85" s="8"/>
      <c r="R85" s="8"/>
      <c r="S85" s="8"/>
    </row>
    <row r="86" spans="4:19" x14ac:dyDescent="0.4">
      <c r="D86" s="22"/>
      <c r="E86" s="8"/>
      <c r="G86" s="8"/>
      <c r="H86" s="8"/>
      <c r="R86" s="8"/>
      <c r="S86" s="22"/>
    </row>
    <row r="87" spans="4:19" x14ac:dyDescent="0.4">
      <c r="D87" s="8"/>
      <c r="E87" s="8"/>
      <c r="G87" s="8"/>
      <c r="H87" s="8"/>
      <c r="R87" s="8"/>
      <c r="S87" s="8"/>
    </row>
    <row r="88" spans="4:19" x14ac:dyDescent="0.4">
      <c r="D88" s="22"/>
      <c r="E88" s="8"/>
      <c r="G88" s="8"/>
      <c r="H88" s="8"/>
      <c r="R88" s="8"/>
      <c r="S88" s="22"/>
    </row>
    <row r="89" spans="4:19" x14ac:dyDescent="0.4">
      <c r="D89" s="8"/>
      <c r="E89" s="8"/>
      <c r="G89" s="8"/>
      <c r="H89" s="8"/>
      <c r="R89" s="8"/>
      <c r="S89" s="8"/>
    </row>
    <row r="90" spans="4:19" x14ac:dyDescent="0.4">
      <c r="D90" s="22"/>
      <c r="E90" s="8"/>
      <c r="G90" s="8"/>
      <c r="H90" s="8"/>
      <c r="R90" s="8"/>
      <c r="S90" s="22"/>
    </row>
    <row r="91" spans="4:19" x14ac:dyDescent="0.4">
      <c r="D91" s="8"/>
      <c r="E91" s="8"/>
      <c r="G91" s="8"/>
      <c r="H91" s="8"/>
      <c r="R91" s="8"/>
      <c r="S91" s="8"/>
    </row>
    <row r="92" spans="4:19" x14ac:dyDescent="0.4">
      <c r="D92" s="22"/>
      <c r="E92" s="8"/>
      <c r="G92" s="8"/>
      <c r="H92" s="8"/>
      <c r="R92" s="8"/>
      <c r="S92" s="22"/>
    </row>
    <row r="93" spans="4:19" x14ac:dyDescent="0.4">
      <c r="D93" s="24"/>
      <c r="E93" s="8"/>
      <c r="G93" s="8"/>
      <c r="H93" s="8"/>
      <c r="R93" s="8"/>
      <c r="S93" s="24"/>
    </row>
    <row r="94" spans="4:19" x14ac:dyDescent="0.4">
      <c r="D94" s="22"/>
      <c r="E94" s="8"/>
      <c r="G94" s="8"/>
      <c r="H94" s="8"/>
      <c r="R94" s="8"/>
      <c r="S94" s="22"/>
    </row>
    <row r="95" spans="4:19" x14ac:dyDescent="0.4">
      <c r="D95" s="22"/>
      <c r="E95" s="8"/>
      <c r="G95" s="8"/>
      <c r="H95" s="8"/>
      <c r="R95" s="8"/>
      <c r="S95" s="22"/>
    </row>
  </sheetData>
  <sheetProtection algorithmName="SHA-512" hashValue="0ats/ale76Ba/ETxMBA9PDhYPPgFXqn/XM93gYI7pFC8JyY79aHOS4FYpiqQ+P77X2DDX64szv4y3zikosW7hg==" saltValue="HZt7xayxB2F1+5csX4cM+Q==" spinCount="100000" sheet="1" objects="1" scenarios="1"/>
  <pageMargins left="0.7" right="0.7" top="0.75" bottom="0.75" header="0.3" footer="0.3"/>
  <pageSetup orientation="portrait"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1F141-70EA-435D-B874-C67C9753FDB1}">
  <sheetPr codeName="Sheet28">
    <tabColor theme="1" tint="4.9989318521683403E-2"/>
  </sheetPr>
  <dimension ref="D1:S94"/>
  <sheetViews>
    <sheetView workbookViewId="0">
      <selection activeCell="J5" sqref="J5"/>
    </sheetView>
  </sheetViews>
  <sheetFormatPr defaultColWidth="8.84375" defaultRowHeight="14.6" x14ac:dyDescent="0.4"/>
  <cols>
    <col min="7" max="7" width="14.84375" bestFit="1" customWidth="1"/>
    <col min="8" max="8" width="17.4609375" bestFit="1" customWidth="1"/>
    <col min="9" max="9" width="14.69140625" customWidth="1"/>
    <col min="10" max="10" width="10" bestFit="1" customWidth="1"/>
    <col min="11" max="11" width="26.84375" bestFit="1" customWidth="1"/>
    <col min="12" max="12" width="16.3046875" bestFit="1" customWidth="1"/>
    <col min="13" max="13" width="14.4609375" bestFit="1" customWidth="1"/>
    <col min="14" max="14" width="14.4609375" customWidth="1"/>
    <col min="15" max="15" width="14.84375" bestFit="1" customWidth="1"/>
    <col min="16" max="16" width="12" bestFit="1" customWidth="1"/>
    <col min="18" max="18" width="23.69140625" bestFit="1" customWidth="1"/>
  </cols>
  <sheetData>
    <row r="1" spans="4:19" x14ac:dyDescent="0.4">
      <c r="D1" t="s">
        <v>214</v>
      </c>
    </row>
    <row r="2" spans="4:19" x14ac:dyDescent="0.4">
      <c r="D2" t="s">
        <v>198</v>
      </c>
      <c r="E2" t="s">
        <v>199</v>
      </c>
      <c r="F2" t="s">
        <v>200</v>
      </c>
      <c r="G2" t="s">
        <v>201</v>
      </c>
      <c r="H2" t="s">
        <v>202</v>
      </c>
      <c r="I2" t="s">
        <v>203</v>
      </c>
      <c r="J2" t="s">
        <v>204</v>
      </c>
      <c r="K2" t="s">
        <v>205</v>
      </c>
      <c r="L2" t="s">
        <v>206</v>
      </c>
      <c r="M2" t="s">
        <v>207</v>
      </c>
      <c r="N2" t="s">
        <v>208</v>
      </c>
      <c r="O2" t="s">
        <v>209</v>
      </c>
      <c r="P2" t="s">
        <v>210</v>
      </c>
      <c r="R2" t="s">
        <v>211</v>
      </c>
      <c r="S2" s="21" t="s">
        <v>212</v>
      </c>
    </row>
    <row r="3" spans="4:19" x14ac:dyDescent="0.4">
      <c r="D3" s="8"/>
      <c r="E3" s="8">
        <v>65</v>
      </c>
      <c r="F3">
        <f>E3+459.6</f>
        <v>524.6</v>
      </c>
      <c r="G3" s="25">
        <v>7.6776894469063697</v>
      </c>
      <c r="H3" s="8">
        <f t="shared" ref="H3:H10" si="0">G3/$G$11</f>
        <v>7.6776894469063703E-2</v>
      </c>
      <c r="I3">
        <f>H3</f>
        <v>7.6776894469063703E-2</v>
      </c>
      <c r="J3">
        <v>0.80900000000000005</v>
      </c>
      <c r="K3">
        <f>IF(E3&gt;750,0.000045673*(F3^2.1962)*1/(J3^1.0164),20.486*(F3^1.26007)*(J3^4.98308)*EXP(0.0001165*F3-7.7812*J3+0.0011582*F3*J3))</f>
        <v>61.103726164670178</v>
      </c>
      <c r="L3">
        <f>I3/K3</f>
        <v>1.256501023557147E-3</v>
      </c>
      <c r="M3">
        <f>L3</f>
        <v>1.256501023557147E-3</v>
      </c>
      <c r="N3">
        <f>H3/M3</f>
        <v>61.103726164670178</v>
      </c>
      <c r="O3">
        <f t="shared" ref="O3:O11" si="1">SUM($L$3:$L$13)-M3</f>
        <v>7.213315520867015E-3</v>
      </c>
      <c r="P3">
        <f>(1-H3)/O3</f>
        <v>127.98873179194693</v>
      </c>
      <c r="R3" s="8">
        <v>68</v>
      </c>
      <c r="S3" s="8">
        <f>E3-R3</f>
        <v>-3</v>
      </c>
    </row>
    <row r="4" spans="4:19" x14ac:dyDescent="0.4">
      <c r="D4" s="22"/>
      <c r="E4" s="8">
        <v>100</v>
      </c>
      <c r="F4">
        <f t="shared" ref="F4:F11" si="2">E4+459.6</f>
        <v>559.6</v>
      </c>
      <c r="G4" s="25">
        <v>15.142896940789401</v>
      </c>
      <c r="H4" s="8">
        <f t="shared" si="0"/>
        <v>0.15142896940789399</v>
      </c>
      <c r="I4">
        <f>H4-H3</f>
        <v>7.465207493883029E-2</v>
      </c>
      <c r="J4">
        <v>0.80900000000000005</v>
      </c>
      <c r="K4">
        <f t="shared" ref="K4:K11" si="3">IF(E4&gt;750,0.000045673*(F4^2.1962)*1/(J4^1.0164),20.486*(F4^1.26007)*(J4^4.98308)*EXP(0.0001165*F4-7.7812*J4+0.0011582*F4*J4))</f>
        <v>68.774145626087844</v>
      </c>
      <c r="L4">
        <f t="shared" ref="L4:L11" si="4">I4/K4</f>
        <v>1.0854671368031186E-3</v>
      </c>
      <c r="M4">
        <f>M3+L4</f>
        <v>2.3419681603602657E-3</v>
      </c>
      <c r="N4">
        <f t="shared" ref="N4:N11" si="5">H4/M4</f>
        <v>64.658850607345414</v>
      </c>
      <c r="O4">
        <f t="shared" si="1"/>
        <v>6.1278483840638961E-3</v>
      </c>
      <c r="P4">
        <f t="shared" ref="P4:P11" si="6">(1-H4)/O4</f>
        <v>138.47781103705222</v>
      </c>
      <c r="R4" s="8">
        <f>R3</f>
        <v>68</v>
      </c>
      <c r="S4" s="8">
        <f t="shared" ref="S4:S11" si="7">E4-R4</f>
        <v>32</v>
      </c>
    </row>
    <row r="5" spans="4:19" x14ac:dyDescent="0.4">
      <c r="D5" s="22"/>
      <c r="E5" s="8">
        <f>E4+50</f>
        <v>150</v>
      </c>
      <c r="F5">
        <f t="shared" si="2"/>
        <v>609.6</v>
      </c>
      <c r="G5" s="25">
        <v>31.571427127850701</v>
      </c>
      <c r="H5" s="8">
        <f t="shared" si="0"/>
        <v>0.31571427127850699</v>
      </c>
      <c r="I5">
        <f t="shared" ref="I5:I11" si="8">H5-H4</f>
        <v>0.16428530187061299</v>
      </c>
      <c r="J5">
        <v>0.80900000000000005</v>
      </c>
      <c r="K5">
        <f t="shared" si="3"/>
        <v>80.748535380818979</v>
      </c>
      <c r="L5">
        <f t="shared" si="4"/>
        <v>2.034529804111312E-3</v>
      </c>
      <c r="M5">
        <f t="shared" ref="M5:M11" si="9">M4+L5</f>
        <v>4.3764979644715773E-3</v>
      </c>
      <c r="N5">
        <f t="shared" si="5"/>
        <v>72.138562348589289</v>
      </c>
      <c r="O5">
        <f t="shared" si="1"/>
        <v>4.0933185799525845E-3</v>
      </c>
      <c r="P5">
        <f t="shared" si="6"/>
        <v>167.17138315909423</v>
      </c>
      <c r="R5" s="8">
        <f t="shared" ref="R5:R11" si="10">R4</f>
        <v>68</v>
      </c>
      <c r="S5" s="8">
        <f t="shared" si="7"/>
        <v>82</v>
      </c>
    </row>
    <row r="6" spans="4:19" x14ac:dyDescent="0.4">
      <c r="D6" s="8"/>
      <c r="E6" s="8">
        <f t="shared" ref="E6:E8" si="11">E5+50</f>
        <v>200</v>
      </c>
      <c r="F6">
        <f t="shared" si="2"/>
        <v>659.6</v>
      </c>
      <c r="G6" s="25">
        <v>42.395388701432701</v>
      </c>
      <c r="H6" s="8">
        <f t="shared" si="0"/>
        <v>0.42395388701432701</v>
      </c>
      <c r="I6">
        <f t="shared" si="8"/>
        <v>0.10823961573582003</v>
      </c>
      <c r="J6">
        <v>0.80900000000000005</v>
      </c>
      <c r="K6">
        <f t="shared" si="3"/>
        <v>94.004821276935274</v>
      </c>
      <c r="L6">
        <f t="shared" si="4"/>
        <v>1.1514262169272094E-3</v>
      </c>
      <c r="M6">
        <f t="shared" si="9"/>
        <v>5.5279241813987866E-3</v>
      </c>
      <c r="N6">
        <f t="shared" si="5"/>
        <v>76.693144316434825</v>
      </c>
      <c r="O6">
        <f t="shared" si="1"/>
        <v>2.9418923630253752E-3</v>
      </c>
      <c r="P6">
        <f t="shared" si="6"/>
        <v>195.80801807217728</v>
      </c>
      <c r="R6" s="8">
        <f t="shared" si="10"/>
        <v>68</v>
      </c>
      <c r="S6" s="8">
        <f t="shared" si="7"/>
        <v>132</v>
      </c>
    </row>
    <row r="7" spans="4:19" x14ac:dyDescent="0.4">
      <c r="D7" s="8"/>
      <c r="E7" s="8">
        <f t="shared" si="11"/>
        <v>250</v>
      </c>
      <c r="F7">
        <f t="shared" si="2"/>
        <v>709.6</v>
      </c>
      <c r="G7" s="25">
        <v>52.8355686380592</v>
      </c>
      <c r="H7" s="8">
        <f t="shared" si="0"/>
        <v>0.52835568638059205</v>
      </c>
      <c r="I7">
        <f t="shared" si="8"/>
        <v>0.10440179936626504</v>
      </c>
      <c r="J7">
        <v>0.80900000000000005</v>
      </c>
      <c r="K7">
        <f t="shared" si="3"/>
        <v>108.64556151779286</v>
      </c>
      <c r="L7">
        <f t="shared" si="4"/>
        <v>9.6093938774633857E-4</v>
      </c>
      <c r="M7">
        <f t="shared" si="9"/>
        <v>6.4888635691451252E-3</v>
      </c>
      <c r="N7">
        <f t="shared" si="5"/>
        <v>81.424995417217602</v>
      </c>
      <c r="O7">
        <f t="shared" si="1"/>
        <v>1.9809529752790366E-3</v>
      </c>
      <c r="P7">
        <f t="shared" si="6"/>
        <v>238.08960611645628</v>
      </c>
      <c r="R7" s="8">
        <f t="shared" si="10"/>
        <v>68</v>
      </c>
      <c r="S7" s="8">
        <f t="shared" si="7"/>
        <v>182</v>
      </c>
    </row>
    <row r="8" spans="4:19" x14ac:dyDescent="0.4">
      <c r="D8" s="8"/>
      <c r="E8" s="8">
        <f t="shared" si="11"/>
        <v>300</v>
      </c>
      <c r="F8">
        <f t="shared" si="2"/>
        <v>759.6</v>
      </c>
      <c r="G8" s="25">
        <v>62.726832552873603</v>
      </c>
      <c r="H8" s="8">
        <f t="shared" si="0"/>
        <v>0.62726832552873601</v>
      </c>
      <c r="I8">
        <f t="shared" si="8"/>
        <v>9.8912639148143966E-2</v>
      </c>
      <c r="J8">
        <v>0.80900000000000005</v>
      </c>
      <c r="K8">
        <f t="shared" si="3"/>
        <v>124.78146177354398</v>
      </c>
      <c r="L8">
        <f t="shared" si="4"/>
        <v>7.9268697242586164E-4</v>
      </c>
      <c r="M8">
        <f t="shared" si="9"/>
        <v>7.2815505415709872E-3</v>
      </c>
      <c r="N8">
        <f t="shared" si="5"/>
        <v>86.144883833135282</v>
      </c>
      <c r="O8">
        <f t="shared" si="1"/>
        <v>1.1882660028531746E-3</v>
      </c>
      <c r="P8">
        <f t="shared" si="6"/>
        <v>313.67696591191606</v>
      </c>
      <c r="R8" s="8">
        <f t="shared" si="10"/>
        <v>68</v>
      </c>
      <c r="S8" s="8">
        <f t="shared" si="7"/>
        <v>232</v>
      </c>
    </row>
    <row r="9" spans="4:19" x14ac:dyDescent="0.4">
      <c r="D9" s="8"/>
      <c r="E9" s="8">
        <f>E8+50</f>
        <v>350</v>
      </c>
      <c r="F9">
        <f t="shared" si="2"/>
        <v>809.6</v>
      </c>
      <c r="G9" s="25">
        <v>71.228513686987796</v>
      </c>
      <c r="H9" s="8">
        <f t="shared" si="0"/>
        <v>0.71228513686987793</v>
      </c>
      <c r="I9">
        <f t="shared" si="8"/>
        <v>8.5016811341141918E-2</v>
      </c>
      <c r="J9">
        <v>0.80900000000000005</v>
      </c>
      <c r="K9">
        <f t="shared" si="3"/>
        <v>142.53184329905406</v>
      </c>
      <c r="L9">
        <f t="shared" si="4"/>
        <v>5.9647591284400477E-4</v>
      </c>
      <c r="M9">
        <f t="shared" si="9"/>
        <v>7.8780264544149915E-3</v>
      </c>
      <c r="N9">
        <f t="shared" si="5"/>
        <v>90.41415905257594</v>
      </c>
      <c r="O9">
        <f t="shared" si="1"/>
        <v>5.9179009000917028E-4</v>
      </c>
      <c r="P9">
        <f t="shared" si="6"/>
        <v>486.17722396409795</v>
      </c>
      <c r="R9" s="8">
        <f t="shared" si="10"/>
        <v>68</v>
      </c>
      <c r="S9" s="8">
        <f t="shared" si="7"/>
        <v>282</v>
      </c>
    </row>
    <row r="10" spans="4:19" x14ac:dyDescent="0.4">
      <c r="D10" s="8"/>
      <c r="E10" s="8">
        <v>370</v>
      </c>
      <c r="F10">
        <f t="shared" si="2"/>
        <v>829.6</v>
      </c>
      <c r="G10" s="25">
        <v>74.015884856427405</v>
      </c>
      <c r="H10" s="8">
        <f t="shared" si="0"/>
        <v>0.74015884856427405</v>
      </c>
      <c r="I10">
        <f t="shared" si="8"/>
        <v>2.7873711694396119E-2</v>
      </c>
      <c r="J10">
        <v>0.80900000000000005</v>
      </c>
      <c r="K10">
        <f t="shared" si="3"/>
        <v>150.11250589977382</v>
      </c>
      <c r="L10">
        <f t="shared" si="4"/>
        <v>1.8568547322104305E-4</v>
      </c>
      <c r="M10">
        <f t="shared" si="9"/>
        <v>8.0637119276360351E-3</v>
      </c>
      <c r="N10">
        <f t="shared" si="5"/>
        <v>91.788850495464018</v>
      </c>
      <c r="O10">
        <f t="shared" si="1"/>
        <v>4.0610461678812666E-4</v>
      </c>
      <c r="P10">
        <f t="shared" si="6"/>
        <v>639.83796463779322</v>
      </c>
      <c r="R10" s="8">
        <f t="shared" si="10"/>
        <v>68</v>
      </c>
      <c r="S10" s="8">
        <f t="shared" si="7"/>
        <v>302</v>
      </c>
    </row>
    <row r="11" spans="4:19" x14ac:dyDescent="0.4">
      <c r="D11" s="8"/>
      <c r="E11" s="8">
        <v>1167.4000000000001</v>
      </c>
      <c r="F11">
        <f t="shared" si="2"/>
        <v>1627</v>
      </c>
      <c r="G11">
        <v>100</v>
      </c>
      <c r="H11" s="8">
        <f>G11/$G$11</f>
        <v>1</v>
      </c>
      <c r="I11">
        <f t="shared" si="8"/>
        <v>0.25984115143572595</v>
      </c>
      <c r="J11">
        <v>0.80900000000000005</v>
      </c>
      <c r="K11">
        <f t="shared" si="3"/>
        <v>639.8379646377939</v>
      </c>
      <c r="L11">
        <f t="shared" si="4"/>
        <v>4.0610461678812623E-4</v>
      </c>
      <c r="M11">
        <f t="shared" si="9"/>
        <v>8.4698165444241618E-3</v>
      </c>
      <c r="N11">
        <f t="shared" si="5"/>
        <v>118.06631167924394</v>
      </c>
      <c r="O11">
        <f t="shared" si="1"/>
        <v>0</v>
      </c>
      <c r="P11" t="e">
        <f t="shared" si="6"/>
        <v>#DIV/0!</v>
      </c>
      <c r="R11" s="8">
        <f t="shared" si="10"/>
        <v>68</v>
      </c>
      <c r="S11" s="8">
        <f t="shared" si="7"/>
        <v>1099.4000000000001</v>
      </c>
    </row>
    <row r="12" spans="4:19" x14ac:dyDescent="0.4">
      <c r="D12" s="8"/>
      <c r="E12" s="8"/>
      <c r="G12" s="8"/>
      <c r="H12" s="8"/>
      <c r="R12" s="8"/>
      <c r="S12" s="8"/>
    </row>
    <row r="13" spans="4:19" x14ac:dyDescent="0.4">
      <c r="D13" s="8"/>
      <c r="E13" s="8"/>
      <c r="G13" s="8"/>
      <c r="H13" s="8"/>
      <c r="R13" s="8"/>
      <c r="S13" s="8"/>
    </row>
    <row r="14" spans="4:19" x14ac:dyDescent="0.4">
      <c r="D14" s="8"/>
      <c r="E14" s="8"/>
      <c r="G14" s="8"/>
      <c r="H14" s="8"/>
      <c r="R14" s="8"/>
      <c r="S14" s="8"/>
    </row>
    <row r="15" spans="4:19" x14ac:dyDescent="0.4">
      <c r="D15" s="23" t="s">
        <v>213</v>
      </c>
      <c r="E15" s="8"/>
      <c r="G15" s="8"/>
      <c r="H15" s="8"/>
      <c r="R15" s="8"/>
      <c r="S15" s="8"/>
    </row>
    <row r="16" spans="4:19" x14ac:dyDescent="0.4">
      <c r="D16" s="8"/>
      <c r="E16" s="8">
        <v>1</v>
      </c>
      <c r="F16" s="8">
        <v>2</v>
      </c>
      <c r="G16" s="8">
        <v>3</v>
      </c>
      <c r="H16" s="8">
        <v>4</v>
      </c>
      <c r="I16" s="8">
        <v>5</v>
      </c>
      <c r="J16" s="8">
        <v>6</v>
      </c>
      <c r="K16" s="8">
        <v>7</v>
      </c>
      <c r="L16" s="8">
        <v>8</v>
      </c>
      <c r="M16" s="8">
        <v>9</v>
      </c>
      <c r="N16" s="8">
        <v>10</v>
      </c>
      <c r="O16" s="8">
        <v>11</v>
      </c>
      <c r="P16" s="8">
        <v>12</v>
      </c>
      <c r="R16" s="8"/>
      <c r="S16" s="8"/>
    </row>
    <row r="17" spans="4:19" x14ac:dyDescent="0.4">
      <c r="D17" s="8"/>
      <c r="E17" s="8"/>
      <c r="G17" s="8"/>
      <c r="H17" s="8"/>
      <c r="R17" s="8"/>
      <c r="S17" s="8"/>
    </row>
    <row r="18" spans="4:19" x14ac:dyDescent="0.4">
      <c r="D18" s="22"/>
      <c r="E18" s="8"/>
      <c r="G18" s="8"/>
      <c r="H18" s="8"/>
      <c r="R18" s="8"/>
      <c r="S18" s="22"/>
    </row>
    <row r="19" spans="4:19" x14ac:dyDescent="0.4">
      <c r="D19" s="22"/>
      <c r="E19" s="8"/>
      <c r="G19" s="8"/>
      <c r="H19" s="8"/>
      <c r="R19" s="8"/>
      <c r="S19" s="22"/>
    </row>
    <row r="20" spans="4:19" x14ac:dyDescent="0.4">
      <c r="D20" s="22"/>
      <c r="E20" s="8"/>
      <c r="G20" s="8"/>
      <c r="H20" s="8"/>
      <c r="R20" s="8"/>
      <c r="S20" s="22"/>
    </row>
    <row r="21" spans="4:19" x14ac:dyDescent="0.4">
      <c r="D21" s="22"/>
      <c r="E21" s="8"/>
      <c r="G21" s="8"/>
      <c r="H21" s="8"/>
      <c r="R21" s="8"/>
      <c r="S21" s="22"/>
    </row>
    <row r="22" spans="4:19" x14ac:dyDescent="0.4">
      <c r="D22" s="8"/>
      <c r="E22" s="8"/>
      <c r="G22" s="8"/>
      <c r="H22" s="8"/>
      <c r="R22" s="8"/>
      <c r="S22" s="8"/>
    </row>
    <row r="23" spans="4:19" x14ac:dyDescent="0.4">
      <c r="D23" s="8"/>
      <c r="E23" s="8"/>
      <c r="G23" s="8"/>
      <c r="H23" s="8"/>
      <c r="R23" s="8"/>
      <c r="S23" s="8"/>
    </row>
    <row r="24" spans="4:19" x14ac:dyDescent="0.4">
      <c r="D24" s="8"/>
      <c r="E24" s="8"/>
      <c r="G24" s="8"/>
      <c r="H24" s="8"/>
      <c r="R24" s="8"/>
      <c r="S24" s="8"/>
    </row>
    <row r="25" spans="4:19" x14ac:dyDescent="0.4">
      <c r="D25" s="8"/>
      <c r="E25" s="8"/>
      <c r="G25" s="8"/>
      <c r="H25" s="8"/>
      <c r="R25" s="8"/>
      <c r="S25" s="8"/>
    </row>
    <row r="26" spans="4:19" x14ac:dyDescent="0.4">
      <c r="D26" s="8"/>
      <c r="E26" s="8"/>
      <c r="G26" s="8"/>
      <c r="H26" s="8"/>
      <c r="R26" s="8"/>
      <c r="S26" s="8"/>
    </row>
    <row r="27" spans="4:19" x14ac:dyDescent="0.4">
      <c r="D27" s="8"/>
      <c r="E27" s="8"/>
      <c r="G27" s="8"/>
      <c r="H27" s="8"/>
      <c r="R27" s="8"/>
      <c r="S27" s="8"/>
    </row>
    <row r="28" spans="4:19" x14ac:dyDescent="0.4">
      <c r="D28" s="8"/>
      <c r="E28" s="8"/>
      <c r="G28" s="8"/>
      <c r="H28" s="8"/>
      <c r="R28" s="8"/>
      <c r="S28" s="8"/>
    </row>
    <row r="29" spans="4:19" x14ac:dyDescent="0.4">
      <c r="D29" s="8"/>
      <c r="E29" s="8"/>
      <c r="G29" s="8"/>
      <c r="H29" s="8"/>
      <c r="R29" s="8"/>
      <c r="S29" s="8"/>
    </row>
    <row r="30" spans="4:19" x14ac:dyDescent="0.4">
      <c r="D30" s="8"/>
      <c r="E30" s="8"/>
      <c r="G30" s="8"/>
      <c r="H30" s="8"/>
      <c r="R30" s="8"/>
      <c r="S30" s="8"/>
    </row>
    <row r="31" spans="4:19" x14ac:dyDescent="0.4">
      <c r="D31" s="8"/>
      <c r="E31" s="8"/>
      <c r="G31" s="8"/>
      <c r="H31" s="8"/>
      <c r="R31" s="8"/>
      <c r="S31" s="8"/>
    </row>
    <row r="32" spans="4:19" x14ac:dyDescent="0.4">
      <c r="D32" s="8"/>
      <c r="E32" s="8"/>
      <c r="G32" s="8"/>
      <c r="H32" s="8"/>
      <c r="R32" s="8"/>
      <c r="S32" s="8"/>
    </row>
    <row r="33" spans="4:19" x14ac:dyDescent="0.4">
      <c r="D33" s="22"/>
      <c r="E33" s="8"/>
      <c r="G33" s="8"/>
      <c r="H33" s="8"/>
      <c r="R33" s="8"/>
      <c r="S33" s="22"/>
    </row>
    <row r="34" spans="4:19" x14ac:dyDescent="0.4">
      <c r="D34" s="22"/>
      <c r="E34" s="8"/>
      <c r="G34" s="8"/>
      <c r="H34" s="8"/>
      <c r="R34" s="8"/>
      <c r="S34" s="22"/>
    </row>
    <row r="35" spans="4:19" x14ac:dyDescent="0.4">
      <c r="D35" s="8"/>
      <c r="E35" s="8"/>
      <c r="G35" s="8"/>
      <c r="H35" s="8"/>
      <c r="R35" s="8"/>
      <c r="S35" s="8"/>
    </row>
    <row r="36" spans="4:19" x14ac:dyDescent="0.4">
      <c r="D36" s="8"/>
      <c r="E36" s="8"/>
      <c r="G36" s="8"/>
      <c r="H36" s="8"/>
      <c r="R36" s="8"/>
      <c r="S36" s="8"/>
    </row>
    <row r="37" spans="4:19" x14ac:dyDescent="0.4">
      <c r="D37" s="8"/>
      <c r="E37" s="8"/>
      <c r="G37" s="8"/>
      <c r="H37" s="8"/>
      <c r="R37" s="8"/>
      <c r="S37" s="8"/>
    </row>
    <row r="38" spans="4:19" x14ac:dyDescent="0.4">
      <c r="D38" s="8"/>
      <c r="E38" s="8"/>
      <c r="G38" s="8"/>
      <c r="H38" s="8"/>
      <c r="R38" s="8"/>
      <c r="S38" s="8"/>
    </row>
    <row r="39" spans="4:19" x14ac:dyDescent="0.4">
      <c r="D39" s="8"/>
      <c r="E39" s="8"/>
      <c r="G39" s="8"/>
      <c r="H39" s="8"/>
      <c r="R39" s="8"/>
      <c r="S39" s="8"/>
    </row>
    <row r="40" spans="4:19" x14ac:dyDescent="0.4">
      <c r="D40" s="8"/>
      <c r="E40" s="8"/>
      <c r="G40" s="8"/>
      <c r="H40" s="8"/>
      <c r="R40" s="8"/>
      <c r="S40" s="8"/>
    </row>
    <row r="41" spans="4:19" x14ac:dyDescent="0.4">
      <c r="D41" s="8"/>
      <c r="E41" s="8"/>
      <c r="G41" s="8"/>
      <c r="H41" s="8"/>
      <c r="R41" s="8"/>
      <c r="S41" s="8"/>
    </row>
    <row r="42" spans="4:19" x14ac:dyDescent="0.4">
      <c r="D42" s="8"/>
      <c r="E42" s="8"/>
      <c r="G42" s="8"/>
      <c r="H42" s="8"/>
      <c r="R42" s="8"/>
      <c r="S42" s="8"/>
    </row>
    <row r="43" spans="4:19" x14ac:dyDescent="0.4">
      <c r="D43" s="8"/>
      <c r="E43" s="8"/>
      <c r="G43" s="8"/>
      <c r="H43" s="8"/>
      <c r="R43" s="8"/>
      <c r="S43" s="8"/>
    </row>
    <row r="44" spans="4:19" x14ac:dyDescent="0.4">
      <c r="D44" s="8"/>
      <c r="E44" s="8"/>
      <c r="G44" s="8"/>
      <c r="H44" s="8"/>
      <c r="R44" s="8"/>
      <c r="S44" s="8"/>
    </row>
    <row r="45" spans="4:19" x14ac:dyDescent="0.4">
      <c r="D45" s="8"/>
      <c r="E45" s="8"/>
      <c r="G45" s="8"/>
      <c r="H45" s="8"/>
      <c r="R45" s="8"/>
      <c r="S45" s="8"/>
    </row>
    <row r="46" spans="4:19" x14ac:dyDescent="0.4">
      <c r="D46" s="8"/>
      <c r="E46" s="8"/>
      <c r="G46" s="8"/>
      <c r="H46" s="8"/>
      <c r="R46" s="8"/>
      <c r="S46" s="8"/>
    </row>
    <row r="47" spans="4:19" x14ac:dyDescent="0.4">
      <c r="D47" s="8"/>
      <c r="E47" s="8"/>
      <c r="G47" s="8"/>
      <c r="H47" s="8"/>
      <c r="R47" s="8"/>
      <c r="S47" s="8"/>
    </row>
    <row r="48" spans="4:19" x14ac:dyDescent="0.4">
      <c r="D48" s="22"/>
      <c r="E48" s="8"/>
      <c r="G48" s="8"/>
      <c r="H48" s="8"/>
      <c r="R48" s="8"/>
      <c r="S48" s="22"/>
    </row>
    <row r="49" spans="4:19" x14ac:dyDescent="0.4">
      <c r="D49" s="22"/>
      <c r="E49" s="8"/>
      <c r="G49" s="8"/>
      <c r="H49" s="8"/>
      <c r="R49" s="8"/>
      <c r="S49" s="22"/>
    </row>
    <row r="50" spans="4:19" x14ac:dyDescent="0.4">
      <c r="D50" s="8"/>
      <c r="E50" s="8"/>
      <c r="G50" s="8"/>
      <c r="H50" s="8"/>
      <c r="R50" s="8"/>
      <c r="S50" s="8"/>
    </row>
    <row r="51" spans="4:19" x14ac:dyDescent="0.4">
      <c r="D51" s="8"/>
      <c r="E51" s="8"/>
      <c r="G51" s="8"/>
      <c r="H51" s="8"/>
      <c r="R51" s="8"/>
      <c r="S51" s="8"/>
    </row>
    <row r="52" spans="4:19" x14ac:dyDescent="0.4">
      <c r="D52" s="8"/>
      <c r="E52" s="8"/>
      <c r="G52" s="8"/>
      <c r="H52" s="8"/>
      <c r="R52" s="8"/>
      <c r="S52" s="8"/>
    </row>
    <row r="53" spans="4:19" x14ac:dyDescent="0.4">
      <c r="D53" s="8"/>
      <c r="E53" s="8"/>
      <c r="G53" s="8"/>
      <c r="H53" s="8"/>
      <c r="R53" s="8"/>
      <c r="S53" s="8"/>
    </row>
    <row r="54" spans="4:19" x14ac:dyDescent="0.4">
      <c r="D54" s="8"/>
      <c r="E54" s="8"/>
      <c r="G54" s="8"/>
      <c r="H54" s="8"/>
      <c r="R54" s="8"/>
      <c r="S54" s="8"/>
    </row>
    <row r="55" spans="4:19" x14ac:dyDescent="0.4">
      <c r="D55" s="8"/>
      <c r="E55" s="8"/>
      <c r="G55" s="8"/>
      <c r="H55" s="8"/>
      <c r="R55" s="8"/>
      <c r="S55" s="8"/>
    </row>
    <row r="56" spans="4:19" x14ac:dyDescent="0.4">
      <c r="D56" s="8"/>
      <c r="E56" s="8"/>
      <c r="G56" s="8"/>
      <c r="H56" s="8"/>
      <c r="R56" s="8"/>
      <c r="S56" s="8"/>
    </row>
    <row r="57" spans="4:19" x14ac:dyDescent="0.4">
      <c r="D57" s="8"/>
      <c r="E57" s="8"/>
      <c r="G57" s="8"/>
      <c r="H57" s="8"/>
      <c r="R57" s="8"/>
      <c r="S57" s="8"/>
    </row>
    <row r="58" spans="4:19" x14ac:dyDescent="0.4">
      <c r="D58" s="8"/>
      <c r="E58" s="8"/>
      <c r="G58" s="8"/>
      <c r="H58" s="8"/>
      <c r="R58" s="8"/>
      <c r="S58" s="8"/>
    </row>
    <row r="59" spans="4:19" x14ac:dyDescent="0.4">
      <c r="D59" s="8"/>
      <c r="E59" s="8"/>
      <c r="G59" s="8"/>
      <c r="H59" s="8"/>
      <c r="R59" s="8"/>
      <c r="S59" s="8"/>
    </row>
    <row r="60" spans="4:19" x14ac:dyDescent="0.4">
      <c r="D60" s="8"/>
      <c r="E60" s="8"/>
      <c r="G60" s="8"/>
      <c r="H60" s="8"/>
      <c r="R60" s="8"/>
      <c r="S60" s="8"/>
    </row>
    <row r="61" spans="4:19" x14ac:dyDescent="0.4">
      <c r="D61" s="8"/>
      <c r="E61" s="8"/>
      <c r="G61" s="8"/>
      <c r="H61" s="8"/>
      <c r="R61" s="8"/>
      <c r="S61" s="8"/>
    </row>
    <row r="62" spans="4:19" x14ac:dyDescent="0.4">
      <c r="D62" s="24"/>
      <c r="E62" s="8"/>
      <c r="G62" s="8"/>
      <c r="H62" s="8"/>
      <c r="R62" s="8"/>
      <c r="S62" s="24"/>
    </row>
    <row r="63" spans="4:19" x14ac:dyDescent="0.4">
      <c r="D63" s="8"/>
      <c r="E63" s="8"/>
      <c r="G63" s="8"/>
      <c r="H63" s="8"/>
      <c r="R63" s="8"/>
      <c r="S63" s="8"/>
    </row>
    <row r="64" spans="4:19" x14ac:dyDescent="0.4">
      <c r="D64" s="22"/>
      <c r="E64" s="8"/>
      <c r="G64" s="8"/>
      <c r="H64" s="8"/>
      <c r="R64" s="8"/>
      <c r="S64" s="22"/>
    </row>
    <row r="65" spans="4:19" x14ac:dyDescent="0.4">
      <c r="D65" s="22"/>
      <c r="E65" s="8"/>
      <c r="G65" s="8"/>
      <c r="H65" s="8"/>
      <c r="R65" s="8"/>
      <c r="S65" s="22"/>
    </row>
    <row r="66" spans="4:19" x14ac:dyDescent="0.4">
      <c r="D66" s="22"/>
      <c r="E66" s="8"/>
      <c r="G66" s="8"/>
      <c r="H66" s="8"/>
      <c r="R66" s="8"/>
      <c r="S66" s="22"/>
    </row>
    <row r="67" spans="4:19" x14ac:dyDescent="0.4">
      <c r="D67" s="8"/>
      <c r="E67" s="8"/>
      <c r="G67" s="8"/>
      <c r="H67" s="8"/>
      <c r="R67" s="8"/>
      <c r="S67" s="8"/>
    </row>
    <row r="68" spans="4:19" x14ac:dyDescent="0.4">
      <c r="D68" s="22"/>
      <c r="E68" s="8"/>
      <c r="G68" s="8"/>
      <c r="H68" s="8"/>
      <c r="R68" s="8"/>
      <c r="S68" s="22"/>
    </row>
    <row r="69" spans="4:19" x14ac:dyDescent="0.4">
      <c r="D69" s="8"/>
      <c r="E69" s="8"/>
      <c r="G69" s="8"/>
      <c r="H69" s="8"/>
      <c r="R69" s="8"/>
      <c r="S69" s="8"/>
    </row>
    <row r="70" spans="4:19" x14ac:dyDescent="0.4">
      <c r="D70" s="22"/>
      <c r="E70" s="8"/>
      <c r="G70" s="8"/>
      <c r="H70" s="8"/>
      <c r="R70" s="8"/>
      <c r="S70" s="22"/>
    </row>
    <row r="71" spans="4:19" x14ac:dyDescent="0.4">
      <c r="D71" s="8"/>
      <c r="E71" s="8"/>
      <c r="G71" s="8"/>
      <c r="H71" s="8"/>
      <c r="R71" s="8"/>
      <c r="S71" s="8"/>
    </row>
    <row r="72" spans="4:19" x14ac:dyDescent="0.4">
      <c r="D72" s="22"/>
      <c r="E72" s="8"/>
      <c r="G72" s="8"/>
      <c r="H72" s="8"/>
      <c r="R72" s="8"/>
      <c r="S72" s="22"/>
    </row>
    <row r="73" spans="4:19" x14ac:dyDescent="0.4">
      <c r="D73" s="8"/>
      <c r="E73" s="8"/>
      <c r="G73" s="8"/>
      <c r="H73" s="8"/>
      <c r="R73" s="8"/>
      <c r="S73" s="8"/>
    </row>
    <row r="74" spans="4:19" x14ac:dyDescent="0.4">
      <c r="D74" s="22"/>
      <c r="E74" s="8"/>
      <c r="G74" s="8"/>
      <c r="H74" s="8"/>
      <c r="R74" s="8"/>
      <c r="S74" s="22"/>
    </row>
    <row r="75" spans="4:19" x14ac:dyDescent="0.4">
      <c r="D75" s="8"/>
      <c r="E75" s="8"/>
      <c r="G75" s="8"/>
      <c r="H75" s="8"/>
      <c r="R75" s="8"/>
      <c r="S75" s="8"/>
    </row>
    <row r="76" spans="4:19" x14ac:dyDescent="0.4">
      <c r="D76" s="22"/>
      <c r="E76" s="8"/>
      <c r="G76" s="8"/>
      <c r="H76" s="8"/>
      <c r="R76" s="8"/>
      <c r="S76" s="22"/>
    </row>
    <row r="77" spans="4:19" x14ac:dyDescent="0.4">
      <c r="D77" s="24"/>
      <c r="E77" s="8"/>
      <c r="G77" s="8"/>
      <c r="H77" s="8"/>
      <c r="R77" s="8"/>
      <c r="S77" s="24"/>
    </row>
    <row r="78" spans="4:19" x14ac:dyDescent="0.4">
      <c r="D78" s="8"/>
      <c r="E78" s="8"/>
      <c r="G78" s="8"/>
      <c r="H78" s="8"/>
      <c r="R78" s="8"/>
      <c r="S78" s="8"/>
    </row>
    <row r="79" spans="4:19" x14ac:dyDescent="0.4">
      <c r="D79" s="22"/>
      <c r="E79" s="8"/>
      <c r="G79" s="8"/>
      <c r="H79" s="8"/>
      <c r="R79" s="8"/>
      <c r="S79" s="22"/>
    </row>
    <row r="80" spans="4:19" x14ac:dyDescent="0.4">
      <c r="D80" s="22"/>
      <c r="E80" s="8"/>
      <c r="G80" s="8"/>
      <c r="H80" s="8"/>
      <c r="R80" s="8"/>
      <c r="S80" s="22"/>
    </row>
    <row r="81" spans="4:19" x14ac:dyDescent="0.4">
      <c r="D81" s="22"/>
      <c r="E81" s="8"/>
      <c r="G81" s="8"/>
      <c r="H81" s="8"/>
      <c r="R81" s="8"/>
      <c r="S81" s="22"/>
    </row>
    <row r="82" spans="4:19" x14ac:dyDescent="0.4">
      <c r="D82" s="8"/>
      <c r="E82" s="8"/>
      <c r="G82" s="8"/>
      <c r="H82" s="8"/>
      <c r="R82" s="8"/>
      <c r="S82" s="8"/>
    </row>
    <row r="83" spans="4:19" x14ac:dyDescent="0.4">
      <c r="D83" s="22"/>
      <c r="E83" s="8"/>
      <c r="G83" s="8"/>
      <c r="H83" s="8"/>
      <c r="R83" s="8"/>
      <c r="S83" s="22"/>
    </row>
    <row r="84" spans="4:19" x14ac:dyDescent="0.4">
      <c r="D84" s="8"/>
      <c r="E84" s="8"/>
      <c r="G84" s="8"/>
      <c r="H84" s="8"/>
      <c r="R84" s="8"/>
      <c r="S84" s="8"/>
    </row>
    <row r="85" spans="4:19" x14ac:dyDescent="0.4">
      <c r="D85" s="22"/>
      <c r="E85" s="8"/>
      <c r="G85" s="8"/>
      <c r="H85" s="8"/>
      <c r="R85" s="8"/>
      <c r="S85" s="22"/>
    </row>
    <row r="86" spans="4:19" x14ac:dyDescent="0.4">
      <c r="D86" s="8"/>
      <c r="E86" s="8"/>
      <c r="G86" s="8"/>
      <c r="H86" s="8"/>
      <c r="R86" s="8"/>
      <c r="S86" s="8"/>
    </row>
    <row r="87" spans="4:19" x14ac:dyDescent="0.4">
      <c r="D87" s="22"/>
      <c r="E87" s="8"/>
      <c r="G87" s="8"/>
      <c r="H87" s="8"/>
      <c r="R87" s="8"/>
      <c r="S87" s="22"/>
    </row>
    <row r="88" spans="4:19" x14ac:dyDescent="0.4">
      <c r="D88" s="8"/>
      <c r="E88" s="8"/>
      <c r="G88" s="8"/>
      <c r="H88" s="8"/>
      <c r="R88" s="8"/>
      <c r="S88" s="8"/>
    </row>
    <row r="89" spans="4:19" x14ac:dyDescent="0.4">
      <c r="D89" s="22"/>
      <c r="E89" s="8"/>
      <c r="G89" s="8"/>
      <c r="H89" s="8"/>
      <c r="R89" s="8"/>
      <c r="S89" s="22"/>
    </row>
    <row r="90" spans="4:19" x14ac:dyDescent="0.4">
      <c r="D90" s="8"/>
      <c r="E90" s="8"/>
      <c r="G90" s="8"/>
      <c r="H90" s="8"/>
      <c r="R90" s="8"/>
      <c r="S90" s="8"/>
    </row>
    <row r="91" spans="4:19" x14ac:dyDescent="0.4">
      <c r="D91" s="22"/>
      <c r="E91" s="8"/>
      <c r="G91" s="8"/>
      <c r="H91" s="8"/>
      <c r="R91" s="8"/>
      <c r="S91" s="22"/>
    </row>
    <row r="92" spans="4:19" x14ac:dyDescent="0.4">
      <c r="D92" s="24"/>
      <c r="E92" s="8"/>
      <c r="G92" s="8"/>
      <c r="H92" s="8"/>
      <c r="R92" s="8"/>
      <c r="S92" s="24"/>
    </row>
    <row r="93" spans="4:19" x14ac:dyDescent="0.4">
      <c r="D93" s="22"/>
      <c r="E93" s="8"/>
      <c r="G93" s="8"/>
      <c r="H93" s="8"/>
      <c r="R93" s="8"/>
      <c r="S93" s="22"/>
    </row>
    <row r="94" spans="4:19" x14ac:dyDescent="0.4">
      <c r="D94" s="22"/>
      <c r="E94" s="8"/>
      <c r="G94" s="8"/>
      <c r="H94" s="8"/>
      <c r="R94" s="8"/>
      <c r="S94" s="22"/>
    </row>
  </sheetData>
  <sheetProtection algorithmName="SHA-512" hashValue="lKGu1NWKZbm73GibPMZ2fMfhktSQQby9oYjjilcET9+hUiCmlyYfcIHGbRg9t7xgFJ64PZRriSux262UkZSlzw==" saltValue="c6elDuTAbuGNesrOAffpKg==" spinCount="100000" sheet="1" objects="1" scenarios="1"/>
  <pageMargins left="0.7" right="0.7" top="0.75" bottom="0.75" header="0.3" footer="0.3"/>
  <pageSetup orientation="portrait"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46F7E-7CCE-4ABA-AB4B-22FCA64B644A}">
  <sheetPr codeName="Sheet2">
    <tabColor theme="1"/>
  </sheetPr>
  <dimension ref="C2:K23"/>
  <sheetViews>
    <sheetView workbookViewId="0">
      <selection activeCell="J5" sqref="J5"/>
    </sheetView>
  </sheetViews>
  <sheetFormatPr defaultColWidth="8.84375" defaultRowHeight="14.6" x14ac:dyDescent="0.4"/>
  <cols>
    <col min="3" max="3" width="21.69140625" bestFit="1" customWidth="1"/>
    <col min="4" max="4" width="38.69140625" bestFit="1" customWidth="1"/>
    <col min="6" max="6" width="25.4609375" bestFit="1" customWidth="1"/>
    <col min="7" max="7" width="13.3046875" customWidth="1"/>
    <col min="9" max="9" width="14.3046875" bestFit="1" customWidth="1"/>
  </cols>
  <sheetData>
    <row r="2" spans="3:11" x14ac:dyDescent="0.4">
      <c r="F2" t="s">
        <v>2021</v>
      </c>
      <c r="I2" t="s">
        <v>2022</v>
      </c>
    </row>
    <row r="4" spans="3:11" x14ac:dyDescent="0.4">
      <c r="C4" s="10" t="s">
        <v>1984</v>
      </c>
      <c r="D4" s="10" t="s">
        <v>1985</v>
      </c>
      <c r="F4" s="10" t="s">
        <v>1984</v>
      </c>
      <c r="G4" s="10" t="s">
        <v>2050</v>
      </c>
      <c r="I4" s="10" t="s">
        <v>2018</v>
      </c>
      <c r="J4" s="10" t="s">
        <v>17</v>
      </c>
    </row>
    <row r="5" spans="3:11" x14ac:dyDescent="0.4">
      <c r="C5" t="s">
        <v>29</v>
      </c>
      <c r="D5" t="s">
        <v>29</v>
      </c>
      <c r="F5" t="s">
        <v>29</v>
      </c>
      <c r="G5" t="s">
        <v>29</v>
      </c>
      <c r="I5" t="s">
        <v>29</v>
      </c>
      <c r="J5" t="s">
        <v>95</v>
      </c>
    </row>
    <row r="6" spans="3:11" x14ac:dyDescent="0.4">
      <c r="C6" t="s">
        <v>190</v>
      </c>
      <c r="D6" t="s">
        <v>1986</v>
      </c>
      <c r="F6" t="s">
        <v>190</v>
      </c>
      <c r="G6" t="s">
        <v>190</v>
      </c>
      <c r="I6" t="s">
        <v>190</v>
      </c>
      <c r="J6">
        <v>6.3</v>
      </c>
    </row>
    <row r="7" spans="3:11" x14ac:dyDescent="0.4">
      <c r="C7" t="s">
        <v>166</v>
      </c>
      <c r="D7" t="s">
        <v>1987</v>
      </c>
      <c r="F7" t="s">
        <v>166</v>
      </c>
      <c r="G7" t="s">
        <v>194</v>
      </c>
      <c r="I7" t="s">
        <v>194</v>
      </c>
      <c r="J7">
        <v>10.199999999999999</v>
      </c>
    </row>
    <row r="8" spans="3:11" x14ac:dyDescent="0.4">
      <c r="C8" t="s">
        <v>1988</v>
      </c>
      <c r="D8" t="s">
        <v>187</v>
      </c>
      <c r="F8" t="s">
        <v>1988</v>
      </c>
      <c r="G8" s="21" t="s">
        <v>2005</v>
      </c>
      <c r="I8" t="s">
        <v>169</v>
      </c>
      <c r="J8">
        <v>9</v>
      </c>
    </row>
    <row r="9" spans="3:11" x14ac:dyDescent="0.4">
      <c r="D9" t="s">
        <v>1383</v>
      </c>
      <c r="F9" t="s">
        <v>133</v>
      </c>
      <c r="G9" s="21" t="s">
        <v>133</v>
      </c>
      <c r="I9" s="21" t="s">
        <v>2005</v>
      </c>
      <c r="J9" s="21" t="s">
        <v>95</v>
      </c>
      <c r="K9" s="21" t="s">
        <v>2049</v>
      </c>
    </row>
    <row r="10" spans="3:11" x14ac:dyDescent="0.4">
      <c r="D10" t="s">
        <v>1989</v>
      </c>
      <c r="F10" t="s">
        <v>1993</v>
      </c>
      <c r="G10" s="21" t="s">
        <v>2004</v>
      </c>
      <c r="I10" s="21" t="s">
        <v>133</v>
      </c>
      <c r="J10" s="21" t="s">
        <v>95</v>
      </c>
      <c r="K10" s="21" t="s">
        <v>2051</v>
      </c>
    </row>
    <row r="11" spans="3:11" x14ac:dyDescent="0.4">
      <c r="D11" t="s">
        <v>1990</v>
      </c>
      <c r="F11" t="s">
        <v>2003</v>
      </c>
      <c r="G11" s="21" t="s">
        <v>192</v>
      </c>
      <c r="I11" s="21" t="s">
        <v>2004</v>
      </c>
      <c r="J11" s="21" t="s">
        <v>95</v>
      </c>
    </row>
    <row r="12" spans="3:11" x14ac:dyDescent="0.4">
      <c r="D12" t="s">
        <v>1991</v>
      </c>
      <c r="F12" t="s">
        <v>2015</v>
      </c>
      <c r="G12" s="21" t="s">
        <v>196</v>
      </c>
      <c r="I12" s="21" t="s">
        <v>192</v>
      </c>
      <c r="J12">
        <v>5</v>
      </c>
      <c r="K12" s="21" t="s">
        <v>2046</v>
      </c>
    </row>
    <row r="13" spans="3:11" x14ac:dyDescent="0.4">
      <c r="C13" t="s">
        <v>133</v>
      </c>
      <c r="D13" t="s">
        <v>1992</v>
      </c>
      <c r="G13" s="21"/>
      <c r="I13" s="21" t="s">
        <v>196</v>
      </c>
      <c r="J13" s="21" t="s">
        <v>95</v>
      </c>
    </row>
    <row r="14" spans="3:11" x14ac:dyDescent="0.4">
      <c r="C14" t="s">
        <v>1993</v>
      </c>
      <c r="D14" t="s">
        <v>1994</v>
      </c>
    </row>
    <row r="15" spans="3:11" x14ac:dyDescent="0.4">
      <c r="D15" t="s">
        <v>1995</v>
      </c>
      <c r="F15" t="s">
        <v>2052</v>
      </c>
    </row>
    <row r="16" spans="3:11" x14ac:dyDescent="0.4">
      <c r="D16" t="s">
        <v>1996</v>
      </c>
    </row>
    <row r="17" spans="3:4" x14ac:dyDescent="0.4">
      <c r="D17" t="s">
        <v>1997</v>
      </c>
    </row>
    <row r="18" spans="3:4" x14ac:dyDescent="0.4">
      <c r="D18" t="s">
        <v>1998</v>
      </c>
    </row>
    <row r="19" spans="3:4" x14ac:dyDescent="0.4">
      <c r="D19" t="s">
        <v>1999</v>
      </c>
    </row>
    <row r="20" spans="3:4" x14ac:dyDescent="0.4">
      <c r="D20" t="s">
        <v>2000</v>
      </c>
    </row>
    <row r="21" spans="3:4" x14ac:dyDescent="0.4">
      <c r="D21" t="s">
        <v>2001</v>
      </c>
    </row>
    <row r="22" spans="3:4" x14ac:dyDescent="0.4">
      <c r="D22" t="s">
        <v>2002</v>
      </c>
    </row>
    <row r="23" spans="3:4" x14ac:dyDescent="0.4">
      <c r="C23" t="s">
        <v>2003</v>
      </c>
      <c r="D23" t="s">
        <v>2003</v>
      </c>
    </row>
  </sheetData>
  <sheetProtection algorithmName="SHA-512" hashValue="LlMRySayK1TbVHG888lFf4V31fGAYO0IxGmVatvqhAZg6D5P6wxeF4ORPIzxg4YJuM0KoztIkFVR5l+YsDHPiA==" saltValue="5hWd52cFhe6IV1P96uyU1A==" spinCount="100000" sheet="1" objects="1" scenarios="1"/>
  <dataValidations count="1">
    <dataValidation type="list" allowBlank="1" showInputMessage="1" showErrorMessage="1" sqref="G5:G12" xr:uid="{F0F8D574-7F25-4866-BC97-9970583CD9D4}">
      <formula1>Chem_List</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6AD38-DE4C-4A9B-ADDE-85BED1B3332B}">
  <sheetPr codeName="Sheet3"/>
  <dimension ref="B1:H11"/>
  <sheetViews>
    <sheetView workbookViewId="0">
      <selection activeCell="J5" sqref="J5"/>
    </sheetView>
  </sheetViews>
  <sheetFormatPr defaultColWidth="8.84375" defaultRowHeight="14.6" x14ac:dyDescent="0.4"/>
  <cols>
    <col min="2" max="2" width="21.69140625" bestFit="1" customWidth="1"/>
    <col min="3" max="4" width="13" style="43" customWidth="1"/>
    <col min="5" max="5" width="11.84375" customWidth="1"/>
    <col min="6" max="6" width="10.15234375" customWidth="1"/>
  </cols>
  <sheetData>
    <row r="1" spans="2:8" x14ac:dyDescent="0.4">
      <c r="B1" s="9" t="s">
        <v>2045</v>
      </c>
    </row>
    <row r="2" spans="2:8" ht="15" thickBot="1" x14ac:dyDescent="0.45"/>
    <row r="3" spans="2:8" x14ac:dyDescent="0.4">
      <c r="B3" s="448" t="s">
        <v>1984</v>
      </c>
      <c r="C3" s="445" t="s">
        <v>2044</v>
      </c>
      <c r="D3" s="446"/>
      <c r="E3" s="447"/>
      <c r="F3" s="447"/>
      <c r="G3" s="447"/>
      <c r="H3" s="447"/>
    </row>
    <row r="4" spans="2:8" ht="15" thickBot="1" x14ac:dyDescent="0.45">
      <c r="B4" s="449"/>
      <c r="C4" s="412" t="s">
        <v>2008</v>
      </c>
      <c r="D4" s="413" t="s">
        <v>20</v>
      </c>
    </row>
    <row r="5" spans="2:8" x14ac:dyDescent="0.4">
      <c r="B5" s="420" t="s">
        <v>29</v>
      </c>
      <c r="C5" s="414">
        <f t="shared" ref="C5:C11" si="0">SUMIF(FLT_Prods,$B5,FLT_Vols)+SUMIF(FX_Prods,$B5,FX_Vols)</f>
        <v>0</v>
      </c>
      <c r="D5" s="415">
        <f>C5*42</f>
        <v>0</v>
      </c>
    </row>
    <row r="6" spans="2:8" x14ac:dyDescent="0.4">
      <c r="B6" s="421" t="s">
        <v>190</v>
      </c>
      <c r="C6" s="416">
        <f t="shared" si="0"/>
        <v>429696</v>
      </c>
      <c r="D6" s="417">
        <f t="shared" ref="D6:D11" si="1">C6*42</f>
        <v>18047232</v>
      </c>
    </row>
    <row r="7" spans="2:8" x14ac:dyDescent="0.4">
      <c r="B7" s="421" t="s">
        <v>166</v>
      </c>
      <c r="C7" s="416">
        <f t="shared" si="0"/>
        <v>8567832</v>
      </c>
      <c r="D7" s="417">
        <f t="shared" si="1"/>
        <v>359848944</v>
      </c>
    </row>
    <row r="8" spans="2:8" x14ac:dyDescent="0.4">
      <c r="B8" s="421" t="s">
        <v>1988</v>
      </c>
      <c r="C8" s="416">
        <f t="shared" si="0"/>
        <v>10864080</v>
      </c>
      <c r="D8" s="417">
        <f t="shared" si="1"/>
        <v>456291360</v>
      </c>
    </row>
    <row r="9" spans="2:8" x14ac:dyDescent="0.4">
      <c r="B9" s="421" t="s">
        <v>133</v>
      </c>
      <c r="C9" s="416">
        <f t="shared" si="0"/>
        <v>0</v>
      </c>
      <c r="D9" s="417">
        <f t="shared" si="1"/>
        <v>0</v>
      </c>
    </row>
    <row r="10" spans="2:8" x14ac:dyDescent="0.4">
      <c r="B10" s="421" t="s">
        <v>1993</v>
      </c>
      <c r="C10" s="416">
        <f t="shared" si="0"/>
        <v>0</v>
      </c>
      <c r="D10" s="417">
        <f t="shared" si="1"/>
        <v>0</v>
      </c>
    </row>
    <row r="11" spans="2:8" ht="15" thickBot="1" x14ac:dyDescent="0.45">
      <c r="B11" s="422" t="s">
        <v>2003</v>
      </c>
      <c r="C11" s="418">
        <f t="shared" si="0"/>
        <v>0</v>
      </c>
      <c r="D11" s="419">
        <f t="shared" si="1"/>
        <v>0</v>
      </c>
    </row>
  </sheetData>
  <sheetProtection algorithmName="SHA-512" hashValue="1sDQ47J1nP5mlkp+CHfdZnNOQkDLKC/6W7zZrj9WkvrD3POrk0GTWzEJN413C5+rxjiECncXePFtbsrSkNGdmg==" saltValue="Xw3jgUcfqQOk9e2DqaDlLA==" spinCount="100000" sheet="1" objects="1" scenarios="1"/>
  <mergeCells count="4">
    <mergeCell ref="C3:D3"/>
    <mergeCell ref="E3:F3"/>
    <mergeCell ref="G3:H3"/>
    <mergeCell ref="B3:B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FC0E-9625-4C58-BB7E-B036740D75AD}">
  <sheetPr codeName="Sheet4">
    <pageSetUpPr fitToPage="1"/>
  </sheetPr>
  <dimension ref="B2:AC102"/>
  <sheetViews>
    <sheetView workbookViewId="0">
      <selection activeCell="J5" sqref="J5"/>
    </sheetView>
  </sheetViews>
  <sheetFormatPr defaultColWidth="8.84375" defaultRowHeight="14.6" x14ac:dyDescent="0.4"/>
  <cols>
    <col min="2" max="2" width="14.4609375" bestFit="1" customWidth="1"/>
    <col min="3" max="3" width="24.69140625" bestFit="1" customWidth="1"/>
    <col min="4" max="4" width="22.4609375" bestFit="1" customWidth="1"/>
    <col min="5" max="5" width="14.3046875" customWidth="1"/>
    <col min="6" max="6" width="10.4609375" customWidth="1"/>
    <col min="7" max="13" width="8.84375" customWidth="1"/>
    <col min="14" max="14" width="11.3046875" customWidth="1"/>
    <col min="15" max="15" width="8.69140625" customWidth="1"/>
    <col min="16" max="16" width="11" customWidth="1"/>
    <col min="17" max="17" width="10.84375" customWidth="1"/>
    <col min="20" max="20" width="9.4609375" customWidth="1"/>
    <col min="21" max="21" width="9.15234375" customWidth="1"/>
    <col min="22" max="25" width="13.69140625" customWidth="1"/>
    <col min="26" max="29" width="9.15234375" customWidth="1"/>
  </cols>
  <sheetData>
    <row r="2" spans="2:29" ht="17.600000000000001" x14ac:dyDescent="0.4">
      <c r="B2" s="460"/>
      <c r="C2" s="460"/>
      <c r="D2" s="460"/>
      <c r="E2" s="460"/>
      <c r="F2" s="460"/>
      <c r="G2" s="460"/>
      <c r="H2" s="460"/>
      <c r="I2" s="460"/>
      <c r="J2" s="460"/>
      <c r="K2" s="460"/>
      <c r="L2" s="460"/>
      <c r="M2" s="460"/>
      <c r="N2" s="460"/>
      <c r="O2" s="460"/>
      <c r="P2" s="460"/>
      <c r="Q2" s="460"/>
      <c r="R2" s="460"/>
      <c r="S2" s="460"/>
    </row>
    <row r="3" spans="2:29" ht="17.600000000000001" x14ac:dyDescent="0.4">
      <c r="B3" s="461" t="s">
        <v>2048</v>
      </c>
      <c r="C3" s="461"/>
      <c r="D3" s="461"/>
      <c r="E3" s="461"/>
      <c r="F3" s="461"/>
      <c r="G3" s="461"/>
      <c r="H3" s="461"/>
      <c r="I3" s="461"/>
      <c r="J3" s="461"/>
      <c r="K3" s="461"/>
      <c r="L3" s="461"/>
      <c r="M3" s="461"/>
      <c r="N3" s="461"/>
      <c r="O3" s="461"/>
      <c r="P3" s="461"/>
      <c r="Q3" s="461"/>
      <c r="R3" s="461"/>
      <c r="S3" s="461"/>
    </row>
    <row r="4" spans="2:29" ht="17.600000000000001" x14ac:dyDescent="0.4">
      <c r="B4" s="461" t="s">
        <v>1879</v>
      </c>
      <c r="C4" s="461"/>
      <c r="D4" s="461"/>
      <c r="E4" s="461"/>
      <c r="F4" s="461"/>
      <c r="G4" s="461"/>
      <c r="H4" s="461"/>
      <c r="I4" s="461"/>
      <c r="J4" s="461"/>
      <c r="K4" s="461"/>
      <c r="L4" s="461"/>
      <c r="M4" s="461"/>
      <c r="N4" s="461"/>
      <c r="O4" s="461"/>
      <c r="P4" s="461"/>
      <c r="Q4" s="461"/>
      <c r="R4" s="461"/>
      <c r="S4" s="461"/>
    </row>
    <row r="5" spans="2:29" ht="17.600000000000001" x14ac:dyDescent="0.4">
      <c r="B5" s="460" t="s">
        <v>2047</v>
      </c>
      <c r="C5" s="460"/>
      <c r="D5" s="460"/>
      <c r="E5" s="460"/>
      <c r="F5" s="460"/>
      <c r="G5" s="460"/>
      <c r="H5" s="460"/>
      <c r="I5" s="460"/>
      <c r="J5" s="460"/>
      <c r="K5" s="460"/>
      <c r="L5" s="460"/>
      <c r="M5" s="460"/>
      <c r="N5" s="460"/>
      <c r="O5" s="460"/>
      <c r="P5" s="460"/>
      <c r="Q5" s="460"/>
      <c r="R5" s="460"/>
      <c r="S5" s="460"/>
    </row>
    <row r="6" spans="2:29" ht="18" thickBot="1" x14ac:dyDescent="0.45">
      <c r="B6" s="210"/>
      <c r="C6" s="210"/>
      <c r="D6" s="210"/>
      <c r="E6" s="210"/>
      <c r="F6" s="210"/>
      <c r="G6" s="210"/>
      <c r="H6" s="210"/>
      <c r="I6" s="210"/>
      <c r="J6" s="210"/>
      <c r="K6" s="210"/>
      <c r="L6" s="210"/>
      <c r="M6" s="210"/>
      <c r="N6" s="210"/>
      <c r="O6" s="210"/>
      <c r="P6" s="210"/>
      <c r="Q6" s="210"/>
      <c r="R6" s="210"/>
      <c r="S6" s="210"/>
    </row>
    <row r="7" spans="2:29" ht="19.5" customHeight="1" thickBot="1" x14ac:dyDescent="0.45">
      <c r="B7" s="439" t="s">
        <v>1880</v>
      </c>
      <c r="C7" s="442" t="s">
        <v>1881</v>
      </c>
      <c r="D7" s="464" t="s">
        <v>1882</v>
      </c>
      <c r="E7" s="467" t="s">
        <v>1883</v>
      </c>
      <c r="F7" s="470" t="s">
        <v>1884</v>
      </c>
      <c r="G7" s="471"/>
      <c r="H7" s="471"/>
      <c r="I7" s="471"/>
      <c r="J7" s="471"/>
      <c r="K7" s="471"/>
      <c r="L7" s="471"/>
      <c r="M7" s="471"/>
      <c r="N7" s="471"/>
      <c r="O7" s="471"/>
      <c r="P7" s="471"/>
      <c r="Q7" s="471"/>
      <c r="R7" s="471"/>
      <c r="S7" s="472"/>
    </row>
    <row r="8" spans="2:29" ht="15.45" x14ac:dyDescent="0.4">
      <c r="B8" s="462"/>
      <c r="C8" s="463"/>
      <c r="D8" s="465"/>
      <c r="E8" s="468"/>
      <c r="F8" s="211" t="s">
        <v>30</v>
      </c>
      <c r="G8" s="212" t="s">
        <v>31</v>
      </c>
      <c r="H8" s="212" t="s">
        <v>32</v>
      </c>
      <c r="I8" s="212" t="s">
        <v>33</v>
      </c>
      <c r="J8" s="212" t="s">
        <v>34</v>
      </c>
      <c r="K8" s="212" t="s">
        <v>35</v>
      </c>
      <c r="L8" s="212" t="s">
        <v>36</v>
      </c>
      <c r="M8" s="212" t="s">
        <v>37</v>
      </c>
      <c r="N8" s="212" t="s">
        <v>38</v>
      </c>
      <c r="O8" s="212" t="s">
        <v>39</v>
      </c>
      <c r="P8" s="212" t="s">
        <v>40</v>
      </c>
      <c r="Q8" s="213" t="s">
        <v>41</v>
      </c>
      <c r="R8" s="473" t="s">
        <v>1885</v>
      </c>
      <c r="S8" s="474"/>
    </row>
    <row r="9" spans="2:29" ht="15" x14ac:dyDescent="0.4">
      <c r="B9" s="462"/>
      <c r="C9" s="463"/>
      <c r="D9" s="466"/>
      <c r="E9" s="468"/>
      <c r="F9" s="214" t="s">
        <v>95</v>
      </c>
      <c r="G9" s="215" t="str">
        <f>F9</f>
        <v>N/A</v>
      </c>
      <c r="H9" s="215" t="str">
        <f t="shared" ref="H9:P9" si="0">G9</f>
        <v>N/A</v>
      </c>
      <c r="I9" s="215" t="str">
        <f t="shared" si="0"/>
        <v>N/A</v>
      </c>
      <c r="J9" s="215" t="str">
        <f t="shared" si="0"/>
        <v>N/A</v>
      </c>
      <c r="K9" s="215" t="str">
        <f t="shared" si="0"/>
        <v>N/A</v>
      </c>
      <c r="L9" s="215" t="str">
        <f>K9</f>
        <v>N/A</v>
      </c>
      <c r="M9" s="215" t="str">
        <f t="shared" si="0"/>
        <v>N/A</v>
      </c>
      <c r="N9" s="215" t="str">
        <f t="shared" si="0"/>
        <v>N/A</v>
      </c>
      <c r="O9" s="215" t="str">
        <f t="shared" si="0"/>
        <v>N/A</v>
      </c>
      <c r="P9" s="215" t="str">
        <f t="shared" si="0"/>
        <v>N/A</v>
      </c>
      <c r="Q9" s="216" t="s">
        <v>95</v>
      </c>
      <c r="R9" s="475"/>
      <c r="S9" s="476"/>
    </row>
    <row r="10" spans="2:29" ht="15.45" thickBot="1" x14ac:dyDescent="0.45">
      <c r="B10" s="440"/>
      <c r="C10" s="443"/>
      <c r="D10" s="217" t="s">
        <v>1886</v>
      </c>
      <c r="E10" s="469"/>
      <c r="F10" s="218" t="s">
        <v>1887</v>
      </c>
      <c r="G10" s="219" t="s">
        <v>1887</v>
      </c>
      <c r="H10" s="219" t="s">
        <v>1887</v>
      </c>
      <c r="I10" s="219" t="s">
        <v>1887</v>
      </c>
      <c r="J10" s="219" t="s">
        <v>1887</v>
      </c>
      <c r="K10" s="219" t="s">
        <v>1887</v>
      </c>
      <c r="L10" s="219" t="s">
        <v>1887</v>
      </c>
      <c r="M10" s="219" t="s">
        <v>1887</v>
      </c>
      <c r="N10" s="219" t="s">
        <v>1887</v>
      </c>
      <c r="O10" s="219" t="s">
        <v>1887</v>
      </c>
      <c r="P10" s="219" t="s">
        <v>1887</v>
      </c>
      <c r="Q10" s="220" t="s">
        <v>1887</v>
      </c>
      <c r="R10" s="218" t="s">
        <v>1887</v>
      </c>
      <c r="S10" s="220" t="s">
        <v>1888</v>
      </c>
      <c r="U10" s="313" t="s">
        <v>1897</v>
      </c>
      <c r="W10" s="313" t="s">
        <v>1901</v>
      </c>
      <c r="Y10" s="313" t="s">
        <v>1899</v>
      </c>
      <c r="Z10" t="s">
        <v>1894</v>
      </c>
    </row>
    <row r="11" spans="2:29" ht="16.5" customHeight="1" thickBot="1" x14ac:dyDescent="0.45">
      <c r="B11" s="452" t="s">
        <v>1892</v>
      </c>
      <c r="C11" s="453"/>
      <c r="D11" s="453"/>
      <c r="E11" s="453"/>
      <c r="F11" s="453"/>
      <c r="G11" s="453"/>
      <c r="H11" s="453"/>
      <c r="I11" s="453"/>
      <c r="J11" s="453"/>
      <c r="K11" s="453"/>
      <c r="L11" s="453"/>
      <c r="M11" s="453"/>
      <c r="N11" s="453"/>
      <c r="O11" s="453"/>
      <c r="P11" s="453"/>
      <c r="Q11" s="453"/>
      <c r="R11" s="453"/>
      <c r="S11" s="454"/>
      <c r="U11" t="s">
        <v>1821</v>
      </c>
      <c r="V11" t="s">
        <v>1898</v>
      </c>
      <c r="W11" t="s">
        <v>1902</v>
      </c>
      <c r="X11" t="s">
        <v>1903</v>
      </c>
      <c r="Z11" t="s">
        <v>1821</v>
      </c>
      <c r="AA11" t="s">
        <v>1900</v>
      </c>
      <c r="AB11" t="s">
        <v>1895</v>
      </c>
      <c r="AC11" t="s">
        <v>1896</v>
      </c>
    </row>
    <row r="12" spans="2:29" ht="15.45" x14ac:dyDescent="0.4">
      <c r="B12" s="314" t="str" cm="1">
        <f t="array" ref="B12">INDEX(FLT_Cons,U12,V12)</f>
        <v>EXTANK 105</v>
      </c>
      <c r="C12" s="357" t="str" cm="1">
        <f t="array" ref="C12">INDEX(FLT_Setup,U12,3)</f>
        <v>Crude Oil</v>
      </c>
      <c r="D12" s="315" cm="1">
        <f t="array" ref="D12">INDEX(FLT_Prod_Info,W12,X12)</f>
        <v>1647876</v>
      </c>
      <c r="E12" s="316" t="s">
        <v>1904</v>
      </c>
      <c r="F12" s="317" cm="1">
        <f t="array" ref="F12">IFERROR(INDEX(Flt_Calc,$Z12,F$96),0)</f>
        <v>413.29066733014974</v>
      </c>
      <c r="G12" s="315" cm="1">
        <f t="array" ref="G12">IFERROR(INDEX(Flt_Calc,$Z12,G$96),0)</f>
        <v>365.22273160550992</v>
      </c>
      <c r="H12" s="315" cm="1">
        <f t="array" ref="H12">IFERROR(INDEX(Flt_Calc,$Z12,H$96),0)</f>
        <v>417.59681467453044</v>
      </c>
      <c r="I12" s="315" cm="1">
        <f t="array" ref="I12">IFERROR(INDEX(Flt_Calc,$Z12,I$96),0)</f>
        <v>434.53095991084285</v>
      </c>
      <c r="J12" s="315" cm="1">
        <f t="array" ref="J12">IFERROR(INDEX(Flt_Calc,$Z12,J$96),0)</f>
        <v>489.30793942480835</v>
      </c>
      <c r="K12" s="315" cm="1">
        <f t="array" ref="K12">IFERROR(INDEX(Flt_Calc,$Z12,K$96),0)</f>
        <v>525.41183380066605</v>
      </c>
      <c r="L12" s="315" cm="1">
        <f t="array" ref="L12">IFERROR(INDEX(Flt_Calc,$Z12,L$96),0)</f>
        <v>601.90217126258437</v>
      </c>
      <c r="M12" s="315" cm="1">
        <f t="array" ref="M12">IFERROR(INDEX(Flt_Calc,$Z12,M$96),0)</f>
        <v>551.40135454397353</v>
      </c>
      <c r="N12" s="315" cm="1">
        <f t="array" ref="N12">IFERROR(INDEX(Flt_Calc,$Z12,N$96),0)</f>
        <v>477.92009104770955</v>
      </c>
      <c r="O12" s="315" cm="1">
        <f t="array" ref="O12">IFERROR(INDEX(Flt_Calc,$Z12,O$96),0)</f>
        <v>425.71904364994481</v>
      </c>
      <c r="P12" s="315" cm="1">
        <f t="array" ref="P12">IFERROR(INDEX(Flt_Calc,$Z12,P$96),0)</f>
        <v>403.09332239657255</v>
      </c>
      <c r="Q12" s="318" cm="1">
        <f t="array" ref="Q12">IFERROR(INDEX(Flt_Calc,$Z12,Q$96),0)</f>
        <v>417.90497053866011</v>
      </c>
      <c r="R12" s="319">
        <f>SUM(F12:Q12)</f>
        <v>5523.301900185952</v>
      </c>
      <c r="S12" s="320">
        <f>R12/2000</f>
        <v>2.7616509500929762</v>
      </c>
      <c r="U12">
        <v>1</v>
      </c>
      <c r="V12">
        <v>2</v>
      </c>
      <c r="W12">
        <v>11</v>
      </c>
      <c r="X12">
        <v>13</v>
      </c>
      <c r="Y12">
        <v>11</v>
      </c>
      <c r="Z12">
        <v>1</v>
      </c>
      <c r="AA12">
        <v>1</v>
      </c>
    </row>
    <row r="13" spans="2:29" ht="15.45" x14ac:dyDescent="0.4">
      <c r="B13" s="321" t="str" cm="1">
        <f t="array" ref="B13">INDEX(FLT_Cons,U13,V13)</f>
        <v>EXTANK 106</v>
      </c>
      <c r="C13" s="358" t="str" cm="1">
        <f t="array" ref="C13">INDEX(FLT_Setup,U13,3)</f>
        <v>Crude Oil</v>
      </c>
      <c r="D13" s="221" cm="1">
        <f t="array" ref="D13">INDEX(FLT_Prod_Info,W13,X13)</f>
        <v>1812792</v>
      </c>
      <c r="E13" s="223" t="str">
        <f>E12</f>
        <v>VOC</v>
      </c>
      <c r="F13" s="255" cm="1">
        <f t="array" ref="F13">IFERROR(INDEX(Flt_Calc,$Z13,F$96),0)</f>
        <v>417.06050988359709</v>
      </c>
      <c r="G13" s="221" cm="1">
        <f t="array" ref="G13">IFERROR(INDEX(Flt_Calc,$Z13,G$96),0)</f>
        <v>368.99257415895727</v>
      </c>
      <c r="H13" s="221" cm="1">
        <f t="array" ref="H13">IFERROR(INDEX(Flt_Calc,$Z13,H$96),0)</f>
        <v>421.36665722797773</v>
      </c>
      <c r="I13" s="221" cm="1">
        <f t="array" ref="I13">IFERROR(INDEX(Flt_Calc,$Z13,I$96),0)</f>
        <v>438.30080246429014</v>
      </c>
      <c r="J13" s="221" cm="1">
        <f t="array" ref="J13">IFERROR(INDEX(Flt_Calc,$Z13,J$96),0)</f>
        <v>493.07778197825564</v>
      </c>
      <c r="K13" s="221" cm="1">
        <f t="array" ref="K13">IFERROR(INDEX(Flt_Calc,$Z13,K$96),0)</f>
        <v>529.18167635411339</v>
      </c>
      <c r="L13" s="221" cm="1">
        <f t="array" ref="L13">IFERROR(INDEX(Flt_Calc,$Z13,L$96),0)</f>
        <v>605.67201381603172</v>
      </c>
      <c r="M13" s="221" cm="1">
        <f t="array" ref="M13">IFERROR(INDEX(Flt_Calc,$Z13,M$96),0)</f>
        <v>555.17119709742087</v>
      </c>
      <c r="N13" s="221" cm="1">
        <f t="array" ref="N13">IFERROR(INDEX(Flt_Calc,$Z13,N$96),0)</f>
        <v>481.68993360115689</v>
      </c>
      <c r="O13" s="221" cm="1">
        <f t="array" ref="O13">IFERROR(INDEX(Flt_Calc,$Z13,O$96),0)</f>
        <v>429.4888862033921</v>
      </c>
      <c r="P13" s="221" cm="1">
        <f t="array" ref="P13">IFERROR(INDEX(Flt_Calc,$Z13,P$96),0)</f>
        <v>406.86316495001984</v>
      </c>
      <c r="Q13" s="256" cm="1">
        <f t="array" ref="Q13">IFERROR(INDEX(Flt_Calc,$Z13,Q$96),0)</f>
        <v>421.67481309210746</v>
      </c>
      <c r="R13" s="299">
        <f t="shared" ref="R13:R21" si="1">SUM(F13:Q13)</f>
        <v>5568.5400108273207</v>
      </c>
      <c r="S13" s="304">
        <f t="shared" ref="S13:S21" si="2">R13/2000</f>
        <v>2.7842700054136604</v>
      </c>
      <c r="U13">
        <f>U12+1</f>
        <v>2</v>
      </c>
      <c r="V13">
        <f>V12</f>
        <v>2</v>
      </c>
      <c r="W13">
        <f>W12+12</f>
        <v>23</v>
      </c>
      <c r="X13">
        <v>13</v>
      </c>
      <c r="Y13">
        <f>Y12+12</f>
        <v>23</v>
      </c>
      <c r="Z13">
        <f>Z12+1</f>
        <v>2</v>
      </c>
      <c r="AA13">
        <v>1</v>
      </c>
    </row>
    <row r="14" spans="2:29" ht="15.45" x14ac:dyDescent="0.4">
      <c r="B14" s="321" t="str" cm="1">
        <f t="array" ref="B14">INDEX(FLT_Cons,U14,V14)</f>
        <v>EXTANK 120</v>
      </c>
      <c r="C14" s="358" t="str" cm="1">
        <f t="array" ref="C14">INDEX(FLT_Setup,U14,3)</f>
        <v>Distillates</v>
      </c>
      <c r="D14" s="221" cm="1">
        <f t="array" ref="D14">INDEX(FLT_Prod_Info,W14,X14)</f>
        <v>54996</v>
      </c>
      <c r="E14" s="223" t="str">
        <f t="shared" ref="E14:E21" si="3">E13</f>
        <v>VOC</v>
      </c>
      <c r="F14" s="255" cm="1">
        <f t="array" ref="F14">IFERROR(INDEX(Flt_Calc,$Z14,F$96),0)</f>
        <v>1.896685152023464</v>
      </c>
      <c r="G14" s="221" cm="1">
        <f t="array" ref="G14">IFERROR(INDEX(Flt_Calc,$Z14,G$96),0)</f>
        <v>1.8593898973100824</v>
      </c>
      <c r="H14" s="221" cm="1">
        <f t="array" ref="H14">IFERROR(INDEX(Flt_Calc,$Z14,H$96),0)</f>
        <v>1.9653293980146336</v>
      </c>
      <c r="I14" s="221" cm="1">
        <f t="array" ref="I14">IFERROR(INDEX(Flt_Calc,$Z14,I$96),0)</f>
        <v>2.0467135547938984</v>
      </c>
      <c r="J14" s="221" cm="1">
        <f t="array" ref="J14">IFERROR(INDEX(Flt_Calc,$Z14,J$96),0)</f>
        <v>2.2068018828590654</v>
      </c>
      <c r="K14" s="221" cm="1">
        <f t="array" ref="K14">IFERROR(INDEX(Flt_Calc,$Z14,K$96),0)</f>
        <v>2.3172506805098583</v>
      </c>
      <c r="L14" s="221" cm="1">
        <f t="array" ref="L14">IFERROR(INDEX(Flt_Calc,$Z14,L$96),0)</f>
        <v>2.5087331585810864</v>
      </c>
      <c r="M14" s="221" cm="1">
        <f t="array" ref="M14">IFERROR(INDEX(Flt_Calc,$Z14,M$96),0)</f>
        <v>2.3787157287649139</v>
      </c>
      <c r="N14" s="221" cm="1">
        <f t="array" ref="N14">IFERROR(INDEX(Flt_Calc,$Z14,N$96),0)</f>
        <v>2.1850546607051129</v>
      </c>
      <c r="O14" s="221" cm="1">
        <f t="array" ref="O14">IFERROR(INDEX(Flt_Calc,$Z14,O$96),0)</f>
        <v>2.0048067012817095</v>
      </c>
      <c r="P14" s="221" cm="1">
        <f t="array" ref="P14">IFERROR(INDEX(Flt_Calc,$Z14,P$96),0)</f>
        <v>1.906926145972361</v>
      </c>
      <c r="Q14" s="256" cm="1">
        <f t="array" ref="Q14">IFERROR(INDEX(Flt_Calc,$Z14,Q$96),0)</f>
        <v>1.8985552949408158</v>
      </c>
      <c r="R14" s="299">
        <f t="shared" si="1"/>
        <v>25.174962255756999</v>
      </c>
      <c r="S14" s="304">
        <f t="shared" si="2"/>
        <v>1.2587481127878499E-2</v>
      </c>
      <c r="U14">
        <f t="shared" ref="U14:U21" si="4">U13+1</f>
        <v>3</v>
      </c>
      <c r="V14">
        <f t="shared" ref="V14:V21" si="5">V13</f>
        <v>2</v>
      </c>
      <c r="W14">
        <f t="shared" ref="W14:W21" si="6">W13+12</f>
        <v>35</v>
      </c>
      <c r="X14">
        <v>13</v>
      </c>
      <c r="Y14">
        <f t="shared" ref="Y14:Y21" si="7">Y13+12</f>
        <v>35</v>
      </c>
      <c r="Z14">
        <f t="shared" ref="Z14:Z21" si="8">Z13+1</f>
        <v>3</v>
      </c>
      <c r="AA14">
        <v>1</v>
      </c>
    </row>
    <row r="15" spans="2:29" ht="15.45" x14ac:dyDescent="0.4">
      <c r="B15" s="321" t="str" cm="1">
        <f t="array" ref="B15">INDEX(FLT_Cons,U15,V15)</f>
        <v>INTANK 63</v>
      </c>
      <c r="C15" s="358" t="str" cm="1">
        <f t="array" ref="C15">INDEX(FLT_Setup,U15,3)</f>
        <v>Crude Oil</v>
      </c>
      <c r="D15" s="229" cm="1">
        <f t="array" ref="D15">INDEX(FLT_Prod_Info,W15,X15)</f>
        <v>1566252</v>
      </c>
      <c r="E15" s="322" t="str">
        <f t="shared" si="3"/>
        <v>VOC</v>
      </c>
      <c r="F15" s="323" cm="1">
        <f t="array" ref="F15">IFERROR(INDEX(Flt_Calc,$Z15,F$96),0)</f>
        <v>528.75168656199264</v>
      </c>
      <c r="G15" s="229" cm="1">
        <f t="array" ref="G15">IFERROR(INDEX(Flt_Calc,$Z15,G$96),0)</f>
        <v>493.12977759618889</v>
      </c>
      <c r="H15" s="229" cm="1">
        <f t="array" ref="H15">IFERROR(INDEX(Flt_Calc,$Z15,H$96),0)</f>
        <v>562.84910139953195</v>
      </c>
      <c r="I15" s="229" cm="1">
        <f t="array" ref="I15">IFERROR(INDEX(Flt_Calc,$Z15,I$96),0)</f>
        <v>581.73372878206374</v>
      </c>
      <c r="J15" s="229" cm="1">
        <f t="array" ref="J15">IFERROR(INDEX(Flt_Calc,$Z15,J$96),0)</f>
        <v>665.46147634691806</v>
      </c>
      <c r="K15" s="229" cm="1">
        <f t="array" ref="K15">IFERROR(INDEX(Flt_Calc,$Z15,K$96),0)</f>
        <v>700.65112961831892</v>
      </c>
      <c r="L15" s="229" cm="1">
        <f t="array" ref="L15">IFERROR(INDEX(Flt_Calc,$Z15,L$96),0)</f>
        <v>780.54883487053087</v>
      </c>
      <c r="M15" s="229" cm="1">
        <f t="array" ref="M15">IFERROR(INDEX(Flt_Calc,$Z15,M$96),0)</f>
        <v>782.18501817672609</v>
      </c>
      <c r="N15" s="229" cm="1">
        <f t="array" ref="N15">IFERROR(INDEX(Flt_Calc,$Z15,N$96),0)</f>
        <v>714.77586537422849</v>
      </c>
      <c r="O15" s="229" cm="1">
        <f t="array" ref="O15">IFERROR(INDEX(Flt_Calc,$Z15,O$96),0)</f>
        <v>640.81236416450747</v>
      </c>
      <c r="P15" s="229" cm="1">
        <f t="array" ref="P15">IFERROR(INDEX(Flt_Calc,$Z15,P$96),0)</f>
        <v>548.21104396557689</v>
      </c>
      <c r="Q15" s="324" cm="1">
        <f t="array" ref="Q15">IFERROR(INDEX(Flt_Calc,$Z15,Q$96),0)</f>
        <v>524.83142466704658</v>
      </c>
      <c r="R15" s="325">
        <f t="shared" si="1"/>
        <v>7523.9414515236313</v>
      </c>
      <c r="S15" s="233">
        <f t="shared" si="2"/>
        <v>3.7619707257618158</v>
      </c>
      <c r="U15">
        <f t="shared" si="4"/>
        <v>4</v>
      </c>
      <c r="V15">
        <f t="shared" si="5"/>
        <v>2</v>
      </c>
      <c r="W15">
        <f t="shared" si="6"/>
        <v>47</v>
      </c>
      <c r="X15">
        <v>13</v>
      </c>
      <c r="Y15">
        <f t="shared" si="7"/>
        <v>47</v>
      </c>
      <c r="Z15">
        <f t="shared" si="8"/>
        <v>4</v>
      </c>
      <c r="AA15">
        <v>1</v>
      </c>
    </row>
    <row r="16" spans="2:29" ht="15.45" x14ac:dyDescent="0.4">
      <c r="B16" s="321" t="str" cm="1">
        <f t="array" ref="B16">INDEX(FLT_Cons,U16,V16)</f>
        <v>INTANK 68</v>
      </c>
      <c r="C16" s="359" t="str" cm="1">
        <f t="array" ref="C16">INDEX(FLT_Setup,U16,3)</f>
        <v>Crude Oil</v>
      </c>
      <c r="D16" s="229" cm="1">
        <f t="array" ref="D16">INDEX(FLT_Prod_Info,W16,X16)</f>
        <v>973044</v>
      </c>
      <c r="E16" s="322" t="str">
        <f t="shared" si="3"/>
        <v>VOC</v>
      </c>
      <c r="F16" s="323" cm="1">
        <f t="array" ref="F16">IFERROR(INDEX(Flt_Calc,$Z16,F$96),0)</f>
        <v>409.22596867306697</v>
      </c>
      <c r="G16" s="229" cm="1">
        <f t="array" ref="G16">IFERROR(INDEX(Flt_Calc,$Z16,G$96),0)</f>
        <v>381.55992736337964</v>
      </c>
      <c r="H16" s="229" cm="1">
        <f t="array" ref="H16">IFERROR(INDEX(Flt_Calc,$Z16,H$96),0)</f>
        <v>435.66798968273292</v>
      </c>
      <c r="I16" s="229" cm="1">
        <f t="array" ref="I16">IFERROR(INDEX(Flt_Calc,$Z16,I$96),0)</f>
        <v>450.30658570801603</v>
      </c>
      <c r="J16" s="229" cm="1">
        <f t="array" ref="J16">IFERROR(INDEX(Flt_Calc,$Z16,J$96),0)</f>
        <v>515.27976060256481</v>
      </c>
      <c r="K16" s="229" cm="1">
        <f t="array" ref="K16">IFERROR(INDEX(Flt_Calc,$Z16,K$96),0)</f>
        <v>542.58713330466969</v>
      </c>
      <c r="L16" s="229" cm="1">
        <f t="array" ref="L16">IFERROR(INDEX(Flt_Calc,$Z16,L$96),0)</f>
        <v>604.5957326210164</v>
      </c>
      <c r="M16" s="229" cm="1">
        <f t="array" ref="M16">IFERROR(INDEX(Flt_Calc,$Z16,M$96),0)</f>
        <v>605.88242600441947</v>
      </c>
      <c r="N16" s="229" cm="1">
        <f t="array" ref="N16">IFERROR(INDEX(Flt_Calc,$Z16,N$96),0)</f>
        <v>553.58062551690034</v>
      </c>
      <c r="O16" s="229" cm="1">
        <f t="array" ref="O16">IFERROR(INDEX(Flt_Calc,$Z16,O$96),0)</f>
        <v>496.19733304381975</v>
      </c>
      <c r="P16" s="229" cm="1">
        <f t="array" ref="P16">IFERROR(INDEX(Flt_Calc,$Z16,P$96),0)</f>
        <v>424.33019385711708</v>
      </c>
      <c r="Q16" s="324" cm="1">
        <f t="array" ref="Q16">IFERROR(INDEX(Flt_Calc,$Z16,Q$96),0)</f>
        <v>406.18461166176905</v>
      </c>
      <c r="R16" s="325">
        <f t="shared" si="1"/>
        <v>5825.3982880394715</v>
      </c>
      <c r="S16" s="233">
        <f t="shared" si="2"/>
        <v>2.9126991440197356</v>
      </c>
      <c r="U16">
        <f t="shared" si="4"/>
        <v>5</v>
      </c>
      <c r="V16">
        <f t="shared" si="5"/>
        <v>2</v>
      </c>
      <c r="W16">
        <f t="shared" si="6"/>
        <v>59</v>
      </c>
      <c r="X16">
        <v>13</v>
      </c>
      <c r="Y16">
        <f t="shared" si="7"/>
        <v>59</v>
      </c>
      <c r="Z16">
        <f t="shared" si="8"/>
        <v>5</v>
      </c>
      <c r="AA16">
        <v>1</v>
      </c>
    </row>
    <row r="17" spans="2:27" ht="15.45" x14ac:dyDescent="0.4">
      <c r="B17" s="321" t="str" cm="1">
        <f t="array" ref="B17">INDEX(FLT_Cons,U17,V17)</f>
        <v>INTANK 71</v>
      </c>
      <c r="C17" s="359" t="str" cm="1">
        <f t="array" ref="C17">INDEX(FLT_Setup,U17,3)</f>
        <v>Av-Gas</v>
      </c>
      <c r="D17" s="229" cm="1">
        <f t="array" ref="D17">INDEX(FLT_Prod_Info,W17,X17)</f>
        <v>429696</v>
      </c>
      <c r="E17" s="322" t="str">
        <f t="shared" si="3"/>
        <v>VOC</v>
      </c>
      <c r="F17" s="323" cm="1">
        <f t="array" ref="F17">IFERROR(INDEX(Flt_Calc,$Z17,F$96),0)</f>
        <v>222.9462631315125</v>
      </c>
      <c r="G17" s="229" cm="1">
        <f t="array" ref="G17">IFERROR(INDEX(Flt_Calc,$Z17,G$96),0)</f>
        <v>207.65247546184156</v>
      </c>
      <c r="H17" s="229" cm="1">
        <f t="array" ref="H17">IFERROR(INDEX(Flt_Calc,$Z17,H$96),0)</f>
        <v>239.84996772391474</v>
      </c>
      <c r="I17" s="229" cm="1">
        <f t="array" ref="I17">IFERROR(INDEX(Flt_Calc,$Z17,I$96),0)</f>
        <v>250.05990926679297</v>
      </c>
      <c r="J17" s="229" cm="1">
        <f t="array" ref="J17">IFERROR(INDEX(Flt_Calc,$Z17,J$96),0)</f>
        <v>290.94583887526363</v>
      </c>
      <c r="K17" s="229" cm="1">
        <f t="array" ref="K17">IFERROR(INDEX(Flt_Calc,$Z17,K$96),0)</f>
        <v>309.25970909932965</v>
      </c>
      <c r="L17" s="229" cm="1">
        <f t="array" ref="L17">IFERROR(INDEX(Flt_Calc,$Z17,L$96),0)</f>
        <v>347.99778155801374</v>
      </c>
      <c r="M17" s="229" cm="1">
        <f t="array" ref="M17">IFERROR(INDEX(Flt_Calc,$Z17,M$96),0)</f>
        <v>348.94346987659861</v>
      </c>
      <c r="N17" s="229" cm="1">
        <f t="array" ref="N17">IFERROR(INDEX(Flt_Calc,$Z17,N$96),0)</f>
        <v>316.52166183729332</v>
      </c>
      <c r="O17" s="229" cm="1">
        <f t="array" ref="O17">IFERROR(INDEX(Flt_Calc,$Z17,O$96),0)</f>
        <v>279.0449511738596</v>
      </c>
      <c r="P17" s="229" cm="1">
        <f t="array" ref="P17">IFERROR(INDEX(Flt_Calc,$Z17,P$96),0)</f>
        <v>233.61531692571648</v>
      </c>
      <c r="Q17" s="324" cm="1">
        <f t="array" ref="Q17">IFERROR(INDEX(Flt_Calc,$Z17,Q$96),0)</f>
        <v>220.99262820102274</v>
      </c>
      <c r="R17" s="325">
        <f t="shared" si="1"/>
        <v>3267.8299731311595</v>
      </c>
      <c r="S17" s="233">
        <f t="shared" si="2"/>
        <v>1.6339149865655798</v>
      </c>
      <c r="U17">
        <f t="shared" si="4"/>
        <v>6</v>
      </c>
      <c r="V17">
        <f t="shared" si="5"/>
        <v>2</v>
      </c>
      <c r="W17">
        <f t="shared" si="6"/>
        <v>71</v>
      </c>
      <c r="X17">
        <v>13</v>
      </c>
      <c r="Y17">
        <f t="shared" si="7"/>
        <v>71</v>
      </c>
      <c r="Z17">
        <f t="shared" si="8"/>
        <v>6</v>
      </c>
      <c r="AA17">
        <v>1</v>
      </c>
    </row>
    <row r="18" spans="2:27" ht="15.45" x14ac:dyDescent="0.4">
      <c r="B18" s="321" t="str" cm="1">
        <f t="array" ref="B18">INDEX(FLT_Cons,U18,V18)</f>
        <v>INTANK 95</v>
      </c>
      <c r="C18" s="359" t="str" cm="1">
        <f t="array" ref="C18">INDEX(FLT_Setup,U18,3)</f>
        <v>Distillates</v>
      </c>
      <c r="D18" s="229" cm="1">
        <f t="array" ref="D18">INDEX(FLT_Prod_Info,W18,X18)</f>
        <v>116016</v>
      </c>
      <c r="E18" s="322" t="str">
        <f t="shared" si="3"/>
        <v>VOC</v>
      </c>
      <c r="F18" s="323" cm="1">
        <f t="array" ref="F18">IFERROR(INDEX(Flt_Calc,$Z18,F$96),0)</f>
        <v>2.7508518588643698</v>
      </c>
      <c r="G18" s="229" cm="1">
        <f t="array" ref="G18">IFERROR(INDEX(Flt_Calc,$Z18,G$96),0)</f>
        <v>2.7261299124169214</v>
      </c>
      <c r="H18" s="229" cm="1">
        <f t="array" ref="H18">IFERROR(INDEX(Flt_Calc,$Z18,H$96),0)</f>
        <v>2.870782772570061</v>
      </c>
      <c r="I18" s="229" cm="1">
        <f t="array" ref="I18">IFERROR(INDEX(Flt_Calc,$Z18,I$96),0)</f>
        <v>2.9650496788358955</v>
      </c>
      <c r="J18" s="229" cm="1">
        <f t="array" ref="J18">IFERROR(INDEX(Flt_Calc,$Z18,J$96),0)</f>
        <v>3.1997869961009044</v>
      </c>
      <c r="K18" s="229" cm="1">
        <f t="array" ref="K18">IFERROR(INDEX(Flt_Calc,$Z18,K$96),0)</f>
        <v>3.3278994395092814</v>
      </c>
      <c r="L18" s="229" cm="1">
        <f t="array" ref="L18">IFERROR(INDEX(Flt_Calc,$Z18,L$96),0)</f>
        <v>3.5472986899011727</v>
      </c>
      <c r="M18" s="229" cm="1">
        <f t="array" ref="M18">IFERROR(INDEX(Flt_Calc,$Z18,M$96),0)</f>
        <v>3.5244016973888264</v>
      </c>
      <c r="N18" s="229" cm="1">
        <f t="array" ref="N18">IFERROR(INDEX(Flt_Calc,$Z18,N$96),0)</f>
        <v>3.3196221898006946</v>
      </c>
      <c r="O18" s="229" cm="1">
        <f t="array" ref="O18">IFERROR(INDEX(Flt_Calc,$Z18,O$96),0)</f>
        <v>3.0558912979616286</v>
      </c>
      <c r="P18" s="229" cm="1">
        <f t="array" ref="P18">IFERROR(INDEX(Flt_Calc,$Z18,P$96),0)</f>
        <v>2.8144894430766687</v>
      </c>
      <c r="Q18" s="324" cm="1">
        <f t="array" ref="Q18">IFERROR(INDEX(Flt_Calc,$Z18,Q$96),0)</f>
        <v>2.7390897791535957</v>
      </c>
      <c r="R18" s="325">
        <f t="shared" si="1"/>
        <v>36.841293755580018</v>
      </c>
      <c r="S18" s="233">
        <f t="shared" si="2"/>
        <v>1.842064687779001E-2</v>
      </c>
      <c r="U18">
        <f t="shared" si="4"/>
        <v>7</v>
      </c>
      <c r="V18">
        <f t="shared" si="5"/>
        <v>2</v>
      </c>
      <c r="W18">
        <f t="shared" si="6"/>
        <v>83</v>
      </c>
      <c r="X18">
        <v>13</v>
      </c>
      <c r="Y18">
        <f t="shared" si="7"/>
        <v>83</v>
      </c>
      <c r="Z18">
        <f t="shared" si="8"/>
        <v>7</v>
      </c>
      <c r="AA18">
        <v>1</v>
      </c>
    </row>
    <row r="19" spans="2:27" ht="15.45" x14ac:dyDescent="0.4">
      <c r="B19" s="321" t="str" cm="1">
        <f t="array" ref="B19">INDEX(FLT_Cons,U19,V19)</f>
        <v>INTANK 104</v>
      </c>
      <c r="C19" s="359" t="str" cm="1">
        <f t="array" ref="C19">INDEX(FLT_Setup,U19,3)</f>
        <v>Crude Oil</v>
      </c>
      <c r="D19" s="229" cm="1">
        <f t="array" ref="D19">INDEX(FLT_Prod_Info,W19,X19)</f>
        <v>1601052</v>
      </c>
      <c r="E19" s="322" t="str">
        <f t="shared" si="3"/>
        <v>VOC</v>
      </c>
      <c r="F19" s="323" cm="1">
        <f t="array" ref="F19">IFERROR(INDEX(Flt_Calc,$Z19,F$96),0)</f>
        <v>644.48045978565392</v>
      </c>
      <c r="G19" s="229" cm="1">
        <f t="array" ref="G19">IFERROR(INDEX(Flt_Calc,$Z19,G$96),0)</f>
        <v>600.52524939151135</v>
      </c>
      <c r="H19" s="229" cm="1">
        <f t="array" ref="H19">IFERROR(INDEX(Flt_Calc,$Z19,H$96),0)</f>
        <v>686.51904518432423</v>
      </c>
      <c r="I19" s="229" cm="1">
        <f t="array" ref="I19">IFERROR(INDEX(Flt_Calc,$Z19,I$96),0)</f>
        <v>709.79638772132057</v>
      </c>
      <c r="J19" s="229" cm="1">
        <f t="array" ref="J19">IFERROR(INDEX(Flt_Calc,$Z19,J$96),0)</f>
        <v>813.06271277263602</v>
      </c>
      <c r="K19" s="229" cm="1">
        <f t="array" ref="K19">IFERROR(INDEX(Flt_Calc,$Z19,K$96),0)</f>
        <v>856.46418278405883</v>
      </c>
      <c r="L19" s="229" cm="1">
        <f t="array" ref="L19">IFERROR(INDEX(Flt_Calc,$Z19,L$96),0)</f>
        <v>955.01339754396963</v>
      </c>
      <c r="M19" s="229" cm="1">
        <f t="array" ref="M19">IFERROR(INDEX(Flt_Calc,$Z19,M$96),0)</f>
        <v>957.04648635318517</v>
      </c>
      <c r="N19" s="229" cm="1">
        <f t="array" ref="N19">IFERROR(INDEX(Flt_Calc,$Z19,N$96),0)</f>
        <v>873.91398760329844</v>
      </c>
      <c r="O19" s="229" cm="1">
        <f t="array" ref="O19">IFERROR(INDEX(Flt_Calc,$Z19,O$96),0)</f>
        <v>782.70181207927419</v>
      </c>
      <c r="P19" s="229" cm="1">
        <f t="array" ref="P19">IFERROR(INDEX(Flt_Calc,$Z19,P$96),0)</f>
        <v>668.48407073994406</v>
      </c>
      <c r="Q19" s="324" cm="1">
        <f t="array" ref="Q19">IFERROR(INDEX(Flt_Calc,$Z19,Q$96),0)</f>
        <v>639.64606971243813</v>
      </c>
      <c r="R19" s="325">
        <f t="shared" si="1"/>
        <v>9187.6538616716152</v>
      </c>
      <c r="S19" s="233">
        <f t="shared" si="2"/>
        <v>4.5938269308358075</v>
      </c>
      <c r="U19">
        <f t="shared" si="4"/>
        <v>8</v>
      </c>
      <c r="V19">
        <f t="shared" si="5"/>
        <v>2</v>
      </c>
      <c r="W19">
        <f t="shared" si="6"/>
        <v>95</v>
      </c>
      <c r="X19">
        <v>13</v>
      </c>
      <c r="Y19">
        <f t="shared" si="7"/>
        <v>95</v>
      </c>
      <c r="Z19">
        <f t="shared" si="8"/>
        <v>8</v>
      </c>
      <c r="AA19">
        <v>1</v>
      </c>
    </row>
    <row r="20" spans="2:27" ht="15.45" x14ac:dyDescent="0.4">
      <c r="B20" s="321" t="str" cm="1">
        <f t="array" ref="B20">INDEX(FLT_Cons,U20,V20)</f>
        <v>INTANK 114</v>
      </c>
      <c r="C20" s="359" t="str" cm="1">
        <f t="array" ref="C20">INDEX(FLT_Setup,U20,3)</f>
        <v>Distillates</v>
      </c>
      <c r="D20" s="229" cm="1">
        <f t="array" ref="D20">INDEX(FLT_Prod_Info,W20,X20)</f>
        <v>181548</v>
      </c>
      <c r="E20" s="322" t="str">
        <f t="shared" si="3"/>
        <v>VOC</v>
      </c>
      <c r="F20" s="323" cm="1">
        <f t="array" ref="F20">IFERROR(INDEX(Flt_Calc,$Z20,F$96),0)</f>
        <v>3.6508044909632669</v>
      </c>
      <c r="G20" s="229" cm="1">
        <f t="array" ref="G20">IFERROR(INDEX(Flt_Calc,$Z20,G$96),0)</f>
        <v>3.6092097026978642</v>
      </c>
      <c r="H20" s="229" cm="1">
        <f t="array" ref="H20">IFERROR(INDEX(Flt_Calc,$Z20,H$96),0)</f>
        <v>3.7288212164432499</v>
      </c>
      <c r="I20" s="229" cm="1">
        <f t="array" ref="I20">IFERROR(INDEX(Flt_Calc,$Z20,I$96),0)</f>
        <v>3.788128542173693</v>
      </c>
      <c r="J20" s="229" cm="1">
        <f t="array" ref="J20">IFERROR(INDEX(Flt_Calc,$Z20,J$96),0)</f>
        <v>3.9774061394354248</v>
      </c>
      <c r="K20" s="229" cm="1">
        <f t="array" ref="K20">IFERROR(INDEX(Flt_Calc,$Z20,K$96),0)</f>
        <v>4.0848215315770569</v>
      </c>
      <c r="L20" s="229" cm="1">
        <f t="array" ref="L20">IFERROR(INDEX(Flt_Calc,$Z20,L$96),0)</f>
        <v>4.272532519606286</v>
      </c>
      <c r="M20" s="229" cm="1">
        <f t="array" ref="M20">IFERROR(INDEX(Flt_Calc,$Z20,M$96),0)</f>
        <v>4.2783084805311562</v>
      </c>
      <c r="N20" s="229" cm="1">
        <f t="array" ref="N20">IFERROR(INDEX(Flt_Calc,$Z20,N$96),0)</f>
        <v>4.123945160725043</v>
      </c>
      <c r="O20" s="229" cm="1">
        <f t="array" ref="O20">IFERROR(INDEX(Flt_Calc,$Z20,O$96),0)</f>
        <v>3.9199184837933827</v>
      </c>
      <c r="P20" s="229" cm="1">
        <f t="array" ref="P20">IFERROR(INDEX(Flt_Calc,$Z20,P$96),0)</f>
        <v>3.7110190201447937</v>
      </c>
      <c r="Q20" s="324" cm="1">
        <f t="array" ref="Q20">IFERROR(INDEX(Flt_Calc,$Z20,Q$96),0)</f>
        <v>3.6418690028426193</v>
      </c>
      <c r="R20" s="325">
        <f t="shared" si="1"/>
        <v>46.786784290933838</v>
      </c>
      <c r="S20" s="233">
        <f t="shared" si="2"/>
        <v>2.3393392145466919E-2</v>
      </c>
      <c r="U20">
        <f t="shared" si="4"/>
        <v>9</v>
      </c>
      <c r="V20">
        <f t="shared" si="5"/>
        <v>2</v>
      </c>
      <c r="W20">
        <f t="shared" si="6"/>
        <v>107</v>
      </c>
      <c r="X20">
        <v>13</v>
      </c>
      <c r="Y20">
        <f t="shared" si="7"/>
        <v>107</v>
      </c>
      <c r="Z20">
        <f t="shared" si="8"/>
        <v>9</v>
      </c>
      <c r="AA20">
        <v>1</v>
      </c>
    </row>
    <row r="21" spans="2:27" ht="15.9" thickBot="1" x14ac:dyDescent="0.45">
      <c r="B21" s="326" t="str" cm="1">
        <f t="array" ref="B21">INDEX(FLT_Cons,U21,V21)</f>
        <v>INTANK 130</v>
      </c>
      <c r="C21" s="360" t="str" cm="1">
        <f t="array" ref="C21">INDEX(FLT_Setup,U21,3)</f>
        <v>Crude Oil</v>
      </c>
      <c r="D21" s="327" cm="1">
        <f t="array" ref="D21">INDEX(FLT_Prod_Info,W21,X21)</f>
        <v>966816</v>
      </c>
      <c r="E21" s="328" t="str">
        <f t="shared" si="3"/>
        <v>VOC</v>
      </c>
      <c r="F21" s="329" cm="1">
        <f t="array" ref="F21">IFERROR(INDEX(Flt_Calc,$Z21,F$96),0)</f>
        <v>425.80834216421397</v>
      </c>
      <c r="G21" s="327" cm="1">
        <f t="array" ref="G21">IFERROR(INDEX(Flt_Calc,$Z21,G$96),0)</f>
        <v>396.91986883952819</v>
      </c>
      <c r="H21" s="327" cm="1">
        <f t="array" ref="H21">IFERROR(INDEX(Flt_Calc,$Z21,H$96),0)</f>
        <v>453.39138464259901</v>
      </c>
      <c r="I21" s="327" cm="1">
        <f t="array" ref="I21">IFERROR(INDEX(Flt_Calc,$Z21,I$96),0)</f>
        <v>468.6574628863998</v>
      </c>
      <c r="J21" s="327" cm="1">
        <f t="array" ref="J21">IFERROR(INDEX(Flt_Calc,$Z21,J$96),0)</f>
        <v>536.46417131323369</v>
      </c>
      <c r="K21" s="327" cm="1">
        <f t="array" ref="K21">IFERROR(INDEX(Flt_Calc,$Z21,K$96),0)</f>
        <v>564.96245208971925</v>
      </c>
      <c r="L21" s="327" cm="1">
        <f t="array" ref="L21">IFERROR(INDEX(Flt_Calc,$Z21,L$96),0)</f>
        <v>629.68046311390776</v>
      </c>
      <c r="M21" s="327" cm="1">
        <f t="array" ref="M21">IFERROR(INDEX(Flt_Calc,$Z21,M$96),0)</f>
        <v>631.03489250105997</v>
      </c>
      <c r="N21" s="327" cm="1">
        <f t="array" ref="N21">IFERROR(INDEX(Flt_Calc,$Z21,N$96),0)</f>
        <v>576.4576750368667</v>
      </c>
      <c r="O21" s="327" cm="1">
        <f t="array" ref="O21">IFERROR(INDEX(Flt_Calc,$Z21,O$96),0)</f>
        <v>516.58058340890955</v>
      </c>
      <c r="P21" s="327" cm="1">
        <f t="array" ref="P21">IFERROR(INDEX(Flt_Calc,$Z21,P$96),0)</f>
        <v>441.57377678944835</v>
      </c>
      <c r="Q21" s="330" cm="1">
        <f t="array" ref="Q21">IFERROR(INDEX(Flt_Calc,$Z21,Q$96),0)</f>
        <v>422.63488723685822</v>
      </c>
      <c r="R21" s="331">
        <f t="shared" si="1"/>
        <v>6064.1659600227449</v>
      </c>
      <c r="S21" s="332">
        <f t="shared" si="2"/>
        <v>3.0320829800113724</v>
      </c>
      <c r="U21">
        <f t="shared" si="4"/>
        <v>10</v>
      </c>
      <c r="V21">
        <f t="shared" si="5"/>
        <v>2</v>
      </c>
      <c r="W21">
        <f t="shared" si="6"/>
        <v>119</v>
      </c>
      <c r="X21">
        <v>13</v>
      </c>
      <c r="Y21">
        <f t="shared" si="7"/>
        <v>119</v>
      </c>
      <c r="Z21">
        <f t="shared" si="8"/>
        <v>10</v>
      </c>
      <c r="AA21">
        <v>1</v>
      </c>
    </row>
    <row r="22" spans="2:27" ht="16.5" customHeight="1" thickBot="1" x14ac:dyDescent="0.45">
      <c r="B22" s="455" t="s">
        <v>1889</v>
      </c>
      <c r="C22" s="456"/>
      <c r="D22" s="234">
        <f>SUM(D12:D21)</f>
        <v>9350088</v>
      </c>
      <c r="E22" s="235"/>
      <c r="F22" s="236">
        <f t="shared" ref="F22:S22" si="9">SUM(F15:F21,F12:F14)</f>
        <v>3069.8622390320384</v>
      </c>
      <c r="G22" s="234">
        <f t="shared" si="9"/>
        <v>2822.1973339293418</v>
      </c>
      <c r="H22" s="234">
        <f t="shared" si="9"/>
        <v>3225.8058939226389</v>
      </c>
      <c r="I22" s="234">
        <f t="shared" si="9"/>
        <v>3342.1857285155288</v>
      </c>
      <c r="J22" s="234">
        <f t="shared" si="9"/>
        <v>3812.9836763320759</v>
      </c>
      <c r="K22" s="234">
        <f t="shared" si="9"/>
        <v>4038.2480887024717</v>
      </c>
      <c r="L22" s="234">
        <f t="shared" si="9"/>
        <v>4535.7389591541423</v>
      </c>
      <c r="M22" s="234">
        <f t="shared" si="9"/>
        <v>4441.8462704600688</v>
      </c>
      <c r="N22" s="234">
        <f t="shared" si="9"/>
        <v>4004.4884620286848</v>
      </c>
      <c r="O22" s="234">
        <f t="shared" si="9"/>
        <v>3579.5255902067447</v>
      </c>
      <c r="P22" s="234">
        <f t="shared" si="9"/>
        <v>3134.6033242335889</v>
      </c>
      <c r="Q22" s="237">
        <f t="shared" si="9"/>
        <v>3062.1489191868391</v>
      </c>
      <c r="R22" s="236">
        <f t="shared" si="9"/>
        <v>43069.634485704155</v>
      </c>
      <c r="S22" s="238">
        <f t="shared" si="9"/>
        <v>21.534817242852082</v>
      </c>
      <c r="U22" t="s">
        <v>1975</v>
      </c>
      <c r="W22" t="s">
        <v>1976</v>
      </c>
    </row>
    <row r="23" spans="2:27" ht="15.45" thickBot="1" x14ac:dyDescent="0.45">
      <c r="B23" s="457" t="s">
        <v>1893</v>
      </c>
      <c r="C23" s="458"/>
      <c r="D23" s="458"/>
      <c r="E23" s="458"/>
      <c r="F23" s="458"/>
      <c r="G23" s="458"/>
      <c r="H23" s="458"/>
      <c r="I23" s="458"/>
      <c r="J23" s="458"/>
      <c r="K23" s="458"/>
      <c r="L23" s="458"/>
      <c r="M23" s="458"/>
      <c r="N23" s="458"/>
      <c r="O23" s="458"/>
      <c r="P23" s="458"/>
      <c r="Q23" s="458"/>
      <c r="R23" s="458"/>
      <c r="S23" s="459"/>
      <c r="V23" t="s">
        <v>237</v>
      </c>
    </row>
    <row r="24" spans="2:27" ht="15.45" x14ac:dyDescent="0.4">
      <c r="B24" s="239" t="str" cm="1">
        <f t="array" ref="B24">INDEX(FX_Input,U24,V24)</f>
        <v>FIXTANK 66</v>
      </c>
      <c r="C24" s="240" t="str" cm="1">
        <f t="array" ref="C24">INDEX(FX_Setup,W24,3)</f>
        <v>Distillates</v>
      </c>
      <c r="D24" s="228" cm="1">
        <f t="array" ref="D24">INDEX(FX_Input,U24,D$98)</f>
        <v>966816</v>
      </c>
      <c r="E24" s="334" t="str">
        <f>E21</f>
        <v>VOC</v>
      </c>
      <c r="F24" s="241" cm="1">
        <f t="array" ref="F24">INDEX(FX_Calcs,$W24,F$98)</f>
        <v>65.047446013792495</v>
      </c>
      <c r="G24" s="242" cm="1">
        <f t="array" ref="G24">INDEX(FX_Calcs,$W24,G$98)</f>
        <v>72.238334136860203</v>
      </c>
      <c r="H24" s="242" cm="1">
        <f t="array" ref="H24">INDEX(FX_Calcs,$W24,H$98)</f>
        <v>81.816121350277072</v>
      </c>
      <c r="I24" s="242" cm="1">
        <f t="array" ref="I24">INDEX(FX_Calcs,$W24,I$98)</f>
        <v>94.590811447298009</v>
      </c>
      <c r="J24" s="242" cm="1">
        <f t="array" ref="J24">INDEX(FX_Calcs,$W24,J$98)</f>
        <v>115.88706885925473</v>
      </c>
      <c r="K24" s="242" cm="1">
        <f t="array" ref="K24">INDEX(FX_Calcs,$W24,K$98)</f>
        <v>129.3746374759302</v>
      </c>
      <c r="L24" s="243" cm="1">
        <f t="array" ref="L24">INDEX(FX_Calcs,$W24,L$98)</f>
        <v>147.7840271560859</v>
      </c>
      <c r="M24" s="243" cm="1">
        <f t="array" ref="M24">INDEX(FX_Calcs,$W24,M$98)</f>
        <v>146.02825546398171</v>
      </c>
      <c r="N24" s="243" cm="1">
        <f t="array" ref="N24">INDEX(FX_Calcs,$W24,N$98)</f>
        <v>133.3053281026593</v>
      </c>
      <c r="O24" s="242" cm="1">
        <f t="array" ref="O24">INDEX(FX_Calcs,$W24,O$98)</f>
        <v>100.18066020079347</v>
      </c>
      <c r="P24" s="242" cm="1">
        <f t="array" ref="P24">INDEX(FX_Calcs,$W24,P$98)</f>
        <v>74.789037205175944</v>
      </c>
      <c r="Q24" s="244" cm="1">
        <f t="array" ref="Q24">INDEX(FX_Calcs,$W24,Q$98)</f>
        <v>63.372773817501191</v>
      </c>
      <c r="R24" s="245">
        <f t="shared" ref="R24:R34" si="10">IFERROR(F24+G24+H24+I24+J24+K24+L24+M24+N24+O24+P24+Q24,"N/A")</f>
        <v>1224.4145012296101</v>
      </c>
      <c r="S24" s="246">
        <f t="shared" ref="S24:S34" si="11">IFERROR(R24/2000,"N/A")</f>
        <v>0.61220725061480508</v>
      </c>
      <c r="U24">
        <v>1</v>
      </c>
      <c r="V24">
        <v>2</v>
      </c>
      <c r="W24">
        <v>1</v>
      </c>
    </row>
    <row r="25" spans="2:27" ht="15.45" x14ac:dyDescent="0.4">
      <c r="B25" s="247" t="str" cm="1">
        <f t="array" ref="B25">INDEX(FX_Input,U25,V25)</f>
        <v>FIXTANK 67</v>
      </c>
      <c r="C25" s="221" t="str" cm="1">
        <f t="array" ref="C25">INDEX(FX_Setup,W25,3)</f>
        <v>Distillates</v>
      </c>
      <c r="D25" s="222" cm="1">
        <f t="array" ref="D25">INDEX(FX_Input,U25,D$98)</f>
        <v>966816</v>
      </c>
      <c r="E25" s="223" t="str">
        <f>E24</f>
        <v>VOC</v>
      </c>
      <c r="F25" s="248" cm="1">
        <f t="array" ref="F25">INDEX(FX_Calcs,$W25,F$98)</f>
        <v>65.047446013792495</v>
      </c>
      <c r="G25" s="249" cm="1">
        <f t="array" ref="G25">INDEX(FX_Calcs,$W25,G$98)</f>
        <v>72.238334136860203</v>
      </c>
      <c r="H25" s="249" cm="1">
        <f t="array" ref="H25">INDEX(FX_Calcs,$W25,H$98)</f>
        <v>81.816121350277072</v>
      </c>
      <c r="I25" s="249" cm="1">
        <f t="array" ref="I25">INDEX(FX_Calcs,$W25,I$98)</f>
        <v>94.590811447298009</v>
      </c>
      <c r="J25" s="249" cm="1">
        <f t="array" ref="J25">INDEX(FX_Calcs,$W25,J$98)</f>
        <v>115.88706885925473</v>
      </c>
      <c r="K25" s="249" cm="1">
        <f t="array" ref="K25">INDEX(FX_Calcs,$W25,K$98)</f>
        <v>129.3746374759302</v>
      </c>
      <c r="L25" s="250" cm="1">
        <f t="array" ref="L25">INDEX(FX_Calcs,$W25,L$98)</f>
        <v>147.7840271560859</v>
      </c>
      <c r="M25" s="250" cm="1">
        <f t="array" ref="M25">INDEX(FX_Calcs,$W25,M$98)</f>
        <v>146.02825546398171</v>
      </c>
      <c r="N25" s="250" cm="1">
        <f t="array" ref="N25">INDEX(FX_Calcs,$W25,N$98)</f>
        <v>133.3053281026593</v>
      </c>
      <c r="O25" s="249" cm="1">
        <f t="array" ref="O25">INDEX(FX_Calcs,$W25,O$98)</f>
        <v>100.18066020079347</v>
      </c>
      <c r="P25" s="249" cm="1">
        <f t="array" ref="P25">INDEX(FX_Calcs,$W25,P$98)</f>
        <v>74.789037205175944</v>
      </c>
      <c r="Q25" s="251" cm="1">
        <f t="array" ref="Q25">INDEX(FX_Calcs,$W25,Q$98)</f>
        <v>63.372773817501191</v>
      </c>
      <c r="R25" s="252">
        <f t="shared" si="10"/>
        <v>1224.4145012296101</v>
      </c>
      <c r="S25" s="253">
        <f t="shared" si="11"/>
        <v>0.61220725061480508</v>
      </c>
      <c r="U25">
        <f>U24+2</f>
        <v>3</v>
      </c>
      <c r="V25">
        <v>2</v>
      </c>
      <c r="W25">
        <f>W24+1</f>
        <v>2</v>
      </c>
    </row>
    <row r="26" spans="2:27" ht="15.45" x14ac:dyDescent="0.4">
      <c r="B26" s="247" t="str" cm="1">
        <f t="array" ref="B26">INDEX(FX_Input,U26,V26)</f>
        <v>FIXTANK 69</v>
      </c>
      <c r="C26" s="221" t="str" cm="1">
        <f t="array" ref="C26">INDEX(FX_Setup,W26,3)</f>
        <v>Distillates</v>
      </c>
      <c r="D26" s="222" cm="1">
        <f t="array" ref="D26">INDEX(FX_Input,U26,D$98)</f>
        <v>675420</v>
      </c>
      <c r="E26" s="223" t="str">
        <f t="shared" ref="E26:E87" si="12">E25</f>
        <v>VOC</v>
      </c>
      <c r="F26" s="248" cm="1">
        <f t="array" ref="F26">INDEX(FX_Calcs,$W26,F$98)</f>
        <v>45.31121967679266</v>
      </c>
      <c r="G26" s="249" cm="1">
        <f t="array" ref="G26">INDEX(FX_Calcs,$W26,G$98)</f>
        <v>50.284405498176383</v>
      </c>
      <c r="H26" s="249" cm="1">
        <f t="array" ref="H26">INDEX(FX_Calcs,$W26,H$98)</f>
        <v>56.913918846112601</v>
      </c>
      <c r="I26" s="249" cm="1">
        <f t="array" ref="I26">INDEX(FX_Calcs,$W26,I$98)</f>
        <v>65.775481855077913</v>
      </c>
      <c r="J26" s="250" cm="1">
        <f t="array" ref="J26">INDEX(FX_Calcs,$W26,J$98)</f>
        <v>80.553475937419847</v>
      </c>
      <c r="K26" s="250" cm="1">
        <f t="array" ref="K26">INDEX(FX_Calcs,$W26,K$98)</f>
        <v>89.944297119038168</v>
      </c>
      <c r="L26" s="250" cm="1">
        <f t="array" ref="L26">INDEX(FX_Calcs,$W26,L$98)</f>
        <v>102.72239527453118</v>
      </c>
      <c r="M26" s="250" cm="1">
        <f t="array" ref="M26">INDEX(FX_Calcs,$W26,M$98)</f>
        <v>101.51210969036688</v>
      </c>
      <c r="N26" s="250" cm="1">
        <f t="array" ref="N26">INDEX(FX_Calcs,$W26,N$98)</f>
        <v>92.665248491539217</v>
      </c>
      <c r="O26" s="250" cm="1">
        <f t="array" ref="O26">INDEX(FX_Calcs,$W26,O$98)</f>
        <v>69.686684283079344</v>
      </c>
      <c r="P26" s="249" cm="1">
        <f t="array" ref="P26">INDEX(FX_Calcs,$W26,P$98)</f>
        <v>52.077244777441535</v>
      </c>
      <c r="Q26" s="251" cm="1">
        <f t="array" ref="Q26">INDEX(FX_Calcs,$W26,Q$98)</f>
        <v>44.151918168310019</v>
      </c>
      <c r="R26" s="252">
        <f t="shared" si="10"/>
        <v>851.59839961788566</v>
      </c>
      <c r="S26" s="253">
        <f t="shared" si="11"/>
        <v>0.42579919980894282</v>
      </c>
      <c r="U26">
        <f t="shared" ref="U26:U90" si="13">U25+2</f>
        <v>5</v>
      </c>
      <c r="V26">
        <v>2</v>
      </c>
      <c r="W26">
        <f t="shared" ref="W26:W87" si="14">W25+1</f>
        <v>3</v>
      </c>
    </row>
    <row r="27" spans="2:27" ht="15.45" x14ac:dyDescent="0.4">
      <c r="B27" s="247" t="str" cm="1">
        <f t="array" ref="B27">INDEX(FX_Input,U27,V27)</f>
        <v>FIXTANK 70</v>
      </c>
      <c r="C27" s="221" t="str" cm="1">
        <f t="array" ref="C27">INDEX(FX_Setup,W27,3)</f>
        <v>Distillates</v>
      </c>
      <c r="D27" s="222" cm="1">
        <f t="array" ref="D27">INDEX(FX_Input,U27,D$98)</f>
        <v>104592</v>
      </c>
      <c r="E27" s="223" t="str">
        <f t="shared" si="12"/>
        <v>VOC</v>
      </c>
      <c r="F27" s="248" cm="1">
        <f t="array" ref="F27">INDEX(FX_Calcs,$W27,F$98)</f>
        <v>5.5799834743125256</v>
      </c>
      <c r="G27" s="249" cm="1">
        <f t="array" ref="G27">INDEX(FX_Calcs,$W27,G$98)</f>
        <v>5.7301576529582423</v>
      </c>
      <c r="H27" s="249" cm="1">
        <f t="array" ref="H27">INDEX(FX_Calcs,$W27,H$98)</f>
        <v>6.0015032108168569</v>
      </c>
      <c r="I27" s="249" cm="1">
        <f t="array" ref="I27">INDEX(FX_Calcs,$W27,I$98)</f>
        <v>6.5141484738391906</v>
      </c>
      <c r="J27" s="250" cm="1">
        <f t="array" ref="J27">INDEX(FX_Calcs,$W27,J$98)</f>
        <v>7.5461914219254052</v>
      </c>
      <c r="K27" s="250" cm="1">
        <f t="array" ref="K27">INDEX(FX_Calcs,$W27,K$98)</f>
        <v>8.5149408232334078</v>
      </c>
      <c r="L27" s="250" cm="1">
        <f t="array" ref="L27">INDEX(FX_Calcs,$W27,L$98)</f>
        <v>9.5015734783060957</v>
      </c>
      <c r="M27" s="250" cm="1">
        <f t="array" ref="M27">INDEX(FX_Calcs,$W27,M$98)</f>
        <v>9.6353929762810573</v>
      </c>
      <c r="N27" s="250" cm="1">
        <f t="array" ref="N27">INDEX(FX_Calcs,$W27,N$98)</f>
        <v>8.9683136601929121</v>
      </c>
      <c r="O27" s="250" cm="1">
        <f t="array" ref="O27">INDEX(FX_Calcs,$W27,O$98)</f>
        <v>7.4261939888663688</v>
      </c>
      <c r="P27" s="249" cm="1">
        <f t="array" ref="P27">INDEX(FX_Calcs,$W27,P$98)</f>
        <v>6.2021534544717003</v>
      </c>
      <c r="Q27" s="251" cm="1">
        <f t="array" ref="Q27">INDEX(FX_Calcs,$W27,Q$98)</f>
        <v>5.5245645645382027</v>
      </c>
      <c r="R27" s="252">
        <f t="shared" si="10"/>
        <v>87.145117179741959</v>
      </c>
      <c r="S27" s="253">
        <f t="shared" si="11"/>
        <v>4.3572558589870983E-2</v>
      </c>
      <c r="U27">
        <f t="shared" si="13"/>
        <v>7</v>
      </c>
      <c r="V27">
        <v>2</v>
      </c>
      <c r="W27">
        <f t="shared" si="14"/>
        <v>4</v>
      </c>
    </row>
    <row r="28" spans="2:27" ht="15.45" x14ac:dyDescent="0.4">
      <c r="B28" s="247" t="str" cm="1">
        <f t="array" ref="B28">INDEX(FX_Input,U28,V28)</f>
        <v>FIXTANK 74</v>
      </c>
      <c r="C28" s="221" t="str" cm="1">
        <f t="array" ref="C28">INDEX(FX_Setup,W28,3)</f>
        <v>Distillates</v>
      </c>
      <c r="D28" s="222" cm="1">
        <f t="array" ref="D28">INDEX(FX_Input,U28,D$98)</f>
        <v>618768</v>
      </c>
      <c r="E28" s="223" t="str">
        <f t="shared" si="12"/>
        <v>VOC</v>
      </c>
      <c r="F28" s="248" cm="1">
        <f t="array" ref="F28">INDEX(FX_Calcs,$W28,F$98)</f>
        <v>33.011274422837431</v>
      </c>
      <c r="G28" s="249" cm="1">
        <f t="array" ref="G28">INDEX(FX_Calcs,$W28,G$98)</f>
        <v>33.899707344784169</v>
      </c>
      <c r="H28" s="249" cm="1">
        <f t="array" ref="H28">INDEX(FX_Calcs,$W28,H$98)</f>
        <v>35.504992148067963</v>
      </c>
      <c r="I28" s="249" cm="1">
        <f t="array" ref="I28">INDEX(FX_Calcs,$W28,I$98)</f>
        <v>38.537809993694815</v>
      </c>
      <c r="J28" s="249" cm="1">
        <f t="array" ref="J28">INDEX(FX_Calcs,$W28,J$98)</f>
        <v>44.643393125305366</v>
      </c>
      <c r="K28" s="249" cm="1">
        <f t="array" ref="K28">INDEX(FX_Calcs,$W28,K$98)</f>
        <v>50.374530588481804</v>
      </c>
      <c r="L28" s="249" cm="1">
        <f t="array" ref="L28">INDEX(FX_Calcs,$W28,L$98)</f>
        <v>56.211465676385437</v>
      </c>
      <c r="M28" s="250" cm="1">
        <f t="array" ref="M28">INDEX(FX_Calcs,$W28,M$98)</f>
        <v>57.003144037282752</v>
      </c>
      <c r="N28" s="249" cm="1">
        <f t="array" ref="N28">INDEX(FX_Calcs,$W28,N$98)</f>
        <v>53.056691782261055</v>
      </c>
      <c r="O28" s="249" cm="1">
        <f t="array" ref="O28">INDEX(FX_Calcs,$W28,O$98)</f>
        <v>43.933486328809714</v>
      </c>
      <c r="P28" s="249" cm="1">
        <f t="array" ref="P28">INDEX(FX_Calcs,$W28,P$98)</f>
        <v>36.692042304540927</v>
      </c>
      <c r="Q28" s="251" cm="1">
        <f t="array" ref="Q28">INDEX(FX_Calcs,$W28,Q$98)</f>
        <v>32.683415237017883</v>
      </c>
      <c r="R28" s="252">
        <f t="shared" si="10"/>
        <v>515.55195298946933</v>
      </c>
      <c r="S28" s="253">
        <f t="shared" si="11"/>
        <v>0.25777597649473466</v>
      </c>
      <c r="U28">
        <f t="shared" si="13"/>
        <v>9</v>
      </c>
      <c r="V28">
        <v>2</v>
      </c>
      <c r="W28">
        <f t="shared" si="14"/>
        <v>5</v>
      </c>
    </row>
    <row r="29" spans="2:27" ht="15.45" x14ac:dyDescent="0.4">
      <c r="B29" s="247" t="str" cm="1">
        <f t="array" ref="B29">INDEX(FX_Input,U29,V29)</f>
        <v>FIXTANK 93</v>
      </c>
      <c r="C29" s="221" t="str" cm="1">
        <f t="array" ref="C29">INDEX(FX_Setup,W29,3)</f>
        <v>Distillates</v>
      </c>
      <c r="D29" s="222" cm="1">
        <f t="array" ref="D29">INDEX(FX_Input,U29,D$98)</f>
        <v>852732</v>
      </c>
      <c r="E29" s="223" t="str">
        <f t="shared" si="12"/>
        <v>VOC</v>
      </c>
      <c r="F29" s="248" cm="1">
        <f t="array" ref="F29">INDEX(FX_Calcs,$W29,F$98)</f>
        <v>45.493254436452773</v>
      </c>
      <c r="G29" s="249" cm="1">
        <f t="array" ref="G29">INDEX(FX_Calcs,$W29,G$98)</f>
        <v>46.717615073068572</v>
      </c>
      <c r="H29" s="249" cm="1">
        <f t="array" ref="H29">INDEX(FX_Calcs,$W29,H$98)</f>
        <v>48.929878346013844</v>
      </c>
      <c r="I29" s="249" cm="1">
        <f t="array" ref="I29">INDEX(FX_Calcs,$W29,I$98)</f>
        <v>53.109442943952125</v>
      </c>
      <c r="J29" s="249" cm="1">
        <f t="array" ref="J29">INDEX(FX_Calcs,$W29,J$98)</f>
        <v>61.523624212189219</v>
      </c>
      <c r="K29" s="249" cm="1">
        <f t="array" ref="K29">INDEX(FX_Calcs,$W29,K$98)</f>
        <v>69.421777172990957</v>
      </c>
      <c r="L29" s="249" cm="1">
        <f t="array" ref="L29">INDEX(FX_Calcs,$W29,L$98)</f>
        <v>77.46573117736456</v>
      </c>
      <c r="M29" s="250" cm="1">
        <f t="array" ref="M29">INDEX(FX_Calcs,$W29,M$98)</f>
        <v>78.556753130737519</v>
      </c>
      <c r="N29" s="249" cm="1">
        <f t="array" ref="N29">INDEX(FX_Calcs,$W29,N$98)</f>
        <v>73.118097407866983</v>
      </c>
      <c r="O29" s="249" cm="1">
        <f t="array" ref="O29">INDEX(FX_Calcs,$W29,O$98)</f>
        <v>60.545292685042803</v>
      </c>
      <c r="P29" s="249" cm="1">
        <f t="array" ref="P29">INDEX(FX_Calcs,$W29,P$98)</f>
        <v>50.565767167073595</v>
      </c>
      <c r="Q29" s="251" cm="1">
        <f t="array" ref="Q29">INDEX(FX_Calcs,$W29,Q$98)</f>
        <v>45.041427549409043</v>
      </c>
      <c r="R29" s="252">
        <f t="shared" si="10"/>
        <v>710.48866130216197</v>
      </c>
      <c r="S29" s="253">
        <f t="shared" si="11"/>
        <v>0.35524433065108096</v>
      </c>
      <c r="U29">
        <f t="shared" si="13"/>
        <v>11</v>
      </c>
      <c r="V29">
        <v>2</v>
      </c>
      <c r="W29">
        <f t="shared" si="14"/>
        <v>6</v>
      </c>
    </row>
    <row r="30" spans="2:27" ht="15.45" x14ac:dyDescent="0.4">
      <c r="B30" s="247" t="str" cm="1">
        <f t="array" ref="B30">INDEX(FX_Input,U30,V30)</f>
        <v>FIXTANK 100</v>
      </c>
      <c r="C30" s="221" t="str" cm="1">
        <f t="array" ref="C30">INDEX(FX_Setup,W30,3)</f>
        <v>Distillates</v>
      </c>
      <c r="D30" s="222" cm="1">
        <f t="array" ref="D30">INDEX(FX_Input,U30,D$98)</f>
        <v>966816</v>
      </c>
      <c r="E30" s="223" t="str">
        <f t="shared" si="12"/>
        <v>VOC</v>
      </c>
      <c r="F30" s="248" cm="1">
        <f t="array" ref="F30">INDEX(FX_Calcs,$W30,F$98)</f>
        <v>65.047446013792495</v>
      </c>
      <c r="G30" s="254" cm="1">
        <f t="array" ref="G30">INDEX(FX_Calcs,$W30,G$98)</f>
        <v>72.238334136860203</v>
      </c>
      <c r="H30" s="249" cm="1">
        <f t="array" ref="H30">INDEX(FX_Calcs,$W30,H$98)</f>
        <v>81.816121350277072</v>
      </c>
      <c r="I30" s="249" cm="1">
        <f t="array" ref="I30">INDEX(FX_Calcs,$W30,I$98)</f>
        <v>94.590811447298009</v>
      </c>
      <c r="J30" s="249" cm="1">
        <f t="array" ref="J30">INDEX(FX_Calcs,$W30,J$98)</f>
        <v>115.88706885925473</v>
      </c>
      <c r="K30" s="249" cm="1">
        <f t="array" ref="K30">INDEX(FX_Calcs,$W30,K$98)</f>
        <v>129.3746374759302</v>
      </c>
      <c r="L30" s="249" cm="1">
        <f t="array" ref="L30">INDEX(FX_Calcs,$W30,L$98)</f>
        <v>147.7840271560859</v>
      </c>
      <c r="M30" s="250" cm="1">
        <f t="array" ref="M30">INDEX(FX_Calcs,$W30,M$98)</f>
        <v>146.02825546398171</v>
      </c>
      <c r="N30" s="250" cm="1">
        <f t="array" ref="N30">INDEX(FX_Calcs,$W30,N$98)</f>
        <v>133.3053281026593</v>
      </c>
      <c r="O30" s="249" cm="1">
        <f t="array" ref="O30">INDEX(FX_Calcs,$W30,O$98)</f>
        <v>100.18066020079347</v>
      </c>
      <c r="P30" s="249" cm="1">
        <f t="array" ref="P30">INDEX(FX_Calcs,$W30,P$98)</f>
        <v>74.789037205175944</v>
      </c>
      <c r="Q30" s="251" cm="1">
        <f t="array" ref="Q30">INDEX(FX_Calcs,$W30,Q$98)</f>
        <v>63.372773817501191</v>
      </c>
      <c r="R30" s="252">
        <f t="shared" si="10"/>
        <v>1224.4145012296101</v>
      </c>
      <c r="S30" s="253">
        <f t="shared" si="11"/>
        <v>0.61220725061480508</v>
      </c>
      <c r="U30">
        <f t="shared" si="13"/>
        <v>13</v>
      </c>
      <c r="V30">
        <v>2</v>
      </c>
      <c r="W30">
        <f t="shared" si="14"/>
        <v>7</v>
      </c>
    </row>
    <row r="31" spans="2:27" ht="15.45" x14ac:dyDescent="0.4">
      <c r="B31" s="247" t="str" cm="1">
        <f t="array" ref="B31">INDEX(FX_Input,U31,V31)</f>
        <v>FIXTANK 101</v>
      </c>
      <c r="C31" s="221" t="str" cm="1">
        <f t="array" ref="C31">INDEX(FX_Setup,W31,3)</f>
        <v>Distillates</v>
      </c>
      <c r="D31" s="222" cm="1">
        <f t="array" ref="D31">INDEX(FX_Input,U31,D$98)</f>
        <v>966816</v>
      </c>
      <c r="E31" s="223" t="str">
        <f t="shared" si="12"/>
        <v>VOC</v>
      </c>
      <c r="F31" s="248" cm="1">
        <f t="array" ref="F31">INDEX(FX_Calcs,$W31,F$98)</f>
        <v>65.047446013792495</v>
      </c>
      <c r="G31" s="254" cm="1">
        <f t="array" ref="G31">INDEX(FX_Calcs,$W31,G$98)</f>
        <v>72.238334136860203</v>
      </c>
      <c r="H31" s="249" cm="1">
        <f t="array" ref="H31">INDEX(FX_Calcs,$W31,H$98)</f>
        <v>81.816121350277072</v>
      </c>
      <c r="I31" s="249" cm="1">
        <f t="array" ref="I31">INDEX(FX_Calcs,$W31,I$98)</f>
        <v>94.590811447298009</v>
      </c>
      <c r="J31" s="249" cm="1">
        <f t="array" ref="J31">INDEX(FX_Calcs,$W31,J$98)</f>
        <v>115.88706885925473</v>
      </c>
      <c r="K31" s="249" cm="1">
        <f t="array" ref="K31">INDEX(FX_Calcs,$W31,K$98)</f>
        <v>129.3746374759302</v>
      </c>
      <c r="L31" s="249" cm="1">
        <f t="array" ref="L31">INDEX(FX_Calcs,$W31,L$98)</f>
        <v>147.7840271560859</v>
      </c>
      <c r="M31" s="249" cm="1">
        <f t="array" ref="M31">INDEX(FX_Calcs,$W31,M$98)</f>
        <v>146.02825546398171</v>
      </c>
      <c r="N31" s="249" cm="1">
        <f t="array" ref="N31">INDEX(FX_Calcs,$W31,N$98)</f>
        <v>133.3053281026593</v>
      </c>
      <c r="O31" s="249" cm="1">
        <f t="array" ref="O31">INDEX(FX_Calcs,$W31,O$98)</f>
        <v>100.18066020079347</v>
      </c>
      <c r="P31" s="249" cm="1">
        <f t="array" ref="P31">INDEX(FX_Calcs,$W31,P$98)</f>
        <v>74.789037205175944</v>
      </c>
      <c r="Q31" s="251" cm="1">
        <f t="array" ref="Q31">INDEX(FX_Calcs,$W31,Q$98)</f>
        <v>63.372773817501191</v>
      </c>
      <c r="R31" s="252">
        <f t="shared" si="10"/>
        <v>1224.4145012296101</v>
      </c>
      <c r="S31" s="253">
        <f t="shared" si="11"/>
        <v>0.61220725061480508</v>
      </c>
      <c r="U31">
        <f t="shared" si="13"/>
        <v>15</v>
      </c>
      <c r="V31">
        <v>2</v>
      </c>
      <c r="W31">
        <f t="shared" si="14"/>
        <v>8</v>
      </c>
    </row>
    <row r="32" spans="2:27" ht="15.45" x14ac:dyDescent="0.4">
      <c r="B32" s="247" t="str" cm="1">
        <f t="array" ref="B32">INDEX(FX_Input,U32,V32)</f>
        <v>FIXTANK 102</v>
      </c>
      <c r="C32" s="221" t="str" cm="1">
        <f t="array" ref="C32">INDEX(FX_Setup,W32,3)</f>
        <v>Distillates</v>
      </c>
      <c r="D32" s="222" cm="1">
        <f t="array" ref="D32">INDEX(FX_Input,U32,D$98)</f>
        <v>966816</v>
      </c>
      <c r="E32" s="223" t="str">
        <f t="shared" si="12"/>
        <v>VOC</v>
      </c>
      <c r="F32" s="248" cm="1">
        <f t="array" ref="F32">INDEX(FX_Calcs,$W32,F$98)</f>
        <v>65.047446013792495</v>
      </c>
      <c r="G32" s="254" cm="1">
        <f t="array" ref="G32">INDEX(FX_Calcs,$W32,G$98)</f>
        <v>72.238334136860203</v>
      </c>
      <c r="H32" s="249" cm="1">
        <f t="array" ref="H32">INDEX(FX_Calcs,$W32,H$98)</f>
        <v>81.816121350277072</v>
      </c>
      <c r="I32" s="249" cm="1">
        <f t="array" ref="I32">INDEX(FX_Calcs,$W32,I$98)</f>
        <v>94.590811447298009</v>
      </c>
      <c r="J32" s="249" cm="1">
        <f t="array" ref="J32">INDEX(FX_Calcs,$W32,J$98)</f>
        <v>115.88706885925473</v>
      </c>
      <c r="K32" s="249" cm="1">
        <f t="array" ref="K32">INDEX(FX_Calcs,$W32,K$98)</f>
        <v>129.3746374759302</v>
      </c>
      <c r="L32" s="249" cm="1">
        <f t="array" ref="L32">INDEX(FX_Calcs,$W32,L$98)</f>
        <v>147.7840271560859</v>
      </c>
      <c r="M32" s="249" cm="1">
        <f t="array" ref="M32">INDEX(FX_Calcs,$W32,M$98)</f>
        <v>146.02825546398171</v>
      </c>
      <c r="N32" s="249" cm="1">
        <f t="array" ref="N32">INDEX(FX_Calcs,$W32,N$98)</f>
        <v>133.3053281026593</v>
      </c>
      <c r="O32" s="249" cm="1">
        <f t="array" ref="O32">INDEX(FX_Calcs,$W32,O$98)</f>
        <v>100.18066020079347</v>
      </c>
      <c r="P32" s="249" cm="1">
        <f t="array" ref="P32">INDEX(FX_Calcs,$W32,P$98)</f>
        <v>74.789037205175944</v>
      </c>
      <c r="Q32" s="251" cm="1">
        <f t="array" ref="Q32">INDEX(FX_Calcs,$W32,Q$98)</f>
        <v>63.372773817501191</v>
      </c>
      <c r="R32" s="252">
        <f t="shared" si="10"/>
        <v>1224.4145012296101</v>
      </c>
      <c r="S32" s="253">
        <f t="shared" si="11"/>
        <v>0.61220725061480508</v>
      </c>
      <c r="U32">
        <f t="shared" si="13"/>
        <v>17</v>
      </c>
      <c r="V32">
        <v>2</v>
      </c>
      <c r="W32">
        <f t="shared" si="14"/>
        <v>9</v>
      </c>
    </row>
    <row r="33" spans="2:23" ht="15.45" x14ac:dyDescent="0.4">
      <c r="B33" s="247" t="str" cm="1">
        <f t="array" ref="B33">INDEX(FX_Input,U33,V33)</f>
        <v>FIXTANK 110</v>
      </c>
      <c r="C33" s="232" t="str" cm="1">
        <f t="array" ref="C33">INDEX(FX_Setup,W33,3)</f>
        <v>Distillates</v>
      </c>
      <c r="D33" s="230" cm="1">
        <f t="array" ref="D33">INDEX(FX_Input,U33,D$98)</f>
        <v>133428</v>
      </c>
      <c r="E33" s="231" t="str">
        <f t="shared" si="12"/>
        <v>VOC</v>
      </c>
      <c r="F33" s="255" cm="1">
        <f t="array" ref="F33">INDEX(FX_Calcs,$W33,F$98)</f>
        <v>7.1183841499404519</v>
      </c>
      <c r="G33" s="221" cm="1">
        <f t="array" ref="G33">INDEX(FX_Calcs,$W33,G$98)</f>
        <v>7.3099613289631362</v>
      </c>
      <c r="H33" s="221" cm="1">
        <f t="array" ref="H33">INDEX(FX_Calcs,$W33,H$98)</f>
        <v>7.6561168197651028</v>
      </c>
      <c r="I33" s="221" cm="1">
        <f t="array" ref="I33">INDEX(FX_Calcs,$W33,I$98)</f>
        <v>8.310098311222804</v>
      </c>
      <c r="J33" s="221" cm="1">
        <f t="array" ref="J33">INDEX(FX_Calcs,$W33,J$98)</f>
        <v>9.6266753580069508</v>
      </c>
      <c r="K33" s="221" cm="1">
        <f t="array" ref="K33">INDEX(FX_Calcs,$W33,K$98)</f>
        <v>10.86250883588025</v>
      </c>
      <c r="L33" s="221" cm="1">
        <f t="array" ref="L33">INDEX(FX_Calcs,$W33,L$98)</f>
        <v>12.121155978119031</v>
      </c>
      <c r="M33" s="221" cm="1">
        <f t="array" ref="M33">INDEX(FX_Calcs,$W33,M$98)</f>
        <v>12.291869493261713</v>
      </c>
      <c r="N33" s="221" cm="1">
        <f t="array" ref="N33">INDEX(FX_Calcs,$W33,N$98)</f>
        <v>11.4408765015701</v>
      </c>
      <c r="O33" s="221" cm="1">
        <f t="array" ref="O33">INDEX(FX_Calcs,$W33,O$98)</f>
        <v>9.473594649174526</v>
      </c>
      <c r="P33" s="221" cm="1">
        <f t="array" ref="P33">INDEX(FX_Calcs,$W33,P$98)</f>
        <v>7.9120863079704957</v>
      </c>
      <c r="Q33" s="256" cm="1">
        <f t="array" ref="Q33">INDEX(FX_Calcs,$W33,Q$98)</f>
        <v>7.0476862543713032</v>
      </c>
      <c r="R33" s="257">
        <f t="shared" si="10"/>
        <v>111.17101398824586</v>
      </c>
      <c r="S33" s="258">
        <f t="shared" si="11"/>
        <v>5.558550699412293E-2</v>
      </c>
      <c r="U33">
        <f t="shared" si="13"/>
        <v>19</v>
      </c>
      <c r="V33">
        <v>2</v>
      </c>
      <c r="W33">
        <f t="shared" si="14"/>
        <v>10</v>
      </c>
    </row>
    <row r="34" spans="2:23" ht="15.9" thickBot="1" x14ac:dyDescent="0.45">
      <c r="B34" s="259" t="str" cm="1">
        <f t="array" ref="B34">INDEX(FX_Input,U34,V34)</f>
        <v>FIXTANK 111</v>
      </c>
      <c r="C34" s="225" t="str" cm="1">
        <f t="array" ref="C34">INDEX(FX_Setup,W34,3)</f>
        <v>Out of Service/Demolished</v>
      </c>
      <c r="D34" s="226" cm="1">
        <f t="array" ref="D34">INDEX(FX_Input,U34,D$98)</f>
        <v>0</v>
      </c>
      <c r="E34" s="227" t="str">
        <f t="shared" si="12"/>
        <v>VOC</v>
      </c>
      <c r="F34" s="260" cm="1">
        <f t="array" ref="F34">INDEX(FX_Calcs,$W34,F$98)</f>
        <v>0</v>
      </c>
      <c r="G34" s="261" cm="1">
        <f t="array" ref="G34">INDEX(FX_Calcs,$W34,G$98)</f>
        <v>0</v>
      </c>
      <c r="H34" s="262" cm="1">
        <f t="array" ref="H34">INDEX(FX_Calcs,$W34,H$98)</f>
        <v>0</v>
      </c>
      <c r="I34" s="262" cm="1">
        <f t="array" ref="I34">INDEX(FX_Calcs,$W34,I$98)</f>
        <v>0</v>
      </c>
      <c r="J34" s="262" cm="1">
        <f t="array" ref="J34">INDEX(FX_Calcs,$W34,J$98)</f>
        <v>0</v>
      </c>
      <c r="K34" s="262" cm="1">
        <f t="array" ref="K34">INDEX(FX_Calcs,$W34,K$98)</f>
        <v>0</v>
      </c>
      <c r="L34" s="262" cm="1">
        <f t="array" ref="L34">INDEX(FX_Calcs,$W34,L$98)</f>
        <v>0</v>
      </c>
      <c r="M34" s="262" cm="1">
        <f t="array" ref="M34">INDEX(FX_Calcs,$W34,M$98)</f>
        <v>0</v>
      </c>
      <c r="N34" s="262" cm="1">
        <f t="array" ref="N34">INDEX(FX_Calcs,$W34,N$98)</f>
        <v>0</v>
      </c>
      <c r="O34" s="262" cm="1">
        <f t="array" ref="O34">INDEX(FX_Calcs,$W34,O$98)</f>
        <v>0</v>
      </c>
      <c r="P34" s="262" cm="1">
        <f t="array" ref="P34">INDEX(FX_Calcs,$W34,P$98)</f>
        <v>0</v>
      </c>
      <c r="Q34" s="263" cm="1">
        <f t="array" ref="Q34">INDEX(FX_Calcs,$W34,Q$98)</f>
        <v>0</v>
      </c>
      <c r="R34" s="264">
        <f t="shared" si="10"/>
        <v>0</v>
      </c>
      <c r="S34" s="265">
        <f t="shared" si="11"/>
        <v>0</v>
      </c>
      <c r="U34">
        <f t="shared" si="13"/>
        <v>21</v>
      </c>
      <c r="V34">
        <v>2</v>
      </c>
      <c r="W34">
        <f t="shared" si="14"/>
        <v>11</v>
      </c>
    </row>
    <row r="35" spans="2:23" ht="15.45" x14ac:dyDescent="0.4">
      <c r="B35" s="266" t="str" cm="1">
        <f t="array" ref="B35">INDEX(FX_Input,U35,V35)</f>
        <v>FIXTANK 112</v>
      </c>
      <c r="C35" s="267" t="str" cm="1">
        <f t="array" ref="C35">INDEX(FX_Setup,W35,3)</f>
        <v>Distillates</v>
      </c>
      <c r="D35" s="268" cm="1">
        <f t="array" ref="D35">INDEX(FX_Input,U35,D$98)</f>
        <v>378996</v>
      </c>
      <c r="E35" s="269" t="str">
        <f t="shared" si="12"/>
        <v>VOC</v>
      </c>
      <c r="F35" s="241" cm="1">
        <f t="array" ref="F35">INDEX(FX_Calcs,$W35,F$98)</f>
        <v>25.469516724492507</v>
      </c>
      <c r="G35" s="270" cm="1">
        <f t="array" ref="G35">INDEX(FX_Calcs,$W35,G$98)</f>
        <v>28.277457195030401</v>
      </c>
      <c r="H35" s="242" cm="1">
        <f t="array" ref="H35">INDEX(FX_Calcs,$W35,H$98)</f>
        <v>32.019082524716659</v>
      </c>
      <c r="I35" s="242" cm="1">
        <f t="array" ref="I35">INDEX(FX_Calcs,$W35,I$98)</f>
        <v>37.014753806315412</v>
      </c>
      <c r="J35" s="242" cm="1">
        <f t="array" ref="J35">INDEX(FX_Calcs,$W35,J$98)</f>
        <v>45.345659413250161</v>
      </c>
      <c r="K35" s="242" cm="1">
        <f t="array" ref="K35">INDEX(FX_Calcs,$W35,K$98)</f>
        <v>50.630124090709238</v>
      </c>
      <c r="L35" s="242" cm="1">
        <f t="array" ref="L35">INDEX(FX_Calcs,$W35,L$98)</f>
        <v>57.835091214322446</v>
      </c>
      <c r="M35" s="242" cm="1">
        <f t="array" ref="M35">INDEX(FX_Calcs,$W35,M$98)</f>
        <v>57.149752684598639</v>
      </c>
      <c r="N35" s="242" cm="1">
        <f t="array" ref="N35">INDEX(FX_Calcs,$W35,N$98)</f>
        <v>52.166696021908763</v>
      </c>
      <c r="O35" s="242" cm="1">
        <f t="array" ref="O35">INDEX(FX_Calcs,$W35,O$98)</f>
        <v>39.208769789504728</v>
      </c>
      <c r="P35" s="242" cm="1">
        <f t="array" ref="P35">INDEX(FX_Calcs,$W35,P$98)</f>
        <v>29.280241640459352</v>
      </c>
      <c r="Q35" s="244" cm="1">
        <f t="array" ref="Q35">INDEX(FX_Calcs,$W35,Q$98)</f>
        <v>24.815352451686252</v>
      </c>
      <c r="R35" s="271">
        <f t="shared" ref="R35:R79" si="15">IFERROR(F35+G35+H35+I35+J35+K35+L35+M35+N35+O35+P35+Q35,"N/A")</f>
        <v>479.21249755699455</v>
      </c>
      <c r="S35" s="272">
        <f t="shared" ref="S35:S79" si="16">IFERROR(R35/2000,"N/A")</f>
        <v>0.23960624877849729</v>
      </c>
      <c r="U35">
        <f t="shared" si="13"/>
        <v>23</v>
      </c>
      <c r="V35">
        <v>2</v>
      </c>
      <c r="W35">
        <f t="shared" si="14"/>
        <v>12</v>
      </c>
    </row>
    <row r="36" spans="2:23" ht="15.45" x14ac:dyDescent="0.4">
      <c r="B36" s="247" t="str" cm="1">
        <f t="array" ref="B36">INDEX(FX_Input,U36,V36)</f>
        <v>FIXTANK 113</v>
      </c>
      <c r="C36" s="335" t="str" cm="1">
        <f t="array" ref="C36">INDEX(FX_Setup,W36,3)</f>
        <v>Out of Service/Demolished</v>
      </c>
      <c r="D36" s="222" cm="1">
        <f t="array" ref="D36">INDEX(FX_Input,U36,D$98)</f>
        <v>0</v>
      </c>
      <c r="E36" s="223" t="str">
        <f t="shared" si="12"/>
        <v>VOC</v>
      </c>
      <c r="F36" s="273" cm="1">
        <f t="array" ref="F36">INDEX(FX_Calcs,$W36,F$98)</f>
        <v>0</v>
      </c>
      <c r="G36" s="274" cm="1">
        <f t="array" ref="G36">INDEX(FX_Calcs,$W36,G$98)</f>
        <v>0</v>
      </c>
      <c r="H36" s="274" cm="1">
        <f t="array" ref="H36">INDEX(FX_Calcs,$W36,H$98)</f>
        <v>0</v>
      </c>
      <c r="I36" s="250" cm="1">
        <f t="array" ref="I36">INDEX(FX_Calcs,$W36,I$98)</f>
        <v>0</v>
      </c>
      <c r="J36" s="274" cm="1">
        <f t="array" ref="J36">INDEX(FX_Calcs,$W36,J$98)</f>
        <v>0</v>
      </c>
      <c r="K36" s="274" cm="1">
        <f t="array" ref="K36">INDEX(FX_Calcs,$W36,K$98)</f>
        <v>0</v>
      </c>
      <c r="L36" s="274" cm="1">
        <f t="array" ref="L36">INDEX(FX_Calcs,$W36,L$98)</f>
        <v>0</v>
      </c>
      <c r="M36" s="274" cm="1">
        <f t="array" ref="M36">INDEX(FX_Calcs,$W36,M$98)</f>
        <v>0</v>
      </c>
      <c r="N36" s="274" cm="1">
        <f t="array" ref="N36">INDEX(FX_Calcs,$W36,N$98)</f>
        <v>0</v>
      </c>
      <c r="O36" s="274" cm="1">
        <f t="array" ref="O36">INDEX(FX_Calcs,$W36,O$98)</f>
        <v>0</v>
      </c>
      <c r="P36" s="274" cm="1">
        <f t="array" ref="P36">INDEX(FX_Calcs,$W36,P$98)</f>
        <v>0</v>
      </c>
      <c r="Q36" s="275" cm="1">
        <f t="array" ref="Q36">INDEX(FX_Calcs,$W36,Q$98)</f>
        <v>0</v>
      </c>
      <c r="R36" s="276">
        <f t="shared" si="15"/>
        <v>0</v>
      </c>
      <c r="S36" s="277">
        <f t="shared" si="16"/>
        <v>0</v>
      </c>
      <c r="U36">
        <f t="shared" si="13"/>
        <v>25</v>
      </c>
      <c r="V36">
        <v>2</v>
      </c>
      <c r="W36">
        <f t="shared" si="14"/>
        <v>13</v>
      </c>
    </row>
    <row r="37" spans="2:23" ht="15.45" x14ac:dyDescent="0.4">
      <c r="B37" s="247" t="str" cm="1">
        <f t="array" ref="B37">INDEX(FX_Input,U37,V37)</f>
        <v>FIXTANK 121</v>
      </c>
      <c r="C37" s="335" t="str" cm="1">
        <f t="array" ref="C37">INDEX(FX_Setup,W37,3)</f>
        <v>Distillates</v>
      </c>
      <c r="D37" s="222" cm="1">
        <f t="array" ref="D37">INDEX(FX_Input,U37,D$98)</f>
        <v>54996</v>
      </c>
      <c r="E37" s="223" t="str">
        <f t="shared" si="12"/>
        <v>VOC</v>
      </c>
      <c r="F37" s="248" cm="1">
        <f t="array" ref="F37">INDEX(FX_Calcs,$W37,F$98)</f>
        <v>4.0319530367647989</v>
      </c>
      <c r="G37" s="254" cm="1">
        <f t="array" ref="G37">INDEX(FX_Calcs,$W37,G$98)</f>
        <v>4.7138405490438817</v>
      </c>
      <c r="H37" s="254" cm="1">
        <f t="array" ref="H37">INDEX(FX_Calcs,$W37,H$98)</f>
        <v>5.7097458335070472</v>
      </c>
      <c r="I37" s="254" cm="1">
        <f t="array" ref="I37">INDEX(FX_Calcs,$W37,I$98)</f>
        <v>7.1000738892343964</v>
      </c>
      <c r="J37" s="274" cm="1">
        <f t="array" ref="J37">INDEX(FX_Calcs,$W37,J$98)</f>
        <v>9.1912841185179843</v>
      </c>
      <c r="K37" s="249" cm="1">
        <f t="array" ref="K37">INDEX(FX_Calcs,$W37,K$98)</f>
        <v>10.386610632205837</v>
      </c>
      <c r="L37" s="249" cm="1">
        <f t="array" ref="L37">INDEX(FX_Calcs,$W37,L$98)</f>
        <v>12.040856761082079</v>
      </c>
      <c r="M37" s="249" cm="1">
        <f t="array" ref="M37">INDEX(FX_Calcs,$W37,M$98)</f>
        <v>11.403552021725879</v>
      </c>
      <c r="N37" s="249" cm="1">
        <f t="array" ref="N37">INDEX(FX_Calcs,$W37,N$98)</f>
        <v>9.7573246929987558</v>
      </c>
      <c r="O37" s="249" cm="1">
        <f t="array" ref="O37">INDEX(FX_Calcs,$W37,O$98)</f>
        <v>6.7253658830257139</v>
      </c>
      <c r="P37" s="254" cm="1">
        <f t="array" ref="P37">INDEX(FX_Calcs,$W37,P$98)</f>
        <v>4.6685759326611409</v>
      </c>
      <c r="Q37" s="278" cm="1">
        <f t="array" ref="Q37">INDEX(FX_Calcs,$W37,Q$98)</f>
        <v>3.8898268976832071</v>
      </c>
      <c r="R37" s="279">
        <f t="shared" si="15"/>
        <v>89.619010248450707</v>
      </c>
      <c r="S37" s="280">
        <f t="shared" si="16"/>
        <v>4.4809505124225352E-2</v>
      </c>
      <c r="U37">
        <f t="shared" si="13"/>
        <v>27</v>
      </c>
      <c r="V37">
        <v>2</v>
      </c>
      <c r="W37">
        <f t="shared" si="14"/>
        <v>14</v>
      </c>
    </row>
    <row r="38" spans="2:23" ht="15.45" x14ac:dyDescent="0.4">
      <c r="B38" s="247" t="str" cm="1">
        <f t="array" ref="B38">INDEX(FX_Input,U38,V38)</f>
        <v>FIXTANK 122</v>
      </c>
      <c r="C38" s="221" t="str" cm="1">
        <f t="array" ref="C38">INDEX(FX_Setup,W38,3)</f>
        <v>Distillates</v>
      </c>
      <c r="D38" s="222" cm="1">
        <f t="array" ref="D38">INDEX(FX_Input,U38,D$98)</f>
        <v>54996</v>
      </c>
      <c r="E38" s="223" t="str">
        <f t="shared" si="12"/>
        <v>VOC</v>
      </c>
      <c r="F38" s="281" cm="1">
        <f t="array" ref="F38">INDEX(FX_Calcs,$W38,F$98)</f>
        <v>2.9340367442375297</v>
      </c>
      <c r="G38" s="282" cm="1">
        <f t="array" ref="G38">INDEX(FX_Calcs,$W38,G$98)</f>
        <v>3.0130005189889428</v>
      </c>
      <c r="H38" s="282" cm="1">
        <f t="array" ref="H38">INDEX(FX_Calcs,$W38,H$98)</f>
        <v>3.1556779732874776</v>
      </c>
      <c r="I38" s="282" cm="1">
        <f t="array" ref="I38">INDEX(FX_Calcs,$W38,I$98)</f>
        <v>3.4252343340528926</v>
      </c>
      <c r="J38" s="282" cm="1">
        <f t="array" ref="J38">INDEX(FX_Calcs,$W38,J$98)</f>
        <v>3.9678975776370047</v>
      </c>
      <c r="K38" s="282" cm="1">
        <f t="array" ref="K38">INDEX(FX_Calcs,$W38,K$98)</f>
        <v>4.4772801506285802</v>
      </c>
      <c r="L38" s="282" cm="1">
        <f t="array" ref="L38">INDEX(FX_Calcs,$W38,L$98)</f>
        <v>4.9960659994351584</v>
      </c>
      <c r="M38" s="282" cm="1">
        <f t="array" ref="M38">INDEX(FX_Calcs,$W38,M$98)</f>
        <v>5.0664302444121256</v>
      </c>
      <c r="N38" s="282" cm="1">
        <f t="array" ref="N38">INDEX(FX_Calcs,$W38,N$98)</f>
        <v>4.7156702047572416</v>
      </c>
      <c r="O38" s="282" cm="1">
        <f t="array" ref="O38">INDEX(FX_Calcs,$W38,O$98)</f>
        <v>3.9048011761099786</v>
      </c>
      <c r="P38" s="282" cm="1">
        <f t="array" ref="P38">INDEX(FX_Calcs,$W38,P$98)</f>
        <v>3.2611827996608311</v>
      </c>
      <c r="Q38" s="283" cm="1">
        <f t="array" ref="Q38">INDEX(FX_Calcs,$W38,Q$98)</f>
        <v>2.9048966727029124</v>
      </c>
      <c r="R38" s="276">
        <f t="shared" si="15"/>
        <v>45.822174395910665</v>
      </c>
      <c r="S38" s="284">
        <f t="shared" si="16"/>
        <v>2.2911087197955333E-2</v>
      </c>
      <c r="U38">
        <f t="shared" si="13"/>
        <v>29</v>
      </c>
      <c r="V38">
        <v>2</v>
      </c>
      <c r="W38">
        <f t="shared" si="14"/>
        <v>15</v>
      </c>
    </row>
    <row r="39" spans="2:23" ht="15.45" x14ac:dyDescent="0.4">
      <c r="B39" s="247" t="str" cm="1">
        <f t="array" ref="B39">INDEX(FX_Input,U39,V39)</f>
        <v>FIXTANK 123</v>
      </c>
      <c r="C39" s="221" t="str" cm="1">
        <f t="array" ref="C39">INDEX(FX_Setup,W39,3)</f>
        <v>Distillates</v>
      </c>
      <c r="D39" s="222" cm="1">
        <f t="array" ref="D39">INDEX(FX_Input,U39,D$98)</f>
        <v>54996</v>
      </c>
      <c r="E39" s="223" t="str">
        <f t="shared" si="12"/>
        <v>VOC</v>
      </c>
      <c r="F39" s="285" cm="1">
        <f t="array" ref="F39">INDEX(FX_Calcs,$W39,F$98)</f>
        <v>2.9340367442375297</v>
      </c>
      <c r="G39" s="286" cm="1">
        <f t="array" ref="G39">INDEX(FX_Calcs,$W39,G$98)</f>
        <v>3.0130005189889428</v>
      </c>
      <c r="H39" s="286" cm="1">
        <f t="array" ref="H39">INDEX(FX_Calcs,$W39,H$98)</f>
        <v>3.1556779732874776</v>
      </c>
      <c r="I39" s="286" cm="1">
        <f t="array" ref="I39">INDEX(FX_Calcs,$W39,I$98)</f>
        <v>3.4252343340528926</v>
      </c>
      <c r="J39" s="286" cm="1">
        <f t="array" ref="J39">INDEX(FX_Calcs,$W39,J$98)</f>
        <v>3.9678975776370047</v>
      </c>
      <c r="K39" s="286" cm="1">
        <f t="array" ref="K39">INDEX(FX_Calcs,$W39,K$98)</f>
        <v>4.4772801506285802</v>
      </c>
      <c r="L39" s="286" cm="1">
        <f t="array" ref="L39">INDEX(FX_Calcs,$W39,L$98)</f>
        <v>4.9960659994351584</v>
      </c>
      <c r="M39" s="286" cm="1">
        <f t="array" ref="M39">INDEX(FX_Calcs,$W39,M$98)</f>
        <v>5.0664302444121256</v>
      </c>
      <c r="N39" s="286" cm="1">
        <f t="array" ref="N39">INDEX(FX_Calcs,$W39,N$98)</f>
        <v>4.7156702047572416</v>
      </c>
      <c r="O39" s="286" cm="1">
        <f t="array" ref="O39">INDEX(FX_Calcs,$W39,O$98)</f>
        <v>3.9048011761099786</v>
      </c>
      <c r="P39" s="286" cm="1">
        <f t="array" ref="P39">INDEX(FX_Calcs,$W39,P$98)</f>
        <v>3.2611827996608311</v>
      </c>
      <c r="Q39" s="287" cm="1">
        <f t="array" ref="Q39">INDEX(FX_Calcs,$W39,Q$98)</f>
        <v>2.9048966727029124</v>
      </c>
      <c r="R39" s="288">
        <f t="shared" si="15"/>
        <v>45.822174395910665</v>
      </c>
      <c r="S39" s="289">
        <f t="shared" si="16"/>
        <v>2.2911087197955333E-2</v>
      </c>
      <c r="U39">
        <f t="shared" si="13"/>
        <v>31</v>
      </c>
      <c r="V39">
        <v>2</v>
      </c>
      <c r="W39">
        <f t="shared" si="14"/>
        <v>16</v>
      </c>
    </row>
    <row r="40" spans="2:23" ht="15.45" x14ac:dyDescent="0.4">
      <c r="B40" s="247" t="str" cm="1">
        <f t="array" ref="B40">INDEX(FX_Input,U40,V40)</f>
        <v>FIXTANK 124</v>
      </c>
      <c r="C40" s="221" t="str" cm="1">
        <f t="array" ref="C40">INDEX(FX_Setup,W40,3)</f>
        <v>Distillates</v>
      </c>
      <c r="D40" s="222" cm="1">
        <f t="array" ref="D40">INDEX(FX_Input,U40,D$98)</f>
        <v>134280</v>
      </c>
      <c r="E40" s="223" t="str">
        <f t="shared" si="12"/>
        <v>VOC</v>
      </c>
      <c r="F40" s="281" cm="1">
        <f t="array" ref="F40">INDEX(FX_Calcs,$W40,F$98)</f>
        <v>7.1638383521749844</v>
      </c>
      <c r="G40" s="282" cm="1">
        <f t="array" ref="G40">INDEX(FX_Calcs,$W40,G$98)</f>
        <v>7.3566388408217911</v>
      </c>
      <c r="H40" s="282" cm="1">
        <f t="array" ref="H40">INDEX(FX_Calcs,$W40,H$98)</f>
        <v>7.7050046958513798</v>
      </c>
      <c r="I40" s="282" cm="1">
        <f t="array" ref="I40">INDEX(FX_Calcs,$W40,I$98)</f>
        <v>8.3631621640959786</v>
      </c>
      <c r="J40" s="282" cm="1">
        <f t="array" ref="J40">INDEX(FX_Calcs,$W40,J$98)</f>
        <v>9.6881461692686184</v>
      </c>
      <c r="K40" s="282" cm="1">
        <f t="array" ref="K40">INDEX(FX_Calcs,$W40,K$98)</f>
        <v>10.931871020190664</v>
      </c>
      <c r="L40" s="282" cm="1">
        <f t="array" ref="L40">INDEX(FX_Calcs,$W40,L$98)</f>
        <v>12.198555211363608</v>
      </c>
      <c r="M40" s="282" cm="1">
        <f t="array" ref="M40">INDEX(FX_Calcs,$W40,M$98)</f>
        <v>12.370358811907415</v>
      </c>
      <c r="N40" s="282" cm="1">
        <f t="array" ref="N40">INDEX(FX_Calcs,$W40,N$98)</f>
        <v>11.513931833129726</v>
      </c>
      <c r="O40" s="282" cm="1">
        <f t="array" ref="O40">INDEX(FX_Calcs,$W40,O$98)</f>
        <v>9.5340879687258688</v>
      </c>
      <c r="P40" s="282" cm="1">
        <f t="array" ref="P40">INDEX(FX_Calcs,$W40,P$98)</f>
        <v>7.9626086686023783</v>
      </c>
      <c r="Q40" s="283" cm="1">
        <f t="array" ref="Q40">INDEX(FX_Calcs,$W40,Q$98)</f>
        <v>7.0926890175748607</v>
      </c>
      <c r="R40" s="276">
        <f t="shared" si="15"/>
        <v>111.88089275370729</v>
      </c>
      <c r="S40" s="277">
        <f t="shared" si="16"/>
        <v>5.5940446376853643E-2</v>
      </c>
      <c r="U40">
        <f t="shared" si="13"/>
        <v>33</v>
      </c>
      <c r="V40">
        <v>2</v>
      </c>
      <c r="W40">
        <f t="shared" si="14"/>
        <v>17</v>
      </c>
    </row>
    <row r="41" spans="2:23" ht="15.45" x14ac:dyDescent="0.4">
      <c r="B41" s="247" t="str" cm="1">
        <f t="array" ref="B41">INDEX(FX_Input,U41,V41)</f>
        <v>FIXTANK 125</v>
      </c>
      <c r="C41" s="221" t="str" cm="1">
        <f t="array" ref="C41">INDEX(FX_Setup,W41,3)</f>
        <v>Distillates</v>
      </c>
      <c r="D41" s="222" cm="1">
        <f t="array" ref="D41">INDEX(FX_Input,U41,D$98)</f>
        <v>134280</v>
      </c>
      <c r="E41" s="223" t="str">
        <f t="shared" si="12"/>
        <v>VOC</v>
      </c>
      <c r="F41" s="281" cm="1">
        <f t="array" ref="F41">INDEX(FX_Calcs,$W41,F$98)</f>
        <v>7.1638383521749844</v>
      </c>
      <c r="G41" s="282" cm="1">
        <f t="array" ref="G41">INDEX(FX_Calcs,$W41,G$98)</f>
        <v>7.3566388408217911</v>
      </c>
      <c r="H41" s="282" cm="1">
        <f t="array" ref="H41">INDEX(FX_Calcs,$W41,H$98)</f>
        <v>7.7050046958513798</v>
      </c>
      <c r="I41" s="282" cm="1">
        <f t="array" ref="I41">INDEX(FX_Calcs,$W41,I$98)</f>
        <v>8.3631621640959786</v>
      </c>
      <c r="J41" s="282" cm="1">
        <f t="array" ref="J41">INDEX(FX_Calcs,$W41,J$98)</f>
        <v>9.6881461692686184</v>
      </c>
      <c r="K41" s="282" cm="1">
        <f t="array" ref="K41">INDEX(FX_Calcs,$W41,K$98)</f>
        <v>10.931871020190664</v>
      </c>
      <c r="L41" s="282" cm="1">
        <f t="array" ref="L41">INDEX(FX_Calcs,$W41,L$98)</f>
        <v>12.198555211363608</v>
      </c>
      <c r="M41" s="282" cm="1">
        <f t="array" ref="M41">INDEX(FX_Calcs,$W41,M$98)</f>
        <v>12.370358811907415</v>
      </c>
      <c r="N41" s="282" cm="1">
        <f t="array" ref="N41">INDEX(FX_Calcs,$W41,N$98)</f>
        <v>11.513931833129726</v>
      </c>
      <c r="O41" s="282" cm="1">
        <f t="array" ref="O41">INDEX(FX_Calcs,$W41,O$98)</f>
        <v>9.5340879687258688</v>
      </c>
      <c r="P41" s="282" cm="1">
        <f t="array" ref="P41">INDEX(FX_Calcs,$W41,P$98)</f>
        <v>7.9626086686023783</v>
      </c>
      <c r="Q41" s="283" cm="1">
        <f t="array" ref="Q41">INDEX(FX_Calcs,$W41,Q$98)</f>
        <v>7.0926890175748607</v>
      </c>
      <c r="R41" s="276">
        <f t="shared" si="15"/>
        <v>111.88089275370729</v>
      </c>
      <c r="S41" s="284">
        <f t="shared" si="16"/>
        <v>5.5940446376853643E-2</v>
      </c>
      <c r="U41">
        <f t="shared" si="13"/>
        <v>35</v>
      </c>
      <c r="V41">
        <v>2</v>
      </c>
      <c r="W41">
        <f t="shared" si="14"/>
        <v>18</v>
      </c>
    </row>
    <row r="42" spans="2:23" ht="15.45" x14ac:dyDescent="0.4">
      <c r="B42" s="247" t="str" cm="1">
        <f t="array" ref="B42">INDEX(FX_Input,U42,V42)</f>
        <v>FIXTANK 126</v>
      </c>
      <c r="C42" s="221" t="str" cm="1">
        <f t="array" ref="C42">INDEX(FX_Setup,W42,3)</f>
        <v>Distillates</v>
      </c>
      <c r="D42" s="222" cm="1">
        <f t="array" ref="D42">INDEX(FX_Input,U42,D$98)</f>
        <v>54000</v>
      </c>
      <c r="E42" s="223" t="str">
        <f t="shared" si="12"/>
        <v>VOC</v>
      </c>
      <c r="F42" s="290" cm="1">
        <f t="array" ref="F42">INDEX(FX_Calcs,$W42,F$98)</f>
        <v>2.8809001416253293</v>
      </c>
      <c r="G42" s="250" cm="1">
        <f t="array" ref="G42">INDEX(FX_Calcs,$W42,G$98)</f>
        <v>2.9584338501964309</v>
      </c>
      <c r="H42" s="250" cm="1">
        <f t="array" ref="H42">INDEX(FX_Calcs,$W42,H$98)</f>
        <v>3.0985273575809842</v>
      </c>
      <c r="I42" s="250" cm="1">
        <f t="array" ref="I42">INDEX(FX_Calcs,$W42,I$98)</f>
        <v>3.3632019426659432</v>
      </c>
      <c r="J42" s="250" cm="1">
        <f t="array" ref="J42">INDEX(FX_Calcs,$W42,J$98)</f>
        <v>3.8960373334860403</v>
      </c>
      <c r="K42" s="250" cm="1">
        <f t="array" ref="K42">INDEX(FX_Calcs,$W42,K$98)</f>
        <v>4.3961947802375327</v>
      </c>
      <c r="L42" s="291" cm="1">
        <f t="array" ref="L42">INDEX(FX_Calcs,$W42,L$98)</f>
        <v>4.9055852056422022</v>
      </c>
      <c r="M42" s="291" cm="1">
        <f t="array" ref="M42">INDEX(FX_Calcs,$W42,M$98)</f>
        <v>4.9746751254319372</v>
      </c>
      <c r="N42" s="291" cm="1">
        <f t="array" ref="N42">INDEX(FX_Calcs,$W42,N$98)</f>
        <v>4.6302674932157082</v>
      </c>
      <c r="O42" s="250" cm="1">
        <f t="array" ref="O42">INDEX(FX_Calcs,$W42,O$98)</f>
        <v>3.8340836335358723</v>
      </c>
      <c r="P42" s="250" cm="1">
        <f t="array" ref="P42">INDEX(FX_Calcs,$W42,P$98)</f>
        <v>3.2021214484996161</v>
      </c>
      <c r="Q42" s="292" cm="1">
        <f t="array" ref="Q42">INDEX(FX_Calcs,$W42,Q$98)</f>
        <v>2.8522878086762176</v>
      </c>
      <c r="R42" s="293">
        <f t="shared" si="15"/>
        <v>44.992316120793816</v>
      </c>
      <c r="S42" s="294">
        <f t="shared" si="16"/>
        <v>2.2496158060396908E-2</v>
      </c>
      <c r="U42">
        <f t="shared" si="13"/>
        <v>37</v>
      </c>
      <c r="V42">
        <v>2</v>
      </c>
      <c r="W42">
        <f t="shared" si="14"/>
        <v>19</v>
      </c>
    </row>
    <row r="43" spans="2:23" ht="15.45" x14ac:dyDescent="0.4">
      <c r="B43" s="247" t="str" cm="1">
        <f t="array" ref="B43">INDEX(FX_Input,U43,V43)</f>
        <v>FIXTANK 127</v>
      </c>
      <c r="C43" s="221" t="str" cm="1">
        <f t="array" ref="C43">INDEX(FX_Setup,W43,3)</f>
        <v>Distillates</v>
      </c>
      <c r="D43" s="222" cm="1">
        <f t="array" ref="D43">INDEX(FX_Input,U43,D$98)</f>
        <v>241704</v>
      </c>
      <c r="E43" s="223" t="str">
        <f t="shared" si="12"/>
        <v>VOC</v>
      </c>
      <c r="F43" s="295" cm="1">
        <f t="array" ref="F43">INDEX(FX_Calcs,$W43,F$98)</f>
        <v>12.894909033914972</v>
      </c>
      <c r="G43" s="291" cm="1">
        <f t="array" ref="G43">INDEX(FX_Calcs,$W43,G$98)</f>
        <v>13.241949913479225</v>
      </c>
      <c r="H43" s="282" cm="1">
        <f t="array" ref="H43">INDEX(FX_Calcs,$W43,H$98)</f>
        <v>13.869008452532483</v>
      </c>
      <c r="I43" s="282" cm="1">
        <f t="array" ref="I43">INDEX(FX_Calcs,$W43,I$98)</f>
        <v>15.05369189537276</v>
      </c>
      <c r="J43" s="282" cm="1">
        <f t="array" ref="J43">INDEX(FX_Calcs,$W43,J$98)</f>
        <v>17.438663104683513</v>
      </c>
      <c r="K43" s="282" cm="1">
        <f t="array" ref="K43">INDEX(FX_Calcs,$W43,K$98)</f>
        <v>19.677367836343194</v>
      </c>
      <c r="L43" s="282" cm="1">
        <f t="array" ref="L43">INDEX(FX_Calcs,$W43,L$98)</f>
        <v>21.957399380454497</v>
      </c>
      <c r="M43" s="282" cm="1">
        <f t="array" ref="M43">INDEX(FX_Calcs,$W43,M$98)</f>
        <v>22.26664586143335</v>
      </c>
      <c r="N43" s="282" cm="1">
        <f t="array" ref="N43">INDEX(FX_Calcs,$W43,N$98)</f>
        <v>20.725077299633508</v>
      </c>
      <c r="O43" s="282" cm="1">
        <f t="array" ref="O43">INDEX(FX_Calcs,$W43,O$98)</f>
        <v>17.161358343706564</v>
      </c>
      <c r="P43" s="286" cm="1">
        <f t="array" ref="P43">INDEX(FX_Calcs,$W43,P$98)</f>
        <v>14.332695603484281</v>
      </c>
      <c r="Q43" s="296" cm="1">
        <f t="array" ref="Q43">INDEX(FX_Calcs,$W43,Q$98)</f>
        <v>12.766840231634749</v>
      </c>
      <c r="R43" s="288">
        <f t="shared" si="15"/>
        <v>201.38560695667306</v>
      </c>
      <c r="S43" s="297">
        <f t="shared" si="16"/>
        <v>0.10069280347833653</v>
      </c>
      <c r="U43">
        <f t="shared" si="13"/>
        <v>39</v>
      </c>
      <c r="V43">
        <v>2</v>
      </c>
      <c r="W43">
        <f t="shared" si="14"/>
        <v>20</v>
      </c>
    </row>
    <row r="44" spans="2:23" ht="15.45" x14ac:dyDescent="0.4">
      <c r="B44" s="247" t="str" cm="1">
        <f t="array" ref="B44">INDEX(FX_Input,U44,V44)</f>
        <v>FIXTANK 128</v>
      </c>
      <c r="C44" s="221" t="str" cm="1">
        <f t="array" ref="C44">INDEX(FX_Setup,W44,3)</f>
        <v>Distillates</v>
      </c>
      <c r="D44" s="222" cm="1">
        <f t="array" ref="D44">INDEX(FX_Input,U44,D$98)</f>
        <v>671400</v>
      </c>
      <c r="E44" s="223" t="str">
        <f t="shared" si="12"/>
        <v>VOC</v>
      </c>
      <c r="F44" s="281" cm="1">
        <f t="array" ref="F44">INDEX(FX_Calcs,$W44,F$98)</f>
        <v>35.819191760874922</v>
      </c>
      <c r="G44" s="282" cm="1">
        <f t="array" ref="G44">INDEX(FX_Calcs,$W44,G$98)</f>
        <v>36.783194204108959</v>
      </c>
      <c r="H44" s="282" cm="1">
        <f t="array" ref="H44">INDEX(FX_Calcs,$W44,H$98)</f>
        <v>38.525023479256902</v>
      </c>
      <c r="I44" s="282" cm="1">
        <f t="array" ref="I44">INDEX(FX_Calcs,$W44,I$98)</f>
        <v>41.815810820479889</v>
      </c>
      <c r="J44" s="282" cm="1">
        <f t="array" ref="J44">INDEX(FX_Calcs,$W44,J$98)</f>
        <v>48.440730846343094</v>
      </c>
      <c r="K44" s="282" cm="1">
        <f t="array" ref="K44">INDEX(FX_Calcs,$W44,K$98)</f>
        <v>54.65935510095332</v>
      </c>
      <c r="L44" s="282" cm="1">
        <f t="array" ref="L44">INDEX(FX_Calcs,$W44,L$98)</f>
        <v>60.992776056818045</v>
      </c>
      <c r="M44" s="282" cm="1">
        <f t="array" ref="M44">INDEX(FX_Calcs,$W44,M$98)</f>
        <v>61.851794059537085</v>
      </c>
      <c r="N44" s="282" cm="1">
        <f t="array" ref="N44">INDEX(FX_Calcs,$W44,N$98)</f>
        <v>57.569659165648631</v>
      </c>
      <c r="O44" s="282" cm="1">
        <f t="array" ref="O44">INDEX(FX_Calcs,$W44,O$98)</f>
        <v>47.670439843629346</v>
      </c>
      <c r="P44" s="286" cm="1">
        <f t="array" ref="P44">INDEX(FX_Calcs,$W44,P$98)</f>
        <v>39.813043343011891</v>
      </c>
      <c r="Q44" s="287" cm="1">
        <f t="array" ref="Q44">INDEX(FX_Calcs,$W44,Q$98)</f>
        <v>35.463445087874305</v>
      </c>
      <c r="R44" s="288">
        <f t="shared" si="15"/>
        <v>559.40446376853652</v>
      </c>
      <c r="S44" s="298">
        <f t="shared" si="16"/>
        <v>0.27970223188426824</v>
      </c>
      <c r="U44">
        <f t="shared" si="13"/>
        <v>41</v>
      </c>
      <c r="V44">
        <v>2</v>
      </c>
      <c r="W44">
        <f t="shared" si="14"/>
        <v>21</v>
      </c>
    </row>
    <row r="45" spans="2:23" ht="15.45" x14ac:dyDescent="0.4">
      <c r="B45" s="247" t="str" cm="1">
        <f t="array" ref="B45">INDEX(FX_Input,U45,V45)</f>
        <v>FIXTANK 129</v>
      </c>
      <c r="C45" s="221" t="str" cm="1">
        <f t="array" ref="C45">INDEX(FX_Setup,W45,3)</f>
        <v>Distillates</v>
      </c>
      <c r="D45" s="222" cm="1">
        <f t="array" ref="D45">INDEX(FX_Input,U45,D$98)</f>
        <v>966816</v>
      </c>
      <c r="E45" s="223" t="str">
        <f t="shared" si="12"/>
        <v>VOC</v>
      </c>
      <c r="F45" s="281" cm="1">
        <f t="array" ref="F45">INDEX(FX_Calcs,$W45,F$98)</f>
        <v>51.579636135659889</v>
      </c>
      <c r="G45" s="282" cm="1">
        <f t="array" ref="G45">INDEX(FX_Calcs,$W45,G$98)</f>
        <v>52.967799653916899</v>
      </c>
      <c r="H45" s="282" cm="1">
        <f t="array" ref="H45">INDEX(FX_Calcs,$W45,H$98)</f>
        <v>55.476033810129934</v>
      </c>
      <c r="I45" s="282" cm="1">
        <f t="array" ref="I45">INDEX(FX_Calcs,$W45,I$98)</f>
        <v>60.214767581491039</v>
      </c>
      <c r="J45" s="282" cm="1">
        <f t="array" ref="J45">INDEX(FX_Calcs,$W45,J$98)</f>
        <v>69.754652418734054</v>
      </c>
      <c r="K45" s="282" cm="1">
        <f t="array" ref="K45">INDEX(FX_Calcs,$W45,K$98)</f>
        <v>78.709471345372776</v>
      </c>
      <c r="L45" s="282" cm="1">
        <f t="array" ref="L45">INDEX(FX_Calcs,$W45,L$98)</f>
        <v>87.829597521817988</v>
      </c>
      <c r="M45" s="282" cm="1">
        <f t="array" ref="M45">INDEX(FX_Calcs,$W45,M$98)</f>
        <v>89.0665834457334</v>
      </c>
      <c r="N45" s="282" cm="1">
        <f t="array" ref="N45">INDEX(FX_Calcs,$W45,N$98)</f>
        <v>82.900309198534032</v>
      </c>
      <c r="O45" s="282" cm="1">
        <f t="array" ref="O45">INDEX(FX_Calcs,$W45,O$98)</f>
        <v>68.645433374826254</v>
      </c>
      <c r="P45" s="282" cm="1">
        <f t="array" ref="P45">INDEX(FX_Calcs,$W45,P$98)</f>
        <v>57.330782413937122</v>
      </c>
      <c r="Q45" s="283" cm="1">
        <f t="array" ref="Q45">INDEX(FX_Calcs,$W45,Q$98)</f>
        <v>51.067360926538996</v>
      </c>
      <c r="R45" s="276">
        <f t="shared" si="15"/>
        <v>805.54242782669223</v>
      </c>
      <c r="S45" s="284">
        <f t="shared" si="16"/>
        <v>0.40277121391334614</v>
      </c>
      <c r="U45">
        <f t="shared" si="13"/>
        <v>43</v>
      </c>
      <c r="V45">
        <v>2</v>
      </c>
      <c r="W45">
        <f t="shared" si="14"/>
        <v>22</v>
      </c>
    </row>
    <row r="46" spans="2:23" ht="15.45" x14ac:dyDescent="0.4">
      <c r="B46" s="247" t="str" cm="1">
        <f t="array" ref="B46">INDEX(FX_Input,U46,V46)</f>
        <v>FIXTANK 140</v>
      </c>
      <c r="C46" s="221" t="str" cm="1">
        <f t="array" ref="C46">INDEX(FX_Setup,W46,3)</f>
        <v>Out of Service/Demolished</v>
      </c>
      <c r="D46" s="222" cm="1">
        <f t="array" ref="D46">INDEX(FX_Input,U46,D$98)</f>
        <v>0</v>
      </c>
      <c r="E46" s="223" t="str">
        <f t="shared" si="12"/>
        <v>VOC</v>
      </c>
      <c r="F46" s="285" cm="1">
        <f t="array" ref="F46">INDEX(FX_Calcs,$W46,F$98)</f>
        <v>0</v>
      </c>
      <c r="G46" s="286" cm="1">
        <f t="array" ref="G46">INDEX(FX_Calcs,$W46,G$98)</f>
        <v>0</v>
      </c>
      <c r="H46" s="286" cm="1">
        <f t="array" ref="H46">INDEX(FX_Calcs,$W46,H$98)</f>
        <v>0</v>
      </c>
      <c r="I46" s="286" cm="1">
        <f t="array" ref="I46">INDEX(FX_Calcs,$W46,I$98)</f>
        <v>0</v>
      </c>
      <c r="J46" s="286" cm="1">
        <f t="array" ref="J46">INDEX(FX_Calcs,$W46,J$98)</f>
        <v>0</v>
      </c>
      <c r="K46" s="286" cm="1">
        <f t="array" ref="K46">INDEX(FX_Calcs,$W46,K$98)</f>
        <v>0</v>
      </c>
      <c r="L46" s="286" cm="1">
        <f t="array" ref="L46">INDEX(FX_Calcs,$W46,L$98)</f>
        <v>0</v>
      </c>
      <c r="M46" s="286" cm="1">
        <f t="array" ref="M46">INDEX(FX_Calcs,$W46,M$98)</f>
        <v>0</v>
      </c>
      <c r="N46" s="286" cm="1">
        <f t="array" ref="N46">INDEX(FX_Calcs,$W46,N$98)</f>
        <v>0</v>
      </c>
      <c r="O46" s="286" cm="1">
        <f t="array" ref="O46">INDEX(FX_Calcs,$W46,O$98)</f>
        <v>0</v>
      </c>
      <c r="P46" s="286" cm="1">
        <f t="array" ref="P46">INDEX(FX_Calcs,$W46,P$98)</f>
        <v>0</v>
      </c>
      <c r="Q46" s="287" cm="1">
        <f t="array" ref="Q46">INDEX(FX_Calcs,$W46,Q$98)</f>
        <v>0</v>
      </c>
      <c r="R46" s="288">
        <f t="shared" si="15"/>
        <v>0</v>
      </c>
      <c r="S46" s="224">
        <f t="shared" si="16"/>
        <v>0</v>
      </c>
      <c r="U46">
        <f t="shared" si="13"/>
        <v>45</v>
      </c>
      <c r="V46">
        <v>2</v>
      </c>
      <c r="W46">
        <f t="shared" si="14"/>
        <v>23</v>
      </c>
    </row>
    <row r="47" spans="2:23" ht="15.45" x14ac:dyDescent="0.4">
      <c r="B47" s="247" t="str" cm="1">
        <f t="array" ref="B47">INDEX(FX_Input,U47,V47)</f>
        <v>FIXTANK 141</v>
      </c>
      <c r="C47" s="221" t="str" cm="1">
        <f t="array" ref="C47">INDEX(FX_Setup,W47,3)</f>
        <v>Out of Service/Demolished</v>
      </c>
      <c r="D47" s="222" cm="1">
        <f t="array" ref="D47">INDEX(FX_Input,U47,D$98)</f>
        <v>0</v>
      </c>
      <c r="E47" s="223" t="str">
        <f t="shared" si="12"/>
        <v>VOC</v>
      </c>
      <c r="F47" s="285" cm="1">
        <f t="array" ref="F47">INDEX(FX_Calcs,$W47,F$98)</f>
        <v>0</v>
      </c>
      <c r="G47" s="286" cm="1">
        <f t="array" ref="G47">INDEX(FX_Calcs,$W47,G$98)</f>
        <v>0</v>
      </c>
      <c r="H47" s="286" cm="1">
        <f t="array" ref="H47">INDEX(FX_Calcs,$W47,H$98)</f>
        <v>0</v>
      </c>
      <c r="I47" s="286" cm="1">
        <f t="array" ref="I47">INDEX(FX_Calcs,$W47,I$98)</f>
        <v>0</v>
      </c>
      <c r="J47" s="286" cm="1">
        <f t="array" ref="J47">INDEX(FX_Calcs,$W47,J$98)</f>
        <v>0</v>
      </c>
      <c r="K47" s="286" cm="1">
        <f t="array" ref="K47">INDEX(FX_Calcs,$W47,K$98)</f>
        <v>0</v>
      </c>
      <c r="L47" s="286" cm="1">
        <f t="array" ref="L47">INDEX(FX_Calcs,$W47,L$98)</f>
        <v>0</v>
      </c>
      <c r="M47" s="286" cm="1">
        <f t="array" ref="M47">INDEX(FX_Calcs,$W47,M$98)</f>
        <v>0</v>
      </c>
      <c r="N47" s="286" cm="1">
        <f t="array" ref="N47">INDEX(FX_Calcs,$W47,N$98)</f>
        <v>0</v>
      </c>
      <c r="O47" s="286" cm="1">
        <f t="array" ref="O47">INDEX(FX_Calcs,$W47,O$98)</f>
        <v>0</v>
      </c>
      <c r="P47" s="286" cm="1">
        <f t="array" ref="P47">INDEX(FX_Calcs,$W47,P$98)</f>
        <v>0</v>
      </c>
      <c r="Q47" s="287" cm="1">
        <f t="array" ref="Q47">INDEX(FX_Calcs,$W47,Q$98)</f>
        <v>0</v>
      </c>
      <c r="R47" s="288">
        <f t="shared" si="15"/>
        <v>0</v>
      </c>
      <c r="S47" s="289">
        <f t="shared" si="16"/>
        <v>0</v>
      </c>
      <c r="U47">
        <f t="shared" si="13"/>
        <v>47</v>
      </c>
      <c r="V47">
        <v>2</v>
      </c>
      <c r="W47">
        <f t="shared" si="14"/>
        <v>24</v>
      </c>
    </row>
    <row r="48" spans="2:23" ht="15.45" x14ac:dyDescent="0.4">
      <c r="B48" s="247" t="str" cm="1">
        <f t="array" ref="B48">INDEX(FX_Input,U48,V48)</f>
        <v>FIXTANK 142</v>
      </c>
      <c r="C48" s="221" t="str" cm="1">
        <f t="array" ref="C48">INDEX(FX_Setup,W48,3)</f>
        <v>Out of Service/Demolished</v>
      </c>
      <c r="D48" s="222" cm="1">
        <f t="array" ref="D48">INDEX(FX_Input,U48,D$98)</f>
        <v>0</v>
      </c>
      <c r="E48" s="223" t="str">
        <f t="shared" si="12"/>
        <v>VOC</v>
      </c>
      <c r="F48" s="290" cm="1">
        <f t="array" ref="F48">INDEX(FX_Calcs,$W48,F$98)</f>
        <v>0</v>
      </c>
      <c r="G48" s="250" cm="1">
        <f t="array" ref="G48">INDEX(FX_Calcs,$W48,G$98)</f>
        <v>0</v>
      </c>
      <c r="H48" s="250" cm="1">
        <f t="array" ref="H48">INDEX(FX_Calcs,$W48,H$98)</f>
        <v>0</v>
      </c>
      <c r="I48" s="250" cm="1">
        <f t="array" ref="I48">INDEX(FX_Calcs,$W48,I$98)</f>
        <v>0</v>
      </c>
      <c r="J48" s="291" cm="1">
        <f t="array" ref="J48">INDEX(FX_Calcs,$W48,J$98)</f>
        <v>0</v>
      </c>
      <c r="K48" s="291" cm="1">
        <f t="array" ref="K48">INDEX(FX_Calcs,$W48,K$98)</f>
        <v>0</v>
      </c>
      <c r="L48" s="291" cm="1">
        <f t="array" ref="L48">INDEX(FX_Calcs,$W48,L$98)</f>
        <v>0</v>
      </c>
      <c r="M48" s="291" cm="1">
        <f t="array" ref="M48">INDEX(FX_Calcs,$W48,M$98)</f>
        <v>0</v>
      </c>
      <c r="N48" s="291" cm="1">
        <f t="array" ref="N48">INDEX(FX_Calcs,$W48,N$98)</f>
        <v>0</v>
      </c>
      <c r="O48" s="250" cm="1">
        <f t="array" ref="O48">INDEX(FX_Calcs,$W48,O$98)</f>
        <v>0</v>
      </c>
      <c r="P48" s="250" cm="1">
        <f t="array" ref="P48">INDEX(FX_Calcs,$W48,P$98)</f>
        <v>0</v>
      </c>
      <c r="Q48" s="292" cm="1">
        <f t="array" ref="Q48">INDEX(FX_Calcs,$W48,Q$98)</f>
        <v>0</v>
      </c>
      <c r="R48" s="299">
        <f t="shared" si="15"/>
        <v>0</v>
      </c>
      <c r="S48" s="294">
        <f t="shared" si="16"/>
        <v>0</v>
      </c>
      <c r="U48">
        <f t="shared" si="13"/>
        <v>49</v>
      </c>
      <c r="V48">
        <v>2</v>
      </c>
      <c r="W48">
        <f t="shared" si="14"/>
        <v>25</v>
      </c>
    </row>
    <row r="49" spans="2:23" ht="15.45" x14ac:dyDescent="0.4">
      <c r="B49" s="247" t="str" cm="1">
        <f t="array" ref="B49">INDEX(FX_Input,U49,V49)</f>
        <v>FIXTANK 143</v>
      </c>
      <c r="C49" s="221" t="str" cm="1">
        <f t="array" ref="C49">INDEX(FX_Setup,W49,3)</f>
        <v>Out of Service/Demolished</v>
      </c>
      <c r="D49" s="222" cm="1">
        <f t="array" ref="D49">INDEX(FX_Input,U49,D$98)</f>
        <v>0</v>
      </c>
      <c r="E49" s="223" t="str">
        <f t="shared" si="12"/>
        <v>VOC</v>
      </c>
      <c r="F49" s="281" cm="1">
        <f t="array" ref="F49">INDEX(FX_Calcs,$W49,F$98)</f>
        <v>0</v>
      </c>
      <c r="G49" s="282" cm="1">
        <f t="array" ref="G49">INDEX(FX_Calcs,$W49,G$98)</f>
        <v>0</v>
      </c>
      <c r="H49" s="282" cm="1">
        <f t="array" ref="H49">INDEX(FX_Calcs,$W49,H$98)</f>
        <v>0</v>
      </c>
      <c r="I49" s="282" cm="1">
        <f t="array" ref="I49">INDEX(FX_Calcs,$W49,I$98)</f>
        <v>0</v>
      </c>
      <c r="J49" s="282" cm="1">
        <f t="array" ref="J49">INDEX(FX_Calcs,$W49,J$98)</f>
        <v>0</v>
      </c>
      <c r="K49" s="282" cm="1">
        <f t="array" ref="K49">INDEX(FX_Calcs,$W49,K$98)</f>
        <v>0</v>
      </c>
      <c r="L49" s="282" cm="1">
        <f t="array" ref="L49">INDEX(FX_Calcs,$W49,L$98)</f>
        <v>0</v>
      </c>
      <c r="M49" s="282" cm="1">
        <f t="array" ref="M49">INDEX(FX_Calcs,$W49,M$98)</f>
        <v>0</v>
      </c>
      <c r="N49" s="282" cm="1">
        <f t="array" ref="N49">INDEX(FX_Calcs,$W49,N$98)</f>
        <v>0</v>
      </c>
      <c r="O49" s="282" cm="1">
        <f t="array" ref="O49">INDEX(FX_Calcs,$W49,O$98)</f>
        <v>0</v>
      </c>
      <c r="P49" s="282" cm="1">
        <f t="array" ref="P49">INDEX(FX_Calcs,$W49,P$98)</f>
        <v>0</v>
      </c>
      <c r="Q49" s="283" cm="1">
        <f t="array" ref="Q49">INDEX(FX_Calcs,$W49,Q$98)</f>
        <v>0</v>
      </c>
      <c r="R49" s="276">
        <f t="shared" si="15"/>
        <v>0</v>
      </c>
      <c r="S49" s="277">
        <f t="shared" si="16"/>
        <v>0</v>
      </c>
      <c r="U49">
        <f t="shared" si="13"/>
        <v>51</v>
      </c>
      <c r="V49">
        <v>2</v>
      </c>
      <c r="W49">
        <f t="shared" si="14"/>
        <v>26</v>
      </c>
    </row>
    <row r="50" spans="2:23" ht="15.45" x14ac:dyDescent="0.4">
      <c r="B50" s="247" t="str" cm="1">
        <f t="array" ref="B50">INDEX(FX_Input,U50,V50)</f>
        <v>FIXTANK 144</v>
      </c>
      <c r="C50" s="221" t="str" cm="1">
        <f t="array" ref="C50">INDEX(FX_Setup,W50,3)</f>
        <v>Out of Service/Demolished</v>
      </c>
      <c r="D50" s="222" cm="1">
        <f t="array" ref="D50">INDEX(FX_Input,U50,D$98)</f>
        <v>0</v>
      </c>
      <c r="E50" s="223" t="str">
        <f t="shared" si="12"/>
        <v>VOC</v>
      </c>
      <c r="F50" s="300" cm="1">
        <f t="array" ref="F50">INDEX(FX_Calcs,$W50,F$98)</f>
        <v>0</v>
      </c>
      <c r="G50" s="301" cm="1">
        <f t="array" ref="G50">INDEX(FX_Calcs,$W50,G$98)</f>
        <v>0</v>
      </c>
      <c r="H50" s="286" cm="1">
        <f t="array" ref="H50">INDEX(FX_Calcs,$W50,H$98)</f>
        <v>0</v>
      </c>
      <c r="I50" s="286" cm="1">
        <f t="array" ref="I50">INDEX(FX_Calcs,$W50,I$98)</f>
        <v>0</v>
      </c>
      <c r="J50" s="286" cm="1">
        <f t="array" ref="J50">INDEX(FX_Calcs,$W50,J$98)</f>
        <v>0</v>
      </c>
      <c r="K50" s="286" cm="1">
        <f t="array" ref="K50">INDEX(FX_Calcs,$W50,K$98)</f>
        <v>0</v>
      </c>
      <c r="L50" s="286" cm="1">
        <f t="array" ref="L50">INDEX(FX_Calcs,$W50,L$98)</f>
        <v>0</v>
      </c>
      <c r="M50" s="286" cm="1">
        <f t="array" ref="M50">INDEX(FX_Calcs,$W50,M$98)</f>
        <v>0</v>
      </c>
      <c r="N50" s="286" cm="1">
        <f t="array" ref="N50">INDEX(FX_Calcs,$W50,N$98)</f>
        <v>0</v>
      </c>
      <c r="O50" s="286" cm="1">
        <f t="array" ref="O50">INDEX(FX_Calcs,$W50,O$98)</f>
        <v>0</v>
      </c>
      <c r="P50" s="286" cm="1">
        <f t="array" ref="P50">INDEX(FX_Calcs,$W50,P$98)</f>
        <v>0</v>
      </c>
      <c r="Q50" s="296" cm="1">
        <f t="array" ref="Q50">INDEX(FX_Calcs,$W50,Q$98)</f>
        <v>0</v>
      </c>
      <c r="R50" s="288">
        <f t="shared" si="15"/>
        <v>0</v>
      </c>
      <c r="S50" s="302">
        <f t="shared" si="16"/>
        <v>0</v>
      </c>
      <c r="U50">
        <f t="shared" si="13"/>
        <v>53</v>
      </c>
      <c r="V50">
        <v>2</v>
      </c>
      <c r="W50">
        <f t="shared" si="14"/>
        <v>27</v>
      </c>
    </row>
    <row r="51" spans="2:23" ht="15.45" x14ac:dyDescent="0.4">
      <c r="B51" s="247" t="str" cm="1">
        <f t="array" ref="B51">INDEX(FX_Input,U51,V51)</f>
        <v>FIXTANK 145</v>
      </c>
      <c r="C51" s="221" t="str" cm="1">
        <f t="array" ref="C51">INDEX(FX_Setup,W51,3)</f>
        <v>Out of Service/Demolished</v>
      </c>
      <c r="D51" s="222" cm="1">
        <f t="array" ref="D51">INDEX(FX_Input,U51,D$98)</f>
        <v>0</v>
      </c>
      <c r="E51" s="223" t="str">
        <f t="shared" si="12"/>
        <v>VOC</v>
      </c>
      <c r="F51" s="281" cm="1">
        <f t="array" ref="F51">INDEX(FX_Calcs,$W51,F$98)</f>
        <v>0</v>
      </c>
      <c r="G51" s="282" cm="1">
        <f t="array" ref="G51">INDEX(FX_Calcs,$W51,G$98)</f>
        <v>0</v>
      </c>
      <c r="H51" s="282" cm="1">
        <f t="array" ref="H51">INDEX(FX_Calcs,$W51,H$98)</f>
        <v>0</v>
      </c>
      <c r="I51" s="282" cm="1">
        <f t="array" ref="I51">INDEX(FX_Calcs,$W51,I$98)</f>
        <v>0</v>
      </c>
      <c r="J51" s="282" cm="1">
        <f t="array" ref="J51">INDEX(FX_Calcs,$W51,J$98)</f>
        <v>0</v>
      </c>
      <c r="K51" s="282" cm="1">
        <f t="array" ref="K51">INDEX(FX_Calcs,$W51,K$98)</f>
        <v>0</v>
      </c>
      <c r="L51" s="282" cm="1">
        <f t="array" ref="L51">INDEX(FX_Calcs,$W51,L$98)</f>
        <v>0</v>
      </c>
      <c r="M51" s="282" cm="1">
        <f t="array" ref="M51">INDEX(FX_Calcs,$W51,M$98)</f>
        <v>0</v>
      </c>
      <c r="N51" s="282" cm="1">
        <f t="array" ref="N51">INDEX(FX_Calcs,$W51,N$98)</f>
        <v>0</v>
      </c>
      <c r="O51" s="282" cm="1">
        <f t="array" ref="O51">INDEX(FX_Calcs,$W51,O$98)</f>
        <v>0</v>
      </c>
      <c r="P51" s="282" cm="1">
        <f t="array" ref="P51">INDEX(FX_Calcs,$W51,P$98)</f>
        <v>0</v>
      </c>
      <c r="Q51" s="283" cm="1">
        <f t="array" ref="Q51">INDEX(FX_Calcs,$W51,Q$98)</f>
        <v>0</v>
      </c>
      <c r="R51" s="276">
        <f t="shared" si="15"/>
        <v>0</v>
      </c>
      <c r="S51" s="277">
        <f t="shared" si="16"/>
        <v>0</v>
      </c>
      <c r="U51">
        <f t="shared" si="13"/>
        <v>55</v>
      </c>
      <c r="V51">
        <v>2</v>
      </c>
      <c r="W51">
        <f t="shared" si="14"/>
        <v>28</v>
      </c>
    </row>
    <row r="52" spans="2:23" ht="15.45" x14ac:dyDescent="0.4">
      <c r="B52" s="247" t="str" cm="1">
        <f t="array" ref="B52">INDEX(FX_Input,U52,V52)</f>
        <v>FIXTANK 146</v>
      </c>
      <c r="C52" s="221" t="str" cm="1">
        <f t="array" ref="C52">INDEX(FX_Setup,W52,3)</f>
        <v>Out of Service/Demolished</v>
      </c>
      <c r="D52" s="222" cm="1">
        <f t="array" ref="D52">INDEX(FX_Input,U52,D$98)</f>
        <v>0</v>
      </c>
      <c r="E52" s="223" t="str">
        <f t="shared" si="12"/>
        <v>VOC</v>
      </c>
      <c r="F52" s="303" cm="1">
        <f t="array" ref="F52">INDEX(FX_Calcs,$W52,F$98)</f>
        <v>0</v>
      </c>
      <c r="G52" s="249" cm="1">
        <f t="array" ref="G52">INDEX(FX_Calcs,$W52,G$98)</f>
        <v>0</v>
      </c>
      <c r="H52" s="250" cm="1">
        <f t="array" ref="H52">INDEX(FX_Calcs,$W52,H$98)</f>
        <v>0</v>
      </c>
      <c r="I52" s="250" cm="1">
        <f t="array" ref="I52">INDEX(FX_Calcs,$W52,I$98)</f>
        <v>0</v>
      </c>
      <c r="J52" s="250" cm="1">
        <f t="array" ref="J52">INDEX(FX_Calcs,$W52,J$98)</f>
        <v>0</v>
      </c>
      <c r="K52" s="250" cm="1">
        <f t="array" ref="K52">INDEX(FX_Calcs,$W52,K$98)</f>
        <v>0</v>
      </c>
      <c r="L52" s="250" cm="1">
        <f t="array" ref="L52">INDEX(FX_Calcs,$W52,L$98)</f>
        <v>0</v>
      </c>
      <c r="M52" s="250" cm="1">
        <f t="array" ref="M52">INDEX(FX_Calcs,$W52,M$98)</f>
        <v>0</v>
      </c>
      <c r="N52" s="250" cm="1">
        <f t="array" ref="N52">INDEX(FX_Calcs,$W52,N$98)</f>
        <v>0</v>
      </c>
      <c r="O52" s="250" cm="1">
        <f t="array" ref="O52">INDEX(FX_Calcs,$W52,O$98)</f>
        <v>0</v>
      </c>
      <c r="P52" s="250" cm="1">
        <f t="array" ref="P52">INDEX(FX_Calcs,$W52,P$98)</f>
        <v>0</v>
      </c>
      <c r="Q52" s="292" cm="1">
        <f t="array" ref="Q52">INDEX(FX_Calcs,$W52,Q$98)</f>
        <v>0</v>
      </c>
      <c r="R52" s="293">
        <f t="shared" si="15"/>
        <v>0</v>
      </c>
      <c r="S52" s="294">
        <f t="shared" si="16"/>
        <v>0</v>
      </c>
      <c r="U52">
        <f t="shared" si="13"/>
        <v>57</v>
      </c>
      <c r="V52">
        <v>2</v>
      </c>
      <c r="W52">
        <f t="shared" si="14"/>
        <v>29</v>
      </c>
    </row>
    <row r="53" spans="2:23" ht="15.45" x14ac:dyDescent="0.4">
      <c r="B53" s="247" t="str" cm="1">
        <f t="array" ref="B53">INDEX(FX_Input,U53,V53)</f>
        <v>FIXTANK 147</v>
      </c>
      <c r="C53" s="221" t="str" cm="1">
        <f t="array" ref="C53">INDEX(FX_Setup,W53,3)</f>
        <v>Out of Service/Demolished</v>
      </c>
      <c r="D53" s="222" cm="1">
        <f t="array" ref="D53">INDEX(FX_Input,U53,D$98)</f>
        <v>0</v>
      </c>
      <c r="E53" s="223" t="str">
        <f t="shared" si="12"/>
        <v>VOC</v>
      </c>
      <c r="F53" s="303" cm="1">
        <f t="array" ref="F53">INDEX(FX_Calcs,$W53,F$98)</f>
        <v>0</v>
      </c>
      <c r="G53" s="249" cm="1">
        <f t="array" ref="G53">INDEX(FX_Calcs,$W53,G$98)</f>
        <v>0</v>
      </c>
      <c r="H53" s="250" cm="1">
        <f t="array" ref="H53">INDEX(FX_Calcs,$W53,H$98)</f>
        <v>0</v>
      </c>
      <c r="I53" s="250" cm="1">
        <f t="array" ref="I53">INDEX(FX_Calcs,$W53,I$98)</f>
        <v>0</v>
      </c>
      <c r="J53" s="250" cm="1">
        <f t="array" ref="J53">INDEX(FX_Calcs,$W53,J$98)</f>
        <v>0</v>
      </c>
      <c r="K53" s="250" cm="1">
        <f t="array" ref="K53">INDEX(FX_Calcs,$W53,K$98)</f>
        <v>0</v>
      </c>
      <c r="L53" s="250" cm="1">
        <f t="array" ref="L53">INDEX(FX_Calcs,$W53,L$98)</f>
        <v>0</v>
      </c>
      <c r="M53" s="250" cm="1">
        <f t="array" ref="M53">INDEX(FX_Calcs,$W53,M$98)</f>
        <v>0</v>
      </c>
      <c r="N53" s="250" cm="1">
        <f t="array" ref="N53">INDEX(FX_Calcs,$W53,N$98)</f>
        <v>0</v>
      </c>
      <c r="O53" s="250" cm="1">
        <f t="array" ref="O53">INDEX(FX_Calcs,$W53,O$98)</f>
        <v>0</v>
      </c>
      <c r="P53" s="250" cm="1">
        <f t="array" ref="P53">INDEX(FX_Calcs,$W53,P$98)</f>
        <v>0</v>
      </c>
      <c r="Q53" s="292" cm="1">
        <f t="array" ref="Q53">INDEX(FX_Calcs,$W53,Q$98)</f>
        <v>0</v>
      </c>
      <c r="R53" s="293">
        <f t="shared" si="15"/>
        <v>0</v>
      </c>
      <c r="S53" s="280">
        <f t="shared" si="16"/>
        <v>0</v>
      </c>
      <c r="U53">
        <f t="shared" si="13"/>
        <v>59</v>
      </c>
      <c r="V53">
        <v>2</v>
      </c>
      <c r="W53">
        <f t="shared" si="14"/>
        <v>30</v>
      </c>
    </row>
    <row r="54" spans="2:23" ht="15.45" x14ac:dyDescent="0.4">
      <c r="B54" s="247" t="str" cm="1">
        <f t="array" ref="B54">INDEX(FX_Input,U54,V54)</f>
        <v>FIXTANK 148</v>
      </c>
      <c r="C54" s="221" t="str" cm="1">
        <f t="array" ref="C54">INDEX(FX_Setup,W54,3)</f>
        <v>Out of Service/Demolished</v>
      </c>
      <c r="D54" s="222" cm="1">
        <f t="array" ref="D54">INDEX(FX_Input,U54,D$98)</f>
        <v>0</v>
      </c>
      <c r="E54" s="223" t="str">
        <f t="shared" si="12"/>
        <v>VOC</v>
      </c>
      <c r="F54" s="303" cm="1">
        <f t="array" ref="F54">INDEX(FX_Calcs,$W54,F$98)</f>
        <v>0</v>
      </c>
      <c r="G54" s="249" cm="1">
        <f t="array" ref="G54">INDEX(FX_Calcs,$W54,G$98)</f>
        <v>0</v>
      </c>
      <c r="H54" s="250" cm="1">
        <f t="array" ref="H54">INDEX(FX_Calcs,$W54,H$98)</f>
        <v>0</v>
      </c>
      <c r="I54" s="250" cm="1">
        <f t="array" ref="I54">INDEX(FX_Calcs,$W54,I$98)</f>
        <v>0</v>
      </c>
      <c r="J54" s="250" cm="1">
        <f t="array" ref="J54">INDEX(FX_Calcs,$W54,J$98)</f>
        <v>0</v>
      </c>
      <c r="K54" s="250" cm="1">
        <f t="array" ref="K54">INDEX(FX_Calcs,$W54,K$98)</f>
        <v>0</v>
      </c>
      <c r="L54" s="250" cm="1">
        <f t="array" ref="L54">INDEX(FX_Calcs,$W54,L$98)</f>
        <v>0</v>
      </c>
      <c r="M54" s="250" cm="1">
        <f t="array" ref="M54">INDEX(FX_Calcs,$W54,M$98)</f>
        <v>0</v>
      </c>
      <c r="N54" s="250" cm="1">
        <f t="array" ref="N54">INDEX(FX_Calcs,$W54,N$98)</f>
        <v>0</v>
      </c>
      <c r="O54" s="250" cm="1">
        <f t="array" ref="O54">INDEX(FX_Calcs,$W54,O$98)</f>
        <v>0</v>
      </c>
      <c r="P54" s="250" cm="1">
        <f t="array" ref="P54">INDEX(FX_Calcs,$W54,P$98)</f>
        <v>0</v>
      </c>
      <c r="Q54" s="292" cm="1">
        <f t="array" ref="Q54">INDEX(FX_Calcs,$W54,Q$98)</f>
        <v>0</v>
      </c>
      <c r="R54" s="293">
        <f t="shared" si="15"/>
        <v>0</v>
      </c>
      <c r="S54" s="280">
        <f t="shared" si="16"/>
        <v>0</v>
      </c>
      <c r="U54">
        <f t="shared" si="13"/>
        <v>61</v>
      </c>
      <c r="V54">
        <v>2</v>
      </c>
      <c r="W54">
        <f t="shared" si="14"/>
        <v>31</v>
      </c>
    </row>
    <row r="55" spans="2:23" ht="15.45" x14ac:dyDescent="0.4">
      <c r="B55" s="247" t="str" cm="1">
        <f t="array" ref="B55">INDEX(FX_Input,U55,V55)</f>
        <v>FIXTANK 149</v>
      </c>
      <c r="C55" s="221" t="str" cm="1">
        <f t="array" ref="C55">INDEX(FX_Setup,W55,3)</f>
        <v>Out of Service/Demolished</v>
      </c>
      <c r="D55" s="222" cm="1">
        <f t="array" ref="D55">INDEX(FX_Input,U55,D$98)</f>
        <v>0</v>
      </c>
      <c r="E55" s="223" t="str">
        <f t="shared" si="12"/>
        <v>VOC</v>
      </c>
      <c r="F55" s="281" cm="1">
        <f t="array" ref="F55">INDEX(FX_Calcs,$W55,F$98)</f>
        <v>0</v>
      </c>
      <c r="G55" s="282" cm="1">
        <f t="array" ref="G55">INDEX(FX_Calcs,$W55,G$98)</f>
        <v>0</v>
      </c>
      <c r="H55" s="282" cm="1">
        <f t="array" ref="H55">INDEX(FX_Calcs,$W55,H$98)</f>
        <v>0</v>
      </c>
      <c r="I55" s="282" cm="1">
        <f t="array" ref="I55">INDEX(FX_Calcs,$W55,I$98)</f>
        <v>0</v>
      </c>
      <c r="J55" s="282" cm="1">
        <f t="array" ref="J55">INDEX(FX_Calcs,$W55,J$98)</f>
        <v>0</v>
      </c>
      <c r="K55" s="282" cm="1">
        <f t="array" ref="K55">INDEX(FX_Calcs,$W55,K$98)</f>
        <v>0</v>
      </c>
      <c r="L55" s="282" cm="1">
        <f t="array" ref="L55">INDEX(FX_Calcs,$W55,L$98)</f>
        <v>0</v>
      </c>
      <c r="M55" s="282" cm="1">
        <f t="array" ref="M55">INDEX(FX_Calcs,$W55,M$98)</f>
        <v>0</v>
      </c>
      <c r="N55" s="282" cm="1">
        <f t="array" ref="N55">INDEX(FX_Calcs,$W55,N$98)</f>
        <v>0</v>
      </c>
      <c r="O55" s="286" cm="1">
        <f t="array" ref="O55">INDEX(FX_Calcs,$W55,O$98)</f>
        <v>0</v>
      </c>
      <c r="P55" s="286" cm="1">
        <f t="array" ref="P55">INDEX(FX_Calcs,$W55,P$98)</f>
        <v>0</v>
      </c>
      <c r="Q55" s="296" cm="1">
        <f t="array" ref="Q55">INDEX(FX_Calcs,$W55,Q$98)</f>
        <v>0</v>
      </c>
      <c r="R55" s="288">
        <f t="shared" si="15"/>
        <v>0</v>
      </c>
      <c r="S55" s="298">
        <f t="shared" si="16"/>
        <v>0</v>
      </c>
      <c r="U55">
        <f t="shared" si="13"/>
        <v>63</v>
      </c>
      <c r="V55">
        <v>2</v>
      </c>
      <c r="W55">
        <f t="shared" si="14"/>
        <v>32</v>
      </c>
    </row>
    <row r="56" spans="2:23" ht="15.45" x14ac:dyDescent="0.4">
      <c r="B56" s="247" t="str" cm="1">
        <f t="array" ref="B56">INDEX(FX_Input,U56,V56)</f>
        <v>FIXTANK 150</v>
      </c>
      <c r="C56" s="221" t="str" cm="1">
        <f t="array" ref="C56">INDEX(FX_Setup,W56,3)</f>
        <v>Out of Service/Demolished</v>
      </c>
      <c r="D56" s="222" cm="1">
        <f t="array" ref="D56">INDEX(FX_Input,U56,D$98)</f>
        <v>0</v>
      </c>
      <c r="E56" s="223" t="str">
        <f t="shared" si="12"/>
        <v>VOC</v>
      </c>
      <c r="F56" s="300" cm="1">
        <f t="array" ref="F56">INDEX(FX_Calcs,$W56,F$98)</f>
        <v>0</v>
      </c>
      <c r="G56" s="301" cm="1">
        <f t="array" ref="G56">INDEX(FX_Calcs,$W56,G$98)</f>
        <v>0</v>
      </c>
      <c r="H56" s="301" cm="1">
        <f t="array" ref="H56">INDEX(FX_Calcs,$W56,H$98)</f>
        <v>0</v>
      </c>
      <c r="I56" s="301" cm="1">
        <f t="array" ref="I56">INDEX(FX_Calcs,$W56,I$98)</f>
        <v>0</v>
      </c>
      <c r="J56" s="301" cm="1">
        <f t="array" ref="J56">INDEX(FX_Calcs,$W56,J$98)</f>
        <v>0</v>
      </c>
      <c r="K56" s="301" cm="1">
        <f t="array" ref="K56">INDEX(FX_Calcs,$W56,K$98)</f>
        <v>0</v>
      </c>
      <c r="L56" s="301" cm="1">
        <f t="array" ref="L56">INDEX(FX_Calcs,$W56,L$98)</f>
        <v>0</v>
      </c>
      <c r="M56" s="301" cm="1">
        <f t="array" ref="M56">INDEX(FX_Calcs,$W56,M$98)</f>
        <v>0</v>
      </c>
      <c r="N56" s="301" cm="1">
        <f t="array" ref="N56">INDEX(FX_Calcs,$W56,N$98)</f>
        <v>0</v>
      </c>
      <c r="O56" s="301" cm="1">
        <f t="array" ref="O56">INDEX(FX_Calcs,$W56,O$98)</f>
        <v>0</v>
      </c>
      <c r="P56" s="301" cm="1">
        <f t="array" ref="P56">INDEX(FX_Calcs,$W56,P$98)</f>
        <v>0</v>
      </c>
      <c r="Q56" s="296" cm="1">
        <f t="array" ref="Q56">INDEX(FX_Calcs,$W56,Q$98)</f>
        <v>0</v>
      </c>
      <c r="R56" s="288">
        <f t="shared" si="15"/>
        <v>0</v>
      </c>
      <c r="S56" s="304">
        <f t="shared" si="16"/>
        <v>0</v>
      </c>
      <c r="U56">
        <f t="shared" si="13"/>
        <v>65</v>
      </c>
      <c r="V56">
        <v>2</v>
      </c>
      <c r="W56">
        <f t="shared" si="14"/>
        <v>33</v>
      </c>
    </row>
    <row r="57" spans="2:23" ht="15.45" x14ac:dyDescent="0.4">
      <c r="B57" s="247" t="str" cm="1">
        <f t="array" ref="B57">INDEX(FX_Input,U57,V57)</f>
        <v>FIXTANK 151</v>
      </c>
      <c r="C57" s="221" t="str" cm="1">
        <f t="array" ref="C57">INDEX(FX_Setup,W57,3)</f>
        <v>Out of Service/Demolished</v>
      </c>
      <c r="D57" s="222" cm="1">
        <f t="array" ref="D57">INDEX(FX_Input,U57,D$98)</f>
        <v>0</v>
      </c>
      <c r="E57" s="223" t="str">
        <f t="shared" si="12"/>
        <v>VOC</v>
      </c>
      <c r="F57" s="290" cm="1">
        <f t="array" ref="F57">INDEX(FX_Calcs,$W57,F$98)</f>
        <v>0</v>
      </c>
      <c r="G57" s="250" cm="1">
        <f t="array" ref="G57">INDEX(FX_Calcs,$W57,G$98)</f>
        <v>0</v>
      </c>
      <c r="H57" s="291" cm="1">
        <f t="array" ref="H57">INDEX(FX_Calcs,$W57,H$98)</f>
        <v>0</v>
      </c>
      <c r="I57" s="291" cm="1">
        <f t="array" ref="I57">INDEX(FX_Calcs,$W57,I$98)</f>
        <v>0</v>
      </c>
      <c r="J57" s="291" cm="1">
        <f t="array" ref="J57">INDEX(FX_Calcs,$W57,J$98)</f>
        <v>0</v>
      </c>
      <c r="K57" s="291" cm="1">
        <f t="array" ref="K57">INDEX(FX_Calcs,$W57,K$98)</f>
        <v>0</v>
      </c>
      <c r="L57" s="221" cm="1">
        <f t="array" ref="L57">INDEX(FX_Calcs,$W57,L$98)</f>
        <v>0</v>
      </c>
      <c r="M57" s="291" cm="1">
        <f t="array" ref="M57">INDEX(FX_Calcs,$W57,M$98)</f>
        <v>0</v>
      </c>
      <c r="N57" s="291" cm="1">
        <f t="array" ref="N57">INDEX(FX_Calcs,$W57,N$98)</f>
        <v>0</v>
      </c>
      <c r="O57" s="291" cm="1">
        <f t="array" ref="O57">INDEX(FX_Calcs,$W57,O$98)</f>
        <v>0</v>
      </c>
      <c r="P57" s="291" cm="1">
        <f t="array" ref="P57">INDEX(FX_Calcs,$W57,P$98)</f>
        <v>0</v>
      </c>
      <c r="Q57" s="305" cm="1">
        <f t="array" ref="Q57">INDEX(FX_Calcs,$W57,Q$98)</f>
        <v>0</v>
      </c>
      <c r="R57" s="299">
        <f t="shared" si="15"/>
        <v>0</v>
      </c>
      <c r="S57" s="294">
        <f t="shared" si="16"/>
        <v>0</v>
      </c>
      <c r="U57">
        <f t="shared" si="13"/>
        <v>67</v>
      </c>
      <c r="V57">
        <v>2</v>
      </c>
      <c r="W57">
        <f t="shared" si="14"/>
        <v>34</v>
      </c>
    </row>
    <row r="58" spans="2:23" ht="15.45" x14ac:dyDescent="0.4">
      <c r="B58" s="247" t="str" cm="1">
        <f t="array" ref="B58">INDEX(FX_Input,U58,V58)</f>
        <v>FIXTANK 152</v>
      </c>
      <c r="C58" s="221" t="str" cm="1">
        <f t="array" ref="C58">INDEX(FX_Setup,W58,3)</f>
        <v>Out of Service/Demolished</v>
      </c>
      <c r="D58" s="222" cm="1">
        <f t="array" ref="D58">INDEX(FX_Input,U58,D$98)</f>
        <v>0</v>
      </c>
      <c r="E58" s="223" t="str">
        <f t="shared" si="12"/>
        <v>VOC</v>
      </c>
      <c r="F58" s="300" cm="1">
        <f t="array" ref="F58">INDEX(FX_Calcs,$W58,F$98)</f>
        <v>0</v>
      </c>
      <c r="G58" s="301" cm="1">
        <f t="array" ref="G58">INDEX(FX_Calcs,$W58,G$98)</f>
        <v>0</v>
      </c>
      <c r="H58" s="286" cm="1">
        <f t="array" ref="H58">INDEX(FX_Calcs,$W58,H$98)</f>
        <v>0</v>
      </c>
      <c r="I58" s="286" cm="1">
        <f t="array" ref="I58">INDEX(FX_Calcs,$W58,I$98)</f>
        <v>0</v>
      </c>
      <c r="J58" s="286" cm="1">
        <f t="array" ref="J58">INDEX(FX_Calcs,$W58,J$98)</f>
        <v>0</v>
      </c>
      <c r="K58" s="286" cm="1">
        <f t="array" ref="K58">INDEX(FX_Calcs,$W58,K$98)</f>
        <v>0</v>
      </c>
      <c r="L58" s="286" cm="1">
        <f t="array" ref="L58">INDEX(FX_Calcs,$W58,L$98)</f>
        <v>0</v>
      </c>
      <c r="M58" s="286" cm="1">
        <f t="array" ref="M58">INDEX(FX_Calcs,$W58,M$98)</f>
        <v>0</v>
      </c>
      <c r="N58" s="286" cm="1">
        <f t="array" ref="N58">INDEX(FX_Calcs,$W58,N$98)</f>
        <v>0</v>
      </c>
      <c r="O58" s="286" cm="1">
        <f t="array" ref="O58">INDEX(FX_Calcs,$W58,O$98)</f>
        <v>0</v>
      </c>
      <c r="P58" s="286" cm="1">
        <f t="array" ref="P58">INDEX(FX_Calcs,$W58,P$98)</f>
        <v>0</v>
      </c>
      <c r="Q58" s="287" cm="1">
        <f t="array" ref="Q58">INDEX(FX_Calcs,$W58,Q$98)</f>
        <v>0</v>
      </c>
      <c r="R58" s="288">
        <f t="shared" si="15"/>
        <v>0</v>
      </c>
      <c r="S58" s="304">
        <f t="shared" si="16"/>
        <v>0</v>
      </c>
      <c r="U58">
        <f t="shared" si="13"/>
        <v>69</v>
      </c>
      <c r="V58">
        <v>2</v>
      </c>
      <c r="W58">
        <f t="shared" si="14"/>
        <v>35</v>
      </c>
    </row>
    <row r="59" spans="2:23" ht="15.45" x14ac:dyDescent="0.4">
      <c r="B59" s="247" t="str" cm="1">
        <f t="array" ref="B59">INDEX(FX_Input,U59,V59)</f>
        <v>FIXTANK 157</v>
      </c>
      <c r="C59" s="221" t="str" cm="1">
        <f t="array" ref="C59">INDEX(FX_Setup,W59,3)</f>
        <v>Out of Service/Demolished</v>
      </c>
      <c r="D59" s="222" cm="1">
        <f t="array" ref="D59">INDEX(FX_Input,U59,D$98)</f>
        <v>0</v>
      </c>
      <c r="E59" s="223" t="str">
        <f t="shared" si="12"/>
        <v>VOC</v>
      </c>
      <c r="F59" s="290" cm="1">
        <f t="array" ref="F59">INDEX(FX_Calcs,$W59,F$98)</f>
        <v>0</v>
      </c>
      <c r="G59" s="250" cm="1">
        <f t="array" ref="G59">INDEX(FX_Calcs,$W59,G$98)</f>
        <v>0</v>
      </c>
      <c r="H59" s="291" cm="1">
        <f t="array" ref="H59">INDEX(FX_Calcs,$W59,H$98)</f>
        <v>0</v>
      </c>
      <c r="I59" s="291" cm="1">
        <f t="array" ref="I59">INDEX(FX_Calcs,$W59,I$98)</f>
        <v>0</v>
      </c>
      <c r="J59" s="291" cm="1">
        <f t="array" ref="J59">INDEX(FX_Calcs,$W59,J$98)</f>
        <v>0</v>
      </c>
      <c r="K59" s="291" cm="1">
        <f t="array" ref="K59">INDEX(FX_Calcs,$W59,K$98)</f>
        <v>0</v>
      </c>
      <c r="L59" s="221" cm="1">
        <f t="array" ref="L59">INDEX(FX_Calcs,$W59,L$98)</f>
        <v>0</v>
      </c>
      <c r="M59" s="291" cm="1">
        <f t="array" ref="M59">INDEX(FX_Calcs,$W59,M$98)</f>
        <v>0</v>
      </c>
      <c r="N59" s="291" cm="1">
        <f t="array" ref="N59">INDEX(FX_Calcs,$W59,N$98)</f>
        <v>0</v>
      </c>
      <c r="O59" s="291" cm="1">
        <f t="array" ref="O59">INDEX(FX_Calcs,$W59,O$98)</f>
        <v>0</v>
      </c>
      <c r="P59" s="291" cm="1">
        <f t="array" ref="P59">INDEX(FX_Calcs,$W59,P$98)</f>
        <v>0</v>
      </c>
      <c r="Q59" s="305" cm="1">
        <f t="array" ref="Q59">INDEX(FX_Calcs,$W59,Q$98)</f>
        <v>0</v>
      </c>
      <c r="R59" s="299">
        <f t="shared" si="15"/>
        <v>0</v>
      </c>
      <c r="S59" s="294">
        <f t="shared" si="16"/>
        <v>0</v>
      </c>
      <c r="U59">
        <f t="shared" si="13"/>
        <v>71</v>
      </c>
      <c r="V59">
        <v>2</v>
      </c>
      <c r="W59">
        <f t="shared" si="14"/>
        <v>36</v>
      </c>
    </row>
    <row r="60" spans="2:23" ht="15.45" x14ac:dyDescent="0.4">
      <c r="B60" s="247" t="str" cm="1">
        <f t="array" ref="B60">INDEX(FX_Input,U60,V60)</f>
        <v>FIXTANK 158</v>
      </c>
      <c r="C60" s="221" t="str" cm="1">
        <f t="array" ref="C60">INDEX(FX_Setup,W60,3)</f>
        <v>Out of Service/Demolished</v>
      </c>
      <c r="D60" s="222" cm="1">
        <f t="array" ref="D60">INDEX(FX_Input,U60,D$98)</f>
        <v>0</v>
      </c>
      <c r="E60" s="223" t="str">
        <f t="shared" si="12"/>
        <v>VOC</v>
      </c>
      <c r="F60" s="281" cm="1">
        <f t="array" ref="F60">INDEX(FX_Calcs,$W60,F$98)</f>
        <v>0</v>
      </c>
      <c r="G60" s="282" cm="1">
        <f t="array" ref="G60">INDEX(FX_Calcs,$W60,G$98)</f>
        <v>0</v>
      </c>
      <c r="H60" s="282" cm="1">
        <f t="array" ref="H60">INDEX(FX_Calcs,$W60,H$98)</f>
        <v>0</v>
      </c>
      <c r="I60" s="282" cm="1">
        <f t="array" ref="I60">INDEX(FX_Calcs,$W60,I$98)</f>
        <v>0</v>
      </c>
      <c r="J60" s="282" cm="1">
        <f t="array" ref="J60">INDEX(FX_Calcs,$W60,J$98)</f>
        <v>0</v>
      </c>
      <c r="K60" s="282" cm="1">
        <f t="array" ref="K60">INDEX(FX_Calcs,$W60,K$98)</f>
        <v>0</v>
      </c>
      <c r="L60" s="282" cm="1">
        <f t="array" ref="L60">INDEX(FX_Calcs,$W60,L$98)</f>
        <v>0</v>
      </c>
      <c r="M60" s="282" cm="1">
        <f t="array" ref="M60">INDEX(FX_Calcs,$W60,M$98)</f>
        <v>0</v>
      </c>
      <c r="N60" s="282" cm="1">
        <f t="array" ref="N60">INDEX(FX_Calcs,$W60,N$98)</f>
        <v>0</v>
      </c>
      <c r="O60" s="282" cm="1">
        <f t="array" ref="O60">INDEX(FX_Calcs,$W60,O$98)</f>
        <v>0</v>
      </c>
      <c r="P60" s="282" cm="1">
        <f t="array" ref="P60">INDEX(FX_Calcs,$W60,P$98)</f>
        <v>0</v>
      </c>
      <c r="Q60" s="283" cm="1">
        <f t="array" ref="Q60">INDEX(FX_Calcs,$W60,Q$98)</f>
        <v>0</v>
      </c>
      <c r="R60" s="276">
        <f t="shared" si="15"/>
        <v>0</v>
      </c>
      <c r="S60" s="277">
        <f t="shared" si="16"/>
        <v>0</v>
      </c>
      <c r="U60">
        <f t="shared" si="13"/>
        <v>73</v>
      </c>
      <c r="V60">
        <v>2</v>
      </c>
      <c r="W60">
        <f t="shared" si="14"/>
        <v>37</v>
      </c>
    </row>
    <row r="61" spans="2:23" ht="15.45" x14ac:dyDescent="0.4">
      <c r="B61" s="247" t="str" cm="1">
        <f t="array" ref="B61">INDEX(FX_Input,U61,V61)</f>
        <v>FIXTANK 166</v>
      </c>
      <c r="C61" s="221" t="str" cm="1">
        <f t="array" ref="C61">INDEX(FX_Setup,W61,3)</f>
        <v>Distillates</v>
      </c>
      <c r="D61" s="222" cm="1">
        <f t="array" ref="D61">INDEX(FX_Input,U61,D$98)</f>
        <v>11328</v>
      </c>
      <c r="E61" s="223" t="str">
        <f t="shared" si="12"/>
        <v>VOC</v>
      </c>
      <c r="F61" s="281" cm="1">
        <f t="array" ref="F61">INDEX(FX_Calcs,$W61,F$98)</f>
        <v>0.60434882970984682</v>
      </c>
      <c r="G61" s="282" cm="1">
        <f t="array" ref="G61">INDEX(FX_Calcs,$W61,G$98)</f>
        <v>0.62061367879676244</v>
      </c>
      <c r="H61" s="282" cm="1">
        <f t="array" ref="H61">INDEX(FX_Calcs,$W61,H$98)</f>
        <v>0.65000218345698868</v>
      </c>
      <c r="I61" s="282" cm="1">
        <f t="array" ref="I61">INDEX(FX_Calcs,$W61,I$98)</f>
        <v>0.70552502975036668</v>
      </c>
      <c r="J61" s="282" cm="1">
        <f t="array" ref="J61">INDEX(FX_Calcs,$W61,J$98)</f>
        <v>0.81730205395796041</v>
      </c>
      <c r="K61" s="282" cm="1">
        <f t="array" ref="K61">INDEX(FX_Calcs,$W61,K$98)</f>
        <v>0.92222397167649572</v>
      </c>
      <c r="L61" s="282" cm="1">
        <f t="array" ref="L61">INDEX(FX_Calcs,$W61,L$98)</f>
        <v>1.0290827631391641</v>
      </c>
      <c r="M61" s="282" cm="1">
        <f t="array" ref="M61">INDEX(FX_Calcs,$W61,M$98)</f>
        <v>1.0435762929794996</v>
      </c>
      <c r="N61" s="282" cm="1">
        <f t="array" ref="N61">INDEX(FX_Calcs,$W61,N$98)</f>
        <v>0.97132722524347292</v>
      </c>
      <c r="O61" s="282" cm="1">
        <f t="array" ref="O61">INDEX(FX_Calcs,$W61,O$98)</f>
        <v>0.80430554445730296</v>
      </c>
      <c r="P61" s="282" cm="1">
        <f t="array" ref="P61">INDEX(FX_Calcs,$W61,P$98)</f>
        <v>0.67173392164080836</v>
      </c>
      <c r="Q61" s="283" cm="1">
        <f t="array" ref="Q61">INDEX(FX_Calcs,$W61,Q$98)</f>
        <v>0.59834659808674429</v>
      </c>
      <c r="R61" s="276">
        <f t="shared" si="15"/>
        <v>9.438388092895412</v>
      </c>
      <c r="S61" s="277">
        <f t="shared" si="16"/>
        <v>4.7191940464477063E-3</v>
      </c>
      <c r="U61">
        <f t="shared" si="13"/>
        <v>75</v>
      </c>
      <c r="V61">
        <v>2</v>
      </c>
      <c r="W61">
        <f t="shared" si="14"/>
        <v>38</v>
      </c>
    </row>
    <row r="62" spans="2:23" ht="15.45" x14ac:dyDescent="0.4">
      <c r="B62" s="247" t="str" cm="1">
        <f t="array" ref="B62">INDEX(FX_Input,U62,V62)</f>
        <v>FIXTANK 167</v>
      </c>
      <c r="C62" s="221" t="str" cm="1">
        <f t="array" ref="C62">INDEX(FX_Setup,W62,3)</f>
        <v>Distillates</v>
      </c>
      <c r="D62" s="222" cm="1">
        <f t="array" ref="D62">INDEX(FX_Input,U62,D$98)</f>
        <v>11328</v>
      </c>
      <c r="E62" s="223" t="str">
        <f t="shared" si="12"/>
        <v>VOC</v>
      </c>
      <c r="F62" s="303" cm="1">
        <f t="array" ref="F62">INDEX(FX_Calcs,$W62,F$98)</f>
        <v>0.60434882970984682</v>
      </c>
      <c r="G62" s="249" cm="1">
        <f t="array" ref="G62">INDEX(FX_Calcs,$W62,G$98)</f>
        <v>0.62061367879676244</v>
      </c>
      <c r="H62" s="249" cm="1">
        <f t="array" ref="H62">INDEX(FX_Calcs,$W62,H$98)</f>
        <v>0.65000218345698868</v>
      </c>
      <c r="I62" s="249" cm="1">
        <f t="array" ref="I62">INDEX(FX_Calcs,$W62,I$98)</f>
        <v>0.70552502975036668</v>
      </c>
      <c r="J62" s="250" cm="1">
        <f t="array" ref="J62">INDEX(FX_Calcs,$W62,J$98)</f>
        <v>0.81730205395796041</v>
      </c>
      <c r="K62" s="250" cm="1">
        <f t="array" ref="K62">INDEX(FX_Calcs,$W62,K$98)</f>
        <v>0.92222397167649572</v>
      </c>
      <c r="L62" s="250" cm="1">
        <f t="array" ref="L62">INDEX(FX_Calcs,$W62,L$98)</f>
        <v>1.0290827631391641</v>
      </c>
      <c r="M62" s="250" cm="1">
        <f t="array" ref="M62">INDEX(FX_Calcs,$W62,M$98)</f>
        <v>1.0435762929794996</v>
      </c>
      <c r="N62" s="250" cm="1">
        <f t="array" ref="N62">INDEX(FX_Calcs,$W62,N$98)</f>
        <v>0.97132722524347292</v>
      </c>
      <c r="O62" s="250" cm="1">
        <f t="array" ref="O62">INDEX(FX_Calcs,$W62,O$98)</f>
        <v>0.80430554445730296</v>
      </c>
      <c r="P62" s="249" cm="1">
        <f t="array" ref="P62">INDEX(FX_Calcs,$W62,P$98)</f>
        <v>0.67173392164080836</v>
      </c>
      <c r="Q62" s="251" cm="1">
        <f t="array" ref="Q62">INDEX(FX_Calcs,$W62,Q$98)</f>
        <v>0.59834659808674429</v>
      </c>
      <c r="R62" s="293">
        <f t="shared" si="15"/>
        <v>9.438388092895412</v>
      </c>
      <c r="S62" s="294">
        <f t="shared" si="16"/>
        <v>4.7191940464477063E-3</v>
      </c>
      <c r="U62">
        <f t="shared" si="13"/>
        <v>77</v>
      </c>
      <c r="V62">
        <v>2</v>
      </c>
      <c r="W62">
        <f t="shared" si="14"/>
        <v>39</v>
      </c>
    </row>
    <row r="63" spans="2:23" ht="15.45" x14ac:dyDescent="0.4">
      <c r="B63" s="247" t="str" cm="1">
        <f t="array" ref="B63">INDEX(FX_Input,U63,V63)</f>
        <v>FIXTANK 168</v>
      </c>
      <c r="C63" s="221" t="str" cm="1">
        <f t="array" ref="C63">INDEX(FX_Setup,W63,3)</f>
        <v>Distillates</v>
      </c>
      <c r="D63" s="222" cm="1">
        <f t="array" ref="D63">INDEX(FX_Input,U63,D$98)</f>
        <v>11328</v>
      </c>
      <c r="E63" s="223" t="str">
        <f t="shared" si="12"/>
        <v>VOC</v>
      </c>
      <c r="F63" s="303" cm="1">
        <f t="array" ref="F63">INDEX(FX_Calcs,$W63,F$98)</f>
        <v>0.60434882970984682</v>
      </c>
      <c r="G63" s="249" cm="1">
        <f t="array" ref="G63">INDEX(FX_Calcs,$W63,G$98)</f>
        <v>0.62061367879676244</v>
      </c>
      <c r="H63" s="249" cm="1">
        <f t="array" ref="H63">INDEX(FX_Calcs,$W63,H$98)</f>
        <v>0.65000218345698868</v>
      </c>
      <c r="I63" s="249" cm="1">
        <f t="array" ref="I63">INDEX(FX_Calcs,$W63,I$98)</f>
        <v>0.70552502975036668</v>
      </c>
      <c r="J63" s="250" cm="1">
        <f t="array" ref="J63">INDEX(FX_Calcs,$W63,J$98)</f>
        <v>0.81730205395796041</v>
      </c>
      <c r="K63" s="250" cm="1">
        <f t="array" ref="K63">INDEX(FX_Calcs,$W63,K$98)</f>
        <v>0.92222397167649572</v>
      </c>
      <c r="L63" s="250" cm="1">
        <f t="array" ref="L63">INDEX(FX_Calcs,$W63,L$98)</f>
        <v>1.0290827631391641</v>
      </c>
      <c r="M63" s="250" cm="1">
        <f t="array" ref="M63">INDEX(FX_Calcs,$W63,M$98)</f>
        <v>1.0435762929794996</v>
      </c>
      <c r="N63" s="250" cm="1">
        <f t="array" ref="N63">INDEX(FX_Calcs,$W63,N$98)</f>
        <v>0.97132722524347292</v>
      </c>
      <c r="O63" s="250" cm="1">
        <f t="array" ref="O63">INDEX(FX_Calcs,$W63,O$98)</f>
        <v>0.80430554445730296</v>
      </c>
      <c r="P63" s="249" cm="1">
        <f t="array" ref="P63">INDEX(FX_Calcs,$W63,P$98)</f>
        <v>0.67173392164080836</v>
      </c>
      <c r="Q63" s="251" cm="1">
        <f t="array" ref="Q63">INDEX(FX_Calcs,$W63,Q$98)</f>
        <v>0.59834659808674429</v>
      </c>
      <c r="R63" s="293">
        <f t="shared" si="15"/>
        <v>9.438388092895412</v>
      </c>
      <c r="S63" s="294">
        <f t="shared" si="16"/>
        <v>4.7191940464477063E-3</v>
      </c>
      <c r="U63">
        <f t="shared" si="13"/>
        <v>79</v>
      </c>
      <c r="V63">
        <v>2</v>
      </c>
      <c r="W63">
        <f t="shared" si="14"/>
        <v>40</v>
      </c>
    </row>
    <row r="64" spans="2:23" ht="15.45" x14ac:dyDescent="0.4">
      <c r="B64" s="247" t="str" cm="1">
        <f t="array" ref="B64">INDEX(FX_Input,U64,V64)</f>
        <v>FIXTANK 169</v>
      </c>
      <c r="C64" s="221" t="str" cm="1">
        <f t="array" ref="C64">INDEX(FX_Setup,W64,3)</f>
        <v>Distillates</v>
      </c>
      <c r="D64" s="222" cm="1">
        <f t="array" ref="D64">INDEX(FX_Input,U64,D$98)</f>
        <v>6792</v>
      </c>
      <c r="E64" s="223" t="str">
        <f>E63</f>
        <v>VOC</v>
      </c>
      <c r="F64" s="303" cm="1">
        <f t="array" ref="F64">INDEX(FX_Calcs,$W64,F$98)</f>
        <v>0.36235321781331914</v>
      </c>
      <c r="G64" s="249" cm="1">
        <f t="array" ref="G64">INDEX(FX_Calcs,$W64,G$98)</f>
        <v>0.37210523538026219</v>
      </c>
      <c r="H64" s="249" cm="1">
        <f t="array" ref="H64">INDEX(FX_Calcs,$W64,H$98)</f>
        <v>0.38972588542018599</v>
      </c>
      <c r="I64" s="249" cm="1">
        <f t="array" ref="I64">INDEX(FX_Calcs,$W64,I$98)</f>
        <v>0.42301606656642748</v>
      </c>
      <c r="J64" s="250" cm="1">
        <f t="array" ref="J64">INDEX(FX_Calcs,$W64,J$98)</f>
        <v>0.49003491794513304</v>
      </c>
      <c r="K64" s="250" cm="1">
        <f t="array" ref="K64">INDEX(FX_Calcs,$W64,K$98)</f>
        <v>0.55294361013654303</v>
      </c>
      <c r="L64" s="250" cm="1">
        <f t="array" ref="L64">INDEX(FX_Calcs,$W64,L$98)</f>
        <v>0.61701360586521914</v>
      </c>
      <c r="M64" s="250" cm="1">
        <f t="array" ref="M64">INDEX(FX_Calcs,$W64,M$98)</f>
        <v>0.625703582443217</v>
      </c>
      <c r="N64" s="250" cm="1">
        <f t="array" ref="N64">INDEX(FX_Calcs,$W64,N$98)</f>
        <v>0.58238475581335347</v>
      </c>
      <c r="O64" s="250" cm="1">
        <f t="array" ref="O64">INDEX(FX_Calcs,$W64,O$98)</f>
        <v>0.48224251924028971</v>
      </c>
      <c r="P64" s="249" cm="1">
        <f t="array" ref="P64">INDEX(FX_Calcs,$W64,P$98)</f>
        <v>0.40275571996684056</v>
      </c>
      <c r="Q64" s="251" cm="1">
        <f t="array" ref="Q64">INDEX(FX_Calcs,$W64,Q$98)</f>
        <v>0.35875442215794201</v>
      </c>
      <c r="R64" s="293">
        <f t="shared" si="15"/>
        <v>5.6590335387487318</v>
      </c>
      <c r="S64" s="280">
        <f t="shared" si="16"/>
        <v>2.8295167693743661E-3</v>
      </c>
      <c r="U64">
        <f>U63+2</f>
        <v>81</v>
      </c>
      <c r="V64">
        <v>2</v>
      </c>
      <c r="W64">
        <f>W63+1</f>
        <v>41</v>
      </c>
    </row>
    <row r="65" spans="2:23" ht="15.45" x14ac:dyDescent="0.4">
      <c r="B65" s="247" t="str" cm="1">
        <f t="array" ref="B65">INDEX(FX_Input,U65,V65)</f>
        <v>FIXTANK 170</v>
      </c>
      <c r="C65" s="221" t="str" cm="1">
        <f t="array" ref="C65">INDEX(FX_Setup,W65,3)</f>
        <v>Distillates</v>
      </c>
      <c r="D65" s="222" cm="1">
        <f t="array" ref="D65">INDEX(FX_Input,U65,D$98)</f>
        <v>38676</v>
      </c>
      <c r="E65" s="223" t="str">
        <f t="shared" si="12"/>
        <v>VOC</v>
      </c>
      <c r="F65" s="303" cm="1">
        <f t="array" ref="F65">INDEX(FX_Calcs,$W65,F$98)</f>
        <v>2.0633647014352077</v>
      </c>
      <c r="G65" s="249" cm="1">
        <f t="array" ref="G65">INDEX(FX_Calcs,$W65,G$98)</f>
        <v>2.1188960664851324</v>
      </c>
      <c r="H65" s="249" cm="1">
        <f t="array" ref="H65">INDEX(FX_Calcs,$W65,H$98)</f>
        <v>2.2192341496630026</v>
      </c>
      <c r="I65" s="249" cm="1">
        <f t="array" ref="I65">INDEX(FX_Calcs,$W65,I$98)</f>
        <v>2.4087999691582964</v>
      </c>
      <c r="J65" s="250" cm="1">
        <f t="array" ref="J65">INDEX(FX_Calcs,$W65,J$98)</f>
        <v>2.7904285168501124</v>
      </c>
      <c r="K65" s="250" cm="1">
        <f t="array" ref="K65">INDEX(FX_Calcs,$W65,K$98)</f>
        <v>3.1486523948234595</v>
      </c>
      <c r="L65" s="250" cm="1">
        <f t="array" ref="L65">INDEX(FX_Calcs,$W65,L$98)</f>
        <v>3.5134891372855148</v>
      </c>
      <c r="M65" s="250" cm="1">
        <f t="array" ref="M65">INDEX(FX_Calcs,$W65,M$98)</f>
        <v>3.562972873170474</v>
      </c>
      <c r="N65" s="250" cm="1">
        <f t="array" ref="N65">INDEX(FX_Calcs,$W65,N$98)</f>
        <v>3.3163004734742723</v>
      </c>
      <c r="O65" s="250" cm="1">
        <f t="array" ref="O65">INDEX(FX_Calcs,$W65,O$98)</f>
        <v>2.7460559001969145</v>
      </c>
      <c r="P65" s="249" cm="1">
        <f t="array" ref="P65">INDEX(FX_Calcs,$W65,P$98)</f>
        <v>2.2934305396698358</v>
      </c>
      <c r="Q65" s="251" cm="1">
        <f t="array" ref="Q65">INDEX(FX_Calcs,$W65,Q$98)</f>
        <v>2.0428719127474331</v>
      </c>
      <c r="R65" s="293">
        <f t="shared" si="15"/>
        <v>32.22449663495965</v>
      </c>
      <c r="S65" s="294">
        <f t="shared" si="16"/>
        <v>1.6112248317479826E-2</v>
      </c>
      <c r="U65">
        <f t="shared" si="13"/>
        <v>83</v>
      </c>
      <c r="V65">
        <v>2</v>
      </c>
      <c r="W65">
        <f t="shared" si="14"/>
        <v>42</v>
      </c>
    </row>
    <row r="66" spans="2:23" ht="15.45" x14ac:dyDescent="0.4">
      <c r="B66" s="247" t="str" cm="1">
        <f t="array" ref="B66">INDEX(FX_Input,U66,V66)</f>
        <v>FIXTANK 171</v>
      </c>
      <c r="C66" s="221" t="str" cm="1">
        <f t="array" ref="C66">INDEX(FX_Setup,W66,3)</f>
        <v>Distillates</v>
      </c>
      <c r="D66" s="222" cm="1">
        <f t="array" ref="D66">INDEX(FX_Input,U66,D$98)</f>
        <v>38676</v>
      </c>
      <c r="E66" s="223" t="str">
        <f t="shared" si="12"/>
        <v>VOC</v>
      </c>
      <c r="F66" s="281" cm="1">
        <f t="array" ref="F66">INDEX(FX_Calcs,$W66,F$98)</f>
        <v>2.0633647014352077</v>
      </c>
      <c r="G66" s="282" cm="1">
        <f t="array" ref="G66">INDEX(FX_Calcs,$W66,G$98)</f>
        <v>2.1188960664851324</v>
      </c>
      <c r="H66" s="282" cm="1">
        <f t="array" ref="H66">INDEX(FX_Calcs,$W66,H$98)</f>
        <v>2.2192341496630026</v>
      </c>
      <c r="I66" s="282" cm="1">
        <f t="array" ref="I66">INDEX(FX_Calcs,$W66,I$98)</f>
        <v>2.4087999691582964</v>
      </c>
      <c r="J66" s="282" cm="1">
        <f t="array" ref="J66">INDEX(FX_Calcs,$W66,J$98)</f>
        <v>2.7904285168501124</v>
      </c>
      <c r="K66" s="282" cm="1">
        <f t="array" ref="K66">INDEX(FX_Calcs,$W66,K$98)</f>
        <v>3.1486523948234595</v>
      </c>
      <c r="L66" s="282" cm="1">
        <f t="array" ref="L66">INDEX(FX_Calcs,$W66,L$98)</f>
        <v>3.5134891372855148</v>
      </c>
      <c r="M66" s="282" cm="1">
        <f t="array" ref="M66">INDEX(FX_Calcs,$W66,M$98)</f>
        <v>3.562972873170474</v>
      </c>
      <c r="N66" s="282" cm="1">
        <f t="array" ref="N66">INDEX(FX_Calcs,$W66,N$98)</f>
        <v>3.3163004734742723</v>
      </c>
      <c r="O66" s="282" cm="1">
        <f t="array" ref="O66">INDEX(FX_Calcs,$W66,O$98)</f>
        <v>2.7460559001969145</v>
      </c>
      <c r="P66" s="282" cm="1">
        <f t="array" ref="P66">INDEX(FX_Calcs,$W66,P$98)</f>
        <v>2.2934305396698358</v>
      </c>
      <c r="Q66" s="283" cm="1">
        <f t="array" ref="Q66">INDEX(FX_Calcs,$W66,Q$98)</f>
        <v>2.0428719127474331</v>
      </c>
      <c r="R66" s="276">
        <f t="shared" si="15"/>
        <v>32.22449663495965</v>
      </c>
      <c r="S66" s="277">
        <f t="shared" si="16"/>
        <v>1.6112248317479826E-2</v>
      </c>
      <c r="U66">
        <f t="shared" si="13"/>
        <v>85</v>
      </c>
      <c r="V66">
        <v>2</v>
      </c>
      <c r="W66">
        <f t="shared" si="14"/>
        <v>43</v>
      </c>
    </row>
    <row r="67" spans="2:23" ht="15.45" x14ac:dyDescent="0.4">
      <c r="B67" s="247" t="str" cm="1">
        <f t="array" ref="B67">INDEX(FX_Input,U67,V67)</f>
        <v>FIXTANK 172</v>
      </c>
      <c r="C67" s="221" t="str" cm="1">
        <f t="array" ref="C67">INDEX(FX_Setup,W67,3)</f>
        <v>Distillates</v>
      </c>
      <c r="D67" s="222" cm="1">
        <f t="array" ref="D67">INDEX(FX_Input,U67,D$98)</f>
        <v>38676</v>
      </c>
      <c r="E67" s="223" t="str">
        <f t="shared" si="12"/>
        <v>VOC</v>
      </c>
      <c r="F67" s="303" cm="1">
        <f t="array" ref="F67">INDEX(FX_Calcs,$W67,F$98)</f>
        <v>2.0633647014352077</v>
      </c>
      <c r="G67" s="249" cm="1">
        <f t="array" ref="G67">INDEX(FX_Calcs,$W67,G$98)</f>
        <v>2.1188960664851324</v>
      </c>
      <c r="H67" s="249" cm="1">
        <f t="array" ref="H67">INDEX(FX_Calcs,$W67,H$98)</f>
        <v>2.2192341496630026</v>
      </c>
      <c r="I67" s="249" cm="1">
        <f t="array" ref="I67">INDEX(FX_Calcs,$W67,I$98)</f>
        <v>2.4087999691582964</v>
      </c>
      <c r="J67" s="250" cm="1">
        <f t="array" ref="J67">INDEX(FX_Calcs,$W67,J$98)</f>
        <v>2.7904285168501124</v>
      </c>
      <c r="K67" s="250" cm="1">
        <f t="array" ref="K67">INDEX(FX_Calcs,$W67,K$98)</f>
        <v>3.1486523948234595</v>
      </c>
      <c r="L67" s="250" cm="1">
        <f t="array" ref="L67">INDEX(FX_Calcs,$W67,L$98)</f>
        <v>3.5134891372855148</v>
      </c>
      <c r="M67" s="250" cm="1">
        <f t="array" ref="M67">INDEX(FX_Calcs,$W67,M$98)</f>
        <v>3.562972873170474</v>
      </c>
      <c r="N67" s="250" cm="1">
        <f t="array" ref="N67">INDEX(FX_Calcs,$W67,N$98)</f>
        <v>3.3163004734742723</v>
      </c>
      <c r="O67" s="250" cm="1">
        <f t="array" ref="O67">INDEX(FX_Calcs,$W67,O$98)</f>
        <v>2.7460559001969145</v>
      </c>
      <c r="P67" s="249" cm="1">
        <f t="array" ref="P67">INDEX(FX_Calcs,$W67,P$98)</f>
        <v>2.2934305396698358</v>
      </c>
      <c r="Q67" s="251" cm="1">
        <f t="array" ref="Q67">INDEX(FX_Calcs,$W67,Q$98)</f>
        <v>2.0428719127474331</v>
      </c>
      <c r="R67" s="293">
        <f t="shared" si="15"/>
        <v>32.22449663495965</v>
      </c>
      <c r="S67" s="294">
        <f t="shared" si="16"/>
        <v>1.6112248317479826E-2</v>
      </c>
      <c r="U67">
        <f t="shared" si="13"/>
        <v>87</v>
      </c>
      <c r="V67">
        <v>2</v>
      </c>
      <c r="W67">
        <f t="shared" si="14"/>
        <v>44</v>
      </c>
    </row>
    <row r="68" spans="2:23" ht="15.45" x14ac:dyDescent="0.4">
      <c r="B68" s="247" t="str" cm="1">
        <f t="array" ref="B68">INDEX(FX_Input,U68,V68)</f>
        <v>FIXTANK 173</v>
      </c>
      <c r="C68" s="221" t="str" cm="1">
        <f t="array" ref="C68">INDEX(FX_Setup,W68,3)</f>
        <v>Distillates</v>
      </c>
      <c r="D68" s="222" cm="1">
        <f t="array" ref="D68">INDEX(FX_Input,U68,D$98)</f>
        <v>38676</v>
      </c>
      <c r="E68" s="223" t="str">
        <f t="shared" si="12"/>
        <v>VOC</v>
      </c>
      <c r="F68" s="303" cm="1">
        <f t="array" ref="F68">INDEX(FX_Calcs,$W68,F$98)</f>
        <v>2.0633647014352077</v>
      </c>
      <c r="G68" s="249" cm="1">
        <f t="array" ref="G68">INDEX(FX_Calcs,$W68,G$98)</f>
        <v>2.1188960664851324</v>
      </c>
      <c r="H68" s="249" cm="1">
        <f t="array" ref="H68">INDEX(FX_Calcs,$W68,H$98)</f>
        <v>2.2192341496630026</v>
      </c>
      <c r="I68" s="249" cm="1">
        <f t="array" ref="I68">INDEX(FX_Calcs,$W68,I$98)</f>
        <v>2.4087999691582964</v>
      </c>
      <c r="J68" s="250" cm="1">
        <f t="array" ref="J68">INDEX(FX_Calcs,$W68,J$98)</f>
        <v>2.7904285168501124</v>
      </c>
      <c r="K68" s="250" cm="1">
        <f t="array" ref="K68">INDEX(FX_Calcs,$W68,K$98)</f>
        <v>3.1486523948234595</v>
      </c>
      <c r="L68" s="250" cm="1">
        <f t="array" ref="L68">INDEX(FX_Calcs,$W68,L$98)</f>
        <v>3.5134891372855148</v>
      </c>
      <c r="M68" s="250" cm="1">
        <f t="array" ref="M68">INDEX(FX_Calcs,$W68,M$98)</f>
        <v>3.562972873170474</v>
      </c>
      <c r="N68" s="250" cm="1">
        <f t="array" ref="N68">INDEX(FX_Calcs,$W68,N$98)</f>
        <v>3.3163004734742723</v>
      </c>
      <c r="O68" s="250" cm="1">
        <f t="array" ref="O68">INDEX(FX_Calcs,$W68,O$98)</f>
        <v>2.7460559001969145</v>
      </c>
      <c r="P68" s="249" cm="1">
        <f t="array" ref="P68">INDEX(FX_Calcs,$W68,P$98)</f>
        <v>2.2934305396698358</v>
      </c>
      <c r="Q68" s="251" cm="1">
        <f t="array" ref="Q68">INDEX(FX_Calcs,$W68,Q$98)</f>
        <v>2.0428719127474331</v>
      </c>
      <c r="R68" s="293">
        <f t="shared" si="15"/>
        <v>32.22449663495965</v>
      </c>
      <c r="S68" s="294">
        <f t="shared" si="16"/>
        <v>1.6112248317479826E-2</v>
      </c>
      <c r="U68">
        <f t="shared" si="13"/>
        <v>89</v>
      </c>
      <c r="V68">
        <v>2</v>
      </c>
      <c r="W68">
        <f t="shared" si="14"/>
        <v>45</v>
      </c>
    </row>
    <row r="69" spans="2:23" ht="15.45" x14ac:dyDescent="0.4">
      <c r="B69" s="247" t="str" cm="1">
        <f t="array" ref="B69">INDEX(FX_Input,U69,V69)</f>
        <v>FIXTANK 174</v>
      </c>
      <c r="C69" s="221" t="str" cm="1">
        <f t="array" ref="C69">INDEX(FX_Setup,W69,3)</f>
        <v>Distillates</v>
      </c>
      <c r="D69" s="222" cm="1">
        <f t="array" ref="D69">INDEX(FX_Input,U69,D$98)</f>
        <v>38676</v>
      </c>
      <c r="E69" s="223" t="str">
        <f t="shared" si="12"/>
        <v>VOC</v>
      </c>
      <c r="F69" s="303" cm="1">
        <f t="array" ref="F69">INDEX(FX_Calcs,$W69,F$98)</f>
        <v>2.0633647014352077</v>
      </c>
      <c r="G69" s="249" cm="1">
        <f t="array" ref="G69">INDEX(FX_Calcs,$W69,G$98)</f>
        <v>2.1188960664851324</v>
      </c>
      <c r="H69" s="249" cm="1">
        <f t="array" ref="H69">INDEX(FX_Calcs,$W69,H$98)</f>
        <v>2.2192341496630026</v>
      </c>
      <c r="I69" s="249" cm="1">
        <f t="array" ref="I69">INDEX(FX_Calcs,$W69,I$98)</f>
        <v>2.4087999691582964</v>
      </c>
      <c r="J69" s="250" cm="1">
        <f t="array" ref="J69">INDEX(FX_Calcs,$W69,J$98)</f>
        <v>2.7904285168501124</v>
      </c>
      <c r="K69" s="250" cm="1">
        <f t="array" ref="K69">INDEX(FX_Calcs,$W69,K$98)</f>
        <v>3.1486523948234595</v>
      </c>
      <c r="L69" s="250" cm="1">
        <f t="array" ref="L69">INDEX(FX_Calcs,$W69,L$98)</f>
        <v>3.5134891372855148</v>
      </c>
      <c r="M69" s="250" cm="1">
        <f t="array" ref="M69">INDEX(FX_Calcs,$W69,M$98)</f>
        <v>3.562972873170474</v>
      </c>
      <c r="N69" s="250" cm="1">
        <f t="array" ref="N69">INDEX(FX_Calcs,$W69,N$98)</f>
        <v>3.3163004734742723</v>
      </c>
      <c r="O69" s="250" cm="1">
        <f t="array" ref="O69">INDEX(FX_Calcs,$W69,O$98)</f>
        <v>2.7460559001969145</v>
      </c>
      <c r="P69" s="249" cm="1">
        <f t="array" ref="P69">INDEX(FX_Calcs,$W69,P$98)</f>
        <v>2.2934305396698358</v>
      </c>
      <c r="Q69" s="251" cm="1">
        <f t="array" ref="Q69">INDEX(FX_Calcs,$W69,Q$98)</f>
        <v>2.0428719127474331</v>
      </c>
      <c r="R69" s="293">
        <f t="shared" si="15"/>
        <v>32.22449663495965</v>
      </c>
      <c r="S69" s="294">
        <f t="shared" si="16"/>
        <v>1.6112248317479826E-2</v>
      </c>
      <c r="U69">
        <f t="shared" si="13"/>
        <v>91</v>
      </c>
      <c r="V69">
        <v>2</v>
      </c>
      <c r="W69">
        <f t="shared" si="14"/>
        <v>46</v>
      </c>
    </row>
    <row r="70" spans="2:23" ht="15.45" x14ac:dyDescent="0.4">
      <c r="B70" s="247" t="str" cm="1">
        <f t="array" ref="B70">INDEX(FX_Input,U70,V70)</f>
        <v>FIXTANK 176</v>
      </c>
      <c r="C70" s="221" t="str" cm="1">
        <f t="array" ref="C70">INDEX(FX_Setup,W70,3)</f>
        <v>Out of Service/Demolished</v>
      </c>
      <c r="D70" s="222" cm="1">
        <f t="array" ref="D70">INDEX(FX_Input,U70,D$98)</f>
        <v>0</v>
      </c>
      <c r="E70" s="223" t="str">
        <f t="shared" si="12"/>
        <v>VOC</v>
      </c>
      <c r="F70" s="303" cm="1">
        <f t="array" ref="F70">INDEX(FX_Calcs,$W70,F$98)</f>
        <v>0</v>
      </c>
      <c r="G70" s="249" cm="1">
        <f t="array" ref="G70">INDEX(FX_Calcs,$W70,G$98)</f>
        <v>0</v>
      </c>
      <c r="H70" s="249" cm="1">
        <f t="array" ref="H70">INDEX(FX_Calcs,$W70,H$98)</f>
        <v>0</v>
      </c>
      <c r="I70" s="249" cm="1">
        <f t="array" ref="I70">INDEX(FX_Calcs,$W70,I$98)</f>
        <v>0</v>
      </c>
      <c r="J70" s="250" cm="1">
        <f t="array" ref="J70">INDEX(FX_Calcs,$W70,J$98)</f>
        <v>0</v>
      </c>
      <c r="K70" s="250" cm="1">
        <f t="array" ref="K70">INDEX(FX_Calcs,$W70,K$98)</f>
        <v>0</v>
      </c>
      <c r="L70" s="250" cm="1">
        <f t="array" ref="L70">INDEX(FX_Calcs,$W70,L$98)</f>
        <v>0</v>
      </c>
      <c r="M70" s="250" cm="1">
        <f t="array" ref="M70">INDEX(FX_Calcs,$W70,M$98)</f>
        <v>0</v>
      </c>
      <c r="N70" s="250" cm="1">
        <f t="array" ref="N70">INDEX(FX_Calcs,$W70,N$98)</f>
        <v>0</v>
      </c>
      <c r="O70" s="250" cm="1">
        <f t="array" ref="O70">INDEX(FX_Calcs,$W70,O$98)</f>
        <v>0</v>
      </c>
      <c r="P70" s="249" cm="1">
        <f t="array" ref="P70">INDEX(FX_Calcs,$W70,P$98)</f>
        <v>0</v>
      </c>
      <c r="Q70" s="251" cm="1">
        <f t="array" ref="Q70">INDEX(FX_Calcs,$W70,Q$98)</f>
        <v>0</v>
      </c>
      <c r="R70" s="293">
        <f t="shared" si="15"/>
        <v>0</v>
      </c>
      <c r="S70" s="294">
        <f t="shared" si="16"/>
        <v>0</v>
      </c>
      <c r="U70">
        <f t="shared" si="13"/>
        <v>93</v>
      </c>
      <c r="V70">
        <v>2</v>
      </c>
      <c r="W70">
        <f t="shared" si="14"/>
        <v>47</v>
      </c>
    </row>
    <row r="71" spans="2:23" ht="15.45" x14ac:dyDescent="0.4">
      <c r="B71" s="247" t="str" cm="1">
        <f t="array" ref="B71">INDEX(FX_Input,U71,V71)</f>
        <v>FIXTANK 177</v>
      </c>
      <c r="C71" s="221" t="str" cm="1">
        <f t="array" ref="C71">INDEX(FX_Setup,W71,3)</f>
        <v>Out of Service/Demolished</v>
      </c>
      <c r="D71" s="222" cm="1">
        <f t="array" ref="D71">INDEX(FX_Input,U71,D$98)</f>
        <v>0</v>
      </c>
      <c r="E71" s="223" t="str">
        <f t="shared" si="12"/>
        <v>VOC</v>
      </c>
      <c r="F71" s="303" cm="1">
        <f t="array" ref="F71">INDEX(FX_Calcs,$W71,F$98)</f>
        <v>0</v>
      </c>
      <c r="G71" s="249" cm="1">
        <f t="array" ref="G71">INDEX(FX_Calcs,$W71,G$98)</f>
        <v>0</v>
      </c>
      <c r="H71" s="249" cm="1">
        <f t="array" ref="H71">INDEX(FX_Calcs,$W71,H$98)</f>
        <v>0</v>
      </c>
      <c r="I71" s="249" cm="1">
        <f t="array" ref="I71">INDEX(FX_Calcs,$W71,I$98)</f>
        <v>0</v>
      </c>
      <c r="J71" s="250" cm="1">
        <f t="array" ref="J71">INDEX(FX_Calcs,$W71,J$98)</f>
        <v>0</v>
      </c>
      <c r="K71" s="250" cm="1">
        <f t="array" ref="K71">INDEX(FX_Calcs,$W71,K$98)</f>
        <v>0</v>
      </c>
      <c r="L71" s="250" cm="1">
        <f t="array" ref="L71">INDEX(FX_Calcs,$W71,L$98)</f>
        <v>0</v>
      </c>
      <c r="M71" s="250" cm="1">
        <f t="array" ref="M71">INDEX(FX_Calcs,$W71,M$98)</f>
        <v>0</v>
      </c>
      <c r="N71" s="250" cm="1">
        <f t="array" ref="N71">INDEX(FX_Calcs,$W71,N$98)</f>
        <v>0</v>
      </c>
      <c r="O71" s="250" cm="1">
        <f t="array" ref="O71">INDEX(FX_Calcs,$W71,O$98)</f>
        <v>0</v>
      </c>
      <c r="P71" s="249" cm="1">
        <f t="array" ref="P71">INDEX(FX_Calcs,$W71,P$98)</f>
        <v>0</v>
      </c>
      <c r="Q71" s="251" cm="1">
        <f t="array" ref="Q71">INDEX(FX_Calcs,$W71,Q$98)</f>
        <v>0</v>
      </c>
      <c r="R71" s="293">
        <f t="shared" si="15"/>
        <v>0</v>
      </c>
      <c r="S71" s="294">
        <f t="shared" si="16"/>
        <v>0</v>
      </c>
      <c r="U71">
        <f t="shared" si="13"/>
        <v>95</v>
      </c>
      <c r="V71">
        <v>2</v>
      </c>
      <c r="W71">
        <f t="shared" si="14"/>
        <v>48</v>
      </c>
    </row>
    <row r="72" spans="2:23" ht="15.45" x14ac:dyDescent="0.4">
      <c r="B72" s="247" t="str" cm="1">
        <f t="array" ref="B72">INDEX(FX_Input,U72,V72)</f>
        <v>FIXTANK 179</v>
      </c>
      <c r="C72" s="221" t="str" cm="1">
        <f t="array" ref="C72">INDEX(FX_Setup,W72,3)</f>
        <v>Distillates</v>
      </c>
      <c r="D72" s="222" cm="1">
        <f t="array" ref="D72">INDEX(FX_Input,U72,D$98)</f>
        <v>5556</v>
      </c>
      <c r="E72" s="223" t="str">
        <f t="shared" si="12"/>
        <v>VOC</v>
      </c>
      <c r="F72" s="303" cm="1">
        <f t="array" ref="F72">INDEX(FX_Calcs,$W72,F$98)</f>
        <v>0.37027877266821962</v>
      </c>
      <c r="G72" s="249" cm="1">
        <f t="array" ref="G72">INDEX(FX_Calcs,$W72,G$98)</f>
        <v>0.41025255523449988</v>
      </c>
      <c r="H72" s="249" cm="1">
        <f t="array" ref="H72">INDEX(FX_Calcs,$W72,H$98)</f>
        <v>0.46365155833455346</v>
      </c>
      <c r="I72" s="249" cm="1">
        <f t="array" ref="I72">INDEX(FX_Calcs,$W72,I$98)</f>
        <v>0.5354070370912446</v>
      </c>
      <c r="J72" s="250" cm="1">
        <f t="array" ref="J72">INDEX(FX_Calcs,$W72,J$98)</f>
        <v>0.65519655315186109</v>
      </c>
      <c r="K72" s="250" cm="1">
        <f t="array" ref="K72">INDEX(FX_Calcs,$W72,K$98)</f>
        <v>0.73193143605782485</v>
      </c>
      <c r="L72" s="250" cm="1">
        <f t="array" ref="L72">INDEX(FX_Calcs,$W72,L$98)</f>
        <v>0.83561994754447655</v>
      </c>
      <c r="M72" s="250" cm="1">
        <f t="array" ref="M72">INDEX(FX_Calcs,$W72,M$98)</f>
        <v>0.82595617353359008</v>
      </c>
      <c r="N72" s="250" cm="1">
        <f t="array" ref="N72">INDEX(FX_Calcs,$W72,N$98)</f>
        <v>0.75386942977627069</v>
      </c>
      <c r="O72" s="250" cm="1">
        <f t="array" ref="O72">INDEX(FX_Calcs,$W72,O$98)</f>
        <v>0.56771983874275833</v>
      </c>
      <c r="P72" s="249" cm="1">
        <f t="array" ref="P72">INDEX(FX_Calcs,$W72,P$98)</f>
        <v>0.42521251579850905</v>
      </c>
      <c r="Q72" s="251" cm="1">
        <f t="array" ref="Q72">INDEX(FX_Calcs,$W72,Q$98)</f>
        <v>0.36093992526394481</v>
      </c>
      <c r="R72" s="293">
        <f t="shared" si="15"/>
        <v>6.9360357431977517</v>
      </c>
      <c r="S72" s="294">
        <f t="shared" si="16"/>
        <v>3.4680178715988759E-3</v>
      </c>
      <c r="U72">
        <f t="shared" si="13"/>
        <v>97</v>
      </c>
      <c r="V72">
        <v>2</v>
      </c>
      <c r="W72">
        <f t="shared" si="14"/>
        <v>49</v>
      </c>
    </row>
    <row r="73" spans="2:23" ht="15.45" x14ac:dyDescent="0.4">
      <c r="B73" s="247" t="str" cm="1">
        <f t="array" ref="B73">INDEX(FX_Input,U73,V73)</f>
        <v>FIXTANK 180</v>
      </c>
      <c r="C73" s="221" t="str" cm="1">
        <f t="array" ref="C73">INDEX(FX_Setup,W73,3)</f>
        <v>Distillates</v>
      </c>
      <c r="D73" s="222" cm="1">
        <f t="array" ref="D73">INDEX(FX_Input,U73,D$98)</f>
        <v>5556</v>
      </c>
      <c r="E73" s="223" t="str">
        <f t="shared" si="12"/>
        <v>VOC</v>
      </c>
      <c r="F73" s="303" cm="1">
        <f t="array" ref="F73">INDEX(FX_Calcs,$W73,F$98)</f>
        <v>0.37027877266821962</v>
      </c>
      <c r="G73" s="249" cm="1">
        <f t="array" ref="G73">INDEX(FX_Calcs,$W73,G$98)</f>
        <v>0.41025255523449988</v>
      </c>
      <c r="H73" s="249" cm="1">
        <f t="array" ref="H73">INDEX(FX_Calcs,$W73,H$98)</f>
        <v>0.46365155833455346</v>
      </c>
      <c r="I73" s="249" cm="1">
        <f t="array" ref="I73">INDEX(FX_Calcs,$W73,I$98)</f>
        <v>0.5354070370912446</v>
      </c>
      <c r="J73" s="249" cm="1">
        <f t="array" ref="J73">INDEX(FX_Calcs,$W73,J$98)</f>
        <v>0.65519655315186109</v>
      </c>
      <c r="K73" s="250" cm="1">
        <f t="array" ref="K73">INDEX(FX_Calcs,$W73,K$98)</f>
        <v>0.73193143605782485</v>
      </c>
      <c r="L73" s="250" cm="1">
        <f t="array" ref="L73">INDEX(FX_Calcs,$W73,L$98)</f>
        <v>0.83561994754447655</v>
      </c>
      <c r="M73" s="250" cm="1">
        <f t="array" ref="M73">INDEX(FX_Calcs,$W73,M$98)</f>
        <v>0.82595617353359008</v>
      </c>
      <c r="N73" s="250" cm="1">
        <f t="array" ref="N73">INDEX(FX_Calcs,$W73,N$98)</f>
        <v>0.75386942977627069</v>
      </c>
      <c r="O73" s="249" cm="1">
        <f t="array" ref="O73">INDEX(FX_Calcs,$W73,O$98)</f>
        <v>0.56771983874275833</v>
      </c>
      <c r="P73" s="249" cm="1">
        <f t="array" ref="P73">INDEX(FX_Calcs,$W73,P$98)</f>
        <v>0.42521251579850905</v>
      </c>
      <c r="Q73" s="251" cm="1">
        <f t="array" ref="Q73">INDEX(FX_Calcs,$W73,Q$98)</f>
        <v>0.36093992526394481</v>
      </c>
      <c r="R73" s="279">
        <f t="shared" si="15"/>
        <v>6.9360357431977517</v>
      </c>
      <c r="S73" s="294">
        <f t="shared" si="16"/>
        <v>3.4680178715988759E-3</v>
      </c>
      <c r="U73">
        <f t="shared" si="13"/>
        <v>99</v>
      </c>
      <c r="V73">
        <v>2</v>
      </c>
      <c r="W73">
        <f t="shared" si="14"/>
        <v>50</v>
      </c>
    </row>
    <row r="74" spans="2:23" ht="15.45" x14ac:dyDescent="0.4">
      <c r="B74" s="247" t="str" cm="1">
        <f t="array" ref="B74">INDEX(FX_Input,U74,V74)</f>
        <v>FIXTANK 181</v>
      </c>
      <c r="C74" s="221" t="str" cm="1">
        <f t="array" ref="C74">INDEX(FX_Setup,W74,3)</f>
        <v>Out of Service/Demolished</v>
      </c>
      <c r="D74" s="222" cm="1">
        <f t="array" ref="D74">INDEX(FX_Input,U74,D$98)</f>
        <v>0</v>
      </c>
      <c r="E74" s="223" t="str">
        <f t="shared" si="12"/>
        <v>VOC</v>
      </c>
      <c r="F74" s="303" cm="1">
        <f t="array" ref="F74">INDEX(FX_Calcs,$W74,F$98)</f>
        <v>0</v>
      </c>
      <c r="G74" s="249" cm="1">
        <f t="array" ref="G74">INDEX(FX_Calcs,$W74,G$98)</f>
        <v>0</v>
      </c>
      <c r="H74" s="249" cm="1">
        <f t="array" ref="H74">INDEX(FX_Calcs,$W74,H$98)</f>
        <v>0</v>
      </c>
      <c r="I74" s="249" cm="1">
        <f t="array" ref="I74">INDEX(FX_Calcs,$W74,I$98)</f>
        <v>0</v>
      </c>
      <c r="J74" s="250" cm="1">
        <f t="array" ref="J74">INDEX(FX_Calcs,$W74,J$98)</f>
        <v>0</v>
      </c>
      <c r="K74" s="250" cm="1">
        <f t="array" ref="K74">INDEX(FX_Calcs,$W74,K$98)</f>
        <v>0</v>
      </c>
      <c r="L74" s="250" cm="1">
        <f t="array" ref="L74">INDEX(FX_Calcs,$W74,L$98)</f>
        <v>0</v>
      </c>
      <c r="M74" s="250" cm="1">
        <f t="array" ref="M74">INDEX(FX_Calcs,$W74,M$98)</f>
        <v>0</v>
      </c>
      <c r="N74" s="250" cm="1">
        <f t="array" ref="N74">INDEX(FX_Calcs,$W74,N$98)</f>
        <v>0</v>
      </c>
      <c r="O74" s="250" cm="1">
        <f t="array" ref="O74">INDEX(FX_Calcs,$W74,O$98)</f>
        <v>0</v>
      </c>
      <c r="P74" s="249" cm="1">
        <f t="array" ref="P74">INDEX(FX_Calcs,$W74,P$98)</f>
        <v>0</v>
      </c>
      <c r="Q74" s="251" cm="1">
        <f t="array" ref="Q74">INDEX(FX_Calcs,$W74,Q$98)</f>
        <v>0</v>
      </c>
      <c r="R74" s="293">
        <f t="shared" si="15"/>
        <v>0</v>
      </c>
      <c r="S74" s="294">
        <f t="shared" si="16"/>
        <v>0</v>
      </c>
      <c r="U74">
        <f t="shared" si="13"/>
        <v>101</v>
      </c>
      <c r="V74">
        <v>2</v>
      </c>
      <c r="W74">
        <f t="shared" si="14"/>
        <v>51</v>
      </c>
    </row>
    <row r="75" spans="2:23" ht="15.45" x14ac:dyDescent="0.4">
      <c r="B75" s="247" t="str" cm="1">
        <f t="array" ref="B75">INDEX(FX_Input,U75,V75)</f>
        <v>FIXTANK 182</v>
      </c>
      <c r="C75" s="221" t="str" cm="1">
        <f t="array" ref="C75">INDEX(FX_Setup,W75,3)</f>
        <v>Distillates</v>
      </c>
      <c r="D75" s="222" cm="1">
        <f t="array" ref="D75">INDEX(FX_Input,U75,D$98)</f>
        <v>63480</v>
      </c>
      <c r="E75" s="223" t="str">
        <f t="shared" si="12"/>
        <v>VOC</v>
      </c>
      <c r="F75" s="303" cm="1">
        <f t="array" ref="F75">INDEX(FX_Calcs,$W75,F$98)</f>
        <v>4.6458835274449015</v>
      </c>
      <c r="G75" s="249" cm="1">
        <f t="array" ref="G75">INDEX(FX_Calcs,$W75,G$98)</f>
        <v>5.4288642602521957</v>
      </c>
      <c r="H75" s="250" cm="1">
        <f t="array" ref="H75">INDEX(FX_Calcs,$W75,H$98)</f>
        <v>6.5721314481141366</v>
      </c>
      <c r="I75" s="250" cm="1">
        <f t="array" ref="I75">INDEX(FX_Calcs,$W75,I$98)</f>
        <v>8.1687272863979974</v>
      </c>
      <c r="J75" s="250" cm="1">
        <f t="array" ref="J75">INDEX(FX_Calcs,$W75,J$98)</f>
        <v>10.569437744352577</v>
      </c>
      <c r="K75" s="250" cm="1">
        <f t="array" ref="K75">INDEX(FX_Calcs,$W75,K$98)</f>
        <v>11.942868378684555</v>
      </c>
      <c r="L75" s="250" cm="1">
        <f t="array" ref="L75">INDEX(FX_Calcs,$W75,L$98)</f>
        <v>13.840821124348182</v>
      </c>
      <c r="M75" s="250" cm="1">
        <f t="array" ref="M75">INDEX(FX_Calcs,$W75,M$98)</f>
        <v>13.110810570700677</v>
      </c>
      <c r="N75" s="250" cm="1">
        <f t="array" ref="N75">INDEX(FX_Calcs,$W75,N$98)</f>
        <v>11.221838511700652</v>
      </c>
      <c r="O75" s="250" cm="1">
        <f t="array" ref="O75">INDEX(FX_Calcs,$W75,O$98)</f>
        <v>7.7410121743979472</v>
      </c>
      <c r="P75" s="250" cm="1">
        <f t="array" ref="P75">INDEX(FX_Calcs,$W75,P$98)</f>
        <v>5.3781698856978846</v>
      </c>
      <c r="Q75" s="251" cm="1">
        <f t="array" ref="Q75">INDEX(FX_Calcs,$W75,Q$98)</f>
        <v>4.4826364701367698</v>
      </c>
      <c r="R75" s="293">
        <f t="shared" si="15"/>
        <v>103.10320138222848</v>
      </c>
      <c r="S75" s="294">
        <f t="shared" si="16"/>
        <v>5.1551600691114238E-2</v>
      </c>
      <c r="U75">
        <f t="shared" si="13"/>
        <v>103</v>
      </c>
      <c r="V75">
        <v>2</v>
      </c>
      <c r="W75">
        <f t="shared" si="14"/>
        <v>52</v>
      </c>
    </row>
    <row r="76" spans="2:23" ht="15.45" x14ac:dyDescent="0.4">
      <c r="B76" s="247" t="str" cm="1">
        <f t="array" ref="B76">INDEX(FX_Input,U76,V76)</f>
        <v>FIXTANK 183</v>
      </c>
      <c r="C76" s="221" t="str" cm="1">
        <f t="array" ref="C76">INDEX(FX_Setup,W76,3)</f>
        <v>Distillates</v>
      </c>
      <c r="D76" s="222" cm="1">
        <f t="array" ref="D76">INDEX(FX_Input,U76,D$98)</f>
        <v>63480</v>
      </c>
      <c r="E76" s="223" t="str">
        <f t="shared" si="12"/>
        <v>VOC</v>
      </c>
      <c r="F76" s="303" cm="1">
        <f t="array" ref="F76">INDEX(FX_Calcs,$W76,F$98)</f>
        <v>4.6458835274449015</v>
      </c>
      <c r="G76" s="249" cm="1">
        <f t="array" ref="G76">INDEX(FX_Calcs,$W76,G$98)</f>
        <v>5.4288642602521957</v>
      </c>
      <c r="H76" s="250" cm="1">
        <f t="array" ref="H76">INDEX(FX_Calcs,$W76,H$98)</f>
        <v>6.5721314481141366</v>
      </c>
      <c r="I76" s="250" cm="1">
        <f t="array" ref="I76">INDEX(FX_Calcs,$W76,I$98)</f>
        <v>8.1687272863979974</v>
      </c>
      <c r="J76" s="250" cm="1">
        <f t="array" ref="J76">INDEX(FX_Calcs,$W76,J$98)</f>
        <v>10.569437744352577</v>
      </c>
      <c r="K76" s="250" cm="1">
        <f t="array" ref="K76">INDEX(FX_Calcs,$W76,K$98)</f>
        <v>11.942868378684555</v>
      </c>
      <c r="L76" s="250" cm="1">
        <f t="array" ref="L76">INDEX(FX_Calcs,$W76,L$98)</f>
        <v>13.840821124348182</v>
      </c>
      <c r="M76" s="250" cm="1">
        <f t="array" ref="M76">INDEX(FX_Calcs,$W76,M$98)</f>
        <v>13.110810570700677</v>
      </c>
      <c r="N76" s="250" cm="1">
        <f t="array" ref="N76">INDEX(FX_Calcs,$W76,N$98)</f>
        <v>11.221838511700652</v>
      </c>
      <c r="O76" s="250" cm="1">
        <f t="array" ref="O76">INDEX(FX_Calcs,$W76,O$98)</f>
        <v>7.7410121743979472</v>
      </c>
      <c r="P76" s="250" cm="1">
        <f t="array" ref="P76">INDEX(FX_Calcs,$W76,P$98)</f>
        <v>5.3781698856978846</v>
      </c>
      <c r="Q76" s="251" cm="1">
        <f t="array" ref="Q76">INDEX(FX_Calcs,$W76,Q$98)</f>
        <v>4.4826364701367698</v>
      </c>
      <c r="R76" s="293">
        <f t="shared" si="15"/>
        <v>103.10320138222848</v>
      </c>
      <c r="S76" s="294">
        <f t="shared" si="16"/>
        <v>5.1551600691114238E-2</v>
      </c>
      <c r="U76">
        <f t="shared" si="13"/>
        <v>105</v>
      </c>
      <c r="V76">
        <v>2</v>
      </c>
      <c r="W76">
        <f t="shared" si="14"/>
        <v>53</v>
      </c>
    </row>
    <row r="77" spans="2:23" ht="15.45" x14ac:dyDescent="0.4">
      <c r="B77" s="247" t="str" cm="1">
        <f t="array" ref="B77">INDEX(FX_Input,U77,V77)</f>
        <v>FIXTANK 184</v>
      </c>
      <c r="C77" s="221" t="str" cm="1">
        <f t="array" ref="C77">INDEX(FX_Setup,W77,3)</f>
        <v>Distillates</v>
      </c>
      <c r="D77" s="222" cm="1">
        <f t="array" ref="D77">INDEX(FX_Input,U77,D$98)</f>
        <v>63444</v>
      </c>
      <c r="E77" s="223" t="str">
        <f t="shared" si="12"/>
        <v>VOC</v>
      </c>
      <c r="F77" s="303" cm="1">
        <f t="array" ref="F77">INDEX(FX_Calcs,$W77,F$98)</f>
        <v>4.6438334805354753</v>
      </c>
      <c r="G77" s="249" cm="1">
        <f t="array" ref="G77">INDEX(FX_Calcs,$W77,G$98)</f>
        <v>5.4266551741765703</v>
      </c>
      <c r="H77" s="250" cm="1">
        <f t="array" ref="H77">INDEX(FX_Calcs,$W77,H$98)</f>
        <v>6.5696969949101174</v>
      </c>
      <c r="I77" s="250" cm="1">
        <f t="array" ref="I77">INDEX(FX_Calcs,$W77,I$98)</f>
        <v>8.1659021202580053</v>
      </c>
      <c r="J77" s="250" cm="1">
        <f t="array" ref="J77">INDEX(FX_Calcs,$W77,J$98)</f>
        <v>10.566008916353283</v>
      </c>
      <c r="K77" s="250" cm="1">
        <f t="array" ref="K77">INDEX(FX_Calcs,$W77,K$98)</f>
        <v>11.938954368148741</v>
      </c>
      <c r="L77" s="250" cm="1">
        <f t="array" ref="L77">INDEX(FX_Calcs,$W77,L$98)</f>
        <v>13.836409840172989</v>
      </c>
      <c r="M77" s="250" cm="1">
        <f t="array" ref="M77">INDEX(FX_Calcs,$W77,M$98)</f>
        <v>13.106502562668634</v>
      </c>
      <c r="N77" s="250" cm="1">
        <f t="array" ref="N77">INDEX(FX_Calcs,$W77,N$98)</f>
        <v>11.21802157135695</v>
      </c>
      <c r="O77" s="250" cm="1">
        <f t="array" ref="O77">INDEX(FX_Calcs,$W77,O$98)</f>
        <v>7.7380924369035977</v>
      </c>
      <c r="P77" s="250" cm="1">
        <f t="array" ref="P77">INDEX(FX_Calcs,$W77,P$98)</f>
        <v>5.375872669717829</v>
      </c>
      <c r="Q77" s="251" cm="1">
        <f t="array" ref="Q77">INDEX(FX_Calcs,$W77,Q$98)</f>
        <v>4.4806223494041495</v>
      </c>
      <c r="R77" s="293">
        <f t="shared" si="15"/>
        <v>103.06657248460635</v>
      </c>
      <c r="S77" s="294">
        <f t="shared" si="16"/>
        <v>5.1533286242303175E-2</v>
      </c>
      <c r="U77">
        <f t="shared" si="13"/>
        <v>107</v>
      </c>
      <c r="V77">
        <v>2</v>
      </c>
      <c r="W77">
        <f t="shared" si="14"/>
        <v>54</v>
      </c>
    </row>
    <row r="78" spans="2:23" ht="15.45" x14ac:dyDescent="0.4">
      <c r="B78" s="247" t="str" cm="1">
        <f t="array" ref="B78">INDEX(FX_Input,U78,V78)</f>
        <v>FIXTANK 185</v>
      </c>
      <c r="C78" s="221" t="str" cm="1">
        <f t="array" ref="C78">INDEX(FX_Setup,W78,3)</f>
        <v>Distillates</v>
      </c>
      <c r="D78" s="222" cm="1">
        <f t="array" ref="D78">INDEX(FX_Input,U78,D$98)</f>
        <v>63444</v>
      </c>
      <c r="E78" s="223" t="str">
        <f t="shared" si="12"/>
        <v>VOC</v>
      </c>
      <c r="F78" s="303" cm="1">
        <f t="array" ref="F78">INDEX(FX_Calcs,$W78,F$98)</f>
        <v>4.6438334805354753</v>
      </c>
      <c r="G78" s="249" cm="1">
        <f t="array" ref="G78">INDEX(FX_Calcs,$W78,G$98)</f>
        <v>5.4266551741765703</v>
      </c>
      <c r="H78" s="250" cm="1">
        <f t="array" ref="H78">INDEX(FX_Calcs,$W78,H$98)</f>
        <v>6.5696969949101174</v>
      </c>
      <c r="I78" s="250" cm="1">
        <f t="array" ref="I78">INDEX(FX_Calcs,$W78,I$98)</f>
        <v>8.1659021202580053</v>
      </c>
      <c r="J78" s="250" cm="1">
        <f t="array" ref="J78">INDEX(FX_Calcs,$W78,J$98)</f>
        <v>10.566008916353283</v>
      </c>
      <c r="K78" s="250" cm="1">
        <f t="array" ref="K78">INDEX(FX_Calcs,$W78,K$98)</f>
        <v>11.938954368148741</v>
      </c>
      <c r="L78" s="250" cm="1">
        <f t="array" ref="L78">INDEX(FX_Calcs,$W78,L$98)</f>
        <v>13.836409840172989</v>
      </c>
      <c r="M78" s="250" cm="1">
        <f t="array" ref="M78">INDEX(FX_Calcs,$W78,M$98)</f>
        <v>13.106502562668634</v>
      </c>
      <c r="N78" s="250" cm="1">
        <f t="array" ref="N78">INDEX(FX_Calcs,$W78,N$98)</f>
        <v>11.21802157135695</v>
      </c>
      <c r="O78" s="250" cm="1">
        <f t="array" ref="O78">INDEX(FX_Calcs,$W78,O$98)</f>
        <v>7.7380924369035977</v>
      </c>
      <c r="P78" s="250" cm="1">
        <f t="array" ref="P78">INDEX(FX_Calcs,$W78,P$98)</f>
        <v>5.375872669717829</v>
      </c>
      <c r="Q78" s="251" cm="1">
        <f t="array" ref="Q78">INDEX(FX_Calcs,$W78,Q$98)</f>
        <v>4.4806223494041495</v>
      </c>
      <c r="R78" s="293">
        <f t="shared" si="15"/>
        <v>103.06657248460635</v>
      </c>
      <c r="S78" s="294">
        <f t="shared" si="16"/>
        <v>5.1533286242303175E-2</v>
      </c>
      <c r="U78">
        <f t="shared" si="13"/>
        <v>109</v>
      </c>
      <c r="V78">
        <v>2</v>
      </c>
      <c r="W78">
        <f t="shared" si="14"/>
        <v>55</v>
      </c>
    </row>
    <row r="79" spans="2:23" ht="15" customHeight="1" x14ac:dyDescent="0.4">
      <c r="B79" s="247" t="str" cm="1">
        <f t="array" ref="B79">INDEX(FX_Input,U79,V79)</f>
        <v>FIXTANK 202</v>
      </c>
      <c r="C79" s="221" t="str" cm="1">
        <f t="array" ref="C79">INDEX(FX_Setup,W79,3)</f>
        <v>Distillates</v>
      </c>
      <c r="D79" s="222" cm="1">
        <f t="array" ref="D79">INDEX(FX_Input,U79,D$98)</f>
        <v>3360</v>
      </c>
      <c r="E79" s="223" t="str">
        <f t="shared" si="12"/>
        <v>VOC</v>
      </c>
      <c r="F79" s="303" cm="1">
        <f t="array" ref="F79">INDEX(FX_Calcs,$W79,F$98)</f>
        <v>0.21808411711575254</v>
      </c>
      <c r="G79" s="249" cm="1">
        <f t="array" ref="G79">INDEX(FX_Calcs,$W79,G$98)</f>
        <v>0.24117058384246762</v>
      </c>
      <c r="H79" s="250" cm="1">
        <f t="array" ref="H79">INDEX(FX_Calcs,$W79,H$98)</f>
        <v>0.27229866212530374</v>
      </c>
      <c r="I79" s="250" cm="1">
        <f t="array" ref="I79">INDEX(FX_Calcs,$W79,I$98)</f>
        <v>0.31511198770975557</v>
      </c>
      <c r="J79" s="250" cm="1">
        <f t="array" ref="J79">INDEX(FX_Calcs,$W79,J$98)</f>
        <v>0.38594597562103439</v>
      </c>
      <c r="K79" s="250" cm="1">
        <f t="array" ref="K79">INDEX(FX_Calcs,$W79,K$98)</f>
        <v>0.43220191228686372</v>
      </c>
      <c r="L79" s="250" cm="1">
        <f t="array" ref="L79">INDEX(FX_Calcs,$W79,L$98)</f>
        <v>0.49316518807495791</v>
      </c>
      <c r="M79" s="250" cm="1">
        <f t="array" ref="M79">INDEX(FX_Calcs,$W79,M$98)</f>
        <v>0.48627050365316704</v>
      </c>
      <c r="N79" s="250" cm="1">
        <f t="array" ref="N79">INDEX(FX_Calcs,$W79,N$98)</f>
        <v>0.44146544593917697</v>
      </c>
      <c r="O79" s="250" cm="1">
        <f t="array" ref="O79">INDEX(FX_Calcs,$W79,O$98)</f>
        <v>0.33232700078977973</v>
      </c>
      <c r="P79" s="250" cm="1">
        <f t="array" ref="P79">INDEX(FX_Calcs,$W79,P$98)</f>
        <v>0.24979791890737471</v>
      </c>
      <c r="Q79" s="251" cm="1">
        <f t="array" ref="Q79">INDEX(FX_Calcs,$W79,Q$98)</f>
        <v>0.2127211400303966</v>
      </c>
      <c r="R79" s="293">
        <f t="shared" si="15"/>
        <v>4.0805604360960306</v>
      </c>
      <c r="S79" s="294">
        <f t="shared" si="16"/>
        <v>2.0402802180480152E-3</v>
      </c>
      <c r="U79">
        <f t="shared" si="13"/>
        <v>111</v>
      </c>
      <c r="V79">
        <v>2</v>
      </c>
      <c r="W79">
        <f t="shared" si="14"/>
        <v>56</v>
      </c>
    </row>
    <row r="80" spans="2:23" ht="15" customHeight="1" x14ac:dyDescent="0.4">
      <c r="B80" s="247" t="str" cm="1">
        <f t="array" ref="B80">INDEX(FX_Input,U80,V80)</f>
        <v>FIXTANK 203</v>
      </c>
      <c r="C80" s="221" t="str" cm="1">
        <f t="array" ref="C80">INDEX(FX_Setup,W80,3)</f>
        <v>Distillates</v>
      </c>
      <c r="D80" s="222" cm="1">
        <f t="array" ref="D80">INDEX(FX_Input,U80,D$98)</f>
        <v>5820</v>
      </c>
      <c r="E80" s="223" t="str">
        <f t="shared" si="12"/>
        <v>VOC</v>
      </c>
      <c r="F80" s="303" cm="1">
        <f t="array" ref="F80">INDEX(FX_Calcs,$W80,F$98)</f>
        <v>0.37758309906289295</v>
      </c>
      <c r="G80" s="249" cm="1">
        <f t="array" ref="G80">INDEX(FX_Calcs,$W80,G$98)</f>
        <v>0.417498893297233</v>
      </c>
      <c r="H80" s="250" cm="1">
        <f t="array" ref="H80">INDEX(FX_Calcs,$W80,H$98)</f>
        <v>0.4713240265252403</v>
      </c>
      <c r="I80" s="250" cm="1">
        <f t="array" ref="I80">INDEX(FX_Calcs,$W80,I$98)</f>
        <v>0.54537732396302574</v>
      </c>
      <c r="J80" s="250" cm="1">
        <f t="array" ref="J80">INDEX(FX_Calcs,$W80,J$98)</f>
        <v>0.66789606359810483</v>
      </c>
      <c r="K80" s="250" cm="1">
        <f t="array" ref="K80">INDEX(FX_Calcs,$W80,K$98)</f>
        <v>0.74794194479912812</v>
      </c>
      <c r="L80" s="250" cm="1">
        <f t="array" ref="L80">INDEX(FX_Calcs,$W80,L$98)</f>
        <v>0.85337638101828306</v>
      </c>
      <c r="M80" s="250" cm="1">
        <f t="array" ref="M80">INDEX(FX_Calcs,$W80,M$98)</f>
        <v>0.84146958223040835</v>
      </c>
      <c r="N80" s="250" cm="1">
        <f t="array" ref="N80">INDEX(FX_Calcs,$W80,N$98)</f>
        <v>0.76396288842989934</v>
      </c>
      <c r="O80" s="250" cm="1">
        <f t="array" ref="O80">INDEX(FX_Calcs,$W80,O$98)</f>
        <v>0.57520866481142996</v>
      </c>
      <c r="P80" s="250" cm="1">
        <f t="array" ref="P80">INDEX(FX_Calcs,$W80,P$98)</f>
        <v>0.43245851678459235</v>
      </c>
      <c r="Q80" s="251" cm="1">
        <f t="array" ref="Q80">INDEX(FX_Calcs,$W80,Q$98)</f>
        <v>0.3683087611379503</v>
      </c>
      <c r="R80" s="293">
        <f t="shared" ref="R80:R90" si="17">IFERROR(F80+G80+H80+I80+J80+K80+L80+M80+N80+O80+P80+Q80,"N/A")</f>
        <v>7.0624061456581888</v>
      </c>
      <c r="S80" s="294">
        <f t="shared" ref="S80:S90" si="18">IFERROR(R80/2000,"N/A")</f>
        <v>3.5312030728290944E-3</v>
      </c>
      <c r="U80">
        <f t="shared" si="13"/>
        <v>113</v>
      </c>
      <c r="V80">
        <f>V79</f>
        <v>2</v>
      </c>
      <c r="W80">
        <f t="shared" si="14"/>
        <v>57</v>
      </c>
    </row>
    <row r="81" spans="2:23" ht="15" customHeight="1" x14ac:dyDescent="0.4">
      <c r="B81" s="247" t="str" cm="1">
        <f t="array" ref="B81">INDEX(FX_Input,U81,V81)</f>
        <v>FIXTANK 204</v>
      </c>
      <c r="C81" s="221" t="str" cm="1">
        <f t="array" ref="C81">INDEX(FX_Setup,W81,3)</f>
        <v>Distillates</v>
      </c>
      <c r="D81" s="222" cm="1">
        <f t="array" ref="D81">INDEX(FX_Input,U81,D$98)</f>
        <v>5796</v>
      </c>
      <c r="E81" s="223" t="str">
        <f t="shared" si="12"/>
        <v>VOC</v>
      </c>
      <c r="F81" s="303" cm="1">
        <f t="array" ref="F81">INDEX(FX_Calcs,$W81,F$98)</f>
        <v>0.37626573177515299</v>
      </c>
      <c r="G81" s="249" cm="1">
        <f t="array" ref="G81">INDEX(FX_Calcs,$W81,G$98)</f>
        <v>0.41611722535519635</v>
      </c>
      <c r="H81" s="250" cm="1">
        <f t="array" ref="H81">INDEX(FX_Calcs,$W81,H$98)</f>
        <v>0.46984419801320298</v>
      </c>
      <c r="I81" s="250" cm="1">
        <f t="array" ref="I81">INDEX(FX_Calcs,$W81,I$98)</f>
        <v>0.54372295186354658</v>
      </c>
      <c r="J81" s="250" cm="1">
        <f t="array" ref="J81">INDEX(FX_Calcs,$W81,J$98)</f>
        <v>0.66593957840330775</v>
      </c>
      <c r="K81" s="250" cm="1">
        <f t="array" ref="K81">INDEX(FX_Calcs,$W81,K$98)</f>
        <v>0.74572289838199102</v>
      </c>
      <c r="L81" s="250" cm="1">
        <f t="array" ref="L81">INDEX(FX_Calcs,$W81,L$98)</f>
        <v>0.85088918496803712</v>
      </c>
      <c r="M81" s="250" cm="1">
        <f t="array" ref="M81">INDEX(FX_Calcs,$W81,M$98)</f>
        <v>0.838989224771445</v>
      </c>
      <c r="N81" s="250" cm="1">
        <f t="array" ref="N81">INDEX(FX_Calcs,$W81,N$98)</f>
        <v>0.76170410538148381</v>
      </c>
      <c r="O81" s="250" cm="1">
        <f t="array" ref="O81">INDEX(FX_Calcs,$W81,O$98)</f>
        <v>0.57340252244220891</v>
      </c>
      <c r="P81" s="250" cm="1">
        <f t="array" ref="P81">INDEX(FX_Calcs,$W81,P$98)</f>
        <v>0.4309890479566999</v>
      </c>
      <c r="Q81" s="251" cm="1">
        <f t="array" ref="Q81">INDEX(FX_Calcs,$W81,Q$98)</f>
        <v>0.36700886073075611</v>
      </c>
      <c r="R81" s="293">
        <f t="shared" si="17"/>
        <v>7.0405955300430287</v>
      </c>
      <c r="S81" s="294">
        <f t="shared" si="18"/>
        <v>3.5202977650215144E-3</v>
      </c>
      <c r="U81">
        <f t="shared" si="13"/>
        <v>115</v>
      </c>
      <c r="V81">
        <f t="shared" ref="V81:V87" si="19">V80</f>
        <v>2</v>
      </c>
      <c r="W81">
        <f t="shared" si="14"/>
        <v>58</v>
      </c>
    </row>
    <row r="82" spans="2:23" ht="15" customHeight="1" x14ac:dyDescent="0.4">
      <c r="B82" s="247" t="str" cm="1">
        <f t="array" ref="B82">INDEX(FX_Input,U82,V82)</f>
        <v>FIXTANK 205</v>
      </c>
      <c r="C82" s="221" t="str" cm="1">
        <f t="array" ref="C82">INDEX(FX_Setup,W82,3)</f>
        <v>Distillates</v>
      </c>
      <c r="D82" s="222" cm="1">
        <f t="array" ref="D82">INDEX(FX_Input,U82,D$98)</f>
        <v>5796</v>
      </c>
      <c r="E82" s="223" t="str">
        <f t="shared" si="12"/>
        <v>VOC</v>
      </c>
      <c r="F82" s="303" cm="1">
        <f t="array" ref="F82">INDEX(FX_Calcs,$W82,F$98)</f>
        <v>0.37626573177515299</v>
      </c>
      <c r="G82" s="249" cm="1">
        <f t="array" ref="G82">INDEX(FX_Calcs,$W82,G$98)</f>
        <v>0.41611722535519635</v>
      </c>
      <c r="H82" s="250" cm="1">
        <f t="array" ref="H82">INDEX(FX_Calcs,$W82,H$98)</f>
        <v>0.46984419801320298</v>
      </c>
      <c r="I82" s="250" cm="1">
        <f t="array" ref="I82">INDEX(FX_Calcs,$W82,I$98)</f>
        <v>0.54372295186354658</v>
      </c>
      <c r="J82" s="250" cm="1">
        <f t="array" ref="J82">INDEX(FX_Calcs,$W82,J$98)</f>
        <v>0.66593957840330775</v>
      </c>
      <c r="K82" s="250" cm="1">
        <f t="array" ref="K82">INDEX(FX_Calcs,$W82,K$98)</f>
        <v>0.74572289838199102</v>
      </c>
      <c r="L82" s="250" cm="1">
        <f t="array" ref="L82">INDEX(FX_Calcs,$W82,L$98)</f>
        <v>0.85088918496803712</v>
      </c>
      <c r="M82" s="250" cm="1">
        <f t="array" ref="M82">INDEX(FX_Calcs,$W82,M$98)</f>
        <v>0.838989224771445</v>
      </c>
      <c r="N82" s="250" cm="1">
        <f t="array" ref="N82">INDEX(FX_Calcs,$W82,N$98)</f>
        <v>0.76170410538148381</v>
      </c>
      <c r="O82" s="250" cm="1">
        <f t="array" ref="O82">INDEX(FX_Calcs,$W82,O$98)</f>
        <v>0.57340252244220891</v>
      </c>
      <c r="P82" s="250" cm="1">
        <f t="array" ref="P82">INDEX(FX_Calcs,$W82,P$98)</f>
        <v>0.4309890479566999</v>
      </c>
      <c r="Q82" s="251" cm="1">
        <f t="array" ref="Q82">INDEX(FX_Calcs,$W82,Q$98)</f>
        <v>0.36700886073075611</v>
      </c>
      <c r="R82" s="293">
        <f t="shared" si="17"/>
        <v>7.0405955300430287</v>
      </c>
      <c r="S82" s="294">
        <f t="shared" si="18"/>
        <v>3.5202977650215144E-3</v>
      </c>
      <c r="U82">
        <f t="shared" si="13"/>
        <v>117</v>
      </c>
      <c r="V82">
        <f t="shared" si="19"/>
        <v>2</v>
      </c>
      <c r="W82">
        <f t="shared" si="14"/>
        <v>59</v>
      </c>
    </row>
    <row r="83" spans="2:23" ht="15" customHeight="1" x14ac:dyDescent="0.4">
      <c r="B83" s="247" t="str" cm="1">
        <f t="array" ref="B83">INDEX(FX_Input,U83,V83)</f>
        <v>FIXTANK 207</v>
      </c>
      <c r="C83" s="221" t="str" cm="1">
        <f t="array" ref="C83">INDEX(FX_Setup,W83,3)</f>
        <v>Distillates</v>
      </c>
      <c r="D83" s="222" cm="1">
        <f t="array" ref="D83">INDEX(FX_Input,U83,D$98)</f>
        <v>3360</v>
      </c>
      <c r="E83" s="223" t="str">
        <f t="shared" si="12"/>
        <v>VOC</v>
      </c>
      <c r="F83" s="303" cm="1">
        <f t="array" ref="F83">INDEX(FX_Calcs,$W83,F$98)</f>
        <v>0.21808411711575254</v>
      </c>
      <c r="G83" s="249" cm="1">
        <f t="array" ref="G83">INDEX(FX_Calcs,$W83,G$98)</f>
        <v>0.24117058384246762</v>
      </c>
      <c r="H83" s="250" cm="1">
        <f t="array" ref="H83">INDEX(FX_Calcs,$W83,H$98)</f>
        <v>0.27229866212530374</v>
      </c>
      <c r="I83" s="250" cm="1">
        <f t="array" ref="I83">INDEX(FX_Calcs,$W83,I$98)</f>
        <v>0.31511198770975557</v>
      </c>
      <c r="J83" s="250" cm="1">
        <f t="array" ref="J83">INDEX(FX_Calcs,$W83,J$98)</f>
        <v>0.38594597562103439</v>
      </c>
      <c r="K83" s="250" cm="1">
        <f t="array" ref="K83">INDEX(FX_Calcs,$W83,K$98)</f>
        <v>0.43220191228686372</v>
      </c>
      <c r="L83" s="250" cm="1">
        <f t="array" ref="L83">INDEX(FX_Calcs,$W83,L$98)</f>
        <v>0.49316518807495791</v>
      </c>
      <c r="M83" s="250" cm="1">
        <f t="array" ref="M83">INDEX(FX_Calcs,$W83,M$98)</f>
        <v>0.48627050365316704</v>
      </c>
      <c r="N83" s="250" cm="1">
        <f t="array" ref="N83">INDEX(FX_Calcs,$W83,N$98)</f>
        <v>0.44146544593917697</v>
      </c>
      <c r="O83" s="250" cm="1">
        <f t="array" ref="O83">INDEX(FX_Calcs,$W83,O$98)</f>
        <v>0.33232700078977973</v>
      </c>
      <c r="P83" s="250" cm="1">
        <f t="array" ref="P83">INDEX(FX_Calcs,$W83,P$98)</f>
        <v>0.24979791890737471</v>
      </c>
      <c r="Q83" s="251" cm="1">
        <f t="array" ref="Q83">INDEX(FX_Calcs,$W83,Q$98)</f>
        <v>0.2127211400303966</v>
      </c>
      <c r="R83" s="293">
        <f t="shared" si="17"/>
        <v>4.0805604360960306</v>
      </c>
      <c r="S83" s="294">
        <f t="shared" si="18"/>
        <v>2.0402802180480152E-3</v>
      </c>
      <c r="U83">
        <f t="shared" si="13"/>
        <v>119</v>
      </c>
      <c r="V83">
        <f t="shared" si="19"/>
        <v>2</v>
      </c>
      <c r="W83">
        <f t="shared" si="14"/>
        <v>60</v>
      </c>
    </row>
    <row r="84" spans="2:23" ht="15" customHeight="1" x14ac:dyDescent="0.4">
      <c r="B84" s="247" t="str" cm="1">
        <f t="array" ref="B84">INDEX(FX_Input,U84,V84)</f>
        <v>FIXTANK 208</v>
      </c>
      <c r="C84" s="221" t="str" cm="1">
        <f t="array" ref="C84">INDEX(FX_Setup,W84,3)</f>
        <v>Distillates</v>
      </c>
      <c r="D84" s="222" cm="1">
        <f t="array" ref="D84">INDEX(FX_Input,U84,D$98)</f>
        <v>3360</v>
      </c>
      <c r="E84" s="223" t="str">
        <f t="shared" si="12"/>
        <v>VOC</v>
      </c>
      <c r="F84" s="303" cm="1">
        <f t="array" ref="F84">INDEX(FX_Calcs,$W84,F$98)</f>
        <v>0.21808411711575254</v>
      </c>
      <c r="G84" s="249" cm="1">
        <f t="array" ref="G84">INDEX(FX_Calcs,$W84,G$98)</f>
        <v>0.24117058384246762</v>
      </c>
      <c r="H84" s="250" cm="1">
        <f t="array" ref="H84">INDEX(FX_Calcs,$W84,H$98)</f>
        <v>0.27229866212530374</v>
      </c>
      <c r="I84" s="250" cm="1">
        <f t="array" ref="I84">INDEX(FX_Calcs,$W84,I$98)</f>
        <v>0.31511198770975557</v>
      </c>
      <c r="J84" s="250" cm="1">
        <f t="array" ref="J84">INDEX(FX_Calcs,$W84,J$98)</f>
        <v>0.38594597562103439</v>
      </c>
      <c r="K84" s="250" cm="1">
        <f t="array" ref="K84">INDEX(FX_Calcs,$W84,K$98)</f>
        <v>0.43220191228686372</v>
      </c>
      <c r="L84" s="250" cm="1">
        <f t="array" ref="L84">INDEX(FX_Calcs,$W84,L$98)</f>
        <v>0.49316518807495791</v>
      </c>
      <c r="M84" s="250" cm="1">
        <f t="array" ref="M84">INDEX(FX_Calcs,$W84,M$98)</f>
        <v>0.48627050365316704</v>
      </c>
      <c r="N84" s="250" cm="1">
        <f t="array" ref="N84">INDEX(FX_Calcs,$W84,N$98)</f>
        <v>0.44146544593917697</v>
      </c>
      <c r="O84" s="250" cm="1">
        <f t="array" ref="O84">INDEX(FX_Calcs,$W84,O$98)</f>
        <v>0.33232700078977973</v>
      </c>
      <c r="P84" s="250" cm="1">
        <f t="array" ref="P84">INDEX(FX_Calcs,$W84,P$98)</f>
        <v>0.24979791890737471</v>
      </c>
      <c r="Q84" s="251" cm="1">
        <f t="array" ref="Q84">INDEX(FX_Calcs,$W84,Q$98)</f>
        <v>0.2127211400303966</v>
      </c>
      <c r="R84" s="293">
        <f t="shared" si="17"/>
        <v>4.0805604360960306</v>
      </c>
      <c r="S84" s="294">
        <f t="shared" si="18"/>
        <v>2.0402802180480152E-3</v>
      </c>
      <c r="U84">
        <f t="shared" si="13"/>
        <v>121</v>
      </c>
      <c r="V84">
        <f t="shared" si="19"/>
        <v>2</v>
      </c>
      <c r="W84">
        <f t="shared" si="14"/>
        <v>61</v>
      </c>
    </row>
    <row r="85" spans="2:23" ht="15" customHeight="1" x14ac:dyDescent="0.4">
      <c r="B85" s="247" t="str" cm="1">
        <f t="array" ref="B85">INDEX(FX_Input,U85,V85)</f>
        <v>FIXTANK 209</v>
      </c>
      <c r="C85" s="221" t="str" cm="1">
        <f t="array" ref="C85">INDEX(FX_Setup,W85,3)</f>
        <v>Distillates</v>
      </c>
      <c r="D85" s="222" cm="1">
        <f t="array" ref="D85">INDEX(FX_Input,U85,D$98)</f>
        <v>4872</v>
      </c>
      <c r="E85" s="223" t="str">
        <f t="shared" si="12"/>
        <v>VOC</v>
      </c>
      <c r="F85" s="303" cm="1">
        <f t="array" ref="F85">INDEX(FX_Calcs,$W85,F$98)</f>
        <v>0.25992121277775193</v>
      </c>
      <c r="G85" s="249" cm="1">
        <f t="array" ref="G85">INDEX(FX_Calcs,$W85,G$98)</f>
        <v>0.26691647626216691</v>
      </c>
      <c r="H85" s="250" cm="1">
        <f t="array" ref="H85">INDEX(FX_Calcs,$W85,H$98)</f>
        <v>0.2795560238173066</v>
      </c>
      <c r="I85" s="250" cm="1">
        <f t="array" ref="I85">INDEX(FX_Calcs,$W85,I$98)</f>
        <v>0.30343555304941622</v>
      </c>
      <c r="J85" s="250" cm="1">
        <f t="array" ref="J85">INDEX(FX_Calcs,$W85,J$98)</f>
        <v>0.35150914608785161</v>
      </c>
      <c r="K85" s="250" cm="1">
        <f t="array" ref="K85">INDEX(FX_Calcs,$W85,K$98)</f>
        <v>0.39663446239476408</v>
      </c>
      <c r="L85" s="250" cm="1">
        <f t="array" ref="L85">INDEX(FX_Calcs,$W85,L$98)</f>
        <v>0.44259279855349648</v>
      </c>
      <c r="M85" s="250" cm="1">
        <f t="array" ref="M85">INDEX(FX_Calcs,$W85,M$98)</f>
        <v>0.44882624465008147</v>
      </c>
      <c r="N85" s="250" cm="1">
        <f t="array" ref="N85">INDEX(FX_Calcs,$W85,N$98)</f>
        <v>0.41775302272123943</v>
      </c>
      <c r="O85" s="250" cm="1">
        <f t="array" ref="O85">INDEX(FX_Calcs,$W85,O$98)</f>
        <v>0.34591954560345872</v>
      </c>
      <c r="P85" s="250" cm="1">
        <f t="array" ref="P85">INDEX(FX_Calcs,$W85,P$98)</f>
        <v>0.28890251290907648</v>
      </c>
      <c r="Q85" s="251" cm="1">
        <f t="array" ref="Q85">INDEX(FX_Calcs,$W85,Q$98)</f>
        <v>0.25733974451612096</v>
      </c>
      <c r="R85" s="293">
        <f t="shared" si="17"/>
        <v>4.0593067433427308</v>
      </c>
      <c r="S85" s="294">
        <f t="shared" si="18"/>
        <v>2.0296533716713653E-3</v>
      </c>
      <c r="U85">
        <f t="shared" si="13"/>
        <v>123</v>
      </c>
      <c r="V85">
        <f t="shared" si="19"/>
        <v>2</v>
      </c>
      <c r="W85">
        <f t="shared" si="14"/>
        <v>62</v>
      </c>
    </row>
    <row r="86" spans="2:23" ht="15" customHeight="1" x14ac:dyDescent="0.4">
      <c r="B86" s="247" t="str" cm="1">
        <f t="array" ref="B86">INDEX(FX_Input,U86,V86)</f>
        <v>FIXTANK 211</v>
      </c>
      <c r="C86" s="221" t="str" cm="1">
        <f t="array" ref="C86">INDEX(FX_Setup,W86,3)</f>
        <v>Distillates</v>
      </c>
      <c r="D86" s="222" cm="1">
        <f t="array" ref="D86">INDEX(FX_Input,U86,D$98)</f>
        <v>6000</v>
      </c>
      <c r="E86" s="223" t="str">
        <f t="shared" si="12"/>
        <v>VOC</v>
      </c>
      <c r="F86" s="303" cm="1">
        <f t="array" ref="F86">INDEX(FX_Calcs,$W86,F$98)</f>
        <v>0.32010001573614766</v>
      </c>
      <c r="G86" s="249" cm="1">
        <f t="array" ref="G86">INDEX(FX_Calcs,$W86,G$98)</f>
        <v>0.32871487224404788</v>
      </c>
      <c r="H86" s="250" cm="1">
        <f t="array" ref="H86">INDEX(FX_Calcs,$W86,H$98)</f>
        <v>0.34428081750899825</v>
      </c>
      <c r="I86" s="250" cm="1">
        <f t="array" ref="I86">INDEX(FX_Calcs,$W86,I$98)</f>
        <v>0.37368910474066036</v>
      </c>
      <c r="J86" s="250" cm="1">
        <f t="array" ref="J86">INDEX(FX_Calcs,$W86,J$98)</f>
        <v>0.43289303705400445</v>
      </c>
      <c r="K86" s="250" cm="1">
        <f t="array" ref="K86">INDEX(FX_Calcs,$W86,K$98)</f>
        <v>0.48846608669305919</v>
      </c>
      <c r="L86" s="250" cm="1">
        <f t="array" ref="L86">INDEX(FX_Calcs,$W86,L$98)</f>
        <v>0.54506502284913361</v>
      </c>
      <c r="M86" s="250" cm="1">
        <f t="array" ref="M86">INDEX(FX_Calcs,$W86,M$98)</f>
        <v>0.55274168060354856</v>
      </c>
      <c r="N86" s="250" cm="1">
        <f t="array" ref="N86">INDEX(FX_Calcs,$W86,N$98)</f>
        <v>0.51447416591285644</v>
      </c>
      <c r="O86" s="250" cm="1">
        <f t="array" ref="O86">INDEX(FX_Calcs,$W86,O$98)</f>
        <v>0.42600929261509696</v>
      </c>
      <c r="P86" s="250" cm="1">
        <f t="array" ref="P86">INDEX(FX_Calcs,$W86,P$98)</f>
        <v>0.35579127205551286</v>
      </c>
      <c r="Q86" s="251" cm="1">
        <f t="array" ref="Q86">INDEX(FX_Calcs,$W86,Q$98)</f>
        <v>0.31692086763069083</v>
      </c>
      <c r="R86" s="293">
        <f t="shared" si="17"/>
        <v>4.9991462356437575</v>
      </c>
      <c r="S86" s="294">
        <f t="shared" si="18"/>
        <v>2.4995731178218787E-3</v>
      </c>
      <c r="U86">
        <f t="shared" si="13"/>
        <v>125</v>
      </c>
      <c r="V86">
        <f t="shared" si="19"/>
        <v>2</v>
      </c>
      <c r="W86">
        <f t="shared" si="14"/>
        <v>63</v>
      </c>
    </row>
    <row r="87" spans="2:23" ht="15" customHeight="1" x14ac:dyDescent="0.4">
      <c r="B87" s="247" t="str" cm="1">
        <f t="array" ref="B87">INDEX(FX_Input,U87,V87)</f>
        <v>FIXTANK 213</v>
      </c>
      <c r="C87" s="221" t="str" cm="1">
        <f t="array" ref="C87">INDEX(FX_Setup,W87,3)</f>
        <v>Distillates</v>
      </c>
      <c r="D87" s="222" cm="1">
        <f t="array" ref="D87">INDEX(FX_Input,U87,D$98)</f>
        <v>3696</v>
      </c>
      <c r="E87" s="223" t="str">
        <f t="shared" si="12"/>
        <v>VOC</v>
      </c>
      <c r="F87" s="303" cm="1">
        <f t="array" ref="F87">INDEX(FX_Calcs,$W87,F$98)</f>
        <v>0.19718160969346696</v>
      </c>
      <c r="G87" s="249" cm="1">
        <f t="array" ref="G87">INDEX(FX_Calcs,$W87,G$98)</f>
        <v>0.20248836130233347</v>
      </c>
      <c r="H87" s="250" cm="1">
        <f t="array" ref="H87">INDEX(FX_Calcs,$W87,H$98)</f>
        <v>0.21207698358554289</v>
      </c>
      <c r="I87" s="250" cm="1">
        <f t="array" ref="I87">INDEX(FX_Calcs,$W87,I$98)</f>
        <v>0.23019248852024674</v>
      </c>
      <c r="J87" s="250" cm="1">
        <f t="array" ref="J87">INDEX(FX_Calcs,$W87,J$98)</f>
        <v>0.26666211082526675</v>
      </c>
      <c r="K87" s="250" cm="1">
        <f t="array" ref="K87">INDEX(FX_Calcs,$W87,K$98)</f>
        <v>0.30089510940292441</v>
      </c>
      <c r="L87" s="250" cm="1">
        <f t="array" ref="L87">INDEX(FX_Calcs,$W87,L$98)</f>
        <v>0.33576005407506626</v>
      </c>
      <c r="M87" s="250" cm="1">
        <f t="array" ref="M87">INDEX(FX_Calcs,$W87,M$98)</f>
        <v>0.34048887525178589</v>
      </c>
      <c r="N87" s="250" cm="1">
        <f t="array" ref="N87">INDEX(FX_Calcs,$W87,N$98)</f>
        <v>0.31691608620231954</v>
      </c>
      <c r="O87" s="250" cm="1">
        <f t="array" ref="O87">INDEX(FX_Calcs,$W87,O$98)</f>
        <v>0.26242172425089971</v>
      </c>
      <c r="P87" s="250" cm="1">
        <f t="array" ref="P87">INDEX(FX_Calcs,$W87,P$98)</f>
        <v>0.21916742358619593</v>
      </c>
      <c r="Q87" s="251" cm="1">
        <f t="array" ref="Q87">INDEX(FX_Calcs,$W87,Q$98)</f>
        <v>0.19522325446050554</v>
      </c>
      <c r="R87" s="293">
        <f t="shared" si="17"/>
        <v>3.0794740811565537</v>
      </c>
      <c r="S87" s="294">
        <f t="shared" si="18"/>
        <v>1.5397370405782769E-3</v>
      </c>
      <c r="U87">
        <f t="shared" si="13"/>
        <v>127</v>
      </c>
      <c r="V87">
        <f t="shared" si="19"/>
        <v>2</v>
      </c>
      <c r="W87">
        <f t="shared" si="14"/>
        <v>64</v>
      </c>
    </row>
    <row r="88" spans="2:23" ht="15" customHeight="1" x14ac:dyDescent="0.4">
      <c r="B88" s="247" t="str" cm="1">
        <f t="array" ref="B88">INDEX(FX_Input,U88,V88)</f>
        <v>FIXTANK 306</v>
      </c>
      <c r="C88" s="221" t="str" cm="1">
        <f t="array" ref="C88">INDEX(FX_Setup,W88,3)</f>
        <v>Distillates</v>
      </c>
      <c r="D88" s="222" cm="1">
        <f t="array" ref="D88">INDEX(FX_Input,U88,D$98)</f>
        <v>840</v>
      </c>
      <c r="E88" s="223" t="str">
        <f>E86</f>
        <v>VOC</v>
      </c>
      <c r="F88" s="303" cm="1">
        <f t="array" ref="F88">INDEX(FX_Calcs,$W88,F$98)</f>
        <v>0.19718160969346696</v>
      </c>
      <c r="G88" s="249" cm="1">
        <f t="array" ref="G88">INDEX(FX_Calcs,$W88,G$98)</f>
        <v>0.20248836130233347</v>
      </c>
      <c r="H88" s="250" cm="1">
        <f t="array" ref="H88">INDEX(FX_Calcs,$W88,H$98)</f>
        <v>0.21207698358554289</v>
      </c>
      <c r="I88" s="250" cm="1">
        <f t="array" ref="I88">INDEX(FX_Calcs,$W88,I$98)</f>
        <v>0.23019248852024674</v>
      </c>
      <c r="J88" s="250" cm="1">
        <f t="array" ref="J88">INDEX(FX_Calcs,$W88,J$98)</f>
        <v>0.26666211082526675</v>
      </c>
      <c r="K88" s="250" cm="1">
        <f t="array" ref="K88">INDEX(FX_Calcs,$W88,K$98)</f>
        <v>0.30089510940292441</v>
      </c>
      <c r="L88" s="250" cm="1">
        <f t="array" ref="L88">INDEX(FX_Calcs,$W88,L$98)</f>
        <v>0.33576005407506626</v>
      </c>
      <c r="M88" s="250" cm="1">
        <f t="array" ref="M88">INDEX(FX_Calcs,$W88,M$98)</f>
        <v>0.34048887525178589</v>
      </c>
      <c r="N88" s="250" cm="1">
        <f t="array" ref="N88">INDEX(FX_Calcs,$W88,N$98)</f>
        <v>0.31691608620231954</v>
      </c>
      <c r="O88" s="250" cm="1">
        <f t="array" ref="O88">INDEX(FX_Calcs,$W88,O$98)</f>
        <v>0.26242172425089971</v>
      </c>
      <c r="P88" s="250" cm="1">
        <f t="array" ref="P88">INDEX(FX_Calcs,$W88,P$98)</f>
        <v>0.21916742358619593</v>
      </c>
      <c r="Q88" s="251" cm="1">
        <f t="array" ref="Q88">INDEX(FX_Calcs,$W88,Q$98)</f>
        <v>0.19522325446050554</v>
      </c>
      <c r="R88" s="293">
        <f t="shared" si="17"/>
        <v>3.0794740811565537</v>
      </c>
      <c r="S88" s="294">
        <f t="shared" ref="S88" si="20">IFERROR(R88/2000,"N/A")</f>
        <v>1.5397370405782769E-3</v>
      </c>
      <c r="U88">
        <f t="shared" si="13"/>
        <v>129</v>
      </c>
      <c r="V88">
        <f>V86</f>
        <v>2</v>
      </c>
      <c r="W88">
        <f>W86+1</f>
        <v>64</v>
      </c>
    </row>
    <row r="89" spans="2:23" ht="15" customHeight="1" x14ac:dyDescent="0.4">
      <c r="B89" s="247" t="str" cm="1">
        <f t="array" ref="B89">INDEX(FX_Input,U89,V89)</f>
        <v>FIXTANK 307</v>
      </c>
      <c r="C89" s="221" t="str" cm="1">
        <f t="array" ref="C89">INDEX(FX_Setup,W89,3)</f>
        <v>Distillates</v>
      </c>
      <c r="D89" s="222" cm="1">
        <f t="array" ref="D89">INDEX(FX_Input,U89,D$98)</f>
        <v>1020</v>
      </c>
      <c r="E89" s="223" t="str">
        <f>E87</f>
        <v>VOC</v>
      </c>
      <c r="F89" s="303" cm="1">
        <f t="array" ref="F89">INDEX(FX_Calcs,$W89,F$98)</f>
        <v>4.4814002203060678E-2</v>
      </c>
      <c r="G89" s="249" cm="1">
        <f t="array" ref="G89">INDEX(FX_Calcs,$W89,G$98)</f>
        <v>4.6020082114166708E-2</v>
      </c>
      <c r="H89" s="250" cm="1">
        <f t="array" ref="H89">INDEX(FX_Calcs,$W89,H$98)</f>
        <v>4.8199314451259752E-2</v>
      </c>
      <c r="I89" s="250" cm="1">
        <f t="array" ref="I89">INDEX(FX_Calcs,$W89,I$98)</f>
        <v>5.231647466369245E-2</v>
      </c>
      <c r="J89" s="250" cm="1">
        <f t="array" ref="J89">INDEX(FX_Calcs,$W89,J$98)</f>
        <v>6.0605025187560627E-2</v>
      </c>
      <c r="K89" s="250" cm="1">
        <f t="array" ref="K89">INDEX(FX_Calcs,$W89,K$98)</f>
        <v>6.8385252137028285E-2</v>
      </c>
      <c r="L89" s="250" cm="1">
        <f t="array" ref="L89">INDEX(FX_Calcs,$W89,L$98)</f>
        <v>7.6309103198878708E-2</v>
      </c>
      <c r="M89" s="250" cm="1">
        <f t="array" ref="M89">INDEX(FX_Calcs,$W89,M$98)</f>
        <v>7.7383835284496799E-2</v>
      </c>
      <c r="N89" s="250" cm="1">
        <f t="array" ref="N89">INDEX(FX_Calcs,$W89,N$98)</f>
        <v>7.2026383227799903E-2</v>
      </c>
      <c r="O89" s="250" cm="1">
        <f t="array" ref="O89">INDEX(FX_Calcs,$W89,O$98)</f>
        <v>5.9641300966113572E-2</v>
      </c>
      <c r="P89" s="250" cm="1">
        <f t="array" ref="P89">INDEX(FX_Calcs,$W89,P$98)</f>
        <v>4.9810778087771804E-2</v>
      </c>
      <c r="Q89" s="251" cm="1">
        <f t="array" ref="Q89">INDEX(FX_Calcs,$W89,Q$98)</f>
        <v>4.436892146829672E-2</v>
      </c>
      <c r="R89" s="293">
        <f t="shared" ref="R89" si="21">IFERROR(F89+G89+H89+I89+J89+K89+L89+M89+N89+O89+P89+Q89,"N/A")</f>
        <v>0.6998804729901259</v>
      </c>
      <c r="S89" s="294">
        <f t="shared" ref="S89" si="22">IFERROR(R89/2000,"N/A")</f>
        <v>3.4994023649506293E-4</v>
      </c>
      <c r="U89">
        <f t="shared" si="13"/>
        <v>131</v>
      </c>
      <c r="V89">
        <f>V87</f>
        <v>2</v>
      </c>
      <c r="W89">
        <f>W87+1</f>
        <v>65</v>
      </c>
    </row>
    <row r="90" spans="2:23" ht="15" customHeight="1" thickBot="1" x14ac:dyDescent="0.45">
      <c r="B90" s="247" t="str" cm="1">
        <f t="array" ref="B90">INDEX(FX_Input,U90,V90)</f>
        <v>FIXTANK 317</v>
      </c>
      <c r="C90" s="221" t="str" cm="1">
        <f t="array" ref="C90">INDEX(FX_Setup,W90,3)</f>
        <v>Distillates</v>
      </c>
      <c r="D90" s="222" cm="1">
        <f t="array" ref="D90">INDEX(FX_Input,U90,D$98)</f>
        <v>3000</v>
      </c>
      <c r="E90" s="223" t="str">
        <f>E87</f>
        <v>VOC</v>
      </c>
      <c r="F90" s="303" cm="1">
        <f t="array" ref="F90">INDEX(FX_Calcs,$W90,F$98)</f>
        <v>4.4814002203060678E-2</v>
      </c>
      <c r="G90" s="249" cm="1">
        <f t="array" ref="G90">INDEX(FX_Calcs,$W90,G$98)</f>
        <v>4.6020082114166708E-2</v>
      </c>
      <c r="H90" s="250" cm="1">
        <f t="array" ref="H90">INDEX(FX_Calcs,$W90,H$98)</f>
        <v>4.8199314451259752E-2</v>
      </c>
      <c r="I90" s="250" cm="1">
        <f t="array" ref="I90">INDEX(FX_Calcs,$W90,I$98)</f>
        <v>5.231647466369245E-2</v>
      </c>
      <c r="J90" s="250" cm="1">
        <f t="array" ref="J90">INDEX(FX_Calcs,$W90,J$98)</f>
        <v>6.0605025187560627E-2</v>
      </c>
      <c r="K90" s="250" cm="1">
        <f t="array" ref="K90">INDEX(FX_Calcs,$W90,K$98)</f>
        <v>6.8385252137028285E-2</v>
      </c>
      <c r="L90" s="250" cm="1">
        <f t="array" ref="L90">INDEX(FX_Calcs,$W90,L$98)</f>
        <v>7.6309103198878708E-2</v>
      </c>
      <c r="M90" s="250" cm="1">
        <f t="array" ref="M90">INDEX(FX_Calcs,$W90,M$98)</f>
        <v>7.7383835284496799E-2</v>
      </c>
      <c r="N90" s="250" cm="1">
        <f t="array" ref="N90">INDEX(FX_Calcs,$W90,N$98)</f>
        <v>7.2026383227799903E-2</v>
      </c>
      <c r="O90" s="250" cm="1">
        <f t="array" ref="O90">INDEX(FX_Calcs,$W90,O$98)</f>
        <v>5.9641300966113572E-2</v>
      </c>
      <c r="P90" s="250" cm="1">
        <f t="array" ref="P90">INDEX(FX_Calcs,$W90,P$98)</f>
        <v>4.9810778087771804E-2</v>
      </c>
      <c r="Q90" s="251" cm="1">
        <f t="array" ref="Q90">INDEX(FX_Calcs,$W90,Q$98)</f>
        <v>4.436892146829672E-2</v>
      </c>
      <c r="R90" s="293">
        <f t="shared" si="17"/>
        <v>0.6998804729901259</v>
      </c>
      <c r="S90" s="294">
        <f t="shared" si="18"/>
        <v>3.4994023649506293E-4</v>
      </c>
      <c r="U90">
        <f t="shared" si="13"/>
        <v>133</v>
      </c>
      <c r="V90">
        <f>V87</f>
        <v>2</v>
      </c>
      <c r="W90">
        <f>W87+1</f>
        <v>65</v>
      </c>
    </row>
    <row r="91" spans="2:23" ht="16.5" customHeight="1" thickBot="1" x14ac:dyDescent="0.45">
      <c r="B91" s="455" t="s">
        <v>1890</v>
      </c>
      <c r="C91" s="456"/>
      <c r="D91" s="234">
        <f>SUM(D24:D90)</f>
        <v>10511520</v>
      </c>
      <c r="E91" s="235"/>
      <c r="F91" s="236">
        <f t="shared" ref="F91:Q91" si="23">SUM(F35:F79,F24:F34)</f>
        <v>646.65350214798764</v>
      </c>
      <c r="G91" s="234">
        <f t="shared" si="23"/>
        <v>700.41661283501401</v>
      </c>
      <c r="H91" s="234">
        <f t="shared" si="23"/>
        <v>775.42496476711256</v>
      </c>
      <c r="I91" s="234">
        <f t="shared" si="23"/>
        <v>881.97890762294742</v>
      </c>
      <c r="J91" s="234">
        <f t="shared" si="23"/>
        <v>1065.5691351473524</v>
      </c>
      <c r="K91" s="234">
        <f t="shared" si="23"/>
        <v>1193.9912558240885</v>
      </c>
      <c r="L91" s="234">
        <f t="shared" si="23"/>
        <v>1355.6835805207868</v>
      </c>
      <c r="M91" s="234">
        <f t="shared" si="23"/>
        <v>1346.8712339036306</v>
      </c>
      <c r="N91" s="234">
        <f t="shared" si="23"/>
        <v>1232.8911995749622</v>
      </c>
      <c r="O91" s="234">
        <f t="shared" si="23"/>
        <v>951.14319665131541</v>
      </c>
      <c r="P91" s="234">
        <f t="shared" si="23"/>
        <v>734.96294160053219</v>
      </c>
      <c r="Q91" s="237">
        <f t="shared" si="23"/>
        <v>633.39243805559727</v>
      </c>
      <c r="R91" s="236">
        <f>SUM(R35:R90,R24:R34)</f>
        <v>11564.900848816542</v>
      </c>
      <c r="S91" s="432">
        <f>SUM(S35:S90,S24:S34)</f>
        <v>5.7824504244082711</v>
      </c>
    </row>
    <row r="92" spans="2:23" ht="15.45" thickBot="1" x14ac:dyDescent="0.45">
      <c r="B92" s="450" t="s">
        <v>1891</v>
      </c>
      <c r="C92" s="451"/>
      <c r="D92" s="431">
        <f>D22+D91</f>
        <v>19861608</v>
      </c>
      <c r="E92" s="308"/>
      <c r="F92" s="309">
        <f t="shared" ref="F92:Q92" si="24">SUM(F12:F14,F15:F21,F24:F34,F35:F79)</f>
        <v>3716.5157411800251</v>
      </c>
      <c r="G92" s="310">
        <f t="shared" si="24"/>
        <v>3522.6139467643561</v>
      </c>
      <c r="H92" s="310">
        <f t="shared" si="24"/>
        <v>4001.230858689752</v>
      </c>
      <c r="I92" s="310">
        <f t="shared" si="24"/>
        <v>4224.1646361384783</v>
      </c>
      <c r="J92" s="311">
        <f t="shared" si="24"/>
        <v>4878.5528114794242</v>
      </c>
      <c r="K92" s="311">
        <f t="shared" si="24"/>
        <v>5232.2393445265607</v>
      </c>
      <c r="L92" s="311">
        <f t="shared" si="24"/>
        <v>5891.4225396749298</v>
      </c>
      <c r="M92" s="311">
        <f t="shared" si="24"/>
        <v>5788.7175043636971</v>
      </c>
      <c r="N92" s="311">
        <f t="shared" si="24"/>
        <v>5237.379661603647</v>
      </c>
      <c r="O92" s="311">
        <f t="shared" si="24"/>
        <v>4530.6687868580602</v>
      </c>
      <c r="P92" s="311">
        <f t="shared" si="24"/>
        <v>3869.5662658341221</v>
      </c>
      <c r="Q92" s="312">
        <f t="shared" si="24"/>
        <v>3695.5413572424368</v>
      </c>
      <c r="R92" s="433">
        <f>SUM(R12:R14,R15:R21,R24:R34,R35:R90)</f>
        <v>54634.535334520668</v>
      </c>
      <c r="S92" s="434">
        <f>SUM(S12:S14,S15:S21,S24:S34,S35:S90)</f>
        <v>27.317267667260349</v>
      </c>
    </row>
    <row r="95" spans="2:23" x14ac:dyDescent="0.4">
      <c r="E95" t="s">
        <v>1905</v>
      </c>
      <c r="F95">
        <v>1</v>
      </c>
      <c r="G95">
        <f>F95+1</f>
        <v>2</v>
      </c>
      <c r="H95">
        <f t="shared" ref="H95:S95" si="25">G95+1</f>
        <v>3</v>
      </c>
      <c r="I95">
        <f t="shared" si="25"/>
        <v>4</v>
      </c>
      <c r="J95">
        <f t="shared" si="25"/>
        <v>5</v>
      </c>
      <c r="K95">
        <f t="shared" si="25"/>
        <v>6</v>
      </c>
      <c r="L95">
        <f t="shared" si="25"/>
        <v>7</v>
      </c>
      <c r="M95">
        <f t="shared" si="25"/>
        <v>8</v>
      </c>
      <c r="N95">
        <f t="shared" si="25"/>
        <v>9</v>
      </c>
      <c r="O95">
        <f t="shared" si="25"/>
        <v>10</v>
      </c>
      <c r="P95">
        <f t="shared" si="25"/>
        <v>11</v>
      </c>
      <c r="Q95">
        <f t="shared" si="25"/>
        <v>12</v>
      </c>
      <c r="R95">
        <f t="shared" si="25"/>
        <v>13</v>
      </c>
      <c r="S95">
        <f t="shared" si="25"/>
        <v>14</v>
      </c>
    </row>
    <row r="96" spans="2:23" x14ac:dyDescent="0.4">
      <c r="E96" t="s">
        <v>1906</v>
      </c>
      <c r="F96">
        <v>16</v>
      </c>
      <c r="G96">
        <f>F96+16</f>
        <v>32</v>
      </c>
      <c r="H96">
        <f t="shared" ref="H96:S96" si="26">G96+16</f>
        <v>48</v>
      </c>
      <c r="I96">
        <f t="shared" si="26"/>
        <v>64</v>
      </c>
      <c r="J96">
        <f t="shared" si="26"/>
        <v>80</v>
      </c>
      <c r="K96">
        <f t="shared" si="26"/>
        <v>96</v>
      </c>
      <c r="L96">
        <f t="shared" si="26"/>
        <v>112</v>
      </c>
      <c r="M96">
        <f t="shared" si="26"/>
        <v>128</v>
      </c>
      <c r="N96">
        <f t="shared" si="26"/>
        <v>144</v>
      </c>
      <c r="O96">
        <f t="shared" si="26"/>
        <v>160</v>
      </c>
      <c r="P96">
        <f t="shared" si="26"/>
        <v>176</v>
      </c>
      <c r="Q96">
        <f t="shared" si="26"/>
        <v>192</v>
      </c>
      <c r="R96">
        <f t="shared" si="26"/>
        <v>208</v>
      </c>
      <c r="S96">
        <f t="shared" si="26"/>
        <v>224</v>
      </c>
    </row>
    <row r="98" spans="2:17" x14ac:dyDescent="0.4">
      <c r="B98" t="s">
        <v>1977</v>
      </c>
      <c r="C98">
        <v>15</v>
      </c>
      <c r="D98">
        <v>101</v>
      </c>
      <c r="E98" t="s">
        <v>1978</v>
      </c>
      <c r="F98">
        <v>33</v>
      </c>
      <c r="G98">
        <f>F98+19</f>
        <v>52</v>
      </c>
      <c r="H98">
        <f t="shared" ref="H98:Q98" si="27">G98+19</f>
        <v>71</v>
      </c>
      <c r="I98">
        <f t="shared" si="27"/>
        <v>90</v>
      </c>
      <c r="J98">
        <f t="shared" si="27"/>
        <v>109</v>
      </c>
      <c r="K98">
        <f t="shared" si="27"/>
        <v>128</v>
      </c>
      <c r="L98">
        <f t="shared" si="27"/>
        <v>147</v>
      </c>
      <c r="M98">
        <f t="shared" si="27"/>
        <v>166</v>
      </c>
      <c r="N98">
        <f t="shared" si="27"/>
        <v>185</v>
      </c>
      <c r="O98">
        <f t="shared" si="27"/>
        <v>204</v>
      </c>
      <c r="P98">
        <f t="shared" si="27"/>
        <v>223</v>
      </c>
      <c r="Q98">
        <f t="shared" si="27"/>
        <v>242</v>
      </c>
    </row>
    <row r="102" spans="2:17" x14ac:dyDescent="0.4">
      <c r="D102" s="34">
        <f>D92*42</f>
        <v>834187536</v>
      </c>
      <c r="F102">
        <f>F92/2000</f>
        <v>1.8582578705900126</v>
      </c>
      <c r="G102">
        <f t="shared" ref="G102:Q102" si="28">G92/2000</f>
        <v>1.761306973382178</v>
      </c>
      <c r="H102">
        <f t="shared" si="28"/>
        <v>2.0006154293448759</v>
      </c>
      <c r="I102">
        <f t="shared" si="28"/>
        <v>2.112082318069239</v>
      </c>
      <c r="J102">
        <f t="shared" si="28"/>
        <v>2.4392764057397121</v>
      </c>
      <c r="K102">
        <f t="shared" si="28"/>
        <v>2.6161196722632805</v>
      </c>
      <c r="L102">
        <f t="shared" si="28"/>
        <v>2.945711269837465</v>
      </c>
      <c r="M102">
        <f t="shared" si="28"/>
        <v>2.8943587521818483</v>
      </c>
      <c r="N102">
        <f t="shared" si="28"/>
        <v>2.6186898308018236</v>
      </c>
      <c r="O102">
        <f t="shared" si="28"/>
        <v>2.26533439342903</v>
      </c>
      <c r="P102">
        <f t="shared" si="28"/>
        <v>1.9347831329170611</v>
      </c>
      <c r="Q102">
        <f t="shared" si="28"/>
        <v>1.8477706786212185</v>
      </c>
    </row>
  </sheetData>
  <sheetProtection algorithmName="SHA-512" hashValue="B6SZUsFe9HZhZ1bAVgbcrDKxjaXuiNdrZ00+BD64vigE6OpJIUYU/9cc9kP/6OoeNIzWTX7s21FRxFXLcDpaIw==" saltValue="htOlw+3FviD5JPwCOl3fMg==" spinCount="100000" sheet="1" objects="1" scenarios="1"/>
  <mergeCells count="15">
    <mergeCell ref="B2:S2"/>
    <mergeCell ref="B3:S3"/>
    <mergeCell ref="B4:S4"/>
    <mergeCell ref="B5:S5"/>
    <mergeCell ref="B7:B10"/>
    <mergeCell ref="C7:C10"/>
    <mergeCell ref="D7:D9"/>
    <mergeCell ref="E7:E10"/>
    <mergeCell ref="F7:S7"/>
    <mergeCell ref="R8:S9"/>
    <mergeCell ref="B92:C92"/>
    <mergeCell ref="B11:S11"/>
    <mergeCell ref="B22:C22"/>
    <mergeCell ref="B23:S23"/>
    <mergeCell ref="B91:C91"/>
  </mergeCells>
  <conditionalFormatting sqref="B22 D22:S22 B23:S90 B91:B92 D91:S92">
    <cfRule type="cellIs" dxfId="64" priority="35" operator="lessThan">
      <formula>0.01</formula>
    </cfRule>
    <cfRule type="cellIs" dxfId="63" priority="32" operator="between">
      <formula>1</formula>
      <formula>10</formula>
    </cfRule>
    <cfRule type="cellIs" dxfId="62" priority="31" operator="between">
      <formula>10</formula>
      <formula>100</formula>
    </cfRule>
    <cfRule type="cellIs" dxfId="61" priority="30" operator="greaterThan">
      <formula>100</formula>
    </cfRule>
    <cfRule type="cellIs" dxfId="60" priority="29" operator="equal">
      <formula>0</formula>
    </cfRule>
    <cfRule type="cellIs" dxfId="59" priority="34" operator="between">
      <formula>0.01</formula>
      <formula>0.1</formula>
    </cfRule>
    <cfRule type="cellIs" dxfId="58" priority="33" operator="between">
      <formula>0.1</formula>
      <formula>1</formula>
    </cfRule>
  </conditionalFormatting>
  <conditionalFormatting sqref="B12:S21">
    <cfRule type="cellIs" dxfId="57" priority="2" operator="greaterThan">
      <formula>100</formula>
    </cfRule>
    <cfRule type="cellIs" dxfId="56" priority="3" operator="between">
      <formula>10</formula>
      <formula>100</formula>
    </cfRule>
    <cfRule type="cellIs" dxfId="55" priority="4" operator="between">
      <formula>1</formula>
      <formula>10</formula>
    </cfRule>
    <cfRule type="cellIs" dxfId="54" priority="5" operator="between">
      <formula>0.1</formula>
      <formula>1</formula>
    </cfRule>
    <cfRule type="cellIs" dxfId="53" priority="6" operator="between">
      <formula>0.01</formula>
      <formula>0.1</formula>
    </cfRule>
    <cfRule type="cellIs" dxfId="52" priority="7" operator="lessThan">
      <formula>0.01</formula>
    </cfRule>
    <cfRule type="cellIs" dxfId="51" priority="1" operator="equal">
      <formula>0</formula>
    </cfRule>
  </conditionalFormatting>
  <pageMargins left="0.7" right="0.7" top="0.75" bottom="0.75" header="0.3" footer="0.3"/>
  <pageSetup paperSize="3" scale="97" fitToHeight="0" orientation="landscape" r:id="rId1"/>
  <headerFooter>
    <oddFooter>&amp;RPage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BC406-FFA5-4F15-86E1-8E70F7D13ADF}">
  <sheetPr codeName="Sheet5">
    <pageSetUpPr fitToPage="1"/>
  </sheetPr>
  <dimension ref="B2:Z86"/>
  <sheetViews>
    <sheetView workbookViewId="0">
      <selection activeCell="J5" sqref="J5"/>
    </sheetView>
  </sheetViews>
  <sheetFormatPr defaultColWidth="8.84375" defaultRowHeight="14.6" x14ac:dyDescent="0.4"/>
  <cols>
    <col min="2" max="2" width="14.4609375" bestFit="1" customWidth="1"/>
    <col min="3" max="3" width="24.69140625" bestFit="1" customWidth="1"/>
    <col min="4" max="4" width="16.84375" bestFit="1" customWidth="1"/>
    <col min="6" max="6" width="9.69140625" bestFit="1" customWidth="1"/>
    <col min="13" max="13" width="11.3046875" bestFit="1" customWidth="1"/>
    <col min="15" max="15" width="11" bestFit="1" customWidth="1"/>
    <col min="16" max="16" width="10.84375" bestFit="1" customWidth="1"/>
  </cols>
  <sheetData>
    <row r="2" spans="2:26" ht="17.600000000000001" x14ac:dyDescent="0.4">
      <c r="B2" s="461" t="s">
        <v>2048</v>
      </c>
      <c r="C2" s="461"/>
      <c r="D2" s="461"/>
      <c r="E2" s="461"/>
      <c r="F2" s="461"/>
      <c r="G2" s="461"/>
      <c r="H2" s="461"/>
      <c r="I2" s="461"/>
      <c r="J2" s="461"/>
      <c r="K2" s="461"/>
      <c r="L2" s="461"/>
      <c r="M2" s="461"/>
      <c r="N2" s="461"/>
      <c r="O2" s="461"/>
      <c r="P2" s="461"/>
    </row>
    <row r="3" spans="2:26" ht="17.600000000000001" x14ac:dyDescent="0.4">
      <c r="B3" s="461" t="s">
        <v>1879</v>
      </c>
      <c r="C3" s="461"/>
      <c r="D3" s="461"/>
      <c r="E3" s="461"/>
      <c r="F3" s="461"/>
      <c r="G3" s="461"/>
      <c r="H3" s="461"/>
      <c r="I3" s="461"/>
      <c r="J3" s="461"/>
      <c r="K3" s="461"/>
      <c r="L3" s="461"/>
      <c r="M3" s="461"/>
      <c r="N3" s="461"/>
      <c r="O3" s="461"/>
      <c r="P3" s="461"/>
    </row>
    <row r="4" spans="2:26" ht="17.600000000000001" x14ac:dyDescent="0.4">
      <c r="B4" s="460" t="s">
        <v>2039</v>
      </c>
      <c r="C4" s="460"/>
      <c r="D4" s="460"/>
      <c r="E4" s="460"/>
      <c r="F4" s="460"/>
      <c r="G4" s="460"/>
      <c r="H4" s="460"/>
      <c r="I4" s="460"/>
      <c r="J4" s="460"/>
      <c r="K4" s="460"/>
      <c r="L4" s="460"/>
      <c r="M4" s="460"/>
      <c r="N4" s="460"/>
      <c r="O4" s="460"/>
      <c r="P4" s="460"/>
    </row>
    <row r="5" spans="2:26" ht="18" thickBot="1" x14ac:dyDescent="0.45">
      <c r="B5" s="210"/>
      <c r="C5" s="210"/>
      <c r="D5" s="210"/>
      <c r="E5" s="210"/>
      <c r="F5" s="210"/>
      <c r="G5" s="210"/>
      <c r="H5" s="210"/>
      <c r="I5" s="210"/>
      <c r="J5" s="210"/>
      <c r="K5" s="210"/>
      <c r="L5" s="210"/>
      <c r="M5" s="210"/>
      <c r="N5" s="210"/>
      <c r="O5" s="210"/>
      <c r="P5" s="210"/>
    </row>
    <row r="6" spans="2:26" ht="18" thickBot="1" x14ac:dyDescent="0.45">
      <c r="B6" s="439" t="s">
        <v>1880</v>
      </c>
      <c r="C6" s="477" t="s">
        <v>1881</v>
      </c>
      <c r="D6" s="467" t="s">
        <v>1883</v>
      </c>
      <c r="E6" s="470" t="s">
        <v>1979</v>
      </c>
      <c r="F6" s="471"/>
      <c r="G6" s="471"/>
      <c r="H6" s="471"/>
      <c r="I6" s="471"/>
      <c r="J6" s="471"/>
      <c r="K6" s="471"/>
      <c r="L6" s="471"/>
      <c r="M6" s="471"/>
      <c r="N6" s="471"/>
      <c r="O6" s="471"/>
      <c r="P6" s="472"/>
    </row>
    <row r="7" spans="2:26" ht="15.45" x14ac:dyDescent="0.4">
      <c r="B7" s="462"/>
      <c r="C7" s="478"/>
      <c r="D7" s="468"/>
      <c r="E7" s="211" t="s">
        <v>30</v>
      </c>
      <c r="F7" s="212" t="s">
        <v>31</v>
      </c>
      <c r="G7" s="212" t="s">
        <v>32</v>
      </c>
      <c r="H7" s="212" t="s">
        <v>33</v>
      </c>
      <c r="I7" s="212" t="s">
        <v>34</v>
      </c>
      <c r="J7" s="212" t="s">
        <v>35</v>
      </c>
      <c r="K7" s="212" t="s">
        <v>36</v>
      </c>
      <c r="L7" s="212" t="s">
        <v>37</v>
      </c>
      <c r="M7" s="212" t="s">
        <v>38</v>
      </c>
      <c r="N7" s="212" t="s">
        <v>39</v>
      </c>
      <c r="O7" s="212" t="s">
        <v>40</v>
      </c>
      <c r="P7" s="213" t="s">
        <v>41</v>
      </c>
    </row>
    <row r="8" spans="2:26" ht="15" x14ac:dyDescent="0.4">
      <c r="B8" s="462"/>
      <c r="C8" s="478"/>
      <c r="D8" s="468"/>
      <c r="E8" s="376" t="s">
        <v>95</v>
      </c>
      <c r="F8" s="215" t="str">
        <f>E8</f>
        <v>N/A</v>
      </c>
      <c r="G8" s="215" t="str">
        <f t="shared" ref="G8:O8" si="0">F8</f>
        <v>N/A</v>
      </c>
      <c r="H8" s="215" t="str">
        <f t="shared" si="0"/>
        <v>N/A</v>
      </c>
      <c r="I8" s="215" t="str">
        <f t="shared" si="0"/>
        <v>N/A</v>
      </c>
      <c r="J8" s="215" t="str">
        <f t="shared" si="0"/>
        <v>N/A</v>
      </c>
      <c r="K8" s="215" t="str">
        <f>J8</f>
        <v>N/A</v>
      </c>
      <c r="L8" s="215" t="str">
        <f t="shared" si="0"/>
        <v>N/A</v>
      </c>
      <c r="M8" s="215" t="str">
        <f t="shared" si="0"/>
        <v>N/A</v>
      </c>
      <c r="N8" s="215" t="str">
        <f t="shared" si="0"/>
        <v>N/A</v>
      </c>
      <c r="O8" s="215" t="str">
        <f t="shared" si="0"/>
        <v>N/A</v>
      </c>
      <c r="P8" s="216">
        <v>2021</v>
      </c>
    </row>
    <row r="9" spans="2:26" ht="30.45" thickBot="1" x14ac:dyDescent="0.45">
      <c r="B9" s="440"/>
      <c r="C9" s="479"/>
      <c r="D9" s="469"/>
      <c r="E9" s="218" t="s">
        <v>1982</v>
      </c>
      <c r="F9" s="219" t="s">
        <v>1983</v>
      </c>
      <c r="G9" s="219" t="s">
        <v>1983</v>
      </c>
      <c r="H9" s="219" t="s">
        <v>1983</v>
      </c>
      <c r="I9" s="219" t="s">
        <v>1983</v>
      </c>
      <c r="J9" s="219" t="s">
        <v>1983</v>
      </c>
      <c r="K9" s="219" t="s">
        <v>1983</v>
      </c>
      <c r="L9" s="219" t="s">
        <v>1983</v>
      </c>
      <c r="M9" s="219" t="s">
        <v>1983</v>
      </c>
      <c r="N9" s="219" t="s">
        <v>1983</v>
      </c>
      <c r="O9" s="219" t="s">
        <v>1983</v>
      </c>
      <c r="P9" s="220" t="s">
        <v>1983</v>
      </c>
      <c r="R9" s="313" t="s">
        <v>1897</v>
      </c>
      <c r="T9" s="313" t="s">
        <v>1901</v>
      </c>
      <c r="V9" s="313" t="s">
        <v>1899</v>
      </c>
      <c r="W9" t="s">
        <v>1894</v>
      </c>
    </row>
    <row r="10" spans="2:26" ht="15.45" thickBot="1" x14ac:dyDescent="0.45">
      <c r="B10" s="452" t="s">
        <v>1892</v>
      </c>
      <c r="C10" s="453"/>
      <c r="D10" s="453"/>
      <c r="E10" s="453"/>
      <c r="F10" s="453"/>
      <c r="G10" s="453"/>
      <c r="H10" s="453"/>
      <c r="I10" s="453"/>
      <c r="J10" s="453"/>
      <c r="K10" s="453"/>
      <c r="L10" s="453"/>
      <c r="M10" s="453"/>
      <c r="N10" s="453"/>
      <c r="O10" s="453"/>
      <c r="P10" s="454"/>
      <c r="R10" t="s">
        <v>1821</v>
      </c>
      <c r="S10" t="s">
        <v>1898</v>
      </c>
      <c r="T10" t="s">
        <v>1902</v>
      </c>
      <c r="U10" t="s">
        <v>1903</v>
      </c>
      <c r="W10" t="s">
        <v>1821</v>
      </c>
      <c r="X10" t="s">
        <v>1900</v>
      </c>
      <c r="Y10" t="s">
        <v>1895</v>
      </c>
      <c r="Z10" t="s">
        <v>1896</v>
      </c>
    </row>
    <row r="11" spans="2:26" ht="15.45" x14ac:dyDescent="0.4">
      <c r="B11" s="314" t="str" cm="1">
        <f t="array" ref="B11">INDEX(FLT_Cons,R11,S11)</f>
        <v>EXTANK 105</v>
      </c>
      <c r="C11" s="357" t="str" cm="1">
        <f t="array" ref="C11">INDEX(FLT_Setup,R11,3)</f>
        <v>Crude Oil</v>
      </c>
      <c r="D11" s="316" t="s">
        <v>1904</v>
      </c>
      <c r="E11" s="317" cm="1">
        <f t="array" ref="E11">(INDEX(Flt_Calc,$W11,E$84))-459.6</f>
        <v>44.724288605619051</v>
      </c>
      <c r="F11" s="315" cm="1">
        <f t="array" ref="F11">(INDEX(Flt_Calc,$W11,F$84))-459.6</f>
        <v>46.28075962539026</v>
      </c>
      <c r="G11" s="315" cm="1">
        <f t="array" ref="G11">(INDEX(Flt_Calc,$W11,G$84))-459.6</f>
        <v>48.410543652445369</v>
      </c>
      <c r="H11" s="315" cm="1">
        <f t="array" ref="H11">(INDEX(Flt_Calc,$W11,H$84))-459.6</f>
        <v>51.898518418314211</v>
      </c>
      <c r="I11" s="315" cm="1">
        <f t="array" ref="I11">(INDEX(Flt_Calc,$W11,I$84))-459.6</f>
        <v>57.199379240374469</v>
      </c>
      <c r="J11" s="315" cm="1">
        <f t="array" ref="J11">(INDEX(Flt_Calc,$W11,J$84))-459.6</f>
        <v>61.236493184183246</v>
      </c>
      <c r="K11" s="315" cm="1">
        <f t="array" ref="K11">(INDEX(Flt_Calc,$W11,K$84))-459.6</f>
        <v>64.949895733610788</v>
      </c>
      <c r="L11" s="315" cm="1">
        <f t="array" ref="L11">(INDEX(Flt_Calc,$W11,L$84))-459.6</f>
        <v>64.830822268470342</v>
      </c>
      <c r="M11" s="315" cm="1">
        <f t="array" ref="M11">(INDEX(Flt_Calc,$W11,M$84))-459.6</f>
        <v>61.750980853277838</v>
      </c>
      <c r="N11" s="315" cm="1">
        <f t="array" ref="N11">(INDEX(Flt_Calc,$W11,N$84))-459.6</f>
        <v>54.567988345473395</v>
      </c>
      <c r="O11" s="315" cm="1">
        <f t="array" ref="O11">(INDEX(Flt_Calc,$W11,O$84))-459.6</f>
        <v>48.130128355879265</v>
      </c>
      <c r="P11" s="318" cm="1">
        <f t="array" ref="P11">(INDEX(Flt_Calc,$W11,P$84))-459.6</f>
        <v>44.39564901144638</v>
      </c>
      <c r="R11">
        <v>1</v>
      </c>
      <c r="S11">
        <v>2</v>
      </c>
      <c r="T11">
        <v>11</v>
      </c>
      <c r="U11">
        <v>13</v>
      </c>
      <c r="V11">
        <v>11</v>
      </c>
      <c r="W11">
        <v>1</v>
      </c>
      <c r="X11">
        <v>1</v>
      </c>
    </row>
    <row r="12" spans="2:26" ht="15.45" x14ac:dyDescent="0.4">
      <c r="B12" s="321" t="str" cm="1">
        <f t="array" ref="B12">INDEX(FLT_Cons,R12,S12)</f>
        <v>EXTANK 106</v>
      </c>
      <c r="C12" s="358" t="str" cm="1">
        <f t="array" ref="C12">INDEX(FLT_Setup,R12,3)</f>
        <v>Crude Oil</v>
      </c>
      <c r="D12" s="223" t="str">
        <f>D11</f>
        <v>VOC</v>
      </c>
      <c r="E12" s="255" cm="1">
        <f t="array" ref="E12">(INDEX(Flt_Calc,$W12,E$84))-459.6</f>
        <v>44.724288605619051</v>
      </c>
      <c r="F12" s="221" cm="1">
        <f t="array" ref="F12">(INDEX(Flt_Calc,$W12,F$84))-459.6</f>
        <v>46.28075962539026</v>
      </c>
      <c r="G12" s="221" cm="1">
        <f t="array" ref="G12">(INDEX(Flt_Calc,$W12,G$84))-459.6</f>
        <v>48.410543652445369</v>
      </c>
      <c r="H12" s="221" cm="1">
        <f t="array" ref="H12">(INDEX(Flt_Calc,$W12,H$84))-459.6</f>
        <v>51.898518418314211</v>
      </c>
      <c r="I12" s="221" cm="1">
        <f t="array" ref="I12">(INDEX(Flt_Calc,$W12,I$84))-459.6</f>
        <v>57.199379240374469</v>
      </c>
      <c r="J12" s="221" cm="1">
        <f t="array" ref="J12">(INDEX(Flt_Calc,$W12,J$84))-459.6</f>
        <v>61.236493184183246</v>
      </c>
      <c r="K12" s="221" cm="1">
        <f t="array" ref="K12">(INDEX(Flt_Calc,$W12,K$84))-459.6</f>
        <v>64.949895733610788</v>
      </c>
      <c r="L12" s="221" cm="1">
        <f t="array" ref="L12">(INDEX(Flt_Calc,$W12,L$84))-459.6</f>
        <v>64.830822268470342</v>
      </c>
      <c r="M12" s="221" cm="1">
        <f t="array" ref="M12">(INDEX(Flt_Calc,$W12,M$84))-459.6</f>
        <v>61.750980853277838</v>
      </c>
      <c r="N12" s="221" cm="1">
        <f t="array" ref="N12">(INDEX(Flt_Calc,$W12,N$84))-459.6</f>
        <v>54.567988345473395</v>
      </c>
      <c r="O12" s="221" cm="1">
        <f t="array" ref="O12">(INDEX(Flt_Calc,$W12,O$84))-459.6</f>
        <v>48.130128355879265</v>
      </c>
      <c r="P12" s="256" cm="1">
        <f t="array" ref="P12">(INDEX(Flt_Calc,$W12,P$84))-459.6</f>
        <v>44.39564901144638</v>
      </c>
      <c r="R12">
        <f>R11+1</f>
        <v>2</v>
      </c>
      <c r="S12">
        <f>S11</f>
        <v>2</v>
      </c>
      <c r="T12">
        <f>T11+12</f>
        <v>23</v>
      </c>
      <c r="U12">
        <v>13</v>
      </c>
      <c r="V12">
        <f>V11+12</f>
        <v>23</v>
      </c>
      <c r="W12">
        <f>W11+1</f>
        <v>2</v>
      </c>
      <c r="X12">
        <v>1</v>
      </c>
    </row>
    <row r="13" spans="2:26" ht="15.45" x14ac:dyDescent="0.4">
      <c r="B13" s="321" t="str" cm="1">
        <f t="array" ref="B13">INDEX(FLT_Cons,R13,S13)</f>
        <v>EXTANK 120</v>
      </c>
      <c r="C13" s="358" t="str" cm="1">
        <f t="array" ref="C13">INDEX(FLT_Setup,R13,3)</f>
        <v>Distillates</v>
      </c>
      <c r="D13" s="223" t="str">
        <f t="shared" ref="D13:D20" si="1">D12</f>
        <v>VOC</v>
      </c>
      <c r="E13" s="255" cm="1">
        <f t="array" ref="E13">(INDEX(Flt_Calc,$W13,E$84))-459.6</f>
        <v>46.145573139534861</v>
      </c>
      <c r="F13" s="221" cm="1">
        <f t="array" ref="F13">(INDEX(Flt_Calc,$W13,F$84))-459.6</f>
        <v>48.818330232558196</v>
      </c>
      <c r="G13" s="221" cm="1">
        <f t="array" ref="G13">(INDEX(Flt_Calc,$W13,G$84))-459.6</f>
        <v>52.119626023255819</v>
      </c>
      <c r="H13" s="221" cm="1">
        <f t="array" ref="H13">(INDEX(Flt_Calc,$W13,H$84))-459.6</f>
        <v>57.193582418604592</v>
      </c>
      <c r="I13" s="221" cm="1">
        <f t="array" ref="I13">(INDEX(Flt_Calc,$W13,I$84))-459.6</f>
        <v>63.699789279069591</v>
      </c>
      <c r="J13" s="221" cm="1">
        <f t="array" ref="J13">(INDEX(Flt_Calc,$W13,J$84))-459.6</f>
        <v>68.117538813953502</v>
      </c>
      <c r="K13" s="221" cm="1">
        <f t="array" ref="K13">(INDEX(Flt_Calc,$W13,K$84))-459.6</f>
        <v>72.173513395348778</v>
      </c>
      <c r="L13" s="221" cm="1">
        <f t="array" ref="L13">(INDEX(Flt_Calc,$W13,L$84))-459.6</f>
        <v>71.140914511627898</v>
      </c>
      <c r="M13" s="221" cm="1">
        <f t="array" ref="M13">(INDEX(Flt_Calc,$W13,M$84))-459.6</f>
        <v>66.809204930232568</v>
      </c>
      <c r="N13" s="221" cm="1">
        <f t="array" ref="N13">(INDEX(Flt_Calc,$W13,N$84))-459.6</f>
        <v>57.646907348837203</v>
      </c>
      <c r="O13" s="221" cm="1">
        <f t="array" ref="O13">(INDEX(Flt_Calc,$W13,O$84))-459.6</f>
        <v>49.783778534883766</v>
      </c>
      <c r="P13" s="256" cm="1">
        <f t="array" ref="P13">(INDEX(Flt_Calc,$W13,P$84))-459.6</f>
        <v>45.672892883720863</v>
      </c>
      <c r="R13">
        <f t="shared" ref="R13:R20" si="2">R12+1</f>
        <v>3</v>
      </c>
      <c r="S13">
        <f t="shared" ref="S13:S20" si="3">S12</f>
        <v>2</v>
      </c>
      <c r="T13">
        <f t="shared" ref="T13:T20" si="4">T12+12</f>
        <v>35</v>
      </c>
      <c r="U13">
        <v>13</v>
      </c>
      <c r="V13">
        <f t="shared" ref="V13:V20" si="5">V12+12</f>
        <v>35</v>
      </c>
      <c r="W13">
        <f t="shared" ref="W13:W20" si="6">W12+1</f>
        <v>3</v>
      </c>
      <c r="X13">
        <v>1</v>
      </c>
    </row>
    <row r="14" spans="2:26" ht="15.45" x14ac:dyDescent="0.4">
      <c r="B14" s="321" t="str" cm="1">
        <f t="array" ref="B14">INDEX(FLT_Cons,R14,S14)</f>
        <v>INTANK 63</v>
      </c>
      <c r="C14" s="358" t="str" cm="1">
        <f t="array" ref="C14">INDEX(FLT_Setup,R14,3)</f>
        <v>Crude Oil</v>
      </c>
      <c r="D14" s="322" t="str">
        <f t="shared" si="1"/>
        <v>VOC</v>
      </c>
      <c r="E14" s="323" cm="1">
        <f t="array" ref="E14">(INDEX(Flt_Calc,$W14,E$84))-459.6</f>
        <v>44.458481978859879</v>
      </c>
      <c r="F14" s="229" cm="1">
        <f t="array" ref="F14">(INDEX(Flt_Calc,$W14,F$84))-459.6</f>
        <v>45.67693640616892</v>
      </c>
      <c r="G14" s="229" cm="1">
        <f t="array" ref="G14">(INDEX(Flt_Calc,$W14,G$84))-459.6</f>
        <v>47.527955380350249</v>
      </c>
      <c r="H14" s="229" cm="1">
        <f t="array" ref="H14">(INDEX(Flt_Calc,$W14,H$84))-459.6</f>
        <v>50.638540634205697</v>
      </c>
      <c r="I14" s="229" cm="1">
        <f t="array" ref="I14">(INDEX(Flt_Calc,$W14,I$84))-459.6</f>
        <v>55.652585427135705</v>
      </c>
      <c r="J14" s="229" cm="1">
        <f t="array" ref="J14">(INDEX(Flt_Calc,$W14,J$84))-459.6</f>
        <v>59.599125888061167</v>
      </c>
      <c r="K14" s="229" cm="1">
        <f t="array" ref="K14">(INDEX(Flt_Calc,$W14,K$84))-459.6</f>
        <v>63.23101230289376</v>
      </c>
      <c r="L14" s="229" cm="1">
        <f t="array" ref="L14">(INDEX(Flt_Calc,$W14,L$84))-459.6</f>
        <v>63.329315196673065</v>
      </c>
      <c r="M14" s="229" cm="1">
        <f t="array" ref="M14">(INDEX(Flt_Calc,$W14,M$84))-459.6</f>
        <v>60.547359902963308</v>
      </c>
      <c r="N14" s="229" cm="1">
        <f t="array" ref="N14">(INDEX(Flt_Calc,$W14,N$84))-459.6</f>
        <v>53.835349506151488</v>
      </c>
      <c r="O14" s="229" cm="1">
        <f t="array" ref="O14">(INDEX(Flt_Calc,$W14,O$84))-459.6</f>
        <v>47.736636891353385</v>
      </c>
      <c r="P14" s="324" cm="1">
        <f t="array" ref="P14">(INDEX(Flt_Calc,$W14,P$84))-459.6</f>
        <v>44.091724657771749</v>
      </c>
      <c r="R14">
        <f t="shared" si="2"/>
        <v>4</v>
      </c>
      <c r="S14">
        <f t="shared" si="3"/>
        <v>2</v>
      </c>
      <c r="T14">
        <f t="shared" si="4"/>
        <v>47</v>
      </c>
      <c r="U14">
        <v>13</v>
      </c>
      <c r="V14">
        <f t="shared" si="5"/>
        <v>47</v>
      </c>
      <c r="W14">
        <f t="shared" si="6"/>
        <v>4</v>
      </c>
      <c r="X14">
        <v>1</v>
      </c>
    </row>
    <row r="15" spans="2:26" ht="15.45" x14ac:dyDescent="0.4">
      <c r="B15" s="321" t="str" cm="1">
        <f t="array" ref="B15">INDEX(FLT_Cons,R15,S15)</f>
        <v>INTANK 68</v>
      </c>
      <c r="C15" s="359" t="str" cm="1">
        <f t="array" ref="C15">INDEX(FLT_Setup,R15,3)</f>
        <v>Crude Oil</v>
      </c>
      <c r="D15" s="322" t="str">
        <f t="shared" si="1"/>
        <v>VOC</v>
      </c>
      <c r="E15" s="323" cm="1">
        <f t="array" ref="E15">(INDEX(Flt_Calc,$W15,E$84))-459.6</f>
        <v>44.456425618701587</v>
      </c>
      <c r="F15" s="229" cm="1">
        <f t="array" ref="F15">(INDEX(Flt_Calc,$W15,F$84))-459.6</f>
        <v>45.67333927469673</v>
      </c>
      <c r="G15" s="229" cm="1">
        <f t="array" ref="G15">(INDEX(Flt_Calc,$W15,G$84))-459.6</f>
        <v>47.522697573181574</v>
      </c>
      <c r="H15" s="229" cm="1">
        <f t="array" ref="H15">(INDEX(Flt_Calc,$W15,H$84))-459.6</f>
        <v>50.631034619866966</v>
      </c>
      <c r="I15" s="229" cm="1">
        <f t="array" ref="I15">(INDEX(Flt_Calc,$W15,I$84))-459.6</f>
        <v>55.643370775347876</v>
      </c>
      <c r="J15" s="229" cm="1">
        <f t="array" ref="J15">(INDEX(Flt_Calc,$W15,J$84))-459.6</f>
        <v>59.589371666552552</v>
      </c>
      <c r="K15" s="229" cm="1">
        <f t="array" ref="K15">(INDEX(Flt_Calc,$W15,K$84))-459.6</f>
        <v>63.220772468636369</v>
      </c>
      <c r="L15" s="229" cm="1">
        <f t="array" ref="L15">(INDEX(Flt_Calc,$W15,L$84))-459.6</f>
        <v>63.320370329745629</v>
      </c>
      <c r="M15" s="229" cm="1">
        <f t="array" ref="M15">(INDEX(Flt_Calc,$W15,M$84))-459.6</f>
        <v>60.540189620895376</v>
      </c>
      <c r="N15" s="229" cm="1">
        <f t="array" ref="N15">(INDEX(Flt_Calc,$W15,N$84))-459.6</f>
        <v>53.830984986631961</v>
      </c>
      <c r="O15" s="229" cm="1">
        <f t="array" ref="O15">(INDEX(Flt_Calc,$W15,O$84))-459.6</f>
        <v>47.734292760677363</v>
      </c>
      <c r="P15" s="324" cm="1">
        <f t="array" ref="P15">(INDEX(Flt_Calc,$W15,P$84))-459.6</f>
        <v>44.089914101597287</v>
      </c>
      <c r="R15">
        <f t="shared" si="2"/>
        <v>5</v>
      </c>
      <c r="S15">
        <f t="shared" si="3"/>
        <v>2</v>
      </c>
      <c r="T15">
        <f t="shared" si="4"/>
        <v>59</v>
      </c>
      <c r="U15">
        <v>13</v>
      </c>
      <c r="V15">
        <f t="shared" si="5"/>
        <v>59</v>
      </c>
      <c r="W15">
        <f t="shared" si="6"/>
        <v>5</v>
      </c>
      <c r="X15">
        <v>1</v>
      </c>
    </row>
    <row r="16" spans="2:26" ht="15.45" x14ac:dyDescent="0.4">
      <c r="B16" s="321" t="str" cm="1">
        <f t="array" ref="B16">INDEX(FLT_Cons,R16,S16)</f>
        <v>INTANK 71</v>
      </c>
      <c r="C16" s="359" t="str" cm="1">
        <f t="array" ref="C16">INDEX(FLT_Setup,R16,3)</f>
        <v>Av-Gas</v>
      </c>
      <c r="D16" s="322" t="str">
        <f t="shared" si="1"/>
        <v>VOC</v>
      </c>
      <c r="E16" s="323" cm="1">
        <f t="array" ref="E16">(INDEX(Flt_Calc,$W16,E$84))-459.6</f>
        <v>44.431731569559929</v>
      </c>
      <c r="F16" s="229" cm="1">
        <f t="array" ref="F16">(INDEX(Flt_Calc,$W16,F$84))-459.6</f>
        <v>45.630142687276987</v>
      </c>
      <c r="G16" s="229" cm="1">
        <f t="array" ref="G16">(INDEX(Flt_Calc,$W16,G$84))-459.6</f>
        <v>47.459558561236634</v>
      </c>
      <c r="H16" s="229" cm="1">
        <f t="array" ref="H16">(INDEX(Flt_Calc,$W16,H$84))-459.6</f>
        <v>50.540897740784771</v>
      </c>
      <c r="I16" s="229" cm="1">
        <f t="array" ref="I16">(INDEX(Flt_Calc,$W16,I$84))-459.6</f>
        <v>55.532715517241286</v>
      </c>
      <c r="J16" s="229" cm="1">
        <f t="array" ref="J16">(INDEX(Flt_Calc,$W16,J$84))-459.6</f>
        <v>59.472236920332989</v>
      </c>
      <c r="K16" s="229" cm="1">
        <f t="array" ref="K16">(INDEX(Flt_Calc,$W16,K$84))-459.6</f>
        <v>63.097806183115267</v>
      </c>
      <c r="L16" s="229" cm="1">
        <f t="array" ref="L16">(INDEX(Flt_Calc,$W16,L$84))-459.6</f>
        <v>63.212954815695639</v>
      </c>
      <c r="M16" s="229" cm="1">
        <f t="array" ref="M16">(INDEX(Flt_Calc,$W16,M$84))-459.6</f>
        <v>60.454084423305744</v>
      </c>
      <c r="N16" s="229" cm="1">
        <f t="array" ref="N16">(INDEX(Flt_Calc,$W16,N$84))-459.6</f>
        <v>53.778573127229265</v>
      </c>
      <c r="O16" s="229" cm="1">
        <f t="array" ref="O16">(INDEX(Flt_Calc,$W16,O$84))-459.6</f>
        <v>47.706142984542169</v>
      </c>
      <c r="P16" s="324" cm="1">
        <f t="array" ref="P16">(INDEX(Flt_Calc,$W16,P$84))-459.6</f>
        <v>44.068171819262659</v>
      </c>
      <c r="R16">
        <f t="shared" si="2"/>
        <v>6</v>
      </c>
      <c r="S16">
        <f t="shared" si="3"/>
        <v>2</v>
      </c>
      <c r="T16">
        <f t="shared" si="4"/>
        <v>71</v>
      </c>
      <c r="U16">
        <v>13</v>
      </c>
      <c r="V16">
        <f t="shared" si="5"/>
        <v>71</v>
      </c>
      <c r="W16">
        <f t="shared" si="6"/>
        <v>6</v>
      </c>
      <c r="X16">
        <v>1</v>
      </c>
    </row>
    <row r="17" spans="2:24" ht="15.45" x14ac:dyDescent="0.4">
      <c r="B17" s="321" t="str" cm="1">
        <f t="array" ref="B17">INDEX(FLT_Cons,R17,S17)</f>
        <v>INTANK 95</v>
      </c>
      <c r="C17" s="359" t="str" cm="1">
        <f t="array" ref="C17">INDEX(FLT_Setup,R17,3)</f>
        <v>Distillates</v>
      </c>
      <c r="D17" s="322" t="str">
        <f t="shared" si="1"/>
        <v>VOC</v>
      </c>
      <c r="E17" s="323" cm="1">
        <f t="array" ref="E17">(INDEX(Flt_Calc,$W17,E$84))-459.6</f>
        <v>45.3704371816454</v>
      </c>
      <c r="F17" s="229" cm="1">
        <f t="array" ref="F17">(INDEX(Flt_Calc,$W17,F$84))-459.6</f>
        <v>47.272193320662552</v>
      </c>
      <c r="G17" s="229" cm="1">
        <f t="array" ref="G17">(INDEX(Flt_Calc,$W17,G$84))-459.6</f>
        <v>49.85968923703507</v>
      </c>
      <c r="H17" s="229" cm="1">
        <f t="array" ref="H17">(INDEX(Flt_Calc,$W17,H$84))-459.6</f>
        <v>53.967310062448973</v>
      </c>
      <c r="I17" s="229" cm="1">
        <f t="array" ref="I17">(INDEX(Flt_Calc,$W17,I$84))-459.6</f>
        <v>59.739101889763788</v>
      </c>
      <c r="J17" s="229" cm="1">
        <f t="array" ref="J17">(INDEX(Flt_Calc,$W17,J$84))-459.6</f>
        <v>63.924930887863184</v>
      </c>
      <c r="K17" s="229" cm="1">
        <f t="array" ref="K17">(INDEX(Flt_Calc,$W17,K$84))-459.6</f>
        <v>67.772176986152658</v>
      </c>
      <c r="L17" s="229" cm="1">
        <f t="array" ref="L17">(INDEX(Flt_Calc,$W17,L$84))-459.6</f>
        <v>67.296187390714067</v>
      </c>
      <c r="M17" s="229" cm="1">
        <f t="array" ref="M17">(INDEX(Flt_Calc,$W17,M$84))-459.6</f>
        <v>63.727238685853877</v>
      </c>
      <c r="N17" s="229" cm="1">
        <f t="array" ref="N17">(INDEX(Flt_Calc,$W17,N$84))-459.6</f>
        <v>55.770927895737259</v>
      </c>
      <c r="O17" s="229" cm="1">
        <f t="array" ref="O17">(INDEX(Flt_Calc,$W17,O$84))-459.6</f>
        <v>48.776212647298394</v>
      </c>
      <c r="P17" s="324" cm="1">
        <f t="array" ref="P17">(INDEX(Flt_Calc,$W17,P$84))-459.6</f>
        <v>44.894670638066941</v>
      </c>
      <c r="R17">
        <f t="shared" si="2"/>
        <v>7</v>
      </c>
      <c r="S17">
        <f t="shared" si="3"/>
        <v>2</v>
      </c>
      <c r="T17">
        <f t="shared" si="4"/>
        <v>83</v>
      </c>
      <c r="U17">
        <v>13</v>
      </c>
      <c r="V17">
        <f t="shared" si="5"/>
        <v>83</v>
      </c>
      <c r="W17">
        <f t="shared" si="6"/>
        <v>7</v>
      </c>
      <c r="X17">
        <v>1</v>
      </c>
    </row>
    <row r="18" spans="2:24" ht="15.45" x14ac:dyDescent="0.4">
      <c r="B18" s="321" t="str" cm="1">
        <f t="array" ref="B18">INDEX(FLT_Cons,R18,S18)</f>
        <v>INTANK 104</v>
      </c>
      <c r="C18" s="359" t="str" cm="1">
        <f t="array" ref="C18">INDEX(FLT_Setup,R18,3)</f>
        <v>Crude Oil</v>
      </c>
      <c r="D18" s="322" t="str">
        <f t="shared" si="1"/>
        <v>VOC</v>
      </c>
      <c r="E18" s="323" cm="1">
        <f t="array" ref="E18">(INDEX(Flt_Calc,$W18,E$84))-459.6</f>
        <v>44.45733397757283</v>
      </c>
      <c r="F18" s="229" cm="1">
        <f t="array" ref="F18">(INDEX(Flt_Calc,$W18,F$84))-459.6</f>
        <v>45.674928240652264</v>
      </c>
      <c r="G18" s="229" cm="1">
        <f t="array" ref="G18">(INDEX(Flt_Calc,$W18,G$84))-459.6</f>
        <v>47.525020111753349</v>
      </c>
      <c r="H18" s="229" cm="1">
        <f t="array" ref="H18">(INDEX(Flt_Calc,$W18,H$84))-459.6</f>
        <v>50.634350262160865</v>
      </c>
      <c r="I18" s="229" cm="1">
        <f t="array" ref="I18">(INDEX(Flt_Calc,$W18,I$84))-459.6</f>
        <v>55.647441176470579</v>
      </c>
      <c r="J18" s="229" cm="1">
        <f t="array" ref="J18">(INDEX(Flt_Calc,$W18,J$84))-459.6</f>
        <v>59.59368041256846</v>
      </c>
      <c r="K18" s="229" cm="1">
        <f t="array" ref="K18">(INDEX(Flt_Calc,$W18,K$84))-459.6</f>
        <v>63.225295725056412</v>
      </c>
      <c r="L18" s="229" cm="1">
        <f t="array" ref="L18">(INDEX(Flt_Calc,$W18,L$84))-459.6</f>
        <v>63.324321558421616</v>
      </c>
      <c r="M18" s="229" cm="1">
        <f t="array" ref="M18">(INDEX(Flt_Calc,$W18,M$84))-459.6</f>
        <v>60.543356959699963</v>
      </c>
      <c r="N18" s="229" cm="1">
        <f t="array" ref="N18">(INDEX(Flt_Calc,$W18,N$84))-459.6</f>
        <v>53.832912931991359</v>
      </c>
      <c r="O18" s="229" cm="1">
        <f t="array" ref="O18">(INDEX(Flt_Calc,$W18,O$84))-459.6</f>
        <v>47.735328236825012</v>
      </c>
      <c r="P18" s="324" cm="1">
        <f t="array" ref="P18">(INDEX(Flt_Calc,$W18,P$84))-459.6</f>
        <v>44.090713881128352</v>
      </c>
      <c r="R18">
        <f t="shared" si="2"/>
        <v>8</v>
      </c>
      <c r="S18">
        <f t="shared" si="3"/>
        <v>2</v>
      </c>
      <c r="T18">
        <f t="shared" si="4"/>
        <v>95</v>
      </c>
      <c r="U18">
        <v>13</v>
      </c>
      <c r="V18">
        <f t="shared" si="5"/>
        <v>95</v>
      </c>
      <c r="W18">
        <f t="shared" si="6"/>
        <v>8</v>
      </c>
      <c r="X18">
        <v>1</v>
      </c>
    </row>
    <row r="19" spans="2:24" ht="15.45" x14ac:dyDescent="0.4">
      <c r="B19" s="321" t="str" cm="1">
        <f t="array" ref="B19">INDEX(FLT_Cons,R19,S19)</f>
        <v>INTANK 114</v>
      </c>
      <c r="C19" s="359" t="str" cm="1">
        <f t="array" ref="C19">INDEX(FLT_Setup,R19,3)</f>
        <v>Distillates</v>
      </c>
      <c r="D19" s="322" t="str">
        <f t="shared" si="1"/>
        <v>VOC</v>
      </c>
      <c r="E19" s="323" cm="1">
        <f t="array" ref="E19">(INDEX(Flt_Calc,$W19,E$84))-459.6</f>
        <v>44.404372303660921</v>
      </c>
      <c r="F19" s="229" cm="1">
        <f t="array" ref="F19">(INDEX(Flt_Calc,$W19,F$84))-459.6</f>
        <v>45.582283913109563</v>
      </c>
      <c r="G19" s="229" cm="1">
        <f t="array" ref="G19">(INDEX(Flt_Calc,$W19,G$84))-459.6</f>
        <v>47.38960498632855</v>
      </c>
      <c r="H19" s="229" cm="1">
        <f t="array" ref="H19">(INDEX(Flt_Calc,$W19,H$84))-459.6</f>
        <v>50.441032432021927</v>
      </c>
      <c r="I19" s="229" cm="1">
        <f t="array" ref="I19">(INDEX(Flt_Calc,$W19,I$84))-459.6</f>
        <v>55.410117290748985</v>
      </c>
      <c r="J19" s="229" cm="1">
        <f t="array" ref="J19">(INDEX(Flt_Calc,$W19,J$84))-459.6</f>
        <v>59.342459877715328</v>
      </c>
      <c r="K19" s="229" cm="1">
        <f t="array" ref="K19">(INDEX(Flt_Calc,$W19,K$84))-459.6</f>
        <v>62.961568205985031</v>
      </c>
      <c r="L19" s="229" cm="1">
        <f t="array" ref="L19">(INDEX(Flt_Calc,$W19,L$84))-459.6</f>
        <v>63.093945997265678</v>
      </c>
      <c r="M19" s="229" cm="1">
        <f t="array" ref="M19">(INDEX(Flt_Calc,$W19,M$84))-459.6</f>
        <v>60.35868593346504</v>
      </c>
      <c r="N19" s="229" cm="1">
        <f t="array" ref="N19">(INDEX(Flt_Calc,$W19,N$84))-459.6</f>
        <v>53.720504481239573</v>
      </c>
      <c r="O19" s="229" cm="1">
        <f t="array" ref="O19">(INDEX(Flt_Calc,$W19,O$84))-459.6</f>
        <v>47.67495501670976</v>
      </c>
      <c r="P19" s="324" cm="1">
        <f t="array" ref="P19">(INDEX(Flt_Calc,$W19,P$84))-459.6</f>
        <v>44.044082902931848</v>
      </c>
      <c r="R19">
        <f t="shared" si="2"/>
        <v>9</v>
      </c>
      <c r="S19">
        <f t="shared" si="3"/>
        <v>2</v>
      </c>
      <c r="T19">
        <f t="shared" si="4"/>
        <v>107</v>
      </c>
      <c r="U19">
        <v>13</v>
      </c>
      <c r="V19">
        <f t="shared" si="5"/>
        <v>107</v>
      </c>
      <c r="W19">
        <f t="shared" si="6"/>
        <v>9</v>
      </c>
      <c r="X19">
        <v>1</v>
      </c>
    </row>
    <row r="20" spans="2:24" ht="15.9" thickBot="1" x14ac:dyDescent="0.45">
      <c r="B20" s="326" t="str" cm="1">
        <f t="array" ref="B20">INDEX(FLT_Cons,R20,S20)</f>
        <v>INTANK 130</v>
      </c>
      <c r="C20" s="360" t="str" cm="1">
        <f t="array" ref="C20">INDEX(FLT_Setup,R20,3)</f>
        <v>Crude Oil</v>
      </c>
      <c r="D20" s="328" t="str">
        <f t="shared" si="1"/>
        <v>VOC</v>
      </c>
      <c r="E20" s="329" cm="1">
        <f t="array" ref="E20">(INDEX(Flt_Calc,$W20,E$84))-459.6</f>
        <v>44.455079514519014</v>
      </c>
      <c r="F20" s="327" cm="1">
        <f t="array" ref="F20">(INDEX(Flt_Calc,$W20,F$84))-459.6</f>
        <v>45.670984573502835</v>
      </c>
      <c r="G20" s="327" cm="1">
        <f t="array" ref="G20">(INDEX(Flt_Calc,$W20,G$84))-459.6</f>
        <v>47.519255784936547</v>
      </c>
      <c r="H20" s="327" cm="1">
        <f t="array" ref="H20">(INDEX(Flt_Calc,$W20,H$84))-459.6</f>
        <v>50.626121143375713</v>
      </c>
      <c r="I20" s="327" cm="1">
        <f t="array" ref="I20">(INDEX(Flt_Calc,$W20,I$84))-459.6</f>
        <v>55.637338815789462</v>
      </c>
      <c r="J20" s="327" cm="1">
        <f t="array" ref="J20">(INDEX(Flt_Calc,$W20,J$84))-459.6</f>
        <v>59.582986501814844</v>
      </c>
      <c r="K20" s="327" cm="1">
        <f t="array" ref="K20">(INDEX(Flt_Calc,$W20,K$84))-459.6</f>
        <v>63.214069419237603</v>
      </c>
      <c r="L20" s="327" cm="1">
        <f t="array" ref="L20">(INDEX(Flt_Calc,$W20,L$84))-459.6</f>
        <v>63.314514972776806</v>
      </c>
      <c r="M20" s="327" cm="1">
        <f t="array" ref="M20">(INDEX(Flt_Calc,$W20,M$84))-459.6</f>
        <v>60.535495916515515</v>
      </c>
      <c r="N20" s="327" cm="1">
        <f t="array" ref="N20">(INDEX(Flt_Calc,$W20,N$84))-459.6</f>
        <v>53.82812794918334</v>
      </c>
      <c r="O20" s="327" cm="1">
        <f t="array" ref="O20">(INDEX(Flt_Calc,$W20,O$84))-459.6</f>
        <v>47.73275828039931</v>
      </c>
      <c r="P20" s="330" cm="1">
        <f t="array" ref="P20">(INDEX(Flt_Calc,$W20,P$84))-459.6</f>
        <v>44.088728901996433</v>
      </c>
      <c r="R20">
        <f t="shared" si="2"/>
        <v>10</v>
      </c>
      <c r="S20">
        <f t="shared" si="3"/>
        <v>2</v>
      </c>
      <c r="T20">
        <f t="shared" si="4"/>
        <v>119</v>
      </c>
      <c r="U20">
        <v>13</v>
      </c>
      <c r="V20">
        <f t="shared" si="5"/>
        <v>119</v>
      </c>
      <c r="W20">
        <f t="shared" si="6"/>
        <v>10</v>
      </c>
      <c r="X20">
        <v>1</v>
      </c>
    </row>
    <row r="21" spans="2:24" ht="15.45" hidden="1" thickBot="1" x14ac:dyDescent="0.45">
      <c r="B21" s="455" t="s">
        <v>1889</v>
      </c>
      <c r="C21" s="456"/>
      <c r="D21" s="235"/>
      <c r="E21" s="236">
        <f t="shared" ref="E21:P21" si="7">SUM(E14:E20,E11:E13)</f>
        <v>447.62801249529252</v>
      </c>
      <c r="F21" s="234">
        <f t="shared" si="7"/>
        <v>462.56065789940857</v>
      </c>
      <c r="G21" s="234">
        <f t="shared" si="7"/>
        <v>483.74449496296853</v>
      </c>
      <c r="H21" s="234">
        <f t="shared" si="7"/>
        <v>518.46990615009793</v>
      </c>
      <c r="I21" s="234">
        <f t="shared" si="7"/>
        <v>571.36121865231621</v>
      </c>
      <c r="J21" s="234">
        <f t="shared" si="7"/>
        <v>611.69531733722852</v>
      </c>
      <c r="K21" s="234">
        <f t="shared" si="7"/>
        <v>648.79600615364745</v>
      </c>
      <c r="L21" s="234">
        <f t="shared" si="7"/>
        <v>647.69416930986108</v>
      </c>
      <c r="M21" s="234">
        <f t="shared" si="7"/>
        <v>617.01757807948707</v>
      </c>
      <c r="N21" s="234">
        <f t="shared" si="7"/>
        <v>545.38026491794824</v>
      </c>
      <c r="O21" s="234">
        <f t="shared" si="7"/>
        <v>481.14036206444769</v>
      </c>
      <c r="P21" s="237">
        <f t="shared" si="7"/>
        <v>443.83219780936889</v>
      </c>
      <c r="R21" t="s">
        <v>1975</v>
      </c>
      <c r="T21" t="s">
        <v>1976</v>
      </c>
    </row>
    <row r="22" spans="2:24" ht="15.45" thickBot="1" x14ac:dyDescent="0.45">
      <c r="B22" s="457" t="s">
        <v>1893</v>
      </c>
      <c r="C22" s="458"/>
      <c r="D22" s="458"/>
      <c r="E22" s="458"/>
      <c r="F22" s="458"/>
      <c r="G22" s="458"/>
      <c r="H22" s="458"/>
      <c r="I22" s="458"/>
      <c r="J22" s="458"/>
      <c r="K22" s="458"/>
      <c r="L22" s="458"/>
      <c r="M22" s="458"/>
      <c r="N22" s="458"/>
      <c r="O22" s="458"/>
      <c r="P22" s="459"/>
      <c r="S22" t="s">
        <v>237</v>
      </c>
    </row>
    <row r="23" spans="2:24" ht="15.45" x14ac:dyDescent="0.4">
      <c r="B23" s="266" t="str" cm="1">
        <f t="array" ref="B23">INDEX(FX_Input,R23,S23)</f>
        <v>FIXTANK 66</v>
      </c>
      <c r="C23" s="240" t="str" cm="1">
        <f t="array" ref="C23">INDEX(FX_Setup,T23,3)</f>
        <v>Distillates</v>
      </c>
      <c r="D23" s="316" t="str">
        <f>D20</f>
        <v>VOC</v>
      </c>
      <c r="E23" s="241" cm="1">
        <f t="array" ref="E23">INDEX(FX_Calcs,$T23,E$86)-459.6</f>
        <v>44.748924999999986</v>
      </c>
      <c r="F23" s="242" cm="1">
        <f t="array" ref="F23">INDEX(FX_Calcs,$T23,F$86)-459.6</f>
        <v>46.185000000000059</v>
      </c>
      <c r="G23" s="242" cm="1">
        <f t="array" ref="G23">INDEX(FX_Calcs,$T23,G$86)-459.6</f>
        <v>48.270575000000008</v>
      </c>
      <c r="H23" s="242" cm="1">
        <f t="array" ref="H23">INDEX(FX_Calcs,$T23,H$86)-459.6</f>
        <v>51.698699999999917</v>
      </c>
      <c r="I23" s="242" cm="1">
        <f t="array" ref="I23">INDEX(FX_Calcs,$T23,I$86)-459.6</f>
        <v>56.954074999999875</v>
      </c>
      <c r="J23" s="242" cm="1">
        <f t="array" ref="J23">INDEX(FX_Calcs,$T23,J$86)-459.6</f>
        <v>60.976825000000076</v>
      </c>
      <c r="K23" s="243" cm="1">
        <f t="array" ref="K23">INDEX(FX_Calcs,$T23,K$86)-459.6</f>
        <v>64.677299999999832</v>
      </c>
      <c r="L23" s="243" cm="1">
        <f t="array" ref="L23">INDEX(FX_Calcs,$T23,L$86)-459.6</f>
        <v>64.592699999999923</v>
      </c>
      <c r="M23" s="243" cm="1">
        <f t="array" ref="M23">INDEX(FX_Calcs,$T23,M$86)-459.6</f>
        <v>61.560100000000034</v>
      </c>
      <c r="N23" s="242" cm="1">
        <f t="array" ref="N23">INDEX(FX_Calcs,$T23,N$86)-459.6</f>
        <v>54.451800000000048</v>
      </c>
      <c r="O23" s="242" cm="1">
        <f t="array" ref="O23">INDEX(FX_Calcs,$T23,O$86)-459.6</f>
        <v>48.067724999999996</v>
      </c>
      <c r="P23" s="244" cm="1">
        <f t="array" ref="P23">INDEX(FX_Calcs,$T23,P$86)-459.6</f>
        <v>44.347450000000038</v>
      </c>
      <c r="R23">
        <v>1</v>
      </c>
      <c r="S23">
        <v>2</v>
      </c>
      <c r="T23">
        <v>1</v>
      </c>
    </row>
    <row r="24" spans="2:24" ht="15.45" x14ac:dyDescent="0.4">
      <c r="B24" s="247" t="str" cm="1">
        <f t="array" ref="B24">INDEX(FX_Input,R24,S24)</f>
        <v>FIXTANK 67</v>
      </c>
      <c r="C24" s="358" t="str" cm="1">
        <f t="array" ref="C24">INDEX(FX_Setup,T24,3)</f>
        <v>Distillates</v>
      </c>
      <c r="D24" s="223" t="str">
        <f>D23</f>
        <v>VOC</v>
      </c>
      <c r="E24" s="248" cm="1">
        <f t="array" ref="E24">INDEX(FX_Calcs,$T24,E$86)-459.6</f>
        <v>44.748924999999986</v>
      </c>
      <c r="F24" s="249" cm="1">
        <f t="array" ref="F24">INDEX(FX_Calcs,$T24,F$86)-459.6</f>
        <v>46.185000000000059</v>
      </c>
      <c r="G24" s="249" cm="1">
        <f t="array" ref="G24">INDEX(FX_Calcs,$T24,G$86)-459.6</f>
        <v>48.270575000000008</v>
      </c>
      <c r="H24" s="249" cm="1">
        <f t="array" ref="H24">INDEX(FX_Calcs,$T24,H$86)-459.6</f>
        <v>51.698699999999917</v>
      </c>
      <c r="I24" s="249" cm="1">
        <f t="array" ref="I24">INDEX(FX_Calcs,$T24,I$86)-459.6</f>
        <v>56.954074999999875</v>
      </c>
      <c r="J24" s="249" cm="1">
        <f t="array" ref="J24">INDEX(FX_Calcs,$T24,J$86)-459.6</f>
        <v>60.976825000000076</v>
      </c>
      <c r="K24" s="250" cm="1">
        <f t="array" ref="K24">INDEX(FX_Calcs,$T24,K$86)-459.6</f>
        <v>64.677299999999832</v>
      </c>
      <c r="L24" s="250" cm="1">
        <f t="array" ref="L24">INDEX(FX_Calcs,$T24,L$86)-459.6</f>
        <v>64.592699999999923</v>
      </c>
      <c r="M24" s="250" cm="1">
        <f t="array" ref="M24">INDEX(FX_Calcs,$T24,M$86)-459.6</f>
        <v>61.560100000000034</v>
      </c>
      <c r="N24" s="249" cm="1">
        <f t="array" ref="N24">INDEX(FX_Calcs,$T24,N$86)-459.6</f>
        <v>54.451800000000048</v>
      </c>
      <c r="O24" s="249" cm="1">
        <f t="array" ref="O24">INDEX(FX_Calcs,$T24,O$86)-459.6</f>
        <v>48.067724999999996</v>
      </c>
      <c r="P24" s="251" cm="1">
        <f t="array" ref="P24">INDEX(FX_Calcs,$T24,P$86)-459.6</f>
        <v>44.347450000000038</v>
      </c>
      <c r="R24">
        <f>R23+2</f>
        <v>3</v>
      </c>
      <c r="S24">
        <v>2</v>
      </c>
      <c r="T24">
        <f>T23+1</f>
        <v>2</v>
      </c>
    </row>
    <row r="25" spans="2:24" ht="15.45" x14ac:dyDescent="0.4">
      <c r="B25" s="247" t="str" cm="1">
        <f t="array" ref="B25">INDEX(FX_Input,R25,S25)</f>
        <v>FIXTANK 69</v>
      </c>
      <c r="C25" s="358" t="str" cm="1">
        <f t="array" ref="C25">INDEX(FX_Setup,T25,3)</f>
        <v>Distillates</v>
      </c>
      <c r="D25" s="223" t="str">
        <f t="shared" ref="D25:D78" si="8">D24</f>
        <v>VOC</v>
      </c>
      <c r="E25" s="248" cm="1">
        <f t="array" ref="E25">INDEX(FX_Calcs,$T25,E$86)-459.6</f>
        <v>44.748924999999986</v>
      </c>
      <c r="F25" s="249" cm="1">
        <f t="array" ref="F25">INDEX(FX_Calcs,$T25,F$86)-459.6</f>
        <v>46.185000000000059</v>
      </c>
      <c r="G25" s="249" cm="1">
        <f t="array" ref="G25">INDEX(FX_Calcs,$T25,G$86)-459.6</f>
        <v>48.270575000000008</v>
      </c>
      <c r="H25" s="249" cm="1">
        <f t="array" ref="H25">INDEX(FX_Calcs,$T25,H$86)-459.6</f>
        <v>51.698699999999917</v>
      </c>
      <c r="I25" s="250" cm="1">
        <f t="array" ref="I25">INDEX(FX_Calcs,$T25,I$86)-459.6</f>
        <v>56.954074999999875</v>
      </c>
      <c r="J25" s="250" cm="1">
        <f t="array" ref="J25">INDEX(FX_Calcs,$T25,J$86)-459.6</f>
        <v>60.976825000000076</v>
      </c>
      <c r="K25" s="250" cm="1">
        <f t="array" ref="K25">INDEX(FX_Calcs,$T25,K$86)-459.6</f>
        <v>64.677299999999832</v>
      </c>
      <c r="L25" s="250" cm="1">
        <f t="array" ref="L25">INDEX(FX_Calcs,$T25,L$86)-459.6</f>
        <v>64.592699999999923</v>
      </c>
      <c r="M25" s="250" cm="1">
        <f t="array" ref="M25">INDEX(FX_Calcs,$T25,M$86)-459.6</f>
        <v>61.560100000000034</v>
      </c>
      <c r="N25" s="250" cm="1">
        <f t="array" ref="N25">INDEX(FX_Calcs,$T25,N$86)-459.6</f>
        <v>54.451800000000048</v>
      </c>
      <c r="O25" s="249" cm="1">
        <f t="array" ref="O25">INDEX(FX_Calcs,$T25,O$86)-459.6</f>
        <v>48.067724999999996</v>
      </c>
      <c r="P25" s="251" cm="1">
        <f t="array" ref="P25">INDEX(FX_Calcs,$T25,P$86)-459.6</f>
        <v>44.347450000000038</v>
      </c>
      <c r="R25">
        <f t="shared" ref="R25:R78" si="9">R24+2</f>
        <v>5</v>
      </c>
      <c r="S25">
        <v>2</v>
      </c>
      <c r="T25">
        <f t="shared" ref="T25:T78" si="10">T24+1</f>
        <v>3</v>
      </c>
    </row>
    <row r="26" spans="2:24" ht="15.45" x14ac:dyDescent="0.4">
      <c r="B26" s="247" t="str" cm="1">
        <f t="array" ref="B26">INDEX(FX_Input,R26,S26)</f>
        <v>FIXTANK 70</v>
      </c>
      <c r="C26" s="358" t="str" cm="1">
        <f t="array" ref="C26">INDEX(FX_Setup,T26,3)</f>
        <v>Distillates</v>
      </c>
      <c r="D26" s="223" t="str">
        <f t="shared" si="8"/>
        <v>VOC</v>
      </c>
      <c r="E26" s="248" cm="1">
        <f t="array" ref="E26">INDEX(FX_Calcs,$T26,E$86)-459.6</f>
        <v>43.899999999999977</v>
      </c>
      <c r="F26" s="249" cm="1">
        <f t="array" ref="F26">INDEX(FX_Calcs,$T26,F$86)-459.6</f>
        <v>44.700000000000045</v>
      </c>
      <c r="G26" s="249" cm="1">
        <f t="array" ref="G26">INDEX(FX_Calcs,$T26,G$86)-459.6</f>
        <v>46.100000000000023</v>
      </c>
      <c r="H26" s="249" cm="1">
        <f t="array" ref="H26">INDEX(FX_Calcs,$T26,H$86)-459.6</f>
        <v>48.599999999999966</v>
      </c>
      <c r="I26" s="250" cm="1">
        <f t="array" ref="I26">INDEX(FX_Calcs,$T26,I$86)-459.6</f>
        <v>53.149999999999977</v>
      </c>
      <c r="J26" s="250" cm="1">
        <f t="array" ref="J26">INDEX(FX_Calcs,$T26,J$86)-459.6</f>
        <v>56.950000000000045</v>
      </c>
      <c r="K26" s="250" cm="1">
        <f t="array" ref="K26">INDEX(FX_Calcs,$T26,K$86)-459.6</f>
        <v>60.449999999999932</v>
      </c>
      <c r="L26" s="250" cm="1">
        <f t="array" ref="L26">INDEX(FX_Calcs,$T26,L$86)-459.6</f>
        <v>60.899999999999977</v>
      </c>
      <c r="M26" s="250" cm="1">
        <f t="array" ref="M26">INDEX(FX_Calcs,$T26,M$86)-459.6</f>
        <v>58.600000000000023</v>
      </c>
      <c r="N26" s="250" cm="1">
        <f t="array" ref="N26">INDEX(FX_Calcs,$T26,N$86)-459.6</f>
        <v>52.649999999999977</v>
      </c>
      <c r="O26" s="249" cm="1">
        <f t="array" ref="O26">INDEX(FX_Calcs,$T26,O$86)-459.6</f>
        <v>47.100000000000023</v>
      </c>
      <c r="P26" s="251" cm="1">
        <f t="array" ref="P26">INDEX(FX_Calcs,$T26,P$86)-459.6</f>
        <v>43.600000000000023</v>
      </c>
      <c r="R26">
        <f t="shared" si="9"/>
        <v>7</v>
      </c>
      <c r="S26">
        <v>2</v>
      </c>
      <c r="T26">
        <f t="shared" si="10"/>
        <v>4</v>
      </c>
    </row>
    <row r="27" spans="2:24" ht="15.45" x14ac:dyDescent="0.4">
      <c r="B27" s="247" t="str" cm="1">
        <f t="array" ref="B27">INDEX(FX_Input,R27,S27)</f>
        <v>FIXTANK 74</v>
      </c>
      <c r="C27" s="358" t="str" cm="1">
        <f t="array" ref="C27">INDEX(FX_Setup,T27,3)</f>
        <v>Distillates</v>
      </c>
      <c r="D27" s="223" t="str">
        <f t="shared" si="8"/>
        <v>VOC</v>
      </c>
      <c r="E27" s="248" cm="1">
        <f t="array" ref="E27">INDEX(FX_Calcs,$T27,E$86)-459.6</f>
        <v>43.899999999999977</v>
      </c>
      <c r="F27" s="249" cm="1">
        <f t="array" ref="F27">INDEX(FX_Calcs,$T27,F$86)-459.6</f>
        <v>44.700000000000045</v>
      </c>
      <c r="G27" s="249" cm="1">
        <f t="array" ref="G27">INDEX(FX_Calcs,$T27,G$86)-459.6</f>
        <v>46.100000000000023</v>
      </c>
      <c r="H27" s="249" cm="1">
        <f t="array" ref="H27">INDEX(FX_Calcs,$T27,H$86)-459.6</f>
        <v>48.599999999999966</v>
      </c>
      <c r="I27" s="249" cm="1">
        <f t="array" ref="I27">INDEX(FX_Calcs,$T27,I$86)-459.6</f>
        <v>53.149999999999977</v>
      </c>
      <c r="J27" s="249" cm="1">
        <f t="array" ref="J27">INDEX(FX_Calcs,$T27,J$86)-459.6</f>
        <v>56.950000000000045</v>
      </c>
      <c r="K27" s="249" cm="1">
        <f t="array" ref="K27">INDEX(FX_Calcs,$T27,K$86)-459.6</f>
        <v>60.449999999999932</v>
      </c>
      <c r="L27" s="250" cm="1">
        <f t="array" ref="L27">INDEX(FX_Calcs,$T27,L$86)-459.6</f>
        <v>60.899999999999977</v>
      </c>
      <c r="M27" s="249" cm="1">
        <f t="array" ref="M27">INDEX(FX_Calcs,$T27,M$86)-459.6</f>
        <v>58.600000000000023</v>
      </c>
      <c r="N27" s="249" cm="1">
        <f t="array" ref="N27">INDEX(FX_Calcs,$T27,N$86)-459.6</f>
        <v>52.649999999999977</v>
      </c>
      <c r="O27" s="249" cm="1">
        <f t="array" ref="O27">INDEX(FX_Calcs,$T27,O$86)-459.6</f>
        <v>47.100000000000023</v>
      </c>
      <c r="P27" s="251" cm="1">
        <f t="array" ref="P27">INDEX(FX_Calcs,$T27,P$86)-459.6</f>
        <v>43.600000000000023</v>
      </c>
      <c r="R27">
        <f t="shared" si="9"/>
        <v>9</v>
      </c>
      <c r="S27">
        <v>2</v>
      </c>
      <c r="T27">
        <f t="shared" si="10"/>
        <v>5</v>
      </c>
    </row>
    <row r="28" spans="2:24" ht="15.45" x14ac:dyDescent="0.4">
      <c r="B28" s="247" t="str" cm="1">
        <f t="array" ref="B28">INDEX(FX_Input,R28,S28)</f>
        <v>FIXTANK 93</v>
      </c>
      <c r="C28" s="358" t="str" cm="1">
        <f t="array" ref="C28">INDEX(FX_Setup,T28,3)</f>
        <v>Distillates</v>
      </c>
      <c r="D28" s="223" t="str">
        <f t="shared" si="8"/>
        <v>VOC</v>
      </c>
      <c r="E28" s="248" cm="1">
        <f t="array" ref="E28">INDEX(FX_Calcs,$T28,E$86)-459.6</f>
        <v>43.899999999999977</v>
      </c>
      <c r="F28" s="249" cm="1">
        <f t="array" ref="F28">INDEX(FX_Calcs,$T28,F$86)-459.6</f>
        <v>44.700000000000045</v>
      </c>
      <c r="G28" s="249" cm="1">
        <f t="array" ref="G28">INDEX(FX_Calcs,$T28,G$86)-459.6</f>
        <v>46.100000000000023</v>
      </c>
      <c r="H28" s="249" cm="1">
        <f t="array" ref="H28">INDEX(FX_Calcs,$T28,H$86)-459.6</f>
        <v>48.599999999999966</v>
      </c>
      <c r="I28" s="249" cm="1">
        <f t="array" ref="I28">INDEX(FX_Calcs,$T28,I$86)-459.6</f>
        <v>53.149999999999977</v>
      </c>
      <c r="J28" s="249" cm="1">
        <f t="array" ref="J28">INDEX(FX_Calcs,$T28,J$86)-459.6</f>
        <v>56.950000000000045</v>
      </c>
      <c r="K28" s="249" cm="1">
        <f t="array" ref="K28">INDEX(FX_Calcs,$T28,K$86)-459.6</f>
        <v>60.449999999999932</v>
      </c>
      <c r="L28" s="250" cm="1">
        <f t="array" ref="L28">INDEX(FX_Calcs,$T28,L$86)-459.6</f>
        <v>60.899999999999977</v>
      </c>
      <c r="M28" s="249" cm="1">
        <f t="array" ref="M28">INDEX(FX_Calcs,$T28,M$86)-459.6</f>
        <v>58.600000000000023</v>
      </c>
      <c r="N28" s="249" cm="1">
        <f t="array" ref="N28">INDEX(FX_Calcs,$T28,N$86)-459.6</f>
        <v>52.649999999999977</v>
      </c>
      <c r="O28" s="249" cm="1">
        <f t="array" ref="O28">INDEX(FX_Calcs,$T28,O$86)-459.6</f>
        <v>47.100000000000023</v>
      </c>
      <c r="P28" s="251" cm="1">
        <f t="array" ref="P28">INDEX(FX_Calcs,$T28,P$86)-459.6</f>
        <v>43.600000000000023</v>
      </c>
      <c r="R28">
        <f t="shared" si="9"/>
        <v>11</v>
      </c>
      <c r="S28">
        <v>2</v>
      </c>
      <c r="T28">
        <f t="shared" si="10"/>
        <v>6</v>
      </c>
    </row>
    <row r="29" spans="2:24" ht="15.45" x14ac:dyDescent="0.4">
      <c r="B29" s="247" t="str" cm="1">
        <f t="array" ref="B29">INDEX(FX_Input,R29,S29)</f>
        <v>FIXTANK 100</v>
      </c>
      <c r="C29" s="358" t="str" cm="1">
        <f t="array" ref="C29">INDEX(FX_Setup,T29,3)</f>
        <v>Distillates</v>
      </c>
      <c r="D29" s="223" t="str">
        <f t="shared" si="8"/>
        <v>VOC</v>
      </c>
      <c r="E29" s="248" cm="1">
        <f t="array" ref="E29">INDEX(FX_Calcs,$T29,E$86)-459.6</f>
        <v>44.748924999999986</v>
      </c>
      <c r="F29" s="254" cm="1">
        <f t="array" ref="F29">INDEX(FX_Calcs,$T29,F$86)-459.6</f>
        <v>46.185000000000059</v>
      </c>
      <c r="G29" s="249" cm="1">
        <f t="array" ref="G29">INDEX(FX_Calcs,$T29,G$86)-459.6</f>
        <v>48.270575000000008</v>
      </c>
      <c r="H29" s="249" cm="1">
        <f t="array" ref="H29">INDEX(FX_Calcs,$T29,H$86)-459.6</f>
        <v>51.698699999999917</v>
      </c>
      <c r="I29" s="249" cm="1">
        <f t="array" ref="I29">INDEX(FX_Calcs,$T29,I$86)-459.6</f>
        <v>56.954074999999875</v>
      </c>
      <c r="J29" s="249" cm="1">
        <f t="array" ref="J29">INDEX(FX_Calcs,$T29,J$86)-459.6</f>
        <v>60.976825000000076</v>
      </c>
      <c r="K29" s="249" cm="1">
        <f t="array" ref="K29">INDEX(FX_Calcs,$T29,K$86)-459.6</f>
        <v>64.677299999999832</v>
      </c>
      <c r="L29" s="250" cm="1">
        <f t="array" ref="L29">INDEX(FX_Calcs,$T29,L$86)-459.6</f>
        <v>64.592699999999923</v>
      </c>
      <c r="M29" s="250" cm="1">
        <f t="array" ref="M29">INDEX(FX_Calcs,$T29,M$86)-459.6</f>
        <v>61.560100000000034</v>
      </c>
      <c r="N29" s="249" cm="1">
        <f t="array" ref="N29">INDEX(FX_Calcs,$T29,N$86)-459.6</f>
        <v>54.451800000000048</v>
      </c>
      <c r="O29" s="249" cm="1">
        <f t="array" ref="O29">INDEX(FX_Calcs,$T29,O$86)-459.6</f>
        <v>48.067724999999996</v>
      </c>
      <c r="P29" s="251" cm="1">
        <f t="array" ref="P29">INDEX(FX_Calcs,$T29,P$86)-459.6</f>
        <v>44.347450000000038</v>
      </c>
      <c r="R29">
        <f t="shared" si="9"/>
        <v>13</v>
      </c>
      <c r="S29">
        <v>2</v>
      </c>
      <c r="T29">
        <f t="shared" si="10"/>
        <v>7</v>
      </c>
    </row>
    <row r="30" spans="2:24" ht="15.45" x14ac:dyDescent="0.4">
      <c r="B30" s="247" t="str" cm="1">
        <f t="array" ref="B30">INDEX(FX_Input,R30,S30)</f>
        <v>FIXTANK 101</v>
      </c>
      <c r="C30" s="358" t="str" cm="1">
        <f t="array" ref="C30">INDEX(FX_Setup,T30,3)</f>
        <v>Distillates</v>
      </c>
      <c r="D30" s="223" t="str">
        <f t="shared" si="8"/>
        <v>VOC</v>
      </c>
      <c r="E30" s="248" cm="1">
        <f t="array" ref="E30">INDEX(FX_Calcs,$T30,E$86)-459.6</f>
        <v>44.748924999999986</v>
      </c>
      <c r="F30" s="254" cm="1">
        <f t="array" ref="F30">INDEX(FX_Calcs,$T30,F$86)-459.6</f>
        <v>46.185000000000059</v>
      </c>
      <c r="G30" s="249" cm="1">
        <f t="array" ref="G30">INDEX(FX_Calcs,$T30,G$86)-459.6</f>
        <v>48.270575000000008</v>
      </c>
      <c r="H30" s="249" cm="1">
        <f t="array" ref="H30">INDEX(FX_Calcs,$T30,H$86)-459.6</f>
        <v>51.698699999999917</v>
      </c>
      <c r="I30" s="249" cm="1">
        <f t="array" ref="I30">INDEX(FX_Calcs,$T30,I$86)-459.6</f>
        <v>56.954074999999875</v>
      </c>
      <c r="J30" s="249" cm="1">
        <f t="array" ref="J30">INDEX(FX_Calcs,$T30,J$86)-459.6</f>
        <v>60.976825000000076</v>
      </c>
      <c r="K30" s="249" cm="1">
        <f t="array" ref="K30">INDEX(FX_Calcs,$T30,K$86)-459.6</f>
        <v>64.677299999999832</v>
      </c>
      <c r="L30" s="249" cm="1">
        <f t="array" ref="L30">INDEX(FX_Calcs,$T30,L$86)-459.6</f>
        <v>64.592699999999923</v>
      </c>
      <c r="M30" s="249" cm="1">
        <f t="array" ref="M30">INDEX(FX_Calcs,$T30,M$86)-459.6</f>
        <v>61.560100000000034</v>
      </c>
      <c r="N30" s="249" cm="1">
        <f t="array" ref="N30">INDEX(FX_Calcs,$T30,N$86)-459.6</f>
        <v>54.451800000000048</v>
      </c>
      <c r="O30" s="249" cm="1">
        <f t="array" ref="O30">INDEX(FX_Calcs,$T30,O$86)-459.6</f>
        <v>48.067724999999996</v>
      </c>
      <c r="P30" s="251" cm="1">
        <f t="array" ref="P30">INDEX(FX_Calcs,$T30,P$86)-459.6</f>
        <v>44.347450000000038</v>
      </c>
      <c r="R30">
        <f t="shared" si="9"/>
        <v>15</v>
      </c>
      <c r="S30">
        <v>2</v>
      </c>
      <c r="T30">
        <f t="shared" si="10"/>
        <v>8</v>
      </c>
    </row>
    <row r="31" spans="2:24" ht="15.45" x14ac:dyDescent="0.4">
      <c r="B31" s="247" t="str" cm="1">
        <f t="array" ref="B31">INDEX(FX_Input,R31,S31)</f>
        <v>FIXTANK 102</v>
      </c>
      <c r="C31" s="358" t="str" cm="1">
        <f t="array" ref="C31">INDEX(FX_Setup,T31,3)</f>
        <v>Distillates</v>
      </c>
      <c r="D31" s="223" t="str">
        <f t="shared" si="8"/>
        <v>VOC</v>
      </c>
      <c r="E31" s="248" cm="1">
        <f t="array" ref="E31">INDEX(FX_Calcs,$T31,E$86)-459.6</f>
        <v>44.748924999999986</v>
      </c>
      <c r="F31" s="254" cm="1">
        <f t="array" ref="F31">INDEX(FX_Calcs,$T31,F$86)-459.6</f>
        <v>46.185000000000059</v>
      </c>
      <c r="G31" s="249" cm="1">
        <f t="array" ref="G31">INDEX(FX_Calcs,$T31,G$86)-459.6</f>
        <v>48.270575000000008</v>
      </c>
      <c r="H31" s="249" cm="1">
        <f t="array" ref="H31">INDEX(FX_Calcs,$T31,H$86)-459.6</f>
        <v>51.698699999999917</v>
      </c>
      <c r="I31" s="249" cm="1">
        <f t="array" ref="I31">INDEX(FX_Calcs,$T31,I$86)-459.6</f>
        <v>56.954074999999875</v>
      </c>
      <c r="J31" s="249" cm="1">
        <f t="array" ref="J31">INDEX(FX_Calcs,$T31,J$86)-459.6</f>
        <v>60.976825000000076</v>
      </c>
      <c r="K31" s="249" cm="1">
        <f t="array" ref="K31">INDEX(FX_Calcs,$T31,K$86)-459.6</f>
        <v>64.677299999999832</v>
      </c>
      <c r="L31" s="249" cm="1">
        <f t="array" ref="L31">INDEX(FX_Calcs,$T31,L$86)-459.6</f>
        <v>64.592699999999923</v>
      </c>
      <c r="M31" s="249" cm="1">
        <f t="array" ref="M31">INDEX(FX_Calcs,$T31,M$86)-459.6</f>
        <v>61.560100000000034</v>
      </c>
      <c r="N31" s="249" cm="1">
        <f t="array" ref="N31">INDEX(FX_Calcs,$T31,N$86)-459.6</f>
        <v>54.451800000000048</v>
      </c>
      <c r="O31" s="249" cm="1">
        <f t="array" ref="O31">INDEX(FX_Calcs,$T31,O$86)-459.6</f>
        <v>48.067724999999996</v>
      </c>
      <c r="P31" s="251" cm="1">
        <f t="array" ref="P31">INDEX(FX_Calcs,$T31,P$86)-459.6</f>
        <v>44.347450000000038</v>
      </c>
      <c r="R31">
        <f t="shared" si="9"/>
        <v>17</v>
      </c>
      <c r="S31">
        <v>2</v>
      </c>
      <c r="T31">
        <f t="shared" si="10"/>
        <v>9</v>
      </c>
    </row>
    <row r="32" spans="2:24" ht="15.45" x14ac:dyDescent="0.4">
      <c r="B32" s="247" t="str" cm="1">
        <f t="array" ref="B32">INDEX(FX_Input,R32,S32)</f>
        <v>FIXTANK 110</v>
      </c>
      <c r="C32" s="371" t="str" cm="1">
        <f t="array" ref="C32">INDEX(FX_Setup,T32,3)</f>
        <v>Distillates</v>
      </c>
      <c r="D32" s="231" t="str">
        <f t="shared" si="8"/>
        <v>VOC</v>
      </c>
      <c r="E32" s="255" cm="1">
        <f t="array" ref="E32">INDEX(FX_Calcs,$T32,E$86)-459.6</f>
        <v>43.899999999999977</v>
      </c>
      <c r="F32" s="221" cm="1">
        <f t="array" ref="F32">INDEX(FX_Calcs,$T32,F$86)-459.6</f>
        <v>44.700000000000045</v>
      </c>
      <c r="G32" s="221" cm="1">
        <f t="array" ref="G32">INDEX(FX_Calcs,$T32,G$86)-459.6</f>
        <v>46.100000000000023</v>
      </c>
      <c r="H32" s="221" cm="1">
        <f t="array" ref="H32">INDEX(FX_Calcs,$T32,H$86)-459.6</f>
        <v>48.599999999999966</v>
      </c>
      <c r="I32" s="221" cm="1">
        <f t="array" ref="I32">INDEX(FX_Calcs,$T32,I$86)-459.6</f>
        <v>53.149999999999977</v>
      </c>
      <c r="J32" s="221" cm="1">
        <f t="array" ref="J32">INDEX(FX_Calcs,$T32,J$86)-459.6</f>
        <v>56.950000000000045</v>
      </c>
      <c r="K32" s="221" cm="1">
        <f t="array" ref="K32">INDEX(FX_Calcs,$T32,K$86)-459.6</f>
        <v>60.449999999999932</v>
      </c>
      <c r="L32" s="221" cm="1">
        <f t="array" ref="L32">INDEX(FX_Calcs,$T32,L$86)-459.6</f>
        <v>60.899999999999977</v>
      </c>
      <c r="M32" s="221" cm="1">
        <f t="array" ref="M32">INDEX(FX_Calcs,$T32,M$86)-459.6</f>
        <v>58.600000000000023</v>
      </c>
      <c r="N32" s="221" cm="1">
        <f t="array" ref="N32">INDEX(FX_Calcs,$T32,N$86)-459.6</f>
        <v>52.649999999999977</v>
      </c>
      <c r="O32" s="221" cm="1">
        <f t="array" ref="O32">INDEX(FX_Calcs,$T32,O$86)-459.6</f>
        <v>47.100000000000023</v>
      </c>
      <c r="P32" s="256" cm="1">
        <f t="array" ref="P32">INDEX(FX_Calcs,$T32,P$86)-459.6</f>
        <v>43.600000000000023</v>
      </c>
      <c r="R32">
        <f t="shared" si="9"/>
        <v>19</v>
      </c>
      <c r="S32">
        <v>2</v>
      </c>
      <c r="T32">
        <f t="shared" si="10"/>
        <v>10</v>
      </c>
    </row>
    <row r="33" spans="2:20" ht="15.9" thickBot="1" x14ac:dyDescent="0.45">
      <c r="B33" s="259" t="str" cm="1">
        <f t="array" ref="B33">INDEX(FX_Input,R33,S33)</f>
        <v>FIXTANK 111</v>
      </c>
      <c r="C33" s="372" t="str" cm="1">
        <f t="array" ref="C33">INDEX(FX_Setup,T33,3)</f>
        <v>Out of Service/Demolished</v>
      </c>
      <c r="D33" s="227" t="str">
        <f t="shared" si="8"/>
        <v>VOC</v>
      </c>
      <c r="E33" s="260" cm="1">
        <f t="array" ref="E33">INDEX(FX_Calcs,$T33,E$86)-459.6</f>
        <v>44.748924999999986</v>
      </c>
      <c r="F33" s="261" cm="1">
        <f t="array" ref="F33">INDEX(FX_Calcs,$T33,F$86)-459.6</f>
        <v>46.185000000000059</v>
      </c>
      <c r="G33" s="262" cm="1">
        <f t="array" ref="G33">INDEX(FX_Calcs,$T33,G$86)-459.6</f>
        <v>48.270575000000008</v>
      </c>
      <c r="H33" s="262" cm="1">
        <f t="array" ref="H33">INDEX(FX_Calcs,$T33,H$86)-459.6</f>
        <v>51.698699999999917</v>
      </c>
      <c r="I33" s="262" cm="1">
        <f t="array" ref="I33">INDEX(FX_Calcs,$T33,I$86)-459.6</f>
        <v>56.954074999999875</v>
      </c>
      <c r="J33" s="262" cm="1">
        <f t="array" ref="J33">INDEX(FX_Calcs,$T33,J$86)-459.6</f>
        <v>60.976825000000076</v>
      </c>
      <c r="K33" s="262" cm="1">
        <f t="array" ref="K33">INDEX(FX_Calcs,$T33,K$86)-459.6</f>
        <v>64.677299999999832</v>
      </c>
      <c r="L33" s="262" cm="1">
        <f t="array" ref="L33">INDEX(FX_Calcs,$T33,L$86)-459.6</f>
        <v>64.592699999999923</v>
      </c>
      <c r="M33" s="262" cm="1">
        <f t="array" ref="M33">INDEX(FX_Calcs,$T33,M$86)-459.6</f>
        <v>61.560100000000034</v>
      </c>
      <c r="N33" s="262" cm="1">
        <f t="array" ref="N33">INDEX(FX_Calcs,$T33,N$86)-459.6</f>
        <v>54.451800000000048</v>
      </c>
      <c r="O33" s="262" cm="1">
        <f t="array" ref="O33">INDEX(FX_Calcs,$T33,O$86)-459.6</f>
        <v>48.067724999999996</v>
      </c>
      <c r="P33" s="263" cm="1">
        <f t="array" ref="P33">INDEX(FX_Calcs,$T33,P$86)-459.6</f>
        <v>44.347450000000038</v>
      </c>
      <c r="R33">
        <f t="shared" si="9"/>
        <v>21</v>
      </c>
      <c r="S33">
        <v>2</v>
      </c>
      <c r="T33">
        <f t="shared" si="10"/>
        <v>11</v>
      </c>
    </row>
    <row r="34" spans="2:20" ht="15.45" x14ac:dyDescent="0.4">
      <c r="B34" s="266" t="str" cm="1">
        <f t="array" ref="B34">INDEX(FX_Input,R34,S34)</f>
        <v>FIXTANK 112</v>
      </c>
      <c r="C34" s="373" t="str" cm="1">
        <f t="array" ref="C34">INDEX(FX_Setup,T34,3)</f>
        <v>Distillates</v>
      </c>
      <c r="D34" s="269" t="str">
        <f t="shared" si="8"/>
        <v>VOC</v>
      </c>
      <c r="E34" s="345" cm="1">
        <f t="array" ref="E34">INDEX(FX_Calcs,$T34,E$86)-459.6</f>
        <v>44.748924999999986</v>
      </c>
      <c r="F34" s="346" cm="1">
        <f t="array" ref="F34">INDEX(FX_Calcs,$T34,F$86)-459.6</f>
        <v>46.185000000000059</v>
      </c>
      <c r="G34" s="346" cm="1">
        <f t="array" ref="G34">INDEX(FX_Calcs,$T34,G$86)-459.6</f>
        <v>48.270575000000008</v>
      </c>
      <c r="H34" s="346" cm="1">
        <f t="array" ref="H34">INDEX(FX_Calcs,$T34,H$86)-459.6</f>
        <v>51.698699999999917</v>
      </c>
      <c r="I34" s="346" cm="1">
        <f t="array" ref="I34">INDEX(FX_Calcs,$T34,I$86)-459.6</f>
        <v>56.954074999999875</v>
      </c>
      <c r="J34" s="346" cm="1">
        <f t="array" ref="J34">INDEX(FX_Calcs,$T34,J$86)-459.6</f>
        <v>60.976825000000076</v>
      </c>
      <c r="K34" s="346" cm="1">
        <f t="array" ref="K34">INDEX(FX_Calcs,$T34,K$86)-459.6</f>
        <v>64.677299999999832</v>
      </c>
      <c r="L34" s="346" cm="1">
        <f t="array" ref="L34">INDEX(FX_Calcs,$T34,L$86)-459.6</f>
        <v>64.592699999999923</v>
      </c>
      <c r="M34" s="346" cm="1">
        <f t="array" ref="M34">INDEX(FX_Calcs,$T34,M$86)-459.6</f>
        <v>61.560100000000034</v>
      </c>
      <c r="N34" s="346" cm="1">
        <f t="array" ref="N34">INDEX(FX_Calcs,$T34,N$86)-459.6</f>
        <v>54.451800000000048</v>
      </c>
      <c r="O34" s="346" cm="1">
        <f t="array" ref="O34">INDEX(FX_Calcs,$T34,O$86)-459.6</f>
        <v>48.067724999999996</v>
      </c>
      <c r="P34" s="347" cm="1">
        <f t="array" ref="P34">INDEX(FX_Calcs,$T34,P$86)-459.6</f>
        <v>44.347450000000038</v>
      </c>
      <c r="R34">
        <f t="shared" si="9"/>
        <v>23</v>
      </c>
      <c r="S34">
        <v>2</v>
      </c>
      <c r="T34">
        <f t="shared" si="10"/>
        <v>12</v>
      </c>
    </row>
    <row r="35" spans="2:20" ht="15.45" x14ac:dyDescent="0.4">
      <c r="B35" s="247" t="str" cm="1">
        <f t="array" ref="B35">INDEX(FX_Input,R35,S35)</f>
        <v>FIXTANK 113</v>
      </c>
      <c r="C35" s="374" t="str" cm="1">
        <f t="array" ref="C35">INDEX(FX_Setup,T35,3)</f>
        <v>Out of Service/Demolished</v>
      </c>
      <c r="D35" s="223" t="str">
        <f t="shared" si="8"/>
        <v>VOC</v>
      </c>
      <c r="E35" s="273" cm="1">
        <f t="array" ref="E35">INDEX(FX_Calcs,$T35,E$86)-459.6</f>
        <v>45.258280000000013</v>
      </c>
      <c r="F35" s="274" cm="1">
        <f t="array" ref="F35">INDEX(FX_Calcs,$T35,F$86)-459.6</f>
        <v>47.076000000000022</v>
      </c>
      <c r="G35" s="274" cm="1">
        <f t="array" ref="G35">INDEX(FX_Calcs,$T35,G$86)-459.6</f>
        <v>49.572920000000011</v>
      </c>
      <c r="H35" s="250" cm="1">
        <f t="array" ref="H35">INDEX(FX_Calcs,$T35,H$86)-459.6</f>
        <v>53.557919999999854</v>
      </c>
      <c r="I35" s="274" cm="1">
        <f t="array" ref="I35">INDEX(FX_Calcs,$T35,I$86)-459.6</f>
        <v>59.236519999999814</v>
      </c>
      <c r="J35" s="274" cm="1">
        <f t="array" ref="J35">INDEX(FX_Calcs,$T35,J$86)-459.6</f>
        <v>63.392920000000117</v>
      </c>
      <c r="K35" s="274" cm="1">
        <f t="array" ref="K35">INDEX(FX_Calcs,$T35,K$86)-459.6</f>
        <v>67.21367999999984</v>
      </c>
      <c r="L35" s="274" cm="1">
        <f t="array" ref="L35">INDEX(FX_Calcs,$T35,L$86)-459.6</f>
        <v>66.808319999999981</v>
      </c>
      <c r="M35" s="274" cm="1">
        <f t="array" ref="M35">INDEX(FX_Calcs,$T35,M$86)-459.6</f>
        <v>63.33615999999995</v>
      </c>
      <c r="N35" s="274" cm="1">
        <f t="array" ref="N35">INDEX(FX_Calcs,$T35,N$86)-459.6</f>
        <v>55.532879999999977</v>
      </c>
      <c r="O35" s="274" cm="1">
        <f t="array" ref="O35">INDEX(FX_Calcs,$T35,O$86)-459.6</f>
        <v>48.648359999999968</v>
      </c>
      <c r="P35" s="275" cm="1">
        <f t="array" ref="P35">INDEX(FX_Calcs,$T35,P$86)-459.6</f>
        <v>44.795920000000024</v>
      </c>
      <c r="R35">
        <f t="shared" si="9"/>
        <v>25</v>
      </c>
      <c r="S35">
        <v>2</v>
      </c>
      <c r="T35">
        <f t="shared" si="10"/>
        <v>13</v>
      </c>
    </row>
    <row r="36" spans="2:20" ht="15.45" x14ac:dyDescent="0.4">
      <c r="B36" s="247" t="str" cm="1">
        <f t="array" ref="B36">INDEX(FX_Input,R36,S36)</f>
        <v>FIXTANK 121</v>
      </c>
      <c r="C36" s="374" t="str" cm="1">
        <f t="array" ref="C36">INDEX(FX_Setup,T36,3)</f>
        <v>Distillates</v>
      </c>
      <c r="D36" s="223" t="str">
        <f t="shared" si="8"/>
        <v>VOC</v>
      </c>
      <c r="E36" s="248" cm="1">
        <f t="array" ref="E36">INDEX(FX_Calcs,$T36,E$86)-459.6</f>
        <v>45.869505999999944</v>
      </c>
      <c r="F36" s="254" cm="1">
        <f t="array" ref="F36">INDEX(FX_Calcs,$T36,F$86)-459.6</f>
        <v>48.145200000000045</v>
      </c>
      <c r="G36" s="254" cm="1">
        <f t="array" ref="G36">INDEX(FX_Calcs,$T36,G$86)-459.6</f>
        <v>51.135734000000014</v>
      </c>
      <c r="H36" s="254" cm="1">
        <f t="array" ref="H36">INDEX(FX_Calcs,$T36,H$86)-459.6</f>
        <v>55.788983999999914</v>
      </c>
      <c r="I36" s="274" cm="1">
        <f t="array" ref="I36">INDEX(FX_Calcs,$T36,I$86)-459.6</f>
        <v>61.975454000000013</v>
      </c>
      <c r="J36" s="249" cm="1">
        <f t="array" ref="J36">INDEX(FX_Calcs,$T36,J$86)-459.6</f>
        <v>66.292234000000008</v>
      </c>
      <c r="K36" s="249" cm="1">
        <f t="array" ref="K36">INDEX(FX_Calcs,$T36,K$86)-459.6</f>
        <v>70.257335999999896</v>
      </c>
      <c r="L36" s="249" cm="1">
        <f t="array" ref="L36">INDEX(FX_Calcs,$T36,L$86)-459.6</f>
        <v>69.467063999999937</v>
      </c>
      <c r="M36" s="249" cm="1">
        <f t="array" ref="M36">INDEX(FX_Calcs,$T36,M$86)-459.6</f>
        <v>65.467431999999917</v>
      </c>
      <c r="N36" s="249" cm="1">
        <f t="array" ref="N36">INDEX(FX_Calcs,$T36,N$86)-459.6</f>
        <v>56.830175999999938</v>
      </c>
      <c r="O36" s="254" cm="1">
        <f t="array" ref="O36">INDEX(FX_Calcs,$T36,O$86)-459.6</f>
        <v>49.345121999999947</v>
      </c>
      <c r="P36" s="278" cm="1">
        <f t="array" ref="P36">INDEX(FX_Calcs,$T36,P$86)-459.6</f>
        <v>45.334084000000018</v>
      </c>
      <c r="R36">
        <f t="shared" si="9"/>
        <v>27</v>
      </c>
      <c r="S36">
        <v>2</v>
      </c>
      <c r="T36">
        <f t="shared" si="10"/>
        <v>14</v>
      </c>
    </row>
    <row r="37" spans="2:20" ht="15.45" x14ac:dyDescent="0.4">
      <c r="B37" s="247" t="str" cm="1">
        <f t="array" ref="B37">INDEX(FX_Input,R37,S37)</f>
        <v>FIXTANK 122</v>
      </c>
      <c r="C37" s="358" t="str" cm="1">
        <f t="array" ref="C37">INDEX(FX_Setup,T37,3)</f>
        <v>Distillates</v>
      </c>
      <c r="D37" s="223" t="str">
        <f t="shared" si="8"/>
        <v>VOC</v>
      </c>
      <c r="E37" s="281" cm="1">
        <f t="array" ref="E37">INDEX(FX_Calcs,$T37,E$86)-459.6</f>
        <v>43.899999999999977</v>
      </c>
      <c r="F37" s="282" cm="1">
        <f t="array" ref="F37">INDEX(FX_Calcs,$T37,F$86)-459.6</f>
        <v>44.700000000000045</v>
      </c>
      <c r="G37" s="282" cm="1">
        <f t="array" ref="G37">INDEX(FX_Calcs,$T37,G$86)-459.6</f>
        <v>46.100000000000023</v>
      </c>
      <c r="H37" s="282" cm="1">
        <f t="array" ref="H37">INDEX(FX_Calcs,$T37,H$86)-459.6</f>
        <v>48.599999999999966</v>
      </c>
      <c r="I37" s="282" cm="1">
        <f t="array" ref="I37">INDEX(FX_Calcs,$T37,I$86)-459.6</f>
        <v>53.149999999999977</v>
      </c>
      <c r="J37" s="282" cm="1">
        <f t="array" ref="J37">INDEX(FX_Calcs,$T37,J$86)-459.6</f>
        <v>56.950000000000045</v>
      </c>
      <c r="K37" s="282" cm="1">
        <f t="array" ref="K37">INDEX(FX_Calcs,$T37,K$86)-459.6</f>
        <v>60.449999999999932</v>
      </c>
      <c r="L37" s="282" cm="1">
        <f t="array" ref="L37">INDEX(FX_Calcs,$T37,L$86)-459.6</f>
        <v>60.899999999999977</v>
      </c>
      <c r="M37" s="282" cm="1">
        <f t="array" ref="M37">INDEX(FX_Calcs,$T37,M$86)-459.6</f>
        <v>58.600000000000023</v>
      </c>
      <c r="N37" s="282" cm="1">
        <f t="array" ref="N37">INDEX(FX_Calcs,$T37,N$86)-459.6</f>
        <v>52.649999999999977</v>
      </c>
      <c r="O37" s="282" cm="1">
        <f t="array" ref="O37">INDEX(FX_Calcs,$T37,O$86)-459.6</f>
        <v>47.100000000000023</v>
      </c>
      <c r="P37" s="283" cm="1">
        <f t="array" ref="P37">INDEX(FX_Calcs,$T37,P$86)-459.6</f>
        <v>43.600000000000023</v>
      </c>
      <c r="R37">
        <f t="shared" si="9"/>
        <v>29</v>
      </c>
      <c r="S37">
        <v>2</v>
      </c>
      <c r="T37">
        <f t="shared" si="10"/>
        <v>15</v>
      </c>
    </row>
    <row r="38" spans="2:20" ht="15.45" x14ac:dyDescent="0.4">
      <c r="B38" s="247" t="str" cm="1">
        <f t="array" ref="B38">INDEX(FX_Input,R38,S38)</f>
        <v>FIXTANK 123</v>
      </c>
      <c r="C38" s="358" t="str" cm="1">
        <f t="array" ref="C38">INDEX(FX_Setup,T38,3)</f>
        <v>Distillates</v>
      </c>
      <c r="D38" s="223" t="str">
        <f t="shared" si="8"/>
        <v>VOC</v>
      </c>
      <c r="E38" s="285" cm="1">
        <f t="array" ref="E38">INDEX(FX_Calcs,$T38,E$86)-459.6</f>
        <v>43.899999999999977</v>
      </c>
      <c r="F38" s="286" cm="1">
        <f t="array" ref="F38">INDEX(FX_Calcs,$T38,F$86)-459.6</f>
        <v>44.700000000000045</v>
      </c>
      <c r="G38" s="286" cm="1">
        <f t="array" ref="G38">INDEX(FX_Calcs,$T38,G$86)-459.6</f>
        <v>46.100000000000023</v>
      </c>
      <c r="H38" s="286" cm="1">
        <f t="array" ref="H38">INDEX(FX_Calcs,$T38,H$86)-459.6</f>
        <v>48.599999999999966</v>
      </c>
      <c r="I38" s="286" cm="1">
        <f t="array" ref="I38">INDEX(FX_Calcs,$T38,I$86)-459.6</f>
        <v>53.149999999999977</v>
      </c>
      <c r="J38" s="286" cm="1">
        <f t="array" ref="J38">INDEX(FX_Calcs,$T38,J$86)-459.6</f>
        <v>56.950000000000045</v>
      </c>
      <c r="K38" s="286" cm="1">
        <f t="array" ref="K38">INDEX(FX_Calcs,$T38,K$86)-459.6</f>
        <v>60.449999999999932</v>
      </c>
      <c r="L38" s="286" cm="1">
        <f t="array" ref="L38">INDEX(FX_Calcs,$T38,L$86)-459.6</f>
        <v>60.899999999999977</v>
      </c>
      <c r="M38" s="286" cm="1">
        <f t="array" ref="M38">INDEX(FX_Calcs,$T38,M$86)-459.6</f>
        <v>58.600000000000023</v>
      </c>
      <c r="N38" s="286" cm="1">
        <f t="array" ref="N38">INDEX(FX_Calcs,$T38,N$86)-459.6</f>
        <v>52.649999999999977</v>
      </c>
      <c r="O38" s="286" cm="1">
        <f t="array" ref="O38">INDEX(FX_Calcs,$T38,O$86)-459.6</f>
        <v>47.100000000000023</v>
      </c>
      <c r="P38" s="287" cm="1">
        <f t="array" ref="P38">INDEX(FX_Calcs,$T38,P$86)-459.6</f>
        <v>43.600000000000023</v>
      </c>
      <c r="R38">
        <f t="shared" si="9"/>
        <v>31</v>
      </c>
      <c r="S38">
        <v>2</v>
      </c>
      <c r="T38">
        <f t="shared" si="10"/>
        <v>16</v>
      </c>
    </row>
    <row r="39" spans="2:20" ht="15.45" x14ac:dyDescent="0.4">
      <c r="B39" s="247" t="str" cm="1">
        <f t="array" ref="B39">INDEX(FX_Input,R39,S39)</f>
        <v>FIXTANK 124</v>
      </c>
      <c r="C39" s="358" t="str" cm="1">
        <f t="array" ref="C39">INDEX(FX_Setup,T39,3)</f>
        <v>Distillates</v>
      </c>
      <c r="D39" s="223" t="str">
        <f t="shared" si="8"/>
        <v>VOC</v>
      </c>
      <c r="E39" s="281" cm="1">
        <f t="array" ref="E39">INDEX(FX_Calcs,$T39,E$86)-459.6</f>
        <v>43.899999999999977</v>
      </c>
      <c r="F39" s="282" cm="1">
        <f t="array" ref="F39">INDEX(FX_Calcs,$T39,F$86)-459.6</f>
        <v>44.700000000000045</v>
      </c>
      <c r="G39" s="282" cm="1">
        <f t="array" ref="G39">INDEX(FX_Calcs,$T39,G$86)-459.6</f>
        <v>46.100000000000023</v>
      </c>
      <c r="H39" s="282" cm="1">
        <f t="array" ref="H39">INDEX(FX_Calcs,$T39,H$86)-459.6</f>
        <v>48.599999999999966</v>
      </c>
      <c r="I39" s="282" cm="1">
        <f t="array" ref="I39">INDEX(FX_Calcs,$T39,I$86)-459.6</f>
        <v>53.149999999999977</v>
      </c>
      <c r="J39" s="282" cm="1">
        <f t="array" ref="J39">INDEX(FX_Calcs,$T39,J$86)-459.6</f>
        <v>56.950000000000045</v>
      </c>
      <c r="K39" s="282" cm="1">
        <f t="array" ref="K39">INDEX(FX_Calcs,$T39,K$86)-459.6</f>
        <v>60.449999999999932</v>
      </c>
      <c r="L39" s="282" cm="1">
        <f t="array" ref="L39">INDEX(FX_Calcs,$T39,L$86)-459.6</f>
        <v>60.899999999999977</v>
      </c>
      <c r="M39" s="282" cm="1">
        <f t="array" ref="M39">INDEX(FX_Calcs,$T39,M$86)-459.6</f>
        <v>58.600000000000023</v>
      </c>
      <c r="N39" s="282" cm="1">
        <f t="array" ref="N39">INDEX(FX_Calcs,$T39,N$86)-459.6</f>
        <v>52.649999999999977</v>
      </c>
      <c r="O39" s="282" cm="1">
        <f t="array" ref="O39">INDEX(FX_Calcs,$T39,O$86)-459.6</f>
        <v>47.100000000000023</v>
      </c>
      <c r="P39" s="283" cm="1">
        <f t="array" ref="P39">INDEX(FX_Calcs,$T39,P$86)-459.6</f>
        <v>43.600000000000023</v>
      </c>
      <c r="R39">
        <f t="shared" si="9"/>
        <v>33</v>
      </c>
      <c r="S39">
        <v>2</v>
      </c>
      <c r="T39">
        <f t="shared" si="10"/>
        <v>17</v>
      </c>
    </row>
    <row r="40" spans="2:20" ht="15.45" x14ac:dyDescent="0.4">
      <c r="B40" s="247" t="str" cm="1">
        <f t="array" ref="B40">INDEX(FX_Input,R40,S40)</f>
        <v>FIXTANK 125</v>
      </c>
      <c r="C40" s="358" t="str" cm="1">
        <f t="array" ref="C40">INDEX(FX_Setup,T40,3)</f>
        <v>Distillates</v>
      </c>
      <c r="D40" s="223" t="str">
        <f t="shared" si="8"/>
        <v>VOC</v>
      </c>
      <c r="E40" s="281" cm="1">
        <f t="array" ref="E40">INDEX(FX_Calcs,$T40,E$86)-459.6</f>
        <v>43.899999999999977</v>
      </c>
      <c r="F40" s="282" cm="1">
        <f t="array" ref="F40">INDEX(FX_Calcs,$T40,F$86)-459.6</f>
        <v>44.700000000000045</v>
      </c>
      <c r="G40" s="282" cm="1">
        <f t="array" ref="G40">INDEX(FX_Calcs,$T40,G$86)-459.6</f>
        <v>46.100000000000023</v>
      </c>
      <c r="H40" s="282" cm="1">
        <f t="array" ref="H40">INDEX(FX_Calcs,$T40,H$86)-459.6</f>
        <v>48.599999999999966</v>
      </c>
      <c r="I40" s="282" cm="1">
        <f t="array" ref="I40">INDEX(FX_Calcs,$T40,I$86)-459.6</f>
        <v>53.149999999999977</v>
      </c>
      <c r="J40" s="282" cm="1">
        <f t="array" ref="J40">INDEX(FX_Calcs,$T40,J$86)-459.6</f>
        <v>56.950000000000045</v>
      </c>
      <c r="K40" s="282" cm="1">
        <f t="array" ref="K40">INDEX(FX_Calcs,$T40,K$86)-459.6</f>
        <v>60.449999999999932</v>
      </c>
      <c r="L40" s="282" cm="1">
        <f t="array" ref="L40">INDEX(FX_Calcs,$T40,L$86)-459.6</f>
        <v>60.899999999999977</v>
      </c>
      <c r="M40" s="282" cm="1">
        <f t="array" ref="M40">INDEX(FX_Calcs,$T40,M$86)-459.6</f>
        <v>58.600000000000023</v>
      </c>
      <c r="N40" s="282" cm="1">
        <f t="array" ref="N40">INDEX(FX_Calcs,$T40,N$86)-459.6</f>
        <v>52.649999999999977</v>
      </c>
      <c r="O40" s="282" cm="1">
        <f t="array" ref="O40">INDEX(FX_Calcs,$T40,O$86)-459.6</f>
        <v>47.100000000000023</v>
      </c>
      <c r="P40" s="283" cm="1">
        <f t="array" ref="P40">INDEX(FX_Calcs,$T40,P$86)-459.6</f>
        <v>43.600000000000023</v>
      </c>
      <c r="R40">
        <f t="shared" si="9"/>
        <v>35</v>
      </c>
      <c r="S40">
        <v>2</v>
      </c>
      <c r="T40">
        <f t="shared" si="10"/>
        <v>18</v>
      </c>
    </row>
    <row r="41" spans="2:20" ht="15.45" x14ac:dyDescent="0.4">
      <c r="B41" s="247" t="str" cm="1">
        <f t="array" ref="B41">INDEX(FX_Input,R41,S41)</f>
        <v>FIXTANK 126</v>
      </c>
      <c r="C41" s="358" t="str" cm="1">
        <f t="array" ref="C41">INDEX(FX_Setup,T41,3)</f>
        <v>Distillates</v>
      </c>
      <c r="D41" s="223" t="str">
        <f t="shared" si="8"/>
        <v>VOC</v>
      </c>
      <c r="E41" s="290" cm="1">
        <f t="array" ref="E41">INDEX(FX_Calcs,$T41,E$86)-459.6</f>
        <v>43.899999999999977</v>
      </c>
      <c r="F41" s="250" cm="1">
        <f t="array" ref="F41">INDEX(FX_Calcs,$T41,F$86)-459.6</f>
        <v>44.700000000000045</v>
      </c>
      <c r="G41" s="250" cm="1">
        <f t="array" ref="G41">INDEX(FX_Calcs,$T41,G$86)-459.6</f>
        <v>46.100000000000023</v>
      </c>
      <c r="H41" s="250" cm="1">
        <f t="array" ref="H41">INDEX(FX_Calcs,$T41,H$86)-459.6</f>
        <v>48.599999999999966</v>
      </c>
      <c r="I41" s="250" cm="1">
        <f t="array" ref="I41">INDEX(FX_Calcs,$T41,I$86)-459.6</f>
        <v>53.149999999999977</v>
      </c>
      <c r="J41" s="250" cm="1">
        <f t="array" ref="J41">INDEX(FX_Calcs,$T41,J$86)-459.6</f>
        <v>56.950000000000045</v>
      </c>
      <c r="K41" s="291" cm="1">
        <f t="array" ref="K41">INDEX(FX_Calcs,$T41,K$86)-459.6</f>
        <v>60.449999999999932</v>
      </c>
      <c r="L41" s="291" cm="1">
        <f t="array" ref="L41">INDEX(FX_Calcs,$T41,L$86)-459.6</f>
        <v>60.899999999999977</v>
      </c>
      <c r="M41" s="291" cm="1">
        <f t="array" ref="M41">INDEX(FX_Calcs,$T41,M$86)-459.6</f>
        <v>58.600000000000023</v>
      </c>
      <c r="N41" s="250" cm="1">
        <f t="array" ref="N41">INDEX(FX_Calcs,$T41,N$86)-459.6</f>
        <v>52.649999999999977</v>
      </c>
      <c r="O41" s="250" cm="1">
        <f t="array" ref="O41">INDEX(FX_Calcs,$T41,O$86)-459.6</f>
        <v>47.100000000000023</v>
      </c>
      <c r="P41" s="292" cm="1">
        <f t="array" ref="P41">INDEX(FX_Calcs,$T41,P$86)-459.6</f>
        <v>43.600000000000023</v>
      </c>
      <c r="R41">
        <f t="shared" si="9"/>
        <v>37</v>
      </c>
      <c r="S41">
        <v>2</v>
      </c>
      <c r="T41">
        <f t="shared" si="10"/>
        <v>19</v>
      </c>
    </row>
    <row r="42" spans="2:20" ht="15.45" x14ac:dyDescent="0.4">
      <c r="B42" s="247" t="str" cm="1">
        <f t="array" ref="B42">INDEX(FX_Input,R42,S42)</f>
        <v>FIXTANK 127</v>
      </c>
      <c r="C42" s="358" t="str" cm="1">
        <f t="array" ref="C42">INDEX(FX_Setup,T42,3)</f>
        <v>Distillates</v>
      </c>
      <c r="D42" s="223" t="str">
        <f t="shared" si="8"/>
        <v>VOC</v>
      </c>
      <c r="E42" s="295" cm="1">
        <f t="array" ref="E42">INDEX(FX_Calcs,$T42,E$86)-459.6</f>
        <v>43.899999999999977</v>
      </c>
      <c r="F42" s="291" cm="1">
        <f t="array" ref="F42">INDEX(FX_Calcs,$T42,F$86)-459.6</f>
        <v>44.700000000000045</v>
      </c>
      <c r="G42" s="282" cm="1">
        <f t="array" ref="G42">INDEX(FX_Calcs,$T42,G$86)-459.6</f>
        <v>46.100000000000023</v>
      </c>
      <c r="H42" s="282" cm="1">
        <f t="array" ref="H42">INDEX(FX_Calcs,$T42,H$86)-459.6</f>
        <v>48.599999999999966</v>
      </c>
      <c r="I42" s="282" cm="1">
        <f t="array" ref="I42">INDEX(FX_Calcs,$T42,I$86)-459.6</f>
        <v>53.149999999999977</v>
      </c>
      <c r="J42" s="282" cm="1">
        <f t="array" ref="J42">INDEX(FX_Calcs,$T42,J$86)-459.6</f>
        <v>56.950000000000045</v>
      </c>
      <c r="K42" s="282" cm="1">
        <f t="array" ref="K42">INDEX(FX_Calcs,$T42,K$86)-459.6</f>
        <v>60.449999999999932</v>
      </c>
      <c r="L42" s="282" cm="1">
        <f t="array" ref="L42">INDEX(FX_Calcs,$T42,L$86)-459.6</f>
        <v>60.899999999999977</v>
      </c>
      <c r="M42" s="282" cm="1">
        <f t="array" ref="M42">INDEX(FX_Calcs,$T42,M$86)-459.6</f>
        <v>58.600000000000023</v>
      </c>
      <c r="N42" s="282" cm="1">
        <f t="array" ref="N42">INDEX(FX_Calcs,$T42,N$86)-459.6</f>
        <v>52.649999999999977</v>
      </c>
      <c r="O42" s="286" cm="1">
        <f t="array" ref="O42">INDEX(FX_Calcs,$T42,O$86)-459.6</f>
        <v>47.100000000000023</v>
      </c>
      <c r="P42" s="296" cm="1">
        <f t="array" ref="P42">INDEX(FX_Calcs,$T42,P$86)-459.6</f>
        <v>43.600000000000023</v>
      </c>
      <c r="R42">
        <f t="shared" si="9"/>
        <v>39</v>
      </c>
      <c r="S42">
        <v>2</v>
      </c>
      <c r="T42">
        <f t="shared" si="10"/>
        <v>20</v>
      </c>
    </row>
    <row r="43" spans="2:20" ht="15.45" x14ac:dyDescent="0.4">
      <c r="B43" s="247" t="str" cm="1">
        <f t="array" ref="B43">INDEX(FX_Input,R43,S43)</f>
        <v>FIXTANK 128</v>
      </c>
      <c r="C43" s="358" t="str" cm="1">
        <f t="array" ref="C43">INDEX(FX_Setup,T43,3)</f>
        <v>Distillates</v>
      </c>
      <c r="D43" s="223" t="str">
        <f t="shared" si="8"/>
        <v>VOC</v>
      </c>
      <c r="E43" s="281" cm="1">
        <f t="array" ref="E43">INDEX(FX_Calcs,$T43,E$86)-459.6</f>
        <v>43.899999999999977</v>
      </c>
      <c r="F43" s="282" cm="1">
        <f t="array" ref="F43">INDEX(FX_Calcs,$T43,F$86)-459.6</f>
        <v>44.700000000000045</v>
      </c>
      <c r="G43" s="282" cm="1">
        <f t="array" ref="G43">INDEX(FX_Calcs,$T43,G$86)-459.6</f>
        <v>46.100000000000023</v>
      </c>
      <c r="H43" s="282" cm="1">
        <f t="array" ref="H43">INDEX(FX_Calcs,$T43,H$86)-459.6</f>
        <v>48.599999999999966</v>
      </c>
      <c r="I43" s="282" cm="1">
        <f t="array" ref="I43">INDEX(FX_Calcs,$T43,I$86)-459.6</f>
        <v>53.149999999999977</v>
      </c>
      <c r="J43" s="282" cm="1">
        <f t="array" ref="J43">INDEX(FX_Calcs,$T43,J$86)-459.6</f>
        <v>56.950000000000045</v>
      </c>
      <c r="K43" s="282" cm="1">
        <f t="array" ref="K43">INDEX(FX_Calcs,$T43,K$86)-459.6</f>
        <v>60.449999999999932</v>
      </c>
      <c r="L43" s="282" cm="1">
        <f t="array" ref="L43">INDEX(FX_Calcs,$T43,L$86)-459.6</f>
        <v>60.899999999999977</v>
      </c>
      <c r="M43" s="282" cm="1">
        <f t="array" ref="M43">INDEX(FX_Calcs,$T43,M$86)-459.6</f>
        <v>58.600000000000023</v>
      </c>
      <c r="N43" s="282" cm="1">
        <f t="array" ref="N43">INDEX(FX_Calcs,$T43,N$86)-459.6</f>
        <v>52.649999999999977</v>
      </c>
      <c r="O43" s="286" cm="1">
        <f t="array" ref="O43">INDEX(FX_Calcs,$T43,O$86)-459.6</f>
        <v>47.100000000000023</v>
      </c>
      <c r="P43" s="287" cm="1">
        <f t="array" ref="P43">INDEX(FX_Calcs,$T43,P$86)-459.6</f>
        <v>43.600000000000023</v>
      </c>
      <c r="R43">
        <f t="shared" si="9"/>
        <v>41</v>
      </c>
      <c r="S43">
        <v>2</v>
      </c>
      <c r="T43">
        <f t="shared" si="10"/>
        <v>21</v>
      </c>
    </row>
    <row r="44" spans="2:20" ht="15.45" x14ac:dyDescent="0.4">
      <c r="B44" s="247" t="str" cm="1">
        <f t="array" ref="B44">INDEX(FX_Input,R44,S44)</f>
        <v>FIXTANK 129</v>
      </c>
      <c r="C44" s="358" t="str" cm="1">
        <f t="array" ref="C44">INDEX(FX_Setup,T44,3)</f>
        <v>Distillates</v>
      </c>
      <c r="D44" s="223" t="str">
        <f t="shared" si="8"/>
        <v>VOC</v>
      </c>
      <c r="E44" s="281" cm="1">
        <f t="array" ref="E44">INDEX(FX_Calcs,$T44,E$86)-459.6</f>
        <v>43.899999999999977</v>
      </c>
      <c r="F44" s="282" cm="1">
        <f t="array" ref="F44">INDEX(FX_Calcs,$T44,F$86)-459.6</f>
        <v>44.700000000000045</v>
      </c>
      <c r="G44" s="282" cm="1">
        <f t="array" ref="G44">INDEX(FX_Calcs,$T44,G$86)-459.6</f>
        <v>46.100000000000023</v>
      </c>
      <c r="H44" s="282" cm="1">
        <f t="array" ref="H44">INDEX(FX_Calcs,$T44,H$86)-459.6</f>
        <v>48.599999999999966</v>
      </c>
      <c r="I44" s="282" cm="1">
        <f t="array" ref="I44">INDEX(FX_Calcs,$T44,I$86)-459.6</f>
        <v>53.149999999999977</v>
      </c>
      <c r="J44" s="282" cm="1">
        <f t="array" ref="J44">INDEX(FX_Calcs,$T44,J$86)-459.6</f>
        <v>56.950000000000045</v>
      </c>
      <c r="K44" s="282" cm="1">
        <f t="array" ref="K44">INDEX(FX_Calcs,$T44,K$86)-459.6</f>
        <v>60.449999999999932</v>
      </c>
      <c r="L44" s="282" cm="1">
        <f t="array" ref="L44">INDEX(FX_Calcs,$T44,L$86)-459.6</f>
        <v>60.899999999999977</v>
      </c>
      <c r="M44" s="282" cm="1">
        <f t="array" ref="M44">INDEX(FX_Calcs,$T44,M$86)-459.6</f>
        <v>58.600000000000023</v>
      </c>
      <c r="N44" s="282" cm="1">
        <f t="array" ref="N44">INDEX(FX_Calcs,$T44,N$86)-459.6</f>
        <v>52.649999999999977</v>
      </c>
      <c r="O44" s="282" cm="1">
        <f t="array" ref="O44">INDEX(FX_Calcs,$T44,O$86)-459.6</f>
        <v>47.100000000000023</v>
      </c>
      <c r="P44" s="283" cm="1">
        <f t="array" ref="P44">INDEX(FX_Calcs,$T44,P$86)-459.6</f>
        <v>43.600000000000023</v>
      </c>
      <c r="R44">
        <f t="shared" si="9"/>
        <v>43</v>
      </c>
      <c r="S44">
        <v>2</v>
      </c>
      <c r="T44">
        <f t="shared" si="10"/>
        <v>22</v>
      </c>
    </row>
    <row r="45" spans="2:20" ht="15.45" x14ac:dyDescent="0.4">
      <c r="B45" s="247" t="str" cm="1">
        <f t="array" ref="B45">INDEX(FX_Input,R45,S45)</f>
        <v>FIXTANK 140</v>
      </c>
      <c r="C45" s="358" t="str" cm="1">
        <f t="array" ref="C45">INDEX(FX_Setup,T45,3)</f>
        <v>Out of Service/Demolished</v>
      </c>
      <c r="D45" s="223" t="str">
        <f t="shared" si="8"/>
        <v>VOC</v>
      </c>
      <c r="E45" s="285" cm="1">
        <f t="array" ref="E45">INDEX(FX_Calcs,$T45,E$86)-459.6</f>
        <v>43.899999999999977</v>
      </c>
      <c r="F45" s="286" cm="1">
        <f t="array" ref="F45">INDEX(FX_Calcs,$T45,F$86)-459.6</f>
        <v>44.700000000000045</v>
      </c>
      <c r="G45" s="286" cm="1">
        <f t="array" ref="G45">INDEX(FX_Calcs,$T45,G$86)-459.6</f>
        <v>46.100000000000023</v>
      </c>
      <c r="H45" s="286" cm="1">
        <f t="array" ref="H45">INDEX(FX_Calcs,$T45,H$86)-459.6</f>
        <v>48.599999999999966</v>
      </c>
      <c r="I45" s="286" cm="1">
        <f t="array" ref="I45">INDEX(FX_Calcs,$T45,I$86)-459.6</f>
        <v>53.149999999999977</v>
      </c>
      <c r="J45" s="286" cm="1">
        <f t="array" ref="J45">INDEX(FX_Calcs,$T45,J$86)-459.6</f>
        <v>56.950000000000045</v>
      </c>
      <c r="K45" s="286" cm="1">
        <f t="array" ref="K45">INDEX(FX_Calcs,$T45,K$86)-459.6</f>
        <v>60.449999999999932</v>
      </c>
      <c r="L45" s="286" cm="1">
        <f t="array" ref="L45">INDEX(FX_Calcs,$T45,L$86)-459.6</f>
        <v>60.899999999999977</v>
      </c>
      <c r="M45" s="286" cm="1">
        <f t="array" ref="M45">INDEX(FX_Calcs,$T45,M$86)-459.6</f>
        <v>58.600000000000023</v>
      </c>
      <c r="N45" s="286" cm="1">
        <f t="array" ref="N45">INDEX(FX_Calcs,$T45,N$86)-459.6</f>
        <v>52.649999999999977</v>
      </c>
      <c r="O45" s="286" cm="1">
        <f t="array" ref="O45">INDEX(FX_Calcs,$T45,O$86)-459.6</f>
        <v>47.100000000000023</v>
      </c>
      <c r="P45" s="287" cm="1">
        <f t="array" ref="P45">INDEX(FX_Calcs,$T45,P$86)-459.6</f>
        <v>43.600000000000023</v>
      </c>
      <c r="R45">
        <f t="shared" si="9"/>
        <v>45</v>
      </c>
      <c r="S45">
        <v>2</v>
      </c>
      <c r="T45">
        <f t="shared" si="10"/>
        <v>23</v>
      </c>
    </row>
    <row r="46" spans="2:20" ht="15.45" x14ac:dyDescent="0.4">
      <c r="B46" s="247" t="str" cm="1">
        <f t="array" ref="B46">INDEX(FX_Input,R46,S46)</f>
        <v>FIXTANK 141</v>
      </c>
      <c r="C46" s="358" t="str" cm="1">
        <f t="array" ref="C46">INDEX(FX_Setup,T46,3)</f>
        <v>Out of Service/Demolished</v>
      </c>
      <c r="D46" s="223" t="str">
        <f t="shared" si="8"/>
        <v>VOC</v>
      </c>
      <c r="E46" s="285" cm="1">
        <f t="array" ref="E46">INDEX(FX_Calcs,$T46,E$86)-459.6</f>
        <v>43.899999999999977</v>
      </c>
      <c r="F46" s="286" cm="1">
        <f t="array" ref="F46">INDEX(FX_Calcs,$T46,F$86)-459.6</f>
        <v>44.700000000000045</v>
      </c>
      <c r="G46" s="286" cm="1">
        <f t="array" ref="G46">INDEX(FX_Calcs,$T46,G$86)-459.6</f>
        <v>46.100000000000023</v>
      </c>
      <c r="H46" s="286" cm="1">
        <f t="array" ref="H46">INDEX(FX_Calcs,$T46,H$86)-459.6</f>
        <v>48.599999999999966</v>
      </c>
      <c r="I46" s="286" cm="1">
        <f t="array" ref="I46">INDEX(FX_Calcs,$T46,I$86)-459.6</f>
        <v>53.149999999999977</v>
      </c>
      <c r="J46" s="286" cm="1">
        <f t="array" ref="J46">INDEX(FX_Calcs,$T46,J$86)-459.6</f>
        <v>56.950000000000045</v>
      </c>
      <c r="K46" s="286" cm="1">
        <f t="array" ref="K46">INDEX(FX_Calcs,$T46,K$86)-459.6</f>
        <v>60.449999999999932</v>
      </c>
      <c r="L46" s="286" cm="1">
        <f t="array" ref="L46">INDEX(FX_Calcs,$T46,L$86)-459.6</f>
        <v>60.899999999999977</v>
      </c>
      <c r="M46" s="286" cm="1">
        <f t="array" ref="M46">INDEX(FX_Calcs,$T46,M$86)-459.6</f>
        <v>58.600000000000023</v>
      </c>
      <c r="N46" s="286" cm="1">
        <f t="array" ref="N46">INDEX(FX_Calcs,$T46,N$86)-459.6</f>
        <v>52.649999999999977</v>
      </c>
      <c r="O46" s="286" cm="1">
        <f t="array" ref="O46">INDEX(FX_Calcs,$T46,O$86)-459.6</f>
        <v>47.100000000000023</v>
      </c>
      <c r="P46" s="287" cm="1">
        <f t="array" ref="P46">INDEX(FX_Calcs,$T46,P$86)-459.6</f>
        <v>43.600000000000023</v>
      </c>
      <c r="R46">
        <f t="shared" si="9"/>
        <v>47</v>
      </c>
      <c r="S46">
        <v>2</v>
      </c>
      <c r="T46">
        <f t="shared" si="10"/>
        <v>24</v>
      </c>
    </row>
    <row r="47" spans="2:20" ht="15.45" x14ac:dyDescent="0.4">
      <c r="B47" s="247" t="str" cm="1">
        <f t="array" ref="B47">INDEX(FX_Input,R47,S47)</f>
        <v>FIXTANK 142</v>
      </c>
      <c r="C47" s="358" t="str" cm="1">
        <f t="array" ref="C47">INDEX(FX_Setup,T47,3)</f>
        <v>Out of Service/Demolished</v>
      </c>
      <c r="D47" s="223" t="str">
        <f t="shared" si="8"/>
        <v>VOC</v>
      </c>
      <c r="E47" s="290" cm="1">
        <f t="array" ref="E47">INDEX(FX_Calcs,$T47,E$86)-459.6</f>
        <v>43.899999999999977</v>
      </c>
      <c r="F47" s="250" cm="1">
        <f t="array" ref="F47">INDEX(FX_Calcs,$T47,F$86)-459.6</f>
        <v>44.700000000000045</v>
      </c>
      <c r="G47" s="250" cm="1">
        <f t="array" ref="G47">INDEX(FX_Calcs,$T47,G$86)-459.6</f>
        <v>46.100000000000023</v>
      </c>
      <c r="H47" s="250" cm="1">
        <f t="array" ref="H47">INDEX(FX_Calcs,$T47,H$86)-459.6</f>
        <v>48.599999999999966</v>
      </c>
      <c r="I47" s="291" cm="1">
        <f t="array" ref="I47">INDEX(FX_Calcs,$T47,I$86)-459.6</f>
        <v>53.149999999999977</v>
      </c>
      <c r="J47" s="291" cm="1">
        <f t="array" ref="J47">INDEX(FX_Calcs,$T47,J$86)-459.6</f>
        <v>56.950000000000045</v>
      </c>
      <c r="K47" s="291" cm="1">
        <f t="array" ref="K47">INDEX(FX_Calcs,$T47,K$86)-459.6</f>
        <v>60.449999999999932</v>
      </c>
      <c r="L47" s="291" cm="1">
        <f t="array" ref="L47">INDEX(FX_Calcs,$T47,L$86)-459.6</f>
        <v>60.899999999999977</v>
      </c>
      <c r="M47" s="291" cm="1">
        <f t="array" ref="M47">INDEX(FX_Calcs,$T47,M$86)-459.6</f>
        <v>58.600000000000023</v>
      </c>
      <c r="N47" s="250" cm="1">
        <f t="array" ref="N47">INDEX(FX_Calcs,$T47,N$86)-459.6</f>
        <v>52.649999999999977</v>
      </c>
      <c r="O47" s="250" cm="1">
        <f t="array" ref="O47">INDEX(FX_Calcs,$T47,O$86)-459.6</f>
        <v>47.100000000000023</v>
      </c>
      <c r="P47" s="292" cm="1">
        <f t="array" ref="P47">INDEX(FX_Calcs,$T47,P$86)-459.6</f>
        <v>43.600000000000023</v>
      </c>
      <c r="R47">
        <f t="shared" si="9"/>
        <v>49</v>
      </c>
      <c r="S47">
        <v>2</v>
      </c>
      <c r="T47">
        <f t="shared" si="10"/>
        <v>25</v>
      </c>
    </row>
    <row r="48" spans="2:20" ht="15.45" x14ac:dyDescent="0.4">
      <c r="B48" s="247" t="str" cm="1">
        <f t="array" ref="B48">INDEX(FX_Input,R48,S48)</f>
        <v>FIXTANK 143</v>
      </c>
      <c r="C48" s="358" t="str" cm="1">
        <f t="array" ref="C48">INDEX(FX_Setup,T48,3)</f>
        <v>Out of Service/Demolished</v>
      </c>
      <c r="D48" s="223" t="str">
        <f t="shared" si="8"/>
        <v>VOC</v>
      </c>
      <c r="E48" s="281" cm="1">
        <f t="array" ref="E48">INDEX(FX_Calcs,$T48,E$86)-459.6</f>
        <v>43.899999999999977</v>
      </c>
      <c r="F48" s="282" cm="1">
        <f t="array" ref="F48">INDEX(FX_Calcs,$T48,F$86)-459.6</f>
        <v>44.700000000000045</v>
      </c>
      <c r="G48" s="282" cm="1">
        <f t="array" ref="G48">INDEX(FX_Calcs,$T48,G$86)-459.6</f>
        <v>46.100000000000023</v>
      </c>
      <c r="H48" s="282" cm="1">
        <f t="array" ref="H48">INDEX(FX_Calcs,$T48,H$86)-459.6</f>
        <v>48.599999999999966</v>
      </c>
      <c r="I48" s="282" cm="1">
        <f t="array" ref="I48">INDEX(FX_Calcs,$T48,I$86)-459.6</f>
        <v>53.149999999999977</v>
      </c>
      <c r="J48" s="282" cm="1">
        <f t="array" ref="J48">INDEX(FX_Calcs,$T48,J$86)-459.6</f>
        <v>56.950000000000045</v>
      </c>
      <c r="K48" s="282" cm="1">
        <f t="array" ref="K48">INDEX(FX_Calcs,$T48,K$86)-459.6</f>
        <v>60.449999999999932</v>
      </c>
      <c r="L48" s="282" cm="1">
        <f t="array" ref="L48">INDEX(FX_Calcs,$T48,L$86)-459.6</f>
        <v>60.899999999999977</v>
      </c>
      <c r="M48" s="282" cm="1">
        <f t="array" ref="M48">INDEX(FX_Calcs,$T48,M$86)-459.6</f>
        <v>58.600000000000023</v>
      </c>
      <c r="N48" s="282" cm="1">
        <f t="array" ref="N48">INDEX(FX_Calcs,$T48,N$86)-459.6</f>
        <v>52.649999999999977</v>
      </c>
      <c r="O48" s="282" cm="1">
        <f t="array" ref="O48">INDEX(FX_Calcs,$T48,O$86)-459.6</f>
        <v>47.100000000000023</v>
      </c>
      <c r="P48" s="283" cm="1">
        <f t="array" ref="P48">INDEX(FX_Calcs,$T48,P$86)-459.6</f>
        <v>43.600000000000023</v>
      </c>
      <c r="R48">
        <f t="shared" si="9"/>
        <v>51</v>
      </c>
      <c r="S48">
        <v>2</v>
      </c>
      <c r="T48">
        <f t="shared" si="10"/>
        <v>26</v>
      </c>
    </row>
    <row r="49" spans="2:20" ht="15.45" x14ac:dyDescent="0.4">
      <c r="B49" s="247" t="str" cm="1">
        <f t="array" ref="B49">INDEX(FX_Input,R49,S49)</f>
        <v>FIXTANK 144</v>
      </c>
      <c r="C49" s="358" t="str" cm="1">
        <f t="array" ref="C49">INDEX(FX_Setup,T49,3)</f>
        <v>Out of Service/Demolished</v>
      </c>
      <c r="D49" s="223" t="str">
        <f t="shared" si="8"/>
        <v>VOC</v>
      </c>
      <c r="E49" s="300" cm="1">
        <f t="array" ref="E49">INDEX(FX_Calcs,$T49,E$86)-459.6</f>
        <v>43.899999999999977</v>
      </c>
      <c r="F49" s="301" cm="1">
        <f t="array" ref="F49">INDEX(FX_Calcs,$T49,F$86)-459.6</f>
        <v>44.700000000000045</v>
      </c>
      <c r="G49" s="286" cm="1">
        <f t="array" ref="G49">INDEX(FX_Calcs,$T49,G$86)-459.6</f>
        <v>46.100000000000023</v>
      </c>
      <c r="H49" s="286" cm="1">
        <f t="array" ref="H49">INDEX(FX_Calcs,$T49,H$86)-459.6</f>
        <v>48.599999999999966</v>
      </c>
      <c r="I49" s="286" cm="1">
        <f t="array" ref="I49">INDEX(FX_Calcs,$T49,I$86)-459.6</f>
        <v>53.149999999999977</v>
      </c>
      <c r="J49" s="286" cm="1">
        <f t="array" ref="J49">INDEX(FX_Calcs,$T49,J$86)-459.6</f>
        <v>56.950000000000045</v>
      </c>
      <c r="K49" s="286" cm="1">
        <f t="array" ref="K49">INDEX(FX_Calcs,$T49,K$86)-459.6</f>
        <v>60.449999999999932</v>
      </c>
      <c r="L49" s="286" cm="1">
        <f t="array" ref="L49">INDEX(FX_Calcs,$T49,L$86)-459.6</f>
        <v>60.899999999999977</v>
      </c>
      <c r="M49" s="286" cm="1">
        <f t="array" ref="M49">INDEX(FX_Calcs,$T49,M$86)-459.6</f>
        <v>58.600000000000023</v>
      </c>
      <c r="N49" s="286" cm="1">
        <f t="array" ref="N49">INDEX(FX_Calcs,$T49,N$86)-459.6</f>
        <v>52.649999999999977</v>
      </c>
      <c r="O49" s="286" cm="1">
        <f t="array" ref="O49">INDEX(FX_Calcs,$T49,O$86)-459.6</f>
        <v>47.100000000000023</v>
      </c>
      <c r="P49" s="296" cm="1">
        <f t="array" ref="P49">INDEX(FX_Calcs,$T49,P$86)-459.6</f>
        <v>43.600000000000023</v>
      </c>
      <c r="R49">
        <f t="shared" si="9"/>
        <v>53</v>
      </c>
      <c r="S49">
        <v>2</v>
      </c>
      <c r="T49">
        <f t="shared" si="10"/>
        <v>27</v>
      </c>
    </row>
    <row r="50" spans="2:20" ht="15.45" x14ac:dyDescent="0.4">
      <c r="B50" s="247" t="str" cm="1">
        <f t="array" ref="B50">INDEX(FX_Input,R50,S50)</f>
        <v>FIXTANK 145</v>
      </c>
      <c r="C50" s="358" t="str" cm="1">
        <f t="array" ref="C50">INDEX(FX_Setup,T50,3)</f>
        <v>Out of Service/Demolished</v>
      </c>
      <c r="D50" s="223" t="str">
        <f t="shared" si="8"/>
        <v>VOC</v>
      </c>
      <c r="E50" s="281" cm="1">
        <f t="array" ref="E50">INDEX(FX_Calcs,$T50,E$86)-459.6</f>
        <v>43.899999999999977</v>
      </c>
      <c r="F50" s="282" cm="1">
        <f t="array" ref="F50">INDEX(FX_Calcs,$T50,F$86)-459.6</f>
        <v>44.700000000000045</v>
      </c>
      <c r="G50" s="282" cm="1">
        <f t="array" ref="G50">INDEX(FX_Calcs,$T50,G$86)-459.6</f>
        <v>46.100000000000023</v>
      </c>
      <c r="H50" s="282" cm="1">
        <f t="array" ref="H50">INDEX(FX_Calcs,$T50,H$86)-459.6</f>
        <v>48.599999999999966</v>
      </c>
      <c r="I50" s="282" cm="1">
        <f t="array" ref="I50">INDEX(FX_Calcs,$T50,I$86)-459.6</f>
        <v>53.149999999999977</v>
      </c>
      <c r="J50" s="282" cm="1">
        <f t="array" ref="J50">INDEX(FX_Calcs,$T50,J$86)-459.6</f>
        <v>56.950000000000045</v>
      </c>
      <c r="K50" s="282" cm="1">
        <f t="array" ref="K50">INDEX(FX_Calcs,$T50,K$86)-459.6</f>
        <v>60.449999999999932</v>
      </c>
      <c r="L50" s="282" cm="1">
        <f t="array" ref="L50">INDEX(FX_Calcs,$T50,L$86)-459.6</f>
        <v>60.899999999999977</v>
      </c>
      <c r="M50" s="282" cm="1">
        <f t="array" ref="M50">INDEX(FX_Calcs,$T50,M$86)-459.6</f>
        <v>58.600000000000023</v>
      </c>
      <c r="N50" s="282" cm="1">
        <f t="array" ref="N50">INDEX(FX_Calcs,$T50,N$86)-459.6</f>
        <v>52.649999999999977</v>
      </c>
      <c r="O50" s="282" cm="1">
        <f t="array" ref="O50">INDEX(FX_Calcs,$T50,O$86)-459.6</f>
        <v>47.100000000000023</v>
      </c>
      <c r="P50" s="283" cm="1">
        <f t="array" ref="P50">INDEX(FX_Calcs,$T50,P$86)-459.6</f>
        <v>43.600000000000023</v>
      </c>
      <c r="R50">
        <f t="shared" si="9"/>
        <v>55</v>
      </c>
      <c r="S50">
        <v>2</v>
      </c>
      <c r="T50">
        <f t="shared" si="10"/>
        <v>28</v>
      </c>
    </row>
    <row r="51" spans="2:20" ht="15.45" x14ac:dyDescent="0.4">
      <c r="B51" s="247" t="str" cm="1">
        <f t="array" ref="B51">INDEX(FX_Input,R51,S51)</f>
        <v>FIXTANK 146</v>
      </c>
      <c r="C51" s="358" t="str" cm="1">
        <f t="array" ref="C51">INDEX(FX_Setup,T51,3)</f>
        <v>Out of Service/Demolished</v>
      </c>
      <c r="D51" s="223" t="str">
        <f t="shared" si="8"/>
        <v>VOC</v>
      </c>
      <c r="E51" s="303" cm="1">
        <f t="array" ref="E51">INDEX(FX_Calcs,$T51,E$86)-459.6</f>
        <v>43.899999999999977</v>
      </c>
      <c r="F51" s="249" cm="1">
        <f t="array" ref="F51">INDEX(FX_Calcs,$T51,F$86)-459.6</f>
        <v>44.700000000000045</v>
      </c>
      <c r="G51" s="250" cm="1">
        <f t="array" ref="G51">INDEX(FX_Calcs,$T51,G$86)-459.6</f>
        <v>46.100000000000023</v>
      </c>
      <c r="H51" s="250" cm="1">
        <f t="array" ref="H51">INDEX(FX_Calcs,$T51,H$86)-459.6</f>
        <v>48.599999999999966</v>
      </c>
      <c r="I51" s="250" cm="1">
        <f t="array" ref="I51">INDEX(FX_Calcs,$T51,I$86)-459.6</f>
        <v>53.149999999999977</v>
      </c>
      <c r="J51" s="250" cm="1">
        <f t="array" ref="J51">INDEX(FX_Calcs,$T51,J$86)-459.6</f>
        <v>56.950000000000045</v>
      </c>
      <c r="K51" s="250" cm="1">
        <f t="array" ref="K51">INDEX(FX_Calcs,$T51,K$86)-459.6</f>
        <v>60.449999999999932</v>
      </c>
      <c r="L51" s="250" cm="1">
        <f t="array" ref="L51">INDEX(FX_Calcs,$T51,L$86)-459.6</f>
        <v>60.899999999999977</v>
      </c>
      <c r="M51" s="250" cm="1">
        <f t="array" ref="M51">INDEX(FX_Calcs,$T51,M$86)-459.6</f>
        <v>58.600000000000023</v>
      </c>
      <c r="N51" s="250" cm="1">
        <f t="array" ref="N51">INDEX(FX_Calcs,$T51,N$86)-459.6</f>
        <v>52.649999999999977</v>
      </c>
      <c r="O51" s="250" cm="1">
        <f t="array" ref="O51">INDEX(FX_Calcs,$T51,O$86)-459.6</f>
        <v>47.100000000000023</v>
      </c>
      <c r="P51" s="292" cm="1">
        <f t="array" ref="P51">INDEX(FX_Calcs,$T51,P$86)-459.6</f>
        <v>43.600000000000023</v>
      </c>
      <c r="R51">
        <f t="shared" si="9"/>
        <v>57</v>
      </c>
      <c r="S51">
        <v>2</v>
      </c>
      <c r="T51">
        <f t="shared" si="10"/>
        <v>29</v>
      </c>
    </row>
    <row r="52" spans="2:20" ht="15.45" x14ac:dyDescent="0.4">
      <c r="B52" s="247" t="str" cm="1">
        <f t="array" ref="B52">INDEX(FX_Input,R52,S52)</f>
        <v>FIXTANK 147</v>
      </c>
      <c r="C52" s="358" t="str" cm="1">
        <f t="array" ref="C52">INDEX(FX_Setup,T52,3)</f>
        <v>Out of Service/Demolished</v>
      </c>
      <c r="D52" s="223" t="str">
        <f t="shared" si="8"/>
        <v>VOC</v>
      </c>
      <c r="E52" s="303" cm="1">
        <f t="array" ref="E52">INDEX(FX_Calcs,$T52,E$86)-459.6</f>
        <v>43.899999999999977</v>
      </c>
      <c r="F52" s="249" cm="1">
        <f t="array" ref="F52">INDEX(FX_Calcs,$T52,F$86)-459.6</f>
        <v>44.700000000000045</v>
      </c>
      <c r="G52" s="250" cm="1">
        <f t="array" ref="G52">INDEX(FX_Calcs,$T52,G$86)-459.6</f>
        <v>46.100000000000023</v>
      </c>
      <c r="H52" s="250" cm="1">
        <f t="array" ref="H52">INDEX(FX_Calcs,$T52,H$86)-459.6</f>
        <v>48.599999999999966</v>
      </c>
      <c r="I52" s="250" cm="1">
        <f t="array" ref="I52">INDEX(FX_Calcs,$T52,I$86)-459.6</f>
        <v>53.149999999999977</v>
      </c>
      <c r="J52" s="250" cm="1">
        <f t="array" ref="J52">INDEX(FX_Calcs,$T52,J$86)-459.6</f>
        <v>56.950000000000045</v>
      </c>
      <c r="K52" s="250" cm="1">
        <f t="array" ref="K52">INDEX(FX_Calcs,$T52,K$86)-459.6</f>
        <v>60.449999999999932</v>
      </c>
      <c r="L52" s="250" cm="1">
        <f t="array" ref="L52">INDEX(FX_Calcs,$T52,L$86)-459.6</f>
        <v>60.899999999999977</v>
      </c>
      <c r="M52" s="250" cm="1">
        <f t="array" ref="M52">INDEX(FX_Calcs,$T52,M$86)-459.6</f>
        <v>58.600000000000023</v>
      </c>
      <c r="N52" s="250" cm="1">
        <f t="array" ref="N52">INDEX(FX_Calcs,$T52,N$86)-459.6</f>
        <v>52.649999999999977</v>
      </c>
      <c r="O52" s="250" cm="1">
        <f t="array" ref="O52">INDEX(FX_Calcs,$T52,O$86)-459.6</f>
        <v>47.100000000000023</v>
      </c>
      <c r="P52" s="292" cm="1">
        <f t="array" ref="P52">INDEX(FX_Calcs,$T52,P$86)-459.6</f>
        <v>43.600000000000023</v>
      </c>
      <c r="R52">
        <f t="shared" si="9"/>
        <v>59</v>
      </c>
      <c r="S52">
        <v>2</v>
      </c>
      <c r="T52">
        <f t="shared" si="10"/>
        <v>30</v>
      </c>
    </row>
    <row r="53" spans="2:20" ht="15.45" x14ac:dyDescent="0.4">
      <c r="B53" s="247" t="str" cm="1">
        <f t="array" ref="B53">INDEX(FX_Input,R53,S53)</f>
        <v>FIXTANK 148</v>
      </c>
      <c r="C53" s="358" t="str" cm="1">
        <f t="array" ref="C53">INDEX(FX_Setup,T53,3)</f>
        <v>Out of Service/Demolished</v>
      </c>
      <c r="D53" s="223" t="str">
        <f t="shared" si="8"/>
        <v>VOC</v>
      </c>
      <c r="E53" s="303" cm="1">
        <f t="array" ref="E53">INDEX(FX_Calcs,$T53,E$86)-459.6</f>
        <v>43.899999999999977</v>
      </c>
      <c r="F53" s="249" cm="1">
        <f t="array" ref="F53">INDEX(FX_Calcs,$T53,F$86)-459.6</f>
        <v>44.700000000000045</v>
      </c>
      <c r="G53" s="250" cm="1">
        <f t="array" ref="G53">INDEX(FX_Calcs,$T53,G$86)-459.6</f>
        <v>46.100000000000023</v>
      </c>
      <c r="H53" s="250" cm="1">
        <f t="array" ref="H53">INDEX(FX_Calcs,$T53,H$86)-459.6</f>
        <v>48.599999999999966</v>
      </c>
      <c r="I53" s="250" cm="1">
        <f t="array" ref="I53">INDEX(FX_Calcs,$T53,I$86)-459.6</f>
        <v>53.149999999999977</v>
      </c>
      <c r="J53" s="250" cm="1">
        <f t="array" ref="J53">INDEX(FX_Calcs,$T53,J$86)-459.6</f>
        <v>56.950000000000045</v>
      </c>
      <c r="K53" s="250" cm="1">
        <f t="array" ref="K53">INDEX(FX_Calcs,$T53,K$86)-459.6</f>
        <v>60.449999999999932</v>
      </c>
      <c r="L53" s="250" cm="1">
        <f t="array" ref="L53">INDEX(FX_Calcs,$T53,L$86)-459.6</f>
        <v>60.899999999999977</v>
      </c>
      <c r="M53" s="250" cm="1">
        <f t="array" ref="M53">INDEX(FX_Calcs,$T53,M$86)-459.6</f>
        <v>58.600000000000023</v>
      </c>
      <c r="N53" s="250" cm="1">
        <f t="array" ref="N53">INDEX(FX_Calcs,$T53,N$86)-459.6</f>
        <v>52.649999999999977</v>
      </c>
      <c r="O53" s="250" cm="1">
        <f t="array" ref="O53">INDEX(FX_Calcs,$T53,O$86)-459.6</f>
        <v>47.100000000000023</v>
      </c>
      <c r="P53" s="292" cm="1">
        <f t="array" ref="P53">INDEX(FX_Calcs,$T53,P$86)-459.6</f>
        <v>43.600000000000023</v>
      </c>
      <c r="R53">
        <f t="shared" si="9"/>
        <v>61</v>
      </c>
      <c r="S53">
        <v>2</v>
      </c>
      <c r="T53">
        <f t="shared" si="10"/>
        <v>31</v>
      </c>
    </row>
    <row r="54" spans="2:20" ht="15.45" x14ac:dyDescent="0.4">
      <c r="B54" s="247" t="str" cm="1">
        <f t="array" ref="B54">INDEX(FX_Input,R54,S54)</f>
        <v>FIXTANK 149</v>
      </c>
      <c r="C54" s="358" t="str" cm="1">
        <f t="array" ref="C54">INDEX(FX_Setup,T54,3)</f>
        <v>Out of Service/Demolished</v>
      </c>
      <c r="D54" s="223" t="str">
        <f t="shared" si="8"/>
        <v>VOC</v>
      </c>
      <c r="E54" s="281" cm="1">
        <f t="array" ref="E54">INDEX(FX_Calcs,$T54,E$86)-459.6</f>
        <v>43.899999999999977</v>
      </c>
      <c r="F54" s="282" cm="1">
        <f t="array" ref="F54">INDEX(FX_Calcs,$T54,F$86)-459.6</f>
        <v>44.700000000000045</v>
      </c>
      <c r="G54" s="282" cm="1">
        <f t="array" ref="G54">INDEX(FX_Calcs,$T54,G$86)-459.6</f>
        <v>46.100000000000023</v>
      </c>
      <c r="H54" s="282" cm="1">
        <f t="array" ref="H54">INDEX(FX_Calcs,$T54,H$86)-459.6</f>
        <v>48.599999999999966</v>
      </c>
      <c r="I54" s="282" cm="1">
        <f t="array" ref="I54">INDEX(FX_Calcs,$T54,I$86)-459.6</f>
        <v>53.149999999999977</v>
      </c>
      <c r="J54" s="282" cm="1">
        <f t="array" ref="J54">INDEX(FX_Calcs,$T54,J$86)-459.6</f>
        <v>56.950000000000045</v>
      </c>
      <c r="K54" s="282" cm="1">
        <f t="array" ref="K54">INDEX(FX_Calcs,$T54,K$86)-459.6</f>
        <v>60.449999999999932</v>
      </c>
      <c r="L54" s="282" cm="1">
        <f t="array" ref="L54">INDEX(FX_Calcs,$T54,L$86)-459.6</f>
        <v>60.899999999999977</v>
      </c>
      <c r="M54" s="282" cm="1">
        <f t="array" ref="M54">INDEX(FX_Calcs,$T54,M$86)-459.6</f>
        <v>58.600000000000023</v>
      </c>
      <c r="N54" s="286" cm="1">
        <f t="array" ref="N54">INDEX(FX_Calcs,$T54,N$86)-459.6</f>
        <v>52.649999999999977</v>
      </c>
      <c r="O54" s="286" cm="1">
        <f t="array" ref="O54">INDEX(FX_Calcs,$T54,O$86)-459.6</f>
        <v>47.100000000000023</v>
      </c>
      <c r="P54" s="296" cm="1">
        <f t="array" ref="P54">INDEX(FX_Calcs,$T54,P$86)-459.6</f>
        <v>43.600000000000023</v>
      </c>
      <c r="R54">
        <f t="shared" si="9"/>
        <v>63</v>
      </c>
      <c r="S54">
        <v>2</v>
      </c>
      <c r="T54">
        <f t="shared" si="10"/>
        <v>32</v>
      </c>
    </row>
    <row r="55" spans="2:20" ht="15.45" x14ac:dyDescent="0.4">
      <c r="B55" s="247" t="str" cm="1">
        <f t="array" ref="B55">INDEX(FX_Input,R55,S55)</f>
        <v>FIXTANK 150</v>
      </c>
      <c r="C55" s="358" t="str" cm="1">
        <f t="array" ref="C55">INDEX(FX_Setup,T55,3)</f>
        <v>Out of Service/Demolished</v>
      </c>
      <c r="D55" s="223" t="str">
        <f t="shared" si="8"/>
        <v>VOC</v>
      </c>
      <c r="E55" s="300" cm="1">
        <f t="array" ref="E55">INDEX(FX_Calcs,$T55,E$86)-459.6</f>
        <v>43.899999999999977</v>
      </c>
      <c r="F55" s="301" cm="1">
        <f t="array" ref="F55">INDEX(FX_Calcs,$T55,F$86)-459.6</f>
        <v>44.700000000000045</v>
      </c>
      <c r="G55" s="301" cm="1">
        <f t="array" ref="G55">INDEX(FX_Calcs,$T55,G$86)-459.6</f>
        <v>46.100000000000023</v>
      </c>
      <c r="H55" s="301" cm="1">
        <f t="array" ref="H55">INDEX(FX_Calcs,$T55,H$86)-459.6</f>
        <v>48.599999999999966</v>
      </c>
      <c r="I55" s="301" cm="1">
        <f t="array" ref="I55">INDEX(FX_Calcs,$T55,I$86)-459.6</f>
        <v>53.149999999999977</v>
      </c>
      <c r="J55" s="301" cm="1">
        <f t="array" ref="J55">INDEX(FX_Calcs,$T55,J$86)-459.6</f>
        <v>56.950000000000045</v>
      </c>
      <c r="K55" s="301" cm="1">
        <f t="array" ref="K55">INDEX(FX_Calcs,$T55,K$86)-459.6</f>
        <v>60.449999999999932</v>
      </c>
      <c r="L55" s="301" cm="1">
        <f t="array" ref="L55">INDEX(FX_Calcs,$T55,L$86)-459.6</f>
        <v>60.899999999999977</v>
      </c>
      <c r="M55" s="301" cm="1">
        <f t="array" ref="M55">INDEX(FX_Calcs,$T55,M$86)-459.6</f>
        <v>58.600000000000023</v>
      </c>
      <c r="N55" s="301" cm="1">
        <f t="array" ref="N55">INDEX(FX_Calcs,$T55,N$86)-459.6</f>
        <v>52.649999999999977</v>
      </c>
      <c r="O55" s="301" cm="1">
        <f t="array" ref="O55">INDEX(FX_Calcs,$T55,O$86)-459.6</f>
        <v>47.100000000000023</v>
      </c>
      <c r="P55" s="296" cm="1">
        <f t="array" ref="P55">INDEX(FX_Calcs,$T55,P$86)-459.6</f>
        <v>43.600000000000023</v>
      </c>
      <c r="R55">
        <f t="shared" si="9"/>
        <v>65</v>
      </c>
      <c r="S55">
        <v>2</v>
      </c>
      <c r="T55">
        <f t="shared" si="10"/>
        <v>33</v>
      </c>
    </row>
    <row r="56" spans="2:20" ht="15.45" x14ac:dyDescent="0.4">
      <c r="B56" s="247" t="str" cm="1">
        <f t="array" ref="B56">INDEX(FX_Input,R56,S56)</f>
        <v>FIXTANK 151</v>
      </c>
      <c r="C56" s="358" t="str" cm="1">
        <f t="array" ref="C56">INDEX(FX_Setup,T56,3)</f>
        <v>Out of Service/Demolished</v>
      </c>
      <c r="D56" s="223" t="str">
        <f t="shared" si="8"/>
        <v>VOC</v>
      </c>
      <c r="E56" s="290" cm="1">
        <f t="array" ref="E56">INDEX(FX_Calcs,$T56,E$86)-459.6</f>
        <v>43.899999999999977</v>
      </c>
      <c r="F56" s="250" cm="1">
        <f t="array" ref="F56">INDEX(FX_Calcs,$T56,F$86)-459.6</f>
        <v>44.700000000000045</v>
      </c>
      <c r="G56" s="291" cm="1">
        <f t="array" ref="G56">INDEX(FX_Calcs,$T56,G$86)-459.6</f>
        <v>46.100000000000023</v>
      </c>
      <c r="H56" s="291" cm="1">
        <f t="array" ref="H56">INDEX(FX_Calcs,$T56,H$86)-459.6</f>
        <v>48.599999999999966</v>
      </c>
      <c r="I56" s="291" cm="1">
        <f t="array" ref="I56">INDEX(FX_Calcs,$T56,I$86)-459.6</f>
        <v>53.149999999999977</v>
      </c>
      <c r="J56" s="291" cm="1">
        <f t="array" ref="J56">INDEX(FX_Calcs,$T56,J$86)-459.6</f>
        <v>56.950000000000045</v>
      </c>
      <c r="K56" s="221" cm="1">
        <f t="array" ref="K56">INDEX(FX_Calcs,$T56,K$86)-459.6</f>
        <v>60.449999999999932</v>
      </c>
      <c r="L56" s="291" cm="1">
        <f t="array" ref="L56">INDEX(FX_Calcs,$T56,L$86)-459.6</f>
        <v>60.899999999999977</v>
      </c>
      <c r="M56" s="291" cm="1">
        <f t="array" ref="M56">INDEX(FX_Calcs,$T56,M$86)-459.6</f>
        <v>58.600000000000023</v>
      </c>
      <c r="N56" s="291" cm="1">
        <f t="array" ref="N56">INDEX(FX_Calcs,$T56,N$86)-459.6</f>
        <v>52.649999999999977</v>
      </c>
      <c r="O56" s="291" cm="1">
        <f t="array" ref="O56">INDEX(FX_Calcs,$T56,O$86)-459.6</f>
        <v>47.100000000000023</v>
      </c>
      <c r="P56" s="305" cm="1">
        <f t="array" ref="P56">INDEX(FX_Calcs,$T56,P$86)-459.6</f>
        <v>43.600000000000023</v>
      </c>
      <c r="R56">
        <f t="shared" si="9"/>
        <v>67</v>
      </c>
      <c r="S56">
        <v>2</v>
      </c>
      <c r="T56">
        <f t="shared" si="10"/>
        <v>34</v>
      </c>
    </row>
    <row r="57" spans="2:20" ht="15.45" x14ac:dyDescent="0.4">
      <c r="B57" s="247" t="str" cm="1">
        <f t="array" ref="B57">INDEX(FX_Input,R57,S57)</f>
        <v>FIXTANK 152</v>
      </c>
      <c r="C57" s="358" t="str" cm="1">
        <f t="array" ref="C57">INDEX(FX_Setup,T57,3)</f>
        <v>Out of Service/Demolished</v>
      </c>
      <c r="D57" s="223" t="str">
        <f t="shared" si="8"/>
        <v>VOC</v>
      </c>
      <c r="E57" s="300" cm="1">
        <f t="array" ref="E57">INDEX(FX_Calcs,$T57,E$86)-459.6</f>
        <v>43.899999999999977</v>
      </c>
      <c r="F57" s="301" cm="1">
        <f t="array" ref="F57">INDEX(FX_Calcs,$T57,F$86)-459.6</f>
        <v>44.700000000000045</v>
      </c>
      <c r="G57" s="286" cm="1">
        <f t="array" ref="G57">INDEX(FX_Calcs,$T57,G$86)-459.6</f>
        <v>46.100000000000023</v>
      </c>
      <c r="H57" s="286" cm="1">
        <f t="array" ref="H57">INDEX(FX_Calcs,$T57,H$86)-459.6</f>
        <v>48.599999999999966</v>
      </c>
      <c r="I57" s="286" cm="1">
        <f t="array" ref="I57">INDEX(FX_Calcs,$T57,I$86)-459.6</f>
        <v>53.149999999999977</v>
      </c>
      <c r="J57" s="286" cm="1">
        <f t="array" ref="J57">INDEX(FX_Calcs,$T57,J$86)-459.6</f>
        <v>56.950000000000045</v>
      </c>
      <c r="K57" s="286" cm="1">
        <f t="array" ref="K57">INDEX(FX_Calcs,$T57,K$86)-459.6</f>
        <v>60.449999999999932</v>
      </c>
      <c r="L57" s="286" cm="1">
        <f t="array" ref="L57">INDEX(FX_Calcs,$T57,L$86)-459.6</f>
        <v>60.899999999999977</v>
      </c>
      <c r="M57" s="286" cm="1">
        <f t="array" ref="M57">INDEX(FX_Calcs,$T57,M$86)-459.6</f>
        <v>58.600000000000023</v>
      </c>
      <c r="N57" s="286" cm="1">
        <f t="array" ref="N57">INDEX(FX_Calcs,$T57,N$86)-459.6</f>
        <v>52.649999999999977</v>
      </c>
      <c r="O57" s="286" cm="1">
        <f t="array" ref="O57">INDEX(FX_Calcs,$T57,O$86)-459.6</f>
        <v>47.100000000000023</v>
      </c>
      <c r="P57" s="287" cm="1">
        <f t="array" ref="P57">INDEX(FX_Calcs,$T57,P$86)-459.6</f>
        <v>43.600000000000023</v>
      </c>
      <c r="R57">
        <f t="shared" si="9"/>
        <v>69</v>
      </c>
      <c r="S57">
        <v>2</v>
      </c>
      <c r="T57">
        <f t="shared" si="10"/>
        <v>35</v>
      </c>
    </row>
    <row r="58" spans="2:20" ht="15.45" x14ac:dyDescent="0.4">
      <c r="B58" s="247" t="str" cm="1">
        <f t="array" ref="B58">INDEX(FX_Input,R58,S58)</f>
        <v>FIXTANK 157</v>
      </c>
      <c r="C58" s="358" t="str" cm="1">
        <f t="array" ref="C58">INDEX(FX_Setup,T58,3)</f>
        <v>Out of Service/Demolished</v>
      </c>
      <c r="D58" s="223" t="str">
        <f t="shared" si="8"/>
        <v>VOC</v>
      </c>
      <c r="E58" s="290" cm="1">
        <f t="array" ref="E58">INDEX(FX_Calcs,$T58,E$86)-459.6</f>
        <v>43.899999999999977</v>
      </c>
      <c r="F58" s="250" cm="1">
        <f t="array" ref="F58">INDEX(FX_Calcs,$T58,F$86)-459.6</f>
        <v>44.700000000000045</v>
      </c>
      <c r="G58" s="291" cm="1">
        <f t="array" ref="G58">INDEX(FX_Calcs,$T58,G$86)-459.6</f>
        <v>46.100000000000023</v>
      </c>
      <c r="H58" s="291" cm="1">
        <f t="array" ref="H58">INDEX(FX_Calcs,$T58,H$86)-459.6</f>
        <v>48.599999999999966</v>
      </c>
      <c r="I58" s="291" cm="1">
        <f t="array" ref="I58">INDEX(FX_Calcs,$T58,I$86)-459.6</f>
        <v>53.149999999999977</v>
      </c>
      <c r="J58" s="291" cm="1">
        <f t="array" ref="J58">INDEX(FX_Calcs,$T58,J$86)-459.6</f>
        <v>56.950000000000045</v>
      </c>
      <c r="K58" s="221" cm="1">
        <f t="array" ref="K58">INDEX(FX_Calcs,$T58,K$86)-459.6</f>
        <v>60.449999999999932</v>
      </c>
      <c r="L58" s="291" cm="1">
        <f t="array" ref="L58">INDEX(FX_Calcs,$T58,L$86)-459.6</f>
        <v>60.899999999999977</v>
      </c>
      <c r="M58" s="291" cm="1">
        <f t="array" ref="M58">INDEX(FX_Calcs,$T58,M$86)-459.6</f>
        <v>58.600000000000023</v>
      </c>
      <c r="N58" s="291" cm="1">
        <f t="array" ref="N58">INDEX(FX_Calcs,$T58,N$86)-459.6</f>
        <v>52.649999999999977</v>
      </c>
      <c r="O58" s="291" cm="1">
        <f t="array" ref="O58">INDEX(FX_Calcs,$T58,O$86)-459.6</f>
        <v>47.100000000000023</v>
      </c>
      <c r="P58" s="305" cm="1">
        <f t="array" ref="P58">INDEX(FX_Calcs,$T58,P$86)-459.6</f>
        <v>43.600000000000023</v>
      </c>
      <c r="R58">
        <f t="shared" si="9"/>
        <v>71</v>
      </c>
      <c r="S58">
        <v>2</v>
      </c>
      <c r="T58">
        <f t="shared" si="10"/>
        <v>36</v>
      </c>
    </row>
    <row r="59" spans="2:20" ht="15.45" x14ac:dyDescent="0.4">
      <c r="B59" s="247" t="str" cm="1">
        <f t="array" ref="B59">INDEX(FX_Input,R59,S59)</f>
        <v>FIXTANK 158</v>
      </c>
      <c r="C59" s="358" t="str" cm="1">
        <f t="array" ref="C59">INDEX(FX_Setup,T59,3)</f>
        <v>Out of Service/Demolished</v>
      </c>
      <c r="D59" s="223" t="str">
        <f t="shared" si="8"/>
        <v>VOC</v>
      </c>
      <c r="E59" s="281" cm="1">
        <f t="array" ref="E59">INDEX(FX_Calcs,$T59,E$86)-459.6</f>
        <v>43.899999999999977</v>
      </c>
      <c r="F59" s="282" cm="1">
        <f t="array" ref="F59">INDEX(FX_Calcs,$T59,F$86)-459.6</f>
        <v>44.700000000000045</v>
      </c>
      <c r="G59" s="282" cm="1">
        <f t="array" ref="G59">INDEX(FX_Calcs,$T59,G$86)-459.6</f>
        <v>46.100000000000023</v>
      </c>
      <c r="H59" s="282" cm="1">
        <f t="array" ref="H59">INDEX(FX_Calcs,$T59,H$86)-459.6</f>
        <v>48.599999999999966</v>
      </c>
      <c r="I59" s="282" cm="1">
        <f t="array" ref="I59">INDEX(FX_Calcs,$T59,I$86)-459.6</f>
        <v>53.149999999999977</v>
      </c>
      <c r="J59" s="282" cm="1">
        <f t="array" ref="J59">INDEX(FX_Calcs,$T59,J$86)-459.6</f>
        <v>56.950000000000045</v>
      </c>
      <c r="K59" s="282" cm="1">
        <f t="array" ref="K59">INDEX(FX_Calcs,$T59,K$86)-459.6</f>
        <v>60.449999999999932</v>
      </c>
      <c r="L59" s="282" cm="1">
        <f t="array" ref="L59">INDEX(FX_Calcs,$T59,L$86)-459.6</f>
        <v>60.899999999999977</v>
      </c>
      <c r="M59" s="282" cm="1">
        <f t="array" ref="M59">INDEX(FX_Calcs,$T59,M$86)-459.6</f>
        <v>58.600000000000023</v>
      </c>
      <c r="N59" s="282" cm="1">
        <f t="array" ref="N59">INDEX(FX_Calcs,$T59,N$86)-459.6</f>
        <v>52.649999999999977</v>
      </c>
      <c r="O59" s="282" cm="1">
        <f t="array" ref="O59">INDEX(FX_Calcs,$T59,O$86)-459.6</f>
        <v>47.100000000000023</v>
      </c>
      <c r="P59" s="283" cm="1">
        <f t="array" ref="P59">INDEX(FX_Calcs,$T59,P$86)-459.6</f>
        <v>43.600000000000023</v>
      </c>
      <c r="R59">
        <f t="shared" si="9"/>
        <v>73</v>
      </c>
      <c r="S59">
        <v>2</v>
      </c>
      <c r="T59">
        <f t="shared" si="10"/>
        <v>37</v>
      </c>
    </row>
    <row r="60" spans="2:20" ht="15.45" x14ac:dyDescent="0.4">
      <c r="B60" s="247" t="str" cm="1">
        <f t="array" ref="B60">INDEX(FX_Input,R60,S60)</f>
        <v>FIXTANK 166</v>
      </c>
      <c r="C60" s="358" t="str" cm="1">
        <f t="array" ref="C60">INDEX(FX_Setup,T60,3)</f>
        <v>Distillates</v>
      </c>
      <c r="D60" s="223" t="str">
        <f t="shared" si="8"/>
        <v>VOC</v>
      </c>
      <c r="E60" s="281" cm="1">
        <f t="array" ref="E60">INDEX(FX_Calcs,$T60,E$86)-459.6</f>
        <v>43.899999999999977</v>
      </c>
      <c r="F60" s="282" cm="1">
        <f t="array" ref="F60">INDEX(FX_Calcs,$T60,F$86)-459.6</f>
        <v>44.700000000000045</v>
      </c>
      <c r="G60" s="282" cm="1">
        <f t="array" ref="G60">INDEX(FX_Calcs,$T60,G$86)-459.6</f>
        <v>46.100000000000023</v>
      </c>
      <c r="H60" s="282" cm="1">
        <f t="array" ref="H60">INDEX(FX_Calcs,$T60,H$86)-459.6</f>
        <v>48.599999999999966</v>
      </c>
      <c r="I60" s="282" cm="1">
        <f t="array" ref="I60">INDEX(FX_Calcs,$T60,I$86)-459.6</f>
        <v>53.149999999999977</v>
      </c>
      <c r="J60" s="282" cm="1">
        <f t="array" ref="J60">INDEX(FX_Calcs,$T60,J$86)-459.6</f>
        <v>56.950000000000045</v>
      </c>
      <c r="K60" s="282" cm="1">
        <f t="array" ref="K60">INDEX(FX_Calcs,$T60,K$86)-459.6</f>
        <v>60.449999999999932</v>
      </c>
      <c r="L60" s="282" cm="1">
        <f t="array" ref="L60">INDEX(FX_Calcs,$T60,L$86)-459.6</f>
        <v>60.899999999999977</v>
      </c>
      <c r="M60" s="282" cm="1">
        <f t="array" ref="M60">INDEX(FX_Calcs,$T60,M$86)-459.6</f>
        <v>58.600000000000023</v>
      </c>
      <c r="N60" s="282" cm="1">
        <f t="array" ref="N60">INDEX(FX_Calcs,$T60,N$86)-459.6</f>
        <v>52.649999999999977</v>
      </c>
      <c r="O60" s="282" cm="1">
        <f t="array" ref="O60">INDEX(FX_Calcs,$T60,O$86)-459.6</f>
        <v>47.100000000000023</v>
      </c>
      <c r="P60" s="283" cm="1">
        <f t="array" ref="P60">INDEX(FX_Calcs,$T60,P$86)-459.6</f>
        <v>43.600000000000023</v>
      </c>
      <c r="R60">
        <f t="shared" si="9"/>
        <v>75</v>
      </c>
      <c r="S60">
        <v>2</v>
      </c>
      <c r="T60">
        <f t="shared" si="10"/>
        <v>38</v>
      </c>
    </row>
    <row r="61" spans="2:20" ht="15.45" x14ac:dyDescent="0.4">
      <c r="B61" s="247" t="str" cm="1">
        <f t="array" ref="B61">INDEX(FX_Input,R61,S61)</f>
        <v>FIXTANK 167</v>
      </c>
      <c r="C61" s="358" t="str" cm="1">
        <f t="array" ref="C61">INDEX(FX_Setup,T61,3)</f>
        <v>Distillates</v>
      </c>
      <c r="D61" s="223" t="str">
        <f t="shared" si="8"/>
        <v>VOC</v>
      </c>
      <c r="E61" s="303" cm="1">
        <f t="array" ref="E61">INDEX(FX_Calcs,$T61,E$86)-459.6</f>
        <v>43.899999999999977</v>
      </c>
      <c r="F61" s="249" cm="1">
        <f t="array" ref="F61">INDEX(FX_Calcs,$T61,F$86)-459.6</f>
        <v>44.700000000000045</v>
      </c>
      <c r="G61" s="249" cm="1">
        <f t="array" ref="G61">INDEX(FX_Calcs,$T61,G$86)-459.6</f>
        <v>46.100000000000023</v>
      </c>
      <c r="H61" s="249" cm="1">
        <f t="array" ref="H61">INDEX(FX_Calcs,$T61,H$86)-459.6</f>
        <v>48.599999999999966</v>
      </c>
      <c r="I61" s="250" cm="1">
        <f t="array" ref="I61">INDEX(FX_Calcs,$T61,I$86)-459.6</f>
        <v>53.149999999999977</v>
      </c>
      <c r="J61" s="250" cm="1">
        <f t="array" ref="J61">INDEX(FX_Calcs,$T61,J$86)-459.6</f>
        <v>56.950000000000045</v>
      </c>
      <c r="K61" s="250" cm="1">
        <f t="array" ref="K61">INDEX(FX_Calcs,$T61,K$86)-459.6</f>
        <v>60.449999999999932</v>
      </c>
      <c r="L61" s="250" cm="1">
        <f t="array" ref="L61">INDEX(FX_Calcs,$T61,L$86)-459.6</f>
        <v>60.899999999999977</v>
      </c>
      <c r="M61" s="250" cm="1">
        <f t="array" ref="M61">INDEX(FX_Calcs,$T61,M$86)-459.6</f>
        <v>58.600000000000023</v>
      </c>
      <c r="N61" s="250" cm="1">
        <f t="array" ref="N61">INDEX(FX_Calcs,$T61,N$86)-459.6</f>
        <v>52.649999999999977</v>
      </c>
      <c r="O61" s="249" cm="1">
        <f t="array" ref="O61">INDEX(FX_Calcs,$T61,O$86)-459.6</f>
        <v>47.100000000000023</v>
      </c>
      <c r="P61" s="251" cm="1">
        <f t="array" ref="P61">INDEX(FX_Calcs,$T61,P$86)-459.6</f>
        <v>43.600000000000023</v>
      </c>
      <c r="R61">
        <f t="shared" si="9"/>
        <v>77</v>
      </c>
      <c r="S61">
        <v>2</v>
      </c>
      <c r="T61">
        <f t="shared" si="10"/>
        <v>39</v>
      </c>
    </row>
    <row r="62" spans="2:20" ht="15.45" x14ac:dyDescent="0.4">
      <c r="B62" s="247" t="str" cm="1">
        <f t="array" ref="B62">INDEX(FX_Input,R62,S62)</f>
        <v>FIXTANK 168</v>
      </c>
      <c r="C62" s="358" t="str" cm="1">
        <f t="array" ref="C62">INDEX(FX_Setup,T62,3)</f>
        <v>Distillates</v>
      </c>
      <c r="D62" s="223" t="str">
        <f t="shared" si="8"/>
        <v>VOC</v>
      </c>
      <c r="E62" s="303" cm="1">
        <f t="array" ref="E62">INDEX(FX_Calcs,$T62,E$86)-459.6</f>
        <v>43.899999999999977</v>
      </c>
      <c r="F62" s="249" cm="1">
        <f t="array" ref="F62">INDEX(FX_Calcs,$T62,F$86)-459.6</f>
        <v>44.700000000000045</v>
      </c>
      <c r="G62" s="249" cm="1">
        <f t="array" ref="G62">INDEX(FX_Calcs,$T62,G$86)-459.6</f>
        <v>46.100000000000023</v>
      </c>
      <c r="H62" s="249" cm="1">
        <f t="array" ref="H62">INDEX(FX_Calcs,$T62,H$86)-459.6</f>
        <v>48.599999999999966</v>
      </c>
      <c r="I62" s="250" cm="1">
        <f t="array" ref="I62">INDEX(FX_Calcs,$T62,I$86)-459.6</f>
        <v>53.149999999999977</v>
      </c>
      <c r="J62" s="250" cm="1">
        <f t="array" ref="J62">INDEX(FX_Calcs,$T62,J$86)-459.6</f>
        <v>56.950000000000045</v>
      </c>
      <c r="K62" s="250" cm="1">
        <f t="array" ref="K62">INDEX(FX_Calcs,$T62,K$86)-459.6</f>
        <v>60.449999999999932</v>
      </c>
      <c r="L62" s="250" cm="1">
        <f t="array" ref="L62">INDEX(FX_Calcs,$T62,L$86)-459.6</f>
        <v>60.899999999999977</v>
      </c>
      <c r="M62" s="250" cm="1">
        <f t="array" ref="M62">INDEX(FX_Calcs,$T62,M$86)-459.6</f>
        <v>58.600000000000023</v>
      </c>
      <c r="N62" s="250" cm="1">
        <f t="array" ref="N62">INDEX(FX_Calcs,$T62,N$86)-459.6</f>
        <v>52.649999999999977</v>
      </c>
      <c r="O62" s="249" cm="1">
        <f t="array" ref="O62">INDEX(FX_Calcs,$T62,O$86)-459.6</f>
        <v>47.100000000000023</v>
      </c>
      <c r="P62" s="251" cm="1">
        <f t="array" ref="P62">INDEX(FX_Calcs,$T62,P$86)-459.6</f>
        <v>43.600000000000023</v>
      </c>
      <c r="R62">
        <f t="shared" si="9"/>
        <v>79</v>
      </c>
      <c r="S62">
        <v>2</v>
      </c>
      <c r="T62">
        <f t="shared" si="10"/>
        <v>40</v>
      </c>
    </row>
    <row r="63" spans="2:20" ht="15.45" x14ac:dyDescent="0.4">
      <c r="B63" s="247" t="str" cm="1">
        <f t="array" ref="B63">INDEX(FX_Input,R63,S63)</f>
        <v>FIXTANK 169</v>
      </c>
      <c r="C63" s="358" t="str" cm="1">
        <f t="array" ref="C63">INDEX(FX_Setup,T63,3)</f>
        <v>Distillates</v>
      </c>
      <c r="D63" s="223" t="str">
        <f t="shared" si="8"/>
        <v>VOC</v>
      </c>
      <c r="E63" s="303" cm="1">
        <f t="array" ref="E63">INDEX(FX_Calcs,$T63,E$86)-459.6</f>
        <v>43.899999999999977</v>
      </c>
      <c r="F63" s="249" cm="1">
        <f t="array" ref="F63">INDEX(FX_Calcs,$T63,F$86)-459.6</f>
        <v>44.700000000000045</v>
      </c>
      <c r="G63" s="249" cm="1">
        <f t="array" ref="G63">INDEX(FX_Calcs,$T63,G$86)-459.6</f>
        <v>46.100000000000023</v>
      </c>
      <c r="H63" s="249" cm="1">
        <f t="array" ref="H63">INDEX(FX_Calcs,$T63,H$86)-459.6</f>
        <v>48.599999999999966</v>
      </c>
      <c r="I63" s="250" cm="1">
        <f t="array" ref="I63">INDEX(FX_Calcs,$T63,I$86)-459.6</f>
        <v>53.149999999999977</v>
      </c>
      <c r="J63" s="250" cm="1">
        <f t="array" ref="J63">INDEX(FX_Calcs,$T63,J$86)-459.6</f>
        <v>56.950000000000045</v>
      </c>
      <c r="K63" s="250" cm="1">
        <f t="array" ref="K63">INDEX(FX_Calcs,$T63,K$86)-459.6</f>
        <v>60.449999999999932</v>
      </c>
      <c r="L63" s="250" cm="1">
        <f t="array" ref="L63">INDEX(FX_Calcs,$T63,L$86)-459.6</f>
        <v>60.899999999999977</v>
      </c>
      <c r="M63" s="250" cm="1">
        <f t="array" ref="M63">INDEX(FX_Calcs,$T63,M$86)-459.6</f>
        <v>58.600000000000023</v>
      </c>
      <c r="N63" s="250" cm="1">
        <f t="array" ref="N63">INDEX(FX_Calcs,$T63,N$86)-459.6</f>
        <v>52.649999999999977</v>
      </c>
      <c r="O63" s="249" cm="1">
        <f t="array" ref="O63">INDEX(FX_Calcs,$T63,O$86)-459.6</f>
        <v>47.100000000000023</v>
      </c>
      <c r="P63" s="251" cm="1">
        <f t="array" ref="P63">INDEX(FX_Calcs,$T63,P$86)-459.6</f>
        <v>43.600000000000023</v>
      </c>
      <c r="R63">
        <f t="shared" si="9"/>
        <v>81</v>
      </c>
      <c r="S63">
        <v>2</v>
      </c>
      <c r="T63">
        <f t="shared" si="10"/>
        <v>41</v>
      </c>
    </row>
    <row r="64" spans="2:20" ht="15.45" x14ac:dyDescent="0.4">
      <c r="B64" s="247" t="str" cm="1">
        <f t="array" ref="B64">INDEX(FX_Input,R64,S64)</f>
        <v>FIXTANK 170</v>
      </c>
      <c r="C64" s="358" t="str" cm="1">
        <f t="array" ref="C64">INDEX(FX_Setup,T64,3)</f>
        <v>Distillates</v>
      </c>
      <c r="D64" s="223" t="str">
        <f t="shared" si="8"/>
        <v>VOC</v>
      </c>
      <c r="E64" s="303" cm="1">
        <f t="array" ref="E64">INDEX(FX_Calcs,$T64,E$86)-459.6</f>
        <v>43.899999999999977</v>
      </c>
      <c r="F64" s="249" cm="1">
        <f t="array" ref="F64">INDEX(FX_Calcs,$T64,F$86)-459.6</f>
        <v>44.700000000000045</v>
      </c>
      <c r="G64" s="249" cm="1">
        <f t="array" ref="G64">INDEX(FX_Calcs,$T64,G$86)-459.6</f>
        <v>46.100000000000023</v>
      </c>
      <c r="H64" s="249" cm="1">
        <f t="array" ref="H64">INDEX(FX_Calcs,$T64,H$86)-459.6</f>
        <v>48.599999999999966</v>
      </c>
      <c r="I64" s="250" cm="1">
        <f t="array" ref="I64">INDEX(FX_Calcs,$T64,I$86)-459.6</f>
        <v>53.149999999999977</v>
      </c>
      <c r="J64" s="250" cm="1">
        <f t="array" ref="J64">INDEX(FX_Calcs,$T64,J$86)-459.6</f>
        <v>56.950000000000045</v>
      </c>
      <c r="K64" s="250" cm="1">
        <f t="array" ref="K64">INDEX(FX_Calcs,$T64,K$86)-459.6</f>
        <v>60.449999999999932</v>
      </c>
      <c r="L64" s="250" cm="1">
        <f t="array" ref="L64">INDEX(FX_Calcs,$T64,L$86)-459.6</f>
        <v>60.899999999999977</v>
      </c>
      <c r="M64" s="250" cm="1">
        <f t="array" ref="M64">INDEX(FX_Calcs,$T64,M$86)-459.6</f>
        <v>58.600000000000023</v>
      </c>
      <c r="N64" s="250" cm="1">
        <f t="array" ref="N64">INDEX(FX_Calcs,$T64,N$86)-459.6</f>
        <v>52.649999999999977</v>
      </c>
      <c r="O64" s="249" cm="1">
        <f t="array" ref="O64">INDEX(FX_Calcs,$T64,O$86)-459.6</f>
        <v>47.100000000000023</v>
      </c>
      <c r="P64" s="251" cm="1">
        <f t="array" ref="P64">INDEX(FX_Calcs,$T64,P$86)-459.6</f>
        <v>43.600000000000023</v>
      </c>
      <c r="R64">
        <f t="shared" si="9"/>
        <v>83</v>
      </c>
      <c r="S64">
        <v>2</v>
      </c>
      <c r="T64">
        <f t="shared" si="10"/>
        <v>42</v>
      </c>
    </row>
    <row r="65" spans="2:20" ht="15.45" x14ac:dyDescent="0.4">
      <c r="B65" s="247" t="str" cm="1">
        <f t="array" ref="B65">INDEX(FX_Input,R65,S65)</f>
        <v>FIXTANK 171</v>
      </c>
      <c r="C65" s="358" t="str" cm="1">
        <f t="array" ref="C65">INDEX(FX_Setup,T65,3)</f>
        <v>Distillates</v>
      </c>
      <c r="D65" s="223" t="str">
        <f t="shared" si="8"/>
        <v>VOC</v>
      </c>
      <c r="E65" s="281" cm="1">
        <f t="array" ref="E65">INDEX(FX_Calcs,$T65,E$86)-459.6</f>
        <v>43.899999999999977</v>
      </c>
      <c r="F65" s="282" cm="1">
        <f t="array" ref="F65">INDEX(FX_Calcs,$T65,F$86)-459.6</f>
        <v>44.700000000000045</v>
      </c>
      <c r="G65" s="282" cm="1">
        <f t="array" ref="G65">INDEX(FX_Calcs,$T65,G$86)-459.6</f>
        <v>46.100000000000023</v>
      </c>
      <c r="H65" s="282" cm="1">
        <f t="array" ref="H65">INDEX(FX_Calcs,$T65,H$86)-459.6</f>
        <v>48.599999999999966</v>
      </c>
      <c r="I65" s="282" cm="1">
        <f t="array" ref="I65">INDEX(FX_Calcs,$T65,I$86)-459.6</f>
        <v>53.149999999999977</v>
      </c>
      <c r="J65" s="282" cm="1">
        <f t="array" ref="J65">INDEX(FX_Calcs,$T65,J$86)-459.6</f>
        <v>56.950000000000045</v>
      </c>
      <c r="K65" s="282" cm="1">
        <f t="array" ref="K65">INDEX(FX_Calcs,$T65,K$86)-459.6</f>
        <v>60.449999999999932</v>
      </c>
      <c r="L65" s="282" cm="1">
        <f t="array" ref="L65">INDEX(FX_Calcs,$T65,L$86)-459.6</f>
        <v>60.899999999999977</v>
      </c>
      <c r="M65" s="282" cm="1">
        <f t="array" ref="M65">INDEX(FX_Calcs,$T65,M$86)-459.6</f>
        <v>58.600000000000023</v>
      </c>
      <c r="N65" s="282" cm="1">
        <f t="array" ref="N65">INDEX(FX_Calcs,$T65,N$86)-459.6</f>
        <v>52.649999999999977</v>
      </c>
      <c r="O65" s="282" cm="1">
        <f t="array" ref="O65">INDEX(FX_Calcs,$T65,O$86)-459.6</f>
        <v>47.100000000000023</v>
      </c>
      <c r="P65" s="283" cm="1">
        <f t="array" ref="P65">INDEX(FX_Calcs,$T65,P$86)-459.6</f>
        <v>43.600000000000023</v>
      </c>
      <c r="R65">
        <f t="shared" si="9"/>
        <v>85</v>
      </c>
      <c r="S65">
        <v>2</v>
      </c>
      <c r="T65">
        <f t="shared" si="10"/>
        <v>43</v>
      </c>
    </row>
    <row r="66" spans="2:20" ht="15.45" x14ac:dyDescent="0.4">
      <c r="B66" s="247" t="str" cm="1">
        <f t="array" ref="B66">INDEX(FX_Input,R66,S66)</f>
        <v>FIXTANK 172</v>
      </c>
      <c r="C66" s="358" t="str" cm="1">
        <f t="array" ref="C66">INDEX(FX_Setup,T66,3)</f>
        <v>Distillates</v>
      </c>
      <c r="D66" s="223" t="str">
        <f t="shared" si="8"/>
        <v>VOC</v>
      </c>
      <c r="E66" s="303" cm="1">
        <f t="array" ref="E66">INDEX(FX_Calcs,$T66,E$86)-459.6</f>
        <v>43.899999999999977</v>
      </c>
      <c r="F66" s="249" cm="1">
        <f t="array" ref="F66">INDEX(FX_Calcs,$T66,F$86)-459.6</f>
        <v>44.700000000000045</v>
      </c>
      <c r="G66" s="249" cm="1">
        <f t="array" ref="G66">INDEX(FX_Calcs,$T66,G$86)-459.6</f>
        <v>46.100000000000023</v>
      </c>
      <c r="H66" s="249" cm="1">
        <f t="array" ref="H66">INDEX(FX_Calcs,$T66,H$86)-459.6</f>
        <v>48.599999999999966</v>
      </c>
      <c r="I66" s="250" cm="1">
        <f t="array" ref="I66">INDEX(FX_Calcs,$T66,I$86)-459.6</f>
        <v>53.149999999999977</v>
      </c>
      <c r="J66" s="250" cm="1">
        <f t="array" ref="J66">INDEX(FX_Calcs,$T66,J$86)-459.6</f>
        <v>56.950000000000045</v>
      </c>
      <c r="K66" s="250" cm="1">
        <f t="array" ref="K66">INDEX(FX_Calcs,$T66,K$86)-459.6</f>
        <v>60.449999999999932</v>
      </c>
      <c r="L66" s="250" cm="1">
        <f t="array" ref="L66">INDEX(FX_Calcs,$T66,L$86)-459.6</f>
        <v>60.899999999999977</v>
      </c>
      <c r="M66" s="250" cm="1">
        <f t="array" ref="M66">INDEX(FX_Calcs,$T66,M$86)-459.6</f>
        <v>58.600000000000023</v>
      </c>
      <c r="N66" s="250" cm="1">
        <f t="array" ref="N66">INDEX(FX_Calcs,$T66,N$86)-459.6</f>
        <v>52.649999999999977</v>
      </c>
      <c r="O66" s="249" cm="1">
        <f t="array" ref="O66">INDEX(FX_Calcs,$T66,O$86)-459.6</f>
        <v>47.100000000000023</v>
      </c>
      <c r="P66" s="251" cm="1">
        <f t="array" ref="P66">INDEX(FX_Calcs,$T66,P$86)-459.6</f>
        <v>43.600000000000023</v>
      </c>
      <c r="R66">
        <f t="shared" si="9"/>
        <v>87</v>
      </c>
      <c r="S66">
        <v>2</v>
      </c>
      <c r="T66">
        <f t="shared" si="10"/>
        <v>44</v>
      </c>
    </row>
    <row r="67" spans="2:20" ht="15.45" x14ac:dyDescent="0.4">
      <c r="B67" s="247" t="str" cm="1">
        <f t="array" ref="B67">INDEX(FX_Input,R67,S67)</f>
        <v>FIXTANK 173</v>
      </c>
      <c r="C67" s="358" t="str" cm="1">
        <f t="array" ref="C67">INDEX(FX_Setup,T67,3)</f>
        <v>Distillates</v>
      </c>
      <c r="D67" s="223" t="str">
        <f t="shared" si="8"/>
        <v>VOC</v>
      </c>
      <c r="E67" s="303" cm="1">
        <f t="array" ref="E67">INDEX(FX_Calcs,$T67,E$86)-459.6</f>
        <v>43.899999999999977</v>
      </c>
      <c r="F67" s="249" cm="1">
        <f t="array" ref="F67">INDEX(FX_Calcs,$T67,F$86)-459.6</f>
        <v>44.700000000000045</v>
      </c>
      <c r="G67" s="249" cm="1">
        <f t="array" ref="G67">INDEX(FX_Calcs,$T67,G$86)-459.6</f>
        <v>46.100000000000023</v>
      </c>
      <c r="H67" s="249" cm="1">
        <f t="array" ref="H67">INDEX(FX_Calcs,$T67,H$86)-459.6</f>
        <v>48.599999999999966</v>
      </c>
      <c r="I67" s="250" cm="1">
        <f t="array" ref="I67">INDEX(FX_Calcs,$T67,I$86)-459.6</f>
        <v>53.149999999999977</v>
      </c>
      <c r="J67" s="250" cm="1">
        <f t="array" ref="J67">INDEX(FX_Calcs,$T67,J$86)-459.6</f>
        <v>56.950000000000045</v>
      </c>
      <c r="K67" s="250" cm="1">
        <f t="array" ref="K67">INDEX(FX_Calcs,$T67,K$86)-459.6</f>
        <v>60.449999999999932</v>
      </c>
      <c r="L67" s="250" cm="1">
        <f t="array" ref="L67">INDEX(FX_Calcs,$T67,L$86)-459.6</f>
        <v>60.899999999999977</v>
      </c>
      <c r="M67" s="250" cm="1">
        <f t="array" ref="M67">INDEX(FX_Calcs,$T67,M$86)-459.6</f>
        <v>58.600000000000023</v>
      </c>
      <c r="N67" s="250" cm="1">
        <f t="array" ref="N67">INDEX(FX_Calcs,$T67,N$86)-459.6</f>
        <v>52.649999999999977</v>
      </c>
      <c r="O67" s="249" cm="1">
        <f t="array" ref="O67">INDEX(FX_Calcs,$T67,O$86)-459.6</f>
        <v>47.100000000000023</v>
      </c>
      <c r="P67" s="251" cm="1">
        <f t="array" ref="P67">INDEX(FX_Calcs,$T67,P$86)-459.6</f>
        <v>43.600000000000023</v>
      </c>
      <c r="R67">
        <f t="shared" si="9"/>
        <v>89</v>
      </c>
      <c r="S67">
        <v>2</v>
      </c>
      <c r="T67">
        <f t="shared" si="10"/>
        <v>45</v>
      </c>
    </row>
    <row r="68" spans="2:20" ht="15.45" x14ac:dyDescent="0.4">
      <c r="B68" s="247" t="str" cm="1">
        <f t="array" ref="B68">INDEX(FX_Input,R68,S68)</f>
        <v>FIXTANK 174</v>
      </c>
      <c r="C68" s="358" t="str" cm="1">
        <f t="array" ref="C68">INDEX(FX_Setup,T68,3)</f>
        <v>Distillates</v>
      </c>
      <c r="D68" s="223" t="str">
        <f t="shared" si="8"/>
        <v>VOC</v>
      </c>
      <c r="E68" s="303" cm="1">
        <f t="array" ref="E68">INDEX(FX_Calcs,$T68,E$86)-459.6</f>
        <v>43.899999999999977</v>
      </c>
      <c r="F68" s="249" cm="1">
        <f t="array" ref="F68">INDEX(FX_Calcs,$T68,F$86)-459.6</f>
        <v>44.700000000000045</v>
      </c>
      <c r="G68" s="249" cm="1">
        <f t="array" ref="G68">INDEX(FX_Calcs,$T68,G$86)-459.6</f>
        <v>46.100000000000023</v>
      </c>
      <c r="H68" s="249" cm="1">
        <f t="array" ref="H68">INDEX(FX_Calcs,$T68,H$86)-459.6</f>
        <v>48.599999999999966</v>
      </c>
      <c r="I68" s="250" cm="1">
        <f t="array" ref="I68">INDEX(FX_Calcs,$T68,I$86)-459.6</f>
        <v>53.149999999999977</v>
      </c>
      <c r="J68" s="250" cm="1">
        <f t="array" ref="J68">INDEX(FX_Calcs,$T68,J$86)-459.6</f>
        <v>56.950000000000045</v>
      </c>
      <c r="K68" s="250" cm="1">
        <f t="array" ref="K68">INDEX(FX_Calcs,$T68,K$86)-459.6</f>
        <v>60.449999999999932</v>
      </c>
      <c r="L68" s="250" cm="1">
        <f t="array" ref="L68">INDEX(FX_Calcs,$T68,L$86)-459.6</f>
        <v>60.899999999999977</v>
      </c>
      <c r="M68" s="250" cm="1">
        <f t="array" ref="M68">INDEX(FX_Calcs,$T68,M$86)-459.6</f>
        <v>58.600000000000023</v>
      </c>
      <c r="N68" s="250" cm="1">
        <f t="array" ref="N68">INDEX(FX_Calcs,$T68,N$86)-459.6</f>
        <v>52.649999999999977</v>
      </c>
      <c r="O68" s="249" cm="1">
        <f t="array" ref="O68">INDEX(FX_Calcs,$T68,O$86)-459.6</f>
        <v>47.100000000000023</v>
      </c>
      <c r="P68" s="251" cm="1">
        <f t="array" ref="P68">INDEX(FX_Calcs,$T68,P$86)-459.6</f>
        <v>43.600000000000023</v>
      </c>
      <c r="R68">
        <f t="shared" si="9"/>
        <v>91</v>
      </c>
      <c r="S68">
        <v>2</v>
      </c>
      <c r="T68">
        <f t="shared" si="10"/>
        <v>46</v>
      </c>
    </row>
    <row r="69" spans="2:20" ht="15.45" x14ac:dyDescent="0.4">
      <c r="B69" s="247" t="str" cm="1">
        <f t="array" ref="B69">INDEX(FX_Input,R69,S69)</f>
        <v>FIXTANK 176</v>
      </c>
      <c r="C69" s="358" t="str" cm="1">
        <f t="array" ref="C69">INDEX(FX_Setup,T69,3)</f>
        <v>Out of Service/Demolished</v>
      </c>
      <c r="D69" s="223" t="str">
        <f t="shared" si="8"/>
        <v>VOC</v>
      </c>
      <c r="E69" s="303" cm="1">
        <f t="array" ref="E69">INDEX(FX_Calcs,$T69,E$86)-459.6</f>
        <v>43.899999999999977</v>
      </c>
      <c r="F69" s="249" cm="1">
        <f t="array" ref="F69">INDEX(FX_Calcs,$T69,F$86)-459.6</f>
        <v>44.700000000000045</v>
      </c>
      <c r="G69" s="249" cm="1">
        <f t="array" ref="G69">INDEX(FX_Calcs,$T69,G$86)-459.6</f>
        <v>46.100000000000023</v>
      </c>
      <c r="H69" s="249" cm="1">
        <f t="array" ref="H69">INDEX(FX_Calcs,$T69,H$86)-459.6</f>
        <v>48.599999999999966</v>
      </c>
      <c r="I69" s="250" cm="1">
        <f t="array" ref="I69">INDEX(FX_Calcs,$T69,I$86)-459.6</f>
        <v>53.149999999999977</v>
      </c>
      <c r="J69" s="250" cm="1">
        <f t="array" ref="J69">INDEX(FX_Calcs,$T69,J$86)-459.6</f>
        <v>56.950000000000045</v>
      </c>
      <c r="K69" s="250" cm="1">
        <f t="array" ref="K69">INDEX(FX_Calcs,$T69,K$86)-459.6</f>
        <v>60.449999999999932</v>
      </c>
      <c r="L69" s="250" cm="1">
        <f t="array" ref="L69">INDEX(FX_Calcs,$T69,L$86)-459.6</f>
        <v>60.899999999999977</v>
      </c>
      <c r="M69" s="250" cm="1">
        <f t="array" ref="M69">INDEX(FX_Calcs,$T69,M$86)-459.6</f>
        <v>58.600000000000023</v>
      </c>
      <c r="N69" s="250" cm="1">
        <f t="array" ref="N69">INDEX(FX_Calcs,$T69,N$86)-459.6</f>
        <v>52.649999999999977</v>
      </c>
      <c r="O69" s="249" cm="1">
        <f t="array" ref="O69">INDEX(FX_Calcs,$T69,O$86)-459.6</f>
        <v>47.100000000000023</v>
      </c>
      <c r="P69" s="251" cm="1">
        <f t="array" ref="P69">INDEX(FX_Calcs,$T69,P$86)-459.6</f>
        <v>43.600000000000023</v>
      </c>
      <c r="R69">
        <f t="shared" si="9"/>
        <v>93</v>
      </c>
      <c r="S69">
        <v>2</v>
      </c>
      <c r="T69">
        <f t="shared" si="10"/>
        <v>47</v>
      </c>
    </row>
    <row r="70" spans="2:20" ht="15.45" x14ac:dyDescent="0.4">
      <c r="B70" s="247" t="str" cm="1">
        <f t="array" ref="B70">INDEX(FX_Input,R70,S70)</f>
        <v>FIXTANK 177</v>
      </c>
      <c r="C70" s="358" t="str" cm="1">
        <f t="array" ref="C70">INDEX(FX_Setup,T70,3)</f>
        <v>Out of Service/Demolished</v>
      </c>
      <c r="D70" s="223" t="str">
        <f t="shared" si="8"/>
        <v>VOC</v>
      </c>
      <c r="E70" s="303" cm="1">
        <f t="array" ref="E70">INDEX(FX_Calcs,$T70,E$86)-459.6</f>
        <v>44.757499999999993</v>
      </c>
      <c r="F70" s="249" cm="1">
        <f t="array" ref="F70">INDEX(FX_Calcs,$T70,F$86)-459.6</f>
        <v>46.200000000000045</v>
      </c>
      <c r="G70" s="249" cm="1">
        <f t="array" ref="G70">INDEX(FX_Calcs,$T70,G$86)-459.6</f>
        <v>48.292500000000018</v>
      </c>
      <c r="H70" s="249" cm="1">
        <f t="array" ref="H70">INDEX(FX_Calcs,$T70,H$86)-459.6</f>
        <v>51.729999999999905</v>
      </c>
      <c r="I70" s="250" cm="1">
        <f t="array" ref="I70">INDEX(FX_Calcs,$T70,I$86)-459.6</f>
        <v>56.99249999999995</v>
      </c>
      <c r="J70" s="250" cm="1">
        <f t="array" ref="J70">INDEX(FX_Calcs,$T70,J$86)-459.6</f>
        <v>61.017500000000041</v>
      </c>
      <c r="K70" s="250" cm="1">
        <f t="array" ref="K70">INDEX(FX_Calcs,$T70,K$86)-459.6</f>
        <v>64.719999999999914</v>
      </c>
      <c r="L70" s="250" cm="1">
        <f t="array" ref="L70">INDEX(FX_Calcs,$T70,L$86)-459.6</f>
        <v>64.63</v>
      </c>
      <c r="M70" s="250" cm="1">
        <f t="array" ref="M70">INDEX(FX_Calcs,$T70,M$86)-459.6</f>
        <v>61.590000000000032</v>
      </c>
      <c r="N70" s="250" cm="1">
        <f t="array" ref="N70">INDEX(FX_Calcs,$T70,N$86)-459.6</f>
        <v>54.470000000000027</v>
      </c>
      <c r="O70" s="249" cm="1">
        <f t="array" ref="O70">INDEX(FX_Calcs,$T70,O$86)-459.6</f>
        <v>48.077500000000043</v>
      </c>
      <c r="P70" s="251" cm="1">
        <f t="array" ref="P70">INDEX(FX_Calcs,$T70,P$86)-459.6</f>
        <v>44.355000000000018</v>
      </c>
      <c r="R70">
        <f t="shared" si="9"/>
        <v>95</v>
      </c>
      <c r="S70">
        <v>2</v>
      </c>
      <c r="T70">
        <f t="shared" si="10"/>
        <v>48</v>
      </c>
    </row>
    <row r="71" spans="2:20" ht="15.45" x14ac:dyDescent="0.4">
      <c r="B71" s="247" t="str" cm="1">
        <f t="array" ref="B71">INDEX(FX_Input,R71,S71)</f>
        <v>FIXTANK 179</v>
      </c>
      <c r="C71" s="358" t="str" cm="1">
        <f t="array" ref="C71">INDEX(FX_Setup,T71,3)</f>
        <v>Distillates</v>
      </c>
      <c r="D71" s="223" t="str">
        <f t="shared" si="8"/>
        <v>VOC</v>
      </c>
      <c r="E71" s="303" cm="1">
        <f t="array" ref="E71">INDEX(FX_Calcs,$T71,E$86)-459.6</f>
        <v>44.748924999999986</v>
      </c>
      <c r="F71" s="249" cm="1">
        <f t="array" ref="F71">INDEX(FX_Calcs,$T71,F$86)-459.6</f>
        <v>46.185000000000059</v>
      </c>
      <c r="G71" s="249" cm="1">
        <f t="array" ref="G71">INDEX(FX_Calcs,$T71,G$86)-459.6</f>
        <v>48.270575000000008</v>
      </c>
      <c r="H71" s="249" cm="1">
        <f t="array" ref="H71">INDEX(FX_Calcs,$T71,H$86)-459.6</f>
        <v>51.698699999999917</v>
      </c>
      <c r="I71" s="250" cm="1">
        <f t="array" ref="I71">INDEX(FX_Calcs,$T71,I$86)-459.6</f>
        <v>56.954074999999875</v>
      </c>
      <c r="J71" s="250" cm="1">
        <f t="array" ref="J71">INDEX(FX_Calcs,$T71,J$86)-459.6</f>
        <v>60.976825000000076</v>
      </c>
      <c r="K71" s="250" cm="1">
        <f t="array" ref="K71">INDEX(FX_Calcs,$T71,K$86)-459.6</f>
        <v>64.677299999999832</v>
      </c>
      <c r="L71" s="250" cm="1">
        <f t="array" ref="L71">INDEX(FX_Calcs,$T71,L$86)-459.6</f>
        <v>64.592699999999923</v>
      </c>
      <c r="M71" s="250" cm="1">
        <f t="array" ref="M71">INDEX(FX_Calcs,$T71,M$86)-459.6</f>
        <v>61.560100000000034</v>
      </c>
      <c r="N71" s="250" cm="1">
        <f t="array" ref="N71">INDEX(FX_Calcs,$T71,N$86)-459.6</f>
        <v>54.451800000000048</v>
      </c>
      <c r="O71" s="249" cm="1">
        <f t="array" ref="O71">INDEX(FX_Calcs,$T71,O$86)-459.6</f>
        <v>48.067724999999996</v>
      </c>
      <c r="P71" s="251" cm="1">
        <f t="array" ref="P71">INDEX(FX_Calcs,$T71,P$86)-459.6</f>
        <v>44.347450000000038</v>
      </c>
      <c r="R71">
        <f t="shared" si="9"/>
        <v>97</v>
      </c>
      <c r="S71">
        <v>2</v>
      </c>
      <c r="T71">
        <f t="shared" si="10"/>
        <v>49</v>
      </c>
    </row>
    <row r="72" spans="2:20" ht="15.45" x14ac:dyDescent="0.4">
      <c r="B72" s="247" t="str" cm="1">
        <f t="array" ref="B72">INDEX(FX_Input,R72,S72)</f>
        <v>FIXTANK 180</v>
      </c>
      <c r="C72" s="358" t="str" cm="1">
        <f t="array" ref="C72">INDEX(FX_Setup,T72,3)</f>
        <v>Distillates</v>
      </c>
      <c r="D72" s="223" t="str">
        <f t="shared" si="8"/>
        <v>VOC</v>
      </c>
      <c r="E72" s="303" cm="1">
        <f t="array" ref="E72">INDEX(FX_Calcs,$T72,E$86)-459.6</f>
        <v>44.748924999999986</v>
      </c>
      <c r="F72" s="249" cm="1">
        <f t="array" ref="F72">INDEX(FX_Calcs,$T72,F$86)-459.6</f>
        <v>46.185000000000059</v>
      </c>
      <c r="G72" s="249" cm="1">
        <f t="array" ref="G72">INDEX(FX_Calcs,$T72,G$86)-459.6</f>
        <v>48.270575000000008</v>
      </c>
      <c r="H72" s="249" cm="1">
        <f t="array" ref="H72">INDEX(FX_Calcs,$T72,H$86)-459.6</f>
        <v>51.698699999999917</v>
      </c>
      <c r="I72" s="249" cm="1">
        <f t="array" ref="I72">INDEX(FX_Calcs,$T72,I$86)-459.6</f>
        <v>56.954074999999875</v>
      </c>
      <c r="J72" s="250" cm="1">
        <f t="array" ref="J72">INDEX(FX_Calcs,$T72,J$86)-459.6</f>
        <v>60.976825000000076</v>
      </c>
      <c r="K72" s="250" cm="1">
        <f t="array" ref="K72">INDEX(FX_Calcs,$T72,K$86)-459.6</f>
        <v>64.677299999999832</v>
      </c>
      <c r="L72" s="250" cm="1">
        <f t="array" ref="L72">INDEX(FX_Calcs,$T72,L$86)-459.6</f>
        <v>64.592699999999923</v>
      </c>
      <c r="M72" s="250" cm="1">
        <f t="array" ref="M72">INDEX(FX_Calcs,$T72,M$86)-459.6</f>
        <v>61.560100000000034</v>
      </c>
      <c r="N72" s="249" cm="1">
        <f t="array" ref="N72">INDEX(FX_Calcs,$T72,N$86)-459.6</f>
        <v>54.451800000000048</v>
      </c>
      <c r="O72" s="249" cm="1">
        <f t="array" ref="O72">INDEX(FX_Calcs,$T72,O$86)-459.6</f>
        <v>48.067724999999996</v>
      </c>
      <c r="P72" s="251" cm="1">
        <f t="array" ref="P72">INDEX(FX_Calcs,$T72,P$86)-459.6</f>
        <v>44.347450000000038</v>
      </c>
      <c r="R72">
        <f t="shared" si="9"/>
        <v>99</v>
      </c>
      <c r="S72">
        <v>2</v>
      </c>
      <c r="T72">
        <f t="shared" si="10"/>
        <v>50</v>
      </c>
    </row>
    <row r="73" spans="2:20" ht="15.45" x14ac:dyDescent="0.4">
      <c r="B73" s="247" t="str" cm="1">
        <f t="array" ref="B73">INDEX(FX_Input,R73,S73)</f>
        <v>FIXTANK 181</v>
      </c>
      <c r="C73" s="358" t="str" cm="1">
        <f t="array" ref="C73">INDEX(FX_Setup,T73,3)</f>
        <v>Out of Service/Demolished</v>
      </c>
      <c r="D73" s="223" t="str">
        <f t="shared" si="8"/>
        <v>VOC</v>
      </c>
      <c r="E73" s="303" cm="1">
        <f t="array" ref="E73">INDEX(FX_Calcs,$T73,E$86)-459.6</f>
        <v>43.899999999999977</v>
      </c>
      <c r="F73" s="249" cm="1">
        <f t="array" ref="F73">INDEX(FX_Calcs,$T73,F$86)-459.6</f>
        <v>44.700000000000045</v>
      </c>
      <c r="G73" s="249" cm="1">
        <f t="array" ref="G73">INDEX(FX_Calcs,$T73,G$86)-459.6</f>
        <v>46.100000000000023</v>
      </c>
      <c r="H73" s="249" cm="1">
        <f t="array" ref="H73">INDEX(FX_Calcs,$T73,H$86)-459.6</f>
        <v>48.599999999999966</v>
      </c>
      <c r="I73" s="250" cm="1">
        <f t="array" ref="I73">INDEX(FX_Calcs,$T73,I$86)-459.6</f>
        <v>53.149999999999977</v>
      </c>
      <c r="J73" s="250" cm="1">
        <f t="array" ref="J73">INDEX(FX_Calcs,$T73,J$86)-459.6</f>
        <v>56.950000000000045</v>
      </c>
      <c r="K73" s="250" cm="1">
        <f t="array" ref="K73">INDEX(FX_Calcs,$T73,K$86)-459.6</f>
        <v>60.449999999999932</v>
      </c>
      <c r="L73" s="250" cm="1">
        <f t="array" ref="L73">INDEX(FX_Calcs,$T73,L$86)-459.6</f>
        <v>60.899999999999977</v>
      </c>
      <c r="M73" s="250" cm="1">
        <f t="array" ref="M73">INDEX(FX_Calcs,$T73,M$86)-459.6</f>
        <v>58.600000000000023</v>
      </c>
      <c r="N73" s="250" cm="1">
        <f t="array" ref="N73">INDEX(FX_Calcs,$T73,N$86)-459.6</f>
        <v>52.649999999999977</v>
      </c>
      <c r="O73" s="249" cm="1">
        <f t="array" ref="O73">INDEX(FX_Calcs,$T73,O$86)-459.6</f>
        <v>47.100000000000023</v>
      </c>
      <c r="P73" s="251" cm="1">
        <f t="array" ref="P73">INDEX(FX_Calcs,$T73,P$86)-459.6</f>
        <v>43.600000000000023</v>
      </c>
      <c r="R73">
        <f t="shared" si="9"/>
        <v>101</v>
      </c>
      <c r="S73">
        <v>2</v>
      </c>
      <c r="T73">
        <f t="shared" si="10"/>
        <v>51</v>
      </c>
    </row>
    <row r="74" spans="2:20" ht="15.45" x14ac:dyDescent="0.4">
      <c r="B74" s="247" t="str" cm="1">
        <f t="array" ref="B74">INDEX(FX_Input,R74,S74)</f>
        <v>FIXTANK 182</v>
      </c>
      <c r="C74" s="358" t="str" cm="1">
        <f t="array" ref="C74">INDEX(FX_Setup,T74,3)</f>
        <v>Distillates</v>
      </c>
      <c r="D74" s="223" t="str">
        <f t="shared" si="8"/>
        <v>VOC</v>
      </c>
      <c r="E74" s="303" cm="1">
        <f t="array" ref="E74">INDEX(FX_Calcs,$T74,E$86)-459.6</f>
        <v>45.869505999999944</v>
      </c>
      <c r="F74" s="249" cm="1">
        <f t="array" ref="F74">INDEX(FX_Calcs,$T74,F$86)-459.6</f>
        <v>48.145200000000045</v>
      </c>
      <c r="G74" s="250" cm="1">
        <f t="array" ref="G74">INDEX(FX_Calcs,$T74,G$86)-459.6</f>
        <v>51.135734000000014</v>
      </c>
      <c r="H74" s="250" cm="1">
        <f t="array" ref="H74">INDEX(FX_Calcs,$T74,H$86)-459.6</f>
        <v>55.788983999999914</v>
      </c>
      <c r="I74" s="250" cm="1">
        <f t="array" ref="I74">INDEX(FX_Calcs,$T74,I$86)-459.6</f>
        <v>61.975454000000013</v>
      </c>
      <c r="J74" s="250" cm="1">
        <f t="array" ref="J74">INDEX(FX_Calcs,$T74,J$86)-459.6</f>
        <v>66.292234000000008</v>
      </c>
      <c r="K74" s="250" cm="1">
        <f t="array" ref="K74">INDEX(FX_Calcs,$T74,K$86)-459.6</f>
        <v>70.257335999999896</v>
      </c>
      <c r="L74" s="250" cm="1">
        <f t="array" ref="L74">INDEX(FX_Calcs,$T74,L$86)-459.6</f>
        <v>69.467063999999937</v>
      </c>
      <c r="M74" s="250" cm="1">
        <f t="array" ref="M74">INDEX(FX_Calcs,$T74,M$86)-459.6</f>
        <v>65.467431999999917</v>
      </c>
      <c r="N74" s="250" cm="1">
        <f t="array" ref="N74">INDEX(FX_Calcs,$T74,N$86)-459.6</f>
        <v>56.830175999999938</v>
      </c>
      <c r="O74" s="250" cm="1">
        <f t="array" ref="O74">INDEX(FX_Calcs,$T74,O$86)-459.6</f>
        <v>49.345121999999947</v>
      </c>
      <c r="P74" s="251" cm="1">
        <f t="array" ref="P74">INDEX(FX_Calcs,$T74,P$86)-459.6</f>
        <v>45.334084000000018</v>
      </c>
      <c r="R74">
        <f t="shared" si="9"/>
        <v>103</v>
      </c>
      <c r="S74">
        <v>2</v>
      </c>
      <c r="T74">
        <f t="shared" si="10"/>
        <v>52</v>
      </c>
    </row>
    <row r="75" spans="2:20" ht="15.45" x14ac:dyDescent="0.4">
      <c r="B75" s="247" t="str" cm="1">
        <f t="array" ref="B75">INDEX(FX_Input,R75,S75)</f>
        <v>FIXTANK 183</v>
      </c>
      <c r="C75" s="358" t="str" cm="1">
        <f t="array" ref="C75">INDEX(FX_Setup,T75,3)</f>
        <v>Distillates</v>
      </c>
      <c r="D75" s="223" t="str">
        <f t="shared" si="8"/>
        <v>VOC</v>
      </c>
      <c r="E75" s="303" cm="1">
        <f t="array" ref="E75">INDEX(FX_Calcs,$T75,E$86)-459.6</f>
        <v>45.869505999999944</v>
      </c>
      <c r="F75" s="249" cm="1">
        <f t="array" ref="F75">INDEX(FX_Calcs,$T75,F$86)-459.6</f>
        <v>48.145200000000045</v>
      </c>
      <c r="G75" s="250" cm="1">
        <f t="array" ref="G75">INDEX(FX_Calcs,$T75,G$86)-459.6</f>
        <v>51.135734000000014</v>
      </c>
      <c r="H75" s="250" cm="1">
        <f t="array" ref="H75">INDEX(FX_Calcs,$T75,H$86)-459.6</f>
        <v>55.788983999999914</v>
      </c>
      <c r="I75" s="250" cm="1">
        <f t="array" ref="I75">INDEX(FX_Calcs,$T75,I$86)-459.6</f>
        <v>61.975454000000013</v>
      </c>
      <c r="J75" s="250" cm="1">
        <f t="array" ref="J75">INDEX(FX_Calcs,$T75,J$86)-459.6</f>
        <v>66.292234000000008</v>
      </c>
      <c r="K75" s="250" cm="1">
        <f t="array" ref="K75">INDEX(FX_Calcs,$T75,K$86)-459.6</f>
        <v>70.257335999999896</v>
      </c>
      <c r="L75" s="250" cm="1">
        <f t="array" ref="L75">INDEX(FX_Calcs,$T75,L$86)-459.6</f>
        <v>69.467063999999937</v>
      </c>
      <c r="M75" s="250" cm="1">
        <f t="array" ref="M75">INDEX(FX_Calcs,$T75,M$86)-459.6</f>
        <v>65.467431999999917</v>
      </c>
      <c r="N75" s="250" cm="1">
        <f t="array" ref="N75">INDEX(FX_Calcs,$T75,N$86)-459.6</f>
        <v>56.830175999999938</v>
      </c>
      <c r="O75" s="250" cm="1">
        <f t="array" ref="O75">INDEX(FX_Calcs,$T75,O$86)-459.6</f>
        <v>49.345121999999947</v>
      </c>
      <c r="P75" s="251" cm="1">
        <f t="array" ref="P75">INDEX(FX_Calcs,$T75,P$86)-459.6</f>
        <v>45.334084000000018</v>
      </c>
      <c r="R75">
        <f t="shared" si="9"/>
        <v>105</v>
      </c>
      <c r="S75">
        <v>2</v>
      </c>
      <c r="T75">
        <f t="shared" si="10"/>
        <v>53</v>
      </c>
    </row>
    <row r="76" spans="2:20" ht="15.45" x14ac:dyDescent="0.4">
      <c r="B76" s="247" t="str" cm="1">
        <f t="array" ref="B76">INDEX(FX_Input,R76,S76)</f>
        <v>FIXTANK 184</v>
      </c>
      <c r="C76" s="358" t="str" cm="1">
        <f t="array" ref="C76">INDEX(FX_Setup,T76,3)</f>
        <v>Distillates</v>
      </c>
      <c r="D76" s="223" t="str">
        <f t="shared" si="8"/>
        <v>VOC</v>
      </c>
      <c r="E76" s="303" cm="1">
        <f t="array" ref="E76">INDEX(FX_Calcs,$T76,E$86)-459.6</f>
        <v>45.869505999999944</v>
      </c>
      <c r="F76" s="249" cm="1">
        <f t="array" ref="F76">INDEX(FX_Calcs,$T76,F$86)-459.6</f>
        <v>48.145200000000045</v>
      </c>
      <c r="G76" s="250" cm="1">
        <f t="array" ref="G76">INDEX(FX_Calcs,$T76,G$86)-459.6</f>
        <v>51.135734000000014</v>
      </c>
      <c r="H76" s="250" cm="1">
        <f t="array" ref="H76">INDEX(FX_Calcs,$T76,H$86)-459.6</f>
        <v>55.788983999999914</v>
      </c>
      <c r="I76" s="250" cm="1">
        <f t="array" ref="I76">INDEX(FX_Calcs,$T76,I$86)-459.6</f>
        <v>61.975454000000013</v>
      </c>
      <c r="J76" s="250" cm="1">
        <f t="array" ref="J76">INDEX(FX_Calcs,$T76,J$86)-459.6</f>
        <v>66.292234000000008</v>
      </c>
      <c r="K76" s="250" cm="1">
        <f t="array" ref="K76">INDEX(FX_Calcs,$T76,K$86)-459.6</f>
        <v>70.257335999999896</v>
      </c>
      <c r="L76" s="250" cm="1">
        <f t="array" ref="L76">INDEX(FX_Calcs,$T76,L$86)-459.6</f>
        <v>69.467063999999937</v>
      </c>
      <c r="M76" s="250" cm="1">
        <f t="array" ref="M76">INDEX(FX_Calcs,$T76,M$86)-459.6</f>
        <v>65.467431999999917</v>
      </c>
      <c r="N76" s="250" cm="1">
        <f t="array" ref="N76">INDEX(FX_Calcs,$T76,N$86)-459.6</f>
        <v>56.830175999999938</v>
      </c>
      <c r="O76" s="250" cm="1">
        <f t="array" ref="O76">INDEX(FX_Calcs,$T76,O$86)-459.6</f>
        <v>49.345121999999947</v>
      </c>
      <c r="P76" s="251" cm="1">
        <f t="array" ref="P76">INDEX(FX_Calcs,$T76,P$86)-459.6</f>
        <v>45.334084000000018</v>
      </c>
      <c r="R76">
        <f t="shared" si="9"/>
        <v>107</v>
      </c>
      <c r="S76">
        <v>2</v>
      </c>
      <c r="T76">
        <f t="shared" si="10"/>
        <v>54</v>
      </c>
    </row>
    <row r="77" spans="2:20" ht="15.45" x14ac:dyDescent="0.4">
      <c r="B77" s="247" t="str" cm="1">
        <f t="array" ref="B77">INDEX(FX_Input,R77,S77)</f>
        <v>FIXTANK 185</v>
      </c>
      <c r="C77" s="358" t="str" cm="1">
        <f t="array" ref="C77">INDEX(FX_Setup,T77,3)</f>
        <v>Distillates</v>
      </c>
      <c r="D77" s="223" t="str">
        <f t="shared" si="8"/>
        <v>VOC</v>
      </c>
      <c r="E77" s="303" cm="1">
        <f t="array" ref="E77">INDEX(FX_Calcs,$T77,E$86)-459.6</f>
        <v>45.869505999999944</v>
      </c>
      <c r="F77" s="249" cm="1">
        <f t="array" ref="F77">INDEX(FX_Calcs,$T77,F$86)-459.6</f>
        <v>48.145200000000045</v>
      </c>
      <c r="G77" s="250" cm="1">
        <f t="array" ref="G77">INDEX(FX_Calcs,$T77,G$86)-459.6</f>
        <v>51.135734000000014</v>
      </c>
      <c r="H77" s="250" cm="1">
        <f t="array" ref="H77">INDEX(FX_Calcs,$T77,H$86)-459.6</f>
        <v>55.788983999999914</v>
      </c>
      <c r="I77" s="250" cm="1">
        <f t="array" ref="I77">INDEX(FX_Calcs,$T77,I$86)-459.6</f>
        <v>61.975454000000013</v>
      </c>
      <c r="J77" s="250" cm="1">
        <f t="array" ref="J77">INDEX(FX_Calcs,$T77,J$86)-459.6</f>
        <v>66.292234000000008</v>
      </c>
      <c r="K77" s="250" cm="1">
        <f t="array" ref="K77">INDEX(FX_Calcs,$T77,K$86)-459.6</f>
        <v>70.257335999999896</v>
      </c>
      <c r="L77" s="250" cm="1">
        <f t="array" ref="L77">INDEX(FX_Calcs,$T77,L$86)-459.6</f>
        <v>69.467063999999937</v>
      </c>
      <c r="M77" s="250" cm="1">
        <f t="array" ref="M77">INDEX(FX_Calcs,$T77,M$86)-459.6</f>
        <v>65.467431999999917</v>
      </c>
      <c r="N77" s="250" cm="1">
        <f t="array" ref="N77">INDEX(FX_Calcs,$T77,N$86)-459.6</f>
        <v>56.830175999999938</v>
      </c>
      <c r="O77" s="250" cm="1">
        <f t="array" ref="O77">INDEX(FX_Calcs,$T77,O$86)-459.6</f>
        <v>49.345121999999947</v>
      </c>
      <c r="P77" s="251" cm="1">
        <f t="array" ref="P77">INDEX(FX_Calcs,$T77,P$86)-459.6</f>
        <v>45.334084000000018</v>
      </c>
      <c r="R77">
        <f t="shared" si="9"/>
        <v>109</v>
      </c>
      <c r="S77">
        <v>2</v>
      </c>
      <c r="T77">
        <f t="shared" si="10"/>
        <v>55</v>
      </c>
    </row>
    <row r="78" spans="2:20" ht="15.9" thickBot="1" x14ac:dyDescent="0.45">
      <c r="B78" s="340" t="str" cm="1">
        <f t="array" ref="B78">INDEX(FX_Input,R78,S78)</f>
        <v>FIXTANK 202</v>
      </c>
      <c r="C78" s="375" t="str" cm="1">
        <f t="array" ref="C78">INDEX(FX_Setup,T78,3)</f>
        <v>Distillates</v>
      </c>
      <c r="D78" s="342" t="str">
        <f t="shared" si="8"/>
        <v>VOC</v>
      </c>
      <c r="E78" s="306" cm="1">
        <f t="array" ref="E78">INDEX(FX_Calcs,$T78,E$86)-459.6</f>
        <v>44.757499999999993</v>
      </c>
      <c r="F78" s="262" cm="1">
        <f t="array" ref="F78">INDEX(FX_Calcs,$T78,F$86)-459.6</f>
        <v>46.200000000000045</v>
      </c>
      <c r="G78" s="307" cm="1">
        <f t="array" ref="G78">INDEX(FX_Calcs,$T78,G$86)-459.6</f>
        <v>48.292500000000018</v>
      </c>
      <c r="H78" s="307" cm="1">
        <f t="array" ref="H78">INDEX(FX_Calcs,$T78,H$86)-459.6</f>
        <v>51.729999999999905</v>
      </c>
      <c r="I78" s="307" cm="1">
        <f t="array" ref="I78">INDEX(FX_Calcs,$T78,I$86)-459.6</f>
        <v>56.99249999999995</v>
      </c>
      <c r="J78" s="307" cm="1">
        <f t="array" ref="J78">INDEX(FX_Calcs,$T78,J$86)-459.6</f>
        <v>61.017500000000041</v>
      </c>
      <c r="K78" s="307" cm="1">
        <f t="array" ref="K78">INDEX(FX_Calcs,$T78,K$86)-459.6</f>
        <v>64.719999999999914</v>
      </c>
      <c r="L78" s="307" cm="1">
        <f t="array" ref="L78">INDEX(FX_Calcs,$T78,L$86)-459.6</f>
        <v>64.63</v>
      </c>
      <c r="M78" s="307" cm="1">
        <f t="array" ref="M78">INDEX(FX_Calcs,$T78,M$86)-459.6</f>
        <v>61.590000000000032</v>
      </c>
      <c r="N78" s="307" cm="1">
        <f t="array" ref="N78">INDEX(FX_Calcs,$T78,N$86)-459.6</f>
        <v>54.470000000000027</v>
      </c>
      <c r="O78" s="307" cm="1">
        <f t="array" ref="O78">INDEX(FX_Calcs,$T78,O$86)-459.6</f>
        <v>48.077500000000043</v>
      </c>
      <c r="P78" s="263" cm="1">
        <f t="array" ref="P78">INDEX(FX_Calcs,$T78,P$86)-459.6</f>
        <v>44.355000000000018</v>
      </c>
      <c r="R78">
        <f t="shared" si="9"/>
        <v>111</v>
      </c>
      <c r="S78">
        <v>2</v>
      </c>
      <c r="T78">
        <f t="shared" si="10"/>
        <v>56</v>
      </c>
    </row>
    <row r="79" spans="2:20" ht="15.45" hidden="1" thickBot="1" x14ac:dyDescent="0.45">
      <c r="B79" s="455" t="s">
        <v>1890</v>
      </c>
      <c r="C79" s="456"/>
      <c r="D79" s="235"/>
      <c r="E79" s="236">
        <f t="shared" ref="E79:P79" si="11">SUM(E34:E78,E23:E33)</f>
        <v>2479.8100600000002</v>
      </c>
      <c r="F79" s="234">
        <f t="shared" si="11"/>
        <v>2540.6520000000014</v>
      </c>
      <c r="G79" s="234">
        <f t="shared" si="11"/>
        <v>2636.3423399999988</v>
      </c>
      <c r="H79" s="234">
        <f t="shared" si="11"/>
        <v>2799.7498399999949</v>
      </c>
      <c r="I79" s="234">
        <f t="shared" si="11"/>
        <v>3072.339539999999</v>
      </c>
      <c r="J79" s="234">
        <f t="shared" si="11"/>
        <v>3290.7573400000033</v>
      </c>
      <c r="K79" s="234">
        <f t="shared" si="11"/>
        <v>3491.813359999991</v>
      </c>
      <c r="L79" s="234">
        <f t="shared" si="11"/>
        <v>3503.5306400000018</v>
      </c>
      <c r="M79" s="234">
        <f t="shared" si="11"/>
        <v>3356.2543199999996</v>
      </c>
      <c r="N79" s="234">
        <f t="shared" si="11"/>
        <v>2993.8417600000012</v>
      </c>
      <c r="O79" s="234">
        <f t="shared" si="11"/>
        <v>2662.0062199999975</v>
      </c>
      <c r="P79" s="237">
        <f t="shared" si="11"/>
        <v>2460.4508400000004</v>
      </c>
    </row>
    <row r="80" spans="2:20" ht="15.45" hidden="1" thickBot="1" x14ac:dyDescent="0.45">
      <c r="B80" s="450" t="s">
        <v>1891</v>
      </c>
      <c r="C80" s="451"/>
      <c r="D80" s="308"/>
      <c r="E80" s="309">
        <f t="shared" ref="E80:P80" si="12">SUM(E11:E13,E14:E20,E23:E33,E34:E78)</f>
        <v>2927.4380724952953</v>
      </c>
      <c r="F80" s="310">
        <f t="shared" si="12"/>
        <v>3003.2126578994075</v>
      </c>
      <c r="G80" s="310">
        <f t="shared" si="12"/>
        <v>3120.0868349629654</v>
      </c>
      <c r="H80" s="310">
        <f t="shared" si="12"/>
        <v>3318.2197461500928</v>
      </c>
      <c r="I80" s="311">
        <f t="shared" si="12"/>
        <v>3643.7007586523168</v>
      </c>
      <c r="J80" s="311">
        <f t="shared" si="12"/>
        <v>3902.4526573372259</v>
      </c>
      <c r="K80" s="311">
        <f t="shared" si="12"/>
        <v>4140.6093661536379</v>
      </c>
      <c r="L80" s="311">
        <f t="shared" si="12"/>
        <v>4151.2248093098633</v>
      </c>
      <c r="M80" s="311">
        <f t="shared" si="12"/>
        <v>3973.2718980794848</v>
      </c>
      <c r="N80" s="311">
        <f t="shared" si="12"/>
        <v>3539.2220249179509</v>
      </c>
      <c r="O80" s="311">
        <f t="shared" si="12"/>
        <v>3143.146582064443</v>
      </c>
      <c r="P80" s="312">
        <f t="shared" si="12"/>
        <v>2904.2830378093672</v>
      </c>
    </row>
    <row r="83" spans="2:16" x14ac:dyDescent="0.4">
      <c r="D83" t="s">
        <v>1905</v>
      </c>
      <c r="E83">
        <v>1</v>
      </c>
      <c r="F83">
        <f>E83+1</f>
        <v>2</v>
      </c>
      <c r="G83">
        <f t="shared" ref="G83:P83" si="13">F83+1</f>
        <v>3</v>
      </c>
      <c r="H83">
        <f t="shared" si="13"/>
        <v>4</v>
      </c>
      <c r="I83">
        <f t="shared" si="13"/>
        <v>5</v>
      </c>
      <c r="J83">
        <f t="shared" si="13"/>
        <v>6</v>
      </c>
      <c r="K83">
        <f t="shared" si="13"/>
        <v>7</v>
      </c>
      <c r="L83">
        <f t="shared" si="13"/>
        <v>8</v>
      </c>
      <c r="M83">
        <f t="shared" si="13"/>
        <v>9</v>
      </c>
      <c r="N83">
        <f t="shared" si="13"/>
        <v>10</v>
      </c>
      <c r="O83">
        <f t="shared" si="13"/>
        <v>11</v>
      </c>
      <c r="P83">
        <f t="shared" si="13"/>
        <v>12</v>
      </c>
    </row>
    <row r="84" spans="2:16" x14ac:dyDescent="0.4">
      <c r="D84" t="s">
        <v>1906</v>
      </c>
      <c r="E84">
        <v>3</v>
      </c>
      <c r="F84">
        <f>E84+16</f>
        <v>19</v>
      </c>
      <c r="G84">
        <f t="shared" ref="G84:P84" si="14">F84+16</f>
        <v>35</v>
      </c>
      <c r="H84">
        <f t="shared" si="14"/>
        <v>51</v>
      </c>
      <c r="I84">
        <f t="shared" si="14"/>
        <v>67</v>
      </c>
      <c r="J84">
        <f t="shared" si="14"/>
        <v>83</v>
      </c>
      <c r="K84">
        <f t="shared" si="14"/>
        <v>99</v>
      </c>
      <c r="L84">
        <f t="shared" si="14"/>
        <v>115</v>
      </c>
      <c r="M84">
        <f t="shared" si="14"/>
        <v>131</v>
      </c>
      <c r="N84">
        <f t="shared" si="14"/>
        <v>147</v>
      </c>
      <c r="O84">
        <f t="shared" si="14"/>
        <v>163</v>
      </c>
      <c r="P84">
        <f t="shared" si="14"/>
        <v>179</v>
      </c>
    </row>
    <row r="86" spans="2:16" x14ac:dyDescent="0.4">
      <c r="B86" t="s">
        <v>1977</v>
      </c>
      <c r="C86">
        <v>15</v>
      </c>
      <c r="D86" t="s">
        <v>1978</v>
      </c>
      <c r="E86">
        <v>17</v>
      </c>
      <c r="F86">
        <f>E86+19</f>
        <v>36</v>
      </c>
      <c r="G86">
        <f t="shared" ref="G86:P86" si="15">F86+19</f>
        <v>55</v>
      </c>
      <c r="H86">
        <f t="shared" si="15"/>
        <v>74</v>
      </c>
      <c r="I86">
        <f t="shared" si="15"/>
        <v>93</v>
      </c>
      <c r="J86">
        <f t="shared" si="15"/>
        <v>112</v>
      </c>
      <c r="K86">
        <f t="shared" si="15"/>
        <v>131</v>
      </c>
      <c r="L86">
        <f t="shared" si="15"/>
        <v>150</v>
      </c>
      <c r="M86">
        <f t="shared" si="15"/>
        <v>169</v>
      </c>
      <c r="N86">
        <f t="shared" si="15"/>
        <v>188</v>
      </c>
      <c r="O86">
        <f t="shared" si="15"/>
        <v>207</v>
      </c>
      <c r="P86">
        <f t="shared" si="15"/>
        <v>226</v>
      </c>
    </row>
  </sheetData>
  <sheetProtection algorithmName="SHA-512" hashValue="pU/eg1I/ChRrIZgtZKAvqwXktmVW/HwFC50qzLVPfMQT7QIlEg7wbQgJedVkVLtrTMW/c1tVORNeg0wNZDrWWw==" saltValue="JyOH+ZwZ2QTtZtmwF4wtgQ==" spinCount="100000" sheet="1" objects="1" scenarios="1"/>
  <mergeCells count="12">
    <mergeCell ref="B2:P2"/>
    <mergeCell ref="B3:P3"/>
    <mergeCell ref="B4:P4"/>
    <mergeCell ref="B6:B9"/>
    <mergeCell ref="C6:C9"/>
    <mergeCell ref="D6:D9"/>
    <mergeCell ref="E6:P6"/>
    <mergeCell ref="B10:P10"/>
    <mergeCell ref="B21:C21"/>
    <mergeCell ref="B22:P22"/>
    <mergeCell ref="B79:C79"/>
    <mergeCell ref="B80:C80"/>
  </mergeCells>
  <conditionalFormatting sqref="B21 D21:P21 B79:B80 D79:P80">
    <cfRule type="cellIs" dxfId="50" priority="37" operator="greaterThan">
      <formula>100</formula>
    </cfRule>
    <cfRule type="cellIs" dxfId="49" priority="41" operator="between">
      <formula>0.01</formula>
      <formula>0.1</formula>
    </cfRule>
    <cfRule type="cellIs" dxfId="48" priority="40" operator="between">
      <formula>0.1</formula>
      <formula>1</formula>
    </cfRule>
    <cfRule type="cellIs" dxfId="47" priority="39" operator="between">
      <formula>1</formula>
      <formula>10</formula>
    </cfRule>
    <cfRule type="cellIs" dxfId="46" priority="42" operator="lessThan">
      <formula>0.01</formula>
    </cfRule>
    <cfRule type="cellIs" dxfId="45" priority="38" operator="between">
      <formula>10</formula>
      <formula>100</formula>
    </cfRule>
    <cfRule type="cellIs" dxfId="44" priority="36" operator="equal">
      <formula>0</formula>
    </cfRule>
  </conditionalFormatting>
  <conditionalFormatting sqref="B11:P20">
    <cfRule type="cellIs" dxfId="43" priority="11" operator="between">
      <formula>1</formula>
      <formula>10</formula>
    </cfRule>
    <cfRule type="cellIs" dxfId="42" priority="8" operator="equal">
      <formula>0</formula>
    </cfRule>
    <cfRule type="cellIs" dxfId="41" priority="9" operator="greaterThan">
      <formula>100</formula>
    </cfRule>
    <cfRule type="cellIs" dxfId="40" priority="10" operator="between">
      <formula>10</formula>
      <formula>100</formula>
    </cfRule>
    <cfRule type="cellIs" dxfId="39" priority="12" operator="between">
      <formula>0.1</formula>
      <formula>1</formula>
    </cfRule>
    <cfRule type="cellIs" dxfId="38" priority="13" operator="between">
      <formula>0.01</formula>
      <formula>0.1</formula>
    </cfRule>
    <cfRule type="cellIs" dxfId="37" priority="14" operator="lessThan">
      <formula>0.01</formula>
    </cfRule>
  </conditionalFormatting>
  <conditionalFormatting sqref="B22:P78">
    <cfRule type="cellIs" dxfId="36" priority="2" operator="greaterThan">
      <formula>100</formula>
    </cfRule>
    <cfRule type="cellIs" dxfId="35" priority="3" operator="between">
      <formula>10</formula>
      <formula>100</formula>
    </cfRule>
    <cfRule type="cellIs" dxfId="34" priority="4" operator="between">
      <formula>1</formula>
      <formula>10</formula>
    </cfRule>
    <cfRule type="cellIs" dxfId="33" priority="5" operator="between">
      <formula>0.1</formula>
      <formula>1</formula>
    </cfRule>
    <cfRule type="cellIs" dxfId="32" priority="7" operator="lessThan">
      <formula>0.01</formula>
    </cfRule>
    <cfRule type="cellIs" dxfId="31" priority="6" operator="between">
      <formula>0.01</formula>
      <formula>0.1</formula>
    </cfRule>
    <cfRule type="cellIs" dxfId="30" priority="1" operator="equal">
      <formula>0</formula>
    </cfRule>
  </conditionalFormatting>
  <pageMargins left="0.7" right="0.7" top="0.75" bottom="0.75" header="0.3" footer="0.3"/>
  <pageSetup paperSize="3" scale="66" fitToHeight="0" orientation="portrait" r:id="rId1"/>
  <headerFooter>
    <oddFooter>&amp;RPage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AAE5D-88C5-4767-A72C-6DA881F198AB}">
  <sheetPr codeName="Sheet6">
    <pageSetUpPr fitToPage="1"/>
  </sheetPr>
  <dimension ref="B2:AB95"/>
  <sheetViews>
    <sheetView workbookViewId="0">
      <selection activeCell="J5" sqref="J5"/>
    </sheetView>
  </sheetViews>
  <sheetFormatPr defaultColWidth="8.84375" defaultRowHeight="14.6" x14ac:dyDescent="0.4"/>
  <cols>
    <col min="2" max="2" width="14.4609375" bestFit="1" customWidth="1"/>
    <col min="3" max="3" width="24.69140625" bestFit="1" customWidth="1"/>
    <col min="4" max="4" width="16.84375" bestFit="1" customWidth="1"/>
    <col min="6" max="6" width="9.69140625" bestFit="1" customWidth="1"/>
    <col min="13" max="13" width="11.3046875" bestFit="1" customWidth="1"/>
    <col min="15" max="15" width="11" bestFit="1" customWidth="1"/>
    <col min="16" max="16" width="10.84375" bestFit="1" customWidth="1"/>
    <col min="17" max="17" width="11" customWidth="1"/>
    <col min="18" max="18" width="11.3046875" customWidth="1"/>
  </cols>
  <sheetData>
    <row r="2" spans="2:28" ht="17.600000000000001" x14ac:dyDescent="0.4">
      <c r="B2" s="461" t="s">
        <v>2048</v>
      </c>
      <c r="C2" s="461"/>
      <c r="D2" s="461"/>
      <c r="E2" s="461"/>
      <c r="F2" s="461"/>
      <c r="G2" s="461"/>
      <c r="H2" s="461"/>
      <c r="I2" s="461"/>
      <c r="J2" s="461"/>
      <c r="K2" s="461"/>
      <c r="L2" s="461"/>
      <c r="M2" s="461"/>
      <c r="N2" s="461"/>
      <c r="O2" s="461"/>
      <c r="P2" s="461"/>
      <c r="Q2" s="461"/>
      <c r="R2" s="461"/>
    </row>
    <row r="3" spans="2:28" ht="17.600000000000001" x14ac:dyDescent="0.4">
      <c r="B3" s="461" t="s">
        <v>1879</v>
      </c>
      <c r="C3" s="461"/>
      <c r="D3" s="461"/>
      <c r="E3" s="461"/>
      <c r="F3" s="461"/>
      <c r="G3" s="461"/>
      <c r="H3" s="461"/>
      <c r="I3" s="461"/>
      <c r="J3" s="461"/>
      <c r="K3" s="461"/>
      <c r="L3" s="461"/>
      <c r="M3" s="461"/>
      <c r="N3" s="461"/>
      <c r="O3" s="461"/>
      <c r="P3" s="461"/>
      <c r="Q3" s="461"/>
      <c r="R3" s="461"/>
    </row>
    <row r="4" spans="2:28" ht="17.600000000000001" x14ac:dyDescent="0.4">
      <c r="B4" s="460" t="s">
        <v>2024</v>
      </c>
      <c r="C4" s="460"/>
      <c r="D4" s="460"/>
      <c r="E4" s="460"/>
      <c r="F4" s="460"/>
      <c r="G4" s="460"/>
      <c r="H4" s="460"/>
      <c r="I4" s="460"/>
      <c r="J4" s="460"/>
      <c r="K4" s="460"/>
      <c r="L4" s="460"/>
      <c r="M4" s="460"/>
      <c r="N4" s="460"/>
      <c r="O4" s="460"/>
      <c r="P4" s="460"/>
      <c r="Q4" s="460"/>
      <c r="R4" s="460"/>
    </row>
    <row r="5" spans="2:28" ht="18" thickBot="1" x14ac:dyDescent="0.45">
      <c r="B5" s="210"/>
      <c r="C5" s="210"/>
      <c r="D5" s="210"/>
      <c r="E5" s="210"/>
      <c r="F5" s="210"/>
      <c r="G5" s="210"/>
      <c r="H5" s="210"/>
      <c r="I5" s="210"/>
      <c r="J5" s="210"/>
      <c r="K5" s="210"/>
      <c r="L5" s="210"/>
      <c r="M5" s="210"/>
      <c r="N5" s="210"/>
      <c r="O5" s="210"/>
      <c r="P5" s="210"/>
      <c r="Q5" s="210"/>
      <c r="R5" s="210"/>
    </row>
    <row r="6" spans="2:28" ht="18" thickBot="1" x14ac:dyDescent="0.45">
      <c r="B6" s="439" t="s">
        <v>1880</v>
      </c>
      <c r="C6" s="442" t="s">
        <v>1881</v>
      </c>
      <c r="D6" s="467" t="s">
        <v>1883</v>
      </c>
      <c r="E6" s="470" t="s">
        <v>1979</v>
      </c>
      <c r="F6" s="471"/>
      <c r="G6" s="471"/>
      <c r="H6" s="471"/>
      <c r="I6" s="471"/>
      <c r="J6" s="471"/>
      <c r="K6" s="471"/>
      <c r="L6" s="471"/>
      <c r="M6" s="471"/>
      <c r="N6" s="471"/>
      <c r="O6" s="471"/>
      <c r="P6" s="471"/>
      <c r="Q6" s="471"/>
      <c r="R6" s="472"/>
    </row>
    <row r="7" spans="2:28" ht="15.45" x14ac:dyDescent="0.4">
      <c r="B7" s="462"/>
      <c r="C7" s="463"/>
      <c r="D7" s="468"/>
      <c r="E7" s="211" t="s">
        <v>30</v>
      </c>
      <c r="F7" s="212" t="s">
        <v>31</v>
      </c>
      <c r="G7" s="212" t="s">
        <v>32</v>
      </c>
      <c r="H7" s="212" t="s">
        <v>33</v>
      </c>
      <c r="I7" s="212" t="s">
        <v>34</v>
      </c>
      <c r="J7" s="212" t="s">
        <v>35</v>
      </c>
      <c r="K7" s="212" t="s">
        <v>36</v>
      </c>
      <c r="L7" s="212" t="s">
        <v>37</v>
      </c>
      <c r="M7" s="212" t="s">
        <v>38</v>
      </c>
      <c r="N7" s="212" t="s">
        <v>39</v>
      </c>
      <c r="O7" s="212" t="s">
        <v>40</v>
      </c>
      <c r="P7" s="213" t="s">
        <v>41</v>
      </c>
      <c r="Q7" s="480" t="s">
        <v>1980</v>
      </c>
      <c r="R7" s="482" t="s">
        <v>1981</v>
      </c>
    </row>
    <row r="8" spans="2:28" ht="15" x14ac:dyDescent="0.4">
      <c r="B8" s="462"/>
      <c r="C8" s="463"/>
      <c r="D8" s="468"/>
      <c r="E8" s="214" t="s">
        <v>95</v>
      </c>
      <c r="F8" s="215" t="str">
        <f>E8</f>
        <v>N/A</v>
      </c>
      <c r="G8" s="215" t="str">
        <f t="shared" ref="G8:O8" si="0">F8</f>
        <v>N/A</v>
      </c>
      <c r="H8" s="215" t="str">
        <f t="shared" si="0"/>
        <v>N/A</v>
      </c>
      <c r="I8" s="215" t="str">
        <f t="shared" si="0"/>
        <v>N/A</v>
      </c>
      <c r="J8" s="215" t="str">
        <f t="shared" si="0"/>
        <v>N/A</v>
      </c>
      <c r="K8" s="215" t="str">
        <f>J8</f>
        <v>N/A</v>
      </c>
      <c r="L8" s="215" t="str">
        <f t="shared" si="0"/>
        <v>N/A</v>
      </c>
      <c r="M8" s="215" t="str">
        <f t="shared" si="0"/>
        <v>N/A</v>
      </c>
      <c r="N8" s="215" t="str">
        <f t="shared" si="0"/>
        <v>N/A</v>
      </c>
      <c r="O8" s="215" t="str">
        <f t="shared" si="0"/>
        <v>N/A</v>
      </c>
      <c r="P8" s="216">
        <v>2021</v>
      </c>
      <c r="Q8" s="481"/>
      <c r="R8" s="483"/>
    </row>
    <row r="9" spans="2:28" ht="30.45" thickBot="1" x14ac:dyDescent="0.45">
      <c r="B9" s="440"/>
      <c r="C9" s="443"/>
      <c r="D9" s="469"/>
      <c r="E9" s="218" t="s">
        <v>25</v>
      </c>
      <c r="F9" s="219" t="s">
        <v>25</v>
      </c>
      <c r="G9" s="219" t="s">
        <v>25</v>
      </c>
      <c r="H9" s="219" t="s">
        <v>25</v>
      </c>
      <c r="I9" s="219" t="s">
        <v>25</v>
      </c>
      <c r="J9" s="219" t="s">
        <v>25</v>
      </c>
      <c r="K9" s="219" t="s">
        <v>25</v>
      </c>
      <c r="L9" s="219" t="s">
        <v>25</v>
      </c>
      <c r="M9" s="219" t="s">
        <v>25</v>
      </c>
      <c r="N9" s="219" t="s">
        <v>25</v>
      </c>
      <c r="O9" s="219" t="s">
        <v>25</v>
      </c>
      <c r="P9" s="220" t="s">
        <v>25</v>
      </c>
      <c r="Q9" s="218" t="s">
        <v>25</v>
      </c>
      <c r="R9" s="220" t="s">
        <v>25</v>
      </c>
      <c r="T9" s="313" t="s">
        <v>1897</v>
      </c>
      <c r="V9" s="313" t="s">
        <v>1901</v>
      </c>
      <c r="X9" s="313" t="s">
        <v>1899</v>
      </c>
      <c r="Y9" t="s">
        <v>1894</v>
      </c>
    </row>
    <row r="10" spans="2:28" ht="15.45" thickBot="1" x14ac:dyDescent="0.45">
      <c r="B10" s="452" t="s">
        <v>1892</v>
      </c>
      <c r="C10" s="453"/>
      <c r="D10" s="453"/>
      <c r="E10" s="453"/>
      <c r="F10" s="453"/>
      <c r="G10" s="453"/>
      <c r="H10" s="453"/>
      <c r="I10" s="453"/>
      <c r="J10" s="453"/>
      <c r="K10" s="453"/>
      <c r="L10" s="453"/>
      <c r="M10" s="453"/>
      <c r="N10" s="453"/>
      <c r="O10" s="453"/>
      <c r="P10" s="453"/>
      <c r="Q10" s="453"/>
      <c r="R10" s="454"/>
      <c r="T10" t="s">
        <v>1821</v>
      </c>
      <c r="U10" t="s">
        <v>1898</v>
      </c>
      <c r="V10" t="s">
        <v>1902</v>
      </c>
      <c r="W10" t="s">
        <v>1903</v>
      </c>
      <c r="Y10" t="s">
        <v>1821</v>
      </c>
      <c r="Z10" t="s">
        <v>1900</v>
      </c>
      <c r="AA10" t="s">
        <v>1895</v>
      </c>
      <c r="AB10" t="s">
        <v>1896</v>
      </c>
    </row>
    <row r="11" spans="2:28" ht="15.45" x14ac:dyDescent="0.4">
      <c r="B11" s="314" t="str" cm="1">
        <f t="array" ref="B11">INDEX(FLT_Cons,T11,U11)</f>
        <v>EXTANK 105</v>
      </c>
      <c r="C11" s="315" t="str" cm="1">
        <f t="array" ref="C11">INDEX(FLT_Setup,T11,3)</f>
        <v>Crude Oil</v>
      </c>
      <c r="D11" s="316" t="s">
        <v>1904</v>
      </c>
      <c r="E11" s="317" cm="1">
        <f t="array" ref="E11">(INDEX(Flt_Calc,$Y11,E$93))</f>
        <v>5.8949526647142561</v>
      </c>
      <c r="F11" s="315" cm="1">
        <f t="array" ref="F11">(INDEX(Flt_Calc,$Y11,F$93))</f>
        <v>6.0567368379404254</v>
      </c>
      <c r="G11" s="315" cm="1">
        <f t="array" ref="G11">(INDEX(Flt_Calc,$Y11,G$93))</f>
        <v>6.283642059124805</v>
      </c>
      <c r="H11" s="315" cm="1">
        <f t="array" ref="H11">(INDEX(Flt_Calc,$Y11,H$93))</f>
        <v>6.6693404884876069</v>
      </c>
      <c r="I11" s="315" cm="1">
        <f t="array" ref="I11">(INDEX(Flt_Calc,$Y11,I$93))</f>
        <v>7.2900827022708894</v>
      </c>
      <c r="J11" s="315" cm="1">
        <f t="array" ref="J11">(INDEX(Flt_Calc,$Y11,J$93))</f>
        <v>7.7918407096608675</v>
      </c>
      <c r="K11" s="315" cm="1">
        <f t="array" ref="K11">(INDEX(Flt_Calc,$Y11,K$93))</f>
        <v>8.2763123878843672</v>
      </c>
      <c r="L11" s="315" cm="1">
        <f t="array" ref="L11">(INDEX(Flt_Calc,$Y11,L$93))</f>
        <v>8.2604291130473815</v>
      </c>
      <c r="M11" s="315" cm="1">
        <f t="array" ref="M11">(INDEX(Flt_Calc,$Y11,M$93))</f>
        <v>7.8576354052697734</v>
      </c>
      <c r="N11" s="315" cm="1">
        <f t="array" ref="N11">(INDEX(Flt_Calc,$Y11,N$93))</f>
        <v>6.9766366224365344</v>
      </c>
      <c r="O11" s="315" cm="1">
        <f t="array" ref="O11">(INDEX(Flt_Calc,$Y11,O$93))</f>
        <v>6.2533979721884903</v>
      </c>
      <c r="P11" s="318" cm="1">
        <f t="array" ref="P11">(INDEX(Flt_Calc,$Y11,P$93))</f>
        <v>5.8612240584033284</v>
      </c>
      <c r="Q11" s="319">
        <f>MAX(E11:P11)</f>
        <v>8.2763123878843672</v>
      </c>
      <c r="R11" s="320">
        <v>11.1</v>
      </c>
      <c r="T11">
        <v>1</v>
      </c>
      <c r="U11">
        <v>2</v>
      </c>
      <c r="V11">
        <v>11</v>
      </c>
      <c r="W11">
        <v>13</v>
      </c>
      <c r="X11">
        <v>11</v>
      </c>
      <c r="Y11">
        <v>1</v>
      </c>
      <c r="Z11">
        <v>1</v>
      </c>
    </row>
    <row r="12" spans="2:28" ht="15.45" x14ac:dyDescent="0.4">
      <c r="B12" s="321" t="str" cm="1">
        <f t="array" ref="B12">INDEX(FLT_Cons,T12,U12)</f>
        <v>EXTANK 106</v>
      </c>
      <c r="C12" s="221" t="str" cm="1">
        <f t="array" ref="C12">INDEX(FLT_Setup,T12,3)</f>
        <v>Crude Oil</v>
      </c>
      <c r="D12" s="223" t="str">
        <f>D11</f>
        <v>VOC</v>
      </c>
      <c r="E12" s="255" cm="1">
        <f t="array" ref="E12">(INDEX(Flt_Calc,$Y12,E$93))</f>
        <v>5.8949526647142561</v>
      </c>
      <c r="F12" s="221" cm="1">
        <f t="array" ref="F12">(INDEX(Flt_Calc,$Y12,F$93))</f>
        <v>6.0567368379404254</v>
      </c>
      <c r="G12" s="221" cm="1">
        <f t="array" ref="G12">(INDEX(Flt_Calc,$Y12,G$93))</f>
        <v>6.283642059124805</v>
      </c>
      <c r="H12" s="221" cm="1">
        <f t="array" ref="H12">(INDEX(Flt_Calc,$Y12,H$93))</f>
        <v>6.6693404884876069</v>
      </c>
      <c r="I12" s="221" cm="1">
        <f t="array" ref="I12">(INDEX(Flt_Calc,$Y12,I$93))</f>
        <v>7.2900827022708894</v>
      </c>
      <c r="J12" s="221" cm="1">
        <f t="array" ref="J12">(INDEX(Flt_Calc,$Y12,J$93))</f>
        <v>7.7918407096608675</v>
      </c>
      <c r="K12" s="221" cm="1">
        <f t="array" ref="K12">(INDEX(Flt_Calc,$Y12,K$93))</f>
        <v>8.2763123878843672</v>
      </c>
      <c r="L12" s="221" cm="1">
        <f t="array" ref="L12">(INDEX(Flt_Calc,$Y12,L$93))</f>
        <v>8.2604291130473815</v>
      </c>
      <c r="M12" s="221" cm="1">
        <f t="array" ref="M12">(INDEX(Flt_Calc,$Y12,M$93))</f>
        <v>7.8576354052697734</v>
      </c>
      <c r="N12" s="221" cm="1">
        <f t="array" ref="N12">(INDEX(Flt_Calc,$Y12,N$93))</f>
        <v>6.9766366224365344</v>
      </c>
      <c r="O12" s="221" cm="1">
        <f t="array" ref="O12">(INDEX(Flt_Calc,$Y12,O$93))</f>
        <v>6.2533979721884903</v>
      </c>
      <c r="P12" s="256" cm="1">
        <f t="array" ref="P12">(INDEX(Flt_Calc,$Y12,P$93))</f>
        <v>5.8612240584033284</v>
      </c>
      <c r="Q12" s="299">
        <f t="shared" ref="Q12:Q20" si="1">MAX(E12:P12)</f>
        <v>8.2763123878843672</v>
      </c>
      <c r="R12" s="304">
        <v>11.1</v>
      </c>
      <c r="T12">
        <f>T11+1</f>
        <v>2</v>
      </c>
      <c r="U12">
        <f>U11</f>
        <v>2</v>
      </c>
      <c r="V12">
        <f>V11+12</f>
        <v>23</v>
      </c>
      <c r="W12">
        <v>13</v>
      </c>
      <c r="X12">
        <f>X11+12</f>
        <v>23</v>
      </c>
      <c r="Y12">
        <f>Y11+1</f>
        <v>2</v>
      </c>
      <c r="Z12">
        <v>1</v>
      </c>
    </row>
    <row r="13" spans="2:28" ht="15.45" x14ac:dyDescent="0.4">
      <c r="B13" s="321" t="str" cm="1">
        <f t="array" ref="B13">INDEX(FLT_Cons,T13,U13)</f>
        <v>EXTANK 120</v>
      </c>
      <c r="C13" s="221" t="str" cm="1">
        <f t="array" ref="C13">INDEX(FLT_Setup,T13,3)</f>
        <v>Distillates</v>
      </c>
      <c r="D13" s="223" t="str">
        <f t="shared" ref="D13:D20" si="2">D12</f>
        <v>VOC</v>
      </c>
      <c r="E13" s="255" cm="1">
        <f t="array" ref="E13">(INDEX(Flt_Calc,$Y13,E$93))</f>
        <v>5.1280412205890252E-3</v>
      </c>
      <c r="F13" s="221" cm="1">
        <f t="array" ref="F13">(INDEX(Flt_Calc,$Y13,F$93))</f>
        <v>5.6270109234937893E-3</v>
      </c>
      <c r="G13" s="221" cm="1">
        <f t="array" ref="G13">(INDEX(Flt_Calc,$Y13,G$93))</f>
        <v>6.3023980378194453E-3</v>
      </c>
      <c r="H13" s="221" cm="1">
        <f t="array" ref="H13">(INDEX(Flt_Calc,$Y13,H$93))</f>
        <v>7.4806816057680229E-3</v>
      </c>
      <c r="I13" s="221" cm="1">
        <f t="array" ref="I13">(INDEX(Flt_Calc,$Y13,I$93))</f>
        <v>9.2741815275681101E-3</v>
      </c>
      <c r="J13" s="221" cm="1">
        <f t="array" ref="J13">(INDEX(Flt_Calc,$Y13,J$93))</f>
        <v>1.0698879339815172E-2</v>
      </c>
      <c r="K13" s="221" cm="1">
        <f t="array" ref="K13">(INDEX(Flt_Calc,$Y13,K$93))</f>
        <v>1.2173364453005431E-2</v>
      </c>
      <c r="L13" s="221" cm="1">
        <f t="array" ref="L13">(INDEX(Flt_Calc,$Y13,L$93))</f>
        <v>1.1781935739354852E-2</v>
      </c>
      <c r="M13" s="221" cm="1">
        <f t="array" ref="M13">(INDEX(Flt_Calc,$Y13,M$93))</f>
        <v>1.0258095699530383E-2</v>
      </c>
      <c r="N13" s="221" cm="1">
        <f t="array" ref="N13">(INDEX(Flt_Calc,$Y13,N$93))</f>
        <v>7.594871289515197E-3</v>
      </c>
      <c r="O13" s="221" cm="1">
        <f t="array" ref="O13">(INDEX(Flt_Calc,$Y13,O$93))</f>
        <v>5.817552229906502E-3</v>
      </c>
      <c r="P13" s="256" cm="1">
        <f t="array" ref="P13">(INDEX(Flt_Calc,$Y13,P$93))</f>
        <v>5.0440033414775884E-3</v>
      </c>
      <c r="Q13" s="299">
        <f t="shared" si="1"/>
        <v>1.2173364453005431E-2</v>
      </c>
      <c r="R13" s="304">
        <v>11.1</v>
      </c>
      <c r="T13">
        <f t="shared" ref="T13:T20" si="3">T12+1</f>
        <v>3</v>
      </c>
      <c r="U13">
        <f t="shared" ref="U13:U20" si="4">U12</f>
        <v>2</v>
      </c>
      <c r="V13">
        <f t="shared" ref="V13:V20" si="5">V12+12</f>
        <v>35</v>
      </c>
      <c r="W13">
        <v>13</v>
      </c>
      <c r="X13">
        <f t="shared" ref="X13:X20" si="6">X12+12</f>
        <v>35</v>
      </c>
      <c r="Y13">
        <f t="shared" ref="Y13:Y20" si="7">Y12+1</f>
        <v>3</v>
      </c>
      <c r="Z13">
        <v>1</v>
      </c>
    </row>
    <row r="14" spans="2:28" ht="15.45" x14ac:dyDescent="0.4">
      <c r="B14" s="321" t="str" cm="1">
        <f t="array" ref="B14">INDEX(FLT_Cons,T14,U14)</f>
        <v>INTANK 63</v>
      </c>
      <c r="C14" s="221" t="str" cm="1">
        <f t="array" ref="C14">INDEX(FLT_Setup,T14,3)</f>
        <v>Crude Oil</v>
      </c>
      <c r="D14" s="322" t="str">
        <f t="shared" si="2"/>
        <v>VOC</v>
      </c>
      <c r="E14" s="323" cm="1">
        <f t="array" ref="E14">(INDEX(Flt_Calc,$Y14,E$93))</f>
        <v>5.867661107401692</v>
      </c>
      <c r="F14" s="229" cm="1">
        <f t="array" ref="F14">(INDEX(Flt_Calc,$Y14,F$93))</f>
        <v>5.9935718185823612</v>
      </c>
      <c r="G14" s="229" cm="1">
        <f t="array" ref="G14">(INDEX(Flt_Calc,$Y14,G$93))</f>
        <v>6.188830273420832</v>
      </c>
      <c r="H14" s="229" cm="1">
        <f t="array" ref="H14">(INDEX(Flt_Calc,$Y14,H$93))</f>
        <v>6.5279682032356678</v>
      </c>
      <c r="I14" s="229" cm="1">
        <f t="array" ref="I14">(INDEX(Flt_Calc,$Y14,I$93))</f>
        <v>7.1045514346753809</v>
      </c>
      <c r="J14" s="229" cm="1">
        <f t="array" ref="J14">(INDEX(Flt_Calc,$Y14,J$93))</f>
        <v>7.5852508081720345</v>
      </c>
      <c r="K14" s="229" cm="1">
        <f t="array" ref="K14">(INDEX(Flt_Calc,$Y14,K$93))</f>
        <v>8.0492791332983735</v>
      </c>
      <c r="L14" s="229" cm="1">
        <f t="array" ref="L14">(INDEX(Flt_Calc,$Y14,L$93))</f>
        <v>8.0621333544026594</v>
      </c>
      <c r="M14" s="229" cm="1">
        <f t="array" ref="M14">(INDEX(Flt_Calc,$Y14,M$93))</f>
        <v>7.7043732166834999</v>
      </c>
      <c r="N14" s="229" cm="1">
        <f t="array" ref="N14">(INDEX(Flt_Calc,$Y14,N$93))</f>
        <v>6.891237422021784</v>
      </c>
      <c r="O14" s="229" cm="1">
        <f t="array" ref="O14">(INDEX(Flt_Calc,$Y14,O$93))</f>
        <v>6.2111475349287595</v>
      </c>
      <c r="P14" s="324" cm="1">
        <f t="array" ref="P14">(INDEX(Flt_Calc,$Y14,P$93))</f>
        <v>5.8301649306133871</v>
      </c>
      <c r="Q14" s="325">
        <f t="shared" si="1"/>
        <v>8.0621333544026594</v>
      </c>
      <c r="R14" s="233">
        <v>11.1</v>
      </c>
      <c r="T14">
        <f t="shared" si="3"/>
        <v>4</v>
      </c>
      <c r="U14">
        <f t="shared" si="4"/>
        <v>2</v>
      </c>
      <c r="V14">
        <f t="shared" si="5"/>
        <v>47</v>
      </c>
      <c r="W14">
        <v>13</v>
      </c>
      <c r="X14">
        <f t="shared" si="6"/>
        <v>47</v>
      </c>
      <c r="Y14">
        <f t="shared" si="7"/>
        <v>4</v>
      </c>
      <c r="Z14">
        <v>1</v>
      </c>
    </row>
    <row r="15" spans="2:28" ht="15.45" x14ac:dyDescent="0.4">
      <c r="B15" s="321" t="str" cm="1">
        <f t="array" ref="B15">INDEX(FLT_Cons,T15,U15)</f>
        <v>INTANK 68</v>
      </c>
      <c r="C15" s="229" t="str" cm="1">
        <f t="array" ref="C15">INDEX(FLT_Setup,T15,3)</f>
        <v>Crude Oil</v>
      </c>
      <c r="D15" s="322" t="str">
        <f t="shared" si="2"/>
        <v>VOC</v>
      </c>
      <c r="E15" s="323" cm="1">
        <f t="array" ref="E15">(INDEX(Flt_Calc,$Y15,E$93))</f>
        <v>5.8674503530332869</v>
      </c>
      <c r="F15" s="229" cm="1">
        <f t="array" ref="F15">(INDEX(Flt_Calc,$Y15,F$93))</f>
        <v>5.9931970589085486</v>
      </c>
      <c r="G15" s="229" cm="1">
        <f t="array" ref="G15">(INDEX(Flt_Calc,$Y15,G$93))</f>
        <v>6.1882687819184277</v>
      </c>
      <c r="H15" s="229" cm="1">
        <f t="array" ref="H15">(INDEX(Flt_Calc,$Y15,H$93))</f>
        <v>6.527132985382738</v>
      </c>
      <c r="I15" s="229" cm="1">
        <f t="array" ref="I15">(INDEX(Flt_Calc,$Y15,I$93))</f>
        <v>7.1034571512682039</v>
      </c>
      <c r="J15" s="229" cm="1">
        <f t="array" ref="J15">(INDEX(Flt_Calc,$Y15,J$93))</f>
        <v>7.584032805598131</v>
      </c>
      <c r="K15" s="229" cm="1">
        <f t="array" ref="K15">(INDEX(Flt_Calc,$Y15,K$93))</f>
        <v>8.0479410600001788</v>
      </c>
      <c r="L15" s="229" cm="1">
        <f t="array" ref="L15">(INDEX(Flt_Calc,$Y15,L$93))</f>
        <v>8.0609630628953592</v>
      </c>
      <c r="M15" s="229" cm="1">
        <f t="array" ref="M15">(INDEX(Flt_Calc,$Y15,M$93))</f>
        <v>7.7034671055494872</v>
      </c>
      <c r="N15" s="229" cm="1">
        <f t="array" ref="N15">(INDEX(Flt_Calc,$Y15,N$93))</f>
        <v>6.8907310961477055</v>
      </c>
      <c r="O15" s="229" cm="1">
        <f t="array" ref="O15">(INDEX(Flt_Calc,$Y15,O$93))</f>
        <v>6.2108964996803664</v>
      </c>
      <c r="P15" s="324" cm="1">
        <f t="array" ref="P15">(INDEX(Flt_Calc,$Y15,P$93))</f>
        <v>5.829980285354563</v>
      </c>
      <c r="Q15" s="325">
        <f t="shared" si="1"/>
        <v>8.0609630628953592</v>
      </c>
      <c r="R15" s="233">
        <v>11.1</v>
      </c>
      <c r="T15">
        <f t="shared" si="3"/>
        <v>5</v>
      </c>
      <c r="U15">
        <f t="shared" si="4"/>
        <v>2</v>
      </c>
      <c r="V15">
        <f t="shared" si="5"/>
        <v>59</v>
      </c>
      <c r="W15">
        <v>13</v>
      </c>
      <c r="X15">
        <f t="shared" si="6"/>
        <v>59</v>
      </c>
      <c r="Y15">
        <f t="shared" si="7"/>
        <v>5</v>
      </c>
      <c r="Z15">
        <v>1</v>
      </c>
    </row>
    <row r="16" spans="2:28" ht="15.45" x14ac:dyDescent="0.4">
      <c r="B16" s="321" t="str" cm="1">
        <f t="array" ref="B16">INDEX(FLT_Cons,T16,U16)</f>
        <v>INTANK 71</v>
      </c>
      <c r="C16" s="229" t="str" cm="1">
        <f t="array" ref="C16">INDEX(FLT_Setup,T16,3)</f>
        <v>Av-Gas</v>
      </c>
      <c r="D16" s="322" t="str">
        <f t="shared" si="2"/>
        <v>VOC</v>
      </c>
      <c r="E16" s="323" cm="1">
        <f t="array" ref="E16">(INDEX(Flt_Calc,$Y16,E$93))</f>
        <v>2.1118006558579938</v>
      </c>
      <c r="F16" s="229" cm="1">
        <f t="array" ref="F16">(INDEX(Flt_Calc,$Y16,F$93))</f>
        <v>2.1702780169073743</v>
      </c>
      <c r="G16" s="229" cm="1">
        <f t="array" ref="G16">(INDEX(Flt_Calc,$Y16,G$93))</f>
        <v>2.2621202106565343</v>
      </c>
      <c r="H16" s="229" cm="1">
        <f t="array" ref="H16">(INDEX(Flt_Calc,$Y16,H$93))</f>
        <v>2.4240539285028491</v>
      </c>
      <c r="I16" s="229" cm="1">
        <f t="array" ref="I16">(INDEX(Flt_Calc,$Y16,I$93))</f>
        <v>2.7065963674688565</v>
      </c>
      <c r="J16" s="229" cm="1">
        <f t="array" ref="J16">(INDEX(Flt_Calc,$Y16,J$93))</f>
        <v>2.9482272795776381</v>
      </c>
      <c r="K16" s="229" cm="1">
        <f t="array" ref="K16">(INDEX(Flt_Calc,$Y16,K$93))</f>
        <v>3.1859882474231145</v>
      </c>
      <c r="L16" s="229" cm="1">
        <f t="array" ref="L16">(INDEX(Flt_Calc,$Y16,L$93))</f>
        <v>3.1937895753060208</v>
      </c>
      <c r="M16" s="229" cm="1">
        <f t="array" ref="M16">(INDEX(Flt_Calc,$Y16,M$93))</f>
        <v>3.011127514483122</v>
      </c>
      <c r="N16" s="229" cm="1">
        <f t="array" ref="N16">(INDEX(Flt_Calc,$Y16,N$93))</f>
        <v>2.6043777623569655</v>
      </c>
      <c r="O16" s="229" cm="1">
        <f t="array" ref="O16">(INDEX(Flt_Calc,$Y16,O$93))</f>
        <v>2.2747411697543671</v>
      </c>
      <c r="P16" s="324" cm="1">
        <f t="array" ref="P16">(INDEX(Flt_Calc,$Y16,P$93))</f>
        <v>2.0943201467179966</v>
      </c>
      <c r="Q16" s="325">
        <f t="shared" si="1"/>
        <v>3.1937895753060208</v>
      </c>
      <c r="R16" s="233">
        <v>11.1</v>
      </c>
      <c r="T16">
        <f t="shared" si="3"/>
        <v>6</v>
      </c>
      <c r="U16">
        <f t="shared" si="4"/>
        <v>2</v>
      </c>
      <c r="V16">
        <f t="shared" si="5"/>
        <v>71</v>
      </c>
      <c r="W16">
        <v>13</v>
      </c>
      <c r="X16">
        <f t="shared" si="6"/>
        <v>71</v>
      </c>
      <c r="Y16">
        <f t="shared" si="7"/>
        <v>6</v>
      </c>
      <c r="Z16">
        <v>1</v>
      </c>
    </row>
    <row r="17" spans="2:26" ht="15.45" x14ac:dyDescent="0.4">
      <c r="B17" s="321" t="str" cm="1">
        <f t="array" ref="B17">INDEX(FLT_Cons,T17,U17)</f>
        <v>INTANK 95</v>
      </c>
      <c r="C17" s="229" t="str" cm="1">
        <f t="array" ref="C17">INDEX(FLT_Setup,T17,3)</f>
        <v>Distillates</v>
      </c>
      <c r="D17" s="322" t="str">
        <f t="shared" si="2"/>
        <v>VOC</v>
      </c>
      <c r="E17" s="323" cm="1">
        <f t="array" ref="E17">(INDEX(Flt_Calc,$Y17,E$93))</f>
        <v>4.9908726931861365E-3</v>
      </c>
      <c r="F17" s="229" cm="1">
        <f t="array" ref="F17">(INDEX(Flt_Calc,$Y17,F$93))</f>
        <v>5.3333695079556664E-3</v>
      </c>
      <c r="G17" s="229" cm="1">
        <f t="array" ref="G17">(INDEX(Flt_Calc,$Y17,G$93))</f>
        <v>5.8327735820621158E-3</v>
      </c>
      <c r="H17" s="229" cm="1">
        <f t="array" ref="H17">(INDEX(Flt_Calc,$Y17,H$93))</f>
        <v>6.7109156408769006E-3</v>
      </c>
      <c r="I17" s="229" cm="1">
        <f t="array" ref="I17">(INDEX(Flt_Calc,$Y17,I$93))</f>
        <v>8.1420968892496615E-3</v>
      </c>
      <c r="J17" s="229" cm="1">
        <f t="array" ref="J17">(INDEX(Flt_Calc,$Y17,J$93))</f>
        <v>9.3425153717444642E-3</v>
      </c>
      <c r="K17" s="229" cm="1">
        <f t="array" ref="K17">(INDEX(Flt_Calc,$Y17,K$93))</f>
        <v>1.0580932511488851E-2</v>
      </c>
      <c r="L17" s="229" cm="1">
        <f t="array" ref="L17">(INDEX(Flt_Calc,$Y17,L$93))</f>
        <v>1.0420253968363562E-2</v>
      </c>
      <c r="M17" s="229" cm="1">
        <f t="array" ref="M17">(INDEX(Flt_Calc,$Y17,M$93))</f>
        <v>9.2824891439311965E-3</v>
      </c>
      <c r="N17" s="229" cm="1">
        <f t="array" ref="N17">(INDEX(Flt_Calc,$Y17,N$93))</f>
        <v>7.132118972177537E-3</v>
      </c>
      <c r="O17" s="229" cm="1">
        <f t="array" ref="O17">(INDEX(Flt_Calc,$Y17,O$93))</f>
        <v>5.6188259724821105E-3</v>
      </c>
      <c r="P17" s="324" cm="1">
        <f t="array" ref="P17">(INDEX(Flt_Calc,$Y17,P$93))</f>
        <v>4.9083016820941801E-3</v>
      </c>
      <c r="Q17" s="325">
        <f t="shared" si="1"/>
        <v>1.0580932511488851E-2</v>
      </c>
      <c r="R17" s="233">
        <v>11.1</v>
      </c>
      <c r="T17">
        <f t="shared" si="3"/>
        <v>7</v>
      </c>
      <c r="U17">
        <f t="shared" si="4"/>
        <v>2</v>
      </c>
      <c r="V17">
        <f t="shared" si="5"/>
        <v>83</v>
      </c>
      <c r="W17">
        <v>13</v>
      </c>
      <c r="X17">
        <f t="shared" si="6"/>
        <v>83</v>
      </c>
      <c r="Y17">
        <f t="shared" si="7"/>
        <v>7</v>
      </c>
      <c r="Z17">
        <v>1</v>
      </c>
    </row>
    <row r="18" spans="2:26" ht="15.45" x14ac:dyDescent="0.4">
      <c r="B18" s="321" t="str" cm="1">
        <f t="array" ref="B18">INDEX(FLT_Cons,T18,U18)</f>
        <v>INTANK 104</v>
      </c>
      <c r="C18" s="229" t="str" cm="1">
        <f t="array" ref="C18">INDEX(FLT_Setup,T18,3)</f>
        <v>Crude Oil</v>
      </c>
      <c r="D18" s="322" t="str">
        <f t="shared" si="2"/>
        <v>VOC</v>
      </c>
      <c r="E18" s="323" cm="1">
        <f t="array" ref="E18">(INDEX(Flt_Calc,$Y18,E$93))</f>
        <v>5.8675434491361358</v>
      </c>
      <c r="F18" s="229" cm="1">
        <f t="array" ref="F18">(INDEX(Flt_Calc,$Y18,F$93))</f>
        <v>5.9933625997960638</v>
      </c>
      <c r="G18" s="229" cm="1">
        <f t="array" ref="G18">(INDEX(Flt_Calc,$Y18,G$93))</f>
        <v>6.1885168055052642</v>
      </c>
      <c r="H18" s="229" cm="1">
        <f t="array" ref="H18">(INDEX(Flt_Calc,$Y18,H$93))</f>
        <v>6.5275019171950621</v>
      </c>
      <c r="I18" s="229" cm="1">
        <f t="array" ref="I18">(INDEX(Flt_Calc,$Y18,I$93))</f>
        <v>7.1039405146622547</v>
      </c>
      <c r="J18" s="229" cm="1">
        <f t="array" ref="J18">(INDEX(Flt_Calc,$Y18,J$93))</f>
        <v>7.584570817117438</v>
      </c>
      <c r="K18" s="229" cm="1">
        <f t="array" ref="K18">(INDEX(Flt_Calc,$Y18,K$93))</f>
        <v>8.0485321080380352</v>
      </c>
      <c r="L18" s="229" cm="1">
        <f t="array" ref="L18">(INDEX(Flt_Calc,$Y18,L$93))</f>
        <v>8.061480001401172</v>
      </c>
      <c r="M18" s="229" cm="1">
        <f t="array" ref="M18">(INDEX(Flt_Calc,$Y18,M$93))</f>
        <v>7.7038673532374045</v>
      </c>
      <c r="N18" s="229" cm="1">
        <f t="array" ref="N18">(INDEX(Flt_Calc,$Y18,N$93))</f>
        <v>6.890954752663947</v>
      </c>
      <c r="O18" s="229" cm="1">
        <f t="array" ref="O18">(INDEX(Flt_Calc,$Y18,O$93))</f>
        <v>6.2110073888694624</v>
      </c>
      <c r="P18" s="324" cm="1">
        <f t="array" ref="P18">(INDEX(Flt_Calc,$Y18,P$93))</f>
        <v>5.8300618484076248</v>
      </c>
      <c r="Q18" s="325">
        <f t="shared" si="1"/>
        <v>8.061480001401172</v>
      </c>
      <c r="R18" s="233">
        <v>11.1</v>
      </c>
      <c r="T18">
        <f t="shared" si="3"/>
        <v>8</v>
      </c>
      <c r="U18">
        <f t="shared" si="4"/>
        <v>2</v>
      </c>
      <c r="V18">
        <f t="shared" si="5"/>
        <v>95</v>
      </c>
      <c r="W18">
        <v>13</v>
      </c>
      <c r="X18">
        <f t="shared" si="6"/>
        <v>95</v>
      </c>
      <c r="Y18">
        <f t="shared" si="7"/>
        <v>8</v>
      </c>
      <c r="Z18">
        <v>1</v>
      </c>
    </row>
    <row r="19" spans="2:26" ht="15.45" x14ac:dyDescent="0.4">
      <c r="B19" s="321" t="str" cm="1">
        <f t="array" ref="B19">INDEX(FLT_Cons,T19,U19)</f>
        <v>INTANK 114</v>
      </c>
      <c r="C19" s="229" t="str" cm="1">
        <f t="array" ref="C19">INDEX(FLT_Setup,T19,3)</f>
        <v>Distillates</v>
      </c>
      <c r="D19" s="322" t="str">
        <f t="shared" si="2"/>
        <v>VOC</v>
      </c>
      <c r="E19" s="323" cm="1">
        <f t="array" ref="E19">(INDEX(Flt_Calc,$Y19,E$93))</f>
        <v>4.8244787100066907E-3</v>
      </c>
      <c r="F19" s="229" cm="1">
        <f t="array" ref="F19">(INDEX(Flt_Calc,$Y19,F$93))</f>
        <v>5.0280342063650568E-3</v>
      </c>
      <c r="G19" s="229" cm="1">
        <f t="array" ref="G19">(INDEX(Flt_Calc,$Y19,G$93))</f>
        <v>5.3551816996230449E-3</v>
      </c>
      <c r="H19" s="229" cm="1">
        <f t="array" ref="H19">(INDEX(Flt_Calc,$Y19,H$93))</f>
        <v>5.9505171322245887E-3</v>
      </c>
      <c r="I19" s="229" cm="1">
        <f t="array" ref="I19">(INDEX(Flt_Calc,$Y19,I$93))</f>
        <v>7.0460344073129157E-3</v>
      </c>
      <c r="J19" s="229" cm="1">
        <f t="array" ref="J19">(INDEX(Flt_Calc,$Y19,J$93))</f>
        <v>8.035753528204518E-3</v>
      </c>
      <c r="K19" s="229" cm="1">
        <f t="array" ref="K19">(INDEX(Flt_Calc,$Y19,K$93))</f>
        <v>9.0532054532778839E-3</v>
      </c>
      <c r="L19" s="229" cm="1">
        <f t="array" ref="L19">(INDEX(Flt_Calc,$Y19,L$93))</f>
        <v>9.0924853521168591E-3</v>
      </c>
      <c r="M19" s="229" cm="1">
        <f t="array" ref="M19">(INDEX(Flt_Calc,$Y19,M$93))</f>
        <v>8.3107026094258567E-3</v>
      </c>
      <c r="N19" s="229" cm="1">
        <f t="array" ref="N19">(INDEX(Flt_Calc,$Y19,N$93))</f>
        <v>6.6550257384644955E-3</v>
      </c>
      <c r="O19" s="229" cm="1">
        <f t="array" ref="O19">(INDEX(Flt_Calc,$Y19,O$93))</f>
        <v>5.4085226797941904E-3</v>
      </c>
      <c r="P19" s="324" cm="1">
        <f t="array" ref="P19">(INDEX(Flt_Calc,$Y19,P$93))</f>
        <v>4.7636944915997893E-3</v>
      </c>
      <c r="Q19" s="325">
        <f t="shared" si="1"/>
        <v>9.0924853521168591E-3</v>
      </c>
      <c r="R19" s="233">
        <v>11.1</v>
      </c>
      <c r="T19">
        <f t="shared" si="3"/>
        <v>9</v>
      </c>
      <c r="U19">
        <f t="shared" si="4"/>
        <v>2</v>
      </c>
      <c r="V19">
        <f t="shared" si="5"/>
        <v>107</v>
      </c>
      <c r="W19">
        <v>13</v>
      </c>
      <c r="X19">
        <f t="shared" si="6"/>
        <v>107</v>
      </c>
      <c r="Y19">
        <f t="shared" si="7"/>
        <v>9</v>
      </c>
      <c r="Z19">
        <v>1</v>
      </c>
    </row>
    <row r="20" spans="2:26" ht="15.9" thickBot="1" x14ac:dyDescent="0.45">
      <c r="B20" s="326" t="str" cm="1">
        <f t="array" ref="B20">INDEX(FLT_Cons,T20,U20)</f>
        <v>INTANK 130</v>
      </c>
      <c r="C20" s="327" t="str" cm="1">
        <f t="array" ref="C20">INDEX(FLT_Setup,T20,3)</f>
        <v>Crude Oil</v>
      </c>
      <c r="D20" s="328" t="str">
        <f t="shared" si="2"/>
        <v>VOC</v>
      </c>
      <c r="E20" s="329" cm="1">
        <f t="array" ref="E20">(INDEX(Flt_Calc,$Y20,E$93))</f>
        <v>5.867312395282811</v>
      </c>
      <c r="F20" s="327" cm="1">
        <f t="array" ref="F20">(INDEX(Flt_Calc,$Y20,F$93))</f>
        <v>5.9929517490542885</v>
      </c>
      <c r="G20" s="327" cm="1">
        <f t="array" ref="G20">(INDEX(Flt_Calc,$Y20,G$93))</f>
        <v>6.1879012479094264</v>
      </c>
      <c r="H20" s="327" cm="1">
        <f t="array" ref="H20">(INDEX(Flt_Calc,$Y20,H$93))</f>
        <v>6.5265862919465194</v>
      </c>
      <c r="I20" s="327" cm="1">
        <f t="array" ref="I20">(INDEX(Flt_Calc,$Y20,I$93))</f>
        <v>7.1027408976770037</v>
      </c>
      <c r="J20" s="327" cm="1">
        <f t="array" ref="J20">(INDEX(Flt_Calc,$Y20,J$93))</f>
        <v>7.5832355758420755</v>
      </c>
      <c r="K20" s="327" cm="1">
        <f t="array" ref="K20">(INDEX(Flt_Calc,$Y20,K$93))</f>
        <v>8.047065242259821</v>
      </c>
      <c r="L20" s="327" cm="1">
        <f t="array" ref="L20">(INDEX(Flt_Calc,$Y20,L$93))</f>
        <v>8.060197054236605</v>
      </c>
      <c r="M20" s="327" cm="1">
        <f t="array" ref="M20">(INDEX(Flt_Calc,$Y20,M$93))</f>
        <v>7.702874004617926</v>
      </c>
      <c r="N20" s="327" cm="1">
        <f t="array" ref="N20">(INDEX(Flt_Calc,$Y20,N$93))</f>
        <v>6.8903996680511943</v>
      </c>
      <c r="O20" s="327" cm="1">
        <f t="array" ref="O20">(INDEX(Flt_Calc,$Y20,O$93))</f>
        <v>6.2107321749239732</v>
      </c>
      <c r="P20" s="330" cm="1">
        <f t="array" ref="P20">(INDEX(Flt_Calc,$Y20,P$93))</f>
        <v>5.8298594180444212</v>
      </c>
      <c r="Q20" s="331">
        <f t="shared" si="1"/>
        <v>8.060197054236605</v>
      </c>
      <c r="R20" s="332">
        <v>11.1</v>
      </c>
      <c r="T20">
        <f t="shared" si="3"/>
        <v>10</v>
      </c>
      <c r="U20">
        <f t="shared" si="4"/>
        <v>2</v>
      </c>
      <c r="V20">
        <f t="shared" si="5"/>
        <v>119</v>
      </c>
      <c r="W20">
        <v>13</v>
      </c>
      <c r="X20">
        <f t="shared" si="6"/>
        <v>119</v>
      </c>
      <c r="Y20">
        <f t="shared" si="7"/>
        <v>10</v>
      </c>
      <c r="Z20">
        <v>1</v>
      </c>
    </row>
    <row r="21" spans="2:26" ht="15.45" hidden="1" thickBot="1" x14ac:dyDescent="0.45">
      <c r="B21" s="455" t="s">
        <v>1889</v>
      </c>
      <c r="C21" s="456"/>
      <c r="D21" s="235"/>
      <c r="E21" s="236">
        <f t="shared" ref="E21:R21" si="8">SUM(E14:E20,E11:E13)</f>
        <v>37.386616682764213</v>
      </c>
      <c r="F21" s="234">
        <f t="shared" si="8"/>
        <v>38.272823333767306</v>
      </c>
      <c r="G21" s="234">
        <f t="shared" si="8"/>
        <v>39.600411790979592</v>
      </c>
      <c r="H21" s="234">
        <f t="shared" si="8"/>
        <v>41.892066417616917</v>
      </c>
      <c r="I21" s="234">
        <f t="shared" si="8"/>
        <v>45.725914083117601</v>
      </c>
      <c r="J21" s="234">
        <f t="shared" si="8"/>
        <v>48.897075853868813</v>
      </c>
      <c r="K21" s="234">
        <f t="shared" si="8"/>
        <v>51.963238069206028</v>
      </c>
      <c r="L21" s="234">
        <f t="shared" si="8"/>
        <v>51.99071594939641</v>
      </c>
      <c r="M21" s="234">
        <f t="shared" si="8"/>
        <v>49.568831292563878</v>
      </c>
      <c r="N21" s="234">
        <f t="shared" si="8"/>
        <v>44.14235596211482</v>
      </c>
      <c r="O21" s="234">
        <f t="shared" si="8"/>
        <v>39.64216561341609</v>
      </c>
      <c r="P21" s="237">
        <f t="shared" si="8"/>
        <v>37.151550745459822</v>
      </c>
      <c r="Q21" s="236">
        <f t="shared" si="8"/>
        <v>52.023034606327158</v>
      </c>
      <c r="R21" s="238">
        <f t="shared" si="8"/>
        <v>110.99999999999997</v>
      </c>
      <c r="T21" t="s">
        <v>1975</v>
      </c>
      <c r="V21" t="s">
        <v>1976</v>
      </c>
    </row>
    <row r="22" spans="2:26" ht="15.45" thickBot="1" x14ac:dyDescent="0.45">
      <c r="B22" s="457" t="s">
        <v>1893</v>
      </c>
      <c r="C22" s="458"/>
      <c r="D22" s="458"/>
      <c r="E22" s="458"/>
      <c r="F22" s="458"/>
      <c r="G22" s="458"/>
      <c r="H22" s="458"/>
      <c r="I22" s="458"/>
      <c r="J22" s="458"/>
      <c r="K22" s="458"/>
      <c r="L22" s="458"/>
      <c r="M22" s="458"/>
      <c r="N22" s="458"/>
      <c r="O22" s="458"/>
      <c r="P22" s="458"/>
      <c r="Q22" s="458"/>
      <c r="R22" s="459"/>
      <c r="U22" t="s">
        <v>237</v>
      </c>
    </row>
    <row r="23" spans="2:26" ht="15.45" x14ac:dyDescent="0.4">
      <c r="B23" s="266" t="str" cm="1">
        <f t="array" ref="B23">INDEX(FX_Input,T23,U23)</f>
        <v>FIXTANK 66</v>
      </c>
      <c r="C23" s="336" t="str" cm="1">
        <f t="array" ref="C23">INDEX(FX_Setup,V23,3)</f>
        <v>Distillates</v>
      </c>
      <c r="D23" s="316" t="str">
        <f>D20</f>
        <v>VOC</v>
      </c>
      <c r="E23" s="241" cm="1">
        <f t="array" ref="E23">INDEX(FX_Calcs,$V23,E$95)</f>
        <v>4.883250638471285E-3</v>
      </c>
      <c r="F23" s="242" cm="1">
        <f t="array" ref="F23">INDEX(FX_Calcs,$V23,F$95)</f>
        <v>5.1351067062407989E-3</v>
      </c>
      <c r="G23" s="242" cm="1">
        <f t="array" ref="G23">INDEX(FX_Calcs,$V23,G$95)</f>
        <v>5.5213829543467952E-3</v>
      </c>
      <c r="H23" s="242" cm="1">
        <f t="array" ref="H23">INDEX(FX_Calcs,$V23,H$95)</f>
        <v>6.2124720487193742E-3</v>
      </c>
      <c r="I23" s="242" cm="1">
        <f t="array" ref="I23">INDEX(FX_Calcs,$V23,I$95)</f>
        <v>7.4209663387537275E-3</v>
      </c>
      <c r="J23" s="242" cm="1">
        <f t="array" ref="J23">INDEX(FX_Calcs,$V23,J$95)</f>
        <v>8.4819819298252285E-3</v>
      </c>
      <c r="K23" s="243" cm="1">
        <f t="array" ref="K23">INDEX(FX_Calcs,$V23,K$95)</f>
        <v>9.5741064128135375E-3</v>
      </c>
      <c r="L23" s="243" cm="1">
        <f t="array" ref="L23">INDEX(FX_Calcs,$V23,L$95)</f>
        <v>9.5478148180509845E-3</v>
      </c>
      <c r="M23" s="243" cm="1">
        <f t="array" ref="M23">INDEX(FX_Calcs,$V23,M$95)</f>
        <v>8.6464528192362108E-3</v>
      </c>
      <c r="N23" s="242" cm="1">
        <f t="array" ref="N23">INDEX(FX_Calcs,$V23,N$95)</f>
        <v>6.8218393379121701E-3</v>
      </c>
      <c r="O23" s="242" cm="1">
        <f t="array" ref="O23">INDEX(FX_Calcs,$V23,O$95)</f>
        <v>5.4827140055800742E-3</v>
      </c>
      <c r="P23" s="244" cm="1">
        <f t="array" ref="P23">INDEX(FX_Calcs,$V23,P$95)</f>
        <v>4.8148298503950734E-3</v>
      </c>
      <c r="Q23" s="338">
        <f>MAX(E23:P23)</f>
        <v>9.5741064128135375E-3</v>
      </c>
      <c r="R23" s="339">
        <v>1.5</v>
      </c>
      <c r="T23">
        <v>1</v>
      </c>
      <c r="U23">
        <v>2</v>
      </c>
      <c r="V23">
        <v>1</v>
      </c>
    </row>
    <row r="24" spans="2:26" ht="15.45" x14ac:dyDescent="0.4">
      <c r="B24" s="247" t="str" cm="1">
        <f t="array" ref="B24">INDEX(FX_Input,T24,U24)</f>
        <v>FIXTANK 67</v>
      </c>
      <c r="C24" s="221" t="str" cm="1">
        <f t="array" ref="C24">INDEX(FX_Setup,V24,3)</f>
        <v>Distillates</v>
      </c>
      <c r="D24" s="223" t="str">
        <f>D23</f>
        <v>VOC</v>
      </c>
      <c r="E24" s="248" cm="1">
        <f t="array" ref="E24">INDEX(FX_Calcs,$V24,E$95)</f>
        <v>4.883250638471285E-3</v>
      </c>
      <c r="F24" s="249" cm="1">
        <f t="array" ref="F24">INDEX(FX_Calcs,$V24,F$95)</f>
        <v>5.1351067062407989E-3</v>
      </c>
      <c r="G24" s="249" cm="1">
        <f t="array" ref="G24">INDEX(FX_Calcs,$V24,G$95)</f>
        <v>5.5213829543467952E-3</v>
      </c>
      <c r="H24" s="249" cm="1">
        <f t="array" ref="H24">INDEX(FX_Calcs,$V24,H$95)</f>
        <v>6.2124720487193742E-3</v>
      </c>
      <c r="I24" s="249" cm="1">
        <f t="array" ref="I24">INDEX(FX_Calcs,$V24,I$95)</f>
        <v>7.4209663387537275E-3</v>
      </c>
      <c r="J24" s="249" cm="1">
        <f t="array" ref="J24">INDEX(FX_Calcs,$V24,J$95)</f>
        <v>8.4819819298252285E-3</v>
      </c>
      <c r="K24" s="250" cm="1">
        <f t="array" ref="K24">INDEX(FX_Calcs,$V24,K$95)</f>
        <v>9.5741064128135375E-3</v>
      </c>
      <c r="L24" s="250" cm="1">
        <f t="array" ref="L24">INDEX(FX_Calcs,$V24,L$95)</f>
        <v>9.5478148180509845E-3</v>
      </c>
      <c r="M24" s="250" cm="1">
        <f t="array" ref="M24">INDEX(FX_Calcs,$V24,M$95)</f>
        <v>8.6464528192362108E-3</v>
      </c>
      <c r="N24" s="249" cm="1">
        <f t="array" ref="N24">INDEX(FX_Calcs,$V24,N$95)</f>
        <v>6.8218393379121701E-3</v>
      </c>
      <c r="O24" s="249" cm="1">
        <f t="array" ref="O24">INDEX(FX_Calcs,$V24,O$95)</f>
        <v>5.4827140055800742E-3</v>
      </c>
      <c r="P24" s="251" cm="1">
        <f t="array" ref="P24">INDEX(FX_Calcs,$V24,P$95)</f>
        <v>4.8148298503950734E-3</v>
      </c>
      <c r="Q24" s="252">
        <f t="shared" ref="Q24:Q78" si="9">MAX(E24:P24)</f>
        <v>9.5741064128135375E-3</v>
      </c>
      <c r="R24" s="253">
        <v>1.5</v>
      </c>
      <c r="T24">
        <f>T23+2</f>
        <v>3</v>
      </c>
      <c r="U24">
        <v>2</v>
      </c>
      <c r="V24">
        <f>V23+1</f>
        <v>2</v>
      </c>
    </row>
    <row r="25" spans="2:26" ht="15.45" x14ac:dyDescent="0.4">
      <c r="B25" s="247" t="str" cm="1">
        <f t="array" ref="B25">INDEX(FX_Input,T25,U25)</f>
        <v>FIXTANK 69</v>
      </c>
      <c r="C25" s="221" t="str" cm="1">
        <f t="array" ref="C25">INDEX(FX_Setup,V25,3)</f>
        <v>Distillates</v>
      </c>
      <c r="D25" s="223" t="str">
        <f t="shared" ref="D25:D89" si="10">D24</f>
        <v>VOC</v>
      </c>
      <c r="E25" s="248" cm="1">
        <f t="array" ref="E25">INDEX(FX_Calcs,$V25,E$95)</f>
        <v>4.883250638471285E-3</v>
      </c>
      <c r="F25" s="249" cm="1">
        <f t="array" ref="F25">INDEX(FX_Calcs,$V25,F$95)</f>
        <v>5.1351067062407989E-3</v>
      </c>
      <c r="G25" s="249" cm="1">
        <f t="array" ref="G25">INDEX(FX_Calcs,$V25,G$95)</f>
        <v>5.5213829543467952E-3</v>
      </c>
      <c r="H25" s="249" cm="1">
        <f t="array" ref="H25">INDEX(FX_Calcs,$V25,H$95)</f>
        <v>6.2124720487193742E-3</v>
      </c>
      <c r="I25" s="250" cm="1">
        <f t="array" ref="I25">INDEX(FX_Calcs,$V25,I$95)</f>
        <v>7.4209663387537275E-3</v>
      </c>
      <c r="J25" s="250" cm="1">
        <f t="array" ref="J25">INDEX(FX_Calcs,$V25,J$95)</f>
        <v>8.4819819298252285E-3</v>
      </c>
      <c r="K25" s="250" cm="1">
        <f t="array" ref="K25">INDEX(FX_Calcs,$V25,K$95)</f>
        <v>9.5741064128135375E-3</v>
      </c>
      <c r="L25" s="250" cm="1">
        <f t="array" ref="L25">INDEX(FX_Calcs,$V25,L$95)</f>
        <v>9.5478148180509845E-3</v>
      </c>
      <c r="M25" s="250" cm="1">
        <f t="array" ref="M25">INDEX(FX_Calcs,$V25,M$95)</f>
        <v>8.6464528192362108E-3</v>
      </c>
      <c r="N25" s="250" cm="1">
        <f t="array" ref="N25">INDEX(FX_Calcs,$V25,N$95)</f>
        <v>6.8218393379121701E-3</v>
      </c>
      <c r="O25" s="249" cm="1">
        <f t="array" ref="O25">INDEX(FX_Calcs,$V25,O$95)</f>
        <v>5.4827140055800742E-3</v>
      </c>
      <c r="P25" s="251" cm="1">
        <f t="array" ref="P25">INDEX(FX_Calcs,$V25,P$95)</f>
        <v>4.8148298503950734E-3</v>
      </c>
      <c r="Q25" s="252">
        <f t="shared" si="9"/>
        <v>9.5741064128135375E-3</v>
      </c>
      <c r="R25" s="253">
        <v>1.5</v>
      </c>
      <c r="T25">
        <f t="shared" ref="T25:T89" si="11">T24+2</f>
        <v>5</v>
      </c>
      <c r="U25">
        <v>2</v>
      </c>
      <c r="V25">
        <f t="shared" ref="V25:V89" si="12">V24+1</f>
        <v>3</v>
      </c>
    </row>
    <row r="26" spans="2:26" ht="15.45" x14ac:dyDescent="0.4">
      <c r="B26" s="247" t="str" cm="1">
        <f t="array" ref="B26">INDEX(FX_Input,T26,U26)</f>
        <v>FIXTANK 70</v>
      </c>
      <c r="C26" s="221" t="str" cm="1">
        <f t="array" ref="C26">INDEX(FX_Setup,V26,3)</f>
        <v>Distillates</v>
      </c>
      <c r="D26" s="223" t="str">
        <f t="shared" si="10"/>
        <v>VOC</v>
      </c>
      <c r="E26" s="248" cm="1">
        <f t="array" ref="E26">INDEX(FX_Calcs,$V26,E$95)</f>
        <v>4.739577185808354E-3</v>
      </c>
      <c r="F26" s="249" cm="1">
        <f t="array" ref="F26">INDEX(FX_Calcs,$V26,F$95)</f>
        <v>4.8748667780818778E-3</v>
      </c>
      <c r="G26" s="249" cm="1">
        <f t="array" ref="G26">INDEX(FX_Calcs,$V26,G$95)</f>
        <v>5.119885034186122E-3</v>
      </c>
      <c r="H26" s="249" cm="1">
        <f t="array" ref="H26">INDEX(FX_Calcs,$V26,H$95)</f>
        <v>5.5846958573521795E-3</v>
      </c>
      <c r="I26" s="250" cm="1">
        <f t="array" ref="I26">INDEX(FX_Calcs,$V26,I$95)</f>
        <v>6.5274070972739821E-3</v>
      </c>
      <c r="J26" s="250" cm="1">
        <f t="array" ref="J26">INDEX(FX_Calcs,$V26,J$95)</f>
        <v>7.4199539958878279E-3</v>
      </c>
      <c r="K26" s="250" cm="1">
        <f t="array" ref="K26">INDEX(FX_Calcs,$V26,K$95)</f>
        <v>8.3358107202842254E-3</v>
      </c>
      <c r="L26" s="250" cm="1">
        <f t="array" ref="L26">INDEX(FX_Calcs,$V26,L$95)</f>
        <v>8.4605262729351115E-3</v>
      </c>
      <c r="M26" s="250" cm="1">
        <f t="array" ref="M26">INDEX(FX_Calcs,$V26,M$95)</f>
        <v>7.8399882233967533E-3</v>
      </c>
      <c r="N26" s="250" cm="1">
        <f t="array" ref="N26">INDEX(FX_Calcs,$V26,N$95)</f>
        <v>6.4173462075160911E-3</v>
      </c>
      <c r="O26" s="249" cm="1">
        <f t="array" ref="O26">INDEX(FX_Calcs,$V26,O$95)</f>
        <v>5.3015226887581056E-3</v>
      </c>
      <c r="P26" s="251" cm="1">
        <f t="array" ref="P26">INDEX(FX_Calcs,$V26,P$95)</f>
        <v>4.68970903600947E-3</v>
      </c>
      <c r="Q26" s="252">
        <f t="shared" si="9"/>
        <v>8.4605262729351115E-3</v>
      </c>
      <c r="R26" s="253">
        <v>1.5</v>
      </c>
      <c r="T26">
        <f t="shared" si="11"/>
        <v>7</v>
      </c>
      <c r="U26">
        <v>2</v>
      </c>
      <c r="V26">
        <f t="shared" si="12"/>
        <v>4</v>
      </c>
    </row>
    <row r="27" spans="2:26" ht="15.45" x14ac:dyDescent="0.4">
      <c r="B27" s="247" t="str" cm="1">
        <f t="array" ref="B27">INDEX(FX_Input,T27,U27)</f>
        <v>FIXTANK 74</v>
      </c>
      <c r="C27" s="221" t="str" cm="1">
        <f t="array" ref="C27">INDEX(FX_Setup,V27,3)</f>
        <v>Distillates</v>
      </c>
      <c r="D27" s="223" t="str">
        <f t="shared" si="10"/>
        <v>VOC</v>
      </c>
      <c r="E27" s="248" cm="1">
        <f t="array" ref="E27">INDEX(FX_Calcs,$V27,E$95)</f>
        <v>4.739577185808354E-3</v>
      </c>
      <c r="F27" s="249" cm="1">
        <f t="array" ref="F27">INDEX(FX_Calcs,$V27,F$95)</f>
        <v>4.8748667780818778E-3</v>
      </c>
      <c r="G27" s="249" cm="1">
        <f t="array" ref="G27">INDEX(FX_Calcs,$V27,G$95)</f>
        <v>5.119885034186122E-3</v>
      </c>
      <c r="H27" s="249" cm="1">
        <f t="array" ref="H27">INDEX(FX_Calcs,$V27,H$95)</f>
        <v>5.5846958573521795E-3</v>
      </c>
      <c r="I27" s="249" cm="1">
        <f t="array" ref="I27">INDEX(FX_Calcs,$V27,I$95)</f>
        <v>6.5274070972739821E-3</v>
      </c>
      <c r="J27" s="249" cm="1">
        <f t="array" ref="J27">INDEX(FX_Calcs,$V27,J$95)</f>
        <v>7.4199539958878279E-3</v>
      </c>
      <c r="K27" s="249" cm="1">
        <f t="array" ref="K27">INDEX(FX_Calcs,$V27,K$95)</f>
        <v>8.3358107202842254E-3</v>
      </c>
      <c r="L27" s="250" cm="1">
        <f t="array" ref="L27">INDEX(FX_Calcs,$V27,L$95)</f>
        <v>8.4605262729351115E-3</v>
      </c>
      <c r="M27" s="249" cm="1">
        <f t="array" ref="M27">INDEX(FX_Calcs,$V27,M$95)</f>
        <v>7.8399882233967533E-3</v>
      </c>
      <c r="N27" s="249" cm="1">
        <f t="array" ref="N27">INDEX(FX_Calcs,$V27,N$95)</f>
        <v>6.4173462075160911E-3</v>
      </c>
      <c r="O27" s="249" cm="1">
        <f t="array" ref="O27">INDEX(FX_Calcs,$V27,O$95)</f>
        <v>5.3015226887581056E-3</v>
      </c>
      <c r="P27" s="251" cm="1">
        <f t="array" ref="P27">INDEX(FX_Calcs,$V27,P$95)</f>
        <v>4.68970903600947E-3</v>
      </c>
      <c r="Q27" s="252">
        <f t="shared" si="9"/>
        <v>8.4605262729351115E-3</v>
      </c>
      <c r="R27" s="253">
        <v>1.5</v>
      </c>
      <c r="T27">
        <f t="shared" si="11"/>
        <v>9</v>
      </c>
      <c r="U27">
        <v>2</v>
      </c>
      <c r="V27">
        <f t="shared" si="12"/>
        <v>5</v>
      </c>
    </row>
    <row r="28" spans="2:26" ht="15.45" x14ac:dyDescent="0.4">
      <c r="B28" s="247" t="str" cm="1">
        <f t="array" ref="B28">INDEX(FX_Input,T28,U28)</f>
        <v>FIXTANK 93</v>
      </c>
      <c r="C28" s="221" t="str" cm="1">
        <f t="array" ref="C28">INDEX(FX_Setup,V28,3)</f>
        <v>Distillates</v>
      </c>
      <c r="D28" s="223" t="str">
        <f t="shared" si="10"/>
        <v>VOC</v>
      </c>
      <c r="E28" s="248" cm="1">
        <f t="array" ref="E28">INDEX(FX_Calcs,$V28,E$95)</f>
        <v>4.739577185808354E-3</v>
      </c>
      <c r="F28" s="249" cm="1">
        <f t="array" ref="F28">INDEX(FX_Calcs,$V28,F$95)</f>
        <v>4.8748667780818778E-3</v>
      </c>
      <c r="G28" s="249" cm="1">
        <f t="array" ref="G28">INDEX(FX_Calcs,$V28,G$95)</f>
        <v>5.119885034186122E-3</v>
      </c>
      <c r="H28" s="249" cm="1">
        <f t="array" ref="H28">INDEX(FX_Calcs,$V28,H$95)</f>
        <v>5.5846958573521795E-3</v>
      </c>
      <c r="I28" s="249" cm="1">
        <f t="array" ref="I28">INDEX(FX_Calcs,$V28,I$95)</f>
        <v>6.5274070972739821E-3</v>
      </c>
      <c r="J28" s="249" cm="1">
        <f t="array" ref="J28">INDEX(FX_Calcs,$V28,J$95)</f>
        <v>7.4199539958878279E-3</v>
      </c>
      <c r="K28" s="249" cm="1">
        <f t="array" ref="K28">INDEX(FX_Calcs,$V28,K$95)</f>
        <v>8.3358107202842254E-3</v>
      </c>
      <c r="L28" s="250" cm="1">
        <f t="array" ref="L28">INDEX(FX_Calcs,$V28,L$95)</f>
        <v>8.4605262729351115E-3</v>
      </c>
      <c r="M28" s="249" cm="1">
        <f t="array" ref="M28">INDEX(FX_Calcs,$V28,M$95)</f>
        <v>7.8399882233967533E-3</v>
      </c>
      <c r="N28" s="249" cm="1">
        <f t="array" ref="N28">INDEX(FX_Calcs,$V28,N$95)</f>
        <v>6.4173462075160911E-3</v>
      </c>
      <c r="O28" s="249" cm="1">
        <f t="array" ref="O28">INDEX(FX_Calcs,$V28,O$95)</f>
        <v>5.3015226887581056E-3</v>
      </c>
      <c r="P28" s="251" cm="1">
        <f t="array" ref="P28">INDEX(FX_Calcs,$V28,P$95)</f>
        <v>4.68970903600947E-3</v>
      </c>
      <c r="Q28" s="252">
        <f t="shared" si="9"/>
        <v>8.4605262729351115E-3</v>
      </c>
      <c r="R28" s="253">
        <v>1.5</v>
      </c>
      <c r="T28">
        <f t="shared" si="11"/>
        <v>11</v>
      </c>
      <c r="U28">
        <v>2</v>
      </c>
      <c r="V28">
        <f t="shared" si="12"/>
        <v>6</v>
      </c>
    </row>
    <row r="29" spans="2:26" ht="15.45" x14ac:dyDescent="0.4">
      <c r="B29" s="247" t="str" cm="1">
        <f t="array" ref="B29">INDEX(FX_Input,T29,U29)</f>
        <v>FIXTANK 100</v>
      </c>
      <c r="C29" s="221" t="str" cm="1">
        <f t="array" ref="C29">INDEX(FX_Setup,V29,3)</f>
        <v>Distillates</v>
      </c>
      <c r="D29" s="223" t="str">
        <f t="shared" si="10"/>
        <v>VOC</v>
      </c>
      <c r="E29" s="248" cm="1">
        <f t="array" ref="E29">INDEX(FX_Calcs,$V29,E$95)</f>
        <v>4.883250638471285E-3</v>
      </c>
      <c r="F29" s="254" cm="1">
        <f t="array" ref="F29">INDEX(FX_Calcs,$V29,F$95)</f>
        <v>5.1351067062407989E-3</v>
      </c>
      <c r="G29" s="249" cm="1">
        <f t="array" ref="G29">INDEX(FX_Calcs,$V29,G$95)</f>
        <v>5.5213829543467952E-3</v>
      </c>
      <c r="H29" s="249" cm="1">
        <f t="array" ref="H29">INDEX(FX_Calcs,$V29,H$95)</f>
        <v>6.2124720487193742E-3</v>
      </c>
      <c r="I29" s="249" cm="1">
        <f t="array" ref="I29">INDEX(FX_Calcs,$V29,I$95)</f>
        <v>7.4209663387537275E-3</v>
      </c>
      <c r="J29" s="249" cm="1">
        <f t="array" ref="J29">INDEX(FX_Calcs,$V29,J$95)</f>
        <v>8.4819819298252285E-3</v>
      </c>
      <c r="K29" s="249" cm="1">
        <f t="array" ref="K29">INDEX(FX_Calcs,$V29,K$95)</f>
        <v>9.5741064128135375E-3</v>
      </c>
      <c r="L29" s="250" cm="1">
        <f t="array" ref="L29">INDEX(FX_Calcs,$V29,L$95)</f>
        <v>9.5478148180509845E-3</v>
      </c>
      <c r="M29" s="250" cm="1">
        <f t="array" ref="M29">INDEX(FX_Calcs,$V29,M$95)</f>
        <v>8.6464528192362108E-3</v>
      </c>
      <c r="N29" s="249" cm="1">
        <f t="array" ref="N29">INDEX(FX_Calcs,$V29,N$95)</f>
        <v>6.8218393379121701E-3</v>
      </c>
      <c r="O29" s="249" cm="1">
        <f t="array" ref="O29">INDEX(FX_Calcs,$V29,O$95)</f>
        <v>5.4827140055800742E-3</v>
      </c>
      <c r="P29" s="251" cm="1">
        <f t="array" ref="P29">INDEX(FX_Calcs,$V29,P$95)</f>
        <v>4.8148298503950734E-3</v>
      </c>
      <c r="Q29" s="252">
        <f t="shared" si="9"/>
        <v>9.5741064128135375E-3</v>
      </c>
      <c r="R29" s="253">
        <v>1.5</v>
      </c>
      <c r="T29">
        <f t="shared" si="11"/>
        <v>13</v>
      </c>
      <c r="U29">
        <v>2</v>
      </c>
      <c r="V29">
        <f t="shared" si="12"/>
        <v>7</v>
      </c>
    </row>
    <row r="30" spans="2:26" ht="15.45" x14ac:dyDescent="0.4">
      <c r="B30" s="247" t="str" cm="1">
        <f t="array" ref="B30">INDEX(FX_Input,T30,U30)</f>
        <v>FIXTANK 101</v>
      </c>
      <c r="C30" s="221" t="str" cm="1">
        <f t="array" ref="C30">INDEX(FX_Setup,V30,3)</f>
        <v>Distillates</v>
      </c>
      <c r="D30" s="223" t="str">
        <f t="shared" si="10"/>
        <v>VOC</v>
      </c>
      <c r="E30" s="248" cm="1">
        <f t="array" ref="E30">INDEX(FX_Calcs,$V30,E$95)</f>
        <v>4.883250638471285E-3</v>
      </c>
      <c r="F30" s="254" cm="1">
        <f t="array" ref="F30">INDEX(FX_Calcs,$V30,F$95)</f>
        <v>5.1351067062407989E-3</v>
      </c>
      <c r="G30" s="249" cm="1">
        <f t="array" ref="G30">INDEX(FX_Calcs,$V30,G$95)</f>
        <v>5.5213829543467952E-3</v>
      </c>
      <c r="H30" s="249" cm="1">
        <f t="array" ref="H30">INDEX(FX_Calcs,$V30,H$95)</f>
        <v>6.2124720487193742E-3</v>
      </c>
      <c r="I30" s="249" cm="1">
        <f t="array" ref="I30">INDEX(FX_Calcs,$V30,I$95)</f>
        <v>7.4209663387537275E-3</v>
      </c>
      <c r="J30" s="249" cm="1">
        <f t="array" ref="J30">INDEX(FX_Calcs,$V30,J$95)</f>
        <v>8.4819819298252285E-3</v>
      </c>
      <c r="K30" s="249" cm="1">
        <f t="array" ref="K30">INDEX(FX_Calcs,$V30,K$95)</f>
        <v>9.5741064128135375E-3</v>
      </c>
      <c r="L30" s="249" cm="1">
        <f t="array" ref="L30">INDEX(FX_Calcs,$V30,L$95)</f>
        <v>9.5478148180509845E-3</v>
      </c>
      <c r="M30" s="249" cm="1">
        <f t="array" ref="M30">INDEX(FX_Calcs,$V30,M$95)</f>
        <v>8.6464528192362108E-3</v>
      </c>
      <c r="N30" s="249" cm="1">
        <f t="array" ref="N30">INDEX(FX_Calcs,$V30,N$95)</f>
        <v>6.8218393379121701E-3</v>
      </c>
      <c r="O30" s="249" cm="1">
        <f t="array" ref="O30">INDEX(FX_Calcs,$V30,O$95)</f>
        <v>5.4827140055800742E-3</v>
      </c>
      <c r="P30" s="251" cm="1">
        <f t="array" ref="P30">INDEX(FX_Calcs,$V30,P$95)</f>
        <v>4.8148298503950734E-3</v>
      </c>
      <c r="Q30" s="252">
        <f t="shared" si="9"/>
        <v>9.5741064128135375E-3</v>
      </c>
      <c r="R30" s="253">
        <v>1.5</v>
      </c>
      <c r="T30">
        <f t="shared" si="11"/>
        <v>15</v>
      </c>
      <c r="U30">
        <v>2</v>
      </c>
      <c r="V30">
        <f t="shared" si="12"/>
        <v>8</v>
      </c>
    </row>
    <row r="31" spans="2:26" ht="15.45" x14ac:dyDescent="0.4">
      <c r="B31" s="247" t="str" cm="1">
        <f t="array" ref="B31">INDEX(FX_Input,T31,U31)</f>
        <v>FIXTANK 102</v>
      </c>
      <c r="C31" s="221" t="str" cm="1">
        <f t="array" ref="C31">INDEX(FX_Setup,V31,3)</f>
        <v>Distillates</v>
      </c>
      <c r="D31" s="223" t="str">
        <f t="shared" si="10"/>
        <v>VOC</v>
      </c>
      <c r="E31" s="248" cm="1">
        <f t="array" ref="E31">INDEX(FX_Calcs,$V31,E$95)</f>
        <v>4.883250638471285E-3</v>
      </c>
      <c r="F31" s="254" cm="1">
        <f t="array" ref="F31">INDEX(FX_Calcs,$V31,F$95)</f>
        <v>5.1351067062407989E-3</v>
      </c>
      <c r="G31" s="249" cm="1">
        <f t="array" ref="G31">INDEX(FX_Calcs,$V31,G$95)</f>
        <v>5.5213829543467952E-3</v>
      </c>
      <c r="H31" s="249" cm="1">
        <f t="array" ref="H31">INDEX(FX_Calcs,$V31,H$95)</f>
        <v>6.2124720487193742E-3</v>
      </c>
      <c r="I31" s="249" cm="1">
        <f t="array" ref="I31">INDEX(FX_Calcs,$V31,I$95)</f>
        <v>7.4209663387537275E-3</v>
      </c>
      <c r="J31" s="249" cm="1">
        <f t="array" ref="J31">INDEX(FX_Calcs,$V31,J$95)</f>
        <v>8.4819819298252285E-3</v>
      </c>
      <c r="K31" s="249" cm="1">
        <f t="array" ref="K31">INDEX(FX_Calcs,$V31,K$95)</f>
        <v>9.5741064128135375E-3</v>
      </c>
      <c r="L31" s="249" cm="1">
        <f t="array" ref="L31">INDEX(FX_Calcs,$V31,L$95)</f>
        <v>9.5478148180509845E-3</v>
      </c>
      <c r="M31" s="249" cm="1">
        <f t="array" ref="M31">INDEX(FX_Calcs,$V31,M$95)</f>
        <v>8.6464528192362108E-3</v>
      </c>
      <c r="N31" s="249" cm="1">
        <f t="array" ref="N31">INDEX(FX_Calcs,$V31,N$95)</f>
        <v>6.8218393379121701E-3</v>
      </c>
      <c r="O31" s="249" cm="1">
        <f t="array" ref="O31">INDEX(FX_Calcs,$V31,O$95)</f>
        <v>5.4827140055800742E-3</v>
      </c>
      <c r="P31" s="251" cm="1">
        <f t="array" ref="P31">INDEX(FX_Calcs,$V31,P$95)</f>
        <v>4.8148298503950734E-3</v>
      </c>
      <c r="Q31" s="252">
        <f t="shared" si="9"/>
        <v>9.5741064128135375E-3</v>
      </c>
      <c r="R31" s="253">
        <v>1.5</v>
      </c>
      <c r="T31">
        <f t="shared" si="11"/>
        <v>17</v>
      </c>
      <c r="U31">
        <v>2</v>
      </c>
      <c r="V31">
        <f t="shared" si="12"/>
        <v>9</v>
      </c>
    </row>
    <row r="32" spans="2:26" ht="15.45" x14ac:dyDescent="0.4">
      <c r="B32" s="247" t="str" cm="1">
        <f t="array" ref="B32">INDEX(FX_Input,T32,U32)</f>
        <v>FIXTANK 110</v>
      </c>
      <c r="C32" s="232" t="str" cm="1">
        <f t="array" ref="C32">INDEX(FX_Setup,V32,3)</f>
        <v>Distillates</v>
      </c>
      <c r="D32" s="231" t="str">
        <f t="shared" si="10"/>
        <v>VOC</v>
      </c>
      <c r="E32" s="255" cm="1">
        <f t="array" ref="E32">INDEX(FX_Calcs,$V32,E$95)</f>
        <v>4.739577185808354E-3</v>
      </c>
      <c r="F32" s="221" cm="1">
        <f t="array" ref="F32">INDEX(FX_Calcs,$V32,F$95)</f>
        <v>4.8748667780818778E-3</v>
      </c>
      <c r="G32" s="221" cm="1">
        <f t="array" ref="G32">INDEX(FX_Calcs,$V32,G$95)</f>
        <v>5.119885034186122E-3</v>
      </c>
      <c r="H32" s="221" cm="1">
        <f t="array" ref="H32">INDEX(FX_Calcs,$V32,H$95)</f>
        <v>5.5846958573521795E-3</v>
      </c>
      <c r="I32" s="221" cm="1">
        <f t="array" ref="I32">INDEX(FX_Calcs,$V32,I$95)</f>
        <v>6.5274070972739821E-3</v>
      </c>
      <c r="J32" s="221" cm="1">
        <f t="array" ref="J32">INDEX(FX_Calcs,$V32,J$95)</f>
        <v>7.4199539958878279E-3</v>
      </c>
      <c r="K32" s="221" cm="1">
        <f t="array" ref="K32">INDEX(FX_Calcs,$V32,K$95)</f>
        <v>8.3358107202842254E-3</v>
      </c>
      <c r="L32" s="221" cm="1">
        <f t="array" ref="L32">INDEX(FX_Calcs,$V32,L$95)</f>
        <v>8.4605262729351115E-3</v>
      </c>
      <c r="M32" s="221" cm="1">
        <f t="array" ref="M32">INDEX(FX_Calcs,$V32,M$95)</f>
        <v>7.8399882233967533E-3</v>
      </c>
      <c r="N32" s="221" cm="1">
        <f t="array" ref="N32">INDEX(FX_Calcs,$V32,N$95)</f>
        <v>6.4173462075160911E-3</v>
      </c>
      <c r="O32" s="221" cm="1">
        <f t="array" ref="O32">INDEX(FX_Calcs,$V32,O$95)</f>
        <v>5.3015226887581056E-3</v>
      </c>
      <c r="P32" s="256" cm="1">
        <f t="array" ref="P32">INDEX(FX_Calcs,$V32,P$95)</f>
        <v>4.68970903600947E-3</v>
      </c>
      <c r="Q32" s="257">
        <f t="shared" si="9"/>
        <v>8.4605262729351115E-3</v>
      </c>
      <c r="R32" s="258">
        <v>1.5</v>
      </c>
      <c r="T32">
        <f t="shared" si="11"/>
        <v>19</v>
      </c>
      <c r="U32">
        <v>2</v>
      </c>
      <c r="V32">
        <f t="shared" si="12"/>
        <v>10</v>
      </c>
    </row>
    <row r="33" spans="2:22" ht="15.45" x14ac:dyDescent="0.4">
      <c r="B33" s="247" t="str" cm="1">
        <f t="array" ref="B33">INDEX(FX_Input,T33,U33)</f>
        <v>FIXTANK 111</v>
      </c>
      <c r="C33" s="221" t="str" cm="1">
        <f t="array" ref="C33">INDEX(FX_Setup,V33,3)</f>
        <v>Out of Service/Demolished</v>
      </c>
      <c r="D33" s="223" t="str">
        <f t="shared" si="10"/>
        <v>VOC</v>
      </c>
      <c r="E33" s="248" cm="1">
        <f t="array" ref="E33">INDEX(FX_Calcs,$V33,E$95)</f>
        <v>0</v>
      </c>
      <c r="F33" s="254" cm="1">
        <f t="array" ref="F33">INDEX(FX_Calcs,$V33,F$95)</f>
        <v>0</v>
      </c>
      <c r="G33" s="249" cm="1">
        <f t="array" ref="G33">INDEX(FX_Calcs,$V33,G$95)</f>
        <v>0</v>
      </c>
      <c r="H33" s="249" cm="1">
        <f t="array" ref="H33">INDEX(FX_Calcs,$V33,H$95)</f>
        <v>0</v>
      </c>
      <c r="I33" s="249" cm="1">
        <f t="array" ref="I33">INDEX(FX_Calcs,$V33,I$95)</f>
        <v>0</v>
      </c>
      <c r="J33" s="249" cm="1">
        <f t="array" ref="J33">INDEX(FX_Calcs,$V33,J$95)</f>
        <v>0</v>
      </c>
      <c r="K33" s="249" cm="1">
        <f t="array" ref="K33">INDEX(FX_Calcs,$V33,K$95)</f>
        <v>0</v>
      </c>
      <c r="L33" s="249" cm="1">
        <f t="array" ref="L33">INDEX(FX_Calcs,$V33,L$95)</f>
        <v>0</v>
      </c>
      <c r="M33" s="249" cm="1">
        <f t="array" ref="M33">INDEX(FX_Calcs,$V33,M$95)</f>
        <v>0</v>
      </c>
      <c r="N33" s="249" cm="1">
        <f t="array" ref="N33">INDEX(FX_Calcs,$V33,N$95)</f>
        <v>0</v>
      </c>
      <c r="O33" s="249" cm="1">
        <f t="array" ref="O33">INDEX(FX_Calcs,$V33,O$95)</f>
        <v>0</v>
      </c>
      <c r="P33" s="251" cm="1">
        <f t="array" ref="P33">INDEX(FX_Calcs,$V33,P$95)</f>
        <v>0</v>
      </c>
      <c r="Q33" s="279">
        <f t="shared" si="9"/>
        <v>0</v>
      </c>
      <c r="R33" s="294">
        <v>1.5</v>
      </c>
      <c r="T33">
        <f t="shared" si="11"/>
        <v>21</v>
      </c>
      <c r="U33">
        <v>2</v>
      </c>
      <c r="V33">
        <f t="shared" si="12"/>
        <v>11</v>
      </c>
    </row>
    <row r="34" spans="2:22" ht="15.45" x14ac:dyDescent="0.4">
      <c r="B34" s="247" t="str" cm="1">
        <f t="array" ref="B34">INDEX(FX_Input,T34,U34)</f>
        <v>FIXTANK 112</v>
      </c>
      <c r="C34" s="221" t="str" cm="1">
        <f t="array" ref="C34">INDEX(FX_Setup,V34,3)</f>
        <v>Distillates</v>
      </c>
      <c r="D34" s="223" t="str">
        <f t="shared" si="10"/>
        <v>VOC</v>
      </c>
      <c r="E34" s="401" cm="1">
        <f t="array" ref="E34">INDEX(FX_Calcs,$V34,E$95)</f>
        <v>4.883250638471285E-3</v>
      </c>
      <c r="F34" s="402" cm="1">
        <f t="array" ref="F34">INDEX(FX_Calcs,$V34,F$95)</f>
        <v>5.1351067062407989E-3</v>
      </c>
      <c r="G34" s="402" cm="1">
        <f t="array" ref="G34">INDEX(FX_Calcs,$V34,G$95)</f>
        <v>5.5213829543467952E-3</v>
      </c>
      <c r="H34" s="402" cm="1">
        <f t="array" ref="H34">INDEX(FX_Calcs,$V34,H$95)</f>
        <v>6.2124720487193742E-3</v>
      </c>
      <c r="I34" s="402" cm="1">
        <f t="array" ref="I34">INDEX(FX_Calcs,$V34,I$95)</f>
        <v>7.4209663387537275E-3</v>
      </c>
      <c r="J34" s="402" cm="1">
        <f t="array" ref="J34">INDEX(FX_Calcs,$V34,J$95)</f>
        <v>8.4819819298252285E-3</v>
      </c>
      <c r="K34" s="402" cm="1">
        <f t="array" ref="K34">INDEX(FX_Calcs,$V34,K$95)</f>
        <v>9.5741064128135375E-3</v>
      </c>
      <c r="L34" s="402" cm="1">
        <f t="array" ref="L34">INDEX(FX_Calcs,$V34,L$95)</f>
        <v>9.5478148180509845E-3</v>
      </c>
      <c r="M34" s="402" cm="1">
        <f t="array" ref="M34">INDEX(FX_Calcs,$V34,M$95)</f>
        <v>8.6464528192362108E-3</v>
      </c>
      <c r="N34" s="402" cm="1">
        <f t="array" ref="N34">INDEX(FX_Calcs,$V34,N$95)</f>
        <v>6.8218393379121701E-3</v>
      </c>
      <c r="O34" s="402" cm="1">
        <f t="array" ref="O34">INDEX(FX_Calcs,$V34,O$95)</f>
        <v>5.4827140055800742E-3</v>
      </c>
      <c r="P34" s="403" cm="1">
        <f t="array" ref="P34">INDEX(FX_Calcs,$V34,P$95)</f>
        <v>4.8148298503950734E-3</v>
      </c>
      <c r="Q34" s="279">
        <f t="shared" si="9"/>
        <v>9.5741064128135375E-3</v>
      </c>
      <c r="R34" s="280">
        <v>1.5</v>
      </c>
      <c r="T34">
        <f t="shared" si="11"/>
        <v>23</v>
      </c>
      <c r="U34">
        <v>2</v>
      </c>
      <c r="V34">
        <f t="shared" si="12"/>
        <v>12</v>
      </c>
    </row>
    <row r="35" spans="2:22" ht="15.45" x14ac:dyDescent="0.4">
      <c r="B35" s="247" t="str" cm="1">
        <f t="array" ref="B35">INDEX(FX_Input,T35,U35)</f>
        <v>FIXTANK 113</v>
      </c>
      <c r="C35" s="335" t="str" cm="1">
        <f t="array" ref="C35">INDEX(FX_Setup,V35,3)</f>
        <v>Out of Service/Demolished</v>
      </c>
      <c r="D35" s="223" t="str">
        <f t="shared" si="10"/>
        <v>VOC</v>
      </c>
      <c r="E35" s="273" cm="1">
        <f t="array" ref="E35">INDEX(FX_Calcs,$V35,E$95)</f>
        <v>0</v>
      </c>
      <c r="F35" s="274" cm="1">
        <f t="array" ref="F35">INDEX(FX_Calcs,$V35,F$95)</f>
        <v>0</v>
      </c>
      <c r="G35" s="274" cm="1">
        <f t="array" ref="G35">INDEX(FX_Calcs,$V35,G$95)</f>
        <v>0</v>
      </c>
      <c r="H35" s="250" cm="1">
        <f t="array" ref="H35">INDEX(FX_Calcs,$V35,H$95)</f>
        <v>0</v>
      </c>
      <c r="I35" s="274" cm="1">
        <f t="array" ref="I35">INDEX(FX_Calcs,$V35,I$95)</f>
        <v>0</v>
      </c>
      <c r="J35" s="274" cm="1">
        <f t="array" ref="J35">INDEX(FX_Calcs,$V35,J$95)</f>
        <v>0</v>
      </c>
      <c r="K35" s="274" cm="1">
        <f t="array" ref="K35">INDEX(FX_Calcs,$V35,K$95)</f>
        <v>0</v>
      </c>
      <c r="L35" s="274" cm="1">
        <f t="array" ref="L35">INDEX(FX_Calcs,$V35,L$95)</f>
        <v>0</v>
      </c>
      <c r="M35" s="274" cm="1">
        <f t="array" ref="M35">INDEX(FX_Calcs,$V35,M$95)</f>
        <v>0</v>
      </c>
      <c r="N35" s="274" cm="1">
        <f t="array" ref="N35">INDEX(FX_Calcs,$V35,N$95)</f>
        <v>0</v>
      </c>
      <c r="O35" s="274" cm="1">
        <f t="array" ref="O35">INDEX(FX_Calcs,$V35,O$95)</f>
        <v>0</v>
      </c>
      <c r="P35" s="275" cm="1">
        <f t="array" ref="P35">INDEX(FX_Calcs,$V35,P$95)</f>
        <v>0</v>
      </c>
      <c r="Q35" s="276">
        <f t="shared" si="9"/>
        <v>0</v>
      </c>
      <c r="R35" s="277">
        <v>1.5</v>
      </c>
      <c r="T35">
        <f t="shared" si="11"/>
        <v>25</v>
      </c>
      <c r="U35">
        <v>2</v>
      </c>
      <c r="V35">
        <f t="shared" si="12"/>
        <v>13</v>
      </c>
    </row>
    <row r="36" spans="2:22" ht="15.45" x14ac:dyDescent="0.4">
      <c r="B36" s="247" t="str" cm="1">
        <f t="array" ref="B36">INDEX(FX_Input,T36,U36)</f>
        <v>FIXTANK 121</v>
      </c>
      <c r="C36" s="335" t="str" cm="1">
        <f t="array" ref="C36">INDEX(FX_Setup,V36,3)</f>
        <v>Distillates</v>
      </c>
      <c r="D36" s="223" t="str">
        <f t="shared" si="10"/>
        <v>VOC</v>
      </c>
      <c r="E36" s="248" cm="1">
        <f t="array" ref="E36">INDEX(FX_Calcs,$V36,E$95)</f>
        <v>5.0788096823034274E-3</v>
      </c>
      <c r="F36" s="254" cm="1">
        <f t="array" ref="F36">INDEX(FX_Calcs,$V36,F$95)</f>
        <v>5.4974545080270654E-3</v>
      </c>
      <c r="G36" s="254" cm="1">
        <f t="array" ref="G36">INDEX(FX_Calcs,$V36,G$95)</f>
        <v>6.0939776204352973E-3</v>
      </c>
      <c r="H36" s="254" cm="1">
        <f t="array" ref="H36">INDEX(FX_Calcs,$V36,H$95)</f>
        <v>7.1364512548726224E-3</v>
      </c>
      <c r="I36" s="274" cm="1">
        <f t="array" ref="I36">INDEX(FX_Calcs,$V36,I$95)</f>
        <v>8.765284653116507E-3</v>
      </c>
      <c r="J36" s="249" cm="1">
        <f t="array" ref="J36">INDEX(FX_Calcs,$V36,J$95)</f>
        <v>1.0088391497030216E-2</v>
      </c>
      <c r="K36" s="249" cm="1">
        <f t="array" ref="K36">INDEX(FX_Calcs,$V36,K$95)</f>
        <v>1.1455846008049875E-2</v>
      </c>
      <c r="L36" s="249" cm="1">
        <f t="array" ref="L36">INDEX(FX_Calcs,$V36,L$95)</f>
        <v>1.1170957772624744E-2</v>
      </c>
      <c r="M36" s="249" cm="1">
        <f t="array" ref="M36">INDEX(FX_Calcs,$V36,M$95)</f>
        <v>9.8227622663598323E-3</v>
      </c>
      <c r="N36" s="249" cm="1">
        <f t="array" ref="N36">INDEX(FX_Calcs,$V36,N$95)</f>
        <v>7.3902409367879104E-3</v>
      </c>
      <c r="O36" s="254" cm="1">
        <f t="array" ref="O36">INDEX(FX_Calcs,$V36,O$95)</f>
        <v>5.7302815955729341E-3</v>
      </c>
      <c r="P36" s="278" cm="1">
        <f t="array" ref="P36">INDEX(FX_Calcs,$V36,P$95)</f>
        <v>4.9845202750316486E-3</v>
      </c>
      <c r="Q36" s="279">
        <f t="shared" si="9"/>
        <v>1.1455846008049875E-2</v>
      </c>
      <c r="R36" s="280">
        <v>1.5</v>
      </c>
      <c r="T36">
        <f t="shared" si="11"/>
        <v>27</v>
      </c>
      <c r="U36">
        <v>2</v>
      </c>
      <c r="V36">
        <f t="shared" si="12"/>
        <v>14</v>
      </c>
    </row>
    <row r="37" spans="2:22" ht="15.45" x14ac:dyDescent="0.4">
      <c r="B37" s="247" t="str" cm="1">
        <f t="array" ref="B37">INDEX(FX_Input,T37,U37)</f>
        <v>FIXTANK 122</v>
      </c>
      <c r="C37" s="221" t="str" cm="1">
        <f t="array" ref="C37">INDEX(FX_Setup,V37,3)</f>
        <v>Distillates</v>
      </c>
      <c r="D37" s="223" t="str">
        <f t="shared" si="10"/>
        <v>VOC</v>
      </c>
      <c r="E37" s="281" cm="1">
        <f t="array" ref="E37">INDEX(FX_Calcs,$V37,E$95)</f>
        <v>4.739577185808354E-3</v>
      </c>
      <c r="F37" s="282" cm="1">
        <f t="array" ref="F37">INDEX(FX_Calcs,$V37,F$95)</f>
        <v>4.8748667780818778E-3</v>
      </c>
      <c r="G37" s="282" cm="1">
        <f t="array" ref="G37">INDEX(FX_Calcs,$V37,G$95)</f>
        <v>5.119885034186122E-3</v>
      </c>
      <c r="H37" s="282" cm="1">
        <f t="array" ref="H37">INDEX(FX_Calcs,$V37,H$95)</f>
        <v>5.5846958573521795E-3</v>
      </c>
      <c r="I37" s="282" cm="1">
        <f t="array" ref="I37">INDEX(FX_Calcs,$V37,I$95)</f>
        <v>6.5274070972739821E-3</v>
      </c>
      <c r="J37" s="282" cm="1">
        <f t="array" ref="J37">INDEX(FX_Calcs,$V37,J$95)</f>
        <v>7.4199539958878279E-3</v>
      </c>
      <c r="K37" s="282" cm="1">
        <f t="array" ref="K37">INDEX(FX_Calcs,$V37,K$95)</f>
        <v>8.3358107202842254E-3</v>
      </c>
      <c r="L37" s="282" cm="1">
        <f t="array" ref="L37">INDEX(FX_Calcs,$V37,L$95)</f>
        <v>8.4605262729351115E-3</v>
      </c>
      <c r="M37" s="282" cm="1">
        <f t="array" ref="M37">INDEX(FX_Calcs,$V37,M$95)</f>
        <v>7.8399882233967533E-3</v>
      </c>
      <c r="N37" s="282" cm="1">
        <f t="array" ref="N37">INDEX(FX_Calcs,$V37,N$95)</f>
        <v>6.4173462075160911E-3</v>
      </c>
      <c r="O37" s="282" cm="1">
        <f t="array" ref="O37">INDEX(FX_Calcs,$V37,O$95)</f>
        <v>5.3015226887581056E-3</v>
      </c>
      <c r="P37" s="283" cm="1">
        <f t="array" ref="P37">INDEX(FX_Calcs,$V37,P$95)</f>
        <v>4.68970903600947E-3</v>
      </c>
      <c r="Q37" s="276">
        <f t="shared" si="9"/>
        <v>8.4605262729351115E-3</v>
      </c>
      <c r="R37" s="284">
        <v>1.5</v>
      </c>
      <c r="T37">
        <f t="shared" si="11"/>
        <v>29</v>
      </c>
      <c r="U37">
        <v>2</v>
      </c>
      <c r="V37">
        <f t="shared" si="12"/>
        <v>15</v>
      </c>
    </row>
    <row r="38" spans="2:22" ht="15.45" x14ac:dyDescent="0.4">
      <c r="B38" s="247" t="str" cm="1">
        <f t="array" ref="B38">INDEX(FX_Input,T38,U38)</f>
        <v>FIXTANK 123</v>
      </c>
      <c r="C38" s="221" t="str" cm="1">
        <f t="array" ref="C38">INDEX(FX_Setup,V38,3)</f>
        <v>Distillates</v>
      </c>
      <c r="D38" s="223" t="str">
        <f t="shared" si="10"/>
        <v>VOC</v>
      </c>
      <c r="E38" s="285" cm="1">
        <f t="array" ref="E38">INDEX(FX_Calcs,$V38,E$95)</f>
        <v>4.739577185808354E-3</v>
      </c>
      <c r="F38" s="286" cm="1">
        <f t="array" ref="F38">INDEX(FX_Calcs,$V38,F$95)</f>
        <v>4.8748667780818778E-3</v>
      </c>
      <c r="G38" s="286" cm="1">
        <f t="array" ref="G38">INDEX(FX_Calcs,$V38,G$95)</f>
        <v>5.119885034186122E-3</v>
      </c>
      <c r="H38" s="286" cm="1">
        <f t="array" ref="H38">INDEX(FX_Calcs,$V38,H$95)</f>
        <v>5.5846958573521795E-3</v>
      </c>
      <c r="I38" s="286" cm="1">
        <f t="array" ref="I38">INDEX(FX_Calcs,$V38,I$95)</f>
        <v>6.5274070972739821E-3</v>
      </c>
      <c r="J38" s="286" cm="1">
        <f t="array" ref="J38">INDEX(FX_Calcs,$V38,J$95)</f>
        <v>7.4199539958878279E-3</v>
      </c>
      <c r="K38" s="286" cm="1">
        <f t="array" ref="K38">INDEX(FX_Calcs,$V38,K$95)</f>
        <v>8.3358107202842254E-3</v>
      </c>
      <c r="L38" s="286" cm="1">
        <f t="array" ref="L38">INDEX(FX_Calcs,$V38,L$95)</f>
        <v>8.4605262729351115E-3</v>
      </c>
      <c r="M38" s="286" cm="1">
        <f t="array" ref="M38">INDEX(FX_Calcs,$V38,M$95)</f>
        <v>7.8399882233967533E-3</v>
      </c>
      <c r="N38" s="286" cm="1">
        <f t="array" ref="N38">INDEX(FX_Calcs,$V38,N$95)</f>
        <v>6.4173462075160911E-3</v>
      </c>
      <c r="O38" s="286" cm="1">
        <f t="array" ref="O38">INDEX(FX_Calcs,$V38,O$95)</f>
        <v>5.3015226887581056E-3</v>
      </c>
      <c r="P38" s="287" cm="1">
        <f t="array" ref="P38">INDEX(FX_Calcs,$V38,P$95)</f>
        <v>4.68970903600947E-3</v>
      </c>
      <c r="Q38" s="288">
        <f t="shared" si="9"/>
        <v>8.4605262729351115E-3</v>
      </c>
      <c r="R38" s="289">
        <v>1.5</v>
      </c>
      <c r="T38">
        <f t="shared" si="11"/>
        <v>31</v>
      </c>
      <c r="U38">
        <v>2</v>
      </c>
      <c r="V38">
        <f t="shared" si="12"/>
        <v>16</v>
      </c>
    </row>
    <row r="39" spans="2:22" ht="15.45" x14ac:dyDescent="0.4">
      <c r="B39" s="247" t="str" cm="1">
        <f t="array" ref="B39">INDEX(FX_Input,T39,U39)</f>
        <v>FIXTANK 124</v>
      </c>
      <c r="C39" s="221" t="str" cm="1">
        <f t="array" ref="C39">INDEX(FX_Setup,V39,3)</f>
        <v>Distillates</v>
      </c>
      <c r="D39" s="223" t="str">
        <f t="shared" si="10"/>
        <v>VOC</v>
      </c>
      <c r="E39" s="281" cm="1">
        <f t="array" ref="E39">INDEX(FX_Calcs,$V39,E$95)</f>
        <v>4.739577185808354E-3</v>
      </c>
      <c r="F39" s="282" cm="1">
        <f t="array" ref="F39">INDEX(FX_Calcs,$V39,F$95)</f>
        <v>4.8748667780818778E-3</v>
      </c>
      <c r="G39" s="282" cm="1">
        <f t="array" ref="G39">INDEX(FX_Calcs,$V39,G$95)</f>
        <v>5.119885034186122E-3</v>
      </c>
      <c r="H39" s="282" cm="1">
        <f t="array" ref="H39">INDEX(FX_Calcs,$V39,H$95)</f>
        <v>5.5846958573521795E-3</v>
      </c>
      <c r="I39" s="282" cm="1">
        <f t="array" ref="I39">INDEX(FX_Calcs,$V39,I$95)</f>
        <v>6.5274070972739821E-3</v>
      </c>
      <c r="J39" s="282" cm="1">
        <f t="array" ref="J39">INDEX(FX_Calcs,$V39,J$95)</f>
        <v>7.4199539958878279E-3</v>
      </c>
      <c r="K39" s="282" cm="1">
        <f t="array" ref="K39">INDEX(FX_Calcs,$V39,K$95)</f>
        <v>8.3358107202842254E-3</v>
      </c>
      <c r="L39" s="282" cm="1">
        <f t="array" ref="L39">INDEX(FX_Calcs,$V39,L$95)</f>
        <v>8.4605262729351115E-3</v>
      </c>
      <c r="M39" s="282" cm="1">
        <f t="array" ref="M39">INDEX(FX_Calcs,$V39,M$95)</f>
        <v>7.8399882233967533E-3</v>
      </c>
      <c r="N39" s="282" cm="1">
        <f t="array" ref="N39">INDEX(FX_Calcs,$V39,N$95)</f>
        <v>6.4173462075160911E-3</v>
      </c>
      <c r="O39" s="282" cm="1">
        <f t="array" ref="O39">INDEX(FX_Calcs,$V39,O$95)</f>
        <v>5.3015226887581056E-3</v>
      </c>
      <c r="P39" s="283" cm="1">
        <f t="array" ref="P39">INDEX(FX_Calcs,$V39,P$95)</f>
        <v>4.68970903600947E-3</v>
      </c>
      <c r="Q39" s="276">
        <f t="shared" si="9"/>
        <v>8.4605262729351115E-3</v>
      </c>
      <c r="R39" s="277">
        <v>1.5</v>
      </c>
      <c r="T39">
        <f t="shared" si="11"/>
        <v>33</v>
      </c>
      <c r="U39">
        <v>2</v>
      </c>
      <c r="V39">
        <f t="shared" si="12"/>
        <v>17</v>
      </c>
    </row>
    <row r="40" spans="2:22" ht="15.45" x14ac:dyDescent="0.4">
      <c r="B40" s="247" t="str" cm="1">
        <f t="array" ref="B40">INDEX(FX_Input,T40,U40)</f>
        <v>FIXTANK 125</v>
      </c>
      <c r="C40" s="221" t="str" cm="1">
        <f t="array" ref="C40">INDEX(FX_Setup,V40,3)</f>
        <v>Distillates</v>
      </c>
      <c r="D40" s="223" t="str">
        <f t="shared" si="10"/>
        <v>VOC</v>
      </c>
      <c r="E40" s="281" cm="1">
        <f t="array" ref="E40">INDEX(FX_Calcs,$V40,E$95)</f>
        <v>4.739577185808354E-3</v>
      </c>
      <c r="F40" s="282" cm="1">
        <f t="array" ref="F40">INDEX(FX_Calcs,$V40,F$95)</f>
        <v>4.8748667780818778E-3</v>
      </c>
      <c r="G40" s="282" cm="1">
        <f t="array" ref="G40">INDEX(FX_Calcs,$V40,G$95)</f>
        <v>5.119885034186122E-3</v>
      </c>
      <c r="H40" s="282" cm="1">
        <f t="array" ref="H40">INDEX(FX_Calcs,$V40,H$95)</f>
        <v>5.5846958573521795E-3</v>
      </c>
      <c r="I40" s="282" cm="1">
        <f t="array" ref="I40">INDEX(FX_Calcs,$V40,I$95)</f>
        <v>6.5274070972739821E-3</v>
      </c>
      <c r="J40" s="282" cm="1">
        <f t="array" ref="J40">INDEX(FX_Calcs,$V40,J$95)</f>
        <v>7.4199539958878279E-3</v>
      </c>
      <c r="K40" s="282" cm="1">
        <f t="array" ref="K40">INDEX(FX_Calcs,$V40,K$95)</f>
        <v>8.3358107202842254E-3</v>
      </c>
      <c r="L40" s="282" cm="1">
        <f t="array" ref="L40">INDEX(FX_Calcs,$V40,L$95)</f>
        <v>8.4605262729351115E-3</v>
      </c>
      <c r="M40" s="282" cm="1">
        <f t="array" ref="M40">INDEX(FX_Calcs,$V40,M$95)</f>
        <v>7.8399882233967533E-3</v>
      </c>
      <c r="N40" s="282" cm="1">
        <f t="array" ref="N40">INDEX(FX_Calcs,$V40,N$95)</f>
        <v>6.4173462075160911E-3</v>
      </c>
      <c r="O40" s="282" cm="1">
        <f t="array" ref="O40">INDEX(FX_Calcs,$V40,O$95)</f>
        <v>5.3015226887581056E-3</v>
      </c>
      <c r="P40" s="283" cm="1">
        <f t="array" ref="P40">INDEX(FX_Calcs,$V40,P$95)</f>
        <v>4.68970903600947E-3</v>
      </c>
      <c r="Q40" s="276">
        <f t="shared" si="9"/>
        <v>8.4605262729351115E-3</v>
      </c>
      <c r="R40" s="284">
        <v>1.5</v>
      </c>
      <c r="T40">
        <f t="shared" si="11"/>
        <v>35</v>
      </c>
      <c r="U40">
        <v>2</v>
      </c>
      <c r="V40">
        <f t="shared" si="12"/>
        <v>18</v>
      </c>
    </row>
    <row r="41" spans="2:22" ht="15.45" x14ac:dyDescent="0.4">
      <c r="B41" s="247" t="str" cm="1">
        <f t="array" ref="B41">INDEX(FX_Input,T41,U41)</f>
        <v>FIXTANK 126</v>
      </c>
      <c r="C41" s="221" t="str" cm="1">
        <f t="array" ref="C41">INDEX(FX_Setup,V41,3)</f>
        <v>Distillates</v>
      </c>
      <c r="D41" s="223" t="str">
        <f t="shared" si="10"/>
        <v>VOC</v>
      </c>
      <c r="E41" s="290" cm="1">
        <f t="array" ref="E41">INDEX(FX_Calcs,$V41,E$95)</f>
        <v>4.739577185808354E-3</v>
      </c>
      <c r="F41" s="250" cm="1">
        <f t="array" ref="F41">INDEX(FX_Calcs,$V41,F$95)</f>
        <v>4.8748667780818778E-3</v>
      </c>
      <c r="G41" s="250" cm="1">
        <f t="array" ref="G41">INDEX(FX_Calcs,$V41,G$95)</f>
        <v>5.119885034186122E-3</v>
      </c>
      <c r="H41" s="250" cm="1">
        <f t="array" ref="H41">INDEX(FX_Calcs,$V41,H$95)</f>
        <v>5.5846958573521795E-3</v>
      </c>
      <c r="I41" s="250" cm="1">
        <f t="array" ref="I41">INDEX(FX_Calcs,$V41,I$95)</f>
        <v>6.5274070972739821E-3</v>
      </c>
      <c r="J41" s="250" cm="1">
        <f t="array" ref="J41">INDEX(FX_Calcs,$V41,J$95)</f>
        <v>7.4199539958878279E-3</v>
      </c>
      <c r="K41" s="291" cm="1">
        <f t="array" ref="K41">INDEX(FX_Calcs,$V41,K$95)</f>
        <v>8.3358107202842254E-3</v>
      </c>
      <c r="L41" s="291" cm="1">
        <f t="array" ref="L41">INDEX(FX_Calcs,$V41,L$95)</f>
        <v>8.4605262729351115E-3</v>
      </c>
      <c r="M41" s="291" cm="1">
        <f t="array" ref="M41">INDEX(FX_Calcs,$V41,M$95)</f>
        <v>7.8399882233967533E-3</v>
      </c>
      <c r="N41" s="250" cm="1">
        <f t="array" ref="N41">INDEX(FX_Calcs,$V41,N$95)</f>
        <v>6.4173462075160911E-3</v>
      </c>
      <c r="O41" s="250" cm="1">
        <f t="array" ref="O41">INDEX(FX_Calcs,$V41,O$95)</f>
        <v>5.3015226887581056E-3</v>
      </c>
      <c r="P41" s="292" cm="1">
        <f t="array" ref="P41">INDEX(FX_Calcs,$V41,P$95)</f>
        <v>4.68970903600947E-3</v>
      </c>
      <c r="Q41" s="293">
        <f t="shared" si="9"/>
        <v>8.4605262729351115E-3</v>
      </c>
      <c r="R41" s="294">
        <v>1.5</v>
      </c>
      <c r="T41">
        <f t="shared" si="11"/>
        <v>37</v>
      </c>
      <c r="U41">
        <v>2</v>
      </c>
      <c r="V41">
        <f t="shared" si="12"/>
        <v>19</v>
      </c>
    </row>
    <row r="42" spans="2:22" ht="15.45" x14ac:dyDescent="0.4">
      <c r="B42" s="247" t="str" cm="1">
        <f t="array" ref="B42">INDEX(FX_Input,T42,U42)</f>
        <v>FIXTANK 127</v>
      </c>
      <c r="C42" s="221" t="str" cm="1">
        <f t="array" ref="C42">INDEX(FX_Setup,V42,3)</f>
        <v>Distillates</v>
      </c>
      <c r="D42" s="223" t="str">
        <f t="shared" si="10"/>
        <v>VOC</v>
      </c>
      <c r="E42" s="295" cm="1">
        <f t="array" ref="E42">INDEX(FX_Calcs,$V42,E$95)</f>
        <v>4.739577185808354E-3</v>
      </c>
      <c r="F42" s="291" cm="1">
        <f t="array" ref="F42">INDEX(FX_Calcs,$V42,F$95)</f>
        <v>4.8748667780818778E-3</v>
      </c>
      <c r="G42" s="282" cm="1">
        <f t="array" ref="G42">INDEX(FX_Calcs,$V42,G$95)</f>
        <v>5.119885034186122E-3</v>
      </c>
      <c r="H42" s="282" cm="1">
        <f t="array" ref="H42">INDEX(FX_Calcs,$V42,H$95)</f>
        <v>5.5846958573521795E-3</v>
      </c>
      <c r="I42" s="282" cm="1">
        <f t="array" ref="I42">INDEX(FX_Calcs,$V42,I$95)</f>
        <v>6.5274070972739821E-3</v>
      </c>
      <c r="J42" s="282" cm="1">
        <f t="array" ref="J42">INDEX(FX_Calcs,$V42,J$95)</f>
        <v>7.4199539958878279E-3</v>
      </c>
      <c r="K42" s="282" cm="1">
        <f t="array" ref="K42">INDEX(FX_Calcs,$V42,K$95)</f>
        <v>8.3358107202842254E-3</v>
      </c>
      <c r="L42" s="282" cm="1">
        <f t="array" ref="L42">INDEX(FX_Calcs,$V42,L$95)</f>
        <v>8.4605262729351115E-3</v>
      </c>
      <c r="M42" s="282" cm="1">
        <f t="array" ref="M42">INDEX(FX_Calcs,$V42,M$95)</f>
        <v>7.8399882233967533E-3</v>
      </c>
      <c r="N42" s="282" cm="1">
        <f t="array" ref="N42">INDEX(FX_Calcs,$V42,N$95)</f>
        <v>6.4173462075160911E-3</v>
      </c>
      <c r="O42" s="286" cm="1">
        <f t="array" ref="O42">INDEX(FX_Calcs,$V42,O$95)</f>
        <v>5.3015226887581056E-3</v>
      </c>
      <c r="P42" s="296" cm="1">
        <f t="array" ref="P42">INDEX(FX_Calcs,$V42,P$95)</f>
        <v>4.68970903600947E-3</v>
      </c>
      <c r="Q42" s="288">
        <f t="shared" si="9"/>
        <v>8.4605262729351115E-3</v>
      </c>
      <c r="R42" s="297">
        <v>1.5</v>
      </c>
      <c r="T42">
        <f t="shared" si="11"/>
        <v>39</v>
      </c>
      <c r="U42">
        <v>2</v>
      </c>
      <c r="V42">
        <f t="shared" si="12"/>
        <v>20</v>
      </c>
    </row>
    <row r="43" spans="2:22" ht="15.45" x14ac:dyDescent="0.4">
      <c r="B43" s="247" t="str" cm="1">
        <f t="array" ref="B43">INDEX(FX_Input,T43,U43)</f>
        <v>FIXTANK 128</v>
      </c>
      <c r="C43" s="221" t="str" cm="1">
        <f t="array" ref="C43">INDEX(FX_Setup,V43,3)</f>
        <v>Distillates</v>
      </c>
      <c r="D43" s="223" t="str">
        <f t="shared" si="10"/>
        <v>VOC</v>
      </c>
      <c r="E43" s="281" cm="1">
        <f t="array" ref="E43">INDEX(FX_Calcs,$V43,E$95)</f>
        <v>4.739577185808354E-3</v>
      </c>
      <c r="F43" s="282" cm="1">
        <f t="array" ref="F43">INDEX(FX_Calcs,$V43,F$95)</f>
        <v>4.8748667780818778E-3</v>
      </c>
      <c r="G43" s="282" cm="1">
        <f t="array" ref="G43">INDEX(FX_Calcs,$V43,G$95)</f>
        <v>5.119885034186122E-3</v>
      </c>
      <c r="H43" s="282" cm="1">
        <f t="array" ref="H43">INDEX(FX_Calcs,$V43,H$95)</f>
        <v>5.5846958573521795E-3</v>
      </c>
      <c r="I43" s="282" cm="1">
        <f t="array" ref="I43">INDEX(FX_Calcs,$V43,I$95)</f>
        <v>6.5274070972739821E-3</v>
      </c>
      <c r="J43" s="282" cm="1">
        <f t="array" ref="J43">INDEX(FX_Calcs,$V43,J$95)</f>
        <v>7.4199539958878279E-3</v>
      </c>
      <c r="K43" s="282" cm="1">
        <f t="array" ref="K43">INDEX(FX_Calcs,$V43,K$95)</f>
        <v>8.3358107202842254E-3</v>
      </c>
      <c r="L43" s="282" cm="1">
        <f t="array" ref="L43">INDEX(FX_Calcs,$V43,L$95)</f>
        <v>8.4605262729351115E-3</v>
      </c>
      <c r="M43" s="282" cm="1">
        <f t="array" ref="M43">INDEX(FX_Calcs,$V43,M$95)</f>
        <v>7.8399882233967533E-3</v>
      </c>
      <c r="N43" s="282" cm="1">
        <f t="array" ref="N43">INDEX(FX_Calcs,$V43,N$95)</f>
        <v>6.4173462075160911E-3</v>
      </c>
      <c r="O43" s="286" cm="1">
        <f t="array" ref="O43">INDEX(FX_Calcs,$V43,O$95)</f>
        <v>5.3015226887581056E-3</v>
      </c>
      <c r="P43" s="287" cm="1">
        <f t="array" ref="P43">INDEX(FX_Calcs,$V43,P$95)</f>
        <v>4.68970903600947E-3</v>
      </c>
      <c r="Q43" s="288">
        <f t="shared" si="9"/>
        <v>8.4605262729351115E-3</v>
      </c>
      <c r="R43" s="298">
        <v>1.5</v>
      </c>
      <c r="T43">
        <f t="shared" si="11"/>
        <v>41</v>
      </c>
      <c r="U43">
        <v>2</v>
      </c>
      <c r="V43">
        <f t="shared" si="12"/>
        <v>21</v>
      </c>
    </row>
    <row r="44" spans="2:22" ht="15.45" x14ac:dyDescent="0.4">
      <c r="B44" s="247" t="str" cm="1">
        <f t="array" ref="B44">INDEX(FX_Input,T44,U44)</f>
        <v>FIXTANK 129</v>
      </c>
      <c r="C44" s="221" t="str" cm="1">
        <f t="array" ref="C44">INDEX(FX_Setup,V44,3)</f>
        <v>Distillates</v>
      </c>
      <c r="D44" s="223" t="str">
        <f t="shared" si="10"/>
        <v>VOC</v>
      </c>
      <c r="E44" s="281" cm="1">
        <f t="array" ref="E44">INDEX(FX_Calcs,$V44,E$95)</f>
        <v>4.739577185808354E-3</v>
      </c>
      <c r="F44" s="282" cm="1">
        <f t="array" ref="F44">INDEX(FX_Calcs,$V44,F$95)</f>
        <v>4.8748667780818778E-3</v>
      </c>
      <c r="G44" s="282" cm="1">
        <f t="array" ref="G44">INDEX(FX_Calcs,$V44,G$95)</f>
        <v>5.119885034186122E-3</v>
      </c>
      <c r="H44" s="282" cm="1">
        <f t="array" ref="H44">INDEX(FX_Calcs,$V44,H$95)</f>
        <v>5.5846958573521795E-3</v>
      </c>
      <c r="I44" s="282" cm="1">
        <f t="array" ref="I44">INDEX(FX_Calcs,$V44,I$95)</f>
        <v>6.5274070972739821E-3</v>
      </c>
      <c r="J44" s="282" cm="1">
        <f t="array" ref="J44">INDEX(FX_Calcs,$V44,J$95)</f>
        <v>7.4199539958878279E-3</v>
      </c>
      <c r="K44" s="282" cm="1">
        <f t="array" ref="K44">INDEX(FX_Calcs,$V44,K$95)</f>
        <v>8.3358107202842254E-3</v>
      </c>
      <c r="L44" s="282" cm="1">
        <f t="array" ref="L44">INDEX(FX_Calcs,$V44,L$95)</f>
        <v>8.4605262729351115E-3</v>
      </c>
      <c r="M44" s="282" cm="1">
        <f t="array" ref="M44">INDEX(FX_Calcs,$V44,M$95)</f>
        <v>7.8399882233967533E-3</v>
      </c>
      <c r="N44" s="282" cm="1">
        <f t="array" ref="N44">INDEX(FX_Calcs,$V44,N$95)</f>
        <v>6.4173462075160911E-3</v>
      </c>
      <c r="O44" s="282" cm="1">
        <f t="array" ref="O44">INDEX(FX_Calcs,$V44,O$95)</f>
        <v>5.3015226887581056E-3</v>
      </c>
      <c r="P44" s="283" cm="1">
        <f t="array" ref="P44">INDEX(FX_Calcs,$V44,P$95)</f>
        <v>4.68970903600947E-3</v>
      </c>
      <c r="Q44" s="276">
        <f t="shared" si="9"/>
        <v>8.4605262729351115E-3</v>
      </c>
      <c r="R44" s="284">
        <v>1.5</v>
      </c>
      <c r="T44">
        <f t="shared" si="11"/>
        <v>43</v>
      </c>
      <c r="U44">
        <v>2</v>
      </c>
      <c r="V44">
        <f t="shared" si="12"/>
        <v>22</v>
      </c>
    </row>
    <row r="45" spans="2:22" ht="15.45" x14ac:dyDescent="0.4">
      <c r="B45" s="247" t="str" cm="1">
        <f t="array" ref="B45">INDEX(FX_Input,T45,U45)</f>
        <v>FIXTANK 140</v>
      </c>
      <c r="C45" s="221" t="str" cm="1">
        <f t="array" ref="C45">INDEX(FX_Setup,V45,3)</f>
        <v>Out of Service/Demolished</v>
      </c>
      <c r="D45" s="223" t="str">
        <f t="shared" si="10"/>
        <v>VOC</v>
      </c>
      <c r="E45" s="285" cm="1">
        <f t="array" ref="E45">INDEX(FX_Calcs,$V45,E$95)</f>
        <v>0</v>
      </c>
      <c r="F45" s="286" cm="1">
        <f t="array" ref="F45">INDEX(FX_Calcs,$V45,F$95)</f>
        <v>0</v>
      </c>
      <c r="G45" s="286" cm="1">
        <f t="array" ref="G45">INDEX(FX_Calcs,$V45,G$95)</f>
        <v>0</v>
      </c>
      <c r="H45" s="286" cm="1">
        <f t="array" ref="H45">INDEX(FX_Calcs,$V45,H$95)</f>
        <v>0</v>
      </c>
      <c r="I45" s="286" cm="1">
        <f t="array" ref="I45">INDEX(FX_Calcs,$V45,I$95)</f>
        <v>0</v>
      </c>
      <c r="J45" s="286" cm="1">
        <f t="array" ref="J45">INDEX(FX_Calcs,$V45,J$95)</f>
        <v>0</v>
      </c>
      <c r="K45" s="286" cm="1">
        <f t="array" ref="K45">INDEX(FX_Calcs,$V45,K$95)</f>
        <v>0</v>
      </c>
      <c r="L45" s="286" cm="1">
        <f t="array" ref="L45">INDEX(FX_Calcs,$V45,L$95)</f>
        <v>0</v>
      </c>
      <c r="M45" s="286" cm="1">
        <f t="array" ref="M45">INDEX(FX_Calcs,$V45,M$95)</f>
        <v>0</v>
      </c>
      <c r="N45" s="286" cm="1">
        <f t="array" ref="N45">INDEX(FX_Calcs,$V45,N$95)</f>
        <v>0</v>
      </c>
      <c r="O45" s="286" cm="1">
        <f t="array" ref="O45">INDEX(FX_Calcs,$V45,O$95)</f>
        <v>0</v>
      </c>
      <c r="P45" s="287" cm="1">
        <f t="array" ref="P45">INDEX(FX_Calcs,$V45,P$95)</f>
        <v>0</v>
      </c>
      <c r="Q45" s="288">
        <f t="shared" si="9"/>
        <v>0</v>
      </c>
      <c r="R45" s="224">
        <v>1.5</v>
      </c>
      <c r="T45">
        <f t="shared" si="11"/>
        <v>45</v>
      </c>
      <c r="U45">
        <v>2</v>
      </c>
      <c r="V45">
        <f t="shared" si="12"/>
        <v>23</v>
      </c>
    </row>
    <row r="46" spans="2:22" ht="15.45" x14ac:dyDescent="0.4">
      <c r="B46" s="247" t="str" cm="1">
        <f t="array" ref="B46">INDEX(FX_Input,T46,U46)</f>
        <v>FIXTANK 141</v>
      </c>
      <c r="C46" s="221" t="str" cm="1">
        <f t="array" ref="C46">INDEX(FX_Setup,V46,3)</f>
        <v>Out of Service/Demolished</v>
      </c>
      <c r="D46" s="223" t="str">
        <f t="shared" si="10"/>
        <v>VOC</v>
      </c>
      <c r="E46" s="285" cm="1">
        <f t="array" ref="E46">INDEX(FX_Calcs,$V46,E$95)</f>
        <v>0</v>
      </c>
      <c r="F46" s="286" cm="1">
        <f t="array" ref="F46">INDEX(FX_Calcs,$V46,F$95)</f>
        <v>0</v>
      </c>
      <c r="G46" s="286" cm="1">
        <f t="array" ref="G46">INDEX(FX_Calcs,$V46,G$95)</f>
        <v>0</v>
      </c>
      <c r="H46" s="286" cm="1">
        <f t="array" ref="H46">INDEX(FX_Calcs,$V46,H$95)</f>
        <v>0</v>
      </c>
      <c r="I46" s="286" cm="1">
        <f t="array" ref="I46">INDEX(FX_Calcs,$V46,I$95)</f>
        <v>0</v>
      </c>
      <c r="J46" s="286" cm="1">
        <f t="array" ref="J46">INDEX(FX_Calcs,$V46,J$95)</f>
        <v>0</v>
      </c>
      <c r="K46" s="286" cm="1">
        <f t="array" ref="K46">INDEX(FX_Calcs,$V46,K$95)</f>
        <v>0</v>
      </c>
      <c r="L46" s="286" cm="1">
        <f t="array" ref="L46">INDEX(FX_Calcs,$V46,L$95)</f>
        <v>0</v>
      </c>
      <c r="M46" s="286" cm="1">
        <f t="array" ref="M46">INDEX(FX_Calcs,$V46,M$95)</f>
        <v>0</v>
      </c>
      <c r="N46" s="286" cm="1">
        <f t="array" ref="N46">INDEX(FX_Calcs,$V46,N$95)</f>
        <v>0</v>
      </c>
      <c r="O46" s="286" cm="1">
        <f t="array" ref="O46">INDEX(FX_Calcs,$V46,O$95)</f>
        <v>0</v>
      </c>
      <c r="P46" s="287" cm="1">
        <f t="array" ref="P46">INDEX(FX_Calcs,$V46,P$95)</f>
        <v>0</v>
      </c>
      <c r="Q46" s="288">
        <f t="shared" si="9"/>
        <v>0</v>
      </c>
      <c r="R46" s="289">
        <v>1.5</v>
      </c>
      <c r="T46">
        <f t="shared" si="11"/>
        <v>47</v>
      </c>
      <c r="U46">
        <v>2</v>
      </c>
      <c r="V46">
        <f t="shared" si="12"/>
        <v>24</v>
      </c>
    </row>
    <row r="47" spans="2:22" ht="15.45" x14ac:dyDescent="0.4">
      <c r="B47" s="247" t="str" cm="1">
        <f t="array" ref="B47">INDEX(FX_Input,T47,U47)</f>
        <v>FIXTANK 142</v>
      </c>
      <c r="C47" s="221" t="str" cm="1">
        <f t="array" ref="C47">INDEX(FX_Setup,V47,3)</f>
        <v>Out of Service/Demolished</v>
      </c>
      <c r="D47" s="223" t="str">
        <f t="shared" si="10"/>
        <v>VOC</v>
      </c>
      <c r="E47" s="290" cm="1">
        <f t="array" ref="E47">INDEX(FX_Calcs,$V47,E$95)</f>
        <v>0</v>
      </c>
      <c r="F47" s="250" cm="1">
        <f t="array" ref="F47">INDEX(FX_Calcs,$V47,F$95)</f>
        <v>0</v>
      </c>
      <c r="G47" s="250" cm="1">
        <f t="array" ref="G47">INDEX(FX_Calcs,$V47,G$95)</f>
        <v>0</v>
      </c>
      <c r="H47" s="250" cm="1">
        <f t="array" ref="H47">INDEX(FX_Calcs,$V47,H$95)</f>
        <v>0</v>
      </c>
      <c r="I47" s="291" cm="1">
        <f t="array" ref="I47">INDEX(FX_Calcs,$V47,I$95)</f>
        <v>0</v>
      </c>
      <c r="J47" s="291" cm="1">
        <f t="array" ref="J47">INDEX(FX_Calcs,$V47,J$95)</f>
        <v>0</v>
      </c>
      <c r="K47" s="291" cm="1">
        <f t="array" ref="K47">INDEX(FX_Calcs,$V47,K$95)</f>
        <v>0</v>
      </c>
      <c r="L47" s="291" cm="1">
        <f t="array" ref="L47">INDEX(FX_Calcs,$V47,L$95)</f>
        <v>0</v>
      </c>
      <c r="M47" s="291" cm="1">
        <f t="array" ref="M47">INDEX(FX_Calcs,$V47,M$95)</f>
        <v>0</v>
      </c>
      <c r="N47" s="250" cm="1">
        <f t="array" ref="N47">INDEX(FX_Calcs,$V47,N$95)</f>
        <v>0</v>
      </c>
      <c r="O47" s="250" cm="1">
        <f t="array" ref="O47">INDEX(FX_Calcs,$V47,O$95)</f>
        <v>0</v>
      </c>
      <c r="P47" s="292" cm="1">
        <f t="array" ref="P47">INDEX(FX_Calcs,$V47,P$95)</f>
        <v>0</v>
      </c>
      <c r="Q47" s="299">
        <f t="shared" si="9"/>
        <v>0</v>
      </c>
      <c r="R47" s="294">
        <v>1.5</v>
      </c>
      <c r="T47">
        <f t="shared" si="11"/>
        <v>49</v>
      </c>
      <c r="U47">
        <v>2</v>
      </c>
      <c r="V47">
        <f t="shared" si="12"/>
        <v>25</v>
      </c>
    </row>
    <row r="48" spans="2:22" ht="15.45" x14ac:dyDescent="0.4">
      <c r="B48" s="247" t="str" cm="1">
        <f t="array" ref="B48">INDEX(FX_Input,T48,U48)</f>
        <v>FIXTANK 143</v>
      </c>
      <c r="C48" s="221" t="str" cm="1">
        <f t="array" ref="C48">INDEX(FX_Setup,V48,3)</f>
        <v>Out of Service/Demolished</v>
      </c>
      <c r="D48" s="223" t="str">
        <f t="shared" si="10"/>
        <v>VOC</v>
      </c>
      <c r="E48" s="281" cm="1">
        <f t="array" ref="E48">INDEX(FX_Calcs,$V48,E$95)</f>
        <v>0</v>
      </c>
      <c r="F48" s="282" cm="1">
        <f t="array" ref="F48">INDEX(FX_Calcs,$V48,F$95)</f>
        <v>0</v>
      </c>
      <c r="G48" s="282" cm="1">
        <f t="array" ref="G48">INDEX(FX_Calcs,$V48,G$95)</f>
        <v>0</v>
      </c>
      <c r="H48" s="282" cm="1">
        <f t="array" ref="H48">INDEX(FX_Calcs,$V48,H$95)</f>
        <v>0</v>
      </c>
      <c r="I48" s="282" cm="1">
        <f t="array" ref="I48">INDEX(FX_Calcs,$V48,I$95)</f>
        <v>0</v>
      </c>
      <c r="J48" s="282" cm="1">
        <f t="array" ref="J48">INDEX(FX_Calcs,$V48,J$95)</f>
        <v>0</v>
      </c>
      <c r="K48" s="282" cm="1">
        <f t="array" ref="K48">INDEX(FX_Calcs,$V48,K$95)</f>
        <v>0</v>
      </c>
      <c r="L48" s="282" cm="1">
        <f t="array" ref="L48">INDEX(FX_Calcs,$V48,L$95)</f>
        <v>0</v>
      </c>
      <c r="M48" s="282" cm="1">
        <f t="array" ref="M48">INDEX(FX_Calcs,$V48,M$95)</f>
        <v>0</v>
      </c>
      <c r="N48" s="282" cm="1">
        <f t="array" ref="N48">INDEX(FX_Calcs,$V48,N$95)</f>
        <v>0</v>
      </c>
      <c r="O48" s="282" cm="1">
        <f t="array" ref="O48">INDEX(FX_Calcs,$V48,O$95)</f>
        <v>0</v>
      </c>
      <c r="P48" s="283" cm="1">
        <f t="array" ref="P48">INDEX(FX_Calcs,$V48,P$95)</f>
        <v>0</v>
      </c>
      <c r="Q48" s="276">
        <f t="shared" si="9"/>
        <v>0</v>
      </c>
      <c r="R48" s="277">
        <v>1.5</v>
      </c>
      <c r="T48">
        <f t="shared" si="11"/>
        <v>51</v>
      </c>
      <c r="U48">
        <v>2</v>
      </c>
      <c r="V48">
        <f t="shared" si="12"/>
        <v>26</v>
      </c>
    </row>
    <row r="49" spans="2:22" ht="15.45" x14ac:dyDescent="0.4">
      <c r="B49" s="247" t="str" cm="1">
        <f t="array" ref="B49">INDEX(FX_Input,T49,U49)</f>
        <v>FIXTANK 144</v>
      </c>
      <c r="C49" s="221" t="str" cm="1">
        <f t="array" ref="C49">INDEX(FX_Setup,V49,3)</f>
        <v>Out of Service/Demolished</v>
      </c>
      <c r="D49" s="223" t="str">
        <f t="shared" si="10"/>
        <v>VOC</v>
      </c>
      <c r="E49" s="300" cm="1">
        <f t="array" ref="E49">INDEX(FX_Calcs,$V49,E$95)</f>
        <v>0</v>
      </c>
      <c r="F49" s="301" cm="1">
        <f t="array" ref="F49">INDEX(FX_Calcs,$V49,F$95)</f>
        <v>0</v>
      </c>
      <c r="G49" s="286" cm="1">
        <f t="array" ref="G49">INDEX(FX_Calcs,$V49,G$95)</f>
        <v>0</v>
      </c>
      <c r="H49" s="286" cm="1">
        <f t="array" ref="H49">INDEX(FX_Calcs,$V49,H$95)</f>
        <v>0</v>
      </c>
      <c r="I49" s="286" cm="1">
        <f t="array" ref="I49">INDEX(FX_Calcs,$V49,I$95)</f>
        <v>0</v>
      </c>
      <c r="J49" s="286" cm="1">
        <f t="array" ref="J49">INDEX(FX_Calcs,$V49,J$95)</f>
        <v>0</v>
      </c>
      <c r="K49" s="286" cm="1">
        <f t="array" ref="K49">INDEX(FX_Calcs,$V49,K$95)</f>
        <v>0</v>
      </c>
      <c r="L49" s="286" cm="1">
        <f t="array" ref="L49">INDEX(FX_Calcs,$V49,L$95)</f>
        <v>0</v>
      </c>
      <c r="M49" s="286" cm="1">
        <f t="array" ref="M49">INDEX(FX_Calcs,$V49,M$95)</f>
        <v>0</v>
      </c>
      <c r="N49" s="286" cm="1">
        <f t="array" ref="N49">INDEX(FX_Calcs,$V49,N$95)</f>
        <v>0</v>
      </c>
      <c r="O49" s="286" cm="1">
        <f t="array" ref="O49">INDEX(FX_Calcs,$V49,O$95)</f>
        <v>0</v>
      </c>
      <c r="P49" s="296" cm="1">
        <f t="array" ref="P49">INDEX(FX_Calcs,$V49,P$95)</f>
        <v>0</v>
      </c>
      <c r="Q49" s="288">
        <f t="shared" si="9"/>
        <v>0</v>
      </c>
      <c r="R49" s="302">
        <v>1.5</v>
      </c>
      <c r="T49">
        <f t="shared" si="11"/>
        <v>53</v>
      </c>
      <c r="U49">
        <v>2</v>
      </c>
      <c r="V49">
        <f t="shared" si="12"/>
        <v>27</v>
      </c>
    </row>
    <row r="50" spans="2:22" ht="15.45" x14ac:dyDescent="0.4">
      <c r="B50" s="247" t="str" cm="1">
        <f t="array" ref="B50">INDEX(FX_Input,T50,U50)</f>
        <v>FIXTANK 145</v>
      </c>
      <c r="C50" s="221" t="str" cm="1">
        <f t="array" ref="C50">INDEX(FX_Setup,V50,3)</f>
        <v>Out of Service/Demolished</v>
      </c>
      <c r="D50" s="223" t="str">
        <f t="shared" si="10"/>
        <v>VOC</v>
      </c>
      <c r="E50" s="281" cm="1">
        <f t="array" ref="E50">INDEX(FX_Calcs,$V50,E$95)</f>
        <v>0</v>
      </c>
      <c r="F50" s="282" cm="1">
        <f t="array" ref="F50">INDEX(FX_Calcs,$V50,F$95)</f>
        <v>0</v>
      </c>
      <c r="G50" s="282" cm="1">
        <f t="array" ref="G50">INDEX(FX_Calcs,$V50,G$95)</f>
        <v>0</v>
      </c>
      <c r="H50" s="282" cm="1">
        <f t="array" ref="H50">INDEX(FX_Calcs,$V50,H$95)</f>
        <v>0</v>
      </c>
      <c r="I50" s="282" cm="1">
        <f t="array" ref="I50">INDEX(FX_Calcs,$V50,I$95)</f>
        <v>0</v>
      </c>
      <c r="J50" s="282" cm="1">
        <f t="array" ref="J50">INDEX(FX_Calcs,$V50,J$95)</f>
        <v>0</v>
      </c>
      <c r="K50" s="282" cm="1">
        <f t="array" ref="K50">INDEX(FX_Calcs,$V50,K$95)</f>
        <v>0</v>
      </c>
      <c r="L50" s="282" cm="1">
        <f t="array" ref="L50">INDEX(FX_Calcs,$V50,L$95)</f>
        <v>0</v>
      </c>
      <c r="M50" s="282" cm="1">
        <f t="array" ref="M50">INDEX(FX_Calcs,$V50,M$95)</f>
        <v>0</v>
      </c>
      <c r="N50" s="282" cm="1">
        <f t="array" ref="N50">INDEX(FX_Calcs,$V50,N$95)</f>
        <v>0</v>
      </c>
      <c r="O50" s="282" cm="1">
        <f t="array" ref="O50">INDEX(FX_Calcs,$V50,O$95)</f>
        <v>0</v>
      </c>
      <c r="P50" s="283" cm="1">
        <f t="array" ref="P50">INDEX(FX_Calcs,$V50,P$95)</f>
        <v>0</v>
      </c>
      <c r="Q50" s="276">
        <f t="shared" si="9"/>
        <v>0</v>
      </c>
      <c r="R50" s="277">
        <v>1.5</v>
      </c>
      <c r="T50">
        <f t="shared" si="11"/>
        <v>55</v>
      </c>
      <c r="U50">
        <v>2</v>
      </c>
      <c r="V50">
        <f t="shared" si="12"/>
        <v>28</v>
      </c>
    </row>
    <row r="51" spans="2:22" ht="15.45" x14ac:dyDescent="0.4">
      <c r="B51" s="247" t="str" cm="1">
        <f t="array" ref="B51">INDEX(FX_Input,T51,U51)</f>
        <v>FIXTANK 146</v>
      </c>
      <c r="C51" s="221" t="str" cm="1">
        <f t="array" ref="C51">INDEX(FX_Setup,V51,3)</f>
        <v>Out of Service/Demolished</v>
      </c>
      <c r="D51" s="223" t="str">
        <f t="shared" si="10"/>
        <v>VOC</v>
      </c>
      <c r="E51" s="303" cm="1">
        <f t="array" ref="E51">INDEX(FX_Calcs,$V51,E$95)</f>
        <v>0</v>
      </c>
      <c r="F51" s="249" cm="1">
        <f t="array" ref="F51">INDEX(FX_Calcs,$V51,F$95)</f>
        <v>0</v>
      </c>
      <c r="G51" s="250" cm="1">
        <f t="array" ref="G51">INDEX(FX_Calcs,$V51,G$95)</f>
        <v>0</v>
      </c>
      <c r="H51" s="250" cm="1">
        <f t="array" ref="H51">INDEX(FX_Calcs,$V51,H$95)</f>
        <v>0</v>
      </c>
      <c r="I51" s="250" cm="1">
        <f t="array" ref="I51">INDEX(FX_Calcs,$V51,I$95)</f>
        <v>0</v>
      </c>
      <c r="J51" s="250" cm="1">
        <f t="array" ref="J51">INDEX(FX_Calcs,$V51,J$95)</f>
        <v>0</v>
      </c>
      <c r="K51" s="250" cm="1">
        <f t="array" ref="K51">INDEX(FX_Calcs,$V51,K$95)</f>
        <v>0</v>
      </c>
      <c r="L51" s="250" cm="1">
        <f t="array" ref="L51">INDEX(FX_Calcs,$V51,L$95)</f>
        <v>0</v>
      </c>
      <c r="M51" s="250" cm="1">
        <f t="array" ref="M51">INDEX(FX_Calcs,$V51,M$95)</f>
        <v>0</v>
      </c>
      <c r="N51" s="250" cm="1">
        <f t="array" ref="N51">INDEX(FX_Calcs,$V51,N$95)</f>
        <v>0</v>
      </c>
      <c r="O51" s="250" cm="1">
        <f t="array" ref="O51">INDEX(FX_Calcs,$V51,O$95)</f>
        <v>0</v>
      </c>
      <c r="P51" s="292" cm="1">
        <f t="array" ref="P51">INDEX(FX_Calcs,$V51,P$95)</f>
        <v>0</v>
      </c>
      <c r="Q51" s="293">
        <f t="shared" si="9"/>
        <v>0</v>
      </c>
      <c r="R51" s="294">
        <v>1.5</v>
      </c>
      <c r="T51">
        <f t="shared" si="11"/>
        <v>57</v>
      </c>
      <c r="U51">
        <v>2</v>
      </c>
      <c r="V51">
        <f t="shared" si="12"/>
        <v>29</v>
      </c>
    </row>
    <row r="52" spans="2:22" ht="15.45" x14ac:dyDescent="0.4">
      <c r="B52" s="247" t="str" cm="1">
        <f t="array" ref="B52">INDEX(FX_Input,T52,U52)</f>
        <v>FIXTANK 147</v>
      </c>
      <c r="C52" s="221" t="str" cm="1">
        <f t="array" ref="C52">INDEX(FX_Setup,V52,3)</f>
        <v>Out of Service/Demolished</v>
      </c>
      <c r="D52" s="223" t="str">
        <f t="shared" si="10"/>
        <v>VOC</v>
      </c>
      <c r="E52" s="303" cm="1">
        <f t="array" ref="E52">INDEX(FX_Calcs,$V52,E$95)</f>
        <v>0</v>
      </c>
      <c r="F52" s="249" cm="1">
        <f t="array" ref="F52">INDEX(FX_Calcs,$V52,F$95)</f>
        <v>0</v>
      </c>
      <c r="G52" s="250" cm="1">
        <f t="array" ref="G52">INDEX(FX_Calcs,$V52,G$95)</f>
        <v>0</v>
      </c>
      <c r="H52" s="250" cm="1">
        <f t="array" ref="H52">INDEX(FX_Calcs,$V52,H$95)</f>
        <v>0</v>
      </c>
      <c r="I52" s="250" cm="1">
        <f t="array" ref="I52">INDEX(FX_Calcs,$V52,I$95)</f>
        <v>0</v>
      </c>
      <c r="J52" s="250" cm="1">
        <f t="array" ref="J52">INDEX(FX_Calcs,$V52,J$95)</f>
        <v>0</v>
      </c>
      <c r="K52" s="250" cm="1">
        <f t="array" ref="K52">INDEX(FX_Calcs,$V52,K$95)</f>
        <v>0</v>
      </c>
      <c r="L52" s="250" cm="1">
        <f t="array" ref="L52">INDEX(FX_Calcs,$V52,L$95)</f>
        <v>0</v>
      </c>
      <c r="M52" s="250" cm="1">
        <f t="array" ref="M52">INDEX(FX_Calcs,$V52,M$95)</f>
        <v>0</v>
      </c>
      <c r="N52" s="250" cm="1">
        <f t="array" ref="N52">INDEX(FX_Calcs,$V52,N$95)</f>
        <v>0</v>
      </c>
      <c r="O52" s="250" cm="1">
        <f t="array" ref="O52">INDEX(FX_Calcs,$V52,O$95)</f>
        <v>0</v>
      </c>
      <c r="P52" s="292" cm="1">
        <f t="array" ref="P52">INDEX(FX_Calcs,$V52,P$95)</f>
        <v>0</v>
      </c>
      <c r="Q52" s="293">
        <f t="shared" si="9"/>
        <v>0</v>
      </c>
      <c r="R52" s="280">
        <v>1.5</v>
      </c>
      <c r="T52">
        <f t="shared" si="11"/>
        <v>59</v>
      </c>
      <c r="U52">
        <v>2</v>
      </c>
      <c r="V52">
        <f t="shared" si="12"/>
        <v>30</v>
      </c>
    </row>
    <row r="53" spans="2:22" ht="15.45" x14ac:dyDescent="0.4">
      <c r="B53" s="247" t="str" cm="1">
        <f t="array" ref="B53">INDEX(FX_Input,T53,U53)</f>
        <v>FIXTANK 148</v>
      </c>
      <c r="C53" s="221" t="str" cm="1">
        <f t="array" ref="C53">INDEX(FX_Setup,V53,3)</f>
        <v>Out of Service/Demolished</v>
      </c>
      <c r="D53" s="223" t="str">
        <f t="shared" si="10"/>
        <v>VOC</v>
      </c>
      <c r="E53" s="303" cm="1">
        <f t="array" ref="E53">INDEX(FX_Calcs,$V53,E$95)</f>
        <v>0</v>
      </c>
      <c r="F53" s="249" cm="1">
        <f t="array" ref="F53">INDEX(FX_Calcs,$V53,F$95)</f>
        <v>0</v>
      </c>
      <c r="G53" s="250" cm="1">
        <f t="array" ref="G53">INDEX(FX_Calcs,$V53,G$95)</f>
        <v>0</v>
      </c>
      <c r="H53" s="250" cm="1">
        <f t="array" ref="H53">INDEX(FX_Calcs,$V53,H$95)</f>
        <v>0</v>
      </c>
      <c r="I53" s="250" cm="1">
        <f t="array" ref="I53">INDEX(FX_Calcs,$V53,I$95)</f>
        <v>0</v>
      </c>
      <c r="J53" s="250" cm="1">
        <f t="array" ref="J53">INDEX(FX_Calcs,$V53,J$95)</f>
        <v>0</v>
      </c>
      <c r="K53" s="250" cm="1">
        <f t="array" ref="K53">INDEX(FX_Calcs,$V53,K$95)</f>
        <v>0</v>
      </c>
      <c r="L53" s="250" cm="1">
        <f t="array" ref="L53">INDEX(FX_Calcs,$V53,L$95)</f>
        <v>0</v>
      </c>
      <c r="M53" s="250" cm="1">
        <f t="array" ref="M53">INDEX(FX_Calcs,$V53,M$95)</f>
        <v>0</v>
      </c>
      <c r="N53" s="250" cm="1">
        <f t="array" ref="N53">INDEX(FX_Calcs,$V53,N$95)</f>
        <v>0</v>
      </c>
      <c r="O53" s="250" cm="1">
        <f t="array" ref="O53">INDEX(FX_Calcs,$V53,O$95)</f>
        <v>0</v>
      </c>
      <c r="P53" s="292" cm="1">
        <f t="array" ref="P53">INDEX(FX_Calcs,$V53,P$95)</f>
        <v>0</v>
      </c>
      <c r="Q53" s="293">
        <f t="shared" si="9"/>
        <v>0</v>
      </c>
      <c r="R53" s="280">
        <v>1.5</v>
      </c>
      <c r="T53">
        <f t="shared" si="11"/>
        <v>61</v>
      </c>
      <c r="U53">
        <v>2</v>
      </c>
      <c r="V53">
        <f t="shared" si="12"/>
        <v>31</v>
      </c>
    </row>
    <row r="54" spans="2:22" ht="15.45" x14ac:dyDescent="0.4">
      <c r="B54" s="247" t="str" cm="1">
        <f t="array" ref="B54">INDEX(FX_Input,T54,U54)</f>
        <v>FIXTANK 149</v>
      </c>
      <c r="C54" s="221" t="str" cm="1">
        <f t="array" ref="C54">INDEX(FX_Setup,V54,3)</f>
        <v>Out of Service/Demolished</v>
      </c>
      <c r="D54" s="223" t="str">
        <f t="shared" si="10"/>
        <v>VOC</v>
      </c>
      <c r="E54" s="281" cm="1">
        <f t="array" ref="E54">INDEX(FX_Calcs,$V54,E$95)</f>
        <v>0</v>
      </c>
      <c r="F54" s="282" cm="1">
        <f t="array" ref="F54">INDEX(FX_Calcs,$V54,F$95)</f>
        <v>0</v>
      </c>
      <c r="G54" s="282" cm="1">
        <f t="array" ref="G54">INDEX(FX_Calcs,$V54,G$95)</f>
        <v>0</v>
      </c>
      <c r="H54" s="282" cm="1">
        <f t="array" ref="H54">INDEX(FX_Calcs,$V54,H$95)</f>
        <v>0</v>
      </c>
      <c r="I54" s="282" cm="1">
        <f t="array" ref="I54">INDEX(FX_Calcs,$V54,I$95)</f>
        <v>0</v>
      </c>
      <c r="J54" s="282" cm="1">
        <f t="array" ref="J54">INDEX(FX_Calcs,$V54,J$95)</f>
        <v>0</v>
      </c>
      <c r="K54" s="282" cm="1">
        <f t="array" ref="K54">INDEX(FX_Calcs,$V54,K$95)</f>
        <v>0</v>
      </c>
      <c r="L54" s="282" cm="1">
        <f t="array" ref="L54">INDEX(FX_Calcs,$V54,L$95)</f>
        <v>0</v>
      </c>
      <c r="M54" s="282" cm="1">
        <f t="array" ref="M54">INDEX(FX_Calcs,$V54,M$95)</f>
        <v>0</v>
      </c>
      <c r="N54" s="286" cm="1">
        <f t="array" ref="N54">INDEX(FX_Calcs,$V54,N$95)</f>
        <v>0</v>
      </c>
      <c r="O54" s="286" cm="1">
        <f t="array" ref="O54">INDEX(FX_Calcs,$V54,O$95)</f>
        <v>0</v>
      </c>
      <c r="P54" s="296" cm="1">
        <f t="array" ref="P54">INDEX(FX_Calcs,$V54,P$95)</f>
        <v>0</v>
      </c>
      <c r="Q54" s="288">
        <f t="shared" si="9"/>
        <v>0</v>
      </c>
      <c r="R54" s="298">
        <v>1.5</v>
      </c>
      <c r="T54">
        <f t="shared" si="11"/>
        <v>63</v>
      </c>
      <c r="U54">
        <v>2</v>
      </c>
      <c r="V54">
        <f t="shared" si="12"/>
        <v>32</v>
      </c>
    </row>
    <row r="55" spans="2:22" ht="15.45" x14ac:dyDescent="0.4">
      <c r="B55" s="247" t="str" cm="1">
        <f t="array" ref="B55">INDEX(FX_Input,T55,U55)</f>
        <v>FIXTANK 150</v>
      </c>
      <c r="C55" s="221" t="str" cm="1">
        <f t="array" ref="C55">INDEX(FX_Setup,V55,3)</f>
        <v>Out of Service/Demolished</v>
      </c>
      <c r="D55" s="223" t="str">
        <f t="shared" si="10"/>
        <v>VOC</v>
      </c>
      <c r="E55" s="300" cm="1">
        <f t="array" ref="E55">INDEX(FX_Calcs,$V55,E$95)</f>
        <v>0</v>
      </c>
      <c r="F55" s="301" cm="1">
        <f t="array" ref="F55">INDEX(FX_Calcs,$V55,F$95)</f>
        <v>0</v>
      </c>
      <c r="G55" s="301" cm="1">
        <f t="array" ref="G55">INDEX(FX_Calcs,$V55,G$95)</f>
        <v>0</v>
      </c>
      <c r="H55" s="301" cm="1">
        <f t="array" ref="H55">INDEX(FX_Calcs,$V55,H$95)</f>
        <v>0</v>
      </c>
      <c r="I55" s="301" cm="1">
        <f t="array" ref="I55">INDEX(FX_Calcs,$V55,I$95)</f>
        <v>0</v>
      </c>
      <c r="J55" s="301" cm="1">
        <f t="array" ref="J55">INDEX(FX_Calcs,$V55,J$95)</f>
        <v>0</v>
      </c>
      <c r="K55" s="301" cm="1">
        <f t="array" ref="K55">INDEX(FX_Calcs,$V55,K$95)</f>
        <v>0</v>
      </c>
      <c r="L55" s="301" cm="1">
        <f t="array" ref="L55">INDEX(FX_Calcs,$V55,L$95)</f>
        <v>0</v>
      </c>
      <c r="M55" s="301" cm="1">
        <f t="array" ref="M55">INDEX(FX_Calcs,$V55,M$95)</f>
        <v>0</v>
      </c>
      <c r="N55" s="301" cm="1">
        <f t="array" ref="N55">INDEX(FX_Calcs,$V55,N$95)</f>
        <v>0</v>
      </c>
      <c r="O55" s="301" cm="1">
        <f t="array" ref="O55">INDEX(FX_Calcs,$V55,O$95)</f>
        <v>0</v>
      </c>
      <c r="P55" s="296" cm="1">
        <f t="array" ref="P55">INDEX(FX_Calcs,$V55,P$95)</f>
        <v>0</v>
      </c>
      <c r="Q55" s="288">
        <f t="shared" si="9"/>
        <v>0</v>
      </c>
      <c r="R55" s="304">
        <v>1.5</v>
      </c>
      <c r="T55">
        <f t="shared" si="11"/>
        <v>65</v>
      </c>
      <c r="U55">
        <v>2</v>
      </c>
      <c r="V55">
        <f t="shared" si="12"/>
        <v>33</v>
      </c>
    </row>
    <row r="56" spans="2:22" ht="15.45" x14ac:dyDescent="0.4">
      <c r="B56" s="247" t="str" cm="1">
        <f t="array" ref="B56">INDEX(FX_Input,T56,U56)</f>
        <v>FIXTANK 151</v>
      </c>
      <c r="C56" s="221" t="str" cm="1">
        <f t="array" ref="C56">INDEX(FX_Setup,V56,3)</f>
        <v>Out of Service/Demolished</v>
      </c>
      <c r="D56" s="223" t="str">
        <f t="shared" si="10"/>
        <v>VOC</v>
      </c>
      <c r="E56" s="290" cm="1">
        <f t="array" ref="E56">INDEX(FX_Calcs,$V56,E$95)</f>
        <v>0</v>
      </c>
      <c r="F56" s="250" cm="1">
        <f t="array" ref="F56">INDEX(FX_Calcs,$V56,F$95)</f>
        <v>0</v>
      </c>
      <c r="G56" s="291" cm="1">
        <f t="array" ref="G56">INDEX(FX_Calcs,$V56,G$95)</f>
        <v>0</v>
      </c>
      <c r="H56" s="291" cm="1">
        <f t="array" ref="H56">INDEX(FX_Calcs,$V56,H$95)</f>
        <v>0</v>
      </c>
      <c r="I56" s="291" cm="1">
        <f t="array" ref="I56">INDEX(FX_Calcs,$V56,I$95)</f>
        <v>0</v>
      </c>
      <c r="J56" s="291" cm="1">
        <f t="array" ref="J56">INDEX(FX_Calcs,$V56,J$95)</f>
        <v>0</v>
      </c>
      <c r="K56" s="221" cm="1">
        <f t="array" ref="K56">INDEX(FX_Calcs,$V56,K$95)</f>
        <v>0</v>
      </c>
      <c r="L56" s="291" cm="1">
        <f t="array" ref="L56">INDEX(FX_Calcs,$V56,L$95)</f>
        <v>0</v>
      </c>
      <c r="M56" s="291" cm="1">
        <f t="array" ref="M56">INDEX(FX_Calcs,$V56,M$95)</f>
        <v>0</v>
      </c>
      <c r="N56" s="291" cm="1">
        <f t="array" ref="N56">INDEX(FX_Calcs,$V56,N$95)</f>
        <v>0</v>
      </c>
      <c r="O56" s="291" cm="1">
        <f t="array" ref="O56">INDEX(FX_Calcs,$V56,O$95)</f>
        <v>0</v>
      </c>
      <c r="P56" s="305" cm="1">
        <f t="array" ref="P56">INDEX(FX_Calcs,$V56,P$95)</f>
        <v>0</v>
      </c>
      <c r="Q56" s="299">
        <f t="shared" si="9"/>
        <v>0</v>
      </c>
      <c r="R56" s="294">
        <v>1.5</v>
      </c>
      <c r="T56">
        <f t="shared" si="11"/>
        <v>67</v>
      </c>
      <c r="U56">
        <v>2</v>
      </c>
      <c r="V56">
        <f t="shared" si="12"/>
        <v>34</v>
      </c>
    </row>
    <row r="57" spans="2:22" ht="15.45" x14ac:dyDescent="0.4">
      <c r="B57" s="247" t="str" cm="1">
        <f t="array" ref="B57">INDEX(FX_Input,T57,U57)</f>
        <v>FIXTANK 152</v>
      </c>
      <c r="C57" s="221" t="str" cm="1">
        <f t="array" ref="C57">INDEX(FX_Setup,V57,3)</f>
        <v>Out of Service/Demolished</v>
      </c>
      <c r="D57" s="223" t="str">
        <f t="shared" si="10"/>
        <v>VOC</v>
      </c>
      <c r="E57" s="300" cm="1">
        <f t="array" ref="E57">INDEX(FX_Calcs,$V57,E$95)</f>
        <v>0</v>
      </c>
      <c r="F57" s="301" cm="1">
        <f t="array" ref="F57">INDEX(FX_Calcs,$V57,F$95)</f>
        <v>0</v>
      </c>
      <c r="G57" s="286" cm="1">
        <f t="array" ref="G57">INDEX(FX_Calcs,$V57,G$95)</f>
        <v>0</v>
      </c>
      <c r="H57" s="286" cm="1">
        <f t="array" ref="H57">INDEX(FX_Calcs,$V57,H$95)</f>
        <v>0</v>
      </c>
      <c r="I57" s="286" cm="1">
        <f t="array" ref="I57">INDEX(FX_Calcs,$V57,I$95)</f>
        <v>0</v>
      </c>
      <c r="J57" s="286" cm="1">
        <f t="array" ref="J57">INDEX(FX_Calcs,$V57,J$95)</f>
        <v>0</v>
      </c>
      <c r="K57" s="286" cm="1">
        <f t="array" ref="K57">INDEX(FX_Calcs,$V57,K$95)</f>
        <v>0</v>
      </c>
      <c r="L57" s="286" cm="1">
        <f t="array" ref="L57">INDEX(FX_Calcs,$V57,L$95)</f>
        <v>0</v>
      </c>
      <c r="M57" s="286" cm="1">
        <f t="array" ref="M57">INDEX(FX_Calcs,$V57,M$95)</f>
        <v>0</v>
      </c>
      <c r="N57" s="286" cm="1">
        <f t="array" ref="N57">INDEX(FX_Calcs,$V57,N$95)</f>
        <v>0</v>
      </c>
      <c r="O57" s="286" cm="1">
        <f t="array" ref="O57">INDEX(FX_Calcs,$V57,O$95)</f>
        <v>0</v>
      </c>
      <c r="P57" s="287" cm="1">
        <f t="array" ref="P57">INDEX(FX_Calcs,$V57,P$95)</f>
        <v>0</v>
      </c>
      <c r="Q57" s="288">
        <f t="shared" si="9"/>
        <v>0</v>
      </c>
      <c r="R57" s="304">
        <v>1.5</v>
      </c>
      <c r="T57">
        <f t="shared" si="11"/>
        <v>69</v>
      </c>
      <c r="U57">
        <v>2</v>
      </c>
      <c r="V57">
        <f t="shared" si="12"/>
        <v>35</v>
      </c>
    </row>
    <row r="58" spans="2:22" ht="15.45" x14ac:dyDescent="0.4">
      <c r="B58" s="247" t="str" cm="1">
        <f t="array" ref="B58">INDEX(FX_Input,T58,U58)</f>
        <v>FIXTANK 157</v>
      </c>
      <c r="C58" s="221" t="str" cm="1">
        <f t="array" ref="C58">INDEX(FX_Setup,V58,3)</f>
        <v>Out of Service/Demolished</v>
      </c>
      <c r="D58" s="223" t="str">
        <f t="shared" si="10"/>
        <v>VOC</v>
      </c>
      <c r="E58" s="290" cm="1">
        <f t="array" ref="E58">INDEX(FX_Calcs,$V58,E$95)</f>
        <v>0</v>
      </c>
      <c r="F58" s="250" cm="1">
        <f t="array" ref="F58">INDEX(FX_Calcs,$V58,F$95)</f>
        <v>0</v>
      </c>
      <c r="G58" s="291" cm="1">
        <f t="array" ref="G58">INDEX(FX_Calcs,$V58,G$95)</f>
        <v>0</v>
      </c>
      <c r="H58" s="291" cm="1">
        <f t="array" ref="H58">INDEX(FX_Calcs,$V58,H$95)</f>
        <v>0</v>
      </c>
      <c r="I58" s="291" cm="1">
        <f t="array" ref="I58">INDEX(FX_Calcs,$V58,I$95)</f>
        <v>0</v>
      </c>
      <c r="J58" s="291" cm="1">
        <f t="array" ref="J58">INDEX(FX_Calcs,$V58,J$95)</f>
        <v>0</v>
      </c>
      <c r="K58" s="221" cm="1">
        <f t="array" ref="K58">INDEX(FX_Calcs,$V58,K$95)</f>
        <v>0</v>
      </c>
      <c r="L58" s="291" cm="1">
        <f t="array" ref="L58">INDEX(FX_Calcs,$V58,L$95)</f>
        <v>0</v>
      </c>
      <c r="M58" s="291" cm="1">
        <f t="array" ref="M58">INDEX(FX_Calcs,$V58,M$95)</f>
        <v>0</v>
      </c>
      <c r="N58" s="291" cm="1">
        <f t="array" ref="N58">INDEX(FX_Calcs,$V58,N$95)</f>
        <v>0</v>
      </c>
      <c r="O58" s="291" cm="1">
        <f t="array" ref="O58">INDEX(FX_Calcs,$V58,O$95)</f>
        <v>0</v>
      </c>
      <c r="P58" s="305" cm="1">
        <f t="array" ref="P58">INDEX(FX_Calcs,$V58,P$95)</f>
        <v>0</v>
      </c>
      <c r="Q58" s="299">
        <f t="shared" si="9"/>
        <v>0</v>
      </c>
      <c r="R58" s="294">
        <v>1.5</v>
      </c>
      <c r="T58">
        <f t="shared" si="11"/>
        <v>71</v>
      </c>
      <c r="U58">
        <v>2</v>
      </c>
      <c r="V58">
        <f t="shared" si="12"/>
        <v>36</v>
      </c>
    </row>
    <row r="59" spans="2:22" ht="15.45" x14ac:dyDescent="0.4">
      <c r="B59" s="247" t="str" cm="1">
        <f t="array" ref="B59">INDEX(FX_Input,T59,U59)</f>
        <v>FIXTANK 158</v>
      </c>
      <c r="C59" s="221" t="str" cm="1">
        <f t="array" ref="C59">INDEX(FX_Setup,V59,3)</f>
        <v>Out of Service/Demolished</v>
      </c>
      <c r="D59" s="223" t="str">
        <f t="shared" si="10"/>
        <v>VOC</v>
      </c>
      <c r="E59" s="281" cm="1">
        <f t="array" ref="E59">INDEX(FX_Calcs,$V59,E$95)</f>
        <v>0</v>
      </c>
      <c r="F59" s="282" cm="1">
        <f t="array" ref="F59">INDEX(FX_Calcs,$V59,F$95)</f>
        <v>0</v>
      </c>
      <c r="G59" s="282" cm="1">
        <f t="array" ref="G59">INDEX(FX_Calcs,$V59,G$95)</f>
        <v>0</v>
      </c>
      <c r="H59" s="282" cm="1">
        <f t="array" ref="H59">INDEX(FX_Calcs,$V59,H$95)</f>
        <v>0</v>
      </c>
      <c r="I59" s="282" cm="1">
        <f t="array" ref="I59">INDEX(FX_Calcs,$V59,I$95)</f>
        <v>0</v>
      </c>
      <c r="J59" s="282" cm="1">
        <f t="array" ref="J59">INDEX(FX_Calcs,$V59,J$95)</f>
        <v>0</v>
      </c>
      <c r="K59" s="282" cm="1">
        <f t="array" ref="K59">INDEX(FX_Calcs,$V59,K$95)</f>
        <v>0</v>
      </c>
      <c r="L59" s="282" cm="1">
        <f t="array" ref="L59">INDEX(FX_Calcs,$V59,L$95)</f>
        <v>0</v>
      </c>
      <c r="M59" s="282" cm="1">
        <f t="array" ref="M59">INDEX(FX_Calcs,$V59,M$95)</f>
        <v>0</v>
      </c>
      <c r="N59" s="282" cm="1">
        <f t="array" ref="N59">INDEX(FX_Calcs,$V59,N$95)</f>
        <v>0</v>
      </c>
      <c r="O59" s="282" cm="1">
        <f t="array" ref="O59">INDEX(FX_Calcs,$V59,O$95)</f>
        <v>0</v>
      </c>
      <c r="P59" s="283" cm="1">
        <f t="array" ref="P59">INDEX(FX_Calcs,$V59,P$95)</f>
        <v>0</v>
      </c>
      <c r="Q59" s="276">
        <f t="shared" si="9"/>
        <v>0</v>
      </c>
      <c r="R59" s="277">
        <v>1.5</v>
      </c>
      <c r="T59">
        <f t="shared" si="11"/>
        <v>73</v>
      </c>
      <c r="U59">
        <v>2</v>
      </c>
      <c r="V59">
        <f t="shared" si="12"/>
        <v>37</v>
      </c>
    </row>
    <row r="60" spans="2:22" ht="15.45" x14ac:dyDescent="0.4">
      <c r="B60" s="247" t="str" cm="1">
        <f t="array" ref="B60">INDEX(FX_Input,T60,U60)</f>
        <v>FIXTANK 166</v>
      </c>
      <c r="C60" s="221" t="str" cm="1">
        <f t="array" ref="C60">INDEX(FX_Setup,V60,3)</f>
        <v>Distillates</v>
      </c>
      <c r="D60" s="223" t="str">
        <f t="shared" si="10"/>
        <v>VOC</v>
      </c>
      <c r="E60" s="281" cm="1">
        <f t="array" ref="E60">INDEX(FX_Calcs,$V60,E$95)</f>
        <v>4.739577185808354E-3</v>
      </c>
      <c r="F60" s="282" cm="1">
        <f t="array" ref="F60">INDEX(FX_Calcs,$V60,F$95)</f>
        <v>4.8748667780818778E-3</v>
      </c>
      <c r="G60" s="282" cm="1">
        <f t="array" ref="G60">INDEX(FX_Calcs,$V60,G$95)</f>
        <v>5.119885034186122E-3</v>
      </c>
      <c r="H60" s="282" cm="1">
        <f t="array" ref="H60">INDEX(FX_Calcs,$V60,H$95)</f>
        <v>5.5846958573521795E-3</v>
      </c>
      <c r="I60" s="282" cm="1">
        <f t="array" ref="I60">INDEX(FX_Calcs,$V60,I$95)</f>
        <v>6.5274070972739821E-3</v>
      </c>
      <c r="J60" s="282" cm="1">
        <f t="array" ref="J60">INDEX(FX_Calcs,$V60,J$95)</f>
        <v>7.4199539958878279E-3</v>
      </c>
      <c r="K60" s="282" cm="1">
        <f t="array" ref="K60">INDEX(FX_Calcs,$V60,K$95)</f>
        <v>8.3358107202842254E-3</v>
      </c>
      <c r="L60" s="282" cm="1">
        <f t="array" ref="L60">INDEX(FX_Calcs,$V60,L$95)</f>
        <v>8.4605262729351115E-3</v>
      </c>
      <c r="M60" s="282" cm="1">
        <f t="array" ref="M60">INDEX(FX_Calcs,$V60,M$95)</f>
        <v>7.8399882233967533E-3</v>
      </c>
      <c r="N60" s="282" cm="1">
        <f t="array" ref="N60">INDEX(FX_Calcs,$V60,N$95)</f>
        <v>6.4173462075160911E-3</v>
      </c>
      <c r="O60" s="282" cm="1">
        <f t="array" ref="O60">INDEX(FX_Calcs,$V60,O$95)</f>
        <v>5.3015226887581056E-3</v>
      </c>
      <c r="P60" s="283" cm="1">
        <f t="array" ref="P60">INDEX(FX_Calcs,$V60,P$95)</f>
        <v>4.68970903600947E-3</v>
      </c>
      <c r="Q60" s="276">
        <f t="shared" si="9"/>
        <v>8.4605262729351115E-3</v>
      </c>
      <c r="R60" s="277">
        <v>1.5</v>
      </c>
      <c r="T60">
        <f t="shared" si="11"/>
        <v>75</v>
      </c>
      <c r="U60">
        <v>2</v>
      </c>
      <c r="V60">
        <f t="shared" si="12"/>
        <v>38</v>
      </c>
    </row>
    <row r="61" spans="2:22" ht="15.45" x14ac:dyDescent="0.4">
      <c r="B61" s="247" t="str" cm="1">
        <f t="array" ref="B61">INDEX(FX_Input,T61,U61)</f>
        <v>FIXTANK 167</v>
      </c>
      <c r="C61" s="221" t="str" cm="1">
        <f t="array" ref="C61">INDEX(FX_Setup,V61,3)</f>
        <v>Distillates</v>
      </c>
      <c r="D61" s="223" t="str">
        <f t="shared" si="10"/>
        <v>VOC</v>
      </c>
      <c r="E61" s="303" cm="1">
        <f t="array" ref="E61">INDEX(FX_Calcs,$V61,E$95)</f>
        <v>4.739577185808354E-3</v>
      </c>
      <c r="F61" s="249" cm="1">
        <f t="array" ref="F61">INDEX(FX_Calcs,$V61,F$95)</f>
        <v>4.8748667780818778E-3</v>
      </c>
      <c r="G61" s="249" cm="1">
        <f t="array" ref="G61">INDEX(FX_Calcs,$V61,G$95)</f>
        <v>5.119885034186122E-3</v>
      </c>
      <c r="H61" s="249" cm="1">
        <f t="array" ref="H61">INDEX(FX_Calcs,$V61,H$95)</f>
        <v>5.5846958573521795E-3</v>
      </c>
      <c r="I61" s="250" cm="1">
        <f t="array" ref="I61">INDEX(FX_Calcs,$V61,I$95)</f>
        <v>6.5274070972739821E-3</v>
      </c>
      <c r="J61" s="250" cm="1">
        <f t="array" ref="J61">INDEX(FX_Calcs,$V61,J$95)</f>
        <v>7.4199539958878279E-3</v>
      </c>
      <c r="K61" s="250" cm="1">
        <f t="array" ref="K61">INDEX(FX_Calcs,$V61,K$95)</f>
        <v>8.3358107202842254E-3</v>
      </c>
      <c r="L61" s="250" cm="1">
        <f t="array" ref="L61">INDEX(FX_Calcs,$V61,L$95)</f>
        <v>8.4605262729351115E-3</v>
      </c>
      <c r="M61" s="250" cm="1">
        <f t="array" ref="M61">INDEX(FX_Calcs,$V61,M$95)</f>
        <v>7.8399882233967533E-3</v>
      </c>
      <c r="N61" s="250" cm="1">
        <f t="array" ref="N61">INDEX(FX_Calcs,$V61,N$95)</f>
        <v>6.4173462075160911E-3</v>
      </c>
      <c r="O61" s="249" cm="1">
        <f t="array" ref="O61">INDEX(FX_Calcs,$V61,O$95)</f>
        <v>5.3015226887581056E-3</v>
      </c>
      <c r="P61" s="251" cm="1">
        <f t="array" ref="P61">INDEX(FX_Calcs,$V61,P$95)</f>
        <v>4.68970903600947E-3</v>
      </c>
      <c r="Q61" s="293">
        <f t="shared" si="9"/>
        <v>8.4605262729351115E-3</v>
      </c>
      <c r="R61" s="294">
        <v>1.5</v>
      </c>
      <c r="T61">
        <f t="shared" si="11"/>
        <v>77</v>
      </c>
      <c r="U61">
        <v>2</v>
      </c>
      <c r="V61">
        <f t="shared" si="12"/>
        <v>39</v>
      </c>
    </row>
    <row r="62" spans="2:22" ht="15.45" x14ac:dyDescent="0.4">
      <c r="B62" s="247" t="str" cm="1">
        <f t="array" ref="B62">INDEX(FX_Input,T62,U62)</f>
        <v>FIXTANK 168</v>
      </c>
      <c r="C62" s="221" t="str" cm="1">
        <f t="array" ref="C62">INDEX(FX_Setup,V62,3)</f>
        <v>Distillates</v>
      </c>
      <c r="D62" s="223" t="str">
        <f t="shared" si="10"/>
        <v>VOC</v>
      </c>
      <c r="E62" s="303" cm="1">
        <f t="array" ref="E62">INDEX(FX_Calcs,$V62,E$95)</f>
        <v>4.739577185808354E-3</v>
      </c>
      <c r="F62" s="249" cm="1">
        <f t="array" ref="F62">INDEX(FX_Calcs,$V62,F$95)</f>
        <v>4.8748667780818778E-3</v>
      </c>
      <c r="G62" s="249" cm="1">
        <f t="array" ref="G62">INDEX(FX_Calcs,$V62,G$95)</f>
        <v>5.119885034186122E-3</v>
      </c>
      <c r="H62" s="249" cm="1">
        <f t="array" ref="H62">INDEX(FX_Calcs,$V62,H$95)</f>
        <v>5.5846958573521795E-3</v>
      </c>
      <c r="I62" s="250" cm="1">
        <f t="array" ref="I62">INDEX(FX_Calcs,$V62,I$95)</f>
        <v>6.5274070972739821E-3</v>
      </c>
      <c r="J62" s="250" cm="1">
        <f t="array" ref="J62">INDEX(FX_Calcs,$V62,J$95)</f>
        <v>7.4199539958878279E-3</v>
      </c>
      <c r="K62" s="250" cm="1">
        <f t="array" ref="K62">INDEX(FX_Calcs,$V62,K$95)</f>
        <v>8.3358107202842254E-3</v>
      </c>
      <c r="L62" s="250" cm="1">
        <f t="array" ref="L62">INDEX(FX_Calcs,$V62,L$95)</f>
        <v>8.4605262729351115E-3</v>
      </c>
      <c r="M62" s="250" cm="1">
        <f t="array" ref="M62">INDEX(FX_Calcs,$V62,M$95)</f>
        <v>7.8399882233967533E-3</v>
      </c>
      <c r="N62" s="250" cm="1">
        <f t="array" ref="N62">INDEX(FX_Calcs,$V62,N$95)</f>
        <v>6.4173462075160911E-3</v>
      </c>
      <c r="O62" s="249" cm="1">
        <f t="array" ref="O62">INDEX(FX_Calcs,$V62,O$95)</f>
        <v>5.3015226887581056E-3</v>
      </c>
      <c r="P62" s="251" cm="1">
        <f t="array" ref="P62">INDEX(FX_Calcs,$V62,P$95)</f>
        <v>4.68970903600947E-3</v>
      </c>
      <c r="Q62" s="293">
        <f t="shared" si="9"/>
        <v>8.4605262729351115E-3</v>
      </c>
      <c r="R62" s="294">
        <v>1.5</v>
      </c>
      <c r="T62">
        <f t="shared" si="11"/>
        <v>79</v>
      </c>
      <c r="U62">
        <v>2</v>
      </c>
      <c r="V62">
        <f t="shared" si="12"/>
        <v>40</v>
      </c>
    </row>
    <row r="63" spans="2:22" ht="15.45" x14ac:dyDescent="0.4">
      <c r="B63" s="247" t="str" cm="1">
        <f t="array" ref="B63">INDEX(FX_Input,T63,U63)</f>
        <v>FIXTANK 169</v>
      </c>
      <c r="C63" s="221" t="str" cm="1">
        <f t="array" ref="C63">INDEX(FX_Setup,V63,3)</f>
        <v>Distillates</v>
      </c>
      <c r="D63" s="223" t="str">
        <f t="shared" si="10"/>
        <v>VOC</v>
      </c>
      <c r="E63" s="303" cm="1">
        <f t="array" ref="E63">INDEX(FX_Calcs,$V63,E$95)</f>
        <v>4.739577185808354E-3</v>
      </c>
      <c r="F63" s="249" cm="1">
        <f t="array" ref="F63">INDEX(FX_Calcs,$V63,F$95)</f>
        <v>4.8748667780818778E-3</v>
      </c>
      <c r="G63" s="249" cm="1">
        <f t="array" ref="G63">INDEX(FX_Calcs,$V63,G$95)</f>
        <v>5.119885034186122E-3</v>
      </c>
      <c r="H63" s="249" cm="1">
        <f t="array" ref="H63">INDEX(FX_Calcs,$V63,H$95)</f>
        <v>5.5846958573521795E-3</v>
      </c>
      <c r="I63" s="250" cm="1">
        <f t="array" ref="I63">INDEX(FX_Calcs,$V63,I$95)</f>
        <v>6.5274070972739821E-3</v>
      </c>
      <c r="J63" s="250" cm="1">
        <f t="array" ref="J63">INDEX(FX_Calcs,$V63,J$95)</f>
        <v>7.4199539958878279E-3</v>
      </c>
      <c r="K63" s="250" cm="1">
        <f t="array" ref="K63">INDEX(FX_Calcs,$V63,K$95)</f>
        <v>8.3358107202842254E-3</v>
      </c>
      <c r="L63" s="250" cm="1">
        <f t="array" ref="L63">INDEX(FX_Calcs,$V63,L$95)</f>
        <v>8.4605262729351115E-3</v>
      </c>
      <c r="M63" s="250" cm="1">
        <f t="array" ref="M63">INDEX(FX_Calcs,$V63,M$95)</f>
        <v>7.8399882233967533E-3</v>
      </c>
      <c r="N63" s="250" cm="1">
        <f t="array" ref="N63">INDEX(FX_Calcs,$V63,N$95)</f>
        <v>6.4173462075160911E-3</v>
      </c>
      <c r="O63" s="249" cm="1">
        <f t="array" ref="O63">INDEX(FX_Calcs,$V63,O$95)</f>
        <v>5.3015226887581056E-3</v>
      </c>
      <c r="P63" s="251" cm="1">
        <f t="array" ref="P63">INDEX(FX_Calcs,$V63,P$95)</f>
        <v>4.68970903600947E-3</v>
      </c>
      <c r="Q63" s="293">
        <f t="shared" si="9"/>
        <v>8.4605262729351115E-3</v>
      </c>
      <c r="R63" s="280">
        <v>1.5</v>
      </c>
      <c r="T63">
        <f t="shared" si="11"/>
        <v>81</v>
      </c>
      <c r="U63">
        <v>2</v>
      </c>
      <c r="V63">
        <f t="shared" si="12"/>
        <v>41</v>
      </c>
    </row>
    <row r="64" spans="2:22" ht="15.45" x14ac:dyDescent="0.4">
      <c r="B64" s="247" t="str" cm="1">
        <f t="array" ref="B64">INDEX(FX_Input,T64,U64)</f>
        <v>FIXTANK 170</v>
      </c>
      <c r="C64" s="221" t="str" cm="1">
        <f t="array" ref="C64">INDEX(FX_Setup,V64,3)</f>
        <v>Distillates</v>
      </c>
      <c r="D64" s="223" t="str">
        <f t="shared" si="10"/>
        <v>VOC</v>
      </c>
      <c r="E64" s="303" cm="1">
        <f t="array" ref="E64">INDEX(FX_Calcs,$V64,E$95)</f>
        <v>4.739577185808354E-3</v>
      </c>
      <c r="F64" s="249" cm="1">
        <f t="array" ref="F64">INDEX(FX_Calcs,$V64,F$95)</f>
        <v>4.8748667780818778E-3</v>
      </c>
      <c r="G64" s="249" cm="1">
        <f t="array" ref="G64">INDEX(FX_Calcs,$V64,G$95)</f>
        <v>5.119885034186122E-3</v>
      </c>
      <c r="H64" s="249" cm="1">
        <f t="array" ref="H64">INDEX(FX_Calcs,$V64,H$95)</f>
        <v>5.5846958573521795E-3</v>
      </c>
      <c r="I64" s="250" cm="1">
        <f t="array" ref="I64">INDEX(FX_Calcs,$V64,I$95)</f>
        <v>6.5274070972739821E-3</v>
      </c>
      <c r="J64" s="250" cm="1">
        <f t="array" ref="J64">INDEX(FX_Calcs,$V64,J$95)</f>
        <v>7.4199539958878279E-3</v>
      </c>
      <c r="K64" s="250" cm="1">
        <f t="array" ref="K64">INDEX(FX_Calcs,$V64,K$95)</f>
        <v>8.3358107202842254E-3</v>
      </c>
      <c r="L64" s="250" cm="1">
        <f t="array" ref="L64">INDEX(FX_Calcs,$V64,L$95)</f>
        <v>8.4605262729351115E-3</v>
      </c>
      <c r="M64" s="250" cm="1">
        <f t="array" ref="M64">INDEX(FX_Calcs,$V64,M$95)</f>
        <v>7.8399882233967533E-3</v>
      </c>
      <c r="N64" s="250" cm="1">
        <f t="array" ref="N64">INDEX(FX_Calcs,$V64,N$95)</f>
        <v>6.4173462075160911E-3</v>
      </c>
      <c r="O64" s="249" cm="1">
        <f t="array" ref="O64">INDEX(FX_Calcs,$V64,O$95)</f>
        <v>5.3015226887581056E-3</v>
      </c>
      <c r="P64" s="251" cm="1">
        <f t="array" ref="P64">INDEX(FX_Calcs,$V64,P$95)</f>
        <v>4.68970903600947E-3</v>
      </c>
      <c r="Q64" s="293">
        <f t="shared" si="9"/>
        <v>8.4605262729351115E-3</v>
      </c>
      <c r="R64" s="294">
        <v>1.5</v>
      </c>
      <c r="T64">
        <f t="shared" si="11"/>
        <v>83</v>
      </c>
      <c r="U64">
        <v>2</v>
      </c>
      <c r="V64">
        <f t="shared" si="12"/>
        <v>42</v>
      </c>
    </row>
    <row r="65" spans="2:22" ht="15.45" x14ac:dyDescent="0.4">
      <c r="B65" s="247" t="str" cm="1">
        <f t="array" ref="B65">INDEX(FX_Input,T65,U65)</f>
        <v>FIXTANK 171</v>
      </c>
      <c r="C65" s="221" t="str" cm="1">
        <f t="array" ref="C65">INDEX(FX_Setup,V65,3)</f>
        <v>Distillates</v>
      </c>
      <c r="D65" s="223" t="str">
        <f t="shared" si="10"/>
        <v>VOC</v>
      </c>
      <c r="E65" s="281" cm="1">
        <f t="array" ref="E65">INDEX(FX_Calcs,$V65,E$95)</f>
        <v>4.739577185808354E-3</v>
      </c>
      <c r="F65" s="282" cm="1">
        <f t="array" ref="F65">INDEX(FX_Calcs,$V65,F$95)</f>
        <v>4.8748667780818778E-3</v>
      </c>
      <c r="G65" s="282" cm="1">
        <f t="array" ref="G65">INDEX(FX_Calcs,$V65,G$95)</f>
        <v>5.119885034186122E-3</v>
      </c>
      <c r="H65" s="282" cm="1">
        <f t="array" ref="H65">INDEX(FX_Calcs,$V65,H$95)</f>
        <v>5.5846958573521795E-3</v>
      </c>
      <c r="I65" s="282" cm="1">
        <f t="array" ref="I65">INDEX(FX_Calcs,$V65,I$95)</f>
        <v>6.5274070972739821E-3</v>
      </c>
      <c r="J65" s="282" cm="1">
        <f t="array" ref="J65">INDEX(FX_Calcs,$V65,J$95)</f>
        <v>7.4199539958878279E-3</v>
      </c>
      <c r="K65" s="282" cm="1">
        <f t="array" ref="K65">INDEX(FX_Calcs,$V65,K$95)</f>
        <v>8.3358107202842254E-3</v>
      </c>
      <c r="L65" s="282" cm="1">
        <f t="array" ref="L65">INDEX(FX_Calcs,$V65,L$95)</f>
        <v>8.4605262729351115E-3</v>
      </c>
      <c r="M65" s="282" cm="1">
        <f t="array" ref="M65">INDEX(FX_Calcs,$V65,M$95)</f>
        <v>7.8399882233967533E-3</v>
      </c>
      <c r="N65" s="282" cm="1">
        <f t="array" ref="N65">INDEX(FX_Calcs,$V65,N$95)</f>
        <v>6.4173462075160911E-3</v>
      </c>
      <c r="O65" s="282" cm="1">
        <f t="array" ref="O65">INDEX(FX_Calcs,$V65,O$95)</f>
        <v>5.3015226887581056E-3</v>
      </c>
      <c r="P65" s="283" cm="1">
        <f t="array" ref="P65">INDEX(FX_Calcs,$V65,P$95)</f>
        <v>4.68970903600947E-3</v>
      </c>
      <c r="Q65" s="276">
        <f t="shared" si="9"/>
        <v>8.4605262729351115E-3</v>
      </c>
      <c r="R65" s="277">
        <v>1.5</v>
      </c>
      <c r="T65">
        <f t="shared" si="11"/>
        <v>85</v>
      </c>
      <c r="U65">
        <v>2</v>
      </c>
      <c r="V65">
        <f t="shared" si="12"/>
        <v>43</v>
      </c>
    </row>
    <row r="66" spans="2:22" ht="15.45" x14ac:dyDescent="0.4">
      <c r="B66" s="247" t="str" cm="1">
        <f t="array" ref="B66">INDEX(FX_Input,T66,U66)</f>
        <v>FIXTANK 172</v>
      </c>
      <c r="C66" s="221" t="str" cm="1">
        <f t="array" ref="C66">INDEX(FX_Setup,V66,3)</f>
        <v>Distillates</v>
      </c>
      <c r="D66" s="223" t="str">
        <f t="shared" si="10"/>
        <v>VOC</v>
      </c>
      <c r="E66" s="303" cm="1">
        <f t="array" ref="E66">INDEX(FX_Calcs,$V66,E$95)</f>
        <v>4.739577185808354E-3</v>
      </c>
      <c r="F66" s="249" cm="1">
        <f t="array" ref="F66">INDEX(FX_Calcs,$V66,F$95)</f>
        <v>4.8748667780818778E-3</v>
      </c>
      <c r="G66" s="249" cm="1">
        <f t="array" ref="G66">INDEX(FX_Calcs,$V66,G$95)</f>
        <v>5.119885034186122E-3</v>
      </c>
      <c r="H66" s="249" cm="1">
        <f t="array" ref="H66">INDEX(FX_Calcs,$V66,H$95)</f>
        <v>5.5846958573521795E-3</v>
      </c>
      <c r="I66" s="250" cm="1">
        <f t="array" ref="I66">INDEX(FX_Calcs,$V66,I$95)</f>
        <v>6.5274070972739821E-3</v>
      </c>
      <c r="J66" s="250" cm="1">
        <f t="array" ref="J66">INDEX(FX_Calcs,$V66,J$95)</f>
        <v>7.4199539958878279E-3</v>
      </c>
      <c r="K66" s="250" cm="1">
        <f t="array" ref="K66">INDEX(FX_Calcs,$V66,K$95)</f>
        <v>8.3358107202842254E-3</v>
      </c>
      <c r="L66" s="250" cm="1">
        <f t="array" ref="L66">INDEX(FX_Calcs,$V66,L$95)</f>
        <v>8.4605262729351115E-3</v>
      </c>
      <c r="M66" s="250" cm="1">
        <f t="array" ref="M66">INDEX(FX_Calcs,$V66,M$95)</f>
        <v>7.8399882233967533E-3</v>
      </c>
      <c r="N66" s="250" cm="1">
        <f t="array" ref="N66">INDEX(FX_Calcs,$V66,N$95)</f>
        <v>6.4173462075160911E-3</v>
      </c>
      <c r="O66" s="249" cm="1">
        <f t="array" ref="O66">INDEX(FX_Calcs,$V66,O$95)</f>
        <v>5.3015226887581056E-3</v>
      </c>
      <c r="P66" s="251" cm="1">
        <f t="array" ref="P66">INDEX(FX_Calcs,$V66,P$95)</f>
        <v>4.68970903600947E-3</v>
      </c>
      <c r="Q66" s="293">
        <f t="shared" si="9"/>
        <v>8.4605262729351115E-3</v>
      </c>
      <c r="R66" s="294">
        <v>1.5</v>
      </c>
      <c r="T66">
        <f t="shared" si="11"/>
        <v>87</v>
      </c>
      <c r="U66">
        <v>2</v>
      </c>
      <c r="V66">
        <f t="shared" si="12"/>
        <v>44</v>
      </c>
    </row>
    <row r="67" spans="2:22" ht="15.45" x14ac:dyDescent="0.4">
      <c r="B67" s="247" t="str" cm="1">
        <f t="array" ref="B67">INDEX(FX_Input,T67,U67)</f>
        <v>FIXTANK 173</v>
      </c>
      <c r="C67" s="221" t="str" cm="1">
        <f t="array" ref="C67">INDEX(FX_Setup,V67,3)</f>
        <v>Distillates</v>
      </c>
      <c r="D67" s="223" t="str">
        <f t="shared" si="10"/>
        <v>VOC</v>
      </c>
      <c r="E67" s="303" cm="1">
        <f t="array" ref="E67">INDEX(FX_Calcs,$V67,E$95)</f>
        <v>4.739577185808354E-3</v>
      </c>
      <c r="F67" s="249" cm="1">
        <f t="array" ref="F67">INDEX(FX_Calcs,$V67,F$95)</f>
        <v>4.8748667780818778E-3</v>
      </c>
      <c r="G67" s="249" cm="1">
        <f t="array" ref="G67">INDEX(FX_Calcs,$V67,G$95)</f>
        <v>5.119885034186122E-3</v>
      </c>
      <c r="H67" s="249" cm="1">
        <f t="array" ref="H67">INDEX(FX_Calcs,$V67,H$95)</f>
        <v>5.5846958573521795E-3</v>
      </c>
      <c r="I67" s="250" cm="1">
        <f t="array" ref="I67">INDEX(FX_Calcs,$V67,I$95)</f>
        <v>6.5274070972739821E-3</v>
      </c>
      <c r="J67" s="250" cm="1">
        <f t="array" ref="J67">INDEX(FX_Calcs,$V67,J$95)</f>
        <v>7.4199539958878279E-3</v>
      </c>
      <c r="K67" s="250" cm="1">
        <f t="array" ref="K67">INDEX(FX_Calcs,$V67,K$95)</f>
        <v>8.3358107202842254E-3</v>
      </c>
      <c r="L67" s="250" cm="1">
        <f t="array" ref="L67">INDEX(FX_Calcs,$V67,L$95)</f>
        <v>8.4605262729351115E-3</v>
      </c>
      <c r="M67" s="250" cm="1">
        <f t="array" ref="M67">INDEX(FX_Calcs,$V67,M$95)</f>
        <v>7.8399882233967533E-3</v>
      </c>
      <c r="N67" s="250" cm="1">
        <f t="array" ref="N67">INDEX(FX_Calcs,$V67,N$95)</f>
        <v>6.4173462075160911E-3</v>
      </c>
      <c r="O67" s="249" cm="1">
        <f t="array" ref="O67">INDEX(FX_Calcs,$V67,O$95)</f>
        <v>5.3015226887581056E-3</v>
      </c>
      <c r="P67" s="251" cm="1">
        <f t="array" ref="P67">INDEX(FX_Calcs,$V67,P$95)</f>
        <v>4.68970903600947E-3</v>
      </c>
      <c r="Q67" s="293">
        <f t="shared" si="9"/>
        <v>8.4605262729351115E-3</v>
      </c>
      <c r="R67" s="294">
        <v>1.5</v>
      </c>
      <c r="T67">
        <f t="shared" si="11"/>
        <v>89</v>
      </c>
      <c r="U67">
        <v>2</v>
      </c>
      <c r="V67">
        <f t="shared" si="12"/>
        <v>45</v>
      </c>
    </row>
    <row r="68" spans="2:22" ht="15.45" x14ac:dyDescent="0.4">
      <c r="B68" s="247" t="str" cm="1">
        <f t="array" ref="B68">INDEX(FX_Input,T68,U68)</f>
        <v>FIXTANK 174</v>
      </c>
      <c r="C68" s="221" t="str" cm="1">
        <f t="array" ref="C68">INDEX(FX_Setup,V68,3)</f>
        <v>Distillates</v>
      </c>
      <c r="D68" s="223" t="str">
        <f t="shared" si="10"/>
        <v>VOC</v>
      </c>
      <c r="E68" s="303" cm="1">
        <f t="array" ref="E68">INDEX(FX_Calcs,$V68,E$95)</f>
        <v>4.739577185808354E-3</v>
      </c>
      <c r="F68" s="249" cm="1">
        <f t="array" ref="F68">INDEX(FX_Calcs,$V68,F$95)</f>
        <v>4.8748667780818778E-3</v>
      </c>
      <c r="G68" s="249" cm="1">
        <f t="array" ref="G68">INDEX(FX_Calcs,$V68,G$95)</f>
        <v>5.119885034186122E-3</v>
      </c>
      <c r="H68" s="249" cm="1">
        <f t="array" ref="H68">INDEX(FX_Calcs,$V68,H$95)</f>
        <v>5.5846958573521795E-3</v>
      </c>
      <c r="I68" s="250" cm="1">
        <f t="array" ref="I68">INDEX(FX_Calcs,$V68,I$95)</f>
        <v>6.5274070972739821E-3</v>
      </c>
      <c r="J68" s="250" cm="1">
        <f t="array" ref="J68">INDEX(FX_Calcs,$V68,J$95)</f>
        <v>7.4199539958878279E-3</v>
      </c>
      <c r="K68" s="250" cm="1">
        <f t="array" ref="K68">INDEX(FX_Calcs,$V68,K$95)</f>
        <v>8.3358107202842254E-3</v>
      </c>
      <c r="L68" s="250" cm="1">
        <f t="array" ref="L68">INDEX(FX_Calcs,$V68,L$95)</f>
        <v>8.4605262729351115E-3</v>
      </c>
      <c r="M68" s="250" cm="1">
        <f t="array" ref="M68">INDEX(FX_Calcs,$V68,M$95)</f>
        <v>7.8399882233967533E-3</v>
      </c>
      <c r="N68" s="250" cm="1">
        <f t="array" ref="N68">INDEX(FX_Calcs,$V68,N$95)</f>
        <v>6.4173462075160911E-3</v>
      </c>
      <c r="O68" s="249" cm="1">
        <f t="array" ref="O68">INDEX(FX_Calcs,$V68,O$95)</f>
        <v>5.3015226887581056E-3</v>
      </c>
      <c r="P68" s="251" cm="1">
        <f t="array" ref="P68">INDEX(FX_Calcs,$V68,P$95)</f>
        <v>4.68970903600947E-3</v>
      </c>
      <c r="Q68" s="293">
        <f t="shared" si="9"/>
        <v>8.4605262729351115E-3</v>
      </c>
      <c r="R68" s="294">
        <v>1.5</v>
      </c>
      <c r="T68">
        <f t="shared" si="11"/>
        <v>91</v>
      </c>
      <c r="U68">
        <v>2</v>
      </c>
      <c r="V68">
        <f t="shared" si="12"/>
        <v>46</v>
      </c>
    </row>
    <row r="69" spans="2:22" ht="15.45" x14ac:dyDescent="0.4">
      <c r="B69" s="247" t="str" cm="1">
        <f t="array" ref="B69">INDEX(FX_Input,T69,U69)</f>
        <v>FIXTANK 176</v>
      </c>
      <c r="C69" s="221" t="str" cm="1">
        <f t="array" ref="C69">INDEX(FX_Setup,V69,3)</f>
        <v>Out of Service/Demolished</v>
      </c>
      <c r="D69" s="223" t="str">
        <f t="shared" si="10"/>
        <v>VOC</v>
      </c>
      <c r="E69" s="303" cm="1">
        <f t="array" ref="E69">INDEX(FX_Calcs,$V69,E$95)</f>
        <v>0</v>
      </c>
      <c r="F69" s="249" cm="1">
        <f t="array" ref="F69">INDEX(FX_Calcs,$V69,F$95)</f>
        <v>0</v>
      </c>
      <c r="G69" s="249" cm="1">
        <f t="array" ref="G69">INDEX(FX_Calcs,$V69,G$95)</f>
        <v>0</v>
      </c>
      <c r="H69" s="249" cm="1">
        <f t="array" ref="H69">INDEX(FX_Calcs,$V69,H$95)</f>
        <v>0</v>
      </c>
      <c r="I69" s="250" cm="1">
        <f t="array" ref="I69">INDEX(FX_Calcs,$V69,I$95)</f>
        <v>0</v>
      </c>
      <c r="J69" s="250" cm="1">
        <f t="array" ref="J69">INDEX(FX_Calcs,$V69,J$95)</f>
        <v>0</v>
      </c>
      <c r="K69" s="250" cm="1">
        <f t="array" ref="K69">INDEX(FX_Calcs,$V69,K$95)</f>
        <v>0</v>
      </c>
      <c r="L69" s="250" cm="1">
        <f t="array" ref="L69">INDEX(FX_Calcs,$V69,L$95)</f>
        <v>0</v>
      </c>
      <c r="M69" s="250" cm="1">
        <f t="array" ref="M69">INDEX(FX_Calcs,$V69,M$95)</f>
        <v>0</v>
      </c>
      <c r="N69" s="250" cm="1">
        <f t="array" ref="N69">INDEX(FX_Calcs,$V69,N$95)</f>
        <v>0</v>
      </c>
      <c r="O69" s="249" cm="1">
        <f t="array" ref="O69">INDEX(FX_Calcs,$V69,O$95)</f>
        <v>0</v>
      </c>
      <c r="P69" s="251" cm="1">
        <f t="array" ref="P69">INDEX(FX_Calcs,$V69,P$95)</f>
        <v>0</v>
      </c>
      <c r="Q69" s="293">
        <f t="shared" si="9"/>
        <v>0</v>
      </c>
      <c r="R69" s="294">
        <v>1.5</v>
      </c>
      <c r="T69">
        <f t="shared" si="11"/>
        <v>93</v>
      </c>
      <c r="U69">
        <v>2</v>
      </c>
      <c r="V69">
        <f t="shared" si="12"/>
        <v>47</v>
      </c>
    </row>
    <row r="70" spans="2:22" ht="15.45" x14ac:dyDescent="0.4">
      <c r="B70" s="247" t="str" cm="1">
        <f t="array" ref="B70">INDEX(FX_Input,T70,U70)</f>
        <v>FIXTANK 177</v>
      </c>
      <c r="C70" s="221" t="str" cm="1">
        <f t="array" ref="C70">INDEX(FX_Setup,V70,3)</f>
        <v>Out of Service/Demolished</v>
      </c>
      <c r="D70" s="223" t="str">
        <f t="shared" si="10"/>
        <v>VOC</v>
      </c>
      <c r="E70" s="303" cm="1">
        <f t="array" ref="E70">INDEX(FX_Calcs,$V70,E$95)</f>
        <v>0</v>
      </c>
      <c r="F70" s="249" cm="1">
        <f t="array" ref="F70">INDEX(FX_Calcs,$V70,F$95)</f>
        <v>0</v>
      </c>
      <c r="G70" s="249" cm="1">
        <f t="array" ref="G70">INDEX(FX_Calcs,$V70,G$95)</f>
        <v>0</v>
      </c>
      <c r="H70" s="249" cm="1">
        <f t="array" ref="H70">INDEX(FX_Calcs,$V70,H$95)</f>
        <v>0</v>
      </c>
      <c r="I70" s="250" cm="1">
        <f t="array" ref="I70">INDEX(FX_Calcs,$V70,I$95)</f>
        <v>0</v>
      </c>
      <c r="J70" s="250" cm="1">
        <f t="array" ref="J70">INDEX(FX_Calcs,$V70,J$95)</f>
        <v>0</v>
      </c>
      <c r="K70" s="250" cm="1">
        <f t="array" ref="K70">INDEX(FX_Calcs,$V70,K$95)</f>
        <v>0</v>
      </c>
      <c r="L70" s="250" cm="1">
        <f t="array" ref="L70">INDEX(FX_Calcs,$V70,L$95)</f>
        <v>0</v>
      </c>
      <c r="M70" s="250" cm="1">
        <f t="array" ref="M70">INDEX(FX_Calcs,$V70,M$95)</f>
        <v>0</v>
      </c>
      <c r="N70" s="250" cm="1">
        <f t="array" ref="N70">INDEX(FX_Calcs,$V70,N$95)</f>
        <v>0</v>
      </c>
      <c r="O70" s="249" cm="1">
        <f t="array" ref="O70">INDEX(FX_Calcs,$V70,O$95)</f>
        <v>0</v>
      </c>
      <c r="P70" s="251" cm="1">
        <f t="array" ref="P70">INDEX(FX_Calcs,$V70,P$95)</f>
        <v>0</v>
      </c>
      <c r="Q70" s="293">
        <f t="shared" si="9"/>
        <v>0</v>
      </c>
      <c r="R70" s="294">
        <v>1.5</v>
      </c>
      <c r="T70">
        <f t="shared" si="11"/>
        <v>95</v>
      </c>
      <c r="U70">
        <v>2</v>
      </c>
      <c r="V70">
        <f t="shared" si="12"/>
        <v>48</v>
      </c>
    </row>
    <row r="71" spans="2:22" ht="15.45" x14ac:dyDescent="0.4">
      <c r="B71" s="247" t="str" cm="1">
        <f t="array" ref="B71">INDEX(FX_Input,T71,U71)</f>
        <v>FIXTANK 179</v>
      </c>
      <c r="C71" s="221" t="str" cm="1">
        <f t="array" ref="C71">INDEX(FX_Setup,V71,3)</f>
        <v>Distillates</v>
      </c>
      <c r="D71" s="223" t="str">
        <f t="shared" si="10"/>
        <v>VOC</v>
      </c>
      <c r="E71" s="303" cm="1">
        <f t="array" ref="E71">INDEX(FX_Calcs,$V71,E$95)</f>
        <v>4.883250638471285E-3</v>
      </c>
      <c r="F71" s="249" cm="1">
        <f t="array" ref="F71">INDEX(FX_Calcs,$V71,F$95)</f>
        <v>5.1351067062407989E-3</v>
      </c>
      <c r="G71" s="249" cm="1">
        <f t="array" ref="G71">INDEX(FX_Calcs,$V71,G$95)</f>
        <v>5.5213829543467952E-3</v>
      </c>
      <c r="H71" s="249" cm="1">
        <f t="array" ref="H71">INDEX(FX_Calcs,$V71,H$95)</f>
        <v>6.2124720487193742E-3</v>
      </c>
      <c r="I71" s="250" cm="1">
        <f t="array" ref="I71">INDEX(FX_Calcs,$V71,I$95)</f>
        <v>7.4209663387537275E-3</v>
      </c>
      <c r="J71" s="250" cm="1">
        <f t="array" ref="J71">INDEX(FX_Calcs,$V71,J$95)</f>
        <v>8.4819819298252285E-3</v>
      </c>
      <c r="K71" s="250" cm="1">
        <f t="array" ref="K71">INDEX(FX_Calcs,$V71,K$95)</f>
        <v>9.5741064128135375E-3</v>
      </c>
      <c r="L71" s="250" cm="1">
        <f t="array" ref="L71">INDEX(FX_Calcs,$V71,L$95)</f>
        <v>9.5478148180509845E-3</v>
      </c>
      <c r="M71" s="250" cm="1">
        <f t="array" ref="M71">INDEX(FX_Calcs,$V71,M$95)</f>
        <v>8.6464528192362108E-3</v>
      </c>
      <c r="N71" s="250" cm="1">
        <f t="array" ref="N71">INDEX(FX_Calcs,$V71,N$95)</f>
        <v>6.8218393379121701E-3</v>
      </c>
      <c r="O71" s="249" cm="1">
        <f t="array" ref="O71">INDEX(FX_Calcs,$V71,O$95)</f>
        <v>5.4827140055800742E-3</v>
      </c>
      <c r="P71" s="251" cm="1">
        <f t="array" ref="P71">INDEX(FX_Calcs,$V71,P$95)</f>
        <v>4.8148298503950734E-3</v>
      </c>
      <c r="Q71" s="293">
        <f t="shared" si="9"/>
        <v>9.5741064128135375E-3</v>
      </c>
      <c r="R71" s="294">
        <v>1.5</v>
      </c>
      <c r="T71">
        <f t="shared" si="11"/>
        <v>97</v>
      </c>
      <c r="U71">
        <v>2</v>
      </c>
      <c r="V71">
        <f t="shared" si="12"/>
        <v>49</v>
      </c>
    </row>
    <row r="72" spans="2:22" ht="15.45" x14ac:dyDescent="0.4">
      <c r="B72" s="247" t="str" cm="1">
        <f t="array" ref="B72">INDEX(FX_Input,T72,U72)</f>
        <v>FIXTANK 180</v>
      </c>
      <c r="C72" s="221" t="str" cm="1">
        <f t="array" ref="C72">INDEX(FX_Setup,V72,3)</f>
        <v>Distillates</v>
      </c>
      <c r="D72" s="223" t="str">
        <f t="shared" si="10"/>
        <v>VOC</v>
      </c>
      <c r="E72" s="303" cm="1">
        <f t="array" ref="E72">INDEX(FX_Calcs,$V72,E$95)</f>
        <v>4.883250638471285E-3</v>
      </c>
      <c r="F72" s="249" cm="1">
        <f t="array" ref="F72">INDEX(FX_Calcs,$V72,F$95)</f>
        <v>5.1351067062407989E-3</v>
      </c>
      <c r="G72" s="249" cm="1">
        <f t="array" ref="G72">INDEX(FX_Calcs,$V72,G$95)</f>
        <v>5.5213829543467952E-3</v>
      </c>
      <c r="H72" s="249" cm="1">
        <f t="array" ref="H72">INDEX(FX_Calcs,$V72,H$95)</f>
        <v>6.2124720487193742E-3</v>
      </c>
      <c r="I72" s="249" cm="1">
        <f t="array" ref="I72">INDEX(FX_Calcs,$V72,I$95)</f>
        <v>7.4209663387537275E-3</v>
      </c>
      <c r="J72" s="250" cm="1">
        <f t="array" ref="J72">INDEX(FX_Calcs,$V72,J$95)</f>
        <v>8.4819819298252285E-3</v>
      </c>
      <c r="K72" s="250" cm="1">
        <f t="array" ref="K72">INDEX(FX_Calcs,$V72,K$95)</f>
        <v>9.5741064128135375E-3</v>
      </c>
      <c r="L72" s="250" cm="1">
        <f t="array" ref="L72">INDEX(FX_Calcs,$V72,L$95)</f>
        <v>9.5478148180509845E-3</v>
      </c>
      <c r="M72" s="250" cm="1">
        <f t="array" ref="M72">INDEX(FX_Calcs,$V72,M$95)</f>
        <v>8.6464528192362108E-3</v>
      </c>
      <c r="N72" s="249" cm="1">
        <f t="array" ref="N72">INDEX(FX_Calcs,$V72,N$95)</f>
        <v>6.8218393379121701E-3</v>
      </c>
      <c r="O72" s="249" cm="1">
        <f t="array" ref="O72">INDEX(FX_Calcs,$V72,O$95)</f>
        <v>5.4827140055800742E-3</v>
      </c>
      <c r="P72" s="251" cm="1">
        <f t="array" ref="P72">INDEX(FX_Calcs,$V72,P$95)</f>
        <v>4.8148298503950734E-3</v>
      </c>
      <c r="Q72" s="279">
        <f t="shared" si="9"/>
        <v>9.5741064128135375E-3</v>
      </c>
      <c r="R72" s="294">
        <v>1.5</v>
      </c>
      <c r="T72">
        <f t="shared" si="11"/>
        <v>99</v>
      </c>
      <c r="U72">
        <v>2</v>
      </c>
      <c r="V72">
        <f t="shared" si="12"/>
        <v>50</v>
      </c>
    </row>
    <row r="73" spans="2:22" ht="15.45" x14ac:dyDescent="0.4">
      <c r="B73" s="247" t="str" cm="1">
        <f t="array" ref="B73">INDEX(FX_Input,T73,U73)</f>
        <v>FIXTANK 181</v>
      </c>
      <c r="C73" s="221" t="str" cm="1">
        <f t="array" ref="C73">INDEX(FX_Setup,V73,3)</f>
        <v>Out of Service/Demolished</v>
      </c>
      <c r="D73" s="223" t="str">
        <f t="shared" si="10"/>
        <v>VOC</v>
      </c>
      <c r="E73" s="303" cm="1">
        <f t="array" ref="E73">INDEX(FX_Calcs,$V73,E$95)</f>
        <v>0</v>
      </c>
      <c r="F73" s="249" cm="1">
        <f t="array" ref="F73">INDEX(FX_Calcs,$V73,F$95)</f>
        <v>0</v>
      </c>
      <c r="G73" s="249" cm="1">
        <f t="array" ref="G73">INDEX(FX_Calcs,$V73,G$95)</f>
        <v>0</v>
      </c>
      <c r="H73" s="249" cm="1">
        <f t="array" ref="H73">INDEX(FX_Calcs,$V73,H$95)</f>
        <v>0</v>
      </c>
      <c r="I73" s="250" cm="1">
        <f t="array" ref="I73">INDEX(FX_Calcs,$V73,I$95)</f>
        <v>0</v>
      </c>
      <c r="J73" s="250" cm="1">
        <f t="array" ref="J73">INDEX(FX_Calcs,$V73,J$95)</f>
        <v>0</v>
      </c>
      <c r="K73" s="250" cm="1">
        <f t="array" ref="K73">INDEX(FX_Calcs,$V73,K$95)</f>
        <v>0</v>
      </c>
      <c r="L73" s="250" cm="1">
        <f t="array" ref="L73">INDEX(FX_Calcs,$V73,L$95)</f>
        <v>0</v>
      </c>
      <c r="M73" s="250" cm="1">
        <f t="array" ref="M73">INDEX(FX_Calcs,$V73,M$95)</f>
        <v>0</v>
      </c>
      <c r="N73" s="250" cm="1">
        <f t="array" ref="N73">INDEX(FX_Calcs,$V73,N$95)</f>
        <v>0</v>
      </c>
      <c r="O73" s="249" cm="1">
        <f t="array" ref="O73">INDEX(FX_Calcs,$V73,O$95)</f>
        <v>0</v>
      </c>
      <c r="P73" s="251" cm="1">
        <f t="array" ref="P73">INDEX(FX_Calcs,$V73,P$95)</f>
        <v>0</v>
      </c>
      <c r="Q73" s="293">
        <f t="shared" si="9"/>
        <v>0</v>
      </c>
      <c r="R73" s="294">
        <v>1.5</v>
      </c>
      <c r="T73">
        <f t="shared" si="11"/>
        <v>101</v>
      </c>
      <c r="U73">
        <v>2</v>
      </c>
      <c r="V73">
        <f t="shared" si="12"/>
        <v>51</v>
      </c>
    </row>
    <row r="74" spans="2:22" ht="15.45" x14ac:dyDescent="0.4">
      <c r="B74" s="247" t="str" cm="1">
        <f t="array" ref="B74">INDEX(FX_Input,T74,U74)</f>
        <v>FIXTANK 182</v>
      </c>
      <c r="C74" s="221" t="str" cm="1">
        <f t="array" ref="C74">INDEX(FX_Setup,V74,3)</f>
        <v>Distillates</v>
      </c>
      <c r="D74" s="223" t="str">
        <f t="shared" si="10"/>
        <v>VOC</v>
      </c>
      <c r="E74" s="303" cm="1">
        <f t="array" ref="E74">INDEX(FX_Calcs,$V74,E$95)</f>
        <v>5.0788096823034274E-3</v>
      </c>
      <c r="F74" s="249" cm="1">
        <f t="array" ref="F74">INDEX(FX_Calcs,$V74,F$95)</f>
        <v>5.4974545080270654E-3</v>
      </c>
      <c r="G74" s="250" cm="1">
        <f t="array" ref="G74">INDEX(FX_Calcs,$V74,G$95)</f>
        <v>6.0939776204352973E-3</v>
      </c>
      <c r="H74" s="250" cm="1">
        <f t="array" ref="H74">INDEX(FX_Calcs,$V74,H$95)</f>
        <v>7.1364512548726224E-3</v>
      </c>
      <c r="I74" s="250" cm="1">
        <f t="array" ref="I74">INDEX(FX_Calcs,$V74,I$95)</f>
        <v>8.765284653116507E-3</v>
      </c>
      <c r="J74" s="250" cm="1">
        <f t="array" ref="J74">INDEX(FX_Calcs,$V74,J$95)</f>
        <v>1.0088391497030216E-2</v>
      </c>
      <c r="K74" s="250" cm="1">
        <f t="array" ref="K74">INDEX(FX_Calcs,$V74,K$95)</f>
        <v>1.1455846008049875E-2</v>
      </c>
      <c r="L74" s="250" cm="1">
        <f t="array" ref="L74">INDEX(FX_Calcs,$V74,L$95)</f>
        <v>1.1170957772624744E-2</v>
      </c>
      <c r="M74" s="250" cm="1">
        <f t="array" ref="M74">INDEX(FX_Calcs,$V74,M$95)</f>
        <v>9.8227622663598323E-3</v>
      </c>
      <c r="N74" s="250" cm="1">
        <f t="array" ref="N74">INDEX(FX_Calcs,$V74,N$95)</f>
        <v>7.3902409367879104E-3</v>
      </c>
      <c r="O74" s="250" cm="1">
        <f t="array" ref="O74">INDEX(FX_Calcs,$V74,O$95)</f>
        <v>5.7302815955729341E-3</v>
      </c>
      <c r="P74" s="251" cm="1">
        <f t="array" ref="P74">INDEX(FX_Calcs,$V74,P$95)</f>
        <v>4.9845202750316486E-3</v>
      </c>
      <c r="Q74" s="293">
        <f t="shared" si="9"/>
        <v>1.1455846008049875E-2</v>
      </c>
      <c r="R74" s="294">
        <v>1.5</v>
      </c>
      <c r="T74">
        <f t="shared" si="11"/>
        <v>103</v>
      </c>
      <c r="U74">
        <v>2</v>
      </c>
      <c r="V74">
        <f t="shared" si="12"/>
        <v>52</v>
      </c>
    </row>
    <row r="75" spans="2:22" ht="15.45" x14ac:dyDescent="0.4">
      <c r="B75" s="247" t="str" cm="1">
        <f t="array" ref="B75">INDEX(FX_Input,T75,U75)</f>
        <v>FIXTANK 183</v>
      </c>
      <c r="C75" s="221" t="str" cm="1">
        <f t="array" ref="C75">INDEX(FX_Setup,V75,3)</f>
        <v>Distillates</v>
      </c>
      <c r="D75" s="223" t="str">
        <f t="shared" si="10"/>
        <v>VOC</v>
      </c>
      <c r="E75" s="303" cm="1">
        <f t="array" ref="E75">INDEX(FX_Calcs,$V75,E$95)</f>
        <v>5.0788096823034274E-3</v>
      </c>
      <c r="F75" s="249" cm="1">
        <f t="array" ref="F75">INDEX(FX_Calcs,$V75,F$95)</f>
        <v>5.4974545080270654E-3</v>
      </c>
      <c r="G75" s="250" cm="1">
        <f t="array" ref="G75">INDEX(FX_Calcs,$V75,G$95)</f>
        <v>6.0939776204352973E-3</v>
      </c>
      <c r="H75" s="250" cm="1">
        <f t="array" ref="H75">INDEX(FX_Calcs,$V75,H$95)</f>
        <v>7.1364512548726224E-3</v>
      </c>
      <c r="I75" s="250" cm="1">
        <f t="array" ref="I75">INDEX(FX_Calcs,$V75,I$95)</f>
        <v>8.765284653116507E-3</v>
      </c>
      <c r="J75" s="250" cm="1">
        <f t="array" ref="J75">INDEX(FX_Calcs,$V75,J$95)</f>
        <v>1.0088391497030216E-2</v>
      </c>
      <c r="K75" s="250" cm="1">
        <f t="array" ref="K75">INDEX(FX_Calcs,$V75,K$95)</f>
        <v>1.1455846008049875E-2</v>
      </c>
      <c r="L75" s="250" cm="1">
        <f t="array" ref="L75">INDEX(FX_Calcs,$V75,L$95)</f>
        <v>1.1170957772624744E-2</v>
      </c>
      <c r="M75" s="250" cm="1">
        <f t="array" ref="M75">INDEX(FX_Calcs,$V75,M$95)</f>
        <v>9.8227622663598323E-3</v>
      </c>
      <c r="N75" s="250" cm="1">
        <f t="array" ref="N75">INDEX(FX_Calcs,$V75,N$95)</f>
        <v>7.3902409367879104E-3</v>
      </c>
      <c r="O75" s="250" cm="1">
        <f t="array" ref="O75">INDEX(FX_Calcs,$V75,O$95)</f>
        <v>5.7302815955729341E-3</v>
      </c>
      <c r="P75" s="251" cm="1">
        <f t="array" ref="P75">INDEX(FX_Calcs,$V75,P$95)</f>
        <v>4.9845202750316486E-3</v>
      </c>
      <c r="Q75" s="293">
        <f t="shared" si="9"/>
        <v>1.1455846008049875E-2</v>
      </c>
      <c r="R75" s="294">
        <v>1.5</v>
      </c>
      <c r="T75">
        <f t="shared" si="11"/>
        <v>105</v>
      </c>
      <c r="U75">
        <v>2</v>
      </c>
      <c r="V75">
        <f t="shared" si="12"/>
        <v>53</v>
      </c>
    </row>
    <row r="76" spans="2:22" ht="15.45" x14ac:dyDescent="0.4">
      <c r="B76" s="247" t="str" cm="1">
        <f t="array" ref="B76">INDEX(FX_Input,T76,U76)</f>
        <v>FIXTANK 184</v>
      </c>
      <c r="C76" s="221" t="str" cm="1">
        <f t="array" ref="C76">INDEX(FX_Setup,V76,3)</f>
        <v>Distillates</v>
      </c>
      <c r="D76" s="223" t="str">
        <f t="shared" si="10"/>
        <v>VOC</v>
      </c>
      <c r="E76" s="303" cm="1">
        <f t="array" ref="E76">INDEX(FX_Calcs,$V76,E$95)</f>
        <v>5.0788096823034274E-3</v>
      </c>
      <c r="F76" s="249" cm="1">
        <f t="array" ref="F76">INDEX(FX_Calcs,$V76,F$95)</f>
        <v>5.4974545080270654E-3</v>
      </c>
      <c r="G76" s="250" cm="1">
        <f t="array" ref="G76">INDEX(FX_Calcs,$V76,G$95)</f>
        <v>6.0939776204352973E-3</v>
      </c>
      <c r="H76" s="250" cm="1">
        <f t="array" ref="H76">INDEX(FX_Calcs,$V76,H$95)</f>
        <v>7.1364512548726224E-3</v>
      </c>
      <c r="I76" s="250" cm="1">
        <f t="array" ref="I76">INDEX(FX_Calcs,$V76,I$95)</f>
        <v>8.765284653116507E-3</v>
      </c>
      <c r="J76" s="250" cm="1">
        <f t="array" ref="J76">INDEX(FX_Calcs,$V76,J$95)</f>
        <v>1.0088391497030216E-2</v>
      </c>
      <c r="K76" s="250" cm="1">
        <f t="array" ref="K76">INDEX(FX_Calcs,$V76,K$95)</f>
        <v>1.1455846008049875E-2</v>
      </c>
      <c r="L76" s="250" cm="1">
        <f t="array" ref="L76">INDEX(FX_Calcs,$V76,L$95)</f>
        <v>1.1170957772624744E-2</v>
      </c>
      <c r="M76" s="250" cm="1">
        <f t="array" ref="M76">INDEX(FX_Calcs,$V76,M$95)</f>
        <v>9.8227622663598323E-3</v>
      </c>
      <c r="N76" s="250" cm="1">
        <f t="array" ref="N76">INDEX(FX_Calcs,$V76,N$95)</f>
        <v>7.3902409367879104E-3</v>
      </c>
      <c r="O76" s="250" cm="1">
        <f t="array" ref="O76">INDEX(FX_Calcs,$V76,O$95)</f>
        <v>5.7302815955729341E-3</v>
      </c>
      <c r="P76" s="251" cm="1">
        <f t="array" ref="P76">INDEX(FX_Calcs,$V76,P$95)</f>
        <v>4.9845202750316486E-3</v>
      </c>
      <c r="Q76" s="293">
        <f t="shared" si="9"/>
        <v>1.1455846008049875E-2</v>
      </c>
      <c r="R76" s="294">
        <v>1.5</v>
      </c>
      <c r="T76">
        <f t="shared" si="11"/>
        <v>107</v>
      </c>
      <c r="U76">
        <v>2</v>
      </c>
      <c r="V76">
        <f t="shared" si="12"/>
        <v>54</v>
      </c>
    </row>
    <row r="77" spans="2:22" ht="15.45" x14ac:dyDescent="0.4">
      <c r="B77" s="247" t="str" cm="1">
        <f t="array" ref="B77">INDEX(FX_Input,T77,U77)</f>
        <v>FIXTANK 185</v>
      </c>
      <c r="C77" s="221" t="str" cm="1">
        <f t="array" ref="C77">INDEX(FX_Setup,V77,3)</f>
        <v>Distillates</v>
      </c>
      <c r="D77" s="223" t="str">
        <f t="shared" si="10"/>
        <v>VOC</v>
      </c>
      <c r="E77" s="303" cm="1">
        <f t="array" ref="E77">INDEX(FX_Calcs,$V77,E$95)</f>
        <v>5.0788096823034274E-3</v>
      </c>
      <c r="F77" s="249" cm="1">
        <f t="array" ref="F77">INDEX(FX_Calcs,$V77,F$95)</f>
        <v>5.4974545080270654E-3</v>
      </c>
      <c r="G77" s="250" cm="1">
        <f t="array" ref="G77">INDEX(FX_Calcs,$V77,G$95)</f>
        <v>6.0939776204352973E-3</v>
      </c>
      <c r="H77" s="250" cm="1">
        <f t="array" ref="H77">INDEX(FX_Calcs,$V77,H$95)</f>
        <v>7.1364512548726224E-3</v>
      </c>
      <c r="I77" s="250" cm="1">
        <f t="array" ref="I77">INDEX(FX_Calcs,$V77,I$95)</f>
        <v>8.765284653116507E-3</v>
      </c>
      <c r="J77" s="250" cm="1">
        <f t="array" ref="J77">INDEX(FX_Calcs,$V77,J$95)</f>
        <v>1.0088391497030216E-2</v>
      </c>
      <c r="K77" s="250" cm="1">
        <f t="array" ref="K77">INDEX(FX_Calcs,$V77,K$95)</f>
        <v>1.1455846008049875E-2</v>
      </c>
      <c r="L77" s="250" cm="1">
        <f t="array" ref="L77">INDEX(FX_Calcs,$V77,L$95)</f>
        <v>1.1170957772624744E-2</v>
      </c>
      <c r="M77" s="250" cm="1">
        <f t="array" ref="M77">INDEX(FX_Calcs,$V77,M$95)</f>
        <v>9.8227622663598323E-3</v>
      </c>
      <c r="N77" s="250" cm="1">
        <f t="array" ref="N77">INDEX(FX_Calcs,$V77,N$95)</f>
        <v>7.3902409367879104E-3</v>
      </c>
      <c r="O77" s="250" cm="1">
        <f t="array" ref="O77">INDEX(FX_Calcs,$V77,O$95)</f>
        <v>5.7302815955729341E-3</v>
      </c>
      <c r="P77" s="251" cm="1">
        <f t="array" ref="P77">INDEX(FX_Calcs,$V77,P$95)</f>
        <v>4.9845202750316486E-3</v>
      </c>
      <c r="Q77" s="293">
        <f t="shared" si="9"/>
        <v>1.1455846008049875E-2</v>
      </c>
      <c r="R77" s="294">
        <v>1.5</v>
      </c>
      <c r="T77">
        <f t="shared" si="11"/>
        <v>109</v>
      </c>
      <c r="U77">
        <v>2</v>
      </c>
      <c r="V77">
        <f t="shared" si="12"/>
        <v>55</v>
      </c>
    </row>
    <row r="78" spans="2:22" ht="15.45" x14ac:dyDescent="0.4">
      <c r="B78" s="247" t="str" cm="1">
        <f t="array" ref="B78">INDEX(FX_Input,T78,U78)</f>
        <v>FIXTANK 202</v>
      </c>
      <c r="C78" s="221" t="str" cm="1">
        <f t="array" ref="C78">INDEX(FX_Setup,V78,3)</f>
        <v>Distillates</v>
      </c>
      <c r="D78" s="223" t="str">
        <f t="shared" si="10"/>
        <v>VOC</v>
      </c>
      <c r="E78" s="303" cm="1">
        <f t="array" ref="E78">INDEX(FX_Calcs,$V78,E$95)</f>
        <v>4.8847213797703236E-3</v>
      </c>
      <c r="F78" s="249" cm="1">
        <f t="array" ref="F78">INDEX(FX_Calcs,$V78,F$95)</f>
        <v>5.1377970454196883E-3</v>
      </c>
      <c r="G78" s="250" cm="1">
        <f t="array" ref="G78">INDEX(FX_Calcs,$V78,G$95)</f>
        <v>5.5255769197630547E-3</v>
      </c>
      <c r="H78" s="250" cm="1">
        <f t="array" ref="H78">INDEX(FX_Calcs,$V78,H$95)</f>
        <v>6.219119610903932E-3</v>
      </c>
      <c r="I78" s="250" cm="1">
        <f t="array" ref="I78">INDEX(FX_Calcs,$V78,I$95)</f>
        <v>7.430518180814979E-3</v>
      </c>
      <c r="J78" s="250" cm="1">
        <f t="array" ref="J78">INDEX(FX_Calcs,$V78,J$95)</f>
        <v>8.4933610792594406E-3</v>
      </c>
      <c r="K78" s="250" cm="1">
        <f t="array" ref="K78">INDEX(FX_Calcs,$V78,K$95)</f>
        <v>9.5874007696552591E-3</v>
      </c>
      <c r="L78" s="250" cm="1">
        <f t="array" ref="L78">INDEX(FX_Calcs,$V78,L$95)</f>
        <v>9.5593988737869996E-3</v>
      </c>
      <c r="M78" s="250" cm="1">
        <f t="array" ref="M78">INDEX(FX_Calcs,$V78,M$95)</f>
        <v>8.6549593565446326E-3</v>
      </c>
      <c r="N78" s="250" cm="1">
        <f t="array" ref="N78">INDEX(FX_Calcs,$V78,N$95)</f>
        <v>6.8260376495002202E-3</v>
      </c>
      <c r="O78" s="250" cm="1">
        <f t="array" ref="O78">INDEX(FX_Calcs,$V78,O$95)</f>
        <v>5.4845718776011703E-3</v>
      </c>
      <c r="P78" s="251" cm="1">
        <f t="array" ref="P78">INDEX(FX_Calcs,$V78,P$95)</f>
        <v>4.8161086599927579E-3</v>
      </c>
      <c r="Q78" s="293">
        <f t="shared" si="9"/>
        <v>9.5874007696552591E-3</v>
      </c>
      <c r="R78" s="294">
        <v>1.5</v>
      </c>
      <c r="T78">
        <f t="shared" si="11"/>
        <v>111</v>
      </c>
      <c r="U78">
        <v>2</v>
      </c>
      <c r="V78">
        <f t="shared" si="12"/>
        <v>56</v>
      </c>
    </row>
    <row r="79" spans="2:22" ht="15.45" x14ac:dyDescent="0.4">
      <c r="B79" s="247" t="str" cm="1">
        <f t="array" ref="B79">INDEX(FX_Input,T79,U79)</f>
        <v>FIXTANK 203</v>
      </c>
      <c r="C79" s="221" t="str" cm="1">
        <f t="array" ref="C79">INDEX(FX_Setup,V79,3)</f>
        <v>Distillates</v>
      </c>
      <c r="D79" s="223" t="str">
        <f t="shared" si="10"/>
        <v>VOC</v>
      </c>
      <c r="E79" s="303" cm="1">
        <f t="array" ref="E79">INDEX(FX_Calcs,$V79,E$95)</f>
        <v>4.8847213797703236E-3</v>
      </c>
      <c r="F79" s="249" cm="1">
        <f t="array" ref="F79">INDEX(FX_Calcs,$V79,F$95)</f>
        <v>5.1377970454196883E-3</v>
      </c>
      <c r="G79" s="250" cm="1">
        <f t="array" ref="G79">INDEX(FX_Calcs,$V79,G$95)</f>
        <v>5.5255769197630547E-3</v>
      </c>
      <c r="H79" s="250" cm="1">
        <f t="array" ref="H79">INDEX(FX_Calcs,$V79,H$95)</f>
        <v>6.219119610903932E-3</v>
      </c>
      <c r="I79" s="250" cm="1">
        <f t="array" ref="I79">INDEX(FX_Calcs,$V79,I$95)</f>
        <v>7.430518180814979E-3</v>
      </c>
      <c r="J79" s="250" cm="1">
        <f t="array" ref="J79">INDEX(FX_Calcs,$V79,J$95)</f>
        <v>8.4933610792594406E-3</v>
      </c>
      <c r="K79" s="250" cm="1">
        <f t="array" ref="K79">INDEX(FX_Calcs,$V79,K$95)</f>
        <v>9.5874007696552591E-3</v>
      </c>
      <c r="L79" s="250" cm="1">
        <f t="array" ref="L79">INDEX(FX_Calcs,$V79,L$95)</f>
        <v>9.5593988737869996E-3</v>
      </c>
      <c r="M79" s="250" cm="1">
        <f t="array" ref="M79">INDEX(FX_Calcs,$V79,M$95)</f>
        <v>8.6549593565446326E-3</v>
      </c>
      <c r="N79" s="250" cm="1">
        <f t="array" ref="N79">INDEX(FX_Calcs,$V79,N$95)</f>
        <v>6.8260376495002202E-3</v>
      </c>
      <c r="O79" s="250" cm="1">
        <f t="array" ref="O79">INDEX(FX_Calcs,$V79,O$95)</f>
        <v>5.4845718776011703E-3</v>
      </c>
      <c r="P79" s="251" cm="1">
        <f t="array" ref="P79">INDEX(FX_Calcs,$V79,P$95)</f>
        <v>4.8161086599927579E-3</v>
      </c>
      <c r="Q79" s="293">
        <f t="shared" ref="Q79:Q83" si="13">MAX(E79:P79)</f>
        <v>9.5874007696552591E-3</v>
      </c>
      <c r="R79" s="294">
        <v>1.5</v>
      </c>
      <c r="T79">
        <f t="shared" si="11"/>
        <v>113</v>
      </c>
      <c r="U79">
        <v>2</v>
      </c>
      <c r="V79">
        <f t="shared" si="12"/>
        <v>57</v>
      </c>
    </row>
    <row r="80" spans="2:22" ht="15.45" x14ac:dyDescent="0.4">
      <c r="B80" s="247" t="str" cm="1">
        <f t="array" ref="B80">INDEX(FX_Input,T80,U80)</f>
        <v>FIXTANK 204</v>
      </c>
      <c r="C80" s="221" t="str" cm="1">
        <f t="array" ref="C80">INDEX(FX_Setup,V80,3)</f>
        <v>Distillates</v>
      </c>
      <c r="D80" s="223" t="str">
        <f t="shared" si="10"/>
        <v>VOC</v>
      </c>
      <c r="E80" s="303" cm="1">
        <f t="array" ref="E80">INDEX(FX_Calcs,$V80,E$95)</f>
        <v>4.8847213797703236E-3</v>
      </c>
      <c r="F80" s="249" cm="1">
        <f t="array" ref="F80">INDEX(FX_Calcs,$V80,F$95)</f>
        <v>5.1377970454196883E-3</v>
      </c>
      <c r="G80" s="250" cm="1">
        <f t="array" ref="G80">INDEX(FX_Calcs,$V80,G$95)</f>
        <v>5.5255769197630547E-3</v>
      </c>
      <c r="H80" s="250" cm="1">
        <f t="array" ref="H80">INDEX(FX_Calcs,$V80,H$95)</f>
        <v>6.219119610903932E-3</v>
      </c>
      <c r="I80" s="250" cm="1">
        <f t="array" ref="I80">INDEX(FX_Calcs,$V80,I$95)</f>
        <v>7.430518180814979E-3</v>
      </c>
      <c r="J80" s="250" cm="1">
        <f t="array" ref="J80">INDEX(FX_Calcs,$V80,J$95)</f>
        <v>8.4933610792594406E-3</v>
      </c>
      <c r="K80" s="250" cm="1">
        <f t="array" ref="K80">INDEX(FX_Calcs,$V80,K$95)</f>
        <v>9.5874007696552591E-3</v>
      </c>
      <c r="L80" s="250" cm="1">
        <f t="array" ref="L80">INDEX(FX_Calcs,$V80,L$95)</f>
        <v>9.5593988737869996E-3</v>
      </c>
      <c r="M80" s="250" cm="1">
        <f t="array" ref="M80">INDEX(FX_Calcs,$V80,M$95)</f>
        <v>8.6549593565446326E-3</v>
      </c>
      <c r="N80" s="250" cm="1">
        <f t="array" ref="N80">INDEX(FX_Calcs,$V80,N$95)</f>
        <v>6.8260376495002202E-3</v>
      </c>
      <c r="O80" s="250" cm="1">
        <f t="array" ref="O80">INDEX(FX_Calcs,$V80,O$95)</f>
        <v>5.4845718776011703E-3</v>
      </c>
      <c r="P80" s="251" cm="1">
        <f t="array" ref="P80">INDEX(FX_Calcs,$V80,P$95)</f>
        <v>4.8161086599927579E-3</v>
      </c>
      <c r="Q80" s="293">
        <f t="shared" si="13"/>
        <v>9.5874007696552591E-3</v>
      </c>
      <c r="R80" s="294">
        <v>1.5</v>
      </c>
      <c r="T80">
        <f t="shared" si="11"/>
        <v>115</v>
      </c>
      <c r="U80">
        <v>2</v>
      </c>
      <c r="V80">
        <f t="shared" si="12"/>
        <v>58</v>
      </c>
    </row>
    <row r="81" spans="2:22" ht="15.45" x14ac:dyDescent="0.4">
      <c r="B81" s="247" t="str" cm="1">
        <f t="array" ref="B81">INDEX(FX_Input,T81,U81)</f>
        <v>FIXTANK 205</v>
      </c>
      <c r="C81" s="221" t="str" cm="1">
        <f t="array" ref="C81">INDEX(FX_Setup,V81,3)</f>
        <v>Distillates</v>
      </c>
      <c r="D81" s="223" t="str">
        <f t="shared" si="10"/>
        <v>VOC</v>
      </c>
      <c r="E81" s="303" cm="1">
        <f t="array" ref="E81">INDEX(FX_Calcs,$V81,E$95)</f>
        <v>4.8847213797703236E-3</v>
      </c>
      <c r="F81" s="249" cm="1">
        <f t="array" ref="F81">INDEX(FX_Calcs,$V81,F$95)</f>
        <v>5.1377970454196883E-3</v>
      </c>
      <c r="G81" s="250" cm="1">
        <f t="array" ref="G81">INDEX(FX_Calcs,$V81,G$95)</f>
        <v>5.5255769197630547E-3</v>
      </c>
      <c r="H81" s="250" cm="1">
        <f t="array" ref="H81">INDEX(FX_Calcs,$V81,H$95)</f>
        <v>6.219119610903932E-3</v>
      </c>
      <c r="I81" s="250" cm="1">
        <f t="array" ref="I81">INDEX(FX_Calcs,$V81,I$95)</f>
        <v>7.430518180814979E-3</v>
      </c>
      <c r="J81" s="250" cm="1">
        <f t="array" ref="J81">INDEX(FX_Calcs,$V81,J$95)</f>
        <v>8.4933610792594406E-3</v>
      </c>
      <c r="K81" s="250" cm="1">
        <f t="array" ref="K81">INDEX(FX_Calcs,$V81,K$95)</f>
        <v>9.5874007696552591E-3</v>
      </c>
      <c r="L81" s="250" cm="1">
        <f t="array" ref="L81">INDEX(FX_Calcs,$V81,L$95)</f>
        <v>9.5593988737869996E-3</v>
      </c>
      <c r="M81" s="250" cm="1">
        <f t="array" ref="M81">INDEX(FX_Calcs,$V81,M$95)</f>
        <v>8.6549593565446326E-3</v>
      </c>
      <c r="N81" s="250" cm="1">
        <f t="array" ref="N81">INDEX(FX_Calcs,$V81,N$95)</f>
        <v>6.8260376495002202E-3</v>
      </c>
      <c r="O81" s="250" cm="1">
        <f t="array" ref="O81">INDEX(FX_Calcs,$V81,O$95)</f>
        <v>5.4845718776011703E-3</v>
      </c>
      <c r="P81" s="251" cm="1">
        <f t="array" ref="P81">INDEX(FX_Calcs,$V81,P$95)</f>
        <v>4.8161086599927579E-3</v>
      </c>
      <c r="Q81" s="293">
        <f t="shared" si="13"/>
        <v>9.5874007696552591E-3</v>
      </c>
      <c r="R81" s="294">
        <v>1.5</v>
      </c>
      <c r="T81">
        <f t="shared" si="11"/>
        <v>117</v>
      </c>
      <c r="U81">
        <v>2</v>
      </c>
      <c r="V81">
        <f t="shared" si="12"/>
        <v>59</v>
      </c>
    </row>
    <row r="82" spans="2:22" ht="15.45" x14ac:dyDescent="0.4">
      <c r="B82" s="247" t="str" cm="1">
        <f t="array" ref="B82">INDEX(FX_Input,T82,U82)</f>
        <v>FIXTANK 207</v>
      </c>
      <c r="C82" s="221" t="str" cm="1">
        <f t="array" ref="C82">INDEX(FX_Setup,V82,3)</f>
        <v>Distillates</v>
      </c>
      <c r="D82" s="223" t="str">
        <f t="shared" si="10"/>
        <v>VOC</v>
      </c>
      <c r="E82" s="303" cm="1">
        <f t="array" ref="E82">INDEX(FX_Calcs,$V82,E$95)</f>
        <v>4.8847213797703236E-3</v>
      </c>
      <c r="F82" s="249" cm="1">
        <f t="array" ref="F82">INDEX(FX_Calcs,$V82,F$95)</f>
        <v>5.1377970454196883E-3</v>
      </c>
      <c r="G82" s="250" cm="1">
        <f t="array" ref="G82">INDEX(FX_Calcs,$V82,G$95)</f>
        <v>5.5255769197630547E-3</v>
      </c>
      <c r="H82" s="250" cm="1">
        <f t="array" ref="H82">INDEX(FX_Calcs,$V82,H$95)</f>
        <v>6.219119610903932E-3</v>
      </c>
      <c r="I82" s="250" cm="1">
        <f t="array" ref="I82">INDEX(FX_Calcs,$V82,I$95)</f>
        <v>7.430518180814979E-3</v>
      </c>
      <c r="J82" s="250" cm="1">
        <f t="array" ref="J82">INDEX(FX_Calcs,$V82,J$95)</f>
        <v>8.4933610792594406E-3</v>
      </c>
      <c r="K82" s="250" cm="1">
        <f t="array" ref="K82">INDEX(FX_Calcs,$V82,K$95)</f>
        <v>9.5874007696552591E-3</v>
      </c>
      <c r="L82" s="250" cm="1">
        <f t="array" ref="L82">INDEX(FX_Calcs,$V82,L$95)</f>
        <v>9.5593988737869996E-3</v>
      </c>
      <c r="M82" s="250" cm="1">
        <f t="array" ref="M82">INDEX(FX_Calcs,$V82,M$95)</f>
        <v>8.6549593565446326E-3</v>
      </c>
      <c r="N82" s="250" cm="1">
        <f t="array" ref="N82">INDEX(FX_Calcs,$V82,N$95)</f>
        <v>6.8260376495002202E-3</v>
      </c>
      <c r="O82" s="250" cm="1">
        <f t="array" ref="O82">INDEX(FX_Calcs,$V82,O$95)</f>
        <v>5.4845718776011703E-3</v>
      </c>
      <c r="P82" s="251" cm="1">
        <f t="array" ref="P82">INDEX(FX_Calcs,$V82,P$95)</f>
        <v>4.8161086599927579E-3</v>
      </c>
      <c r="Q82" s="293">
        <f t="shared" si="13"/>
        <v>9.5874007696552591E-3</v>
      </c>
      <c r="R82" s="294">
        <v>1.5</v>
      </c>
      <c r="T82">
        <f t="shared" si="11"/>
        <v>119</v>
      </c>
      <c r="U82">
        <v>2</v>
      </c>
      <c r="V82">
        <f t="shared" si="12"/>
        <v>60</v>
      </c>
    </row>
    <row r="83" spans="2:22" ht="15.45" x14ac:dyDescent="0.4">
      <c r="B83" s="247" t="str" cm="1">
        <f t="array" ref="B83">INDEX(FX_Input,T83,U83)</f>
        <v>FIXTANK 208</v>
      </c>
      <c r="C83" s="221" t="str" cm="1">
        <f t="array" ref="C83">INDEX(FX_Setup,V83,3)</f>
        <v>Distillates</v>
      </c>
      <c r="D83" s="223" t="str">
        <f t="shared" si="10"/>
        <v>VOC</v>
      </c>
      <c r="E83" s="303" cm="1">
        <f t="array" ref="E83">INDEX(FX_Calcs,$V83,E$95)</f>
        <v>4.8847213797703236E-3</v>
      </c>
      <c r="F83" s="249" cm="1">
        <f t="array" ref="F83">INDEX(FX_Calcs,$V83,F$95)</f>
        <v>5.1377970454196883E-3</v>
      </c>
      <c r="G83" s="250" cm="1">
        <f t="array" ref="G83">INDEX(FX_Calcs,$V83,G$95)</f>
        <v>5.5255769197630547E-3</v>
      </c>
      <c r="H83" s="250" cm="1">
        <f t="array" ref="H83">INDEX(FX_Calcs,$V83,H$95)</f>
        <v>6.219119610903932E-3</v>
      </c>
      <c r="I83" s="250" cm="1">
        <f t="array" ref="I83">INDEX(FX_Calcs,$V83,I$95)</f>
        <v>7.430518180814979E-3</v>
      </c>
      <c r="J83" s="250" cm="1">
        <f t="array" ref="J83">INDEX(FX_Calcs,$V83,J$95)</f>
        <v>8.4933610792594406E-3</v>
      </c>
      <c r="K83" s="250" cm="1">
        <f t="array" ref="K83">INDEX(FX_Calcs,$V83,K$95)</f>
        <v>9.5874007696552591E-3</v>
      </c>
      <c r="L83" s="250" cm="1">
        <f t="array" ref="L83">INDEX(FX_Calcs,$V83,L$95)</f>
        <v>9.5593988737869996E-3</v>
      </c>
      <c r="M83" s="250" cm="1">
        <f t="array" ref="M83">INDEX(FX_Calcs,$V83,M$95)</f>
        <v>8.6549593565446326E-3</v>
      </c>
      <c r="N83" s="250" cm="1">
        <f t="array" ref="N83">INDEX(FX_Calcs,$V83,N$95)</f>
        <v>6.8260376495002202E-3</v>
      </c>
      <c r="O83" s="250" cm="1">
        <f t="array" ref="O83">INDEX(FX_Calcs,$V83,O$95)</f>
        <v>5.4845718776011703E-3</v>
      </c>
      <c r="P83" s="251" cm="1">
        <f t="array" ref="P83">INDEX(FX_Calcs,$V83,P$95)</f>
        <v>4.8161086599927579E-3</v>
      </c>
      <c r="Q83" s="293">
        <f t="shared" si="13"/>
        <v>9.5874007696552591E-3</v>
      </c>
      <c r="R83" s="294">
        <v>1.5</v>
      </c>
      <c r="T83">
        <f t="shared" si="11"/>
        <v>121</v>
      </c>
      <c r="U83">
        <v>2</v>
      </c>
      <c r="V83">
        <f t="shared" si="12"/>
        <v>61</v>
      </c>
    </row>
    <row r="84" spans="2:22" ht="15.45" x14ac:dyDescent="0.4">
      <c r="B84" s="247" t="str" cm="1">
        <f t="array" ref="B84">INDEX(FX_Input,T84,U84)</f>
        <v>FIXTANK 209</v>
      </c>
      <c r="C84" s="221" t="str" cm="1">
        <f t="array" ref="C84">INDEX(FX_Setup,V84,3)</f>
        <v>Distillates</v>
      </c>
      <c r="D84" s="223" t="str">
        <f t="shared" si="10"/>
        <v>VOC</v>
      </c>
      <c r="E84" s="303" cm="1">
        <f t="array" ref="E84">INDEX(FX_Calcs,$V84,E$95)</f>
        <v>4.739577185808354E-3</v>
      </c>
      <c r="F84" s="249" cm="1">
        <f t="array" ref="F84">INDEX(FX_Calcs,$V84,F$95)</f>
        <v>4.8748667780818778E-3</v>
      </c>
      <c r="G84" s="250" cm="1">
        <f t="array" ref="G84">INDEX(FX_Calcs,$V84,G$95)</f>
        <v>5.119885034186122E-3</v>
      </c>
      <c r="H84" s="250" cm="1">
        <f t="array" ref="H84">INDEX(FX_Calcs,$V84,H$95)</f>
        <v>5.5846958573521795E-3</v>
      </c>
      <c r="I84" s="250" cm="1">
        <f t="array" ref="I84">INDEX(FX_Calcs,$V84,I$95)</f>
        <v>6.5274070972739821E-3</v>
      </c>
      <c r="J84" s="250" cm="1">
        <f t="array" ref="J84">INDEX(FX_Calcs,$V84,J$95)</f>
        <v>7.4199539958878279E-3</v>
      </c>
      <c r="K84" s="250" cm="1">
        <f t="array" ref="K84">INDEX(FX_Calcs,$V84,K$95)</f>
        <v>8.3358107202842254E-3</v>
      </c>
      <c r="L84" s="250" cm="1">
        <f t="array" ref="L84">INDEX(FX_Calcs,$V84,L$95)</f>
        <v>8.4605262729351115E-3</v>
      </c>
      <c r="M84" s="250" cm="1">
        <f t="array" ref="M84">INDEX(FX_Calcs,$V84,M$95)</f>
        <v>7.8399882233967533E-3</v>
      </c>
      <c r="N84" s="250" cm="1">
        <f t="array" ref="N84">INDEX(FX_Calcs,$V84,N$95)</f>
        <v>6.4173462075160911E-3</v>
      </c>
      <c r="O84" s="250" cm="1">
        <f t="array" ref="O84">INDEX(FX_Calcs,$V84,O$95)</f>
        <v>5.3015226887581056E-3</v>
      </c>
      <c r="P84" s="251" cm="1">
        <f t="array" ref="P84">INDEX(FX_Calcs,$V84,P$95)</f>
        <v>4.68970903600947E-3</v>
      </c>
      <c r="Q84" s="293">
        <f t="shared" ref="Q84:Q88" si="14">MAX(E84:P84)</f>
        <v>8.4605262729351115E-3</v>
      </c>
      <c r="R84" s="294">
        <v>1.5</v>
      </c>
      <c r="T84">
        <f t="shared" si="11"/>
        <v>123</v>
      </c>
      <c r="U84">
        <v>2</v>
      </c>
      <c r="V84">
        <f t="shared" si="12"/>
        <v>62</v>
      </c>
    </row>
    <row r="85" spans="2:22" ht="15.45" x14ac:dyDescent="0.4">
      <c r="B85" s="247" t="str" cm="1">
        <f t="array" ref="B85">INDEX(FX_Input,T85,U85)</f>
        <v>FIXTANK 211</v>
      </c>
      <c r="C85" s="221" t="str" cm="1">
        <f t="array" ref="C85">INDEX(FX_Setup,V85,3)</f>
        <v>Distillates</v>
      </c>
      <c r="D85" s="223" t="str">
        <f t="shared" si="10"/>
        <v>VOC</v>
      </c>
      <c r="E85" s="303" cm="1">
        <f t="array" ref="E85">INDEX(FX_Calcs,$V85,E$95)</f>
        <v>4.739577185808354E-3</v>
      </c>
      <c r="F85" s="249" cm="1">
        <f t="array" ref="F85">INDEX(FX_Calcs,$V85,F$95)</f>
        <v>4.8748667780818778E-3</v>
      </c>
      <c r="G85" s="250" cm="1">
        <f t="array" ref="G85">INDEX(FX_Calcs,$V85,G$95)</f>
        <v>5.119885034186122E-3</v>
      </c>
      <c r="H85" s="250" cm="1">
        <f t="array" ref="H85">INDEX(FX_Calcs,$V85,H$95)</f>
        <v>5.5846958573521795E-3</v>
      </c>
      <c r="I85" s="250" cm="1">
        <f t="array" ref="I85">INDEX(FX_Calcs,$V85,I$95)</f>
        <v>6.5274070972739821E-3</v>
      </c>
      <c r="J85" s="250" cm="1">
        <f t="array" ref="J85">INDEX(FX_Calcs,$V85,J$95)</f>
        <v>7.4199539958878279E-3</v>
      </c>
      <c r="K85" s="250" cm="1">
        <f t="array" ref="K85">INDEX(FX_Calcs,$V85,K$95)</f>
        <v>8.3358107202842254E-3</v>
      </c>
      <c r="L85" s="250" cm="1">
        <f t="array" ref="L85">INDEX(FX_Calcs,$V85,L$95)</f>
        <v>8.4605262729351115E-3</v>
      </c>
      <c r="M85" s="250" cm="1">
        <f t="array" ref="M85">INDEX(FX_Calcs,$V85,M$95)</f>
        <v>7.8399882233967533E-3</v>
      </c>
      <c r="N85" s="250" cm="1">
        <f t="array" ref="N85">INDEX(FX_Calcs,$V85,N$95)</f>
        <v>6.4173462075160911E-3</v>
      </c>
      <c r="O85" s="250" cm="1">
        <f t="array" ref="O85">INDEX(FX_Calcs,$V85,O$95)</f>
        <v>5.3015226887581056E-3</v>
      </c>
      <c r="P85" s="251" cm="1">
        <f t="array" ref="P85">INDEX(FX_Calcs,$V85,P$95)</f>
        <v>4.68970903600947E-3</v>
      </c>
      <c r="Q85" s="293">
        <f t="shared" si="14"/>
        <v>8.4605262729351115E-3</v>
      </c>
      <c r="R85" s="294">
        <v>1.5</v>
      </c>
      <c r="T85">
        <f t="shared" si="11"/>
        <v>125</v>
      </c>
      <c r="U85">
        <v>2</v>
      </c>
      <c r="V85">
        <f t="shared" si="12"/>
        <v>63</v>
      </c>
    </row>
    <row r="86" spans="2:22" ht="15.45" x14ac:dyDescent="0.4">
      <c r="B86" s="247" t="str" cm="1">
        <f t="array" ref="B86">INDEX(FX_Input,T86,U86)</f>
        <v>FIXTANK 213</v>
      </c>
      <c r="C86" s="221" t="str" cm="1">
        <f t="array" ref="C86">INDEX(FX_Setup,V86,3)</f>
        <v>Distillates</v>
      </c>
      <c r="D86" s="223" t="str">
        <f t="shared" si="10"/>
        <v>VOC</v>
      </c>
      <c r="E86" s="303" cm="1">
        <f t="array" ref="E86">INDEX(FX_Calcs,$V86,E$95)</f>
        <v>4.739577185808354E-3</v>
      </c>
      <c r="F86" s="249" cm="1">
        <f t="array" ref="F86">INDEX(FX_Calcs,$V86,F$95)</f>
        <v>4.8748667780818778E-3</v>
      </c>
      <c r="G86" s="250" cm="1">
        <f t="array" ref="G86">INDEX(FX_Calcs,$V86,G$95)</f>
        <v>5.119885034186122E-3</v>
      </c>
      <c r="H86" s="250" cm="1">
        <f t="array" ref="H86">INDEX(FX_Calcs,$V86,H$95)</f>
        <v>5.5846958573521795E-3</v>
      </c>
      <c r="I86" s="250" cm="1">
        <f t="array" ref="I86">INDEX(FX_Calcs,$V86,I$95)</f>
        <v>6.5274070972739821E-3</v>
      </c>
      <c r="J86" s="250" cm="1">
        <f t="array" ref="J86">INDEX(FX_Calcs,$V86,J$95)</f>
        <v>7.4199539958878279E-3</v>
      </c>
      <c r="K86" s="250" cm="1">
        <f t="array" ref="K86">INDEX(FX_Calcs,$V86,K$95)</f>
        <v>8.3358107202842254E-3</v>
      </c>
      <c r="L86" s="250" cm="1">
        <f t="array" ref="L86">INDEX(FX_Calcs,$V86,L$95)</f>
        <v>8.4605262729351115E-3</v>
      </c>
      <c r="M86" s="250" cm="1">
        <f t="array" ref="M86">INDEX(FX_Calcs,$V86,M$95)</f>
        <v>7.8399882233967533E-3</v>
      </c>
      <c r="N86" s="250" cm="1">
        <f t="array" ref="N86">INDEX(FX_Calcs,$V86,N$95)</f>
        <v>6.4173462075160911E-3</v>
      </c>
      <c r="O86" s="250" cm="1">
        <f t="array" ref="O86">INDEX(FX_Calcs,$V86,O$95)</f>
        <v>5.3015226887581056E-3</v>
      </c>
      <c r="P86" s="251" cm="1">
        <f t="array" ref="P86">INDEX(FX_Calcs,$V86,P$95)</f>
        <v>4.68970903600947E-3</v>
      </c>
      <c r="Q86" s="293">
        <f t="shared" si="14"/>
        <v>8.4605262729351115E-3</v>
      </c>
      <c r="R86" s="294">
        <v>1.5</v>
      </c>
      <c r="T86">
        <f t="shared" si="11"/>
        <v>127</v>
      </c>
      <c r="U86">
        <v>2</v>
      </c>
      <c r="V86">
        <f t="shared" si="12"/>
        <v>64</v>
      </c>
    </row>
    <row r="87" spans="2:22" ht="15.45" x14ac:dyDescent="0.4">
      <c r="B87" s="247" t="str" cm="1">
        <f t="array" ref="B87">INDEX(FX_Input,T87,U87)</f>
        <v>FIXTANK 306</v>
      </c>
      <c r="C87" s="221" t="str" cm="1">
        <f t="array" ref="C87">INDEX(FX_Setup,V87,3)</f>
        <v>Distillates</v>
      </c>
      <c r="D87" s="223" t="str">
        <f t="shared" si="10"/>
        <v>VOC</v>
      </c>
      <c r="E87" s="303" cm="1">
        <f t="array" ref="E87">INDEX(FX_Calcs,$V87,E$95)</f>
        <v>4.739577185808354E-3</v>
      </c>
      <c r="F87" s="249" cm="1">
        <f t="array" ref="F87">INDEX(FX_Calcs,$V87,F$95)</f>
        <v>4.8748667780818778E-3</v>
      </c>
      <c r="G87" s="250" cm="1">
        <f t="array" ref="G87">INDEX(FX_Calcs,$V87,G$95)</f>
        <v>5.119885034186122E-3</v>
      </c>
      <c r="H87" s="250" cm="1">
        <f t="array" ref="H87">INDEX(FX_Calcs,$V87,H$95)</f>
        <v>5.5846958573521795E-3</v>
      </c>
      <c r="I87" s="250" cm="1">
        <f t="array" ref="I87">INDEX(FX_Calcs,$V87,I$95)</f>
        <v>6.5274070972739821E-3</v>
      </c>
      <c r="J87" s="250" cm="1">
        <f t="array" ref="J87">INDEX(FX_Calcs,$V87,J$95)</f>
        <v>7.4199539958878279E-3</v>
      </c>
      <c r="K87" s="250" cm="1">
        <f t="array" ref="K87">INDEX(FX_Calcs,$V87,K$95)</f>
        <v>8.3358107202842254E-3</v>
      </c>
      <c r="L87" s="250" cm="1">
        <f t="array" ref="L87">INDEX(FX_Calcs,$V87,L$95)</f>
        <v>8.4605262729351115E-3</v>
      </c>
      <c r="M87" s="250" cm="1">
        <f t="array" ref="M87">INDEX(FX_Calcs,$V87,M$95)</f>
        <v>7.8399882233967533E-3</v>
      </c>
      <c r="N87" s="250" cm="1">
        <f t="array" ref="N87">INDEX(FX_Calcs,$V87,N$95)</f>
        <v>6.4173462075160911E-3</v>
      </c>
      <c r="O87" s="250" cm="1">
        <f t="array" ref="O87">INDEX(FX_Calcs,$V87,O$95)</f>
        <v>5.3015226887581056E-3</v>
      </c>
      <c r="P87" s="251" cm="1">
        <f t="array" ref="P87">INDEX(FX_Calcs,$V87,P$95)</f>
        <v>4.68970903600947E-3</v>
      </c>
      <c r="Q87" s="293">
        <f t="shared" si="14"/>
        <v>8.4605262729351115E-3</v>
      </c>
      <c r="R87" s="294">
        <v>1.5</v>
      </c>
      <c r="T87">
        <f t="shared" si="11"/>
        <v>129</v>
      </c>
      <c r="U87">
        <v>2</v>
      </c>
      <c r="V87">
        <f t="shared" si="12"/>
        <v>65</v>
      </c>
    </row>
    <row r="88" spans="2:22" ht="15.45" x14ac:dyDescent="0.4">
      <c r="B88" s="247" t="str" cm="1">
        <f t="array" ref="B88">INDEX(FX_Input,T88,U88)</f>
        <v>FIXTANK 307</v>
      </c>
      <c r="C88" s="221" t="str" cm="1">
        <f t="array" ref="C88">INDEX(FX_Setup,V88,3)</f>
        <v>Distillates</v>
      </c>
      <c r="D88" s="223" t="str">
        <f t="shared" si="10"/>
        <v>VOC</v>
      </c>
      <c r="E88" s="303" cm="1">
        <f t="array" ref="E88">INDEX(FX_Calcs,$V88,E$95)</f>
        <v>4.739577185808354E-3</v>
      </c>
      <c r="F88" s="249" cm="1">
        <f t="array" ref="F88">INDEX(FX_Calcs,$V88,F$95)</f>
        <v>4.8748667780818778E-3</v>
      </c>
      <c r="G88" s="250" cm="1">
        <f t="array" ref="G88">INDEX(FX_Calcs,$V88,G$95)</f>
        <v>5.119885034186122E-3</v>
      </c>
      <c r="H88" s="250" cm="1">
        <f t="array" ref="H88">INDEX(FX_Calcs,$V88,H$95)</f>
        <v>5.5846958573521795E-3</v>
      </c>
      <c r="I88" s="250" cm="1">
        <f t="array" ref="I88">INDEX(FX_Calcs,$V88,I$95)</f>
        <v>6.5274070972739821E-3</v>
      </c>
      <c r="J88" s="250" cm="1">
        <f t="array" ref="J88">INDEX(FX_Calcs,$V88,J$95)</f>
        <v>7.4199539958878279E-3</v>
      </c>
      <c r="K88" s="250" cm="1">
        <f t="array" ref="K88">INDEX(FX_Calcs,$V88,K$95)</f>
        <v>8.3358107202842254E-3</v>
      </c>
      <c r="L88" s="250" cm="1">
        <f t="array" ref="L88">INDEX(FX_Calcs,$V88,L$95)</f>
        <v>8.4605262729351115E-3</v>
      </c>
      <c r="M88" s="250" cm="1">
        <f t="array" ref="M88">INDEX(FX_Calcs,$V88,M$95)</f>
        <v>7.8399882233967533E-3</v>
      </c>
      <c r="N88" s="250" cm="1">
        <f t="array" ref="N88">INDEX(FX_Calcs,$V88,N$95)</f>
        <v>6.4173462075160911E-3</v>
      </c>
      <c r="O88" s="250" cm="1">
        <f t="array" ref="O88">INDEX(FX_Calcs,$V88,O$95)</f>
        <v>5.3015226887581056E-3</v>
      </c>
      <c r="P88" s="251" cm="1">
        <f t="array" ref="P88">INDEX(FX_Calcs,$V88,P$95)</f>
        <v>4.68970903600947E-3</v>
      </c>
      <c r="Q88" s="293">
        <f t="shared" si="14"/>
        <v>8.4605262729351115E-3</v>
      </c>
      <c r="R88" s="294">
        <v>1.5</v>
      </c>
      <c r="T88">
        <f t="shared" si="11"/>
        <v>131</v>
      </c>
      <c r="U88">
        <v>2</v>
      </c>
      <c r="V88">
        <f t="shared" si="12"/>
        <v>66</v>
      </c>
    </row>
    <row r="89" spans="2:22" ht="15.9" thickBot="1" x14ac:dyDescent="0.45">
      <c r="B89" s="340" t="str" cm="1">
        <f t="array" ref="B89">INDEX(FX_Input,T89,U89)</f>
        <v>FIXTANK 317</v>
      </c>
      <c r="C89" s="341" t="str" cm="1">
        <f t="array" ref="C89">INDEX(FX_Setup,V89,3)</f>
        <v>Distillates</v>
      </c>
      <c r="D89" s="342" t="str">
        <f t="shared" si="10"/>
        <v>VOC</v>
      </c>
      <c r="E89" s="306" cm="1">
        <f t="array" ref="E89">INDEX(FX_Calcs,$V89,E$95)</f>
        <v>4.739577185808354E-3</v>
      </c>
      <c r="F89" s="262" cm="1">
        <f t="array" ref="F89">INDEX(FX_Calcs,$V89,F$95)</f>
        <v>4.8748667780818778E-3</v>
      </c>
      <c r="G89" s="307" cm="1">
        <f t="array" ref="G89">INDEX(FX_Calcs,$V89,G$95)</f>
        <v>5.119885034186122E-3</v>
      </c>
      <c r="H89" s="307" cm="1">
        <f t="array" ref="H89">INDEX(FX_Calcs,$V89,H$95)</f>
        <v>5.5846958573521795E-3</v>
      </c>
      <c r="I89" s="307" cm="1">
        <f t="array" ref="I89">INDEX(FX_Calcs,$V89,I$95)</f>
        <v>6.5274070972739821E-3</v>
      </c>
      <c r="J89" s="307" cm="1">
        <f t="array" ref="J89">INDEX(FX_Calcs,$V89,J$95)</f>
        <v>7.4199539958878279E-3</v>
      </c>
      <c r="K89" s="307" cm="1">
        <f t="array" ref="K89">INDEX(FX_Calcs,$V89,K$95)</f>
        <v>8.3358107202842254E-3</v>
      </c>
      <c r="L89" s="307" cm="1">
        <f t="array" ref="L89">INDEX(FX_Calcs,$V89,L$95)</f>
        <v>8.4605262729351115E-3</v>
      </c>
      <c r="M89" s="307" cm="1">
        <f t="array" ref="M89">INDEX(FX_Calcs,$V89,M$95)</f>
        <v>7.8399882233967533E-3</v>
      </c>
      <c r="N89" s="307" cm="1">
        <f t="array" ref="N89">INDEX(FX_Calcs,$V89,N$95)</f>
        <v>6.4173462075160911E-3</v>
      </c>
      <c r="O89" s="307" cm="1">
        <f t="array" ref="O89">INDEX(FX_Calcs,$V89,O$95)</f>
        <v>5.3015226887581056E-3</v>
      </c>
      <c r="P89" s="263" cm="1">
        <f t="array" ref="P89">INDEX(FX_Calcs,$V89,P$95)</f>
        <v>4.68970903600947E-3</v>
      </c>
      <c r="Q89" s="343">
        <f t="shared" ref="Q89" si="15">MAX(E89:P89)</f>
        <v>8.4605262729351115E-3</v>
      </c>
      <c r="R89" s="344">
        <v>1.5</v>
      </c>
      <c r="T89">
        <f t="shared" si="11"/>
        <v>133</v>
      </c>
      <c r="U89">
        <v>2</v>
      </c>
      <c r="V89">
        <f t="shared" si="12"/>
        <v>67</v>
      </c>
    </row>
    <row r="92" spans="2:22" x14ac:dyDescent="0.4">
      <c r="D92" t="s">
        <v>1905</v>
      </c>
      <c r="E92">
        <v>1</v>
      </c>
      <c r="F92">
        <f>E92+1</f>
        <v>2</v>
      </c>
      <c r="G92">
        <f t="shared" ref="G92:R92" si="16">F92+1</f>
        <v>3</v>
      </c>
      <c r="H92">
        <f t="shared" si="16"/>
        <v>4</v>
      </c>
      <c r="I92">
        <f t="shared" si="16"/>
        <v>5</v>
      </c>
      <c r="J92">
        <f t="shared" si="16"/>
        <v>6</v>
      </c>
      <c r="K92">
        <f t="shared" si="16"/>
        <v>7</v>
      </c>
      <c r="L92">
        <f t="shared" si="16"/>
        <v>8</v>
      </c>
      <c r="M92">
        <f t="shared" si="16"/>
        <v>9</v>
      </c>
      <c r="N92">
        <f t="shared" si="16"/>
        <v>10</v>
      </c>
      <c r="O92">
        <f t="shared" si="16"/>
        <v>11</v>
      </c>
      <c r="P92">
        <f t="shared" si="16"/>
        <v>12</v>
      </c>
      <c r="Q92">
        <f t="shared" si="16"/>
        <v>13</v>
      </c>
      <c r="R92">
        <f t="shared" si="16"/>
        <v>14</v>
      </c>
    </row>
    <row r="93" spans="2:22" x14ac:dyDescent="0.4">
      <c r="D93" t="s">
        <v>1906</v>
      </c>
      <c r="E93">
        <v>4</v>
      </c>
      <c r="F93">
        <f>E93+16</f>
        <v>20</v>
      </c>
      <c r="G93">
        <f t="shared" ref="G93:R93" si="17">F93+16</f>
        <v>36</v>
      </c>
      <c r="H93">
        <f t="shared" si="17"/>
        <v>52</v>
      </c>
      <c r="I93">
        <f t="shared" si="17"/>
        <v>68</v>
      </c>
      <c r="J93">
        <f t="shared" si="17"/>
        <v>84</v>
      </c>
      <c r="K93">
        <f t="shared" si="17"/>
        <v>100</v>
      </c>
      <c r="L93">
        <f t="shared" si="17"/>
        <v>116</v>
      </c>
      <c r="M93">
        <f t="shared" si="17"/>
        <v>132</v>
      </c>
      <c r="N93">
        <f t="shared" si="17"/>
        <v>148</v>
      </c>
      <c r="O93">
        <f t="shared" si="17"/>
        <v>164</v>
      </c>
      <c r="P93">
        <f t="shared" si="17"/>
        <v>180</v>
      </c>
      <c r="Q93">
        <f t="shared" si="17"/>
        <v>196</v>
      </c>
      <c r="R93">
        <f t="shared" si="17"/>
        <v>212</v>
      </c>
    </row>
    <row r="95" spans="2:22" x14ac:dyDescent="0.4">
      <c r="B95" t="s">
        <v>1977</v>
      </c>
      <c r="C95">
        <v>15</v>
      </c>
      <c r="D95" t="s">
        <v>1978</v>
      </c>
      <c r="E95">
        <v>19</v>
      </c>
      <c r="F95">
        <f>E95+19</f>
        <v>38</v>
      </c>
      <c r="G95">
        <f t="shared" ref="G95:P95" si="18">F95+19</f>
        <v>57</v>
      </c>
      <c r="H95">
        <f t="shared" si="18"/>
        <v>76</v>
      </c>
      <c r="I95">
        <f t="shared" si="18"/>
        <v>95</v>
      </c>
      <c r="J95">
        <f t="shared" si="18"/>
        <v>114</v>
      </c>
      <c r="K95">
        <f t="shared" si="18"/>
        <v>133</v>
      </c>
      <c r="L95">
        <f t="shared" si="18"/>
        <v>152</v>
      </c>
      <c r="M95">
        <f t="shared" si="18"/>
        <v>171</v>
      </c>
      <c r="N95">
        <f t="shared" si="18"/>
        <v>190</v>
      </c>
      <c r="O95">
        <f t="shared" si="18"/>
        <v>209</v>
      </c>
      <c r="P95">
        <f t="shared" si="18"/>
        <v>228</v>
      </c>
    </row>
  </sheetData>
  <sheetProtection algorithmName="SHA-512" hashValue="Qiae8ILQuthBNqNwILpPGFYL0gm+4L8t1a0Jl9mNYIuIcMfmDXhEYk7V3ztzx6vzgMOU3i67XeJTIaGgljr0Uw==" saltValue="kgCfOMixxX9OIrKIz/wWhw==" spinCount="100000" sheet="1" objects="1" scenarios="1"/>
  <mergeCells count="12">
    <mergeCell ref="B10:R10"/>
    <mergeCell ref="B21:C21"/>
    <mergeCell ref="B22:R22"/>
    <mergeCell ref="Q7:Q8"/>
    <mergeCell ref="R7:R8"/>
    <mergeCell ref="B2:R2"/>
    <mergeCell ref="B3:R3"/>
    <mergeCell ref="B4:R4"/>
    <mergeCell ref="B6:B9"/>
    <mergeCell ref="C6:C9"/>
    <mergeCell ref="D6:D9"/>
    <mergeCell ref="E6:R6"/>
  </mergeCells>
  <conditionalFormatting sqref="B21 D21:R21 B22:R89">
    <cfRule type="cellIs" dxfId="29" priority="35" operator="lessThan">
      <formula>0.01</formula>
    </cfRule>
    <cfRule type="cellIs" dxfId="28" priority="32" operator="between">
      <formula>1</formula>
      <formula>10</formula>
    </cfRule>
    <cfRule type="cellIs" dxfId="27" priority="31" operator="between">
      <formula>10</formula>
      <formula>100</formula>
    </cfRule>
    <cfRule type="cellIs" dxfId="26" priority="30" operator="greaterThan">
      <formula>100</formula>
    </cfRule>
    <cfRule type="cellIs" dxfId="25" priority="29" operator="equal">
      <formula>0</formula>
    </cfRule>
    <cfRule type="cellIs" dxfId="24" priority="34" operator="between">
      <formula>0.01</formula>
      <formula>0.1</formula>
    </cfRule>
    <cfRule type="cellIs" dxfId="23" priority="33" operator="between">
      <formula>0.1</formula>
      <formula>1</formula>
    </cfRule>
  </conditionalFormatting>
  <conditionalFormatting sqref="B11:R20">
    <cfRule type="cellIs" dxfId="22" priority="2" operator="greaterThan">
      <formula>100</formula>
    </cfRule>
    <cfRule type="cellIs" dxfId="21" priority="3" operator="between">
      <formula>10</formula>
      <formula>100</formula>
    </cfRule>
    <cfRule type="cellIs" dxfId="20" priority="4" operator="between">
      <formula>1</formula>
      <formula>10</formula>
    </cfRule>
    <cfRule type="cellIs" dxfId="19" priority="5" operator="between">
      <formula>0.1</formula>
      <formula>1</formula>
    </cfRule>
    <cfRule type="cellIs" dxfId="18" priority="6" operator="between">
      <formula>0.01</formula>
      <formula>0.1</formula>
    </cfRule>
    <cfRule type="cellIs" dxfId="17" priority="7" operator="lessThan">
      <formula>0.01</formula>
    </cfRule>
    <cfRule type="cellIs" dxfId="16" priority="1" operator="equal">
      <formula>0</formula>
    </cfRule>
  </conditionalFormatting>
  <pageMargins left="0.7" right="0.7" top="0.75" bottom="0.75" header="0.3" footer="0.3"/>
  <pageSetup paperSize="3" scale="66" fitToHeight="0" orientation="portrait" r:id="rId1"/>
  <headerFooter>
    <oddFooter>&amp;RPage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FDA96-45A1-475E-9CBA-6CB1B354DB65}">
  <sheetPr codeName="Sheet7">
    <tabColor rgb="FF002060"/>
  </sheetPr>
  <dimension ref="A3:IJ38"/>
  <sheetViews>
    <sheetView zoomScaleNormal="100" workbookViewId="0">
      <pane xSplit="2" ySplit="10" topLeftCell="C11" activePane="bottomRight" state="frozen"/>
      <selection activeCell="J5" sqref="J5"/>
      <selection pane="topRight" activeCell="J5" sqref="J5"/>
      <selection pane="bottomLeft" activeCell="J5" sqref="J5"/>
      <selection pane="bottomRight" activeCell="J5" sqref="J5"/>
    </sheetView>
  </sheetViews>
  <sheetFormatPr defaultColWidth="9.15234375" defaultRowHeight="14.6" x14ac:dyDescent="0.4"/>
  <cols>
    <col min="1" max="1" width="22" style="43" bestFit="1" customWidth="1"/>
    <col min="2" max="2" width="14.4609375" style="43" bestFit="1" customWidth="1"/>
    <col min="3" max="23" width="12.84375" style="43" customWidth="1"/>
    <col min="24" max="24" width="16.15234375" style="43" bestFit="1" customWidth="1"/>
    <col min="25" max="214" width="12.84375" style="43" customWidth="1"/>
    <col min="215" max="215" width="8.84375" style="43" customWidth="1"/>
    <col min="216" max="216" width="13.3046875" style="43" bestFit="1" customWidth="1"/>
    <col min="217" max="217" width="13.3046875" style="43" customWidth="1"/>
    <col min="218" max="218" width="14.4609375" style="43" bestFit="1" customWidth="1"/>
    <col min="219" max="247" width="14.4609375" style="43" customWidth="1"/>
    <col min="248" max="16384" width="9.15234375" style="43"/>
  </cols>
  <sheetData>
    <row r="3" spans="1:244" x14ac:dyDescent="0.4">
      <c r="B3" s="94"/>
    </row>
    <row r="4" spans="1:244" x14ac:dyDescent="0.4">
      <c r="B4" s="95"/>
    </row>
    <row r="5" spans="1:244" ht="15" thickBot="1" x14ac:dyDescent="0.45">
      <c r="HH5" s="43" t="s">
        <v>1781</v>
      </c>
      <c r="HI5" s="43" t="s">
        <v>1782</v>
      </c>
      <c r="HT5" s="43" t="s">
        <v>1794</v>
      </c>
      <c r="HX5" s="43" t="s">
        <v>1816</v>
      </c>
      <c r="IE5" s="43" t="s">
        <v>1820</v>
      </c>
      <c r="IF5" s="43" t="s">
        <v>1823</v>
      </c>
      <c r="II5" s="43" t="s">
        <v>1864</v>
      </c>
      <c r="IJ5" s="43" t="s">
        <v>1868</v>
      </c>
    </row>
    <row r="6" spans="1:244" x14ac:dyDescent="0.4">
      <c r="B6" s="448"/>
      <c r="C6" s="491" t="s">
        <v>1397</v>
      </c>
      <c r="D6" s="492"/>
      <c r="E6" s="492"/>
      <c r="F6" s="492"/>
      <c r="G6" s="492"/>
      <c r="H6" s="492"/>
      <c r="I6" s="492"/>
      <c r="J6" s="493"/>
      <c r="K6" s="491" t="str" cm="1">
        <f t="array" ref="K6">+INDEX(Month_Ref,K$25,2)</f>
        <v>January</v>
      </c>
      <c r="L6" s="492"/>
      <c r="M6" s="492"/>
      <c r="N6" s="492"/>
      <c r="O6" s="492"/>
      <c r="P6" s="492"/>
      <c r="Q6" s="492"/>
      <c r="R6" s="492"/>
      <c r="S6" s="492"/>
      <c r="T6" s="492"/>
      <c r="U6" s="492"/>
      <c r="V6" s="492"/>
      <c r="W6" s="492"/>
      <c r="X6" s="492"/>
      <c r="Y6" s="492"/>
      <c r="Z6" s="493"/>
      <c r="AA6" s="491" t="str" cm="1">
        <f t="array" ref="AA6">+INDEX(Month_Ref,AA$25,2)</f>
        <v>February</v>
      </c>
      <c r="AB6" s="492"/>
      <c r="AC6" s="492"/>
      <c r="AD6" s="492"/>
      <c r="AE6" s="492"/>
      <c r="AF6" s="492"/>
      <c r="AG6" s="492"/>
      <c r="AH6" s="492"/>
      <c r="AI6" s="492"/>
      <c r="AJ6" s="492"/>
      <c r="AK6" s="492"/>
      <c r="AL6" s="492"/>
      <c r="AM6" s="492"/>
      <c r="AN6" s="492"/>
      <c r="AO6" s="492"/>
      <c r="AP6" s="493"/>
      <c r="AQ6" s="491" t="str" cm="1">
        <f t="array" ref="AQ6">+INDEX(Month_Ref,AQ$25,2)</f>
        <v>March</v>
      </c>
      <c r="AR6" s="492"/>
      <c r="AS6" s="492"/>
      <c r="AT6" s="492"/>
      <c r="AU6" s="492"/>
      <c r="AV6" s="492"/>
      <c r="AW6" s="492"/>
      <c r="AX6" s="492"/>
      <c r="AY6" s="492"/>
      <c r="AZ6" s="492"/>
      <c r="BA6" s="492"/>
      <c r="BB6" s="492"/>
      <c r="BC6" s="492"/>
      <c r="BD6" s="492"/>
      <c r="BE6" s="492"/>
      <c r="BF6" s="493"/>
      <c r="BG6" s="491" t="str" cm="1">
        <f t="array" ref="BG6">+INDEX(Month_Ref,BG$25,2)</f>
        <v>April</v>
      </c>
      <c r="BH6" s="492"/>
      <c r="BI6" s="492"/>
      <c r="BJ6" s="492"/>
      <c r="BK6" s="492"/>
      <c r="BL6" s="492"/>
      <c r="BM6" s="492"/>
      <c r="BN6" s="492"/>
      <c r="BO6" s="492"/>
      <c r="BP6" s="492"/>
      <c r="BQ6" s="492"/>
      <c r="BR6" s="492"/>
      <c r="BS6" s="492"/>
      <c r="BT6" s="492"/>
      <c r="BU6" s="492"/>
      <c r="BV6" s="493"/>
      <c r="BW6" s="491" t="str" cm="1">
        <f t="array" ref="BW6">+INDEX(Month_Ref,BW$25,2)</f>
        <v>May</v>
      </c>
      <c r="BX6" s="492"/>
      <c r="BY6" s="492"/>
      <c r="BZ6" s="492"/>
      <c r="CA6" s="492"/>
      <c r="CB6" s="492"/>
      <c r="CC6" s="492"/>
      <c r="CD6" s="492"/>
      <c r="CE6" s="492"/>
      <c r="CF6" s="492"/>
      <c r="CG6" s="492"/>
      <c r="CH6" s="492"/>
      <c r="CI6" s="492"/>
      <c r="CJ6" s="492"/>
      <c r="CK6" s="492"/>
      <c r="CL6" s="493"/>
      <c r="CM6" s="491" t="str" cm="1">
        <f t="array" ref="CM6">+INDEX(Month_Ref,CM$25,2)</f>
        <v>June</v>
      </c>
      <c r="CN6" s="492"/>
      <c r="CO6" s="492"/>
      <c r="CP6" s="492"/>
      <c r="CQ6" s="492"/>
      <c r="CR6" s="492"/>
      <c r="CS6" s="492"/>
      <c r="CT6" s="492"/>
      <c r="CU6" s="492"/>
      <c r="CV6" s="492"/>
      <c r="CW6" s="492"/>
      <c r="CX6" s="492"/>
      <c r="CY6" s="492"/>
      <c r="CZ6" s="492"/>
      <c r="DA6" s="492"/>
      <c r="DB6" s="493"/>
      <c r="DC6" s="491" t="str" cm="1">
        <f t="array" ref="DC6">+INDEX(Month_Ref,DC$25,2)</f>
        <v>July</v>
      </c>
      <c r="DD6" s="492"/>
      <c r="DE6" s="492"/>
      <c r="DF6" s="492"/>
      <c r="DG6" s="492"/>
      <c r="DH6" s="492"/>
      <c r="DI6" s="492"/>
      <c r="DJ6" s="492"/>
      <c r="DK6" s="492"/>
      <c r="DL6" s="492"/>
      <c r="DM6" s="492"/>
      <c r="DN6" s="492"/>
      <c r="DO6" s="492"/>
      <c r="DP6" s="492"/>
      <c r="DQ6" s="492"/>
      <c r="DR6" s="493"/>
      <c r="DS6" s="491" t="str" cm="1">
        <f t="array" ref="DS6">+INDEX(Month_Ref,DS$25,2)</f>
        <v>August</v>
      </c>
      <c r="DT6" s="492"/>
      <c r="DU6" s="492"/>
      <c r="DV6" s="492"/>
      <c r="DW6" s="492"/>
      <c r="DX6" s="492"/>
      <c r="DY6" s="492"/>
      <c r="DZ6" s="492"/>
      <c r="EA6" s="492"/>
      <c r="EB6" s="492"/>
      <c r="EC6" s="492"/>
      <c r="ED6" s="492"/>
      <c r="EE6" s="492"/>
      <c r="EF6" s="492"/>
      <c r="EG6" s="492"/>
      <c r="EH6" s="493"/>
      <c r="EI6" s="491" t="str" cm="1">
        <f t="array" ref="EI6">+INDEX(Month_Ref,EI$25,2)</f>
        <v>September</v>
      </c>
      <c r="EJ6" s="492"/>
      <c r="EK6" s="492"/>
      <c r="EL6" s="492"/>
      <c r="EM6" s="492"/>
      <c r="EN6" s="492"/>
      <c r="EO6" s="492"/>
      <c r="EP6" s="492"/>
      <c r="EQ6" s="492"/>
      <c r="ER6" s="492"/>
      <c r="ES6" s="492"/>
      <c r="ET6" s="492"/>
      <c r="EU6" s="492"/>
      <c r="EV6" s="492"/>
      <c r="EW6" s="492"/>
      <c r="EX6" s="493"/>
      <c r="EY6" s="491" t="str" cm="1">
        <f t="array" ref="EY6">+INDEX(Month_Ref,EY$25,2)</f>
        <v>October</v>
      </c>
      <c r="EZ6" s="492"/>
      <c r="FA6" s="492"/>
      <c r="FB6" s="492"/>
      <c r="FC6" s="492"/>
      <c r="FD6" s="492"/>
      <c r="FE6" s="492"/>
      <c r="FF6" s="492"/>
      <c r="FG6" s="492"/>
      <c r="FH6" s="492"/>
      <c r="FI6" s="492"/>
      <c r="FJ6" s="492"/>
      <c r="FK6" s="492"/>
      <c r="FL6" s="492"/>
      <c r="FM6" s="492"/>
      <c r="FN6" s="493"/>
      <c r="FO6" s="491" t="str" cm="1">
        <f t="array" ref="FO6">+INDEX(Month_Ref,FO$25,2)</f>
        <v>November</v>
      </c>
      <c r="FP6" s="492"/>
      <c r="FQ6" s="492"/>
      <c r="FR6" s="492"/>
      <c r="FS6" s="492"/>
      <c r="FT6" s="492"/>
      <c r="FU6" s="492"/>
      <c r="FV6" s="492"/>
      <c r="FW6" s="492"/>
      <c r="FX6" s="492"/>
      <c r="FY6" s="492"/>
      <c r="FZ6" s="492"/>
      <c r="GA6" s="492"/>
      <c r="GB6" s="492"/>
      <c r="GC6" s="492"/>
      <c r="GD6" s="493"/>
      <c r="GE6" s="491" t="str" cm="1">
        <f t="array" ref="GE6">+INDEX(Month_Ref,GE$25,2)</f>
        <v>December</v>
      </c>
      <c r="GF6" s="492"/>
      <c r="GG6" s="492"/>
      <c r="GH6" s="492"/>
      <c r="GI6" s="492"/>
      <c r="GJ6" s="492"/>
      <c r="GK6" s="492"/>
      <c r="GL6" s="492"/>
      <c r="GM6" s="492"/>
      <c r="GN6" s="492"/>
      <c r="GO6" s="492"/>
      <c r="GP6" s="492"/>
      <c r="GQ6" s="492"/>
      <c r="GR6" s="492"/>
      <c r="GS6" s="492"/>
      <c r="GT6" s="493"/>
      <c r="GU6" s="500" t="s">
        <v>1460</v>
      </c>
      <c r="GV6" s="501"/>
      <c r="GW6" s="501"/>
      <c r="GX6" s="501"/>
      <c r="GY6" s="501"/>
      <c r="GZ6" s="501"/>
      <c r="HA6" s="501"/>
      <c r="HB6" s="501"/>
      <c r="HC6" s="501"/>
      <c r="HD6" s="501"/>
      <c r="HE6" s="501"/>
      <c r="HF6" s="502"/>
      <c r="HG6" s="94"/>
    </row>
    <row r="7" spans="1:244" ht="29.15" x14ac:dyDescent="0.4">
      <c r="A7" s="16" t="s">
        <v>221</v>
      </c>
      <c r="B7" s="499"/>
      <c r="C7" s="82" t="s">
        <v>1798</v>
      </c>
      <c r="D7" s="82" t="s">
        <v>1805</v>
      </c>
      <c r="E7" s="87" t="s">
        <v>1512</v>
      </c>
      <c r="F7" s="87" t="s">
        <v>224</v>
      </c>
      <c r="G7" s="87" t="s">
        <v>1549</v>
      </c>
      <c r="H7" s="87" t="s">
        <v>1848</v>
      </c>
      <c r="I7" s="87" t="s">
        <v>1866</v>
      </c>
      <c r="J7" s="83" t="s">
        <v>1870</v>
      </c>
      <c r="K7" s="486" t="s">
        <v>1404</v>
      </c>
      <c r="L7" s="82" t="s">
        <v>1511</v>
      </c>
      <c r="M7" s="82" t="s">
        <v>1405</v>
      </c>
      <c r="N7" s="82" t="s">
        <v>1414</v>
      </c>
      <c r="O7" s="82" t="s">
        <v>1513</v>
      </c>
      <c r="P7" s="82" t="s">
        <v>1423</v>
      </c>
      <c r="Q7" s="82" t="s">
        <v>1829</v>
      </c>
      <c r="R7" s="82" t="s">
        <v>1832</v>
      </c>
      <c r="S7" s="82" t="s">
        <v>1836</v>
      </c>
      <c r="T7" s="82" t="s">
        <v>1844</v>
      </c>
      <c r="U7" s="82" t="s">
        <v>1435</v>
      </c>
      <c r="V7" s="82" t="s">
        <v>1439</v>
      </c>
      <c r="W7" s="82" t="s">
        <v>1857</v>
      </c>
      <c r="X7" s="82" t="s">
        <v>1861</v>
      </c>
      <c r="Y7" s="82" t="s">
        <v>1455</v>
      </c>
      <c r="Z7" s="83" t="s">
        <v>1458</v>
      </c>
      <c r="AA7" s="486" t="s">
        <v>1404</v>
      </c>
      <c r="AB7" s="82" t="s">
        <v>1511</v>
      </c>
      <c r="AC7" s="82" t="s">
        <v>1405</v>
      </c>
      <c r="AD7" s="82" t="s">
        <v>1414</v>
      </c>
      <c r="AE7" s="82" t="s">
        <v>1513</v>
      </c>
      <c r="AF7" s="82" t="s">
        <v>1423</v>
      </c>
      <c r="AG7" s="82" t="s">
        <v>1829</v>
      </c>
      <c r="AH7" s="82" t="s">
        <v>1832</v>
      </c>
      <c r="AI7" s="82" t="s">
        <v>1836</v>
      </c>
      <c r="AJ7" s="82" t="s">
        <v>1844</v>
      </c>
      <c r="AK7" s="82" t="s">
        <v>1435</v>
      </c>
      <c r="AL7" s="82" t="s">
        <v>1439</v>
      </c>
      <c r="AM7" s="82" t="s">
        <v>1857</v>
      </c>
      <c r="AN7" s="82" t="s">
        <v>1861</v>
      </c>
      <c r="AO7" s="82" t="s">
        <v>1455</v>
      </c>
      <c r="AP7" s="83" t="s">
        <v>1458</v>
      </c>
      <c r="AQ7" s="486" t="s">
        <v>1404</v>
      </c>
      <c r="AR7" s="82" t="s">
        <v>1511</v>
      </c>
      <c r="AS7" s="82" t="s">
        <v>1405</v>
      </c>
      <c r="AT7" s="82" t="s">
        <v>1414</v>
      </c>
      <c r="AU7" s="82" t="s">
        <v>1513</v>
      </c>
      <c r="AV7" s="82" t="s">
        <v>1423</v>
      </c>
      <c r="AW7" s="82" t="s">
        <v>1829</v>
      </c>
      <c r="AX7" s="82" t="s">
        <v>1832</v>
      </c>
      <c r="AY7" s="82" t="s">
        <v>1836</v>
      </c>
      <c r="AZ7" s="82" t="s">
        <v>1844</v>
      </c>
      <c r="BA7" s="82" t="s">
        <v>1435</v>
      </c>
      <c r="BB7" s="82" t="s">
        <v>1439</v>
      </c>
      <c r="BC7" s="82" t="s">
        <v>1857</v>
      </c>
      <c r="BD7" s="82" t="s">
        <v>1861</v>
      </c>
      <c r="BE7" s="82" t="s">
        <v>1455</v>
      </c>
      <c r="BF7" s="83" t="s">
        <v>1458</v>
      </c>
      <c r="BG7" s="486" t="s">
        <v>1404</v>
      </c>
      <c r="BH7" s="82" t="s">
        <v>1511</v>
      </c>
      <c r="BI7" s="82" t="s">
        <v>1405</v>
      </c>
      <c r="BJ7" s="82" t="s">
        <v>1414</v>
      </c>
      <c r="BK7" s="82" t="s">
        <v>1513</v>
      </c>
      <c r="BL7" s="82" t="s">
        <v>1423</v>
      </c>
      <c r="BM7" s="82" t="s">
        <v>1829</v>
      </c>
      <c r="BN7" s="82" t="s">
        <v>1832</v>
      </c>
      <c r="BO7" s="82" t="s">
        <v>1836</v>
      </c>
      <c r="BP7" s="82" t="s">
        <v>1844</v>
      </c>
      <c r="BQ7" s="82" t="s">
        <v>1435</v>
      </c>
      <c r="BR7" s="82" t="s">
        <v>1439</v>
      </c>
      <c r="BS7" s="82" t="s">
        <v>1857</v>
      </c>
      <c r="BT7" s="82" t="s">
        <v>1861</v>
      </c>
      <c r="BU7" s="82" t="s">
        <v>1455</v>
      </c>
      <c r="BV7" s="83" t="s">
        <v>1458</v>
      </c>
      <c r="BW7" s="486" t="s">
        <v>1404</v>
      </c>
      <c r="BX7" s="82" t="s">
        <v>1511</v>
      </c>
      <c r="BY7" s="82" t="s">
        <v>1405</v>
      </c>
      <c r="BZ7" s="82" t="s">
        <v>1414</v>
      </c>
      <c r="CA7" s="82" t="s">
        <v>1513</v>
      </c>
      <c r="CB7" s="82" t="s">
        <v>1423</v>
      </c>
      <c r="CC7" s="82" t="s">
        <v>1829</v>
      </c>
      <c r="CD7" s="82" t="s">
        <v>1832</v>
      </c>
      <c r="CE7" s="82" t="s">
        <v>1836</v>
      </c>
      <c r="CF7" s="82" t="s">
        <v>1844</v>
      </c>
      <c r="CG7" s="82" t="s">
        <v>1435</v>
      </c>
      <c r="CH7" s="82" t="s">
        <v>1439</v>
      </c>
      <c r="CI7" s="82" t="s">
        <v>1857</v>
      </c>
      <c r="CJ7" s="82" t="s">
        <v>1861</v>
      </c>
      <c r="CK7" s="82" t="s">
        <v>1455</v>
      </c>
      <c r="CL7" s="83" t="s">
        <v>1458</v>
      </c>
      <c r="CM7" s="486" t="s">
        <v>1404</v>
      </c>
      <c r="CN7" s="82" t="s">
        <v>1511</v>
      </c>
      <c r="CO7" s="82" t="s">
        <v>1405</v>
      </c>
      <c r="CP7" s="82" t="s">
        <v>1414</v>
      </c>
      <c r="CQ7" s="82" t="s">
        <v>1513</v>
      </c>
      <c r="CR7" s="82" t="s">
        <v>1423</v>
      </c>
      <c r="CS7" s="82" t="s">
        <v>1829</v>
      </c>
      <c r="CT7" s="82" t="s">
        <v>1832</v>
      </c>
      <c r="CU7" s="82" t="s">
        <v>1836</v>
      </c>
      <c r="CV7" s="82" t="s">
        <v>1844</v>
      </c>
      <c r="CW7" s="82" t="s">
        <v>1435</v>
      </c>
      <c r="CX7" s="82" t="s">
        <v>1439</v>
      </c>
      <c r="CY7" s="82" t="s">
        <v>1857</v>
      </c>
      <c r="CZ7" s="82" t="s">
        <v>1861</v>
      </c>
      <c r="DA7" s="82" t="s">
        <v>1455</v>
      </c>
      <c r="DB7" s="83" t="s">
        <v>1458</v>
      </c>
      <c r="DC7" s="486" t="s">
        <v>1404</v>
      </c>
      <c r="DD7" s="82" t="s">
        <v>1511</v>
      </c>
      <c r="DE7" s="82" t="s">
        <v>1405</v>
      </c>
      <c r="DF7" s="82" t="s">
        <v>1414</v>
      </c>
      <c r="DG7" s="82" t="s">
        <v>1513</v>
      </c>
      <c r="DH7" s="82" t="s">
        <v>1423</v>
      </c>
      <c r="DI7" s="82" t="s">
        <v>1829</v>
      </c>
      <c r="DJ7" s="82" t="s">
        <v>1832</v>
      </c>
      <c r="DK7" s="82" t="s">
        <v>1836</v>
      </c>
      <c r="DL7" s="82" t="s">
        <v>1844</v>
      </c>
      <c r="DM7" s="82" t="s">
        <v>1435</v>
      </c>
      <c r="DN7" s="82" t="s">
        <v>1439</v>
      </c>
      <c r="DO7" s="82" t="s">
        <v>1857</v>
      </c>
      <c r="DP7" s="82" t="s">
        <v>1861</v>
      </c>
      <c r="DQ7" s="82" t="s">
        <v>1455</v>
      </c>
      <c r="DR7" s="83" t="s">
        <v>1458</v>
      </c>
      <c r="DS7" s="486" t="s">
        <v>1404</v>
      </c>
      <c r="DT7" s="82" t="s">
        <v>1511</v>
      </c>
      <c r="DU7" s="82" t="s">
        <v>1405</v>
      </c>
      <c r="DV7" s="82" t="s">
        <v>1414</v>
      </c>
      <c r="DW7" s="82" t="s">
        <v>1513</v>
      </c>
      <c r="DX7" s="82" t="s">
        <v>1423</v>
      </c>
      <c r="DY7" s="82" t="s">
        <v>1829</v>
      </c>
      <c r="DZ7" s="82" t="s">
        <v>1832</v>
      </c>
      <c r="EA7" s="82" t="s">
        <v>1836</v>
      </c>
      <c r="EB7" s="82" t="s">
        <v>1844</v>
      </c>
      <c r="EC7" s="82" t="s">
        <v>1435</v>
      </c>
      <c r="ED7" s="82" t="s">
        <v>1439</v>
      </c>
      <c r="EE7" s="82" t="s">
        <v>1857</v>
      </c>
      <c r="EF7" s="82" t="s">
        <v>1861</v>
      </c>
      <c r="EG7" s="82" t="s">
        <v>1455</v>
      </c>
      <c r="EH7" s="83" t="s">
        <v>1458</v>
      </c>
      <c r="EI7" s="486" t="s">
        <v>1404</v>
      </c>
      <c r="EJ7" s="82" t="s">
        <v>1511</v>
      </c>
      <c r="EK7" s="82" t="s">
        <v>1405</v>
      </c>
      <c r="EL7" s="82" t="s">
        <v>1414</v>
      </c>
      <c r="EM7" s="82" t="s">
        <v>1513</v>
      </c>
      <c r="EN7" s="82" t="s">
        <v>1423</v>
      </c>
      <c r="EO7" s="82" t="s">
        <v>1829</v>
      </c>
      <c r="EP7" s="82" t="s">
        <v>1832</v>
      </c>
      <c r="EQ7" s="82" t="s">
        <v>1836</v>
      </c>
      <c r="ER7" s="82" t="s">
        <v>1844</v>
      </c>
      <c r="ES7" s="82" t="s">
        <v>1435</v>
      </c>
      <c r="ET7" s="82" t="s">
        <v>1439</v>
      </c>
      <c r="EU7" s="82" t="s">
        <v>1857</v>
      </c>
      <c r="EV7" s="82" t="s">
        <v>1861</v>
      </c>
      <c r="EW7" s="82" t="s">
        <v>1455</v>
      </c>
      <c r="EX7" s="83" t="s">
        <v>1458</v>
      </c>
      <c r="EY7" s="486" t="s">
        <v>1404</v>
      </c>
      <c r="EZ7" s="82" t="s">
        <v>1511</v>
      </c>
      <c r="FA7" s="82" t="s">
        <v>1405</v>
      </c>
      <c r="FB7" s="82" t="s">
        <v>1414</v>
      </c>
      <c r="FC7" s="82" t="s">
        <v>1513</v>
      </c>
      <c r="FD7" s="82" t="s">
        <v>1423</v>
      </c>
      <c r="FE7" s="82" t="s">
        <v>1829</v>
      </c>
      <c r="FF7" s="82" t="s">
        <v>1832</v>
      </c>
      <c r="FG7" s="82" t="s">
        <v>1836</v>
      </c>
      <c r="FH7" s="82" t="s">
        <v>1844</v>
      </c>
      <c r="FI7" s="82" t="s">
        <v>1435</v>
      </c>
      <c r="FJ7" s="82" t="s">
        <v>1439</v>
      </c>
      <c r="FK7" s="82" t="s">
        <v>1857</v>
      </c>
      <c r="FL7" s="82" t="s">
        <v>1861</v>
      </c>
      <c r="FM7" s="82" t="s">
        <v>1455</v>
      </c>
      <c r="FN7" s="83" t="s">
        <v>1458</v>
      </c>
      <c r="FO7" s="486" t="s">
        <v>1404</v>
      </c>
      <c r="FP7" s="82" t="s">
        <v>1511</v>
      </c>
      <c r="FQ7" s="82" t="s">
        <v>1405</v>
      </c>
      <c r="FR7" s="82" t="s">
        <v>1414</v>
      </c>
      <c r="FS7" s="82" t="s">
        <v>1513</v>
      </c>
      <c r="FT7" s="82" t="s">
        <v>1423</v>
      </c>
      <c r="FU7" s="82" t="s">
        <v>1829</v>
      </c>
      <c r="FV7" s="82" t="s">
        <v>1832</v>
      </c>
      <c r="FW7" s="82" t="s">
        <v>1836</v>
      </c>
      <c r="FX7" s="82" t="s">
        <v>1844</v>
      </c>
      <c r="FY7" s="82" t="s">
        <v>1435</v>
      </c>
      <c r="FZ7" s="82" t="s">
        <v>1439</v>
      </c>
      <c r="GA7" s="82" t="s">
        <v>1857</v>
      </c>
      <c r="GB7" s="82" t="s">
        <v>1861</v>
      </c>
      <c r="GC7" s="82" t="s">
        <v>1455</v>
      </c>
      <c r="GD7" s="83" t="s">
        <v>1458</v>
      </c>
      <c r="GE7" s="486" t="s">
        <v>1404</v>
      </c>
      <c r="GF7" s="82" t="s">
        <v>1511</v>
      </c>
      <c r="GG7" s="82" t="s">
        <v>1405</v>
      </c>
      <c r="GH7" s="82" t="s">
        <v>1414</v>
      </c>
      <c r="GI7" s="82" t="s">
        <v>1513</v>
      </c>
      <c r="GJ7" s="82" t="s">
        <v>1423</v>
      </c>
      <c r="GK7" s="82" t="s">
        <v>1829</v>
      </c>
      <c r="GL7" s="82" t="s">
        <v>1832</v>
      </c>
      <c r="GM7" s="82" t="s">
        <v>1836</v>
      </c>
      <c r="GN7" s="82" t="s">
        <v>1844</v>
      </c>
      <c r="GO7" s="82" t="s">
        <v>1435</v>
      </c>
      <c r="GP7" s="82" t="s">
        <v>1439</v>
      </c>
      <c r="GQ7" s="82" t="s">
        <v>1857</v>
      </c>
      <c r="GR7" s="82" t="s">
        <v>1861</v>
      </c>
      <c r="GS7" s="82" t="s">
        <v>1455</v>
      </c>
      <c r="GT7" s="83" t="s">
        <v>1458</v>
      </c>
      <c r="GU7" s="498" t="s">
        <v>1876</v>
      </c>
      <c r="GV7" s="484"/>
      <c r="GW7" s="484" t="s">
        <v>1877</v>
      </c>
      <c r="GX7" s="484"/>
      <c r="GY7" s="484" t="s">
        <v>1878</v>
      </c>
      <c r="GZ7" s="484"/>
      <c r="HA7" s="484" t="s">
        <v>1463</v>
      </c>
      <c r="HB7" s="484"/>
      <c r="HC7" s="484" t="s">
        <v>1464</v>
      </c>
      <c r="HD7" s="484"/>
      <c r="HE7" s="484" t="s">
        <v>1465</v>
      </c>
      <c r="HF7" s="495"/>
      <c r="HG7" s="209"/>
    </row>
    <row r="8" spans="1:244" x14ac:dyDescent="0.4">
      <c r="B8" s="93" t="s">
        <v>220</v>
      </c>
      <c r="C8" s="85" t="s">
        <v>1540</v>
      </c>
      <c r="D8" s="85" t="s">
        <v>1540</v>
      </c>
      <c r="E8" s="85" t="s">
        <v>1540</v>
      </c>
      <c r="F8" s="84" t="s">
        <v>1810</v>
      </c>
      <c r="G8" s="84" t="s">
        <v>1846</v>
      </c>
      <c r="H8" s="84" t="s">
        <v>1735</v>
      </c>
      <c r="I8" s="87" t="s">
        <v>1867</v>
      </c>
      <c r="J8" s="86" t="s">
        <v>1871</v>
      </c>
      <c r="K8" s="486"/>
      <c r="L8" s="84" t="s">
        <v>1812</v>
      </c>
      <c r="M8" s="84" t="s">
        <v>1819</v>
      </c>
      <c r="N8" s="85" t="s">
        <v>1415</v>
      </c>
      <c r="O8" s="85" t="s">
        <v>1827</v>
      </c>
      <c r="P8" s="85" t="s">
        <v>1424</v>
      </c>
      <c r="Q8" s="85" t="s">
        <v>1830</v>
      </c>
      <c r="R8" s="85" t="s">
        <v>1834</v>
      </c>
      <c r="S8" s="85" t="s">
        <v>1837</v>
      </c>
      <c r="T8" s="85" t="s">
        <v>1852</v>
      </c>
      <c r="U8" s="85" t="s">
        <v>1837</v>
      </c>
      <c r="V8" s="85" t="s">
        <v>1854</v>
      </c>
      <c r="W8" s="85" t="s">
        <v>1554</v>
      </c>
      <c r="X8" s="85" t="s">
        <v>1614</v>
      </c>
      <c r="Y8" s="85" t="s">
        <v>1873</v>
      </c>
      <c r="Z8" s="86" t="s">
        <v>234</v>
      </c>
      <c r="AA8" s="486"/>
      <c r="AB8" s="84" t="s">
        <v>1812</v>
      </c>
      <c r="AC8" s="84" t="s">
        <v>1819</v>
      </c>
      <c r="AD8" s="85" t="s">
        <v>1415</v>
      </c>
      <c r="AE8" s="85" t="s">
        <v>1827</v>
      </c>
      <c r="AF8" s="85" t="s">
        <v>1424</v>
      </c>
      <c r="AG8" s="85" t="s">
        <v>1830</v>
      </c>
      <c r="AH8" s="85" t="s">
        <v>1834</v>
      </c>
      <c r="AI8" s="85" t="s">
        <v>1837</v>
      </c>
      <c r="AJ8" s="85" t="s">
        <v>1852</v>
      </c>
      <c r="AK8" s="85" t="s">
        <v>1837</v>
      </c>
      <c r="AL8" s="85" t="s">
        <v>1854</v>
      </c>
      <c r="AM8" s="85" t="s">
        <v>1554</v>
      </c>
      <c r="AN8" s="85" t="s">
        <v>1614</v>
      </c>
      <c r="AO8" s="85" t="s">
        <v>1873</v>
      </c>
      <c r="AP8" s="86" t="s">
        <v>234</v>
      </c>
      <c r="AQ8" s="486"/>
      <c r="AR8" s="84" t="s">
        <v>1812</v>
      </c>
      <c r="AS8" s="84" t="s">
        <v>1819</v>
      </c>
      <c r="AT8" s="85" t="s">
        <v>1415</v>
      </c>
      <c r="AU8" s="85" t="s">
        <v>1827</v>
      </c>
      <c r="AV8" s="85" t="s">
        <v>1424</v>
      </c>
      <c r="AW8" s="85" t="s">
        <v>1830</v>
      </c>
      <c r="AX8" s="85" t="s">
        <v>1834</v>
      </c>
      <c r="AY8" s="85" t="s">
        <v>1837</v>
      </c>
      <c r="AZ8" s="85" t="s">
        <v>1852</v>
      </c>
      <c r="BA8" s="85" t="s">
        <v>1837</v>
      </c>
      <c r="BB8" s="85" t="s">
        <v>1854</v>
      </c>
      <c r="BC8" s="85" t="s">
        <v>1554</v>
      </c>
      <c r="BD8" s="85" t="s">
        <v>1614</v>
      </c>
      <c r="BE8" s="85" t="s">
        <v>1873</v>
      </c>
      <c r="BF8" s="86" t="s">
        <v>234</v>
      </c>
      <c r="BG8" s="486"/>
      <c r="BH8" s="84" t="s">
        <v>1812</v>
      </c>
      <c r="BI8" s="84" t="s">
        <v>1819</v>
      </c>
      <c r="BJ8" s="85" t="s">
        <v>1415</v>
      </c>
      <c r="BK8" s="85" t="s">
        <v>1827</v>
      </c>
      <c r="BL8" s="85" t="s">
        <v>1424</v>
      </c>
      <c r="BM8" s="85" t="s">
        <v>1830</v>
      </c>
      <c r="BN8" s="85" t="s">
        <v>1834</v>
      </c>
      <c r="BO8" s="85" t="s">
        <v>1837</v>
      </c>
      <c r="BP8" s="85" t="s">
        <v>1852</v>
      </c>
      <c r="BQ8" s="85" t="s">
        <v>1837</v>
      </c>
      <c r="BR8" s="85" t="s">
        <v>1854</v>
      </c>
      <c r="BS8" s="85" t="s">
        <v>1554</v>
      </c>
      <c r="BT8" s="85" t="s">
        <v>1614</v>
      </c>
      <c r="BU8" s="85" t="s">
        <v>1873</v>
      </c>
      <c r="BV8" s="86" t="s">
        <v>234</v>
      </c>
      <c r="BW8" s="486"/>
      <c r="BX8" s="84" t="s">
        <v>1812</v>
      </c>
      <c r="BY8" s="84" t="s">
        <v>1819</v>
      </c>
      <c r="BZ8" s="85" t="s">
        <v>1415</v>
      </c>
      <c r="CA8" s="85" t="s">
        <v>1827</v>
      </c>
      <c r="CB8" s="85" t="s">
        <v>1424</v>
      </c>
      <c r="CC8" s="85" t="s">
        <v>1830</v>
      </c>
      <c r="CD8" s="85" t="s">
        <v>1834</v>
      </c>
      <c r="CE8" s="85" t="s">
        <v>1837</v>
      </c>
      <c r="CF8" s="85" t="s">
        <v>1852</v>
      </c>
      <c r="CG8" s="85" t="s">
        <v>1837</v>
      </c>
      <c r="CH8" s="85" t="s">
        <v>1854</v>
      </c>
      <c r="CI8" s="85" t="s">
        <v>1554</v>
      </c>
      <c r="CJ8" s="85" t="s">
        <v>1614</v>
      </c>
      <c r="CK8" s="85" t="s">
        <v>1873</v>
      </c>
      <c r="CL8" s="86" t="s">
        <v>234</v>
      </c>
      <c r="CM8" s="486"/>
      <c r="CN8" s="84" t="s">
        <v>1812</v>
      </c>
      <c r="CO8" s="84" t="s">
        <v>1819</v>
      </c>
      <c r="CP8" s="85" t="s">
        <v>1415</v>
      </c>
      <c r="CQ8" s="85" t="s">
        <v>1827</v>
      </c>
      <c r="CR8" s="85" t="s">
        <v>1424</v>
      </c>
      <c r="CS8" s="85" t="s">
        <v>1830</v>
      </c>
      <c r="CT8" s="85" t="s">
        <v>1834</v>
      </c>
      <c r="CU8" s="85" t="s">
        <v>1837</v>
      </c>
      <c r="CV8" s="85" t="s">
        <v>1852</v>
      </c>
      <c r="CW8" s="85" t="s">
        <v>1837</v>
      </c>
      <c r="CX8" s="85" t="s">
        <v>1854</v>
      </c>
      <c r="CY8" s="85" t="s">
        <v>1554</v>
      </c>
      <c r="CZ8" s="85" t="s">
        <v>1614</v>
      </c>
      <c r="DA8" s="85" t="s">
        <v>1873</v>
      </c>
      <c r="DB8" s="86" t="s">
        <v>234</v>
      </c>
      <c r="DC8" s="486"/>
      <c r="DD8" s="84" t="s">
        <v>1812</v>
      </c>
      <c r="DE8" s="84" t="s">
        <v>1819</v>
      </c>
      <c r="DF8" s="85" t="s">
        <v>1415</v>
      </c>
      <c r="DG8" s="85" t="s">
        <v>1827</v>
      </c>
      <c r="DH8" s="85" t="s">
        <v>1424</v>
      </c>
      <c r="DI8" s="85" t="s">
        <v>1830</v>
      </c>
      <c r="DJ8" s="85" t="s">
        <v>1834</v>
      </c>
      <c r="DK8" s="85" t="s">
        <v>1837</v>
      </c>
      <c r="DL8" s="85" t="s">
        <v>1852</v>
      </c>
      <c r="DM8" s="85" t="s">
        <v>1837</v>
      </c>
      <c r="DN8" s="85" t="s">
        <v>1854</v>
      </c>
      <c r="DO8" s="85" t="s">
        <v>1554</v>
      </c>
      <c r="DP8" s="85" t="s">
        <v>1614</v>
      </c>
      <c r="DQ8" s="85" t="s">
        <v>1873</v>
      </c>
      <c r="DR8" s="86" t="s">
        <v>234</v>
      </c>
      <c r="DS8" s="486"/>
      <c r="DT8" s="84" t="s">
        <v>1812</v>
      </c>
      <c r="DU8" s="84" t="s">
        <v>1819</v>
      </c>
      <c r="DV8" s="85" t="s">
        <v>1415</v>
      </c>
      <c r="DW8" s="85" t="s">
        <v>1827</v>
      </c>
      <c r="DX8" s="85" t="s">
        <v>1424</v>
      </c>
      <c r="DY8" s="85" t="s">
        <v>1830</v>
      </c>
      <c r="DZ8" s="85" t="s">
        <v>1834</v>
      </c>
      <c r="EA8" s="85" t="s">
        <v>1837</v>
      </c>
      <c r="EB8" s="85" t="s">
        <v>1852</v>
      </c>
      <c r="EC8" s="85" t="s">
        <v>1837</v>
      </c>
      <c r="ED8" s="85" t="s">
        <v>1854</v>
      </c>
      <c r="EE8" s="85" t="s">
        <v>1554</v>
      </c>
      <c r="EF8" s="85" t="s">
        <v>1614</v>
      </c>
      <c r="EG8" s="85" t="s">
        <v>1873</v>
      </c>
      <c r="EH8" s="86" t="s">
        <v>234</v>
      </c>
      <c r="EI8" s="486"/>
      <c r="EJ8" s="84" t="s">
        <v>1812</v>
      </c>
      <c r="EK8" s="84" t="s">
        <v>1819</v>
      </c>
      <c r="EL8" s="85" t="s">
        <v>1415</v>
      </c>
      <c r="EM8" s="85" t="s">
        <v>1827</v>
      </c>
      <c r="EN8" s="85" t="s">
        <v>1424</v>
      </c>
      <c r="EO8" s="85" t="s">
        <v>1830</v>
      </c>
      <c r="EP8" s="85" t="s">
        <v>1834</v>
      </c>
      <c r="EQ8" s="85" t="s">
        <v>1837</v>
      </c>
      <c r="ER8" s="85" t="s">
        <v>1852</v>
      </c>
      <c r="ES8" s="85" t="s">
        <v>1837</v>
      </c>
      <c r="ET8" s="85" t="s">
        <v>1854</v>
      </c>
      <c r="EU8" s="85" t="s">
        <v>1554</v>
      </c>
      <c r="EV8" s="85" t="s">
        <v>1614</v>
      </c>
      <c r="EW8" s="85" t="s">
        <v>1873</v>
      </c>
      <c r="EX8" s="86" t="s">
        <v>234</v>
      </c>
      <c r="EY8" s="486"/>
      <c r="EZ8" s="84" t="s">
        <v>1812</v>
      </c>
      <c r="FA8" s="84" t="s">
        <v>1819</v>
      </c>
      <c r="FB8" s="85" t="s">
        <v>1415</v>
      </c>
      <c r="FC8" s="85" t="s">
        <v>1827</v>
      </c>
      <c r="FD8" s="85" t="s">
        <v>1424</v>
      </c>
      <c r="FE8" s="85" t="s">
        <v>1830</v>
      </c>
      <c r="FF8" s="85" t="s">
        <v>1834</v>
      </c>
      <c r="FG8" s="85" t="s">
        <v>1837</v>
      </c>
      <c r="FH8" s="85" t="s">
        <v>1852</v>
      </c>
      <c r="FI8" s="85" t="s">
        <v>1837</v>
      </c>
      <c r="FJ8" s="85" t="s">
        <v>1854</v>
      </c>
      <c r="FK8" s="85" t="s">
        <v>1554</v>
      </c>
      <c r="FL8" s="85" t="s">
        <v>1614</v>
      </c>
      <c r="FM8" s="85" t="s">
        <v>1873</v>
      </c>
      <c r="FN8" s="86" t="s">
        <v>234</v>
      </c>
      <c r="FO8" s="486"/>
      <c r="FP8" s="84" t="s">
        <v>1812</v>
      </c>
      <c r="FQ8" s="84" t="s">
        <v>1819</v>
      </c>
      <c r="FR8" s="85" t="s">
        <v>1415</v>
      </c>
      <c r="FS8" s="85" t="s">
        <v>1827</v>
      </c>
      <c r="FT8" s="85" t="s">
        <v>1424</v>
      </c>
      <c r="FU8" s="85" t="s">
        <v>1830</v>
      </c>
      <c r="FV8" s="85" t="s">
        <v>1834</v>
      </c>
      <c r="FW8" s="85" t="s">
        <v>1837</v>
      </c>
      <c r="FX8" s="85" t="s">
        <v>1852</v>
      </c>
      <c r="FY8" s="85" t="s">
        <v>1837</v>
      </c>
      <c r="FZ8" s="85" t="s">
        <v>1854</v>
      </c>
      <c r="GA8" s="85" t="s">
        <v>1554</v>
      </c>
      <c r="GB8" s="85" t="s">
        <v>1614</v>
      </c>
      <c r="GC8" s="85" t="s">
        <v>1873</v>
      </c>
      <c r="GD8" s="86" t="s">
        <v>234</v>
      </c>
      <c r="GE8" s="486"/>
      <c r="GF8" s="84" t="s">
        <v>1812</v>
      </c>
      <c r="GG8" s="84" t="s">
        <v>1819</v>
      </c>
      <c r="GH8" s="85" t="s">
        <v>1415</v>
      </c>
      <c r="GI8" s="85" t="s">
        <v>1827</v>
      </c>
      <c r="GJ8" s="85" t="s">
        <v>1424</v>
      </c>
      <c r="GK8" s="85" t="s">
        <v>1830</v>
      </c>
      <c r="GL8" s="85" t="s">
        <v>1834</v>
      </c>
      <c r="GM8" s="85" t="s">
        <v>1837</v>
      </c>
      <c r="GN8" s="85" t="s">
        <v>1852</v>
      </c>
      <c r="GO8" s="85" t="s">
        <v>1837</v>
      </c>
      <c r="GP8" s="85" t="s">
        <v>1854</v>
      </c>
      <c r="GQ8" s="85" t="s">
        <v>1554</v>
      </c>
      <c r="GR8" s="85" t="s">
        <v>1614</v>
      </c>
      <c r="GS8" s="85" t="s">
        <v>1873</v>
      </c>
      <c r="GT8" s="86" t="s">
        <v>234</v>
      </c>
      <c r="GU8" s="498"/>
      <c r="GV8" s="484"/>
      <c r="GW8" s="484"/>
      <c r="GX8" s="484"/>
      <c r="GY8" s="484"/>
      <c r="GZ8" s="484"/>
      <c r="HA8" s="484"/>
      <c r="HB8" s="484"/>
      <c r="HC8" s="484"/>
      <c r="HD8" s="484"/>
      <c r="HE8" s="484"/>
      <c r="HF8" s="495"/>
      <c r="HG8" s="209"/>
    </row>
    <row r="9" spans="1:244" s="16" customFormat="1" ht="72.900000000000006" x14ac:dyDescent="0.4">
      <c r="B9" s="496" t="s">
        <v>223</v>
      </c>
      <c r="C9" s="71" t="s">
        <v>1806</v>
      </c>
      <c r="D9" s="71" t="s">
        <v>1807</v>
      </c>
      <c r="E9" s="489" t="s">
        <v>1809</v>
      </c>
      <c r="F9" s="71" t="s">
        <v>1747</v>
      </c>
      <c r="G9" s="71" t="s">
        <v>1847</v>
      </c>
      <c r="H9" s="71" t="s">
        <v>1850</v>
      </c>
      <c r="I9" s="489" t="s">
        <v>1875</v>
      </c>
      <c r="J9" s="72" t="s">
        <v>1874</v>
      </c>
      <c r="K9" s="486"/>
      <c r="L9" s="71" t="s">
        <v>1813</v>
      </c>
      <c r="M9" s="71" t="s">
        <v>1407</v>
      </c>
      <c r="N9" s="71" t="s">
        <v>1416</v>
      </c>
      <c r="O9" s="485" t="s">
        <v>1826</v>
      </c>
      <c r="P9" s="71" t="s">
        <v>103</v>
      </c>
      <c r="Q9" s="489" t="s">
        <v>1831</v>
      </c>
      <c r="R9" s="71" t="s">
        <v>1833</v>
      </c>
      <c r="S9" s="71" t="s">
        <v>1838</v>
      </c>
      <c r="T9" s="71" t="s">
        <v>1845</v>
      </c>
      <c r="U9" s="71" t="s">
        <v>1853</v>
      </c>
      <c r="V9" s="71" t="s">
        <v>1536</v>
      </c>
      <c r="W9" s="71" t="s">
        <v>1858</v>
      </c>
      <c r="X9" s="71" t="s">
        <v>1862</v>
      </c>
      <c r="Y9" s="71" t="s">
        <v>1457</v>
      </c>
      <c r="Z9" s="72" t="s">
        <v>1459</v>
      </c>
      <c r="AA9" s="486"/>
      <c r="AB9" s="71" t="s">
        <v>1813</v>
      </c>
      <c r="AC9" s="71" t="s">
        <v>1407</v>
      </c>
      <c r="AD9" s="71" t="s">
        <v>1416</v>
      </c>
      <c r="AE9" s="485" t="s">
        <v>1826</v>
      </c>
      <c r="AF9" s="71" t="s">
        <v>103</v>
      </c>
      <c r="AG9" s="489" t="s">
        <v>1831</v>
      </c>
      <c r="AH9" s="71" t="s">
        <v>1833</v>
      </c>
      <c r="AI9" s="71" t="s">
        <v>1838</v>
      </c>
      <c r="AJ9" s="71" t="s">
        <v>1845</v>
      </c>
      <c r="AK9" s="71" t="s">
        <v>1853</v>
      </c>
      <c r="AL9" s="71" t="s">
        <v>1536</v>
      </c>
      <c r="AM9" s="71" t="s">
        <v>1858</v>
      </c>
      <c r="AN9" s="71" t="s">
        <v>1862</v>
      </c>
      <c r="AO9" s="71" t="s">
        <v>1457</v>
      </c>
      <c r="AP9" s="72" t="s">
        <v>1459</v>
      </c>
      <c r="AQ9" s="486"/>
      <c r="AR9" s="71" t="s">
        <v>1813</v>
      </c>
      <c r="AS9" s="71" t="s">
        <v>1407</v>
      </c>
      <c r="AT9" s="71" t="s">
        <v>1416</v>
      </c>
      <c r="AU9" s="485" t="s">
        <v>1826</v>
      </c>
      <c r="AV9" s="71" t="s">
        <v>103</v>
      </c>
      <c r="AW9" s="489" t="s">
        <v>1831</v>
      </c>
      <c r="AX9" s="71" t="s">
        <v>1833</v>
      </c>
      <c r="AY9" s="71" t="s">
        <v>1838</v>
      </c>
      <c r="AZ9" s="71" t="s">
        <v>1845</v>
      </c>
      <c r="BA9" s="71" t="s">
        <v>1853</v>
      </c>
      <c r="BB9" s="71" t="s">
        <v>1536</v>
      </c>
      <c r="BC9" s="71" t="s">
        <v>1858</v>
      </c>
      <c r="BD9" s="71" t="s">
        <v>1862</v>
      </c>
      <c r="BE9" s="71" t="s">
        <v>1457</v>
      </c>
      <c r="BF9" s="72" t="s">
        <v>1459</v>
      </c>
      <c r="BG9" s="486"/>
      <c r="BH9" s="71" t="s">
        <v>1813</v>
      </c>
      <c r="BI9" s="71" t="s">
        <v>1407</v>
      </c>
      <c r="BJ9" s="71" t="s">
        <v>1416</v>
      </c>
      <c r="BK9" s="485" t="s">
        <v>1826</v>
      </c>
      <c r="BL9" s="71" t="s">
        <v>103</v>
      </c>
      <c r="BM9" s="489" t="s">
        <v>1831</v>
      </c>
      <c r="BN9" s="71" t="s">
        <v>1833</v>
      </c>
      <c r="BO9" s="71" t="s">
        <v>1838</v>
      </c>
      <c r="BP9" s="71" t="s">
        <v>1845</v>
      </c>
      <c r="BQ9" s="71" t="s">
        <v>1853</v>
      </c>
      <c r="BR9" s="71" t="s">
        <v>1536</v>
      </c>
      <c r="BS9" s="71" t="s">
        <v>1858</v>
      </c>
      <c r="BT9" s="71" t="s">
        <v>1862</v>
      </c>
      <c r="BU9" s="71" t="s">
        <v>1457</v>
      </c>
      <c r="BV9" s="72" t="s">
        <v>1459</v>
      </c>
      <c r="BW9" s="486"/>
      <c r="BX9" s="71" t="s">
        <v>1813</v>
      </c>
      <c r="BY9" s="71" t="s">
        <v>1407</v>
      </c>
      <c r="BZ9" s="71" t="s">
        <v>1416</v>
      </c>
      <c r="CA9" s="485" t="s">
        <v>1826</v>
      </c>
      <c r="CB9" s="71" t="s">
        <v>103</v>
      </c>
      <c r="CC9" s="489" t="s">
        <v>1831</v>
      </c>
      <c r="CD9" s="71" t="s">
        <v>1833</v>
      </c>
      <c r="CE9" s="71" t="s">
        <v>1838</v>
      </c>
      <c r="CF9" s="71" t="s">
        <v>1845</v>
      </c>
      <c r="CG9" s="71" t="s">
        <v>1853</v>
      </c>
      <c r="CH9" s="71" t="s">
        <v>1536</v>
      </c>
      <c r="CI9" s="71" t="s">
        <v>1858</v>
      </c>
      <c r="CJ9" s="71" t="s">
        <v>1862</v>
      </c>
      <c r="CK9" s="71" t="s">
        <v>1457</v>
      </c>
      <c r="CL9" s="72" t="s">
        <v>1459</v>
      </c>
      <c r="CM9" s="486"/>
      <c r="CN9" s="71" t="s">
        <v>1813</v>
      </c>
      <c r="CO9" s="71" t="s">
        <v>1407</v>
      </c>
      <c r="CP9" s="71" t="s">
        <v>1416</v>
      </c>
      <c r="CQ9" s="485" t="s">
        <v>1826</v>
      </c>
      <c r="CR9" s="71" t="s">
        <v>103</v>
      </c>
      <c r="CS9" s="489" t="s">
        <v>1831</v>
      </c>
      <c r="CT9" s="71" t="s">
        <v>1833</v>
      </c>
      <c r="CU9" s="71" t="s">
        <v>1838</v>
      </c>
      <c r="CV9" s="71" t="s">
        <v>1845</v>
      </c>
      <c r="CW9" s="71" t="s">
        <v>1853</v>
      </c>
      <c r="CX9" s="71" t="s">
        <v>1536</v>
      </c>
      <c r="CY9" s="71" t="s">
        <v>1858</v>
      </c>
      <c r="CZ9" s="71" t="s">
        <v>1862</v>
      </c>
      <c r="DA9" s="71" t="s">
        <v>1457</v>
      </c>
      <c r="DB9" s="72" t="s">
        <v>1459</v>
      </c>
      <c r="DC9" s="486"/>
      <c r="DD9" s="71" t="s">
        <v>1813</v>
      </c>
      <c r="DE9" s="71" t="s">
        <v>1407</v>
      </c>
      <c r="DF9" s="71" t="s">
        <v>1416</v>
      </c>
      <c r="DG9" s="485" t="s">
        <v>1826</v>
      </c>
      <c r="DH9" s="71" t="s">
        <v>103</v>
      </c>
      <c r="DI9" s="489" t="s">
        <v>1831</v>
      </c>
      <c r="DJ9" s="71" t="s">
        <v>1833</v>
      </c>
      <c r="DK9" s="71" t="s">
        <v>1838</v>
      </c>
      <c r="DL9" s="71" t="s">
        <v>1845</v>
      </c>
      <c r="DM9" s="71" t="s">
        <v>1853</v>
      </c>
      <c r="DN9" s="71" t="s">
        <v>1536</v>
      </c>
      <c r="DO9" s="71" t="s">
        <v>1858</v>
      </c>
      <c r="DP9" s="71" t="s">
        <v>1862</v>
      </c>
      <c r="DQ9" s="71" t="s">
        <v>1457</v>
      </c>
      <c r="DR9" s="72" t="s">
        <v>1459</v>
      </c>
      <c r="DS9" s="486"/>
      <c r="DT9" s="71" t="s">
        <v>1813</v>
      </c>
      <c r="DU9" s="71" t="s">
        <v>1407</v>
      </c>
      <c r="DV9" s="71" t="s">
        <v>1416</v>
      </c>
      <c r="DW9" s="485" t="s">
        <v>1826</v>
      </c>
      <c r="DX9" s="71" t="s">
        <v>103</v>
      </c>
      <c r="DY9" s="489" t="s">
        <v>1831</v>
      </c>
      <c r="DZ9" s="71" t="s">
        <v>1833</v>
      </c>
      <c r="EA9" s="71" t="s">
        <v>1838</v>
      </c>
      <c r="EB9" s="71" t="s">
        <v>1845</v>
      </c>
      <c r="EC9" s="71" t="s">
        <v>1853</v>
      </c>
      <c r="ED9" s="71" t="s">
        <v>1536</v>
      </c>
      <c r="EE9" s="71" t="s">
        <v>1858</v>
      </c>
      <c r="EF9" s="71" t="s">
        <v>1862</v>
      </c>
      <c r="EG9" s="71" t="s">
        <v>1457</v>
      </c>
      <c r="EH9" s="72" t="s">
        <v>1459</v>
      </c>
      <c r="EI9" s="486"/>
      <c r="EJ9" s="71" t="s">
        <v>1813</v>
      </c>
      <c r="EK9" s="71" t="s">
        <v>1407</v>
      </c>
      <c r="EL9" s="71" t="s">
        <v>1416</v>
      </c>
      <c r="EM9" s="485" t="s">
        <v>1826</v>
      </c>
      <c r="EN9" s="71" t="s">
        <v>103</v>
      </c>
      <c r="EO9" s="489" t="s">
        <v>1831</v>
      </c>
      <c r="EP9" s="71" t="s">
        <v>1833</v>
      </c>
      <c r="EQ9" s="71" t="s">
        <v>1838</v>
      </c>
      <c r="ER9" s="71" t="s">
        <v>1845</v>
      </c>
      <c r="ES9" s="71" t="s">
        <v>1853</v>
      </c>
      <c r="ET9" s="71" t="s">
        <v>1536</v>
      </c>
      <c r="EU9" s="71" t="s">
        <v>1858</v>
      </c>
      <c r="EV9" s="71" t="s">
        <v>1862</v>
      </c>
      <c r="EW9" s="71" t="s">
        <v>1457</v>
      </c>
      <c r="EX9" s="72" t="s">
        <v>1459</v>
      </c>
      <c r="EY9" s="486"/>
      <c r="EZ9" s="71" t="s">
        <v>1813</v>
      </c>
      <c r="FA9" s="71" t="s">
        <v>1407</v>
      </c>
      <c r="FB9" s="71" t="s">
        <v>1416</v>
      </c>
      <c r="FC9" s="485" t="s">
        <v>1826</v>
      </c>
      <c r="FD9" s="71" t="s">
        <v>103</v>
      </c>
      <c r="FE9" s="489" t="s">
        <v>1831</v>
      </c>
      <c r="FF9" s="71" t="s">
        <v>1833</v>
      </c>
      <c r="FG9" s="71" t="s">
        <v>1838</v>
      </c>
      <c r="FH9" s="71" t="s">
        <v>1845</v>
      </c>
      <c r="FI9" s="71" t="s">
        <v>1853</v>
      </c>
      <c r="FJ9" s="71" t="s">
        <v>1536</v>
      </c>
      <c r="FK9" s="71" t="s">
        <v>1858</v>
      </c>
      <c r="FL9" s="71" t="s">
        <v>1862</v>
      </c>
      <c r="FM9" s="71" t="s">
        <v>1457</v>
      </c>
      <c r="FN9" s="72" t="s">
        <v>1459</v>
      </c>
      <c r="FO9" s="486"/>
      <c r="FP9" s="71" t="s">
        <v>1813</v>
      </c>
      <c r="FQ9" s="71" t="s">
        <v>1407</v>
      </c>
      <c r="FR9" s="71" t="s">
        <v>1416</v>
      </c>
      <c r="FS9" s="485" t="s">
        <v>1826</v>
      </c>
      <c r="FT9" s="71" t="s">
        <v>103</v>
      </c>
      <c r="FU9" s="489" t="s">
        <v>1831</v>
      </c>
      <c r="FV9" s="71" t="s">
        <v>1833</v>
      </c>
      <c r="FW9" s="71" t="s">
        <v>1838</v>
      </c>
      <c r="FX9" s="71" t="s">
        <v>1845</v>
      </c>
      <c r="FY9" s="71" t="s">
        <v>1853</v>
      </c>
      <c r="FZ9" s="71" t="s">
        <v>1536</v>
      </c>
      <c r="GA9" s="71" t="s">
        <v>1858</v>
      </c>
      <c r="GB9" s="71" t="s">
        <v>1862</v>
      </c>
      <c r="GC9" s="71" t="s">
        <v>1457</v>
      </c>
      <c r="GD9" s="72" t="s">
        <v>1459</v>
      </c>
      <c r="GE9" s="486"/>
      <c r="GF9" s="71" t="s">
        <v>1813</v>
      </c>
      <c r="GG9" s="71" t="s">
        <v>1407</v>
      </c>
      <c r="GH9" s="71" t="s">
        <v>1416</v>
      </c>
      <c r="GI9" s="485" t="s">
        <v>1826</v>
      </c>
      <c r="GJ9" s="71" t="s">
        <v>103</v>
      </c>
      <c r="GK9" s="489" t="s">
        <v>1831</v>
      </c>
      <c r="GL9" s="71" t="s">
        <v>1833</v>
      </c>
      <c r="GM9" s="71" t="s">
        <v>1838</v>
      </c>
      <c r="GN9" s="71" t="s">
        <v>1845</v>
      </c>
      <c r="GO9" s="71" t="s">
        <v>1853</v>
      </c>
      <c r="GP9" s="71" t="s">
        <v>1536</v>
      </c>
      <c r="GQ9" s="71" t="s">
        <v>1858</v>
      </c>
      <c r="GR9" s="71" t="s">
        <v>1862</v>
      </c>
      <c r="GS9" s="71" t="s">
        <v>1457</v>
      </c>
      <c r="GT9" s="72" t="s">
        <v>1459</v>
      </c>
      <c r="GU9" s="486" t="s">
        <v>1833</v>
      </c>
      <c r="GV9" s="485"/>
      <c r="GW9" s="485" t="s">
        <v>1845</v>
      </c>
      <c r="GX9" s="485"/>
      <c r="GY9" s="485" t="s">
        <v>1853</v>
      </c>
      <c r="GZ9" s="485"/>
      <c r="HA9" s="485" t="s">
        <v>1437</v>
      </c>
      <c r="HB9" s="485"/>
      <c r="HC9" s="485" t="s">
        <v>1457</v>
      </c>
      <c r="HD9" s="485"/>
      <c r="HE9" s="485" t="s">
        <v>1459</v>
      </c>
      <c r="HF9" s="494"/>
      <c r="HG9" s="141"/>
    </row>
    <row r="10" spans="1:244" ht="16.75" thickBot="1" x14ac:dyDescent="0.45">
      <c r="B10" s="497"/>
      <c r="C10" s="88" t="s">
        <v>1799</v>
      </c>
      <c r="D10" s="88" t="s">
        <v>1808</v>
      </c>
      <c r="E10" s="490"/>
      <c r="F10" s="88" t="s">
        <v>19</v>
      </c>
      <c r="G10" s="88" t="s">
        <v>1799</v>
      </c>
      <c r="H10" s="88" t="s">
        <v>1851</v>
      </c>
      <c r="I10" s="490"/>
      <c r="J10" s="77" t="s">
        <v>19</v>
      </c>
      <c r="K10" s="487"/>
      <c r="L10" s="76" t="s">
        <v>1814</v>
      </c>
      <c r="M10" s="76" t="s">
        <v>1408</v>
      </c>
      <c r="N10" s="76" t="s">
        <v>21</v>
      </c>
      <c r="O10" s="488"/>
      <c r="P10" s="76" t="s">
        <v>1425</v>
      </c>
      <c r="Q10" s="490"/>
      <c r="R10" s="76" t="s">
        <v>1835</v>
      </c>
      <c r="S10" s="76" t="s">
        <v>1843</v>
      </c>
      <c r="T10" s="76" t="s">
        <v>1438</v>
      </c>
      <c r="U10" s="76" t="s">
        <v>1438</v>
      </c>
      <c r="V10" s="76" t="s">
        <v>1855</v>
      </c>
      <c r="W10" s="76" t="s">
        <v>1859</v>
      </c>
      <c r="X10" s="76" t="s">
        <v>1863</v>
      </c>
      <c r="Y10" s="76" t="s">
        <v>1438</v>
      </c>
      <c r="Z10" s="77" t="s">
        <v>1438</v>
      </c>
      <c r="AA10" s="487"/>
      <c r="AB10" s="76" t="s">
        <v>1814</v>
      </c>
      <c r="AC10" s="76" t="s">
        <v>1408</v>
      </c>
      <c r="AD10" s="76" t="s">
        <v>21</v>
      </c>
      <c r="AE10" s="488"/>
      <c r="AF10" s="76" t="s">
        <v>1425</v>
      </c>
      <c r="AG10" s="490"/>
      <c r="AH10" s="76" t="s">
        <v>1835</v>
      </c>
      <c r="AI10" s="76" t="s">
        <v>1843</v>
      </c>
      <c r="AJ10" s="76" t="s">
        <v>1438</v>
      </c>
      <c r="AK10" s="76" t="s">
        <v>1438</v>
      </c>
      <c r="AL10" s="76" t="s">
        <v>1855</v>
      </c>
      <c r="AM10" s="76" t="s">
        <v>1859</v>
      </c>
      <c r="AN10" s="76" t="s">
        <v>1863</v>
      </c>
      <c r="AO10" s="76" t="s">
        <v>1438</v>
      </c>
      <c r="AP10" s="77" t="s">
        <v>1438</v>
      </c>
      <c r="AQ10" s="487"/>
      <c r="AR10" s="76" t="s">
        <v>1814</v>
      </c>
      <c r="AS10" s="76" t="s">
        <v>1408</v>
      </c>
      <c r="AT10" s="76" t="s">
        <v>21</v>
      </c>
      <c r="AU10" s="488"/>
      <c r="AV10" s="76" t="s">
        <v>1425</v>
      </c>
      <c r="AW10" s="490"/>
      <c r="AX10" s="76" t="s">
        <v>1835</v>
      </c>
      <c r="AY10" s="76" t="s">
        <v>1843</v>
      </c>
      <c r="AZ10" s="76" t="s">
        <v>1438</v>
      </c>
      <c r="BA10" s="76" t="s">
        <v>1438</v>
      </c>
      <c r="BB10" s="76" t="s">
        <v>1855</v>
      </c>
      <c r="BC10" s="76" t="s">
        <v>1859</v>
      </c>
      <c r="BD10" s="76" t="s">
        <v>1863</v>
      </c>
      <c r="BE10" s="76" t="s">
        <v>1438</v>
      </c>
      <c r="BF10" s="77" t="s">
        <v>1438</v>
      </c>
      <c r="BG10" s="487"/>
      <c r="BH10" s="76" t="s">
        <v>1814</v>
      </c>
      <c r="BI10" s="76" t="s">
        <v>1408</v>
      </c>
      <c r="BJ10" s="76" t="s">
        <v>21</v>
      </c>
      <c r="BK10" s="488"/>
      <c r="BL10" s="76" t="s">
        <v>1425</v>
      </c>
      <c r="BM10" s="490"/>
      <c r="BN10" s="76" t="s">
        <v>1835</v>
      </c>
      <c r="BO10" s="76" t="s">
        <v>1843</v>
      </c>
      <c r="BP10" s="76" t="s">
        <v>1438</v>
      </c>
      <c r="BQ10" s="76" t="s">
        <v>1438</v>
      </c>
      <c r="BR10" s="76" t="s">
        <v>1855</v>
      </c>
      <c r="BS10" s="76" t="s">
        <v>1859</v>
      </c>
      <c r="BT10" s="76" t="s">
        <v>1863</v>
      </c>
      <c r="BU10" s="76" t="s">
        <v>1438</v>
      </c>
      <c r="BV10" s="77" t="s">
        <v>1438</v>
      </c>
      <c r="BW10" s="487"/>
      <c r="BX10" s="76" t="s">
        <v>1814</v>
      </c>
      <c r="BY10" s="76" t="s">
        <v>1408</v>
      </c>
      <c r="BZ10" s="76" t="s">
        <v>21</v>
      </c>
      <c r="CA10" s="488"/>
      <c r="CB10" s="76" t="s">
        <v>1425</v>
      </c>
      <c r="CC10" s="490"/>
      <c r="CD10" s="76" t="s">
        <v>1835</v>
      </c>
      <c r="CE10" s="76" t="s">
        <v>1843</v>
      </c>
      <c r="CF10" s="76" t="s">
        <v>1438</v>
      </c>
      <c r="CG10" s="76" t="s">
        <v>1438</v>
      </c>
      <c r="CH10" s="76" t="s">
        <v>1855</v>
      </c>
      <c r="CI10" s="76" t="s">
        <v>1859</v>
      </c>
      <c r="CJ10" s="76" t="s">
        <v>1863</v>
      </c>
      <c r="CK10" s="76" t="s">
        <v>1438</v>
      </c>
      <c r="CL10" s="77" t="s">
        <v>1438</v>
      </c>
      <c r="CM10" s="487"/>
      <c r="CN10" s="76" t="s">
        <v>1814</v>
      </c>
      <c r="CO10" s="76" t="s">
        <v>1408</v>
      </c>
      <c r="CP10" s="76" t="s">
        <v>21</v>
      </c>
      <c r="CQ10" s="488"/>
      <c r="CR10" s="76" t="s">
        <v>1425</v>
      </c>
      <c r="CS10" s="490"/>
      <c r="CT10" s="76" t="s">
        <v>1835</v>
      </c>
      <c r="CU10" s="76" t="s">
        <v>1843</v>
      </c>
      <c r="CV10" s="76" t="s">
        <v>1438</v>
      </c>
      <c r="CW10" s="76" t="s">
        <v>1438</v>
      </c>
      <c r="CX10" s="76" t="s">
        <v>1855</v>
      </c>
      <c r="CY10" s="76" t="s">
        <v>1859</v>
      </c>
      <c r="CZ10" s="76" t="s">
        <v>1863</v>
      </c>
      <c r="DA10" s="76" t="s">
        <v>1438</v>
      </c>
      <c r="DB10" s="77" t="s">
        <v>1438</v>
      </c>
      <c r="DC10" s="487"/>
      <c r="DD10" s="76" t="s">
        <v>1814</v>
      </c>
      <c r="DE10" s="76" t="s">
        <v>1408</v>
      </c>
      <c r="DF10" s="76" t="s">
        <v>21</v>
      </c>
      <c r="DG10" s="488"/>
      <c r="DH10" s="76" t="s">
        <v>1425</v>
      </c>
      <c r="DI10" s="490"/>
      <c r="DJ10" s="76" t="s">
        <v>1835</v>
      </c>
      <c r="DK10" s="76" t="s">
        <v>1843</v>
      </c>
      <c r="DL10" s="76" t="s">
        <v>1438</v>
      </c>
      <c r="DM10" s="76" t="s">
        <v>1438</v>
      </c>
      <c r="DN10" s="76" t="s">
        <v>1855</v>
      </c>
      <c r="DO10" s="76" t="s">
        <v>1859</v>
      </c>
      <c r="DP10" s="76" t="s">
        <v>1863</v>
      </c>
      <c r="DQ10" s="76" t="s">
        <v>1438</v>
      </c>
      <c r="DR10" s="77" t="s">
        <v>1438</v>
      </c>
      <c r="DS10" s="487"/>
      <c r="DT10" s="76" t="s">
        <v>1814</v>
      </c>
      <c r="DU10" s="76" t="s">
        <v>1408</v>
      </c>
      <c r="DV10" s="76" t="s">
        <v>21</v>
      </c>
      <c r="DW10" s="488"/>
      <c r="DX10" s="76" t="s">
        <v>1425</v>
      </c>
      <c r="DY10" s="490"/>
      <c r="DZ10" s="76" t="s">
        <v>1835</v>
      </c>
      <c r="EA10" s="76" t="s">
        <v>1843</v>
      </c>
      <c r="EB10" s="76" t="s">
        <v>1438</v>
      </c>
      <c r="EC10" s="76" t="s">
        <v>1438</v>
      </c>
      <c r="ED10" s="76" t="s">
        <v>1855</v>
      </c>
      <c r="EE10" s="76" t="s">
        <v>1859</v>
      </c>
      <c r="EF10" s="76" t="s">
        <v>1863</v>
      </c>
      <c r="EG10" s="76" t="s">
        <v>1438</v>
      </c>
      <c r="EH10" s="77" t="s">
        <v>1438</v>
      </c>
      <c r="EI10" s="487"/>
      <c r="EJ10" s="76" t="s">
        <v>1814</v>
      </c>
      <c r="EK10" s="76" t="s">
        <v>1408</v>
      </c>
      <c r="EL10" s="76" t="s">
        <v>21</v>
      </c>
      <c r="EM10" s="488"/>
      <c r="EN10" s="76" t="s">
        <v>1425</v>
      </c>
      <c r="EO10" s="490"/>
      <c r="EP10" s="76" t="s">
        <v>1835</v>
      </c>
      <c r="EQ10" s="76" t="s">
        <v>1843</v>
      </c>
      <c r="ER10" s="76" t="s">
        <v>1438</v>
      </c>
      <c r="ES10" s="76" t="s">
        <v>1438</v>
      </c>
      <c r="ET10" s="76" t="s">
        <v>1855</v>
      </c>
      <c r="EU10" s="76" t="s">
        <v>1859</v>
      </c>
      <c r="EV10" s="76" t="s">
        <v>1863</v>
      </c>
      <c r="EW10" s="76" t="s">
        <v>1438</v>
      </c>
      <c r="EX10" s="77" t="s">
        <v>1438</v>
      </c>
      <c r="EY10" s="487"/>
      <c r="EZ10" s="76" t="s">
        <v>1814</v>
      </c>
      <c r="FA10" s="76" t="s">
        <v>1408</v>
      </c>
      <c r="FB10" s="76" t="s">
        <v>21</v>
      </c>
      <c r="FC10" s="488"/>
      <c r="FD10" s="76" t="s">
        <v>1425</v>
      </c>
      <c r="FE10" s="490"/>
      <c r="FF10" s="76" t="s">
        <v>1835</v>
      </c>
      <c r="FG10" s="76" t="s">
        <v>1843</v>
      </c>
      <c r="FH10" s="76" t="s">
        <v>1438</v>
      </c>
      <c r="FI10" s="76" t="s">
        <v>1438</v>
      </c>
      <c r="FJ10" s="76" t="s">
        <v>1855</v>
      </c>
      <c r="FK10" s="76" t="s">
        <v>1859</v>
      </c>
      <c r="FL10" s="76" t="s">
        <v>1863</v>
      </c>
      <c r="FM10" s="76" t="s">
        <v>1438</v>
      </c>
      <c r="FN10" s="77" t="s">
        <v>1438</v>
      </c>
      <c r="FO10" s="487"/>
      <c r="FP10" s="76" t="s">
        <v>1814</v>
      </c>
      <c r="FQ10" s="76" t="s">
        <v>1408</v>
      </c>
      <c r="FR10" s="76" t="s">
        <v>21</v>
      </c>
      <c r="FS10" s="488"/>
      <c r="FT10" s="76" t="s">
        <v>1425</v>
      </c>
      <c r="FU10" s="490"/>
      <c r="FV10" s="76" t="s">
        <v>1835</v>
      </c>
      <c r="FW10" s="76" t="s">
        <v>1843</v>
      </c>
      <c r="FX10" s="76" t="s">
        <v>1438</v>
      </c>
      <c r="FY10" s="76" t="s">
        <v>1438</v>
      </c>
      <c r="FZ10" s="76" t="s">
        <v>1855</v>
      </c>
      <c r="GA10" s="76" t="s">
        <v>1859</v>
      </c>
      <c r="GB10" s="76" t="s">
        <v>1863</v>
      </c>
      <c r="GC10" s="76" t="s">
        <v>1438</v>
      </c>
      <c r="GD10" s="77" t="s">
        <v>1438</v>
      </c>
      <c r="GE10" s="487"/>
      <c r="GF10" s="76" t="s">
        <v>1814</v>
      </c>
      <c r="GG10" s="76" t="s">
        <v>1408</v>
      </c>
      <c r="GH10" s="76" t="s">
        <v>21</v>
      </c>
      <c r="GI10" s="488"/>
      <c r="GJ10" s="76" t="s">
        <v>1425</v>
      </c>
      <c r="GK10" s="490"/>
      <c r="GL10" s="76" t="s">
        <v>1835</v>
      </c>
      <c r="GM10" s="76" t="s">
        <v>1843</v>
      </c>
      <c r="GN10" s="76" t="s">
        <v>1438</v>
      </c>
      <c r="GO10" s="76" t="s">
        <v>1438</v>
      </c>
      <c r="GP10" s="76" t="s">
        <v>23</v>
      </c>
      <c r="GQ10" s="76" t="s">
        <v>1859</v>
      </c>
      <c r="GR10" s="76" t="s">
        <v>1863</v>
      </c>
      <c r="GS10" s="76" t="s">
        <v>1438</v>
      </c>
      <c r="GT10" s="77" t="s">
        <v>1438</v>
      </c>
      <c r="GU10" s="78" t="s">
        <v>1461</v>
      </c>
      <c r="GV10" s="76" t="s">
        <v>1462</v>
      </c>
      <c r="GW10" s="76" t="s">
        <v>1461</v>
      </c>
      <c r="GX10" s="76" t="s">
        <v>1462</v>
      </c>
      <c r="GY10" s="76" t="s">
        <v>1461</v>
      </c>
      <c r="GZ10" s="76" t="s">
        <v>1462</v>
      </c>
      <c r="HA10" s="76" t="s">
        <v>1461</v>
      </c>
      <c r="HB10" s="76" t="s">
        <v>1462</v>
      </c>
      <c r="HC10" s="76" t="s">
        <v>1461</v>
      </c>
      <c r="HD10" s="76" t="s">
        <v>1462</v>
      </c>
      <c r="HE10" s="76" t="s">
        <v>1461</v>
      </c>
      <c r="HF10" s="77" t="s">
        <v>1462</v>
      </c>
      <c r="HG10" s="141"/>
      <c r="HI10" s="43" t="s">
        <v>1612</v>
      </c>
      <c r="HJ10" s="43" t="s">
        <v>237</v>
      </c>
      <c r="HK10" s="43" t="s">
        <v>5</v>
      </c>
      <c r="HL10" s="43" t="s">
        <v>1797</v>
      </c>
      <c r="HM10" s="43" t="s">
        <v>1599</v>
      </c>
      <c r="HN10" s="43" t="s">
        <v>1747</v>
      </c>
      <c r="HO10" s="43" t="s">
        <v>1748</v>
      </c>
      <c r="HP10" s="43" t="s">
        <v>1525</v>
      </c>
      <c r="HQ10" s="43" t="s">
        <v>1849</v>
      </c>
      <c r="HR10" s="43" t="s">
        <v>1860</v>
      </c>
      <c r="HS10" s="43" t="s">
        <v>1872</v>
      </c>
      <c r="HT10" s="43" t="s">
        <v>1795</v>
      </c>
      <c r="HU10" s="43" t="s">
        <v>1796</v>
      </c>
      <c r="HV10" s="43" t="s">
        <v>1811</v>
      </c>
      <c r="HW10" s="43" t="s">
        <v>1856</v>
      </c>
      <c r="HX10" s="43" t="s">
        <v>1817</v>
      </c>
      <c r="HY10" s="43" t="s">
        <v>1815</v>
      </c>
      <c r="HZ10" s="43" t="s">
        <v>1818</v>
      </c>
      <c r="IA10" s="43" t="s">
        <v>1841</v>
      </c>
      <c r="IB10" s="43" t="s">
        <v>1842</v>
      </c>
      <c r="IC10" s="43" t="s">
        <v>1839</v>
      </c>
      <c r="ID10" s="43" t="s">
        <v>1840</v>
      </c>
      <c r="IE10" s="43" t="s">
        <v>1822</v>
      </c>
      <c r="IF10" s="43" t="s">
        <v>1824</v>
      </c>
      <c r="IG10" s="43" t="s">
        <v>1825</v>
      </c>
      <c r="IH10" s="43" t="s">
        <v>1828</v>
      </c>
      <c r="II10" s="43" t="s">
        <v>1865</v>
      </c>
      <c r="IJ10" s="43" t="s">
        <v>1869</v>
      </c>
    </row>
    <row r="11" spans="1:244" x14ac:dyDescent="0.4">
      <c r="A11" s="43" t="str" cm="1">
        <f t="array" ref="A11">INDEX(FLT_Cons,$HH11,HI$11)</f>
        <v>FLT - 1</v>
      </c>
      <c r="B11" s="96" t="str" cm="1">
        <f t="array" ref="B11">INDEX(FLT_Cons,$HH11,HJ$11)</f>
        <v>EXTANK 105</v>
      </c>
      <c r="C11" s="79" cm="1">
        <f t="array" ref="C11">IF(INDEX(FLT_Cons,$HH11,$HK11)="Welded",IF(INDEX(FLT_Cons,$HH11,$HM11)="Average",INDEX(Tbl_71_8_Weld,MATCH(INDEX(FLT_Cons,$HH11,$HL11),Tbl_71_8W_Name,0),2),INDEX(Tbl_71_8_Weld,MATCH(INDEX(FLT_Cons,$HH11,$HL11),Tbl_71_8W_Name,0),3)),INDEX(Tbl_71_8_Riv,MATCH(INDEX(FLT_Cons,$HH11,$HL11),Tbl_71_8R_Name,0),2))</f>
        <v>0.6</v>
      </c>
      <c r="D11" s="73" cm="1">
        <f t="array" ref="D11">IF(INDEX(FLT_Cons,$HH11,$HK11)="Welded",IF(INDEX(FLT_Cons,$HH11,$HM11)="Average",INDEX(Tbl_71_8_Weld,MATCH(INDEX(FLT_Cons,$HH11,$HL11),Tbl_71_8W_Name,0),4),INDEX(Tbl_71_8_Weld,MATCH(INDEX(FLT_Cons,$HH11,$HL11),Tbl_71_8W_Name,0),5)),INDEX(Tbl_71_8_Riv,MATCH(INDEX(FLT_Cons,$HH11,$HL11),Tbl_71_8R_Name,0),3))</f>
        <v>0.4</v>
      </c>
      <c r="E11" s="73" cm="1">
        <f t="array" ref="E11">IF(INDEX(FLT_Cons,$HH11,$HK11)="Welded",IF(INDEX(FLT_Cons,$HH11,$HM11)="Average",INDEX(Tbl_71_8_Weld,MATCH(INDEX(FLT_Cons,$HH11,$HL11),Tbl_71_8W_Name,0),6),INDEX(Tbl_71_8_Weld,MATCH(INDEX(FLT_Cons,$HH11,$HL11),Tbl_71_8W_Name,0),7)),INDEX(Tbl_71_8_Riv,MATCH(INDEX(FLT_Cons,$HH11,$HL11),Tbl_71_8R_Name,0),4))</f>
        <v>1</v>
      </c>
      <c r="F11" s="73" cm="1">
        <f t="array" ref="F11">INDEX(FLT_Cons,$HH11,$HN11)</f>
        <v>139</v>
      </c>
      <c r="G11" s="73" cm="1">
        <f t="array" ref="G11">IF(INDEX(FLT_Cons,$HH11,$HP11)="Bolted Deck",0.14,0)</f>
        <v>0</v>
      </c>
      <c r="H11" s="73" cm="1">
        <f t="array" ref="H11">INDEX(Tbl_71_16,MATCH(INDEX(FLT_Cons,$HH11,$HQ11),Bolted_Deck_Cons_Name,0),2)</f>
        <v>0</v>
      </c>
      <c r="I11" s="73" cm="1">
        <f t="array" ref="I11">INDEX(Sup_Col,$IJ11,1)</f>
        <v>0</v>
      </c>
      <c r="J11" s="74" cm="1">
        <f t="array" ref="J11">INDEX(FC,MATCH(INDEX(FLT_Cons,$HH11,$HS11),Roof_Column_Cons,0),2)</f>
        <v>1</v>
      </c>
      <c r="K11" s="79" t="str" cm="1">
        <f t="array" ref="K11">IF(ISBLANK(INDEX(FLT_Prod_Info,$HU11,K$25)),INDEX(FLT_Prod_Info,$HT11,K$25),INDEX(FLT_Prod_Info,$HT11,K$25)&amp;" &amp; "&amp;INDEX(FLT_Prod_Info,$HU11,K$25))</f>
        <v xml:space="preserve">Bakken Crude &amp; </v>
      </c>
      <c r="L11" s="73" cm="1">
        <f t="array" ref="L11">IF(INDEX(FLT_Cons,$HH11,$HO11)&lt;&gt;"External Floating Roof",0,INDEX(Flt_Fitting,$HX11,K$25*$HY11+$HZ11))</f>
        <v>8.5</v>
      </c>
      <c r="M11" s="73" cm="1">
        <f t="array" ref="M11">INDEX(Flt_Temps,$IE11,K$25)</f>
        <v>504.32428860561907</v>
      </c>
      <c r="N11" s="73" cm="1">
        <f t="array" ref="N11">INDEX(Flt_Vap,$IF11,K$25)</f>
        <v>5.8949526647142561</v>
      </c>
      <c r="O11" s="73" cm="1">
        <f t="array" ref="O11">INDEX(Flt_Vap,$IG11,K$25)</f>
        <v>0.25079518371634002</v>
      </c>
      <c r="P11" s="73" cm="1">
        <f t="array" ref="P11">INDEX(Flt_Vap,$IH11,K$25)</f>
        <v>61.103726164670178</v>
      </c>
      <c r="Q11" s="73" cm="1">
        <f t="array" ref="Q11">IF(INDEX(FLT_Prod_Info,$HV11,K$25)="Crude Oil",0.4,1)</f>
        <v>0.4</v>
      </c>
      <c r="R11" s="73" cm="1">
        <f t="array" ref="R11">INDEX(Month_Ref,K$25,3)/365*($C11+$D11*L11^$E11)*$F11*O11*P11*Q11</f>
        <v>289.46129388587383</v>
      </c>
      <c r="S11" s="73" cm="1">
        <f t="array" ref="S11">INDEX(Flt_Fitting,$IA11,K$25*$IC11)</f>
        <v>14.055953757894555</v>
      </c>
      <c r="T11" s="73">
        <f t="shared" ref="T11:T20" si="0">S11*O11*P11*Q11</f>
        <v>86.16029908154222</v>
      </c>
      <c r="U11" s="73" cm="1">
        <f t="array" ref="U11">INDEX(Month_Ref,K$25,3)/365*$G11*$H11*($F11^2)*O11*P11*Q11</f>
        <v>0</v>
      </c>
      <c r="V11" s="73" cm="1">
        <f t="array" ref="V11">INDEX(FLT_Prod_Info,$HW11,K$25)</f>
        <v>137323</v>
      </c>
      <c r="W11" s="73" cm="1">
        <f t="array" ref="W11">INDEX(Tbl_71_10,IF(INDEX(FLT_Prod_Info,$HV11,K$25)&lt;&gt;"Crude Oil",1,2),(MATCH(INDEX(FLT_Cons,$HH11,$HR11),Tbl_71_10_Col,0)))</f>
        <v>6.0000000000000001E-3</v>
      </c>
      <c r="X11" s="73" cm="1">
        <f t="array" ref="X11">INDEX(Flt_Multi,$II11,K$25)</f>
        <v>6.7389700000000001</v>
      </c>
      <c r="Y11" s="73">
        <f t="shared" ref="Y11:Y20" si="1">0.943*V11*W11*(X11/$F11)*(1+$I11*$J11/$F11)</f>
        <v>37.669074362733674</v>
      </c>
      <c r="Z11" s="74">
        <f t="shared" ref="Z11:Z20" si="2">Y11+U11+T11+R11</f>
        <v>413.29066733014974</v>
      </c>
      <c r="AA11" s="79" t="str" cm="1">
        <f t="array" ref="AA11">IF(ISBLANK(INDEX(FLT_Prod_Info,$HU11,AA$25)),INDEX(FLT_Prod_Info,$HT11,AA$25),INDEX(FLT_Prod_Info,$HT11,AA$25)&amp;" &amp; "&amp;INDEX(FLT_Prod_Info,$HU11,AA$25))</f>
        <v xml:space="preserve">Bakken Crude &amp; </v>
      </c>
      <c r="AB11" s="73" cm="1">
        <f t="array" ref="AB11">IF(INDEX(FLT_Cons,$HH11,$HO11)&lt;&gt;"External Floating Roof",0,INDEX(Flt_Fitting,$HX11,AA$25*$HY11+$HZ11))</f>
        <v>7.8</v>
      </c>
      <c r="AC11" s="73" cm="1">
        <f t="array" ref="AC11">INDEX(Flt_Temps,$IE11,AA$25)</f>
        <v>505.88075962539028</v>
      </c>
      <c r="AD11" s="73" cm="1">
        <f t="array" ref="AD11">INDEX(Flt_Vap,$IF11,AA$25)</f>
        <v>6.0567368379404254</v>
      </c>
      <c r="AE11" s="73" cm="1">
        <f t="array" ref="AE11">INDEX(Flt_Vap,$IG11,AA$25)</f>
        <v>0.25946401734375341</v>
      </c>
      <c r="AF11" s="73" cm="1">
        <f t="array" ref="AF11">INDEX(Flt_Vap,$IH11,AA$25)</f>
        <v>61.103726164670178</v>
      </c>
      <c r="AG11" s="73" cm="1">
        <f t="array" ref="AG11">IF(INDEX(FLT_Prod_Info,$HV11,AA$25)="Crude Oil",0.4,1)</f>
        <v>0.4</v>
      </c>
      <c r="AH11" s="73" cm="1">
        <f t="array" ref="AH11">INDEX(Month_Ref,AA$25,3)/365*($C11+$D11*AB11^$E11)*$F11*AE11*AF11*AG11</f>
        <v>251.55197485834083</v>
      </c>
      <c r="AI11" s="73" cm="1">
        <f t="array" ref="AI11">INDEX(Flt_Fitting,$IA11,AA$25*$IC11)</f>
        <v>11.984457560815519</v>
      </c>
      <c r="AJ11" s="73">
        <f t="shared" ref="AJ11:AJ20" si="3">AI11*AE11*AF11*AG11</f>
        <v>76.001682384435398</v>
      </c>
      <c r="AK11" s="73" cm="1">
        <f t="array" ref="AK11">INDEX(Month_Ref,AA$25,3)/365*$G11*$H11*($F11^2)*AE11*AF11*AG11</f>
        <v>0</v>
      </c>
      <c r="AL11" s="73" cm="1">
        <f t="array" ref="AL11">INDEX(FLT_Prod_Info,$HW11,AA$25)</f>
        <v>137323</v>
      </c>
      <c r="AM11" s="73" cm="1">
        <f t="array" ref="AM11">INDEX(Tbl_71_10,IF(INDEX(FLT_Prod_Info,$HV11,AA$25)&lt;&gt;"Crude Oil",1,2),(MATCH(INDEX(FLT_Cons,$HH11,$HR11),Tbl_71_10_Col,0)))</f>
        <v>6.0000000000000001E-3</v>
      </c>
      <c r="AN11" s="73" cm="1">
        <f t="array" ref="AN11">INDEX(Flt_Multi,$II11,AA$25)</f>
        <v>6.7389700000000001</v>
      </c>
      <c r="AO11" s="73">
        <f t="shared" ref="AO11:AO20" si="4">0.943*AL11*AM11*(AN11/$F11)*(1+$I11*$J11/$F11)</f>
        <v>37.669074362733674</v>
      </c>
      <c r="AP11" s="74">
        <f t="shared" ref="AP11:AP20" si="5">AO11+AK11+AJ11+AH11</f>
        <v>365.22273160550992</v>
      </c>
      <c r="AQ11" s="79" t="str" cm="1">
        <f t="array" ref="AQ11">IF(ISBLANK(INDEX(FLT_Prod_Info,$HU11,AQ$25)),INDEX(FLT_Prod_Info,$HT11,AQ$25),INDEX(FLT_Prod_Info,$HT11,AQ$25)&amp;" &amp; "&amp;INDEX(FLT_Prod_Info,$HU11,AQ$25))</f>
        <v xml:space="preserve">Bakken Crude &amp; </v>
      </c>
      <c r="AR11" s="73" cm="1">
        <f t="array" ref="AR11">IF(INDEX(FLT_Cons,$HH11,$HO11)&lt;&gt;"External Floating Roof",0,INDEX(Flt_Fitting,$HX11,AQ$25*$HY11+$HZ11))</f>
        <v>7.8</v>
      </c>
      <c r="AS11" s="73" cm="1">
        <f t="array" ref="AS11">INDEX(Flt_Temps,$IE11,AQ$25)</f>
        <v>508.01054365244539</v>
      </c>
      <c r="AT11" s="73" cm="1">
        <f t="array" ref="AT11">INDEX(Flt_Vap,$IF11,AQ$25)</f>
        <v>6.283642059124805</v>
      </c>
      <c r="AU11" s="73" cm="1">
        <f t="array" ref="AU11">INDEX(Flt_Vap,$IG11,AQ$25)</f>
        <v>0.27182664653300942</v>
      </c>
      <c r="AV11" s="73" cm="1">
        <f t="array" ref="AV11">INDEX(Flt_Vap,$IH11,AQ$25)</f>
        <v>61.103726164670178</v>
      </c>
      <c r="AW11" s="73" cm="1">
        <f t="array" ref="AW11">IF(INDEX(FLT_Prod_Info,$HV11,AQ$25)="Crude Oil",0.4,1)</f>
        <v>0.4</v>
      </c>
      <c r="AX11" s="73" cm="1">
        <f t="array" ref="AX11">INDEX(Month_Ref,AQ$25,3)/365*($C11+$D11*AR11^$E11)*$F11*AU11*AV11*AW11</f>
        <v>291.77379420332221</v>
      </c>
      <c r="AY11" s="73" cm="1">
        <f t="array" ref="AY11">INDEX(Flt_Fitting,$IA11,AQ$25*$IC11)</f>
        <v>13.268506585188613</v>
      </c>
      <c r="AZ11" s="73">
        <f t="shared" ref="AZ11:AZ20" si="6">AY11*AU11*AV11*AW11</f>
        <v>88.153946108474543</v>
      </c>
      <c r="BA11" s="73" cm="1">
        <f t="array" ref="BA11">INDEX(Month_Ref,AQ$25,3)/365*$G11*$H11*($F11^2)*AU11*AV11*AW11</f>
        <v>0</v>
      </c>
      <c r="BB11" s="73" cm="1">
        <f t="array" ref="BB11">INDEX(FLT_Prod_Info,$HW11,AQ$25)</f>
        <v>137323</v>
      </c>
      <c r="BC11" s="73" cm="1">
        <f t="array" ref="BC11">INDEX(Tbl_71_10,IF(INDEX(FLT_Prod_Info,$HV11,AQ$25)&lt;&gt;"Crude Oil",1,2),(MATCH(INDEX(FLT_Cons,$HH11,$HR11),Tbl_71_10_Col,0)))</f>
        <v>6.0000000000000001E-3</v>
      </c>
      <c r="BD11" s="73" cm="1">
        <f t="array" ref="BD11">INDEX(Flt_Multi,$II11,AQ$25)</f>
        <v>6.7389700000000001</v>
      </c>
      <c r="BE11" s="73">
        <f t="shared" ref="BE11:BE20" si="7">0.943*BB11*BC11*(BD11/$F11)*(1+$I11*$J11/$F11)</f>
        <v>37.669074362733674</v>
      </c>
      <c r="BF11" s="74">
        <f t="shared" ref="BF11:BF20" si="8">BE11+BA11+AZ11+AX11</f>
        <v>417.59681467453044</v>
      </c>
      <c r="BG11" s="79" t="str" cm="1">
        <f t="array" ref="BG11">IF(ISBLANK(INDEX(FLT_Prod_Info,$HU11,BG$25)),INDEX(FLT_Prod_Info,$HT11,BG$25),INDEX(FLT_Prod_Info,$HT11,BG$25)&amp;" &amp; "&amp;INDEX(FLT_Prod_Info,$HU11,BG$25))</f>
        <v xml:space="preserve">Bakken Crude &amp; </v>
      </c>
      <c r="BH11" s="73" cm="1">
        <f t="array" ref="BH11">IF(INDEX(FLT_Cons,$HH11,$HO11)&lt;&gt;"External Floating Roof",0,INDEX(Flt_Fitting,$HX11,BG$25*$HY11+$HZ11))</f>
        <v>7.8</v>
      </c>
      <c r="BI11" s="73" cm="1">
        <f t="array" ref="BI11">INDEX(Flt_Temps,$IE11,BG$25)</f>
        <v>511.49851841831423</v>
      </c>
      <c r="BJ11" s="73" cm="1">
        <f t="array" ref="BJ11">INDEX(Flt_Vap,$IF11,BG$25)</f>
        <v>6.6693404884876069</v>
      </c>
      <c r="BK11" s="73" cm="1">
        <f t="array" ref="BK11">INDEX(Flt_Vap,$IG11,BG$25)</f>
        <v>0.2934072583820011</v>
      </c>
      <c r="BL11" s="73" cm="1">
        <f t="array" ref="BL11">INDEX(Flt_Vap,$IH11,BG$25)</f>
        <v>61.103726164670178</v>
      </c>
      <c r="BM11" s="73" cm="1">
        <f t="array" ref="BM11">IF(INDEX(FLT_Prod_Info,$HV11,BG$25)="Crude Oil",0.4,1)</f>
        <v>0.4</v>
      </c>
      <c r="BN11" s="73" cm="1">
        <f t="array" ref="BN11">INDEX(Month_Ref,BG$25,3)/365*($C11+$D11*BH11^$E11)*$F11*BK11*BL11*BM11</f>
        <v>304.77874036264734</v>
      </c>
      <c r="BO11" s="73" cm="1">
        <f t="array" ref="BO11">INDEX(Flt_Fitting,$IA11,BG$25*$IC11)</f>
        <v>12.840490243730915</v>
      </c>
      <c r="BP11" s="73">
        <f t="shared" ref="BP11:BP20" si="9">BO11*BK11*BL11*BM11</f>
        <v>92.083145185461802</v>
      </c>
      <c r="BQ11" s="73" cm="1">
        <f t="array" ref="BQ11">INDEX(Month_Ref,BG$25,3)/365*$G11*$H11*($F11^2)*BK11*BL11*BM11</f>
        <v>0</v>
      </c>
      <c r="BR11" s="73" cm="1">
        <f t="array" ref="BR11">INDEX(FLT_Prod_Info,$HW11,BG$25)</f>
        <v>137323</v>
      </c>
      <c r="BS11" s="73" cm="1">
        <f t="array" ref="BS11">INDEX(Tbl_71_10,IF(INDEX(FLT_Prod_Info,$HV11,BG$25)&lt;&gt;"Crude Oil",1,2),(MATCH(INDEX(FLT_Cons,$HH11,$HR11),Tbl_71_10_Col,0)))</f>
        <v>6.0000000000000001E-3</v>
      </c>
      <c r="BT11" s="73" cm="1">
        <f t="array" ref="BT11">INDEX(Flt_Multi,$II11,BG$25)</f>
        <v>6.7389700000000001</v>
      </c>
      <c r="BU11" s="73">
        <f t="shared" ref="BU11:BU20" si="10">0.943*BR11*BS11*(BT11/$F11)*(1+$I11*$J11/$F11)</f>
        <v>37.669074362733674</v>
      </c>
      <c r="BV11" s="74">
        <f t="shared" ref="BV11:BV20" si="11">BU11+BQ11+BP11+BN11</f>
        <v>434.53095991084285</v>
      </c>
      <c r="BW11" s="79" t="str" cm="1">
        <f t="array" ref="BW11">IF(ISBLANK(INDEX(FLT_Prod_Info,$HU11,BW$25)),INDEX(FLT_Prod_Info,$HT11,BW$25),INDEX(FLT_Prod_Info,$HT11,BW$25)&amp;" &amp; "&amp;INDEX(FLT_Prod_Info,$HU11,BW$25))</f>
        <v xml:space="preserve">Bakken Crude &amp; </v>
      </c>
      <c r="BX11" s="73" cm="1">
        <f t="array" ref="BX11">IF(INDEX(FLT_Cons,$HH11,$HO11)&lt;&gt;"External Floating Roof",0,INDEX(Flt_Fitting,$HX11,BW$25*$HY11+$HZ11))</f>
        <v>7.6</v>
      </c>
      <c r="BY11" s="73" cm="1">
        <f t="array" ref="BY11">INDEX(Flt_Temps,$IE11,BW$25)</f>
        <v>516.79937924037449</v>
      </c>
      <c r="BZ11" s="73" cm="1">
        <f t="array" ref="BZ11">INDEX(Flt_Vap,$IF11,BW$25)</f>
        <v>7.2900827022708894</v>
      </c>
      <c r="CA11" s="73" cm="1">
        <f t="array" ref="CA11">INDEX(Flt_Vap,$IG11,BW$25)</f>
        <v>0.32972003486506246</v>
      </c>
      <c r="CB11" s="73" cm="1">
        <f t="array" ref="CB11">INDEX(Flt_Vap,$IH11,BW$25)</f>
        <v>61.103726164670178</v>
      </c>
      <c r="CC11" s="73" cm="1">
        <f t="array" ref="CC11">IF(INDEX(FLT_Prod_Info,$HV11,BW$25)="Crude Oil",0.4,1)</f>
        <v>0.4</v>
      </c>
      <c r="CD11" s="73" cm="1">
        <f t="array" ref="CD11">INDEX(Month_Ref,BW$25,3)/365*($C11+$D11*BX11^$E11)*$F11*CA11*CB11*CC11</f>
        <v>346.3044214528332</v>
      </c>
      <c r="CE11" s="73" cm="1">
        <f t="array" ref="CE11">INDEX(Flt_Fitting,$IA11,BW$25*$IC11)</f>
        <v>13.070655927627223</v>
      </c>
      <c r="CF11" s="73">
        <f t="shared" ref="CF11:CF20" si="12">CE11*CA11*CB11*CC11</f>
        <v>105.33444360924148</v>
      </c>
      <c r="CG11" s="73" cm="1">
        <f t="array" ref="CG11">INDEX(Month_Ref,BW$25,3)/365*$G11*$H11*($F11^2)*CA11*CB11*CC11</f>
        <v>0</v>
      </c>
      <c r="CH11" s="73" cm="1">
        <f t="array" ref="CH11">INDEX(FLT_Prod_Info,$HW11,BW$25)</f>
        <v>137323</v>
      </c>
      <c r="CI11" s="73" cm="1">
        <f t="array" ref="CI11">INDEX(Tbl_71_10,IF(INDEX(FLT_Prod_Info,$HV11,BW$25)&lt;&gt;"Crude Oil",1,2),(MATCH(INDEX(FLT_Cons,$HH11,$HR11),Tbl_71_10_Col,0)))</f>
        <v>6.0000000000000001E-3</v>
      </c>
      <c r="CJ11" s="73" cm="1">
        <f t="array" ref="CJ11">INDEX(Flt_Multi,$II11,BW$25)</f>
        <v>6.7389700000000001</v>
      </c>
      <c r="CK11" s="73">
        <f t="shared" ref="CK11:CK20" si="13">0.943*CH11*CI11*(CJ11/$F11)*(1+$I11*$J11/$F11)</f>
        <v>37.669074362733674</v>
      </c>
      <c r="CL11" s="74">
        <f t="shared" ref="CL11:CL20" si="14">CK11+CG11+CF11+CD11</f>
        <v>489.30793942480835</v>
      </c>
      <c r="CM11" s="79" t="str" cm="1">
        <f t="array" ref="CM11">IF(ISBLANK(INDEX(FLT_Prod_Info,$HU11,CM$25)),INDEX(FLT_Prod_Info,$HT11,CM$25),INDEX(FLT_Prod_Info,$HT11,CM$25)&amp;" &amp; "&amp;INDEX(FLT_Prod_Info,$HU11,CM$25))</f>
        <v xml:space="preserve">Bakken Crude &amp; </v>
      </c>
      <c r="CN11" s="73" cm="1">
        <f t="array" ref="CN11">IF(INDEX(FLT_Cons,$HH11,$HO11)&lt;&gt;"External Floating Roof",0,INDEX(Flt_Fitting,$HX11,CM$25*$HY11+$HZ11))</f>
        <v>7.8</v>
      </c>
      <c r="CO11" s="73" cm="1">
        <f t="array" ref="CO11">INDEX(Flt_Temps,$IE11,CM$25)</f>
        <v>520.83649318418327</v>
      </c>
      <c r="CP11" s="73" cm="1">
        <f t="array" ref="CP11">INDEX(Flt_Vap,$IF11,CM$25)</f>
        <v>7.7918407096608675</v>
      </c>
      <c r="CQ11" s="73" cm="1">
        <f t="array" ref="CQ11">INDEX(Flt_Vap,$IG11,CM$25)</f>
        <v>0.36059715244438001</v>
      </c>
      <c r="CR11" s="73" cm="1">
        <f t="array" ref="CR11">INDEX(Flt_Vap,$IH11,CM$25)</f>
        <v>61.103726164670178</v>
      </c>
      <c r="CS11" s="73" cm="1">
        <f t="array" ref="CS11">IF(INDEX(FLT_Prod_Info,$HV11,CM$25)="Crude Oil",0.4,1)</f>
        <v>0.4</v>
      </c>
      <c r="CT11" s="73" cm="1">
        <f t="array" ref="CT11">INDEX(Month_Ref,CM$25,3)/365*($C11+$D11*CN11^$E11)*$F11*CQ11*CR11*CS11</f>
        <v>374.57268953199684</v>
      </c>
      <c r="CU11" s="73" cm="1">
        <f t="array" ref="CU11">INDEX(Flt_Fitting,$IA11,CM$25*$IC11)</f>
        <v>12.840490243730915</v>
      </c>
      <c r="CV11" s="73">
        <f t="shared" ref="CV11:CV20" si="15">CU11*CQ11*CR11*CS11</f>
        <v>113.17006990593551</v>
      </c>
      <c r="CW11" s="73" cm="1">
        <f t="array" ref="CW11">INDEX(Month_Ref,CM$25,3)/365*$G11*$H11*($F11^2)*CQ11*CR11*CS11</f>
        <v>0</v>
      </c>
      <c r="CX11" s="73" cm="1">
        <f t="array" ref="CX11">INDEX(FLT_Prod_Info,$HW11,CM$25)</f>
        <v>137323</v>
      </c>
      <c r="CY11" s="73" cm="1">
        <f t="array" ref="CY11">INDEX(Tbl_71_10,IF(INDEX(FLT_Prod_Info,$HV11,CM$25)&lt;&gt;"Crude Oil",1,2),(MATCH(INDEX(FLT_Cons,$HH11,$HR11),Tbl_71_10_Col,0)))</f>
        <v>6.0000000000000001E-3</v>
      </c>
      <c r="CZ11" s="73" cm="1">
        <f t="array" ref="CZ11">INDEX(Flt_Multi,$II11,CM$25)</f>
        <v>6.7389700000000001</v>
      </c>
      <c r="DA11" s="73">
        <f t="shared" ref="DA11:DA20" si="16">0.943*CX11*CY11*(CZ11/$F11)*(1+$I11*$J11/$F11)</f>
        <v>37.669074362733674</v>
      </c>
      <c r="DB11" s="74">
        <f t="shared" ref="DB11:DB20" si="17">DA11+CW11+CV11+CT11</f>
        <v>525.41183380066605</v>
      </c>
      <c r="DC11" s="79" t="str" cm="1">
        <f t="array" ref="DC11">IF(ISBLANK(INDEX(FLT_Prod_Info,$HU11,DC$25)),INDEX(FLT_Prod_Info,$HT11,DC$25),INDEX(FLT_Prod_Info,$HT11,DC$25)&amp;" &amp; "&amp;INDEX(FLT_Prod_Info,$HU11,DC$25))</f>
        <v xml:space="preserve">Bakken Crude &amp; </v>
      </c>
      <c r="DD11" s="73" cm="1">
        <f t="array" ref="DD11">IF(INDEX(FLT_Cons,$HH11,$HO11)&lt;&gt;"External Floating Roof",0,INDEX(Flt_Fitting,$HX11,DC$25*$HY11+$HZ11))</f>
        <v>8.1</v>
      </c>
      <c r="DE11" s="73" cm="1">
        <f t="array" ref="DE11">INDEX(Flt_Temps,$IE11,DC$25)</f>
        <v>524.54989573361081</v>
      </c>
      <c r="DF11" s="73" cm="1">
        <f t="array" ref="DF11">INDEX(Flt_Vap,$IF11,DC$25)</f>
        <v>8.2763123878843672</v>
      </c>
      <c r="DG11" s="73" cm="1">
        <f t="array" ref="DG11">INDEX(Flt_Vap,$IG11,DC$25)</f>
        <v>0.39180244187749835</v>
      </c>
      <c r="DH11" s="73" cm="1">
        <f t="array" ref="DH11">INDEX(Flt_Vap,$IH11,DC$25)</f>
        <v>61.103726164670178</v>
      </c>
      <c r="DI11" s="73" cm="1">
        <f t="array" ref="DI11">IF(INDEX(FLT_Prod_Info,$HV11,DC$25)="Crude Oil",0.4,1)</f>
        <v>0.4</v>
      </c>
      <c r="DJ11" s="73" cm="1">
        <f t="array" ref="DJ11">INDEX(Month_Ref,DC$25,3)/365*($C11+$D11*DD11^$E11)*$F11*DG11*DH11*DI11</f>
        <v>434.11988415897076</v>
      </c>
      <c r="DK11" s="73" cm="1">
        <f t="array" ref="DK11">INDEX(Flt_Fitting,$IA11,DC$25*$IC11)</f>
        <v>13.587093877830046</v>
      </c>
      <c r="DL11" s="73">
        <f t="shared" ref="DL11:DL20" si="18">DK11*DG11*DH11*DI11</f>
        <v>130.1132127408799</v>
      </c>
      <c r="DM11" s="73" cm="1">
        <f t="array" ref="DM11">INDEX(Month_Ref,DC$25,3)/365*$G11*$H11*($F11^2)*DG11*DH11*DI11</f>
        <v>0</v>
      </c>
      <c r="DN11" s="73" cm="1">
        <f t="array" ref="DN11">INDEX(FLT_Prod_Info,$HW11,DC$25)</f>
        <v>137323</v>
      </c>
      <c r="DO11" s="73" cm="1">
        <f t="array" ref="DO11">INDEX(Tbl_71_10,IF(INDEX(FLT_Prod_Info,$HV11,DC$25)&lt;&gt;"Crude Oil",1,2),(MATCH(INDEX(FLT_Cons,$HH11,$HR11),Tbl_71_10_Col,0)))</f>
        <v>6.0000000000000001E-3</v>
      </c>
      <c r="DP11" s="73" cm="1">
        <f t="array" ref="DP11">INDEX(Flt_Multi,$II11,DC$25)</f>
        <v>6.7389700000000001</v>
      </c>
      <c r="DQ11" s="73">
        <f t="shared" ref="DQ11:DQ20" si="19">0.943*DN11*DO11*(DP11/$F11)*(1+$I11*$J11/$F11)</f>
        <v>37.669074362733674</v>
      </c>
      <c r="DR11" s="74">
        <f t="shared" ref="DR11:DR20" si="20">DQ11+DM11+DL11+DJ11</f>
        <v>601.90217126258437</v>
      </c>
      <c r="DS11" s="79" t="str" cm="1">
        <f t="array" ref="DS11">IF(ISBLANK(INDEX(FLT_Prod_Info,$HU11,DS$25)),INDEX(FLT_Prod_Info,$HT11,DS$25),INDEX(FLT_Prod_Info,$HT11,DS$25)&amp;" &amp; "&amp;INDEX(FLT_Prod_Info,$HU11,DS$25))</f>
        <v xml:space="preserve">Bakken Crude &amp; </v>
      </c>
      <c r="DT11" s="73" cm="1">
        <f t="array" ref="DT11">IF(INDEX(FLT_Cons,$HH11,$HO11)&lt;&gt;"External Floating Roof",0,INDEX(Flt_Fitting,$HX11,DS$25*$HY11+$HZ11))</f>
        <v>7.2</v>
      </c>
      <c r="DU11" s="73" cm="1">
        <f t="array" ref="DU11">INDEX(Flt_Temps,$IE11,DS$25)</f>
        <v>524.43082226847037</v>
      </c>
      <c r="DV11" s="73" cm="1">
        <f t="array" ref="DV11">INDEX(Flt_Vap,$IF11,DS$25)</f>
        <v>8.2604291130473815</v>
      </c>
      <c r="DW11" s="73" cm="1">
        <f t="array" ref="DW11">INDEX(Flt_Vap,$IG11,DS$25)</f>
        <v>0.39075670727761708</v>
      </c>
      <c r="DX11" s="73" cm="1">
        <f t="array" ref="DX11">INDEX(Flt_Vap,$IH11,DS$25)</f>
        <v>61.103726164670178</v>
      </c>
      <c r="DY11" s="73" cm="1">
        <f t="array" ref="DY11">IF(INDEX(FLT_Prod_Info,$HV11,DS$25)="Crude Oil",0.4,1)</f>
        <v>0.4</v>
      </c>
      <c r="DZ11" s="73" cm="1">
        <f t="array" ref="DZ11">INDEX(Month_Ref,DS$25,3)/365*($C11+$D11*DT11^$E11)*$F11*DW11*DX11*DY11</f>
        <v>392.37109004314664</v>
      </c>
      <c r="EA11" s="73" cm="1">
        <f t="array" ref="EA11">INDEX(Flt_Fitting,$IA11,DS$25*$IC11)</f>
        <v>12.707078103805506</v>
      </c>
      <c r="EB11" s="73">
        <f t="shared" ref="EB11:EB20" si="21">EA11*DW11*DX11*DY11</f>
        <v>121.36119013809321</v>
      </c>
      <c r="EC11" s="73" cm="1">
        <f t="array" ref="EC11">INDEX(Month_Ref,DS$25,3)/365*$G11*$H11*($F11^2)*DW11*DX11*DY11</f>
        <v>0</v>
      </c>
      <c r="ED11" s="73" cm="1">
        <f t="array" ref="ED11">INDEX(FLT_Prod_Info,$HW11,DS$25)</f>
        <v>137323</v>
      </c>
      <c r="EE11" s="73" cm="1">
        <f t="array" ref="EE11">INDEX(Tbl_71_10,IF(INDEX(FLT_Prod_Info,$HV11,DS$25)&lt;&gt;"Crude Oil",1,2),(MATCH(INDEX(FLT_Cons,$HH11,$HR11),Tbl_71_10_Col,0)))</f>
        <v>6.0000000000000001E-3</v>
      </c>
      <c r="EF11" s="73" cm="1">
        <f t="array" ref="EF11">INDEX(Flt_Multi,$II11,DS$25)</f>
        <v>6.7389700000000001</v>
      </c>
      <c r="EG11" s="73">
        <f t="shared" ref="EG11:EG20" si="22">0.943*ED11*EE11*(EF11/$F11)*(1+$I11*$J11/$F11)</f>
        <v>37.669074362733674</v>
      </c>
      <c r="EH11" s="74">
        <f t="shared" ref="EH11:EH20" si="23">EG11+EC11+EB11+DZ11</f>
        <v>551.40135454397353</v>
      </c>
      <c r="EI11" s="79" t="str" cm="1">
        <f t="array" ref="EI11">IF(ISBLANK(INDEX(FLT_Prod_Info,$HU11,EI$25)),INDEX(FLT_Prod_Info,$HT11,EI$25),INDEX(FLT_Prod_Info,$HT11,EI$25)&amp;" &amp; "&amp;INDEX(FLT_Prod_Info,$HU11,EI$25))</f>
        <v xml:space="preserve">Bakken Crude &amp; </v>
      </c>
      <c r="EJ11" s="73" cm="1">
        <f t="array" ref="EJ11">IF(INDEX(FLT_Cons,$HH11,$HO11)&lt;&gt;"External Floating Roof",0,INDEX(Flt_Fitting,$HX11,EI$25*$HY11+$HZ11))</f>
        <v>6.7</v>
      </c>
      <c r="EK11" s="73" cm="1">
        <f t="array" ref="EK11">INDEX(Flt_Temps,$IE11,EI$25)</f>
        <v>521.35098085327786</v>
      </c>
      <c r="EL11" s="73" cm="1">
        <f t="array" ref="EL11">INDEX(Flt_Vap,$IF11,EI$25)</f>
        <v>7.8576354052697734</v>
      </c>
      <c r="EM11" s="73" cm="1">
        <f t="array" ref="EM11">INDEX(Flt_Vap,$IG11,EI$25)</f>
        <v>0.36475268862508892</v>
      </c>
      <c r="EN11" s="73" cm="1">
        <f t="array" ref="EN11">INDEX(Flt_Vap,$IH11,EI$25)</f>
        <v>61.103726164670178</v>
      </c>
      <c r="EO11" s="73" cm="1">
        <f t="array" ref="EO11">IF(INDEX(FLT_Prod_Info,$HV11,EI$25)="Crude Oil",0.4,1)</f>
        <v>0.4</v>
      </c>
      <c r="EP11" s="73" cm="1">
        <f t="array" ref="EP11">INDEX(Month_Ref,EI$25,3)/365*($C11+$D11*EJ11^$E11)*$F11*EM11*EN11*EO11</f>
        <v>334.07441924902196</v>
      </c>
      <c r="EQ11" s="73" cm="1">
        <f t="array" ref="EQ11">INDEX(Flt_Fitting,$IA11,EI$25*$IC11)</f>
        <v>11.909749194194585</v>
      </c>
      <c r="ER11" s="73">
        <f t="shared" ref="ER11:ER20" si="24">EQ11*EM11*EN11*EO11</f>
        <v>106.17659743595389</v>
      </c>
      <c r="ES11" s="73" cm="1">
        <f t="array" ref="ES11">INDEX(Month_Ref,EI$25,3)/365*$G11*$H11*($F11^2)*EM11*EN11*EO11</f>
        <v>0</v>
      </c>
      <c r="ET11" s="73" cm="1">
        <f t="array" ref="ET11">INDEX(FLT_Prod_Info,$HW11,EI$25)</f>
        <v>137323</v>
      </c>
      <c r="EU11" s="73" cm="1">
        <f t="array" ref="EU11">INDEX(Tbl_71_10,IF(INDEX(FLT_Prod_Info,$HV11,EI$25)&lt;&gt;"Crude Oil",1,2),(MATCH(INDEX(FLT_Cons,$HH11,$HR11),Tbl_71_10_Col,0)))</f>
        <v>6.0000000000000001E-3</v>
      </c>
      <c r="EV11" s="73" cm="1">
        <f t="array" ref="EV11">INDEX(Flt_Multi,$II11,EI$25)</f>
        <v>6.7389700000000001</v>
      </c>
      <c r="EW11" s="73">
        <f t="shared" ref="EW11:EW20" si="25">0.943*ET11*EU11*(EV11/$F11)*(1+$I11*$J11/$F11)</f>
        <v>37.669074362733674</v>
      </c>
      <c r="EX11" s="74">
        <f t="shared" ref="EX11:EX20" si="26">EW11+ES11+ER11+EP11</f>
        <v>477.92009104770955</v>
      </c>
      <c r="EY11" s="79" t="str" cm="1">
        <f t="array" ref="EY11">IF(ISBLANK(INDEX(FLT_Prod_Info,$HU11,EY$25)),INDEX(FLT_Prod_Info,$HT11,EY$25),INDEX(FLT_Prod_Info,$HT11,EY$25)&amp;" &amp; "&amp;INDEX(FLT_Prod_Info,$HU11,EY$25))</f>
        <v xml:space="preserve">Bakken Crude &amp; </v>
      </c>
      <c r="EZ11" s="73" cm="1">
        <f t="array" ref="EZ11">IF(INDEX(FLT_Cons,$HH11,$HO11)&lt;&gt;"External Floating Roof",0,INDEX(Flt_Fitting,$HX11,EY$25*$HY11+$HZ11))</f>
        <v>6.7</v>
      </c>
      <c r="FA11" s="73" cm="1">
        <f t="array" ref="FA11">INDEX(Flt_Temps,$IE11,EY$25)</f>
        <v>514.16798834547342</v>
      </c>
      <c r="FB11" s="73" cm="1">
        <f t="array" ref="FB11">INDEX(Flt_Vap,$IF11,EY$25)</f>
        <v>6.9766366224365344</v>
      </c>
      <c r="FC11" s="73" cm="1">
        <f t="array" ref="FC11">INDEX(Flt_Vap,$IG11,EY$25)</f>
        <v>0.31113247843172664</v>
      </c>
      <c r="FD11" s="73" cm="1">
        <f t="array" ref="FD11">INDEX(Flt_Vap,$IH11,EY$25)</f>
        <v>61.103726164670178</v>
      </c>
      <c r="FE11" s="73" cm="1">
        <f t="array" ref="FE11">IF(INDEX(FLT_Prod_Info,$HV11,EY$25)="Crude Oil",0.4,1)</f>
        <v>0.4</v>
      </c>
      <c r="FF11" s="73" cm="1">
        <f t="array" ref="FF11">INDEX(Month_Ref,EY$25,3)/365*($C11+$D11*EZ11^$E11)*$F11*FC11*FD11*FE11</f>
        <v>294.46284782117556</v>
      </c>
      <c r="FG11" s="73" cm="1">
        <f t="array" ref="FG11">INDEX(Flt_Fitting,$IA11,EY$25*$IC11)</f>
        <v>12.306740834001072</v>
      </c>
      <c r="FH11" s="73">
        <f t="shared" ref="FH11:FH20" si="27">FG11*FC11*FD11*FE11</f>
        <v>93.587121466035569</v>
      </c>
      <c r="FI11" s="73" cm="1">
        <f t="array" ref="FI11">INDEX(Month_Ref,EY$25,3)/365*$G11*$H11*($F11^2)*FC11*FD11*FE11</f>
        <v>0</v>
      </c>
      <c r="FJ11" s="73" cm="1">
        <f t="array" ref="FJ11">INDEX(FLT_Prod_Info,$HW11,EY$25)</f>
        <v>137323</v>
      </c>
      <c r="FK11" s="73" cm="1">
        <f t="array" ref="FK11">INDEX(Tbl_71_10,IF(INDEX(FLT_Prod_Info,$HV11,EY$25)&lt;&gt;"Crude Oil",1,2),(MATCH(INDEX(FLT_Cons,$HH11,$HR11),Tbl_71_10_Col,0)))</f>
        <v>6.0000000000000001E-3</v>
      </c>
      <c r="FL11" s="73" cm="1">
        <f t="array" ref="FL11">INDEX(Flt_Multi,$II11,EY$25)</f>
        <v>6.7389700000000001</v>
      </c>
      <c r="FM11" s="73">
        <f t="shared" ref="FM11:FM20" si="28">0.943*FJ11*FK11*(FL11/$F11)*(1+$I11*$J11/$F11)</f>
        <v>37.669074362733674</v>
      </c>
      <c r="FN11" s="74">
        <f t="shared" ref="FN11:FN20" si="29">FM11+FI11+FH11+FF11</f>
        <v>425.71904364994481</v>
      </c>
      <c r="FO11" s="79" t="str" cm="1">
        <f t="array" ref="FO11">IF(ISBLANK(INDEX(FLT_Prod_Info,$HU11,FO$25)),INDEX(FLT_Prod_Info,$HT11,FO$25),INDEX(FLT_Prod_Info,$HT11,FO$25)&amp;" &amp; "&amp;INDEX(FLT_Prod_Info,$HU11,FO$25))</f>
        <v xml:space="preserve">Bakken Crude &amp; </v>
      </c>
      <c r="FP11" s="73" cm="1">
        <f t="array" ref="FP11">IF(INDEX(FLT_Cons,$HH11,$HO11)&lt;&gt;"External Floating Roof",0,INDEX(Flt_Fitting,$HX11,FO$25*$HY11+$HZ11))</f>
        <v>7.8</v>
      </c>
      <c r="FQ11" s="73" cm="1">
        <f t="array" ref="FQ11">INDEX(Flt_Temps,$IE11,FO$25)</f>
        <v>507.73012835587929</v>
      </c>
      <c r="FR11" s="73" cm="1">
        <f t="array" ref="FR11">INDEX(Flt_Vap,$IF11,FO$25)</f>
        <v>6.2533979721884903</v>
      </c>
      <c r="FS11" s="73" cm="1">
        <f t="array" ref="FS11">INDEX(Flt_Vap,$IG11,FO$25)</f>
        <v>0.27016483735603175</v>
      </c>
      <c r="FT11" s="73" cm="1">
        <f t="array" ref="FT11">INDEX(Flt_Vap,$IH11,FO$25)</f>
        <v>61.103726164670178</v>
      </c>
      <c r="FU11" s="73" cm="1">
        <f t="array" ref="FU11">IF(INDEX(FLT_Prod_Info,$HV11,FO$25)="Crude Oil",0.4,1)</f>
        <v>0.4</v>
      </c>
      <c r="FV11" s="73" cm="1">
        <f t="array" ref="FV11">INDEX(Month_Ref,FO$25,3)/365*($C11+$D11*FP11^$E11)*$F11*FS11*FT11*FU11</f>
        <v>280.6355209946708</v>
      </c>
      <c r="FW11" s="73" cm="1">
        <f t="array" ref="FW11">INDEX(Flt_Fitting,$IA11,FO$25*$IC11)</f>
        <v>12.840490243730915</v>
      </c>
      <c r="FX11" s="73">
        <f t="shared" ref="FX11:FX20" si="30">FW11*FS11*FT11*FU11</f>
        <v>84.788727039168066</v>
      </c>
      <c r="FY11" s="73" cm="1">
        <f t="array" ref="FY11">INDEX(Month_Ref,FO$25,3)/365*$G11*$H11*($F11^2)*FS11*FT11*FU11</f>
        <v>0</v>
      </c>
      <c r="FZ11" s="73" cm="1">
        <f t="array" ref="FZ11">INDEX(FLT_Prod_Info,$HW11,FO$25)</f>
        <v>137323</v>
      </c>
      <c r="GA11" s="73" cm="1">
        <f t="array" ref="GA11">INDEX(Tbl_71_10,IF(INDEX(FLT_Prod_Info,$HV11,FO$25)&lt;&gt;"Crude Oil",1,2),(MATCH(INDEX(FLT_Cons,$HH11,$HR11),Tbl_71_10_Col,0)))</f>
        <v>6.0000000000000001E-3</v>
      </c>
      <c r="GB11" s="73" cm="1">
        <f t="array" ref="GB11">INDEX(Flt_Multi,$II11,FO$25)</f>
        <v>6.7389700000000001</v>
      </c>
      <c r="GC11" s="73">
        <f t="shared" ref="GC11:GC20" si="31">0.943*FZ11*GA11*(GB11/$F11)*(1+$I11*$J11/$F11)</f>
        <v>37.669074362733674</v>
      </c>
      <c r="GD11" s="74">
        <f t="shared" ref="GD11:GD20" si="32">GC11+FY11+FX11+FV11</f>
        <v>403.09332239657255</v>
      </c>
      <c r="GE11" s="79" t="str" cm="1">
        <f t="array" ref="GE11">IF(ISBLANK(INDEX(FLT_Prod_Info,$HU11,GE$25)),INDEX(FLT_Prod_Info,$HT11,GE$25),INDEX(FLT_Prod_Info,$HT11,GE$25)&amp;" &amp; "&amp;INDEX(FLT_Prod_Info,$HU11,GE$25))</f>
        <v xml:space="preserve">Bakken Crude &amp; </v>
      </c>
      <c r="GF11" s="73" cm="1">
        <f t="array" ref="GF11">IF(INDEX(FLT_Cons,$HH11,$HO11)&lt;&gt;"External Floating Roof",0,INDEX(Flt_Fitting,$HX11,GE$25*$HY11+$HZ11))</f>
        <v>8.6999999999999993</v>
      </c>
      <c r="GG11" s="73" cm="1">
        <f t="array" ref="GG11">INDEX(Flt_Temps,$IE11,GE$25)</f>
        <v>503.9956490114464</v>
      </c>
      <c r="GH11" s="73" cm="1">
        <f t="array" ref="GH11">INDEX(Flt_Vap,$IF11,GE$25)</f>
        <v>5.8612240584033284</v>
      </c>
      <c r="GI11" s="73" cm="1">
        <f t="array" ref="GI11">INDEX(Flt_Vap,$IG11,GE$25)</f>
        <v>0.24900292491614384</v>
      </c>
      <c r="GJ11" s="73" cm="1">
        <f t="array" ref="GJ11">INDEX(Flt_Vap,$IH11,GE$25)</f>
        <v>61.103726164670178</v>
      </c>
      <c r="GK11" s="73" cm="1">
        <f t="array" ref="GK11">IF(INDEX(FLT_Prod_Info,$HV11,GE$25)="Crude Oil",0.4,1)</f>
        <v>0.4</v>
      </c>
      <c r="GL11" s="73" cm="1">
        <f t="array" ref="GL11">INDEX(Month_Ref,GE$25,3)/365*($C11+$D11*GF11^$E11)*$F11*GI11*GJ11*GK11</f>
        <v>293.14056958644881</v>
      </c>
      <c r="GM11" s="73" cm="1">
        <f t="array" ref="GM11">INDEX(Flt_Fitting,$IA11,GE$25*$IC11)</f>
        <v>14.31076062477575</v>
      </c>
      <c r="GN11" s="73">
        <f t="shared" ref="GN11:GN20" si="33">GM11*GI11*GJ11*GK11</f>
        <v>87.095326589477651</v>
      </c>
      <c r="GO11" s="73" cm="1">
        <f t="array" ref="GO11">INDEX(Month_Ref,GE$25,3)/365*$G11*$H11*($F11^2)*GI11*GJ11*GK11</f>
        <v>0</v>
      </c>
      <c r="GP11" s="73" cm="1">
        <f t="array" ref="GP11">INDEX(FLT_Prod_Info,$HW11,GE$25)</f>
        <v>137323</v>
      </c>
      <c r="GQ11" s="73" cm="1">
        <f t="array" ref="GQ11">INDEX(Tbl_71_10,IF(INDEX(FLT_Prod_Info,$HV11,GE$25)&lt;&gt;"Crude Oil",1,2),(MATCH(INDEX(FLT_Cons,$HH11,$HR11),Tbl_71_10_Col,0)))</f>
        <v>6.0000000000000001E-3</v>
      </c>
      <c r="GR11" s="73" cm="1">
        <f t="array" ref="GR11">INDEX(Flt_Multi,$II11,GE$25)</f>
        <v>6.7389700000000001</v>
      </c>
      <c r="GS11" s="73">
        <f t="shared" ref="GS11:GS20" si="34">0.943*GP11*GQ11*(GR11/$F11)*(1+$I11*$J11/$F11)</f>
        <v>37.669074362733674</v>
      </c>
      <c r="GT11" s="74">
        <f t="shared" ref="GT11:GT20" si="35">GS11+GO11+GN11+GL11</f>
        <v>417.90497053866011</v>
      </c>
      <c r="GU11" s="79">
        <f t="shared" ref="GU11:GU20" si="36">R11+AH11+AX11+BN11+CD11+CT11+DJ11+DZ11+EP11+FF11+FV11+GL11</f>
        <v>3887.247246148449</v>
      </c>
      <c r="GV11" s="73">
        <f t="shared" ref="GV11:GV20" si="37">GU11/2000</f>
        <v>1.9436236230742245</v>
      </c>
      <c r="GW11" s="79">
        <f t="shared" ref="GW11:GW20" si="38">T11+AJ11+AZ11+BP11+CF11+CV11+DL11+EB11+ER11+FH11+FX11+GN11</f>
        <v>1184.0257616846993</v>
      </c>
      <c r="GX11" s="73">
        <f t="shared" ref="GX11:GX20" si="39">GW11/2000</f>
        <v>0.59201288084234971</v>
      </c>
      <c r="GY11" s="79">
        <f t="shared" ref="GY11:GY20" si="40">U11+AK11+BA11+BQ11+CG11+CW11+DM11+EC11+ES11+FI11+FY11+GO11</f>
        <v>0</v>
      </c>
      <c r="GZ11" s="73">
        <f t="shared" ref="GZ11:GZ20" si="41">GY11/2000</f>
        <v>0</v>
      </c>
      <c r="HA11" s="73">
        <f t="shared" ref="HA11:HA20" si="42">GU11+GW11+GY11</f>
        <v>5071.2730078331479</v>
      </c>
      <c r="HB11" s="73">
        <f t="shared" ref="HB11:HB20" si="43">HA11/2000</f>
        <v>2.535636503916574</v>
      </c>
      <c r="HC11" s="79">
        <f t="shared" ref="HC11:HC20" si="44">Y11+AO11+BE11+BU11+CK11+DA11+DQ11+EG11+EW11+FM11+GC11+GS11</f>
        <v>452.02889235280412</v>
      </c>
      <c r="HD11" s="73">
        <f t="shared" ref="HD11:HD20" si="45">HC11/2000</f>
        <v>0.22601444617640207</v>
      </c>
      <c r="HE11" s="73">
        <f t="shared" ref="HE11:HE20" si="46">HC11+HA11</f>
        <v>5523.301900185952</v>
      </c>
      <c r="HF11" s="74">
        <f t="shared" ref="HF11:HF20" si="47">HE11/2000</f>
        <v>2.7616509500929762</v>
      </c>
      <c r="HH11" s="43">
        <v>1</v>
      </c>
      <c r="HI11" s="43">
        <v>1</v>
      </c>
      <c r="HJ11" s="43">
        <v>2</v>
      </c>
      <c r="HK11" s="43">
        <v>4</v>
      </c>
      <c r="HL11" s="43">
        <v>17</v>
      </c>
      <c r="HM11" s="43">
        <v>18</v>
      </c>
      <c r="HN11" s="43">
        <v>5</v>
      </c>
      <c r="HO11" s="43">
        <v>13</v>
      </c>
      <c r="HP11" s="43">
        <v>14</v>
      </c>
      <c r="HQ11" s="43">
        <v>15</v>
      </c>
      <c r="HR11" s="43">
        <v>12</v>
      </c>
      <c r="HS11" s="43">
        <v>20</v>
      </c>
      <c r="HT11" s="43">
        <v>1</v>
      </c>
      <c r="HU11" s="43">
        <v>6</v>
      </c>
      <c r="HV11" s="43">
        <v>2</v>
      </c>
      <c r="HW11" s="43">
        <v>11</v>
      </c>
      <c r="HX11" s="43">
        <v>1</v>
      </c>
      <c r="HY11" s="43">
        <v>3</v>
      </c>
      <c r="HZ11" s="43">
        <v>-2</v>
      </c>
      <c r="IA11" s="43">
        <v>15</v>
      </c>
      <c r="IB11" s="43">
        <v>30</v>
      </c>
      <c r="IC11" s="43">
        <v>3</v>
      </c>
      <c r="ID11" s="43">
        <v>0</v>
      </c>
      <c r="IE11" s="43">
        <v>6</v>
      </c>
      <c r="IF11" s="43">
        <v>17</v>
      </c>
      <c r="IG11" s="43">
        <v>18</v>
      </c>
      <c r="IH11" s="43">
        <v>23</v>
      </c>
      <c r="II11" s="43">
        <v>14</v>
      </c>
      <c r="IJ11" s="43">
        <v>2</v>
      </c>
    </row>
    <row r="12" spans="1:244" x14ac:dyDescent="0.4">
      <c r="A12" s="43" t="str" cm="1">
        <f t="array" ref="A12">INDEX(FLT_Cons,$HH12,HI$11)</f>
        <v>FLT - 2</v>
      </c>
      <c r="B12" s="96" t="str" cm="1">
        <f t="array" ref="B12">INDEX(FLT_Cons,$HH12,HJ$11)</f>
        <v>EXTANK 106</v>
      </c>
      <c r="C12" s="79" cm="1">
        <f t="array" ref="C12">IF(INDEX(FLT_Cons,$HH12,$HK12)="Welded",IF(INDEX(FLT_Cons,$HH12,$HM12)="Average",INDEX(Tbl_71_8_Weld,MATCH(INDEX(FLT_Cons,$HH12,$HL12),Tbl_71_8W_Name,0),2),INDEX(Tbl_71_8_Weld,MATCH(INDEX(FLT_Cons,$HH12,$HL12),Tbl_71_8W_Name,0),3)),INDEX(Tbl_71_8_Riv,MATCH(INDEX(FLT_Cons,$HH12,$HL12),Tbl_71_8R_Name,0),2))</f>
        <v>0.6</v>
      </c>
      <c r="D12" s="73" cm="1">
        <f t="array" ref="D12">IF(INDEX(FLT_Cons,$HH12,$HK12)="Welded",IF(INDEX(FLT_Cons,$HH12,$HM12)="Average",INDEX(Tbl_71_8_Weld,MATCH(INDEX(FLT_Cons,$HH12,$HL12),Tbl_71_8W_Name,0),4),INDEX(Tbl_71_8_Weld,MATCH(INDEX(FLT_Cons,$HH12,$HL12),Tbl_71_8W_Name,0),5)),INDEX(Tbl_71_8_Riv,MATCH(INDEX(FLT_Cons,$HH12,$HL12),Tbl_71_8R_Name,0),3))</f>
        <v>0.4</v>
      </c>
      <c r="E12" s="73" cm="1">
        <f t="array" ref="E12">IF(INDEX(FLT_Cons,$HH12,$HK12)="Welded",IF(INDEX(FLT_Cons,$HH12,$HM12)="Average",INDEX(Tbl_71_8_Weld,MATCH(INDEX(FLT_Cons,$HH12,$HL12),Tbl_71_8W_Name,0),6),INDEX(Tbl_71_8_Weld,MATCH(INDEX(FLT_Cons,$HH12,$HL12),Tbl_71_8W_Name,0),7)),INDEX(Tbl_71_8_Riv,MATCH(INDEX(FLT_Cons,$HH12,$HL12),Tbl_71_8R_Name,0),4))</f>
        <v>1</v>
      </c>
      <c r="F12" s="73" cm="1">
        <f t="array" ref="F12">INDEX(FLT_Cons,$HH12,$HN12)</f>
        <v>139</v>
      </c>
      <c r="G12" s="73" cm="1">
        <f t="array" ref="G12">IF(INDEX(FLT_Cons,$HH12,$HP12)="Bolted Deck",0.14,0)</f>
        <v>0</v>
      </c>
      <c r="H12" s="73" cm="1">
        <f t="array" ref="H12">INDEX(Tbl_71_16,MATCH(INDEX(FLT_Cons,$HH12,$HQ12),Bolted_Deck_Cons_Name,0),2)</f>
        <v>0</v>
      </c>
      <c r="I12" s="73" cm="1">
        <f t="array" ref="I12">INDEX(Sup_Col,$IJ12,1)</f>
        <v>0</v>
      </c>
      <c r="J12" s="74" cm="1">
        <f t="array" ref="J12">INDEX(FC,MATCH(INDEX(FLT_Cons,$HH12,$HS12),Roof_Column_Cons,0),2)</f>
        <v>1</v>
      </c>
      <c r="K12" s="79" t="str" cm="1">
        <f t="array" ref="K12">IF(ISBLANK(INDEX(FLT_Prod_Info,$HU12,K$25)),INDEX(FLT_Prod_Info,$HT12,K$25),INDEX(FLT_Prod_Info,$HT12,K$25)&amp;" &amp; "&amp;INDEX(FLT_Prod_Info,$HU12,K$25))</f>
        <v xml:space="preserve">Bakken Crude &amp; </v>
      </c>
      <c r="L12" s="73" cm="1">
        <f t="array" ref="L12">IF(INDEX(FLT_Cons,$HH12,$HO12)&lt;&gt;"External Floating Roof",0,INDEX(Flt_Fitting,$HX12,K$25*$HY12+$HZ12))</f>
        <v>8.5</v>
      </c>
      <c r="M12" s="73" cm="1">
        <f t="array" ref="M12">INDEX(Flt_Temps,$IE12,K$25)</f>
        <v>504.32428860561907</v>
      </c>
      <c r="N12" s="73" cm="1">
        <f t="array" ref="N12">INDEX(Flt_Vap,$IF12,K$25)</f>
        <v>5.8949526647142561</v>
      </c>
      <c r="O12" s="73" cm="1">
        <f t="array" ref="O12">INDEX(Flt_Vap,$IG12,K$25)</f>
        <v>0.25079518371634002</v>
      </c>
      <c r="P12" s="73" cm="1">
        <f t="array" ref="P12">INDEX(Flt_Vap,$IH12,K$25)</f>
        <v>61.103726164670178</v>
      </c>
      <c r="Q12" s="73" cm="1">
        <f t="array" ref="Q12">IF(INDEX(FLT_Prod_Info,$HV12,K$25)="Crude Oil",0.4,1)</f>
        <v>0.4</v>
      </c>
      <c r="R12" s="73" cm="1">
        <f t="array" ref="R12">INDEX(Month_Ref,K$25,3)/365*($C12+$D12*L12^$E12)*$F12*O12*P12*Q12</f>
        <v>289.46129388587383</v>
      </c>
      <c r="S12" s="73" cm="1">
        <f t="array" ref="S12">INDEX(Flt_Fitting,$IA12,K$25*$IC12)</f>
        <v>14.055953757894555</v>
      </c>
      <c r="T12" s="73">
        <f t="shared" si="0"/>
        <v>86.16029908154222</v>
      </c>
      <c r="U12" s="73" cm="1">
        <f t="array" ref="U12">INDEX(Month_Ref,K$25,3)/365*$G12*$H12*($F12^2)*O12*P12*Q12</f>
        <v>0</v>
      </c>
      <c r="V12" s="73" cm="1">
        <f t="array" ref="V12">INDEX(FLT_Prod_Info,$HW12,K$25)</f>
        <v>151066</v>
      </c>
      <c r="W12" s="73" cm="1">
        <f t="array" ref="W12">INDEX(Tbl_71_10,IF(INDEX(FLT_Prod_Info,$HV12,K$25)&lt;&gt;"Crude Oil",1,2),(MATCH(INDEX(FLT_Cons,$HH12,$HR12),Tbl_71_10_Col,0)))</f>
        <v>6.0000000000000001E-3</v>
      </c>
      <c r="X12" s="73" cm="1">
        <f t="array" ref="X12">INDEX(Flt_Multi,$II12,K$25)</f>
        <v>6.7389700000000001</v>
      </c>
      <c r="Y12" s="73">
        <f t="shared" si="1"/>
        <v>41.438916916181007</v>
      </c>
      <c r="Z12" s="74">
        <f t="shared" si="2"/>
        <v>417.06050988359709</v>
      </c>
      <c r="AA12" s="79" t="str" cm="1">
        <f t="array" ref="AA12">IF(ISBLANK(INDEX(FLT_Prod_Info,$HU12,AA$25)),INDEX(FLT_Prod_Info,$HT12,AA$25),INDEX(FLT_Prod_Info,$HT12,AA$25)&amp;" &amp; "&amp;INDEX(FLT_Prod_Info,$HU12,AA$25))</f>
        <v xml:space="preserve">Bakken Crude &amp; </v>
      </c>
      <c r="AB12" s="73" cm="1">
        <f t="array" ref="AB12">IF(INDEX(FLT_Cons,$HH12,$HO12)&lt;&gt;"External Floating Roof",0,INDEX(Flt_Fitting,$HX12,AA$25*$HY12+$HZ12))</f>
        <v>7.8</v>
      </c>
      <c r="AC12" s="73" cm="1">
        <f t="array" ref="AC12">INDEX(Flt_Temps,$IE12,AA$25)</f>
        <v>505.88075962539028</v>
      </c>
      <c r="AD12" s="73" cm="1">
        <f t="array" ref="AD12">INDEX(Flt_Vap,$IF12,AA$25)</f>
        <v>6.0567368379404254</v>
      </c>
      <c r="AE12" s="73" cm="1">
        <f t="array" ref="AE12">INDEX(Flt_Vap,$IG12,AA$25)</f>
        <v>0.25946401734375341</v>
      </c>
      <c r="AF12" s="73" cm="1">
        <f t="array" ref="AF12">INDEX(Flt_Vap,$IH12,AA$25)</f>
        <v>61.103726164670178</v>
      </c>
      <c r="AG12" s="73" cm="1">
        <f t="array" ref="AG12">IF(INDEX(FLT_Prod_Info,$HV12,AA$25)="Crude Oil",0.4,1)</f>
        <v>0.4</v>
      </c>
      <c r="AH12" s="73" cm="1">
        <f t="array" ref="AH12">INDEX(Month_Ref,AA$25,3)/365*($C12+$D12*AB12^$E12)*$F12*AE12*AF12*AG12</f>
        <v>251.55197485834083</v>
      </c>
      <c r="AI12" s="73" cm="1">
        <f t="array" ref="AI12">INDEX(Flt_Fitting,$IA12,AA$25*$IC12)</f>
        <v>11.984457560815519</v>
      </c>
      <c r="AJ12" s="73">
        <f t="shared" si="3"/>
        <v>76.001682384435398</v>
      </c>
      <c r="AK12" s="73" cm="1">
        <f t="array" ref="AK12">INDEX(Month_Ref,AA$25,3)/365*$G12*$H12*($F12^2)*AE12*AF12*AG12</f>
        <v>0</v>
      </c>
      <c r="AL12" s="73" cm="1">
        <f t="array" ref="AL12">INDEX(FLT_Prod_Info,$HW12,AA$25)</f>
        <v>151066</v>
      </c>
      <c r="AM12" s="73" cm="1">
        <f t="array" ref="AM12">INDEX(Tbl_71_10,IF(INDEX(FLT_Prod_Info,$HV12,AA$25)&lt;&gt;"Crude Oil",1,2),(MATCH(INDEX(FLT_Cons,$HH12,$HR12),Tbl_71_10_Col,0)))</f>
        <v>6.0000000000000001E-3</v>
      </c>
      <c r="AN12" s="73" cm="1">
        <f t="array" ref="AN12">INDEX(Flt_Multi,$II12,AA$25)</f>
        <v>6.7389700000000001</v>
      </c>
      <c r="AO12" s="73">
        <f t="shared" si="4"/>
        <v>41.438916916181007</v>
      </c>
      <c r="AP12" s="74">
        <f t="shared" si="5"/>
        <v>368.99257415895727</v>
      </c>
      <c r="AQ12" s="79" t="str" cm="1">
        <f t="array" ref="AQ12">IF(ISBLANK(INDEX(FLT_Prod_Info,$HU12,AQ$25)),INDEX(FLT_Prod_Info,$HT12,AQ$25),INDEX(FLT_Prod_Info,$HT12,AQ$25)&amp;" &amp; "&amp;INDEX(FLT_Prod_Info,$HU12,AQ$25))</f>
        <v xml:space="preserve">Bakken Crude &amp; </v>
      </c>
      <c r="AR12" s="73" cm="1">
        <f t="array" ref="AR12">IF(INDEX(FLT_Cons,$HH12,$HO12)&lt;&gt;"External Floating Roof",0,INDEX(Flt_Fitting,$HX12,AQ$25*$HY12+$HZ12))</f>
        <v>7.8</v>
      </c>
      <c r="AS12" s="73" cm="1">
        <f t="array" ref="AS12">INDEX(Flt_Temps,$IE12,AQ$25)</f>
        <v>508.01054365244539</v>
      </c>
      <c r="AT12" s="73" cm="1">
        <f t="array" ref="AT12">INDEX(Flt_Vap,$IF12,AQ$25)</f>
        <v>6.283642059124805</v>
      </c>
      <c r="AU12" s="73" cm="1">
        <f t="array" ref="AU12">INDEX(Flt_Vap,$IG12,AQ$25)</f>
        <v>0.27182664653300942</v>
      </c>
      <c r="AV12" s="73" cm="1">
        <f t="array" ref="AV12">INDEX(Flt_Vap,$IH12,AQ$25)</f>
        <v>61.103726164670178</v>
      </c>
      <c r="AW12" s="73" cm="1">
        <f t="array" ref="AW12">IF(INDEX(FLT_Prod_Info,$HV12,AQ$25)="Crude Oil",0.4,1)</f>
        <v>0.4</v>
      </c>
      <c r="AX12" s="73" cm="1">
        <f t="array" ref="AX12">INDEX(Month_Ref,AQ$25,3)/365*($C12+$D12*AR12^$E12)*$F12*AU12*AV12*AW12</f>
        <v>291.77379420332221</v>
      </c>
      <c r="AY12" s="73" cm="1">
        <f t="array" ref="AY12">INDEX(Flt_Fitting,$IA12,AQ$25*$IC12)</f>
        <v>13.268506585188613</v>
      </c>
      <c r="AZ12" s="73">
        <f t="shared" si="6"/>
        <v>88.153946108474543</v>
      </c>
      <c r="BA12" s="73" cm="1">
        <f t="array" ref="BA12">INDEX(Month_Ref,AQ$25,3)/365*$G12*$H12*($F12^2)*AU12*AV12*AW12</f>
        <v>0</v>
      </c>
      <c r="BB12" s="73" cm="1">
        <f t="array" ref="BB12">INDEX(FLT_Prod_Info,$HW12,AQ$25)</f>
        <v>151066</v>
      </c>
      <c r="BC12" s="73" cm="1">
        <f t="array" ref="BC12">INDEX(Tbl_71_10,IF(INDEX(FLT_Prod_Info,$HV12,AQ$25)&lt;&gt;"Crude Oil",1,2),(MATCH(INDEX(FLT_Cons,$HH12,$HR12),Tbl_71_10_Col,0)))</f>
        <v>6.0000000000000001E-3</v>
      </c>
      <c r="BD12" s="73" cm="1">
        <f t="array" ref="BD12">INDEX(Flt_Multi,$II12,AQ$25)</f>
        <v>6.7389700000000001</v>
      </c>
      <c r="BE12" s="73">
        <f t="shared" si="7"/>
        <v>41.438916916181007</v>
      </c>
      <c r="BF12" s="74">
        <f t="shared" si="8"/>
        <v>421.36665722797773</v>
      </c>
      <c r="BG12" s="79" t="str" cm="1">
        <f t="array" ref="BG12">IF(ISBLANK(INDEX(FLT_Prod_Info,$HU12,BG$25)),INDEX(FLT_Prod_Info,$HT12,BG$25),INDEX(FLT_Prod_Info,$HT12,BG$25)&amp;" &amp; "&amp;INDEX(FLT_Prod_Info,$HU12,BG$25))</f>
        <v xml:space="preserve">Bakken Crude &amp; </v>
      </c>
      <c r="BH12" s="73" cm="1">
        <f t="array" ref="BH12">IF(INDEX(FLT_Cons,$HH12,$HO12)&lt;&gt;"External Floating Roof",0,INDEX(Flt_Fitting,$HX12,BG$25*$HY12+$HZ12))</f>
        <v>7.8</v>
      </c>
      <c r="BI12" s="73" cm="1">
        <f t="array" ref="BI12">INDEX(Flt_Temps,$IE12,BG$25)</f>
        <v>511.49851841831423</v>
      </c>
      <c r="BJ12" s="73" cm="1">
        <f t="array" ref="BJ12">INDEX(Flt_Vap,$IF12,BG$25)</f>
        <v>6.6693404884876069</v>
      </c>
      <c r="BK12" s="73" cm="1">
        <f t="array" ref="BK12">INDEX(Flt_Vap,$IG12,BG$25)</f>
        <v>0.2934072583820011</v>
      </c>
      <c r="BL12" s="73" cm="1">
        <f t="array" ref="BL12">INDEX(Flt_Vap,$IH12,BG$25)</f>
        <v>61.103726164670178</v>
      </c>
      <c r="BM12" s="73" cm="1">
        <f t="array" ref="BM12">IF(INDEX(FLT_Prod_Info,$HV12,BG$25)="Crude Oil",0.4,1)</f>
        <v>0.4</v>
      </c>
      <c r="BN12" s="73" cm="1">
        <f t="array" ref="BN12">INDEX(Month_Ref,BG$25,3)/365*($C12+$D12*BH12^$E12)*$F12*BK12*BL12*BM12</f>
        <v>304.77874036264734</v>
      </c>
      <c r="BO12" s="73" cm="1">
        <f t="array" ref="BO12">INDEX(Flt_Fitting,$IA12,BG$25*$IC12)</f>
        <v>12.840490243730915</v>
      </c>
      <c r="BP12" s="73">
        <f t="shared" si="9"/>
        <v>92.083145185461802</v>
      </c>
      <c r="BQ12" s="73" cm="1">
        <f t="array" ref="BQ12">INDEX(Month_Ref,BG$25,3)/365*$G12*$H12*($F12^2)*BK12*BL12*BM12</f>
        <v>0</v>
      </c>
      <c r="BR12" s="73" cm="1">
        <f t="array" ref="BR12">INDEX(FLT_Prod_Info,$HW12,BG$25)</f>
        <v>151066</v>
      </c>
      <c r="BS12" s="73" cm="1">
        <f t="array" ref="BS12">INDEX(Tbl_71_10,IF(INDEX(FLT_Prod_Info,$HV12,BG$25)&lt;&gt;"Crude Oil",1,2),(MATCH(INDEX(FLT_Cons,$HH12,$HR12),Tbl_71_10_Col,0)))</f>
        <v>6.0000000000000001E-3</v>
      </c>
      <c r="BT12" s="73" cm="1">
        <f t="array" ref="BT12">INDEX(Flt_Multi,$II12,BG$25)</f>
        <v>6.7389700000000001</v>
      </c>
      <c r="BU12" s="73">
        <f t="shared" si="10"/>
        <v>41.438916916181007</v>
      </c>
      <c r="BV12" s="74">
        <f t="shared" si="11"/>
        <v>438.30080246429014</v>
      </c>
      <c r="BW12" s="79" t="str" cm="1">
        <f t="array" ref="BW12">IF(ISBLANK(INDEX(FLT_Prod_Info,$HU12,BW$25)),INDEX(FLT_Prod_Info,$HT12,BW$25),INDEX(FLT_Prod_Info,$HT12,BW$25)&amp;" &amp; "&amp;INDEX(FLT_Prod_Info,$HU12,BW$25))</f>
        <v xml:space="preserve">Bakken Crude &amp; </v>
      </c>
      <c r="BX12" s="73" cm="1">
        <f t="array" ref="BX12">IF(INDEX(FLT_Cons,$HH12,$HO12)&lt;&gt;"External Floating Roof",0,INDEX(Flt_Fitting,$HX12,BW$25*$HY12+$HZ12))</f>
        <v>7.6</v>
      </c>
      <c r="BY12" s="73" cm="1">
        <f t="array" ref="BY12">INDEX(Flt_Temps,$IE12,BW$25)</f>
        <v>516.79937924037449</v>
      </c>
      <c r="BZ12" s="73" cm="1">
        <f t="array" ref="BZ12">INDEX(Flt_Vap,$IF12,BW$25)</f>
        <v>7.2900827022708894</v>
      </c>
      <c r="CA12" s="73" cm="1">
        <f t="array" ref="CA12">INDEX(Flt_Vap,$IG12,BW$25)</f>
        <v>0.32972003486506246</v>
      </c>
      <c r="CB12" s="73" cm="1">
        <f t="array" ref="CB12">INDEX(Flt_Vap,$IH12,BW$25)</f>
        <v>61.103726164670178</v>
      </c>
      <c r="CC12" s="73" cm="1">
        <f t="array" ref="CC12">IF(INDEX(FLT_Prod_Info,$HV12,BW$25)="Crude Oil",0.4,1)</f>
        <v>0.4</v>
      </c>
      <c r="CD12" s="73" cm="1">
        <f t="array" ref="CD12">INDEX(Month_Ref,BW$25,3)/365*($C12+$D12*BX12^$E12)*$F12*CA12*CB12*CC12</f>
        <v>346.3044214528332</v>
      </c>
      <c r="CE12" s="73" cm="1">
        <f t="array" ref="CE12">INDEX(Flt_Fitting,$IA12,BW$25*$IC12)</f>
        <v>13.070655927627223</v>
      </c>
      <c r="CF12" s="73">
        <f t="shared" si="12"/>
        <v>105.33444360924148</v>
      </c>
      <c r="CG12" s="73" cm="1">
        <f t="array" ref="CG12">INDEX(Month_Ref,BW$25,3)/365*$G12*$H12*($F12^2)*CA12*CB12*CC12</f>
        <v>0</v>
      </c>
      <c r="CH12" s="73" cm="1">
        <f t="array" ref="CH12">INDEX(FLT_Prod_Info,$HW12,BW$25)</f>
        <v>151066</v>
      </c>
      <c r="CI12" s="73" cm="1">
        <f t="array" ref="CI12">INDEX(Tbl_71_10,IF(INDEX(FLT_Prod_Info,$HV12,BW$25)&lt;&gt;"Crude Oil",1,2),(MATCH(INDEX(FLT_Cons,$HH12,$HR12),Tbl_71_10_Col,0)))</f>
        <v>6.0000000000000001E-3</v>
      </c>
      <c r="CJ12" s="73" cm="1">
        <f t="array" ref="CJ12">INDEX(Flt_Multi,$II12,BW$25)</f>
        <v>6.7389700000000001</v>
      </c>
      <c r="CK12" s="73">
        <f t="shared" si="13"/>
        <v>41.438916916181007</v>
      </c>
      <c r="CL12" s="74">
        <f t="shared" si="14"/>
        <v>493.07778197825564</v>
      </c>
      <c r="CM12" s="79" t="str" cm="1">
        <f t="array" ref="CM12">IF(ISBLANK(INDEX(FLT_Prod_Info,$HU12,CM$25)),INDEX(FLT_Prod_Info,$HT12,CM$25),INDEX(FLT_Prod_Info,$HT12,CM$25)&amp;" &amp; "&amp;INDEX(FLT_Prod_Info,$HU12,CM$25))</f>
        <v xml:space="preserve">Bakken Crude &amp; </v>
      </c>
      <c r="CN12" s="73" cm="1">
        <f t="array" ref="CN12">IF(INDEX(FLT_Cons,$HH12,$HO12)&lt;&gt;"External Floating Roof",0,INDEX(Flt_Fitting,$HX12,CM$25*$HY12+$HZ12))</f>
        <v>7.8</v>
      </c>
      <c r="CO12" s="73" cm="1">
        <f t="array" ref="CO12">INDEX(Flt_Temps,$IE12,CM$25)</f>
        <v>520.83649318418327</v>
      </c>
      <c r="CP12" s="73" cm="1">
        <f t="array" ref="CP12">INDEX(Flt_Vap,$IF12,CM$25)</f>
        <v>7.7918407096608675</v>
      </c>
      <c r="CQ12" s="73" cm="1">
        <f t="array" ref="CQ12">INDEX(Flt_Vap,$IG12,CM$25)</f>
        <v>0.36059715244438001</v>
      </c>
      <c r="CR12" s="73" cm="1">
        <f t="array" ref="CR12">INDEX(Flt_Vap,$IH12,CM$25)</f>
        <v>61.103726164670178</v>
      </c>
      <c r="CS12" s="73" cm="1">
        <f t="array" ref="CS12">IF(INDEX(FLT_Prod_Info,$HV12,CM$25)="Crude Oil",0.4,1)</f>
        <v>0.4</v>
      </c>
      <c r="CT12" s="73" cm="1">
        <f t="array" ref="CT12">INDEX(Month_Ref,CM$25,3)/365*($C12+$D12*CN12^$E12)*$F12*CQ12*CR12*CS12</f>
        <v>374.57268953199684</v>
      </c>
      <c r="CU12" s="73" cm="1">
        <f t="array" ref="CU12">INDEX(Flt_Fitting,$IA12,CM$25*$IC12)</f>
        <v>12.840490243730915</v>
      </c>
      <c r="CV12" s="73">
        <f t="shared" si="15"/>
        <v>113.17006990593551</v>
      </c>
      <c r="CW12" s="73" cm="1">
        <f t="array" ref="CW12">INDEX(Month_Ref,CM$25,3)/365*$G12*$H12*($F12^2)*CQ12*CR12*CS12</f>
        <v>0</v>
      </c>
      <c r="CX12" s="73" cm="1">
        <f t="array" ref="CX12">INDEX(FLT_Prod_Info,$HW12,CM$25)</f>
        <v>151066</v>
      </c>
      <c r="CY12" s="73" cm="1">
        <f t="array" ref="CY12">INDEX(Tbl_71_10,IF(INDEX(FLT_Prod_Info,$HV12,CM$25)&lt;&gt;"Crude Oil",1,2),(MATCH(INDEX(FLT_Cons,$HH12,$HR12),Tbl_71_10_Col,0)))</f>
        <v>6.0000000000000001E-3</v>
      </c>
      <c r="CZ12" s="73" cm="1">
        <f t="array" ref="CZ12">INDEX(Flt_Multi,$II12,CM$25)</f>
        <v>6.7389700000000001</v>
      </c>
      <c r="DA12" s="73">
        <f t="shared" si="16"/>
        <v>41.438916916181007</v>
      </c>
      <c r="DB12" s="74">
        <f t="shared" si="17"/>
        <v>529.18167635411339</v>
      </c>
      <c r="DC12" s="79" t="str" cm="1">
        <f t="array" ref="DC12">IF(ISBLANK(INDEX(FLT_Prod_Info,$HU12,DC$25)),INDEX(FLT_Prod_Info,$HT12,DC$25),INDEX(FLT_Prod_Info,$HT12,DC$25)&amp;" &amp; "&amp;INDEX(FLT_Prod_Info,$HU12,DC$25))</f>
        <v xml:space="preserve">Bakken Crude &amp; </v>
      </c>
      <c r="DD12" s="73" cm="1">
        <f t="array" ref="DD12">IF(INDEX(FLT_Cons,$HH12,$HO12)&lt;&gt;"External Floating Roof",0,INDEX(Flt_Fitting,$HX12,DC$25*$HY12+$HZ12))</f>
        <v>8.1</v>
      </c>
      <c r="DE12" s="73" cm="1">
        <f t="array" ref="DE12">INDEX(Flt_Temps,$IE12,DC$25)</f>
        <v>524.54989573361081</v>
      </c>
      <c r="DF12" s="73" cm="1">
        <f t="array" ref="DF12">INDEX(Flt_Vap,$IF12,DC$25)</f>
        <v>8.2763123878843672</v>
      </c>
      <c r="DG12" s="73" cm="1">
        <f t="array" ref="DG12">INDEX(Flt_Vap,$IG12,DC$25)</f>
        <v>0.39180244187749835</v>
      </c>
      <c r="DH12" s="73" cm="1">
        <f t="array" ref="DH12">INDEX(Flt_Vap,$IH12,DC$25)</f>
        <v>61.103726164670178</v>
      </c>
      <c r="DI12" s="73" cm="1">
        <f t="array" ref="DI12">IF(INDEX(FLT_Prod_Info,$HV12,DC$25)="Crude Oil",0.4,1)</f>
        <v>0.4</v>
      </c>
      <c r="DJ12" s="73" cm="1">
        <f t="array" ref="DJ12">INDEX(Month_Ref,DC$25,3)/365*($C12+$D12*DD12^$E12)*$F12*DG12*DH12*DI12</f>
        <v>434.11988415897076</v>
      </c>
      <c r="DK12" s="73" cm="1">
        <f t="array" ref="DK12">INDEX(Flt_Fitting,$IA12,DC$25*$IC12)</f>
        <v>13.587093877830046</v>
      </c>
      <c r="DL12" s="73">
        <f t="shared" si="18"/>
        <v>130.1132127408799</v>
      </c>
      <c r="DM12" s="73" cm="1">
        <f t="array" ref="DM12">INDEX(Month_Ref,DC$25,3)/365*$G12*$H12*($F12^2)*DG12*DH12*DI12</f>
        <v>0</v>
      </c>
      <c r="DN12" s="73" cm="1">
        <f t="array" ref="DN12">INDEX(FLT_Prod_Info,$HW12,DC$25)</f>
        <v>151066</v>
      </c>
      <c r="DO12" s="73" cm="1">
        <f t="array" ref="DO12">INDEX(Tbl_71_10,IF(INDEX(FLT_Prod_Info,$HV12,DC$25)&lt;&gt;"Crude Oil",1,2),(MATCH(INDEX(FLT_Cons,$HH12,$HR12),Tbl_71_10_Col,0)))</f>
        <v>6.0000000000000001E-3</v>
      </c>
      <c r="DP12" s="73" cm="1">
        <f t="array" ref="DP12">INDEX(Flt_Multi,$II12,DC$25)</f>
        <v>6.7389700000000001</v>
      </c>
      <c r="DQ12" s="73">
        <f t="shared" si="19"/>
        <v>41.438916916181007</v>
      </c>
      <c r="DR12" s="74">
        <f t="shared" si="20"/>
        <v>605.67201381603172</v>
      </c>
      <c r="DS12" s="79" t="str" cm="1">
        <f t="array" ref="DS12">IF(ISBLANK(INDEX(FLT_Prod_Info,$HU12,DS$25)),INDEX(FLT_Prod_Info,$HT12,DS$25),INDEX(FLT_Prod_Info,$HT12,DS$25)&amp;" &amp; "&amp;INDEX(FLT_Prod_Info,$HU12,DS$25))</f>
        <v xml:space="preserve">Bakken Crude &amp; </v>
      </c>
      <c r="DT12" s="73" cm="1">
        <f t="array" ref="DT12">IF(INDEX(FLT_Cons,$HH12,$HO12)&lt;&gt;"External Floating Roof",0,INDEX(Flt_Fitting,$HX12,DS$25*$HY12+$HZ12))</f>
        <v>7.2</v>
      </c>
      <c r="DU12" s="73" cm="1">
        <f t="array" ref="DU12">INDEX(Flt_Temps,$IE12,DS$25)</f>
        <v>524.43082226847037</v>
      </c>
      <c r="DV12" s="73" cm="1">
        <f t="array" ref="DV12">INDEX(Flt_Vap,$IF12,DS$25)</f>
        <v>8.2604291130473815</v>
      </c>
      <c r="DW12" s="73" cm="1">
        <f t="array" ref="DW12">INDEX(Flt_Vap,$IG12,DS$25)</f>
        <v>0.39075670727761708</v>
      </c>
      <c r="DX12" s="73" cm="1">
        <f t="array" ref="DX12">INDEX(Flt_Vap,$IH12,DS$25)</f>
        <v>61.103726164670178</v>
      </c>
      <c r="DY12" s="73" cm="1">
        <f t="array" ref="DY12">IF(INDEX(FLT_Prod_Info,$HV12,DS$25)="Crude Oil",0.4,1)</f>
        <v>0.4</v>
      </c>
      <c r="DZ12" s="73" cm="1">
        <f t="array" ref="DZ12">INDEX(Month_Ref,DS$25,3)/365*($C12+$D12*DT12^$E12)*$F12*DW12*DX12*DY12</f>
        <v>392.37109004314664</v>
      </c>
      <c r="EA12" s="73" cm="1">
        <f t="array" ref="EA12">INDEX(Flt_Fitting,$IA12,DS$25*$IC12)</f>
        <v>12.707078103805506</v>
      </c>
      <c r="EB12" s="73">
        <f t="shared" si="21"/>
        <v>121.36119013809321</v>
      </c>
      <c r="EC12" s="73" cm="1">
        <f t="array" ref="EC12">INDEX(Month_Ref,DS$25,3)/365*$G12*$H12*($F12^2)*DW12*DX12*DY12</f>
        <v>0</v>
      </c>
      <c r="ED12" s="73" cm="1">
        <f t="array" ref="ED12">INDEX(FLT_Prod_Info,$HW12,DS$25)</f>
        <v>151066</v>
      </c>
      <c r="EE12" s="73" cm="1">
        <f t="array" ref="EE12">INDEX(Tbl_71_10,IF(INDEX(FLT_Prod_Info,$HV12,DS$25)&lt;&gt;"Crude Oil",1,2),(MATCH(INDEX(FLT_Cons,$HH12,$HR12),Tbl_71_10_Col,0)))</f>
        <v>6.0000000000000001E-3</v>
      </c>
      <c r="EF12" s="73" cm="1">
        <f t="array" ref="EF12">INDEX(Flt_Multi,$II12,DS$25)</f>
        <v>6.7389700000000001</v>
      </c>
      <c r="EG12" s="73">
        <f t="shared" si="22"/>
        <v>41.438916916181007</v>
      </c>
      <c r="EH12" s="74">
        <f t="shared" si="23"/>
        <v>555.17119709742087</v>
      </c>
      <c r="EI12" s="79" t="str" cm="1">
        <f t="array" ref="EI12">IF(ISBLANK(INDEX(FLT_Prod_Info,$HU12,EI$25)),INDEX(FLT_Prod_Info,$HT12,EI$25),INDEX(FLT_Prod_Info,$HT12,EI$25)&amp;" &amp; "&amp;INDEX(FLT_Prod_Info,$HU12,EI$25))</f>
        <v xml:space="preserve">Bakken Crude &amp; </v>
      </c>
      <c r="EJ12" s="73" cm="1">
        <f t="array" ref="EJ12">IF(INDEX(FLT_Cons,$HH12,$HO12)&lt;&gt;"External Floating Roof",0,INDEX(Flt_Fitting,$HX12,EI$25*$HY12+$HZ12))</f>
        <v>6.7</v>
      </c>
      <c r="EK12" s="73" cm="1">
        <f t="array" ref="EK12">INDEX(Flt_Temps,$IE12,EI$25)</f>
        <v>521.35098085327786</v>
      </c>
      <c r="EL12" s="73" cm="1">
        <f t="array" ref="EL12">INDEX(Flt_Vap,$IF12,EI$25)</f>
        <v>7.8576354052697734</v>
      </c>
      <c r="EM12" s="73" cm="1">
        <f t="array" ref="EM12">INDEX(Flt_Vap,$IG12,EI$25)</f>
        <v>0.36475268862508892</v>
      </c>
      <c r="EN12" s="73" cm="1">
        <f t="array" ref="EN12">INDEX(Flt_Vap,$IH12,EI$25)</f>
        <v>61.103726164670178</v>
      </c>
      <c r="EO12" s="73" cm="1">
        <f t="array" ref="EO12">IF(INDEX(FLT_Prod_Info,$HV12,EI$25)="Crude Oil",0.4,1)</f>
        <v>0.4</v>
      </c>
      <c r="EP12" s="73" cm="1">
        <f t="array" ref="EP12">INDEX(Month_Ref,EI$25,3)/365*($C12+$D12*EJ12^$E12)*$F12*EM12*EN12*EO12</f>
        <v>334.07441924902196</v>
      </c>
      <c r="EQ12" s="73" cm="1">
        <f t="array" ref="EQ12">INDEX(Flt_Fitting,$IA12,EI$25*$IC12)</f>
        <v>11.909749194194585</v>
      </c>
      <c r="ER12" s="73">
        <f t="shared" si="24"/>
        <v>106.17659743595389</v>
      </c>
      <c r="ES12" s="73" cm="1">
        <f t="array" ref="ES12">INDEX(Month_Ref,EI$25,3)/365*$G12*$H12*($F12^2)*EM12*EN12*EO12</f>
        <v>0</v>
      </c>
      <c r="ET12" s="73" cm="1">
        <f t="array" ref="ET12">INDEX(FLT_Prod_Info,$HW12,EI$25)</f>
        <v>151066</v>
      </c>
      <c r="EU12" s="73" cm="1">
        <f t="array" ref="EU12">INDEX(Tbl_71_10,IF(INDEX(FLT_Prod_Info,$HV12,EI$25)&lt;&gt;"Crude Oil",1,2),(MATCH(INDEX(FLT_Cons,$HH12,$HR12),Tbl_71_10_Col,0)))</f>
        <v>6.0000000000000001E-3</v>
      </c>
      <c r="EV12" s="73" cm="1">
        <f t="array" ref="EV12">INDEX(Flt_Multi,$II12,EI$25)</f>
        <v>6.7389700000000001</v>
      </c>
      <c r="EW12" s="73">
        <f t="shared" si="25"/>
        <v>41.438916916181007</v>
      </c>
      <c r="EX12" s="74">
        <f t="shared" si="26"/>
        <v>481.68993360115689</v>
      </c>
      <c r="EY12" s="79" t="str" cm="1">
        <f t="array" ref="EY12">IF(ISBLANK(INDEX(FLT_Prod_Info,$HU12,EY$25)),INDEX(FLT_Prod_Info,$HT12,EY$25),INDEX(FLT_Prod_Info,$HT12,EY$25)&amp;" &amp; "&amp;INDEX(FLT_Prod_Info,$HU12,EY$25))</f>
        <v xml:space="preserve">Bakken Crude &amp; </v>
      </c>
      <c r="EZ12" s="73" cm="1">
        <f t="array" ref="EZ12">IF(INDEX(FLT_Cons,$HH12,$HO12)&lt;&gt;"External Floating Roof",0,INDEX(Flt_Fitting,$HX12,EY$25*$HY12+$HZ12))</f>
        <v>6.7</v>
      </c>
      <c r="FA12" s="73" cm="1">
        <f t="array" ref="FA12">INDEX(Flt_Temps,$IE12,EY$25)</f>
        <v>514.16798834547342</v>
      </c>
      <c r="FB12" s="73" cm="1">
        <f t="array" ref="FB12">INDEX(Flt_Vap,$IF12,EY$25)</f>
        <v>6.9766366224365344</v>
      </c>
      <c r="FC12" s="73" cm="1">
        <f t="array" ref="FC12">INDEX(Flt_Vap,$IG12,EY$25)</f>
        <v>0.31113247843172664</v>
      </c>
      <c r="FD12" s="73" cm="1">
        <f t="array" ref="FD12">INDEX(Flt_Vap,$IH12,EY$25)</f>
        <v>61.103726164670178</v>
      </c>
      <c r="FE12" s="73" cm="1">
        <f t="array" ref="FE12">IF(INDEX(FLT_Prod_Info,$HV12,EY$25)="Crude Oil",0.4,1)</f>
        <v>0.4</v>
      </c>
      <c r="FF12" s="73" cm="1">
        <f t="array" ref="FF12">INDEX(Month_Ref,EY$25,3)/365*($C12+$D12*EZ12^$E12)*$F12*FC12*FD12*FE12</f>
        <v>294.46284782117556</v>
      </c>
      <c r="FG12" s="73" cm="1">
        <f t="array" ref="FG12">INDEX(Flt_Fitting,$IA12,EY$25*$IC12)</f>
        <v>12.306740834001072</v>
      </c>
      <c r="FH12" s="73">
        <f t="shared" si="27"/>
        <v>93.587121466035569</v>
      </c>
      <c r="FI12" s="73" cm="1">
        <f t="array" ref="FI12">INDEX(Month_Ref,EY$25,3)/365*$G12*$H12*($F12^2)*FC12*FD12*FE12</f>
        <v>0</v>
      </c>
      <c r="FJ12" s="73" cm="1">
        <f t="array" ref="FJ12">INDEX(FLT_Prod_Info,$HW12,EY$25)</f>
        <v>151066</v>
      </c>
      <c r="FK12" s="73" cm="1">
        <f t="array" ref="FK12">INDEX(Tbl_71_10,IF(INDEX(FLT_Prod_Info,$HV12,EY$25)&lt;&gt;"Crude Oil",1,2),(MATCH(INDEX(FLT_Cons,$HH12,$HR12),Tbl_71_10_Col,0)))</f>
        <v>6.0000000000000001E-3</v>
      </c>
      <c r="FL12" s="73" cm="1">
        <f t="array" ref="FL12">INDEX(Flt_Multi,$II12,EY$25)</f>
        <v>6.7389700000000001</v>
      </c>
      <c r="FM12" s="73">
        <f t="shared" si="28"/>
        <v>41.438916916181007</v>
      </c>
      <c r="FN12" s="74">
        <f t="shared" si="29"/>
        <v>429.4888862033921</v>
      </c>
      <c r="FO12" s="79" t="str" cm="1">
        <f t="array" ref="FO12">IF(ISBLANK(INDEX(FLT_Prod_Info,$HU12,FO$25)),INDEX(FLT_Prod_Info,$HT12,FO$25),INDEX(FLT_Prod_Info,$HT12,FO$25)&amp;" &amp; "&amp;INDEX(FLT_Prod_Info,$HU12,FO$25))</f>
        <v xml:space="preserve">Bakken Crude &amp; </v>
      </c>
      <c r="FP12" s="73" cm="1">
        <f t="array" ref="FP12">IF(INDEX(FLT_Cons,$HH12,$HO12)&lt;&gt;"External Floating Roof",0,INDEX(Flt_Fitting,$HX12,FO$25*$HY12+$HZ12))</f>
        <v>7.8</v>
      </c>
      <c r="FQ12" s="73" cm="1">
        <f t="array" ref="FQ12">INDEX(Flt_Temps,$IE12,FO$25)</f>
        <v>507.73012835587929</v>
      </c>
      <c r="FR12" s="73" cm="1">
        <f t="array" ref="FR12">INDEX(Flt_Vap,$IF12,FO$25)</f>
        <v>6.2533979721884903</v>
      </c>
      <c r="FS12" s="73" cm="1">
        <f t="array" ref="FS12">INDEX(Flt_Vap,$IG12,FO$25)</f>
        <v>0.27016483735603175</v>
      </c>
      <c r="FT12" s="73" cm="1">
        <f t="array" ref="FT12">INDEX(Flt_Vap,$IH12,FO$25)</f>
        <v>61.103726164670178</v>
      </c>
      <c r="FU12" s="73" cm="1">
        <f t="array" ref="FU12">IF(INDEX(FLT_Prod_Info,$HV12,FO$25)="Crude Oil",0.4,1)</f>
        <v>0.4</v>
      </c>
      <c r="FV12" s="73" cm="1">
        <f t="array" ref="FV12">INDEX(Month_Ref,FO$25,3)/365*($C12+$D12*FP12^$E12)*$F12*FS12*FT12*FU12</f>
        <v>280.6355209946708</v>
      </c>
      <c r="FW12" s="73" cm="1">
        <f t="array" ref="FW12">INDEX(Flt_Fitting,$IA12,FO$25*$IC12)</f>
        <v>12.840490243730915</v>
      </c>
      <c r="FX12" s="73">
        <f t="shared" si="30"/>
        <v>84.788727039168066</v>
      </c>
      <c r="FY12" s="73" cm="1">
        <f t="array" ref="FY12">INDEX(Month_Ref,FO$25,3)/365*$G12*$H12*($F12^2)*FS12*FT12*FU12</f>
        <v>0</v>
      </c>
      <c r="FZ12" s="73" cm="1">
        <f t="array" ref="FZ12">INDEX(FLT_Prod_Info,$HW12,FO$25)</f>
        <v>151066</v>
      </c>
      <c r="GA12" s="73" cm="1">
        <f t="array" ref="GA12">INDEX(Tbl_71_10,IF(INDEX(FLT_Prod_Info,$HV12,FO$25)&lt;&gt;"Crude Oil",1,2),(MATCH(INDEX(FLT_Cons,$HH12,$HR12),Tbl_71_10_Col,0)))</f>
        <v>6.0000000000000001E-3</v>
      </c>
      <c r="GB12" s="73" cm="1">
        <f t="array" ref="GB12">INDEX(Flt_Multi,$II12,FO$25)</f>
        <v>6.7389700000000001</v>
      </c>
      <c r="GC12" s="73">
        <f t="shared" si="31"/>
        <v>41.438916916181007</v>
      </c>
      <c r="GD12" s="74">
        <f t="shared" si="32"/>
        <v>406.86316495001984</v>
      </c>
      <c r="GE12" s="79" t="str" cm="1">
        <f t="array" ref="GE12">IF(ISBLANK(INDEX(FLT_Prod_Info,$HU12,GE$25)),INDEX(FLT_Prod_Info,$HT12,GE$25),INDEX(FLT_Prod_Info,$HT12,GE$25)&amp;" &amp; "&amp;INDEX(FLT_Prod_Info,$HU12,GE$25))</f>
        <v xml:space="preserve">Bakken Crude &amp; </v>
      </c>
      <c r="GF12" s="73" cm="1">
        <f t="array" ref="GF12">IF(INDEX(FLT_Cons,$HH12,$HO12)&lt;&gt;"External Floating Roof",0,INDEX(Flt_Fitting,$HX12,GE$25*$HY12+$HZ12))</f>
        <v>8.6999999999999993</v>
      </c>
      <c r="GG12" s="73" cm="1">
        <f t="array" ref="GG12">INDEX(Flt_Temps,$IE12,GE$25)</f>
        <v>503.9956490114464</v>
      </c>
      <c r="GH12" s="73" cm="1">
        <f t="array" ref="GH12">INDEX(Flt_Vap,$IF12,GE$25)</f>
        <v>5.8612240584033284</v>
      </c>
      <c r="GI12" s="73" cm="1">
        <f t="array" ref="GI12">INDEX(Flt_Vap,$IG12,GE$25)</f>
        <v>0.24900292491614384</v>
      </c>
      <c r="GJ12" s="73" cm="1">
        <f t="array" ref="GJ12">INDEX(Flt_Vap,$IH12,GE$25)</f>
        <v>61.103726164670178</v>
      </c>
      <c r="GK12" s="73" cm="1">
        <f t="array" ref="GK12">IF(INDEX(FLT_Prod_Info,$HV12,GE$25)="Crude Oil",0.4,1)</f>
        <v>0.4</v>
      </c>
      <c r="GL12" s="73" cm="1">
        <f t="array" ref="GL12">INDEX(Month_Ref,GE$25,3)/365*($C12+$D12*GF12^$E12)*$F12*GI12*GJ12*GK12</f>
        <v>293.14056958644881</v>
      </c>
      <c r="GM12" s="73" cm="1">
        <f t="array" ref="GM12">INDEX(Flt_Fitting,$IA12,GE$25*$IC12)</f>
        <v>14.31076062477575</v>
      </c>
      <c r="GN12" s="73">
        <f t="shared" si="33"/>
        <v>87.095326589477651</v>
      </c>
      <c r="GO12" s="73" cm="1">
        <f t="array" ref="GO12">INDEX(Month_Ref,GE$25,3)/365*$G12*$H12*($F12^2)*GI12*GJ12*GK12</f>
        <v>0</v>
      </c>
      <c r="GP12" s="73" cm="1">
        <f t="array" ref="GP12">INDEX(FLT_Prod_Info,$HW12,GE$25)</f>
        <v>151066</v>
      </c>
      <c r="GQ12" s="73" cm="1">
        <f t="array" ref="GQ12">INDEX(Tbl_71_10,IF(INDEX(FLT_Prod_Info,$HV12,GE$25)&lt;&gt;"Crude Oil",1,2),(MATCH(INDEX(FLT_Cons,$HH12,$HR12),Tbl_71_10_Col,0)))</f>
        <v>6.0000000000000001E-3</v>
      </c>
      <c r="GR12" s="73" cm="1">
        <f t="array" ref="GR12">INDEX(Flt_Multi,$II12,GE$25)</f>
        <v>6.7389700000000001</v>
      </c>
      <c r="GS12" s="73">
        <f t="shared" si="34"/>
        <v>41.438916916181007</v>
      </c>
      <c r="GT12" s="74">
        <f t="shared" si="35"/>
        <v>421.67481309210746</v>
      </c>
      <c r="GU12" s="79">
        <f t="shared" si="36"/>
        <v>3887.247246148449</v>
      </c>
      <c r="GV12" s="73">
        <f t="shared" si="37"/>
        <v>1.9436236230742245</v>
      </c>
      <c r="GW12" s="79">
        <f t="shared" si="38"/>
        <v>1184.0257616846993</v>
      </c>
      <c r="GX12" s="73">
        <f t="shared" si="39"/>
        <v>0.59201288084234971</v>
      </c>
      <c r="GY12" s="79">
        <f t="shared" si="40"/>
        <v>0</v>
      </c>
      <c r="GZ12" s="73">
        <f t="shared" si="41"/>
        <v>0</v>
      </c>
      <c r="HA12" s="73">
        <f t="shared" si="42"/>
        <v>5071.2730078331479</v>
      </c>
      <c r="HB12" s="73">
        <f t="shared" si="43"/>
        <v>2.535636503916574</v>
      </c>
      <c r="HC12" s="79">
        <f t="shared" si="44"/>
        <v>497.26700299417217</v>
      </c>
      <c r="HD12" s="73">
        <f t="shared" si="45"/>
        <v>0.24863350149708607</v>
      </c>
      <c r="HE12" s="73">
        <f t="shared" si="46"/>
        <v>5568.5400108273197</v>
      </c>
      <c r="HF12" s="74">
        <f t="shared" si="47"/>
        <v>2.78427000541366</v>
      </c>
      <c r="HH12" s="43">
        <f t="shared" ref="HH12:HH20" si="48">HH11+1</f>
        <v>2</v>
      </c>
      <c r="HI12" s="43">
        <v>1</v>
      </c>
      <c r="HJ12" s="43">
        <v>2</v>
      </c>
      <c r="HK12" s="43">
        <v>4</v>
      </c>
      <c r="HL12" s="43">
        <v>17</v>
      </c>
      <c r="HM12" s="43">
        <v>18</v>
      </c>
      <c r="HN12" s="43">
        <v>5</v>
      </c>
      <c r="HO12" s="43">
        <v>13</v>
      </c>
      <c r="HP12" s="43">
        <v>14</v>
      </c>
      <c r="HQ12" s="43">
        <v>15</v>
      </c>
      <c r="HR12" s="43">
        <v>12</v>
      </c>
      <c r="HS12" s="43">
        <v>20</v>
      </c>
      <c r="HT12" s="43">
        <f t="shared" ref="HT12:HT20" si="49">HT11+12</f>
        <v>13</v>
      </c>
      <c r="HU12" s="43">
        <f t="shared" ref="HU12:HW12" si="50">HU11+12</f>
        <v>18</v>
      </c>
      <c r="HV12" s="43">
        <f t="shared" si="50"/>
        <v>14</v>
      </c>
      <c r="HW12" s="43">
        <f t="shared" si="50"/>
        <v>23</v>
      </c>
      <c r="HX12" s="43">
        <f t="shared" ref="HX12:HX20" si="51">HX11+15</f>
        <v>16</v>
      </c>
      <c r="HY12" s="43">
        <v>3</v>
      </c>
      <c r="HZ12" s="43">
        <v>-2</v>
      </c>
      <c r="IA12" s="43">
        <f t="shared" ref="IA12:IA20" si="52">IA11+15</f>
        <v>30</v>
      </c>
      <c r="IB12" s="43">
        <f t="shared" ref="IB12:IB20" si="53">IB11+15</f>
        <v>45</v>
      </c>
      <c r="IC12" s="43">
        <v>3</v>
      </c>
      <c r="ID12" s="43">
        <v>0</v>
      </c>
      <c r="IE12" s="43">
        <f t="shared" ref="IE12:IE20" si="54">IE11+12</f>
        <v>18</v>
      </c>
      <c r="IF12" s="43">
        <f t="shared" ref="IF12:IF20" si="55">IF11+23</f>
        <v>40</v>
      </c>
      <c r="IG12" s="43">
        <f t="shared" ref="IG12:IH12" si="56">IG11+23</f>
        <v>41</v>
      </c>
      <c r="IH12" s="43">
        <f t="shared" si="56"/>
        <v>46</v>
      </c>
      <c r="II12" s="43">
        <f t="shared" ref="II12:II20" si="57">II11+14</f>
        <v>28</v>
      </c>
      <c r="IJ12" s="43">
        <f t="shared" ref="IJ12:IJ20" si="58">IJ11+15</f>
        <v>17</v>
      </c>
    </row>
    <row r="13" spans="1:244" x14ac:dyDescent="0.4">
      <c r="A13" s="43" t="str" cm="1">
        <f t="array" ref="A13">INDEX(FLT_Cons,$HH13,HI$11)</f>
        <v>FLT - 3</v>
      </c>
      <c r="B13" s="96" t="str" cm="1">
        <f t="array" ref="B13">INDEX(FLT_Cons,$HH13,HJ$11)</f>
        <v>EXTANK 120</v>
      </c>
      <c r="C13" s="79" cm="1">
        <f t="array" ref="C13">IF(INDEX(FLT_Cons,$HH13,$HK13)="Welded",IF(INDEX(FLT_Cons,$HH13,$HM13)="Average",INDEX(Tbl_71_8_Weld,MATCH(INDEX(FLT_Cons,$HH13,$HL13),Tbl_71_8W_Name,0),2),INDEX(Tbl_71_8_Weld,MATCH(INDEX(FLT_Cons,$HH13,$HL13),Tbl_71_8W_Name,0),3)),INDEX(Tbl_71_8_Riv,MATCH(INDEX(FLT_Cons,$HH13,$HL13),Tbl_71_8R_Name,0),2))</f>
        <v>0.6</v>
      </c>
      <c r="D13" s="73" cm="1">
        <f t="array" ref="D13">IF(INDEX(FLT_Cons,$HH13,$HK13)="Welded",IF(INDEX(FLT_Cons,$HH13,$HM13)="Average",INDEX(Tbl_71_8_Weld,MATCH(INDEX(FLT_Cons,$HH13,$HL13),Tbl_71_8W_Name,0),4),INDEX(Tbl_71_8_Weld,MATCH(INDEX(FLT_Cons,$HH13,$HL13),Tbl_71_8W_Name,0),5)),INDEX(Tbl_71_8_Riv,MATCH(INDEX(FLT_Cons,$HH13,$HL13),Tbl_71_8R_Name,0),3))</f>
        <v>0.4</v>
      </c>
      <c r="E13" s="73" cm="1">
        <f t="array" ref="E13">IF(INDEX(FLT_Cons,$HH13,$HK13)="Welded",IF(INDEX(FLT_Cons,$HH13,$HM13)="Average",INDEX(Tbl_71_8_Weld,MATCH(INDEX(FLT_Cons,$HH13,$HL13),Tbl_71_8W_Name,0),6),INDEX(Tbl_71_8_Weld,MATCH(INDEX(FLT_Cons,$HH13,$HL13),Tbl_71_8W_Name,0),7)),INDEX(Tbl_71_8_Riv,MATCH(INDEX(FLT_Cons,$HH13,$HL13),Tbl_71_8R_Name,0),4))</f>
        <v>1</v>
      </c>
      <c r="F13" s="73" cm="1">
        <f t="array" ref="F13">INDEX(FLT_Cons,$HH13,$HN13)</f>
        <v>32</v>
      </c>
      <c r="G13" s="73" cm="1">
        <f t="array" ref="G13">IF(INDEX(FLT_Cons,$HH13,$HP13)="Bolted Deck",0.14,0)</f>
        <v>0</v>
      </c>
      <c r="H13" s="73" cm="1">
        <f t="array" ref="H13">INDEX(Tbl_71_16,MATCH(INDEX(FLT_Cons,$HH13,$HQ13),Bolted_Deck_Cons_Name,0),2)</f>
        <v>0</v>
      </c>
      <c r="I13" s="73" cm="1">
        <f t="array" ref="I13">INDEX(Sup_Col,$IJ13,1)</f>
        <v>0</v>
      </c>
      <c r="J13" s="74" cm="1">
        <f t="array" ref="J13">INDEX(FC,MATCH(INDEX(FLT_Cons,$HH13,$HS13),Roof_Column_Cons,0),2)</f>
        <v>1</v>
      </c>
      <c r="K13" s="79" t="str" cm="1">
        <f t="array" ref="K13">IF(ISBLANK(INDEX(FLT_Prod_Info,$HU13,K$25)),INDEX(FLT_Prod_Info,$HT13,K$25),INDEX(FLT_Prod_Info,$HT13,K$25)&amp;" &amp; "&amp;INDEX(FLT_Prod_Info,$HU13,K$25))</f>
        <v xml:space="preserve">Jet kerosene &amp; </v>
      </c>
      <c r="L13" s="73" cm="1">
        <f t="array" ref="L13">IF(INDEX(FLT_Cons,$HH13,$HO13)&lt;&gt;"External Floating Roof",0,INDEX(Flt_Fitting,$HX13,K$25*$HY13+$HZ13))</f>
        <v>8.5</v>
      </c>
      <c r="M13" s="73" cm="1">
        <f t="array" ref="M13">INDEX(Flt_Temps,$IE13,K$25)</f>
        <v>505.74557313953488</v>
      </c>
      <c r="N13" s="73" cm="1">
        <f t="array" ref="N13">INDEX(Flt_Vap,$IF13,K$25)</f>
        <v>5.1280412205890252E-3</v>
      </c>
      <c r="O13" s="73" cm="1">
        <f t="array" ref="O13">INDEX(Flt_Vap,$IG13,K$25)</f>
        <v>1.7445359951831412E-4</v>
      </c>
      <c r="P13" s="73" cm="1">
        <f t="array" ref="P13">INDEX(Flt_Vap,$IH13,K$25)</f>
        <v>130</v>
      </c>
      <c r="Q13" s="73" cm="1">
        <f t="array" ref="Q13">IF(INDEX(FLT_Prod_Info,$HV13,K$25)="Crude Oil",0.4,1)</f>
        <v>1</v>
      </c>
      <c r="R13" s="73" cm="1">
        <f t="array" ref="R13">INDEX(Month_Ref,K$25,3)/365*($C13+$D13*L13^$E13)*$F13*O13*P13*Q13</f>
        <v>0.24654834185075933</v>
      </c>
      <c r="S13" s="73" cm="1">
        <f t="array" ref="S13">INDEX(Flt_Fitting,$IA13,K$25*$IC13)</f>
        <v>10.232227396257125</v>
      </c>
      <c r="T13" s="73">
        <f t="shared" si="0"/>
        <v>0.23205635704770511</v>
      </c>
      <c r="U13" s="73" cm="1">
        <f t="array" ref="U13">INDEX(Month_Ref,K$25,3)/365*$G13*$H13*($F13^2)*O13*P13*Q13</f>
        <v>0</v>
      </c>
      <c r="V13" s="73" cm="1">
        <f t="array" ref="V13">INDEX(FLT_Prod_Info,$HW13,K$25)</f>
        <v>4583</v>
      </c>
      <c r="W13" s="73" cm="1">
        <f t="array" ref="W13">INDEX(Tbl_71_10,IF(INDEX(FLT_Prod_Info,$HV13,K$25)&lt;&gt;"Crude Oil",1,2),(MATCH(INDEX(FLT_Cons,$HH13,$HR13),Tbl_71_10_Col,0)))</f>
        <v>1.5E-3</v>
      </c>
      <c r="X13" s="73" cm="1">
        <f t="array" ref="X13">INDEX(Flt_Multi,$II13,K$25)</f>
        <v>7</v>
      </c>
      <c r="Y13" s="73">
        <f t="shared" si="1"/>
        <v>1.4180804531249998</v>
      </c>
      <c r="Z13" s="74">
        <f t="shared" si="2"/>
        <v>1.896685152023464</v>
      </c>
      <c r="AA13" s="79" t="str" cm="1">
        <f t="array" ref="AA13">IF(ISBLANK(INDEX(FLT_Prod_Info,$HU13,AA$25)),INDEX(FLT_Prod_Info,$HT13,AA$25),INDEX(FLT_Prod_Info,$HT13,AA$25)&amp;" &amp; "&amp;INDEX(FLT_Prod_Info,$HU13,AA$25))</f>
        <v xml:space="preserve">Jet kerosene &amp; </v>
      </c>
      <c r="AB13" s="73" cm="1">
        <f t="array" ref="AB13">IF(INDEX(FLT_Cons,$HH13,$HO13)&lt;&gt;"External Floating Roof",0,INDEX(Flt_Fitting,$HX13,AA$25*$HY13+$HZ13))</f>
        <v>7.8</v>
      </c>
      <c r="AC13" s="73" cm="1">
        <f t="array" ref="AC13">INDEX(Flt_Temps,$IE13,AA$25)</f>
        <v>508.41833023255822</v>
      </c>
      <c r="AD13" s="73" cm="1">
        <f t="array" ref="AD13">INDEX(Flt_Vap,$IF13,AA$25)</f>
        <v>5.6270109234937893E-3</v>
      </c>
      <c r="AE13" s="73" cm="1">
        <f t="array" ref="AE13">INDEX(Flt_Vap,$IG13,AA$25)</f>
        <v>1.9143156840205065E-4</v>
      </c>
      <c r="AF13" s="73" cm="1">
        <f t="array" ref="AF13">INDEX(Flt_Vap,$IH13,AA$25)</f>
        <v>130</v>
      </c>
      <c r="AG13" s="73" cm="1">
        <f t="array" ref="AG13">IF(INDEX(FLT_Prod_Info,$HV13,AA$25)="Crude Oil",0.4,1)</f>
        <v>1</v>
      </c>
      <c r="AH13" s="73" cm="1">
        <f t="array" ref="AH13">INDEX(Month_Ref,AA$25,3)/365*($C13+$D13*AB13^$E13)*$F13*AE13*AF13*AG13</f>
        <v>0.22725580987778521</v>
      </c>
      <c r="AI13" s="73" cm="1">
        <f t="array" ref="AI13">INDEX(Flt_Fitting,$IA13,AA$25*$IC13)</f>
        <v>8.60133170037175</v>
      </c>
      <c r="AJ13" s="73">
        <f t="shared" si="3"/>
        <v>0.21405363430729735</v>
      </c>
      <c r="AK13" s="73" cm="1">
        <f t="array" ref="AK13">INDEX(Month_Ref,AA$25,3)/365*$G13*$H13*($F13^2)*AE13*AF13*AG13</f>
        <v>0</v>
      </c>
      <c r="AL13" s="73" cm="1">
        <f t="array" ref="AL13">INDEX(FLT_Prod_Info,$HW13,AA$25)</f>
        <v>4583</v>
      </c>
      <c r="AM13" s="73" cm="1">
        <f t="array" ref="AM13">INDEX(Tbl_71_10,IF(INDEX(FLT_Prod_Info,$HV13,AA$25)&lt;&gt;"Crude Oil",1,2),(MATCH(INDEX(FLT_Cons,$HH13,$HR13),Tbl_71_10_Col,0)))</f>
        <v>1.5E-3</v>
      </c>
      <c r="AN13" s="73" cm="1">
        <f t="array" ref="AN13">INDEX(Flt_Multi,$II13,AA$25)</f>
        <v>7</v>
      </c>
      <c r="AO13" s="73">
        <f t="shared" si="4"/>
        <v>1.4180804531249998</v>
      </c>
      <c r="AP13" s="74">
        <f t="shared" si="5"/>
        <v>1.8593898973100824</v>
      </c>
      <c r="AQ13" s="79" t="str" cm="1">
        <f t="array" ref="AQ13">IF(ISBLANK(INDEX(FLT_Prod_Info,$HU13,AQ$25)),INDEX(FLT_Prod_Info,$HT13,AQ$25),INDEX(FLT_Prod_Info,$HT13,AQ$25)&amp;" &amp; "&amp;INDEX(FLT_Prod_Info,$HU13,AQ$25))</f>
        <v xml:space="preserve">Jet kerosene &amp; </v>
      </c>
      <c r="AR13" s="73" cm="1">
        <f t="array" ref="AR13">IF(INDEX(FLT_Cons,$HH13,$HO13)&lt;&gt;"External Floating Roof",0,INDEX(Flt_Fitting,$HX13,AQ$25*$HY13+$HZ13))</f>
        <v>7.8</v>
      </c>
      <c r="AS13" s="73" cm="1">
        <f t="array" ref="AS13">INDEX(Flt_Temps,$IE13,AQ$25)</f>
        <v>511.71962602325584</v>
      </c>
      <c r="AT13" s="73" cm="1">
        <f t="array" ref="AT13">INDEX(Flt_Vap,$IF13,AQ$25)</f>
        <v>6.3023980378194453E-3</v>
      </c>
      <c r="AU13" s="73" cm="1">
        <f t="array" ref="AU13">INDEX(Flt_Vap,$IG13,AQ$25)</f>
        <v>2.1441324338176247E-4</v>
      </c>
      <c r="AV13" s="73" cm="1">
        <f t="array" ref="AV13">INDEX(Flt_Vap,$IH13,AQ$25)</f>
        <v>130</v>
      </c>
      <c r="AW13" s="73" cm="1">
        <f t="array" ref="AW13">IF(INDEX(FLT_Prod_Info,$HV13,AQ$25)="Crude Oil",0.4,1)</f>
        <v>1</v>
      </c>
      <c r="AX13" s="73" cm="1">
        <f t="array" ref="AX13">INDEX(Month_Ref,AQ$25,3)/365*($C13+$D13*AR13^$E13)*$F13*AU13*AV13*AW13</f>
        <v>0.28181019874910945</v>
      </c>
      <c r="AY13" s="73" cm="1">
        <f t="array" ref="AY13">INDEX(Flt_Fitting,$IA13,AQ$25*$IC13)</f>
        <v>9.5229029539830101</v>
      </c>
      <c r="AZ13" s="73">
        <f t="shared" si="6"/>
        <v>0.26543874614052432</v>
      </c>
      <c r="BA13" s="73" cm="1">
        <f t="array" ref="BA13">INDEX(Month_Ref,AQ$25,3)/365*$G13*$H13*($F13^2)*AU13*AV13*AW13</f>
        <v>0</v>
      </c>
      <c r="BB13" s="73" cm="1">
        <f t="array" ref="BB13">INDEX(FLT_Prod_Info,$HW13,AQ$25)</f>
        <v>4583</v>
      </c>
      <c r="BC13" s="73" cm="1">
        <f t="array" ref="BC13">INDEX(Tbl_71_10,IF(INDEX(FLT_Prod_Info,$HV13,AQ$25)&lt;&gt;"Crude Oil",1,2),(MATCH(INDEX(FLT_Cons,$HH13,$HR13),Tbl_71_10_Col,0)))</f>
        <v>1.5E-3</v>
      </c>
      <c r="BD13" s="73" cm="1">
        <f t="array" ref="BD13">INDEX(Flt_Multi,$II13,AQ$25)</f>
        <v>7</v>
      </c>
      <c r="BE13" s="73">
        <f t="shared" si="7"/>
        <v>1.4180804531249998</v>
      </c>
      <c r="BF13" s="74">
        <f t="shared" si="8"/>
        <v>1.9653293980146336</v>
      </c>
      <c r="BG13" s="79" t="str" cm="1">
        <f t="array" ref="BG13">IF(ISBLANK(INDEX(FLT_Prod_Info,$HU13,BG$25)),INDEX(FLT_Prod_Info,$HT13,BG$25),INDEX(FLT_Prod_Info,$HT13,BG$25)&amp;" &amp; "&amp;INDEX(FLT_Prod_Info,$HU13,BG$25))</f>
        <v xml:space="preserve">Jet kerosene &amp; </v>
      </c>
      <c r="BH13" s="73" cm="1">
        <f t="array" ref="BH13">IF(INDEX(FLT_Cons,$HH13,$HO13)&lt;&gt;"External Floating Roof",0,INDEX(Flt_Fitting,$HX13,BG$25*$HY13+$HZ13))</f>
        <v>7.8</v>
      </c>
      <c r="BI13" s="73" cm="1">
        <f t="array" ref="BI13">INDEX(Flt_Temps,$IE13,BG$25)</f>
        <v>516.79358241860461</v>
      </c>
      <c r="BJ13" s="73" cm="1">
        <f t="array" ref="BJ13">INDEX(Flt_Vap,$IF13,BG$25)</f>
        <v>7.4806816057680229E-3</v>
      </c>
      <c r="BK13" s="73" cm="1">
        <f t="array" ref="BK13">INDEX(Flt_Vap,$IG13,BG$25)</f>
        <v>2.5450971128856287E-4</v>
      </c>
      <c r="BL13" s="73" cm="1">
        <f t="array" ref="BL13">INDEX(Flt_Vap,$IH13,BG$25)</f>
        <v>130</v>
      </c>
      <c r="BM13" s="73" cm="1">
        <f t="array" ref="BM13">IF(INDEX(FLT_Prod_Info,$HV13,BG$25)="Crude Oil",0.4,1)</f>
        <v>1</v>
      </c>
      <c r="BN13" s="73" cm="1">
        <f t="array" ref="BN13">INDEX(Month_Ref,BG$25,3)/365*($C13+$D13*BH13^$E13)*$F13*BK13*BL13*BM13</f>
        <v>0.32371961787392611</v>
      </c>
      <c r="BO13" s="73" cm="1">
        <f t="array" ref="BO13">INDEX(Flt_Fitting,$IA13,BG$25*$IC13)</f>
        <v>9.2157125361125889</v>
      </c>
      <c r="BP13" s="73">
        <f t="shared" si="9"/>
        <v>0.30491348379497263</v>
      </c>
      <c r="BQ13" s="73" cm="1">
        <f t="array" ref="BQ13">INDEX(Month_Ref,BG$25,3)/365*$G13*$H13*($F13^2)*BK13*BL13*BM13</f>
        <v>0</v>
      </c>
      <c r="BR13" s="73" cm="1">
        <f t="array" ref="BR13">INDEX(FLT_Prod_Info,$HW13,BG$25)</f>
        <v>4583</v>
      </c>
      <c r="BS13" s="73" cm="1">
        <f t="array" ref="BS13">INDEX(Tbl_71_10,IF(INDEX(FLT_Prod_Info,$HV13,BG$25)&lt;&gt;"Crude Oil",1,2),(MATCH(INDEX(FLT_Cons,$HH13,$HR13),Tbl_71_10_Col,0)))</f>
        <v>1.5E-3</v>
      </c>
      <c r="BT13" s="73" cm="1">
        <f t="array" ref="BT13">INDEX(Flt_Multi,$II13,BG$25)</f>
        <v>7</v>
      </c>
      <c r="BU13" s="73">
        <f t="shared" si="10"/>
        <v>1.4180804531249998</v>
      </c>
      <c r="BV13" s="74">
        <f t="shared" si="11"/>
        <v>2.0467135547938984</v>
      </c>
      <c r="BW13" s="79" t="str" cm="1">
        <f t="array" ref="BW13">IF(ISBLANK(INDEX(FLT_Prod_Info,$HU13,BW$25)),INDEX(FLT_Prod_Info,$HT13,BW$25),INDEX(FLT_Prod_Info,$HT13,BW$25)&amp;" &amp; "&amp;INDEX(FLT_Prod_Info,$HU13,BW$25))</f>
        <v xml:space="preserve">Jet kerosene &amp; </v>
      </c>
      <c r="BX13" s="73" cm="1">
        <f t="array" ref="BX13">IF(INDEX(FLT_Cons,$HH13,$HO13)&lt;&gt;"External Floating Roof",0,INDEX(Flt_Fitting,$HX13,BW$25*$HY13+$HZ13))</f>
        <v>7.6</v>
      </c>
      <c r="BY13" s="73" cm="1">
        <f t="array" ref="BY13">INDEX(Flt_Temps,$IE13,BW$25)</f>
        <v>523.29978927906961</v>
      </c>
      <c r="BZ13" s="73" cm="1">
        <f t="array" ref="BZ13">INDEX(Flt_Vap,$IF13,BW$25)</f>
        <v>9.2741815275681101E-3</v>
      </c>
      <c r="CA13" s="73" cm="1">
        <f t="array" ref="CA13">INDEX(Flt_Vap,$IG13,BW$25)</f>
        <v>3.1554789033958375E-4</v>
      </c>
      <c r="CB13" s="73" cm="1">
        <f t="array" ref="CB13">INDEX(Flt_Vap,$IH13,BW$25)</f>
        <v>130</v>
      </c>
      <c r="CC13" s="73" cm="1">
        <f t="array" ref="CC13">IF(INDEX(FLT_Prod_Info,$HV13,BW$25)="Crude Oil",0.4,1)</f>
        <v>1</v>
      </c>
      <c r="CD13" s="73" cm="1">
        <f t="array" ref="CD13">INDEX(Month_Ref,BW$25,3)/365*($C13+$D13*BX13^$E13)*$F13*CA13*CB13*CC13</f>
        <v>0.40581568113704525</v>
      </c>
      <c r="CE13" s="73" cm="1">
        <f t="array" ref="CE13">INDEX(Flt_Fitting,$IA13,BW$25*$IC13)</f>
        <v>9.3343322060936877</v>
      </c>
      <c r="CF13" s="73">
        <f t="shared" si="12"/>
        <v>0.38290574859702048</v>
      </c>
      <c r="CG13" s="73" cm="1">
        <f t="array" ref="CG13">INDEX(Month_Ref,BW$25,3)/365*$G13*$H13*($F13^2)*CA13*CB13*CC13</f>
        <v>0</v>
      </c>
      <c r="CH13" s="73" cm="1">
        <f t="array" ref="CH13">INDEX(FLT_Prod_Info,$HW13,BW$25)</f>
        <v>4583</v>
      </c>
      <c r="CI13" s="73" cm="1">
        <f t="array" ref="CI13">INDEX(Tbl_71_10,IF(INDEX(FLT_Prod_Info,$HV13,BW$25)&lt;&gt;"Crude Oil",1,2),(MATCH(INDEX(FLT_Cons,$HH13,$HR13),Tbl_71_10_Col,0)))</f>
        <v>1.5E-3</v>
      </c>
      <c r="CJ13" s="73" cm="1">
        <f t="array" ref="CJ13">INDEX(Flt_Multi,$II13,BW$25)</f>
        <v>7</v>
      </c>
      <c r="CK13" s="73">
        <f t="shared" si="13"/>
        <v>1.4180804531249998</v>
      </c>
      <c r="CL13" s="74">
        <f t="shared" si="14"/>
        <v>2.2068018828590654</v>
      </c>
      <c r="CM13" s="79" t="str" cm="1">
        <f t="array" ref="CM13">IF(ISBLANK(INDEX(FLT_Prod_Info,$HU13,CM$25)),INDEX(FLT_Prod_Info,$HT13,CM$25),INDEX(FLT_Prod_Info,$HT13,CM$25)&amp;" &amp; "&amp;INDEX(FLT_Prod_Info,$HU13,CM$25))</f>
        <v xml:space="preserve">Jet kerosene &amp; </v>
      </c>
      <c r="CN13" s="73" cm="1">
        <f t="array" ref="CN13">IF(INDEX(FLT_Cons,$HH13,$HO13)&lt;&gt;"External Floating Roof",0,INDEX(Flt_Fitting,$HX13,CM$25*$HY13+$HZ13))</f>
        <v>7.8</v>
      </c>
      <c r="CO13" s="73" cm="1">
        <f t="array" ref="CO13">INDEX(Flt_Temps,$IE13,CM$25)</f>
        <v>527.71753881395352</v>
      </c>
      <c r="CP13" s="73" cm="1">
        <f t="array" ref="CP13">INDEX(Flt_Vap,$IF13,CM$25)</f>
        <v>1.0698879339815172E-2</v>
      </c>
      <c r="CQ13" s="73" cm="1">
        <f t="array" ref="CQ13">INDEX(Flt_Vap,$IG13,CM$25)</f>
        <v>3.6403993738707999E-4</v>
      </c>
      <c r="CR13" s="73" cm="1">
        <f t="array" ref="CR13">INDEX(Flt_Vap,$IH13,CM$25)</f>
        <v>130</v>
      </c>
      <c r="CS13" s="73" cm="1">
        <f t="array" ref="CS13">IF(INDEX(FLT_Prod_Info,$HV13,CM$25)="Crude Oil",0.4,1)</f>
        <v>1</v>
      </c>
      <c r="CT13" s="73" cm="1">
        <f t="array" ref="CT13">INDEX(Month_Ref,CM$25,3)/365*($C13+$D13*CN13^$E13)*$F13*CQ13*CR13*CS13</f>
        <v>0.46303486348377043</v>
      </c>
      <c r="CU13" s="73" cm="1">
        <f t="array" ref="CU13">INDEX(Flt_Fitting,$IA13,CM$25*$IC13)</f>
        <v>9.2157125361125889</v>
      </c>
      <c r="CV13" s="73">
        <f t="shared" si="15"/>
        <v>0.43613536390108815</v>
      </c>
      <c r="CW13" s="73" cm="1">
        <f t="array" ref="CW13">INDEX(Month_Ref,CM$25,3)/365*$G13*$H13*($F13^2)*CQ13*CR13*CS13</f>
        <v>0</v>
      </c>
      <c r="CX13" s="73" cm="1">
        <f t="array" ref="CX13">INDEX(FLT_Prod_Info,$HW13,CM$25)</f>
        <v>4583</v>
      </c>
      <c r="CY13" s="73" cm="1">
        <f t="array" ref="CY13">INDEX(Tbl_71_10,IF(INDEX(FLT_Prod_Info,$HV13,CM$25)&lt;&gt;"Crude Oil",1,2),(MATCH(INDEX(FLT_Cons,$HH13,$HR13),Tbl_71_10_Col,0)))</f>
        <v>1.5E-3</v>
      </c>
      <c r="CZ13" s="73" cm="1">
        <f t="array" ref="CZ13">INDEX(Flt_Multi,$II13,CM$25)</f>
        <v>7</v>
      </c>
      <c r="DA13" s="73">
        <f t="shared" si="16"/>
        <v>1.4180804531249998</v>
      </c>
      <c r="DB13" s="74">
        <f t="shared" si="17"/>
        <v>2.3172506805098583</v>
      </c>
      <c r="DC13" s="79" t="str" cm="1">
        <f t="array" ref="DC13">IF(ISBLANK(INDEX(FLT_Prod_Info,$HU13,DC$25)),INDEX(FLT_Prod_Info,$HT13,DC$25),INDEX(FLT_Prod_Info,$HT13,DC$25)&amp;" &amp; "&amp;INDEX(FLT_Prod_Info,$HU13,DC$25))</f>
        <v xml:space="preserve">Jet kerosene &amp; </v>
      </c>
      <c r="DD13" s="73" cm="1">
        <f t="array" ref="DD13">IF(INDEX(FLT_Cons,$HH13,$HO13)&lt;&gt;"External Floating Roof",0,INDEX(Flt_Fitting,$HX13,DC$25*$HY13+$HZ13))</f>
        <v>8.1</v>
      </c>
      <c r="DE13" s="73" cm="1">
        <f t="array" ref="DE13">INDEX(Flt_Temps,$IE13,DC$25)</f>
        <v>531.7735133953488</v>
      </c>
      <c r="DF13" s="73" cm="1">
        <f t="array" ref="DF13">INDEX(Flt_Vap,$IF13,DC$25)</f>
        <v>1.2173364453005431E-2</v>
      </c>
      <c r="DG13" s="73" cm="1">
        <f t="array" ref="DG13">INDEX(Flt_Vap,$IG13,DC$25)</f>
        <v>4.1423153212292145E-4</v>
      </c>
      <c r="DH13" s="73" cm="1">
        <f t="array" ref="DH13">INDEX(Flt_Vap,$IH13,DC$25)</f>
        <v>130</v>
      </c>
      <c r="DI13" s="73" cm="1">
        <f t="array" ref="DI13">IF(INDEX(FLT_Prod_Info,$HV13,DC$25)="Crude Oil",0.4,1)</f>
        <v>1</v>
      </c>
      <c r="DJ13" s="73" cm="1">
        <f t="array" ref="DJ13">INDEX(Month_Ref,DC$25,3)/365*($C13+$D13*DD13^$E13)*$F13*DG13*DH13*DI13</f>
        <v>0.56200028983308581</v>
      </c>
      <c r="DK13" s="73" cm="1">
        <f t="array" ref="DK13">INDEX(Flt_Fitting,$IA13,DC$25*$IC13)</f>
        <v>9.8171112720774651</v>
      </c>
      <c r="DL13" s="73">
        <f t="shared" si="18"/>
        <v>0.52865241562300069</v>
      </c>
      <c r="DM13" s="73" cm="1">
        <f t="array" ref="DM13">INDEX(Month_Ref,DC$25,3)/365*$G13*$H13*($F13^2)*DG13*DH13*DI13</f>
        <v>0</v>
      </c>
      <c r="DN13" s="73" cm="1">
        <f t="array" ref="DN13">INDEX(FLT_Prod_Info,$HW13,DC$25)</f>
        <v>4583</v>
      </c>
      <c r="DO13" s="73" cm="1">
        <f t="array" ref="DO13">INDEX(Tbl_71_10,IF(INDEX(FLT_Prod_Info,$HV13,DC$25)&lt;&gt;"Crude Oil",1,2),(MATCH(INDEX(FLT_Cons,$HH13,$HR13),Tbl_71_10_Col,0)))</f>
        <v>1.5E-3</v>
      </c>
      <c r="DP13" s="73" cm="1">
        <f t="array" ref="DP13">INDEX(Flt_Multi,$II13,DC$25)</f>
        <v>7</v>
      </c>
      <c r="DQ13" s="73">
        <f t="shared" si="19"/>
        <v>1.4180804531249998</v>
      </c>
      <c r="DR13" s="74">
        <f t="shared" si="20"/>
        <v>2.5087331585810864</v>
      </c>
      <c r="DS13" s="79" t="str" cm="1">
        <f t="array" ref="DS13">IF(ISBLANK(INDEX(FLT_Prod_Info,$HU13,DS$25)),INDEX(FLT_Prod_Info,$HT13,DS$25),INDEX(FLT_Prod_Info,$HT13,DS$25)&amp;" &amp; "&amp;INDEX(FLT_Prod_Info,$HU13,DS$25))</f>
        <v xml:space="preserve">Jet kerosene &amp; </v>
      </c>
      <c r="DT13" s="73" cm="1">
        <f t="array" ref="DT13">IF(INDEX(FLT_Cons,$HH13,$HO13)&lt;&gt;"External Floating Roof",0,INDEX(Flt_Fitting,$HX13,DS$25*$HY13+$HZ13))</f>
        <v>7.2</v>
      </c>
      <c r="DU13" s="73" cm="1">
        <f t="array" ref="DU13">INDEX(Flt_Temps,$IE13,DS$25)</f>
        <v>530.74091451162792</v>
      </c>
      <c r="DV13" s="73" cm="1">
        <f t="array" ref="DV13">INDEX(Flt_Vap,$IF13,DS$25)</f>
        <v>1.1781935739354852E-2</v>
      </c>
      <c r="DW13" s="73" cm="1">
        <f t="array" ref="DW13">INDEX(Flt_Vap,$IG13,DS$25)</f>
        <v>4.0090677541565554E-4</v>
      </c>
      <c r="DX13" s="73" cm="1">
        <f t="array" ref="DX13">INDEX(Flt_Vap,$IH13,DS$25)</f>
        <v>130</v>
      </c>
      <c r="DY13" s="73" cm="1">
        <f t="array" ref="DY13">IF(INDEX(FLT_Prod_Info,$HV13,DS$25)="Crude Oil",0.4,1)</f>
        <v>1</v>
      </c>
      <c r="DZ13" s="73" cm="1">
        <f t="array" ref="DZ13">INDEX(Month_Ref,DS$25,3)/365*($C13+$D13*DT13^$E13)*$F13*DW13*DX13*DY13</f>
        <v>0.49292948875741982</v>
      </c>
      <c r="EA13" s="73" cm="1">
        <f t="array" ref="EA13">INDEX(Flt_Fitting,$IA13,DS$25*$IC13)</f>
        <v>8.9739985522642769</v>
      </c>
      <c r="EB13" s="73">
        <f t="shared" si="21"/>
        <v>0.46770578688249426</v>
      </c>
      <c r="EC13" s="73" cm="1">
        <f t="array" ref="EC13">INDEX(Month_Ref,DS$25,3)/365*$G13*$H13*($F13^2)*DW13*DX13*DY13</f>
        <v>0</v>
      </c>
      <c r="ED13" s="73" cm="1">
        <f t="array" ref="ED13">INDEX(FLT_Prod_Info,$HW13,DS$25)</f>
        <v>4583</v>
      </c>
      <c r="EE13" s="73" cm="1">
        <f t="array" ref="EE13">INDEX(Tbl_71_10,IF(INDEX(FLT_Prod_Info,$HV13,DS$25)&lt;&gt;"Crude Oil",1,2),(MATCH(INDEX(FLT_Cons,$HH13,$HR13),Tbl_71_10_Col,0)))</f>
        <v>1.5E-3</v>
      </c>
      <c r="EF13" s="73" cm="1">
        <f t="array" ref="EF13">INDEX(Flt_Multi,$II13,DS$25)</f>
        <v>7</v>
      </c>
      <c r="EG13" s="73">
        <f t="shared" si="22"/>
        <v>1.4180804531249998</v>
      </c>
      <c r="EH13" s="74">
        <f t="shared" si="23"/>
        <v>2.3787157287649139</v>
      </c>
      <c r="EI13" s="79" t="str" cm="1">
        <f t="array" ref="EI13">IF(ISBLANK(INDEX(FLT_Prod_Info,$HU13,EI$25)),INDEX(FLT_Prod_Info,$HT13,EI$25),INDEX(FLT_Prod_Info,$HT13,EI$25)&amp;" &amp; "&amp;INDEX(FLT_Prod_Info,$HU13,EI$25))</f>
        <v xml:space="preserve">Jet kerosene &amp; </v>
      </c>
      <c r="EJ13" s="73" cm="1">
        <f t="array" ref="EJ13">IF(INDEX(FLT_Cons,$HH13,$HO13)&lt;&gt;"External Floating Roof",0,INDEX(Flt_Fitting,$HX13,EI$25*$HY13+$HZ13))</f>
        <v>6.7</v>
      </c>
      <c r="EK13" s="73" cm="1">
        <f t="array" ref="EK13">INDEX(Flt_Temps,$IE13,EI$25)</f>
        <v>526.40920493023259</v>
      </c>
      <c r="EL13" s="73" cm="1">
        <f t="array" ref="EL13">INDEX(Flt_Vap,$IF13,EI$25)</f>
        <v>1.0258095699530383E-2</v>
      </c>
      <c r="EM13" s="73" cm="1">
        <f t="array" ref="EM13">INDEX(Flt_Vap,$IG13,EI$25)</f>
        <v>3.4903660375559012E-4</v>
      </c>
      <c r="EN13" s="73" cm="1">
        <f t="array" ref="EN13">INDEX(Flt_Vap,$IH13,EI$25)</f>
        <v>130</v>
      </c>
      <c r="EO13" s="73" cm="1">
        <f t="array" ref="EO13">IF(INDEX(FLT_Prod_Info,$HV13,EI$25)="Crude Oil",0.4,1)</f>
        <v>1</v>
      </c>
      <c r="EP13" s="73" cm="1">
        <f t="array" ref="EP13">INDEX(Month_Ref,EI$25,3)/365*($C13+$D13*EJ13^$E13)*$F13*EM13*EN13*EO13</f>
        <v>0.39144120418555695</v>
      </c>
      <c r="EQ13" s="73" cm="1">
        <f t="array" ref="EQ13">INDEX(Flt_Fitting,$IA13,EI$25*$IC13)</f>
        <v>8.2762534921699888</v>
      </c>
      <c r="ER13" s="73">
        <f t="shared" si="24"/>
        <v>0.3755330033945562</v>
      </c>
      <c r="ES13" s="73" cm="1">
        <f t="array" ref="ES13">INDEX(Month_Ref,EI$25,3)/365*$G13*$H13*($F13^2)*EM13*EN13*EO13</f>
        <v>0</v>
      </c>
      <c r="ET13" s="73" cm="1">
        <f t="array" ref="ET13">INDEX(FLT_Prod_Info,$HW13,EI$25)</f>
        <v>4583</v>
      </c>
      <c r="EU13" s="73" cm="1">
        <f t="array" ref="EU13">INDEX(Tbl_71_10,IF(INDEX(FLT_Prod_Info,$HV13,EI$25)&lt;&gt;"Crude Oil",1,2),(MATCH(INDEX(FLT_Cons,$HH13,$HR13),Tbl_71_10_Col,0)))</f>
        <v>1.5E-3</v>
      </c>
      <c r="EV13" s="73" cm="1">
        <f t="array" ref="EV13">INDEX(Flt_Multi,$II13,EI$25)</f>
        <v>7</v>
      </c>
      <c r="EW13" s="73">
        <f t="shared" si="25"/>
        <v>1.4180804531249998</v>
      </c>
      <c r="EX13" s="74">
        <f t="shared" si="26"/>
        <v>2.1850546607051129</v>
      </c>
      <c r="EY13" s="79" t="str" cm="1">
        <f t="array" ref="EY13">IF(ISBLANK(INDEX(FLT_Prod_Info,$HU13,EY$25)),INDEX(FLT_Prod_Info,$HT13,EY$25),INDEX(FLT_Prod_Info,$HT13,EY$25)&amp;" &amp; "&amp;INDEX(FLT_Prod_Info,$HU13,EY$25))</f>
        <v xml:space="preserve">Jet kerosene &amp; </v>
      </c>
      <c r="EZ13" s="73" cm="1">
        <f t="array" ref="EZ13">IF(INDEX(FLT_Cons,$HH13,$HO13)&lt;&gt;"External Floating Roof",0,INDEX(Flt_Fitting,$HX13,EY$25*$HY13+$HZ13))</f>
        <v>6.7</v>
      </c>
      <c r="FA13" s="73" cm="1">
        <f t="array" ref="FA13">INDEX(Flt_Temps,$IE13,EY$25)</f>
        <v>517.24690734883723</v>
      </c>
      <c r="FB13" s="73" cm="1">
        <f t="array" ref="FB13">INDEX(Flt_Vap,$IF13,EY$25)</f>
        <v>7.594871289515197E-3</v>
      </c>
      <c r="FC13" s="73" cm="1">
        <f t="array" ref="FC13">INDEX(Flt_Vap,$IG13,EY$25)</f>
        <v>2.5839570651863843E-4</v>
      </c>
      <c r="FD13" s="73" cm="1">
        <f t="array" ref="FD13">INDEX(Flt_Vap,$IH13,EY$25)</f>
        <v>130</v>
      </c>
      <c r="FE13" s="73" cm="1">
        <f t="array" ref="FE13">IF(INDEX(FLT_Prod_Info,$HV13,EY$25)="Crude Oil",0.4,1)</f>
        <v>1</v>
      </c>
      <c r="FF13" s="73" cm="1">
        <f t="array" ref="FF13">INDEX(Month_Ref,EY$25,3)/365*($C13+$D13*EZ13^$E13)*$F13*FC13*FD13*FE13</f>
        <v>0.29944791733005771</v>
      </c>
      <c r="FG13" s="73" cm="1">
        <f t="array" ref="FG13">INDEX(Flt_Fitting,$IA13,EY$25*$IC13)</f>
        <v>8.5521286085756554</v>
      </c>
      <c r="FH13" s="73">
        <f t="shared" si="27"/>
        <v>0.28727833082665166</v>
      </c>
      <c r="FI13" s="73" cm="1">
        <f t="array" ref="FI13">INDEX(Month_Ref,EY$25,3)/365*$G13*$H13*($F13^2)*FC13*FD13*FE13</f>
        <v>0</v>
      </c>
      <c r="FJ13" s="73" cm="1">
        <f t="array" ref="FJ13">INDEX(FLT_Prod_Info,$HW13,EY$25)</f>
        <v>4583</v>
      </c>
      <c r="FK13" s="73" cm="1">
        <f t="array" ref="FK13">INDEX(Tbl_71_10,IF(INDEX(FLT_Prod_Info,$HV13,EY$25)&lt;&gt;"Crude Oil",1,2),(MATCH(INDEX(FLT_Cons,$HH13,$HR13),Tbl_71_10_Col,0)))</f>
        <v>1.5E-3</v>
      </c>
      <c r="FL13" s="73" cm="1">
        <f t="array" ref="FL13">INDEX(Flt_Multi,$II13,EY$25)</f>
        <v>7</v>
      </c>
      <c r="FM13" s="73">
        <f t="shared" si="28"/>
        <v>1.4180804531249998</v>
      </c>
      <c r="FN13" s="74">
        <f t="shared" si="29"/>
        <v>2.0048067012817095</v>
      </c>
      <c r="FO13" s="79" t="str" cm="1">
        <f t="array" ref="FO13">IF(ISBLANK(INDEX(FLT_Prod_Info,$HU13,FO$25)),INDEX(FLT_Prod_Info,$HT13,FO$25),INDEX(FLT_Prod_Info,$HT13,FO$25)&amp;" &amp; "&amp;INDEX(FLT_Prod_Info,$HU13,FO$25))</f>
        <v xml:space="preserve">Jet kerosene &amp; </v>
      </c>
      <c r="FP13" s="73" cm="1">
        <f t="array" ref="FP13">IF(INDEX(FLT_Cons,$HH13,$HO13)&lt;&gt;"External Floating Roof",0,INDEX(Flt_Fitting,$HX13,FO$25*$HY13+$HZ13))</f>
        <v>7.8</v>
      </c>
      <c r="FQ13" s="73" cm="1">
        <f t="array" ref="FQ13">INDEX(Flt_Temps,$IE13,FO$25)</f>
        <v>509.38377853488379</v>
      </c>
      <c r="FR13" s="73" cm="1">
        <f t="array" ref="FR13">INDEX(Flt_Vap,$IF13,FO$25)</f>
        <v>5.817552229906502E-3</v>
      </c>
      <c r="FS13" s="73" cm="1">
        <f t="array" ref="FS13">INDEX(Flt_Vap,$IG13,FO$25)</f>
        <v>1.9791508881880247E-4</v>
      </c>
      <c r="FT13" s="73" cm="1">
        <f t="array" ref="FT13">INDEX(Flt_Vap,$IH13,FO$25)</f>
        <v>130</v>
      </c>
      <c r="FU13" s="73" cm="1">
        <f t="array" ref="FU13">IF(INDEX(FLT_Prod_Info,$HV13,FO$25)="Crude Oil",0.4,1)</f>
        <v>1</v>
      </c>
      <c r="FV13" s="73" cm="1">
        <f t="array" ref="FV13">INDEX(Month_Ref,FO$25,3)/365*($C13+$D13*FP13^$E13)*$F13*FS13*FT13*FU13</f>
        <v>0.2517349793826355</v>
      </c>
      <c r="FW13" s="73" cm="1">
        <f t="array" ref="FW13">INDEX(Flt_Fitting,$IA13,FO$25*$IC13)</f>
        <v>9.2157125361125889</v>
      </c>
      <c r="FX13" s="73">
        <f t="shared" si="30"/>
        <v>0.23711071346472568</v>
      </c>
      <c r="FY13" s="73" cm="1">
        <f t="array" ref="FY13">INDEX(Month_Ref,FO$25,3)/365*$G13*$H13*($F13^2)*FS13*FT13*FU13</f>
        <v>0</v>
      </c>
      <c r="FZ13" s="73" cm="1">
        <f t="array" ref="FZ13">INDEX(FLT_Prod_Info,$HW13,FO$25)</f>
        <v>4583</v>
      </c>
      <c r="GA13" s="73" cm="1">
        <f t="array" ref="GA13">INDEX(Tbl_71_10,IF(INDEX(FLT_Prod_Info,$HV13,FO$25)&lt;&gt;"Crude Oil",1,2),(MATCH(INDEX(FLT_Cons,$HH13,$HR13),Tbl_71_10_Col,0)))</f>
        <v>1.5E-3</v>
      </c>
      <c r="GB13" s="73" cm="1">
        <f t="array" ref="GB13">INDEX(Flt_Multi,$II13,FO$25)</f>
        <v>7</v>
      </c>
      <c r="GC13" s="73">
        <f t="shared" si="31"/>
        <v>1.4180804531249998</v>
      </c>
      <c r="GD13" s="74">
        <f t="shared" si="32"/>
        <v>1.906926145972361</v>
      </c>
      <c r="GE13" s="79" t="str" cm="1">
        <f t="array" ref="GE13">IF(ISBLANK(INDEX(FLT_Prod_Info,$HU13,GE$25)),INDEX(FLT_Prod_Info,$HT13,GE$25),INDEX(FLT_Prod_Info,$HT13,GE$25)&amp;" &amp; "&amp;INDEX(FLT_Prod_Info,$HU13,GE$25))</f>
        <v xml:space="preserve">Jet kerosene &amp; </v>
      </c>
      <c r="GF13" s="73" cm="1">
        <f t="array" ref="GF13">IF(INDEX(FLT_Cons,$HH13,$HO13)&lt;&gt;"External Floating Roof",0,INDEX(Flt_Fitting,$HX13,GE$25*$HY13+$HZ13))</f>
        <v>8.6999999999999993</v>
      </c>
      <c r="GG13" s="73" cm="1">
        <f t="array" ref="GG13">INDEX(Flt_Temps,$IE13,GE$25)</f>
        <v>505.27289288372089</v>
      </c>
      <c r="GH13" s="73" cm="1">
        <f t="array" ref="GH13">INDEX(Flt_Vap,$IF13,GE$25)</f>
        <v>5.0440033414775884E-3</v>
      </c>
      <c r="GI13" s="73" cm="1">
        <f t="array" ref="GI13">INDEX(Flt_Vap,$IG13,GE$25)</f>
        <v>1.7159417901666419E-4</v>
      </c>
      <c r="GJ13" s="73" cm="1">
        <f t="array" ref="GJ13">INDEX(Flt_Vap,$IH13,GE$25)</f>
        <v>130</v>
      </c>
      <c r="GK13" s="73" cm="1">
        <f t="array" ref="GK13">IF(INDEX(FLT_Prod_Info,$HV13,GE$25)="Crude Oil",0.4,1)</f>
        <v>1</v>
      </c>
      <c r="GL13" s="73" cm="1">
        <f t="array" ref="GL13">INDEX(Month_Ref,GE$25,3)/365*($C13+$D13*GF13^$E13)*$F13*GI13*GJ13*GK13</f>
        <v>0.24735738117817857</v>
      </c>
      <c r="GM13" s="73" cm="1">
        <f t="array" ref="GM13">INDEX(Flt_Fitting,$IA13,GE$25*$IC13)</f>
        <v>10.45030341909202</v>
      </c>
      <c r="GN13" s="73">
        <f t="shared" si="33"/>
        <v>0.23311746063763741</v>
      </c>
      <c r="GO13" s="73" cm="1">
        <f t="array" ref="GO13">INDEX(Month_Ref,GE$25,3)/365*$G13*$H13*($F13^2)*GI13*GJ13*GK13</f>
        <v>0</v>
      </c>
      <c r="GP13" s="73" cm="1">
        <f t="array" ref="GP13">INDEX(FLT_Prod_Info,$HW13,GE$25)</f>
        <v>4583</v>
      </c>
      <c r="GQ13" s="73" cm="1">
        <f t="array" ref="GQ13">INDEX(Tbl_71_10,IF(INDEX(FLT_Prod_Info,$HV13,GE$25)&lt;&gt;"Crude Oil",1,2),(MATCH(INDEX(FLT_Cons,$HH13,$HR13),Tbl_71_10_Col,0)))</f>
        <v>1.5E-3</v>
      </c>
      <c r="GR13" s="73" cm="1">
        <f t="array" ref="GR13">INDEX(Flt_Multi,$II13,GE$25)</f>
        <v>7</v>
      </c>
      <c r="GS13" s="73">
        <f t="shared" si="34"/>
        <v>1.4180804531249998</v>
      </c>
      <c r="GT13" s="74">
        <f t="shared" si="35"/>
        <v>1.8985552949408158</v>
      </c>
      <c r="GU13" s="79">
        <f t="shared" si="36"/>
        <v>4.1930957736393299</v>
      </c>
      <c r="GV13" s="73">
        <f t="shared" si="37"/>
        <v>2.0965478868196648E-3</v>
      </c>
      <c r="GW13" s="79">
        <f t="shared" si="38"/>
        <v>3.9649010446176733</v>
      </c>
      <c r="GX13" s="73">
        <f t="shared" si="39"/>
        <v>1.9824505223088366E-3</v>
      </c>
      <c r="GY13" s="79">
        <f t="shared" si="40"/>
        <v>0</v>
      </c>
      <c r="GZ13" s="73">
        <f t="shared" si="41"/>
        <v>0</v>
      </c>
      <c r="HA13" s="73">
        <f t="shared" si="42"/>
        <v>8.1579968182570042</v>
      </c>
      <c r="HB13" s="73">
        <f t="shared" si="43"/>
        <v>4.0789984091285023E-3</v>
      </c>
      <c r="HC13" s="79">
        <f t="shared" si="44"/>
        <v>17.016965437500001</v>
      </c>
      <c r="HD13" s="73">
        <f t="shared" si="45"/>
        <v>8.50848271875E-3</v>
      </c>
      <c r="HE13" s="73">
        <f t="shared" si="46"/>
        <v>25.174962255757006</v>
      </c>
      <c r="HF13" s="74">
        <f t="shared" si="47"/>
        <v>1.2587481127878502E-2</v>
      </c>
      <c r="HH13" s="43">
        <f t="shared" si="48"/>
        <v>3</v>
      </c>
      <c r="HI13" s="43">
        <v>1</v>
      </c>
      <c r="HJ13" s="43">
        <v>2</v>
      </c>
      <c r="HK13" s="43">
        <v>4</v>
      </c>
      <c r="HL13" s="43">
        <v>17</v>
      </c>
      <c r="HM13" s="43">
        <v>18</v>
      </c>
      <c r="HN13" s="43">
        <v>5</v>
      </c>
      <c r="HO13" s="43">
        <v>13</v>
      </c>
      <c r="HP13" s="43">
        <v>14</v>
      </c>
      <c r="HQ13" s="43">
        <v>15</v>
      </c>
      <c r="HR13" s="43">
        <v>12</v>
      </c>
      <c r="HS13" s="43">
        <v>20</v>
      </c>
      <c r="HT13" s="43">
        <f t="shared" si="49"/>
        <v>25</v>
      </c>
      <c r="HU13" s="43">
        <f t="shared" ref="HU13" si="59">HU12+12</f>
        <v>30</v>
      </c>
      <c r="HV13" s="43">
        <f t="shared" ref="HV13" si="60">HV12+12</f>
        <v>26</v>
      </c>
      <c r="HW13" s="43">
        <f t="shared" ref="HW13" si="61">HW12+12</f>
        <v>35</v>
      </c>
      <c r="HX13" s="43">
        <f t="shared" si="51"/>
        <v>31</v>
      </c>
      <c r="HY13" s="43">
        <v>3</v>
      </c>
      <c r="HZ13" s="43">
        <v>-2</v>
      </c>
      <c r="IA13" s="43">
        <f t="shared" si="52"/>
        <v>45</v>
      </c>
      <c r="IB13" s="43">
        <f t="shared" si="53"/>
        <v>60</v>
      </c>
      <c r="IC13" s="43">
        <v>3</v>
      </c>
      <c r="ID13" s="43">
        <v>0</v>
      </c>
      <c r="IE13" s="43">
        <f t="shared" si="54"/>
        <v>30</v>
      </c>
      <c r="IF13" s="43">
        <f t="shared" si="55"/>
        <v>63</v>
      </c>
      <c r="IG13" s="43">
        <f t="shared" ref="IG13" si="62">IG12+23</f>
        <v>64</v>
      </c>
      <c r="IH13" s="43">
        <f t="shared" ref="IH13" si="63">IH12+23</f>
        <v>69</v>
      </c>
      <c r="II13" s="43">
        <f t="shared" si="57"/>
        <v>42</v>
      </c>
      <c r="IJ13" s="43">
        <f t="shared" si="58"/>
        <v>32</v>
      </c>
    </row>
    <row r="14" spans="1:244" x14ac:dyDescent="0.4">
      <c r="A14" s="43" t="str" cm="1">
        <f t="array" ref="A14">INDEX(FLT_Cons,$HH14,HI$11)</f>
        <v>FLT - 4</v>
      </c>
      <c r="B14" s="96" t="str" cm="1">
        <f t="array" ref="B14">INDEX(FLT_Cons,$HH14,HJ$11)</f>
        <v>INTANK 63</v>
      </c>
      <c r="C14" s="79" cm="1">
        <f t="array" ref="C14">IF(INDEX(FLT_Cons,$HH14,$HK14)="Welded",IF(INDEX(FLT_Cons,$HH14,$HM14)="Average",INDEX(Tbl_71_8_Weld,MATCH(INDEX(FLT_Cons,$HH14,$HL14),Tbl_71_8W_Name,0),2),INDEX(Tbl_71_8_Weld,MATCH(INDEX(FLT_Cons,$HH14,$HL14),Tbl_71_8W_Name,0),3)),INDEX(Tbl_71_8_Riv,MATCH(INDEX(FLT_Cons,$HH14,$HL14),Tbl_71_8R_Name,0),2))</f>
        <v>0.6</v>
      </c>
      <c r="D14" s="73" cm="1">
        <f t="array" ref="D14">IF(INDEX(FLT_Cons,$HH14,$HK14)="Welded",IF(INDEX(FLT_Cons,$HH14,$HM14)="Average",INDEX(Tbl_71_8_Weld,MATCH(INDEX(FLT_Cons,$HH14,$HL14),Tbl_71_8W_Name,0),4),INDEX(Tbl_71_8_Weld,MATCH(INDEX(FLT_Cons,$HH14,$HL14),Tbl_71_8W_Name,0),5)),INDEX(Tbl_71_8_Riv,MATCH(INDEX(FLT_Cons,$HH14,$HL14),Tbl_71_8R_Name,0),3))</f>
        <v>0.4</v>
      </c>
      <c r="E14" s="73" cm="1">
        <f t="array" ref="E14">IF(INDEX(FLT_Cons,$HH14,$HK14)="Welded",IF(INDEX(FLT_Cons,$HH14,$HM14)="Average",INDEX(Tbl_71_8_Weld,MATCH(INDEX(FLT_Cons,$HH14,$HL14),Tbl_71_8W_Name,0),6),INDEX(Tbl_71_8_Weld,MATCH(INDEX(FLT_Cons,$HH14,$HL14),Tbl_71_8W_Name,0),7)),INDEX(Tbl_71_8_Riv,MATCH(INDEX(FLT_Cons,$HH14,$HL14),Tbl_71_8R_Name,0),4))</f>
        <v>1</v>
      </c>
      <c r="F14" s="73" cm="1">
        <f t="array" ref="F14">INDEX(FLT_Cons,$HH14,$HN14)</f>
        <v>144</v>
      </c>
      <c r="G14" s="73" cm="1">
        <f t="array" ref="G14">IF(INDEX(FLT_Cons,$HH14,$HP14)="Bolted Deck",0.14,0)</f>
        <v>0</v>
      </c>
      <c r="H14" s="73" cm="1">
        <f t="array" ref="H14">INDEX(Tbl_71_16,MATCH(INDEX(FLT_Cons,$HH14,$HQ14),Bolted_Deck_Cons_Name,0),2)</f>
        <v>0</v>
      </c>
      <c r="I14" s="73" cm="1">
        <f t="array" ref="I14">INDEX(Sup_Col,$IJ14,1)</f>
        <v>9</v>
      </c>
      <c r="J14" s="74" cm="1">
        <f t="array" ref="J14">INDEX(FC,MATCH(INDEX(FLT_Cons,$HH14,$HS14),Roof_Column_Cons,0),2)</f>
        <v>1.1000000000000001</v>
      </c>
      <c r="K14" s="79" t="str" cm="1">
        <f t="array" ref="K14">IF(ISBLANK(INDEX(FLT_Prod_Info,$HU14,K$25)),INDEX(FLT_Prod_Info,$HT14,K$25),INDEX(FLT_Prod_Info,$HT14,K$25)&amp;" &amp; "&amp;INDEX(FLT_Prod_Info,$HU14,K$25))</f>
        <v xml:space="preserve">Bakken Crude &amp; </v>
      </c>
      <c r="L14" s="73" cm="1">
        <f t="array" ref="L14">IF(INDEX(FLT_Cons,$HH14,$HO14)&lt;&gt;"External Floating Roof",0,INDEX(Flt_Fitting,$HX14,K$25*$HY14+$HZ14))</f>
        <v>0</v>
      </c>
      <c r="M14" s="73" cm="1">
        <f t="array" ref="M14">INDEX(Flt_Temps,$IE14,K$25)</f>
        <v>504.0584819788599</v>
      </c>
      <c r="N14" s="73" cm="1">
        <f t="array" ref="N14">INDEX(Flt_Vap,$IF14,K$25)</f>
        <v>5.867661107401692</v>
      </c>
      <c r="O14" s="73" cm="1">
        <f t="array" ref="O14">INDEX(Flt_Vap,$IG14,K$25)</f>
        <v>0.24934457786715217</v>
      </c>
      <c r="P14" s="73" cm="1">
        <f t="array" ref="P14">INDEX(Flt_Vap,$IH14,K$25)</f>
        <v>61.103726164670178</v>
      </c>
      <c r="Q14" s="73" cm="1">
        <f t="array" ref="Q14">IF(INDEX(FLT_Prod_Info,$HV14,K$25)="Crude Oil",0.4,1)</f>
        <v>0.4</v>
      </c>
      <c r="R14" s="73" cm="1">
        <f t="array" ref="R14">INDEX(Month_Ref,K$25,3)/365*($C14+$D14*L14^$E14)*$F14*O14*P14*Q14</f>
        <v>44.720864119785091</v>
      </c>
      <c r="S14" s="73" cm="1">
        <f t="array" ref="S14">INDEX(Flt_Fitting,$IA14,K$25*$IC14)</f>
        <v>73.362136986301365</v>
      </c>
      <c r="T14" s="73">
        <f t="shared" si="0"/>
        <v>447.0947686271756</v>
      </c>
      <c r="U14" s="73" cm="1">
        <f t="array" ref="U14">INDEX(Month_Ref,K$25,3)/365*$G14*$H14*($F14^2)*O14*P14*Q14</f>
        <v>0</v>
      </c>
      <c r="V14" s="73" cm="1">
        <f t="array" ref="V14">INDEX(FLT_Prod_Info,$HW14,K$25)</f>
        <v>130521</v>
      </c>
      <c r="W14" s="73" cm="1">
        <f t="array" ref="W14">INDEX(Tbl_71_10,IF(INDEX(FLT_Prod_Info,$HV14,K$25)&lt;&gt;"Crude Oil",1,2),(MATCH(INDEX(FLT_Cons,$HH14,$HR14),Tbl_71_10_Col,0)))</f>
        <v>6.0000000000000001E-3</v>
      </c>
      <c r="X14" s="73" cm="1">
        <f t="array" ref="X14">INDEX(Flt_Multi,$II14,K$25)</f>
        <v>6.7389700000000001</v>
      </c>
      <c r="Y14" s="73">
        <f t="shared" si="1"/>
        <v>36.93605381503194</v>
      </c>
      <c r="Z14" s="74">
        <f t="shared" si="2"/>
        <v>528.75168656199264</v>
      </c>
      <c r="AA14" s="79" t="str" cm="1">
        <f t="array" ref="AA14">IF(ISBLANK(INDEX(FLT_Prod_Info,$HU14,AA$25)),INDEX(FLT_Prod_Info,$HT14,AA$25),INDEX(FLT_Prod_Info,$HT14,AA$25)&amp;" &amp; "&amp;INDEX(FLT_Prod_Info,$HU14,AA$25))</f>
        <v xml:space="preserve">Bakken Crude &amp; </v>
      </c>
      <c r="AB14" s="73" cm="1">
        <f t="array" ref="AB14">IF(INDEX(FLT_Cons,$HH14,$HO14)&lt;&gt;"External Floating Roof",0,INDEX(Flt_Fitting,$HX14,AA$25*$HY14+$HZ14))</f>
        <v>0</v>
      </c>
      <c r="AC14" s="73" cm="1">
        <f t="array" ref="AC14">INDEX(Flt_Temps,$IE14,AA$25)</f>
        <v>505.27693640616894</v>
      </c>
      <c r="AD14" s="73" cm="1">
        <f t="array" ref="AD14">INDEX(Flt_Vap,$IF14,AA$25)</f>
        <v>5.9935718185823612</v>
      </c>
      <c r="AE14" s="73" cm="1">
        <f t="array" ref="AE14">INDEX(Flt_Vap,$IG14,AA$25)</f>
        <v>0.2560652044868878</v>
      </c>
      <c r="AF14" s="73" cm="1">
        <f t="array" ref="AF14">INDEX(Flt_Vap,$IH14,AA$25)</f>
        <v>61.103726164670178</v>
      </c>
      <c r="AG14" s="73" cm="1">
        <f t="array" ref="AG14">IF(INDEX(FLT_Prod_Info,$HV14,AA$25)="Crude Oil",0.4,1)</f>
        <v>0.4</v>
      </c>
      <c r="AH14" s="73" cm="1">
        <f t="array" ref="AH14">INDEX(Month_Ref,AA$25,3)/365*($C14+$D14*AB14^$E14)*$F14*AE14*AF14*AG14</f>
        <v>41.481758966397905</v>
      </c>
      <c r="AI14" s="73" cm="1">
        <f t="array" ref="AI14">INDEX(Flt_Fitting,$IA14,AA$25*$IC14)</f>
        <v>66.262575342465766</v>
      </c>
      <c r="AJ14" s="73">
        <f t="shared" si="3"/>
        <v>414.71196481475909</v>
      </c>
      <c r="AK14" s="73" cm="1">
        <f t="array" ref="AK14">INDEX(Month_Ref,AA$25,3)/365*$G14*$H14*($F14^2)*AE14*AF14*AG14</f>
        <v>0</v>
      </c>
      <c r="AL14" s="73" cm="1">
        <f t="array" ref="AL14">INDEX(FLT_Prod_Info,$HW14,AA$25)</f>
        <v>130521</v>
      </c>
      <c r="AM14" s="73" cm="1">
        <f t="array" ref="AM14">INDEX(Tbl_71_10,IF(INDEX(FLT_Prod_Info,$HV14,AA$25)&lt;&gt;"Crude Oil",1,2),(MATCH(INDEX(FLT_Cons,$HH14,$HR14),Tbl_71_10_Col,0)))</f>
        <v>6.0000000000000001E-3</v>
      </c>
      <c r="AN14" s="73" cm="1">
        <f t="array" ref="AN14">INDEX(Flt_Multi,$II14,AA$25)</f>
        <v>6.7389700000000001</v>
      </c>
      <c r="AO14" s="73">
        <f t="shared" si="4"/>
        <v>36.93605381503194</v>
      </c>
      <c r="AP14" s="74">
        <f t="shared" si="5"/>
        <v>493.12977759618889</v>
      </c>
      <c r="AQ14" s="79" t="str" cm="1">
        <f t="array" ref="AQ14">IF(ISBLANK(INDEX(FLT_Prod_Info,$HU14,AQ$25)),INDEX(FLT_Prod_Info,$HT14,AQ$25),INDEX(FLT_Prod_Info,$HT14,AQ$25)&amp;" &amp; "&amp;INDEX(FLT_Prod_Info,$HU14,AQ$25))</f>
        <v xml:space="preserve">Bakken Crude &amp; </v>
      </c>
      <c r="AR14" s="73" cm="1">
        <f t="array" ref="AR14">IF(INDEX(FLT_Cons,$HH14,$HO14)&lt;&gt;"External Floating Roof",0,INDEX(Flt_Fitting,$HX14,AQ$25*$HY14+$HZ14))</f>
        <v>0</v>
      </c>
      <c r="AS14" s="73" cm="1">
        <f t="array" ref="AS14">INDEX(Flt_Temps,$IE14,AQ$25)</f>
        <v>507.12795538035027</v>
      </c>
      <c r="AT14" s="73" cm="1">
        <f t="array" ref="AT14">INDEX(Flt_Vap,$IF14,AQ$25)</f>
        <v>6.188830273420832</v>
      </c>
      <c r="AU14" s="73" cm="1">
        <f t="array" ref="AU14">INDEX(Flt_Vap,$IG14,AQ$25)</f>
        <v>0.26663155482138357</v>
      </c>
      <c r="AV14" s="73" cm="1">
        <f t="array" ref="AV14">INDEX(Flt_Vap,$IH14,AQ$25)</f>
        <v>61.103726164670178</v>
      </c>
      <c r="AW14" s="73" cm="1">
        <f t="array" ref="AW14">IF(INDEX(FLT_Prod_Info,$HV14,AQ$25)="Crude Oil",0.4,1)</f>
        <v>0.4</v>
      </c>
      <c r="AX14" s="73" cm="1">
        <f t="array" ref="AX14">INDEX(Month_Ref,AQ$25,3)/365*($C14+$D14*AR14^$E14)*$F14*AU14*AV14*AW14</f>
        <v>47.821346809342231</v>
      </c>
      <c r="AY14" s="73" cm="1">
        <f t="array" ref="AY14">INDEX(Flt_Fitting,$IA14,AQ$25*$IC14)</f>
        <v>73.362136986301365</v>
      </c>
      <c r="AZ14" s="73">
        <f t="shared" si="6"/>
        <v>478.09170077515773</v>
      </c>
      <c r="BA14" s="73" cm="1">
        <f t="array" ref="BA14">INDEX(Month_Ref,AQ$25,3)/365*$G14*$H14*($F14^2)*AU14*AV14*AW14</f>
        <v>0</v>
      </c>
      <c r="BB14" s="73" cm="1">
        <f t="array" ref="BB14">INDEX(FLT_Prod_Info,$HW14,AQ$25)</f>
        <v>130521</v>
      </c>
      <c r="BC14" s="73" cm="1">
        <f t="array" ref="BC14">INDEX(Tbl_71_10,IF(INDEX(FLT_Prod_Info,$HV14,AQ$25)&lt;&gt;"Crude Oil",1,2),(MATCH(INDEX(FLT_Cons,$HH14,$HR14),Tbl_71_10_Col,0)))</f>
        <v>6.0000000000000001E-3</v>
      </c>
      <c r="BD14" s="73" cm="1">
        <f t="array" ref="BD14">INDEX(Flt_Multi,$II14,AQ$25)</f>
        <v>6.7389700000000001</v>
      </c>
      <c r="BE14" s="73">
        <f t="shared" si="7"/>
        <v>36.93605381503194</v>
      </c>
      <c r="BF14" s="74">
        <f t="shared" si="8"/>
        <v>562.84910139953195</v>
      </c>
      <c r="BG14" s="79" t="str" cm="1">
        <f t="array" ref="BG14">IF(ISBLANK(INDEX(FLT_Prod_Info,$HU14,BG$25)),INDEX(FLT_Prod_Info,$HT14,BG$25),INDEX(FLT_Prod_Info,$HT14,BG$25)&amp;" &amp; "&amp;INDEX(FLT_Prod_Info,$HU14,BG$25))</f>
        <v xml:space="preserve">Bakken Crude &amp; </v>
      </c>
      <c r="BH14" s="73" cm="1">
        <f t="array" ref="BH14">IF(INDEX(FLT_Cons,$HH14,$HO14)&lt;&gt;"External Floating Roof",0,INDEX(Flt_Fitting,$HX14,BG$25*$HY14+$HZ14))</f>
        <v>0</v>
      </c>
      <c r="BI14" s="73" cm="1">
        <f t="array" ref="BI14">INDEX(Flt_Temps,$IE14,BG$25)</f>
        <v>510.23854063420572</v>
      </c>
      <c r="BJ14" s="73" cm="1">
        <f t="array" ref="BJ14">INDEX(Flt_Vap,$IF14,BG$25)</f>
        <v>6.5279682032356678</v>
      </c>
      <c r="BK14" s="73" cm="1">
        <f t="array" ref="BK14">INDEX(Flt_Vap,$IG14,BG$25)</f>
        <v>0.28541269360071325</v>
      </c>
      <c r="BL14" s="73" cm="1">
        <f t="array" ref="BL14">INDEX(Flt_Vap,$IH14,BG$25)</f>
        <v>61.103726164670178</v>
      </c>
      <c r="BM14" s="73" cm="1">
        <f t="array" ref="BM14">IF(INDEX(FLT_Prod_Info,$HV14,BG$25)="Crude Oil",0.4,1)</f>
        <v>0.4</v>
      </c>
      <c r="BN14" s="73" cm="1">
        <f t="array" ref="BN14">INDEX(Month_Ref,BG$25,3)/365*($C14+$D14*BH14^$E14)*$F14*BK14*BL14*BM14</f>
        <v>49.538528612632923</v>
      </c>
      <c r="BO14" s="73" cm="1">
        <f t="array" ref="BO14">INDEX(Flt_Fitting,$IA14,BG$25*$IC14)</f>
        <v>70.995616438356166</v>
      </c>
      <c r="BP14" s="73">
        <f t="shared" si="9"/>
        <v>495.25914635439887</v>
      </c>
      <c r="BQ14" s="73" cm="1">
        <f t="array" ref="BQ14">INDEX(Month_Ref,BG$25,3)/365*$G14*$H14*($F14^2)*BK14*BL14*BM14</f>
        <v>0</v>
      </c>
      <c r="BR14" s="73" cm="1">
        <f t="array" ref="BR14">INDEX(FLT_Prod_Info,$HW14,BG$25)</f>
        <v>130521</v>
      </c>
      <c r="BS14" s="73" cm="1">
        <f t="array" ref="BS14">INDEX(Tbl_71_10,IF(INDEX(FLT_Prod_Info,$HV14,BG$25)&lt;&gt;"Crude Oil",1,2),(MATCH(INDEX(FLT_Cons,$HH14,$HR14),Tbl_71_10_Col,0)))</f>
        <v>6.0000000000000001E-3</v>
      </c>
      <c r="BT14" s="73" cm="1">
        <f t="array" ref="BT14">INDEX(Flt_Multi,$II14,BG$25)</f>
        <v>6.7389700000000001</v>
      </c>
      <c r="BU14" s="73">
        <f t="shared" si="10"/>
        <v>36.93605381503194</v>
      </c>
      <c r="BV14" s="74">
        <f t="shared" si="11"/>
        <v>581.73372878206374</v>
      </c>
      <c r="BW14" s="79" t="str" cm="1">
        <f t="array" ref="BW14">IF(ISBLANK(INDEX(FLT_Prod_Info,$HU14,BW$25)),INDEX(FLT_Prod_Info,$HT14,BW$25),INDEX(FLT_Prod_Info,$HT14,BW$25)&amp;" &amp; "&amp;INDEX(FLT_Prod_Info,$HU14,BW$25))</f>
        <v xml:space="preserve">Bakken Crude &amp; </v>
      </c>
      <c r="BX14" s="73" cm="1">
        <f t="array" ref="BX14">IF(INDEX(FLT_Cons,$HH14,$HO14)&lt;&gt;"External Floating Roof",0,INDEX(Flt_Fitting,$HX14,BW$25*$HY14+$HZ14))</f>
        <v>0</v>
      </c>
      <c r="BY14" s="73" cm="1">
        <f t="array" ref="BY14">INDEX(Flt_Temps,$IE14,BW$25)</f>
        <v>515.25258542713573</v>
      </c>
      <c r="BZ14" s="73" cm="1">
        <f t="array" ref="BZ14">INDEX(Flt_Vap,$IF14,BW$25)</f>
        <v>7.1045514346753809</v>
      </c>
      <c r="CA14" s="73" cm="1">
        <f t="array" ref="CA14">INDEX(Flt_Vap,$IG14,BW$25)</f>
        <v>0.31865478794290136</v>
      </c>
      <c r="CB14" s="73" cm="1">
        <f t="array" ref="CB14">INDEX(Flt_Vap,$IH14,BW$25)</f>
        <v>61.103726164670178</v>
      </c>
      <c r="CC14" s="73" cm="1">
        <f t="array" ref="CC14">IF(INDEX(FLT_Prod_Info,$HV14,BW$25)="Crude Oil",0.4,1)</f>
        <v>0.4</v>
      </c>
      <c r="CD14" s="73" cm="1">
        <f t="array" ref="CD14">INDEX(Month_Ref,BW$25,3)/365*($C14+$D14*BX14^$E14)*$F14*CA14*CB14*CC14</f>
        <v>57.151904383122101</v>
      </c>
      <c r="CE14" s="73" cm="1">
        <f t="array" ref="CE14">INDEX(Flt_Fitting,$IA14,BW$25*$IC14)</f>
        <v>73.362136986301365</v>
      </c>
      <c r="CF14" s="73">
        <f t="shared" si="12"/>
        <v>571.37351814876399</v>
      </c>
      <c r="CG14" s="73" cm="1">
        <f t="array" ref="CG14">INDEX(Month_Ref,BW$25,3)/365*$G14*$H14*($F14^2)*CA14*CB14*CC14</f>
        <v>0</v>
      </c>
      <c r="CH14" s="73" cm="1">
        <f t="array" ref="CH14">INDEX(FLT_Prod_Info,$HW14,BW$25)</f>
        <v>130521</v>
      </c>
      <c r="CI14" s="73" cm="1">
        <f t="array" ref="CI14">INDEX(Tbl_71_10,IF(INDEX(FLT_Prod_Info,$HV14,BW$25)&lt;&gt;"Crude Oil",1,2),(MATCH(INDEX(FLT_Cons,$HH14,$HR14),Tbl_71_10_Col,0)))</f>
        <v>6.0000000000000001E-3</v>
      </c>
      <c r="CJ14" s="73" cm="1">
        <f t="array" ref="CJ14">INDEX(Flt_Multi,$II14,BW$25)</f>
        <v>6.7389700000000001</v>
      </c>
      <c r="CK14" s="73">
        <f t="shared" si="13"/>
        <v>36.93605381503194</v>
      </c>
      <c r="CL14" s="74">
        <f t="shared" si="14"/>
        <v>665.46147634691806</v>
      </c>
      <c r="CM14" s="79" t="str" cm="1">
        <f t="array" ref="CM14">IF(ISBLANK(INDEX(FLT_Prod_Info,$HU14,CM$25)),INDEX(FLT_Prod_Info,$HT14,CM$25),INDEX(FLT_Prod_Info,$HT14,CM$25)&amp;" &amp; "&amp;INDEX(FLT_Prod_Info,$HU14,CM$25))</f>
        <v xml:space="preserve">Bakken Crude &amp; </v>
      </c>
      <c r="CN14" s="73" cm="1">
        <f t="array" ref="CN14">IF(INDEX(FLT_Cons,$HH14,$HO14)&lt;&gt;"External Floating Roof",0,INDEX(Flt_Fitting,$HX14,CM$25*$HY14+$HZ14))</f>
        <v>0</v>
      </c>
      <c r="CO14" s="73" cm="1">
        <f t="array" ref="CO14">INDEX(Flt_Temps,$IE14,CM$25)</f>
        <v>519.19912588806119</v>
      </c>
      <c r="CP14" s="73" cm="1">
        <f t="array" ref="CP14">INDEX(Flt_Vap,$IF14,CM$25)</f>
        <v>7.5852508081720345</v>
      </c>
      <c r="CQ14" s="73" cm="1">
        <f t="array" ref="CQ14">INDEX(Flt_Vap,$IG14,CM$25)</f>
        <v>0.34771203379287757</v>
      </c>
      <c r="CR14" s="73" cm="1">
        <f t="array" ref="CR14">INDEX(Flt_Vap,$IH14,CM$25)</f>
        <v>61.103726164670178</v>
      </c>
      <c r="CS14" s="73" cm="1">
        <f t="array" ref="CS14">IF(INDEX(FLT_Prod_Info,$HV14,CM$25)="Crude Oil",0.4,1)</f>
        <v>0.4</v>
      </c>
      <c r="CT14" s="73" cm="1">
        <f t="array" ref="CT14">INDEX(Month_Ref,CM$25,3)/365*($C14+$D14*CN14^$E14)*$F14*CQ14*CR14*CS14</f>
        <v>60.351704465894869</v>
      </c>
      <c r="CU14" s="73" cm="1">
        <f t="array" ref="CU14">INDEX(Flt_Fitting,$IA14,CM$25*$IC14)</f>
        <v>70.995616438356166</v>
      </c>
      <c r="CV14" s="73">
        <f t="shared" si="15"/>
        <v>603.3633713373921</v>
      </c>
      <c r="CW14" s="73" cm="1">
        <f t="array" ref="CW14">INDEX(Month_Ref,CM$25,3)/365*$G14*$H14*($F14^2)*CQ14*CR14*CS14</f>
        <v>0</v>
      </c>
      <c r="CX14" s="73" cm="1">
        <f t="array" ref="CX14">INDEX(FLT_Prod_Info,$HW14,CM$25)</f>
        <v>130521</v>
      </c>
      <c r="CY14" s="73" cm="1">
        <f t="array" ref="CY14">INDEX(Tbl_71_10,IF(INDEX(FLT_Prod_Info,$HV14,CM$25)&lt;&gt;"Crude Oil",1,2),(MATCH(INDEX(FLT_Cons,$HH14,$HR14),Tbl_71_10_Col,0)))</f>
        <v>6.0000000000000001E-3</v>
      </c>
      <c r="CZ14" s="73" cm="1">
        <f t="array" ref="CZ14">INDEX(Flt_Multi,$II14,CM$25)</f>
        <v>6.7389700000000001</v>
      </c>
      <c r="DA14" s="73">
        <f t="shared" si="16"/>
        <v>36.93605381503194</v>
      </c>
      <c r="DB14" s="74">
        <f t="shared" si="17"/>
        <v>700.65112961831892</v>
      </c>
      <c r="DC14" s="79" t="str" cm="1">
        <f t="array" ref="DC14">IF(ISBLANK(INDEX(FLT_Prod_Info,$HU14,DC$25)),INDEX(FLT_Prod_Info,$HT14,DC$25),INDEX(FLT_Prod_Info,$HT14,DC$25)&amp;" &amp; "&amp;INDEX(FLT_Prod_Info,$HU14,DC$25))</f>
        <v xml:space="preserve">Bakken Crude &amp; </v>
      </c>
      <c r="DD14" s="73" cm="1">
        <f t="array" ref="DD14">IF(INDEX(FLT_Cons,$HH14,$HO14)&lt;&gt;"External Floating Roof",0,INDEX(Flt_Fitting,$HX14,DC$25*$HY14+$HZ14))</f>
        <v>0</v>
      </c>
      <c r="DE14" s="73" cm="1">
        <f t="array" ref="DE14">INDEX(Flt_Temps,$IE14,DC$25)</f>
        <v>522.83101230289378</v>
      </c>
      <c r="DF14" s="73" cm="1">
        <f t="array" ref="DF14">INDEX(Flt_Vap,$IF14,DC$25)</f>
        <v>8.0492791332983735</v>
      </c>
      <c r="DG14" s="73" cm="1">
        <f t="array" ref="DG14">INDEX(Flt_Vap,$IG14,DC$25)</f>
        <v>0.37700268686721256</v>
      </c>
      <c r="DH14" s="73" cm="1">
        <f t="array" ref="DH14">INDEX(Flt_Vap,$IH14,DC$25)</f>
        <v>61.103726164670178</v>
      </c>
      <c r="DI14" s="73" cm="1">
        <f t="array" ref="DI14">IF(INDEX(FLT_Prod_Info,$HV14,DC$25)="Crude Oil",0.4,1)</f>
        <v>0.4</v>
      </c>
      <c r="DJ14" s="73" cm="1">
        <f t="array" ref="DJ14">INDEX(Month_Ref,DC$25,3)/365*($C14+$D14*DD14^$E14)*$F14*DG14*DH14*DI14</f>
        <v>67.616813954403469</v>
      </c>
      <c r="DK14" s="73" cm="1">
        <f t="array" ref="DK14">INDEX(Flt_Fitting,$IA14,DC$25*$IC14)</f>
        <v>73.362136986301365</v>
      </c>
      <c r="DL14" s="73">
        <f t="shared" si="18"/>
        <v>675.9959671010954</v>
      </c>
      <c r="DM14" s="73" cm="1">
        <f t="array" ref="DM14">INDEX(Month_Ref,DC$25,3)/365*$G14*$H14*($F14^2)*DG14*DH14*DI14</f>
        <v>0</v>
      </c>
      <c r="DN14" s="73" cm="1">
        <f t="array" ref="DN14">INDEX(FLT_Prod_Info,$HW14,DC$25)</f>
        <v>130521</v>
      </c>
      <c r="DO14" s="73" cm="1">
        <f t="array" ref="DO14">INDEX(Tbl_71_10,IF(INDEX(FLT_Prod_Info,$HV14,DC$25)&lt;&gt;"Crude Oil",1,2),(MATCH(INDEX(FLT_Cons,$HH14,$HR14),Tbl_71_10_Col,0)))</f>
        <v>6.0000000000000001E-3</v>
      </c>
      <c r="DP14" s="73" cm="1">
        <f t="array" ref="DP14">INDEX(Flt_Multi,$II14,DC$25)</f>
        <v>6.7389700000000001</v>
      </c>
      <c r="DQ14" s="73">
        <f t="shared" si="19"/>
        <v>36.93605381503194</v>
      </c>
      <c r="DR14" s="74">
        <f t="shared" si="20"/>
        <v>780.54883487053087</v>
      </c>
      <c r="DS14" s="79" t="str" cm="1">
        <f t="array" ref="DS14">IF(ISBLANK(INDEX(FLT_Prod_Info,$HU14,DS$25)),INDEX(FLT_Prod_Info,$HT14,DS$25),INDEX(FLT_Prod_Info,$HT14,DS$25)&amp;" &amp; "&amp;INDEX(FLT_Prod_Info,$HU14,DS$25))</f>
        <v xml:space="preserve">Bakken Crude &amp; </v>
      </c>
      <c r="DT14" s="73" cm="1">
        <f t="array" ref="DT14">IF(INDEX(FLT_Cons,$HH14,$HO14)&lt;&gt;"External Floating Roof",0,INDEX(Flt_Fitting,$HX14,DS$25*$HY14+$HZ14))</f>
        <v>0</v>
      </c>
      <c r="DU14" s="73" cm="1">
        <f t="array" ref="DU14">INDEX(Flt_Temps,$IE14,DS$25)</f>
        <v>522.92931519667309</v>
      </c>
      <c r="DV14" s="73" cm="1">
        <f t="array" ref="DV14">INDEX(Flt_Vap,$IF14,DS$25)</f>
        <v>8.0621333544026594</v>
      </c>
      <c r="DW14" s="73" cm="1">
        <f t="array" ref="DW14">INDEX(Flt_Vap,$IG14,DS$25)</f>
        <v>0.37783221201572781</v>
      </c>
      <c r="DX14" s="73" cm="1">
        <f t="array" ref="DX14">INDEX(Flt_Vap,$IH14,DS$25)</f>
        <v>61.103726164670178</v>
      </c>
      <c r="DY14" s="73" cm="1">
        <f t="array" ref="DY14">IF(INDEX(FLT_Prod_Info,$HV14,DS$25)="Crude Oil",0.4,1)</f>
        <v>0.4</v>
      </c>
      <c r="DZ14" s="73" cm="1">
        <f t="array" ref="DZ14">INDEX(Month_Ref,DS$25,3)/365*($C14+$D14*DT14^$E14)*$F14*DW14*DX14*DY14</f>
        <v>67.765592330769309</v>
      </c>
      <c r="EA14" s="73" cm="1">
        <f t="array" ref="EA14">INDEX(Flt_Fitting,$IA14,DS$25*$IC14)</f>
        <v>73.362136986301365</v>
      </c>
      <c r="EB14" s="73">
        <f t="shared" si="21"/>
        <v>677.48337203092478</v>
      </c>
      <c r="EC14" s="73" cm="1">
        <f t="array" ref="EC14">INDEX(Month_Ref,DS$25,3)/365*$G14*$H14*($F14^2)*DW14*DX14*DY14</f>
        <v>0</v>
      </c>
      <c r="ED14" s="73" cm="1">
        <f t="array" ref="ED14">INDEX(FLT_Prod_Info,$HW14,DS$25)</f>
        <v>130521</v>
      </c>
      <c r="EE14" s="73" cm="1">
        <f t="array" ref="EE14">INDEX(Tbl_71_10,IF(INDEX(FLT_Prod_Info,$HV14,DS$25)&lt;&gt;"Crude Oil",1,2),(MATCH(INDEX(FLT_Cons,$HH14,$HR14),Tbl_71_10_Col,0)))</f>
        <v>6.0000000000000001E-3</v>
      </c>
      <c r="EF14" s="73" cm="1">
        <f t="array" ref="EF14">INDEX(Flt_Multi,$II14,DS$25)</f>
        <v>6.7389700000000001</v>
      </c>
      <c r="EG14" s="73">
        <f t="shared" si="22"/>
        <v>36.93605381503194</v>
      </c>
      <c r="EH14" s="74">
        <f t="shared" si="23"/>
        <v>782.18501817672609</v>
      </c>
      <c r="EI14" s="79" t="str" cm="1">
        <f t="array" ref="EI14">IF(ISBLANK(INDEX(FLT_Prod_Info,$HU14,EI$25)),INDEX(FLT_Prod_Info,$HT14,EI$25),INDEX(FLT_Prod_Info,$HT14,EI$25)&amp;" &amp; "&amp;INDEX(FLT_Prod_Info,$HU14,EI$25))</f>
        <v xml:space="preserve">Bakken Crude &amp; </v>
      </c>
      <c r="EJ14" s="73" cm="1">
        <f t="array" ref="EJ14">IF(INDEX(FLT_Cons,$HH14,$HO14)&lt;&gt;"External Floating Roof",0,INDEX(Flt_Fitting,$HX14,EI$25*$HY14+$HZ14))</f>
        <v>0</v>
      </c>
      <c r="EK14" s="73" cm="1">
        <f t="array" ref="EK14">INDEX(Flt_Temps,$IE14,EI$25)</f>
        <v>520.14735990296333</v>
      </c>
      <c r="EL14" s="73" cm="1">
        <f t="array" ref="EL14">INDEX(Flt_Vap,$IF14,EI$25)</f>
        <v>7.7043732166834999</v>
      </c>
      <c r="EM14" s="73" cm="1">
        <f t="array" ref="EM14">INDEX(Flt_Vap,$IG14,EI$25)</f>
        <v>0.35511180633914702</v>
      </c>
      <c r="EN14" s="73" cm="1">
        <f t="array" ref="EN14">INDEX(Flt_Vap,$IH14,EI$25)</f>
        <v>61.103726164670178</v>
      </c>
      <c r="EO14" s="73" cm="1">
        <f t="array" ref="EO14">IF(INDEX(FLT_Prod_Info,$HV14,EI$25)="Crude Oil",0.4,1)</f>
        <v>0.4</v>
      </c>
      <c r="EP14" s="73" cm="1">
        <f t="array" ref="EP14">INDEX(Month_Ref,EI$25,3)/365*($C14+$D14*EJ14^$E14)*$F14*EM14*EN14*EO14</f>
        <v>61.636068659322</v>
      </c>
      <c r="EQ14" s="73" cm="1">
        <f t="array" ref="EQ14">INDEX(Flt_Fitting,$IA14,EI$25*$IC14)</f>
        <v>70.995616438356166</v>
      </c>
      <c r="ER14" s="73">
        <f t="shared" si="24"/>
        <v>616.20374289987456</v>
      </c>
      <c r="ES14" s="73" cm="1">
        <f t="array" ref="ES14">INDEX(Month_Ref,EI$25,3)/365*$G14*$H14*($F14^2)*EM14*EN14*EO14</f>
        <v>0</v>
      </c>
      <c r="ET14" s="73" cm="1">
        <f t="array" ref="ET14">INDEX(FLT_Prod_Info,$HW14,EI$25)</f>
        <v>130521</v>
      </c>
      <c r="EU14" s="73" cm="1">
        <f t="array" ref="EU14">INDEX(Tbl_71_10,IF(INDEX(FLT_Prod_Info,$HV14,EI$25)&lt;&gt;"Crude Oil",1,2),(MATCH(INDEX(FLT_Cons,$HH14,$HR14),Tbl_71_10_Col,0)))</f>
        <v>6.0000000000000001E-3</v>
      </c>
      <c r="EV14" s="73" cm="1">
        <f t="array" ref="EV14">INDEX(Flt_Multi,$II14,EI$25)</f>
        <v>6.7389700000000001</v>
      </c>
      <c r="EW14" s="73">
        <f t="shared" si="25"/>
        <v>36.93605381503194</v>
      </c>
      <c r="EX14" s="74">
        <f t="shared" si="26"/>
        <v>714.77586537422849</v>
      </c>
      <c r="EY14" s="79" t="str" cm="1">
        <f t="array" ref="EY14">IF(ISBLANK(INDEX(FLT_Prod_Info,$HU14,EY$25)),INDEX(FLT_Prod_Info,$HT14,EY$25),INDEX(FLT_Prod_Info,$HT14,EY$25)&amp;" &amp; "&amp;INDEX(FLT_Prod_Info,$HU14,EY$25))</f>
        <v xml:space="preserve">Bakken Crude &amp; </v>
      </c>
      <c r="EZ14" s="73" cm="1">
        <f t="array" ref="EZ14">IF(INDEX(FLT_Cons,$HH14,$HO14)&lt;&gt;"External Floating Roof",0,INDEX(Flt_Fitting,$HX14,EY$25*$HY14+$HZ14))</f>
        <v>0</v>
      </c>
      <c r="FA14" s="73" cm="1">
        <f t="array" ref="FA14">INDEX(Flt_Temps,$IE14,EY$25)</f>
        <v>513.43534950615151</v>
      </c>
      <c r="FB14" s="73" cm="1">
        <f t="array" ref="FB14">INDEX(Flt_Vap,$IF14,EY$25)</f>
        <v>6.891237422021784</v>
      </c>
      <c r="FC14" s="73" cm="1">
        <f t="array" ref="FC14">INDEX(Flt_Vap,$IG14,EY$25)</f>
        <v>0.30615798616863682</v>
      </c>
      <c r="FD14" s="73" cm="1">
        <f t="array" ref="FD14">INDEX(Flt_Vap,$IH14,EY$25)</f>
        <v>61.103726164670178</v>
      </c>
      <c r="FE14" s="73" cm="1">
        <f t="array" ref="FE14">IF(INDEX(FLT_Prod_Info,$HV14,EY$25)="Crude Oil",0.4,1)</f>
        <v>0.4</v>
      </c>
      <c r="FF14" s="73" cm="1">
        <f t="array" ref="FF14">INDEX(Month_Ref,EY$25,3)/365*($C14+$D14*EZ14^$E14)*$F14*FC14*FD14*FE14</f>
        <v>54.91055717253014</v>
      </c>
      <c r="FG14" s="73" cm="1">
        <f t="array" ref="FG14">INDEX(Flt_Fitting,$IA14,EY$25*$IC14)</f>
        <v>73.362136986301365</v>
      </c>
      <c r="FH14" s="73">
        <f t="shared" si="27"/>
        <v>548.96575317694533</v>
      </c>
      <c r="FI14" s="73" cm="1">
        <f t="array" ref="FI14">INDEX(Month_Ref,EY$25,3)/365*$G14*$H14*($F14^2)*FC14*FD14*FE14</f>
        <v>0</v>
      </c>
      <c r="FJ14" s="73" cm="1">
        <f t="array" ref="FJ14">INDEX(FLT_Prod_Info,$HW14,EY$25)</f>
        <v>130521</v>
      </c>
      <c r="FK14" s="73" cm="1">
        <f t="array" ref="FK14">INDEX(Tbl_71_10,IF(INDEX(FLT_Prod_Info,$HV14,EY$25)&lt;&gt;"Crude Oil",1,2),(MATCH(INDEX(FLT_Cons,$HH14,$HR14),Tbl_71_10_Col,0)))</f>
        <v>6.0000000000000001E-3</v>
      </c>
      <c r="FL14" s="73" cm="1">
        <f t="array" ref="FL14">INDEX(Flt_Multi,$II14,EY$25)</f>
        <v>6.7389700000000001</v>
      </c>
      <c r="FM14" s="73">
        <f t="shared" si="28"/>
        <v>36.93605381503194</v>
      </c>
      <c r="FN14" s="74">
        <f t="shared" si="29"/>
        <v>640.81236416450747</v>
      </c>
      <c r="FO14" s="79" t="str" cm="1">
        <f t="array" ref="FO14">IF(ISBLANK(INDEX(FLT_Prod_Info,$HU14,FO$25)),INDEX(FLT_Prod_Info,$HT14,FO$25),INDEX(FLT_Prod_Info,$HT14,FO$25)&amp;" &amp; "&amp;INDEX(FLT_Prod_Info,$HU14,FO$25))</f>
        <v xml:space="preserve">Bakken Crude &amp; </v>
      </c>
      <c r="FP14" s="73" cm="1">
        <f t="array" ref="FP14">IF(INDEX(FLT_Cons,$HH14,$HO14)&lt;&gt;"External Floating Roof",0,INDEX(Flt_Fitting,$HX14,FO$25*$HY14+$HZ14))</f>
        <v>0</v>
      </c>
      <c r="FQ14" s="73" cm="1">
        <f t="array" ref="FQ14">INDEX(Flt_Temps,$IE14,FO$25)</f>
        <v>507.33663689135341</v>
      </c>
      <c r="FR14" s="73" cm="1">
        <f t="array" ref="FR14">INDEX(Flt_Vap,$IF14,FO$25)</f>
        <v>6.2111475349287595</v>
      </c>
      <c r="FS14" s="73" cm="1">
        <f t="array" ref="FS14">INDEX(Flt_Vap,$IG14,FO$25)</f>
        <v>0.26785057795699241</v>
      </c>
      <c r="FT14" s="73" cm="1">
        <f t="array" ref="FT14">INDEX(Flt_Vap,$IH14,FO$25)</f>
        <v>61.103726164670178</v>
      </c>
      <c r="FU14" s="73" cm="1">
        <f t="array" ref="FU14">IF(INDEX(FLT_Prod_Info,$HV14,FO$25)="Crude Oil",0.4,1)</f>
        <v>0.4</v>
      </c>
      <c r="FV14" s="73" cm="1">
        <f t="array" ref="FV14">INDEX(Month_Ref,FO$25,3)/365*($C14+$D14*FP14^$E14)*$F14*FS14*FT14*FU14</f>
        <v>46.490306204095099</v>
      </c>
      <c r="FW14" s="73" cm="1">
        <f t="array" ref="FW14">INDEX(Flt_Fitting,$IA14,FO$25*$IC14)</f>
        <v>70.995616438356166</v>
      </c>
      <c r="FX14" s="73">
        <f t="shared" si="30"/>
        <v>464.78468394644983</v>
      </c>
      <c r="FY14" s="73" cm="1">
        <f t="array" ref="FY14">INDEX(Month_Ref,FO$25,3)/365*$G14*$H14*($F14^2)*FS14*FT14*FU14</f>
        <v>0</v>
      </c>
      <c r="FZ14" s="73" cm="1">
        <f t="array" ref="FZ14">INDEX(FLT_Prod_Info,$HW14,FO$25)</f>
        <v>130521</v>
      </c>
      <c r="GA14" s="73" cm="1">
        <f t="array" ref="GA14">INDEX(Tbl_71_10,IF(INDEX(FLT_Prod_Info,$HV14,FO$25)&lt;&gt;"Crude Oil",1,2),(MATCH(INDEX(FLT_Cons,$HH14,$HR14),Tbl_71_10_Col,0)))</f>
        <v>6.0000000000000001E-3</v>
      </c>
      <c r="GB14" s="73" cm="1">
        <f t="array" ref="GB14">INDEX(Flt_Multi,$II14,FO$25)</f>
        <v>6.7389700000000001</v>
      </c>
      <c r="GC14" s="73">
        <f t="shared" si="31"/>
        <v>36.93605381503194</v>
      </c>
      <c r="GD14" s="74">
        <f t="shared" si="32"/>
        <v>548.21104396557689</v>
      </c>
      <c r="GE14" s="79" t="str" cm="1">
        <f t="array" ref="GE14">IF(ISBLANK(INDEX(FLT_Prod_Info,$HU14,GE$25)),INDEX(FLT_Prod_Info,$HT14,GE$25),INDEX(FLT_Prod_Info,$HT14,GE$25)&amp;" &amp; "&amp;INDEX(FLT_Prod_Info,$HU14,GE$25))</f>
        <v xml:space="preserve">Bakken Crude &amp; </v>
      </c>
      <c r="GF14" s="73" cm="1">
        <f t="array" ref="GF14">IF(INDEX(FLT_Cons,$HH14,$HO14)&lt;&gt;"External Floating Roof",0,INDEX(Flt_Fitting,$HX14,GE$25*$HY14+$HZ14))</f>
        <v>0</v>
      </c>
      <c r="GG14" s="73" cm="1">
        <f t="array" ref="GG14">INDEX(Flt_Temps,$IE14,GE$25)</f>
        <v>503.69172465777177</v>
      </c>
      <c r="GH14" s="73" cm="1">
        <f t="array" ref="GH14">INDEX(Flt_Vap,$IF14,GE$25)</f>
        <v>5.8301649306133871</v>
      </c>
      <c r="GI14" s="73" cm="1">
        <f t="array" ref="GI14">INDEX(Flt_Vap,$IG14,GE$25)</f>
        <v>0.24735705249740267</v>
      </c>
      <c r="GJ14" s="73" cm="1">
        <f t="array" ref="GJ14">INDEX(Flt_Vap,$IH14,GE$25)</f>
        <v>61.103726164670178</v>
      </c>
      <c r="GK14" s="73" cm="1">
        <f t="array" ref="GK14">IF(INDEX(FLT_Prod_Info,$HV14,GE$25)="Crude Oil",0.4,1)</f>
        <v>0.4</v>
      </c>
      <c r="GL14" s="73" cm="1">
        <f t="array" ref="GL14">INDEX(Month_Ref,GE$25,3)/365*($C14+$D14*GF14^$E14)*$F14*GI14*GJ14*GK14</f>
        <v>44.364394158595282</v>
      </c>
      <c r="GM14" s="73" cm="1">
        <f t="array" ref="GM14">INDEX(Flt_Fitting,$IA14,GE$25*$IC14)</f>
        <v>73.362136986301365</v>
      </c>
      <c r="GN14" s="73">
        <f t="shared" si="33"/>
        <v>443.53097669341935</v>
      </c>
      <c r="GO14" s="73" cm="1">
        <f t="array" ref="GO14">INDEX(Month_Ref,GE$25,3)/365*$G14*$H14*($F14^2)*GI14*GJ14*GK14</f>
        <v>0</v>
      </c>
      <c r="GP14" s="73" cm="1">
        <f t="array" ref="GP14">INDEX(FLT_Prod_Info,$HW14,GE$25)</f>
        <v>130521</v>
      </c>
      <c r="GQ14" s="73" cm="1">
        <f t="array" ref="GQ14">INDEX(Tbl_71_10,IF(INDEX(FLT_Prod_Info,$HV14,GE$25)&lt;&gt;"Crude Oil",1,2),(MATCH(INDEX(FLT_Cons,$HH14,$HR14),Tbl_71_10_Col,0)))</f>
        <v>6.0000000000000001E-3</v>
      </c>
      <c r="GR14" s="73" cm="1">
        <f t="array" ref="GR14">INDEX(Flt_Multi,$II14,GE$25)</f>
        <v>6.7389700000000001</v>
      </c>
      <c r="GS14" s="73">
        <f t="shared" si="34"/>
        <v>36.93605381503194</v>
      </c>
      <c r="GT14" s="74">
        <f t="shared" si="35"/>
        <v>524.83142466704658</v>
      </c>
      <c r="GU14" s="79">
        <f t="shared" si="36"/>
        <v>643.8498398368904</v>
      </c>
      <c r="GV14" s="73">
        <f t="shared" si="37"/>
        <v>0.32192491991844518</v>
      </c>
      <c r="GW14" s="79">
        <f t="shared" si="38"/>
        <v>6436.8589659063564</v>
      </c>
      <c r="GX14" s="73">
        <f t="shared" si="39"/>
        <v>3.2184294829531783</v>
      </c>
      <c r="GY14" s="79">
        <f t="shared" si="40"/>
        <v>0</v>
      </c>
      <c r="GZ14" s="73">
        <f t="shared" si="41"/>
        <v>0</v>
      </c>
      <c r="HA14" s="73">
        <f t="shared" si="42"/>
        <v>7080.7088057432466</v>
      </c>
      <c r="HB14" s="73">
        <f t="shared" si="43"/>
        <v>3.5403544028716234</v>
      </c>
      <c r="HC14" s="79">
        <f t="shared" si="44"/>
        <v>443.23264578038317</v>
      </c>
      <c r="HD14" s="73">
        <f t="shared" si="45"/>
        <v>0.22161632289019159</v>
      </c>
      <c r="HE14" s="73">
        <f t="shared" si="46"/>
        <v>7523.9414515236294</v>
      </c>
      <c r="HF14" s="74">
        <f t="shared" si="47"/>
        <v>3.7619707257618149</v>
      </c>
      <c r="HH14" s="43">
        <f t="shared" si="48"/>
        <v>4</v>
      </c>
      <c r="HI14" s="43">
        <v>1</v>
      </c>
      <c r="HJ14" s="43">
        <v>2</v>
      </c>
      <c r="HK14" s="43">
        <v>4</v>
      </c>
      <c r="HL14" s="43">
        <v>17</v>
      </c>
      <c r="HM14" s="43">
        <v>18</v>
      </c>
      <c r="HN14" s="43">
        <v>5</v>
      </c>
      <c r="HO14" s="43">
        <v>13</v>
      </c>
      <c r="HP14" s="43">
        <v>14</v>
      </c>
      <c r="HQ14" s="43">
        <v>15</v>
      </c>
      <c r="HR14" s="43">
        <v>12</v>
      </c>
      <c r="HS14" s="43">
        <v>20</v>
      </c>
      <c r="HT14" s="43">
        <f t="shared" si="49"/>
        <v>37</v>
      </c>
      <c r="HU14" s="43">
        <f t="shared" ref="HU14:HU19" si="64">HU13+12</f>
        <v>42</v>
      </c>
      <c r="HV14" s="43">
        <f t="shared" ref="HV14:HV19" si="65">HV13+12</f>
        <v>38</v>
      </c>
      <c r="HW14" s="43">
        <f t="shared" ref="HW14:HW19" si="66">HW13+12</f>
        <v>47</v>
      </c>
      <c r="HX14" s="43">
        <f t="shared" si="51"/>
        <v>46</v>
      </c>
      <c r="HY14" s="43">
        <v>3</v>
      </c>
      <c r="HZ14" s="43">
        <v>-2</v>
      </c>
      <c r="IA14" s="43">
        <f t="shared" si="52"/>
        <v>60</v>
      </c>
      <c r="IB14" s="43">
        <f t="shared" si="53"/>
        <v>75</v>
      </c>
      <c r="IC14" s="43">
        <v>3</v>
      </c>
      <c r="ID14" s="43">
        <v>0</v>
      </c>
      <c r="IE14" s="43">
        <f t="shared" si="54"/>
        <v>42</v>
      </c>
      <c r="IF14" s="43">
        <f t="shared" si="55"/>
        <v>86</v>
      </c>
      <c r="IG14" s="43">
        <f t="shared" ref="IG14:IG19" si="67">IG13+23</f>
        <v>87</v>
      </c>
      <c r="IH14" s="43">
        <f t="shared" ref="IH14:IH19" si="68">IH13+23</f>
        <v>92</v>
      </c>
      <c r="II14" s="43">
        <f t="shared" si="57"/>
        <v>56</v>
      </c>
      <c r="IJ14" s="43">
        <f t="shared" si="58"/>
        <v>47</v>
      </c>
    </row>
    <row r="15" spans="1:244" x14ac:dyDescent="0.4">
      <c r="A15" s="43" t="str" cm="1">
        <f t="array" ref="A15">INDEX(FLT_Cons,$HH15,HI$11)</f>
        <v>FLT - 5</v>
      </c>
      <c r="B15" s="96" t="str" cm="1">
        <f t="array" ref="B15">INDEX(FLT_Cons,$HH15,HJ$11)</f>
        <v>INTANK 68</v>
      </c>
      <c r="C15" s="79" cm="1">
        <f t="array" ref="C15">IF(INDEX(FLT_Cons,$HH15,$HK15)="Welded",IF(INDEX(FLT_Cons,$HH15,$HM15)="Average",INDEX(Tbl_71_8_Weld,MATCH(INDEX(FLT_Cons,$HH15,$HL15),Tbl_71_8W_Name,0),2),INDEX(Tbl_71_8_Weld,MATCH(INDEX(FLT_Cons,$HH15,$HL15),Tbl_71_8W_Name,0),3)),INDEX(Tbl_71_8_Riv,MATCH(INDEX(FLT_Cons,$HH15,$HL15),Tbl_71_8R_Name,0),2))</f>
        <v>0.6</v>
      </c>
      <c r="D15" s="73" cm="1">
        <f t="array" ref="D15">IF(INDEX(FLT_Cons,$HH15,$HK15)="Welded",IF(INDEX(FLT_Cons,$HH15,$HM15)="Average",INDEX(Tbl_71_8_Weld,MATCH(INDEX(FLT_Cons,$HH15,$HL15),Tbl_71_8W_Name,0),4),INDEX(Tbl_71_8_Weld,MATCH(INDEX(FLT_Cons,$HH15,$HL15),Tbl_71_8W_Name,0),5)),INDEX(Tbl_71_8_Riv,MATCH(INDEX(FLT_Cons,$HH15,$HL15),Tbl_71_8R_Name,0),3))</f>
        <v>0.4</v>
      </c>
      <c r="E15" s="73" cm="1">
        <f t="array" ref="E15">IF(INDEX(FLT_Cons,$HH15,$HK15)="Welded",IF(INDEX(FLT_Cons,$HH15,$HM15)="Average",INDEX(Tbl_71_8_Weld,MATCH(INDEX(FLT_Cons,$HH15,$HL15),Tbl_71_8W_Name,0),6),INDEX(Tbl_71_8_Weld,MATCH(INDEX(FLT_Cons,$HH15,$HL15),Tbl_71_8W_Name,0),7)),INDEX(Tbl_71_8_Riv,MATCH(INDEX(FLT_Cons,$HH15,$HL15),Tbl_71_8R_Name,0),4))</f>
        <v>1</v>
      </c>
      <c r="F15" s="73" cm="1">
        <f t="array" ref="F15">INDEX(FLT_Cons,$HH15,$HN15)</f>
        <v>120</v>
      </c>
      <c r="G15" s="73" cm="1">
        <f t="array" ref="G15">IF(INDEX(FLT_Cons,$HH15,$HP15)="Bolted Deck",0.14,0)</f>
        <v>0</v>
      </c>
      <c r="H15" s="73" cm="1">
        <f t="array" ref="H15">INDEX(Tbl_71_16,MATCH(INDEX(FLT_Cons,$HH15,$HQ15),Bolted_Deck_Cons_Name,0),2)</f>
        <v>0</v>
      </c>
      <c r="I15" s="73" cm="1">
        <f t="array" ref="I15">INDEX(Sup_Col,$IJ15,1)</f>
        <v>7</v>
      </c>
      <c r="J15" s="74" cm="1">
        <f t="array" ref="J15">INDEX(FC,MATCH(INDEX(FLT_Cons,$HH15,$HS15),Roof_Column_Cons,0),2)</f>
        <v>1.1000000000000001</v>
      </c>
      <c r="K15" s="79" t="str" cm="1">
        <f t="array" ref="K15">IF(ISBLANK(INDEX(FLT_Prod_Info,$HU15,K$25)),INDEX(FLT_Prod_Info,$HT15,K$25),INDEX(FLT_Prod_Info,$HT15,K$25)&amp;" &amp; "&amp;INDEX(FLT_Prod_Info,$HU15,K$25))</f>
        <v xml:space="preserve">Bakken Crude &amp; </v>
      </c>
      <c r="L15" s="73" cm="1">
        <f t="array" ref="L15">IF(INDEX(FLT_Cons,$HH15,$HO15)&lt;&gt;"External Floating Roof",0,INDEX(Flt_Fitting,$HX15,K$25*$HY15+$HZ15))</f>
        <v>0</v>
      </c>
      <c r="M15" s="73" cm="1">
        <f t="array" ref="M15">INDEX(Flt_Temps,$IE15,K$25)</f>
        <v>504.05642561870161</v>
      </c>
      <c r="N15" s="73" cm="1">
        <f t="array" ref="N15">INDEX(Flt_Vap,$IF15,K$25)</f>
        <v>5.8674503530332869</v>
      </c>
      <c r="O15" s="73" cm="1">
        <f t="array" ref="O15">INDEX(Flt_Vap,$IG15,K$25)</f>
        <v>0.24933338890414655</v>
      </c>
      <c r="P15" s="73" cm="1">
        <f t="array" ref="P15">INDEX(Flt_Vap,$IH15,K$25)</f>
        <v>61.103726164670178</v>
      </c>
      <c r="Q15" s="73" cm="1">
        <f t="array" ref="Q15">IF(INDEX(FLT_Prod_Info,$HV15,K$25)="Crude Oil",0.4,1)</f>
        <v>0.4</v>
      </c>
      <c r="R15" s="73" cm="1">
        <f t="array" ref="R15">INDEX(Month_Ref,K$25,3)/365*($C15+$D15*L15^$E15)*$F15*O15*P15*Q15</f>
        <v>37.265714448543413</v>
      </c>
      <c r="S15" s="73" cm="1">
        <f t="array" ref="S15">INDEX(Flt_Fitting,$IA15,K$25*$IC15)</f>
        <v>56.537205479452062</v>
      </c>
      <c r="T15" s="73">
        <f t="shared" si="0"/>
        <v>344.54223325147763</v>
      </c>
      <c r="U15" s="73" cm="1">
        <f t="array" ref="U15">INDEX(Month_Ref,K$25,3)/365*$G15*$H15*($F15^2)*O15*P15*Q15</f>
        <v>0</v>
      </c>
      <c r="V15" s="73" cm="1">
        <f t="array" ref="V15">INDEX(FLT_Prod_Info,$HW15,K$25)</f>
        <v>81087</v>
      </c>
      <c r="W15" s="73" cm="1">
        <f t="array" ref="W15">INDEX(Tbl_71_10,IF(INDEX(FLT_Prod_Info,$HV15,K$25)&lt;&gt;"Crude Oil",1,2),(MATCH(INDEX(FLT_Cons,$HH15,$HR15),Tbl_71_10_Col,0)))</f>
        <v>6.0000000000000001E-3</v>
      </c>
      <c r="X15" s="73" cm="1">
        <f t="array" ref="X15">INDEX(Flt_Multi,$II15,K$25)</f>
        <v>6.7389700000000001</v>
      </c>
      <c r="Y15" s="73">
        <f t="shared" si="1"/>
        <v>27.418020973045927</v>
      </c>
      <c r="Z15" s="74">
        <f t="shared" si="2"/>
        <v>409.22596867306697</v>
      </c>
      <c r="AA15" s="79" t="str" cm="1">
        <f t="array" ref="AA15">IF(ISBLANK(INDEX(FLT_Prod_Info,$HU15,AA$25)),INDEX(FLT_Prod_Info,$HT15,AA$25),INDEX(FLT_Prod_Info,$HT15,AA$25)&amp;" &amp; "&amp;INDEX(FLT_Prod_Info,$HU15,AA$25))</f>
        <v xml:space="preserve">Bakken Crude &amp; </v>
      </c>
      <c r="AB15" s="73" cm="1">
        <f t="array" ref="AB15">IF(INDEX(FLT_Cons,$HH15,$HO15)&lt;&gt;"External Floating Roof",0,INDEX(Flt_Fitting,$HX15,AA$25*$HY15+$HZ15))</f>
        <v>0</v>
      </c>
      <c r="AC15" s="73" cm="1">
        <f t="array" ref="AC15">INDEX(Flt_Temps,$IE15,AA$25)</f>
        <v>505.27333927469675</v>
      </c>
      <c r="AD15" s="73" cm="1">
        <f t="array" ref="AD15">INDEX(Flt_Vap,$IF15,AA$25)</f>
        <v>5.9931970589085486</v>
      </c>
      <c r="AE15" s="73" cm="1">
        <f t="array" ref="AE15">INDEX(Flt_Vap,$IG15,AA$25)</f>
        <v>0.25604509398365055</v>
      </c>
      <c r="AF15" s="73" cm="1">
        <f t="array" ref="AF15">INDEX(Flt_Vap,$IH15,AA$25)</f>
        <v>61.103726164670178</v>
      </c>
      <c r="AG15" s="73" cm="1">
        <f t="array" ref="AG15">IF(INDEX(FLT_Prod_Info,$HV15,AA$25)="Crude Oil",0.4,1)</f>
        <v>0.4</v>
      </c>
      <c r="AH15" s="73" cm="1">
        <f t="array" ref="AH15">INDEX(Month_Ref,AA$25,3)/365*($C15+$D15*AB15^$E15)*$F15*AE15*AF15*AG15</f>
        <v>34.565417606691284</v>
      </c>
      <c r="AI15" s="73" cm="1">
        <f t="array" ref="AI15">INDEX(Flt_Fitting,$IA15,AA$25*$IC15)</f>
        <v>51.065863013698632</v>
      </c>
      <c r="AJ15" s="73">
        <f t="shared" si="3"/>
        <v>319.57648878364239</v>
      </c>
      <c r="AK15" s="73" cm="1">
        <f t="array" ref="AK15">INDEX(Month_Ref,AA$25,3)/365*$G15*$H15*($F15^2)*AE15*AF15*AG15</f>
        <v>0</v>
      </c>
      <c r="AL15" s="73" cm="1">
        <f t="array" ref="AL15">INDEX(FLT_Prod_Info,$HW15,AA$25)</f>
        <v>81087</v>
      </c>
      <c r="AM15" s="73" cm="1">
        <f t="array" ref="AM15">INDEX(Tbl_71_10,IF(INDEX(FLT_Prod_Info,$HV15,AA$25)&lt;&gt;"Crude Oil",1,2),(MATCH(INDEX(FLT_Cons,$HH15,$HR15),Tbl_71_10_Col,0)))</f>
        <v>6.0000000000000001E-3</v>
      </c>
      <c r="AN15" s="73" cm="1">
        <f t="array" ref="AN15">INDEX(Flt_Multi,$II15,AA$25)</f>
        <v>6.7389700000000001</v>
      </c>
      <c r="AO15" s="73">
        <f t="shared" si="4"/>
        <v>27.418020973045927</v>
      </c>
      <c r="AP15" s="74">
        <f t="shared" si="5"/>
        <v>381.55992736337964</v>
      </c>
      <c r="AQ15" s="79" t="str" cm="1">
        <f t="array" ref="AQ15">IF(ISBLANK(INDEX(FLT_Prod_Info,$HU15,AQ$25)),INDEX(FLT_Prod_Info,$HT15,AQ$25),INDEX(FLT_Prod_Info,$HT15,AQ$25)&amp;" &amp; "&amp;INDEX(FLT_Prod_Info,$HU15,AQ$25))</f>
        <v xml:space="preserve">Bakken Crude &amp; </v>
      </c>
      <c r="AR15" s="73" cm="1">
        <f t="array" ref="AR15">IF(INDEX(FLT_Cons,$HH15,$HO15)&lt;&gt;"External Floating Roof",0,INDEX(Flt_Fitting,$HX15,AQ$25*$HY15+$HZ15))</f>
        <v>0</v>
      </c>
      <c r="AS15" s="73" cm="1">
        <f t="array" ref="AS15">INDEX(Flt_Temps,$IE15,AQ$25)</f>
        <v>507.1226975731816</v>
      </c>
      <c r="AT15" s="73" cm="1">
        <f t="array" ref="AT15">INDEX(Flt_Vap,$IF15,AQ$25)</f>
        <v>6.1882687819184277</v>
      </c>
      <c r="AU15" s="73" cm="1">
        <f t="array" ref="AU15">INDEX(Flt_Vap,$IG15,AQ$25)</f>
        <v>0.26660091501912037</v>
      </c>
      <c r="AV15" s="73" cm="1">
        <f t="array" ref="AV15">INDEX(Flt_Vap,$IH15,AQ$25)</f>
        <v>61.103726164670178</v>
      </c>
      <c r="AW15" s="73" cm="1">
        <f t="array" ref="AW15">IF(INDEX(FLT_Prod_Info,$HV15,AQ$25)="Crude Oil",0.4,1)</f>
        <v>0.4</v>
      </c>
      <c r="AX15" s="73" cm="1">
        <f t="array" ref="AX15">INDEX(Month_Ref,AQ$25,3)/365*($C15+$D15*AR15^$E15)*$F15*AU15*AV15*AW15</f>
        <v>39.846542873735842</v>
      </c>
      <c r="AY15" s="73" cm="1">
        <f t="array" ref="AY15">INDEX(Flt_Fitting,$IA15,AQ$25*$IC15)</f>
        <v>56.537205479452062</v>
      </c>
      <c r="AZ15" s="73">
        <f t="shared" si="6"/>
        <v>368.40342583595117</v>
      </c>
      <c r="BA15" s="73" cm="1">
        <f t="array" ref="BA15">INDEX(Month_Ref,AQ$25,3)/365*$G15*$H15*($F15^2)*AU15*AV15*AW15</f>
        <v>0</v>
      </c>
      <c r="BB15" s="73" cm="1">
        <f t="array" ref="BB15">INDEX(FLT_Prod_Info,$HW15,AQ$25)</f>
        <v>81087</v>
      </c>
      <c r="BC15" s="73" cm="1">
        <f t="array" ref="BC15">INDEX(Tbl_71_10,IF(INDEX(FLT_Prod_Info,$HV15,AQ$25)&lt;&gt;"Crude Oil",1,2),(MATCH(INDEX(FLT_Cons,$HH15,$HR15),Tbl_71_10_Col,0)))</f>
        <v>6.0000000000000001E-3</v>
      </c>
      <c r="BD15" s="73" cm="1">
        <f t="array" ref="BD15">INDEX(Flt_Multi,$II15,AQ$25)</f>
        <v>6.7389700000000001</v>
      </c>
      <c r="BE15" s="73">
        <f t="shared" si="7"/>
        <v>27.418020973045927</v>
      </c>
      <c r="BF15" s="74">
        <f t="shared" si="8"/>
        <v>435.66798968273292</v>
      </c>
      <c r="BG15" s="79" t="str" cm="1">
        <f t="array" ref="BG15">IF(ISBLANK(INDEX(FLT_Prod_Info,$HU15,BG$25)),INDEX(FLT_Prod_Info,$HT15,BG$25),INDEX(FLT_Prod_Info,$HT15,BG$25)&amp;" &amp; "&amp;INDEX(FLT_Prod_Info,$HU15,BG$25))</f>
        <v xml:space="preserve">Bakken Crude &amp; </v>
      </c>
      <c r="BH15" s="73" cm="1">
        <f t="array" ref="BH15">IF(INDEX(FLT_Cons,$HH15,$HO15)&lt;&gt;"External Floating Roof",0,INDEX(Flt_Fitting,$HX15,BG$25*$HY15+$HZ15))</f>
        <v>0</v>
      </c>
      <c r="BI15" s="73" cm="1">
        <f t="array" ref="BI15">INDEX(Flt_Temps,$IE15,BG$25)</f>
        <v>510.23103461986699</v>
      </c>
      <c r="BJ15" s="73" cm="1">
        <f t="array" ref="BJ15">INDEX(Flt_Vap,$IF15,BG$25)</f>
        <v>6.527132985382738</v>
      </c>
      <c r="BK15" s="73" cm="1">
        <f t="array" ref="BK15">INDEX(Flt_Vap,$IG15,BG$25)</f>
        <v>0.28536575590683372</v>
      </c>
      <c r="BL15" s="73" cm="1">
        <f t="array" ref="BL15">INDEX(Flt_Vap,$IH15,BG$25)</f>
        <v>61.103726164670178</v>
      </c>
      <c r="BM15" s="73" cm="1">
        <f t="array" ref="BM15">IF(INDEX(FLT_Prod_Info,$HV15,BG$25)="Crude Oil",0.4,1)</f>
        <v>0.4</v>
      </c>
      <c r="BN15" s="73" cm="1">
        <f t="array" ref="BN15">INDEX(Month_Ref,BG$25,3)/365*($C15+$D15*BH15^$E15)*$F15*BK15*BL15*BM15</f>
        <v>41.275318106655789</v>
      </c>
      <c r="BO15" s="73" cm="1">
        <f t="array" ref="BO15">INDEX(Flt_Fitting,$IA15,BG$25*$IC15)</f>
        <v>54.713424657534254</v>
      </c>
      <c r="BP15" s="73">
        <f t="shared" si="9"/>
        <v>381.6132466283143</v>
      </c>
      <c r="BQ15" s="73" cm="1">
        <f t="array" ref="BQ15">INDEX(Month_Ref,BG$25,3)/365*$G15*$H15*($F15^2)*BK15*BL15*BM15</f>
        <v>0</v>
      </c>
      <c r="BR15" s="73" cm="1">
        <f t="array" ref="BR15">INDEX(FLT_Prod_Info,$HW15,BG$25)</f>
        <v>81087</v>
      </c>
      <c r="BS15" s="73" cm="1">
        <f t="array" ref="BS15">INDEX(Tbl_71_10,IF(INDEX(FLT_Prod_Info,$HV15,BG$25)&lt;&gt;"Crude Oil",1,2),(MATCH(INDEX(FLT_Cons,$HH15,$HR15),Tbl_71_10_Col,0)))</f>
        <v>6.0000000000000001E-3</v>
      </c>
      <c r="BT15" s="73" cm="1">
        <f t="array" ref="BT15">INDEX(Flt_Multi,$II15,BG$25)</f>
        <v>6.7389700000000001</v>
      </c>
      <c r="BU15" s="73">
        <f t="shared" si="10"/>
        <v>27.418020973045927</v>
      </c>
      <c r="BV15" s="74">
        <f t="shared" si="11"/>
        <v>450.30658570801603</v>
      </c>
      <c r="BW15" s="79" t="str" cm="1">
        <f t="array" ref="BW15">IF(ISBLANK(INDEX(FLT_Prod_Info,$HU15,BW$25)),INDEX(FLT_Prod_Info,$HT15,BW$25),INDEX(FLT_Prod_Info,$HT15,BW$25)&amp;" &amp; "&amp;INDEX(FLT_Prod_Info,$HU15,BW$25))</f>
        <v xml:space="preserve">Bakken Crude &amp; </v>
      </c>
      <c r="BX15" s="73" cm="1">
        <f t="array" ref="BX15">IF(INDEX(FLT_Cons,$HH15,$HO15)&lt;&gt;"External Floating Roof",0,INDEX(Flt_Fitting,$HX15,BW$25*$HY15+$HZ15))</f>
        <v>0</v>
      </c>
      <c r="BY15" s="73" cm="1">
        <f t="array" ref="BY15">INDEX(Flt_Temps,$IE15,BW$25)</f>
        <v>515.2433707753479</v>
      </c>
      <c r="BZ15" s="73" cm="1">
        <f t="array" ref="BZ15">INDEX(Flt_Vap,$IF15,BW$25)</f>
        <v>7.1034571512682039</v>
      </c>
      <c r="CA15" s="73" cm="1">
        <f t="array" ref="CA15">INDEX(Flt_Vap,$IG15,BW$25)</f>
        <v>0.3185900701943235</v>
      </c>
      <c r="CB15" s="73" cm="1">
        <f t="array" ref="CB15">INDEX(Flt_Vap,$IH15,BW$25)</f>
        <v>61.103726164670178</v>
      </c>
      <c r="CC15" s="73" cm="1">
        <f t="array" ref="CC15">IF(INDEX(FLT_Prod_Info,$HV15,BW$25)="Crude Oil",0.4,1)</f>
        <v>0.4</v>
      </c>
      <c r="CD15" s="73" cm="1">
        <f t="array" ref="CD15">INDEX(Month_Ref,BW$25,3)/365*($C15+$D15*BX15^$E15)*$F15*CA15*CB15*CC15</f>
        <v>47.616914181386704</v>
      </c>
      <c r="CE15" s="73" cm="1">
        <f t="array" ref="CE15">INDEX(Flt_Fitting,$IA15,BW$25*$IC15)</f>
        <v>56.537205479452062</v>
      </c>
      <c r="CF15" s="73">
        <f t="shared" si="12"/>
        <v>440.24482544813213</v>
      </c>
      <c r="CG15" s="73" cm="1">
        <f t="array" ref="CG15">INDEX(Month_Ref,BW$25,3)/365*$G15*$H15*($F15^2)*CA15*CB15*CC15</f>
        <v>0</v>
      </c>
      <c r="CH15" s="73" cm="1">
        <f t="array" ref="CH15">INDEX(FLT_Prod_Info,$HW15,BW$25)</f>
        <v>81087</v>
      </c>
      <c r="CI15" s="73" cm="1">
        <f t="array" ref="CI15">INDEX(Tbl_71_10,IF(INDEX(FLT_Prod_Info,$HV15,BW$25)&lt;&gt;"Crude Oil",1,2),(MATCH(INDEX(FLT_Cons,$HH15,$HR15),Tbl_71_10_Col,0)))</f>
        <v>6.0000000000000001E-3</v>
      </c>
      <c r="CJ15" s="73" cm="1">
        <f t="array" ref="CJ15">INDEX(Flt_Multi,$II15,BW$25)</f>
        <v>6.7389700000000001</v>
      </c>
      <c r="CK15" s="73">
        <f t="shared" si="13"/>
        <v>27.418020973045927</v>
      </c>
      <c r="CL15" s="74">
        <f t="shared" si="14"/>
        <v>515.27976060256481</v>
      </c>
      <c r="CM15" s="79" t="str" cm="1">
        <f t="array" ref="CM15">IF(ISBLANK(INDEX(FLT_Prod_Info,$HU15,CM$25)),INDEX(FLT_Prod_Info,$HT15,CM$25),INDEX(FLT_Prod_Info,$HT15,CM$25)&amp;" &amp; "&amp;INDEX(FLT_Prod_Info,$HU15,CM$25))</f>
        <v xml:space="preserve">Bakken Crude &amp; </v>
      </c>
      <c r="CN15" s="73" cm="1">
        <f t="array" ref="CN15">IF(INDEX(FLT_Cons,$HH15,$HO15)&lt;&gt;"External Floating Roof",0,INDEX(Flt_Fitting,$HX15,CM$25*$HY15+$HZ15))</f>
        <v>0</v>
      </c>
      <c r="CO15" s="73" cm="1">
        <f t="array" ref="CO15">INDEX(Flt_Temps,$IE15,CM$25)</f>
        <v>519.18937166655257</v>
      </c>
      <c r="CP15" s="73" cm="1">
        <f t="array" ref="CP15">INDEX(Flt_Vap,$IF15,CM$25)</f>
        <v>7.584032805598131</v>
      </c>
      <c r="CQ15" s="73" cm="1">
        <f t="array" ref="CQ15">INDEX(Flt_Vap,$IG15,CM$25)</f>
        <v>0.34763678997208286</v>
      </c>
      <c r="CR15" s="73" cm="1">
        <f t="array" ref="CR15">INDEX(Flt_Vap,$IH15,CM$25)</f>
        <v>61.103726164670178</v>
      </c>
      <c r="CS15" s="73" cm="1">
        <f t="array" ref="CS15">IF(INDEX(FLT_Prod_Info,$HV15,CM$25)="Crude Oil",0.4,1)</f>
        <v>0.4</v>
      </c>
      <c r="CT15" s="73" cm="1">
        <f t="array" ref="CT15">INDEX(Month_Ref,CM$25,3)/365*($C15+$D15*CN15^$E15)*$F15*CQ15*CR15*CS15</f>
        <v>50.282203784672092</v>
      </c>
      <c r="CU15" s="73" cm="1">
        <f t="array" ref="CU15">INDEX(Flt_Fitting,$IA15,CM$25*$IC15)</f>
        <v>54.713424657534254</v>
      </c>
      <c r="CV15" s="73">
        <f t="shared" si="15"/>
        <v>464.88690854695164</v>
      </c>
      <c r="CW15" s="73" cm="1">
        <f t="array" ref="CW15">INDEX(Month_Ref,CM$25,3)/365*$G15*$H15*($F15^2)*CQ15*CR15*CS15</f>
        <v>0</v>
      </c>
      <c r="CX15" s="73" cm="1">
        <f t="array" ref="CX15">INDEX(FLT_Prod_Info,$HW15,CM$25)</f>
        <v>81087</v>
      </c>
      <c r="CY15" s="73" cm="1">
        <f t="array" ref="CY15">INDEX(Tbl_71_10,IF(INDEX(FLT_Prod_Info,$HV15,CM$25)&lt;&gt;"Crude Oil",1,2),(MATCH(INDEX(FLT_Cons,$HH15,$HR15),Tbl_71_10_Col,0)))</f>
        <v>6.0000000000000001E-3</v>
      </c>
      <c r="CZ15" s="73" cm="1">
        <f t="array" ref="CZ15">INDEX(Flt_Multi,$II15,CM$25)</f>
        <v>6.7389700000000001</v>
      </c>
      <c r="DA15" s="73">
        <f t="shared" si="16"/>
        <v>27.418020973045927</v>
      </c>
      <c r="DB15" s="74">
        <f t="shared" si="17"/>
        <v>542.58713330466969</v>
      </c>
      <c r="DC15" s="79" t="str" cm="1">
        <f t="array" ref="DC15">IF(ISBLANK(INDEX(FLT_Prod_Info,$HU15,DC$25)),INDEX(FLT_Prod_Info,$HT15,DC$25),INDEX(FLT_Prod_Info,$HT15,DC$25)&amp;" &amp; "&amp;INDEX(FLT_Prod_Info,$HU15,DC$25))</f>
        <v xml:space="preserve">Bakken Crude &amp; </v>
      </c>
      <c r="DD15" s="73" cm="1">
        <f t="array" ref="DD15">IF(INDEX(FLT_Cons,$HH15,$HO15)&lt;&gt;"External Floating Roof",0,INDEX(Flt_Fitting,$HX15,DC$25*$HY15+$HZ15))</f>
        <v>0</v>
      </c>
      <c r="DE15" s="73" cm="1">
        <f t="array" ref="DE15">INDEX(Flt_Temps,$IE15,DC$25)</f>
        <v>522.82077246863639</v>
      </c>
      <c r="DF15" s="73" cm="1">
        <f t="array" ref="DF15">INDEX(Flt_Vap,$IF15,DC$25)</f>
        <v>8.0479410600001788</v>
      </c>
      <c r="DG15" s="73" cm="1">
        <f t="array" ref="DG15">INDEX(Flt_Vap,$IG15,DC$25)</f>
        <v>0.37691639399344251</v>
      </c>
      <c r="DH15" s="73" cm="1">
        <f t="array" ref="DH15">INDEX(Flt_Vap,$IH15,DC$25)</f>
        <v>61.103726164670178</v>
      </c>
      <c r="DI15" s="73" cm="1">
        <f t="array" ref="DI15">IF(INDEX(FLT_Prod_Info,$HV15,DC$25)="Crude Oil",0.4,1)</f>
        <v>0.4</v>
      </c>
      <c r="DJ15" s="73" cm="1">
        <f t="array" ref="DJ15">INDEX(Month_Ref,DC$25,3)/365*($C15+$D15*DD15^$E15)*$F15*DG15*DH15*DI15</f>
        <v>56.334447509291124</v>
      </c>
      <c r="DK15" s="73" cm="1">
        <f t="array" ref="DK15">INDEX(Flt_Fitting,$IA15,DC$25*$IC15)</f>
        <v>56.537205479452062</v>
      </c>
      <c r="DL15" s="73">
        <f t="shared" si="18"/>
        <v>520.84326413867939</v>
      </c>
      <c r="DM15" s="73" cm="1">
        <f t="array" ref="DM15">INDEX(Month_Ref,DC$25,3)/365*$G15*$H15*($F15^2)*DG15*DH15*DI15</f>
        <v>0</v>
      </c>
      <c r="DN15" s="73" cm="1">
        <f t="array" ref="DN15">INDEX(FLT_Prod_Info,$HW15,DC$25)</f>
        <v>81087</v>
      </c>
      <c r="DO15" s="73" cm="1">
        <f t="array" ref="DO15">INDEX(Tbl_71_10,IF(INDEX(FLT_Prod_Info,$HV15,DC$25)&lt;&gt;"Crude Oil",1,2),(MATCH(INDEX(FLT_Cons,$HH15,$HR15),Tbl_71_10_Col,0)))</f>
        <v>6.0000000000000001E-3</v>
      </c>
      <c r="DP15" s="73" cm="1">
        <f t="array" ref="DP15">INDEX(Flt_Multi,$II15,DC$25)</f>
        <v>6.7389700000000001</v>
      </c>
      <c r="DQ15" s="73">
        <f t="shared" si="19"/>
        <v>27.418020973045927</v>
      </c>
      <c r="DR15" s="74">
        <f t="shared" si="20"/>
        <v>604.5957326210164</v>
      </c>
      <c r="DS15" s="79" t="str" cm="1">
        <f t="array" ref="DS15">IF(ISBLANK(INDEX(FLT_Prod_Info,$HU15,DS$25)),INDEX(FLT_Prod_Info,$HT15,DS$25),INDEX(FLT_Prod_Info,$HT15,DS$25)&amp;" &amp; "&amp;INDEX(FLT_Prod_Info,$HU15,DS$25))</f>
        <v xml:space="preserve">Bakken Crude &amp; </v>
      </c>
      <c r="DT15" s="73" cm="1">
        <f t="array" ref="DT15">IF(INDEX(FLT_Cons,$HH15,$HO15)&lt;&gt;"External Floating Roof",0,INDEX(Flt_Fitting,$HX15,DS$25*$HY15+$HZ15))</f>
        <v>0</v>
      </c>
      <c r="DU15" s="73" cm="1">
        <f t="array" ref="DU15">INDEX(Flt_Temps,$IE15,DS$25)</f>
        <v>522.92037032974565</v>
      </c>
      <c r="DV15" s="73" cm="1">
        <f t="array" ref="DV15">INDEX(Flt_Vap,$IF15,DS$25)</f>
        <v>8.0609630628953592</v>
      </c>
      <c r="DW15" s="73" cm="1">
        <f t="array" ref="DW15">INDEX(Flt_Vap,$IG15,DS$25)</f>
        <v>0.37775664790564356</v>
      </c>
      <c r="DX15" s="73" cm="1">
        <f t="array" ref="DX15">INDEX(Flt_Vap,$IH15,DS$25)</f>
        <v>61.103726164670178</v>
      </c>
      <c r="DY15" s="73" cm="1">
        <f t="array" ref="DY15">IF(INDEX(FLT_Prod_Info,$HV15,DS$25)="Crude Oil",0.4,1)</f>
        <v>0.4</v>
      </c>
      <c r="DZ15" s="73" cm="1">
        <f t="array" ref="DZ15">INDEX(Month_Ref,DS$25,3)/365*($C15+$D15*DT15^$E15)*$F15*DW15*DX15*DY15</f>
        <v>56.46003302551091</v>
      </c>
      <c r="EA15" s="73" cm="1">
        <f t="array" ref="EA15">INDEX(Flt_Fitting,$IA15,DS$25*$IC15)</f>
        <v>56.537205479452062</v>
      </c>
      <c r="EB15" s="73">
        <f t="shared" si="21"/>
        <v>522.00437200586259</v>
      </c>
      <c r="EC15" s="73" cm="1">
        <f t="array" ref="EC15">INDEX(Month_Ref,DS$25,3)/365*$G15*$H15*($F15^2)*DW15*DX15*DY15</f>
        <v>0</v>
      </c>
      <c r="ED15" s="73" cm="1">
        <f t="array" ref="ED15">INDEX(FLT_Prod_Info,$HW15,DS$25)</f>
        <v>81087</v>
      </c>
      <c r="EE15" s="73" cm="1">
        <f t="array" ref="EE15">INDEX(Tbl_71_10,IF(INDEX(FLT_Prod_Info,$HV15,DS$25)&lt;&gt;"Crude Oil",1,2),(MATCH(INDEX(FLT_Cons,$HH15,$HR15),Tbl_71_10_Col,0)))</f>
        <v>6.0000000000000001E-3</v>
      </c>
      <c r="EF15" s="73" cm="1">
        <f t="array" ref="EF15">INDEX(Flt_Multi,$II15,DS$25)</f>
        <v>6.7389700000000001</v>
      </c>
      <c r="EG15" s="73">
        <f t="shared" si="22"/>
        <v>27.418020973045927</v>
      </c>
      <c r="EH15" s="74">
        <f t="shared" si="23"/>
        <v>605.88242600441947</v>
      </c>
      <c r="EI15" s="79" t="str" cm="1">
        <f t="array" ref="EI15">IF(ISBLANK(INDEX(FLT_Prod_Info,$HU15,EI$25)),INDEX(FLT_Prod_Info,$HT15,EI$25),INDEX(FLT_Prod_Info,$HT15,EI$25)&amp;" &amp; "&amp;INDEX(FLT_Prod_Info,$HU15,EI$25))</f>
        <v xml:space="preserve">Bakken Crude &amp; </v>
      </c>
      <c r="EJ15" s="73" cm="1">
        <f t="array" ref="EJ15">IF(INDEX(FLT_Cons,$HH15,$HO15)&lt;&gt;"External Floating Roof",0,INDEX(Flt_Fitting,$HX15,EI$25*$HY15+$HZ15))</f>
        <v>0</v>
      </c>
      <c r="EK15" s="73" cm="1">
        <f t="array" ref="EK15">INDEX(Flt_Temps,$IE15,EI$25)</f>
        <v>520.1401896208954</v>
      </c>
      <c r="EL15" s="73" cm="1">
        <f t="array" ref="EL15">INDEX(Flt_Vap,$IF15,EI$25)</f>
        <v>7.7034671055494872</v>
      </c>
      <c r="EM15" s="73" cm="1">
        <f t="array" ref="EM15">INDEX(Flt_Vap,$IG15,EI$25)</f>
        <v>0.35505521287780784</v>
      </c>
      <c r="EN15" s="73" cm="1">
        <f t="array" ref="EN15">INDEX(Flt_Vap,$IH15,EI$25)</f>
        <v>61.103726164670178</v>
      </c>
      <c r="EO15" s="73" cm="1">
        <f t="array" ref="EO15">IF(INDEX(FLT_Prod_Info,$HV15,EI$25)="Crude Oil",0.4,1)</f>
        <v>0.4</v>
      </c>
      <c r="EP15" s="73" cm="1">
        <f t="array" ref="EP15">INDEX(Month_Ref,EI$25,3)/365*($C15+$D15*EJ15^$E15)*$F15*EM15*EN15*EO15</f>
        <v>51.355204868177943</v>
      </c>
      <c r="EQ15" s="73" cm="1">
        <f t="array" ref="EQ15">INDEX(Flt_Fitting,$IA15,EI$25*$IC15)</f>
        <v>54.713424657534254</v>
      </c>
      <c r="ER15" s="73">
        <f t="shared" si="24"/>
        <v>474.80739967567644</v>
      </c>
      <c r="ES15" s="73" cm="1">
        <f t="array" ref="ES15">INDEX(Month_Ref,EI$25,3)/365*$G15*$H15*($F15^2)*EM15*EN15*EO15</f>
        <v>0</v>
      </c>
      <c r="ET15" s="73" cm="1">
        <f t="array" ref="ET15">INDEX(FLT_Prod_Info,$HW15,EI$25)</f>
        <v>81087</v>
      </c>
      <c r="EU15" s="73" cm="1">
        <f t="array" ref="EU15">INDEX(Tbl_71_10,IF(INDEX(FLT_Prod_Info,$HV15,EI$25)&lt;&gt;"Crude Oil",1,2),(MATCH(INDEX(FLT_Cons,$HH15,$HR15),Tbl_71_10_Col,0)))</f>
        <v>6.0000000000000001E-3</v>
      </c>
      <c r="EV15" s="73" cm="1">
        <f t="array" ref="EV15">INDEX(Flt_Multi,$II15,EI$25)</f>
        <v>6.7389700000000001</v>
      </c>
      <c r="EW15" s="73">
        <f t="shared" si="25"/>
        <v>27.418020973045927</v>
      </c>
      <c r="EX15" s="74">
        <f t="shared" si="26"/>
        <v>553.58062551690034</v>
      </c>
      <c r="EY15" s="79" t="str" cm="1">
        <f t="array" ref="EY15">IF(ISBLANK(INDEX(FLT_Prod_Info,$HU15,EY$25)),INDEX(FLT_Prod_Info,$HT15,EY$25),INDEX(FLT_Prod_Info,$HT15,EY$25)&amp;" &amp; "&amp;INDEX(FLT_Prod_Info,$HU15,EY$25))</f>
        <v xml:space="preserve">Bakken Crude &amp; </v>
      </c>
      <c r="EZ15" s="73" cm="1">
        <f t="array" ref="EZ15">IF(INDEX(FLT_Cons,$HH15,$HO15)&lt;&gt;"External Floating Roof",0,INDEX(Flt_Fitting,$HX15,EY$25*$HY15+$HZ15))</f>
        <v>0</v>
      </c>
      <c r="FA15" s="73" cm="1">
        <f t="array" ref="FA15">INDEX(Flt_Temps,$IE15,EY$25)</f>
        <v>513.43098498663198</v>
      </c>
      <c r="FB15" s="73" cm="1">
        <f t="array" ref="FB15">INDEX(Flt_Vap,$IF15,EY$25)</f>
        <v>6.8907310961477055</v>
      </c>
      <c r="FC15" s="73" cm="1">
        <f t="array" ref="FC15">INDEX(Flt_Vap,$IG15,EY$25)</f>
        <v>0.30612860531282776</v>
      </c>
      <c r="FD15" s="73" cm="1">
        <f t="array" ref="FD15">INDEX(Flt_Vap,$IH15,EY$25)</f>
        <v>61.103726164670178</v>
      </c>
      <c r="FE15" s="73" cm="1">
        <f t="array" ref="FE15">IF(INDEX(FLT_Prod_Info,$HV15,EY$25)="Crude Oil",0.4,1)</f>
        <v>0.4</v>
      </c>
      <c r="FF15" s="73" cm="1">
        <f t="array" ref="FF15">INDEX(Month_Ref,EY$25,3)/365*($C15+$D15*EZ15^$E15)*$F15*FC15*FD15*FE15</f>
        <v>45.754406340277228</v>
      </c>
      <c r="FG15" s="73" cm="1">
        <f t="array" ref="FG15">INDEX(Flt_Fitting,$IA15,EY$25*$IC15)</f>
        <v>56.537205479452062</v>
      </c>
      <c r="FH15" s="73">
        <f t="shared" si="27"/>
        <v>423.02490573049658</v>
      </c>
      <c r="FI15" s="73" cm="1">
        <f t="array" ref="FI15">INDEX(Month_Ref,EY$25,3)/365*$G15*$H15*($F15^2)*FC15*FD15*FE15</f>
        <v>0</v>
      </c>
      <c r="FJ15" s="73" cm="1">
        <f t="array" ref="FJ15">INDEX(FLT_Prod_Info,$HW15,EY$25)</f>
        <v>81087</v>
      </c>
      <c r="FK15" s="73" cm="1">
        <f t="array" ref="FK15">INDEX(Tbl_71_10,IF(INDEX(FLT_Prod_Info,$HV15,EY$25)&lt;&gt;"Crude Oil",1,2),(MATCH(INDEX(FLT_Cons,$HH15,$HR15),Tbl_71_10_Col,0)))</f>
        <v>6.0000000000000001E-3</v>
      </c>
      <c r="FL15" s="73" cm="1">
        <f t="array" ref="FL15">INDEX(Flt_Multi,$II15,EY$25)</f>
        <v>6.7389700000000001</v>
      </c>
      <c r="FM15" s="73">
        <f t="shared" si="28"/>
        <v>27.418020973045927</v>
      </c>
      <c r="FN15" s="74">
        <f t="shared" si="29"/>
        <v>496.19733304381975</v>
      </c>
      <c r="FO15" s="79" t="str" cm="1">
        <f t="array" ref="FO15">IF(ISBLANK(INDEX(FLT_Prod_Info,$HU15,FO$25)),INDEX(FLT_Prod_Info,$HT15,FO$25),INDEX(FLT_Prod_Info,$HT15,FO$25)&amp;" &amp; "&amp;INDEX(FLT_Prod_Info,$HU15,FO$25))</f>
        <v xml:space="preserve">Bakken Crude &amp; </v>
      </c>
      <c r="FP15" s="73" cm="1">
        <f t="array" ref="FP15">IF(INDEX(FLT_Cons,$HH15,$HO15)&lt;&gt;"External Floating Roof",0,INDEX(Flt_Fitting,$HX15,FO$25*$HY15+$HZ15))</f>
        <v>0</v>
      </c>
      <c r="FQ15" s="73" cm="1">
        <f t="array" ref="FQ15">INDEX(Flt_Temps,$IE15,FO$25)</f>
        <v>507.33429276067739</v>
      </c>
      <c r="FR15" s="73" cm="1">
        <f t="array" ref="FR15">INDEX(Flt_Vap,$IF15,FO$25)</f>
        <v>6.2108964996803664</v>
      </c>
      <c r="FS15" s="73" cm="1">
        <f t="array" ref="FS15">INDEX(Flt_Vap,$IG15,FO$25)</f>
        <v>0.26783685275261965</v>
      </c>
      <c r="FT15" s="73" cm="1">
        <f t="array" ref="FT15">INDEX(Flt_Vap,$IH15,FO$25)</f>
        <v>61.103726164670178</v>
      </c>
      <c r="FU15" s="73" cm="1">
        <f t="array" ref="FU15">IF(INDEX(FLT_Prod_Info,$HV15,FO$25)="Crude Oil",0.4,1)</f>
        <v>0.4</v>
      </c>
      <c r="FV15" s="73" cm="1">
        <f t="array" ref="FV15">INDEX(Month_Ref,FO$25,3)/365*($C15+$D15*FP15^$E15)*$F15*FS15*FT15*FU15</f>
        <v>38.739936622455694</v>
      </c>
      <c r="FW15" s="73" cm="1">
        <f t="array" ref="FW15">INDEX(Flt_Fitting,$IA15,FO$25*$IC15)</f>
        <v>54.713424657534254</v>
      </c>
      <c r="FX15" s="73">
        <f t="shared" si="30"/>
        <v>358.17223626161547</v>
      </c>
      <c r="FY15" s="73" cm="1">
        <f t="array" ref="FY15">INDEX(Month_Ref,FO$25,3)/365*$G15*$H15*($F15^2)*FS15*FT15*FU15</f>
        <v>0</v>
      </c>
      <c r="FZ15" s="73" cm="1">
        <f t="array" ref="FZ15">INDEX(FLT_Prod_Info,$HW15,FO$25)</f>
        <v>81087</v>
      </c>
      <c r="GA15" s="73" cm="1">
        <f t="array" ref="GA15">INDEX(Tbl_71_10,IF(INDEX(FLT_Prod_Info,$HV15,FO$25)&lt;&gt;"Crude Oil",1,2),(MATCH(INDEX(FLT_Cons,$HH15,$HR15),Tbl_71_10_Col,0)))</f>
        <v>6.0000000000000001E-3</v>
      </c>
      <c r="GB15" s="73" cm="1">
        <f t="array" ref="GB15">INDEX(Flt_Multi,$II15,FO$25)</f>
        <v>6.7389700000000001</v>
      </c>
      <c r="GC15" s="73">
        <f t="shared" si="31"/>
        <v>27.418020973045927</v>
      </c>
      <c r="GD15" s="74">
        <f t="shared" si="32"/>
        <v>424.33019385711708</v>
      </c>
      <c r="GE15" s="79" t="str" cm="1">
        <f t="array" ref="GE15">IF(ISBLANK(INDEX(FLT_Prod_Info,$HU15,GE$25)),INDEX(FLT_Prod_Info,$HT15,GE$25),INDEX(FLT_Prod_Info,$HT15,GE$25)&amp;" &amp; "&amp;INDEX(FLT_Prod_Info,$HU15,GE$25))</f>
        <v xml:space="preserve">Bakken Crude &amp; </v>
      </c>
      <c r="GF15" s="73" cm="1">
        <f t="array" ref="GF15">IF(INDEX(FLT_Cons,$HH15,$HO15)&lt;&gt;"External Floating Roof",0,INDEX(Flt_Fitting,$HX15,GE$25*$HY15+$HZ15))</f>
        <v>0</v>
      </c>
      <c r="GG15" s="73" cm="1">
        <f t="array" ref="GG15">INDEX(Flt_Temps,$IE15,GE$25)</f>
        <v>503.68991410159731</v>
      </c>
      <c r="GH15" s="73" cm="1">
        <f t="array" ref="GH15">INDEX(Flt_Vap,$IF15,GE$25)</f>
        <v>5.829980285354563</v>
      </c>
      <c r="GI15" s="73" cm="1">
        <f t="array" ref="GI15">INDEX(Flt_Vap,$IG15,GE$25)</f>
        <v>0.24734728082268231</v>
      </c>
      <c r="GJ15" s="73" cm="1">
        <f t="array" ref="GJ15">INDEX(Flt_Vap,$IH15,GE$25)</f>
        <v>61.103726164670178</v>
      </c>
      <c r="GK15" s="73" cm="1">
        <f t="array" ref="GK15">IF(INDEX(FLT_Prod_Info,$HV15,GE$25)="Crude Oil",0.4,1)</f>
        <v>0.4</v>
      </c>
      <c r="GL15" s="73" cm="1">
        <f t="array" ref="GL15">INDEX(Month_Ref,GE$25,3)/365*($C15+$D15*GF15^$E15)*$F15*GI15*GJ15*GK15</f>
        <v>36.968867977426605</v>
      </c>
      <c r="GM15" s="73" cm="1">
        <f t="array" ref="GM15">INDEX(Flt_Fitting,$IA15,GE$25*$IC15)</f>
        <v>56.537205479452062</v>
      </c>
      <c r="GN15" s="73">
        <f t="shared" si="33"/>
        <v>341.7977227112965</v>
      </c>
      <c r="GO15" s="73" cm="1">
        <f t="array" ref="GO15">INDEX(Month_Ref,GE$25,3)/365*$G15*$H15*($F15^2)*GI15*GJ15*GK15</f>
        <v>0</v>
      </c>
      <c r="GP15" s="73" cm="1">
        <f t="array" ref="GP15">INDEX(FLT_Prod_Info,$HW15,GE$25)</f>
        <v>81087</v>
      </c>
      <c r="GQ15" s="73" cm="1">
        <f t="array" ref="GQ15">INDEX(Tbl_71_10,IF(INDEX(FLT_Prod_Info,$HV15,GE$25)&lt;&gt;"Crude Oil",1,2),(MATCH(INDEX(FLT_Cons,$HH15,$HR15),Tbl_71_10_Col,0)))</f>
        <v>6.0000000000000001E-3</v>
      </c>
      <c r="GR15" s="73" cm="1">
        <f t="array" ref="GR15">INDEX(Flt_Multi,$II15,GE$25)</f>
        <v>6.7389700000000001</v>
      </c>
      <c r="GS15" s="73">
        <f t="shared" si="34"/>
        <v>27.418020973045927</v>
      </c>
      <c r="GT15" s="74">
        <f t="shared" si="35"/>
        <v>406.18461166176905</v>
      </c>
      <c r="GU15" s="79">
        <f t="shared" si="36"/>
        <v>536.46500734482458</v>
      </c>
      <c r="GV15" s="73">
        <f t="shared" si="37"/>
        <v>0.2682325036724123</v>
      </c>
      <c r="GW15" s="79">
        <f t="shared" si="38"/>
        <v>4959.9170290180955</v>
      </c>
      <c r="GX15" s="73">
        <f t="shared" si="39"/>
        <v>2.4799585145090477</v>
      </c>
      <c r="GY15" s="79">
        <f t="shared" si="40"/>
        <v>0</v>
      </c>
      <c r="GZ15" s="73">
        <f t="shared" si="41"/>
        <v>0</v>
      </c>
      <c r="HA15" s="73">
        <f t="shared" si="42"/>
        <v>5496.3820363629202</v>
      </c>
      <c r="HB15" s="73">
        <f t="shared" si="43"/>
        <v>2.7481910181814602</v>
      </c>
      <c r="HC15" s="79">
        <f t="shared" si="44"/>
        <v>329.01625167655124</v>
      </c>
      <c r="HD15" s="73">
        <f t="shared" si="45"/>
        <v>0.16450812583827562</v>
      </c>
      <c r="HE15" s="73">
        <f t="shared" si="46"/>
        <v>5825.3982880394715</v>
      </c>
      <c r="HF15" s="74">
        <f t="shared" si="47"/>
        <v>2.9126991440197356</v>
      </c>
      <c r="HH15" s="43">
        <f t="shared" si="48"/>
        <v>5</v>
      </c>
      <c r="HI15" s="43">
        <v>1</v>
      </c>
      <c r="HJ15" s="43">
        <v>2</v>
      </c>
      <c r="HK15" s="43">
        <v>4</v>
      </c>
      <c r="HL15" s="43">
        <v>17</v>
      </c>
      <c r="HM15" s="43">
        <v>18</v>
      </c>
      <c r="HN15" s="43">
        <v>5</v>
      </c>
      <c r="HO15" s="43">
        <v>13</v>
      </c>
      <c r="HP15" s="43">
        <v>14</v>
      </c>
      <c r="HQ15" s="43">
        <v>15</v>
      </c>
      <c r="HR15" s="43">
        <v>12</v>
      </c>
      <c r="HS15" s="43">
        <v>20</v>
      </c>
      <c r="HT15" s="43">
        <f t="shared" si="49"/>
        <v>49</v>
      </c>
      <c r="HU15" s="43">
        <f t="shared" si="64"/>
        <v>54</v>
      </c>
      <c r="HV15" s="43">
        <f t="shared" si="65"/>
        <v>50</v>
      </c>
      <c r="HW15" s="43">
        <f t="shared" si="66"/>
        <v>59</v>
      </c>
      <c r="HX15" s="43">
        <f t="shared" si="51"/>
        <v>61</v>
      </c>
      <c r="HY15" s="43">
        <v>3</v>
      </c>
      <c r="HZ15" s="43">
        <v>-2</v>
      </c>
      <c r="IA15" s="43">
        <f t="shared" si="52"/>
        <v>75</v>
      </c>
      <c r="IB15" s="43">
        <f t="shared" si="53"/>
        <v>90</v>
      </c>
      <c r="IC15" s="43">
        <v>3</v>
      </c>
      <c r="ID15" s="43">
        <v>0</v>
      </c>
      <c r="IE15" s="43">
        <f t="shared" si="54"/>
        <v>54</v>
      </c>
      <c r="IF15" s="43">
        <f t="shared" si="55"/>
        <v>109</v>
      </c>
      <c r="IG15" s="43">
        <f t="shared" si="67"/>
        <v>110</v>
      </c>
      <c r="IH15" s="43">
        <f t="shared" si="68"/>
        <v>115</v>
      </c>
      <c r="II15" s="43">
        <f t="shared" si="57"/>
        <v>70</v>
      </c>
      <c r="IJ15" s="43">
        <f t="shared" si="58"/>
        <v>62</v>
      </c>
    </row>
    <row r="16" spans="1:244" x14ac:dyDescent="0.4">
      <c r="A16" s="43" t="str" cm="1">
        <f t="array" ref="A16">INDEX(FLT_Cons,$HH16,HI$11)</f>
        <v>FLT - 6</v>
      </c>
      <c r="B16" s="96" t="str" cm="1">
        <f t="array" ref="B16">INDEX(FLT_Cons,$HH16,HJ$11)</f>
        <v>INTANK 71</v>
      </c>
      <c r="C16" s="79" cm="1">
        <f t="array" ref="C16">IF(INDEX(FLT_Cons,$HH16,$HK16)="Welded",IF(INDEX(FLT_Cons,$HH16,$HM16)="Average",INDEX(Tbl_71_8_Weld,MATCH(INDEX(FLT_Cons,$HH16,$HL16),Tbl_71_8W_Name,0),2),INDEX(Tbl_71_8_Weld,MATCH(INDEX(FLT_Cons,$HH16,$HL16),Tbl_71_8W_Name,0),3)),INDEX(Tbl_71_8_Riv,MATCH(INDEX(FLT_Cons,$HH16,$HL16),Tbl_71_8R_Name,0),2))</f>
        <v>0.6</v>
      </c>
      <c r="D16" s="73" cm="1">
        <f t="array" ref="D16">IF(INDEX(FLT_Cons,$HH16,$HK16)="Welded",IF(INDEX(FLT_Cons,$HH16,$HM16)="Average",INDEX(Tbl_71_8_Weld,MATCH(INDEX(FLT_Cons,$HH16,$HL16),Tbl_71_8W_Name,0),4),INDEX(Tbl_71_8_Weld,MATCH(INDEX(FLT_Cons,$HH16,$HL16),Tbl_71_8W_Name,0),5)),INDEX(Tbl_71_8_Riv,MATCH(INDEX(FLT_Cons,$HH16,$HL16),Tbl_71_8R_Name,0),3))</f>
        <v>0.4</v>
      </c>
      <c r="E16" s="73" cm="1">
        <f t="array" ref="E16">IF(INDEX(FLT_Cons,$HH16,$HK16)="Welded",IF(INDEX(FLT_Cons,$HH16,$HM16)="Average",INDEX(Tbl_71_8_Weld,MATCH(INDEX(FLT_Cons,$HH16,$HL16),Tbl_71_8W_Name,0),6),INDEX(Tbl_71_8_Weld,MATCH(INDEX(FLT_Cons,$HH16,$HL16),Tbl_71_8W_Name,0),7)),INDEX(Tbl_71_8_Riv,MATCH(INDEX(FLT_Cons,$HH16,$HL16),Tbl_71_8R_Name,0),4))</f>
        <v>1</v>
      </c>
      <c r="F16" s="73" cm="1">
        <f t="array" ref="F16">INDEX(FLT_Cons,$HH16,$HN16)</f>
        <v>80</v>
      </c>
      <c r="G16" s="73" cm="1">
        <f t="array" ref="G16">IF(INDEX(FLT_Cons,$HH16,$HP16)="Bolted Deck",0.14,0)</f>
        <v>0</v>
      </c>
      <c r="H16" s="73" cm="1">
        <f t="array" ref="H16">INDEX(Tbl_71_16,MATCH(INDEX(FLT_Cons,$HH16,$HQ16),Bolted_Deck_Cons_Name,0),2)</f>
        <v>0</v>
      </c>
      <c r="I16" s="73" cm="1">
        <f t="array" ref="I16">INDEX(Sup_Col,$IJ16,1)</f>
        <v>1</v>
      </c>
      <c r="J16" s="74" cm="1">
        <f t="array" ref="J16">INDEX(FC,MATCH(INDEX(FLT_Cons,$HH16,$HS16),Roof_Column_Cons,0),2)</f>
        <v>1.1000000000000001</v>
      </c>
      <c r="K16" s="79" t="str" cm="1">
        <f t="array" ref="K16">IF(ISBLANK(INDEX(FLT_Prod_Info,$HU16,K$25)),INDEX(FLT_Prod_Info,$HT16,K$25),INDEX(FLT_Prod_Info,$HT16,K$25)&amp;" &amp; "&amp;INDEX(FLT_Prod_Info,$HU16,K$25))</f>
        <v xml:space="preserve">Av-Gas &amp; </v>
      </c>
      <c r="L16" s="73" cm="1">
        <f t="array" ref="L16">IF(INDEX(FLT_Cons,$HH16,$HO16)&lt;&gt;"External Floating Roof",0,INDEX(Flt_Fitting,$HX16,K$25*$HY16+$HZ16))</f>
        <v>0</v>
      </c>
      <c r="M16" s="73" cm="1">
        <f t="array" ref="M16">INDEX(Flt_Temps,$IE16,K$25)</f>
        <v>504.03173156955995</v>
      </c>
      <c r="N16" s="73" cm="1">
        <f t="array" ref="N16">INDEX(Flt_Vap,$IF16,K$25)</f>
        <v>2.1118006558579938</v>
      </c>
      <c r="O16" s="73" cm="1">
        <f t="array" ref="O16">INDEX(Flt_Vap,$IG16,K$25)</f>
        <v>7.7388787337165837E-2</v>
      </c>
      <c r="P16" s="73" cm="1">
        <f t="array" ref="P16">INDEX(Flt_Vap,$IH16,K$25)</f>
        <v>80</v>
      </c>
      <c r="Q16" s="73" cm="1">
        <f t="array" ref="Q16">IF(INDEX(FLT_Prod_Info,$HV16,K$25)="Crude Oil",0.4,1)</f>
        <v>1</v>
      </c>
      <c r="R16" s="73" cm="1">
        <f t="array" ref="R16">INDEX(Month_Ref,K$25,3)/365*($C16+$D16*L16^$E16)*$F16*O16*P16*Q16</f>
        <v>25.239345875660881</v>
      </c>
      <c r="S16" s="73" cm="1">
        <f t="array" ref="S16">INDEX(Flt_Fitting,$IA16,K$25*$IC16)</f>
        <v>31.329534246575339</v>
      </c>
      <c r="T16" s="73">
        <f t="shared" si="0"/>
        <v>193.96437305445386</v>
      </c>
      <c r="U16" s="73" cm="1">
        <f t="array" ref="U16">INDEX(Month_Ref,K$25,3)/365*$G16*$H16*($F16^2)*O16*P16*Q16</f>
        <v>0</v>
      </c>
      <c r="V16" s="73" cm="1">
        <f t="array" ref="V16">INDEX(FLT_Prod_Info,$HW16,K$25)</f>
        <v>35808</v>
      </c>
      <c r="W16" s="73" cm="1">
        <f t="array" ref="W16">INDEX(Tbl_71_10,IF(INDEX(FLT_Prod_Info,$HV16,K$25)&lt;&gt;"Crude Oil",1,2),(MATCH(INDEX(FLT_Cons,$HH16,$HR16),Tbl_71_10_Col,0)))</f>
        <v>1.5E-3</v>
      </c>
      <c r="X16" s="73" cm="1">
        <f t="array" ref="X16">INDEX(Flt_Multi,$II16,K$25)</f>
        <v>5.8309999999999995</v>
      </c>
      <c r="Y16" s="73">
        <f t="shared" si="1"/>
        <v>3.7425442013977488</v>
      </c>
      <c r="Z16" s="74">
        <f t="shared" si="2"/>
        <v>222.9462631315125</v>
      </c>
      <c r="AA16" s="79" t="str" cm="1">
        <f t="array" ref="AA16">IF(ISBLANK(INDEX(FLT_Prod_Info,$HU16,AA$25)),INDEX(FLT_Prod_Info,$HT16,AA$25),INDEX(FLT_Prod_Info,$HT16,AA$25)&amp;" &amp; "&amp;INDEX(FLT_Prod_Info,$HU16,AA$25))</f>
        <v xml:space="preserve">Av-Gas &amp; </v>
      </c>
      <c r="AB16" s="73" cm="1">
        <f t="array" ref="AB16">IF(INDEX(FLT_Cons,$HH16,$HO16)&lt;&gt;"External Floating Roof",0,INDEX(Flt_Fitting,$HX16,AA$25*$HY16+$HZ16))</f>
        <v>0</v>
      </c>
      <c r="AC16" s="73" cm="1">
        <f t="array" ref="AC16">INDEX(Flt_Temps,$IE16,AA$25)</f>
        <v>505.23014268727701</v>
      </c>
      <c r="AD16" s="73" cm="1">
        <f t="array" ref="AD16">INDEX(Flt_Vap,$IF16,AA$25)</f>
        <v>2.1702780169073743</v>
      </c>
      <c r="AE16" s="73" cm="1">
        <f t="array" ref="AE16">INDEX(Flt_Vap,$IG16,AA$25)</f>
        <v>7.9702540417229933E-2</v>
      </c>
      <c r="AF16" s="73" cm="1">
        <f t="array" ref="AF16">INDEX(Flt_Vap,$IH16,AA$25)</f>
        <v>80</v>
      </c>
      <c r="AG16" s="73" cm="1">
        <f t="array" ref="AG16">IF(INDEX(FLT_Prod_Info,$HV16,AA$25)="Crude Oil",0.4,1)</f>
        <v>1</v>
      </c>
      <c r="AH16" s="73" cm="1">
        <f t="array" ref="AH16">INDEX(Month_Ref,AA$25,3)/365*($C16+$D16*AB16^$E16)*$F16*AE16*AF16*AG16</f>
        <v>23.478403138796061</v>
      </c>
      <c r="AI16" s="73" cm="1">
        <f t="array" ref="AI16">INDEX(Flt_Fitting,$IA16,AA$25*$IC16)</f>
        <v>28.297643835616441</v>
      </c>
      <c r="AJ16" s="73">
        <f t="shared" si="3"/>
        <v>180.43152812164774</v>
      </c>
      <c r="AK16" s="73" cm="1">
        <f t="array" ref="AK16">INDEX(Month_Ref,AA$25,3)/365*$G16*$H16*($F16^2)*AE16*AF16*AG16</f>
        <v>0</v>
      </c>
      <c r="AL16" s="73" cm="1">
        <f t="array" ref="AL16">INDEX(FLT_Prod_Info,$HW16,AA$25)</f>
        <v>35808</v>
      </c>
      <c r="AM16" s="73" cm="1">
        <f t="array" ref="AM16">INDEX(Tbl_71_10,IF(INDEX(FLT_Prod_Info,$HV16,AA$25)&lt;&gt;"Crude Oil",1,2),(MATCH(INDEX(FLT_Cons,$HH16,$HR16),Tbl_71_10_Col,0)))</f>
        <v>1.5E-3</v>
      </c>
      <c r="AN16" s="73" cm="1">
        <f t="array" ref="AN16">INDEX(Flt_Multi,$II16,AA$25)</f>
        <v>5.8309999999999995</v>
      </c>
      <c r="AO16" s="73">
        <f t="shared" si="4"/>
        <v>3.7425442013977488</v>
      </c>
      <c r="AP16" s="74">
        <f t="shared" si="5"/>
        <v>207.65247546184156</v>
      </c>
      <c r="AQ16" s="79" t="str" cm="1">
        <f t="array" ref="AQ16">IF(ISBLANK(INDEX(FLT_Prod_Info,$HU16,AQ$25)),INDEX(FLT_Prod_Info,$HT16,AQ$25),INDEX(FLT_Prod_Info,$HT16,AQ$25)&amp;" &amp; "&amp;INDEX(FLT_Prod_Info,$HU16,AQ$25))</f>
        <v xml:space="preserve">Av-Gas &amp; </v>
      </c>
      <c r="AR16" s="73" cm="1">
        <f t="array" ref="AR16">IF(INDEX(FLT_Cons,$HH16,$HO16)&lt;&gt;"External Floating Roof",0,INDEX(Flt_Fitting,$HX16,AQ$25*$HY16+$HZ16))</f>
        <v>0</v>
      </c>
      <c r="AS16" s="73" cm="1">
        <f t="array" ref="AS16">INDEX(Flt_Temps,$IE16,AQ$25)</f>
        <v>507.05955856123666</v>
      </c>
      <c r="AT16" s="73" cm="1">
        <f t="array" ref="AT16">INDEX(Flt_Vap,$IF16,AQ$25)</f>
        <v>2.2621202106565343</v>
      </c>
      <c r="AU16" s="73" cm="1">
        <f t="array" ref="AU16">INDEX(Flt_Vap,$IG16,AQ$25)</f>
        <v>8.3356556526012274E-2</v>
      </c>
      <c r="AV16" s="73" cm="1">
        <f t="array" ref="AV16">INDEX(Flt_Vap,$IH16,AQ$25)</f>
        <v>80</v>
      </c>
      <c r="AW16" s="73" cm="1">
        <f t="array" ref="AW16">IF(INDEX(FLT_Prod_Info,$HV16,AQ$25)="Crude Oil",0.4,1)</f>
        <v>1</v>
      </c>
      <c r="AX16" s="73" cm="1">
        <f t="array" ref="AX16">INDEX(Month_Ref,AQ$25,3)/365*($C16+$D16*AR16^$E16)*$F16*AU16*AV16*AW16</f>
        <v>27.185656133853428</v>
      </c>
      <c r="AY16" s="73" cm="1">
        <f t="array" ref="AY16">INDEX(Flt_Fitting,$IA16,AQ$25*$IC16)</f>
        <v>31.329534246575339</v>
      </c>
      <c r="AZ16" s="73">
        <f t="shared" si="6"/>
        <v>208.92176738866357</v>
      </c>
      <c r="BA16" s="73" cm="1">
        <f t="array" ref="BA16">INDEX(Month_Ref,AQ$25,3)/365*$G16*$H16*($F16^2)*AU16*AV16*AW16</f>
        <v>0</v>
      </c>
      <c r="BB16" s="73" cm="1">
        <f t="array" ref="BB16">INDEX(FLT_Prod_Info,$HW16,AQ$25)</f>
        <v>35808</v>
      </c>
      <c r="BC16" s="73" cm="1">
        <f t="array" ref="BC16">INDEX(Tbl_71_10,IF(INDEX(FLT_Prod_Info,$HV16,AQ$25)&lt;&gt;"Crude Oil",1,2),(MATCH(INDEX(FLT_Cons,$HH16,$HR16),Tbl_71_10_Col,0)))</f>
        <v>1.5E-3</v>
      </c>
      <c r="BD16" s="73" cm="1">
        <f t="array" ref="BD16">INDEX(Flt_Multi,$II16,AQ$25)</f>
        <v>5.8309999999999995</v>
      </c>
      <c r="BE16" s="73">
        <f t="shared" si="7"/>
        <v>3.7425442013977488</v>
      </c>
      <c r="BF16" s="74">
        <f t="shared" si="8"/>
        <v>239.84996772391474</v>
      </c>
      <c r="BG16" s="79" t="str" cm="1">
        <f t="array" ref="BG16">IF(ISBLANK(INDEX(FLT_Prod_Info,$HU16,BG$25)),INDEX(FLT_Prod_Info,$HT16,BG$25),INDEX(FLT_Prod_Info,$HT16,BG$25)&amp;" &amp; "&amp;INDEX(FLT_Prod_Info,$HU16,BG$25))</f>
        <v xml:space="preserve">Av-Gas &amp; </v>
      </c>
      <c r="BH16" s="73" cm="1">
        <f t="array" ref="BH16">IF(INDEX(FLT_Cons,$HH16,$HO16)&lt;&gt;"External Floating Roof",0,INDEX(Flt_Fitting,$HX16,BG$25*$HY16+$HZ16))</f>
        <v>0</v>
      </c>
      <c r="BI16" s="73" cm="1">
        <f t="array" ref="BI16">INDEX(Flt_Temps,$IE16,BG$25)</f>
        <v>510.14089774078479</v>
      </c>
      <c r="BJ16" s="73" cm="1">
        <f t="array" ref="BJ16">INDEX(Flt_Vap,$IF16,BG$25)</f>
        <v>2.4240539285028491</v>
      </c>
      <c r="BK16" s="73" cm="1">
        <f t="array" ref="BK16">INDEX(Flt_Vap,$IG16,BG$25)</f>
        <v>8.9859830015901102E-2</v>
      </c>
      <c r="BL16" s="73" cm="1">
        <f t="array" ref="BL16">INDEX(Flt_Vap,$IH16,BG$25)</f>
        <v>80</v>
      </c>
      <c r="BM16" s="73" cm="1">
        <f t="array" ref="BM16">IF(INDEX(FLT_Prod_Info,$HV16,BG$25)="Crude Oil",0.4,1)</f>
        <v>1</v>
      </c>
      <c r="BN16" s="73" cm="1">
        <f t="array" ref="BN16">INDEX(Month_Ref,BG$25,3)/365*($C16+$D16*BH16^$E16)*$F16*BK16*BL16*BM16</f>
        <v>28.361239500909058</v>
      </c>
      <c r="BO16" s="73" cm="1">
        <f t="array" ref="BO16">INDEX(Flt_Fitting,$IA16,BG$25*$IC16)</f>
        <v>30.318904109589045</v>
      </c>
      <c r="BP16" s="73">
        <f t="shared" si="9"/>
        <v>217.95612556448617</v>
      </c>
      <c r="BQ16" s="73" cm="1">
        <f t="array" ref="BQ16">INDEX(Month_Ref,BG$25,3)/365*$G16*$H16*($F16^2)*BK16*BL16*BM16</f>
        <v>0</v>
      </c>
      <c r="BR16" s="73" cm="1">
        <f t="array" ref="BR16">INDEX(FLT_Prod_Info,$HW16,BG$25)</f>
        <v>35808</v>
      </c>
      <c r="BS16" s="73" cm="1">
        <f t="array" ref="BS16">INDEX(Tbl_71_10,IF(INDEX(FLT_Prod_Info,$HV16,BG$25)&lt;&gt;"Crude Oil",1,2),(MATCH(INDEX(FLT_Cons,$HH16,$HR16),Tbl_71_10_Col,0)))</f>
        <v>1.5E-3</v>
      </c>
      <c r="BT16" s="73" cm="1">
        <f t="array" ref="BT16">INDEX(Flt_Multi,$II16,BG$25)</f>
        <v>5.8309999999999995</v>
      </c>
      <c r="BU16" s="73">
        <f t="shared" si="10"/>
        <v>3.7425442013977488</v>
      </c>
      <c r="BV16" s="74">
        <f t="shared" si="11"/>
        <v>250.05990926679297</v>
      </c>
      <c r="BW16" s="79" t="str" cm="1">
        <f t="array" ref="BW16">IF(ISBLANK(INDEX(FLT_Prod_Info,$HU16,BW$25)),INDEX(FLT_Prod_Info,$HT16,BW$25),INDEX(FLT_Prod_Info,$HT16,BW$25)&amp;" &amp; "&amp;INDEX(FLT_Prod_Info,$HU16,BW$25))</f>
        <v xml:space="preserve">Av-Gas &amp; </v>
      </c>
      <c r="BX16" s="73" cm="1">
        <f t="array" ref="BX16">IF(INDEX(FLT_Cons,$HH16,$HO16)&lt;&gt;"External Floating Roof",0,INDEX(Flt_Fitting,$HX16,BW$25*$HY16+$HZ16))</f>
        <v>0</v>
      </c>
      <c r="BY16" s="73" cm="1">
        <f t="array" ref="BY16">INDEX(Flt_Temps,$IE16,BW$25)</f>
        <v>515.13271551724131</v>
      </c>
      <c r="BZ16" s="73" cm="1">
        <f t="array" ref="BZ16">INDEX(Flt_Vap,$IF16,BW$25)</f>
        <v>2.7065963674688565</v>
      </c>
      <c r="CA16" s="73" cm="1">
        <f t="array" ref="CA16">INDEX(Flt_Vap,$IG16,BW$25)</f>
        <v>0.10139570077793821</v>
      </c>
      <c r="CB16" s="73" cm="1">
        <f t="array" ref="CB16">INDEX(Flt_Vap,$IH16,BW$25)</f>
        <v>80</v>
      </c>
      <c r="CC16" s="73" cm="1">
        <f t="array" ref="CC16">IF(INDEX(FLT_Prod_Info,$HV16,BW$25)="Crude Oil",0.4,1)</f>
        <v>1</v>
      </c>
      <c r="CD16" s="73" cm="1">
        <f t="array" ref="CD16">INDEX(Month_Ref,BW$25,3)/365*($C16+$D16*BX16^$E16)*$F16*CA16*CB16*CC16</f>
        <v>33.068888275632233</v>
      </c>
      <c r="CE16" s="73" cm="1">
        <f t="array" ref="CE16">INDEX(Flt_Fitting,$IA16,BW$25*$IC16)</f>
        <v>31.329534246575339</v>
      </c>
      <c r="CF16" s="73">
        <f t="shared" si="12"/>
        <v>254.13440639823366</v>
      </c>
      <c r="CG16" s="73" cm="1">
        <f t="array" ref="CG16">INDEX(Month_Ref,BW$25,3)/365*$G16*$H16*($F16^2)*CA16*CB16*CC16</f>
        <v>0</v>
      </c>
      <c r="CH16" s="73" cm="1">
        <f t="array" ref="CH16">INDEX(FLT_Prod_Info,$HW16,BW$25)</f>
        <v>35808</v>
      </c>
      <c r="CI16" s="73" cm="1">
        <f t="array" ref="CI16">INDEX(Tbl_71_10,IF(INDEX(FLT_Prod_Info,$HV16,BW$25)&lt;&gt;"Crude Oil",1,2),(MATCH(INDEX(FLT_Cons,$HH16,$HR16),Tbl_71_10_Col,0)))</f>
        <v>1.5E-3</v>
      </c>
      <c r="CJ16" s="73" cm="1">
        <f t="array" ref="CJ16">INDEX(Flt_Multi,$II16,BW$25)</f>
        <v>5.8309999999999995</v>
      </c>
      <c r="CK16" s="73">
        <f t="shared" si="13"/>
        <v>3.7425442013977488</v>
      </c>
      <c r="CL16" s="74">
        <f t="shared" si="14"/>
        <v>290.94583887526363</v>
      </c>
      <c r="CM16" s="79" t="str" cm="1">
        <f t="array" ref="CM16">IF(ISBLANK(INDEX(FLT_Prod_Info,$HU16,CM$25)),INDEX(FLT_Prod_Info,$HT16,CM$25),INDEX(FLT_Prod_Info,$HT16,CM$25)&amp;" &amp; "&amp;INDEX(FLT_Prod_Info,$HU16,CM$25))</f>
        <v xml:space="preserve">Av-Gas &amp; </v>
      </c>
      <c r="CN16" s="73" cm="1">
        <f t="array" ref="CN16">IF(INDEX(FLT_Cons,$HH16,$HO16)&lt;&gt;"External Floating Roof",0,INDEX(Flt_Fitting,$HX16,CM$25*$HY16+$HZ16))</f>
        <v>0</v>
      </c>
      <c r="CO16" s="73" cm="1">
        <f t="array" ref="CO16">INDEX(Flt_Temps,$IE16,CM$25)</f>
        <v>519.07223692033301</v>
      </c>
      <c r="CP16" s="73" cm="1">
        <f t="array" ref="CP16">INDEX(Flt_Vap,$IF16,CM$25)</f>
        <v>2.9482272795776381</v>
      </c>
      <c r="CQ16" s="73" cm="1">
        <f t="array" ref="CQ16">INDEX(Flt_Vap,$IG16,CM$25)</f>
        <v>0.11145669935767402</v>
      </c>
      <c r="CR16" s="73" cm="1">
        <f t="array" ref="CR16">INDEX(Flt_Vap,$IH16,CM$25)</f>
        <v>80</v>
      </c>
      <c r="CS16" s="73" cm="1">
        <f t="array" ref="CS16">IF(INDEX(FLT_Prod_Info,$HV16,CM$25)="Crude Oil",0.4,1)</f>
        <v>1</v>
      </c>
      <c r="CT16" s="73" cm="1">
        <f t="array" ref="CT16">INDEX(Month_Ref,CM$25,3)/365*($C16+$D16*CN16^$E16)*$F16*CQ16*CR16*CS16</f>
        <v>35.177566482202863</v>
      </c>
      <c r="CU16" s="73" cm="1">
        <f t="array" ref="CU16">INDEX(Flt_Fitting,$IA16,CM$25*$IC16)</f>
        <v>30.318904109589045</v>
      </c>
      <c r="CV16" s="73">
        <f t="shared" si="15"/>
        <v>270.33959841572909</v>
      </c>
      <c r="CW16" s="73" cm="1">
        <f t="array" ref="CW16">INDEX(Month_Ref,CM$25,3)/365*$G16*$H16*($F16^2)*CQ16*CR16*CS16</f>
        <v>0</v>
      </c>
      <c r="CX16" s="73" cm="1">
        <f t="array" ref="CX16">INDEX(FLT_Prod_Info,$HW16,CM$25)</f>
        <v>35808</v>
      </c>
      <c r="CY16" s="73" cm="1">
        <f t="array" ref="CY16">INDEX(Tbl_71_10,IF(INDEX(FLT_Prod_Info,$HV16,CM$25)&lt;&gt;"Crude Oil",1,2),(MATCH(INDEX(FLT_Cons,$HH16,$HR16),Tbl_71_10_Col,0)))</f>
        <v>1.5E-3</v>
      </c>
      <c r="CZ16" s="73" cm="1">
        <f t="array" ref="CZ16">INDEX(Flt_Multi,$II16,CM$25)</f>
        <v>5.8309999999999995</v>
      </c>
      <c r="DA16" s="73">
        <f t="shared" si="16"/>
        <v>3.7425442013977488</v>
      </c>
      <c r="DB16" s="74">
        <f t="shared" si="17"/>
        <v>309.25970909932965</v>
      </c>
      <c r="DC16" s="79" t="str" cm="1">
        <f t="array" ref="DC16">IF(ISBLANK(INDEX(FLT_Prod_Info,$HU16,DC$25)),INDEX(FLT_Prod_Info,$HT16,DC$25),INDEX(FLT_Prod_Info,$HT16,DC$25)&amp;" &amp; "&amp;INDEX(FLT_Prod_Info,$HU16,DC$25))</f>
        <v xml:space="preserve">Av-Gas &amp; </v>
      </c>
      <c r="DD16" s="73" cm="1">
        <f t="array" ref="DD16">IF(INDEX(FLT_Cons,$HH16,$HO16)&lt;&gt;"External Floating Roof",0,INDEX(Flt_Fitting,$HX16,DC$25*$HY16+$HZ16))</f>
        <v>0</v>
      </c>
      <c r="DE16" s="73" cm="1">
        <f t="array" ref="DE16">INDEX(Flt_Temps,$IE16,DC$25)</f>
        <v>522.69780618311529</v>
      </c>
      <c r="DF16" s="73" cm="1">
        <f t="array" ref="DF16">INDEX(Flt_Vap,$IF16,DC$25)</f>
        <v>3.1859882474231145</v>
      </c>
      <c r="DG16" s="73" cm="1">
        <f t="array" ref="DG16">INDEX(Flt_Vap,$IG16,DC$25)</f>
        <v>0.12153760658591015</v>
      </c>
      <c r="DH16" s="73" cm="1">
        <f t="array" ref="DH16">INDEX(Flt_Vap,$IH16,DC$25)</f>
        <v>80</v>
      </c>
      <c r="DI16" s="73" cm="1">
        <f t="array" ref="DI16">IF(INDEX(FLT_Prod_Info,$HV16,DC$25)="Crude Oil",0.4,1)</f>
        <v>1</v>
      </c>
      <c r="DJ16" s="73" cm="1">
        <f t="array" ref="DJ16">INDEX(Month_Ref,DC$25,3)/365*($C16+$D16*DD16^$E16)*$F16*DG16*DH16*DI16</f>
        <v>39.637908734210257</v>
      </c>
      <c r="DK16" s="73" cm="1">
        <f t="array" ref="DK16">INDEX(Flt_Fitting,$IA16,DC$25*$IC16)</f>
        <v>31.329534246575339</v>
      </c>
      <c r="DL16" s="73">
        <f t="shared" si="18"/>
        <v>304.61732862240575</v>
      </c>
      <c r="DM16" s="73" cm="1">
        <f t="array" ref="DM16">INDEX(Month_Ref,DC$25,3)/365*$G16*$H16*($F16^2)*DG16*DH16*DI16</f>
        <v>0</v>
      </c>
      <c r="DN16" s="73" cm="1">
        <f t="array" ref="DN16">INDEX(FLT_Prod_Info,$HW16,DC$25)</f>
        <v>35808</v>
      </c>
      <c r="DO16" s="73" cm="1">
        <f t="array" ref="DO16">INDEX(Tbl_71_10,IF(INDEX(FLT_Prod_Info,$HV16,DC$25)&lt;&gt;"Crude Oil",1,2),(MATCH(INDEX(FLT_Cons,$HH16,$HR16),Tbl_71_10_Col,0)))</f>
        <v>1.5E-3</v>
      </c>
      <c r="DP16" s="73" cm="1">
        <f t="array" ref="DP16">INDEX(Flt_Multi,$II16,DC$25)</f>
        <v>5.8309999999999995</v>
      </c>
      <c r="DQ16" s="73">
        <f t="shared" si="19"/>
        <v>3.7425442013977488</v>
      </c>
      <c r="DR16" s="74">
        <f t="shared" si="20"/>
        <v>347.99778155801374</v>
      </c>
      <c r="DS16" s="79" t="str" cm="1">
        <f t="array" ref="DS16">IF(ISBLANK(INDEX(FLT_Prod_Info,$HU16,DS$25)),INDEX(FLT_Prod_Info,$HT16,DS$25),INDEX(FLT_Prod_Info,$HT16,DS$25)&amp;" &amp; "&amp;INDEX(FLT_Prod_Info,$HU16,DS$25))</f>
        <v xml:space="preserve">Av-Gas &amp; </v>
      </c>
      <c r="DT16" s="73" cm="1">
        <f t="array" ref="DT16">IF(INDEX(FLT_Cons,$HH16,$HO16)&lt;&gt;"External Floating Roof",0,INDEX(Flt_Fitting,$HX16,DS$25*$HY16+$HZ16))</f>
        <v>0</v>
      </c>
      <c r="DU16" s="73" cm="1">
        <f t="array" ref="DU16">INDEX(Flt_Temps,$IE16,DS$25)</f>
        <v>522.81295481569566</v>
      </c>
      <c r="DV16" s="73" cm="1">
        <f t="array" ref="DV16">INDEX(Flt_Vap,$IF16,DS$25)</f>
        <v>3.1937895753060208</v>
      </c>
      <c r="DW16" s="73" cm="1">
        <f t="array" ref="DW16">INDEX(Flt_Vap,$IG16,DS$25)</f>
        <v>0.12187147716315859</v>
      </c>
      <c r="DX16" s="73" cm="1">
        <f t="array" ref="DX16">INDEX(Flt_Vap,$IH16,DS$25)</f>
        <v>80</v>
      </c>
      <c r="DY16" s="73" cm="1">
        <f t="array" ref="DY16">IF(INDEX(FLT_Prod_Info,$HV16,DS$25)="Crude Oil",0.4,1)</f>
        <v>1</v>
      </c>
      <c r="DZ16" s="73" cm="1">
        <f t="array" ref="DZ16">INDEX(Month_Ref,DS$25,3)/365*($C16+$D16*DT16^$E16)*$F16*DW16*DX16*DY16</f>
        <v>39.746796278088766</v>
      </c>
      <c r="EA16" s="73" cm="1">
        <f t="array" ref="EA16">INDEX(Flt_Fitting,$IA16,DS$25*$IC16)</f>
        <v>31.329534246575339</v>
      </c>
      <c r="EB16" s="73">
        <f t="shared" si="21"/>
        <v>305.45412939711207</v>
      </c>
      <c r="EC16" s="73" cm="1">
        <f t="array" ref="EC16">INDEX(Month_Ref,DS$25,3)/365*$G16*$H16*($F16^2)*DW16*DX16*DY16</f>
        <v>0</v>
      </c>
      <c r="ED16" s="73" cm="1">
        <f t="array" ref="ED16">INDEX(FLT_Prod_Info,$HW16,DS$25)</f>
        <v>35808</v>
      </c>
      <c r="EE16" s="73" cm="1">
        <f t="array" ref="EE16">INDEX(Tbl_71_10,IF(INDEX(FLT_Prod_Info,$HV16,DS$25)&lt;&gt;"Crude Oil",1,2),(MATCH(INDEX(FLT_Cons,$HH16,$HR16),Tbl_71_10_Col,0)))</f>
        <v>1.5E-3</v>
      </c>
      <c r="EF16" s="73" cm="1">
        <f t="array" ref="EF16">INDEX(Flt_Multi,$II16,DS$25)</f>
        <v>5.8309999999999995</v>
      </c>
      <c r="EG16" s="73">
        <f t="shared" si="22"/>
        <v>3.7425442013977488</v>
      </c>
      <c r="EH16" s="74">
        <f t="shared" si="23"/>
        <v>348.94346987659861</v>
      </c>
      <c r="EI16" s="79" t="str" cm="1">
        <f t="array" ref="EI16">IF(ISBLANK(INDEX(FLT_Prod_Info,$HU16,EI$25)),INDEX(FLT_Prod_Info,$HT16,EI$25),INDEX(FLT_Prod_Info,$HT16,EI$25)&amp;" &amp; "&amp;INDEX(FLT_Prod_Info,$HU16,EI$25))</f>
        <v xml:space="preserve">Av-Gas &amp; </v>
      </c>
      <c r="EJ16" s="73" cm="1">
        <f t="array" ref="EJ16">IF(INDEX(FLT_Cons,$HH16,$HO16)&lt;&gt;"External Floating Roof",0,INDEX(Flt_Fitting,$HX16,EI$25*$HY16+$HZ16))</f>
        <v>0</v>
      </c>
      <c r="EK16" s="73" cm="1">
        <f t="array" ref="EK16">INDEX(Flt_Temps,$IE16,EI$25)</f>
        <v>520.05408442330577</v>
      </c>
      <c r="EL16" s="73" cm="1">
        <f t="array" ref="EL16">INDEX(Flt_Vap,$IF16,EI$25)</f>
        <v>3.011127514483122</v>
      </c>
      <c r="EM16" s="73" cm="1">
        <f t="array" ref="EM16">INDEX(Flt_Vap,$IG16,EI$25)</f>
        <v>0.1141059556877897</v>
      </c>
      <c r="EN16" s="73" cm="1">
        <f t="array" ref="EN16">INDEX(Flt_Vap,$IH16,EI$25)</f>
        <v>80</v>
      </c>
      <c r="EO16" s="73" cm="1">
        <f t="array" ref="EO16">IF(INDEX(FLT_Prod_Info,$HV16,EI$25)="Crude Oil",0.4,1)</f>
        <v>1</v>
      </c>
      <c r="EP16" s="73" cm="1">
        <f t="array" ref="EP16">INDEX(Month_Ref,EI$25,3)/365*($C16+$D16*EJ16^$E16)*$F16*EM16*EN16*EO16</f>
        <v>36.013715329406494</v>
      </c>
      <c r="EQ16" s="73" cm="1">
        <f t="array" ref="EQ16">INDEX(Flt_Fitting,$IA16,EI$25*$IC16)</f>
        <v>30.318904109589045</v>
      </c>
      <c r="ER16" s="73">
        <f t="shared" si="24"/>
        <v>276.76540230648902</v>
      </c>
      <c r="ES16" s="73" cm="1">
        <f t="array" ref="ES16">INDEX(Month_Ref,EI$25,3)/365*$G16*$H16*($F16^2)*EM16*EN16*EO16</f>
        <v>0</v>
      </c>
      <c r="ET16" s="73" cm="1">
        <f t="array" ref="ET16">INDEX(FLT_Prod_Info,$HW16,EI$25)</f>
        <v>35808</v>
      </c>
      <c r="EU16" s="73" cm="1">
        <f t="array" ref="EU16">INDEX(Tbl_71_10,IF(INDEX(FLT_Prod_Info,$HV16,EI$25)&lt;&gt;"Crude Oil",1,2),(MATCH(INDEX(FLT_Cons,$HH16,$HR16),Tbl_71_10_Col,0)))</f>
        <v>1.5E-3</v>
      </c>
      <c r="EV16" s="73" cm="1">
        <f t="array" ref="EV16">INDEX(Flt_Multi,$II16,EI$25)</f>
        <v>5.8309999999999995</v>
      </c>
      <c r="EW16" s="73">
        <f t="shared" si="25"/>
        <v>3.7425442013977488</v>
      </c>
      <c r="EX16" s="74">
        <f t="shared" si="26"/>
        <v>316.52166183729332</v>
      </c>
      <c r="EY16" s="79" t="str" cm="1">
        <f t="array" ref="EY16">IF(ISBLANK(INDEX(FLT_Prod_Info,$HU16,EY$25)),INDEX(FLT_Prod_Info,$HT16,EY$25),INDEX(FLT_Prod_Info,$HT16,EY$25)&amp;" &amp; "&amp;INDEX(FLT_Prod_Info,$HU16,EY$25))</f>
        <v xml:space="preserve">Av-Gas &amp; </v>
      </c>
      <c r="EZ16" s="73" cm="1">
        <f t="array" ref="EZ16">IF(INDEX(FLT_Cons,$HH16,$HO16)&lt;&gt;"External Floating Roof",0,INDEX(Flt_Fitting,$HX16,EY$25*$HY16+$HZ16))</f>
        <v>0</v>
      </c>
      <c r="FA16" s="73" cm="1">
        <f t="array" ref="FA16">INDEX(Flt_Temps,$IE16,EY$25)</f>
        <v>513.37857312722929</v>
      </c>
      <c r="FB16" s="73" cm="1">
        <f t="array" ref="FB16">INDEX(Flt_Vap,$IF16,EY$25)</f>
        <v>2.6043777623569655</v>
      </c>
      <c r="FC16" s="73" cm="1">
        <f t="array" ref="FC16">INDEX(Flt_Vap,$IG16,EY$25)</f>
        <v>9.7194151315444469E-2</v>
      </c>
      <c r="FD16" s="73" cm="1">
        <f t="array" ref="FD16">INDEX(Flt_Vap,$IH16,EY$25)</f>
        <v>80</v>
      </c>
      <c r="FE16" s="73" cm="1">
        <f t="array" ref="FE16">IF(INDEX(FLT_Prod_Info,$HV16,EY$25)="Crude Oil",0.4,1)</f>
        <v>1</v>
      </c>
      <c r="FF16" s="73" cm="1">
        <f t="array" ref="FF16">INDEX(Month_Ref,EY$25,3)/365*($C16+$D16*EZ16^$E16)*$F16*FC16*FD16*FE16</f>
        <v>31.698607596138384</v>
      </c>
      <c r="FG16" s="73" cm="1">
        <f t="array" ref="FG16">INDEX(Flt_Fitting,$IA16,EY$25*$IC16)</f>
        <v>31.329534246575339</v>
      </c>
      <c r="FH16" s="73">
        <f t="shared" si="27"/>
        <v>243.60379937632345</v>
      </c>
      <c r="FI16" s="73" cm="1">
        <f t="array" ref="FI16">INDEX(Month_Ref,EY$25,3)/365*$G16*$H16*($F16^2)*FC16*FD16*FE16</f>
        <v>0</v>
      </c>
      <c r="FJ16" s="73" cm="1">
        <f t="array" ref="FJ16">INDEX(FLT_Prod_Info,$HW16,EY$25)</f>
        <v>35808</v>
      </c>
      <c r="FK16" s="73" cm="1">
        <f t="array" ref="FK16">INDEX(Tbl_71_10,IF(INDEX(FLT_Prod_Info,$HV16,EY$25)&lt;&gt;"Crude Oil",1,2),(MATCH(INDEX(FLT_Cons,$HH16,$HR16),Tbl_71_10_Col,0)))</f>
        <v>1.5E-3</v>
      </c>
      <c r="FL16" s="73" cm="1">
        <f t="array" ref="FL16">INDEX(Flt_Multi,$II16,EY$25)</f>
        <v>5.8309999999999995</v>
      </c>
      <c r="FM16" s="73">
        <f t="shared" si="28"/>
        <v>3.7425442013977488</v>
      </c>
      <c r="FN16" s="74">
        <f t="shared" si="29"/>
        <v>279.0449511738596</v>
      </c>
      <c r="FO16" s="79" t="str" cm="1">
        <f t="array" ref="FO16">IF(ISBLANK(INDEX(FLT_Prod_Info,$HU16,FO$25)),INDEX(FLT_Prod_Info,$HT16,FO$25),INDEX(FLT_Prod_Info,$HT16,FO$25)&amp;" &amp; "&amp;INDEX(FLT_Prod_Info,$HU16,FO$25))</f>
        <v xml:space="preserve">Av-Gas &amp; </v>
      </c>
      <c r="FP16" s="73" cm="1">
        <f t="array" ref="FP16">IF(INDEX(FLT_Cons,$HH16,$HO16)&lt;&gt;"External Floating Roof",0,INDEX(Flt_Fitting,$HX16,FO$25*$HY16+$HZ16))</f>
        <v>0</v>
      </c>
      <c r="FQ16" s="73" cm="1">
        <f t="array" ref="FQ16">INDEX(Flt_Temps,$IE16,FO$25)</f>
        <v>507.30614298454219</v>
      </c>
      <c r="FR16" s="73" cm="1">
        <f t="array" ref="FR16">INDEX(Flt_Vap,$IF16,FO$25)</f>
        <v>2.2747411697543671</v>
      </c>
      <c r="FS16" s="73" cm="1">
        <f t="array" ref="FS16">INDEX(Flt_Vap,$IG16,FO$25)</f>
        <v>8.3860625404169387E-2</v>
      </c>
      <c r="FT16" s="73" cm="1">
        <f t="array" ref="FT16">INDEX(Flt_Vap,$IH16,FO$25)</f>
        <v>80</v>
      </c>
      <c r="FU16" s="73" cm="1">
        <f t="array" ref="FU16">IF(INDEX(FLT_Prod_Info,$HV16,FO$25)="Crude Oil",0.4,1)</f>
        <v>1</v>
      </c>
      <c r="FV16" s="73" cm="1">
        <f t="array" ref="FV16">INDEX(Month_Ref,FO$25,3)/365*($C16+$D16*FP16^$E16)*$F16*FS16*FT16*FU16</f>
        <v>26.46779190838442</v>
      </c>
      <c r="FW16" s="73" cm="1">
        <f t="array" ref="FW16">INDEX(Flt_Fitting,$IA16,FO$25*$IC16)</f>
        <v>30.318904109589045</v>
      </c>
      <c r="FX16" s="73">
        <f t="shared" si="30"/>
        <v>203.40498081593432</v>
      </c>
      <c r="FY16" s="73" cm="1">
        <f t="array" ref="FY16">INDEX(Month_Ref,FO$25,3)/365*$G16*$H16*($F16^2)*FS16*FT16*FU16</f>
        <v>0</v>
      </c>
      <c r="FZ16" s="73" cm="1">
        <f t="array" ref="FZ16">INDEX(FLT_Prod_Info,$HW16,FO$25)</f>
        <v>35808</v>
      </c>
      <c r="GA16" s="73" cm="1">
        <f t="array" ref="GA16">INDEX(Tbl_71_10,IF(INDEX(FLT_Prod_Info,$HV16,FO$25)&lt;&gt;"Crude Oil",1,2),(MATCH(INDEX(FLT_Cons,$HH16,$HR16),Tbl_71_10_Col,0)))</f>
        <v>1.5E-3</v>
      </c>
      <c r="GB16" s="73" cm="1">
        <f t="array" ref="GB16">INDEX(Flt_Multi,$II16,FO$25)</f>
        <v>5.8309999999999995</v>
      </c>
      <c r="GC16" s="73">
        <f t="shared" si="31"/>
        <v>3.7425442013977488</v>
      </c>
      <c r="GD16" s="74">
        <f t="shared" si="32"/>
        <v>233.61531692571648</v>
      </c>
      <c r="GE16" s="79" t="str" cm="1">
        <f t="array" ref="GE16">IF(ISBLANK(INDEX(FLT_Prod_Info,$HU16,GE$25)),INDEX(FLT_Prod_Info,$HT16,GE$25),INDEX(FLT_Prod_Info,$HT16,GE$25)&amp;" &amp; "&amp;INDEX(FLT_Prod_Info,$HU16,GE$25))</f>
        <v xml:space="preserve">Av-Gas &amp; </v>
      </c>
      <c r="GF16" s="73" cm="1">
        <f t="array" ref="GF16">IF(INDEX(FLT_Cons,$HH16,$HO16)&lt;&gt;"External Floating Roof",0,INDEX(Flt_Fitting,$HX16,GE$25*$HY16+$HZ16))</f>
        <v>0</v>
      </c>
      <c r="GG16" s="73" cm="1">
        <f t="array" ref="GG16">INDEX(Flt_Temps,$IE16,GE$25)</f>
        <v>503.66817181926268</v>
      </c>
      <c r="GH16" s="73" cm="1">
        <f t="array" ref="GH16">INDEX(Flt_Vap,$IF16,GE$25)</f>
        <v>2.0943201467179966</v>
      </c>
      <c r="GI16" s="73" cm="1">
        <f t="array" ref="GI16">INDEX(Flt_Vap,$IG16,GE$25)</f>
        <v>7.6699066200553515E-2</v>
      </c>
      <c r="GJ16" s="73" cm="1">
        <f t="array" ref="GJ16">INDEX(Flt_Vap,$IH16,GE$25)</f>
        <v>80</v>
      </c>
      <c r="GK16" s="73" cm="1">
        <f t="array" ref="GK16">IF(INDEX(FLT_Prod_Info,$HV16,GE$25)="Crude Oil",0.4,1)</f>
        <v>1</v>
      </c>
      <c r="GL16" s="73" cm="1">
        <f t="array" ref="GL16">INDEX(Month_Ref,GE$25,3)/365*($C16+$D16*GF16^$E16)*$F16*GI16*GJ16*GK16</f>
        <v>25.014402302777782</v>
      </c>
      <c r="GM16" s="73" cm="1">
        <f t="array" ref="GM16">INDEX(Flt_Fitting,$IA16,GE$25*$IC16)</f>
        <v>31.329534246575339</v>
      </c>
      <c r="GN16" s="73">
        <f t="shared" si="33"/>
        <v>192.23568169684722</v>
      </c>
      <c r="GO16" s="73" cm="1">
        <f t="array" ref="GO16">INDEX(Month_Ref,GE$25,3)/365*$G16*$H16*($F16^2)*GI16*GJ16*GK16</f>
        <v>0</v>
      </c>
      <c r="GP16" s="73" cm="1">
        <f t="array" ref="GP16">INDEX(FLT_Prod_Info,$HW16,GE$25)</f>
        <v>35808</v>
      </c>
      <c r="GQ16" s="73" cm="1">
        <f t="array" ref="GQ16">INDEX(Tbl_71_10,IF(INDEX(FLT_Prod_Info,$HV16,GE$25)&lt;&gt;"Crude Oil",1,2),(MATCH(INDEX(FLT_Cons,$HH16,$HR16),Tbl_71_10_Col,0)))</f>
        <v>1.5E-3</v>
      </c>
      <c r="GR16" s="73" cm="1">
        <f t="array" ref="GR16">INDEX(Flt_Multi,$II16,GE$25)</f>
        <v>5.8309999999999995</v>
      </c>
      <c r="GS16" s="73">
        <f t="shared" si="34"/>
        <v>3.7425442013977488</v>
      </c>
      <c r="GT16" s="74">
        <f t="shared" si="35"/>
        <v>220.99262820102274</v>
      </c>
      <c r="GU16" s="79">
        <f t="shared" si="36"/>
        <v>371.0903215560607</v>
      </c>
      <c r="GV16" s="73">
        <f t="shared" si="37"/>
        <v>0.18554516077803035</v>
      </c>
      <c r="GW16" s="79">
        <f t="shared" si="38"/>
        <v>2851.8291211583264</v>
      </c>
      <c r="GX16" s="73">
        <f t="shared" si="39"/>
        <v>1.4259145605791632</v>
      </c>
      <c r="GY16" s="79">
        <f t="shared" si="40"/>
        <v>0</v>
      </c>
      <c r="GZ16" s="73">
        <f t="shared" si="41"/>
        <v>0</v>
      </c>
      <c r="HA16" s="73">
        <f t="shared" si="42"/>
        <v>3222.9194427143871</v>
      </c>
      <c r="HB16" s="73">
        <f t="shared" si="43"/>
        <v>1.6114597213571935</v>
      </c>
      <c r="HC16" s="79">
        <f t="shared" si="44"/>
        <v>44.910530416772986</v>
      </c>
      <c r="HD16" s="73">
        <f t="shared" si="45"/>
        <v>2.2455265208386494E-2</v>
      </c>
      <c r="HE16" s="73">
        <f t="shared" si="46"/>
        <v>3267.8299731311599</v>
      </c>
      <c r="HF16" s="74">
        <f t="shared" si="47"/>
        <v>1.63391498656558</v>
      </c>
      <c r="HH16" s="43">
        <f t="shared" si="48"/>
        <v>6</v>
      </c>
      <c r="HI16" s="43">
        <v>1</v>
      </c>
      <c r="HJ16" s="43">
        <v>2</v>
      </c>
      <c r="HK16" s="43">
        <v>4</v>
      </c>
      <c r="HL16" s="43">
        <v>17</v>
      </c>
      <c r="HM16" s="43">
        <v>18</v>
      </c>
      <c r="HN16" s="43">
        <v>5</v>
      </c>
      <c r="HO16" s="43">
        <v>13</v>
      </c>
      <c r="HP16" s="43">
        <v>14</v>
      </c>
      <c r="HQ16" s="43">
        <v>15</v>
      </c>
      <c r="HR16" s="43">
        <v>12</v>
      </c>
      <c r="HS16" s="43">
        <v>20</v>
      </c>
      <c r="HT16" s="43">
        <f t="shared" si="49"/>
        <v>61</v>
      </c>
      <c r="HU16" s="43">
        <f t="shared" si="64"/>
        <v>66</v>
      </c>
      <c r="HV16" s="43">
        <f t="shared" si="65"/>
        <v>62</v>
      </c>
      <c r="HW16" s="43">
        <f t="shared" si="66"/>
        <v>71</v>
      </c>
      <c r="HX16" s="43">
        <f t="shared" si="51"/>
        <v>76</v>
      </c>
      <c r="HY16" s="43">
        <v>3</v>
      </c>
      <c r="HZ16" s="43">
        <v>-2</v>
      </c>
      <c r="IA16" s="43">
        <f t="shared" si="52"/>
        <v>90</v>
      </c>
      <c r="IB16" s="43">
        <f t="shared" si="53"/>
        <v>105</v>
      </c>
      <c r="IC16" s="43">
        <v>3</v>
      </c>
      <c r="ID16" s="43">
        <v>0</v>
      </c>
      <c r="IE16" s="43">
        <f t="shared" si="54"/>
        <v>66</v>
      </c>
      <c r="IF16" s="43">
        <f t="shared" si="55"/>
        <v>132</v>
      </c>
      <c r="IG16" s="43">
        <f t="shared" si="67"/>
        <v>133</v>
      </c>
      <c r="IH16" s="43">
        <f t="shared" si="68"/>
        <v>138</v>
      </c>
      <c r="II16" s="43">
        <f t="shared" si="57"/>
        <v>84</v>
      </c>
      <c r="IJ16" s="43">
        <f t="shared" si="58"/>
        <v>77</v>
      </c>
    </row>
    <row r="17" spans="1:244" x14ac:dyDescent="0.4">
      <c r="A17" s="43" t="str" cm="1">
        <f t="array" ref="A17">INDEX(FLT_Cons,$HH17,HI$11)</f>
        <v>FLT - 7</v>
      </c>
      <c r="B17" s="96" t="str" cm="1">
        <f t="array" ref="B17">INDEX(FLT_Cons,$HH17,HJ$11)</f>
        <v>INTANK 95</v>
      </c>
      <c r="C17" s="79" cm="1">
        <f t="array" ref="C17">IF(INDEX(FLT_Cons,$HH17,$HK17)="Welded",IF(INDEX(FLT_Cons,$HH17,$HM17)="Average",INDEX(Tbl_71_8_Weld,MATCH(INDEX(FLT_Cons,$HH17,$HL17),Tbl_71_8W_Name,0),2),INDEX(Tbl_71_8_Weld,MATCH(INDEX(FLT_Cons,$HH17,$HL17),Tbl_71_8W_Name,0),3)),INDEX(Tbl_71_8_Riv,MATCH(INDEX(FLT_Cons,$HH17,$HL17),Tbl_71_8R_Name,0),2))</f>
        <v>0.6</v>
      </c>
      <c r="D17" s="73" cm="1">
        <f t="array" ref="D17">IF(INDEX(FLT_Cons,$HH17,$HK17)="Welded",IF(INDEX(FLT_Cons,$HH17,$HM17)="Average",INDEX(Tbl_71_8_Weld,MATCH(INDEX(FLT_Cons,$HH17,$HL17),Tbl_71_8W_Name,0),4),INDEX(Tbl_71_8_Weld,MATCH(INDEX(FLT_Cons,$HH17,$HL17),Tbl_71_8W_Name,0),5)),INDEX(Tbl_71_8_Riv,MATCH(INDEX(FLT_Cons,$HH17,$HL17),Tbl_71_8R_Name,0),3))</f>
        <v>0.4</v>
      </c>
      <c r="E17" s="73" cm="1">
        <f t="array" ref="E17">IF(INDEX(FLT_Cons,$HH17,$HK17)="Welded",IF(INDEX(FLT_Cons,$HH17,$HM17)="Average",INDEX(Tbl_71_8_Weld,MATCH(INDEX(FLT_Cons,$HH17,$HL17),Tbl_71_8W_Name,0),6),INDEX(Tbl_71_8_Weld,MATCH(INDEX(FLT_Cons,$HH17,$HL17),Tbl_71_8W_Name,0),7)),INDEX(Tbl_71_8_Riv,MATCH(INDEX(FLT_Cons,$HH17,$HL17),Tbl_71_8R_Name,0),4))</f>
        <v>1</v>
      </c>
      <c r="F17" s="73" cm="1">
        <f t="array" ref="F17">INDEX(FLT_Cons,$HH17,$HN17)</f>
        <v>48</v>
      </c>
      <c r="G17" s="73" cm="1">
        <f t="array" ref="G17">IF(INDEX(FLT_Cons,$HH17,$HP17)="Bolted Deck",0.14,0)</f>
        <v>0</v>
      </c>
      <c r="H17" s="73" cm="1">
        <f t="array" ref="H17">INDEX(Tbl_71_16,MATCH(INDEX(FLT_Cons,$HH17,$HQ17),Bolted_Deck_Cons_Name,0),2)</f>
        <v>0</v>
      </c>
      <c r="I17" s="73" cm="1">
        <f t="array" ref="I17">INDEX(Sup_Col,$IJ17,1)</f>
        <v>1</v>
      </c>
      <c r="J17" s="74" cm="1">
        <f t="array" ref="J17">INDEX(FC,MATCH(INDEX(FLT_Cons,$HH17,$HS17),Roof_Column_Cons,0),2)</f>
        <v>1.1000000000000001</v>
      </c>
      <c r="K17" s="79" t="str" cm="1">
        <f t="array" ref="K17">IF(ISBLANK(INDEX(FLT_Prod_Info,$HU17,K$25)),INDEX(FLT_Prod_Info,$HT17,K$25),INDEX(FLT_Prod_Info,$HT17,K$25)&amp;" &amp; "&amp;INDEX(FLT_Prod_Info,$HU17,K$25))</f>
        <v xml:space="preserve">Jet kerosene &amp; </v>
      </c>
      <c r="L17" s="73" cm="1">
        <f t="array" ref="L17">IF(INDEX(FLT_Cons,$HH17,$HO17)&lt;&gt;"External Floating Roof",0,INDEX(Flt_Fitting,$HX17,K$25*$HY17+$HZ17))</f>
        <v>0</v>
      </c>
      <c r="M17" s="73" cm="1">
        <f t="array" ref="M17">INDEX(Flt_Temps,$IE17,K$25)</f>
        <v>504.97043718164542</v>
      </c>
      <c r="N17" s="73" cm="1">
        <f t="array" ref="N17">INDEX(Flt_Vap,$IF17,K$25)</f>
        <v>4.9908726931861365E-3</v>
      </c>
      <c r="O17" s="73" cm="1">
        <f t="array" ref="O17">INDEX(Flt_Vap,$IG17,K$25)</f>
        <v>1.6978639712514365E-4</v>
      </c>
      <c r="P17" s="73" cm="1">
        <f t="array" ref="P17">INDEX(Flt_Vap,$IH17,K$25)</f>
        <v>130</v>
      </c>
      <c r="Q17" s="73" cm="1">
        <f t="array" ref="Q17">IF(INDEX(FLT_Prod_Info,$HV17,K$25)="Crude Oil",0.4,1)</f>
        <v>1</v>
      </c>
      <c r="R17" s="73" cm="1">
        <f t="array" ref="R17">INDEX(Month_Ref,K$25,3)/365*($C17+$D17*L17^$E17)*$F17*O17*P17*Q17</f>
        <v>5.3989283276527869E-2</v>
      </c>
      <c r="S17" s="73" cm="1">
        <f t="array" ref="S17">INDEX(Flt_Fitting,$IA17,K$25*$IC17)</f>
        <v>29.758301369863013</v>
      </c>
      <c r="T17" s="73">
        <f t="shared" si="0"/>
        <v>0.6568321206399248</v>
      </c>
      <c r="U17" s="73" cm="1">
        <f t="array" ref="U17">INDEX(Month_Ref,K$25,3)/365*$G17*$H17*($F17^2)*O17*P17*Q17</f>
        <v>0</v>
      </c>
      <c r="V17" s="73" cm="1">
        <f t="array" ref="V17">INDEX(FLT_Prod_Info,$HW17,K$25)</f>
        <v>9668</v>
      </c>
      <c r="W17" s="73" cm="1">
        <f t="array" ref="W17">INDEX(Tbl_71_10,IF(INDEX(FLT_Prod_Info,$HV17,K$25)&lt;&gt;"Crude Oil",1,2),(MATCH(INDEX(FLT_Cons,$HH17,$HR17),Tbl_71_10_Col,0)))</f>
        <v>1.5E-3</v>
      </c>
      <c r="X17" s="73" cm="1">
        <f t="array" ref="X17">INDEX(Flt_Multi,$II17,K$25)</f>
        <v>7</v>
      </c>
      <c r="Y17" s="73">
        <f t="shared" si="1"/>
        <v>2.0400304549479169</v>
      </c>
      <c r="Z17" s="74">
        <f t="shared" si="2"/>
        <v>2.7508518588643698</v>
      </c>
      <c r="AA17" s="79" t="str" cm="1">
        <f t="array" ref="AA17">IF(ISBLANK(INDEX(FLT_Prod_Info,$HU17,AA$25)),INDEX(FLT_Prod_Info,$HT17,AA$25),INDEX(FLT_Prod_Info,$HT17,AA$25)&amp;" &amp; "&amp;INDEX(FLT_Prod_Info,$HU17,AA$25))</f>
        <v xml:space="preserve">Jet kerosene &amp; </v>
      </c>
      <c r="AB17" s="73" cm="1">
        <f t="array" ref="AB17">IF(INDEX(FLT_Cons,$HH17,$HO17)&lt;&gt;"External Floating Roof",0,INDEX(Flt_Fitting,$HX17,AA$25*$HY17+$HZ17))</f>
        <v>0</v>
      </c>
      <c r="AC17" s="73" cm="1">
        <f t="array" ref="AC17">INDEX(Flt_Temps,$IE17,AA$25)</f>
        <v>506.87219332066257</v>
      </c>
      <c r="AD17" s="73" cm="1">
        <f t="array" ref="AD17">INDEX(Flt_Vap,$IF17,AA$25)</f>
        <v>5.3333695079556664E-3</v>
      </c>
      <c r="AE17" s="73" cm="1">
        <f t="array" ref="AE17">INDEX(Flt_Vap,$IG17,AA$25)</f>
        <v>1.8144004063727634E-4</v>
      </c>
      <c r="AF17" s="73" cm="1">
        <f t="array" ref="AF17">INDEX(Flt_Vap,$IH17,AA$25)</f>
        <v>130</v>
      </c>
      <c r="AG17" s="73" cm="1">
        <f t="array" ref="AG17">IF(INDEX(FLT_Prod_Info,$HV17,AA$25)="Crude Oil",0.4,1)</f>
        <v>1</v>
      </c>
      <c r="AH17" s="73" cm="1">
        <f t="array" ref="AH17">INDEX(Month_Ref,AA$25,3)/365*($C17+$D17*AB17^$E17)*$F17*AE17*AF17*AG17</f>
        <v>5.2111568055032753E-2</v>
      </c>
      <c r="AI17" s="73" cm="1">
        <f t="array" ref="AI17">INDEX(Flt_Fitting,$IA17,AA$25*$IC17)</f>
        <v>26.87846575342466</v>
      </c>
      <c r="AJ17" s="73">
        <f t="shared" si="3"/>
        <v>0.63398788941397144</v>
      </c>
      <c r="AK17" s="73" cm="1">
        <f t="array" ref="AK17">INDEX(Month_Ref,AA$25,3)/365*$G17*$H17*($F17^2)*AE17*AF17*AG17</f>
        <v>0</v>
      </c>
      <c r="AL17" s="73" cm="1">
        <f t="array" ref="AL17">INDEX(FLT_Prod_Info,$HW17,AA$25)</f>
        <v>9668</v>
      </c>
      <c r="AM17" s="73" cm="1">
        <f t="array" ref="AM17">INDEX(Tbl_71_10,IF(INDEX(FLT_Prod_Info,$HV17,AA$25)&lt;&gt;"Crude Oil",1,2),(MATCH(INDEX(FLT_Cons,$HH17,$HR17),Tbl_71_10_Col,0)))</f>
        <v>1.5E-3</v>
      </c>
      <c r="AN17" s="73" cm="1">
        <f t="array" ref="AN17">INDEX(Flt_Multi,$II17,AA$25)</f>
        <v>7</v>
      </c>
      <c r="AO17" s="73">
        <f t="shared" si="4"/>
        <v>2.0400304549479169</v>
      </c>
      <c r="AP17" s="74">
        <f t="shared" si="5"/>
        <v>2.7261299124169214</v>
      </c>
      <c r="AQ17" s="79" t="str" cm="1">
        <f t="array" ref="AQ17">IF(ISBLANK(INDEX(FLT_Prod_Info,$HU17,AQ$25)),INDEX(FLT_Prod_Info,$HT17,AQ$25),INDEX(FLT_Prod_Info,$HT17,AQ$25)&amp;" &amp; "&amp;INDEX(FLT_Prod_Info,$HU17,AQ$25))</f>
        <v xml:space="preserve">Jet kerosene &amp; </v>
      </c>
      <c r="AR17" s="73" cm="1">
        <f t="array" ref="AR17">IF(INDEX(FLT_Cons,$HH17,$HO17)&lt;&gt;"External Floating Roof",0,INDEX(Flt_Fitting,$HX17,AQ$25*$HY17+$HZ17))</f>
        <v>0</v>
      </c>
      <c r="AS17" s="73" cm="1">
        <f t="array" ref="AS17">INDEX(Flt_Temps,$IE17,AQ$25)</f>
        <v>509.45968923703509</v>
      </c>
      <c r="AT17" s="73" cm="1">
        <f t="array" ref="AT17">INDEX(Flt_Vap,$IF17,AQ$25)</f>
        <v>5.8327735820621158E-3</v>
      </c>
      <c r="AU17" s="73" cm="1">
        <f t="array" ref="AU17">INDEX(Flt_Vap,$IG17,AQ$25)</f>
        <v>1.9843302710817828E-4</v>
      </c>
      <c r="AV17" s="73" cm="1">
        <f t="array" ref="AV17">INDEX(Flt_Vap,$IH17,AQ$25)</f>
        <v>130</v>
      </c>
      <c r="AW17" s="73" cm="1">
        <f t="array" ref="AW17">IF(INDEX(FLT_Prod_Info,$HV17,AQ$25)="Crude Oil",0.4,1)</f>
        <v>1</v>
      </c>
      <c r="AX17" s="73" cm="1">
        <f t="array" ref="AX17">INDEX(Month_Ref,AQ$25,3)/365*($C17+$D17*AR17^$E17)*$F17*AU17*AV17*AW17</f>
        <v>6.309844070762631E-2</v>
      </c>
      <c r="AY17" s="73" cm="1">
        <f t="array" ref="AY17">INDEX(Flt_Fitting,$IA17,AQ$25*$IC17)</f>
        <v>29.758301369863013</v>
      </c>
      <c r="AZ17" s="73">
        <f t="shared" si="6"/>
        <v>0.76765387691451759</v>
      </c>
      <c r="BA17" s="73" cm="1">
        <f t="array" ref="BA17">INDEX(Month_Ref,AQ$25,3)/365*$G17*$H17*($F17^2)*AU17*AV17*AW17</f>
        <v>0</v>
      </c>
      <c r="BB17" s="73" cm="1">
        <f t="array" ref="BB17">INDEX(FLT_Prod_Info,$HW17,AQ$25)</f>
        <v>9668</v>
      </c>
      <c r="BC17" s="73" cm="1">
        <f t="array" ref="BC17">INDEX(Tbl_71_10,IF(INDEX(FLT_Prod_Info,$HV17,AQ$25)&lt;&gt;"Crude Oil",1,2),(MATCH(INDEX(FLT_Cons,$HH17,$HR17),Tbl_71_10_Col,0)))</f>
        <v>1.5E-3</v>
      </c>
      <c r="BD17" s="73" cm="1">
        <f t="array" ref="BD17">INDEX(Flt_Multi,$II17,AQ$25)</f>
        <v>7</v>
      </c>
      <c r="BE17" s="73">
        <f t="shared" si="7"/>
        <v>2.0400304549479169</v>
      </c>
      <c r="BF17" s="74">
        <f t="shared" si="8"/>
        <v>2.870782772570061</v>
      </c>
      <c r="BG17" s="79" t="str" cm="1">
        <f t="array" ref="BG17">IF(ISBLANK(INDEX(FLT_Prod_Info,$HU17,BG$25)),INDEX(FLT_Prod_Info,$HT17,BG$25),INDEX(FLT_Prod_Info,$HT17,BG$25)&amp;" &amp; "&amp;INDEX(FLT_Prod_Info,$HU17,BG$25))</f>
        <v xml:space="preserve">Jet kerosene &amp; </v>
      </c>
      <c r="BH17" s="73" cm="1">
        <f t="array" ref="BH17">IF(INDEX(FLT_Cons,$HH17,$HO17)&lt;&gt;"External Floating Roof",0,INDEX(Flt_Fitting,$HX17,BG$25*$HY17+$HZ17))</f>
        <v>0</v>
      </c>
      <c r="BI17" s="73" cm="1">
        <f t="array" ref="BI17">INDEX(Flt_Temps,$IE17,BG$25)</f>
        <v>513.567310062449</v>
      </c>
      <c r="BJ17" s="73" cm="1">
        <f t="array" ref="BJ17">INDEX(Flt_Vap,$IF17,BG$25)</f>
        <v>6.7109156408769006E-3</v>
      </c>
      <c r="BK17" s="73" cm="1">
        <f t="array" ref="BK17">INDEX(Flt_Vap,$IG17,BG$25)</f>
        <v>2.2831455240060017E-4</v>
      </c>
      <c r="BL17" s="73" cm="1">
        <f t="array" ref="BL17">INDEX(Flt_Vap,$IH17,BG$25)</f>
        <v>130</v>
      </c>
      <c r="BM17" s="73" cm="1">
        <f t="array" ref="BM17">IF(INDEX(FLT_Prod_Info,$HV17,BG$25)="Crude Oil",0.4,1)</f>
        <v>1</v>
      </c>
      <c r="BN17" s="73" cm="1">
        <f t="array" ref="BN17">INDEX(Month_Ref,BG$25,3)/365*($C17+$D17*BH17^$E17)*$F17*BK17*BL17*BM17</f>
        <v>7.0258330207220304E-2</v>
      </c>
      <c r="BO17" s="73" cm="1">
        <f t="array" ref="BO17">INDEX(Flt_Fitting,$IA17,BG$25*$IC17)</f>
        <v>28.798356164383556</v>
      </c>
      <c r="BP17" s="73">
        <f t="shared" si="9"/>
        <v>0.85476089368075847</v>
      </c>
      <c r="BQ17" s="73" cm="1">
        <f t="array" ref="BQ17">INDEX(Month_Ref,BG$25,3)/365*$G17*$H17*($F17^2)*BK17*BL17*BM17</f>
        <v>0</v>
      </c>
      <c r="BR17" s="73" cm="1">
        <f t="array" ref="BR17">INDEX(FLT_Prod_Info,$HW17,BG$25)</f>
        <v>9668</v>
      </c>
      <c r="BS17" s="73" cm="1">
        <f t="array" ref="BS17">INDEX(Tbl_71_10,IF(INDEX(FLT_Prod_Info,$HV17,BG$25)&lt;&gt;"Crude Oil",1,2),(MATCH(INDEX(FLT_Cons,$HH17,$HR17),Tbl_71_10_Col,0)))</f>
        <v>1.5E-3</v>
      </c>
      <c r="BT17" s="73" cm="1">
        <f t="array" ref="BT17">INDEX(Flt_Multi,$II17,BG$25)</f>
        <v>7</v>
      </c>
      <c r="BU17" s="73">
        <f t="shared" si="10"/>
        <v>2.0400304549479169</v>
      </c>
      <c r="BV17" s="74">
        <f t="shared" si="11"/>
        <v>2.9650496788358955</v>
      </c>
      <c r="BW17" s="79" t="str" cm="1">
        <f t="array" ref="BW17">IF(ISBLANK(INDEX(FLT_Prod_Info,$HU17,BW$25)),INDEX(FLT_Prod_Info,$HT17,BW$25),INDEX(FLT_Prod_Info,$HT17,BW$25)&amp;" &amp; "&amp;INDEX(FLT_Prod_Info,$HU17,BW$25))</f>
        <v xml:space="preserve">Jet kerosene &amp; </v>
      </c>
      <c r="BX17" s="73" cm="1">
        <f t="array" ref="BX17">IF(INDEX(FLT_Cons,$HH17,$HO17)&lt;&gt;"External Floating Roof",0,INDEX(Flt_Fitting,$HX17,BW$25*$HY17+$HZ17))</f>
        <v>0</v>
      </c>
      <c r="BY17" s="73" cm="1">
        <f t="array" ref="BY17">INDEX(Flt_Temps,$IE17,BW$25)</f>
        <v>519.33910188976381</v>
      </c>
      <c r="BZ17" s="73" cm="1">
        <f t="array" ref="BZ17">INDEX(Flt_Vap,$IF17,BW$25)</f>
        <v>8.1420968892496615E-3</v>
      </c>
      <c r="CA17" s="73" cm="1">
        <f t="array" ref="CA17">INDEX(Flt_Vap,$IG17,BW$25)</f>
        <v>2.7701878922012363E-4</v>
      </c>
      <c r="CB17" s="73" cm="1">
        <f t="array" ref="CB17">INDEX(Flt_Vap,$IH17,BW$25)</f>
        <v>130</v>
      </c>
      <c r="CC17" s="73" cm="1">
        <f t="array" ref="CC17">IF(INDEX(FLT_Prod_Info,$HV17,BW$25)="Crude Oil",0.4,1)</f>
        <v>1</v>
      </c>
      <c r="CD17" s="73" cm="1">
        <f t="array" ref="CD17">INDEX(Month_Ref,BW$25,3)/365*($C17+$D17*BX17^$E17)*$F17*CA17*CB17*CC17</f>
        <v>8.8087421238477889E-2</v>
      </c>
      <c r="CE17" s="73" cm="1">
        <f t="array" ref="CE17">INDEX(Flt_Fitting,$IA17,BW$25*$IC17)</f>
        <v>29.758301369863013</v>
      </c>
      <c r="CF17" s="73">
        <f t="shared" si="12"/>
        <v>1.0716691199145096</v>
      </c>
      <c r="CG17" s="73" cm="1">
        <f t="array" ref="CG17">INDEX(Month_Ref,BW$25,3)/365*$G17*$H17*($F17^2)*CA17*CB17*CC17</f>
        <v>0</v>
      </c>
      <c r="CH17" s="73" cm="1">
        <f t="array" ref="CH17">INDEX(FLT_Prod_Info,$HW17,BW$25)</f>
        <v>9668</v>
      </c>
      <c r="CI17" s="73" cm="1">
        <f t="array" ref="CI17">INDEX(Tbl_71_10,IF(INDEX(FLT_Prod_Info,$HV17,BW$25)&lt;&gt;"Crude Oil",1,2),(MATCH(INDEX(FLT_Cons,$HH17,$HR17),Tbl_71_10_Col,0)))</f>
        <v>1.5E-3</v>
      </c>
      <c r="CJ17" s="73" cm="1">
        <f t="array" ref="CJ17">INDEX(Flt_Multi,$II17,BW$25)</f>
        <v>7</v>
      </c>
      <c r="CK17" s="73">
        <f t="shared" si="13"/>
        <v>2.0400304549479169</v>
      </c>
      <c r="CL17" s="74">
        <f t="shared" si="14"/>
        <v>3.1997869961009044</v>
      </c>
      <c r="CM17" s="79" t="str" cm="1">
        <f t="array" ref="CM17">IF(ISBLANK(INDEX(FLT_Prod_Info,$HU17,CM$25)),INDEX(FLT_Prod_Info,$HT17,CM$25),INDEX(FLT_Prod_Info,$HT17,CM$25)&amp;" &amp; "&amp;INDEX(FLT_Prod_Info,$HU17,CM$25))</f>
        <v xml:space="preserve">Jet kerosene &amp; </v>
      </c>
      <c r="CN17" s="73" cm="1">
        <f t="array" ref="CN17">IF(INDEX(FLT_Cons,$HH17,$HO17)&lt;&gt;"External Floating Roof",0,INDEX(Flt_Fitting,$HX17,CM$25*$HY17+$HZ17))</f>
        <v>0</v>
      </c>
      <c r="CO17" s="73" cm="1">
        <f t="array" ref="CO17">INDEX(Flt_Temps,$IE17,CM$25)</f>
        <v>523.52493088786321</v>
      </c>
      <c r="CP17" s="73" cm="1">
        <f t="array" ref="CP17">INDEX(Flt_Vap,$IF17,CM$25)</f>
        <v>9.3425153717444642E-3</v>
      </c>
      <c r="CQ17" s="73" cm="1">
        <f t="array" ref="CQ17">INDEX(Flt_Vap,$IG17,CM$25)</f>
        <v>3.1787364323614527E-4</v>
      </c>
      <c r="CR17" s="73" cm="1">
        <f t="array" ref="CR17">INDEX(Flt_Vap,$IH17,CM$25)</f>
        <v>130</v>
      </c>
      <c r="CS17" s="73" cm="1">
        <f t="array" ref="CS17">IF(INDEX(FLT_Prod_Info,$HV17,CM$25)="Crude Oil",0.4,1)</f>
        <v>1</v>
      </c>
      <c r="CT17" s="73" cm="1">
        <f t="array" ref="CT17">INDEX(Month_Ref,CM$25,3)/365*($C17+$D17*CN17^$E17)*$F17*CQ17*CR17*CS17</f>
        <v>9.781799344735298E-2</v>
      </c>
      <c r="CU17" s="73" cm="1">
        <f t="array" ref="CU17">INDEX(Flt_Fitting,$IA17,CM$25*$IC17)</f>
        <v>28.798356164383556</v>
      </c>
      <c r="CV17" s="73">
        <f t="shared" si="15"/>
        <v>1.1900509911140116</v>
      </c>
      <c r="CW17" s="73" cm="1">
        <f t="array" ref="CW17">INDEX(Month_Ref,CM$25,3)/365*$G17*$H17*($F17^2)*CQ17*CR17*CS17</f>
        <v>0</v>
      </c>
      <c r="CX17" s="73" cm="1">
        <f t="array" ref="CX17">INDEX(FLT_Prod_Info,$HW17,CM$25)</f>
        <v>9668</v>
      </c>
      <c r="CY17" s="73" cm="1">
        <f t="array" ref="CY17">INDEX(Tbl_71_10,IF(INDEX(FLT_Prod_Info,$HV17,CM$25)&lt;&gt;"Crude Oil",1,2),(MATCH(INDEX(FLT_Cons,$HH17,$HR17),Tbl_71_10_Col,0)))</f>
        <v>1.5E-3</v>
      </c>
      <c r="CZ17" s="73" cm="1">
        <f t="array" ref="CZ17">INDEX(Flt_Multi,$II17,CM$25)</f>
        <v>7</v>
      </c>
      <c r="DA17" s="73">
        <f t="shared" si="16"/>
        <v>2.0400304549479169</v>
      </c>
      <c r="DB17" s="74">
        <f t="shared" si="17"/>
        <v>3.3278994395092814</v>
      </c>
      <c r="DC17" s="79" t="str" cm="1">
        <f t="array" ref="DC17">IF(ISBLANK(INDEX(FLT_Prod_Info,$HU17,DC$25)),INDEX(FLT_Prod_Info,$HT17,DC$25),INDEX(FLT_Prod_Info,$HT17,DC$25)&amp;" &amp; "&amp;INDEX(FLT_Prod_Info,$HU17,DC$25))</f>
        <v xml:space="preserve">Jet kerosene &amp; </v>
      </c>
      <c r="DD17" s="73" cm="1">
        <f t="array" ref="DD17">IF(INDEX(FLT_Cons,$HH17,$HO17)&lt;&gt;"External Floating Roof",0,INDEX(Flt_Fitting,$HX17,DC$25*$HY17+$HZ17))</f>
        <v>0</v>
      </c>
      <c r="DE17" s="73" cm="1">
        <f t="array" ref="DE17">INDEX(Flt_Temps,$IE17,DC$25)</f>
        <v>527.37217698615268</v>
      </c>
      <c r="DF17" s="73" cm="1">
        <f t="array" ref="DF17">INDEX(Flt_Vap,$IF17,DC$25)</f>
        <v>1.0580932511488851E-2</v>
      </c>
      <c r="DG17" s="73" cm="1">
        <f t="array" ref="DG17">INDEX(Flt_Vap,$IG17,DC$25)</f>
        <v>3.6002523517703034E-4</v>
      </c>
      <c r="DH17" s="73" cm="1">
        <f t="array" ref="DH17">INDEX(Flt_Vap,$IH17,DC$25)</f>
        <v>130</v>
      </c>
      <c r="DI17" s="73" cm="1">
        <f t="array" ref="DI17">IF(INDEX(FLT_Prod_Info,$HV17,DC$25)="Crude Oil",0.4,1)</f>
        <v>1</v>
      </c>
      <c r="DJ17" s="73" cm="1">
        <f t="array" ref="DJ17">INDEX(Month_Ref,DC$25,3)/365*($C17+$D17*DD17^$E17)*$F17*DG17*DH17*DI17</f>
        <v>0.11448210656325164</v>
      </c>
      <c r="DK17" s="73" cm="1">
        <f t="array" ref="DK17">INDEX(Flt_Fitting,$IA17,DC$25*$IC17)</f>
        <v>29.758301369863013</v>
      </c>
      <c r="DL17" s="73">
        <f t="shared" si="18"/>
        <v>1.3927861283900038</v>
      </c>
      <c r="DM17" s="73" cm="1">
        <f t="array" ref="DM17">INDEX(Month_Ref,DC$25,3)/365*$G17*$H17*($F17^2)*DG17*DH17*DI17</f>
        <v>0</v>
      </c>
      <c r="DN17" s="73" cm="1">
        <f t="array" ref="DN17">INDEX(FLT_Prod_Info,$HW17,DC$25)</f>
        <v>9668</v>
      </c>
      <c r="DO17" s="73" cm="1">
        <f t="array" ref="DO17">INDEX(Tbl_71_10,IF(INDEX(FLT_Prod_Info,$HV17,DC$25)&lt;&gt;"Crude Oil",1,2),(MATCH(INDEX(FLT_Cons,$HH17,$HR17),Tbl_71_10_Col,0)))</f>
        <v>1.5E-3</v>
      </c>
      <c r="DP17" s="73" cm="1">
        <f t="array" ref="DP17">INDEX(Flt_Multi,$II17,DC$25)</f>
        <v>7</v>
      </c>
      <c r="DQ17" s="73">
        <f t="shared" si="19"/>
        <v>2.0400304549479169</v>
      </c>
      <c r="DR17" s="74">
        <f t="shared" si="20"/>
        <v>3.5472986899011727</v>
      </c>
      <c r="DS17" s="79" t="str" cm="1">
        <f t="array" ref="DS17">IF(ISBLANK(INDEX(FLT_Prod_Info,$HU17,DS$25)),INDEX(FLT_Prod_Info,$HT17,DS$25),INDEX(FLT_Prod_Info,$HT17,DS$25)&amp;" &amp; "&amp;INDEX(FLT_Prod_Info,$HU17,DS$25))</f>
        <v xml:space="preserve">Jet kerosene &amp; </v>
      </c>
      <c r="DT17" s="73" cm="1">
        <f t="array" ref="DT17">IF(INDEX(FLT_Cons,$HH17,$HO17)&lt;&gt;"External Floating Roof",0,INDEX(Flt_Fitting,$HX17,DS$25*$HY17+$HZ17))</f>
        <v>0</v>
      </c>
      <c r="DU17" s="73" cm="1">
        <f t="array" ref="DU17">INDEX(Flt_Temps,$IE17,DS$25)</f>
        <v>526.89618739071409</v>
      </c>
      <c r="DV17" s="73" cm="1">
        <f t="array" ref="DV17">INDEX(Flt_Vap,$IF17,DS$25)</f>
        <v>1.0420253968363562E-2</v>
      </c>
      <c r="DW17" s="73" cm="1">
        <f t="array" ref="DW17">INDEX(Flt_Vap,$IG17,DS$25)</f>
        <v>3.5455607254032174E-4</v>
      </c>
      <c r="DX17" s="73" cm="1">
        <f t="array" ref="DX17">INDEX(Flt_Vap,$IH17,DS$25)</f>
        <v>130</v>
      </c>
      <c r="DY17" s="73" cm="1">
        <f t="array" ref="DY17">IF(INDEX(FLT_Prod_Info,$HV17,DS$25)="Crude Oil",0.4,1)</f>
        <v>1</v>
      </c>
      <c r="DZ17" s="73" cm="1">
        <f t="array" ref="DZ17">INDEX(Month_Ref,DS$25,3)/365*($C17+$D17*DT17^$E17)*$F17*DW17*DX17*DY17</f>
        <v>0.11274300274882165</v>
      </c>
      <c r="EA17" s="73" cm="1">
        <f t="array" ref="EA17">INDEX(Flt_Fitting,$IA17,DS$25*$IC17)</f>
        <v>29.758301369863013</v>
      </c>
      <c r="EB17" s="73">
        <f t="shared" si="21"/>
        <v>1.3716282396920878</v>
      </c>
      <c r="EC17" s="73" cm="1">
        <f t="array" ref="EC17">INDEX(Month_Ref,DS$25,3)/365*$G17*$H17*($F17^2)*DW17*DX17*DY17</f>
        <v>0</v>
      </c>
      <c r="ED17" s="73" cm="1">
        <f t="array" ref="ED17">INDEX(FLT_Prod_Info,$HW17,DS$25)</f>
        <v>9668</v>
      </c>
      <c r="EE17" s="73" cm="1">
        <f t="array" ref="EE17">INDEX(Tbl_71_10,IF(INDEX(FLT_Prod_Info,$HV17,DS$25)&lt;&gt;"Crude Oil",1,2),(MATCH(INDEX(FLT_Cons,$HH17,$HR17),Tbl_71_10_Col,0)))</f>
        <v>1.5E-3</v>
      </c>
      <c r="EF17" s="73" cm="1">
        <f t="array" ref="EF17">INDEX(Flt_Multi,$II17,DS$25)</f>
        <v>7</v>
      </c>
      <c r="EG17" s="73">
        <f t="shared" si="22"/>
        <v>2.0400304549479169</v>
      </c>
      <c r="EH17" s="74">
        <f t="shared" si="23"/>
        <v>3.5244016973888264</v>
      </c>
      <c r="EI17" s="79" t="str" cm="1">
        <f t="array" ref="EI17">IF(ISBLANK(INDEX(FLT_Prod_Info,$HU17,EI$25)),INDEX(FLT_Prod_Info,$HT17,EI$25),INDEX(FLT_Prod_Info,$HT17,EI$25)&amp;" &amp; "&amp;INDEX(FLT_Prod_Info,$HU17,EI$25))</f>
        <v xml:space="preserve">Jet kerosene &amp; </v>
      </c>
      <c r="EJ17" s="73" cm="1">
        <f t="array" ref="EJ17">IF(INDEX(FLT_Cons,$HH17,$HO17)&lt;&gt;"External Floating Roof",0,INDEX(Flt_Fitting,$HX17,EI$25*$HY17+$HZ17))</f>
        <v>0</v>
      </c>
      <c r="EK17" s="73" cm="1">
        <f t="array" ref="EK17">INDEX(Flt_Temps,$IE17,EI$25)</f>
        <v>523.3272386858539</v>
      </c>
      <c r="EL17" s="73" cm="1">
        <f t="array" ref="EL17">INDEX(Flt_Vap,$IF17,EI$25)</f>
        <v>9.2824891439311965E-3</v>
      </c>
      <c r="EM17" s="73" cm="1">
        <f t="array" ref="EM17">INDEX(Flt_Vap,$IG17,EI$25)</f>
        <v>3.1583064076276865E-4</v>
      </c>
      <c r="EN17" s="73" cm="1">
        <f t="array" ref="EN17">INDEX(Flt_Vap,$IH17,EI$25)</f>
        <v>130</v>
      </c>
      <c r="EO17" s="73" cm="1">
        <f t="array" ref="EO17">IF(INDEX(FLT_Prod_Info,$HV17,EI$25)="Crude Oil",0.4,1)</f>
        <v>1</v>
      </c>
      <c r="EP17" s="73" cm="1">
        <f t="array" ref="EP17">INDEX(Month_Ref,EI$25,3)/365*($C17+$D17*EJ17^$E17)*$F17*EM17*EN17*EO17</f>
        <v>9.7189308412258021E-2</v>
      </c>
      <c r="EQ17" s="73" cm="1">
        <f t="array" ref="EQ17">INDEX(Flt_Fitting,$IA17,EI$25*$IC17)</f>
        <v>28.798356164383556</v>
      </c>
      <c r="ER17" s="73">
        <f t="shared" si="24"/>
        <v>1.1824024264405193</v>
      </c>
      <c r="ES17" s="73" cm="1">
        <f t="array" ref="ES17">INDEX(Month_Ref,EI$25,3)/365*$G17*$H17*($F17^2)*EM17*EN17*EO17</f>
        <v>0</v>
      </c>
      <c r="ET17" s="73" cm="1">
        <f t="array" ref="ET17">INDEX(FLT_Prod_Info,$HW17,EI$25)</f>
        <v>9668</v>
      </c>
      <c r="EU17" s="73" cm="1">
        <f t="array" ref="EU17">INDEX(Tbl_71_10,IF(INDEX(FLT_Prod_Info,$HV17,EI$25)&lt;&gt;"Crude Oil",1,2),(MATCH(INDEX(FLT_Cons,$HH17,$HR17),Tbl_71_10_Col,0)))</f>
        <v>1.5E-3</v>
      </c>
      <c r="EV17" s="73" cm="1">
        <f t="array" ref="EV17">INDEX(Flt_Multi,$II17,EI$25)</f>
        <v>7</v>
      </c>
      <c r="EW17" s="73">
        <f t="shared" si="25"/>
        <v>2.0400304549479169</v>
      </c>
      <c r="EX17" s="74">
        <f t="shared" si="26"/>
        <v>3.3196221898006946</v>
      </c>
      <c r="EY17" s="79" t="str" cm="1">
        <f t="array" ref="EY17">IF(ISBLANK(INDEX(FLT_Prod_Info,$HU17,EY$25)),INDEX(FLT_Prod_Info,$HT17,EY$25),INDEX(FLT_Prod_Info,$HT17,EY$25)&amp;" &amp; "&amp;INDEX(FLT_Prod_Info,$HU17,EY$25))</f>
        <v xml:space="preserve">Jet kerosene &amp; </v>
      </c>
      <c r="EZ17" s="73" cm="1">
        <f t="array" ref="EZ17">IF(INDEX(FLT_Cons,$HH17,$HO17)&lt;&gt;"External Floating Roof",0,INDEX(Flt_Fitting,$HX17,EY$25*$HY17+$HZ17))</f>
        <v>0</v>
      </c>
      <c r="FA17" s="73" cm="1">
        <f t="array" ref="FA17">INDEX(Flt_Temps,$IE17,EY$25)</f>
        <v>515.37092789573728</v>
      </c>
      <c r="FB17" s="73" cm="1">
        <f t="array" ref="FB17">INDEX(Flt_Vap,$IF17,EY$25)</f>
        <v>7.132118972177537E-3</v>
      </c>
      <c r="FC17" s="73" cm="1">
        <f t="array" ref="FC17">INDEX(Flt_Vap,$IG17,EY$25)</f>
        <v>2.4264794442808003E-4</v>
      </c>
      <c r="FD17" s="73" cm="1">
        <f t="array" ref="FD17">INDEX(Flt_Vap,$IH17,EY$25)</f>
        <v>130</v>
      </c>
      <c r="FE17" s="73" cm="1">
        <f t="array" ref="FE17">IF(INDEX(FLT_Prod_Info,$HV17,EY$25)="Crude Oil",0.4,1)</f>
        <v>1</v>
      </c>
      <c r="FF17" s="73" cm="1">
        <f t="array" ref="FF17">INDEX(Month_Ref,EY$25,3)/365*($C17+$D17*EZ17^$E17)*$F17*FC17*FD17*FE17</f>
        <v>7.7158057594796381E-2</v>
      </c>
      <c r="FG17" s="73" cm="1">
        <f t="array" ref="FG17">INDEX(Flt_Fitting,$IA17,EY$25*$IC17)</f>
        <v>29.758301369863013</v>
      </c>
      <c r="FH17" s="73">
        <f t="shared" si="27"/>
        <v>0.93870278541891516</v>
      </c>
      <c r="FI17" s="73" cm="1">
        <f t="array" ref="FI17">INDEX(Month_Ref,EY$25,3)/365*$G17*$H17*($F17^2)*FC17*FD17*FE17</f>
        <v>0</v>
      </c>
      <c r="FJ17" s="73" cm="1">
        <f t="array" ref="FJ17">INDEX(FLT_Prod_Info,$HW17,EY$25)</f>
        <v>9668</v>
      </c>
      <c r="FK17" s="73" cm="1">
        <f t="array" ref="FK17">INDEX(Tbl_71_10,IF(INDEX(FLT_Prod_Info,$HV17,EY$25)&lt;&gt;"Crude Oil",1,2),(MATCH(INDEX(FLT_Cons,$HH17,$HR17),Tbl_71_10_Col,0)))</f>
        <v>1.5E-3</v>
      </c>
      <c r="FL17" s="73" cm="1">
        <f t="array" ref="FL17">INDEX(Flt_Multi,$II17,EY$25)</f>
        <v>7</v>
      </c>
      <c r="FM17" s="73">
        <f t="shared" si="28"/>
        <v>2.0400304549479169</v>
      </c>
      <c r="FN17" s="74">
        <f t="shared" si="29"/>
        <v>3.0558912979616286</v>
      </c>
      <c r="FO17" s="79" t="str" cm="1">
        <f t="array" ref="FO17">IF(ISBLANK(INDEX(FLT_Prod_Info,$HU17,FO$25)),INDEX(FLT_Prod_Info,$HT17,FO$25),INDEX(FLT_Prod_Info,$HT17,FO$25)&amp;" &amp; "&amp;INDEX(FLT_Prod_Info,$HU17,FO$25))</f>
        <v xml:space="preserve">Jet kerosene &amp; </v>
      </c>
      <c r="FP17" s="73" cm="1">
        <f t="array" ref="FP17">IF(INDEX(FLT_Cons,$HH17,$HO17)&lt;&gt;"External Floating Roof",0,INDEX(Flt_Fitting,$HX17,FO$25*$HY17+$HZ17))</f>
        <v>0</v>
      </c>
      <c r="FQ17" s="73" cm="1">
        <f t="array" ref="FQ17">INDEX(Flt_Temps,$IE17,FO$25)</f>
        <v>508.37621264729842</v>
      </c>
      <c r="FR17" s="73" cm="1">
        <f t="array" ref="FR17">INDEX(Flt_Vap,$IF17,FO$25)</f>
        <v>5.6188259724821105E-3</v>
      </c>
      <c r="FS17" s="73" cm="1">
        <f t="array" ref="FS17">INDEX(Flt_Vap,$IG17,FO$25)</f>
        <v>1.9115306218614426E-4</v>
      </c>
      <c r="FT17" s="73" cm="1">
        <f t="array" ref="FT17">INDEX(Flt_Vap,$IH17,FO$25)</f>
        <v>130</v>
      </c>
      <c r="FU17" s="73" cm="1">
        <f t="array" ref="FU17">IF(INDEX(FLT_Prod_Info,$HV17,FO$25)="Crude Oil",0.4,1)</f>
        <v>1</v>
      </c>
      <c r="FV17" s="73" cm="1">
        <f t="array" ref="FV17">INDEX(Month_Ref,FO$25,3)/365*($C17+$D17*FP17^$E17)*$F17*FS17*FT17*FU17</f>
        <v>5.8822772451363629E-2</v>
      </c>
      <c r="FW17" s="73" cm="1">
        <f t="array" ref="FW17">INDEX(Flt_Fitting,$IA17,FO$25*$IC17)</f>
        <v>28.798356164383556</v>
      </c>
      <c r="FX17" s="73">
        <f t="shared" si="30"/>
        <v>0.71563621567738833</v>
      </c>
      <c r="FY17" s="73" cm="1">
        <f t="array" ref="FY17">INDEX(Month_Ref,FO$25,3)/365*$G17*$H17*($F17^2)*FS17*FT17*FU17</f>
        <v>0</v>
      </c>
      <c r="FZ17" s="73" cm="1">
        <f t="array" ref="FZ17">INDEX(FLT_Prod_Info,$HW17,FO$25)</f>
        <v>9668</v>
      </c>
      <c r="GA17" s="73" cm="1">
        <f t="array" ref="GA17">INDEX(Tbl_71_10,IF(INDEX(FLT_Prod_Info,$HV17,FO$25)&lt;&gt;"Crude Oil",1,2),(MATCH(INDEX(FLT_Cons,$HH17,$HR17),Tbl_71_10_Col,0)))</f>
        <v>1.5E-3</v>
      </c>
      <c r="GB17" s="73" cm="1">
        <f t="array" ref="GB17">INDEX(Flt_Multi,$II17,FO$25)</f>
        <v>7</v>
      </c>
      <c r="GC17" s="73">
        <f t="shared" si="31"/>
        <v>2.0400304549479169</v>
      </c>
      <c r="GD17" s="74">
        <f t="shared" si="32"/>
        <v>2.8144894430766687</v>
      </c>
      <c r="GE17" s="79" t="str" cm="1">
        <f t="array" ref="GE17">IF(ISBLANK(INDEX(FLT_Prod_Info,$HU17,GE$25)),INDEX(FLT_Prod_Info,$HT17,GE$25),INDEX(FLT_Prod_Info,$HT17,GE$25)&amp;" &amp; "&amp;INDEX(FLT_Prod_Info,$HU17,GE$25))</f>
        <v xml:space="preserve">Jet kerosene &amp; </v>
      </c>
      <c r="GF17" s="73" cm="1">
        <f t="array" ref="GF17">IF(INDEX(FLT_Cons,$HH17,$HO17)&lt;&gt;"External Floating Roof",0,INDEX(Flt_Fitting,$HX17,GE$25*$HY17+$HZ17))</f>
        <v>0</v>
      </c>
      <c r="GG17" s="73" cm="1">
        <f t="array" ref="GG17">INDEX(Flt_Temps,$IE17,GE$25)</f>
        <v>504.49467063806696</v>
      </c>
      <c r="GH17" s="73" cm="1">
        <f t="array" ref="GH17">INDEX(Flt_Vap,$IF17,GE$25)</f>
        <v>4.9083016820941801E-3</v>
      </c>
      <c r="GI17" s="73" cm="1">
        <f t="array" ref="GI17">INDEX(Flt_Vap,$IG17,GE$25)</f>
        <v>1.6697691344079227E-4</v>
      </c>
      <c r="GJ17" s="73" cm="1">
        <f t="array" ref="GJ17">INDEX(Flt_Vap,$IH17,GE$25)</f>
        <v>130</v>
      </c>
      <c r="GK17" s="73" cm="1">
        <f t="array" ref="GK17">IF(INDEX(FLT_Prod_Info,$HV17,GE$25)="Crude Oil",0.4,1)</f>
        <v>1</v>
      </c>
      <c r="GL17" s="73" cm="1">
        <f t="array" ref="GL17">INDEX(Month_Ref,GE$25,3)/365*($C17+$D17*GF17^$E17)*$F17*GI17*GJ17*GK17</f>
        <v>5.3095913648197574E-2</v>
      </c>
      <c r="GM17" s="73" cm="1">
        <f t="array" ref="GM17">INDEX(Flt_Fitting,$IA17,GE$25*$IC17)</f>
        <v>29.758301369863013</v>
      </c>
      <c r="GN17" s="73">
        <f t="shared" si="33"/>
        <v>0.64596341055748141</v>
      </c>
      <c r="GO17" s="73" cm="1">
        <f t="array" ref="GO17">INDEX(Month_Ref,GE$25,3)/365*$G17*$H17*($F17^2)*GI17*GJ17*GK17</f>
        <v>0</v>
      </c>
      <c r="GP17" s="73" cm="1">
        <f t="array" ref="GP17">INDEX(FLT_Prod_Info,$HW17,GE$25)</f>
        <v>9668</v>
      </c>
      <c r="GQ17" s="73" cm="1">
        <f t="array" ref="GQ17">INDEX(Tbl_71_10,IF(INDEX(FLT_Prod_Info,$HV17,GE$25)&lt;&gt;"Crude Oil",1,2),(MATCH(INDEX(FLT_Cons,$HH17,$HR17),Tbl_71_10_Col,0)))</f>
        <v>1.5E-3</v>
      </c>
      <c r="GR17" s="73" cm="1">
        <f t="array" ref="GR17">INDEX(Flt_Multi,$II17,GE$25)</f>
        <v>7</v>
      </c>
      <c r="GS17" s="73">
        <f t="shared" si="34"/>
        <v>2.0400304549479169</v>
      </c>
      <c r="GT17" s="74">
        <f t="shared" si="35"/>
        <v>2.7390897791535957</v>
      </c>
      <c r="GU17" s="79">
        <f t="shared" si="36"/>
        <v>0.93885419835092687</v>
      </c>
      <c r="GV17" s="73">
        <f t="shared" si="37"/>
        <v>4.6942709917546343E-4</v>
      </c>
      <c r="GW17" s="79">
        <f t="shared" si="38"/>
        <v>11.42207409785409</v>
      </c>
      <c r="GX17" s="73">
        <f t="shared" si="39"/>
        <v>5.7110370489270451E-3</v>
      </c>
      <c r="GY17" s="79">
        <f t="shared" si="40"/>
        <v>0</v>
      </c>
      <c r="GZ17" s="73">
        <f t="shared" si="41"/>
        <v>0</v>
      </c>
      <c r="HA17" s="73">
        <f t="shared" si="42"/>
        <v>12.360928296205017</v>
      </c>
      <c r="HB17" s="73">
        <f t="shared" si="43"/>
        <v>6.1804641481025087E-3</v>
      </c>
      <c r="HC17" s="79">
        <f t="shared" si="44"/>
        <v>24.480365459375005</v>
      </c>
      <c r="HD17" s="73">
        <f t="shared" si="45"/>
        <v>1.2240182729687502E-2</v>
      </c>
      <c r="HE17" s="73">
        <f t="shared" si="46"/>
        <v>36.841293755580026</v>
      </c>
      <c r="HF17" s="74">
        <f t="shared" si="47"/>
        <v>1.8420646877790013E-2</v>
      </c>
      <c r="HH17" s="43">
        <f t="shared" si="48"/>
        <v>7</v>
      </c>
      <c r="HI17" s="43">
        <v>1</v>
      </c>
      <c r="HJ17" s="43">
        <v>2</v>
      </c>
      <c r="HK17" s="43">
        <v>4</v>
      </c>
      <c r="HL17" s="43">
        <v>17</v>
      </c>
      <c r="HM17" s="43">
        <v>18</v>
      </c>
      <c r="HN17" s="43">
        <v>5</v>
      </c>
      <c r="HO17" s="43">
        <v>13</v>
      </c>
      <c r="HP17" s="43">
        <v>14</v>
      </c>
      <c r="HQ17" s="43">
        <v>15</v>
      </c>
      <c r="HR17" s="43">
        <v>12</v>
      </c>
      <c r="HS17" s="43">
        <v>20</v>
      </c>
      <c r="HT17" s="43">
        <f t="shared" si="49"/>
        <v>73</v>
      </c>
      <c r="HU17" s="43">
        <f t="shared" si="64"/>
        <v>78</v>
      </c>
      <c r="HV17" s="43">
        <f t="shared" si="65"/>
        <v>74</v>
      </c>
      <c r="HW17" s="43">
        <f t="shared" si="66"/>
        <v>83</v>
      </c>
      <c r="HX17" s="43">
        <f t="shared" si="51"/>
        <v>91</v>
      </c>
      <c r="HY17" s="43">
        <v>3</v>
      </c>
      <c r="HZ17" s="43">
        <v>-2</v>
      </c>
      <c r="IA17" s="43">
        <f t="shared" si="52"/>
        <v>105</v>
      </c>
      <c r="IB17" s="43">
        <f t="shared" si="53"/>
        <v>120</v>
      </c>
      <c r="IC17" s="43">
        <v>3</v>
      </c>
      <c r="ID17" s="43">
        <v>0</v>
      </c>
      <c r="IE17" s="43">
        <f t="shared" si="54"/>
        <v>78</v>
      </c>
      <c r="IF17" s="43">
        <f t="shared" si="55"/>
        <v>155</v>
      </c>
      <c r="IG17" s="43">
        <f t="shared" si="67"/>
        <v>156</v>
      </c>
      <c r="IH17" s="43">
        <f t="shared" si="68"/>
        <v>161</v>
      </c>
      <c r="II17" s="43">
        <f t="shared" si="57"/>
        <v>98</v>
      </c>
      <c r="IJ17" s="43">
        <f t="shared" si="58"/>
        <v>92</v>
      </c>
    </row>
    <row r="18" spans="1:244" x14ac:dyDescent="0.4">
      <c r="A18" s="43" t="str" cm="1">
        <f t="array" ref="A18">INDEX(FLT_Cons,$HH18,HI$11)</f>
        <v>FLT - 8</v>
      </c>
      <c r="B18" s="96" t="str" cm="1">
        <f t="array" ref="B18">INDEX(FLT_Cons,$HH18,HJ$11)</f>
        <v>INTANK 104</v>
      </c>
      <c r="C18" s="79" cm="1">
        <f t="array" ref="C18">IF(INDEX(FLT_Cons,$HH18,$HK18)="Welded",IF(INDEX(FLT_Cons,$HH18,$HM18)="Average",INDEX(Tbl_71_8_Weld,MATCH(INDEX(FLT_Cons,$HH18,$HL18),Tbl_71_8W_Name,0),2),INDEX(Tbl_71_8_Weld,MATCH(INDEX(FLT_Cons,$HH18,$HL18),Tbl_71_8W_Name,0),3)),INDEX(Tbl_71_8_Riv,MATCH(INDEX(FLT_Cons,$HH18,$HL18),Tbl_71_8R_Name,0),2))</f>
        <v>0.6</v>
      </c>
      <c r="D18" s="73" cm="1">
        <f t="array" ref="D18">IF(INDEX(FLT_Cons,$HH18,$HK18)="Welded",IF(INDEX(FLT_Cons,$HH18,$HM18)="Average",INDEX(Tbl_71_8_Weld,MATCH(INDEX(FLT_Cons,$HH18,$HL18),Tbl_71_8W_Name,0),4),INDEX(Tbl_71_8_Weld,MATCH(INDEX(FLT_Cons,$HH18,$HL18),Tbl_71_8W_Name,0),5)),INDEX(Tbl_71_8_Riv,MATCH(INDEX(FLT_Cons,$HH18,$HL18),Tbl_71_8R_Name,0),3))</f>
        <v>0.4</v>
      </c>
      <c r="E18" s="73" cm="1">
        <f t="array" ref="E18">IF(INDEX(FLT_Cons,$HH18,$HK18)="Welded",IF(INDEX(FLT_Cons,$HH18,$HM18)="Average",INDEX(Tbl_71_8_Weld,MATCH(INDEX(FLT_Cons,$HH18,$HL18),Tbl_71_8W_Name,0),6),INDEX(Tbl_71_8_Weld,MATCH(INDEX(FLT_Cons,$HH18,$HL18),Tbl_71_8W_Name,0),7)),INDEX(Tbl_71_8_Riv,MATCH(INDEX(FLT_Cons,$HH18,$HL18),Tbl_71_8R_Name,0),4))</f>
        <v>1</v>
      </c>
      <c r="F18" s="73" cm="1">
        <f t="array" ref="F18">INDEX(FLT_Cons,$HH18,$HN18)</f>
        <v>144</v>
      </c>
      <c r="G18" s="73" cm="1">
        <f t="array" ref="G18">IF(INDEX(FLT_Cons,$HH18,$HP18)="Bolted Deck",0.14,0)</f>
        <v>0</v>
      </c>
      <c r="H18" s="73" cm="1">
        <f t="array" ref="H18">INDEX(Tbl_71_16,MATCH(INDEX(FLT_Cons,$HH18,$HQ18),Bolted_Deck_Cons_Name,0),2)</f>
        <v>0</v>
      </c>
      <c r="I18" s="73" cm="1">
        <f t="array" ref="I18">INDEX(Sup_Col,$IJ18,1)</f>
        <v>9</v>
      </c>
      <c r="J18" s="74" cm="1">
        <f t="array" ref="J18">INDEX(FC,MATCH(INDEX(FLT_Cons,$HH18,$HS18),Roof_Column_Cons,0),2)</f>
        <v>1.1000000000000001</v>
      </c>
      <c r="K18" s="79" t="str" cm="1">
        <f t="array" ref="K18">IF(ISBLANK(INDEX(FLT_Prod_Info,$HU18,K$25)),INDEX(FLT_Prod_Info,$HT18,K$25),INDEX(FLT_Prod_Info,$HT18,K$25)&amp;" &amp; "&amp;INDEX(FLT_Prod_Info,$HU18,K$25))</f>
        <v xml:space="preserve">Bakken Crude &amp; </v>
      </c>
      <c r="L18" s="73" cm="1">
        <f t="array" ref="L18">IF(INDEX(FLT_Cons,$HH18,$HO18)&lt;&gt;"External Floating Roof",0,INDEX(Flt_Fitting,$HX18,K$25*$HY18+$HZ18))</f>
        <v>0</v>
      </c>
      <c r="M18" s="73" cm="1">
        <f t="array" ref="M18">INDEX(Flt_Temps,$IE18,K$25)</f>
        <v>504.05733397757285</v>
      </c>
      <c r="N18" s="73" cm="1">
        <f t="array" ref="N18">INDEX(Flt_Vap,$IF18,K$25)</f>
        <v>5.8675434491361358</v>
      </c>
      <c r="O18" s="73" cm="1">
        <f t="array" ref="O18">INDEX(Flt_Vap,$IG18,K$25)</f>
        <v>0.249338331357537</v>
      </c>
      <c r="P18" s="73" cm="1">
        <f t="array" ref="P18">INDEX(Flt_Vap,$IH18,K$25)</f>
        <v>61.103726164670178</v>
      </c>
      <c r="Q18" s="73" cm="1">
        <f t="array" ref="Q18">IF(INDEX(FLT_Prod_Info,$HV18,K$25)="Crude Oil",0.4,1)</f>
        <v>0.4</v>
      </c>
      <c r="R18" s="73" cm="1">
        <f t="array" ref="R18">INDEX(Month_Ref,K$25,3)/365*($C18+$D18*L18^$E18)*$F18*O18*P18*Q18</f>
        <v>44.719743785386356</v>
      </c>
      <c r="S18" s="73" cm="1">
        <f t="array" ref="S18">INDEX(Flt_Fitting,$IA18,K$25*$IC18)</f>
        <v>92.219479452054799</v>
      </c>
      <c r="T18" s="73">
        <f t="shared" si="0"/>
        <v>562.00399305104588</v>
      </c>
      <c r="U18" s="73" cm="1">
        <f t="array" ref="U18">INDEX(Month_Ref,K$25,3)/365*$G18*$H18*($F18^2)*O18*P18*Q18</f>
        <v>0</v>
      </c>
      <c r="V18" s="73" cm="1">
        <f t="array" ref="V18">INDEX(FLT_Prod_Info,$HW18,K$25)</f>
        <v>133421</v>
      </c>
      <c r="W18" s="73" cm="1">
        <f t="array" ref="W18">INDEX(Tbl_71_10,IF(INDEX(FLT_Prod_Info,$HV18,K$25)&lt;&gt;"Crude Oil",1,2),(MATCH(INDEX(FLT_Cons,$HH18,$HR18),Tbl_71_10_Col,0)))</f>
        <v>6.0000000000000001E-3</v>
      </c>
      <c r="X18" s="73" cm="1">
        <f t="array" ref="X18">INDEX(Flt_Multi,$II18,K$25)</f>
        <v>6.7389700000000001</v>
      </c>
      <c r="Y18" s="73">
        <f t="shared" si="1"/>
        <v>37.756722949221775</v>
      </c>
      <c r="Z18" s="74">
        <f t="shared" si="2"/>
        <v>644.48045978565392</v>
      </c>
      <c r="AA18" s="79" t="str" cm="1">
        <f t="array" ref="AA18">IF(ISBLANK(INDEX(FLT_Prod_Info,$HU18,AA$25)),INDEX(FLT_Prod_Info,$HT18,AA$25),INDEX(FLT_Prod_Info,$HT18,AA$25)&amp;" &amp; "&amp;INDEX(FLT_Prod_Info,$HU18,AA$25))</f>
        <v xml:space="preserve">Bakken Crude &amp; </v>
      </c>
      <c r="AB18" s="73" cm="1">
        <f t="array" ref="AB18">IF(INDEX(FLT_Cons,$HH18,$HO18)&lt;&gt;"External Floating Roof",0,INDEX(Flt_Fitting,$HX18,AA$25*$HY18+$HZ18))</f>
        <v>0</v>
      </c>
      <c r="AC18" s="73" cm="1">
        <f t="array" ref="AC18">INDEX(Flt_Temps,$IE18,AA$25)</f>
        <v>505.27492824065229</v>
      </c>
      <c r="AD18" s="73" cm="1">
        <f t="array" ref="AD18">INDEX(Flt_Vap,$IF18,AA$25)</f>
        <v>5.9933625997960638</v>
      </c>
      <c r="AE18" s="73" cm="1">
        <f t="array" ref="AE18">INDEX(Flt_Vap,$IG18,AA$25)</f>
        <v>0.25605397722544482</v>
      </c>
      <c r="AF18" s="73" cm="1">
        <f t="array" ref="AF18">INDEX(Flt_Vap,$IH18,AA$25)</f>
        <v>61.103726164670178</v>
      </c>
      <c r="AG18" s="73" cm="1">
        <f t="array" ref="AG18">IF(INDEX(FLT_Prod_Info,$HV18,AA$25)="Crude Oil",0.4,1)</f>
        <v>0.4</v>
      </c>
      <c r="AH18" s="73" cm="1">
        <f t="array" ref="AH18">INDEX(Month_Ref,AA$25,3)/365*($C18+$D18*AB18^$E18)*$F18*AE18*AF18*AG18</f>
        <v>41.479940185302816</v>
      </c>
      <c r="AI18" s="73" cm="1">
        <f t="array" ref="AI18">INDEX(Flt_Fitting,$IA18,AA$25*$IC18)</f>
        <v>83.295013698630143</v>
      </c>
      <c r="AJ18" s="73">
        <f t="shared" si="3"/>
        <v>521.28858625698683</v>
      </c>
      <c r="AK18" s="73" cm="1">
        <f t="array" ref="AK18">INDEX(Month_Ref,AA$25,3)/365*$G18*$H18*($F18^2)*AE18*AF18*AG18</f>
        <v>0</v>
      </c>
      <c r="AL18" s="73" cm="1">
        <f t="array" ref="AL18">INDEX(FLT_Prod_Info,$HW18,AA$25)</f>
        <v>133421</v>
      </c>
      <c r="AM18" s="73" cm="1">
        <f t="array" ref="AM18">INDEX(Tbl_71_10,IF(INDEX(FLT_Prod_Info,$HV18,AA$25)&lt;&gt;"Crude Oil",1,2),(MATCH(INDEX(FLT_Cons,$HH18,$HR18),Tbl_71_10_Col,0)))</f>
        <v>6.0000000000000001E-3</v>
      </c>
      <c r="AN18" s="73" cm="1">
        <f t="array" ref="AN18">INDEX(Flt_Multi,$II18,AA$25)</f>
        <v>6.7389700000000001</v>
      </c>
      <c r="AO18" s="73">
        <f t="shared" si="4"/>
        <v>37.756722949221775</v>
      </c>
      <c r="AP18" s="74">
        <f t="shared" si="5"/>
        <v>600.52524939151135</v>
      </c>
      <c r="AQ18" s="79" t="str" cm="1">
        <f t="array" ref="AQ18">IF(ISBLANK(INDEX(FLT_Prod_Info,$HU18,AQ$25)),INDEX(FLT_Prod_Info,$HT18,AQ$25),INDEX(FLT_Prod_Info,$HT18,AQ$25)&amp;" &amp; "&amp;INDEX(FLT_Prod_Info,$HU18,AQ$25))</f>
        <v xml:space="preserve">Bakken Crude &amp; </v>
      </c>
      <c r="AR18" s="73" cm="1">
        <f t="array" ref="AR18">IF(INDEX(FLT_Cons,$HH18,$HO18)&lt;&gt;"External Floating Roof",0,INDEX(Flt_Fitting,$HX18,AQ$25*$HY18+$HZ18))</f>
        <v>0</v>
      </c>
      <c r="AS18" s="73" cm="1">
        <f t="array" ref="AS18">INDEX(Flt_Temps,$IE18,AQ$25)</f>
        <v>507.12502011175337</v>
      </c>
      <c r="AT18" s="73" cm="1">
        <f t="array" ref="AT18">INDEX(Flt_Vap,$IF18,AQ$25)</f>
        <v>6.1885168055052642</v>
      </c>
      <c r="AU18" s="73" cm="1">
        <f t="array" ref="AU18">INDEX(Flt_Vap,$IG18,AQ$25)</f>
        <v>0.26661444913494575</v>
      </c>
      <c r="AV18" s="73" cm="1">
        <f t="array" ref="AV18">INDEX(Flt_Vap,$IH18,AQ$25)</f>
        <v>61.103726164670178</v>
      </c>
      <c r="AW18" s="73" cm="1">
        <f t="array" ref="AW18">IF(INDEX(FLT_Prod_Info,$HV18,AQ$25)="Crude Oil",0.4,1)</f>
        <v>0.4</v>
      </c>
      <c r="AX18" s="73" cm="1">
        <f t="array" ref="AX18">INDEX(Month_Ref,AQ$25,3)/365*($C18+$D18*AR18^$E18)*$F18*AU18*AV18*AW18</f>
        <v>47.818278841771395</v>
      </c>
      <c r="AY18" s="73" cm="1">
        <f t="array" ref="AY18">INDEX(Flt_Fitting,$IA18,AQ$25*$IC18)</f>
        <v>92.219479452054799</v>
      </c>
      <c r="AZ18" s="73">
        <f t="shared" si="6"/>
        <v>600.94404339333107</v>
      </c>
      <c r="BA18" s="73" cm="1">
        <f t="array" ref="BA18">INDEX(Month_Ref,AQ$25,3)/365*$G18*$H18*($F18^2)*AU18*AV18*AW18</f>
        <v>0</v>
      </c>
      <c r="BB18" s="73" cm="1">
        <f t="array" ref="BB18">INDEX(FLT_Prod_Info,$HW18,AQ$25)</f>
        <v>133421</v>
      </c>
      <c r="BC18" s="73" cm="1">
        <f t="array" ref="BC18">INDEX(Tbl_71_10,IF(INDEX(FLT_Prod_Info,$HV18,AQ$25)&lt;&gt;"Crude Oil",1,2),(MATCH(INDEX(FLT_Cons,$HH18,$HR18),Tbl_71_10_Col,0)))</f>
        <v>6.0000000000000001E-3</v>
      </c>
      <c r="BD18" s="73" cm="1">
        <f t="array" ref="BD18">INDEX(Flt_Multi,$II18,AQ$25)</f>
        <v>6.7389700000000001</v>
      </c>
      <c r="BE18" s="73">
        <f t="shared" si="7"/>
        <v>37.756722949221775</v>
      </c>
      <c r="BF18" s="74">
        <f t="shared" si="8"/>
        <v>686.51904518432423</v>
      </c>
      <c r="BG18" s="79" t="str" cm="1">
        <f t="array" ref="BG18">IF(ISBLANK(INDEX(FLT_Prod_Info,$HU18,BG$25)),INDEX(FLT_Prod_Info,$HT18,BG$25),INDEX(FLT_Prod_Info,$HT18,BG$25)&amp;" &amp; "&amp;INDEX(FLT_Prod_Info,$HU18,BG$25))</f>
        <v xml:space="preserve">Bakken Crude &amp; </v>
      </c>
      <c r="BH18" s="73" cm="1">
        <f t="array" ref="BH18">IF(INDEX(FLT_Cons,$HH18,$HO18)&lt;&gt;"External Floating Roof",0,INDEX(Flt_Fitting,$HX18,BG$25*$HY18+$HZ18))</f>
        <v>0</v>
      </c>
      <c r="BI18" s="73" cm="1">
        <f t="array" ref="BI18">INDEX(Flt_Temps,$IE18,BG$25)</f>
        <v>510.23435026216089</v>
      </c>
      <c r="BJ18" s="73" cm="1">
        <f t="array" ref="BJ18">INDEX(Flt_Vap,$IF18,BG$25)</f>
        <v>6.5275019171950621</v>
      </c>
      <c r="BK18" s="73" cm="1">
        <f t="array" ref="BK18">INDEX(Flt_Vap,$IG18,BG$25)</f>
        <v>0.28538648876758682</v>
      </c>
      <c r="BL18" s="73" cm="1">
        <f t="array" ref="BL18">INDEX(Flt_Vap,$IH18,BG$25)</f>
        <v>61.103726164670178</v>
      </c>
      <c r="BM18" s="73" cm="1">
        <f t="array" ref="BM18">IF(INDEX(FLT_Prod_Info,$HV18,BG$25)="Crude Oil",0.4,1)</f>
        <v>0.4</v>
      </c>
      <c r="BN18" s="73" cm="1">
        <f t="array" ref="BN18">INDEX(Month_Ref,BG$25,3)/365*($C18+$D18*BH18^$E18)*$F18*BK18*BL18*BM18</f>
        <v>49.533980290484919</v>
      </c>
      <c r="BO18" s="73" cm="1">
        <f t="array" ref="BO18">INDEX(Flt_Fitting,$IA18,BG$25*$IC18)</f>
        <v>89.244657534246585</v>
      </c>
      <c r="BP18" s="73">
        <f t="shared" si="9"/>
        <v>622.50568448161391</v>
      </c>
      <c r="BQ18" s="73" cm="1">
        <f t="array" ref="BQ18">INDEX(Month_Ref,BG$25,3)/365*$G18*$H18*($F18^2)*BK18*BL18*BM18</f>
        <v>0</v>
      </c>
      <c r="BR18" s="73" cm="1">
        <f t="array" ref="BR18">INDEX(FLT_Prod_Info,$HW18,BG$25)</f>
        <v>133421</v>
      </c>
      <c r="BS18" s="73" cm="1">
        <f t="array" ref="BS18">INDEX(Tbl_71_10,IF(INDEX(FLT_Prod_Info,$HV18,BG$25)&lt;&gt;"Crude Oil",1,2),(MATCH(INDEX(FLT_Cons,$HH18,$HR18),Tbl_71_10_Col,0)))</f>
        <v>6.0000000000000001E-3</v>
      </c>
      <c r="BT18" s="73" cm="1">
        <f t="array" ref="BT18">INDEX(Flt_Multi,$II18,BG$25)</f>
        <v>6.7389700000000001</v>
      </c>
      <c r="BU18" s="73">
        <f t="shared" si="10"/>
        <v>37.756722949221775</v>
      </c>
      <c r="BV18" s="74">
        <f t="shared" si="11"/>
        <v>709.79638772132057</v>
      </c>
      <c r="BW18" s="79" t="str" cm="1">
        <f t="array" ref="BW18">IF(ISBLANK(INDEX(FLT_Prod_Info,$HU18,BW$25)),INDEX(FLT_Prod_Info,$HT18,BW$25),INDEX(FLT_Prod_Info,$HT18,BW$25)&amp;" &amp; "&amp;INDEX(FLT_Prod_Info,$HU18,BW$25))</f>
        <v xml:space="preserve">Bakken Crude &amp; </v>
      </c>
      <c r="BX18" s="73" cm="1">
        <f t="array" ref="BX18">IF(INDEX(FLT_Cons,$HH18,$HO18)&lt;&gt;"External Floating Roof",0,INDEX(Flt_Fitting,$HX18,BW$25*$HY18+$HZ18))</f>
        <v>0</v>
      </c>
      <c r="BY18" s="73" cm="1">
        <f t="array" ref="BY18">INDEX(Flt_Temps,$IE18,BW$25)</f>
        <v>515.2474411764706</v>
      </c>
      <c r="BZ18" s="73" cm="1">
        <f t="array" ref="BZ18">INDEX(Flt_Vap,$IF18,BW$25)</f>
        <v>7.1039405146622547</v>
      </c>
      <c r="CA18" s="73" cm="1">
        <f t="array" ref="CA18">INDEX(Flt_Vap,$IG18,BW$25)</f>
        <v>0.3186186563295601</v>
      </c>
      <c r="CB18" s="73" cm="1">
        <f t="array" ref="CB18">INDEX(Flt_Vap,$IH18,BW$25)</f>
        <v>61.103726164670178</v>
      </c>
      <c r="CC18" s="73" cm="1">
        <f t="array" ref="CC18">IF(INDEX(FLT_Prod_Info,$HV18,BW$25)="Crude Oil",0.4,1)</f>
        <v>0.4</v>
      </c>
      <c r="CD18" s="73" cm="1">
        <f t="array" ref="CD18">INDEX(Month_Ref,BW$25,3)/365*($C18+$D18*BX18^$E18)*$F18*CA18*CB18*CC18</f>
        <v>57.145424045813449</v>
      </c>
      <c r="CE18" s="73" cm="1">
        <f t="array" ref="CE18">INDEX(Flt_Fitting,$IA18,BW$25*$IC18)</f>
        <v>92.219479452054799</v>
      </c>
      <c r="CF18" s="73">
        <f t="shared" si="12"/>
        <v>718.16056577760082</v>
      </c>
      <c r="CG18" s="73" cm="1">
        <f t="array" ref="CG18">INDEX(Month_Ref,BW$25,3)/365*$G18*$H18*($F18^2)*CA18*CB18*CC18</f>
        <v>0</v>
      </c>
      <c r="CH18" s="73" cm="1">
        <f t="array" ref="CH18">INDEX(FLT_Prod_Info,$HW18,BW$25)</f>
        <v>133421</v>
      </c>
      <c r="CI18" s="73" cm="1">
        <f t="array" ref="CI18">INDEX(Tbl_71_10,IF(INDEX(FLT_Prod_Info,$HV18,BW$25)&lt;&gt;"Crude Oil",1,2),(MATCH(INDEX(FLT_Cons,$HH18,$HR18),Tbl_71_10_Col,0)))</f>
        <v>6.0000000000000001E-3</v>
      </c>
      <c r="CJ18" s="73" cm="1">
        <f t="array" ref="CJ18">INDEX(Flt_Multi,$II18,BW$25)</f>
        <v>6.7389700000000001</v>
      </c>
      <c r="CK18" s="73">
        <f t="shared" si="13"/>
        <v>37.756722949221775</v>
      </c>
      <c r="CL18" s="74">
        <f t="shared" si="14"/>
        <v>813.06271277263602</v>
      </c>
      <c r="CM18" s="79" t="str" cm="1">
        <f t="array" ref="CM18">IF(ISBLANK(INDEX(FLT_Prod_Info,$HU18,CM$25)),INDEX(FLT_Prod_Info,$HT18,CM$25),INDEX(FLT_Prod_Info,$HT18,CM$25)&amp;" &amp; "&amp;INDEX(FLT_Prod_Info,$HU18,CM$25))</f>
        <v xml:space="preserve">Bakken Crude &amp; </v>
      </c>
      <c r="CN18" s="73" cm="1">
        <f t="array" ref="CN18">IF(INDEX(FLT_Cons,$HH18,$HO18)&lt;&gt;"External Floating Roof",0,INDEX(Flt_Fitting,$HX18,CM$25*$HY18+$HZ18))</f>
        <v>0</v>
      </c>
      <c r="CO18" s="73" cm="1">
        <f t="array" ref="CO18">INDEX(Flt_Temps,$IE18,CM$25)</f>
        <v>519.19368041256848</v>
      </c>
      <c r="CP18" s="73" cm="1">
        <f t="array" ref="CP18">INDEX(Flt_Vap,$IF18,CM$25)</f>
        <v>7.584570817117438</v>
      </c>
      <c r="CQ18" s="73" cm="1">
        <f t="array" ref="CQ18">INDEX(Flt_Vap,$IG18,CM$25)</f>
        <v>0.3476700253538289</v>
      </c>
      <c r="CR18" s="73" cm="1">
        <f t="array" ref="CR18">INDEX(Flt_Vap,$IH18,CM$25)</f>
        <v>61.103726164670178</v>
      </c>
      <c r="CS18" s="73" cm="1">
        <f t="array" ref="CS18">IF(INDEX(FLT_Prod_Info,$HV18,CM$25)="Crude Oil",0.4,1)</f>
        <v>0.4</v>
      </c>
      <c r="CT18" s="73" cm="1">
        <f t="array" ref="CT18">INDEX(Month_Ref,CM$25,3)/365*($C18+$D18*CN18^$E18)*$F18*CQ18*CR18*CS18</f>
        <v>60.344413142465875</v>
      </c>
      <c r="CU18" s="73" cm="1">
        <f t="array" ref="CU18">INDEX(Flt_Fitting,$IA18,CM$25*$IC18)</f>
        <v>89.244657534246585</v>
      </c>
      <c r="CV18" s="73">
        <f t="shared" si="15"/>
        <v>758.3630466923712</v>
      </c>
      <c r="CW18" s="73" cm="1">
        <f t="array" ref="CW18">INDEX(Month_Ref,CM$25,3)/365*$G18*$H18*($F18^2)*CQ18*CR18*CS18</f>
        <v>0</v>
      </c>
      <c r="CX18" s="73" cm="1">
        <f t="array" ref="CX18">INDEX(FLT_Prod_Info,$HW18,CM$25)</f>
        <v>133421</v>
      </c>
      <c r="CY18" s="73" cm="1">
        <f t="array" ref="CY18">INDEX(Tbl_71_10,IF(INDEX(FLT_Prod_Info,$HV18,CM$25)&lt;&gt;"Crude Oil",1,2),(MATCH(INDEX(FLT_Cons,$HH18,$HR18),Tbl_71_10_Col,0)))</f>
        <v>6.0000000000000001E-3</v>
      </c>
      <c r="CZ18" s="73" cm="1">
        <f t="array" ref="CZ18">INDEX(Flt_Multi,$II18,CM$25)</f>
        <v>6.7389700000000001</v>
      </c>
      <c r="DA18" s="73">
        <f t="shared" si="16"/>
        <v>37.756722949221775</v>
      </c>
      <c r="DB18" s="74">
        <f t="shared" si="17"/>
        <v>856.46418278405883</v>
      </c>
      <c r="DC18" s="79" t="str" cm="1">
        <f t="array" ref="DC18">IF(ISBLANK(INDEX(FLT_Prod_Info,$HU18,DC$25)),INDEX(FLT_Prod_Info,$HT18,DC$25),INDEX(FLT_Prod_Info,$HT18,DC$25)&amp;" &amp; "&amp;INDEX(FLT_Prod_Info,$HU18,DC$25))</f>
        <v xml:space="preserve">Bakken Crude &amp; </v>
      </c>
      <c r="DD18" s="73" cm="1">
        <f t="array" ref="DD18">IF(INDEX(FLT_Cons,$HH18,$HO18)&lt;&gt;"External Floating Roof",0,INDEX(Flt_Fitting,$HX18,DC$25*$HY18+$HZ18))</f>
        <v>0</v>
      </c>
      <c r="DE18" s="73" cm="1">
        <f t="array" ref="DE18">INDEX(Flt_Temps,$IE18,DC$25)</f>
        <v>522.82529572505644</v>
      </c>
      <c r="DF18" s="73" cm="1">
        <f t="array" ref="DF18">INDEX(Flt_Vap,$IF18,DC$25)</f>
        <v>8.0485321080380352</v>
      </c>
      <c r="DG18" s="73" cm="1">
        <f t="array" ref="DG18">INDEX(Flt_Vap,$IG18,DC$25)</f>
        <v>0.37695450958048698</v>
      </c>
      <c r="DH18" s="73" cm="1">
        <f t="array" ref="DH18">INDEX(Flt_Vap,$IH18,DC$25)</f>
        <v>61.103726164670178</v>
      </c>
      <c r="DI18" s="73" cm="1">
        <f t="array" ref="DI18">IF(INDEX(FLT_Prod_Info,$HV18,DC$25)="Crude Oil",0.4,1)</f>
        <v>0.4</v>
      </c>
      <c r="DJ18" s="73" cm="1">
        <f t="array" ref="DJ18">INDEX(Month_Ref,DC$25,3)/365*($C18+$D18*DD18^$E18)*$F18*DG18*DH18*DI18</f>
        <v>67.60817318141477</v>
      </c>
      <c r="DK18" s="73" cm="1">
        <f t="array" ref="DK18">INDEX(Flt_Fitting,$IA18,DC$25*$IC18)</f>
        <v>92.219479452054799</v>
      </c>
      <c r="DL18" s="73">
        <f t="shared" si="18"/>
        <v>849.64850141333318</v>
      </c>
      <c r="DM18" s="73" cm="1">
        <f t="array" ref="DM18">INDEX(Month_Ref,DC$25,3)/365*$G18*$H18*($F18^2)*DG18*DH18*DI18</f>
        <v>0</v>
      </c>
      <c r="DN18" s="73" cm="1">
        <f t="array" ref="DN18">INDEX(FLT_Prod_Info,$HW18,DC$25)</f>
        <v>133421</v>
      </c>
      <c r="DO18" s="73" cm="1">
        <f t="array" ref="DO18">INDEX(Tbl_71_10,IF(INDEX(FLT_Prod_Info,$HV18,DC$25)&lt;&gt;"Crude Oil",1,2),(MATCH(INDEX(FLT_Cons,$HH18,$HR18),Tbl_71_10_Col,0)))</f>
        <v>6.0000000000000001E-3</v>
      </c>
      <c r="DP18" s="73" cm="1">
        <f t="array" ref="DP18">INDEX(Flt_Multi,$II18,DC$25)</f>
        <v>6.7389700000000001</v>
      </c>
      <c r="DQ18" s="73">
        <f t="shared" si="19"/>
        <v>37.756722949221775</v>
      </c>
      <c r="DR18" s="74">
        <f t="shared" si="20"/>
        <v>955.01339754396963</v>
      </c>
      <c r="DS18" s="79" t="str" cm="1">
        <f t="array" ref="DS18">IF(ISBLANK(INDEX(FLT_Prod_Info,$HU18,DS$25)),INDEX(FLT_Prod_Info,$HT18,DS$25),INDEX(FLT_Prod_Info,$HT18,DS$25)&amp;" &amp; "&amp;INDEX(FLT_Prod_Info,$HU18,DS$25))</f>
        <v xml:space="preserve">Bakken Crude &amp; </v>
      </c>
      <c r="DT18" s="73" cm="1">
        <f t="array" ref="DT18">IF(INDEX(FLT_Cons,$HH18,$HO18)&lt;&gt;"External Floating Roof",0,INDEX(Flt_Fitting,$HX18,DS$25*$HY18+$HZ18))</f>
        <v>0</v>
      </c>
      <c r="DU18" s="73" cm="1">
        <f t="array" ref="DU18">INDEX(Flt_Temps,$IE18,DS$25)</f>
        <v>522.92432155842164</v>
      </c>
      <c r="DV18" s="73" cm="1">
        <f t="array" ref="DV18">INDEX(Flt_Vap,$IF18,DS$25)</f>
        <v>8.061480001401172</v>
      </c>
      <c r="DW18" s="73" cm="1">
        <f t="array" ref="DW18">INDEX(Flt_Vap,$IG18,DS$25)</f>
        <v>0.37779002489069169</v>
      </c>
      <c r="DX18" s="73" cm="1">
        <f t="array" ref="DX18">INDEX(Flt_Vap,$IH18,DS$25)</f>
        <v>61.103726164670178</v>
      </c>
      <c r="DY18" s="73" cm="1">
        <f t="array" ref="DY18">IF(INDEX(FLT_Prod_Info,$HV18,DS$25)="Crude Oil",0.4,1)</f>
        <v>0.4</v>
      </c>
      <c r="DZ18" s="73" cm="1">
        <f t="array" ref="DZ18">INDEX(Month_Ref,DS$25,3)/365*($C18+$D18*DT18^$E18)*$F18*DW18*DX18*DY18</f>
        <v>67.758025915239102</v>
      </c>
      <c r="EA18" s="73" cm="1">
        <f t="array" ref="EA18">INDEX(Flt_Fitting,$IA18,DS$25*$IC18)</f>
        <v>92.219479452054799</v>
      </c>
      <c r="EB18" s="73">
        <f t="shared" si="21"/>
        <v>851.53173748872439</v>
      </c>
      <c r="EC18" s="73" cm="1">
        <f t="array" ref="EC18">INDEX(Month_Ref,DS$25,3)/365*$G18*$H18*($F18^2)*DW18*DX18*DY18</f>
        <v>0</v>
      </c>
      <c r="ED18" s="73" cm="1">
        <f t="array" ref="ED18">INDEX(FLT_Prod_Info,$HW18,DS$25)</f>
        <v>133421</v>
      </c>
      <c r="EE18" s="73" cm="1">
        <f t="array" ref="EE18">INDEX(Tbl_71_10,IF(INDEX(FLT_Prod_Info,$HV18,DS$25)&lt;&gt;"Crude Oil",1,2),(MATCH(INDEX(FLT_Cons,$HH18,$HR18),Tbl_71_10_Col,0)))</f>
        <v>6.0000000000000001E-3</v>
      </c>
      <c r="EF18" s="73" cm="1">
        <f t="array" ref="EF18">INDEX(Flt_Multi,$II18,DS$25)</f>
        <v>6.7389700000000001</v>
      </c>
      <c r="EG18" s="73">
        <f t="shared" si="22"/>
        <v>37.756722949221775</v>
      </c>
      <c r="EH18" s="74">
        <f t="shared" si="23"/>
        <v>957.04648635318517</v>
      </c>
      <c r="EI18" s="79" t="str" cm="1">
        <f t="array" ref="EI18">IF(ISBLANK(INDEX(FLT_Prod_Info,$HU18,EI$25)),INDEX(FLT_Prod_Info,$HT18,EI$25),INDEX(FLT_Prod_Info,$HT18,EI$25)&amp;" &amp; "&amp;INDEX(FLT_Prod_Info,$HU18,EI$25))</f>
        <v xml:space="preserve">Bakken Crude &amp; </v>
      </c>
      <c r="EJ18" s="73" cm="1">
        <f t="array" ref="EJ18">IF(INDEX(FLT_Cons,$HH18,$HO18)&lt;&gt;"External Floating Roof",0,INDEX(Flt_Fitting,$HX18,EI$25*$HY18+$HZ18))</f>
        <v>0</v>
      </c>
      <c r="EK18" s="73" cm="1">
        <f t="array" ref="EK18">INDEX(Flt_Temps,$IE18,EI$25)</f>
        <v>520.14335695969999</v>
      </c>
      <c r="EL18" s="73" cm="1">
        <f t="array" ref="EL18">INDEX(Flt_Vap,$IF18,EI$25)</f>
        <v>7.7038673532374045</v>
      </c>
      <c r="EM18" s="73" cm="1">
        <f t="array" ref="EM18">INDEX(Flt_Vap,$IG18,EI$25)</f>
        <v>0.35508021077604096</v>
      </c>
      <c r="EN18" s="73" cm="1">
        <f t="array" ref="EN18">INDEX(Flt_Vap,$IH18,EI$25)</f>
        <v>61.103726164670178</v>
      </c>
      <c r="EO18" s="73" cm="1">
        <f t="array" ref="EO18">IF(INDEX(FLT_Prod_Info,$HV18,EI$25)="Crude Oil",0.4,1)</f>
        <v>0.4</v>
      </c>
      <c r="EP18" s="73" cm="1">
        <f t="array" ref="EP18">INDEX(Month_Ref,EI$25,3)/365*($C18+$D18*EJ18^$E18)*$F18*EM18*EN18*EO18</f>
        <v>61.630584678608969</v>
      </c>
      <c r="EQ18" s="73" cm="1">
        <f t="array" ref="EQ18">INDEX(Flt_Fitting,$IA18,EI$25*$IC18)</f>
        <v>89.244657534246585</v>
      </c>
      <c r="ER18" s="73">
        <f t="shared" si="24"/>
        <v>774.52667997546769</v>
      </c>
      <c r="ES18" s="73" cm="1">
        <f t="array" ref="ES18">INDEX(Month_Ref,EI$25,3)/365*$G18*$H18*($F18^2)*EM18*EN18*EO18</f>
        <v>0</v>
      </c>
      <c r="ET18" s="73" cm="1">
        <f t="array" ref="ET18">INDEX(FLT_Prod_Info,$HW18,EI$25)</f>
        <v>133421</v>
      </c>
      <c r="EU18" s="73" cm="1">
        <f t="array" ref="EU18">INDEX(Tbl_71_10,IF(INDEX(FLT_Prod_Info,$HV18,EI$25)&lt;&gt;"Crude Oil",1,2),(MATCH(INDEX(FLT_Cons,$HH18,$HR18),Tbl_71_10_Col,0)))</f>
        <v>6.0000000000000001E-3</v>
      </c>
      <c r="EV18" s="73" cm="1">
        <f t="array" ref="EV18">INDEX(Flt_Multi,$II18,EI$25)</f>
        <v>6.7389700000000001</v>
      </c>
      <c r="EW18" s="73">
        <f t="shared" si="25"/>
        <v>37.756722949221775</v>
      </c>
      <c r="EX18" s="74">
        <f t="shared" si="26"/>
        <v>873.91398760329844</v>
      </c>
      <c r="EY18" s="79" t="str" cm="1">
        <f t="array" ref="EY18">IF(ISBLANK(INDEX(FLT_Prod_Info,$HU18,EY$25)),INDEX(FLT_Prod_Info,$HT18,EY$25),INDEX(FLT_Prod_Info,$HT18,EY$25)&amp;" &amp; "&amp;INDEX(FLT_Prod_Info,$HU18,EY$25))</f>
        <v xml:space="preserve">Bakken Crude &amp; </v>
      </c>
      <c r="EZ18" s="73" cm="1">
        <f t="array" ref="EZ18">IF(INDEX(FLT_Cons,$HH18,$HO18)&lt;&gt;"External Floating Roof",0,INDEX(Flt_Fitting,$HX18,EY$25*$HY18+$HZ18))</f>
        <v>0</v>
      </c>
      <c r="FA18" s="73" cm="1">
        <f t="array" ref="FA18">INDEX(Flt_Temps,$IE18,EY$25)</f>
        <v>513.43291293199138</v>
      </c>
      <c r="FB18" s="73" cm="1">
        <f t="array" ref="FB18">INDEX(Flt_Vap,$IF18,EY$25)</f>
        <v>6.890954752663947</v>
      </c>
      <c r="FC18" s="73" cm="1">
        <f t="array" ref="FC18">INDEX(Flt_Vap,$IG18,EY$25)</f>
        <v>0.30614158339210296</v>
      </c>
      <c r="FD18" s="73" cm="1">
        <f t="array" ref="FD18">INDEX(Flt_Vap,$IH18,EY$25)</f>
        <v>61.103726164670178</v>
      </c>
      <c r="FE18" s="73" cm="1">
        <f t="array" ref="FE18">IF(INDEX(FLT_Prod_Info,$HV18,EY$25)="Crude Oil",0.4,1)</f>
        <v>0.4</v>
      </c>
      <c r="FF18" s="73" cm="1">
        <f t="array" ref="FF18">INDEX(Month_Ref,EY$25,3)/365*($C18+$D18*EZ18^$E18)*$F18*FC18*FD18*FE18</f>
        <v>54.907615274427371</v>
      </c>
      <c r="FG18" s="73" cm="1">
        <f t="array" ref="FG18">INDEX(Flt_Fitting,$IA18,EY$25*$IC18)</f>
        <v>92.219479452054799</v>
      </c>
      <c r="FH18" s="73">
        <f t="shared" si="27"/>
        <v>690.03747385562508</v>
      </c>
      <c r="FI18" s="73" cm="1">
        <f t="array" ref="FI18">INDEX(Month_Ref,EY$25,3)/365*$G18*$H18*($F18^2)*FC18*FD18*FE18</f>
        <v>0</v>
      </c>
      <c r="FJ18" s="73" cm="1">
        <f t="array" ref="FJ18">INDEX(FLT_Prod_Info,$HW18,EY$25)</f>
        <v>133421</v>
      </c>
      <c r="FK18" s="73" cm="1">
        <f t="array" ref="FK18">INDEX(Tbl_71_10,IF(INDEX(FLT_Prod_Info,$HV18,EY$25)&lt;&gt;"Crude Oil",1,2),(MATCH(INDEX(FLT_Cons,$HH18,$HR18),Tbl_71_10_Col,0)))</f>
        <v>6.0000000000000001E-3</v>
      </c>
      <c r="FL18" s="73" cm="1">
        <f t="array" ref="FL18">INDEX(Flt_Multi,$II18,EY$25)</f>
        <v>6.7389700000000001</v>
      </c>
      <c r="FM18" s="73">
        <f t="shared" si="28"/>
        <v>37.756722949221775</v>
      </c>
      <c r="FN18" s="74">
        <f t="shared" si="29"/>
        <v>782.70181207927419</v>
      </c>
      <c r="FO18" s="79" t="str" cm="1">
        <f t="array" ref="FO18">IF(ISBLANK(INDEX(FLT_Prod_Info,$HU18,FO$25)),INDEX(FLT_Prod_Info,$HT18,FO$25),INDEX(FLT_Prod_Info,$HT18,FO$25)&amp;" &amp; "&amp;INDEX(FLT_Prod_Info,$HU18,FO$25))</f>
        <v xml:space="preserve">Bakken Crude &amp; </v>
      </c>
      <c r="FP18" s="73" cm="1">
        <f t="array" ref="FP18">IF(INDEX(FLT_Cons,$HH18,$HO18)&lt;&gt;"External Floating Roof",0,INDEX(Flt_Fitting,$HX18,FO$25*$HY18+$HZ18))</f>
        <v>0</v>
      </c>
      <c r="FQ18" s="73" cm="1">
        <f t="array" ref="FQ18">INDEX(Flt_Temps,$IE18,FO$25)</f>
        <v>507.33532823682503</v>
      </c>
      <c r="FR18" s="73" cm="1">
        <f t="array" ref="FR18">INDEX(Flt_Vap,$IF18,FO$25)</f>
        <v>6.2110073888694624</v>
      </c>
      <c r="FS18" s="73" cm="1">
        <f t="array" ref="FS18">INDEX(Flt_Vap,$IG18,FO$25)</f>
        <v>0.26784291551709011</v>
      </c>
      <c r="FT18" s="73" cm="1">
        <f t="array" ref="FT18">INDEX(Flt_Vap,$IH18,FO$25)</f>
        <v>61.103726164670178</v>
      </c>
      <c r="FU18" s="73" cm="1">
        <f t="array" ref="FU18">IF(INDEX(FLT_Prod_Info,$HV18,FO$25)="Crude Oil",0.4,1)</f>
        <v>0.4</v>
      </c>
      <c r="FV18" s="73" cm="1">
        <f t="array" ref="FV18">INDEX(Month_Ref,FO$25,3)/365*($C18+$D18*FP18^$E18)*$F18*FS18*FT18*FU18</f>
        <v>46.488976249237261</v>
      </c>
      <c r="FW18" s="73" cm="1">
        <f t="array" ref="FW18">INDEX(Flt_Fitting,$IA18,FO$25*$IC18)</f>
        <v>89.244657534246585</v>
      </c>
      <c r="FX18" s="73">
        <f t="shared" si="30"/>
        <v>584.23837154148509</v>
      </c>
      <c r="FY18" s="73" cm="1">
        <f t="array" ref="FY18">INDEX(Month_Ref,FO$25,3)/365*$G18*$H18*($F18^2)*FS18*FT18*FU18</f>
        <v>0</v>
      </c>
      <c r="FZ18" s="73" cm="1">
        <f t="array" ref="FZ18">INDEX(FLT_Prod_Info,$HW18,FO$25)</f>
        <v>133421</v>
      </c>
      <c r="GA18" s="73" cm="1">
        <f t="array" ref="GA18">INDEX(Tbl_71_10,IF(INDEX(FLT_Prod_Info,$HV18,FO$25)&lt;&gt;"Crude Oil",1,2),(MATCH(INDEX(FLT_Cons,$HH18,$HR18),Tbl_71_10_Col,0)))</f>
        <v>6.0000000000000001E-3</v>
      </c>
      <c r="GB18" s="73" cm="1">
        <f t="array" ref="GB18">INDEX(Flt_Multi,$II18,FO$25)</f>
        <v>6.7389700000000001</v>
      </c>
      <c r="GC18" s="73">
        <f t="shared" si="31"/>
        <v>37.756722949221775</v>
      </c>
      <c r="GD18" s="74">
        <f t="shared" si="32"/>
        <v>668.48407073994406</v>
      </c>
      <c r="GE18" s="79" t="str" cm="1">
        <f t="array" ref="GE18">IF(ISBLANK(INDEX(FLT_Prod_Info,$HU18,GE$25)),INDEX(FLT_Prod_Info,$HT18,GE$25),INDEX(FLT_Prod_Info,$HT18,GE$25)&amp;" &amp; "&amp;INDEX(FLT_Prod_Info,$HU18,GE$25))</f>
        <v xml:space="preserve">Bakken Crude &amp; </v>
      </c>
      <c r="GF18" s="73" cm="1">
        <f t="array" ref="GF18">IF(INDEX(FLT_Cons,$HH18,$HO18)&lt;&gt;"External Floating Roof",0,INDEX(Flt_Fitting,$HX18,GE$25*$HY18+$HZ18))</f>
        <v>0</v>
      </c>
      <c r="GG18" s="73" cm="1">
        <f t="array" ref="GG18">INDEX(Flt_Temps,$IE18,GE$25)</f>
        <v>503.69071388112837</v>
      </c>
      <c r="GH18" s="73" cm="1">
        <f t="array" ref="GH18">INDEX(Flt_Vap,$IF18,GE$25)</f>
        <v>5.8300618484076248</v>
      </c>
      <c r="GI18" s="73" cm="1">
        <f t="array" ref="GI18">INDEX(Flt_Vap,$IG18,GE$25)</f>
        <v>0.24735159722995492</v>
      </c>
      <c r="GJ18" s="73" cm="1">
        <f t="array" ref="GJ18">INDEX(Flt_Vap,$IH18,GE$25)</f>
        <v>61.103726164670178</v>
      </c>
      <c r="GK18" s="73" cm="1">
        <f t="array" ref="GK18">IF(INDEX(FLT_Prod_Info,$HV18,GE$25)="Crude Oil",0.4,1)</f>
        <v>0.4</v>
      </c>
      <c r="GL18" s="73" cm="1">
        <f t="array" ref="GL18">INDEX(Month_Ref,GE$25,3)/365*($C18+$D18*GF18^$E18)*$F18*GI18*GJ18*GK18</f>
        <v>44.363415736379913</v>
      </c>
      <c r="GM18" s="73" cm="1">
        <f t="array" ref="GM18">INDEX(Flt_Fitting,$IA18,GE$25*$IC18)</f>
        <v>92.219479452054799</v>
      </c>
      <c r="GN18" s="73">
        <f t="shared" si="33"/>
        <v>557.52593102683647</v>
      </c>
      <c r="GO18" s="73" cm="1">
        <f t="array" ref="GO18">INDEX(Month_Ref,GE$25,3)/365*$G18*$H18*($F18^2)*GI18*GJ18*GK18</f>
        <v>0</v>
      </c>
      <c r="GP18" s="73" cm="1">
        <f t="array" ref="GP18">INDEX(FLT_Prod_Info,$HW18,GE$25)</f>
        <v>133421</v>
      </c>
      <c r="GQ18" s="73" cm="1">
        <f t="array" ref="GQ18">INDEX(Tbl_71_10,IF(INDEX(FLT_Prod_Info,$HV18,GE$25)&lt;&gt;"Crude Oil",1,2),(MATCH(INDEX(FLT_Cons,$HH18,$HR18),Tbl_71_10_Col,0)))</f>
        <v>6.0000000000000001E-3</v>
      </c>
      <c r="GR18" s="73" cm="1">
        <f t="array" ref="GR18">INDEX(Flt_Multi,$II18,GE$25)</f>
        <v>6.7389700000000001</v>
      </c>
      <c r="GS18" s="73">
        <f t="shared" si="34"/>
        <v>37.756722949221775</v>
      </c>
      <c r="GT18" s="74">
        <f t="shared" si="35"/>
        <v>639.64606971243813</v>
      </c>
      <c r="GU18" s="79">
        <f t="shared" si="36"/>
        <v>643.79857132653217</v>
      </c>
      <c r="GV18" s="73">
        <f t="shared" si="37"/>
        <v>0.32189928566326609</v>
      </c>
      <c r="GW18" s="79">
        <f t="shared" si="38"/>
        <v>8090.7746149544218</v>
      </c>
      <c r="GX18" s="73">
        <f t="shared" si="39"/>
        <v>4.0453873074772106</v>
      </c>
      <c r="GY18" s="79">
        <f t="shared" si="40"/>
        <v>0</v>
      </c>
      <c r="GZ18" s="73">
        <f t="shared" si="41"/>
        <v>0</v>
      </c>
      <c r="HA18" s="73">
        <f t="shared" si="42"/>
        <v>8734.5731862809535</v>
      </c>
      <c r="HB18" s="73">
        <f t="shared" si="43"/>
        <v>4.3672865931404763</v>
      </c>
      <c r="HC18" s="79">
        <f t="shared" si="44"/>
        <v>453.08067539066138</v>
      </c>
      <c r="HD18" s="73">
        <f t="shared" si="45"/>
        <v>0.22654033769533069</v>
      </c>
      <c r="HE18" s="73">
        <f t="shared" si="46"/>
        <v>9187.6538616716152</v>
      </c>
      <c r="HF18" s="74">
        <f t="shared" si="47"/>
        <v>4.5938269308358075</v>
      </c>
      <c r="HH18" s="43">
        <f t="shared" si="48"/>
        <v>8</v>
      </c>
      <c r="HI18" s="43">
        <v>1</v>
      </c>
      <c r="HJ18" s="43">
        <v>2</v>
      </c>
      <c r="HK18" s="43">
        <v>4</v>
      </c>
      <c r="HL18" s="43">
        <v>17</v>
      </c>
      <c r="HM18" s="43">
        <v>18</v>
      </c>
      <c r="HN18" s="43">
        <v>5</v>
      </c>
      <c r="HO18" s="43">
        <v>13</v>
      </c>
      <c r="HP18" s="43">
        <v>14</v>
      </c>
      <c r="HQ18" s="43">
        <v>15</v>
      </c>
      <c r="HR18" s="43">
        <v>12</v>
      </c>
      <c r="HS18" s="43">
        <v>20</v>
      </c>
      <c r="HT18" s="43">
        <f t="shared" si="49"/>
        <v>85</v>
      </c>
      <c r="HU18" s="43">
        <f t="shared" si="64"/>
        <v>90</v>
      </c>
      <c r="HV18" s="43">
        <f t="shared" si="65"/>
        <v>86</v>
      </c>
      <c r="HW18" s="43">
        <f t="shared" si="66"/>
        <v>95</v>
      </c>
      <c r="HX18" s="43">
        <f t="shared" si="51"/>
        <v>106</v>
      </c>
      <c r="HY18" s="43">
        <v>3</v>
      </c>
      <c r="HZ18" s="43">
        <v>-2</v>
      </c>
      <c r="IA18" s="43">
        <f t="shared" si="52"/>
        <v>120</v>
      </c>
      <c r="IB18" s="43">
        <f t="shared" si="53"/>
        <v>135</v>
      </c>
      <c r="IC18" s="43">
        <v>3</v>
      </c>
      <c r="ID18" s="43">
        <v>0</v>
      </c>
      <c r="IE18" s="43">
        <f t="shared" si="54"/>
        <v>90</v>
      </c>
      <c r="IF18" s="43">
        <f t="shared" si="55"/>
        <v>178</v>
      </c>
      <c r="IG18" s="43">
        <f t="shared" si="67"/>
        <v>179</v>
      </c>
      <c r="IH18" s="43">
        <f t="shared" si="68"/>
        <v>184</v>
      </c>
      <c r="II18" s="43">
        <f t="shared" si="57"/>
        <v>112</v>
      </c>
      <c r="IJ18" s="43">
        <f t="shared" si="58"/>
        <v>107</v>
      </c>
    </row>
    <row r="19" spans="1:244" x14ac:dyDescent="0.4">
      <c r="A19" s="43" t="str" cm="1">
        <f t="array" ref="A19">INDEX(FLT_Cons,$HH19,HI$11)</f>
        <v>FLT - 9</v>
      </c>
      <c r="B19" s="96" t="str" cm="1">
        <f t="array" ref="B19">INDEX(FLT_Cons,$HH19,HJ$11)</f>
        <v>INTANK 114</v>
      </c>
      <c r="C19" s="79" cm="1">
        <f t="array" ref="C19">IF(INDEX(FLT_Cons,$HH19,$HK19)="Welded",IF(INDEX(FLT_Cons,$HH19,$HM19)="Average",INDEX(Tbl_71_8_Weld,MATCH(INDEX(FLT_Cons,$HH19,$HL19),Tbl_71_8W_Name,0),2),INDEX(Tbl_71_8_Weld,MATCH(INDEX(FLT_Cons,$HH19,$HL19),Tbl_71_8W_Name,0),3)),INDEX(Tbl_71_8_Riv,MATCH(INDEX(FLT_Cons,$HH19,$HL19),Tbl_71_8R_Name,0),2))</f>
        <v>0.6</v>
      </c>
      <c r="D19" s="73" cm="1">
        <f t="array" ref="D19">IF(INDEX(FLT_Cons,$HH19,$HK19)="Welded",IF(INDEX(FLT_Cons,$HH19,$HM19)="Average",INDEX(Tbl_71_8_Weld,MATCH(INDEX(FLT_Cons,$HH19,$HL19),Tbl_71_8W_Name,0),4),INDEX(Tbl_71_8_Weld,MATCH(INDEX(FLT_Cons,$HH19,$HL19),Tbl_71_8W_Name,0),5)),INDEX(Tbl_71_8_Riv,MATCH(INDEX(FLT_Cons,$HH19,$HL19),Tbl_71_8R_Name,0),3))</f>
        <v>0.4</v>
      </c>
      <c r="E19" s="73" cm="1">
        <f t="array" ref="E19">IF(INDEX(FLT_Cons,$HH19,$HK19)="Welded",IF(INDEX(FLT_Cons,$HH19,$HM19)="Average",INDEX(Tbl_71_8_Weld,MATCH(INDEX(FLT_Cons,$HH19,$HL19),Tbl_71_8W_Name,0),6),INDEX(Tbl_71_8_Weld,MATCH(INDEX(FLT_Cons,$HH19,$HL19),Tbl_71_8W_Name,0),7)),INDEX(Tbl_71_8_Riv,MATCH(INDEX(FLT_Cons,$HH19,$HL19),Tbl_71_8R_Name,0),4))</f>
        <v>1</v>
      </c>
      <c r="F19" s="73" cm="1">
        <f t="array" ref="F19">INDEX(FLT_Cons,$HH19,$HN19)</f>
        <v>52</v>
      </c>
      <c r="G19" s="73" cm="1">
        <f t="array" ref="G19">IF(INDEX(FLT_Cons,$HH19,$HP19)="Bolted Deck",0.14,0)</f>
        <v>0</v>
      </c>
      <c r="H19" s="73" cm="1">
        <f t="array" ref="H19">INDEX(Tbl_71_16,MATCH(INDEX(FLT_Cons,$HH19,$HQ19),Bolted_Deck_Cons_Name,0),2)</f>
        <v>0</v>
      </c>
      <c r="I19" s="73" cm="1">
        <f t="array" ref="I19">INDEX(Sup_Col,$IJ19,1)</f>
        <v>1</v>
      </c>
      <c r="J19" s="74" cm="1">
        <f t="array" ref="J19">INDEX(FC,MATCH(INDEX(FLT_Cons,$HH19,$HS19),Roof_Column_Cons,0),2)</f>
        <v>1.1000000000000001</v>
      </c>
      <c r="K19" s="79" t="str" cm="1">
        <f t="array" ref="K19">IF(ISBLANK(INDEX(FLT_Prod_Info,$HU19,K$25)),INDEX(FLT_Prod_Info,$HT19,K$25),INDEX(FLT_Prod_Info,$HT19,K$25)&amp;" &amp; "&amp;INDEX(FLT_Prod_Info,$HU19,K$25))</f>
        <v xml:space="preserve">Jet kerosene &amp; </v>
      </c>
      <c r="L19" s="73" cm="1">
        <f t="array" ref="L19">IF(INDEX(FLT_Cons,$HH19,$HO19)&lt;&gt;"External Floating Roof",0,INDEX(Flt_Fitting,$HX19,K$25*$HY19+$HZ19))</f>
        <v>0</v>
      </c>
      <c r="M19" s="73" cm="1">
        <f t="array" ref="M19">INDEX(Flt_Temps,$IE19,K$25)</f>
        <v>504.00437230366094</v>
      </c>
      <c r="N19" s="73" cm="1">
        <f t="array" ref="N19">INDEX(Flt_Vap,$IF19,K$25)</f>
        <v>4.8244787100066907E-3</v>
      </c>
      <c r="O19" s="73" cm="1">
        <f t="array" ref="O19">INDEX(Flt_Vap,$IG19,K$25)</f>
        <v>1.6412484785173248E-4</v>
      </c>
      <c r="P19" s="73" cm="1">
        <f t="array" ref="P19">INDEX(Flt_Vap,$IH19,K$25)</f>
        <v>130</v>
      </c>
      <c r="Q19" s="73" cm="1">
        <f t="array" ref="Q19">IF(INDEX(FLT_Prod_Info,$HV19,K$25)="Crude Oil",0.4,1)</f>
        <v>1</v>
      </c>
      <c r="R19" s="73" cm="1">
        <f t="array" ref="R19">INDEX(Month_Ref,K$25,3)/365*($C19+$D19*L19^$E19)*$F19*O19*P19*Q19</f>
        <v>5.6538087313658725E-2</v>
      </c>
      <c r="S19" s="73" cm="1">
        <f t="array" ref="S19">INDEX(Flt_Fitting,$IA19,K$25*$IC19)</f>
        <v>30.58468493150685</v>
      </c>
      <c r="T19" s="73">
        <f t="shared" si="0"/>
        <v>0.65256187892697581</v>
      </c>
      <c r="U19" s="73" cm="1">
        <f t="array" ref="U19">INDEX(Month_Ref,K$25,3)/365*$G19*$H19*($F19^2)*O19*P19*Q19</f>
        <v>0</v>
      </c>
      <c r="V19" s="73" cm="1">
        <f t="array" ref="V19">INDEX(FLT_Prod_Info,$HW19,K$25)</f>
        <v>15129</v>
      </c>
      <c r="W19" s="73" cm="1">
        <f t="array" ref="W19">INDEX(Tbl_71_10,IF(INDEX(FLT_Prod_Info,$HV19,K$25)&lt;&gt;"Crude Oil",1,2),(MATCH(INDEX(FLT_Cons,$HH19,$HR19),Tbl_71_10_Col,0)))</f>
        <v>1.5E-3</v>
      </c>
      <c r="X19" s="73" cm="1">
        <f t="array" ref="X19">INDEX(Flt_Multi,$II19,K$25)</f>
        <v>7</v>
      </c>
      <c r="Y19" s="73">
        <f t="shared" si="1"/>
        <v>2.9417045247226326</v>
      </c>
      <c r="Z19" s="74">
        <f t="shared" si="2"/>
        <v>3.6508044909632669</v>
      </c>
      <c r="AA19" s="79" t="str" cm="1">
        <f t="array" ref="AA19">IF(ISBLANK(INDEX(FLT_Prod_Info,$HU19,AA$25)),INDEX(FLT_Prod_Info,$HT19,AA$25),INDEX(FLT_Prod_Info,$HT19,AA$25)&amp;" &amp; "&amp;INDEX(FLT_Prod_Info,$HU19,AA$25))</f>
        <v xml:space="preserve">Jet kerosene &amp; </v>
      </c>
      <c r="AB19" s="73" cm="1">
        <f t="array" ref="AB19">IF(INDEX(FLT_Cons,$HH19,$HO19)&lt;&gt;"External Floating Roof",0,INDEX(Flt_Fitting,$HX19,AA$25*$HY19+$HZ19))</f>
        <v>0</v>
      </c>
      <c r="AC19" s="73" cm="1">
        <f t="array" ref="AC19">INDEX(Flt_Temps,$IE19,AA$25)</f>
        <v>505.18228391310959</v>
      </c>
      <c r="AD19" s="73" cm="1">
        <f t="array" ref="AD19">INDEX(Flt_Vap,$IF19,AA$25)</f>
        <v>5.0280342063650568E-3</v>
      </c>
      <c r="AE19" s="73" cm="1">
        <f t="array" ref="AE19">INDEX(Flt_Vap,$IG19,AA$25)</f>
        <v>1.710508250259971E-4</v>
      </c>
      <c r="AF19" s="73" cm="1">
        <f t="array" ref="AF19">INDEX(Flt_Vap,$IH19,AA$25)</f>
        <v>130</v>
      </c>
      <c r="AG19" s="73" cm="1">
        <f t="array" ref="AG19">IF(INDEX(FLT_Prod_Info,$HV19,AA$25)="Crude Oil",0.4,1)</f>
        <v>1</v>
      </c>
      <c r="AH19" s="73" cm="1">
        <f t="array" ref="AH19">INDEX(Month_Ref,AA$25,3)/365*($C19+$D19*AB19^$E19)*$F19*AE19*AF19*AG19</f>
        <v>5.322164410014367E-2</v>
      </c>
      <c r="AI19" s="73" cm="1">
        <f t="array" ref="AI19">INDEX(Flt_Fitting,$IA19,AA$25*$IC19)</f>
        <v>27.624876712328771</v>
      </c>
      <c r="AJ19" s="73">
        <f t="shared" si="3"/>
        <v>0.61428353387508783</v>
      </c>
      <c r="AK19" s="73" cm="1">
        <f t="array" ref="AK19">INDEX(Month_Ref,AA$25,3)/365*$G19*$H19*($F19^2)*AE19*AF19*AG19</f>
        <v>0</v>
      </c>
      <c r="AL19" s="73" cm="1">
        <f t="array" ref="AL19">INDEX(FLT_Prod_Info,$HW19,AA$25)</f>
        <v>15129</v>
      </c>
      <c r="AM19" s="73" cm="1">
        <f t="array" ref="AM19">INDEX(Tbl_71_10,IF(INDEX(FLT_Prod_Info,$HV19,AA$25)&lt;&gt;"Crude Oil",1,2),(MATCH(INDEX(FLT_Cons,$HH19,$HR19),Tbl_71_10_Col,0)))</f>
        <v>1.5E-3</v>
      </c>
      <c r="AN19" s="73" cm="1">
        <f t="array" ref="AN19">INDEX(Flt_Multi,$II19,AA$25)</f>
        <v>7</v>
      </c>
      <c r="AO19" s="73">
        <f t="shared" si="4"/>
        <v>2.9417045247226326</v>
      </c>
      <c r="AP19" s="74">
        <f t="shared" si="5"/>
        <v>3.6092097026978642</v>
      </c>
      <c r="AQ19" s="79" t="str" cm="1">
        <f t="array" ref="AQ19">IF(ISBLANK(INDEX(FLT_Prod_Info,$HU19,AQ$25)),INDEX(FLT_Prod_Info,$HT19,AQ$25),INDEX(FLT_Prod_Info,$HT19,AQ$25)&amp;" &amp; "&amp;INDEX(FLT_Prod_Info,$HU19,AQ$25))</f>
        <v xml:space="preserve">Jet kerosene &amp; </v>
      </c>
      <c r="AR19" s="73" cm="1">
        <f t="array" ref="AR19">IF(INDEX(FLT_Cons,$HH19,$HO19)&lt;&gt;"External Floating Roof",0,INDEX(Flt_Fitting,$HX19,AQ$25*$HY19+$HZ19))</f>
        <v>0</v>
      </c>
      <c r="AS19" s="73" cm="1">
        <f t="array" ref="AS19">INDEX(Flt_Temps,$IE19,AQ$25)</f>
        <v>506.98960498632857</v>
      </c>
      <c r="AT19" s="73" cm="1">
        <f t="array" ref="AT19">INDEX(Flt_Vap,$IF19,AQ$25)</f>
        <v>5.3551816996230449E-3</v>
      </c>
      <c r="AU19" s="73" cm="1">
        <f t="array" ref="AU19">INDEX(Flt_Vap,$IG19,AQ$25)</f>
        <v>1.8218222171846219E-4</v>
      </c>
      <c r="AV19" s="73" cm="1">
        <f t="array" ref="AV19">INDEX(Flt_Vap,$IH19,AQ$25)</f>
        <v>130</v>
      </c>
      <c r="AW19" s="73" cm="1">
        <f t="array" ref="AW19">IF(INDEX(FLT_Prod_Info,$HV19,AQ$25)="Crude Oil",0.4,1)</f>
        <v>1</v>
      </c>
      <c r="AX19" s="73" cm="1">
        <f t="array" ref="AX19">INDEX(Month_Ref,AQ$25,3)/365*($C19+$D19*AR19^$E19)*$F19*AU19*AV19*AW19</f>
        <v>6.275853104107551E-2</v>
      </c>
      <c r="AY19" s="73" cm="1">
        <f t="array" ref="AY19">INDEX(Flt_Fitting,$IA19,AQ$25*$IC19)</f>
        <v>30.58468493150685</v>
      </c>
      <c r="AZ19" s="73">
        <f t="shared" si="6"/>
        <v>0.72435816067954173</v>
      </c>
      <c r="BA19" s="73" cm="1">
        <f t="array" ref="BA19">INDEX(Month_Ref,AQ$25,3)/365*$G19*$H19*($F19^2)*AU19*AV19*AW19</f>
        <v>0</v>
      </c>
      <c r="BB19" s="73" cm="1">
        <f t="array" ref="BB19">INDEX(FLT_Prod_Info,$HW19,AQ$25)</f>
        <v>15129</v>
      </c>
      <c r="BC19" s="73" cm="1">
        <f t="array" ref="BC19">INDEX(Tbl_71_10,IF(INDEX(FLT_Prod_Info,$HV19,AQ$25)&lt;&gt;"Crude Oil",1,2),(MATCH(INDEX(FLT_Cons,$HH19,$HR19),Tbl_71_10_Col,0)))</f>
        <v>1.5E-3</v>
      </c>
      <c r="BD19" s="73" cm="1">
        <f t="array" ref="BD19">INDEX(Flt_Multi,$II19,AQ$25)</f>
        <v>7</v>
      </c>
      <c r="BE19" s="73">
        <f t="shared" si="7"/>
        <v>2.9417045247226326</v>
      </c>
      <c r="BF19" s="74">
        <f t="shared" si="8"/>
        <v>3.7288212164432499</v>
      </c>
      <c r="BG19" s="79" t="str" cm="1">
        <f t="array" ref="BG19">IF(ISBLANK(INDEX(FLT_Prod_Info,$HU19,BG$25)),INDEX(FLT_Prod_Info,$HT19,BG$25),INDEX(FLT_Prod_Info,$HT19,BG$25)&amp;" &amp; "&amp;INDEX(FLT_Prod_Info,$HU19,BG$25))</f>
        <v xml:space="preserve">Jet kerosene &amp; </v>
      </c>
      <c r="BH19" s="73" cm="1">
        <f t="array" ref="BH19">IF(INDEX(FLT_Cons,$HH19,$HO19)&lt;&gt;"External Floating Roof",0,INDEX(Flt_Fitting,$HX19,BG$25*$HY19+$HZ19))</f>
        <v>0</v>
      </c>
      <c r="BI19" s="73" cm="1">
        <f t="array" ref="BI19">INDEX(Flt_Temps,$IE19,BG$25)</f>
        <v>510.04103243202195</v>
      </c>
      <c r="BJ19" s="73" cm="1">
        <f t="array" ref="BJ19">INDEX(Flt_Vap,$IF19,BG$25)</f>
        <v>5.9505171322245887E-3</v>
      </c>
      <c r="BK19" s="73" cm="1">
        <f t="array" ref="BK19">INDEX(Flt_Vap,$IG19,BG$25)</f>
        <v>2.0243951537513835E-4</v>
      </c>
      <c r="BL19" s="73" cm="1">
        <f t="array" ref="BL19">INDEX(Flt_Vap,$IH19,BG$25)</f>
        <v>130</v>
      </c>
      <c r="BM19" s="73" cm="1">
        <f t="array" ref="BM19">IF(INDEX(FLT_Prod_Info,$HV19,BG$25)="Crude Oil",0.4,1)</f>
        <v>1</v>
      </c>
      <c r="BN19" s="73" cm="1">
        <f t="array" ref="BN19">INDEX(Month_Ref,BG$25,3)/365*($C19+$D19*BH19^$E19)*$F19*BK19*BL19*BM19</f>
        <v>6.7487233509169409E-2</v>
      </c>
      <c r="BO19" s="73" cm="1">
        <f t="array" ref="BO19">INDEX(Flt_Fitting,$IA19,BG$25*$IC19)</f>
        <v>29.598082191780819</v>
      </c>
      <c r="BP19" s="73">
        <f t="shared" si="9"/>
        <v>0.77893678394189081</v>
      </c>
      <c r="BQ19" s="73" cm="1">
        <f t="array" ref="BQ19">INDEX(Month_Ref,BG$25,3)/365*$G19*$H19*($F19^2)*BK19*BL19*BM19</f>
        <v>0</v>
      </c>
      <c r="BR19" s="73" cm="1">
        <f t="array" ref="BR19">INDEX(FLT_Prod_Info,$HW19,BG$25)</f>
        <v>15129</v>
      </c>
      <c r="BS19" s="73" cm="1">
        <f t="array" ref="BS19">INDEX(Tbl_71_10,IF(INDEX(FLT_Prod_Info,$HV19,BG$25)&lt;&gt;"Crude Oil",1,2),(MATCH(INDEX(FLT_Cons,$HH19,$HR19),Tbl_71_10_Col,0)))</f>
        <v>1.5E-3</v>
      </c>
      <c r="BT19" s="73" cm="1">
        <f t="array" ref="BT19">INDEX(Flt_Multi,$II19,BG$25)</f>
        <v>7</v>
      </c>
      <c r="BU19" s="73">
        <f t="shared" si="10"/>
        <v>2.9417045247226326</v>
      </c>
      <c r="BV19" s="74">
        <f t="shared" si="11"/>
        <v>3.788128542173693</v>
      </c>
      <c r="BW19" s="79" t="str" cm="1">
        <f t="array" ref="BW19">IF(ISBLANK(INDEX(FLT_Prod_Info,$HU19,BW$25)),INDEX(FLT_Prod_Info,$HT19,BW$25),INDEX(FLT_Prod_Info,$HT19,BW$25)&amp;" &amp; "&amp;INDEX(FLT_Prod_Info,$HU19,BW$25))</f>
        <v xml:space="preserve">Jet kerosene &amp; </v>
      </c>
      <c r="BX19" s="73" cm="1">
        <f t="array" ref="BX19">IF(INDEX(FLT_Cons,$HH19,$HO19)&lt;&gt;"External Floating Roof",0,INDEX(Flt_Fitting,$HX19,BW$25*$HY19+$HZ19))</f>
        <v>0</v>
      </c>
      <c r="BY19" s="73" cm="1">
        <f t="array" ref="BY19">INDEX(Flt_Temps,$IE19,BW$25)</f>
        <v>515.01011729074901</v>
      </c>
      <c r="BZ19" s="73" cm="1">
        <f t="array" ref="BZ19">INDEX(Flt_Vap,$IF19,BW$25)</f>
        <v>7.0460344073129157E-3</v>
      </c>
      <c r="CA19" s="73" cm="1">
        <f t="array" ref="CA19">INDEX(Flt_Vap,$IG19,BW$25)</f>
        <v>2.3971848544249703E-4</v>
      </c>
      <c r="CB19" s="73" cm="1">
        <f t="array" ref="CB19">INDEX(Flt_Vap,$IH19,BW$25)</f>
        <v>130</v>
      </c>
      <c r="CC19" s="73" cm="1">
        <f t="array" ref="CC19">IF(INDEX(FLT_Prod_Info,$HV19,BW$25)="Crude Oil",0.4,1)</f>
        <v>1</v>
      </c>
      <c r="CD19" s="73" cm="1">
        <f t="array" ref="CD19">INDEX(Month_Ref,BW$25,3)/365*($C19+$D19*BX19^$E19)*$F19*CA19*CB19*CC19</f>
        <v>8.257874927561043E-2</v>
      </c>
      <c r="CE19" s="73" cm="1">
        <f t="array" ref="CE19">INDEX(Flt_Fitting,$IA19,BW$25*$IC19)</f>
        <v>30.58468493150685</v>
      </c>
      <c r="CF19" s="73">
        <f t="shared" si="12"/>
        <v>0.95312286543718183</v>
      </c>
      <c r="CG19" s="73" cm="1">
        <f t="array" ref="CG19">INDEX(Month_Ref,BW$25,3)/365*$G19*$H19*($F19^2)*CA19*CB19*CC19</f>
        <v>0</v>
      </c>
      <c r="CH19" s="73" cm="1">
        <f t="array" ref="CH19">INDEX(FLT_Prod_Info,$HW19,BW$25)</f>
        <v>15129</v>
      </c>
      <c r="CI19" s="73" cm="1">
        <f t="array" ref="CI19">INDEX(Tbl_71_10,IF(INDEX(FLT_Prod_Info,$HV19,BW$25)&lt;&gt;"Crude Oil",1,2),(MATCH(INDEX(FLT_Cons,$HH19,$HR19),Tbl_71_10_Col,0)))</f>
        <v>1.5E-3</v>
      </c>
      <c r="CJ19" s="73" cm="1">
        <f t="array" ref="CJ19">INDEX(Flt_Multi,$II19,BW$25)</f>
        <v>7</v>
      </c>
      <c r="CK19" s="73">
        <f t="shared" si="13"/>
        <v>2.9417045247226326</v>
      </c>
      <c r="CL19" s="74">
        <f t="shared" si="14"/>
        <v>3.9774061394354248</v>
      </c>
      <c r="CM19" s="79" t="str" cm="1">
        <f t="array" ref="CM19">IF(ISBLANK(INDEX(FLT_Prod_Info,$HU19,CM$25)),INDEX(FLT_Prod_Info,$HT19,CM$25),INDEX(FLT_Prod_Info,$HT19,CM$25)&amp;" &amp; "&amp;INDEX(FLT_Prod_Info,$HU19,CM$25))</f>
        <v xml:space="preserve">Jet kerosene &amp; </v>
      </c>
      <c r="CN19" s="73" cm="1">
        <f t="array" ref="CN19">IF(INDEX(FLT_Cons,$HH19,$HO19)&lt;&gt;"External Floating Roof",0,INDEX(Flt_Fitting,$HX19,CM$25*$HY19+$HZ19))</f>
        <v>0</v>
      </c>
      <c r="CO19" s="73" cm="1">
        <f t="array" ref="CO19">INDEX(Flt_Temps,$IE19,CM$25)</f>
        <v>518.94245987771535</v>
      </c>
      <c r="CP19" s="73" cm="1">
        <f t="array" ref="CP19">INDEX(Flt_Vap,$IF19,CM$25)</f>
        <v>8.035753528204518E-3</v>
      </c>
      <c r="CQ19" s="73" cm="1">
        <f t="array" ref="CQ19">INDEX(Flt_Vap,$IG19,CM$25)</f>
        <v>2.7339967689192903E-4</v>
      </c>
      <c r="CR19" s="73" cm="1">
        <f t="array" ref="CR19">INDEX(Flt_Vap,$IH19,CM$25)</f>
        <v>130</v>
      </c>
      <c r="CS19" s="73" cm="1">
        <f t="array" ref="CS19">IF(INDEX(FLT_Prod_Info,$HV19,CM$25)="Crude Oil",0.4,1)</f>
        <v>1</v>
      </c>
      <c r="CT19" s="73" cm="1">
        <f t="array" ref="CT19">INDEX(Month_Ref,CM$25,3)/365*($C19+$D19*CN19^$E19)*$F19*CQ19*CR19*CS19</f>
        <v>9.114321283345185E-2</v>
      </c>
      <c r="CU19" s="73" cm="1">
        <f t="array" ref="CU19">INDEX(Flt_Fitting,$IA19,CM$25*$IC19)</f>
        <v>29.598082191780819</v>
      </c>
      <c r="CV19" s="73">
        <f t="shared" si="15"/>
        <v>1.0519737940209724</v>
      </c>
      <c r="CW19" s="73" cm="1">
        <f t="array" ref="CW19">INDEX(Month_Ref,CM$25,3)/365*$G19*$H19*($F19^2)*CQ19*CR19*CS19</f>
        <v>0</v>
      </c>
      <c r="CX19" s="73" cm="1">
        <f t="array" ref="CX19">INDEX(FLT_Prod_Info,$HW19,CM$25)</f>
        <v>15129</v>
      </c>
      <c r="CY19" s="73" cm="1">
        <f t="array" ref="CY19">INDEX(Tbl_71_10,IF(INDEX(FLT_Prod_Info,$HV19,CM$25)&lt;&gt;"Crude Oil",1,2),(MATCH(INDEX(FLT_Cons,$HH19,$HR19),Tbl_71_10_Col,0)))</f>
        <v>1.5E-3</v>
      </c>
      <c r="CZ19" s="73" cm="1">
        <f t="array" ref="CZ19">INDEX(Flt_Multi,$II19,CM$25)</f>
        <v>7</v>
      </c>
      <c r="DA19" s="73">
        <f t="shared" si="16"/>
        <v>2.9417045247226326</v>
      </c>
      <c r="DB19" s="74">
        <f t="shared" si="17"/>
        <v>4.0848215315770569</v>
      </c>
      <c r="DC19" s="79" t="str" cm="1">
        <f t="array" ref="DC19">IF(ISBLANK(INDEX(FLT_Prod_Info,$HU19,DC$25)),INDEX(FLT_Prod_Info,$HT19,DC$25),INDEX(FLT_Prod_Info,$HT19,DC$25)&amp;" &amp; "&amp;INDEX(FLT_Prod_Info,$HU19,DC$25))</f>
        <v xml:space="preserve">Jet kerosene &amp; </v>
      </c>
      <c r="DD19" s="73" cm="1">
        <f t="array" ref="DD19">IF(INDEX(FLT_Cons,$HH19,$HO19)&lt;&gt;"External Floating Roof",0,INDEX(Flt_Fitting,$HX19,DC$25*$HY19+$HZ19))</f>
        <v>0</v>
      </c>
      <c r="DE19" s="73" cm="1">
        <f t="array" ref="DE19">INDEX(Flt_Temps,$IE19,DC$25)</f>
        <v>522.56156820598505</v>
      </c>
      <c r="DF19" s="73" cm="1">
        <f t="array" ref="DF19">INDEX(Flt_Vap,$IF19,DC$25)</f>
        <v>9.0532054532778839E-3</v>
      </c>
      <c r="DG19" s="73" cm="1">
        <f t="array" ref="DG19">INDEX(Flt_Vap,$IG19,DC$25)</f>
        <v>3.0802700969666073E-4</v>
      </c>
      <c r="DH19" s="73" cm="1">
        <f t="array" ref="DH19">INDEX(Flt_Vap,$IH19,DC$25)</f>
        <v>130</v>
      </c>
      <c r="DI19" s="73" cm="1">
        <f t="array" ref="DI19">IF(INDEX(FLT_Prod_Info,$HV19,DC$25)="Crude Oil",0.4,1)</f>
        <v>1</v>
      </c>
      <c r="DJ19" s="73" cm="1">
        <f t="array" ref="DJ19">INDEX(Month_Ref,DC$25,3)/365*($C19+$D19*DD19^$E19)*$F19*DG19*DH19*DI19</f>
        <v>0.10610981942799817</v>
      </c>
      <c r="DK19" s="73" cm="1">
        <f t="array" ref="DK19">INDEX(Flt_Fitting,$IA19,DC$25*$IC19)</f>
        <v>30.58468493150685</v>
      </c>
      <c r="DL19" s="73">
        <f t="shared" si="18"/>
        <v>1.2247181754556546</v>
      </c>
      <c r="DM19" s="73" cm="1">
        <f t="array" ref="DM19">INDEX(Month_Ref,DC$25,3)/365*$G19*$H19*($F19^2)*DG19*DH19*DI19</f>
        <v>0</v>
      </c>
      <c r="DN19" s="73" cm="1">
        <f t="array" ref="DN19">INDEX(FLT_Prod_Info,$HW19,DC$25)</f>
        <v>15129</v>
      </c>
      <c r="DO19" s="73" cm="1">
        <f t="array" ref="DO19">INDEX(Tbl_71_10,IF(INDEX(FLT_Prod_Info,$HV19,DC$25)&lt;&gt;"Crude Oil",1,2),(MATCH(INDEX(FLT_Cons,$HH19,$HR19),Tbl_71_10_Col,0)))</f>
        <v>1.5E-3</v>
      </c>
      <c r="DP19" s="73" cm="1">
        <f t="array" ref="DP19">INDEX(Flt_Multi,$II19,DC$25)</f>
        <v>7</v>
      </c>
      <c r="DQ19" s="73">
        <f t="shared" si="19"/>
        <v>2.9417045247226326</v>
      </c>
      <c r="DR19" s="74">
        <f t="shared" si="20"/>
        <v>4.272532519606286</v>
      </c>
      <c r="DS19" s="79" t="str" cm="1">
        <f t="array" ref="DS19">IF(ISBLANK(INDEX(FLT_Prod_Info,$HU19,DS$25)),INDEX(FLT_Prod_Info,$HT19,DS$25),INDEX(FLT_Prod_Info,$HT19,DS$25)&amp;" &amp; "&amp;INDEX(FLT_Prod_Info,$HU19,DS$25))</f>
        <v xml:space="preserve">Jet kerosene &amp; </v>
      </c>
      <c r="DT19" s="73" cm="1">
        <f t="array" ref="DT19">IF(INDEX(FLT_Cons,$HH19,$HO19)&lt;&gt;"External Floating Roof",0,INDEX(Flt_Fitting,$HX19,DS$25*$HY19+$HZ19))</f>
        <v>0</v>
      </c>
      <c r="DU19" s="73" cm="1">
        <f t="array" ref="DU19">INDEX(Flt_Temps,$IE19,DS$25)</f>
        <v>522.6939459972657</v>
      </c>
      <c r="DV19" s="73" cm="1">
        <f t="array" ref="DV19">INDEX(Flt_Vap,$IF19,DS$25)</f>
        <v>9.0924853521168591E-3</v>
      </c>
      <c r="DW19" s="73" cm="1">
        <f t="array" ref="DW19">INDEX(Flt_Vap,$IG19,DS$25)</f>
        <v>3.0936388567060521E-4</v>
      </c>
      <c r="DX19" s="73" cm="1">
        <f t="array" ref="DX19">INDEX(Flt_Vap,$IH19,DS$25)</f>
        <v>130</v>
      </c>
      <c r="DY19" s="73" cm="1">
        <f t="array" ref="DY19">IF(INDEX(FLT_Prod_Info,$HV19,DS$25)="Crude Oil",0.4,1)</f>
        <v>1</v>
      </c>
      <c r="DZ19" s="73" cm="1">
        <f t="array" ref="DZ19">INDEX(Month_Ref,DS$25,3)/365*($C19+$D19*DT19^$E19)*$F19*DW19*DX19*DY19</f>
        <v>0.10657034939364168</v>
      </c>
      <c r="EA19" s="73" cm="1">
        <f t="array" ref="EA19">INDEX(Flt_Fitting,$IA19,DS$25*$IC19)</f>
        <v>30.58468493150685</v>
      </c>
      <c r="EB19" s="73">
        <f t="shared" si="21"/>
        <v>1.2300336064148818</v>
      </c>
      <c r="EC19" s="73" cm="1">
        <f t="array" ref="EC19">INDEX(Month_Ref,DS$25,3)/365*$G19*$H19*($F19^2)*DW19*DX19*DY19</f>
        <v>0</v>
      </c>
      <c r="ED19" s="73" cm="1">
        <f t="array" ref="ED19">INDEX(FLT_Prod_Info,$HW19,DS$25)</f>
        <v>15129</v>
      </c>
      <c r="EE19" s="73" cm="1">
        <f t="array" ref="EE19">INDEX(Tbl_71_10,IF(INDEX(FLT_Prod_Info,$HV19,DS$25)&lt;&gt;"Crude Oil",1,2),(MATCH(INDEX(FLT_Cons,$HH19,$HR19),Tbl_71_10_Col,0)))</f>
        <v>1.5E-3</v>
      </c>
      <c r="EF19" s="73" cm="1">
        <f t="array" ref="EF19">INDEX(Flt_Multi,$II19,DS$25)</f>
        <v>7</v>
      </c>
      <c r="EG19" s="73">
        <f t="shared" si="22"/>
        <v>2.9417045247226326</v>
      </c>
      <c r="EH19" s="74">
        <f t="shared" si="23"/>
        <v>4.2783084805311562</v>
      </c>
      <c r="EI19" s="79" t="str" cm="1">
        <f t="array" ref="EI19">IF(ISBLANK(INDEX(FLT_Prod_Info,$HU19,EI$25)),INDEX(FLT_Prod_Info,$HT19,EI$25),INDEX(FLT_Prod_Info,$HT19,EI$25)&amp;" &amp; "&amp;INDEX(FLT_Prod_Info,$HU19,EI$25))</f>
        <v xml:space="preserve">Jet kerosene &amp; </v>
      </c>
      <c r="EJ19" s="73" cm="1">
        <f t="array" ref="EJ19">IF(INDEX(FLT_Cons,$HH19,$HO19)&lt;&gt;"External Floating Roof",0,INDEX(Flt_Fitting,$HX19,EI$25*$HY19+$HZ19))</f>
        <v>0</v>
      </c>
      <c r="EK19" s="73" cm="1">
        <f t="array" ref="EK19">INDEX(Flt_Temps,$IE19,EI$25)</f>
        <v>519.95868593346506</v>
      </c>
      <c r="EL19" s="73" cm="1">
        <f t="array" ref="EL19">INDEX(Flt_Vap,$IF19,EI$25)</f>
        <v>8.3107026094258567E-3</v>
      </c>
      <c r="EM19" s="73" cm="1">
        <f t="array" ref="EM19">INDEX(Flt_Vap,$IG19,EI$25)</f>
        <v>2.8275688836176187E-4</v>
      </c>
      <c r="EN19" s="73" cm="1">
        <f t="array" ref="EN19">INDEX(Flt_Vap,$IH19,EI$25)</f>
        <v>130</v>
      </c>
      <c r="EO19" s="73" cm="1">
        <f t="array" ref="EO19">IF(INDEX(FLT_Prod_Info,$HV19,EI$25)="Crude Oil",0.4,1)</f>
        <v>1</v>
      </c>
      <c r="EP19" s="73" cm="1">
        <f t="array" ref="EP19">INDEX(Month_Ref,EI$25,3)/365*($C19+$D19*EJ19^$E19)*$F19*EM19*EN19*EO19</f>
        <v>9.4262625139340236E-2</v>
      </c>
      <c r="EQ19" s="73" cm="1">
        <f t="array" ref="EQ19">INDEX(Flt_Fitting,$IA19,EI$25*$IC19)</f>
        <v>29.598082191780819</v>
      </c>
      <c r="ER19" s="73">
        <f t="shared" si="24"/>
        <v>1.0879780108630708</v>
      </c>
      <c r="ES19" s="73" cm="1">
        <f t="array" ref="ES19">INDEX(Month_Ref,EI$25,3)/365*$G19*$H19*($F19^2)*EM19*EN19*EO19</f>
        <v>0</v>
      </c>
      <c r="ET19" s="73" cm="1">
        <f t="array" ref="ET19">INDEX(FLT_Prod_Info,$HW19,EI$25)</f>
        <v>15129</v>
      </c>
      <c r="EU19" s="73" cm="1">
        <f t="array" ref="EU19">INDEX(Tbl_71_10,IF(INDEX(FLT_Prod_Info,$HV19,EI$25)&lt;&gt;"Crude Oil",1,2),(MATCH(INDEX(FLT_Cons,$HH19,$HR19),Tbl_71_10_Col,0)))</f>
        <v>1.5E-3</v>
      </c>
      <c r="EV19" s="73" cm="1">
        <f t="array" ref="EV19">INDEX(Flt_Multi,$II19,EI$25)</f>
        <v>7</v>
      </c>
      <c r="EW19" s="73">
        <f t="shared" si="25"/>
        <v>2.9417045247226326</v>
      </c>
      <c r="EX19" s="74">
        <f t="shared" si="26"/>
        <v>4.123945160725043</v>
      </c>
      <c r="EY19" s="79" t="str" cm="1">
        <f t="array" ref="EY19">IF(ISBLANK(INDEX(FLT_Prod_Info,$HU19,EY$25)),INDEX(FLT_Prod_Info,$HT19,EY$25),INDEX(FLT_Prod_Info,$HT19,EY$25)&amp;" &amp; "&amp;INDEX(FLT_Prod_Info,$HU19,EY$25))</f>
        <v xml:space="preserve">Jet kerosene &amp; </v>
      </c>
      <c r="EZ19" s="73" cm="1">
        <f t="array" ref="EZ19">IF(INDEX(FLT_Cons,$HH19,$HO19)&lt;&gt;"External Floating Roof",0,INDEX(Flt_Fitting,$HX19,EY$25*$HY19+$HZ19))</f>
        <v>0</v>
      </c>
      <c r="FA19" s="73" cm="1">
        <f t="array" ref="FA19">INDEX(Flt_Temps,$IE19,EY$25)</f>
        <v>513.3205044812396</v>
      </c>
      <c r="FB19" s="73" cm="1">
        <f t="array" ref="FB19">INDEX(Flt_Vap,$IF19,EY$25)</f>
        <v>6.6550257384644955E-3</v>
      </c>
      <c r="FC19" s="73" cm="1">
        <f t="array" ref="FC19">INDEX(Flt_Vap,$IG19,EY$25)</f>
        <v>2.2641267076925099E-4</v>
      </c>
      <c r="FD19" s="73" cm="1">
        <f t="array" ref="FD19">INDEX(Flt_Vap,$IH19,EY$25)</f>
        <v>130</v>
      </c>
      <c r="FE19" s="73" cm="1">
        <f t="array" ref="FE19">IF(INDEX(FLT_Prod_Info,$HV19,EY$25)="Crude Oil",0.4,1)</f>
        <v>1</v>
      </c>
      <c r="FF19" s="73" cm="1">
        <f t="array" ref="FF19">INDEX(Month_Ref,EY$25,3)/365*($C19+$D19*EZ19^$E19)*$F19*FC19*FD19*FE19</f>
        <v>7.7995133073541209E-2</v>
      </c>
      <c r="FG19" s="73" cm="1">
        <f t="array" ref="FG19">INDEX(Flt_Fitting,$IA19,EY$25*$IC19)</f>
        <v>30.58468493150685</v>
      </c>
      <c r="FH19" s="73">
        <f t="shared" si="27"/>
        <v>0.90021882599720915</v>
      </c>
      <c r="FI19" s="73" cm="1">
        <f t="array" ref="FI19">INDEX(Month_Ref,EY$25,3)/365*$G19*$H19*($F19^2)*FC19*FD19*FE19</f>
        <v>0</v>
      </c>
      <c r="FJ19" s="73" cm="1">
        <f t="array" ref="FJ19">INDEX(FLT_Prod_Info,$HW19,EY$25)</f>
        <v>15129</v>
      </c>
      <c r="FK19" s="73" cm="1">
        <f t="array" ref="FK19">INDEX(Tbl_71_10,IF(INDEX(FLT_Prod_Info,$HV19,EY$25)&lt;&gt;"Crude Oil",1,2),(MATCH(INDEX(FLT_Cons,$HH19,$HR19),Tbl_71_10_Col,0)))</f>
        <v>1.5E-3</v>
      </c>
      <c r="FL19" s="73" cm="1">
        <f t="array" ref="FL19">INDEX(Flt_Multi,$II19,EY$25)</f>
        <v>7</v>
      </c>
      <c r="FM19" s="73">
        <f t="shared" si="28"/>
        <v>2.9417045247226326</v>
      </c>
      <c r="FN19" s="74">
        <f t="shared" si="29"/>
        <v>3.9199184837933827</v>
      </c>
      <c r="FO19" s="79" t="str" cm="1">
        <f t="array" ref="FO19">IF(ISBLANK(INDEX(FLT_Prod_Info,$HU19,FO$25)),INDEX(FLT_Prod_Info,$HT19,FO$25),INDEX(FLT_Prod_Info,$HT19,FO$25)&amp;" &amp; "&amp;INDEX(FLT_Prod_Info,$HU19,FO$25))</f>
        <v xml:space="preserve">Jet kerosene &amp; </v>
      </c>
      <c r="FP19" s="73" cm="1">
        <f t="array" ref="FP19">IF(INDEX(FLT_Cons,$HH19,$HO19)&lt;&gt;"External Floating Roof",0,INDEX(Flt_Fitting,$HX19,FO$25*$HY19+$HZ19))</f>
        <v>0</v>
      </c>
      <c r="FQ19" s="73" cm="1">
        <f t="array" ref="FQ19">INDEX(Flt_Temps,$IE19,FO$25)</f>
        <v>507.27495501670978</v>
      </c>
      <c r="FR19" s="73" cm="1">
        <f t="array" ref="FR19">INDEX(Flt_Vap,$IF19,FO$25)</f>
        <v>5.4085226797941904E-3</v>
      </c>
      <c r="FS19" s="73" cm="1">
        <f t="array" ref="FS19">INDEX(Flt_Vap,$IG19,FO$25)</f>
        <v>1.8399720519903155E-4</v>
      </c>
      <c r="FT19" s="73" cm="1">
        <f t="array" ref="FT19">INDEX(Flt_Vap,$IH19,FO$25)</f>
        <v>130</v>
      </c>
      <c r="FU19" s="73" cm="1">
        <f t="array" ref="FU19">IF(INDEX(FLT_Prod_Info,$HV19,FO$25)="Crude Oil",0.4,1)</f>
        <v>1</v>
      </c>
      <c r="FV19" s="73" cm="1">
        <f t="array" ref="FV19">INDEX(Month_Ref,FO$25,3)/365*($C19+$D19*FP19^$E19)*$F19*FS19*FT19*FU19</f>
        <v>6.1339123092104549E-2</v>
      </c>
      <c r="FW19" s="73" cm="1">
        <f t="array" ref="FW19">INDEX(Flt_Fitting,$IA19,FO$25*$IC19)</f>
        <v>29.598082191780819</v>
      </c>
      <c r="FX19" s="73">
        <f t="shared" si="30"/>
        <v>0.70797537233005658</v>
      </c>
      <c r="FY19" s="73" cm="1">
        <f t="array" ref="FY19">INDEX(Month_Ref,FO$25,3)/365*$G19*$H19*($F19^2)*FS19*FT19*FU19</f>
        <v>0</v>
      </c>
      <c r="FZ19" s="73" cm="1">
        <f t="array" ref="FZ19">INDEX(FLT_Prod_Info,$HW19,FO$25)</f>
        <v>15129</v>
      </c>
      <c r="GA19" s="73" cm="1">
        <f t="array" ref="GA19">INDEX(Tbl_71_10,IF(INDEX(FLT_Prod_Info,$HV19,FO$25)&lt;&gt;"Crude Oil",1,2),(MATCH(INDEX(FLT_Cons,$HH19,$HR19),Tbl_71_10_Col,0)))</f>
        <v>1.5E-3</v>
      </c>
      <c r="GB19" s="73" cm="1">
        <f t="array" ref="GB19">INDEX(Flt_Multi,$II19,FO$25)</f>
        <v>7</v>
      </c>
      <c r="GC19" s="73">
        <f t="shared" si="31"/>
        <v>2.9417045247226326</v>
      </c>
      <c r="GD19" s="74">
        <f t="shared" si="32"/>
        <v>3.7110190201447937</v>
      </c>
      <c r="GE19" s="79" t="str" cm="1">
        <f t="array" ref="GE19">IF(ISBLANK(INDEX(FLT_Prod_Info,$HU19,GE$25)),INDEX(FLT_Prod_Info,$HT19,GE$25),INDEX(FLT_Prod_Info,$HT19,GE$25)&amp;" &amp; "&amp;INDEX(FLT_Prod_Info,$HU19,GE$25))</f>
        <v xml:space="preserve">Jet kerosene &amp; </v>
      </c>
      <c r="GF19" s="73" cm="1">
        <f t="array" ref="GF19">IF(INDEX(FLT_Cons,$HH19,$HO19)&lt;&gt;"External Floating Roof",0,INDEX(Flt_Fitting,$HX19,GE$25*$HY19+$HZ19))</f>
        <v>0</v>
      </c>
      <c r="GG19" s="73" cm="1">
        <f t="array" ref="GG19">INDEX(Flt_Temps,$IE19,GE$25)</f>
        <v>503.64408290293187</v>
      </c>
      <c r="GH19" s="73" cm="1">
        <f t="array" ref="GH19">INDEX(Flt_Vap,$IF19,GE$25)</f>
        <v>4.7636944915997893E-3</v>
      </c>
      <c r="GI19" s="73" cm="1">
        <f t="array" ref="GI19">INDEX(Flt_Vap,$IG19,GE$25)</f>
        <v>1.6205668299754803E-4</v>
      </c>
      <c r="GJ19" s="73" cm="1">
        <f t="array" ref="GJ19">INDEX(Flt_Vap,$IH19,GE$25)</f>
        <v>130</v>
      </c>
      <c r="GK19" s="73" cm="1">
        <f t="array" ref="GK19">IF(INDEX(FLT_Prod_Info,$HV19,GE$25)="Crude Oil",0.4,1)</f>
        <v>1</v>
      </c>
      <c r="GL19" s="73" cm="1">
        <f t="array" ref="GL19">INDEX(Month_Ref,GE$25,3)/365*($C19+$D19*GF19^$E19)*$F19*GI19*GJ19*GK19</f>
        <v>5.58256413517252E-2</v>
      </c>
      <c r="GM19" s="73" cm="1">
        <f t="array" ref="GM19">INDEX(Flt_Fitting,$IA19,GE$25*$IC19)</f>
        <v>30.58468493150685</v>
      </c>
      <c r="GN19" s="73">
        <f t="shared" si="33"/>
        <v>0.64433883676826154</v>
      </c>
      <c r="GO19" s="73" cm="1">
        <f t="array" ref="GO19">INDEX(Month_Ref,GE$25,3)/365*$G19*$H19*($F19^2)*GI19*GJ19*GK19</f>
        <v>0</v>
      </c>
      <c r="GP19" s="73" cm="1">
        <f t="array" ref="GP19">INDEX(FLT_Prod_Info,$HW19,GE$25)</f>
        <v>15129</v>
      </c>
      <c r="GQ19" s="73" cm="1">
        <f t="array" ref="GQ19">INDEX(Tbl_71_10,IF(INDEX(FLT_Prod_Info,$HV19,GE$25)&lt;&gt;"Crude Oil",1,2),(MATCH(INDEX(FLT_Cons,$HH19,$HR19),Tbl_71_10_Col,0)))</f>
        <v>1.5E-3</v>
      </c>
      <c r="GR19" s="73" cm="1">
        <f t="array" ref="GR19">INDEX(Flt_Multi,$II19,GE$25)</f>
        <v>7</v>
      </c>
      <c r="GS19" s="73">
        <f t="shared" si="34"/>
        <v>2.9417045247226326</v>
      </c>
      <c r="GT19" s="74">
        <f t="shared" si="35"/>
        <v>3.6418690028426193</v>
      </c>
      <c r="GU19" s="79">
        <f t="shared" si="36"/>
        <v>0.91583014955146058</v>
      </c>
      <c r="GV19" s="73">
        <f t="shared" si="37"/>
        <v>4.5791507477573029E-4</v>
      </c>
      <c r="GW19" s="79">
        <f t="shared" si="38"/>
        <v>10.570499844710783</v>
      </c>
      <c r="GX19" s="73">
        <f t="shared" si="39"/>
        <v>5.2852499223553914E-3</v>
      </c>
      <c r="GY19" s="79">
        <f t="shared" si="40"/>
        <v>0</v>
      </c>
      <c r="GZ19" s="73">
        <f t="shared" si="41"/>
        <v>0</v>
      </c>
      <c r="HA19" s="73">
        <f t="shared" si="42"/>
        <v>11.486329994262244</v>
      </c>
      <c r="HB19" s="73">
        <f t="shared" si="43"/>
        <v>5.7431649971311219E-3</v>
      </c>
      <c r="HC19" s="79">
        <f t="shared" si="44"/>
        <v>35.300454296671582</v>
      </c>
      <c r="HD19" s="73">
        <f t="shared" si="45"/>
        <v>1.7650227148335793E-2</v>
      </c>
      <c r="HE19" s="73">
        <f t="shared" si="46"/>
        <v>46.786784290933824</v>
      </c>
      <c r="HF19" s="74">
        <f t="shared" si="47"/>
        <v>2.3393392145466912E-2</v>
      </c>
      <c r="HH19" s="43">
        <f t="shared" si="48"/>
        <v>9</v>
      </c>
      <c r="HI19" s="43">
        <v>1</v>
      </c>
      <c r="HJ19" s="43">
        <v>2</v>
      </c>
      <c r="HK19" s="43">
        <v>4</v>
      </c>
      <c r="HL19" s="43">
        <v>17</v>
      </c>
      <c r="HM19" s="43">
        <v>18</v>
      </c>
      <c r="HN19" s="43">
        <v>5</v>
      </c>
      <c r="HO19" s="43">
        <v>13</v>
      </c>
      <c r="HP19" s="43">
        <v>14</v>
      </c>
      <c r="HQ19" s="43">
        <v>15</v>
      </c>
      <c r="HR19" s="43">
        <v>12</v>
      </c>
      <c r="HS19" s="43">
        <v>20</v>
      </c>
      <c r="HT19" s="43">
        <f t="shared" si="49"/>
        <v>97</v>
      </c>
      <c r="HU19" s="43">
        <f t="shared" si="64"/>
        <v>102</v>
      </c>
      <c r="HV19" s="43">
        <f t="shared" si="65"/>
        <v>98</v>
      </c>
      <c r="HW19" s="43">
        <f t="shared" si="66"/>
        <v>107</v>
      </c>
      <c r="HX19" s="43">
        <f t="shared" si="51"/>
        <v>121</v>
      </c>
      <c r="HY19" s="43">
        <v>3</v>
      </c>
      <c r="HZ19" s="43">
        <v>-2</v>
      </c>
      <c r="IA19" s="43">
        <f t="shared" si="52"/>
        <v>135</v>
      </c>
      <c r="IB19" s="43">
        <f t="shared" si="53"/>
        <v>150</v>
      </c>
      <c r="IC19" s="43">
        <v>3</v>
      </c>
      <c r="ID19" s="43">
        <v>0</v>
      </c>
      <c r="IE19" s="43">
        <f t="shared" si="54"/>
        <v>102</v>
      </c>
      <c r="IF19" s="43">
        <f t="shared" si="55"/>
        <v>201</v>
      </c>
      <c r="IG19" s="43">
        <f t="shared" si="67"/>
        <v>202</v>
      </c>
      <c r="IH19" s="43">
        <f t="shared" si="68"/>
        <v>207</v>
      </c>
      <c r="II19" s="43">
        <f t="shared" si="57"/>
        <v>126</v>
      </c>
      <c r="IJ19" s="43">
        <f t="shared" si="58"/>
        <v>122</v>
      </c>
    </row>
    <row r="20" spans="1:244" ht="15" thickBot="1" x14ac:dyDescent="0.45">
      <c r="A20" s="43" t="str" cm="1">
        <f t="array" ref="A20">INDEX(FLT_Cons,$HH20,HI$11)</f>
        <v>FLT - 10</v>
      </c>
      <c r="B20" s="97" t="str" cm="1">
        <f t="array" ref="B20">INDEX(FLT_Cons,$HH20,HJ$11)</f>
        <v>INTANK 130</v>
      </c>
      <c r="C20" s="81" cm="1">
        <f t="array" ref="C20">IF(INDEX(FLT_Cons,$HH20,$HK20)="Welded",IF(INDEX(FLT_Cons,$HH20,$HM20)="Average",INDEX(Tbl_71_8_Weld,MATCH(INDEX(FLT_Cons,$HH20,$HL20),Tbl_71_8W_Name,0),2),INDEX(Tbl_71_8_Weld,MATCH(INDEX(FLT_Cons,$HH20,$HL20),Tbl_71_8W_Name,0),3)),INDEX(Tbl_71_8_Riv,MATCH(INDEX(FLT_Cons,$HH20,$HL20),Tbl_71_8R_Name,0),2))</f>
        <v>0.6</v>
      </c>
      <c r="D20" s="32" cm="1">
        <f t="array" ref="D20">IF(INDEX(FLT_Cons,$HH20,$HK20)="Welded",IF(INDEX(FLT_Cons,$HH20,$HM20)="Average",INDEX(Tbl_71_8_Weld,MATCH(INDEX(FLT_Cons,$HH20,$HL20),Tbl_71_8W_Name,0),4),INDEX(Tbl_71_8_Weld,MATCH(INDEX(FLT_Cons,$HH20,$HL20),Tbl_71_8W_Name,0),5)),INDEX(Tbl_71_8_Riv,MATCH(INDEX(FLT_Cons,$HH20,$HL20),Tbl_71_8R_Name,0),3))</f>
        <v>0.4</v>
      </c>
      <c r="E20" s="32" cm="1">
        <f t="array" ref="E20">IF(INDEX(FLT_Cons,$HH20,$HK20)="Welded",IF(INDEX(FLT_Cons,$HH20,$HM20)="Average",INDEX(Tbl_71_8_Weld,MATCH(INDEX(FLT_Cons,$HH20,$HL20),Tbl_71_8W_Name,0),6),INDEX(Tbl_71_8_Weld,MATCH(INDEX(FLT_Cons,$HH20,$HL20),Tbl_71_8W_Name,0),7)),INDEX(Tbl_71_8_Riv,MATCH(INDEX(FLT_Cons,$HH20,$HL20),Tbl_71_8R_Name,0),4))</f>
        <v>1</v>
      </c>
      <c r="F20" s="32" cm="1">
        <f t="array" ref="F20">INDEX(FLT_Cons,$HH20,$HN20)</f>
        <v>120</v>
      </c>
      <c r="G20" s="32" cm="1">
        <f t="array" ref="G20">IF(INDEX(FLT_Cons,$HH20,$HP20)="Bolted Deck",0.14,0)</f>
        <v>0</v>
      </c>
      <c r="H20" s="32" cm="1">
        <f t="array" ref="H20">INDEX(Tbl_71_16,MATCH(INDEX(FLT_Cons,$HH20,$HQ20),Bolted_Deck_Cons_Name,0),2)</f>
        <v>0</v>
      </c>
      <c r="I20" s="32" cm="1">
        <f t="array" ref="I20">INDEX(Sup_Col,$IJ20,1)</f>
        <v>7</v>
      </c>
      <c r="J20" s="33" cm="1">
        <f t="array" ref="J20">INDEX(FC,MATCH(INDEX(FLT_Cons,$HH20,$HS20),Roof_Column_Cons,0),2)</f>
        <v>1.1000000000000001</v>
      </c>
      <c r="K20" s="81" t="str" cm="1">
        <f t="array" ref="K20">IF(ISBLANK(INDEX(FLT_Prod_Info,$HU20,K$25)),INDEX(FLT_Prod_Info,$HT20,K$25),INDEX(FLT_Prod_Info,$HT20,K$25)&amp;" &amp; "&amp;INDEX(FLT_Prod_Info,$HU20,K$25))</f>
        <v xml:space="preserve">Bakken Crude &amp; </v>
      </c>
      <c r="L20" s="32" cm="1">
        <f t="array" ref="L20">IF(INDEX(FLT_Cons,$HH20,$HO20)&lt;&gt;"External Floating Roof",0,INDEX(Flt_Fitting,$HX20,K$25*$HY20+$HZ20))</f>
        <v>0</v>
      </c>
      <c r="M20" s="32" cm="1">
        <f t="array" ref="M20">INDEX(Flt_Temps,$IE20,K$25)</f>
        <v>504.05507951451904</v>
      </c>
      <c r="N20" s="32" cm="1">
        <f t="array" ref="N20">INDEX(Flt_Vap,$IF20,K$25)</f>
        <v>5.867312395282811</v>
      </c>
      <c r="O20" s="32" cm="1">
        <f t="array" ref="O20">INDEX(Flt_Vap,$IG20,K$25)</f>
        <v>0.24932606482681105</v>
      </c>
      <c r="P20" s="32" cm="1">
        <f t="array" ref="P20">INDEX(Flt_Vap,$IH20,K$25)</f>
        <v>61.103726164670178</v>
      </c>
      <c r="Q20" s="32" cm="1">
        <f t="array" ref="Q20">IF(INDEX(FLT_Prod_Info,$HV20,K$25)="Crude Oil",0.4,1)</f>
        <v>0.4</v>
      </c>
      <c r="R20" s="32" cm="1">
        <f t="array" ref="R20">INDEX(Month_Ref,K$25,3)/365*($C20+$D20*L20^$E20)*$F20*O20*P20*Q20</f>
        <v>37.264619781777029</v>
      </c>
      <c r="S20" s="32" cm="1">
        <f t="array" ref="S20">INDEX(Flt_Fitting,$IA20,K$25*$IC20)</f>
        <v>59.288986301369867</v>
      </c>
      <c r="T20" s="32">
        <f t="shared" si="0"/>
        <v>361.30119135087375</v>
      </c>
      <c r="U20" s="32" cm="1">
        <f t="array" ref="U20">INDEX(Month_Ref,K$25,3)/365*$G20*$H20*($F20^2)*O20*P20*Q20</f>
        <v>0</v>
      </c>
      <c r="V20" s="32" cm="1">
        <f t="array" ref="V20">INDEX(FLT_Prod_Info,$HW20,K$25)</f>
        <v>80568</v>
      </c>
      <c r="W20" s="32" cm="1">
        <f t="array" ref="W20">INDEX(Tbl_71_10,IF(INDEX(FLT_Prod_Info,$HV20,K$25)&lt;&gt;"Crude Oil",1,2),(MATCH(INDEX(FLT_Cons,$HH20,$HR20),Tbl_71_10_Col,0)))</f>
        <v>6.0000000000000001E-3</v>
      </c>
      <c r="X20" s="32" cm="1">
        <f t="array" ref="X20">INDEX(Flt_Multi,$II20,K$25)</f>
        <v>6.7389700000000001</v>
      </c>
      <c r="Y20" s="32">
        <f t="shared" si="1"/>
        <v>27.242531031563196</v>
      </c>
      <c r="Z20" s="33">
        <f t="shared" si="2"/>
        <v>425.80834216421397</v>
      </c>
      <c r="AA20" s="81" t="str" cm="1">
        <f t="array" ref="AA20">IF(ISBLANK(INDEX(FLT_Prod_Info,$HU20,AA$25)),INDEX(FLT_Prod_Info,$HT20,AA$25),INDEX(FLT_Prod_Info,$HT20,AA$25)&amp;" &amp; "&amp;INDEX(FLT_Prod_Info,$HU20,AA$25))</f>
        <v xml:space="preserve">Bakken Crude &amp; </v>
      </c>
      <c r="AB20" s="32" cm="1">
        <f t="array" ref="AB20">IF(INDEX(FLT_Cons,$HH20,$HO20)&lt;&gt;"External Floating Roof",0,INDEX(Flt_Fitting,$HX20,AA$25*$HY20+$HZ20))</f>
        <v>0</v>
      </c>
      <c r="AC20" s="32" cm="1">
        <f t="array" ref="AC20">INDEX(Flt_Temps,$IE20,AA$25)</f>
        <v>505.27098457350286</v>
      </c>
      <c r="AD20" s="32" cm="1">
        <f t="array" ref="AD20">INDEX(Flt_Vap,$IF20,AA$25)</f>
        <v>5.9929517490542885</v>
      </c>
      <c r="AE20" s="32" cm="1">
        <f t="array" ref="AE20">INDEX(Flt_Vap,$IG20,AA$25)</f>
        <v>0.25603193041703398</v>
      </c>
      <c r="AF20" s="32" cm="1">
        <f t="array" ref="AF20">INDEX(Flt_Vap,$IH20,AA$25)</f>
        <v>61.103726164670178</v>
      </c>
      <c r="AG20" s="32" cm="1">
        <f t="array" ref="AG20">IF(INDEX(FLT_Prod_Info,$HV20,AA$25)="Crude Oil",0.4,1)</f>
        <v>0.4</v>
      </c>
      <c r="AH20" s="32" cm="1">
        <f t="array" ref="AH20">INDEX(Month_Ref,AA$25,3)/365*($C20+$D20*AB20^$E20)*$F20*AE20*AF20*AG20</f>
        <v>34.563640559647673</v>
      </c>
      <c r="AI20" s="32" cm="1">
        <f t="array" ref="AI20">INDEX(Flt_Fitting,$IA20,AA$25*$IC20)</f>
        <v>53.551342465753429</v>
      </c>
      <c r="AJ20" s="32">
        <f t="shared" si="3"/>
        <v>335.11369724831729</v>
      </c>
      <c r="AK20" s="32" cm="1">
        <f t="array" ref="AK20">INDEX(Month_Ref,AA$25,3)/365*$G20*$H20*($F20^2)*AE20*AF20*AG20</f>
        <v>0</v>
      </c>
      <c r="AL20" s="32" cm="1">
        <f t="array" ref="AL20">INDEX(FLT_Prod_Info,$HW20,AA$25)</f>
        <v>80568</v>
      </c>
      <c r="AM20" s="32" cm="1">
        <f t="array" ref="AM20">INDEX(Tbl_71_10,IF(INDEX(FLT_Prod_Info,$HV20,AA$25)&lt;&gt;"Crude Oil",1,2),(MATCH(INDEX(FLT_Cons,$HH20,$HR20),Tbl_71_10_Col,0)))</f>
        <v>6.0000000000000001E-3</v>
      </c>
      <c r="AN20" s="32" cm="1">
        <f t="array" ref="AN20">INDEX(Flt_Multi,$II20,AA$25)</f>
        <v>6.7389700000000001</v>
      </c>
      <c r="AO20" s="32">
        <f t="shared" si="4"/>
        <v>27.242531031563196</v>
      </c>
      <c r="AP20" s="33">
        <f t="shared" si="5"/>
        <v>396.91986883952819</v>
      </c>
      <c r="AQ20" s="81" t="str" cm="1">
        <f t="array" ref="AQ20">IF(ISBLANK(INDEX(FLT_Prod_Info,$HU20,AQ$25)),INDEX(FLT_Prod_Info,$HT20,AQ$25),INDEX(FLT_Prod_Info,$HT20,AQ$25)&amp;" &amp; "&amp;INDEX(FLT_Prod_Info,$HU20,AQ$25))</f>
        <v xml:space="preserve">Bakken Crude &amp; </v>
      </c>
      <c r="AR20" s="32" cm="1">
        <f t="array" ref="AR20">IF(INDEX(FLT_Cons,$HH20,$HO20)&lt;&gt;"External Floating Roof",0,INDEX(Flt_Fitting,$HX20,AQ$25*$HY20+$HZ20))</f>
        <v>0</v>
      </c>
      <c r="AS20" s="32" cm="1">
        <f t="array" ref="AS20">INDEX(Flt_Temps,$IE20,AQ$25)</f>
        <v>507.11925578493657</v>
      </c>
      <c r="AT20" s="32" cm="1">
        <f t="array" ref="AT20">INDEX(Flt_Vap,$IF20,AQ$25)</f>
        <v>6.1879012479094264</v>
      </c>
      <c r="AU20" s="32" cm="1">
        <f t="array" ref="AU20">INDEX(Flt_Vap,$IG20,AQ$25)</f>
        <v>0.26658086000741832</v>
      </c>
      <c r="AV20" s="32" cm="1">
        <f t="array" ref="AV20">INDEX(Flt_Vap,$IH20,AQ$25)</f>
        <v>61.103726164670178</v>
      </c>
      <c r="AW20" s="32" cm="1">
        <f t="array" ref="AW20">IF(INDEX(FLT_Prod_Info,$HV20,AQ$25)="Crude Oil",0.4,1)</f>
        <v>0.4</v>
      </c>
      <c r="AX20" s="32" cm="1">
        <f t="array" ref="AX20">INDEX(Month_Ref,AQ$25,3)/365*($C20+$D20*AR20^$E20)*$F20*AU20*AV20*AW20</f>
        <v>39.843545423845022</v>
      </c>
      <c r="AY20" s="32" cm="1">
        <f t="array" ref="AY20">INDEX(Flt_Fitting,$IA20,AQ$25*$IC20)</f>
        <v>59.288986301369867</v>
      </c>
      <c r="AZ20" s="32">
        <f t="shared" si="6"/>
        <v>386.3053081871908</v>
      </c>
      <c r="BA20" s="32" cm="1">
        <f t="array" ref="BA20">INDEX(Month_Ref,AQ$25,3)/365*$G20*$H20*($F20^2)*AU20*AV20*AW20</f>
        <v>0</v>
      </c>
      <c r="BB20" s="32" cm="1">
        <f t="array" ref="BB20">INDEX(FLT_Prod_Info,$HW20,AQ$25)</f>
        <v>80568</v>
      </c>
      <c r="BC20" s="32" cm="1">
        <f t="array" ref="BC20">INDEX(Tbl_71_10,IF(INDEX(FLT_Prod_Info,$HV20,AQ$25)&lt;&gt;"Crude Oil",1,2),(MATCH(INDEX(FLT_Cons,$HH20,$HR20),Tbl_71_10_Col,0)))</f>
        <v>6.0000000000000001E-3</v>
      </c>
      <c r="BD20" s="32" cm="1">
        <f t="array" ref="BD20">INDEX(Flt_Multi,$II20,AQ$25)</f>
        <v>6.7389700000000001</v>
      </c>
      <c r="BE20" s="32">
        <f t="shared" si="7"/>
        <v>27.242531031563196</v>
      </c>
      <c r="BF20" s="33">
        <f t="shared" si="8"/>
        <v>453.39138464259901</v>
      </c>
      <c r="BG20" s="81" t="str" cm="1">
        <f t="array" ref="BG20">IF(ISBLANK(INDEX(FLT_Prod_Info,$HU20,BG$25)),INDEX(FLT_Prod_Info,$HT20,BG$25),INDEX(FLT_Prod_Info,$HT20,BG$25)&amp;" &amp; "&amp;INDEX(FLT_Prod_Info,$HU20,BG$25))</f>
        <v xml:space="preserve">Bakken Crude &amp; </v>
      </c>
      <c r="BH20" s="32" cm="1">
        <f t="array" ref="BH20">IF(INDEX(FLT_Cons,$HH20,$HO20)&lt;&gt;"External Floating Roof",0,INDEX(Flt_Fitting,$HX20,BG$25*$HY20+$HZ20))</f>
        <v>0</v>
      </c>
      <c r="BI20" s="32" cm="1">
        <f t="array" ref="BI20">INDEX(Flt_Temps,$IE20,BG$25)</f>
        <v>510.22612114337574</v>
      </c>
      <c r="BJ20" s="32" cm="1">
        <f t="array" ref="BJ20">INDEX(Flt_Vap,$IF20,BG$25)</f>
        <v>6.5265862919465194</v>
      </c>
      <c r="BK20" s="32" cm="1">
        <f t="array" ref="BK20">INDEX(Flt_Vap,$IG20,BG$25)</f>
        <v>0.28533503460607534</v>
      </c>
      <c r="BL20" s="32" cm="1">
        <f t="array" ref="BL20">INDEX(Flt_Vap,$IH20,BG$25)</f>
        <v>61.103726164670178</v>
      </c>
      <c r="BM20" s="32" cm="1">
        <f t="array" ref="BM20">IF(INDEX(FLT_Prod_Info,$HV20,BG$25)="Crude Oil",0.4,1)</f>
        <v>0.4</v>
      </c>
      <c r="BN20" s="32" cm="1">
        <f t="array" ref="BN20">INDEX(Month_Ref,BG$25,3)/365*($C20+$D20*BH20^$E20)*$F20*BK20*BL20*BM20</f>
        <v>41.270874576080708</v>
      </c>
      <c r="BO20" s="32" cm="1">
        <f t="array" ref="BO20">INDEX(Flt_Fitting,$IA20,BG$25*$IC20)</f>
        <v>57.376438356164392</v>
      </c>
      <c r="BP20" s="32">
        <f t="shared" si="9"/>
        <v>400.14405727875589</v>
      </c>
      <c r="BQ20" s="32" cm="1">
        <f t="array" ref="BQ20">INDEX(Month_Ref,BG$25,3)/365*$G20*$H20*($F20^2)*BK20*BL20*BM20</f>
        <v>0</v>
      </c>
      <c r="BR20" s="32" cm="1">
        <f t="array" ref="BR20">INDEX(FLT_Prod_Info,$HW20,BG$25)</f>
        <v>80568</v>
      </c>
      <c r="BS20" s="32" cm="1">
        <f t="array" ref="BS20">INDEX(Tbl_71_10,IF(INDEX(FLT_Prod_Info,$HV20,BG$25)&lt;&gt;"Crude Oil",1,2),(MATCH(INDEX(FLT_Cons,$HH20,$HR20),Tbl_71_10_Col,0)))</f>
        <v>6.0000000000000001E-3</v>
      </c>
      <c r="BT20" s="32" cm="1">
        <f t="array" ref="BT20">INDEX(Flt_Multi,$II20,BG$25)</f>
        <v>6.7389700000000001</v>
      </c>
      <c r="BU20" s="32">
        <f t="shared" si="10"/>
        <v>27.242531031563196</v>
      </c>
      <c r="BV20" s="33">
        <f t="shared" si="11"/>
        <v>468.6574628863998</v>
      </c>
      <c r="BW20" s="81" t="str" cm="1">
        <f t="array" ref="BW20">IF(ISBLANK(INDEX(FLT_Prod_Info,$HU20,BW$25)),INDEX(FLT_Prod_Info,$HT20,BW$25),INDEX(FLT_Prod_Info,$HT20,BW$25)&amp;" &amp; "&amp;INDEX(FLT_Prod_Info,$HU20,BW$25))</f>
        <v xml:space="preserve">Bakken Crude &amp; </v>
      </c>
      <c r="BX20" s="32" cm="1">
        <f t="array" ref="BX20">IF(INDEX(FLT_Cons,$HH20,$HO20)&lt;&gt;"External Floating Roof",0,INDEX(Flt_Fitting,$HX20,BW$25*$HY20+$HZ20))</f>
        <v>0</v>
      </c>
      <c r="BY20" s="32" cm="1">
        <f t="array" ref="BY20">INDEX(Flt_Temps,$IE20,BW$25)</f>
        <v>515.23733881578949</v>
      </c>
      <c r="BZ20" s="32" cm="1">
        <f t="array" ref="BZ20">INDEX(Flt_Vap,$IF20,BW$25)</f>
        <v>7.1027408976770037</v>
      </c>
      <c r="CA20" s="32" cm="1">
        <f t="array" ref="CA20">INDEX(Flt_Vap,$IG20,BW$25)</f>
        <v>0.31854771320018516</v>
      </c>
      <c r="CB20" s="32" cm="1">
        <f t="array" ref="CB20">INDEX(Flt_Vap,$IH20,BW$25)</f>
        <v>61.103726164670178</v>
      </c>
      <c r="CC20" s="32" cm="1">
        <f t="array" ref="CC20">IF(INDEX(FLT_Prod_Info,$HV20,BW$25)="Crude Oil",0.4,1)</f>
        <v>0.4</v>
      </c>
      <c r="CD20" s="32" cm="1">
        <f t="array" ref="CD20">INDEX(Month_Ref,BW$25,3)/365*($C20+$D20*BX20^$E20)*$F20*CA20*CB20*CC20</f>
        <v>47.610583446239701</v>
      </c>
      <c r="CE20" s="32" cm="1">
        <f t="array" ref="CE20">INDEX(Flt_Fitting,$IA20,BW$25*$IC20)</f>
        <v>59.288986301369867</v>
      </c>
      <c r="CF20" s="32">
        <f t="shared" si="12"/>
        <v>461.61105683543076</v>
      </c>
      <c r="CG20" s="32" cm="1">
        <f t="array" ref="CG20">INDEX(Month_Ref,BW$25,3)/365*$G20*$H20*($F20^2)*CA20*CB20*CC20</f>
        <v>0</v>
      </c>
      <c r="CH20" s="32" cm="1">
        <f t="array" ref="CH20">INDEX(FLT_Prod_Info,$HW20,BW$25)</f>
        <v>80568</v>
      </c>
      <c r="CI20" s="32" cm="1">
        <f t="array" ref="CI20">INDEX(Tbl_71_10,IF(INDEX(FLT_Prod_Info,$HV20,BW$25)&lt;&gt;"Crude Oil",1,2),(MATCH(INDEX(FLT_Cons,$HH20,$HR20),Tbl_71_10_Col,0)))</f>
        <v>6.0000000000000001E-3</v>
      </c>
      <c r="CJ20" s="32" cm="1">
        <f t="array" ref="CJ20">INDEX(Flt_Multi,$II20,BW$25)</f>
        <v>6.7389700000000001</v>
      </c>
      <c r="CK20" s="32">
        <f t="shared" si="13"/>
        <v>27.242531031563196</v>
      </c>
      <c r="CL20" s="33">
        <f t="shared" si="14"/>
        <v>536.46417131323369</v>
      </c>
      <c r="CM20" s="81" t="str" cm="1">
        <f t="array" ref="CM20">IF(ISBLANK(INDEX(FLT_Prod_Info,$HU20,CM$25)),INDEX(FLT_Prod_Info,$HT20,CM$25),INDEX(FLT_Prod_Info,$HT20,CM$25)&amp;" &amp; "&amp;INDEX(FLT_Prod_Info,$HU20,CM$25))</f>
        <v xml:space="preserve">Bakken Crude &amp; </v>
      </c>
      <c r="CN20" s="32" cm="1">
        <f t="array" ref="CN20">IF(INDEX(FLT_Cons,$HH20,$HO20)&lt;&gt;"External Floating Roof",0,INDEX(Flt_Fitting,$HX20,CM$25*$HY20+$HZ20))</f>
        <v>0</v>
      </c>
      <c r="CO20" s="32" cm="1">
        <f t="array" ref="CO20">INDEX(Flt_Temps,$IE20,CM$25)</f>
        <v>519.18298650181487</v>
      </c>
      <c r="CP20" s="32" cm="1">
        <f t="array" ref="CP20">INDEX(Flt_Vap,$IF20,CM$25)</f>
        <v>7.5832355758420755</v>
      </c>
      <c r="CQ20" s="32" cm="1">
        <f t="array" ref="CQ20">INDEX(Flt_Vap,$IG20,CM$25)</f>
        <v>0.34758754453273016</v>
      </c>
      <c r="CR20" s="32" cm="1">
        <f t="array" ref="CR20">INDEX(Flt_Vap,$IH20,CM$25)</f>
        <v>61.103726164670178</v>
      </c>
      <c r="CS20" s="32" cm="1">
        <f t="array" ref="CS20">IF(INDEX(FLT_Prod_Info,$HV20,CM$25)="Crude Oil",0.4,1)</f>
        <v>0.4</v>
      </c>
      <c r="CT20" s="32" cm="1">
        <f t="array" ref="CT20">INDEX(Month_Ref,CM$25,3)/365*($C20+$D20*CN20^$E20)*$F20*CQ20*CR20*CS20</f>
        <v>50.275080921705843</v>
      </c>
      <c r="CU20" s="32" cm="1">
        <f t="array" ref="CU20">INDEX(Flt_Fitting,$IA20,CM$25*$IC20)</f>
        <v>57.376438356164392</v>
      </c>
      <c r="CV20" s="32">
        <f t="shared" si="15"/>
        <v>487.44484013645024</v>
      </c>
      <c r="CW20" s="32" cm="1">
        <f t="array" ref="CW20">INDEX(Month_Ref,CM$25,3)/365*$G20*$H20*($F20^2)*CQ20*CR20*CS20</f>
        <v>0</v>
      </c>
      <c r="CX20" s="32" cm="1">
        <f t="array" ref="CX20">INDEX(FLT_Prod_Info,$HW20,CM$25)</f>
        <v>80568</v>
      </c>
      <c r="CY20" s="32" cm="1">
        <f t="array" ref="CY20">INDEX(Tbl_71_10,IF(INDEX(FLT_Prod_Info,$HV20,CM$25)&lt;&gt;"Crude Oil",1,2),(MATCH(INDEX(FLT_Cons,$HH20,$HR20),Tbl_71_10_Col,0)))</f>
        <v>6.0000000000000001E-3</v>
      </c>
      <c r="CZ20" s="32" cm="1">
        <f t="array" ref="CZ20">INDEX(Flt_Multi,$II20,CM$25)</f>
        <v>6.7389700000000001</v>
      </c>
      <c r="DA20" s="32">
        <f t="shared" si="16"/>
        <v>27.242531031563196</v>
      </c>
      <c r="DB20" s="33">
        <f t="shared" si="17"/>
        <v>564.96245208971925</v>
      </c>
      <c r="DC20" s="81" t="str" cm="1">
        <f t="array" ref="DC20">IF(ISBLANK(INDEX(FLT_Prod_Info,$HU20,DC$25)),INDEX(FLT_Prod_Info,$HT20,DC$25),INDEX(FLT_Prod_Info,$HT20,DC$25)&amp;" &amp; "&amp;INDEX(FLT_Prod_Info,$HU20,DC$25))</f>
        <v xml:space="preserve">Bakken Crude &amp; </v>
      </c>
      <c r="DD20" s="32" cm="1">
        <f t="array" ref="DD20">IF(INDEX(FLT_Cons,$HH20,$HO20)&lt;&gt;"External Floating Roof",0,INDEX(Flt_Fitting,$HX20,DC$25*$HY20+$HZ20))</f>
        <v>0</v>
      </c>
      <c r="DE20" s="32" cm="1">
        <f t="array" ref="DE20">INDEX(Flt_Temps,$IE20,DC$25)</f>
        <v>522.81406941923763</v>
      </c>
      <c r="DF20" s="32" cm="1">
        <f t="array" ref="DF20">INDEX(Flt_Vap,$IF20,DC$25)</f>
        <v>8.047065242259821</v>
      </c>
      <c r="DG20" s="32" cm="1">
        <f t="array" ref="DG20">INDEX(Flt_Vap,$IG20,DC$25)</f>
        <v>0.37685991801866286</v>
      </c>
      <c r="DH20" s="32" cm="1">
        <f t="array" ref="DH20">INDEX(Flt_Vap,$IH20,DC$25)</f>
        <v>61.103726164670178</v>
      </c>
      <c r="DI20" s="32" cm="1">
        <f t="array" ref="DI20">IF(INDEX(FLT_Prod_Info,$HV20,DC$25)="Crude Oil",0.4,1)</f>
        <v>0.4</v>
      </c>
      <c r="DJ20" s="32" cm="1">
        <f t="array" ref="DJ20">INDEX(Month_Ref,DC$25,3)/365*($C20+$D20*DD20^$E20)*$F20*DG20*DH20*DI20</f>
        <v>56.326006531696464</v>
      </c>
      <c r="DK20" s="32" cm="1">
        <f t="array" ref="DK20">INDEX(Flt_Fitting,$IA20,DC$25*$IC20)</f>
        <v>59.288986301369867</v>
      </c>
      <c r="DL20" s="32">
        <f t="shared" si="18"/>
        <v>546.11192555064815</v>
      </c>
      <c r="DM20" s="32" cm="1">
        <f t="array" ref="DM20">INDEX(Month_Ref,DC$25,3)/365*$G20*$H20*($F20^2)*DG20*DH20*DI20</f>
        <v>0</v>
      </c>
      <c r="DN20" s="32" cm="1">
        <f t="array" ref="DN20">INDEX(FLT_Prod_Info,$HW20,DC$25)</f>
        <v>80568</v>
      </c>
      <c r="DO20" s="32" cm="1">
        <f t="array" ref="DO20">INDEX(Tbl_71_10,IF(INDEX(FLT_Prod_Info,$HV20,DC$25)&lt;&gt;"Crude Oil",1,2),(MATCH(INDEX(FLT_Cons,$HH20,$HR20),Tbl_71_10_Col,0)))</f>
        <v>6.0000000000000001E-3</v>
      </c>
      <c r="DP20" s="32" cm="1">
        <f t="array" ref="DP20">INDEX(Flt_Multi,$II20,DC$25)</f>
        <v>6.7389700000000001</v>
      </c>
      <c r="DQ20" s="32">
        <f t="shared" si="19"/>
        <v>27.242531031563196</v>
      </c>
      <c r="DR20" s="33">
        <f t="shared" si="20"/>
        <v>629.68046311390776</v>
      </c>
      <c r="DS20" s="81" t="str" cm="1">
        <f t="array" ref="DS20">IF(ISBLANK(INDEX(FLT_Prod_Info,$HU20,DS$25)),INDEX(FLT_Prod_Info,$HT20,DS$25),INDEX(FLT_Prod_Info,$HT20,DS$25)&amp;" &amp; "&amp;INDEX(FLT_Prod_Info,$HU20,DS$25))</f>
        <v xml:space="preserve">Bakken Crude &amp; </v>
      </c>
      <c r="DT20" s="32" cm="1">
        <f t="array" ref="DT20">IF(INDEX(FLT_Cons,$HH20,$HO20)&lt;&gt;"External Floating Roof",0,INDEX(Flt_Fitting,$HX20,DS$25*$HY20+$HZ20))</f>
        <v>0</v>
      </c>
      <c r="DU20" s="32" cm="1">
        <f t="array" ref="DU20">INDEX(Flt_Temps,$IE20,DS$25)</f>
        <v>522.91451497277683</v>
      </c>
      <c r="DV20" s="32" cm="1">
        <f t="array" ref="DV20">INDEX(Flt_Vap,$IF20,DS$25)</f>
        <v>8.060197054236605</v>
      </c>
      <c r="DW20" s="32" cm="1">
        <f t="array" ref="DW20">INDEX(Flt_Vap,$IG20,DS$25)</f>
        <v>0.37770719226987065</v>
      </c>
      <c r="DX20" s="32" cm="1">
        <f t="array" ref="DX20">INDEX(Flt_Vap,$IH20,DS$25)</f>
        <v>61.103726164670178</v>
      </c>
      <c r="DY20" s="32" cm="1">
        <f t="array" ref="DY20">IF(INDEX(FLT_Prod_Info,$HV20,DS$25)="Crude Oil",0.4,1)</f>
        <v>0.4</v>
      </c>
      <c r="DZ20" s="32" cm="1">
        <f t="array" ref="DZ20">INDEX(Month_Ref,DS$25,3)/365*($C20+$D20*DT20^$E20)*$F20*DW20*DX20*DY20</f>
        <v>56.45264131753035</v>
      </c>
      <c r="EA20" s="32" cm="1">
        <f t="array" ref="EA20">INDEX(Flt_Fitting,$IA20,DS$25*$IC20)</f>
        <v>59.288986301369867</v>
      </c>
      <c r="EB20" s="32">
        <f t="shared" si="21"/>
        <v>547.33972015196639</v>
      </c>
      <c r="EC20" s="32" cm="1">
        <f t="array" ref="EC20">INDEX(Month_Ref,DS$25,3)/365*$G20*$H20*($F20^2)*DW20*DX20*DY20</f>
        <v>0</v>
      </c>
      <c r="ED20" s="32" cm="1">
        <f t="array" ref="ED20">INDEX(FLT_Prod_Info,$HW20,DS$25)</f>
        <v>80568</v>
      </c>
      <c r="EE20" s="32" cm="1">
        <f t="array" ref="EE20">INDEX(Tbl_71_10,IF(INDEX(FLT_Prod_Info,$HV20,DS$25)&lt;&gt;"Crude Oil",1,2),(MATCH(INDEX(FLT_Cons,$HH20,$HR20),Tbl_71_10_Col,0)))</f>
        <v>6.0000000000000001E-3</v>
      </c>
      <c r="EF20" s="32" cm="1">
        <f t="array" ref="EF20">INDEX(Flt_Multi,$II20,DS$25)</f>
        <v>6.7389700000000001</v>
      </c>
      <c r="EG20" s="32">
        <f t="shared" si="22"/>
        <v>27.242531031563196</v>
      </c>
      <c r="EH20" s="33">
        <f t="shared" si="23"/>
        <v>631.03489250105997</v>
      </c>
      <c r="EI20" s="81" t="str" cm="1">
        <f t="array" ref="EI20">IF(ISBLANK(INDEX(FLT_Prod_Info,$HU20,EI$25)),INDEX(FLT_Prod_Info,$HT20,EI$25),INDEX(FLT_Prod_Info,$HT20,EI$25)&amp;" &amp; "&amp;INDEX(FLT_Prod_Info,$HU20,EI$25))</f>
        <v xml:space="preserve">Bakken Crude &amp; </v>
      </c>
      <c r="EJ20" s="32" cm="1">
        <f t="array" ref="EJ20">IF(INDEX(FLT_Cons,$HH20,$HO20)&lt;&gt;"External Floating Roof",0,INDEX(Flt_Fitting,$HX20,EI$25*$HY20+$HZ20))</f>
        <v>0</v>
      </c>
      <c r="EK20" s="32" cm="1">
        <f t="array" ref="EK20">INDEX(Flt_Temps,$IE20,EI$25)</f>
        <v>520.13549591651554</v>
      </c>
      <c r="EL20" s="32" cm="1">
        <f t="array" ref="EL20">INDEX(Flt_Vap,$IF20,EI$25)</f>
        <v>7.702874004617926</v>
      </c>
      <c r="EM20" s="32" cm="1">
        <f t="array" ref="EM20">INDEX(Flt_Vap,$IG20,EI$25)</f>
        <v>0.35501817181950157</v>
      </c>
      <c r="EN20" s="32" cm="1">
        <f t="array" ref="EN20">INDEX(Flt_Vap,$IH20,EI$25)</f>
        <v>61.103726164670178</v>
      </c>
      <c r="EO20" s="32" cm="1">
        <f t="array" ref="EO20">IF(INDEX(FLT_Prod_Info,$HV20,EI$25)="Crude Oil",0.4,1)</f>
        <v>0.4</v>
      </c>
      <c r="EP20" s="32" cm="1">
        <f t="array" ref="EP20">INDEX(Month_Ref,EI$25,3)/365*($C20+$D20*EJ20^$E20)*$F20*EM20*EN20*EO20</f>
        <v>51.349847247535131</v>
      </c>
      <c r="EQ20" s="32" cm="1">
        <f t="array" ref="EQ20">INDEX(Flt_Fitting,$IA20,EI$25*$IC20)</f>
        <v>57.376438356164392</v>
      </c>
      <c r="ER20" s="32">
        <f t="shared" si="24"/>
        <v>497.86529675776848</v>
      </c>
      <c r="ES20" s="32" cm="1">
        <f t="array" ref="ES20">INDEX(Month_Ref,EI$25,3)/365*$G20*$H20*($F20^2)*EM20*EN20*EO20</f>
        <v>0</v>
      </c>
      <c r="ET20" s="32" cm="1">
        <f t="array" ref="ET20">INDEX(FLT_Prod_Info,$HW20,EI$25)</f>
        <v>80568</v>
      </c>
      <c r="EU20" s="32" cm="1">
        <f t="array" ref="EU20">INDEX(Tbl_71_10,IF(INDEX(FLT_Prod_Info,$HV20,EI$25)&lt;&gt;"Crude Oil",1,2),(MATCH(INDEX(FLT_Cons,$HH20,$HR20),Tbl_71_10_Col,0)))</f>
        <v>6.0000000000000001E-3</v>
      </c>
      <c r="EV20" s="32" cm="1">
        <f t="array" ref="EV20">INDEX(Flt_Multi,$II20,EI$25)</f>
        <v>6.7389700000000001</v>
      </c>
      <c r="EW20" s="32">
        <f t="shared" si="25"/>
        <v>27.242531031563196</v>
      </c>
      <c r="EX20" s="33">
        <f t="shared" si="26"/>
        <v>576.4576750368667</v>
      </c>
      <c r="EY20" s="81" t="str" cm="1">
        <f t="array" ref="EY20">IF(ISBLANK(INDEX(FLT_Prod_Info,$HU20,EY$25)),INDEX(FLT_Prod_Info,$HT20,EY$25),INDEX(FLT_Prod_Info,$HT20,EY$25)&amp;" &amp; "&amp;INDEX(FLT_Prod_Info,$HU20,EY$25))</f>
        <v xml:space="preserve">Bakken Crude &amp; </v>
      </c>
      <c r="EZ20" s="32" cm="1">
        <f t="array" ref="EZ20">IF(INDEX(FLT_Cons,$HH20,$HO20)&lt;&gt;"External Floating Roof",0,INDEX(Flt_Fitting,$HX20,EY$25*$HY20+$HZ20))</f>
        <v>0</v>
      </c>
      <c r="FA20" s="32" cm="1">
        <f t="array" ref="FA20">INDEX(Flt_Temps,$IE20,EY$25)</f>
        <v>513.42812794918336</v>
      </c>
      <c r="FB20" s="32" cm="1">
        <f t="array" ref="FB20">INDEX(Flt_Vap,$IF20,EY$25)</f>
        <v>6.8903996680511943</v>
      </c>
      <c r="FC20" s="32" cm="1">
        <f t="array" ref="FC20">INDEX(Flt_Vap,$IG20,EY$25)</f>
        <v>0.30610937406433497</v>
      </c>
      <c r="FD20" s="32" cm="1">
        <f t="array" ref="FD20">INDEX(Flt_Vap,$IH20,EY$25)</f>
        <v>61.103726164670178</v>
      </c>
      <c r="FE20" s="32" cm="1">
        <f t="array" ref="FE20">IF(INDEX(FLT_Prod_Info,$HV20,EY$25)="Crude Oil",0.4,1)</f>
        <v>0.4</v>
      </c>
      <c r="FF20" s="32" cm="1">
        <f t="array" ref="FF20">INDEX(Month_Ref,EY$25,3)/365*($C20+$D20*EZ20^$E20)*$F20*FC20*FD20*FE20</f>
        <v>45.751532011179258</v>
      </c>
      <c r="FG20" s="32" cm="1">
        <f t="array" ref="FG20">INDEX(Flt_Fitting,$IA20,EY$25*$IC20)</f>
        <v>59.288986301369867</v>
      </c>
      <c r="FH20" s="32">
        <f t="shared" si="27"/>
        <v>443.58652036616706</v>
      </c>
      <c r="FI20" s="32" cm="1">
        <f t="array" ref="FI20">INDEX(Month_Ref,EY$25,3)/365*$G20*$H20*($F20^2)*FC20*FD20*FE20</f>
        <v>0</v>
      </c>
      <c r="FJ20" s="32" cm="1">
        <f t="array" ref="FJ20">INDEX(FLT_Prod_Info,$HW20,EY$25)</f>
        <v>80568</v>
      </c>
      <c r="FK20" s="32" cm="1">
        <f t="array" ref="FK20">INDEX(Tbl_71_10,IF(INDEX(FLT_Prod_Info,$HV20,EY$25)&lt;&gt;"Crude Oil",1,2),(MATCH(INDEX(FLT_Cons,$HH20,$HR20),Tbl_71_10_Col,0)))</f>
        <v>6.0000000000000001E-3</v>
      </c>
      <c r="FL20" s="32" cm="1">
        <f t="array" ref="FL20">INDEX(Flt_Multi,$II20,EY$25)</f>
        <v>6.7389700000000001</v>
      </c>
      <c r="FM20" s="32">
        <f t="shared" si="28"/>
        <v>27.242531031563196</v>
      </c>
      <c r="FN20" s="33">
        <f t="shared" si="29"/>
        <v>516.58058340890955</v>
      </c>
      <c r="FO20" s="81" t="str" cm="1">
        <f t="array" ref="FO20">IF(ISBLANK(INDEX(FLT_Prod_Info,$HU20,FO$25)),INDEX(FLT_Prod_Info,$HT20,FO$25),INDEX(FLT_Prod_Info,$HT20,FO$25)&amp;" &amp; "&amp;INDEX(FLT_Prod_Info,$HU20,FO$25))</f>
        <v xml:space="preserve">Bakken Crude &amp; </v>
      </c>
      <c r="FP20" s="32" cm="1">
        <f t="array" ref="FP20">IF(INDEX(FLT_Cons,$HH20,$HO20)&lt;&gt;"External Floating Roof",0,INDEX(Flt_Fitting,$HX20,FO$25*$HY20+$HZ20))</f>
        <v>0</v>
      </c>
      <c r="FQ20" s="32" cm="1">
        <f t="array" ref="FQ20">INDEX(Flt_Temps,$IE20,FO$25)</f>
        <v>507.33275828039933</v>
      </c>
      <c r="FR20" s="32" cm="1">
        <f t="array" ref="FR20">INDEX(Flt_Vap,$IF20,FO$25)</f>
        <v>6.2107321749239732</v>
      </c>
      <c r="FS20" s="32" cm="1">
        <f t="array" ref="FS20">INDEX(Flt_Vap,$IG20,FO$25)</f>
        <v>0.26782786855425916</v>
      </c>
      <c r="FT20" s="32" cm="1">
        <f t="array" ref="FT20">INDEX(Flt_Vap,$IH20,FO$25)</f>
        <v>61.103726164670178</v>
      </c>
      <c r="FU20" s="32" cm="1">
        <f t="array" ref="FU20">IF(INDEX(FLT_Prod_Info,$HV20,FO$25)="Crude Oil",0.4,1)</f>
        <v>0.4</v>
      </c>
      <c r="FV20" s="32" cm="1">
        <f t="array" ref="FV20">INDEX(Month_Ref,FO$25,3)/365*($C20+$D20*FP20^$E20)*$F20*FS20*FT20*FU20</f>
        <v>38.738637147527164</v>
      </c>
      <c r="FW20" s="32" cm="1">
        <f t="array" ref="FW20">INDEX(Flt_Fitting,$IA20,FO$25*$IC20)</f>
        <v>57.376438356164392</v>
      </c>
      <c r="FX20" s="32">
        <f t="shared" si="30"/>
        <v>375.59260861035796</v>
      </c>
      <c r="FY20" s="32" cm="1">
        <f t="array" ref="FY20">INDEX(Month_Ref,FO$25,3)/365*$G20*$H20*($F20^2)*FS20*FT20*FU20</f>
        <v>0</v>
      </c>
      <c r="FZ20" s="32" cm="1">
        <f t="array" ref="FZ20">INDEX(FLT_Prod_Info,$HW20,FO$25)</f>
        <v>80568</v>
      </c>
      <c r="GA20" s="32" cm="1">
        <f t="array" ref="GA20">INDEX(Tbl_71_10,IF(INDEX(FLT_Prod_Info,$HV20,FO$25)&lt;&gt;"Crude Oil",1,2),(MATCH(INDEX(FLT_Cons,$HH20,$HR20),Tbl_71_10_Col,0)))</f>
        <v>6.0000000000000001E-3</v>
      </c>
      <c r="GB20" s="32" cm="1">
        <f t="array" ref="GB20">INDEX(Flt_Multi,$II20,FO$25)</f>
        <v>6.7389700000000001</v>
      </c>
      <c r="GC20" s="32">
        <f t="shared" si="31"/>
        <v>27.242531031563196</v>
      </c>
      <c r="GD20" s="33">
        <f t="shared" si="32"/>
        <v>441.57377678944835</v>
      </c>
      <c r="GE20" s="81" t="str" cm="1">
        <f t="array" ref="GE20">IF(ISBLANK(INDEX(FLT_Prod_Info,$HU20,GE$25)),INDEX(FLT_Prod_Info,$HT20,GE$25),INDEX(FLT_Prod_Info,$HT20,GE$25)&amp;" &amp; "&amp;INDEX(FLT_Prod_Info,$HU20,GE$25))</f>
        <v xml:space="preserve">Bakken Crude &amp; </v>
      </c>
      <c r="GF20" s="32" cm="1">
        <f t="array" ref="GF20">IF(INDEX(FLT_Cons,$HH20,$HO20)&lt;&gt;"External Floating Roof",0,INDEX(Flt_Fitting,$HX20,GE$25*$HY20+$HZ20))</f>
        <v>0</v>
      </c>
      <c r="GG20" s="32" cm="1">
        <f t="array" ref="GG20">INDEX(Flt_Temps,$IE20,GE$25)</f>
        <v>503.68872890199646</v>
      </c>
      <c r="GH20" s="32" cm="1">
        <f t="array" ref="GH20">INDEX(Flt_Vap,$IF20,GE$25)</f>
        <v>5.8298594180444212</v>
      </c>
      <c r="GI20" s="32" cm="1">
        <f t="array" ref="GI20">INDEX(Flt_Vap,$IG20,GE$25)</f>
        <v>0.24734088444544727</v>
      </c>
      <c r="GJ20" s="32" cm="1">
        <f t="array" ref="GJ20">INDEX(Flt_Vap,$IH20,GE$25)</f>
        <v>61.103726164670178</v>
      </c>
      <c r="GK20" s="32" cm="1">
        <f t="array" ref="GK20">IF(INDEX(FLT_Prod_Info,$HV20,GE$25)="Crude Oil",0.4,1)</f>
        <v>0.4</v>
      </c>
      <c r="GL20" s="32" cm="1">
        <f t="array" ref="GL20">INDEX(Month_Ref,GE$25,3)/365*($C20+$D20*GF20^$E20)*$F20*GI20*GJ20*GK20</f>
        <v>36.96791196600514</v>
      </c>
      <c r="GM20" s="32" cm="1">
        <f t="array" ref="GM20">INDEX(Flt_Fitting,$IA20,GE$25*$IC20)</f>
        <v>59.288986301369867</v>
      </c>
      <c r="GN20" s="32">
        <f t="shared" si="33"/>
        <v>358.42444423928987</v>
      </c>
      <c r="GO20" s="32" cm="1">
        <f t="array" ref="GO20">INDEX(Month_Ref,GE$25,3)/365*$G20*$H20*($F20^2)*GI20*GJ20*GK20</f>
        <v>0</v>
      </c>
      <c r="GP20" s="32" cm="1">
        <f t="array" ref="GP20">INDEX(FLT_Prod_Info,$HW20,GE$25)</f>
        <v>80568</v>
      </c>
      <c r="GQ20" s="32" cm="1">
        <f t="array" ref="GQ20">INDEX(Tbl_71_10,IF(INDEX(FLT_Prod_Info,$HV20,GE$25)&lt;&gt;"Crude Oil",1,2),(MATCH(INDEX(FLT_Cons,$HH20,$HR20),Tbl_71_10_Col,0)))</f>
        <v>6.0000000000000001E-3</v>
      </c>
      <c r="GR20" s="32" cm="1">
        <f t="array" ref="GR20">INDEX(Flt_Multi,$II20,GE$25)</f>
        <v>6.7389700000000001</v>
      </c>
      <c r="GS20" s="32">
        <f t="shared" si="34"/>
        <v>27.242531031563196</v>
      </c>
      <c r="GT20" s="33">
        <f t="shared" si="35"/>
        <v>422.63488723685822</v>
      </c>
      <c r="GU20" s="81">
        <f t="shared" si="36"/>
        <v>536.41492093076954</v>
      </c>
      <c r="GV20" s="32">
        <f t="shared" si="37"/>
        <v>0.26820746046538479</v>
      </c>
      <c r="GW20" s="81">
        <f t="shared" si="38"/>
        <v>5200.8406667132176</v>
      </c>
      <c r="GX20" s="32">
        <f t="shared" si="39"/>
        <v>2.6004203333566087</v>
      </c>
      <c r="GY20" s="81">
        <f t="shared" si="40"/>
        <v>0</v>
      </c>
      <c r="GZ20" s="32">
        <f t="shared" si="41"/>
        <v>0</v>
      </c>
      <c r="HA20" s="32">
        <f t="shared" si="42"/>
        <v>5737.2555876439874</v>
      </c>
      <c r="HB20" s="32">
        <f t="shared" si="43"/>
        <v>2.8686277938219935</v>
      </c>
      <c r="HC20" s="81">
        <f t="shared" si="44"/>
        <v>326.91037237875838</v>
      </c>
      <c r="HD20" s="32">
        <f t="shared" si="45"/>
        <v>0.16345518618937918</v>
      </c>
      <c r="HE20" s="32">
        <f t="shared" si="46"/>
        <v>6064.1659600227458</v>
      </c>
      <c r="HF20" s="33">
        <f t="shared" si="47"/>
        <v>3.0320829800113729</v>
      </c>
      <c r="HH20" s="43">
        <f t="shared" si="48"/>
        <v>10</v>
      </c>
      <c r="HI20" s="43">
        <v>1</v>
      </c>
      <c r="HJ20" s="43">
        <v>2</v>
      </c>
      <c r="HK20" s="43">
        <v>4</v>
      </c>
      <c r="HL20" s="43">
        <v>17</v>
      </c>
      <c r="HM20" s="43">
        <v>18</v>
      </c>
      <c r="HN20" s="43">
        <v>5</v>
      </c>
      <c r="HO20" s="43">
        <v>13</v>
      </c>
      <c r="HP20" s="43">
        <v>14</v>
      </c>
      <c r="HQ20" s="43">
        <v>15</v>
      </c>
      <c r="HR20" s="43">
        <v>12</v>
      </c>
      <c r="HS20" s="43">
        <v>20</v>
      </c>
      <c r="HT20" s="43">
        <f t="shared" si="49"/>
        <v>109</v>
      </c>
      <c r="HU20" s="43">
        <f t="shared" ref="HU20" si="69">HU19+12</f>
        <v>114</v>
      </c>
      <c r="HV20" s="43">
        <f t="shared" ref="HV20" si="70">HV19+12</f>
        <v>110</v>
      </c>
      <c r="HW20" s="43">
        <f t="shared" ref="HW20" si="71">HW19+12</f>
        <v>119</v>
      </c>
      <c r="HX20" s="43">
        <f t="shared" si="51"/>
        <v>136</v>
      </c>
      <c r="HY20" s="43">
        <v>3</v>
      </c>
      <c r="HZ20" s="43">
        <v>-2</v>
      </c>
      <c r="IA20" s="43">
        <f t="shared" si="52"/>
        <v>150</v>
      </c>
      <c r="IB20" s="43">
        <f t="shared" si="53"/>
        <v>165</v>
      </c>
      <c r="IC20" s="43">
        <v>3</v>
      </c>
      <c r="ID20" s="43">
        <v>0</v>
      </c>
      <c r="IE20" s="43">
        <f t="shared" si="54"/>
        <v>114</v>
      </c>
      <c r="IF20" s="43">
        <f t="shared" si="55"/>
        <v>224</v>
      </c>
      <c r="IG20" s="43">
        <f t="shared" ref="IG20" si="72">IG19+23</f>
        <v>225</v>
      </c>
      <c r="IH20" s="43">
        <f t="shared" ref="IH20" si="73">IH19+23</f>
        <v>230</v>
      </c>
      <c r="II20" s="43">
        <f t="shared" si="57"/>
        <v>140</v>
      </c>
      <c r="IJ20" s="43">
        <f t="shared" si="58"/>
        <v>137</v>
      </c>
    </row>
    <row r="22" spans="1:244" x14ac:dyDescent="0.4">
      <c r="K22" s="43">
        <v>1</v>
      </c>
      <c r="L22" s="43">
        <f>K22+1</f>
        <v>2</v>
      </c>
      <c r="M22" s="43">
        <f t="shared" ref="M22:BX22" si="74">L22+1</f>
        <v>3</v>
      </c>
      <c r="N22" s="43">
        <f t="shared" si="74"/>
        <v>4</v>
      </c>
      <c r="O22" s="43">
        <f t="shared" si="74"/>
        <v>5</v>
      </c>
      <c r="P22" s="43">
        <f t="shared" si="74"/>
        <v>6</v>
      </c>
      <c r="Q22" s="43">
        <f t="shared" si="74"/>
        <v>7</v>
      </c>
      <c r="R22" s="43">
        <f t="shared" si="74"/>
        <v>8</v>
      </c>
      <c r="S22" s="43">
        <f t="shared" si="74"/>
        <v>9</v>
      </c>
      <c r="T22" s="43">
        <f t="shared" si="74"/>
        <v>10</v>
      </c>
      <c r="U22" s="43">
        <f t="shared" si="74"/>
        <v>11</v>
      </c>
      <c r="V22" s="43">
        <f t="shared" si="74"/>
        <v>12</v>
      </c>
      <c r="W22" s="43">
        <f t="shared" si="74"/>
        <v>13</v>
      </c>
      <c r="X22" s="43">
        <f t="shared" si="74"/>
        <v>14</v>
      </c>
      <c r="Y22" s="43">
        <f t="shared" si="74"/>
        <v>15</v>
      </c>
      <c r="Z22" s="43">
        <f t="shared" si="74"/>
        <v>16</v>
      </c>
      <c r="AA22" s="43">
        <f t="shared" si="74"/>
        <v>17</v>
      </c>
      <c r="AB22" s="43">
        <f t="shared" si="74"/>
        <v>18</v>
      </c>
      <c r="AC22" s="43">
        <f t="shared" si="74"/>
        <v>19</v>
      </c>
      <c r="AD22" s="43">
        <f t="shared" si="74"/>
        <v>20</v>
      </c>
      <c r="AE22" s="43">
        <f t="shared" si="74"/>
        <v>21</v>
      </c>
      <c r="AF22" s="43">
        <f t="shared" si="74"/>
        <v>22</v>
      </c>
      <c r="AG22" s="43">
        <f t="shared" si="74"/>
        <v>23</v>
      </c>
      <c r="AH22" s="43">
        <f t="shared" si="74"/>
        <v>24</v>
      </c>
      <c r="AI22" s="43">
        <f t="shared" si="74"/>
        <v>25</v>
      </c>
      <c r="AJ22" s="43">
        <f t="shared" si="74"/>
        <v>26</v>
      </c>
      <c r="AK22" s="43">
        <f t="shared" si="74"/>
        <v>27</v>
      </c>
      <c r="AL22" s="43">
        <f t="shared" si="74"/>
        <v>28</v>
      </c>
      <c r="AM22" s="43">
        <f t="shared" si="74"/>
        <v>29</v>
      </c>
      <c r="AN22" s="43">
        <f t="shared" si="74"/>
        <v>30</v>
      </c>
      <c r="AO22" s="43">
        <f t="shared" si="74"/>
        <v>31</v>
      </c>
      <c r="AP22" s="43">
        <f t="shared" si="74"/>
        <v>32</v>
      </c>
      <c r="AQ22" s="43">
        <f t="shared" si="74"/>
        <v>33</v>
      </c>
      <c r="AR22" s="43">
        <f t="shared" si="74"/>
        <v>34</v>
      </c>
      <c r="AS22" s="43">
        <f t="shared" si="74"/>
        <v>35</v>
      </c>
      <c r="AT22" s="43">
        <f t="shared" si="74"/>
        <v>36</v>
      </c>
      <c r="AU22" s="43">
        <f t="shared" si="74"/>
        <v>37</v>
      </c>
      <c r="AV22" s="43">
        <f t="shared" si="74"/>
        <v>38</v>
      </c>
      <c r="AW22" s="43">
        <f t="shared" si="74"/>
        <v>39</v>
      </c>
      <c r="AX22" s="43">
        <f t="shared" si="74"/>
        <v>40</v>
      </c>
      <c r="AY22" s="43">
        <f t="shared" si="74"/>
        <v>41</v>
      </c>
      <c r="AZ22" s="43">
        <f t="shared" si="74"/>
        <v>42</v>
      </c>
      <c r="BA22" s="43">
        <f t="shared" si="74"/>
        <v>43</v>
      </c>
      <c r="BB22" s="43">
        <f t="shared" si="74"/>
        <v>44</v>
      </c>
      <c r="BC22" s="43">
        <f t="shared" si="74"/>
        <v>45</v>
      </c>
      <c r="BD22" s="43">
        <f t="shared" si="74"/>
        <v>46</v>
      </c>
      <c r="BE22" s="43">
        <f t="shared" si="74"/>
        <v>47</v>
      </c>
      <c r="BF22" s="43">
        <f t="shared" si="74"/>
        <v>48</v>
      </c>
      <c r="BG22" s="43">
        <f t="shared" si="74"/>
        <v>49</v>
      </c>
      <c r="BH22" s="43">
        <f t="shared" si="74"/>
        <v>50</v>
      </c>
      <c r="BI22" s="43">
        <f t="shared" si="74"/>
        <v>51</v>
      </c>
      <c r="BJ22" s="43">
        <f t="shared" si="74"/>
        <v>52</v>
      </c>
      <c r="BK22" s="43">
        <f t="shared" si="74"/>
        <v>53</v>
      </c>
      <c r="BL22" s="43">
        <f t="shared" si="74"/>
        <v>54</v>
      </c>
      <c r="BM22" s="43">
        <f t="shared" si="74"/>
        <v>55</v>
      </c>
      <c r="BN22" s="43">
        <f t="shared" si="74"/>
        <v>56</v>
      </c>
      <c r="BO22" s="43">
        <f t="shared" si="74"/>
        <v>57</v>
      </c>
      <c r="BP22" s="43">
        <f t="shared" si="74"/>
        <v>58</v>
      </c>
      <c r="BQ22" s="43">
        <f t="shared" si="74"/>
        <v>59</v>
      </c>
      <c r="BR22" s="43">
        <f t="shared" si="74"/>
        <v>60</v>
      </c>
      <c r="BS22" s="43">
        <f t="shared" si="74"/>
        <v>61</v>
      </c>
      <c r="BT22" s="43">
        <f t="shared" si="74"/>
        <v>62</v>
      </c>
      <c r="BU22" s="43">
        <f t="shared" si="74"/>
        <v>63</v>
      </c>
      <c r="BV22" s="43">
        <f t="shared" si="74"/>
        <v>64</v>
      </c>
      <c r="BW22" s="43">
        <f t="shared" si="74"/>
        <v>65</v>
      </c>
      <c r="BX22" s="43">
        <f t="shared" si="74"/>
        <v>66</v>
      </c>
      <c r="BY22" s="43">
        <f t="shared" ref="BY22:EJ22" si="75">BX22+1</f>
        <v>67</v>
      </c>
      <c r="BZ22" s="43">
        <f t="shared" si="75"/>
        <v>68</v>
      </c>
      <c r="CA22" s="43">
        <f t="shared" si="75"/>
        <v>69</v>
      </c>
      <c r="CB22" s="43">
        <f t="shared" si="75"/>
        <v>70</v>
      </c>
      <c r="CC22" s="43">
        <f t="shared" si="75"/>
        <v>71</v>
      </c>
      <c r="CD22" s="43">
        <f t="shared" si="75"/>
        <v>72</v>
      </c>
      <c r="CE22" s="43">
        <f t="shared" si="75"/>
        <v>73</v>
      </c>
      <c r="CF22" s="43">
        <f t="shared" si="75"/>
        <v>74</v>
      </c>
      <c r="CG22" s="43">
        <f t="shared" si="75"/>
        <v>75</v>
      </c>
      <c r="CH22" s="43">
        <f t="shared" si="75"/>
        <v>76</v>
      </c>
      <c r="CI22" s="43">
        <f t="shared" si="75"/>
        <v>77</v>
      </c>
      <c r="CJ22" s="43">
        <f t="shared" si="75"/>
        <v>78</v>
      </c>
      <c r="CK22" s="43">
        <f t="shared" si="75"/>
        <v>79</v>
      </c>
      <c r="CL22" s="43">
        <f t="shared" si="75"/>
        <v>80</v>
      </c>
      <c r="CM22" s="43">
        <f t="shared" si="75"/>
        <v>81</v>
      </c>
      <c r="CN22" s="43">
        <f t="shared" si="75"/>
        <v>82</v>
      </c>
      <c r="CO22" s="43">
        <f t="shared" si="75"/>
        <v>83</v>
      </c>
      <c r="CP22" s="43">
        <f t="shared" si="75"/>
        <v>84</v>
      </c>
      <c r="CQ22" s="43">
        <f t="shared" si="75"/>
        <v>85</v>
      </c>
      <c r="CR22" s="43">
        <f t="shared" si="75"/>
        <v>86</v>
      </c>
      <c r="CS22" s="43">
        <f t="shared" si="75"/>
        <v>87</v>
      </c>
      <c r="CT22" s="43">
        <f t="shared" si="75"/>
        <v>88</v>
      </c>
      <c r="CU22" s="43">
        <f t="shared" si="75"/>
        <v>89</v>
      </c>
      <c r="CV22" s="43">
        <f t="shared" si="75"/>
        <v>90</v>
      </c>
      <c r="CW22" s="43">
        <f t="shared" si="75"/>
        <v>91</v>
      </c>
      <c r="CX22" s="43">
        <f t="shared" si="75"/>
        <v>92</v>
      </c>
      <c r="CY22" s="43">
        <f t="shared" si="75"/>
        <v>93</v>
      </c>
      <c r="CZ22" s="43">
        <f t="shared" si="75"/>
        <v>94</v>
      </c>
      <c r="DA22" s="43">
        <f t="shared" si="75"/>
        <v>95</v>
      </c>
      <c r="DB22" s="43">
        <f t="shared" si="75"/>
        <v>96</v>
      </c>
      <c r="DC22" s="43">
        <f t="shared" si="75"/>
        <v>97</v>
      </c>
      <c r="DD22" s="43">
        <f t="shared" si="75"/>
        <v>98</v>
      </c>
      <c r="DE22" s="43">
        <f t="shared" si="75"/>
        <v>99</v>
      </c>
      <c r="DF22" s="43">
        <f t="shared" si="75"/>
        <v>100</v>
      </c>
      <c r="DG22" s="43">
        <f t="shared" si="75"/>
        <v>101</v>
      </c>
      <c r="DH22" s="43">
        <f t="shared" si="75"/>
        <v>102</v>
      </c>
      <c r="DI22" s="43">
        <f t="shared" si="75"/>
        <v>103</v>
      </c>
      <c r="DJ22" s="43">
        <f t="shared" si="75"/>
        <v>104</v>
      </c>
      <c r="DK22" s="43">
        <f t="shared" si="75"/>
        <v>105</v>
      </c>
      <c r="DL22" s="43">
        <f t="shared" si="75"/>
        <v>106</v>
      </c>
      <c r="DM22" s="43">
        <f t="shared" si="75"/>
        <v>107</v>
      </c>
      <c r="DN22" s="43">
        <f t="shared" si="75"/>
        <v>108</v>
      </c>
      <c r="DO22" s="43">
        <f t="shared" si="75"/>
        <v>109</v>
      </c>
      <c r="DP22" s="43">
        <f t="shared" si="75"/>
        <v>110</v>
      </c>
      <c r="DQ22" s="43">
        <f t="shared" si="75"/>
        <v>111</v>
      </c>
      <c r="DR22" s="43">
        <f t="shared" si="75"/>
        <v>112</v>
      </c>
      <c r="DS22" s="43">
        <f t="shared" si="75"/>
        <v>113</v>
      </c>
      <c r="DT22" s="43">
        <f t="shared" si="75"/>
        <v>114</v>
      </c>
      <c r="DU22" s="43">
        <f t="shared" si="75"/>
        <v>115</v>
      </c>
      <c r="DV22" s="43">
        <f t="shared" si="75"/>
        <v>116</v>
      </c>
      <c r="DW22" s="43">
        <f t="shared" si="75"/>
        <v>117</v>
      </c>
      <c r="DX22" s="43">
        <f t="shared" si="75"/>
        <v>118</v>
      </c>
      <c r="DY22" s="43">
        <f t="shared" si="75"/>
        <v>119</v>
      </c>
      <c r="DZ22" s="43">
        <f t="shared" si="75"/>
        <v>120</v>
      </c>
      <c r="EA22" s="43">
        <f t="shared" si="75"/>
        <v>121</v>
      </c>
      <c r="EB22" s="43">
        <f t="shared" si="75"/>
        <v>122</v>
      </c>
      <c r="EC22" s="43">
        <f t="shared" si="75"/>
        <v>123</v>
      </c>
      <c r="ED22" s="43">
        <f t="shared" si="75"/>
        <v>124</v>
      </c>
      <c r="EE22" s="43">
        <f t="shared" si="75"/>
        <v>125</v>
      </c>
      <c r="EF22" s="43">
        <f t="shared" si="75"/>
        <v>126</v>
      </c>
      <c r="EG22" s="43">
        <f t="shared" si="75"/>
        <v>127</v>
      </c>
      <c r="EH22" s="43">
        <f t="shared" si="75"/>
        <v>128</v>
      </c>
      <c r="EI22" s="43">
        <f t="shared" si="75"/>
        <v>129</v>
      </c>
      <c r="EJ22" s="43">
        <f t="shared" si="75"/>
        <v>130</v>
      </c>
      <c r="EK22" s="43">
        <f t="shared" ref="EK22:GV22" si="76">EJ22+1</f>
        <v>131</v>
      </c>
      <c r="EL22" s="43">
        <f t="shared" si="76"/>
        <v>132</v>
      </c>
      <c r="EM22" s="43">
        <f t="shared" si="76"/>
        <v>133</v>
      </c>
      <c r="EN22" s="43">
        <f t="shared" si="76"/>
        <v>134</v>
      </c>
      <c r="EO22" s="43">
        <f t="shared" si="76"/>
        <v>135</v>
      </c>
      <c r="EP22" s="43">
        <f t="shared" si="76"/>
        <v>136</v>
      </c>
      <c r="EQ22" s="43">
        <f t="shared" si="76"/>
        <v>137</v>
      </c>
      <c r="ER22" s="43">
        <f t="shared" si="76"/>
        <v>138</v>
      </c>
      <c r="ES22" s="43">
        <f t="shared" si="76"/>
        <v>139</v>
      </c>
      <c r="ET22" s="43">
        <f t="shared" si="76"/>
        <v>140</v>
      </c>
      <c r="EU22" s="43">
        <f t="shared" si="76"/>
        <v>141</v>
      </c>
      <c r="EV22" s="43">
        <f t="shared" si="76"/>
        <v>142</v>
      </c>
      <c r="EW22" s="43">
        <f t="shared" si="76"/>
        <v>143</v>
      </c>
      <c r="EX22" s="43">
        <f t="shared" si="76"/>
        <v>144</v>
      </c>
      <c r="EY22" s="43">
        <f t="shared" si="76"/>
        <v>145</v>
      </c>
      <c r="EZ22" s="43">
        <f t="shared" si="76"/>
        <v>146</v>
      </c>
      <c r="FA22" s="43">
        <f t="shared" si="76"/>
        <v>147</v>
      </c>
      <c r="FB22" s="43">
        <f t="shared" si="76"/>
        <v>148</v>
      </c>
      <c r="FC22" s="43">
        <f t="shared" si="76"/>
        <v>149</v>
      </c>
      <c r="FD22" s="43">
        <f t="shared" si="76"/>
        <v>150</v>
      </c>
      <c r="FE22" s="43">
        <f t="shared" si="76"/>
        <v>151</v>
      </c>
      <c r="FF22" s="43">
        <f t="shared" si="76"/>
        <v>152</v>
      </c>
      <c r="FG22" s="43">
        <f t="shared" si="76"/>
        <v>153</v>
      </c>
      <c r="FH22" s="43">
        <f t="shared" si="76"/>
        <v>154</v>
      </c>
      <c r="FI22" s="43">
        <f t="shared" si="76"/>
        <v>155</v>
      </c>
      <c r="FJ22" s="43">
        <f t="shared" si="76"/>
        <v>156</v>
      </c>
      <c r="FK22" s="43">
        <f t="shared" si="76"/>
        <v>157</v>
      </c>
      <c r="FL22" s="43">
        <f t="shared" si="76"/>
        <v>158</v>
      </c>
      <c r="FM22" s="43">
        <f t="shared" si="76"/>
        <v>159</v>
      </c>
      <c r="FN22" s="43">
        <f t="shared" si="76"/>
        <v>160</v>
      </c>
      <c r="FO22" s="43">
        <f t="shared" si="76"/>
        <v>161</v>
      </c>
      <c r="FP22" s="43">
        <f t="shared" si="76"/>
        <v>162</v>
      </c>
      <c r="FQ22" s="43">
        <f t="shared" si="76"/>
        <v>163</v>
      </c>
      <c r="FR22" s="43">
        <f t="shared" si="76"/>
        <v>164</v>
      </c>
      <c r="FS22" s="43">
        <f t="shared" si="76"/>
        <v>165</v>
      </c>
      <c r="FT22" s="43">
        <f t="shared" si="76"/>
        <v>166</v>
      </c>
      <c r="FU22" s="43">
        <f t="shared" si="76"/>
        <v>167</v>
      </c>
      <c r="FV22" s="43">
        <f t="shared" si="76"/>
        <v>168</v>
      </c>
      <c r="FW22" s="43">
        <f t="shared" si="76"/>
        <v>169</v>
      </c>
      <c r="FX22" s="43">
        <f t="shared" si="76"/>
        <v>170</v>
      </c>
      <c r="FY22" s="43">
        <f t="shared" si="76"/>
        <v>171</v>
      </c>
      <c r="FZ22" s="43">
        <f t="shared" si="76"/>
        <v>172</v>
      </c>
      <c r="GA22" s="43">
        <f t="shared" si="76"/>
        <v>173</v>
      </c>
      <c r="GB22" s="43">
        <f t="shared" si="76"/>
        <v>174</v>
      </c>
      <c r="GC22" s="43">
        <f t="shared" si="76"/>
        <v>175</v>
      </c>
      <c r="GD22" s="43">
        <f t="shared" si="76"/>
        <v>176</v>
      </c>
      <c r="GE22" s="43">
        <f t="shared" si="76"/>
        <v>177</v>
      </c>
      <c r="GF22" s="43">
        <f t="shared" si="76"/>
        <v>178</v>
      </c>
      <c r="GG22" s="43">
        <f t="shared" si="76"/>
        <v>179</v>
      </c>
      <c r="GH22" s="43">
        <f t="shared" si="76"/>
        <v>180</v>
      </c>
      <c r="GI22" s="43">
        <f t="shared" si="76"/>
        <v>181</v>
      </c>
      <c r="GJ22" s="43">
        <f t="shared" si="76"/>
        <v>182</v>
      </c>
      <c r="GK22" s="43">
        <f t="shared" si="76"/>
        <v>183</v>
      </c>
      <c r="GL22" s="43">
        <f t="shared" si="76"/>
        <v>184</v>
      </c>
      <c r="GM22" s="43">
        <f t="shared" si="76"/>
        <v>185</v>
      </c>
      <c r="GN22" s="43">
        <f t="shared" si="76"/>
        <v>186</v>
      </c>
      <c r="GO22" s="43">
        <f t="shared" si="76"/>
        <v>187</v>
      </c>
      <c r="GP22" s="43">
        <f t="shared" si="76"/>
        <v>188</v>
      </c>
      <c r="GQ22" s="43">
        <f t="shared" si="76"/>
        <v>189</v>
      </c>
      <c r="GR22" s="43">
        <f t="shared" si="76"/>
        <v>190</v>
      </c>
      <c r="GS22" s="43">
        <f t="shared" si="76"/>
        <v>191</v>
      </c>
      <c r="GT22" s="43">
        <f t="shared" si="76"/>
        <v>192</v>
      </c>
      <c r="GU22" s="43">
        <f t="shared" si="76"/>
        <v>193</v>
      </c>
      <c r="GV22" s="43">
        <f t="shared" si="76"/>
        <v>194</v>
      </c>
      <c r="GW22" s="43">
        <f t="shared" ref="GW22:HF22" si="77">GV22+1</f>
        <v>195</v>
      </c>
      <c r="GX22" s="43">
        <f t="shared" si="77"/>
        <v>196</v>
      </c>
      <c r="GY22" s="43">
        <f t="shared" si="77"/>
        <v>197</v>
      </c>
      <c r="GZ22" s="43">
        <f t="shared" si="77"/>
        <v>198</v>
      </c>
      <c r="HA22" s="43">
        <f t="shared" si="77"/>
        <v>199</v>
      </c>
      <c r="HB22" s="43">
        <f t="shared" si="77"/>
        <v>200</v>
      </c>
      <c r="HC22" s="43">
        <f t="shared" si="77"/>
        <v>201</v>
      </c>
      <c r="HD22" s="43">
        <f t="shared" si="77"/>
        <v>202</v>
      </c>
      <c r="HE22" s="43">
        <f t="shared" si="77"/>
        <v>203</v>
      </c>
      <c r="HF22" s="43">
        <f t="shared" si="77"/>
        <v>204</v>
      </c>
    </row>
    <row r="25" spans="1:244" x14ac:dyDescent="0.4">
      <c r="K25" s="43">
        <v>1</v>
      </c>
      <c r="AA25" s="43">
        <f>K25+1</f>
        <v>2</v>
      </c>
      <c r="AQ25" s="43">
        <f>AA25+1</f>
        <v>3</v>
      </c>
      <c r="BG25" s="43">
        <f>AQ25+1</f>
        <v>4</v>
      </c>
      <c r="BW25" s="43">
        <f>BG25+1</f>
        <v>5</v>
      </c>
      <c r="CM25" s="43">
        <f>BW25+1</f>
        <v>6</v>
      </c>
      <c r="DC25" s="43">
        <f>CM25+1</f>
        <v>7</v>
      </c>
      <c r="DS25" s="43">
        <f>DC25+1</f>
        <v>8</v>
      </c>
      <c r="EI25" s="43">
        <f>DS25+1</f>
        <v>9</v>
      </c>
      <c r="EY25" s="43">
        <f>EI25+1</f>
        <v>10</v>
      </c>
      <c r="FO25" s="43">
        <f>EY25+1</f>
        <v>11</v>
      </c>
      <c r="GE25" s="43">
        <f>FO25+1</f>
        <v>12</v>
      </c>
    </row>
    <row r="30" spans="1:244" x14ac:dyDescent="0.4">
      <c r="B30" s="43" t="s">
        <v>1800</v>
      </c>
      <c r="C30" s="43" t="s">
        <v>1778</v>
      </c>
    </row>
    <row r="31" spans="1:244" x14ac:dyDescent="0.4">
      <c r="B31" s="43" t="s">
        <v>1801</v>
      </c>
      <c r="C31" s="43" t="s">
        <v>1779</v>
      </c>
    </row>
    <row r="33" spans="2:3" x14ac:dyDescent="0.4">
      <c r="B33" s="43" t="s">
        <v>1778</v>
      </c>
      <c r="C33" s="43" cm="1">
        <f t="array" ref="C33">IF(INDEX(FLT_Cons,$HH11,$HM11)="Average",INDEX(Tbl_71_8_Weld,MATCH(INDEX(FLT_Cons,$HH11,$HL11),Tbl_71_8W_Name,0),2),INDEX(Tbl_71_8_Weld,MATCH(INDEX(FLT_Cons,$HH11,$HL11),Tbl_71_8W_Name,0),3))</f>
        <v>0.6</v>
      </c>
    </row>
    <row r="34" spans="2:3" x14ac:dyDescent="0.4">
      <c r="B34" s="43" t="s">
        <v>1802</v>
      </c>
      <c r="C34" s="43" t="b" cm="1">
        <f t="array" ref="C34">INDEX(FLT_Cons,$HH11,$HM11)="Average"</f>
        <v>1</v>
      </c>
    </row>
    <row r="35" spans="2:3" x14ac:dyDescent="0.4">
      <c r="B35" s="43" t="s">
        <v>1803</v>
      </c>
      <c r="C35" s="43" cm="1">
        <f t="array" ref="C35">INDEX(Tbl_71_8_Weld,MATCH(INDEX(FLT_Cons,$HH11,$HL11),Tbl_71_8W_Name,0),2)</f>
        <v>0.6</v>
      </c>
    </row>
    <row r="36" spans="2:3" x14ac:dyDescent="0.4">
      <c r="B36" s="43" t="s">
        <v>1804</v>
      </c>
      <c r="C36" s="43" cm="1">
        <f t="array" ref="C36">INDEX(Tbl_71_8_Weld,MATCH(INDEX(FLT_Cons,$HH11,$HL11),Tbl_71_8W_Name,0),3)</f>
        <v>0.4</v>
      </c>
    </row>
    <row r="38" spans="2:3" x14ac:dyDescent="0.4">
      <c r="B38" s="43" t="s">
        <v>1779</v>
      </c>
      <c r="C38" s="43" cm="1">
        <f t="array" ref="C38">INDEX(Tbl_71_8_Riv,MATCH(INDEX(FLT_Cons,$HH11,$HL11),Tbl_71_8R_Name,0),2)</f>
        <v>1.1000000000000001</v>
      </c>
    </row>
  </sheetData>
  <sheetProtection algorithmName="SHA-512" hashValue="IL+P3NrZoCCEjJcnTOwEoItOgWKmSQXIOxV/+NbuPDyeg+L9A+PmO3/HXrgt/3ZeDjrR2LaB9JQsAff5dqUprg==" saltValue="49bg2hv3C3l4i2yDSpAChg==" spinCount="100000" sheet="1" objects="1" scenarios="1"/>
  <mergeCells count="66">
    <mergeCell ref="B9:B10"/>
    <mergeCell ref="O9:O10"/>
    <mergeCell ref="GU7:GV8"/>
    <mergeCell ref="HC7:HD8"/>
    <mergeCell ref="CM7:CM10"/>
    <mergeCell ref="K7:K10"/>
    <mergeCell ref="B6:B7"/>
    <mergeCell ref="C6:J6"/>
    <mergeCell ref="K6:Z6"/>
    <mergeCell ref="HC9:HD9"/>
    <mergeCell ref="AA6:AP6"/>
    <mergeCell ref="AG9:AG10"/>
    <mergeCell ref="GU9:GV9"/>
    <mergeCell ref="GU6:HF6"/>
    <mergeCell ref="DC6:DR6"/>
    <mergeCell ref="EY6:FN6"/>
    <mergeCell ref="HE9:HF9"/>
    <mergeCell ref="E9:E10"/>
    <mergeCell ref="Q9:Q10"/>
    <mergeCell ref="I9:I10"/>
    <mergeCell ref="DC7:DC10"/>
    <mergeCell ref="DG9:DG10"/>
    <mergeCell ref="GI9:GI10"/>
    <mergeCell ref="EM9:EM10"/>
    <mergeCell ref="EO9:EO10"/>
    <mergeCell ref="FE9:FE10"/>
    <mergeCell ref="EY7:EY10"/>
    <mergeCell ref="FC9:FC10"/>
    <mergeCell ref="CS9:CS10"/>
    <mergeCell ref="HE7:HF8"/>
    <mergeCell ref="AA7:AA10"/>
    <mergeCell ref="AE9:AE10"/>
    <mergeCell ref="FO6:GD6"/>
    <mergeCell ref="GE6:GT6"/>
    <mergeCell ref="AQ6:BF6"/>
    <mergeCell ref="AQ7:AQ10"/>
    <mergeCell ref="AU9:AU10"/>
    <mergeCell ref="AW9:AW10"/>
    <mergeCell ref="BG6:BV6"/>
    <mergeCell ref="BG7:BG10"/>
    <mergeCell ref="BK9:BK10"/>
    <mergeCell ref="BM9:BM10"/>
    <mergeCell ref="EI6:EX6"/>
    <mergeCell ref="EI7:EI10"/>
    <mergeCell ref="BW6:CL6"/>
    <mergeCell ref="BW7:BW10"/>
    <mergeCell ref="CA9:CA10"/>
    <mergeCell ref="CC9:CC10"/>
    <mergeCell ref="CM6:DB6"/>
    <mergeCell ref="CQ9:CQ10"/>
    <mergeCell ref="DI9:DI10"/>
    <mergeCell ref="DS6:EH6"/>
    <mergeCell ref="DS7:DS10"/>
    <mergeCell ref="DW9:DW10"/>
    <mergeCell ref="DY9:DY10"/>
    <mergeCell ref="HA7:HB8"/>
    <mergeCell ref="HA9:HB9"/>
    <mergeCell ref="GY7:GZ8"/>
    <mergeCell ref="GY9:GZ9"/>
    <mergeCell ref="FO7:FO10"/>
    <mergeCell ref="GE7:GE10"/>
    <mergeCell ref="FS9:FS10"/>
    <mergeCell ref="FU9:FU10"/>
    <mergeCell ref="GK9:GK10"/>
    <mergeCell ref="GW7:GX8"/>
    <mergeCell ref="GW9:GX9"/>
  </mergeCells>
  <phoneticPr fontId="11" type="noConversion"/>
  <conditionalFormatting sqref="C11:HF20">
    <cfRule type="cellIs" dxfId="15" priority="1" operator="equal">
      <formula>0</formula>
    </cfRule>
    <cfRule type="cellIs" dxfId="14" priority="2" operator="greaterThan">
      <formula>100</formula>
    </cfRule>
    <cfRule type="cellIs" dxfId="13" priority="3" operator="between">
      <formula>10</formula>
      <formula>100</formula>
    </cfRule>
    <cfRule type="cellIs" dxfId="12" priority="4" operator="between">
      <formula>1</formula>
      <formula>10</formula>
    </cfRule>
    <cfRule type="cellIs" dxfId="11" priority="5" operator="between">
      <formula>0.1</formula>
      <formula>1</formula>
    </cfRule>
    <cfRule type="cellIs" dxfId="10" priority="6" operator="between">
      <formula>0.01</formula>
      <formula>0.1</formula>
    </cfRule>
    <cfRule type="cellIs" dxfId="9" priority="7" operator="between">
      <formula>0.001</formula>
      <formula>0.01</formula>
    </cfRule>
    <cfRule type="cellIs" dxfId="8" priority="8" operator="lessThan">
      <formula>0.001</formula>
    </cfRule>
  </conditionalFormatting>
  <pageMargins left="0.7" right="0.7" top="0.75" bottom="0.75" header="0.3" footer="0.3"/>
  <pageSetup paperSize="3" scale="90" orientation="landscape" r:id="rId1"/>
  <headerFooter>
    <oddHeader>&amp;L&amp;"-,Bold"&amp;12AP-42 Chapter 7
Floating Roof Emission Calculations</oddHeader>
    <oddFooter>&amp;RPage &amp;P of &amp;N</oddFooter>
  </headerFooter>
  <colBreaks count="11" manualBreakCount="11">
    <brk id="10" min="4" max="19" man="1"/>
    <brk id="26" min="4" max="19" man="1"/>
    <brk id="42" min="4" max="19" man="1"/>
    <brk id="90" min="4" max="19" man="1"/>
    <brk id="106" min="4" max="19" man="1"/>
    <brk id="122" min="4" max="19" man="1"/>
    <brk id="138" min="4" max="19" man="1"/>
    <brk id="154" min="4" max="19" man="1"/>
    <brk id="170" min="4" max="19" man="1"/>
    <brk id="186" min="4" max="19" man="1"/>
    <brk id="202" min="4" max="19"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672D5-EF24-4642-A99F-0FF7FA6C0D8F}">
  <sheetPr codeName="Sheet8">
    <tabColor rgb="FF00B050"/>
  </sheetPr>
  <dimension ref="A3:KL91"/>
  <sheetViews>
    <sheetView zoomScale="70" zoomScaleNormal="70" workbookViewId="0">
      <pane xSplit="2" ySplit="10" topLeftCell="AI11" activePane="bottomRight" state="frozen"/>
      <selection activeCell="J5" sqref="J5"/>
      <selection pane="topRight" activeCell="J5" sqref="J5"/>
      <selection pane="bottomLeft" activeCell="J5" sqref="J5"/>
      <selection pane="bottomRight" activeCell="AI14" sqref="AI14 KI14 AM91"/>
    </sheetView>
  </sheetViews>
  <sheetFormatPr defaultColWidth="9.15234375" defaultRowHeight="14.6" x14ac:dyDescent="0.4"/>
  <cols>
    <col min="1" max="1" width="26.4609375" style="43" hidden="1" customWidth="1"/>
    <col min="2" max="2" width="22" style="43" bestFit="1" customWidth="1"/>
    <col min="3" max="3" width="20" style="43" bestFit="1" customWidth="1"/>
    <col min="4" max="4" width="12" style="43" bestFit="1" customWidth="1"/>
    <col min="5" max="5" width="14.69140625" style="43" bestFit="1" customWidth="1"/>
    <col min="6" max="6" width="14" style="43" bestFit="1" customWidth="1"/>
    <col min="7" max="8" width="12" style="43" bestFit="1" customWidth="1"/>
    <col min="9" max="9" width="16.15234375" style="43" bestFit="1" customWidth="1"/>
    <col min="10" max="10" width="16.69140625" style="43" bestFit="1" customWidth="1"/>
    <col min="11" max="11" width="15.84375" style="43" bestFit="1" customWidth="1"/>
    <col min="12" max="12" width="15.4609375" style="43" bestFit="1" customWidth="1"/>
    <col min="13" max="13" width="15" style="43" bestFit="1" customWidth="1"/>
    <col min="14" max="14" width="14.69140625" style="43" bestFit="1" customWidth="1"/>
    <col min="15" max="15" width="13.3046875" style="43" bestFit="1" customWidth="1"/>
    <col min="16" max="16" width="19.4609375" style="43" bestFit="1" customWidth="1"/>
    <col min="17" max="17" width="13.3046875" style="43" bestFit="1" customWidth="1"/>
    <col min="18" max="18" width="13.4609375" style="43" bestFit="1" customWidth="1"/>
    <col min="19" max="19" width="14.4609375" style="43" bestFit="1" customWidth="1"/>
    <col min="20" max="20" width="18.69140625" style="43" bestFit="1" customWidth="1"/>
    <col min="21" max="21" width="16" style="43" bestFit="1" customWidth="1"/>
    <col min="22" max="22" width="16.15234375" style="43" bestFit="1" customWidth="1"/>
    <col min="23" max="23" width="15.69140625" style="43" bestFit="1" customWidth="1"/>
    <col min="24" max="24" width="14.15234375" style="43" bestFit="1" customWidth="1"/>
    <col min="25" max="25" width="13.4609375" style="43" bestFit="1" customWidth="1"/>
    <col min="26" max="26" width="12.84375" style="43" bestFit="1" customWidth="1"/>
    <col min="27" max="27" width="12" style="43" bestFit="1" customWidth="1"/>
    <col min="28" max="28" width="16.4609375" style="43" bestFit="1" customWidth="1"/>
    <col min="29" max="29" width="13.4609375" style="43" bestFit="1" customWidth="1"/>
    <col min="30" max="30" width="15" style="43" bestFit="1" customWidth="1"/>
    <col min="31" max="31" width="13.84375" style="43" bestFit="1" customWidth="1"/>
    <col min="32" max="32" width="16.3046875" style="43" bestFit="1" customWidth="1"/>
    <col min="33" max="33" width="12.4609375" style="43" bestFit="1" customWidth="1"/>
    <col min="34" max="34" width="12" style="43" bestFit="1" customWidth="1"/>
    <col min="35" max="224" width="17.3046875" style="43" customWidth="1"/>
    <col min="225" max="225" width="15.15234375" style="43" bestFit="1" customWidth="1"/>
    <col min="226" max="226" width="13.3046875" style="43" bestFit="1" customWidth="1"/>
    <col min="227" max="227" width="13.4609375" style="43" bestFit="1" customWidth="1"/>
    <col min="228" max="228" width="14.4609375" style="43" bestFit="1" customWidth="1"/>
    <col min="229" max="229" width="18.69140625" style="43" bestFit="1" customWidth="1"/>
    <col min="230" max="230" width="16" style="43" bestFit="1" customWidth="1"/>
    <col min="231" max="231" width="16.15234375" style="43" bestFit="1" customWidth="1"/>
    <col min="232" max="232" width="15.84375" style="43" bestFit="1" customWidth="1"/>
    <col min="233" max="233" width="14.15234375" style="43" bestFit="1" customWidth="1"/>
    <col min="234" max="234" width="13.4609375" style="43" bestFit="1" customWidth="1"/>
    <col min="235" max="235" width="12.84375" style="43" bestFit="1" customWidth="1"/>
    <col min="236" max="236" width="12" style="43" bestFit="1" customWidth="1"/>
    <col min="237" max="237" width="15.4609375" style="43" bestFit="1" customWidth="1"/>
    <col min="238" max="238" width="13.4609375" style="43" bestFit="1" customWidth="1"/>
    <col min="239" max="239" width="15" style="43" bestFit="1" customWidth="1"/>
    <col min="240" max="240" width="13.84375" style="43" bestFit="1" customWidth="1"/>
    <col min="241" max="241" width="16.3046875" style="43" bestFit="1" customWidth="1"/>
    <col min="242" max="242" width="10.84375" style="43" bestFit="1" customWidth="1"/>
    <col min="243" max="243" width="11.4609375" style="43" bestFit="1" customWidth="1"/>
    <col min="244" max="244" width="8.4609375" style="43" bestFit="1" customWidth="1"/>
    <col min="245" max="245" width="8.84375" style="43" bestFit="1" customWidth="1"/>
    <col min="246" max="246" width="6.69140625" style="43" bestFit="1" customWidth="1"/>
    <col min="247" max="247" width="8.84375" style="43" bestFit="1" customWidth="1"/>
    <col min="248" max="248" width="6.69140625" style="43" bestFit="1" customWidth="1"/>
    <col min="249" max="249" width="8.84375" style="43" bestFit="1" customWidth="1"/>
    <col min="250" max="287" width="17.3046875" style="43" customWidth="1"/>
    <col min="288" max="288" width="13.3046875" style="43" bestFit="1" customWidth="1"/>
    <col min="289" max="289" width="14.4609375" style="43" bestFit="1" customWidth="1"/>
    <col min="290" max="290" width="14.4609375" style="43" customWidth="1"/>
    <col min="291" max="291" width="13.69140625" style="43" bestFit="1" customWidth="1"/>
    <col min="292" max="292" width="13.3046875" style="43" bestFit="1" customWidth="1"/>
    <col min="293" max="296" width="9.15234375" style="43"/>
    <col min="297" max="298" width="12.3046875" style="43" bestFit="1" customWidth="1"/>
    <col min="299" max="16384" width="9.15234375" style="43"/>
  </cols>
  <sheetData>
    <row r="3" spans="2:298" x14ac:dyDescent="0.4">
      <c r="C3" s="94"/>
    </row>
    <row r="4" spans="2:298" x14ac:dyDescent="0.4">
      <c r="C4" s="95"/>
    </row>
    <row r="5" spans="2:298" ht="15" thickBot="1" x14ac:dyDescent="0.45">
      <c r="KB5" s="43" t="s">
        <v>238</v>
      </c>
      <c r="KC5" s="43" t="s">
        <v>1399</v>
      </c>
      <c r="KE5" s="43" t="s">
        <v>591</v>
      </c>
      <c r="KF5" s="43" t="s">
        <v>1400</v>
      </c>
    </row>
    <row r="6" spans="2:298" x14ac:dyDescent="0.4">
      <c r="C6" s="448"/>
      <c r="D6" s="491" t="s">
        <v>1397</v>
      </c>
      <c r="E6" s="492"/>
      <c r="F6" s="492"/>
      <c r="G6" s="492"/>
      <c r="H6" s="492"/>
      <c r="I6" s="492"/>
      <c r="J6" s="492"/>
      <c r="K6" s="492"/>
      <c r="L6" s="492"/>
      <c r="M6" s="492"/>
      <c r="N6" s="492"/>
      <c r="O6" s="493"/>
      <c r="P6" s="491" t="str" cm="1">
        <f t="array" ref="P6">+INDEX(Month_Ref,Q$89,2)</f>
        <v>January</v>
      </c>
      <c r="Q6" s="492"/>
      <c r="R6" s="492"/>
      <c r="S6" s="492"/>
      <c r="T6" s="492"/>
      <c r="U6" s="492"/>
      <c r="V6" s="492"/>
      <c r="W6" s="492"/>
      <c r="X6" s="492"/>
      <c r="Y6" s="492"/>
      <c r="Z6" s="492"/>
      <c r="AA6" s="492"/>
      <c r="AB6" s="492"/>
      <c r="AC6" s="492"/>
      <c r="AD6" s="492"/>
      <c r="AE6" s="492"/>
      <c r="AF6" s="492"/>
      <c r="AG6" s="492"/>
      <c r="AH6" s="493"/>
      <c r="AI6" s="503" t="str" cm="1">
        <f t="array" ref="AI6">+INDEX(Month_Ref,AJ$89,2)</f>
        <v>February</v>
      </c>
      <c r="AJ6" s="492"/>
      <c r="AK6" s="492"/>
      <c r="AL6" s="492"/>
      <c r="AM6" s="492"/>
      <c r="AN6" s="492"/>
      <c r="AO6" s="492"/>
      <c r="AP6" s="492"/>
      <c r="AQ6" s="492"/>
      <c r="AR6" s="492"/>
      <c r="AS6" s="492"/>
      <c r="AT6" s="492"/>
      <c r="AU6" s="492"/>
      <c r="AV6" s="492"/>
      <c r="AW6" s="492"/>
      <c r="AX6" s="492"/>
      <c r="AY6" s="492"/>
      <c r="AZ6" s="492"/>
      <c r="BA6" s="493"/>
      <c r="BB6" s="503" t="str" cm="1">
        <f t="array" ref="BB6">+INDEX(Month_Ref,BC$89,2)</f>
        <v>March</v>
      </c>
      <c r="BC6" s="492"/>
      <c r="BD6" s="492"/>
      <c r="BE6" s="492"/>
      <c r="BF6" s="492"/>
      <c r="BG6" s="492"/>
      <c r="BH6" s="492"/>
      <c r="BI6" s="492"/>
      <c r="BJ6" s="492"/>
      <c r="BK6" s="492"/>
      <c r="BL6" s="492"/>
      <c r="BM6" s="492"/>
      <c r="BN6" s="492"/>
      <c r="BO6" s="492"/>
      <c r="BP6" s="492"/>
      <c r="BQ6" s="492"/>
      <c r="BR6" s="492"/>
      <c r="BS6" s="492"/>
      <c r="BT6" s="493"/>
      <c r="BU6" s="503" t="str" cm="1">
        <f t="array" ref="BU6">+INDEX(Month_Ref,BV$89,2)</f>
        <v>April</v>
      </c>
      <c r="BV6" s="492"/>
      <c r="BW6" s="492"/>
      <c r="BX6" s="492"/>
      <c r="BY6" s="492"/>
      <c r="BZ6" s="492"/>
      <c r="CA6" s="492"/>
      <c r="CB6" s="492"/>
      <c r="CC6" s="492"/>
      <c r="CD6" s="492"/>
      <c r="CE6" s="492"/>
      <c r="CF6" s="492"/>
      <c r="CG6" s="492"/>
      <c r="CH6" s="492"/>
      <c r="CI6" s="492"/>
      <c r="CJ6" s="492"/>
      <c r="CK6" s="492"/>
      <c r="CL6" s="492"/>
      <c r="CM6" s="493"/>
      <c r="CN6" s="503" t="str" cm="1">
        <f t="array" ref="CN6">+INDEX(Month_Ref,CO$89,2)</f>
        <v>May</v>
      </c>
      <c r="CO6" s="492"/>
      <c r="CP6" s="492"/>
      <c r="CQ6" s="492"/>
      <c r="CR6" s="492"/>
      <c r="CS6" s="492"/>
      <c r="CT6" s="492"/>
      <c r="CU6" s="492"/>
      <c r="CV6" s="492"/>
      <c r="CW6" s="492"/>
      <c r="CX6" s="492"/>
      <c r="CY6" s="492"/>
      <c r="CZ6" s="492"/>
      <c r="DA6" s="492"/>
      <c r="DB6" s="492"/>
      <c r="DC6" s="492"/>
      <c r="DD6" s="492"/>
      <c r="DE6" s="492"/>
      <c r="DF6" s="493"/>
      <c r="DG6" s="503" t="str" cm="1">
        <f t="array" ref="DG6">+INDEX(Month_Ref,DH$89,2)</f>
        <v>June</v>
      </c>
      <c r="DH6" s="492"/>
      <c r="DI6" s="492"/>
      <c r="DJ6" s="492"/>
      <c r="DK6" s="492"/>
      <c r="DL6" s="492"/>
      <c r="DM6" s="492"/>
      <c r="DN6" s="492"/>
      <c r="DO6" s="492"/>
      <c r="DP6" s="492"/>
      <c r="DQ6" s="492"/>
      <c r="DR6" s="492"/>
      <c r="DS6" s="492"/>
      <c r="DT6" s="492"/>
      <c r="DU6" s="492"/>
      <c r="DV6" s="492"/>
      <c r="DW6" s="492"/>
      <c r="DX6" s="492"/>
      <c r="DY6" s="493"/>
      <c r="DZ6" s="503" t="str" cm="1">
        <f t="array" ref="DZ6">+INDEX(Month_Ref,EA$89,2)</f>
        <v>July</v>
      </c>
      <c r="EA6" s="492"/>
      <c r="EB6" s="492"/>
      <c r="EC6" s="492"/>
      <c r="ED6" s="492"/>
      <c r="EE6" s="492"/>
      <c r="EF6" s="492"/>
      <c r="EG6" s="492"/>
      <c r="EH6" s="492"/>
      <c r="EI6" s="492"/>
      <c r="EJ6" s="492"/>
      <c r="EK6" s="492"/>
      <c r="EL6" s="492"/>
      <c r="EM6" s="492"/>
      <c r="EN6" s="492"/>
      <c r="EO6" s="492"/>
      <c r="EP6" s="492"/>
      <c r="EQ6" s="492"/>
      <c r="ER6" s="493"/>
      <c r="ES6" s="503" t="str" cm="1">
        <f t="array" ref="ES6">+INDEX(Month_Ref,ET$89,2)</f>
        <v>August</v>
      </c>
      <c r="ET6" s="492"/>
      <c r="EU6" s="492"/>
      <c r="EV6" s="492"/>
      <c r="EW6" s="492"/>
      <c r="EX6" s="492"/>
      <c r="EY6" s="492"/>
      <c r="EZ6" s="492"/>
      <c r="FA6" s="492"/>
      <c r="FB6" s="492"/>
      <c r="FC6" s="492"/>
      <c r="FD6" s="492"/>
      <c r="FE6" s="492"/>
      <c r="FF6" s="492"/>
      <c r="FG6" s="492"/>
      <c r="FH6" s="492"/>
      <c r="FI6" s="492"/>
      <c r="FJ6" s="492"/>
      <c r="FK6" s="493"/>
      <c r="FL6" s="503" t="str" cm="1">
        <f t="array" ref="FL6">+INDEX(Month_Ref,FM$89,2)</f>
        <v>September</v>
      </c>
      <c r="FM6" s="492"/>
      <c r="FN6" s="492"/>
      <c r="FO6" s="492"/>
      <c r="FP6" s="492"/>
      <c r="FQ6" s="492"/>
      <c r="FR6" s="492"/>
      <c r="FS6" s="492"/>
      <c r="FT6" s="492"/>
      <c r="FU6" s="492"/>
      <c r="FV6" s="492"/>
      <c r="FW6" s="492"/>
      <c r="FX6" s="492"/>
      <c r="FY6" s="492"/>
      <c r="FZ6" s="492"/>
      <c r="GA6" s="492"/>
      <c r="GB6" s="492"/>
      <c r="GC6" s="492"/>
      <c r="GD6" s="493"/>
      <c r="GE6" s="503" t="str" cm="1">
        <f t="array" ref="GE6">+INDEX(Month_Ref,GF$89,2)</f>
        <v>October</v>
      </c>
      <c r="GF6" s="492"/>
      <c r="GG6" s="492"/>
      <c r="GH6" s="492"/>
      <c r="GI6" s="492"/>
      <c r="GJ6" s="492"/>
      <c r="GK6" s="492"/>
      <c r="GL6" s="492"/>
      <c r="GM6" s="492"/>
      <c r="GN6" s="492"/>
      <c r="GO6" s="492"/>
      <c r="GP6" s="492"/>
      <c r="GQ6" s="492"/>
      <c r="GR6" s="492"/>
      <c r="GS6" s="492"/>
      <c r="GT6" s="492"/>
      <c r="GU6" s="492"/>
      <c r="GV6" s="492"/>
      <c r="GW6" s="493"/>
      <c r="GX6" s="503" t="str" cm="1">
        <f t="array" ref="GX6">+INDEX(Month_Ref,GY$89,2)</f>
        <v>November</v>
      </c>
      <c r="GY6" s="492"/>
      <c r="GZ6" s="492"/>
      <c r="HA6" s="492"/>
      <c r="HB6" s="492"/>
      <c r="HC6" s="492"/>
      <c r="HD6" s="492"/>
      <c r="HE6" s="492"/>
      <c r="HF6" s="492"/>
      <c r="HG6" s="492"/>
      <c r="HH6" s="492"/>
      <c r="HI6" s="492"/>
      <c r="HJ6" s="492"/>
      <c r="HK6" s="492"/>
      <c r="HL6" s="492"/>
      <c r="HM6" s="492"/>
      <c r="HN6" s="492"/>
      <c r="HO6" s="492"/>
      <c r="HP6" s="493"/>
      <c r="HQ6" s="503" t="str" cm="1">
        <f t="array" ref="HQ6">+INDEX(Month_Ref,HR$89,2)</f>
        <v>December</v>
      </c>
      <c r="HR6" s="492"/>
      <c r="HS6" s="492"/>
      <c r="HT6" s="492"/>
      <c r="HU6" s="492"/>
      <c r="HV6" s="492"/>
      <c r="HW6" s="492"/>
      <c r="HX6" s="492"/>
      <c r="HY6" s="492"/>
      <c r="HZ6" s="492"/>
      <c r="IA6" s="492"/>
      <c r="IB6" s="492"/>
      <c r="IC6" s="492"/>
      <c r="ID6" s="492"/>
      <c r="IE6" s="492"/>
      <c r="IF6" s="492"/>
      <c r="IG6" s="492"/>
      <c r="IH6" s="492"/>
      <c r="II6" s="493"/>
      <c r="IJ6" s="500" t="s">
        <v>1460</v>
      </c>
      <c r="IK6" s="501"/>
      <c r="IL6" s="501"/>
      <c r="IM6" s="501"/>
      <c r="IN6" s="501"/>
      <c r="IO6" s="502"/>
    </row>
    <row r="7" spans="2:298" ht="29.15" x14ac:dyDescent="0.4">
      <c r="B7" s="16" t="s">
        <v>221</v>
      </c>
      <c r="C7" s="499"/>
      <c r="D7" s="89" t="s">
        <v>1482</v>
      </c>
      <c r="E7" s="82" t="s">
        <v>1483</v>
      </c>
      <c r="F7" s="87" t="s">
        <v>1484</v>
      </c>
      <c r="G7" s="87" t="s">
        <v>1485</v>
      </c>
      <c r="H7" s="87" t="s">
        <v>1486</v>
      </c>
      <c r="I7" s="87" t="s">
        <v>1487</v>
      </c>
      <c r="J7" s="87" t="s">
        <v>1488</v>
      </c>
      <c r="K7" s="87" t="s">
        <v>1489</v>
      </c>
      <c r="L7" s="87" t="s">
        <v>1490</v>
      </c>
      <c r="M7" s="82" t="s">
        <v>1491</v>
      </c>
      <c r="N7" s="82" t="s">
        <v>1492</v>
      </c>
      <c r="O7" s="83" t="s">
        <v>558</v>
      </c>
      <c r="P7" s="507" t="s">
        <v>1404</v>
      </c>
      <c r="Q7" s="82" t="s">
        <v>1401</v>
      </c>
      <c r="R7" s="82" t="s">
        <v>1405</v>
      </c>
      <c r="S7" s="82" t="s">
        <v>1393</v>
      </c>
      <c r="T7" s="82" t="s">
        <v>1414</v>
      </c>
      <c r="U7" s="82" t="s">
        <v>1417</v>
      </c>
      <c r="V7" s="82" t="s">
        <v>1420</v>
      </c>
      <c r="W7" s="82" t="s">
        <v>1423</v>
      </c>
      <c r="X7" s="82" t="s">
        <v>1430</v>
      </c>
      <c r="Y7" s="82" t="s">
        <v>1431</v>
      </c>
      <c r="Z7" s="82" t="s">
        <v>1435</v>
      </c>
      <c r="AA7" s="484" t="s">
        <v>1439</v>
      </c>
      <c r="AB7" s="82" t="s">
        <v>1441</v>
      </c>
      <c r="AC7" s="82" t="s">
        <v>1445</v>
      </c>
      <c r="AD7" s="82" t="s">
        <v>1448</v>
      </c>
      <c r="AE7" s="82" t="s">
        <v>1451</v>
      </c>
      <c r="AF7" s="82" t="s">
        <v>1453</v>
      </c>
      <c r="AG7" s="82" t="s">
        <v>1455</v>
      </c>
      <c r="AH7" s="83" t="s">
        <v>1458</v>
      </c>
      <c r="AI7" s="504" t="s">
        <v>1404</v>
      </c>
      <c r="AJ7" s="82" t="s">
        <v>1401</v>
      </c>
      <c r="AK7" s="82" t="s">
        <v>1405</v>
      </c>
      <c r="AL7" s="82" t="s">
        <v>1393</v>
      </c>
      <c r="AM7" s="82" t="s">
        <v>1414</v>
      </c>
      <c r="AN7" s="82" t="s">
        <v>1417</v>
      </c>
      <c r="AO7" s="82" t="s">
        <v>1420</v>
      </c>
      <c r="AP7" s="82" t="s">
        <v>1423</v>
      </c>
      <c r="AQ7" s="82" t="s">
        <v>1430</v>
      </c>
      <c r="AR7" s="82" t="s">
        <v>1431</v>
      </c>
      <c r="AS7" s="82" t="s">
        <v>1435</v>
      </c>
      <c r="AT7" s="484" t="s">
        <v>1439</v>
      </c>
      <c r="AU7" s="82" t="s">
        <v>1441</v>
      </c>
      <c r="AV7" s="82" t="s">
        <v>1445</v>
      </c>
      <c r="AW7" s="82" t="s">
        <v>1448</v>
      </c>
      <c r="AX7" s="82" t="s">
        <v>1451</v>
      </c>
      <c r="AY7" s="82" t="s">
        <v>1453</v>
      </c>
      <c r="AZ7" s="82" t="s">
        <v>1455</v>
      </c>
      <c r="BA7" s="83" t="s">
        <v>1458</v>
      </c>
      <c r="BB7" s="504" t="s">
        <v>1404</v>
      </c>
      <c r="BC7" s="82" t="s">
        <v>1401</v>
      </c>
      <c r="BD7" s="82" t="s">
        <v>1405</v>
      </c>
      <c r="BE7" s="82" t="s">
        <v>1393</v>
      </c>
      <c r="BF7" s="82" t="s">
        <v>1414</v>
      </c>
      <c r="BG7" s="82" t="s">
        <v>1417</v>
      </c>
      <c r="BH7" s="82" t="s">
        <v>1420</v>
      </c>
      <c r="BI7" s="82" t="s">
        <v>1423</v>
      </c>
      <c r="BJ7" s="82" t="s">
        <v>1430</v>
      </c>
      <c r="BK7" s="82" t="s">
        <v>1431</v>
      </c>
      <c r="BL7" s="82" t="s">
        <v>1435</v>
      </c>
      <c r="BM7" s="484" t="s">
        <v>1439</v>
      </c>
      <c r="BN7" s="82" t="s">
        <v>1441</v>
      </c>
      <c r="BO7" s="82" t="s">
        <v>1445</v>
      </c>
      <c r="BP7" s="82" t="s">
        <v>1448</v>
      </c>
      <c r="BQ7" s="82" t="s">
        <v>1451</v>
      </c>
      <c r="BR7" s="82" t="s">
        <v>1453</v>
      </c>
      <c r="BS7" s="82" t="s">
        <v>1455</v>
      </c>
      <c r="BT7" s="83" t="s">
        <v>1458</v>
      </c>
      <c r="BU7" s="504" t="s">
        <v>1404</v>
      </c>
      <c r="BV7" s="82" t="s">
        <v>1401</v>
      </c>
      <c r="BW7" s="82" t="s">
        <v>1405</v>
      </c>
      <c r="BX7" s="82" t="s">
        <v>1393</v>
      </c>
      <c r="BY7" s="82" t="s">
        <v>1414</v>
      </c>
      <c r="BZ7" s="82" t="s">
        <v>1417</v>
      </c>
      <c r="CA7" s="82" t="s">
        <v>1420</v>
      </c>
      <c r="CB7" s="82" t="s">
        <v>1423</v>
      </c>
      <c r="CC7" s="82" t="s">
        <v>1430</v>
      </c>
      <c r="CD7" s="82" t="s">
        <v>1431</v>
      </c>
      <c r="CE7" s="82" t="s">
        <v>1435</v>
      </c>
      <c r="CF7" s="484" t="s">
        <v>1439</v>
      </c>
      <c r="CG7" s="82" t="s">
        <v>1441</v>
      </c>
      <c r="CH7" s="82" t="s">
        <v>1445</v>
      </c>
      <c r="CI7" s="82" t="s">
        <v>1448</v>
      </c>
      <c r="CJ7" s="82" t="s">
        <v>1451</v>
      </c>
      <c r="CK7" s="82" t="s">
        <v>1453</v>
      </c>
      <c r="CL7" s="82" t="s">
        <v>1455</v>
      </c>
      <c r="CM7" s="83" t="s">
        <v>1458</v>
      </c>
      <c r="CN7" s="504" t="s">
        <v>1404</v>
      </c>
      <c r="CO7" s="82" t="s">
        <v>1401</v>
      </c>
      <c r="CP7" s="82" t="s">
        <v>1405</v>
      </c>
      <c r="CQ7" s="82" t="s">
        <v>1393</v>
      </c>
      <c r="CR7" s="82" t="s">
        <v>1414</v>
      </c>
      <c r="CS7" s="82" t="s">
        <v>1417</v>
      </c>
      <c r="CT7" s="82" t="s">
        <v>1420</v>
      </c>
      <c r="CU7" s="82" t="s">
        <v>1423</v>
      </c>
      <c r="CV7" s="82" t="s">
        <v>1430</v>
      </c>
      <c r="CW7" s="82" t="s">
        <v>1431</v>
      </c>
      <c r="CX7" s="82" t="s">
        <v>1435</v>
      </c>
      <c r="CY7" s="484" t="s">
        <v>1439</v>
      </c>
      <c r="CZ7" s="82" t="s">
        <v>1441</v>
      </c>
      <c r="DA7" s="82" t="s">
        <v>1445</v>
      </c>
      <c r="DB7" s="82" t="s">
        <v>1448</v>
      </c>
      <c r="DC7" s="82" t="s">
        <v>1451</v>
      </c>
      <c r="DD7" s="82" t="s">
        <v>1453</v>
      </c>
      <c r="DE7" s="82" t="s">
        <v>1455</v>
      </c>
      <c r="DF7" s="83" t="s">
        <v>1458</v>
      </c>
      <c r="DG7" s="504" t="s">
        <v>1404</v>
      </c>
      <c r="DH7" s="82" t="s">
        <v>1401</v>
      </c>
      <c r="DI7" s="82" t="s">
        <v>1405</v>
      </c>
      <c r="DJ7" s="82" t="s">
        <v>1393</v>
      </c>
      <c r="DK7" s="82" t="s">
        <v>1414</v>
      </c>
      <c r="DL7" s="82" t="s">
        <v>1417</v>
      </c>
      <c r="DM7" s="82" t="s">
        <v>1420</v>
      </c>
      <c r="DN7" s="82" t="s">
        <v>1423</v>
      </c>
      <c r="DO7" s="82" t="s">
        <v>1430</v>
      </c>
      <c r="DP7" s="82" t="s">
        <v>1431</v>
      </c>
      <c r="DQ7" s="82" t="s">
        <v>1435</v>
      </c>
      <c r="DR7" s="484" t="s">
        <v>1439</v>
      </c>
      <c r="DS7" s="82" t="s">
        <v>1441</v>
      </c>
      <c r="DT7" s="82" t="s">
        <v>1445</v>
      </c>
      <c r="DU7" s="82" t="s">
        <v>1448</v>
      </c>
      <c r="DV7" s="82" t="s">
        <v>1451</v>
      </c>
      <c r="DW7" s="82" t="s">
        <v>1453</v>
      </c>
      <c r="DX7" s="82" t="s">
        <v>1455</v>
      </c>
      <c r="DY7" s="83" t="s">
        <v>1458</v>
      </c>
      <c r="DZ7" s="504" t="s">
        <v>1404</v>
      </c>
      <c r="EA7" s="82" t="s">
        <v>1401</v>
      </c>
      <c r="EB7" s="82" t="s">
        <v>1405</v>
      </c>
      <c r="EC7" s="82" t="s">
        <v>1393</v>
      </c>
      <c r="ED7" s="82" t="s">
        <v>1414</v>
      </c>
      <c r="EE7" s="82" t="s">
        <v>1417</v>
      </c>
      <c r="EF7" s="82" t="s">
        <v>1420</v>
      </c>
      <c r="EG7" s="82" t="s">
        <v>1423</v>
      </c>
      <c r="EH7" s="82" t="s">
        <v>1430</v>
      </c>
      <c r="EI7" s="82" t="s">
        <v>1431</v>
      </c>
      <c r="EJ7" s="82" t="s">
        <v>1435</v>
      </c>
      <c r="EK7" s="484" t="s">
        <v>1439</v>
      </c>
      <c r="EL7" s="82" t="s">
        <v>1441</v>
      </c>
      <c r="EM7" s="82" t="s">
        <v>1445</v>
      </c>
      <c r="EN7" s="82" t="s">
        <v>1448</v>
      </c>
      <c r="EO7" s="82" t="s">
        <v>1451</v>
      </c>
      <c r="EP7" s="82" t="s">
        <v>1453</v>
      </c>
      <c r="EQ7" s="82" t="s">
        <v>1455</v>
      </c>
      <c r="ER7" s="83" t="s">
        <v>1458</v>
      </c>
      <c r="ES7" s="504" t="s">
        <v>1404</v>
      </c>
      <c r="ET7" s="82" t="s">
        <v>1401</v>
      </c>
      <c r="EU7" s="82" t="s">
        <v>1405</v>
      </c>
      <c r="EV7" s="82" t="s">
        <v>1393</v>
      </c>
      <c r="EW7" s="82" t="s">
        <v>1414</v>
      </c>
      <c r="EX7" s="82" t="s">
        <v>1417</v>
      </c>
      <c r="EY7" s="82" t="s">
        <v>1420</v>
      </c>
      <c r="EZ7" s="82" t="s">
        <v>1423</v>
      </c>
      <c r="FA7" s="82" t="s">
        <v>1430</v>
      </c>
      <c r="FB7" s="82" t="s">
        <v>1431</v>
      </c>
      <c r="FC7" s="82" t="s">
        <v>1435</v>
      </c>
      <c r="FD7" s="484" t="s">
        <v>1439</v>
      </c>
      <c r="FE7" s="82" t="s">
        <v>1441</v>
      </c>
      <c r="FF7" s="82" t="s">
        <v>1445</v>
      </c>
      <c r="FG7" s="82" t="s">
        <v>1448</v>
      </c>
      <c r="FH7" s="82" t="s">
        <v>1451</v>
      </c>
      <c r="FI7" s="82" t="s">
        <v>1453</v>
      </c>
      <c r="FJ7" s="82" t="s">
        <v>1455</v>
      </c>
      <c r="FK7" s="83" t="s">
        <v>1458</v>
      </c>
      <c r="FL7" s="504" t="s">
        <v>1404</v>
      </c>
      <c r="FM7" s="82" t="s">
        <v>1401</v>
      </c>
      <c r="FN7" s="82" t="s">
        <v>1405</v>
      </c>
      <c r="FO7" s="82" t="s">
        <v>1393</v>
      </c>
      <c r="FP7" s="82" t="s">
        <v>1414</v>
      </c>
      <c r="FQ7" s="82" t="s">
        <v>1417</v>
      </c>
      <c r="FR7" s="82" t="s">
        <v>1420</v>
      </c>
      <c r="FS7" s="82" t="s">
        <v>1423</v>
      </c>
      <c r="FT7" s="82" t="s">
        <v>1430</v>
      </c>
      <c r="FU7" s="82" t="s">
        <v>1431</v>
      </c>
      <c r="FV7" s="82" t="s">
        <v>1435</v>
      </c>
      <c r="FW7" s="484" t="s">
        <v>1439</v>
      </c>
      <c r="FX7" s="82" t="s">
        <v>1441</v>
      </c>
      <c r="FY7" s="82" t="s">
        <v>1445</v>
      </c>
      <c r="FZ7" s="82" t="s">
        <v>1448</v>
      </c>
      <c r="GA7" s="82" t="s">
        <v>1451</v>
      </c>
      <c r="GB7" s="82" t="s">
        <v>1453</v>
      </c>
      <c r="GC7" s="82" t="s">
        <v>1455</v>
      </c>
      <c r="GD7" s="83" t="s">
        <v>1458</v>
      </c>
      <c r="GE7" s="504" t="s">
        <v>1404</v>
      </c>
      <c r="GF7" s="82" t="s">
        <v>1401</v>
      </c>
      <c r="GG7" s="82" t="s">
        <v>1405</v>
      </c>
      <c r="GH7" s="82" t="s">
        <v>1393</v>
      </c>
      <c r="GI7" s="82" t="s">
        <v>1414</v>
      </c>
      <c r="GJ7" s="82" t="s">
        <v>1417</v>
      </c>
      <c r="GK7" s="82" t="s">
        <v>1420</v>
      </c>
      <c r="GL7" s="82" t="s">
        <v>1423</v>
      </c>
      <c r="GM7" s="82" t="s">
        <v>1430</v>
      </c>
      <c r="GN7" s="82" t="s">
        <v>1431</v>
      </c>
      <c r="GO7" s="82" t="s">
        <v>1435</v>
      </c>
      <c r="GP7" s="484" t="s">
        <v>1439</v>
      </c>
      <c r="GQ7" s="82" t="s">
        <v>1441</v>
      </c>
      <c r="GR7" s="82" t="s">
        <v>1445</v>
      </c>
      <c r="GS7" s="82" t="s">
        <v>1448</v>
      </c>
      <c r="GT7" s="82" t="s">
        <v>1451</v>
      </c>
      <c r="GU7" s="82" t="s">
        <v>1453</v>
      </c>
      <c r="GV7" s="82" t="s">
        <v>1455</v>
      </c>
      <c r="GW7" s="83" t="s">
        <v>1458</v>
      </c>
      <c r="GX7" s="504" t="s">
        <v>1404</v>
      </c>
      <c r="GY7" s="82" t="s">
        <v>1401</v>
      </c>
      <c r="GZ7" s="82" t="s">
        <v>1405</v>
      </c>
      <c r="HA7" s="82" t="s">
        <v>1393</v>
      </c>
      <c r="HB7" s="82" t="s">
        <v>1414</v>
      </c>
      <c r="HC7" s="82" t="s">
        <v>1417</v>
      </c>
      <c r="HD7" s="82" t="s">
        <v>1420</v>
      </c>
      <c r="HE7" s="82" t="s">
        <v>1423</v>
      </c>
      <c r="HF7" s="82" t="s">
        <v>1430</v>
      </c>
      <c r="HG7" s="82" t="s">
        <v>1431</v>
      </c>
      <c r="HH7" s="82" t="s">
        <v>1435</v>
      </c>
      <c r="HI7" s="484" t="s">
        <v>1439</v>
      </c>
      <c r="HJ7" s="82" t="s">
        <v>1441</v>
      </c>
      <c r="HK7" s="82" t="s">
        <v>1445</v>
      </c>
      <c r="HL7" s="82" t="s">
        <v>1448</v>
      </c>
      <c r="HM7" s="82" t="s">
        <v>1451</v>
      </c>
      <c r="HN7" s="82" t="s">
        <v>1453</v>
      </c>
      <c r="HO7" s="82" t="s">
        <v>1455</v>
      </c>
      <c r="HP7" s="83" t="s">
        <v>1458</v>
      </c>
      <c r="HQ7" s="504" t="s">
        <v>1404</v>
      </c>
      <c r="HR7" s="82" t="s">
        <v>1466</v>
      </c>
      <c r="HS7" s="82" t="s">
        <v>1467</v>
      </c>
      <c r="HT7" s="82" t="s">
        <v>1468</v>
      </c>
      <c r="HU7" s="82" t="s">
        <v>1469</v>
      </c>
      <c r="HV7" s="82" t="s">
        <v>1470</v>
      </c>
      <c r="HW7" s="82" t="s">
        <v>1471</v>
      </c>
      <c r="HX7" s="82" t="s">
        <v>1472</v>
      </c>
      <c r="HY7" s="82" t="s">
        <v>1473</v>
      </c>
      <c r="HZ7" s="82" t="s">
        <v>1474</v>
      </c>
      <c r="IA7" s="82" t="s">
        <v>1463</v>
      </c>
      <c r="IB7" s="484" t="s">
        <v>1439</v>
      </c>
      <c r="IC7" s="82" t="s">
        <v>1475</v>
      </c>
      <c r="ID7" s="82" t="s">
        <v>1445</v>
      </c>
      <c r="IE7" s="82" t="s">
        <v>1476</v>
      </c>
      <c r="IF7" s="82" t="s">
        <v>1477</v>
      </c>
      <c r="IG7" s="82" t="s">
        <v>1478</v>
      </c>
      <c r="IH7" s="82" t="s">
        <v>1464</v>
      </c>
      <c r="II7" s="83" t="s">
        <v>1465</v>
      </c>
      <c r="IJ7" s="498" t="s">
        <v>1463</v>
      </c>
      <c r="IK7" s="484"/>
      <c r="IL7" s="484" t="s">
        <v>1464</v>
      </c>
      <c r="IM7" s="484"/>
      <c r="IN7" s="484" t="s">
        <v>1465</v>
      </c>
      <c r="IO7" s="495"/>
      <c r="IP7" s="59"/>
      <c r="IQ7" s="59"/>
      <c r="IR7" s="59"/>
      <c r="IS7" s="59"/>
      <c r="IT7" s="59"/>
      <c r="IU7" s="59"/>
      <c r="IV7" s="59"/>
      <c r="IW7" s="59"/>
      <c r="IX7" s="59"/>
      <c r="IY7" s="59"/>
      <c r="IZ7" s="59"/>
      <c r="JA7" s="59"/>
      <c r="JB7" s="59"/>
      <c r="JC7" s="59"/>
      <c r="JD7" s="59"/>
      <c r="JE7" s="59"/>
      <c r="JF7" s="59"/>
      <c r="JG7" s="59"/>
      <c r="JH7" s="59"/>
      <c r="JI7" s="59"/>
      <c r="JJ7" s="59"/>
      <c r="JK7" s="59"/>
      <c r="JL7" s="59"/>
      <c r="JM7" s="59"/>
      <c r="JN7" s="59"/>
      <c r="JO7" s="59"/>
      <c r="JP7" s="59"/>
      <c r="JQ7" s="59"/>
      <c r="JR7" s="59"/>
      <c r="JS7" s="59"/>
      <c r="JT7" s="59"/>
      <c r="JU7" s="59"/>
      <c r="JV7" s="59"/>
      <c r="JW7" s="59"/>
      <c r="JX7" s="59"/>
      <c r="JY7" s="59"/>
      <c r="JZ7" s="59"/>
      <c r="KA7" s="59"/>
    </row>
    <row r="8" spans="2:298" x14ac:dyDescent="0.4">
      <c r="C8" s="93" t="s">
        <v>220</v>
      </c>
      <c r="D8" s="90" t="s">
        <v>234</v>
      </c>
      <c r="E8" s="85" t="s">
        <v>1394</v>
      </c>
      <c r="F8" s="84" t="s">
        <v>225</v>
      </c>
      <c r="G8" s="84" t="s">
        <v>230</v>
      </c>
      <c r="H8" s="84" t="s">
        <v>232</v>
      </c>
      <c r="I8" s="84" t="s">
        <v>226</v>
      </c>
      <c r="J8" s="87" t="s">
        <v>228</v>
      </c>
      <c r="K8" s="85" t="s">
        <v>555</v>
      </c>
      <c r="L8" s="85" t="s">
        <v>555</v>
      </c>
      <c r="M8" s="85" t="s">
        <v>72</v>
      </c>
      <c r="N8" s="85" t="s">
        <v>72</v>
      </c>
      <c r="O8" s="86" t="s">
        <v>72</v>
      </c>
      <c r="P8" s="507"/>
      <c r="Q8" s="84" t="s">
        <v>1402</v>
      </c>
      <c r="R8" s="84" t="s">
        <v>1406</v>
      </c>
      <c r="S8" s="85" t="s">
        <v>1409</v>
      </c>
      <c r="T8" s="85" t="s">
        <v>1415</v>
      </c>
      <c r="U8" s="85" t="s">
        <v>1418</v>
      </c>
      <c r="V8" s="85" t="s">
        <v>1421</v>
      </c>
      <c r="W8" s="85" t="s">
        <v>1424</v>
      </c>
      <c r="X8" s="85" t="s">
        <v>1428</v>
      </c>
      <c r="Y8" s="85" t="s">
        <v>1432</v>
      </c>
      <c r="Z8" s="85" t="s">
        <v>1436</v>
      </c>
      <c r="AA8" s="484"/>
      <c r="AB8" s="85" t="s">
        <v>1442</v>
      </c>
      <c r="AC8" s="85" t="s">
        <v>1446</v>
      </c>
      <c r="AD8" s="85" t="s">
        <v>1449</v>
      </c>
      <c r="AE8" s="85" t="s">
        <v>1449</v>
      </c>
      <c r="AF8" s="85" t="s">
        <v>1449</v>
      </c>
      <c r="AG8" s="85" t="s">
        <v>1456</v>
      </c>
      <c r="AH8" s="86" t="s">
        <v>234</v>
      </c>
      <c r="AI8" s="504"/>
      <c r="AJ8" s="84" t="s">
        <v>1402</v>
      </c>
      <c r="AK8" s="84" t="s">
        <v>1406</v>
      </c>
      <c r="AL8" s="85" t="s">
        <v>1409</v>
      </c>
      <c r="AM8" s="85" t="s">
        <v>1415</v>
      </c>
      <c r="AN8" s="85" t="s">
        <v>1418</v>
      </c>
      <c r="AO8" s="85" t="s">
        <v>1421</v>
      </c>
      <c r="AP8" s="85" t="s">
        <v>1424</v>
      </c>
      <c r="AQ8" s="85" t="s">
        <v>1428</v>
      </c>
      <c r="AR8" s="85" t="s">
        <v>1432</v>
      </c>
      <c r="AS8" s="85" t="s">
        <v>1436</v>
      </c>
      <c r="AT8" s="484"/>
      <c r="AU8" s="85" t="s">
        <v>1442</v>
      </c>
      <c r="AV8" s="85" t="s">
        <v>1446</v>
      </c>
      <c r="AW8" s="85" t="s">
        <v>1449</v>
      </c>
      <c r="AX8" s="85" t="s">
        <v>1449</v>
      </c>
      <c r="AY8" s="85" t="s">
        <v>1449</v>
      </c>
      <c r="AZ8" s="85" t="s">
        <v>1456</v>
      </c>
      <c r="BA8" s="86" t="s">
        <v>234</v>
      </c>
      <c r="BB8" s="504"/>
      <c r="BC8" s="84" t="s">
        <v>1402</v>
      </c>
      <c r="BD8" s="84" t="s">
        <v>1406</v>
      </c>
      <c r="BE8" s="85" t="s">
        <v>1409</v>
      </c>
      <c r="BF8" s="85" t="s">
        <v>1415</v>
      </c>
      <c r="BG8" s="85" t="s">
        <v>1418</v>
      </c>
      <c r="BH8" s="85" t="s">
        <v>1421</v>
      </c>
      <c r="BI8" s="85" t="s">
        <v>1424</v>
      </c>
      <c r="BJ8" s="85" t="s">
        <v>1428</v>
      </c>
      <c r="BK8" s="85" t="s">
        <v>1432</v>
      </c>
      <c r="BL8" s="85" t="s">
        <v>1436</v>
      </c>
      <c r="BM8" s="484"/>
      <c r="BN8" s="85" t="s">
        <v>1442</v>
      </c>
      <c r="BO8" s="85" t="s">
        <v>1446</v>
      </c>
      <c r="BP8" s="85" t="s">
        <v>1449</v>
      </c>
      <c r="BQ8" s="85" t="s">
        <v>1449</v>
      </c>
      <c r="BR8" s="85" t="s">
        <v>1449</v>
      </c>
      <c r="BS8" s="85" t="s">
        <v>1456</v>
      </c>
      <c r="BT8" s="86" t="s">
        <v>234</v>
      </c>
      <c r="BU8" s="504"/>
      <c r="BV8" s="84" t="s">
        <v>1402</v>
      </c>
      <c r="BW8" s="84" t="s">
        <v>1406</v>
      </c>
      <c r="BX8" s="85" t="s">
        <v>1409</v>
      </c>
      <c r="BY8" s="85" t="s">
        <v>1415</v>
      </c>
      <c r="BZ8" s="85" t="s">
        <v>1418</v>
      </c>
      <c r="CA8" s="85" t="s">
        <v>1421</v>
      </c>
      <c r="CB8" s="85" t="s">
        <v>1424</v>
      </c>
      <c r="CC8" s="85" t="s">
        <v>1428</v>
      </c>
      <c r="CD8" s="85" t="s">
        <v>1432</v>
      </c>
      <c r="CE8" s="85" t="s">
        <v>1436</v>
      </c>
      <c r="CF8" s="484"/>
      <c r="CG8" s="85" t="s">
        <v>1442</v>
      </c>
      <c r="CH8" s="85" t="s">
        <v>1446</v>
      </c>
      <c r="CI8" s="85" t="s">
        <v>1449</v>
      </c>
      <c r="CJ8" s="85" t="s">
        <v>1449</v>
      </c>
      <c r="CK8" s="85" t="s">
        <v>1449</v>
      </c>
      <c r="CL8" s="85" t="s">
        <v>1456</v>
      </c>
      <c r="CM8" s="86" t="s">
        <v>234</v>
      </c>
      <c r="CN8" s="504"/>
      <c r="CO8" s="84" t="s">
        <v>1402</v>
      </c>
      <c r="CP8" s="84" t="s">
        <v>1406</v>
      </c>
      <c r="CQ8" s="85" t="s">
        <v>1409</v>
      </c>
      <c r="CR8" s="85" t="s">
        <v>1415</v>
      </c>
      <c r="CS8" s="85" t="s">
        <v>1418</v>
      </c>
      <c r="CT8" s="85" t="s">
        <v>1421</v>
      </c>
      <c r="CU8" s="85" t="s">
        <v>1424</v>
      </c>
      <c r="CV8" s="85" t="s">
        <v>1428</v>
      </c>
      <c r="CW8" s="85" t="s">
        <v>1432</v>
      </c>
      <c r="CX8" s="85" t="s">
        <v>1436</v>
      </c>
      <c r="CY8" s="484"/>
      <c r="CZ8" s="85" t="s">
        <v>1442</v>
      </c>
      <c r="DA8" s="85" t="s">
        <v>1446</v>
      </c>
      <c r="DB8" s="85" t="s">
        <v>1449</v>
      </c>
      <c r="DC8" s="85" t="s">
        <v>1449</v>
      </c>
      <c r="DD8" s="85" t="s">
        <v>1449</v>
      </c>
      <c r="DE8" s="85" t="s">
        <v>1456</v>
      </c>
      <c r="DF8" s="86" t="s">
        <v>234</v>
      </c>
      <c r="DG8" s="504"/>
      <c r="DH8" s="84" t="s">
        <v>1402</v>
      </c>
      <c r="DI8" s="84" t="s">
        <v>1406</v>
      </c>
      <c r="DJ8" s="85" t="s">
        <v>1409</v>
      </c>
      <c r="DK8" s="85" t="s">
        <v>1415</v>
      </c>
      <c r="DL8" s="85" t="s">
        <v>1418</v>
      </c>
      <c r="DM8" s="85" t="s">
        <v>1421</v>
      </c>
      <c r="DN8" s="85" t="s">
        <v>1424</v>
      </c>
      <c r="DO8" s="85" t="s">
        <v>1428</v>
      </c>
      <c r="DP8" s="85" t="s">
        <v>1432</v>
      </c>
      <c r="DQ8" s="85" t="s">
        <v>1436</v>
      </c>
      <c r="DR8" s="484"/>
      <c r="DS8" s="85" t="s">
        <v>1442</v>
      </c>
      <c r="DT8" s="85" t="s">
        <v>1446</v>
      </c>
      <c r="DU8" s="85" t="s">
        <v>1449</v>
      </c>
      <c r="DV8" s="85" t="s">
        <v>1449</v>
      </c>
      <c r="DW8" s="85" t="s">
        <v>1449</v>
      </c>
      <c r="DX8" s="85" t="s">
        <v>1456</v>
      </c>
      <c r="DY8" s="86" t="s">
        <v>234</v>
      </c>
      <c r="DZ8" s="504"/>
      <c r="EA8" s="84" t="s">
        <v>1402</v>
      </c>
      <c r="EB8" s="84" t="s">
        <v>1406</v>
      </c>
      <c r="EC8" s="85" t="s">
        <v>1409</v>
      </c>
      <c r="ED8" s="85" t="s">
        <v>1415</v>
      </c>
      <c r="EE8" s="85" t="s">
        <v>1418</v>
      </c>
      <c r="EF8" s="85" t="s">
        <v>1421</v>
      </c>
      <c r="EG8" s="85" t="s">
        <v>1424</v>
      </c>
      <c r="EH8" s="85" t="s">
        <v>1428</v>
      </c>
      <c r="EI8" s="85" t="s">
        <v>1432</v>
      </c>
      <c r="EJ8" s="85" t="s">
        <v>1436</v>
      </c>
      <c r="EK8" s="484"/>
      <c r="EL8" s="85" t="s">
        <v>1442</v>
      </c>
      <c r="EM8" s="85" t="s">
        <v>1446</v>
      </c>
      <c r="EN8" s="85" t="s">
        <v>1449</v>
      </c>
      <c r="EO8" s="85" t="s">
        <v>1449</v>
      </c>
      <c r="EP8" s="85" t="s">
        <v>1449</v>
      </c>
      <c r="EQ8" s="85" t="s">
        <v>1456</v>
      </c>
      <c r="ER8" s="86" t="s">
        <v>234</v>
      </c>
      <c r="ES8" s="504"/>
      <c r="ET8" s="84" t="s">
        <v>1402</v>
      </c>
      <c r="EU8" s="84" t="s">
        <v>1406</v>
      </c>
      <c r="EV8" s="85" t="s">
        <v>1409</v>
      </c>
      <c r="EW8" s="85" t="s">
        <v>1415</v>
      </c>
      <c r="EX8" s="85" t="s">
        <v>1418</v>
      </c>
      <c r="EY8" s="85" t="s">
        <v>1421</v>
      </c>
      <c r="EZ8" s="85" t="s">
        <v>1424</v>
      </c>
      <c r="FA8" s="85" t="s">
        <v>1428</v>
      </c>
      <c r="FB8" s="85" t="s">
        <v>1432</v>
      </c>
      <c r="FC8" s="85" t="s">
        <v>1436</v>
      </c>
      <c r="FD8" s="484"/>
      <c r="FE8" s="85" t="s">
        <v>1442</v>
      </c>
      <c r="FF8" s="85" t="s">
        <v>1446</v>
      </c>
      <c r="FG8" s="85" t="s">
        <v>1449</v>
      </c>
      <c r="FH8" s="85" t="s">
        <v>1449</v>
      </c>
      <c r="FI8" s="85" t="s">
        <v>1449</v>
      </c>
      <c r="FJ8" s="85" t="s">
        <v>1456</v>
      </c>
      <c r="FK8" s="86" t="s">
        <v>234</v>
      </c>
      <c r="FL8" s="504"/>
      <c r="FM8" s="84" t="s">
        <v>1402</v>
      </c>
      <c r="FN8" s="84" t="s">
        <v>1406</v>
      </c>
      <c r="FO8" s="85" t="s">
        <v>1409</v>
      </c>
      <c r="FP8" s="85" t="s">
        <v>1415</v>
      </c>
      <c r="FQ8" s="85" t="s">
        <v>1418</v>
      </c>
      <c r="FR8" s="85" t="s">
        <v>1421</v>
      </c>
      <c r="FS8" s="85" t="s">
        <v>1424</v>
      </c>
      <c r="FT8" s="85" t="s">
        <v>1428</v>
      </c>
      <c r="FU8" s="85" t="s">
        <v>1432</v>
      </c>
      <c r="FV8" s="85" t="s">
        <v>1436</v>
      </c>
      <c r="FW8" s="484"/>
      <c r="FX8" s="85" t="s">
        <v>1442</v>
      </c>
      <c r="FY8" s="85" t="s">
        <v>1446</v>
      </c>
      <c r="FZ8" s="85" t="s">
        <v>1449</v>
      </c>
      <c r="GA8" s="85" t="s">
        <v>1449</v>
      </c>
      <c r="GB8" s="85" t="s">
        <v>1449</v>
      </c>
      <c r="GC8" s="85" t="s">
        <v>1456</v>
      </c>
      <c r="GD8" s="86" t="s">
        <v>234</v>
      </c>
      <c r="GE8" s="504"/>
      <c r="GF8" s="84" t="s">
        <v>1402</v>
      </c>
      <c r="GG8" s="84" t="s">
        <v>1406</v>
      </c>
      <c r="GH8" s="85" t="s">
        <v>1409</v>
      </c>
      <c r="GI8" s="85" t="s">
        <v>1415</v>
      </c>
      <c r="GJ8" s="85" t="s">
        <v>1418</v>
      </c>
      <c r="GK8" s="85" t="s">
        <v>1421</v>
      </c>
      <c r="GL8" s="85" t="s">
        <v>1424</v>
      </c>
      <c r="GM8" s="85" t="s">
        <v>1428</v>
      </c>
      <c r="GN8" s="85" t="s">
        <v>1432</v>
      </c>
      <c r="GO8" s="85" t="s">
        <v>1436</v>
      </c>
      <c r="GP8" s="484"/>
      <c r="GQ8" s="85" t="s">
        <v>1442</v>
      </c>
      <c r="GR8" s="85" t="s">
        <v>1446</v>
      </c>
      <c r="GS8" s="85" t="s">
        <v>1449</v>
      </c>
      <c r="GT8" s="85" t="s">
        <v>1449</v>
      </c>
      <c r="GU8" s="85" t="s">
        <v>1449</v>
      </c>
      <c r="GV8" s="85" t="s">
        <v>1456</v>
      </c>
      <c r="GW8" s="86" t="s">
        <v>234</v>
      </c>
      <c r="GX8" s="504"/>
      <c r="GY8" s="84" t="s">
        <v>1402</v>
      </c>
      <c r="GZ8" s="84" t="s">
        <v>1406</v>
      </c>
      <c r="HA8" s="85" t="s">
        <v>1409</v>
      </c>
      <c r="HB8" s="85" t="s">
        <v>1415</v>
      </c>
      <c r="HC8" s="85" t="s">
        <v>1418</v>
      </c>
      <c r="HD8" s="85" t="s">
        <v>1421</v>
      </c>
      <c r="HE8" s="85" t="s">
        <v>1424</v>
      </c>
      <c r="HF8" s="85" t="s">
        <v>1428</v>
      </c>
      <c r="HG8" s="85" t="s">
        <v>1432</v>
      </c>
      <c r="HH8" s="85" t="s">
        <v>1436</v>
      </c>
      <c r="HI8" s="484"/>
      <c r="HJ8" s="85" t="s">
        <v>1442</v>
      </c>
      <c r="HK8" s="85" t="s">
        <v>1446</v>
      </c>
      <c r="HL8" s="85" t="s">
        <v>1449</v>
      </c>
      <c r="HM8" s="85" t="s">
        <v>1449</v>
      </c>
      <c r="HN8" s="85" t="s">
        <v>1449</v>
      </c>
      <c r="HO8" s="85" t="s">
        <v>1456</v>
      </c>
      <c r="HP8" s="86" t="s">
        <v>234</v>
      </c>
      <c r="HQ8" s="504"/>
      <c r="HR8" s="84" t="s">
        <v>1402</v>
      </c>
      <c r="HS8" s="84" t="s">
        <v>1406</v>
      </c>
      <c r="HT8" s="85" t="s">
        <v>1409</v>
      </c>
      <c r="HU8" s="85" t="s">
        <v>1415</v>
      </c>
      <c r="HV8" s="85" t="s">
        <v>1418</v>
      </c>
      <c r="HW8" s="85" t="s">
        <v>1421</v>
      </c>
      <c r="HX8" s="85" t="s">
        <v>1424</v>
      </c>
      <c r="HY8" s="85" t="s">
        <v>1428</v>
      </c>
      <c r="HZ8" s="85" t="s">
        <v>1432</v>
      </c>
      <c r="IA8" s="85" t="s">
        <v>1436</v>
      </c>
      <c r="IB8" s="484"/>
      <c r="IC8" s="85" t="s">
        <v>1442</v>
      </c>
      <c r="ID8" s="85" t="s">
        <v>1446</v>
      </c>
      <c r="IE8" s="85" t="s">
        <v>1449</v>
      </c>
      <c r="IF8" s="85" t="s">
        <v>1449</v>
      </c>
      <c r="IG8" s="85" t="s">
        <v>1449</v>
      </c>
      <c r="IH8" s="85" t="s">
        <v>1456</v>
      </c>
      <c r="II8" s="86" t="s">
        <v>234</v>
      </c>
      <c r="IJ8" s="498"/>
      <c r="IK8" s="484"/>
      <c r="IL8" s="484"/>
      <c r="IM8" s="484"/>
      <c r="IN8" s="484"/>
      <c r="IO8" s="495"/>
      <c r="IP8" s="45"/>
      <c r="IQ8" s="45"/>
      <c r="IR8" s="45"/>
      <c r="IS8" s="45"/>
      <c r="IT8" s="45"/>
      <c r="IU8" s="45"/>
      <c r="IV8" s="45"/>
      <c r="IW8" s="45"/>
      <c r="IX8" s="45"/>
      <c r="IY8" s="45"/>
      <c r="IZ8" s="45"/>
      <c r="JA8" s="45"/>
      <c r="JB8" s="45"/>
      <c r="JC8" s="45"/>
      <c r="JD8" s="45"/>
      <c r="JE8" s="45"/>
      <c r="JF8" s="45"/>
      <c r="JG8" s="45"/>
      <c r="JH8" s="45"/>
      <c r="JI8" s="45"/>
      <c r="JJ8" s="45"/>
      <c r="JK8" s="45"/>
      <c r="JL8" s="45"/>
      <c r="JM8" s="45"/>
      <c r="JN8" s="45"/>
      <c r="JO8" s="45"/>
      <c r="JP8" s="45"/>
      <c r="JQ8" s="45"/>
      <c r="JR8" s="45"/>
      <c r="JS8" s="45"/>
      <c r="JT8" s="45"/>
      <c r="JU8" s="45"/>
      <c r="JV8" s="45"/>
      <c r="JW8" s="45"/>
      <c r="JX8" s="45"/>
      <c r="JY8" s="45"/>
      <c r="JZ8" s="45"/>
      <c r="KA8" s="45"/>
    </row>
    <row r="9" spans="2:298" s="16" customFormat="1" ht="58.3" x14ac:dyDescent="0.4">
      <c r="C9" s="496" t="s">
        <v>223</v>
      </c>
      <c r="D9" s="91" t="s">
        <v>235</v>
      </c>
      <c r="E9" s="71" t="s">
        <v>1395</v>
      </c>
      <c r="F9" s="71" t="s">
        <v>6</v>
      </c>
      <c r="G9" s="71" t="s">
        <v>231</v>
      </c>
      <c r="H9" s="71" t="s">
        <v>233</v>
      </c>
      <c r="I9" s="71" t="s">
        <v>227</v>
      </c>
      <c r="J9" s="71" t="s">
        <v>229</v>
      </c>
      <c r="K9" s="71" t="s">
        <v>556</v>
      </c>
      <c r="L9" s="71" t="s">
        <v>557</v>
      </c>
      <c r="M9" s="485" t="s">
        <v>559</v>
      </c>
      <c r="N9" s="485" t="s">
        <v>561</v>
      </c>
      <c r="O9" s="494" t="s">
        <v>562</v>
      </c>
      <c r="P9" s="507"/>
      <c r="Q9" s="71" t="s">
        <v>1403</v>
      </c>
      <c r="R9" s="71" t="s">
        <v>1407</v>
      </c>
      <c r="S9" s="71" t="s">
        <v>1410</v>
      </c>
      <c r="T9" s="71" t="s">
        <v>1416</v>
      </c>
      <c r="U9" s="485" t="s">
        <v>1419</v>
      </c>
      <c r="V9" s="485" t="s">
        <v>1422</v>
      </c>
      <c r="W9" s="71" t="s">
        <v>103</v>
      </c>
      <c r="X9" s="71" t="s">
        <v>1429</v>
      </c>
      <c r="Y9" s="71" t="s">
        <v>1433</v>
      </c>
      <c r="Z9" s="71" t="s">
        <v>1437</v>
      </c>
      <c r="AA9" s="71" t="s">
        <v>1440</v>
      </c>
      <c r="AB9" s="71" t="s">
        <v>1443</v>
      </c>
      <c r="AC9" s="485" t="s">
        <v>1447</v>
      </c>
      <c r="AD9" s="485" t="s">
        <v>1450</v>
      </c>
      <c r="AE9" s="485" t="s">
        <v>1452</v>
      </c>
      <c r="AF9" s="485" t="s">
        <v>1454</v>
      </c>
      <c r="AG9" s="71" t="s">
        <v>1457</v>
      </c>
      <c r="AH9" s="72" t="s">
        <v>1459</v>
      </c>
      <c r="AI9" s="504"/>
      <c r="AJ9" s="71" t="s">
        <v>1403</v>
      </c>
      <c r="AK9" s="71" t="s">
        <v>1407</v>
      </c>
      <c r="AL9" s="71" t="s">
        <v>1410</v>
      </c>
      <c r="AM9" s="71" t="s">
        <v>1416</v>
      </c>
      <c r="AN9" s="485" t="s">
        <v>1419</v>
      </c>
      <c r="AO9" s="485" t="s">
        <v>1422</v>
      </c>
      <c r="AP9" s="71" t="s">
        <v>103</v>
      </c>
      <c r="AQ9" s="71" t="s">
        <v>1429</v>
      </c>
      <c r="AR9" s="71" t="s">
        <v>1433</v>
      </c>
      <c r="AS9" s="71" t="s">
        <v>1437</v>
      </c>
      <c r="AT9" s="71" t="s">
        <v>1440</v>
      </c>
      <c r="AU9" s="71" t="s">
        <v>1443</v>
      </c>
      <c r="AV9" s="485" t="s">
        <v>1447</v>
      </c>
      <c r="AW9" s="485" t="s">
        <v>1450</v>
      </c>
      <c r="AX9" s="485" t="s">
        <v>1452</v>
      </c>
      <c r="AY9" s="485" t="s">
        <v>1454</v>
      </c>
      <c r="AZ9" s="71" t="s">
        <v>1457</v>
      </c>
      <c r="BA9" s="72" t="s">
        <v>1459</v>
      </c>
      <c r="BB9" s="504"/>
      <c r="BC9" s="71" t="s">
        <v>1403</v>
      </c>
      <c r="BD9" s="71" t="s">
        <v>1407</v>
      </c>
      <c r="BE9" s="71" t="s">
        <v>1410</v>
      </c>
      <c r="BF9" s="71" t="s">
        <v>1416</v>
      </c>
      <c r="BG9" s="485" t="s">
        <v>1419</v>
      </c>
      <c r="BH9" s="485" t="s">
        <v>1422</v>
      </c>
      <c r="BI9" s="71" t="s">
        <v>103</v>
      </c>
      <c r="BJ9" s="71" t="s">
        <v>1429</v>
      </c>
      <c r="BK9" s="71" t="s">
        <v>1433</v>
      </c>
      <c r="BL9" s="71" t="s">
        <v>1437</v>
      </c>
      <c r="BM9" s="71" t="s">
        <v>1440</v>
      </c>
      <c r="BN9" s="71" t="s">
        <v>1443</v>
      </c>
      <c r="BO9" s="485" t="s">
        <v>1447</v>
      </c>
      <c r="BP9" s="485" t="s">
        <v>1450</v>
      </c>
      <c r="BQ9" s="485" t="s">
        <v>1452</v>
      </c>
      <c r="BR9" s="485" t="s">
        <v>1454</v>
      </c>
      <c r="BS9" s="71" t="s">
        <v>1457</v>
      </c>
      <c r="BT9" s="72" t="s">
        <v>1459</v>
      </c>
      <c r="BU9" s="504"/>
      <c r="BV9" s="71" t="s">
        <v>1403</v>
      </c>
      <c r="BW9" s="71" t="s">
        <v>1407</v>
      </c>
      <c r="BX9" s="71" t="s">
        <v>1410</v>
      </c>
      <c r="BY9" s="71" t="s">
        <v>1416</v>
      </c>
      <c r="BZ9" s="485" t="s">
        <v>1419</v>
      </c>
      <c r="CA9" s="485" t="s">
        <v>1422</v>
      </c>
      <c r="CB9" s="71" t="s">
        <v>103</v>
      </c>
      <c r="CC9" s="71" t="s">
        <v>1429</v>
      </c>
      <c r="CD9" s="71" t="s">
        <v>1433</v>
      </c>
      <c r="CE9" s="71" t="s">
        <v>1437</v>
      </c>
      <c r="CF9" s="71" t="s">
        <v>1440</v>
      </c>
      <c r="CG9" s="71" t="s">
        <v>1443</v>
      </c>
      <c r="CH9" s="485" t="s">
        <v>1447</v>
      </c>
      <c r="CI9" s="485" t="s">
        <v>1450</v>
      </c>
      <c r="CJ9" s="485" t="s">
        <v>1452</v>
      </c>
      <c r="CK9" s="485" t="s">
        <v>1454</v>
      </c>
      <c r="CL9" s="71" t="s">
        <v>1457</v>
      </c>
      <c r="CM9" s="72" t="s">
        <v>1459</v>
      </c>
      <c r="CN9" s="504"/>
      <c r="CO9" s="71" t="s">
        <v>1403</v>
      </c>
      <c r="CP9" s="71" t="s">
        <v>1407</v>
      </c>
      <c r="CQ9" s="71" t="s">
        <v>1410</v>
      </c>
      <c r="CR9" s="71" t="s">
        <v>1416</v>
      </c>
      <c r="CS9" s="485" t="s">
        <v>1419</v>
      </c>
      <c r="CT9" s="485" t="s">
        <v>1422</v>
      </c>
      <c r="CU9" s="71" t="s">
        <v>103</v>
      </c>
      <c r="CV9" s="71" t="s">
        <v>1429</v>
      </c>
      <c r="CW9" s="71" t="s">
        <v>1433</v>
      </c>
      <c r="CX9" s="71" t="s">
        <v>1437</v>
      </c>
      <c r="CY9" s="71" t="s">
        <v>1440</v>
      </c>
      <c r="CZ9" s="71" t="s">
        <v>1443</v>
      </c>
      <c r="DA9" s="485" t="s">
        <v>1447</v>
      </c>
      <c r="DB9" s="485" t="s">
        <v>1450</v>
      </c>
      <c r="DC9" s="485" t="s">
        <v>1452</v>
      </c>
      <c r="DD9" s="485" t="s">
        <v>1454</v>
      </c>
      <c r="DE9" s="71" t="s">
        <v>1457</v>
      </c>
      <c r="DF9" s="72" t="s">
        <v>1459</v>
      </c>
      <c r="DG9" s="504"/>
      <c r="DH9" s="71" t="s">
        <v>1403</v>
      </c>
      <c r="DI9" s="71" t="s">
        <v>1407</v>
      </c>
      <c r="DJ9" s="71" t="s">
        <v>1410</v>
      </c>
      <c r="DK9" s="71" t="s">
        <v>1416</v>
      </c>
      <c r="DL9" s="485" t="s">
        <v>1419</v>
      </c>
      <c r="DM9" s="485" t="s">
        <v>1422</v>
      </c>
      <c r="DN9" s="71" t="s">
        <v>103</v>
      </c>
      <c r="DO9" s="71" t="s">
        <v>1429</v>
      </c>
      <c r="DP9" s="71" t="s">
        <v>1433</v>
      </c>
      <c r="DQ9" s="71" t="s">
        <v>1437</v>
      </c>
      <c r="DR9" s="71" t="s">
        <v>1440</v>
      </c>
      <c r="DS9" s="71" t="s">
        <v>1443</v>
      </c>
      <c r="DT9" s="485" t="s">
        <v>1447</v>
      </c>
      <c r="DU9" s="485" t="s">
        <v>1450</v>
      </c>
      <c r="DV9" s="485" t="s">
        <v>1452</v>
      </c>
      <c r="DW9" s="485" t="s">
        <v>1454</v>
      </c>
      <c r="DX9" s="71" t="s">
        <v>1457</v>
      </c>
      <c r="DY9" s="72" t="s">
        <v>1459</v>
      </c>
      <c r="DZ9" s="504"/>
      <c r="EA9" s="71" t="s">
        <v>1403</v>
      </c>
      <c r="EB9" s="71" t="s">
        <v>1407</v>
      </c>
      <c r="EC9" s="71" t="s">
        <v>1410</v>
      </c>
      <c r="ED9" s="71" t="s">
        <v>1416</v>
      </c>
      <c r="EE9" s="485" t="s">
        <v>1419</v>
      </c>
      <c r="EF9" s="485" t="s">
        <v>1422</v>
      </c>
      <c r="EG9" s="71" t="s">
        <v>103</v>
      </c>
      <c r="EH9" s="71" t="s">
        <v>1429</v>
      </c>
      <c r="EI9" s="71" t="s">
        <v>1433</v>
      </c>
      <c r="EJ9" s="71" t="s">
        <v>1437</v>
      </c>
      <c r="EK9" s="71" t="s">
        <v>1440</v>
      </c>
      <c r="EL9" s="71" t="s">
        <v>1443</v>
      </c>
      <c r="EM9" s="485" t="s">
        <v>1447</v>
      </c>
      <c r="EN9" s="485" t="s">
        <v>1450</v>
      </c>
      <c r="EO9" s="485" t="s">
        <v>1452</v>
      </c>
      <c r="EP9" s="485" t="s">
        <v>1454</v>
      </c>
      <c r="EQ9" s="71" t="s">
        <v>1457</v>
      </c>
      <c r="ER9" s="72" t="s">
        <v>1459</v>
      </c>
      <c r="ES9" s="504"/>
      <c r="ET9" s="71" t="s">
        <v>1403</v>
      </c>
      <c r="EU9" s="71" t="s">
        <v>1407</v>
      </c>
      <c r="EV9" s="71" t="s">
        <v>1410</v>
      </c>
      <c r="EW9" s="71" t="s">
        <v>1416</v>
      </c>
      <c r="EX9" s="485" t="s">
        <v>1419</v>
      </c>
      <c r="EY9" s="485" t="s">
        <v>1422</v>
      </c>
      <c r="EZ9" s="71" t="s">
        <v>103</v>
      </c>
      <c r="FA9" s="71" t="s">
        <v>1429</v>
      </c>
      <c r="FB9" s="71" t="s">
        <v>1433</v>
      </c>
      <c r="FC9" s="71" t="s">
        <v>1437</v>
      </c>
      <c r="FD9" s="71" t="s">
        <v>1440</v>
      </c>
      <c r="FE9" s="71" t="s">
        <v>1443</v>
      </c>
      <c r="FF9" s="485" t="s">
        <v>1447</v>
      </c>
      <c r="FG9" s="485" t="s">
        <v>1450</v>
      </c>
      <c r="FH9" s="485" t="s">
        <v>1452</v>
      </c>
      <c r="FI9" s="485" t="s">
        <v>1454</v>
      </c>
      <c r="FJ9" s="71" t="s">
        <v>1457</v>
      </c>
      <c r="FK9" s="72" t="s">
        <v>1459</v>
      </c>
      <c r="FL9" s="504"/>
      <c r="FM9" s="71" t="s">
        <v>1403</v>
      </c>
      <c r="FN9" s="71" t="s">
        <v>1407</v>
      </c>
      <c r="FO9" s="71" t="s">
        <v>1410</v>
      </c>
      <c r="FP9" s="71" t="s">
        <v>1416</v>
      </c>
      <c r="FQ9" s="485" t="s">
        <v>1419</v>
      </c>
      <c r="FR9" s="485" t="s">
        <v>1422</v>
      </c>
      <c r="FS9" s="71" t="s">
        <v>103</v>
      </c>
      <c r="FT9" s="71" t="s">
        <v>1429</v>
      </c>
      <c r="FU9" s="71" t="s">
        <v>1433</v>
      </c>
      <c r="FV9" s="71" t="s">
        <v>1437</v>
      </c>
      <c r="FW9" s="71" t="s">
        <v>1440</v>
      </c>
      <c r="FX9" s="71" t="s">
        <v>1443</v>
      </c>
      <c r="FY9" s="485" t="s">
        <v>1447</v>
      </c>
      <c r="FZ9" s="485" t="s">
        <v>1450</v>
      </c>
      <c r="GA9" s="485" t="s">
        <v>1452</v>
      </c>
      <c r="GB9" s="485" t="s">
        <v>1454</v>
      </c>
      <c r="GC9" s="71" t="s">
        <v>1457</v>
      </c>
      <c r="GD9" s="72" t="s">
        <v>1459</v>
      </c>
      <c r="GE9" s="504"/>
      <c r="GF9" s="71" t="s">
        <v>1403</v>
      </c>
      <c r="GG9" s="71" t="s">
        <v>1407</v>
      </c>
      <c r="GH9" s="71" t="s">
        <v>1410</v>
      </c>
      <c r="GI9" s="71" t="s">
        <v>1416</v>
      </c>
      <c r="GJ9" s="485" t="s">
        <v>1419</v>
      </c>
      <c r="GK9" s="485" t="s">
        <v>1422</v>
      </c>
      <c r="GL9" s="71" t="s">
        <v>103</v>
      </c>
      <c r="GM9" s="71" t="s">
        <v>1429</v>
      </c>
      <c r="GN9" s="71" t="s">
        <v>1433</v>
      </c>
      <c r="GO9" s="71" t="s">
        <v>1437</v>
      </c>
      <c r="GP9" s="71" t="s">
        <v>1440</v>
      </c>
      <c r="GQ9" s="71" t="s">
        <v>1443</v>
      </c>
      <c r="GR9" s="485" t="s">
        <v>1447</v>
      </c>
      <c r="GS9" s="485" t="s">
        <v>1450</v>
      </c>
      <c r="GT9" s="485" t="s">
        <v>1452</v>
      </c>
      <c r="GU9" s="485" t="s">
        <v>1454</v>
      </c>
      <c r="GV9" s="71" t="s">
        <v>1457</v>
      </c>
      <c r="GW9" s="72" t="s">
        <v>1459</v>
      </c>
      <c r="GX9" s="504"/>
      <c r="GY9" s="71" t="s">
        <v>1403</v>
      </c>
      <c r="GZ9" s="71" t="s">
        <v>1407</v>
      </c>
      <c r="HA9" s="71" t="s">
        <v>1410</v>
      </c>
      <c r="HB9" s="71" t="s">
        <v>1416</v>
      </c>
      <c r="HC9" s="485" t="s">
        <v>1419</v>
      </c>
      <c r="HD9" s="485" t="s">
        <v>1422</v>
      </c>
      <c r="HE9" s="71" t="s">
        <v>103</v>
      </c>
      <c r="HF9" s="71" t="s">
        <v>1429</v>
      </c>
      <c r="HG9" s="71" t="s">
        <v>1433</v>
      </c>
      <c r="HH9" s="71" t="s">
        <v>1437</v>
      </c>
      <c r="HI9" s="71" t="s">
        <v>1440</v>
      </c>
      <c r="HJ9" s="71" t="s">
        <v>1443</v>
      </c>
      <c r="HK9" s="485" t="s">
        <v>1447</v>
      </c>
      <c r="HL9" s="485" t="s">
        <v>1450</v>
      </c>
      <c r="HM9" s="485" t="s">
        <v>1452</v>
      </c>
      <c r="HN9" s="485" t="s">
        <v>1454</v>
      </c>
      <c r="HO9" s="71" t="s">
        <v>1457</v>
      </c>
      <c r="HP9" s="72" t="s">
        <v>1459</v>
      </c>
      <c r="HQ9" s="504"/>
      <c r="HR9" s="71" t="s">
        <v>1403</v>
      </c>
      <c r="HS9" s="71" t="s">
        <v>1407</v>
      </c>
      <c r="HT9" s="71" t="s">
        <v>1410</v>
      </c>
      <c r="HU9" s="71" t="s">
        <v>1416</v>
      </c>
      <c r="HV9" s="485" t="s">
        <v>1419</v>
      </c>
      <c r="HW9" s="485" t="s">
        <v>1422</v>
      </c>
      <c r="HX9" s="71" t="s">
        <v>103</v>
      </c>
      <c r="HY9" s="71" t="s">
        <v>1429</v>
      </c>
      <c r="HZ9" s="71" t="s">
        <v>1433</v>
      </c>
      <c r="IA9" s="71" t="s">
        <v>1437</v>
      </c>
      <c r="IB9" s="71" t="s">
        <v>1440</v>
      </c>
      <c r="IC9" s="71" t="s">
        <v>1443</v>
      </c>
      <c r="ID9" s="485" t="s">
        <v>1447</v>
      </c>
      <c r="IE9" s="485" t="s">
        <v>1450</v>
      </c>
      <c r="IF9" s="485" t="s">
        <v>1452</v>
      </c>
      <c r="IG9" s="485" t="s">
        <v>1454</v>
      </c>
      <c r="IH9" s="71" t="s">
        <v>1457</v>
      </c>
      <c r="II9" s="72" t="s">
        <v>1459</v>
      </c>
      <c r="IJ9" s="486" t="s">
        <v>1437</v>
      </c>
      <c r="IK9" s="485"/>
      <c r="IL9" s="485" t="s">
        <v>1457</v>
      </c>
      <c r="IM9" s="485"/>
      <c r="IN9" s="485" t="s">
        <v>1459</v>
      </c>
      <c r="IO9" s="494"/>
    </row>
    <row r="10" spans="2:298" ht="16.75" thickBot="1" x14ac:dyDescent="0.45">
      <c r="C10" s="497"/>
      <c r="D10" s="92" t="s">
        <v>1493</v>
      </c>
      <c r="E10" s="88" t="s">
        <v>1396</v>
      </c>
      <c r="F10" s="88" t="s">
        <v>19</v>
      </c>
      <c r="G10" s="88" t="s">
        <v>19</v>
      </c>
      <c r="H10" s="88" t="s">
        <v>19</v>
      </c>
      <c r="I10" s="88" t="s">
        <v>19</v>
      </c>
      <c r="J10" s="88" t="s">
        <v>19</v>
      </c>
      <c r="K10" s="88" t="s">
        <v>19</v>
      </c>
      <c r="L10" s="88" t="s">
        <v>19</v>
      </c>
      <c r="M10" s="488"/>
      <c r="N10" s="488"/>
      <c r="O10" s="506"/>
      <c r="P10" s="508"/>
      <c r="Q10" s="76" t="s">
        <v>1408</v>
      </c>
      <c r="R10" s="76" t="s">
        <v>1408</v>
      </c>
      <c r="S10" s="76" t="s">
        <v>25</v>
      </c>
      <c r="T10" s="76" t="s">
        <v>21</v>
      </c>
      <c r="U10" s="488"/>
      <c r="V10" s="488"/>
      <c r="W10" s="76" t="s">
        <v>1425</v>
      </c>
      <c r="X10" s="76" t="s">
        <v>1408</v>
      </c>
      <c r="Y10" s="76" t="s">
        <v>1434</v>
      </c>
      <c r="Z10" s="76" t="s">
        <v>1438</v>
      </c>
      <c r="AA10" s="76" t="s">
        <v>23</v>
      </c>
      <c r="AB10" s="76" t="s">
        <v>1444</v>
      </c>
      <c r="AC10" s="488"/>
      <c r="AD10" s="488"/>
      <c r="AE10" s="488"/>
      <c r="AF10" s="488"/>
      <c r="AG10" s="76" t="s">
        <v>1438</v>
      </c>
      <c r="AH10" s="77" t="s">
        <v>1438</v>
      </c>
      <c r="AI10" s="505"/>
      <c r="AJ10" s="76" t="s">
        <v>1408</v>
      </c>
      <c r="AK10" s="76" t="s">
        <v>1408</v>
      </c>
      <c r="AL10" s="76" t="s">
        <v>25</v>
      </c>
      <c r="AM10" s="76" t="s">
        <v>21</v>
      </c>
      <c r="AN10" s="488"/>
      <c r="AO10" s="488"/>
      <c r="AP10" s="76" t="s">
        <v>1425</v>
      </c>
      <c r="AQ10" s="76" t="s">
        <v>1408</v>
      </c>
      <c r="AR10" s="76" t="s">
        <v>1434</v>
      </c>
      <c r="AS10" s="76" t="s">
        <v>1438</v>
      </c>
      <c r="AT10" s="76" t="s">
        <v>23</v>
      </c>
      <c r="AU10" s="76" t="s">
        <v>1444</v>
      </c>
      <c r="AV10" s="488"/>
      <c r="AW10" s="488"/>
      <c r="AX10" s="488"/>
      <c r="AY10" s="488"/>
      <c r="AZ10" s="76" t="s">
        <v>1438</v>
      </c>
      <c r="BA10" s="77" t="s">
        <v>1438</v>
      </c>
      <c r="BB10" s="505"/>
      <c r="BC10" s="76" t="s">
        <v>1408</v>
      </c>
      <c r="BD10" s="76" t="s">
        <v>1408</v>
      </c>
      <c r="BE10" s="76" t="s">
        <v>25</v>
      </c>
      <c r="BF10" s="76" t="s">
        <v>21</v>
      </c>
      <c r="BG10" s="488"/>
      <c r="BH10" s="488"/>
      <c r="BI10" s="76" t="s">
        <v>1425</v>
      </c>
      <c r="BJ10" s="76" t="s">
        <v>1408</v>
      </c>
      <c r="BK10" s="76" t="s">
        <v>1434</v>
      </c>
      <c r="BL10" s="76" t="s">
        <v>1438</v>
      </c>
      <c r="BM10" s="76" t="s">
        <v>23</v>
      </c>
      <c r="BN10" s="76" t="s">
        <v>1444</v>
      </c>
      <c r="BO10" s="488"/>
      <c r="BP10" s="488"/>
      <c r="BQ10" s="488"/>
      <c r="BR10" s="488"/>
      <c r="BS10" s="76" t="s">
        <v>1438</v>
      </c>
      <c r="BT10" s="77" t="s">
        <v>1438</v>
      </c>
      <c r="BU10" s="505"/>
      <c r="BV10" s="76" t="s">
        <v>1408</v>
      </c>
      <c r="BW10" s="76" t="s">
        <v>1408</v>
      </c>
      <c r="BX10" s="76" t="s">
        <v>25</v>
      </c>
      <c r="BY10" s="76" t="s">
        <v>21</v>
      </c>
      <c r="BZ10" s="488"/>
      <c r="CA10" s="488"/>
      <c r="CB10" s="76" t="s">
        <v>1425</v>
      </c>
      <c r="CC10" s="76" t="s">
        <v>1408</v>
      </c>
      <c r="CD10" s="76" t="s">
        <v>1434</v>
      </c>
      <c r="CE10" s="76" t="s">
        <v>1438</v>
      </c>
      <c r="CF10" s="76" t="s">
        <v>23</v>
      </c>
      <c r="CG10" s="76" t="s">
        <v>1444</v>
      </c>
      <c r="CH10" s="488"/>
      <c r="CI10" s="488"/>
      <c r="CJ10" s="488"/>
      <c r="CK10" s="488"/>
      <c r="CL10" s="76" t="s">
        <v>1438</v>
      </c>
      <c r="CM10" s="77" t="s">
        <v>1438</v>
      </c>
      <c r="CN10" s="505"/>
      <c r="CO10" s="76" t="s">
        <v>1408</v>
      </c>
      <c r="CP10" s="76" t="s">
        <v>1408</v>
      </c>
      <c r="CQ10" s="76" t="s">
        <v>25</v>
      </c>
      <c r="CR10" s="76" t="s">
        <v>21</v>
      </c>
      <c r="CS10" s="488"/>
      <c r="CT10" s="488"/>
      <c r="CU10" s="76" t="s">
        <v>1425</v>
      </c>
      <c r="CV10" s="76" t="s">
        <v>1408</v>
      </c>
      <c r="CW10" s="76" t="s">
        <v>1434</v>
      </c>
      <c r="CX10" s="76" t="s">
        <v>1438</v>
      </c>
      <c r="CY10" s="76" t="s">
        <v>23</v>
      </c>
      <c r="CZ10" s="76" t="s">
        <v>1444</v>
      </c>
      <c r="DA10" s="488"/>
      <c r="DB10" s="488"/>
      <c r="DC10" s="488"/>
      <c r="DD10" s="488"/>
      <c r="DE10" s="76" t="s">
        <v>1438</v>
      </c>
      <c r="DF10" s="77" t="s">
        <v>1438</v>
      </c>
      <c r="DG10" s="505"/>
      <c r="DH10" s="76" t="s">
        <v>1408</v>
      </c>
      <c r="DI10" s="76" t="s">
        <v>1408</v>
      </c>
      <c r="DJ10" s="76" t="s">
        <v>25</v>
      </c>
      <c r="DK10" s="76" t="s">
        <v>21</v>
      </c>
      <c r="DL10" s="488"/>
      <c r="DM10" s="488"/>
      <c r="DN10" s="76" t="s">
        <v>1425</v>
      </c>
      <c r="DO10" s="76" t="s">
        <v>1408</v>
      </c>
      <c r="DP10" s="76" t="s">
        <v>1434</v>
      </c>
      <c r="DQ10" s="76" t="s">
        <v>1438</v>
      </c>
      <c r="DR10" s="76" t="s">
        <v>23</v>
      </c>
      <c r="DS10" s="76" t="s">
        <v>1444</v>
      </c>
      <c r="DT10" s="488"/>
      <c r="DU10" s="488"/>
      <c r="DV10" s="488"/>
      <c r="DW10" s="488"/>
      <c r="DX10" s="76" t="s">
        <v>1438</v>
      </c>
      <c r="DY10" s="77" t="s">
        <v>1438</v>
      </c>
      <c r="DZ10" s="505"/>
      <c r="EA10" s="76" t="s">
        <v>1408</v>
      </c>
      <c r="EB10" s="76" t="s">
        <v>1408</v>
      </c>
      <c r="EC10" s="76" t="s">
        <v>25</v>
      </c>
      <c r="ED10" s="76" t="s">
        <v>21</v>
      </c>
      <c r="EE10" s="488"/>
      <c r="EF10" s="488"/>
      <c r="EG10" s="76" t="s">
        <v>1425</v>
      </c>
      <c r="EH10" s="76" t="s">
        <v>1408</v>
      </c>
      <c r="EI10" s="76" t="s">
        <v>1434</v>
      </c>
      <c r="EJ10" s="76" t="s">
        <v>1438</v>
      </c>
      <c r="EK10" s="76" t="s">
        <v>23</v>
      </c>
      <c r="EL10" s="76" t="s">
        <v>1444</v>
      </c>
      <c r="EM10" s="488"/>
      <c r="EN10" s="488"/>
      <c r="EO10" s="488"/>
      <c r="EP10" s="488"/>
      <c r="EQ10" s="76" t="s">
        <v>1438</v>
      </c>
      <c r="ER10" s="77" t="s">
        <v>1438</v>
      </c>
      <c r="ES10" s="505"/>
      <c r="ET10" s="76" t="s">
        <v>1408</v>
      </c>
      <c r="EU10" s="76" t="s">
        <v>1408</v>
      </c>
      <c r="EV10" s="76" t="s">
        <v>25</v>
      </c>
      <c r="EW10" s="76" t="s">
        <v>21</v>
      </c>
      <c r="EX10" s="488"/>
      <c r="EY10" s="488"/>
      <c r="EZ10" s="76" t="s">
        <v>1425</v>
      </c>
      <c r="FA10" s="76" t="s">
        <v>1408</v>
      </c>
      <c r="FB10" s="76" t="s">
        <v>1434</v>
      </c>
      <c r="FC10" s="76" t="s">
        <v>1438</v>
      </c>
      <c r="FD10" s="76" t="s">
        <v>23</v>
      </c>
      <c r="FE10" s="76" t="s">
        <v>1444</v>
      </c>
      <c r="FF10" s="488"/>
      <c r="FG10" s="488"/>
      <c r="FH10" s="488"/>
      <c r="FI10" s="488"/>
      <c r="FJ10" s="76" t="s">
        <v>1438</v>
      </c>
      <c r="FK10" s="77" t="s">
        <v>1438</v>
      </c>
      <c r="FL10" s="505"/>
      <c r="FM10" s="76" t="s">
        <v>1408</v>
      </c>
      <c r="FN10" s="76" t="s">
        <v>1408</v>
      </c>
      <c r="FO10" s="76" t="s">
        <v>25</v>
      </c>
      <c r="FP10" s="76" t="s">
        <v>21</v>
      </c>
      <c r="FQ10" s="488"/>
      <c r="FR10" s="488"/>
      <c r="FS10" s="76" t="s">
        <v>1425</v>
      </c>
      <c r="FT10" s="76" t="s">
        <v>1408</v>
      </c>
      <c r="FU10" s="76" t="s">
        <v>1434</v>
      </c>
      <c r="FV10" s="76" t="s">
        <v>1438</v>
      </c>
      <c r="FW10" s="76" t="s">
        <v>23</v>
      </c>
      <c r="FX10" s="76" t="s">
        <v>1444</v>
      </c>
      <c r="FY10" s="488"/>
      <c r="FZ10" s="488"/>
      <c r="GA10" s="488"/>
      <c r="GB10" s="488"/>
      <c r="GC10" s="76" t="s">
        <v>1438</v>
      </c>
      <c r="GD10" s="77" t="s">
        <v>1438</v>
      </c>
      <c r="GE10" s="505"/>
      <c r="GF10" s="76" t="s">
        <v>1408</v>
      </c>
      <c r="GG10" s="76" t="s">
        <v>1408</v>
      </c>
      <c r="GH10" s="76" t="s">
        <v>25</v>
      </c>
      <c r="GI10" s="76" t="s">
        <v>21</v>
      </c>
      <c r="GJ10" s="488"/>
      <c r="GK10" s="488"/>
      <c r="GL10" s="76" t="s">
        <v>1425</v>
      </c>
      <c r="GM10" s="76" t="s">
        <v>1408</v>
      </c>
      <c r="GN10" s="76" t="s">
        <v>1434</v>
      </c>
      <c r="GO10" s="76" t="s">
        <v>1438</v>
      </c>
      <c r="GP10" s="76" t="s">
        <v>23</v>
      </c>
      <c r="GQ10" s="76" t="s">
        <v>1444</v>
      </c>
      <c r="GR10" s="488"/>
      <c r="GS10" s="488"/>
      <c r="GT10" s="488"/>
      <c r="GU10" s="488"/>
      <c r="GV10" s="76" t="s">
        <v>1438</v>
      </c>
      <c r="GW10" s="77" t="s">
        <v>1438</v>
      </c>
      <c r="GX10" s="505"/>
      <c r="GY10" s="76" t="s">
        <v>1408</v>
      </c>
      <c r="GZ10" s="76" t="s">
        <v>1408</v>
      </c>
      <c r="HA10" s="76" t="s">
        <v>25</v>
      </c>
      <c r="HB10" s="76" t="s">
        <v>21</v>
      </c>
      <c r="HC10" s="488"/>
      <c r="HD10" s="488"/>
      <c r="HE10" s="76" t="s">
        <v>1425</v>
      </c>
      <c r="HF10" s="76" t="s">
        <v>1408</v>
      </c>
      <c r="HG10" s="76" t="s">
        <v>1434</v>
      </c>
      <c r="HH10" s="76" t="s">
        <v>1438</v>
      </c>
      <c r="HI10" s="76" t="s">
        <v>23</v>
      </c>
      <c r="HJ10" s="76" t="s">
        <v>1444</v>
      </c>
      <c r="HK10" s="488"/>
      <c r="HL10" s="488"/>
      <c r="HM10" s="488"/>
      <c r="HN10" s="488"/>
      <c r="HO10" s="76" t="s">
        <v>1438</v>
      </c>
      <c r="HP10" s="77" t="s">
        <v>1438</v>
      </c>
      <c r="HQ10" s="505"/>
      <c r="HR10" s="76" t="s">
        <v>1479</v>
      </c>
      <c r="HS10" s="76" t="s">
        <v>1479</v>
      </c>
      <c r="HT10" s="76" t="s">
        <v>25</v>
      </c>
      <c r="HU10" s="76" t="s">
        <v>21</v>
      </c>
      <c r="HV10" s="488"/>
      <c r="HW10" s="488"/>
      <c r="HX10" s="76" t="s">
        <v>1425</v>
      </c>
      <c r="HY10" s="76" t="s">
        <v>1479</v>
      </c>
      <c r="HZ10" s="76" t="s">
        <v>1480</v>
      </c>
      <c r="IA10" s="76" t="s">
        <v>1438</v>
      </c>
      <c r="IB10" s="76" t="s">
        <v>23</v>
      </c>
      <c r="IC10" s="76" t="s">
        <v>1481</v>
      </c>
      <c r="ID10" s="488"/>
      <c r="IE10" s="488"/>
      <c r="IF10" s="488"/>
      <c r="IG10" s="488"/>
      <c r="IH10" s="76" t="s">
        <v>1438</v>
      </c>
      <c r="II10" s="77" t="s">
        <v>1438</v>
      </c>
      <c r="IJ10" s="78" t="s">
        <v>1461</v>
      </c>
      <c r="IK10" s="76" t="s">
        <v>1462</v>
      </c>
      <c r="IL10" s="76" t="s">
        <v>1461</v>
      </c>
      <c r="IM10" s="76" t="s">
        <v>1462</v>
      </c>
      <c r="IN10" s="76" t="s">
        <v>1461</v>
      </c>
      <c r="IO10" s="77" t="s">
        <v>1462</v>
      </c>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C10" s="43" t="s">
        <v>255</v>
      </c>
      <c r="KD10" s="43" t="s">
        <v>1427</v>
      </c>
      <c r="KE10" s="43" t="s">
        <v>528</v>
      </c>
      <c r="KF10" s="43" t="s">
        <v>262</v>
      </c>
      <c r="KG10" s="43" t="s">
        <v>1412</v>
      </c>
      <c r="KH10" s="43" t="s">
        <v>1413</v>
      </c>
      <c r="KI10" s="43" t="s">
        <v>1387</v>
      </c>
      <c r="KJ10" s="43" t="s">
        <v>1426</v>
      </c>
      <c r="KK10" s="43" t="s">
        <v>566</v>
      </c>
      <c r="KL10" s="43" t="s">
        <v>566</v>
      </c>
    </row>
    <row r="11" spans="2:298" x14ac:dyDescent="0.4">
      <c r="B11" s="43" t="str" cm="1">
        <f t="array" ref="B11">INDEX(FX_Input,$KB11,B$85)</f>
        <v>FX - 1</v>
      </c>
      <c r="C11" s="96" t="str" cm="1">
        <f t="array" ref="C11">INDEX(FX_Input,$KB11,C$85)</f>
        <v>FIXTANK 66</v>
      </c>
      <c r="D11" s="79">
        <f t="shared" ref="D11:D42" si="0">PI()/4*F11*F11*H11</f>
        <v>240331.83799961917</v>
      </c>
      <c r="E11" s="73" cm="1">
        <f t="array" ref="E11">IF(ISBLANK(INDEX(FX_Input,$KB11,$E$85)),0.03,INDEX(FX_Input,$KB11,$E$85))-IF(ISBLANK(INDEX(FX_Input,$KB11,$E$86)),-0.03,INDEX(FX_Input,$KB11,$E$86))</f>
        <v>0.06</v>
      </c>
      <c r="F11" s="73" cm="1">
        <f t="array" ref="F11">IF(INDEX(FX_Input,$KB11,F$85)="Vertical",INDEX(FX_Input,$KB11,F$86),SQRT((INDEX(FX_Input,$KB11,F$86)*INDEX(FX_Input,$KB11,F$87))/(PI()/4)))</f>
        <v>120</v>
      </c>
      <c r="G11" s="73" cm="1">
        <f t="array" ref="G11">IF(INDEX(FX_Input,$KB11,G$85)="Vertical",INDEX(FX_Input,$KB11,G$86),INDEX(FX_Input,$KB11,G$87)*PI()/4)</f>
        <v>40</v>
      </c>
      <c r="H11" s="73" cm="1">
        <f t="array" ref="H11">IF(INDEX(FX_Input,$KB11,H$85)="Vertical",G11-G11/2+J11,G11/2)</f>
        <v>21.25</v>
      </c>
      <c r="I11" s="73" cm="1">
        <f t="array" ref="I11">IF(INDEX(FX_Input,$KB11,F$85)="Horizontal","N/A",IF(INDEX(FX_Input,$KB11,I$86)="Cone",IF(ISBLANK(INDEX(FX_Input,$KB11,I$87)),0.0625,INDEX(FX_Input,$KB11,I$87))*F11/2,F11/2-SQRT((F11/2)^2-(INDEX(FX_Input,$KB11,I$88)^2))))</f>
        <v>3.75</v>
      </c>
      <c r="J11" s="73" cm="1">
        <f t="array" ref="J11">IF(INDEX(FX_Input,$KB11,J$85)="Horizontal","N/A",IF(INDEX(FX_Input,$KB11,J$86)="Cone",I11/3,I11*(1/2+(1/6)*(I11/(F11/2))^2)))</f>
        <v>1.25</v>
      </c>
      <c r="K11" s="73">
        <f t="shared" ref="K11:K42" si="1">G11-1</f>
        <v>39</v>
      </c>
      <c r="L11" s="73">
        <v>1</v>
      </c>
      <c r="M11" s="73" cm="1">
        <f t="array" ref="M11">INDEX(Tbl_71_6,MATCH(INDEX(FX_Input,$KB11,M$85),Paint_Color,0),VLOOKUP(INDEX(FX_Input,$KB11,M$86),Paint_Cond_Column,2,FALSE))</f>
        <v>0.25</v>
      </c>
      <c r="N11" s="73" cm="1">
        <f t="array" ref="N11">INDEX(Tbl_71_6,MATCH(INDEX(FX_Input,$KB11,N$85),Paint_Color,0),VLOOKUP(INDEX(FX_Input,$KB11,N$86),Paint_Cond_Column,2,FALSE))</f>
        <v>0.25</v>
      </c>
      <c r="O11" s="74">
        <f>IF(OR(ISNUMBER(N11),ISNUMBER(M11)),IFERROR((M11+N11)/2,"Partially Insulated"), "Insulated")</f>
        <v>0.25</v>
      </c>
      <c r="P11" s="79" t="str" cm="1">
        <f t="array" ref="P11">IF(ISBLANK(INDEX(FX_Input,$KB11+1,P$85)),INDEX(FX_Input,$KB11,P$85),INDEX(FX_Input,$KB11,P$85)&amp;" &amp; "&amp;INDEX(FX_Input,$KB11+1,P$85))</f>
        <v>Jet kerosene</v>
      </c>
      <c r="Q11" s="73" cm="1">
        <f t="array" ref="Q11">INDEX(FX_Temps,$KC11+7,Q$89)</f>
        <v>8.9950000000000241</v>
      </c>
      <c r="R11" s="73" cm="1">
        <f t="array" ref="R11">INDEX(FX_Temps,$KC11+13,R$89)+459.6</f>
        <v>504.34892500000001</v>
      </c>
      <c r="S11" s="73" cm="1">
        <f t="array" ref="S11">INDEX(FX_Vap,$KG11,S$91)-INDEX(FX_Vap,$KH11,S$91)</f>
        <v>7.0794953556663209E-4</v>
      </c>
      <c r="T11" s="73" cm="1">
        <f t="array" ref="T11">IF(P11="Out of Service",0,INDEX(FX_Vap,$KI11,T$91))</f>
        <v>4.883250638471285E-3</v>
      </c>
      <c r="U11" s="73">
        <f>IF(Q11/R11+(S11-$E11)/(14.7-T11)&lt;0,0,Q11/R11+(S11-$E11)/(14.7-T11))</f>
        <v>1.3800061771949319E-2</v>
      </c>
      <c r="V11" s="73">
        <f>1/(1+0.053*T11*$H11)</f>
        <v>0.9945303208964108</v>
      </c>
      <c r="W11" s="73" cm="1">
        <f t="array" ref="W11">INDEX(FX_Vap,$KJ11,W$91)</f>
        <v>130</v>
      </c>
      <c r="X11" s="73" cm="1">
        <f t="array" ref="X11">INDEX(FX_Temps,$KD11,X$89)+459.6</f>
        <v>504.34892500000001</v>
      </c>
      <c r="Y11" s="73">
        <f>(W11*T11)/(10.731*X11)</f>
        <v>1.1729542507733997E-4</v>
      </c>
      <c r="Z11" s="73" cm="1">
        <f t="array" ref="Z11">INDEX(Month_Ref,Z$83,3)*U11*(PI()/4*$F11^2)*$H11*V11*Y11</f>
        <v>11.99369868175136</v>
      </c>
      <c r="AA11" s="73" cm="1">
        <f t="array" ref="AA11">INDEX(FX_Input,$KB11,AA$85)</f>
        <v>80568</v>
      </c>
      <c r="AB11" s="73">
        <f>5.614*AA11</f>
        <v>452308.75199999998</v>
      </c>
      <c r="AC11" s="73">
        <f>(AB11/(PI()/4*$F11^2))/(($G11-1)-1)</f>
        <v>1.0524440597152953</v>
      </c>
      <c r="AD11" s="73">
        <f>IF(AC11&gt;36,(180+AC11)/(6*AC11),1)</f>
        <v>1</v>
      </c>
      <c r="AE11" s="73" cm="1">
        <f t="array" ref="AE11">IF(OR(INDEX(FX_Vap,$KK11,AE$90)="Crude Oil",(INDEX(FX_Vap,$KL11,AE$90)="Crude Oil")),0.75,1)</f>
        <v>1</v>
      </c>
      <c r="AF11" s="73">
        <v>1</v>
      </c>
      <c r="AG11" s="73">
        <f>AB11*AD11*AE11*Y11*AF11</f>
        <v>53.053747332041141</v>
      </c>
      <c r="AH11" s="74">
        <f>AG11+Z11</f>
        <v>65.047446013792495</v>
      </c>
      <c r="AI11" s="79" t="str" cm="1">
        <f t="array" ref="AI11">IF(ISBLANK(INDEX(FX_Input,$KB11+1,AI$85)),INDEX(FX_Input,$KB11,AI$85),INDEX(FX_Input,$KB11,AI$85)&amp;" &amp; "&amp;INDEX(FX_Input,$KB11+1,AI$85))</f>
        <v>Jet kerosene</v>
      </c>
      <c r="AJ11" s="73" cm="1">
        <f t="array" ref="AJ11">INDEX(FX_Temps,$KC11+7,AJ$89)</f>
        <v>12.239999999999991</v>
      </c>
      <c r="AK11" s="73" cm="1">
        <f t="array" ref="AK11">INDEX(FX_Temps,$KC11+13,AK$89)+459.6</f>
        <v>505.78500000000008</v>
      </c>
      <c r="AL11" s="73" cm="1">
        <f t="array" ref="AL11">INDEX(FX_Vap,$KG11,AL$91)-INDEX(FX_Vap,$KH11,AL$91)</f>
        <v>9.3413357178260322E-4</v>
      </c>
      <c r="AM11" s="73" cm="1">
        <f t="array" ref="AM11">IF(AI11="Out of Service",0,INDEX(FX_Vap,$KI11,AM$91))</f>
        <v>5.1351067062407989E-3</v>
      </c>
      <c r="AN11" s="73">
        <f>IF(AJ11/AK11+(AL11-$E11)/(14.7-AM11)&lt;0,0,AJ11/AK11+(AL11-$E11)/(14.7-AM11))</f>
        <v>2.0180515663370695E-2</v>
      </c>
      <c r="AO11" s="73">
        <f>1/(1+0.053*AM11*$H11)</f>
        <v>0.99424984161816954</v>
      </c>
      <c r="AP11" s="73" cm="1">
        <f t="array" ref="AP11">INDEX(FX_Vap,$KJ11,AP$91)</f>
        <v>130</v>
      </c>
      <c r="AQ11" s="73" cm="1">
        <f t="array" ref="AQ11">INDEX(FX_Temps,$KD11,AQ$89)+459.6</f>
        <v>505.78500000000008</v>
      </c>
      <c r="AR11" s="73">
        <f>(AP11*AM11)/(10.731*AQ11)</f>
        <v>1.2299478130220538E-4</v>
      </c>
      <c r="AS11" s="73" cm="1">
        <f t="array" ref="AS11">INDEX(Month_Ref,AS$83,3)*AN11*(PI()/4*$F11^2)*$H11*AO11*AR11</f>
        <v>16.606718103546751</v>
      </c>
      <c r="AT11" s="73" cm="1">
        <f t="array" ref="AT11">INDEX(FX_Input,$KB11,AT$85)</f>
        <v>80568</v>
      </c>
      <c r="AU11" s="73">
        <f>5.614*AT11</f>
        <v>452308.75199999998</v>
      </c>
      <c r="AV11" s="73">
        <f>(AU11/(PI()/4*$F11^2))/(($G11-1)-1)</f>
        <v>1.0524440597152953</v>
      </c>
      <c r="AW11" s="73">
        <f>IF(AV11&gt;36,(180+AV11)/(6*AV11),1)</f>
        <v>1</v>
      </c>
      <c r="AX11" s="73" cm="1">
        <f t="array" ref="AX11">IF(OR(INDEX(FX_Vap,$KK11,AX$90)="Crude Oil",(INDEX(FX_Vap,$KL11,AX$90)="Crude Oil")),0.75,1)</f>
        <v>1</v>
      </c>
      <c r="AY11" s="73">
        <v>1</v>
      </c>
      <c r="AZ11" s="73">
        <f>AU11*AW11*AX11*AR11*AY11</f>
        <v>55.631616033313449</v>
      </c>
      <c r="BA11" s="74">
        <f>AZ11+AS11</f>
        <v>72.238334136860203</v>
      </c>
      <c r="BB11" s="79" t="str" cm="1">
        <f t="array" ref="BB11">IF(ISBLANK(INDEX(FX_Input,$KB11+1,BB$85)),INDEX(FX_Input,$KB11,BB$85),INDEX(FX_Input,$KB11,BB$85)&amp;" &amp; "&amp;INDEX(FX_Input,$KB11+1,BB$85))</f>
        <v>Jet kerosene</v>
      </c>
      <c r="BC11" s="73" cm="1">
        <f t="array" ref="BC11">INDEX(FX_Temps,$KC11+7,BC$89)</f>
        <v>13.62500000000003</v>
      </c>
      <c r="BD11" s="73" cm="1">
        <f t="array" ref="BD11">INDEX(FX_Temps,$KC11+13,BD$89)+459.6</f>
        <v>507.87057500000003</v>
      </c>
      <c r="BE11" s="73" cm="1">
        <f t="array" ref="BE11">INDEX(FX_Vap,$KG11,BE$91)-INDEX(FX_Vap,$KH11,BE$91)</f>
        <v>9.8971985989682477E-4</v>
      </c>
      <c r="BF11" s="73" cm="1">
        <f t="array" ref="BF11">IF(BB11="Out of Service",0,INDEX(FX_Vap,$KI11,BF$91))</f>
        <v>5.5213829543467952E-3</v>
      </c>
      <c r="BG11" s="73">
        <f>IF(BC11/BD11+(BE11-$E11)/(14.7-BF11)&lt;0,0,BC11/BD11+(BE11-$E11)/(14.7-BF11))</f>
        <v>2.2811888004276384E-2</v>
      </c>
      <c r="BH11" s="73">
        <f>1/(1+0.053*BF11*$H11)</f>
        <v>0.9938199726851964</v>
      </c>
      <c r="BI11" s="73" cm="1">
        <f t="array" ref="BI11">INDEX(FX_Vap,$KJ11,BI$91)</f>
        <v>130</v>
      </c>
      <c r="BJ11" s="73" cm="1">
        <f t="array" ref="BJ11">INDEX(FX_Temps,$KD11,BJ$89)+459.6</f>
        <v>507.87057500000003</v>
      </c>
      <c r="BK11" s="73">
        <f>(BI11*BF11)/(10.731*BJ11)</f>
        <v>1.3170370007990181E-4</v>
      </c>
      <c r="BL11" s="73" cm="1">
        <f t="array" ref="BL11">INDEX(Month_Ref,BL$83,3)*BG11*(PI()/4*$F11^2)*$H11*BH11*BK11</f>
        <v>22.245385133354386</v>
      </c>
      <c r="BM11" s="73" cm="1">
        <f t="array" ref="BM11">INDEX(FX_Input,$KB11,BM$85)</f>
        <v>80568</v>
      </c>
      <c r="BN11" s="73">
        <f>5.614*BM11</f>
        <v>452308.75199999998</v>
      </c>
      <c r="BO11" s="73">
        <f>(BN11/(PI()/4*$F11^2))/(($G11-1)-1)</f>
        <v>1.0524440597152953</v>
      </c>
      <c r="BP11" s="73">
        <f>IF(BO11&gt;36,(180+BO11)/(6*BO11),1)</f>
        <v>1</v>
      </c>
      <c r="BQ11" s="73" cm="1">
        <f t="array" ref="BQ11">IF(OR(INDEX(FX_Vap,$KK11,BQ$90)="Crude Oil",(INDEX(FX_Vap,$KL11,BQ$90)="Crude Oil")),0.75,1)</f>
        <v>1</v>
      </c>
      <c r="BR11" s="73">
        <v>1</v>
      </c>
      <c r="BS11" s="73">
        <f>BN11*BP11*BQ11*BK11*BR11</f>
        <v>59.57073621692269</v>
      </c>
      <c r="BT11" s="74">
        <f>BS11+BL11</f>
        <v>81.816121350277072</v>
      </c>
      <c r="BU11" s="79" t="str" cm="1">
        <f t="array" ref="BU11">IF(ISBLANK(INDEX(FX_Input,$KB11+1,BU$85)),INDEX(FX_Input,$KB11,BU$85),INDEX(FX_Input,$KB11,BU$85)&amp;" &amp; "&amp;INDEX(FX_Input,$KB11+1,BU$85))</f>
        <v>Jet kerosene</v>
      </c>
      <c r="BV11" s="73" cm="1">
        <f t="array" ref="BV11">INDEX(FX_Temps,$KC11+7,BV$89)</f>
        <v>15.639999999999983</v>
      </c>
      <c r="BW11" s="73" cm="1">
        <f t="array" ref="BW11">INDEX(FX_Temps,$KC11+13,BW$89)+459.6</f>
        <v>511.29869999999994</v>
      </c>
      <c r="BX11" s="73" cm="1">
        <f t="array" ref="BX11">INDEX(FX_Vap,$KG11,BX$91)-INDEX(FX_Vap,$KH11,BX$91)</f>
        <v>1.1058961440241618E-3</v>
      </c>
      <c r="BY11" s="73" cm="1">
        <f t="array" ref="BY11">IF(BU11="Out of Service",0,INDEX(FX_Vap,$KI11,BY$91))</f>
        <v>6.2124720487193742E-3</v>
      </c>
      <c r="BZ11" s="73">
        <f>IF(BV11/BW11+(BX11-$E11)/(14.7-BY11)&lt;0,0,BV11/BW11+(BX11-$E11)/(14.7-BY11))</f>
        <v>2.6580677742499288E-2</v>
      </c>
      <c r="CA11" s="73">
        <f>1/(1+0.053*BY11*$H11)</f>
        <v>0.9930518183690531</v>
      </c>
      <c r="CB11" s="73" cm="1">
        <f t="array" ref="CB11">INDEX(FX_Vap,$KJ11,CB$91)</f>
        <v>130</v>
      </c>
      <c r="CC11" s="73" cm="1">
        <f t="array" ref="CC11">INDEX(FX_Temps,$KD11,CC$89)+459.6</f>
        <v>511.29869999999994</v>
      </c>
      <c r="CD11" s="73">
        <f>(CB11*BY11)/(10.731*CC11)</f>
        <v>1.4719495213728575E-4</v>
      </c>
      <c r="CE11" s="73" cm="1">
        <f t="array" ref="CE11">INDEX(Month_Ref,CE$83,3)*BZ11*(PI()/4*$F11^2)*$H11*CA11*CD11</f>
        <v>28.013246345382555</v>
      </c>
      <c r="CF11" s="73" cm="1">
        <f t="array" ref="CF11">INDEX(FX_Input,$KB11,CF$85)</f>
        <v>80568</v>
      </c>
      <c r="CG11" s="73">
        <f>5.614*CF11</f>
        <v>452308.75199999998</v>
      </c>
      <c r="CH11" s="73">
        <f>(CG11/(PI()/4*$F11^2))/(($G11-1)-1)</f>
        <v>1.0524440597152953</v>
      </c>
      <c r="CI11" s="73">
        <f>IF(CH11&gt;36,(180+CH11)/(6*CH11),1)</f>
        <v>1</v>
      </c>
      <c r="CJ11" s="73" cm="1">
        <f t="array" ref="CJ11">IF(OR(INDEX(FX_Vap,$KK11,CJ$90)="Crude Oil",(INDEX(FX_Vap,$KL11,CJ$90)="Crude Oil")),0.75,1)</f>
        <v>1</v>
      </c>
      <c r="CK11" s="73">
        <v>1</v>
      </c>
      <c r="CL11" s="73">
        <f>CG11*CI11*CJ11*CD11*CK11</f>
        <v>66.577565101915454</v>
      </c>
      <c r="CM11" s="74">
        <f>CL11+CE11</f>
        <v>94.590811447298009</v>
      </c>
      <c r="CN11" s="79" t="str" cm="1">
        <f t="array" ref="CN11">IF(ISBLANK(INDEX(FX_Input,$KB11+1,CN$85)),INDEX(FX_Input,$KB11,CN$85),INDEX(FX_Input,$KB11,CN$85)&amp;" &amp; "&amp;INDEX(FX_Input,$KB11+1,CN$85))</f>
        <v>Jet kerosene</v>
      </c>
      <c r="CO11" s="73" cm="1">
        <f t="array" ref="CO11">INDEX(FX_Temps,$KC11+7,CO$89)</f>
        <v>16.994999999999969</v>
      </c>
      <c r="CP11" s="73" cm="1">
        <f t="array" ref="CP11">INDEX(FX_Temps,$KC11+13,CP$89)+459.6</f>
        <v>516.5540749999999</v>
      </c>
      <c r="CQ11" s="73" cm="1">
        <f t="array" ref="CQ11">INDEX(FX_Vap,$KG11,CQ$91)-INDEX(FX_Vap,$KH11,CQ$91)</f>
        <v>1.2769509865756092E-3</v>
      </c>
      <c r="CR11" s="73" cm="1">
        <f t="array" ref="CR11">IF(CN11="Out of Service",0,INDEX(FX_Vap,$KI11,CR$91))</f>
        <v>7.4209663387537275E-3</v>
      </c>
      <c r="CS11" s="73">
        <f>IF(CO11/CP11+(CQ11-$E11)/(14.7-CR11)&lt;0,0,CO11/CP11+(CQ11-$E11)/(14.7-CR11))</f>
        <v>2.8903935164848002E-2</v>
      </c>
      <c r="CT11" s="73">
        <f>1/(1+0.053*CR11*$H11)</f>
        <v>0.9917114115505129</v>
      </c>
      <c r="CU11" s="73" cm="1">
        <f t="array" ref="CU11">INDEX(FX_Vap,$KJ11,CU$91)</f>
        <v>130</v>
      </c>
      <c r="CV11" s="73" cm="1">
        <f t="array" ref="CV11">INDEX(FX_Temps,$KD11,CV$89)+459.6</f>
        <v>516.5540749999999</v>
      </c>
      <c r="CW11" s="73">
        <f>(CU11*CR11)/(10.731*CV11)</f>
        <v>1.7403950007616097E-4</v>
      </c>
      <c r="CX11" s="73" cm="1">
        <f t="array" ref="CX11">INDEX(Month_Ref,CX$83,3)*CS11*(PI()/4*$F11^2)*$H11*CT11*CW11</f>
        <v>37.167479781102465</v>
      </c>
      <c r="CY11" s="73" cm="1">
        <f t="array" ref="CY11">INDEX(FX_Input,$KB11,CY$85)</f>
        <v>80568</v>
      </c>
      <c r="CZ11" s="73">
        <f>5.614*CY11</f>
        <v>452308.75199999998</v>
      </c>
      <c r="DA11" s="73">
        <f>(CZ11/(PI()/4*$F11^2))/(($G11-1)-1)</f>
        <v>1.0524440597152953</v>
      </c>
      <c r="DB11" s="73">
        <f>IF(DA11&gt;36,(180+DA11)/(6*DA11),1)</f>
        <v>1</v>
      </c>
      <c r="DC11" s="73" cm="1">
        <f t="array" ref="DC11">IF(OR(INDEX(FX_Vap,$KK11,DC$90)="Crude Oil",(INDEX(FX_Vap,$KL11,DC$90)="Crude Oil")),0.75,1)</f>
        <v>1</v>
      </c>
      <c r="DD11" s="73">
        <v>1</v>
      </c>
      <c r="DE11" s="73">
        <f>CZ11*DB11*DC11*CW11*DD11</f>
        <v>78.719589078152268</v>
      </c>
      <c r="DF11" s="74">
        <f>DE11+CX11</f>
        <v>115.88706885925473</v>
      </c>
      <c r="DG11" s="79" t="str" cm="1">
        <f t="array" ref="DG11">IF(ISBLANK(INDEX(FX_Input,$KB11+1,DG$85)),INDEX(FX_Input,$KB11,DG$85),INDEX(FX_Input,$KB11,DG$85)&amp;" &amp; "&amp;INDEX(FX_Input,$KB11+1,DG$85))</f>
        <v>Jet kerosene</v>
      </c>
      <c r="DH11" s="73" cm="1">
        <f t="array" ref="DH11">INDEX(FX_Temps,$KC11+7,DH$89)</f>
        <v>16.885000000000041</v>
      </c>
      <c r="DI11" s="73" cm="1">
        <f t="array" ref="DI11">INDEX(FX_Temps,$KC11+13,DI$89)+459.6</f>
        <v>520.5768250000001</v>
      </c>
      <c r="DJ11" s="73" cm="1">
        <f t="array" ref="DJ11">INDEX(FX_Vap,$KG11,DJ$91)-INDEX(FX_Vap,$KH11,DJ$91)</f>
        <v>1.3484653740421003E-3</v>
      </c>
      <c r="DK11" s="73" cm="1">
        <f t="array" ref="DK11">IF(DG11="Out of Service",0,INDEX(FX_Vap,$KI11,DK$91))</f>
        <v>8.4819819298252285E-3</v>
      </c>
      <c r="DL11" s="73">
        <f>IF(DH11/DI11+(DJ11-$E11)/(14.7-DK11)&lt;0,0,DH11/DI11+(DJ11-$E11)/(14.7-DK11))</f>
        <v>2.8442970354993463E-2</v>
      </c>
      <c r="DM11" s="73">
        <f>1/(1+0.053*DK11*$H11)</f>
        <v>0.99053756094355561</v>
      </c>
      <c r="DN11" s="73" cm="1">
        <f t="array" ref="DN11">INDEX(FX_Vap,$KJ11,DN$91)</f>
        <v>130</v>
      </c>
      <c r="DO11" s="73" cm="1">
        <f t="array" ref="DO11">INDEX(FX_Temps,$KD11,DO$89)+459.6</f>
        <v>520.5768250000001</v>
      </c>
      <c r="DP11" s="73">
        <f>(DN11*DK11)/(10.731*DO11)</f>
        <v>1.9738569267093546E-4</v>
      </c>
      <c r="DQ11" s="73" cm="1">
        <f t="array" ref="DQ11">INDEX(Month_Ref,DQ$83,3)*DL11*(PI()/4*$F11^2)*$H11*DM11*DP11</f>
        <v>40.095361161283854</v>
      </c>
      <c r="DR11" s="73" cm="1">
        <f t="array" ref="DR11">INDEX(FX_Input,$KB11,DR$85)</f>
        <v>80568</v>
      </c>
      <c r="DS11" s="73">
        <f>5.614*DR11</f>
        <v>452308.75199999998</v>
      </c>
      <c r="DT11" s="73">
        <f>(DS11/(PI()/4*$F11^2))/(($G11-1)-1)</f>
        <v>1.0524440597152953</v>
      </c>
      <c r="DU11" s="73">
        <f>IF(DT11&gt;36,(180+DT11)/(6*DT11),1)</f>
        <v>1</v>
      </c>
      <c r="DV11" s="73" cm="1">
        <f t="array" ref="DV11">IF(OR(INDEX(FX_Vap,$KK11,DV$90)="Crude Oil",(INDEX(FX_Vap,$KL11,DV$90)="Crude Oil")),0.75,1)</f>
        <v>1</v>
      </c>
      <c r="DW11" s="73">
        <v>1</v>
      </c>
      <c r="DX11" s="73">
        <f>DS11*DU11*DV11*DP11*DW11</f>
        <v>89.279276314646353</v>
      </c>
      <c r="DY11" s="74">
        <f>DX11+DQ11</f>
        <v>129.3746374759302</v>
      </c>
      <c r="DZ11" s="79" t="str" cm="1">
        <f t="array" ref="DZ11">IF(ISBLANK(INDEX(FX_Input,$KB11+1,DZ$85)),INDEX(FX_Input,$KB11,DZ$85),INDEX(FX_Input,$KB11,DZ$85)&amp;" &amp; "&amp;INDEX(FX_Input,$KB11+1,DZ$85))</f>
        <v>Jet kerosene</v>
      </c>
      <c r="EA11" s="73" cm="1">
        <f t="array" ref="EA11">INDEX(FX_Temps,$KC11+7,EA$89)</f>
        <v>17.42999999999995</v>
      </c>
      <c r="EB11" s="73" cm="1">
        <f t="array" ref="EB11">INDEX(FX_Temps,$KC11+13,EB$89)+459.6</f>
        <v>524.27729999999985</v>
      </c>
      <c r="EC11" s="73" cm="1">
        <f t="array" ref="EC11">INDEX(FX_Vap,$KG11,EC$91)-INDEX(FX_Vap,$KH11,EC$91)</f>
        <v>1.5227758159827732E-3</v>
      </c>
      <c r="ED11" s="73" cm="1">
        <f t="array" ref="ED11">IF(DZ11="Out of Service",0,INDEX(FX_Vap,$KI11,ED$91))</f>
        <v>9.5741064128135375E-3</v>
      </c>
      <c r="EE11" s="73">
        <f>IF(EA11/EB11+(EC11-$E11)/(14.7-ED11)&lt;0,0,EA11/EB11+(EC11-$E11)/(14.7-ED11))</f>
        <v>2.9265130122321317E-2</v>
      </c>
      <c r="EF11" s="73">
        <f>1/(1+0.053*ED11*$H11)</f>
        <v>0.9893321918922483</v>
      </c>
      <c r="EG11" s="73" cm="1">
        <f t="array" ref="EG11">INDEX(FX_Vap,$KJ11,EG$91)</f>
        <v>130</v>
      </c>
      <c r="EH11" s="73" cm="1">
        <f t="array" ref="EH11">INDEX(FX_Temps,$KD11,EH$89)+459.6</f>
        <v>524.27729999999985</v>
      </c>
      <c r="EI11" s="73">
        <f>(EG11*ED11)/(10.731*EH11)</f>
        <v>2.2122813261247964E-4</v>
      </c>
      <c r="EJ11" s="73" cm="1">
        <f t="array" ref="EJ11">INDEX(Month_Ref,EJ$83,3)*EE11*(PI()/4*$F11^2)*$H11*EF11*EI11</f>
        <v>47.720606586844745</v>
      </c>
      <c r="EK11" s="73" cm="1">
        <f t="array" ref="EK11">INDEX(FX_Input,$KB11,EK$85)</f>
        <v>80568</v>
      </c>
      <c r="EL11" s="73">
        <f>5.614*EK11</f>
        <v>452308.75199999998</v>
      </c>
      <c r="EM11" s="73">
        <f>(EL11/(PI()/4*$F11^2))/(($G11-1)-1)</f>
        <v>1.0524440597152953</v>
      </c>
      <c r="EN11" s="73">
        <f>IF(EM11&gt;36,(180+EM11)/(6*EM11),1)</f>
        <v>1</v>
      </c>
      <c r="EO11" s="73" cm="1">
        <f t="array" ref="EO11">IF(OR(INDEX(FX_Vap,$KK11,EO$90)="Crude Oil",(INDEX(FX_Vap,$KL11,EO$90)="Crude Oil")),0.75,1)</f>
        <v>1</v>
      </c>
      <c r="EP11" s="73">
        <v>1</v>
      </c>
      <c r="EQ11" s="73">
        <f>EL11*EN11*EO11*EI11*EP11</f>
        <v>100.06342056924116</v>
      </c>
      <c r="ER11" s="74">
        <f>EQ11+EJ11</f>
        <v>147.7840271560859</v>
      </c>
      <c r="ES11" s="79" t="str" cm="1">
        <f t="array" ref="ES11">IF(ISBLANK(INDEX(FX_Input,$KB11+1,ES$85)),INDEX(FX_Input,$KB11,ES$85),INDEX(FX_Input,$KB11,ES$85)&amp;" &amp; "&amp;INDEX(FX_Input,$KB11+1,ES$85))</f>
        <v>Jet kerosene</v>
      </c>
      <c r="ET11" s="73" cm="1">
        <f t="array" ref="ET11">INDEX(FX_Temps,$KC11+7,ET$89)</f>
        <v>16.980000000000015</v>
      </c>
      <c r="EU11" s="73" cm="1">
        <f t="array" ref="EU11">INDEX(FX_Temps,$KC11+13,EU$89)+459.6</f>
        <v>524.19269999999995</v>
      </c>
      <c r="EV11" s="73" cm="1">
        <f t="array" ref="EV11">INDEX(FX_Vap,$KG11,EV$91)-INDEX(FX_Vap,$KH11,EV$91)</f>
        <v>1.6347701028187334E-3</v>
      </c>
      <c r="EW11" s="73" cm="1">
        <f t="array" ref="EW11">IF(ES11="Out of Service",0,INDEX(FX_Vap,$KI11,EW$91))</f>
        <v>9.5478148180509845E-3</v>
      </c>
      <c r="EX11" s="73">
        <f>IF(ET11/EU11+(EV11-$E11)/(14.7-EW11)&lt;0,0,ET11/EU11+(EV11-$E11)/(14.7-EW11))</f>
        <v>2.8419663497525748E-2</v>
      </c>
      <c r="EY11" s="73">
        <f>1/(1+0.053*EW11*$H11)</f>
        <v>0.9893611752527206</v>
      </c>
      <c r="EZ11" s="73" cm="1">
        <f t="array" ref="EZ11">INDEX(FX_Vap,$KJ11,EZ$91)</f>
        <v>130</v>
      </c>
      <c r="FA11" s="73" cm="1">
        <f t="array" ref="FA11">INDEX(FX_Temps,$KD11,FA$89)+459.6</f>
        <v>524.19269999999995</v>
      </c>
      <c r="FB11" s="73">
        <f>(EZ11*EW11)/(10.731*FA11)</f>
        <v>2.2065622096450189E-4</v>
      </c>
      <c r="FC11" s="73" cm="1">
        <f t="array" ref="FC11">INDEX(Month_Ref,FC$83,3)*EX11*(PI()/4*$F11^2)*$H11*EY11*FB11</f>
        <v>46.223515538491618</v>
      </c>
      <c r="FD11" s="73" cm="1">
        <f t="array" ref="FD11">INDEX(FX_Input,$KB11,FD$85)</f>
        <v>80568</v>
      </c>
      <c r="FE11" s="73">
        <f>5.614*FD11</f>
        <v>452308.75199999998</v>
      </c>
      <c r="FF11" s="73">
        <f>(FE11/(PI()/4*$F11^2))/(($G11-1)-1)</f>
        <v>1.0524440597152953</v>
      </c>
      <c r="FG11" s="73">
        <f>IF(FF11&gt;36,(180+FF11)/(6*FF11),1)</f>
        <v>1</v>
      </c>
      <c r="FH11" s="73" cm="1">
        <f t="array" ref="FH11">IF(OR(INDEX(FX_Vap,$KK11,FH$90)="Crude Oil",(INDEX(FX_Vap,$KL11,FH$90)="Crude Oil")),0.75,1)</f>
        <v>1</v>
      </c>
      <c r="FI11" s="73">
        <v>1</v>
      </c>
      <c r="FJ11" s="73">
        <f>FE11*FG11*FH11*FB11*FI11</f>
        <v>99.804739925490082</v>
      </c>
      <c r="FK11" s="74">
        <f>FJ11+FC11</f>
        <v>146.02825546398171</v>
      </c>
      <c r="FL11" s="79" t="str" cm="1">
        <f t="array" ref="FL11">IF(ISBLANK(INDEX(FX_Input,$KB11+1,FL$85)),INDEX(FX_Input,$KB11,FL$85),INDEX(FX_Input,$KB11,FL$85)&amp;" &amp; "&amp;INDEX(FX_Input,$KB11+1,FL$85))</f>
        <v>Jet kerosene</v>
      </c>
      <c r="FM11" s="73" cm="1">
        <f t="array" ref="FM11">INDEX(FX_Temps,$KC11+7,FM$89)</f>
        <v>17.459999999999983</v>
      </c>
      <c r="FN11" s="73" cm="1">
        <f t="array" ref="FN11">INDEX(FX_Temps,$KC11+13,FN$89)+459.6</f>
        <v>521.16010000000006</v>
      </c>
      <c r="FO11" s="73" cm="1">
        <f t="array" ref="FO11">INDEX(FX_Vap,$KG11,FO$91)-INDEX(FX_Vap,$KH11,FO$91)</f>
        <v>1.8182300379836203E-3</v>
      </c>
      <c r="FP11" s="73" cm="1">
        <f t="array" ref="FP11">IF(FL11="Out of Service",0,INDEX(FX_Vap,$KI11,FP$91))</f>
        <v>8.6464528192362108E-3</v>
      </c>
      <c r="FQ11" s="73">
        <f>IF(FM11/FN11+(FO11-$E11)/(14.7-FP11)&lt;0,0,FM11/FN11+(FO11-$E11)/(14.7-FP11))</f>
        <v>2.9541908055768631E-2</v>
      </c>
      <c r="FR11" s="73">
        <f>1/(1+0.053*FP11*$H11)</f>
        <v>0.99035584791618869</v>
      </c>
      <c r="FS11" s="73" cm="1">
        <f t="array" ref="FS11">INDEX(FX_Vap,$KJ11,FS$91)</f>
        <v>130</v>
      </c>
      <c r="FT11" s="73" cm="1">
        <f t="array" ref="FT11">INDEX(FX_Temps,$KD11,FT$89)+459.6</f>
        <v>521.16010000000006</v>
      </c>
      <c r="FU11" s="73">
        <f>(FS11*FP11)/(10.731*FT11)</f>
        <v>2.009879287762041E-4</v>
      </c>
      <c r="FV11" s="73" cm="1">
        <f t="array" ref="FV11">INDEX(Month_Ref,FV$83,3)*FQ11*(PI()/4*$F11^2)*$H11*FR11*FU11</f>
        <v>42.396728870829548</v>
      </c>
      <c r="FW11" s="73" cm="1">
        <f t="array" ref="FW11">INDEX(FX_Input,$KB11,FW$85)</f>
        <v>80568</v>
      </c>
      <c r="FX11" s="73">
        <f>5.614*FW11</f>
        <v>452308.75199999998</v>
      </c>
      <c r="FY11" s="73">
        <f>(FX11/(PI()/4*$F11^2))/(($G11-1)-1)</f>
        <v>1.0524440597152953</v>
      </c>
      <c r="FZ11" s="73">
        <f>IF(FY11&gt;36,(180+FY11)/(6*FY11),1)</f>
        <v>1</v>
      </c>
      <c r="GA11" s="73" cm="1">
        <f t="array" ref="GA11">IF(OR(INDEX(FX_Vap,$KK11,GA$90)="Crude Oil",(INDEX(FX_Vap,$KL11,GA$90)="Crude Oil")),0.75,1)</f>
        <v>1</v>
      </c>
      <c r="GB11" s="73">
        <v>1</v>
      </c>
      <c r="GC11" s="73">
        <f>FX11*FZ11*GA11*FU11*GB11</f>
        <v>90.908599231829754</v>
      </c>
      <c r="GD11" s="74">
        <f>GC11+FV11</f>
        <v>133.3053281026593</v>
      </c>
      <c r="GE11" s="79" t="str" cm="1">
        <f t="array" ref="GE11">IF(ISBLANK(INDEX(FX_Input,$KB11+1,GE$85)),INDEX(FX_Input,$KB11,GE$85),INDEX(FX_Input,$KB11,GE$85)&amp;" &amp; "&amp;INDEX(FX_Input,$KB11+1,GE$85))</f>
        <v>Jet kerosene</v>
      </c>
      <c r="GF11" s="73" cm="1">
        <f t="array" ref="GF11">INDEX(FX_Temps,$KC11+7,GF$89)</f>
        <v>13.929999999999993</v>
      </c>
      <c r="GG11" s="73" cm="1">
        <f t="array" ref="GG11">INDEX(FX_Temps,$KC11+13,GG$89)+459.6</f>
        <v>514.05180000000007</v>
      </c>
      <c r="GH11" s="73" cm="1">
        <f t="array" ref="GH11">INDEX(FX_Vap,$KG11,GH$91)-INDEX(FX_Vap,$KH11,GH$91)</f>
        <v>1.3347759158748732E-3</v>
      </c>
      <c r="GI11" s="73" cm="1">
        <f t="array" ref="GI11">IF(GE11="Out of Service",0,INDEX(FX_Vap,$KI11,GI$91))</f>
        <v>6.8218393379121701E-3</v>
      </c>
      <c r="GJ11" s="73">
        <f>IF(GF11/GG11+(GH11-$E11)/(14.7-GI11)&lt;0,0,GF11/GG11+(GH11-$E11)/(14.7-GI11))</f>
        <v>2.3105751925026341E-2</v>
      </c>
      <c r="GK11" s="73">
        <f>1/(1+0.053*GI11*$H11)</f>
        <v>0.9923754833433297</v>
      </c>
      <c r="GL11" s="73" cm="1">
        <f t="array" ref="GL11">INDEX(FX_Vap,$KJ11,GL$91)</f>
        <v>130</v>
      </c>
      <c r="GM11" s="73" cm="1">
        <f t="array" ref="GM11">INDEX(FX_Temps,$KD11,GM$89)+459.6</f>
        <v>514.05180000000007</v>
      </c>
      <c r="GN11" s="73">
        <f>(GL11*GI11)/(10.731*GM11)</f>
        <v>1.6076731562400743E-4</v>
      </c>
      <c r="GO11" s="73" cm="1">
        <f t="array" ref="GO11">INDEX(Month_Ref,GO$83,3)*GJ11*(PI()/4*$F11^2)*$H11*GK11*GN11</f>
        <v>27.464196308508576</v>
      </c>
      <c r="GP11" s="73" cm="1">
        <f t="array" ref="GP11">INDEX(FX_Input,$KB11,GP$85)</f>
        <v>80568</v>
      </c>
      <c r="GQ11" s="73">
        <f>5.614*GP11</f>
        <v>452308.75199999998</v>
      </c>
      <c r="GR11" s="73">
        <f>(GQ11/(PI()/4*$F11^2))/(($G11-1)-1)</f>
        <v>1.0524440597152953</v>
      </c>
      <c r="GS11" s="73">
        <f>IF(GR11&gt;36,(180+GR11)/(6*GR11),1)</f>
        <v>1</v>
      </c>
      <c r="GT11" s="73" cm="1">
        <f t="array" ref="GT11">IF(OR(INDEX(FX_Vap,$KK11,GT$90)="Crude Oil",(INDEX(FX_Vap,$KL11,GT$90)="Crude Oil")),0.75,1)</f>
        <v>1</v>
      </c>
      <c r="GU11" s="73">
        <v>1</v>
      </c>
      <c r="GV11" s="73">
        <f>GQ11*GS11*GT11*GN11*GU11</f>
        <v>72.716463892284892</v>
      </c>
      <c r="GW11" s="74">
        <f>GV11+GO11</f>
        <v>100.18066020079347</v>
      </c>
      <c r="GX11" s="79" t="str" cm="1">
        <f t="array" ref="GX11">IF(ISBLANK(INDEX(FX_Input,$KB11+1,GX$85)),INDEX(FX_Input,$KB11,GX$85),INDEX(FX_Input,$KB11,GX$85)&amp;" &amp; "&amp;INDEX(FX_Input,$KB11+1,GX$85))</f>
        <v>Jet kerosene</v>
      </c>
      <c r="GY11" s="73" cm="1">
        <f t="array" ref="GY11">INDEX(FX_Temps,$KC11+7,GY$89)</f>
        <v>10.495000000000031</v>
      </c>
      <c r="GZ11" s="73" cm="1">
        <f t="array" ref="GZ11">INDEX(FX_Temps,$KC11+13,GZ$89)+459.6</f>
        <v>507.66772500000002</v>
      </c>
      <c r="HA11" s="73" cm="1">
        <f t="array" ref="HA11">INDEX(FX_Vap,$KG11,HA$91)-INDEX(FX_Vap,$KH11,HA$91)</f>
        <v>9.195178026090425E-4</v>
      </c>
      <c r="HB11" s="73" cm="1">
        <f t="array" ref="HB11">IF(GX11="Out of Service",0,INDEX(FX_Vap,$KI11,HB$91))</f>
        <v>5.4827140055800742E-3</v>
      </c>
      <c r="HC11" s="73">
        <f>IF(GY11/GZ11+(HA11-$E11)/(14.7-HB11)&lt;0,0,GY11/GZ11+(HA11-$E11)/(14.7-HB11))</f>
        <v>1.6652390699251968E-2</v>
      </c>
      <c r="HD11" s="73">
        <f>1/(1+0.053*HB11*$H11)</f>
        <v>0.99386298882234003</v>
      </c>
      <c r="HE11" s="73" cm="1">
        <f t="array" ref="HE11">INDEX(FX_Vap,$KJ11,HE$91)</f>
        <v>130</v>
      </c>
      <c r="HF11" s="73" cm="1">
        <f t="array" ref="HF11">INDEX(FX_Temps,$KD11,HF$89)+459.6</f>
        <v>507.66772500000002</v>
      </c>
      <c r="HG11" s="73">
        <f>(HE11*HB11)/(10.731*HF11)</f>
        <v>1.3083357117100054E-4</v>
      </c>
      <c r="HH11" s="73" cm="1">
        <f t="array" ref="HH11">INDEX(Month_Ref,HH$83,3)*HC11*(PI()/4*$F11^2)*$H11*HD11*HG11</f>
        <v>15.611867909117516</v>
      </c>
      <c r="HI11" s="73" cm="1">
        <f t="array" ref="HI11">INDEX(FX_Input,$KB11,HI$85)</f>
        <v>80568</v>
      </c>
      <c r="HJ11" s="73">
        <f>5.614*HI11</f>
        <v>452308.75199999998</v>
      </c>
      <c r="HK11" s="73">
        <f>(HJ11/(PI()/4*$F11^2))/(($G11-1)-1)</f>
        <v>1.0524440597152953</v>
      </c>
      <c r="HL11" s="73">
        <f>IF(HK11&gt;36,(180+HK11)/(6*HK11),1)</f>
        <v>1</v>
      </c>
      <c r="HM11" s="73" cm="1">
        <f t="array" ref="HM11">IF(OR(INDEX(FX_Vap,$KK11,HM$90)="Crude Oil",(INDEX(FX_Vap,$KL11,HM$90)="Crude Oil")),0.75,1)</f>
        <v>1</v>
      </c>
      <c r="HN11" s="73">
        <v>1</v>
      </c>
      <c r="HO11" s="73">
        <f>HJ11*HL11*HM11*HG11*HN11</f>
        <v>59.17716929605843</v>
      </c>
      <c r="HP11" s="74">
        <f>HO11+HH11</f>
        <v>74.789037205175944</v>
      </c>
      <c r="HQ11" s="79" t="str" cm="1">
        <f t="array" ref="HQ11">IF(ISBLANK(INDEX(FX_Input,$KB11+1,HQ$85)),INDEX(FX_Input,$KB11,HQ$85),INDEX(FX_Input,$KB11,HQ$85)&amp;" &amp; "&amp;INDEX(FX_Input,$KB11+1,HQ$85))</f>
        <v>Jet kerosene</v>
      </c>
      <c r="HR11" s="73" cm="1">
        <f t="array" ref="HR11">INDEX(FX_Temps,$KC11+7,HR$89)</f>
        <v>8.51</v>
      </c>
      <c r="HS11" s="73" cm="1">
        <f t="array" ref="HS11">INDEX(FX_Temps,$KC11+13,HS$89)+459.6</f>
        <v>503.94745000000006</v>
      </c>
      <c r="HT11" s="73" cm="1">
        <f t="array" ref="HT11">INDEX(FX_Vap,$KG11,HT$91)-INDEX(FX_Vap,$KH11,HT$91)</f>
        <v>6.7288136336403261E-4</v>
      </c>
      <c r="HU11" s="73" cm="1">
        <f t="array" ref="HU11">IF(HQ11="Out of Service",0,INDEX(FX_Vap,$KI11,HU$91))</f>
        <v>4.8148298503950734E-3</v>
      </c>
      <c r="HV11" s="73">
        <f>IF(HR11/HS11+(HT11-$E11)/(14.7-HU11)&lt;0,0,HR11/HS11+(HT11-$E11)/(14.7-HU11))</f>
        <v>1.2849500592893781E-2</v>
      </c>
      <c r="HW11" s="73">
        <f>1/(1+0.053*HU11*$H11)</f>
        <v>0.99460654498095313</v>
      </c>
      <c r="HX11" s="73" cm="1">
        <f t="array" ref="HX11">INDEX(FX_Vap,$KJ11,HX$91)</f>
        <v>130</v>
      </c>
      <c r="HY11" s="73" cm="1">
        <f t="array" ref="HY11">INDEX(FX_Temps,$KD11,HY$89)+459.6</f>
        <v>503.94745000000006</v>
      </c>
      <c r="HZ11" s="73">
        <f>(HX11*HU11)/(10.731*HY11)</f>
        <v>1.1574409666728695E-4</v>
      </c>
      <c r="IA11" s="73" cm="1">
        <f t="array" ref="IA11">INDEX(Month_Ref,IA$83,3)*HV11*(PI()/4*$F11^2)*$H11*HW11*HZ11</f>
        <v>11.020705902553273</v>
      </c>
      <c r="IB11" s="73" cm="1">
        <f t="array" ref="IB11">INDEX(FX_Input,$KB11,IB$85)</f>
        <v>80568</v>
      </c>
      <c r="IC11" s="73">
        <f>5.614*IB11</f>
        <v>452308.75199999998</v>
      </c>
      <c r="ID11" s="73">
        <f>(IC11/(PI()/4*$F11^2))/(($G11-1)-1)</f>
        <v>1.0524440597152953</v>
      </c>
      <c r="IE11" s="73">
        <f>IF(ID11&gt;36,(180+ID11)/(6*ID11),1)</f>
        <v>1</v>
      </c>
      <c r="IF11" s="73" cm="1">
        <f t="array" ref="IF11">IF(OR(INDEX(FX_Vap,$KK11,IF$90)="Crude Oil",(INDEX(FX_Vap,$KL11,IF$90)="Crude Oil")),0.75,1)</f>
        <v>1</v>
      </c>
      <c r="IG11" s="73">
        <v>1</v>
      </c>
      <c r="IH11" s="73">
        <f>IC11*IE11*IF11*HZ11*IG11</f>
        <v>52.352067914947916</v>
      </c>
      <c r="II11" s="74">
        <f>IH11+IA11</f>
        <v>63.372773817501191</v>
      </c>
      <c r="IJ11" s="79">
        <f>Z11+AS11+BL11+CE11+CX11+DQ11+EJ11+FC11+FV11+GO11+HH11+IA11</f>
        <v>346.55951032276664</v>
      </c>
      <c r="IK11" s="73">
        <f>IJ11/2000</f>
        <v>0.17327975516138333</v>
      </c>
      <c r="IL11" s="73">
        <f>AG11+AZ11+BS11+CL11+DE11+DX11+EQ11+FJ11+GC11+GV11+HO11+IH11</f>
        <v>877.85499090684357</v>
      </c>
      <c r="IM11" s="73">
        <f>IL11/2000</f>
        <v>0.4389274954534218</v>
      </c>
      <c r="IN11" s="73">
        <f>AH11+BA11+BT11+CM11+DF11+DY11+ER11+FK11+GD11+GW11+HP11+II11</f>
        <v>1224.4145012296101</v>
      </c>
      <c r="IO11" s="74">
        <f>IN11/2000</f>
        <v>0.61220725061480508</v>
      </c>
      <c r="KB11" s="43">
        <v>1</v>
      </c>
      <c r="KC11" s="43">
        <v>1</v>
      </c>
      <c r="KD11" s="43">
        <v>14</v>
      </c>
      <c r="KE11" s="43">
        <v>1</v>
      </c>
      <c r="KF11" s="43">
        <v>1</v>
      </c>
      <c r="KG11" s="43">
        <v>24</v>
      </c>
      <c r="KH11" s="43">
        <v>19</v>
      </c>
      <c r="KI11" s="43">
        <v>29</v>
      </c>
      <c r="KJ11" s="43">
        <v>34</v>
      </c>
      <c r="KK11" s="43">
        <v>5</v>
      </c>
      <c r="KL11" s="43">
        <v>7</v>
      </c>
    </row>
    <row r="12" spans="2:298" x14ac:dyDescent="0.4">
      <c r="B12" s="43" t="str" cm="1">
        <f t="array" ref="B12">INDEX(FX_Input,$KB12,B$85)</f>
        <v>FX - 2</v>
      </c>
      <c r="C12" s="93" t="str" cm="1">
        <f t="array" ref="C12">INDEX(FX_Input,$KB12,C$85)</f>
        <v>FIXTANK 67</v>
      </c>
      <c r="D12" s="80">
        <f t="shared" si="0"/>
        <v>240331.83799961917</v>
      </c>
      <c r="E12" s="63" cm="1">
        <f t="array" ref="E12">IF(ISBLANK(INDEX(FX_Input,$KB12,$E$85)),0.03,INDEX(FX_Input,$KB12,$E$85))-IF(ISBLANK(INDEX(FX_Input,$KB12,$E$86)),-0.03,INDEX(FX_Input,$KB12,$E$86))</f>
        <v>0.06</v>
      </c>
      <c r="F12" s="63" cm="1">
        <f t="array" ref="F12">IF(INDEX(FX_Input,$KB12,F$85)="Vertical",INDEX(FX_Input,$KB12,F$86),SQRT((INDEX(FX_Input,$KB12,F$86)*INDEX(FX_Input,$KB12,F$87))/(PI()/4)))</f>
        <v>120</v>
      </c>
      <c r="G12" s="63" cm="1">
        <f t="array" ref="G12">IF(INDEX(FX_Input,$KB12,G$85)="Vertical",INDEX(FX_Input,$KB12,G$86),INDEX(FX_Input,$KB12,G$87)*PI()/4)</f>
        <v>40</v>
      </c>
      <c r="H12" s="63" cm="1">
        <f t="array" ref="H12">IF(INDEX(FX_Input,$KB12,H$85)="Vertical",G12-G12/2+J12,G12/2)</f>
        <v>21.25</v>
      </c>
      <c r="I12" s="63" cm="1">
        <f t="array" ref="I12">IF(INDEX(FX_Input,$KB12,F$85)="Horizontal","N/A",IF(INDEX(FX_Input,$KB12,I$86)="Cone",IF(ISBLANK(INDEX(FX_Input,$KB12,I$87)),0.0625,INDEX(FX_Input,$KB12,I$87))*F12/2,F12/2-SQRT((F12/2)^2-(INDEX(FX_Input,$KB12,I$88)^2))))</f>
        <v>3.75</v>
      </c>
      <c r="J12" s="63" cm="1">
        <f t="array" ref="J12">IF(INDEX(FX_Input,$KB12,J$85)="Horizontal","N/A",IF(INDEX(FX_Input,$KB12,J$86)="Cone",I12/3,I12*(1/2+(1/6)*(I12/(F12/2))^2)))</f>
        <v>1.25</v>
      </c>
      <c r="K12" s="63">
        <f t="shared" si="1"/>
        <v>39</v>
      </c>
      <c r="L12" s="63">
        <v>1</v>
      </c>
      <c r="M12" s="63" cm="1">
        <f t="array" ref="M12">INDEX(Tbl_71_6,MATCH(INDEX(FX_Input,$KB12,M$85),Paint_Color,0),VLOOKUP(INDEX(FX_Input,$KB12,M$86),Paint_Cond_Column,2,FALSE))</f>
        <v>0.25</v>
      </c>
      <c r="N12" s="63" cm="1">
        <f t="array" ref="N12">INDEX(Tbl_71_6,MATCH(INDEX(FX_Input,$KB12,N$85),Paint_Color,0),VLOOKUP(INDEX(FX_Input,$KB12,N$86),Paint_Cond_Column,2,FALSE))</f>
        <v>0.25</v>
      </c>
      <c r="O12" s="64">
        <f t="shared" ref="O12:O65" si="2">IF(OR(ISNUMBER(N12),ISNUMBER(M12)),IFERROR((M12+N12)/2,"Partially Insulated"), "Insulated")</f>
        <v>0.25</v>
      </c>
      <c r="P12" s="80" t="str" cm="1">
        <f t="array" ref="P12">IF(ISBLANK(INDEX(FX_Input,$KB12+1,P$85)),INDEX(FX_Input,$KB12,P$85),INDEX(FX_Input,$KB12,P$85)&amp;" &amp; "&amp;INDEX(FX_Input,$KB12+1,P$85))</f>
        <v>Jet kerosene</v>
      </c>
      <c r="Q12" s="63" cm="1">
        <f t="array" ref="Q12">INDEX(FX_Temps,$KC12+7,Q$89)</f>
        <v>8.9950000000000241</v>
      </c>
      <c r="R12" s="63" cm="1">
        <f t="array" ref="R12">INDEX(FX_Temps,$KC12+13,R$89)+459.6</f>
        <v>504.34892500000001</v>
      </c>
      <c r="S12" s="63" cm="1">
        <f t="array" ref="S12">INDEX(FX_Vap,$KG12,S$91)-INDEX(FX_Vap,$KH12,S$91)</f>
        <v>7.0794953556663209E-4</v>
      </c>
      <c r="T12" s="73" cm="1">
        <f t="array" ref="T12">IF(P12="Out of Service",0,INDEX(FX_Vap,$KI12,T$91))</f>
        <v>4.883250638471285E-3</v>
      </c>
      <c r="U12" s="63">
        <f t="shared" ref="U12:U65" si="3">IF(Q12/R12+(S12-$E12)/(14.7-T12)&lt;0,0,Q12/R12+(S12-$E12)/(14.7-T12))</f>
        <v>1.3800061771949319E-2</v>
      </c>
      <c r="V12" s="63">
        <f t="shared" ref="V12:V65" si="4">1/(1+0.053*T12*$H12)</f>
        <v>0.9945303208964108</v>
      </c>
      <c r="W12" s="63" cm="1">
        <f t="array" ref="W12">INDEX(FX_Vap,$KJ12,W$91)</f>
        <v>130</v>
      </c>
      <c r="X12" s="63" cm="1">
        <f t="array" ref="X12">INDEX(FX_Temps,$KD12,X$89)+459.6</f>
        <v>504.34892500000001</v>
      </c>
      <c r="Y12" s="63">
        <f t="shared" ref="Y12:Y65" si="5">(W12*T12)/(10.731*X12)</f>
        <v>1.1729542507733997E-4</v>
      </c>
      <c r="Z12" s="63" cm="1">
        <f t="array" ref="Z12">INDEX(Month_Ref,Z$83,3)*U12*(PI()/4*$F12^2)*$H12*V12*Y12</f>
        <v>11.99369868175136</v>
      </c>
      <c r="AA12" s="63" cm="1">
        <f t="array" ref="AA12">INDEX(FX_Input,$KB12,AA$85)</f>
        <v>80568</v>
      </c>
      <c r="AB12" s="63">
        <f t="shared" ref="AB12:AB65" si="6">5.614*AA12</f>
        <v>452308.75199999998</v>
      </c>
      <c r="AC12" s="63">
        <f t="shared" ref="AC12:AC65" si="7">(AB12/(PI()/4*F12^2))/((G12-1)-1)</f>
        <v>1.0524440597152953</v>
      </c>
      <c r="AD12" s="63">
        <f t="shared" ref="AD12:AD65" si="8">IF(AC12&gt;36,(180+AC12)/(6*AC12),1)</f>
        <v>1</v>
      </c>
      <c r="AE12" s="63" cm="1">
        <f t="array" ref="AE12">IF(OR(INDEX(FX_Vap,$KK12,AE$90)="Crude Oil",(INDEX(FX_Vap,$KL12,AE$90)="Crude Oil")),0.75,1)</f>
        <v>1</v>
      </c>
      <c r="AF12" s="63">
        <f>AF11</f>
        <v>1</v>
      </c>
      <c r="AG12" s="63">
        <f t="shared" ref="AG12:AG65" si="9">AB12*AD12*AE12*Y12*AF12</f>
        <v>53.053747332041141</v>
      </c>
      <c r="AH12" s="64">
        <f t="shared" ref="AH12:AH65" si="10">AG12+Z12</f>
        <v>65.047446013792495</v>
      </c>
      <c r="AI12" s="80" t="str" cm="1">
        <f t="array" ref="AI12">IF(ISBLANK(INDEX(FX_Input,$KB12+1,AI$85)),INDEX(FX_Input,$KB12,AI$85),INDEX(FX_Input,$KB12,AI$85)&amp;" &amp; "&amp;INDEX(FX_Input,$KB12+1,AI$85))</f>
        <v>Jet kerosene</v>
      </c>
      <c r="AJ12" s="63" cm="1">
        <f t="array" ref="AJ12">INDEX(FX_Temps,$KC12+7,AJ$89)</f>
        <v>12.239999999999991</v>
      </c>
      <c r="AK12" s="63" cm="1">
        <f t="array" ref="AK12">INDEX(FX_Temps,$KC12+13,AK$89)+459.6</f>
        <v>505.78500000000008</v>
      </c>
      <c r="AL12" s="63" cm="1">
        <f t="array" ref="AL12">INDEX(FX_Vap,$KG12,AL$91)-INDEX(FX_Vap,$KH12,AL$91)</f>
        <v>9.3413357178260322E-4</v>
      </c>
      <c r="AM12" s="73" cm="1">
        <f t="array" ref="AM12">IF(AI12="Out of Service",0,INDEX(FX_Vap,$KI12,AM$91))</f>
        <v>5.1351067062407989E-3</v>
      </c>
      <c r="AN12" s="63">
        <f t="shared" ref="AN12:AN65" si="11">IF(AJ12/AK12+(AL12-$E12)/(14.7-AM12)&lt;0,0,AJ12/AK12+(AL12-$E12)/(14.7-AM12))</f>
        <v>2.0180515663370695E-2</v>
      </c>
      <c r="AO12" s="63">
        <f t="shared" ref="AO12:AO65" si="12">1/(1+0.053*AM12*$H12)</f>
        <v>0.99424984161816954</v>
      </c>
      <c r="AP12" s="63" cm="1">
        <f t="array" ref="AP12">INDEX(FX_Vap,$KJ12,AP$91)</f>
        <v>130</v>
      </c>
      <c r="AQ12" s="63" cm="1">
        <f t="array" ref="AQ12">INDEX(FX_Temps,$KD12,AQ$89)+459.6</f>
        <v>505.78500000000008</v>
      </c>
      <c r="AR12" s="63">
        <f t="shared" ref="AR12:AR65" si="13">(AP12*AM12)/(10.731*AQ12)</f>
        <v>1.2299478130220538E-4</v>
      </c>
      <c r="AS12" s="63" cm="1">
        <f t="array" ref="AS12">INDEX(Month_Ref,AS$83,3)*AN12*(PI()/4*$F12^2)*$H12*AO12*AR12</f>
        <v>16.606718103546751</v>
      </c>
      <c r="AT12" s="63" cm="1">
        <f t="array" ref="AT12">INDEX(FX_Input,$KB12,AT$85)</f>
        <v>80568</v>
      </c>
      <c r="AU12" s="63">
        <f t="shared" ref="AU12:AU65" si="14">5.614*AT12</f>
        <v>452308.75199999998</v>
      </c>
      <c r="AV12" s="63">
        <f t="shared" ref="AV12:AV65" si="15">(AU12/(PI()/4*$F12^2))/(($G12-1)-1)</f>
        <v>1.0524440597152953</v>
      </c>
      <c r="AW12" s="63">
        <f t="shared" ref="AW12:AW65" si="16">IF(AV12&gt;36,(180+AV12)/(6*AV12),1)</f>
        <v>1</v>
      </c>
      <c r="AX12" s="63" cm="1">
        <f t="array" ref="AX12">IF(OR(INDEX(FX_Vap,$KK12,AX$90)="Crude Oil",(INDEX(FX_Vap,$KL12,AX$90)="Crude Oil")),0.75,1)</f>
        <v>1</v>
      </c>
      <c r="AY12" s="63">
        <f>AY11</f>
        <v>1</v>
      </c>
      <c r="AZ12" s="63">
        <f t="shared" ref="AZ12:AZ65" si="17">AU12*AW12*AX12*AR12*AY12</f>
        <v>55.631616033313449</v>
      </c>
      <c r="BA12" s="64">
        <f t="shared" ref="BA12:BA65" si="18">AZ12+AS12</f>
        <v>72.238334136860203</v>
      </c>
      <c r="BB12" s="80" t="str" cm="1">
        <f t="array" ref="BB12">IF(ISBLANK(INDEX(FX_Input,$KB12+1,BB$85)),INDEX(FX_Input,$KB12,BB$85),INDEX(FX_Input,$KB12,BB$85)&amp;" &amp; "&amp;INDEX(FX_Input,$KB12+1,BB$85))</f>
        <v>Jet kerosene</v>
      </c>
      <c r="BC12" s="63" cm="1">
        <f t="array" ref="BC12">INDEX(FX_Temps,$KC12+7,BC$89)</f>
        <v>13.62500000000003</v>
      </c>
      <c r="BD12" s="63" cm="1">
        <f t="array" ref="BD12">INDEX(FX_Temps,$KC12+13,BD$89)+459.6</f>
        <v>507.87057500000003</v>
      </c>
      <c r="BE12" s="63" cm="1">
        <f t="array" ref="BE12">INDEX(FX_Vap,$KG12,BE$91)-INDEX(FX_Vap,$KH12,BE$91)</f>
        <v>9.8971985989682477E-4</v>
      </c>
      <c r="BF12" s="73" cm="1">
        <f t="array" ref="BF12">IF(BB12="Out of Service",0,INDEX(FX_Vap,$KI12,BF$91))</f>
        <v>5.5213829543467952E-3</v>
      </c>
      <c r="BG12" s="63">
        <f t="shared" ref="BG12:BG65" si="19">IF(BC12/BD12+(BE12-$E12)/(14.7-BF12)&lt;0,0,BC12/BD12+(BE12-$E12)/(14.7-BF12))</f>
        <v>2.2811888004276384E-2</v>
      </c>
      <c r="BH12" s="63">
        <f t="shared" ref="BH12:BH65" si="20">1/(1+0.053*BF12*$H12)</f>
        <v>0.9938199726851964</v>
      </c>
      <c r="BI12" s="63" cm="1">
        <f t="array" ref="BI12">INDEX(FX_Vap,$KJ12,BI$91)</f>
        <v>130</v>
      </c>
      <c r="BJ12" s="63" cm="1">
        <f t="array" ref="BJ12">INDEX(FX_Temps,$KD12,BJ$89)+459.6</f>
        <v>507.87057500000003</v>
      </c>
      <c r="BK12" s="63">
        <f t="shared" ref="BK12:BK65" si="21">(BI12*BF12)/(10.731*BJ12)</f>
        <v>1.3170370007990181E-4</v>
      </c>
      <c r="BL12" s="63" cm="1">
        <f t="array" ref="BL12">INDEX(Month_Ref,BL$83,3)*BG12*(PI()/4*$F12^2)*$H12*BH12*BK12</f>
        <v>22.245385133354386</v>
      </c>
      <c r="BM12" s="63" cm="1">
        <f t="array" ref="BM12">INDEX(FX_Input,$KB12,BM$85)</f>
        <v>80568</v>
      </c>
      <c r="BN12" s="63">
        <f t="shared" ref="BN12:BN65" si="22">5.614*BM12</f>
        <v>452308.75199999998</v>
      </c>
      <c r="BO12" s="63">
        <f t="shared" ref="BO12:BO65" si="23">(BN12/(PI()/4*$F12^2))/(($G12-1)-1)</f>
        <v>1.0524440597152953</v>
      </c>
      <c r="BP12" s="63">
        <f t="shared" ref="BP12:BP65" si="24">IF(BO12&gt;36,(180+BO12)/(6*BO12),1)</f>
        <v>1</v>
      </c>
      <c r="BQ12" s="63" cm="1">
        <f t="array" ref="BQ12">IF(OR(INDEX(FX_Vap,$KK12,BQ$90)="Crude Oil",(INDEX(FX_Vap,$KL12,BQ$90)="Crude Oil")),0.75,1)</f>
        <v>1</v>
      </c>
      <c r="BR12" s="63">
        <f>BR11</f>
        <v>1</v>
      </c>
      <c r="BS12" s="63">
        <f t="shared" ref="BS12:BS65" si="25">BN12*BP12*BQ12*BK12*BR12</f>
        <v>59.57073621692269</v>
      </c>
      <c r="BT12" s="64">
        <f t="shared" ref="BT12:BT65" si="26">BS12+BL12</f>
        <v>81.816121350277072</v>
      </c>
      <c r="BU12" s="80" t="str" cm="1">
        <f t="array" ref="BU12">IF(ISBLANK(INDEX(FX_Input,$KB12+1,BU$85)),INDEX(FX_Input,$KB12,BU$85),INDEX(FX_Input,$KB12,BU$85)&amp;" &amp; "&amp;INDEX(FX_Input,$KB12+1,BU$85))</f>
        <v>Jet kerosene</v>
      </c>
      <c r="BV12" s="63" cm="1">
        <f t="array" ref="BV12">INDEX(FX_Temps,$KC12+7,BV$89)</f>
        <v>15.639999999999983</v>
      </c>
      <c r="BW12" s="63" cm="1">
        <f t="array" ref="BW12">INDEX(FX_Temps,$KC12+13,BW$89)+459.6</f>
        <v>511.29869999999994</v>
      </c>
      <c r="BX12" s="63" cm="1">
        <f t="array" ref="BX12">INDEX(FX_Vap,$KG12,BX$91)-INDEX(FX_Vap,$KH12,BX$91)</f>
        <v>1.1058961440241618E-3</v>
      </c>
      <c r="BY12" s="73" cm="1">
        <f t="array" ref="BY12">IF(BU12="Out of Service",0,INDEX(FX_Vap,$KI12,BY$91))</f>
        <v>6.2124720487193742E-3</v>
      </c>
      <c r="BZ12" s="63">
        <f t="shared" ref="BZ12:BZ65" si="27">IF(BV12/BW12+(BX12-$E12)/(14.7-BY12)&lt;0,0,BV12/BW12+(BX12-$E12)/(14.7-BY12))</f>
        <v>2.6580677742499288E-2</v>
      </c>
      <c r="CA12" s="63">
        <f t="shared" ref="CA12:CA65" si="28">1/(1+0.053*BY12*$H12)</f>
        <v>0.9930518183690531</v>
      </c>
      <c r="CB12" s="63" cm="1">
        <f t="array" ref="CB12">INDEX(FX_Vap,$KJ12,CB$91)</f>
        <v>130</v>
      </c>
      <c r="CC12" s="63" cm="1">
        <f t="array" ref="CC12">INDEX(FX_Temps,$KD12,CC$89)+459.6</f>
        <v>511.29869999999994</v>
      </c>
      <c r="CD12" s="63">
        <f t="shared" ref="CD12:CD65" si="29">(CB12*BY12)/(10.731*CC12)</f>
        <v>1.4719495213728575E-4</v>
      </c>
      <c r="CE12" s="63" cm="1">
        <f t="array" ref="CE12">INDEX(Month_Ref,CE$83,3)*BZ12*(PI()/4*$F12^2)*$H12*CA12*CD12</f>
        <v>28.013246345382555</v>
      </c>
      <c r="CF12" s="63" cm="1">
        <f t="array" ref="CF12">INDEX(FX_Input,$KB12,CF$85)</f>
        <v>80568</v>
      </c>
      <c r="CG12" s="63">
        <f t="shared" ref="CG12:CG65" si="30">5.614*CF12</f>
        <v>452308.75199999998</v>
      </c>
      <c r="CH12" s="63">
        <f t="shared" ref="CH12:CH65" si="31">(CG12/(PI()/4*$F12^2))/(($G12-1)-1)</f>
        <v>1.0524440597152953</v>
      </c>
      <c r="CI12" s="63">
        <f t="shared" ref="CI12:CI65" si="32">IF(CH12&gt;36,(180+CH12)/(6*CH12),1)</f>
        <v>1</v>
      </c>
      <c r="CJ12" s="63" cm="1">
        <f t="array" ref="CJ12">IF(OR(INDEX(FX_Vap,$KK12,CJ$90)="Crude Oil",(INDEX(FX_Vap,$KL12,CJ$90)="Crude Oil")),0.75,1)</f>
        <v>1</v>
      </c>
      <c r="CK12" s="63">
        <f>CK11</f>
        <v>1</v>
      </c>
      <c r="CL12" s="63">
        <f t="shared" ref="CL12:CL65" si="33">CG12*CI12*CJ12*CD12*CK12</f>
        <v>66.577565101915454</v>
      </c>
      <c r="CM12" s="64">
        <f t="shared" ref="CM12:CM65" si="34">CL12+CE12</f>
        <v>94.590811447298009</v>
      </c>
      <c r="CN12" s="80" t="str" cm="1">
        <f t="array" ref="CN12">IF(ISBLANK(INDEX(FX_Input,$KB12+1,CN$85)),INDEX(FX_Input,$KB12,CN$85),INDEX(FX_Input,$KB12,CN$85)&amp;" &amp; "&amp;INDEX(FX_Input,$KB12+1,CN$85))</f>
        <v>Jet kerosene</v>
      </c>
      <c r="CO12" s="63" cm="1">
        <f t="array" ref="CO12">INDEX(FX_Temps,$KC12+7,CO$89)</f>
        <v>16.994999999999969</v>
      </c>
      <c r="CP12" s="63" cm="1">
        <f t="array" ref="CP12">INDEX(FX_Temps,$KC12+13,CP$89)+459.6</f>
        <v>516.5540749999999</v>
      </c>
      <c r="CQ12" s="63" cm="1">
        <f t="array" ref="CQ12">INDEX(FX_Vap,$KG12,CQ$91)-INDEX(FX_Vap,$KH12,CQ$91)</f>
        <v>1.2769509865756092E-3</v>
      </c>
      <c r="CR12" s="73" cm="1">
        <f t="array" ref="CR12">IF(CN12="Out of Service",0,INDEX(FX_Vap,$KI12,CR$91))</f>
        <v>7.4209663387537275E-3</v>
      </c>
      <c r="CS12" s="63">
        <f t="shared" ref="CS12:CS65" si="35">IF(CO12/CP12+(CQ12-$E12)/(14.7-CR12)&lt;0,0,CO12/CP12+(CQ12-$E12)/(14.7-CR12))</f>
        <v>2.8903935164848002E-2</v>
      </c>
      <c r="CT12" s="63">
        <f t="shared" ref="CT12:CT65" si="36">1/(1+0.053*CR12*$H12)</f>
        <v>0.9917114115505129</v>
      </c>
      <c r="CU12" s="63" cm="1">
        <f t="array" ref="CU12">INDEX(FX_Vap,$KJ12,CU$91)</f>
        <v>130</v>
      </c>
      <c r="CV12" s="63" cm="1">
        <f t="array" ref="CV12">INDEX(FX_Temps,$KD12,CV$89)+459.6</f>
        <v>516.5540749999999</v>
      </c>
      <c r="CW12" s="63">
        <f t="shared" ref="CW12:CW65" si="37">(CU12*CR12)/(10.731*CV12)</f>
        <v>1.7403950007616097E-4</v>
      </c>
      <c r="CX12" s="63" cm="1">
        <f t="array" ref="CX12">INDEX(Month_Ref,CX$83,3)*CS12*(PI()/4*$F12^2)*$H12*CT12*CW12</f>
        <v>37.167479781102465</v>
      </c>
      <c r="CY12" s="63" cm="1">
        <f t="array" ref="CY12">INDEX(FX_Input,$KB12,CY$85)</f>
        <v>80568</v>
      </c>
      <c r="CZ12" s="63">
        <f t="shared" ref="CZ12:CZ65" si="38">5.614*CY12</f>
        <v>452308.75199999998</v>
      </c>
      <c r="DA12" s="63">
        <f t="shared" ref="DA12:DA65" si="39">(CZ12/(PI()/4*$F12^2))/(($G12-1)-1)</f>
        <v>1.0524440597152953</v>
      </c>
      <c r="DB12" s="63">
        <f t="shared" ref="DB12:DB65" si="40">IF(DA12&gt;36,(180+DA12)/(6*DA12),1)</f>
        <v>1</v>
      </c>
      <c r="DC12" s="63" cm="1">
        <f t="array" ref="DC12">IF(OR(INDEX(FX_Vap,$KK12,DC$90)="Crude Oil",(INDEX(FX_Vap,$KL12,DC$90)="Crude Oil")),0.75,1)</f>
        <v>1</v>
      </c>
      <c r="DD12" s="63">
        <f>DD11</f>
        <v>1</v>
      </c>
      <c r="DE12" s="63">
        <f t="shared" ref="DE12:DE65" si="41">CZ12*DB12*DC12*CW12*DD12</f>
        <v>78.719589078152268</v>
      </c>
      <c r="DF12" s="64">
        <f t="shared" ref="DF12:DF65" si="42">DE12+CX12</f>
        <v>115.88706885925473</v>
      </c>
      <c r="DG12" s="80" t="str" cm="1">
        <f t="array" ref="DG12">IF(ISBLANK(INDEX(FX_Input,$KB12+1,DG$85)),INDEX(FX_Input,$KB12,DG$85),INDEX(FX_Input,$KB12,DG$85)&amp;" &amp; "&amp;INDEX(FX_Input,$KB12+1,DG$85))</f>
        <v>Jet kerosene</v>
      </c>
      <c r="DH12" s="63" cm="1">
        <f t="array" ref="DH12">INDEX(FX_Temps,$KC12+7,DH$89)</f>
        <v>16.885000000000041</v>
      </c>
      <c r="DI12" s="63" cm="1">
        <f t="array" ref="DI12">INDEX(FX_Temps,$KC12+13,DI$89)+459.6</f>
        <v>520.5768250000001</v>
      </c>
      <c r="DJ12" s="63" cm="1">
        <f t="array" ref="DJ12">INDEX(FX_Vap,$KG12,DJ$91)-INDEX(FX_Vap,$KH12,DJ$91)</f>
        <v>1.3484653740421003E-3</v>
      </c>
      <c r="DK12" s="73" cm="1">
        <f t="array" ref="DK12">IF(DG12="Out of Service",0,INDEX(FX_Vap,$KI12,DK$91))</f>
        <v>8.4819819298252285E-3</v>
      </c>
      <c r="DL12" s="63">
        <f t="shared" ref="DL12:DL65" si="43">IF(DH12/DI12+(DJ12-$E12)/(14.7-DK12)&lt;0,0,DH12/DI12+(DJ12-$E12)/(14.7-DK12))</f>
        <v>2.8442970354993463E-2</v>
      </c>
      <c r="DM12" s="63">
        <f t="shared" ref="DM12:DM65" si="44">1/(1+0.053*DK12*$H12)</f>
        <v>0.99053756094355561</v>
      </c>
      <c r="DN12" s="63" cm="1">
        <f t="array" ref="DN12">INDEX(FX_Vap,$KJ12,DN$91)</f>
        <v>130</v>
      </c>
      <c r="DO12" s="63" cm="1">
        <f t="array" ref="DO12">INDEX(FX_Temps,$KD12,DO$89)+459.6</f>
        <v>520.5768250000001</v>
      </c>
      <c r="DP12" s="63">
        <f t="shared" ref="DP12:DP65" si="45">(DN12*DK12)/(10.731*DO12)</f>
        <v>1.9738569267093546E-4</v>
      </c>
      <c r="DQ12" s="63" cm="1">
        <f t="array" ref="DQ12">INDEX(Month_Ref,DQ$83,3)*DL12*(PI()/4*$F12^2)*$H12*DM12*DP12</f>
        <v>40.095361161283854</v>
      </c>
      <c r="DR12" s="63" cm="1">
        <f t="array" ref="DR12">INDEX(FX_Input,$KB12,DR$85)</f>
        <v>80568</v>
      </c>
      <c r="DS12" s="63">
        <f t="shared" ref="DS12:DS65" si="46">5.614*DR12</f>
        <v>452308.75199999998</v>
      </c>
      <c r="DT12" s="63">
        <f t="shared" ref="DT12:DT65" si="47">(DS12/(PI()/4*$F12^2))/(($G12-1)-1)</f>
        <v>1.0524440597152953</v>
      </c>
      <c r="DU12" s="63">
        <f t="shared" ref="DU12:DU65" si="48">IF(DT12&gt;36,(180+DT12)/(6*DT12),1)</f>
        <v>1</v>
      </c>
      <c r="DV12" s="63" cm="1">
        <f t="array" ref="DV12">IF(OR(INDEX(FX_Vap,$KK12,DV$90)="Crude Oil",(INDEX(FX_Vap,$KL12,DV$90)="Crude Oil")),0.75,1)</f>
        <v>1</v>
      </c>
      <c r="DW12" s="63">
        <f>DW11</f>
        <v>1</v>
      </c>
      <c r="DX12" s="63">
        <f t="shared" ref="DX12:DX65" si="49">DS12*DU12*DV12*DP12*DW12</f>
        <v>89.279276314646353</v>
      </c>
      <c r="DY12" s="64">
        <f t="shared" ref="DY12:DY65" si="50">DX12+DQ12</f>
        <v>129.3746374759302</v>
      </c>
      <c r="DZ12" s="80" t="str" cm="1">
        <f t="array" ref="DZ12">IF(ISBLANK(INDEX(FX_Input,$KB12+1,DZ$85)),INDEX(FX_Input,$KB12,DZ$85),INDEX(FX_Input,$KB12,DZ$85)&amp;" &amp; "&amp;INDEX(FX_Input,$KB12+1,DZ$85))</f>
        <v>Jet kerosene</v>
      </c>
      <c r="EA12" s="63" cm="1">
        <f t="array" ref="EA12">INDEX(FX_Temps,$KC12+7,EA$89)</f>
        <v>17.42999999999995</v>
      </c>
      <c r="EB12" s="63" cm="1">
        <f t="array" ref="EB12">INDEX(FX_Temps,$KC12+13,EB$89)+459.6</f>
        <v>524.27729999999985</v>
      </c>
      <c r="EC12" s="63" cm="1">
        <f t="array" ref="EC12">INDEX(FX_Vap,$KG12,EC$91)-INDEX(FX_Vap,$KH12,EC$91)</f>
        <v>1.5227758159827732E-3</v>
      </c>
      <c r="ED12" s="73" cm="1">
        <f t="array" ref="ED12">IF(DZ12="Out of Service",0,INDEX(FX_Vap,$KI12,ED$91))</f>
        <v>9.5741064128135375E-3</v>
      </c>
      <c r="EE12" s="63">
        <f t="shared" ref="EE12:EE65" si="51">IF(EA12/EB12+(EC12-$E12)/(14.7-ED12)&lt;0,0,EA12/EB12+(EC12-$E12)/(14.7-ED12))</f>
        <v>2.9265130122321317E-2</v>
      </c>
      <c r="EF12" s="63">
        <f t="shared" ref="EF12:EF65" si="52">1/(1+0.053*ED12*$H12)</f>
        <v>0.9893321918922483</v>
      </c>
      <c r="EG12" s="63" cm="1">
        <f t="array" ref="EG12">INDEX(FX_Vap,$KJ12,EG$91)</f>
        <v>130</v>
      </c>
      <c r="EH12" s="63" cm="1">
        <f t="array" ref="EH12">INDEX(FX_Temps,$KD12,EH$89)+459.6</f>
        <v>524.27729999999985</v>
      </c>
      <c r="EI12" s="63">
        <f t="shared" ref="EI12:EI65" si="53">(EG12*ED12)/(10.731*EH12)</f>
        <v>2.2122813261247964E-4</v>
      </c>
      <c r="EJ12" s="63" cm="1">
        <f t="array" ref="EJ12">INDEX(Month_Ref,EJ$83,3)*EE12*(PI()/4*$F12^2)*$H12*EF12*EI12</f>
        <v>47.720606586844745</v>
      </c>
      <c r="EK12" s="63" cm="1">
        <f t="array" ref="EK12">INDEX(FX_Input,$KB12,EK$85)</f>
        <v>80568</v>
      </c>
      <c r="EL12" s="63">
        <f t="shared" ref="EL12:EL65" si="54">5.614*EK12</f>
        <v>452308.75199999998</v>
      </c>
      <c r="EM12" s="63">
        <f t="shared" ref="EM12:EM65" si="55">(EL12/(PI()/4*$F12^2))/(($G12-1)-1)</f>
        <v>1.0524440597152953</v>
      </c>
      <c r="EN12" s="63">
        <f t="shared" ref="EN12:EN65" si="56">IF(EM12&gt;36,(180+EM12)/(6*EM12),1)</f>
        <v>1</v>
      </c>
      <c r="EO12" s="63" cm="1">
        <f t="array" ref="EO12">IF(OR(INDEX(FX_Vap,$KK12,EO$90)="Crude Oil",(INDEX(FX_Vap,$KL12,EO$90)="Crude Oil")),0.75,1)</f>
        <v>1</v>
      </c>
      <c r="EP12" s="63">
        <f>EP11</f>
        <v>1</v>
      </c>
      <c r="EQ12" s="63">
        <f t="shared" ref="EQ12:EQ65" si="57">EL12*EN12*EO12*EI12*EP12</f>
        <v>100.06342056924116</v>
      </c>
      <c r="ER12" s="64">
        <f t="shared" ref="ER12:ER65" si="58">EQ12+EJ12</f>
        <v>147.7840271560859</v>
      </c>
      <c r="ES12" s="80" t="str" cm="1">
        <f t="array" ref="ES12">IF(ISBLANK(INDEX(FX_Input,$KB12+1,ES$85)),INDEX(FX_Input,$KB12,ES$85),INDEX(FX_Input,$KB12,ES$85)&amp;" &amp; "&amp;INDEX(FX_Input,$KB12+1,ES$85))</f>
        <v>Jet kerosene</v>
      </c>
      <c r="ET12" s="63" cm="1">
        <f t="array" ref="ET12">INDEX(FX_Temps,$KC12+7,ET$89)</f>
        <v>16.980000000000015</v>
      </c>
      <c r="EU12" s="63" cm="1">
        <f t="array" ref="EU12">INDEX(FX_Temps,$KC12+13,EU$89)+459.6</f>
        <v>524.19269999999995</v>
      </c>
      <c r="EV12" s="63" cm="1">
        <f t="array" ref="EV12">INDEX(FX_Vap,$KG12,EV$91)-INDEX(FX_Vap,$KH12,EV$91)</f>
        <v>1.6347701028187334E-3</v>
      </c>
      <c r="EW12" s="73" cm="1">
        <f t="array" ref="EW12">IF(ES12="Out of Service",0,INDEX(FX_Vap,$KI12,EW$91))</f>
        <v>9.5478148180509845E-3</v>
      </c>
      <c r="EX12" s="63">
        <f t="shared" ref="EX12:EX65" si="59">IF(ET12/EU12+(EV12-$E12)/(14.7-EW12)&lt;0,0,ET12/EU12+(EV12-$E12)/(14.7-EW12))</f>
        <v>2.8419663497525748E-2</v>
      </c>
      <c r="EY12" s="63">
        <f t="shared" ref="EY12:EY65" si="60">1/(1+0.053*EW12*$H12)</f>
        <v>0.9893611752527206</v>
      </c>
      <c r="EZ12" s="63" cm="1">
        <f t="array" ref="EZ12">INDEX(FX_Vap,$KJ12,EZ$91)</f>
        <v>130</v>
      </c>
      <c r="FA12" s="63" cm="1">
        <f t="array" ref="FA12">INDEX(FX_Temps,$KD12,FA$89)+459.6</f>
        <v>524.19269999999995</v>
      </c>
      <c r="FB12" s="63">
        <f t="shared" ref="FB12:FB65" si="61">(EZ12*EW12)/(10.731*FA12)</f>
        <v>2.2065622096450189E-4</v>
      </c>
      <c r="FC12" s="63" cm="1">
        <f t="array" ref="FC12">INDEX(Month_Ref,FC$83,3)*EX12*(PI()/4*$F12^2)*$H12*EY12*FB12</f>
        <v>46.223515538491618</v>
      </c>
      <c r="FD12" s="63" cm="1">
        <f t="array" ref="FD12">INDEX(FX_Input,$KB12,FD$85)</f>
        <v>80568</v>
      </c>
      <c r="FE12" s="63">
        <f t="shared" ref="FE12:FE65" si="62">5.614*FD12</f>
        <v>452308.75199999998</v>
      </c>
      <c r="FF12" s="63">
        <f t="shared" ref="FF12:FF65" si="63">(FE12/(PI()/4*$F12^2))/(($G12-1)-1)</f>
        <v>1.0524440597152953</v>
      </c>
      <c r="FG12" s="63">
        <f t="shared" ref="FG12:FG65" si="64">IF(FF12&gt;36,(180+FF12)/(6*FF12),1)</f>
        <v>1</v>
      </c>
      <c r="FH12" s="63" cm="1">
        <f t="array" ref="FH12">IF(OR(INDEX(FX_Vap,$KK12,FH$90)="Crude Oil",(INDEX(FX_Vap,$KL12,FH$90)="Crude Oil")),0.75,1)</f>
        <v>1</v>
      </c>
      <c r="FI12" s="63">
        <f>FI11</f>
        <v>1</v>
      </c>
      <c r="FJ12" s="63">
        <f t="shared" ref="FJ12:FJ65" si="65">FE12*FG12*FH12*FB12*FI12</f>
        <v>99.804739925490082</v>
      </c>
      <c r="FK12" s="64">
        <f t="shared" ref="FK12:FK65" si="66">FJ12+FC12</f>
        <v>146.02825546398171</v>
      </c>
      <c r="FL12" s="80" t="str" cm="1">
        <f t="array" ref="FL12">IF(ISBLANK(INDEX(FX_Input,$KB12+1,FL$85)),INDEX(FX_Input,$KB12,FL$85),INDEX(FX_Input,$KB12,FL$85)&amp;" &amp; "&amp;INDEX(FX_Input,$KB12+1,FL$85))</f>
        <v>Jet kerosene</v>
      </c>
      <c r="FM12" s="63" cm="1">
        <f t="array" ref="FM12">INDEX(FX_Temps,$KC12+7,FM$89)</f>
        <v>17.459999999999983</v>
      </c>
      <c r="FN12" s="63" cm="1">
        <f t="array" ref="FN12">INDEX(FX_Temps,$KC12+13,FN$89)+459.6</f>
        <v>521.16010000000006</v>
      </c>
      <c r="FO12" s="63" cm="1">
        <f t="array" ref="FO12">INDEX(FX_Vap,$KG12,FO$91)-INDEX(FX_Vap,$KH12,FO$91)</f>
        <v>1.8182300379836203E-3</v>
      </c>
      <c r="FP12" s="73" cm="1">
        <f t="array" ref="FP12">IF(FL12="Out of Service",0,INDEX(FX_Vap,$KI12,FP$91))</f>
        <v>8.6464528192362108E-3</v>
      </c>
      <c r="FQ12" s="63">
        <f t="shared" ref="FQ12:FQ65" si="67">IF(FM12/FN12+(FO12-$E12)/(14.7-FP12)&lt;0,0,FM12/FN12+(FO12-$E12)/(14.7-FP12))</f>
        <v>2.9541908055768631E-2</v>
      </c>
      <c r="FR12" s="63">
        <f t="shared" ref="FR12:FR65" si="68">1/(1+0.053*FP12*$H12)</f>
        <v>0.99035584791618869</v>
      </c>
      <c r="FS12" s="63" cm="1">
        <f t="array" ref="FS12">INDEX(FX_Vap,$KJ12,FS$91)</f>
        <v>130</v>
      </c>
      <c r="FT12" s="63" cm="1">
        <f t="array" ref="FT12">INDEX(FX_Temps,$KD12,FT$89)+459.6</f>
        <v>521.16010000000006</v>
      </c>
      <c r="FU12" s="63">
        <f t="shared" ref="FU12:FU65" si="69">(FS12*FP12)/(10.731*FT12)</f>
        <v>2.009879287762041E-4</v>
      </c>
      <c r="FV12" s="63" cm="1">
        <f t="array" ref="FV12">INDEX(Month_Ref,FV$83,3)*FQ12*(PI()/4*$F12^2)*$H12*FR12*FU12</f>
        <v>42.396728870829548</v>
      </c>
      <c r="FW12" s="63" cm="1">
        <f t="array" ref="FW12">INDEX(FX_Input,$KB12,FW$85)</f>
        <v>80568</v>
      </c>
      <c r="FX12" s="63">
        <f t="shared" ref="FX12:FX65" si="70">5.614*FW12</f>
        <v>452308.75199999998</v>
      </c>
      <c r="FY12" s="63">
        <f t="shared" ref="FY12:FY65" si="71">(FX12/(PI()/4*$F12^2))/(($G12-1)-1)</f>
        <v>1.0524440597152953</v>
      </c>
      <c r="FZ12" s="63">
        <f t="shared" ref="FZ12:FZ65" si="72">IF(FY12&gt;36,(180+FY12)/(6*FY12),1)</f>
        <v>1</v>
      </c>
      <c r="GA12" s="63" cm="1">
        <f t="array" ref="GA12">IF(OR(INDEX(FX_Vap,$KK12,GA$90)="Crude Oil",(INDEX(FX_Vap,$KL12,GA$90)="Crude Oil")),0.75,1)</f>
        <v>1</v>
      </c>
      <c r="GB12" s="63">
        <f>GB11</f>
        <v>1</v>
      </c>
      <c r="GC12" s="63">
        <f t="shared" ref="GC12:GC65" si="73">FX12*FZ12*GA12*FU12*GB12</f>
        <v>90.908599231829754</v>
      </c>
      <c r="GD12" s="64">
        <f t="shared" ref="GD12:GD65" si="74">GC12+FV12</f>
        <v>133.3053281026593</v>
      </c>
      <c r="GE12" s="80" t="str" cm="1">
        <f t="array" ref="GE12">IF(ISBLANK(INDEX(FX_Input,$KB12+1,GE$85)),INDEX(FX_Input,$KB12,GE$85),INDEX(FX_Input,$KB12,GE$85)&amp;" &amp; "&amp;INDEX(FX_Input,$KB12+1,GE$85))</f>
        <v>Jet kerosene</v>
      </c>
      <c r="GF12" s="63" cm="1">
        <f t="array" ref="GF12">INDEX(FX_Temps,$KC12+7,GF$89)</f>
        <v>13.929999999999993</v>
      </c>
      <c r="GG12" s="63" cm="1">
        <f t="array" ref="GG12">INDEX(FX_Temps,$KC12+13,GG$89)+459.6</f>
        <v>514.05180000000007</v>
      </c>
      <c r="GH12" s="63" cm="1">
        <f t="array" ref="GH12">INDEX(FX_Vap,$KG12,GH$91)-INDEX(FX_Vap,$KH12,GH$91)</f>
        <v>1.3347759158748732E-3</v>
      </c>
      <c r="GI12" s="73" cm="1">
        <f t="array" ref="GI12">IF(GE12="Out of Service",0,INDEX(FX_Vap,$KI12,GI$91))</f>
        <v>6.8218393379121701E-3</v>
      </c>
      <c r="GJ12" s="63">
        <f t="shared" ref="GJ12:GJ65" si="75">IF(GF12/GG12+(GH12-$E12)/(14.7-GI12)&lt;0,0,GF12/GG12+(GH12-$E12)/(14.7-GI12))</f>
        <v>2.3105751925026341E-2</v>
      </c>
      <c r="GK12" s="63">
        <f t="shared" ref="GK12:GK65" si="76">1/(1+0.053*GI12*$H12)</f>
        <v>0.9923754833433297</v>
      </c>
      <c r="GL12" s="63" cm="1">
        <f t="array" ref="GL12">INDEX(FX_Vap,$KJ12,GL$91)</f>
        <v>130</v>
      </c>
      <c r="GM12" s="63" cm="1">
        <f t="array" ref="GM12">INDEX(FX_Temps,$KD12,GM$89)+459.6</f>
        <v>514.05180000000007</v>
      </c>
      <c r="GN12" s="63">
        <f t="shared" ref="GN12:GN65" si="77">(GL12*GI12)/(10.731*GM12)</f>
        <v>1.6076731562400743E-4</v>
      </c>
      <c r="GO12" s="63" cm="1">
        <f t="array" ref="GO12">INDEX(Month_Ref,GO$83,3)*GJ12*(PI()/4*$F12^2)*$H12*GK12*GN12</f>
        <v>27.464196308508576</v>
      </c>
      <c r="GP12" s="63" cm="1">
        <f t="array" ref="GP12">INDEX(FX_Input,$KB12,GP$85)</f>
        <v>80568</v>
      </c>
      <c r="GQ12" s="63">
        <f t="shared" ref="GQ12:GQ65" si="78">5.614*GP12</f>
        <v>452308.75199999998</v>
      </c>
      <c r="GR12" s="63">
        <f t="shared" ref="GR12:GR65" si="79">(GQ12/(PI()/4*$F12^2))/(($G12-1)-1)</f>
        <v>1.0524440597152953</v>
      </c>
      <c r="GS12" s="63">
        <f t="shared" ref="GS12:GS65" si="80">IF(GR12&gt;36,(180+GR12)/(6*GR12),1)</f>
        <v>1</v>
      </c>
      <c r="GT12" s="63" cm="1">
        <f t="array" ref="GT12">IF(OR(INDEX(FX_Vap,$KK12,GT$90)="Crude Oil",(INDEX(FX_Vap,$KL12,GT$90)="Crude Oil")),0.75,1)</f>
        <v>1</v>
      </c>
      <c r="GU12" s="63">
        <f>GU11</f>
        <v>1</v>
      </c>
      <c r="GV12" s="63">
        <f t="shared" ref="GV12:GV65" si="81">GQ12*GS12*GT12*GN12*GU12</f>
        <v>72.716463892284892</v>
      </c>
      <c r="GW12" s="64">
        <f t="shared" ref="GW12:GW65" si="82">GV12+GO12</f>
        <v>100.18066020079347</v>
      </c>
      <c r="GX12" s="80" t="str" cm="1">
        <f t="array" ref="GX12">IF(ISBLANK(INDEX(FX_Input,$KB12+1,GX$85)),INDEX(FX_Input,$KB12,GX$85),INDEX(FX_Input,$KB12,GX$85)&amp;" &amp; "&amp;INDEX(FX_Input,$KB12+1,GX$85))</f>
        <v>Jet kerosene</v>
      </c>
      <c r="GY12" s="63" cm="1">
        <f t="array" ref="GY12">INDEX(FX_Temps,$KC12+7,GY$89)</f>
        <v>10.495000000000031</v>
      </c>
      <c r="GZ12" s="63" cm="1">
        <f t="array" ref="GZ12">INDEX(FX_Temps,$KC12+13,GZ$89)+459.6</f>
        <v>507.66772500000002</v>
      </c>
      <c r="HA12" s="63" cm="1">
        <f t="array" ref="HA12">INDEX(FX_Vap,$KG12,HA$91)-INDEX(FX_Vap,$KH12,HA$91)</f>
        <v>9.195178026090425E-4</v>
      </c>
      <c r="HB12" s="73" cm="1">
        <f t="array" ref="HB12">IF(GX12="Out of Service",0,INDEX(FX_Vap,$KI12,HB$91))</f>
        <v>5.4827140055800742E-3</v>
      </c>
      <c r="HC12" s="63">
        <f t="shared" ref="HC12:HC65" si="83">IF(GY12/GZ12+(HA12-$E12)/(14.7-HB12)&lt;0,0,GY12/GZ12+(HA12-$E12)/(14.7-HB12))</f>
        <v>1.6652390699251968E-2</v>
      </c>
      <c r="HD12" s="63">
        <f t="shared" ref="HD12:HD65" si="84">1/(1+0.053*HB12*$H12)</f>
        <v>0.99386298882234003</v>
      </c>
      <c r="HE12" s="63" cm="1">
        <f t="array" ref="HE12">INDEX(FX_Vap,$KJ12,HE$91)</f>
        <v>130</v>
      </c>
      <c r="HF12" s="63" cm="1">
        <f t="array" ref="HF12">INDEX(FX_Temps,$KD12,HF$89)+459.6</f>
        <v>507.66772500000002</v>
      </c>
      <c r="HG12" s="63">
        <f t="shared" ref="HG12:HG65" si="85">(HE12*HB12)/(10.731*HF12)</f>
        <v>1.3083357117100054E-4</v>
      </c>
      <c r="HH12" s="63" cm="1">
        <f t="array" ref="HH12">INDEX(Month_Ref,HH$83,3)*HC12*(PI()/4*$F12^2)*$H12*HD12*HG12</f>
        <v>15.611867909117516</v>
      </c>
      <c r="HI12" s="63" cm="1">
        <f t="array" ref="HI12">INDEX(FX_Input,$KB12,HI$85)</f>
        <v>80568</v>
      </c>
      <c r="HJ12" s="63">
        <f t="shared" ref="HJ12:HJ65" si="86">5.614*HI12</f>
        <v>452308.75199999998</v>
      </c>
      <c r="HK12" s="63">
        <f t="shared" ref="HK12:HK65" si="87">(HJ12/(PI()/4*$F12^2))/(($G12-1)-1)</f>
        <v>1.0524440597152953</v>
      </c>
      <c r="HL12" s="63">
        <f t="shared" ref="HL12:HL65" si="88">IF(HK12&gt;36,(180+HK12)/(6*HK12),1)</f>
        <v>1</v>
      </c>
      <c r="HM12" s="63" cm="1">
        <f t="array" ref="HM12">IF(OR(INDEX(FX_Vap,$KK12,HM$90)="Crude Oil",(INDEX(FX_Vap,$KL12,HM$90)="Crude Oil")),0.75,1)</f>
        <v>1</v>
      </c>
      <c r="HN12" s="63">
        <f>HN11</f>
        <v>1</v>
      </c>
      <c r="HO12" s="63">
        <f t="shared" ref="HO12:HO65" si="89">HJ12*HL12*HM12*HG12*HN12</f>
        <v>59.17716929605843</v>
      </c>
      <c r="HP12" s="64">
        <f t="shared" ref="HP12:HP65" si="90">HO12+HH12</f>
        <v>74.789037205175944</v>
      </c>
      <c r="HQ12" s="80" t="str" cm="1">
        <f t="array" ref="HQ12">IF(ISBLANK(INDEX(FX_Input,$KB12+1,HQ$85)),INDEX(FX_Input,$KB12,HQ$85),INDEX(FX_Input,$KB12,HQ$85)&amp;" &amp; "&amp;INDEX(FX_Input,$KB12+1,HQ$85))</f>
        <v>Jet kerosene</v>
      </c>
      <c r="HR12" s="63" cm="1">
        <f t="array" ref="HR12">INDEX(FX_Temps,$KC12+7,HR$89)</f>
        <v>8.51</v>
      </c>
      <c r="HS12" s="63" cm="1">
        <f t="array" ref="HS12">INDEX(FX_Temps,$KC12+13,HS$89)+459.6</f>
        <v>503.94745000000006</v>
      </c>
      <c r="HT12" s="63" cm="1">
        <f t="array" ref="HT12">INDEX(FX_Vap,$KG12,HT$91)-INDEX(FX_Vap,$KH12,HT$91)</f>
        <v>6.7288136336403261E-4</v>
      </c>
      <c r="HU12" s="73" cm="1">
        <f t="array" ref="HU12">IF(HQ12="Out of Service",0,INDEX(FX_Vap,$KI12,HU$91))</f>
        <v>4.8148298503950734E-3</v>
      </c>
      <c r="HV12" s="63">
        <f t="shared" ref="HV12:HV65" si="91">IF(HR12/HS12+(HT12-$E12)/(14.7-HU12)&lt;0,0,HR12/HS12+(HT12-$E12)/(14.7-HU12))</f>
        <v>1.2849500592893781E-2</v>
      </c>
      <c r="HW12" s="63">
        <f t="shared" ref="HW12:HW65" si="92">1/(1+0.053*HU12*$H12)</f>
        <v>0.99460654498095313</v>
      </c>
      <c r="HX12" s="63" cm="1">
        <f t="array" ref="HX12">INDEX(FX_Vap,$KJ12,HX$91)</f>
        <v>130</v>
      </c>
      <c r="HY12" s="63" cm="1">
        <f t="array" ref="HY12">INDEX(FX_Temps,$KD12,HY$89)+459.6</f>
        <v>503.94745000000006</v>
      </c>
      <c r="HZ12" s="63">
        <f t="shared" ref="HZ12:HZ65" si="93">(HX12*HU12)/(10.731*HY12)</f>
        <v>1.1574409666728695E-4</v>
      </c>
      <c r="IA12" s="63" cm="1">
        <f t="array" ref="IA12">INDEX(Month_Ref,IA$83,3)*HV12*(PI()/4*$F12^2)*$H12*HW12*HZ12</f>
        <v>11.020705902553273</v>
      </c>
      <c r="IB12" s="63" cm="1">
        <f t="array" ref="IB12">INDEX(FX_Input,$KB12,IB$85)</f>
        <v>80568</v>
      </c>
      <c r="IC12" s="63">
        <f t="shared" ref="IC12:IC65" si="94">5.614*IB12</f>
        <v>452308.75199999998</v>
      </c>
      <c r="ID12" s="63">
        <f t="shared" ref="ID12:ID65" si="95">(IC12/(PI()/4*$F12^2))/(($G12-1)-1)</f>
        <v>1.0524440597152953</v>
      </c>
      <c r="IE12" s="63">
        <f t="shared" ref="IE12:IE65" si="96">IF(ID12&gt;36,(180+ID12)/(6*ID12),1)</f>
        <v>1</v>
      </c>
      <c r="IF12" s="63" cm="1">
        <f t="array" ref="IF12">IF(OR(INDEX(FX_Vap,$KK12,IF$90)="Crude Oil",(INDEX(FX_Vap,$KL12,IF$90)="Crude Oil")),0.75,1)</f>
        <v>1</v>
      </c>
      <c r="IG12" s="63">
        <f>IG11</f>
        <v>1</v>
      </c>
      <c r="IH12" s="63">
        <f t="shared" ref="IH12:IH65" si="97">IC12*IE12*IF12*HZ12*IG12</f>
        <v>52.352067914947916</v>
      </c>
      <c r="II12" s="64">
        <f t="shared" ref="II12:II65" si="98">IH12+IA12</f>
        <v>63.372773817501191</v>
      </c>
      <c r="IJ12" s="80">
        <f t="shared" ref="IJ12:IJ65" si="99">Z12+AS12+BL12+CE12+CX12+DQ12+EJ12+FC12+FV12+GO12+HH12+IA12</f>
        <v>346.55951032276664</v>
      </c>
      <c r="IK12" s="63">
        <f t="shared" ref="IK12:IK65" si="100">IJ12/2000</f>
        <v>0.17327975516138333</v>
      </c>
      <c r="IL12" s="63">
        <f t="shared" ref="IL12:IL65" si="101">AG12+AZ12+BS12+CL12+DE12+DX12+EQ12+FJ12+GC12+GV12+HO12+IH12</f>
        <v>877.85499090684357</v>
      </c>
      <c r="IM12" s="63">
        <f t="shared" ref="IM12:IM65" si="102">IL12/2000</f>
        <v>0.4389274954534218</v>
      </c>
      <c r="IN12" s="63">
        <f t="shared" ref="IN12:IN65" si="103">AH12+BA12+BT12+CM12+DF12+DY12+ER12+FK12+GD12+GW12+HP12+II12</f>
        <v>1224.4145012296101</v>
      </c>
      <c r="IO12" s="64">
        <f t="shared" ref="IO12:IO65" si="104">IN12/2000</f>
        <v>0.61220725061480508</v>
      </c>
      <c r="KB12" s="43">
        <f>KB11+2</f>
        <v>3</v>
      </c>
      <c r="KC12" s="43">
        <f>KC11+14</f>
        <v>15</v>
      </c>
      <c r="KD12" s="43">
        <f>KD11+14</f>
        <v>28</v>
      </c>
      <c r="KE12" s="43">
        <f>KE11+14</f>
        <v>15</v>
      </c>
      <c r="KF12" s="43">
        <f>KF11+34</f>
        <v>35</v>
      </c>
      <c r="KG12" s="43">
        <f t="shared" ref="KG12:KJ27" si="105">KG11+34</f>
        <v>58</v>
      </c>
      <c r="KH12" s="43">
        <f t="shared" si="105"/>
        <v>53</v>
      </c>
      <c r="KI12" s="43">
        <f t="shared" si="105"/>
        <v>63</v>
      </c>
      <c r="KJ12" s="43">
        <f t="shared" si="105"/>
        <v>68</v>
      </c>
      <c r="KK12" s="43">
        <f t="shared" ref="KK12" si="106">KK11+34</f>
        <v>39</v>
      </c>
      <c r="KL12" s="43">
        <f t="shared" ref="KL12" si="107">KL11+34</f>
        <v>41</v>
      </c>
    </row>
    <row r="13" spans="2:298" x14ac:dyDescent="0.4">
      <c r="B13" s="43" t="str" cm="1">
        <f t="array" ref="B13">INDEX(FX_Input,$KB13,B$85)</f>
        <v>FX - 3</v>
      </c>
      <c r="C13" s="93" t="str" cm="1">
        <f t="array" ref="C13">INDEX(FX_Input,$KB13,C$85)</f>
        <v>FIXTANK 69</v>
      </c>
      <c r="D13" s="80">
        <f t="shared" si="0"/>
        <v>165260.86354821309</v>
      </c>
      <c r="E13" s="63" cm="1">
        <f t="array" ref="E13">IF(ISBLANK(INDEX(FX_Input,$KB13,$E$85)),0.03,INDEX(FX_Input,$KB13,$E$85))-IF(ISBLANK(INDEX(FX_Input,$KB13,$E$86)),-0.03,INDEX(FX_Input,$KB13,$E$86))</f>
        <v>0.06</v>
      </c>
      <c r="F13" s="63" cm="1">
        <f t="array" ref="F13">IF(INDEX(FX_Input,$KB13,F$85)="Vertical",INDEX(FX_Input,$KB13,F$86),SQRT((INDEX(FX_Input,$KB13,F$86)*INDEX(FX_Input,$KB13,F$87))/(PI()/4)))</f>
        <v>100</v>
      </c>
      <c r="G13" s="63" cm="1">
        <f t="array" ref="G13">IF(INDEX(FX_Input,$KB13,G$85)="Vertical",INDEX(FX_Input,$KB13,G$86),INDEX(FX_Input,$KB13,G$87)*PI()/4)</f>
        <v>40</v>
      </c>
      <c r="H13" s="63" cm="1">
        <f t="array" ref="H13">IF(INDEX(FX_Input,$KB13,H$85)="Vertical",G13-G13/2+J13,G13/2)</f>
        <v>21.041666666666668</v>
      </c>
      <c r="I13" s="63" cm="1">
        <f t="array" ref="I13">IF(INDEX(FX_Input,$KB13,F$85)="Horizontal","N/A",IF(INDEX(FX_Input,$KB13,I$86)="Cone",IF(ISBLANK(INDEX(FX_Input,$KB13,I$87)),0.0625,INDEX(FX_Input,$KB13,I$87))*F13/2,F13/2-SQRT((F13/2)^2-(INDEX(FX_Input,$KB13,I$88)^2))))</f>
        <v>3.125</v>
      </c>
      <c r="J13" s="63" cm="1">
        <f t="array" ref="J13">IF(INDEX(FX_Input,$KB13,J$85)="Horizontal","N/A",IF(INDEX(FX_Input,$KB13,J$86)="Cone",I13/3,I13*(1/2+(1/6)*(I13/(F13/2))^2)))</f>
        <v>1.0416666666666667</v>
      </c>
      <c r="K13" s="63">
        <f t="shared" si="1"/>
        <v>39</v>
      </c>
      <c r="L13" s="63">
        <v>1</v>
      </c>
      <c r="M13" s="63" cm="1">
        <f t="array" ref="M13">INDEX(Tbl_71_6,MATCH(INDEX(FX_Input,$KB13,M$85),Paint_Color,0),VLOOKUP(INDEX(FX_Input,$KB13,M$86),Paint_Cond_Column,2,FALSE))</f>
        <v>0.25</v>
      </c>
      <c r="N13" s="63" cm="1">
        <f t="array" ref="N13">INDEX(Tbl_71_6,MATCH(INDEX(FX_Input,$KB13,N$85),Paint_Color,0),VLOOKUP(INDEX(FX_Input,$KB13,N$86),Paint_Cond_Column,2,FALSE))</f>
        <v>0.25</v>
      </c>
      <c r="O13" s="64">
        <f t="shared" si="2"/>
        <v>0.25</v>
      </c>
      <c r="P13" s="80" t="str" cm="1">
        <f t="array" ref="P13">IF(ISBLANK(INDEX(FX_Input,$KB13+1,P$85)),INDEX(FX_Input,$KB13,P$85),INDEX(FX_Input,$KB13,P$85)&amp;" &amp; "&amp;INDEX(FX_Input,$KB13+1,P$85))</f>
        <v>Jet kerosene</v>
      </c>
      <c r="Q13" s="63" cm="1">
        <f t="array" ref="Q13">INDEX(FX_Temps,$KC13+7,Q$89)</f>
        <v>8.9950000000000241</v>
      </c>
      <c r="R13" s="63" cm="1">
        <f t="array" ref="R13">INDEX(FX_Temps,$KC13+13,R$89)+459.6</f>
        <v>504.34892500000001</v>
      </c>
      <c r="S13" s="63" cm="1">
        <f t="array" ref="S13">INDEX(FX_Vap,$KG13,S$91)-INDEX(FX_Vap,$KH13,S$91)</f>
        <v>7.0794953556663209E-4</v>
      </c>
      <c r="T13" s="73" cm="1">
        <f t="array" ref="T13">IF(P13="Out of Service",0,INDEX(FX_Vap,$KI13,T$91))</f>
        <v>4.883250638471285E-3</v>
      </c>
      <c r="U13" s="63">
        <f t="shared" si="3"/>
        <v>1.3800061771949319E-2</v>
      </c>
      <c r="V13" s="63">
        <f t="shared" si="4"/>
        <v>0.99458365475359878</v>
      </c>
      <c r="W13" s="63" cm="1">
        <f t="array" ref="W13">INDEX(FX_Vap,$KJ13,W$91)</f>
        <v>130</v>
      </c>
      <c r="X13" s="63" cm="1">
        <f t="array" ref="X13">INDEX(FX_Temps,$KD13,X$89)+459.6</f>
        <v>504.34892500000001</v>
      </c>
      <c r="Y13" s="63">
        <f t="shared" si="5"/>
        <v>1.1729542507733997E-4</v>
      </c>
      <c r="Z13" s="63" cm="1">
        <f t="array" ref="Z13">INDEX(Month_Ref,Z$83,3)*U13*(PI()/4*$F13^2)*$H13*V13*Y13</f>
        <v>8.2477432521087213</v>
      </c>
      <c r="AA13" s="63" cm="1">
        <f t="array" ref="AA13">INDEX(FX_Input,$KB13,AA$85)</f>
        <v>56285</v>
      </c>
      <c r="AB13" s="63">
        <f t="shared" si="6"/>
        <v>315983.99</v>
      </c>
      <c r="AC13" s="63">
        <f t="shared" si="7"/>
        <v>1.0587455567663164</v>
      </c>
      <c r="AD13" s="63">
        <f t="shared" si="8"/>
        <v>1</v>
      </c>
      <c r="AE13" s="63" cm="1">
        <f t="array" ref="AE13">IF(OR(INDEX(FX_Vap,$KK13,AE$90)="Crude Oil",(INDEX(FX_Vap,$KL13,AE$90)="Crude Oil")),0.75,1)</f>
        <v>1</v>
      </c>
      <c r="AF13" s="63">
        <f t="shared" ref="AF13:AF77" si="108">AF12</f>
        <v>1</v>
      </c>
      <c r="AG13" s="63">
        <f t="shared" si="9"/>
        <v>37.063476424683941</v>
      </c>
      <c r="AH13" s="64">
        <f t="shared" si="10"/>
        <v>45.31121967679266</v>
      </c>
      <c r="AI13" s="80" t="str" cm="1">
        <f t="array" ref="AI13">IF(ISBLANK(INDEX(FX_Input,$KB13+1,AI$85)),INDEX(FX_Input,$KB13,AI$85),INDEX(FX_Input,$KB13,AI$85)&amp;" &amp; "&amp;INDEX(FX_Input,$KB13+1,AI$85))</f>
        <v>Jet kerosene</v>
      </c>
      <c r="AJ13" s="63" cm="1">
        <f t="array" ref="AJ13">INDEX(FX_Temps,$KC13+7,AJ$89)</f>
        <v>12.239999999999991</v>
      </c>
      <c r="AK13" s="63" cm="1">
        <f t="array" ref="AK13">INDEX(FX_Temps,$KC13+13,AK$89)+459.6</f>
        <v>505.78500000000008</v>
      </c>
      <c r="AL13" s="63" cm="1">
        <f t="array" ref="AL13">INDEX(FX_Vap,$KG13,AL$91)-INDEX(FX_Vap,$KH13,AL$91)</f>
        <v>9.3413357178260322E-4</v>
      </c>
      <c r="AM13" s="73" cm="1">
        <f t="array" ref="AM13">IF(AI13="Out of Service",0,INDEX(FX_Vap,$KI13,AM$91))</f>
        <v>5.1351067062407989E-3</v>
      </c>
      <c r="AN13" s="63">
        <f t="shared" si="11"/>
        <v>2.0180515663370695E-2</v>
      </c>
      <c r="AO13" s="63">
        <f t="shared" si="12"/>
        <v>0.9943058947198814</v>
      </c>
      <c r="AP13" s="63" cm="1">
        <f t="array" ref="AP13">INDEX(FX_Vap,$KJ13,AP$91)</f>
        <v>130</v>
      </c>
      <c r="AQ13" s="63" cm="1">
        <f t="array" ref="AQ13">INDEX(FX_Temps,$KD13,AQ$89)+459.6</f>
        <v>505.78500000000008</v>
      </c>
      <c r="AR13" s="63">
        <f t="shared" si="13"/>
        <v>1.2299478130220538E-4</v>
      </c>
      <c r="AS13" s="63" cm="1">
        <f t="array" ref="AS13">INDEX(Month_Ref,AS$83,3)*AN13*(PI()/4*$F13^2)*$H13*AO13*AR13</f>
        <v>11.420023753128135</v>
      </c>
      <c r="AT13" s="63" cm="1">
        <f t="array" ref="AT13">INDEX(FX_Input,$KB13,AT$85)</f>
        <v>56285</v>
      </c>
      <c r="AU13" s="63">
        <f t="shared" si="14"/>
        <v>315983.99</v>
      </c>
      <c r="AV13" s="63">
        <f t="shared" si="15"/>
        <v>1.0587455567663164</v>
      </c>
      <c r="AW13" s="63">
        <f t="shared" si="16"/>
        <v>1</v>
      </c>
      <c r="AX13" s="63" cm="1">
        <f t="array" ref="AX13">IF(OR(INDEX(FX_Vap,$KK13,AX$90)="Crude Oil",(INDEX(FX_Vap,$KL13,AX$90)="Crude Oil")),0.75,1)</f>
        <v>1</v>
      </c>
      <c r="AY13" s="63">
        <f t="shared" ref="AY13:AY77" si="109">AY12</f>
        <v>1</v>
      </c>
      <c r="AZ13" s="63">
        <f t="shared" si="17"/>
        <v>38.864381745048249</v>
      </c>
      <c r="BA13" s="64">
        <f t="shared" si="18"/>
        <v>50.284405498176383</v>
      </c>
      <c r="BB13" s="80" t="str" cm="1">
        <f t="array" ref="BB13">IF(ISBLANK(INDEX(FX_Input,$KB13+1,BB$85)),INDEX(FX_Input,$KB13,BB$85),INDEX(FX_Input,$KB13,BB$85)&amp;" &amp; "&amp;INDEX(FX_Input,$KB13+1,BB$85))</f>
        <v>Jet kerosene</v>
      </c>
      <c r="BC13" s="63" cm="1">
        <f t="array" ref="BC13">INDEX(FX_Temps,$KC13+7,BC$89)</f>
        <v>13.62500000000003</v>
      </c>
      <c r="BD13" s="63" cm="1">
        <f t="array" ref="BD13">INDEX(FX_Temps,$KC13+13,BD$89)+459.6</f>
        <v>507.87057500000003</v>
      </c>
      <c r="BE13" s="63" cm="1">
        <f t="array" ref="BE13">INDEX(FX_Vap,$KG13,BE$91)-INDEX(FX_Vap,$KH13,BE$91)</f>
        <v>9.8971985989682477E-4</v>
      </c>
      <c r="BF13" s="73" cm="1">
        <f t="array" ref="BF13">IF(BB13="Out of Service",0,INDEX(FX_Vap,$KI13,BF$91))</f>
        <v>5.5213829543467952E-3</v>
      </c>
      <c r="BG13" s="63">
        <f t="shared" si="19"/>
        <v>2.2811888004276384E-2</v>
      </c>
      <c r="BH13" s="63">
        <f t="shared" si="20"/>
        <v>0.99388019039817976</v>
      </c>
      <c r="BI13" s="63" cm="1">
        <f t="array" ref="BI13">INDEX(FX_Vap,$KJ13,BI$91)</f>
        <v>130</v>
      </c>
      <c r="BJ13" s="63" cm="1">
        <f t="array" ref="BJ13">INDEX(FX_Temps,$KD13,BJ$89)+459.6</f>
        <v>507.87057500000003</v>
      </c>
      <c r="BK13" s="63">
        <f t="shared" si="21"/>
        <v>1.3170370007990181E-4</v>
      </c>
      <c r="BL13" s="63" cm="1">
        <f t="array" ref="BL13">INDEX(Month_Ref,BL$83,3)*BG13*(PI()/4*$F13^2)*$H13*BH13*BK13</f>
        <v>15.297658197101908</v>
      </c>
      <c r="BM13" s="63" cm="1">
        <f t="array" ref="BM13">INDEX(FX_Input,$KB13,BM$85)</f>
        <v>56285</v>
      </c>
      <c r="BN13" s="63">
        <f t="shared" si="22"/>
        <v>315983.99</v>
      </c>
      <c r="BO13" s="63">
        <f t="shared" si="23"/>
        <v>1.0587455567663164</v>
      </c>
      <c r="BP13" s="63">
        <f t="shared" si="24"/>
        <v>1</v>
      </c>
      <c r="BQ13" s="63" cm="1">
        <f t="array" ref="BQ13">IF(OR(INDEX(FX_Vap,$KK13,BQ$90)="Crude Oil",(INDEX(FX_Vap,$KL13,BQ$90)="Crude Oil")),0.75,1)</f>
        <v>1</v>
      </c>
      <c r="BR13" s="63">
        <f t="shared" ref="BR13:BR77" si="110">BR12</f>
        <v>1</v>
      </c>
      <c r="BS13" s="63">
        <f t="shared" si="25"/>
        <v>41.616260649010691</v>
      </c>
      <c r="BT13" s="64">
        <f t="shared" si="26"/>
        <v>56.913918846112601</v>
      </c>
      <c r="BU13" s="80" t="str" cm="1">
        <f t="array" ref="BU13">IF(ISBLANK(INDEX(FX_Input,$KB13+1,BU$85)),INDEX(FX_Input,$KB13,BU$85),INDEX(FX_Input,$KB13,BU$85)&amp;" &amp; "&amp;INDEX(FX_Input,$KB13+1,BU$85))</f>
        <v>Jet kerosene</v>
      </c>
      <c r="BV13" s="63" cm="1">
        <f t="array" ref="BV13">INDEX(FX_Temps,$KC13+7,BV$89)</f>
        <v>15.639999999999983</v>
      </c>
      <c r="BW13" s="63" cm="1">
        <f t="array" ref="BW13">INDEX(FX_Temps,$KC13+13,BW$89)+459.6</f>
        <v>511.29869999999994</v>
      </c>
      <c r="BX13" s="63" cm="1">
        <f t="array" ref="BX13">INDEX(FX_Vap,$KG13,BX$91)-INDEX(FX_Vap,$KH13,BX$91)</f>
        <v>1.1058961440241618E-3</v>
      </c>
      <c r="BY13" s="73" cm="1">
        <f t="array" ref="BY13">IF(BU13="Out of Service",0,INDEX(FX_Vap,$KI13,BY$91))</f>
        <v>6.2124720487193742E-3</v>
      </c>
      <c r="BZ13" s="63">
        <f t="shared" si="27"/>
        <v>2.6580677742499288E-2</v>
      </c>
      <c r="CA13" s="63">
        <f t="shared" si="28"/>
        <v>0.99311946909897986</v>
      </c>
      <c r="CB13" s="63" cm="1">
        <f t="array" ref="CB13">INDEX(FX_Vap,$KJ13,CB$91)</f>
        <v>130</v>
      </c>
      <c r="CC13" s="63" cm="1">
        <f t="array" ref="CC13">INDEX(FX_Temps,$KD13,CC$89)+459.6</f>
        <v>511.29869999999994</v>
      </c>
      <c r="CD13" s="63">
        <f t="shared" si="29"/>
        <v>1.4719495213728575E-4</v>
      </c>
      <c r="CE13" s="63" cm="1">
        <f t="array" ref="CE13">INDEX(Month_Ref,CE$83,3)*BZ13*(PI()/4*$F13^2)*$H13*CA13*CD13</f>
        <v>19.264233570879327</v>
      </c>
      <c r="CF13" s="63" cm="1">
        <f t="array" ref="CF13">INDEX(FX_Input,$KB13,CF$85)</f>
        <v>56285</v>
      </c>
      <c r="CG13" s="63">
        <f t="shared" si="30"/>
        <v>315983.99</v>
      </c>
      <c r="CH13" s="63">
        <f t="shared" si="31"/>
        <v>1.0587455567663164</v>
      </c>
      <c r="CI13" s="63">
        <f t="shared" si="32"/>
        <v>1</v>
      </c>
      <c r="CJ13" s="63" cm="1">
        <f t="array" ref="CJ13">IF(OR(INDEX(FX_Vap,$KK13,CJ$90)="Crude Oil",(INDEX(FX_Vap,$KL13,CJ$90)="Crude Oil")),0.75,1)</f>
        <v>1</v>
      </c>
      <c r="CK13" s="63">
        <f t="shared" ref="CK13:CK77" si="111">CK12</f>
        <v>1</v>
      </c>
      <c r="CL13" s="63">
        <f t="shared" si="33"/>
        <v>46.511248284198579</v>
      </c>
      <c r="CM13" s="64">
        <f t="shared" si="34"/>
        <v>65.775481855077913</v>
      </c>
      <c r="CN13" s="80" t="str" cm="1">
        <f t="array" ref="CN13">IF(ISBLANK(INDEX(FX_Input,$KB13+1,CN$85)),INDEX(FX_Input,$KB13,CN$85),INDEX(FX_Input,$KB13,CN$85)&amp;" &amp; "&amp;INDEX(FX_Input,$KB13+1,CN$85))</f>
        <v>Jet kerosene</v>
      </c>
      <c r="CO13" s="63" cm="1">
        <f t="array" ref="CO13">INDEX(FX_Temps,$KC13+7,CO$89)</f>
        <v>16.994999999999969</v>
      </c>
      <c r="CP13" s="63" cm="1">
        <f t="array" ref="CP13">INDEX(FX_Temps,$KC13+13,CP$89)+459.6</f>
        <v>516.5540749999999</v>
      </c>
      <c r="CQ13" s="63" cm="1">
        <f t="array" ref="CQ13">INDEX(FX_Vap,$KG13,CQ$91)-INDEX(FX_Vap,$KH13,CQ$91)</f>
        <v>1.2769509865756092E-3</v>
      </c>
      <c r="CR13" s="73" cm="1">
        <f t="array" ref="CR13">IF(CN13="Out of Service",0,INDEX(FX_Vap,$KI13,CR$91))</f>
        <v>7.4209663387537275E-3</v>
      </c>
      <c r="CS13" s="63">
        <f t="shared" si="35"/>
        <v>2.8903935164848002E-2</v>
      </c>
      <c r="CT13" s="63">
        <f t="shared" si="36"/>
        <v>0.99179200523442335</v>
      </c>
      <c r="CU13" s="63" cm="1">
        <f t="array" ref="CU13">INDEX(FX_Vap,$KJ13,CU$91)</f>
        <v>130</v>
      </c>
      <c r="CV13" s="63" cm="1">
        <f t="array" ref="CV13">INDEX(FX_Temps,$KD13,CV$89)+459.6</f>
        <v>516.5540749999999</v>
      </c>
      <c r="CW13" s="63">
        <f t="shared" si="37"/>
        <v>1.7403950007616097E-4</v>
      </c>
      <c r="CX13" s="63" cm="1">
        <f t="array" ref="CX13">INDEX(Month_Ref,CX$83,3)*CS13*(PI()/4*$F13^2)*$H13*CT13*CW13</f>
        <v>25.559780285749195</v>
      </c>
      <c r="CY13" s="63" cm="1">
        <f t="array" ref="CY13">INDEX(FX_Input,$KB13,CY$85)</f>
        <v>56285</v>
      </c>
      <c r="CZ13" s="63">
        <f t="shared" si="38"/>
        <v>315983.99</v>
      </c>
      <c r="DA13" s="63">
        <f t="shared" si="39"/>
        <v>1.0587455567663164</v>
      </c>
      <c r="DB13" s="63">
        <f t="shared" si="40"/>
        <v>1</v>
      </c>
      <c r="DC13" s="63" cm="1">
        <f t="array" ref="DC13">IF(OR(INDEX(FX_Vap,$KK13,DC$90)="Crude Oil",(INDEX(FX_Vap,$KL13,DC$90)="Crude Oil")),0.75,1)</f>
        <v>1</v>
      </c>
      <c r="DD13" s="63">
        <f t="shared" ref="DD13:DD77" si="112">DD12</f>
        <v>1</v>
      </c>
      <c r="DE13" s="63">
        <f t="shared" si="41"/>
        <v>54.993695651670649</v>
      </c>
      <c r="DF13" s="64">
        <f t="shared" si="42"/>
        <v>80.553475937419847</v>
      </c>
      <c r="DG13" s="80" t="str" cm="1">
        <f t="array" ref="DG13">IF(ISBLANK(INDEX(FX_Input,$KB13+1,DG$85)),INDEX(FX_Input,$KB13,DG$85),INDEX(FX_Input,$KB13,DG$85)&amp;" &amp; "&amp;INDEX(FX_Input,$KB13+1,DG$85))</f>
        <v>Jet kerosene</v>
      </c>
      <c r="DH13" s="63" cm="1">
        <f t="array" ref="DH13">INDEX(FX_Temps,$KC13+7,DH$89)</f>
        <v>16.885000000000041</v>
      </c>
      <c r="DI13" s="63" cm="1">
        <f t="array" ref="DI13">INDEX(FX_Temps,$KC13+13,DI$89)+459.6</f>
        <v>520.5768250000001</v>
      </c>
      <c r="DJ13" s="63" cm="1">
        <f t="array" ref="DJ13">INDEX(FX_Vap,$KG13,DJ$91)-INDEX(FX_Vap,$KH13,DJ$91)</f>
        <v>1.3484653740421003E-3</v>
      </c>
      <c r="DK13" s="73" cm="1">
        <f t="array" ref="DK13">IF(DG13="Out of Service",0,INDEX(FX_Vap,$KI13,DK$91))</f>
        <v>8.4819819298252285E-3</v>
      </c>
      <c r="DL13" s="63">
        <f t="shared" si="43"/>
        <v>2.8442970354993463E-2</v>
      </c>
      <c r="DM13" s="63">
        <f t="shared" si="44"/>
        <v>0.99062946065825164</v>
      </c>
      <c r="DN13" s="63" cm="1">
        <f t="array" ref="DN13">INDEX(FX_Vap,$KJ13,DN$91)</f>
        <v>130</v>
      </c>
      <c r="DO13" s="63" cm="1">
        <f t="array" ref="DO13">INDEX(FX_Temps,$KD13,DO$89)+459.6</f>
        <v>520.5768250000001</v>
      </c>
      <c r="DP13" s="63">
        <f t="shared" si="45"/>
        <v>1.9738569267093546E-4</v>
      </c>
      <c r="DQ13" s="63" cm="1">
        <f t="array" ref="DQ13">INDEX(Month_Ref,DQ$83,3)*DL13*(PI()/4*$F13^2)*$H13*DM13*DP13</f>
        <v>27.573578379962232</v>
      </c>
      <c r="DR13" s="63" cm="1">
        <f t="array" ref="DR13">INDEX(FX_Input,$KB13,DR$85)</f>
        <v>56285</v>
      </c>
      <c r="DS13" s="63">
        <f t="shared" si="46"/>
        <v>315983.99</v>
      </c>
      <c r="DT13" s="63">
        <f t="shared" si="47"/>
        <v>1.0587455567663164</v>
      </c>
      <c r="DU13" s="63">
        <f t="shared" si="48"/>
        <v>1</v>
      </c>
      <c r="DV13" s="63" cm="1">
        <f t="array" ref="DV13">IF(OR(INDEX(FX_Vap,$KK13,DV$90)="Crude Oil",(INDEX(FX_Vap,$KL13,DV$90)="Crude Oil")),0.75,1)</f>
        <v>1</v>
      </c>
      <c r="DW13" s="63">
        <f t="shared" ref="DW13:DW77" si="113">DW12</f>
        <v>1</v>
      </c>
      <c r="DX13" s="63">
        <f t="shared" si="49"/>
        <v>62.37071873907594</v>
      </c>
      <c r="DY13" s="64">
        <f t="shared" si="50"/>
        <v>89.944297119038168</v>
      </c>
      <c r="DZ13" s="80" t="str" cm="1">
        <f t="array" ref="DZ13">IF(ISBLANK(INDEX(FX_Input,$KB13+1,DZ$85)),INDEX(FX_Input,$KB13,DZ$85),INDEX(FX_Input,$KB13,DZ$85)&amp;" &amp; "&amp;INDEX(FX_Input,$KB13+1,DZ$85))</f>
        <v>Jet kerosene</v>
      </c>
      <c r="EA13" s="63" cm="1">
        <f t="array" ref="EA13">INDEX(FX_Temps,$KC13+7,EA$89)</f>
        <v>17.42999999999995</v>
      </c>
      <c r="EB13" s="63" cm="1">
        <f t="array" ref="EB13">INDEX(FX_Temps,$KC13+13,EB$89)+459.6</f>
        <v>524.27729999999985</v>
      </c>
      <c r="EC13" s="63" cm="1">
        <f t="array" ref="EC13">INDEX(FX_Vap,$KG13,EC$91)-INDEX(FX_Vap,$KH13,EC$91)</f>
        <v>1.5227758159827732E-3</v>
      </c>
      <c r="ED13" s="73" cm="1">
        <f t="array" ref="ED13">IF(DZ13="Out of Service",0,INDEX(FX_Vap,$KI13,ED$91))</f>
        <v>9.5741064128135375E-3</v>
      </c>
      <c r="EE13" s="63">
        <f t="shared" si="51"/>
        <v>2.9265130122321317E-2</v>
      </c>
      <c r="EF13" s="63">
        <f t="shared" si="52"/>
        <v>0.98943567336184024</v>
      </c>
      <c r="EG13" s="63" cm="1">
        <f t="array" ref="EG13">INDEX(FX_Vap,$KJ13,EG$91)</f>
        <v>130</v>
      </c>
      <c r="EH13" s="63" cm="1">
        <f t="array" ref="EH13">INDEX(FX_Temps,$KD13,EH$89)+459.6</f>
        <v>524.27729999999985</v>
      </c>
      <c r="EI13" s="63">
        <f t="shared" si="53"/>
        <v>2.2122813261247964E-4</v>
      </c>
      <c r="EJ13" s="63" cm="1">
        <f t="array" ref="EJ13">INDEX(Month_Ref,EJ$83,3)*EE13*(PI()/4*$F13^2)*$H13*EF13*EI13</f>
        <v>32.817847231390751</v>
      </c>
      <c r="EK13" s="63" cm="1">
        <f t="array" ref="EK13">INDEX(FX_Input,$KB13,EK$85)</f>
        <v>56285</v>
      </c>
      <c r="EL13" s="63">
        <f t="shared" si="54"/>
        <v>315983.99</v>
      </c>
      <c r="EM13" s="63">
        <f t="shared" si="55"/>
        <v>1.0587455567663164</v>
      </c>
      <c r="EN13" s="63">
        <f t="shared" si="56"/>
        <v>1</v>
      </c>
      <c r="EO13" s="63" cm="1">
        <f t="array" ref="EO13">IF(OR(INDEX(FX_Vap,$KK13,EO$90)="Crude Oil",(INDEX(FX_Vap,$KL13,EO$90)="Crude Oil")),0.75,1)</f>
        <v>1</v>
      </c>
      <c r="EP13" s="63">
        <f t="shared" ref="EP13:EP77" si="114">EP12</f>
        <v>1</v>
      </c>
      <c r="EQ13" s="63">
        <f t="shared" si="57"/>
        <v>69.904548043140437</v>
      </c>
      <c r="ER13" s="64">
        <f t="shared" si="58"/>
        <v>102.72239527453118</v>
      </c>
      <c r="ES13" s="80" t="str" cm="1">
        <f t="array" ref="ES13">IF(ISBLANK(INDEX(FX_Input,$KB13+1,ES$85)),INDEX(FX_Input,$KB13,ES$85),INDEX(FX_Input,$KB13,ES$85)&amp;" &amp; "&amp;INDEX(FX_Input,$KB13+1,ES$85))</f>
        <v>Jet kerosene</v>
      </c>
      <c r="ET13" s="63" cm="1">
        <f t="array" ref="ET13">INDEX(FX_Temps,$KC13+7,ET$89)</f>
        <v>16.980000000000015</v>
      </c>
      <c r="EU13" s="63" cm="1">
        <f t="array" ref="EU13">INDEX(FX_Temps,$KC13+13,EU$89)+459.6</f>
        <v>524.19269999999995</v>
      </c>
      <c r="EV13" s="63" cm="1">
        <f t="array" ref="EV13">INDEX(FX_Vap,$KG13,EV$91)-INDEX(FX_Vap,$KH13,EV$91)</f>
        <v>1.6347701028187334E-3</v>
      </c>
      <c r="EW13" s="73" cm="1">
        <f t="array" ref="EW13">IF(ES13="Out of Service",0,INDEX(FX_Vap,$KI13,EW$91))</f>
        <v>9.5478148180509845E-3</v>
      </c>
      <c r="EX13" s="63">
        <f t="shared" si="59"/>
        <v>2.8419663497525748E-2</v>
      </c>
      <c r="EY13" s="63">
        <f t="shared" si="60"/>
        <v>0.98946437856759573</v>
      </c>
      <c r="EZ13" s="63" cm="1">
        <f t="array" ref="EZ13">INDEX(FX_Vap,$KJ13,EZ$91)</f>
        <v>130</v>
      </c>
      <c r="FA13" s="63" cm="1">
        <f t="array" ref="FA13">INDEX(FX_Temps,$KD13,FA$89)+459.6</f>
        <v>524.19269999999995</v>
      </c>
      <c r="FB13" s="63">
        <f t="shared" si="61"/>
        <v>2.2065622096450189E-4</v>
      </c>
      <c r="FC13" s="63" cm="1">
        <f t="array" ref="FC13">INDEX(Month_Ref,FC$83,3)*EX13*(PI()/4*$F13^2)*$H13*EY13*FB13</f>
        <v>31.788276571681937</v>
      </c>
      <c r="FD13" s="63" cm="1">
        <f t="array" ref="FD13">INDEX(FX_Input,$KB13,FD$85)</f>
        <v>56285</v>
      </c>
      <c r="FE13" s="63">
        <f t="shared" si="62"/>
        <v>315983.99</v>
      </c>
      <c r="FF13" s="63">
        <f t="shared" si="63"/>
        <v>1.0587455567663164</v>
      </c>
      <c r="FG13" s="63">
        <f t="shared" si="64"/>
        <v>1</v>
      </c>
      <c r="FH13" s="63" cm="1">
        <f t="array" ref="FH13">IF(OR(INDEX(FX_Vap,$KK13,FH$90)="Crude Oil",(INDEX(FX_Vap,$KL13,FH$90)="Crude Oil")),0.75,1)</f>
        <v>1</v>
      </c>
      <c r="FI13" s="63">
        <f t="shared" ref="FI13:FI77" si="115">FI12</f>
        <v>1</v>
      </c>
      <c r="FJ13" s="63">
        <f t="shared" si="65"/>
        <v>69.723833118684951</v>
      </c>
      <c r="FK13" s="64">
        <f t="shared" si="66"/>
        <v>101.51210969036688</v>
      </c>
      <c r="FL13" s="80" t="str" cm="1">
        <f t="array" ref="FL13">IF(ISBLANK(INDEX(FX_Input,$KB13+1,FL$85)),INDEX(FX_Input,$KB13,FL$85),INDEX(FX_Input,$KB13,FL$85)&amp;" &amp; "&amp;INDEX(FX_Input,$KB13+1,FL$85))</f>
        <v>Jet kerosene</v>
      </c>
      <c r="FM13" s="63" cm="1">
        <f t="array" ref="FM13">INDEX(FX_Temps,$KC13+7,FM$89)</f>
        <v>17.459999999999983</v>
      </c>
      <c r="FN13" s="63" cm="1">
        <f t="array" ref="FN13">INDEX(FX_Temps,$KC13+13,FN$89)+459.6</f>
        <v>521.16010000000006</v>
      </c>
      <c r="FO13" s="63" cm="1">
        <f t="array" ref="FO13">INDEX(FX_Vap,$KG13,FO$91)-INDEX(FX_Vap,$KH13,FO$91)</f>
        <v>1.8182300379836203E-3</v>
      </c>
      <c r="FP13" s="73" cm="1">
        <f t="array" ref="FP13">IF(FL13="Out of Service",0,INDEX(FX_Vap,$KI13,FP$91))</f>
        <v>8.6464528192362108E-3</v>
      </c>
      <c r="FQ13" s="63">
        <f t="shared" si="67"/>
        <v>2.9541908055768631E-2</v>
      </c>
      <c r="FR13" s="63">
        <f t="shared" si="68"/>
        <v>0.99044949542172966</v>
      </c>
      <c r="FS13" s="63" cm="1">
        <f t="array" ref="FS13">INDEX(FX_Vap,$KJ13,FS$91)</f>
        <v>130</v>
      </c>
      <c r="FT13" s="63" cm="1">
        <f t="array" ref="FT13">INDEX(FX_Temps,$KD13,FT$89)+459.6</f>
        <v>521.16010000000006</v>
      </c>
      <c r="FU13" s="63">
        <f t="shared" si="69"/>
        <v>2.009879287762041E-4</v>
      </c>
      <c r="FV13" s="63" cm="1">
        <f t="array" ref="FV13">INDEX(Month_Ref,FV$83,3)*FQ13*(PI()/4*$F13^2)*$H13*FR13*FU13</f>
        <v>29.156280814998432</v>
      </c>
      <c r="FW13" s="63" cm="1">
        <f t="array" ref="FW13">INDEX(FX_Input,$KB13,FW$85)</f>
        <v>56285</v>
      </c>
      <c r="FX13" s="63">
        <f t="shared" si="70"/>
        <v>315983.99</v>
      </c>
      <c r="FY13" s="63">
        <f t="shared" si="71"/>
        <v>1.0587455567663164</v>
      </c>
      <c r="FZ13" s="63">
        <f t="shared" si="72"/>
        <v>1</v>
      </c>
      <c r="GA13" s="63" cm="1">
        <f t="array" ref="GA13">IF(OR(INDEX(FX_Vap,$KK13,GA$90)="Crude Oil",(INDEX(FX_Vap,$KL13,GA$90)="Crude Oil")),0.75,1)</f>
        <v>1</v>
      </c>
      <c r="GB13" s="63">
        <f t="shared" ref="GB13:GB77" si="116">GB12</f>
        <v>1</v>
      </c>
      <c r="GC13" s="63">
        <f t="shared" si="73"/>
        <v>63.508967676540784</v>
      </c>
      <c r="GD13" s="64">
        <f t="shared" si="74"/>
        <v>92.665248491539217</v>
      </c>
      <c r="GE13" s="80" t="str" cm="1">
        <f t="array" ref="GE13">IF(ISBLANK(INDEX(FX_Input,$KB13+1,GE$85)),INDEX(FX_Input,$KB13,GE$85),INDEX(FX_Input,$KB13,GE$85)&amp;" &amp; "&amp;INDEX(FX_Input,$KB13+1,GE$85))</f>
        <v>Jet kerosene</v>
      </c>
      <c r="GF13" s="63" cm="1">
        <f t="array" ref="GF13">INDEX(FX_Temps,$KC13+7,GF$89)</f>
        <v>13.929999999999993</v>
      </c>
      <c r="GG13" s="63" cm="1">
        <f t="array" ref="GG13">INDEX(FX_Temps,$KC13+13,GG$89)+459.6</f>
        <v>514.05180000000007</v>
      </c>
      <c r="GH13" s="63" cm="1">
        <f t="array" ref="GH13">INDEX(FX_Vap,$KG13,GH$91)-INDEX(FX_Vap,$KH13,GH$91)</f>
        <v>1.3347759158748732E-3</v>
      </c>
      <c r="GI13" s="73" cm="1">
        <f t="array" ref="GI13">IF(GE13="Out of Service",0,INDEX(FX_Vap,$KI13,GI$91))</f>
        <v>6.8218393379121701E-3</v>
      </c>
      <c r="GJ13" s="63">
        <f t="shared" si="75"/>
        <v>2.3105751925026341E-2</v>
      </c>
      <c r="GK13" s="63">
        <f t="shared" si="76"/>
        <v>0.99244966911816401</v>
      </c>
      <c r="GL13" s="63" cm="1">
        <f t="array" ref="GL13">INDEX(FX_Vap,$KJ13,GL$91)</f>
        <v>130</v>
      </c>
      <c r="GM13" s="63" cm="1">
        <f t="array" ref="GM13">INDEX(FX_Temps,$KD13,GM$89)+459.6</f>
        <v>514.05180000000007</v>
      </c>
      <c r="GN13" s="63">
        <f t="shared" si="77"/>
        <v>1.6076731562400743E-4</v>
      </c>
      <c r="GO13" s="63" cm="1">
        <f t="array" ref="GO13">INDEX(Month_Ref,GO$83,3)*GJ13*(PI()/4*$F13^2)*$H13*GK13*GN13</f>
        <v>18.886786430616144</v>
      </c>
      <c r="GP13" s="63" cm="1">
        <f t="array" ref="GP13">INDEX(FX_Input,$KB13,GP$85)</f>
        <v>56285</v>
      </c>
      <c r="GQ13" s="63">
        <f t="shared" si="78"/>
        <v>315983.99</v>
      </c>
      <c r="GR13" s="63">
        <f t="shared" si="79"/>
        <v>1.0587455567663164</v>
      </c>
      <c r="GS13" s="63">
        <f t="shared" si="80"/>
        <v>1</v>
      </c>
      <c r="GT13" s="63" cm="1">
        <f t="array" ref="GT13">IF(OR(INDEX(FX_Vap,$KK13,GT$90)="Crude Oil",(INDEX(FX_Vap,$KL13,GT$90)="Crude Oil")),0.75,1)</f>
        <v>1</v>
      </c>
      <c r="GU13" s="63">
        <f t="shared" ref="GU13:GU77" si="117">GU12</f>
        <v>1</v>
      </c>
      <c r="GV13" s="63">
        <f t="shared" si="81"/>
        <v>50.799897852463204</v>
      </c>
      <c r="GW13" s="64">
        <f t="shared" si="82"/>
        <v>69.686684283079344</v>
      </c>
      <c r="GX13" s="80" t="str" cm="1">
        <f t="array" ref="GX13">IF(ISBLANK(INDEX(FX_Input,$KB13+1,GX$85)),INDEX(FX_Input,$KB13,GX$85),INDEX(FX_Input,$KB13,GX$85)&amp;" &amp; "&amp;INDEX(FX_Input,$KB13+1,GX$85))</f>
        <v>Jet kerosene</v>
      </c>
      <c r="GY13" s="63" cm="1">
        <f t="array" ref="GY13">INDEX(FX_Temps,$KC13+7,GY$89)</f>
        <v>10.495000000000031</v>
      </c>
      <c r="GZ13" s="63" cm="1">
        <f t="array" ref="GZ13">INDEX(FX_Temps,$KC13+13,GZ$89)+459.6</f>
        <v>507.66772500000002</v>
      </c>
      <c r="HA13" s="63" cm="1">
        <f t="array" ref="HA13">INDEX(FX_Vap,$KG13,HA$91)-INDEX(FX_Vap,$KH13,HA$91)</f>
        <v>9.195178026090425E-4</v>
      </c>
      <c r="HB13" s="73" cm="1">
        <f t="array" ref="HB13">IF(GX13="Out of Service",0,INDEX(FX_Vap,$KI13,HB$91))</f>
        <v>5.4827140055800742E-3</v>
      </c>
      <c r="HC13" s="63">
        <f t="shared" si="83"/>
        <v>1.6652390699251968E-2</v>
      </c>
      <c r="HD13" s="63">
        <f t="shared" si="84"/>
        <v>0.99392278995245442</v>
      </c>
      <c r="HE13" s="63" cm="1">
        <f t="array" ref="HE13">INDEX(FX_Vap,$KJ13,HE$91)</f>
        <v>130</v>
      </c>
      <c r="HF13" s="63" cm="1">
        <f t="array" ref="HF13">INDEX(FX_Temps,$KD13,HF$89)+459.6</f>
        <v>507.66772500000002</v>
      </c>
      <c r="HG13" s="63">
        <f t="shared" si="85"/>
        <v>1.3083357117100054E-4</v>
      </c>
      <c r="HH13" s="63" cm="1">
        <f t="array" ref="HH13">INDEX(Month_Ref,HH$83,3)*HC13*(PI()/4*$F13^2)*$H13*HD13*HG13</f>
        <v>10.735930932879816</v>
      </c>
      <c r="HI13" s="63" cm="1">
        <f t="array" ref="HI13">INDEX(FX_Input,$KB13,HI$85)</f>
        <v>56285</v>
      </c>
      <c r="HJ13" s="63">
        <f t="shared" si="86"/>
        <v>315983.99</v>
      </c>
      <c r="HK13" s="63">
        <f t="shared" si="87"/>
        <v>1.0587455567663164</v>
      </c>
      <c r="HL13" s="63">
        <f t="shared" si="88"/>
        <v>1</v>
      </c>
      <c r="HM13" s="63" cm="1">
        <f t="array" ref="HM13">IF(OR(INDEX(FX_Vap,$KK13,HM$90)="Crude Oil",(INDEX(FX_Vap,$KL13,HM$90)="Crude Oil")),0.75,1)</f>
        <v>1</v>
      </c>
      <c r="HN13" s="63">
        <f t="shared" ref="HN13:HN77" si="118">HN12</f>
        <v>1</v>
      </c>
      <c r="HO13" s="63">
        <f t="shared" si="89"/>
        <v>41.341313844561718</v>
      </c>
      <c r="HP13" s="64">
        <f t="shared" si="90"/>
        <v>52.077244777441535</v>
      </c>
      <c r="HQ13" s="80" t="str" cm="1">
        <f t="array" ref="HQ13">IF(ISBLANK(INDEX(FX_Input,$KB13+1,HQ$85)),INDEX(FX_Input,$KB13,HQ$85),INDEX(FX_Input,$KB13,HQ$85)&amp;" &amp; "&amp;INDEX(FX_Input,$KB13+1,HQ$85))</f>
        <v>Jet kerosene</v>
      </c>
      <c r="HR13" s="63" cm="1">
        <f t="array" ref="HR13">INDEX(FX_Temps,$KC13+7,HR$89)</f>
        <v>8.51</v>
      </c>
      <c r="HS13" s="63" cm="1">
        <f t="array" ref="HS13">INDEX(FX_Temps,$KC13+13,HS$89)+459.6</f>
        <v>503.94745000000006</v>
      </c>
      <c r="HT13" s="63" cm="1">
        <f t="array" ref="HT13">INDEX(FX_Vap,$KG13,HT$91)-INDEX(FX_Vap,$KH13,HT$91)</f>
        <v>6.7288136336403261E-4</v>
      </c>
      <c r="HU13" s="73" cm="1">
        <f t="array" ref="HU13">IF(HQ13="Out of Service",0,INDEX(FX_Vap,$KI13,HU$91))</f>
        <v>4.8148298503950734E-3</v>
      </c>
      <c r="HV13" s="63">
        <f t="shared" si="91"/>
        <v>1.2849500592893781E-2</v>
      </c>
      <c r="HW13" s="63">
        <f t="shared" si="92"/>
        <v>0.99465913958221419</v>
      </c>
      <c r="HX13" s="63" cm="1">
        <f t="array" ref="HX13">INDEX(FX_Vap,$KJ13,HX$91)</f>
        <v>130</v>
      </c>
      <c r="HY13" s="63" cm="1">
        <f t="array" ref="HY13">INDEX(FX_Temps,$KD13,HY$89)+459.6</f>
        <v>503.94745000000006</v>
      </c>
      <c r="HZ13" s="63">
        <f t="shared" si="93"/>
        <v>1.1574409666728695E-4</v>
      </c>
      <c r="IA13" s="63" cm="1">
        <f t="array" ref="IA13">INDEX(Month_Ref,IA$83,3)*HV13*(PI()/4*$F13^2)*$H13*HW13*HZ13</f>
        <v>7.5786366844349917</v>
      </c>
      <c r="IB13" s="63" cm="1">
        <f t="array" ref="IB13">INDEX(FX_Input,$KB13,IB$85)</f>
        <v>56285</v>
      </c>
      <c r="IC13" s="63">
        <f t="shared" si="94"/>
        <v>315983.99</v>
      </c>
      <c r="ID13" s="63">
        <f t="shared" si="95"/>
        <v>1.0587455567663164</v>
      </c>
      <c r="IE13" s="63">
        <f t="shared" si="96"/>
        <v>1</v>
      </c>
      <c r="IF13" s="63" cm="1">
        <f t="array" ref="IF13">IF(OR(INDEX(FX_Vap,$KK13,IF$90)="Crude Oil",(INDEX(FX_Vap,$KL13,IF$90)="Crude Oil")),0.75,1)</f>
        <v>1</v>
      </c>
      <c r="IG13" s="63">
        <f t="shared" ref="IG13:IG77" si="119">IG12</f>
        <v>1</v>
      </c>
      <c r="IH13" s="63">
        <f t="shared" si="97"/>
        <v>36.573281483875029</v>
      </c>
      <c r="II13" s="64">
        <f t="shared" si="98"/>
        <v>44.151918168310019</v>
      </c>
      <c r="IJ13" s="80">
        <f t="shared" si="99"/>
        <v>238.32677610493161</v>
      </c>
      <c r="IK13" s="63">
        <f t="shared" si="100"/>
        <v>0.1191633880524658</v>
      </c>
      <c r="IL13" s="63">
        <f t="shared" si="101"/>
        <v>613.27162351295419</v>
      </c>
      <c r="IM13" s="63">
        <f t="shared" si="102"/>
        <v>0.30663581175647708</v>
      </c>
      <c r="IN13" s="63">
        <f t="shared" si="103"/>
        <v>851.59839961788566</v>
      </c>
      <c r="IO13" s="64">
        <f t="shared" si="104"/>
        <v>0.42579919980894282</v>
      </c>
      <c r="KB13" s="43">
        <f t="shared" ref="KB13:KB77" si="120">KB12+2</f>
        <v>5</v>
      </c>
      <c r="KC13" s="43">
        <f t="shared" ref="KC13:KC77" si="121">KC12+14</f>
        <v>29</v>
      </c>
      <c r="KD13" s="43">
        <f t="shared" ref="KD13:KD77" si="122">KD12+14</f>
        <v>42</v>
      </c>
      <c r="KE13" s="43">
        <f t="shared" ref="KE13:KE77" si="123">KE12+14</f>
        <v>29</v>
      </c>
      <c r="KF13" s="43">
        <f t="shared" ref="KF13:KJ67" si="124">KF12+34</f>
        <v>69</v>
      </c>
      <c r="KG13" s="43">
        <f t="shared" ref="KG13:KJ66" si="125">KG12+34</f>
        <v>92</v>
      </c>
      <c r="KH13" s="43">
        <f t="shared" ref="KH13:KJ65" si="126">KH12+34</f>
        <v>87</v>
      </c>
      <c r="KI13" s="43">
        <f t="shared" si="105"/>
        <v>97</v>
      </c>
      <c r="KJ13" s="43">
        <f t="shared" si="105"/>
        <v>102</v>
      </c>
      <c r="KK13" s="43">
        <f t="shared" ref="KK13:KK77" si="127">KK12+34</f>
        <v>73</v>
      </c>
      <c r="KL13" s="43">
        <f t="shared" ref="KL13:KL77" si="128">KL12+34</f>
        <v>75</v>
      </c>
    </row>
    <row r="14" spans="2:298" x14ac:dyDescent="0.4">
      <c r="B14" s="43" t="str" cm="1">
        <f t="array" ref="B14">INDEX(FX_Input,$KB14,B$85)</f>
        <v>FX - 4</v>
      </c>
      <c r="C14" s="93" t="str" cm="1">
        <f t="array" ref="C14">INDEX(FX_Input,$KB14,C$85)</f>
        <v>FIXTANK 70</v>
      </c>
      <c r="D14" s="80">
        <f t="shared" si="0"/>
        <v>24978.677524986299</v>
      </c>
      <c r="E14" s="63" cm="1">
        <f t="array" ref="E14">IF(ISBLANK(INDEX(FX_Input,$KB14,$E$85)),0.03,INDEX(FX_Input,$KB14,$E$85))-IF(ISBLANK(INDEX(FX_Input,$KB14,$E$86)),-0.03,INDEX(FX_Input,$KB14,$E$86))</f>
        <v>0.06</v>
      </c>
      <c r="F14" s="63" cm="1">
        <f t="array" ref="F14">IF(INDEX(FX_Input,$KB14,F$85)="Vertical",INDEX(FX_Input,$KB14,F$86),SQRT((INDEX(FX_Input,$KB14,F$86)*INDEX(FX_Input,$KB14,F$87))/(PI()/4)))</f>
        <v>36</v>
      </c>
      <c r="G14" s="63" cm="1">
        <f t="array" ref="G14">IF(INDEX(FX_Input,$KB14,G$85)="Vertical",INDEX(FX_Input,$KB14,G$86),INDEX(FX_Input,$KB14,G$87)*PI()/4)</f>
        <v>48.33</v>
      </c>
      <c r="H14" s="63" cm="1">
        <f t="array" ref="H14">IF(INDEX(FX_Input,$KB14,H$85)="Vertical",G14-G14/2+J14,G14/2)</f>
        <v>24.54</v>
      </c>
      <c r="I14" s="63" cm="1">
        <f t="array" ref="I14">IF(INDEX(FX_Input,$KB14,F$85)="Horizontal","N/A",IF(INDEX(FX_Input,$KB14,I$86)="Cone",IF(ISBLANK(INDEX(FX_Input,$KB14,I$87)),0.0625,INDEX(FX_Input,$KB14,I$87))*F14/2,F14/2-SQRT((F14/2)^2-(INDEX(FX_Input,$KB14,I$88)^2))))</f>
        <v>1.125</v>
      </c>
      <c r="J14" s="63" cm="1">
        <f t="array" ref="J14">IF(INDEX(FX_Input,$KB14,J$85)="Horizontal","N/A",IF(INDEX(FX_Input,$KB14,J$86)="Cone",I14/3,I14*(1/2+(1/6)*(I14/(F14/2))^2)))</f>
        <v>0.375</v>
      </c>
      <c r="K14" s="63">
        <f t="shared" si="1"/>
        <v>47.33</v>
      </c>
      <c r="L14" s="63">
        <v>1</v>
      </c>
      <c r="M14" s="63" t="str" cm="1">
        <f t="array" ref="M14">INDEX(Tbl_71_6,MATCH(INDEX(FX_Input,$KB14,M$85),Paint_Color,0),VLOOKUP(INDEX(FX_Input,$KB14,M$86),Paint_Cond_Column,2,FALSE))</f>
        <v>N/A</v>
      </c>
      <c r="N14" s="63" t="str" cm="1">
        <f t="array" ref="N14">INDEX(Tbl_71_6,MATCH(INDEX(FX_Input,$KB14,N$85),Paint_Color,0),VLOOKUP(INDEX(FX_Input,$KB14,N$86),Paint_Cond_Column,2,FALSE))</f>
        <v>N/A</v>
      </c>
      <c r="O14" s="64" t="str">
        <f t="shared" si="2"/>
        <v>Insulated</v>
      </c>
      <c r="P14" s="80" t="str" cm="1">
        <f t="array" ref="P14">IF(ISBLANK(INDEX(FX_Input,$KB14+1,P$85)),INDEX(FX_Input,$KB14,P$85),INDEX(FX_Input,$KB14,P$85)&amp;" &amp; "&amp;INDEX(FX_Input,$KB14+1,P$85))</f>
        <v>Jet kerosene</v>
      </c>
      <c r="Q14" s="63" cm="1">
        <f t="array" ref="Q14">INDEX(FX_Temps,$KC14+7,Q$89)</f>
        <v>0</v>
      </c>
      <c r="R14" s="63" cm="1">
        <f t="array" ref="R14">INDEX(FX_Temps,$KC14+13,R$89)+459.6</f>
        <v>503.5</v>
      </c>
      <c r="S14" s="63" cm="1">
        <f t="array" ref="S14">INDEX(FX_Vap,$KG14,S$91)-INDEX(FX_Vap,$KH14,S$91)</f>
        <v>0</v>
      </c>
      <c r="T14" s="73" cm="1">
        <f t="array" ref="T14">IF(P14="Out of Service",0,INDEX(FX_Vap,$KI14,T$91))</f>
        <v>4.739577185808354E-3</v>
      </c>
      <c r="U14" s="63">
        <f t="shared" si="3"/>
        <v>0</v>
      </c>
      <c r="V14" s="63">
        <f t="shared" si="4"/>
        <v>0.9938733780011122</v>
      </c>
      <c r="W14" s="63" cm="1">
        <f t="array" ref="W14">INDEX(FX_Vap,$KJ14,W$91)</f>
        <v>130</v>
      </c>
      <c r="X14" s="63" cm="1">
        <f t="array" ref="X14">INDEX(FX_Temps,$KD14,X$89)+459.6</f>
        <v>503.5</v>
      </c>
      <c r="Y14" s="63">
        <f t="shared" si="5"/>
        <v>1.1403634333314844E-4</v>
      </c>
      <c r="Z14" s="63" cm="1">
        <f t="array" ref="Z14">INDEX(Month_Ref,Z$83,3)*U14*(PI()/4*$F14^2)*$H14*V14*Y14</f>
        <v>0</v>
      </c>
      <c r="AA14" s="63" cm="1">
        <f t="array" ref="AA14">INDEX(FX_Input,$KB14,AA$85)</f>
        <v>8716</v>
      </c>
      <c r="AB14" s="63">
        <f t="shared" si="6"/>
        <v>48931.623999999996</v>
      </c>
      <c r="AC14" s="63">
        <f t="shared" si="7"/>
        <v>1.037605933961945</v>
      </c>
      <c r="AD14" s="63">
        <f t="shared" si="8"/>
        <v>1</v>
      </c>
      <c r="AE14" s="63" cm="1">
        <f t="array" ref="AE14">IF(OR(INDEX(FX_Vap,$KK14,AE$90)="Crude Oil",(INDEX(FX_Vap,$KL14,AE$90)="Crude Oil")),0.75,1)</f>
        <v>1</v>
      </c>
      <c r="AF14" s="63">
        <f t="shared" si="108"/>
        <v>1</v>
      </c>
      <c r="AG14" s="63">
        <f t="shared" si="9"/>
        <v>5.5799834743125256</v>
      </c>
      <c r="AH14" s="64">
        <f t="shared" si="10"/>
        <v>5.5799834743125256</v>
      </c>
      <c r="AI14" s="80" t="str" cm="1">
        <f t="array" ref="AI14">IF(ISBLANK(INDEX(FX_Input,$KB14+1,AI$85)),INDEX(FX_Input,$KB14,AI$85),INDEX(FX_Input,$KB14,AI$85)&amp;" &amp; "&amp;INDEX(FX_Input,$KB14+1,AI$85))</f>
        <v>Jet kerosene</v>
      </c>
      <c r="AJ14" s="63" cm="1">
        <f t="array" ref="AJ14">INDEX(FX_Temps,$KC14+7,AJ$89)</f>
        <v>0</v>
      </c>
      <c r="AK14" s="63" cm="1">
        <f t="array" ref="AK14">INDEX(FX_Temps,$KC14+13,AK$89)+459.6</f>
        <v>504.30000000000007</v>
      </c>
      <c r="AL14" s="63" cm="1">
        <f t="array" ref="AL14">INDEX(FX_Vap,$KG14,AL$91)-INDEX(FX_Vap,$KH14,AL$91)</f>
        <v>0</v>
      </c>
      <c r="AM14" s="73" cm="1">
        <f t="array" ref="AM14">IF(AI14="Out of Service",0,INDEX(FX_Vap,$KI14,AM$91))</f>
        <v>4.8748667780818778E-3</v>
      </c>
      <c r="AN14" s="63">
        <f t="shared" si="11"/>
        <v>0</v>
      </c>
      <c r="AO14" s="63">
        <f t="shared" si="12"/>
        <v>0.99369959752307746</v>
      </c>
      <c r="AP14" s="63" cm="1">
        <f t="array" ref="AP14">INDEX(FX_Vap,$KJ14,AP$91)</f>
        <v>130</v>
      </c>
      <c r="AQ14" s="63" cm="1">
        <f t="array" ref="AQ14">INDEX(FX_Temps,$KD14,AQ$89)+459.6</f>
        <v>504.30000000000007</v>
      </c>
      <c r="AR14" s="63">
        <f t="shared" si="13"/>
        <v>1.1710540514572422E-4</v>
      </c>
      <c r="AS14" s="63" cm="1">
        <f t="array" ref="AS14">INDEX(Month_Ref,AS$83,3)*AN14*(PI()/4*$F14^2)*$H14*AO14*AR14</f>
        <v>0</v>
      </c>
      <c r="AT14" s="63" cm="1">
        <f t="array" ref="AT14">INDEX(FX_Input,$KB14,AT$85)</f>
        <v>8716</v>
      </c>
      <c r="AU14" s="63">
        <f t="shared" si="14"/>
        <v>48931.623999999996</v>
      </c>
      <c r="AV14" s="63">
        <f t="shared" si="15"/>
        <v>1.037605933961945</v>
      </c>
      <c r="AW14" s="63">
        <f t="shared" si="16"/>
        <v>1</v>
      </c>
      <c r="AX14" s="63" cm="1">
        <f t="array" ref="AX14">IF(OR(INDEX(FX_Vap,$KK14,AX$90)="Crude Oil",(INDEX(FX_Vap,$KL14,AX$90)="Crude Oil")),0.75,1)</f>
        <v>1</v>
      </c>
      <c r="AY14" s="63">
        <f t="shared" si="109"/>
        <v>1</v>
      </c>
      <c r="AZ14" s="63">
        <f t="shared" si="17"/>
        <v>5.7301576529582423</v>
      </c>
      <c r="BA14" s="64">
        <f t="shared" si="18"/>
        <v>5.7301576529582423</v>
      </c>
      <c r="BB14" s="80" t="str" cm="1">
        <f t="array" ref="BB14">IF(ISBLANK(INDEX(FX_Input,$KB14+1,BB$85)),INDEX(FX_Input,$KB14,BB$85),INDEX(FX_Input,$KB14,BB$85)&amp;" &amp; "&amp;INDEX(FX_Input,$KB14+1,BB$85))</f>
        <v>Jet kerosene</v>
      </c>
      <c r="BC14" s="63" cm="1">
        <f t="array" ref="BC14">INDEX(FX_Temps,$KC14+7,BC$89)</f>
        <v>0</v>
      </c>
      <c r="BD14" s="63" cm="1">
        <f t="array" ref="BD14">INDEX(FX_Temps,$KC14+13,BD$89)+459.6</f>
        <v>505.70000000000005</v>
      </c>
      <c r="BE14" s="63" cm="1">
        <f t="array" ref="BE14">INDEX(FX_Vap,$KG14,BE$91)-INDEX(FX_Vap,$KH14,BE$91)</f>
        <v>0</v>
      </c>
      <c r="BF14" s="73" cm="1">
        <f t="array" ref="BF14">IF(BB14="Out of Service",0,INDEX(FX_Vap,$KI14,BF$91))</f>
        <v>5.119885034186122E-3</v>
      </c>
      <c r="BG14" s="63">
        <f t="shared" si="19"/>
        <v>0</v>
      </c>
      <c r="BH14" s="63">
        <f t="shared" si="20"/>
        <v>0.99338502441380083</v>
      </c>
      <c r="BI14" s="63" cm="1">
        <f t="array" ref="BI14">INDEX(FX_Vap,$KJ14,BI$91)</f>
        <v>130</v>
      </c>
      <c r="BJ14" s="63" cm="1">
        <f t="array" ref="BJ14">INDEX(FX_Temps,$KD14,BJ$89)+459.6</f>
        <v>505.70000000000005</v>
      </c>
      <c r="BK14" s="63">
        <f t="shared" si="21"/>
        <v>1.226508078051294E-4</v>
      </c>
      <c r="BL14" s="63" cm="1">
        <f t="array" ref="BL14">INDEX(Month_Ref,BL$83,3)*BG14*(PI()/4*$F14^2)*$H14*BH14*BK14</f>
        <v>0</v>
      </c>
      <c r="BM14" s="63" cm="1">
        <f t="array" ref="BM14">INDEX(FX_Input,$KB14,BM$85)</f>
        <v>8716</v>
      </c>
      <c r="BN14" s="63">
        <f t="shared" si="22"/>
        <v>48931.623999999996</v>
      </c>
      <c r="BO14" s="63">
        <f t="shared" si="23"/>
        <v>1.037605933961945</v>
      </c>
      <c r="BP14" s="63">
        <f t="shared" si="24"/>
        <v>1</v>
      </c>
      <c r="BQ14" s="63" cm="1">
        <f t="array" ref="BQ14">IF(OR(INDEX(FX_Vap,$KK14,BQ$90)="Crude Oil",(INDEX(FX_Vap,$KL14,BQ$90)="Crude Oil")),0.75,1)</f>
        <v>1</v>
      </c>
      <c r="BR14" s="63">
        <f t="shared" si="110"/>
        <v>1</v>
      </c>
      <c r="BS14" s="63">
        <f t="shared" si="25"/>
        <v>6.0015032108168569</v>
      </c>
      <c r="BT14" s="64">
        <f t="shared" si="26"/>
        <v>6.0015032108168569</v>
      </c>
      <c r="BU14" s="80" t="str" cm="1">
        <f t="array" ref="BU14">IF(ISBLANK(INDEX(FX_Input,$KB14+1,BU$85)),INDEX(FX_Input,$KB14,BU$85),INDEX(FX_Input,$KB14,BU$85)&amp;" &amp; "&amp;INDEX(FX_Input,$KB14+1,BU$85))</f>
        <v>Jet kerosene</v>
      </c>
      <c r="BV14" s="63" cm="1">
        <f t="array" ref="BV14">INDEX(FX_Temps,$KC14+7,BV$89)</f>
        <v>0</v>
      </c>
      <c r="BW14" s="63" cm="1">
        <f t="array" ref="BW14">INDEX(FX_Temps,$KC14+13,BW$89)+459.6</f>
        <v>508.2</v>
      </c>
      <c r="BX14" s="63" cm="1">
        <f t="array" ref="BX14">INDEX(FX_Vap,$KG14,BX$91)-INDEX(FX_Vap,$KH14,BX$91)</f>
        <v>0</v>
      </c>
      <c r="BY14" s="73" cm="1">
        <f t="array" ref="BY14">IF(BU14="Out of Service",0,INDEX(FX_Vap,$KI14,BY$91))</f>
        <v>5.5846958573521795E-3</v>
      </c>
      <c r="BZ14" s="63">
        <f t="shared" si="27"/>
        <v>0</v>
      </c>
      <c r="CA14" s="63">
        <f t="shared" si="28"/>
        <v>0.99278881182338963</v>
      </c>
      <c r="CB14" s="63" cm="1">
        <f t="array" ref="CB14">INDEX(FX_Vap,$KJ14,CB$91)</f>
        <v>130</v>
      </c>
      <c r="CC14" s="63" cm="1">
        <f t="array" ref="CC14">INDEX(FX_Temps,$KD14,CC$89)+459.6</f>
        <v>508.2</v>
      </c>
      <c r="CD14" s="63">
        <f t="shared" si="29"/>
        <v>1.3312757561120781E-4</v>
      </c>
      <c r="CE14" s="63" cm="1">
        <f t="array" ref="CE14">INDEX(Month_Ref,CE$83,3)*BZ14*(PI()/4*$F14^2)*$H14*CA14*CD14</f>
        <v>0</v>
      </c>
      <c r="CF14" s="63" cm="1">
        <f t="array" ref="CF14">INDEX(FX_Input,$KB14,CF$85)</f>
        <v>8716</v>
      </c>
      <c r="CG14" s="63">
        <f t="shared" si="30"/>
        <v>48931.623999999996</v>
      </c>
      <c r="CH14" s="63">
        <f t="shared" si="31"/>
        <v>1.037605933961945</v>
      </c>
      <c r="CI14" s="63">
        <f t="shared" si="32"/>
        <v>1</v>
      </c>
      <c r="CJ14" s="63" cm="1">
        <f t="array" ref="CJ14">IF(OR(INDEX(FX_Vap,$KK14,CJ$90)="Crude Oil",(INDEX(FX_Vap,$KL14,CJ$90)="Crude Oil")),0.75,1)</f>
        <v>1</v>
      </c>
      <c r="CK14" s="63">
        <f t="shared" si="111"/>
        <v>1</v>
      </c>
      <c r="CL14" s="63">
        <f t="shared" si="33"/>
        <v>6.5141484738391906</v>
      </c>
      <c r="CM14" s="64">
        <f t="shared" si="34"/>
        <v>6.5141484738391906</v>
      </c>
      <c r="CN14" s="80" t="str" cm="1">
        <f t="array" ref="CN14">IF(ISBLANK(INDEX(FX_Input,$KB14+1,CN$85)),INDEX(FX_Input,$KB14,CN$85),INDEX(FX_Input,$KB14,CN$85)&amp;" &amp; "&amp;INDEX(FX_Input,$KB14+1,CN$85))</f>
        <v>Jet kerosene</v>
      </c>
      <c r="CO14" s="63" cm="1">
        <f t="array" ref="CO14">INDEX(FX_Temps,$KC14+7,CO$89)</f>
        <v>0</v>
      </c>
      <c r="CP14" s="63" cm="1">
        <f t="array" ref="CP14">INDEX(FX_Temps,$KC14+13,CP$89)+459.6</f>
        <v>512.75</v>
      </c>
      <c r="CQ14" s="63" cm="1">
        <f t="array" ref="CQ14">INDEX(FX_Vap,$KG14,CQ$91)-INDEX(FX_Vap,$KH14,CQ$91)</f>
        <v>0</v>
      </c>
      <c r="CR14" s="73" cm="1">
        <f t="array" ref="CR14">IF(CN14="Out of Service",0,INDEX(FX_Vap,$KI14,CR$91))</f>
        <v>6.5274070972739821E-3</v>
      </c>
      <c r="CS14" s="63">
        <f t="shared" si="35"/>
        <v>0</v>
      </c>
      <c r="CT14" s="63">
        <f t="shared" si="36"/>
        <v>0.99158179164442528</v>
      </c>
      <c r="CU14" s="63" cm="1">
        <f t="array" ref="CU14">INDEX(FX_Vap,$KJ14,CU$91)</f>
        <v>130</v>
      </c>
      <c r="CV14" s="63" cm="1">
        <f t="array" ref="CV14">INDEX(FX_Temps,$KD14,CV$89)+459.6</f>
        <v>512.75</v>
      </c>
      <c r="CW14" s="63">
        <f t="shared" si="37"/>
        <v>1.5421910831991609E-4</v>
      </c>
      <c r="CX14" s="63" cm="1">
        <f t="array" ref="CX14">INDEX(Month_Ref,CX$83,3)*CS14*(PI()/4*$F14^2)*$H14*CT14*CW14</f>
        <v>0</v>
      </c>
      <c r="CY14" s="63" cm="1">
        <f t="array" ref="CY14">INDEX(FX_Input,$KB14,CY$85)</f>
        <v>8716</v>
      </c>
      <c r="CZ14" s="63">
        <f t="shared" si="38"/>
        <v>48931.623999999996</v>
      </c>
      <c r="DA14" s="63">
        <f t="shared" si="39"/>
        <v>1.037605933961945</v>
      </c>
      <c r="DB14" s="63">
        <f t="shared" si="40"/>
        <v>1</v>
      </c>
      <c r="DC14" s="63" cm="1">
        <f t="array" ref="DC14">IF(OR(INDEX(FX_Vap,$KK14,DC$90)="Crude Oil",(INDEX(FX_Vap,$KL14,DC$90)="Crude Oil")),0.75,1)</f>
        <v>1</v>
      </c>
      <c r="DD14" s="63">
        <f t="shared" si="112"/>
        <v>1</v>
      </c>
      <c r="DE14" s="63">
        <f t="shared" si="41"/>
        <v>7.5461914219254052</v>
      </c>
      <c r="DF14" s="64">
        <f t="shared" si="42"/>
        <v>7.5461914219254052</v>
      </c>
      <c r="DG14" s="80" t="str" cm="1">
        <f t="array" ref="DG14">IF(ISBLANK(INDEX(FX_Input,$KB14+1,DG$85)),INDEX(FX_Input,$KB14,DG$85),INDEX(FX_Input,$KB14,DG$85)&amp;" &amp; "&amp;INDEX(FX_Input,$KB14+1,DG$85))</f>
        <v>Jet kerosene</v>
      </c>
      <c r="DH14" s="63" cm="1">
        <f t="array" ref="DH14">INDEX(FX_Temps,$KC14+7,DH$89)</f>
        <v>0</v>
      </c>
      <c r="DI14" s="63" cm="1">
        <f t="array" ref="DI14">INDEX(FX_Temps,$KC14+13,DI$89)+459.6</f>
        <v>516.55000000000007</v>
      </c>
      <c r="DJ14" s="63" cm="1">
        <f t="array" ref="DJ14">INDEX(FX_Vap,$KG14,DJ$91)-INDEX(FX_Vap,$KH14,DJ$91)</f>
        <v>0</v>
      </c>
      <c r="DK14" s="73" cm="1">
        <f t="array" ref="DK14">IF(DG14="Out of Service",0,INDEX(FX_Vap,$KI14,DK$91))</f>
        <v>7.4199539958878279E-3</v>
      </c>
      <c r="DL14" s="63">
        <f t="shared" si="43"/>
        <v>0</v>
      </c>
      <c r="DM14" s="63">
        <f t="shared" si="44"/>
        <v>0.9904417021747739</v>
      </c>
      <c r="DN14" s="63" cm="1">
        <f t="array" ref="DN14">INDEX(FX_Vap,$KJ14,DN$91)</f>
        <v>130</v>
      </c>
      <c r="DO14" s="63" cm="1">
        <f t="array" ref="DO14">INDEX(FX_Temps,$KD14,DO$89)+459.6</f>
        <v>516.55000000000007</v>
      </c>
      <c r="DP14" s="63">
        <f t="shared" si="45"/>
        <v>1.7401713099147103E-4</v>
      </c>
      <c r="DQ14" s="63" cm="1">
        <f t="array" ref="DQ14">INDEX(Month_Ref,DQ$83,3)*DL14*(PI()/4*$F14^2)*$H14*DM14*DP14</f>
        <v>0</v>
      </c>
      <c r="DR14" s="63" cm="1">
        <f t="array" ref="DR14">INDEX(FX_Input,$KB14,DR$85)</f>
        <v>8716</v>
      </c>
      <c r="DS14" s="63">
        <f t="shared" si="46"/>
        <v>48931.623999999996</v>
      </c>
      <c r="DT14" s="63">
        <f t="shared" si="47"/>
        <v>1.037605933961945</v>
      </c>
      <c r="DU14" s="63">
        <f t="shared" si="48"/>
        <v>1</v>
      </c>
      <c r="DV14" s="63" cm="1">
        <f t="array" ref="DV14">IF(OR(INDEX(FX_Vap,$KK14,DV$90)="Crude Oil",(INDEX(FX_Vap,$KL14,DV$90)="Crude Oil")),0.75,1)</f>
        <v>1</v>
      </c>
      <c r="DW14" s="63">
        <f t="shared" si="113"/>
        <v>1</v>
      </c>
      <c r="DX14" s="63">
        <f t="shared" si="49"/>
        <v>8.5149408232334078</v>
      </c>
      <c r="DY14" s="64">
        <f t="shared" si="50"/>
        <v>8.5149408232334078</v>
      </c>
      <c r="DZ14" s="80" t="str" cm="1">
        <f t="array" ref="DZ14">IF(ISBLANK(INDEX(FX_Input,$KB14+1,DZ$85)),INDEX(FX_Input,$KB14,DZ$85),INDEX(FX_Input,$KB14,DZ$85)&amp;" &amp; "&amp;INDEX(FX_Input,$KB14+1,DZ$85))</f>
        <v>Jet kerosene</v>
      </c>
      <c r="EA14" s="63" cm="1">
        <f t="array" ref="EA14">INDEX(FX_Temps,$KC14+7,EA$89)</f>
        <v>0</v>
      </c>
      <c r="EB14" s="63" cm="1">
        <f t="array" ref="EB14">INDEX(FX_Temps,$KC14+13,EB$89)+459.6</f>
        <v>520.04999999999995</v>
      </c>
      <c r="EC14" s="63" cm="1">
        <f t="array" ref="EC14">INDEX(FX_Vap,$KG14,EC$91)-INDEX(FX_Vap,$KH14,EC$91)</f>
        <v>0</v>
      </c>
      <c r="ED14" s="73" cm="1">
        <f t="array" ref="ED14">IF(DZ14="Out of Service",0,INDEX(FX_Vap,$KI14,ED$91))</f>
        <v>8.3358107202842254E-3</v>
      </c>
      <c r="EE14" s="63">
        <f t="shared" si="51"/>
        <v>0</v>
      </c>
      <c r="EF14" s="63">
        <f t="shared" si="52"/>
        <v>0.98927456010019632</v>
      </c>
      <c r="EG14" s="63" cm="1">
        <f t="array" ref="EG14">INDEX(FX_Vap,$KJ14,EG$91)</f>
        <v>130</v>
      </c>
      <c r="EH14" s="63" cm="1">
        <f t="array" ref="EH14">INDEX(FX_Temps,$KD14,EH$89)+459.6</f>
        <v>520.04999999999995</v>
      </c>
      <c r="EI14" s="63">
        <f t="shared" si="53"/>
        <v>1.9418062801892895E-4</v>
      </c>
      <c r="EJ14" s="63" cm="1">
        <f t="array" ref="EJ14">INDEX(Month_Ref,EJ$83,3)*EE14*(PI()/4*$F14^2)*$H14*EF14*EI14</f>
        <v>0</v>
      </c>
      <c r="EK14" s="63" cm="1">
        <f t="array" ref="EK14">INDEX(FX_Input,$KB14,EK$85)</f>
        <v>8716</v>
      </c>
      <c r="EL14" s="63">
        <f t="shared" si="54"/>
        <v>48931.623999999996</v>
      </c>
      <c r="EM14" s="63">
        <f t="shared" si="55"/>
        <v>1.037605933961945</v>
      </c>
      <c r="EN14" s="63">
        <f t="shared" si="56"/>
        <v>1</v>
      </c>
      <c r="EO14" s="63" cm="1">
        <f t="array" ref="EO14">IF(OR(INDEX(FX_Vap,$KK14,EO$90)="Crude Oil",(INDEX(FX_Vap,$KL14,EO$90)="Crude Oil")),0.75,1)</f>
        <v>1</v>
      </c>
      <c r="EP14" s="63">
        <f t="shared" si="114"/>
        <v>1</v>
      </c>
      <c r="EQ14" s="63">
        <f t="shared" si="57"/>
        <v>9.5015734783060957</v>
      </c>
      <c r="ER14" s="64">
        <f t="shared" si="58"/>
        <v>9.5015734783060957</v>
      </c>
      <c r="ES14" s="80" t="str" cm="1">
        <f t="array" ref="ES14">IF(ISBLANK(INDEX(FX_Input,$KB14+1,ES$85)),INDEX(FX_Input,$KB14,ES$85),INDEX(FX_Input,$KB14,ES$85)&amp;" &amp; "&amp;INDEX(FX_Input,$KB14+1,ES$85))</f>
        <v>Jet kerosene</v>
      </c>
      <c r="ET14" s="63" cm="1">
        <f t="array" ref="ET14">INDEX(FX_Temps,$KC14+7,ET$89)</f>
        <v>0</v>
      </c>
      <c r="EU14" s="63" cm="1">
        <f t="array" ref="EU14">INDEX(FX_Temps,$KC14+13,EU$89)+459.6</f>
        <v>520.5</v>
      </c>
      <c r="EV14" s="63" cm="1">
        <f t="array" ref="EV14">INDEX(FX_Vap,$KG14,EV$91)-INDEX(FX_Vap,$KH14,EV$91)</f>
        <v>0</v>
      </c>
      <c r="EW14" s="73" cm="1">
        <f t="array" ref="EW14">IF(ES14="Out of Service",0,INDEX(FX_Vap,$KI14,EW$91))</f>
        <v>8.4605262729351115E-3</v>
      </c>
      <c r="EX14" s="63">
        <f t="shared" si="59"/>
        <v>0</v>
      </c>
      <c r="EY14" s="63">
        <f t="shared" si="60"/>
        <v>0.98911583886268795</v>
      </c>
      <c r="EZ14" s="63" cm="1">
        <f t="array" ref="EZ14">INDEX(FX_Vap,$KJ14,EZ$91)</f>
        <v>130</v>
      </c>
      <c r="FA14" s="63" cm="1">
        <f t="array" ref="FA14">INDEX(FX_Temps,$KD14,FA$89)+459.6</f>
        <v>520.5</v>
      </c>
      <c r="FB14" s="63">
        <f t="shared" si="61"/>
        <v>1.969154544366044E-4</v>
      </c>
      <c r="FC14" s="63" cm="1">
        <f t="array" ref="FC14">INDEX(Month_Ref,FC$83,3)*EX14*(PI()/4*$F14^2)*$H14*EY14*FB14</f>
        <v>0</v>
      </c>
      <c r="FD14" s="63" cm="1">
        <f t="array" ref="FD14">INDEX(FX_Input,$KB14,FD$85)</f>
        <v>8716</v>
      </c>
      <c r="FE14" s="63">
        <f t="shared" si="62"/>
        <v>48931.623999999996</v>
      </c>
      <c r="FF14" s="63">
        <f t="shared" si="63"/>
        <v>1.037605933961945</v>
      </c>
      <c r="FG14" s="63">
        <f t="shared" si="64"/>
        <v>1</v>
      </c>
      <c r="FH14" s="63" cm="1">
        <f t="array" ref="FH14">IF(OR(INDEX(FX_Vap,$KK14,FH$90)="Crude Oil",(INDEX(FX_Vap,$KL14,FH$90)="Crude Oil")),0.75,1)</f>
        <v>1</v>
      </c>
      <c r="FI14" s="63">
        <f t="shared" si="115"/>
        <v>1</v>
      </c>
      <c r="FJ14" s="63">
        <f t="shared" si="65"/>
        <v>9.6353929762810573</v>
      </c>
      <c r="FK14" s="64">
        <f t="shared" si="66"/>
        <v>9.6353929762810573</v>
      </c>
      <c r="FL14" s="80" t="str" cm="1">
        <f t="array" ref="FL14">IF(ISBLANK(INDEX(FX_Input,$KB14+1,FL$85)),INDEX(FX_Input,$KB14,FL$85),INDEX(FX_Input,$KB14,FL$85)&amp;" &amp; "&amp;INDEX(FX_Input,$KB14+1,FL$85))</f>
        <v>Jet kerosene</v>
      </c>
      <c r="FM14" s="63" cm="1">
        <f t="array" ref="FM14">INDEX(FX_Temps,$KC14+7,FM$89)</f>
        <v>0</v>
      </c>
      <c r="FN14" s="63" cm="1">
        <f t="array" ref="FN14">INDEX(FX_Temps,$KC14+13,FN$89)+459.6</f>
        <v>518.20000000000005</v>
      </c>
      <c r="FO14" s="63" cm="1">
        <f t="array" ref="FO14">INDEX(FX_Vap,$KG14,FO$91)-INDEX(FX_Vap,$KH14,FO$91)</f>
        <v>0</v>
      </c>
      <c r="FP14" s="73" cm="1">
        <f t="array" ref="FP14">IF(FL14="Out of Service",0,INDEX(FX_Vap,$KI14,FP$91))</f>
        <v>7.8399882233967533E-3</v>
      </c>
      <c r="FQ14" s="63">
        <f t="shared" si="67"/>
        <v>0</v>
      </c>
      <c r="FR14" s="63">
        <f t="shared" si="68"/>
        <v>0.98990608065278829</v>
      </c>
      <c r="FS14" s="63" cm="1">
        <f t="array" ref="FS14">INDEX(FX_Vap,$KJ14,FS$91)</f>
        <v>130</v>
      </c>
      <c r="FT14" s="63" cm="1">
        <f t="array" ref="FT14">INDEX(FX_Temps,$KD14,FT$89)+459.6</f>
        <v>518.20000000000005</v>
      </c>
      <c r="FU14" s="63">
        <f t="shared" si="69"/>
        <v>1.8328256712249962E-4</v>
      </c>
      <c r="FV14" s="63" cm="1">
        <f t="array" ref="FV14">INDEX(Month_Ref,FV$83,3)*FQ14*(PI()/4*$F14^2)*$H14*FR14*FU14</f>
        <v>0</v>
      </c>
      <c r="FW14" s="63" cm="1">
        <f t="array" ref="FW14">INDEX(FX_Input,$KB14,FW$85)</f>
        <v>8716</v>
      </c>
      <c r="FX14" s="63">
        <f t="shared" si="70"/>
        <v>48931.623999999996</v>
      </c>
      <c r="FY14" s="63">
        <f t="shared" si="71"/>
        <v>1.037605933961945</v>
      </c>
      <c r="FZ14" s="63">
        <f t="shared" si="72"/>
        <v>1</v>
      </c>
      <c r="GA14" s="63" cm="1">
        <f t="array" ref="GA14">IF(OR(INDEX(FX_Vap,$KK14,GA$90)="Crude Oil",(INDEX(FX_Vap,$KL14,GA$90)="Crude Oil")),0.75,1)</f>
        <v>1</v>
      </c>
      <c r="GB14" s="63">
        <f t="shared" si="116"/>
        <v>1</v>
      </c>
      <c r="GC14" s="63">
        <f t="shared" si="73"/>
        <v>8.9683136601929121</v>
      </c>
      <c r="GD14" s="64">
        <f t="shared" si="74"/>
        <v>8.9683136601929121</v>
      </c>
      <c r="GE14" s="80" t="str" cm="1">
        <f t="array" ref="GE14">IF(ISBLANK(INDEX(FX_Input,$KB14+1,GE$85)),INDEX(FX_Input,$KB14,GE$85),INDEX(FX_Input,$KB14,GE$85)&amp;" &amp; "&amp;INDEX(FX_Input,$KB14+1,GE$85))</f>
        <v>Jet kerosene</v>
      </c>
      <c r="GF14" s="63" cm="1">
        <f t="array" ref="GF14">INDEX(FX_Temps,$KC14+7,GF$89)</f>
        <v>0</v>
      </c>
      <c r="GG14" s="63" cm="1">
        <f t="array" ref="GG14">INDEX(FX_Temps,$KC14+13,GG$89)+459.6</f>
        <v>512.25</v>
      </c>
      <c r="GH14" s="63" cm="1">
        <f t="array" ref="GH14">INDEX(FX_Vap,$KG14,GH$91)-INDEX(FX_Vap,$KH14,GH$91)</f>
        <v>0</v>
      </c>
      <c r="GI14" s="73" cm="1">
        <f t="array" ref="GI14">IF(GE14="Out of Service",0,INDEX(FX_Vap,$KI14,GI$91))</f>
        <v>6.4173462075160911E-3</v>
      </c>
      <c r="GJ14" s="63">
        <f t="shared" si="75"/>
        <v>0</v>
      </c>
      <c r="GK14" s="63">
        <f t="shared" si="76"/>
        <v>0.99172255907485463</v>
      </c>
      <c r="GL14" s="63" cm="1">
        <f t="array" ref="GL14">INDEX(FX_Vap,$KJ14,GL$91)</f>
        <v>130</v>
      </c>
      <c r="GM14" s="63" cm="1">
        <f t="array" ref="GM14">INDEX(FX_Temps,$KD14,GM$89)+459.6</f>
        <v>512.25</v>
      </c>
      <c r="GN14" s="63">
        <f t="shared" si="77"/>
        <v>1.5176675903637226E-4</v>
      </c>
      <c r="GO14" s="63" cm="1">
        <f t="array" ref="GO14">INDEX(Month_Ref,GO$83,3)*GJ14*(PI()/4*$F14^2)*$H14*GK14*GN14</f>
        <v>0</v>
      </c>
      <c r="GP14" s="63" cm="1">
        <f t="array" ref="GP14">INDEX(FX_Input,$KB14,GP$85)</f>
        <v>8716</v>
      </c>
      <c r="GQ14" s="63">
        <f t="shared" si="78"/>
        <v>48931.623999999996</v>
      </c>
      <c r="GR14" s="63">
        <f t="shared" si="79"/>
        <v>1.037605933961945</v>
      </c>
      <c r="GS14" s="63">
        <f t="shared" si="80"/>
        <v>1</v>
      </c>
      <c r="GT14" s="63" cm="1">
        <f t="array" ref="GT14">IF(OR(INDEX(FX_Vap,$KK14,GT$90)="Crude Oil",(INDEX(FX_Vap,$KL14,GT$90)="Crude Oil")),0.75,1)</f>
        <v>1</v>
      </c>
      <c r="GU14" s="63">
        <f t="shared" si="117"/>
        <v>1</v>
      </c>
      <c r="GV14" s="63">
        <f t="shared" si="81"/>
        <v>7.4261939888663688</v>
      </c>
      <c r="GW14" s="64">
        <f t="shared" si="82"/>
        <v>7.4261939888663688</v>
      </c>
      <c r="GX14" s="80" t="str" cm="1">
        <f t="array" ref="GX14">IF(ISBLANK(INDEX(FX_Input,$KB14+1,GX$85)),INDEX(FX_Input,$KB14,GX$85),INDEX(FX_Input,$KB14,GX$85)&amp;" &amp; "&amp;INDEX(FX_Input,$KB14+1,GX$85))</f>
        <v>Jet kerosene</v>
      </c>
      <c r="GY14" s="63" cm="1">
        <f t="array" ref="GY14">INDEX(FX_Temps,$KC14+7,GY$89)</f>
        <v>0</v>
      </c>
      <c r="GZ14" s="63" cm="1">
        <f t="array" ref="GZ14">INDEX(FX_Temps,$KC14+13,GZ$89)+459.6</f>
        <v>506.70000000000005</v>
      </c>
      <c r="HA14" s="63" cm="1">
        <f t="array" ref="HA14">INDEX(FX_Vap,$KG14,HA$91)-INDEX(FX_Vap,$KH14,HA$91)</f>
        <v>0</v>
      </c>
      <c r="HB14" s="73" cm="1">
        <f t="array" ref="HB14">IF(GX14="Out of Service",0,INDEX(FX_Vap,$KI14,HB$91))</f>
        <v>5.3015226887581056E-3</v>
      </c>
      <c r="HC14" s="63">
        <f t="shared" si="83"/>
        <v>0</v>
      </c>
      <c r="HD14" s="63">
        <f t="shared" si="84"/>
        <v>0.99315195267146761</v>
      </c>
      <c r="HE14" s="63" cm="1">
        <f t="array" ref="HE14">INDEX(FX_Vap,$KJ14,HE$91)</f>
        <v>130</v>
      </c>
      <c r="HF14" s="63" cm="1">
        <f t="array" ref="HF14">INDEX(FX_Temps,$KD14,HF$89)+459.6</f>
        <v>506.70000000000005</v>
      </c>
      <c r="HG14" s="63">
        <f t="shared" si="85"/>
        <v>1.2675143286623188E-4</v>
      </c>
      <c r="HH14" s="63" cm="1">
        <f t="array" ref="HH14">INDEX(Month_Ref,HH$83,3)*HC14*(PI()/4*$F14^2)*$H14*HD14*HG14</f>
        <v>0</v>
      </c>
      <c r="HI14" s="63" cm="1">
        <f t="array" ref="HI14">INDEX(FX_Input,$KB14,HI$85)</f>
        <v>8716</v>
      </c>
      <c r="HJ14" s="63">
        <f t="shared" si="86"/>
        <v>48931.623999999996</v>
      </c>
      <c r="HK14" s="63">
        <f t="shared" si="87"/>
        <v>1.037605933961945</v>
      </c>
      <c r="HL14" s="63">
        <f t="shared" si="88"/>
        <v>1</v>
      </c>
      <c r="HM14" s="63" cm="1">
        <f t="array" ref="HM14">IF(OR(INDEX(FX_Vap,$KK14,HM$90)="Crude Oil",(INDEX(FX_Vap,$KL14,HM$90)="Crude Oil")),0.75,1)</f>
        <v>1</v>
      </c>
      <c r="HN14" s="63">
        <f t="shared" si="118"/>
        <v>1</v>
      </c>
      <c r="HO14" s="63">
        <f t="shared" si="89"/>
        <v>6.2021534544717003</v>
      </c>
      <c r="HP14" s="64">
        <f t="shared" si="90"/>
        <v>6.2021534544717003</v>
      </c>
      <c r="HQ14" s="80" t="str" cm="1">
        <f t="array" ref="HQ14">IF(ISBLANK(INDEX(FX_Input,$KB14+1,HQ$85)),INDEX(FX_Input,$KB14,HQ$85),INDEX(FX_Input,$KB14,HQ$85)&amp;" &amp; "&amp;INDEX(FX_Input,$KB14+1,HQ$85))</f>
        <v>Jet kerosene</v>
      </c>
      <c r="HR14" s="63" cm="1">
        <f t="array" ref="HR14">INDEX(FX_Temps,$KC14+7,HR$89)</f>
        <v>0</v>
      </c>
      <c r="HS14" s="63" cm="1">
        <f t="array" ref="HS14">INDEX(FX_Temps,$KC14+13,HS$89)+459.6</f>
        <v>503.20000000000005</v>
      </c>
      <c r="HT14" s="63" cm="1">
        <f t="array" ref="HT14">INDEX(FX_Vap,$KG14,HT$91)-INDEX(FX_Vap,$KH14,HT$91)</f>
        <v>0</v>
      </c>
      <c r="HU14" s="73" cm="1">
        <f t="array" ref="HU14">IF(HQ14="Out of Service",0,INDEX(FX_Vap,$KI14,HU$91))</f>
        <v>4.68970903600947E-3</v>
      </c>
      <c r="HV14" s="63">
        <f t="shared" si="91"/>
        <v>0</v>
      </c>
      <c r="HW14" s="63">
        <f t="shared" si="92"/>
        <v>0.99393744933937533</v>
      </c>
      <c r="HX14" s="63" cm="1">
        <f t="array" ref="HX14">INDEX(FX_Vap,$KJ14,HX$91)</f>
        <v>130</v>
      </c>
      <c r="HY14" s="63" cm="1">
        <f t="array" ref="HY14">INDEX(FX_Temps,$KD14,HY$89)+459.6</f>
        <v>503.20000000000005</v>
      </c>
      <c r="HZ14" s="63">
        <f t="shared" si="93"/>
        <v>1.1290376474196325E-4</v>
      </c>
      <c r="IA14" s="63" cm="1">
        <f t="array" ref="IA14">INDEX(Month_Ref,IA$83,3)*HV14*(PI()/4*$F14^2)*$H14*HW14*HZ14</f>
        <v>0</v>
      </c>
      <c r="IB14" s="63" cm="1">
        <f t="array" ref="IB14">INDEX(FX_Input,$KB14,IB$85)</f>
        <v>8716</v>
      </c>
      <c r="IC14" s="63">
        <f t="shared" si="94"/>
        <v>48931.623999999996</v>
      </c>
      <c r="ID14" s="63">
        <f t="shared" si="95"/>
        <v>1.037605933961945</v>
      </c>
      <c r="IE14" s="63">
        <f t="shared" si="96"/>
        <v>1</v>
      </c>
      <c r="IF14" s="63" cm="1">
        <f t="array" ref="IF14">IF(OR(INDEX(FX_Vap,$KK14,IF$90)="Crude Oil",(INDEX(FX_Vap,$KL14,IF$90)="Crude Oil")),0.75,1)</f>
        <v>1</v>
      </c>
      <c r="IG14" s="63">
        <f t="shared" si="119"/>
        <v>1</v>
      </c>
      <c r="IH14" s="63">
        <f t="shared" si="97"/>
        <v>5.5245645645382027</v>
      </c>
      <c r="II14" s="64">
        <f t="shared" si="98"/>
        <v>5.5245645645382027</v>
      </c>
      <c r="IJ14" s="80">
        <f t="shared" si="99"/>
        <v>0</v>
      </c>
      <c r="IK14" s="63">
        <f t="shared" si="100"/>
        <v>0</v>
      </c>
      <c r="IL14" s="63">
        <f t="shared" si="101"/>
        <v>87.145117179741959</v>
      </c>
      <c r="IM14" s="63">
        <f t="shared" si="102"/>
        <v>4.3572558589870983E-2</v>
      </c>
      <c r="IN14" s="63">
        <f t="shared" si="103"/>
        <v>87.145117179741959</v>
      </c>
      <c r="IO14" s="64">
        <f t="shared" si="104"/>
        <v>4.3572558589870983E-2</v>
      </c>
      <c r="KB14" s="43">
        <f t="shared" si="120"/>
        <v>7</v>
      </c>
      <c r="KC14" s="43">
        <f t="shared" si="121"/>
        <v>43</v>
      </c>
      <c r="KD14" s="43">
        <f t="shared" si="122"/>
        <v>56</v>
      </c>
      <c r="KE14" s="43">
        <f t="shared" si="123"/>
        <v>43</v>
      </c>
      <c r="KF14" s="43">
        <f t="shared" si="124"/>
        <v>103</v>
      </c>
      <c r="KG14" s="43">
        <f t="shared" si="125"/>
        <v>126</v>
      </c>
      <c r="KH14" s="43">
        <f t="shared" si="126"/>
        <v>121</v>
      </c>
      <c r="KI14" s="43">
        <f t="shared" si="105"/>
        <v>131</v>
      </c>
      <c r="KJ14" s="43">
        <f t="shared" si="105"/>
        <v>136</v>
      </c>
      <c r="KK14" s="43">
        <f t="shared" si="127"/>
        <v>107</v>
      </c>
      <c r="KL14" s="43">
        <f t="shared" si="128"/>
        <v>109</v>
      </c>
    </row>
    <row r="15" spans="2:298" x14ac:dyDescent="0.4">
      <c r="B15" s="43" t="str" cm="1">
        <f t="array" ref="B15">INDEX(FX_Input,$KB15,B$85)</f>
        <v>FX - 5</v>
      </c>
      <c r="C15" s="93" t="str" cm="1">
        <f t="array" ref="C15">INDEX(FX_Input,$KB15,C$85)</f>
        <v>FIXTANK 74</v>
      </c>
      <c r="D15" s="80">
        <f t="shared" si="0"/>
        <v>152002.81895128856</v>
      </c>
      <c r="E15" s="63" cm="1">
        <f t="array" ref="E15">IF(ISBLANK(INDEX(FX_Input,$KB15,$E$85)),0.03,INDEX(FX_Input,$KB15,$E$85))-IF(ISBLANK(INDEX(FX_Input,$KB15,$E$86)),-0.03,INDEX(FX_Input,$KB15,$E$86))</f>
        <v>0.06</v>
      </c>
      <c r="F15" s="63" cm="1">
        <f t="array" ref="F15">IF(INDEX(FX_Input,$KB15,F$85)="Vertical",INDEX(FX_Input,$KB15,F$86),SQRT((INDEX(FX_Input,$KB15,F$86)*INDEX(FX_Input,$KB15,F$87))/(PI()/4)))</f>
        <v>96</v>
      </c>
      <c r="G15" s="63" cm="1">
        <f t="array" ref="G15">IF(INDEX(FX_Input,$KB15,G$85)="Vertical",INDEX(FX_Input,$KB15,G$86),INDEX(FX_Input,$KB15,G$87)*PI()/4)</f>
        <v>40</v>
      </c>
      <c r="H15" s="63" cm="1">
        <f t="array" ref="H15">IF(INDEX(FX_Input,$KB15,H$85)="Vertical",G15-G15/2+J15,G15/2)</f>
        <v>21</v>
      </c>
      <c r="I15" s="63" cm="1">
        <f t="array" ref="I15">IF(INDEX(FX_Input,$KB15,F$85)="Horizontal","N/A",IF(INDEX(FX_Input,$KB15,I$86)="Cone",IF(ISBLANK(INDEX(FX_Input,$KB15,I$87)),0.0625,INDEX(FX_Input,$KB15,I$87))*F15/2,F15/2-SQRT((F15/2)^2-(INDEX(FX_Input,$KB15,I$88)^2))))</f>
        <v>3</v>
      </c>
      <c r="J15" s="63" cm="1">
        <f t="array" ref="J15">IF(INDEX(FX_Input,$KB15,J$85)="Horizontal","N/A",IF(INDEX(FX_Input,$KB15,J$86)="Cone",I15/3,I15*(1/2+(1/6)*(I15/(F15/2))^2)))</f>
        <v>1</v>
      </c>
      <c r="K15" s="63">
        <f t="shared" si="1"/>
        <v>39</v>
      </c>
      <c r="L15" s="63">
        <v>1</v>
      </c>
      <c r="M15" s="63" t="str" cm="1">
        <f t="array" ref="M15">INDEX(Tbl_71_6,MATCH(INDEX(FX_Input,$KB15,M$85),Paint_Color,0),VLOOKUP(INDEX(FX_Input,$KB15,M$86),Paint_Cond_Column,2,FALSE))</f>
        <v>N/A</v>
      </c>
      <c r="N15" s="63" t="str" cm="1">
        <f t="array" ref="N15">INDEX(Tbl_71_6,MATCH(INDEX(FX_Input,$KB15,N$85),Paint_Color,0),VLOOKUP(INDEX(FX_Input,$KB15,N$86),Paint_Cond_Column,2,FALSE))</f>
        <v>N/A</v>
      </c>
      <c r="O15" s="64" t="str">
        <f t="shared" si="2"/>
        <v>Insulated</v>
      </c>
      <c r="P15" s="80" t="str" cm="1">
        <f t="array" ref="P15">IF(ISBLANK(INDEX(FX_Input,$KB15+1,P$85)),INDEX(FX_Input,$KB15,P$85),INDEX(FX_Input,$KB15,P$85)&amp;" &amp; "&amp;INDEX(FX_Input,$KB15+1,P$85))</f>
        <v>Jet kerosene</v>
      </c>
      <c r="Q15" s="63" cm="1">
        <f t="array" ref="Q15">INDEX(FX_Temps,$KC15+7,Q$89)</f>
        <v>0</v>
      </c>
      <c r="R15" s="63" cm="1">
        <f t="array" ref="R15">INDEX(FX_Temps,$KC15+13,R$89)+459.6</f>
        <v>503.5</v>
      </c>
      <c r="S15" s="63" cm="1">
        <f t="array" ref="S15">INDEX(FX_Vap,$KG15,S$91)-INDEX(FX_Vap,$KH15,S$91)</f>
        <v>0</v>
      </c>
      <c r="T15" s="73" cm="1">
        <f t="array" ref="T15">IF(P15="Out of Service",0,INDEX(FX_Vap,$KI15,T$91))</f>
        <v>4.739577185808354E-3</v>
      </c>
      <c r="U15" s="63">
        <f t="shared" si="3"/>
        <v>0</v>
      </c>
      <c r="V15" s="63">
        <f t="shared" si="4"/>
        <v>0.99475253177111533</v>
      </c>
      <c r="W15" s="63" cm="1">
        <f t="array" ref="W15">INDEX(FX_Vap,$KJ15,W$91)</f>
        <v>130</v>
      </c>
      <c r="X15" s="63" cm="1">
        <f t="array" ref="X15">INDEX(FX_Temps,$KD15,X$89)+459.6</f>
        <v>503.5</v>
      </c>
      <c r="Y15" s="63">
        <f t="shared" si="5"/>
        <v>1.1403634333314844E-4</v>
      </c>
      <c r="Z15" s="63" cm="1">
        <f t="array" ref="Z15">INDEX(Month_Ref,Z$83,3)*U15*(PI()/4*$F15^2)*$H15*V15*Y15</f>
        <v>0</v>
      </c>
      <c r="AA15" s="63" cm="1">
        <f t="array" ref="AA15">INDEX(FX_Input,$KB15,AA$85)</f>
        <v>51564</v>
      </c>
      <c r="AB15" s="63">
        <f t="shared" si="6"/>
        <v>289480.29599999997</v>
      </c>
      <c r="AC15" s="63">
        <f t="shared" si="7"/>
        <v>1.0524538568189195</v>
      </c>
      <c r="AD15" s="63">
        <f t="shared" si="8"/>
        <v>1</v>
      </c>
      <c r="AE15" s="63" cm="1">
        <f t="array" ref="AE15">IF(OR(INDEX(FX_Vap,$KK15,AE$90)="Crude Oil",(INDEX(FX_Vap,$KL15,AE$90)="Crude Oil")),0.75,1)</f>
        <v>1</v>
      </c>
      <c r="AF15" s="63">
        <f t="shared" si="108"/>
        <v>1</v>
      </c>
      <c r="AG15" s="63">
        <f t="shared" si="9"/>
        <v>33.011274422837431</v>
      </c>
      <c r="AH15" s="64">
        <f t="shared" si="10"/>
        <v>33.011274422837431</v>
      </c>
      <c r="AI15" s="80" t="str" cm="1">
        <f t="array" ref="AI15">IF(ISBLANK(INDEX(FX_Input,$KB15+1,AI$85)),INDEX(FX_Input,$KB15,AI$85),INDEX(FX_Input,$KB15,AI$85)&amp;" &amp; "&amp;INDEX(FX_Input,$KB15+1,AI$85))</f>
        <v>Jet kerosene</v>
      </c>
      <c r="AJ15" s="63" cm="1">
        <f t="array" ref="AJ15">INDEX(FX_Temps,$KC15+7,AJ$89)</f>
        <v>0</v>
      </c>
      <c r="AK15" s="63" cm="1">
        <f t="array" ref="AK15">INDEX(FX_Temps,$KC15+13,AK$89)+459.6</f>
        <v>504.30000000000007</v>
      </c>
      <c r="AL15" s="63" cm="1">
        <f t="array" ref="AL15">INDEX(FX_Vap,$KG15,AL$91)-INDEX(FX_Vap,$KH15,AL$91)</f>
        <v>0</v>
      </c>
      <c r="AM15" s="73" cm="1">
        <f t="array" ref="AM15">IF(AI15="Out of Service",0,INDEX(FX_Vap,$KI15,AM$91))</f>
        <v>4.8748667780818778E-3</v>
      </c>
      <c r="AN15" s="63">
        <f t="shared" si="11"/>
        <v>0</v>
      </c>
      <c r="AO15" s="63">
        <f t="shared" si="12"/>
        <v>0.99460355292311453</v>
      </c>
      <c r="AP15" s="63" cm="1">
        <f t="array" ref="AP15">INDEX(FX_Vap,$KJ15,AP$91)</f>
        <v>130</v>
      </c>
      <c r="AQ15" s="63" cm="1">
        <f t="array" ref="AQ15">INDEX(FX_Temps,$KD15,AQ$89)+459.6</f>
        <v>504.30000000000007</v>
      </c>
      <c r="AR15" s="63">
        <f t="shared" si="13"/>
        <v>1.1710540514572422E-4</v>
      </c>
      <c r="AS15" s="63" cm="1">
        <f t="array" ref="AS15">INDEX(Month_Ref,AS$83,3)*AN15*(PI()/4*$F15^2)*$H15*AO15*AR15</f>
        <v>0</v>
      </c>
      <c r="AT15" s="63" cm="1">
        <f t="array" ref="AT15">INDEX(FX_Input,$KB15,AT$85)</f>
        <v>51564</v>
      </c>
      <c r="AU15" s="63">
        <f t="shared" si="14"/>
        <v>289480.29599999997</v>
      </c>
      <c r="AV15" s="63">
        <f t="shared" si="15"/>
        <v>1.0524538568189195</v>
      </c>
      <c r="AW15" s="63">
        <f t="shared" si="16"/>
        <v>1</v>
      </c>
      <c r="AX15" s="63" cm="1">
        <f t="array" ref="AX15">IF(OR(INDEX(FX_Vap,$KK15,AX$90)="Crude Oil",(INDEX(FX_Vap,$KL15,AX$90)="Crude Oil")),0.75,1)</f>
        <v>1</v>
      </c>
      <c r="AY15" s="63">
        <f t="shared" si="109"/>
        <v>1</v>
      </c>
      <c r="AZ15" s="63">
        <f t="shared" si="17"/>
        <v>33.899707344784169</v>
      </c>
      <c r="BA15" s="64">
        <f t="shared" si="18"/>
        <v>33.899707344784169</v>
      </c>
      <c r="BB15" s="80" t="str" cm="1">
        <f t="array" ref="BB15">IF(ISBLANK(INDEX(FX_Input,$KB15+1,BB$85)),INDEX(FX_Input,$KB15,BB$85),INDEX(FX_Input,$KB15,BB$85)&amp;" &amp; "&amp;INDEX(FX_Input,$KB15+1,BB$85))</f>
        <v>Jet kerosene</v>
      </c>
      <c r="BC15" s="63" cm="1">
        <f t="array" ref="BC15">INDEX(FX_Temps,$KC15+7,BC$89)</f>
        <v>0</v>
      </c>
      <c r="BD15" s="63" cm="1">
        <f t="array" ref="BD15">INDEX(FX_Temps,$KC15+13,BD$89)+459.6</f>
        <v>505.70000000000005</v>
      </c>
      <c r="BE15" s="63" cm="1">
        <f t="array" ref="BE15">INDEX(FX_Vap,$KG15,BE$91)-INDEX(FX_Vap,$KH15,BE$91)</f>
        <v>0</v>
      </c>
      <c r="BF15" s="73" cm="1">
        <f t="array" ref="BF15">IF(BB15="Out of Service",0,INDEX(FX_Vap,$KI15,BF$91))</f>
        <v>5.119885034186122E-3</v>
      </c>
      <c r="BG15" s="63">
        <f t="shared" si="19"/>
        <v>0</v>
      </c>
      <c r="BH15" s="63">
        <f t="shared" si="20"/>
        <v>0.99433385609295133</v>
      </c>
      <c r="BI15" s="63" cm="1">
        <f t="array" ref="BI15">INDEX(FX_Vap,$KJ15,BI$91)</f>
        <v>130</v>
      </c>
      <c r="BJ15" s="63" cm="1">
        <f t="array" ref="BJ15">INDEX(FX_Temps,$KD15,BJ$89)+459.6</f>
        <v>505.70000000000005</v>
      </c>
      <c r="BK15" s="63">
        <f t="shared" si="21"/>
        <v>1.226508078051294E-4</v>
      </c>
      <c r="BL15" s="63" cm="1">
        <f t="array" ref="BL15">INDEX(Month_Ref,BL$83,3)*BG15*(PI()/4*$F15^2)*$H15*BH15*BK15</f>
        <v>0</v>
      </c>
      <c r="BM15" s="63" cm="1">
        <f t="array" ref="BM15">INDEX(FX_Input,$KB15,BM$85)</f>
        <v>51564</v>
      </c>
      <c r="BN15" s="63">
        <f t="shared" si="22"/>
        <v>289480.29599999997</v>
      </c>
      <c r="BO15" s="63">
        <f t="shared" si="23"/>
        <v>1.0524538568189195</v>
      </c>
      <c r="BP15" s="63">
        <f t="shared" si="24"/>
        <v>1</v>
      </c>
      <c r="BQ15" s="63" cm="1">
        <f t="array" ref="BQ15">IF(OR(INDEX(FX_Vap,$KK15,BQ$90)="Crude Oil",(INDEX(FX_Vap,$KL15,BQ$90)="Crude Oil")),0.75,1)</f>
        <v>1</v>
      </c>
      <c r="BR15" s="63">
        <f t="shared" si="110"/>
        <v>1</v>
      </c>
      <c r="BS15" s="63">
        <f t="shared" si="25"/>
        <v>35.504992148067963</v>
      </c>
      <c r="BT15" s="64">
        <f t="shared" si="26"/>
        <v>35.504992148067963</v>
      </c>
      <c r="BU15" s="80" t="str" cm="1">
        <f t="array" ref="BU15">IF(ISBLANK(INDEX(FX_Input,$KB15+1,BU$85)),INDEX(FX_Input,$KB15,BU$85),INDEX(FX_Input,$KB15,BU$85)&amp;" &amp; "&amp;INDEX(FX_Input,$KB15+1,BU$85))</f>
        <v>Jet kerosene</v>
      </c>
      <c r="BV15" s="63" cm="1">
        <f t="array" ref="BV15">INDEX(FX_Temps,$KC15+7,BV$89)</f>
        <v>0</v>
      </c>
      <c r="BW15" s="63" cm="1">
        <f t="array" ref="BW15">INDEX(FX_Temps,$KC15+13,BW$89)+459.6</f>
        <v>508.2</v>
      </c>
      <c r="BX15" s="63" cm="1">
        <f t="array" ref="BX15">INDEX(FX_Vap,$KG15,BX$91)-INDEX(FX_Vap,$KH15,BX$91)</f>
        <v>0</v>
      </c>
      <c r="BY15" s="73" cm="1">
        <f t="array" ref="BY15">IF(BU15="Out of Service",0,INDEX(FX_Vap,$KI15,BY$91))</f>
        <v>5.5846958573521795E-3</v>
      </c>
      <c r="BZ15" s="63">
        <f t="shared" si="27"/>
        <v>0</v>
      </c>
      <c r="CA15" s="63">
        <f t="shared" si="28"/>
        <v>0.99382263059649689</v>
      </c>
      <c r="CB15" s="63" cm="1">
        <f t="array" ref="CB15">INDEX(FX_Vap,$KJ15,CB$91)</f>
        <v>130</v>
      </c>
      <c r="CC15" s="63" cm="1">
        <f t="array" ref="CC15">INDEX(FX_Temps,$KD15,CC$89)+459.6</f>
        <v>508.2</v>
      </c>
      <c r="CD15" s="63">
        <f t="shared" si="29"/>
        <v>1.3312757561120781E-4</v>
      </c>
      <c r="CE15" s="63" cm="1">
        <f t="array" ref="CE15">INDEX(Month_Ref,CE$83,3)*BZ15*(PI()/4*$F15^2)*$H15*CA15*CD15</f>
        <v>0</v>
      </c>
      <c r="CF15" s="63" cm="1">
        <f t="array" ref="CF15">INDEX(FX_Input,$KB15,CF$85)</f>
        <v>51564</v>
      </c>
      <c r="CG15" s="63">
        <f t="shared" si="30"/>
        <v>289480.29599999997</v>
      </c>
      <c r="CH15" s="63">
        <f t="shared" si="31"/>
        <v>1.0524538568189195</v>
      </c>
      <c r="CI15" s="63">
        <f t="shared" si="32"/>
        <v>1</v>
      </c>
      <c r="CJ15" s="63" cm="1">
        <f t="array" ref="CJ15">IF(OR(INDEX(FX_Vap,$KK15,CJ$90)="Crude Oil",(INDEX(FX_Vap,$KL15,CJ$90)="Crude Oil")),0.75,1)</f>
        <v>1</v>
      </c>
      <c r="CK15" s="63">
        <f t="shared" si="111"/>
        <v>1</v>
      </c>
      <c r="CL15" s="63">
        <f t="shared" si="33"/>
        <v>38.537809993694815</v>
      </c>
      <c r="CM15" s="64">
        <f t="shared" si="34"/>
        <v>38.537809993694815</v>
      </c>
      <c r="CN15" s="80" t="str" cm="1">
        <f t="array" ref="CN15">IF(ISBLANK(INDEX(FX_Input,$KB15+1,CN$85)),INDEX(FX_Input,$KB15,CN$85),INDEX(FX_Input,$KB15,CN$85)&amp;" &amp; "&amp;INDEX(FX_Input,$KB15+1,CN$85))</f>
        <v>Jet kerosene</v>
      </c>
      <c r="CO15" s="63" cm="1">
        <f t="array" ref="CO15">INDEX(FX_Temps,$KC15+7,CO$89)</f>
        <v>0</v>
      </c>
      <c r="CP15" s="63" cm="1">
        <f t="array" ref="CP15">INDEX(FX_Temps,$KC15+13,CP$89)+459.6</f>
        <v>512.75</v>
      </c>
      <c r="CQ15" s="63" cm="1">
        <f t="array" ref="CQ15">INDEX(FX_Vap,$KG15,CQ$91)-INDEX(FX_Vap,$KH15,CQ$91)</f>
        <v>0</v>
      </c>
      <c r="CR15" s="73" cm="1">
        <f t="array" ref="CR15">IF(CN15="Out of Service",0,INDEX(FX_Vap,$KI15,CR$91))</f>
        <v>6.5274070972739821E-3</v>
      </c>
      <c r="CS15" s="63">
        <f t="shared" si="35"/>
        <v>0</v>
      </c>
      <c r="CT15" s="63">
        <f t="shared" si="36"/>
        <v>0.99278739550197859</v>
      </c>
      <c r="CU15" s="63" cm="1">
        <f t="array" ref="CU15">INDEX(FX_Vap,$KJ15,CU$91)</f>
        <v>130</v>
      </c>
      <c r="CV15" s="63" cm="1">
        <f t="array" ref="CV15">INDEX(FX_Temps,$KD15,CV$89)+459.6</f>
        <v>512.75</v>
      </c>
      <c r="CW15" s="63">
        <f t="shared" si="37"/>
        <v>1.5421910831991609E-4</v>
      </c>
      <c r="CX15" s="63" cm="1">
        <f t="array" ref="CX15">INDEX(Month_Ref,CX$83,3)*CS15*(PI()/4*$F15^2)*$H15*CT15*CW15</f>
        <v>0</v>
      </c>
      <c r="CY15" s="63" cm="1">
        <f t="array" ref="CY15">INDEX(FX_Input,$KB15,CY$85)</f>
        <v>51564</v>
      </c>
      <c r="CZ15" s="63">
        <f t="shared" si="38"/>
        <v>289480.29599999997</v>
      </c>
      <c r="DA15" s="63">
        <f t="shared" si="39"/>
        <v>1.0524538568189195</v>
      </c>
      <c r="DB15" s="63">
        <f t="shared" si="40"/>
        <v>1</v>
      </c>
      <c r="DC15" s="63" cm="1">
        <f t="array" ref="DC15">IF(OR(INDEX(FX_Vap,$KK15,DC$90)="Crude Oil",(INDEX(FX_Vap,$KL15,DC$90)="Crude Oil")),0.75,1)</f>
        <v>1</v>
      </c>
      <c r="DD15" s="63">
        <f t="shared" si="112"/>
        <v>1</v>
      </c>
      <c r="DE15" s="63">
        <f t="shared" si="41"/>
        <v>44.643393125305366</v>
      </c>
      <c r="DF15" s="64">
        <f t="shared" si="42"/>
        <v>44.643393125305366</v>
      </c>
      <c r="DG15" s="80" t="str" cm="1">
        <f t="array" ref="DG15">IF(ISBLANK(INDEX(FX_Input,$KB15+1,DG$85)),INDEX(FX_Input,$KB15,DG$85),INDEX(FX_Input,$KB15,DG$85)&amp;" &amp; "&amp;INDEX(FX_Input,$KB15+1,DG$85))</f>
        <v>Jet kerosene</v>
      </c>
      <c r="DH15" s="63" cm="1">
        <f t="array" ref="DH15">INDEX(FX_Temps,$KC15+7,DH$89)</f>
        <v>0</v>
      </c>
      <c r="DI15" s="63" cm="1">
        <f t="array" ref="DI15">INDEX(FX_Temps,$KC15+13,DI$89)+459.6</f>
        <v>516.55000000000007</v>
      </c>
      <c r="DJ15" s="63" cm="1">
        <f t="array" ref="DJ15">INDEX(FX_Vap,$KG15,DJ$91)-INDEX(FX_Vap,$KH15,DJ$91)</f>
        <v>0</v>
      </c>
      <c r="DK15" s="73" cm="1">
        <f t="array" ref="DK15">IF(DG15="Out of Service",0,INDEX(FX_Vap,$KI15,DK$91))</f>
        <v>7.4199539958878279E-3</v>
      </c>
      <c r="DL15" s="63">
        <f t="shared" si="43"/>
        <v>0</v>
      </c>
      <c r="DM15" s="63">
        <f t="shared" si="44"/>
        <v>0.99180923389741604</v>
      </c>
      <c r="DN15" s="63" cm="1">
        <f t="array" ref="DN15">INDEX(FX_Vap,$KJ15,DN$91)</f>
        <v>130</v>
      </c>
      <c r="DO15" s="63" cm="1">
        <f t="array" ref="DO15">INDEX(FX_Temps,$KD15,DO$89)+459.6</f>
        <v>516.55000000000007</v>
      </c>
      <c r="DP15" s="63">
        <f t="shared" si="45"/>
        <v>1.7401713099147103E-4</v>
      </c>
      <c r="DQ15" s="63" cm="1">
        <f t="array" ref="DQ15">INDEX(Month_Ref,DQ$83,3)*DL15*(PI()/4*$F15^2)*$H15*DM15*DP15</f>
        <v>0</v>
      </c>
      <c r="DR15" s="63" cm="1">
        <f t="array" ref="DR15">INDEX(FX_Input,$KB15,DR$85)</f>
        <v>51564</v>
      </c>
      <c r="DS15" s="63">
        <f t="shared" si="46"/>
        <v>289480.29599999997</v>
      </c>
      <c r="DT15" s="63">
        <f t="shared" si="47"/>
        <v>1.0524538568189195</v>
      </c>
      <c r="DU15" s="63">
        <f t="shared" si="48"/>
        <v>1</v>
      </c>
      <c r="DV15" s="63" cm="1">
        <f t="array" ref="DV15">IF(OR(INDEX(FX_Vap,$KK15,DV$90)="Crude Oil",(INDEX(FX_Vap,$KL15,DV$90)="Crude Oil")),0.75,1)</f>
        <v>1</v>
      </c>
      <c r="DW15" s="63">
        <f t="shared" si="113"/>
        <v>1</v>
      </c>
      <c r="DX15" s="63">
        <f t="shared" si="49"/>
        <v>50.374530588481804</v>
      </c>
      <c r="DY15" s="64">
        <f t="shared" si="50"/>
        <v>50.374530588481804</v>
      </c>
      <c r="DZ15" s="80" t="str" cm="1">
        <f t="array" ref="DZ15">IF(ISBLANK(INDEX(FX_Input,$KB15+1,DZ$85)),INDEX(FX_Input,$KB15,DZ$85),INDEX(FX_Input,$KB15,DZ$85)&amp;" &amp; "&amp;INDEX(FX_Input,$KB15+1,DZ$85))</f>
        <v>Jet kerosene</v>
      </c>
      <c r="EA15" s="63" cm="1">
        <f t="array" ref="EA15">INDEX(FX_Temps,$KC15+7,EA$89)</f>
        <v>0</v>
      </c>
      <c r="EB15" s="63" cm="1">
        <f t="array" ref="EB15">INDEX(FX_Temps,$KC15+13,EB$89)+459.6</f>
        <v>520.04999999999995</v>
      </c>
      <c r="EC15" s="63" cm="1">
        <f t="array" ref="EC15">INDEX(FX_Vap,$KG15,EC$91)-INDEX(FX_Vap,$KH15,EC$91)</f>
        <v>0</v>
      </c>
      <c r="ED15" s="73" cm="1">
        <f t="array" ref="ED15">IF(DZ15="Out of Service",0,INDEX(FX_Vap,$KI15,ED$91))</f>
        <v>8.3358107202842254E-3</v>
      </c>
      <c r="EE15" s="63">
        <f t="shared" si="51"/>
        <v>0</v>
      </c>
      <c r="EF15" s="63">
        <f t="shared" si="52"/>
        <v>0.99080752819104556</v>
      </c>
      <c r="EG15" s="63" cm="1">
        <f t="array" ref="EG15">INDEX(FX_Vap,$KJ15,EG$91)</f>
        <v>130</v>
      </c>
      <c r="EH15" s="63" cm="1">
        <f t="array" ref="EH15">INDEX(FX_Temps,$KD15,EH$89)+459.6</f>
        <v>520.04999999999995</v>
      </c>
      <c r="EI15" s="63">
        <f t="shared" si="53"/>
        <v>1.9418062801892895E-4</v>
      </c>
      <c r="EJ15" s="63" cm="1">
        <f t="array" ref="EJ15">INDEX(Month_Ref,EJ$83,3)*EE15*(PI()/4*$F15^2)*$H15*EF15*EI15</f>
        <v>0</v>
      </c>
      <c r="EK15" s="63" cm="1">
        <f t="array" ref="EK15">INDEX(FX_Input,$KB15,EK$85)</f>
        <v>51564</v>
      </c>
      <c r="EL15" s="63">
        <f t="shared" si="54"/>
        <v>289480.29599999997</v>
      </c>
      <c r="EM15" s="63">
        <f t="shared" si="55"/>
        <v>1.0524538568189195</v>
      </c>
      <c r="EN15" s="63">
        <f t="shared" si="56"/>
        <v>1</v>
      </c>
      <c r="EO15" s="63" cm="1">
        <f t="array" ref="EO15">IF(OR(INDEX(FX_Vap,$KK15,EO$90)="Crude Oil",(INDEX(FX_Vap,$KL15,EO$90)="Crude Oil")),0.75,1)</f>
        <v>1</v>
      </c>
      <c r="EP15" s="63">
        <f t="shared" si="114"/>
        <v>1</v>
      </c>
      <c r="EQ15" s="63">
        <f t="shared" si="57"/>
        <v>56.211465676385437</v>
      </c>
      <c r="ER15" s="64">
        <f t="shared" si="58"/>
        <v>56.211465676385437</v>
      </c>
      <c r="ES15" s="80" t="str" cm="1">
        <f t="array" ref="ES15">IF(ISBLANK(INDEX(FX_Input,$KB15+1,ES$85)),INDEX(FX_Input,$KB15,ES$85),INDEX(FX_Input,$KB15,ES$85)&amp;" &amp; "&amp;INDEX(FX_Input,$KB15+1,ES$85))</f>
        <v>Jet kerosene</v>
      </c>
      <c r="ET15" s="63" cm="1">
        <f t="array" ref="ET15">INDEX(FX_Temps,$KC15+7,ET$89)</f>
        <v>0</v>
      </c>
      <c r="EU15" s="63" cm="1">
        <f t="array" ref="EU15">INDEX(FX_Temps,$KC15+13,EU$89)+459.6</f>
        <v>520.5</v>
      </c>
      <c r="EV15" s="63" cm="1">
        <f t="array" ref="EV15">INDEX(FX_Vap,$KG15,EV$91)-INDEX(FX_Vap,$KH15,EV$91)</f>
        <v>0</v>
      </c>
      <c r="EW15" s="73" cm="1">
        <f t="array" ref="EW15">IF(ES15="Out of Service",0,INDEX(FX_Vap,$KI15,EW$91))</f>
        <v>8.4605262729351115E-3</v>
      </c>
      <c r="EX15" s="63">
        <f t="shared" si="59"/>
        <v>0</v>
      </c>
      <c r="EY15" s="63">
        <f t="shared" si="60"/>
        <v>0.99067127877492578</v>
      </c>
      <c r="EZ15" s="63" cm="1">
        <f t="array" ref="EZ15">INDEX(FX_Vap,$KJ15,EZ$91)</f>
        <v>130</v>
      </c>
      <c r="FA15" s="63" cm="1">
        <f t="array" ref="FA15">INDEX(FX_Temps,$KD15,FA$89)+459.6</f>
        <v>520.5</v>
      </c>
      <c r="FB15" s="63">
        <f t="shared" si="61"/>
        <v>1.969154544366044E-4</v>
      </c>
      <c r="FC15" s="63" cm="1">
        <f t="array" ref="FC15">INDEX(Month_Ref,FC$83,3)*EX15*(PI()/4*$F15^2)*$H15*EY15*FB15</f>
        <v>0</v>
      </c>
      <c r="FD15" s="63" cm="1">
        <f t="array" ref="FD15">INDEX(FX_Input,$KB15,FD$85)</f>
        <v>51564</v>
      </c>
      <c r="FE15" s="63">
        <f t="shared" si="62"/>
        <v>289480.29599999997</v>
      </c>
      <c r="FF15" s="63">
        <f t="shared" si="63"/>
        <v>1.0524538568189195</v>
      </c>
      <c r="FG15" s="63">
        <f t="shared" si="64"/>
        <v>1</v>
      </c>
      <c r="FH15" s="63" cm="1">
        <f t="array" ref="FH15">IF(OR(INDEX(FX_Vap,$KK15,FH$90)="Crude Oil",(INDEX(FX_Vap,$KL15,FH$90)="Crude Oil")),0.75,1)</f>
        <v>1</v>
      </c>
      <c r="FI15" s="63">
        <f t="shared" si="115"/>
        <v>1</v>
      </c>
      <c r="FJ15" s="63">
        <f t="shared" si="65"/>
        <v>57.003144037282752</v>
      </c>
      <c r="FK15" s="64">
        <f t="shared" si="66"/>
        <v>57.003144037282752</v>
      </c>
      <c r="FL15" s="80" t="str" cm="1">
        <f t="array" ref="FL15">IF(ISBLANK(INDEX(FX_Input,$KB15+1,FL$85)),INDEX(FX_Input,$KB15,FL$85),INDEX(FX_Input,$KB15,FL$85)&amp;" &amp; "&amp;INDEX(FX_Input,$KB15+1,FL$85))</f>
        <v>Jet kerosene</v>
      </c>
      <c r="FM15" s="63" cm="1">
        <f t="array" ref="FM15">INDEX(FX_Temps,$KC15+7,FM$89)</f>
        <v>0</v>
      </c>
      <c r="FN15" s="63" cm="1">
        <f t="array" ref="FN15">INDEX(FX_Temps,$KC15+13,FN$89)+459.6</f>
        <v>518.20000000000005</v>
      </c>
      <c r="FO15" s="63" cm="1">
        <f t="array" ref="FO15">INDEX(FX_Vap,$KG15,FO$91)-INDEX(FX_Vap,$KH15,FO$91)</f>
        <v>0</v>
      </c>
      <c r="FP15" s="73" cm="1">
        <f t="array" ref="FP15">IF(FL15="Out of Service",0,INDEX(FX_Vap,$KI15,FP$91))</f>
        <v>7.8399882233967533E-3</v>
      </c>
      <c r="FQ15" s="63">
        <f t="shared" si="67"/>
        <v>0</v>
      </c>
      <c r="FR15" s="63">
        <f t="shared" si="68"/>
        <v>0.99134957590261497</v>
      </c>
      <c r="FS15" s="63" cm="1">
        <f t="array" ref="FS15">INDEX(FX_Vap,$KJ15,FS$91)</f>
        <v>130</v>
      </c>
      <c r="FT15" s="63" cm="1">
        <f t="array" ref="FT15">INDEX(FX_Temps,$KD15,FT$89)+459.6</f>
        <v>518.20000000000005</v>
      </c>
      <c r="FU15" s="63">
        <f t="shared" si="69"/>
        <v>1.8328256712249962E-4</v>
      </c>
      <c r="FV15" s="63" cm="1">
        <f t="array" ref="FV15">INDEX(Month_Ref,FV$83,3)*FQ15*(PI()/4*$F15^2)*$H15*FR15*FU15</f>
        <v>0</v>
      </c>
      <c r="FW15" s="63" cm="1">
        <f t="array" ref="FW15">INDEX(FX_Input,$KB15,FW$85)</f>
        <v>51564</v>
      </c>
      <c r="FX15" s="63">
        <f t="shared" si="70"/>
        <v>289480.29599999997</v>
      </c>
      <c r="FY15" s="63">
        <f t="shared" si="71"/>
        <v>1.0524538568189195</v>
      </c>
      <c r="FZ15" s="63">
        <f t="shared" si="72"/>
        <v>1</v>
      </c>
      <c r="GA15" s="63" cm="1">
        <f t="array" ref="GA15">IF(OR(INDEX(FX_Vap,$KK15,GA$90)="Crude Oil",(INDEX(FX_Vap,$KL15,GA$90)="Crude Oil")),0.75,1)</f>
        <v>1</v>
      </c>
      <c r="GB15" s="63">
        <f t="shared" si="116"/>
        <v>1</v>
      </c>
      <c r="GC15" s="63">
        <f t="shared" si="73"/>
        <v>53.056691782261055</v>
      </c>
      <c r="GD15" s="64">
        <f t="shared" si="74"/>
        <v>53.056691782261055</v>
      </c>
      <c r="GE15" s="80" t="str" cm="1">
        <f t="array" ref="GE15">IF(ISBLANK(INDEX(FX_Input,$KB15+1,GE$85)),INDEX(FX_Input,$KB15,GE$85),INDEX(FX_Input,$KB15,GE$85)&amp;" &amp; "&amp;INDEX(FX_Input,$KB15+1,GE$85))</f>
        <v>Jet kerosene</v>
      </c>
      <c r="GF15" s="63" cm="1">
        <f t="array" ref="GF15">INDEX(FX_Temps,$KC15+7,GF$89)</f>
        <v>0</v>
      </c>
      <c r="GG15" s="63" cm="1">
        <f t="array" ref="GG15">INDEX(FX_Temps,$KC15+13,GG$89)+459.6</f>
        <v>512.25</v>
      </c>
      <c r="GH15" s="63" cm="1">
        <f t="array" ref="GH15">INDEX(FX_Vap,$KG15,GH$91)-INDEX(FX_Vap,$KH15,GH$91)</f>
        <v>0</v>
      </c>
      <c r="GI15" s="73" cm="1">
        <f t="array" ref="GI15">IF(GE15="Out of Service",0,INDEX(FX_Vap,$KI15,GI$91))</f>
        <v>6.4173462075160911E-3</v>
      </c>
      <c r="GJ15" s="63">
        <f t="shared" si="75"/>
        <v>0</v>
      </c>
      <c r="GK15" s="63">
        <f t="shared" si="76"/>
        <v>0.992908147274014</v>
      </c>
      <c r="GL15" s="63" cm="1">
        <f t="array" ref="GL15">INDEX(FX_Vap,$KJ15,GL$91)</f>
        <v>130</v>
      </c>
      <c r="GM15" s="63" cm="1">
        <f t="array" ref="GM15">INDEX(FX_Temps,$KD15,GM$89)+459.6</f>
        <v>512.25</v>
      </c>
      <c r="GN15" s="63">
        <f t="shared" si="77"/>
        <v>1.5176675903637226E-4</v>
      </c>
      <c r="GO15" s="63" cm="1">
        <f t="array" ref="GO15">INDEX(Month_Ref,GO$83,3)*GJ15*(PI()/4*$F15^2)*$H15*GK15*GN15</f>
        <v>0</v>
      </c>
      <c r="GP15" s="63" cm="1">
        <f t="array" ref="GP15">INDEX(FX_Input,$KB15,GP$85)</f>
        <v>51564</v>
      </c>
      <c r="GQ15" s="63">
        <f t="shared" si="78"/>
        <v>289480.29599999997</v>
      </c>
      <c r="GR15" s="63">
        <f t="shared" si="79"/>
        <v>1.0524538568189195</v>
      </c>
      <c r="GS15" s="63">
        <f t="shared" si="80"/>
        <v>1</v>
      </c>
      <c r="GT15" s="63" cm="1">
        <f t="array" ref="GT15">IF(OR(INDEX(FX_Vap,$KK15,GT$90)="Crude Oil",(INDEX(FX_Vap,$KL15,GT$90)="Crude Oil")),0.75,1)</f>
        <v>1</v>
      </c>
      <c r="GU15" s="63">
        <f t="shared" si="117"/>
        <v>1</v>
      </c>
      <c r="GV15" s="63">
        <f t="shared" si="81"/>
        <v>43.933486328809714</v>
      </c>
      <c r="GW15" s="64">
        <f t="shared" si="82"/>
        <v>43.933486328809714</v>
      </c>
      <c r="GX15" s="80" t="str" cm="1">
        <f t="array" ref="GX15">IF(ISBLANK(INDEX(FX_Input,$KB15+1,GX$85)),INDEX(FX_Input,$KB15,GX$85),INDEX(FX_Input,$KB15,GX$85)&amp;" &amp; "&amp;INDEX(FX_Input,$KB15+1,GX$85))</f>
        <v>Jet kerosene</v>
      </c>
      <c r="GY15" s="63" cm="1">
        <f t="array" ref="GY15">INDEX(FX_Temps,$KC15+7,GY$89)</f>
        <v>0</v>
      </c>
      <c r="GZ15" s="63" cm="1">
        <f t="array" ref="GZ15">INDEX(FX_Temps,$KC15+13,GZ$89)+459.6</f>
        <v>506.70000000000005</v>
      </c>
      <c r="HA15" s="63" cm="1">
        <f t="array" ref="HA15">INDEX(FX_Vap,$KG15,HA$91)-INDEX(FX_Vap,$KH15,HA$91)</f>
        <v>0</v>
      </c>
      <c r="HB15" s="73" cm="1">
        <f t="array" ref="HB15">IF(GX15="Out of Service",0,INDEX(FX_Vap,$KI15,HB$91))</f>
        <v>5.3015226887581056E-3</v>
      </c>
      <c r="HC15" s="63">
        <f t="shared" si="83"/>
        <v>0</v>
      </c>
      <c r="HD15" s="63">
        <f t="shared" si="84"/>
        <v>0.99413401802984402</v>
      </c>
      <c r="HE15" s="63" cm="1">
        <f t="array" ref="HE15">INDEX(FX_Vap,$KJ15,HE$91)</f>
        <v>130</v>
      </c>
      <c r="HF15" s="63" cm="1">
        <f t="array" ref="HF15">INDEX(FX_Temps,$KD15,HF$89)+459.6</f>
        <v>506.70000000000005</v>
      </c>
      <c r="HG15" s="63">
        <f t="shared" si="85"/>
        <v>1.2675143286623188E-4</v>
      </c>
      <c r="HH15" s="63" cm="1">
        <f t="array" ref="HH15">INDEX(Month_Ref,HH$83,3)*HC15*(PI()/4*$F15^2)*$H15*HD15*HG15</f>
        <v>0</v>
      </c>
      <c r="HI15" s="63" cm="1">
        <f t="array" ref="HI15">INDEX(FX_Input,$KB15,HI$85)</f>
        <v>51564</v>
      </c>
      <c r="HJ15" s="63">
        <f t="shared" si="86"/>
        <v>289480.29599999997</v>
      </c>
      <c r="HK15" s="63">
        <f t="shared" si="87"/>
        <v>1.0524538568189195</v>
      </c>
      <c r="HL15" s="63">
        <f t="shared" si="88"/>
        <v>1</v>
      </c>
      <c r="HM15" s="63" cm="1">
        <f t="array" ref="HM15">IF(OR(INDEX(FX_Vap,$KK15,HM$90)="Crude Oil",(INDEX(FX_Vap,$KL15,HM$90)="Crude Oil")),0.75,1)</f>
        <v>1</v>
      </c>
      <c r="HN15" s="63">
        <f t="shared" si="118"/>
        <v>1</v>
      </c>
      <c r="HO15" s="63">
        <f t="shared" si="89"/>
        <v>36.692042304540927</v>
      </c>
      <c r="HP15" s="64">
        <f t="shared" si="90"/>
        <v>36.692042304540927</v>
      </c>
      <c r="HQ15" s="80" t="str" cm="1">
        <f t="array" ref="HQ15">IF(ISBLANK(INDEX(FX_Input,$KB15+1,HQ$85)),INDEX(FX_Input,$KB15,HQ$85),INDEX(FX_Input,$KB15,HQ$85)&amp;" &amp; "&amp;INDEX(FX_Input,$KB15+1,HQ$85))</f>
        <v>Jet kerosene</v>
      </c>
      <c r="HR15" s="63" cm="1">
        <f t="array" ref="HR15">INDEX(FX_Temps,$KC15+7,HR$89)</f>
        <v>0</v>
      </c>
      <c r="HS15" s="63" cm="1">
        <f t="array" ref="HS15">INDEX(FX_Temps,$KC15+13,HS$89)+459.6</f>
        <v>503.20000000000005</v>
      </c>
      <c r="HT15" s="63" cm="1">
        <f t="array" ref="HT15">INDEX(FX_Vap,$KG15,HT$91)-INDEX(FX_Vap,$KH15,HT$91)</f>
        <v>0</v>
      </c>
      <c r="HU15" s="73" cm="1">
        <f t="array" ref="HU15">IF(HQ15="Out of Service",0,INDEX(FX_Vap,$KI15,HU$91))</f>
        <v>4.68970903600947E-3</v>
      </c>
      <c r="HV15" s="63">
        <f t="shared" si="91"/>
        <v>0</v>
      </c>
      <c r="HW15" s="63">
        <f t="shared" si="92"/>
        <v>0.99480745707962126</v>
      </c>
      <c r="HX15" s="63" cm="1">
        <f t="array" ref="HX15">INDEX(FX_Vap,$KJ15,HX$91)</f>
        <v>130</v>
      </c>
      <c r="HY15" s="63" cm="1">
        <f t="array" ref="HY15">INDEX(FX_Temps,$KD15,HY$89)+459.6</f>
        <v>503.20000000000005</v>
      </c>
      <c r="HZ15" s="63">
        <f t="shared" si="93"/>
        <v>1.1290376474196325E-4</v>
      </c>
      <c r="IA15" s="63" cm="1">
        <f t="array" ref="IA15">INDEX(Month_Ref,IA$83,3)*HV15*(PI()/4*$F15^2)*$H15*HW15*HZ15</f>
        <v>0</v>
      </c>
      <c r="IB15" s="63" cm="1">
        <f t="array" ref="IB15">INDEX(FX_Input,$KB15,IB$85)</f>
        <v>51564</v>
      </c>
      <c r="IC15" s="63">
        <f t="shared" si="94"/>
        <v>289480.29599999997</v>
      </c>
      <c r="ID15" s="63">
        <f t="shared" si="95"/>
        <v>1.0524538568189195</v>
      </c>
      <c r="IE15" s="63">
        <f t="shared" si="96"/>
        <v>1</v>
      </c>
      <c r="IF15" s="63" cm="1">
        <f t="array" ref="IF15">IF(OR(INDEX(FX_Vap,$KK15,IF$90)="Crude Oil",(INDEX(FX_Vap,$KL15,IF$90)="Crude Oil")),0.75,1)</f>
        <v>1</v>
      </c>
      <c r="IG15" s="63">
        <f t="shared" si="119"/>
        <v>1</v>
      </c>
      <c r="IH15" s="63">
        <f t="shared" si="97"/>
        <v>32.683415237017883</v>
      </c>
      <c r="II15" s="64">
        <f t="shared" si="98"/>
        <v>32.683415237017883</v>
      </c>
      <c r="IJ15" s="80">
        <f t="shared" si="99"/>
        <v>0</v>
      </c>
      <c r="IK15" s="63">
        <f t="shared" si="100"/>
        <v>0</v>
      </c>
      <c r="IL15" s="63">
        <f t="shared" si="101"/>
        <v>515.55195298946933</v>
      </c>
      <c r="IM15" s="63">
        <f t="shared" si="102"/>
        <v>0.25777597649473466</v>
      </c>
      <c r="IN15" s="63">
        <f t="shared" si="103"/>
        <v>515.55195298946933</v>
      </c>
      <c r="IO15" s="64">
        <f t="shared" si="104"/>
        <v>0.25777597649473466</v>
      </c>
      <c r="KB15" s="43">
        <f t="shared" si="120"/>
        <v>9</v>
      </c>
      <c r="KC15" s="43">
        <f t="shared" si="121"/>
        <v>57</v>
      </c>
      <c r="KD15" s="43">
        <f t="shared" si="122"/>
        <v>70</v>
      </c>
      <c r="KE15" s="43">
        <f t="shared" si="123"/>
        <v>57</v>
      </c>
      <c r="KF15" s="43">
        <f t="shared" si="124"/>
        <v>137</v>
      </c>
      <c r="KG15" s="43">
        <f t="shared" si="125"/>
        <v>160</v>
      </c>
      <c r="KH15" s="43">
        <f t="shared" si="126"/>
        <v>155</v>
      </c>
      <c r="KI15" s="43">
        <f t="shared" si="105"/>
        <v>165</v>
      </c>
      <c r="KJ15" s="43">
        <f t="shared" si="105"/>
        <v>170</v>
      </c>
      <c r="KK15" s="43">
        <f t="shared" si="127"/>
        <v>141</v>
      </c>
      <c r="KL15" s="43">
        <f t="shared" si="128"/>
        <v>143</v>
      </c>
    </row>
    <row r="16" spans="2:298" x14ac:dyDescent="0.4">
      <c r="B16" s="43" t="str" cm="1">
        <f t="array" ref="B16">INDEX(FX_Input,$KB16,B$85)</f>
        <v>FX - 6</v>
      </c>
      <c r="C16" s="93" t="str" cm="1">
        <f t="array" ref="C16">INDEX(FX_Input,$KB16,C$85)</f>
        <v>FIXTANK 93</v>
      </c>
      <c r="D16" s="80">
        <f t="shared" si="0"/>
        <v>210997.74019550008</v>
      </c>
      <c r="E16" s="63" cm="1">
        <f t="array" ref="E16">IF(ISBLANK(INDEX(FX_Input,$KB16,$E$85)),0.03,INDEX(FX_Input,$KB16,$E$85))-IF(ISBLANK(INDEX(FX_Input,$KB16,$E$86)),-0.03,INDEX(FX_Input,$KB16,$E$86))</f>
        <v>0.06</v>
      </c>
      <c r="F16" s="63" cm="1">
        <f t="array" ref="F16">IF(INDEX(FX_Input,$KB16,F$85)="Vertical",INDEX(FX_Input,$KB16,F$86),SQRT((INDEX(FX_Input,$KB16,F$86)*INDEX(FX_Input,$KB16,F$87))/(PI()/4)))</f>
        <v>112</v>
      </c>
      <c r="G16" s="63" cm="1">
        <f t="array" ref="G16">IF(INDEX(FX_Input,$KB16,G$85)="Vertical",INDEX(FX_Input,$KB16,G$86),INDEX(FX_Input,$KB16,G$87)*PI()/4)</f>
        <v>40.5</v>
      </c>
      <c r="H16" s="63" cm="1">
        <f t="array" ref="H16">IF(INDEX(FX_Input,$KB16,H$85)="Vertical",G16-G16/2+J16,G16/2)</f>
        <v>21.416666666666668</v>
      </c>
      <c r="I16" s="63" cm="1">
        <f t="array" ref="I16">IF(INDEX(FX_Input,$KB16,F$85)="Horizontal","N/A",IF(INDEX(FX_Input,$KB16,I$86)="Cone",IF(ISBLANK(INDEX(FX_Input,$KB16,I$87)),0.0625,INDEX(FX_Input,$KB16,I$87))*F16/2,F16/2-SQRT((F16/2)^2-(INDEX(FX_Input,$KB16,I$88)^2))))</f>
        <v>3.5</v>
      </c>
      <c r="J16" s="63" cm="1">
        <f t="array" ref="J16">IF(INDEX(FX_Input,$KB16,J$85)="Horizontal","N/A",IF(INDEX(FX_Input,$KB16,J$86)="Cone",I16/3,I16*(1/2+(1/6)*(I16/(F16/2))^2)))</f>
        <v>1.1666666666666667</v>
      </c>
      <c r="K16" s="63">
        <f t="shared" si="1"/>
        <v>39.5</v>
      </c>
      <c r="L16" s="63">
        <v>1</v>
      </c>
      <c r="M16" s="63" t="str" cm="1">
        <f t="array" ref="M16">INDEX(Tbl_71_6,MATCH(INDEX(FX_Input,$KB16,M$85),Paint_Color,0),VLOOKUP(INDEX(FX_Input,$KB16,M$86),Paint_Cond_Column,2,FALSE))</f>
        <v>N/A</v>
      </c>
      <c r="N16" s="63" t="str" cm="1">
        <f t="array" ref="N16">INDEX(Tbl_71_6,MATCH(INDEX(FX_Input,$KB16,N$85),Paint_Color,0),VLOOKUP(INDEX(FX_Input,$KB16,N$86),Paint_Cond_Column,2,FALSE))</f>
        <v>N/A</v>
      </c>
      <c r="O16" s="64" t="str">
        <f t="shared" si="2"/>
        <v>Insulated</v>
      </c>
      <c r="P16" s="80" t="str" cm="1">
        <f t="array" ref="P16">IF(ISBLANK(INDEX(FX_Input,$KB16+1,P$85)),INDEX(FX_Input,$KB16,P$85),INDEX(FX_Input,$KB16,P$85)&amp;" &amp; "&amp;INDEX(FX_Input,$KB16+1,P$85))</f>
        <v>Jet kerosene</v>
      </c>
      <c r="Q16" s="63" cm="1">
        <f t="array" ref="Q16">INDEX(FX_Temps,$KC16+7,Q$89)</f>
        <v>0</v>
      </c>
      <c r="R16" s="63" cm="1">
        <f t="array" ref="R16">INDEX(FX_Temps,$KC16+13,R$89)+459.6</f>
        <v>503.5</v>
      </c>
      <c r="S16" s="63" cm="1">
        <f t="array" ref="S16">INDEX(FX_Vap,$KG16,S$91)-INDEX(FX_Vap,$KH16,S$91)</f>
        <v>0</v>
      </c>
      <c r="T16" s="73" cm="1">
        <f t="array" ref="T16">IF(P16="Out of Service",0,INDEX(FX_Vap,$KI16,T$91))</f>
        <v>4.739577185808354E-3</v>
      </c>
      <c r="U16" s="63">
        <f t="shared" si="3"/>
        <v>0</v>
      </c>
      <c r="V16" s="63">
        <f t="shared" si="4"/>
        <v>0.99464897246790285</v>
      </c>
      <c r="W16" s="63" cm="1">
        <f t="array" ref="W16">INDEX(FX_Vap,$KJ16,W$91)</f>
        <v>130</v>
      </c>
      <c r="X16" s="63" cm="1">
        <f t="array" ref="X16">INDEX(FX_Temps,$KD16,X$89)+459.6</f>
        <v>503.5</v>
      </c>
      <c r="Y16" s="63">
        <f t="shared" si="5"/>
        <v>1.1403634333314844E-4</v>
      </c>
      <c r="Z16" s="63" cm="1">
        <f t="array" ref="Z16">INDEX(Month_Ref,Z$83,3)*U16*(PI()/4*$F16^2)*$H16*V16*Y16</f>
        <v>0</v>
      </c>
      <c r="AA16" s="63" cm="1">
        <f t="array" ref="AA16">INDEX(FX_Input,$KB16,AA$85)</f>
        <v>71061</v>
      </c>
      <c r="AB16" s="63">
        <f t="shared" si="6"/>
        <v>398936.45399999997</v>
      </c>
      <c r="AC16" s="63">
        <f t="shared" si="7"/>
        <v>1.0517610097013737</v>
      </c>
      <c r="AD16" s="63">
        <f t="shared" si="8"/>
        <v>1</v>
      </c>
      <c r="AE16" s="63" cm="1">
        <f t="array" ref="AE16">IF(OR(INDEX(FX_Vap,$KK16,AE$90)="Crude Oil",(INDEX(FX_Vap,$KL16,AE$90)="Crude Oil")),0.75,1)</f>
        <v>1</v>
      </c>
      <c r="AF16" s="63">
        <f t="shared" si="108"/>
        <v>1</v>
      </c>
      <c r="AG16" s="63">
        <f t="shared" si="9"/>
        <v>45.493254436452773</v>
      </c>
      <c r="AH16" s="64">
        <f t="shared" si="10"/>
        <v>45.493254436452773</v>
      </c>
      <c r="AI16" s="80" t="str" cm="1">
        <f t="array" ref="AI16">IF(ISBLANK(INDEX(FX_Input,$KB16+1,AI$85)),INDEX(FX_Input,$KB16,AI$85),INDEX(FX_Input,$KB16,AI$85)&amp;" &amp; "&amp;INDEX(FX_Input,$KB16+1,AI$85))</f>
        <v>Jet kerosene</v>
      </c>
      <c r="AJ16" s="63" cm="1">
        <f t="array" ref="AJ16">INDEX(FX_Temps,$KC16+7,AJ$89)</f>
        <v>0</v>
      </c>
      <c r="AK16" s="63" cm="1">
        <f t="array" ref="AK16">INDEX(FX_Temps,$KC16+13,AK$89)+459.6</f>
        <v>504.30000000000007</v>
      </c>
      <c r="AL16" s="63" cm="1">
        <f t="array" ref="AL16">INDEX(FX_Vap,$KG16,AL$91)-INDEX(FX_Vap,$KH16,AL$91)</f>
        <v>0</v>
      </c>
      <c r="AM16" s="73" cm="1">
        <f t="array" ref="AM16">IF(AI16="Out of Service",0,INDEX(FX_Vap,$KI16,AM$91))</f>
        <v>4.8748667780818778E-3</v>
      </c>
      <c r="AN16" s="63">
        <f t="shared" si="11"/>
        <v>0</v>
      </c>
      <c r="AO16" s="63">
        <f t="shared" si="12"/>
        <v>0.99449706977221886</v>
      </c>
      <c r="AP16" s="63" cm="1">
        <f t="array" ref="AP16">INDEX(FX_Vap,$KJ16,AP$91)</f>
        <v>130</v>
      </c>
      <c r="AQ16" s="63" cm="1">
        <f t="array" ref="AQ16">INDEX(FX_Temps,$KD16,AQ$89)+459.6</f>
        <v>504.30000000000007</v>
      </c>
      <c r="AR16" s="63">
        <f t="shared" si="13"/>
        <v>1.1710540514572422E-4</v>
      </c>
      <c r="AS16" s="63" cm="1">
        <f t="array" ref="AS16">INDEX(Month_Ref,AS$83,3)*AN16*(PI()/4*$F16^2)*$H16*AO16*AR16</f>
        <v>0</v>
      </c>
      <c r="AT16" s="63" cm="1">
        <f t="array" ref="AT16">INDEX(FX_Input,$KB16,AT$85)</f>
        <v>71061</v>
      </c>
      <c r="AU16" s="63">
        <f t="shared" si="14"/>
        <v>398936.45399999997</v>
      </c>
      <c r="AV16" s="63">
        <f t="shared" si="15"/>
        <v>1.0517610097013737</v>
      </c>
      <c r="AW16" s="63">
        <f t="shared" si="16"/>
        <v>1</v>
      </c>
      <c r="AX16" s="63" cm="1">
        <f t="array" ref="AX16">IF(OR(INDEX(FX_Vap,$KK16,AX$90)="Crude Oil",(INDEX(FX_Vap,$KL16,AX$90)="Crude Oil")),0.75,1)</f>
        <v>1</v>
      </c>
      <c r="AY16" s="63">
        <f t="shared" si="109"/>
        <v>1</v>
      </c>
      <c r="AZ16" s="63">
        <f t="shared" si="17"/>
        <v>46.717615073068572</v>
      </c>
      <c r="BA16" s="64">
        <f t="shared" si="18"/>
        <v>46.717615073068572</v>
      </c>
      <c r="BB16" s="80" t="str" cm="1">
        <f t="array" ref="BB16">IF(ISBLANK(INDEX(FX_Input,$KB16+1,BB$85)),INDEX(FX_Input,$KB16,BB$85),INDEX(FX_Input,$KB16,BB$85)&amp;" &amp; "&amp;INDEX(FX_Input,$KB16+1,BB$85))</f>
        <v>Jet kerosene</v>
      </c>
      <c r="BC16" s="63" cm="1">
        <f t="array" ref="BC16">INDEX(FX_Temps,$KC16+7,BC$89)</f>
        <v>0</v>
      </c>
      <c r="BD16" s="63" cm="1">
        <f t="array" ref="BD16">INDEX(FX_Temps,$KC16+13,BD$89)+459.6</f>
        <v>505.70000000000005</v>
      </c>
      <c r="BE16" s="63" cm="1">
        <f t="array" ref="BE16">INDEX(FX_Vap,$KG16,BE$91)-INDEX(FX_Vap,$KH16,BE$91)</f>
        <v>0</v>
      </c>
      <c r="BF16" s="73" cm="1">
        <f t="array" ref="BF16">IF(BB16="Out of Service",0,INDEX(FX_Vap,$KI16,BF$91))</f>
        <v>5.119885034186122E-3</v>
      </c>
      <c r="BG16" s="63">
        <f t="shared" si="19"/>
        <v>0</v>
      </c>
      <c r="BH16" s="63">
        <f t="shared" si="20"/>
        <v>0.99422208217641994</v>
      </c>
      <c r="BI16" s="63" cm="1">
        <f t="array" ref="BI16">INDEX(FX_Vap,$KJ16,BI$91)</f>
        <v>130</v>
      </c>
      <c r="BJ16" s="63" cm="1">
        <f t="array" ref="BJ16">INDEX(FX_Temps,$KD16,BJ$89)+459.6</f>
        <v>505.70000000000005</v>
      </c>
      <c r="BK16" s="63">
        <f t="shared" si="21"/>
        <v>1.226508078051294E-4</v>
      </c>
      <c r="BL16" s="63" cm="1">
        <f t="array" ref="BL16">INDEX(Month_Ref,BL$83,3)*BG16*(PI()/4*$F16^2)*$H16*BH16*BK16</f>
        <v>0</v>
      </c>
      <c r="BM16" s="63" cm="1">
        <f t="array" ref="BM16">INDEX(FX_Input,$KB16,BM$85)</f>
        <v>71061</v>
      </c>
      <c r="BN16" s="63">
        <f t="shared" si="22"/>
        <v>398936.45399999997</v>
      </c>
      <c r="BO16" s="63">
        <f t="shared" si="23"/>
        <v>1.0517610097013737</v>
      </c>
      <c r="BP16" s="63">
        <f t="shared" si="24"/>
        <v>1</v>
      </c>
      <c r="BQ16" s="63" cm="1">
        <f t="array" ref="BQ16">IF(OR(INDEX(FX_Vap,$KK16,BQ$90)="Crude Oil",(INDEX(FX_Vap,$KL16,BQ$90)="Crude Oil")),0.75,1)</f>
        <v>1</v>
      </c>
      <c r="BR16" s="63">
        <f t="shared" si="110"/>
        <v>1</v>
      </c>
      <c r="BS16" s="63">
        <f t="shared" si="25"/>
        <v>48.929878346013844</v>
      </c>
      <c r="BT16" s="64">
        <f t="shared" si="26"/>
        <v>48.929878346013844</v>
      </c>
      <c r="BU16" s="80" t="str" cm="1">
        <f t="array" ref="BU16">IF(ISBLANK(INDEX(FX_Input,$KB16+1,BU$85)),INDEX(FX_Input,$KB16,BU$85),INDEX(FX_Input,$KB16,BU$85)&amp;" &amp; "&amp;INDEX(FX_Input,$KB16+1,BU$85))</f>
        <v>Jet kerosene</v>
      </c>
      <c r="BV16" s="63" cm="1">
        <f t="array" ref="BV16">INDEX(FX_Temps,$KC16+7,BV$89)</f>
        <v>0</v>
      </c>
      <c r="BW16" s="63" cm="1">
        <f t="array" ref="BW16">INDEX(FX_Temps,$KC16+13,BW$89)+459.6</f>
        <v>508.2</v>
      </c>
      <c r="BX16" s="63" cm="1">
        <f t="array" ref="BX16">INDEX(FX_Vap,$KG16,BX$91)-INDEX(FX_Vap,$KH16,BX$91)</f>
        <v>0</v>
      </c>
      <c r="BY16" s="73" cm="1">
        <f t="array" ref="BY16">IF(BU16="Out of Service",0,INDEX(FX_Vap,$KI16,BY$91))</f>
        <v>5.5846958573521795E-3</v>
      </c>
      <c r="BZ16" s="63">
        <f t="shared" si="27"/>
        <v>0</v>
      </c>
      <c r="CA16" s="63">
        <f t="shared" si="28"/>
        <v>0.99370083581198532</v>
      </c>
      <c r="CB16" s="63" cm="1">
        <f t="array" ref="CB16">INDEX(FX_Vap,$KJ16,CB$91)</f>
        <v>130</v>
      </c>
      <c r="CC16" s="63" cm="1">
        <f t="array" ref="CC16">INDEX(FX_Temps,$KD16,CC$89)+459.6</f>
        <v>508.2</v>
      </c>
      <c r="CD16" s="63">
        <f t="shared" si="29"/>
        <v>1.3312757561120781E-4</v>
      </c>
      <c r="CE16" s="63" cm="1">
        <f t="array" ref="CE16">INDEX(Month_Ref,CE$83,3)*BZ16*(PI()/4*$F16^2)*$H16*CA16*CD16</f>
        <v>0</v>
      </c>
      <c r="CF16" s="63" cm="1">
        <f t="array" ref="CF16">INDEX(FX_Input,$KB16,CF$85)</f>
        <v>71061</v>
      </c>
      <c r="CG16" s="63">
        <f t="shared" si="30"/>
        <v>398936.45399999997</v>
      </c>
      <c r="CH16" s="63">
        <f t="shared" si="31"/>
        <v>1.0517610097013737</v>
      </c>
      <c r="CI16" s="63">
        <f t="shared" si="32"/>
        <v>1</v>
      </c>
      <c r="CJ16" s="63" cm="1">
        <f t="array" ref="CJ16">IF(OR(INDEX(FX_Vap,$KK16,CJ$90)="Crude Oil",(INDEX(FX_Vap,$KL16,CJ$90)="Crude Oil")),0.75,1)</f>
        <v>1</v>
      </c>
      <c r="CK16" s="63">
        <f t="shared" si="111"/>
        <v>1</v>
      </c>
      <c r="CL16" s="63">
        <f t="shared" si="33"/>
        <v>53.109442943952125</v>
      </c>
      <c r="CM16" s="64">
        <f t="shared" si="34"/>
        <v>53.109442943952125</v>
      </c>
      <c r="CN16" s="80" t="str" cm="1">
        <f t="array" ref="CN16">IF(ISBLANK(INDEX(FX_Input,$KB16+1,CN$85)),INDEX(FX_Input,$KB16,CN$85),INDEX(FX_Input,$KB16,CN$85)&amp;" &amp; "&amp;INDEX(FX_Input,$KB16+1,CN$85))</f>
        <v>Jet kerosene</v>
      </c>
      <c r="CO16" s="63" cm="1">
        <f t="array" ref="CO16">INDEX(FX_Temps,$KC16+7,CO$89)</f>
        <v>0</v>
      </c>
      <c r="CP16" s="63" cm="1">
        <f t="array" ref="CP16">INDEX(FX_Temps,$KC16+13,CP$89)+459.6</f>
        <v>512.75</v>
      </c>
      <c r="CQ16" s="63" cm="1">
        <f t="array" ref="CQ16">INDEX(FX_Vap,$KG16,CQ$91)-INDEX(FX_Vap,$KH16,CQ$91)</f>
        <v>0</v>
      </c>
      <c r="CR16" s="73" cm="1">
        <f t="array" ref="CR16">IF(CN16="Out of Service",0,INDEX(FX_Vap,$KI16,CR$91))</f>
        <v>6.5274070972739821E-3</v>
      </c>
      <c r="CS16" s="63">
        <f t="shared" si="35"/>
        <v>0</v>
      </c>
      <c r="CT16" s="63">
        <f t="shared" si="36"/>
        <v>0.99264534077479971</v>
      </c>
      <c r="CU16" s="63" cm="1">
        <f t="array" ref="CU16">INDEX(FX_Vap,$KJ16,CU$91)</f>
        <v>130</v>
      </c>
      <c r="CV16" s="63" cm="1">
        <f t="array" ref="CV16">INDEX(FX_Temps,$KD16,CV$89)+459.6</f>
        <v>512.75</v>
      </c>
      <c r="CW16" s="63">
        <f t="shared" si="37"/>
        <v>1.5421910831991609E-4</v>
      </c>
      <c r="CX16" s="63" cm="1">
        <f t="array" ref="CX16">INDEX(Month_Ref,CX$83,3)*CS16*(PI()/4*$F16^2)*$H16*CT16*CW16</f>
        <v>0</v>
      </c>
      <c r="CY16" s="63" cm="1">
        <f t="array" ref="CY16">INDEX(FX_Input,$KB16,CY$85)</f>
        <v>71061</v>
      </c>
      <c r="CZ16" s="63">
        <f t="shared" si="38"/>
        <v>398936.45399999997</v>
      </c>
      <c r="DA16" s="63">
        <f t="shared" si="39"/>
        <v>1.0517610097013737</v>
      </c>
      <c r="DB16" s="63">
        <f t="shared" si="40"/>
        <v>1</v>
      </c>
      <c r="DC16" s="63" cm="1">
        <f t="array" ref="DC16">IF(OR(INDEX(FX_Vap,$KK16,DC$90)="Crude Oil",(INDEX(FX_Vap,$KL16,DC$90)="Crude Oil")),0.75,1)</f>
        <v>1</v>
      </c>
      <c r="DD16" s="63">
        <f t="shared" si="112"/>
        <v>1</v>
      </c>
      <c r="DE16" s="63">
        <f t="shared" si="41"/>
        <v>61.523624212189219</v>
      </c>
      <c r="DF16" s="64">
        <f t="shared" si="42"/>
        <v>61.523624212189219</v>
      </c>
      <c r="DG16" s="80" t="str" cm="1">
        <f t="array" ref="DG16">IF(ISBLANK(INDEX(FX_Input,$KB16+1,DG$85)),INDEX(FX_Input,$KB16,DG$85),INDEX(FX_Input,$KB16,DG$85)&amp;" &amp; "&amp;INDEX(FX_Input,$KB16+1,DG$85))</f>
        <v>Jet kerosene</v>
      </c>
      <c r="DH16" s="63" cm="1">
        <f t="array" ref="DH16">INDEX(FX_Temps,$KC16+7,DH$89)</f>
        <v>0</v>
      </c>
      <c r="DI16" s="63" cm="1">
        <f t="array" ref="DI16">INDEX(FX_Temps,$KC16+13,DI$89)+459.6</f>
        <v>516.55000000000007</v>
      </c>
      <c r="DJ16" s="63" cm="1">
        <f t="array" ref="DJ16">INDEX(FX_Vap,$KG16,DJ$91)-INDEX(FX_Vap,$KH16,DJ$91)</f>
        <v>0</v>
      </c>
      <c r="DK16" s="73" cm="1">
        <f t="array" ref="DK16">IF(DG16="Out of Service",0,INDEX(FX_Vap,$KI16,DK$91))</f>
        <v>7.4199539958878279E-3</v>
      </c>
      <c r="DL16" s="63">
        <f t="shared" si="43"/>
        <v>0</v>
      </c>
      <c r="DM16" s="63">
        <f t="shared" si="44"/>
        <v>0.99164807601156912</v>
      </c>
      <c r="DN16" s="63" cm="1">
        <f t="array" ref="DN16">INDEX(FX_Vap,$KJ16,DN$91)</f>
        <v>130</v>
      </c>
      <c r="DO16" s="63" cm="1">
        <f t="array" ref="DO16">INDEX(FX_Temps,$KD16,DO$89)+459.6</f>
        <v>516.55000000000007</v>
      </c>
      <c r="DP16" s="63">
        <f t="shared" si="45"/>
        <v>1.7401713099147103E-4</v>
      </c>
      <c r="DQ16" s="63" cm="1">
        <f t="array" ref="DQ16">INDEX(Month_Ref,DQ$83,3)*DL16*(PI()/4*$F16^2)*$H16*DM16*DP16</f>
        <v>0</v>
      </c>
      <c r="DR16" s="63" cm="1">
        <f t="array" ref="DR16">INDEX(FX_Input,$KB16,DR$85)</f>
        <v>71061</v>
      </c>
      <c r="DS16" s="63">
        <f t="shared" si="46"/>
        <v>398936.45399999997</v>
      </c>
      <c r="DT16" s="63">
        <f t="shared" si="47"/>
        <v>1.0517610097013737</v>
      </c>
      <c r="DU16" s="63">
        <f t="shared" si="48"/>
        <v>1</v>
      </c>
      <c r="DV16" s="63" cm="1">
        <f t="array" ref="DV16">IF(OR(INDEX(FX_Vap,$KK16,DV$90)="Crude Oil",(INDEX(FX_Vap,$KL16,DV$90)="Crude Oil")),0.75,1)</f>
        <v>1</v>
      </c>
      <c r="DW16" s="63">
        <f t="shared" si="113"/>
        <v>1</v>
      </c>
      <c r="DX16" s="63">
        <f t="shared" si="49"/>
        <v>69.421777172990957</v>
      </c>
      <c r="DY16" s="64">
        <f t="shared" si="50"/>
        <v>69.421777172990957</v>
      </c>
      <c r="DZ16" s="80" t="str" cm="1">
        <f t="array" ref="DZ16">IF(ISBLANK(INDEX(FX_Input,$KB16+1,DZ$85)),INDEX(FX_Input,$KB16,DZ$85),INDEX(FX_Input,$KB16,DZ$85)&amp;" &amp; "&amp;INDEX(FX_Input,$KB16+1,DZ$85))</f>
        <v>Jet kerosene</v>
      </c>
      <c r="EA16" s="63" cm="1">
        <f t="array" ref="EA16">INDEX(FX_Temps,$KC16+7,EA$89)</f>
        <v>0</v>
      </c>
      <c r="EB16" s="63" cm="1">
        <f t="array" ref="EB16">INDEX(FX_Temps,$KC16+13,EB$89)+459.6</f>
        <v>520.04999999999995</v>
      </c>
      <c r="EC16" s="63" cm="1">
        <f t="array" ref="EC16">INDEX(FX_Vap,$KG16,EC$91)-INDEX(FX_Vap,$KH16,EC$91)</f>
        <v>0</v>
      </c>
      <c r="ED16" s="73" cm="1">
        <f t="array" ref="ED16">IF(DZ16="Out of Service",0,INDEX(FX_Vap,$KI16,ED$91))</f>
        <v>8.3358107202842254E-3</v>
      </c>
      <c r="EE16" s="63">
        <f t="shared" si="51"/>
        <v>0</v>
      </c>
      <c r="EF16" s="63">
        <f t="shared" si="52"/>
        <v>0.99062684744960949</v>
      </c>
      <c r="EG16" s="63" cm="1">
        <f t="array" ref="EG16">INDEX(FX_Vap,$KJ16,EG$91)</f>
        <v>130</v>
      </c>
      <c r="EH16" s="63" cm="1">
        <f t="array" ref="EH16">INDEX(FX_Temps,$KD16,EH$89)+459.6</f>
        <v>520.04999999999995</v>
      </c>
      <c r="EI16" s="63">
        <f t="shared" si="53"/>
        <v>1.9418062801892895E-4</v>
      </c>
      <c r="EJ16" s="63" cm="1">
        <f t="array" ref="EJ16">INDEX(Month_Ref,EJ$83,3)*EE16*(PI()/4*$F16^2)*$H16*EF16*EI16</f>
        <v>0</v>
      </c>
      <c r="EK16" s="63" cm="1">
        <f t="array" ref="EK16">INDEX(FX_Input,$KB16,EK$85)</f>
        <v>71061</v>
      </c>
      <c r="EL16" s="63">
        <f t="shared" si="54"/>
        <v>398936.45399999997</v>
      </c>
      <c r="EM16" s="63">
        <f t="shared" si="55"/>
        <v>1.0517610097013737</v>
      </c>
      <c r="EN16" s="63">
        <f t="shared" si="56"/>
        <v>1</v>
      </c>
      <c r="EO16" s="63" cm="1">
        <f t="array" ref="EO16">IF(OR(INDEX(FX_Vap,$KK16,EO$90)="Crude Oil",(INDEX(FX_Vap,$KL16,EO$90)="Crude Oil")),0.75,1)</f>
        <v>1</v>
      </c>
      <c r="EP16" s="63">
        <f t="shared" si="114"/>
        <v>1</v>
      </c>
      <c r="EQ16" s="63">
        <f t="shared" si="57"/>
        <v>77.46573117736456</v>
      </c>
      <c r="ER16" s="64">
        <f t="shared" si="58"/>
        <v>77.46573117736456</v>
      </c>
      <c r="ES16" s="80" t="str" cm="1">
        <f t="array" ref="ES16">IF(ISBLANK(INDEX(FX_Input,$KB16+1,ES$85)),INDEX(FX_Input,$KB16,ES$85),INDEX(FX_Input,$KB16,ES$85)&amp;" &amp; "&amp;INDEX(FX_Input,$KB16+1,ES$85))</f>
        <v>Jet kerosene</v>
      </c>
      <c r="ET16" s="63" cm="1">
        <f t="array" ref="ET16">INDEX(FX_Temps,$KC16+7,ET$89)</f>
        <v>0</v>
      </c>
      <c r="EU16" s="63" cm="1">
        <f t="array" ref="EU16">INDEX(FX_Temps,$KC16+13,EU$89)+459.6</f>
        <v>520.5</v>
      </c>
      <c r="EV16" s="63" cm="1">
        <f t="array" ref="EV16">INDEX(FX_Vap,$KG16,EV$91)-INDEX(FX_Vap,$KH16,EV$91)</f>
        <v>0</v>
      </c>
      <c r="EW16" s="73" cm="1">
        <f t="array" ref="EW16">IF(ES16="Out of Service",0,INDEX(FX_Vap,$KI16,EW$91))</f>
        <v>8.4605262729351115E-3</v>
      </c>
      <c r="EX16" s="63">
        <f t="shared" si="59"/>
        <v>0</v>
      </c>
      <c r="EY16" s="63">
        <f t="shared" si="60"/>
        <v>0.99048794572090959</v>
      </c>
      <c r="EZ16" s="63" cm="1">
        <f t="array" ref="EZ16">INDEX(FX_Vap,$KJ16,EZ$91)</f>
        <v>130</v>
      </c>
      <c r="FA16" s="63" cm="1">
        <f t="array" ref="FA16">INDEX(FX_Temps,$KD16,FA$89)+459.6</f>
        <v>520.5</v>
      </c>
      <c r="FB16" s="63">
        <f t="shared" si="61"/>
        <v>1.969154544366044E-4</v>
      </c>
      <c r="FC16" s="63" cm="1">
        <f t="array" ref="FC16">INDEX(Month_Ref,FC$83,3)*EX16*(PI()/4*$F16^2)*$H16*EY16*FB16</f>
        <v>0</v>
      </c>
      <c r="FD16" s="63" cm="1">
        <f t="array" ref="FD16">INDEX(FX_Input,$KB16,FD$85)</f>
        <v>71061</v>
      </c>
      <c r="FE16" s="63">
        <f t="shared" si="62"/>
        <v>398936.45399999997</v>
      </c>
      <c r="FF16" s="63">
        <f t="shared" si="63"/>
        <v>1.0517610097013737</v>
      </c>
      <c r="FG16" s="63">
        <f t="shared" si="64"/>
        <v>1</v>
      </c>
      <c r="FH16" s="63" cm="1">
        <f t="array" ref="FH16">IF(OR(INDEX(FX_Vap,$KK16,FH$90)="Crude Oil",(INDEX(FX_Vap,$KL16,FH$90)="Crude Oil")),0.75,1)</f>
        <v>1</v>
      </c>
      <c r="FI16" s="63">
        <f t="shared" si="115"/>
        <v>1</v>
      </c>
      <c r="FJ16" s="63">
        <f t="shared" si="65"/>
        <v>78.556753130737519</v>
      </c>
      <c r="FK16" s="64">
        <f t="shared" si="66"/>
        <v>78.556753130737519</v>
      </c>
      <c r="FL16" s="80" t="str" cm="1">
        <f t="array" ref="FL16">IF(ISBLANK(INDEX(FX_Input,$KB16+1,FL$85)),INDEX(FX_Input,$KB16,FL$85),INDEX(FX_Input,$KB16,FL$85)&amp;" &amp; "&amp;INDEX(FX_Input,$KB16+1,FL$85))</f>
        <v>Jet kerosene</v>
      </c>
      <c r="FM16" s="63" cm="1">
        <f t="array" ref="FM16">INDEX(FX_Temps,$KC16+7,FM$89)</f>
        <v>0</v>
      </c>
      <c r="FN16" s="63" cm="1">
        <f t="array" ref="FN16">INDEX(FX_Temps,$KC16+13,FN$89)+459.6</f>
        <v>518.20000000000005</v>
      </c>
      <c r="FO16" s="63" cm="1">
        <f t="array" ref="FO16">INDEX(FX_Vap,$KG16,FO$91)-INDEX(FX_Vap,$KH16,FO$91)</f>
        <v>0</v>
      </c>
      <c r="FP16" s="73" cm="1">
        <f t="array" ref="FP16">IF(FL16="Out of Service",0,INDEX(FX_Vap,$KI16,FP$91))</f>
        <v>7.8399882233967533E-3</v>
      </c>
      <c r="FQ16" s="63">
        <f t="shared" si="67"/>
        <v>0</v>
      </c>
      <c r="FR16" s="63">
        <f t="shared" si="68"/>
        <v>0.99117945442171507</v>
      </c>
      <c r="FS16" s="63" cm="1">
        <f t="array" ref="FS16">INDEX(FX_Vap,$KJ16,FS$91)</f>
        <v>130</v>
      </c>
      <c r="FT16" s="63" cm="1">
        <f t="array" ref="FT16">INDEX(FX_Temps,$KD16,FT$89)+459.6</f>
        <v>518.20000000000005</v>
      </c>
      <c r="FU16" s="63">
        <f t="shared" si="69"/>
        <v>1.8328256712249962E-4</v>
      </c>
      <c r="FV16" s="63" cm="1">
        <f t="array" ref="FV16">INDEX(Month_Ref,FV$83,3)*FQ16*(PI()/4*$F16^2)*$H16*FR16*FU16</f>
        <v>0</v>
      </c>
      <c r="FW16" s="63" cm="1">
        <f t="array" ref="FW16">INDEX(FX_Input,$KB16,FW$85)</f>
        <v>71061</v>
      </c>
      <c r="FX16" s="63">
        <f t="shared" si="70"/>
        <v>398936.45399999997</v>
      </c>
      <c r="FY16" s="63">
        <f t="shared" si="71"/>
        <v>1.0517610097013737</v>
      </c>
      <c r="FZ16" s="63">
        <f t="shared" si="72"/>
        <v>1</v>
      </c>
      <c r="GA16" s="63" cm="1">
        <f t="array" ref="GA16">IF(OR(INDEX(FX_Vap,$KK16,GA$90)="Crude Oil",(INDEX(FX_Vap,$KL16,GA$90)="Crude Oil")),0.75,1)</f>
        <v>1</v>
      </c>
      <c r="GB16" s="63">
        <f t="shared" si="116"/>
        <v>1</v>
      </c>
      <c r="GC16" s="63">
        <f t="shared" si="73"/>
        <v>73.118097407866983</v>
      </c>
      <c r="GD16" s="64">
        <f t="shared" si="74"/>
        <v>73.118097407866983</v>
      </c>
      <c r="GE16" s="80" t="str" cm="1">
        <f t="array" ref="GE16">IF(ISBLANK(INDEX(FX_Input,$KB16+1,GE$85)),INDEX(FX_Input,$KB16,GE$85),INDEX(FX_Input,$KB16,GE$85)&amp;" &amp; "&amp;INDEX(FX_Input,$KB16+1,GE$85))</f>
        <v>Jet kerosene</v>
      </c>
      <c r="GF16" s="63" cm="1">
        <f t="array" ref="GF16">INDEX(FX_Temps,$KC16+7,GF$89)</f>
        <v>0</v>
      </c>
      <c r="GG16" s="63" cm="1">
        <f t="array" ref="GG16">INDEX(FX_Temps,$KC16+13,GG$89)+459.6</f>
        <v>512.25</v>
      </c>
      <c r="GH16" s="63" cm="1">
        <f t="array" ref="GH16">INDEX(FX_Vap,$KG16,GH$91)-INDEX(FX_Vap,$KH16,GH$91)</f>
        <v>0</v>
      </c>
      <c r="GI16" s="73" cm="1">
        <f t="array" ref="GI16">IF(GE16="Out of Service",0,INDEX(FX_Vap,$KI16,GI$91))</f>
        <v>6.4173462075160911E-3</v>
      </c>
      <c r="GJ16" s="63">
        <f t="shared" si="75"/>
        <v>0</v>
      </c>
      <c r="GK16" s="63">
        <f t="shared" si="76"/>
        <v>0.99276845347117626</v>
      </c>
      <c r="GL16" s="63" cm="1">
        <f t="array" ref="GL16">INDEX(FX_Vap,$KJ16,GL$91)</f>
        <v>130</v>
      </c>
      <c r="GM16" s="63" cm="1">
        <f t="array" ref="GM16">INDEX(FX_Temps,$KD16,GM$89)+459.6</f>
        <v>512.25</v>
      </c>
      <c r="GN16" s="63">
        <f t="shared" si="77"/>
        <v>1.5176675903637226E-4</v>
      </c>
      <c r="GO16" s="63" cm="1">
        <f t="array" ref="GO16">INDEX(Month_Ref,GO$83,3)*GJ16*(PI()/4*$F16^2)*$H16*GK16*GN16</f>
        <v>0</v>
      </c>
      <c r="GP16" s="63" cm="1">
        <f t="array" ref="GP16">INDEX(FX_Input,$KB16,GP$85)</f>
        <v>71061</v>
      </c>
      <c r="GQ16" s="63">
        <f t="shared" si="78"/>
        <v>398936.45399999997</v>
      </c>
      <c r="GR16" s="63">
        <f t="shared" si="79"/>
        <v>1.0517610097013737</v>
      </c>
      <c r="GS16" s="63">
        <f t="shared" si="80"/>
        <v>1</v>
      </c>
      <c r="GT16" s="63" cm="1">
        <f t="array" ref="GT16">IF(OR(INDEX(FX_Vap,$KK16,GT$90)="Crude Oil",(INDEX(FX_Vap,$KL16,GT$90)="Crude Oil")),0.75,1)</f>
        <v>1</v>
      </c>
      <c r="GU16" s="63">
        <f t="shared" si="117"/>
        <v>1</v>
      </c>
      <c r="GV16" s="63">
        <f t="shared" si="81"/>
        <v>60.545292685042803</v>
      </c>
      <c r="GW16" s="64">
        <f t="shared" si="82"/>
        <v>60.545292685042803</v>
      </c>
      <c r="GX16" s="80" t="str" cm="1">
        <f t="array" ref="GX16">IF(ISBLANK(INDEX(FX_Input,$KB16+1,GX$85)),INDEX(FX_Input,$KB16,GX$85),INDEX(FX_Input,$KB16,GX$85)&amp;" &amp; "&amp;INDEX(FX_Input,$KB16+1,GX$85))</f>
        <v>Jet kerosene</v>
      </c>
      <c r="GY16" s="63" cm="1">
        <f t="array" ref="GY16">INDEX(FX_Temps,$KC16+7,GY$89)</f>
        <v>0</v>
      </c>
      <c r="GZ16" s="63" cm="1">
        <f t="array" ref="GZ16">INDEX(FX_Temps,$KC16+13,GZ$89)+459.6</f>
        <v>506.70000000000005</v>
      </c>
      <c r="HA16" s="63" cm="1">
        <f t="array" ref="HA16">INDEX(FX_Vap,$KG16,HA$91)-INDEX(FX_Vap,$KH16,HA$91)</f>
        <v>0</v>
      </c>
      <c r="HB16" s="73" cm="1">
        <f t="array" ref="HB16">IF(GX16="Out of Service",0,INDEX(FX_Vap,$KI16,HB$91))</f>
        <v>5.3015226887581056E-3</v>
      </c>
      <c r="HC16" s="63">
        <f t="shared" si="83"/>
        <v>0</v>
      </c>
      <c r="HD16" s="63">
        <f t="shared" si="84"/>
        <v>0.99401832569697623</v>
      </c>
      <c r="HE16" s="63" cm="1">
        <f t="array" ref="HE16">INDEX(FX_Vap,$KJ16,HE$91)</f>
        <v>130</v>
      </c>
      <c r="HF16" s="63" cm="1">
        <f t="array" ref="HF16">INDEX(FX_Temps,$KD16,HF$89)+459.6</f>
        <v>506.70000000000005</v>
      </c>
      <c r="HG16" s="63">
        <f t="shared" si="85"/>
        <v>1.2675143286623188E-4</v>
      </c>
      <c r="HH16" s="63" cm="1">
        <f t="array" ref="HH16">INDEX(Month_Ref,HH$83,3)*HC16*(PI()/4*$F16^2)*$H16*HD16*HG16</f>
        <v>0</v>
      </c>
      <c r="HI16" s="63" cm="1">
        <f t="array" ref="HI16">INDEX(FX_Input,$KB16,HI$85)</f>
        <v>71061</v>
      </c>
      <c r="HJ16" s="63">
        <f t="shared" si="86"/>
        <v>398936.45399999997</v>
      </c>
      <c r="HK16" s="63">
        <f t="shared" si="87"/>
        <v>1.0517610097013737</v>
      </c>
      <c r="HL16" s="63">
        <f t="shared" si="88"/>
        <v>1</v>
      </c>
      <c r="HM16" s="63" cm="1">
        <f t="array" ref="HM16">IF(OR(INDEX(FX_Vap,$KK16,HM$90)="Crude Oil",(INDEX(FX_Vap,$KL16,HM$90)="Crude Oil")),0.75,1)</f>
        <v>1</v>
      </c>
      <c r="HN16" s="63">
        <f t="shared" si="118"/>
        <v>1</v>
      </c>
      <c r="HO16" s="63">
        <f t="shared" si="89"/>
        <v>50.565767167073595</v>
      </c>
      <c r="HP16" s="64">
        <f t="shared" si="90"/>
        <v>50.565767167073595</v>
      </c>
      <c r="HQ16" s="80" t="str" cm="1">
        <f t="array" ref="HQ16">IF(ISBLANK(INDEX(FX_Input,$KB16+1,HQ$85)),INDEX(FX_Input,$KB16,HQ$85),INDEX(FX_Input,$KB16,HQ$85)&amp;" &amp; "&amp;INDEX(FX_Input,$KB16+1,HQ$85))</f>
        <v>Jet kerosene</v>
      </c>
      <c r="HR16" s="63" cm="1">
        <f t="array" ref="HR16">INDEX(FX_Temps,$KC16+7,HR$89)</f>
        <v>0</v>
      </c>
      <c r="HS16" s="63" cm="1">
        <f t="array" ref="HS16">INDEX(FX_Temps,$KC16+13,HS$89)+459.6</f>
        <v>503.20000000000005</v>
      </c>
      <c r="HT16" s="63" cm="1">
        <f t="array" ref="HT16">INDEX(FX_Vap,$KG16,HT$91)-INDEX(FX_Vap,$KH16,HT$91)</f>
        <v>0</v>
      </c>
      <c r="HU16" s="73" cm="1">
        <f t="array" ref="HU16">IF(HQ16="Out of Service",0,INDEX(FX_Vap,$KI16,HU$91))</f>
        <v>4.68970903600947E-3</v>
      </c>
      <c r="HV16" s="63">
        <f t="shared" si="91"/>
        <v>0</v>
      </c>
      <c r="HW16" s="63">
        <f t="shared" si="92"/>
        <v>0.99470497596293883</v>
      </c>
      <c r="HX16" s="63" cm="1">
        <f t="array" ref="HX16">INDEX(FX_Vap,$KJ16,HX$91)</f>
        <v>130</v>
      </c>
      <c r="HY16" s="63" cm="1">
        <f t="array" ref="HY16">INDEX(FX_Temps,$KD16,HY$89)+459.6</f>
        <v>503.20000000000005</v>
      </c>
      <c r="HZ16" s="63">
        <f t="shared" si="93"/>
        <v>1.1290376474196325E-4</v>
      </c>
      <c r="IA16" s="63" cm="1">
        <f t="array" ref="IA16">INDEX(Month_Ref,IA$83,3)*HV16*(PI()/4*$F16^2)*$H16*HW16*HZ16</f>
        <v>0</v>
      </c>
      <c r="IB16" s="63" cm="1">
        <f t="array" ref="IB16">INDEX(FX_Input,$KB16,IB$85)</f>
        <v>71061</v>
      </c>
      <c r="IC16" s="63">
        <f t="shared" si="94"/>
        <v>398936.45399999997</v>
      </c>
      <c r="ID16" s="63">
        <f t="shared" si="95"/>
        <v>1.0517610097013737</v>
      </c>
      <c r="IE16" s="63">
        <f t="shared" si="96"/>
        <v>1</v>
      </c>
      <c r="IF16" s="63" cm="1">
        <f t="array" ref="IF16">IF(OR(INDEX(FX_Vap,$KK16,IF$90)="Crude Oil",(INDEX(FX_Vap,$KL16,IF$90)="Crude Oil")),0.75,1)</f>
        <v>1</v>
      </c>
      <c r="IG16" s="63">
        <f t="shared" si="119"/>
        <v>1</v>
      </c>
      <c r="IH16" s="63">
        <f t="shared" si="97"/>
        <v>45.041427549409043</v>
      </c>
      <c r="II16" s="64">
        <f t="shared" si="98"/>
        <v>45.041427549409043</v>
      </c>
      <c r="IJ16" s="80">
        <f t="shared" si="99"/>
        <v>0</v>
      </c>
      <c r="IK16" s="63">
        <f t="shared" si="100"/>
        <v>0</v>
      </c>
      <c r="IL16" s="63">
        <f t="shared" si="101"/>
        <v>710.48866130216197</v>
      </c>
      <c r="IM16" s="63">
        <f t="shared" si="102"/>
        <v>0.35524433065108096</v>
      </c>
      <c r="IN16" s="63">
        <f t="shared" si="103"/>
        <v>710.48866130216197</v>
      </c>
      <c r="IO16" s="64">
        <f t="shared" si="104"/>
        <v>0.35524433065108096</v>
      </c>
      <c r="KB16" s="43">
        <f t="shared" si="120"/>
        <v>11</v>
      </c>
      <c r="KC16" s="43">
        <f t="shared" si="121"/>
        <v>71</v>
      </c>
      <c r="KD16" s="43">
        <f t="shared" si="122"/>
        <v>84</v>
      </c>
      <c r="KE16" s="43">
        <f t="shared" si="123"/>
        <v>71</v>
      </c>
      <c r="KF16" s="43">
        <f t="shared" si="124"/>
        <v>171</v>
      </c>
      <c r="KG16" s="43">
        <f t="shared" si="125"/>
        <v>194</v>
      </c>
      <c r="KH16" s="43">
        <f t="shared" si="126"/>
        <v>189</v>
      </c>
      <c r="KI16" s="43">
        <f t="shared" si="105"/>
        <v>199</v>
      </c>
      <c r="KJ16" s="43">
        <f t="shared" si="105"/>
        <v>204</v>
      </c>
      <c r="KK16" s="43">
        <f t="shared" si="127"/>
        <v>175</v>
      </c>
      <c r="KL16" s="43">
        <f t="shared" si="128"/>
        <v>177</v>
      </c>
    </row>
    <row r="17" spans="2:298" x14ac:dyDescent="0.4">
      <c r="B17" s="43" t="str" cm="1">
        <f t="array" ref="B17">INDEX(FX_Input,$KB17,B$85)</f>
        <v>FX - 7</v>
      </c>
      <c r="C17" s="93" t="str" cm="1">
        <f t="array" ref="C17">INDEX(FX_Input,$KB17,C$85)</f>
        <v>FIXTANK 100</v>
      </c>
      <c r="D17" s="80">
        <f t="shared" si="0"/>
        <v>240331.83799961917</v>
      </c>
      <c r="E17" s="63" cm="1">
        <f t="array" ref="E17">IF(ISBLANK(INDEX(FX_Input,$KB17,$E$85)),0.03,INDEX(FX_Input,$KB17,$E$85))-IF(ISBLANK(INDEX(FX_Input,$KB17,$E$86)),-0.03,INDEX(FX_Input,$KB17,$E$86))</f>
        <v>0.06</v>
      </c>
      <c r="F17" s="63" cm="1">
        <f t="array" ref="F17">IF(INDEX(FX_Input,$KB17,F$85)="Vertical",INDEX(FX_Input,$KB17,F$86),SQRT((INDEX(FX_Input,$KB17,F$86)*INDEX(FX_Input,$KB17,F$87))/(PI()/4)))</f>
        <v>120</v>
      </c>
      <c r="G17" s="63" cm="1">
        <f t="array" ref="G17">IF(INDEX(FX_Input,$KB17,G$85)="Vertical",INDEX(FX_Input,$KB17,G$86),INDEX(FX_Input,$KB17,G$87)*PI()/4)</f>
        <v>40</v>
      </c>
      <c r="H17" s="63" cm="1">
        <f t="array" ref="H17">IF(INDEX(FX_Input,$KB17,H$85)="Vertical",G17-G17/2+J17,G17/2)</f>
        <v>21.25</v>
      </c>
      <c r="I17" s="63" cm="1">
        <f t="array" ref="I17">IF(INDEX(FX_Input,$KB17,F$85)="Horizontal","N/A",IF(INDEX(FX_Input,$KB17,I$86)="Cone",IF(ISBLANK(INDEX(FX_Input,$KB17,I$87)),0.0625,INDEX(FX_Input,$KB17,I$87))*F17/2,F17/2-SQRT((F17/2)^2-(INDEX(FX_Input,$KB17,I$88)^2))))</f>
        <v>3.75</v>
      </c>
      <c r="J17" s="63" cm="1">
        <f t="array" ref="J17">IF(INDEX(FX_Input,$KB17,J$85)="Horizontal","N/A",IF(INDEX(FX_Input,$KB17,J$86)="Cone",I17/3,I17*(1/2+(1/6)*(I17/(F17/2))^2)))</f>
        <v>1.25</v>
      </c>
      <c r="K17" s="63">
        <f t="shared" si="1"/>
        <v>39</v>
      </c>
      <c r="L17" s="63">
        <v>1</v>
      </c>
      <c r="M17" s="63" cm="1">
        <f t="array" ref="M17">INDEX(Tbl_71_6,MATCH(INDEX(FX_Input,$KB17,M$85),Paint_Color,0),VLOOKUP(INDEX(FX_Input,$KB17,M$86),Paint_Cond_Column,2,FALSE))</f>
        <v>0.25</v>
      </c>
      <c r="N17" s="63" cm="1">
        <f t="array" ref="N17">INDEX(Tbl_71_6,MATCH(INDEX(FX_Input,$KB17,N$85),Paint_Color,0),VLOOKUP(INDEX(FX_Input,$KB17,N$86),Paint_Cond_Column,2,FALSE))</f>
        <v>0.25</v>
      </c>
      <c r="O17" s="64">
        <f t="shared" si="2"/>
        <v>0.25</v>
      </c>
      <c r="P17" s="80" t="str" cm="1">
        <f t="array" ref="P17">IF(ISBLANK(INDEX(FX_Input,$KB17+1,P$85)),INDEX(FX_Input,$KB17,P$85),INDEX(FX_Input,$KB17,P$85)&amp;" &amp; "&amp;INDEX(FX_Input,$KB17+1,P$85))</f>
        <v>Jet kerosene</v>
      </c>
      <c r="Q17" s="63" cm="1">
        <f t="array" ref="Q17">INDEX(FX_Temps,$KC17+7,Q$89)</f>
        <v>8.9950000000000241</v>
      </c>
      <c r="R17" s="63" cm="1">
        <f t="array" ref="R17">INDEX(FX_Temps,$KC17+13,R$89)+459.6</f>
        <v>504.34892500000001</v>
      </c>
      <c r="S17" s="63" cm="1">
        <f t="array" ref="S17">INDEX(FX_Vap,$KG17,S$91)-INDEX(FX_Vap,$KH17,S$91)</f>
        <v>7.0794953556663209E-4</v>
      </c>
      <c r="T17" s="73" cm="1">
        <f t="array" ref="T17">IF(P17="Out of Service",0,INDEX(FX_Vap,$KI17,T$91))</f>
        <v>4.883250638471285E-3</v>
      </c>
      <c r="U17" s="63">
        <f t="shared" si="3"/>
        <v>1.3800061771949319E-2</v>
      </c>
      <c r="V17" s="63">
        <f t="shared" si="4"/>
        <v>0.9945303208964108</v>
      </c>
      <c r="W17" s="63" cm="1">
        <f t="array" ref="W17">INDEX(FX_Vap,$KJ17,W$91)</f>
        <v>130</v>
      </c>
      <c r="X17" s="63" cm="1">
        <f t="array" ref="X17">INDEX(FX_Temps,$KD17,X$89)+459.6</f>
        <v>504.34892500000001</v>
      </c>
      <c r="Y17" s="63">
        <f t="shared" si="5"/>
        <v>1.1729542507733997E-4</v>
      </c>
      <c r="Z17" s="63" cm="1">
        <f t="array" ref="Z17">INDEX(Month_Ref,Z$83,3)*U17*(PI()/4*$F17^2)*$H17*V17*Y17</f>
        <v>11.99369868175136</v>
      </c>
      <c r="AA17" s="63" cm="1">
        <f t="array" ref="AA17">INDEX(FX_Input,$KB17,AA$85)</f>
        <v>80568</v>
      </c>
      <c r="AB17" s="63">
        <f t="shared" si="6"/>
        <v>452308.75199999998</v>
      </c>
      <c r="AC17" s="63">
        <f t="shared" si="7"/>
        <v>1.0524440597152953</v>
      </c>
      <c r="AD17" s="63">
        <f t="shared" si="8"/>
        <v>1</v>
      </c>
      <c r="AE17" s="63" cm="1">
        <f t="array" ref="AE17">IF(OR(INDEX(FX_Vap,$KK17,AE$90)="Crude Oil",(INDEX(FX_Vap,$KL17,AE$90)="Crude Oil")),0.75,1)</f>
        <v>1</v>
      </c>
      <c r="AF17" s="63">
        <f t="shared" si="108"/>
        <v>1</v>
      </c>
      <c r="AG17" s="63">
        <f t="shared" si="9"/>
        <v>53.053747332041141</v>
      </c>
      <c r="AH17" s="64">
        <f t="shared" si="10"/>
        <v>65.047446013792495</v>
      </c>
      <c r="AI17" s="80" t="str" cm="1">
        <f t="array" ref="AI17">IF(ISBLANK(INDEX(FX_Input,$KB17+1,AI$85)),INDEX(FX_Input,$KB17,AI$85),INDEX(FX_Input,$KB17,AI$85)&amp;" &amp; "&amp;INDEX(FX_Input,$KB17+1,AI$85))</f>
        <v>Jet kerosene</v>
      </c>
      <c r="AJ17" s="63" cm="1">
        <f t="array" ref="AJ17">INDEX(FX_Temps,$KC17+7,AJ$89)</f>
        <v>12.239999999999991</v>
      </c>
      <c r="AK17" s="63" cm="1">
        <f t="array" ref="AK17">INDEX(FX_Temps,$KC17+13,AK$89)+459.6</f>
        <v>505.78500000000008</v>
      </c>
      <c r="AL17" s="63" cm="1">
        <f t="array" ref="AL17">INDEX(FX_Vap,$KG17,AL$91)-INDEX(FX_Vap,$KH17,AL$91)</f>
        <v>9.3413357178260322E-4</v>
      </c>
      <c r="AM17" s="73" cm="1">
        <f t="array" ref="AM17">IF(AI17="Out of Service",0,INDEX(FX_Vap,$KI17,AM$91))</f>
        <v>5.1351067062407989E-3</v>
      </c>
      <c r="AN17" s="63">
        <f t="shared" si="11"/>
        <v>2.0180515663370695E-2</v>
      </c>
      <c r="AO17" s="63">
        <f t="shared" si="12"/>
        <v>0.99424984161816954</v>
      </c>
      <c r="AP17" s="63" cm="1">
        <f t="array" ref="AP17">INDEX(FX_Vap,$KJ17,AP$91)</f>
        <v>130</v>
      </c>
      <c r="AQ17" s="63" cm="1">
        <f t="array" ref="AQ17">INDEX(FX_Temps,$KD17,AQ$89)+459.6</f>
        <v>505.78500000000008</v>
      </c>
      <c r="AR17" s="63">
        <f t="shared" si="13"/>
        <v>1.2299478130220538E-4</v>
      </c>
      <c r="AS17" s="63" cm="1">
        <f t="array" ref="AS17">INDEX(Month_Ref,AS$83,3)*AN17*(PI()/4*$F17^2)*$H17*AO17*AR17</f>
        <v>16.606718103546751</v>
      </c>
      <c r="AT17" s="63" cm="1">
        <f t="array" ref="AT17">INDEX(FX_Input,$KB17,AT$85)</f>
        <v>80568</v>
      </c>
      <c r="AU17" s="63">
        <f t="shared" si="14"/>
        <v>452308.75199999998</v>
      </c>
      <c r="AV17" s="63">
        <f t="shared" si="15"/>
        <v>1.0524440597152953</v>
      </c>
      <c r="AW17" s="63">
        <f t="shared" si="16"/>
        <v>1</v>
      </c>
      <c r="AX17" s="63" cm="1">
        <f t="array" ref="AX17">IF(OR(INDEX(FX_Vap,$KK17,AX$90)="Crude Oil",(INDEX(FX_Vap,$KL17,AX$90)="Crude Oil")),0.75,1)</f>
        <v>1</v>
      </c>
      <c r="AY17" s="63">
        <f t="shared" si="109"/>
        <v>1</v>
      </c>
      <c r="AZ17" s="63">
        <f t="shared" si="17"/>
        <v>55.631616033313449</v>
      </c>
      <c r="BA17" s="64">
        <f t="shared" si="18"/>
        <v>72.238334136860203</v>
      </c>
      <c r="BB17" s="80" t="str" cm="1">
        <f t="array" ref="BB17">IF(ISBLANK(INDEX(FX_Input,$KB17+1,BB$85)),INDEX(FX_Input,$KB17,BB$85),INDEX(FX_Input,$KB17,BB$85)&amp;" &amp; "&amp;INDEX(FX_Input,$KB17+1,BB$85))</f>
        <v>Jet kerosene</v>
      </c>
      <c r="BC17" s="63" cm="1">
        <f t="array" ref="BC17">INDEX(FX_Temps,$KC17+7,BC$89)</f>
        <v>13.62500000000003</v>
      </c>
      <c r="BD17" s="63" cm="1">
        <f t="array" ref="BD17">INDEX(FX_Temps,$KC17+13,BD$89)+459.6</f>
        <v>507.87057500000003</v>
      </c>
      <c r="BE17" s="63" cm="1">
        <f t="array" ref="BE17">INDEX(FX_Vap,$KG17,BE$91)-INDEX(FX_Vap,$KH17,BE$91)</f>
        <v>9.8971985989682477E-4</v>
      </c>
      <c r="BF17" s="73" cm="1">
        <f t="array" ref="BF17">IF(BB17="Out of Service",0,INDEX(FX_Vap,$KI17,BF$91))</f>
        <v>5.5213829543467952E-3</v>
      </c>
      <c r="BG17" s="63">
        <f t="shared" si="19"/>
        <v>2.2811888004276384E-2</v>
      </c>
      <c r="BH17" s="63">
        <f t="shared" si="20"/>
        <v>0.9938199726851964</v>
      </c>
      <c r="BI17" s="63" cm="1">
        <f t="array" ref="BI17">INDEX(FX_Vap,$KJ17,BI$91)</f>
        <v>130</v>
      </c>
      <c r="BJ17" s="63" cm="1">
        <f t="array" ref="BJ17">INDEX(FX_Temps,$KD17,BJ$89)+459.6</f>
        <v>507.87057500000003</v>
      </c>
      <c r="BK17" s="63">
        <f t="shared" si="21"/>
        <v>1.3170370007990181E-4</v>
      </c>
      <c r="BL17" s="63" cm="1">
        <f t="array" ref="BL17">INDEX(Month_Ref,BL$83,3)*BG17*(PI()/4*$F17^2)*$H17*BH17*BK17</f>
        <v>22.245385133354386</v>
      </c>
      <c r="BM17" s="63" cm="1">
        <f t="array" ref="BM17">INDEX(FX_Input,$KB17,BM$85)</f>
        <v>80568</v>
      </c>
      <c r="BN17" s="63">
        <f t="shared" si="22"/>
        <v>452308.75199999998</v>
      </c>
      <c r="BO17" s="63">
        <f t="shared" si="23"/>
        <v>1.0524440597152953</v>
      </c>
      <c r="BP17" s="63">
        <f t="shared" si="24"/>
        <v>1</v>
      </c>
      <c r="BQ17" s="63" cm="1">
        <f t="array" ref="BQ17">IF(OR(INDEX(FX_Vap,$KK17,BQ$90)="Crude Oil",(INDEX(FX_Vap,$KL17,BQ$90)="Crude Oil")),0.75,1)</f>
        <v>1</v>
      </c>
      <c r="BR17" s="63">
        <f t="shared" si="110"/>
        <v>1</v>
      </c>
      <c r="BS17" s="63">
        <f t="shared" si="25"/>
        <v>59.57073621692269</v>
      </c>
      <c r="BT17" s="64">
        <f t="shared" si="26"/>
        <v>81.816121350277072</v>
      </c>
      <c r="BU17" s="80" t="str" cm="1">
        <f t="array" ref="BU17">IF(ISBLANK(INDEX(FX_Input,$KB17+1,BU$85)),INDEX(FX_Input,$KB17,BU$85),INDEX(FX_Input,$KB17,BU$85)&amp;" &amp; "&amp;INDEX(FX_Input,$KB17+1,BU$85))</f>
        <v>Jet kerosene</v>
      </c>
      <c r="BV17" s="63" cm="1">
        <f t="array" ref="BV17">INDEX(FX_Temps,$KC17+7,BV$89)</f>
        <v>15.639999999999983</v>
      </c>
      <c r="BW17" s="63" cm="1">
        <f t="array" ref="BW17">INDEX(FX_Temps,$KC17+13,BW$89)+459.6</f>
        <v>511.29869999999994</v>
      </c>
      <c r="BX17" s="63" cm="1">
        <f t="array" ref="BX17">INDEX(FX_Vap,$KG17,BX$91)-INDEX(FX_Vap,$KH17,BX$91)</f>
        <v>1.1058961440241618E-3</v>
      </c>
      <c r="BY17" s="73" cm="1">
        <f t="array" ref="BY17">IF(BU17="Out of Service",0,INDEX(FX_Vap,$KI17,BY$91))</f>
        <v>6.2124720487193742E-3</v>
      </c>
      <c r="BZ17" s="63">
        <f t="shared" si="27"/>
        <v>2.6580677742499288E-2</v>
      </c>
      <c r="CA17" s="63">
        <f t="shared" si="28"/>
        <v>0.9930518183690531</v>
      </c>
      <c r="CB17" s="63" cm="1">
        <f t="array" ref="CB17">INDEX(FX_Vap,$KJ17,CB$91)</f>
        <v>130</v>
      </c>
      <c r="CC17" s="63" cm="1">
        <f t="array" ref="CC17">INDEX(FX_Temps,$KD17,CC$89)+459.6</f>
        <v>511.29869999999994</v>
      </c>
      <c r="CD17" s="63">
        <f t="shared" si="29"/>
        <v>1.4719495213728575E-4</v>
      </c>
      <c r="CE17" s="63" cm="1">
        <f t="array" ref="CE17">INDEX(Month_Ref,CE$83,3)*BZ17*(PI()/4*$F17^2)*$H17*CA17*CD17</f>
        <v>28.013246345382555</v>
      </c>
      <c r="CF17" s="63" cm="1">
        <f t="array" ref="CF17">INDEX(FX_Input,$KB17,CF$85)</f>
        <v>80568</v>
      </c>
      <c r="CG17" s="63">
        <f t="shared" si="30"/>
        <v>452308.75199999998</v>
      </c>
      <c r="CH17" s="63">
        <f t="shared" si="31"/>
        <v>1.0524440597152953</v>
      </c>
      <c r="CI17" s="63">
        <f t="shared" si="32"/>
        <v>1</v>
      </c>
      <c r="CJ17" s="63" cm="1">
        <f t="array" ref="CJ17">IF(OR(INDEX(FX_Vap,$KK17,CJ$90)="Crude Oil",(INDEX(FX_Vap,$KL17,CJ$90)="Crude Oil")),0.75,1)</f>
        <v>1</v>
      </c>
      <c r="CK17" s="63">
        <f t="shared" si="111"/>
        <v>1</v>
      </c>
      <c r="CL17" s="63">
        <f t="shared" si="33"/>
        <v>66.577565101915454</v>
      </c>
      <c r="CM17" s="64">
        <f t="shared" si="34"/>
        <v>94.590811447298009</v>
      </c>
      <c r="CN17" s="80" t="str" cm="1">
        <f t="array" ref="CN17">IF(ISBLANK(INDEX(FX_Input,$KB17+1,CN$85)),INDEX(FX_Input,$KB17,CN$85),INDEX(FX_Input,$KB17,CN$85)&amp;" &amp; "&amp;INDEX(FX_Input,$KB17+1,CN$85))</f>
        <v>Jet kerosene</v>
      </c>
      <c r="CO17" s="63" cm="1">
        <f t="array" ref="CO17">INDEX(FX_Temps,$KC17+7,CO$89)</f>
        <v>16.994999999999969</v>
      </c>
      <c r="CP17" s="63" cm="1">
        <f t="array" ref="CP17">INDEX(FX_Temps,$KC17+13,CP$89)+459.6</f>
        <v>516.5540749999999</v>
      </c>
      <c r="CQ17" s="63" cm="1">
        <f t="array" ref="CQ17">INDEX(FX_Vap,$KG17,CQ$91)-INDEX(FX_Vap,$KH17,CQ$91)</f>
        <v>1.2769509865756092E-3</v>
      </c>
      <c r="CR17" s="73" cm="1">
        <f t="array" ref="CR17">IF(CN17="Out of Service",0,INDEX(FX_Vap,$KI17,CR$91))</f>
        <v>7.4209663387537275E-3</v>
      </c>
      <c r="CS17" s="63">
        <f t="shared" si="35"/>
        <v>2.8903935164848002E-2</v>
      </c>
      <c r="CT17" s="63">
        <f t="shared" si="36"/>
        <v>0.9917114115505129</v>
      </c>
      <c r="CU17" s="63" cm="1">
        <f t="array" ref="CU17">INDEX(FX_Vap,$KJ17,CU$91)</f>
        <v>130</v>
      </c>
      <c r="CV17" s="63" cm="1">
        <f t="array" ref="CV17">INDEX(FX_Temps,$KD17,CV$89)+459.6</f>
        <v>516.5540749999999</v>
      </c>
      <c r="CW17" s="63">
        <f t="shared" si="37"/>
        <v>1.7403950007616097E-4</v>
      </c>
      <c r="CX17" s="63" cm="1">
        <f t="array" ref="CX17">INDEX(Month_Ref,CX$83,3)*CS17*(PI()/4*$F17^2)*$H17*CT17*CW17</f>
        <v>37.167479781102465</v>
      </c>
      <c r="CY17" s="63" cm="1">
        <f t="array" ref="CY17">INDEX(FX_Input,$KB17,CY$85)</f>
        <v>80568</v>
      </c>
      <c r="CZ17" s="63">
        <f t="shared" si="38"/>
        <v>452308.75199999998</v>
      </c>
      <c r="DA17" s="63">
        <f t="shared" si="39"/>
        <v>1.0524440597152953</v>
      </c>
      <c r="DB17" s="63">
        <f t="shared" si="40"/>
        <v>1</v>
      </c>
      <c r="DC17" s="63" cm="1">
        <f t="array" ref="DC17">IF(OR(INDEX(FX_Vap,$KK17,DC$90)="Crude Oil",(INDEX(FX_Vap,$KL17,DC$90)="Crude Oil")),0.75,1)</f>
        <v>1</v>
      </c>
      <c r="DD17" s="63">
        <f t="shared" si="112"/>
        <v>1</v>
      </c>
      <c r="DE17" s="63">
        <f t="shared" si="41"/>
        <v>78.719589078152268</v>
      </c>
      <c r="DF17" s="64">
        <f t="shared" si="42"/>
        <v>115.88706885925473</v>
      </c>
      <c r="DG17" s="80" t="str" cm="1">
        <f t="array" ref="DG17">IF(ISBLANK(INDEX(FX_Input,$KB17+1,DG$85)),INDEX(FX_Input,$KB17,DG$85),INDEX(FX_Input,$KB17,DG$85)&amp;" &amp; "&amp;INDEX(FX_Input,$KB17+1,DG$85))</f>
        <v>Jet kerosene</v>
      </c>
      <c r="DH17" s="63" cm="1">
        <f t="array" ref="DH17">INDEX(FX_Temps,$KC17+7,DH$89)</f>
        <v>16.885000000000041</v>
      </c>
      <c r="DI17" s="63" cm="1">
        <f t="array" ref="DI17">INDEX(FX_Temps,$KC17+13,DI$89)+459.6</f>
        <v>520.5768250000001</v>
      </c>
      <c r="DJ17" s="63" cm="1">
        <f t="array" ref="DJ17">INDEX(FX_Vap,$KG17,DJ$91)-INDEX(FX_Vap,$KH17,DJ$91)</f>
        <v>1.3484653740421003E-3</v>
      </c>
      <c r="DK17" s="73" cm="1">
        <f t="array" ref="DK17">IF(DG17="Out of Service",0,INDEX(FX_Vap,$KI17,DK$91))</f>
        <v>8.4819819298252285E-3</v>
      </c>
      <c r="DL17" s="63">
        <f t="shared" si="43"/>
        <v>2.8442970354993463E-2</v>
      </c>
      <c r="DM17" s="63">
        <f t="shared" si="44"/>
        <v>0.99053756094355561</v>
      </c>
      <c r="DN17" s="63" cm="1">
        <f t="array" ref="DN17">INDEX(FX_Vap,$KJ17,DN$91)</f>
        <v>130</v>
      </c>
      <c r="DO17" s="63" cm="1">
        <f t="array" ref="DO17">INDEX(FX_Temps,$KD17,DO$89)+459.6</f>
        <v>520.5768250000001</v>
      </c>
      <c r="DP17" s="63">
        <f t="shared" si="45"/>
        <v>1.9738569267093546E-4</v>
      </c>
      <c r="DQ17" s="63" cm="1">
        <f t="array" ref="DQ17">INDEX(Month_Ref,DQ$83,3)*DL17*(PI()/4*$F17^2)*$H17*DM17*DP17</f>
        <v>40.095361161283854</v>
      </c>
      <c r="DR17" s="63" cm="1">
        <f t="array" ref="DR17">INDEX(FX_Input,$KB17,DR$85)</f>
        <v>80568</v>
      </c>
      <c r="DS17" s="63">
        <f t="shared" si="46"/>
        <v>452308.75199999998</v>
      </c>
      <c r="DT17" s="63">
        <f t="shared" si="47"/>
        <v>1.0524440597152953</v>
      </c>
      <c r="DU17" s="63">
        <f t="shared" si="48"/>
        <v>1</v>
      </c>
      <c r="DV17" s="63" cm="1">
        <f t="array" ref="DV17">IF(OR(INDEX(FX_Vap,$KK17,DV$90)="Crude Oil",(INDEX(FX_Vap,$KL17,DV$90)="Crude Oil")),0.75,1)</f>
        <v>1</v>
      </c>
      <c r="DW17" s="63">
        <f t="shared" si="113"/>
        <v>1</v>
      </c>
      <c r="DX17" s="63">
        <f t="shared" si="49"/>
        <v>89.279276314646353</v>
      </c>
      <c r="DY17" s="64">
        <f t="shared" si="50"/>
        <v>129.3746374759302</v>
      </c>
      <c r="DZ17" s="80" t="str" cm="1">
        <f t="array" ref="DZ17">IF(ISBLANK(INDEX(FX_Input,$KB17+1,DZ$85)),INDEX(FX_Input,$KB17,DZ$85),INDEX(FX_Input,$KB17,DZ$85)&amp;" &amp; "&amp;INDEX(FX_Input,$KB17+1,DZ$85))</f>
        <v>Jet kerosene</v>
      </c>
      <c r="EA17" s="63" cm="1">
        <f t="array" ref="EA17">INDEX(FX_Temps,$KC17+7,EA$89)</f>
        <v>17.42999999999995</v>
      </c>
      <c r="EB17" s="63" cm="1">
        <f t="array" ref="EB17">INDEX(FX_Temps,$KC17+13,EB$89)+459.6</f>
        <v>524.27729999999985</v>
      </c>
      <c r="EC17" s="63" cm="1">
        <f t="array" ref="EC17">INDEX(FX_Vap,$KG17,EC$91)-INDEX(FX_Vap,$KH17,EC$91)</f>
        <v>1.5227758159827732E-3</v>
      </c>
      <c r="ED17" s="73" cm="1">
        <f t="array" ref="ED17">IF(DZ17="Out of Service",0,INDEX(FX_Vap,$KI17,ED$91))</f>
        <v>9.5741064128135375E-3</v>
      </c>
      <c r="EE17" s="63">
        <f t="shared" si="51"/>
        <v>2.9265130122321317E-2</v>
      </c>
      <c r="EF17" s="63">
        <f t="shared" si="52"/>
        <v>0.9893321918922483</v>
      </c>
      <c r="EG17" s="63" cm="1">
        <f t="array" ref="EG17">INDEX(FX_Vap,$KJ17,EG$91)</f>
        <v>130</v>
      </c>
      <c r="EH17" s="63" cm="1">
        <f t="array" ref="EH17">INDEX(FX_Temps,$KD17,EH$89)+459.6</f>
        <v>524.27729999999985</v>
      </c>
      <c r="EI17" s="63">
        <f t="shared" si="53"/>
        <v>2.2122813261247964E-4</v>
      </c>
      <c r="EJ17" s="63" cm="1">
        <f t="array" ref="EJ17">INDEX(Month_Ref,EJ$83,3)*EE17*(PI()/4*$F17^2)*$H17*EF17*EI17</f>
        <v>47.720606586844745</v>
      </c>
      <c r="EK17" s="63" cm="1">
        <f t="array" ref="EK17">INDEX(FX_Input,$KB17,EK$85)</f>
        <v>80568</v>
      </c>
      <c r="EL17" s="63">
        <f t="shared" si="54"/>
        <v>452308.75199999998</v>
      </c>
      <c r="EM17" s="63">
        <f t="shared" si="55"/>
        <v>1.0524440597152953</v>
      </c>
      <c r="EN17" s="63">
        <f t="shared" si="56"/>
        <v>1</v>
      </c>
      <c r="EO17" s="63" cm="1">
        <f t="array" ref="EO17">IF(OR(INDEX(FX_Vap,$KK17,EO$90)="Crude Oil",(INDEX(FX_Vap,$KL17,EO$90)="Crude Oil")),0.75,1)</f>
        <v>1</v>
      </c>
      <c r="EP17" s="63">
        <f t="shared" si="114"/>
        <v>1</v>
      </c>
      <c r="EQ17" s="63">
        <f t="shared" si="57"/>
        <v>100.06342056924116</v>
      </c>
      <c r="ER17" s="64">
        <f t="shared" si="58"/>
        <v>147.7840271560859</v>
      </c>
      <c r="ES17" s="80" t="str" cm="1">
        <f t="array" ref="ES17">IF(ISBLANK(INDEX(FX_Input,$KB17+1,ES$85)),INDEX(FX_Input,$KB17,ES$85),INDEX(FX_Input,$KB17,ES$85)&amp;" &amp; "&amp;INDEX(FX_Input,$KB17+1,ES$85))</f>
        <v>Jet kerosene</v>
      </c>
      <c r="ET17" s="63" cm="1">
        <f t="array" ref="ET17">INDEX(FX_Temps,$KC17+7,ET$89)</f>
        <v>16.980000000000015</v>
      </c>
      <c r="EU17" s="63" cm="1">
        <f t="array" ref="EU17">INDEX(FX_Temps,$KC17+13,EU$89)+459.6</f>
        <v>524.19269999999995</v>
      </c>
      <c r="EV17" s="63" cm="1">
        <f t="array" ref="EV17">INDEX(FX_Vap,$KG17,EV$91)-INDEX(FX_Vap,$KH17,EV$91)</f>
        <v>1.6347701028187334E-3</v>
      </c>
      <c r="EW17" s="73" cm="1">
        <f t="array" ref="EW17">IF(ES17="Out of Service",0,INDEX(FX_Vap,$KI17,EW$91))</f>
        <v>9.5478148180509845E-3</v>
      </c>
      <c r="EX17" s="63">
        <f t="shared" si="59"/>
        <v>2.8419663497525748E-2</v>
      </c>
      <c r="EY17" s="63">
        <f t="shared" si="60"/>
        <v>0.9893611752527206</v>
      </c>
      <c r="EZ17" s="63" cm="1">
        <f t="array" ref="EZ17">INDEX(FX_Vap,$KJ17,EZ$91)</f>
        <v>130</v>
      </c>
      <c r="FA17" s="63" cm="1">
        <f t="array" ref="FA17">INDEX(FX_Temps,$KD17,FA$89)+459.6</f>
        <v>524.19269999999995</v>
      </c>
      <c r="FB17" s="63">
        <f t="shared" si="61"/>
        <v>2.2065622096450189E-4</v>
      </c>
      <c r="FC17" s="63" cm="1">
        <f t="array" ref="FC17">INDEX(Month_Ref,FC$83,3)*EX17*(PI()/4*$F17^2)*$H17*EY17*FB17</f>
        <v>46.223515538491618</v>
      </c>
      <c r="FD17" s="63" cm="1">
        <f t="array" ref="FD17">INDEX(FX_Input,$KB17,FD$85)</f>
        <v>80568</v>
      </c>
      <c r="FE17" s="63">
        <f t="shared" si="62"/>
        <v>452308.75199999998</v>
      </c>
      <c r="FF17" s="63">
        <f t="shared" si="63"/>
        <v>1.0524440597152953</v>
      </c>
      <c r="FG17" s="63">
        <f t="shared" si="64"/>
        <v>1</v>
      </c>
      <c r="FH17" s="63" cm="1">
        <f t="array" ref="FH17">IF(OR(INDEX(FX_Vap,$KK17,FH$90)="Crude Oil",(INDEX(FX_Vap,$KL17,FH$90)="Crude Oil")),0.75,1)</f>
        <v>1</v>
      </c>
      <c r="FI17" s="63">
        <f t="shared" si="115"/>
        <v>1</v>
      </c>
      <c r="FJ17" s="63">
        <f t="shared" si="65"/>
        <v>99.804739925490082</v>
      </c>
      <c r="FK17" s="64">
        <f t="shared" si="66"/>
        <v>146.02825546398171</v>
      </c>
      <c r="FL17" s="80" t="str" cm="1">
        <f t="array" ref="FL17">IF(ISBLANK(INDEX(FX_Input,$KB17+1,FL$85)),INDEX(FX_Input,$KB17,FL$85),INDEX(FX_Input,$KB17,FL$85)&amp;" &amp; "&amp;INDEX(FX_Input,$KB17+1,FL$85))</f>
        <v>Jet kerosene</v>
      </c>
      <c r="FM17" s="63" cm="1">
        <f t="array" ref="FM17">INDEX(FX_Temps,$KC17+7,FM$89)</f>
        <v>17.459999999999983</v>
      </c>
      <c r="FN17" s="63" cm="1">
        <f t="array" ref="FN17">INDEX(FX_Temps,$KC17+13,FN$89)+459.6</f>
        <v>521.16010000000006</v>
      </c>
      <c r="FO17" s="63" cm="1">
        <f t="array" ref="FO17">INDEX(FX_Vap,$KG17,FO$91)-INDEX(FX_Vap,$KH17,FO$91)</f>
        <v>1.8182300379836203E-3</v>
      </c>
      <c r="FP17" s="73" cm="1">
        <f t="array" ref="FP17">IF(FL17="Out of Service",0,INDEX(FX_Vap,$KI17,FP$91))</f>
        <v>8.6464528192362108E-3</v>
      </c>
      <c r="FQ17" s="63">
        <f t="shared" si="67"/>
        <v>2.9541908055768631E-2</v>
      </c>
      <c r="FR17" s="63">
        <f t="shared" si="68"/>
        <v>0.99035584791618869</v>
      </c>
      <c r="FS17" s="63" cm="1">
        <f t="array" ref="FS17">INDEX(FX_Vap,$KJ17,FS$91)</f>
        <v>130</v>
      </c>
      <c r="FT17" s="63" cm="1">
        <f t="array" ref="FT17">INDEX(FX_Temps,$KD17,FT$89)+459.6</f>
        <v>521.16010000000006</v>
      </c>
      <c r="FU17" s="63">
        <f t="shared" si="69"/>
        <v>2.009879287762041E-4</v>
      </c>
      <c r="FV17" s="63" cm="1">
        <f t="array" ref="FV17">INDEX(Month_Ref,FV$83,3)*FQ17*(PI()/4*$F17^2)*$H17*FR17*FU17</f>
        <v>42.396728870829548</v>
      </c>
      <c r="FW17" s="63" cm="1">
        <f t="array" ref="FW17">INDEX(FX_Input,$KB17,FW$85)</f>
        <v>80568</v>
      </c>
      <c r="FX17" s="63">
        <f t="shared" si="70"/>
        <v>452308.75199999998</v>
      </c>
      <c r="FY17" s="63">
        <f t="shared" si="71"/>
        <v>1.0524440597152953</v>
      </c>
      <c r="FZ17" s="63">
        <f t="shared" si="72"/>
        <v>1</v>
      </c>
      <c r="GA17" s="63" cm="1">
        <f t="array" ref="GA17">IF(OR(INDEX(FX_Vap,$KK17,GA$90)="Crude Oil",(INDEX(FX_Vap,$KL17,GA$90)="Crude Oil")),0.75,1)</f>
        <v>1</v>
      </c>
      <c r="GB17" s="63">
        <f t="shared" si="116"/>
        <v>1</v>
      </c>
      <c r="GC17" s="63">
        <f t="shared" si="73"/>
        <v>90.908599231829754</v>
      </c>
      <c r="GD17" s="64">
        <f t="shared" si="74"/>
        <v>133.3053281026593</v>
      </c>
      <c r="GE17" s="80" t="str" cm="1">
        <f t="array" ref="GE17">IF(ISBLANK(INDEX(FX_Input,$KB17+1,GE$85)),INDEX(FX_Input,$KB17,GE$85),INDEX(FX_Input,$KB17,GE$85)&amp;" &amp; "&amp;INDEX(FX_Input,$KB17+1,GE$85))</f>
        <v>Jet kerosene</v>
      </c>
      <c r="GF17" s="63" cm="1">
        <f t="array" ref="GF17">INDEX(FX_Temps,$KC17+7,GF$89)</f>
        <v>13.929999999999993</v>
      </c>
      <c r="GG17" s="63" cm="1">
        <f t="array" ref="GG17">INDEX(FX_Temps,$KC17+13,GG$89)+459.6</f>
        <v>514.05180000000007</v>
      </c>
      <c r="GH17" s="63" cm="1">
        <f t="array" ref="GH17">INDEX(FX_Vap,$KG17,GH$91)-INDEX(FX_Vap,$KH17,GH$91)</f>
        <v>1.3347759158748732E-3</v>
      </c>
      <c r="GI17" s="73" cm="1">
        <f t="array" ref="GI17">IF(GE17="Out of Service",0,INDEX(FX_Vap,$KI17,GI$91))</f>
        <v>6.8218393379121701E-3</v>
      </c>
      <c r="GJ17" s="63">
        <f t="shared" si="75"/>
        <v>2.3105751925026341E-2</v>
      </c>
      <c r="GK17" s="63">
        <f t="shared" si="76"/>
        <v>0.9923754833433297</v>
      </c>
      <c r="GL17" s="63" cm="1">
        <f t="array" ref="GL17">INDEX(FX_Vap,$KJ17,GL$91)</f>
        <v>130</v>
      </c>
      <c r="GM17" s="63" cm="1">
        <f t="array" ref="GM17">INDEX(FX_Temps,$KD17,GM$89)+459.6</f>
        <v>514.05180000000007</v>
      </c>
      <c r="GN17" s="63">
        <f t="shared" si="77"/>
        <v>1.6076731562400743E-4</v>
      </c>
      <c r="GO17" s="63" cm="1">
        <f t="array" ref="GO17">INDEX(Month_Ref,GO$83,3)*GJ17*(PI()/4*$F17^2)*$H17*GK17*GN17</f>
        <v>27.464196308508576</v>
      </c>
      <c r="GP17" s="63" cm="1">
        <f t="array" ref="GP17">INDEX(FX_Input,$KB17,GP$85)</f>
        <v>80568</v>
      </c>
      <c r="GQ17" s="63">
        <f t="shared" si="78"/>
        <v>452308.75199999998</v>
      </c>
      <c r="GR17" s="63">
        <f t="shared" si="79"/>
        <v>1.0524440597152953</v>
      </c>
      <c r="GS17" s="63">
        <f t="shared" si="80"/>
        <v>1</v>
      </c>
      <c r="GT17" s="63" cm="1">
        <f t="array" ref="GT17">IF(OR(INDEX(FX_Vap,$KK17,GT$90)="Crude Oil",(INDEX(FX_Vap,$KL17,GT$90)="Crude Oil")),0.75,1)</f>
        <v>1</v>
      </c>
      <c r="GU17" s="63">
        <f t="shared" si="117"/>
        <v>1</v>
      </c>
      <c r="GV17" s="63">
        <f t="shared" si="81"/>
        <v>72.716463892284892</v>
      </c>
      <c r="GW17" s="64">
        <f t="shared" si="82"/>
        <v>100.18066020079347</v>
      </c>
      <c r="GX17" s="80" t="str" cm="1">
        <f t="array" ref="GX17">IF(ISBLANK(INDEX(FX_Input,$KB17+1,GX$85)),INDEX(FX_Input,$KB17,GX$85),INDEX(FX_Input,$KB17,GX$85)&amp;" &amp; "&amp;INDEX(FX_Input,$KB17+1,GX$85))</f>
        <v>Jet kerosene</v>
      </c>
      <c r="GY17" s="63" cm="1">
        <f t="array" ref="GY17">INDEX(FX_Temps,$KC17+7,GY$89)</f>
        <v>10.495000000000031</v>
      </c>
      <c r="GZ17" s="63" cm="1">
        <f t="array" ref="GZ17">INDEX(FX_Temps,$KC17+13,GZ$89)+459.6</f>
        <v>507.66772500000002</v>
      </c>
      <c r="HA17" s="63" cm="1">
        <f t="array" ref="HA17">INDEX(FX_Vap,$KG17,HA$91)-INDEX(FX_Vap,$KH17,HA$91)</f>
        <v>9.195178026090425E-4</v>
      </c>
      <c r="HB17" s="73" cm="1">
        <f t="array" ref="HB17">IF(GX17="Out of Service",0,INDEX(FX_Vap,$KI17,HB$91))</f>
        <v>5.4827140055800742E-3</v>
      </c>
      <c r="HC17" s="63">
        <f t="shared" si="83"/>
        <v>1.6652390699251968E-2</v>
      </c>
      <c r="HD17" s="63">
        <f t="shared" si="84"/>
        <v>0.99386298882234003</v>
      </c>
      <c r="HE17" s="63" cm="1">
        <f t="array" ref="HE17">INDEX(FX_Vap,$KJ17,HE$91)</f>
        <v>130</v>
      </c>
      <c r="HF17" s="63" cm="1">
        <f t="array" ref="HF17">INDEX(FX_Temps,$KD17,HF$89)+459.6</f>
        <v>507.66772500000002</v>
      </c>
      <c r="HG17" s="63">
        <f t="shared" si="85"/>
        <v>1.3083357117100054E-4</v>
      </c>
      <c r="HH17" s="63" cm="1">
        <f t="array" ref="HH17">INDEX(Month_Ref,HH$83,3)*HC17*(PI()/4*$F17^2)*$H17*HD17*HG17</f>
        <v>15.611867909117516</v>
      </c>
      <c r="HI17" s="63" cm="1">
        <f t="array" ref="HI17">INDEX(FX_Input,$KB17,HI$85)</f>
        <v>80568</v>
      </c>
      <c r="HJ17" s="63">
        <f t="shared" si="86"/>
        <v>452308.75199999998</v>
      </c>
      <c r="HK17" s="63">
        <f t="shared" si="87"/>
        <v>1.0524440597152953</v>
      </c>
      <c r="HL17" s="63">
        <f t="shared" si="88"/>
        <v>1</v>
      </c>
      <c r="HM17" s="63" cm="1">
        <f t="array" ref="HM17">IF(OR(INDEX(FX_Vap,$KK17,HM$90)="Crude Oil",(INDEX(FX_Vap,$KL17,HM$90)="Crude Oil")),0.75,1)</f>
        <v>1</v>
      </c>
      <c r="HN17" s="63">
        <f t="shared" si="118"/>
        <v>1</v>
      </c>
      <c r="HO17" s="63">
        <f t="shared" si="89"/>
        <v>59.17716929605843</v>
      </c>
      <c r="HP17" s="64">
        <f t="shared" si="90"/>
        <v>74.789037205175944</v>
      </c>
      <c r="HQ17" s="80" t="str" cm="1">
        <f t="array" ref="HQ17">IF(ISBLANK(INDEX(FX_Input,$KB17+1,HQ$85)),INDEX(FX_Input,$KB17,HQ$85),INDEX(FX_Input,$KB17,HQ$85)&amp;" &amp; "&amp;INDEX(FX_Input,$KB17+1,HQ$85))</f>
        <v>Jet kerosene</v>
      </c>
      <c r="HR17" s="63" cm="1">
        <f t="array" ref="HR17">INDEX(FX_Temps,$KC17+7,HR$89)</f>
        <v>8.51</v>
      </c>
      <c r="HS17" s="63" cm="1">
        <f t="array" ref="HS17">INDEX(FX_Temps,$KC17+13,HS$89)+459.6</f>
        <v>503.94745000000006</v>
      </c>
      <c r="HT17" s="63" cm="1">
        <f t="array" ref="HT17">INDEX(FX_Vap,$KG17,HT$91)-INDEX(FX_Vap,$KH17,HT$91)</f>
        <v>6.7288136336403261E-4</v>
      </c>
      <c r="HU17" s="73" cm="1">
        <f t="array" ref="HU17">IF(HQ17="Out of Service",0,INDEX(FX_Vap,$KI17,HU$91))</f>
        <v>4.8148298503950734E-3</v>
      </c>
      <c r="HV17" s="63">
        <f t="shared" si="91"/>
        <v>1.2849500592893781E-2</v>
      </c>
      <c r="HW17" s="63">
        <f t="shared" si="92"/>
        <v>0.99460654498095313</v>
      </c>
      <c r="HX17" s="63" cm="1">
        <f t="array" ref="HX17">INDEX(FX_Vap,$KJ17,HX$91)</f>
        <v>130</v>
      </c>
      <c r="HY17" s="63" cm="1">
        <f t="array" ref="HY17">INDEX(FX_Temps,$KD17,HY$89)+459.6</f>
        <v>503.94745000000006</v>
      </c>
      <c r="HZ17" s="63">
        <f t="shared" si="93"/>
        <v>1.1574409666728695E-4</v>
      </c>
      <c r="IA17" s="63" cm="1">
        <f t="array" ref="IA17">INDEX(Month_Ref,IA$83,3)*HV17*(PI()/4*$F17^2)*$H17*HW17*HZ17</f>
        <v>11.020705902553273</v>
      </c>
      <c r="IB17" s="63" cm="1">
        <f t="array" ref="IB17">INDEX(FX_Input,$KB17,IB$85)</f>
        <v>80568</v>
      </c>
      <c r="IC17" s="63">
        <f t="shared" si="94"/>
        <v>452308.75199999998</v>
      </c>
      <c r="ID17" s="63">
        <f t="shared" si="95"/>
        <v>1.0524440597152953</v>
      </c>
      <c r="IE17" s="63">
        <f t="shared" si="96"/>
        <v>1</v>
      </c>
      <c r="IF17" s="63" cm="1">
        <f t="array" ref="IF17">IF(OR(INDEX(FX_Vap,$KK17,IF$90)="Crude Oil",(INDEX(FX_Vap,$KL17,IF$90)="Crude Oil")),0.75,1)</f>
        <v>1</v>
      </c>
      <c r="IG17" s="63">
        <f t="shared" si="119"/>
        <v>1</v>
      </c>
      <c r="IH17" s="63">
        <f t="shared" si="97"/>
        <v>52.352067914947916</v>
      </c>
      <c r="II17" s="64">
        <f t="shared" si="98"/>
        <v>63.372773817501191</v>
      </c>
      <c r="IJ17" s="80">
        <f t="shared" si="99"/>
        <v>346.55951032276664</v>
      </c>
      <c r="IK17" s="63">
        <f t="shared" si="100"/>
        <v>0.17327975516138333</v>
      </c>
      <c r="IL17" s="63">
        <f t="shared" si="101"/>
        <v>877.85499090684357</v>
      </c>
      <c r="IM17" s="63">
        <f t="shared" si="102"/>
        <v>0.4389274954534218</v>
      </c>
      <c r="IN17" s="63">
        <f t="shared" si="103"/>
        <v>1224.4145012296101</v>
      </c>
      <c r="IO17" s="64">
        <f t="shared" si="104"/>
        <v>0.61220725061480508</v>
      </c>
      <c r="KB17" s="43">
        <f t="shared" si="120"/>
        <v>13</v>
      </c>
      <c r="KC17" s="43">
        <f t="shared" si="121"/>
        <v>85</v>
      </c>
      <c r="KD17" s="43">
        <f t="shared" si="122"/>
        <v>98</v>
      </c>
      <c r="KE17" s="43">
        <f t="shared" si="123"/>
        <v>85</v>
      </c>
      <c r="KF17" s="43">
        <f t="shared" si="124"/>
        <v>205</v>
      </c>
      <c r="KG17" s="43">
        <f t="shared" si="125"/>
        <v>228</v>
      </c>
      <c r="KH17" s="43">
        <f t="shared" si="126"/>
        <v>223</v>
      </c>
      <c r="KI17" s="43">
        <f t="shared" si="105"/>
        <v>233</v>
      </c>
      <c r="KJ17" s="43">
        <f t="shared" si="105"/>
        <v>238</v>
      </c>
      <c r="KK17" s="43">
        <f t="shared" si="127"/>
        <v>209</v>
      </c>
      <c r="KL17" s="43">
        <f t="shared" si="128"/>
        <v>211</v>
      </c>
    </row>
    <row r="18" spans="2:298" x14ac:dyDescent="0.4">
      <c r="B18" s="43" t="str" cm="1">
        <f t="array" ref="B18">INDEX(FX_Input,$KB18,B$85)</f>
        <v>FX - 8</v>
      </c>
      <c r="C18" s="93" t="str" cm="1">
        <f t="array" ref="C18">INDEX(FX_Input,$KB18,C$85)</f>
        <v>FIXTANK 101</v>
      </c>
      <c r="D18" s="80">
        <f t="shared" si="0"/>
        <v>240331.83799961917</v>
      </c>
      <c r="E18" s="63" cm="1">
        <f t="array" ref="E18">IF(ISBLANK(INDEX(FX_Input,$KB18,$E$85)),0.03,INDEX(FX_Input,$KB18,$E$85))-IF(ISBLANK(INDEX(FX_Input,$KB18,$E$86)),-0.03,INDEX(FX_Input,$KB18,$E$86))</f>
        <v>0.06</v>
      </c>
      <c r="F18" s="63" cm="1">
        <f t="array" ref="F18">IF(INDEX(FX_Input,$KB18,F$85)="Vertical",INDEX(FX_Input,$KB18,F$86),SQRT((INDEX(FX_Input,$KB18,F$86)*INDEX(FX_Input,$KB18,F$87))/(PI()/4)))</f>
        <v>120</v>
      </c>
      <c r="G18" s="63" cm="1">
        <f t="array" ref="G18">IF(INDEX(FX_Input,$KB18,G$85)="Vertical",INDEX(FX_Input,$KB18,G$86),INDEX(FX_Input,$KB18,G$87)*PI()/4)</f>
        <v>40</v>
      </c>
      <c r="H18" s="63" cm="1">
        <f t="array" ref="H18">IF(INDEX(FX_Input,$KB18,H$85)="Vertical",G18-G18/2+J18,G18/2)</f>
        <v>21.25</v>
      </c>
      <c r="I18" s="63" cm="1">
        <f t="array" ref="I18">IF(INDEX(FX_Input,$KB18,F$85)="Horizontal","N/A",IF(INDEX(FX_Input,$KB18,I$86)="Cone",IF(ISBLANK(INDEX(FX_Input,$KB18,I$87)),0.0625,INDEX(FX_Input,$KB18,I$87))*F18/2,F18/2-SQRT((F18/2)^2-(INDEX(FX_Input,$KB18,I$88)^2))))</f>
        <v>3.75</v>
      </c>
      <c r="J18" s="63" cm="1">
        <f t="array" ref="J18">IF(INDEX(FX_Input,$KB18,J$85)="Horizontal","N/A",IF(INDEX(FX_Input,$KB18,J$86)="Cone",I18/3,I18*(1/2+(1/6)*(I18/(F18/2))^2)))</f>
        <v>1.25</v>
      </c>
      <c r="K18" s="63">
        <f t="shared" si="1"/>
        <v>39</v>
      </c>
      <c r="L18" s="63">
        <v>1</v>
      </c>
      <c r="M18" s="63" cm="1">
        <f t="array" ref="M18">INDEX(Tbl_71_6,MATCH(INDEX(FX_Input,$KB18,M$85),Paint_Color,0),VLOOKUP(INDEX(FX_Input,$KB18,M$86),Paint_Cond_Column,2,FALSE))</f>
        <v>0.25</v>
      </c>
      <c r="N18" s="63" cm="1">
        <f t="array" ref="N18">INDEX(Tbl_71_6,MATCH(INDEX(FX_Input,$KB18,N$85),Paint_Color,0),VLOOKUP(INDEX(FX_Input,$KB18,N$86),Paint_Cond_Column,2,FALSE))</f>
        <v>0.25</v>
      </c>
      <c r="O18" s="64">
        <f t="shared" si="2"/>
        <v>0.25</v>
      </c>
      <c r="P18" s="80" t="str" cm="1">
        <f t="array" ref="P18">IF(ISBLANK(INDEX(FX_Input,$KB18+1,P$85)),INDEX(FX_Input,$KB18,P$85),INDEX(FX_Input,$KB18,P$85)&amp;" &amp; "&amp;INDEX(FX_Input,$KB18+1,P$85))</f>
        <v>Jet kerosene</v>
      </c>
      <c r="Q18" s="63" cm="1">
        <f t="array" ref="Q18">INDEX(FX_Temps,$KC18+7,Q$89)</f>
        <v>8.9950000000000241</v>
      </c>
      <c r="R18" s="63" cm="1">
        <f t="array" ref="R18">INDEX(FX_Temps,$KC18+13,R$89)+459.6</f>
        <v>504.34892500000001</v>
      </c>
      <c r="S18" s="63" cm="1">
        <f t="array" ref="S18">INDEX(FX_Vap,$KG18,S$91)-INDEX(FX_Vap,$KH18,S$91)</f>
        <v>7.0794953556663209E-4</v>
      </c>
      <c r="T18" s="73" cm="1">
        <f t="array" ref="T18">IF(P18="Out of Service",0,INDEX(FX_Vap,$KI18,T$91))</f>
        <v>4.883250638471285E-3</v>
      </c>
      <c r="U18" s="63">
        <f t="shared" si="3"/>
        <v>1.3800061771949319E-2</v>
      </c>
      <c r="V18" s="63">
        <f t="shared" si="4"/>
        <v>0.9945303208964108</v>
      </c>
      <c r="W18" s="63" cm="1">
        <f t="array" ref="W18">INDEX(FX_Vap,$KJ18,W$91)</f>
        <v>130</v>
      </c>
      <c r="X18" s="63" cm="1">
        <f t="array" ref="X18">INDEX(FX_Temps,$KD18,X$89)+459.6</f>
        <v>504.34892500000001</v>
      </c>
      <c r="Y18" s="63">
        <f t="shared" si="5"/>
        <v>1.1729542507733997E-4</v>
      </c>
      <c r="Z18" s="63" cm="1">
        <f t="array" ref="Z18">INDEX(Month_Ref,Z$83,3)*U18*(PI()/4*$F18^2)*$H18*V18*Y18</f>
        <v>11.99369868175136</v>
      </c>
      <c r="AA18" s="63" cm="1">
        <f t="array" ref="AA18">INDEX(FX_Input,$KB18,AA$85)</f>
        <v>80568</v>
      </c>
      <c r="AB18" s="63">
        <f t="shared" si="6"/>
        <v>452308.75199999998</v>
      </c>
      <c r="AC18" s="63">
        <f t="shared" si="7"/>
        <v>1.0524440597152953</v>
      </c>
      <c r="AD18" s="63">
        <f t="shared" si="8"/>
        <v>1</v>
      </c>
      <c r="AE18" s="63" cm="1">
        <f t="array" ref="AE18">IF(OR(INDEX(FX_Vap,$KK18,AE$90)="Crude Oil",(INDEX(FX_Vap,$KL18,AE$90)="Crude Oil")),0.75,1)</f>
        <v>1</v>
      </c>
      <c r="AF18" s="63">
        <f t="shared" si="108"/>
        <v>1</v>
      </c>
      <c r="AG18" s="63">
        <f t="shared" si="9"/>
        <v>53.053747332041141</v>
      </c>
      <c r="AH18" s="64">
        <f t="shared" si="10"/>
        <v>65.047446013792495</v>
      </c>
      <c r="AI18" s="80" t="str" cm="1">
        <f t="array" ref="AI18">IF(ISBLANK(INDEX(FX_Input,$KB18+1,AI$85)),INDEX(FX_Input,$KB18,AI$85),INDEX(FX_Input,$KB18,AI$85)&amp;" &amp; "&amp;INDEX(FX_Input,$KB18+1,AI$85))</f>
        <v>Jet kerosene</v>
      </c>
      <c r="AJ18" s="63" cm="1">
        <f t="array" ref="AJ18">INDEX(FX_Temps,$KC18+7,AJ$89)</f>
        <v>12.239999999999991</v>
      </c>
      <c r="AK18" s="63" cm="1">
        <f t="array" ref="AK18">INDEX(FX_Temps,$KC18+13,AK$89)+459.6</f>
        <v>505.78500000000008</v>
      </c>
      <c r="AL18" s="63" cm="1">
        <f t="array" ref="AL18">INDEX(FX_Vap,$KG18,AL$91)-INDEX(FX_Vap,$KH18,AL$91)</f>
        <v>9.3413357178260322E-4</v>
      </c>
      <c r="AM18" s="73" cm="1">
        <f t="array" ref="AM18">IF(AI18="Out of Service",0,INDEX(FX_Vap,$KI18,AM$91))</f>
        <v>5.1351067062407989E-3</v>
      </c>
      <c r="AN18" s="63">
        <f t="shared" si="11"/>
        <v>2.0180515663370695E-2</v>
      </c>
      <c r="AO18" s="63">
        <f t="shared" si="12"/>
        <v>0.99424984161816954</v>
      </c>
      <c r="AP18" s="63" cm="1">
        <f t="array" ref="AP18">INDEX(FX_Vap,$KJ18,AP$91)</f>
        <v>130</v>
      </c>
      <c r="AQ18" s="63" cm="1">
        <f t="array" ref="AQ18">INDEX(FX_Temps,$KD18,AQ$89)+459.6</f>
        <v>505.78500000000008</v>
      </c>
      <c r="AR18" s="63">
        <f t="shared" si="13"/>
        <v>1.2299478130220538E-4</v>
      </c>
      <c r="AS18" s="63" cm="1">
        <f t="array" ref="AS18">INDEX(Month_Ref,AS$83,3)*AN18*(PI()/4*$F18^2)*$H18*AO18*AR18</f>
        <v>16.606718103546751</v>
      </c>
      <c r="AT18" s="63" cm="1">
        <f t="array" ref="AT18">INDEX(FX_Input,$KB18,AT$85)</f>
        <v>80568</v>
      </c>
      <c r="AU18" s="63">
        <f t="shared" si="14"/>
        <v>452308.75199999998</v>
      </c>
      <c r="AV18" s="63">
        <f t="shared" si="15"/>
        <v>1.0524440597152953</v>
      </c>
      <c r="AW18" s="63">
        <f t="shared" si="16"/>
        <v>1</v>
      </c>
      <c r="AX18" s="63" cm="1">
        <f t="array" ref="AX18">IF(OR(INDEX(FX_Vap,$KK18,AX$90)="Crude Oil",(INDEX(FX_Vap,$KL18,AX$90)="Crude Oil")),0.75,1)</f>
        <v>1</v>
      </c>
      <c r="AY18" s="63">
        <f t="shared" si="109"/>
        <v>1</v>
      </c>
      <c r="AZ18" s="63">
        <f t="shared" si="17"/>
        <v>55.631616033313449</v>
      </c>
      <c r="BA18" s="64">
        <f t="shared" si="18"/>
        <v>72.238334136860203</v>
      </c>
      <c r="BB18" s="80" t="str" cm="1">
        <f t="array" ref="BB18">IF(ISBLANK(INDEX(FX_Input,$KB18+1,BB$85)),INDEX(FX_Input,$KB18,BB$85),INDEX(FX_Input,$KB18,BB$85)&amp;" &amp; "&amp;INDEX(FX_Input,$KB18+1,BB$85))</f>
        <v>Jet kerosene</v>
      </c>
      <c r="BC18" s="63" cm="1">
        <f t="array" ref="BC18">INDEX(FX_Temps,$KC18+7,BC$89)</f>
        <v>13.62500000000003</v>
      </c>
      <c r="BD18" s="63" cm="1">
        <f t="array" ref="BD18">INDEX(FX_Temps,$KC18+13,BD$89)+459.6</f>
        <v>507.87057500000003</v>
      </c>
      <c r="BE18" s="63" cm="1">
        <f t="array" ref="BE18">INDEX(FX_Vap,$KG18,BE$91)-INDEX(FX_Vap,$KH18,BE$91)</f>
        <v>9.8971985989682477E-4</v>
      </c>
      <c r="BF18" s="73" cm="1">
        <f t="array" ref="BF18">IF(BB18="Out of Service",0,INDEX(FX_Vap,$KI18,BF$91))</f>
        <v>5.5213829543467952E-3</v>
      </c>
      <c r="BG18" s="63">
        <f t="shared" si="19"/>
        <v>2.2811888004276384E-2</v>
      </c>
      <c r="BH18" s="63">
        <f t="shared" si="20"/>
        <v>0.9938199726851964</v>
      </c>
      <c r="BI18" s="63" cm="1">
        <f t="array" ref="BI18">INDEX(FX_Vap,$KJ18,BI$91)</f>
        <v>130</v>
      </c>
      <c r="BJ18" s="63" cm="1">
        <f t="array" ref="BJ18">INDEX(FX_Temps,$KD18,BJ$89)+459.6</f>
        <v>507.87057500000003</v>
      </c>
      <c r="BK18" s="63">
        <f t="shared" si="21"/>
        <v>1.3170370007990181E-4</v>
      </c>
      <c r="BL18" s="63" cm="1">
        <f t="array" ref="BL18">INDEX(Month_Ref,BL$83,3)*BG18*(PI()/4*$F18^2)*$H18*BH18*BK18</f>
        <v>22.245385133354386</v>
      </c>
      <c r="BM18" s="63" cm="1">
        <f t="array" ref="BM18">INDEX(FX_Input,$KB18,BM$85)</f>
        <v>80568</v>
      </c>
      <c r="BN18" s="63">
        <f t="shared" si="22"/>
        <v>452308.75199999998</v>
      </c>
      <c r="BO18" s="63">
        <f t="shared" si="23"/>
        <v>1.0524440597152953</v>
      </c>
      <c r="BP18" s="63">
        <f t="shared" si="24"/>
        <v>1</v>
      </c>
      <c r="BQ18" s="63" cm="1">
        <f t="array" ref="BQ18">IF(OR(INDEX(FX_Vap,$KK18,BQ$90)="Crude Oil",(INDEX(FX_Vap,$KL18,BQ$90)="Crude Oil")),0.75,1)</f>
        <v>1</v>
      </c>
      <c r="BR18" s="63">
        <f t="shared" si="110"/>
        <v>1</v>
      </c>
      <c r="BS18" s="63">
        <f t="shared" si="25"/>
        <v>59.57073621692269</v>
      </c>
      <c r="BT18" s="64">
        <f t="shared" si="26"/>
        <v>81.816121350277072</v>
      </c>
      <c r="BU18" s="80" t="str" cm="1">
        <f t="array" ref="BU18">IF(ISBLANK(INDEX(FX_Input,$KB18+1,BU$85)),INDEX(FX_Input,$KB18,BU$85),INDEX(FX_Input,$KB18,BU$85)&amp;" &amp; "&amp;INDEX(FX_Input,$KB18+1,BU$85))</f>
        <v>Jet kerosene</v>
      </c>
      <c r="BV18" s="63" cm="1">
        <f t="array" ref="BV18">INDEX(FX_Temps,$KC18+7,BV$89)</f>
        <v>15.639999999999983</v>
      </c>
      <c r="BW18" s="63" cm="1">
        <f t="array" ref="BW18">INDEX(FX_Temps,$KC18+13,BW$89)+459.6</f>
        <v>511.29869999999994</v>
      </c>
      <c r="BX18" s="63" cm="1">
        <f t="array" ref="BX18">INDEX(FX_Vap,$KG18,BX$91)-INDEX(FX_Vap,$KH18,BX$91)</f>
        <v>1.1058961440241618E-3</v>
      </c>
      <c r="BY18" s="73" cm="1">
        <f t="array" ref="BY18">IF(BU18="Out of Service",0,INDEX(FX_Vap,$KI18,BY$91))</f>
        <v>6.2124720487193742E-3</v>
      </c>
      <c r="BZ18" s="63">
        <f t="shared" si="27"/>
        <v>2.6580677742499288E-2</v>
      </c>
      <c r="CA18" s="63">
        <f t="shared" si="28"/>
        <v>0.9930518183690531</v>
      </c>
      <c r="CB18" s="63" cm="1">
        <f t="array" ref="CB18">INDEX(FX_Vap,$KJ18,CB$91)</f>
        <v>130</v>
      </c>
      <c r="CC18" s="63" cm="1">
        <f t="array" ref="CC18">INDEX(FX_Temps,$KD18,CC$89)+459.6</f>
        <v>511.29869999999994</v>
      </c>
      <c r="CD18" s="63">
        <f t="shared" si="29"/>
        <v>1.4719495213728575E-4</v>
      </c>
      <c r="CE18" s="63" cm="1">
        <f t="array" ref="CE18">INDEX(Month_Ref,CE$83,3)*BZ18*(PI()/4*$F18^2)*$H18*CA18*CD18</f>
        <v>28.013246345382555</v>
      </c>
      <c r="CF18" s="63" cm="1">
        <f t="array" ref="CF18">INDEX(FX_Input,$KB18,CF$85)</f>
        <v>80568</v>
      </c>
      <c r="CG18" s="63">
        <f t="shared" si="30"/>
        <v>452308.75199999998</v>
      </c>
      <c r="CH18" s="63">
        <f t="shared" si="31"/>
        <v>1.0524440597152953</v>
      </c>
      <c r="CI18" s="63">
        <f t="shared" si="32"/>
        <v>1</v>
      </c>
      <c r="CJ18" s="63" cm="1">
        <f t="array" ref="CJ18">IF(OR(INDEX(FX_Vap,$KK18,CJ$90)="Crude Oil",(INDEX(FX_Vap,$KL18,CJ$90)="Crude Oil")),0.75,1)</f>
        <v>1</v>
      </c>
      <c r="CK18" s="63">
        <f t="shared" si="111"/>
        <v>1</v>
      </c>
      <c r="CL18" s="63">
        <f t="shared" si="33"/>
        <v>66.577565101915454</v>
      </c>
      <c r="CM18" s="64">
        <f t="shared" si="34"/>
        <v>94.590811447298009</v>
      </c>
      <c r="CN18" s="80" t="str" cm="1">
        <f t="array" ref="CN18">IF(ISBLANK(INDEX(FX_Input,$KB18+1,CN$85)),INDEX(FX_Input,$KB18,CN$85),INDEX(FX_Input,$KB18,CN$85)&amp;" &amp; "&amp;INDEX(FX_Input,$KB18+1,CN$85))</f>
        <v>Jet kerosene</v>
      </c>
      <c r="CO18" s="63" cm="1">
        <f t="array" ref="CO18">INDEX(FX_Temps,$KC18+7,CO$89)</f>
        <v>16.994999999999969</v>
      </c>
      <c r="CP18" s="63" cm="1">
        <f t="array" ref="CP18">INDEX(FX_Temps,$KC18+13,CP$89)+459.6</f>
        <v>516.5540749999999</v>
      </c>
      <c r="CQ18" s="63" cm="1">
        <f t="array" ref="CQ18">INDEX(FX_Vap,$KG18,CQ$91)-INDEX(FX_Vap,$KH18,CQ$91)</f>
        <v>1.2769509865756092E-3</v>
      </c>
      <c r="CR18" s="73" cm="1">
        <f t="array" ref="CR18">IF(CN18="Out of Service",0,INDEX(FX_Vap,$KI18,CR$91))</f>
        <v>7.4209663387537275E-3</v>
      </c>
      <c r="CS18" s="63">
        <f t="shared" si="35"/>
        <v>2.8903935164848002E-2</v>
      </c>
      <c r="CT18" s="63">
        <f t="shared" si="36"/>
        <v>0.9917114115505129</v>
      </c>
      <c r="CU18" s="63" cm="1">
        <f t="array" ref="CU18">INDEX(FX_Vap,$KJ18,CU$91)</f>
        <v>130</v>
      </c>
      <c r="CV18" s="63" cm="1">
        <f t="array" ref="CV18">INDEX(FX_Temps,$KD18,CV$89)+459.6</f>
        <v>516.5540749999999</v>
      </c>
      <c r="CW18" s="63">
        <f t="shared" si="37"/>
        <v>1.7403950007616097E-4</v>
      </c>
      <c r="CX18" s="63" cm="1">
        <f t="array" ref="CX18">INDEX(Month_Ref,CX$83,3)*CS18*(PI()/4*$F18^2)*$H18*CT18*CW18</f>
        <v>37.167479781102465</v>
      </c>
      <c r="CY18" s="63" cm="1">
        <f t="array" ref="CY18">INDEX(FX_Input,$KB18,CY$85)</f>
        <v>80568</v>
      </c>
      <c r="CZ18" s="63">
        <f t="shared" si="38"/>
        <v>452308.75199999998</v>
      </c>
      <c r="DA18" s="63">
        <f t="shared" si="39"/>
        <v>1.0524440597152953</v>
      </c>
      <c r="DB18" s="63">
        <f t="shared" si="40"/>
        <v>1</v>
      </c>
      <c r="DC18" s="63" cm="1">
        <f t="array" ref="DC18">IF(OR(INDEX(FX_Vap,$KK18,DC$90)="Crude Oil",(INDEX(FX_Vap,$KL18,DC$90)="Crude Oil")),0.75,1)</f>
        <v>1</v>
      </c>
      <c r="DD18" s="63">
        <f t="shared" si="112"/>
        <v>1</v>
      </c>
      <c r="DE18" s="63">
        <f t="shared" si="41"/>
        <v>78.719589078152268</v>
      </c>
      <c r="DF18" s="64">
        <f t="shared" si="42"/>
        <v>115.88706885925473</v>
      </c>
      <c r="DG18" s="80" t="str" cm="1">
        <f t="array" ref="DG18">IF(ISBLANK(INDEX(FX_Input,$KB18+1,DG$85)),INDEX(FX_Input,$KB18,DG$85),INDEX(FX_Input,$KB18,DG$85)&amp;" &amp; "&amp;INDEX(FX_Input,$KB18+1,DG$85))</f>
        <v>Jet kerosene</v>
      </c>
      <c r="DH18" s="63" cm="1">
        <f t="array" ref="DH18">INDEX(FX_Temps,$KC18+7,DH$89)</f>
        <v>16.885000000000041</v>
      </c>
      <c r="DI18" s="63" cm="1">
        <f t="array" ref="DI18">INDEX(FX_Temps,$KC18+13,DI$89)+459.6</f>
        <v>520.5768250000001</v>
      </c>
      <c r="DJ18" s="63" cm="1">
        <f t="array" ref="DJ18">INDEX(FX_Vap,$KG18,DJ$91)-INDEX(FX_Vap,$KH18,DJ$91)</f>
        <v>1.3484653740421003E-3</v>
      </c>
      <c r="DK18" s="73" cm="1">
        <f t="array" ref="DK18">IF(DG18="Out of Service",0,INDEX(FX_Vap,$KI18,DK$91))</f>
        <v>8.4819819298252285E-3</v>
      </c>
      <c r="DL18" s="63">
        <f t="shared" si="43"/>
        <v>2.8442970354993463E-2</v>
      </c>
      <c r="DM18" s="63">
        <f t="shared" si="44"/>
        <v>0.99053756094355561</v>
      </c>
      <c r="DN18" s="63" cm="1">
        <f t="array" ref="DN18">INDEX(FX_Vap,$KJ18,DN$91)</f>
        <v>130</v>
      </c>
      <c r="DO18" s="63" cm="1">
        <f t="array" ref="DO18">INDEX(FX_Temps,$KD18,DO$89)+459.6</f>
        <v>520.5768250000001</v>
      </c>
      <c r="DP18" s="63">
        <f t="shared" si="45"/>
        <v>1.9738569267093546E-4</v>
      </c>
      <c r="DQ18" s="63" cm="1">
        <f t="array" ref="DQ18">INDEX(Month_Ref,DQ$83,3)*DL18*(PI()/4*$F18^2)*$H18*DM18*DP18</f>
        <v>40.095361161283854</v>
      </c>
      <c r="DR18" s="63" cm="1">
        <f t="array" ref="DR18">INDEX(FX_Input,$KB18,DR$85)</f>
        <v>80568</v>
      </c>
      <c r="DS18" s="63">
        <f t="shared" si="46"/>
        <v>452308.75199999998</v>
      </c>
      <c r="DT18" s="63">
        <f t="shared" si="47"/>
        <v>1.0524440597152953</v>
      </c>
      <c r="DU18" s="63">
        <f t="shared" si="48"/>
        <v>1</v>
      </c>
      <c r="DV18" s="63" cm="1">
        <f t="array" ref="DV18">IF(OR(INDEX(FX_Vap,$KK18,DV$90)="Crude Oil",(INDEX(FX_Vap,$KL18,DV$90)="Crude Oil")),0.75,1)</f>
        <v>1</v>
      </c>
      <c r="DW18" s="63">
        <f t="shared" si="113"/>
        <v>1</v>
      </c>
      <c r="DX18" s="63">
        <f t="shared" si="49"/>
        <v>89.279276314646353</v>
      </c>
      <c r="DY18" s="64">
        <f t="shared" si="50"/>
        <v>129.3746374759302</v>
      </c>
      <c r="DZ18" s="80" t="str" cm="1">
        <f t="array" ref="DZ18">IF(ISBLANK(INDEX(FX_Input,$KB18+1,DZ$85)),INDEX(FX_Input,$KB18,DZ$85),INDEX(FX_Input,$KB18,DZ$85)&amp;" &amp; "&amp;INDEX(FX_Input,$KB18+1,DZ$85))</f>
        <v>Jet kerosene</v>
      </c>
      <c r="EA18" s="63" cm="1">
        <f t="array" ref="EA18">INDEX(FX_Temps,$KC18+7,EA$89)</f>
        <v>17.42999999999995</v>
      </c>
      <c r="EB18" s="63" cm="1">
        <f t="array" ref="EB18">INDEX(FX_Temps,$KC18+13,EB$89)+459.6</f>
        <v>524.27729999999985</v>
      </c>
      <c r="EC18" s="63" cm="1">
        <f t="array" ref="EC18">INDEX(FX_Vap,$KG18,EC$91)-INDEX(FX_Vap,$KH18,EC$91)</f>
        <v>1.5227758159827732E-3</v>
      </c>
      <c r="ED18" s="73" cm="1">
        <f t="array" ref="ED18">IF(DZ18="Out of Service",0,INDEX(FX_Vap,$KI18,ED$91))</f>
        <v>9.5741064128135375E-3</v>
      </c>
      <c r="EE18" s="63">
        <f t="shared" si="51"/>
        <v>2.9265130122321317E-2</v>
      </c>
      <c r="EF18" s="63">
        <f t="shared" si="52"/>
        <v>0.9893321918922483</v>
      </c>
      <c r="EG18" s="63" cm="1">
        <f t="array" ref="EG18">INDEX(FX_Vap,$KJ18,EG$91)</f>
        <v>130</v>
      </c>
      <c r="EH18" s="63" cm="1">
        <f t="array" ref="EH18">INDEX(FX_Temps,$KD18,EH$89)+459.6</f>
        <v>524.27729999999985</v>
      </c>
      <c r="EI18" s="63">
        <f t="shared" si="53"/>
        <v>2.2122813261247964E-4</v>
      </c>
      <c r="EJ18" s="63" cm="1">
        <f t="array" ref="EJ18">INDEX(Month_Ref,EJ$83,3)*EE18*(PI()/4*$F18^2)*$H18*EF18*EI18</f>
        <v>47.720606586844745</v>
      </c>
      <c r="EK18" s="63" cm="1">
        <f t="array" ref="EK18">INDEX(FX_Input,$KB18,EK$85)</f>
        <v>80568</v>
      </c>
      <c r="EL18" s="63">
        <f t="shared" si="54"/>
        <v>452308.75199999998</v>
      </c>
      <c r="EM18" s="63">
        <f t="shared" si="55"/>
        <v>1.0524440597152953</v>
      </c>
      <c r="EN18" s="63">
        <f t="shared" si="56"/>
        <v>1</v>
      </c>
      <c r="EO18" s="63" cm="1">
        <f t="array" ref="EO18">IF(OR(INDEX(FX_Vap,$KK18,EO$90)="Crude Oil",(INDEX(FX_Vap,$KL18,EO$90)="Crude Oil")),0.75,1)</f>
        <v>1</v>
      </c>
      <c r="EP18" s="63">
        <f t="shared" si="114"/>
        <v>1</v>
      </c>
      <c r="EQ18" s="63">
        <f t="shared" si="57"/>
        <v>100.06342056924116</v>
      </c>
      <c r="ER18" s="64">
        <f t="shared" si="58"/>
        <v>147.7840271560859</v>
      </c>
      <c r="ES18" s="80" t="str" cm="1">
        <f t="array" ref="ES18">IF(ISBLANK(INDEX(FX_Input,$KB18+1,ES$85)),INDEX(FX_Input,$KB18,ES$85),INDEX(FX_Input,$KB18,ES$85)&amp;" &amp; "&amp;INDEX(FX_Input,$KB18+1,ES$85))</f>
        <v>Jet kerosene</v>
      </c>
      <c r="ET18" s="63" cm="1">
        <f t="array" ref="ET18">INDEX(FX_Temps,$KC18+7,ET$89)</f>
        <v>16.980000000000015</v>
      </c>
      <c r="EU18" s="63" cm="1">
        <f t="array" ref="EU18">INDEX(FX_Temps,$KC18+13,EU$89)+459.6</f>
        <v>524.19269999999995</v>
      </c>
      <c r="EV18" s="63" cm="1">
        <f t="array" ref="EV18">INDEX(FX_Vap,$KG18,EV$91)-INDEX(FX_Vap,$KH18,EV$91)</f>
        <v>1.6347701028187334E-3</v>
      </c>
      <c r="EW18" s="73" cm="1">
        <f t="array" ref="EW18">IF(ES18="Out of Service",0,INDEX(FX_Vap,$KI18,EW$91))</f>
        <v>9.5478148180509845E-3</v>
      </c>
      <c r="EX18" s="63">
        <f t="shared" si="59"/>
        <v>2.8419663497525748E-2</v>
      </c>
      <c r="EY18" s="63">
        <f t="shared" si="60"/>
        <v>0.9893611752527206</v>
      </c>
      <c r="EZ18" s="63" cm="1">
        <f t="array" ref="EZ18">INDEX(FX_Vap,$KJ18,EZ$91)</f>
        <v>130</v>
      </c>
      <c r="FA18" s="63" cm="1">
        <f t="array" ref="FA18">INDEX(FX_Temps,$KD18,FA$89)+459.6</f>
        <v>524.19269999999995</v>
      </c>
      <c r="FB18" s="63">
        <f t="shared" si="61"/>
        <v>2.2065622096450189E-4</v>
      </c>
      <c r="FC18" s="63" cm="1">
        <f t="array" ref="FC18">INDEX(Month_Ref,FC$83,3)*EX18*(PI()/4*$F18^2)*$H18*EY18*FB18</f>
        <v>46.223515538491618</v>
      </c>
      <c r="FD18" s="63" cm="1">
        <f t="array" ref="FD18">INDEX(FX_Input,$KB18,FD$85)</f>
        <v>80568</v>
      </c>
      <c r="FE18" s="63">
        <f t="shared" si="62"/>
        <v>452308.75199999998</v>
      </c>
      <c r="FF18" s="63">
        <f t="shared" si="63"/>
        <v>1.0524440597152953</v>
      </c>
      <c r="FG18" s="63">
        <f t="shared" si="64"/>
        <v>1</v>
      </c>
      <c r="FH18" s="63" cm="1">
        <f t="array" ref="FH18">IF(OR(INDEX(FX_Vap,$KK18,FH$90)="Crude Oil",(INDEX(FX_Vap,$KL18,FH$90)="Crude Oil")),0.75,1)</f>
        <v>1</v>
      </c>
      <c r="FI18" s="63">
        <f t="shared" si="115"/>
        <v>1</v>
      </c>
      <c r="FJ18" s="63">
        <f t="shared" si="65"/>
        <v>99.804739925490082</v>
      </c>
      <c r="FK18" s="64">
        <f t="shared" si="66"/>
        <v>146.02825546398171</v>
      </c>
      <c r="FL18" s="80" t="str" cm="1">
        <f t="array" ref="FL18">IF(ISBLANK(INDEX(FX_Input,$KB18+1,FL$85)),INDEX(FX_Input,$KB18,FL$85),INDEX(FX_Input,$KB18,FL$85)&amp;" &amp; "&amp;INDEX(FX_Input,$KB18+1,FL$85))</f>
        <v>Jet kerosene</v>
      </c>
      <c r="FM18" s="63" cm="1">
        <f t="array" ref="FM18">INDEX(FX_Temps,$KC18+7,FM$89)</f>
        <v>17.459999999999983</v>
      </c>
      <c r="FN18" s="63" cm="1">
        <f t="array" ref="FN18">INDEX(FX_Temps,$KC18+13,FN$89)+459.6</f>
        <v>521.16010000000006</v>
      </c>
      <c r="FO18" s="63" cm="1">
        <f t="array" ref="FO18">INDEX(FX_Vap,$KG18,FO$91)-INDEX(FX_Vap,$KH18,FO$91)</f>
        <v>1.8182300379836203E-3</v>
      </c>
      <c r="FP18" s="73" cm="1">
        <f t="array" ref="FP18">IF(FL18="Out of Service",0,INDEX(FX_Vap,$KI18,FP$91))</f>
        <v>8.6464528192362108E-3</v>
      </c>
      <c r="FQ18" s="63">
        <f t="shared" si="67"/>
        <v>2.9541908055768631E-2</v>
      </c>
      <c r="FR18" s="63">
        <f t="shared" si="68"/>
        <v>0.99035584791618869</v>
      </c>
      <c r="FS18" s="63" cm="1">
        <f t="array" ref="FS18">INDEX(FX_Vap,$KJ18,FS$91)</f>
        <v>130</v>
      </c>
      <c r="FT18" s="63" cm="1">
        <f t="array" ref="FT18">INDEX(FX_Temps,$KD18,FT$89)+459.6</f>
        <v>521.16010000000006</v>
      </c>
      <c r="FU18" s="63">
        <f t="shared" si="69"/>
        <v>2.009879287762041E-4</v>
      </c>
      <c r="FV18" s="63" cm="1">
        <f t="array" ref="FV18">INDEX(Month_Ref,FV$83,3)*FQ18*(PI()/4*$F18^2)*$H18*FR18*FU18</f>
        <v>42.396728870829548</v>
      </c>
      <c r="FW18" s="63" cm="1">
        <f t="array" ref="FW18">INDEX(FX_Input,$KB18,FW$85)</f>
        <v>80568</v>
      </c>
      <c r="FX18" s="63">
        <f t="shared" si="70"/>
        <v>452308.75199999998</v>
      </c>
      <c r="FY18" s="63">
        <f t="shared" si="71"/>
        <v>1.0524440597152953</v>
      </c>
      <c r="FZ18" s="63">
        <f t="shared" si="72"/>
        <v>1</v>
      </c>
      <c r="GA18" s="63" cm="1">
        <f t="array" ref="GA18">IF(OR(INDEX(FX_Vap,$KK18,GA$90)="Crude Oil",(INDEX(FX_Vap,$KL18,GA$90)="Crude Oil")),0.75,1)</f>
        <v>1</v>
      </c>
      <c r="GB18" s="63">
        <f t="shared" si="116"/>
        <v>1</v>
      </c>
      <c r="GC18" s="63">
        <f t="shared" si="73"/>
        <v>90.908599231829754</v>
      </c>
      <c r="GD18" s="64">
        <f t="shared" si="74"/>
        <v>133.3053281026593</v>
      </c>
      <c r="GE18" s="80" t="str" cm="1">
        <f t="array" ref="GE18">IF(ISBLANK(INDEX(FX_Input,$KB18+1,GE$85)),INDEX(FX_Input,$KB18,GE$85),INDEX(FX_Input,$KB18,GE$85)&amp;" &amp; "&amp;INDEX(FX_Input,$KB18+1,GE$85))</f>
        <v>Jet kerosene</v>
      </c>
      <c r="GF18" s="63" cm="1">
        <f t="array" ref="GF18">INDEX(FX_Temps,$KC18+7,GF$89)</f>
        <v>13.929999999999993</v>
      </c>
      <c r="GG18" s="63" cm="1">
        <f t="array" ref="GG18">INDEX(FX_Temps,$KC18+13,GG$89)+459.6</f>
        <v>514.05180000000007</v>
      </c>
      <c r="GH18" s="63" cm="1">
        <f t="array" ref="GH18">INDEX(FX_Vap,$KG18,GH$91)-INDEX(FX_Vap,$KH18,GH$91)</f>
        <v>1.3347759158748732E-3</v>
      </c>
      <c r="GI18" s="73" cm="1">
        <f t="array" ref="GI18">IF(GE18="Out of Service",0,INDEX(FX_Vap,$KI18,GI$91))</f>
        <v>6.8218393379121701E-3</v>
      </c>
      <c r="GJ18" s="63">
        <f t="shared" si="75"/>
        <v>2.3105751925026341E-2</v>
      </c>
      <c r="GK18" s="63">
        <f t="shared" si="76"/>
        <v>0.9923754833433297</v>
      </c>
      <c r="GL18" s="63" cm="1">
        <f t="array" ref="GL18">INDEX(FX_Vap,$KJ18,GL$91)</f>
        <v>130</v>
      </c>
      <c r="GM18" s="63" cm="1">
        <f t="array" ref="GM18">INDEX(FX_Temps,$KD18,GM$89)+459.6</f>
        <v>514.05180000000007</v>
      </c>
      <c r="GN18" s="63">
        <f t="shared" si="77"/>
        <v>1.6076731562400743E-4</v>
      </c>
      <c r="GO18" s="63" cm="1">
        <f t="array" ref="GO18">INDEX(Month_Ref,GO$83,3)*GJ18*(PI()/4*$F18^2)*$H18*GK18*GN18</f>
        <v>27.464196308508576</v>
      </c>
      <c r="GP18" s="63" cm="1">
        <f t="array" ref="GP18">INDEX(FX_Input,$KB18,GP$85)</f>
        <v>80568</v>
      </c>
      <c r="GQ18" s="63">
        <f t="shared" si="78"/>
        <v>452308.75199999998</v>
      </c>
      <c r="GR18" s="63">
        <f t="shared" si="79"/>
        <v>1.0524440597152953</v>
      </c>
      <c r="GS18" s="63">
        <f t="shared" si="80"/>
        <v>1</v>
      </c>
      <c r="GT18" s="63" cm="1">
        <f t="array" ref="GT18">IF(OR(INDEX(FX_Vap,$KK18,GT$90)="Crude Oil",(INDEX(FX_Vap,$KL18,GT$90)="Crude Oil")),0.75,1)</f>
        <v>1</v>
      </c>
      <c r="GU18" s="63">
        <f t="shared" si="117"/>
        <v>1</v>
      </c>
      <c r="GV18" s="63">
        <f t="shared" si="81"/>
        <v>72.716463892284892</v>
      </c>
      <c r="GW18" s="64">
        <f t="shared" si="82"/>
        <v>100.18066020079347</v>
      </c>
      <c r="GX18" s="80" t="str" cm="1">
        <f t="array" ref="GX18">IF(ISBLANK(INDEX(FX_Input,$KB18+1,GX$85)),INDEX(FX_Input,$KB18,GX$85),INDEX(FX_Input,$KB18,GX$85)&amp;" &amp; "&amp;INDEX(FX_Input,$KB18+1,GX$85))</f>
        <v>Jet kerosene</v>
      </c>
      <c r="GY18" s="63" cm="1">
        <f t="array" ref="GY18">INDEX(FX_Temps,$KC18+7,GY$89)</f>
        <v>10.495000000000031</v>
      </c>
      <c r="GZ18" s="63" cm="1">
        <f t="array" ref="GZ18">INDEX(FX_Temps,$KC18+13,GZ$89)+459.6</f>
        <v>507.66772500000002</v>
      </c>
      <c r="HA18" s="63" cm="1">
        <f t="array" ref="HA18">INDEX(FX_Vap,$KG18,HA$91)-INDEX(FX_Vap,$KH18,HA$91)</f>
        <v>9.195178026090425E-4</v>
      </c>
      <c r="HB18" s="73" cm="1">
        <f t="array" ref="HB18">IF(GX18="Out of Service",0,INDEX(FX_Vap,$KI18,HB$91))</f>
        <v>5.4827140055800742E-3</v>
      </c>
      <c r="HC18" s="63">
        <f t="shared" si="83"/>
        <v>1.6652390699251968E-2</v>
      </c>
      <c r="HD18" s="63">
        <f t="shared" si="84"/>
        <v>0.99386298882234003</v>
      </c>
      <c r="HE18" s="63" cm="1">
        <f t="array" ref="HE18">INDEX(FX_Vap,$KJ18,HE$91)</f>
        <v>130</v>
      </c>
      <c r="HF18" s="63" cm="1">
        <f t="array" ref="HF18">INDEX(FX_Temps,$KD18,HF$89)+459.6</f>
        <v>507.66772500000002</v>
      </c>
      <c r="HG18" s="63">
        <f t="shared" si="85"/>
        <v>1.3083357117100054E-4</v>
      </c>
      <c r="HH18" s="63" cm="1">
        <f t="array" ref="HH18">INDEX(Month_Ref,HH$83,3)*HC18*(PI()/4*$F18^2)*$H18*HD18*HG18</f>
        <v>15.611867909117516</v>
      </c>
      <c r="HI18" s="63" cm="1">
        <f t="array" ref="HI18">INDEX(FX_Input,$KB18,HI$85)</f>
        <v>80568</v>
      </c>
      <c r="HJ18" s="63">
        <f t="shared" si="86"/>
        <v>452308.75199999998</v>
      </c>
      <c r="HK18" s="63">
        <f t="shared" si="87"/>
        <v>1.0524440597152953</v>
      </c>
      <c r="HL18" s="63">
        <f t="shared" si="88"/>
        <v>1</v>
      </c>
      <c r="HM18" s="63" cm="1">
        <f t="array" ref="HM18">IF(OR(INDEX(FX_Vap,$KK18,HM$90)="Crude Oil",(INDEX(FX_Vap,$KL18,HM$90)="Crude Oil")),0.75,1)</f>
        <v>1</v>
      </c>
      <c r="HN18" s="63">
        <f t="shared" si="118"/>
        <v>1</v>
      </c>
      <c r="HO18" s="63">
        <f t="shared" si="89"/>
        <v>59.17716929605843</v>
      </c>
      <c r="HP18" s="64">
        <f t="shared" si="90"/>
        <v>74.789037205175944</v>
      </c>
      <c r="HQ18" s="80" t="str" cm="1">
        <f t="array" ref="HQ18">IF(ISBLANK(INDEX(FX_Input,$KB18+1,HQ$85)),INDEX(FX_Input,$KB18,HQ$85),INDEX(FX_Input,$KB18,HQ$85)&amp;" &amp; "&amp;INDEX(FX_Input,$KB18+1,HQ$85))</f>
        <v>Jet kerosene</v>
      </c>
      <c r="HR18" s="63" cm="1">
        <f t="array" ref="HR18">INDEX(FX_Temps,$KC18+7,HR$89)</f>
        <v>8.51</v>
      </c>
      <c r="HS18" s="63" cm="1">
        <f t="array" ref="HS18">INDEX(FX_Temps,$KC18+13,HS$89)+459.6</f>
        <v>503.94745000000006</v>
      </c>
      <c r="HT18" s="63" cm="1">
        <f t="array" ref="HT18">INDEX(FX_Vap,$KG18,HT$91)-INDEX(FX_Vap,$KH18,HT$91)</f>
        <v>6.7288136336403261E-4</v>
      </c>
      <c r="HU18" s="73" cm="1">
        <f t="array" ref="HU18">IF(HQ18="Out of Service",0,INDEX(FX_Vap,$KI18,HU$91))</f>
        <v>4.8148298503950734E-3</v>
      </c>
      <c r="HV18" s="63">
        <f t="shared" si="91"/>
        <v>1.2849500592893781E-2</v>
      </c>
      <c r="HW18" s="63">
        <f t="shared" si="92"/>
        <v>0.99460654498095313</v>
      </c>
      <c r="HX18" s="63" cm="1">
        <f t="array" ref="HX18">INDEX(FX_Vap,$KJ18,HX$91)</f>
        <v>130</v>
      </c>
      <c r="HY18" s="63" cm="1">
        <f t="array" ref="HY18">INDEX(FX_Temps,$KD18,HY$89)+459.6</f>
        <v>503.94745000000006</v>
      </c>
      <c r="HZ18" s="63">
        <f t="shared" si="93"/>
        <v>1.1574409666728695E-4</v>
      </c>
      <c r="IA18" s="63" cm="1">
        <f t="array" ref="IA18">INDEX(Month_Ref,IA$83,3)*HV18*(PI()/4*$F18^2)*$H18*HW18*HZ18</f>
        <v>11.020705902553273</v>
      </c>
      <c r="IB18" s="63" cm="1">
        <f t="array" ref="IB18">INDEX(FX_Input,$KB18,IB$85)</f>
        <v>80568</v>
      </c>
      <c r="IC18" s="63">
        <f t="shared" si="94"/>
        <v>452308.75199999998</v>
      </c>
      <c r="ID18" s="63">
        <f t="shared" si="95"/>
        <v>1.0524440597152953</v>
      </c>
      <c r="IE18" s="63">
        <f t="shared" si="96"/>
        <v>1</v>
      </c>
      <c r="IF18" s="63" cm="1">
        <f t="array" ref="IF18">IF(OR(INDEX(FX_Vap,$KK18,IF$90)="Crude Oil",(INDEX(FX_Vap,$KL18,IF$90)="Crude Oil")),0.75,1)</f>
        <v>1</v>
      </c>
      <c r="IG18" s="63">
        <f t="shared" si="119"/>
        <v>1</v>
      </c>
      <c r="IH18" s="63">
        <f t="shared" si="97"/>
        <v>52.352067914947916</v>
      </c>
      <c r="II18" s="64">
        <f t="shared" si="98"/>
        <v>63.372773817501191</v>
      </c>
      <c r="IJ18" s="80">
        <f t="shared" si="99"/>
        <v>346.55951032276664</v>
      </c>
      <c r="IK18" s="63">
        <f t="shared" si="100"/>
        <v>0.17327975516138333</v>
      </c>
      <c r="IL18" s="63">
        <f t="shared" si="101"/>
        <v>877.85499090684357</v>
      </c>
      <c r="IM18" s="63">
        <f t="shared" si="102"/>
        <v>0.4389274954534218</v>
      </c>
      <c r="IN18" s="63">
        <f t="shared" si="103"/>
        <v>1224.4145012296101</v>
      </c>
      <c r="IO18" s="64">
        <f t="shared" si="104"/>
        <v>0.61220725061480508</v>
      </c>
      <c r="KB18" s="43">
        <f t="shared" si="120"/>
        <v>15</v>
      </c>
      <c r="KC18" s="43">
        <f t="shared" si="121"/>
        <v>99</v>
      </c>
      <c r="KD18" s="43">
        <f t="shared" si="122"/>
        <v>112</v>
      </c>
      <c r="KE18" s="43">
        <f t="shared" si="123"/>
        <v>99</v>
      </c>
      <c r="KF18" s="43">
        <f t="shared" si="124"/>
        <v>239</v>
      </c>
      <c r="KG18" s="43">
        <f t="shared" si="125"/>
        <v>262</v>
      </c>
      <c r="KH18" s="43">
        <f t="shared" si="126"/>
        <v>257</v>
      </c>
      <c r="KI18" s="43">
        <f t="shared" si="105"/>
        <v>267</v>
      </c>
      <c r="KJ18" s="43">
        <f t="shared" si="105"/>
        <v>272</v>
      </c>
      <c r="KK18" s="43">
        <f t="shared" si="127"/>
        <v>243</v>
      </c>
      <c r="KL18" s="43">
        <f t="shared" si="128"/>
        <v>245</v>
      </c>
    </row>
    <row r="19" spans="2:298" x14ac:dyDescent="0.4">
      <c r="B19" s="43" t="str" cm="1">
        <f t="array" ref="B19">INDEX(FX_Input,$KB19,B$85)</f>
        <v>FX - 9</v>
      </c>
      <c r="C19" s="93" t="str" cm="1">
        <f t="array" ref="C19">INDEX(FX_Input,$KB19,C$85)</f>
        <v>FIXTANK 102</v>
      </c>
      <c r="D19" s="80">
        <f t="shared" si="0"/>
        <v>240331.83799961917</v>
      </c>
      <c r="E19" s="63" cm="1">
        <f t="array" ref="E19">IF(ISBLANK(INDEX(FX_Input,$KB19,$E$85)),0.03,INDEX(FX_Input,$KB19,$E$85))-IF(ISBLANK(INDEX(FX_Input,$KB19,$E$86)),-0.03,INDEX(FX_Input,$KB19,$E$86))</f>
        <v>0.06</v>
      </c>
      <c r="F19" s="63" cm="1">
        <f t="array" ref="F19">IF(INDEX(FX_Input,$KB19,F$85)="Vertical",INDEX(FX_Input,$KB19,F$86),SQRT((INDEX(FX_Input,$KB19,F$86)*INDEX(FX_Input,$KB19,F$87))/(PI()/4)))</f>
        <v>120</v>
      </c>
      <c r="G19" s="63" cm="1">
        <f t="array" ref="G19">IF(INDEX(FX_Input,$KB19,G$85)="Vertical",INDEX(FX_Input,$KB19,G$86),INDEX(FX_Input,$KB19,G$87)*PI()/4)</f>
        <v>40</v>
      </c>
      <c r="H19" s="63" cm="1">
        <f t="array" ref="H19">IF(INDEX(FX_Input,$KB19,H$85)="Vertical",G19-G19/2+J19,G19/2)</f>
        <v>21.25</v>
      </c>
      <c r="I19" s="63" cm="1">
        <f t="array" ref="I19">IF(INDEX(FX_Input,$KB19,F$85)="Horizontal","N/A",IF(INDEX(FX_Input,$KB19,I$86)="Cone",IF(ISBLANK(INDEX(FX_Input,$KB19,I$87)),0.0625,INDEX(FX_Input,$KB19,I$87))*F19/2,F19/2-SQRT((F19/2)^2-(INDEX(FX_Input,$KB19,I$88)^2))))</f>
        <v>3.75</v>
      </c>
      <c r="J19" s="63" cm="1">
        <f t="array" ref="J19">IF(INDEX(FX_Input,$KB19,J$85)="Horizontal","N/A",IF(INDEX(FX_Input,$KB19,J$86)="Cone",I19/3,I19*(1/2+(1/6)*(I19/(F19/2))^2)))</f>
        <v>1.25</v>
      </c>
      <c r="K19" s="63">
        <f t="shared" si="1"/>
        <v>39</v>
      </c>
      <c r="L19" s="63">
        <v>1</v>
      </c>
      <c r="M19" s="63" cm="1">
        <f t="array" ref="M19">INDEX(Tbl_71_6,MATCH(INDEX(FX_Input,$KB19,M$85),Paint_Color,0),VLOOKUP(INDEX(FX_Input,$KB19,M$86),Paint_Cond_Column,2,FALSE))</f>
        <v>0.25</v>
      </c>
      <c r="N19" s="63" cm="1">
        <f t="array" ref="N19">INDEX(Tbl_71_6,MATCH(INDEX(FX_Input,$KB19,N$85),Paint_Color,0),VLOOKUP(INDEX(FX_Input,$KB19,N$86),Paint_Cond_Column,2,FALSE))</f>
        <v>0.25</v>
      </c>
      <c r="O19" s="64">
        <f t="shared" si="2"/>
        <v>0.25</v>
      </c>
      <c r="P19" s="80" t="str" cm="1">
        <f t="array" ref="P19">IF(ISBLANK(INDEX(FX_Input,$KB19+1,P$85)),INDEX(FX_Input,$KB19,P$85),INDEX(FX_Input,$KB19,P$85)&amp;" &amp; "&amp;INDEX(FX_Input,$KB19+1,P$85))</f>
        <v>Jet kerosene</v>
      </c>
      <c r="Q19" s="63" cm="1">
        <f t="array" ref="Q19">INDEX(FX_Temps,$KC19+7,Q$89)</f>
        <v>8.9950000000000241</v>
      </c>
      <c r="R19" s="63" cm="1">
        <f t="array" ref="R19">INDEX(FX_Temps,$KC19+13,R$89)+459.6</f>
        <v>504.34892500000001</v>
      </c>
      <c r="S19" s="63" cm="1">
        <f t="array" ref="S19">INDEX(FX_Vap,$KG19,S$91)-INDEX(FX_Vap,$KH19,S$91)</f>
        <v>7.0794953556663209E-4</v>
      </c>
      <c r="T19" s="73" cm="1">
        <f t="array" ref="T19">IF(P19="Out of Service",0,INDEX(FX_Vap,$KI19,T$91))</f>
        <v>4.883250638471285E-3</v>
      </c>
      <c r="U19" s="63">
        <f t="shared" si="3"/>
        <v>1.3800061771949319E-2</v>
      </c>
      <c r="V19" s="63">
        <f t="shared" si="4"/>
        <v>0.9945303208964108</v>
      </c>
      <c r="W19" s="63" cm="1">
        <f t="array" ref="W19">INDEX(FX_Vap,$KJ19,W$91)</f>
        <v>130</v>
      </c>
      <c r="X19" s="63" cm="1">
        <f t="array" ref="X19">INDEX(FX_Temps,$KD19,X$89)+459.6</f>
        <v>504.34892500000001</v>
      </c>
      <c r="Y19" s="63">
        <f t="shared" si="5"/>
        <v>1.1729542507733997E-4</v>
      </c>
      <c r="Z19" s="63" cm="1">
        <f t="array" ref="Z19">INDEX(Month_Ref,Z$83,3)*U19*(PI()/4*$F19^2)*$H19*V19*Y19</f>
        <v>11.99369868175136</v>
      </c>
      <c r="AA19" s="63" cm="1">
        <f t="array" ref="AA19">INDEX(FX_Input,$KB19,AA$85)</f>
        <v>80568</v>
      </c>
      <c r="AB19" s="63">
        <f t="shared" si="6"/>
        <v>452308.75199999998</v>
      </c>
      <c r="AC19" s="63">
        <f t="shared" si="7"/>
        <v>1.0524440597152953</v>
      </c>
      <c r="AD19" s="63">
        <f t="shared" si="8"/>
        <v>1</v>
      </c>
      <c r="AE19" s="63" cm="1">
        <f t="array" ref="AE19">IF(OR(INDEX(FX_Vap,$KK19,AE$90)="Crude Oil",(INDEX(FX_Vap,$KL19,AE$90)="Crude Oil")),0.75,1)</f>
        <v>1</v>
      </c>
      <c r="AF19" s="63">
        <f t="shared" si="108"/>
        <v>1</v>
      </c>
      <c r="AG19" s="63">
        <f t="shared" si="9"/>
        <v>53.053747332041141</v>
      </c>
      <c r="AH19" s="64">
        <f t="shared" si="10"/>
        <v>65.047446013792495</v>
      </c>
      <c r="AI19" s="80" t="str" cm="1">
        <f t="array" ref="AI19">IF(ISBLANK(INDEX(FX_Input,$KB19+1,AI$85)),INDEX(FX_Input,$KB19,AI$85),INDEX(FX_Input,$KB19,AI$85)&amp;" &amp; "&amp;INDEX(FX_Input,$KB19+1,AI$85))</f>
        <v>Jet kerosene</v>
      </c>
      <c r="AJ19" s="63" cm="1">
        <f t="array" ref="AJ19">INDEX(FX_Temps,$KC19+7,AJ$89)</f>
        <v>12.239999999999991</v>
      </c>
      <c r="AK19" s="63" cm="1">
        <f t="array" ref="AK19">INDEX(FX_Temps,$KC19+13,AK$89)+459.6</f>
        <v>505.78500000000008</v>
      </c>
      <c r="AL19" s="63" cm="1">
        <f t="array" ref="AL19">INDEX(FX_Vap,$KG19,AL$91)-INDEX(FX_Vap,$KH19,AL$91)</f>
        <v>9.3413357178260322E-4</v>
      </c>
      <c r="AM19" s="73" cm="1">
        <f t="array" ref="AM19">IF(AI19="Out of Service",0,INDEX(FX_Vap,$KI19,AM$91))</f>
        <v>5.1351067062407989E-3</v>
      </c>
      <c r="AN19" s="63">
        <f t="shared" si="11"/>
        <v>2.0180515663370695E-2</v>
      </c>
      <c r="AO19" s="63">
        <f t="shared" si="12"/>
        <v>0.99424984161816954</v>
      </c>
      <c r="AP19" s="63" cm="1">
        <f t="array" ref="AP19">INDEX(FX_Vap,$KJ19,AP$91)</f>
        <v>130</v>
      </c>
      <c r="AQ19" s="63" cm="1">
        <f t="array" ref="AQ19">INDEX(FX_Temps,$KD19,AQ$89)+459.6</f>
        <v>505.78500000000008</v>
      </c>
      <c r="AR19" s="63">
        <f t="shared" si="13"/>
        <v>1.2299478130220538E-4</v>
      </c>
      <c r="AS19" s="63" cm="1">
        <f t="array" ref="AS19">INDEX(Month_Ref,AS$83,3)*AN19*(PI()/4*$F19^2)*$H19*AO19*AR19</f>
        <v>16.606718103546751</v>
      </c>
      <c r="AT19" s="63" cm="1">
        <f t="array" ref="AT19">INDEX(FX_Input,$KB19,AT$85)</f>
        <v>80568</v>
      </c>
      <c r="AU19" s="63">
        <f t="shared" si="14"/>
        <v>452308.75199999998</v>
      </c>
      <c r="AV19" s="63">
        <f t="shared" si="15"/>
        <v>1.0524440597152953</v>
      </c>
      <c r="AW19" s="63">
        <f t="shared" si="16"/>
        <v>1</v>
      </c>
      <c r="AX19" s="63" cm="1">
        <f t="array" ref="AX19">IF(OR(INDEX(FX_Vap,$KK19,AX$90)="Crude Oil",(INDEX(FX_Vap,$KL19,AX$90)="Crude Oil")),0.75,1)</f>
        <v>1</v>
      </c>
      <c r="AY19" s="63">
        <f t="shared" si="109"/>
        <v>1</v>
      </c>
      <c r="AZ19" s="63">
        <f t="shared" si="17"/>
        <v>55.631616033313449</v>
      </c>
      <c r="BA19" s="64">
        <f t="shared" si="18"/>
        <v>72.238334136860203</v>
      </c>
      <c r="BB19" s="80" t="str" cm="1">
        <f t="array" ref="BB19">IF(ISBLANK(INDEX(FX_Input,$KB19+1,BB$85)),INDEX(FX_Input,$KB19,BB$85),INDEX(FX_Input,$KB19,BB$85)&amp;" &amp; "&amp;INDEX(FX_Input,$KB19+1,BB$85))</f>
        <v>Jet kerosene</v>
      </c>
      <c r="BC19" s="63" cm="1">
        <f t="array" ref="BC19">INDEX(FX_Temps,$KC19+7,BC$89)</f>
        <v>13.62500000000003</v>
      </c>
      <c r="BD19" s="63" cm="1">
        <f t="array" ref="BD19">INDEX(FX_Temps,$KC19+13,BD$89)+459.6</f>
        <v>507.87057500000003</v>
      </c>
      <c r="BE19" s="63" cm="1">
        <f t="array" ref="BE19">INDEX(FX_Vap,$KG19,BE$91)-INDEX(FX_Vap,$KH19,BE$91)</f>
        <v>9.8971985989682477E-4</v>
      </c>
      <c r="BF19" s="73" cm="1">
        <f t="array" ref="BF19">IF(BB19="Out of Service",0,INDEX(FX_Vap,$KI19,BF$91))</f>
        <v>5.5213829543467952E-3</v>
      </c>
      <c r="BG19" s="63">
        <f t="shared" si="19"/>
        <v>2.2811888004276384E-2</v>
      </c>
      <c r="BH19" s="63">
        <f t="shared" si="20"/>
        <v>0.9938199726851964</v>
      </c>
      <c r="BI19" s="63" cm="1">
        <f t="array" ref="BI19">INDEX(FX_Vap,$KJ19,BI$91)</f>
        <v>130</v>
      </c>
      <c r="BJ19" s="63" cm="1">
        <f t="array" ref="BJ19">INDEX(FX_Temps,$KD19,BJ$89)+459.6</f>
        <v>507.87057500000003</v>
      </c>
      <c r="BK19" s="63">
        <f t="shared" si="21"/>
        <v>1.3170370007990181E-4</v>
      </c>
      <c r="BL19" s="63" cm="1">
        <f t="array" ref="BL19">INDEX(Month_Ref,BL$83,3)*BG19*(PI()/4*$F19^2)*$H19*BH19*BK19</f>
        <v>22.245385133354386</v>
      </c>
      <c r="BM19" s="63" cm="1">
        <f t="array" ref="BM19">INDEX(FX_Input,$KB19,BM$85)</f>
        <v>80568</v>
      </c>
      <c r="BN19" s="63">
        <f t="shared" si="22"/>
        <v>452308.75199999998</v>
      </c>
      <c r="BO19" s="63">
        <f t="shared" si="23"/>
        <v>1.0524440597152953</v>
      </c>
      <c r="BP19" s="63">
        <f t="shared" si="24"/>
        <v>1</v>
      </c>
      <c r="BQ19" s="63" cm="1">
        <f t="array" ref="BQ19">IF(OR(INDEX(FX_Vap,$KK19,BQ$90)="Crude Oil",(INDEX(FX_Vap,$KL19,BQ$90)="Crude Oil")),0.75,1)</f>
        <v>1</v>
      </c>
      <c r="BR19" s="63">
        <f t="shared" si="110"/>
        <v>1</v>
      </c>
      <c r="BS19" s="63">
        <f t="shared" si="25"/>
        <v>59.57073621692269</v>
      </c>
      <c r="BT19" s="64">
        <f t="shared" si="26"/>
        <v>81.816121350277072</v>
      </c>
      <c r="BU19" s="80" t="str" cm="1">
        <f t="array" ref="BU19">IF(ISBLANK(INDEX(FX_Input,$KB19+1,BU$85)),INDEX(FX_Input,$KB19,BU$85),INDEX(FX_Input,$KB19,BU$85)&amp;" &amp; "&amp;INDEX(FX_Input,$KB19+1,BU$85))</f>
        <v>Jet kerosene</v>
      </c>
      <c r="BV19" s="63" cm="1">
        <f t="array" ref="BV19">INDEX(FX_Temps,$KC19+7,BV$89)</f>
        <v>15.639999999999983</v>
      </c>
      <c r="BW19" s="63" cm="1">
        <f t="array" ref="BW19">INDEX(FX_Temps,$KC19+13,BW$89)+459.6</f>
        <v>511.29869999999994</v>
      </c>
      <c r="BX19" s="63" cm="1">
        <f t="array" ref="BX19">INDEX(FX_Vap,$KG19,BX$91)-INDEX(FX_Vap,$KH19,BX$91)</f>
        <v>1.1058961440241618E-3</v>
      </c>
      <c r="BY19" s="73" cm="1">
        <f t="array" ref="BY19">IF(BU19="Out of Service",0,INDEX(FX_Vap,$KI19,BY$91))</f>
        <v>6.2124720487193742E-3</v>
      </c>
      <c r="BZ19" s="63">
        <f t="shared" si="27"/>
        <v>2.6580677742499288E-2</v>
      </c>
      <c r="CA19" s="63">
        <f t="shared" si="28"/>
        <v>0.9930518183690531</v>
      </c>
      <c r="CB19" s="63" cm="1">
        <f t="array" ref="CB19">INDEX(FX_Vap,$KJ19,CB$91)</f>
        <v>130</v>
      </c>
      <c r="CC19" s="63" cm="1">
        <f t="array" ref="CC19">INDEX(FX_Temps,$KD19,CC$89)+459.6</f>
        <v>511.29869999999994</v>
      </c>
      <c r="CD19" s="63">
        <f t="shared" si="29"/>
        <v>1.4719495213728575E-4</v>
      </c>
      <c r="CE19" s="63" cm="1">
        <f t="array" ref="CE19">INDEX(Month_Ref,CE$83,3)*BZ19*(PI()/4*$F19^2)*$H19*CA19*CD19</f>
        <v>28.013246345382555</v>
      </c>
      <c r="CF19" s="63" cm="1">
        <f t="array" ref="CF19">INDEX(FX_Input,$KB19,CF$85)</f>
        <v>80568</v>
      </c>
      <c r="CG19" s="63">
        <f t="shared" si="30"/>
        <v>452308.75199999998</v>
      </c>
      <c r="CH19" s="63">
        <f t="shared" si="31"/>
        <v>1.0524440597152953</v>
      </c>
      <c r="CI19" s="63">
        <f t="shared" si="32"/>
        <v>1</v>
      </c>
      <c r="CJ19" s="63" cm="1">
        <f t="array" ref="CJ19">IF(OR(INDEX(FX_Vap,$KK19,CJ$90)="Crude Oil",(INDEX(FX_Vap,$KL19,CJ$90)="Crude Oil")),0.75,1)</f>
        <v>1</v>
      </c>
      <c r="CK19" s="63">
        <f t="shared" si="111"/>
        <v>1</v>
      </c>
      <c r="CL19" s="63">
        <f t="shared" si="33"/>
        <v>66.577565101915454</v>
      </c>
      <c r="CM19" s="64">
        <f t="shared" si="34"/>
        <v>94.590811447298009</v>
      </c>
      <c r="CN19" s="80" t="str" cm="1">
        <f t="array" ref="CN19">IF(ISBLANK(INDEX(FX_Input,$KB19+1,CN$85)),INDEX(FX_Input,$KB19,CN$85),INDEX(FX_Input,$KB19,CN$85)&amp;" &amp; "&amp;INDEX(FX_Input,$KB19+1,CN$85))</f>
        <v>Jet kerosene</v>
      </c>
      <c r="CO19" s="63" cm="1">
        <f t="array" ref="CO19">INDEX(FX_Temps,$KC19+7,CO$89)</f>
        <v>16.994999999999969</v>
      </c>
      <c r="CP19" s="63" cm="1">
        <f t="array" ref="CP19">INDEX(FX_Temps,$KC19+13,CP$89)+459.6</f>
        <v>516.5540749999999</v>
      </c>
      <c r="CQ19" s="63" cm="1">
        <f t="array" ref="CQ19">INDEX(FX_Vap,$KG19,CQ$91)-INDEX(FX_Vap,$KH19,CQ$91)</f>
        <v>1.2769509865756092E-3</v>
      </c>
      <c r="CR19" s="73" cm="1">
        <f t="array" ref="CR19">IF(CN19="Out of Service",0,INDEX(FX_Vap,$KI19,CR$91))</f>
        <v>7.4209663387537275E-3</v>
      </c>
      <c r="CS19" s="63">
        <f t="shared" si="35"/>
        <v>2.8903935164848002E-2</v>
      </c>
      <c r="CT19" s="63">
        <f t="shared" si="36"/>
        <v>0.9917114115505129</v>
      </c>
      <c r="CU19" s="63" cm="1">
        <f t="array" ref="CU19">INDEX(FX_Vap,$KJ19,CU$91)</f>
        <v>130</v>
      </c>
      <c r="CV19" s="63" cm="1">
        <f t="array" ref="CV19">INDEX(FX_Temps,$KD19,CV$89)+459.6</f>
        <v>516.5540749999999</v>
      </c>
      <c r="CW19" s="63">
        <f t="shared" si="37"/>
        <v>1.7403950007616097E-4</v>
      </c>
      <c r="CX19" s="63" cm="1">
        <f t="array" ref="CX19">INDEX(Month_Ref,CX$83,3)*CS19*(PI()/4*$F19^2)*$H19*CT19*CW19</f>
        <v>37.167479781102465</v>
      </c>
      <c r="CY19" s="63" cm="1">
        <f t="array" ref="CY19">INDEX(FX_Input,$KB19,CY$85)</f>
        <v>80568</v>
      </c>
      <c r="CZ19" s="63">
        <f t="shared" si="38"/>
        <v>452308.75199999998</v>
      </c>
      <c r="DA19" s="63">
        <f t="shared" si="39"/>
        <v>1.0524440597152953</v>
      </c>
      <c r="DB19" s="63">
        <f t="shared" si="40"/>
        <v>1</v>
      </c>
      <c r="DC19" s="63" cm="1">
        <f t="array" ref="DC19">IF(OR(INDEX(FX_Vap,$KK19,DC$90)="Crude Oil",(INDEX(FX_Vap,$KL19,DC$90)="Crude Oil")),0.75,1)</f>
        <v>1</v>
      </c>
      <c r="DD19" s="63">
        <f t="shared" si="112"/>
        <v>1</v>
      </c>
      <c r="DE19" s="63">
        <f t="shared" si="41"/>
        <v>78.719589078152268</v>
      </c>
      <c r="DF19" s="64">
        <f t="shared" si="42"/>
        <v>115.88706885925473</v>
      </c>
      <c r="DG19" s="80" t="str" cm="1">
        <f t="array" ref="DG19">IF(ISBLANK(INDEX(FX_Input,$KB19+1,DG$85)),INDEX(FX_Input,$KB19,DG$85),INDEX(FX_Input,$KB19,DG$85)&amp;" &amp; "&amp;INDEX(FX_Input,$KB19+1,DG$85))</f>
        <v>Jet kerosene</v>
      </c>
      <c r="DH19" s="63" cm="1">
        <f t="array" ref="DH19">INDEX(FX_Temps,$KC19+7,DH$89)</f>
        <v>16.885000000000041</v>
      </c>
      <c r="DI19" s="63" cm="1">
        <f t="array" ref="DI19">INDEX(FX_Temps,$KC19+13,DI$89)+459.6</f>
        <v>520.5768250000001</v>
      </c>
      <c r="DJ19" s="63" cm="1">
        <f t="array" ref="DJ19">INDEX(FX_Vap,$KG19,DJ$91)-INDEX(FX_Vap,$KH19,DJ$91)</f>
        <v>1.3484653740421003E-3</v>
      </c>
      <c r="DK19" s="73" cm="1">
        <f t="array" ref="DK19">IF(DG19="Out of Service",0,INDEX(FX_Vap,$KI19,DK$91))</f>
        <v>8.4819819298252285E-3</v>
      </c>
      <c r="DL19" s="63">
        <f t="shared" si="43"/>
        <v>2.8442970354993463E-2</v>
      </c>
      <c r="DM19" s="63">
        <f t="shared" si="44"/>
        <v>0.99053756094355561</v>
      </c>
      <c r="DN19" s="63" cm="1">
        <f t="array" ref="DN19">INDEX(FX_Vap,$KJ19,DN$91)</f>
        <v>130</v>
      </c>
      <c r="DO19" s="63" cm="1">
        <f t="array" ref="DO19">INDEX(FX_Temps,$KD19,DO$89)+459.6</f>
        <v>520.5768250000001</v>
      </c>
      <c r="DP19" s="63">
        <f t="shared" si="45"/>
        <v>1.9738569267093546E-4</v>
      </c>
      <c r="DQ19" s="63" cm="1">
        <f t="array" ref="DQ19">INDEX(Month_Ref,DQ$83,3)*DL19*(PI()/4*$F19^2)*$H19*DM19*DP19</f>
        <v>40.095361161283854</v>
      </c>
      <c r="DR19" s="63" cm="1">
        <f t="array" ref="DR19">INDEX(FX_Input,$KB19,DR$85)</f>
        <v>80568</v>
      </c>
      <c r="DS19" s="63">
        <f t="shared" si="46"/>
        <v>452308.75199999998</v>
      </c>
      <c r="DT19" s="63">
        <f t="shared" si="47"/>
        <v>1.0524440597152953</v>
      </c>
      <c r="DU19" s="63">
        <f t="shared" si="48"/>
        <v>1</v>
      </c>
      <c r="DV19" s="63" cm="1">
        <f t="array" ref="DV19">IF(OR(INDEX(FX_Vap,$KK19,DV$90)="Crude Oil",(INDEX(FX_Vap,$KL19,DV$90)="Crude Oil")),0.75,1)</f>
        <v>1</v>
      </c>
      <c r="DW19" s="63">
        <f t="shared" si="113"/>
        <v>1</v>
      </c>
      <c r="DX19" s="63">
        <f t="shared" si="49"/>
        <v>89.279276314646353</v>
      </c>
      <c r="DY19" s="64">
        <f t="shared" si="50"/>
        <v>129.3746374759302</v>
      </c>
      <c r="DZ19" s="80" t="str" cm="1">
        <f t="array" ref="DZ19">IF(ISBLANK(INDEX(FX_Input,$KB19+1,DZ$85)),INDEX(FX_Input,$KB19,DZ$85),INDEX(FX_Input,$KB19,DZ$85)&amp;" &amp; "&amp;INDEX(FX_Input,$KB19+1,DZ$85))</f>
        <v>Jet kerosene</v>
      </c>
      <c r="EA19" s="63" cm="1">
        <f t="array" ref="EA19">INDEX(FX_Temps,$KC19+7,EA$89)</f>
        <v>17.42999999999995</v>
      </c>
      <c r="EB19" s="63" cm="1">
        <f t="array" ref="EB19">INDEX(FX_Temps,$KC19+13,EB$89)+459.6</f>
        <v>524.27729999999985</v>
      </c>
      <c r="EC19" s="63" cm="1">
        <f t="array" ref="EC19">INDEX(FX_Vap,$KG19,EC$91)-INDEX(FX_Vap,$KH19,EC$91)</f>
        <v>1.5227758159827732E-3</v>
      </c>
      <c r="ED19" s="73" cm="1">
        <f t="array" ref="ED19">IF(DZ19="Out of Service",0,INDEX(FX_Vap,$KI19,ED$91))</f>
        <v>9.5741064128135375E-3</v>
      </c>
      <c r="EE19" s="63">
        <f t="shared" si="51"/>
        <v>2.9265130122321317E-2</v>
      </c>
      <c r="EF19" s="63">
        <f t="shared" si="52"/>
        <v>0.9893321918922483</v>
      </c>
      <c r="EG19" s="63" cm="1">
        <f t="array" ref="EG19">INDEX(FX_Vap,$KJ19,EG$91)</f>
        <v>130</v>
      </c>
      <c r="EH19" s="63" cm="1">
        <f t="array" ref="EH19">INDEX(FX_Temps,$KD19,EH$89)+459.6</f>
        <v>524.27729999999985</v>
      </c>
      <c r="EI19" s="63">
        <f t="shared" si="53"/>
        <v>2.2122813261247964E-4</v>
      </c>
      <c r="EJ19" s="63" cm="1">
        <f t="array" ref="EJ19">INDEX(Month_Ref,EJ$83,3)*EE19*(PI()/4*$F19^2)*$H19*EF19*EI19</f>
        <v>47.720606586844745</v>
      </c>
      <c r="EK19" s="63" cm="1">
        <f t="array" ref="EK19">INDEX(FX_Input,$KB19,EK$85)</f>
        <v>80568</v>
      </c>
      <c r="EL19" s="63">
        <f t="shared" si="54"/>
        <v>452308.75199999998</v>
      </c>
      <c r="EM19" s="63">
        <f t="shared" si="55"/>
        <v>1.0524440597152953</v>
      </c>
      <c r="EN19" s="63">
        <f t="shared" si="56"/>
        <v>1</v>
      </c>
      <c r="EO19" s="63" cm="1">
        <f t="array" ref="EO19">IF(OR(INDEX(FX_Vap,$KK19,EO$90)="Crude Oil",(INDEX(FX_Vap,$KL19,EO$90)="Crude Oil")),0.75,1)</f>
        <v>1</v>
      </c>
      <c r="EP19" s="63">
        <f t="shared" si="114"/>
        <v>1</v>
      </c>
      <c r="EQ19" s="63">
        <f t="shared" si="57"/>
        <v>100.06342056924116</v>
      </c>
      <c r="ER19" s="64">
        <f t="shared" si="58"/>
        <v>147.7840271560859</v>
      </c>
      <c r="ES19" s="80" t="str" cm="1">
        <f t="array" ref="ES19">IF(ISBLANK(INDEX(FX_Input,$KB19+1,ES$85)),INDEX(FX_Input,$KB19,ES$85),INDEX(FX_Input,$KB19,ES$85)&amp;" &amp; "&amp;INDEX(FX_Input,$KB19+1,ES$85))</f>
        <v>Jet kerosene</v>
      </c>
      <c r="ET19" s="63" cm="1">
        <f t="array" ref="ET19">INDEX(FX_Temps,$KC19+7,ET$89)</f>
        <v>16.980000000000015</v>
      </c>
      <c r="EU19" s="63" cm="1">
        <f t="array" ref="EU19">INDEX(FX_Temps,$KC19+13,EU$89)+459.6</f>
        <v>524.19269999999995</v>
      </c>
      <c r="EV19" s="63" cm="1">
        <f t="array" ref="EV19">INDEX(FX_Vap,$KG19,EV$91)-INDEX(FX_Vap,$KH19,EV$91)</f>
        <v>1.6347701028187334E-3</v>
      </c>
      <c r="EW19" s="73" cm="1">
        <f t="array" ref="EW19">IF(ES19="Out of Service",0,INDEX(FX_Vap,$KI19,EW$91))</f>
        <v>9.5478148180509845E-3</v>
      </c>
      <c r="EX19" s="63">
        <f t="shared" si="59"/>
        <v>2.8419663497525748E-2</v>
      </c>
      <c r="EY19" s="63">
        <f t="shared" si="60"/>
        <v>0.9893611752527206</v>
      </c>
      <c r="EZ19" s="63" cm="1">
        <f t="array" ref="EZ19">INDEX(FX_Vap,$KJ19,EZ$91)</f>
        <v>130</v>
      </c>
      <c r="FA19" s="63" cm="1">
        <f t="array" ref="FA19">INDEX(FX_Temps,$KD19,FA$89)+459.6</f>
        <v>524.19269999999995</v>
      </c>
      <c r="FB19" s="63">
        <f t="shared" si="61"/>
        <v>2.2065622096450189E-4</v>
      </c>
      <c r="FC19" s="63" cm="1">
        <f t="array" ref="FC19">INDEX(Month_Ref,FC$83,3)*EX19*(PI()/4*$F19^2)*$H19*EY19*FB19</f>
        <v>46.223515538491618</v>
      </c>
      <c r="FD19" s="63" cm="1">
        <f t="array" ref="FD19">INDEX(FX_Input,$KB19,FD$85)</f>
        <v>80568</v>
      </c>
      <c r="FE19" s="63">
        <f t="shared" si="62"/>
        <v>452308.75199999998</v>
      </c>
      <c r="FF19" s="63">
        <f t="shared" si="63"/>
        <v>1.0524440597152953</v>
      </c>
      <c r="FG19" s="63">
        <f t="shared" si="64"/>
        <v>1</v>
      </c>
      <c r="FH19" s="63" cm="1">
        <f t="array" ref="FH19">IF(OR(INDEX(FX_Vap,$KK19,FH$90)="Crude Oil",(INDEX(FX_Vap,$KL19,FH$90)="Crude Oil")),0.75,1)</f>
        <v>1</v>
      </c>
      <c r="FI19" s="63">
        <f t="shared" si="115"/>
        <v>1</v>
      </c>
      <c r="FJ19" s="63">
        <f t="shared" si="65"/>
        <v>99.804739925490082</v>
      </c>
      <c r="FK19" s="64">
        <f t="shared" si="66"/>
        <v>146.02825546398171</v>
      </c>
      <c r="FL19" s="80" t="str" cm="1">
        <f t="array" ref="FL19">IF(ISBLANK(INDEX(FX_Input,$KB19+1,FL$85)),INDEX(FX_Input,$KB19,FL$85),INDEX(FX_Input,$KB19,FL$85)&amp;" &amp; "&amp;INDEX(FX_Input,$KB19+1,FL$85))</f>
        <v>Jet kerosene</v>
      </c>
      <c r="FM19" s="63" cm="1">
        <f t="array" ref="FM19">INDEX(FX_Temps,$KC19+7,FM$89)</f>
        <v>17.459999999999983</v>
      </c>
      <c r="FN19" s="63" cm="1">
        <f t="array" ref="FN19">INDEX(FX_Temps,$KC19+13,FN$89)+459.6</f>
        <v>521.16010000000006</v>
      </c>
      <c r="FO19" s="63" cm="1">
        <f t="array" ref="FO19">INDEX(FX_Vap,$KG19,FO$91)-INDEX(FX_Vap,$KH19,FO$91)</f>
        <v>1.8182300379836203E-3</v>
      </c>
      <c r="FP19" s="73" cm="1">
        <f t="array" ref="FP19">IF(FL19="Out of Service",0,INDEX(FX_Vap,$KI19,FP$91))</f>
        <v>8.6464528192362108E-3</v>
      </c>
      <c r="FQ19" s="63">
        <f t="shared" si="67"/>
        <v>2.9541908055768631E-2</v>
      </c>
      <c r="FR19" s="63">
        <f t="shared" si="68"/>
        <v>0.99035584791618869</v>
      </c>
      <c r="FS19" s="63" cm="1">
        <f t="array" ref="FS19">INDEX(FX_Vap,$KJ19,FS$91)</f>
        <v>130</v>
      </c>
      <c r="FT19" s="63" cm="1">
        <f t="array" ref="FT19">INDEX(FX_Temps,$KD19,FT$89)+459.6</f>
        <v>521.16010000000006</v>
      </c>
      <c r="FU19" s="63">
        <f t="shared" si="69"/>
        <v>2.009879287762041E-4</v>
      </c>
      <c r="FV19" s="63" cm="1">
        <f t="array" ref="FV19">INDEX(Month_Ref,FV$83,3)*FQ19*(PI()/4*$F19^2)*$H19*FR19*FU19</f>
        <v>42.396728870829548</v>
      </c>
      <c r="FW19" s="63" cm="1">
        <f t="array" ref="FW19">INDEX(FX_Input,$KB19,FW$85)</f>
        <v>80568</v>
      </c>
      <c r="FX19" s="63">
        <f t="shared" si="70"/>
        <v>452308.75199999998</v>
      </c>
      <c r="FY19" s="63">
        <f t="shared" si="71"/>
        <v>1.0524440597152953</v>
      </c>
      <c r="FZ19" s="63">
        <f t="shared" si="72"/>
        <v>1</v>
      </c>
      <c r="GA19" s="63" cm="1">
        <f t="array" ref="GA19">IF(OR(INDEX(FX_Vap,$KK19,GA$90)="Crude Oil",(INDEX(FX_Vap,$KL19,GA$90)="Crude Oil")),0.75,1)</f>
        <v>1</v>
      </c>
      <c r="GB19" s="63">
        <f t="shared" si="116"/>
        <v>1</v>
      </c>
      <c r="GC19" s="63">
        <f t="shared" si="73"/>
        <v>90.908599231829754</v>
      </c>
      <c r="GD19" s="64">
        <f t="shared" si="74"/>
        <v>133.3053281026593</v>
      </c>
      <c r="GE19" s="80" t="str" cm="1">
        <f t="array" ref="GE19">IF(ISBLANK(INDEX(FX_Input,$KB19+1,GE$85)),INDEX(FX_Input,$KB19,GE$85),INDEX(FX_Input,$KB19,GE$85)&amp;" &amp; "&amp;INDEX(FX_Input,$KB19+1,GE$85))</f>
        <v>Jet kerosene</v>
      </c>
      <c r="GF19" s="63" cm="1">
        <f t="array" ref="GF19">INDEX(FX_Temps,$KC19+7,GF$89)</f>
        <v>13.929999999999993</v>
      </c>
      <c r="GG19" s="63" cm="1">
        <f t="array" ref="GG19">INDEX(FX_Temps,$KC19+13,GG$89)+459.6</f>
        <v>514.05180000000007</v>
      </c>
      <c r="GH19" s="63" cm="1">
        <f t="array" ref="GH19">INDEX(FX_Vap,$KG19,GH$91)-INDEX(FX_Vap,$KH19,GH$91)</f>
        <v>1.3347759158748732E-3</v>
      </c>
      <c r="GI19" s="73" cm="1">
        <f t="array" ref="GI19">IF(GE19="Out of Service",0,INDEX(FX_Vap,$KI19,GI$91))</f>
        <v>6.8218393379121701E-3</v>
      </c>
      <c r="GJ19" s="63">
        <f t="shared" si="75"/>
        <v>2.3105751925026341E-2</v>
      </c>
      <c r="GK19" s="63">
        <f t="shared" si="76"/>
        <v>0.9923754833433297</v>
      </c>
      <c r="GL19" s="63" cm="1">
        <f t="array" ref="GL19">INDEX(FX_Vap,$KJ19,GL$91)</f>
        <v>130</v>
      </c>
      <c r="GM19" s="63" cm="1">
        <f t="array" ref="GM19">INDEX(FX_Temps,$KD19,GM$89)+459.6</f>
        <v>514.05180000000007</v>
      </c>
      <c r="GN19" s="63">
        <f t="shared" si="77"/>
        <v>1.6076731562400743E-4</v>
      </c>
      <c r="GO19" s="63" cm="1">
        <f t="array" ref="GO19">INDEX(Month_Ref,GO$83,3)*GJ19*(PI()/4*$F19^2)*$H19*GK19*GN19</f>
        <v>27.464196308508576</v>
      </c>
      <c r="GP19" s="63" cm="1">
        <f t="array" ref="GP19">INDEX(FX_Input,$KB19,GP$85)</f>
        <v>80568</v>
      </c>
      <c r="GQ19" s="63">
        <f t="shared" si="78"/>
        <v>452308.75199999998</v>
      </c>
      <c r="GR19" s="63">
        <f t="shared" si="79"/>
        <v>1.0524440597152953</v>
      </c>
      <c r="GS19" s="63">
        <f t="shared" si="80"/>
        <v>1</v>
      </c>
      <c r="GT19" s="63" cm="1">
        <f t="array" ref="GT19">IF(OR(INDEX(FX_Vap,$KK19,GT$90)="Crude Oil",(INDEX(FX_Vap,$KL19,GT$90)="Crude Oil")),0.75,1)</f>
        <v>1</v>
      </c>
      <c r="GU19" s="63">
        <f t="shared" si="117"/>
        <v>1</v>
      </c>
      <c r="GV19" s="63">
        <f t="shared" si="81"/>
        <v>72.716463892284892</v>
      </c>
      <c r="GW19" s="64">
        <f t="shared" si="82"/>
        <v>100.18066020079347</v>
      </c>
      <c r="GX19" s="80" t="str" cm="1">
        <f t="array" ref="GX19">IF(ISBLANK(INDEX(FX_Input,$KB19+1,GX$85)),INDEX(FX_Input,$KB19,GX$85),INDEX(FX_Input,$KB19,GX$85)&amp;" &amp; "&amp;INDEX(FX_Input,$KB19+1,GX$85))</f>
        <v>Jet kerosene</v>
      </c>
      <c r="GY19" s="63" cm="1">
        <f t="array" ref="GY19">INDEX(FX_Temps,$KC19+7,GY$89)</f>
        <v>10.495000000000031</v>
      </c>
      <c r="GZ19" s="63" cm="1">
        <f t="array" ref="GZ19">INDEX(FX_Temps,$KC19+13,GZ$89)+459.6</f>
        <v>507.66772500000002</v>
      </c>
      <c r="HA19" s="63" cm="1">
        <f t="array" ref="HA19">INDEX(FX_Vap,$KG19,HA$91)-INDEX(FX_Vap,$KH19,HA$91)</f>
        <v>9.195178026090425E-4</v>
      </c>
      <c r="HB19" s="73" cm="1">
        <f t="array" ref="HB19">IF(GX19="Out of Service",0,INDEX(FX_Vap,$KI19,HB$91))</f>
        <v>5.4827140055800742E-3</v>
      </c>
      <c r="HC19" s="63">
        <f t="shared" si="83"/>
        <v>1.6652390699251968E-2</v>
      </c>
      <c r="HD19" s="63">
        <f t="shared" si="84"/>
        <v>0.99386298882234003</v>
      </c>
      <c r="HE19" s="63" cm="1">
        <f t="array" ref="HE19">INDEX(FX_Vap,$KJ19,HE$91)</f>
        <v>130</v>
      </c>
      <c r="HF19" s="63" cm="1">
        <f t="array" ref="HF19">INDEX(FX_Temps,$KD19,HF$89)+459.6</f>
        <v>507.66772500000002</v>
      </c>
      <c r="HG19" s="63">
        <f t="shared" si="85"/>
        <v>1.3083357117100054E-4</v>
      </c>
      <c r="HH19" s="63" cm="1">
        <f t="array" ref="HH19">INDEX(Month_Ref,HH$83,3)*HC19*(PI()/4*$F19^2)*$H19*HD19*HG19</f>
        <v>15.611867909117516</v>
      </c>
      <c r="HI19" s="63" cm="1">
        <f t="array" ref="HI19">INDEX(FX_Input,$KB19,HI$85)</f>
        <v>80568</v>
      </c>
      <c r="HJ19" s="63">
        <f t="shared" si="86"/>
        <v>452308.75199999998</v>
      </c>
      <c r="HK19" s="63">
        <f t="shared" si="87"/>
        <v>1.0524440597152953</v>
      </c>
      <c r="HL19" s="63">
        <f t="shared" si="88"/>
        <v>1</v>
      </c>
      <c r="HM19" s="63" cm="1">
        <f t="array" ref="HM19">IF(OR(INDEX(FX_Vap,$KK19,HM$90)="Crude Oil",(INDEX(FX_Vap,$KL19,HM$90)="Crude Oil")),0.75,1)</f>
        <v>1</v>
      </c>
      <c r="HN19" s="63">
        <f t="shared" si="118"/>
        <v>1</v>
      </c>
      <c r="HO19" s="63">
        <f t="shared" si="89"/>
        <v>59.17716929605843</v>
      </c>
      <c r="HP19" s="64">
        <f t="shared" si="90"/>
        <v>74.789037205175944</v>
      </c>
      <c r="HQ19" s="80" t="str" cm="1">
        <f t="array" ref="HQ19">IF(ISBLANK(INDEX(FX_Input,$KB19+1,HQ$85)),INDEX(FX_Input,$KB19,HQ$85),INDEX(FX_Input,$KB19,HQ$85)&amp;" &amp; "&amp;INDEX(FX_Input,$KB19+1,HQ$85))</f>
        <v>Jet kerosene</v>
      </c>
      <c r="HR19" s="63" cm="1">
        <f t="array" ref="HR19">INDEX(FX_Temps,$KC19+7,HR$89)</f>
        <v>8.51</v>
      </c>
      <c r="HS19" s="63" cm="1">
        <f t="array" ref="HS19">INDEX(FX_Temps,$KC19+13,HS$89)+459.6</f>
        <v>503.94745000000006</v>
      </c>
      <c r="HT19" s="63" cm="1">
        <f t="array" ref="HT19">INDEX(FX_Vap,$KG19,HT$91)-INDEX(FX_Vap,$KH19,HT$91)</f>
        <v>6.7288136336403261E-4</v>
      </c>
      <c r="HU19" s="73" cm="1">
        <f t="array" ref="HU19">IF(HQ19="Out of Service",0,INDEX(FX_Vap,$KI19,HU$91))</f>
        <v>4.8148298503950734E-3</v>
      </c>
      <c r="HV19" s="63">
        <f t="shared" si="91"/>
        <v>1.2849500592893781E-2</v>
      </c>
      <c r="HW19" s="63">
        <f t="shared" si="92"/>
        <v>0.99460654498095313</v>
      </c>
      <c r="HX19" s="63" cm="1">
        <f t="array" ref="HX19">INDEX(FX_Vap,$KJ19,HX$91)</f>
        <v>130</v>
      </c>
      <c r="HY19" s="63" cm="1">
        <f t="array" ref="HY19">INDEX(FX_Temps,$KD19,HY$89)+459.6</f>
        <v>503.94745000000006</v>
      </c>
      <c r="HZ19" s="63">
        <f t="shared" si="93"/>
        <v>1.1574409666728695E-4</v>
      </c>
      <c r="IA19" s="63" cm="1">
        <f t="array" ref="IA19">INDEX(Month_Ref,IA$83,3)*HV19*(PI()/4*$F19^2)*$H19*HW19*HZ19</f>
        <v>11.020705902553273</v>
      </c>
      <c r="IB19" s="63" cm="1">
        <f t="array" ref="IB19">INDEX(FX_Input,$KB19,IB$85)</f>
        <v>80568</v>
      </c>
      <c r="IC19" s="63">
        <f t="shared" si="94"/>
        <v>452308.75199999998</v>
      </c>
      <c r="ID19" s="63">
        <f t="shared" si="95"/>
        <v>1.0524440597152953</v>
      </c>
      <c r="IE19" s="63">
        <f t="shared" si="96"/>
        <v>1</v>
      </c>
      <c r="IF19" s="63" cm="1">
        <f t="array" ref="IF19">IF(OR(INDEX(FX_Vap,$KK19,IF$90)="Crude Oil",(INDEX(FX_Vap,$KL19,IF$90)="Crude Oil")),0.75,1)</f>
        <v>1</v>
      </c>
      <c r="IG19" s="63">
        <f t="shared" si="119"/>
        <v>1</v>
      </c>
      <c r="IH19" s="63">
        <f t="shared" si="97"/>
        <v>52.352067914947916</v>
      </c>
      <c r="II19" s="64">
        <f t="shared" si="98"/>
        <v>63.372773817501191</v>
      </c>
      <c r="IJ19" s="80">
        <f t="shared" si="99"/>
        <v>346.55951032276664</v>
      </c>
      <c r="IK19" s="63">
        <f t="shared" si="100"/>
        <v>0.17327975516138333</v>
      </c>
      <c r="IL19" s="63">
        <f t="shared" si="101"/>
        <v>877.85499090684357</v>
      </c>
      <c r="IM19" s="63">
        <f t="shared" si="102"/>
        <v>0.4389274954534218</v>
      </c>
      <c r="IN19" s="63">
        <f t="shared" si="103"/>
        <v>1224.4145012296101</v>
      </c>
      <c r="IO19" s="64">
        <f t="shared" si="104"/>
        <v>0.61220725061480508</v>
      </c>
      <c r="KB19" s="43">
        <f t="shared" si="120"/>
        <v>17</v>
      </c>
      <c r="KC19" s="43">
        <f t="shared" si="121"/>
        <v>113</v>
      </c>
      <c r="KD19" s="43">
        <f t="shared" si="122"/>
        <v>126</v>
      </c>
      <c r="KE19" s="43">
        <f t="shared" si="123"/>
        <v>113</v>
      </c>
      <c r="KF19" s="43">
        <f t="shared" si="124"/>
        <v>273</v>
      </c>
      <c r="KG19" s="43">
        <f t="shared" si="125"/>
        <v>296</v>
      </c>
      <c r="KH19" s="43">
        <f t="shared" si="126"/>
        <v>291</v>
      </c>
      <c r="KI19" s="43">
        <f t="shared" si="105"/>
        <v>301</v>
      </c>
      <c r="KJ19" s="43">
        <f t="shared" si="105"/>
        <v>306</v>
      </c>
      <c r="KK19" s="43">
        <f t="shared" si="127"/>
        <v>277</v>
      </c>
      <c r="KL19" s="43">
        <f t="shared" si="128"/>
        <v>279</v>
      </c>
    </row>
    <row r="20" spans="2:298" x14ac:dyDescent="0.4">
      <c r="B20" s="43" t="str" cm="1">
        <f t="array" ref="B20">INDEX(FX_Input,$KB20,B$85)</f>
        <v>FX - 10</v>
      </c>
      <c r="C20" s="93" t="str" cm="1">
        <f t="array" ref="C20">INDEX(FX_Input,$KB20,C$85)</f>
        <v>FIXTANK 110</v>
      </c>
      <c r="D20" s="80">
        <f t="shared" si="0"/>
        <v>32438.580394488356</v>
      </c>
      <c r="E20" s="63" cm="1">
        <f t="array" ref="E20">IF(ISBLANK(INDEX(FX_Input,$KB20,$E$85)),0.03,INDEX(FX_Input,$KB20,$E$85))-IF(ISBLANK(INDEX(FX_Input,$KB20,$E$86)),-0.03,INDEX(FX_Input,$KB20,$E$86))</f>
        <v>0.06</v>
      </c>
      <c r="F20" s="63" cm="1">
        <f t="array" ref="F20">IF(INDEX(FX_Input,$KB20,F$85)="Vertical",INDEX(FX_Input,$KB20,F$86),SQRT((INDEX(FX_Input,$KB20,F$86)*INDEX(FX_Input,$KB20,F$87))/(PI()/4)))</f>
        <v>50</v>
      </c>
      <c r="G20" s="63" cm="1">
        <f t="array" ref="G20">IF(INDEX(FX_Input,$KB20,G$85)="Vertical",INDEX(FX_Input,$KB20,G$86),INDEX(FX_Input,$KB20,G$87)*PI()/4)</f>
        <v>32</v>
      </c>
      <c r="H20" s="63" cm="1">
        <f t="array" ref="H20">IF(INDEX(FX_Input,$KB20,H$85)="Vertical",G20-G20/2+J20,G20/2)</f>
        <v>16.520833333333332</v>
      </c>
      <c r="I20" s="63" cm="1">
        <f t="array" ref="I20">IF(INDEX(FX_Input,$KB20,F$85)="Horizontal","N/A",IF(INDEX(FX_Input,$KB20,I$86)="Cone",IF(ISBLANK(INDEX(FX_Input,$KB20,I$87)),0.0625,INDEX(FX_Input,$KB20,I$87))*F20/2,F20/2-SQRT((F20/2)^2-(INDEX(FX_Input,$KB20,I$88)^2))))</f>
        <v>1.5625</v>
      </c>
      <c r="J20" s="63" cm="1">
        <f t="array" ref="J20">IF(INDEX(FX_Input,$KB20,J$85)="Horizontal","N/A",IF(INDEX(FX_Input,$KB20,J$86)="Cone",I20/3,I20*(1/2+(1/6)*(I20/(F20/2))^2)))</f>
        <v>0.52083333333333337</v>
      </c>
      <c r="K20" s="63">
        <f t="shared" si="1"/>
        <v>31</v>
      </c>
      <c r="L20" s="63">
        <v>1</v>
      </c>
      <c r="M20" s="63" t="str" cm="1">
        <f t="array" ref="M20">INDEX(Tbl_71_6,MATCH(INDEX(FX_Input,$KB20,M$85),Paint_Color,0),VLOOKUP(INDEX(FX_Input,$KB20,M$86),Paint_Cond_Column,2,FALSE))</f>
        <v>N/A</v>
      </c>
      <c r="N20" s="63" t="str" cm="1">
        <f t="array" ref="N20">INDEX(Tbl_71_6,MATCH(INDEX(FX_Input,$KB20,N$85),Paint_Color,0),VLOOKUP(INDEX(FX_Input,$KB20,N$86),Paint_Cond_Column,2,FALSE))</f>
        <v>N/A</v>
      </c>
      <c r="O20" s="64" t="str">
        <f t="shared" si="2"/>
        <v>Insulated</v>
      </c>
      <c r="P20" s="80" t="str" cm="1">
        <f t="array" ref="P20">IF(ISBLANK(INDEX(FX_Input,$KB20+1,P$85)),INDEX(FX_Input,$KB20,P$85),INDEX(FX_Input,$KB20,P$85)&amp;" &amp; "&amp;INDEX(FX_Input,$KB20+1,P$85))</f>
        <v>Jet kerosene</v>
      </c>
      <c r="Q20" s="63" cm="1">
        <f t="array" ref="Q20">INDEX(FX_Temps,$KC20+7,Q$89)</f>
        <v>0</v>
      </c>
      <c r="R20" s="63" cm="1">
        <f t="array" ref="R20">INDEX(FX_Temps,$KC20+13,R$89)+459.6</f>
        <v>503.5</v>
      </c>
      <c r="S20" s="63" cm="1">
        <f t="array" ref="S20">INDEX(FX_Vap,$KG20,S$91)-INDEX(FX_Vap,$KH20,S$91)</f>
        <v>0</v>
      </c>
      <c r="T20" s="73" cm="1">
        <f t="array" ref="T20">IF(P20="Out of Service",0,INDEX(FX_Vap,$KI20,T$91))</f>
        <v>4.739577185808354E-3</v>
      </c>
      <c r="U20" s="63">
        <f t="shared" si="3"/>
        <v>0</v>
      </c>
      <c r="V20" s="63">
        <f t="shared" si="4"/>
        <v>0.99586715773653067</v>
      </c>
      <c r="W20" s="63" cm="1">
        <f t="array" ref="W20">INDEX(FX_Vap,$KJ20,W$91)</f>
        <v>130</v>
      </c>
      <c r="X20" s="63" cm="1">
        <f t="array" ref="X20">INDEX(FX_Temps,$KD20,X$89)+459.6</f>
        <v>503.5</v>
      </c>
      <c r="Y20" s="63">
        <f t="shared" si="5"/>
        <v>1.1403634333314844E-4</v>
      </c>
      <c r="Z20" s="63" cm="1">
        <f t="array" ref="Z20">INDEX(Month_Ref,Z$83,3)*U20*(PI()/4*$F20^2)*$H20*V20*Y20</f>
        <v>0</v>
      </c>
      <c r="AA20" s="63" cm="1">
        <f t="array" ref="AA20">INDEX(FX_Input,$KB20,AA$85)</f>
        <v>11119</v>
      </c>
      <c r="AB20" s="63">
        <f t="shared" si="6"/>
        <v>62422.065999999999</v>
      </c>
      <c r="AC20" s="63">
        <f t="shared" si="7"/>
        <v>1.0597099052702437</v>
      </c>
      <c r="AD20" s="63">
        <f t="shared" si="8"/>
        <v>1</v>
      </c>
      <c r="AE20" s="63" cm="1">
        <f t="array" ref="AE20">IF(OR(INDEX(FX_Vap,$KK20,AE$90)="Crude Oil",(INDEX(FX_Vap,$KL20,AE$90)="Crude Oil")),0.75,1)</f>
        <v>1</v>
      </c>
      <c r="AF20" s="63">
        <f t="shared" si="108"/>
        <v>1</v>
      </c>
      <c r="AG20" s="63">
        <f t="shared" si="9"/>
        <v>7.1183841499404519</v>
      </c>
      <c r="AH20" s="64">
        <f t="shared" si="10"/>
        <v>7.1183841499404519</v>
      </c>
      <c r="AI20" s="80" t="str" cm="1">
        <f t="array" ref="AI20">IF(ISBLANK(INDEX(FX_Input,$KB20+1,AI$85)),INDEX(FX_Input,$KB20,AI$85),INDEX(FX_Input,$KB20,AI$85)&amp;" &amp; "&amp;INDEX(FX_Input,$KB20+1,AI$85))</f>
        <v>Jet kerosene</v>
      </c>
      <c r="AJ20" s="63" cm="1">
        <f t="array" ref="AJ20">INDEX(FX_Temps,$KC20+7,AJ$89)</f>
        <v>0</v>
      </c>
      <c r="AK20" s="63" cm="1">
        <f t="array" ref="AK20">INDEX(FX_Temps,$KC20+13,AK$89)+459.6</f>
        <v>504.30000000000007</v>
      </c>
      <c r="AL20" s="63" cm="1">
        <f t="array" ref="AL20">INDEX(FX_Vap,$KG20,AL$91)-INDEX(FX_Vap,$KH20,AL$91)</f>
        <v>0</v>
      </c>
      <c r="AM20" s="73" cm="1">
        <f t="array" ref="AM20">IF(AI20="Out of Service",0,INDEX(FX_Vap,$KI20,AM$91))</f>
        <v>4.8748667780818778E-3</v>
      </c>
      <c r="AN20" s="63">
        <f t="shared" si="11"/>
        <v>0</v>
      </c>
      <c r="AO20" s="63">
        <f t="shared" si="12"/>
        <v>0.99574968859445367</v>
      </c>
      <c r="AP20" s="63" cm="1">
        <f t="array" ref="AP20">INDEX(FX_Vap,$KJ20,AP$91)</f>
        <v>130</v>
      </c>
      <c r="AQ20" s="63" cm="1">
        <f t="array" ref="AQ20">INDEX(FX_Temps,$KD20,AQ$89)+459.6</f>
        <v>504.30000000000007</v>
      </c>
      <c r="AR20" s="63">
        <f t="shared" si="13"/>
        <v>1.1710540514572422E-4</v>
      </c>
      <c r="AS20" s="63" cm="1">
        <f t="array" ref="AS20">INDEX(Month_Ref,AS$83,3)*AN20*(PI()/4*$F20^2)*$H20*AO20*AR20</f>
        <v>0</v>
      </c>
      <c r="AT20" s="63" cm="1">
        <f t="array" ref="AT20">INDEX(FX_Input,$KB20,AT$85)</f>
        <v>11119</v>
      </c>
      <c r="AU20" s="63">
        <f t="shared" si="14"/>
        <v>62422.065999999999</v>
      </c>
      <c r="AV20" s="63">
        <f t="shared" si="15"/>
        <v>1.0597099052702437</v>
      </c>
      <c r="AW20" s="63">
        <f t="shared" si="16"/>
        <v>1</v>
      </c>
      <c r="AX20" s="63" cm="1">
        <f t="array" ref="AX20">IF(OR(INDEX(FX_Vap,$KK20,AX$90)="Crude Oil",(INDEX(FX_Vap,$KL20,AX$90)="Crude Oil")),0.75,1)</f>
        <v>1</v>
      </c>
      <c r="AY20" s="63">
        <f t="shared" si="109"/>
        <v>1</v>
      </c>
      <c r="AZ20" s="63">
        <f t="shared" si="17"/>
        <v>7.3099613289631362</v>
      </c>
      <c r="BA20" s="64">
        <f t="shared" si="18"/>
        <v>7.3099613289631362</v>
      </c>
      <c r="BB20" s="80" t="str" cm="1">
        <f t="array" ref="BB20">IF(ISBLANK(INDEX(FX_Input,$KB20+1,BB$85)),INDEX(FX_Input,$KB20,BB$85),INDEX(FX_Input,$KB20,BB$85)&amp;" &amp; "&amp;INDEX(FX_Input,$KB20+1,BB$85))</f>
        <v>Jet kerosene</v>
      </c>
      <c r="BC20" s="63" cm="1">
        <f t="array" ref="BC20">INDEX(FX_Temps,$KC20+7,BC$89)</f>
        <v>0</v>
      </c>
      <c r="BD20" s="63" cm="1">
        <f t="array" ref="BD20">INDEX(FX_Temps,$KC20+13,BD$89)+459.6</f>
        <v>505.70000000000005</v>
      </c>
      <c r="BE20" s="63" cm="1">
        <f t="array" ref="BE20">INDEX(FX_Vap,$KG20,BE$91)-INDEX(FX_Vap,$KH20,BE$91)</f>
        <v>0</v>
      </c>
      <c r="BF20" s="73" cm="1">
        <f t="array" ref="BF20">IF(BB20="Out of Service",0,INDEX(FX_Vap,$KI20,BF$91))</f>
        <v>5.119885034186122E-3</v>
      </c>
      <c r="BG20" s="63">
        <f t="shared" si="19"/>
        <v>0</v>
      </c>
      <c r="BH20" s="63">
        <f t="shared" si="20"/>
        <v>0.99553701486087187</v>
      </c>
      <c r="BI20" s="63" cm="1">
        <f t="array" ref="BI20">INDEX(FX_Vap,$KJ20,BI$91)</f>
        <v>130</v>
      </c>
      <c r="BJ20" s="63" cm="1">
        <f t="array" ref="BJ20">INDEX(FX_Temps,$KD20,BJ$89)+459.6</f>
        <v>505.70000000000005</v>
      </c>
      <c r="BK20" s="63">
        <f t="shared" si="21"/>
        <v>1.226508078051294E-4</v>
      </c>
      <c r="BL20" s="63" cm="1">
        <f t="array" ref="BL20">INDEX(Month_Ref,BL$83,3)*BG20*(PI()/4*$F20^2)*$H20*BH20*BK20</f>
        <v>0</v>
      </c>
      <c r="BM20" s="63" cm="1">
        <f t="array" ref="BM20">INDEX(FX_Input,$KB20,BM$85)</f>
        <v>11119</v>
      </c>
      <c r="BN20" s="63">
        <f t="shared" si="22"/>
        <v>62422.065999999999</v>
      </c>
      <c r="BO20" s="63">
        <f t="shared" si="23"/>
        <v>1.0597099052702437</v>
      </c>
      <c r="BP20" s="63">
        <f t="shared" si="24"/>
        <v>1</v>
      </c>
      <c r="BQ20" s="63" cm="1">
        <f t="array" ref="BQ20">IF(OR(INDEX(FX_Vap,$KK20,BQ$90)="Crude Oil",(INDEX(FX_Vap,$KL20,BQ$90)="Crude Oil")),0.75,1)</f>
        <v>1</v>
      </c>
      <c r="BR20" s="63">
        <f t="shared" si="110"/>
        <v>1</v>
      </c>
      <c r="BS20" s="63">
        <f t="shared" si="25"/>
        <v>7.6561168197651028</v>
      </c>
      <c r="BT20" s="64">
        <f t="shared" si="26"/>
        <v>7.6561168197651028</v>
      </c>
      <c r="BU20" s="80" t="str" cm="1">
        <f t="array" ref="BU20">IF(ISBLANK(INDEX(FX_Input,$KB20+1,BU$85)),INDEX(FX_Input,$KB20,BU$85),INDEX(FX_Input,$KB20,BU$85)&amp;" &amp; "&amp;INDEX(FX_Input,$KB20+1,BU$85))</f>
        <v>Jet kerosene</v>
      </c>
      <c r="BV20" s="63" cm="1">
        <f t="array" ref="BV20">INDEX(FX_Temps,$KC20+7,BV$89)</f>
        <v>0</v>
      </c>
      <c r="BW20" s="63" cm="1">
        <f t="array" ref="BW20">INDEX(FX_Temps,$KC20+13,BW$89)+459.6</f>
        <v>508.2</v>
      </c>
      <c r="BX20" s="63" cm="1">
        <f t="array" ref="BX20">INDEX(FX_Vap,$KG20,BX$91)-INDEX(FX_Vap,$KH20,BX$91)</f>
        <v>0</v>
      </c>
      <c r="BY20" s="73" cm="1">
        <f t="array" ref="BY20">IF(BU20="Out of Service",0,INDEX(FX_Vap,$KI20,BY$91))</f>
        <v>5.5846958573521795E-3</v>
      </c>
      <c r="BZ20" s="63">
        <f t="shared" si="27"/>
        <v>0</v>
      </c>
      <c r="CA20" s="63">
        <f t="shared" si="28"/>
        <v>0.99513381261115885</v>
      </c>
      <c r="CB20" s="63" cm="1">
        <f t="array" ref="CB20">INDEX(FX_Vap,$KJ20,CB$91)</f>
        <v>130</v>
      </c>
      <c r="CC20" s="63" cm="1">
        <f t="array" ref="CC20">INDEX(FX_Temps,$KD20,CC$89)+459.6</f>
        <v>508.2</v>
      </c>
      <c r="CD20" s="63">
        <f t="shared" si="29"/>
        <v>1.3312757561120781E-4</v>
      </c>
      <c r="CE20" s="63" cm="1">
        <f t="array" ref="CE20">INDEX(Month_Ref,CE$83,3)*BZ20*(PI()/4*$F20^2)*$H20*CA20*CD20</f>
        <v>0</v>
      </c>
      <c r="CF20" s="63" cm="1">
        <f t="array" ref="CF20">INDEX(FX_Input,$KB20,CF$85)</f>
        <v>11119</v>
      </c>
      <c r="CG20" s="63">
        <f t="shared" si="30"/>
        <v>62422.065999999999</v>
      </c>
      <c r="CH20" s="63">
        <f t="shared" si="31"/>
        <v>1.0597099052702437</v>
      </c>
      <c r="CI20" s="63">
        <f t="shared" si="32"/>
        <v>1</v>
      </c>
      <c r="CJ20" s="63" cm="1">
        <f t="array" ref="CJ20">IF(OR(INDEX(FX_Vap,$KK20,CJ$90)="Crude Oil",(INDEX(FX_Vap,$KL20,CJ$90)="Crude Oil")),0.75,1)</f>
        <v>1</v>
      </c>
      <c r="CK20" s="63">
        <f t="shared" si="111"/>
        <v>1</v>
      </c>
      <c r="CL20" s="63">
        <f t="shared" si="33"/>
        <v>8.310098311222804</v>
      </c>
      <c r="CM20" s="64">
        <f t="shared" si="34"/>
        <v>8.310098311222804</v>
      </c>
      <c r="CN20" s="80" t="str" cm="1">
        <f t="array" ref="CN20">IF(ISBLANK(INDEX(FX_Input,$KB20+1,CN$85)),INDEX(FX_Input,$KB20,CN$85),INDEX(FX_Input,$KB20,CN$85)&amp;" &amp; "&amp;INDEX(FX_Input,$KB20+1,CN$85))</f>
        <v>Jet kerosene</v>
      </c>
      <c r="CO20" s="63" cm="1">
        <f t="array" ref="CO20">INDEX(FX_Temps,$KC20+7,CO$89)</f>
        <v>0</v>
      </c>
      <c r="CP20" s="63" cm="1">
        <f t="array" ref="CP20">INDEX(FX_Temps,$KC20+13,CP$89)+459.6</f>
        <v>512.75</v>
      </c>
      <c r="CQ20" s="63" cm="1">
        <f t="array" ref="CQ20">INDEX(FX_Vap,$KG20,CQ$91)-INDEX(FX_Vap,$KH20,CQ$91)</f>
        <v>0</v>
      </c>
      <c r="CR20" s="73" cm="1">
        <f t="array" ref="CR20">IF(CN20="Out of Service",0,INDEX(FX_Vap,$KI20,CR$91))</f>
        <v>6.5274070972739821E-3</v>
      </c>
      <c r="CS20" s="63">
        <f t="shared" si="35"/>
        <v>0</v>
      </c>
      <c r="CT20" s="63">
        <f t="shared" si="36"/>
        <v>0.99431705558981132</v>
      </c>
      <c r="CU20" s="63" cm="1">
        <f t="array" ref="CU20">INDEX(FX_Vap,$KJ20,CU$91)</f>
        <v>130</v>
      </c>
      <c r="CV20" s="63" cm="1">
        <f t="array" ref="CV20">INDEX(FX_Temps,$KD20,CV$89)+459.6</f>
        <v>512.75</v>
      </c>
      <c r="CW20" s="63">
        <f t="shared" si="37"/>
        <v>1.5421910831991609E-4</v>
      </c>
      <c r="CX20" s="63" cm="1">
        <f t="array" ref="CX20">INDEX(Month_Ref,CX$83,3)*CS20*(PI()/4*$F20^2)*$H20*CT20*CW20</f>
        <v>0</v>
      </c>
      <c r="CY20" s="63" cm="1">
        <f t="array" ref="CY20">INDEX(FX_Input,$KB20,CY$85)</f>
        <v>11119</v>
      </c>
      <c r="CZ20" s="63">
        <f t="shared" si="38"/>
        <v>62422.065999999999</v>
      </c>
      <c r="DA20" s="63">
        <f t="shared" si="39"/>
        <v>1.0597099052702437</v>
      </c>
      <c r="DB20" s="63">
        <f t="shared" si="40"/>
        <v>1</v>
      </c>
      <c r="DC20" s="63" cm="1">
        <f t="array" ref="DC20">IF(OR(INDEX(FX_Vap,$KK20,DC$90)="Crude Oil",(INDEX(FX_Vap,$KL20,DC$90)="Crude Oil")),0.75,1)</f>
        <v>1</v>
      </c>
      <c r="DD20" s="63">
        <f t="shared" si="112"/>
        <v>1</v>
      </c>
      <c r="DE20" s="63">
        <f t="shared" si="41"/>
        <v>9.6266753580069508</v>
      </c>
      <c r="DF20" s="64">
        <f t="shared" si="42"/>
        <v>9.6266753580069508</v>
      </c>
      <c r="DG20" s="80" t="str" cm="1">
        <f t="array" ref="DG20">IF(ISBLANK(INDEX(FX_Input,$KB20+1,DG$85)),INDEX(FX_Input,$KB20,DG$85),INDEX(FX_Input,$KB20,DG$85)&amp;" &amp; "&amp;INDEX(FX_Input,$KB20+1,DG$85))</f>
        <v>Jet kerosene</v>
      </c>
      <c r="DH20" s="63" cm="1">
        <f t="array" ref="DH20">INDEX(FX_Temps,$KC20+7,DH$89)</f>
        <v>0</v>
      </c>
      <c r="DI20" s="63" cm="1">
        <f t="array" ref="DI20">INDEX(FX_Temps,$KC20+13,DI$89)+459.6</f>
        <v>516.55000000000007</v>
      </c>
      <c r="DJ20" s="63" cm="1">
        <f t="array" ref="DJ20">INDEX(FX_Vap,$KG20,DJ$91)-INDEX(FX_Vap,$KH20,DJ$91)</f>
        <v>0</v>
      </c>
      <c r="DK20" s="73" cm="1">
        <f t="array" ref="DK20">IF(DG20="Out of Service",0,INDEX(FX_Vap,$KI20,DK$91))</f>
        <v>7.4199539958878279E-3</v>
      </c>
      <c r="DL20" s="63">
        <f t="shared" si="43"/>
        <v>0</v>
      </c>
      <c r="DM20" s="63">
        <f t="shared" si="44"/>
        <v>0.99354499516087591</v>
      </c>
      <c r="DN20" s="63" cm="1">
        <f t="array" ref="DN20">INDEX(FX_Vap,$KJ20,DN$91)</f>
        <v>130</v>
      </c>
      <c r="DO20" s="63" cm="1">
        <f t="array" ref="DO20">INDEX(FX_Temps,$KD20,DO$89)+459.6</f>
        <v>516.55000000000007</v>
      </c>
      <c r="DP20" s="63">
        <f t="shared" si="45"/>
        <v>1.7401713099147103E-4</v>
      </c>
      <c r="DQ20" s="63" cm="1">
        <f t="array" ref="DQ20">INDEX(Month_Ref,DQ$83,3)*DL20*(PI()/4*$F20^2)*$H20*DM20*DP20</f>
        <v>0</v>
      </c>
      <c r="DR20" s="63" cm="1">
        <f t="array" ref="DR20">INDEX(FX_Input,$KB20,DR$85)</f>
        <v>11119</v>
      </c>
      <c r="DS20" s="63">
        <f t="shared" si="46"/>
        <v>62422.065999999999</v>
      </c>
      <c r="DT20" s="63">
        <f t="shared" si="47"/>
        <v>1.0597099052702437</v>
      </c>
      <c r="DU20" s="63">
        <f t="shared" si="48"/>
        <v>1</v>
      </c>
      <c r="DV20" s="63" cm="1">
        <f t="array" ref="DV20">IF(OR(INDEX(FX_Vap,$KK20,DV$90)="Crude Oil",(INDEX(FX_Vap,$KL20,DV$90)="Crude Oil")),0.75,1)</f>
        <v>1</v>
      </c>
      <c r="DW20" s="63">
        <f t="shared" si="113"/>
        <v>1</v>
      </c>
      <c r="DX20" s="63">
        <f t="shared" si="49"/>
        <v>10.86250883588025</v>
      </c>
      <c r="DY20" s="64">
        <f t="shared" si="50"/>
        <v>10.86250883588025</v>
      </c>
      <c r="DZ20" s="80" t="str" cm="1">
        <f t="array" ref="DZ20">IF(ISBLANK(INDEX(FX_Input,$KB20+1,DZ$85)),INDEX(FX_Input,$KB20,DZ$85),INDEX(FX_Input,$KB20,DZ$85)&amp;" &amp; "&amp;INDEX(FX_Input,$KB20+1,DZ$85))</f>
        <v>Jet kerosene</v>
      </c>
      <c r="EA20" s="63" cm="1">
        <f t="array" ref="EA20">INDEX(FX_Temps,$KC20+7,EA$89)</f>
        <v>0</v>
      </c>
      <c r="EB20" s="63" cm="1">
        <f t="array" ref="EB20">INDEX(FX_Temps,$KC20+13,EB$89)+459.6</f>
        <v>520.04999999999995</v>
      </c>
      <c r="EC20" s="63" cm="1">
        <f t="array" ref="EC20">INDEX(FX_Vap,$KG20,EC$91)-INDEX(FX_Vap,$KH20,EC$91)</f>
        <v>0</v>
      </c>
      <c r="ED20" s="73" cm="1">
        <f t="array" ref="ED20">IF(DZ20="Out of Service",0,INDEX(FX_Vap,$KI20,ED$91))</f>
        <v>8.3358107202842254E-3</v>
      </c>
      <c r="EE20" s="63">
        <f t="shared" si="51"/>
        <v>0</v>
      </c>
      <c r="EF20" s="63">
        <f t="shared" si="52"/>
        <v>0.99275401689383047</v>
      </c>
      <c r="EG20" s="63" cm="1">
        <f t="array" ref="EG20">INDEX(FX_Vap,$KJ20,EG$91)</f>
        <v>130</v>
      </c>
      <c r="EH20" s="63" cm="1">
        <f t="array" ref="EH20">INDEX(FX_Temps,$KD20,EH$89)+459.6</f>
        <v>520.04999999999995</v>
      </c>
      <c r="EI20" s="63">
        <f t="shared" si="53"/>
        <v>1.9418062801892895E-4</v>
      </c>
      <c r="EJ20" s="63" cm="1">
        <f t="array" ref="EJ20">INDEX(Month_Ref,EJ$83,3)*EE20*(PI()/4*$F20^2)*$H20*EF20*EI20</f>
        <v>0</v>
      </c>
      <c r="EK20" s="63" cm="1">
        <f t="array" ref="EK20">INDEX(FX_Input,$KB20,EK$85)</f>
        <v>11119</v>
      </c>
      <c r="EL20" s="63">
        <f t="shared" si="54"/>
        <v>62422.065999999999</v>
      </c>
      <c r="EM20" s="63">
        <f t="shared" si="55"/>
        <v>1.0597099052702437</v>
      </c>
      <c r="EN20" s="63">
        <f t="shared" si="56"/>
        <v>1</v>
      </c>
      <c r="EO20" s="63" cm="1">
        <f t="array" ref="EO20">IF(OR(INDEX(FX_Vap,$KK20,EO$90)="Crude Oil",(INDEX(FX_Vap,$KL20,EO$90)="Crude Oil")),0.75,1)</f>
        <v>1</v>
      </c>
      <c r="EP20" s="63">
        <f t="shared" si="114"/>
        <v>1</v>
      </c>
      <c r="EQ20" s="63">
        <f t="shared" si="57"/>
        <v>12.121155978119031</v>
      </c>
      <c r="ER20" s="64">
        <f t="shared" si="58"/>
        <v>12.121155978119031</v>
      </c>
      <c r="ES20" s="80" t="str" cm="1">
        <f t="array" ref="ES20">IF(ISBLANK(INDEX(FX_Input,$KB20+1,ES$85)),INDEX(FX_Input,$KB20,ES$85),INDEX(FX_Input,$KB20,ES$85)&amp;" &amp; "&amp;INDEX(FX_Input,$KB20+1,ES$85))</f>
        <v>Jet kerosene</v>
      </c>
      <c r="ET20" s="63" cm="1">
        <f t="array" ref="ET20">INDEX(FX_Temps,$KC20+7,ET$89)</f>
        <v>0</v>
      </c>
      <c r="EU20" s="63" cm="1">
        <f t="array" ref="EU20">INDEX(FX_Temps,$KC20+13,EU$89)+459.6</f>
        <v>520.5</v>
      </c>
      <c r="EV20" s="63" cm="1">
        <f t="array" ref="EV20">INDEX(FX_Vap,$KG20,EV$91)-INDEX(FX_Vap,$KH20,EV$91)</f>
        <v>0</v>
      </c>
      <c r="EW20" s="73" cm="1">
        <f t="array" ref="EW20">IF(ES20="Out of Service",0,INDEX(FX_Vap,$KI20,EW$91))</f>
        <v>8.4605262729351115E-3</v>
      </c>
      <c r="EX20" s="63">
        <f t="shared" si="59"/>
        <v>0</v>
      </c>
      <c r="EY20" s="63">
        <f t="shared" si="60"/>
        <v>0.9926464039129147</v>
      </c>
      <c r="EZ20" s="63" cm="1">
        <f t="array" ref="EZ20">INDEX(FX_Vap,$KJ20,EZ$91)</f>
        <v>130</v>
      </c>
      <c r="FA20" s="63" cm="1">
        <f t="array" ref="FA20">INDEX(FX_Temps,$KD20,FA$89)+459.6</f>
        <v>520.5</v>
      </c>
      <c r="FB20" s="63">
        <f t="shared" si="61"/>
        <v>1.969154544366044E-4</v>
      </c>
      <c r="FC20" s="63" cm="1">
        <f t="array" ref="FC20">INDEX(Month_Ref,FC$83,3)*EX20*(PI()/4*$F20^2)*$H20*EY20*FB20</f>
        <v>0</v>
      </c>
      <c r="FD20" s="63" cm="1">
        <f t="array" ref="FD20">INDEX(FX_Input,$KB20,FD$85)</f>
        <v>11119</v>
      </c>
      <c r="FE20" s="63">
        <f t="shared" si="62"/>
        <v>62422.065999999999</v>
      </c>
      <c r="FF20" s="63">
        <f t="shared" si="63"/>
        <v>1.0597099052702437</v>
      </c>
      <c r="FG20" s="63">
        <f t="shared" si="64"/>
        <v>1</v>
      </c>
      <c r="FH20" s="63" cm="1">
        <f t="array" ref="FH20">IF(OR(INDEX(FX_Vap,$KK20,FH$90)="Crude Oil",(INDEX(FX_Vap,$KL20,FH$90)="Crude Oil")),0.75,1)</f>
        <v>1</v>
      </c>
      <c r="FI20" s="63">
        <f t="shared" si="115"/>
        <v>1</v>
      </c>
      <c r="FJ20" s="63">
        <f t="shared" si="65"/>
        <v>12.291869493261713</v>
      </c>
      <c r="FK20" s="64">
        <f t="shared" si="66"/>
        <v>12.291869493261713</v>
      </c>
      <c r="FL20" s="80" t="str" cm="1">
        <f t="array" ref="FL20">IF(ISBLANK(INDEX(FX_Input,$KB20+1,FL$85)),INDEX(FX_Input,$KB20,FL$85),INDEX(FX_Input,$KB20,FL$85)&amp;" &amp; "&amp;INDEX(FX_Input,$KB20+1,FL$85))</f>
        <v>Jet kerosene</v>
      </c>
      <c r="FM20" s="63" cm="1">
        <f t="array" ref="FM20">INDEX(FX_Temps,$KC20+7,FM$89)</f>
        <v>0</v>
      </c>
      <c r="FN20" s="63" cm="1">
        <f t="array" ref="FN20">INDEX(FX_Temps,$KC20+13,FN$89)+459.6</f>
        <v>518.20000000000005</v>
      </c>
      <c r="FO20" s="63" cm="1">
        <f t="array" ref="FO20">INDEX(FX_Vap,$KG20,FO$91)-INDEX(FX_Vap,$KH20,FO$91)</f>
        <v>0</v>
      </c>
      <c r="FP20" s="73" cm="1">
        <f t="array" ref="FP20">IF(FL20="Out of Service",0,INDEX(FX_Vap,$KI20,FP$91))</f>
        <v>7.8399882233967533E-3</v>
      </c>
      <c r="FQ20" s="63">
        <f t="shared" si="67"/>
        <v>0</v>
      </c>
      <c r="FR20" s="63">
        <f t="shared" si="68"/>
        <v>0.99318207682190329</v>
      </c>
      <c r="FS20" s="63" cm="1">
        <f t="array" ref="FS20">INDEX(FX_Vap,$KJ20,FS$91)</f>
        <v>130</v>
      </c>
      <c r="FT20" s="63" cm="1">
        <f t="array" ref="FT20">INDEX(FX_Temps,$KD20,FT$89)+459.6</f>
        <v>518.20000000000005</v>
      </c>
      <c r="FU20" s="63">
        <f t="shared" si="69"/>
        <v>1.8328256712249962E-4</v>
      </c>
      <c r="FV20" s="63" cm="1">
        <f t="array" ref="FV20">INDEX(Month_Ref,FV$83,3)*FQ20*(PI()/4*$F20^2)*$H20*FR20*FU20</f>
        <v>0</v>
      </c>
      <c r="FW20" s="63" cm="1">
        <f t="array" ref="FW20">INDEX(FX_Input,$KB20,FW$85)</f>
        <v>11119</v>
      </c>
      <c r="FX20" s="63">
        <f t="shared" si="70"/>
        <v>62422.065999999999</v>
      </c>
      <c r="FY20" s="63">
        <f t="shared" si="71"/>
        <v>1.0597099052702437</v>
      </c>
      <c r="FZ20" s="63">
        <f t="shared" si="72"/>
        <v>1</v>
      </c>
      <c r="GA20" s="63" cm="1">
        <f t="array" ref="GA20">IF(OR(INDEX(FX_Vap,$KK20,GA$90)="Crude Oil",(INDEX(FX_Vap,$KL20,GA$90)="Crude Oil")),0.75,1)</f>
        <v>1</v>
      </c>
      <c r="GB20" s="63">
        <f t="shared" si="116"/>
        <v>1</v>
      </c>
      <c r="GC20" s="63">
        <f t="shared" si="73"/>
        <v>11.4408765015701</v>
      </c>
      <c r="GD20" s="64">
        <f t="shared" si="74"/>
        <v>11.4408765015701</v>
      </c>
      <c r="GE20" s="80" t="str" cm="1">
        <f t="array" ref="GE20">IF(ISBLANK(INDEX(FX_Input,$KB20+1,GE$85)),INDEX(FX_Input,$KB20,GE$85),INDEX(FX_Input,$KB20,GE$85)&amp;" &amp; "&amp;INDEX(FX_Input,$KB20+1,GE$85))</f>
        <v>Jet kerosene</v>
      </c>
      <c r="GF20" s="63" cm="1">
        <f t="array" ref="GF20">INDEX(FX_Temps,$KC20+7,GF$89)</f>
        <v>0</v>
      </c>
      <c r="GG20" s="63" cm="1">
        <f t="array" ref="GG20">INDEX(FX_Temps,$KC20+13,GG$89)+459.6</f>
        <v>512.25</v>
      </c>
      <c r="GH20" s="63" cm="1">
        <f t="array" ref="GH20">INDEX(FX_Vap,$KG20,GH$91)-INDEX(FX_Vap,$KH20,GH$91)</f>
        <v>0</v>
      </c>
      <c r="GI20" s="73" cm="1">
        <f t="array" ref="GI20">IF(GE20="Out of Service",0,INDEX(FX_Vap,$KI20,GI$91))</f>
        <v>6.4173462075160911E-3</v>
      </c>
      <c r="GJ20" s="63">
        <f t="shared" si="75"/>
        <v>0</v>
      </c>
      <c r="GK20" s="63">
        <f t="shared" si="76"/>
        <v>0.99441234227825326</v>
      </c>
      <c r="GL20" s="63" cm="1">
        <f t="array" ref="GL20">INDEX(FX_Vap,$KJ20,GL$91)</f>
        <v>130</v>
      </c>
      <c r="GM20" s="63" cm="1">
        <f t="array" ref="GM20">INDEX(FX_Temps,$KD20,GM$89)+459.6</f>
        <v>512.25</v>
      </c>
      <c r="GN20" s="63">
        <f t="shared" si="77"/>
        <v>1.5176675903637226E-4</v>
      </c>
      <c r="GO20" s="63" cm="1">
        <f t="array" ref="GO20">INDEX(Month_Ref,GO$83,3)*GJ20*(PI()/4*$F20^2)*$H20*GK20*GN20</f>
        <v>0</v>
      </c>
      <c r="GP20" s="63" cm="1">
        <f t="array" ref="GP20">INDEX(FX_Input,$KB20,GP$85)</f>
        <v>11119</v>
      </c>
      <c r="GQ20" s="63">
        <f t="shared" si="78"/>
        <v>62422.065999999999</v>
      </c>
      <c r="GR20" s="63">
        <f t="shared" si="79"/>
        <v>1.0597099052702437</v>
      </c>
      <c r="GS20" s="63">
        <f t="shared" si="80"/>
        <v>1</v>
      </c>
      <c r="GT20" s="63" cm="1">
        <f t="array" ref="GT20">IF(OR(INDEX(FX_Vap,$KK20,GT$90)="Crude Oil",(INDEX(FX_Vap,$KL20,GT$90)="Crude Oil")),0.75,1)</f>
        <v>1</v>
      </c>
      <c r="GU20" s="63">
        <f t="shared" si="117"/>
        <v>1</v>
      </c>
      <c r="GV20" s="63">
        <f t="shared" si="81"/>
        <v>9.473594649174526</v>
      </c>
      <c r="GW20" s="64">
        <f t="shared" si="82"/>
        <v>9.473594649174526</v>
      </c>
      <c r="GX20" s="80" t="str" cm="1">
        <f t="array" ref="GX20">IF(ISBLANK(INDEX(FX_Input,$KB20+1,GX$85)),INDEX(FX_Input,$KB20,GX$85),INDEX(FX_Input,$KB20,GX$85)&amp;" &amp; "&amp;INDEX(FX_Input,$KB20+1,GX$85))</f>
        <v>Jet kerosene</v>
      </c>
      <c r="GY20" s="63" cm="1">
        <f t="array" ref="GY20">INDEX(FX_Temps,$KC20+7,GY$89)</f>
        <v>0</v>
      </c>
      <c r="GZ20" s="63" cm="1">
        <f t="array" ref="GZ20">INDEX(FX_Temps,$KC20+13,GZ$89)+459.6</f>
        <v>506.70000000000005</v>
      </c>
      <c r="HA20" s="63" cm="1">
        <f t="array" ref="HA20">INDEX(FX_Vap,$KG20,HA$91)-INDEX(FX_Vap,$KH20,HA$91)</f>
        <v>0</v>
      </c>
      <c r="HB20" s="73" cm="1">
        <f t="array" ref="HB20">IF(GX20="Out of Service",0,INDEX(FX_Vap,$KI20,HB$91))</f>
        <v>5.3015226887581056E-3</v>
      </c>
      <c r="HC20" s="63">
        <f t="shared" si="83"/>
        <v>0</v>
      </c>
      <c r="HD20" s="63">
        <f t="shared" si="84"/>
        <v>0.99537941356962067</v>
      </c>
      <c r="HE20" s="63" cm="1">
        <f t="array" ref="HE20">INDEX(FX_Vap,$KJ20,HE$91)</f>
        <v>130</v>
      </c>
      <c r="HF20" s="63" cm="1">
        <f t="array" ref="HF20">INDEX(FX_Temps,$KD20,HF$89)+459.6</f>
        <v>506.70000000000005</v>
      </c>
      <c r="HG20" s="63">
        <f t="shared" si="85"/>
        <v>1.2675143286623188E-4</v>
      </c>
      <c r="HH20" s="63" cm="1">
        <f t="array" ref="HH20">INDEX(Month_Ref,HH$83,3)*HC20*(PI()/4*$F20^2)*$H20*HD20*HG20</f>
        <v>0</v>
      </c>
      <c r="HI20" s="63" cm="1">
        <f t="array" ref="HI20">INDEX(FX_Input,$KB20,HI$85)</f>
        <v>11119</v>
      </c>
      <c r="HJ20" s="63">
        <f t="shared" si="86"/>
        <v>62422.065999999999</v>
      </c>
      <c r="HK20" s="63">
        <f t="shared" si="87"/>
        <v>1.0597099052702437</v>
      </c>
      <c r="HL20" s="63">
        <f t="shared" si="88"/>
        <v>1</v>
      </c>
      <c r="HM20" s="63" cm="1">
        <f t="array" ref="HM20">IF(OR(INDEX(FX_Vap,$KK20,HM$90)="Crude Oil",(INDEX(FX_Vap,$KL20,HM$90)="Crude Oil")),0.75,1)</f>
        <v>1</v>
      </c>
      <c r="HN20" s="63">
        <f t="shared" si="118"/>
        <v>1</v>
      </c>
      <c r="HO20" s="63">
        <f t="shared" si="89"/>
        <v>7.9120863079704957</v>
      </c>
      <c r="HP20" s="64">
        <f t="shared" si="90"/>
        <v>7.9120863079704957</v>
      </c>
      <c r="HQ20" s="80" t="str" cm="1">
        <f t="array" ref="HQ20">IF(ISBLANK(INDEX(FX_Input,$KB20+1,HQ$85)),INDEX(FX_Input,$KB20,HQ$85),INDEX(FX_Input,$KB20,HQ$85)&amp;" &amp; "&amp;INDEX(FX_Input,$KB20+1,HQ$85))</f>
        <v>Jet kerosene</v>
      </c>
      <c r="HR20" s="63" cm="1">
        <f t="array" ref="HR20">INDEX(FX_Temps,$KC20+7,HR$89)</f>
        <v>0</v>
      </c>
      <c r="HS20" s="63" cm="1">
        <f t="array" ref="HS20">INDEX(FX_Temps,$KC20+13,HS$89)+459.6</f>
        <v>503.20000000000005</v>
      </c>
      <c r="HT20" s="63" cm="1">
        <f t="array" ref="HT20">INDEX(FX_Vap,$KG20,HT$91)-INDEX(FX_Vap,$KH20,HT$91)</f>
        <v>0</v>
      </c>
      <c r="HU20" s="73" cm="1">
        <f t="array" ref="HU20">IF(HQ20="Out of Service",0,INDEX(FX_Vap,$KI20,HU$91))</f>
        <v>4.68970903600947E-3</v>
      </c>
      <c r="HV20" s="63">
        <f t="shared" si="91"/>
        <v>0</v>
      </c>
      <c r="HW20" s="63">
        <f t="shared" si="92"/>
        <v>0.99591046420611196</v>
      </c>
      <c r="HX20" s="63" cm="1">
        <f t="array" ref="HX20">INDEX(FX_Vap,$KJ20,HX$91)</f>
        <v>130</v>
      </c>
      <c r="HY20" s="63" cm="1">
        <f t="array" ref="HY20">INDEX(FX_Temps,$KD20,HY$89)+459.6</f>
        <v>503.20000000000005</v>
      </c>
      <c r="HZ20" s="63">
        <f t="shared" si="93"/>
        <v>1.1290376474196325E-4</v>
      </c>
      <c r="IA20" s="63" cm="1">
        <f t="array" ref="IA20">INDEX(Month_Ref,IA$83,3)*HV20*(PI()/4*$F20^2)*$H20*HW20*HZ20</f>
        <v>0</v>
      </c>
      <c r="IB20" s="63" cm="1">
        <f t="array" ref="IB20">INDEX(FX_Input,$KB20,IB$85)</f>
        <v>11119</v>
      </c>
      <c r="IC20" s="63">
        <f t="shared" si="94"/>
        <v>62422.065999999999</v>
      </c>
      <c r="ID20" s="63">
        <f t="shared" si="95"/>
        <v>1.0597099052702437</v>
      </c>
      <c r="IE20" s="63">
        <f t="shared" si="96"/>
        <v>1</v>
      </c>
      <c r="IF20" s="63" cm="1">
        <f t="array" ref="IF20">IF(OR(INDEX(FX_Vap,$KK20,IF$90)="Crude Oil",(INDEX(FX_Vap,$KL20,IF$90)="Crude Oil")),0.75,1)</f>
        <v>1</v>
      </c>
      <c r="IG20" s="63">
        <f t="shared" si="119"/>
        <v>1</v>
      </c>
      <c r="IH20" s="63">
        <f t="shared" si="97"/>
        <v>7.0476862543713032</v>
      </c>
      <c r="II20" s="64">
        <f t="shared" si="98"/>
        <v>7.0476862543713032</v>
      </c>
      <c r="IJ20" s="80">
        <f t="shared" si="99"/>
        <v>0</v>
      </c>
      <c r="IK20" s="63">
        <f t="shared" si="100"/>
        <v>0</v>
      </c>
      <c r="IL20" s="63">
        <f t="shared" si="101"/>
        <v>111.17101398824586</v>
      </c>
      <c r="IM20" s="63">
        <f t="shared" si="102"/>
        <v>5.558550699412293E-2</v>
      </c>
      <c r="IN20" s="63">
        <f t="shared" si="103"/>
        <v>111.17101398824586</v>
      </c>
      <c r="IO20" s="64">
        <f t="shared" si="104"/>
        <v>5.558550699412293E-2</v>
      </c>
      <c r="KB20" s="43">
        <f t="shared" si="120"/>
        <v>19</v>
      </c>
      <c r="KC20" s="43">
        <f t="shared" si="121"/>
        <v>127</v>
      </c>
      <c r="KD20" s="43">
        <f t="shared" si="122"/>
        <v>140</v>
      </c>
      <c r="KE20" s="43">
        <f t="shared" si="123"/>
        <v>127</v>
      </c>
      <c r="KF20" s="43">
        <f t="shared" si="124"/>
        <v>307</v>
      </c>
      <c r="KG20" s="43">
        <f t="shared" si="125"/>
        <v>330</v>
      </c>
      <c r="KH20" s="43">
        <f t="shared" si="126"/>
        <v>325</v>
      </c>
      <c r="KI20" s="43">
        <f t="shared" si="105"/>
        <v>335</v>
      </c>
      <c r="KJ20" s="43">
        <f t="shared" si="105"/>
        <v>340</v>
      </c>
      <c r="KK20" s="43">
        <f t="shared" si="127"/>
        <v>311</v>
      </c>
      <c r="KL20" s="43">
        <f t="shared" si="128"/>
        <v>313</v>
      </c>
    </row>
    <row r="21" spans="2:298" x14ac:dyDescent="0.4">
      <c r="B21" s="43" t="str" cm="1">
        <f t="array" ref="B21">INDEX(FX_Input,$KB21,B$85)</f>
        <v>FX - 11</v>
      </c>
      <c r="C21" s="93" t="str" cm="1">
        <f t="array" ref="C21">INDEX(FX_Input,$KB21,C$85)</f>
        <v>FIXTANK 111</v>
      </c>
      <c r="D21" s="80">
        <f t="shared" si="0"/>
        <v>20629.791758572977</v>
      </c>
      <c r="E21" s="63" cm="1">
        <f t="array" ref="E21">IF(ISBLANK(INDEX(FX_Input,$KB21,$E$85)),0.03,INDEX(FX_Input,$KB21,$E$85))-IF(ISBLANK(INDEX(FX_Input,$KB21,$E$86)),-0.03,INDEX(FX_Input,$KB21,$E$86))</f>
        <v>0.06</v>
      </c>
      <c r="F21" s="63" cm="1">
        <f t="array" ref="F21">IF(INDEX(FX_Input,$KB21,F$85)="Vertical",INDEX(FX_Input,$KB21,F$86),SQRT((INDEX(FX_Input,$KB21,F$86)*INDEX(FX_Input,$KB21,F$87))/(PI()/4)))</f>
        <v>40</v>
      </c>
      <c r="G21" s="63" cm="1">
        <f t="array" ref="G21">IF(INDEX(FX_Input,$KB21,G$85)="Vertical",INDEX(FX_Input,$KB21,G$86),INDEX(FX_Input,$KB21,G$87)*PI()/4)</f>
        <v>32</v>
      </c>
      <c r="H21" s="63" cm="1">
        <f t="array" ref="H21">IF(INDEX(FX_Input,$KB21,H$85)="Vertical",G21-G21/2+J21,G21/2)</f>
        <v>16.416666666666668</v>
      </c>
      <c r="I21" s="63" cm="1">
        <f t="array" ref="I21">IF(INDEX(FX_Input,$KB21,F$85)="Horizontal","N/A",IF(INDEX(FX_Input,$KB21,I$86)="Cone",IF(ISBLANK(INDEX(FX_Input,$KB21,I$87)),0.0625,INDEX(FX_Input,$KB21,I$87))*F21/2,F21/2-SQRT((F21/2)^2-(INDEX(FX_Input,$KB21,I$88)^2))))</f>
        <v>1.25</v>
      </c>
      <c r="J21" s="63" cm="1">
        <f t="array" ref="J21">IF(INDEX(FX_Input,$KB21,J$85)="Horizontal","N/A",IF(INDEX(FX_Input,$KB21,J$86)="Cone",I21/3,I21*(1/2+(1/6)*(I21/(F21/2))^2)))</f>
        <v>0.41666666666666669</v>
      </c>
      <c r="K21" s="63">
        <f t="shared" si="1"/>
        <v>31</v>
      </c>
      <c r="L21" s="63">
        <v>1</v>
      </c>
      <c r="M21" s="63" cm="1">
        <f t="array" ref="M21">INDEX(Tbl_71_6,MATCH(INDEX(FX_Input,$KB21,M$85),Paint_Color,0),VLOOKUP(INDEX(FX_Input,$KB21,M$86),Paint_Cond_Column,2,FALSE))</f>
        <v>0.25</v>
      </c>
      <c r="N21" s="63" cm="1">
        <f t="array" ref="N21">INDEX(Tbl_71_6,MATCH(INDEX(FX_Input,$KB21,N$85),Paint_Color,0),VLOOKUP(INDEX(FX_Input,$KB21,N$86),Paint_Cond_Column,2,FALSE))</f>
        <v>0.25</v>
      </c>
      <c r="O21" s="64">
        <f t="shared" si="2"/>
        <v>0.25</v>
      </c>
      <c r="P21" s="80" t="str" cm="1">
        <f t="array" ref="P21">IF(ISBLANK(INDEX(FX_Input,$KB21+1,P$85)),INDEX(FX_Input,$KB21,P$85),INDEX(FX_Input,$KB21,P$85)&amp;" &amp; "&amp;INDEX(FX_Input,$KB21+1,P$85))</f>
        <v>Out of Service</v>
      </c>
      <c r="Q21" s="63" cm="1">
        <f t="array" ref="Q21">INDEX(FX_Temps,$KC21+7,Q$89)</f>
        <v>8.9950000000000241</v>
      </c>
      <c r="R21" s="63" cm="1">
        <f t="array" ref="R21">INDEX(FX_Temps,$KC21+13,R$89)+459.6</f>
        <v>504.34892500000001</v>
      </c>
      <c r="S21" s="63" cm="1">
        <f t="array" ref="S21">INDEX(FX_Vap,$KG21,S$91)-INDEX(FX_Vap,$KH21,S$91)</f>
        <v>0</v>
      </c>
      <c r="T21" s="73" cm="1">
        <f t="array" ref="T21">IF(P21="Out of Service",0,INDEX(FX_Vap,$KI21,T$91))</f>
        <v>0</v>
      </c>
      <c r="U21" s="63">
        <f t="shared" si="3"/>
        <v>1.3753242280002277E-2</v>
      </c>
      <c r="V21" s="63">
        <f t="shared" si="4"/>
        <v>1</v>
      </c>
      <c r="W21" s="63" cm="1">
        <f t="array" ref="W21">INDEX(FX_Vap,$KJ21,W$91)</f>
        <v>0</v>
      </c>
      <c r="X21" s="63" cm="1">
        <f t="array" ref="X21">INDEX(FX_Temps,$KD21,X$89)+459.6</f>
        <v>504.34892500000001</v>
      </c>
      <c r="Y21" s="63">
        <f t="shared" si="5"/>
        <v>0</v>
      </c>
      <c r="Z21" s="63" cm="1">
        <f t="array" ref="Z21">INDEX(Month_Ref,Z$83,3)*U21*(PI()/4*$F21^2)*$H21*V21*Y21</f>
        <v>0</v>
      </c>
      <c r="AA21" s="63" cm="1">
        <f t="array" ref="AA21">INDEX(FX_Input,$KB21,AA$85)</f>
        <v>0</v>
      </c>
      <c r="AB21" s="63">
        <f t="shared" si="6"/>
        <v>0</v>
      </c>
      <c r="AC21" s="63">
        <f t="shared" si="7"/>
        <v>0</v>
      </c>
      <c r="AD21" s="63">
        <f t="shared" si="8"/>
        <v>1</v>
      </c>
      <c r="AE21" s="63" cm="1">
        <f t="array" ref="AE21">IF(OR(INDEX(FX_Vap,$KK21,AE$90)="Crude Oil",(INDEX(FX_Vap,$KL21,AE$90)="Crude Oil")),0.75,1)</f>
        <v>1</v>
      </c>
      <c r="AF21" s="63">
        <f t="shared" si="108"/>
        <v>1</v>
      </c>
      <c r="AG21" s="63">
        <f t="shared" si="9"/>
        <v>0</v>
      </c>
      <c r="AH21" s="64">
        <f t="shared" si="10"/>
        <v>0</v>
      </c>
      <c r="AI21" s="80" t="str" cm="1">
        <f t="array" ref="AI21">IF(ISBLANK(INDEX(FX_Input,$KB21+1,AI$85)),INDEX(FX_Input,$KB21,AI$85),INDEX(FX_Input,$KB21,AI$85)&amp;" &amp; "&amp;INDEX(FX_Input,$KB21+1,AI$85))</f>
        <v>Out of Service</v>
      </c>
      <c r="AJ21" s="63" cm="1">
        <f t="array" ref="AJ21">INDEX(FX_Temps,$KC21+7,AJ$89)</f>
        <v>12.239999999999991</v>
      </c>
      <c r="AK21" s="63" cm="1">
        <f t="array" ref="AK21">INDEX(FX_Temps,$KC21+13,AK$89)+459.6</f>
        <v>505.78500000000008</v>
      </c>
      <c r="AL21" s="63" cm="1">
        <f t="array" ref="AL21">INDEX(FX_Vap,$KG21,AL$91)-INDEX(FX_Vap,$KH21,AL$91)</f>
        <v>0</v>
      </c>
      <c r="AM21" s="73" cm="1">
        <f t="array" ref="AM21">IF(AI21="Out of Service",0,INDEX(FX_Vap,$KI21,AM$91))</f>
        <v>0</v>
      </c>
      <c r="AN21" s="63">
        <f t="shared" si="11"/>
        <v>2.0118373278312757E-2</v>
      </c>
      <c r="AO21" s="63">
        <f t="shared" si="12"/>
        <v>1</v>
      </c>
      <c r="AP21" s="63" cm="1">
        <f t="array" ref="AP21">INDEX(FX_Vap,$KJ21,AP$91)</f>
        <v>0</v>
      </c>
      <c r="AQ21" s="63" cm="1">
        <f t="array" ref="AQ21">INDEX(FX_Temps,$KD21,AQ$89)+459.6</f>
        <v>505.78500000000008</v>
      </c>
      <c r="AR21" s="63">
        <f t="shared" si="13"/>
        <v>0</v>
      </c>
      <c r="AS21" s="63" cm="1">
        <f t="array" ref="AS21">INDEX(Month_Ref,AS$83,3)*AN21*(PI()/4*$F21^2)*$H21*AO21*AR21</f>
        <v>0</v>
      </c>
      <c r="AT21" s="63" cm="1">
        <f t="array" ref="AT21">INDEX(FX_Input,$KB21,AT$85)</f>
        <v>0</v>
      </c>
      <c r="AU21" s="63">
        <f t="shared" si="14"/>
        <v>0</v>
      </c>
      <c r="AV21" s="63">
        <f t="shared" si="15"/>
        <v>0</v>
      </c>
      <c r="AW21" s="63">
        <f t="shared" si="16"/>
        <v>1</v>
      </c>
      <c r="AX21" s="63" cm="1">
        <f t="array" ref="AX21">IF(OR(INDEX(FX_Vap,$KK21,AX$90)="Crude Oil",(INDEX(FX_Vap,$KL21,AX$90)="Crude Oil")),0.75,1)</f>
        <v>1</v>
      </c>
      <c r="AY21" s="63">
        <f t="shared" si="109"/>
        <v>1</v>
      </c>
      <c r="AZ21" s="63">
        <f t="shared" si="17"/>
        <v>0</v>
      </c>
      <c r="BA21" s="64">
        <f t="shared" si="18"/>
        <v>0</v>
      </c>
      <c r="BB21" s="80" t="str" cm="1">
        <f t="array" ref="BB21">IF(ISBLANK(INDEX(FX_Input,$KB21+1,BB$85)),INDEX(FX_Input,$KB21,BB$85),INDEX(FX_Input,$KB21,BB$85)&amp;" &amp; "&amp;INDEX(FX_Input,$KB21+1,BB$85))</f>
        <v>Out of Service</v>
      </c>
      <c r="BC21" s="63" cm="1">
        <f t="array" ref="BC21">INDEX(FX_Temps,$KC21+7,BC$89)</f>
        <v>13.62500000000003</v>
      </c>
      <c r="BD21" s="63" cm="1">
        <f t="array" ref="BD21">INDEX(FX_Temps,$KC21+13,BD$89)+459.6</f>
        <v>507.87057500000003</v>
      </c>
      <c r="BE21" s="63" cm="1">
        <f t="array" ref="BE21">INDEX(FX_Vap,$KG21,BE$91)-INDEX(FX_Vap,$KH21,BE$91)</f>
        <v>0</v>
      </c>
      <c r="BF21" s="73" cm="1">
        <f t="array" ref="BF21">IF(BB21="Out of Service",0,INDEX(FX_Vap,$KI21,BF$91))</f>
        <v>0</v>
      </c>
      <c r="BG21" s="63">
        <f t="shared" si="19"/>
        <v>2.27460684792598E-2</v>
      </c>
      <c r="BH21" s="63">
        <f t="shared" si="20"/>
        <v>1</v>
      </c>
      <c r="BI21" s="63" cm="1">
        <f t="array" ref="BI21">INDEX(FX_Vap,$KJ21,BI$91)</f>
        <v>0</v>
      </c>
      <c r="BJ21" s="63" cm="1">
        <f t="array" ref="BJ21">INDEX(FX_Temps,$KD21,BJ$89)+459.6</f>
        <v>507.87057500000003</v>
      </c>
      <c r="BK21" s="63">
        <f t="shared" si="21"/>
        <v>0</v>
      </c>
      <c r="BL21" s="63" cm="1">
        <f t="array" ref="BL21">INDEX(Month_Ref,BL$83,3)*BG21*(PI()/4*$F21^2)*$H21*BH21*BK21</f>
        <v>0</v>
      </c>
      <c r="BM21" s="63" cm="1">
        <f t="array" ref="BM21">INDEX(FX_Input,$KB21,BM$85)</f>
        <v>0</v>
      </c>
      <c r="BN21" s="63">
        <f t="shared" si="22"/>
        <v>0</v>
      </c>
      <c r="BO21" s="63">
        <f t="shared" si="23"/>
        <v>0</v>
      </c>
      <c r="BP21" s="63">
        <f t="shared" si="24"/>
        <v>1</v>
      </c>
      <c r="BQ21" s="63" cm="1">
        <f t="array" ref="BQ21">IF(OR(INDEX(FX_Vap,$KK21,BQ$90)="Crude Oil",(INDEX(FX_Vap,$KL21,BQ$90)="Crude Oil")),0.75,1)</f>
        <v>1</v>
      </c>
      <c r="BR21" s="63">
        <f t="shared" si="110"/>
        <v>1</v>
      </c>
      <c r="BS21" s="63">
        <f t="shared" si="25"/>
        <v>0</v>
      </c>
      <c r="BT21" s="64">
        <f t="shared" si="26"/>
        <v>0</v>
      </c>
      <c r="BU21" s="80" t="str" cm="1">
        <f t="array" ref="BU21">IF(ISBLANK(INDEX(FX_Input,$KB21+1,BU$85)),INDEX(FX_Input,$KB21,BU$85),INDEX(FX_Input,$KB21,BU$85)&amp;" &amp; "&amp;INDEX(FX_Input,$KB21+1,BU$85))</f>
        <v>Out of Service</v>
      </c>
      <c r="BV21" s="63" cm="1">
        <f t="array" ref="BV21">INDEX(FX_Temps,$KC21+7,BV$89)</f>
        <v>15.639999999999983</v>
      </c>
      <c r="BW21" s="63" cm="1">
        <f t="array" ref="BW21">INDEX(FX_Temps,$KC21+13,BW$89)+459.6</f>
        <v>511.29869999999994</v>
      </c>
      <c r="BX21" s="63" cm="1">
        <f t="array" ref="BX21">INDEX(FX_Vap,$KG21,BX$91)-INDEX(FX_Vap,$KH21,BX$91)</f>
        <v>0</v>
      </c>
      <c r="BY21" s="73" cm="1">
        <f t="array" ref="BY21">IF(BU21="Out of Service",0,INDEX(FX_Vap,$KI21,BY$91))</f>
        <v>0</v>
      </c>
      <c r="BZ21" s="63">
        <f t="shared" si="27"/>
        <v>2.6507140602180741E-2</v>
      </c>
      <c r="CA21" s="63">
        <f t="shared" si="28"/>
        <v>1</v>
      </c>
      <c r="CB21" s="63" cm="1">
        <f t="array" ref="CB21">INDEX(FX_Vap,$KJ21,CB$91)</f>
        <v>0</v>
      </c>
      <c r="CC21" s="63" cm="1">
        <f t="array" ref="CC21">INDEX(FX_Temps,$KD21,CC$89)+459.6</f>
        <v>511.29869999999994</v>
      </c>
      <c r="CD21" s="63">
        <f t="shared" si="29"/>
        <v>0</v>
      </c>
      <c r="CE21" s="63" cm="1">
        <f t="array" ref="CE21">INDEX(Month_Ref,CE$83,3)*BZ21*(PI()/4*$F21^2)*$H21*CA21*CD21</f>
        <v>0</v>
      </c>
      <c r="CF21" s="63" cm="1">
        <f t="array" ref="CF21">INDEX(FX_Input,$KB21,CF$85)</f>
        <v>0</v>
      </c>
      <c r="CG21" s="63">
        <f t="shared" si="30"/>
        <v>0</v>
      </c>
      <c r="CH21" s="63">
        <f t="shared" si="31"/>
        <v>0</v>
      </c>
      <c r="CI21" s="63">
        <f t="shared" si="32"/>
        <v>1</v>
      </c>
      <c r="CJ21" s="63" cm="1">
        <f t="array" ref="CJ21">IF(OR(INDEX(FX_Vap,$KK21,CJ$90)="Crude Oil",(INDEX(FX_Vap,$KL21,CJ$90)="Crude Oil")),0.75,1)</f>
        <v>1</v>
      </c>
      <c r="CK21" s="63">
        <f t="shared" si="111"/>
        <v>1</v>
      </c>
      <c r="CL21" s="63">
        <f t="shared" si="33"/>
        <v>0</v>
      </c>
      <c r="CM21" s="64">
        <f t="shared" si="34"/>
        <v>0</v>
      </c>
      <c r="CN21" s="80" t="str" cm="1">
        <f t="array" ref="CN21">IF(ISBLANK(INDEX(FX_Input,$KB21+1,CN$85)),INDEX(FX_Input,$KB21,CN$85),INDEX(FX_Input,$KB21,CN$85)&amp;" &amp; "&amp;INDEX(FX_Input,$KB21+1,CN$85))</f>
        <v>Out of Service</v>
      </c>
      <c r="CO21" s="63" cm="1">
        <f t="array" ref="CO21">INDEX(FX_Temps,$KC21+7,CO$89)</f>
        <v>16.994999999999969</v>
      </c>
      <c r="CP21" s="63" cm="1">
        <f t="array" ref="CP21">INDEX(FX_Temps,$KC21+13,CP$89)+459.6</f>
        <v>516.5540749999999</v>
      </c>
      <c r="CQ21" s="63" cm="1">
        <f t="array" ref="CQ21">INDEX(FX_Vap,$KG21,CQ$91)-INDEX(FX_Vap,$KH21,CQ$91)</f>
        <v>0</v>
      </c>
      <c r="CR21" s="73" cm="1">
        <f t="array" ref="CR21">IF(CN21="Out of Service",0,INDEX(FX_Vap,$KI21,CR$91))</f>
        <v>0</v>
      </c>
      <c r="CS21" s="63">
        <f t="shared" si="35"/>
        <v>2.8819085437295479E-2</v>
      </c>
      <c r="CT21" s="63">
        <f t="shared" si="36"/>
        <v>1</v>
      </c>
      <c r="CU21" s="63" cm="1">
        <f t="array" ref="CU21">INDEX(FX_Vap,$KJ21,CU$91)</f>
        <v>0</v>
      </c>
      <c r="CV21" s="63" cm="1">
        <f t="array" ref="CV21">INDEX(FX_Temps,$KD21,CV$89)+459.6</f>
        <v>516.5540749999999</v>
      </c>
      <c r="CW21" s="63">
        <f t="shared" si="37"/>
        <v>0</v>
      </c>
      <c r="CX21" s="63" cm="1">
        <f t="array" ref="CX21">INDEX(Month_Ref,CX$83,3)*CS21*(PI()/4*$F21^2)*$H21*CT21*CW21</f>
        <v>0</v>
      </c>
      <c r="CY21" s="63" cm="1">
        <f t="array" ref="CY21">INDEX(FX_Input,$KB21,CY$85)</f>
        <v>0</v>
      </c>
      <c r="CZ21" s="63">
        <f t="shared" si="38"/>
        <v>0</v>
      </c>
      <c r="DA21" s="63">
        <f t="shared" si="39"/>
        <v>0</v>
      </c>
      <c r="DB21" s="63">
        <f t="shared" si="40"/>
        <v>1</v>
      </c>
      <c r="DC21" s="63" cm="1">
        <f t="array" ref="DC21">IF(OR(INDEX(FX_Vap,$KK21,DC$90)="Crude Oil",(INDEX(FX_Vap,$KL21,DC$90)="Crude Oil")),0.75,1)</f>
        <v>1</v>
      </c>
      <c r="DD21" s="63">
        <f t="shared" si="112"/>
        <v>1</v>
      </c>
      <c r="DE21" s="63">
        <f t="shared" si="41"/>
        <v>0</v>
      </c>
      <c r="DF21" s="64">
        <f t="shared" si="42"/>
        <v>0</v>
      </c>
      <c r="DG21" s="80" t="str" cm="1">
        <f t="array" ref="DG21">IF(ISBLANK(INDEX(FX_Input,$KB21+1,DG$85)),INDEX(FX_Input,$KB21,DG$85),INDEX(FX_Input,$KB21,DG$85)&amp;" &amp; "&amp;INDEX(FX_Input,$KB21+1,DG$85))</f>
        <v>Out of Service</v>
      </c>
      <c r="DH21" s="63" cm="1">
        <f t="array" ref="DH21">INDEX(FX_Temps,$KC21+7,DH$89)</f>
        <v>16.885000000000041</v>
      </c>
      <c r="DI21" s="63" cm="1">
        <f t="array" ref="DI21">INDEX(FX_Temps,$KC21+13,DI$89)+459.6</f>
        <v>520.5768250000001</v>
      </c>
      <c r="DJ21" s="63" cm="1">
        <f t="array" ref="DJ21">INDEX(FX_Vap,$KG21,DJ$91)-INDEX(FX_Vap,$KH21,DJ$91)</f>
        <v>0</v>
      </c>
      <c r="DK21" s="73" cm="1">
        <f t="array" ref="DK21">IF(DG21="Out of Service",0,INDEX(FX_Vap,$KI21,DK$91))</f>
        <v>0</v>
      </c>
      <c r="DL21" s="63">
        <f t="shared" si="43"/>
        <v>2.8353541540488476E-2</v>
      </c>
      <c r="DM21" s="63">
        <f t="shared" si="44"/>
        <v>1</v>
      </c>
      <c r="DN21" s="63" cm="1">
        <f t="array" ref="DN21">INDEX(FX_Vap,$KJ21,DN$91)</f>
        <v>0</v>
      </c>
      <c r="DO21" s="63" cm="1">
        <f t="array" ref="DO21">INDEX(FX_Temps,$KD21,DO$89)+459.6</f>
        <v>520.5768250000001</v>
      </c>
      <c r="DP21" s="63">
        <f t="shared" si="45"/>
        <v>0</v>
      </c>
      <c r="DQ21" s="63" cm="1">
        <f t="array" ref="DQ21">INDEX(Month_Ref,DQ$83,3)*DL21*(PI()/4*$F21^2)*$H21*DM21*DP21</f>
        <v>0</v>
      </c>
      <c r="DR21" s="63" cm="1">
        <f t="array" ref="DR21">INDEX(FX_Input,$KB21,DR$85)</f>
        <v>0</v>
      </c>
      <c r="DS21" s="63">
        <f t="shared" si="46"/>
        <v>0</v>
      </c>
      <c r="DT21" s="63">
        <f t="shared" si="47"/>
        <v>0</v>
      </c>
      <c r="DU21" s="63">
        <f t="shared" si="48"/>
        <v>1</v>
      </c>
      <c r="DV21" s="63" cm="1">
        <f t="array" ref="DV21">IF(OR(INDEX(FX_Vap,$KK21,DV$90)="Crude Oil",(INDEX(FX_Vap,$KL21,DV$90)="Crude Oil")),0.75,1)</f>
        <v>1</v>
      </c>
      <c r="DW21" s="63">
        <f t="shared" si="113"/>
        <v>1</v>
      </c>
      <c r="DX21" s="63">
        <f t="shared" si="49"/>
        <v>0</v>
      </c>
      <c r="DY21" s="64">
        <f t="shared" si="50"/>
        <v>0</v>
      </c>
      <c r="DZ21" s="80" t="str" cm="1">
        <f t="array" ref="DZ21">IF(ISBLANK(INDEX(FX_Input,$KB21+1,DZ$85)),INDEX(FX_Input,$KB21,DZ$85),INDEX(FX_Input,$KB21,DZ$85)&amp;" &amp; "&amp;INDEX(FX_Input,$KB21+1,DZ$85))</f>
        <v>Out of Service</v>
      </c>
      <c r="EA21" s="63" cm="1">
        <f t="array" ref="EA21">INDEX(FX_Temps,$KC21+7,EA$89)</f>
        <v>17.42999999999995</v>
      </c>
      <c r="EB21" s="63" cm="1">
        <f t="array" ref="EB21">INDEX(FX_Temps,$KC21+13,EB$89)+459.6</f>
        <v>524.27729999999985</v>
      </c>
      <c r="EC21" s="63" cm="1">
        <f t="array" ref="EC21">INDEX(FX_Vap,$KG21,EC$91)-INDEX(FX_Vap,$KH21,EC$91)</f>
        <v>0</v>
      </c>
      <c r="ED21" s="73" cm="1">
        <f t="array" ref="ED21">IF(DZ21="Out of Service",0,INDEX(FX_Vap,$KI21,ED$91))</f>
        <v>0</v>
      </c>
      <c r="EE21" s="63">
        <f t="shared" si="51"/>
        <v>2.9164132517393332E-2</v>
      </c>
      <c r="EF21" s="63">
        <f t="shared" si="52"/>
        <v>1</v>
      </c>
      <c r="EG21" s="63" cm="1">
        <f t="array" ref="EG21">INDEX(FX_Vap,$KJ21,EG$91)</f>
        <v>0</v>
      </c>
      <c r="EH21" s="63" cm="1">
        <f t="array" ref="EH21">INDEX(FX_Temps,$KD21,EH$89)+459.6</f>
        <v>524.27729999999985</v>
      </c>
      <c r="EI21" s="63">
        <f t="shared" si="53"/>
        <v>0</v>
      </c>
      <c r="EJ21" s="63" cm="1">
        <f t="array" ref="EJ21">INDEX(Month_Ref,EJ$83,3)*EE21*(PI()/4*$F21^2)*$H21*EF21*EI21</f>
        <v>0</v>
      </c>
      <c r="EK21" s="63" cm="1">
        <f t="array" ref="EK21">INDEX(FX_Input,$KB21,EK$85)</f>
        <v>0</v>
      </c>
      <c r="EL21" s="63">
        <f t="shared" si="54"/>
        <v>0</v>
      </c>
      <c r="EM21" s="63">
        <f t="shared" si="55"/>
        <v>0</v>
      </c>
      <c r="EN21" s="63">
        <f t="shared" si="56"/>
        <v>1</v>
      </c>
      <c r="EO21" s="63" cm="1">
        <f t="array" ref="EO21">IF(OR(INDEX(FX_Vap,$KK21,EO$90)="Crude Oil",(INDEX(FX_Vap,$KL21,EO$90)="Crude Oil")),0.75,1)</f>
        <v>1</v>
      </c>
      <c r="EP21" s="63">
        <f t="shared" si="114"/>
        <v>1</v>
      </c>
      <c r="EQ21" s="63">
        <f t="shared" si="57"/>
        <v>0</v>
      </c>
      <c r="ER21" s="64">
        <f t="shared" si="58"/>
        <v>0</v>
      </c>
      <c r="ES21" s="80" t="str" cm="1">
        <f t="array" ref="ES21">IF(ISBLANK(INDEX(FX_Input,$KB21+1,ES$85)),INDEX(FX_Input,$KB21,ES$85),INDEX(FX_Input,$KB21,ES$85)&amp;" &amp; "&amp;INDEX(FX_Input,$KB21+1,ES$85))</f>
        <v>Out of Service</v>
      </c>
      <c r="ET21" s="63" cm="1">
        <f t="array" ref="ET21">INDEX(FX_Temps,$KC21+7,ET$89)</f>
        <v>16.980000000000015</v>
      </c>
      <c r="EU21" s="63" cm="1">
        <f t="array" ref="EU21">INDEX(FX_Temps,$KC21+13,EU$89)+459.6</f>
        <v>524.19269999999995</v>
      </c>
      <c r="EV21" s="63" cm="1">
        <f t="array" ref="EV21">INDEX(FX_Vap,$KG21,EV$91)-INDEX(FX_Vap,$KH21,EV$91)</f>
        <v>0</v>
      </c>
      <c r="EW21" s="73" cm="1">
        <f t="array" ref="EW21">IF(ES21="Out of Service",0,INDEX(FX_Vap,$KI21,EW$91))</f>
        <v>0</v>
      </c>
      <c r="EX21" s="63">
        <f t="shared" si="59"/>
        <v>2.8311035157841169E-2</v>
      </c>
      <c r="EY21" s="63">
        <f t="shared" si="60"/>
        <v>1</v>
      </c>
      <c r="EZ21" s="63" cm="1">
        <f t="array" ref="EZ21">INDEX(FX_Vap,$KJ21,EZ$91)</f>
        <v>0</v>
      </c>
      <c r="FA21" s="63" cm="1">
        <f t="array" ref="FA21">INDEX(FX_Temps,$KD21,FA$89)+459.6</f>
        <v>524.19269999999995</v>
      </c>
      <c r="FB21" s="63">
        <f t="shared" si="61"/>
        <v>0</v>
      </c>
      <c r="FC21" s="63" cm="1">
        <f t="array" ref="FC21">INDEX(Month_Ref,FC$83,3)*EX21*(PI()/4*$F21^2)*$H21*EY21*FB21</f>
        <v>0</v>
      </c>
      <c r="FD21" s="63" cm="1">
        <f t="array" ref="FD21">INDEX(FX_Input,$KB21,FD$85)</f>
        <v>0</v>
      </c>
      <c r="FE21" s="63">
        <f t="shared" si="62"/>
        <v>0</v>
      </c>
      <c r="FF21" s="63">
        <f t="shared" si="63"/>
        <v>0</v>
      </c>
      <c r="FG21" s="63">
        <f t="shared" si="64"/>
        <v>1</v>
      </c>
      <c r="FH21" s="63" cm="1">
        <f t="array" ref="FH21">IF(OR(INDEX(FX_Vap,$KK21,FH$90)="Crude Oil",(INDEX(FX_Vap,$KL21,FH$90)="Crude Oil")),0.75,1)</f>
        <v>1</v>
      </c>
      <c r="FI21" s="63">
        <f t="shared" si="115"/>
        <v>1</v>
      </c>
      <c r="FJ21" s="63">
        <f t="shared" si="65"/>
        <v>0</v>
      </c>
      <c r="FK21" s="64">
        <f t="shared" si="66"/>
        <v>0</v>
      </c>
      <c r="FL21" s="80" t="str" cm="1">
        <f t="array" ref="FL21">IF(ISBLANK(INDEX(FX_Input,$KB21+1,FL$85)),INDEX(FX_Input,$KB21,FL$85),INDEX(FX_Input,$KB21,FL$85)&amp;" &amp; "&amp;INDEX(FX_Input,$KB21+1,FL$85))</f>
        <v>Out of Service</v>
      </c>
      <c r="FM21" s="63" cm="1">
        <f t="array" ref="FM21">INDEX(FX_Temps,$KC21+7,FM$89)</f>
        <v>17.459999999999983</v>
      </c>
      <c r="FN21" s="63" cm="1">
        <f t="array" ref="FN21">INDEX(FX_Temps,$KC21+13,FN$89)+459.6</f>
        <v>521.16010000000006</v>
      </c>
      <c r="FO21" s="63" cm="1">
        <f t="array" ref="FO21">INDEX(FX_Vap,$KG21,FO$91)-INDEX(FX_Vap,$KH21,FO$91)</f>
        <v>0</v>
      </c>
      <c r="FP21" s="73" cm="1">
        <f t="array" ref="FP21">IF(FL21="Out of Service",0,INDEX(FX_Vap,$KI21,FP$91))</f>
        <v>0</v>
      </c>
      <c r="FQ21" s="63">
        <f t="shared" si="67"/>
        <v>2.9420548346596999E-2</v>
      </c>
      <c r="FR21" s="63">
        <f t="shared" si="68"/>
        <v>1</v>
      </c>
      <c r="FS21" s="63" cm="1">
        <f t="array" ref="FS21">INDEX(FX_Vap,$KJ21,FS$91)</f>
        <v>0</v>
      </c>
      <c r="FT21" s="63" cm="1">
        <f t="array" ref="FT21">INDEX(FX_Temps,$KD21,FT$89)+459.6</f>
        <v>521.16010000000006</v>
      </c>
      <c r="FU21" s="63">
        <f t="shared" si="69"/>
        <v>0</v>
      </c>
      <c r="FV21" s="63" cm="1">
        <f t="array" ref="FV21">INDEX(Month_Ref,FV$83,3)*FQ21*(PI()/4*$F21^2)*$H21*FR21*FU21</f>
        <v>0</v>
      </c>
      <c r="FW21" s="63" cm="1">
        <f t="array" ref="FW21">INDEX(FX_Input,$KB21,FW$85)</f>
        <v>0</v>
      </c>
      <c r="FX21" s="63">
        <f t="shared" si="70"/>
        <v>0</v>
      </c>
      <c r="FY21" s="63">
        <f t="shared" si="71"/>
        <v>0</v>
      </c>
      <c r="FZ21" s="63">
        <f t="shared" si="72"/>
        <v>1</v>
      </c>
      <c r="GA21" s="63" cm="1">
        <f t="array" ref="GA21">IF(OR(INDEX(FX_Vap,$KK21,GA$90)="Crude Oil",(INDEX(FX_Vap,$KL21,GA$90)="Crude Oil")),0.75,1)</f>
        <v>1</v>
      </c>
      <c r="GB21" s="63">
        <f t="shared" si="116"/>
        <v>1</v>
      </c>
      <c r="GC21" s="63">
        <f t="shared" si="73"/>
        <v>0</v>
      </c>
      <c r="GD21" s="64">
        <f t="shared" si="74"/>
        <v>0</v>
      </c>
      <c r="GE21" s="80" t="str" cm="1">
        <f t="array" ref="GE21">IF(ISBLANK(INDEX(FX_Input,$KB21+1,GE$85)),INDEX(FX_Input,$KB21,GE$85),INDEX(FX_Input,$KB21,GE$85)&amp;" &amp; "&amp;INDEX(FX_Input,$KB21+1,GE$85))</f>
        <v>Out of Service</v>
      </c>
      <c r="GF21" s="63" cm="1">
        <f t="array" ref="GF21">INDEX(FX_Temps,$KC21+7,GF$89)</f>
        <v>13.929999999999993</v>
      </c>
      <c r="GG21" s="63" cm="1">
        <f t="array" ref="GG21">INDEX(FX_Temps,$KC21+13,GG$89)+459.6</f>
        <v>514.05180000000007</v>
      </c>
      <c r="GH21" s="63" cm="1">
        <f t="array" ref="GH21">INDEX(FX_Vap,$KG21,GH$91)-INDEX(FX_Vap,$KH21,GH$91)</f>
        <v>0</v>
      </c>
      <c r="GI21" s="73" cm="1">
        <f t="array" ref="GI21">IF(GE21="Out of Service",0,INDEX(FX_Vap,$KI21,GI$91))</f>
        <v>0</v>
      </c>
      <c r="GJ21" s="63">
        <f t="shared" si="75"/>
        <v>2.3016803730198189E-2</v>
      </c>
      <c r="GK21" s="63">
        <f t="shared" si="76"/>
        <v>1</v>
      </c>
      <c r="GL21" s="63" cm="1">
        <f t="array" ref="GL21">INDEX(FX_Vap,$KJ21,GL$91)</f>
        <v>0</v>
      </c>
      <c r="GM21" s="63" cm="1">
        <f t="array" ref="GM21">INDEX(FX_Temps,$KD21,GM$89)+459.6</f>
        <v>514.05180000000007</v>
      </c>
      <c r="GN21" s="63">
        <f t="shared" si="77"/>
        <v>0</v>
      </c>
      <c r="GO21" s="63" cm="1">
        <f t="array" ref="GO21">INDEX(Month_Ref,GO$83,3)*GJ21*(PI()/4*$F21^2)*$H21*GK21*GN21</f>
        <v>0</v>
      </c>
      <c r="GP21" s="63" cm="1">
        <f t="array" ref="GP21">INDEX(FX_Input,$KB21,GP$85)</f>
        <v>0</v>
      </c>
      <c r="GQ21" s="63">
        <f t="shared" si="78"/>
        <v>0</v>
      </c>
      <c r="GR21" s="63">
        <f t="shared" si="79"/>
        <v>0</v>
      </c>
      <c r="GS21" s="63">
        <f t="shared" si="80"/>
        <v>1</v>
      </c>
      <c r="GT21" s="63" cm="1">
        <f t="array" ref="GT21">IF(OR(INDEX(FX_Vap,$KK21,GT$90)="Crude Oil",(INDEX(FX_Vap,$KL21,GT$90)="Crude Oil")),0.75,1)</f>
        <v>1</v>
      </c>
      <c r="GU21" s="63">
        <f t="shared" si="117"/>
        <v>1</v>
      </c>
      <c r="GV21" s="63">
        <f t="shared" si="81"/>
        <v>0</v>
      </c>
      <c r="GW21" s="64">
        <f t="shared" si="82"/>
        <v>0</v>
      </c>
      <c r="GX21" s="80" t="str" cm="1">
        <f t="array" ref="GX21">IF(ISBLANK(INDEX(FX_Input,$KB21+1,GX$85)),INDEX(FX_Input,$KB21,GX$85),INDEX(FX_Input,$KB21,GX$85)&amp;" &amp; "&amp;INDEX(FX_Input,$KB21+1,GX$85))</f>
        <v>Out of Service</v>
      </c>
      <c r="GY21" s="63" cm="1">
        <f t="array" ref="GY21">INDEX(FX_Temps,$KC21+7,GY$89)</f>
        <v>10.495000000000031</v>
      </c>
      <c r="GZ21" s="63" cm="1">
        <f t="array" ref="GZ21">INDEX(FX_Temps,$KC21+13,GZ$89)+459.6</f>
        <v>507.66772500000002</v>
      </c>
      <c r="HA21" s="63" cm="1">
        <f t="array" ref="HA21">INDEX(FX_Vap,$KG21,HA$91)-INDEX(FX_Vap,$KH21,HA$91)</f>
        <v>0</v>
      </c>
      <c r="HB21" s="73" cm="1">
        <f t="array" ref="HB21">IF(GX21="Out of Service",0,INDEX(FX_Vap,$KI21,HB$91))</f>
        <v>0</v>
      </c>
      <c r="HC21" s="63">
        <f t="shared" si="83"/>
        <v>1.6591338038546226E-2</v>
      </c>
      <c r="HD21" s="63">
        <f t="shared" si="84"/>
        <v>1</v>
      </c>
      <c r="HE21" s="63" cm="1">
        <f t="array" ref="HE21">INDEX(FX_Vap,$KJ21,HE$91)</f>
        <v>0</v>
      </c>
      <c r="HF21" s="63" cm="1">
        <f t="array" ref="HF21">INDEX(FX_Temps,$KD21,HF$89)+459.6</f>
        <v>507.66772500000002</v>
      </c>
      <c r="HG21" s="63">
        <f t="shared" si="85"/>
        <v>0</v>
      </c>
      <c r="HH21" s="63" cm="1">
        <f t="array" ref="HH21">INDEX(Month_Ref,HH$83,3)*HC21*(PI()/4*$F21^2)*$H21*HD21*HG21</f>
        <v>0</v>
      </c>
      <c r="HI21" s="63" cm="1">
        <f t="array" ref="HI21">INDEX(FX_Input,$KB21,HI$85)</f>
        <v>0</v>
      </c>
      <c r="HJ21" s="63">
        <f t="shared" si="86"/>
        <v>0</v>
      </c>
      <c r="HK21" s="63">
        <f t="shared" si="87"/>
        <v>0</v>
      </c>
      <c r="HL21" s="63">
        <f t="shared" si="88"/>
        <v>1</v>
      </c>
      <c r="HM21" s="63" cm="1">
        <f t="array" ref="HM21">IF(OR(INDEX(FX_Vap,$KK21,HM$90)="Crude Oil",(INDEX(FX_Vap,$KL21,HM$90)="Crude Oil")),0.75,1)</f>
        <v>1</v>
      </c>
      <c r="HN21" s="63">
        <f t="shared" si="118"/>
        <v>1</v>
      </c>
      <c r="HO21" s="63">
        <f t="shared" si="89"/>
        <v>0</v>
      </c>
      <c r="HP21" s="64">
        <f t="shared" si="90"/>
        <v>0</v>
      </c>
      <c r="HQ21" s="80" t="str" cm="1">
        <f t="array" ref="HQ21">IF(ISBLANK(INDEX(FX_Input,$KB21+1,HQ$85)),INDEX(FX_Input,$KB21,HQ$85),INDEX(FX_Input,$KB21,HQ$85)&amp;" &amp; "&amp;INDEX(FX_Input,$KB21+1,HQ$85))</f>
        <v>Out of Service</v>
      </c>
      <c r="HR21" s="63" cm="1">
        <f t="array" ref="HR21">INDEX(FX_Temps,$KC21+7,HR$89)</f>
        <v>8.51</v>
      </c>
      <c r="HS21" s="63" cm="1">
        <f t="array" ref="HS21">INDEX(FX_Temps,$KC21+13,HS$89)+459.6</f>
        <v>503.94745000000006</v>
      </c>
      <c r="HT21" s="63" cm="1">
        <f t="array" ref="HT21">INDEX(FX_Vap,$KG21,HT$91)-INDEX(FX_Vap,$KH21,HT$91)</f>
        <v>0</v>
      </c>
      <c r="HU21" s="73" cm="1">
        <f t="array" ref="HU21">IF(HQ21="Out of Service",0,INDEX(FX_Vap,$KI21,HU$91))</f>
        <v>0</v>
      </c>
      <c r="HV21" s="63">
        <f t="shared" si="91"/>
        <v>1.2805048686431612E-2</v>
      </c>
      <c r="HW21" s="63">
        <f t="shared" si="92"/>
        <v>1</v>
      </c>
      <c r="HX21" s="63" cm="1">
        <f t="array" ref="HX21">INDEX(FX_Vap,$KJ21,HX$91)</f>
        <v>0</v>
      </c>
      <c r="HY21" s="63" cm="1">
        <f t="array" ref="HY21">INDEX(FX_Temps,$KD21,HY$89)+459.6</f>
        <v>503.94745000000006</v>
      </c>
      <c r="HZ21" s="63">
        <f t="shared" si="93"/>
        <v>0</v>
      </c>
      <c r="IA21" s="63" cm="1">
        <f t="array" ref="IA21">INDEX(Month_Ref,IA$83,3)*HV21*(PI()/4*$F21^2)*$H21*HW21*HZ21</f>
        <v>0</v>
      </c>
      <c r="IB21" s="63" cm="1">
        <f t="array" ref="IB21">INDEX(FX_Input,$KB21,IB$85)</f>
        <v>0</v>
      </c>
      <c r="IC21" s="63">
        <f t="shared" si="94"/>
        <v>0</v>
      </c>
      <c r="ID21" s="63">
        <f t="shared" si="95"/>
        <v>0</v>
      </c>
      <c r="IE21" s="63">
        <f t="shared" si="96"/>
        <v>1</v>
      </c>
      <c r="IF21" s="63" cm="1">
        <f t="array" ref="IF21">IF(OR(INDEX(FX_Vap,$KK21,IF$90)="Crude Oil",(INDEX(FX_Vap,$KL21,IF$90)="Crude Oil")),0.75,1)</f>
        <v>1</v>
      </c>
      <c r="IG21" s="63">
        <f t="shared" si="119"/>
        <v>1</v>
      </c>
      <c r="IH21" s="63">
        <f t="shared" si="97"/>
        <v>0</v>
      </c>
      <c r="II21" s="64">
        <f t="shared" si="98"/>
        <v>0</v>
      </c>
      <c r="IJ21" s="80">
        <f t="shared" si="99"/>
        <v>0</v>
      </c>
      <c r="IK21" s="63">
        <f t="shared" si="100"/>
        <v>0</v>
      </c>
      <c r="IL21" s="63">
        <f t="shared" si="101"/>
        <v>0</v>
      </c>
      <c r="IM21" s="63">
        <f t="shared" si="102"/>
        <v>0</v>
      </c>
      <c r="IN21" s="63">
        <f t="shared" si="103"/>
        <v>0</v>
      </c>
      <c r="IO21" s="64">
        <f t="shared" si="104"/>
        <v>0</v>
      </c>
      <c r="KB21" s="43">
        <f t="shared" si="120"/>
        <v>21</v>
      </c>
      <c r="KC21" s="43">
        <f t="shared" si="121"/>
        <v>141</v>
      </c>
      <c r="KD21" s="43">
        <f t="shared" si="122"/>
        <v>154</v>
      </c>
      <c r="KE21" s="43">
        <f t="shared" si="123"/>
        <v>141</v>
      </c>
      <c r="KF21" s="43">
        <f t="shared" si="124"/>
        <v>341</v>
      </c>
      <c r="KG21" s="43">
        <f t="shared" si="125"/>
        <v>364</v>
      </c>
      <c r="KH21" s="43">
        <f t="shared" si="126"/>
        <v>359</v>
      </c>
      <c r="KI21" s="43">
        <f t="shared" si="105"/>
        <v>369</v>
      </c>
      <c r="KJ21" s="43">
        <f t="shared" si="105"/>
        <v>374</v>
      </c>
      <c r="KK21" s="43">
        <f t="shared" si="127"/>
        <v>345</v>
      </c>
      <c r="KL21" s="43">
        <f t="shared" si="128"/>
        <v>347</v>
      </c>
    </row>
    <row r="22" spans="2:298" x14ac:dyDescent="0.4">
      <c r="B22" s="43" t="str" cm="1">
        <f t="array" ref="B22">INDEX(FX_Input,$KB22,B$85)</f>
        <v>FX - 12</v>
      </c>
      <c r="C22" s="93" t="str" cm="1">
        <f t="array" ref="C22">INDEX(FX_Input,$KB22,C$85)</f>
        <v>FIXTANK 112</v>
      </c>
      <c r="D22" s="80">
        <f t="shared" si="0"/>
        <v>93517.359315734182</v>
      </c>
      <c r="E22" s="63" cm="1">
        <f t="array" ref="E22">IF(ISBLANK(INDEX(FX_Input,$KB22,$E$85)),0.03,INDEX(FX_Input,$KB22,$E$85))-IF(ISBLANK(INDEX(FX_Input,$KB22,$E$86)),-0.03,INDEX(FX_Input,$KB22,$E$86))</f>
        <v>0.06</v>
      </c>
      <c r="F22" s="63" cm="1">
        <f t="array" ref="F22">IF(INDEX(FX_Input,$KB22,F$85)="Vertical",INDEX(FX_Input,$KB22,F$86),SQRT((INDEX(FX_Input,$KB22,F$86)*INDEX(FX_Input,$KB22,F$87))/(PI()/4)))</f>
        <v>84</v>
      </c>
      <c r="G22" s="63" cm="1">
        <f t="array" ref="G22">IF(INDEX(FX_Input,$KB22,G$85)="Vertical",INDEX(FX_Input,$KB22,G$86),INDEX(FX_Input,$KB22,G$87)*PI()/4)</f>
        <v>32</v>
      </c>
      <c r="H22" s="63" cm="1">
        <f t="array" ref="H22">IF(INDEX(FX_Input,$KB22,H$85)="Vertical",G22-G22/2+J22,G22/2)</f>
        <v>16.875</v>
      </c>
      <c r="I22" s="63" cm="1">
        <f t="array" ref="I22">IF(INDEX(FX_Input,$KB22,F$85)="Horizontal","N/A",IF(INDEX(FX_Input,$KB22,I$86)="Cone",IF(ISBLANK(INDEX(FX_Input,$KB22,I$87)),0.0625,INDEX(FX_Input,$KB22,I$87))*F22/2,F22/2-SQRT((F22/2)^2-(INDEX(FX_Input,$KB22,I$88)^2))))</f>
        <v>2.625</v>
      </c>
      <c r="J22" s="63" cm="1">
        <f t="array" ref="J22">IF(INDEX(FX_Input,$KB22,J$85)="Horizontal","N/A",IF(INDEX(FX_Input,$KB22,J$86)="Cone",I22/3,I22*(1/2+(1/6)*(I22/(F22/2))^2)))</f>
        <v>0.875</v>
      </c>
      <c r="K22" s="63">
        <f t="shared" si="1"/>
        <v>31</v>
      </c>
      <c r="L22" s="63">
        <v>1</v>
      </c>
      <c r="M22" s="63" cm="1">
        <f t="array" ref="M22">INDEX(Tbl_71_6,MATCH(INDEX(FX_Input,$KB22,M$85),Paint_Color,0),VLOOKUP(INDEX(FX_Input,$KB22,M$86),Paint_Cond_Column,2,FALSE))</f>
        <v>0.25</v>
      </c>
      <c r="N22" s="63" cm="1">
        <f t="array" ref="N22">INDEX(Tbl_71_6,MATCH(INDEX(FX_Input,$KB22,N$85),Paint_Color,0),VLOOKUP(INDEX(FX_Input,$KB22,N$86),Paint_Cond_Column,2,FALSE))</f>
        <v>0.25</v>
      </c>
      <c r="O22" s="64">
        <f t="shared" si="2"/>
        <v>0.25</v>
      </c>
      <c r="P22" s="80" t="str" cm="1">
        <f t="array" ref="P22">IF(ISBLANK(INDEX(FX_Input,$KB22+1,P$85)),INDEX(FX_Input,$KB22,P$85),INDEX(FX_Input,$KB22,P$85)&amp;" &amp; "&amp;INDEX(FX_Input,$KB22+1,P$85))</f>
        <v>Jet kerosene</v>
      </c>
      <c r="Q22" s="63" cm="1">
        <f t="array" ref="Q22">INDEX(FX_Temps,$KC22+7,Q$89)</f>
        <v>8.9950000000000241</v>
      </c>
      <c r="R22" s="63" cm="1">
        <f t="array" ref="R22">INDEX(FX_Temps,$KC22+13,R$89)+459.6</f>
        <v>504.34892500000001</v>
      </c>
      <c r="S22" s="63" cm="1">
        <f t="array" ref="S22">INDEX(FX_Vap,$KG22,S$91)-INDEX(FX_Vap,$KH22,S$91)</f>
        <v>7.0794953556663209E-4</v>
      </c>
      <c r="T22" s="73" cm="1">
        <f t="array" ref="T22">IF(P22="Out of Service",0,INDEX(FX_Vap,$KI22,T$91))</f>
        <v>4.883250638471285E-3</v>
      </c>
      <c r="U22" s="63">
        <f t="shared" si="3"/>
        <v>1.3800061771949319E-2</v>
      </c>
      <c r="V22" s="63">
        <f t="shared" si="4"/>
        <v>0.99565153444779264</v>
      </c>
      <c r="W22" s="63" cm="1">
        <f t="array" ref="W22">INDEX(FX_Vap,$KJ22,W$91)</f>
        <v>130</v>
      </c>
      <c r="X22" s="63" cm="1">
        <f t="array" ref="X22">INDEX(FX_Temps,$KD22,X$89)+459.6</f>
        <v>504.34892500000001</v>
      </c>
      <c r="Y22" s="63">
        <f t="shared" si="5"/>
        <v>1.1729542507733997E-4</v>
      </c>
      <c r="Z22" s="63" cm="1">
        <f t="array" ref="Z22">INDEX(Month_Ref,Z$83,3)*U22*(PI()/4*$F22^2)*$H22*V22*Y22</f>
        <v>4.672221247530743</v>
      </c>
      <c r="AA22" s="63" cm="1">
        <f t="array" ref="AA22">INDEX(FX_Input,$KB22,AA$85)</f>
        <v>31583</v>
      </c>
      <c r="AB22" s="63">
        <f t="shared" si="6"/>
        <v>177306.962</v>
      </c>
      <c r="AC22" s="63">
        <f t="shared" si="7"/>
        <v>1.0664882632995787</v>
      </c>
      <c r="AD22" s="63">
        <f t="shared" si="8"/>
        <v>1</v>
      </c>
      <c r="AE22" s="63" cm="1">
        <f t="array" ref="AE22">IF(OR(INDEX(FX_Vap,$KK22,AE$90)="Crude Oil",(INDEX(FX_Vap,$KL22,AE$90)="Crude Oil")),0.75,1)</f>
        <v>1</v>
      </c>
      <c r="AF22" s="63">
        <f t="shared" si="108"/>
        <v>1</v>
      </c>
      <c r="AG22" s="63">
        <f t="shared" si="9"/>
        <v>20.797295476961764</v>
      </c>
      <c r="AH22" s="64">
        <f t="shared" si="10"/>
        <v>25.469516724492507</v>
      </c>
      <c r="AI22" s="80" t="str" cm="1">
        <f t="array" ref="AI22">IF(ISBLANK(INDEX(FX_Input,$KB22+1,AI$85)),INDEX(FX_Input,$KB22,AI$85),INDEX(FX_Input,$KB22,AI$85)&amp;" &amp; "&amp;INDEX(FX_Input,$KB22+1,AI$85))</f>
        <v>Jet kerosene</v>
      </c>
      <c r="AJ22" s="63" cm="1">
        <f t="array" ref="AJ22">INDEX(FX_Temps,$KC22+7,AJ$89)</f>
        <v>12.239999999999991</v>
      </c>
      <c r="AK22" s="63" cm="1">
        <f t="array" ref="AK22">INDEX(FX_Temps,$KC22+13,AK$89)+459.6</f>
        <v>505.78500000000008</v>
      </c>
      <c r="AL22" s="63" cm="1">
        <f t="array" ref="AL22">INDEX(FX_Vap,$KG22,AL$91)-INDEX(FX_Vap,$KH22,AL$91)</f>
        <v>9.3413357178260322E-4</v>
      </c>
      <c r="AM22" s="73" cm="1">
        <f t="array" ref="AM22">IF(AI22="Out of Service",0,INDEX(FX_Vap,$KI22,AM$91))</f>
        <v>5.1351067062407989E-3</v>
      </c>
      <c r="AN22" s="63">
        <f t="shared" si="11"/>
        <v>2.0180515663370695E-2</v>
      </c>
      <c r="AO22" s="63">
        <f t="shared" si="12"/>
        <v>0.99542828550333973</v>
      </c>
      <c r="AP22" s="63" cm="1">
        <f t="array" ref="AP22">INDEX(FX_Vap,$KJ22,AP$91)</f>
        <v>130</v>
      </c>
      <c r="AQ22" s="63" cm="1">
        <f t="array" ref="AQ22">INDEX(FX_Temps,$KD22,AQ$89)+459.6</f>
        <v>505.78500000000008</v>
      </c>
      <c r="AR22" s="63">
        <f t="shared" si="13"/>
        <v>1.2299478130220538E-4</v>
      </c>
      <c r="AS22" s="63" cm="1">
        <f t="array" ref="AS22">INDEX(Month_Ref,AS$83,3)*AN22*(PI()/4*$F22^2)*$H22*AO22*AR22</f>
        <v>6.4696261804819581</v>
      </c>
      <c r="AT22" s="63" cm="1">
        <f t="array" ref="AT22">INDEX(FX_Input,$KB22,AT$85)</f>
        <v>31583</v>
      </c>
      <c r="AU22" s="63">
        <f t="shared" si="14"/>
        <v>177306.962</v>
      </c>
      <c r="AV22" s="63">
        <f t="shared" si="15"/>
        <v>1.0664882632995787</v>
      </c>
      <c r="AW22" s="63">
        <f t="shared" si="16"/>
        <v>1</v>
      </c>
      <c r="AX22" s="63" cm="1">
        <f t="array" ref="AX22">IF(OR(INDEX(FX_Vap,$KK22,AX$90)="Crude Oil",(INDEX(FX_Vap,$KL22,AX$90)="Crude Oil")),0.75,1)</f>
        <v>1</v>
      </c>
      <c r="AY22" s="63">
        <f t="shared" si="109"/>
        <v>1</v>
      </c>
      <c r="AZ22" s="63">
        <f t="shared" si="17"/>
        <v>21.807831014548441</v>
      </c>
      <c r="BA22" s="64">
        <f t="shared" si="18"/>
        <v>28.277457195030401</v>
      </c>
      <c r="BB22" s="80" t="str" cm="1">
        <f t="array" ref="BB22">IF(ISBLANK(INDEX(FX_Input,$KB22+1,BB$85)),INDEX(FX_Input,$KB22,BB$85),INDEX(FX_Input,$KB22,BB$85)&amp;" &amp; "&amp;INDEX(FX_Input,$KB22+1,BB$85))</f>
        <v>Jet kerosene</v>
      </c>
      <c r="BC22" s="63" cm="1">
        <f t="array" ref="BC22">INDEX(FX_Temps,$KC22+7,BC$89)</f>
        <v>13.62500000000003</v>
      </c>
      <c r="BD22" s="63" cm="1">
        <f t="array" ref="BD22">INDEX(FX_Temps,$KC22+13,BD$89)+459.6</f>
        <v>507.87057500000003</v>
      </c>
      <c r="BE22" s="63" cm="1">
        <f t="array" ref="BE22">INDEX(FX_Vap,$KG22,BE$91)-INDEX(FX_Vap,$KH22,BE$91)</f>
        <v>9.8971985989682477E-4</v>
      </c>
      <c r="BF22" s="73" cm="1">
        <f t="array" ref="BF22">IF(BB22="Out of Service",0,INDEX(FX_Vap,$KI22,BF$91))</f>
        <v>5.5213829543467952E-3</v>
      </c>
      <c r="BG22" s="63">
        <f t="shared" si="19"/>
        <v>2.2811888004276384E-2</v>
      </c>
      <c r="BH22" s="63">
        <f t="shared" si="20"/>
        <v>0.99508607898051282</v>
      </c>
      <c r="BI22" s="63" cm="1">
        <f t="array" ref="BI22">INDEX(FX_Vap,$KJ22,BI$91)</f>
        <v>130</v>
      </c>
      <c r="BJ22" s="63" cm="1">
        <f t="array" ref="BJ22">INDEX(FX_Temps,$KD22,BJ$89)+459.6</f>
        <v>507.87057500000003</v>
      </c>
      <c r="BK22" s="63">
        <f t="shared" si="21"/>
        <v>1.3170370007990181E-4</v>
      </c>
      <c r="BL22" s="63" cm="1">
        <f t="array" ref="BL22">INDEX(Month_Ref,BL$83,3)*BG22*(PI()/4*$F22^2)*$H22*BH22*BK22</f>
        <v>8.6670995793901113</v>
      </c>
      <c r="BM22" s="63" cm="1">
        <f t="array" ref="BM22">INDEX(FX_Input,$KB22,BM$85)</f>
        <v>31583</v>
      </c>
      <c r="BN22" s="63">
        <f t="shared" si="22"/>
        <v>177306.962</v>
      </c>
      <c r="BO22" s="63">
        <f t="shared" si="23"/>
        <v>1.0664882632995787</v>
      </c>
      <c r="BP22" s="63">
        <f t="shared" si="24"/>
        <v>1</v>
      </c>
      <c r="BQ22" s="63" cm="1">
        <f t="array" ref="BQ22">IF(OR(INDEX(FX_Vap,$KK22,BQ$90)="Crude Oil",(INDEX(FX_Vap,$KL22,BQ$90)="Crude Oil")),0.75,1)</f>
        <v>1</v>
      </c>
      <c r="BR22" s="63">
        <f t="shared" si="110"/>
        <v>1</v>
      </c>
      <c r="BS22" s="63">
        <f t="shared" si="25"/>
        <v>23.351982945326547</v>
      </c>
      <c r="BT22" s="64">
        <f t="shared" si="26"/>
        <v>32.019082524716659</v>
      </c>
      <c r="BU22" s="80" t="str" cm="1">
        <f t="array" ref="BU22">IF(ISBLANK(INDEX(FX_Input,$KB22+1,BU$85)),INDEX(FX_Input,$KB22,BU$85),INDEX(FX_Input,$KB22,BU$85)&amp;" &amp; "&amp;INDEX(FX_Input,$KB22+1,BU$85))</f>
        <v>Jet kerosene</v>
      </c>
      <c r="BV22" s="63" cm="1">
        <f t="array" ref="BV22">INDEX(FX_Temps,$KC22+7,BV$89)</f>
        <v>15.639999999999983</v>
      </c>
      <c r="BW22" s="63" cm="1">
        <f t="array" ref="BW22">INDEX(FX_Temps,$KC22+13,BW$89)+459.6</f>
        <v>511.29869999999994</v>
      </c>
      <c r="BX22" s="63" cm="1">
        <f t="array" ref="BX22">INDEX(FX_Vap,$KG22,BX$91)-INDEX(FX_Vap,$KH22,BX$91)</f>
        <v>1.1058961440241618E-3</v>
      </c>
      <c r="BY22" s="73" cm="1">
        <f t="array" ref="BY22">IF(BU22="Out of Service",0,INDEX(FX_Vap,$KI22,BY$91))</f>
        <v>6.2124720487193742E-3</v>
      </c>
      <c r="BZ22" s="63">
        <f t="shared" si="27"/>
        <v>2.6580677742499288E-2</v>
      </c>
      <c r="CA22" s="63">
        <f t="shared" si="28"/>
        <v>0.99447442196841118</v>
      </c>
      <c r="CB22" s="63" cm="1">
        <f t="array" ref="CB22">INDEX(FX_Vap,$KJ22,CB$91)</f>
        <v>130</v>
      </c>
      <c r="CC22" s="63" cm="1">
        <f t="array" ref="CC22">INDEX(FX_Temps,$KD22,CC$89)+459.6</f>
        <v>511.29869999999994</v>
      </c>
      <c r="CD22" s="63">
        <f t="shared" si="29"/>
        <v>1.4719495213728575E-4</v>
      </c>
      <c r="CE22" s="63" cm="1">
        <f t="array" ref="CE22">INDEX(Month_Ref,CE$83,3)*BZ22*(PI()/4*$F22^2)*$H22*CA22*CD22</f>
        <v>10.916064021117872</v>
      </c>
      <c r="CF22" s="63" cm="1">
        <f t="array" ref="CF22">INDEX(FX_Input,$KB22,CF$85)</f>
        <v>31583</v>
      </c>
      <c r="CG22" s="63">
        <f t="shared" si="30"/>
        <v>177306.962</v>
      </c>
      <c r="CH22" s="63">
        <f t="shared" si="31"/>
        <v>1.0664882632995787</v>
      </c>
      <c r="CI22" s="63">
        <f t="shared" si="32"/>
        <v>1</v>
      </c>
      <c r="CJ22" s="63" cm="1">
        <f t="array" ref="CJ22">IF(OR(INDEX(FX_Vap,$KK22,CJ$90)="Crude Oil",(INDEX(FX_Vap,$KL22,CJ$90)="Crude Oil")),0.75,1)</f>
        <v>1</v>
      </c>
      <c r="CK22" s="63">
        <f t="shared" si="111"/>
        <v>1</v>
      </c>
      <c r="CL22" s="63">
        <f t="shared" si="33"/>
        <v>26.098689785197543</v>
      </c>
      <c r="CM22" s="64">
        <f t="shared" si="34"/>
        <v>37.014753806315412</v>
      </c>
      <c r="CN22" s="80" t="str" cm="1">
        <f t="array" ref="CN22">IF(ISBLANK(INDEX(FX_Input,$KB22+1,CN$85)),INDEX(FX_Input,$KB22,CN$85),INDEX(FX_Input,$KB22,CN$85)&amp;" &amp; "&amp;INDEX(FX_Input,$KB22+1,CN$85))</f>
        <v>Jet kerosene</v>
      </c>
      <c r="CO22" s="63" cm="1">
        <f t="array" ref="CO22">INDEX(FX_Temps,$KC22+7,CO$89)</f>
        <v>16.994999999999969</v>
      </c>
      <c r="CP22" s="63" cm="1">
        <f t="array" ref="CP22">INDEX(FX_Temps,$KC22+13,CP$89)+459.6</f>
        <v>516.5540749999999</v>
      </c>
      <c r="CQ22" s="63" cm="1">
        <f t="array" ref="CQ22">INDEX(FX_Vap,$KG22,CQ$91)-INDEX(FX_Vap,$KH22,CQ$91)</f>
        <v>1.2769509865756092E-3</v>
      </c>
      <c r="CR22" s="73" cm="1">
        <f t="array" ref="CR22">IF(CN22="Out of Service",0,INDEX(FX_Vap,$KI22,CR$91))</f>
        <v>7.4209663387537275E-3</v>
      </c>
      <c r="CS22" s="63">
        <f t="shared" si="35"/>
        <v>2.8903935164848002E-2</v>
      </c>
      <c r="CT22" s="63">
        <f t="shared" si="36"/>
        <v>0.99340663423519393</v>
      </c>
      <c r="CU22" s="63" cm="1">
        <f t="array" ref="CU22">INDEX(FX_Vap,$KJ22,CU$91)</f>
        <v>130</v>
      </c>
      <c r="CV22" s="63" cm="1">
        <f t="array" ref="CV22">INDEX(FX_Temps,$KD22,CV$89)+459.6</f>
        <v>516.5540749999999</v>
      </c>
      <c r="CW22" s="63">
        <f t="shared" si="37"/>
        <v>1.7403950007616097E-4</v>
      </c>
      <c r="CX22" s="63" cm="1">
        <f t="array" ref="CX22">INDEX(Month_Ref,CX$83,3)*CS22*(PI()/4*$F22^2)*$H22*CT22*CW22</f>
        <v>14.487244386747287</v>
      </c>
      <c r="CY22" s="63" cm="1">
        <f t="array" ref="CY22">INDEX(FX_Input,$KB22,CY$85)</f>
        <v>31583</v>
      </c>
      <c r="CZ22" s="63">
        <f t="shared" si="38"/>
        <v>177306.962</v>
      </c>
      <c r="DA22" s="63">
        <f t="shared" si="39"/>
        <v>1.0664882632995787</v>
      </c>
      <c r="DB22" s="63">
        <f t="shared" si="40"/>
        <v>1</v>
      </c>
      <c r="DC22" s="63" cm="1">
        <f t="array" ref="DC22">IF(OR(INDEX(FX_Vap,$KK22,DC$90)="Crude Oil",(INDEX(FX_Vap,$KL22,DC$90)="Crude Oil")),0.75,1)</f>
        <v>1</v>
      </c>
      <c r="DD22" s="63">
        <f t="shared" si="112"/>
        <v>1</v>
      </c>
      <c r="DE22" s="63">
        <f t="shared" si="41"/>
        <v>30.858415026502872</v>
      </c>
      <c r="DF22" s="64">
        <f t="shared" si="42"/>
        <v>45.345659413250161</v>
      </c>
      <c r="DG22" s="80" t="str" cm="1">
        <f t="array" ref="DG22">IF(ISBLANK(INDEX(FX_Input,$KB22+1,DG$85)),INDEX(FX_Input,$KB22,DG$85),INDEX(FX_Input,$KB22,DG$85)&amp;" &amp; "&amp;INDEX(FX_Input,$KB22+1,DG$85))</f>
        <v>Jet kerosene</v>
      </c>
      <c r="DH22" s="63" cm="1">
        <f t="array" ref="DH22">INDEX(FX_Temps,$KC22+7,DH$89)</f>
        <v>16.885000000000041</v>
      </c>
      <c r="DI22" s="63" cm="1">
        <f t="array" ref="DI22">INDEX(FX_Temps,$KC22+13,DI$89)+459.6</f>
        <v>520.5768250000001</v>
      </c>
      <c r="DJ22" s="63" cm="1">
        <f t="array" ref="DJ22">INDEX(FX_Vap,$KG22,DJ$91)-INDEX(FX_Vap,$KH22,DJ$91)</f>
        <v>1.3484653740421003E-3</v>
      </c>
      <c r="DK22" s="73" cm="1">
        <f t="array" ref="DK22">IF(DG22="Out of Service",0,INDEX(FX_Vap,$KI22,DK$91))</f>
        <v>8.4819819298252285E-3</v>
      </c>
      <c r="DL22" s="63">
        <f t="shared" si="43"/>
        <v>2.8442970354993463E-2</v>
      </c>
      <c r="DM22" s="63">
        <f t="shared" si="44"/>
        <v>0.99247104262864716</v>
      </c>
      <c r="DN22" s="63" cm="1">
        <f t="array" ref="DN22">INDEX(FX_Vap,$KJ22,DN$91)</f>
        <v>130</v>
      </c>
      <c r="DO22" s="63" cm="1">
        <f t="array" ref="DO22">INDEX(FX_Temps,$KD22,DO$89)+459.6</f>
        <v>520.5768250000001</v>
      </c>
      <c r="DP22" s="63">
        <f t="shared" si="45"/>
        <v>1.9738569267093546E-4</v>
      </c>
      <c r="DQ22" s="63" cm="1">
        <f t="array" ref="DQ22">INDEX(Month_Ref,DQ$83,3)*DL22*(PI()/4*$F22^2)*$H22*DM22*DP22</f>
        <v>15.632266580960007</v>
      </c>
      <c r="DR22" s="63" cm="1">
        <f t="array" ref="DR22">INDEX(FX_Input,$KB22,DR$85)</f>
        <v>31583</v>
      </c>
      <c r="DS22" s="63">
        <f t="shared" si="46"/>
        <v>177306.962</v>
      </c>
      <c r="DT22" s="63">
        <f t="shared" si="47"/>
        <v>1.0664882632995787</v>
      </c>
      <c r="DU22" s="63">
        <f t="shared" si="48"/>
        <v>1</v>
      </c>
      <c r="DV22" s="63" cm="1">
        <f t="array" ref="DV22">IF(OR(INDEX(FX_Vap,$KK22,DV$90)="Crude Oil",(INDEX(FX_Vap,$KL22,DV$90)="Crude Oil")),0.75,1)</f>
        <v>1</v>
      </c>
      <c r="DW22" s="63">
        <f t="shared" si="113"/>
        <v>1</v>
      </c>
      <c r="DX22" s="63">
        <f t="shared" si="49"/>
        <v>34.997857509749231</v>
      </c>
      <c r="DY22" s="64">
        <f t="shared" si="50"/>
        <v>50.630124090709238</v>
      </c>
      <c r="DZ22" s="80" t="str" cm="1">
        <f t="array" ref="DZ22">IF(ISBLANK(INDEX(FX_Input,$KB22+1,DZ$85)),INDEX(FX_Input,$KB22,DZ$85),INDEX(FX_Input,$KB22,DZ$85)&amp;" &amp; "&amp;INDEX(FX_Input,$KB22+1,DZ$85))</f>
        <v>Jet kerosene</v>
      </c>
      <c r="EA22" s="63" cm="1">
        <f t="array" ref="EA22">INDEX(FX_Temps,$KC22+7,EA$89)</f>
        <v>17.42999999999995</v>
      </c>
      <c r="EB22" s="63" cm="1">
        <f t="array" ref="EB22">INDEX(FX_Temps,$KC22+13,EB$89)+459.6</f>
        <v>524.27729999999985</v>
      </c>
      <c r="EC22" s="63" cm="1">
        <f t="array" ref="EC22">INDEX(FX_Vap,$KG22,EC$91)-INDEX(FX_Vap,$KH22,EC$91)</f>
        <v>1.5227758159827732E-3</v>
      </c>
      <c r="ED22" s="73" cm="1">
        <f t="array" ref="ED22">IF(DZ22="Out of Service",0,INDEX(FX_Vap,$KI22,ED$91))</f>
        <v>9.5741064128135375E-3</v>
      </c>
      <c r="EE22" s="63">
        <f t="shared" si="51"/>
        <v>2.9265130122321317E-2</v>
      </c>
      <c r="EF22" s="63">
        <f t="shared" si="52"/>
        <v>0.99150985831395588</v>
      </c>
      <c r="EG22" s="63" cm="1">
        <f t="array" ref="EG22">INDEX(FX_Vap,$KJ22,EG$91)</f>
        <v>130</v>
      </c>
      <c r="EH22" s="63" cm="1">
        <f t="array" ref="EH22">INDEX(FX_Temps,$KD22,EH$89)+459.6</f>
        <v>524.27729999999985</v>
      </c>
      <c r="EI22" s="63">
        <f t="shared" si="53"/>
        <v>2.2122813261247964E-4</v>
      </c>
      <c r="EJ22" s="63" cm="1">
        <f t="array" ref="EJ22">INDEX(Month_Ref,EJ$83,3)*EE22*(PI()/4*$F22^2)*$H22*EF22*EI22</f>
        <v>18.609803111870566</v>
      </c>
      <c r="EK22" s="63" cm="1">
        <f t="array" ref="EK22">INDEX(FX_Input,$KB22,EK$85)</f>
        <v>31583</v>
      </c>
      <c r="EL22" s="63">
        <f t="shared" si="54"/>
        <v>177306.962</v>
      </c>
      <c r="EM22" s="63">
        <f t="shared" si="55"/>
        <v>1.0664882632995787</v>
      </c>
      <c r="EN22" s="63">
        <f t="shared" si="56"/>
        <v>1</v>
      </c>
      <c r="EO22" s="63" cm="1">
        <f t="array" ref="EO22">IF(OR(INDEX(FX_Vap,$KK22,EO$90)="Crude Oil",(INDEX(FX_Vap,$KL22,EO$90)="Crude Oil")),0.75,1)</f>
        <v>1</v>
      </c>
      <c r="EP22" s="63">
        <f t="shared" si="114"/>
        <v>1</v>
      </c>
      <c r="EQ22" s="63">
        <f t="shared" si="57"/>
        <v>39.225288102451884</v>
      </c>
      <c r="ER22" s="64">
        <f t="shared" si="58"/>
        <v>57.835091214322446</v>
      </c>
      <c r="ES22" s="80" t="str" cm="1">
        <f t="array" ref="ES22">IF(ISBLANK(INDEX(FX_Input,$KB22+1,ES$85)),INDEX(FX_Input,$KB22,ES$85),INDEX(FX_Input,$KB22,ES$85)&amp;" &amp; "&amp;INDEX(FX_Input,$KB22+1,ES$85))</f>
        <v>Jet kerosene</v>
      </c>
      <c r="ET22" s="63" cm="1">
        <f t="array" ref="ET22">INDEX(FX_Temps,$KC22+7,ET$89)</f>
        <v>16.980000000000015</v>
      </c>
      <c r="EU22" s="63" cm="1">
        <f t="array" ref="EU22">INDEX(FX_Temps,$KC22+13,EU$89)+459.6</f>
        <v>524.19269999999995</v>
      </c>
      <c r="EV22" s="63" cm="1">
        <f t="array" ref="EV22">INDEX(FX_Vap,$KG22,EV$91)-INDEX(FX_Vap,$KH22,EV$91)</f>
        <v>1.6347701028187334E-3</v>
      </c>
      <c r="EW22" s="73" cm="1">
        <f t="array" ref="EW22">IF(ES22="Out of Service",0,INDEX(FX_Vap,$KI22,EW$91))</f>
        <v>9.5478148180509845E-3</v>
      </c>
      <c r="EX22" s="63">
        <f t="shared" si="59"/>
        <v>2.8419663497525748E-2</v>
      </c>
      <c r="EY22" s="63">
        <f t="shared" si="60"/>
        <v>0.99153297580935262</v>
      </c>
      <c r="EZ22" s="63" cm="1">
        <f t="array" ref="EZ22">INDEX(FX_Vap,$KJ22,EZ$91)</f>
        <v>130</v>
      </c>
      <c r="FA22" s="63" cm="1">
        <f t="array" ref="FA22">INDEX(FX_Temps,$KD22,FA$89)+459.6</f>
        <v>524.19269999999995</v>
      </c>
      <c r="FB22" s="63">
        <f t="shared" si="61"/>
        <v>2.2065622096450189E-4</v>
      </c>
      <c r="FC22" s="63" cm="1">
        <f t="array" ref="FC22">INDEX(Month_Ref,FC$83,3)*EX22*(PI()/4*$F22^2)*$H22*EY22*FB22</f>
        <v>18.025868498982099</v>
      </c>
      <c r="FD22" s="63" cm="1">
        <f t="array" ref="FD22">INDEX(FX_Input,$KB22,FD$85)</f>
        <v>31583</v>
      </c>
      <c r="FE22" s="63">
        <f t="shared" si="62"/>
        <v>177306.962</v>
      </c>
      <c r="FF22" s="63">
        <f t="shared" si="63"/>
        <v>1.0664882632995787</v>
      </c>
      <c r="FG22" s="63">
        <f t="shared" si="64"/>
        <v>1</v>
      </c>
      <c r="FH22" s="63" cm="1">
        <f t="array" ref="FH22">IF(OR(INDEX(FX_Vap,$KK22,FH$90)="Crude Oil",(INDEX(FX_Vap,$KL22,FH$90)="Crude Oil")),0.75,1)</f>
        <v>1</v>
      </c>
      <c r="FI22" s="63">
        <f t="shared" si="115"/>
        <v>1</v>
      </c>
      <c r="FJ22" s="63">
        <f t="shared" si="65"/>
        <v>39.123884185616539</v>
      </c>
      <c r="FK22" s="64">
        <f t="shared" si="66"/>
        <v>57.149752684598639</v>
      </c>
      <c r="FL22" s="80" t="str" cm="1">
        <f t="array" ref="FL22">IF(ISBLANK(INDEX(FX_Input,$KB22+1,FL$85)),INDEX(FX_Input,$KB22,FL$85),INDEX(FX_Input,$KB22,FL$85)&amp;" &amp; "&amp;INDEX(FX_Input,$KB22+1,FL$85))</f>
        <v>Jet kerosene</v>
      </c>
      <c r="FM22" s="63" cm="1">
        <f t="array" ref="FM22">INDEX(FX_Temps,$KC22+7,FM$89)</f>
        <v>17.459999999999983</v>
      </c>
      <c r="FN22" s="63" cm="1">
        <f t="array" ref="FN22">INDEX(FX_Temps,$KC22+13,FN$89)+459.6</f>
        <v>521.16010000000006</v>
      </c>
      <c r="FO22" s="63" cm="1">
        <f t="array" ref="FO22">INDEX(FX_Vap,$KG22,FO$91)-INDEX(FX_Vap,$KH22,FO$91)</f>
        <v>1.8182300379836203E-3</v>
      </c>
      <c r="FP22" s="73" cm="1">
        <f t="array" ref="FP22">IF(FL22="Out of Service",0,INDEX(FX_Vap,$KI22,FP$91))</f>
        <v>8.6464528192362108E-3</v>
      </c>
      <c r="FQ22" s="63">
        <f t="shared" si="67"/>
        <v>2.9541908055768631E-2</v>
      </c>
      <c r="FR22" s="63">
        <f t="shared" si="68"/>
        <v>0.99232617178743121</v>
      </c>
      <c r="FS22" s="63" cm="1">
        <f t="array" ref="FS22">INDEX(FX_Vap,$KJ22,FS$91)</f>
        <v>130</v>
      </c>
      <c r="FT22" s="63" cm="1">
        <f t="array" ref="FT22">INDEX(FX_Temps,$KD22,FT$89)+459.6</f>
        <v>521.16010000000006</v>
      </c>
      <c r="FU22" s="63">
        <f t="shared" si="69"/>
        <v>2.009879287762041E-4</v>
      </c>
      <c r="FV22" s="63" cm="1">
        <f t="array" ref="FV22">INDEX(Month_Ref,FV$83,3)*FQ22*(PI()/4*$F22^2)*$H22*FR22*FU22</f>
        <v>16.530136971927629</v>
      </c>
      <c r="FW22" s="63" cm="1">
        <f t="array" ref="FW22">INDEX(FX_Input,$KB22,FW$85)</f>
        <v>31583</v>
      </c>
      <c r="FX22" s="63">
        <f t="shared" si="70"/>
        <v>177306.962</v>
      </c>
      <c r="FY22" s="63">
        <f t="shared" si="71"/>
        <v>1.0664882632995787</v>
      </c>
      <c r="FZ22" s="63">
        <f t="shared" si="72"/>
        <v>1</v>
      </c>
      <c r="GA22" s="63" cm="1">
        <f t="array" ref="GA22">IF(OR(INDEX(FX_Vap,$KK22,GA$90)="Crude Oil",(INDEX(FX_Vap,$KL22,GA$90)="Crude Oil")),0.75,1)</f>
        <v>1</v>
      </c>
      <c r="GB22" s="63">
        <f t="shared" si="116"/>
        <v>1</v>
      </c>
      <c r="GC22" s="63">
        <f t="shared" si="73"/>
        <v>35.63655904998113</v>
      </c>
      <c r="GD22" s="64">
        <f t="shared" si="74"/>
        <v>52.166696021908763</v>
      </c>
      <c r="GE22" s="80" t="str" cm="1">
        <f t="array" ref="GE22">IF(ISBLANK(INDEX(FX_Input,$KB22+1,GE$85)),INDEX(FX_Input,$KB22,GE$85),INDEX(FX_Input,$KB22,GE$85)&amp;" &amp; "&amp;INDEX(FX_Input,$KB22+1,GE$85))</f>
        <v>Jet kerosene</v>
      </c>
      <c r="GF22" s="63" cm="1">
        <f t="array" ref="GF22">INDEX(FX_Temps,$KC22+7,GF$89)</f>
        <v>13.929999999999993</v>
      </c>
      <c r="GG22" s="63" cm="1">
        <f t="array" ref="GG22">INDEX(FX_Temps,$KC22+13,GG$89)+459.6</f>
        <v>514.05180000000007</v>
      </c>
      <c r="GH22" s="63" cm="1">
        <f t="array" ref="GH22">INDEX(FX_Vap,$KG22,GH$91)-INDEX(FX_Vap,$KH22,GH$91)</f>
        <v>1.3347759158748732E-3</v>
      </c>
      <c r="GI22" s="73" cm="1">
        <f t="array" ref="GI22">IF(GE22="Out of Service",0,INDEX(FX_Vap,$KI22,GI$91))</f>
        <v>6.8218393379121701E-3</v>
      </c>
      <c r="GJ22" s="63">
        <f t="shared" si="75"/>
        <v>2.3105751925026341E-2</v>
      </c>
      <c r="GK22" s="63">
        <f t="shared" si="76"/>
        <v>0.99393571734414876</v>
      </c>
      <c r="GL22" s="63" cm="1">
        <f t="array" ref="GL22">INDEX(FX_Vap,$KJ22,GL$91)</f>
        <v>130</v>
      </c>
      <c r="GM22" s="63" cm="1">
        <f t="array" ref="GM22">INDEX(FX_Temps,$KD22,GM$89)+459.6</f>
        <v>514.05180000000007</v>
      </c>
      <c r="GN22" s="63">
        <f t="shared" si="77"/>
        <v>1.6076731562400743E-4</v>
      </c>
      <c r="GO22" s="63" cm="1">
        <f t="array" ref="GO22">INDEX(Month_Ref,GO$83,3)*GJ22*(PI()/4*$F22^2)*$H22*GK22*GN22</f>
        <v>10.703605467316834</v>
      </c>
      <c r="GP22" s="63" cm="1">
        <f t="array" ref="GP22">INDEX(FX_Input,$KB22,GP$85)</f>
        <v>31583</v>
      </c>
      <c r="GQ22" s="63">
        <f t="shared" si="78"/>
        <v>177306.962</v>
      </c>
      <c r="GR22" s="63">
        <f t="shared" si="79"/>
        <v>1.0664882632995787</v>
      </c>
      <c r="GS22" s="63">
        <f t="shared" si="80"/>
        <v>1</v>
      </c>
      <c r="GT22" s="63" cm="1">
        <f t="array" ref="GT22">IF(OR(INDEX(FX_Vap,$KK22,GT$90)="Crude Oil",(INDEX(FX_Vap,$KL22,GT$90)="Crude Oil")),0.75,1)</f>
        <v>1</v>
      </c>
      <c r="GU22" s="63">
        <f t="shared" si="117"/>
        <v>1</v>
      </c>
      <c r="GV22" s="63">
        <f t="shared" si="81"/>
        <v>28.505164322187891</v>
      </c>
      <c r="GW22" s="64">
        <f t="shared" si="82"/>
        <v>39.208769789504728</v>
      </c>
      <c r="GX22" s="80" t="str" cm="1">
        <f t="array" ref="GX22">IF(ISBLANK(INDEX(FX_Input,$KB22+1,GX$85)),INDEX(FX_Input,$KB22,GX$85),INDEX(FX_Input,$KB22,GX$85)&amp;" &amp; "&amp;INDEX(FX_Input,$KB22+1,GX$85))</f>
        <v>Jet kerosene</v>
      </c>
      <c r="GY22" s="63" cm="1">
        <f t="array" ref="GY22">INDEX(FX_Temps,$KC22+7,GY$89)</f>
        <v>10.495000000000031</v>
      </c>
      <c r="GZ22" s="63" cm="1">
        <f t="array" ref="GZ22">INDEX(FX_Temps,$KC22+13,GZ$89)+459.6</f>
        <v>507.66772500000002</v>
      </c>
      <c r="HA22" s="63" cm="1">
        <f t="array" ref="HA22">INDEX(FX_Vap,$KG22,HA$91)-INDEX(FX_Vap,$KH22,HA$91)</f>
        <v>9.195178026090425E-4</v>
      </c>
      <c r="HB22" s="73" cm="1">
        <f t="array" ref="HB22">IF(GX22="Out of Service",0,INDEX(FX_Vap,$KI22,HB$91))</f>
        <v>5.4827140055800742E-3</v>
      </c>
      <c r="HC22" s="63">
        <f t="shared" si="83"/>
        <v>1.6652390699251968E-2</v>
      </c>
      <c r="HD22" s="63">
        <f t="shared" si="84"/>
        <v>0.99512032564384434</v>
      </c>
      <c r="HE22" s="63" cm="1">
        <f t="array" ref="HE22">INDEX(FX_Vap,$KJ22,HE$91)</f>
        <v>130</v>
      </c>
      <c r="HF22" s="63" cm="1">
        <f t="array" ref="HF22">INDEX(FX_Temps,$KD22,HF$89)+459.6</f>
        <v>507.66772500000002</v>
      </c>
      <c r="HG22" s="63">
        <f t="shared" si="85"/>
        <v>1.3083357117100054E-4</v>
      </c>
      <c r="HH22" s="63" cm="1">
        <f t="array" ref="HH22">INDEX(Month_Ref,HH$83,3)*HC22*(PI()/4*$F22^2)*$H22*HD22*HG22</f>
        <v>6.0825386085184672</v>
      </c>
      <c r="HI22" s="63" cm="1">
        <f t="array" ref="HI22">INDEX(FX_Input,$KB22,HI$85)</f>
        <v>31583</v>
      </c>
      <c r="HJ22" s="63">
        <f t="shared" si="86"/>
        <v>177306.962</v>
      </c>
      <c r="HK22" s="63">
        <f t="shared" si="87"/>
        <v>1.0664882632995787</v>
      </c>
      <c r="HL22" s="63">
        <f t="shared" si="88"/>
        <v>1</v>
      </c>
      <c r="HM22" s="63" cm="1">
        <f t="array" ref="HM22">IF(OR(INDEX(FX_Vap,$KK22,HM$90)="Crude Oil",(INDEX(FX_Vap,$KL22,HM$90)="Crude Oil")),0.75,1)</f>
        <v>1</v>
      </c>
      <c r="HN22" s="63">
        <f t="shared" si="118"/>
        <v>1</v>
      </c>
      <c r="HO22" s="63">
        <f t="shared" si="89"/>
        <v>23.197703031940886</v>
      </c>
      <c r="HP22" s="64">
        <f t="shared" si="90"/>
        <v>29.280241640459352</v>
      </c>
      <c r="HQ22" s="80" t="str" cm="1">
        <f t="array" ref="HQ22">IF(ISBLANK(INDEX(FX_Input,$KB22+1,HQ$85)),INDEX(FX_Input,$KB22,HQ$85),INDEX(FX_Input,$KB22,HQ$85)&amp;" &amp; "&amp;INDEX(FX_Input,$KB22+1,HQ$85))</f>
        <v>Jet kerosene</v>
      </c>
      <c r="HR22" s="63" cm="1">
        <f t="array" ref="HR22">INDEX(FX_Temps,$KC22+7,HR$89)</f>
        <v>8.51</v>
      </c>
      <c r="HS22" s="63" cm="1">
        <f t="array" ref="HS22">INDEX(FX_Temps,$KC22+13,HS$89)+459.6</f>
        <v>503.94745000000006</v>
      </c>
      <c r="HT22" s="63" cm="1">
        <f t="array" ref="HT22">INDEX(FX_Vap,$KG22,HT$91)-INDEX(FX_Vap,$KH22,HT$91)</f>
        <v>6.7288136336403261E-4</v>
      </c>
      <c r="HU22" s="73" cm="1">
        <f t="array" ref="HU22">IF(HQ22="Out of Service",0,INDEX(FX_Vap,$KI22,HU$91))</f>
        <v>4.8148298503950734E-3</v>
      </c>
      <c r="HV22" s="63">
        <f t="shared" si="91"/>
        <v>1.2849500592893781E-2</v>
      </c>
      <c r="HW22" s="63">
        <f t="shared" si="92"/>
        <v>0.99571220094489388</v>
      </c>
      <c r="HX22" s="63" cm="1">
        <f t="array" ref="HX22">INDEX(FX_Vap,$KJ22,HX$91)</f>
        <v>130</v>
      </c>
      <c r="HY22" s="63" cm="1">
        <f t="array" ref="HY22">INDEX(FX_Temps,$KD22,HY$89)+459.6</f>
        <v>503.94745000000006</v>
      </c>
      <c r="HZ22" s="63">
        <f t="shared" si="93"/>
        <v>1.1574409666728695E-4</v>
      </c>
      <c r="IA22" s="63" cm="1">
        <f t="array" ref="IA22">INDEX(Month_Ref,IA$83,3)*HV22*(PI()/4*$F22^2)*$H22*HW22*HZ22</f>
        <v>4.2931183021752757</v>
      </c>
      <c r="IB22" s="63" cm="1">
        <f t="array" ref="IB22">INDEX(FX_Input,$KB22,IB$85)</f>
        <v>31583</v>
      </c>
      <c r="IC22" s="63">
        <f t="shared" si="94"/>
        <v>177306.962</v>
      </c>
      <c r="ID22" s="63">
        <f t="shared" si="95"/>
        <v>1.0664882632995787</v>
      </c>
      <c r="IE22" s="63">
        <f t="shared" si="96"/>
        <v>1</v>
      </c>
      <c r="IF22" s="63" cm="1">
        <f t="array" ref="IF22">IF(OR(INDEX(FX_Vap,$KK22,IF$90)="Crude Oil",(INDEX(FX_Vap,$KL22,IF$90)="Crude Oil")),0.75,1)</f>
        <v>1</v>
      </c>
      <c r="IG22" s="63">
        <f t="shared" si="119"/>
        <v>1</v>
      </c>
      <c r="IH22" s="63">
        <f t="shared" si="97"/>
        <v>20.522234149510975</v>
      </c>
      <c r="II22" s="64">
        <f t="shared" si="98"/>
        <v>24.815352451686252</v>
      </c>
      <c r="IJ22" s="80">
        <f t="shared" si="99"/>
        <v>135.08959295701888</v>
      </c>
      <c r="IK22" s="63">
        <f t="shared" si="100"/>
        <v>6.7544796478509445E-2</v>
      </c>
      <c r="IL22" s="63">
        <f t="shared" si="101"/>
        <v>344.1229045999757</v>
      </c>
      <c r="IM22" s="63">
        <f t="shared" si="102"/>
        <v>0.17206145229998784</v>
      </c>
      <c r="IN22" s="63">
        <f t="shared" si="103"/>
        <v>479.21249755699455</v>
      </c>
      <c r="IO22" s="64">
        <f t="shared" si="104"/>
        <v>0.23960624877849729</v>
      </c>
      <c r="KB22" s="43">
        <f t="shared" si="120"/>
        <v>23</v>
      </c>
      <c r="KC22" s="43">
        <f t="shared" si="121"/>
        <v>155</v>
      </c>
      <c r="KD22" s="43">
        <f t="shared" si="122"/>
        <v>168</v>
      </c>
      <c r="KE22" s="43">
        <f t="shared" si="123"/>
        <v>155</v>
      </c>
      <c r="KF22" s="43">
        <f t="shared" si="124"/>
        <v>375</v>
      </c>
      <c r="KG22" s="43">
        <f t="shared" si="125"/>
        <v>398</v>
      </c>
      <c r="KH22" s="43">
        <f t="shared" si="126"/>
        <v>393</v>
      </c>
      <c r="KI22" s="43">
        <f t="shared" si="105"/>
        <v>403</v>
      </c>
      <c r="KJ22" s="43">
        <f t="shared" si="105"/>
        <v>408</v>
      </c>
      <c r="KK22" s="43">
        <f t="shared" si="127"/>
        <v>379</v>
      </c>
      <c r="KL22" s="43">
        <f t="shared" si="128"/>
        <v>381</v>
      </c>
    </row>
    <row r="23" spans="2:298" x14ac:dyDescent="0.4">
      <c r="B23" s="43" t="str" cm="1">
        <f t="array" ref="B23">INDEX(FX_Input,$KB23,B$85)</f>
        <v>FX - 13</v>
      </c>
      <c r="C23" s="93" t="str" cm="1">
        <f t="array" ref="C23">INDEX(FX_Input,$KB23,C$85)</f>
        <v>FIXTANK 113</v>
      </c>
      <c r="D23" s="80">
        <f t="shared" si="0"/>
        <v>47006.080079337276</v>
      </c>
      <c r="E23" s="63" cm="1">
        <f t="array" ref="E23">IF(ISBLANK(INDEX(FX_Input,$KB23,$E$85)),0.03,INDEX(FX_Input,$KB23,$E$85))-IF(ISBLANK(INDEX(FX_Input,$KB23,$E$86)),-0.03,INDEX(FX_Input,$KB23,$E$86))</f>
        <v>0.06</v>
      </c>
      <c r="F23" s="63" cm="1">
        <f t="array" ref="F23">IF(INDEX(FX_Input,$KB23,F$85)="Vertical",INDEX(FX_Input,$KB23,F$86),SQRT((INDEX(FX_Input,$KB23,F$86)*INDEX(FX_Input,$KB23,F$87))/(PI()/4)))</f>
        <v>60</v>
      </c>
      <c r="G23" s="63" cm="1">
        <f t="array" ref="G23">IF(INDEX(FX_Input,$KB23,G$85)="Vertical",INDEX(FX_Input,$KB23,G$86),INDEX(FX_Input,$KB23,G$87)*PI()/4)</f>
        <v>32</v>
      </c>
      <c r="H23" s="63" cm="1">
        <f t="array" ref="H23">IF(INDEX(FX_Input,$KB23,H$85)="Vertical",G23-G23/2+J23,G23/2)</f>
        <v>16.625</v>
      </c>
      <c r="I23" s="63" cm="1">
        <f t="array" ref="I23">IF(INDEX(FX_Input,$KB23,F$85)="Horizontal","N/A",IF(INDEX(FX_Input,$KB23,I$86)="Cone",IF(ISBLANK(INDEX(FX_Input,$KB23,I$87)),0.0625,INDEX(FX_Input,$KB23,I$87))*F23/2,F23/2-SQRT((F23/2)^2-(INDEX(FX_Input,$KB23,I$88)^2))))</f>
        <v>1.875</v>
      </c>
      <c r="J23" s="63" cm="1">
        <f t="array" ref="J23">IF(INDEX(FX_Input,$KB23,J$85)="Horizontal","N/A",IF(INDEX(FX_Input,$KB23,J$86)="Cone",I23/3,I23*(1/2+(1/6)*(I23/(F23/2))^2)))</f>
        <v>0.625</v>
      </c>
      <c r="K23" s="63">
        <f t="shared" si="1"/>
        <v>31</v>
      </c>
      <c r="L23" s="63">
        <v>1</v>
      </c>
      <c r="M23" s="63" cm="1">
        <f t="array" ref="M23">INDEX(Tbl_71_6,MATCH(INDEX(FX_Input,$KB23,M$85),Paint_Color,0),VLOOKUP(INDEX(FX_Input,$KB23,M$86),Paint_Cond_Column,2,FALSE))</f>
        <v>0.25</v>
      </c>
      <c r="N23" s="63" cm="1">
        <f t="array" ref="N23">INDEX(Tbl_71_6,MATCH(INDEX(FX_Input,$KB23,N$85),Paint_Color,0),VLOOKUP(INDEX(FX_Input,$KB23,N$86),Paint_Cond_Column,2,FALSE))</f>
        <v>0.57999999999999996</v>
      </c>
      <c r="O23" s="64">
        <f t="shared" si="2"/>
        <v>0.41499999999999998</v>
      </c>
      <c r="P23" s="80" t="str" cm="1">
        <f t="array" ref="P23">IF(ISBLANK(INDEX(FX_Input,$KB23+1,P$85)),INDEX(FX_Input,$KB23,P$85),INDEX(FX_Input,$KB23,P$85)&amp;" &amp; "&amp;INDEX(FX_Input,$KB23+1,P$85))</f>
        <v>Out of Service</v>
      </c>
      <c r="Q23" s="63" cm="1">
        <f t="array" ref="Q23">INDEX(FX_Temps,$KC23+7,Q$89)</f>
        <v>10.126900000000024</v>
      </c>
      <c r="R23" s="63" cm="1">
        <f t="array" ref="R23">INDEX(FX_Temps,$KC23+13,R$89)+459.6</f>
        <v>504.85828000000004</v>
      </c>
      <c r="S23" s="63" cm="1">
        <f t="array" ref="S23">INDEX(FX_Vap,$KG23,S$91)-INDEX(FX_Vap,$KH23,S$91)</f>
        <v>0</v>
      </c>
      <c r="T23" s="73" cm="1">
        <f t="array" ref="T23">IF(P23="Out of Service",0,INDEX(FX_Vap,$KI23,T$91))</f>
        <v>0</v>
      </c>
      <c r="U23" s="63">
        <f t="shared" si="3"/>
        <v>1.5977263875287331E-2</v>
      </c>
      <c r="V23" s="63">
        <f t="shared" si="4"/>
        <v>1</v>
      </c>
      <c r="W23" s="63" cm="1">
        <f t="array" ref="W23">INDEX(FX_Vap,$KJ23,W$91)</f>
        <v>0</v>
      </c>
      <c r="X23" s="63" cm="1">
        <f t="array" ref="X23">INDEX(FX_Temps,$KD23,X$89)+459.6</f>
        <v>504.85828000000004</v>
      </c>
      <c r="Y23" s="63">
        <f t="shared" si="5"/>
        <v>0</v>
      </c>
      <c r="Z23" s="63" cm="1">
        <f t="array" ref="Z23">INDEX(Month_Ref,Z$83,3)*U23*(PI()/4*$F23^2)*$H23*V23*Y23</f>
        <v>0</v>
      </c>
      <c r="AA23" s="63" cm="1">
        <f t="array" ref="AA23">INDEX(FX_Input,$KB23,AA$85)</f>
        <v>0</v>
      </c>
      <c r="AB23" s="63">
        <f t="shared" si="6"/>
        <v>0</v>
      </c>
      <c r="AC23" s="63">
        <f t="shared" si="7"/>
        <v>0</v>
      </c>
      <c r="AD23" s="63">
        <f t="shared" si="8"/>
        <v>1</v>
      </c>
      <c r="AE23" s="63" cm="1">
        <f t="array" ref="AE23">IF(OR(INDEX(FX_Vap,$KK23,AE$90)="Crude Oil",(INDEX(FX_Vap,$KL23,AE$90)="Crude Oil")),0.75,1)</f>
        <v>1</v>
      </c>
      <c r="AF23" s="63">
        <f t="shared" si="108"/>
        <v>1</v>
      </c>
      <c r="AG23" s="63">
        <f t="shared" si="9"/>
        <v>0</v>
      </c>
      <c r="AH23" s="64">
        <f t="shared" si="10"/>
        <v>0</v>
      </c>
      <c r="AI23" s="80" t="str" cm="1">
        <f t="array" ref="AI23">IF(ISBLANK(INDEX(FX_Input,$KB23+1,AI$85)),INDEX(FX_Input,$KB23,AI$85),INDEX(FX_Input,$KB23,AI$85)&amp;" &amp; "&amp;INDEX(FX_Input,$KB23+1,AI$85))</f>
        <v>Out of Service</v>
      </c>
      <c r="AJ23" s="63" cm="1">
        <f t="array" ref="AJ23">INDEX(FX_Temps,$KC23+7,AJ$89)</f>
        <v>14.219999999999992</v>
      </c>
      <c r="AK23" s="63" cm="1">
        <f t="array" ref="AK23">INDEX(FX_Temps,$KC23+13,AK$89)+459.6</f>
        <v>506.67600000000004</v>
      </c>
      <c r="AL23" s="63" cm="1">
        <f t="array" ref="AL23">INDEX(FX_Vap,$KG23,AL$91)-INDEX(FX_Vap,$KH23,AL$91)</f>
        <v>0</v>
      </c>
      <c r="AM23" s="73" cm="1">
        <f t="array" ref="AM23">IF(AI23="Out of Service",0,INDEX(FX_Vap,$KI23,AM$91))</f>
        <v>0</v>
      </c>
      <c r="AN23" s="63">
        <f t="shared" si="11"/>
        <v>2.398363982876146E-2</v>
      </c>
      <c r="AO23" s="63">
        <f t="shared" si="12"/>
        <v>1</v>
      </c>
      <c r="AP23" s="63" cm="1">
        <f t="array" ref="AP23">INDEX(FX_Vap,$KJ23,AP$91)</f>
        <v>0</v>
      </c>
      <c r="AQ23" s="63" cm="1">
        <f t="array" ref="AQ23">INDEX(FX_Temps,$KD23,AQ$89)+459.6</f>
        <v>506.67600000000004</v>
      </c>
      <c r="AR23" s="63">
        <f t="shared" si="13"/>
        <v>0</v>
      </c>
      <c r="AS23" s="63" cm="1">
        <f t="array" ref="AS23">INDEX(Month_Ref,AS$83,3)*AN23*(PI()/4*$F23^2)*$H23*AO23*AR23</f>
        <v>0</v>
      </c>
      <c r="AT23" s="63" cm="1">
        <f t="array" ref="AT23">INDEX(FX_Input,$KB23,AT$85)</f>
        <v>0</v>
      </c>
      <c r="AU23" s="63">
        <f t="shared" si="14"/>
        <v>0</v>
      </c>
      <c r="AV23" s="63">
        <f t="shared" si="15"/>
        <v>0</v>
      </c>
      <c r="AW23" s="63">
        <f t="shared" si="16"/>
        <v>1</v>
      </c>
      <c r="AX23" s="63" cm="1">
        <f t="array" ref="AX23">IF(OR(INDEX(FX_Vap,$KK23,AX$90)="Crude Oil",(INDEX(FX_Vap,$KL23,AX$90)="Crude Oil")),0.75,1)</f>
        <v>1</v>
      </c>
      <c r="AY23" s="63">
        <f t="shared" si="109"/>
        <v>1</v>
      </c>
      <c r="AZ23" s="63">
        <f t="shared" si="17"/>
        <v>0</v>
      </c>
      <c r="BA23" s="64">
        <f t="shared" si="18"/>
        <v>0</v>
      </c>
      <c r="BB23" s="80" t="str" cm="1">
        <f t="array" ref="BB23">IF(ISBLANK(INDEX(FX_Input,$KB23+1,BB$85)),INDEX(FX_Input,$KB23,BB$85),INDEX(FX_Input,$KB23,BB$85)&amp;" &amp; "&amp;INDEX(FX_Input,$KB23+1,BB$85))</f>
        <v>Out of Service</v>
      </c>
      <c r="BC23" s="63" cm="1">
        <f t="array" ref="BC23">INDEX(FX_Temps,$KC23+7,BC$89)</f>
        <v>16.51910000000003</v>
      </c>
      <c r="BD23" s="63" cm="1">
        <f t="array" ref="BD23">INDEX(FX_Temps,$KC23+13,BD$89)+459.6</f>
        <v>509.17292000000003</v>
      </c>
      <c r="BE23" s="63" cm="1">
        <f t="array" ref="BE23">INDEX(FX_Vap,$KG23,BE$91)-INDEX(FX_Vap,$KH23,BE$91)</f>
        <v>0</v>
      </c>
      <c r="BF23" s="73" cm="1">
        <f t="array" ref="BF23">IF(BB23="Out of Service",0,INDEX(FX_Vap,$KI23,BF$91))</f>
        <v>0</v>
      </c>
      <c r="BG23" s="63">
        <f t="shared" si="19"/>
        <v>2.8361373153296329E-2</v>
      </c>
      <c r="BH23" s="63">
        <f t="shared" si="20"/>
        <v>1</v>
      </c>
      <c r="BI23" s="63" cm="1">
        <f t="array" ref="BI23">INDEX(FX_Vap,$KJ23,BI$91)</f>
        <v>0</v>
      </c>
      <c r="BJ23" s="63" cm="1">
        <f t="array" ref="BJ23">INDEX(FX_Temps,$KD23,BJ$89)+459.6</f>
        <v>509.17292000000003</v>
      </c>
      <c r="BK23" s="63">
        <f t="shared" si="21"/>
        <v>0</v>
      </c>
      <c r="BL23" s="63" cm="1">
        <f t="array" ref="BL23">INDEX(Month_Ref,BL$83,3)*BG23*(PI()/4*$F23^2)*$H23*BH23*BK23</f>
        <v>0</v>
      </c>
      <c r="BM23" s="63" cm="1">
        <f t="array" ref="BM23">INDEX(FX_Input,$KB23,BM$85)</f>
        <v>0</v>
      </c>
      <c r="BN23" s="63">
        <f t="shared" si="22"/>
        <v>0</v>
      </c>
      <c r="BO23" s="63">
        <f t="shared" si="23"/>
        <v>0</v>
      </c>
      <c r="BP23" s="63">
        <f t="shared" si="24"/>
        <v>1</v>
      </c>
      <c r="BQ23" s="63" cm="1">
        <f t="array" ref="BQ23">IF(OR(INDEX(FX_Vap,$KK23,BQ$90)="Crude Oil",(INDEX(FX_Vap,$KL23,BQ$90)="Crude Oil")),0.75,1)</f>
        <v>1</v>
      </c>
      <c r="BR23" s="63">
        <f t="shared" si="110"/>
        <v>1</v>
      </c>
      <c r="BS23" s="63">
        <f t="shared" si="25"/>
        <v>0</v>
      </c>
      <c r="BT23" s="64">
        <f t="shared" si="26"/>
        <v>0</v>
      </c>
      <c r="BU23" s="80" t="str" cm="1">
        <f t="array" ref="BU23">IF(ISBLANK(INDEX(FX_Input,$KB23+1,BU$85)),INDEX(FX_Input,$KB23,BU$85),INDEX(FX_Input,$KB23,BU$85)&amp;" &amp; "&amp;INDEX(FX_Input,$KB23+1,BU$85))</f>
        <v>Out of Service</v>
      </c>
      <c r="BV23" s="63" cm="1">
        <f t="array" ref="BV23">INDEX(FX_Temps,$KC23+7,BV$89)</f>
        <v>19.771599999999985</v>
      </c>
      <c r="BW23" s="63" cm="1">
        <f t="array" ref="BW23">INDEX(FX_Temps,$KC23+13,BW$89)+459.6</f>
        <v>513.15791999999988</v>
      </c>
      <c r="BX23" s="63" cm="1">
        <f t="array" ref="BX23">INDEX(FX_Vap,$KG23,BX$91)-INDEX(FX_Vap,$KH23,BX$91)</f>
        <v>0</v>
      </c>
      <c r="BY23" s="73" cm="1">
        <f t="array" ref="BY23">IF(BU23="Out of Service",0,INDEX(FX_Vap,$KI23,BY$91))</f>
        <v>0</v>
      </c>
      <c r="BZ23" s="63">
        <f t="shared" si="27"/>
        <v>3.4447637244984952E-2</v>
      </c>
      <c r="CA23" s="63">
        <f t="shared" si="28"/>
        <v>1</v>
      </c>
      <c r="CB23" s="63" cm="1">
        <f t="array" ref="CB23">INDEX(FX_Vap,$KJ23,CB$91)</f>
        <v>0</v>
      </c>
      <c r="CC23" s="63" cm="1">
        <f t="array" ref="CC23">INDEX(FX_Temps,$KD23,CC$89)+459.6</f>
        <v>513.15791999999988</v>
      </c>
      <c r="CD23" s="63">
        <f t="shared" si="29"/>
        <v>0</v>
      </c>
      <c r="CE23" s="63" cm="1">
        <f t="array" ref="CE23">INDEX(Month_Ref,CE$83,3)*BZ23*(PI()/4*$F23^2)*$H23*CA23*CD23</f>
        <v>0</v>
      </c>
      <c r="CF23" s="63" cm="1">
        <f t="array" ref="CF23">INDEX(FX_Input,$KB23,CF$85)</f>
        <v>0</v>
      </c>
      <c r="CG23" s="63">
        <f t="shared" si="30"/>
        <v>0</v>
      </c>
      <c r="CH23" s="63">
        <f t="shared" si="31"/>
        <v>0</v>
      </c>
      <c r="CI23" s="63">
        <f t="shared" si="32"/>
        <v>1</v>
      </c>
      <c r="CJ23" s="63" cm="1">
        <f t="array" ref="CJ23">IF(OR(INDEX(FX_Vap,$KK23,CJ$90)="Crude Oil",(INDEX(FX_Vap,$KL23,CJ$90)="Crude Oil")),0.75,1)</f>
        <v>1</v>
      </c>
      <c r="CK23" s="63">
        <f t="shared" si="111"/>
        <v>1</v>
      </c>
      <c r="CL23" s="63">
        <f t="shared" si="33"/>
        <v>0</v>
      </c>
      <c r="CM23" s="64">
        <f t="shared" si="34"/>
        <v>0</v>
      </c>
      <c r="CN23" s="80" t="str" cm="1">
        <f t="array" ref="CN23">IF(ISBLANK(INDEX(FX_Input,$KB23+1,CN$85)),INDEX(FX_Input,$KB23,CN$85),INDEX(FX_Input,$KB23,CN$85)&amp;" &amp; "&amp;INDEX(FX_Input,$KB23+1,CN$85))</f>
        <v>Out of Service</v>
      </c>
      <c r="CO23" s="63" cm="1">
        <f t="array" ref="CO23">INDEX(FX_Temps,$KC23+7,CO$89)</f>
        <v>22.067099999999968</v>
      </c>
      <c r="CP23" s="63" cm="1">
        <f t="array" ref="CP23">INDEX(FX_Temps,$KC23+13,CP$89)+459.6</f>
        <v>518.83651999999984</v>
      </c>
      <c r="CQ23" s="63" cm="1">
        <f t="array" ref="CQ23">INDEX(FX_Vap,$KG23,CQ$91)-INDEX(FX_Vap,$KH23,CQ$91)</f>
        <v>0</v>
      </c>
      <c r="CR23" s="73" cm="1">
        <f t="array" ref="CR23">IF(CN23="Out of Service",0,INDEX(FX_Vap,$KI23,CR$91))</f>
        <v>0</v>
      </c>
      <c r="CS23" s="63">
        <f t="shared" si="35"/>
        <v>3.845026159370455E-2</v>
      </c>
      <c r="CT23" s="63">
        <f t="shared" si="36"/>
        <v>1</v>
      </c>
      <c r="CU23" s="63" cm="1">
        <f t="array" ref="CU23">INDEX(FX_Vap,$KJ23,CU$91)</f>
        <v>0</v>
      </c>
      <c r="CV23" s="63" cm="1">
        <f t="array" ref="CV23">INDEX(FX_Temps,$KD23,CV$89)+459.6</f>
        <v>518.83651999999984</v>
      </c>
      <c r="CW23" s="63">
        <f t="shared" si="37"/>
        <v>0</v>
      </c>
      <c r="CX23" s="63" cm="1">
        <f t="array" ref="CX23">INDEX(Month_Ref,CX$83,3)*CS23*(PI()/4*$F23^2)*$H23*CT23*CW23</f>
        <v>0</v>
      </c>
      <c r="CY23" s="63" cm="1">
        <f t="array" ref="CY23">INDEX(FX_Input,$KB23,CY$85)</f>
        <v>0</v>
      </c>
      <c r="CZ23" s="63">
        <f t="shared" si="38"/>
        <v>0</v>
      </c>
      <c r="DA23" s="63">
        <f t="shared" si="39"/>
        <v>0</v>
      </c>
      <c r="DB23" s="63">
        <f t="shared" si="40"/>
        <v>1</v>
      </c>
      <c r="DC23" s="63" cm="1">
        <f t="array" ref="DC23">IF(OR(INDEX(FX_Vap,$KK23,DC$90)="Crude Oil",(INDEX(FX_Vap,$KL23,DC$90)="Crude Oil")),0.75,1)</f>
        <v>1</v>
      </c>
      <c r="DD23" s="63">
        <f t="shared" si="112"/>
        <v>1</v>
      </c>
      <c r="DE23" s="63">
        <f t="shared" si="41"/>
        <v>0</v>
      </c>
      <c r="DF23" s="64">
        <f t="shared" si="42"/>
        <v>0</v>
      </c>
      <c r="DG23" s="80" t="str" cm="1">
        <f t="array" ref="DG23">IF(ISBLANK(INDEX(FX_Input,$KB23+1,DG$85)),INDEX(FX_Input,$KB23,DG$85),INDEX(FX_Input,$KB23,DG$85)&amp;" &amp; "&amp;INDEX(FX_Input,$KB23+1,DG$85))</f>
        <v>Out of Service</v>
      </c>
      <c r="DH23" s="63" cm="1">
        <f t="array" ref="DH23">INDEX(FX_Temps,$KC23+7,DH$89)</f>
        <v>22.254100000000037</v>
      </c>
      <c r="DI23" s="63" cm="1">
        <f t="array" ref="DI23">INDEX(FX_Temps,$KC23+13,DI$89)+459.6</f>
        <v>522.99292000000014</v>
      </c>
      <c r="DJ23" s="63" cm="1">
        <f t="array" ref="DJ23">INDEX(FX_Vap,$KG23,DJ$91)-INDEX(FX_Vap,$KH23,DJ$91)</f>
        <v>0</v>
      </c>
      <c r="DK23" s="73" cm="1">
        <f t="array" ref="DK23">IF(DG23="Out of Service",0,INDEX(FX_Vap,$KI23,DK$91))</f>
        <v>0</v>
      </c>
      <c r="DL23" s="63">
        <f t="shared" si="43"/>
        <v>3.8469803798506862E-2</v>
      </c>
      <c r="DM23" s="63">
        <f t="shared" si="44"/>
        <v>1</v>
      </c>
      <c r="DN23" s="63" cm="1">
        <f t="array" ref="DN23">INDEX(FX_Vap,$KJ23,DN$91)</f>
        <v>0</v>
      </c>
      <c r="DO23" s="63" cm="1">
        <f t="array" ref="DO23">INDEX(FX_Temps,$KD23,DO$89)+459.6</f>
        <v>522.99292000000014</v>
      </c>
      <c r="DP23" s="63">
        <f t="shared" si="45"/>
        <v>0</v>
      </c>
      <c r="DQ23" s="63" cm="1">
        <f t="array" ref="DQ23">INDEX(Month_Ref,DQ$83,3)*DL23*(PI()/4*$F23^2)*$H23*DM23*DP23</f>
        <v>0</v>
      </c>
      <c r="DR23" s="63" cm="1">
        <f t="array" ref="DR23">INDEX(FX_Input,$KB23,DR$85)</f>
        <v>0</v>
      </c>
      <c r="DS23" s="63">
        <f t="shared" si="46"/>
        <v>0</v>
      </c>
      <c r="DT23" s="63">
        <f t="shared" si="47"/>
        <v>0</v>
      </c>
      <c r="DU23" s="63">
        <f t="shared" si="48"/>
        <v>1</v>
      </c>
      <c r="DV23" s="63" cm="1">
        <f t="array" ref="DV23">IF(OR(INDEX(FX_Vap,$KK23,DV$90)="Crude Oil",(INDEX(FX_Vap,$KL23,DV$90)="Crude Oil")),0.75,1)</f>
        <v>1</v>
      </c>
      <c r="DW23" s="63">
        <f t="shared" si="113"/>
        <v>1</v>
      </c>
      <c r="DX23" s="63">
        <f t="shared" si="49"/>
        <v>0</v>
      </c>
      <c r="DY23" s="64">
        <f t="shared" si="50"/>
        <v>0</v>
      </c>
      <c r="DZ23" s="80" t="str" cm="1">
        <f t="array" ref="DZ23">IF(ISBLANK(INDEX(FX_Input,$KB23+1,DZ$85)),INDEX(FX_Input,$KB23,DZ$85),INDEX(FX_Input,$KB23,DZ$85)&amp;" &amp; "&amp;INDEX(FX_Input,$KB23+1,DZ$85))</f>
        <v>Out of Service</v>
      </c>
      <c r="EA23" s="63" cm="1">
        <f t="array" ref="EA23">INDEX(FX_Temps,$KC23+7,EA$89)</f>
        <v>23.066399999999952</v>
      </c>
      <c r="EB23" s="63" cm="1">
        <f t="array" ref="EB23">INDEX(FX_Temps,$KC23+13,EB$89)+459.6</f>
        <v>526.81367999999986</v>
      </c>
      <c r="EC23" s="63" cm="1">
        <f t="array" ref="EC23">INDEX(FX_Vap,$KG23,EC$91)-INDEX(FX_Vap,$KH23,EC$91)</f>
        <v>0</v>
      </c>
      <c r="ED23" s="73" cm="1">
        <f t="array" ref="ED23">IF(DZ23="Out of Service",0,INDEX(FX_Vap,$KI23,ED$91))</f>
        <v>0</v>
      </c>
      <c r="EE23" s="63">
        <f t="shared" si="51"/>
        <v>3.9703107333189623E-2</v>
      </c>
      <c r="EF23" s="63">
        <f t="shared" si="52"/>
        <v>1</v>
      </c>
      <c r="EG23" s="63" cm="1">
        <f t="array" ref="EG23">INDEX(FX_Vap,$KJ23,EG$91)</f>
        <v>0</v>
      </c>
      <c r="EH23" s="63" cm="1">
        <f t="array" ref="EH23">INDEX(FX_Temps,$KD23,EH$89)+459.6</f>
        <v>526.81367999999986</v>
      </c>
      <c r="EI23" s="63">
        <f t="shared" si="53"/>
        <v>0</v>
      </c>
      <c r="EJ23" s="63" cm="1">
        <f t="array" ref="EJ23">INDEX(Month_Ref,EJ$83,3)*EE23*(PI()/4*$F23^2)*$H23*EF23*EI23</f>
        <v>0</v>
      </c>
      <c r="EK23" s="63" cm="1">
        <f t="array" ref="EK23">INDEX(FX_Input,$KB23,EK$85)</f>
        <v>0</v>
      </c>
      <c r="EL23" s="63">
        <f t="shared" si="54"/>
        <v>0</v>
      </c>
      <c r="EM23" s="63">
        <f t="shared" si="55"/>
        <v>0</v>
      </c>
      <c r="EN23" s="63">
        <f t="shared" si="56"/>
        <v>1</v>
      </c>
      <c r="EO23" s="63" cm="1">
        <f t="array" ref="EO23">IF(OR(INDEX(FX_Vap,$KK23,EO$90)="Crude Oil",(INDEX(FX_Vap,$KL23,EO$90)="Crude Oil")),0.75,1)</f>
        <v>1</v>
      </c>
      <c r="EP23" s="63">
        <f t="shared" si="114"/>
        <v>1</v>
      </c>
      <c r="EQ23" s="63">
        <f t="shared" si="57"/>
        <v>0</v>
      </c>
      <c r="ER23" s="64">
        <f t="shared" si="58"/>
        <v>0</v>
      </c>
      <c r="ES23" s="80" t="str" cm="1">
        <f t="array" ref="ES23">IF(ISBLANK(INDEX(FX_Input,$KB23+1,ES$85)),INDEX(FX_Input,$KB23,ES$85),INDEX(FX_Input,$KB23,ES$85)&amp;" &amp; "&amp;INDEX(FX_Input,$KB23+1,ES$85))</f>
        <v>Out of Service</v>
      </c>
      <c r="ET23" s="63" cm="1">
        <f t="array" ref="ET23">INDEX(FX_Temps,$KC23+7,ET$89)</f>
        <v>21.903600000000015</v>
      </c>
      <c r="EU23" s="63" cm="1">
        <f t="array" ref="EU23">INDEX(FX_Temps,$KC23+13,EU$89)+459.6</f>
        <v>526.40832</v>
      </c>
      <c r="EV23" s="63" cm="1">
        <f t="array" ref="EV23">INDEX(FX_Vap,$KG23,EV$91)-INDEX(FX_Vap,$KH23,EV$91)</f>
        <v>0</v>
      </c>
      <c r="EW23" s="73" cm="1">
        <f t="array" ref="EW23">IF(ES23="Out of Service",0,INDEX(FX_Vap,$KI23,EW$91))</f>
        <v>0</v>
      </c>
      <c r="EX23" s="63">
        <f t="shared" si="59"/>
        <v>3.7527892059618116E-2</v>
      </c>
      <c r="EY23" s="63">
        <f t="shared" si="60"/>
        <v>1</v>
      </c>
      <c r="EZ23" s="63" cm="1">
        <f t="array" ref="EZ23">INDEX(FX_Vap,$KJ23,EZ$91)</f>
        <v>0</v>
      </c>
      <c r="FA23" s="63" cm="1">
        <f t="array" ref="FA23">INDEX(FX_Temps,$KD23,FA$89)+459.6</f>
        <v>526.40832</v>
      </c>
      <c r="FB23" s="63">
        <f t="shared" si="61"/>
        <v>0</v>
      </c>
      <c r="FC23" s="63" cm="1">
        <f t="array" ref="FC23">INDEX(Month_Ref,FC$83,3)*EX23*(PI()/4*$F23^2)*$H23*EY23*FB23</f>
        <v>0</v>
      </c>
      <c r="FD23" s="63" cm="1">
        <f t="array" ref="FD23">INDEX(FX_Input,$KB23,FD$85)</f>
        <v>0</v>
      </c>
      <c r="FE23" s="63">
        <f t="shared" si="62"/>
        <v>0</v>
      </c>
      <c r="FF23" s="63">
        <f t="shared" si="63"/>
        <v>0</v>
      </c>
      <c r="FG23" s="63">
        <f t="shared" si="64"/>
        <v>1</v>
      </c>
      <c r="FH23" s="63" cm="1">
        <f t="array" ref="FH23">IF(OR(INDEX(FX_Vap,$KK23,FH$90)="Crude Oil",(INDEX(FX_Vap,$KL23,FH$90)="Crude Oil")),0.75,1)</f>
        <v>1</v>
      </c>
      <c r="FI23" s="63">
        <f t="shared" si="115"/>
        <v>1</v>
      </c>
      <c r="FJ23" s="63">
        <f t="shared" si="65"/>
        <v>0</v>
      </c>
      <c r="FK23" s="64">
        <f t="shared" si="66"/>
        <v>0</v>
      </c>
      <c r="FL23" s="80" t="str" cm="1">
        <f t="array" ref="FL23">IF(ISBLANK(INDEX(FX_Input,$KB23+1,FL$85)),INDEX(FX_Input,$KB23,FL$85),INDEX(FX_Input,$KB23,FL$85)&amp;" &amp; "&amp;INDEX(FX_Input,$KB23+1,FL$85))</f>
        <v>Out of Service</v>
      </c>
      <c r="FM23" s="63" cm="1">
        <f t="array" ref="FM23">INDEX(FX_Temps,$KC23+7,FM$89)</f>
        <v>21.406799999999983</v>
      </c>
      <c r="FN23" s="63" cm="1">
        <f t="array" ref="FN23">INDEX(FX_Temps,$KC23+13,FN$89)+459.6</f>
        <v>522.93615999999997</v>
      </c>
      <c r="FO23" s="63" cm="1">
        <f t="array" ref="FO23">INDEX(FX_Vap,$KG23,FO$91)-INDEX(FX_Vap,$KH23,FO$91)</f>
        <v>0</v>
      </c>
      <c r="FP23" s="73" cm="1">
        <f t="array" ref="FP23">IF(FL23="Out of Service",0,INDEX(FX_Vap,$KI23,FP$91))</f>
        <v>0</v>
      </c>
      <c r="FQ23" s="63">
        <f t="shared" si="67"/>
        <v>3.6854148112223747E-2</v>
      </c>
      <c r="FR23" s="63">
        <f t="shared" si="68"/>
        <v>1</v>
      </c>
      <c r="FS23" s="63" cm="1">
        <f t="array" ref="FS23">INDEX(FX_Vap,$KJ23,FS$91)</f>
        <v>0</v>
      </c>
      <c r="FT23" s="63" cm="1">
        <f t="array" ref="FT23">INDEX(FX_Temps,$KD23,FT$89)+459.6</f>
        <v>522.93615999999997</v>
      </c>
      <c r="FU23" s="63">
        <f t="shared" si="69"/>
        <v>0</v>
      </c>
      <c r="FV23" s="63" cm="1">
        <f t="array" ref="FV23">INDEX(Month_Ref,FV$83,3)*FQ23*(PI()/4*$F23^2)*$H23*FR23*FU23</f>
        <v>0</v>
      </c>
      <c r="FW23" s="63" cm="1">
        <f t="array" ref="FW23">INDEX(FX_Input,$KB23,FW$85)</f>
        <v>0</v>
      </c>
      <c r="FX23" s="63">
        <f t="shared" si="70"/>
        <v>0</v>
      </c>
      <c r="FY23" s="63">
        <f t="shared" si="71"/>
        <v>0</v>
      </c>
      <c r="FZ23" s="63">
        <f t="shared" si="72"/>
        <v>1</v>
      </c>
      <c r="GA23" s="63" cm="1">
        <f t="array" ref="GA23">IF(OR(INDEX(FX_Vap,$KK23,GA$90)="Crude Oil",(INDEX(FX_Vap,$KL23,GA$90)="Crude Oil")),0.75,1)</f>
        <v>1</v>
      </c>
      <c r="GB23" s="63">
        <f t="shared" si="116"/>
        <v>1</v>
      </c>
      <c r="GC23" s="63">
        <f t="shared" si="73"/>
        <v>0</v>
      </c>
      <c r="GD23" s="64">
        <f t="shared" si="74"/>
        <v>0</v>
      </c>
      <c r="GE23" s="80" t="str" cm="1">
        <f t="array" ref="GE23">IF(ISBLANK(INDEX(FX_Input,$KB23+1,GE$85)),INDEX(FX_Input,$KB23,GE$85),INDEX(FX_Input,$KB23,GE$85)&amp;" &amp; "&amp;INDEX(FX_Input,$KB23+1,GE$85))</f>
        <v>Out of Service</v>
      </c>
      <c r="GF23" s="63" cm="1">
        <f t="array" ref="GF23">INDEX(FX_Temps,$KC23+7,GF$89)</f>
        <v>16.332399999999993</v>
      </c>
      <c r="GG23" s="63" cm="1">
        <f t="array" ref="GG23">INDEX(FX_Temps,$KC23+13,GG$89)+459.6</f>
        <v>515.13288</v>
      </c>
      <c r="GH23" s="63" cm="1">
        <f t="array" ref="GH23">INDEX(FX_Vap,$KG23,GH$91)-INDEX(FX_Vap,$KH23,GH$91)</f>
        <v>0</v>
      </c>
      <c r="GI23" s="73" cm="1">
        <f t="array" ref="GI23">IF(GE23="Out of Service",0,INDEX(FX_Vap,$KI23,GI$91))</f>
        <v>0</v>
      </c>
      <c r="GJ23" s="63">
        <f t="shared" si="75"/>
        <v>2.7623584843441802E-2</v>
      </c>
      <c r="GK23" s="63">
        <f t="shared" si="76"/>
        <v>1</v>
      </c>
      <c r="GL23" s="63" cm="1">
        <f t="array" ref="GL23">INDEX(FX_Vap,$KJ23,GL$91)</f>
        <v>0</v>
      </c>
      <c r="GM23" s="63" cm="1">
        <f t="array" ref="GM23">INDEX(FX_Temps,$KD23,GM$89)+459.6</f>
        <v>515.13288</v>
      </c>
      <c r="GN23" s="63">
        <f t="shared" si="77"/>
        <v>0</v>
      </c>
      <c r="GO23" s="63" cm="1">
        <f t="array" ref="GO23">INDEX(Month_Ref,GO$83,3)*GJ23*(PI()/4*$F23^2)*$H23*GK23*GN23</f>
        <v>0</v>
      </c>
      <c r="GP23" s="63" cm="1">
        <f t="array" ref="GP23">INDEX(FX_Input,$KB23,GP$85)</f>
        <v>0</v>
      </c>
      <c r="GQ23" s="63">
        <f t="shared" si="78"/>
        <v>0</v>
      </c>
      <c r="GR23" s="63">
        <f t="shared" si="79"/>
        <v>0</v>
      </c>
      <c r="GS23" s="63">
        <f t="shared" si="80"/>
        <v>1</v>
      </c>
      <c r="GT23" s="63" cm="1">
        <f t="array" ref="GT23">IF(OR(INDEX(FX_Vap,$KK23,GT$90)="Crude Oil",(INDEX(FX_Vap,$KL23,GT$90)="Crude Oil")),0.75,1)</f>
        <v>1</v>
      </c>
      <c r="GU23" s="63">
        <f t="shared" si="117"/>
        <v>1</v>
      </c>
      <c r="GV23" s="63">
        <f t="shared" si="81"/>
        <v>0</v>
      </c>
      <c r="GW23" s="64">
        <f t="shared" si="82"/>
        <v>0</v>
      </c>
      <c r="GX23" s="80" t="str" cm="1">
        <f t="array" ref="GX23">IF(ISBLANK(INDEX(FX_Input,$KB23+1,GX$85)),INDEX(FX_Input,$KB23,GX$85),INDEX(FX_Input,$KB23,GX$85)&amp;" &amp; "&amp;INDEX(FX_Input,$KB23+1,GX$85))</f>
        <v>Out of Service</v>
      </c>
      <c r="GY23" s="63" cm="1">
        <f t="array" ref="GY23">INDEX(FX_Temps,$KC23+7,GY$89)</f>
        <v>11.785300000000031</v>
      </c>
      <c r="GZ23" s="63" cm="1">
        <f t="array" ref="GZ23">INDEX(FX_Temps,$KC23+13,GZ$89)+459.6</f>
        <v>508.24835999999999</v>
      </c>
      <c r="HA23" s="63" cm="1">
        <f t="array" ref="HA23">INDEX(FX_Vap,$KG23,HA$91)-INDEX(FX_Vap,$KH23,HA$91)</f>
        <v>0</v>
      </c>
      <c r="HB23" s="73" cm="1">
        <f t="array" ref="HB23">IF(GX23="Out of Service",0,INDEX(FX_Vap,$KI23,HB$91))</f>
        <v>0</v>
      </c>
      <c r="HC23" s="63">
        <f t="shared" si="83"/>
        <v>1.9106440201714012E-2</v>
      </c>
      <c r="HD23" s="63">
        <f t="shared" si="84"/>
        <v>1</v>
      </c>
      <c r="HE23" s="63" cm="1">
        <f t="array" ref="HE23">INDEX(FX_Vap,$KJ23,HE$91)</f>
        <v>0</v>
      </c>
      <c r="HF23" s="63" cm="1">
        <f t="array" ref="HF23">INDEX(FX_Temps,$KD23,HF$89)+459.6</f>
        <v>508.24835999999999</v>
      </c>
      <c r="HG23" s="63">
        <f t="shared" si="85"/>
        <v>0</v>
      </c>
      <c r="HH23" s="63" cm="1">
        <f t="array" ref="HH23">INDEX(Month_Ref,HH$83,3)*HC23*(PI()/4*$F23^2)*$H23*HD23*HG23</f>
        <v>0</v>
      </c>
      <c r="HI23" s="63" cm="1">
        <f t="array" ref="HI23">INDEX(FX_Input,$KB23,HI$85)</f>
        <v>0</v>
      </c>
      <c r="HJ23" s="63">
        <f t="shared" si="86"/>
        <v>0</v>
      </c>
      <c r="HK23" s="63">
        <f t="shared" si="87"/>
        <v>0</v>
      </c>
      <c r="HL23" s="63">
        <f t="shared" si="88"/>
        <v>1</v>
      </c>
      <c r="HM23" s="63" cm="1">
        <f t="array" ref="HM23">IF(OR(INDEX(FX_Vap,$KK23,HM$90)="Crude Oil",(INDEX(FX_Vap,$KL23,HM$90)="Crude Oil")),0.75,1)</f>
        <v>1</v>
      </c>
      <c r="HN23" s="63">
        <f t="shared" si="118"/>
        <v>1</v>
      </c>
      <c r="HO23" s="63">
        <f t="shared" si="89"/>
        <v>0</v>
      </c>
      <c r="HP23" s="64">
        <f t="shared" si="90"/>
        <v>0</v>
      </c>
      <c r="HQ23" s="80" t="str" cm="1">
        <f t="array" ref="HQ23">IF(ISBLANK(INDEX(FX_Input,$KB23+1,HQ$85)),INDEX(FX_Input,$KB23,HQ$85),INDEX(FX_Input,$KB23,HQ$85)&amp;" &amp; "&amp;INDEX(FX_Input,$KB23+1,HQ$85))</f>
        <v>Out of Service</v>
      </c>
      <c r="HR23" s="63" cm="1">
        <f t="array" ref="HR23">INDEX(FX_Temps,$KC23+7,HR$89)</f>
        <v>9.5066000000000006</v>
      </c>
      <c r="HS23" s="63" cm="1">
        <f t="array" ref="HS23">INDEX(FX_Temps,$KC23+13,HS$89)+459.6</f>
        <v>504.39592000000005</v>
      </c>
      <c r="HT23" s="63" cm="1">
        <f t="array" ref="HT23">INDEX(FX_Vap,$KG23,HT$91)-INDEX(FX_Vap,$KH23,HT$91)</f>
        <v>0</v>
      </c>
      <c r="HU23" s="73" cm="1">
        <f t="array" ref="HU23">IF(HQ23="Out of Service",0,INDEX(FX_Vap,$KI23,HU$91))</f>
        <v>0</v>
      </c>
      <c r="HV23" s="63">
        <f t="shared" si="91"/>
        <v>1.4765863179181035E-2</v>
      </c>
      <c r="HW23" s="63">
        <f t="shared" si="92"/>
        <v>1</v>
      </c>
      <c r="HX23" s="63" cm="1">
        <f t="array" ref="HX23">INDEX(FX_Vap,$KJ23,HX$91)</f>
        <v>0</v>
      </c>
      <c r="HY23" s="63" cm="1">
        <f t="array" ref="HY23">INDEX(FX_Temps,$KD23,HY$89)+459.6</f>
        <v>504.39592000000005</v>
      </c>
      <c r="HZ23" s="63">
        <f t="shared" si="93"/>
        <v>0</v>
      </c>
      <c r="IA23" s="63" cm="1">
        <f t="array" ref="IA23">INDEX(Month_Ref,IA$83,3)*HV23*(PI()/4*$F23^2)*$H23*HW23*HZ23</f>
        <v>0</v>
      </c>
      <c r="IB23" s="63" cm="1">
        <f t="array" ref="IB23">INDEX(FX_Input,$KB23,IB$85)</f>
        <v>0</v>
      </c>
      <c r="IC23" s="63">
        <f t="shared" si="94"/>
        <v>0</v>
      </c>
      <c r="ID23" s="63">
        <f t="shared" si="95"/>
        <v>0</v>
      </c>
      <c r="IE23" s="63">
        <f t="shared" si="96"/>
        <v>1</v>
      </c>
      <c r="IF23" s="63" cm="1">
        <f t="array" ref="IF23">IF(OR(INDEX(FX_Vap,$KK23,IF$90)="Crude Oil",(INDEX(FX_Vap,$KL23,IF$90)="Crude Oil")),0.75,1)</f>
        <v>1</v>
      </c>
      <c r="IG23" s="63">
        <f t="shared" si="119"/>
        <v>1</v>
      </c>
      <c r="IH23" s="63">
        <f t="shared" si="97"/>
        <v>0</v>
      </c>
      <c r="II23" s="64">
        <f t="shared" si="98"/>
        <v>0</v>
      </c>
      <c r="IJ23" s="80">
        <f t="shared" si="99"/>
        <v>0</v>
      </c>
      <c r="IK23" s="63">
        <f t="shared" si="100"/>
        <v>0</v>
      </c>
      <c r="IL23" s="63">
        <f t="shared" si="101"/>
        <v>0</v>
      </c>
      <c r="IM23" s="63">
        <f t="shared" si="102"/>
        <v>0</v>
      </c>
      <c r="IN23" s="63">
        <f t="shared" si="103"/>
        <v>0</v>
      </c>
      <c r="IO23" s="64">
        <f t="shared" si="104"/>
        <v>0</v>
      </c>
      <c r="KB23" s="43">
        <f t="shared" si="120"/>
        <v>25</v>
      </c>
      <c r="KC23" s="43">
        <f t="shared" si="121"/>
        <v>169</v>
      </c>
      <c r="KD23" s="43">
        <f t="shared" si="122"/>
        <v>182</v>
      </c>
      <c r="KE23" s="43">
        <f t="shared" si="123"/>
        <v>169</v>
      </c>
      <c r="KF23" s="43">
        <f t="shared" si="124"/>
        <v>409</v>
      </c>
      <c r="KG23" s="43">
        <f t="shared" si="125"/>
        <v>432</v>
      </c>
      <c r="KH23" s="43">
        <f t="shared" si="126"/>
        <v>427</v>
      </c>
      <c r="KI23" s="43">
        <f t="shared" si="105"/>
        <v>437</v>
      </c>
      <c r="KJ23" s="43">
        <f t="shared" si="105"/>
        <v>442</v>
      </c>
      <c r="KK23" s="43">
        <f t="shared" si="127"/>
        <v>413</v>
      </c>
      <c r="KL23" s="43">
        <f t="shared" si="128"/>
        <v>415</v>
      </c>
    </row>
    <row r="24" spans="2:298" x14ac:dyDescent="0.4">
      <c r="B24" s="43" t="str" cm="1">
        <f t="array" ref="B24">INDEX(FX_Input,$KB24,B$85)</f>
        <v>FX - 14</v>
      </c>
      <c r="C24" s="93" t="str" cm="1">
        <f t="array" ref="C24">INDEX(FX_Input,$KB24,C$85)</f>
        <v>FIXTANK 121</v>
      </c>
      <c r="D24" s="80">
        <f t="shared" si="0"/>
        <v>13136.046082210121</v>
      </c>
      <c r="E24" s="63" cm="1">
        <f t="array" ref="E24">IF(ISBLANK(INDEX(FX_Input,$KB24,$E$85)),0.03,INDEX(FX_Input,$KB24,$E$85))-IF(ISBLANK(INDEX(FX_Input,$KB24,$E$86)),-0.03,INDEX(FX_Input,$KB24,$E$86))</f>
        <v>0.06</v>
      </c>
      <c r="F24" s="63" cm="1">
        <f t="array" ref="F24">IF(INDEX(FX_Input,$KB24,F$85)="Vertical",INDEX(FX_Input,$KB24,F$86),SQRT((INDEX(FX_Input,$KB24,F$86)*INDEX(FX_Input,$KB24,F$87))/(PI()/4)))</f>
        <v>32</v>
      </c>
      <c r="G24" s="63" cm="1">
        <f t="array" ref="G24">IF(INDEX(FX_Input,$KB24,G$85)="Vertical",INDEX(FX_Input,$KB24,G$86),INDEX(FX_Input,$KB24,G$87)*PI()/4)</f>
        <v>32</v>
      </c>
      <c r="H24" s="63" cm="1">
        <f t="array" ref="H24">IF(INDEX(FX_Input,$KB24,H$85)="Vertical",G24-G24/2+J24,G24/2)</f>
        <v>16.333333333333332</v>
      </c>
      <c r="I24" s="63" cm="1">
        <f t="array" ref="I24">IF(INDEX(FX_Input,$KB24,F$85)="Horizontal","N/A",IF(INDEX(FX_Input,$KB24,I$86)="Cone",IF(ISBLANK(INDEX(FX_Input,$KB24,I$87)),0.0625,INDEX(FX_Input,$KB24,I$87))*F24/2,F24/2-SQRT((F24/2)^2-(INDEX(FX_Input,$KB24,I$88)^2))))</f>
        <v>1</v>
      </c>
      <c r="J24" s="63" cm="1">
        <f t="array" ref="J24">IF(INDEX(FX_Input,$KB24,J$85)="Horizontal","N/A",IF(INDEX(FX_Input,$KB24,J$86)="Cone",I24/3,I24*(1/2+(1/6)*(I24/(F24/2))^2)))</f>
        <v>0.33333333333333331</v>
      </c>
      <c r="K24" s="63">
        <f t="shared" si="1"/>
        <v>31</v>
      </c>
      <c r="L24" s="63">
        <v>1</v>
      </c>
      <c r="M24" s="63" cm="1">
        <f t="array" ref="M24">INDEX(Tbl_71_6,MATCH(INDEX(FX_Input,$KB24,M$85),Paint_Color,0),VLOOKUP(INDEX(FX_Input,$KB24,M$86),Paint_Cond_Column,2,FALSE))</f>
        <v>0.57999999999999996</v>
      </c>
      <c r="N24" s="63" cm="1">
        <f t="array" ref="N24">INDEX(Tbl_71_6,MATCH(INDEX(FX_Input,$KB24,N$85),Paint_Color,0),VLOOKUP(INDEX(FX_Input,$KB24,N$86),Paint_Cond_Column,2,FALSE))</f>
        <v>0.57999999999999996</v>
      </c>
      <c r="O24" s="64">
        <f t="shared" si="2"/>
        <v>0.57999999999999996</v>
      </c>
      <c r="P24" s="80" t="str" cm="1">
        <f t="array" ref="P24">IF(ISBLANK(INDEX(FX_Input,$KB24+1,P$85)),INDEX(FX_Input,$KB24,P$85),INDEX(FX_Input,$KB24,P$85)&amp;" &amp; "&amp;INDEX(FX_Input,$KB24+1,P$85))</f>
        <v>Jet kerosene</v>
      </c>
      <c r="Q24" s="63" cm="1">
        <f t="array" ref="Q24">INDEX(FX_Temps,$KC24+7,Q$89)</f>
        <v>11.258800000000022</v>
      </c>
      <c r="R24" s="63" cm="1">
        <f t="array" ref="R24">INDEX(FX_Temps,$KC24+13,R$89)+459.6</f>
        <v>505.46950599999997</v>
      </c>
      <c r="S24" s="63" cm="1">
        <f t="array" ref="S24">INDEX(FX_Vap,$KG24,S$91)-INDEX(FX_Vap,$KH24,S$91)</f>
        <v>7.2511833210903501E-4</v>
      </c>
      <c r="T24" s="73" cm="1">
        <f t="array" ref="T24">IF(P24="Out of Service",0,INDEX(FX_Vap,$KI24,T$91))</f>
        <v>5.0788096823034274E-3</v>
      </c>
      <c r="U24" s="63">
        <f t="shared" si="3"/>
        <v>1.8240246540696722E-2</v>
      </c>
      <c r="V24" s="63">
        <f t="shared" si="4"/>
        <v>0.99562268884638927</v>
      </c>
      <c r="W24" s="63" cm="1">
        <f t="array" ref="W24">INDEX(FX_Vap,$KJ24,W$91)</f>
        <v>130</v>
      </c>
      <c r="X24" s="63" cm="1">
        <f t="array" ref="X24">INDEX(FX_Temps,$KD24,X$89)+459.6</f>
        <v>505.46950599999997</v>
      </c>
      <c r="Y24" s="63">
        <f t="shared" si="5"/>
        <v>1.2172229601159552E-4</v>
      </c>
      <c r="Z24" s="63" cm="1">
        <f t="array" ref="Z24">INDEX(Month_Ref,Z$83,3)*U24*(PI()/4*$F24^2)*$H24*V24*Y24</f>
        <v>0.90016470812970639</v>
      </c>
      <c r="AA24" s="63" cm="1">
        <f t="array" ref="AA24">INDEX(FX_Input,$KB24,AA$85)</f>
        <v>4583</v>
      </c>
      <c r="AB24" s="63">
        <f t="shared" si="6"/>
        <v>25728.962</v>
      </c>
      <c r="AC24" s="63">
        <f t="shared" si="7"/>
        <v>1.0663779903446713</v>
      </c>
      <c r="AD24" s="63">
        <f t="shared" si="8"/>
        <v>1</v>
      </c>
      <c r="AE24" s="63" cm="1">
        <f t="array" ref="AE24">IF(OR(INDEX(FX_Vap,$KK24,AE$90)="Crude Oil",(INDEX(FX_Vap,$KL24,AE$90)="Crude Oil")),0.75,1)</f>
        <v>1</v>
      </c>
      <c r="AF24" s="63">
        <f t="shared" si="108"/>
        <v>1</v>
      </c>
      <c r="AG24" s="63">
        <f t="shared" si="9"/>
        <v>3.1317883286350927</v>
      </c>
      <c r="AH24" s="64">
        <f t="shared" si="10"/>
        <v>4.0319530367647989</v>
      </c>
      <c r="AI24" s="80" t="str" cm="1">
        <f t="array" ref="AI24">IF(ISBLANK(INDEX(FX_Input,$KB24+1,AI$85)),INDEX(FX_Input,$KB24,AI$85),INDEX(FX_Input,$KB24,AI$85)&amp;" &amp; "&amp;INDEX(FX_Input,$KB24+1,AI$85))</f>
        <v>Jet kerosene</v>
      </c>
      <c r="AJ24" s="63" cm="1">
        <f t="array" ref="AJ24">INDEX(FX_Temps,$KC24+7,AJ$89)</f>
        <v>16.199999999999989</v>
      </c>
      <c r="AK24" s="63" cm="1">
        <f t="array" ref="AK24">INDEX(FX_Temps,$KC24+13,AK$89)+459.6</f>
        <v>507.74520000000007</v>
      </c>
      <c r="AL24" s="63" cm="1">
        <f t="array" ref="AL24">INDEX(FX_Vap,$KG24,AL$91)-INDEX(FX_Vap,$KH24,AL$91)</f>
        <v>9.7385557209301102E-4</v>
      </c>
      <c r="AM24" s="73" cm="1">
        <f t="array" ref="AM24">IF(AI24="Out of Service",0,INDEX(FX_Vap,$KI24,AM$91))</f>
        <v>5.4974545080270654E-3</v>
      </c>
      <c r="AN24" s="63">
        <f t="shared" si="11"/>
        <v>2.788888071256744E-2</v>
      </c>
      <c r="AO24" s="63">
        <f t="shared" si="12"/>
        <v>0.99526357734163229</v>
      </c>
      <c r="AP24" s="63" cm="1">
        <f t="array" ref="AP24">INDEX(FX_Vap,$KJ24,AP$91)</f>
        <v>130</v>
      </c>
      <c r="AQ24" s="63" cm="1">
        <f t="array" ref="AQ24">INDEX(FX_Temps,$KD24,AQ$89)+459.6</f>
        <v>507.74520000000007</v>
      </c>
      <c r="AR24" s="63">
        <f t="shared" si="13"/>
        <v>1.3116530552340457E-4</v>
      </c>
      <c r="AS24" s="63" cm="1">
        <f t="array" ref="AS24">INDEX(Month_Ref,AS$83,3)*AN24*(PI()/4*$F24^2)*$H24*AO24*AR24</f>
        <v>1.3390933875138158</v>
      </c>
      <c r="AT24" s="63" cm="1">
        <f t="array" ref="AT24">INDEX(FX_Input,$KB24,AT$85)</f>
        <v>4583</v>
      </c>
      <c r="AU24" s="63">
        <f t="shared" si="14"/>
        <v>25728.962</v>
      </c>
      <c r="AV24" s="63">
        <f t="shared" si="15"/>
        <v>1.0663779903446713</v>
      </c>
      <c r="AW24" s="63">
        <f t="shared" si="16"/>
        <v>1</v>
      </c>
      <c r="AX24" s="63" cm="1">
        <f t="array" ref="AX24">IF(OR(INDEX(FX_Vap,$KK24,AX$90)="Crude Oil",(INDEX(FX_Vap,$KL24,AX$90)="Crude Oil")),0.75,1)</f>
        <v>1</v>
      </c>
      <c r="AY24" s="63">
        <f t="shared" si="109"/>
        <v>1</v>
      </c>
      <c r="AZ24" s="63">
        <f t="shared" si="17"/>
        <v>3.3747471615300664</v>
      </c>
      <c r="BA24" s="64">
        <f t="shared" si="18"/>
        <v>4.7138405490438817</v>
      </c>
      <c r="BB24" s="80" t="str" cm="1">
        <f t="array" ref="BB24">IF(ISBLANK(INDEX(FX_Input,$KB24+1,BB$85)),INDEX(FX_Input,$KB24,BB$85),INDEX(FX_Input,$KB24,BB$85)&amp;" &amp; "&amp;INDEX(FX_Input,$KB24+1,BB$85))</f>
        <v>Jet kerosene</v>
      </c>
      <c r="BC24" s="63" cm="1">
        <f t="array" ref="BC24">INDEX(FX_Temps,$KC24+7,BC$89)</f>
        <v>19.413200000000032</v>
      </c>
      <c r="BD24" s="63" cm="1">
        <f t="array" ref="BD24">INDEX(FX_Temps,$KC24+13,BD$89)+459.6</f>
        <v>510.73573400000004</v>
      </c>
      <c r="BE24" s="63" cm="1">
        <f t="array" ref="BE24">INDEX(FX_Vap,$KG24,BE$91)-INDEX(FX_Vap,$KH24,BE$91)</f>
        <v>1.0512513961976316E-3</v>
      </c>
      <c r="BF24" s="73" cm="1">
        <f t="array" ref="BF24">IF(BB24="Out of Service",0,INDEX(FX_Vap,$KI24,BF$91))</f>
        <v>6.0939776204352973E-3</v>
      </c>
      <c r="BG24" s="63">
        <f t="shared" si="19"/>
        <v>3.3998481774195406E-2</v>
      </c>
      <c r="BH24" s="63">
        <f t="shared" si="20"/>
        <v>0.99475233001968988</v>
      </c>
      <c r="BI24" s="63" cm="1">
        <f t="array" ref="BI24">INDEX(FX_Vap,$KJ24,BI$91)</f>
        <v>130</v>
      </c>
      <c r="BJ24" s="63" cm="1">
        <f t="array" ref="BJ24">INDEX(FX_Temps,$KD24,BJ$89)+459.6</f>
        <v>510.73573400000004</v>
      </c>
      <c r="BK24" s="63">
        <f t="shared" si="21"/>
        <v>1.4454656240474778E-4</v>
      </c>
      <c r="BL24" s="63" cm="1">
        <f t="array" ref="BL24">INDEX(Month_Ref,BL$83,3)*BG24*(PI()/4*$F24^2)*$H24*BH24*BK24</f>
        <v>1.9907128221646626</v>
      </c>
      <c r="BM24" s="63" cm="1">
        <f t="array" ref="BM24">INDEX(FX_Input,$KB24,BM$85)</f>
        <v>4583</v>
      </c>
      <c r="BN24" s="63">
        <f t="shared" si="22"/>
        <v>25728.962</v>
      </c>
      <c r="BO24" s="63">
        <f t="shared" si="23"/>
        <v>1.0663779903446713</v>
      </c>
      <c r="BP24" s="63">
        <f t="shared" si="24"/>
        <v>1</v>
      </c>
      <c r="BQ24" s="63" cm="1">
        <f t="array" ref="BQ24">IF(OR(INDEX(FX_Vap,$KK24,BQ$90)="Crude Oil",(INDEX(FX_Vap,$KL24,BQ$90)="Crude Oil")),0.75,1)</f>
        <v>1</v>
      </c>
      <c r="BR24" s="63">
        <f t="shared" si="110"/>
        <v>1</v>
      </c>
      <c r="BS24" s="63">
        <f t="shared" si="25"/>
        <v>3.7190330113423844</v>
      </c>
      <c r="BT24" s="64">
        <f t="shared" si="26"/>
        <v>5.7097458335070472</v>
      </c>
      <c r="BU24" s="80" t="str" cm="1">
        <f t="array" ref="BU24">IF(ISBLANK(INDEX(FX_Input,$KB24+1,BU$85)),INDEX(FX_Input,$KB24,BU$85),INDEX(FX_Input,$KB24,BU$85)&amp;" &amp; "&amp;INDEX(FX_Input,$KB24+1,BU$85))</f>
        <v>Jet kerosene</v>
      </c>
      <c r="BV24" s="63" cm="1">
        <f t="array" ref="BV24">INDEX(FX_Temps,$KC24+7,BV$89)</f>
        <v>23.903199999999984</v>
      </c>
      <c r="BW24" s="63" cm="1">
        <f t="array" ref="BW24">INDEX(FX_Temps,$KC24+13,BW$89)+459.6</f>
        <v>515.38898399999994</v>
      </c>
      <c r="BX24" s="63" cm="1">
        <f t="array" ref="BX24">INDEX(FX_Vap,$KG24,BX$91)-INDEX(FX_Vap,$KH24,BX$91)</f>
        <v>1.2038097787291455E-3</v>
      </c>
      <c r="BY24" s="73" cm="1">
        <f t="array" ref="BY24">IF(BU24="Out of Service",0,INDEX(FX_Vap,$KI24,BY$91))</f>
        <v>7.1364512548726224E-3</v>
      </c>
      <c r="BZ24" s="63">
        <f t="shared" si="27"/>
        <v>4.2377266616028302E-2</v>
      </c>
      <c r="CA24" s="63">
        <f t="shared" si="28"/>
        <v>0.99386014276651757</v>
      </c>
      <c r="CB24" s="63" cm="1">
        <f t="array" ref="CB24">INDEX(FX_Vap,$KJ24,CB$91)</f>
        <v>130</v>
      </c>
      <c r="CC24" s="63" cm="1">
        <f t="array" ref="CC24">INDEX(FX_Temps,$KD24,CC$89)+459.6</f>
        <v>515.38898399999994</v>
      </c>
      <c r="CD24" s="63">
        <f t="shared" si="29"/>
        <v>1.6774528797017444E-4</v>
      </c>
      <c r="CE24" s="63" cm="1">
        <f t="array" ref="CE24">INDEX(Month_Ref,CE$83,3)*BZ24*(PI()/4*$F24^2)*$H24*CA24*CD24</f>
        <v>2.7841617493707216</v>
      </c>
      <c r="CF24" s="63" cm="1">
        <f t="array" ref="CF24">INDEX(FX_Input,$KB24,CF$85)</f>
        <v>4583</v>
      </c>
      <c r="CG24" s="63">
        <f t="shared" si="30"/>
        <v>25728.962</v>
      </c>
      <c r="CH24" s="63">
        <f t="shared" si="31"/>
        <v>1.0663779903446713</v>
      </c>
      <c r="CI24" s="63">
        <f t="shared" si="32"/>
        <v>1</v>
      </c>
      <c r="CJ24" s="63" cm="1">
        <f t="array" ref="CJ24">IF(OR(INDEX(FX_Vap,$KK24,CJ$90)="Crude Oil",(INDEX(FX_Vap,$KL24,CJ$90)="Crude Oil")),0.75,1)</f>
        <v>1</v>
      </c>
      <c r="CK24" s="63">
        <f t="shared" si="111"/>
        <v>1</v>
      </c>
      <c r="CL24" s="63">
        <f t="shared" si="33"/>
        <v>4.3159121398636753</v>
      </c>
      <c r="CM24" s="64">
        <f t="shared" si="34"/>
        <v>7.1000738892343964</v>
      </c>
      <c r="CN24" s="80" t="str" cm="1">
        <f t="array" ref="CN24">IF(ISBLANK(INDEX(FX_Input,$KB24+1,CN$85)),INDEX(FX_Input,$KB24,CN$85),INDEX(FX_Input,$KB24,CN$85)&amp;" &amp; "&amp;INDEX(FX_Input,$KB24+1,CN$85))</f>
        <v>Jet kerosene</v>
      </c>
      <c r="CO24" s="63" cm="1">
        <f t="array" ref="CO24">INDEX(FX_Temps,$KC24+7,CO$89)</f>
        <v>27.139199999999967</v>
      </c>
      <c r="CP24" s="63" cm="1">
        <f t="array" ref="CP24">INDEX(FX_Temps,$KC24+13,CP$89)+459.6</f>
        <v>521.57545400000004</v>
      </c>
      <c r="CQ24" s="63" cm="1">
        <f t="array" ref="CQ24">INDEX(FX_Vap,$KG24,CQ$91)-INDEX(FX_Vap,$KH24,CQ$91)</f>
        <v>1.4138833287953342E-3</v>
      </c>
      <c r="CR24" s="73" cm="1">
        <f t="array" ref="CR24">IF(CN24="Out of Service",0,INDEX(FX_Vap,$KI24,CR$91))</f>
        <v>8.765284653116507E-3</v>
      </c>
      <c r="CS24" s="63">
        <f t="shared" si="35"/>
        <v>4.8045295508693228E-2</v>
      </c>
      <c r="CT24" s="63">
        <f t="shared" si="36"/>
        <v>0.99246932660658937</v>
      </c>
      <c r="CU24" s="63" cm="1">
        <f t="array" ref="CU24">INDEX(FX_Vap,$KJ24,CU$91)</f>
        <v>130</v>
      </c>
      <c r="CV24" s="63" cm="1">
        <f t="array" ref="CV24">INDEX(FX_Temps,$KD24,CV$89)+459.6</f>
        <v>521.57545400000004</v>
      </c>
      <c r="CW24" s="63">
        <f t="shared" si="37"/>
        <v>2.0358793488255635E-4</v>
      </c>
      <c r="CX24" s="63" cm="1">
        <f t="array" ref="CX24">INDEX(Month_Ref,CX$83,3)*CS24*(PI()/4*$F24^2)*$H24*CT24*CW24</f>
        <v>3.9531778782662181</v>
      </c>
      <c r="CY24" s="63" cm="1">
        <f t="array" ref="CY24">INDEX(FX_Input,$KB24,CY$85)</f>
        <v>4583</v>
      </c>
      <c r="CZ24" s="63">
        <f t="shared" si="38"/>
        <v>25728.962</v>
      </c>
      <c r="DA24" s="63">
        <f t="shared" si="39"/>
        <v>1.0663779903446713</v>
      </c>
      <c r="DB24" s="63">
        <f t="shared" si="40"/>
        <v>1</v>
      </c>
      <c r="DC24" s="63" cm="1">
        <f t="array" ref="DC24">IF(OR(INDEX(FX_Vap,$KK24,DC$90)="Crude Oil",(INDEX(FX_Vap,$KL24,DC$90)="Crude Oil")),0.75,1)</f>
        <v>1</v>
      </c>
      <c r="DD24" s="63">
        <f t="shared" si="112"/>
        <v>1</v>
      </c>
      <c r="DE24" s="63">
        <f t="shared" si="41"/>
        <v>5.2381062402517671</v>
      </c>
      <c r="DF24" s="64">
        <f t="shared" si="42"/>
        <v>9.1912841185179843</v>
      </c>
      <c r="DG24" s="80" t="str" cm="1">
        <f t="array" ref="DG24">IF(ISBLANK(INDEX(FX_Input,$KB24+1,DG$85)),INDEX(FX_Input,$KB24,DG$85),INDEX(FX_Input,$KB24,DG$85)&amp;" &amp; "&amp;INDEX(FX_Input,$KB24+1,DG$85))</f>
        <v>Jet kerosene</v>
      </c>
      <c r="DH24" s="63" cm="1">
        <f t="array" ref="DH24">INDEX(FX_Temps,$KC24+7,DH$89)</f>
        <v>27.623200000000036</v>
      </c>
      <c r="DI24" s="63" cm="1">
        <f t="array" ref="DI24">INDEX(FX_Temps,$KC24+13,DI$89)+459.6</f>
        <v>525.89223400000003</v>
      </c>
      <c r="DJ24" s="63" cm="1">
        <f t="array" ref="DJ24">INDEX(FX_Vap,$KG24,DJ$91)-INDEX(FX_Vap,$KH24,DJ$91)</f>
        <v>1.4993334776470697E-3</v>
      </c>
      <c r="DK24" s="73" cm="1">
        <f t="array" ref="DK24">IF(DG24="Out of Service",0,INDEX(FX_Vap,$KI24,DK$91))</f>
        <v>1.0088391497030216E-2</v>
      </c>
      <c r="DL24" s="63">
        <f t="shared" si="43"/>
        <v>4.8543980644621849E-2</v>
      </c>
      <c r="DM24" s="63">
        <f t="shared" si="44"/>
        <v>0.99134242396729666</v>
      </c>
      <c r="DN24" s="63" cm="1">
        <f t="array" ref="DN24">INDEX(FX_Vap,$KJ24,DN$91)</f>
        <v>130</v>
      </c>
      <c r="DO24" s="63" cm="1">
        <f t="array" ref="DO24">INDEX(FX_Temps,$KD24,DO$89)+459.6</f>
        <v>525.89223400000003</v>
      </c>
      <c r="DP24" s="63">
        <f t="shared" si="45"/>
        <v>2.3239582803801919E-4</v>
      </c>
      <c r="DQ24" s="63" cm="1">
        <f t="array" ref="DQ24">INDEX(Month_Ref,DQ$83,3)*DL24*(PI()/4*$F24^2)*$H24*DM24*DP24</f>
        <v>4.4073072036571066</v>
      </c>
      <c r="DR24" s="63" cm="1">
        <f t="array" ref="DR24">INDEX(FX_Input,$KB24,DR$85)</f>
        <v>4583</v>
      </c>
      <c r="DS24" s="63">
        <f t="shared" si="46"/>
        <v>25728.962</v>
      </c>
      <c r="DT24" s="63">
        <f t="shared" si="47"/>
        <v>1.0663779903446713</v>
      </c>
      <c r="DU24" s="63">
        <f t="shared" si="48"/>
        <v>1</v>
      </c>
      <c r="DV24" s="63" cm="1">
        <f t="array" ref="DV24">IF(OR(INDEX(FX_Vap,$KK24,DV$90)="Crude Oil",(INDEX(FX_Vap,$KL24,DV$90)="Crude Oil")),0.75,1)</f>
        <v>1</v>
      </c>
      <c r="DW24" s="63">
        <f t="shared" si="113"/>
        <v>1</v>
      </c>
      <c r="DX24" s="63">
        <f t="shared" si="49"/>
        <v>5.9793034285487305</v>
      </c>
      <c r="DY24" s="64">
        <f t="shared" si="50"/>
        <v>10.386610632205837</v>
      </c>
      <c r="DZ24" s="80" t="str" cm="1">
        <f t="array" ref="DZ24">IF(ISBLANK(INDEX(FX_Input,$KB24+1,DZ$85)),INDEX(FX_Input,$KB24,DZ$85),INDEX(FX_Input,$KB24,DZ$85)&amp;" &amp; "&amp;INDEX(FX_Input,$KB24+1,DZ$85))</f>
        <v>Jet kerosene</v>
      </c>
      <c r="EA24" s="63" cm="1">
        <f t="array" ref="EA24">INDEX(FX_Temps,$KC24+7,EA$89)</f>
        <v>28.70279999999995</v>
      </c>
      <c r="EB24" s="63" cm="1">
        <f t="array" ref="EB24">INDEX(FX_Temps,$KC24+13,EB$89)+459.6</f>
        <v>529.85733599999992</v>
      </c>
      <c r="EC24" s="63" cm="1">
        <f t="array" ref="EC24">INDEX(FX_Vap,$KG24,EC$91)-INDEX(FX_Vap,$KH24,EC$91)</f>
        <v>1.6992521014225423E-3</v>
      </c>
      <c r="ED24" s="73" cm="1">
        <f t="array" ref="ED24">IF(DZ24="Out of Service",0,INDEX(FX_Vap,$KI24,ED$91))</f>
        <v>1.1455846008049875E-2</v>
      </c>
      <c r="EE24" s="63">
        <f t="shared" si="51"/>
        <v>5.0201677517994168E-2</v>
      </c>
      <c r="EF24" s="63">
        <f t="shared" si="52"/>
        <v>0.99018043603854633</v>
      </c>
      <c r="EG24" s="63" cm="1">
        <f t="array" ref="EG24">INDEX(FX_Vap,$KJ24,EG$91)</f>
        <v>130</v>
      </c>
      <c r="EH24" s="63" cm="1">
        <f t="array" ref="EH24">INDEX(FX_Temps,$KD24,EH$89)+459.6</f>
        <v>529.85733599999992</v>
      </c>
      <c r="EI24" s="63">
        <f t="shared" si="53"/>
        <v>2.6192163491240041E-4</v>
      </c>
      <c r="EJ24" s="63" cm="1">
        <f t="array" ref="EJ24">INDEX(Month_Ref,EJ$83,3)*EE24*(PI()/4*$F24^2)*$H24*EF24*EI24</f>
        <v>5.3018849694430559</v>
      </c>
      <c r="EK24" s="63" cm="1">
        <f t="array" ref="EK24">INDEX(FX_Input,$KB24,EK$85)</f>
        <v>4583</v>
      </c>
      <c r="EL24" s="63">
        <f t="shared" si="54"/>
        <v>25728.962</v>
      </c>
      <c r="EM24" s="63">
        <f t="shared" si="55"/>
        <v>1.0663779903446713</v>
      </c>
      <c r="EN24" s="63">
        <f t="shared" si="56"/>
        <v>1</v>
      </c>
      <c r="EO24" s="63" cm="1">
        <f t="array" ref="EO24">IF(OR(INDEX(FX_Vap,$KK24,EO$90)="Crude Oil",(INDEX(FX_Vap,$KL24,EO$90)="Crude Oil")),0.75,1)</f>
        <v>1</v>
      </c>
      <c r="EP24" s="63">
        <f t="shared" si="114"/>
        <v>1</v>
      </c>
      <c r="EQ24" s="63">
        <f t="shared" si="57"/>
        <v>6.738971791639023</v>
      </c>
      <c r="ER24" s="64">
        <f t="shared" si="58"/>
        <v>12.040856761082079</v>
      </c>
      <c r="ES24" s="80" t="str" cm="1">
        <f t="array" ref="ES24">IF(ISBLANK(INDEX(FX_Input,$KB24+1,ES$85)),INDEX(FX_Input,$KB24,ES$85),INDEX(FX_Input,$KB24,ES$85)&amp;" &amp; "&amp;INDEX(FX_Input,$KB24+1,ES$85))</f>
        <v>Jet kerosene</v>
      </c>
      <c r="ET24" s="63" cm="1">
        <f t="array" ref="ET24">INDEX(FX_Temps,$KC24+7,ET$89)</f>
        <v>26.827200000000012</v>
      </c>
      <c r="EU24" s="63" cm="1">
        <f t="array" ref="EU24">INDEX(FX_Temps,$KC24+13,EU$89)+459.6</f>
        <v>529.06706399999996</v>
      </c>
      <c r="EV24" s="63" cm="1">
        <f t="array" ref="EV24">INDEX(FX_Vap,$KG24,EV$91)-INDEX(FX_Vap,$KH24,EV$91)</f>
        <v>1.7992087732702586E-3</v>
      </c>
      <c r="EW24" s="73" cm="1">
        <f t="array" ref="EW24">IF(ES24="Out of Service",0,INDEX(FX_Vap,$KI24,EW$91))</f>
        <v>1.1170957772624744E-2</v>
      </c>
      <c r="EX24" s="63">
        <f t="shared" si="59"/>
        <v>4.6744366618355258E-2</v>
      </c>
      <c r="EY24" s="63">
        <f t="shared" si="60"/>
        <v>0.9904222937610393</v>
      </c>
      <c r="EZ24" s="63" cm="1">
        <f t="array" ref="EZ24">INDEX(FX_Vap,$KJ24,EZ$91)</f>
        <v>130</v>
      </c>
      <c r="FA24" s="63" cm="1">
        <f t="array" ref="FA24">INDEX(FX_Temps,$KD24,FA$89)+459.6</f>
        <v>529.06706399999996</v>
      </c>
      <c r="FB24" s="63">
        <f t="shared" si="61"/>
        <v>2.5578957558738659E-4</v>
      </c>
      <c r="FC24" s="63" cm="1">
        <f t="array" ref="FC24">INDEX(Month_Ref,FC$83,3)*EX24*(PI()/4*$F24^2)*$H24*EY24*FB24</f>
        <v>4.8223517514418832</v>
      </c>
      <c r="FD24" s="63" cm="1">
        <f t="array" ref="FD24">INDEX(FX_Input,$KB24,FD$85)</f>
        <v>4583</v>
      </c>
      <c r="FE24" s="63">
        <f t="shared" si="62"/>
        <v>25728.962</v>
      </c>
      <c r="FF24" s="63">
        <f t="shared" si="63"/>
        <v>1.0663779903446713</v>
      </c>
      <c r="FG24" s="63">
        <f t="shared" si="64"/>
        <v>1</v>
      </c>
      <c r="FH24" s="63" cm="1">
        <f t="array" ref="FH24">IF(OR(INDEX(FX_Vap,$KK24,FH$90)="Crude Oil",(INDEX(FX_Vap,$KL24,FH$90)="Crude Oil")),0.75,1)</f>
        <v>1</v>
      </c>
      <c r="FI24" s="63">
        <f t="shared" si="115"/>
        <v>1</v>
      </c>
      <c r="FJ24" s="63">
        <f t="shared" si="65"/>
        <v>6.5812002702839969</v>
      </c>
      <c r="FK24" s="64">
        <f t="shared" si="66"/>
        <v>11.403552021725879</v>
      </c>
      <c r="FL24" s="80" t="str" cm="1">
        <f t="array" ref="FL24">IF(ISBLANK(INDEX(FX_Input,$KB24+1,FL$85)),INDEX(FX_Input,$KB24,FL$85),INDEX(FX_Input,$KB24,FL$85)&amp;" &amp; "&amp;INDEX(FX_Input,$KB24+1,FL$85))</f>
        <v>Jet kerosene</v>
      </c>
      <c r="FM24" s="63" cm="1">
        <f t="array" ref="FM24">INDEX(FX_Temps,$KC24+7,FM$89)</f>
        <v>25.353599999999982</v>
      </c>
      <c r="FN24" s="63" cm="1">
        <f t="array" ref="FN24">INDEX(FX_Temps,$KC24+13,FN$89)+459.6</f>
        <v>525.06743199999994</v>
      </c>
      <c r="FO24" s="63" cm="1">
        <f t="array" ref="FO24">INDEX(FX_Vap,$KG24,FO$91)-INDEX(FX_Vap,$KH24,FO$91)</f>
        <v>1.9653530375067282E-3</v>
      </c>
      <c r="FP24" s="73" cm="1">
        <f t="array" ref="FP24">IF(FL24="Out of Service",0,INDEX(FX_Vap,$KI24,FP$91))</f>
        <v>9.8227622663598323E-3</v>
      </c>
      <c r="FQ24" s="63">
        <f t="shared" si="67"/>
        <v>4.4335794433841239E-2</v>
      </c>
      <c r="FR24" s="63">
        <f t="shared" si="68"/>
        <v>0.99156845754253609</v>
      </c>
      <c r="FS24" s="63" cm="1">
        <f t="array" ref="FS24">INDEX(FX_Vap,$KJ24,FS$91)</f>
        <v>130</v>
      </c>
      <c r="FT24" s="63" cm="1">
        <f t="array" ref="FT24">INDEX(FX_Temps,$KD24,FT$89)+459.6</f>
        <v>525.06743199999994</v>
      </c>
      <c r="FU24" s="63">
        <f t="shared" si="69"/>
        <v>2.2663224935892229E-4</v>
      </c>
      <c r="FV24" s="63" cm="1">
        <f t="array" ref="FV24">INDEX(Month_Ref,FV$83,3)*FQ24*(PI()/4*$F24^2)*$H24*FR24*FU24</f>
        <v>3.9263121612685201</v>
      </c>
      <c r="FW24" s="63" cm="1">
        <f t="array" ref="FW24">INDEX(FX_Input,$KB24,FW$85)</f>
        <v>4583</v>
      </c>
      <c r="FX24" s="63">
        <f t="shared" si="70"/>
        <v>25728.962</v>
      </c>
      <c r="FY24" s="63">
        <f t="shared" si="71"/>
        <v>1.0663779903446713</v>
      </c>
      <c r="FZ24" s="63">
        <f t="shared" si="72"/>
        <v>1</v>
      </c>
      <c r="GA24" s="63" cm="1">
        <f t="array" ref="GA24">IF(OR(INDEX(FX_Vap,$KK24,GA$90)="Crude Oil",(INDEX(FX_Vap,$KL24,GA$90)="Crude Oil")),0.75,1)</f>
        <v>1</v>
      </c>
      <c r="GB24" s="63">
        <f t="shared" si="116"/>
        <v>1</v>
      </c>
      <c r="GC24" s="63">
        <f t="shared" si="73"/>
        <v>5.8310125317302361</v>
      </c>
      <c r="GD24" s="64">
        <f t="shared" si="74"/>
        <v>9.7573246929987558</v>
      </c>
      <c r="GE24" s="80" t="str" cm="1">
        <f t="array" ref="GE24">IF(ISBLANK(INDEX(FX_Input,$KB24+1,GE$85)),INDEX(FX_Input,$KB24,GE$85),INDEX(FX_Input,$KB24,GE$85)&amp;" &amp; "&amp;INDEX(FX_Input,$KB24+1,GE$85))</f>
        <v>Jet kerosene</v>
      </c>
      <c r="GF24" s="63" cm="1">
        <f t="array" ref="GF24">INDEX(FX_Temps,$KC24+7,GF$89)</f>
        <v>18.734799999999993</v>
      </c>
      <c r="GG24" s="63" cm="1">
        <f t="array" ref="GG24">INDEX(FX_Temps,$KC24+13,GG$89)+459.6</f>
        <v>516.43017599999996</v>
      </c>
      <c r="GH24" s="63" cm="1">
        <f t="array" ref="GH24">INDEX(FX_Vap,$KG24,GH$91)-INDEX(FX_Vap,$KH24,GH$91)</f>
        <v>1.4015323004334451E-3</v>
      </c>
      <c r="GI24" s="73" cm="1">
        <f t="array" ref="GI24">IF(GE24="Out of Service",0,INDEX(FX_Vap,$KI24,GI$91))</f>
        <v>7.3902409367879104E-3</v>
      </c>
      <c r="GJ24" s="63">
        <f t="shared" si="75"/>
        <v>3.2289212922073263E-2</v>
      </c>
      <c r="GK24" s="63">
        <f t="shared" si="76"/>
        <v>0.99364318240908334</v>
      </c>
      <c r="GL24" s="63" cm="1">
        <f t="array" ref="GL24">INDEX(FX_Vap,$KJ24,GL$91)</f>
        <v>130</v>
      </c>
      <c r="GM24" s="63" cm="1">
        <f t="array" ref="GM24">INDEX(FX_Temps,$KD24,GM$89)+459.6</f>
        <v>516.43017599999996</v>
      </c>
      <c r="GN24" s="63">
        <f t="shared" si="77"/>
        <v>1.7336049723016869E-4</v>
      </c>
      <c r="GO24" s="63" cm="1">
        <f t="array" ref="GO24">INDEX(Month_Ref,GO$83,3)*GJ24*(PI()/4*$F24^2)*$H24*GK24*GN24</f>
        <v>2.2649802374895982</v>
      </c>
      <c r="GP24" s="63" cm="1">
        <f t="array" ref="GP24">INDEX(FX_Input,$KB24,GP$85)</f>
        <v>4583</v>
      </c>
      <c r="GQ24" s="63">
        <f t="shared" si="78"/>
        <v>25728.962</v>
      </c>
      <c r="GR24" s="63">
        <f t="shared" si="79"/>
        <v>1.0663779903446713</v>
      </c>
      <c r="GS24" s="63">
        <f t="shared" si="80"/>
        <v>1</v>
      </c>
      <c r="GT24" s="63" cm="1">
        <f t="array" ref="GT24">IF(OR(INDEX(FX_Vap,$KK24,GT$90)="Crude Oil",(INDEX(FX_Vap,$KL24,GT$90)="Crude Oil")),0.75,1)</f>
        <v>1</v>
      </c>
      <c r="GU24" s="63">
        <f t="shared" si="117"/>
        <v>1</v>
      </c>
      <c r="GV24" s="63">
        <f t="shared" si="81"/>
        <v>4.4603856455361157</v>
      </c>
      <c r="GW24" s="64">
        <f t="shared" si="82"/>
        <v>6.7253658830257139</v>
      </c>
      <c r="GX24" s="80" t="str" cm="1">
        <f t="array" ref="GX24">IF(ISBLANK(INDEX(FX_Input,$KB24+1,GX$85)),INDEX(FX_Input,$KB24,GX$85),INDEX(FX_Input,$KB24,GX$85)&amp;" &amp; "&amp;INDEX(FX_Input,$KB24+1,GX$85))</f>
        <v>Jet kerosene</v>
      </c>
      <c r="GY24" s="63" cm="1">
        <f t="array" ref="GY24">INDEX(FX_Temps,$KC24+7,GY$89)</f>
        <v>13.07560000000003</v>
      </c>
      <c r="GZ24" s="63" cm="1">
        <f t="array" ref="GZ24">INDEX(FX_Temps,$KC24+13,GZ$89)+459.6</f>
        <v>508.94512199999997</v>
      </c>
      <c r="HA24" s="63" cm="1">
        <f t="array" ref="HA24">INDEX(FX_Vap,$KG24,HA$91)-INDEX(FX_Vap,$KH24,HA$91)</f>
        <v>9.4462005903835859E-4</v>
      </c>
      <c r="HB24" s="73" cm="1">
        <f t="array" ref="HB24">IF(GX24="Out of Service",0,INDEX(FX_Vap,$KI24,HB$91))</f>
        <v>5.7302815955729341E-3</v>
      </c>
      <c r="HC24" s="63">
        <f t="shared" si="83"/>
        <v>2.1672632088548499E-2</v>
      </c>
      <c r="HD24" s="63">
        <f t="shared" si="84"/>
        <v>0.99506397146958292</v>
      </c>
      <c r="HE24" s="63" cm="1">
        <f t="array" ref="HE24">INDEX(FX_Vap,$KJ24,HE$91)</f>
        <v>130</v>
      </c>
      <c r="HF24" s="63" cm="1">
        <f t="array" ref="HF24">INDEX(FX_Temps,$KD24,HF$89)+459.6</f>
        <v>508.94512199999997</v>
      </c>
      <c r="HG24" s="63">
        <f t="shared" si="85"/>
        <v>1.3639805130362953E-4</v>
      </c>
      <c r="HH24" s="63" cm="1">
        <f t="array" ref="HH24">INDEX(Month_Ref,HH$83,3)*HC24*(PI()/4*$F24^2)*$H24*HD24*HG24</f>
        <v>1.1591956537960062</v>
      </c>
      <c r="HI24" s="63" cm="1">
        <f t="array" ref="HI24">INDEX(FX_Input,$KB24,HI$85)</f>
        <v>4583</v>
      </c>
      <c r="HJ24" s="63">
        <f t="shared" si="86"/>
        <v>25728.962</v>
      </c>
      <c r="HK24" s="63">
        <f t="shared" si="87"/>
        <v>1.0663779903446713</v>
      </c>
      <c r="HL24" s="63">
        <f t="shared" si="88"/>
        <v>1</v>
      </c>
      <c r="HM24" s="63" cm="1">
        <f t="array" ref="HM24">IF(OR(INDEX(FX_Vap,$KK24,HM$90)="Crude Oil",(INDEX(FX_Vap,$KL24,HM$90)="Crude Oil")),0.75,1)</f>
        <v>1</v>
      </c>
      <c r="HN24" s="63">
        <f t="shared" si="118"/>
        <v>1</v>
      </c>
      <c r="HO24" s="63">
        <f t="shared" si="89"/>
        <v>3.5093802788651347</v>
      </c>
      <c r="HP24" s="64">
        <f t="shared" si="90"/>
        <v>4.6685759326611409</v>
      </c>
      <c r="HQ24" s="80" t="str" cm="1">
        <f t="array" ref="HQ24">IF(ISBLANK(INDEX(FX_Input,$KB24+1,HQ$85)),INDEX(FX_Input,$KB24,HQ$85),INDEX(FX_Input,$KB24,HQ$85)&amp;" &amp; "&amp;INDEX(FX_Input,$KB24+1,HQ$85))</f>
        <v>Jet kerosene</v>
      </c>
      <c r="HR24" s="63" cm="1">
        <f t="array" ref="HR24">INDEX(FX_Temps,$KC24+7,HR$89)</f>
        <v>10.5032</v>
      </c>
      <c r="HS24" s="63" cm="1">
        <f t="array" ref="HS24">INDEX(FX_Temps,$KC24+13,HS$89)+459.6</f>
        <v>504.93408400000004</v>
      </c>
      <c r="HT24" s="63" cm="1">
        <f t="array" ref="HT24">INDEX(FX_Vap,$KG24,HT$91)-INDEX(FX_Vap,$KH24,HT$91)</f>
        <v>6.8725410655236848E-4</v>
      </c>
      <c r="HU24" s="73" cm="1">
        <f t="array" ref="HU24">IF(HQ24="Out of Service",0,INDEX(FX_Vap,$KI24,HU$91))</f>
        <v>4.9845202750316486E-3</v>
      </c>
      <c r="HV24" s="63">
        <f t="shared" si="91"/>
        <v>1.6764881648650403E-2</v>
      </c>
      <c r="HW24" s="63">
        <f t="shared" si="92"/>
        <v>0.99570360560276738</v>
      </c>
      <c r="HX24" s="63" cm="1">
        <f t="array" ref="HX24">INDEX(FX_Vap,$KJ24,HX$91)</f>
        <v>130</v>
      </c>
      <c r="HY24" s="63" cm="1">
        <f t="array" ref="HY24">INDEX(FX_Temps,$KD24,HY$89)+459.6</f>
        <v>504.93408400000004</v>
      </c>
      <c r="HZ24" s="63">
        <f t="shared" si="93"/>
        <v>1.1958916593165838E-4</v>
      </c>
      <c r="IA24" s="63" cm="1">
        <f t="array" ref="IA24">INDEX(Month_Ref,IA$83,3)*HV24*(PI()/4*$F24^2)*$H24*HW24*HZ24</f>
        <v>0.81292179181587387</v>
      </c>
      <c r="IB24" s="63" cm="1">
        <f t="array" ref="IB24">INDEX(FX_Input,$KB24,IB$85)</f>
        <v>4583</v>
      </c>
      <c r="IC24" s="63">
        <f t="shared" si="94"/>
        <v>25728.962</v>
      </c>
      <c r="ID24" s="63">
        <f t="shared" si="95"/>
        <v>1.0663779903446713</v>
      </c>
      <c r="IE24" s="63">
        <f t="shared" si="96"/>
        <v>1</v>
      </c>
      <c r="IF24" s="63" cm="1">
        <f t="array" ref="IF24">IF(OR(INDEX(FX_Vap,$KK24,IF$90)="Crude Oil",(INDEX(FX_Vap,$KL24,IF$90)="Crude Oil")),0.75,1)</f>
        <v>1</v>
      </c>
      <c r="IG24" s="63">
        <f t="shared" si="119"/>
        <v>1</v>
      </c>
      <c r="IH24" s="63">
        <f t="shared" si="97"/>
        <v>3.0769051058673331</v>
      </c>
      <c r="II24" s="64">
        <f t="shared" si="98"/>
        <v>3.8898268976832071</v>
      </c>
      <c r="IJ24" s="80">
        <f t="shared" si="99"/>
        <v>33.662264314357166</v>
      </c>
      <c r="IK24" s="63">
        <f t="shared" si="100"/>
        <v>1.6831132157178585E-2</v>
      </c>
      <c r="IL24" s="63">
        <f t="shared" si="101"/>
        <v>55.956745934093561</v>
      </c>
      <c r="IM24" s="63">
        <f t="shared" si="102"/>
        <v>2.7978372967046781E-2</v>
      </c>
      <c r="IN24" s="63">
        <f t="shared" si="103"/>
        <v>89.619010248450707</v>
      </c>
      <c r="IO24" s="64">
        <f t="shared" si="104"/>
        <v>4.4809505124225352E-2</v>
      </c>
      <c r="KB24" s="43">
        <f t="shared" si="120"/>
        <v>27</v>
      </c>
      <c r="KC24" s="43">
        <f t="shared" si="121"/>
        <v>183</v>
      </c>
      <c r="KD24" s="43">
        <f t="shared" si="122"/>
        <v>196</v>
      </c>
      <c r="KE24" s="43">
        <f t="shared" si="123"/>
        <v>183</v>
      </c>
      <c r="KF24" s="43">
        <f t="shared" si="124"/>
        <v>443</v>
      </c>
      <c r="KG24" s="43">
        <f t="shared" si="125"/>
        <v>466</v>
      </c>
      <c r="KH24" s="43">
        <f t="shared" si="126"/>
        <v>461</v>
      </c>
      <c r="KI24" s="43">
        <f t="shared" si="105"/>
        <v>471</v>
      </c>
      <c r="KJ24" s="43">
        <f t="shared" si="105"/>
        <v>476</v>
      </c>
      <c r="KK24" s="43">
        <f t="shared" si="127"/>
        <v>447</v>
      </c>
      <c r="KL24" s="43">
        <f t="shared" si="128"/>
        <v>449</v>
      </c>
    </row>
    <row r="25" spans="2:298" x14ac:dyDescent="0.4">
      <c r="B25" s="43" t="str" cm="1">
        <f t="array" ref="B25">INDEX(FX_Input,$KB25,B$85)</f>
        <v>FX - 15</v>
      </c>
      <c r="C25" s="93" t="str" cm="1">
        <f t="array" ref="C25">INDEX(FX_Input,$KB25,C$85)</f>
        <v>FIXTANK 122</v>
      </c>
      <c r="D25" s="80">
        <f t="shared" si="0"/>
        <v>13136.046082210121</v>
      </c>
      <c r="E25" s="63" cm="1">
        <f t="array" ref="E25">IF(ISBLANK(INDEX(FX_Input,$KB25,$E$85)),0.03,INDEX(FX_Input,$KB25,$E$85))-IF(ISBLANK(INDEX(FX_Input,$KB25,$E$86)),-0.03,INDEX(FX_Input,$KB25,$E$86))</f>
        <v>0.06</v>
      </c>
      <c r="F25" s="63" cm="1">
        <f t="array" ref="F25">IF(INDEX(FX_Input,$KB25,F$85)="Vertical",INDEX(FX_Input,$KB25,F$86),SQRT((INDEX(FX_Input,$KB25,F$86)*INDEX(FX_Input,$KB25,F$87))/(PI()/4)))</f>
        <v>32</v>
      </c>
      <c r="G25" s="63" cm="1">
        <f t="array" ref="G25">IF(INDEX(FX_Input,$KB25,G$85)="Vertical",INDEX(FX_Input,$KB25,G$86),INDEX(FX_Input,$KB25,G$87)*PI()/4)</f>
        <v>32</v>
      </c>
      <c r="H25" s="63" cm="1">
        <f t="array" ref="H25">IF(INDEX(FX_Input,$KB25,H$85)="Vertical",G25-G25/2+J25,G25/2)</f>
        <v>16.333333333333332</v>
      </c>
      <c r="I25" s="63" cm="1">
        <f t="array" ref="I25">IF(INDEX(FX_Input,$KB25,F$85)="Horizontal","N/A",IF(INDEX(FX_Input,$KB25,I$86)="Cone",IF(ISBLANK(INDEX(FX_Input,$KB25,I$87)),0.0625,INDEX(FX_Input,$KB25,I$87))*F25/2,F25/2-SQRT((F25/2)^2-(INDEX(FX_Input,$KB25,I$88)^2))))</f>
        <v>1</v>
      </c>
      <c r="J25" s="63" cm="1">
        <f t="array" ref="J25">IF(INDEX(FX_Input,$KB25,J$85)="Horizontal","N/A",IF(INDEX(FX_Input,$KB25,J$86)="Cone",I25/3,I25*(1/2+(1/6)*(I25/(F25/2))^2)))</f>
        <v>0.33333333333333331</v>
      </c>
      <c r="K25" s="63">
        <f t="shared" si="1"/>
        <v>31</v>
      </c>
      <c r="L25" s="63">
        <v>1</v>
      </c>
      <c r="M25" s="63" t="str" cm="1">
        <f t="array" ref="M25">INDEX(Tbl_71_6,MATCH(INDEX(FX_Input,$KB25,M$85),Paint_Color,0),VLOOKUP(INDEX(FX_Input,$KB25,M$86),Paint_Cond_Column,2,FALSE))</f>
        <v>N/A</v>
      </c>
      <c r="N25" s="63" t="str" cm="1">
        <f t="array" ref="N25">INDEX(Tbl_71_6,MATCH(INDEX(FX_Input,$KB25,N$85),Paint_Color,0),VLOOKUP(INDEX(FX_Input,$KB25,N$86),Paint_Cond_Column,2,FALSE))</f>
        <v>N/A</v>
      </c>
      <c r="O25" s="64" t="str">
        <f t="shared" si="2"/>
        <v>Insulated</v>
      </c>
      <c r="P25" s="80" t="str" cm="1">
        <f t="array" ref="P25">IF(ISBLANK(INDEX(FX_Input,$KB25+1,P$85)),INDEX(FX_Input,$KB25,P$85),INDEX(FX_Input,$KB25,P$85)&amp;" &amp; "&amp;INDEX(FX_Input,$KB25+1,P$85))</f>
        <v>Jet kerosene</v>
      </c>
      <c r="Q25" s="63" cm="1">
        <f t="array" ref="Q25">INDEX(FX_Temps,$KC25+7,Q$89)</f>
        <v>0</v>
      </c>
      <c r="R25" s="63" cm="1">
        <f t="array" ref="R25">INDEX(FX_Temps,$KC25+13,R$89)+459.6</f>
        <v>503.5</v>
      </c>
      <c r="S25" s="63" cm="1">
        <f t="array" ref="S25">INDEX(FX_Vap,$KG25,S$91)-INDEX(FX_Vap,$KH25,S$91)</f>
        <v>0</v>
      </c>
      <c r="T25" s="73" cm="1">
        <f t="array" ref="T25">IF(P25="Out of Service",0,INDEX(FX_Vap,$KI25,T$91))</f>
        <v>4.739577185808354E-3</v>
      </c>
      <c r="U25" s="63">
        <f t="shared" si="3"/>
        <v>0</v>
      </c>
      <c r="V25" s="63">
        <f t="shared" si="4"/>
        <v>0.99591387097036477</v>
      </c>
      <c r="W25" s="63" cm="1">
        <f t="array" ref="W25">INDEX(FX_Vap,$KJ25,W$91)</f>
        <v>130</v>
      </c>
      <c r="X25" s="63" cm="1">
        <f t="array" ref="X25">INDEX(FX_Temps,$KD25,X$89)+459.6</f>
        <v>503.5</v>
      </c>
      <c r="Y25" s="63">
        <f t="shared" si="5"/>
        <v>1.1403634333314844E-4</v>
      </c>
      <c r="Z25" s="63" cm="1">
        <f t="array" ref="Z25">INDEX(Month_Ref,Z$83,3)*U25*(PI()/4*$F25^2)*$H25*V25*Y25</f>
        <v>0</v>
      </c>
      <c r="AA25" s="63" cm="1">
        <f t="array" ref="AA25">INDEX(FX_Input,$KB25,AA$85)</f>
        <v>4583</v>
      </c>
      <c r="AB25" s="63">
        <f t="shared" si="6"/>
        <v>25728.962</v>
      </c>
      <c r="AC25" s="63">
        <f t="shared" si="7"/>
        <v>1.0663779903446713</v>
      </c>
      <c r="AD25" s="63">
        <f t="shared" si="8"/>
        <v>1</v>
      </c>
      <c r="AE25" s="63" cm="1">
        <f t="array" ref="AE25">IF(OR(INDEX(FX_Vap,$KK25,AE$90)="Crude Oil",(INDEX(FX_Vap,$KL25,AE$90)="Crude Oil")),0.75,1)</f>
        <v>1</v>
      </c>
      <c r="AF25" s="63">
        <f t="shared" si="108"/>
        <v>1</v>
      </c>
      <c r="AG25" s="63">
        <f t="shared" si="9"/>
        <v>2.9340367442375297</v>
      </c>
      <c r="AH25" s="64">
        <f t="shared" si="10"/>
        <v>2.9340367442375297</v>
      </c>
      <c r="AI25" s="80" t="str" cm="1">
        <f t="array" ref="AI25">IF(ISBLANK(INDEX(FX_Input,$KB25+1,AI$85)),INDEX(FX_Input,$KB25,AI$85),INDEX(FX_Input,$KB25,AI$85)&amp;" &amp; "&amp;INDEX(FX_Input,$KB25+1,AI$85))</f>
        <v>Jet kerosene</v>
      </c>
      <c r="AJ25" s="63" cm="1">
        <f t="array" ref="AJ25">INDEX(FX_Temps,$KC25+7,AJ$89)</f>
        <v>0</v>
      </c>
      <c r="AK25" s="63" cm="1">
        <f t="array" ref="AK25">INDEX(FX_Temps,$KC25+13,AK$89)+459.6</f>
        <v>504.30000000000007</v>
      </c>
      <c r="AL25" s="63" cm="1">
        <f t="array" ref="AL25">INDEX(FX_Vap,$KG25,AL$91)-INDEX(FX_Vap,$KH25,AL$91)</f>
        <v>0</v>
      </c>
      <c r="AM25" s="73" cm="1">
        <f t="array" ref="AM25">IF(AI25="Out of Service",0,INDEX(FX_Vap,$KI25,AM$91))</f>
        <v>4.8748667780818778E-3</v>
      </c>
      <c r="AN25" s="63">
        <f t="shared" si="11"/>
        <v>0</v>
      </c>
      <c r="AO25" s="63">
        <f t="shared" si="12"/>
        <v>0.99579772397126887</v>
      </c>
      <c r="AP25" s="63" cm="1">
        <f t="array" ref="AP25">INDEX(FX_Vap,$KJ25,AP$91)</f>
        <v>130</v>
      </c>
      <c r="AQ25" s="63" cm="1">
        <f t="array" ref="AQ25">INDEX(FX_Temps,$KD25,AQ$89)+459.6</f>
        <v>504.30000000000007</v>
      </c>
      <c r="AR25" s="63">
        <f t="shared" si="13"/>
        <v>1.1710540514572422E-4</v>
      </c>
      <c r="AS25" s="63" cm="1">
        <f t="array" ref="AS25">INDEX(Month_Ref,AS$83,3)*AN25*(PI()/4*$F25^2)*$H25*AO25*AR25</f>
        <v>0</v>
      </c>
      <c r="AT25" s="63" cm="1">
        <f t="array" ref="AT25">INDEX(FX_Input,$KB25,AT$85)</f>
        <v>4583</v>
      </c>
      <c r="AU25" s="63">
        <f t="shared" si="14"/>
        <v>25728.962</v>
      </c>
      <c r="AV25" s="63">
        <f t="shared" si="15"/>
        <v>1.0663779903446713</v>
      </c>
      <c r="AW25" s="63">
        <f t="shared" si="16"/>
        <v>1</v>
      </c>
      <c r="AX25" s="63" cm="1">
        <f t="array" ref="AX25">IF(OR(INDEX(FX_Vap,$KK25,AX$90)="Crude Oil",(INDEX(FX_Vap,$KL25,AX$90)="Crude Oil")),0.75,1)</f>
        <v>1</v>
      </c>
      <c r="AY25" s="63">
        <f t="shared" si="109"/>
        <v>1</v>
      </c>
      <c r="AZ25" s="63">
        <f t="shared" si="17"/>
        <v>3.0130005189889428</v>
      </c>
      <c r="BA25" s="64">
        <f t="shared" si="18"/>
        <v>3.0130005189889428</v>
      </c>
      <c r="BB25" s="80" t="str" cm="1">
        <f t="array" ref="BB25">IF(ISBLANK(INDEX(FX_Input,$KB25+1,BB$85)),INDEX(FX_Input,$KB25,BB$85),INDEX(FX_Input,$KB25,BB$85)&amp;" &amp; "&amp;INDEX(FX_Input,$KB25+1,BB$85))</f>
        <v>Jet kerosene</v>
      </c>
      <c r="BC25" s="63" cm="1">
        <f t="array" ref="BC25">INDEX(FX_Temps,$KC25+7,BC$89)</f>
        <v>0</v>
      </c>
      <c r="BD25" s="63" cm="1">
        <f t="array" ref="BD25">INDEX(FX_Temps,$KC25+13,BD$89)+459.6</f>
        <v>505.70000000000005</v>
      </c>
      <c r="BE25" s="63" cm="1">
        <f t="array" ref="BE25">INDEX(FX_Vap,$KG25,BE$91)-INDEX(FX_Vap,$KH25,BE$91)</f>
        <v>0</v>
      </c>
      <c r="BF25" s="73" cm="1">
        <f t="array" ref="BF25">IF(BB25="Out of Service",0,INDEX(FX_Vap,$KI25,BF$91))</f>
        <v>5.119885034186122E-3</v>
      </c>
      <c r="BG25" s="63">
        <f t="shared" si="19"/>
        <v>0</v>
      </c>
      <c r="BH25" s="63">
        <f t="shared" si="20"/>
        <v>0.9955874431429288</v>
      </c>
      <c r="BI25" s="63" cm="1">
        <f t="array" ref="BI25">INDEX(FX_Vap,$KJ25,BI$91)</f>
        <v>130</v>
      </c>
      <c r="BJ25" s="63" cm="1">
        <f t="array" ref="BJ25">INDEX(FX_Temps,$KD25,BJ$89)+459.6</f>
        <v>505.70000000000005</v>
      </c>
      <c r="BK25" s="63">
        <f t="shared" si="21"/>
        <v>1.226508078051294E-4</v>
      </c>
      <c r="BL25" s="63" cm="1">
        <f t="array" ref="BL25">INDEX(Month_Ref,BL$83,3)*BG25*(PI()/4*$F25^2)*$H25*BH25*BK25</f>
        <v>0</v>
      </c>
      <c r="BM25" s="63" cm="1">
        <f t="array" ref="BM25">INDEX(FX_Input,$KB25,BM$85)</f>
        <v>4583</v>
      </c>
      <c r="BN25" s="63">
        <f t="shared" si="22"/>
        <v>25728.962</v>
      </c>
      <c r="BO25" s="63">
        <f t="shared" si="23"/>
        <v>1.0663779903446713</v>
      </c>
      <c r="BP25" s="63">
        <f t="shared" si="24"/>
        <v>1</v>
      </c>
      <c r="BQ25" s="63" cm="1">
        <f t="array" ref="BQ25">IF(OR(INDEX(FX_Vap,$KK25,BQ$90)="Crude Oil",(INDEX(FX_Vap,$KL25,BQ$90)="Crude Oil")),0.75,1)</f>
        <v>1</v>
      </c>
      <c r="BR25" s="63">
        <f t="shared" si="110"/>
        <v>1</v>
      </c>
      <c r="BS25" s="63">
        <f t="shared" si="25"/>
        <v>3.1556779732874776</v>
      </c>
      <c r="BT25" s="64">
        <f t="shared" si="26"/>
        <v>3.1556779732874776</v>
      </c>
      <c r="BU25" s="80" t="str" cm="1">
        <f t="array" ref="BU25">IF(ISBLANK(INDEX(FX_Input,$KB25+1,BU$85)),INDEX(FX_Input,$KB25,BU$85),INDEX(FX_Input,$KB25,BU$85)&amp;" &amp; "&amp;INDEX(FX_Input,$KB25+1,BU$85))</f>
        <v>Jet kerosene</v>
      </c>
      <c r="BV25" s="63" cm="1">
        <f t="array" ref="BV25">INDEX(FX_Temps,$KC25+7,BV$89)</f>
        <v>0</v>
      </c>
      <c r="BW25" s="63" cm="1">
        <f t="array" ref="BW25">INDEX(FX_Temps,$KC25+13,BW$89)+459.6</f>
        <v>508.2</v>
      </c>
      <c r="BX25" s="63" cm="1">
        <f t="array" ref="BX25">INDEX(FX_Vap,$KG25,BX$91)-INDEX(FX_Vap,$KH25,BX$91)</f>
        <v>0</v>
      </c>
      <c r="BY25" s="73" cm="1">
        <f t="array" ref="BY25">IF(BU25="Out of Service",0,INDEX(FX_Vap,$KI25,BY$91))</f>
        <v>5.5846958573521795E-3</v>
      </c>
      <c r="BZ25" s="63">
        <f t="shared" si="27"/>
        <v>0</v>
      </c>
      <c r="CA25" s="63">
        <f t="shared" si="28"/>
        <v>0.99518877474935152</v>
      </c>
      <c r="CB25" s="63" cm="1">
        <f t="array" ref="CB25">INDEX(FX_Vap,$KJ25,CB$91)</f>
        <v>130</v>
      </c>
      <c r="CC25" s="63" cm="1">
        <f t="array" ref="CC25">INDEX(FX_Temps,$KD25,CC$89)+459.6</f>
        <v>508.2</v>
      </c>
      <c r="CD25" s="63">
        <f t="shared" si="29"/>
        <v>1.3312757561120781E-4</v>
      </c>
      <c r="CE25" s="63" cm="1">
        <f t="array" ref="CE25">INDEX(Month_Ref,CE$83,3)*BZ25*(PI()/4*$F25^2)*$H25*CA25*CD25</f>
        <v>0</v>
      </c>
      <c r="CF25" s="63" cm="1">
        <f t="array" ref="CF25">INDEX(FX_Input,$KB25,CF$85)</f>
        <v>4583</v>
      </c>
      <c r="CG25" s="63">
        <f t="shared" si="30"/>
        <v>25728.962</v>
      </c>
      <c r="CH25" s="63">
        <f t="shared" si="31"/>
        <v>1.0663779903446713</v>
      </c>
      <c r="CI25" s="63">
        <f t="shared" si="32"/>
        <v>1</v>
      </c>
      <c r="CJ25" s="63" cm="1">
        <f t="array" ref="CJ25">IF(OR(INDEX(FX_Vap,$KK25,CJ$90)="Crude Oil",(INDEX(FX_Vap,$KL25,CJ$90)="Crude Oil")),0.75,1)</f>
        <v>1</v>
      </c>
      <c r="CK25" s="63">
        <f t="shared" si="111"/>
        <v>1</v>
      </c>
      <c r="CL25" s="63">
        <f t="shared" si="33"/>
        <v>3.4252343340528926</v>
      </c>
      <c r="CM25" s="64">
        <f t="shared" si="34"/>
        <v>3.4252343340528926</v>
      </c>
      <c r="CN25" s="80" t="str" cm="1">
        <f t="array" ref="CN25">IF(ISBLANK(INDEX(FX_Input,$KB25+1,CN$85)),INDEX(FX_Input,$KB25,CN$85),INDEX(FX_Input,$KB25,CN$85)&amp;" &amp; "&amp;INDEX(FX_Input,$KB25+1,CN$85))</f>
        <v>Jet kerosene</v>
      </c>
      <c r="CO25" s="63" cm="1">
        <f t="array" ref="CO25">INDEX(FX_Temps,$KC25+7,CO$89)</f>
        <v>0</v>
      </c>
      <c r="CP25" s="63" cm="1">
        <f t="array" ref="CP25">INDEX(FX_Temps,$KC25+13,CP$89)+459.6</f>
        <v>512.75</v>
      </c>
      <c r="CQ25" s="63" cm="1">
        <f t="array" ref="CQ25">INDEX(FX_Vap,$KG25,CQ$91)-INDEX(FX_Vap,$KH25,CQ$91)</f>
        <v>0</v>
      </c>
      <c r="CR25" s="73" cm="1">
        <f t="array" ref="CR25">IF(CN25="Out of Service",0,INDEX(FX_Vap,$KI25,CR$91))</f>
        <v>6.5274070972739821E-3</v>
      </c>
      <c r="CS25" s="63">
        <f t="shared" si="35"/>
        <v>0</v>
      </c>
      <c r="CT25" s="63">
        <f t="shared" si="36"/>
        <v>0.99438119066832575</v>
      </c>
      <c r="CU25" s="63" cm="1">
        <f t="array" ref="CU25">INDEX(FX_Vap,$KJ25,CU$91)</f>
        <v>130</v>
      </c>
      <c r="CV25" s="63" cm="1">
        <f t="array" ref="CV25">INDEX(FX_Temps,$KD25,CV$89)+459.6</f>
        <v>512.75</v>
      </c>
      <c r="CW25" s="63">
        <f t="shared" si="37"/>
        <v>1.5421910831991609E-4</v>
      </c>
      <c r="CX25" s="63" cm="1">
        <f t="array" ref="CX25">INDEX(Month_Ref,CX$83,3)*CS25*(PI()/4*$F25^2)*$H25*CT25*CW25</f>
        <v>0</v>
      </c>
      <c r="CY25" s="63" cm="1">
        <f t="array" ref="CY25">INDEX(FX_Input,$KB25,CY$85)</f>
        <v>4583</v>
      </c>
      <c r="CZ25" s="63">
        <f t="shared" si="38"/>
        <v>25728.962</v>
      </c>
      <c r="DA25" s="63">
        <f t="shared" si="39"/>
        <v>1.0663779903446713</v>
      </c>
      <c r="DB25" s="63">
        <f t="shared" si="40"/>
        <v>1</v>
      </c>
      <c r="DC25" s="63" cm="1">
        <f t="array" ref="DC25">IF(OR(INDEX(FX_Vap,$KK25,DC$90)="Crude Oil",(INDEX(FX_Vap,$KL25,DC$90)="Crude Oil")),0.75,1)</f>
        <v>1</v>
      </c>
      <c r="DD25" s="63">
        <f t="shared" si="112"/>
        <v>1</v>
      </c>
      <c r="DE25" s="63">
        <f t="shared" si="41"/>
        <v>3.9678975776370047</v>
      </c>
      <c r="DF25" s="64">
        <f t="shared" si="42"/>
        <v>3.9678975776370047</v>
      </c>
      <c r="DG25" s="80" t="str" cm="1">
        <f t="array" ref="DG25">IF(ISBLANK(INDEX(FX_Input,$KB25+1,DG$85)),INDEX(FX_Input,$KB25,DG$85),INDEX(FX_Input,$KB25,DG$85)&amp;" &amp; "&amp;INDEX(FX_Input,$KB25+1,DG$85))</f>
        <v>Jet kerosene</v>
      </c>
      <c r="DH25" s="63" cm="1">
        <f t="array" ref="DH25">INDEX(FX_Temps,$KC25+7,DH$89)</f>
        <v>0</v>
      </c>
      <c r="DI25" s="63" cm="1">
        <f t="array" ref="DI25">INDEX(FX_Temps,$KC25+13,DI$89)+459.6</f>
        <v>516.55000000000007</v>
      </c>
      <c r="DJ25" s="63" cm="1">
        <f t="array" ref="DJ25">INDEX(FX_Vap,$KG25,DJ$91)-INDEX(FX_Vap,$KH25,DJ$91)</f>
        <v>0</v>
      </c>
      <c r="DK25" s="73" cm="1">
        <f t="array" ref="DK25">IF(DG25="Out of Service",0,INDEX(FX_Vap,$KI25,DK$91))</f>
        <v>7.4199539958878279E-3</v>
      </c>
      <c r="DL25" s="63">
        <f t="shared" si="43"/>
        <v>0</v>
      </c>
      <c r="DM25" s="63">
        <f t="shared" si="44"/>
        <v>0.99361778742901574</v>
      </c>
      <c r="DN25" s="63" cm="1">
        <f t="array" ref="DN25">INDEX(FX_Vap,$KJ25,DN$91)</f>
        <v>130</v>
      </c>
      <c r="DO25" s="63" cm="1">
        <f t="array" ref="DO25">INDEX(FX_Temps,$KD25,DO$89)+459.6</f>
        <v>516.55000000000007</v>
      </c>
      <c r="DP25" s="63">
        <f t="shared" si="45"/>
        <v>1.7401713099147103E-4</v>
      </c>
      <c r="DQ25" s="63" cm="1">
        <f t="array" ref="DQ25">INDEX(Month_Ref,DQ$83,3)*DL25*(PI()/4*$F25^2)*$H25*DM25*DP25</f>
        <v>0</v>
      </c>
      <c r="DR25" s="63" cm="1">
        <f t="array" ref="DR25">INDEX(FX_Input,$KB25,DR$85)</f>
        <v>4583</v>
      </c>
      <c r="DS25" s="63">
        <f t="shared" si="46"/>
        <v>25728.962</v>
      </c>
      <c r="DT25" s="63">
        <f t="shared" si="47"/>
        <v>1.0663779903446713</v>
      </c>
      <c r="DU25" s="63">
        <f t="shared" si="48"/>
        <v>1</v>
      </c>
      <c r="DV25" s="63" cm="1">
        <f t="array" ref="DV25">IF(OR(INDEX(FX_Vap,$KK25,DV$90)="Crude Oil",(INDEX(FX_Vap,$KL25,DV$90)="Crude Oil")),0.75,1)</f>
        <v>1</v>
      </c>
      <c r="DW25" s="63">
        <f t="shared" si="113"/>
        <v>1</v>
      </c>
      <c r="DX25" s="63">
        <f t="shared" si="49"/>
        <v>4.4772801506285802</v>
      </c>
      <c r="DY25" s="64">
        <f t="shared" si="50"/>
        <v>4.4772801506285802</v>
      </c>
      <c r="DZ25" s="80" t="str" cm="1">
        <f t="array" ref="DZ25">IF(ISBLANK(INDEX(FX_Input,$KB25+1,DZ$85)),INDEX(FX_Input,$KB25,DZ$85),INDEX(FX_Input,$KB25,DZ$85)&amp;" &amp; "&amp;INDEX(FX_Input,$KB25+1,DZ$85))</f>
        <v>Jet kerosene</v>
      </c>
      <c r="EA25" s="63" cm="1">
        <f t="array" ref="EA25">INDEX(FX_Temps,$KC25+7,EA$89)</f>
        <v>0</v>
      </c>
      <c r="EB25" s="63" cm="1">
        <f t="array" ref="EB25">INDEX(FX_Temps,$KC25+13,EB$89)+459.6</f>
        <v>520.04999999999995</v>
      </c>
      <c r="EC25" s="63" cm="1">
        <f t="array" ref="EC25">INDEX(FX_Vap,$KG25,EC$91)-INDEX(FX_Vap,$KH25,EC$91)</f>
        <v>0</v>
      </c>
      <c r="ED25" s="73" cm="1">
        <f t="array" ref="ED25">IF(DZ25="Out of Service",0,INDEX(FX_Vap,$KI25,ED$91))</f>
        <v>8.3358107202842254E-3</v>
      </c>
      <c r="EE25" s="63">
        <f t="shared" si="51"/>
        <v>0</v>
      </c>
      <c r="EF25" s="63">
        <f t="shared" si="52"/>
        <v>0.99283566460388895</v>
      </c>
      <c r="EG25" s="63" cm="1">
        <f t="array" ref="EG25">INDEX(FX_Vap,$KJ25,EG$91)</f>
        <v>130</v>
      </c>
      <c r="EH25" s="63" cm="1">
        <f t="array" ref="EH25">INDEX(FX_Temps,$KD25,EH$89)+459.6</f>
        <v>520.04999999999995</v>
      </c>
      <c r="EI25" s="63">
        <f t="shared" si="53"/>
        <v>1.9418062801892895E-4</v>
      </c>
      <c r="EJ25" s="63" cm="1">
        <f t="array" ref="EJ25">INDEX(Month_Ref,EJ$83,3)*EE25*(PI()/4*$F25^2)*$H25*EF25*EI25</f>
        <v>0</v>
      </c>
      <c r="EK25" s="63" cm="1">
        <f t="array" ref="EK25">INDEX(FX_Input,$KB25,EK$85)</f>
        <v>4583</v>
      </c>
      <c r="EL25" s="63">
        <f t="shared" si="54"/>
        <v>25728.962</v>
      </c>
      <c r="EM25" s="63">
        <f t="shared" si="55"/>
        <v>1.0663779903446713</v>
      </c>
      <c r="EN25" s="63">
        <f t="shared" si="56"/>
        <v>1</v>
      </c>
      <c r="EO25" s="63" cm="1">
        <f t="array" ref="EO25">IF(OR(INDEX(FX_Vap,$KK25,EO$90)="Crude Oil",(INDEX(FX_Vap,$KL25,EO$90)="Crude Oil")),0.75,1)</f>
        <v>1</v>
      </c>
      <c r="EP25" s="63">
        <f t="shared" si="114"/>
        <v>1</v>
      </c>
      <c r="EQ25" s="63">
        <f t="shared" si="57"/>
        <v>4.9960659994351584</v>
      </c>
      <c r="ER25" s="64">
        <f t="shared" si="58"/>
        <v>4.9960659994351584</v>
      </c>
      <c r="ES25" s="80" t="str" cm="1">
        <f t="array" ref="ES25">IF(ISBLANK(INDEX(FX_Input,$KB25+1,ES$85)),INDEX(FX_Input,$KB25,ES$85),INDEX(FX_Input,$KB25,ES$85)&amp;" &amp; "&amp;INDEX(FX_Input,$KB25+1,ES$85))</f>
        <v>Jet kerosene</v>
      </c>
      <c r="ET25" s="63" cm="1">
        <f t="array" ref="ET25">INDEX(FX_Temps,$KC25+7,ET$89)</f>
        <v>0</v>
      </c>
      <c r="EU25" s="63" cm="1">
        <f t="array" ref="EU25">INDEX(FX_Temps,$KC25+13,EU$89)+459.6</f>
        <v>520.5</v>
      </c>
      <c r="EV25" s="63" cm="1">
        <f t="array" ref="EV25">INDEX(FX_Vap,$KG25,EV$91)-INDEX(FX_Vap,$KH25,EV$91)</f>
        <v>0</v>
      </c>
      <c r="EW25" s="73" cm="1">
        <f t="array" ref="EW25">IF(ES25="Out of Service",0,INDEX(FX_Vap,$KI25,EW$91))</f>
        <v>8.4605262729351115E-3</v>
      </c>
      <c r="EX25" s="63">
        <f t="shared" si="59"/>
        <v>0</v>
      </c>
      <c r="EY25" s="63">
        <f t="shared" si="60"/>
        <v>0.99272925532490397</v>
      </c>
      <c r="EZ25" s="63" cm="1">
        <f t="array" ref="EZ25">INDEX(FX_Vap,$KJ25,EZ$91)</f>
        <v>130</v>
      </c>
      <c r="FA25" s="63" cm="1">
        <f t="array" ref="FA25">INDEX(FX_Temps,$KD25,FA$89)+459.6</f>
        <v>520.5</v>
      </c>
      <c r="FB25" s="63">
        <f t="shared" si="61"/>
        <v>1.969154544366044E-4</v>
      </c>
      <c r="FC25" s="63" cm="1">
        <f t="array" ref="FC25">INDEX(Month_Ref,FC$83,3)*EX25*(PI()/4*$F25^2)*$H25*EY25*FB25</f>
        <v>0</v>
      </c>
      <c r="FD25" s="63" cm="1">
        <f t="array" ref="FD25">INDEX(FX_Input,$KB25,FD$85)</f>
        <v>4583</v>
      </c>
      <c r="FE25" s="63">
        <f t="shared" si="62"/>
        <v>25728.962</v>
      </c>
      <c r="FF25" s="63">
        <f t="shared" si="63"/>
        <v>1.0663779903446713</v>
      </c>
      <c r="FG25" s="63">
        <f t="shared" si="64"/>
        <v>1</v>
      </c>
      <c r="FH25" s="63" cm="1">
        <f t="array" ref="FH25">IF(OR(INDEX(FX_Vap,$KK25,FH$90)="Crude Oil",(INDEX(FX_Vap,$KL25,FH$90)="Crude Oil")),0.75,1)</f>
        <v>1</v>
      </c>
      <c r="FI25" s="63">
        <f t="shared" si="115"/>
        <v>1</v>
      </c>
      <c r="FJ25" s="63">
        <f t="shared" si="65"/>
        <v>5.0664302444121256</v>
      </c>
      <c r="FK25" s="64">
        <f t="shared" si="66"/>
        <v>5.0664302444121256</v>
      </c>
      <c r="FL25" s="80" t="str" cm="1">
        <f t="array" ref="FL25">IF(ISBLANK(INDEX(FX_Input,$KB25+1,FL$85)),INDEX(FX_Input,$KB25,FL$85),INDEX(FX_Input,$KB25,FL$85)&amp;" &amp; "&amp;INDEX(FX_Input,$KB25+1,FL$85))</f>
        <v>Jet kerosene</v>
      </c>
      <c r="FM25" s="63" cm="1">
        <f t="array" ref="FM25">INDEX(FX_Temps,$KC25+7,FM$89)</f>
        <v>0</v>
      </c>
      <c r="FN25" s="63" cm="1">
        <f t="array" ref="FN25">INDEX(FX_Temps,$KC25+13,FN$89)+459.6</f>
        <v>518.20000000000005</v>
      </c>
      <c r="FO25" s="63" cm="1">
        <f t="array" ref="FO25">INDEX(FX_Vap,$KG25,FO$91)-INDEX(FX_Vap,$KH25,FO$91)</f>
        <v>0</v>
      </c>
      <c r="FP25" s="73" cm="1">
        <f t="array" ref="FP25">IF(FL25="Out of Service",0,INDEX(FX_Vap,$KI25,FP$91))</f>
        <v>7.8399882233967533E-3</v>
      </c>
      <c r="FQ25" s="63">
        <f t="shared" si="67"/>
        <v>0</v>
      </c>
      <c r="FR25" s="63">
        <f t="shared" si="68"/>
        <v>0.99325893390634989</v>
      </c>
      <c r="FS25" s="63" cm="1">
        <f t="array" ref="FS25">INDEX(FX_Vap,$KJ25,FS$91)</f>
        <v>130</v>
      </c>
      <c r="FT25" s="63" cm="1">
        <f t="array" ref="FT25">INDEX(FX_Temps,$KD25,FT$89)+459.6</f>
        <v>518.20000000000005</v>
      </c>
      <c r="FU25" s="63">
        <f t="shared" si="69"/>
        <v>1.8328256712249962E-4</v>
      </c>
      <c r="FV25" s="63" cm="1">
        <f t="array" ref="FV25">INDEX(Month_Ref,FV$83,3)*FQ25*(PI()/4*$F25^2)*$H25*FR25*FU25</f>
        <v>0</v>
      </c>
      <c r="FW25" s="63" cm="1">
        <f t="array" ref="FW25">INDEX(FX_Input,$KB25,FW$85)</f>
        <v>4583</v>
      </c>
      <c r="FX25" s="63">
        <f t="shared" si="70"/>
        <v>25728.962</v>
      </c>
      <c r="FY25" s="63">
        <f t="shared" si="71"/>
        <v>1.0663779903446713</v>
      </c>
      <c r="FZ25" s="63">
        <f t="shared" si="72"/>
        <v>1</v>
      </c>
      <c r="GA25" s="63" cm="1">
        <f t="array" ref="GA25">IF(OR(INDEX(FX_Vap,$KK25,GA$90)="Crude Oil",(INDEX(FX_Vap,$KL25,GA$90)="Crude Oil")),0.75,1)</f>
        <v>1</v>
      </c>
      <c r="GB25" s="63">
        <f t="shared" si="116"/>
        <v>1</v>
      </c>
      <c r="GC25" s="63">
        <f t="shared" si="73"/>
        <v>4.7156702047572416</v>
      </c>
      <c r="GD25" s="64">
        <f t="shared" si="74"/>
        <v>4.7156702047572416</v>
      </c>
      <c r="GE25" s="80" t="str" cm="1">
        <f t="array" ref="GE25">IF(ISBLANK(INDEX(FX_Input,$KB25+1,GE$85)),INDEX(FX_Input,$KB25,GE$85),INDEX(FX_Input,$KB25,GE$85)&amp;" &amp; "&amp;INDEX(FX_Input,$KB25+1,GE$85))</f>
        <v>Jet kerosene</v>
      </c>
      <c r="GF25" s="63" cm="1">
        <f t="array" ref="GF25">INDEX(FX_Temps,$KC25+7,GF$89)</f>
        <v>0</v>
      </c>
      <c r="GG25" s="63" cm="1">
        <f t="array" ref="GG25">INDEX(FX_Temps,$KC25+13,GG$89)+459.6</f>
        <v>512.25</v>
      </c>
      <c r="GH25" s="63" cm="1">
        <f t="array" ref="GH25">INDEX(FX_Vap,$KG25,GH$91)-INDEX(FX_Vap,$KH25,GH$91)</f>
        <v>0</v>
      </c>
      <c r="GI25" s="73" cm="1">
        <f t="array" ref="GI25">IF(GE25="Out of Service",0,INDEX(FX_Vap,$KI25,GI$91))</f>
        <v>6.4173462075160911E-3</v>
      </c>
      <c r="GJ25" s="63">
        <f t="shared" si="75"/>
        <v>0</v>
      </c>
      <c r="GK25" s="63">
        <f t="shared" si="76"/>
        <v>0.99447540797022282</v>
      </c>
      <c r="GL25" s="63" cm="1">
        <f t="array" ref="GL25">INDEX(FX_Vap,$KJ25,GL$91)</f>
        <v>130</v>
      </c>
      <c r="GM25" s="63" cm="1">
        <f t="array" ref="GM25">INDEX(FX_Temps,$KD25,GM$89)+459.6</f>
        <v>512.25</v>
      </c>
      <c r="GN25" s="63">
        <f t="shared" si="77"/>
        <v>1.5176675903637226E-4</v>
      </c>
      <c r="GO25" s="63" cm="1">
        <f t="array" ref="GO25">INDEX(Month_Ref,GO$83,3)*GJ25*(PI()/4*$F25^2)*$H25*GK25*GN25</f>
        <v>0</v>
      </c>
      <c r="GP25" s="63" cm="1">
        <f t="array" ref="GP25">INDEX(FX_Input,$KB25,GP$85)</f>
        <v>4583</v>
      </c>
      <c r="GQ25" s="63">
        <f t="shared" si="78"/>
        <v>25728.962</v>
      </c>
      <c r="GR25" s="63">
        <f t="shared" si="79"/>
        <v>1.0663779903446713</v>
      </c>
      <c r="GS25" s="63">
        <f t="shared" si="80"/>
        <v>1</v>
      </c>
      <c r="GT25" s="63" cm="1">
        <f t="array" ref="GT25">IF(OR(INDEX(FX_Vap,$KK25,GT$90)="Crude Oil",(INDEX(FX_Vap,$KL25,GT$90)="Crude Oil")),0.75,1)</f>
        <v>1</v>
      </c>
      <c r="GU25" s="63">
        <f t="shared" si="117"/>
        <v>1</v>
      </c>
      <c r="GV25" s="63">
        <f t="shared" si="81"/>
        <v>3.9048011761099786</v>
      </c>
      <c r="GW25" s="64">
        <f t="shared" si="82"/>
        <v>3.9048011761099786</v>
      </c>
      <c r="GX25" s="80" t="str" cm="1">
        <f t="array" ref="GX25">IF(ISBLANK(INDEX(FX_Input,$KB25+1,GX$85)),INDEX(FX_Input,$KB25,GX$85),INDEX(FX_Input,$KB25,GX$85)&amp;" &amp; "&amp;INDEX(FX_Input,$KB25+1,GX$85))</f>
        <v>Jet kerosene</v>
      </c>
      <c r="GY25" s="63" cm="1">
        <f t="array" ref="GY25">INDEX(FX_Temps,$KC25+7,GY$89)</f>
        <v>0</v>
      </c>
      <c r="GZ25" s="63" cm="1">
        <f t="array" ref="GZ25">INDEX(FX_Temps,$KC25+13,GZ$89)+459.6</f>
        <v>506.70000000000005</v>
      </c>
      <c r="HA25" s="63" cm="1">
        <f t="array" ref="HA25">INDEX(FX_Vap,$KG25,HA$91)-INDEX(FX_Vap,$KH25,HA$91)</f>
        <v>0</v>
      </c>
      <c r="HB25" s="73" cm="1">
        <f t="array" ref="HB25">IF(GX25="Out of Service",0,INDEX(FX_Vap,$KI25,HB$91))</f>
        <v>5.3015226887581056E-3</v>
      </c>
      <c r="HC25" s="63">
        <f t="shared" si="83"/>
        <v>0</v>
      </c>
      <c r="HD25" s="63">
        <f t="shared" si="84"/>
        <v>0.99543161445271133</v>
      </c>
      <c r="HE25" s="63" cm="1">
        <f t="array" ref="HE25">INDEX(FX_Vap,$KJ25,HE$91)</f>
        <v>130</v>
      </c>
      <c r="HF25" s="63" cm="1">
        <f t="array" ref="HF25">INDEX(FX_Temps,$KD25,HF$89)+459.6</f>
        <v>506.70000000000005</v>
      </c>
      <c r="HG25" s="63">
        <f t="shared" si="85"/>
        <v>1.2675143286623188E-4</v>
      </c>
      <c r="HH25" s="63" cm="1">
        <f t="array" ref="HH25">INDEX(Month_Ref,HH$83,3)*HC25*(PI()/4*$F25^2)*$H25*HD25*HG25</f>
        <v>0</v>
      </c>
      <c r="HI25" s="63" cm="1">
        <f t="array" ref="HI25">INDEX(FX_Input,$KB25,HI$85)</f>
        <v>4583</v>
      </c>
      <c r="HJ25" s="63">
        <f t="shared" si="86"/>
        <v>25728.962</v>
      </c>
      <c r="HK25" s="63">
        <f t="shared" si="87"/>
        <v>1.0663779903446713</v>
      </c>
      <c r="HL25" s="63">
        <f t="shared" si="88"/>
        <v>1</v>
      </c>
      <c r="HM25" s="63" cm="1">
        <f t="array" ref="HM25">IF(OR(INDEX(FX_Vap,$KK25,HM$90)="Crude Oil",(INDEX(FX_Vap,$KL25,HM$90)="Crude Oil")),0.75,1)</f>
        <v>1</v>
      </c>
      <c r="HN25" s="63">
        <f t="shared" si="118"/>
        <v>1</v>
      </c>
      <c r="HO25" s="63">
        <f t="shared" si="89"/>
        <v>3.2611827996608311</v>
      </c>
      <c r="HP25" s="64">
        <f t="shared" si="90"/>
        <v>3.2611827996608311</v>
      </c>
      <c r="HQ25" s="80" t="str" cm="1">
        <f t="array" ref="HQ25">IF(ISBLANK(INDEX(FX_Input,$KB25+1,HQ$85)),INDEX(FX_Input,$KB25,HQ$85),INDEX(FX_Input,$KB25,HQ$85)&amp;" &amp; "&amp;INDEX(FX_Input,$KB25+1,HQ$85))</f>
        <v>Jet kerosene</v>
      </c>
      <c r="HR25" s="63" cm="1">
        <f t="array" ref="HR25">INDEX(FX_Temps,$KC25+7,HR$89)</f>
        <v>0</v>
      </c>
      <c r="HS25" s="63" cm="1">
        <f t="array" ref="HS25">INDEX(FX_Temps,$KC25+13,HS$89)+459.6</f>
        <v>503.20000000000005</v>
      </c>
      <c r="HT25" s="63" cm="1">
        <f t="array" ref="HT25">INDEX(FX_Vap,$KG25,HT$91)-INDEX(FX_Vap,$KH25,HT$91)</f>
        <v>0</v>
      </c>
      <c r="HU25" s="73" cm="1">
        <f t="array" ref="HU25">IF(HQ25="Out of Service",0,INDEX(FX_Vap,$KI25,HU$91))</f>
        <v>4.68970903600947E-3</v>
      </c>
      <c r="HV25" s="63">
        <f t="shared" si="91"/>
        <v>0</v>
      </c>
      <c r="HW25" s="63">
        <f t="shared" si="92"/>
        <v>0.99595668993725195</v>
      </c>
      <c r="HX25" s="63" cm="1">
        <f t="array" ref="HX25">INDEX(FX_Vap,$KJ25,HX$91)</f>
        <v>130</v>
      </c>
      <c r="HY25" s="63" cm="1">
        <f t="array" ref="HY25">INDEX(FX_Temps,$KD25,HY$89)+459.6</f>
        <v>503.20000000000005</v>
      </c>
      <c r="HZ25" s="63">
        <f t="shared" si="93"/>
        <v>1.1290376474196325E-4</v>
      </c>
      <c r="IA25" s="63" cm="1">
        <f t="array" ref="IA25">INDEX(Month_Ref,IA$83,3)*HV25*(PI()/4*$F25^2)*$H25*HW25*HZ25</f>
        <v>0</v>
      </c>
      <c r="IB25" s="63" cm="1">
        <f t="array" ref="IB25">INDEX(FX_Input,$KB25,IB$85)</f>
        <v>4583</v>
      </c>
      <c r="IC25" s="63">
        <f t="shared" si="94"/>
        <v>25728.962</v>
      </c>
      <c r="ID25" s="63">
        <f t="shared" si="95"/>
        <v>1.0663779903446713</v>
      </c>
      <c r="IE25" s="63">
        <f t="shared" si="96"/>
        <v>1</v>
      </c>
      <c r="IF25" s="63" cm="1">
        <f t="array" ref="IF25">IF(OR(INDEX(FX_Vap,$KK25,IF$90)="Crude Oil",(INDEX(FX_Vap,$KL25,IF$90)="Crude Oil")),0.75,1)</f>
        <v>1</v>
      </c>
      <c r="IG25" s="63">
        <f t="shared" si="119"/>
        <v>1</v>
      </c>
      <c r="IH25" s="63">
        <f t="shared" si="97"/>
        <v>2.9048966727029124</v>
      </c>
      <c r="II25" s="64">
        <f t="shared" si="98"/>
        <v>2.9048966727029124</v>
      </c>
      <c r="IJ25" s="80">
        <f t="shared" si="99"/>
        <v>0</v>
      </c>
      <c r="IK25" s="63">
        <f t="shared" si="100"/>
        <v>0</v>
      </c>
      <c r="IL25" s="63">
        <f t="shared" si="101"/>
        <v>45.822174395910665</v>
      </c>
      <c r="IM25" s="63">
        <f t="shared" si="102"/>
        <v>2.2911087197955333E-2</v>
      </c>
      <c r="IN25" s="63">
        <f t="shared" si="103"/>
        <v>45.822174395910665</v>
      </c>
      <c r="IO25" s="64">
        <f t="shared" si="104"/>
        <v>2.2911087197955333E-2</v>
      </c>
      <c r="KB25" s="43">
        <f t="shared" si="120"/>
        <v>29</v>
      </c>
      <c r="KC25" s="43">
        <f t="shared" si="121"/>
        <v>197</v>
      </c>
      <c r="KD25" s="43">
        <f t="shared" si="122"/>
        <v>210</v>
      </c>
      <c r="KE25" s="43">
        <f t="shared" si="123"/>
        <v>197</v>
      </c>
      <c r="KF25" s="43">
        <f t="shared" si="124"/>
        <v>477</v>
      </c>
      <c r="KG25" s="43">
        <f t="shared" si="125"/>
        <v>500</v>
      </c>
      <c r="KH25" s="43">
        <f t="shared" si="126"/>
        <v>495</v>
      </c>
      <c r="KI25" s="43">
        <f t="shared" si="105"/>
        <v>505</v>
      </c>
      <c r="KJ25" s="43">
        <f t="shared" si="105"/>
        <v>510</v>
      </c>
      <c r="KK25" s="43">
        <f t="shared" si="127"/>
        <v>481</v>
      </c>
      <c r="KL25" s="43">
        <f t="shared" si="128"/>
        <v>483</v>
      </c>
    </row>
    <row r="26" spans="2:298" x14ac:dyDescent="0.4">
      <c r="B26" s="43" t="str" cm="1">
        <f t="array" ref="B26">INDEX(FX_Input,$KB26,B$85)</f>
        <v>FX - 16</v>
      </c>
      <c r="C26" s="93" t="str" cm="1">
        <f t="array" ref="C26">INDEX(FX_Input,$KB26,C$85)</f>
        <v>FIXTANK 123</v>
      </c>
      <c r="D26" s="80">
        <f t="shared" si="0"/>
        <v>13136.046082210121</v>
      </c>
      <c r="E26" s="63" cm="1">
        <f t="array" ref="E26">IF(ISBLANK(INDEX(FX_Input,$KB26,$E$85)),0.03,INDEX(FX_Input,$KB26,$E$85))-IF(ISBLANK(INDEX(FX_Input,$KB26,$E$86)),-0.03,INDEX(FX_Input,$KB26,$E$86))</f>
        <v>0.06</v>
      </c>
      <c r="F26" s="63" cm="1">
        <f t="array" ref="F26">IF(INDEX(FX_Input,$KB26,F$85)="Vertical",INDEX(FX_Input,$KB26,F$86),SQRT((INDEX(FX_Input,$KB26,F$86)*INDEX(FX_Input,$KB26,F$87))/(PI()/4)))</f>
        <v>32</v>
      </c>
      <c r="G26" s="63" cm="1">
        <f t="array" ref="G26">IF(INDEX(FX_Input,$KB26,G$85)="Vertical",INDEX(FX_Input,$KB26,G$86),INDEX(FX_Input,$KB26,G$87)*PI()/4)</f>
        <v>32</v>
      </c>
      <c r="H26" s="63" cm="1">
        <f t="array" ref="H26">IF(INDEX(FX_Input,$KB26,H$85)="Vertical",G26-G26/2+J26,G26/2)</f>
        <v>16.333333333333332</v>
      </c>
      <c r="I26" s="63" cm="1">
        <f t="array" ref="I26">IF(INDEX(FX_Input,$KB26,F$85)="Horizontal","N/A",IF(INDEX(FX_Input,$KB26,I$86)="Cone",IF(ISBLANK(INDEX(FX_Input,$KB26,I$87)),0.0625,INDEX(FX_Input,$KB26,I$87))*F26/2,F26/2-SQRT((F26/2)^2-(INDEX(FX_Input,$KB26,I$88)^2))))</f>
        <v>1</v>
      </c>
      <c r="J26" s="63" cm="1">
        <f t="array" ref="J26">IF(INDEX(FX_Input,$KB26,J$85)="Horizontal","N/A",IF(INDEX(FX_Input,$KB26,J$86)="Cone",I26/3,I26*(1/2+(1/6)*(I26/(F26/2))^2)))</f>
        <v>0.33333333333333331</v>
      </c>
      <c r="K26" s="63">
        <f t="shared" si="1"/>
        <v>31</v>
      </c>
      <c r="L26" s="63">
        <v>1</v>
      </c>
      <c r="M26" s="63" t="str" cm="1">
        <f t="array" ref="M26">INDEX(Tbl_71_6,MATCH(INDEX(FX_Input,$KB26,M$85),Paint_Color,0),VLOOKUP(INDEX(FX_Input,$KB26,M$86),Paint_Cond_Column,2,FALSE))</f>
        <v>N/A</v>
      </c>
      <c r="N26" s="63" t="str" cm="1">
        <f t="array" ref="N26">INDEX(Tbl_71_6,MATCH(INDEX(FX_Input,$KB26,N$85),Paint_Color,0),VLOOKUP(INDEX(FX_Input,$KB26,N$86),Paint_Cond_Column,2,FALSE))</f>
        <v>N/A</v>
      </c>
      <c r="O26" s="64" t="str">
        <f t="shared" si="2"/>
        <v>Insulated</v>
      </c>
      <c r="P26" s="80" t="str" cm="1">
        <f t="array" ref="P26">IF(ISBLANK(INDEX(FX_Input,$KB26+1,P$85)),INDEX(FX_Input,$KB26,P$85),INDEX(FX_Input,$KB26,P$85)&amp;" &amp; "&amp;INDEX(FX_Input,$KB26+1,P$85))</f>
        <v>Jet kerosene</v>
      </c>
      <c r="Q26" s="63" cm="1">
        <f t="array" ref="Q26">INDEX(FX_Temps,$KC26+7,Q$89)</f>
        <v>0</v>
      </c>
      <c r="R26" s="63" cm="1">
        <f t="array" ref="R26">INDEX(FX_Temps,$KC26+13,R$89)+459.6</f>
        <v>503.5</v>
      </c>
      <c r="S26" s="63" cm="1">
        <f t="array" ref="S26">INDEX(FX_Vap,$KG26,S$91)-INDEX(FX_Vap,$KH26,S$91)</f>
        <v>0</v>
      </c>
      <c r="T26" s="73" cm="1">
        <f t="array" ref="T26">IF(P26="Out of Service",0,INDEX(FX_Vap,$KI26,T$91))</f>
        <v>4.739577185808354E-3</v>
      </c>
      <c r="U26" s="63">
        <f t="shared" si="3"/>
        <v>0</v>
      </c>
      <c r="V26" s="63">
        <f t="shared" si="4"/>
        <v>0.99591387097036477</v>
      </c>
      <c r="W26" s="63" cm="1">
        <f t="array" ref="W26">INDEX(FX_Vap,$KJ26,W$91)</f>
        <v>130</v>
      </c>
      <c r="X26" s="63" cm="1">
        <f t="array" ref="X26">INDEX(FX_Temps,$KD26,X$89)+459.6</f>
        <v>503.5</v>
      </c>
      <c r="Y26" s="63">
        <f t="shared" si="5"/>
        <v>1.1403634333314844E-4</v>
      </c>
      <c r="Z26" s="63" cm="1">
        <f t="array" ref="Z26">INDEX(Month_Ref,Z$83,3)*U26*(PI()/4*$F26^2)*$H26*V26*Y26</f>
        <v>0</v>
      </c>
      <c r="AA26" s="63" cm="1">
        <f t="array" ref="AA26">INDEX(FX_Input,$KB26,AA$85)</f>
        <v>4583</v>
      </c>
      <c r="AB26" s="63">
        <f t="shared" si="6"/>
        <v>25728.962</v>
      </c>
      <c r="AC26" s="63">
        <f t="shared" si="7"/>
        <v>1.0663779903446713</v>
      </c>
      <c r="AD26" s="63">
        <f t="shared" si="8"/>
        <v>1</v>
      </c>
      <c r="AE26" s="63" cm="1">
        <f t="array" ref="AE26">IF(OR(INDEX(FX_Vap,$KK26,AE$90)="Crude Oil",(INDEX(FX_Vap,$KL26,AE$90)="Crude Oil")),0.75,1)</f>
        <v>1</v>
      </c>
      <c r="AF26" s="63">
        <f t="shared" si="108"/>
        <v>1</v>
      </c>
      <c r="AG26" s="63">
        <f t="shared" si="9"/>
        <v>2.9340367442375297</v>
      </c>
      <c r="AH26" s="64">
        <f t="shared" si="10"/>
        <v>2.9340367442375297</v>
      </c>
      <c r="AI26" s="80" t="str" cm="1">
        <f t="array" ref="AI26">IF(ISBLANK(INDEX(FX_Input,$KB26+1,AI$85)),INDEX(FX_Input,$KB26,AI$85),INDEX(FX_Input,$KB26,AI$85)&amp;" &amp; "&amp;INDEX(FX_Input,$KB26+1,AI$85))</f>
        <v>Jet kerosene</v>
      </c>
      <c r="AJ26" s="63" cm="1">
        <f t="array" ref="AJ26">INDEX(FX_Temps,$KC26+7,AJ$89)</f>
        <v>0</v>
      </c>
      <c r="AK26" s="63" cm="1">
        <f t="array" ref="AK26">INDEX(FX_Temps,$KC26+13,AK$89)+459.6</f>
        <v>504.30000000000007</v>
      </c>
      <c r="AL26" s="63" cm="1">
        <f t="array" ref="AL26">INDEX(FX_Vap,$KG26,AL$91)-INDEX(FX_Vap,$KH26,AL$91)</f>
        <v>0</v>
      </c>
      <c r="AM26" s="73" cm="1">
        <f t="array" ref="AM26">IF(AI26="Out of Service",0,INDEX(FX_Vap,$KI26,AM$91))</f>
        <v>4.8748667780818778E-3</v>
      </c>
      <c r="AN26" s="63">
        <f t="shared" si="11"/>
        <v>0</v>
      </c>
      <c r="AO26" s="63">
        <f t="shared" si="12"/>
        <v>0.99579772397126887</v>
      </c>
      <c r="AP26" s="63" cm="1">
        <f t="array" ref="AP26">INDEX(FX_Vap,$KJ26,AP$91)</f>
        <v>130</v>
      </c>
      <c r="AQ26" s="63" cm="1">
        <f t="array" ref="AQ26">INDEX(FX_Temps,$KD26,AQ$89)+459.6</f>
        <v>504.30000000000007</v>
      </c>
      <c r="AR26" s="63">
        <f t="shared" si="13"/>
        <v>1.1710540514572422E-4</v>
      </c>
      <c r="AS26" s="63" cm="1">
        <f t="array" ref="AS26">INDEX(Month_Ref,AS$83,3)*AN26*(PI()/4*$F26^2)*$H26*AO26*AR26</f>
        <v>0</v>
      </c>
      <c r="AT26" s="63" cm="1">
        <f t="array" ref="AT26">INDEX(FX_Input,$KB26,AT$85)</f>
        <v>4583</v>
      </c>
      <c r="AU26" s="63">
        <f t="shared" si="14"/>
        <v>25728.962</v>
      </c>
      <c r="AV26" s="63">
        <f t="shared" si="15"/>
        <v>1.0663779903446713</v>
      </c>
      <c r="AW26" s="63">
        <f t="shared" si="16"/>
        <v>1</v>
      </c>
      <c r="AX26" s="63" cm="1">
        <f t="array" ref="AX26">IF(OR(INDEX(FX_Vap,$KK26,AX$90)="Crude Oil",(INDEX(FX_Vap,$KL26,AX$90)="Crude Oil")),0.75,1)</f>
        <v>1</v>
      </c>
      <c r="AY26" s="63">
        <f t="shared" si="109"/>
        <v>1</v>
      </c>
      <c r="AZ26" s="63">
        <f t="shared" si="17"/>
        <v>3.0130005189889428</v>
      </c>
      <c r="BA26" s="64">
        <f t="shared" si="18"/>
        <v>3.0130005189889428</v>
      </c>
      <c r="BB26" s="80" t="str" cm="1">
        <f t="array" ref="BB26">IF(ISBLANK(INDEX(FX_Input,$KB26+1,BB$85)),INDEX(FX_Input,$KB26,BB$85),INDEX(FX_Input,$KB26,BB$85)&amp;" &amp; "&amp;INDEX(FX_Input,$KB26+1,BB$85))</f>
        <v>Jet kerosene</v>
      </c>
      <c r="BC26" s="63" cm="1">
        <f t="array" ref="BC26">INDEX(FX_Temps,$KC26+7,BC$89)</f>
        <v>0</v>
      </c>
      <c r="BD26" s="63" cm="1">
        <f t="array" ref="BD26">INDEX(FX_Temps,$KC26+13,BD$89)+459.6</f>
        <v>505.70000000000005</v>
      </c>
      <c r="BE26" s="63" cm="1">
        <f t="array" ref="BE26">INDEX(FX_Vap,$KG26,BE$91)-INDEX(FX_Vap,$KH26,BE$91)</f>
        <v>0</v>
      </c>
      <c r="BF26" s="73" cm="1">
        <f t="array" ref="BF26">IF(BB26="Out of Service",0,INDEX(FX_Vap,$KI26,BF$91))</f>
        <v>5.119885034186122E-3</v>
      </c>
      <c r="BG26" s="63">
        <f t="shared" si="19"/>
        <v>0</v>
      </c>
      <c r="BH26" s="63">
        <f t="shared" si="20"/>
        <v>0.9955874431429288</v>
      </c>
      <c r="BI26" s="63" cm="1">
        <f t="array" ref="BI26">INDEX(FX_Vap,$KJ26,BI$91)</f>
        <v>130</v>
      </c>
      <c r="BJ26" s="63" cm="1">
        <f t="array" ref="BJ26">INDEX(FX_Temps,$KD26,BJ$89)+459.6</f>
        <v>505.70000000000005</v>
      </c>
      <c r="BK26" s="63">
        <f t="shared" si="21"/>
        <v>1.226508078051294E-4</v>
      </c>
      <c r="BL26" s="63" cm="1">
        <f t="array" ref="BL26">INDEX(Month_Ref,BL$83,3)*BG26*(PI()/4*$F26^2)*$H26*BH26*BK26</f>
        <v>0</v>
      </c>
      <c r="BM26" s="63" cm="1">
        <f t="array" ref="BM26">INDEX(FX_Input,$KB26,BM$85)</f>
        <v>4583</v>
      </c>
      <c r="BN26" s="63">
        <f t="shared" si="22"/>
        <v>25728.962</v>
      </c>
      <c r="BO26" s="63">
        <f t="shared" si="23"/>
        <v>1.0663779903446713</v>
      </c>
      <c r="BP26" s="63">
        <f t="shared" si="24"/>
        <v>1</v>
      </c>
      <c r="BQ26" s="63" cm="1">
        <f t="array" ref="BQ26">IF(OR(INDEX(FX_Vap,$KK26,BQ$90)="Crude Oil",(INDEX(FX_Vap,$KL26,BQ$90)="Crude Oil")),0.75,1)</f>
        <v>1</v>
      </c>
      <c r="BR26" s="63">
        <f t="shared" si="110"/>
        <v>1</v>
      </c>
      <c r="BS26" s="63">
        <f t="shared" si="25"/>
        <v>3.1556779732874776</v>
      </c>
      <c r="BT26" s="64">
        <f t="shared" si="26"/>
        <v>3.1556779732874776</v>
      </c>
      <c r="BU26" s="80" t="str" cm="1">
        <f t="array" ref="BU26">IF(ISBLANK(INDEX(FX_Input,$KB26+1,BU$85)),INDEX(FX_Input,$KB26,BU$85),INDEX(FX_Input,$KB26,BU$85)&amp;" &amp; "&amp;INDEX(FX_Input,$KB26+1,BU$85))</f>
        <v>Jet kerosene</v>
      </c>
      <c r="BV26" s="63" cm="1">
        <f t="array" ref="BV26">INDEX(FX_Temps,$KC26+7,BV$89)</f>
        <v>0</v>
      </c>
      <c r="BW26" s="63" cm="1">
        <f t="array" ref="BW26">INDEX(FX_Temps,$KC26+13,BW$89)+459.6</f>
        <v>508.2</v>
      </c>
      <c r="BX26" s="63" cm="1">
        <f t="array" ref="BX26">INDEX(FX_Vap,$KG26,BX$91)-INDEX(FX_Vap,$KH26,BX$91)</f>
        <v>0</v>
      </c>
      <c r="BY26" s="73" cm="1">
        <f t="array" ref="BY26">IF(BU26="Out of Service",0,INDEX(FX_Vap,$KI26,BY$91))</f>
        <v>5.5846958573521795E-3</v>
      </c>
      <c r="BZ26" s="63">
        <f t="shared" si="27"/>
        <v>0</v>
      </c>
      <c r="CA26" s="63">
        <f t="shared" si="28"/>
        <v>0.99518877474935152</v>
      </c>
      <c r="CB26" s="63" cm="1">
        <f t="array" ref="CB26">INDEX(FX_Vap,$KJ26,CB$91)</f>
        <v>130</v>
      </c>
      <c r="CC26" s="63" cm="1">
        <f t="array" ref="CC26">INDEX(FX_Temps,$KD26,CC$89)+459.6</f>
        <v>508.2</v>
      </c>
      <c r="CD26" s="63">
        <f t="shared" si="29"/>
        <v>1.3312757561120781E-4</v>
      </c>
      <c r="CE26" s="63" cm="1">
        <f t="array" ref="CE26">INDEX(Month_Ref,CE$83,3)*BZ26*(PI()/4*$F26^2)*$H26*CA26*CD26</f>
        <v>0</v>
      </c>
      <c r="CF26" s="63" cm="1">
        <f t="array" ref="CF26">INDEX(FX_Input,$KB26,CF$85)</f>
        <v>4583</v>
      </c>
      <c r="CG26" s="63">
        <f t="shared" si="30"/>
        <v>25728.962</v>
      </c>
      <c r="CH26" s="63">
        <f t="shared" si="31"/>
        <v>1.0663779903446713</v>
      </c>
      <c r="CI26" s="63">
        <f t="shared" si="32"/>
        <v>1</v>
      </c>
      <c r="CJ26" s="63" cm="1">
        <f t="array" ref="CJ26">IF(OR(INDEX(FX_Vap,$KK26,CJ$90)="Crude Oil",(INDEX(FX_Vap,$KL26,CJ$90)="Crude Oil")),0.75,1)</f>
        <v>1</v>
      </c>
      <c r="CK26" s="63">
        <f t="shared" si="111"/>
        <v>1</v>
      </c>
      <c r="CL26" s="63">
        <f t="shared" si="33"/>
        <v>3.4252343340528926</v>
      </c>
      <c r="CM26" s="64">
        <f t="shared" si="34"/>
        <v>3.4252343340528926</v>
      </c>
      <c r="CN26" s="80" t="str" cm="1">
        <f t="array" ref="CN26">IF(ISBLANK(INDEX(FX_Input,$KB26+1,CN$85)),INDEX(FX_Input,$KB26,CN$85),INDEX(FX_Input,$KB26,CN$85)&amp;" &amp; "&amp;INDEX(FX_Input,$KB26+1,CN$85))</f>
        <v>Jet kerosene</v>
      </c>
      <c r="CO26" s="63" cm="1">
        <f t="array" ref="CO26">INDEX(FX_Temps,$KC26+7,CO$89)</f>
        <v>0</v>
      </c>
      <c r="CP26" s="63" cm="1">
        <f t="array" ref="CP26">INDEX(FX_Temps,$KC26+13,CP$89)+459.6</f>
        <v>512.75</v>
      </c>
      <c r="CQ26" s="63" cm="1">
        <f t="array" ref="CQ26">INDEX(FX_Vap,$KG26,CQ$91)-INDEX(FX_Vap,$KH26,CQ$91)</f>
        <v>0</v>
      </c>
      <c r="CR26" s="73" cm="1">
        <f t="array" ref="CR26">IF(CN26="Out of Service",0,INDEX(FX_Vap,$KI26,CR$91))</f>
        <v>6.5274070972739821E-3</v>
      </c>
      <c r="CS26" s="63">
        <f t="shared" si="35"/>
        <v>0</v>
      </c>
      <c r="CT26" s="63">
        <f t="shared" si="36"/>
        <v>0.99438119066832575</v>
      </c>
      <c r="CU26" s="63" cm="1">
        <f t="array" ref="CU26">INDEX(FX_Vap,$KJ26,CU$91)</f>
        <v>130</v>
      </c>
      <c r="CV26" s="63" cm="1">
        <f t="array" ref="CV26">INDEX(FX_Temps,$KD26,CV$89)+459.6</f>
        <v>512.75</v>
      </c>
      <c r="CW26" s="63">
        <f t="shared" si="37"/>
        <v>1.5421910831991609E-4</v>
      </c>
      <c r="CX26" s="63" cm="1">
        <f t="array" ref="CX26">INDEX(Month_Ref,CX$83,3)*CS26*(PI()/4*$F26^2)*$H26*CT26*CW26</f>
        <v>0</v>
      </c>
      <c r="CY26" s="63" cm="1">
        <f t="array" ref="CY26">INDEX(FX_Input,$KB26,CY$85)</f>
        <v>4583</v>
      </c>
      <c r="CZ26" s="63">
        <f t="shared" si="38"/>
        <v>25728.962</v>
      </c>
      <c r="DA26" s="63">
        <f t="shared" si="39"/>
        <v>1.0663779903446713</v>
      </c>
      <c r="DB26" s="63">
        <f t="shared" si="40"/>
        <v>1</v>
      </c>
      <c r="DC26" s="63" cm="1">
        <f t="array" ref="DC26">IF(OR(INDEX(FX_Vap,$KK26,DC$90)="Crude Oil",(INDEX(FX_Vap,$KL26,DC$90)="Crude Oil")),0.75,1)</f>
        <v>1</v>
      </c>
      <c r="DD26" s="63">
        <f t="shared" si="112"/>
        <v>1</v>
      </c>
      <c r="DE26" s="63">
        <f t="shared" si="41"/>
        <v>3.9678975776370047</v>
      </c>
      <c r="DF26" s="64">
        <f t="shared" si="42"/>
        <v>3.9678975776370047</v>
      </c>
      <c r="DG26" s="80" t="str" cm="1">
        <f t="array" ref="DG26">IF(ISBLANK(INDEX(FX_Input,$KB26+1,DG$85)),INDEX(FX_Input,$KB26,DG$85),INDEX(FX_Input,$KB26,DG$85)&amp;" &amp; "&amp;INDEX(FX_Input,$KB26+1,DG$85))</f>
        <v>Jet kerosene</v>
      </c>
      <c r="DH26" s="63" cm="1">
        <f t="array" ref="DH26">INDEX(FX_Temps,$KC26+7,DH$89)</f>
        <v>0</v>
      </c>
      <c r="DI26" s="63" cm="1">
        <f t="array" ref="DI26">INDEX(FX_Temps,$KC26+13,DI$89)+459.6</f>
        <v>516.55000000000007</v>
      </c>
      <c r="DJ26" s="63" cm="1">
        <f t="array" ref="DJ26">INDEX(FX_Vap,$KG26,DJ$91)-INDEX(FX_Vap,$KH26,DJ$91)</f>
        <v>0</v>
      </c>
      <c r="DK26" s="73" cm="1">
        <f t="array" ref="DK26">IF(DG26="Out of Service",0,INDEX(FX_Vap,$KI26,DK$91))</f>
        <v>7.4199539958878279E-3</v>
      </c>
      <c r="DL26" s="63">
        <f t="shared" si="43"/>
        <v>0</v>
      </c>
      <c r="DM26" s="63">
        <f t="shared" si="44"/>
        <v>0.99361778742901574</v>
      </c>
      <c r="DN26" s="63" cm="1">
        <f t="array" ref="DN26">INDEX(FX_Vap,$KJ26,DN$91)</f>
        <v>130</v>
      </c>
      <c r="DO26" s="63" cm="1">
        <f t="array" ref="DO26">INDEX(FX_Temps,$KD26,DO$89)+459.6</f>
        <v>516.55000000000007</v>
      </c>
      <c r="DP26" s="63">
        <f t="shared" si="45"/>
        <v>1.7401713099147103E-4</v>
      </c>
      <c r="DQ26" s="63" cm="1">
        <f t="array" ref="DQ26">INDEX(Month_Ref,DQ$83,3)*DL26*(PI()/4*$F26^2)*$H26*DM26*DP26</f>
        <v>0</v>
      </c>
      <c r="DR26" s="63" cm="1">
        <f t="array" ref="DR26">INDEX(FX_Input,$KB26,DR$85)</f>
        <v>4583</v>
      </c>
      <c r="DS26" s="63">
        <f t="shared" si="46"/>
        <v>25728.962</v>
      </c>
      <c r="DT26" s="63">
        <f t="shared" si="47"/>
        <v>1.0663779903446713</v>
      </c>
      <c r="DU26" s="63">
        <f t="shared" si="48"/>
        <v>1</v>
      </c>
      <c r="DV26" s="63" cm="1">
        <f t="array" ref="DV26">IF(OR(INDEX(FX_Vap,$KK26,DV$90)="Crude Oil",(INDEX(FX_Vap,$KL26,DV$90)="Crude Oil")),0.75,1)</f>
        <v>1</v>
      </c>
      <c r="DW26" s="63">
        <f t="shared" si="113"/>
        <v>1</v>
      </c>
      <c r="DX26" s="63">
        <f t="shared" si="49"/>
        <v>4.4772801506285802</v>
      </c>
      <c r="DY26" s="64">
        <f t="shared" si="50"/>
        <v>4.4772801506285802</v>
      </c>
      <c r="DZ26" s="80" t="str" cm="1">
        <f t="array" ref="DZ26">IF(ISBLANK(INDEX(FX_Input,$KB26+1,DZ$85)),INDEX(FX_Input,$KB26,DZ$85),INDEX(FX_Input,$KB26,DZ$85)&amp;" &amp; "&amp;INDEX(FX_Input,$KB26+1,DZ$85))</f>
        <v>Jet kerosene</v>
      </c>
      <c r="EA26" s="63" cm="1">
        <f t="array" ref="EA26">INDEX(FX_Temps,$KC26+7,EA$89)</f>
        <v>0</v>
      </c>
      <c r="EB26" s="63" cm="1">
        <f t="array" ref="EB26">INDEX(FX_Temps,$KC26+13,EB$89)+459.6</f>
        <v>520.04999999999995</v>
      </c>
      <c r="EC26" s="63" cm="1">
        <f t="array" ref="EC26">INDEX(FX_Vap,$KG26,EC$91)-INDEX(FX_Vap,$KH26,EC$91)</f>
        <v>0</v>
      </c>
      <c r="ED26" s="73" cm="1">
        <f t="array" ref="ED26">IF(DZ26="Out of Service",0,INDEX(FX_Vap,$KI26,ED$91))</f>
        <v>8.3358107202842254E-3</v>
      </c>
      <c r="EE26" s="63">
        <f t="shared" si="51"/>
        <v>0</v>
      </c>
      <c r="EF26" s="63">
        <f t="shared" si="52"/>
        <v>0.99283566460388895</v>
      </c>
      <c r="EG26" s="63" cm="1">
        <f t="array" ref="EG26">INDEX(FX_Vap,$KJ26,EG$91)</f>
        <v>130</v>
      </c>
      <c r="EH26" s="63" cm="1">
        <f t="array" ref="EH26">INDEX(FX_Temps,$KD26,EH$89)+459.6</f>
        <v>520.04999999999995</v>
      </c>
      <c r="EI26" s="63">
        <f t="shared" si="53"/>
        <v>1.9418062801892895E-4</v>
      </c>
      <c r="EJ26" s="63" cm="1">
        <f t="array" ref="EJ26">INDEX(Month_Ref,EJ$83,3)*EE26*(PI()/4*$F26^2)*$H26*EF26*EI26</f>
        <v>0</v>
      </c>
      <c r="EK26" s="63" cm="1">
        <f t="array" ref="EK26">INDEX(FX_Input,$KB26,EK$85)</f>
        <v>4583</v>
      </c>
      <c r="EL26" s="63">
        <f t="shared" si="54"/>
        <v>25728.962</v>
      </c>
      <c r="EM26" s="63">
        <f t="shared" si="55"/>
        <v>1.0663779903446713</v>
      </c>
      <c r="EN26" s="63">
        <f t="shared" si="56"/>
        <v>1</v>
      </c>
      <c r="EO26" s="63" cm="1">
        <f t="array" ref="EO26">IF(OR(INDEX(FX_Vap,$KK26,EO$90)="Crude Oil",(INDEX(FX_Vap,$KL26,EO$90)="Crude Oil")),0.75,1)</f>
        <v>1</v>
      </c>
      <c r="EP26" s="63">
        <f t="shared" si="114"/>
        <v>1</v>
      </c>
      <c r="EQ26" s="63">
        <f t="shared" si="57"/>
        <v>4.9960659994351584</v>
      </c>
      <c r="ER26" s="64">
        <f t="shared" si="58"/>
        <v>4.9960659994351584</v>
      </c>
      <c r="ES26" s="80" t="str" cm="1">
        <f t="array" ref="ES26">IF(ISBLANK(INDEX(FX_Input,$KB26+1,ES$85)),INDEX(FX_Input,$KB26,ES$85),INDEX(FX_Input,$KB26,ES$85)&amp;" &amp; "&amp;INDEX(FX_Input,$KB26+1,ES$85))</f>
        <v>Jet kerosene</v>
      </c>
      <c r="ET26" s="63" cm="1">
        <f t="array" ref="ET26">INDEX(FX_Temps,$KC26+7,ET$89)</f>
        <v>0</v>
      </c>
      <c r="EU26" s="63" cm="1">
        <f t="array" ref="EU26">INDEX(FX_Temps,$KC26+13,EU$89)+459.6</f>
        <v>520.5</v>
      </c>
      <c r="EV26" s="63" cm="1">
        <f t="array" ref="EV26">INDEX(FX_Vap,$KG26,EV$91)-INDEX(FX_Vap,$KH26,EV$91)</f>
        <v>0</v>
      </c>
      <c r="EW26" s="73" cm="1">
        <f t="array" ref="EW26">IF(ES26="Out of Service",0,INDEX(FX_Vap,$KI26,EW$91))</f>
        <v>8.4605262729351115E-3</v>
      </c>
      <c r="EX26" s="63">
        <f t="shared" si="59"/>
        <v>0</v>
      </c>
      <c r="EY26" s="63">
        <f t="shared" si="60"/>
        <v>0.99272925532490397</v>
      </c>
      <c r="EZ26" s="63" cm="1">
        <f t="array" ref="EZ26">INDEX(FX_Vap,$KJ26,EZ$91)</f>
        <v>130</v>
      </c>
      <c r="FA26" s="63" cm="1">
        <f t="array" ref="FA26">INDEX(FX_Temps,$KD26,FA$89)+459.6</f>
        <v>520.5</v>
      </c>
      <c r="FB26" s="63">
        <f t="shared" si="61"/>
        <v>1.969154544366044E-4</v>
      </c>
      <c r="FC26" s="63" cm="1">
        <f t="array" ref="FC26">INDEX(Month_Ref,FC$83,3)*EX26*(PI()/4*$F26^2)*$H26*EY26*FB26</f>
        <v>0</v>
      </c>
      <c r="FD26" s="63" cm="1">
        <f t="array" ref="FD26">INDEX(FX_Input,$KB26,FD$85)</f>
        <v>4583</v>
      </c>
      <c r="FE26" s="63">
        <f t="shared" si="62"/>
        <v>25728.962</v>
      </c>
      <c r="FF26" s="63">
        <f t="shared" si="63"/>
        <v>1.0663779903446713</v>
      </c>
      <c r="FG26" s="63">
        <f t="shared" si="64"/>
        <v>1</v>
      </c>
      <c r="FH26" s="63" cm="1">
        <f t="array" ref="FH26">IF(OR(INDEX(FX_Vap,$KK26,FH$90)="Crude Oil",(INDEX(FX_Vap,$KL26,FH$90)="Crude Oil")),0.75,1)</f>
        <v>1</v>
      </c>
      <c r="FI26" s="63">
        <f t="shared" si="115"/>
        <v>1</v>
      </c>
      <c r="FJ26" s="63">
        <f t="shared" si="65"/>
        <v>5.0664302444121256</v>
      </c>
      <c r="FK26" s="64">
        <f t="shared" si="66"/>
        <v>5.0664302444121256</v>
      </c>
      <c r="FL26" s="80" t="str" cm="1">
        <f t="array" ref="FL26">IF(ISBLANK(INDEX(FX_Input,$KB26+1,FL$85)),INDEX(FX_Input,$KB26,FL$85),INDEX(FX_Input,$KB26,FL$85)&amp;" &amp; "&amp;INDEX(FX_Input,$KB26+1,FL$85))</f>
        <v>Jet kerosene</v>
      </c>
      <c r="FM26" s="63" cm="1">
        <f t="array" ref="FM26">INDEX(FX_Temps,$KC26+7,FM$89)</f>
        <v>0</v>
      </c>
      <c r="FN26" s="63" cm="1">
        <f t="array" ref="FN26">INDEX(FX_Temps,$KC26+13,FN$89)+459.6</f>
        <v>518.20000000000005</v>
      </c>
      <c r="FO26" s="63" cm="1">
        <f t="array" ref="FO26">INDEX(FX_Vap,$KG26,FO$91)-INDEX(FX_Vap,$KH26,FO$91)</f>
        <v>0</v>
      </c>
      <c r="FP26" s="73" cm="1">
        <f t="array" ref="FP26">IF(FL26="Out of Service",0,INDEX(FX_Vap,$KI26,FP$91))</f>
        <v>7.8399882233967533E-3</v>
      </c>
      <c r="FQ26" s="63">
        <f t="shared" si="67"/>
        <v>0</v>
      </c>
      <c r="FR26" s="63">
        <f t="shared" si="68"/>
        <v>0.99325893390634989</v>
      </c>
      <c r="FS26" s="63" cm="1">
        <f t="array" ref="FS26">INDEX(FX_Vap,$KJ26,FS$91)</f>
        <v>130</v>
      </c>
      <c r="FT26" s="63" cm="1">
        <f t="array" ref="FT26">INDEX(FX_Temps,$KD26,FT$89)+459.6</f>
        <v>518.20000000000005</v>
      </c>
      <c r="FU26" s="63">
        <f t="shared" si="69"/>
        <v>1.8328256712249962E-4</v>
      </c>
      <c r="FV26" s="63" cm="1">
        <f t="array" ref="FV26">INDEX(Month_Ref,FV$83,3)*FQ26*(PI()/4*$F26^2)*$H26*FR26*FU26</f>
        <v>0</v>
      </c>
      <c r="FW26" s="63" cm="1">
        <f t="array" ref="FW26">INDEX(FX_Input,$KB26,FW$85)</f>
        <v>4583</v>
      </c>
      <c r="FX26" s="63">
        <f t="shared" si="70"/>
        <v>25728.962</v>
      </c>
      <c r="FY26" s="63">
        <f t="shared" si="71"/>
        <v>1.0663779903446713</v>
      </c>
      <c r="FZ26" s="63">
        <f t="shared" si="72"/>
        <v>1</v>
      </c>
      <c r="GA26" s="63" cm="1">
        <f t="array" ref="GA26">IF(OR(INDEX(FX_Vap,$KK26,GA$90)="Crude Oil",(INDEX(FX_Vap,$KL26,GA$90)="Crude Oil")),0.75,1)</f>
        <v>1</v>
      </c>
      <c r="GB26" s="63">
        <f t="shared" si="116"/>
        <v>1</v>
      </c>
      <c r="GC26" s="63">
        <f t="shared" si="73"/>
        <v>4.7156702047572416</v>
      </c>
      <c r="GD26" s="64">
        <f t="shared" si="74"/>
        <v>4.7156702047572416</v>
      </c>
      <c r="GE26" s="80" t="str" cm="1">
        <f t="array" ref="GE26">IF(ISBLANK(INDEX(FX_Input,$KB26+1,GE$85)),INDEX(FX_Input,$KB26,GE$85),INDEX(FX_Input,$KB26,GE$85)&amp;" &amp; "&amp;INDEX(FX_Input,$KB26+1,GE$85))</f>
        <v>Jet kerosene</v>
      </c>
      <c r="GF26" s="63" cm="1">
        <f t="array" ref="GF26">INDEX(FX_Temps,$KC26+7,GF$89)</f>
        <v>0</v>
      </c>
      <c r="GG26" s="63" cm="1">
        <f t="array" ref="GG26">INDEX(FX_Temps,$KC26+13,GG$89)+459.6</f>
        <v>512.25</v>
      </c>
      <c r="GH26" s="63" cm="1">
        <f t="array" ref="GH26">INDEX(FX_Vap,$KG26,GH$91)-INDEX(FX_Vap,$KH26,GH$91)</f>
        <v>0</v>
      </c>
      <c r="GI26" s="73" cm="1">
        <f t="array" ref="GI26">IF(GE26="Out of Service",0,INDEX(FX_Vap,$KI26,GI$91))</f>
        <v>6.4173462075160911E-3</v>
      </c>
      <c r="GJ26" s="63">
        <f t="shared" si="75"/>
        <v>0</v>
      </c>
      <c r="GK26" s="63">
        <f t="shared" si="76"/>
        <v>0.99447540797022282</v>
      </c>
      <c r="GL26" s="63" cm="1">
        <f t="array" ref="GL26">INDEX(FX_Vap,$KJ26,GL$91)</f>
        <v>130</v>
      </c>
      <c r="GM26" s="63" cm="1">
        <f t="array" ref="GM26">INDEX(FX_Temps,$KD26,GM$89)+459.6</f>
        <v>512.25</v>
      </c>
      <c r="GN26" s="63">
        <f t="shared" si="77"/>
        <v>1.5176675903637226E-4</v>
      </c>
      <c r="GO26" s="63" cm="1">
        <f t="array" ref="GO26">INDEX(Month_Ref,GO$83,3)*GJ26*(PI()/4*$F26^2)*$H26*GK26*GN26</f>
        <v>0</v>
      </c>
      <c r="GP26" s="63" cm="1">
        <f t="array" ref="GP26">INDEX(FX_Input,$KB26,GP$85)</f>
        <v>4583</v>
      </c>
      <c r="GQ26" s="63">
        <f t="shared" si="78"/>
        <v>25728.962</v>
      </c>
      <c r="GR26" s="63">
        <f t="shared" si="79"/>
        <v>1.0663779903446713</v>
      </c>
      <c r="GS26" s="63">
        <f t="shared" si="80"/>
        <v>1</v>
      </c>
      <c r="GT26" s="63" cm="1">
        <f t="array" ref="GT26">IF(OR(INDEX(FX_Vap,$KK26,GT$90)="Crude Oil",(INDEX(FX_Vap,$KL26,GT$90)="Crude Oil")),0.75,1)</f>
        <v>1</v>
      </c>
      <c r="GU26" s="63">
        <f t="shared" si="117"/>
        <v>1</v>
      </c>
      <c r="GV26" s="63">
        <f t="shared" si="81"/>
        <v>3.9048011761099786</v>
      </c>
      <c r="GW26" s="64">
        <f t="shared" si="82"/>
        <v>3.9048011761099786</v>
      </c>
      <c r="GX26" s="80" t="str" cm="1">
        <f t="array" ref="GX26">IF(ISBLANK(INDEX(FX_Input,$KB26+1,GX$85)),INDEX(FX_Input,$KB26,GX$85),INDEX(FX_Input,$KB26,GX$85)&amp;" &amp; "&amp;INDEX(FX_Input,$KB26+1,GX$85))</f>
        <v>Jet kerosene</v>
      </c>
      <c r="GY26" s="63" cm="1">
        <f t="array" ref="GY26">INDEX(FX_Temps,$KC26+7,GY$89)</f>
        <v>0</v>
      </c>
      <c r="GZ26" s="63" cm="1">
        <f t="array" ref="GZ26">INDEX(FX_Temps,$KC26+13,GZ$89)+459.6</f>
        <v>506.70000000000005</v>
      </c>
      <c r="HA26" s="63" cm="1">
        <f t="array" ref="HA26">INDEX(FX_Vap,$KG26,HA$91)-INDEX(FX_Vap,$KH26,HA$91)</f>
        <v>0</v>
      </c>
      <c r="HB26" s="73" cm="1">
        <f t="array" ref="HB26">IF(GX26="Out of Service",0,INDEX(FX_Vap,$KI26,HB$91))</f>
        <v>5.3015226887581056E-3</v>
      </c>
      <c r="HC26" s="63">
        <f t="shared" si="83"/>
        <v>0</v>
      </c>
      <c r="HD26" s="63">
        <f t="shared" si="84"/>
        <v>0.99543161445271133</v>
      </c>
      <c r="HE26" s="63" cm="1">
        <f t="array" ref="HE26">INDEX(FX_Vap,$KJ26,HE$91)</f>
        <v>130</v>
      </c>
      <c r="HF26" s="63" cm="1">
        <f t="array" ref="HF26">INDEX(FX_Temps,$KD26,HF$89)+459.6</f>
        <v>506.70000000000005</v>
      </c>
      <c r="HG26" s="63">
        <f t="shared" si="85"/>
        <v>1.2675143286623188E-4</v>
      </c>
      <c r="HH26" s="63" cm="1">
        <f t="array" ref="HH26">INDEX(Month_Ref,HH$83,3)*HC26*(PI()/4*$F26^2)*$H26*HD26*HG26</f>
        <v>0</v>
      </c>
      <c r="HI26" s="63" cm="1">
        <f t="array" ref="HI26">INDEX(FX_Input,$KB26,HI$85)</f>
        <v>4583</v>
      </c>
      <c r="HJ26" s="63">
        <f t="shared" si="86"/>
        <v>25728.962</v>
      </c>
      <c r="HK26" s="63">
        <f t="shared" si="87"/>
        <v>1.0663779903446713</v>
      </c>
      <c r="HL26" s="63">
        <f t="shared" si="88"/>
        <v>1</v>
      </c>
      <c r="HM26" s="63" cm="1">
        <f t="array" ref="HM26">IF(OR(INDEX(FX_Vap,$KK26,HM$90)="Crude Oil",(INDEX(FX_Vap,$KL26,HM$90)="Crude Oil")),0.75,1)</f>
        <v>1</v>
      </c>
      <c r="HN26" s="63">
        <f t="shared" si="118"/>
        <v>1</v>
      </c>
      <c r="HO26" s="63">
        <f t="shared" si="89"/>
        <v>3.2611827996608311</v>
      </c>
      <c r="HP26" s="64">
        <f t="shared" si="90"/>
        <v>3.2611827996608311</v>
      </c>
      <c r="HQ26" s="80" t="str" cm="1">
        <f t="array" ref="HQ26">IF(ISBLANK(INDEX(FX_Input,$KB26+1,HQ$85)),INDEX(FX_Input,$KB26,HQ$85),INDEX(FX_Input,$KB26,HQ$85)&amp;" &amp; "&amp;INDEX(FX_Input,$KB26+1,HQ$85))</f>
        <v>Jet kerosene</v>
      </c>
      <c r="HR26" s="63" cm="1">
        <f t="array" ref="HR26">INDEX(FX_Temps,$KC26+7,HR$89)</f>
        <v>0</v>
      </c>
      <c r="HS26" s="63" cm="1">
        <f t="array" ref="HS26">INDEX(FX_Temps,$KC26+13,HS$89)+459.6</f>
        <v>503.20000000000005</v>
      </c>
      <c r="HT26" s="63" cm="1">
        <f t="array" ref="HT26">INDEX(FX_Vap,$KG26,HT$91)-INDEX(FX_Vap,$KH26,HT$91)</f>
        <v>0</v>
      </c>
      <c r="HU26" s="73" cm="1">
        <f t="array" ref="HU26">IF(HQ26="Out of Service",0,INDEX(FX_Vap,$KI26,HU$91))</f>
        <v>4.68970903600947E-3</v>
      </c>
      <c r="HV26" s="63">
        <f t="shared" si="91"/>
        <v>0</v>
      </c>
      <c r="HW26" s="63">
        <f t="shared" si="92"/>
        <v>0.99595668993725195</v>
      </c>
      <c r="HX26" s="63" cm="1">
        <f t="array" ref="HX26">INDEX(FX_Vap,$KJ26,HX$91)</f>
        <v>130</v>
      </c>
      <c r="HY26" s="63" cm="1">
        <f t="array" ref="HY26">INDEX(FX_Temps,$KD26,HY$89)+459.6</f>
        <v>503.20000000000005</v>
      </c>
      <c r="HZ26" s="63">
        <f t="shared" si="93"/>
        <v>1.1290376474196325E-4</v>
      </c>
      <c r="IA26" s="63" cm="1">
        <f t="array" ref="IA26">INDEX(Month_Ref,IA$83,3)*HV26*(PI()/4*$F26^2)*$H26*HW26*HZ26</f>
        <v>0</v>
      </c>
      <c r="IB26" s="63" cm="1">
        <f t="array" ref="IB26">INDEX(FX_Input,$KB26,IB$85)</f>
        <v>4583</v>
      </c>
      <c r="IC26" s="63">
        <f t="shared" si="94"/>
        <v>25728.962</v>
      </c>
      <c r="ID26" s="63">
        <f t="shared" si="95"/>
        <v>1.0663779903446713</v>
      </c>
      <c r="IE26" s="63">
        <f t="shared" si="96"/>
        <v>1</v>
      </c>
      <c r="IF26" s="63" cm="1">
        <f t="array" ref="IF26">IF(OR(INDEX(FX_Vap,$KK26,IF$90)="Crude Oil",(INDEX(FX_Vap,$KL26,IF$90)="Crude Oil")),0.75,1)</f>
        <v>1</v>
      </c>
      <c r="IG26" s="63">
        <f t="shared" si="119"/>
        <v>1</v>
      </c>
      <c r="IH26" s="63">
        <f t="shared" si="97"/>
        <v>2.9048966727029124</v>
      </c>
      <c r="II26" s="64">
        <f t="shared" si="98"/>
        <v>2.9048966727029124</v>
      </c>
      <c r="IJ26" s="80">
        <f t="shared" si="99"/>
        <v>0</v>
      </c>
      <c r="IK26" s="63">
        <f t="shared" si="100"/>
        <v>0</v>
      </c>
      <c r="IL26" s="63">
        <f t="shared" si="101"/>
        <v>45.822174395910665</v>
      </c>
      <c r="IM26" s="63">
        <f t="shared" si="102"/>
        <v>2.2911087197955333E-2</v>
      </c>
      <c r="IN26" s="63">
        <f t="shared" si="103"/>
        <v>45.822174395910665</v>
      </c>
      <c r="IO26" s="64">
        <f t="shared" si="104"/>
        <v>2.2911087197955333E-2</v>
      </c>
      <c r="KB26" s="43">
        <f t="shared" si="120"/>
        <v>31</v>
      </c>
      <c r="KC26" s="43">
        <f t="shared" si="121"/>
        <v>211</v>
      </c>
      <c r="KD26" s="43">
        <f t="shared" si="122"/>
        <v>224</v>
      </c>
      <c r="KE26" s="43">
        <f t="shared" si="123"/>
        <v>211</v>
      </c>
      <c r="KF26" s="43">
        <f t="shared" si="124"/>
        <v>511</v>
      </c>
      <c r="KG26" s="43">
        <f t="shared" si="125"/>
        <v>534</v>
      </c>
      <c r="KH26" s="43">
        <f t="shared" si="126"/>
        <v>529</v>
      </c>
      <c r="KI26" s="43">
        <f t="shared" si="105"/>
        <v>539</v>
      </c>
      <c r="KJ26" s="43">
        <f t="shared" si="105"/>
        <v>544</v>
      </c>
      <c r="KK26" s="43">
        <f t="shared" si="127"/>
        <v>515</v>
      </c>
      <c r="KL26" s="43">
        <f t="shared" si="128"/>
        <v>517</v>
      </c>
    </row>
    <row r="27" spans="2:298" x14ac:dyDescent="0.4">
      <c r="B27" s="43" t="str" cm="1">
        <f t="array" ref="B27">INDEX(FX_Input,$KB27,B$85)</f>
        <v>FX - 17</v>
      </c>
      <c r="C27" s="93" t="str" cm="1">
        <f t="array" ref="C27">INDEX(FX_Input,$KB27,C$85)</f>
        <v>FIXTANK 124</v>
      </c>
      <c r="D27" s="80">
        <f t="shared" si="0"/>
        <v>32438.580394488356</v>
      </c>
      <c r="E27" s="63" cm="1">
        <f t="array" ref="E27">IF(ISBLANK(INDEX(FX_Input,$KB27,$E$85)),0.03,INDEX(FX_Input,$KB27,$E$85))-IF(ISBLANK(INDEX(FX_Input,$KB27,$E$86)),-0.03,INDEX(FX_Input,$KB27,$E$86))</f>
        <v>0.06</v>
      </c>
      <c r="F27" s="63" cm="1">
        <f t="array" ref="F27">IF(INDEX(FX_Input,$KB27,F$85)="Vertical",INDEX(FX_Input,$KB27,F$86),SQRT((INDEX(FX_Input,$KB27,F$86)*INDEX(FX_Input,$KB27,F$87))/(PI()/4)))</f>
        <v>50</v>
      </c>
      <c r="G27" s="63" cm="1">
        <f t="array" ref="G27">IF(INDEX(FX_Input,$KB27,G$85)="Vertical",INDEX(FX_Input,$KB27,G$86),INDEX(FX_Input,$KB27,G$87)*PI()/4)</f>
        <v>32</v>
      </c>
      <c r="H27" s="63" cm="1">
        <f t="array" ref="H27">IF(INDEX(FX_Input,$KB27,H$85)="Vertical",G27-G27/2+J27,G27/2)</f>
        <v>16.520833333333332</v>
      </c>
      <c r="I27" s="63" cm="1">
        <f t="array" ref="I27">IF(INDEX(FX_Input,$KB27,F$85)="Horizontal","N/A",IF(INDEX(FX_Input,$KB27,I$86)="Cone",IF(ISBLANK(INDEX(FX_Input,$KB27,I$87)),0.0625,INDEX(FX_Input,$KB27,I$87))*F27/2,F27/2-SQRT((F27/2)^2-(INDEX(FX_Input,$KB27,I$88)^2))))</f>
        <v>1.5625</v>
      </c>
      <c r="J27" s="63" cm="1">
        <f t="array" ref="J27">IF(INDEX(FX_Input,$KB27,J$85)="Horizontal","N/A",IF(INDEX(FX_Input,$KB27,J$86)="Cone",I27/3,I27*(1/2+(1/6)*(I27/(F27/2))^2)))</f>
        <v>0.52083333333333337</v>
      </c>
      <c r="K27" s="63">
        <f t="shared" si="1"/>
        <v>31</v>
      </c>
      <c r="L27" s="63">
        <v>1</v>
      </c>
      <c r="M27" s="63" t="str" cm="1">
        <f t="array" ref="M27">INDEX(Tbl_71_6,MATCH(INDEX(FX_Input,$KB27,M$85),Paint_Color,0),VLOOKUP(INDEX(FX_Input,$KB27,M$86),Paint_Cond_Column,2,FALSE))</f>
        <v>N/A</v>
      </c>
      <c r="N27" s="63" t="str" cm="1">
        <f t="array" ref="N27">INDEX(Tbl_71_6,MATCH(INDEX(FX_Input,$KB27,N$85),Paint_Color,0),VLOOKUP(INDEX(FX_Input,$KB27,N$86),Paint_Cond_Column,2,FALSE))</f>
        <v>N/A</v>
      </c>
      <c r="O27" s="64" t="str">
        <f t="shared" si="2"/>
        <v>Insulated</v>
      </c>
      <c r="P27" s="80" t="str" cm="1">
        <f t="array" ref="P27">IF(ISBLANK(INDEX(FX_Input,$KB27+1,P$85)),INDEX(FX_Input,$KB27,P$85),INDEX(FX_Input,$KB27,P$85)&amp;" &amp; "&amp;INDEX(FX_Input,$KB27+1,P$85))</f>
        <v>Jet kerosene</v>
      </c>
      <c r="Q27" s="63" cm="1">
        <f t="array" ref="Q27">INDEX(FX_Temps,$KC27+7,Q$89)</f>
        <v>0</v>
      </c>
      <c r="R27" s="63" cm="1">
        <f t="array" ref="R27">INDEX(FX_Temps,$KC27+13,R$89)+459.6</f>
        <v>503.5</v>
      </c>
      <c r="S27" s="63" cm="1">
        <f t="array" ref="S27">INDEX(FX_Vap,$KG27,S$91)-INDEX(FX_Vap,$KH27,S$91)</f>
        <v>0</v>
      </c>
      <c r="T27" s="73" cm="1">
        <f t="array" ref="T27">IF(P27="Out of Service",0,INDEX(FX_Vap,$KI27,T$91))</f>
        <v>4.739577185808354E-3</v>
      </c>
      <c r="U27" s="63">
        <f t="shared" si="3"/>
        <v>0</v>
      </c>
      <c r="V27" s="63">
        <f t="shared" si="4"/>
        <v>0.99586715773653067</v>
      </c>
      <c r="W27" s="63" cm="1">
        <f t="array" ref="W27">INDEX(FX_Vap,$KJ27,W$91)</f>
        <v>130</v>
      </c>
      <c r="X27" s="63" cm="1">
        <f t="array" ref="X27">INDEX(FX_Temps,$KD27,X$89)+459.6</f>
        <v>503.5</v>
      </c>
      <c r="Y27" s="63">
        <f t="shared" si="5"/>
        <v>1.1403634333314844E-4</v>
      </c>
      <c r="Z27" s="63" cm="1">
        <f t="array" ref="Z27">INDEX(Month_Ref,Z$83,3)*U27*(PI()/4*$F27^2)*$H27*V27*Y27</f>
        <v>0</v>
      </c>
      <c r="AA27" s="63" cm="1">
        <f t="array" ref="AA27">INDEX(FX_Input,$KB27,AA$85)</f>
        <v>11190</v>
      </c>
      <c r="AB27" s="63">
        <f t="shared" si="6"/>
        <v>62820.659999999996</v>
      </c>
      <c r="AC27" s="63">
        <f t="shared" si="7"/>
        <v>1.0664766471781659</v>
      </c>
      <c r="AD27" s="63">
        <f t="shared" si="8"/>
        <v>1</v>
      </c>
      <c r="AE27" s="63" cm="1">
        <f t="array" ref="AE27">IF(OR(INDEX(FX_Vap,$KK27,AE$90)="Crude Oil",(INDEX(FX_Vap,$KL27,AE$90)="Crude Oil")),0.75,1)</f>
        <v>1</v>
      </c>
      <c r="AF27" s="63">
        <f t="shared" si="108"/>
        <v>1</v>
      </c>
      <c r="AG27" s="63">
        <f t="shared" si="9"/>
        <v>7.1638383521749844</v>
      </c>
      <c r="AH27" s="64">
        <f t="shared" si="10"/>
        <v>7.1638383521749844</v>
      </c>
      <c r="AI27" s="80" t="str" cm="1">
        <f t="array" ref="AI27">IF(ISBLANK(INDEX(FX_Input,$KB27+1,AI$85)),INDEX(FX_Input,$KB27,AI$85),INDEX(FX_Input,$KB27,AI$85)&amp;" &amp; "&amp;INDEX(FX_Input,$KB27+1,AI$85))</f>
        <v>Jet kerosene</v>
      </c>
      <c r="AJ27" s="63" cm="1">
        <f t="array" ref="AJ27">INDEX(FX_Temps,$KC27+7,AJ$89)</f>
        <v>0</v>
      </c>
      <c r="AK27" s="63" cm="1">
        <f t="array" ref="AK27">INDEX(FX_Temps,$KC27+13,AK$89)+459.6</f>
        <v>504.30000000000007</v>
      </c>
      <c r="AL27" s="63" cm="1">
        <f t="array" ref="AL27">INDEX(FX_Vap,$KG27,AL$91)-INDEX(FX_Vap,$KH27,AL$91)</f>
        <v>0</v>
      </c>
      <c r="AM27" s="73" cm="1">
        <f t="array" ref="AM27">IF(AI27="Out of Service",0,INDEX(FX_Vap,$KI27,AM$91))</f>
        <v>4.8748667780818778E-3</v>
      </c>
      <c r="AN27" s="63">
        <f t="shared" si="11"/>
        <v>0</v>
      </c>
      <c r="AO27" s="63">
        <f t="shared" si="12"/>
        <v>0.99574968859445367</v>
      </c>
      <c r="AP27" s="63" cm="1">
        <f t="array" ref="AP27">INDEX(FX_Vap,$KJ27,AP$91)</f>
        <v>130</v>
      </c>
      <c r="AQ27" s="63" cm="1">
        <f t="array" ref="AQ27">INDEX(FX_Temps,$KD27,AQ$89)+459.6</f>
        <v>504.30000000000007</v>
      </c>
      <c r="AR27" s="63">
        <f t="shared" si="13"/>
        <v>1.1710540514572422E-4</v>
      </c>
      <c r="AS27" s="63" cm="1">
        <f t="array" ref="AS27">INDEX(Month_Ref,AS$83,3)*AN27*(PI()/4*$F27^2)*$H27*AO27*AR27</f>
        <v>0</v>
      </c>
      <c r="AT27" s="63" cm="1">
        <f t="array" ref="AT27">INDEX(FX_Input,$KB27,AT$85)</f>
        <v>11190</v>
      </c>
      <c r="AU27" s="63">
        <f t="shared" si="14"/>
        <v>62820.659999999996</v>
      </c>
      <c r="AV27" s="63">
        <f t="shared" si="15"/>
        <v>1.0664766471781659</v>
      </c>
      <c r="AW27" s="63">
        <f t="shared" si="16"/>
        <v>1</v>
      </c>
      <c r="AX27" s="63" cm="1">
        <f t="array" ref="AX27">IF(OR(INDEX(FX_Vap,$KK27,AX$90)="Crude Oil",(INDEX(FX_Vap,$KL27,AX$90)="Crude Oil")),0.75,1)</f>
        <v>1</v>
      </c>
      <c r="AY27" s="63">
        <f t="shared" si="109"/>
        <v>1</v>
      </c>
      <c r="AZ27" s="63">
        <f t="shared" si="17"/>
        <v>7.3566388408217911</v>
      </c>
      <c r="BA27" s="64">
        <f t="shared" si="18"/>
        <v>7.3566388408217911</v>
      </c>
      <c r="BB27" s="80" t="str" cm="1">
        <f t="array" ref="BB27">IF(ISBLANK(INDEX(FX_Input,$KB27+1,BB$85)),INDEX(FX_Input,$KB27,BB$85),INDEX(FX_Input,$KB27,BB$85)&amp;" &amp; "&amp;INDEX(FX_Input,$KB27+1,BB$85))</f>
        <v>Jet kerosene</v>
      </c>
      <c r="BC27" s="63" cm="1">
        <f t="array" ref="BC27">INDEX(FX_Temps,$KC27+7,BC$89)</f>
        <v>0</v>
      </c>
      <c r="BD27" s="63" cm="1">
        <f t="array" ref="BD27">INDEX(FX_Temps,$KC27+13,BD$89)+459.6</f>
        <v>505.70000000000005</v>
      </c>
      <c r="BE27" s="63" cm="1">
        <f t="array" ref="BE27">INDEX(FX_Vap,$KG27,BE$91)-INDEX(FX_Vap,$KH27,BE$91)</f>
        <v>0</v>
      </c>
      <c r="BF27" s="73" cm="1">
        <f t="array" ref="BF27">IF(BB27="Out of Service",0,INDEX(FX_Vap,$KI27,BF$91))</f>
        <v>5.119885034186122E-3</v>
      </c>
      <c r="BG27" s="63">
        <f t="shared" si="19"/>
        <v>0</v>
      </c>
      <c r="BH27" s="63">
        <f t="shared" si="20"/>
        <v>0.99553701486087187</v>
      </c>
      <c r="BI27" s="63" cm="1">
        <f t="array" ref="BI27">INDEX(FX_Vap,$KJ27,BI$91)</f>
        <v>130</v>
      </c>
      <c r="BJ27" s="63" cm="1">
        <f t="array" ref="BJ27">INDEX(FX_Temps,$KD27,BJ$89)+459.6</f>
        <v>505.70000000000005</v>
      </c>
      <c r="BK27" s="63">
        <f t="shared" si="21"/>
        <v>1.226508078051294E-4</v>
      </c>
      <c r="BL27" s="63" cm="1">
        <f t="array" ref="BL27">INDEX(Month_Ref,BL$83,3)*BG27*(PI()/4*$F27^2)*$H27*BH27*BK27</f>
        <v>0</v>
      </c>
      <c r="BM27" s="63" cm="1">
        <f t="array" ref="BM27">INDEX(FX_Input,$KB27,BM$85)</f>
        <v>11190</v>
      </c>
      <c r="BN27" s="63">
        <f t="shared" si="22"/>
        <v>62820.659999999996</v>
      </c>
      <c r="BO27" s="63">
        <f t="shared" si="23"/>
        <v>1.0664766471781659</v>
      </c>
      <c r="BP27" s="63">
        <f t="shared" si="24"/>
        <v>1</v>
      </c>
      <c r="BQ27" s="63" cm="1">
        <f t="array" ref="BQ27">IF(OR(INDEX(FX_Vap,$KK27,BQ$90)="Crude Oil",(INDEX(FX_Vap,$KL27,BQ$90)="Crude Oil")),0.75,1)</f>
        <v>1</v>
      </c>
      <c r="BR27" s="63">
        <f t="shared" si="110"/>
        <v>1</v>
      </c>
      <c r="BS27" s="63">
        <f t="shared" si="25"/>
        <v>7.7050046958513798</v>
      </c>
      <c r="BT27" s="64">
        <f t="shared" si="26"/>
        <v>7.7050046958513798</v>
      </c>
      <c r="BU27" s="80" t="str" cm="1">
        <f t="array" ref="BU27">IF(ISBLANK(INDEX(FX_Input,$KB27+1,BU$85)),INDEX(FX_Input,$KB27,BU$85),INDEX(FX_Input,$KB27,BU$85)&amp;" &amp; "&amp;INDEX(FX_Input,$KB27+1,BU$85))</f>
        <v>Jet kerosene</v>
      </c>
      <c r="BV27" s="63" cm="1">
        <f t="array" ref="BV27">INDEX(FX_Temps,$KC27+7,BV$89)</f>
        <v>0</v>
      </c>
      <c r="BW27" s="63" cm="1">
        <f t="array" ref="BW27">INDEX(FX_Temps,$KC27+13,BW$89)+459.6</f>
        <v>508.2</v>
      </c>
      <c r="BX27" s="63" cm="1">
        <f t="array" ref="BX27">INDEX(FX_Vap,$KG27,BX$91)-INDEX(FX_Vap,$KH27,BX$91)</f>
        <v>0</v>
      </c>
      <c r="BY27" s="73" cm="1">
        <f t="array" ref="BY27">IF(BU27="Out of Service",0,INDEX(FX_Vap,$KI27,BY$91))</f>
        <v>5.5846958573521795E-3</v>
      </c>
      <c r="BZ27" s="63">
        <f t="shared" si="27"/>
        <v>0</v>
      </c>
      <c r="CA27" s="63">
        <f t="shared" si="28"/>
        <v>0.99513381261115885</v>
      </c>
      <c r="CB27" s="63" cm="1">
        <f t="array" ref="CB27">INDEX(FX_Vap,$KJ27,CB$91)</f>
        <v>130</v>
      </c>
      <c r="CC27" s="63" cm="1">
        <f t="array" ref="CC27">INDEX(FX_Temps,$KD27,CC$89)+459.6</f>
        <v>508.2</v>
      </c>
      <c r="CD27" s="63">
        <f t="shared" si="29"/>
        <v>1.3312757561120781E-4</v>
      </c>
      <c r="CE27" s="63" cm="1">
        <f t="array" ref="CE27">INDEX(Month_Ref,CE$83,3)*BZ27*(PI()/4*$F27^2)*$H27*CA27*CD27</f>
        <v>0</v>
      </c>
      <c r="CF27" s="63" cm="1">
        <f t="array" ref="CF27">INDEX(FX_Input,$KB27,CF$85)</f>
        <v>11190</v>
      </c>
      <c r="CG27" s="63">
        <f t="shared" si="30"/>
        <v>62820.659999999996</v>
      </c>
      <c r="CH27" s="63">
        <f t="shared" si="31"/>
        <v>1.0664766471781659</v>
      </c>
      <c r="CI27" s="63">
        <f t="shared" si="32"/>
        <v>1</v>
      </c>
      <c r="CJ27" s="63" cm="1">
        <f t="array" ref="CJ27">IF(OR(INDEX(FX_Vap,$KK27,CJ$90)="Crude Oil",(INDEX(FX_Vap,$KL27,CJ$90)="Crude Oil")),0.75,1)</f>
        <v>1</v>
      </c>
      <c r="CK27" s="63">
        <f t="shared" si="111"/>
        <v>1</v>
      </c>
      <c r="CL27" s="63">
        <f t="shared" si="33"/>
        <v>8.3631621640959786</v>
      </c>
      <c r="CM27" s="64">
        <f t="shared" si="34"/>
        <v>8.3631621640959786</v>
      </c>
      <c r="CN27" s="80" t="str" cm="1">
        <f t="array" ref="CN27">IF(ISBLANK(INDEX(FX_Input,$KB27+1,CN$85)),INDEX(FX_Input,$KB27,CN$85),INDEX(FX_Input,$KB27,CN$85)&amp;" &amp; "&amp;INDEX(FX_Input,$KB27+1,CN$85))</f>
        <v>Jet kerosene</v>
      </c>
      <c r="CO27" s="63" cm="1">
        <f t="array" ref="CO27">INDEX(FX_Temps,$KC27+7,CO$89)</f>
        <v>0</v>
      </c>
      <c r="CP27" s="63" cm="1">
        <f t="array" ref="CP27">INDEX(FX_Temps,$KC27+13,CP$89)+459.6</f>
        <v>512.75</v>
      </c>
      <c r="CQ27" s="63" cm="1">
        <f t="array" ref="CQ27">INDEX(FX_Vap,$KG27,CQ$91)-INDEX(FX_Vap,$KH27,CQ$91)</f>
        <v>0</v>
      </c>
      <c r="CR27" s="73" cm="1">
        <f t="array" ref="CR27">IF(CN27="Out of Service",0,INDEX(FX_Vap,$KI27,CR$91))</f>
        <v>6.5274070972739821E-3</v>
      </c>
      <c r="CS27" s="63">
        <f t="shared" si="35"/>
        <v>0</v>
      </c>
      <c r="CT27" s="63">
        <f t="shared" si="36"/>
        <v>0.99431705558981132</v>
      </c>
      <c r="CU27" s="63" cm="1">
        <f t="array" ref="CU27">INDEX(FX_Vap,$KJ27,CU$91)</f>
        <v>130</v>
      </c>
      <c r="CV27" s="63" cm="1">
        <f t="array" ref="CV27">INDEX(FX_Temps,$KD27,CV$89)+459.6</f>
        <v>512.75</v>
      </c>
      <c r="CW27" s="63">
        <f t="shared" si="37"/>
        <v>1.5421910831991609E-4</v>
      </c>
      <c r="CX27" s="63" cm="1">
        <f t="array" ref="CX27">INDEX(Month_Ref,CX$83,3)*CS27*(PI()/4*$F27^2)*$H27*CT27*CW27</f>
        <v>0</v>
      </c>
      <c r="CY27" s="63" cm="1">
        <f t="array" ref="CY27">INDEX(FX_Input,$KB27,CY$85)</f>
        <v>11190</v>
      </c>
      <c r="CZ27" s="63">
        <f t="shared" si="38"/>
        <v>62820.659999999996</v>
      </c>
      <c r="DA27" s="63">
        <f t="shared" si="39"/>
        <v>1.0664766471781659</v>
      </c>
      <c r="DB27" s="63">
        <f t="shared" si="40"/>
        <v>1</v>
      </c>
      <c r="DC27" s="63" cm="1">
        <f t="array" ref="DC27">IF(OR(INDEX(FX_Vap,$KK27,DC$90)="Crude Oil",(INDEX(FX_Vap,$KL27,DC$90)="Crude Oil")),0.75,1)</f>
        <v>1</v>
      </c>
      <c r="DD27" s="63">
        <f t="shared" si="112"/>
        <v>1</v>
      </c>
      <c r="DE27" s="63">
        <f t="shared" si="41"/>
        <v>9.6881461692686184</v>
      </c>
      <c r="DF27" s="64">
        <f t="shared" si="42"/>
        <v>9.6881461692686184</v>
      </c>
      <c r="DG27" s="80" t="str" cm="1">
        <f t="array" ref="DG27">IF(ISBLANK(INDEX(FX_Input,$KB27+1,DG$85)),INDEX(FX_Input,$KB27,DG$85),INDEX(FX_Input,$KB27,DG$85)&amp;" &amp; "&amp;INDEX(FX_Input,$KB27+1,DG$85))</f>
        <v>Jet kerosene</v>
      </c>
      <c r="DH27" s="63" cm="1">
        <f t="array" ref="DH27">INDEX(FX_Temps,$KC27+7,DH$89)</f>
        <v>0</v>
      </c>
      <c r="DI27" s="63" cm="1">
        <f t="array" ref="DI27">INDEX(FX_Temps,$KC27+13,DI$89)+459.6</f>
        <v>516.55000000000007</v>
      </c>
      <c r="DJ27" s="63" cm="1">
        <f t="array" ref="DJ27">INDEX(FX_Vap,$KG27,DJ$91)-INDEX(FX_Vap,$KH27,DJ$91)</f>
        <v>0</v>
      </c>
      <c r="DK27" s="73" cm="1">
        <f t="array" ref="DK27">IF(DG27="Out of Service",0,INDEX(FX_Vap,$KI27,DK$91))</f>
        <v>7.4199539958878279E-3</v>
      </c>
      <c r="DL27" s="63">
        <f t="shared" si="43"/>
        <v>0</v>
      </c>
      <c r="DM27" s="63">
        <f t="shared" si="44"/>
        <v>0.99354499516087591</v>
      </c>
      <c r="DN27" s="63" cm="1">
        <f t="array" ref="DN27">INDEX(FX_Vap,$KJ27,DN$91)</f>
        <v>130</v>
      </c>
      <c r="DO27" s="63" cm="1">
        <f t="array" ref="DO27">INDEX(FX_Temps,$KD27,DO$89)+459.6</f>
        <v>516.55000000000007</v>
      </c>
      <c r="DP27" s="63">
        <f t="shared" si="45"/>
        <v>1.7401713099147103E-4</v>
      </c>
      <c r="DQ27" s="63" cm="1">
        <f t="array" ref="DQ27">INDEX(Month_Ref,DQ$83,3)*DL27*(PI()/4*$F27^2)*$H27*DM27*DP27</f>
        <v>0</v>
      </c>
      <c r="DR27" s="63" cm="1">
        <f t="array" ref="DR27">INDEX(FX_Input,$KB27,DR$85)</f>
        <v>11190</v>
      </c>
      <c r="DS27" s="63">
        <f t="shared" si="46"/>
        <v>62820.659999999996</v>
      </c>
      <c r="DT27" s="63">
        <f t="shared" si="47"/>
        <v>1.0664766471781659</v>
      </c>
      <c r="DU27" s="63">
        <f t="shared" si="48"/>
        <v>1</v>
      </c>
      <c r="DV27" s="63" cm="1">
        <f t="array" ref="DV27">IF(OR(INDEX(FX_Vap,$KK27,DV$90)="Crude Oil",(INDEX(FX_Vap,$KL27,DV$90)="Crude Oil")),0.75,1)</f>
        <v>1</v>
      </c>
      <c r="DW27" s="63">
        <f t="shared" si="113"/>
        <v>1</v>
      </c>
      <c r="DX27" s="63">
        <f t="shared" si="49"/>
        <v>10.931871020190664</v>
      </c>
      <c r="DY27" s="64">
        <f t="shared" si="50"/>
        <v>10.931871020190664</v>
      </c>
      <c r="DZ27" s="80" t="str" cm="1">
        <f t="array" ref="DZ27">IF(ISBLANK(INDEX(FX_Input,$KB27+1,DZ$85)),INDEX(FX_Input,$KB27,DZ$85),INDEX(FX_Input,$KB27,DZ$85)&amp;" &amp; "&amp;INDEX(FX_Input,$KB27+1,DZ$85))</f>
        <v>Jet kerosene</v>
      </c>
      <c r="EA27" s="63" cm="1">
        <f t="array" ref="EA27">INDEX(FX_Temps,$KC27+7,EA$89)</f>
        <v>0</v>
      </c>
      <c r="EB27" s="63" cm="1">
        <f t="array" ref="EB27">INDEX(FX_Temps,$KC27+13,EB$89)+459.6</f>
        <v>520.04999999999995</v>
      </c>
      <c r="EC27" s="63" cm="1">
        <f t="array" ref="EC27">INDEX(FX_Vap,$KG27,EC$91)-INDEX(FX_Vap,$KH27,EC$91)</f>
        <v>0</v>
      </c>
      <c r="ED27" s="73" cm="1">
        <f t="array" ref="ED27">IF(DZ27="Out of Service",0,INDEX(FX_Vap,$KI27,ED$91))</f>
        <v>8.3358107202842254E-3</v>
      </c>
      <c r="EE27" s="63">
        <f t="shared" si="51"/>
        <v>0</v>
      </c>
      <c r="EF27" s="63">
        <f t="shared" si="52"/>
        <v>0.99275401689383047</v>
      </c>
      <c r="EG27" s="63" cm="1">
        <f t="array" ref="EG27">INDEX(FX_Vap,$KJ27,EG$91)</f>
        <v>130</v>
      </c>
      <c r="EH27" s="63" cm="1">
        <f t="array" ref="EH27">INDEX(FX_Temps,$KD27,EH$89)+459.6</f>
        <v>520.04999999999995</v>
      </c>
      <c r="EI27" s="63">
        <f t="shared" si="53"/>
        <v>1.9418062801892895E-4</v>
      </c>
      <c r="EJ27" s="63" cm="1">
        <f t="array" ref="EJ27">INDEX(Month_Ref,EJ$83,3)*EE27*(PI()/4*$F27^2)*$H27*EF27*EI27</f>
        <v>0</v>
      </c>
      <c r="EK27" s="63" cm="1">
        <f t="array" ref="EK27">INDEX(FX_Input,$KB27,EK$85)</f>
        <v>11190</v>
      </c>
      <c r="EL27" s="63">
        <f t="shared" si="54"/>
        <v>62820.659999999996</v>
      </c>
      <c r="EM27" s="63">
        <f t="shared" si="55"/>
        <v>1.0664766471781659</v>
      </c>
      <c r="EN27" s="63">
        <f t="shared" si="56"/>
        <v>1</v>
      </c>
      <c r="EO27" s="63" cm="1">
        <f t="array" ref="EO27">IF(OR(INDEX(FX_Vap,$KK27,EO$90)="Crude Oil",(INDEX(FX_Vap,$KL27,EO$90)="Crude Oil")),0.75,1)</f>
        <v>1</v>
      </c>
      <c r="EP27" s="63">
        <f t="shared" si="114"/>
        <v>1</v>
      </c>
      <c r="EQ27" s="63">
        <f t="shared" si="57"/>
        <v>12.198555211363608</v>
      </c>
      <c r="ER27" s="64">
        <f t="shared" si="58"/>
        <v>12.198555211363608</v>
      </c>
      <c r="ES27" s="80" t="str" cm="1">
        <f t="array" ref="ES27">IF(ISBLANK(INDEX(FX_Input,$KB27+1,ES$85)),INDEX(FX_Input,$KB27,ES$85),INDEX(FX_Input,$KB27,ES$85)&amp;" &amp; "&amp;INDEX(FX_Input,$KB27+1,ES$85))</f>
        <v>Jet kerosene</v>
      </c>
      <c r="ET27" s="63" cm="1">
        <f t="array" ref="ET27">INDEX(FX_Temps,$KC27+7,ET$89)</f>
        <v>0</v>
      </c>
      <c r="EU27" s="63" cm="1">
        <f t="array" ref="EU27">INDEX(FX_Temps,$KC27+13,EU$89)+459.6</f>
        <v>520.5</v>
      </c>
      <c r="EV27" s="63" cm="1">
        <f t="array" ref="EV27">INDEX(FX_Vap,$KG27,EV$91)-INDEX(FX_Vap,$KH27,EV$91)</f>
        <v>0</v>
      </c>
      <c r="EW27" s="73" cm="1">
        <f t="array" ref="EW27">IF(ES27="Out of Service",0,INDEX(FX_Vap,$KI27,EW$91))</f>
        <v>8.4605262729351115E-3</v>
      </c>
      <c r="EX27" s="63">
        <f t="shared" si="59"/>
        <v>0</v>
      </c>
      <c r="EY27" s="63">
        <f t="shared" si="60"/>
        <v>0.9926464039129147</v>
      </c>
      <c r="EZ27" s="63" cm="1">
        <f t="array" ref="EZ27">INDEX(FX_Vap,$KJ27,EZ$91)</f>
        <v>130</v>
      </c>
      <c r="FA27" s="63" cm="1">
        <f t="array" ref="FA27">INDEX(FX_Temps,$KD27,FA$89)+459.6</f>
        <v>520.5</v>
      </c>
      <c r="FB27" s="63">
        <f t="shared" si="61"/>
        <v>1.969154544366044E-4</v>
      </c>
      <c r="FC27" s="63" cm="1">
        <f t="array" ref="FC27">INDEX(Month_Ref,FC$83,3)*EX27*(PI()/4*$F27^2)*$H27*EY27*FB27</f>
        <v>0</v>
      </c>
      <c r="FD27" s="63" cm="1">
        <f t="array" ref="FD27">INDEX(FX_Input,$KB27,FD$85)</f>
        <v>11190</v>
      </c>
      <c r="FE27" s="63">
        <f t="shared" si="62"/>
        <v>62820.659999999996</v>
      </c>
      <c r="FF27" s="63">
        <f t="shared" si="63"/>
        <v>1.0664766471781659</v>
      </c>
      <c r="FG27" s="63">
        <f t="shared" si="64"/>
        <v>1</v>
      </c>
      <c r="FH27" s="63" cm="1">
        <f t="array" ref="FH27">IF(OR(INDEX(FX_Vap,$KK27,FH$90)="Crude Oil",(INDEX(FX_Vap,$KL27,FH$90)="Crude Oil")),0.75,1)</f>
        <v>1</v>
      </c>
      <c r="FI27" s="63">
        <f t="shared" si="115"/>
        <v>1</v>
      </c>
      <c r="FJ27" s="63">
        <f t="shared" si="65"/>
        <v>12.370358811907415</v>
      </c>
      <c r="FK27" s="64">
        <f t="shared" si="66"/>
        <v>12.370358811907415</v>
      </c>
      <c r="FL27" s="80" t="str" cm="1">
        <f t="array" ref="FL27">IF(ISBLANK(INDEX(FX_Input,$KB27+1,FL$85)),INDEX(FX_Input,$KB27,FL$85),INDEX(FX_Input,$KB27,FL$85)&amp;" &amp; "&amp;INDEX(FX_Input,$KB27+1,FL$85))</f>
        <v>Jet kerosene</v>
      </c>
      <c r="FM27" s="63" cm="1">
        <f t="array" ref="FM27">INDEX(FX_Temps,$KC27+7,FM$89)</f>
        <v>0</v>
      </c>
      <c r="FN27" s="63" cm="1">
        <f t="array" ref="FN27">INDEX(FX_Temps,$KC27+13,FN$89)+459.6</f>
        <v>518.20000000000005</v>
      </c>
      <c r="FO27" s="63" cm="1">
        <f t="array" ref="FO27">INDEX(FX_Vap,$KG27,FO$91)-INDEX(FX_Vap,$KH27,FO$91)</f>
        <v>0</v>
      </c>
      <c r="FP27" s="73" cm="1">
        <f t="array" ref="FP27">IF(FL27="Out of Service",0,INDEX(FX_Vap,$KI27,FP$91))</f>
        <v>7.8399882233967533E-3</v>
      </c>
      <c r="FQ27" s="63">
        <f t="shared" si="67"/>
        <v>0</v>
      </c>
      <c r="FR27" s="63">
        <f t="shared" si="68"/>
        <v>0.99318207682190329</v>
      </c>
      <c r="FS27" s="63" cm="1">
        <f t="array" ref="FS27">INDEX(FX_Vap,$KJ27,FS$91)</f>
        <v>130</v>
      </c>
      <c r="FT27" s="63" cm="1">
        <f t="array" ref="FT27">INDEX(FX_Temps,$KD27,FT$89)+459.6</f>
        <v>518.20000000000005</v>
      </c>
      <c r="FU27" s="63">
        <f t="shared" si="69"/>
        <v>1.8328256712249962E-4</v>
      </c>
      <c r="FV27" s="63" cm="1">
        <f t="array" ref="FV27">INDEX(Month_Ref,FV$83,3)*FQ27*(PI()/4*$F27^2)*$H27*FR27*FU27</f>
        <v>0</v>
      </c>
      <c r="FW27" s="63" cm="1">
        <f t="array" ref="FW27">INDEX(FX_Input,$KB27,FW$85)</f>
        <v>11190</v>
      </c>
      <c r="FX27" s="63">
        <f t="shared" si="70"/>
        <v>62820.659999999996</v>
      </c>
      <c r="FY27" s="63">
        <f t="shared" si="71"/>
        <v>1.0664766471781659</v>
      </c>
      <c r="FZ27" s="63">
        <f t="shared" si="72"/>
        <v>1</v>
      </c>
      <c r="GA27" s="63" cm="1">
        <f t="array" ref="GA27">IF(OR(INDEX(FX_Vap,$KK27,GA$90)="Crude Oil",(INDEX(FX_Vap,$KL27,GA$90)="Crude Oil")),0.75,1)</f>
        <v>1</v>
      </c>
      <c r="GB27" s="63">
        <f t="shared" si="116"/>
        <v>1</v>
      </c>
      <c r="GC27" s="63">
        <f t="shared" si="73"/>
        <v>11.513931833129726</v>
      </c>
      <c r="GD27" s="64">
        <f t="shared" si="74"/>
        <v>11.513931833129726</v>
      </c>
      <c r="GE27" s="80" t="str" cm="1">
        <f t="array" ref="GE27">IF(ISBLANK(INDEX(FX_Input,$KB27+1,GE$85)),INDEX(FX_Input,$KB27,GE$85),INDEX(FX_Input,$KB27,GE$85)&amp;" &amp; "&amp;INDEX(FX_Input,$KB27+1,GE$85))</f>
        <v>Jet kerosene</v>
      </c>
      <c r="GF27" s="63" cm="1">
        <f t="array" ref="GF27">INDEX(FX_Temps,$KC27+7,GF$89)</f>
        <v>0</v>
      </c>
      <c r="GG27" s="63" cm="1">
        <f t="array" ref="GG27">INDEX(FX_Temps,$KC27+13,GG$89)+459.6</f>
        <v>512.25</v>
      </c>
      <c r="GH27" s="63" cm="1">
        <f t="array" ref="GH27">INDEX(FX_Vap,$KG27,GH$91)-INDEX(FX_Vap,$KH27,GH$91)</f>
        <v>0</v>
      </c>
      <c r="GI27" s="73" cm="1">
        <f t="array" ref="GI27">IF(GE27="Out of Service",0,INDEX(FX_Vap,$KI27,GI$91))</f>
        <v>6.4173462075160911E-3</v>
      </c>
      <c r="GJ27" s="63">
        <f t="shared" si="75"/>
        <v>0</v>
      </c>
      <c r="GK27" s="63">
        <f t="shared" si="76"/>
        <v>0.99441234227825326</v>
      </c>
      <c r="GL27" s="63" cm="1">
        <f t="array" ref="GL27">INDEX(FX_Vap,$KJ27,GL$91)</f>
        <v>130</v>
      </c>
      <c r="GM27" s="63" cm="1">
        <f t="array" ref="GM27">INDEX(FX_Temps,$KD27,GM$89)+459.6</f>
        <v>512.25</v>
      </c>
      <c r="GN27" s="63">
        <f t="shared" si="77"/>
        <v>1.5176675903637226E-4</v>
      </c>
      <c r="GO27" s="63" cm="1">
        <f t="array" ref="GO27">INDEX(Month_Ref,GO$83,3)*GJ27*(PI()/4*$F27^2)*$H27*GK27*GN27</f>
        <v>0</v>
      </c>
      <c r="GP27" s="63" cm="1">
        <f t="array" ref="GP27">INDEX(FX_Input,$KB27,GP$85)</f>
        <v>11190</v>
      </c>
      <c r="GQ27" s="63">
        <f t="shared" si="78"/>
        <v>62820.659999999996</v>
      </c>
      <c r="GR27" s="63">
        <f t="shared" si="79"/>
        <v>1.0664766471781659</v>
      </c>
      <c r="GS27" s="63">
        <f t="shared" si="80"/>
        <v>1</v>
      </c>
      <c r="GT27" s="63" cm="1">
        <f t="array" ref="GT27">IF(OR(INDEX(FX_Vap,$KK27,GT$90)="Crude Oil",(INDEX(FX_Vap,$KL27,GT$90)="Crude Oil")),0.75,1)</f>
        <v>1</v>
      </c>
      <c r="GU27" s="63">
        <f t="shared" si="117"/>
        <v>1</v>
      </c>
      <c r="GV27" s="63">
        <f t="shared" si="81"/>
        <v>9.5340879687258688</v>
      </c>
      <c r="GW27" s="64">
        <f t="shared" si="82"/>
        <v>9.5340879687258688</v>
      </c>
      <c r="GX27" s="80" t="str" cm="1">
        <f t="array" ref="GX27">IF(ISBLANK(INDEX(FX_Input,$KB27+1,GX$85)),INDEX(FX_Input,$KB27,GX$85),INDEX(FX_Input,$KB27,GX$85)&amp;" &amp; "&amp;INDEX(FX_Input,$KB27+1,GX$85))</f>
        <v>Jet kerosene</v>
      </c>
      <c r="GY27" s="63" cm="1">
        <f t="array" ref="GY27">INDEX(FX_Temps,$KC27+7,GY$89)</f>
        <v>0</v>
      </c>
      <c r="GZ27" s="63" cm="1">
        <f t="array" ref="GZ27">INDEX(FX_Temps,$KC27+13,GZ$89)+459.6</f>
        <v>506.70000000000005</v>
      </c>
      <c r="HA27" s="63" cm="1">
        <f t="array" ref="HA27">INDEX(FX_Vap,$KG27,HA$91)-INDEX(FX_Vap,$KH27,HA$91)</f>
        <v>0</v>
      </c>
      <c r="HB27" s="73" cm="1">
        <f t="array" ref="HB27">IF(GX27="Out of Service",0,INDEX(FX_Vap,$KI27,HB$91))</f>
        <v>5.3015226887581056E-3</v>
      </c>
      <c r="HC27" s="63">
        <f t="shared" si="83"/>
        <v>0</v>
      </c>
      <c r="HD27" s="63">
        <f t="shared" si="84"/>
        <v>0.99537941356962067</v>
      </c>
      <c r="HE27" s="63" cm="1">
        <f t="array" ref="HE27">INDEX(FX_Vap,$KJ27,HE$91)</f>
        <v>130</v>
      </c>
      <c r="HF27" s="63" cm="1">
        <f t="array" ref="HF27">INDEX(FX_Temps,$KD27,HF$89)+459.6</f>
        <v>506.70000000000005</v>
      </c>
      <c r="HG27" s="63">
        <f t="shared" si="85"/>
        <v>1.2675143286623188E-4</v>
      </c>
      <c r="HH27" s="63" cm="1">
        <f t="array" ref="HH27">INDEX(Month_Ref,HH$83,3)*HC27*(PI()/4*$F27^2)*$H27*HD27*HG27</f>
        <v>0</v>
      </c>
      <c r="HI27" s="63" cm="1">
        <f t="array" ref="HI27">INDEX(FX_Input,$KB27,HI$85)</f>
        <v>11190</v>
      </c>
      <c r="HJ27" s="63">
        <f t="shared" si="86"/>
        <v>62820.659999999996</v>
      </c>
      <c r="HK27" s="63">
        <f t="shared" si="87"/>
        <v>1.0664766471781659</v>
      </c>
      <c r="HL27" s="63">
        <f t="shared" si="88"/>
        <v>1</v>
      </c>
      <c r="HM27" s="63" cm="1">
        <f t="array" ref="HM27">IF(OR(INDEX(FX_Vap,$KK27,HM$90)="Crude Oil",(INDEX(FX_Vap,$KL27,HM$90)="Crude Oil")),0.75,1)</f>
        <v>1</v>
      </c>
      <c r="HN27" s="63">
        <f t="shared" si="118"/>
        <v>1</v>
      </c>
      <c r="HO27" s="63">
        <f t="shared" si="89"/>
        <v>7.9626086686023783</v>
      </c>
      <c r="HP27" s="64">
        <f t="shared" si="90"/>
        <v>7.9626086686023783</v>
      </c>
      <c r="HQ27" s="80" t="str" cm="1">
        <f t="array" ref="HQ27">IF(ISBLANK(INDEX(FX_Input,$KB27+1,HQ$85)),INDEX(FX_Input,$KB27,HQ$85),INDEX(FX_Input,$KB27,HQ$85)&amp;" &amp; "&amp;INDEX(FX_Input,$KB27+1,HQ$85))</f>
        <v>Jet kerosene</v>
      </c>
      <c r="HR27" s="63" cm="1">
        <f t="array" ref="HR27">INDEX(FX_Temps,$KC27+7,HR$89)</f>
        <v>0</v>
      </c>
      <c r="HS27" s="63" cm="1">
        <f t="array" ref="HS27">INDEX(FX_Temps,$KC27+13,HS$89)+459.6</f>
        <v>503.20000000000005</v>
      </c>
      <c r="HT27" s="63" cm="1">
        <f t="array" ref="HT27">INDEX(FX_Vap,$KG27,HT$91)-INDEX(FX_Vap,$KH27,HT$91)</f>
        <v>0</v>
      </c>
      <c r="HU27" s="73" cm="1">
        <f t="array" ref="HU27">IF(HQ27="Out of Service",0,INDEX(FX_Vap,$KI27,HU$91))</f>
        <v>4.68970903600947E-3</v>
      </c>
      <c r="HV27" s="63">
        <f t="shared" si="91"/>
        <v>0</v>
      </c>
      <c r="HW27" s="63">
        <f t="shared" si="92"/>
        <v>0.99591046420611196</v>
      </c>
      <c r="HX27" s="63" cm="1">
        <f t="array" ref="HX27">INDEX(FX_Vap,$KJ27,HX$91)</f>
        <v>130</v>
      </c>
      <c r="HY27" s="63" cm="1">
        <f t="array" ref="HY27">INDEX(FX_Temps,$KD27,HY$89)+459.6</f>
        <v>503.20000000000005</v>
      </c>
      <c r="HZ27" s="63">
        <f t="shared" si="93"/>
        <v>1.1290376474196325E-4</v>
      </c>
      <c r="IA27" s="63" cm="1">
        <f t="array" ref="IA27">INDEX(Month_Ref,IA$83,3)*HV27*(PI()/4*$F27^2)*$H27*HW27*HZ27</f>
        <v>0</v>
      </c>
      <c r="IB27" s="63" cm="1">
        <f t="array" ref="IB27">INDEX(FX_Input,$KB27,IB$85)</f>
        <v>11190</v>
      </c>
      <c r="IC27" s="63">
        <f t="shared" si="94"/>
        <v>62820.659999999996</v>
      </c>
      <c r="ID27" s="63">
        <f t="shared" si="95"/>
        <v>1.0664766471781659</v>
      </c>
      <c r="IE27" s="63">
        <f t="shared" si="96"/>
        <v>1</v>
      </c>
      <c r="IF27" s="63" cm="1">
        <f t="array" ref="IF27">IF(OR(INDEX(FX_Vap,$KK27,IF$90)="Crude Oil",(INDEX(FX_Vap,$KL27,IF$90)="Crude Oil")),0.75,1)</f>
        <v>1</v>
      </c>
      <c r="IG27" s="63">
        <f t="shared" si="119"/>
        <v>1</v>
      </c>
      <c r="IH27" s="63">
        <f t="shared" si="97"/>
        <v>7.0926890175748607</v>
      </c>
      <c r="II27" s="64">
        <f t="shared" si="98"/>
        <v>7.0926890175748607</v>
      </c>
      <c r="IJ27" s="80">
        <f t="shared" si="99"/>
        <v>0</v>
      </c>
      <c r="IK27" s="63">
        <f t="shared" si="100"/>
        <v>0</v>
      </c>
      <c r="IL27" s="63">
        <f t="shared" si="101"/>
        <v>111.88089275370729</v>
      </c>
      <c r="IM27" s="63">
        <f t="shared" si="102"/>
        <v>5.5940446376853643E-2</v>
      </c>
      <c r="IN27" s="63">
        <f t="shared" si="103"/>
        <v>111.88089275370729</v>
      </c>
      <c r="IO27" s="64">
        <f t="shared" si="104"/>
        <v>5.5940446376853643E-2</v>
      </c>
      <c r="KB27" s="43">
        <f t="shared" si="120"/>
        <v>33</v>
      </c>
      <c r="KC27" s="43">
        <f t="shared" si="121"/>
        <v>225</v>
      </c>
      <c r="KD27" s="43">
        <f t="shared" si="122"/>
        <v>238</v>
      </c>
      <c r="KE27" s="43">
        <f t="shared" si="123"/>
        <v>225</v>
      </c>
      <c r="KF27" s="43">
        <f t="shared" si="124"/>
        <v>545</v>
      </c>
      <c r="KG27" s="43">
        <f t="shared" si="125"/>
        <v>568</v>
      </c>
      <c r="KH27" s="43">
        <f t="shared" si="126"/>
        <v>563</v>
      </c>
      <c r="KI27" s="43">
        <f t="shared" si="105"/>
        <v>573</v>
      </c>
      <c r="KJ27" s="43">
        <f t="shared" si="105"/>
        <v>578</v>
      </c>
      <c r="KK27" s="43">
        <f t="shared" si="127"/>
        <v>549</v>
      </c>
      <c r="KL27" s="43">
        <f t="shared" si="128"/>
        <v>551</v>
      </c>
    </row>
    <row r="28" spans="2:298" x14ac:dyDescent="0.4">
      <c r="B28" s="43" t="str" cm="1">
        <f t="array" ref="B28">INDEX(FX_Input,$KB28,B$85)</f>
        <v>FX - 18</v>
      </c>
      <c r="C28" s="93" t="str" cm="1">
        <f t="array" ref="C28">INDEX(FX_Input,$KB28,C$85)</f>
        <v>FIXTANK 125</v>
      </c>
      <c r="D28" s="80">
        <f t="shared" si="0"/>
        <v>32438.580394488356</v>
      </c>
      <c r="E28" s="63" cm="1">
        <f t="array" ref="E28">IF(ISBLANK(INDEX(FX_Input,$KB28,$E$85)),0.03,INDEX(FX_Input,$KB28,$E$85))-IF(ISBLANK(INDEX(FX_Input,$KB28,$E$86)),-0.03,INDEX(FX_Input,$KB28,$E$86))</f>
        <v>0.06</v>
      </c>
      <c r="F28" s="63" cm="1">
        <f t="array" ref="F28">IF(INDEX(FX_Input,$KB28,F$85)="Vertical",INDEX(FX_Input,$KB28,F$86),SQRT((INDEX(FX_Input,$KB28,F$86)*INDEX(FX_Input,$KB28,F$87))/(PI()/4)))</f>
        <v>50</v>
      </c>
      <c r="G28" s="63" cm="1">
        <f t="array" ref="G28">IF(INDEX(FX_Input,$KB28,G$85)="Vertical",INDEX(FX_Input,$KB28,G$86),INDEX(FX_Input,$KB28,G$87)*PI()/4)</f>
        <v>32</v>
      </c>
      <c r="H28" s="63" cm="1">
        <f t="array" ref="H28">IF(INDEX(FX_Input,$KB28,H$85)="Vertical",G28-G28/2+J28,G28/2)</f>
        <v>16.520833333333332</v>
      </c>
      <c r="I28" s="63" cm="1">
        <f t="array" ref="I28">IF(INDEX(FX_Input,$KB28,F$85)="Horizontal","N/A",IF(INDEX(FX_Input,$KB28,I$86)="Cone",IF(ISBLANK(INDEX(FX_Input,$KB28,I$87)),0.0625,INDEX(FX_Input,$KB28,I$87))*F28/2,F28/2-SQRT((F28/2)^2-(INDEX(FX_Input,$KB28,I$88)^2))))</f>
        <v>1.5625</v>
      </c>
      <c r="J28" s="63" cm="1">
        <f t="array" ref="J28">IF(INDEX(FX_Input,$KB28,J$85)="Horizontal","N/A",IF(INDEX(FX_Input,$KB28,J$86)="Cone",I28/3,I28*(1/2+(1/6)*(I28/(F28/2))^2)))</f>
        <v>0.52083333333333337</v>
      </c>
      <c r="K28" s="63">
        <f t="shared" si="1"/>
        <v>31</v>
      </c>
      <c r="L28" s="63">
        <v>1</v>
      </c>
      <c r="M28" s="63" t="str" cm="1">
        <f t="array" ref="M28">INDEX(Tbl_71_6,MATCH(INDEX(FX_Input,$KB28,M$85),Paint_Color,0),VLOOKUP(INDEX(FX_Input,$KB28,M$86),Paint_Cond_Column,2,FALSE))</f>
        <v>N/A</v>
      </c>
      <c r="N28" s="63" t="str" cm="1">
        <f t="array" ref="N28">INDEX(Tbl_71_6,MATCH(INDEX(FX_Input,$KB28,N$85),Paint_Color,0),VLOOKUP(INDEX(FX_Input,$KB28,N$86),Paint_Cond_Column,2,FALSE))</f>
        <v>N/A</v>
      </c>
      <c r="O28" s="64" t="str">
        <f t="shared" si="2"/>
        <v>Insulated</v>
      </c>
      <c r="P28" s="80" t="str" cm="1">
        <f t="array" ref="P28">IF(ISBLANK(INDEX(FX_Input,$KB28+1,P$85)),INDEX(FX_Input,$KB28,P$85),INDEX(FX_Input,$KB28,P$85)&amp;" &amp; "&amp;INDEX(FX_Input,$KB28+1,P$85))</f>
        <v>Jet kerosene</v>
      </c>
      <c r="Q28" s="63" cm="1">
        <f t="array" ref="Q28">INDEX(FX_Temps,$KC28+7,Q$89)</f>
        <v>0</v>
      </c>
      <c r="R28" s="63" cm="1">
        <f t="array" ref="R28">INDEX(FX_Temps,$KC28+13,R$89)+459.6</f>
        <v>503.5</v>
      </c>
      <c r="S28" s="63" cm="1">
        <f t="array" ref="S28">INDEX(FX_Vap,$KG28,S$91)-INDEX(FX_Vap,$KH28,S$91)</f>
        <v>0</v>
      </c>
      <c r="T28" s="73" cm="1">
        <f t="array" ref="T28">IF(P28="Out of Service",0,INDEX(FX_Vap,$KI28,T$91))</f>
        <v>4.739577185808354E-3</v>
      </c>
      <c r="U28" s="63">
        <f t="shared" si="3"/>
        <v>0</v>
      </c>
      <c r="V28" s="63">
        <f t="shared" si="4"/>
        <v>0.99586715773653067</v>
      </c>
      <c r="W28" s="63" cm="1">
        <f t="array" ref="W28">INDEX(FX_Vap,$KJ28,W$91)</f>
        <v>130</v>
      </c>
      <c r="X28" s="63" cm="1">
        <f t="array" ref="X28">INDEX(FX_Temps,$KD28,X$89)+459.6</f>
        <v>503.5</v>
      </c>
      <c r="Y28" s="63">
        <f t="shared" si="5"/>
        <v>1.1403634333314844E-4</v>
      </c>
      <c r="Z28" s="63" cm="1">
        <f t="array" ref="Z28">INDEX(Month_Ref,Z$83,3)*U28*(PI()/4*$F28^2)*$H28*V28*Y28</f>
        <v>0</v>
      </c>
      <c r="AA28" s="63" cm="1">
        <f t="array" ref="AA28">INDEX(FX_Input,$KB28,AA$85)</f>
        <v>11190</v>
      </c>
      <c r="AB28" s="63">
        <f t="shared" si="6"/>
        <v>62820.659999999996</v>
      </c>
      <c r="AC28" s="63">
        <f t="shared" si="7"/>
        <v>1.0664766471781659</v>
      </c>
      <c r="AD28" s="63">
        <f t="shared" si="8"/>
        <v>1</v>
      </c>
      <c r="AE28" s="63" cm="1">
        <f t="array" ref="AE28">IF(OR(INDEX(FX_Vap,$KK28,AE$90)="Crude Oil",(INDEX(FX_Vap,$KL28,AE$90)="Crude Oil")),0.75,1)</f>
        <v>1</v>
      </c>
      <c r="AF28" s="63">
        <f t="shared" si="108"/>
        <v>1</v>
      </c>
      <c r="AG28" s="63">
        <f t="shared" si="9"/>
        <v>7.1638383521749844</v>
      </c>
      <c r="AH28" s="64">
        <f t="shared" si="10"/>
        <v>7.1638383521749844</v>
      </c>
      <c r="AI28" s="80" t="str" cm="1">
        <f t="array" ref="AI28">IF(ISBLANK(INDEX(FX_Input,$KB28+1,AI$85)),INDEX(FX_Input,$KB28,AI$85),INDEX(FX_Input,$KB28,AI$85)&amp;" &amp; "&amp;INDEX(FX_Input,$KB28+1,AI$85))</f>
        <v>Jet kerosene</v>
      </c>
      <c r="AJ28" s="63" cm="1">
        <f t="array" ref="AJ28">INDEX(FX_Temps,$KC28+7,AJ$89)</f>
        <v>0</v>
      </c>
      <c r="AK28" s="63" cm="1">
        <f t="array" ref="AK28">INDEX(FX_Temps,$KC28+13,AK$89)+459.6</f>
        <v>504.30000000000007</v>
      </c>
      <c r="AL28" s="63" cm="1">
        <f t="array" ref="AL28">INDEX(FX_Vap,$KG28,AL$91)-INDEX(FX_Vap,$KH28,AL$91)</f>
        <v>0</v>
      </c>
      <c r="AM28" s="73" cm="1">
        <f t="array" ref="AM28">IF(AI28="Out of Service",0,INDEX(FX_Vap,$KI28,AM$91))</f>
        <v>4.8748667780818778E-3</v>
      </c>
      <c r="AN28" s="63">
        <f t="shared" si="11"/>
        <v>0</v>
      </c>
      <c r="AO28" s="63">
        <f t="shared" si="12"/>
        <v>0.99574968859445367</v>
      </c>
      <c r="AP28" s="63" cm="1">
        <f t="array" ref="AP28">INDEX(FX_Vap,$KJ28,AP$91)</f>
        <v>130</v>
      </c>
      <c r="AQ28" s="63" cm="1">
        <f t="array" ref="AQ28">INDEX(FX_Temps,$KD28,AQ$89)+459.6</f>
        <v>504.30000000000007</v>
      </c>
      <c r="AR28" s="63">
        <f t="shared" si="13"/>
        <v>1.1710540514572422E-4</v>
      </c>
      <c r="AS28" s="63" cm="1">
        <f t="array" ref="AS28">INDEX(Month_Ref,AS$83,3)*AN28*(PI()/4*$F28^2)*$H28*AO28*AR28</f>
        <v>0</v>
      </c>
      <c r="AT28" s="63" cm="1">
        <f t="array" ref="AT28">INDEX(FX_Input,$KB28,AT$85)</f>
        <v>11190</v>
      </c>
      <c r="AU28" s="63">
        <f t="shared" si="14"/>
        <v>62820.659999999996</v>
      </c>
      <c r="AV28" s="63">
        <f t="shared" si="15"/>
        <v>1.0664766471781659</v>
      </c>
      <c r="AW28" s="63">
        <f t="shared" si="16"/>
        <v>1</v>
      </c>
      <c r="AX28" s="63" cm="1">
        <f t="array" ref="AX28">IF(OR(INDEX(FX_Vap,$KK28,AX$90)="Crude Oil",(INDEX(FX_Vap,$KL28,AX$90)="Crude Oil")),0.75,1)</f>
        <v>1</v>
      </c>
      <c r="AY28" s="63">
        <f t="shared" si="109"/>
        <v>1</v>
      </c>
      <c r="AZ28" s="63">
        <f t="shared" si="17"/>
        <v>7.3566388408217911</v>
      </c>
      <c r="BA28" s="64">
        <f t="shared" si="18"/>
        <v>7.3566388408217911</v>
      </c>
      <c r="BB28" s="80" t="str" cm="1">
        <f t="array" ref="BB28">IF(ISBLANK(INDEX(FX_Input,$KB28+1,BB$85)),INDEX(FX_Input,$KB28,BB$85),INDEX(FX_Input,$KB28,BB$85)&amp;" &amp; "&amp;INDEX(FX_Input,$KB28+1,BB$85))</f>
        <v>Jet kerosene</v>
      </c>
      <c r="BC28" s="63" cm="1">
        <f t="array" ref="BC28">INDEX(FX_Temps,$KC28+7,BC$89)</f>
        <v>0</v>
      </c>
      <c r="BD28" s="63" cm="1">
        <f t="array" ref="BD28">INDEX(FX_Temps,$KC28+13,BD$89)+459.6</f>
        <v>505.70000000000005</v>
      </c>
      <c r="BE28" s="63" cm="1">
        <f t="array" ref="BE28">INDEX(FX_Vap,$KG28,BE$91)-INDEX(FX_Vap,$KH28,BE$91)</f>
        <v>0</v>
      </c>
      <c r="BF28" s="73" cm="1">
        <f t="array" ref="BF28">IF(BB28="Out of Service",0,INDEX(FX_Vap,$KI28,BF$91))</f>
        <v>5.119885034186122E-3</v>
      </c>
      <c r="BG28" s="63">
        <f t="shared" si="19"/>
        <v>0</v>
      </c>
      <c r="BH28" s="63">
        <f t="shared" si="20"/>
        <v>0.99553701486087187</v>
      </c>
      <c r="BI28" s="63" cm="1">
        <f t="array" ref="BI28">INDEX(FX_Vap,$KJ28,BI$91)</f>
        <v>130</v>
      </c>
      <c r="BJ28" s="63" cm="1">
        <f t="array" ref="BJ28">INDEX(FX_Temps,$KD28,BJ$89)+459.6</f>
        <v>505.70000000000005</v>
      </c>
      <c r="BK28" s="63">
        <f t="shared" si="21"/>
        <v>1.226508078051294E-4</v>
      </c>
      <c r="BL28" s="63" cm="1">
        <f t="array" ref="BL28">INDEX(Month_Ref,BL$83,3)*BG28*(PI()/4*$F28^2)*$H28*BH28*BK28</f>
        <v>0</v>
      </c>
      <c r="BM28" s="63" cm="1">
        <f t="array" ref="BM28">INDEX(FX_Input,$KB28,BM$85)</f>
        <v>11190</v>
      </c>
      <c r="BN28" s="63">
        <f t="shared" si="22"/>
        <v>62820.659999999996</v>
      </c>
      <c r="BO28" s="63">
        <f t="shared" si="23"/>
        <v>1.0664766471781659</v>
      </c>
      <c r="BP28" s="63">
        <f t="shared" si="24"/>
        <v>1</v>
      </c>
      <c r="BQ28" s="63" cm="1">
        <f t="array" ref="BQ28">IF(OR(INDEX(FX_Vap,$KK28,BQ$90)="Crude Oil",(INDEX(FX_Vap,$KL28,BQ$90)="Crude Oil")),0.75,1)</f>
        <v>1</v>
      </c>
      <c r="BR28" s="63">
        <f t="shared" si="110"/>
        <v>1</v>
      </c>
      <c r="BS28" s="63">
        <f t="shared" si="25"/>
        <v>7.7050046958513798</v>
      </c>
      <c r="BT28" s="64">
        <f t="shared" si="26"/>
        <v>7.7050046958513798</v>
      </c>
      <c r="BU28" s="80" t="str" cm="1">
        <f t="array" ref="BU28">IF(ISBLANK(INDEX(FX_Input,$KB28+1,BU$85)),INDEX(FX_Input,$KB28,BU$85),INDEX(FX_Input,$KB28,BU$85)&amp;" &amp; "&amp;INDEX(FX_Input,$KB28+1,BU$85))</f>
        <v>Jet kerosene</v>
      </c>
      <c r="BV28" s="63" cm="1">
        <f t="array" ref="BV28">INDEX(FX_Temps,$KC28+7,BV$89)</f>
        <v>0</v>
      </c>
      <c r="BW28" s="63" cm="1">
        <f t="array" ref="BW28">INDEX(FX_Temps,$KC28+13,BW$89)+459.6</f>
        <v>508.2</v>
      </c>
      <c r="BX28" s="63" cm="1">
        <f t="array" ref="BX28">INDEX(FX_Vap,$KG28,BX$91)-INDEX(FX_Vap,$KH28,BX$91)</f>
        <v>0</v>
      </c>
      <c r="BY28" s="73" cm="1">
        <f t="array" ref="BY28">IF(BU28="Out of Service",0,INDEX(FX_Vap,$KI28,BY$91))</f>
        <v>5.5846958573521795E-3</v>
      </c>
      <c r="BZ28" s="63">
        <f t="shared" si="27"/>
        <v>0</v>
      </c>
      <c r="CA28" s="63">
        <f t="shared" si="28"/>
        <v>0.99513381261115885</v>
      </c>
      <c r="CB28" s="63" cm="1">
        <f t="array" ref="CB28">INDEX(FX_Vap,$KJ28,CB$91)</f>
        <v>130</v>
      </c>
      <c r="CC28" s="63" cm="1">
        <f t="array" ref="CC28">INDEX(FX_Temps,$KD28,CC$89)+459.6</f>
        <v>508.2</v>
      </c>
      <c r="CD28" s="63">
        <f t="shared" si="29"/>
        <v>1.3312757561120781E-4</v>
      </c>
      <c r="CE28" s="63" cm="1">
        <f t="array" ref="CE28">INDEX(Month_Ref,CE$83,3)*BZ28*(PI()/4*$F28^2)*$H28*CA28*CD28</f>
        <v>0</v>
      </c>
      <c r="CF28" s="63" cm="1">
        <f t="array" ref="CF28">INDEX(FX_Input,$KB28,CF$85)</f>
        <v>11190</v>
      </c>
      <c r="CG28" s="63">
        <f t="shared" si="30"/>
        <v>62820.659999999996</v>
      </c>
      <c r="CH28" s="63">
        <f t="shared" si="31"/>
        <v>1.0664766471781659</v>
      </c>
      <c r="CI28" s="63">
        <f t="shared" si="32"/>
        <v>1</v>
      </c>
      <c r="CJ28" s="63" cm="1">
        <f t="array" ref="CJ28">IF(OR(INDEX(FX_Vap,$KK28,CJ$90)="Crude Oil",(INDEX(FX_Vap,$KL28,CJ$90)="Crude Oil")),0.75,1)</f>
        <v>1</v>
      </c>
      <c r="CK28" s="63">
        <f t="shared" si="111"/>
        <v>1</v>
      </c>
      <c r="CL28" s="63">
        <f t="shared" si="33"/>
        <v>8.3631621640959786</v>
      </c>
      <c r="CM28" s="64">
        <f t="shared" si="34"/>
        <v>8.3631621640959786</v>
      </c>
      <c r="CN28" s="80" t="str" cm="1">
        <f t="array" ref="CN28">IF(ISBLANK(INDEX(FX_Input,$KB28+1,CN$85)),INDEX(FX_Input,$KB28,CN$85),INDEX(FX_Input,$KB28,CN$85)&amp;" &amp; "&amp;INDEX(FX_Input,$KB28+1,CN$85))</f>
        <v>Jet kerosene</v>
      </c>
      <c r="CO28" s="63" cm="1">
        <f t="array" ref="CO28">INDEX(FX_Temps,$KC28+7,CO$89)</f>
        <v>0</v>
      </c>
      <c r="CP28" s="63" cm="1">
        <f t="array" ref="CP28">INDEX(FX_Temps,$KC28+13,CP$89)+459.6</f>
        <v>512.75</v>
      </c>
      <c r="CQ28" s="63" cm="1">
        <f t="array" ref="CQ28">INDEX(FX_Vap,$KG28,CQ$91)-INDEX(FX_Vap,$KH28,CQ$91)</f>
        <v>0</v>
      </c>
      <c r="CR28" s="73" cm="1">
        <f t="array" ref="CR28">IF(CN28="Out of Service",0,INDEX(FX_Vap,$KI28,CR$91))</f>
        <v>6.5274070972739821E-3</v>
      </c>
      <c r="CS28" s="63">
        <f t="shared" si="35"/>
        <v>0</v>
      </c>
      <c r="CT28" s="63">
        <f t="shared" si="36"/>
        <v>0.99431705558981132</v>
      </c>
      <c r="CU28" s="63" cm="1">
        <f t="array" ref="CU28">INDEX(FX_Vap,$KJ28,CU$91)</f>
        <v>130</v>
      </c>
      <c r="CV28" s="63" cm="1">
        <f t="array" ref="CV28">INDEX(FX_Temps,$KD28,CV$89)+459.6</f>
        <v>512.75</v>
      </c>
      <c r="CW28" s="63">
        <f t="shared" si="37"/>
        <v>1.5421910831991609E-4</v>
      </c>
      <c r="CX28" s="63" cm="1">
        <f t="array" ref="CX28">INDEX(Month_Ref,CX$83,3)*CS28*(PI()/4*$F28^2)*$H28*CT28*CW28</f>
        <v>0</v>
      </c>
      <c r="CY28" s="63" cm="1">
        <f t="array" ref="CY28">INDEX(FX_Input,$KB28,CY$85)</f>
        <v>11190</v>
      </c>
      <c r="CZ28" s="63">
        <f t="shared" si="38"/>
        <v>62820.659999999996</v>
      </c>
      <c r="DA28" s="63">
        <f t="shared" si="39"/>
        <v>1.0664766471781659</v>
      </c>
      <c r="DB28" s="63">
        <f t="shared" si="40"/>
        <v>1</v>
      </c>
      <c r="DC28" s="63" cm="1">
        <f t="array" ref="DC28">IF(OR(INDEX(FX_Vap,$KK28,DC$90)="Crude Oil",(INDEX(FX_Vap,$KL28,DC$90)="Crude Oil")),0.75,1)</f>
        <v>1</v>
      </c>
      <c r="DD28" s="63">
        <f t="shared" si="112"/>
        <v>1</v>
      </c>
      <c r="DE28" s="63">
        <f t="shared" si="41"/>
        <v>9.6881461692686184</v>
      </c>
      <c r="DF28" s="64">
        <f t="shared" si="42"/>
        <v>9.6881461692686184</v>
      </c>
      <c r="DG28" s="80" t="str" cm="1">
        <f t="array" ref="DG28">IF(ISBLANK(INDEX(FX_Input,$KB28+1,DG$85)),INDEX(FX_Input,$KB28,DG$85),INDEX(FX_Input,$KB28,DG$85)&amp;" &amp; "&amp;INDEX(FX_Input,$KB28+1,DG$85))</f>
        <v>Jet kerosene</v>
      </c>
      <c r="DH28" s="63" cm="1">
        <f t="array" ref="DH28">INDEX(FX_Temps,$KC28+7,DH$89)</f>
        <v>0</v>
      </c>
      <c r="DI28" s="63" cm="1">
        <f t="array" ref="DI28">INDEX(FX_Temps,$KC28+13,DI$89)+459.6</f>
        <v>516.55000000000007</v>
      </c>
      <c r="DJ28" s="63" cm="1">
        <f t="array" ref="DJ28">INDEX(FX_Vap,$KG28,DJ$91)-INDEX(FX_Vap,$KH28,DJ$91)</f>
        <v>0</v>
      </c>
      <c r="DK28" s="73" cm="1">
        <f t="array" ref="DK28">IF(DG28="Out of Service",0,INDEX(FX_Vap,$KI28,DK$91))</f>
        <v>7.4199539958878279E-3</v>
      </c>
      <c r="DL28" s="63">
        <f t="shared" si="43"/>
        <v>0</v>
      </c>
      <c r="DM28" s="63">
        <f t="shared" si="44"/>
        <v>0.99354499516087591</v>
      </c>
      <c r="DN28" s="63" cm="1">
        <f t="array" ref="DN28">INDEX(FX_Vap,$KJ28,DN$91)</f>
        <v>130</v>
      </c>
      <c r="DO28" s="63" cm="1">
        <f t="array" ref="DO28">INDEX(FX_Temps,$KD28,DO$89)+459.6</f>
        <v>516.55000000000007</v>
      </c>
      <c r="DP28" s="63">
        <f t="shared" si="45"/>
        <v>1.7401713099147103E-4</v>
      </c>
      <c r="DQ28" s="63" cm="1">
        <f t="array" ref="DQ28">INDEX(Month_Ref,DQ$83,3)*DL28*(PI()/4*$F28^2)*$H28*DM28*DP28</f>
        <v>0</v>
      </c>
      <c r="DR28" s="63" cm="1">
        <f t="array" ref="DR28">INDEX(FX_Input,$KB28,DR$85)</f>
        <v>11190</v>
      </c>
      <c r="DS28" s="63">
        <f t="shared" si="46"/>
        <v>62820.659999999996</v>
      </c>
      <c r="DT28" s="63">
        <f t="shared" si="47"/>
        <v>1.0664766471781659</v>
      </c>
      <c r="DU28" s="63">
        <f t="shared" si="48"/>
        <v>1</v>
      </c>
      <c r="DV28" s="63" cm="1">
        <f t="array" ref="DV28">IF(OR(INDEX(FX_Vap,$KK28,DV$90)="Crude Oil",(INDEX(FX_Vap,$KL28,DV$90)="Crude Oil")),0.75,1)</f>
        <v>1</v>
      </c>
      <c r="DW28" s="63">
        <f t="shared" si="113"/>
        <v>1</v>
      </c>
      <c r="DX28" s="63">
        <f t="shared" si="49"/>
        <v>10.931871020190664</v>
      </c>
      <c r="DY28" s="64">
        <f t="shared" si="50"/>
        <v>10.931871020190664</v>
      </c>
      <c r="DZ28" s="80" t="str" cm="1">
        <f t="array" ref="DZ28">IF(ISBLANK(INDEX(FX_Input,$KB28+1,DZ$85)),INDEX(FX_Input,$KB28,DZ$85),INDEX(FX_Input,$KB28,DZ$85)&amp;" &amp; "&amp;INDEX(FX_Input,$KB28+1,DZ$85))</f>
        <v>Jet kerosene</v>
      </c>
      <c r="EA28" s="63" cm="1">
        <f t="array" ref="EA28">INDEX(FX_Temps,$KC28+7,EA$89)</f>
        <v>0</v>
      </c>
      <c r="EB28" s="63" cm="1">
        <f t="array" ref="EB28">INDEX(FX_Temps,$KC28+13,EB$89)+459.6</f>
        <v>520.04999999999995</v>
      </c>
      <c r="EC28" s="63" cm="1">
        <f t="array" ref="EC28">INDEX(FX_Vap,$KG28,EC$91)-INDEX(FX_Vap,$KH28,EC$91)</f>
        <v>0</v>
      </c>
      <c r="ED28" s="73" cm="1">
        <f t="array" ref="ED28">IF(DZ28="Out of Service",0,INDEX(FX_Vap,$KI28,ED$91))</f>
        <v>8.3358107202842254E-3</v>
      </c>
      <c r="EE28" s="63">
        <f t="shared" si="51"/>
        <v>0</v>
      </c>
      <c r="EF28" s="63">
        <f t="shared" si="52"/>
        <v>0.99275401689383047</v>
      </c>
      <c r="EG28" s="63" cm="1">
        <f t="array" ref="EG28">INDEX(FX_Vap,$KJ28,EG$91)</f>
        <v>130</v>
      </c>
      <c r="EH28" s="63" cm="1">
        <f t="array" ref="EH28">INDEX(FX_Temps,$KD28,EH$89)+459.6</f>
        <v>520.04999999999995</v>
      </c>
      <c r="EI28" s="63">
        <f t="shared" si="53"/>
        <v>1.9418062801892895E-4</v>
      </c>
      <c r="EJ28" s="63" cm="1">
        <f t="array" ref="EJ28">INDEX(Month_Ref,EJ$83,3)*EE28*(PI()/4*$F28^2)*$H28*EF28*EI28</f>
        <v>0</v>
      </c>
      <c r="EK28" s="63" cm="1">
        <f t="array" ref="EK28">INDEX(FX_Input,$KB28,EK$85)</f>
        <v>11190</v>
      </c>
      <c r="EL28" s="63">
        <f t="shared" si="54"/>
        <v>62820.659999999996</v>
      </c>
      <c r="EM28" s="63">
        <f t="shared" si="55"/>
        <v>1.0664766471781659</v>
      </c>
      <c r="EN28" s="63">
        <f t="shared" si="56"/>
        <v>1</v>
      </c>
      <c r="EO28" s="63" cm="1">
        <f t="array" ref="EO28">IF(OR(INDEX(FX_Vap,$KK28,EO$90)="Crude Oil",(INDEX(FX_Vap,$KL28,EO$90)="Crude Oil")),0.75,1)</f>
        <v>1</v>
      </c>
      <c r="EP28" s="63">
        <f t="shared" si="114"/>
        <v>1</v>
      </c>
      <c r="EQ28" s="63">
        <f t="shared" si="57"/>
        <v>12.198555211363608</v>
      </c>
      <c r="ER28" s="64">
        <f t="shared" si="58"/>
        <v>12.198555211363608</v>
      </c>
      <c r="ES28" s="80" t="str" cm="1">
        <f t="array" ref="ES28">IF(ISBLANK(INDEX(FX_Input,$KB28+1,ES$85)),INDEX(FX_Input,$KB28,ES$85),INDEX(FX_Input,$KB28,ES$85)&amp;" &amp; "&amp;INDEX(FX_Input,$KB28+1,ES$85))</f>
        <v>Jet kerosene</v>
      </c>
      <c r="ET28" s="63" cm="1">
        <f t="array" ref="ET28">INDEX(FX_Temps,$KC28+7,ET$89)</f>
        <v>0</v>
      </c>
      <c r="EU28" s="63" cm="1">
        <f t="array" ref="EU28">INDEX(FX_Temps,$KC28+13,EU$89)+459.6</f>
        <v>520.5</v>
      </c>
      <c r="EV28" s="63" cm="1">
        <f t="array" ref="EV28">INDEX(FX_Vap,$KG28,EV$91)-INDEX(FX_Vap,$KH28,EV$91)</f>
        <v>0</v>
      </c>
      <c r="EW28" s="73" cm="1">
        <f t="array" ref="EW28">IF(ES28="Out of Service",0,INDEX(FX_Vap,$KI28,EW$91))</f>
        <v>8.4605262729351115E-3</v>
      </c>
      <c r="EX28" s="63">
        <f t="shared" si="59"/>
        <v>0</v>
      </c>
      <c r="EY28" s="63">
        <f t="shared" si="60"/>
        <v>0.9926464039129147</v>
      </c>
      <c r="EZ28" s="63" cm="1">
        <f t="array" ref="EZ28">INDEX(FX_Vap,$KJ28,EZ$91)</f>
        <v>130</v>
      </c>
      <c r="FA28" s="63" cm="1">
        <f t="array" ref="FA28">INDEX(FX_Temps,$KD28,FA$89)+459.6</f>
        <v>520.5</v>
      </c>
      <c r="FB28" s="63">
        <f t="shared" si="61"/>
        <v>1.969154544366044E-4</v>
      </c>
      <c r="FC28" s="63" cm="1">
        <f t="array" ref="FC28">INDEX(Month_Ref,FC$83,3)*EX28*(PI()/4*$F28^2)*$H28*EY28*FB28</f>
        <v>0</v>
      </c>
      <c r="FD28" s="63" cm="1">
        <f t="array" ref="FD28">INDEX(FX_Input,$KB28,FD$85)</f>
        <v>11190</v>
      </c>
      <c r="FE28" s="63">
        <f t="shared" si="62"/>
        <v>62820.659999999996</v>
      </c>
      <c r="FF28" s="63">
        <f t="shared" si="63"/>
        <v>1.0664766471781659</v>
      </c>
      <c r="FG28" s="63">
        <f t="shared" si="64"/>
        <v>1</v>
      </c>
      <c r="FH28" s="63" cm="1">
        <f t="array" ref="FH28">IF(OR(INDEX(FX_Vap,$KK28,FH$90)="Crude Oil",(INDEX(FX_Vap,$KL28,FH$90)="Crude Oil")),0.75,1)</f>
        <v>1</v>
      </c>
      <c r="FI28" s="63">
        <f t="shared" si="115"/>
        <v>1</v>
      </c>
      <c r="FJ28" s="63">
        <f t="shared" si="65"/>
        <v>12.370358811907415</v>
      </c>
      <c r="FK28" s="64">
        <f t="shared" si="66"/>
        <v>12.370358811907415</v>
      </c>
      <c r="FL28" s="80" t="str" cm="1">
        <f t="array" ref="FL28">IF(ISBLANK(INDEX(FX_Input,$KB28+1,FL$85)),INDEX(FX_Input,$KB28,FL$85),INDEX(FX_Input,$KB28,FL$85)&amp;" &amp; "&amp;INDEX(FX_Input,$KB28+1,FL$85))</f>
        <v>Jet kerosene</v>
      </c>
      <c r="FM28" s="63" cm="1">
        <f t="array" ref="FM28">INDEX(FX_Temps,$KC28+7,FM$89)</f>
        <v>0</v>
      </c>
      <c r="FN28" s="63" cm="1">
        <f t="array" ref="FN28">INDEX(FX_Temps,$KC28+13,FN$89)+459.6</f>
        <v>518.20000000000005</v>
      </c>
      <c r="FO28" s="63" cm="1">
        <f t="array" ref="FO28">INDEX(FX_Vap,$KG28,FO$91)-INDEX(FX_Vap,$KH28,FO$91)</f>
        <v>0</v>
      </c>
      <c r="FP28" s="73" cm="1">
        <f t="array" ref="FP28">IF(FL28="Out of Service",0,INDEX(FX_Vap,$KI28,FP$91))</f>
        <v>7.8399882233967533E-3</v>
      </c>
      <c r="FQ28" s="63">
        <f t="shared" si="67"/>
        <v>0</v>
      </c>
      <c r="FR28" s="63">
        <f t="shared" si="68"/>
        <v>0.99318207682190329</v>
      </c>
      <c r="FS28" s="63" cm="1">
        <f t="array" ref="FS28">INDEX(FX_Vap,$KJ28,FS$91)</f>
        <v>130</v>
      </c>
      <c r="FT28" s="63" cm="1">
        <f t="array" ref="FT28">INDEX(FX_Temps,$KD28,FT$89)+459.6</f>
        <v>518.20000000000005</v>
      </c>
      <c r="FU28" s="63">
        <f t="shared" si="69"/>
        <v>1.8328256712249962E-4</v>
      </c>
      <c r="FV28" s="63" cm="1">
        <f t="array" ref="FV28">INDEX(Month_Ref,FV$83,3)*FQ28*(PI()/4*$F28^2)*$H28*FR28*FU28</f>
        <v>0</v>
      </c>
      <c r="FW28" s="63" cm="1">
        <f t="array" ref="FW28">INDEX(FX_Input,$KB28,FW$85)</f>
        <v>11190</v>
      </c>
      <c r="FX28" s="63">
        <f t="shared" si="70"/>
        <v>62820.659999999996</v>
      </c>
      <c r="FY28" s="63">
        <f t="shared" si="71"/>
        <v>1.0664766471781659</v>
      </c>
      <c r="FZ28" s="63">
        <f t="shared" si="72"/>
        <v>1</v>
      </c>
      <c r="GA28" s="63" cm="1">
        <f t="array" ref="GA28">IF(OR(INDEX(FX_Vap,$KK28,GA$90)="Crude Oil",(INDEX(FX_Vap,$KL28,GA$90)="Crude Oil")),0.75,1)</f>
        <v>1</v>
      </c>
      <c r="GB28" s="63">
        <f t="shared" si="116"/>
        <v>1</v>
      </c>
      <c r="GC28" s="63">
        <f t="shared" si="73"/>
        <v>11.513931833129726</v>
      </c>
      <c r="GD28" s="64">
        <f t="shared" si="74"/>
        <v>11.513931833129726</v>
      </c>
      <c r="GE28" s="80" t="str" cm="1">
        <f t="array" ref="GE28">IF(ISBLANK(INDEX(FX_Input,$KB28+1,GE$85)),INDEX(FX_Input,$KB28,GE$85),INDEX(FX_Input,$KB28,GE$85)&amp;" &amp; "&amp;INDEX(FX_Input,$KB28+1,GE$85))</f>
        <v>Jet kerosene</v>
      </c>
      <c r="GF28" s="63" cm="1">
        <f t="array" ref="GF28">INDEX(FX_Temps,$KC28+7,GF$89)</f>
        <v>0</v>
      </c>
      <c r="GG28" s="63" cm="1">
        <f t="array" ref="GG28">INDEX(FX_Temps,$KC28+13,GG$89)+459.6</f>
        <v>512.25</v>
      </c>
      <c r="GH28" s="63" cm="1">
        <f t="array" ref="GH28">INDEX(FX_Vap,$KG28,GH$91)-INDEX(FX_Vap,$KH28,GH$91)</f>
        <v>0</v>
      </c>
      <c r="GI28" s="73" cm="1">
        <f t="array" ref="GI28">IF(GE28="Out of Service",0,INDEX(FX_Vap,$KI28,GI$91))</f>
        <v>6.4173462075160911E-3</v>
      </c>
      <c r="GJ28" s="63">
        <f t="shared" si="75"/>
        <v>0</v>
      </c>
      <c r="GK28" s="63">
        <f t="shared" si="76"/>
        <v>0.99441234227825326</v>
      </c>
      <c r="GL28" s="63" cm="1">
        <f t="array" ref="GL28">INDEX(FX_Vap,$KJ28,GL$91)</f>
        <v>130</v>
      </c>
      <c r="GM28" s="63" cm="1">
        <f t="array" ref="GM28">INDEX(FX_Temps,$KD28,GM$89)+459.6</f>
        <v>512.25</v>
      </c>
      <c r="GN28" s="63">
        <f t="shared" si="77"/>
        <v>1.5176675903637226E-4</v>
      </c>
      <c r="GO28" s="63" cm="1">
        <f t="array" ref="GO28">INDEX(Month_Ref,GO$83,3)*GJ28*(PI()/4*$F28^2)*$H28*GK28*GN28</f>
        <v>0</v>
      </c>
      <c r="GP28" s="63" cm="1">
        <f t="array" ref="GP28">INDEX(FX_Input,$KB28,GP$85)</f>
        <v>11190</v>
      </c>
      <c r="GQ28" s="63">
        <f t="shared" si="78"/>
        <v>62820.659999999996</v>
      </c>
      <c r="GR28" s="63">
        <f t="shared" si="79"/>
        <v>1.0664766471781659</v>
      </c>
      <c r="GS28" s="63">
        <f t="shared" si="80"/>
        <v>1</v>
      </c>
      <c r="GT28" s="63" cm="1">
        <f t="array" ref="GT28">IF(OR(INDEX(FX_Vap,$KK28,GT$90)="Crude Oil",(INDEX(FX_Vap,$KL28,GT$90)="Crude Oil")),0.75,1)</f>
        <v>1</v>
      </c>
      <c r="GU28" s="63">
        <f t="shared" si="117"/>
        <v>1</v>
      </c>
      <c r="GV28" s="63">
        <f t="shared" si="81"/>
        <v>9.5340879687258688</v>
      </c>
      <c r="GW28" s="64">
        <f t="shared" si="82"/>
        <v>9.5340879687258688</v>
      </c>
      <c r="GX28" s="80" t="str" cm="1">
        <f t="array" ref="GX28">IF(ISBLANK(INDEX(FX_Input,$KB28+1,GX$85)),INDEX(FX_Input,$KB28,GX$85),INDEX(FX_Input,$KB28,GX$85)&amp;" &amp; "&amp;INDEX(FX_Input,$KB28+1,GX$85))</f>
        <v>Jet kerosene</v>
      </c>
      <c r="GY28" s="63" cm="1">
        <f t="array" ref="GY28">INDEX(FX_Temps,$KC28+7,GY$89)</f>
        <v>0</v>
      </c>
      <c r="GZ28" s="63" cm="1">
        <f t="array" ref="GZ28">INDEX(FX_Temps,$KC28+13,GZ$89)+459.6</f>
        <v>506.70000000000005</v>
      </c>
      <c r="HA28" s="63" cm="1">
        <f t="array" ref="HA28">INDEX(FX_Vap,$KG28,HA$91)-INDEX(FX_Vap,$KH28,HA$91)</f>
        <v>0</v>
      </c>
      <c r="HB28" s="73" cm="1">
        <f t="array" ref="HB28">IF(GX28="Out of Service",0,INDEX(FX_Vap,$KI28,HB$91))</f>
        <v>5.3015226887581056E-3</v>
      </c>
      <c r="HC28" s="63">
        <f t="shared" si="83"/>
        <v>0</v>
      </c>
      <c r="HD28" s="63">
        <f t="shared" si="84"/>
        <v>0.99537941356962067</v>
      </c>
      <c r="HE28" s="63" cm="1">
        <f t="array" ref="HE28">INDEX(FX_Vap,$KJ28,HE$91)</f>
        <v>130</v>
      </c>
      <c r="HF28" s="63" cm="1">
        <f t="array" ref="HF28">INDEX(FX_Temps,$KD28,HF$89)+459.6</f>
        <v>506.70000000000005</v>
      </c>
      <c r="HG28" s="63">
        <f t="shared" si="85"/>
        <v>1.2675143286623188E-4</v>
      </c>
      <c r="HH28" s="63" cm="1">
        <f t="array" ref="HH28">INDEX(Month_Ref,HH$83,3)*HC28*(PI()/4*$F28^2)*$H28*HD28*HG28</f>
        <v>0</v>
      </c>
      <c r="HI28" s="63" cm="1">
        <f t="array" ref="HI28">INDEX(FX_Input,$KB28,HI$85)</f>
        <v>11190</v>
      </c>
      <c r="HJ28" s="63">
        <f t="shared" si="86"/>
        <v>62820.659999999996</v>
      </c>
      <c r="HK28" s="63">
        <f t="shared" si="87"/>
        <v>1.0664766471781659</v>
      </c>
      <c r="HL28" s="63">
        <f t="shared" si="88"/>
        <v>1</v>
      </c>
      <c r="HM28" s="63" cm="1">
        <f t="array" ref="HM28">IF(OR(INDEX(FX_Vap,$KK28,HM$90)="Crude Oil",(INDEX(FX_Vap,$KL28,HM$90)="Crude Oil")),0.75,1)</f>
        <v>1</v>
      </c>
      <c r="HN28" s="63">
        <f t="shared" si="118"/>
        <v>1</v>
      </c>
      <c r="HO28" s="63">
        <f t="shared" si="89"/>
        <v>7.9626086686023783</v>
      </c>
      <c r="HP28" s="64">
        <f t="shared" si="90"/>
        <v>7.9626086686023783</v>
      </c>
      <c r="HQ28" s="80" t="str" cm="1">
        <f t="array" ref="HQ28">IF(ISBLANK(INDEX(FX_Input,$KB28+1,HQ$85)),INDEX(FX_Input,$KB28,HQ$85),INDEX(FX_Input,$KB28,HQ$85)&amp;" &amp; "&amp;INDEX(FX_Input,$KB28+1,HQ$85))</f>
        <v>Jet kerosene</v>
      </c>
      <c r="HR28" s="63" cm="1">
        <f t="array" ref="HR28">INDEX(FX_Temps,$KC28+7,HR$89)</f>
        <v>0</v>
      </c>
      <c r="HS28" s="63" cm="1">
        <f t="array" ref="HS28">INDEX(FX_Temps,$KC28+13,HS$89)+459.6</f>
        <v>503.20000000000005</v>
      </c>
      <c r="HT28" s="63" cm="1">
        <f t="array" ref="HT28">INDEX(FX_Vap,$KG28,HT$91)-INDEX(FX_Vap,$KH28,HT$91)</f>
        <v>0</v>
      </c>
      <c r="HU28" s="73" cm="1">
        <f t="array" ref="HU28">IF(HQ28="Out of Service",0,INDEX(FX_Vap,$KI28,HU$91))</f>
        <v>4.68970903600947E-3</v>
      </c>
      <c r="HV28" s="63">
        <f t="shared" si="91"/>
        <v>0</v>
      </c>
      <c r="HW28" s="63">
        <f t="shared" si="92"/>
        <v>0.99591046420611196</v>
      </c>
      <c r="HX28" s="63" cm="1">
        <f t="array" ref="HX28">INDEX(FX_Vap,$KJ28,HX$91)</f>
        <v>130</v>
      </c>
      <c r="HY28" s="63" cm="1">
        <f t="array" ref="HY28">INDEX(FX_Temps,$KD28,HY$89)+459.6</f>
        <v>503.20000000000005</v>
      </c>
      <c r="HZ28" s="63">
        <f t="shared" si="93"/>
        <v>1.1290376474196325E-4</v>
      </c>
      <c r="IA28" s="63" cm="1">
        <f t="array" ref="IA28">INDEX(Month_Ref,IA$83,3)*HV28*(PI()/4*$F28^2)*$H28*HW28*HZ28</f>
        <v>0</v>
      </c>
      <c r="IB28" s="63" cm="1">
        <f t="array" ref="IB28">INDEX(FX_Input,$KB28,IB$85)</f>
        <v>11190</v>
      </c>
      <c r="IC28" s="63">
        <f t="shared" si="94"/>
        <v>62820.659999999996</v>
      </c>
      <c r="ID28" s="63">
        <f t="shared" si="95"/>
        <v>1.0664766471781659</v>
      </c>
      <c r="IE28" s="63">
        <f t="shared" si="96"/>
        <v>1</v>
      </c>
      <c r="IF28" s="63" cm="1">
        <f t="array" ref="IF28">IF(OR(INDEX(FX_Vap,$KK28,IF$90)="Crude Oil",(INDEX(FX_Vap,$KL28,IF$90)="Crude Oil")),0.75,1)</f>
        <v>1</v>
      </c>
      <c r="IG28" s="63">
        <f t="shared" si="119"/>
        <v>1</v>
      </c>
      <c r="IH28" s="63">
        <f t="shared" si="97"/>
        <v>7.0926890175748607</v>
      </c>
      <c r="II28" s="64">
        <f t="shared" si="98"/>
        <v>7.0926890175748607</v>
      </c>
      <c r="IJ28" s="80">
        <f t="shared" si="99"/>
        <v>0</v>
      </c>
      <c r="IK28" s="63">
        <f t="shared" si="100"/>
        <v>0</v>
      </c>
      <c r="IL28" s="63">
        <f t="shared" si="101"/>
        <v>111.88089275370729</v>
      </c>
      <c r="IM28" s="63">
        <f t="shared" si="102"/>
        <v>5.5940446376853643E-2</v>
      </c>
      <c r="IN28" s="63">
        <f t="shared" si="103"/>
        <v>111.88089275370729</v>
      </c>
      <c r="IO28" s="64">
        <f t="shared" si="104"/>
        <v>5.5940446376853643E-2</v>
      </c>
      <c r="KB28" s="43">
        <f t="shared" si="120"/>
        <v>35</v>
      </c>
      <c r="KC28" s="43">
        <f t="shared" si="121"/>
        <v>239</v>
      </c>
      <c r="KD28" s="43">
        <f t="shared" si="122"/>
        <v>252</v>
      </c>
      <c r="KE28" s="43">
        <f t="shared" si="123"/>
        <v>239</v>
      </c>
      <c r="KF28" s="43">
        <f t="shared" si="124"/>
        <v>579</v>
      </c>
      <c r="KG28" s="43">
        <f t="shared" si="125"/>
        <v>602</v>
      </c>
      <c r="KH28" s="43">
        <f t="shared" si="126"/>
        <v>597</v>
      </c>
      <c r="KI28" s="43">
        <f t="shared" si="126"/>
        <v>607</v>
      </c>
      <c r="KJ28" s="43">
        <f t="shared" si="126"/>
        <v>612</v>
      </c>
      <c r="KK28" s="43">
        <f t="shared" si="127"/>
        <v>583</v>
      </c>
      <c r="KL28" s="43">
        <f t="shared" si="128"/>
        <v>585</v>
      </c>
    </row>
    <row r="29" spans="2:298" x14ac:dyDescent="0.4">
      <c r="B29" s="43" t="str" cm="1">
        <f t="array" ref="B29">INDEX(FX_Input,$KB29,B$85)</f>
        <v>FX - 19</v>
      </c>
      <c r="C29" s="93" t="str" cm="1">
        <f t="array" ref="C29">INDEX(FX_Input,$KB29,C$85)</f>
        <v>FIXTANK 126</v>
      </c>
      <c r="D29" s="80">
        <f t="shared" si="0"/>
        <v>12590.914306965342</v>
      </c>
      <c r="E29" s="63" cm="1">
        <f t="array" ref="E29">IF(ISBLANK(INDEX(FX_Input,$KB29,$E$85)),0.03,INDEX(FX_Input,$KB29,$E$85))-IF(ISBLANK(INDEX(FX_Input,$KB29,$E$86)),-0.03,INDEX(FX_Input,$KB29,$E$86))</f>
        <v>0.06</v>
      </c>
      <c r="F29" s="63" cm="1">
        <f t="array" ref="F29">IF(INDEX(FX_Input,$KB29,F$85)="Vertical",INDEX(FX_Input,$KB29,F$86),SQRT((INDEX(FX_Input,$KB29,F$86)*INDEX(FX_Input,$KB29,F$87))/(PI()/4)))</f>
        <v>30</v>
      </c>
      <c r="G29" s="63" cm="1">
        <f t="array" ref="G29">IF(INDEX(FX_Input,$KB29,G$85)="Vertical",INDEX(FX_Input,$KB29,G$86),INDEX(FX_Input,$KB29,G$87)*PI()/4)</f>
        <v>35</v>
      </c>
      <c r="H29" s="63" cm="1">
        <f t="array" ref="H29">IF(INDEX(FX_Input,$KB29,H$85)="Vertical",G29-G29/2+J29,G29/2)</f>
        <v>17.8125</v>
      </c>
      <c r="I29" s="63" cm="1">
        <f t="array" ref="I29">IF(INDEX(FX_Input,$KB29,F$85)="Horizontal","N/A",IF(INDEX(FX_Input,$KB29,I$86)="Cone",IF(ISBLANK(INDEX(FX_Input,$KB29,I$87)),0.0625,INDEX(FX_Input,$KB29,I$87))*F29/2,F29/2-SQRT((F29/2)^2-(INDEX(FX_Input,$KB29,I$88)^2))))</f>
        <v>0.9375</v>
      </c>
      <c r="J29" s="63" cm="1">
        <f t="array" ref="J29">IF(INDEX(FX_Input,$KB29,J$85)="Horizontal","N/A",IF(INDEX(FX_Input,$KB29,J$86)="Cone",I29/3,I29*(1/2+(1/6)*(I29/(F29/2))^2)))</f>
        <v>0.3125</v>
      </c>
      <c r="K29" s="63">
        <f t="shared" si="1"/>
        <v>34</v>
      </c>
      <c r="L29" s="63">
        <v>1</v>
      </c>
      <c r="M29" s="63" t="str" cm="1">
        <f t="array" ref="M29">INDEX(Tbl_71_6,MATCH(INDEX(FX_Input,$KB29,M$85),Paint_Color,0),VLOOKUP(INDEX(FX_Input,$KB29,M$86),Paint_Cond_Column,2,FALSE))</f>
        <v>N/A</v>
      </c>
      <c r="N29" s="63" t="str" cm="1">
        <f t="array" ref="N29">INDEX(Tbl_71_6,MATCH(INDEX(FX_Input,$KB29,N$85),Paint_Color,0),VLOOKUP(INDEX(FX_Input,$KB29,N$86),Paint_Cond_Column,2,FALSE))</f>
        <v>N/A</v>
      </c>
      <c r="O29" s="64" t="str">
        <f t="shared" si="2"/>
        <v>Insulated</v>
      </c>
      <c r="P29" s="80" t="str" cm="1">
        <f t="array" ref="P29">IF(ISBLANK(INDEX(FX_Input,$KB29+1,P$85)),INDEX(FX_Input,$KB29,P$85),INDEX(FX_Input,$KB29,P$85)&amp;" &amp; "&amp;INDEX(FX_Input,$KB29+1,P$85))</f>
        <v>Jet kerosene</v>
      </c>
      <c r="Q29" s="63" cm="1">
        <f t="array" ref="Q29">INDEX(FX_Temps,$KC29+7,Q$89)</f>
        <v>0</v>
      </c>
      <c r="R29" s="63" cm="1">
        <f t="array" ref="R29">INDEX(FX_Temps,$KC29+13,R$89)+459.6</f>
        <v>503.5</v>
      </c>
      <c r="S29" s="63" cm="1">
        <f t="array" ref="S29">INDEX(FX_Vap,$KG29,S$91)-INDEX(FX_Vap,$KH29,S$91)</f>
        <v>0</v>
      </c>
      <c r="T29" s="73" cm="1">
        <f t="array" ref="T29">IF(P29="Out of Service",0,INDEX(FX_Vap,$KI29,T$91))</f>
        <v>4.739577185808354E-3</v>
      </c>
      <c r="U29" s="63">
        <f t="shared" si="3"/>
        <v>0</v>
      </c>
      <c r="V29" s="63">
        <f t="shared" si="4"/>
        <v>0.99554547449623221</v>
      </c>
      <c r="W29" s="63" cm="1">
        <f t="array" ref="W29">INDEX(FX_Vap,$KJ29,W$91)</f>
        <v>130</v>
      </c>
      <c r="X29" s="63" cm="1">
        <f t="array" ref="X29">INDEX(FX_Temps,$KD29,X$89)+459.6</f>
        <v>503.5</v>
      </c>
      <c r="Y29" s="63">
        <f t="shared" si="5"/>
        <v>1.1403634333314844E-4</v>
      </c>
      <c r="Z29" s="63" cm="1">
        <f t="array" ref="Z29">INDEX(Month_Ref,Z$83,3)*U29*(PI()/4*$F29^2)*$H29*V29*Y29</f>
        <v>0</v>
      </c>
      <c r="AA29" s="63" cm="1">
        <f t="array" ref="AA29">INDEX(FX_Input,$KB29,AA$85)</f>
        <v>4500</v>
      </c>
      <c r="AB29" s="63">
        <f t="shared" si="6"/>
        <v>25263</v>
      </c>
      <c r="AC29" s="63">
        <f t="shared" si="7"/>
        <v>1.0830252733550307</v>
      </c>
      <c r="AD29" s="63">
        <f t="shared" si="8"/>
        <v>1</v>
      </c>
      <c r="AE29" s="63" cm="1">
        <f t="array" ref="AE29">IF(OR(INDEX(FX_Vap,$KK29,AE$90)="Crude Oil",(INDEX(FX_Vap,$KL29,AE$90)="Crude Oil")),0.75,1)</f>
        <v>1</v>
      </c>
      <c r="AF29" s="63">
        <f t="shared" si="108"/>
        <v>1</v>
      </c>
      <c r="AG29" s="63">
        <f t="shared" si="9"/>
        <v>2.8809001416253293</v>
      </c>
      <c r="AH29" s="64">
        <f t="shared" si="10"/>
        <v>2.8809001416253293</v>
      </c>
      <c r="AI29" s="80" t="str" cm="1">
        <f t="array" ref="AI29">IF(ISBLANK(INDEX(FX_Input,$KB29+1,AI$85)),INDEX(FX_Input,$KB29,AI$85),INDEX(FX_Input,$KB29,AI$85)&amp;" &amp; "&amp;INDEX(FX_Input,$KB29+1,AI$85))</f>
        <v>Jet kerosene</v>
      </c>
      <c r="AJ29" s="63" cm="1">
        <f t="array" ref="AJ29">INDEX(FX_Temps,$KC29+7,AJ$89)</f>
        <v>0</v>
      </c>
      <c r="AK29" s="63" cm="1">
        <f t="array" ref="AK29">INDEX(FX_Temps,$KC29+13,AK$89)+459.6</f>
        <v>504.30000000000007</v>
      </c>
      <c r="AL29" s="63" cm="1">
        <f t="array" ref="AL29">INDEX(FX_Vap,$KG29,AL$91)-INDEX(FX_Vap,$KH29,AL$91)</f>
        <v>0</v>
      </c>
      <c r="AM29" s="73" cm="1">
        <f t="array" ref="AM29">IF(AI29="Out of Service",0,INDEX(FX_Vap,$KI29,AM$91))</f>
        <v>4.8748667780818778E-3</v>
      </c>
      <c r="AN29" s="63">
        <f t="shared" si="11"/>
        <v>0</v>
      </c>
      <c r="AO29" s="63">
        <f t="shared" si="12"/>
        <v>0.99541890410526379</v>
      </c>
      <c r="AP29" s="63" cm="1">
        <f t="array" ref="AP29">INDEX(FX_Vap,$KJ29,AP$91)</f>
        <v>130</v>
      </c>
      <c r="AQ29" s="63" cm="1">
        <f t="array" ref="AQ29">INDEX(FX_Temps,$KD29,AQ$89)+459.6</f>
        <v>504.30000000000007</v>
      </c>
      <c r="AR29" s="63">
        <f t="shared" si="13"/>
        <v>1.1710540514572422E-4</v>
      </c>
      <c r="AS29" s="63" cm="1">
        <f t="array" ref="AS29">INDEX(Month_Ref,AS$83,3)*AN29*(PI()/4*$F29^2)*$H29*AO29*AR29</f>
        <v>0</v>
      </c>
      <c r="AT29" s="63" cm="1">
        <f t="array" ref="AT29">INDEX(FX_Input,$KB29,AT$85)</f>
        <v>4500</v>
      </c>
      <c r="AU29" s="63">
        <f t="shared" si="14"/>
        <v>25263</v>
      </c>
      <c r="AV29" s="63">
        <f t="shared" si="15"/>
        <v>1.0830252733550307</v>
      </c>
      <c r="AW29" s="63">
        <f t="shared" si="16"/>
        <v>1</v>
      </c>
      <c r="AX29" s="63" cm="1">
        <f t="array" ref="AX29">IF(OR(INDEX(FX_Vap,$KK29,AX$90)="Crude Oil",(INDEX(FX_Vap,$KL29,AX$90)="Crude Oil")),0.75,1)</f>
        <v>1</v>
      </c>
      <c r="AY29" s="63">
        <f t="shared" si="109"/>
        <v>1</v>
      </c>
      <c r="AZ29" s="63">
        <f t="shared" si="17"/>
        <v>2.9584338501964309</v>
      </c>
      <c r="BA29" s="64">
        <f t="shared" si="18"/>
        <v>2.9584338501964309</v>
      </c>
      <c r="BB29" s="80" t="str" cm="1">
        <f t="array" ref="BB29">IF(ISBLANK(INDEX(FX_Input,$KB29+1,BB$85)),INDEX(FX_Input,$KB29,BB$85),INDEX(FX_Input,$KB29,BB$85)&amp;" &amp; "&amp;INDEX(FX_Input,$KB29+1,BB$85))</f>
        <v>Jet kerosene</v>
      </c>
      <c r="BC29" s="63" cm="1">
        <f t="array" ref="BC29">INDEX(FX_Temps,$KC29+7,BC$89)</f>
        <v>0</v>
      </c>
      <c r="BD29" s="63" cm="1">
        <f t="array" ref="BD29">INDEX(FX_Temps,$KC29+13,BD$89)+459.6</f>
        <v>505.70000000000005</v>
      </c>
      <c r="BE29" s="63" cm="1">
        <f t="array" ref="BE29">INDEX(FX_Vap,$KG29,BE$91)-INDEX(FX_Vap,$KH29,BE$91)</f>
        <v>0</v>
      </c>
      <c r="BF29" s="73" cm="1">
        <f t="array" ref="BF29">IF(BB29="Out of Service",0,INDEX(FX_Vap,$KI29,BF$91))</f>
        <v>5.119885034186122E-3</v>
      </c>
      <c r="BG29" s="63">
        <f t="shared" si="19"/>
        <v>0</v>
      </c>
      <c r="BH29" s="63">
        <f t="shared" si="20"/>
        <v>0.99518975879472449</v>
      </c>
      <c r="BI29" s="63" cm="1">
        <f t="array" ref="BI29">INDEX(FX_Vap,$KJ29,BI$91)</f>
        <v>130</v>
      </c>
      <c r="BJ29" s="63" cm="1">
        <f t="array" ref="BJ29">INDEX(FX_Temps,$KD29,BJ$89)+459.6</f>
        <v>505.70000000000005</v>
      </c>
      <c r="BK29" s="63">
        <f t="shared" si="21"/>
        <v>1.226508078051294E-4</v>
      </c>
      <c r="BL29" s="63" cm="1">
        <f t="array" ref="BL29">INDEX(Month_Ref,BL$83,3)*BG29*(PI()/4*$F29^2)*$H29*BH29*BK29</f>
        <v>0</v>
      </c>
      <c r="BM29" s="63" cm="1">
        <f t="array" ref="BM29">INDEX(FX_Input,$KB29,BM$85)</f>
        <v>4500</v>
      </c>
      <c r="BN29" s="63">
        <f t="shared" si="22"/>
        <v>25263</v>
      </c>
      <c r="BO29" s="63">
        <f t="shared" si="23"/>
        <v>1.0830252733550307</v>
      </c>
      <c r="BP29" s="63">
        <f t="shared" si="24"/>
        <v>1</v>
      </c>
      <c r="BQ29" s="63" cm="1">
        <f t="array" ref="BQ29">IF(OR(INDEX(FX_Vap,$KK29,BQ$90)="Crude Oil",(INDEX(FX_Vap,$KL29,BQ$90)="Crude Oil")),0.75,1)</f>
        <v>1</v>
      </c>
      <c r="BR29" s="63">
        <f t="shared" si="110"/>
        <v>1</v>
      </c>
      <c r="BS29" s="63">
        <f t="shared" si="25"/>
        <v>3.0985273575809842</v>
      </c>
      <c r="BT29" s="64">
        <f t="shared" si="26"/>
        <v>3.0985273575809842</v>
      </c>
      <c r="BU29" s="80" t="str" cm="1">
        <f t="array" ref="BU29">IF(ISBLANK(INDEX(FX_Input,$KB29+1,BU$85)),INDEX(FX_Input,$KB29,BU$85),INDEX(FX_Input,$KB29,BU$85)&amp;" &amp; "&amp;INDEX(FX_Input,$KB29+1,BU$85))</f>
        <v>Jet kerosene</v>
      </c>
      <c r="BV29" s="63" cm="1">
        <f t="array" ref="BV29">INDEX(FX_Temps,$KC29+7,BV$89)</f>
        <v>0</v>
      </c>
      <c r="BW29" s="63" cm="1">
        <f t="array" ref="BW29">INDEX(FX_Temps,$KC29+13,BW$89)+459.6</f>
        <v>508.2</v>
      </c>
      <c r="BX29" s="63" cm="1">
        <f t="array" ref="BX29">INDEX(FX_Vap,$KG29,BX$91)-INDEX(FX_Vap,$KH29,BX$91)</f>
        <v>0</v>
      </c>
      <c r="BY29" s="73" cm="1">
        <f t="array" ref="BY29">IF(BU29="Out of Service",0,INDEX(FX_Vap,$KI29,BY$91))</f>
        <v>5.5846958573521795E-3</v>
      </c>
      <c r="BZ29" s="63">
        <f t="shared" si="27"/>
        <v>0</v>
      </c>
      <c r="CA29" s="63">
        <f t="shared" si="28"/>
        <v>0.9947553494484086</v>
      </c>
      <c r="CB29" s="63" cm="1">
        <f t="array" ref="CB29">INDEX(FX_Vap,$KJ29,CB$91)</f>
        <v>130</v>
      </c>
      <c r="CC29" s="63" cm="1">
        <f t="array" ref="CC29">INDEX(FX_Temps,$KD29,CC$89)+459.6</f>
        <v>508.2</v>
      </c>
      <c r="CD29" s="63">
        <f t="shared" si="29"/>
        <v>1.3312757561120781E-4</v>
      </c>
      <c r="CE29" s="63" cm="1">
        <f t="array" ref="CE29">INDEX(Month_Ref,CE$83,3)*BZ29*(PI()/4*$F29^2)*$H29*CA29*CD29</f>
        <v>0</v>
      </c>
      <c r="CF29" s="63" cm="1">
        <f t="array" ref="CF29">INDEX(FX_Input,$KB29,CF$85)</f>
        <v>4500</v>
      </c>
      <c r="CG29" s="63">
        <f t="shared" si="30"/>
        <v>25263</v>
      </c>
      <c r="CH29" s="63">
        <f t="shared" si="31"/>
        <v>1.0830252733550307</v>
      </c>
      <c r="CI29" s="63">
        <f t="shared" si="32"/>
        <v>1</v>
      </c>
      <c r="CJ29" s="63" cm="1">
        <f t="array" ref="CJ29">IF(OR(INDEX(FX_Vap,$KK29,CJ$90)="Crude Oil",(INDEX(FX_Vap,$KL29,CJ$90)="Crude Oil")),0.75,1)</f>
        <v>1</v>
      </c>
      <c r="CK29" s="63">
        <f t="shared" si="111"/>
        <v>1</v>
      </c>
      <c r="CL29" s="63">
        <f t="shared" si="33"/>
        <v>3.3632019426659432</v>
      </c>
      <c r="CM29" s="64">
        <f t="shared" si="34"/>
        <v>3.3632019426659432</v>
      </c>
      <c r="CN29" s="80" t="str" cm="1">
        <f t="array" ref="CN29">IF(ISBLANK(INDEX(FX_Input,$KB29+1,CN$85)),INDEX(FX_Input,$KB29,CN$85),INDEX(FX_Input,$KB29,CN$85)&amp;" &amp; "&amp;INDEX(FX_Input,$KB29+1,CN$85))</f>
        <v>Jet kerosene</v>
      </c>
      <c r="CO29" s="63" cm="1">
        <f t="array" ref="CO29">INDEX(FX_Temps,$KC29+7,CO$89)</f>
        <v>0</v>
      </c>
      <c r="CP29" s="63" cm="1">
        <f t="array" ref="CP29">INDEX(FX_Temps,$KC29+13,CP$89)+459.6</f>
        <v>512.75</v>
      </c>
      <c r="CQ29" s="63" cm="1">
        <f t="array" ref="CQ29">INDEX(FX_Vap,$KG29,CQ$91)-INDEX(FX_Vap,$KH29,CQ$91)</f>
        <v>0</v>
      </c>
      <c r="CR29" s="73" cm="1">
        <f t="array" ref="CR29">IF(CN29="Out of Service",0,INDEX(FX_Vap,$KI29,CR$91))</f>
        <v>6.5274070972739821E-3</v>
      </c>
      <c r="CS29" s="63">
        <f t="shared" si="35"/>
        <v>0</v>
      </c>
      <c r="CT29" s="63">
        <f t="shared" si="36"/>
        <v>0.9938754608638668</v>
      </c>
      <c r="CU29" s="63" cm="1">
        <f t="array" ref="CU29">INDEX(FX_Vap,$KJ29,CU$91)</f>
        <v>130</v>
      </c>
      <c r="CV29" s="63" cm="1">
        <f t="array" ref="CV29">INDEX(FX_Temps,$KD29,CV$89)+459.6</f>
        <v>512.75</v>
      </c>
      <c r="CW29" s="63">
        <f t="shared" si="37"/>
        <v>1.5421910831991609E-4</v>
      </c>
      <c r="CX29" s="63" cm="1">
        <f t="array" ref="CX29">INDEX(Month_Ref,CX$83,3)*CS29*(PI()/4*$F29^2)*$H29*CT29*CW29</f>
        <v>0</v>
      </c>
      <c r="CY29" s="63" cm="1">
        <f t="array" ref="CY29">INDEX(FX_Input,$KB29,CY$85)</f>
        <v>4500</v>
      </c>
      <c r="CZ29" s="63">
        <f t="shared" si="38"/>
        <v>25263</v>
      </c>
      <c r="DA29" s="63">
        <f t="shared" si="39"/>
        <v>1.0830252733550307</v>
      </c>
      <c r="DB29" s="63">
        <f t="shared" si="40"/>
        <v>1</v>
      </c>
      <c r="DC29" s="63" cm="1">
        <f t="array" ref="DC29">IF(OR(INDEX(FX_Vap,$KK29,DC$90)="Crude Oil",(INDEX(FX_Vap,$KL29,DC$90)="Crude Oil")),0.75,1)</f>
        <v>1</v>
      </c>
      <c r="DD29" s="63">
        <f t="shared" si="112"/>
        <v>1</v>
      </c>
      <c r="DE29" s="63">
        <f t="shared" si="41"/>
        <v>3.8960373334860403</v>
      </c>
      <c r="DF29" s="64">
        <f t="shared" si="42"/>
        <v>3.8960373334860403</v>
      </c>
      <c r="DG29" s="80" t="str" cm="1">
        <f t="array" ref="DG29">IF(ISBLANK(INDEX(FX_Input,$KB29+1,DG$85)),INDEX(FX_Input,$KB29,DG$85),INDEX(FX_Input,$KB29,DG$85)&amp;" &amp; "&amp;INDEX(FX_Input,$KB29+1,DG$85))</f>
        <v>Jet kerosene</v>
      </c>
      <c r="DH29" s="63" cm="1">
        <f t="array" ref="DH29">INDEX(FX_Temps,$KC29+7,DH$89)</f>
        <v>0</v>
      </c>
      <c r="DI29" s="63" cm="1">
        <f t="array" ref="DI29">INDEX(FX_Temps,$KC29+13,DI$89)+459.6</f>
        <v>516.55000000000007</v>
      </c>
      <c r="DJ29" s="63" cm="1">
        <f t="array" ref="DJ29">INDEX(FX_Vap,$KG29,DJ$91)-INDEX(FX_Vap,$KH29,DJ$91)</f>
        <v>0</v>
      </c>
      <c r="DK29" s="73" cm="1">
        <f t="array" ref="DK29">IF(DG29="Out of Service",0,INDEX(FX_Vap,$KI29,DK$91))</f>
        <v>7.4199539958878279E-3</v>
      </c>
      <c r="DL29" s="63">
        <f t="shared" si="43"/>
        <v>0</v>
      </c>
      <c r="DM29" s="63">
        <f t="shared" si="44"/>
        <v>0.99304382697936999</v>
      </c>
      <c r="DN29" s="63" cm="1">
        <f t="array" ref="DN29">INDEX(FX_Vap,$KJ29,DN$91)</f>
        <v>130</v>
      </c>
      <c r="DO29" s="63" cm="1">
        <f t="array" ref="DO29">INDEX(FX_Temps,$KD29,DO$89)+459.6</f>
        <v>516.55000000000007</v>
      </c>
      <c r="DP29" s="63">
        <f t="shared" si="45"/>
        <v>1.7401713099147103E-4</v>
      </c>
      <c r="DQ29" s="63" cm="1">
        <f t="array" ref="DQ29">INDEX(Month_Ref,DQ$83,3)*DL29*(PI()/4*$F29^2)*$H29*DM29*DP29</f>
        <v>0</v>
      </c>
      <c r="DR29" s="63" cm="1">
        <f t="array" ref="DR29">INDEX(FX_Input,$KB29,DR$85)</f>
        <v>4500</v>
      </c>
      <c r="DS29" s="63">
        <f t="shared" si="46"/>
        <v>25263</v>
      </c>
      <c r="DT29" s="63">
        <f t="shared" si="47"/>
        <v>1.0830252733550307</v>
      </c>
      <c r="DU29" s="63">
        <f t="shared" si="48"/>
        <v>1</v>
      </c>
      <c r="DV29" s="63" cm="1">
        <f t="array" ref="DV29">IF(OR(INDEX(FX_Vap,$KK29,DV$90)="Crude Oil",(INDEX(FX_Vap,$KL29,DV$90)="Crude Oil")),0.75,1)</f>
        <v>1</v>
      </c>
      <c r="DW29" s="63">
        <f t="shared" si="113"/>
        <v>1</v>
      </c>
      <c r="DX29" s="63">
        <f t="shared" si="49"/>
        <v>4.3961947802375327</v>
      </c>
      <c r="DY29" s="64">
        <f t="shared" si="50"/>
        <v>4.3961947802375327</v>
      </c>
      <c r="DZ29" s="80" t="str" cm="1">
        <f t="array" ref="DZ29">IF(ISBLANK(INDEX(FX_Input,$KB29+1,DZ$85)),INDEX(FX_Input,$KB29,DZ$85),INDEX(FX_Input,$KB29,DZ$85)&amp;" &amp; "&amp;INDEX(FX_Input,$KB29+1,DZ$85))</f>
        <v>Jet kerosene</v>
      </c>
      <c r="EA29" s="63" cm="1">
        <f t="array" ref="EA29">INDEX(FX_Temps,$KC29+7,EA$89)</f>
        <v>0</v>
      </c>
      <c r="EB29" s="63" cm="1">
        <f t="array" ref="EB29">INDEX(FX_Temps,$KC29+13,EB$89)+459.6</f>
        <v>520.04999999999995</v>
      </c>
      <c r="EC29" s="63" cm="1">
        <f t="array" ref="EC29">INDEX(FX_Vap,$KG29,EC$91)-INDEX(FX_Vap,$KH29,EC$91)</f>
        <v>0</v>
      </c>
      <c r="ED29" s="73" cm="1">
        <f t="array" ref="ED29">IF(DZ29="Out of Service",0,INDEX(FX_Vap,$KI29,ED$91))</f>
        <v>8.3358107202842254E-3</v>
      </c>
      <c r="EE29" s="63">
        <f t="shared" si="51"/>
        <v>0</v>
      </c>
      <c r="EF29" s="63">
        <f t="shared" si="52"/>
        <v>0.99219191958611463</v>
      </c>
      <c r="EG29" s="63" cm="1">
        <f t="array" ref="EG29">INDEX(FX_Vap,$KJ29,EG$91)</f>
        <v>130</v>
      </c>
      <c r="EH29" s="63" cm="1">
        <f t="array" ref="EH29">INDEX(FX_Temps,$KD29,EH$89)+459.6</f>
        <v>520.04999999999995</v>
      </c>
      <c r="EI29" s="63">
        <f t="shared" si="53"/>
        <v>1.9418062801892895E-4</v>
      </c>
      <c r="EJ29" s="63" cm="1">
        <f t="array" ref="EJ29">INDEX(Month_Ref,EJ$83,3)*EE29*(PI()/4*$F29^2)*$H29*EF29*EI29</f>
        <v>0</v>
      </c>
      <c r="EK29" s="63" cm="1">
        <f t="array" ref="EK29">INDEX(FX_Input,$KB29,EK$85)</f>
        <v>4500</v>
      </c>
      <c r="EL29" s="63">
        <f t="shared" si="54"/>
        <v>25263</v>
      </c>
      <c r="EM29" s="63">
        <f t="shared" si="55"/>
        <v>1.0830252733550307</v>
      </c>
      <c r="EN29" s="63">
        <f t="shared" si="56"/>
        <v>1</v>
      </c>
      <c r="EO29" s="63" cm="1">
        <f t="array" ref="EO29">IF(OR(INDEX(FX_Vap,$KK29,EO$90)="Crude Oil",(INDEX(FX_Vap,$KL29,EO$90)="Crude Oil")),0.75,1)</f>
        <v>1</v>
      </c>
      <c r="EP29" s="63">
        <f t="shared" si="114"/>
        <v>1</v>
      </c>
      <c r="EQ29" s="63">
        <f t="shared" si="57"/>
        <v>4.9055852056422022</v>
      </c>
      <c r="ER29" s="64">
        <f t="shared" si="58"/>
        <v>4.9055852056422022</v>
      </c>
      <c r="ES29" s="80" t="str" cm="1">
        <f t="array" ref="ES29">IF(ISBLANK(INDEX(FX_Input,$KB29+1,ES$85)),INDEX(FX_Input,$KB29,ES$85),INDEX(FX_Input,$KB29,ES$85)&amp;" &amp; "&amp;INDEX(FX_Input,$KB29+1,ES$85))</f>
        <v>Jet kerosene</v>
      </c>
      <c r="ET29" s="63" cm="1">
        <f t="array" ref="ET29">INDEX(FX_Temps,$KC29+7,ET$89)</f>
        <v>0</v>
      </c>
      <c r="EU29" s="63" cm="1">
        <f t="array" ref="EU29">INDEX(FX_Temps,$KC29+13,EU$89)+459.6</f>
        <v>520.5</v>
      </c>
      <c r="EV29" s="63" cm="1">
        <f t="array" ref="EV29">INDEX(FX_Vap,$KG29,EV$91)-INDEX(FX_Vap,$KH29,EV$91)</f>
        <v>0</v>
      </c>
      <c r="EW29" s="73" cm="1">
        <f t="array" ref="EW29">IF(ES29="Out of Service",0,INDEX(FX_Vap,$KI29,EW$91))</f>
        <v>8.4605262729351115E-3</v>
      </c>
      <c r="EX29" s="63">
        <f t="shared" si="59"/>
        <v>0</v>
      </c>
      <c r="EY29" s="63">
        <f t="shared" si="60"/>
        <v>0.99207602530582484</v>
      </c>
      <c r="EZ29" s="63" cm="1">
        <f t="array" ref="EZ29">INDEX(FX_Vap,$KJ29,EZ$91)</f>
        <v>130</v>
      </c>
      <c r="FA29" s="63" cm="1">
        <f t="array" ref="FA29">INDEX(FX_Temps,$KD29,FA$89)+459.6</f>
        <v>520.5</v>
      </c>
      <c r="FB29" s="63">
        <f t="shared" si="61"/>
        <v>1.969154544366044E-4</v>
      </c>
      <c r="FC29" s="63" cm="1">
        <f t="array" ref="FC29">INDEX(Month_Ref,FC$83,3)*EX29*(PI()/4*$F29^2)*$H29*EY29*FB29</f>
        <v>0</v>
      </c>
      <c r="FD29" s="63" cm="1">
        <f t="array" ref="FD29">INDEX(FX_Input,$KB29,FD$85)</f>
        <v>4500</v>
      </c>
      <c r="FE29" s="63">
        <f t="shared" si="62"/>
        <v>25263</v>
      </c>
      <c r="FF29" s="63">
        <f t="shared" si="63"/>
        <v>1.0830252733550307</v>
      </c>
      <c r="FG29" s="63">
        <f t="shared" si="64"/>
        <v>1</v>
      </c>
      <c r="FH29" s="63" cm="1">
        <f t="array" ref="FH29">IF(OR(INDEX(FX_Vap,$KK29,FH$90)="Crude Oil",(INDEX(FX_Vap,$KL29,FH$90)="Crude Oil")),0.75,1)</f>
        <v>1</v>
      </c>
      <c r="FI29" s="63">
        <f t="shared" si="115"/>
        <v>1</v>
      </c>
      <c r="FJ29" s="63">
        <f t="shared" si="65"/>
        <v>4.9746751254319372</v>
      </c>
      <c r="FK29" s="64">
        <f t="shared" si="66"/>
        <v>4.9746751254319372</v>
      </c>
      <c r="FL29" s="80" t="str" cm="1">
        <f t="array" ref="FL29">IF(ISBLANK(INDEX(FX_Input,$KB29+1,FL$85)),INDEX(FX_Input,$KB29,FL$85),INDEX(FX_Input,$KB29,FL$85)&amp;" &amp; "&amp;INDEX(FX_Input,$KB29+1,FL$85))</f>
        <v>Jet kerosene</v>
      </c>
      <c r="FM29" s="63" cm="1">
        <f t="array" ref="FM29">INDEX(FX_Temps,$KC29+7,FM$89)</f>
        <v>0</v>
      </c>
      <c r="FN29" s="63" cm="1">
        <f t="array" ref="FN29">INDEX(FX_Temps,$KC29+13,FN$89)+459.6</f>
        <v>518.20000000000005</v>
      </c>
      <c r="FO29" s="63" cm="1">
        <f t="array" ref="FO29">INDEX(FX_Vap,$KG29,FO$91)-INDEX(FX_Vap,$KH29,FO$91)</f>
        <v>0</v>
      </c>
      <c r="FP29" s="73" cm="1">
        <f t="array" ref="FP29">IF(FL29="Out of Service",0,INDEX(FX_Vap,$KI29,FP$91))</f>
        <v>7.8399882233967533E-3</v>
      </c>
      <c r="FQ29" s="63">
        <f t="shared" si="67"/>
        <v>0</v>
      </c>
      <c r="FR29" s="63">
        <f t="shared" si="68"/>
        <v>0.99265293993389236</v>
      </c>
      <c r="FS29" s="63" cm="1">
        <f t="array" ref="FS29">INDEX(FX_Vap,$KJ29,FS$91)</f>
        <v>130</v>
      </c>
      <c r="FT29" s="63" cm="1">
        <f t="array" ref="FT29">INDEX(FX_Temps,$KD29,FT$89)+459.6</f>
        <v>518.20000000000005</v>
      </c>
      <c r="FU29" s="63">
        <f t="shared" si="69"/>
        <v>1.8328256712249962E-4</v>
      </c>
      <c r="FV29" s="63" cm="1">
        <f t="array" ref="FV29">INDEX(Month_Ref,FV$83,3)*FQ29*(PI()/4*$F29^2)*$H29*FR29*FU29</f>
        <v>0</v>
      </c>
      <c r="FW29" s="63" cm="1">
        <f t="array" ref="FW29">INDEX(FX_Input,$KB29,FW$85)</f>
        <v>4500</v>
      </c>
      <c r="FX29" s="63">
        <f t="shared" si="70"/>
        <v>25263</v>
      </c>
      <c r="FY29" s="63">
        <f t="shared" si="71"/>
        <v>1.0830252733550307</v>
      </c>
      <c r="FZ29" s="63">
        <f t="shared" si="72"/>
        <v>1</v>
      </c>
      <c r="GA29" s="63" cm="1">
        <f t="array" ref="GA29">IF(OR(INDEX(FX_Vap,$KK29,GA$90)="Crude Oil",(INDEX(FX_Vap,$KL29,GA$90)="Crude Oil")),0.75,1)</f>
        <v>1</v>
      </c>
      <c r="GB29" s="63">
        <f t="shared" si="116"/>
        <v>1</v>
      </c>
      <c r="GC29" s="63">
        <f t="shared" si="73"/>
        <v>4.6302674932157082</v>
      </c>
      <c r="GD29" s="64">
        <f t="shared" si="74"/>
        <v>4.6302674932157082</v>
      </c>
      <c r="GE29" s="80" t="str" cm="1">
        <f t="array" ref="GE29">IF(ISBLANK(INDEX(FX_Input,$KB29+1,GE$85)),INDEX(FX_Input,$KB29,GE$85),INDEX(FX_Input,$KB29,GE$85)&amp;" &amp; "&amp;INDEX(FX_Input,$KB29+1,GE$85))</f>
        <v>Jet kerosene</v>
      </c>
      <c r="GF29" s="63" cm="1">
        <f t="array" ref="GF29">INDEX(FX_Temps,$KC29+7,GF$89)</f>
        <v>0</v>
      </c>
      <c r="GG29" s="63" cm="1">
        <f t="array" ref="GG29">INDEX(FX_Temps,$KC29+13,GG$89)+459.6</f>
        <v>512.25</v>
      </c>
      <c r="GH29" s="63" cm="1">
        <f t="array" ref="GH29">INDEX(FX_Vap,$KG29,GH$91)-INDEX(FX_Vap,$KH29,GH$91)</f>
        <v>0</v>
      </c>
      <c r="GI29" s="73" cm="1">
        <f t="array" ref="GI29">IF(GE29="Out of Service",0,INDEX(FX_Vap,$KI29,GI$91))</f>
        <v>6.4173462075160911E-3</v>
      </c>
      <c r="GJ29" s="63">
        <f t="shared" si="75"/>
        <v>0</v>
      </c>
      <c r="GK29" s="63">
        <f t="shared" si="76"/>
        <v>0.99397810698749056</v>
      </c>
      <c r="GL29" s="63" cm="1">
        <f t="array" ref="GL29">INDEX(FX_Vap,$KJ29,GL$91)</f>
        <v>130</v>
      </c>
      <c r="GM29" s="63" cm="1">
        <f t="array" ref="GM29">INDEX(FX_Temps,$KD29,GM$89)+459.6</f>
        <v>512.25</v>
      </c>
      <c r="GN29" s="63">
        <f t="shared" si="77"/>
        <v>1.5176675903637226E-4</v>
      </c>
      <c r="GO29" s="63" cm="1">
        <f t="array" ref="GO29">INDEX(Month_Ref,GO$83,3)*GJ29*(PI()/4*$F29^2)*$H29*GK29*GN29</f>
        <v>0</v>
      </c>
      <c r="GP29" s="63" cm="1">
        <f t="array" ref="GP29">INDEX(FX_Input,$KB29,GP$85)</f>
        <v>4500</v>
      </c>
      <c r="GQ29" s="63">
        <f t="shared" si="78"/>
        <v>25263</v>
      </c>
      <c r="GR29" s="63">
        <f t="shared" si="79"/>
        <v>1.0830252733550307</v>
      </c>
      <c r="GS29" s="63">
        <f t="shared" si="80"/>
        <v>1</v>
      </c>
      <c r="GT29" s="63" cm="1">
        <f t="array" ref="GT29">IF(OR(INDEX(FX_Vap,$KK29,GT$90)="Crude Oil",(INDEX(FX_Vap,$KL29,GT$90)="Crude Oil")),0.75,1)</f>
        <v>1</v>
      </c>
      <c r="GU29" s="63">
        <f t="shared" si="117"/>
        <v>1</v>
      </c>
      <c r="GV29" s="63">
        <f t="shared" si="81"/>
        <v>3.8340836335358723</v>
      </c>
      <c r="GW29" s="64">
        <f t="shared" si="82"/>
        <v>3.8340836335358723</v>
      </c>
      <c r="GX29" s="80" t="str" cm="1">
        <f t="array" ref="GX29">IF(ISBLANK(INDEX(FX_Input,$KB29+1,GX$85)),INDEX(FX_Input,$KB29,GX$85),INDEX(FX_Input,$KB29,GX$85)&amp;" &amp; "&amp;INDEX(FX_Input,$KB29+1,GX$85))</f>
        <v>Jet kerosene</v>
      </c>
      <c r="GY29" s="63" cm="1">
        <f t="array" ref="GY29">INDEX(FX_Temps,$KC29+7,GY$89)</f>
        <v>0</v>
      </c>
      <c r="GZ29" s="63" cm="1">
        <f t="array" ref="GZ29">INDEX(FX_Temps,$KC29+13,GZ$89)+459.6</f>
        <v>506.70000000000005</v>
      </c>
      <c r="HA29" s="63" cm="1">
        <f t="array" ref="HA29">INDEX(FX_Vap,$KG29,HA$91)-INDEX(FX_Vap,$KH29,HA$91)</f>
        <v>0</v>
      </c>
      <c r="HB29" s="73" cm="1">
        <f t="array" ref="HB29">IF(GX29="Out of Service",0,INDEX(FX_Vap,$KI29,HB$91))</f>
        <v>5.3015226887581056E-3</v>
      </c>
      <c r="HC29" s="63">
        <f t="shared" si="83"/>
        <v>0</v>
      </c>
      <c r="HD29" s="63">
        <f t="shared" si="84"/>
        <v>0.99501995620030181</v>
      </c>
      <c r="HE29" s="63" cm="1">
        <f t="array" ref="HE29">INDEX(FX_Vap,$KJ29,HE$91)</f>
        <v>130</v>
      </c>
      <c r="HF29" s="63" cm="1">
        <f t="array" ref="HF29">INDEX(FX_Temps,$KD29,HF$89)+459.6</f>
        <v>506.70000000000005</v>
      </c>
      <c r="HG29" s="63">
        <f t="shared" si="85"/>
        <v>1.2675143286623188E-4</v>
      </c>
      <c r="HH29" s="63" cm="1">
        <f t="array" ref="HH29">INDEX(Month_Ref,HH$83,3)*HC29*(PI()/4*$F29^2)*$H29*HD29*HG29</f>
        <v>0</v>
      </c>
      <c r="HI29" s="63" cm="1">
        <f t="array" ref="HI29">INDEX(FX_Input,$KB29,HI$85)</f>
        <v>4500</v>
      </c>
      <c r="HJ29" s="63">
        <f t="shared" si="86"/>
        <v>25263</v>
      </c>
      <c r="HK29" s="63">
        <f t="shared" si="87"/>
        <v>1.0830252733550307</v>
      </c>
      <c r="HL29" s="63">
        <f t="shared" si="88"/>
        <v>1</v>
      </c>
      <c r="HM29" s="63" cm="1">
        <f t="array" ref="HM29">IF(OR(INDEX(FX_Vap,$KK29,HM$90)="Crude Oil",(INDEX(FX_Vap,$KL29,HM$90)="Crude Oil")),0.75,1)</f>
        <v>1</v>
      </c>
      <c r="HN29" s="63">
        <f t="shared" si="118"/>
        <v>1</v>
      </c>
      <c r="HO29" s="63">
        <f t="shared" si="89"/>
        <v>3.2021214484996161</v>
      </c>
      <c r="HP29" s="64">
        <f t="shared" si="90"/>
        <v>3.2021214484996161</v>
      </c>
      <c r="HQ29" s="80" t="str" cm="1">
        <f t="array" ref="HQ29">IF(ISBLANK(INDEX(FX_Input,$KB29+1,HQ$85)),INDEX(FX_Input,$KB29,HQ$85),INDEX(FX_Input,$KB29,HQ$85)&amp;" &amp; "&amp;INDEX(FX_Input,$KB29+1,HQ$85))</f>
        <v>Jet kerosene</v>
      </c>
      <c r="HR29" s="63" cm="1">
        <f t="array" ref="HR29">INDEX(FX_Temps,$KC29+7,HR$89)</f>
        <v>0</v>
      </c>
      <c r="HS29" s="63" cm="1">
        <f t="array" ref="HS29">INDEX(FX_Temps,$KC29+13,HS$89)+459.6</f>
        <v>503.20000000000005</v>
      </c>
      <c r="HT29" s="63" cm="1">
        <f t="array" ref="HT29">INDEX(FX_Vap,$KG29,HT$91)-INDEX(FX_Vap,$KH29,HT$91)</f>
        <v>0</v>
      </c>
      <c r="HU29" s="73" cm="1">
        <f t="array" ref="HU29">IF(HQ29="Out of Service",0,INDEX(FX_Vap,$KI29,HU$91))</f>
        <v>4.68970903600947E-3</v>
      </c>
      <c r="HV29" s="63">
        <f t="shared" si="91"/>
        <v>0</v>
      </c>
      <c r="HW29" s="63">
        <f t="shared" si="92"/>
        <v>0.99559213684149273</v>
      </c>
      <c r="HX29" s="63" cm="1">
        <f t="array" ref="HX29">INDEX(FX_Vap,$KJ29,HX$91)</f>
        <v>130</v>
      </c>
      <c r="HY29" s="63" cm="1">
        <f t="array" ref="HY29">INDEX(FX_Temps,$KD29,HY$89)+459.6</f>
        <v>503.20000000000005</v>
      </c>
      <c r="HZ29" s="63">
        <f t="shared" si="93"/>
        <v>1.1290376474196325E-4</v>
      </c>
      <c r="IA29" s="63" cm="1">
        <f t="array" ref="IA29">INDEX(Month_Ref,IA$83,3)*HV29*(PI()/4*$F29^2)*$H29*HW29*HZ29</f>
        <v>0</v>
      </c>
      <c r="IB29" s="63" cm="1">
        <f t="array" ref="IB29">INDEX(FX_Input,$KB29,IB$85)</f>
        <v>4500</v>
      </c>
      <c r="IC29" s="63">
        <f t="shared" si="94"/>
        <v>25263</v>
      </c>
      <c r="ID29" s="63">
        <f t="shared" si="95"/>
        <v>1.0830252733550307</v>
      </c>
      <c r="IE29" s="63">
        <f t="shared" si="96"/>
        <v>1</v>
      </c>
      <c r="IF29" s="63" cm="1">
        <f t="array" ref="IF29">IF(OR(INDEX(FX_Vap,$KK29,IF$90)="Crude Oil",(INDEX(FX_Vap,$KL29,IF$90)="Crude Oil")),0.75,1)</f>
        <v>1</v>
      </c>
      <c r="IG29" s="63">
        <f t="shared" si="119"/>
        <v>1</v>
      </c>
      <c r="IH29" s="63">
        <f t="shared" si="97"/>
        <v>2.8522878086762176</v>
      </c>
      <c r="II29" s="64">
        <f t="shared" si="98"/>
        <v>2.8522878086762176</v>
      </c>
      <c r="IJ29" s="80">
        <f t="shared" si="99"/>
        <v>0</v>
      </c>
      <c r="IK29" s="63">
        <f t="shared" si="100"/>
        <v>0</v>
      </c>
      <c r="IL29" s="63">
        <f t="shared" si="101"/>
        <v>44.992316120793816</v>
      </c>
      <c r="IM29" s="63">
        <f t="shared" si="102"/>
        <v>2.2496158060396908E-2</v>
      </c>
      <c r="IN29" s="63">
        <f t="shared" si="103"/>
        <v>44.992316120793816</v>
      </c>
      <c r="IO29" s="64">
        <f t="shared" si="104"/>
        <v>2.2496158060396908E-2</v>
      </c>
      <c r="KB29" s="43">
        <f t="shared" si="120"/>
        <v>37</v>
      </c>
      <c r="KC29" s="43">
        <f t="shared" si="121"/>
        <v>253</v>
      </c>
      <c r="KD29" s="43">
        <f t="shared" si="122"/>
        <v>266</v>
      </c>
      <c r="KE29" s="43">
        <f t="shared" si="123"/>
        <v>253</v>
      </c>
      <c r="KF29" s="43">
        <f t="shared" si="124"/>
        <v>613</v>
      </c>
      <c r="KG29" s="43">
        <f t="shared" si="125"/>
        <v>636</v>
      </c>
      <c r="KH29" s="43">
        <f t="shared" si="126"/>
        <v>631</v>
      </c>
      <c r="KI29" s="43">
        <f t="shared" si="126"/>
        <v>641</v>
      </c>
      <c r="KJ29" s="43">
        <f t="shared" si="126"/>
        <v>646</v>
      </c>
      <c r="KK29" s="43">
        <f t="shared" si="127"/>
        <v>617</v>
      </c>
      <c r="KL29" s="43">
        <f t="shared" si="128"/>
        <v>619</v>
      </c>
    </row>
    <row r="30" spans="2:298" x14ac:dyDescent="0.4">
      <c r="B30" s="43" t="str" cm="1">
        <f t="array" ref="B30">INDEX(FX_Input,$KB30,B$85)</f>
        <v>FX - 20</v>
      </c>
      <c r="C30" s="93" t="str" cm="1">
        <f t="array" ref="C30">INDEX(FX_Input,$KB30,C$85)</f>
        <v>FIXTANK 127</v>
      </c>
      <c r="D30" s="80">
        <f t="shared" si="0"/>
        <v>58315.813632260535</v>
      </c>
      <c r="E30" s="63" cm="1">
        <f t="array" ref="E30">IF(ISBLANK(INDEX(FX_Input,$KB30,$E$85)),0.03,INDEX(FX_Input,$KB30,$E$85))-IF(ISBLANK(INDEX(FX_Input,$KB30,$E$86)),-0.03,INDEX(FX_Input,$KB30,$E$86))</f>
        <v>0.06</v>
      </c>
      <c r="F30" s="63" cm="1">
        <f t="array" ref="F30">IF(INDEX(FX_Input,$KB30,F$85)="Vertical",INDEX(FX_Input,$KB30,F$86),SQRT((INDEX(FX_Input,$KB30,F$86)*INDEX(FX_Input,$KB30,F$87))/(PI()/4)))</f>
        <v>60</v>
      </c>
      <c r="G30" s="63" cm="1">
        <f t="array" ref="G30">IF(INDEX(FX_Input,$KB30,G$85)="Vertical",INDEX(FX_Input,$KB30,G$86),INDEX(FX_Input,$KB30,G$87)*PI()/4)</f>
        <v>40</v>
      </c>
      <c r="H30" s="63" cm="1">
        <f t="array" ref="H30">IF(INDEX(FX_Input,$KB30,H$85)="Vertical",G30-G30/2+J30,G30/2)</f>
        <v>20.625</v>
      </c>
      <c r="I30" s="63" cm="1">
        <f t="array" ref="I30">IF(INDEX(FX_Input,$KB30,F$85)="Horizontal","N/A",IF(INDEX(FX_Input,$KB30,I$86)="Cone",IF(ISBLANK(INDEX(FX_Input,$KB30,I$87)),0.0625,INDEX(FX_Input,$KB30,I$87))*F30/2,F30/2-SQRT((F30/2)^2-(INDEX(FX_Input,$KB30,I$88)^2))))</f>
        <v>1.875</v>
      </c>
      <c r="J30" s="63" cm="1">
        <f t="array" ref="J30">IF(INDEX(FX_Input,$KB30,J$85)="Horizontal","N/A",IF(INDEX(FX_Input,$KB30,J$86)="Cone",I30/3,I30*(1/2+(1/6)*(I30/(F30/2))^2)))</f>
        <v>0.625</v>
      </c>
      <c r="K30" s="63">
        <f t="shared" si="1"/>
        <v>39</v>
      </c>
      <c r="L30" s="63">
        <v>1</v>
      </c>
      <c r="M30" s="63" t="str" cm="1">
        <f t="array" ref="M30">INDEX(Tbl_71_6,MATCH(INDEX(FX_Input,$KB30,M$85),Paint_Color,0),VLOOKUP(INDEX(FX_Input,$KB30,M$86),Paint_Cond_Column,2,FALSE))</f>
        <v>N/A</v>
      </c>
      <c r="N30" s="63" t="str" cm="1">
        <f t="array" ref="N30">INDEX(Tbl_71_6,MATCH(INDEX(FX_Input,$KB30,N$85),Paint_Color,0),VLOOKUP(INDEX(FX_Input,$KB30,N$86),Paint_Cond_Column,2,FALSE))</f>
        <v>N/A</v>
      </c>
      <c r="O30" s="64" t="str">
        <f t="shared" si="2"/>
        <v>Insulated</v>
      </c>
      <c r="P30" s="80" t="str" cm="1">
        <f t="array" ref="P30">IF(ISBLANK(INDEX(FX_Input,$KB30+1,P$85)),INDEX(FX_Input,$KB30,P$85),INDEX(FX_Input,$KB30,P$85)&amp;" &amp; "&amp;INDEX(FX_Input,$KB30+1,P$85))</f>
        <v>Jet kerosene</v>
      </c>
      <c r="Q30" s="63" cm="1">
        <f t="array" ref="Q30">INDEX(FX_Temps,$KC30+7,Q$89)</f>
        <v>0</v>
      </c>
      <c r="R30" s="63" cm="1">
        <f t="array" ref="R30">INDEX(FX_Temps,$KC30+13,R$89)+459.6</f>
        <v>503.5</v>
      </c>
      <c r="S30" s="63" cm="1">
        <f t="array" ref="S30">INDEX(FX_Vap,$KG30,S$91)-INDEX(FX_Vap,$KH30,S$91)</f>
        <v>0</v>
      </c>
      <c r="T30" s="73" cm="1">
        <f t="array" ref="T30">IF(P30="Out of Service",0,INDEX(FX_Vap,$KI30,T$91))</f>
        <v>4.739577185808354E-3</v>
      </c>
      <c r="U30" s="63">
        <f t="shared" si="3"/>
        <v>0</v>
      </c>
      <c r="V30" s="63">
        <f t="shared" si="4"/>
        <v>0.99484575358333982</v>
      </c>
      <c r="W30" s="63" cm="1">
        <f t="array" ref="W30">INDEX(FX_Vap,$KJ30,W$91)</f>
        <v>130</v>
      </c>
      <c r="X30" s="63" cm="1">
        <f t="array" ref="X30">INDEX(FX_Temps,$KD30,X$89)+459.6</f>
        <v>503.5</v>
      </c>
      <c r="Y30" s="63">
        <f t="shared" si="5"/>
        <v>1.1403634333314844E-4</v>
      </c>
      <c r="Z30" s="63" cm="1">
        <f t="array" ref="Z30">INDEX(Month_Ref,Z$83,3)*U30*(PI()/4*$F30^2)*$H30*V30*Y30</f>
        <v>0</v>
      </c>
      <c r="AA30" s="63" cm="1">
        <f t="array" ref="AA30">INDEX(FX_Input,$KB30,AA$85)</f>
        <v>20142</v>
      </c>
      <c r="AB30" s="63">
        <f t="shared" si="6"/>
        <v>113077.18799999999</v>
      </c>
      <c r="AC30" s="63">
        <f t="shared" si="7"/>
        <v>1.0524440597152953</v>
      </c>
      <c r="AD30" s="63">
        <f t="shared" si="8"/>
        <v>1</v>
      </c>
      <c r="AE30" s="63" cm="1">
        <f t="array" ref="AE30">IF(OR(INDEX(FX_Vap,$KK30,AE$90)="Crude Oil",(INDEX(FX_Vap,$KL30,AE$90)="Crude Oil")),0.75,1)</f>
        <v>1</v>
      </c>
      <c r="AF30" s="63">
        <f t="shared" si="108"/>
        <v>1</v>
      </c>
      <c r="AG30" s="63">
        <f t="shared" si="9"/>
        <v>12.894909033914972</v>
      </c>
      <c r="AH30" s="64">
        <f t="shared" si="10"/>
        <v>12.894909033914972</v>
      </c>
      <c r="AI30" s="80" t="str" cm="1">
        <f t="array" ref="AI30">IF(ISBLANK(INDEX(FX_Input,$KB30+1,AI$85)),INDEX(FX_Input,$KB30,AI$85),INDEX(FX_Input,$KB30,AI$85)&amp;" &amp; "&amp;INDEX(FX_Input,$KB30+1,AI$85))</f>
        <v>Jet kerosene</v>
      </c>
      <c r="AJ30" s="63" cm="1">
        <f t="array" ref="AJ30">INDEX(FX_Temps,$KC30+7,AJ$89)</f>
        <v>0</v>
      </c>
      <c r="AK30" s="63" cm="1">
        <f t="array" ref="AK30">INDEX(FX_Temps,$KC30+13,AK$89)+459.6</f>
        <v>504.30000000000007</v>
      </c>
      <c r="AL30" s="63" cm="1">
        <f t="array" ref="AL30">INDEX(FX_Vap,$KG30,AL$91)-INDEX(FX_Vap,$KH30,AL$91)</f>
        <v>0</v>
      </c>
      <c r="AM30" s="73" cm="1">
        <f t="array" ref="AM30">IF(AI30="Out of Service",0,INDEX(FX_Vap,$KI30,AM$91))</f>
        <v>4.8748667780818778E-3</v>
      </c>
      <c r="AN30" s="63">
        <f t="shared" si="11"/>
        <v>0</v>
      </c>
      <c r="AO30" s="63">
        <f t="shared" si="12"/>
        <v>0.99469940725719808</v>
      </c>
      <c r="AP30" s="63" cm="1">
        <f t="array" ref="AP30">INDEX(FX_Vap,$KJ30,AP$91)</f>
        <v>130</v>
      </c>
      <c r="AQ30" s="63" cm="1">
        <f t="array" ref="AQ30">INDEX(FX_Temps,$KD30,AQ$89)+459.6</f>
        <v>504.30000000000007</v>
      </c>
      <c r="AR30" s="63">
        <f t="shared" si="13"/>
        <v>1.1710540514572422E-4</v>
      </c>
      <c r="AS30" s="63" cm="1">
        <f t="array" ref="AS30">INDEX(Month_Ref,AS$83,3)*AN30*(PI()/4*$F30^2)*$H30*AO30*AR30</f>
        <v>0</v>
      </c>
      <c r="AT30" s="63" cm="1">
        <f t="array" ref="AT30">INDEX(FX_Input,$KB30,AT$85)</f>
        <v>20142</v>
      </c>
      <c r="AU30" s="63">
        <f t="shared" si="14"/>
        <v>113077.18799999999</v>
      </c>
      <c r="AV30" s="63">
        <f t="shared" si="15"/>
        <v>1.0524440597152953</v>
      </c>
      <c r="AW30" s="63">
        <f t="shared" si="16"/>
        <v>1</v>
      </c>
      <c r="AX30" s="63" cm="1">
        <f t="array" ref="AX30">IF(OR(INDEX(FX_Vap,$KK30,AX$90)="Crude Oil",(INDEX(FX_Vap,$KL30,AX$90)="Crude Oil")),0.75,1)</f>
        <v>1</v>
      </c>
      <c r="AY30" s="63">
        <f t="shared" si="109"/>
        <v>1</v>
      </c>
      <c r="AZ30" s="63">
        <f t="shared" si="17"/>
        <v>13.241949913479225</v>
      </c>
      <c r="BA30" s="64">
        <f t="shared" si="18"/>
        <v>13.241949913479225</v>
      </c>
      <c r="BB30" s="80" t="str" cm="1">
        <f t="array" ref="BB30">IF(ISBLANK(INDEX(FX_Input,$KB30+1,BB$85)),INDEX(FX_Input,$KB30,BB$85),INDEX(FX_Input,$KB30,BB$85)&amp;" &amp; "&amp;INDEX(FX_Input,$KB30+1,BB$85))</f>
        <v>Jet kerosene</v>
      </c>
      <c r="BC30" s="63" cm="1">
        <f t="array" ref="BC30">INDEX(FX_Temps,$KC30+7,BC$89)</f>
        <v>0</v>
      </c>
      <c r="BD30" s="63" cm="1">
        <f t="array" ref="BD30">INDEX(FX_Temps,$KC30+13,BD$89)+459.6</f>
        <v>505.70000000000005</v>
      </c>
      <c r="BE30" s="63" cm="1">
        <f t="array" ref="BE30">INDEX(FX_Vap,$KG30,BE$91)-INDEX(FX_Vap,$KH30,BE$91)</f>
        <v>0</v>
      </c>
      <c r="BF30" s="73" cm="1">
        <f t="array" ref="BF30">IF(BB30="Out of Service",0,INDEX(FX_Vap,$KI30,BF$91))</f>
        <v>5.119885034186122E-3</v>
      </c>
      <c r="BG30" s="63">
        <f t="shared" si="19"/>
        <v>0</v>
      </c>
      <c r="BH30" s="63">
        <f t="shared" si="20"/>
        <v>0.99443447410788743</v>
      </c>
      <c r="BI30" s="63" cm="1">
        <f t="array" ref="BI30">INDEX(FX_Vap,$KJ30,BI$91)</f>
        <v>130</v>
      </c>
      <c r="BJ30" s="63" cm="1">
        <f t="array" ref="BJ30">INDEX(FX_Temps,$KD30,BJ$89)+459.6</f>
        <v>505.70000000000005</v>
      </c>
      <c r="BK30" s="63">
        <f t="shared" si="21"/>
        <v>1.226508078051294E-4</v>
      </c>
      <c r="BL30" s="63" cm="1">
        <f t="array" ref="BL30">INDEX(Month_Ref,BL$83,3)*BG30*(PI()/4*$F30^2)*$H30*BH30*BK30</f>
        <v>0</v>
      </c>
      <c r="BM30" s="63" cm="1">
        <f t="array" ref="BM30">INDEX(FX_Input,$KB30,BM$85)</f>
        <v>20142</v>
      </c>
      <c r="BN30" s="63">
        <f t="shared" si="22"/>
        <v>113077.18799999999</v>
      </c>
      <c r="BO30" s="63">
        <f t="shared" si="23"/>
        <v>1.0524440597152953</v>
      </c>
      <c r="BP30" s="63">
        <f t="shared" si="24"/>
        <v>1</v>
      </c>
      <c r="BQ30" s="63" cm="1">
        <f t="array" ref="BQ30">IF(OR(INDEX(FX_Vap,$KK30,BQ$90)="Crude Oil",(INDEX(FX_Vap,$KL30,BQ$90)="Crude Oil")),0.75,1)</f>
        <v>1</v>
      </c>
      <c r="BR30" s="63">
        <f t="shared" si="110"/>
        <v>1</v>
      </c>
      <c r="BS30" s="63">
        <f t="shared" si="25"/>
        <v>13.869008452532483</v>
      </c>
      <c r="BT30" s="64">
        <f t="shared" si="26"/>
        <v>13.869008452532483</v>
      </c>
      <c r="BU30" s="80" t="str" cm="1">
        <f t="array" ref="BU30">IF(ISBLANK(INDEX(FX_Input,$KB30+1,BU$85)),INDEX(FX_Input,$KB30,BU$85),INDEX(FX_Input,$KB30,BU$85)&amp;" &amp; "&amp;INDEX(FX_Input,$KB30+1,BU$85))</f>
        <v>Jet kerosene</v>
      </c>
      <c r="BV30" s="63" cm="1">
        <f t="array" ref="BV30">INDEX(FX_Temps,$KC30+7,BV$89)</f>
        <v>0</v>
      </c>
      <c r="BW30" s="63" cm="1">
        <f t="array" ref="BW30">INDEX(FX_Temps,$KC30+13,BW$89)+459.6</f>
        <v>508.2</v>
      </c>
      <c r="BX30" s="63" cm="1">
        <f t="array" ref="BX30">INDEX(FX_Vap,$KG30,BX$91)-INDEX(FX_Vap,$KH30,BX$91)</f>
        <v>0</v>
      </c>
      <c r="BY30" s="73" cm="1">
        <f t="array" ref="BY30">IF(BU30="Out of Service",0,INDEX(FX_Vap,$KI30,BY$91))</f>
        <v>5.5846958573521795E-3</v>
      </c>
      <c r="BZ30" s="63">
        <f t="shared" si="27"/>
        <v>0</v>
      </c>
      <c r="CA30" s="63">
        <f t="shared" si="28"/>
        <v>0.99393227143225948</v>
      </c>
      <c r="CB30" s="63" cm="1">
        <f t="array" ref="CB30">INDEX(FX_Vap,$KJ30,CB$91)</f>
        <v>130</v>
      </c>
      <c r="CC30" s="63" cm="1">
        <f t="array" ref="CC30">INDEX(FX_Temps,$KD30,CC$89)+459.6</f>
        <v>508.2</v>
      </c>
      <c r="CD30" s="63">
        <f t="shared" si="29"/>
        <v>1.3312757561120781E-4</v>
      </c>
      <c r="CE30" s="63" cm="1">
        <f t="array" ref="CE30">INDEX(Month_Ref,CE$83,3)*BZ30*(PI()/4*$F30^2)*$H30*CA30*CD30</f>
        <v>0</v>
      </c>
      <c r="CF30" s="63" cm="1">
        <f t="array" ref="CF30">INDEX(FX_Input,$KB30,CF$85)</f>
        <v>20142</v>
      </c>
      <c r="CG30" s="63">
        <f t="shared" si="30"/>
        <v>113077.18799999999</v>
      </c>
      <c r="CH30" s="63">
        <f t="shared" si="31"/>
        <v>1.0524440597152953</v>
      </c>
      <c r="CI30" s="63">
        <f t="shared" si="32"/>
        <v>1</v>
      </c>
      <c r="CJ30" s="63" cm="1">
        <f t="array" ref="CJ30">IF(OR(INDEX(FX_Vap,$KK30,CJ$90)="Crude Oil",(INDEX(FX_Vap,$KL30,CJ$90)="Crude Oil")),0.75,1)</f>
        <v>1</v>
      </c>
      <c r="CK30" s="63">
        <f t="shared" si="111"/>
        <v>1</v>
      </c>
      <c r="CL30" s="63">
        <f t="shared" si="33"/>
        <v>15.05369189537276</v>
      </c>
      <c r="CM30" s="64">
        <f t="shared" si="34"/>
        <v>15.05369189537276</v>
      </c>
      <c r="CN30" s="80" t="str" cm="1">
        <f t="array" ref="CN30">IF(ISBLANK(INDEX(FX_Input,$KB30+1,CN$85)),INDEX(FX_Input,$KB30,CN$85),INDEX(FX_Input,$KB30,CN$85)&amp;" &amp; "&amp;INDEX(FX_Input,$KB30+1,CN$85))</f>
        <v>Jet kerosene</v>
      </c>
      <c r="CO30" s="63" cm="1">
        <f t="array" ref="CO30">INDEX(FX_Temps,$KC30+7,CO$89)</f>
        <v>0</v>
      </c>
      <c r="CP30" s="63" cm="1">
        <f t="array" ref="CP30">INDEX(FX_Temps,$KC30+13,CP$89)+459.6</f>
        <v>512.75</v>
      </c>
      <c r="CQ30" s="63" cm="1">
        <f t="array" ref="CQ30">INDEX(FX_Vap,$KG30,CQ$91)-INDEX(FX_Vap,$KH30,CQ$91)</f>
        <v>0</v>
      </c>
      <c r="CR30" s="73" cm="1">
        <f t="array" ref="CR30">IF(CN30="Out of Service",0,INDEX(FX_Vap,$KI30,CR$91))</f>
        <v>6.5274070972739821E-3</v>
      </c>
      <c r="CS30" s="63">
        <f t="shared" si="35"/>
        <v>0</v>
      </c>
      <c r="CT30" s="63">
        <f t="shared" si="36"/>
        <v>0.99291527952360792</v>
      </c>
      <c r="CU30" s="63" cm="1">
        <f t="array" ref="CU30">INDEX(FX_Vap,$KJ30,CU$91)</f>
        <v>130</v>
      </c>
      <c r="CV30" s="63" cm="1">
        <f t="array" ref="CV30">INDEX(FX_Temps,$KD30,CV$89)+459.6</f>
        <v>512.75</v>
      </c>
      <c r="CW30" s="63">
        <f t="shared" si="37"/>
        <v>1.5421910831991609E-4</v>
      </c>
      <c r="CX30" s="63" cm="1">
        <f t="array" ref="CX30">INDEX(Month_Ref,CX$83,3)*CS30*(PI()/4*$F30^2)*$H30*CT30*CW30</f>
        <v>0</v>
      </c>
      <c r="CY30" s="63" cm="1">
        <f t="array" ref="CY30">INDEX(FX_Input,$KB30,CY$85)</f>
        <v>20142</v>
      </c>
      <c r="CZ30" s="63">
        <f t="shared" si="38"/>
        <v>113077.18799999999</v>
      </c>
      <c r="DA30" s="63">
        <f t="shared" si="39"/>
        <v>1.0524440597152953</v>
      </c>
      <c r="DB30" s="63">
        <f t="shared" si="40"/>
        <v>1</v>
      </c>
      <c r="DC30" s="63" cm="1">
        <f t="array" ref="DC30">IF(OR(INDEX(FX_Vap,$KK30,DC$90)="Crude Oil",(INDEX(FX_Vap,$KL30,DC$90)="Crude Oil")),0.75,1)</f>
        <v>1</v>
      </c>
      <c r="DD30" s="63">
        <f t="shared" si="112"/>
        <v>1</v>
      </c>
      <c r="DE30" s="63">
        <f t="shared" si="41"/>
        <v>17.438663104683513</v>
      </c>
      <c r="DF30" s="64">
        <f t="shared" si="42"/>
        <v>17.438663104683513</v>
      </c>
      <c r="DG30" s="80" t="str" cm="1">
        <f t="array" ref="DG30">IF(ISBLANK(INDEX(FX_Input,$KB30+1,DG$85)),INDEX(FX_Input,$KB30,DG$85),INDEX(FX_Input,$KB30,DG$85)&amp;" &amp; "&amp;INDEX(FX_Input,$KB30+1,DG$85))</f>
        <v>Jet kerosene</v>
      </c>
      <c r="DH30" s="63" cm="1">
        <f t="array" ref="DH30">INDEX(FX_Temps,$KC30+7,DH$89)</f>
        <v>0</v>
      </c>
      <c r="DI30" s="63" cm="1">
        <f t="array" ref="DI30">INDEX(FX_Temps,$KC30+13,DI$89)+459.6</f>
        <v>516.55000000000007</v>
      </c>
      <c r="DJ30" s="63" cm="1">
        <f t="array" ref="DJ30">INDEX(FX_Vap,$KG30,DJ$91)-INDEX(FX_Vap,$KH30,DJ$91)</f>
        <v>0</v>
      </c>
      <c r="DK30" s="73" cm="1">
        <f t="array" ref="DK30">IF(DG30="Out of Service",0,INDEX(FX_Vap,$KI30,DK$91))</f>
        <v>7.4199539958878279E-3</v>
      </c>
      <c r="DL30" s="63">
        <f t="shared" si="43"/>
        <v>0</v>
      </c>
      <c r="DM30" s="63">
        <f t="shared" si="44"/>
        <v>0.99195432078716628</v>
      </c>
      <c r="DN30" s="63" cm="1">
        <f t="array" ref="DN30">INDEX(FX_Vap,$KJ30,DN$91)</f>
        <v>130</v>
      </c>
      <c r="DO30" s="63" cm="1">
        <f t="array" ref="DO30">INDEX(FX_Temps,$KD30,DO$89)+459.6</f>
        <v>516.55000000000007</v>
      </c>
      <c r="DP30" s="63">
        <f t="shared" si="45"/>
        <v>1.7401713099147103E-4</v>
      </c>
      <c r="DQ30" s="63" cm="1">
        <f t="array" ref="DQ30">INDEX(Month_Ref,DQ$83,3)*DL30*(PI()/4*$F30^2)*$H30*DM30*DP30</f>
        <v>0</v>
      </c>
      <c r="DR30" s="63" cm="1">
        <f t="array" ref="DR30">INDEX(FX_Input,$KB30,DR$85)</f>
        <v>20142</v>
      </c>
      <c r="DS30" s="63">
        <f t="shared" si="46"/>
        <v>113077.18799999999</v>
      </c>
      <c r="DT30" s="63">
        <f t="shared" si="47"/>
        <v>1.0524440597152953</v>
      </c>
      <c r="DU30" s="63">
        <f t="shared" si="48"/>
        <v>1</v>
      </c>
      <c r="DV30" s="63" cm="1">
        <f t="array" ref="DV30">IF(OR(INDEX(FX_Vap,$KK30,DV$90)="Crude Oil",(INDEX(FX_Vap,$KL30,DV$90)="Crude Oil")),0.75,1)</f>
        <v>1</v>
      </c>
      <c r="DW30" s="63">
        <f t="shared" si="113"/>
        <v>1</v>
      </c>
      <c r="DX30" s="63">
        <f t="shared" si="49"/>
        <v>19.677367836343194</v>
      </c>
      <c r="DY30" s="64">
        <f t="shared" si="50"/>
        <v>19.677367836343194</v>
      </c>
      <c r="DZ30" s="80" t="str" cm="1">
        <f t="array" ref="DZ30">IF(ISBLANK(INDEX(FX_Input,$KB30+1,DZ$85)),INDEX(FX_Input,$KB30,DZ$85),INDEX(FX_Input,$KB30,DZ$85)&amp;" &amp; "&amp;INDEX(FX_Input,$KB30+1,DZ$85))</f>
        <v>Jet kerosene</v>
      </c>
      <c r="EA30" s="63" cm="1">
        <f t="array" ref="EA30">INDEX(FX_Temps,$KC30+7,EA$89)</f>
        <v>0</v>
      </c>
      <c r="EB30" s="63" cm="1">
        <f t="array" ref="EB30">INDEX(FX_Temps,$KC30+13,EB$89)+459.6</f>
        <v>520.04999999999995</v>
      </c>
      <c r="EC30" s="63" cm="1">
        <f t="array" ref="EC30">INDEX(FX_Vap,$KG30,EC$91)-INDEX(FX_Vap,$KH30,EC$91)</f>
        <v>0</v>
      </c>
      <c r="ED30" s="73" cm="1">
        <f t="array" ref="ED30">IF(DZ30="Out of Service",0,INDEX(FX_Vap,$KI30,ED$91))</f>
        <v>8.3358107202842254E-3</v>
      </c>
      <c r="EE30" s="63">
        <f t="shared" si="51"/>
        <v>0</v>
      </c>
      <c r="EF30" s="63">
        <f t="shared" si="52"/>
        <v>0.99097019721964286</v>
      </c>
      <c r="EG30" s="63" cm="1">
        <f t="array" ref="EG30">INDEX(FX_Vap,$KJ30,EG$91)</f>
        <v>130</v>
      </c>
      <c r="EH30" s="63" cm="1">
        <f t="array" ref="EH30">INDEX(FX_Temps,$KD30,EH$89)+459.6</f>
        <v>520.04999999999995</v>
      </c>
      <c r="EI30" s="63">
        <f t="shared" si="53"/>
        <v>1.9418062801892895E-4</v>
      </c>
      <c r="EJ30" s="63" cm="1">
        <f t="array" ref="EJ30">INDEX(Month_Ref,EJ$83,3)*EE30*(PI()/4*$F30^2)*$H30*EF30*EI30</f>
        <v>0</v>
      </c>
      <c r="EK30" s="63" cm="1">
        <f t="array" ref="EK30">INDEX(FX_Input,$KB30,EK$85)</f>
        <v>20142</v>
      </c>
      <c r="EL30" s="63">
        <f t="shared" si="54"/>
        <v>113077.18799999999</v>
      </c>
      <c r="EM30" s="63">
        <f t="shared" si="55"/>
        <v>1.0524440597152953</v>
      </c>
      <c r="EN30" s="63">
        <f t="shared" si="56"/>
        <v>1</v>
      </c>
      <c r="EO30" s="63" cm="1">
        <f t="array" ref="EO30">IF(OR(INDEX(FX_Vap,$KK30,EO$90)="Crude Oil",(INDEX(FX_Vap,$KL30,EO$90)="Crude Oil")),0.75,1)</f>
        <v>1</v>
      </c>
      <c r="EP30" s="63">
        <f t="shared" si="114"/>
        <v>1</v>
      </c>
      <c r="EQ30" s="63">
        <f t="shared" si="57"/>
        <v>21.957399380454497</v>
      </c>
      <c r="ER30" s="64">
        <f t="shared" si="58"/>
        <v>21.957399380454497</v>
      </c>
      <c r="ES30" s="80" t="str" cm="1">
        <f t="array" ref="ES30">IF(ISBLANK(INDEX(FX_Input,$KB30+1,ES$85)),INDEX(FX_Input,$KB30,ES$85),INDEX(FX_Input,$KB30,ES$85)&amp;" &amp; "&amp;INDEX(FX_Input,$KB30+1,ES$85))</f>
        <v>Jet kerosene</v>
      </c>
      <c r="ET30" s="63" cm="1">
        <f t="array" ref="ET30">INDEX(FX_Temps,$KC30+7,ET$89)</f>
        <v>0</v>
      </c>
      <c r="EU30" s="63" cm="1">
        <f t="array" ref="EU30">INDEX(FX_Temps,$KC30+13,EU$89)+459.6</f>
        <v>520.5</v>
      </c>
      <c r="EV30" s="63" cm="1">
        <f t="array" ref="EV30">INDEX(FX_Vap,$KG30,EV$91)-INDEX(FX_Vap,$KH30,EV$91)</f>
        <v>0</v>
      </c>
      <c r="EW30" s="73" cm="1">
        <f t="array" ref="EW30">IF(ES30="Out of Service",0,INDEX(FX_Vap,$KI30,EW$91))</f>
        <v>8.4605262729351115E-3</v>
      </c>
      <c r="EX30" s="63">
        <f t="shared" si="59"/>
        <v>0</v>
      </c>
      <c r="EY30" s="63">
        <f t="shared" si="60"/>
        <v>0.99083633655998726</v>
      </c>
      <c r="EZ30" s="63" cm="1">
        <f t="array" ref="EZ30">INDEX(FX_Vap,$KJ30,EZ$91)</f>
        <v>130</v>
      </c>
      <c r="FA30" s="63" cm="1">
        <f t="array" ref="FA30">INDEX(FX_Temps,$KD30,FA$89)+459.6</f>
        <v>520.5</v>
      </c>
      <c r="FB30" s="63">
        <f t="shared" si="61"/>
        <v>1.969154544366044E-4</v>
      </c>
      <c r="FC30" s="63" cm="1">
        <f t="array" ref="FC30">INDEX(Month_Ref,FC$83,3)*EX30*(PI()/4*$F30^2)*$H30*EY30*FB30</f>
        <v>0</v>
      </c>
      <c r="FD30" s="63" cm="1">
        <f t="array" ref="FD30">INDEX(FX_Input,$KB30,FD$85)</f>
        <v>20142</v>
      </c>
      <c r="FE30" s="63">
        <f t="shared" si="62"/>
        <v>113077.18799999999</v>
      </c>
      <c r="FF30" s="63">
        <f t="shared" si="63"/>
        <v>1.0524440597152953</v>
      </c>
      <c r="FG30" s="63">
        <f t="shared" si="64"/>
        <v>1</v>
      </c>
      <c r="FH30" s="63" cm="1">
        <f t="array" ref="FH30">IF(OR(INDEX(FX_Vap,$KK30,FH$90)="Crude Oil",(INDEX(FX_Vap,$KL30,FH$90)="Crude Oil")),0.75,1)</f>
        <v>1</v>
      </c>
      <c r="FI30" s="63">
        <f t="shared" si="115"/>
        <v>1</v>
      </c>
      <c r="FJ30" s="63">
        <f t="shared" si="65"/>
        <v>22.26664586143335</v>
      </c>
      <c r="FK30" s="64">
        <f t="shared" si="66"/>
        <v>22.26664586143335</v>
      </c>
      <c r="FL30" s="80" t="str" cm="1">
        <f t="array" ref="FL30">IF(ISBLANK(INDEX(FX_Input,$KB30+1,FL$85)),INDEX(FX_Input,$KB30,FL$85),INDEX(FX_Input,$KB30,FL$85)&amp;" &amp; "&amp;INDEX(FX_Input,$KB30+1,FL$85))</f>
        <v>Jet kerosene</v>
      </c>
      <c r="FM30" s="63" cm="1">
        <f t="array" ref="FM30">INDEX(FX_Temps,$KC30+7,FM$89)</f>
        <v>0</v>
      </c>
      <c r="FN30" s="63" cm="1">
        <f t="array" ref="FN30">INDEX(FX_Temps,$KC30+13,FN$89)+459.6</f>
        <v>518.20000000000005</v>
      </c>
      <c r="FO30" s="63" cm="1">
        <f t="array" ref="FO30">INDEX(FX_Vap,$KG30,FO$91)-INDEX(FX_Vap,$KH30,FO$91)</f>
        <v>0</v>
      </c>
      <c r="FP30" s="73" cm="1">
        <f t="array" ref="FP30">IF(FL30="Out of Service",0,INDEX(FX_Vap,$KI30,FP$91))</f>
        <v>7.8399882233967533E-3</v>
      </c>
      <c r="FQ30" s="63">
        <f t="shared" si="67"/>
        <v>0</v>
      </c>
      <c r="FR30" s="63">
        <f t="shared" si="68"/>
        <v>0.99150273517320375</v>
      </c>
      <c r="FS30" s="63" cm="1">
        <f t="array" ref="FS30">INDEX(FX_Vap,$KJ30,FS$91)</f>
        <v>130</v>
      </c>
      <c r="FT30" s="63" cm="1">
        <f t="array" ref="FT30">INDEX(FX_Temps,$KD30,FT$89)+459.6</f>
        <v>518.20000000000005</v>
      </c>
      <c r="FU30" s="63">
        <f t="shared" si="69"/>
        <v>1.8328256712249962E-4</v>
      </c>
      <c r="FV30" s="63" cm="1">
        <f t="array" ref="FV30">INDEX(Month_Ref,FV$83,3)*FQ30*(PI()/4*$F30^2)*$H30*FR30*FU30</f>
        <v>0</v>
      </c>
      <c r="FW30" s="63" cm="1">
        <f t="array" ref="FW30">INDEX(FX_Input,$KB30,FW$85)</f>
        <v>20142</v>
      </c>
      <c r="FX30" s="63">
        <f t="shared" si="70"/>
        <v>113077.18799999999</v>
      </c>
      <c r="FY30" s="63">
        <f t="shared" si="71"/>
        <v>1.0524440597152953</v>
      </c>
      <c r="FZ30" s="63">
        <f t="shared" si="72"/>
        <v>1</v>
      </c>
      <c r="GA30" s="63" cm="1">
        <f t="array" ref="GA30">IF(OR(INDEX(FX_Vap,$KK30,GA$90)="Crude Oil",(INDEX(FX_Vap,$KL30,GA$90)="Crude Oil")),0.75,1)</f>
        <v>1</v>
      </c>
      <c r="GB30" s="63">
        <f t="shared" si="116"/>
        <v>1</v>
      </c>
      <c r="GC30" s="63">
        <f t="shared" si="73"/>
        <v>20.725077299633508</v>
      </c>
      <c r="GD30" s="64">
        <f t="shared" si="74"/>
        <v>20.725077299633508</v>
      </c>
      <c r="GE30" s="80" t="str" cm="1">
        <f t="array" ref="GE30">IF(ISBLANK(INDEX(FX_Input,$KB30+1,GE$85)),INDEX(FX_Input,$KB30,GE$85),INDEX(FX_Input,$KB30,GE$85)&amp;" &amp; "&amp;INDEX(FX_Input,$KB30+1,GE$85))</f>
        <v>Jet kerosene</v>
      </c>
      <c r="GF30" s="63" cm="1">
        <f t="array" ref="GF30">INDEX(FX_Temps,$KC30+7,GF$89)</f>
        <v>0</v>
      </c>
      <c r="GG30" s="63" cm="1">
        <f t="array" ref="GG30">INDEX(FX_Temps,$KC30+13,GG$89)+459.6</f>
        <v>512.25</v>
      </c>
      <c r="GH30" s="63" cm="1">
        <f t="array" ref="GH30">INDEX(FX_Vap,$KG30,GH$91)-INDEX(FX_Vap,$KH30,GH$91)</f>
        <v>0</v>
      </c>
      <c r="GI30" s="73" cm="1">
        <f t="array" ref="GI30">IF(GE30="Out of Service",0,INDEX(FX_Vap,$KI30,GI$91))</f>
        <v>6.4173462075160911E-3</v>
      </c>
      <c r="GJ30" s="63">
        <f t="shared" si="75"/>
        <v>0</v>
      </c>
      <c r="GK30" s="63">
        <f t="shared" si="76"/>
        <v>0.99303390531344971</v>
      </c>
      <c r="GL30" s="63" cm="1">
        <f t="array" ref="GL30">INDEX(FX_Vap,$KJ30,GL$91)</f>
        <v>130</v>
      </c>
      <c r="GM30" s="63" cm="1">
        <f t="array" ref="GM30">INDEX(FX_Temps,$KD30,GM$89)+459.6</f>
        <v>512.25</v>
      </c>
      <c r="GN30" s="63">
        <f t="shared" si="77"/>
        <v>1.5176675903637226E-4</v>
      </c>
      <c r="GO30" s="63" cm="1">
        <f t="array" ref="GO30">INDEX(Month_Ref,GO$83,3)*GJ30*(PI()/4*$F30^2)*$H30*GK30*GN30</f>
        <v>0</v>
      </c>
      <c r="GP30" s="63" cm="1">
        <f t="array" ref="GP30">INDEX(FX_Input,$KB30,GP$85)</f>
        <v>20142</v>
      </c>
      <c r="GQ30" s="63">
        <f t="shared" si="78"/>
        <v>113077.18799999999</v>
      </c>
      <c r="GR30" s="63">
        <f t="shared" si="79"/>
        <v>1.0524440597152953</v>
      </c>
      <c r="GS30" s="63">
        <f t="shared" si="80"/>
        <v>1</v>
      </c>
      <c r="GT30" s="63" cm="1">
        <f t="array" ref="GT30">IF(OR(INDEX(FX_Vap,$KK30,GT$90)="Crude Oil",(INDEX(FX_Vap,$KL30,GT$90)="Crude Oil")),0.75,1)</f>
        <v>1</v>
      </c>
      <c r="GU30" s="63">
        <f t="shared" si="117"/>
        <v>1</v>
      </c>
      <c r="GV30" s="63">
        <f t="shared" si="81"/>
        <v>17.161358343706564</v>
      </c>
      <c r="GW30" s="64">
        <f t="shared" si="82"/>
        <v>17.161358343706564</v>
      </c>
      <c r="GX30" s="80" t="str" cm="1">
        <f t="array" ref="GX30">IF(ISBLANK(INDEX(FX_Input,$KB30+1,GX$85)),INDEX(FX_Input,$KB30,GX$85),INDEX(FX_Input,$KB30,GX$85)&amp;" &amp; "&amp;INDEX(FX_Input,$KB30+1,GX$85))</f>
        <v>Jet kerosene</v>
      </c>
      <c r="GY30" s="63" cm="1">
        <f t="array" ref="GY30">INDEX(FX_Temps,$KC30+7,GY$89)</f>
        <v>0</v>
      </c>
      <c r="GZ30" s="63" cm="1">
        <f t="array" ref="GZ30">INDEX(FX_Temps,$KC30+13,GZ$89)+459.6</f>
        <v>506.70000000000005</v>
      </c>
      <c r="HA30" s="63" cm="1">
        <f t="array" ref="HA30">INDEX(FX_Vap,$KG30,HA$91)-INDEX(FX_Vap,$KH30,HA$91)</f>
        <v>0</v>
      </c>
      <c r="HB30" s="73" cm="1">
        <f t="array" ref="HB30">IF(GX30="Out of Service",0,INDEX(FX_Vap,$KI30,HB$91))</f>
        <v>5.3015226887581056E-3</v>
      </c>
      <c r="HC30" s="63">
        <f t="shared" si="83"/>
        <v>0</v>
      </c>
      <c r="HD30" s="63">
        <f t="shared" si="84"/>
        <v>0.99423816415743305</v>
      </c>
      <c r="HE30" s="63" cm="1">
        <f t="array" ref="HE30">INDEX(FX_Vap,$KJ30,HE$91)</f>
        <v>130</v>
      </c>
      <c r="HF30" s="63" cm="1">
        <f t="array" ref="HF30">INDEX(FX_Temps,$KD30,HF$89)+459.6</f>
        <v>506.70000000000005</v>
      </c>
      <c r="HG30" s="63">
        <f t="shared" si="85"/>
        <v>1.2675143286623188E-4</v>
      </c>
      <c r="HH30" s="63" cm="1">
        <f t="array" ref="HH30">INDEX(Month_Ref,HH$83,3)*HC30*(PI()/4*$F30^2)*$H30*HD30*HG30</f>
        <v>0</v>
      </c>
      <c r="HI30" s="63" cm="1">
        <f t="array" ref="HI30">INDEX(FX_Input,$KB30,HI$85)</f>
        <v>20142</v>
      </c>
      <c r="HJ30" s="63">
        <f t="shared" si="86"/>
        <v>113077.18799999999</v>
      </c>
      <c r="HK30" s="63">
        <f t="shared" si="87"/>
        <v>1.0524440597152953</v>
      </c>
      <c r="HL30" s="63">
        <f t="shared" si="88"/>
        <v>1</v>
      </c>
      <c r="HM30" s="63" cm="1">
        <f t="array" ref="HM30">IF(OR(INDEX(FX_Vap,$KK30,HM$90)="Crude Oil",(INDEX(FX_Vap,$KL30,HM$90)="Crude Oil")),0.75,1)</f>
        <v>1</v>
      </c>
      <c r="HN30" s="63">
        <f t="shared" si="118"/>
        <v>1</v>
      </c>
      <c r="HO30" s="63">
        <f t="shared" si="89"/>
        <v>14.332695603484281</v>
      </c>
      <c r="HP30" s="64">
        <f t="shared" si="90"/>
        <v>14.332695603484281</v>
      </c>
      <c r="HQ30" s="80" t="str" cm="1">
        <f t="array" ref="HQ30">IF(ISBLANK(INDEX(FX_Input,$KB30+1,HQ$85)),INDEX(FX_Input,$KB30,HQ$85),INDEX(FX_Input,$KB30,HQ$85)&amp;" &amp; "&amp;INDEX(FX_Input,$KB30+1,HQ$85))</f>
        <v>Jet kerosene</v>
      </c>
      <c r="HR30" s="63" cm="1">
        <f t="array" ref="HR30">INDEX(FX_Temps,$KC30+7,HR$89)</f>
        <v>0</v>
      </c>
      <c r="HS30" s="63" cm="1">
        <f t="array" ref="HS30">INDEX(FX_Temps,$KC30+13,HS$89)+459.6</f>
        <v>503.20000000000005</v>
      </c>
      <c r="HT30" s="63" cm="1">
        <f t="array" ref="HT30">INDEX(FX_Vap,$KG30,HT$91)-INDEX(FX_Vap,$KH30,HT$91)</f>
        <v>0</v>
      </c>
      <c r="HU30" s="73" cm="1">
        <f t="array" ref="HU30">IF(HQ30="Out of Service",0,INDEX(FX_Vap,$KI30,HU$91))</f>
        <v>4.68970903600947E-3</v>
      </c>
      <c r="HV30" s="63">
        <f t="shared" si="91"/>
        <v>0</v>
      </c>
      <c r="HW30" s="63">
        <f t="shared" si="92"/>
        <v>0.99489970814097839</v>
      </c>
      <c r="HX30" s="63" cm="1">
        <f t="array" ref="HX30">INDEX(FX_Vap,$KJ30,HX$91)</f>
        <v>130</v>
      </c>
      <c r="HY30" s="63" cm="1">
        <f t="array" ref="HY30">INDEX(FX_Temps,$KD30,HY$89)+459.6</f>
        <v>503.20000000000005</v>
      </c>
      <c r="HZ30" s="63">
        <f t="shared" si="93"/>
        <v>1.1290376474196325E-4</v>
      </c>
      <c r="IA30" s="63" cm="1">
        <f t="array" ref="IA30">INDEX(Month_Ref,IA$83,3)*HV30*(PI()/4*$F30^2)*$H30*HW30*HZ30</f>
        <v>0</v>
      </c>
      <c r="IB30" s="63" cm="1">
        <f t="array" ref="IB30">INDEX(FX_Input,$KB30,IB$85)</f>
        <v>20142</v>
      </c>
      <c r="IC30" s="63">
        <f t="shared" si="94"/>
        <v>113077.18799999999</v>
      </c>
      <c r="ID30" s="63">
        <f t="shared" si="95"/>
        <v>1.0524440597152953</v>
      </c>
      <c r="IE30" s="63">
        <f t="shared" si="96"/>
        <v>1</v>
      </c>
      <c r="IF30" s="63" cm="1">
        <f t="array" ref="IF30">IF(OR(INDEX(FX_Vap,$KK30,IF$90)="Crude Oil",(INDEX(FX_Vap,$KL30,IF$90)="Crude Oil")),0.75,1)</f>
        <v>1</v>
      </c>
      <c r="IG30" s="63">
        <f t="shared" si="119"/>
        <v>1</v>
      </c>
      <c r="IH30" s="63">
        <f t="shared" si="97"/>
        <v>12.766840231634749</v>
      </c>
      <c r="II30" s="64">
        <f t="shared" si="98"/>
        <v>12.766840231634749</v>
      </c>
      <c r="IJ30" s="80">
        <f t="shared" si="99"/>
        <v>0</v>
      </c>
      <c r="IK30" s="63">
        <f t="shared" si="100"/>
        <v>0</v>
      </c>
      <c r="IL30" s="63">
        <f t="shared" si="101"/>
        <v>201.38560695667306</v>
      </c>
      <c r="IM30" s="63">
        <f t="shared" si="102"/>
        <v>0.10069280347833653</v>
      </c>
      <c r="IN30" s="63">
        <f t="shared" si="103"/>
        <v>201.38560695667306</v>
      </c>
      <c r="IO30" s="64">
        <f t="shared" si="104"/>
        <v>0.10069280347833653</v>
      </c>
      <c r="KB30" s="43">
        <f t="shared" si="120"/>
        <v>39</v>
      </c>
      <c r="KC30" s="43">
        <f t="shared" si="121"/>
        <v>267</v>
      </c>
      <c r="KD30" s="43">
        <f t="shared" si="122"/>
        <v>280</v>
      </c>
      <c r="KE30" s="43">
        <f t="shared" si="123"/>
        <v>267</v>
      </c>
      <c r="KF30" s="43">
        <f t="shared" si="124"/>
        <v>647</v>
      </c>
      <c r="KG30" s="43">
        <f t="shared" si="125"/>
        <v>670</v>
      </c>
      <c r="KH30" s="43">
        <f t="shared" si="126"/>
        <v>665</v>
      </c>
      <c r="KI30" s="43">
        <f t="shared" si="126"/>
        <v>675</v>
      </c>
      <c r="KJ30" s="43">
        <f t="shared" si="126"/>
        <v>680</v>
      </c>
      <c r="KK30" s="43">
        <f t="shared" si="127"/>
        <v>651</v>
      </c>
      <c r="KL30" s="43">
        <f t="shared" si="128"/>
        <v>653</v>
      </c>
    </row>
    <row r="31" spans="2:298" x14ac:dyDescent="0.4">
      <c r="B31" s="43" t="str" cm="1">
        <f t="array" ref="B31">INDEX(FX_Input,$KB31,B$85)</f>
        <v>FX - 21</v>
      </c>
      <c r="C31" s="93" t="str" cm="1">
        <f t="array" ref="C31">INDEX(FX_Input,$KB31,C$85)</f>
        <v>FIXTANK 128</v>
      </c>
      <c r="D31" s="80">
        <f t="shared" si="0"/>
        <v>165260.86354821309</v>
      </c>
      <c r="E31" s="63" cm="1">
        <f t="array" ref="E31">IF(ISBLANK(INDEX(FX_Input,$KB31,$E$85)),0.03,INDEX(FX_Input,$KB31,$E$85))-IF(ISBLANK(INDEX(FX_Input,$KB31,$E$86)),-0.03,INDEX(FX_Input,$KB31,$E$86))</f>
        <v>0.06</v>
      </c>
      <c r="F31" s="63" cm="1">
        <f t="array" ref="F31">IF(INDEX(FX_Input,$KB31,F$85)="Vertical",INDEX(FX_Input,$KB31,F$86),SQRT((INDEX(FX_Input,$KB31,F$86)*INDEX(FX_Input,$KB31,F$87))/(PI()/4)))</f>
        <v>100</v>
      </c>
      <c r="G31" s="63" cm="1">
        <f t="array" ref="G31">IF(INDEX(FX_Input,$KB31,G$85)="Vertical",INDEX(FX_Input,$KB31,G$86),INDEX(FX_Input,$KB31,G$87)*PI()/4)</f>
        <v>40</v>
      </c>
      <c r="H31" s="63" cm="1">
        <f t="array" ref="H31">IF(INDEX(FX_Input,$KB31,H$85)="Vertical",G31-G31/2+J31,G31/2)</f>
        <v>21.041666666666668</v>
      </c>
      <c r="I31" s="63" cm="1">
        <f t="array" ref="I31">IF(INDEX(FX_Input,$KB31,F$85)="Horizontal","N/A",IF(INDEX(FX_Input,$KB31,I$86)="Cone",IF(ISBLANK(INDEX(FX_Input,$KB31,I$87)),0.0625,INDEX(FX_Input,$KB31,I$87))*F31/2,F31/2-SQRT((F31/2)^2-(INDEX(FX_Input,$KB31,I$88)^2))))</f>
        <v>3.125</v>
      </c>
      <c r="J31" s="63" cm="1">
        <f t="array" ref="J31">IF(INDEX(FX_Input,$KB31,J$85)="Horizontal","N/A",IF(INDEX(FX_Input,$KB31,J$86)="Cone",I31/3,I31*(1/2+(1/6)*(I31/(F31/2))^2)))</f>
        <v>1.0416666666666667</v>
      </c>
      <c r="K31" s="63">
        <f t="shared" si="1"/>
        <v>39</v>
      </c>
      <c r="L31" s="63">
        <v>1</v>
      </c>
      <c r="M31" s="63" t="str" cm="1">
        <f t="array" ref="M31">INDEX(Tbl_71_6,MATCH(INDEX(FX_Input,$KB31,M$85),Paint_Color,0),VLOOKUP(INDEX(FX_Input,$KB31,M$86),Paint_Cond_Column,2,FALSE))</f>
        <v>N/A</v>
      </c>
      <c r="N31" s="63" t="str" cm="1">
        <f t="array" ref="N31">INDEX(Tbl_71_6,MATCH(INDEX(FX_Input,$KB31,N$85),Paint_Color,0),VLOOKUP(INDEX(FX_Input,$KB31,N$86),Paint_Cond_Column,2,FALSE))</f>
        <v>N/A</v>
      </c>
      <c r="O31" s="64" t="str">
        <f t="shared" si="2"/>
        <v>Insulated</v>
      </c>
      <c r="P31" s="80" t="str" cm="1">
        <f t="array" ref="P31">IF(ISBLANK(INDEX(FX_Input,$KB31+1,P$85)),INDEX(FX_Input,$KB31,P$85),INDEX(FX_Input,$KB31,P$85)&amp;" &amp; "&amp;INDEX(FX_Input,$KB31+1,P$85))</f>
        <v>Jet kerosene</v>
      </c>
      <c r="Q31" s="63" cm="1">
        <f t="array" ref="Q31">INDEX(FX_Temps,$KC31+7,Q$89)</f>
        <v>0</v>
      </c>
      <c r="R31" s="63" cm="1">
        <f t="array" ref="R31">INDEX(FX_Temps,$KC31+13,R$89)+459.6</f>
        <v>503.5</v>
      </c>
      <c r="S31" s="63" cm="1">
        <f t="array" ref="S31">INDEX(FX_Vap,$KG31,S$91)-INDEX(FX_Vap,$KH31,S$91)</f>
        <v>0</v>
      </c>
      <c r="T31" s="73" cm="1">
        <f t="array" ref="T31">IF(P31="Out of Service",0,INDEX(FX_Vap,$KI31,T$91))</f>
        <v>4.739577185808354E-3</v>
      </c>
      <c r="U31" s="63">
        <f t="shared" si="3"/>
        <v>0</v>
      </c>
      <c r="V31" s="63">
        <f t="shared" si="4"/>
        <v>0.99474217487040406</v>
      </c>
      <c r="W31" s="63" cm="1">
        <f t="array" ref="W31">INDEX(FX_Vap,$KJ31,W$91)</f>
        <v>130</v>
      </c>
      <c r="X31" s="63" cm="1">
        <f t="array" ref="X31">INDEX(FX_Temps,$KD31,X$89)+459.6</f>
        <v>503.5</v>
      </c>
      <c r="Y31" s="63">
        <f t="shared" si="5"/>
        <v>1.1403634333314844E-4</v>
      </c>
      <c r="Z31" s="63" cm="1">
        <f t="array" ref="Z31">INDEX(Month_Ref,Z$83,3)*U31*(PI()/4*$F31^2)*$H31*V31*Y31</f>
        <v>0</v>
      </c>
      <c r="AA31" s="63" cm="1">
        <f t="array" ref="AA31">INDEX(FX_Input,$KB31,AA$85)</f>
        <v>55950</v>
      </c>
      <c r="AB31" s="63">
        <f t="shared" si="6"/>
        <v>314103.3</v>
      </c>
      <c r="AC31" s="63">
        <f t="shared" si="7"/>
        <v>1.0524440597152953</v>
      </c>
      <c r="AD31" s="63">
        <f t="shared" si="8"/>
        <v>1</v>
      </c>
      <c r="AE31" s="63" cm="1">
        <f t="array" ref="AE31">IF(OR(INDEX(FX_Vap,$KK31,AE$90)="Crude Oil",(INDEX(FX_Vap,$KL31,AE$90)="Crude Oil")),0.75,1)</f>
        <v>1</v>
      </c>
      <c r="AF31" s="63">
        <f t="shared" si="108"/>
        <v>1</v>
      </c>
      <c r="AG31" s="63">
        <f t="shared" si="9"/>
        <v>35.819191760874922</v>
      </c>
      <c r="AH31" s="64">
        <f t="shared" si="10"/>
        <v>35.819191760874922</v>
      </c>
      <c r="AI31" s="80" t="str" cm="1">
        <f t="array" ref="AI31">IF(ISBLANK(INDEX(FX_Input,$KB31+1,AI$85)),INDEX(FX_Input,$KB31,AI$85),INDEX(FX_Input,$KB31,AI$85)&amp;" &amp; "&amp;INDEX(FX_Input,$KB31+1,AI$85))</f>
        <v>Jet kerosene</v>
      </c>
      <c r="AJ31" s="63" cm="1">
        <f t="array" ref="AJ31">INDEX(FX_Temps,$KC31+7,AJ$89)</f>
        <v>0</v>
      </c>
      <c r="AK31" s="63" cm="1">
        <f t="array" ref="AK31">INDEX(FX_Temps,$KC31+13,AK$89)+459.6</f>
        <v>504.30000000000007</v>
      </c>
      <c r="AL31" s="63" cm="1">
        <f t="array" ref="AL31">INDEX(FX_Vap,$KG31,AL$91)-INDEX(FX_Vap,$KH31,AL$91)</f>
        <v>0</v>
      </c>
      <c r="AM31" s="73" cm="1">
        <f t="array" ref="AM31">IF(AI31="Out of Service",0,INDEX(FX_Vap,$KI31,AM$91))</f>
        <v>4.8748667780818778E-3</v>
      </c>
      <c r="AN31" s="63">
        <f t="shared" si="11"/>
        <v>0</v>
      </c>
      <c r="AO31" s="63">
        <f t="shared" si="12"/>
        <v>0.99459290358190988</v>
      </c>
      <c r="AP31" s="63" cm="1">
        <f t="array" ref="AP31">INDEX(FX_Vap,$KJ31,AP$91)</f>
        <v>130</v>
      </c>
      <c r="AQ31" s="63" cm="1">
        <f t="array" ref="AQ31">INDEX(FX_Temps,$KD31,AQ$89)+459.6</f>
        <v>504.30000000000007</v>
      </c>
      <c r="AR31" s="63">
        <f t="shared" si="13"/>
        <v>1.1710540514572422E-4</v>
      </c>
      <c r="AS31" s="63" cm="1">
        <f t="array" ref="AS31">INDEX(Month_Ref,AS$83,3)*AN31*(PI()/4*$F31^2)*$H31*AO31*AR31</f>
        <v>0</v>
      </c>
      <c r="AT31" s="63" cm="1">
        <f t="array" ref="AT31">INDEX(FX_Input,$KB31,AT$85)</f>
        <v>55950</v>
      </c>
      <c r="AU31" s="63">
        <f t="shared" si="14"/>
        <v>314103.3</v>
      </c>
      <c r="AV31" s="63">
        <f t="shared" si="15"/>
        <v>1.0524440597152953</v>
      </c>
      <c r="AW31" s="63">
        <f t="shared" si="16"/>
        <v>1</v>
      </c>
      <c r="AX31" s="63" cm="1">
        <f t="array" ref="AX31">IF(OR(INDEX(FX_Vap,$KK31,AX$90)="Crude Oil",(INDEX(FX_Vap,$KL31,AX$90)="Crude Oil")),0.75,1)</f>
        <v>1</v>
      </c>
      <c r="AY31" s="63">
        <f t="shared" si="109"/>
        <v>1</v>
      </c>
      <c r="AZ31" s="63">
        <f t="shared" si="17"/>
        <v>36.783194204108959</v>
      </c>
      <c r="BA31" s="64">
        <f t="shared" si="18"/>
        <v>36.783194204108959</v>
      </c>
      <c r="BB31" s="80" t="str" cm="1">
        <f t="array" ref="BB31">IF(ISBLANK(INDEX(FX_Input,$KB31+1,BB$85)),INDEX(FX_Input,$KB31,BB$85),INDEX(FX_Input,$KB31,BB$85)&amp;" &amp; "&amp;INDEX(FX_Input,$KB31+1,BB$85))</f>
        <v>Jet kerosene</v>
      </c>
      <c r="BC31" s="63" cm="1">
        <f t="array" ref="BC31">INDEX(FX_Temps,$KC31+7,BC$89)</f>
        <v>0</v>
      </c>
      <c r="BD31" s="63" cm="1">
        <f t="array" ref="BD31">INDEX(FX_Temps,$KC31+13,BD$89)+459.6</f>
        <v>505.70000000000005</v>
      </c>
      <c r="BE31" s="63" cm="1">
        <f t="array" ref="BE31">INDEX(FX_Vap,$KG31,BE$91)-INDEX(FX_Vap,$KH31,BE$91)</f>
        <v>0</v>
      </c>
      <c r="BF31" s="73" cm="1">
        <f t="array" ref="BF31">IF(BB31="Out of Service",0,INDEX(FX_Vap,$KI31,BF$91))</f>
        <v>5.119885034186122E-3</v>
      </c>
      <c r="BG31" s="63">
        <f t="shared" si="19"/>
        <v>0</v>
      </c>
      <c r="BH31" s="63">
        <f t="shared" si="20"/>
        <v>0.99432267757036974</v>
      </c>
      <c r="BI31" s="63" cm="1">
        <f t="array" ref="BI31">INDEX(FX_Vap,$KJ31,BI$91)</f>
        <v>130</v>
      </c>
      <c r="BJ31" s="63" cm="1">
        <f t="array" ref="BJ31">INDEX(FX_Temps,$KD31,BJ$89)+459.6</f>
        <v>505.70000000000005</v>
      </c>
      <c r="BK31" s="63">
        <f t="shared" si="21"/>
        <v>1.226508078051294E-4</v>
      </c>
      <c r="BL31" s="63" cm="1">
        <f t="array" ref="BL31">INDEX(Month_Ref,BL$83,3)*BG31*(PI()/4*$F31^2)*$H31*BH31*BK31</f>
        <v>0</v>
      </c>
      <c r="BM31" s="63" cm="1">
        <f t="array" ref="BM31">INDEX(FX_Input,$KB31,BM$85)</f>
        <v>55950</v>
      </c>
      <c r="BN31" s="63">
        <f t="shared" si="22"/>
        <v>314103.3</v>
      </c>
      <c r="BO31" s="63">
        <f t="shared" si="23"/>
        <v>1.0524440597152953</v>
      </c>
      <c r="BP31" s="63">
        <f t="shared" si="24"/>
        <v>1</v>
      </c>
      <c r="BQ31" s="63" cm="1">
        <f t="array" ref="BQ31">IF(OR(INDEX(FX_Vap,$KK31,BQ$90)="Crude Oil",(INDEX(FX_Vap,$KL31,BQ$90)="Crude Oil")),0.75,1)</f>
        <v>1</v>
      </c>
      <c r="BR31" s="63">
        <f t="shared" si="110"/>
        <v>1</v>
      </c>
      <c r="BS31" s="63">
        <f t="shared" si="25"/>
        <v>38.525023479256902</v>
      </c>
      <c r="BT31" s="64">
        <f t="shared" si="26"/>
        <v>38.525023479256902</v>
      </c>
      <c r="BU31" s="80" t="str" cm="1">
        <f t="array" ref="BU31">IF(ISBLANK(INDEX(FX_Input,$KB31+1,BU$85)),INDEX(FX_Input,$KB31,BU$85),INDEX(FX_Input,$KB31,BU$85)&amp;" &amp; "&amp;INDEX(FX_Input,$KB31+1,BU$85))</f>
        <v>Jet kerosene</v>
      </c>
      <c r="BV31" s="63" cm="1">
        <f t="array" ref="BV31">INDEX(FX_Temps,$KC31+7,BV$89)</f>
        <v>0</v>
      </c>
      <c r="BW31" s="63" cm="1">
        <f t="array" ref="BW31">INDEX(FX_Temps,$KC31+13,BW$89)+459.6</f>
        <v>508.2</v>
      </c>
      <c r="BX31" s="63" cm="1">
        <f t="array" ref="BX31">INDEX(FX_Vap,$KG31,BX$91)-INDEX(FX_Vap,$KH31,BX$91)</f>
        <v>0</v>
      </c>
      <c r="BY31" s="73" cm="1">
        <f t="array" ref="BY31">IF(BU31="Out of Service",0,INDEX(FX_Vap,$KI31,BY$91))</f>
        <v>5.5846958573521795E-3</v>
      </c>
      <c r="BZ31" s="63">
        <f t="shared" si="27"/>
        <v>0</v>
      </c>
      <c r="CA31" s="63">
        <f t="shared" si="28"/>
        <v>0.9938104497745418</v>
      </c>
      <c r="CB31" s="63" cm="1">
        <f t="array" ref="CB31">INDEX(FX_Vap,$KJ31,CB$91)</f>
        <v>130</v>
      </c>
      <c r="CC31" s="63" cm="1">
        <f t="array" ref="CC31">INDEX(FX_Temps,$KD31,CC$89)+459.6</f>
        <v>508.2</v>
      </c>
      <c r="CD31" s="63">
        <f t="shared" si="29"/>
        <v>1.3312757561120781E-4</v>
      </c>
      <c r="CE31" s="63" cm="1">
        <f t="array" ref="CE31">INDEX(Month_Ref,CE$83,3)*BZ31*(PI()/4*$F31^2)*$H31*CA31*CD31</f>
        <v>0</v>
      </c>
      <c r="CF31" s="63" cm="1">
        <f t="array" ref="CF31">INDEX(FX_Input,$KB31,CF$85)</f>
        <v>55950</v>
      </c>
      <c r="CG31" s="63">
        <f t="shared" si="30"/>
        <v>314103.3</v>
      </c>
      <c r="CH31" s="63">
        <f t="shared" si="31"/>
        <v>1.0524440597152953</v>
      </c>
      <c r="CI31" s="63">
        <f t="shared" si="32"/>
        <v>1</v>
      </c>
      <c r="CJ31" s="63" cm="1">
        <f t="array" ref="CJ31">IF(OR(INDEX(FX_Vap,$KK31,CJ$90)="Crude Oil",(INDEX(FX_Vap,$KL31,CJ$90)="Crude Oil")),0.75,1)</f>
        <v>1</v>
      </c>
      <c r="CK31" s="63">
        <f t="shared" si="111"/>
        <v>1</v>
      </c>
      <c r="CL31" s="63">
        <f t="shared" si="33"/>
        <v>41.815810820479889</v>
      </c>
      <c r="CM31" s="64">
        <f t="shared" si="34"/>
        <v>41.815810820479889</v>
      </c>
      <c r="CN31" s="80" t="str" cm="1">
        <f t="array" ref="CN31">IF(ISBLANK(INDEX(FX_Input,$KB31+1,CN$85)),INDEX(FX_Input,$KB31,CN$85),INDEX(FX_Input,$KB31,CN$85)&amp;" &amp; "&amp;INDEX(FX_Input,$KB31+1,CN$85))</f>
        <v>Jet kerosene</v>
      </c>
      <c r="CO31" s="63" cm="1">
        <f t="array" ref="CO31">INDEX(FX_Temps,$KC31+7,CO$89)</f>
        <v>0</v>
      </c>
      <c r="CP31" s="63" cm="1">
        <f t="array" ref="CP31">INDEX(FX_Temps,$KC31+13,CP$89)+459.6</f>
        <v>512.75</v>
      </c>
      <c r="CQ31" s="63" cm="1">
        <f t="array" ref="CQ31">INDEX(FX_Vap,$KG31,CQ$91)-INDEX(FX_Vap,$KH31,CQ$91)</f>
        <v>0</v>
      </c>
      <c r="CR31" s="73" cm="1">
        <f t="array" ref="CR31">IF(CN31="Out of Service",0,INDEX(FX_Vap,$KI31,CR$91))</f>
        <v>6.5274070972739821E-3</v>
      </c>
      <c r="CS31" s="63">
        <f t="shared" si="35"/>
        <v>0</v>
      </c>
      <c r="CT31" s="63">
        <f t="shared" si="36"/>
        <v>0.99277318819967164</v>
      </c>
      <c r="CU31" s="63" cm="1">
        <f t="array" ref="CU31">INDEX(FX_Vap,$KJ31,CU$91)</f>
        <v>130</v>
      </c>
      <c r="CV31" s="63" cm="1">
        <f t="array" ref="CV31">INDEX(FX_Temps,$KD31,CV$89)+459.6</f>
        <v>512.75</v>
      </c>
      <c r="CW31" s="63">
        <f t="shared" si="37"/>
        <v>1.5421910831991609E-4</v>
      </c>
      <c r="CX31" s="63" cm="1">
        <f t="array" ref="CX31">INDEX(Month_Ref,CX$83,3)*CS31*(PI()/4*$F31^2)*$H31*CT31*CW31</f>
        <v>0</v>
      </c>
      <c r="CY31" s="63" cm="1">
        <f t="array" ref="CY31">INDEX(FX_Input,$KB31,CY$85)</f>
        <v>55950</v>
      </c>
      <c r="CZ31" s="63">
        <f t="shared" si="38"/>
        <v>314103.3</v>
      </c>
      <c r="DA31" s="63">
        <f t="shared" si="39"/>
        <v>1.0524440597152953</v>
      </c>
      <c r="DB31" s="63">
        <f t="shared" si="40"/>
        <v>1</v>
      </c>
      <c r="DC31" s="63" cm="1">
        <f t="array" ref="DC31">IF(OR(INDEX(FX_Vap,$KK31,DC$90)="Crude Oil",(INDEX(FX_Vap,$KL31,DC$90)="Crude Oil")),0.75,1)</f>
        <v>1</v>
      </c>
      <c r="DD31" s="63">
        <f t="shared" si="112"/>
        <v>1</v>
      </c>
      <c r="DE31" s="63">
        <f t="shared" si="41"/>
        <v>48.440730846343094</v>
      </c>
      <c r="DF31" s="64">
        <f t="shared" si="42"/>
        <v>48.440730846343094</v>
      </c>
      <c r="DG31" s="80" t="str" cm="1">
        <f t="array" ref="DG31">IF(ISBLANK(INDEX(FX_Input,$KB31+1,DG$85)),INDEX(FX_Input,$KB31,DG$85),INDEX(FX_Input,$KB31,DG$85)&amp;" &amp; "&amp;INDEX(FX_Input,$KB31+1,DG$85))</f>
        <v>Jet kerosene</v>
      </c>
      <c r="DH31" s="63" cm="1">
        <f t="array" ref="DH31">INDEX(FX_Temps,$KC31+7,DH$89)</f>
        <v>0</v>
      </c>
      <c r="DI31" s="63" cm="1">
        <f t="array" ref="DI31">INDEX(FX_Temps,$KC31+13,DI$89)+459.6</f>
        <v>516.55000000000007</v>
      </c>
      <c r="DJ31" s="63" cm="1">
        <f t="array" ref="DJ31">INDEX(FX_Vap,$KG31,DJ$91)-INDEX(FX_Vap,$KH31,DJ$91)</f>
        <v>0</v>
      </c>
      <c r="DK31" s="73" cm="1">
        <f t="array" ref="DK31">IF(DG31="Out of Service",0,INDEX(FX_Vap,$KI31,DK$91))</f>
        <v>7.4199539958878279E-3</v>
      </c>
      <c r="DL31" s="63">
        <f t="shared" si="43"/>
        <v>0</v>
      </c>
      <c r="DM31" s="63">
        <f t="shared" si="44"/>
        <v>0.99179311575171503</v>
      </c>
      <c r="DN31" s="63" cm="1">
        <f t="array" ref="DN31">INDEX(FX_Vap,$KJ31,DN$91)</f>
        <v>130</v>
      </c>
      <c r="DO31" s="63" cm="1">
        <f t="array" ref="DO31">INDEX(FX_Temps,$KD31,DO$89)+459.6</f>
        <v>516.55000000000007</v>
      </c>
      <c r="DP31" s="63">
        <f t="shared" si="45"/>
        <v>1.7401713099147103E-4</v>
      </c>
      <c r="DQ31" s="63" cm="1">
        <f t="array" ref="DQ31">INDEX(Month_Ref,DQ$83,3)*DL31*(PI()/4*$F31^2)*$H31*DM31*DP31</f>
        <v>0</v>
      </c>
      <c r="DR31" s="63" cm="1">
        <f t="array" ref="DR31">INDEX(FX_Input,$KB31,DR$85)</f>
        <v>55950</v>
      </c>
      <c r="DS31" s="63">
        <f t="shared" si="46"/>
        <v>314103.3</v>
      </c>
      <c r="DT31" s="63">
        <f t="shared" si="47"/>
        <v>1.0524440597152953</v>
      </c>
      <c r="DU31" s="63">
        <f t="shared" si="48"/>
        <v>1</v>
      </c>
      <c r="DV31" s="63" cm="1">
        <f t="array" ref="DV31">IF(OR(INDEX(FX_Vap,$KK31,DV$90)="Crude Oil",(INDEX(FX_Vap,$KL31,DV$90)="Crude Oil")),0.75,1)</f>
        <v>1</v>
      </c>
      <c r="DW31" s="63">
        <f t="shared" si="113"/>
        <v>1</v>
      </c>
      <c r="DX31" s="63">
        <f t="shared" si="49"/>
        <v>54.65935510095332</v>
      </c>
      <c r="DY31" s="64">
        <f t="shared" si="50"/>
        <v>54.65935510095332</v>
      </c>
      <c r="DZ31" s="80" t="str" cm="1">
        <f t="array" ref="DZ31">IF(ISBLANK(INDEX(FX_Input,$KB31+1,DZ$85)),INDEX(FX_Input,$KB31,DZ$85),INDEX(FX_Input,$KB31,DZ$85)&amp;" &amp; "&amp;INDEX(FX_Input,$KB31+1,DZ$85))</f>
        <v>Jet kerosene</v>
      </c>
      <c r="EA31" s="63" cm="1">
        <f t="array" ref="EA31">INDEX(FX_Temps,$KC31+7,EA$89)</f>
        <v>0</v>
      </c>
      <c r="EB31" s="63" cm="1">
        <f t="array" ref="EB31">INDEX(FX_Temps,$KC31+13,EB$89)+459.6</f>
        <v>520.04999999999995</v>
      </c>
      <c r="EC31" s="63" cm="1">
        <f t="array" ref="EC31">INDEX(FX_Vap,$KG31,EC$91)-INDEX(FX_Vap,$KH31,EC$91)</f>
        <v>0</v>
      </c>
      <c r="ED31" s="73" cm="1">
        <f t="array" ref="ED31">IF(DZ31="Out of Service",0,INDEX(FX_Vap,$KI31,ED$91))</f>
        <v>8.3358107202842254E-3</v>
      </c>
      <c r="EE31" s="63">
        <f t="shared" si="51"/>
        <v>0</v>
      </c>
      <c r="EF31" s="63">
        <f t="shared" si="52"/>
        <v>0.99078945715105837</v>
      </c>
      <c r="EG31" s="63" cm="1">
        <f t="array" ref="EG31">INDEX(FX_Vap,$KJ31,EG$91)</f>
        <v>130</v>
      </c>
      <c r="EH31" s="63" cm="1">
        <f t="array" ref="EH31">INDEX(FX_Temps,$KD31,EH$89)+459.6</f>
        <v>520.04999999999995</v>
      </c>
      <c r="EI31" s="63">
        <f t="shared" si="53"/>
        <v>1.9418062801892895E-4</v>
      </c>
      <c r="EJ31" s="63" cm="1">
        <f t="array" ref="EJ31">INDEX(Month_Ref,EJ$83,3)*EE31*(PI()/4*$F31^2)*$H31*EF31*EI31</f>
        <v>0</v>
      </c>
      <c r="EK31" s="63" cm="1">
        <f t="array" ref="EK31">INDEX(FX_Input,$KB31,EK$85)</f>
        <v>55950</v>
      </c>
      <c r="EL31" s="63">
        <f t="shared" si="54"/>
        <v>314103.3</v>
      </c>
      <c r="EM31" s="63">
        <f t="shared" si="55"/>
        <v>1.0524440597152953</v>
      </c>
      <c r="EN31" s="63">
        <f t="shared" si="56"/>
        <v>1</v>
      </c>
      <c r="EO31" s="63" cm="1">
        <f t="array" ref="EO31">IF(OR(INDEX(FX_Vap,$KK31,EO$90)="Crude Oil",(INDEX(FX_Vap,$KL31,EO$90)="Crude Oil")),0.75,1)</f>
        <v>1</v>
      </c>
      <c r="EP31" s="63">
        <f t="shared" si="114"/>
        <v>1</v>
      </c>
      <c r="EQ31" s="63">
        <f t="shared" si="57"/>
        <v>60.992776056818045</v>
      </c>
      <c r="ER31" s="64">
        <f t="shared" si="58"/>
        <v>60.992776056818045</v>
      </c>
      <c r="ES31" s="80" t="str" cm="1">
        <f t="array" ref="ES31">IF(ISBLANK(INDEX(FX_Input,$KB31+1,ES$85)),INDEX(FX_Input,$KB31,ES$85),INDEX(FX_Input,$KB31,ES$85)&amp;" &amp; "&amp;INDEX(FX_Input,$KB31+1,ES$85))</f>
        <v>Jet kerosene</v>
      </c>
      <c r="ET31" s="63" cm="1">
        <f t="array" ref="ET31">INDEX(FX_Temps,$KC31+7,ET$89)</f>
        <v>0</v>
      </c>
      <c r="EU31" s="63" cm="1">
        <f t="array" ref="EU31">INDEX(FX_Temps,$KC31+13,EU$89)+459.6</f>
        <v>520.5</v>
      </c>
      <c r="EV31" s="63" cm="1">
        <f t="array" ref="EV31">INDEX(FX_Vap,$KG31,EV$91)-INDEX(FX_Vap,$KH31,EV$91)</f>
        <v>0</v>
      </c>
      <c r="EW31" s="73" cm="1">
        <f t="array" ref="EW31">IF(ES31="Out of Service",0,INDEX(FX_Vap,$KI31,EW$91))</f>
        <v>8.4605262729351115E-3</v>
      </c>
      <c r="EX31" s="63">
        <f t="shared" si="59"/>
        <v>0</v>
      </c>
      <c r="EY31" s="63">
        <f t="shared" si="60"/>
        <v>0.99065294241553969</v>
      </c>
      <c r="EZ31" s="63" cm="1">
        <f t="array" ref="EZ31">INDEX(FX_Vap,$KJ31,EZ$91)</f>
        <v>130</v>
      </c>
      <c r="FA31" s="63" cm="1">
        <f t="array" ref="FA31">INDEX(FX_Temps,$KD31,FA$89)+459.6</f>
        <v>520.5</v>
      </c>
      <c r="FB31" s="63">
        <f t="shared" si="61"/>
        <v>1.969154544366044E-4</v>
      </c>
      <c r="FC31" s="63" cm="1">
        <f t="array" ref="FC31">INDEX(Month_Ref,FC$83,3)*EX31*(PI()/4*$F31^2)*$H31*EY31*FB31</f>
        <v>0</v>
      </c>
      <c r="FD31" s="63" cm="1">
        <f t="array" ref="FD31">INDEX(FX_Input,$KB31,FD$85)</f>
        <v>55950</v>
      </c>
      <c r="FE31" s="63">
        <f t="shared" si="62"/>
        <v>314103.3</v>
      </c>
      <c r="FF31" s="63">
        <f t="shared" si="63"/>
        <v>1.0524440597152953</v>
      </c>
      <c r="FG31" s="63">
        <f t="shared" si="64"/>
        <v>1</v>
      </c>
      <c r="FH31" s="63" cm="1">
        <f t="array" ref="FH31">IF(OR(INDEX(FX_Vap,$KK31,FH$90)="Crude Oil",(INDEX(FX_Vap,$KL31,FH$90)="Crude Oil")),0.75,1)</f>
        <v>1</v>
      </c>
      <c r="FI31" s="63">
        <f t="shared" si="115"/>
        <v>1</v>
      </c>
      <c r="FJ31" s="63">
        <f t="shared" si="65"/>
        <v>61.851794059537085</v>
      </c>
      <c r="FK31" s="64">
        <f t="shared" si="66"/>
        <v>61.851794059537085</v>
      </c>
      <c r="FL31" s="80" t="str" cm="1">
        <f t="array" ref="FL31">IF(ISBLANK(INDEX(FX_Input,$KB31+1,FL$85)),INDEX(FX_Input,$KB31,FL$85),INDEX(FX_Input,$KB31,FL$85)&amp;" &amp; "&amp;INDEX(FX_Input,$KB31+1,FL$85))</f>
        <v>Jet kerosene</v>
      </c>
      <c r="FM31" s="63" cm="1">
        <f t="array" ref="FM31">INDEX(FX_Temps,$KC31+7,FM$89)</f>
        <v>0</v>
      </c>
      <c r="FN31" s="63" cm="1">
        <f t="array" ref="FN31">INDEX(FX_Temps,$KC31+13,FN$89)+459.6</f>
        <v>518.20000000000005</v>
      </c>
      <c r="FO31" s="63" cm="1">
        <f t="array" ref="FO31">INDEX(FX_Vap,$KG31,FO$91)-INDEX(FX_Vap,$KH31,FO$91)</f>
        <v>0</v>
      </c>
      <c r="FP31" s="73" cm="1">
        <f t="array" ref="FP31">IF(FL31="Out of Service",0,INDEX(FX_Vap,$KI31,FP$91))</f>
        <v>7.8399882233967533E-3</v>
      </c>
      <c r="FQ31" s="63">
        <f t="shared" si="67"/>
        <v>0</v>
      </c>
      <c r="FR31" s="63">
        <f t="shared" si="68"/>
        <v>0.9913325611266719</v>
      </c>
      <c r="FS31" s="63" cm="1">
        <f t="array" ref="FS31">INDEX(FX_Vap,$KJ31,FS$91)</f>
        <v>130</v>
      </c>
      <c r="FT31" s="63" cm="1">
        <f t="array" ref="FT31">INDEX(FX_Temps,$KD31,FT$89)+459.6</f>
        <v>518.20000000000005</v>
      </c>
      <c r="FU31" s="63">
        <f t="shared" si="69"/>
        <v>1.8328256712249962E-4</v>
      </c>
      <c r="FV31" s="63" cm="1">
        <f t="array" ref="FV31">INDEX(Month_Ref,FV$83,3)*FQ31*(PI()/4*$F31^2)*$H31*FR31*FU31</f>
        <v>0</v>
      </c>
      <c r="FW31" s="63" cm="1">
        <f t="array" ref="FW31">INDEX(FX_Input,$KB31,FW$85)</f>
        <v>55950</v>
      </c>
      <c r="FX31" s="63">
        <f t="shared" si="70"/>
        <v>314103.3</v>
      </c>
      <c r="FY31" s="63">
        <f t="shared" si="71"/>
        <v>1.0524440597152953</v>
      </c>
      <c r="FZ31" s="63">
        <f t="shared" si="72"/>
        <v>1</v>
      </c>
      <c r="GA31" s="63" cm="1">
        <f t="array" ref="GA31">IF(OR(INDEX(FX_Vap,$KK31,GA$90)="Crude Oil",(INDEX(FX_Vap,$KL31,GA$90)="Crude Oil")),0.75,1)</f>
        <v>1</v>
      </c>
      <c r="GB31" s="63">
        <f t="shared" si="116"/>
        <v>1</v>
      </c>
      <c r="GC31" s="63">
        <f t="shared" si="73"/>
        <v>57.569659165648631</v>
      </c>
      <c r="GD31" s="64">
        <f t="shared" si="74"/>
        <v>57.569659165648631</v>
      </c>
      <c r="GE31" s="80" t="str" cm="1">
        <f t="array" ref="GE31">IF(ISBLANK(INDEX(FX_Input,$KB31+1,GE$85)),INDEX(FX_Input,$KB31,GE$85),INDEX(FX_Input,$KB31,GE$85)&amp;" &amp; "&amp;INDEX(FX_Input,$KB31+1,GE$85))</f>
        <v>Jet kerosene</v>
      </c>
      <c r="GF31" s="63" cm="1">
        <f t="array" ref="GF31">INDEX(FX_Temps,$KC31+7,GF$89)</f>
        <v>0</v>
      </c>
      <c r="GG31" s="63" cm="1">
        <f t="array" ref="GG31">INDEX(FX_Temps,$KC31+13,GG$89)+459.6</f>
        <v>512.25</v>
      </c>
      <c r="GH31" s="63" cm="1">
        <f t="array" ref="GH31">INDEX(FX_Vap,$KG31,GH$91)-INDEX(FX_Vap,$KH31,GH$91)</f>
        <v>0</v>
      </c>
      <c r="GI31" s="73" cm="1">
        <f t="array" ref="GI31">IF(GE31="Out of Service",0,INDEX(FX_Vap,$KI31,GI$91))</f>
        <v>6.4173462075160911E-3</v>
      </c>
      <c r="GJ31" s="63">
        <f t="shared" si="75"/>
        <v>0</v>
      </c>
      <c r="GK31" s="63">
        <f t="shared" si="76"/>
        <v>0.99289417612466957</v>
      </c>
      <c r="GL31" s="63" cm="1">
        <f t="array" ref="GL31">INDEX(FX_Vap,$KJ31,GL$91)</f>
        <v>130</v>
      </c>
      <c r="GM31" s="63" cm="1">
        <f t="array" ref="GM31">INDEX(FX_Temps,$KD31,GM$89)+459.6</f>
        <v>512.25</v>
      </c>
      <c r="GN31" s="63">
        <f t="shared" si="77"/>
        <v>1.5176675903637226E-4</v>
      </c>
      <c r="GO31" s="63" cm="1">
        <f t="array" ref="GO31">INDEX(Month_Ref,GO$83,3)*GJ31*(PI()/4*$F31^2)*$H31*GK31*GN31</f>
        <v>0</v>
      </c>
      <c r="GP31" s="63" cm="1">
        <f t="array" ref="GP31">INDEX(FX_Input,$KB31,GP$85)</f>
        <v>55950</v>
      </c>
      <c r="GQ31" s="63">
        <f t="shared" si="78"/>
        <v>314103.3</v>
      </c>
      <c r="GR31" s="63">
        <f t="shared" si="79"/>
        <v>1.0524440597152953</v>
      </c>
      <c r="GS31" s="63">
        <f t="shared" si="80"/>
        <v>1</v>
      </c>
      <c r="GT31" s="63" cm="1">
        <f t="array" ref="GT31">IF(OR(INDEX(FX_Vap,$KK31,GT$90)="Crude Oil",(INDEX(FX_Vap,$KL31,GT$90)="Crude Oil")),0.75,1)</f>
        <v>1</v>
      </c>
      <c r="GU31" s="63">
        <f t="shared" si="117"/>
        <v>1</v>
      </c>
      <c r="GV31" s="63">
        <f t="shared" si="81"/>
        <v>47.670439843629346</v>
      </c>
      <c r="GW31" s="64">
        <f t="shared" si="82"/>
        <v>47.670439843629346</v>
      </c>
      <c r="GX31" s="80" t="str" cm="1">
        <f t="array" ref="GX31">IF(ISBLANK(INDEX(FX_Input,$KB31+1,GX$85)),INDEX(FX_Input,$KB31,GX$85),INDEX(FX_Input,$KB31,GX$85)&amp;" &amp; "&amp;INDEX(FX_Input,$KB31+1,GX$85))</f>
        <v>Jet kerosene</v>
      </c>
      <c r="GY31" s="63" cm="1">
        <f t="array" ref="GY31">INDEX(FX_Temps,$KC31+7,GY$89)</f>
        <v>0</v>
      </c>
      <c r="GZ31" s="63" cm="1">
        <f t="array" ref="GZ31">INDEX(FX_Temps,$KC31+13,GZ$89)+459.6</f>
        <v>506.70000000000005</v>
      </c>
      <c r="HA31" s="63" cm="1">
        <f t="array" ref="HA31">INDEX(FX_Vap,$KG31,HA$91)-INDEX(FX_Vap,$KH31,HA$91)</f>
        <v>0</v>
      </c>
      <c r="HB31" s="73" cm="1">
        <f t="array" ref="HB31">IF(GX31="Out of Service",0,INDEX(FX_Vap,$KI31,HB$91))</f>
        <v>5.3015226887581056E-3</v>
      </c>
      <c r="HC31" s="63">
        <f t="shared" si="83"/>
        <v>0</v>
      </c>
      <c r="HD31" s="63">
        <f t="shared" si="84"/>
        <v>0.99412244758469792</v>
      </c>
      <c r="HE31" s="63" cm="1">
        <f t="array" ref="HE31">INDEX(FX_Vap,$KJ31,HE$91)</f>
        <v>130</v>
      </c>
      <c r="HF31" s="63" cm="1">
        <f t="array" ref="HF31">INDEX(FX_Temps,$KD31,HF$89)+459.6</f>
        <v>506.70000000000005</v>
      </c>
      <c r="HG31" s="63">
        <f t="shared" si="85"/>
        <v>1.2675143286623188E-4</v>
      </c>
      <c r="HH31" s="63" cm="1">
        <f t="array" ref="HH31">INDEX(Month_Ref,HH$83,3)*HC31*(PI()/4*$F31^2)*$H31*HD31*HG31</f>
        <v>0</v>
      </c>
      <c r="HI31" s="63" cm="1">
        <f t="array" ref="HI31">INDEX(FX_Input,$KB31,HI$85)</f>
        <v>55950</v>
      </c>
      <c r="HJ31" s="63">
        <f t="shared" si="86"/>
        <v>314103.3</v>
      </c>
      <c r="HK31" s="63">
        <f t="shared" si="87"/>
        <v>1.0524440597152953</v>
      </c>
      <c r="HL31" s="63">
        <f t="shared" si="88"/>
        <v>1</v>
      </c>
      <c r="HM31" s="63" cm="1">
        <f t="array" ref="HM31">IF(OR(INDEX(FX_Vap,$KK31,HM$90)="Crude Oil",(INDEX(FX_Vap,$KL31,HM$90)="Crude Oil")),0.75,1)</f>
        <v>1</v>
      </c>
      <c r="HN31" s="63">
        <f t="shared" si="118"/>
        <v>1</v>
      </c>
      <c r="HO31" s="63">
        <f t="shared" si="89"/>
        <v>39.813043343011891</v>
      </c>
      <c r="HP31" s="64">
        <f t="shared" si="90"/>
        <v>39.813043343011891</v>
      </c>
      <c r="HQ31" s="80" t="str" cm="1">
        <f t="array" ref="HQ31">IF(ISBLANK(INDEX(FX_Input,$KB31+1,HQ$85)),INDEX(FX_Input,$KB31,HQ$85),INDEX(FX_Input,$KB31,HQ$85)&amp;" &amp; "&amp;INDEX(FX_Input,$KB31+1,HQ$85))</f>
        <v>Jet kerosene</v>
      </c>
      <c r="HR31" s="63" cm="1">
        <f t="array" ref="HR31">INDEX(FX_Temps,$KC31+7,HR$89)</f>
        <v>0</v>
      </c>
      <c r="HS31" s="63" cm="1">
        <f t="array" ref="HS31">INDEX(FX_Temps,$KC31+13,HS$89)+459.6</f>
        <v>503.20000000000005</v>
      </c>
      <c r="HT31" s="63" cm="1">
        <f t="array" ref="HT31">INDEX(FX_Vap,$KG31,HT$91)-INDEX(FX_Vap,$KH31,HT$91)</f>
        <v>0</v>
      </c>
      <c r="HU31" s="73" cm="1">
        <f t="array" ref="HU31">IF(HQ31="Out of Service",0,INDEX(FX_Vap,$KI31,HU$91))</f>
        <v>4.68970903600947E-3</v>
      </c>
      <c r="HV31" s="63">
        <f t="shared" si="91"/>
        <v>0</v>
      </c>
      <c r="HW31" s="63">
        <f t="shared" si="92"/>
        <v>0.99479720801771709</v>
      </c>
      <c r="HX31" s="63" cm="1">
        <f t="array" ref="HX31">INDEX(FX_Vap,$KJ31,HX$91)</f>
        <v>130</v>
      </c>
      <c r="HY31" s="63" cm="1">
        <f t="array" ref="HY31">INDEX(FX_Temps,$KD31,HY$89)+459.6</f>
        <v>503.20000000000005</v>
      </c>
      <c r="HZ31" s="63">
        <f t="shared" si="93"/>
        <v>1.1290376474196325E-4</v>
      </c>
      <c r="IA31" s="63" cm="1">
        <f t="array" ref="IA31">INDEX(Month_Ref,IA$83,3)*HV31*(PI()/4*$F31^2)*$H31*HW31*HZ31</f>
        <v>0</v>
      </c>
      <c r="IB31" s="63" cm="1">
        <f t="array" ref="IB31">INDEX(FX_Input,$KB31,IB$85)</f>
        <v>55950</v>
      </c>
      <c r="IC31" s="63">
        <f t="shared" si="94"/>
        <v>314103.3</v>
      </c>
      <c r="ID31" s="63">
        <f t="shared" si="95"/>
        <v>1.0524440597152953</v>
      </c>
      <c r="IE31" s="63">
        <f t="shared" si="96"/>
        <v>1</v>
      </c>
      <c r="IF31" s="63" cm="1">
        <f t="array" ref="IF31">IF(OR(INDEX(FX_Vap,$KK31,IF$90)="Crude Oil",(INDEX(FX_Vap,$KL31,IF$90)="Crude Oil")),0.75,1)</f>
        <v>1</v>
      </c>
      <c r="IG31" s="63">
        <f t="shared" si="119"/>
        <v>1</v>
      </c>
      <c r="IH31" s="63">
        <f t="shared" si="97"/>
        <v>35.463445087874305</v>
      </c>
      <c r="II31" s="64">
        <f t="shared" si="98"/>
        <v>35.463445087874305</v>
      </c>
      <c r="IJ31" s="80">
        <f t="shared" si="99"/>
        <v>0</v>
      </c>
      <c r="IK31" s="63">
        <f t="shared" si="100"/>
        <v>0</v>
      </c>
      <c r="IL31" s="63">
        <f t="shared" si="101"/>
        <v>559.40446376853652</v>
      </c>
      <c r="IM31" s="63">
        <f t="shared" si="102"/>
        <v>0.27970223188426824</v>
      </c>
      <c r="IN31" s="63">
        <f t="shared" si="103"/>
        <v>559.40446376853652</v>
      </c>
      <c r="IO31" s="64">
        <f t="shared" si="104"/>
        <v>0.27970223188426824</v>
      </c>
      <c r="KB31" s="43">
        <f t="shared" si="120"/>
        <v>41</v>
      </c>
      <c r="KC31" s="43">
        <f t="shared" si="121"/>
        <v>281</v>
      </c>
      <c r="KD31" s="43">
        <f t="shared" si="122"/>
        <v>294</v>
      </c>
      <c r="KE31" s="43">
        <f t="shared" si="123"/>
        <v>281</v>
      </c>
      <c r="KF31" s="43">
        <f t="shared" si="124"/>
        <v>681</v>
      </c>
      <c r="KG31" s="43">
        <f t="shared" si="125"/>
        <v>704</v>
      </c>
      <c r="KH31" s="43">
        <f t="shared" si="126"/>
        <v>699</v>
      </c>
      <c r="KI31" s="43">
        <f t="shared" si="126"/>
        <v>709</v>
      </c>
      <c r="KJ31" s="43">
        <f t="shared" si="126"/>
        <v>714</v>
      </c>
      <c r="KK31" s="43">
        <f t="shared" si="127"/>
        <v>685</v>
      </c>
      <c r="KL31" s="43">
        <f t="shared" si="128"/>
        <v>687</v>
      </c>
    </row>
    <row r="32" spans="2:298" x14ac:dyDescent="0.4">
      <c r="B32" s="43" t="str" cm="1">
        <f t="array" ref="B32">INDEX(FX_Input,$KB32,B$85)</f>
        <v>FX - 22</v>
      </c>
      <c r="C32" s="93" t="str" cm="1">
        <f t="array" ref="C32">INDEX(FX_Input,$KB32,C$85)</f>
        <v>FIXTANK 129</v>
      </c>
      <c r="D32" s="80">
        <f t="shared" si="0"/>
        <v>240331.83799961917</v>
      </c>
      <c r="E32" s="63" cm="1">
        <f t="array" ref="E32">IF(ISBLANK(INDEX(FX_Input,$KB32,$E$85)),0.03,INDEX(FX_Input,$KB32,$E$85))-IF(ISBLANK(INDEX(FX_Input,$KB32,$E$86)),-0.03,INDEX(FX_Input,$KB32,$E$86))</f>
        <v>0.06</v>
      </c>
      <c r="F32" s="63" cm="1">
        <f t="array" ref="F32">IF(INDEX(FX_Input,$KB32,F$85)="Vertical",INDEX(FX_Input,$KB32,F$86),SQRT((INDEX(FX_Input,$KB32,F$86)*INDEX(FX_Input,$KB32,F$87))/(PI()/4)))</f>
        <v>120</v>
      </c>
      <c r="G32" s="63" cm="1">
        <f t="array" ref="G32">IF(INDEX(FX_Input,$KB32,G$85)="Vertical",INDEX(FX_Input,$KB32,G$86),INDEX(FX_Input,$KB32,G$87)*PI()/4)</f>
        <v>40</v>
      </c>
      <c r="H32" s="63" cm="1">
        <f t="array" ref="H32">IF(INDEX(FX_Input,$KB32,H$85)="Vertical",G32-G32/2+J32,G32/2)</f>
        <v>21.25</v>
      </c>
      <c r="I32" s="63" cm="1">
        <f t="array" ref="I32">IF(INDEX(FX_Input,$KB32,F$85)="Horizontal","N/A",IF(INDEX(FX_Input,$KB32,I$86)="Cone",IF(ISBLANK(INDEX(FX_Input,$KB32,I$87)),0.0625,INDEX(FX_Input,$KB32,I$87))*F32/2,F32/2-SQRT((F32/2)^2-(INDEX(FX_Input,$KB32,I$88)^2))))</f>
        <v>3.75</v>
      </c>
      <c r="J32" s="63" cm="1">
        <f t="array" ref="J32">IF(INDEX(FX_Input,$KB32,J$85)="Horizontal","N/A",IF(INDEX(FX_Input,$KB32,J$86)="Cone",I32/3,I32*(1/2+(1/6)*(I32/(F32/2))^2)))</f>
        <v>1.25</v>
      </c>
      <c r="K32" s="63">
        <f t="shared" si="1"/>
        <v>39</v>
      </c>
      <c r="L32" s="63">
        <v>1</v>
      </c>
      <c r="M32" s="63" t="str" cm="1">
        <f t="array" ref="M32">INDEX(Tbl_71_6,MATCH(INDEX(FX_Input,$KB32,M$85),Paint_Color,0),VLOOKUP(INDEX(FX_Input,$KB32,M$86),Paint_Cond_Column,2,FALSE))</f>
        <v>N/A</v>
      </c>
      <c r="N32" s="63" t="str" cm="1">
        <f t="array" ref="N32">INDEX(Tbl_71_6,MATCH(INDEX(FX_Input,$KB32,N$85),Paint_Color,0),VLOOKUP(INDEX(FX_Input,$KB32,N$86),Paint_Cond_Column,2,FALSE))</f>
        <v>N/A</v>
      </c>
      <c r="O32" s="64" t="str">
        <f t="shared" si="2"/>
        <v>Insulated</v>
      </c>
      <c r="P32" s="80" t="str" cm="1">
        <f t="array" ref="P32">IF(ISBLANK(INDEX(FX_Input,$KB32+1,P$85)),INDEX(FX_Input,$KB32,P$85),INDEX(FX_Input,$KB32,P$85)&amp;" &amp; "&amp;INDEX(FX_Input,$KB32+1,P$85))</f>
        <v>Jet kerosene</v>
      </c>
      <c r="Q32" s="63" cm="1">
        <f t="array" ref="Q32">INDEX(FX_Temps,$KC32+7,Q$89)</f>
        <v>0</v>
      </c>
      <c r="R32" s="63" cm="1">
        <f t="array" ref="R32">INDEX(FX_Temps,$KC32+13,R$89)+459.6</f>
        <v>503.5</v>
      </c>
      <c r="S32" s="63" cm="1">
        <f t="array" ref="S32">INDEX(FX_Vap,$KG32,S$91)-INDEX(FX_Vap,$KH32,S$91)</f>
        <v>0</v>
      </c>
      <c r="T32" s="73" cm="1">
        <f t="array" ref="T32">IF(P32="Out of Service",0,INDEX(FX_Vap,$KI32,T$91))</f>
        <v>4.739577185808354E-3</v>
      </c>
      <c r="U32" s="63">
        <f t="shared" si="3"/>
        <v>0</v>
      </c>
      <c r="V32" s="63">
        <f t="shared" si="4"/>
        <v>0.99469039360161526</v>
      </c>
      <c r="W32" s="63" cm="1">
        <f t="array" ref="W32">INDEX(FX_Vap,$KJ32,W$91)</f>
        <v>130</v>
      </c>
      <c r="X32" s="63" cm="1">
        <f t="array" ref="X32">INDEX(FX_Temps,$KD32,X$89)+459.6</f>
        <v>503.5</v>
      </c>
      <c r="Y32" s="63">
        <f t="shared" si="5"/>
        <v>1.1403634333314844E-4</v>
      </c>
      <c r="Z32" s="63" cm="1">
        <f t="array" ref="Z32">INDEX(Month_Ref,Z$83,3)*U32*(PI()/4*$F32^2)*$H32*V32*Y32</f>
        <v>0</v>
      </c>
      <c r="AA32" s="63" cm="1">
        <f t="array" ref="AA32">INDEX(FX_Input,$KB32,AA$85)</f>
        <v>80568</v>
      </c>
      <c r="AB32" s="63">
        <f t="shared" si="6"/>
        <v>452308.75199999998</v>
      </c>
      <c r="AC32" s="63">
        <f t="shared" si="7"/>
        <v>1.0524440597152953</v>
      </c>
      <c r="AD32" s="63">
        <f t="shared" si="8"/>
        <v>1</v>
      </c>
      <c r="AE32" s="63" cm="1">
        <f t="array" ref="AE32">IF(OR(INDEX(FX_Vap,$KK32,AE$90)="Crude Oil",(INDEX(FX_Vap,$KL32,AE$90)="Crude Oil")),0.75,1)</f>
        <v>1</v>
      </c>
      <c r="AF32" s="63">
        <f t="shared" si="108"/>
        <v>1</v>
      </c>
      <c r="AG32" s="63">
        <f t="shared" si="9"/>
        <v>51.579636135659889</v>
      </c>
      <c r="AH32" s="64">
        <f t="shared" si="10"/>
        <v>51.579636135659889</v>
      </c>
      <c r="AI32" s="80" t="str" cm="1">
        <f t="array" ref="AI32">IF(ISBLANK(INDEX(FX_Input,$KB32+1,AI$85)),INDEX(FX_Input,$KB32,AI$85),INDEX(FX_Input,$KB32,AI$85)&amp;" &amp; "&amp;INDEX(FX_Input,$KB32+1,AI$85))</f>
        <v>Jet kerosene</v>
      </c>
      <c r="AJ32" s="63" cm="1">
        <f t="array" ref="AJ32">INDEX(FX_Temps,$KC32+7,AJ$89)</f>
        <v>0</v>
      </c>
      <c r="AK32" s="63" cm="1">
        <f t="array" ref="AK32">INDEX(FX_Temps,$KC32+13,AK$89)+459.6</f>
        <v>504.30000000000007</v>
      </c>
      <c r="AL32" s="63" cm="1">
        <f t="array" ref="AL32">INDEX(FX_Vap,$KG32,AL$91)-INDEX(FX_Vap,$KH32,AL$91)</f>
        <v>0</v>
      </c>
      <c r="AM32" s="73" cm="1">
        <f t="array" ref="AM32">IF(AI32="Out of Service",0,INDEX(FX_Vap,$KI32,AM$91))</f>
        <v>4.8748667780818778E-3</v>
      </c>
      <c r="AN32" s="63">
        <f t="shared" si="11"/>
        <v>0</v>
      </c>
      <c r="AO32" s="63">
        <f t="shared" si="12"/>
        <v>0.99453966029641638</v>
      </c>
      <c r="AP32" s="63" cm="1">
        <f t="array" ref="AP32">INDEX(FX_Vap,$KJ32,AP$91)</f>
        <v>130</v>
      </c>
      <c r="AQ32" s="63" cm="1">
        <f t="array" ref="AQ32">INDEX(FX_Temps,$KD32,AQ$89)+459.6</f>
        <v>504.30000000000007</v>
      </c>
      <c r="AR32" s="63">
        <f t="shared" si="13"/>
        <v>1.1710540514572422E-4</v>
      </c>
      <c r="AS32" s="63" cm="1">
        <f t="array" ref="AS32">INDEX(Month_Ref,AS$83,3)*AN32*(PI()/4*$F32^2)*$H32*AO32*AR32</f>
        <v>0</v>
      </c>
      <c r="AT32" s="63" cm="1">
        <f t="array" ref="AT32">INDEX(FX_Input,$KB32,AT$85)</f>
        <v>80568</v>
      </c>
      <c r="AU32" s="63">
        <f t="shared" si="14"/>
        <v>452308.75199999998</v>
      </c>
      <c r="AV32" s="63">
        <f t="shared" si="15"/>
        <v>1.0524440597152953</v>
      </c>
      <c r="AW32" s="63">
        <f t="shared" si="16"/>
        <v>1</v>
      </c>
      <c r="AX32" s="63" cm="1">
        <f t="array" ref="AX32">IF(OR(INDEX(FX_Vap,$KK32,AX$90)="Crude Oil",(INDEX(FX_Vap,$KL32,AX$90)="Crude Oil")),0.75,1)</f>
        <v>1</v>
      </c>
      <c r="AY32" s="63">
        <f t="shared" si="109"/>
        <v>1</v>
      </c>
      <c r="AZ32" s="63">
        <f t="shared" si="17"/>
        <v>52.967799653916899</v>
      </c>
      <c r="BA32" s="64">
        <f t="shared" si="18"/>
        <v>52.967799653916899</v>
      </c>
      <c r="BB32" s="80" t="str" cm="1">
        <f t="array" ref="BB32">IF(ISBLANK(INDEX(FX_Input,$KB32+1,BB$85)),INDEX(FX_Input,$KB32,BB$85),INDEX(FX_Input,$KB32,BB$85)&amp;" &amp; "&amp;INDEX(FX_Input,$KB32+1,BB$85))</f>
        <v>Jet kerosene</v>
      </c>
      <c r="BC32" s="63" cm="1">
        <f t="array" ref="BC32">INDEX(FX_Temps,$KC32+7,BC$89)</f>
        <v>0</v>
      </c>
      <c r="BD32" s="63" cm="1">
        <f t="array" ref="BD32">INDEX(FX_Temps,$KC32+13,BD$89)+459.6</f>
        <v>505.70000000000005</v>
      </c>
      <c r="BE32" s="63" cm="1">
        <f t="array" ref="BE32">INDEX(FX_Vap,$KG32,BE$91)-INDEX(FX_Vap,$KH32,BE$91)</f>
        <v>0</v>
      </c>
      <c r="BF32" s="73" cm="1">
        <f t="array" ref="BF32">IF(BB32="Out of Service",0,INDEX(FX_Vap,$KI32,BF$91))</f>
        <v>5.119885034186122E-3</v>
      </c>
      <c r="BG32" s="63">
        <f t="shared" si="19"/>
        <v>0</v>
      </c>
      <c r="BH32" s="63">
        <f t="shared" si="20"/>
        <v>0.9942667887273926</v>
      </c>
      <c r="BI32" s="63" cm="1">
        <f t="array" ref="BI32">INDEX(FX_Vap,$KJ32,BI$91)</f>
        <v>130</v>
      </c>
      <c r="BJ32" s="63" cm="1">
        <f t="array" ref="BJ32">INDEX(FX_Temps,$KD32,BJ$89)+459.6</f>
        <v>505.70000000000005</v>
      </c>
      <c r="BK32" s="63">
        <f t="shared" si="21"/>
        <v>1.226508078051294E-4</v>
      </c>
      <c r="BL32" s="63" cm="1">
        <f t="array" ref="BL32">INDEX(Month_Ref,BL$83,3)*BG32*(PI()/4*$F32^2)*$H32*BH32*BK32</f>
        <v>0</v>
      </c>
      <c r="BM32" s="63" cm="1">
        <f t="array" ref="BM32">INDEX(FX_Input,$KB32,BM$85)</f>
        <v>80568</v>
      </c>
      <c r="BN32" s="63">
        <f t="shared" si="22"/>
        <v>452308.75199999998</v>
      </c>
      <c r="BO32" s="63">
        <f t="shared" si="23"/>
        <v>1.0524440597152953</v>
      </c>
      <c r="BP32" s="63">
        <f t="shared" si="24"/>
        <v>1</v>
      </c>
      <c r="BQ32" s="63" cm="1">
        <f t="array" ref="BQ32">IF(OR(INDEX(FX_Vap,$KK32,BQ$90)="Crude Oil",(INDEX(FX_Vap,$KL32,BQ$90)="Crude Oil")),0.75,1)</f>
        <v>1</v>
      </c>
      <c r="BR32" s="63">
        <f t="shared" si="110"/>
        <v>1</v>
      </c>
      <c r="BS32" s="63">
        <f t="shared" si="25"/>
        <v>55.476033810129934</v>
      </c>
      <c r="BT32" s="64">
        <f t="shared" si="26"/>
        <v>55.476033810129934</v>
      </c>
      <c r="BU32" s="80" t="str" cm="1">
        <f t="array" ref="BU32">IF(ISBLANK(INDEX(FX_Input,$KB32+1,BU$85)),INDEX(FX_Input,$KB32,BU$85),INDEX(FX_Input,$KB32,BU$85)&amp;" &amp; "&amp;INDEX(FX_Input,$KB32+1,BU$85))</f>
        <v>Jet kerosene</v>
      </c>
      <c r="BV32" s="63" cm="1">
        <f t="array" ref="BV32">INDEX(FX_Temps,$KC32+7,BV$89)</f>
        <v>0</v>
      </c>
      <c r="BW32" s="63" cm="1">
        <f t="array" ref="BW32">INDEX(FX_Temps,$KC32+13,BW$89)+459.6</f>
        <v>508.2</v>
      </c>
      <c r="BX32" s="63" cm="1">
        <f t="array" ref="BX32">INDEX(FX_Vap,$KG32,BX$91)-INDEX(FX_Vap,$KH32,BX$91)</f>
        <v>0</v>
      </c>
      <c r="BY32" s="73" cm="1">
        <f t="array" ref="BY32">IF(BU32="Out of Service",0,INDEX(FX_Vap,$KI32,BY$91))</f>
        <v>5.5846958573521795E-3</v>
      </c>
      <c r="BZ32" s="63">
        <f t="shared" si="27"/>
        <v>0</v>
      </c>
      <c r="CA32" s="63">
        <f t="shared" si="28"/>
        <v>0.99374955014333266</v>
      </c>
      <c r="CB32" s="63" cm="1">
        <f t="array" ref="CB32">INDEX(FX_Vap,$KJ32,CB$91)</f>
        <v>130</v>
      </c>
      <c r="CC32" s="63" cm="1">
        <f t="array" ref="CC32">INDEX(FX_Temps,$KD32,CC$89)+459.6</f>
        <v>508.2</v>
      </c>
      <c r="CD32" s="63">
        <f t="shared" si="29"/>
        <v>1.3312757561120781E-4</v>
      </c>
      <c r="CE32" s="63" cm="1">
        <f t="array" ref="CE32">INDEX(Month_Ref,CE$83,3)*BZ32*(PI()/4*$F32^2)*$H32*CA32*CD32</f>
        <v>0</v>
      </c>
      <c r="CF32" s="63" cm="1">
        <f t="array" ref="CF32">INDEX(FX_Input,$KB32,CF$85)</f>
        <v>80568</v>
      </c>
      <c r="CG32" s="63">
        <f t="shared" si="30"/>
        <v>452308.75199999998</v>
      </c>
      <c r="CH32" s="63">
        <f t="shared" si="31"/>
        <v>1.0524440597152953</v>
      </c>
      <c r="CI32" s="63">
        <f t="shared" si="32"/>
        <v>1</v>
      </c>
      <c r="CJ32" s="63" cm="1">
        <f t="array" ref="CJ32">IF(OR(INDEX(FX_Vap,$KK32,CJ$90)="Crude Oil",(INDEX(FX_Vap,$KL32,CJ$90)="Crude Oil")),0.75,1)</f>
        <v>1</v>
      </c>
      <c r="CK32" s="63">
        <f t="shared" si="111"/>
        <v>1</v>
      </c>
      <c r="CL32" s="63">
        <f t="shared" si="33"/>
        <v>60.214767581491039</v>
      </c>
      <c r="CM32" s="64">
        <f t="shared" si="34"/>
        <v>60.214767581491039</v>
      </c>
      <c r="CN32" s="80" t="str" cm="1">
        <f t="array" ref="CN32">IF(ISBLANK(INDEX(FX_Input,$KB32+1,CN$85)),INDEX(FX_Input,$KB32,CN$85),INDEX(FX_Input,$KB32,CN$85)&amp;" &amp; "&amp;INDEX(FX_Input,$KB32+1,CN$85))</f>
        <v>Jet kerosene</v>
      </c>
      <c r="CO32" s="63" cm="1">
        <f t="array" ref="CO32">INDEX(FX_Temps,$KC32+7,CO$89)</f>
        <v>0</v>
      </c>
      <c r="CP32" s="63" cm="1">
        <f t="array" ref="CP32">INDEX(FX_Temps,$KC32+13,CP$89)+459.6</f>
        <v>512.75</v>
      </c>
      <c r="CQ32" s="63" cm="1">
        <f t="array" ref="CQ32">INDEX(FX_Vap,$KG32,CQ$91)-INDEX(FX_Vap,$KH32,CQ$91)</f>
        <v>0</v>
      </c>
      <c r="CR32" s="73" cm="1">
        <f t="array" ref="CR32">IF(CN32="Out of Service",0,INDEX(FX_Vap,$KI32,CR$91))</f>
        <v>6.5274070972739821E-3</v>
      </c>
      <c r="CS32" s="63">
        <f t="shared" si="35"/>
        <v>0</v>
      </c>
      <c r="CT32" s="63">
        <f t="shared" si="36"/>
        <v>0.99270215778711601</v>
      </c>
      <c r="CU32" s="63" cm="1">
        <f t="array" ref="CU32">INDEX(FX_Vap,$KJ32,CU$91)</f>
        <v>130</v>
      </c>
      <c r="CV32" s="63" cm="1">
        <f t="array" ref="CV32">INDEX(FX_Temps,$KD32,CV$89)+459.6</f>
        <v>512.75</v>
      </c>
      <c r="CW32" s="63">
        <f t="shared" si="37"/>
        <v>1.5421910831991609E-4</v>
      </c>
      <c r="CX32" s="63" cm="1">
        <f t="array" ref="CX32">INDEX(Month_Ref,CX$83,3)*CS32*(PI()/4*$F32^2)*$H32*CT32*CW32</f>
        <v>0</v>
      </c>
      <c r="CY32" s="63" cm="1">
        <f t="array" ref="CY32">INDEX(FX_Input,$KB32,CY$85)</f>
        <v>80568</v>
      </c>
      <c r="CZ32" s="63">
        <f t="shared" si="38"/>
        <v>452308.75199999998</v>
      </c>
      <c r="DA32" s="63">
        <f t="shared" si="39"/>
        <v>1.0524440597152953</v>
      </c>
      <c r="DB32" s="63">
        <f t="shared" si="40"/>
        <v>1</v>
      </c>
      <c r="DC32" s="63" cm="1">
        <f t="array" ref="DC32">IF(OR(INDEX(FX_Vap,$KK32,DC$90)="Crude Oil",(INDEX(FX_Vap,$KL32,DC$90)="Crude Oil")),0.75,1)</f>
        <v>1</v>
      </c>
      <c r="DD32" s="63">
        <f t="shared" si="112"/>
        <v>1</v>
      </c>
      <c r="DE32" s="63">
        <f t="shared" si="41"/>
        <v>69.754652418734054</v>
      </c>
      <c r="DF32" s="64">
        <f t="shared" si="42"/>
        <v>69.754652418734054</v>
      </c>
      <c r="DG32" s="80" t="str" cm="1">
        <f t="array" ref="DG32">IF(ISBLANK(INDEX(FX_Input,$KB32+1,DG$85)),INDEX(FX_Input,$KB32,DG$85),INDEX(FX_Input,$KB32,DG$85)&amp;" &amp; "&amp;INDEX(FX_Input,$KB32+1,DG$85))</f>
        <v>Jet kerosene</v>
      </c>
      <c r="DH32" s="63" cm="1">
        <f t="array" ref="DH32">INDEX(FX_Temps,$KC32+7,DH$89)</f>
        <v>0</v>
      </c>
      <c r="DI32" s="63" cm="1">
        <f t="array" ref="DI32">INDEX(FX_Temps,$KC32+13,DI$89)+459.6</f>
        <v>516.55000000000007</v>
      </c>
      <c r="DJ32" s="63" cm="1">
        <f t="array" ref="DJ32">INDEX(FX_Vap,$KG32,DJ$91)-INDEX(FX_Vap,$KH32,DJ$91)</f>
        <v>0</v>
      </c>
      <c r="DK32" s="73" cm="1">
        <f t="array" ref="DK32">IF(DG32="Out of Service",0,INDEX(FX_Vap,$KI32,DK$91))</f>
        <v>7.4199539958878279E-3</v>
      </c>
      <c r="DL32" s="63">
        <f t="shared" si="43"/>
        <v>0</v>
      </c>
      <c r="DM32" s="63">
        <f t="shared" si="44"/>
        <v>0.99171253288077521</v>
      </c>
      <c r="DN32" s="63" cm="1">
        <f t="array" ref="DN32">INDEX(FX_Vap,$KJ32,DN$91)</f>
        <v>130</v>
      </c>
      <c r="DO32" s="63" cm="1">
        <f t="array" ref="DO32">INDEX(FX_Temps,$KD32,DO$89)+459.6</f>
        <v>516.55000000000007</v>
      </c>
      <c r="DP32" s="63">
        <f t="shared" si="45"/>
        <v>1.7401713099147103E-4</v>
      </c>
      <c r="DQ32" s="63" cm="1">
        <f t="array" ref="DQ32">INDEX(Month_Ref,DQ$83,3)*DL32*(PI()/4*$F32^2)*$H32*DM32*DP32</f>
        <v>0</v>
      </c>
      <c r="DR32" s="63" cm="1">
        <f t="array" ref="DR32">INDEX(FX_Input,$KB32,DR$85)</f>
        <v>80568</v>
      </c>
      <c r="DS32" s="63">
        <f t="shared" si="46"/>
        <v>452308.75199999998</v>
      </c>
      <c r="DT32" s="63">
        <f t="shared" si="47"/>
        <v>1.0524440597152953</v>
      </c>
      <c r="DU32" s="63">
        <f t="shared" si="48"/>
        <v>1</v>
      </c>
      <c r="DV32" s="63" cm="1">
        <f t="array" ref="DV32">IF(OR(INDEX(FX_Vap,$KK32,DV$90)="Crude Oil",(INDEX(FX_Vap,$KL32,DV$90)="Crude Oil")),0.75,1)</f>
        <v>1</v>
      </c>
      <c r="DW32" s="63">
        <f t="shared" si="113"/>
        <v>1</v>
      </c>
      <c r="DX32" s="63">
        <f t="shared" si="49"/>
        <v>78.709471345372776</v>
      </c>
      <c r="DY32" s="64">
        <f t="shared" si="50"/>
        <v>78.709471345372776</v>
      </c>
      <c r="DZ32" s="80" t="str" cm="1">
        <f t="array" ref="DZ32">IF(ISBLANK(INDEX(FX_Input,$KB32+1,DZ$85)),INDEX(FX_Input,$KB32,DZ$85),INDEX(FX_Input,$KB32,DZ$85)&amp;" &amp; "&amp;INDEX(FX_Input,$KB32+1,DZ$85))</f>
        <v>Jet kerosene</v>
      </c>
      <c r="EA32" s="63" cm="1">
        <f t="array" ref="EA32">INDEX(FX_Temps,$KC32+7,EA$89)</f>
        <v>0</v>
      </c>
      <c r="EB32" s="63" cm="1">
        <f t="array" ref="EB32">INDEX(FX_Temps,$KC32+13,EB$89)+459.6</f>
        <v>520.04999999999995</v>
      </c>
      <c r="EC32" s="63" cm="1">
        <f t="array" ref="EC32">INDEX(FX_Vap,$KG32,EC$91)-INDEX(FX_Vap,$KH32,EC$91)</f>
        <v>0</v>
      </c>
      <c r="ED32" s="73" cm="1">
        <f t="array" ref="ED32">IF(DZ32="Out of Service",0,INDEX(FX_Vap,$KI32,ED$91))</f>
        <v>8.3358107202842254E-3</v>
      </c>
      <c r="EE32" s="63">
        <f t="shared" si="51"/>
        <v>0</v>
      </c>
      <c r="EF32" s="63">
        <f t="shared" si="52"/>
        <v>0.9906991118379892</v>
      </c>
      <c r="EG32" s="63" cm="1">
        <f t="array" ref="EG32">INDEX(FX_Vap,$KJ32,EG$91)</f>
        <v>130</v>
      </c>
      <c r="EH32" s="63" cm="1">
        <f t="array" ref="EH32">INDEX(FX_Temps,$KD32,EH$89)+459.6</f>
        <v>520.04999999999995</v>
      </c>
      <c r="EI32" s="63">
        <f t="shared" si="53"/>
        <v>1.9418062801892895E-4</v>
      </c>
      <c r="EJ32" s="63" cm="1">
        <f t="array" ref="EJ32">INDEX(Month_Ref,EJ$83,3)*EE32*(PI()/4*$F32^2)*$H32*EF32*EI32</f>
        <v>0</v>
      </c>
      <c r="EK32" s="63" cm="1">
        <f t="array" ref="EK32">INDEX(FX_Input,$KB32,EK$85)</f>
        <v>80568</v>
      </c>
      <c r="EL32" s="63">
        <f t="shared" si="54"/>
        <v>452308.75199999998</v>
      </c>
      <c r="EM32" s="63">
        <f t="shared" si="55"/>
        <v>1.0524440597152953</v>
      </c>
      <c r="EN32" s="63">
        <f t="shared" si="56"/>
        <v>1</v>
      </c>
      <c r="EO32" s="63" cm="1">
        <f t="array" ref="EO32">IF(OR(INDEX(FX_Vap,$KK32,EO$90)="Crude Oil",(INDEX(FX_Vap,$KL32,EO$90)="Crude Oil")),0.75,1)</f>
        <v>1</v>
      </c>
      <c r="EP32" s="63">
        <f t="shared" si="114"/>
        <v>1</v>
      </c>
      <c r="EQ32" s="63">
        <f t="shared" si="57"/>
        <v>87.829597521817988</v>
      </c>
      <c r="ER32" s="64">
        <f t="shared" si="58"/>
        <v>87.829597521817988</v>
      </c>
      <c r="ES32" s="80" t="str" cm="1">
        <f t="array" ref="ES32">IF(ISBLANK(INDEX(FX_Input,$KB32+1,ES$85)),INDEX(FX_Input,$KB32,ES$85),INDEX(FX_Input,$KB32,ES$85)&amp;" &amp; "&amp;INDEX(FX_Input,$KB32+1,ES$85))</f>
        <v>Jet kerosene</v>
      </c>
      <c r="ET32" s="63" cm="1">
        <f t="array" ref="ET32">INDEX(FX_Temps,$KC32+7,ET$89)</f>
        <v>0</v>
      </c>
      <c r="EU32" s="63" cm="1">
        <f t="array" ref="EU32">INDEX(FX_Temps,$KC32+13,EU$89)+459.6</f>
        <v>520.5</v>
      </c>
      <c r="EV32" s="63" cm="1">
        <f t="array" ref="EV32">INDEX(FX_Vap,$KG32,EV$91)-INDEX(FX_Vap,$KH32,EV$91)</f>
        <v>0</v>
      </c>
      <c r="EW32" s="73" cm="1">
        <f t="array" ref="EW32">IF(ES32="Out of Service",0,INDEX(FX_Vap,$KI32,EW$91))</f>
        <v>8.4605262729351115E-3</v>
      </c>
      <c r="EX32" s="63">
        <f t="shared" si="59"/>
        <v>0</v>
      </c>
      <c r="EY32" s="63">
        <f t="shared" si="60"/>
        <v>0.99056127079931111</v>
      </c>
      <c r="EZ32" s="63" cm="1">
        <f t="array" ref="EZ32">INDEX(FX_Vap,$KJ32,EZ$91)</f>
        <v>130</v>
      </c>
      <c r="FA32" s="63" cm="1">
        <f t="array" ref="FA32">INDEX(FX_Temps,$KD32,FA$89)+459.6</f>
        <v>520.5</v>
      </c>
      <c r="FB32" s="63">
        <f t="shared" si="61"/>
        <v>1.969154544366044E-4</v>
      </c>
      <c r="FC32" s="63" cm="1">
        <f t="array" ref="FC32">INDEX(Month_Ref,FC$83,3)*EX32*(PI()/4*$F32^2)*$H32*EY32*FB32</f>
        <v>0</v>
      </c>
      <c r="FD32" s="63" cm="1">
        <f t="array" ref="FD32">INDEX(FX_Input,$KB32,FD$85)</f>
        <v>80568</v>
      </c>
      <c r="FE32" s="63">
        <f t="shared" si="62"/>
        <v>452308.75199999998</v>
      </c>
      <c r="FF32" s="63">
        <f t="shared" si="63"/>
        <v>1.0524440597152953</v>
      </c>
      <c r="FG32" s="63">
        <f t="shared" si="64"/>
        <v>1</v>
      </c>
      <c r="FH32" s="63" cm="1">
        <f t="array" ref="FH32">IF(OR(INDEX(FX_Vap,$KK32,FH$90)="Crude Oil",(INDEX(FX_Vap,$KL32,FH$90)="Crude Oil")),0.75,1)</f>
        <v>1</v>
      </c>
      <c r="FI32" s="63">
        <f t="shared" si="115"/>
        <v>1</v>
      </c>
      <c r="FJ32" s="63">
        <f t="shared" si="65"/>
        <v>89.0665834457334</v>
      </c>
      <c r="FK32" s="64">
        <f t="shared" si="66"/>
        <v>89.0665834457334</v>
      </c>
      <c r="FL32" s="80" t="str" cm="1">
        <f t="array" ref="FL32">IF(ISBLANK(INDEX(FX_Input,$KB32+1,FL$85)),INDEX(FX_Input,$KB32,FL$85),INDEX(FX_Input,$KB32,FL$85)&amp;" &amp; "&amp;INDEX(FX_Input,$KB32+1,FL$85))</f>
        <v>Jet kerosene</v>
      </c>
      <c r="FM32" s="63" cm="1">
        <f t="array" ref="FM32">INDEX(FX_Temps,$KC32+7,FM$89)</f>
        <v>0</v>
      </c>
      <c r="FN32" s="63" cm="1">
        <f t="array" ref="FN32">INDEX(FX_Temps,$KC32+13,FN$89)+459.6</f>
        <v>518.20000000000005</v>
      </c>
      <c r="FO32" s="63" cm="1">
        <f t="array" ref="FO32">INDEX(FX_Vap,$KG32,FO$91)-INDEX(FX_Vap,$KH32,FO$91)</f>
        <v>0</v>
      </c>
      <c r="FP32" s="73" cm="1">
        <f t="array" ref="FP32">IF(FL32="Out of Service",0,INDEX(FX_Vap,$KI32,FP$91))</f>
        <v>7.8399882233967533E-3</v>
      </c>
      <c r="FQ32" s="63">
        <f t="shared" si="67"/>
        <v>0</v>
      </c>
      <c r="FR32" s="63">
        <f t="shared" si="68"/>
        <v>0.9912474960070683</v>
      </c>
      <c r="FS32" s="63" cm="1">
        <f t="array" ref="FS32">INDEX(FX_Vap,$KJ32,FS$91)</f>
        <v>130</v>
      </c>
      <c r="FT32" s="63" cm="1">
        <f t="array" ref="FT32">INDEX(FX_Temps,$KD32,FT$89)+459.6</f>
        <v>518.20000000000005</v>
      </c>
      <c r="FU32" s="63">
        <f t="shared" si="69"/>
        <v>1.8328256712249962E-4</v>
      </c>
      <c r="FV32" s="63" cm="1">
        <f t="array" ref="FV32">INDEX(Month_Ref,FV$83,3)*FQ32*(PI()/4*$F32^2)*$H32*FR32*FU32</f>
        <v>0</v>
      </c>
      <c r="FW32" s="63" cm="1">
        <f t="array" ref="FW32">INDEX(FX_Input,$KB32,FW$85)</f>
        <v>80568</v>
      </c>
      <c r="FX32" s="63">
        <f t="shared" si="70"/>
        <v>452308.75199999998</v>
      </c>
      <c r="FY32" s="63">
        <f t="shared" si="71"/>
        <v>1.0524440597152953</v>
      </c>
      <c r="FZ32" s="63">
        <f t="shared" si="72"/>
        <v>1</v>
      </c>
      <c r="GA32" s="63" cm="1">
        <f t="array" ref="GA32">IF(OR(INDEX(FX_Vap,$KK32,GA$90)="Crude Oil",(INDEX(FX_Vap,$KL32,GA$90)="Crude Oil")),0.75,1)</f>
        <v>1</v>
      </c>
      <c r="GB32" s="63">
        <f t="shared" si="116"/>
        <v>1</v>
      </c>
      <c r="GC32" s="63">
        <f t="shared" si="73"/>
        <v>82.900309198534032</v>
      </c>
      <c r="GD32" s="64">
        <f t="shared" si="74"/>
        <v>82.900309198534032</v>
      </c>
      <c r="GE32" s="80" t="str" cm="1">
        <f t="array" ref="GE32">IF(ISBLANK(INDEX(FX_Input,$KB32+1,GE$85)),INDEX(FX_Input,$KB32,GE$85),INDEX(FX_Input,$KB32,GE$85)&amp;" &amp; "&amp;INDEX(FX_Input,$KB32+1,GE$85))</f>
        <v>Jet kerosene</v>
      </c>
      <c r="GF32" s="63" cm="1">
        <f t="array" ref="GF32">INDEX(FX_Temps,$KC32+7,GF$89)</f>
        <v>0</v>
      </c>
      <c r="GG32" s="63" cm="1">
        <f t="array" ref="GG32">INDEX(FX_Temps,$KC32+13,GG$89)+459.6</f>
        <v>512.25</v>
      </c>
      <c r="GH32" s="63" cm="1">
        <f t="array" ref="GH32">INDEX(FX_Vap,$KG32,GH$91)-INDEX(FX_Vap,$KH32,GH$91)</f>
        <v>0</v>
      </c>
      <c r="GI32" s="73" cm="1">
        <f t="array" ref="GI32">IF(GE32="Out of Service",0,INDEX(FX_Vap,$KI32,GI$91))</f>
        <v>6.4173462075160911E-3</v>
      </c>
      <c r="GJ32" s="63">
        <f t="shared" si="75"/>
        <v>0</v>
      </c>
      <c r="GK32" s="63">
        <f t="shared" si="76"/>
        <v>0.99282432627514827</v>
      </c>
      <c r="GL32" s="63" cm="1">
        <f t="array" ref="GL32">INDEX(FX_Vap,$KJ32,GL$91)</f>
        <v>130</v>
      </c>
      <c r="GM32" s="63" cm="1">
        <f t="array" ref="GM32">INDEX(FX_Temps,$KD32,GM$89)+459.6</f>
        <v>512.25</v>
      </c>
      <c r="GN32" s="63">
        <f t="shared" si="77"/>
        <v>1.5176675903637226E-4</v>
      </c>
      <c r="GO32" s="63" cm="1">
        <f t="array" ref="GO32">INDEX(Month_Ref,GO$83,3)*GJ32*(PI()/4*$F32^2)*$H32*GK32*GN32</f>
        <v>0</v>
      </c>
      <c r="GP32" s="63" cm="1">
        <f t="array" ref="GP32">INDEX(FX_Input,$KB32,GP$85)</f>
        <v>80568</v>
      </c>
      <c r="GQ32" s="63">
        <f t="shared" si="78"/>
        <v>452308.75199999998</v>
      </c>
      <c r="GR32" s="63">
        <f t="shared" si="79"/>
        <v>1.0524440597152953</v>
      </c>
      <c r="GS32" s="63">
        <f t="shared" si="80"/>
        <v>1</v>
      </c>
      <c r="GT32" s="63" cm="1">
        <f t="array" ref="GT32">IF(OR(INDEX(FX_Vap,$KK32,GT$90)="Crude Oil",(INDEX(FX_Vap,$KL32,GT$90)="Crude Oil")),0.75,1)</f>
        <v>1</v>
      </c>
      <c r="GU32" s="63">
        <f t="shared" si="117"/>
        <v>1</v>
      </c>
      <c r="GV32" s="63">
        <f t="shared" si="81"/>
        <v>68.645433374826254</v>
      </c>
      <c r="GW32" s="64">
        <f t="shared" si="82"/>
        <v>68.645433374826254</v>
      </c>
      <c r="GX32" s="80" t="str" cm="1">
        <f t="array" ref="GX32">IF(ISBLANK(INDEX(FX_Input,$KB32+1,GX$85)),INDEX(FX_Input,$KB32,GX$85),INDEX(FX_Input,$KB32,GX$85)&amp;" &amp; "&amp;INDEX(FX_Input,$KB32+1,GX$85))</f>
        <v>Jet kerosene</v>
      </c>
      <c r="GY32" s="63" cm="1">
        <f t="array" ref="GY32">INDEX(FX_Temps,$KC32+7,GY$89)</f>
        <v>0</v>
      </c>
      <c r="GZ32" s="63" cm="1">
        <f t="array" ref="GZ32">INDEX(FX_Temps,$KC32+13,GZ$89)+459.6</f>
        <v>506.70000000000005</v>
      </c>
      <c r="HA32" s="63" cm="1">
        <f t="array" ref="HA32">INDEX(FX_Vap,$KG32,HA$91)-INDEX(FX_Vap,$KH32,HA$91)</f>
        <v>0</v>
      </c>
      <c r="HB32" s="73" cm="1">
        <f t="array" ref="HB32">IF(GX32="Out of Service",0,INDEX(FX_Vap,$KI32,HB$91))</f>
        <v>5.3015226887581056E-3</v>
      </c>
      <c r="HC32" s="63">
        <f t="shared" si="83"/>
        <v>0</v>
      </c>
      <c r="HD32" s="63">
        <f t="shared" si="84"/>
        <v>0.99406459939868641</v>
      </c>
      <c r="HE32" s="63" cm="1">
        <f t="array" ref="HE32">INDEX(FX_Vap,$KJ32,HE$91)</f>
        <v>130</v>
      </c>
      <c r="HF32" s="63" cm="1">
        <f t="array" ref="HF32">INDEX(FX_Temps,$KD32,HF$89)+459.6</f>
        <v>506.70000000000005</v>
      </c>
      <c r="HG32" s="63">
        <f t="shared" si="85"/>
        <v>1.2675143286623188E-4</v>
      </c>
      <c r="HH32" s="63" cm="1">
        <f t="array" ref="HH32">INDEX(Month_Ref,HH$83,3)*HC32*(PI()/4*$F32^2)*$H32*HD32*HG32</f>
        <v>0</v>
      </c>
      <c r="HI32" s="63" cm="1">
        <f t="array" ref="HI32">INDEX(FX_Input,$KB32,HI$85)</f>
        <v>80568</v>
      </c>
      <c r="HJ32" s="63">
        <f t="shared" si="86"/>
        <v>452308.75199999998</v>
      </c>
      <c r="HK32" s="63">
        <f t="shared" si="87"/>
        <v>1.0524440597152953</v>
      </c>
      <c r="HL32" s="63">
        <f t="shared" si="88"/>
        <v>1</v>
      </c>
      <c r="HM32" s="63" cm="1">
        <f t="array" ref="HM32">IF(OR(INDEX(FX_Vap,$KK32,HM$90)="Crude Oil",(INDEX(FX_Vap,$KL32,HM$90)="Crude Oil")),0.75,1)</f>
        <v>1</v>
      </c>
      <c r="HN32" s="63">
        <f t="shared" si="118"/>
        <v>1</v>
      </c>
      <c r="HO32" s="63">
        <f t="shared" si="89"/>
        <v>57.330782413937122</v>
      </c>
      <c r="HP32" s="64">
        <f t="shared" si="90"/>
        <v>57.330782413937122</v>
      </c>
      <c r="HQ32" s="80" t="str" cm="1">
        <f t="array" ref="HQ32">IF(ISBLANK(INDEX(FX_Input,$KB32+1,HQ$85)),INDEX(FX_Input,$KB32,HQ$85),INDEX(FX_Input,$KB32,HQ$85)&amp;" &amp; "&amp;INDEX(FX_Input,$KB32+1,HQ$85))</f>
        <v>Jet kerosene</v>
      </c>
      <c r="HR32" s="63" cm="1">
        <f t="array" ref="HR32">INDEX(FX_Temps,$KC32+7,HR$89)</f>
        <v>0</v>
      </c>
      <c r="HS32" s="63" cm="1">
        <f t="array" ref="HS32">INDEX(FX_Temps,$KC32+13,HS$89)+459.6</f>
        <v>503.20000000000005</v>
      </c>
      <c r="HT32" s="63" cm="1">
        <f t="array" ref="HT32">INDEX(FX_Vap,$KG32,HT$91)-INDEX(FX_Vap,$KH32,HT$91)</f>
        <v>0</v>
      </c>
      <c r="HU32" s="73" cm="1">
        <f t="array" ref="HU32">IF(HQ32="Out of Service",0,INDEX(FX_Vap,$KI32,HU$91))</f>
        <v>4.68970903600947E-3</v>
      </c>
      <c r="HV32" s="63">
        <f t="shared" si="91"/>
        <v>0</v>
      </c>
      <c r="HW32" s="63">
        <f t="shared" si="92"/>
        <v>0.99474596587577979</v>
      </c>
      <c r="HX32" s="63" cm="1">
        <f t="array" ref="HX32">INDEX(FX_Vap,$KJ32,HX$91)</f>
        <v>130</v>
      </c>
      <c r="HY32" s="63" cm="1">
        <f t="array" ref="HY32">INDEX(FX_Temps,$KD32,HY$89)+459.6</f>
        <v>503.20000000000005</v>
      </c>
      <c r="HZ32" s="63">
        <f t="shared" si="93"/>
        <v>1.1290376474196325E-4</v>
      </c>
      <c r="IA32" s="63" cm="1">
        <f t="array" ref="IA32">INDEX(Month_Ref,IA$83,3)*HV32*(PI()/4*$F32^2)*$H32*HW32*HZ32</f>
        <v>0</v>
      </c>
      <c r="IB32" s="63" cm="1">
        <f t="array" ref="IB32">INDEX(FX_Input,$KB32,IB$85)</f>
        <v>80568</v>
      </c>
      <c r="IC32" s="63">
        <f t="shared" si="94"/>
        <v>452308.75199999998</v>
      </c>
      <c r="ID32" s="63">
        <f t="shared" si="95"/>
        <v>1.0524440597152953</v>
      </c>
      <c r="IE32" s="63">
        <f t="shared" si="96"/>
        <v>1</v>
      </c>
      <c r="IF32" s="63" cm="1">
        <f t="array" ref="IF32">IF(OR(INDEX(FX_Vap,$KK32,IF$90)="Crude Oil",(INDEX(FX_Vap,$KL32,IF$90)="Crude Oil")),0.75,1)</f>
        <v>1</v>
      </c>
      <c r="IG32" s="63">
        <f t="shared" si="119"/>
        <v>1</v>
      </c>
      <c r="IH32" s="63">
        <f t="shared" si="97"/>
        <v>51.067360926538996</v>
      </c>
      <c r="II32" s="64">
        <f t="shared" si="98"/>
        <v>51.067360926538996</v>
      </c>
      <c r="IJ32" s="80">
        <f t="shared" si="99"/>
        <v>0</v>
      </c>
      <c r="IK32" s="63">
        <f t="shared" si="100"/>
        <v>0</v>
      </c>
      <c r="IL32" s="63">
        <f t="shared" si="101"/>
        <v>805.54242782669223</v>
      </c>
      <c r="IM32" s="63">
        <f t="shared" si="102"/>
        <v>0.40277121391334614</v>
      </c>
      <c r="IN32" s="63">
        <f t="shared" si="103"/>
        <v>805.54242782669223</v>
      </c>
      <c r="IO32" s="64">
        <f t="shared" si="104"/>
        <v>0.40277121391334614</v>
      </c>
      <c r="KB32" s="43">
        <f t="shared" si="120"/>
        <v>43</v>
      </c>
      <c r="KC32" s="43">
        <f t="shared" si="121"/>
        <v>295</v>
      </c>
      <c r="KD32" s="43">
        <f t="shared" si="122"/>
        <v>308</v>
      </c>
      <c r="KE32" s="43">
        <f t="shared" si="123"/>
        <v>295</v>
      </c>
      <c r="KF32" s="43">
        <f t="shared" si="124"/>
        <v>715</v>
      </c>
      <c r="KG32" s="43">
        <f t="shared" si="125"/>
        <v>738</v>
      </c>
      <c r="KH32" s="43">
        <f t="shared" si="126"/>
        <v>733</v>
      </c>
      <c r="KI32" s="43">
        <f t="shared" si="126"/>
        <v>743</v>
      </c>
      <c r="KJ32" s="43">
        <f t="shared" si="126"/>
        <v>748</v>
      </c>
      <c r="KK32" s="43">
        <f t="shared" si="127"/>
        <v>719</v>
      </c>
      <c r="KL32" s="43">
        <f t="shared" si="128"/>
        <v>721</v>
      </c>
    </row>
    <row r="33" spans="2:298" x14ac:dyDescent="0.4">
      <c r="B33" s="43" t="str" cm="1">
        <f t="array" ref="B33">INDEX(FX_Input,$KB33,B$85)</f>
        <v>FX - 23</v>
      </c>
      <c r="C33" s="93" t="str" cm="1">
        <f t="array" ref="C33">INDEX(FX_Input,$KB33,C$85)</f>
        <v>FIXTANK 140</v>
      </c>
      <c r="D33" s="80">
        <f t="shared" si="0"/>
        <v>3101.3409977156739</v>
      </c>
      <c r="E33" s="63" cm="1">
        <f t="array" ref="E33">IF(ISBLANK(INDEX(FX_Input,$KB33,$E$85)),0.03,INDEX(FX_Input,$KB33,$E$85))-IF(ISBLANK(INDEX(FX_Input,$KB33,$E$86)),-0.03,INDEX(FX_Input,$KB33,$E$86))</f>
        <v>0.06</v>
      </c>
      <c r="F33" s="63" cm="1">
        <f t="array" ref="F33">IF(INDEX(FX_Input,$KB33,F$85)="Vertical",INDEX(FX_Input,$KB33,F$86),SQRT((INDEX(FX_Input,$KB33,F$86)*INDEX(FX_Input,$KB33,F$87))/(PI()/4)))</f>
        <v>18</v>
      </c>
      <c r="G33" s="63" cm="1">
        <f t="array" ref="G33">IF(INDEX(FX_Input,$KB33,G$85)="Vertical",INDEX(FX_Input,$KB33,G$86),INDEX(FX_Input,$KB33,G$87)*PI()/4)</f>
        <v>24</v>
      </c>
      <c r="H33" s="63" cm="1">
        <f t="array" ref="H33">IF(INDEX(FX_Input,$KB33,H$85)="Vertical",G33-G33/2+J33,G33/2)</f>
        <v>12.1875</v>
      </c>
      <c r="I33" s="63" cm="1">
        <f t="array" ref="I33">IF(INDEX(FX_Input,$KB33,F$85)="Horizontal","N/A",IF(INDEX(FX_Input,$KB33,I$86)="Cone",IF(ISBLANK(INDEX(FX_Input,$KB33,I$87)),0.0625,INDEX(FX_Input,$KB33,I$87))*F33/2,F33/2-SQRT((F33/2)^2-(INDEX(FX_Input,$KB33,I$88)^2))))</f>
        <v>0.5625</v>
      </c>
      <c r="J33" s="63" cm="1">
        <f t="array" ref="J33">IF(INDEX(FX_Input,$KB33,J$85)="Horizontal","N/A",IF(INDEX(FX_Input,$KB33,J$86)="Cone",I33/3,I33*(1/2+(1/6)*(I33/(F33/2))^2)))</f>
        <v>0.1875</v>
      </c>
      <c r="K33" s="63">
        <f t="shared" si="1"/>
        <v>23</v>
      </c>
      <c r="L33" s="63">
        <v>1</v>
      </c>
      <c r="M33" s="63" t="str" cm="1">
        <f t="array" ref="M33">INDEX(Tbl_71_6,MATCH(INDEX(FX_Input,$KB33,M$85),Paint_Color,0),VLOOKUP(INDEX(FX_Input,$KB33,M$86),Paint_Cond_Column,2,FALSE))</f>
        <v>N/A</v>
      </c>
      <c r="N33" s="63" t="str" cm="1">
        <f t="array" ref="N33">INDEX(Tbl_71_6,MATCH(INDEX(FX_Input,$KB33,N$85),Paint_Color,0),VLOOKUP(INDEX(FX_Input,$KB33,N$86),Paint_Cond_Column,2,FALSE))</f>
        <v>N/A</v>
      </c>
      <c r="O33" s="64" t="str">
        <f t="shared" si="2"/>
        <v>Insulated</v>
      </c>
      <c r="P33" s="80" t="str" cm="1">
        <f t="array" ref="P33">IF(ISBLANK(INDEX(FX_Input,$KB33+1,P$85)),INDEX(FX_Input,$KB33,P$85),INDEX(FX_Input,$KB33,P$85)&amp;" &amp; "&amp;INDEX(FX_Input,$KB33+1,P$85))</f>
        <v>Out of Service</v>
      </c>
      <c r="Q33" s="63" cm="1">
        <f t="array" ref="Q33">INDEX(FX_Temps,$KC33+7,Q$89)</f>
        <v>0</v>
      </c>
      <c r="R33" s="63" cm="1">
        <f t="array" ref="R33">INDEX(FX_Temps,$KC33+13,R$89)+459.6</f>
        <v>503.5</v>
      </c>
      <c r="S33" s="63" cm="1">
        <f t="array" ref="S33">INDEX(FX_Vap,$KG33,S$91)-INDEX(FX_Vap,$KH33,S$91)</f>
        <v>0</v>
      </c>
      <c r="T33" s="73" cm="1">
        <f t="array" ref="T33">IF(P33="Out of Service",0,INDEX(FX_Vap,$KI33,T$91))</f>
        <v>0</v>
      </c>
      <c r="U33" s="63">
        <f t="shared" si="3"/>
        <v>0</v>
      </c>
      <c r="V33" s="63">
        <f t="shared" si="4"/>
        <v>1</v>
      </c>
      <c r="W33" s="63" cm="1">
        <f t="array" ref="W33">INDEX(FX_Vap,$KJ33,W$91)</f>
        <v>0</v>
      </c>
      <c r="X33" s="63" cm="1">
        <f t="array" ref="X33">INDEX(FX_Temps,$KD33,X$89)+459.6</f>
        <v>503.5</v>
      </c>
      <c r="Y33" s="63">
        <f t="shared" si="5"/>
        <v>0</v>
      </c>
      <c r="Z33" s="63" cm="1">
        <f t="array" ref="Z33">INDEX(Month_Ref,Z$83,3)*U33*(PI()/4*$F33^2)*$H33*V33*Y33</f>
        <v>0</v>
      </c>
      <c r="AA33" s="63" cm="1">
        <f t="array" ref="AA33">INDEX(FX_Input,$KB33,AA$85)</f>
        <v>0</v>
      </c>
      <c r="AB33" s="63">
        <f t="shared" si="6"/>
        <v>0</v>
      </c>
      <c r="AC33" s="63">
        <f t="shared" si="7"/>
        <v>0</v>
      </c>
      <c r="AD33" s="63">
        <f t="shared" si="8"/>
        <v>1</v>
      </c>
      <c r="AE33" s="63" cm="1">
        <f t="array" ref="AE33">IF(OR(INDEX(FX_Vap,$KK33,AE$90)="Crude Oil",(INDEX(FX_Vap,$KL33,AE$90)="Crude Oil")),0.75,1)</f>
        <v>1</v>
      </c>
      <c r="AF33" s="63">
        <f t="shared" si="108"/>
        <v>1</v>
      </c>
      <c r="AG33" s="63">
        <f t="shared" si="9"/>
        <v>0</v>
      </c>
      <c r="AH33" s="64">
        <f t="shared" si="10"/>
        <v>0</v>
      </c>
      <c r="AI33" s="80" t="str" cm="1">
        <f t="array" ref="AI33">IF(ISBLANK(INDEX(FX_Input,$KB33+1,AI$85)),INDEX(FX_Input,$KB33,AI$85),INDEX(FX_Input,$KB33,AI$85)&amp;" &amp; "&amp;INDEX(FX_Input,$KB33+1,AI$85))</f>
        <v>Out of Service</v>
      </c>
      <c r="AJ33" s="63" cm="1">
        <f t="array" ref="AJ33">INDEX(FX_Temps,$KC33+7,AJ$89)</f>
        <v>0</v>
      </c>
      <c r="AK33" s="63" cm="1">
        <f t="array" ref="AK33">INDEX(FX_Temps,$KC33+13,AK$89)+459.6</f>
        <v>504.30000000000007</v>
      </c>
      <c r="AL33" s="63" cm="1">
        <f t="array" ref="AL33">INDEX(FX_Vap,$KG33,AL$91)-INDEX(FX_Vap,$KH33,AL$91)</f>
        <v>0</v>
      </c>
      <c r="AM33" s="73" cm="1">
        <f t="array" ref="AM33">IF(AI33="Out of Service",0,INDEX(FX_Vap,$KI33,AM$91))</f>
        <v>0</v>
      </c>
      <c r="AN33" s="63">
        <f t="shared" si="11"/>
        <v>0</v>
      </c>
      <c r="AO33" s="63">
        <f t="shared" si="12"/>
        <v>1</v>
      </c>
      <c r="AP33" s="63" cm="1">
        <f t="array" ref="AP33">INDEX(FX_Vap,$KJ33,AP$91)</f>
        <v>0</v>
      </c>
      <c r="AQ33" s="63" cm="1">
        <f t="array" ref="AQ33">INDEX(FX_Temps,$KD33,AQ$89)+459.6</f>
        <v>504.30000000000007</v>
      </c>
      <c r="AR33" s="63">
        <f t="shared" si="13"/>
        <v>0</v>
      </c>
      <c r="AS33" s="63" cm="1">
        <f t="array" ref="AS33">INDEX(Month_Ref,AS$83,3)*AN33*(PI()/4*$F33^2)*$H33*AO33*AR33</f>
        <v>0</v>
      </c>
      <c r="AT33" s="63" cm="1">
        <f t="array" ref="AT33">INDEX(FX_Input,$KB33,AT$85)</f>
        <v>0</v>
      </c>
      <c r="AU33" s="63">
        <f t="shared" si="14"/>
        <v>0</v>
      </c>
      <c r="AV33" s="63">
        <f t="shared" si="15"/>
        <v>0</v>
      </c>
      <c r="AW33" s="63">
        <f t="shared" si="16"/>
        <v>1</v>
      </c>
      <c r="AX33" s="63" cm="1">
        <f t="array" ref="AX33">IF(OR(INDEX(FX_Vap,$KK33,AX$90)="Crude Oil",(INDEX(FX_Vap,$KL33,AX$90)="Crude Oil")),0.75,1)</f>
        <v>1</v>
      </c>
      <c r="AY33" s="63">
        <f t="shared" si="109"/>
        <v>1</v>
      </c>
      <c r="AZ33" s="63">
        <f t="shared" si="17"/>
        <v>0</v>
      </c>
      <c r="BA33" s="64">
        <f t="shared" si="18"/>
        <v>0</v>
      </c>
      <c r="BB33" s="80" t="str" cm="1">
        <f t="array" ref="BB33">IF(ISBLANK(INDEX(FX_Input,$KB33+1,BB$85)),INDEX(FX_Input,$KB33,BB$85),INDEX(FX_Input,$KB33,BB$85)&amp;" &amp; "&amp;INDEX(FX_Input,$KB33+1,BB$85))</f>
        <v>Out of Service</v>
      </c>
      <c r="BC33" s="63" cm="1">
        <f t="array" ref="BC33">INDEX(FX_Temps,$KC33+7,BC$89)</f>
        <v>0</v>
      </c>
      <c r="BD33" s="63" cm="1">
        <f t="array" ref="BD33">INDEX(FX_Temps,$KC33+13,BD$89)+459.6</f>
        <v>505.70000000000005</v>
      </c>
      <c r="BE33" s="63" cm="1">
        <f t="array" ref="BE33">INDEX(FX_Vap,$KG33,BE$91)-INDEX(FX_Vap,$KH33,BE$91)</f>
        <v>0</v>
      </c>
      <c r="BF33" s="73" cm="1">
        <f t="array" ref="BF33">IF(BB33="Out of Service",0,INDEX(FX_Vap,$KI33,BF$91))</f>
        <v>0</v>
      </c>
      <c r="BG33" s="63">
        <f t="shared" si="19"/>
        <v>0</v>
      </c>
      <c r="BH33" s="63">
        <f t="shared" si="20"/>
        <v>1</v>
      </c>
      <c r="BI33" s="63" cm="1">
        <f t="array" ref="BI33">INDEX(FX_Vap,$KJ33,BI$91)</f>
        <v>0</v>
      </c>
      <c r="BJ33" s="63" cm="1">
        <f t="array" ref="BJ33">INDEX(FX_Temps,$KD33,BJ$89)+459.6</f>
        <v>505.70000000000005</v>
      </c>
      <c r="BK33" s="63">
        <f t="shared" si="21"/>
        <v>0</v>
      </c>
      <c r="BL33" s="63" cm="1">
        <f t="array" ref="BL33">INDEX(Month_Ref,BL$83,3)*BG33*(PI()/4*$F33^2)*$H33*BH33*BK33</f>
        <v>0</v>
      </c>
      <c r="BM33" s="63" cm="1">
        <f t="array" ref="BM33">INDEX(FX_Input,$KB33,BM$85)</f>
        <v>0</v>
      </c>
      <c r="BN33" s="63">
        <f t="shared" si="22"/>
        <v>0</v>
      </c>
      <c r="BO33" s="63">
        <f t="shared" si="23"/>
        <v>0</v>
      </c>
      <c r="BP33" s="63">
        <f t="shared" si="24"/>
        <v>1</v>
      </c>
      <c r="BQ33" s="63" cm="1">
        <f t="array" ref="BQ33">IF(OR(INDEX(FX_Vap,$KK33,BQ$90)="Crude Oil",(INDEX(FX_Vap,$KL33,BQ$90)="Crude Oil")),0.75,1)</f>
        <v>1</v>
      </c>
      <c r="BR33" s="63">
        <f t="shared" si="110"/>
        <v>1</v>
      </c>
      <c r="BS33" s="63">
        <f t="shared" si="25"/>
        <v>0</v>
      </c>
      <c r="BT33" s="64">
        <f t="shared" si="26"/>
        <v>0</v>
      </c>
      <c r="BU33" s="80" t="str" cm="1">
        <f t="array" ref="BU33">IF(ISBLANK(INDEX(FX_Input,$KB33+1,BU$85)),INDEX(FX_Input,$KB33,BU$85),INDEX(FX_Input,$KB33,BU$85)&amp;" &amp; "&amp;INDEX(FX_Input,$KB33+1,BU$85))</f>
        <v>Out of Service</v>
      </c>
      <c r="BV33" s="63" cm="1">
        <f t="array" ref="BV33">INDEX(FX_Temps,$KC33+7,BV$89)</f>
        <v>0</v>
      </c>
      <c r="BW33" s="63" cm="1">
        <f t="array" ref="BW33">INDEX(FX_Temps,$KC33+13,BW$89)+459.6</f>
        <v>508.2</v>
      </c>
      <c r="BX33" s="63" cm="1">
        <f t="array" ref="BX33">INDEX(FX_Vap,$KG33,BX$91)-INDEX(FX_Vap,$KH33,BX$91)</f>
        <v>0</v>
      </c>
      <c r="BY33" s="73" cm="1">
        <f t="array" ref="BY33">IF(BU33="Out of Service",0,INDEX(FX_Vap,$KI33,BY$91))</f>
        <v>0</v>
      </c>
      <c r="BZ33" s="63">
        <f t="shared" si="27"/>
        <v>0</v>
      </c>
      <c r="CA33" s="63">
        <f t="shared" si="28"/>
        <v>1</v>
      </c>
      <c r="CB33" s="63" cm="1">
        <f t="array" ref="CB33">INDEX(FX_Vap,$KJ33,CB$91)</f>
        <v>0</v>
      </c>
      <c r="CC33" s="63" cm="1">
        <f t="array" ref="CC33">INDEX(FX_Temps,$KD33,CC$89)+459.6</f>
        <v>508.2</v>
      </c>
      <c r="CD33" s="63">
        <f t="shared" si="29"/>
        <v>0</v>
      </c>
      <c r="CE33" s="63" cm="1">
        <f t="array" ref="CE33">INDEX(Month_Ref,CE$83,3)*BZ33*(PI()/4*$F33^2)*$H33*CA33*CD33</f>
        <v>0</v>
      </c>
      <c r="CF33" s="63" cm="1">
        <f t="array" ref="CF33">INDEX(FX_Input,$KB33,CF$85)</f>
        <v>0</v>
      </c>
      <c r="CG33" s="63">
        <f t="shared" si="30"/>
        <v>0</v>
      </c>
      <c r="CH33" s="63">
        <f t="shared" si="31"/>
        <v>0</v>
      </c>
      <c r="CI33" s="63">
        <f t="shared" si="32"/>
        <v>1</v>
      </c>
      <c r="CJ33" s="63" cm="1">
        <f t="array" ref="CJ33">IF(OR(INDEX(FX_Vap,$KK33,CJ$90)="Crude Oil",(INDEX(FX_Vap,$KL33,CJ$90)="Crude Oil")),0.75,1)</f>
        <v>1</v>
      </c>
      <c r="CK33" s="63">
        <f t="shared" si="111"/>
        <v>1</v>
      </c>
      <c r="CL33" s="63">
        <f t="shared" si="33"/>
        <v>0</v>
      </c>
      <c r="CM33" s="64">
        <f t="shared" si="34"/>
        <v>0</v>
      </c>
      <c r="CN33" s="80" t="str" cm="1">
        <f t="array" ref="CN33">IF(ISBLANK(INDEX(FX_Input,$KB33+1,CN$85)),INDEX(FX_Input,$KB33,CN$85),INDEX(FX_Input,$KB33,CN$85)&amp;" &amp; "&amp;INDEX(FX_Input,$KB33+1,CN$85))</f>
        <v>Out of Service</v>
      </c>
      <c r="CO33" s="63" cm="1">
        <f t="array" ref="CO33">INDEX(FX_Temps,$KC33+7,CO$89)</f>
        <v>0</v>
      </c>
      <c r="CP33" s="63" cm="1">
        <f t="array" ref="CP33">INDEX(FX_Temps,$KC33+13,CP$89)+459.6</f>
        <v>512.75</v>
      </c>
      <c r="CQ33" s="63" cm="1">
        <f t="array" ref="CQ33">INDEX(FX_Vap,$KG33,CQ$91)-INDEX(FX_Vap,$KH33,CQ$91)</f>
        <v>0</v>
      </c>
      <c r="CR33" s="73" cm="1">
        <f t="array" ref="CR33">IF(CN33="Out of Service",0,INDEX(FX_Vap,$KI33,CR$91))</f>
        <v>0</v>
      </c>
      <c r="CS33" s="63">
        <f t="shared" si="35"/>
        <v>0</v>
      </c>
      <c r="CT33" s="63">
        <f t="shared" si="36"/>
        <v>1</v>
      </c>
      <c r="CU33" s="63" cm="1">
        <f t="array" ref="CU33">INDEX(FX_Vap,$KJ33,CU$91)</f>
        <v>0</v>
      </c>
      <c r="CV33" s="63" cm="1">
        <f t="array" ref="CV33">INDEX(FX_Temps,$KD33,CV$89)+459.6</f>
        <v>512.75</v>
      </c>
      <c r="CW33" s="63">
        <f t="shared" si="37"/>
        <v>0</v>
      </c>
      <c r="CX33" s="63" cm="1">
        <f t="array" ref="CX33">INDEX(Month_Ref,CX$83,3)*CS33*(PI()/4*$F33^2)*$H33*CT33*CW33</f>
        <v>0</v>
      </c>
      <c r="CY33" s="63" cm="1">
        <f t="array" ref="CY33">INDEX(FX_Input,$KB33,CY$85)</f>
        <v>0</v>
      </c>
      <c r="CZ33" s="63">
        <f t="shared" si="38"/>
        <v>0</v>
      </c>
      <c r="DA33" s="63">
        <f t="shared" si="39"/>
        <v>0</v>
      </c>
      <c r="DB33" s="63">
        <f t="shared" si="40"/>
        <v>1</v>
      </c>
      <c r="DC33" s="63" cm="1">
        <f t="array" ref="DC33">IF(OR(INDEX(FX_Vap,$KK33,DC$90)="Crude Oil",(INDEX(FX_Vap,$KL33,DC$90)="Crude Oil")),0.75,1)</f>
        <v>1</v>
      </c>
      <c r="DD33" s="63">
        <f t="shared" si="112"/>
        <v>1</v>
      </c>
      <c r="DE33" s="63">
        <f t="shared" si="41"/>
        <v>0</v>
      </c>
      <c r="DF33" s="64">
        <f t="shared" si="42"/>
        <v>0</v>
      </c>
      <c r="DG33" s="80" t="str" cm="1">
        <f t="array" ref="DG33">IF(ISBLANK(INDEX(FX_Input,$KB33+1,DG$85)),INDEX(FX_Input,$KB33,DG$85),INDEX(FX_Input,$KB33,DG$85)&amp;" &amp; "&amp;INDEX(FX_Input,$KB33+1,DG$85))</f>
        <v>Out of Service</v>
      </c>
      <c r="DH33" s="63" cm="1">
        <f t="array" ref="DH33">INDEX(FX_Temps,$KC33+7,DH$89)</f>
        <v>0</v>
      </c>
      <c r="DI33" s="63" cm="1">
        <f t="array" ref="DI33">INDEX(FX_Temps,$KC33+13,DI$89)+459.6</f>
        <v>516.55000000000007</v>
      </c>
      <c r="DJ33" s="63" cm="1">
        <f t="array" ref="DJ33">INDEX(FX_Vap,$KG33,DJ$91)-INDEX(FX_Vap,$KH33,DJ$91)</f>
        <v>0</v>
      </c>
      <c r="DK33" s="73" cm="1">
        <f t="array" ref="DK33">IF(DG33="Out of Service",0,INDEX(FX_Vap,$KI33,DK$91))</f>
        <v>0</v>
      </c>
      <c r="DL33" s="63">
        <f t="shared" si="43"/>
        <v>0</v>
      </c>
      <c r="DM33" s="63">
        <f t="shared" si="44"/>
        <v>1</v>
      </c>
      <c r="DN33" s="63" cm="1">
        <f t="array" ref="DN33">INDEX(FX_Vap,$KJ33,DN$91)</f>
        <v>0</v>
      </c>
      <c r="DO33" s="63" cm="1">
        <f t="array" ref="DO33">INDEX(FX_Temps,$KD33,DO$89)+459.6</f>
        <v>516.55000000000007</v>
      </c>
      <c r="DP33" s="63">
        <f t="shared" si="45"/>
        <v>0</v>
      </c>
      <c r="DQ33" s="63" cm="1">
        <f t="array" ref="DQ33">INDEX(Month_Ref,DQ$83,3)*DL33*(PI()/4*$F33^2)*$H33*DM33*DP33</f>
        <v>0</v>
      </c>
      <c r="DR33" s="63" cm="1">
        <f t="array" ref="DR33">INDEX(FX_Input,$KB33,DR$85)</f>
        <v>0</v>
      </c>
      <c r="DS33" s="63">
        <f t="shared" si="46"/>
        <v>0</v>
      </c>
      <c r="DT33" s="63">
        <f t="shared" si="47"/>
        <v>0</v>
      </c>
      <c r="DU33" s="63">
        <f t="shared" si="48"/>
        <v>1</v>
      </c>
      <c r="DV33" s="63" cm="1">
        <f t="array" ref="DV33">IF(OR(INDEX(FX_Vap,$KK33,DV$90)="Crude Oil",(INDEX(FX_Vap,$KL33,DV$90)="Crude Oil")),0.75,1)</f>
        <v>1</v>
      </c>
      <c r="DW33" s="63">
        <f t="shared" si="113"/>
        <v>1</v>
      </c>
      <c r="DX33" s="63">
        <f t="shared" si="49"/>
        <v>0</v>
      </c>
      <c r="DY33" s="64">
        <f t="shared" si="50"/>
        <v>0</v>
      </c>
      <c r="DZ33" s="80" t="str" cm="1">
        <f t="array" ref="DZ33">IF(ISBLANK(INDEX(FX_Input,$KB33+1,DZ$85)),INDEX(FX_Input,$KB33,DZ$85),INDEX(FX_Input,$KB33,DZ$85)&amp;" &amp; "&amp;INDEX(FX_Input,$KB33+1,DZ$85))</f>
        <v>Out of Service</v>
      </c>
      <c r="EA33" s="63" cm="1">
        <f t="array" ref="EA33">INDEX(FX_Temps,$KC33+7,EA$89)</f>
        <v>0</v>
      </c>
      <c r="EB33" s="63" cm="1">
        <f t="array" ref="EB33">INDEX(FX_Temps,$KC33+13,EB$89)+459.6</f>
        <v>520.04999999999995</v>
      </c>
      <c r="EC33" s="63" cm="1">
        <f t="array" ref="EC33">INDEX(FX_Vap,$KG33,EC$91)-INDEX(FX_Vap,$KH33,EC$91)</f>
        <v>0</v>
      </c>
      <c r="ED33" s="73" cm="1">
        <f t="array" ref="ED33">IF(DZ33="Out of Service",0,INDEX(FX_Vap,$KI33,ED$91))</f>
        <v>0</v>
      </c>
      <c r="EE33" s="63">
        <f t="shared" si="51"/>
        <v>0</v>
      </c>
      <c r="EF33" s="63">
        <f t="shared" si="52"/>
        <v>1</v>
      </c>
      <c r="EG33" s="63" cm="1">
        <f t="array" ref="EG33">INDEX(FX_Vap,$KJ33,EG$91)</f>
        <v>0</v>
      </c>
      <c r="EH33" s="63" cm="1">
        <f t="array" ref="EH33">INDEX(FX_Temps,$KD33,EH$89)+459.6</f>
        <v>520.04999999999995</v>
      </c>
      <c r="EI33" s="63">
        <f t="shared" si="53"/>
        <v>0</v>
      </c>
      <c r="EJ33" s="63" cm="1">
        <f t="array" ref="EJ33">INDEX(Month_Ref,EJ$83,3)*EE33*(PI()/4*$F33^2)*$H33*EF33*EI33</f>
        <v>0</v>
      </c>
      <c r="EK33" s="63" cm="1">
        <f t="array" ref="EK33">INDEX(FX_Input,$KB33,EK$85)</f>
        <v>0</v>
      </c>
      <c r="EL33" s="63">
        <f t="shared" si="54"/>
        <v>0</v>
      </c>
      <c r="EM33" s="63">
        <f t="shared" si="55"/>
        <v>0</v>
      </c>
      <c r="EN33" s="63">
        <f t="shared" si="56"/>
        <v>1</v>
      </c>
      <c r="EO33" s="63" cm="1">
        <f t="array" ref="EO33">IF(OR(INDEX(FX_Vap,$KK33,EO$90)="Crude Oil",(INDEX(FX_Vap,$KL33,EO$90)="Crude Oil")),0.75,1)</f>
        <v>1</v>
      </c>
      <c r="EP33" s="63">
        <f t="shared" si="114"/>
        <v>1</v>
      </c>
      <c r="EQ33" s="63">
        <f t="shared" si="57"/>
        <v>0</v>
      </c>
      <c r="ER33" s="64">
        <f t="shared" si="58"/>
        <v>0</v>
      </c>
      <c r="ES33" s="80" t="str" cm="1">
        <f t="array" ref="ES33">IF(ISBLANK(INDEX(FX_Input,$KB33+1,ES$85)),INDEX(FX_Input,$KB33,ES$85),INDEX(FX_Input,$KB33,ES$85)&amp;" &amp; "&amp;INDEX(FX_Input,$KB33+1,ES$85))</f>
        <v>Out of Service</v>
      </c>
      <c r="ET33" s="63" cm="1">
        <f t="array" ref="ET33">INDEX(FX_Temps,$KC33+7,ET$89)</f>
        <v>0</v>
      </c>
      <c r="EU33" s="63" cm="1">
        <f t="array" ref="EU33">INDEX(FX_Temps,$KC33+13,EU$89)+459.6</f>
        <v>520.5</v>
      </c>
      <c r="EV33" s="63" cm="1">
        <f t="array" ref="EV33">INDEX(FX_Vap,$KG33,EV$91)-INDEX(FX_Vap,$KH33,EV$91)</f>
        <v>0</v>
      </c>
      <c r="EW33" s="73" cm="1">
        <f t="array" ref="EW33">IF(ES33="Out of Service",0,INDEX(FX_Vap,$KI33,EW$91))</f>
        <v>0</v>
      </c>
      <c r="EX33" s="63">
        <f t="shared" si="59"/>
        <v>0</v>
      </c>
      <c r="EY33" s="63">
        <f t="shared" si="60"/>
        <v>1</v>
      </c>
      <c r="EZ33" s="63" cm="1">
        <f t="array" ref="EZ33">INDEX(FX_Vap,$KJ33,EZ$91)</f>
        <v>0</v>
      </c>
      <c r="FA33" s="63" cm="1">
        <f t="array" ref="FA33">INDEX(FX_Temps,$KD33,FA$89)+459.6</f>
        <v>520.5</v>
      </c>
      <c r="FB33" s="63">
        <f t="shared" si="61"/>
        <v>0</v>
      </c>
      <c r="FC33" s="63" cm="1">
        <f t="array" ref="FC33">INDEX(Month_Ref,FC$83,3)*EX33*(PI()/4*$F33^2)*$H33*EY33*FB33</f>
        <v>0</v>
      </c>
      <c r="FD33" s="63" cm="1">
        <f t="array" ref="FD33">INDEX(FX_Input,$KB33,FD$85)</f>
        <v>0</v>
      </c>
      <c r="FE33" s="63">
        <f t="shared" si="62"/>
        <v>0</v>
      </c>
      <c r="FF33" s="63">
        <f t="shared" si="63"/>
        <v>0</v>
      </c>
      <c r="FG33" s="63">
        <f t="shared" si="64"/>
        <v>1</v>
      </c>
      <c r="FH33" s="63" cm="1">
        <f t="array" ref="FH33">IF(OR(INDEX(FX_Vap,$KK33,FH$90)="Crude Oil",(INDEX(FX_Vap,$KL33,FH$90)="Crude Oil")),0.75,1)</f>
        <v>1</v>
      </c>
      <c r="FI33" s="63">
        <f t="shared" si="115"/>
        <v>1</v>
      </c>
      <c r="FJ33" s="63">
        <f t="shared" si="65"/>
        <v>0</v>
      </c>
      <c r="FK33" s="64">
        <f t="shared" si="66"/>
        <v>0</v>
      </c>
      <c r="FL33" s="80" t="str" cm="1">
        <f t="array" ref="FL33">IF(ISBLANK(INDEX(FX_Input,$KB33+1,FL$85)),INDEX(FX_Input,$KB33,FL$85),INDEX(FX_Input,$KB33,FL$85)&amp;" &amp; "&amp;INDEX(FX_Input,$KB33+1,FL$85))</f>
        <v>Out of Service</v>
      </c>
      <c r="FM33" s="63" cm="1">
        <f t="array" ref="FM33">INDEX(FX_Temps,$KC33+7,FM$89)</f>
        <v>0</v>
      </c>
      <c r="FN33" s="63" cm="1">
        <f t="array" ref="FN33">INDEX(FX_Temps,$KC33+13,FN$89)+459.6</f>
        <v>518.20000000000005</v>
      </c>
      <c r="FO33" s="63" cm="1">
        <f t="array" ref="FO33">INDEX(FX_Vap,$KG33,FO$91)-INDEX(FX_Vap,$KH33,FO$91)</f>
        <v>0</v>
      </c>
      <c r="FP33" s="73" cm="1">
        <f t="array" ref="FP33">IF(FL33="Out of Service",0,INDEX(FX_Vap,$KI33,FP$91))</f>
        <v>0</v>
      </c>
      <c r="FQ33" s="63">
        <f t="shared" si="67"/>
        <v>0</v>
      </c>
      <c r="FR33" s="63">
        <f t="shared" si="68"/>
        <v>1</v>
      </c>
      <c r="FS33" s="63" cm="1">
        <f t="array" ref="FS33">INDEX(FX_Vap,$KJ33,FS$91)</f>
        <v>0</v>
      </c>
      <c r="FT33" s="63" cm="1">
        <f t="array" ref="FT33">INDEX(FX_Temps,$KD33,FT$89)+459.6</f>
        <v>518.20000000000005</v>
      </c>
      <c r="FU33" s="63">
        <f t="shared" si="69"/>
        <v>0</v>
      </c>
      <c r="FV33" s="63" cm="1">
        <f t="array" ref="FV33">INDEX(Month_Ref,FV$83,3)*FQ33*(PI()/4*$F33^2)*$H33*FR33*FU33</f>
        <v>0</v>
      </c>
      <c r="FW33" s="63" cm="1">
        <f t="array" ref="FW33">INDEX(FX_Input,$KB33,FW$85)</f>
        <v>0</v>
      </c>
      <c r="FX33" s="63">
        <f t="shared" si="70"/>
        <v>0</v>
      </c>
      <c r="FY33" s="63">
        <f t="shared" si="71"/>
        <v>0</v>
      </c>
      <c r="FZ33" s="63">
        <f t="shared" si="72"/>
        <v>1</v>
      </c>
      <c r="GA33" s="63" cm="1">
        <f t="array" ref="GA33">IF(OR(INDEX(FX_Vap,$KK33,GA$90)="Crude Oil",(INDEX(FX_Vap,$KL33,GA$90)="Crude Oil")),0.75,1)</f>
        <v>1</v>
      </c>
      <c r="GB33" s="63">
        <f t="shared" si="116"/>
        <v>1</v>
      </c>
      <c r="GC33" s="63">
        <f t="shared" si="73"/>
        <v>0</v>
      </c>
      <c r="GD33" s="64">
        <f t="shared" si="74"/>
        <v>0</v>
      </c>
      <c r="GE33" s="80" t="str" cm="1">
        <f t="array" ref="GE33">IF(ISBLANK(INDEX(FX_Input,$KB33+1,GE$85)),INDEX(FX_Input,$KB33,GE$85),INDEX(FX_Input,$KB33,GE$85)&amp;" &amp; "&amp;INDEX(FX_Input,$KB33+1,GE$85))</f>
        <v>Out of Service</v>
      </c>
      <c r="GF33" s="63" cm="1">
        <f t="array" ref="GF33">INDEX(FX_Temps,$KC33+7,GF$89)</f>
        <v>0</v>
      </c>
      <c r="GG33" s="63" cm="1">
        <f t="array" ref="GG33">INDEX(FX_Temps,$KC33+13,GG$89)+459.6</f>
        <v>512.25</v>
      </c>
      <c r="GH33" s="63" cm="1">
        <f t="array" ref="GH33">INDEX(FX_Vap,$KG33,GH$91)-INDEX(FX_Vap,$KH33,GH$91)</f>
        <v>0</v>
      </c>
      <c r="GI33" s="73" cm="1">
        <f t="array" ref="GI33">IF(GE33="Out of Service",0,INDEX(FX_Vap,$KI33,GI$91))</f>
        <v>0</v>
      </c>
      <c r="GJ33" s="63">
        <f t="shared" si="75"/>
        <v>0</v>
      </c>
      <c r="GK33" s="63">
        <f t="shared" si="76"/>
        <v>1</v>
      </c>
      <c r="GL33" s="63" cm="1">
        <f t="array" ref="GL33">INDEX(FX_Vap,$KJ33,GL$91)</f>
        <v>0</v>
      </c>
      <c r="GM33" s="63" cm="1">
        <f t="array" ref="GM33">INDEX(FX_Temps,$KD33,GM$89)+459.6</f>
        <v>512.25</v>
      </c>
      <c r="GN33" s="63">
        <f t="shared" si="77"/>
        <v>0</v>
      </c>
      <c r="GO33" s="63" cm="1">
        <f t="array" ref="GO33">INDEX(Month_Ref,GO$83,3)*GJ33*(PI()/4*$F33^2)*$H33*GK33*GN33</f>
        <v>0</v>
      </c>
      <c r="GP33" s="63" cm="1">
        <f t="array" ref="GP33">INDEX(FX_Input,$KB33,GP$85)</f>
        <v>0</v>
      </c>
      <c r="GQ33" s="63">
        <f t="shared" si="78"/>
        <v>0</v>
      </c>
      <c r="GR33" s="63">
        <f t="shared" si="79"/>
        <v>0</v>
      </c>
      <c r="GS33" s="63">
        <f t="shared" si="80"/>
        <v>1</v>
      </c>
      <c r="GT33" s="63" cm="1">
        <f t="array" ref="GT33">IF(OR(INDEX(FX_Vap,$KK33,GT$90)="Crude Oil",(INDEX(FX_Vap,$KL33,GT$90)="Crude Oil")),0.75,1)</f>
        <v>1</v>
      </c>
      <c r="GU33" s="63">
        <f t="shared" si="117"/>
        <v>1</v>
      </c>
      <c r="GV33" s="63">
        <f t="shared" si="81"/>
        <v>0</v>
      </c>
      <c r="GW33" s="64">
        <f t="shared" si="82"/>
        <v>0</v>
      </c>
      <c r="GX33" s="80" t="str" cm="1">
        <f t="array" ref="GX33">IF(ISBLANK(INDEX(FX_Input,$KB33+1,GX$85)),INDEX(FX_Input,$KB33,GX$85),INDEX(FX_Input,$KB33,GX$85)&amp;" &amp; "&amp;INDEX(FX_Input,$KB33+1,GX$85))</f>
        <v>Out of Service</v>
      </c>
      <c r="GY33" s="63" cm="1">
        <f t="array" ref="GY33">INDEX(FX_Temps,$KC33+7,GY$89)</f>
        <v>0</v>
      </c>
      <c r="GZ33" s="63" cm="1">
        <f t="array" ref="GZ33">INDEX(FX_Temps,$KC33+13,GZ$89)+459.6</f>
        <v>506.70000000000005</v>
      </c>
      <c r="HA33" s="63" cm="1">
        <f t="array" ref="HA33">INDEX(FX_Vap,$KG33,HA$91)-INDEX(FX_Vap,$KH33,HA$91)</f>
        <v>0</v>
      </c>
      <c r="HB33" s="73" cm="1">
        <f t="array" ref="HB33">IF(GX33="Out of Service",0,INDEX(FX_Vap,$KI33,HB$91))</f>
        <v>0</v>
      </c>
      <c r="HC33" s="63">
        <f t="shared" si="83"/>
        <v>0</v>
      </c>
      <c r="HD33" s="63">
        <f t="shared" si="84"/>
        <v>1</v>
      </c>
      <c r="HE33" s="63" cm="1">
        <f t="array" ref="HE33">INDEX(FX_Vap,$KJ33,HE$91)</f>
        <v>0</v>
      </c>
      <c r="HF33" s="63" cm="1">
        <f t="array" ref="HF33">INDEX(FX_Temps,$KD33,HF$89)+459.6</f>
        <v>506.70000000000005</v>
      </c>
      <c r="HG33" s="63">
        <f t="shared" si="85"/>
        <v>0</v>
      </c>
      <c r="HH33" s="63" cm="1">
        <f t="array" ref="HH33">INDEX(Month_Ref,HH$83,3)*HC33*(PI()/4*$F33^2)*$H33*HD33*HG33</f>
        <v>0</v>
      </c>
      <c r="HI33" s="63" cm="1">
        <f t="array" ref="HI33">INDEX(FX_Input,$KB33,HI$85)</f>
        <v>0</v>
      </c>
      <c r="HJ33" s="63">
        <f t="shared" si="86"/>
        <v>0</v>
      </c>
      <c r="HK33" s="63">
        <f t="shared" si="87"/>
        <v>0</v>
      </c>
      <c r="HL33" s="63">
        <f t="shared" si="88"/>
        <v>1</v>
      </c>
      <c r="HM33" s="63" cm="1">
        <f t="array" ref="HM33">IF(OR(INDEX(FX_Vap,$KK33,HM$90)="Crude Oil",(INDEX(FX_Vap,$KL33,HM$90)="Crude Oil")),0.75,1)</f>
        <v>1</v>
      </c>
      <c r="HN33" s="63">
        <f t="shared" si="118"/>
        <v>1</v>
      </c>
      <c r="HO33" s="63">
        <f t="shared" si="89"/>
        <v>0</v>
      </c>
      <c r="HP33" s="64">
        <f t="shared" si="90"/>
        <v>0</v>
      </c>
      <c r="HQ33" s="80" t="str" cm="1">
        <f t="array" ref="HQ33">IF(ISBLANK(INDEX(FX_Input,$KB33+1,HQ$85)),INDEX(FX_Input,$KB33,HQ$85),INDEX(FX_Input,$KB33,HQ$85)&amp;" &amp; "&amp;INDEX(FX_Input,$KB33+1,HQ$85))</f>
        <v>Out of Service</v>
      </c>
      <c r="HR33" s="63" cm="1">
        <f t="array" ref="HR33">INDEX(FX_Temps,$KC33+7,HR$89)</f>
        <v>0</v>
      </c>
      <c r="HS33" s="63" cm="1">
        <f t="array" ref="HS33">INDEX(FX_Temps,$KC33+13,HS$89)+459.6</f>
        <v>503.20000000000005</v>
      </c>
      <c r="HT33" s="63" cm="1">
        <f t="array" ref="HT33">INDEX(FX_Vap,$KG33,HT$91)-INDEX(FX_Vap,$KH33,HT$91)</f>
        <v>0</v>
      </c>
      <c r="HU33" s="73" cm="1">
        <f t="array" ref="HU33">IF(HQ33="Out of Service",0,INDEX(FX_Vap,$KI33,HU$91))</f>
        <v>0</v>
      </c>
      <c r="HV33" s="63">
        <f t="shared" si="91"/>
        <v>0</v>
      </c>
      <c r="HW33" s="63">
        <f t="shared" si="92"/>
        <v>1</v>
      </c>
      <c r="HX33" s="63" cm="1">
        <f t="array" ref="HX33">INDEX(FX_Vap,$KJ33,HX$91)</f>
        <v>0</v>
      </c>
      <c r="HY33" s="63" cm="1">
        <f t="array" ref="HY33">INDEX(FX_Temps,$KD33,HY$89)+459.6</f>
        <v>503.20000000000005</v>
      </c>
      <c r="HZ33" s="63">
        <f t="shared" si="93"/>
        <v>0</v>
      </c>
      <c r="IA33" s="63" cm="1">
        <f t="array" ref="IA33">INDEX(Month_Ref,IA$83,3)*HV33*(PI()/4*$F33^2)*$H33*HW33*HZ33</f>
        <v>0</v>
      </c>
      <c r="IB33" s="63" cm="1">
        <f t="array" ref="IB33">INDEX(FX_Input,$KB33,IB$85)</f>
        <v>0</v>
      </c>
      <c r="IC33" s="63">
        <f t="shared" si="94"/>
        <v>0</v>
      </c>
      <c r="ID33" s="63">
        <f t="shared" si="95"/>
        <v>0</v>
      </c>
      <c r="IE33" s="63">
        <f t="shared" si="96"/>
        <v>1</v>
      </c>
      <c r="IF33" s="63" cm="1">
        <f t="array" ref="IF33">IF(OR(INDEX(FX_Vap,$KK33,IF$90)="Crude Oil",(INDEX(FX_Vap,$KL33,IF$90)="Crude Oil")),0.75,1)</f>
        <v>1</v>
      </c>
      <c r="IG33" s="63">
        <f t="shared" si="119"/>
        <v>1</v>
      </c>
      <c r="IH33" s="63">
        <f t="shared" si="97"/>
        <v>0</v>
      </c>
      <c r="II33" s="64">
        <f t="shared" si="98"/>
        <v>0</v>
      </c>
      <c r="IJ33" s="80">
        <f t="shared" si="99"/>
        <v>0</v>
      </c>
      <c r="IK33" s="63">
        <f t="shared" si="100"/>
        <v>0</v>
      </c>
      <c r="IL33" s="63">
        <f t="shared" si="101"/>
        <v>0</v>
      </c>
      <c r="IM33" s="63">
        <f t="shared" si="102"/>
        <v>0</v>
      </c>
      <c r="IN33" s="63">
        <f t="shared" si="103"/>
        <v>0</v>
      </c>
      <c r="IO33" s="64">
        <f t="shared" si="104"/>
        <v>0</v>
      </c>
      <c r="KB33" s="43">
        <f t="shared" si="120"/>
        <v>45</v>
      </c>
      <c r="KC33" s="43">
        <f t="shared" si="121"/>
        <v>309</v>
      </c>
      <c r="KD33" s="43">
        <f t="shared" si="122"/>
        <v>322</v>
      </c>
      <c r="KE33" s="43">
        <f t="shared" si="123"/>
        <v>309</v>
      </c>
      <c r="KF33" s="43">
        <f t="shared" si="124"/>
        <v>749</v>
      </c>
      <c r="KG33" s="43">
        <f t="shared" si="125"/>
        <v>772</v>
      </c>
      <c r="KH33" s="43">
        <f t="shared" si="126"/>
        <v>767</v>
      </c>
      <c r="KI33" s="43">
        <f t="shared" si="126"/>
        <v>777</v>
      </c>
      <c r="KJ33" s="43">
        <f t="shared" si="126"/>
        <v>782</v>
      </c>
      <c r="KK33" s="43">
        <f t="shared" si="127"/>
        <v>753</v>
      </c>
      <c r="KL33" s="43">
        <f t="shared" si="128"/>
        <v>755</v>
      </c>
    </row>
    <row r="34" spans="2:298" x14ac:dyDescent="0.4">
      <c r="B34" s="43" t="str" cm="1">
        <f t="array" ref="B34">INDEX(FX_Input,$KB34,B$85)</f>
        <v>FX - 24</v>
      </c>
      <c r="C34" s="93" t="str" cm="1">
        <f t="array" ref="C34">INDEX(FX_Input,$KB34,C$85)</f>
        <v>FIXTANK 141</v>
      </c>
      <c r="D34" s="80">
        <f t="shared" si="0"/>
        <v>3101.3409977156739</v>
      </c>
      <c r="E34" s="63" cm="1">
        <f t="array" ref="E34">IF(ISBLANK(INDEX(FX_Input,$KB34,$E$85)),0.03,INDEX(FX_Input,$KB34,$E$85))-IF(ISBLANK(INDEX(FX_Input,$KB34,$E$86)),-0.03,INDEX(FX_Input,$KB34,$E$86))</f>
        <v>0.06</v>
      </c>
      <c r="F34" s="63" cm="1">
        <f t="array" ref="F34">IF(INDEX(FX_Input,$KB34,F$85)="Vertical",INDEX(FX_Input,$KB34,F$86),SQRT((INDEX(FX_Input,$KB34,F$86)*INDEX(FX_Input,$KB34,F$87))/(PI()/4)))</f>
        <v>18</v>
      </c>
      <c r="G34" s="63" cm="1">
        <f t="array" ref="G34">IF(INDEX(FX_Input,$KB34,G$85)="Vertical",INDEX(FX_Input,$KB34,G$86),INDEX(FX_Input,$KB34,G$87)*PI()/4)</f>
        <v>24</v>
      </c>
      <c r="H34" s="63" cm="1">
        <f t="array" ref="H34">IF(INDEX(FX_Input,$KB34,H$85)="Vertical",G34-G34/2+J34,G34/2)</f>
        <v>12.1875</v>
      </c>
      <c r="I34" s="63" cm="1">
        <f t="array" ref="I34">IF(INDEX(FX_Input,$KB34,F$85)="Horizontal","N/A",IF(INDEX(FX_Input,$KB34,I$86)="Cone",IF(ISBLANK(INDEX(FX_Input,$KB34,I$87)),0.0625,INDEX(FX_Input,$KB34,I$87))*F34/2,F34/2-SQRT((F34/2)^2-(INDEX(FX_Input,$KB34,I$88)^2))))</f>
        <v>0.5625</v>
      </c>
      <c r="J34" s="63" cm="1">
        <f t="array" ref="J34">IF(INDEX(FX_Input,$KB34,J$85)="Horizontal","N/A",IF(INDEX(FX_Input,$KB34,J$86)="Cone",I34/3,I34*(1/2+(1/6)*(I34/(F34/2))^2)))</f>
        <v>0.1875</v>
      </c>
      <c r="K34" s="63">
        <f t="shared" si="1"/>
        <v>23</v>
      </c>
      <c r="L34" s="63">
        <v>1</v>
      </c>
      <c r="M34" s="63" t="str" cm="1">
        <f t="array" ref="M34">INDEX(Tbl_71_6,MATCH(INDEX(FX_Input,$KB34,M$85),Paint_Color,0),VLOOKUP(INDEX(FX_Input,$KB34,M$86),Paint_Cond_Column,2,FALSE))</f>
        <v>N/A</v>
      </c>
      <c r="N34" s="63" t="str" cm="1">
        <f t="array" ref="N34">INDEX(Tbl_71_6,MATCH(INDEX(FX_Input,$KB34,N$85),Paint_Color,0),VLOOKUP(INDEX(FX_Input,$KB34,N$86),Paint_Cond_Column,2,FALSE))</f>
        <v>N/A</v>
      </c>
      <c r="O34" s="64" t="str">
        <f t="shared" si="2"/>
        <v>Insulated</v>
      </c>
      <c r="P34" s="80" t="str" cm="1">
        <f t="array" ref="P34">IF(ISBLANK(INDEX(FX_Input,$KB34+1,P$85)),INDEX(FX_Input,$KB34,P$85),INDEX(FX_Input,$KB34,P$85)&amp;" &amp; "&amp;INDEX(FX_Input,$KB34+1,P$85))</f>
        <v>Out of Service</v>
      </c>
      <c r="Q34" s="63" cm="1">
        <f t="array" ref="Q34">INDEX(FX_Temps,$KC34+7,Q$89)</f>
        <v>0</v>
      </c>
      <c r="R34" s="63" cm="1">
        <f t="array" ref="R34">INDEX(FX_Temps,$KC34+13,R$89)+459.6</f>
        <v>503.5</v>
      </c>
      <c r="S34" s="63" cm="1">
        <f t="array" ref="S34">INDEX(FX_Vap,$KG34,S$91)-INDEX(FX_Vap,$KH34,S$91)</f>
        <v>0</v>
      </c>
      <c r="T34" s="73" cm="1">
        <f t="array" ref="T34">IF(P34="Out of Service",0,INDEX(FX_Vap,$KI34,T$91))</f>
        <v>0</v>
      </c>
      <c r="U34" s="63">
        <f t="shared" si="3"/>
        <v>0</v>
      </c>
      <c r="V34" s="63">
        <f t="shared" si="4"/>
        <v>1</v>
      </c>
      <c r="W34" s="63" cm="1">
        <f t="array" ref="W34">INDEX(FX_Vap,$KJ34,W$91)</f>
        <v>0</v>
      </c>
      <c r="X34" s="63" cm="1">
        <f t="array" ref="X34">INDEX(FX_Temps,$KD34,X$89)+459.6</f>
        <v>503.5</v>
      </c>
      <c r="Y34" s="63">
        <f t="shared" si="5"/>
        <v>0</v>
      </c>
      <c r="Z34" s="63" cm="1">
        <f t="array" ref="Z34">INDEX(Month_Ref,Z$83,3)*U34*(PI()/4*$F34^2)*$H34*V34*Y34</f>
        <v>0</v>
      </c>
      <c r="AA34" s="63" cm="1">
        <f t="array" ref="AA34">INDEX(FX_Input,$KB34,AA$85)</f>
        <v>0</v>
      </c>
      <c r="AB34" s="63">
        <f t="shared" si="6"/>
        <v>0</v>
      </c>
      <c r="AC34" s="63">
        <f t="shared" si="7"/>
        <v>0</v>
      </c>
      <c r="AD34" s="63">
        <f t="shared" si="8"/>
        <v>1</v>
      </c>
      <c r="AE34" s="63" cm="1">
        <f t="array" ref="AE34">IF(OR(INDEX(FX_Vap,$KK34,AE$90)="Crude Oil",(INDEX(FX_Vap,$KL34,AE$90)="Crude Oil")),0.75,1)</f>
        <v>1</v>
      </c>
      <c r="AF34" s="63">
        <f t="shared" si="108"/>
        <v>1</v>
      </c>
      <c r="AG34" s="63">
        <f t="shared" si="9"/>
        <v>0</v>
      </c>
      <c r="AH34" s="64">
        <f t="shared" si="10"/>
        <v>0</v>
      </c>
      <c r="AI34" s="80" t="str" cm="1">
        <f t="array" ref="AI34">IF(ISBLANK(INDEX(FX_Input,$KB34+1,AI$85)),INDEX(FX_Input,$KB34,AI$85),INDEX(FX_Input,$KB34,AI$85)&amp;" &amp; "&amp;INDEX(FX_Input,$KB34+1,AI$85))</f>
        <v>Out of Service</v>
      </c>
      <c r="AJ34" s="63" cm="1">
        <f t="array" ref="AJ34">INDEX(FX_Temps,$KC34+7,AJ$89)</f>
        <v>0</v>
      </c>
      <c r="AK34" s="63" cm="1">
        <f t="array" ref="AK34">INDEX(FX_Temps,$KC34+13,AK$89)+459.6</f>
        <v>504.30000000000007</v>
      </c>
      <c r="AL34" s="63" cm="1">
        <f t="array" ref="AL34">INDEX(FX_Vap,$KG34,AL$91)-INDEX(FX_Vap,$KH34,AL$91)</f>
        <v>0</v>
      </c>
      <c r="AM34" s="73" cm="1">
        <f t="array" ref="AM34">IF(AI34="Out of Service",0,INDEX(FX_Vap,$KI34,AM$91))</f>
        <v>0</v>
      </c>
      <c r="AN34" s="63">
        <f t="shared" si="11"/>
        <v>0</v>
      </c>
      <c r="AO34" s="63">
        <f t="shared" si="12"/>
        <v>1</v>
      </c>
      <c r="AP34" s="63" cm="1">
        <f t="array" ref="AP34">INDEX(FX_Vap,$KJ34,AP$91)</f>
        <v>0</v>
      </c>
      <c r="AQ34" s="63" cm="1">
        <f t="array" ref="AQ34">INDEX(FX_Temps,$KD34,AQ$89)+459.6</f>
        <v>504.30000000000007</v>
      </c>
      <c r="AR34" s="63">
        <f t="shared" si="13"/>
        <v>0</v>
      </c>
      <c r="AS34" s="63" cm="1">
        <f t="array" ref="AS34">INDEX(Month_Ref,AS$83,3)*AN34*(PI()/4*$F34^2)*$H34*AO34*AR34</f>
        <v>0</v>
      </c>
      <c r="AT34" s="63" cm="1">
        <f t="array" ref="AT34">INDEX(FX_Input,$KB34,AT$85)</f>
        <v>0</v>
      </c>
      <c r="AU34" s="63">
        <f t="shared" si="14"/>
        <v>0</v>
      </c>
      <c r="AV34" s="63">
        <f t="shared" si="15"/>
        <v>0</v>
      </c>
      <c r="AW34" s="63">
        <f t="shared" si="16"/>
        <v>1</v>
      </c>
      <c r="AX34" s="63" cm="1">
        <f t="array" ref="AX34">IF(OR(INDEX(FX_Vap,$KK34,AX$90)="Crude Oil",(INDEX(FX_Vap,$KL34,AX$90)="Crude Oil")),0.75,1)</f>
        <v>1</v>
      </c>
      <c r="AY34" s="63">
        <f t="shared" si="109"/>
        <v>1</v>
      </c>
      <c r="AZ34" s="63">
        <f t="shared" si="17"/>
        <v>0</v>
      </c>
      <c r="BA34" s="64">
        <f t="shared" si="18"/>
        <v>0</v>
      </c>
      <c r="BB34" s="80" t="str" cm="1">
        <f t="array" ref="BB34">IF(ISBLANK(INDEX(FX_Input,$KB34+1,BB$85)),INDEX(FX_Input,$KB34,BB$85),INDEX(FX_Input,$KB34,BB$85)&amp;" &amp; "&amp;INDEX(FX_Input,$KB34+1,BB$85))</f>
        <v>Out of Service</v>
      </c>
      <c r="BC34" s="63" cm="1">
        <f t="array" ref="BC34">INDEX(FX_Temps,$KC34+7,BC$89)</f>
        <v>0</v>
      </c>
      <c r="BD34" s="63" cm="1">
        <f t="array" ref="BD34">INDEX(FX_Temps,$KC34+13,BD$89)+459.6</f>
        <v>505.70000000000005</v>
      </c>
      <c r="BE34" s="63" cm="1">
        <f t="array" ref="BE34">INDEX(FX_Vap,$KG34,BE$91)-INDEX(FX_Vap,$KH34,BE$91)</f>
        <v>0</v>
      </c>
      <c r="BF34" s="73" cm="1">
        <f t="array" ref="BF34">IF(BB34="Out of Service",0,INDEX(FX_Vap,$KI34,BF$91))</f>
        <v>0</v>
      </c>
      <c r="BG34" s="63">
        <f t="shared" si="19"/>
        <v>0</v>
      </c>
      <c r="BH34" s="63">
        <f t="shared" si="20"/>
        <v>1</v>
      </c>
      <c r="BI34" s="63" cm="1">
        <f t="array" ref="BI34">INDEX(FX_Vap,$KJ34,BI$91)</f>
        <v>0</v>
      </c>
      <c r="BJ34" s="63" cm="1">
        <f t="array" ref="BJ34">INDEX(FX_Temps,$KD34,BJ$89)+459.6</f>
        <v>505.70000000000005</v>
      </c>
      <c r="BK34" s="63">
        <f t="shared" si="21"/>
        <v>0</v>
      </c>
      <c r="BL34" s="63" cm="1">
        <f t="array" ref="BL34">INDEX(Month_Ref,BL$83,3)*BG34*(PI()/4*$F34^2)*$H34*BH34*BK34</f>
        <v>0</v>
      </c>
      <c r="BM34" s="63" cm="1">
        <f t="array" ref="BM34">INDEX(FX_Input,$KB34,BM$85)</f>
        <v>0</v>
      </c>
      <c r="BN34" s="63">
        <f t="shared" si="22"/>
        <v>0</v>
      </c>
      <c r="BO34" s="63">
        <f t="shared" si="23"/>
        <v>0</v>
      </c>
      <c r="BP34" s="63">
        <f t="shared" si="24"/>
        <v>1</v>
      </c>
      <c r="BQ34" s="63" cm="1">
        <f t="array" ref="BQ34">IF(OR(INDEX(FX_Vap,$KK34,BQ$90)="Crude Oil",(INDEX(FX_Vap,$KL34,BQ$90)="Crude Oil")),0.75,1)</f>
        <v>1</v>
      </c>
      <c r="BR34" s="63">
        <f t="shared" si="110"/>
        <v>1</v>
      </c>
      <c r="BS34" s="63">
        <f t="shared" si="25"/>
        <v>0</v>
      </c>
      <c r="BT34" s="64">
        <f t="shared" si="26"/>
        <v>0</v>
      </c>
      <c r="BU34" s="80" t="str" cm="1">
        <f t="array" ref="BU34">IF(ISBLANK(INDEX(FX_Input,$KB34+1,BU$85)),INDEX(FX_Input,$KB34,BU$85),INDEX(FX_Input,$KB34,BU$85)&amp;" &amp; "&amp;INDEX(FX_Input,$KB34+1,BU$85))</f>
        <v>Out of Service</v>
      </c>
      <c r="BV34" s="63" cm="1">
        <f t="array" ref="BV34">INDEX(FX_Temps,$KC34+7,BV$89)</f>
        <v>0</v>
      </c>
      <c r="BW34" s="63" cm="1">
        <f t="array" ref="BW34">INDEX(FX_Temps,$KC34+13,BW$89)+459.6</f>
        <v>508.2</v>
      </c>
      <c r="BX34" s="63" cm="1">
        <f t="array" ref="BX34">INDEX(FX_Vap,$KG34,BX$91)-INDEX(FX_Vap,$KH34,BX$91)</f>
        <v>0</v>
      </c>
      <c r="BY34" s="73" cm="1">
        <f t="array" ref="BY34">IF(BU34="Out of Service",0,INDEX(FX_Vap,$KI34,BY$91))</f>
        <v>0</v>
      </c>
      <c r="BZ34" s="63">
        <f t="shared" si="27"/>
        <v>0</v>
      </c>
      <c r="CA34" s="63">
        <f t="shared" si="28"/>
        <v>1</v>
      </c>
      <c r="CB34" s="63" cm="1">
        <f t="array" ref="CB34">INDEX(FX_Vap,$KJ34,CB$91)</f>
        <v>0</v>
      </c>
      <c r="CC34" s="63" cm="1">
        <f t="array" ref="CC34">INDEX(FX_Temps,$KD34,CC$89)+459.6</f>
        <v>508.2</v>
      </c>
      <c r="CD34" s="63">
        <f t="shared" si="29"/>
        <v>0</v>
      </c>
      <c r="CE34" s="63" cm="1">
        <f t="array" ref="CE34">INDEX(Month_Ref,CE$83,3)*BZ34*(PI()/4*$F34^2)*$H34*CA34*CD34</f>
        <v>0</v>
      </c>
      <c r="CF34" s="63" cm="1">
        <f t="array" ref="CF34">INDEX(FX_Input,$KB34,CF$85)</f>
        <v>0</v>
      </c>
      <c r="CG34" s="63">
        <f t="shared" si="30"/>
        <v>0</v>
      </c>
      <c r="CH34" s="63">
        <f t="shared" si="31"/>
        <v>0</v>
      </c>
      <c r="CI34" s="63">
        <f t="shared" si="32"/>
        <v>1</v>
      </c>
      <c r="CJ34" s="63" cm="1">
        <f t="array" ref="CJ34">IF(OR(INDEX(FX_Vap,$KK34,CJ$90)="Crude Oil",(INDEX(FX_Vap,$KL34,CJ$90)="Crude Oil")),0.75,1)</f>
        <v>1</v>
      </c>
      <c r="CK34" s="63">
        <f t="shared" si="111"/>
        <v>1</v>
      </c>
      <c r="CL34" s="63">
        <f t="shared" si="33"/>
        <v>0</v>
      </c>
      <c r="CM34" s="64">
        <f t="shared" si="34"/>
        <v>0</v>
      </c>
      <c r="CN34" s="80" t="str" cm="1">
        <f t="array" ref="CN34">IF(ISBLANK(INDEX(FX_Input,$KB34+1,CN$85)),INDEX(FX_Input,$KB34,CN$85),INDEX(FX_Input,$KB34,CN$85)&amp;" &amp; "&amp;INDEX(FX_Input,$KB34+1,CN$85))</f>
        <v>Out of Service</v>
      </c>
      <c r="CO34" s="63" cm="1">
        <f t="array" ref="CO34">INDEX(FX_Temps,$KC34+7,CO$89)</f>
        <v>0</v>
      </c>
      <c r="CP34" s="63" cm="1">
        <f t="array" ref="CP34">INDEX(FX_Temps,$KC34+13,CP$89)+459.6</f>
        <v>512.75</v>
      </c>
      <c r="CQ34" s="63" cm="1">
        <f t="array" ref="CQ34">INDEX(FX_Vap,$KG34,CQ$91)-INDEX(FX_Vap,$KH34,CQ$91)</f>
        <v>0</v>
      </c>
      <c r="CR34" s="73" cm="1">
        <f t="array" ref="CR34">IF(CN34="Out of Service",0,INDEX(FX_Vap,$KI34,CR$91))</f>
        <v>0</v>
      </c>
      <c r="CS34" s="63">
        <f t="shared" si="35"/>
        <v>0</v>
      </c>
      <c r="CT34" s="63">
        <f t="shared" si="36"/>
        <v>1</v>
      </c>
      <c r="CU34" s="63" cm="1">
        <f t="array" ref="CU34">INDEX(FX_Vap,$KJ34,CU$91)</f>
        <v>0</v>
      </c>
      <c r="CV34" s="63" cm="1">
        <f t="array" ref="CV34">INDEX(FX_Temps,$KD34,CV$89)+459.6</f>
        <v>512.75</v>
      </c>
      <c r="CW34" s="63">
        <f t="shared" si="37"/>
        <v>0</v>
      </c>
      <c r="CX34" s="63" cm="1">
        <f t="array" ref="CX34">INDEX(Month_Ref,CX$83,3)*CS34*(PI()/4*$F34^2)*$H34*CT34*CW34</f>
        <v>0</v>
      </c>
      <c r="CY34" s="63" cm="1">
        <f t="array" ref="CY34">INDEX(FX_Input,$KB34,CY$85)</f>
        <v>0</v>
      </c>
      <c r="CZ34" s="63">
        <f t="shared" si="38"/>
        <v>0</v>
      </c>
      <c r="DA34" s="63">
        <f t="shared" si="39"/>
        <v>0</v>
      </c>
      <c r="DB34" s="63">
        <f t="shared" si="40"/>
        <v>1</v>
      </c>
      <c r="DC34" s="63" cm="1">
        <f t="array" ref="DC34">IF(OR(INDEX(FX_Vap,$KK34,DC$90)="Crude Oil",(INDEX(FX_Vap,$KL34,DC$90)="Crude Oil")),0.75,1)</f>
        <v>1</v>
      </c>
      <c r="DD34" s="63">
        <f t="shared" si="112"/>
        <v>1</v>
      </c>
      <c r="DE34" s="63">
        <f t="shared" si="41"/>
        <v>0</v>
      </c>
      <c r="DF34" s="64">
        <f t="shared" si="42"/>
        <v>0</v>
      </c>
      <c r="DG34" s="80" t="str" cm="1">
        <f t="array" ref="DG34">IF(ISBLANK(INDEX(FX_Input,$KB34+1,DG$85)),INDEX(FX_Input,$KB34,DG$85),INDEX(FX_Input,$KB34,DG$85)&amp;" &amp; "&amp;INDEX(FX_Input,$KB34+1,DG$85))</f>
        <v>Out of Service</v>
      </c>
      <c r="DH34" s="63" cm="1">
        <f t="array" ref="DH34">INDEX(FX_Temps,$KC34+7,DH$89)</f>
        <v>0</v>
      </c>
      <c r="DI34" s="63" cm="1">
        <f t="array" ref="DI34">INDEX(FX_Temps,$KC34+13,DI$89)+459.6</f>
        <v>516.55000000000007</v>
      </c>
      <c r="DJ34" s="63" cm="1">
        <f t="array" ref="DJ34">INDEX(FX_Vap,$KG34,DJ$91)-INDEX(FX_Vap,$KH34,DJ$91)</f>
        <v>0</v>
      </c>
      <c r="DK34" s="73" cm="1">
        <f t="array" ref="DK34">IF(DG34="Out of Service",0,INDEX(FX_Vap,$KI34,DK$91))</f>
        <v>0</v>
      </c>
      <c r="DL34" s="63">
        <f t="shared" si="43"/>
        <v>0</v>
      </c>
      <c r="DM34" s="63">
        <f t="shared" si="44"/>
        <v>1</v>
      </c>
      <c r="DN34" s="63" cm="1">
        <f t="array" ref="DN34">INDEX(FX_Vap,$KJ34,DN$91)</f>
        <v>0</v>
      </c>
      <c r="DO34" s="63" cm="1">
        <f t="array" ref="DO34">INDEX(FX_Temps,$KD34,DO$89)+459.6</f>
        <v>516.55000000000007</v>
      </c>
      <c r="DP34" s="63">
        <f t="shared" si="45"/>
        <v>0</v>
      </c>
      <c r="DQ34" s="63" cm="1">
        <f t="array" ref="DQ34">INDEX(Month_Ref,DQ$83,3)*DL34*(PI()/4*$F34^2)*$H34*DM34*DP34</f>
        <v>0</v>
      </c>
      <c r="DR34" s="63" cm="1">
        <f t="array" ref="DR34">INDEX(FX_Input,$KB34,DR$85)</f>
        <v>0</v>
      </c>
      <c r="DS34" s="63">
        <f t="shared" si="46"/>
        <v>0</v>
      </c>
      <c r="DT34" s="63">
        <f t="shared" si="47"/>
        <v>0</v>
      </c>
      <c r="DU34" s="63">
        <f t="shared" si="48"/>
        <v>1</v>
      </c>
      <c r="DV34" s="63" cm="1">
        <f t="array" ref="DV34">IF(OR(INDEX(FX_Vap,$KK34,DV$90)="Crude Oil",(INDEX(FX_Vap,$KL34,DV$90)="Crude Oil")),0.75,1)</f>
        <v>1</v>
      </c>
      <c r="DW34" s="63">
        <f t="shared" si="113"/>
        <v>1</v>
      </c>
      <c r="DX34" s="63">
        <f t="shared" si="49"/>
        <v>0</v>
      </c>
      <c r="DY34" s="64">
        <f t="shared" si="50"/>
        <v>0</v>
      </c>
      <c r="DZ34" s="80" t="str" cm="1">
        <f t="array" ref="DZ34">IF(ISBLANK(INDEX(FX_Input,$KB34+1,DZ$85)),INDEX(FX_Input,$KB34,DZ$85),INDEX(FX_Input,$KB34,DZ$85)&amp;" &amp; "&amp;INDEX(FX_Input,$KB34+1,DZ$85))</f>
        <v>Out of Service</v>
      </c>
      <c r="EA34" s="63" cm="1">
        <f t="array" ref="EA34">INDEX(FX_Temps,$KC34+7,EA$89)</f>
        <v>0</v>
      </c>
      <c r="EB34" s="63" cm="1">
        <f t="array" ref="EB34">INDEX(FX_Temps,$KC34+13,EB$89)+459.6</f>
        <v>520.04999999999995</v>
      </c>
      <c r="EC34" s="63" cm="1">
        <f t="array" ref="EC34">INDEX(FX_Vap,$KG34,EC$91)-INDEX(FX_Vap,$KH34,EC$91)</f>
        <v>0</v>
      </c>
      <c r="ED34" s="73" cm="1">
        <f t="array" ref="ED34">IF(DZ34="Out of Service",0,INDEX(FX_Vap,$KI34,ED$91))</f>
        <v>0</v>
      </c>
      <c r="EE34" s="63">
        <f t="shared" si="51"/>
        <v>0</v>
      </c>
      <c r="EF34" s="63">
        <f t="shared" si="52"/>
        <v>1</v>
      </c>
      <c r="EG34" s="63" cm="1">
        <f t="array" ref="EG34">INDEX(FX_Vap,$KJ34,EG$91)</f>
        <v>0</v>
      </c>
      <c r="EH34" s="63" cm="1">
        <f t="array" ref="EH34">INDEX(FX_Temps,$KD34,EH$89)+459.6</f>
        <v>520.04999999999995</v>
      </c>
      <c r="EI34" s="63">
        <f t="shared" si="53"/>
        <v>0</v>
      </c>
      <c r="EJ34" s="63" cm="1">
        <f t="array" ref="EJ34">INDEX(Month_Ref,EJ$83,3)*EE34*(PI()/4*$F34^2)*$H34*EF34*EI34</f>
        <v>0</v>
      </c>
      <c r="EK34" s="63" cm="1">
        <f t="array" ref="EK34">INDEX(FX_Input,$KB34,EK$85)</f>
        <v>0</v>
      </c>
      <c r="EL34" s="63">
        <f t="shared" si="54"/>
        <v>0</v>
      </c>
      <c r="EM34" s="63">
        <f t="shared" si="55"/>
        <v>0</v>
      </c>
      <c r="EN34" s="63">
        <f t="shared" si="56"/>
        <v>1</v>
      </c>
      <c r="EO34" s="63" cm="1">
        <f t="array" ref="EO34">IF(OR(INDEX(FX_Vap,$KK34,EO$90)="Crude Oil",(INDEX(FX_Vap,$KL34,EO$90)="Crude Oil")),0.75,1)</f>
        <v>1</v>
      </c>
      <c r="EP34" s="63">
        <f t="shared" si="114"/>
        <v>1</v>
      </c>
      <c r="EQ34" s="63">
        <f t="shared" si="57"/>
        <v>0</v>
      </c>
      <c r="ER34" s="64">
        <f t="shared" si="58"/>
        <v>0</v>
      </c>
      <c r="ES34" s="80" t="str" cm="1">
        <f t="array" ref="ES34">IF(ISBLANK(INDEX(FX_Input,$KB34+1,ES$85)),INDEX(FX_Input,$KB34,ES$85),INDEX(FX_Input,$KB34,ES$85)&amp;" &amp; "&amp;INDEX(FX_Input,$KB34+1,ES$85))</f>
        <v>Out of Service</v>
      </c>
      <c r="ET34" s="63" cm="1">
        <f t="array" ref="ET34">INDEX(FX_Temps,$KC34+7,ET$89)</f>
        <v>0</v>
      </c>
      <c r="EU34" s="63" cm="1">
        <f t="array" ref="EU34">INDEX(FX_Temps,$KC34+13,EU$89)+459.6</f>
        <v>520.5</v>
      </c>
      <c r="EV34" s="63" cm="1">
        <f t="array" ref="EV34">INDEX(FX_Vap,$KG34,EV$91)-INDEX(FX_Vap,$KH34,EV$91)</f>
        <v>0</v>
      </c>
      <c r="EW34" s="73" cm="1">
        <f t="array" ref="EW34">IF(ES34="Out of Service",0,INDEX(FX_Vap,$KI34,EW$91))</f>
        <v>0</v>
      </c>
      <c r="EX34" s="63">
        <f t="shared" si="59"/>
        <v>0</v>
      </c>
      <c r="EY34" s="63">
        <f t="shared" si="60"/>
        <v>1</v>
      </c>
      <c r="EZ34" s="63" cm="1">
        <f t="array" ref="EZ34">INDEX(FX_Vap,$KJ34,EZ$91)</f>
        <v>0</v>
      </c>
      <c r="FA34" s="63" cm="1">
        <f t="array" ref="FA34">INDEX(FX_Temps,$KD34,FA$89)+459.6</f>
        <v>520.5</v>
      </c>
      <c r="FB34" s="63">
        <f t="shared" si="61"/>
        <v>0</v>
      </c>
      <c r="FC34" s="63" cm="1">
        <f t="array" ref="FC34">INDEX(Month_Ref,FC$83,3)*EX34*(PI()/4*$F34^2)*$H34*EY34*FB34</f>
        <v>0</v>
      </c>
      <c r="FD34" s="63" cm="1">
        <f t="array" ref="FD34">INDEX(FX_Input,$KB34,FD$85)</f>
        <v>0</v>
      </c>
      <c r="FE34" s="63">
        <f t="shared" si="62"/>
        <v>0</v>
      </c>
      <c r="FF34" s="63">
        <f t="shared" si="63"/>
        <v>0</v>
      </c>
      <c r="FG34" s="63">
        <f t="shared" si="64"/>
        <v>1</v>
      </c>
      <c r="FH34" s="63" cm="1">
        <f t="array" ref="FH34">IF(OR(INDEX(FX_Vap,$KK34,FH$90)="Crude Oil",(INDEX(FX_Vap,$KL34,FH$90)="Crude Oil")),0.75,1)</f>
        <v>1</v>
      </c>
      <c r="FI34" s="63">
        <f t="shared" si="115"/>
        <v>1</v>
      </c>
      <c r="FJ34" s="63">
        <f t="shared" si="65"/>
        <v>0</v>
      </c>
      <c r="FK34" s="64">
        <f t="shared" si="66"/>
        <v>0</v>
      </c>
      <c r="FL34" s="80" t="str" cm="1">
        <f t="array" ref="FL34">IF(ISBLANK(INDEX(FX_Input,$KB34+1,FL$85)),INDEX(FX_Input,$KB34,FL$85),INDEX(FX_Input,$KB34,FL$85)&amp;" &amp; "&amp;INDEX(FX_Input,$KB34+1,FL$85))</f>
        <v>Out of Service</v>
      </c>
      <c r="FM34" s="63" cm="1">
        <f t="array" ref="FM34">INDEX(FX_Temps,$KC34+7,FM$89)</f>
        <v>0</v>
      </c>
      <c r="FN34" s="63" cm="1">
        <f t="array" ref="FN34">INDEX(FX_Temps,$KC34+13,FN$89)+459.6</f>
        <v>518.20000000000005</v>
      </c>
      <c r="FO34" s="63" cm="1">
        <f t="array" ref="FO34">INDEX(FX_Vap,$KG34,FO$91)-INDEX(FX_Vap,$KH34,FO$91)</f>
        <v>0</v>
      </c>
      <c r="FP34" s="73" cm="1">
        <f t="array" ref="FP34">IF(FL34="Out of Service",0,INDEX(FX_Vap,$KI34,FP$91))</f>
        <v>0</v>
      </c>
      <c r="FQ34" s="63">
        <f t="shared" si="67"/>
        <v>0</v>
      </c>
      <c r="FR34" s="63">
        <f t="shared" si="68"/>
        <v>1</v>
      </c>
      <c r="FS34" s="63" cm="1">
        <f t="array" ref="FS34">INDEX(FX_Vap,$KJ34,FS$91)</f>
        <v>0</v>
      </c>
      <c r="FT34" s="63" cm="1">
        <f t="array" ref="FT34">INDEX(FX_Temps,$KD34,FT$89)+459.6</f>
        <v>518.20000000000005</v>
      </c>
      <c r="FU34" s="63">
        <f t="shared" si="69"/>
        <v>0</v>
      </c>
      <c r="FV34" s="63" cm="1">
        <f t="array" ref="FV34">INDEX(Month_Ref,FV$83,3)*FQ34*(PI()/4*$F34^2)*$H34*FR34*FU34</f>
        <v>0</v>
      </c>
      <c r="FW34" s="63" cm="1">
        <f t="array" ref="FW34">INDEX(FX_Input,$KB34,FW$85)</f>
        <v>0</v>
      </c>
      <c r="FX34" s="63">
        <f t="shared" si="70"/>
        <v>0</v>
      </c>
      <c r="FY34" s="63">
        <f t="shared" si="71"/>
        <v>0</v>
      </c>
      <c r="FZ34" s="63">
        <f t="shared" si="72"/>
        <v>1</v>
      </c>
      <c r="GA34" s="63" cm="1">
        <f t="array" ref="GA34">IF(OR(INDEX(FX_Vap,$KK34,GA$90)="Crude Oil",(INDEX(FX_Vap,$KL34,GA$90)="Crude Oil")),0.75,1)</f>
        <v>1</v>
      </c>
      <c r="GB34" s="63">
        <f t="shared" si="116"/>
        <v>1</v>
      </c>
      <c r="GC34" s="63">
        <f t="shared" si="73"/>
        <v>0</v>
      </c>
      <c r="GD34" s="64">
        <f t="shared" si="74"/>
        <v>0</v>
      </c>
      <c r="GE34" s="80" t="str" cm="1">
        <f t="array" ref="GE34">IF(ISBLANK(INDEX(FX_Input,$KB34+1,GE$85)),INDEX(FX_Input,$KB34,GE$85),INDEX(FX_Input,$KB34,GE$85)&amp;" &amp; "&amp;INDEX(FX_Input,$KB34+1,GE$85))</f>
        <v>Out of Service</v>
      </c>
      <c r="GF34" s="63" cm="1">
        <f t="array" ref="GF34">INDEX(FX_Temps,$KC34+7,GF$89)</f>
        <v>0</v>
      </c>
      <c r="GG34" s="63" cm="1">
        <f t="array" ref="GG34">INDEX(FX_Temps,$KC34+13,GG$89)+459.6</f>
        <v>512.25</v>
      </c>
      <c r="GH34" s="63" cm="1">
        <f t="array" ref="GH34">INDEX(FX_Vap,$KG34,GH$91)-INDEX(FX_Vap,$KH34,GH$91)</f>
        <v>0</v>
      </c>
      <c r="GI34" s="73" cm="1">
        <f t="array" ref="GI34">IF(GE34="Out of Service",0,INDEX(FX_Vap,$KI34,GI$91))</f>
        <v>0</v>
      </c>
      <c r="GJ34" s="63">
        <f t="shared" si="75"/>
        <v>0</v>
      </c>
      <c r="GK34" s="63">
        <f t="shared" si="76"/>
        <v>1</v>
      </c>
      <c r="GL34" s="63" cm="1">
        <f t="array" ref="GL34">INDEX(FX_Vap,$KJ34,GL$91)</f>
        <v>0</v>
      </c>
      <c r="GM34" s="63" cm="1">
        <f t="array" ref="GM34">INDEX(FX_Temps,$KD34,GM$89)+459.6</f>
        <v>512.25</v>
      </c>
      <c r="GN34" s="63">
        <f t="shared" si="77"/>
        <v>0</v>
      </c>
      <c r="GO34" s="63" cm="1">
        <f t="array" ref="GO34">INDEX(Month_Ref,GO$83,3)*GJ34*(PI()/4*$F34^2)*$H34*GK34*GN34</f>
        <v>0</v>
      </c>
      <c r="GP34" s="63" cm="1">
        <f t="array" ref="GP34">INDEX(FX_Input,$KB34,GP$85)</f>
        <v>0</v>
      </c>
      <c r="GQ34" s="63">
        <f t="shared" si="78"/>
        <v>0</v>
      </c>
      <c r="GR34" s="63">
        <f t="shared" si="79"/>
        <v>0</v>
      </c>
      <c r="GS34" s="63">
        <f t="shared" si="80"/>
        <v>1</v>
      </c>
      <c r="GT34" s="63" cm="1">
        <f t="array" ref="GT34">IF(OR(INDEX(FX_Vap,$KK34,GT$90)="Crude Oil",(INDEX(FX_Vap,$KL34,GT$90)="Crude Oil")),0.75,1)</f>
        <v>1</v>
      </c>
      <c r="GU34" s="63">
        <f t="shared" si="117"/>
        <v>1</v>
      </c>
      <c r="GV34" s="63">
        <f t="shared" si="81"/>
        <v>0</v>
      </c>
      <c r="GW34" s="64">
        <f t="shared" si="82"/>
        <v>0</v>
      </c>
      <c r="GX34" s="80" t="str" cm="1">
        <f t="array" ref="GX34">IF(ISBLANK(INDEX(FX_Input,$KB34+1,GX$85)),INDEX(FX_Input,$KB34,GX$85),INDEX(FX_Input,$KB34,GX$85)&amp;" &amp; "&amp;INDEX(FX_Input,$KB34+1,GX$85))</f>
        <v>Out of Service</v>
      </c>
      <c r="GY34" s="63" cm="1">
        <f t="array" ref="GY34">INDEX(FX_Temps,$KC34+7,GY$89)</f>
        <v>0</v>
      </c>
      <c r="GZ34" s="63" cm="1">
        <f t="array" ref="GZ34">INDEX(FX_Temps,$KC34+13,GZ$89)+459.6</f>
        <v>506.70000000000005</v>
      </c>
      <c r="HA34" s="63" cm="1">
        <f t="array" ref="HA34">INDEX(FX_Vap,$KG34,HA$91)-INDEX(FX_Vap,$KH34,HA$91)</f>
        <v>0</v>
      </c>
      <c r="HB34" s="73" cm="1">
        <f t="array" ref="HB34">IF(GX34="Out of Service",0,INDEX(FX_Vap,$KI34,HB$91))</f>
        <v>0</v>
      </c>
      <c r="HC34" s="63">
        <f t="shared" si="83"/>
        <v>0</v>
      </c>
      <c r="HD34" s="63">
        <f t="shared" si="84"/>
        <v>1</v>
      </c>
      <c r="HE34" s="63" cm="1">
        <f t="array" ref="HE34">INDEX(FX_Vap,$KJ34,HE$91)</f>
        <v>0</v>
      </c>
      <c r="HF34" s="63" cm="1">
        <f t="array" ref="HF34">INDEX(FX_Temps,$KD34,HF$89)+459.6</f>
        <v>506.70000000000005</v>
      </c>
      <c r="HG34" s="63">
        <f t="shared" si="85"/>
        <v>0</v>
      </c>
      <c r="HH34" s="63" cm="1">
        <f t="array" ref="HH34">INDEX(Month_Ref,HH$83,3)*HC34*(PI()/4*$F34^2)*$H34*HD34*HG34</f>
        <v>0</v>
      </c>
      <c r="HI34" s="63" cm="1">
        <f t="array" ref="HI34">INDEX(FX_Input,$KB34,HI$85)</f>
        <v>0</v>
      </c>
      <c r="HJ34" s="63">
        <f t="shared" si="86"/>
        <v>0</v>
      </c>
      <c r="HK34" s="63">
        <f t="shared" si="87"/>
        <v>0</v>
      </c>
      <c r="HL34" s="63">
        <f t="shared" si="88"/>
        <v>1</v>
      </c>
      <c r="HM34" s="63" cm="1">
        <f t="array" ref="HM34">IF(OR(INDEX(FX_Vap,$KK34,HM$90)="Crude Oil",(INDEX(FX_Vap,$KL34,HM$90)="Crude Oil")),0.75,1)</f>
        <v>1</v>
      </c>
      <c r="HN34" s="63">
        <f t="shared" si="118"/>
        <v>1</v>
      </c>
      <c r="HO34" s="63">
        <f t="shared" si="89"/>
        <v>0</v>
      </c>
      <c r="HP34" s="64">
        <f t="shared" si="90"/>
        <v>0</v>
      </c>
      <c r="HQ34" s="80" t="str" cm="1">
        <f t="array" ref="HQ34">IF(ISBLANK(INDEX(FX_Input,$KB34+1,HQ$85)),INDEX(FX_Input,$KB34,HQ$85),INDEX(FX_Input,$KB34,HQ$85)&amp;" &amp; "&amp;INDEX(FX_Input,$KB34+1,HQ$85))</f>
        <v>Out of Service</v>
      </c>
      <c r="HR34" s="63" cm="1">
        <f t="array" ref="HR34">INDEX(FX_Temps,$KC34+7,HR$89)</f>
        <v>0</v>
      </c>
      <c r="HS34" s="63" cm="1">
        <f t="array" ref="HS34">INDEX(FX_Temps,$KC34+13,HS$89)+459.6</f>
        <v>503.20000000000005</v>
      </c>
      <c r="HT34" s="63" cm="1">
        <f t="array" ref="HT34">INDEX(FX_Vap,$KG34,HT$91)-INDEX(FX_Vap,$KH34,HT$91)</f>
        <v>0</v>
      </c>
      <c r="HU34" s="73" cm="1">
        <f t="array" ref="HU34">IF(HQ34="Out of Service",0,INDEX(FX_Vap,$KI34,HU$91))</f>
        <v>0</v>
      </c>
      <c r="HV34" s="63">
        <f t="shared" si="91"/>
        <v>0</v>
      </c>
      <c r="HW34" s="63">
        <f t="shared" si="92"/>
        <v>1</v>
      </c>
      <c r="HX34" s="63" cm="1">
        <f t="array" ref="HX34">INDEX(FX_Vap,$KJ34,HX$91)</f>
        <v>0</v>
      </c>
      <c r="HY34" s="63" cm="1">
        <f t="array" ref="HY34">INDEX(FX_Temps,$KD34,HY$89)+459.6</f>
        <v>503.20000000000005</v>
      </c>
      <c r="HZ34" s="63">
        <f t="shared" si="93"/>
        <v>0</v>
      </c>
      <c r="IA34" s="63" cm="1">
        <f t="array" ref="IA34">INDEX(Month_Ref,IA$83,3)*HV34*(PI()/4*$F34^2)*$H34*HW34*HZ34</f>
        <v>0</v>
      </c>
      <c r="IB34" s="63" cm="1">
        <f t="array" ref="IB34">INDEX(FX_Input,$KB34,IB$85)</f>
        <v>0</v>
      </c>
      <c r="IC34" s="63">
        <f t="shared" si="94"/>
        <v>0</v>
      </c>
      <c r="ID34" s="63">
        <f t="shared" si="95"/>
        <v>0</v>
      </c>
      <c r="IE34" s="63">
        <f t="shared" si="96"/>
        <v>1</v>
      </c>
      <c r="IF34" s="63" cm="1">
        <f t="array" ref="IF34">IF(OR(INDEX(FX_Vap,$KK34,IF$90)="Crude Oil",(INDEX(FX_Vap,$KL34,IF$90)="Crude Oil")),0.75,1)</f>
        <v>1</v>
      </c>
      <c r="IG34" s="63">
        <f t="shared" si="119"/>
        <v>1</v>
      </c>
      <c r="IH34" s="63">
        <f t="shared" si="97"/>
        <v>0</v>
      </c>
      <c r="II34" s="64">
        <f t="shared" si="98"/>
        <v>0</v>
      </c>
      <c r="IJ34" s="80">
        <f t="shared" si="99"/>
        <v>0</v>
      </c>
      <c r="IK34" s="63">
        <f t="shared" si="100"/>
        <v>0</v>
      </c>
      <c r="IL34" s="63">
        <f t="shared" si="101"/>
        <v>0</v>
      </c>
      <c r="IM34" s="63">
        <f t="shared" si="102"/>
        <v>0</v>
      </c>
      <c r="IN34" s="63">
        <f t="shared" si="103"/>
        <v>0</v>
      </c>
      <c r="IO34" s="64">
        <f t="shared" si="104"/>
        <v>0</v>
      </c>
      <c r="KB34" s="43">
        <f t="shared" si="120"/>
        <v>47</v>
      </c>
      <c r="KC34" s="43">
        <f t="shared" si="121"/>
        <v>323</v>
      </c>
      <c r="KD34" s="43">
        <f t="shared" si="122"/>
        <v>336</v>
      </c>
      <c r="KE34" s="43">
        <f t="shared" si="123"/>
        <v>323</v>
      </c>
      <c r="KF34" s="43">
        <f t="shared" si="124"/>
        <v>783</v>
      </c>
      <c r="KG34" s="43">
        <f t="shared" si="125"/>
        <v>806</v>
      </c>
      <c r="KH34" s="43">
        <f t="shared" si="126"/>
        <v>801</v>
      </c>
      <c r="KI34" s="43">
        <f t="shared" si="126"/>
        <v>811</v>
      </c>
      <c r="KJ34" s="43">
        <f t="shared" si="126"/>
        <v>816</v>
      </c>
      <c r="KK34" s="43">
        <f t="shared" si="127"/>
        <v>787</v>
      </c>
      <c r="KL34" s="43">
        <f t="shared" si="128"/>
        <v>789</v>
      </c>
    </row>
    <row r="35" spans="2:298" x14ac:dyDescent="0.4">
      <c r="B35" s="43" t="str" cm="1">
        <f t="array" ref="B35">INDEX(FX_Input,$KB35,B$85)</f>
        <v>FX - 25</v>
      </c>
      <c r="C35" s="93" t="str" cm="1">
        <f t="array" ref="C35">INDEX(FX_Input,$KB35,C$85)</f>
        <v>FIXTANK 142</v>
      </c>
      <c r="D35" s="80">
        <f t="shared" si="0"/>
        <v>3101.3409977156739</v>
      </c>
      <c r="E35" s="63" cm="1">
        <f t="array" ref="E35">IF(ISBLANK(INDEX(FX_Input,$KB35,$E$85)),0.03,INDEX(FX_Input,$KB35,$E$85))-IF(ISBLANK(INDEX(FX_Input,$KB35,$E$86)),-0.03,INDEX(FX_Input,$KB35,$E$86))</f>
        <v>0.06</v>
      </c>
      <c r="F35" s="63" cm="1">
        <f t="array" ref="F35">IF(INDEX(FX_Input,$KB35,F$85)="Vertical",INDEX(FX_Input,$KB35,F$86),SQRT((INDEX(FX_Input,$KB35,F$86)*INDEX(FX_Input,$KB35,F$87))/(PI()/4)))</f>
        <v>18</v>
      </c>
      <c r="G35" s="63" cm="1">
        <f t="array" ref="G35">IF(INDEX(FX_Input,$KB35,G$85)="Vertical",INDEX(FX_Input,$KB35,G$86),INDEX(FX_Input,$KB35,G$87)*PI()/4)</f>
        <v>24</v>
      </c>
      <c r="H35" s="63" cm="1">
        <f t="array" ref="H35">IF(INDEX(FX_Input,$KB35,H$85)="Vertical",G35-G35/2+J35,G35/2)</f>
        <v>12.1875</v>
      </c>
      <c r="I35" s="63" cm="1">
        <f t="array" ref="I35">IF(INDEX(FX_Input,$KB35,F$85)="Horizontal","N/A",IF(INDEX(FX_Input,$KB35,I$86)="Cone",IF(ISBLANK(INDEX(FX_Input,$KB35,I$87)),0.0625,INDEX(FX_Input,$KB35,I$87))*F35/2,F35/2-SQRT((F35/2)^2-(INDEX(FX_Input,$KB35,I$88)^2))))</f>
        <v>0.5625</v>
      </c>
      <c r="J35" s="63" cm="1">
        <f t="array" ref="J35">IF(INDEX(FX_Input,$KB35,J$85)="Horizontal","N/A",IF(INDEX(FX_Input,$KB35,J$86)="Cone",I35/3,I35*(1/2+(1/6)*(I35/(F35/2))^2)))</f>
        <v>0.1875</v>
      </c>
      <c r="K35" s="63">
        <f t="shared" si="1"/>
        <v>23</v>
      </c>
      <c r="L35" s="63">
        <v>1</v>
      </c>
      <c r="M35" s="63" t="str" cm="1">
        <f t="array" ref="M35">INDEX(Tbl_71_6,MATCH(INDEX(FX_Input,$KB35,M$85),Paint_Color,0),VLOOKUP(INDEX(FX_Input,$KB35,M$86),Paint_Cond_Column,2,FALSE))</f>
        <v>N/A</v>
      </c>
      <c r="N35" s="63" t="str" cm="1">
        <f t="array" ref="N35">INDEX(Tbl_71_6,MATCH(INDEX(FX_Input,$KB35,N$85),Paint_Color,0),VLOOKUP(INDEX(FX_Input,$KB35,N$86),Paint_Cond_Column,2,FALSE))</f>
        <v>N/A</v>
      </c>
      <c r="O35" s="64" t="str">
        <f t="shared" si="2"/>
        <v>Insulated</v>
      </c>
      <c r="P35" s="80" t="str" cm="1">
        <f t="array" ref="P35">IF(ISBLANK(INDEX(FX_Input,$KB35+1,P$85)),INDEX(FX_Input,$KB35,P$85),INDEX(FX_Input,$KB35,P$85)&amp;" &amp; "&amp;INDEX(FX_Input,$KB35+1,P$85))</f>
        <v>Out of Service</v>
      </c>
      <c r="Q35" s="63" cm="1">
        <f t="array" ref="Q35">INDEX(FX_Temps,$KC35+7,Q$89)</f>
        <v>0</v>
      </c>
      <c r="R35" s="63" cm="1">
        <f t="array" ref="R35">INDEX(FX_Temps,$KC35+13,R$89)+459.6</f>
        <v>503.5</v>
      </c>
      <c r="S35" s="63" cm="1">
        <f t="array" ref="S35">INDEX(FX_Vap,$KG35,S$91)-INDEX(FX_Vap,$KH35,S$91)</f>
        <v>0</v>
      </c>
      <c r="T35" s="73" cm="1">
        <f t="array" ref="T35">IF(P35="Out of Service",0,INDEX(FX_Vap,$KI35,T$91))</f>
        <v>0</v>
      </c>
      <c r="U35" s="63">
        <f t="shared" si="3"/>
        <v>0</v>
      </c>
      <c r="V35" s="63">
        <f t="shared" si="4"/>
        <v>1</v>
      </c>
      <c r="W35" s="63" cm="1">
        <f t="array" ref="W35">INDEX(FX_Vap,$KJ35,W$91)</f>
        <v>0</v>
      </c>
      <c r="X35" s="63" cm="1">
        <f t="array" ref="X35">INDEX(FX_Temps,$KD35,X$89)+459.6</f>
        <v>503.5</v>
      </c>
      <c r="Y35" s="63">
        <f t="shared" si="5"/>
        <v>0</v>
      </c>
      <c r="Z35" s="63" cm="1">
        <f t="array" ref="Z35">INDEX(Month_Ref,Z$83,3)*U35*(PI()/4*$F35^2)*$H35*V35*Y35</f>
        <v>0</v>
      </c>
      <c r="AA35" s="63" cm="1">
        <f t="array" ref="AA35">INDEX(FX_Input,$KB35,AA$85)</f>
        <v>0</v>
      </c>
      <c r="AB35" s="63">
        <f t="shared" si="6"/>
        <v>0</v>
      </c>
      <c r="AC35" s="63">
        <f t="shared" si="7"/>
        <v>0</v>
      </c>
      <c r="AD35" s="63">
        <f t="shared" si="8"/>
        <v>1</v>
      </c>
      <c r="AE35" s="63" cm="1">
        <f t="array" ref="AE35">IF(OR(INDEX(FX_Vap,$KK35,AE$90)="Crude Oil",(INDEX(FX_Vap,$KL35,AE$90)="Crude Oil")),0.75,1)</f>
        <v>1</v>
      </c>
      <c r="AF35" s="63">
        <f t="shared" si="108"/>
        <v>1</v>
      </c>
      <c r="AG35" s="63">
        <f t="shared" si="9"/>
        <v>0</v>
      </c>
      <c r="AH35" s="64">
        <f t="shared" si="10"/>
        <v>0</v>
      </c>
      <c r="AI35" s="80" t="str" cm="1">
        <f t="array" ref="AI35">IF(ISBLANK(INDEX(FX_Input,$KB35+1,AI$85)),INDEX(FX_Input,$KB35,AI$85),INDEX(FX_Input,$KB35,AI$85)&amp;" &amp; "&amp;INDEX(FX_Input,$KB35+1,AI$85))</f>
        <v>Out of Service</v>
      </c>
      <c r="AJ35" s="63" cm="1">
        <f t="array" ref="AJ35">INDEX(FX_Temps,$KC35+7,AJ$89)</f>
        <v>0</v>
      </c>
      <c r="AK35" s="63" cm="1">
        <f t="array" ref="AK35">INDEX(FX_Temps,$KC35+13,AK$89)+459.6</f>
        <v>504.30000000000007</v>
      </c>
      <c r="AL35" s="63" cm="1">
        <f t="array" ref="AL35">INDEX(FX_Vap,$KG35,AL$91)-INDEX(FX_Vap,$KH35,AL$91)</f>
        <v>0</v>
      </c>
      <c r="AM35" s="73" cm="1">
        <f t="array" ref="AM35">IF(AI35="Out of Service",0,INDEX(FX_Vap,$KI35,AM$91))</f>
        <v>0</v>
      </c>
      <c r="AN35" s="63">
        <f t="shared" si="11"/>
        <v>0</v>
      </c>
      <c r="AO35" s="63">
        <f t="shared" si="12"/>
        <v>1</v>
      </c>
      <c r="AP35" s="63" cm="1">
        <f t="array" ref="AP35">INDEX(FX_Vap,$KJ35,AP$91)</f>
        <v>0</v>
      </c>
      <c r="AQ35" s="63" cm="1">
        <f t="array" ref="AQ35">INDEX(FX_Temps,$KD35,AQ$89)+459.6</f>
        <v>504.30000000000007</v>
      </c>
      <c r="AR35" s="63">
        <f t="shared" si="13"/>
        <v>0</v>
      </c>
      <c r="AS35" s="63" cm="1">
        <f t="array" ref="AS35">INDEX(Month_Ref,AS$83,3)*AN35*(PI()/4*$F35^2)*$H35*AO35*AR35</f>
        <v>0</v>
      </c>
      <c r="AT35" s="63" cm="1">
        <f t="array" ref="AT35">INDEX(FX_Input,$KB35,AT$85)</f>
        <v>0</v>
      </c>
      <c r="AU35" s="63">
        <f t="shared" si="14"/>
        <v>0</v>
      </c>
      <c r="AV35" s="63">
        <f t="shared" si="15"/>
        <v>0</v>
      </c>
      <c r="AW35" s="63">
        <f t="shared" si="16"/>
        <v>1</v>
      </c>
      <c r="AX35" s="63" cm="1">
        <f t="array" ref="AX35">IF(OR(INDEX(FX_Vap,$KK35,AX$90)="Crude Oil",(INDEX(FX_Vap,$KL35,AX$90)="Crude Oil")),0.75,1)</f>
        <v>1</v>
      </c>
      <c r="AY35" s="63">
        <f t="shared" si="109"/>
        <v>1</v>
      </c>
      <c r="AZ35" s="63">
        <f t="shared" si="17"/>
        <v>0</v>
      </c>
      <c r="BA35" s="64">
        <f t="shared" si="18"/>
        <v>0</v>
      </c>
      <c r="BB35" s="80" t="str" cm="1">
        <f t="array" ref="BB35">IF(ISBLANK(INDEX(FX_Input,$KB35+1,BB$85)),INDEX(FX_Input,$KB35,BB$85),INDEX(FX_Input,$KB35,BB$85)&amp;" &amp; "&amp;INDEX(FX_Input,$KB35+1,BB$85))</f>
        <v>Out of Service</v>
      </c>
      <c r="BC35" s="63" cm="1">
        <f t="array" ref="BC35">INDEX(FX_Temps,$KC35+7,BC$89)</f>
        <v>0</v>
      </c>
      <c r="BD35" s="63" cm="1">
        <f t="array" ref="BD35">INDEX(FX_Temps,$KC35+13,BD$89)+459.6</f>
        <v>505.70000000000005</v>
      </c>
      <c r="BE35" s="63" cm="1">
        <f t="array" ref="BE35">INDEX(FX_Vap,$KG35,BE$91)-INDEX(FX_Vap,$KH35,BE$91)</f>
        <v>0</v>
      </c>
      <c r="BF35" s="73" cm="1">
        <f t="array" ref="BF35">IF(BB35="Out of Service",0,INDEX(FX_Vap,$KI35,BF$91))</f>
        <v>0</v>
      </c>
      <c r="BG35" s="63">
        <f t="shared" si="19"/>
        <v>0</v>
      </c>
      <c r="BH35" s="63">
        <f t="shared" si="20"/>
        <v>1</v>
      </c>
      <c r="BI35" s="63" cm="1">
        <f t="array" ref="BI35">INDEX(FX_Vap,$KJ35,BI$91)</f>
        <v>0</v>
      </c>
      <c r="BJ35" s="63" cm="1">
        <f t="array" ref="BJ35">INDEX(FX_Temps,$KD35,BJ$89)+459.6</f>
        <v>505.70000000000005</v>
      </c>
      <c r="BK35" s="63">
        <f t="shared" si="21"/>
        <v>0</v>
      </c>
      <c r="BL35" s="63" cm="1">
        <f t="array" ref="BL35">INDEX(Month_Ref,BL$83,3)*BG35*(PI()/4*$F35^2)*$H35*BH35*BK35</f>
        <v>0</v>
      </c>
      <c r="BM35" s="63" cm="1">
        <f t="array" ref="BM35">INDEX(FX_Input,$KB35,BM$85)</f>
        <v>0</v>
      </c>
      <c r="BN35" s="63">
        <f t="shared" si="22"/>
        <v>0</v>
      </c>
      <c r="BO35" s="63">
        <f t="shared" si="23"/>
        <v>0</v>
      </c>
      <c r="BP35" s="63">
        <f t="shared" si="24"/>
        <v>1</v>
      </c>
      <c r="BQ35" s="63" cm="1">
        <f t="array" ref="BQ35">IF(OR(INDEX(FX_Vap,$KK35,BQ$90)="Crude Oil",(INDEX(FX_Vap,$KL35,BQ$90)="Crude Oil")),0.75,1)</f>
        <v>1</v>
      </c>
      <c r="BR35" s="63">
        <f t="shared" si="110"/>
        <v>1</v>
      </c>
      <c r="BS35" s="63">
        <f t="shared" si="25"/>
        <v>0</v>
      </c>
      <c r="BT35" s="64">
        <f t="shared" si="26"/>
        <v>0</v>
      </c>
      <c r="BU35" s="80" t="str" cm="1">
        <f t="array" ref="BU35">IF(ISBLANK(INDEX(FX_Input,$KB35+1,BU$85)),INDEX(FX_Input,$KB35,BU$85),INDEX(FX_Input,$KB35,BU$85)&amp;" &amp; "&amp;INDEX(FX_Input,$KB35+1,BU$85))</f>
        <v>Out of Service</v>
      </c>
      <c r="BV35" s="63" cm="1">
        <f t="array" ref="BV35">INDEX(FX_Temps,$KC35+7,BV$89)</f>
        <v>0</v>
      </c>
      <c r="BW35" s="63" cm="1">
        <f t="array" ref="BW35">INDEX(FX_Temps,$KC35+13,BW$89)+459.6</f>
        <v>508.2</v>
      </c>
      <c r="BX35" s="63" cm="1">
        <f t="array" ref="BX35">INDEX(FX_Vap,$KG35,BX$91)-INDEX(FX_Vap,$KH35,BX$91)</f>
        <v>0</v>
      </c>
      <c r="BY35" s="73" cm="1">
        <f t="array" ref="BY35">IF(BU35="Out of Service",0,INDEX(FX_Vap,$KI35,BY$91))</f>
        <v>0</v>
      </c>
      <c r="BZ35" s="63">
        <f t="shared" si="27"/>
        <v>0</v>
      </c>
      <c r="CA35" s="63">
        <f t="shared" si="28"/>
        <v>1</v>
      </c>
      <c r="CB35" s="63" cm="1">
        <f t="array" ref="CB35">INDEX(FX_Vap,$KJ35,CB$91)</f>
        <v>0</v>
      </c>
      <c r="CC35" s="63" cm="1">
        <f t="array" ref="CC35">INDEX(FX_Temps,$KD35,CC$89)+459.6</f>
        <v>508.2</v>
      </c>
      <c r="CD35" s="63">
        <f t="shared" si="29"/>
        <v>0</v>
      </c>
      <c r="CE35" s="63" cm="1">
        <f t="array" ref="CE35">INDEX(Month_Ref,CE$83,3)*BZ35*(PI()/4*$F35^2)*$H35*CA35*CD35</f>
        <v>0</v>
      </c>
      <c r="CF35" s="63" cm="1">
        <f t="array" ref="CF35">INDEX(FX_Input,$KB35,CF$85)</f>
        <v>0</v>
      </c>
      <c r="CG35" s="63">
        <f t="shared" si="30"/>
        <v>0</v>
      </c>
      <c r="CH35" s="63">
        <f t="shared" si="31"/>
        <v>0</v>
      </c>
      <c r="CI35" s="63">
        <f t="shared" si="32"/>
        <v>1</v>
      </c>
      <c r="CJ35" s="63" cm="1">
        <f t="array" ref="CJ35">IF(OR(INDEX(FX_Vap,$KK35,CJ$90)="Crude Oil",(INDEX(FX_Vap,$KL35,CJ$90)="Crude Oil")),0.75,1)</f>
        <v>1</v>
      </c>
      <c r="CK35" s="63">
        <f t="shared" si="111"/>
        <v>1</v>
      </c>
      <c r="CL35" s="63">
        <f t="shared" si="33"/>
        <v>0</v>
      </c>
      <c r="CM35" s="64">
        <f t="shared" si="34"/>
        <v>0</v>
      </c>
      <c r="CN35" s="80" t="str" cm="1">
        <f t="array" ref="CN35">IF(ISBLANK(INDEX(FX_Input,$KB35+1,CN$85)),INDEX(FX_Input,$KB35,CN$85),INDEX(FX_Input,$KB35,CN$85)&amp;" &amp; "&amp;INDEX(FX_Input,$KB35+1,CN$85))</f>
        <v>Out of Service</v>
      </c>
      <c r="CO35" s="63" cm="1">
        <f t="array" ref="CO35">INDEX(FX_Temps,$KC35+7,CO$89)</f>
        <v>0</v>
      </c>
      <c r="CP35" s="63" cm="1">
        <f t="array" ref="CP35">INDEX(FX_Temps,$KC35+13,CP$89)+459.6</f>
        <v>512.75</v>
      </c>
      <c r="CQ35" s="63" cm="1">
        <f t="array" ref="CQ35">INDEX(FX_Vap,$KG35,CQ$91)-INDEX(FX_Vap,$KH35,CQ$91)</f>
        <v>0</v>
      </c>
      <c r="CR35" s="73" cm="1">
        <f t="array" ref="CR35">IF(CN35="Out of Service",0,INDEX(FX_Vap,$KI35,CR$91))</f>
        <v>0</v>
      </c>
      <c r="CS35" s="63">
        <f t="shared" si="35"/>
        <v>0</v>
      </c>
      <c r="CT35" s="63">
        <f t="shared" si="36"/>
        <v>1</v>
      </c>
      <c r="CU35" s="63" cm="1">
        <f t="array" ref="CU35">INDEX(FX_Vap,$KJ35,CU$91)</f>
        <v>0</v>
      </c>
      <c r="CV35" s="63" cm="1">
        <f t="array" ref="CV35">INDEX(FX_Temps,$KD35,CV$89)+459.6</f>
        <v>512.75</v>
      </c>
      <c r="CW35" s="63">
        <f t="shared" si="37"/>
        <v>0</v>
      </c>
      <c r="CX35" s="63" cm="1">
        <f t="array" ref="CX35">INDEX(Month_Ref,CX$83,3)*CS35*(PI()/4*$F35^2)*$H35*CT35*CW35</f>
        <v>0</v>
      </c>
      <c r="CY35" s="63" cm="1">
        <f t="array" ref="CY35">INDEX(FX_Input,$KB35,CY$85)</f>
        <v>0</v>
      </c>
      <c r="CZ35" s="63">
        <f t="shared" si="38"/>
        <v>0</v>
      </c>
      <c r="DA35" s="63">
        <f t="shared" si="39"/>
        <v>0</v>
      </c>
      <c r="DB35" s="63">
        <f t="shared" si="40"/>
        <v>1</v>
      </c>
      <c r="DC35" s="63" cm="1">
        <f t="array" ref="DC35">IF(OR(INDEX(FX_Vap,$KK35,DC$90)="Crude Oil",(INDEX(FX_Vap,$KL35,DC$90)="Crude Oil")),0.75,1)</f>
        <v>1</v>
      </c>
      <c r="DD35" s="63">
        <f t="shared" si="112"/>
        <v>1</v>
      </c>
      <c r="DE35" s="63">
        <f t="shared" si="41"/>
        <v>0</v>
      </c>
      <c r="DF35" s="64">
        <f t="shared" si="42"/>
        <v>0</v>
      </c>
      <c r="DG35" s="80" t="str" cm="1">
        <f t="array" ref="DG35">IF(ISBLANK(INDEX(FX_Input,$KB35+1,DG$85)),INDEX(FX_Input,$KB35,DG$85),INDEX(FX_Input,$KB35,DG$85)&amp;" &amp; "&amp;INDEX(FX_Input,$KB35+1,DG$85))</f>
        <v>Out of Service</v>
      </c>
      <c r="DH35" s="63" cm="1">
        <f t="array" ref="DH35">INDEX(FX_Temps,$KC35+7,DH$89)</f>
        <v>0</v>
      </c>
      <c r="DI35" s="63" cm="1">
        <f t="array" ref="DI35">INDEX(FX_Temps,$KC35+13,DI$89)+459.6</f>
        <v>516.55000000000007</v>
      </c>
      <c r="DJ35" s="63" cm="1">
        <f t="array" ref="DJ35">INDEX(FX_Vap,$KG35,DJ$91)-INDEX(FX_Vap,$KH35,DJ$91)</f>
        <v>0</v>
      </c>
      <c r="DK35" s="73" cm="1">
        <f t="array" ref="DK35">IF(DG35="Out of Service",0,INDEX(FX_Vap,$KI35,DK$91))</f>
        <v>0</v>
      </c>
      <c r="DL35" s="63">
        <f t="shared" si="43"/>
        <v>0</v>
      </c>
      <c r="DM35" s="63">
        <f t="shared" si="44"/>
        <v>1</v>
      </c>
      <c r="DN35" s="63" cm="1">
        <f t="array" ref="DN35">INDEX(FX_Vap,$KJ35,DN$91)</f>
        <v>0</v>
      </c>
      <c r="DO35" s="63" cm="1">
        <f t="array" ref="DO35">INDEX(FX_Temps,$KD35,DO$89)+459.6</f>
        <v>516.55000000000007</v>
      </c>
      <c r="DP35" s="63">
        <f t="shared" si="45"/>
        <v>0</v>
      </c>
      <c r="DQ35" s="63" cm="1">
        <f t="array" ref="DQ35">INDEX(Month_Ref,DQ$83,3)*DL35*(PI()/4*$F35^2)*$H35*DM35*DP35</f>
        <v>0</v>
      </c>
      <c r="DR35" s="63" cm="1">
        <f t="array" ref="DR35">INDEX(FX_Input,$KB35,DR$85)</f>
        <v>0</v>
      </c>
      <c r="DS35" s="63">
        <f t="shared" si="46"/>
        <v>0</v>
      </c>
      <c r="DT35" s="63">
        <f t="shared" si="47"/>
        <v>0</v>
      </c>
      <c r="DU35" s="63">
        <f t="shared" si="48"/>
        <v>1</v>
      </c>
      <c r="DV35" s="63" cm="1">
        <f t="array" ref="DV35">IF(OR(INDEX(FX_Vap,$KK35,DV$90)="Crude Oil",(INDEX(FX_Vap,$KL35,DV$90)="Crude Oil")),0.75,1)</f>
        <v>1</v>
      </c>
      <c r="DW35" s="63">
        <f t="shared" si="113"/>
        <v>1</v>
      </c>
      <c r="DX35" s="63">
        <f t="shared" si="49"/>
        <v>0</v>
      </c>
      <c r="DY35" s="64">
        <f t="shared" si="50"/>
        <v>0</v>
      </c>
      <c r="DZ35" s="80" t="str" cm="1">
        <f t="array" ref="DZ35">IF(ISBLANK(INDEX(FX_Input,$KB35+1,DZ$85)),INDEX(FX_Input,$KB35,DZ$85),INDEX(FX_Input,$KB35,DZ$85)&amp;" &amp; "&amp;INDEX(FX_Input,$KB35+1,DZ$85))</f>
        <v>Out of Service</v>
      </c>
      <c r="EA35" s="63" cm="1">
        <f t="array" ref="EA35">INDEX(FX_Temps,$KC35+7,EA$89)</f>
        <v>0</v>
      </c>
      <c r="EB35" s="63" cm="1">
        <f t="array" ref="EB35">INDEX(FX_Temps,$KC35+13,EB$89)+459.6</f>
        <v>520.04999999999995</v>
      </c>
      <c r="EC35" s="63" cm="1">
        <f t="array" ref="EC35">INDEX(FX_Vap,$KG35,EC$91)-INDEX(FX_Vap,$KH35,EC$91)</f>
        <v>0</v>
      </c>
      <c r="ED35" s="73" cm="1">
        <f t="array" ref="ED35">IF(DZ35="Out of Service",0,INDEX(FX_Vap,$KI35,ED$91))</f>
        <v>0</v>
      </c>
      <c r="EE35" s="63">
        <f t="shared" si="51"/>
        <v>0</v>
      </c>
      <c r="EF35" s="63">
        <f t="shared" si="52"/>
        <v>1</v>
      </c>
      <c r="EG35" s="63" cm="1">
        <f t="array" ref="EG35">INDEX(FX_Vap,$KJ35,EG$91)</f>
        <v>0</v>
      </c>
      <c r="EH35" s="63" cm="1">
        <f t="array" ref="EH35">INDEX(FX_Temps,$KD35,EH$89)+459.6</f>
        <v>520.04999999999995</v>
      </c>
      <c r="EI35" s="63">
        <f t="shared" si="53"/>
        <v>0</v>
      </c>
      <c r="EJ35" s="63" cm="1">
        <f t="array" ref="EJ35">INDEX(Month_Ref,EJ$83,3)*EE35*(PI()/4*$F35^2)*$H35*EF35*EI35</f>
        <v>0</v>
      </c>
      <c r="EK35" s="63" cm="1">
        <f t="array" ref="EK35">INDEX(FX_Input,$KB35,EK$85)</f>
        <v>0</v>
      </c>
      <c r="EL35" s="63">
        <f t="shared" si="54"/>
        <v>0</v>
      </c>
      <c r="EM35" s="63">
        <f t="shared" si="55"/>
        <v>0</v>
      </c>
      <c r="EN35" s="63">
        <f t="shared" si="56"/>
        <v>1</v>
      </c>
      <c r="EO35" s="63" cm="1">
        <f t="array" ref="EO35">IF(OR(INDEX(FX_Vap,$KK35,EO$90)="Crude Oil",(INDEX(FX_Vap,$KL35,EO$90)="Crude Oil")),0.75,1)</f>
        <v>1</v>
      </c>
      <c r="EP35" s="63">
        <f t="shared" si="114"/>
        <v>1</v>
      </c>
      <c r="EQ35" s="63">
        <f t="shared" si="57"/>
        <v>0</v>
      </c>
      <c r="ER35" s="64">
        <f t="shared" si="58"/>
        <v>0</v>
      </c>
      <c r="ES35" s="80" t="str" cm="1">
        <f t="array" ref="ES35">IF(ISBLANK(INDEX(FX_Input,$KB35+1,ES$85)),INDEX(FX_Input,$KB35,ES$85),INDEX(FX_Input,$KB35,ES$85)&amp;" &amp; "&amp;INDEX(FX_Input,$KB35+1,ES$85))</f>
        <v>Out of Service</v>
      </c>
      <c r="ET35" s="63" cm="1">
        <f t="array" ref="ET35">INDEX(FX_Temps,$KC35+7,ET$89)</f>
        <v>0</v>
      </c>
      <c r="EU35" s="63" cm="1">
        <f t="array" ref="EU35">INDEX(FX_Temps,$KC35+13,EU$89)+459.6</f>
        <v>520.5</v>
      </c>
      <c r="EV35" s="63" cm="1">
        <f t="array" ref="EV35">INDEX(FX_Vap,$KG35,EV$91)-INDEX(FX_Vap,$KH35,EV$91)</f>
        <v>0</v>
      </c>
      <c r="EW35" s="73" cm="1">
        <f t="array" ref="EW35">IF(ES35="Out of Service",0,INDEX(FX_Vap,$KI35,EW$91))</f>
        <v>0</v>
      </c>
      <c r="EX35" s="63">
        <f t="shared" si="59"/>
        <v>0</v>
      </c>
      <c r="EY35" s="63">
        <f t="shared" si="60"/>
        <v>1</v>
      </c>
      <c r="EZ35" s="63" cm="1">
        <f t="array" ref="EZ35">INDEX(FX_Vap,$KJ35,EZ$91)</f>
        <v>0</v>
      </c>
      <c r="FA35" s="63" cm="1">
        <f t="array" ref="FA35">INDEX(FX_Temps,$KD35,FA$89)+459.6</f>
        <v>520.5</v>
      </c>
      <c r="FB35" s="63">
        <f t="shared" si="61"/>
        <v>0</v>
      </c>
      <c r="FC35" s="63" cm="1">
        <f t="array" ref="FC35">INDEX(Month_Ref,FC$83,3)*EX35*(PI()/4*$F35^2)*$H35*EY35*FB35</f>
        <v>0</v>
      </c>
      <c r="FD35" s="63" cm="1">
        <f t="array" ref="FD35">INDEX(FX_Input,$KB35,FD$85)</f>
        <v>0</v>
      </c>
      <c r="FE35" s="63">
        <f t="shared" si="62"/>
        <v>0</v>
      </c>
      <c r="FF35" s="63">
        <f t="shared" si="63"/>
        <v>0</v>
      </c>
      <c r="FG35" s="63">
        <f t="shared" si="64"/>
        <v>1</v>
      </c>
      <c r="FH35" s="63" cm="1">
        <f t="array" ref="FH35">IF(OR(INDEX(FX_Vap,$KK35,FH$90)="Crude Oil",(INDEX(FX_Vap,$KL35,FH$90)="Crude Oil")),0.75,1)</f>
        <v>1</v>
      </c>
      <c r="FI35" s="63">
        <f t="shared" si="115"/>
        <v>1</v>
      </c>
      <c r="FJ35" s="63">
        <f t="shared" si="65"/>
        <v>0</v>
      </c>
      <c r="FK35" s="64">
        <f t="shared" si="66"/>
        <v>0</v>
      </c>
      <c r="FL35" s="80" t="str" cm="1">
        <f t="array" ref="FL35">IF(ISBLANK(INDEX(FX_Input,$KB35+1,FL$85)),INDEX(FX_Input,$KB35,FL$85),INDEX(FX_Input,$KB35,FL$85)&amp;" &amp; "&amp;INDEX(FX_Input,$KB35+1,FL$85))</f>
        <v>Out of Service</v>
      </c>
      <c r="FM35" s="63" cm="1">
        <f t="array" ref="FM35">INDEX(FX_Temps,$KC35+7,FM$89)</f>
        <v>0</v>
      </c>
      <c r="FN35" s="63" cm="1">
        <f t="array" ref="FN35">INDEX(FX_Temps,$KC35+13,FN$89)+459.6</f>
        <v>518.20000000000005</v>
      </c>
      <c r="FO35" s="63" cm="1">
        <f t="array" ref="FO35">INDEX(FX_Vap,$KG35,FO$91)-INDEX(FX_Vap,$KH35,FO$91)</f>
        <v>0</v>
      </c>
      <c r="FP35" s="73" cm="1">
        <f t="array" ref="FP35">IF(FL35="Out of Service",0,INDEX(FX_Vap,$KI35,FP$91))</f>
        <v>0</v>
      </c>
      <c r="FQ35" s="63">
        <f t="shared" si="67"/>
        <v>0</v>
      </c>
      <c r="FR35" s="63">
        <f t="shared" si="68"/>
        <v>1</v>
      </c>
      <c r="FS35" s="63" cm="1">
        <f t="array" ref="FS35">INDEX(FX_Vap,$KJ35,FS$91)</f>
        <v>0</v>
      </c>
      <c r="FT35" s="63" cm="1">
        <f t="array" ref="FT35">INDEX(FX_Temps,$KD35,FT$89)+459.6</f>
        <v>518.20000000000005</v>
      </c>
      <c r="FU35" s="63">
        <f t="shared" si="69"/>
        <v>0</v>
      </c>
      <c r="FV35" s="63" cm="1">
        <f t="array" ref="FV35">INDEX(Month_Ref,FV$83,3)*FQ35*(PI()/4*$F35^2)*$H35*FR35*FU35</f>
        <v>0</v>
      </c>
      <c r="FW35" s="63" cm="1">
        <f t="array" ref="FW35">INDEX(FX_Input,$KB35,FW$85)</f>
        <v>0</v>
      </c>
      <c r="FX35" s="63">
        <f t="shared" si="70"/>
        <v>0</v>
      </c>
      <c r="FY35" s="63">
        <f t="shared" si="71"/>
        <v>0</v>
      </c>
      <c r="FZ35" s="63">
        <f t="shared" si="72"/>
        <v>1</v>
      </c>
      <c r="GA35" s="63" cm="1">
        <f t="array" ref="GA35">IF(OR(INDEX(FX_Vap,$KK35,GA$90)="Crude Oil",(INDEX(FX_Vap,$KL35,GA$90)="Crude Oil")),0.75,1)</f>
        <v>1</v>
      </c>
      <c r="GB35" s="63">
        <f t="shared" si="116"/>
        <v>1</v>
      </c>
      <c r="GC35" s="63">
        <f t="shared" si="73"/>
        <v>0</v>
      </c>
      <c r="GD35" s="64">
        <f t="shared" si="74"/>
        <v>0</v>
      </c>
      <c r="GE35" s="80" t="str" cm="1">
        <f t="array" ref="GE35">IF(ISBLANK(INDEX(FX_Input,$KB35+1,GE$85)),INDEX(FX_Input,$KB35,GE$85),INDEX(FX_Input,$KB35,GE$85)&amp;" &amp; "&amp;INDEX(FX_Input,$KB35+1,GE$85))</f>
        <v>Out of Service</v>
      </c>
      <c r="GF35" s="63" cm="1">
        <f t="array" ref="GF35">INDEX(FX_Temps,$KC35+7,GF$89)</f>
        <v>0</v>
      </c>
      <c r="GG35" s="63" cm="1">
        <f t="array" ref="GG35">INDEX(FX_Temps,$KC35+13,GG$89)+459.6</f>
        <v>512.25</v>
      </c>
      <c r="GH35" s="63" cm="1">
        <f t="array" ref="GH35">INDEX(FX_Vap,$KG35,GH$91)-INDEX(FX_Vap,$KH35,GH$91)</f>
        <v>0</v>
      </c>
      <c r="GI35" s="73" cm="1">
        <f t="array" ref="GI35">IF(GE35="Out of Service",0,INDEX(FX_Vap,$KI35,GI$91))</f>
        <v>0</v>
      </c>
      <c r="GJ35" s="63">
        <f t="shared" si="75"/>
        <v>0</v>
      </c>
      <c r="GK35" s="63">
        <f t="shared" si="76"/>
        <v>1</v>
      </c>
      <c r="GL35" s="63" cm="1">
        <f t="array" ref="GL35">INDEX(FX_Vap,$KJ35,GL$91)</f>
        <v>0</v>
      </c>
      <c r="GM35" s="63" cm="1">
        <f t="array" ref="GM35">INDEX(FX_Temps,$KD35,GM$89)+459.6</f>
        <v>512.25</v>
      </c>
      <c r="GN35" s="63">
        <f t="shared" si="77"/>
        <v>0</v>
      </c>
      <c r="GO35" s="63" cm="1">
        <f t="array" ref="GO35">INDEX(Month_Ref,GO$83,3)*GJ35*(PI()/4*$F35^2)*$H35*GK35*GN35</f>
        <v>0</v>
      </c>
      <c r="GP35" s="63" cm="1">
        <f t="array" ref="GP35">INDEX(FX_Input,$KB35,GP$85)</f>
        <v>0</v>
      </c>
      <c r="GQ35" s="63">
        <f t="shared" si="78"/>
        <v>0</v>
      </c>
      <c r="GR35" s="63">
        <f t="shared" si="79"/>
        <v>0</v>
      </c>
      <c r="GS35" s="63">
        <f t="shared" si="80"/>
        <v>1</v>
      </c>
      <c r="GT35" s="63" cm="1">
        <f t="array" ref="GT35">IF(OR(INDEX(FX_Vap,$KK35,GT$90)="Crude Oil",(INDEX(FX_Vap,$KL35,GT$90)="Crude Oil")),0.75,1)</f>
        <v>1</v>
      </c>
      <c r="GU35" s="63">
        <f t="shared" si="117"/>
        <v>1</v>
      </c>
      <c r="GV35" s="63">
        <f t="shared" si="81"/>
        <v>0</v>
      </c>
      <c r="GW35" s="64">
        <f t="shared" si="82"/>
        <v>0</v>
      </c>
      <c r="GX35" s="80" t="str" cm="1">
        <f t="array" ref="GX35">IF(ISBLANK(INDEX(FX_Input,$KB35+1,GX$85)),INDEX(FX_Input,$KB35,GX$85),INDEX(FX_Input,$KB35,GX$85)&amp;" &amp; "&amp;INDEX(FX_Input,$KB35+1,GX$85))</f>
        <v>Out of Service</v>
      </c>
      <c r="GY35" s="63" cm="1">
        <f t="array" ref="GY35">INDEX(FX_Temps,$KC35+7,GY$89)</f>
        <v>0</v>
      </c>
      <c r="GZ35" s="63" cm="1">
        <f t="array" ref="GZ35">INDEX(FX_Temps,$KC35+13,GZ$89)+459.6</f>
        <v>506.70000000000005</v>
      </c>
      <c r="HA35" s="63" cm="1">
        <f t="array" ref="HA35">INDEX(FX_Vap,$KG35,HA$91)-INDEX(FX_Vap,$KH35,HA$91)</f>
        <v>0</v>
      </c>
      <c r="HB35" s="73" cm="1">
        <f t="array" ref="HB35">IF(GX35="Out of Service",0,INDEX(FX_Vap,$KI35,HB$91))</f>
        <v>0</v>
      </c>
      <c r="HC35" s="63">
        <f t="shared" si="83"/>
        <v>0</v>
      </c>
      <c r="HD35" s="63">
        <f t="shared" si="84"/>
        <v>1</v>
      </c>
      <c r="HE35" s="63" cm="1">
        <f t="array" ref="HE35">INDEX(FX_Vap,$KJ35,HE$91)</f>
        <v>0</v>
      </c>
      <c r="HF35" s="63" cm="1">
        <f t="array" ref="HF35">INDEX(FX_Temps,$KD35,HF$89)+459.6</f>
        <v>506.70000000000005</v>
      </c>
      <c r="HG35" s="63">
        <f t="shared" si="85"/>
        <v>0</v>
      </c>
      <c r="HH35" s="63" cm="1">
        <f t="array" ref="HH35">INDEX(Month_Ref,HH$83,3)*HC35*(PI()/4*$F35^2)*$H35*HD35*HG35</f>
        <v>0</v>
      </c>
      <c r="HI35" s="63" cm="1">
        <f t="array" ref="HI35">INDEX(FX_Input,$KB35,HI$85)</f>
        <v>0</v>
      </c>
      <c r="HJ35" s="63">
        <f t="shared" si="86"/>
        <v>0</v>
      </c>
      <c r="HK35" s="63">
        <f t="shared" si="87"/>
        <v>0</v>
      </c>
      <c r="HL35" s="63">
        <f t="shared" si="88"/>
        <v>1</v>
      </c>
      <c r="HM35" s="63" cm="1">
        <f t="array" ref="HM35">IF(OR(INDEX(FX_Vap,$KK35,HM$90)="Crude Oil",(INDEX(FX_Vap,$KL35,HM$90)="Crude Oil")),0.75,1)</f>
        <v>1</v>
      </c>
      <c r="HN35" s="63">
        <f t="shared" si="118"/>
        <v>1</v>
      </c>
      <c r="HO35" s="63">
        <f t="shared" si="89"/>
        <v>0</v>
      </c>
      <c r="HP35" s="64">
        <f t="shared" si="90"/>
        <v>0</v>
      </c>
      <c r="HQ35" s="80" t="str" cm="1">
        <f t="array" ref="HQ35">IF(ISBLANK(INDEX(FX_Input,$KB35+1,HQ$85)),INDEX(FX_Input,$KB35,HQ$85),INDEX(FX_Input,$KB35,HQ$85)&amp;" &amp; "&amp;INDEX(FX_Input,$KB35+1,HQ$85))</f>
        <v>Out of Service</v>
      </c>
      <c r="HR35" s="63" cm="1">
        <f t="array" ref="HR35">INDEX(FX_Temps,$KC35+7,HR$89)</f>
        <v>0</v>
      </c>
      <c r="HS35" s="63" cm="1">
        <f t="array" ref="HS35">INDEX(FX_Temps,$KC35+13,HS$89)+459.6</f>
        <v>503.20000000000005</v>
      </c>
      <c r="HT35" s="63" cm="1">
        <f t="array" ref="HT35">INDEX(FX_Vap,$KG35,HT$91)-INDEX(FX_Vap,$KH35,HT$91)</f>
        <v>0</v>
      </c>
      <c r="HU35" s="73" cm="1">
        <f t="array" ref="HU35">IF(HQ35="Out of Service",0,INDEX(FX_Vap,$KI35,HU$91))</f>
        <v>0</v>
      </c>
      <c r="HV35" s="63">
        <f t="shared" si="91"/>
        <v>0</v>
      </c>
      <c r="HW35" s="63">
        <f t="shared" si="92"/>
        <v>1</v>
      </c>
      <c r="HX35" s="63" cm="1">
        <f t="array" ref="HX35">INDEX(FX_Vap,$KJ35,HX$91)</f>
        <v>0</v>
      </c>
      <c r="HY35" s="63" cm="1">
        <f t="array" ref="HY35">INDEX(FX_Temps,$KD35,HY$89)+459.6</f>
        <v>503.20000000000005</v>
      </c>
      <c r="HZ35" s="63">
        <f t="shared" si="93"/>
        <v>0</v>
      </c>
      <c r="IA35" s="63" cm="1">
        <f t="array" ref="IA35">INDEX(Month_Ref,IA$83,3)*HV35*(PI()/4*$F35^2)*$H35*HW35*HZ35</f>
        <v>0</v>
      </c>
      <c r="IB35" s="63" cm="1">
        <f t="array" ref="IB35">INDEX(FX_Input,$KB35,IB$85)</f>
        <v>0</v>
      </c>
      <c r="IC35" s="63">
        <f t="shared" si="94"/>
        <v>0</v>
      </c>
      <c r="ID35" s="63">
        <f t="shared" si="95"/>
        <v>0</v>
      </c>
      <c r="IE35" s="63">
        <f t="shared" si="96"/>
        <v>1</v>
      </c>
      <c r="IF35" s="63" cm="1">
        <f t="array" ref="IF35">IF(OR(INDEX(FX_Vap,$KK35,IF$90)="Crude Oil",(INDEX(FX_Vap,$KL35,IF$90)="Crude Oil")),0.75,1)</f>
        <v>1</v>
      </c>
      <c r="IG35" s="63">
        <f t="shared" si="119"/>
        <v>1</v>
      </c>
      <c r="IH35" s="63">
        <f t="shared" si="97"/>
        <v>0</v>
      </c>
      <c r="II35" s="64">
        <f t="shared" si="98"/>
        <v>0</v>
      </c>
      <c r="IJ35" s="80">
        <f t="shared" si="99"/>
        <v>0</v>
      </c>
      <c r="IK35" s="63">
        <f t="shared" si="100"/>
        <v>0</v>
      </c>
      <c r="IL35" s="63">
        <f t="shared" si="101"/>
        <v>0</v>
      </c>
      <c r="IM35" s="63">
        <f t="shared" si="102"/>
        <v>0</v>
      </c>
      <c r="IN35" s="63">
        <f t="shared" si="103"/>
        <v>0</v>
      </c>
      <c r="IO35" s="64">
        <f t="shared" si="104"/>
        <v>0</v>
      </c>
      <c r="KB35" s="43">
        <f t="shared" si="120"/>
        <v>49</v>
      </c>
      <c r="KC35" s="43">
        <f t="shared" si="121"/>
        <v>337</v>
      </c>
      <c r="KD35" s="43">
        <f t="shared" si="122"/>
        <v>350</v>
      </c>
      <c r="KE35" s="43">
        <f t="shared" si="123"/>
        <v>337</v>
      </c>
      <c r="KF35" s="43">
        <f t="shared" si="124"/>
        <v>817</v>
      </c>
      <c r="KG35" s="43">
        <f t="shared" si="125"/>
        <v>840</v>
      </c>
      <c r="KH35" s="43">
        <f t="shared" si="126"/>
        <v>835</v>
      </c>
      <c r="KI35" s="43">
        <f t="shared" si="126"/>
        <v>845</v>
      </c>
      <c r="KJ35" s="43">
        <f t="shared" si="126"/>
        <v>850</v>
      </c>
      <c r="KK35" s="43">
        <f t="shared" si="127"/>
        <v>821</v>
      </c>
      <c r="KL35" s="43">
        <f t="shared" si="128"/>
        <v>823</v>
      </c>
    </row>
    <row r="36" spans="2:298" x14ac:dyDescent="0.4">
      <c r="B36" s="43" t="str" cm="1">
        <f t="array" ref="B36">INDEX(FX_Input,$KB36,B$85)</f>
        <v>FX - 26</v>
      </c>
      <c r="C36" s="93" t="str" cm="1">
        <f t="array" ref="C36">INDEX(FX_Input,$KB36,C$85)</f>
        <v>FIXTANK 143</v>
      </c>
      <c r="D36" s="80">
        <f t="shared" si="0"/>
        <v>3101.3409977156739</v>
      </c>
      <c r="E36" s="63" cm="1">
        <f t="array" ref="E36">IF(ISBLANK(INDEX(FX_Input,$KB36,$E$85)),0.03,INDEX(FX_Input,$KB36,$E$85))-IF(ISBLANK(INDEX(FX_Input,$KB36,$E$86)),-0.03,INDEX(FX_Input,$KB36,$E$86))</f>
        <v>0.06</v>
      </c>
      <c r="F36" s="63" cm="1">
        <f t="array" ref="F36">IF(INDEX(FX_Input,$KB36,F$85)="Vertical",INDEX(FX_Input,$KB36,F$86),SQRT((INDEX(FX_Input,$KB36,F$86)*INDEX(FX_Input,$KB36,F$87))/(PI()/4)))</f>
        <v>18</v>
      </c>
      <c r="G36" s="63" cm="1">
        <f t="array" ref="G36">IF(INDEX(FX_Input,$KB36,G$85)="Vertical",INDEX(FX_Input,$KB36,G$86),INDEX(FX_Input,$KB36,G$87)*PI()/4)</f>
        <v>24</v>
      </c>
      <c r="H36" s="63" cm="1">
        <f t="array" ref="H36">IF(INDEX(FX_Input,$KB36,H$85)="Vertical",G36-G36/2+J36,G36/2)</f>
        <v>12.1875</v>
      </c>
      <c r="I36" s="63" cm="1">
        <f t="array" ref="I36">IF(INDEX(FX_Input,$KB36,F$85)="Horizontal","N/A",IF(INDEX(FX_Input,$KB36,I$86)="Cone",IF(ISBLANK(INDEX(FX_Input,$KB36,I$87)),0.0625,INDEX(FX_Input,$KB36,I$87))*F36/2,F36/2-SQRT((F36/2)^2-(INDEX(FX_Input,$KB36,I$88)^2))))</f>
        <v>0.5625</v>
      </c>
      <c r="J36" s="63" cm="1">
        <f t="array" ref="J36">IF(INDEX(FX_Input,$KB36,J$85)="Horizontal","N/A",IF(INDEX(FX_Input,$KB36,J$86)="Cone",I36/3,I36*(1/2+(1/6)*(I36/(F36/2))^2)))</f>
        <v>0.1875</v>
      </c>
      <c r="K36" s="63">
        <f t="shared" si="1"/>
        <v>23</v>
      </c>
      <c r="L36" s="63">
        <v>1</v>
      </c>
      <c r="M36" s="63" t="str" cm="1">
        <f t="array" ref="M36">INDEX(Tbl_71_6,MATCH(INDEX(FX_Input,$KB36,M$85),Paint_Color,0),VLOOKUP(INDEX(FX_Input,$KB36,M$86),Paint_Cond_Column,2,FALSE))</f>
        <v>N/A</v>
      </c>
      <c r="N36" s="63" t="str" cm="1">
        <f t="array" ref="N36">INDEX(Tbl_71_6,MATCH(INDEX(FX_Input,$KB36,N$85),Paint_Color,0),VLOOKUP(INDEX(FX_Input,$KB36,N$86),Paint_Cond_Column,2,FALSE))</f>
        <v>N/A</v>
      </c>
      <c r="O36" s="64" t="str">
        <f t="shared" si="2"/>
        <v>Insulated</v>
      </c>
      <c r="P36" s="80" t="str" cm="1">
        <f t="array" ref="P36">IF(ISBLANK(INDEX(FX_Input,$KB36+1,P$85)),INDEX(FX_Input,$KB36,P$85),INDEX(FX_Input,$KB36,P$85)&amp;" &amp; "&amp;INDEX(FX_Input,$KB36+1,P$85))</f>
        <v>Out of Service</v>
      </c>
      <c r="Q36" s="63" cm="1">
        <f t="array" ref="Q36">INDEX(FX_Temps,$KC36+7,Q$89)</f>
        <v>0</v>
      </c>
      <c r="R36" s="63" cm="1">
        <f t="array" ref="R36">INDEX(FX_Temps,$KC36+13,R$89)+459.6</f>
        <v>503.5</v>
      </c>
      <c r="S36" s="63" cm="1">
        <f t="array" ref="S36">INDEX(FX_Vap,$KG36,S$91)-INDEX(FX_Vap,$KH36,S$91)</f>
        <v>0</v>
      </c>
      <c r="T36" s="73" cm="1">
        <f t="array" ref="T36">IF(P36="Out of Service",0,INDEX(FX_Vap,$KI36,T$91))</f>
        <v>0</v>
      </c>
      <c r="U36" s="63">
        <f t="shared" si="3"/>
        <v>0</v>
      </c>
      <c r="V36" s="63">
        <f t="shared" si="4"/>
        <v>1</v>
      </c>
      <c r="W36" s="63" cm="1">
        <f t="array" ref="W36">INDEX(FX_Vap,$KJ36,W$91)</f>
        <v>0</v>
      </c>
      <c r="X36" s="63" cm="1">
        <f t="array" ref="X36">INDEX(FX_Temps,$KD36,X$89)+459.6</f>
        <v>503.5</v>
      </c>
      <c r="Y36" s="63">
        <f t="shared" si="5"/>
        <v>0</v>
      </c>
      <c r="Z36" s="63" cm="1">
        <f t="array" ref="Z36">INDEX(Month_Ref,Z$83,3)*U36*(PI()/4*$F36^2)*$H36*V36*Y36</f>
        <v>0</v>
      </c>
      <c r="AA36" s="63" cm="1">
        <f t="array" ref="AA36">INDEX(FX_Input,$KB36,AA$85)</f>
        <v>0</v>
      </c>
      <c r="AB36" s="63">
        <f t="shared" si="6"/>
        <v>0</v>
      </c>
      <c r="AC36" s="63">
        <f t="shared" si="7"/>
        <v>0</v>
      </c>
      <c r="AD36" s="63">
        <f t="shared" si="8"/>
        <v>1</v>
      </c>
      <c r="AE36" s="63" cm="1">
        <f t="array" ref="AE36">IF(OR(INDEX(FX_Vap,$KK36,AE$90)="Crude Oil",(INDEX(FX_Vap,$KL36,AE$90)="Crude Oil")),0.75,1)</f>
        <v>1</v>
      </c>
      <c r="AF36" s="63">
        <f t="shared" si="108"/>
        <v>1</v>
      </c>
      <c r="AG36" s="63">
        <f t="shared" si="9"/>
        <v>0</v>
      </c>
      <c r="AH36" s="64">
        <f t="shared" si="10"/>
        <v>0</v>
      </c>
      <c r="AI36" s="80" t="str" cm="1">
        <f t="array" ref="AI36">IF(ISBLANK(INDEX(FX_Input,$KB36+1,AI$85)),INDEX(FX_Input,$KB36,AI$85),INDEX(FX_Input,$KB36,AI$85)&amp;" &amp; "&amp;INDEX(FX_Input,$KB36+1,AI$85))</f>
        <v>Out of Service</v>
      </c>
      <c r="AJ36" s="63" cm="1">
        <f t="array" ref="AJ36">INDEX(FX_Temps,$KC36+7,AJ$89)</f>
        <v>0</v>
      </c>
      <c r="AK36" s="63" cm="1">
        <f t="array" ref="AK36">INDEX(FX_Temps,$KC36+13,AK$89)+459.6</f>
        <v>504.30000000000007</v>
      </c>
      <c r="AL36" s="63" cm="1">
        <f t="array" ref="AL36">INDEX(FX_Vap,$KG36,AL$91)-INDEX(FX_Vap,$KH36,AL$91)</f>
        <v>0</v>
      </c>
      <c r="AM36" s="73" cm="1">
        <f t="array" ref="AM36">IF(AI36="Out of Service",0,INDEX(FX_Vap,$KI36,AM$91))</f>
        <v>0</v>
      </c>
      <c r="AN36" s="63">
        <f t="shared" si="11"/>
        <v>0</v>
      </c>
      <c r="AO36" s="63">
        <f t="shared" si="12"/>
        <v>1</v>
      </c>
      <c r="AP36" s="63" cm="1">
        <f t="array" ref="AP36">INDEX(FX_Vap,$KJ36,AP$91)</f>
        <v>0</v>
      </c>
      <c r="AQ36" s="63" cm="1">
        <f t="array" ref="AQ36">INDEX(FX_Temps,$KD36,AQ$89)+459.6</f>
        <v>504.30000000000007</v>
      </c>
      <c r="AR36" s="63">
        <f t="shared" si="13"/>
        <v>0</v>
      </c>
      <c r="AS36" s="63" cm="1">
        <f t="array" ref="AS36">INDEX(Month_Ref,AS$83,3)*AN36*(PI()/4*$F36^2)*$H36*AO36*AR36</f>
        <v>0</v>
      </c>
      <c r="AT36" s="63" cm="1">
        <f t="array" ref="AT36">INDEX(FX_Input,$KB36,AT$85)</f>
        <v>0</v>
      </c>
      <c r="AU36" s="63">
        <f t="shared" si="14"/>
        <v>0</v>
      </c>
      <c r="AV36" s="63">
        <f t="shared" si="15"/>
        <v>0</v>
      </c>
      <c r="AW36" s="63">
        <f t="shared" si="16"/>
        <v>1</v>
      </c>
      <c r="AX36" s="63" cm="1">
        <f t="array" ref="AX36">IF(OR(INDEX(FX_Vap,$KK36,AX$90)="Crude Oil",(INDEX(FX_Vap,$KL36,AX$90)="Crude Oil")),0.75,1)</f>
        <v>1</v>
      </c>
      <c r="AY36" s="63">
        <f t="shared" si="109"/>
        <v>1</v>
      </c>
      <c r="AZ36" s="63">
        <f t="shared" si="17"/>
        <v>0</v>
      </c>
      <c r="BA36" s="64">
        <f t="shared" si="18"/>
        <v>0</v>
      </c>
      <c r="BB36" s="80" t="str" cm="1">
        <f t="array" ref="BB36">IF(ISBLANK(INDEX(FX_Input,$KB36+1,BB$85)),INDEX(FX_Input,$KB36,BB$85),INDEX(FX_Input,$KB36,BB$85)&amp;" &amp; "&amp;INDEX(FX_Input,$KB36+1,BB$85))</f>
        <v>Out of Service</v>
      </c>
      <c r="BC36" s="63" cm="1">
        <f t="array" ref="BC36">INDEX(FX_Temps,$KC36+7,BC$89)</f>
        <v>0</v>
      </c>
      <c r="BD36" s="63" cm="1">
        <f t="array" ref="BD36">INDEX(FX_Temps,$KC36+13,BD$89)+459.6</f>
        <v>505.70000000000005</v>
      </c>
      <c r="BE36" s="63" cm="1">
        <f t="array" ref="BE36">INDEX(FX_Vap,$KG36,BE$91)-INDEX(FX_Vap,$KH36,BE$91)</f>
        <v>0</v>
      </c>
      <c r="BF36" s="73" cm="1">
        <f t="array" ref="BF36">IF(BB36="Out of Service",0,INDEX(FX_Vap,$KI36,BF$91))</f>
        <v>0</v>
      </c>
      <c r="BG36" s="63">
        <f t="shared" si="19"/>
        <v>0</v>
      </c>
      <c r="BH36" s="63">
        <f t="shared" si="20"/>
        <v>1</v>
      </c>
      <c r="BI36" s="63" cm="1">
        <f t="array" ref="BI36">INDEX(FX_Vap,$KJ36,BI$91)</f>
        <v>0</v>
      </c>
      <c r="BJ36" s="63" cm="1">
        <f t="array" ref="BJ36">INDEX(FX_Temps,$KD36,BJ$89)+459.6</f>
        <v>505.70000000000005</v>
      </c>
      <c r="BK36" s="63">
        <f t="shared" si="21"/>
        <v>0</v>
      </c>
      <c r="BL36" s="63" cm="1">
        <f t="array" ref="BL36">INDEX(Month_Ref,BL$83,3)*BG36*(PI()/4*$F36^2)*$H36*BH36*BK36</f>
        <v>0</v>
      </c>
      <c r="BM36" s="63" cm="1">
        <f t="array" ref="BM36">INDEX(FX_Input,$KB36,BM$85)</f>
        <v>0</v>
      </c>
      <c r="BN36" s="63">
        <f t="shared" si="22"/>
        <v>0</v>
      </c>
      <c r="BO36" s="63">
        <f t="shared" si="23"/>
        <v>0</v>
      </c>
      <c r="BP36" s="63">
        <f t="shared" si="24"/>
        <v>1</v>
      </c>
      <c r="BQ36" s="63" cm="1">
        <f t="array" ref="BQ36">IF(OR(INDEX(FX_Vap,$KK36,BQ$90)="Crude Oil",(INDEX(FX_Vap,$KL36,BQ$90)="Crude Oil")),0.75,1)</f>
        <v>1</v>
      </c>
      <c r="BR36" s="63">
        <f t="shared" si="110"/>
        <v>1</v>
      </c>
      <c r="BS36" s="63">
        <f t="shared" si="25"/>
        <v>0</v>
      </c>
      <c r="BT36" s="64">
        <f t="shared" si="26"/>
        <v>0</v>
      </c>
      <c r="BU36" s="80" t="str" cm="1">
        <f t="array" ref="BU36">IF(ISBLANK(INDEX(FX_Input,$KB36+1,BU$85)),INDEX(FX_Input,$KB36,BU$85),INDEX(FX_Input,$KB36,BU$85)&amp;" &amp; "&amp;INDEX(FX_Input,$KB36+1,BU$85))</f>
        <v>Out of Service</v>
      </c>
      <c r="BV36" s="63" cm="1">
        <f t="array" ref="BV36">INDEX(FX_Temps,$KC36+7,BV$89)</f>
        <v>0</v>
      </c>
      <c r="BW36" s="63" cm="1">
        <f t="array" ref="BW36">INDEX(FX_Temps,$KC36+13,BW$89)+459.6</f>
        <v>508.2</v>
      </c>
      <c r="BX36" s="63" cm="1">
        <f t="array" ref="BX36">INDEX(FX_Vap,$KG36,BX$91)-INDEX(FX_Vap,$KH36,BX$91)</f>
        <v>0</v>
      </c>
      <c r="BY36" s="73" cm="1">
        <f t="array" ref="BY36">IF(BU36="Out of Service",0,INDEX(FX_Vap,$KI36,BY$91))</f>
        <v>0</v>
      </c>
      <c r="BZ36" s="63">
        <f t="shared" si="27"/>
        <v>0</v>
      </c>
      <c r="CA36" s="63">
        <f t="shared" si="28"/>
        <v>1</v>
      </c>
      <c r="CB36" s="63" cm="1">
        <f t="array" ref="CB36">INDEX(FX_Vap,$KJ36,CB$91)</f>
        <v>0</v>
      </c>
      <c r="CC36" s="63" cm="1">
        <f t="array" ref="CC36">INDEX(FX_Temps,$KD36,CC$89)+459.6</f>
        <v>508.2</v>
      </c>
      <c r="CD36" s="63">
        <f t="shared" si="29"/>
        <v>0</v>
      </c>
      <c r="CE36" s="63" cm="1">
        <f t="array" ref="CE36">INDEX(Month_Ref,CE$83,3)*BZ36*(PI()/4*$F36^2)*$H36*CA36*CD36</f>
        <v>0</v>
      </c>
      <c r="CF36" s="63" cm="1">
        <f t="array" ref="CF36">INDEX(FX_Input,$KB36,CF$85)</f>
        <v>0</v>
      </c>
      <c r="CG36" s="63">
        <f t="shared" si="30"/>
        <v>0</v>
      </c>
      <c r="CH36" s="63">
        <f t="shared" si="31"/>
        <v>0</v>
      </c>
      <c r="CI36" s="63">
        <f t="shared" si="32"/>
        <v>1</v>
      </c>
      <c r="CJ36" s="63" cm="1">
        <f t="array" ref="CJ36">IF(OR(INDEX(FX_Vap,$KK36,CJ$90)="Crude Oil",(INDEX(FX_Vap,$KL36,CJ$90)="Crude Oil")),0.75,1)</f>
        <v>1</v>
      </c>
      <c r="CK36" s="63">
        <f t="shared" si="111"/>
        <v>1</v>
      </c>
      <c r="CL36" s="63">
        <f t="shared" si="33"/>
        <v>0</v>
      </c>
      <c r="CM36" s="64">
        <f t="shared" si="34"/>
        <v>0</v>
      </c>
      <c r="CN36" s="80" t="str" cm="1">
        <f t="array" ref="CN36">IF(ISBLANK(INDEX(FX_Input,$KB36+1,CN$85)),INDEX(FX_Input,$KB36,CN$85),INDEX(FX_Input,$KB36,CN$85)&amp;" &amp; "&amp;INDEX(FX_Input,$KB36+1,CN$85))</f>
        <v>Out of Service</v>
      </c>
      <c r="CO36" s="63" cm="1">
        <f t="array" ref="CO36">INDEX(FX_Temps,$KC36+7,CO$89)</f>
        <v>0</v>
      </c>
      <c r="CP36" s="63" cm="1">
        <f t="array" ref="CP36">INDEX(FX_Temps,$KC36+13,CP$89)+459.6</f>
        <v>512.75</v>
      </c>
      <c r="CQ36" s="63" cm="1">
        <f t="array" ref="CQ36">INDEX(FX_Vap,$KG36,CQ$91)-INDEX(FX_Vap,$KH36,CQ$91)</f>
        <v>0</v>
      </c>
      <c r="CR36" s="73" cm="1">
        <f t="array" ref="CR36">IF(CN36="Out of Service",0,INDEX(FX_Vap,$KI36,CR$91))</f>
        <v>0</v>
      </c>
      <c r="CS36" s="63">
        <f t="shared" si="35"/>
        <v>0</v>
      </c>
      <c r="CT36" s="63">
        <f t="shared" si="36"/>
        <v>1</v>
      </c>
      <c r="CU36" s="63" cm="1">
        <f t="array" ref="CU36">INDEX(FX_Vap,$KJ36,CU$91)</f>
        <v>0</v>
      </c>
      <c r="CV36" s="63" cm="1">
        <f t="array" ref="CV36">INDEX(FX_Temps,$KD36,CV$89)+459.6</f>
        <v>512.75</v>
      </c>
      <c r="CW36" s="63">
        <f t="shared" si="37"/>
        <v>0</v>
      </c>
      <c r="CX36" s="63" cm="1">
        <f t="array" ref="CX36">INDEX(Month_Ref,CX$83,3)*CS36*(PI()/4*$F36^2)*$H36*CT36*CW36</f>
        <v>0</v>
      </c>
      <c r="CY36" s="63" cm="1">
        <f t="array" ref="CY36">INDEX(FX_Input,$KB36,CY$85)</f>
        <v>0</v>
      </c>
      <c r="CZ36" s="63">
        <f t="shared" si="38"/>
        <v>0</v>
      </c>
      <c r="DA36" s="63">
        <f t="shared" si="39"/>
        <v>0</v>
      </c>
      <c r="DB36" s="63">
        <f t="shared" si="40"/>
        <v>1</v>
      </c>
      <c r="DC36" s="63" cm="1">
        <f t="array" ref="DC36">IF(OR(INDEX(FX_Vap,$KK36,DC$90)="Crude Oil",(INDEX(FX_Vap,$KL36,DC$90)="Crude Oil")),0.75,1)</f>
        <v>1</v>
      </c>
      <c r="DD36" s="63">
        <f t="shared" si="112"/>
        <v>1</v>
      </c>
      <c r="DE36" s="63">
        <f t="shared" si="41"/>
        <v>0</v>
      </c>
      <c r="DF36" s="64">
        <f t="shared" si="42"/>
        <v>0</v>
      </c>
      <c r="DG36" s="80" t="str" cm="1">
        <f t="array" ref="DG36">IF(ISBLANK(INDEX(FX_Input,$KB36+1,DG$85)),INDEX(FX_Input,$KB36,DG$85),INDEX(FX_Input,$KB36,DG$85)&amp;" &amp; "&amp;INDEX(FX_Input,$KB36+1,DG$85))</f>
        <v>Out of Service</v>
      </c>
      <c r="DH36" s="63" cm="1">
        <f t="array" ref="DH36">INDEX(FX_Temps,$KC36+7,DH$89)</f>
        <v>0</v>
      </c>
      <c r="DI36" s="63" cm="1">
        <f t="array" ref="DI36">INDEX(FX_Temps,$KC36+13,DI$89)+459.6</f>
        <v>516.55000000000007</v>
      </c>
      <c r="DJ36" s="63" cm="1">
        <f t="array" ref="DJ36">INDEX(FX_Vap,$KG36,DJ$91)-INDEX(FX_Vap,$KH36,DJ$91)</f>
        <v>0</v>
      </c>
      <c r="DK36" s="73" cm="1">
        <f t="array" ref="DK36">IF(DG36="Out of Service",0,INDEX(FX_Vap,$KI36,DK$91))</f>
        <v>0</v>
      </c>
      <c r="DL36" s="63">
        <f t="shared" si="43"/>
        <v>0</v>
      </c>
      <c r="DM36" s="63">
        <f t="shared" si="44"/>
        <v>1</v>
      </c>
      <c r="DN36" s="63" cm="1">
        <f t="array" ref="DN36">INDEX(FX_Vap,$KJ36,DN$91)</f>
        <v>0</v>
      </c>
      <c r="DO36" s="63" cm="1">
        <f t="array" ref="DO36">INDEX(FX_Temps,$KD36,DO$89)+459.6</f>
        <v>516.55000000000007</v>
      </c>
      <c r="DP36" s="63">
        <f t="shared" si="45"/>
        <v>0</v>
      </c>
      <c r="DQ36" s="63" cm="1">
        <f t="array" ref="DQ36">INDEX(Month_Ref,DQ$83,3)*DL36*(PI()/4*$F36^2)*$H36*DM36*DP36</f>
        <v>0</v>
      </c>
      <c r="DR36" s="63" cm="1">
        <f t="array" ref="DR36">INDEX(FX_Input,$KB36,DR$85)</f>
        <v>0</v>
      </c>
      <c r="DS36" s="63">
        <f t="shared" si="46"/>
        <v>0</v>
      </c>
      <c r="DT36" s="63">
        <f t="shared" si="47"/>
        <v>0</v>
      </c>
      <c r="DU36" s="63">
        <f t="shared" si="48"/>
        <v>1</v>
      </c>
      <c r="DV36" s="63" cm="1">
        <f t="array" ref="DV36">IF(OR(INDEX(FX_Vap,$KK36,DV$90)="Crude Oil",(INDEX(FX_Vap,$KL36,DV$90)="Crude Oil")),0.75,1)</f>
        <v>1</v>
      </c>
      <c r="DW36" s="63">
        <f t="shared" si="113"/>
        <v>1</v>
      </c>
      <c r="DX36" s="63">
        <f t="shared" si="49"/>
        <v>0</v>
      </c>
      <c r="DY36" s="64">
        <f t="shared" si="50"/>
        <v>0</v>
      </c>
      <c r="DZ36" s="80" t="str" cm="1">
        <f t="array" ref="DZ36">IF(ISBLANK(INDEX(FX_Input,$KB36+1,DZ$85)),INDEX(FX_Input,$KB36,DZ$85),INDEX(FX_Input,$KB36,DZ$85)&amp;" &amp; "&amp;INDEX(FX_Input,$KB36+1,DZ$85))</f>
        <v>Out of Service</v>
      </c>
      <c r="EA36" s="63" cm="1">
        <f t="array" ref="EA36">INDEX(FX_Temps,$KC36+7,EA$89)</f>
        <v>0</v>
      </c>
      <c r="EB36" s="63" cm="1">
        <f t="array" ref="EB36">INDEX(FX_Temps,$KC36+13,EB$89)+459.6</f>
        <v>520.04999999999995</v>
      </c>
      <c r="EC36" s="63" cm="1">
        <f t="array" ref="EC36">INDEX(FX_Vap,$KG36,EC$91)-INDEX(FX_Vap,$KH36,EC$91)</f>
        <v>0</v>
      </c>
      <c r="ED36" s="73" cm="1">
        <f t="array" ref="ED36">IF(DZ36="Out of Service",0,INDEX(FX_Vap,$KI36,ED$91))</f>
        <v>0</v>
      </c>
      <c r="EE36" s="63">
        <f t="shared" si="51"/>
        <v>0</v>
      </c>
      <c r="EF36" s="63">
        <f t="shared" si="52"/>
        <v>1</v>
      </c>
      <c r="EG36" s="63" cm="1">
        <f t="array" ref="EG36">INDEX(FX_Vap,$KJ36,EG$91)</f>
        <v>0</v>
      </c>
      <c r="EH36" s="63" cm="1">
        <f t="array" ref="EH36">INDEX(FX_Temps,$KD36,EH$89)+459.6</f>
        <v>520.04999999999995</v>
      </c>
      <c r="EI36" s="63">
        <f t="shared" si="53"/>
        <v>0</v>
      </c>
      <c r="EJ36" s="63" cm="1">
        <f t="array" ref="EJ36">INDEX(Month_Ref,EJ$83,3)*EE36*(PI()/4*$F36^2)*$H36*EF36*EI36</f>
        <v>0</v>
      </c>
      <c r="EK36" s="63" cm="1">
        <f t="array" ref="EK36">INDEX(FX_Input,$KB36,EK$85)</f>
        <v>0</v>
      </c>
      <c r="EL36" s="63">
        <f t="shared" si="54"/>
        <v>0</v>
      </c>
      <c r="EM36" s="63">
        <f t="shared" si="55"/>
        <v>0</v>
      </c>
      <c r="EN36" s="63">
        <f t="shared" si="56"/>
        <v>1</v>
      </c>
      <c r="EO36" s="63" cm="1">
        <f t="array" ref="EO36">IF(OR(INDEX(FX_Vap,$KK36,EO$90)="Crude Oil",(INDEX(FX_Vap,$KL36,EO$90)="Crude Oil")),0.75,1)</f>
        <v>1</v>
      </c>
      <c r="EP36" s="63">
        <f t="shared" si="114"/>
        <v>1</v>
      </c>
      <c r="EQ36" s="63">
        <f t="shared" si="57"/>
        <v>0</v>
      </c>
      <c r="ER36" s="64">
        <f t="shared" si="58"/>
        <v>0</v>
      </c>
      <c r="ES36" s="80" t="str" cm="1">
        <f t="array" ref="ES36">IF(ISBLANK(INDEX(FX_Input,$KB36+1,ES$85)),INDEX(FX_Input,$KB36,ES$85),INDEX(FX_Input,$KB36,ES$85)&amp;" &amp; "&amp;INDEX(FX_Input,$KB36+1,ES$85))</f>
        <v>Out of Service</v>
      </c>
      <c r="ET36" s="63" cm="1">
        <f t="array" ref="ET36">INDEX(FX_Temps,$KC36+7,ET$89)</f>
        <v>0</v>
      </c>
      <c r="EU36" s="63" cm="1">
        <f t="array" ref="EU36">INDEX(FX_Temps,$KC36+13,EU$89)+459.6</f>
        <v>520.5</v>
      </c>
      <c r="EV36" s="63" cm="1">
        <f t="array" ref="EV36">INDEX(FX_Vap,$KG36,EV$91)-INDEX(FX_Vap,$KH36,EV$91)</f>
        <v>0</v>
      </c>
      <c r="EW36" s="73" cm="1">
        <f t="array" ref="EW36">IF(ES36="Out of Service",0,INDEX(FX_Vap,$KI36,EW$91))</f>
        <v>0</v>
      </c>
      <c r="EX36" s="63">
        <f t="shared" si="59"/>
        <v>0</v>
      </c>
      <c r="EY36" s="63">
        <f t="shared" si="60"/>
        <v>1</v>
      </c>
      <c r="EZ36" s="63" cm="1">
        <f t="array" ref="EZ36">INDEX(FX_Vap,$KJ36,EZ$91)</f>
        <v>0</v>
      </c>
      <c r="FA36" s="63" cm="1">
        <f t="array" ref="FA36">INDEX(FX_Temps,$KD36,FA$89)+459.6</f>
        <v>520.5</v>
      </c>
      <c r="FB36" s="63">
        <f t="shared" si="61"/>
        <v>0</v>
      </c>
      <c r="FC36" s="63" cm="1">
        <f t="array" ref="FC36">INDEX(Month_Ref,FC$83,3)*EX36*(PI()/4*$F36^2)*$H36*EY36*FB36</f>
        <v>0</v>
      </c>
      <c r="FD36" s="63" cm="1">
        <f t="array" ref="FD36">INDEX(FX_Input,$KB36,FD$85)</f>
        <v>0</v>
      </c>
      <c r="FE36" s="63">
        <f t="shared" si="62"/>
        <v>0</v>
      </c>
      <c r="FF36" s="63">
        <f t="shared" si="63"/>
        <v>0</v>
      </c>
      <c r="FG36" s="63">
        <f t="shared" si="64"/>
        <v>1</v>
      </c>
      <c r="FH36" s="63" cm="1">
        <f t="array" ref="FH36">IF(OR(INDEX(FX_Vap,$KK36,FH$90)="Crude Oil",(INDEX(FX_Vap,$KL36,FH$90)="Crude Oil")),0.75,1)</f>
        <v>1</v>
      </c>
      <c r="FI36" s="63">
        <f t="shared" si="115"/>
        <v>1</v>
      </c>
      <c r="FJ36" s="63">
        <f t="shared" si="65"/>
        <v>0</v>
      </c>
      <c r="FK36" s="64">
        <f t="shared" si="66"/>
        <v>0</v>
      </c>
      <c r="FL36" s="80" t="str" cm="1">
        <f t="array" ref="FL36">IF(ISBLANK(INDEX(FX_Input,$KB36+1,FL$85)),INDEX(FX_Input,$KB36,FL$85),INDEX(FX_Input,$KB36,FL$85)&amp;" &amp; "&amp;INDEX(FX_Input,$KB36+1,FL$85))</f>
        <v>Out of Service</v>
      </c>
      <c r="FM36" s="63" cm="1">
        <f t="array" ref="FM36">INDEX(FX_Temps,$KC36+7,FM$89)</f>
        <v>0</v>
      </c>
      <c r="FN36" s="63" cm="1">
        <f t="array" ref="FN36">INDEX(FX_Temps,$KC36+13,FN$89)+459.6</f>
        <v>518.20000000000005</v>
      </c>
      <c r="FO36" s="63" cm="1">
        <f t="array" ref="FO36">INDEX(FX_Vap,$KG36,FO$91)-INDEX(FX_Vap,$KH36,FO$91)</f>
        <v>0</v>
      </c>
      <c r="FP36" s="73" cm="1">
        <f t="array" ref="FP36">IF(FL36="Out of Service",0,INDEX(FX_Vap,$KI36,FP$91))</f>
        <v>0</v>
      </c>
      <c r="FQ36" s="63">
        <f t="shared" si="67"/>
        <v>0</v>
      </c>
      <c r="FR36" s="63">
        <f t="shared" si="68"/>
        <v>1</v>
      </c>
      <c r="FS36" s="63" cm="1">
        <f t="array" ref="FS36">INDEX(FX_Vap,$KJ36,FS$91)</f>
        <v>0</v>
      </c>
      <c r="FT36" s="63" cm="1">
        <f t="array" ref="FT36">INDEX(FX_Temps,$KD36,FT$89)+459.6</f>
        <v>518.20000000000005</v>
      </c>
      <c r="FU36" s="63">
        <f t="shared" si="69"/>
        <v>0</v>
      </c>
      <c r="FV36" s="63" cm="1">
        <f t="array" ref="FV36">INDEX(Month_Ref,FV$83,3)*FQ36*(PI()/4*$F36^2)*$H36*FR36*FU36</f>
        <v>0</v>
      </c>
      <c r="FW36" s="63" cm="1">
        <f t="array" ref="FW36">INDEX(FX_Input,$KB36,FW$85)</f>
        <v>0</v>
      </c>
      <c r="FX36" s="63">
        <f t="shared" si="70"/>
        <v>0</v>
      </c>
      <c r="FY36" s="63">
        <f t="shared" si="71"/>
        <v>0</v>
      </c>
      <c r="FZ36" s="63">
        <f t="shared" si="72"/>
        <v>1</v>
      </c>
      <c r="GA36" s="63" cm="1">
        <f t="array" ref="GA36">IF(OR(INDEX(FX_Vap,$KK36,GA$90)="Crude Oil",(INDEX(FX_Vap,$KL36,GA$90)="Crude Oil")),0.75,1)</f>
        <v>1</v>
      </c>
      <c r="GB36" s="63">
        <f t="shared" si="116"/>
        <v>1</v>
      </c>
      <c r="GC36" s="63">
        <f t="shared" si="73"/>
        <v>0</v>
      </c>
      <c r="GD36" s="64">
        <f t="shared" si="74"/>
        <v>0</v>
      </c>
      <c r="GE36" s="80" t="str" cm="1">
        <f t="array" ref="GE36">IF(ISBLANK(INDEX(FX_Input,$KB36+1,GE$85)),INDEX(FX_Input,$KB36,GE$85),INDEX(FX_Input,$KB36,GE$85)&amp;" &amp; "&amp;INDEX(FX_Input,$KB36+1,GE$85))</f>
        <v>Out of Service</v>
      </c>
      <c r="GF36" s="63" cm="1">
        <f t="array" ref="GF36">INDEX(FX_Temps,$KC36+7,GF$89)</f>
        <v>0</v>
      </c>
      <c r="GG36" s="63" cm="1">
        <f t="array" ref="GG36">INDEX(FX_Temps,$KC36+13,GG$89)+459.6</f>
        <v>512.25</v>
      </c>
      <c r="GH36" s="63" cm="1">
        <f t="array" ref="GH36">INDEX(FX_Vap,$KG36,GH$91)-INDEX(FX_Vap,$KH36,GH$91)</f>
        <v>0</v>
      </c>
      <c r="GI36" s="73" cm="1">
        <f t="array" ref="GI36">IF(GE36="Out of Service",0,INDEX(FX_Vap,$KI36,GI$91))</f>
        <v>0</v>
      </c>
      <c r="GJ36" s="63">
        <f t="shared" si="75"/>
        <v>0</v>
      </c>
      <c r="GK36" s="63">
        <f t="shared" si="76"/>
        <v>1</v>
      </c>
      <c r="GL36" s="63" cm="1">
        <f t="array" ref="GL36">INDEX(FX_Vap,$KJ36,GL$91)</f>
        <v>0</v>
      </c>
      <c r="GM36" s="63" cm="1">
        <f t="array" ref="GM36">INDEX(FX_Temps,$KD36,GM$89)+459.6</f>
        <v>512.25</v>
      </c>
      <c r="GN36" s="63">
        <f t="shared" si="77"/>
        <v>0</v>
      </c>
      <c r="GO36" s="63" cm="1">
        <f t="array" ref="GO36">INDEX(Month_Ref,GO$83,3)*GJ36*(PI()/4*$F36^2)*$H36*GK36*GN36</f>
        <v>0</v>
      </c>
      <c r="GP36" s="63" cm="1">
        <f t="array" ref="GP36">INDEX(FX_Input,$KB36,GP$85)</f>
        <v>0</v>
      </c>
      <c r="GQ36" s="63">
        <f t="shared" si="78"/>
        <v>0</v>
      </c>
      <c r="GR36" s="63">
        <f t="shared" si="79"/>
        <v>0</v>
      </c>
      <c r="GS36" s="63">
        <f t="shared" si="80"/>
        <v>1</v>
      </c>
      <c r="GT36" s="63" cm="1">
        <f t="array" ref="GT36">IF(OR(INDEX(FX_Vap,$KK36,GT$90)="Crude Oil",(INDEX(FX_Vap,$KL36,GT$90)="Crude Oil")),0.75,1)</f>
        <v>1</v>
      </c>
      <c r="GU36" s="63">
        <f t="shared" si="117"/>
        <v>1</v>
      </c>
      <c r="GV36" s="63">
        <f t="shared" si="81"/>
        <v>0</v>
      </c>
      <c r="GW36" s="64">
        <f t="shared" si="82"/>
        <v>0</v>
      </c>
      <c r="GX36" s="80" t="str" cm="1">
        <f t="array" ref="GX36">IF(ISBLANK(INDEX(FX_Input,$KB36+1,GX$85)),INDEX(FX_Input,$KB36,GX$85),INDEX(FX_Input,$KB36,GX$85)&amp;" &amp; "&amp;INDEX(FX_Input,$KB36+1,GX$85))</f>
        <v>Out of Service</v>
      </c>
      <c r="GY36" s="63" cm="1">
        <f t="array" ref="GY36">INDEX(FX_Temps,$KC36+7,GY$89)</f>
        <v>0</v>
      </c>
      <c r="GZ36" s="63" cm="1">
        <f t="array" ref="GZ36">INDEX(FX_Temps,$KC36+13,GZ$89)+459.6</f>
        <v>506.70000000000005</v>
      </c>
      <c r="HA36" s="63" cm="1">
        <f t="array" ref="HA36">INDEX(FX_Vap,$KG36,HA$91)-INDEX(FX_Vap,$KH36,HA$91)</f>
        <v>0</v>
      </c>
      <c r="HB36" s="73" cm="1">
        <f t="array" ref="HB36">IF(GX36="Out of Service",0,INDEX(FX_Vap,$KI36,HB$91))</f>
        <v>0</v>
      </c>
      <c r="HC36" s="63">
        <f t="shared" si="83"/>
        <v>0</v>
      </c>
      <c r="HD36" s="63">
        <f t="shared" si="84"/>
        <v>1</v>
      </c>
      <c r="HE36" s="63" cm="1">
        <f t="array" ref="HE36">INDEX(FX_Vap,$KJ36,HE$91)</f>
        <v>0</v>
      </c>
      <c r="HF36" s="63" cm="1">
        <f t="array" ref="HF36">INDEX(FX_Temps,$KD36,HF$89)+459.6</f>
        <v>506.70000000000005</v>
      </c>
      <c r="HG36" s="63">
        <f t="shared" si="85"/>
        <v>0</v>
      </c>
      <c r="HH36" s="63" cm="1">
        <f t="array" ref="HH36">INDEX(Month_Ref,HH$83,3)*HC36*(PI()/4*$F36^2)*$H36*HD36*HG36</f>
        <v>0</v>
      </c>
      <c r="HI36" s="63" cm="1">
        <f t="array" ref="HI36">INDEX(FX_Input,$KB36,HI$85)</f>
        <v>0</v>
      </c>
      <c r="HJ36" s="63">
        <f t="shared" si="86"/>
        <v>0</v>
      </c>
      <c r="HK36" s="63">
        <f t="shared" si="87"/>
        <v>0</v>
      </c>
      <c r="HL36" s="63">
        <f t="shared" si="88"/>
        <v>1</v>
      </c>
      <c r="HM36" s="63" cm="1">
        <f t="array" ref="HM36">IF(OR(INDEX(FX_Vap,$KK36,HM$90)="Crude Oil",(INDEX(FX_Vap,$KL36,HM$90)="Crude Oil")),0.75,1)</f>
        <v>1</v>
      </c>
      <c r="HN36" s="63">
        <f t="shared" si="118"/>
        <v>1</v>
      </c>
      <c r="HO36" s="63">
        <f t="shared" si="89"/>
        <v>0</v>
      </c>
      <c r="HP36" s="64">
        <f t="shared" si="90"/>
        <v>0</v>
      </c>
      <c r="HQ36" s="80" t="str" cm="1">
        <f t="array" ref="HQ36">IF(ISBLANK(INDEX(FX_Input,$KB36+1,HQ$85)),INDEX(FX_Input,$KB36,HQ$85),INDEX(FX_Input,$KB36,HQ$85)&amp;" &amp; "&amp;INDEX(FX_Input,$KB36+1,HQ$85))</f>
        <v>Out of Service</v>
      </c>
      <c r="HR36" s="63" cm="1">
        <f t="array" ref="HR36">INDEX(FX_Temps,$KC36+7,HR$89)</f>
        <v>0</v>
      </c>
      <c r="HS36" s="63" cm="1">
        <f t="array" ref="HS36">INDEX(FX_Temps,$KC36+13,HS$89)+459.6</f>
        <v>503.20000000000005</v>
      </c>
      <c r="HT36" s="63" cm="1">
        <f t="array" ref="HT36">INDEX(FX_Vap,$KG36,HT$91)-INDEX(FX_Vap,$KH36,HT$91)</f>
        <v>0</v>
      </c>
      <c r="HU36" s="73" cm="1">
        <f t="array" ref="HU36">IF(HQ36="Out of Service",0,INDEX(FX_Vap,$KI36,HU$91))</f>
        <v>0</v>
      </c>
      <c r="HV36" s="63">
        <f t="shared" si="91"/>
        <v>0</v>
      </c>
      <c r="HW36" s="63">
        <f t="shared" si="92"/>
        <v>1</v>
      </c>
      <c r="HX36" s="63" cm="1">
        <f t="array" ref="HX36">INDEX(FX_Vap,$KJ36,HX$91)</f>
        <v>0</v>
      </c>
      <c r="HY36" s="63" cm="1">
        <f t="array" ref="HY36">INDEX(FX_Temps,$KD36,HY$89)+459.6</f>
        <v>503.20000000000005</v>
      </c>
      <c r="HZ36" s="63">
        <f t="shared" si="93"/>
        <v>0</v>
      </c>
      <c r="IA36" s="63" cm="1">
        <f t="array" ref="IA36">INDEX(Month_Ref,IA$83,3)*HV36*(PI()/4*$F36^2)*$H36*HW36*HZ36</f>
        <v>0</v>
      </c>
      <c r="IB36" s="63" cm="1">
        <f t="array" ref="IB36">INDEX(FX_Input,$KB36,IB$85)</f>
        <v>0</v>
      </c>
      <c r="IC36" s="63">
        <f t="shared" si="94"/>
        <v>0</v>
      </c>
      <c r="ID36" s="63">
        <f t="shared" si="95"/>
        <v>0</v>
      </c>
      <c r="IE36" s="63">
        <f t="shared" si="96"/>
        <v>1</v>
      </c>
      <c r="IF36" s="63" cm="1">
        <f t="array" ref="IF36">IF(OR(INDEX(FX_Vap,$KK36,IF$90)="Crude Oil",(INDEX(FX_Vap,$KL36,IF$90)="Crude Oil")),0.75,1)</f>
        <v>1</v>
      </c>
      <c r="IG36" s="63">
        <f t="shared" si="119"/>
        <v>1</v>
      </c>
      <c r="IH36" s="63">
        <f t="shared" si="97"/>
        <v>0</v>
      </c>
      <c r="II36" s="64">
        <f t="shared" si="98"/>
        <v>0</v>
      </c>
      <c r="IJ36" s="80">
        <f t="shared" si="99"/>
        <v>0</v>
      </c>
      <c r="IK36" s="63">
        <f t="shared" si="100"/>
        <v>0</v>
      </c>
      <c r="IL36" s="63">
        <f t="shared" si="101"/>
        <v>0</v>
      </c>
      <c r="IM36" s="63">
        <f t="shared" si="102"/>
        <v>0</v>
      </c>
      <c r="IN36" s="63">
        <f t="shared" si="103"/>
        <v>0</v>
      </c>
      <c r="IO36" s="64">
        <f t="shared" si="104"/>
        <v>0</v>
      </c>
      <c r="KB36" s="43">
        <f t="shared" si="120"/>
        <v>51</v>
      </c>
      <c r="KC36" s="43">
        <f t="shared" si="121"/>
        <v>351</v>
      </c>
      <c r="KD36" s="43">
        <f t="shared" si="122"/>
        <v>364</v>
      </c>
      <c r="KE36" s="43">
        <f t="shared" si="123"/>
        <v>351</v>
      </c>
      <c r="KF36" s="43">
        <f t="shared" si="124"/>
        <v>851</v>
      </c>
      <c r="KG36" s="43">
        <f t="shared" si="125"/>
        <v>874</v>
      </c>
      <c r="KH36" s="43">
        <f t="shared" si="126"/>
        <v>869</v>
      </c>
      <c r="KI36" s="43">
        <f t="shared" si="126"/>
        <v>879</v>
      </c>
      <c r="KJ36" s="43">
        <f t="shared" si="126"/>
        <v>884</v>
      </c>
      <c r="KK36" s="43">
        <f t="shared" si="127"/>
        <v>855</v>
      </c>
      <c r="KL36" s="43">
        <f t="shared" si="128"/>
        <v>857</v>
      </c>
    </row>
    <row r="37" spans="2:298" x14ac:dyDescent="0.4">
      <c r="B37" s="43" t="str" cm="1">
        <f t="array" ref="B37">INDEX(FX_Input,$KB37,B$85)</f>
        <v>FX - 27</v>
      </c>
      <c r="C37" s="93" t="str" cm="1">
        <f t="array" ref="C37">INDEX(FX_Input,$KB37,C$85)</f>
        <v>FIXTANK 144</v>
      </c>
      <c r="D37" s="80">
        <f t="shared" si="0"/>
        <v>3101.3409977156739</v>
      </c>
      <c r="E37" s="63" cm="1">
        <f t="array" ref="E37">IF(ISBLANK(INDEX(FX_Input,$KB37,$E$85)),0.03,INDEX(FX_Input,$KB37,$E$85))-IF(ISBLANK(INDEX(FX_Input,$KB37,$E$86)),-0.03,INDEX(FX_Input,$KB37,$E$86))</f>
        <v>0.06</v>
      </c>
      <c r="F37" s="63" cm="1">
        <f t="array" ref="F37">IF(INDEX(FX_Input,$KB37,F$85)="Vertical",INDEX(FX_Input,$KB37,F$86),SQRT((INDEX(FX_Input,$KB37,F$86)*INDEX(FX_Input,$KB37,F$87))/(PI()/4)))</f>
        <v>18</v>
      </c>
      <c r="G37" s="63" cm="1">
        <f t="array" ref="G37">IF(INDEX(FX_Input,$KB37,G$85)="Vertical",INDEX(FX_Input,$KB37,G$86),INDEX(FX_Input,$KB37,G$87)*PI()/4)</f>
        <v>24</v>
      </c>
      <c r="H37" s="63" cm="1">
        <f t="array" ref="H37">IF(INDEX(FX_Input,$KB37,H$85)="Vertical",G37-G37/2+J37,G37/2)</f>
        <v>12.1875</v>
      </c>
      <c r="I37" s="63" cm="1">
        <f t="array" ref="I37">IF(INDEX(FX_Input,$KB37,F$85)="Horizontal","N/A",IF(INDEX(FX_Input,$KB37,I$86)="Cone",IF(ISBLANK(INDEX(FX_Input,$KB37,I$87)),0.0625,INDEX(FX_Input,$KB37,I$87))*F37/2,F37/2-SQRT((F37/2)^2-(INDEX(FX_Input,$KB37,I$88)^2))))</f>
        <v>0.5625</v>
      </c>
      <c r="J37" s="63" cm="1">
        <f t="array" ref="J37">IF(INDEX(FX_Input,$KB37,J$85)="Horizontal","N/A",IF(INDEX(FX_Input,$KB37,J$86)="Cone",I37/3,I37*(1/2+(1/6)*(I37/(F37/2))^2)))</f>
        <v>0.1875</v>
      </c>
      <c r="K37" s="63">
        <f t="shared" si="1"/>
        <v>23</v>
      </c>
      <c r="L37" s="63">
        <v>1</v>
      </c>
      <c r="M37" s="63" t="str" cm="1">
        <f t="array" ref="M37">INDEX(Tbl_71_6,MATCH(INDEX(FX_Input,$KB37,M$85),Paint_Color,0),VLOOKUP(INDEX(FX_Input,$KB37,M$86),Paint_Cond_Column,2,FALSE))</f>
        <v>N/A</v>
      </c>
      <c r="N37" s="63" t="str" cm="1">
        <f t="array" ref="N37">INDEX(Tbl_71_6,MATCH(INDEX(FX_Input,$KB37,N$85),Paint_Color,0),VLOOKUP(INDEX(FX_Input,$KB37,N$86),Paint_Cond_Column,2,FALSE))</f>
        <v>N/A</v>
      </c>
      <c r="O37" s="64" t="str">
        <f t="shared" si="2"/>
        <v>Insulated</v>
      </c>
      <c r="P37" s="80" t="str" cm="1">
        <f t="array" ref="P37">IF(ISBLANK(INDEX(FX_Input,$KB37+1,P$85)),INDEX(FX_Input,$KB37,P$85),INDEX(FX_Input,$KB37,P$85)&amp;" &amp; "&amp;INDEX(FX_Input,$KB37+1,P$85))</f>
        <v>Out of Service</v>
      </c>
      <c r="Q37" s="63" cm="1">
        <f t="array" ref="Q37">INDEX(FX_Temps,$KC37+7,Q$89)</f>
        <v>0</v>
      </c>
      <c r="R37" s="63" cm="1">
        <f t="array" ref="R37">INDEX(FX_Temps,$KC37+13,R$89)+459.6</f>
        <v>503.5</v>
      </c>
      <c r="S37" s="63" cm="1">
        <f t="array" ref="S37">INDEX(FX_Vap,$KG37,S$91)-INDEX(FX_Vap,$KH37,S$91)</f>
        <v>0</v>
      </c>
      <c r="T37" s="73" cm="1">
        <f t="array" ref="T37">IF(P37="Out of Service",0,INDEX(FX_Vap,$KI37,T$91))</f>
        <v>0</v>
      </c>
      <c r="U37" s="63">
        <f t="shared" si="3"/>
        <v>0</v>
      </c>
      <c r="V37" s="63">
        <f t="shared" si="4"/>
        <v>1</v>
      </c>
      <c r="W37" s="63" cm="1">
        <f t="array" ref="W37">INDEX(FX_Vap,$KJ37,W$91)</f>
        <v>0</v>
      </c>
      <c r="X37" s="63" cm="1">
        <f t="array" ref="X37">INDEX(FX_Temps,$KD37,X$89)+459.6</f>
        <v>503.5</v>
      </c>
      <c r="Y37" s="63">
        <f t="shared" si="5"/>
        <v>0</v>
      </c>
      <c r="Z37" s="63" cm="1">
        <f t="array" ref="Z37">INDEX(Month_Ref,Z$83,3)*U37*(PI()/4*$F37^2)*$H37*V37*Y37</f>
        <v>0</v>
      </c>
      <c r="AA37" s="63" cm="1">
        <f t="array" ref="AA37">INDEX(FX_Input,$KB37,AA$85)</f>
        <v>0</v>
      </c>
      <c r="AB37" s="63">
        <f t="shared" si="6"/>
        <v>0</v>
      </c>
      <c r="AC37" s="63">
        <f t="shared" si="7"/>
        <v>0</v>
      </c>
      <c r="AD37" s="63">
        <f t="shared" si="8"/>
        <v>1</v>
      </c>
      <c r="AE37" s="63" cm="1">
        <f t="array" ref="AE37">IF(OR(INDEX(FX_Vap,$KK37,AE$90)="Crude Oil",(INDEX(FX_Vap,$KL37,AE$90)="Crude Oil")),0.75,1)</f>
        <v>1</v>
      </c>
      <c r="AF37" s="63">
        <f t="shared" si="108"/>
        <v>1</v>
      </c>
      <c r="AG37" s="63">
        <f t="shared" si="9"/>
        <v>0</v>
      </c>
      <c r="AH37" s="64">
        <f t="shared" si="10"/>
        <v>0</v>
      </c>
      <c r="AI37" s="80" t="str" cm="1">
        <f t="array" ref="AI37">IF(ISBLANK(INDEX(FX_Input,$KB37+1,AI$85)),INDEX(FX_Input,$KB37,AI$85),INDEX(FX_Input,$KB37,AI$85)&amp;" &amp; "&amp;INDEX(FX_Input,$KB37+1,AI$85))</f>
        <v>Out of Service</v>
      </c>
      <c r="AJ37" s="63" cm="1">
        <f t="array" ref="AJ37">INDEX(FX_Temps,$KC37+7,AJ$89)</f>
        <v>0</v>
      </c>
      <c r="AK37" s="63" cm="1">
        <f t="array" ref="AK37">INDEX(FX_Temps,$KC37+13,AK$89)+459.6</f>
        <v>504.30000000000007</v>
      </c>
      <c r="AL37" s="63" cm="1">
        <f t="array" ref="AL37">INDEX(FX_Vap,$KG37,AL$91)-INDEX(FX_Vap,$KH37,AL$91)</f>
        <v>0</v>
      </c>
      <c r="AM37" s="73" cm="1">
        <f t="array" ref="AM37">IF(AI37="Out of Service",0,INDEX(FX_Vap,$KI37,AM$91))</f>
        <v>0</v>
      </c>
      <c r="AN37" s="63">
        <f t="shared" si="11"/>
        <v>0</v>
      </c>
      <c r="AO37" s="63">
        <f t="shared" si="12"/>
        <v>1</v>
      </c>
      <c r="AP37" s="63" cm="1">
        <f t="array" ref="AP37">INDEX(FX_Vap,$KJ37,AP$91)</f>
        <v>0</v>
      </c>
      <c r="AQ37" s="63" cm="1">
        <f t="array" ref="AQ37">INDEX(FX_Temps,$KD37,AQ$89)+459.6</f>
        <v>504.30000000000007</v>
      </c>
      <c r="AR37" s="63">
        <f t="shared" si="13"/>
        <v>0</v>
      </c>
      <c r="AS37" s="63" cm="1">
        <f t="array" ref="AS37">INDEX(Month_Ref,AS$83,3)*AN37*(PI()/4*$F37^2)*$H37*AO37*AR37</f>
        <v>0</v>
      </c>
      <c r="AT37" s="63" cm="1">
        <f t="array" ref="AT37">INDEX(FX_Input,$KB37,AT$85)</f>
        <v>0</v>
      </c>
      <c r="AU37" s="63">
        <f t="shared" si="14"/>
        <v>0</v>
      </c>
      <c r="AV37" s="63">
        <f t="shared" si="15"/>
        <v>0</v>
      </c>
      <c r="AW37" s="63">
        <f t="shared" si="16"/>
        <v>1</v>
      </c>
      <c r="AX37" s="63" cm="1">
        <f t="array" ref="AX37">IF(OR(INDEX(FX_Vap,$KK37,AX$90)="Crude Oil",(INDEX(FX_Vap,$KL37,AX$90)="Crude Oil")),0.75,1)</f>
        <v>1</v>
      </c>
      <c r="AY37" s="63">
        <f t="shared" si="109"/>
        <v>1</v>
      </c>
      <c r="AZ37" s="63">
        <f t="shared" si="17"/>
        <v>0</v>
      </c>
      <c r="BA37" s="64">
        <f t="shared" si="18"/>
        <v>0</v>
      </c>
      <c r="BB37" s="80" t="str" cm="1">
        <f t="array" ref="BB37">IF(ISBLANK(INDEX(FX_Input,$KB37+1,BB$85)),INDEX(FX_Input,$KB37,BB$85),INDEX(FX_Input,$KB37,BB$85)&amp;" &amp; "&amp;INDEX(FX_Input,$KB37+1,BB$85))</f>
        <v>Out of Service</v>
      </c>
      <c r="BC37" s="63" cm="1">
        <f t="array" ref="BC37">INDEX(FX_Temps,$KC37+7,BC$89)</f>
        <v>0</v>
      </c>
      <c r="BD37" s="63" cm="1">
        <f t="array" ref="BD37">INDEX(FX_Temps,$KC37+13,BD$89)+459.6</f>
        <v>505.70000000000005</v>
      </c>
      <c r="BE37" s="63" cm="1">
        <f t="array" ref="BE37">INDEX(FX_Vap,$KG37,BE$91)-INDEX(FX_Vap,$KH37,BE$91)</f>
        <v>0</v>
      </c>
      <c r="BF37" s="73" cm="1">
        <f t="array" ref="BF37">IF(BB37="Out of Service",0,INDEX(FX_Vap,$KI37,BF$91))</f>
        <v>0</v>
      </c>
      <c r="BG37" s="63">
        <f t="shared" si="19"/>
        <v>0</v>
      </c>
      <c r="BH37" s="63">
        <f t="shared" si="20"/>
        <v>1</v>
      </c>
      <c r="BI37" s="63" cm="1">
        <f t="array" ref="BI37">INDEX(FX_Vap,$KJ37,BI$91)</f>
        <v>0</v>
      </c>
      <c r="BJ37" s="63" cm="1">
        <f t="array" ref="BJ37">INDEX(FX_Temps,$KD37,BJ$89)+459.6</f>
        <v>505.70000000000005</v>
      </c>
      <c r="BK37" s="63">
        <f t="shared" si="21"/>
        <v>0</v>
      </c>
      <c r="BL37" s="63" cm="1">
        <f t="array" ref="BL37">INDEX(Month_Ref,BL$83,3)*BG37*(PI()/4*$F37^2)*$H37*BH37*BK37</f>
        <v>0</v>
      </c>
      <c r="BM37" s="63" cm="1">
        <f t="array" ref="BM37">INDEX(FX_Input,$KB37,BM$85)</f>
        <v>0</v>
      </c>
      <c r="BN37" s="63">
        <f t="shared" si="22"/>
        <v>0</v>
      </c>
      <c r="BO37" s="63">
        <f t="shared" si="23"/>
        <v>0</v>
      </c>
      <c r="BP37" s="63">
        <f t="shared" si="24"/>
        <v>1</v>
      </c>
      <c r="BQ37" s="63" cm="1">
        <f t="array" ref="BQ37">IF(OR(INDEX(FX_Vap,$KK37,BQ$90)="Crude Oil",(INDEX(FX_Vap,$KL37,BQ$90)="Crude Oil")),0.75,1)</f>
        <v>1</v>
      </c>
      <c r="BR37" s="63">
        <f t="shared" si="110"/>
        <v>1</v>
      </c>
      <c r="BS37" s="63">
        <f t="shared" si="25"/>
        <v>0</v>
      </c>
      <c r="BT37" s="64">
        <f t="shared" si="26"/>
        <v>0</v>
      </c>
      <c r="BU37" s="80" t="str" cm="1">
        <f t="array" ref="BU37">IF(ISBLANK(INDEX(FX_Input,$KB37+1,BU$85)),INDEX(FX_Input,$KB37,BU$85),INDEX(FX_Input,$KB37,BU$85)&amp;" &amp; "&amp;INDEX(FX_Input,$KB37+1,BU$85))</f>
        <v>Out of Service</v>
      </c>
      <c r="BV37" s="63" cm="1">
        <f t="array" ref="BV37">INDEX(FX_Temps,$KC37+7,BV$89)</f>
        <v>0</v>
      </c>
      <c r="BW37" s="63" cm="1">
        <f t="array" ref="BW37">INDEX(FX_Temps,$KC37+13,BW$89)+459.6</f>
        <v>508.2</v>
      </c>
      <c r="BX37" s="63" cm="1">
        <f t="array" ref="BX37">INDEX(FX_Vap,$KG37,BX$91)-INDEX(FX_Vap,$KH37,BX$91)</f>
        <v>0</v>
      </c>
      <c r="BY37" s="73" cm="1">
        <f t="array" ref="BY37">IF(BU37="Out of Service",0,INDEX(FX_Vap,$KI37,BY$91))</f>
        <v>0</v>
      </c>
      <c r="BZ37" s="63">
        <f t="shared" si="27"/>
        <v>0</v>
      </c>
      <c r="CA37" s="63">
        <f t="shared" si="28"/>
        <v>1</v>
      </c>
      <c r="CB37" s="63" cm="1">
        <f t="array" ref="CB37">INDEX(FX_Vap,$KJ37,CB$91)</f>
        <v>0</v>
      </c>
      <c r="CC37" s="63" cm="1">
        <f t="array" ref="CC37">INDEX(FX_Temps,$KD37,CC$89)+459.6</f>
        <v>508.2</v>
      </c>
      <c r="CD37" s="63">
        <f t="shared" si="29"/>
        <v>0</v>
      </c>
      <c r="CE37" s="63" cm="1">
        <f t="array" ref="CE37">INDEX(Month_Ref,CE$83,3)*BZ37*(PI()/4*$F37^2)*$H37*CA37*CD37</f>
        <v>0</v>
      </c>
      <c r="CF37" s="63" cm="1">
        <f t="array" ref="CF37">INDEX(FX_Input,$KB37,CF$85)</f>
        <v>0</v>
      </c>
      <c r="CG37" s="63">
        <f t="shared" si="30"/>
        <v>0</v>
      </c>
      <c r="CH37" s="63">
        <f t="shared" si="31"/>
        <v>0</v>
      </c>
      <c r="CI37" s="63">
        <f t="shared" si="32"/>
        <v>1</v>
      </c>
      <c r="CJ37" s="63" cm="1">
        <f t="array" ref="CJ37">IF(OR(INDEX(FX_Vap,$KK37,CJ$90)="Crude Oil",(INDEX(FX_Vap,$KL37,CJ$90)="Crude Oil")),0.75,1)</f>
        <v>1</v>
      </c>
      <c r="CK37" s="63">
        <f t="shared" si="111"/>
        <v>1</v>
      </c>
      <c r="CL37" s="63">
        <f t="shared" si="33"/>
        <v>0</v>
      </c>
      <c r="CM37" s="64">
        <f t="shared" si="34"/>
        <v>0</v>
      </c>
      <c r="CN37" s="80" t="str" cm="1">
        <f t="array" ref="CN37">IF(ISBLANK(INDEX(FX_Input,$KB37+1,CN$85)),INDEX(FX_Input,$KB37,CN$85),INDEX(FX_Input,$KB37,CN$85)&amp;" &amp; "&amp;INDEX(FX_Input,$KB37+1,CN$85))</f>
        <v>Out of Service</v>
      </c>
      <c r="CO37" s="63" cm="1">
        <f t="array" ref="CO37">INDEX(FX_Temps,$KC37+7,CO$89)</f>
        <v>0</v>
      </c>
      <c r="CP37" s="63" cm="1">
        <f t="array" ref="CP37">INDEX(FX_Temps,$KC37+13,CP$89)+459.6</f>
        <v>512.75</v>
      </c>
      <c r="CQ37" s="63" cm="1">
        <f t="array" ref="CQ37">INDEX(FX_Vap,$KG37,CQ$91)-INDEX(FX_Vap,$KH37,CQ$91)</f>
        <v>0</v>
      </c>
      <c r="CR37" s="73" cm="1">
        <f t="array" ref="CR37">IF(CN37="Out of Service",0,INDEX(FX_Vap,$KI37,CR$91))</f>
        <v>0</v>
      </c>
      <c r="CS37" s="63">
        <f t="shared" si="35"/>
        <v>0</v>
      </c>
      <c r="CT37" s="63">
        <f t="shared" si="36"/>
        <v>1</v>
      </c>
      <c r="CU37" s="63" cm="1">
        <f t="array" ref="CU37">INDEX(FX_Vap,$KJ37,CU$91)</f>
        <v>0</v>
      </c>
      <c r="CV37" s="63" cm="1">
        <f t="array" ref="CV37">INDEX(FX_Temps,$KD37,CV$89)+459.6</f>
        <v>512.75</v>
      </c>
      <c r="CW37" s="63">
        <f t="shared" si="37"/>
        <v>0</v>
      </c>
      <c r="CX37" s="63" cm="1">
        <f t="array" ref="CX37">INDEX(Month_Ref,CX$83,3)*CS37*(PI()/4*$F37^2)*$H37*CT37*CW37</f>
        <v>0</v>
      </c>
      <c r="CY37" s="63" cm="1">
        <f t="array" ref="CY37">INDEX(FX_Input,$KB37,CY$85)</f>
        <v>0</v>
      </c>
      <c r="CZ37" s="63">
        <f t="shared" si="38"/>
        <v>0</v>
      </c>
      <c r="DA37" s="63">
        <f t="shared" si="39"/>
        <v>0</v>
      </c>
      <c r="DB37" s="63">
        <f t="shared" si="40"/>
        <v>1</v>
      </c>
      <c r="DC37" s="63" cm="1">
        <f t="array" ref="DC37">IF(OR(INDEX(FX_Vap,$KK37,DC$90)="Crude Oil",(INDEX(FX_Vap,$KL37,DC$90)="Crude Oil")),0.75,1)</f>
        <v>1</v>
      </c>
      <c r="DD37" s="63">
        <f t="shared" si="112"/>
        <v>1</v>
      </c>
      <c r="DE37" s="63">
        <f t="shared" si="41"/>
        <v>0</v>
      </c>
      <c r="DF37" s="64">
        <f t="shared" si="42"/>
        <v>0</v>
      </c>
      <c r="DG37" s="80" t="str" cm="1">
        <f t="array" ref="DG37">IF(ISBLANK(INDEX(FX_Input,$KB37+1,DG$85)),INDEX(FX_Input,$KB37,DG$85),INDEX(FX_Input,$KB37,DG$85)&amp;" &amp; "&amp;INDEX(FX_Input,$KB37+1,DG$85))</f>
        <v>Out of Service</v>
      </c>
      <c r="DH37" s="63" cm="1">
        <f t="array" ref="DH37">INDEX(FX_Temps,$KC37+7,DH$89)</f>
        <v>0</v>
      </c>
      <c r="DI37" s="63" cm="1">
        <f t="array" ref="DI37">INDEX(FX_Temps,$KC37+13,DI$89)+459.6</f>
        <v>516.55000000000007</v>
      </c>
      <c r="DJ37" s="63" cm="1">
        <f t="array" ref="DJ37">INDEX(FX_Vap,$KG37,DJ$91)-INDEX(FX_Vap,$KH37,DJ$91)</f>
        <v>0</v>
      </c>
      <c r="DK37" s="73" cm="1">
        <f t="array" ref="DK37">IF(DG37="Out of Service",0,INDEX(FX_Vap,$KI37,DK$91))</f>
        <v>0</v>
      </c>
      <c r="DL37" s="63">
        <f t="shared" si="43"/>
        <v>0</v>
      </c>
      <c r="DM37" s="63">
        <f t="shared" si="44"/>
        <v>1</v>
      </c>
      <c r="DN37" s="63" cm="1">
        <f t="array" ref="DN37">INDEX(FX_Vap,$KJ37,DN$91)</f>
        <v>0</v>
      </c>
      <c r="DO37" s="63" cm="1">
        <f t="array" ref="DO37">INDEX(FX_Temps,$KD37,DO$89)+459.6</f>
        <v>516.55000000000007</v>
      </c>
      <c r="DP37" s="63">
        <f t="shared" si="45"/>
        <v>0</v>
      </c>
      <c r="DQ37" s="63" cm="1">
        <f t="array" ref="DQ37">INDEX(Month_Ref,DQ$83,3)*DL37*(PI()/4*$F37^2)*$H37*DM37*DP37</f>
        <v>0</v>
      </c>
      <c r="DR37" s="63" cm="1">
        <f t="array" ref="DR37">INDEX(FX_Input,$KB37,DR$85)</f>
        <v>0</v>
      </c>
      <c r="DS37" s="63">
        <f t="shared" si="46"/>
        <v>0</v>
      </c>
      <c r="DT37" s="63">
        <f t="shared" si="47"/>
        <v>0</v>
      </c>
      <c r="DU37" s="63">
        <f t="shared" si="48"/>
        <v>1</v>
      </c>
      <c r="DV37" s="63" cm="1">
        <f t="array" ref="DV37">IF(OR(INDEX(FX_Vap,$KK37,DV$90)="Crude Oil",(INDEX(FX_Vap,$KL37,DV$90)="Crude Oil")),0.75,1)</f>
        <v>1</v>
      </c>
      <c r="DW37" s="63">
        <f t="shared" si="113"/>
        <v>1</v>
      </c>
      <c r="DX37" s="63">
        <f t="shared" si="49"/>
        <v>0</v>
      </c>
      <c r="DY37" s="64">
        <f t="shared" si="50"/>
        <v>0</v>
      </c>
      <c r="DZ37" s="80" t="str" cm="1">
        <f t="array" ref="DZ37">IF(ISBLANK(INDEX(FX_Input,$KB37+1,DZ$85)),INDEX(FX_Input,$KB37,DZ$85),INDEX(FX_Input,$KB37,DZ$85)&amp;" &amp; "&amp;INDEX(FX_Input,$KB37+1,DZ$85))</f>
        <v>Out of Service</v>
      </c>
      <c r="EA37" s="63" cm="1">
        <f t="array" ref="EA37">INDEX(FX_Temps,$KC37+7,EA$89)</f>
        <v>0</v>
      </c>
      <c r="EB37" s="63" cm="1">
        <f t="array" ref="EB37">INDEX(FX_Temps,$KC37+13,EB$89)+459.6</f>
        <v>520.04999999999995</v>
      </c>
      <c r="EC37" s="63" cm="1">
        <f t="array" ref="EC37">INDEX(FX_Vap,$KG37,EC$91)-INDEX(FX_Vap,$KH37,EC$91)</f>
        <v>0</v>
      </c>
      <c r="ED37" s="73" cm="1">
        <f t="array" ref="ED37">IF(DZ37="Out of Service",0,INDEX(FX_Vap,$KI37,ED$91))</f>
        <v>0</v>
      </c>
      <c r="EE37" s="63">
        <f t="shared" si="51"/>
        <v>0</v>
      </c>
      <c r="EF37" s="63">
        <f t="shared" si="52"/>
        <v>1</v>
      </c>
      <c r="EG37" s="63" cm="1">
        <f t="array" ref="EG37">INDEX(FX_Vap,$KJ37,EG$91)</f>
        <v>0</v>
      </c>
      <c r="EH37" s="63" cm="1">
        <f t="array" ref="EH37">INDEX(FX_Temps,$KD37,EH$89)+459.6</f>
        <v>520.04999999999995</v>
      </c>
      <c r="EI37" s="63">
        <f t="shared" si="53"/>
        <v>0</v>
      </c>
      <c r="EJ37" s="63" cm="1">
        <f t="array" ref="EJ37">INDEX(Month_Ref,EJ$83,3)*EE37*(PI()/4*$F37^2)*$H37*EF37*EI37</f>
        <v>0</v>
      </c>
      <c r="EK37" s="63" cm="1">
        <f t="array" ref="EK37">INDEX(FX_Input,$KB37,EK$85)</f>
        <v>0</v>
      </c>
      <c r="EL37" s="63">
        <f t="shared" si="54"/>
        <v>0</v>
      </c>
      <c r="EM37" s="63">
        <f t="shared" si="55"/>
        <v>0</v>
      </c>
      <c r="EN37" s="63">
        <f t="shared" si="56"/>
        <v>1</v>
      </c>
      <c r="EO37" s="63" cm="1">
        <f t="array" ref="EO37">IF(OR(INDEX(FX_Vap,$KK37,EO$90)="Crude Oil",(INDEX(FX_Vap,$KL37,EO$90)="Crude Oil")),0.75,1)</f>
        <v>1</v>
      </c>
      <c r="EP37" s="63">
        <f t="shared" si="114"/>
        <v>1</v>
      </c>
      <c r="EQ37" s="63">
        <f t="shared" si="57"/>
        <v>0</v>
      </c>
      <c r="ER37" s="64">
        <f t="shared" si="58"/>
        <v>0</v>
      </c>
      <c r="ES37" s="80" t="str" cm="1">
        <f t="array" ref="ES37">IF(ISBLANK(INDEX(FX_Input,$KB37+1,ES$85)),INDEX(FX_Input,$KB37,ES$85),INDEX(FX_Input,$KB37,ES$85)&amp;" &amp; "&amp;INDEX(FX_Input,$KB37+1,ES$85))</f>
        <v>Out of Service</v>
      </c>
      <c r="ET37" s="63" cm="1">
        <f t="array" ref="ET37">INDEX(FX_Temps,$KC37+7,ET$89)</f>
        <v>0</v>
      </c>
      <c r="EU37" s="63" cm="1">
        <f t="array" ref="EU37">INDEX(FX_Temps,$KC37+13,EU$89)+459.6</f>
        <v>520.5</v>
      </c>
      <c r="EV37" s="63" cm="1">
        <f t="array" ref="EV37">INDEX(FX_Vap,$KG37,EV$91)-INDEX(FX_Vap,$KH37,EV$91)</f>
        <v>0</v>
      </c>
      <c r="EW37" s="73" cm="1">
        <f t="array" ref="EW37">IF(ES37="Out of Service",0,INDEX(FX_Vap,$KI37,EW$91))</f>
        <v>0</v>
      </c>
      <c r="EX37" s="63">
        <f t="shared" si="59"/>
        <v>0</v>
      </c>
      <c r="EY37" s="63">
        <f t="shared" si="60"/>
        <v>1</v>
      </c>
      <c r="EZ37" s="63" cm="1">
        <f t="array" ref="EZ37">INDEX(FX_Vap,$KJ37,EZ$91)</f>
        <v>0</v>
      </c>
      <c r="FA37" s="63" cm="1">
        <f t="array" ref="FA37">INDEX(FX_Temps,$KD37,FA$89)+459.6</f>
        <v>520.5</v>
      </c>
      <c r="FB37" s="63">
        <f t="shared" si="61"/>
        <v>0</v>
      </c>
      <c r="FC37" s="63" cm="1">
        <f t="array" ref="FC37">INDEX(Month_Ref,FC$83,3)*EX37*(PI()/4*$F37^2)*$H37*EY37*FB37</f>
        <v>0</v>
      </c>
      <c r="FD37" s="63" cm="1">
        <f t="array" ref="FD37">INDEX(FX_Input,$KB37,FD$85)</f>
        <v>0</v>
      </c>
      <c r="FE37" s="63">
        <f t="shared" si="62"/>
        <v>0</v>
      </c>
      <c r="FF37" s="63">
        <f t="shared" si="63"/>
        <v>0</v>
      </c>
      <c r="FG37" s="63">
        <f t="shared" si="64"/>
        <v>1</v>
      </c>
      <c r="FH37" s="63" cm="1">
        <f t="array" ref="FH37">IF(OR(INDEX(FX_Vap,$KK37,FH$90)="Crude Oil",(INDEX(FX_Vap,$KL37,FH$90)="Crude Oil")),0.75,1)</f>
        <v>1</v>
      </c>
      <c r="FI37" s="63">
        <f t="shared" si="115"/>
        <v>1</v>
      </c>
      <c r="FJ37" s="63">
        <f t="shared" si="65"/>
        <v>0</v>
      </c>
      <c r="FK37" s="64">
        <f t="shared" si="66"/>
        <v>0</v>
      </c>
      <c r="FL37" s="80" t="str" cm="1">
        <f t="array" ref="FL37">IF(ISBLANK(INDEX(FX_Input,$KB37+1,FL$85)),INDEX(FX_Input,$KB37,FL$85),INDEX(FX_Input,$KB37,FL$85)&amp;" &amp; "&amp;INDEX(FX_Input,$KB37+1,FL$85))</f>
        <v>Out of Service</v>
      </c>
      <c r="FM37" s="63" cm="1">
        <f t="array" ref="FM37">INDEX(FX_Temps,$KC37+7,FM$89)</f>
        <v>0</v>
      </c>
      <c r="FN37" s="63" cm="1">
        <f t="array" ref="FN37">INDEX(FX_Temps,$KC37+13,FN$89)+459.6</f>
        <v>518.20000000000005</v>
      </c>
      <c r="FO37" s="63" cm="1">
        <f t="array" ref="FO37">INDEX(FX_Vap,$KG37,FO$91)-INDEX(FX_Vap,$KH37,FO$91)</f>
        <v>0</v>
      </c>
      <c r="FP37" s="73" cm="1">
        <f t="array" ref="FP37">IF(FL37="Out of Service",0,INDEX(FX_Vap,$KI37,FP$91))</f>
        <v>0</v>
      </c>
      <c r="FQ37" s="63">
        <f t="shared" si="67"/>
        <v>0</v>
      </c>
      <c r="FR37" s="63">
        <f t="shared" si="68"/>
        <v>1</v>
      </c>
      <c r="FS37" s="63" cm="1">
        <f t="array" ref="FS37">INDEX(FX_Vap,$KJ37,FS$91)</f>
        <v>0</v>
      </c>
      <c r="FT37" s="63" cm="1">
        <f t="array" ref="FT37">INDEX(FX_Temps,$KD37,FT$89)+459.6</f>
        <v>518.20000000000005</v>
      </c>
      <c r="FU37" s="63">
        <f t="shared" si="69"/>
        <v>0</v>
      </c>
      <c r="FV37" s="63" cm="1">
        <f t="array" ref="FV37">INDEX(Month_Ref,FV$83,3)*FQ37*(PI()/4*$F37^2)*$H37*FR37*FU37</f>
        <v>0</v>
      </c>
      <c r="FW37" s="63" cm="1">
        <f t="array" ref="FW37">INDEX(FX_Input,$KB37,FW$85)</f>
        <v>0</v>
      </c>
      <c r="FX37" s="63">
        <f t="shared" si="70"/>
        <v>0</v>
      </c>
      <c r="FY37" s="63">
        <f t="shared" si="71"/>
        <v>0</v>
      </c>
      <c r="FZ37" s="63">
        <f t="shared" si="72"/>
        <v>1</v>
      </c>
      <c r="GA37" s="63" cm="1">
        <f t="array" ref="GA37">IF(OR(INDEX(FX_Vap,$KK37,GA$90)="Crude Oil",(INDEX(FX_Vap,$KL37,GA$90)="Crude Oil")),0.75,1)</f>
        <v>1</v>
      </c>
      <c r="GB37" s="63">
        <f t="shared" si="116"/>
        <v>1</v>
      </c>
      <c r="GC37" s="63">
        <f t="shared" si="73"/>
        <v>0</v>
      </c>
      <c r="GD37" s="64">
        <f t="shared" si="74"/>
        <v>0</v>
      </c>
      <c r="GE37" s="80" t="str" cm="1">
        <f t="array" ref="GE37">IF(ISBLANK(INDEX(FX_Input,$KB37+1,GE$85)),INDEX(FX_Input,$KB37,GE$85),INDEX(FX_Input,$KB37,GE$85)&amp;" &amp; "&amp;INDEX(FX_Input,$KB37+1,GE$85))</f>
        <v>Out of Service</v>
      </c>
      <c r="GF37" s="63" cm="1">
        <f t="array" ref="GF37">INDEX(FX_Temps,$KC37+7,GF$89)</f>
        <v>0</v>
      </c>
      <c r="GG37" s="63" cm="1">
        <f t="array" ref="GG37">INDEX(FX_Temps,$KC37+13,GG$89)+459.6</f>
        <v>512.25</v>
      </c>
      <c r="GH37" s="63" cm="1">
        <f t="array" ref="GH37">INDEX(FX_Vap,$KG37,GH$91)-INDEX(FX_Vap,$KH37,GH$91)</f>
        <v>0</v>
      </c>
      <c r="GI37" s="73" cm="1">
        <f t="array" ref="GI37">IF(GE37="Out of Service",0,INDEX(FX_Vap,$KI37,GI$91))</f>
        <v>0</v>
      </c>
      <c r="GJ37" s="63">
        <f t="shared" si="75"/>
        <v>0</v>
      </c>
      <c r="GK37" s="63">
        <f t="shared" si="76"/>
        <v>1</v>
      </c>
      <c r="GL37" s="63" cm="1">
        <f t="array" ref="GL37">INDEX(FX_Vap,$KJ37,GL$91)</f>
        <v>0</v>
      </c>
      <c r="GM37" s="63" cm="1">
        <f t="array" ref="GM37">INDEX(FX_Temps,$KD37,GM$89)+459.6</f>
        <v>512.25</v>
      </c>
      <c r="GN37" s="63">
        <f t="shared" si="77"/>
        <v>0</v>
      </c>
      <c r="GO37" s="63" cm="1">
        <f t="array" ref="GO37">INDEX(Month_Ref,GO$83,3)*GJ37*(PI()/4*$F37^2)*$H37*GK37*GN37</f>
        <v>0</v>
      </c>
      <c r="GP37" s="63" cm="1">
        <f t="array" ref="GP37">INDEX(FX_Input,$KB37,GP$85)</f>
        <v>0</v>
      </c>
      <c r="GQ37" s="63">
        <f t="shared" si="78"/>
        <v>0</v>
      </c>
      <c r="GR37" s="63">
        <f t="shared" si="79"/>
        <v>0</v>
      </c>
      <c r="GS37" s="63">
        <f t="shared" si="80"/>
        <v>1</v>
      </c>
      <c r="GT37" s="63" cm="1">
        <f t="array" ref="GT37">IF(OR(INDEX(FX_Vap,$KK37,GT$90)="Crude Oil",(INDEX(FX_Vap,$KL37,GT$90)="Crude Oil")),0.75,1)</f>
        <v>1</v>
      </c>
      <c r="GU37" s="63">
        <f t="shared" si="117"/>
        <v>1</v>
      </c>
      <c r="GV37" s="63">
        <f t="shared" si="81"/>
        <v>0</v>
      </c>
      <c r="GW37" s="64">
        <f t="shared" si="82"/>
        <v>0</v>
      </c>
      <c r="GX37" s="80" t="str" cm="1">
        <f t="array" ref="GX37">IF(ISBLANK(INDEX(FX_Input,$KB37+1,GX$85)),INDEX(FX_Input,$KB37,GX$85),INDEX(FX_Input,$KB37,GX$85)&amp;" &amp; "&amp;INDEX(FX_Input,$KB37+1,GX$85))</f>
        <v>Out of Service</v>
      </c>
      <c r="GY37" s="63" cm="1">
        <f t="array" ref="GY37">INDEX(FX_Temps,$KC37+7,GY$89)</f>
        <v>0</v>
      </c>
      <c r="GZ37" s="63" cm="1">
        <f t="array" ref="GZ37">INDEX(FX_Temps,$KC37+13,GZ$89)+459.6</f>
        <v>506.70000000000005</v>
      </c>
      <c r="HA37" s="63" cm="1">
        <f t="array" ref="HA37">INDEX(FX_Vap,$KG37,HA$91)-INDEX(FX_Vap,$KH37,HA$91)</f>
        <v>0</v>
      </c>
      <c r="HB37" s="73" cm="1">
        <f t="array" ref="HB37">IF(GX37="Out of Service",0,INDEX(FX_Vap,$KI37,HB$91))</f>
        <v>0</v>
      </c>
      <c r="HC37" s="63">
        <f t="shared" si="83"/>
        <v>0</v>
      </c>
      <c r="HD37" s="63">
        <f t="shared" si="84"/>
        <v>1</v>
      </c>
      <c r="HE37" s="63" cm="1">
        <f t="array" ref="HE37">INDEX(FX_Vap,$KJ37,HE$91)</f>
        <v>0</v>
      </c>
      <c r="HF37" s="63" cm="1">
        <f t="array" ref="HF37">INDEX(FX_Temps,$KD37,HF$89)+459.6</f>
        <v>506.70000000000005</v>
      </c>
      <c r="HG37" s="63">
        <f t="shared" si="85"/>
        <v>0</v>
      </c>
      <c r="HH37" s="63" cm="1">
        <f t="array" ref="HH37">INDEX(Month_Ref,HH$83,3)*HC37*(PI()/4*$F37^2)*$H37*HD37*HG37</f>
        <v>0</v>
      </c>
      <c r="HI37" s="63" cm="1">
        <f t="array" ref="HI37">INDEX(FX_Input,$KB37,HI$85)</f>
        <v>0</v>
      </c>
      <c r="HJ37" s="63">
        <f t="shared" si="86"/>
        <v>0</v>
      </c>
      <c r="HK37" s="63">
        <f t="shared" si="87"/>
        <v>0</v>
      </c>
      <c r="HL37" s="63">
        <f t="shared" si="88"/>
        <v>1</v>
      </c>
      <c r="HM37" s="63" cm="1">
        <f t="array" ref="HM37">IF(OR(INDEX(FX_Vap,$KK37,HM$90)="Crude Oil",(INDEX(FX_Vap,$KL37,HM$90)="Crude Oil")),0.75,1)</f>
        <v>1</v>
      </c>
      <c r="HN37" s="63">
        <f t="shared" si="118"/>
        <v>1</v>
      </c>
      <c r="HO37" s="63">
        <f t="shared" si="89"/>
        <v>0</v>
      </c>
      <c r="HP37" s="64">
        <f t="shared" si="90"/>
        <v>0</v>
      </c>
      <c r="HQ37" s="80" t="str" cm="1">
        <f t="array" ref="HQ37">IF(ISBLANK(INDEX(FX_Input,$KB37+1,HQ$85)),INDEX(FX_Input,$KB37,HQ$85),INDEX(FX_Input,$KB37,HQ$85)&amp;" &amp; "&amp;INDEX(FX_Input,$KB37+1,HQ$85))</f>
        <v>Out of Service</v>
      </c>
      <c r="HR37" s="63" cm="1">
        <f t="array" ref="HR37">INDEX(FX_Temps,$KC37+7,HR$89)</f>
        <v>0</v>
      </c>
      <c r="HS37" s="63" cm="1">
        <f t="array" ref="HS37">INDEX(FX_Temps,$KC37+13,HS$89)+459.6</f>
        <v>503.20000000000005</v>
      </c>
      <c r="HT37" s="63" cm="1">
        <f t="array" ref="HT37">INDEX(FX_Vap,$KG37,HT$91)-INDEX(FX_Vap,$KH37,HT$91)</f>
        <v>0</v>
      </c>
      <c r="HU37" s="73" cm="1">
        <f t="array" ref="HU37">IF(HQ37="Out of Service",0,INDEX(FX_Vap,$KI37,HU$91))</f>
        <v>0</v>
      </c>
      <c r="HV37" s="63">
        <f t="shared" si="91"/>
        <v>0</v>
      </c>
      <c r="HW37" s="63">
        <f t="shared" si="92"/>
        <v>1</v>
      </c>
      <c r="HX37" s="63" cm="1">
        <f t="array" ref="HX37">INDEX(FX_Vap,$KJ37,HX$91)</f>
        <v>0</v>
      </c>
      <c r="HY37" s="63" cm="1">
        <f t="array" ref="HY37">INDEX(FX_Temps,$KD37,HY$89)+459.6</f>
        <v>503.20000000000005</v>
      </c>
      <c r="HZ37" s="63">
        <f t="shared" si="93"/>
        <v>0</v>
      </c>
      <c r="IA37" s="63" cm="1">
        <f t="array" ref="IA37">INDEX(Month_Ref,IA$83,3)*HV37*(PI()/4*$F37^2)*$H37*HW37*HZ37</f>
        <v>0</v>
      </c>
      <c r="IB37" s="63" cm="1">
        <f t="array" ref="IB37">INDEX(FX_Input,$KB37,IB$85)</f>
        <v>0</v>
      </c>
      <c r="IC37" s="63">
        <f t="shared" si="94"/>
        <v>0</v>
      </c>
      <c r="ID37" s="63">
        <f t="shared" si="95"/>
        <v>0</v>
      </c>
      <c r="IE37" s="63">
        <f t="shared" si="96"/>
        <v>1</v>
      </c>
      <c r="IF37" s="63" cm="1">
        <f t="array" ref="IF37">IF(OR(INDEX(FX_Vap,$KK37,IF$90)="Crude Oil",(INDEX(FX_Vap,$KL37,IF$90)="Crude Oil")),0.75,1)</f>
        <v>1</v>
      </c>
      <c r="IG37" s="63">
        <f t="shared" si="119"/>
        <v>1</v>
      </c>
      <c r="IH37" s="63">
        <f t="shared" si="97"/>
        <v>0</v>
      </c>
      <c r="II37" s="64">
        <f t="shared" si="98"/>
        <v>0</v>
      </c>
      <c r="IJ37" s="80">
        <f t="shared" si="99"/>
        <v>0</v>
      </c>
      <c r="IK37" s="63">
        <f t="shared" si="100"/>
        <v>0</v>
      </c>
      <c r="IL37" s="63">
        <f t="shared" si="101"/>
        <v>0</v>
      </c>
      <c r="IM37" s="63">
        <f t="shared" si="102"/>
        <v>0</v>
      </c>
      <c r="IN37" s="63">
        <f t="shared" si="103"/>
        <v>0</v>
      </c>
      <c r="IO37" s="64">
        <f t="shared" si="104"/>
        <v>0</v>
      </c>
      <c r="KB37" s="43">
        <f t="shared" si="120"/>
        <v>53</v>
      </c>
      <c r="KC37" s="43">
        <f t="shared" si="121"/>
        <v>365</v>
      </c>
      <c r="KD37" s="43">
        <f t="shared" si="122"/>
        <v>378</v>
      </c>
      <c r="KE37" s="43">
        <f t="shared" si="123"/>
        <v>365</v>
      </c>
      <c r="KF37" s="43">
        <f t="shared" si="124"/>
        <v>885</v>
      </c>
      <c r="KG37" s="43">
        <f t="shared" si="125"/>
        <v>908</v>
      </c>
      <c r="KH37" s="43">
        <f t="shared" si="126"/>
        <v>903</v>
      </c>
      <c r="KI37" s="43">
        <f t="shared" si="126"/>
        <v>913</v>
      </c>
      <c r="KJ37" s="43">
        <f t="shared" si="126"/>
        <v>918</v>
      </c>
      <c r="KK37" s="43">
        <f t="shared" si="127"/>
        <v>889</v>
      </c>
      <c r="KL37" s="43">
        <f t="shared" si="128"/>
        <v>891</v>
      </c>
    </row>
    <row r="38" spans="2:298" x14ac:dyDescent="0.4">
      <c r="B38" s="43" t="str" cm="1">
        <f t="array" ref="B38">INDEX(FX_Input,$KB38,B$85)</f>
        <v>FX - 28</v>
      </c>
      <c r="C38" s="93" t="str" cm="1">
        <f t="array" ref="C38">INDEX(FX_Input,$KB38,C$85)</f>
        <v>FIXTANK 145</v>
      </c>
      <c r="D38" s="80">
        <f t="shared" si="0"/>
        <v>3101.3409977156739</v>
      </c>
      <c r="E38" s="63" cm="1">
        <f t="array" ref="E38">IF(ISBLANK(INDEX(FX_Input,$KB38,$E$85)),0.03,INDEX(FX_Input,$KB38,$E$85))-IF(ISBLANK(INDEX(FX_Input,$KB38,$E$86)),-0.03,INDEX(FX_Input,$KB38,$E$86))</f>
        <v>0.06</v>
      </c>
      <c r="F38" s="63" cm="1">
        <f t="array" ref="F38">IF(INDEX(FX_Input,$KB38,F$85)="Vertical",INDEX(FX_Input,$KB38,F$86),SQRT((INDEX(FX_Input,$KB38,F$86)*INDEX(FX_Input,$KB38,F$87))/(PI()/4)))</f>
        <v>18</v>
      </c>
      <c r="G38" s="63" cm="1">
        <f t="array" ref="G38">IF(INDEX(FX_Input,$KB38,G$85)="Vertical",INDEX(FX_Input,$KB38,G$86),INDEX(FX_Input,$KB38,G$87)*PI()/4)</f>
        <v>24</v>
      </c>
      <c r="H38" s="63" cm="1">
        <f t="array" ref="H38">IF(INDEX(FX_Input,$KB38,H$85)="Vertical",G38-G38/2+J38,G38/2)</f>
        <v>12.1875</v>
      </c>
      <c r="I38" s="63" cm="1">
        <f t="array" ref="I38">IF(INDEX(FX_Input,$KB38,F$85)="Horizontal","N/A",IF(INDEX(FX_Input,$KB38,I$86)="Cone",IF(ISBLANK(INDEX(FX_Input,$KB38,I$87)),0.0625,INDEX(FX_Input,$KB38,I$87))*F38/2,F38/2-SQRT((F38/2)^2-(INDEX(FX_Input,$KB38,I$88)^2))))</f>
        <v>0.5625</v>
      </c>
      <c r="J38" s="63" cm="1">
        <f t="array" ref="J38">IF(INDEX(FX_Input,$KB38,J$85)="Horizontal","N/A",IF(INDEX(FX_Input,$KB38,J$86)="Cone",I38/3,I38*(1/2+(1/6)*(I38/(F38/2))^2)))</f>
        <v>0.1875</v>
      </c>
      <c r="K38" s="63">
        <f t="shared" si="1"/>
        <v>23</v>
      </c>
      <c r="L38" s="63">
        <v>1</v>
      </c>
      <c r="M38" s="63" t="str" cm="1">
        <f t="array" ref="M38">INDEX(Tbl_71_6,MATCH(INDEX(FX_Input,$KB38,M$85),Paint_Color,0),VLOOKUP(INDEX(FX_Input,$KB38,M$86),Paint_Cond_Column,2,FALSE))</f>
        <v>N/A</v>
      </c>
      <c r="N38" s="63" t="str" cm="1">
        <f t="array" ref="N38">INDEX(Tbl_71_6,MATCH(INDEX(FX_Input,$KB38,N$85),Paint_Color,0),VLOOKUP(INDEX(FX_Input,$KB38,N$86),Paint_Cond_Column,2,FALSE))</f>
        <v>N/A</v>
      </c>
      <c r="O38" s="64" t="str">
        <f t="shared" si="2"/>
        <v>Insulated</v>
      </c>
      <c r="P38" s="80" t="str" cm="1">
        <f t="array" ref="P38">IF(ISBLANK(INDEX(FX_Input,$KB38+1,P$85)),INDEX(FX_Input,$KB38,P$85),INDEX(FX_Input,$KB38,P$85)&amp;" &amp; "&amp;INDEX(FX_Input,$KB38+1,P$85))</f>
        <v>Out of Service</v>
      </c>
      <c r="Q38" s="63" cm="1">
        <f t="array" ref="Q38">INDEX(FX_Temps,$KC38+7,Q$89)</f>
        <v>0</v>
      </c>
      <c r="R38" s="63" cm="1">
        <f t="array" ref="R38">INDEX(FX_Temps,$KC38+13,R$89)+459.6</f>
        <v>503.5</v>
      </c>
      <c r="S38" s="63" cm="1">
        <f t="array" ref="S38">INDEX(FX_Vap,$KG38,S$91)-INDEX(FX_Vap,$KH38,S$91)</f>
        <v>0</v>
      </c>
      <c r="T38" s="73" cm="1">
        <f t="array" ref="T38">IF(P38="Out of Service",0,INDEX(FX_Vap,$KI38,T$91))</f>
        <v>0</v>
      </c>
      <c r="U38" s="63">
        <f t="shared" si="3"/>
        <v>0</v>
      </c>
      <c r="V38" s="63">
        <f t="shared" si="4"/>
        <v>1</v>
      </c>
      <c r="W38" s="63" cm="1">
        <f t="array" ref="W38">INDEX(FX_Vap,$KJ38,W$91)</f>
        <v>0</v>
      </c>
      <c r="X38" s="63" cm="1">
        <f t="array" ref="X38">INDEX(FX_Temps,$KD38,X$89)+459.6</f>
        <v>503.5</v>
      </c>
      <c r="Y38" s="63">
        <f t="shared" si="5"/>
        <v>0</v>
      </c>
      <c r="Z38" s="63" cm="1">
        <f t="array" ref="Z38">INDEX(Month_Ref,Z$83,3)*U38*(PI()/4*$F38^2)*$H38*V38*Y38</f>
        <v>0</v>
      </c>
      <c r="AA38" s="63" cm="1">
        <f t="array" ref="AA38">INDEX(FX_Input,$KB38,AA$85)</f>
        <v>0</v>
      </c>
      <c r="AB38" s="63">
        <f t="shared" si="6"/>
        <v>0</v>
      </c>
      <c r="AC38" s="63">
        <f t="shared" si="7"/>
        <v>0</v>
      </c>
      <c r="AD38" s="63">
        <f t="shared" si="8"/>
        <v>1</v>
      </c>
      <c r="AE38" s="63" cm="1">
        <f t="array" ref="AE38">IF(OR(INDEX(FX_Vap,$KK38,AE$90)="Crude Oil",(INDEX(FX_Vap,$KL38,AE$90)="Crude Oil")),0.75,1)</f>
        <v>1</v>
      </c>
      <c r="AF38" s="63">
        <f t="shared" si="108"/>
        <v>1</v>
      </c>
      <c r="AG38" s="63">
        <f t="shared" si="9"/>
        <v>0</v>
      </c>
      <c r="AH38" s="64">
        <f t="shared" si="10"/>
        <v>0</v>
      </c>
      <c r="AI38" s="80" t="str" cm="1">
        <f t="array" ref="AI38">IF(ISBLANK(INDEX(FX_Input,$KB38+1,AI$85)),INDEX(FX_Input,$KB38,AI$85),INDEX(FX_Input,$KB38,AI$85)&amp;" &amp; "&amp;INDEX(FX_Input,$KB38+1,AI$85))</f>
        <v>Out of Service</v>
      </c>
      <c r="AJ38" s="63" cm="1">
        <f t="array" ref="AJ38">INDEX(FX_Temps,$KC38+7,AJ$89)</f>
        <v>0</v>
      </c>
      <c r="AK38" s="63" cm="1">
        <f t="array" ref="AK38">INDEX(FX_Temps,$KC38+13,AK$89)+459.6</f>
        <v>504.30000000000007</v>
      </c>
      <c r="AL38" s="63" cm="1">
        <f t="array" ref="AL38">INDEX(FX_Vap,$KG38,AL$91)-INDEX(FX_Vap,$KH38,AL$91)</f>
        <v>0</v>
      </c>
      <c r="AM38" s="73" cm="1">
        <f t="array" ref="AM38">IF(AI38="Out of Service",0,INDEX(FX_Vap,$KI38,AM$91))</f>
        <v>0</v>
      </c>
      <c r="AN38" s="63">
        <f t="shared" si="11"/>
        <v>0</v>
      </c>
      <c r="AO38" s="63">
        <f t="shared" si="12"/>
        <v>1</v>
      </c>
      <c r="AP38" s="63" cm="1">
        <f t="array" ref="AP38">INDEX(FX_Vap,$KJ38,AP$91)</f>
        <v>0</v>
      </c>
      <c r="AQ38" s="63" cm="1">
        <f t="array" ref="AQ38">INDEX(FX_Temps,$KD38,AQ$89)+459.6</f>
        <v>504.30000000000007</v>
      </c>
      <c r="AR38" s="63">
        <f t="shared" si="13"/>
        <v>0</v>
      </c>
      <c r="AS38" s="63" cm="1">
        <f t="array" ref="AS38">INDEX(Month_Ref,AS$83,3)*AN38*(PI()/4*$F38^2)*$H38*AO38*AR38</f>
        <v>0</v>
      </c>
      <c r="AT38" s="63" cm="1">
        <f t="array" ref="AT38">INDEX(FX_Input,$KB38,AT$85)</f>
        <v>0</v>
      </c>
      <c r="AU38" s="63">
        <f t="shared" si="14"/>
        <v>0</v>
      </c>
      <c r="AV38" s="63">
        <f t="shared" si="15"/>
        <v>0</v>
      </c>
      <c r="AW38" s="63">
        <f t="shared" si="16"/>
        <v>1</v>
      </c>
      <c r="AX38" s="63" cm="1">
        <f t="array" ref="AX38">IF(OR(INDEX(FX_Vap,$KK38,AX$90)="Crude Oil",(INDEX(FX_Vap,$KL38,AX$90)="Crude Oil")),0.75,1)</f>
        <v>1</v>
      </c>
      <c r="AY38" s="63">
        <f t="shared" si="109"/>
        <v>1</v>
      </c>
      <c r="AZ38" s="63">
        <f t="shared" si="17"/>
        <v>0</v>
      </c>
      <c r="BA38" s="64">
        <f t="shared" si="18"/>
        <v>0</v>
      </c>
      <c r="BB38" s="80" t="str" cm="1">
        <f t="array" ref="BB38">IF(ISBLANK(INDEX(FX_Input,$KB38+1,BB$85)),INDEX(FX_Input,$KB38,BB$85),INDEX(FX_Input,$KB38,BB$85)&amp;" &amp; "&amp;INDEX(FX_Input,$KB38+1,BB$85))</f>
        <v>Out of Service</v>
      </c>
      <c r="BC38" s="63" cm="1">
        <f t="array" ref="BC38">INDEX(FX_Temps,$KC38+7,BC$89)</f>
        <v>0</v>
      </c>
      <c r="BD38" s="63" cm="1">
        <f t="array" ref="BD38">INDEX(FX_Temps,$KC38+13,BD$89)+459.6</f>
        <v>505.70000000000005</v>
      </c>
      <c r="BE38" s="63" cm="1">
        <f t="array" ref="BE38">INDEX(FX_Vap,$KG38,BE$91)-INDEX(FX_Vap,$KH38,BE$91)</f>
        <v>0</v>
      </c>
      <c r="BF38" s="73" cm="1">
        <f t="array" ref="BF38">IF(BB38="Out of Service",0,INDEX(FX_Vap,$KI38,BF$91))</f>
        <v>0</v>
      </c>
      <c r="BG38" s="63">
        <f t="shared" si="19"/>
        <v>0</v>
      </c>
      <c r="BH38" s="63">
        <f t="shared" si="20"/>
        <v>1</v>
      </c>
      <c r="BI38" s="63" cm="1">
        <f t="array" ref="BI38">INDEX(FX_Vap,$KJ38,BI$91)</f>
        <v>0</v>
      </c>
      <c r="BJ38" s="63" cm="1">
        <f t="array" ref="BJ38">INDEX(FX_Temps,$KD38,BJ$89)+459.6</f>
        <v>505.70000000000005</v>
      </c>
      <c r="BK38" s="63">
        <f t="shared" si="21"/>
        <v>0</v>
      </c>
      <c r="BL38" s="63" cm="1">
        <f t="array" ref="BL38">INDEX(Month_Ref,BL$83,3)*BG38*(PI()/4*$F38^2)*$H38*BH38*BK38</f>
        <v>0</v>
      </c>
      <c r="BM38" s="63" cm="1">
        <f t="array" ref="BM38">INDEX(FX_Input,$KB38,BM$85)</f>
        <v>0</v>
      </c>
      <c r="BN38" s="63">
        <f t="shared" si="22"/>
        <v>0</v>
      </c>
      <c r="BO38" s="63">
        <f t="shared" si="23"/>
        <v>0</v>
      </c>
      <c r="BP38" s="63">
        <f t="shared" si="24"/>
        <v>1</v>
      </c>
      <c r="BQ38" s="63" cm="1">
        <f t="array" ref="BQ38">IF(OR(INDEX(FX_Vap,$KK38,BQ$90)="Crude Oil",(INDEX(FX_Vap,$KL38,BQ$90)="Crude Oil")),0.75,1)</f>
        <v>1</v>
      </c>
      <c r="BR38" s="63">
        <f t="shared" si="110"/>
        <v>1</v>
      </c>
      <c r="BS38" s="63">
        <f t="shared" si="25"/>
        <v>0</v>
      </c>
      <c r="BT38" s="64">
        <f t="shared" si="26"/>
        <v>0</v>
      </c>
      <c r="BU38" s="80" t="str" cm="1">
        <f t="array" ref="BU38">IF(ISBLANK(INDEX(FX_Input,$KB38+1,BU$85)),INDEX(FX_Input,$KB38,BU$85),INDEX(FX_Input,$KB38,BU$85)&amp;" &amp; "&amp;INDEX(FX_Input,$KB38+1,BU$85))</f>
        <v>Out of Service</v>
      </c>
      <c r="BV38" s="63" cm="1">
        <f t="array" ref="BV38">INDEX(FX_Temps,$KC38+7,BV$89)</f>
        <v>0</v>
      </c>
      <c r="BW38" s="63" cm="1">
        <f t="array" ref="BW38">INDEX(FX_Temps,$KC38+13,BW$89)+459.6</f>
        <v>508.2</v>
      </c>
      <c r="BX38" s="63" cm="1">
        <f t="array" ref="BX38">INDEX(FX_Vap,$KG38,BX$91)-INDEX(FX_Vap,$KH38,BX$91)</f>
        <v>0</v>
      </c>
      <c r="BY38" s="73" cm="1">
        <f t="array" ref="BY38">IF(BU38="Out of Service",0,INDEX(FX_Vap,$KI38,BY$91))</f>
        <v>0</v>
      </c>
      <c r="BZ38" s="63">
        <f t="shared" si="27"/>
        <v>0</v>
      </c>
      <c r="CA38" s="63">
        <f t="shared" si="28"/>
        <v>1</v>
      </c>
      <c r="CB38" s="63" cm="1">
        <f t="array" ref="CB38">INDEX(FX_Vap,$KJ38,CB$91)</f>
        <v>0</v>
      </c>
      <c r="CC38" s="63" cm="1">
        <f t="array" ref="CC38">INDEX(FX_Temps,$KD38,CC$89)+459.6</f>
        <v>508.2</v>
      </c>
      <c r="CD38" s="63">
        <f t="shared" si="29"/>
        <v>0</v>
      </c>
      <c r="CE38" s="63" cm="1">
        <f t="array" ref="CE38">INDEX(Month_Ref,CE$83,3)*BZ38*(PI()/4*$F38^2)*$H38*CA38*CD38</f>
        <v>0</v>
      </c>
      <c r="CF38" s="63" cm="1">
        <f t="array" ref="CF38">INDEX(FX_Input,$KB38,CF$85)</f>
        <v>0</v>
      </c>
      <c r="CG38" s="63">
        <f t="shared" si="30"/>
        <v>0</v>
      </c>
      <c r="CH38" s="63">
        <f t="shared" si="31"/>
        <v>0</v>
      </c>
      <c r="CI38" s="63">
        <f t="shared" si="32"/>
        <v>1</v>
      </c>
      <c r="CJ38" s="63" cm="1">
        <f t="array" ref="CJ38">IF(OR(INDEX(FX_Vap,$KK38,CJ$90)="Crude Oil",(INDEX(FX_Vap,$KL38,CJ$90)="Crude Oil")),0.75,1)</f>
        <v>1</v>
      </c>
      <c r="CK38" s="63">
        <f t="shared" si="111"/>
        <v>1</v>
      </c>
      <c r="CL38" s="63">
        <f t="shared" si="33"/>
        <v>0</v>
      </c>
      <c r="CM38" s="64">
        <f t="shared" si="34"/>
        <v>0</v>
      </c>
      <c r="CN38" s="80" t="str" cm="1">
        <f t="array" ref="CN38">IF(ISBLANK(INDEX(FX_Input,$KB38+1,CN$85)),INDEX(FX_Input,$KB38,CN$85),INDEX(FX_Input,$KB38,CN$85)&amp;" &amp; "&amp;INDEX(FX_Input,$KB38+1,CN$85))</f>
        <v>Out of Service</v>
      </c>
      <c r="CO38" s="63" cm="1">
        <f t="array" ref="CO38">INDEX(FX_Temps,$KC38+7,CO$89)</f>
        <v>0</v>
      </c>
      <c r="CP38" s="63" cm="1">
        <f t="array" ref="CP38">INDEX(FX_Temps,$KC38+13,CP$89)+459.6</f>
        <v>512.75</v>
      </c>
      <c r="CQ38" s="63" cm="1">
        <f t="array" ref="CQ38">INDEX(FX_Vap,$KG38,CQ$91)-INDEX(FX_Vap,$KH38,CQ$91)</f>
        <v>0</v>
      </c>
      <c r="CR38" s="73" cm="1">
        <f t="array" ref="CR38">IF(CN38="Out of Service",0,INDEX(FX_Vap,$KI38,CR$91))</f>
        <v>0</v>
      </c>
      <c r="CS38" s="63">
        <f t="shared" si="35"/>
        <v>0</v>
      </c>
      <c r="CT38" s="63">
        <f t="shared" si="36"/>
        <v>1</v>
      </c>
      <c r="CU38" s="63" cm="1">
        <f t="array" ref="CU38">INDEX(FX_Vap,$KJ38,CU$91)</f>
        <v>0</v>
      </c>
      <c r="CV38" s="63" cm="1">
        <f t="array" ref="CV38">INDEX(FX_Temps,$KD38,CV$89)+459.6</f>
        <v>512.75</v>
      </c>
      <c r="CW38" s="63">
        <f t="shared" si="37"/>
        <v>0</v>
      </c>
      <c r="CX38" s="63" cm="1">
        <f t="array" ref="CX38">INDEX(Month_Ref,CX$83,3)*CS38*(PI()/4*$F38^2)*$H38*CT38*CW38</f>
        <v>0</v>
      </c>
      <c r="CY38" s="63" cm="1">
        <f t="array" ref="CY38">INDEX(FX_Input,$KB38,CY$85)</f>
        <v>0</v>
      </c>
      <c r="CZ38" s="63">
        <f t="shared" si="38"/>
        <v>0</v>
      </c>
      <c r="DA38" s="63">
        <f t="shared" si="39"/>
        <v>0</v>
      </c>
      <c r="DB38" s="63">
        <f t="shared" si="40"/>
        <v>1</v>
      </c>
      <c r="DC38" s="63" cm="1">
        <f t="array" ref="DC38">IF(OR(INDEX(FX_Vap,$KK38,DC$90)="Crude Oil",(INDEX(FX_Vap,$KL38,DC$90)="Crude Oil")),0.75,1)</f>
        <v>1</v>
      </c>
      <c r="DD38" s="63">
        <f t="shared" si="112"/>
        <v>1</v>
      </c>
      <c r="DE38" s="63">
        <f t="shared" si="41"/>
        <v>0</v>
      </c>
      <c r="DF38" s="64">
        <f t="shared" si="42"/>
        <v>0</v>
      </c>
      <c r="DG38" s="80" t="str" cm="1">
        <f t="array" ref="DG38">IF(ISBLANK(INDEX(FX_Input,$KB38+1,DG$85)),INDEX(FX_Input,$KB38,DG$85),INDEX(FX_Input,$KB38,DG$85)&amp;" &amp; "&amp;INDEX(FX_Input,$KB38+1,DG$85))</f>
        <v>Out of Service</v>
      </c>
      <c r="DH38" s="63" cm="1">
        <f t="array" ref="DH38">INDEX(FX_Temps,$KC38+7,DH$89)</f>
        <v>0</v>
      </c>
      <c r="DI38" s="63" cm="1">
        <f t="array" ref="DI38">INDEX(FX_Temps,$KC38+13,DI$89)+459.6</f>
        <v>516.55000000000007</v>
      </c>
      <c r="DJ38" s="63" cm="1">
        <f t="array" ref="DJ38">INDEX(FX_Vap,$KG38,DJ$91)-INDEX(FX_Vap,$KH38,DJ$91)</f>
        <v>0</v>
      </c>
      <c r="DK38" s="73" cm="1">
        <f t="array" ref="DK38">IF(DG38="Out of Service",0,INDEX(FX_Vap,$KI38,DK$91))</f>
        <v>0</v>
      </c>
      <c r="DL38" s="63">
        <f t="shared" si="43"/>
        <v>0</v>
      </c>
      <c r="DM38" s="63">
        <f t="shared" si="44"/>
        <v>1</v>
      </c>
      <c r="DN38" s="63" cm="1">
        <f t="array" ref="DN38">INDEX(FX_Vap,$KJ38,DN$91)</f>
        <v>0</v>
      </c>
      <c r="DO38" s="63" cm="1">
        <f t="array" ref="DO38">INDEX(FX_Temps,$KD38,DO$89)+459.6</f>
        <v>516.55000000000007</v>
      </c>
      <c r="DP38" s="63">
        <f t="shared" si="45"/>
        <v>0</v>
      </c>
      <c r="DQ38" s="63" cm="1">
        <f t="array" ref="DQ38">INDEX(Month_Ref,DQ$83,3)*DL38*(PI()/4*$F38^2)*$H38*DM38*DP38</f>
        <v>0</v>
      </c>
      <c r="DR38" s="63" cm="1">
        <f t="array" ref="DR38">INDEX(FX_Input,$KB38,DR$85)</f>
        <v>0</v>
      </c>
      <c r="DS38" s="63">
        <f t="shared" si="46"/>
        <v>0</v>
      </c>
      <c r="DT38" s="63">
        <f t="shared" si="47"/>
        <v>0</v>
      </c>
      <c r="DU38" s="63">
        <f t="shared" si="48"/>
        <v>1</v>
      </c>
      <c r="DV38" s="63" cm="1">
        <f t="array" ref="DV38">IF(OR(INDEX(FX_Vap,$KK38,DV$90)="Crude Oil",(INDEX(FX_Vap,$KL38,DV$90)="Crude Oil")),0.75,1)</f>
        <v>1</v>
      </c>
      <c r="DW38" s="63">
        <f t="shared" si="113"/>
        <v>1</v>
      </c>
      <c r="DX38" s="63">
        <f t="shared" si="49"/>
        <v>0</v>
      </c>
      <c r="DY38" s="64">
        <f t="shared" si="50"/>
        <v>0</v>
      </c>
      <c r="DZ38" s="80" t="str" cm="1">
        <f t="array" ref="DZ38">IF(ISBLANK(INDEX(FX_Input,$KB38+1,DZ$85)),INDEX(FX_Input,$KB38,DZ$85),INDEX(FX_Input,$KB38,DZ$85)&amp;" &amp; "&amp;INDEX(FX_Input,$KB38+1,DZ$85))</f>
        <v>Out of Service</v>
      </c>
      <c r="EA38" s="63" cm="1">
        <f t="array" ref="EA38">INDEX(FX_Temps,$KC38+7,EA$89)</f>
        <v>0</v>
      </c>
      <c r="EB38" s="63" cm="1">
        <f t="array" ref="EB38">INDEX(FX_Temps,$KC38+13,EB$89)+459.6</f>
        <v>520.04999999999995</v>
      </c>
      <c r="EC38" s="63" cm="1">
        <f t="array" ref="EC38">INDEX(FX_Vap,$KG38,EC$91)-INDEX(FX_Vap,$KH38,EC$91)</f>
        <v>0</v>
      </c>
      <c r="ED38" s="73" cm="1">
        <f t="array" ref="ED38">IF(DZ38="Out of Service",0,INDEX(FX_Vap,$KI38,ED$91))</f>
        <v>0</v>
      </c>
      <c r="EE38" s="63">
        <f t="shared" si="51"/>
        <v>0</v>
      </c>
      <c r="EF38" s="63">
        <f t="shared" si="52"/>
        <v>1</v>
      </c>
      <c r="EG38" s="63" cm="1">
        <f t="array" ref="EG38">INDEX(FX_Vap,$KJ38,EG$91)</f>
        <v>0</v>
      </c>
      <c r="EH38" s="63" cm="1">
        <f t="array" ref="EH38">INDEX(FX_Temps,$KD38,EH$89)+459.6</f>
        <v>520.04999999999995</v>
      </c>
      <c r="EI38" s="63">
        <f t="shared" si="53"/>
        <v>0</v>
      </c>
      <c r="EJ38" s="63" cm="1">
        <f t="array" ref="EJ38">INDEX(Month_Ref,EJ$83,3)*EE38*(PI()/4*$F38^2)*$H38*EF38*EI38</f>
        <v>0</v>
      </c>
      <c r="EK38" s="63" cm="1">
        <f t="array" ref="EK38">INDEX(FX_Input,$KB38,EK$85)</f>
        <v>0</v>
      </c>
      <c r="EL38" s="63">
        <f t="shared" si="54"/>
        <v>0</v>
      </c>
      <c r="EM38" s="63">
        <f t="shared" si="55"/>
        <v>0</v>
      </c>
      <c r="EN38" s="63">
        <f t="shared" si="56"/>
        <v>1</v>
      </c>
      <c r="EO38" s="63" cm="1">
        <f t="array" ref="EO38">IF(OR(INDEX(FX_Vap,$KK38,EO$90)="Crude Oil",(INDEX(FX_Vap,$KL38,EO$90)="Crude Oil")),0.75,1)</f>
        <v>1</v>
      </c>
      <c r="EP38" s="63">
        <f t="shared" si="114"/>
        <v>1</v>
      </c>
      <c r="EQ38" s="63">
        <f t="shared" si="57"/>
        <v>0</v>
      </c>
      <c r="ER38" s="64">
        <f t="shared" si="58"/>
        <v>0</v>
      </c>
      <c r="ES38" s="80" t="str" cm="1">
        <f t="array" ref="ES38">IF(ISBLANK(INDEX(FX_Input,$KB38+1,ES$85)),INDEX(FX_Input,$KB38,ES$85),INDEX(FX_Input,$KB38,ES$85)&amp;" &amp; "&amp;INDEX(FX_Input,$KB38+1,ES$85))</f>
        <v>Out of Service</v>
      </c>
      <c r="ET38" s="63" cm="1">
        <f t="array" ref="ET38">INDEX(FX_Temps,$KC38+7,ET$89)</f>
        <v>0</v>
      </c>
      <c r="EU38" s="63" cm="1">
        <f t="array" ref="EU38">INDEX(FX_Temps,$KC38+13,EU$89)+459.6</f>
        <v>520.5</v>
      </c>
      <c r="EV38" s="63" cm="1">
        <f t="array" ref="EV38">INDEX(FX_Vap,$KG38,EV$91)-INDEX(FX_Vap,$KH38,EV$91)</f>
        <v>0</v>
      </c>
      <c r="EW38" s="73" cm="1">
        <f t="array" ref="EW38">IF(ES38="Out of Service",0,INDEX(FX_Vap,$KI38,EW$91))</f>
        <v>0</v>
      </c>
      <c r="EX38" s="63">
        <f t="shared" si="59"/>
        <v>0</v>
      </c>
      <c r="EY38" s="63">
        <f t="shared" si="60"/>
        <v>1</v>
      </c>
      <c r="EZ38" s="63" cm="1">
        <f t="array" ref="EZ38">INDEX(FX_Vap,$KJ38,EZ$91)</f>
        <v>0</v>
      </c>
      <c r="FA38" s="63" cm="1">
        <f t="array" ref="FA38">INDEX(FX_Temps,$KD38,FA$89)+459.6</f>
        <v>520.5</v>
      </c>
      <c r="FB38" s="63">
        <f t="shared" si="61"/>
        <v>0</v>
      </c>
      <c r="FC38" s="63" cm="1">
        <f t="array" ref="FC38">INDEX(Month_Ref,FC$83,3)*EX38*(PI()/4*$F38^2)*$H38*EY38*FB38</f>
        <v>0</v>
      </c>
      <c r="FD38" s="63" cm="1">
        <f t="array" ref="FD38">INDEX(FX_Input,$KB38,FD$85)</f>
        <v>0</v>
      </c>
      <c r="FE38" s="63">
        <f t="shared" si="62"/>
        <v>0</v>
      </c>
      <c r="FF38" s="63">
        <f t="shared" si="63"/>
        <v>0</v>
      </c>
      <c r="FG38" s="63">
        <f t="shared" si="64"/>
        <v>1</v>
      </c>
      <c r="FH38" s="63" cm="1">
        <f t="array" ref="FH38">IF(OR(INDEX(FX_Vap,$KK38,FH$90)="Crude Oil",(INDEX(FX_Vap,$KL38,FH$90)="Crude Oil")),0.75,1)</f>
        <v>1</v>
      </c>
      <c r="FI38" s="63">
        <f t="shared" si="115"/>
        <v>1</v>
      </c>
      <c r="FJ38" s="63">
        <f t="shared" si="65"/>
        <v>0</v>
      </c>
      <c r="FK38" s="64">
        <f t="shared" si="66"/>
        <v>0</v>
      </c>
      <c r="FL38" s="80" t="str" cm="1">
        <f t="array" ref="FL38">IF(ISBLANK(INDEX(FX_Input,$KB38+1,FL$85)),INDEX(FX_Input,$KB38,FL$85),INDEX(FX_Input,$KB38,FL$85)&amp;" &amp; "&amp;INDEX(FX_Input,$KB38+1,FL$85))</f>
        <v>Out of Service</v>
      </c>
      <c r="FM38" s="63" cm="1">
        <f t="array" ref="FM38">INDEX(FX_Temps,$KC38+7,FM$89)</f>
        <v>0</v>
      </c>
      <c r="FN38" s="63" cm="1">
        <f t="array" ref="FN38">INDEX(FX_Temps,$KC38+13,FN$89)+459.6</f>
        <v>518.20000000000005</v>
      </c>
      <c r="FO38" s="63" cm="1">
        <f t="array" ref="FO38">INDEX(FX_Vap,$KG38,FO$91)-INDEX(FX_Vap,$KH38,FO$91)</f>
        <v>0</v>
      </c>
      <c r="FP38" s="73" cm="1">
        <f t="array" ref="FP38">IF(FL38="Out of Service",0,INDEX(FX_Vap,$KI38,FP$91))</f>
        <v>0</v>
      </c>
      <c r="FQ38" s="63">
        <f t="shared" si="67"/>
        <v>0</v>
      </c>
      <c r="FR38" s="63">
        <f t="shared" si="68"/>
        <v>1</v>
      </c>
      <c r="FS38" s="63" cm="1">
        <f t="array" ref="FS38">INDEX(FX_Vap,$KJ38,FS$91)</f>
        <v>0</v>
      </c>
      <c r="FT38" s="63" cm="1">
        <f t="array" ref="FT38">INDEX(FX_Temps,$KD38,FT$89)+459.6</f>
        <v>518.20000000000005</v>
      </c>
      <c r="FU38" s="63">
        <f t="shared" si="69"/>
        <v>0</v>
      </c>
      <c r="FV38" s="63" cm="1">
        <f t="array" ref="FV38">INDEX(Month_Ref,FV$83,3)*FQ38*(PI()/4*$F38^2)*$H38*FR38*FU38</f>
        <v>0</v>
      </c>
      <c r="FW38" s="63" cm="1">
        <f t="array" ref="FW38">INDEX(FX_Input,$KB38,FW$85)</f>
        <v>0</v>
      </c>
      <c r="FX38" s="63">
        <f t="shared" si="70"/>
        <v>0</v>
      </c>
      <c r="FY38" s="63">
        <f t="shared" si="71"/>
        <v>0</v>
      </c>
      <c r="FZ38" s="63">
        <f t="shared" si="72"/>
        <v>1</v>
      </c>
      <c r="GA38" s="63" cm="1">
        <f t="array" ref="GA38">IF(OR(INDEX(FX_Vap,$KK38,GA$90)="Crude Oil",(INDEX(FX_Vap,$KL38,GA$90)="Crude Oil")),0.75,1)</f>
        <v>1</v>
      </c>
      <c r="GB38" s="63">
        <f t="shared" si="116"/>
        <v>1</v>
      </c>
      <c r="GC38" s="63">
        <f t="shared" si="73"/>
        <v>0</v>
      </c>
      <c r="GD38" s="64">
        <f t="shared" si="74"/>
        <v>0</v>
      </c>
      <c r="GE38" s="80" t="str" cm="1">
        <f t="array" ref="GE38">IF(ISBLANK(INDEX(FX_Input,$KB38+1,GE$85)),INDEX(FX_Input,$KB38,GE$85),INDEX(FX_Input,$KB38,GE$85)&amp;" &amp; "&amp;INDEX(FX_Input,$KB38+1,GE$85))</f>
        <v>Out of Service</v>
      </c>
      <c r="GF38" s="63" cm="1">
        <f t="array" ref="GF38">INDEX(FX_Temps,$KC38+7,GF$89)</f>
        <v>0</v>
      </c>
      <c r="GG38" s="63" cm="1">
        <f t="array" ref="GG38">INDEX(FX_Temps,$KC38+13,GG$89)+459.6</f>
        <v>512.25</v>
      </c>
      <c r="GH38" s="63" cm="1">
        <f t="array" ref="GH38">INDEX(FX_Vap,$KG38,GH$91)-INDEX(FX_Vap,$KH38,GH$91)</f>
        <v>0</v>
      </c>
      <c r="GI38" s="73" cm="1">
        <f t="array" ref="GI38">IF(GE38="Out of Service",0,INDEX(FX_Vap,$KI38,GI$91))</f>
        <v>0</v>
      </c>
      <c r="GJ38" s="63">
        <f t="shared" si="75"/>
        <v>0</v>
      </c>
      <c r="GK38" s="63">
        <f t="shared" si="76"/>
        <v>1</v>
      </c>
      <c r="GL38" s="63" cm="1">
        <f t="array" ref="GL38">INDEX(FX_Vap,$KJ38,GL$91)</f>
        <v>0</v>
      </c>
      <c r="GM38" s="63" cm="1">
        <f t="array" ref="GM38">INDEX(FX_Temps,$KD38,GM$89)+459.6</f>
        <v>512.25</v>
      </c>
      <c r="GN38" s="63">
        <f t="shared" si="77"/>
        <v>0</v>
      </c>
      <c r="GO38" s="63" cm="1">
        <f t="array" ref="GO38">INDEX(Month_Ref,GO$83,3)*GJ38*(PI()/4*$F38^2)*$H38*GK38*GN38</f>
        <v>0</v>
      </c>
      <c r="GP38" s="63" cm="1">
        <f t="array" ref="GP38">INDEX(FX_Input,$KB38,GP$85)</f>
        <v>0</v>
      </c>
      <c r="GQ38" s="63">
        <f t="shared" si="78"/>
        <v>0</v>
      </c>
      <c r="GR38" s="63">
        <f t="shared" si="79"/>
        <v>0</v>
      </c>
      <c r="GS38" s="63">
        <f t="shared" si="80"/>
        <v>1</v>
      </c>
      <c r="GT38" s="63" cm="1">
        <f t="array" ref="GT38">IF(OR(INDEX(FX_Vap,$KK38,GT$90)="Crude Oil",(INDEX(FX_Vap,$KL38,GT$90)="Crude Oil")),0.75,1)</f>
        <v>1</v>
      </c>
      <c r="GU38" s="63">
        <f t="shared" si="117"/>
        <v>1</v>
      </c>
      <c r="GV38" s="63">
        <f t="shared" si="81"/>
        <v>0</v>
      </c>
      <c r="GW38" s="64">
        <f t="shared" si="82"/>
        <v>0</v>
      </c>
      <c r="GX38" s="80" t="str" cm="1">
        <f t="array" ref="GX38">IF(ISBLANK(INDEX(FX_Input,$KB38+1,GX$85)),INDEX(FX_Input,$KB38,GX$85),INDEX(FX_Input,$KB38,GX$85)&amp;" &amp; "&amp;INDEX(FX_Input,$KB38+1,GX$85))</f>
        <v>Out of Service</v>
      </c>
      <c r="GY38" s="63" cm="1">
        <f t="array" ref="GY38">INDEX(FX_Temps,$KC38+7,GY$89)</f>
        <v>0</v>
      </c>
      <c r="GZ38" s="63" cm="1">
        <f t="array" ref="GZ38">INDEX(FX_Temps,$KC38+13,GZ$89)+459.6</f>
        <v>506.70000000000005</v>
      </c>
      <c r="HA38" s="63" cm="1">
        <f t="array" ref="HA38">INDEX(FX_Vap,$KG38,HA$91)-INDEX(FX_Vap,$KH38,HA$91)</f>
        <v>0</v>
      </c>
      <c r="HB38" s="73" cm="1">
        <f t="array" ref="HB38">IF(GX38="Out of Service",0,INDEX(FX_Vap,$KI38,HB$91))</f>
        <v>0</v>
      </c>
      <c r="HC38" s="63">
        <f t="shared" si="83"/>
        <v>0</v>
      </c>
      <c r="HD38" s="63">
        <f t="shared" si="84"/>
        <v>1</v>
      </c>
      <c r="HE38" s="63" cm="1">
        <f t="array" ref="HE38">INDEX(FX_Vap,$KJ38,HE$91)</f>
        <v>0</v>
      </c>
      <c r="HF38" s="63" cm="1">
        <f t="array" ref="HF38">INDEX(FX_Temps,$KD38,HF$89)+459.6</f>
        <v>506.70000000000005</v>
      </c>
      <c r="HG38" s="63">
        <f t="shared" si="85"/>
        <v>0</v>
      </c>
      <c r="HH38" s="63" cm="1">
        <f t="array" ref="HH38">INDEX(Month_Ref,HH$83,3)*HC38*(PI()/4*$F38^2)*$H38*HD38*HG38</f>
        <v>0</v>
      </c>
      <c r="HI38" s="63" cm="1">
        <f t="array" ref="HI38">INDEX(FX_Input,$KB38,HI$85)</f>
        <v>0</v>
      </c>
      <c r="HJ38" s="63">
        <f t="shared" si="86"/>
        <v>0</v>
      </c>
      <c r="HK38" s="63">
        <f t="shared" si="87"/>
        <v>0</v>
      </c>
      <c r="HL38" s="63">
        <f t="shared" si="88"/>
        <v>1</v>
      </c>
      <c r="HM38" s="63" cm="1">
        <f t="array" ref="HM38">IF(OR(INDEX(FX_Vap,$KK38,HM$90)="Crude Oil",(INDEX(FX_Vap,$KL38,HM$90)="Crude Oil")),0.75,1)</f>
        <v>1</v>
      </c>
      <c r="HN38" s="63">
        <f t="shared" si="118"/>
        <v>1</v>
      </c>
      <c r="HO38" s="63">
        <f t="shared" si="89"/>
        <v>0</v>
      </c>
      <c r="HP38" s="64">
        <f t="shared" si="90"/>
        <v>0</v>
      </c>
      <c r="HQ38" s="80" t="str" cm="1">
        <f t="array" ref="HQ38">IF(ISBLANK(INDEX(FX_Input,$KB38+1,HQ$85)),INDEX(FX_Input,$KB38,HQ$85),INDEX(FX_Input,$KB38,HQ$85)&amp;" &amp; "&amp;INDEX(FX_Input,$KB38+1,HQ$85))</f>
        <v>Out of Service</v>
      </c>
      <c r="HR38" s="63" cm="1">
        <f t="array" ref="HR38">INDEX(FX_Temps,$KC38+7,HR$89)</f>
        <v>0</v>
      </c>
      <c r="HS38" s="63" cm="1">
        <f t="array" ref="HS38">INDEX(FX_Temps,$KC38+13,HS$89)+459.6</f>
        <v>503.20000000000005</v>
      </c>
      <c r="HT38" s="63" cm="1">
        <f t="array" ref="HT38">INDEX(FX_Vap,$KG38,HT$91)-INDEX(FX_Vap,$KH38,HT$91)</f>
        <v>0</v>
      </c>
      <c r="HU38" s="73" cm="1">
        <f t="array" ref="HU38">IF(HQ38="Out of Service",0,INDEX(FX_Vap,$KI38,HU$91))</f>
        <v>0</v>
      </c>
      <c r="HV38" s="63">
        <f t="shared" si="91"/>
        <v>0</v>
      </c>
      <c r="HW38" s="63">
        <f t="shared" si="92"/>
        <v>1</v>
      </c>
      <c r="HX38" s="63" cm="1">
        <f t="array" ref="HX38">INDEX(FX_Vap,$KJ38,HX$91)</f>
        <v>0</v>
      </c>
      <c r="HY38" s="63" cm="1">
        <f t="array" ref="HY38">INDEX(FX_Temps,$KD38,HY$89)+459.6</f>
        <v>503.20000000000005</v>
      </c>
      <c r="HZ38" s="63">
        <f t="shared" si="93"/>
        <v>0</v>
      </c>
      <c r="IA38" s="63" cm="1">
        <f t="array" ref="IA38">INDEX(Month_Ref,IA$83,3)*HV38*(PI()/4*$F38^2)*$H38*HW38*HZ38</f>
        <v>0</v>
      </c>
      <c r="IB38" s="63" cm="1">
        <f t="array" ref="IB38">INDEX(FX_Input,$KB38,IB$85)</f>
        <v>0</v>
      </c>
      <c r="IC38" s="63">
        <f t="shared" si="94"/>
        <v>0</v>
      </c>
      <c r="ID38" s="63">
        <f t="shared" si="95"/>
        <v>0</v>
      </c>
      <c r="IE38" s="63">
        <f t="shared" si="96"/>
        <v>1</v>
      </c>
      <c r="IF38" s="63" cm="1">
        <f t="array" ref="IF38">IF(OR(INDEX(FX_Vap,$KK38,IF$90)="Crude Oil",(INDEX(FX_Vap,$KL38,IF$90)="Crude Oil")),0.75,1)</f>
        <v>1</v>
      </c>
      <c r="IG38" s="63">
        <f t="shared" si="119"/>
        <v>1</v>
      </c>
      <c r="IH38" s="63">
        <f t="shared" si="97"/>
        <v>0</v>
      </c>
      <c r="II38" s="64">
        <f t="shared" si="98"/>
        <v>0</v>
      </c>
      <c r="IJ38" s="80">
        <f t="shared" si="99"/>
        <v>0</v>
      </c>
      <c r="IK38" s="63">
        <f t="shared" si="100"/>
        <v>0</v>
      </c>
      <c r="IL38" s="63">
        <f t="shared" si="101"/>
        <v>0</v>
      </c>
      <c r="IM38" s="63">
        <f t="shared" si="102"/>
        <v>0</v>
      </c>
      <c r="IN38" s="63">
        <f t="shared" si="103"/>
        <v>0</v>
      </c>
      <c r="IO38" s="64">
        <f t="shared" si="104"/>
        <v>0</v>
      </c>
      <c r="KB38" s="43">
        <f t="shared" si="120"/>
        <v>55</v>
      </c>
      <c r="KC38" s="43">
        <f t="shared" si="121"/>
        <v>379</v>
      </c>
      <c r="KD38" s="43">
        <f t="shared" si="122"/>
        <v>392</v>
      </c>
      <c r="KE38" s="43">
        <f t="shared" si="123"/>
        <v>379</v>
      </c>
      <c r="KF38" s="43">
        <f t="shared" si="124"/>
        <v>919</v>
      </c>
      <c r="KG38" s="43">
        <f t="shared" si="125"/>
        <v>942</v>
      </c>
      <c r="KH38" s="43">
        <f t="shared" si="126"/>
        <v>937</v>
      </c>
      <c r="KI38" s="43">
        <f t="shared" si="126"/>
        <v>947</v>
      </c>
      <c r="KJ38" s="43">
        <f t="shared" si="126"/>
        <v>952</v>
      </c>
      <c r="KK38" s="43">
        <f t="shared" si="127"/>
        <v>923</v>
      </c>
      <c r="KL38" s="43">
        <f t="shared" si="128"/>
        <v>925</v>
      </c>
    </row>
    <row r="39" spans="2:298" x14ac:dyDescent="0.4">
      <c r="B39" s="43" t="str" cm="1">
        <f t="array" ref="B39">INDEX(FX_Input,$KB39,B$85)</f>
        <v>FX - 29</v>
      </c>
      <c r="C39" s="93" t="str" cm="1">
        <f t="array" ref="C39">INDEX(FX_Input,$KB39,C$85)</f>
        <v>FIXTANK 146</v>
      </c>
      <c r="D39" s="80">
        <f t="shared" si="0"/>
        <v>3101.3409977156739</v>
      </c>
      <c r="E39" s="63" cm="1">
        <f t="array" ref="E39">IF(ISBLANK(INDEX(FX_Input,$KB39,$E$85)),0.03,INDEX(FX_Input,$KB39,$E$85))-IF(ISBLANK(INDEX(FX_Input,$KB39,$E$86)),-0.03,INDEX(FX_Input,$KB39,$E$86))</f>
        <v>0.06</v>
      </c>
      <c r="F39" s="63" cm="1">
        <f t="array" ref="F39">IF(INDEX(FX_Input,$KB39,F$85)="Vertical",INDEX(FX_Input,$KB39,F$86),SQRT((INDEX(FX_Input,$KB39,F$86)*INDEX(FX_Input,$KB39,F$87))/(PI()/4)))</f>
        <v>18</v>
      </c>
      <c r="G39" s="63" cm="1">
        <f t="array" ref="G39">IF(INDEX(FX_Input,$KB39,G$85)="Vertical",INDEX(FX_Input,$KB39,G$86),INDEX(FX_Input,$KB39,G$87)*PI()/4)</f>
        <v>24</v>
      </c>
      <c r="H39" s="63" cm="1">
        <f t="array" ref="H39">IF(INDEX(FX_Input,$KB39,H$85)="Vertical",G39-G39/2+J39,G39/2)</f>
        <v>12.1875</v>
      </c>
      <c r="I39" s="63" cm="1">
        <f t="array" ref="I39">IF(INDEX(FX_Input,$KB39,F$85)="Horizontal","N/A",IF(INDEX(FX_Input,$KB39,I$86)="Cone",IF(ISBLANK(INDEX(FX_Input,$KB39,I$87)),0.0625,INDEX(FX_Input,$KB39,I$87))*F39/2,F39/2-SQRT((F39/2)^2-(INDEX(FX_Input,$KB39,I$88)^2))))</f>
        <v>0.5625</v>
      </c>
      <c r="J39" s="63" cm="1">
        <f t="array" ref="J39">IF(INDEX(FX_Input,$KB39,J$85)="Horizontal","N/A",IF(INDEX(FX_Input,$KB39,J$86)="Cone",I39/3,I39*(1/2+(1/6)*(I39/(F39/2))^2)))</f>
        <v>0.1875</v>
      </c>
      <c r="K39" s="63">
        <f t="shared" si="1"/>
        <v>23</v>
      </c>
      <c r="L39" s="63">
        <v>1</v>
      </c>
      <c r="M39" s="63" t="str" cm="1">
        <f t="array" ref="M39">INDEX(Tbl_71_6,MATCH(INDEX(FX_Input,$KB39,M$85),Paint_Color,0),VLOOKUP(INDEX(FX_Input,$KB39,M$86),Paint_Cond_Column,2,FALSE))</f>
        <v>N/A</v>
      </c>
      <c r="N39" s="63" t="str" cm="1">
        <f t="array" ref="N39">INDEX(Tbl_71_6,MATCH(INDEX(FX_Input,$KB39,N$85),Paint_Color,0),VLOOKUP(INDEX(FX_Input,$KB39,N$86),Paint_Cond_Column,2,FALSE))</f>
        <v>N/A</v>
      </c>
      <c r="O39" s="64" t="str">
        <f t="shared" si="2"/>
        <v>Insulated</v>
      </c>
      <c r="P39" s="80" t="str" cm="1">
        <f t="array" ref="P39">IF(ISBLANK(INDEX(FX_Input,$KB39+1,P$85)),INDEX(FX_Input,$KB39,P$85),INDEX(FX_Input,$KB39,P$85)&amp;" &amp; "&amp;INDEX(FX_Input,$KB39+1,P$85))</f>
        <v>Out of Service</v>
      </c>
      <c r="Q39" s="63" cm="1">
        <f t="array" ref="Q39">INDEX(FX_Temps,$KC39+7,Q$89)</f>
        <v>0</v>
      </c>
      <c r="R39" s="63" cm="1">
        <f t="array" ref="R39">INDEX(FX_Temps,$KC39+13,R$89)+459.6</f>
        <v>503.5</v>
      </c>
      <c r="S39" s="63" cm="1">
        <f t="array" ref="S39">INDEX(FX_Vap,$KG39,S$91)-INDEX(FX_Vap,$KH39,S$91)</f>
        <v>0</v>
      </c>
      <c r="T39" s="73" cm="1">
        <f t="array" ref="T39">IF(P39="Out of Service",0,INDEX(FX_Vap,$KI39,T$91))</f>
        <v>0</v>
      </c>
      <c r="U39" s="63">
        <f t="shared" si="3"/>
        <v>0</v>
      </c>
      <c r="V39" s="63">
        <f t="shared" si="4"/>
        <v>1</v>
      </c>
      <c r="W39" s="63" cm="1">
        <f t="array" ref="W39">INDEX(FX_Vap,$KJ39,W$91)</f>
        <v>0</v>
      </c>
      <c r="X39" s="63" cm="1">
        <f t="array" ref="X39">INDEX(FX_Temps,$KD39,X$89)+459.6</f>
        <v>503.5</v>
      </c>
      <c r="Y39" s="63">
        <f t="shared" si="5"/>
        <v>0</v>
      </c>
      <c r="Z39" s="63" cm="1">
        <f t="array" ref="Z39">INDEX(Month_Ref,Z$83,3)*U39*(PI()/4*$F39^2)*$H39*V39*Y39</f>
        <v>0</v>
      </c>
      <c r="AA39" s="63" cm="1">
        <f t="array" ref="AA39">INDEX(FX_Input,$KB39,AA$85)</f>
        <v>0</v>
      </c>
      <c r="AB39" s="63">
        <f t="shared" si="6"/>
        <v>0</v>
      </c>
      <c r="AC39" s="63">
        <f t="shared" si="7"/>
        <v>0</v>
      </c>
      <c r="AD39" s="63">
        <f t="shared" si="8"/>
        <v>1</v>
      </c>
      <c r="AE39" s="63" cm="1">
        <f t="array" ref="AE39">IF(OR(INDEX(FX_Vap,$KK39,AE$90)="Crude Oil",(INDEX(FX_Vap,$KL39,AE$90)="Crude Oil")),0.75,1)</f>
        <v>1</v>
      </c>
      <c r="AF39" s="63">
        <f t="shared" si="108"/>
        <v>1</v>
      </c>
      <c r="AG39" s="63">
        <f t="shared" si="9"/>
        <v>0</v>
      </c>
      <c r="AH39" s="64">
        <f t="shared" si="10"/>
        <v>0</v>
      </c>
      <c r="AI39" s="80" t="str" cm="1">
        <f t="array" ref="AI39">IF(ISBLANK(INDEX(FX_Input,$KB39+1,AI$85)),INDEX(FX_Input,$KB39,AI$85),INDEX(FX_Input,$KB39,AI$85)&amp;" &amp; "&amp;INDEX(FX_Input,$KB39+1,AI$85))</f>
        <v>Out of Service</v>
      </c>
      <c r="AJ39" s="63" cm="1">
        <f t="array" ref="AJ39">INDEX(FX_Temps,$KC39+7,AJ$89)</f>
        <v>0</v>
      </c>
      <c r="AK39" s="63" cm="1">
        <f t="array" ref="AK39">INDEX(FX_Temps,$KC39+13,AK$89)+459.6</f>
        <v>504.30000000000007</v>
      </c>
      <c r="AL39" s="63" cm="1">
        <f t="array" ref="AL39">INDEX(FX_Vap,$KG39,AL$91)-INDEX(FX_Vap,$KH39,AL$91)</f>
        <v>0</v>
      </c>
      <c r="AM39" s="73" cm="1">
        <f t="array" ref="AM39">IF(AI39="Out of Service",0,INDEX(FX_Vap,$KI39,AM$91))</f>
        <v>0</v>
      </c>
      <c r="AN39" s="63">
        <f t="shared" si="11"/>
        <v>0</v>
      </c>
      <c r="AO39" s="63">
        <f t="shared" si="12"/>
        <v>1</v>
      </c>
      <c r="AP39" s="63" cm="1">
        <f t="array" ref="AP39">INDEX(FX_Vap,$KJ39,AP$91)</f>
        <v>0</v>
      </c>
      <c r="AQ39" s="63" cm="1">
        <f t="array" ref="AQ39">INDEX(FX_Temps,$KD39,AQ$89)+459.6</f>
        <v>504.30000000000007</v>
      </c>
      <c r="AR39" s="63">
        <f t="shared" si="13"/>
        <v>0</v>
      </c>
      <c r="AS39" s="63" cm="1">
        <f t="array" ref="AS39">INDEX(Month_Ref,AS$83,3)*AN39*(PI()/4*$F39^2)*$H39*AO39*AR39</f>
        <v>0</v>
      </c>
      <c r="AT39" s="63" cm="1">
        <f t="array" ref="AT39">INDEX(FX_Input,$KB39,AT$85)</f>
        <v>0</v>
      </c>
      <c r="AU39" s="63">
        <f t="shared" si="14"/>
        <v>0</v>
      </c>
      <c r="AV39" s="63">
        <f t="shared" si="15"/>
        <v>0</v>
      </c>
      <c r="AW39" s="63">
        <f t="shared" si="16"/>
        <v>1</v>
      </c>
      <c r="AX39" s="63" cm="1">
        <f t="array" ref="AX39">IF(OR(INDEX(FX_Vap,$KK39,AX$90)="Crude Oil",(INDEX(FX_Vap,$KL39,AX$90)="Crude Oil")),0.75,1)</f>
        <v>1</v>
      </c>
      <c r="AY39" s="63">
        <f t="shared" si="109"/>
        <v>1</v>
      </c>
      <c r="AZ39" s="63">
        <f t="shared" si="17"/>
        <v>0</v>
      </c>
      <c r="BA39" s="64">
        <f t="shared" si="18"/>
        <v>0</v>
      </c>
      <c r="BB39" s="80" t="str" cm="1">
        <f t="array" ref="BB39">IF(ISBLANK(INDEX(FX_Input,$KB39+1,BB$85)),INDEX(FX_Input,$KB39,BB$85),INDEX(FX_Input,$KB39,BB$85)&amp;" &amp; "&amp;INDEX(FX_Input,$KB39+1,BB$85))</f>
        <v>Out of Service</v>
      </c>
      <c r="BC39" s="63" cm="1">
        <f t="array" ref="BC39">INDEX(FX_Temps,$KC39+7,BC$89)</f>
        <v>0</v>
      </c>
      <c r="BD39" s="63" cm="1">
        <f t="array" ref="BD39">INDEX(FX_Temps,$KC39+13,BD$89)+459.6</f>
        <v>505.70000000000005</v>
      </c>
      <c r="BE39" s="63" cm="1">
        <f t="array" ref="BE39">INDEX(FX_Vap,$KG39,BE$91)-INDEX(FX_Vap,$KH39,BE$91)</f>
        <v>0</v>
      </c>
      <c r="BF39" s="73" cm="1">
        <f t="array" ref="BF39">IF(BB39="Out of Service",0,INDEX(FX_Vap,$KI39,BF$91))</f>
        <v>0</v>
      </c>
      <c r="BG39" s="63">
        <f t="shared" si="19"/>
        <v>0</v>
      </c>
      <c r="BH39" s="63">
        <f t="shared" si="20"/>
        <v>1</v>
      </c>
      <c r="BI39" s="63" cm="1">
        <f t="array" ref="BI39">INDEX(FX_Vap,$KJ39,BI$91)</f>
        <v>0</v>
      </c>
      <c r="BJ39" s="63" cm="1">
        <f t="array" ref="BJ39">INDEX(FX_Temps,$KD39,BJ$89)+459.6</f>
        <v>505.70000000000005</v>
      </c>
      <c r="BK39" s="63">
        <f t="shared" si="21"/>
        <v>0</v>
      </c>
      <c r="BL39" s="63" cm="1">
        <f t="array" ref="BL39">INDEX(Month_Ref,BL$83,3)*BG39*(PI()/4*$F39^2)*$H39*BH39*BK39</f>
        <v>0</v>
      </c>
      <c r="BM39" s="63" cm="1">
        <f t="array" ref="BM39">INDEX(FX_Input,$KB39,BM$85)</f>
        <v>0</v>
      </c>
      <c r="BN39" s="63">
        <f t="shared" si="22"/>
        <v>0</v>
      </c>
      <c r="BO39" s="63">
        <f t="shared" si="23"/>
        <v>0</v>
      </c>
      <c r="BP39" s="63">
        <f t="shared" si="24"/>
        <v>1</v>
      </c>
      <c r="BQ39" s="63" cm="1">
        <f t="array" ref="BQ39">IF(OR(INDEX(FX_Vap,$KK39,BQ$90)="Crude Oil",(INDEX(FX_Vap,$KL39,BQ$90)="Crude Oil")),0.75,1)</f>
        <v>1</v>
      </c>
      <c r="BR39" s="63">
        <f t="shared" si="110"/>
        <v>1</v>
      </c>
      <c r="BS39" s="63">
        <f t="shared" si="25"/>
        <v>0</v>
      </c>
      <c r="BT39" s="64">
        <f t="shared" si="26"/>
        <v>0</v>
      </c>
      <c r="BU39" s="80" t="str" cm="1">
        <f t="array" ref="BU39">IF(ISBLANK(INDEX(FX_Input,$KB39+1,BU$85)),INDEX(FX_Input,$KB39,BU$85),INDEX(FX_Input,$KB39,BU$85)&amp;" &amp; "&amp;INDEX(FX_Input,$KB39+1,BU$85))</f>
        <v>Out of Service</v>
      </c>
      <c r="BV39" s="63" cm="1">
        <f t="array" ref="BV39">INDEX(FX_Temps,$KC39+7,BV$89)</f>
        <v>0</v>
      </c>
      <c r="BW39" s="63" cm="1">
        <f t="array" ref="BW39">INDEX(FX_Temps,$KC39+13,BW$89)+459.6</f>
        <v>508.2</v>
      </c>
      <c r="BX39" s="63" cm="1">
        <f t="array" ref="BX39">INDEX(FX_Vap,$KG39,BX$91)-INDEX(FX_Vap,$KH39,BX$91)</f>
        <v>0</v>
      </c>
      <c r="BY39" s="73" cm="1">
        <f t="array" ref="BY39">IF(BU39="Out of Service",0,INDEX(FX_Vap,$KI39,BY$91))</f>
        <v>0</v>
      </c>
      <c r="BZ39" s="63">
        <f t="shared" si="27"/>
        <v>0</v>
      </c>
      <c r="CA39" s="63">
        <f t="shared" si="28"/>
        <v>1</v>
      </c>
      <c r="CB39" s="63" cm="1">
        <f t="array" ref="CB39">INDEX(FX_Vap,$KJ39,CB$91)</f>
        <v>0</v>
      </c>
      <c r="CC39" s="63" cm="1">
        <f t="array" ref="CC39">INDEX(FX_Temps,$KD39,CC$89)+459.6</f>
        <v>508.2</v>
      </c>
      <c r="CD39" s="63">
        <f t="shared" si="29"/>
        <v>0</v>
      </c>
      <c r="CE39" s="63" cm="1">
        <f t="array" ref="CE39">INDEX(Month_Ref,CE$83,3)*BZ39*(PI()/4*$F39^2)*$H39*CA39*CD39</f>
        <v>0</v>
      </c>
      <c r="CF39" s="63" cm="1">
        <f t="array" ref="CF39">INDEX(FX_Input,$KB39,CF$85)</f>
        <v>0</v>
      </c>
      <c r="CG39" s="63">
        <f t="shared" si="30"/>
        <v>0</v>
      </c>
      <c r="CH39" s="63">
        <f t="shared" si="31"/>
        <v>0</v>
      </c>
      <c r="CI39" s="63">
        <f t="shared" si="32"/>
        <v>1</v>
      </c>
      <c r="CJ39" s="63" cm="1">
        <f t="array" ref="CJ39">IF(OR(INDEX(FX_Vap,$KK39,CJ$90)="Crude Oil",(INDEX(FX_Vap,$KL39,CJ$90)="Crude Oil")),0.75,1)</f>
        <v>1</v>
      </c>
      <c r="CK39" s="63">
        <f t="shared" si="111"/>
        <v>1</v>
      </c>
      <c r="CL39" s="63">
        <f t="shared" si="33"/>
        <v>0</v>
      </c>
      <c r="CM39" s="64">
        <f t="shared" si="34"/>
        <v>0</v>
      </c>
      <c r="CN39" s="80" t="str" cm="1">
        <f t="array" ref="CN39">IF(ISBLANK(INDEX(FX_Input,$KB39+1,CN$85)),INDEX(FX_Input,$KB39,CN$85),INDEX(FX_Input,$KB39,CN$85)&amp;" &amp; "&amp;INDEX(FX_Input,$KB39+1,CN$85))</f>
        <v>Out of Service</v>
      </c>
      <c r="CO39" s="63" cm="1">
        <f t="array" ref="CO39">INDEX(FX_Temps,$KC39+7,CO$89)</f>
        <v>0</v>
      </c>
      <c r="CP39" s="63" cm="1">
        <f t="array" ref="CP39">INDEX(FX_Temps,$KC39+13,CP$89)+459.6</f>
        <v>512.75</v>
      </c>
      <c r="CQ39" s="63" cm="1">
        <f t="array" ref="CQ39">INDEX(FX_Vap,$KG39,CQ$91)-INDEX(FX_Vap,$KH39,CQ$91)</f>
        <v>0</v>
      </c>
      <c r="CR39" s="73" cm="1">
        <f t="array" ref="CR39">IF(CN39="Out of Service",0,INDEX(FX_Vap,$KI39,CR$91))</f>
        <v>0</v>
      </c>
      <c r="CS39" s="63">
        <f t="shared" si="35"/>
        <v>0</v>
      </c>
      <c r="CT39" s="63">
        <f t="shared" si="36"/>
        <v>1</v>
      </c>
      <c r="CU39" s="63" cm="1">
        <f t="array" ref="CU39">INDEX(FX_Vap,$KJ39,CU$91)</f>
        <v>0</v>
      </c>
      <c r="CV39" s="63" cm="1">
        <f t="array" ref="CV39">INDEX(FX_Temps,$KD39,CV$89)+459.6</f>
        <v>512.75</v>
      </c>
      <c r="CW39" s="63">
        <f t="shared" si="37"/>
        <v>0</v>
      </c>
      <c r="CX39" s="63" cm="1">
        <f t="array" ref="CX39">INDEX(Month_Ref,CX$83,3)*CS39*(PI()/4*$F39^2)*$H39*CT39*CW39</f>
        <v>0</v>
      </c>
      <c r="CY39" s="63" cm="1">
        <f t="array" ref="CY39">INDEX(FX_Input,$KB39,CY$85)</f>
        <v>0</v>
      </c>
      <c r="CZ39" s="63">
        <f t="shared" si="38"/>
        <v>0</v>
      </c>
      <c r="DA39" s="63">
        <f t="shared" si="39"/>
        <v>0</v>
      </c>
      <c r="DB39" s="63">
        <f t="shared" si="40"/>
        <v>1</v>
      </c>
      <c r="DC39" s="63" cm="1">
        <f t="array" ref="DC39">IF(OR(INDEX(FX_Vap,$KK39,DC$90)="Crude Oil",(INDEX(FX_Vap,$KL39,DC$90)="Crude Oil")),0.75,1)</f>
        <v>1</v>
      </c>
      <c r="DD39" s="63">
        <f t="shared" si="112"/>
        <v>1</v>
      </c>
      <c r="DE39" s="63">
        <f t="shared" si="41"/>
        <v>0</v>
      </c>
      <c r="DF39" s="64">
        <f t="shared" si="42"/>
        <v>0</v>
      </c>
      <c r="DG39" s="80" t="str" cm="1">
        <f t="array" ref="DG39">IF(ISBLANK(INDEX(FX_Input,$KB39+1,DG$85)),INDEX(FX_Input,$KB39,DG$85),INDEX(FX_Input,$KB39,DG$85)&amp;" &amp; "&amp;INDEX(FX_Input,$KB39+1,DG$85))</f>
        <v>Out of Service</v>
      </c>
      <c r="DH39" s="63" cm="1">
        <f t="array" ref="DH39">INDEX(FX_Temps,$KC39+7,DH$89)</f>
        <v>0</v>
      </c>
      <c r="DI39" s="63" cm="1">
        <f t="array" ref="DI39">INDEX(FX_Temps,$KC39+13,DI$89)+459.6</f>
        <v>516.55000000000007</v>
      </c>
      <c r="DJ39" s="63" cm="1">
        <f t="array" ref="DJ39">INDEX(FX_Vap,$KG39,DJ$91)-INDEX(FX_Vap,$KH39,DJ$91)</f>
        <v>0</v>
      </c>
      <c r="DK39" s="73" cm="1">
        <f t="array" ref="DK39">IF(DG39="Out of Service",0,INDEX(FX_Vap,$KI39,DK$91))</f>
        <v>0</v>
      </c>
      <c r="DL39" s="63">
        <f t="shared" si="43"/>
        <v>0</v>
      </c>
      <c r="DM39" s="63">
        <f t="shared" si="44"/>
        <v>1</v>
      </c>
      <c r="DN39" s="63" cm="1">
        <f t="array" ref="DN39">INDEX(FX_Vap,$KJ39,DN$91)</f>
        <v>0</v>
      </c>
      <c r="DO39" s="63" cm="1">
        <f t="array" ref="DO39">INDEX(FX_Temps,$KD39,DO$89)+459.6</f>
        <v>516.55000000000007</v>
      </c>
      <c r="DP39" s="63">
        <f t="shared" si="45"/>
        <v>0</v>
      </c>
      <c r="DQ39" s="63" cm="1">
        <f t="array" ref="DQ39">INDEX(Month_Ref,DQ$83,3)*DL39*(PI()/4*$F39^2)*$H39*DM39*DP39</f>
        <v>0</v>
      </c>
      <c r="DR39" s="63" cm="1">
        <f t="array" ref="DR39">INDEX(FX_Input,$KB39,DR$85)</f>
        <v>0</v>
      </c>
      <c r="DS39" s="63">
        <f t="shared" si="46"/>
        <v>0</v>
      </c>
      <c r="DT39" s="63">
        <f t="shared" si="47"/>
        <v>0</v>
      </c>
      <c r="DU39" s="63">
        <f t="shared" si="48"/>
        <v>1</v>
      </c>
      <c r="DV39" s="63" cm="1">
        <f t="array" ref="DV39">IF(OR(INDEX(FX_Vap,$KK39,DV$90)="Crude Oil",(INDEX(FX_Vap,$KL39,DV$90)="Crude Oil")),0.75,1)</f>
        <v>1</v>
      </c>
      <c r="DW39" s="63">
        <f t="shared" si="113"/>
        <v>1</v>
      </c>
      <c r="DX39" s="63">
        <f t="shared" si="49"/>
        <v>0</v>
      </c>
      <c r="DY39" s="64">
        <f t="shared" si="50"/>
        <v>0</v>
      </c>
      <c r="DZ39" s="80" t="str" cm="1">
        <f t="array" ref="DZ39">IF(ISBLANK(INDEX(FX_Input,$KB39+1,DZ$85)),INDEX(FX_Input,$KB39,DZ$85),INDEX(FX_Input,$KB39,DZ$85)&amp;" &amp; "&amp;INDEX(FX_Input,$KB39+1,DZ$85))</f>
        <v>Out of Service</v>
      </c>
      <c r="EA39" s="63" cm="1">
        <f t="array" ref="EA39">INDEX(FX_Temps,$KC39+7,EA$89)</f>
        <v>0</v>
      </c>
      <c r="EB39" s="63" cm="1">
        <f t="array" ref="EB39">INDEX(FX_Temps,$KC39+13,EB$89)+459.6</f>
        <v>520.04999999999995</v>
      </c>
      <c r="EC39" s="63" cm="1">
        <f t="array" ref="EC39">INDEX(FX_Vap,$KG39,EC$91)-INDEX(FX_Vap,$KH39,EC$91)</f>
        <v>0</v>
      </c>
      <c r="ED39" s="73" cm="1">
        <f t="array" ref="ED39">IF(DZ39="Out of Service",0,INDEX(FX_Vap,$KI39,ED$91))</f>
        <v>0</v>
      </c>
      <c r="EE39" s="63">
        <f t="shared" si="51"/>
        <v>0</v>
      </c>
      <c r="EF39" s="63">
        <f t="shared" si="52"/>
        <v>1</v>
      </c>
      <c r="EG39" s="63" cm="1">
        <f t="array" ref="EG39">INDEX(FX_Vap,$KJ39,EG$91)</f>
        <v>0</v>
      </c>
      <c r="EH39" s="63" cm="1">
        <f t="array" ref="EH39">INDEX(FX_Temps,$KD39,EH$89)+459.6</f>
        <v>520.04999999999995</v>
      </c>
      <c r="EI39" s="63">
        <f t="shared" si="53"/>
        <v>0</v>
      </c>
      <c r="EJ39" s="63" cm="1">
        <f t="array" ref="EJ39">INDEX(Month_Ref,EJ$83,3)*EE39*(PI()/4*$F39^2)*$H39*EF39*EI39</f>
        <v>0</v>
      </c>
      <c r="EK39" s="63" cm="1">
        <f t="array" ref="EK39">INDEX(FX_Input,$KB39,EK$85)</f>
        <v>0</v>
      </c>
      <c r="EL39" s="63">
        <f t="shared" si="54"/>
        <v>0</v>
      </c>
      <c r="EM39" s="63">
        <f t="shared" si="55"/>
        <v>0</v>
      </c>
      <c r="EN39" s="63">
        <f t="shared" si="56"/>
        <v>1</v>
      </c>
      <c r="EO39" s="63" cm="1">
        <f t="array" ref="EO39">IF(OR(INDEX(FX_Vap,$KK39,EO$90)="Crude Oil",(INDEX(FX_Vap,$KL39,EO$90)="Crude Oil")),0.75,1)</f>
        <v>1</v>
      </c>
      <c r="EP39" s="63">
        <f t="shared" si="114"/>
        <v>1</v>
      </c>
      <c r="EQ39" s="63">
        <f t="shared" si="57"/>
        <v>0</v>
      </c>
      <c r="ER39" s="64">
        <f t="shared" si="58"/>
        <v>0</v>
      </c>
      <c r="ES39" s="80" t="str" cm="1">
        <f t="array" ref="ES39">IF(ISBLANK(INDEX(FX_Input,$KB39+1,ES$85)),INDEX(FX_Input,$KB39,ES$85),INDEX(FX_Input,$KB39,ES$85)&amp;" &amp; "&amp;INDEX(FX_Input,$KB39+1,ES$85))</f>
        <v>Out of Service</v>
      </c>
      <c r="ET39" s="63" cm="1">
        <f t="array" ref="ET39">INDEX(FX_Temps,$KC39+7,ET$89)</f>
        <v>0</v>
      </c>
      <c r="EU39" s="63" cm="1">
        <f t="array" ref="EU39">INDEX(FX_Temps,$KC39+13,EU$89)+459.6</f>
        <v>520.5</v>
      </c>
      <c r="EV39" s="63" cm="1">
        <f t="array" ref="EV39">INDEX(FX_Vap,$KG39,EV$91)-INDEX(FX_Vap,$KH39,EV$91)</f>
        <v>0</v>
      </c>
      <c r="EW39" s="73" cm="1">
        <f t="array" ref="EW39">IF(ES39="Out of Service",0,INDEX(FX_Vap,$KI39,EW$91))</f>
        <v>0</v>
      </c>
      <c r="EX39" s="63">
        <f t="shared" si="59"/>
        <v>0</v>
      </c>
      <c r="EY39" s="63">
        <f t="shared" si="60"/>
        <v>1</v>
      </c>
      <c r="EZ39" s="63" cm="1">
        <f t="array" ref="EZ39">INDEX(FX_Vap,$KJ39,EZ$91)</f>
        <v>0</v>
      </c>
      <c r="FA39" s="63" cm="1">
        <f t="array" ref="FA39">INDEX(FX_Temps,$KD39,FA$89)+459.6</f>
        <v>520.5</v>
      </c>
      <c r="FB39" s="63">
        <f t="shared" si="61"/>
        <v>0</v>
      </c>
      <c r="FC39" s="63" cm="1">
        <f t="array" ref="FC39">INDEX(Month_Ref,FC$83,3)*EX39*(PI()/4*$F39^2)*$H39*EY39*FB39</f>
        <v>0</v>
      </c>
      <c r="FD39" s="63" cm="1">
        <f t="array" ref="FD39">INDEX(FX_Input,$KB39,FD$85)</f>
        <v>0</v>
      </c>
      <c r="FE39" s="63">
        <f t="shared" si="62"/>
        <v>0</v>
      </c>
      <c r="FF39" s="63">
        <f t="shared" si="63"/>
        <v>0</v>
      </c>
      <c r="FG39" s="63">
        <f t="shared" si="64"/>
        <v>1</v>
      </c>
      <c r="FH39" s="63" cm="1">
        <f t="array" ref="FH39">IF(OR(INDEX(FX_Vap,$KK39,FH$90)="Crude Oil",(INDEX(FX_Vap,$KL39,FH$90)="Crude Oil")),0.75,1)</f>
        <v>1</v>
      </c>
      <c r="FI39" s="63">
        <f t="shared" si="115"/>
        <v>1</v>
      </c>
      <c r="FJ39" s="63">
        <f t="shared" si="65"/>
        <v>0</v>
      </c>
      <c r="FK39" s="64">
        <f t="shared" si="66"/>
        <v>0</v>
      </c>
      <c r="FL39" s="80" t="str" cm="1">
        <f t="array" ref="FL39">IF(ISBLANK(INDEX(FX_Input,$KB39+1,FL$85)),INDEX(FX_Input,$KB39,FL$85),INDEX(FX_Input,$KB39,FL$85)&amp;" &amp; "&amp;INDEX(FX_Input,$KB39+1,FL$85))</f>
        <v>Out of Service</v>
      </c>
      <c r="FM39" s="63" cm="1">
        <f t="array" ref="FM39">INDEX(FX_Temps,$KC39+7,FM$89)</f>
        <v>0</v>
      </c>
      <c r="FN39" s="63" cm="1">
        <f t="array" ref="FN39">INDEX(FX_Temps,$KC39+13,FN$89)+459.6</f>
        <v>518.20000000000005</v>
      </c>
      <c r="FO39" s="63" cm="1">
        <f t="array" ref="FO39">INDEX(FX_Vap,$KG39,FO$91)-INDEX(FX_Vap,$KH39,FO$91)</f>
        <v>0</v>
      </c>
      <c r="FP39" s="73" cm="1">
        <f t="array" ref="FP39">IF(FL39="Out of Service",0,INDEX(FX_Vap,$KI39,FP$91))</f>
        <v>0</v>
      </c>
      <c r="FQ39" s="63">
        <f t="shared" si="67"/>
        <v>0</v>
      </c>
      <c r="FR39" s="63">
        <f t="shared" si="68"/>
        <v>1</v>
      </c>
      <c r="FS39" s="63" cm="1">
        <f t="array" ref="FS39">INDEX(FX_Vap,$KJ39,FS$91)</f>
        <v>0</v>
      </c>
      <c r="FT39" s="63" cm="1">
        <f t="array" ref="FT39">INDEX(FX_Temps,$KD39,FT$89)+459.6</f>
        <v>518.20000000000005</v>
      </c>
      <c r="FU39" s="63">
        <f t="shared" si="69"/>
        <v>0</v>
      </c>
      <c r="FV39" s="63" cm="1">
        <f t="array" ref="FV39">INDEX(Month_Ref,FV$83,3)*FQ39*(PI()/4*$F39^2)*$H39*FR39*FU39</f>
        <v>0</v>
      </c>
      <c r="FW39" s="63" cm="1">
        <f t="array" ref="FW39">INDEX(FX_Input,$KB39,FW$85)</f>
        <v>0</v>
      </c>
      <c r="FX39" s="63">
        <f t="shared" si="70"/>
        <v>0</v>
      </c>
      <c r="FY39" s="63">
        <f t="shared" si="71"/>
        <v>0</v>
      </c>
      <c r="FZ39" s="63">
        <f t="shared" si="72"/>
        <v>1</v>
      </c>
      <c r="GA39" s="63" cm="1">
        <f t="array" ref="GA39">IF(OR(INDEX(FX_Vap,$KK39,GA$90)="Crude Oil",(INDEX(FX_Vap,$KL39,GA$90)="Crude Oil")),0.75,1)</f>
        <v>1</v>
      </c>
      <c r="GB39" s="63">
        <f t="shared" si="116"/>
        <v>1</v>
      </c>
      <c r="GC39" s="63">
        <f t="shared" si="73"/>
        <v>0</v>
      </c>
      <c r="GD39" s="64">
        <f t="shared" si="74"/>
        <v>0</v>
      </c>
      <c r="GE39" s="80" t="str" cm="1">
        <f t="array" ref="GE39">IF(ISBLANK(INDEX(FX_Input,$KB39+1,GE$85)),INDEX(FX_Input,$KB39,GE$85),INDEX(FX_Input,$KB39,GE$85)&amp;" &amp; "&amp;INDEX(FX_Input,$KB39+1,GE$85))</f>
        <v>Out of Service</v>
      </c>
      <c r="GF39" s="63" cm="1">
        <f t="array" ref="GF39">INDEX(FX_Temps,$KC39+7,GF$89)</f>
        <v>0</v>
      </c>
      <c r="GG39" s="63" cm="1">
        <f t="array" ref="GG39">INDEX(FX_Temps,$KC39+13,GG$89)+459.6</f>
        <v>512.25</v>
      </c>
      <c r="GH39" s="63" cm="1">
        <f t="array" ref="GH39">INDEX(FX_Vap,$KG39,GH$91)-INDEX(FX_Vap,$KH39,GH$91)</f>
        <v>0</v>
      </c>
      <c r="GI39" s="73" cm="1">
        <f t="array" ref="GI39">IF(GE39="Out of Service",0,INDEX(FX_Vap,$KI39,GI$91))</f>
        <v>0</v>
      </c>
      <c r="GJ39" s="63">
        <f t="shared" si="75"/>
        <v>0</v>
      </c>
      <c r="GK39" s="63">
        <f t="shared" si="76"/>
        <v>1</v>
      </c>
      <c r="GL39" s="63" cm="1">
        <f t="array" ref="GL39">INDEX(FX_Vap,$KJ39,GL$91)</f>
        <v>0</v>
      </c>
      <c r="GM39" s="63" cm="1">
        <f t="array" ref="GM39">INDEX(FX_Temps,$KD39,GM$89)+459.6</f>
        <v>512.25</v>
      </c>
      <c r="GN39" s="63">
        <f t="shared" si="77"/>
        <v>0</v>
      </c>
      <c r="GO39" s="63" cm="1">
        <f t="array" ref="GO39">INDEX(Month_Ref,GO$83,3)*GJ39*(PI()/4*$F39^2)*$H39*GK39*GN39</f>
        <v>0</v>
      </c>
      <c r="GP39" s="63" cm="1">
        <f t="array" ref="GP39">INDEX(FX_Input,$KB39,GP$85)</f>
        <v>0</v>
      </c>
      <c r="GQ39" s="63">
        <f t="shared" si="78"/>
        <v>0</v>
      </c>
      <c r="GR39" s="63">
        <f t="shared" si="79"/>
        <v>0</v>
      </c>
      <c r="GS39" s="63">
        <f t="shared" si="80"/>
        <v>1</v>
      </c>
      <c r="GT39" s="63" cm="1">
        <f t="array" ref="GT39">IF(OR(INDEX(FX_Vap,$KK39,GT$90)="Crude Oil",(INDEX(FX_Vap,$KL39,GT$90)="Crude Oil")),0.75,1)</f>
        <v>1</v>
      </c>
      <c r="GU39" s="63">
        <f t="shared" si="117"/>
        <v>1</v>
      </c>
      <c r="GV39" s="63">
        <f t="shared" si="81"/>
        <v>0</v>
      </c>
      <c r="GW39" s="64">
        <f t="shared" si="82"/>
        <v>0</v>
      </c>
      <c r="GX39" s="80" t="str" cm="1">
        <f t="array" ref="GX39">IF(ISBLANK(INDEX(FX_Input,$KB39+1,GX$85)),INDEX(FX_Input,$KB39,GX$85),INDEX(FX_Input,$KB39,GX$85)&amp;" &amp; "&amp;INDEX(FX_Input,$KB39+1,GX$85))</f>
        <v>Out of Service</v>
      </c>
      <c r="GY39" s="63" cm="1">
        <f t="array" ref="GY39">INDEX(FX_Temps,$KC39+7,GY$89)</f>
        <v>0</v>
      </c>
      <c r="GZ39" s="63" cm="1">
        <f t="array" ref="GZ39">INDEX(FX_Temps,$KC39+13,GZ$89)+459.6</f>
        <v>506.70000000000005</v>
      </c>
      <c r="HA39" s="63" cm="1">
        <f t="array" ref="HA39">INDEX(FX_Vap,$KG39,HA$91)-INDEX(FX_Vap,$KH39,HA$91)</f>
        <v>0</v>
      </c>
      <c r="HB39" s="73" cm="1">
        <f t="array" ref="HB39">IF(GX39="Out of Service",0,INDEX(FX_Vap,$KI39,HB$91))</f>
        <v>0</v>
      </c>
      <c r="HC39" s="63">
        <f t="shared" si="83"/>
        <v>0</v>
      </c>
      <c r="HD39" s="63">
        <f t="shared" si="84"/>
        <v>1</v>
      </c>
      <c r="HE39" s="63" cm="1">
        <f t="array" ref="HE39">INDEX(FX_Vap,$KJ39,HE$91)</f>
        <v>0</v>
      </c>
      <c r="HF39" s="63" cm="1">
        <f t="array" ref="HF39">INDEX(FX_Temps,$KD39,HF$89)+459.6</f>
        <v>506.70000000000005</v>
      </c>
      <c r="HG39" s="63">
        <f t="shared" si="85"/>
        <v>0</v>
      </c>
      <c r="HH39" s="63" cm="1">
        <f t="array" ref="HH39">INDEX(Month_Ref,HH$83,3)*HC39*(PI()/4*$F39^2)*$H39*HD39*HG39</f>
        <v>0</v>
      </c>
      <c r="HI39" s="63" cm="1">
        <f t="array" ref="HI39">INDEX(FX_Input,$KB39,HI$85)</f>
        <v>0</v>
      </c>
      <c r="HJ39" s="63">
        <f t="shared" si="86"/>
        <v>0</v>
      </c>
      <c r="HK39" s="63">
        <f t="shared" si="87"/>
        <v>0</v>
      </c>
      <c r="HL39" s="63">
        <f t="shared" si="88"/>
        <v>1</v>
      </c>
      <c r="HM39" s="63" cm="1">
        <f t="array" ref="HM39">IF(OR(INDEX(FX_Vap,$KK39,HM$90)="Crude Oil",(INDEX(FX_Vap,$KL39,HM$90)="Crude Oil")),0.75,1)</f>
        <v>1</v>
      </c>
      <c r="HN39" s="63">
        <f t="shared" si="118"/>
        <v>1</v>
      </c>
      <c r="HO39" s="63">
        <f t="shared" si="89"/>
        <v>0</v>
      </c>
      <c r="HP39" s="64">
        <f t="shared" si="90"/>
        <v>0</v>
      </c>
      <c r="HQ39" s="80" t="str" cm="1">
        <f t="array" ref="HQ39">IF(ISBLANK(INDEX(FX_Input,$KB39+1,HQ$85)),INDEX(FX_Input,$KB39,HQ$85),INDEX(FX_Input,$KB39,HQ$85)&amp;" &amp; "&amp;INDEX(FX_Input,$KB39+1,HQ$85))</f>
        <v>Out of Service</v>
      </c>
      <c r="HR39" s="63" cm="1">
        <f t="array" ref="HR39">INDEX(FX_Temps,$KC39+7,HR$89)</f>
        <v>0</v>
      </c>
      <c r="HS39" s="63" cm="1">
        <f t="array" ref="HS39">INDEX(FX_Temps,$KC39+13,HS$89)+459.6</f>
        <v>503.20000000000005</v>
      </c>
      <c r="HT39" s="63" cm="1">
        <f t="array" ref="HT39">INDEX(FX_Vap,$KG39,HT$91)-INDEX(FX_Vap,$KH39,HT$91)</f>
        <v>0</v>
      </c>
      <c r="HU39" s="73" cm="1">
        <f t="array" ref="HU39">IF(HQ39="Out of Service",0,INDEX(FX_Vap,$KI39,HU$91))</f>
        <v>0</v>
      </c>
      <c r="HV39" s="63">
        <f t="shared" si="91"/>
        <v>0</v>
      </c>
      <c r="HW39" s="63">
        <f t="shared" si="92"/>
        <v>1</v>
      </c>
      <c r="HX39" s="63" cm="1">
        <f t="array" ref="HX39">INDEX(FX_Vap,$KJ39,HX$91)</f>
        <v>0</v>
      </c>
      <c r="HY39" s="63" cm="1">
        <f t="array" ref="HY39">INDEX(FX_Temps,$KD39,HY$89)+459.6</f>
        <v>503.20000000000005</v>
      </c>
      <c r="HZ39" s="63">
        <f t="shared" si="93"/>
        <v>0</v>
      </c>
      <c r="IA39" s="63" cm="1">
        <f t="array" ref="IA39">INDEX(Month_Ref,IA$83,3)*HV39*(PI()/4*$F39^2)*$H39*HW39*HZ39</f>
        <v>0</v>
      </c>
      <c r="IB39" s="63" cm="1">
        <f t="array" ref="IB39">INDEX(FX_Input,$KB39,IB$85)</f>
        <v>0</v>
      </c>
      <c r="IC39" s="63">
        <f t="shared" si="94"/>
        <v>0</v>
      </c>
      <c r="ID39" s="63">
        <f t="shared" si="95"/>
        <v>0</v>
      </c>
      <c r="IE39" s="63">
        <f t="shared" si="96"/>
        <v>1</v>
      </c>
      <c r="IF39" s="63" cm="1">
        <f t="array" ref="IF39">IF(OR(INDEX(FX_Vap,$KK39,IF$90)="Crude Oil",(INDEX(FX_Vap,$KL39,IF$90)="Crude Oil")),0.75,1)</f>
        <v>1</v>
      </c>
      <c r="IG39" s="63">
        <f t="shared" si="119"/>
        <v>1</v>
      </c>
      <c r="IH39" s="63">
        <f t="shared" si="97"/>
        <v>0</v>
      </c>
      <c r="II39" s="64">
        <f t="shared" si="98"/>
        <v>0</v>
      </c>
      <c r="IJ39" s="80">
        <f t="shared" si="99"/>
        <v>0</v>
      </c>
      <c r="IK39" s="63">
        <f t="shared" si="100"/>
        <v>0</v>
      </c>
      <c r="IL39" s="63">
        <f t="shared" si="101"/>
        <v>0</v>
      </c>
      <c r="IM39" s="63">
        <f t="shared" si="102"/>
        <v>0</v>
      </c>
      <c r="IN39" s="63">
        <f t="shared" si="103"/>
        <v>0</v>
      </c>
      <c r="IO39" s="64">
        <f t="shared" si="104"/>
        <v>0</v>
      </c>
      <c r="KB39" s="43">
        <f t="shared" si="120"/>
        <v>57</v>
      </c>
      <c r="KC39" s="43">
        <f t="shared" si="121"/>
        <v>393</v>
      </c>
      <c r="KD39" s="43">
        <f t="shared" si="122"/>
        <v>406</v>
      </c>
      <c r="KE39" s="43">
        <f t="shared" si="123"/>
        <v>393</v>
      </c>
      <c r="KF39" s="43">
        <f t="shared" si="124"/>
        <v>953</v>
      </c>
      <c r="KG39" s="43">
        <f t="shared" si="125"/>
        <v>976</v>
      </c>
      <c r="KH39" s="43">
        <f t="shared" si="126"/>
        <v>971</v>
      </c>
      <c r="KI39" s="43">
        <f t="shared" si="126"/>
        <v>981</v>
      </c>
      <c r="KJ39" s="43">
        <f t="shared" si="126"/>
        <v>986</v>
      </c>
      <c r="KK39" s="43">
        <f t="shared" si="127"/>
        <v>957</v>
      </c>
      <c r="KL39" s="43">
        <f t="shared" si="128"/>
        <v>959</v>
      </c>
    </row>
    <row r="40" spans="2:298" x14ac:dyDescent="0.4">
      <c r="B40" s="43" t="str" cm="1">
        <f t="array" ref="B40">INDEX(FX_Input,$KB40,B$85)</f>
        <v>FX - 30</v>
      </c>
      <c r="C40" s="93" t="str" cm="1">
        <f t="array" ref="C40">INDEX(FX_Input,$KB40,C$85)</f>
        <v>FIXTANK 147</v>
      </c>
      <c r="D40" s="80">
        <f t="shared" si="0"/>
        <v>3101.3409977156739</v>
      </c>
      <c r="E40" s="63" cm="1">
        <f t="array" ref="E40">IF(ISBLANK(INDEX(FX_Input,$KB40,$E$85)),0.03,INDEX(FX_Input,$KB40,$E$85))-IF(ISBLANK(INDEX(FX_Input,$KB40,$E$86)),-0.03,INDEX(FX_Input,$KB40,$E$86))</f>
        <v>0.06</v>
      </c>
      <c r="F40" s="63" cm="1">
        <f t="array" ref="F40">IF(INDEX(FX_Input,$KB40,F$85)="Vertical",INDEX(FX_Input,$KB40,F$86),SQRT((INDEX(FX_Input,$KB40,F$86)*INDEX(FX_Input,$KB40,F$87))/(PI()/4)))</f>
        <v>18</v>
      </c>
      <c r="G40" s="63" cm="1">
        <f t="array" ref="G40">IF(INDEX(FX_Input,$KB40,G$85)="Vertical",INDEX(FX_Input,$KB40,G$86),INDEX(FX_Input,$KB40,G$87)*PI()/4)</f>
        <v>24</v>
      </c>
      <c r="H40" s="63" cm="1">
        <f t="array" ref="H40">IF(INDEX(FX_Input,$KB40,H$85)="Vertical",G40-G40/2+J40,G40/2)</f>
        <v>12.1875</v>
      </c>
      <c r="I40" s="63" cm="1">
        <f t="array" ref="I40">IF(INDEX(FX_Input,$KB40,F$85)="Horizontal","N/A",IF(INDEX(FX_Input,$KB40,I$86)="Cone",IF(ISBLANK(INDEX(FX_Input,$KB40,I$87)),0.0625,INDEX(FX_Input,$KB40,I$87))*F40/2,F40/2-SQRT((F40/2)^2-(INDEX(FX_Input,$KB40,I$88)^2))))</f>
        <v>0.5625</v>
      </c>
      <c r="J40" s="63" cm="1">
        <f t="array" ref="J40">IF(INDEX(FX_Input,$KB40,J$85)="Horizontal","N/A",IF(INDEX(FX_Input,$KB40,J$86)="Cone",I40/3,I40*(1/2+(1/6)*(I40/(F40/2))^2)))</f>
        <v>0.1875</v>
      </c>
      <c r="K40" s="63">
        <f t="shared" si="1"/>
        <v>23</v>
      </c>
      <c r="L40" s="63">
        <v>1</v>
      </c>
      <c r="M40" s="63" t="str" cm="1">
        <f t="array" ref="M40">INDEX(Tbl_71_6,MATCH(INDEX(FX_Input,$KB40,M$85),Paint_Color,0),VLOOKUP(INDEX(FX_Input,$KB40,M$86),Paint_Cond_Column,2,FALSE))</f>
        <v>N/A</v>
      </c>
      <c r="N40" s="63" t="str" cm="1">
        <f t="array" ref="N40">INDEX(Tbl_71_6,MATCH(INDEX(FX_Input,$KB40,N$85),Paint_Color,0),VLOOKUP(INDEX(FX_Input,$KB40,N$86),Paint_Cond_Column,2,FALSE))</f>
        <v>N/A</v>
      </c>
      <c r="O40" s="64" t="str">
        <f t="shared" si="2"/>
        <v>Insulated</v>
      </c>
      <c r="P40" s="80" t="str" cm="1">
        <f t="array" ref="P40">IF(ISBLANK(INDEX(FX_Input,$KB40+1,P$85)),INDEX(FX_Input,$KB40,P$85),INDEX(FX_Input,$KB40,P$85)&amp;" &amp; "&amp;INDEX(FX_Input,$KB40+1,P$85))</f>
        <v>Out of Service</v>
      </c>
      <c r="Q40" s="63" cm="1">
        <f t="array" ref="Q40">INDEX(FX_Temps,$KC40+7,Q$89)</f>
        <v>0</v>
      </c>
      <c r="R40" s="63" cm="1">
        <f t="array" ref="R40">INDEX(FX_Temps,$KC40+13,R$89)+459.6</f>
        <v>503.5</v>
      </c>
      <c r="S40" s="63" cm="1">
        <f t="array" ref="S40">INDEX(FX_Vap,$KG40,S$91)-INDEX(FX_Vap,$KH40,S$91)</f>
        <v>0</v>
      </c>
      <c r="T40" s="73" cm="1">
        <f t="array" ref="T40">IF(P40="Out of Service",0,INDEX(FX_Vap,$KI40,T$91))</f>
        <v>0</v>
      </c>
      <c r="U40" s="63">
        <f t="shared" si="3"/>
        <v>0</v>
      </c>
      <c r="V40" s="63">
        <f t="shared" si="4"/>
        <v>1</v>
      </c>
      <c r="W40" s="63" cm="1">
        <f t="array" ref="W40">INDEX(FX_Vap,$KJ40,W$91)</f>
        <v>0</v>
      </c>
      <c r="X40" s="63" cm="1">
        <f t="array" ref="X40">INDEX(FX_Temps,$KD40,X$89)+459.6</f>
        <v>503.5</v>
      </c>
      <c r="Y40" s="63">
        <f t="shared" si="5"/>
        <v>0</v>
      </c>
      <c r="Z40" s="63" cm="1">
        <f t="array" ref="Z40">INDEX(Month_Ref,Z$83,3)*U40*(PI()/4*$F40^2)*$H40*V40*Y40</f>
        <v>0</v>
      </c>
      <c r="AA40" s="63" cm="1">
        <f t="array" ref="AA40">INDEX(FX_Input,$KB40,AA$85)</f>
        <v>0</v>
      </c>
      <c r="AB40" s="63">
        <f t="shared" si="6"/>
        <v>0</v>
      </c>
      <c r="AC40" s="63">
        <f t="shared" si="7"/>
        <v>0</v>
      </c>
      <c r="AD40" s="63">
        <f t="shared" si="8"/>
        <v>1</v>
      </c>
      <c r="AE40" s="63" cm="1">
        <f t="array" ref="AE40">IF(OR(INDEX(FX_Vap,$KK40,AE$90)="Crude Oil",(INDEX(FX_Vap,$KL40,AE$90)="Crude Oil")),0.75,1)</f>
        <v>1</v>
      </c>
      <c r="AF40" s="63">
        <f t="shared" si="108"/>
        <v>1</v>
      </c>
      <c r="AG40" s="63">
        <f t="shared" si="9"/>
        <v>0</v>
      </c>
      <c r="AH40" s="64">
        <f t="shared" si="10"/>
        <v>0</v>
      </c>
      <c r="AI40" s="80" t="str" cm="1">
        <f t="array" ref="AI40">IF(ISBLANK(INDEX(FX_Input,$KB40+1,AI$85)),INDEX(FX_Input,$KB40,AI$85),INDEX(FX_Input,$KB40,AI$85)&amp;" &amp; "&amp;INDEX(FX_Input,$KB40+1,AI$85))</f>
        <v>Out of Service</v>
      </c>
      <c r="AJ40" s="63" cm="1">
        <f t="array" ref="AJ40">INDEX(FX_Temps,$KC40+7,AJ$89)</f>
        <v>0</v>
      </c>
      <c r="AK40" s="63" cm="1">
        <f t="array" ref="AK40">INDEX(FX_Temps,$KC40+13,AK$89)+459.6</f>
        <v>504.30000000000007</v>
      </c>
      <c r="AL40" s="63" cm="1">
        <f t="array" ref="AL40">INDEX(FX_Vap,$KG40,AL$91)-INDEX(FX_Vap,$KH40,AL$91)</f>
        <v>0</v>
      </c>
      <c r="AM40" s="73" cm="1">
        <f t="array" ref="AM40">IF(AI40="Out of Service",0,INDEX(FX_Vap,$KI40,AM$91))</f>
        <v>0</v>
      </c>
      <c r="AN40" s="63">
        <f t="shared" si="11"/>
        <v>0</v>
      </c>
      <c r="AO40" s="63">
        <f t="shared" si="12"/>
        <v>1</v>
      </c>
      <c r="AP40" s="63" cm="1">
        <f t="array" ref="AP40">INDEX(FX_Vap,$KJ40,AP$91)</f>
        <v>0</v>
      </c>
      <c r="AQ40" s="63" cm="1">
        <f t="array" ref="AQ40">INDEX(FX_Temps,$KD40,AQ$89)+459.6</f>
        <v>504.30000000000007</v>
      </c>
      <c r="AR40" s="63">
        <f t="shared" si="13"/>
        <v>0</v>
      </c>
      <c r="AS40" s="63" cm="1">
        <f t="array" ref="AS40">INDEX(Month_Ref,AS$83,3)*AN40*(PI()/4*$F40^2)*$H40*AO40*AR40</f>
        <v>0</v>
      </c>
      <c r="AT40" s="63" cm="1">
        <f t="array" ref="AT40">INDEX(FX_Input,$KB40,AT$85)</f>
        <v>0</v>
      </c>
      <c r="AU40" s="63">
        <f t="shared" si="14"/>
        <v>0</v>
      </c>
      <c r="AV40" s="63">
        <f t="shared" si="15"/>
        <v>0</v>
      </c>
      <c r="AW40" s="63">
        <f t="shared" si="16"/>
        <v>1</v>
      </c>
      <c r="AX40" s="63" cm="1">
        <f t="array" ref="AX40">IF(OR(INDEX(FX_Vap,$KK40,AX$90)="Crude Oil",(INDEX(FX_Vap,$KL40,AX$90)="Crude Oil")),0.75,1)</f>
        <v>1</v>
      </c>
      <c r="AY40" s="63">
        <f t="shared" si="109"/>
        <v>1</v>
      </c>
      <c r="AZ40" s="63">
        <f t="shared" si="17"/>
        <v>0</v>
      </c>
      <c r="BA40" s="64">
        <f t="shared" si="18"/>
        <v>0</v>
      </c>
      <c r="BB40" s="80" t="str" cm="1">
        <f t="array" ref="BB40">IF(ISBLANK(INDEX(FX_Input,$KB40+1,BB$85)),INDEX(FX_Input,$KB40,BB$85),INDEX(FX_Input,$KB40,BB$85)&amp;" &amp; "&amp;INDEX(FX_Input,$KB40+1,BB$85))</f>
        <v>Out of Service</v>
      </c>
      <c r="BC40" s="63" cm="1">
        <f t="array" ref="BC40">INDEX(FX_Temps,$KC40+7,BC$89)</f>
        <v>0</v>
      </c>
      <c r="BD40" s="63" cm="1">
        <f t="array" ref="BD40">INDEX(FX_Temps,$KC40+13,BD$89)+459.6</f>
        <v>505.70000000000005</v>
      </c>
      <c r="BE40" s="63" cm="1">
        <f t="array" ref="BE40">INDEX(FX_Vap,$KG40,BE$91)-INDEX(FX_Vap,$KH40,BE$91)</f>
        <v>0</v>
      </c>
      <c r="BF40" s="73" cm="1">
        <f t="array" ref="BF40">IF(BB40="Out of Service",0,INDEX(FX_Vap,$KI40,BF$91))</f>
        <v>0</v>
      </c>
      <c r="BG40" s="63">
        <f t="shared" si="19"/>
        <v>0</v>
      </c>
      <c r="BH40" s="63">
        <f t="shared" si="20"/>
        <v>1</v>
      </c>
      <c r="BI40" s="63" cm="1">
        <f t="array" ref="BI40">INDEX(FX_Vap,$KJ40,BI$91)</f>
        <v>0</v>
      </c>
      <c r="BJ40" s="63" cm="1">
        <f t="array" ref="BJ40">INDEX(FX_Temps,$KD40,BJ$89)+459.6</f>
        <v>505.70000000000005</v>
      </c>
      <c r="BK40" s="63">
        <f t="shared" si="21"/>
        <v>0</v>
      </c>
      <c r="BL40" s="63" cm="1">
        <f t="array" ref="BL40">INDEX(Month_Ref,BL$83,3)*BG40*(PI()/4*$F40^2)*$H40*BH40*BK40</f>
        <v>0</v>
      </c>
      <c r="BM40" s="63" cm="1">
        <f t="array" ref="BM40">INDEX(FX_Input,$KB40,BM$85)</f>
        <v>0</v>
      </c>
      <c r="BN40" s="63">
        <f t="shared" si="22"/>
        <v>0</v>
      </c>
      <c r="BO40" s="63">
        <f t="shared" si="23"/>
        <v>0</v>
      </c>
      <c r="BP40" s="63">
        <f t="shared" si="24"/>
        <v>1</v>
      </c>
      <c r="BQ40" s="63" cm="1">
        <f t="array" ref="BQ40">IF(OR(INDEX(FX_Vap,$KK40,BQ$90)="Crude Oil",(INDEX(FX_Vap,$KL40,BQ$90)="Crude Oil")),0.75,1)</f>
        <v>1</v>
      </c>
      <c r="BR40" s="63">
        <f t="shared" si="110"/>
        <v>1</v>
      </c>
      <c r="BS40" s="63">
        <f t="shared" si="25"/>
        <v>0</v>
      </c>
      <c r="BT40" s="64">
        <f t="shared" si="26"/>
        <v>0</v>
      </c>
      <c r="BU40" s="80" t="str" cm="1">
        <f t="array" ref="BU40">IF(ISBLANK(INDEX(FX_Input,$KB40+1,BU$85)),INDEX(FX_Input,$KB40,BU$85),INDEX(FX_Input,$KB40,BU$85)&amp;" &amp; "&amp;INDEX(FX_Input,$KB40+1,BU$85))</f>
        <v>Out of Service</v>
      </c>
      <c r="BV40" s="63" cm="1">
        <f t="array" ref="BV40">INDEX(FX_Temps,$KC40+7,BV$89)</f>
        <v>0</v>
      </c>
      <c r="BW40" s="63" cm="1">
        <f t="array" ref="BW40">INDEX(FX_Temps,$KC40+13,BW$89)+459.6</f>
        <v>508.2</v>
      </c>
      <c r="BX40" s="63" cm="1">
        <f t="array" ref="BX40">INDEX(FX_Vap,$KG40,BX$91)-INDEX(FX_Vap,$KH40,BX$91)</f>
        <v>0</v>
      </c>
      <c r="BY40" s="73" cm="1">
        <f t="array" ref="BY40">IF(BU40="Out of Service",0,INDEX(FX_Vap,$KI40,BY$91))</f>
        <v>0</v>
      </c>
      <c r="BZ40" s="63">
        <f t="shared" si="27"/>
        <v>0</v>
      </c>
      <c r="CA40" s="63">
        <f t="shared" si="28"/>
        <v>1</v>
      </c>
      <c r="CB40" s="63" cm="1">
        <f t="array" ref="CB40">INDEX(FX_Vap,$KJ40,CB$91)</f>
        <v>0</v>
      </c>
      <c r="CC40" s="63" cm="1">
        <f t="array" ref="CC40">INDEX(FX_Temps,$KD40,CC$89)+459.6</f>
        <v>508.2</v>
      </c>
      <c r="CD40" s="63">
        <f t="shared" si="29"/>
        <v>0</v>
      </c>
      <c r="CE40" s="63" cm="1">
        <f t="array" ref="CE40">INDEX(Month_Ref,CE$83,3)*BZ40*(PI()/4*$F40^2)*$H40*CA40*CD40</f>
        <v>0</v>
      </c>
      <c r="CF40" s="63" cm="1">
        <f t="array" ref="CF40">INDEX(FX_Input,$KB40,CF$85)</f>
        <v>0</v>
      </c>
      <c r="CG40" s="63">
        <f t="shared" si="30"/>
        <v>0</v>
      </c>
      <c r="CH40" s="63">
        <f t="shared" si="31"/>
        <v>0</v>
      </c>
      <c r="CI40" s="63">
        <f t="shared" si="32"/>
        <v>1</v>
      </c>
      <c r="CJ40" s="63" cm="1">
        <f t="array" ref="CJ40">IF(OR(INDEX(FX_Vap,$KK40,CJ$90)="Crude Oil",(INDEX(FX_Vap,$KL40,CJ$90)="Crude Oil")),0.75,1)</f>
        <v>1</v>
      </c>
      <c r="CK40" s="63">
        <f t="shared" si="111"/>
        <v>1</v>
      </c>
      <c r="CL40" s="63">
        <f t="shared" si="33"/>
        <v>0</v>
      </c>
      <c r="CM40" s="64">
        <f t="shared" si="34"/>
        <v>0</v>
      </c>
      <c r="CN40" s="80" t="str" cm="1">
        <f t="array" ref="CN40">IF(ISBLANK(INDEX(FX_Input,$KB40+1,CN$85)),INDEX(FX_Input,$KB40,CN$85),INDEX(FX_Input,$KB40,CN$85)&amp;" &amp; "&amp;INDEX(FX_Input,$KB40+1,CN$85))</f>
        <v>Out of Service</v>
      </c>
      <c r="CO40" s="63" cm="1">
        <f t="array" ref="CO40">INDEX(FX_Temps,$KC40+7,CO$89)</f>
        <v>0</v>
      </c>
      <c r="CP40" s="63" cm="1">
        <f t="array" ref="CP40">INDEX(FX_Temps,$KC40+13,CP$89)+459.6</f>
        <v>512.75</v>
      </c>
      <c r="CQ40" s="63" cm="1">
        <f t="array" ref="CQ40">INDEX(FX_Vap,$KG40,CQ$91)-INDEX(FX_Vap,$KH40,CQ$91)</f>
        <v>0</v>
      </c>
      <c r="CR40" s="73" cm="1">
        <f t="array" ref="CR40">IF(CN40="Out of Service",0,INDEX(FX_Vap,$KI40,CR$91))</f>
        <v>0</v>
      </c>
      <c r="CS40" s="63">
        <f t="shared" si="35"/>
        <v>0</v>
      </c>
      <c r="CT40" s="63">
        <f t="shared" si="36"/>
        <v>1</v>
      </c>
      <c r="CU40" s="63" cm="1">
        <f t="array" ref="CU40">INDEX(FX_Vap,$KJ40,CU$91)</f>
        <v>0</v>
      </c>
      <c r="CV40" s="63" cm="1">
        <f t="array" ref="CV40">INDEX(FX_Temps,$KD40,CV$89)+459.6</f>
        <v>512.75</v>
      </c>
      <c r="CW40" s="63">
        <f t="shared" si="37"/>
        <v>0</v>
      </c>
      <c r="CX40" s="63" cm="1">
        <f t="array" ref="CX40">INDEX(Month_Ref,CX$83,3)*CS40*(PI()/4*$F40^2)*$H40*CT40*CW40</f>
        <v>0</v>
      </c>
      <c r="CY40" s="63" cm="1">
        <f t="array" ref="CY40">INDEX(FX_Input,$KB40,CY$85)</f>
        <v>0</v>
      </c>
      <c r="CZ40" s="63">
        <f t="shared" si="38"/>
        <v>0</v>
      </c>
      <c r="DA40" s="63">
        <f t="shared" si="39"/>
        <v>0</v>
      </c>
      <c r="DB40" s="63">
        <f t="shared" si="40"/>
        <v>1</v>
      </c>
      <c r="DC40" s="63" cm="1">
        <f t="array" ref="DC40">IF(OR(INDEX(FX_Vap,$KK40,DC$90)="Crude Oil",(INDEX(FX_Vap,$KL40,DC$90)="Crude Oil")),0.75,1)</f>
        <v>1</v>
      </c>
      <c r="DD40" s="63">
        <f t="shared" si="112"/>
        <v>1</v>
      </c>
      <c r="DE40" s="63">
        <f t="shared" si="41"/>
        <v>0</v>
      </c>
      <c r="DF40" s="64">
        <f t="shared" si="42"/>
        <v>0</v>
      </c>
      <c r="DG40" s="80" t="str" cm="1">
        <f t="array" ref="DG40">IF(ISBLANK(INDEX(FX_Input,$KB40+1,DG$85)),INDEX(FX_Input,$KB40,DG$85),INDEX(FX_Input,$KB40,DG$85)&amp;" &amp; "&amp;INDEX(FX_Input,$KB40+1,DG$85))</f>
        <v>Out of Service</v>
      </c>
      <c r="DH40" s="63" cm="1">
        <f t="array" ref="DH40">INDEX(FX_Temps,$KC40+7,DH$89)</f>
        <v>0</v>
      </c>
      <c r="DI40" s="63" cm="1">
        <f t="array" ref="DI40">INDEX(FX_Temps,$KC40+13,DI$89)+459.6</f>
        <v>516.55000000000007</v>
      </c>
      <c r="DJ40" s="63" cm="1">
        <f t="array" ref="DJ40">INDEX(FX_Vap,$KG40,DJ$91)-INDEX(FX_Vap,$KH40,DJ$91)</f>
        <v>0</v>
      </c>
      <c r="DK40" s="73" cm="1">
        <f t="array" ref="DK40">IF(DG40="Out of Service",0,INDEX(FX_Vap,$KI40,DK$91))</f>
        <v>0</v>
      </c>
      <c r="DL40" s="63">
        <f t="shared" si="43"/>
        <v>0</v>
      </c>
      <c r="DM40" s="63">
        <f t="shared" si="44"/>
        <v>1</v>
      </c>
      <c r="DN40" s="63" cm="1">
        <f t="array" ref="DN40">INDEX(FX_Vap,$KJ40,DN$91)</f>
        <v>0</v>
      </c>
      <c r="DO40" s="63" cm="1">
        <f t="array" ref="DO40">INDEX(FX_Temps,$KD40,DO$89)+459.6</f>
        <v>516.55000000000007</v>
      </c>
      <c r="DP40" s="63">
        <f t="shared" si="45"/>
        <v>0</v>
      </c>
      <c r="DQ40" s="63" cm="1">
        <f t="array" ref="DQ40">INDEX(Month_Ref,DQ$83,3)*DL40*(PI()/4*$F40^2)*$H40*DM40*DP40</f>
        <v>0</v>
      </c>
      <c r="DR40" s="63" cm="1">
        <f t="array" ref="DR40">INDEX(FX_Input,$KB40,DR$85)</f>
        <v>0</v>
      </c>
      <c r="DS40" s="63">
        <f t="shared" si="46"/>
        <v>0</v>
      </c>
      <c r="DT40" s="63">
        <f t="shared" si="47"/>
        <v>0</v>
      </c>
      <c r="DU40" s="63">
        <f t="shared" si="48"/>
        <v>1</v>
      </c>
      <c r="DV40" s="63" cm="1">
        <f t="array" ref="DV40">IF(OR(INDEX(FX_Vap,$KK40,DV$90)="Crude Oil",(INDEX(FX_Vap,$KL40,DV$90)="Crude Oil")),0.75,1)</f>
        <v>1</v>
      </c>
      <c r="DW40" s="63">
        <f t="shared" si="113"/>
        <v>1</v>
      </c>
      <c r="DX40" s="63">
        <f t="shared" si="49"/>
        <v>0</v>
      </c>
      <c r="DY40" s="64">
        <f t="shared" si="50"/>
        <v>0</v>
      </c>
      <c r="DZ40" s="80" t="str" cm="1">
        <f t="array" ref="DZ40">IF(ISBLANK(INDEX(FX_Input,$KB40+1,DZ$85)),INDEX(FX_Input,$KB40,DZ$85),INDEX(FX_Input,$KB40,DZ$85)&amp;" &amp; "&amp;INDEX(FX_Input,$KB40+1,DZ$85))</f>
        <v>Out of Service</v>
      </c>
      <c r="EA40" s="63" cm="1">
        <f t="array" ref="EA40">INDEX(FX_Temps,$KC40+7,EA$89)</f>
        <v>0</v>
      </c>
      <c r="EB40" s="63" cm="1">
        <f t="array" ref="EB40">INDEX(FX_Temps,$KC40+13,EB$89)+459.6</f>
        <v>520.04999999999995</v>
      </c>
      <c r="EC40" s="63" cm="1">
        <f t="array" ref="EC40">INDEX(FX_Vap,$KG40,EC$91)-INDEX(FX_Vap,$KH40,EC$91)</f>
        <v>0</v>
      </c>
      <c r="ED40" s="73" cm="1">
        <f t="array" ref="ED40">IF(DZ40="Out of Service",0,INDEX(FX_Vap,$KI40,ED$91))</f>
        <v>0</v>
      </c>
      <c r="EE40" s="63">
        <f t="shared" si="51"/>
        <v>0</v>
      </c>
      <c r="EF40" s="63">
        <f t="shared" si="52"/>
        <v>1</v>
      </c>
      <c r="EG40" s="63" cm="1">
        <f t="array" ref="EG40">INDEX(FX_Vap,$KJ40,EG$91)</f>
        <v>0</v>
      </c>
      <c r="EH40" s="63" cm="1">
        <f t="array" ref="EH40">INDEX(FX_Temps,$KD40,EH$89)+459.6</f>
        <v>520.04999999999995</v>
      </c>
      <c r="EI40" s="63">
        <f t="shared" si="53"/>
        <v>0</v>
      </c>
      <c r="EJ40" s="63" cm="1">
        <f t="array" ref="EJ40">INDEX(Month_Ref,EJ$83,3)*EE40*(PI()/4*$F40^2)*$H40*EF40*EI40</f>
        <v>0</v>
      </c>
      <c r="EK40" s="63" cm="1">
        <f t="array" ref="EK40">INDEX(FX_Input,$KB40,EK$85)</f>
        <v>0</v>
      </c>
      <c r="EL40" s="63">
        <f t="shared" si="54"/>
        <v>0</v>
      </c>
      <c r="EM40" s="63">
        <f t="shared" si="55"/>
        <v>0</v>
      </c>
      <c r="EN40" s="63">
        <f t="shared" si="56"/>
        <v>1</v>
      </c>
      <c r="EO40" s="63" cm="1">
        <f t="array" ref="EO40">IF(OR(INDEX(FX_Vap,$KK40,EO$90)="Crude Oil",(INDEX(FX_Vap,$KL40,EO$90)="Crude Oil")),0.75,1)</f>
        <v>1</v>
      </c>
      <c r="EP40" s="63">
        <f t="shared" si="114"/>
        <v>1</v>
      </c>
      <c r="EQ40" s="63">
        <f t="shared" si="57"/>
        <v>0</v>
      </c>
      <c r="ER40" s="64">
        <f t="shared" si="58"/>
        <v>0</v>
      </c>
      <c r="ES40" s="80" t="str" cm="1">
        <f t="array" ref="ES40">IF(ISBLANK(INDEX(FX_Input,$KB40+1,ES$85)),INDEX(FX_Input,$KB40,ES$85),INDEX(FX_Input,$KB40,ES$85)&amp;" &amp; "&amp;INDEX(FX_Input,$KB40+1,ES$85))</f>
        <v>Out of Service</v>
      </c>
      <c r="ET40" s="63" cm="1">
        <f t="array" ref="ET40">INDEX(FX_Temps,$KC40+7,ET$89)</f>
        <v>0</v>
      </c>
      <c r="EU40" s="63" cm="1">
        <f t="array" ref="EU40">INDEX(FX_Temps,$KC40+13,EU$89)+459.6</f>
        <v>520.5</v>
      </c>
      <c r="EV40" s="63" cm="1">
        <f t="array" ref="EV40">INDEX(FX_Vap,$KG40,EV$91)-INDEX(FX_Vap,$KH40,EV$91)</f>
        <v>0</v>
      </c>
      <c r="EW40" s="73" cm="1">
        <f t="array" ref="EW40">IF(ES40="Out of Service",0,INDEX(FX_Vap,$KI40,EW$91))</f>
        <v>0</v>
      </c>
      <c r="EX40" s="63">
        <f t="shared" si="59"/>
        <v>0</v>
      </c>
      <c r="EY40" s="63">
        <f t="shared" si="60"/>
        <v>1</v>
      </c>
      <c r="EZ40" s="63" cm="1">
        <f t="array" ref="EZ40">INDEX(FX_Vap,$KJ40,EZ$91)</f>
        <v>0</v>
      </c>
      <c r="FA40" s="63" cm="1">
        <f t="array" ref="FA40">INDEX(FX_Temps,$KD40,FA$89)+459.6</f>
        <v>520.5</v>
      </c>
      <c r="FB40" s="63">
        <f t="shared" si="61"/>
        <v>0</v>
      </c>
      <c r="FC40" s="63" cm="1">
        <f t="array" ref="FC40">INDEX(Month_Ref,FC$83,3)*EX40*(PI()/4*$F40^2)*$H40*EY40*FB40</f>
        <v>0</v>
      </c>
      <c r="FD40" s="63" cm="1">
        <f t="array" ref="FD40">INDEX(FX_Input,$KB40,FD$85)</f>
        <v>0</v>
      </c>
      <c r="FE40" s="63">
        <f t="shared" si="62"/>
        <v>0</v>
      </c>
      <c r="FF40" s="63">
        <f t="shared" si="63"/>
        <v>0</v>
      </c>
      <c r="FG40" s="63">
        <f t="shared" si="64"/>
        <v>1</v>
      </c>
      <c r="FH40" s="63" cm="1">
        <f t="array" ref="FH40">IF(OR(INDEX(FX_Vap,$KK40,FH$90)="Crude Oil",(INDEX(FX_Vap,$KL40,FH$90)="Crude Oil")),0.75,1)</f>
        <v>1</v>
      </c>
      <c r="FI40" s="63">
        <f t="shared" si="115"/>
        <v>1</v>
      </c>
      <c r="FJ40" s="63">
        <f t="shared" si="65"/>
        <v>0</v>
      </c>
      <c r="FK40" s="64">
        <f t="shared" si="66"/>
        <v>0</v>
      </c>
      <c r="FL40" s="80" t="str" cm="1">
        <f t="array" ref="FL40">IF(ISBLANK(INDEX(FX_Input,$KB40+1,FL$85)),INDEX(FX_Input,$KB40,FL$85),INDEX(FX_Input,$KB40,FL$85)&amp;" &amp; "&amp;INDEX(FX_Input,$KB40+1,FL$85))</f>
        <v>Out of Service</v>
      </c>
      <c r="FM40" s="63" cm="1">
        <f t="array" ref="FM40">INDEX(FX_Temps,$KC40+7,FM$89)</f>
        <v>0</v>
      </c>
      <c r="FN40" s="63" cm="1">
        <f t="array" ref="FN40">INDEX(FX_Temps,$KC40+13,FN$89)+459.6</f>
        <v>518.20000000000005</v>
      </c>
      <c r="FO40" s="63" cm="1">
        <f t="array" ref="FO40">INDEX(FX_Vap,$KG40,FO$91)-INDEX(FX_Vap,$KH40,FO$91)</f>
        <v>0</v>
      </c>
      <c r="FP40" s="73" cm="1">
        <f t="array" ref="FP40">IF(FL40="Out of Service",0,INDEX(FX_Vap,$KI40,FP$91))</f>
        <v>0</v>
      </c>
      <c r="FQ40" s="63">
        <f t="shared" si="67"/>
        <v>0</v>
      </c>
      <c r="FR40" s="63">
        <f t="shared" si="68"/>
        <v>1</v>
      </c>
      <c r="FS40" s="63" cm="1">
        <f t="array" ref="FS40">INDEX(FX_Vap,$KJ40,FS$91)</f>
        <v>0</v>
      </c>
      <c r="FT40" s="63" cm="1">
        <f t="array" ref="FT40">INDEX(FX_Temps,$KD40,FT$89)+459.6</f>
        <v>518.20000000000005</v>
      </c>
      <c r="FU40" s="63">
        <f t="shared" si="69"/>
        <v>0</v>
      </c>
      <c r="FV40" s="63" cm="1">
        <f t="array" ref="FV40">INDEX(Month_Ref,FV$83,3)*FQ40*(PI()/4*$F40^2)*$H40*FR40*FU40</f>
        <v>0</v>
      </c>
      <c r="FW40" s="63" cm="1">
        <f t="array" ref="FW40">INDEX(FX_Input,$KB40,FW$85)</f>
        <v>0</v>
      </c>
      <c r="FX40" s="63">
        <f t="shared" si="70"/>
        <v>0</v>
      </c>
      <c r="FY40" s="63">
        <f t="shared" si="71"/>
        <v>0</v>
      </c>
      <c r="FZ40" s="63">
        <f t="shared" si="72"/>
        <v>1</v>
      </c>
      <c r="GA40" s="63" cm="1">
        <f t="array" ref="GA40">IF(OR(INDEX(FX_Vap,$KK40,GA$90)="Crude Oil",(INDEX(FX_Vap,$KL40,GA$90)="Crude Oil")),0.75,1)</f>
        <v>1</v>
      </c>
      <c r="GB40" s="63">
        <f t="shared" si="116"/>
        <v>1</v>
      </c>
      <c r="GC40" s="63">
        <f t="shared" si="73"/>
        <v>0</v>
      </c>
      <c r="GD40" s="64">
        <f t="shared" si="74"/>
        <v>0</v>
      </c>
      <c r="GE40" s="80" t="str" cm="1">
        <f t="array" ref="GE40">IF(ISBLANK(INDEX(FX_Input,$KB40+1,GE$85)),INDEX(FX_Input,$KB40,GE$85),INDEX(FX_Input,$KB40,GE$85)&amp;" &amp; "&amp;INDEX(FX_Input,$KB40+1,GE$85))</f>
        <v>Out of Service</v>
      </c>
      <c r="GF40" s="63" cm="1">
        <f t="array" ref="GF40">INDEX(FX_Temps,$KC40+7,GF$89)</f>
        <v>0</v>
      </c>
      <c r="GG40" s="63" cm="1">
        <f t="array" ref="GG40">INDEX(FX_Temps,$KC40+13,GG$89)+459.6</f>
        <v>512.25</v>
      </c>
      <c r="GH40" s="63" cm="1">
        <f t="array" ref="GH40">INDEX(FX_Vap,$KG40,GH$91)-INDEX(FX_Vap,$KH40,GH$91)</f>
        <v>0</v>
      </c>
      <c r="GI40" s="73" cm="1">
        <f t="array" ref="GI40">IF(GE40="Out of Service",0,INDEX(FX_Vap,$KI40,GI$91))</f>
        <v>0</v>
      </c>
      <c r="GJ40" s="63">
        <f t="shared" si="75"/>
        <v>0</v>
      </c>
      <c r="GK40" s="63">
        <f t="shared" si="76"/>
        <v>1</v>
      </c>
      <c r="GL40" s="63" cm="1">
        <f t="array" ref="GL40">INDEX(FX_Vap,$KJ40,GL$91)</f>
        <v>0</v>
      </c>
      <c r="GM40" s="63" cm="1">
        <f t="array" ref="GM40">INDEX(FX_Temps,$KD40,GM$89)+459.6</f>
        <v>512.25</v>
      </c>
      <c r="GN40" s="63">
        <f t="shared" si="77"/>
        <v>0</v>
      </c>
      <c r="GO40" s="63" cm="1">
        <f t="array" ref="GO40">INDEX(Month_Ref,GO$83,3)*GJ40*(PI()/4*$F40^2)*$H40*GK40*GN40</f>
        <v>0</v>
      </c>
      <c r="GP40" s="63" cm="1">
        <f t="array" ref="GP40">INDEX(FX_Input,$KB40,GP$85)</f>
        <v>0</v>
      </c>
      <c r="GQ40" s="63">
        <f t="shared" si="78"/>
        <v>0</v>
      </c>
      <c r="GR40" s="63">
        <f t="shared" si="79"/>
        <v>0</v>
      </c>
      <c r="GS40" s="63">
        <f t="shared" si="80"/>
        <v>1</v>
      </c>
      <c r="GT40" s="63" cm="1">
        <f t="array" ref="GT40">IF(OR(INDEX(FX_Vap,$KK40,GT$90)="Crude Oil",(INDEX(FX_Vap,$KL40,GT$90)="Crude Oil")),0.75,1)</f>
        <v>1</v>
      </c>
      <c r="GU40" s="63">
        <f t="shared" si="117"/>
        <v>1</v>
      </c>
      <c r="GV40" s="63">
        <f t="shared" si="81"/>
        <v>0</v>
      </c>
      <c r="GW40" s="64">
        <f t="shared" si="82"/>
        <v>0</v>
      </c>
      <c r="GX40" s="80" t="str" cm="1">
        <f t="array" ref="GX40">IF(ISBLANK(INDEX(FX_Input,$KB40+1,GX$85)),INDEX(FX_Input,$KB40,GX$85),INDEX(FX_Input,$KB40,GX$85)&amp;" &amp; "&amp;INDEX(FX_Input,$KB40+1,GX$85))</f>
        <v>Out of Service</v>
      </c>
      <c r="GY40" s="63" cm="1">
        <f t="array" ref="GY40">INDEX(FX_Temps,$KC40+7,GY$89)</f>
        <v>0</v>
      </c>
      <c r="GZ40" s="63" cm="1">
        <f t="array" ref="GZ40">INDEX(FX_Temps,$KC40+13,GZ$89)+459.6</f>
        <v>506.70000000000005</v>
      </c>
      <c r="HA40" s="63" cm="1">
        <f t="array" ref="HA40">INDEX(FX_Vap,$KG40,HA$91)-INDEX(FX_Vap,$KH40,HA$91)</f>
        <v>0</v>
      </c>
      <c r="HB40" s="73" cm="1">
        <f t="array" ref="HB40">IF(GX40="Out of Service",0,INDEX(FX_Vap,$KI40,HB$91))</f>
        <v>0</v>
      </c>
      <c r="HC40" s="63">
        <f t="shared" si="83"/>
        <v>0</v>
      </c>
      <c r="HD40" s="63">
        <f t="shared" si="84"/>
        <v>1</v>
      </c>
      <c r="HE40" s="63" cm="1">
        <f t="array" ref="HE40">INDEX(FX_Vap,$KJ40,HE$91)</f>
        <v>0</v>
      </c>
      <c r="HF40" s="63" cm="1">
        <f t="array" ref="HF40">INDEX(FX_Temps,$KD40,HF$89)+459.6</f>
        <v>506.70000000000005</v>
      </c>
      <c r="HG40" s="63">
        <f t="shared" si="85"/>
        <v>0</v>
      </c>
      <c r="HH40" s="63" cm="1">
        <f t="array" ref="HH40">INDEX(Month_Ref,HH$83,3)*HC40*(PI()/4*$F40^2)*$H40*HD40*HG40</f>
        <v>0</v>
      </c>
      <c r="HI40" s="63" cm="1">
        <f t="array" ref="HI40">INDEX(FX_Input,$KB40,HI$85)</f>
        <v>0</v>
      </c>
      <c r="HJ40" s="63">
        <f t="shared" si="86"/>
        <v>0</v>
      </c>
      <c r="HK40" s="63">
        <f t="shared" si="87"/>
        <v>0</v>
      </c>
      <c r="HL40" s="63">
        <f t="shared" si="88"/>
        <v>1</v>
      </c>
      <c r="HM40" s="63" cm="1">
        <f t="array" ref="HM40">IF(OR(INDEX(FX_Vap,$KK40,HM$90)="Crude Oil",(INDEX(FX_Vap,$KL40,HM$90)="Crude Oil")),0.75,1)</f>
        <v>1</v>
      </c>
      <c r="HN40" s="63">
        <f t="shared" si="118"/>
        <v>1</v>
      </c>
      <c r="HO40" s="63">
        <f t="shared" si="89"/>
        <v>0</v>
      </c>
      <c r="HP40" s="64">
        <f t="shared" si="90"/>
        <v>0</v>
      </c>
      <c r="HQ40" s="80" t="str" cm="1">
        <f t="array" ref="HQ40">IF(ISBLANK(INDEX(FX_Input,$KB40+1,HQ$85)),INDEX(FX_Input,$KB40,HQ$85),INDEX(FX_Input,$KB40,HQ$85)&amp;" &amp; "&amp;INDEX(FX_Input,$KB40+1,HQ$85))</f>
        <v>Out of Service</v>
      </c>
      <c r="HR40" s="63" cm="1">
        <f t="array" ref="HR40">INDEX(FX_Temps,$KC40+7,HR$89)</f>
        <v>0</v>
      </c>
      <c r="HS40" s="63" cm="1">
        <f t="array" ref="HS40">INDEX(FX_Temps,$KC40+13,HS$89)+459.6</f>
        <v>503.20000000000005</v>
      </c>
      <c r="HT40" s="63" cm="1">
        <f t="array" ref="HT40">INDEX(FX_Vap,$KG40,HT$91)-INDEX(FX_Vap,$KH40,HT$91)</f>
        <v>0</v>
      </c>
      <c r="HU40" s="73" cm="1">
        <f t="array" ref="HU40">IF(HQ40="Out of Service",0,INDEX(FX_Vap,$KI40,HU$91))</f>
        <v>0</v>
      </c>
      <c r="HV40" s="63">
        <f t="shared" si="91"/>
        <v>0</v>
      </c>
      <c r="HW40" s="63">
        <f t="shared" si="92"/>
        <v>1</v>
      </c>
      <c r="HX40" s="63" cm="1">
        <f t="array" ref="HX40">INDEX(FX_Vap,$KJ40,HX$91)</f>
        <v>0</v>
      </c>
      <c r="HY40" s="63" cm="1">
        <f t="array" ref="HY40">INDEX(FX_Temps,$KD40,HY$89)+459.6</f>
        <v>503.20000000000005</v>
      </c>
      <c r="HZ40" s="63">
        <f t="shared" si="93"/>
        <v>0</v>
      </c>
      <c r="IA40" s="63" cm="1">
        <f t="array" ref="IA40">INDEX(Month_Ref,IA$83,3)*HV40*(PI()/4*$F40^2)*$H40*HW40*HZ40</f>
        <v>0</v>
      </c>
      <c r="IB40" s="63" cm="1">
        <f t="array" ref="IB40">INDEX(FX_Input,$KB40,IB$85)</f>
        <v>0</v>
      </c>
      <c r="IC40" s="63">
        <f t="shared" si="94"/>
        <v>0</v>
      </c>
      <c r="ID40" s="63">
        <f t="shared" si="95"/>
        <v>0</v>
      </c>
      <c r="IE40" s="63">
        <f t="shared" si="96"/>
        <v>1</v>
      </c>
      <c r="IF40" s="63" cm="1">
        <f t="array" ref="IF40">IF(OR(INDEX(FX_Vap,$KK40,IF$90)="Crude Oil",(INDEX(FX_Vap,$KL40,IF$90)="Crude Oil")),0.75,1)</f>
        <v>1</v>
      </c>
      <c r="IG40" s="63">
        <f t="shared" si="119"/>
        <v>1</v>
      </c>
      <c r="IH40" s="63">
        <f t="shared" si="97"/>
        <v>0</v>
      </c>
      <c r="II40" s="64">
        <f t="shared" si="98"/>
        <v>0</v>
      </c>
      <c r="IJ40" s="80">
        <f t="shared" si="99"/>
        <v>0</v>
      </c>
      <c r="IK40" s="63">
        <f t="shared" si="100"/>
        <v>0</v>
      </c>
      <c r="IL40" s="63">
        <f t="shared" si="101"/>
        <v>0</v>
      </c>
      <c r="IM40" s="63">
        <f t="shared" si="102"/>
        <v>0</v>
      </c>
      <c r="IN40" s="63">
        <f t="shared" si="103"/>
        <v>0</v>
      </c>
      <c r="IO40" s="64">
        <f t="shared" si="104"/>
        <v>0</v>
      </c>
      <c r="KB40" s="43">
        <f t="shared" si="120"/>
        <v>59</v>
      </c>
      <c r="KC40" s="43">
        <f t="shared" si="121"/>
        <v>407</v>
      </c>
      <c r="KD40" s="43">
        <f t="shared" si="122"/>
        <v>420</v>
      </c>
      <c r="KE40" s="43">
        <f t="shared" si="123"/>
        <v>407</v>
      </c>
      <c r="KF40" s="43">
        <f t="shared" si="124"/>
        <v>987</v>
      </c>
      <c r="KG40" s="43">
        <f t="shared" si="125"/>
        <v>1010</v>
      </c>
      <c r="KH40" s="43">
        <f t="shared" si="126"/>
        <v>1005</v>
      </c>
      <c r="KI40" s="43">
        <f t="shared" si="126"/>
        <v>1015</v>
      </c>
      <c r="KJ40" s="43">
        <f t="shared" si="126"/>
        <v>1020</v>
      </c>
      <c r="KK40" s="43">
        <f t="shared" si="127"/>
        <v>991</v>
      </c>
      <c r="KL40" s="43">
        <f t="shared" si="128"/>
        <v>993</v>
      </c>
    </row>
    <row r="41" spans="2:298" x14ac:dyDescent="0.4">
      <c r="B41" s="43" t="str" cm="1">
        <f t="array" ref="B41">INDEX(FX_Input,$KB41,B$85)</f>
        <v>FX - 31</v>
      </c>
      <c r="C41" s="93" t="str" cm="1">
        <f t="array" ref="C41">INDEX(FX_Input,$KB41,C$85)</f>
        <v>FIXTANK 148</v>
      </c>
      <c r="D41" s="80">
        <f t="shared" si="0"/>
        <v>3101.3409977156739</v>
      </c>
      <c r="E41" s="63" cm="1">
        <f t="array" ref="E41">IF(ISBLANK(INDEX(FX_Input,$KB41,$E$85)),0.03,INDEX(FX_Input,$KB41,$E$85))-IF(ISBLANK(INDEX(FX_Input,$KB41,$E$86)),-0.03,INDEX(FX_Input,$KB41,$E$86))</f>
        <v>0.06</v>
      </c>
      <c r="F41" s="63" cm="1">
        <f t="array" ref="F41">IF(INDEX(FX_Input,$KB41,F$85)="Vertical",INDEX(FX_Input,$KB41,F$86),SQRT((INDEX(FX_Input,$KB41,F$86)*INDEX(FX_Input,$KB41,F$87))/(PI()/4)))</f>
        <v>18</v>
      </c>
      <c r="G41" s="63" cm="1">
        <f t="array" ref="G41">IF(INDEX(FX_Input,$KB41,G$85)="Vertical",INDEX(FX_Input,$KB41,G$86),INDEX(FX_Input,$KB41,G$87)*PI()/4)</f>
        <v>24</v>
      </c>
      <c r="H41" s="63" cm="1">
        <f t="array" ref="H41">IF(INDEX(FX_Input,$KB41,H$85)="Vertical",G41-G41/2+J41,G41/2)</f>
        <v>12.1875</v>
      </c>
      <c r="I41" s="63" cm="1">
        <f t="array" ref="I41">IF(INDEX(FX_Input,$KB41,F$85)="Horizontal","N/A",IF(INDEX(FX_Input,$KB41,I$86)="Cone",IF(ISBLANK(INDEX(FX_Input,$KB41,I$87)),0.0625,INDEX(FX_Input,$KB41,I$87))*F41/2,F41/2-SQRT((F41/2)^2-(INDEX(FX_Input,$KB41,I$88)^2))))</f>
        <v>0.5625</v>
      </c>
      <c r="J41" s="63" cm="1">
        <f t="array" ref="J41">IF(INDEX(FX_Input,$KB41,J$85)="Horizontal","N/A",IF(INDEX(FX_Input,$KB41,J$86)="Cone",I41/3,I41*(1/2+(1/6)*(I41/(F41/2))^2)))</f>
        <v>0.1875</v>
      </c>
      <c r="K41" s="63">
        <f t="shared" si="1"/>
        <v>23</v>
      </c>
      <c r="L41" s="63">
        <v>1</v>
      </c>
      <c r="M41" s="63" t="str" cm="1">
        <f t="array" ref="M41">INDEX(Tbl_71_6,MATCH(INDEX(FX_Input,$KB41,M$85),Paint_Color,0),VLOOKUP(INDEX(FX_Input,$KB41,M$86),Paint_Cond_Column,2,FALSE))</f>
        <v>N/A</v>
      </c>
      <c r="N41" s="63" t="str" cm="1">
        <f t="array" ref="N41">INDEX(Tbl_71_6,MATCH(INDEX(FX_Input,$KB41,N$85),Paint_Color,0),VLOOKUP(INDEX(FX_Input,$KB41,N$86),Paint_Cond_Column,2,FALSE))</f>
        <v>N/A</v>
      </c>
      <c r="O41" s="64" t="str">
        <f t="shared" si="2"/>
        <v>Insulated</v>
      </c>
      <c r="P41" s="80" t="str" cm="1">
        <f t="array" ref="P41">IF(ISBLANK(INDEX(FX_Input,$KB41+1,P$85)),INDEX(FX_Input,$KB41,P$85),INDEX(FX_Input,$KB41,P$85)&amp;" &amp; "&amp;INDEX(FX_Input,$KB41+1,P$85))</f>
        <v>Out of Service</v>
      </c>
      <c r="Q41" s="63" cm="1">
        <f t="array" ref="Q41">INDEX(FX_Temps,$KC41+7,Q$89)</f>
        <v>0</v>
      </c>
      <c r="R41" s="63" cm="1">
        <f t="array" ref="R41">INDEX(FX_Temps,$KC41+13,R$89)+459.6</f>
        <v>503.5</v>
      </c>
      <c r="S41" s="63" cm="1">
        <f t="array" ref="S41">INDEX(FX_Vap,$KG41,S$91)-INDEX(FX_Vap,$KH41,S$91)</f>
        <v>0</v>
      </c>
      <c r="T41" s="73" cm="1">
        <f t="array" ref="T41">IF(P41="Out of Service",0,INDEX(FX_Vap,$KI41,T$91))</f>
        <v>0</v>
      </c>
      <c r="U41" s="63">
        <f t="shared" si="3"/>
        <v>0</v>
      </c>
      <c r="V41" s="63">
        <f t="shared" si="4"/>
        <v>1</v>
      </c>
      <c r="W41" s="63" cm="1">
        <f t="array" ref="W41">INDEX(FX_Vap,$KJ41,W$91)</f>
        <v>0</v>
      </c>
      <c r="X41" s="63" cm="1">
        <f t="array" ref="X41">INDEX(FX_Temps,$KD41,X$89)+459.6</f>
        <v>503.5</v>
      </c>
      <c r="Y41" s="63">
        <f t="shared" si="5"/>
        <v>0</v>
      </c>
      <c r="Z41" s="63" cm="1">
        <f t="array" ref="Z41">INDEX(Month_Ref,Z$83,3)*U41*(PI()/4*$F41^2)*$H41*V41*Y41</f>
        <v>0</v>
      </c>
      <c r="AA41" s="63" cm="1">
        <f t="array" ref="AA41">INDEX(FX_Input,$KB41,AA$85)</f>
        <v>0</v>
      </c>
      <c r="AB41" s="63">
        <f t="shared" si="6"/>
        <v>0</v>
      </c>
      <c r="AC41" s="63">
        <f t="shared" si="7"/>
        <v>0</v>
      </c>
      <c r="AD41" s="63">
        <f t="shared" si="8"/>
        <v>1</v>
      </c>
      <c r="AE41" s="63" cm="1">
        <f t="array" ref="AE41">IF(OR(INDEX(FX_Vap,$KK41,AE$90)="Crude Oil",(INDEX(FX_Vap,$KL41,AE$90)="Crude Oil")),0.75,1)</f>
        <v>1</v>
      </c>
      <c r="AF41" s="63">
        <f t="shared" si="108"/>
        <v>1</v>
      </c>
      <c r="AG41" s="63">
        <f t="shared" si="9"/>
        <v>0</v>
      </c>
      <c r="AH41" s="64">
        <f t="shared" si="10"/>
        <v>0</v>
      </c>
      <c r="AI41" s="80" t="str" cm="1">
        <f t="array" ref="AI41">IF(ISBLANK(INDEX(FX_Input,$KB41+1,AI$85)),INDEX(FX_Input,$KB41,AI$85),INDEX(FX_Input,$KB41,AI$85)&amp;" &amp; "&amp;INDEX(FX_Input,$KB41+1,AI$85))</f>
        <v>Out of Service</v>
      </c>
      <c r="AJ41" s="63" cm="1">
        <f t="array" ref="AJ41">INDEX(FX_Temps,$KC41+7,AJ$89)</f>
        <v>0</v>
      </c>
      <c r="AK41" s="63" cm="1">
        <f t="array" ref="AK41">INDEX(FX_Temps,$KC41+13,AK$89)+459.6</f>
        <v>504.30000000000007</v>
      </c>
      <c r="AL41" s="63" cm="1">
        <f t="array" ref="AL41">INDEX(FX_Vap,$KG41,AL$91)-INDEX(FX_Vap,$KH41,AL$91)</f>
        <v>0</v>
      </c>
      <c r="AM41" s="73" cm="1">
        <f t="array" ref="AM41">IF(AI41="Out of Service",0,INDEX(FX_Vap,$KI41,AM$91))</f>
        <v>0</v>
      </c>
      <c r="AN41" s="63">
        <f t="shared" si="11"/>
        <v>0</v>
      </c>
      <c r="AO41" s="63">
        <f t="shared" si="12"/>
        <v>1</v>
      </c>
      <c r="AP41" s="63" cm="1">
        <f t="array" ref="AP41">INDEX(FX_Vap,$KJ41,AP$91)</f>
        <v>0</v>
      </c>
      <c r="AQ41" s="63" cm="1">
        <f t="array" ref="AQ41">INDEX(FX_Temps,$KD41,AQ$89)+459.6</f>
        <v>504.30000000000007</v>
      </c>
      <c r="AR41" s="63">
        <f t="shared" si="13"/>
        <v>0</v>
      </c>
      <c r="AS41" s="63" cm="1">
        <f t="array" ref="AS41">INDEX(Month_Ref,AS$83,3)*AN41*(PI()/4*$F41^2)*$H41*AO41*AR41</f>
        <v>0</v>
      </c>
      <c r="AT41" s="63" cm="1">
        <f t="array" ref="AT41">INDEX(FX_Input,$KB41,AT$85)</f>
        <v>0</v>
      </c>
      <c r="AU41" s="63">
        <f t="shared" si="14"/>
        <v>0</v>
      </c>
      <c r="AV41" s="63">
        <f t="shared" si="15"/>
        <v>0</v>
      </c>
      <c r="AW41" s="63">
        <f t="shared" si="16"/>
        <v>1</v>
      </c>
      <c r="AX41" s="63" cm="1">
        <f t="array" ref="AX41">IF(OR(INDEX(FX_Vap,$KK41,AX$90)="Crude Oil",(INDEX(FX_Vap,$KL41,AX$90)="Crude Oil")),0.75,1)</f>
        <v>1</v>
      </c>
      <c r="AY41" s="63">
        <f t="shared" si="109"/>
        <v>1</v>
      </c>
      <c r="AZ41" s="63">
        <f t="shared" si="17"/>
        <v>0</v>
      </c>
      <c r="BA41" s="64">
        <f t="shared" si="18"/>
        <v>0</v>
      </c>
      <c r="BB41" s="80" t="str" cm="1">
        <f t="array" ref="BB41">IF(ISBLANK(INDEX(FX_Input,$KB41+1,BB$85)),INDEX(FX_Input,$KB41,BB$85),INDEX(FX_Input,$KB41,BB$85)&amp;" &amp; "&amp;INDEX(FX_Input,$KB41+1,BB$85))</f>
        <v>Out of Service</v>
      </c>
      <c r="BC41" s="63" cm="1">
        <f t="array" ref="BC41">INDEX(FX_Temps,$KC41+7,BC$89)</f>
        <v>0</v>
      </c>
      <c r="BD41" s="63" cm="1">
        <f t="array" ref="BD41">INDEX(FX_Temps,$KC41+13,BD$89)+459.6</f>
        <v>505.70000000000005</v>
      </c>
      <c r="BE41" s="63" cm="1">
        <f t="array" ref="BE41">INDEX(FX_Vap,$KG41,BE$91)-INDEX(FX_Vap,$KH41,BE$91)</f>
        <v>0</v>
      </c>
      <c r="BF41" s="73" cm="1">
        <f t="array" ref="BF41">IF(BB41="Out of Service",0,INDEX(FX_Vap,$KI41,BF$91))</f>
        <v>0</v>
      </c>
      <c r="BG41" s="63">
        <f t="shared" si="19"/>
        <v>0</v>
      </c>
      <c r="BH41" s="63">
        <f t="shared" si="20"/>
        <v>1</v>
      </c>
      <c r="BI41" s="63" cm="1">
        <f t="array" ref="BI41">INDEX(FX_Vap,$KJ41,BI$91)</f>
        <v>0</v>
      </c>
      <c r="BJ41" s="63" cm="1">
        <f t="array" ref="BJ41">INDEX(FX_Temps,$KD41,BJ$89)+459.6</f>
        <v>505.70000000000005</v>
      </c>
      <c r="BK41" s="63">
        <f t="shared" si="21"/>
        <v>0</v>
      </c>
      <c r="BL41" s="63" cm="1">
        <f t="array" ref="BL41">INDEX(Month_Ref,BL$83,3)*BG41*(PI()/4*$F41^2)*$H41*BH41*BK41</f>
        <v>0</v>
      </c>
      <c r="BM41" s="63" cm="1">
        <f t="array" ref="BM41">INDEX(FX_Input,$KB41,BM$85)</f>
        <v>0</v>
      </c>
      <c r="BN41" s="63">
        <f t="shared" si="22"/>
        <v>0</v>
      </c>
      <c r="BO41" s="63">
        <f t="shared" si="23"/>
        <v>0</v>
      </c>
      <c r="BP41" s="63">
        <f t="shared" si="24"/>
        <v>1</v>
      </c>
      <c r="BQ41" s="63" cm="1">
        <f t="array" ref="BQ41">IF(OR(INDEX(FX_Vap,$KK41,BQ$90)="Crude Oil",(INDEX(FX_Vap,$KL41,BQ$90)="Crude Oil")),0.75,1)</f>
        <v>1</v>
      </c>
      <c r="BR41" s="63">
        <f t="shared" si="110"/>
        <v>1</v>
      </c>
      <c r="BS41" s="63">
        <f t="shared" si="25"/>
        <v>0</v>
      </c>
      <c r="BT41" s="64">
        <f t="shared" si="26"/>
        <v>0</v>
      </c>
      <c r="BU41" s="80" t="str" cm="1">
        <f t="array" ref="BU41">IF(ISBLANK(INDEX(FX_Input,$KB41+1,BU$85)),INDEX(FX_Input,$KB41,BU$85),INDEX(FX_Input,$KB41,BU$85)&amp;" &amp; "&amp;INDEX(FX_Input,$KB41+1,BU$85))</f>
        <v>Out of Service</v>
      </c>
      <c r="BV41" s="63" cm="1">
        <f t="array" ref="BV41">INDEX(FX_Temps,$KC41+7,BV$89)</f>
        <v>0</v>
      </c>
      <c r="BW41" s="63" cm="1">
        <f t="array" ref="BW41">INDEX(FX_Temps,$KC41+13,BW$89)+459.6</f>
        <v>508.2</v>
      </c>
      <c r="BX41" s="63" cm="1">
        <f t="array" ref="BX41">INDEX(FX_Vap,$KG41,BX$91)-INDEX(FX_Vap,$KH41,BX$91)</f>
        <v>0</v>
      </c>
      <c r="BY41" s="73" cm="1">
        <f t="array" ref="BY41">IF(BU41="Out of Service",0,INDEX(FX_Vap,$KI41,BY$91))</f>
        <v>0</v>
      </c>
      <c r="BZ41" s="63">
        <f t="shared" si="27"/>
        <v>0</v>
      </c>
      <c r="CA41" s="63">
        <f t="shared" si="28"/>
        <v>1</v>
      </c>
      <c r="CB41" s="63" cm="1">
        <f t="array" ref="CB41">INDEX(FX_Vap,$KJ41,CB$91)</f>
        <v>0</v>
      </c>
      <c r="CC41" s="63" cm="1">
        <f t="array" ref="CC41">INDEX(FX_Temps,$KD41,CC$89)+459.6</f>
        <v>508.2</v>
      </c>
      <c r="CD41" s="63">
        <f t="shared" si="29"/>
        <v>0</v>
      </c>
      <c r="CE41" s="63" cm="1">
        <f t="array" ref="CE41">INDEX(Month_Ref,CE$83,3)*BZ41*(PI()/4*$F41^2)*$H41*CA41*CD41</f>
        <v>0</v>
      </c>
      <c r="CF41" s="63" cm="1">
        <f t="array" ref="CF41">INDEX(FX_Input,$KB41,CF$85)</f>
        <v>0</v>
      </c>
      <c r="CG41" s="63">
        <f t="shared" si="30"/>
        <v>0</v>
      </c>
      <c r="CH41" s="63">
        <f t="shared" si="31"/>
        <v>0</v>
      </c>
      <c r="CI41" s="63">
        <f t="shared" si="32"/>
        <v>1</v>
      </c>
      <c r="CJ41" s="63" cm="1">
        <f t="array" ref="CJ41">IF(OR(INDEX(FX_Vap,$KK41,CJ$90)="Crude Oil",(INDEX(FX_Vap,$KL41,CJ$90)="Crude Oil")),0.75,1)</f>
        <v>1</v>
      </c>
      <c r="CK41" s="63">
        <f t="shared" si="111"/>
        <v>1</v>
      </c>
      <c r="CL41" s="63">
        <f t="shared" si="33"/>
        <v>0</v>
      </c>
      <c r="CM41" s="64">
        <f t="shared" si="34"/>
        <v>0</v>
      </c>
      <c r="CN41" s="80" t="str" cm="1">
        <f t="array" ref="CN41">IF(ISBLANK(INDEX(FX_Input,$KB41+1,CN$85)),INDEX(FX_Input,$KB41,CN$85),INDEX(FX_Input,$KB41,CN$85)&amp;" &amp; "&amp;INDEX(FX_Input,$KB41+1,CN$85))</f>
        <v>Out of Service</v>
      </c>
      <c r="CO41" s="63" cm="1">
        <f t="array" ref="CO41">INDEX(FX_Temps,$KC41+7,CO$89)</f>
        <v>0</v>
      </c>
      <c r="CP41" s="63" cm="1">
        <f t="array" ref="CP41">INDEX(FX_Temps,$KC41+13,CP$89)+459.6</f>
        <v>512.75</v>
      </c>
      <c r="CQ41" s="63" cm="1">
        <f t="array" ref="CQ41">INDEX(FX_Vap,$KG41,CQ$91)-INDEX(FX_Vap,$KH41,CQ$91)</f>
        <v>0</v>
      </c>
      <c r="CR41" s="73" cm="1">
        <f t="array" ref="CR41">IF(CN41="Out of Service",0,INDEX(FX_Vap,$KI41,CR$91))</f>
        <v>0</v>
      </c>
      <c r="CS41" s="63">
        <f t="shared" si="35"/>
        <v>0</v>
      </c>
      <c r="CT41" s="63">
        <f t="shared" si="36"/>
        <v>1</v>
      </c>
      <c r="CU41" s="63" cm="1">
        <f t="array" ref="CU41">INDEX(FX_Vap,$KJ41,CU$91)</f>
        <v>0</v>
      </c>
      <c r="CV41" s="63" cm="1">
        <f t="array" ref="CV41">INDEX(FX_Temps,$KD41,CV$89)+459.6</f>
        <v>512.75</v>
      </c>
      <c r="CW41" s="63">
        <f t="shared" si="37"/>
        <v>0</v>
      </c>
      <c r="CX41" s="63" cm="1">
        <f t="array" ref="CX41">INDEX(Month_Ref,CX$83,3)*CS41*(PI()/4*$F41^2)*$H41*CT41*CW41</f>
        <v>0</v>
      </c>
      <c r="CY41" s="63" cm="1">
        <f t="array" ref="CY41">INDEX(FX_Input,$KB41,CY$85)</f>
        <v>0</v>
      </c>
      <c r="CZ41" s="63">
        <f t="shared" si="38"/>
        <v>0</v>
      </c>
      <c r="DA41" s="63">
        <f t="shared" si="39"/>
        <v>0</v>
      </c>
      <c r="DB41" s="63">
        <f t="shared" si="40"/>
        <v>1</v>
      </c>
      <c r="DC41" s="63" cm="1">
        <f t="array" ref="DC41">IF(OR(INDEX(FX_Vap,$KK41,DC$90)="Crude Oil",(INDEX(FX_Vap,$KL41,DC$90)="Crude Oil")),0.75,1)</f>
        <v>1</v>
      </c>
      <c r="DD41" s="63">
        <f t="shared" si="112"/>
        <v>1</v>
      </c>
      <c r="DE41" s="63">
        <f t="shared" si="41"/>
        <v>0</v>
      </c>
      <c r="DF41" s="64">
        <f t="shared" si="42"/>
        <v>0</v>
      </c>
      <c r="DG41" s="80" t="str" cm="1">
        <f t="array" ref="DG41">IF(ISBLANK(INDEX(FX_Input,$KB41+1,DG$85)),INDEX(FX_Input,$KB41,DG$85),INDEX(FX_Input,$KB41,DG$85)&amp;" &amp; "&amp;INDEX(FX_Input,$KB41+1,DG$85))</f>
        <v>Out of Service</v>
      </c>
      <c r="DH41" s="63" cm="1">
        <f t="array" ref="DH41">INDEX(FX_Temps,$KC41+7,DH$89)</f>
        <v>0</v>
      </c>
      <c r="DI41" s="63" cm="1">
        <f t="array" ref="DI41">INDEX(FX_Temps,$KC41+13,DI$89)+459.6</f>
        <v>516.55000000000007</v>
      </c>
      <c r="DJ41" s="63" cm="1">
        <f t="array" ref="DJ41">INDEX(FX_Vap,$KG41,DJ$91)-INDEX(FX_Vap,$KH41,DJ$91)</f>
        <v>0</v>
      </c>
      <c r="DK41" s="73" cm="1">
        <f t="array" ref="DK41">IF(DG41="Out of Service",0,INDEX(FX_Vap,$KI41,DK$91))</f>
        <v>0</v>
      </c>
      <c r="DL41" s="63">
        <f t="shared" si="43"/>
        <v>0</v>
      </c>
      <c r="DM41" s="63">
        <f t="shared" si="44"/>
        <v>1</v>
      </c>
      <c r="DN41" s="63" cm="1">
        <f t="array" ref="DN41">INDEX(FX_Vap,$KJ41,DN$91)</f>
        <v>0</v>
      </c>
      <c r="DO41" s="63" cm="1">
        <f t="array" ref="DO41">INDEX(FX_Temps,$KD41,DO$89)+459.6</f>
        <v>516.55000000000007</v>
      </c>
      <c r="DP41" s="63">
        <f t="shared" si="45"/>
        <v>0</v>
      </c>
      <c r="DQ41" s="63" cm="1">
        <f t="array" ref="DQ41">INDEX(Month_Ref,DQ$83,3)*DL41*(PI()/4*$F41^2)*$H41*DM41*DP41</f>
        <v>0</v>
      </c>
      <c r="DR41" s="63" cm="1">
        <f t="array" ref="DR41">INDEX(FX_Input,$KB41,DR$85)</f>
        <v>0</v>
      </c>
      <c r="DS41" s="63">
        <f t="shared" si="46"/>
        <v>0</v>
      </c>
      <c r="DT41" s="63">
        <f t="shared" si="47"/>
        <v>0</v>
      </c>
      <c r="DU41" s="63">
        <f t="shared" si="48"/>
        <v>1</v>
      </c>
      <c r="DV41" s="63" cm="1">
        <f t="array" ref="DV41">IF(OR(INDEX(FX_Vap,$KK41,DV$90)="Crude Oil",(INDEX(FX_Vap,$KL41,DV$90)="Crude Oil")),0.75,1)</f>
        <v>1</v>
      </c>
      <c r="DW41" s="63">
        <f t="shared" si="113"/>
        <v>1</v>
      </c>
      <c r="DX41" s="63">
        <f t="shared" si="49"/>
        <v>0</v>
      </c>
      <c r="DY41" s="64">
        <f t="shared" si="50"/>
        <v>0</v>
      </c>
      <c r="DZ41" s="80" t="str" cm="1">
        <f t="array" ref="DZ41">IF(ISBLANK(INDEX(FX_Input,$KB41+1,DZ$85)),INDEX(FX_Input,$KB41,DZ$85),INDEX(FX_Input,$KB41,DZ$85)&amp;" &amp; "&amp;INDEX(FX_Input,$KB41+1,DZ$85))</f>
        <v>Out of Service</v>
      </c>
      <c r="EA41" s="63" cm="1">
        <f t="array" ref="EA41">INDEX(FX_Temps,$KC41+7,EA$89)</f>
        <v>0</v>
      </c>
      <c r="EB41" s="63" cm="1">
        <f t="array" ref="EB41">INDEX(FX_Temps,$KC41+13,EB$89)+459.6</f>
        <v>520.04999999999995</v>
      </c>
      <c r="EC41" s="63" cm="1">
        <f t="array" ref="EC41">INDEX(FX_Vap,$KG41,EC$91)-INDEX(FX_Vap,$KH41,EC$91)</f>
        <v>0</v>
      </c>
      <c r="ED41" s="73" cm="1">
        <f t="array" ref="ED41">IF(DZ41="Out of Service",0,INDEX(FX_Vap,$KI41,ED$91))</f>
        <v>0</v>
      </c>
      <c r="EE41" s="63">
        <f t="shared" si="51"/>
        <v>0</v>
      </c>
      <c r="EF41" s="63">
        <f t="shared" si="52"/>
        <v>1</v>
      </c>
      <c r="EG41" s="63" cm="1">
        <f t="array" ref="EG41">INDEX(FX_Vap,$KJ41,EG$91)</f>
        <v>0</v>
      </c>
      <c r="EH41" s="63" cm="1">
        <f t="array" ref="EH41">INDEX(FX_Temps,$KD41,EH$89)+459.6</f>
        <v>520.04999999999995</v>
      </c>
      <c r="EI41" s="63">
        <f t="shared" si="53"/>
        <v>0</v>
      </c>
      <c r="EJ41" s="63" cm="1">
        <f t="array" ref="EJ41">INDEX(Month_Ref,EJ$83,3)*EE41*(PI()/4*$F41^2)*$H41*EF41*EI41</f>
        <v>0</v>
      </c>
      <c r="EK41" s="63" cm="1">
        <f t="array" ref="EK41">INDEX(FX_Input,$KB41,EK$85)</f>
        <v>0</v>
      </c>
      <c r="EL41" s="63">
        <f t="shared" si="54"/>
        <v>0</v>
      </c>
      <c r="EM41" s="63">
        <f t="shared" si="55"/>
        <v>0</v>
      </c>
      <c r="EN41" s="63">
        <f t="shared" si="56"/>
        <v>1</v>
      </c>
      <c r="EO41" s="63" cm="1">
        <f t="array" ref="EO41">IF(OR(INDEX(FX_Vap,$KK41,EO$90)="Crude Oil",(INDEX(FX_Vap,$KL41,EO$90)="Crude Oil")),0.75,1)</f>
        <v>1</v>
      </c>
      <c r="EP41" s="63">
        <f t="shared" si="114"/>
        <v>1</v>
      </c>
      <c r="EQ41" s="63">
        <f t="shared" si="57"/>
        <v>0</v>
      </c>
      <c r="ER41" s="64">
        <f t="shared" si="58"/>
        <v>0</v>
      </c>
      <c r="ES41" s="80" t="str" cm="1">
        <f t="array" ref="ES41">IF(ISBLANK(INDEX(FX_Input,$KB41+1,ES$85)),INDEX(FX_Input,$KB41,ES$85),INDEX(FX_Input,$KB41,ES$85)&amp;" &amp; "&amp;INDEX(FX_Input,$KB41+1,ES$85))</f>
        <v>Out of Service</v>
      </c>
      <c r="ET41" s="63" cm="1">
        <f t="array" ref="ET41">INDEX(FX_Temps,$KC41+7,ET$89)</f>
        <v>0</v>
      </c>
      <c r="EU41" s="63" cm="1">
        <f t="array" ref="EU41">INDEX(FX_Temps,$KC41+13,EU$89)+459.6</f>
        <v>520.5</v>
      </c>
      <c r="EV41" s="63" cm="1">
        <f t="array" ref="EV41">INDEX(FX_Vap,$KG41,EV$91)-INDEX(FX_Vap,$KH41,EV$91)</f>
        <v>0</v>
      </c>
      <c r="EW41" s="73" cm="1">
        <f t="array" ref="EW41">IF(ES41="Out of Service",0,INDEX(FX_Vap,$KI41,EW$91))</f>
        <v>0</v>
      </c>
      <c r="EX41" s="63">
        <f t="shared" si="59"/>
        <v>0</v>
      </c>
      <c r="EY41" s="63">
        <f t="shared" si="60"/>
        <v>1</v>
      </c>
      <c r="EZ41" s="63" cm="1">
        <f t="array" ref="EZ41">INDEX(FX_Vap,$KJ41,EZ$91)</f>
        <v>0</v>
      </c>
      <c r="FA41" s="63" cm="1">
        <f t="array" ref="FA41">INDEX(FX_Temps,$KD41,FA$89)+459.6</f>
        <v>520.5</v>
      </c>
      <c r="FB41" s="63">
        <f t="shared" si="61"/>
        <v>0</v>
      </c>
      <c r="FC41" s="63" cm="1">
        <f t="array" ref="FC41">INDEX(Month_Ref,FC$83,3)*EX41*(PI()/4*$F41^2)*$H41*EY41*FB41</f>
        <v>0</v>
      </c>
      <c r="FD41" s="63" cm="1">
        <f t="array" ref="FD41">INDEX(FX_Input,$KB41,FD$85)</f>
        <v>0</v>
      </c>
      <c r="FE41" s="63">
        <f t="shared" si="62"/>
        <v>0</v>
      </c>
      <c r="FF41" s="63">
        <f t="shared" si="63"/>
        <v>0</v>
      </c>
      <c r="FG41" s="63">
        <f t="shared" si="64"/>
        <v>1</v>
      </c>
      <c r="FH41" s="63" cm="1">
        <f t="array" ref="FH41">IF(OR(INDEX(FX_Vap,$KK41,FH$90)="Crude Oil",(INDEX(FX_Vap,$KL41,FH$90)="Crude Oil")),0.75,1)</f>
        <v>1</v>
      </c>
      <c r="FI41" s="63">
        <f t="shared" si="115"/>
        <v>1</v>
      </c>
      <c r="FJ41" s="63">
        <f t="shared" si="65"/>
        <v>0</v>
      </c>
      <c r="FK41" s="64">
        <f t="shared" si="66"/>
        <v>0</v>
      </c>
      <c r="FL41" s="80" t="str" cm="1">
        <f t="array" ref="FL41">IF(ISBLANK(INDEX(FX_Input,$KB41+1,FL$85)),INDEX(FX_Input,$KB41,FL$85),INDEX(FX_Input,$KB41,FL$85)&amp;" &amp; "&amp;INDEX(FX_Input,$KB41+1,FL$85))</f>
        <v>Out of Service</v>
      </c>
      <c r="FM41" s="63" cm="1">
        <f t="array" ref="FM41">INDEX(FX_Temps,$KC41+7,FM$89)</f>
        <v>0</v>
      </c>
      <c r="FN41" s="63" cm="1">
        <f t="array" ref="FN41">INDEX(FX_Temps,$KC41+13,FN$89)+459.6</f>
        <v>518.20000000000005</v>
      </c>
      <c r="FO41" s="63" cm="1">
        <f t="array" ref="FO41">INDEX(FX_Vap,$KG41,FO$91)-INDEX(FX_Vap,$KH41,FO$91)</f>
        <v>0</v>
      </c>
      <c r="FP41" s="73" cm="1">
        <f t="array" ref="FP41">IF(FL41="Out of Service",0,INDEX(FX_Vap,$KI41,FP$91))</f>
        <v>0</v>
      </c>
      <c r="FQ41" s="63">
        <f t="shared" si="67"/>
        <v>0</v>
      </c>
      <c r="FR41" s="63">
        <f t="shared" si="68"/>
        <v>1</v>
      </c>
      <c r="FS41" s="63" cm="1">
        <f t="array" ref="FS41">INDEX(FX_Vap,$KJ41,FS$91)</f>
        <v>0</v>
      </c>
      <c r="FT41" s="63" cm="1">
        <f t="array" ref="FT41">INDEX(FX_Temps,$KD41,FT$89)+459.6</f>
        <v>518.20000000000005</v>
      </c>
      <c r="FU41" s="63">
        <f t="shared" si="69"/>
        <v>0</v>
      </c>
      <c r="FV41" s="63" cm="1">
        <f t="array" ref="FV41">INDEX(Month_Ref,FV$83,3)*FQ41*(PI()/4*$F41^2)*$H41*FR41*FU41</f>
        <v>0</v>
      </c>
      <c r="FW41" s="63" cm="1">
        <f t="array" ref="FW41">INDEX(FX_Input,$KB41,FW$85)</f>
        <v>0</v>
      </c>
      <c r="FX41" s="63">
        <f t="shared" si="70"/>
        <v>0</v>
      </c>
      <c r="FY41" s="63">
        <f t="shared" si="71"/>
        <v>0</v>
      </c>
      <c r="FZ41" s="63">
        <f t="shared" si="72"/>
        <v>1</v>
      </c>
      <c r="GA41" s="63" cm="1">
        <f t="array" ref="GA41">IF(OR(INDEX(FX_Vap,$KK41,GA$90)="Crude Oil",(INDEX(FX_Vap,$KL41,GA$90)="Crude Oil")),0.75,1)</f>
        <v>1</v>
      </c>
      <c r="GB41" s="63">
        <f t="shared" si="116"/>
        <v>1</v>
      </c>
      <c r="GC41" s="63">
        <f t="shared" si="73"/>
        <v>0</v>
      </c>
      <c r="GD41" s="64">
        <f t="shared" si="74"/>
        <v>0</v>
      </c>
      <c r="GE41" s="80" t="str" cm="1">
        <f t="array" ref="GE41">IF(ISBLANK(INDEX(FX_Input,$KB41+1,GE$85)),INDEX(FX_Input,$KB41,GE$85),INDEX(FX_Input,$KB41,GE$85)&amp;" &amp; "&amp;INDEX(FX_Input,$KB41+1,GE$85))</f>
        <v>Out of Service</v>
      </c>
      <c r="GF41" s="63" cm="1">
        <f t="array" ref="GF41">INDEX(FX_Temps,$KC41+7,GF$89)</f>
        <v>0</v>
      </c>
      <c r="GG41" s="63" cm="1">
        <f t="array" ref="GG41">INDEX(FX_Temps,$KC41+13,GG$89)+459.6</f>
        <v>512.25</v>
      </c>
      <c r="GH41" s="63" cm="1">
        <f t="array" ref="GH41">INDEX(FX_Vap,$KG41,GH$91)-INDEX(FX_Vap,$KH41,GH$91)</f>
        <v>0</v>
      </c>
      <c r="GI41" s="73" cm="1">
        <f t="array" ref="GI41">IF(GE41="Out of Service",0,INDEX(FX_Vap,$KI41,GI$91))</f>
        <v>0</v>
      </c>
      <c r="GJ41" s="63">
        <f t="shared" si="75"/>
        <v>0</v>
      </c>
      <c r="GK41" s="63">
        <f t="shared" si="76"/>
        <v>1</v>
      </c>
      <c r="GL41" s="63" cm="1">
        <f t="array" ref="GL41">INDEX(FX_Vap,$KJ41,GL$91)</f>
        <v>0</v>
      </c>
      <c r="GM41" s="63" cm="1">
        <f t="array" ref="GM41">INDEX(FX_Temps,$KD41,GM$89)+459.6</f>
        <v>512.25</v>
      </c>
      <c r="GN41" s="63">
        <f t="shared" si="77"/>
        <v>0</v>
      </c>
      <c r="GO41" s="63" cm="1">
        <f t="array" ref="GO41">INDEX(Month_Ref,GO$83,3)*GJ41*(PI()/4*$F41^2)*$H41*GK41*GN41</f>
        <v>0</v>
      </c>
      <c r="GP41" s="63" cm="1">
        <f t="array" ref="GP41">INDEX(FX_Input,$KB41,GP$85)</f>
        <v>0</v>
      </c>
      <c r="GQ41" s="63">
        <f t="shared" si="78"/>
        <v>0</v>
      </c>
      <c r="GR41" s="63">
        <f t="shared" si="79"/>
        <v>0</v>
      </c>
      <c r="GS41" s="63">
        <f t="shared" si="80"/>
        <v>1</v>
      </c>
      <c r="GT41" s="63" cm="1">
        <f t="array" ref="GT41">IF(OR(INDEX(FX_Vap,$KK41,GT$90)="Crude Oil",(INDEX(FX_Vap,$KL41,GT$90)="Crude Oil")),0.75,1)</f>
        <v>1</v>
      </c>
      <c r="GU41" s="63">
        <f t="shared" si="117"/>
        <v>1</v>
      </c>
      <c r="GV41" s="63">
        <f t="shared" si="81"/>
        <v>0</v>
      </c>
      <c r="GW41" s="64">
        <f t="shared" si="82"/>
        <v>0</v>
      </c>
      <c r="GX41" s="80" t="str" cm="1">
        <f t="array" ref="GX41">IF(ISBLANK(INDEX(FX_Input,$KB41+1,GX$85)),INDEX(FX_Input,$KB41,GX$85),INDEX(FX_Input,$KB41,GX$85)&amp;" &amp; "&amp;INDEX(FX_Input,$KB41+1,GX$85))</f>
        <v>Out of Service</v>
      </c>
      <c r="GY41" s="63" cm="1">
        <f t="array" ref="GY41">INDEX(FX_Temps,$KC41+7,GY$89)</f>
        <v>0</v>
      </c>
      <c r="GZ41" s="63" cm="1">
        <f t="array" ref="GZ41">INDEX(FX_Temps,$KC41+13,GZ$89)+459.6</f>
        <v>506.70000000000005</v>
      </c>
      <c r="HA41" s="63" cm="1">
        <f t="array" ref="HA41">INDEX(FX_Vap,$KG41,HA$91)-INDEX(FX_Vap,$KH41,HA$91)</f>
        <v>0</v>
      </c>
      <c r="HB41" s="73" cm="1">
        <f t="array" ref="HB41">IF(GX41="Out of Service",0,INDEX(FX_Vap,$KI41,HB$91))</f>
        <v>0</v>
      </c>
      <c r="HC41" s="63">
        <f t="shared" si="83"/>
        <v>0</v>
      </c>
      <c r="HD41" s="63">
        <f t="shared" si="84"/>
        <v>1</v>
      </c>
      <c r="HE41" s="63" cm="1">
        <f t="array" ref="HE41">INDEX(FX_Vap,$KJ41,HE$91)</f>
        <v>0</v>
      </c>
      <c r="HF41" s="63" cm="1">
        <f t="array" ref="HF41">INDEX(FX_Temps,$KD41,HF$89)+459.6</f>
        <v>506.70000000000005</v>
      </c>
      <c r="HG41" s="63">
        <f t="shared" si="85"/>
        <v>0</v>
      </c>
      <c r="HH41" s="63" cm="1">
        <f t="array" ref="HH41">INDEX(Month_Ref,HH$83,3)*HC41*(PI()/4*$F41^2)*$H41*HD41*HG41</f>
        <v>0</v>
      </c>
      <c r="HI41" s="63" cm="1">
        <f t="array" ref="HI41">INDEX(FX_Input,$KB41,HI$85)</f>
        <v>0</v>
      </c>
      <c r="HJ41" s="63">
        <f t="shared" si="86"/>
        <v>0</v>
      </c>
      <c r="HK41" s="63">
        <f t="shared" si="87"/>
        <v>0</v>
      </c>
      <c r="HL41" s="63">
        <f t="shared" si="88"/>
        <v>1</v>
      </c>
      <c r="HM41" s="63" cm="1">
        <f t="array" ref="HM41">IF(OR(INDEX(FX_Vap,$KK41,HM$90)="Crude Oil",(INDEX(FX_Vap,$KL41,HM$90)="Crude Oil")),0.75,1)</f>
        <v>1</v>
      </c>
      <c r="HN41" s="63">
        <f t="shared" si="118"/>
        <v>1</v>
      </c>
      <c r="HO41" s="63">
        <f t="shared" si="89"/>
        <v>0</v>
      </c>
      <c r="HP41" s="64">
        <f t="shared" si="90"/>
        <v>0</v>
      </c>
      <c r="HQ41" s="80" t="str" cm="1">
        <f t="array" ref="HQ41">IF(ISBLANK(INDEX(FX_Input,$KB41+1,HQ$85)),INDEX(FX_Input,$KB41,HQ$85),INDEX(FX_Input,$KB41,HQ$85)&amp;" &amp; "&amp;INDEX(FX_Input,$KB41+1,HQ$85))</f>
        <v>Out of Service</v>
      </c>
      <c r="HR41" s="63" cm="1">
        <f t="array" ref="HR41">INDEX(FX_Temps,$KC41+7,HR$89)</f>
        <v>0</v>
      </c>
      <c r="HS41" s="63" cm="1">
        <f t="array" ref="HS41">INDEX(FX_Temps,$KC41+13,HS$89)+459.6</f>
        <v>503.20000000000005</v>
      </c>
      <c r="HT41" s="63" cm="1">
        <f t="array" ref="HT41">INDEX(FX_Vap,$KG41,HT$91)-INDEX(FX_Vap,$KH41,HT$91)</f>
        <v>0</v>
      </c>
      <c r="HU41" s="73" cm="1">
        <f t="array" ref="HU41">IF(HQ41="Out of Service",0,INDEX(FX_Vap,$KI41,HU$91))</f>
        <v>0</v>
      </c>
      <c r="HV41" s="63">
        <f t="shared" si="91"/>
        <v>0</v>
      </c>
      <c r="HW41" s="63">
        <f t="shared" si="92"/>
        <v>1</v>
      </c>
      <c r="HX41" s="63" cm="1">
        <f t="array" ref="HX41">INDEX(FX_Vap,$KJ41,HX$91)</f>
        <v>0</v>
      </c>
      <c r="HY41" s="63" cm="1">
        <f t="array" ref="HY41">INDEX(FX_Temps,$KD41,HY$89)+459.6</f>
        <v>503.20000000000005</v>
      </c>
      <c r="HZ41" s="63">
        <f t="shared" si="93"/>
        <v>0</v>
      </c>
      <c r="IA41" s="63" cm="1">
        <f t="array" ref="IA41">INDEX(Month_Ref,IA$83,3)*HV41*(PI()/4*$F41^2)*$H41*HW41*HZ41</f>
        <v>0</v>
      </c>
      <c r="IB41" s="63" cm="1">
        <f t="array" ref="IB41">INDEX(FX_Input,$KB41,IB$85)</f>
        <v>0</v>
      </c>
      <c r="IC41" s="63">
        <f t="shared" si="94"/>
        <v>0</v>
      </c>
      <c r="ID41" s="63">
        <f t="shared" si="95"/>
        <v>0</v>
      </c>
      <c r="IE41" s="63">
        <f t="shared" si="96"/>
        <v>1</v>
      </c>
      <c r="IF41" s="63" cm="1">
        <f t="array" ref="IF41">IF(OR(INDEX(FX_Vap,$KK41,IF$90)="Crude Oil",(INDEX(FX_Vap,$KL41,IF$90)="Crude Oil")),0.75,1)</f>
        <v>1</v>
      </c>
      <c r="IG41" s="63">
        <f t="shared" si="119"/>
        <v>1</v>
      </c>
      <c r="IH41" s="63">
        <f t="shared" si="97"/>
        <v>0</v>
      </c>
      <c r="II41" s="64">
        <f t="shared" si="98"/>
        <v>0</v>
      </c>
      <c r="IJ41" s="80">
        <f t="shared" si="99"/>
        <v>0</v>
      </c>
      <c r="IK41" s="63">
        <f t="shared" si="100"/>
        <v>0</v>
      </c>
      <c r="IL41" s="63">
        <f t="shared" si="101"/>
        <v>0</v>
      </c>
      <c r="IM41" s="63">
        <f t="shared" si="102"/>
        <v>0</v>
      </c>
      <c r="IN41" s="63">
        <f t="shared" si="103"/>
        <v>0</v>
      </c>
      <c r="IO41" s="64">
        <f t="shared" si="104"/>
        <v>0</v>
      </c>
      <c r="KB41" s="43">
        <f t="shared" si="120"/>
        <v>61</v>
      </c>
      <c r="KC41" s="43">
        <f t="shared" si="121"/>
        <v>421</v>
      </c>
      <c r="KD41" s="43">
        <f t="shared" si="122"/>
        <v>434</v>
      </c>
      <c r="KE41" s="43">
        <f t="shared" si="123"/>
        <v>421</v>
      </c>
      <c r="KF41" s="43">
        <f t="shared" si="124"/>
        <v>1021</v>
      </c>
      <c r="KG41" s="43">
        <f t="shared" si="125"/>
        <v>1044</v>
      </c>
      <c r="KH41" s="43">
        <f t="shared" si="126"/>
        <v>1039</v>
      </c>
      <c r="KI41" s="43">
        <f t="shared" si="126"/>
        <v>1049</v>
      </c>
      <c r="KJ41" s="43">
        <f t="shared" si="126"/>
        <v>1054</v>
      </c>
      <c r="KK41" s="43">
        <f t="shared" si="127"/>
        <v>1025</v>
      </c>
      <c r="KL41" s="43">
        <f t="shared" si="128"/>
        <v>1027</v>
      </c>
    </row>
    <row r="42" spans="2:298" x14ac:dyDescent="0.4">
      <c r="B42" s="43" t="str" cm="1">
        <f t="array" ref="B42">INDEX(FX_Input,$KB42,B$85)</f>
        <v>FX - 32</v>
      </c>
      <c r="C42" s="93" t="str" cm="1">
        <f t="array" ref="C42">INDEX(FX_Input,$KB42,C$85)</f>
        <v>FIXTANK 149</v>
      </c>
      <c r="D42" s="80">
        <f t="shared" si="0"/>
        <v>3101.3409977156739</v>
      </c>
      <c r="E42" s="63" cm="1">
        <f t="array" ref="E42">IF(ISBLANK(INDEX(FX_Input,$KB42,$E$85)),0.03,INDEX(FX_Input,$KB42,$E$85))-IF(ISBLANK(INDEX(FX_Input,$KB42,$E$86)),-0.03,INDEX(FX_Input,$KB42,$E$86))</f>
        <v>0.06</v>
      </c>
      <c r="F42" s="63" cm="1">
        <f t="array" ref="F42">IF(INDEX(FX_Input,$KB42,F$85)="Vertical",INDEX(FX_Input,$KB42,F$86),SQRT((INDEX(FX_Input,$KB42,F$86)*INDEX(FX_Input,$KB42,F$87))/(PI()/4)))</f>
        <v>18</v>
      </c>
      <c r="G42" s="63" cm="1">
        <f t="array" ref="G42">IF(INDEX(FX_Input,$KB42,G$85)="Vertical",INDEX(FX_Input,$KB42,G$86),INDEX(FX_Input,$KB42,G$87)*PI()/4)</f>
        <v>24</v>
      </c>
      <c r="H42" s="63" cm="1">
        <f t="array" ref="H42">IF(INDEX(FX_Input,$KB42,H$85)="Vertical",G42-G42/2+J42,G42/2)</f>
        <v>12.1875</v>
      </c>
      <c r="I42" s="63" cm="1">
        <f t="array" ref="I42">IF(INDEX(FX_Input,$KB42,F$85)="Horizontal","N/A",IF(INDEX(FX_Input,$KB42,I$86)="Cone",IF(ISBLANK(INDEX(FX_Input,$KB42,I$87)),0.0625,INDEX(FX_Input,$KB42,I$87))*F42/2,F42/2-SQRT((F42/2)^2-(INDEX(FX_Input,$KB42,I$88)^2))))</f>
        <v>0.5625</v>
      </c>
      <c r="J42" s="63" cm="1">
        <f t="array" ref="J42">IF(INDEX(FX_Input,$KB42,J$85)="Horizontal","N/A",IF(INDEX(FX_Input,$KB42,J$86)="Cone",I42/3,I42*(1/2+(1/6)*(I42/(F42/2))^2)))</f>
        <v>0.1875</v>
      </c>
      <c r="K42" s="63">
        <f t="shared" si="1"/>
        <v>23</v>
      </c>
      <c r="L42" s="63">
        <v>1</v>
      </c>
      <c r="M42" s="63" t="str" cm="1">
        <f t="array" ref="M42">INDEX(Tbl_71_6,MATCH(INDEX(FX_Input,$KB42,M$85),Paint_Color,0),VLOOKUP(INDEX(FX_Input,$KB42,M$86),Paint_Cond_Column,2,FALSE))</f>
        <v>N/A</v>
      </c>
      <c r="N42" s="63" t="str" cm="1">
        <f t="array" ref="N42">INDEX(Tbl_71_6,MATCH(INDEX(FX_Input,$KB42,N$85),Paint_Color,0),VLOOKUP(INDEX(FX_Input,$KB42,N$86),Paint_Cond_Column,2,FALSE))</f>
        <v>N/A</v>
      </c>
      <c r="O42" s="64" t="str">
        <f t="shared" si="2"/>
        <v>Insulated</v>
      </c>
      <c r="P42" s="80" t="str" cm="1">
        <f t="array" ref="P42">IF(ISBLANK(INDEX(FX_Input,$KB42+1,P$85)),INDEX(FX_Input,$KB42,P$85),INDEX(FX_Input,$KB42,P$85)&amp;" &amp; "&amp;INDEX(FX_Input,$KB42+1,P$85))</f>
        <v>Out of Service</v>
      </c>
      <c r="Q42" s="63" cm="1">
        <f t="array" ref="Q42">INDEX(FX_Temps,$KC42+7,Q$89)</f>
        <v>0</v>
      </c>
      <c r="R42" s="63" cm="1">
        <f t="array" ref="R42">INDEX(FX_Temps,$KC42+13,R$89)+459.6</f>
        <v>503.5</v>
      </c>
      <c r="S42" s="63" cm="1">
        <f t="array" ref="S42">INDEX(FX_Vap,$KG42,S$91)-INDEX(FX_Vap,$KH42,S$91)</f>
        <v>0</v>
      </c>
      <c r="T42" s="73" cm="1">
        <f t="array" ref="T42">IF(P42="Out of Service",0,INDEX(FX_Vap,$KI42,T$91))</f>
        <v>0</v>
      </c>
      <c r="U42" s="63">
        <f t="shared" si="3"/>
        <v>0</v>
      </c>
      <c r="V42" s="63">
        <f t="shared" si="4"/>
        <v>1</v>
      </c>
      <c r="W42" s="63" cm="1">
        <f t="array" ref="W42">INDEX(FX_Vap,$KJ42,W$91)</f>
        <v>0</v>
      </c>
      <c r="X42" s="63" cm="1">
        <f t="array" ref="X42">INDEX(FX_Temps,$KD42,X$89)+459.6</f>
        <v>503.5</v>
      </c>
      <c r="Y42" s="63">
        <f t="shared" si="5"/>
        <v>0</v>
      </c>
      <c r="Z42" s="63" cm="1">
        <f t="array" ref="Z42">INDEX(Month_Ref,Z$83,3)*U42*(PI()/4*$F42^2)*$H42*V42*Y42</f>
        <v>0</v>
      </c>
      <c r="AA42" s="63" cm="1">
        <f t="array" ref="AA42">INDEX(FX_Input,$KB42,AA$85)</f>
        <v>0</v>
      </c>
      <c r="AB42" s="63">
        <f t="shared" si="6"/>
        <v>0</v>
      </c>
      <c r="AC42" s="63">
        <f t="shared" si="7"/>
        <v>0</v>
      </c>
      <c r="AD42" s="63">
        <f t="shared" si="8"/>
        <v>1</v>
      </c>
      <c r="AE42" s="63" cm="1">
        <f t="array" ref="AE42">IF(OR(INDEX(FX_Vap,$KK42,AE$90)="Crude Oil",(INDEX(FX_Vap,$KL42,AE$90)="Crude Oil")),0.75,1)</f>
        <v>1</v>
      </c>
      <c r="AF42" s="63">
        <f t="shared" si="108"/>
        <v>1</v>
      </c>
      <c r="AG42" s="63">
        <f t="shared" si="9"/>
        <v>0</v>
      </c>
      <c r="AH42" s="64">
        <f t="shared" si="10"/>
        <v>0</v>
      </c>
      <c r="AI42" s="80" t="str" cm="1">
        <f t="array" ref="AI42">IF(ISBLANK(INDEX(FX_Input,$KB42+1,AI$85)),INDEX(FX_Input,$KB42,AI$85),INDEX(FX_Input,$KB42,AI$85)&amp;" &amp; "&amp;INDEX(FX_Input,$KB42+1,AI$85))</f>
        <v>Out of Service</v>
      </c>
      <c r="AJ42" s="63" cm="1">
        <f t="array" ref="AJ42">INDEX(FX_Temps,$KC42+7,AJ$89)</f>
        <v>0</v>
      </c>
      <c r="AK42" s="63" cm="1">
        <f t="array" ref="AK42">INDEX(FX_Temps,$KC42+13,AK$89)+459.6</f>
        <v>504.30000000000007</v>
      </c>
      <c r="AL42" s="63" cm="1">
        <f t="array" ref="AL42">INDEX(FX_Vap,$KG42,AL$91)-INDEX(FX_Vap,$KH42,AL$91)</f>
        <v>0</v>
      </c>
      <c r="AM42" s="73" cm="1">
        <f t="array" ref="AM42">IF(AI42="Out of Service",0,INDEX(FX_Vap,$KI42,AM$91))</f>
        <v>0</v>
      </c>
      <c r="AN42" s="63">
        <f t="shared" si="11"/>
        <v>0</v>
      </c>
      <c r="AO42" s="63">
        <f t="shared" si="12"/>
        <v>1</v>
      </c>
      <c r="AP42" s="63" cm="1">
        <f t="array" ref="AP42">INDEX(FX_Vap,$KJ42,AP$91)</f>
        <v>0</v>
      </c>
      <c r="AQ42" s="63" cm="1">
        <f t="array" ref="AQ42">INDEX(FX_Temps,$KD42,AQ$89)+459.6</f>
        <v>504.30000000000007</v>
      </c>
      <c r="AR42" s="63">
        <f t="shared" si="13"/>
        <v>0</v>
      </c>
      <c r="AS42" s="63" cm="1">
        <f t="array" ref="AS42">INDEX(Month_Ref,AS$83,3)*AN42*(PI()/4*$F42^2)*$H42*AO42*AR42</f>
        <v>0</v>
      </c>
      <c r="AT42" s="63" cm="1">
        <f t="array" ref="AT42">INDEX(FX_Input,$KB42,AT$85)</f>
        <v>0</v>
      </c>
      <c r="AU42" s="63">
        <f t="shared" si="14"/>
        <v>0</v>
      </c>
      <c r="AV42" s="63">
        <f t="shared" si="15"/>
        <v>0</v>
      </c>
      <c r="AW42" s="63">
        <f t="shared" si="16"/>
        <v>1</v>
      </c>
      <c r="AX42" s="63" cm="1">
        <f t="array" ref="AX42">IF(OR(INDEX(FX_Vap,$KK42,AX$90)="Crude Oil",(INDEX(FX_Vap,$KL42,AX$90)="Crude Oil")),0.75,1)</f>
        <v>1</v>
      </c>
      <c r="AY42" s="63">
        <f t="shared" si="109"/>
        <v>1</v>
      </c>
      <c r="AZ42" s="63">
        <f t="shared" si="17"/>
        <v>0</v>
      </c>
      <c r="BA42" s="64">
        <f t="shared" si="18"/>
        <v>0</v>
      </c>
      <c r="BB42" s="80" t="str" cm="1">
        <f t="array" ref="BB42">IF(ISBLANK(INDEX(FX_Input,$KB42+1,BB$85)),INDEX(FX_Input,$KB42,BB$85),INDEX(FX_Input,$KB42,BB$85)&amp;" &amp; "&amp;INDEX(FX_Input,$KB42+1,BB$85))</f>
        <v>Out of Service</v>
      </c>
      <c r="BC42" s="63" cm="1">
        <f t="array" ref="BC42">INDEX(FX_Temps,$KC42+7,BC$89)</f>
        <v>0</v>
      </c>
      <c r="BD42" s="63" cm="1">
        <f t="array" ref="BD42">INDEX(FX_Temps,$KC42+13,BD$89)+459.6</f>
        <v>505.70000000000005</v>
      </c>
      <c r="BE42" s="63" cm="1">
        <f t="array" ref="BE42">INDEX(FX_Vap,$KG42,BE$91)-INDEX(FX_Vap,$KH42,BE$91)</f>
        <v>0</v>
      </c>
      <c r="BF42" s="73" cm="1">
        <f t="array" ref="BF42">IF(BB42="Out of Service",0,INDEX(FX_Vap,$KI42,BF$91))</f>
        <v>0</v>
      </c>
      <c r="BG42" s="63">
        <f t="shared" si="19"/>
        <v>0</v>
      </c>
      <c r="BH42" s="63">
        <f t="shared" si="20"/>
        <v>1</v>
      </c>
      <c r="BI42" s="63" cm="1">
        <f t="array" ref="BI42">INDEX(FX_Vap,$KJ42,BI$91)</f>
        <v>0</v>
      </c>
      <c r="BJ42" s="63" cm="1">
        <f t="array" ref="BJ42">INDEX(FX_Temps,$KD42,BJ$89)+459.6</f>
        <v>505.70000000000005</v>
      </c>
      <c r="BK42" s="63">
        <f t="shared" si="21"/>
        <v>0</v>
      </c>
      <c r="BL42" s="63" cm="1">
        <f t="array" ref="BL42">INDEX(Month_Ref,BL$83,3)*BG42*(PI()/4*$F42^2)*$H42*BH42*BK42</f>
        <v>0</v>
      </c>
      <c r="BM42" s="63" cm="1">
        <f t="array" ref="BM42">INDEX(FX_Input,$KB42,BM$85)</f>
        <v>0</v>
      </c>
      <c r="BN42" s="63">
        <f t="shared" si="22"/>
        <v>0</v>
      </c>
      <c r="BO42" s="63">
        <f t="shared" si="23"/>
        <v>0</v>
      </c>
      <c r="BP42" s="63">
        <f t="shared" si="24"/>
        <v>1</v>
      </c>
      <c r="BQ42" s="63" cm="1">
        <f t="array" ref="BQ42">IF(OR(INDEX(FX_Vap,$KK42,BQ$90)="Crude Oil",(INDEX(FX_Vap,$KL42,BQ$90)="Crude Oil")),0.75,1)</f>
        <v>1</v>
      </c>
      <c r="BR42" s="63">
        <f t="shared" si="110"/>
        <v>1</v>
      </c>
      <c r="BS42" s="63">
        <f t="shared" si="25"/>
        <v>0</v>
      </c>
      <c r="BT42" s="64">
        <f t="shared" si="26"/>
        <v>0</v>
      </c>
      <c r="BU42" s="80" t="str" cm="1">
        <f t="array" ref="BU42">IF(ISBLANK(INDEX(FX_Input,$KB42+1,BU$85)),INDEX(FX_Input,$KB42,BU$85),INDEX(FX_Input,$KB42,BU$85)&amp;" &amp; "&amp;INDEX(FX_Input,$KB42+1,BU$85))</f>
        <v>Out of Service</v>
      </c>
      <c r="BV42" s="63" cm="1">
        <f t="array" ref="BV42">INDEX(FX_Temps,$KC42+7,BV$89)</f>
        <v>0</v>
      </c>
      <c r="BW42" s="63" cm="1">
        <f t="array" ref="BW42">INDEX(FX_Temps,$KC42+13,BW$89)+459.6</f>
        <v>508.2</v>
      </c>
      <c r="BX42" s="63" cm="1">
        <f t="array" ref="BX42">INDEX(FX_Vap,$KG42,BX$91)-INDEX(FX_Vap,$KH42,BX$91)</f>
        <v>0</v>
      </c>
      <c r="BY42" s="73" cm="1">
        <f t="array" ref="BY42">IF(BU42="Out of Service",0,INDEX(FX_Vap,$KI42,BY$91))</f>
        <v>0</v>
      </c>
      <c r="BZ42" s="63">
        <f t="shared" si="27"/>
        <v>0</v>
      </c>
      <c r="CA42" s="63">
        <f t="shared" si="28"/>
        <v>1</v>
      </c>
      <c r="CB42" s="63" cm="1">
        <f t="array" ref="CB42">INDEX(FX_Vap,$KJ42,CB$91)</f>
        <v>0</v>
      </c>
      <c r="CC42" s="63" cm="1">
        <f t="array" ref="CC42">INDEX(FX_Temps,$KD42,CC$89)+459.6</f>
        <v>508.2</v>
      </c>
      <c r="CD42" s="63">
        <f t="shared" si="29"/>
        <v>0</v>
      </c>
      <c r="CE42" s="63" cm="1">
        <f t="array" ref="CE42">INDEX(Month_Ref,CE$83,3)*BZ42*(PI()/4*$F42^2)*$H42*CA42*CD42</f>
        <v>0</v>
      </c>
      <c r="CF42" s="63" cm="1">
        <f t="array" ref="CF42">INDEX(FX_Input,$KB42,CF$85)</f>
        <v>0</v>
      </c>
      <c r="CG42" s="63">
        <f t="shared" si="30"/>
        <v>0</v>
      </c>
      <c r="CH42" s="63">
        <f t="shared" si="31"/>
        <v>0</v>
      </c>
      <c r="CI42" s="63">
        <f t="shared" si="32"/>
        <v>1</v>
      </c>
      <c r="CJ42" s="63" cm="1">
        <f t="array" ref="CJ42">IF(OR(INDEX(FX_Vap,$KK42,CJ$90)="Crude Oil",(INDEX(FX_Vap,$KL42,CJ$90)="Crude Oil")),0.75,1)</f>
        <v>1</v>
      </c>
      <c r="CK42" s="63">
        <f t="shared" si="111"/>
        <v>1</v>
      </c>
      <c r="CL42" s="63">
        <f t="shared" si="33"/>
        <v>0</v>
      </c>
      <c r="CM42" s="64">
        <f t="shared" si="34"/>
        <v>0</v>
      </c>
      <c r="CN42" s="80" t="str" cm="1">
        <f t="array" ref="CN42">IF(ISBLANK(INDEX(FX_Input,$KB42+1,CN$85)),INDEX(FX_Input,$KB42,CN$85),INDEX(FX_Input,$KB42,CN$85)&amp;" &amp; "&amp;INDEX(FX_Input,$KB42+1,CN$85))</f>
        <v>Out of Service</v>
      </c>
      <c r="CO42" s="63" cm="1">
        <f t="array" ref="CO42">INDEX(FX_Temps,$KC42+7,CO$89)</f>
        <v>0</v>
      </c>
      <c r="CP42" s="63" cm="1">
        <f t="array" ref="CP42">INDEX(FX_Temps,$KC42+13,CP$89)+459.6</f>
        <v>512.75</v>
      </c>
      <c r="CQ42" s="63" cm="1">
        <f t="array" ref="CQ42">INDEX(FX_Vap,$KG42,CQ$91)-INDEX(FX_Vap,$KH42,CQ$91)</f>
        <v>0</v>
      </c>
      <c r="CR42" s="73" cm="1">
        <f t="array" ref="CR42">IF(CN42="Out of Service",0,INDEX(FX_Vap,$KI42,CR$91))</f>
        <v>0</v>
      </c>
      <c r="CS42" s="63">
        <f t="shared" si="35"/>
        <v>0</v>
      </c>
      <c r="CT42" s="63">
        <f t="shared" si="36"/>
        <v>1</v>
      </c>
      <c r="CU42" s="63" cm="1">
        <f t="array" ref="CU42">INDEX(FX_Vap,$KJ42,CU$91)</f>
        <v>0</v>
      </c>
      <c r="CV42" s="63" cm="1">
        <f t="array" ref="CV42">INDEX(FX_Temps,$KD42,CV$89)+459.6</f>
        <v>512.75</v>
      </c>
      <c r="CW42" s="63">
        <f t="shared" si="37"/>
        <v>0</v>
      </c>
      <c r="CX42" s="63" cm="1">
        <f t="array" ref="CX42">INDEX(Month_Ref,CX$83,3)*CS42*(PI()/4*$F42^2)*$H42*CT42*CW42</f>
        <v>0</v>
      </c>
      <c r="CY42" s="63" cm="1">
        <f t="array" ref="CY42">INDEX(FX_Input,$KB42,CY$85)</f>
        <v>0</v>
      </c>
      <c r="CZ42" s="63">
        <f t="shared" si="38"/>
        <v>0</v>
      </c>
      <c r="DA42" s="63">
        <f t="shared" si="39"/>
        <v>0</v>
      </c>
      <c r="DB42" s="63">
        <f t="shared" si="40"/>
        <v>1</v>
      </c>
      <c r="DC42" s="63" cm="1">
        <f t="array" ref="DC42">IF(OR(INDEX(FX_Vap,$KK42,DC$90)="Crude Oil",(INDEX(FX_Vap,$KL42,DC$90)="Crude Oil")),0.75,1)</f>
        <v>1</v>
      </c>
      <c r="DD42" s="63">
        <f t="shared" si="112"/>
        <v>1</v>
      </c>
      <c r="DE42" s="63">
        <f t="shared" si="41"/>
        <v>0</v>
      </c>
      <c r="DF42" s="64">
        <f t="shared" si="42"/>
        <v>0</v>
      </c>
      <c r="DG42" s="80" t="str" cm="1">
        <f t="array" ref="DG42">IF(ISBLANK(INDEX(FX_Input,$KB42+1,DG$85)),INDEX(FX_Input,$KB42,DG$85),INDEX(FX_Input,$KB42,DG$85)&amp;" &amp; "&amp;INDEX(FX_Input,$KB42+1,DG$85))</f>
        <v>Out of Service</v>
      </c>
      <c r="DH42" s="63" cm="1">
        <f t="array" ref="DH42">INDEX(FX_Temps,$KC42+7,DH$89)</f>
        <v>0</v>
      </c>
      <c r="DI42" s="63" cm="1">
        <f t="array" ref="DI42">INDEX(FX_Temps,$KC42+13,DI$89)+459.6</f>
        <v>516.55000000000007</v>
      </c>
      <c r="DJ42" s="63" cm="1">
        <f t="array" ref="DJ42">INDEX(FX_Vap,$KG42,DJ$91)-INDEX(FX_Vap,$KH42,DJ$91)</f>
        <v>0</v>
      </c>
      <c r="DK42" s="73" cm="1">
        <f t="array" ref="DK42">IF(DG42="Out of Service",0,INDEX(FX_Vap,$KI42,DK$91))</f>
        <v>0</v>
      </c>
      <c r="DL42" s="63">
        <f t="shared" si="43"/>
        <v>0</v>
      </c>
      <c r="DM42" s="63">
        <f t="shared" si="44"/>
        <v>1</v>
      </c>
      <c r="DN42" s="63" cm="1">
        <f t="array" ref="DN42">INDEX(FX_Vap,$KJ42,DN$91)</f>
        <v>0</v>
      </c>
      <c r="DO42" s="63" cm="1">
        <f t="array" ref="DO42">INDEX(FX_Temps,$KD42,DO$89)+459.6</f>
        <v>516.55000000000007</v>
      </c>
      <c r="DP42" s="63">
        <f t="shared" si="45"/>
        <v>0</v>
      </c>
      <c r="DQ42" s="63" cm="1">
        <f t="array" ref="DQ42">INDEX(Month_Ref,DQ$83,3)*DL42*(PI()/4*$F42^2)*$H42*DM42*DP42</f>
        <v>0</v>
      </c>
      <c r="DR42" s="63" cm="1">
        <f t="array" ref="DR42">INDEX(FX_Input,$KB42,DR$85)</f>
        <v>0</v>
      </c>
      <c r="DS42" s="63">
        <f t="shared" si="46"/>
        <v>0</v>
      </c>
      <c r="DT42" s="63">
        <f t="shared" si="47"/>
        <v>0</v>
      </c>
      <c r="DU42" s="63">
        <f t="shared" si="48"/>
        <v>1</v>
      </c>
      <c r="DV42" s="63" cm="1">
        <f t="array" ref="DV42">IF(OR(INDEX(FX_Vap,$KK42,DV$90)="Crude Oil",(INDEX(FX_Vap,$KL42,DV$90)="Crude Oil")),0.75,1)</f>
        <v>1</v>
      </c>
      <c r="DW42" s="63">
        <f t="shared" si="113"/>
        <v>1</v>
      </c>
      <c r="DX42" s="63">
        <f t="shared" si="49"/>
        <v>0</v>
      </c>
      <c r="DY42" s="64">
        <f t="shared" si="50"/>
        <v>0</v>
      </c>
      <c r="DZ42" s="80" t="str" cm="1">
        <f t="array" ref="DZ42">IF(ISBLANK(INDEX(FX_Input,$KB42+1,DZ$85)),INDEX(FX_Input,$KB42,DZ$85),INDEX(FX_Input,$KB42,DZ$85)&amp;" &amp; "&amp;INDEX(FX_Input,$KB42+1,DZ$85))</f>
        <v>Out of Service</v>
      </c>
      <c r="EA42" s="63" cm="1">
        <f t="array" ref="EA42">INDEX(FX_Temps,$KC42+7,EA$89)</f>
        <v>0</v>
      </c>
      <c r="EB42" s="63" cm="1">
        <f t="array" ref="EB42">INDEX(FX_Temps,$KC42+13,EB$89)+459.6</f>
        <v>520.04999999999995</v>
      </c>
      <c r="EC42" s="63" cm="1">
        <f t="array" ref="EC42">INDEX(FX_Vap,$KG42,EC$91)-INDEX(FX_Vap,$KH42,EC$91)</f>
        <v>0</v>
      </c>
      <c r="ED42" s="73" cm="1">
        <f t="array" ref="ED42">IF(DZ42="Out of Service",0,INDEX(FX_Vap,$KI42,ED$91))</f>
        <v>0</v>
      </c>
      <c r="EE42" s="63">
        <f t="shared" si="51"/>
        <v>0</v>
      </c>
      <c r="EF42" s="63">
        <f t="shared" si="52"/>
        <v>1</v>
      </c>
      <c r="EG42" s="63" cm="1">
        <f t="array" ref="EG42">INDEX(FX_Vap,$KJ42,EG$91)</f>
        <v>0</v>
      </c>
      <c r="EH42" s="63" cm="1">
        <f t="array" ref="EH42">INDEX(FX_Temps,$KD42,EH$89)+459.6</f>
        <v>520.04999999999995</v>
      </c>
      <c r="EI42" s="63">
        <f t="shared" si="53"/>
        <v>0</v>
      </c>
      <c r="EJ42" s="63" cm="1">
        <f t="array" ref="EJ42">INDEX(Month_Ref,EJ$83,3)*EE42*(PI()/4*$F42^2)*$H42*EF42*EI42</f>
        <v>0</v>
      </c>
      <c r="EK42" s="63" cm="1">
        <f t="array" ref="EK42">INDEX(FX_Input,$KB42,EK$85)</f>
        <v>0</v>
      </c>
      <c r="EL42" s="63">
        <f t="shared" si="54"/>
        <v>0</v>
      </c>
      <c r="EM42" s="63">
        <f t="shared" si="55"/>
        <v>0</v>
      </c>
      <c r="EN42" s="63">
        <f t="shared" si="56"/>
        <v>1</v>
      </c>
      <c r="EO42" s="63" cm="1">
        <f t="array" ref="EO42">IF(OR(INDEX(FX_Vap,$KK42,EO$90)="Crude Oil",(INDEX(FX_Vap,$KL42,EO$90)="Crude Oil")),0.75,1)</f>
        <v>1</v>
      </c>
      <c r="EP42" s="63">
        <f t="shared" si="114"/>
        <v>1</v>
      </c>
      <c r="EQ42" s="63">
        <f t="shared" si="57"/>
        <v>0</v>
      </c>
      <c r="ER42" s="64">
        <f t="shared" si="58"/>
        <v>0</v>
      </c>
      <c r="ES42" s="80" t="str" cm="1">
        <f t="array" ref="ES42">IF(ISBLANK(INDEX(FX_Input,$KB42+1,ES$85)),INDEX(FX_Input,$KB42,ES$85),INDEX(FX_Input,$KB42,ES$85)&amp;" &amp; "&amp;INDEX(FX_Input,$KB42+1,ES$85))</f>
        <v>Out of Service</v>
      </c>
      <c r="ET42" s="63" cm="1">
        <f t="array" ref="ET42">INDEX(FX_Temps,$KC42+7,ET$89)</f>
        <v>0</v>
      </c>
      <c r="EU42" s="63" cm="1">
        <f t="array" ref="EU42">INDEX(FX_Temps,$KC42+13,EU$89)+459.6</f>
        <v>520.5</v>
      </c>
      <c r="EV42" s="63" cm="1">
        <f t="array" ref="EV42">INDEX(FX_Vap,$KG42,EV$91)-INDEX(FX_Vap,$KH42,EV$91)</f>
        <v>0</v>
      </c>
      <c r="EW42" s="73" cm="1">
        <f t="array" ref="EW42">IF(ES42="Out of Service",0,INDEX(FX_Vap,$KI42,EW$91))</f>
        <v>0</v>
      </c>
      <c r="EX42" s="63">
        <f t="shared" si="59"/>
        <v>0</v>
      </c>
      <c r="EY42" s="63">
        <f t="shared" si="60"/>
        <v>1</v>
      </c>
      <c r="EZ42" s="63" cm="1">
        <f t="array" ref="EZ42">INDEX(FX_Vap,$KJ42,EZ$91)</f>
        <v>0</v>
      </c>
      <c r="FA42" s="63" cm="1">
        <f t="array" ref="FA42">INDEX(FX_Temps,$KD42,FA$89)+459.6</f>
        <v>520.5</v>
      </c>
      <c r="FB42" s="63">
        <f t="shared" si="61"/>
        <v>0</v>
      </c>
      <c r="FC42" s="63" cm="1">
        <f t="array" ref="FC42">INDEX(Month_Ref,FC$83,3)*EX42*(PI()/4*$F42^2)*$H42*EY42*FB42</f>
        <v>0</v>
      </c>
      <c r="FD42" s="63" cm="1">
        <f t="array" ref="FD42">INDEX(FX_Input,$KB42,FD$85)</f>
        <v>0</v>
      </c>
      <c r="FE42" s="63">
        <f t="shared" si="62"/>
        <v>0</v>
      </c>
      <c r="FF42" s="63">
        <f t="shared" si="63"/>
        <v>0</v>
      </c>
      <c r="FG42" s="63">
        <f t="shared" si="64"/>
        <v>1</v>
      </c>
      <c r="FH42" s="63" cm="1">
        <f t="array" ref="FH42">IF(OR(INDEX(FX_Vap,$KK42,FH$90)="Crude Oil",(INDEX(FX_Vap,$KL42,FH$90)="Crude Oil")),0.75,1)</f>
        <v>1</v>
      </c>
      <c r="FI42" s="63">
        <f t="shared" si="115"/>
        <v>1</v>
      </c>
      <c r="FJ42" s="63">
        <f t="shared" si="65"/>
        <v>0</v>
      </c>
      <c r="FK42" s="64">
        <f t="shared" si="66"/>
        <v>0</v>
      </c>
      <c r="FL42" s="80" t="str" cm="1">
        <f t="array" ref="FL42">IF(ISBLANK(INDEX(FX_Input,$KB42+1,FL$85)),INDEX(FX_Input,$KB42,FL$85),INDEX(FX_Input,$KB42,FL$85)&amp;" &amp; "&amp;INDEX(FX_Input,$KB42+1,FL$85))</f>
        <v>Out of Service</v>
      </c>
      <c r="FM42" s="63" cm="1">
        <f t="array" ref="FM42">INDEX(FX_Temps,$KC42+7,FM$89)</f>
        <v>0</v>
      </c>
      <c r="FN42" s="63" cm="1">
        <f t="array" ref="FN42">INDEX(FX_Temps,$KC42+13,FN$89)+459.6</f>
        <v>518.20000000000005</v>
      </c>
      <c r="FO42" s="63" cm="1">
        <f t="array" ref="FO42">INDEX(FX_Vap,$KG42,FO$91)-INDEX(FX_Vap,$KH42,FO$91)</f>
        <v>0</v>
      </c>
      <c r="FP42" s="73" cm="1">
        <f t="array" ref="FP42">IF(FL42="Out of Service",0,INDEX(FX_Vap,$KI42,FP$91))</f>
        <v>0</v>
      </c>
      <c r="FQ42" s="63">
        <f t="shared" si="67"/>
        <v>0</v>
      </c>
      <c r="FR42" s="63">
        <f t="shared" si="68"/>
        <v>1</v>
      </c>
      <c r="FS42" s="63" cm="1">
        <f t="array" ref="FS42">INDEX(FX_Vap,$KJ42,FS$91)</f>
        <v>0</v>
      </c>
      <c r="FT42" s="63" cm="1">
        <f t="array" ref="FT42">INDEX(FX_Temps,$KD42,FT$89)+459.6</f>
        <v>518.20000000000005</v>
      </c>
      <c r="FU42" s="63">
        <f t="shared" si="69"/>
        <v>0</v>
      </c>
      <c r="FV42" s="63" cm="1">
        <f t="array" ref="FV42">INDEX(Month_Ref,FV$83,3)*FQ42*(PI()/4*$F42^2)*$H42*FR42*FU42</f>
        <v>0</v>
      </c>
      <c r="FW42" s="63" cm="1">
        <f t="array" ref="FW42">INDEX(FX_Input,$KB42,FW$85)</f>
        <v>0</v>
      </c>
      <c r="FX42" s="63">
        <f t="shared" si="70"/>
        <v>0</v>
      </c>
      <c r="FY42" s="63">
        <f t="shared" si="71"/>
        <v>0</v>
      </c>
      <c r="FZ42" s="63">
        <f t="shared" si="72"/>
        <v>1</v>
      </c>
      <c r="GA42" s="63" cm="1">
        <f t="array" ref="GA42">IF(OR(INDEX(FX_Vap,$KK42,GA$90)="Crude Oil",(INDEX(FX_Vap,$KL42,GA$90)="Crude Oil")),0.75,1)</f>
        <v>1</v>
      </c>
      <c r="GB42" s="63">
        <f t="shared" si="116"/>
        <v>1</v>
      </c>
      <c r="GC42" s="63">
        <f t="shared" si="73"/>
        <v>0</v>
      </c>
      <c r="GD42" s="64">
        <f t="shared" si="74"/>
        <v>0</v>
      </c>
      <c r="GE42" s="80" t="str" cm="1">
        <f t="array" ref="GE42">IF(ISBLANK(INDEX(FX_Input,$KB42+1,GE$85)),INDEX(FX_Input,$KB42,GE$85),INDEX(FX_Input,$KB42,GE$85)&amp;" &amp; "&amp;INDEX(FX_Input,$KB42+1,GE$85))</f>
        <v>Out of Service</v>
      </c>
      <c r="GF42" s="63" cm="1">
        <f t="array" ref="GF42">INDEX(FX_Temps,$KC42+7,GF$89)</f>
        <v>0</v>
      </c>
      <c r="GG42" s="63" cm="1">
        <f t="array" ref="GG42">INDEX(FX_Temps,$KC42+13,GG$89)+459.6</f>
        <v>512.25</v>
      </c>
      <c r="GH42" s="63" cm="1">
        <f t="array" ref="GH42">INDEX(FX_Vap,$KG42,GH$91)-INDEX(FX_Vap,$KH42,GH$91)</f>
        <v>0</v>
      </c>
      <c r="GI42" s="73" cm="1">
        <f t="array" ref="GI42">IF(GE42="Out of Service",0,INDEX(FX_Vap,$KI42,GI$91))</f>
        <v>0</v>
      </c>
      <c r="GJ42" s="63">
        <f t="shared" si="75"/>
        <v>0</v>
      </c>
      <c r="GK42" s="63">
        <f t="shared" si="76"/>
        <v>1</v>
      </c>
      <c r="GL42" s="63" cm="1">
        <f t="array" ref="GL42">INDEX(FX_Vap,$KJ42,GL$91)</f>
        <v>0</v>
      </c>
      <c r="GM42" s="63" cm="1">
        <f t="array" ref="GM42">INDEX(FX_Temps,$KD42,GM$89)+459.6</f>
        <v>512.25</v>
      </c>
      <c r="GN42" s="63">
        <f t="shared" si="77"/>
        <v>0</v>
      </c>
      <c r="GO42" s="63" cm="1">
        <f t="array" ref="GO42">INDEX(Month_Ref,GO$83,3)*GJ42*(PI()/4*$F42^2)*$H42*GK42*GN42</f>
        <v>0</v>
      </c>
      <c r="GP42" s="63" cm="1">
        <f t="array" ref="GP42">INDEX(FX_Input,$KB42,GP$85)</f>
        <v>0</v>
      </c>
      <c r="GQ42" s="63">
        <f t="shared" si="78"/>
        <v>0</v>
      </c>
      <c r="GR42" s="63">
        <f t="shared" si="79"/>
        <v>0</v>
      </c>
      <c r="GS42" s="63">
        <f t="shared" si="80"/>
        <v>1</v>
      </c>
      <c r="GT42" s="63" cm="1">
        <f t="array" ref="GT42">IF(OR(INDEX(FX_Vap,$KK42,GT$90)="Crude Oil",(INDEX(FX_Vap,$KL42,GT$90)="Crude Oil")),0.75,1)</f>
        <v>1</v>
      </c>
      <c r="GU42" s="63">
        <f t="shared" si="117"/>
        <v>1</v>
      </c>
      <c r="GV42" s="63">
        <f t="shared" si="81"/>
        <v>0</v>
      </c>
      <c r="GW42" s="64">
        <f t="shared" si="82"/>
        <v>0</v>
      </c>
      <c r="GX42" s="80" t="str" cm="1">
        <f t="array" ref="GX42">IF(ISBLANK(INDEX(FX_Input,$KB42+1,GX$85)),INDEX(FX_Input,$KB42,GX$85),INDEX(FX_Input,$KB42,GX$85)&amp;" &amp; "&amp;INDEX(FX_Input,$KB42+1,GX$85))</f>
        <v>Out of Service</v>
      </c>
      <c r="GY42" s="63" cm="1">
        <f t="array" ref="GY42">INDEX(FX_Temps,$KC42+7,GY$89)</f>
        <v>0</v>
      </c>
      <c r="GZ42" s="63" cm="1">
        <f t="array" ref="GZ42">INDEX(FX_Temps,$KC42+13,GZ$89)+459.6</f>
        <v>506.70000000000005</v>
      </c>
      <c r="HA42" s="63" cm="1">
        <f t="array" ref="HA42">INDEX(FX_Vap,$KG42,HA$91)-INDEX(FX_Vap,$KH42,HA$91)</f>
        <v>0</v>
      </c>
      <c r="HB42" s="73" cm="1">
        <f t="array" ref="HB42">IF(GX42="Out of Service",0,INDEX(FX_Vap,$KI42,HB$91))</f>
        <v>0</v>
      </c>
      <c r="HC42" s="63">
        <f t="shared" si="83"/>
        <v>0</v>
      </c>
      <c r="HD42" s="63">
        <f t="shared" si="84"/>
        <v>1</v>
      </c>
      <c r="HE42" s="63" cm="1">
        <f t="array" ref="HE42">INDEX(FX_Vap,$KJ42,HE$91)</f>
        <v>0</v>
      </c>
      <c r="HF42" s="63" cm="1">
        <f t="array" ref="HF42">INDEX(FX_Temps,$KD42,HF$89)+459.6</f>
        <v>506.70000000000005</v>
      </c>
      <c r="HG42" s="63">
        <f t="shared" si="85"/>
        <v>0</v>
      </c>
      <c r="HH42" s="63" cm="1">
        <f t="array" ref="HH42">INDEX(Month_Ref,HH$83,3)*HC42*(PI()/4*$F42^2)*$H42*HD42*HG42</f>
        <v>0</v>
      </c>
      <c r="HI42" s="63" cm="1">
        <f t="array" ref="HI42">INDEX(FX_Input,$KB42,HI$85)</f>
        <v>0</v>
      </c>
      <c r="HJ42" s="63">
        <f t="shared" si="86"/>
        <v>0</v>
      </c>
      <c r="HK42" s="63">
        <f t="shared" si="87"/>
        <v>0</v>
      </c>
      <c r="HL42" s="63">
        <f t="shared" si="88"/>
        <v>1</v>
      </c>
      <c r="HM42" s="63" cm="1">
        <f t="array" ref="HM42">IF(OR(INDEX(FX_Vap,$KK42,HM$90)="Crude Oil",(INDEX(FX_Vap,$KL42,HM$90)="Crude Oil")),0.75,1)</f>
        <v>1</v>
      </c>
      <c r="HN42" s="63">
        <f t="shared" si="118"/>
        <v>1</v>
      </c>
      <c r="HO42" s="63">
        <f t="shared" si="89"/>
        <v>0</v>
      </c>
      <c r="HP42" s="64">
        <f t="shared" si="90"/>
        <v>0</v>
      </c>
      <c r="HQ42" s="80" t="str" cm="1">
        <f t="array" ref="HQ42">IF(ISBLANK(INDEX(FX_Input,$KB42+1,HQ$85)),INDEX(FX_Input,$KB42,HQ$85),INDEX(FX_Input,$KB42,HQ$85)&amp;" &amp; "&amp;INDEX(FX_Input,$KB42+1,HQ$85))</f>
        <v>Out of Service</v>
      </c>
      <c r="HR42" s="63" cm="1">
        <f t="array" ref="HR42">INDEX(FX_Temps,$KC42+7,HR$89)</f>
        <v>0</v>
      </c>
      <c r="HS42" s="63" cm="1">
        <f t="array" ref="HS42">INDEX(FX_Temps,$KC42+13,HS$89)+459.6</f>
        <v>503.20000000000005</v>
      </c>
      <c r="HT42" s="63" cm="1">
        <f t="array" ref="HT42">INDEX(FX_Vap,$KG42,HT$91)-INDEX(FX_Vap,$KH42,HT$91)</f>
        <v>0</v>
      </c>
      <c r="HU42" s="73" cm="1">
        <f t="array" ref="HU42">IF(HQ42="Out of Service",0,INDEX(FX_Vap,$KI42,HU$91))</f>
        <v>0</v>
      </c>
      <c r="HV42" s="63">
        <f t="shared" si="91"/>
        <v>0</v>
      </c>
      <c r="HW42" s="63">
        <f t="shared" si="92"/>
        <v>1</v>
      </c>
      <c r="HX42" s="63" cm="1">
        <f t="array" ref="HX42">INDEX(FX_Vap,$KJ42,HX$91)</f>
        <v>0</v>
      </c>
      <c r="HY42" s="63" cm="1">
        <f t="array" ref="HY42">INDEX(FX_Temps,$KD42,HY$89)+459.6</f>
        <v>503.20000000000005</v>
      </c>
      <c r="HZ42" s="63">
        <f t="shared" si="93"/>
        <v>0</v>
      </c>
      <c r="IA42" s="63" cm="1">
        <f t="array" ref="IA42">INDEX(Month_Ref,IA$83,3)*HV42*(PI()/4*$F42^2)*$H42*HW42*HZ42</f>
        <v>0</v>
      </c>
      <c r="IB42" s="63" cm="1">
        <f t="array" ref="IB42">INDEX(FX_Input,$KB42,IB$85)</f>
        <v>0</v>
      </c>
      <c r="IC42" s="63">
        <f t="shared" si="94"/>
        <v>0</v>
      </c>
      <c r="ID42" s="63">
        <f t="shared" si="95"/>
        <v>0</v>
      </c>
      <c r="IE42" s="63">
        <f t="shared" si="96"/>
        <v>1</v>
      </c>
      <c r="IF42" s="63" cm="1">
        <f t="array" ref="IF42">IF(OR(INDEX(FX_Vap,$KK42,IF$90)="Crude Oil",(INDEX(FX_Vap,$KL42,IF$90)="Crude Oil")),0.75,1)</f>
        <v>1</v>
      </c>
      <c r="IG42" s="63">
        <f t="shared" si="119"/>
        <v>1</v>
      </c>
      <c r="IH42" s="63">
        <f t="shared" si="97"/>
        <v>0</v>
      </c>
      <c r="II42" s="64">
        <f t="shared" si="98"/>
        <v>0</v>
      </c>
      <c r="IJ42" s="80">
        <f t="shared" si="99"/>
        <v>0</v>
      </c>
      <c r="IK42" s="63">
        <f t="shared" si="100"/>
        <v>0</v>
      </c>
      <c r="IL42" s="63">
        <f t="shared" si="101"/>
        <v>0</v>
      </c>
      <c r="IM42" s="63">
        <f t="shared" si="102"/>
        <v>0</v>
      </c>
      <c r="IN42" s="63">
        <f t="shared" si="103"/>
        <v>0</v>
      </c>
      <c r="IO42" s="64">
        <f t="shared" si="104"/>
        <v>0</v>
      </c>
      <c r="KB42" s="43">
        <f t="shared" si="120"/>
        <v>63</v>
      </c>
      <c r="KC42" s="43">
        <f t="shared" si="121"/>
        <v>435</v>
      </c>
      <c r="KD42" s="43">
        <f t="shared" si="122"/>
        <v>448</v>
      </c>
      <c r="KE42" s="43">
        <f t="shared" si="123"/>
        <v>435</v>
      </c>
      <c r="KF42" s="43">
        <f t="shared" si="124"/>
        <v>1055</v>
      </c>
      <c r="KG42" s="43">
        <f t="shared" si="125"/>
        <v>1078</v>
      </c>
      <c r="KH42" s="43">
        <f t="shared" si="126"/>
        <v>1073</v>
      </c>
      <c r="KI42" s="43">
        <f t="shared" si="126"/>
        <v>1083</v>
      </c>
      <c r="KJ42" s="43">
        <f t="shared" si="126"/>
        <v>1088</v>
      </c>
      <c r="KK42" s="43">
        <f t="shared" si="127"/>
        <v>1059</v>
      </c>
      <c r="KL42" s="43">
        <f t="shared" si="128"/>
        <v>1061</v>
      </c>
    </row>
    <row r="43" spans="2:298" x14ac:dyDescent="0.4">
      <c r="B43" s="43" t="str" cm="1">
        <f t="array" ref="B43">INDEX(FX_Input,$KB43,B$85)</f>
        <v>FX - 33</v>
      </c>
      <c r="C43" s="93" t="str" cm="1">
        <f t="array" ref="C43">INDEX(FX_Input,$KB43,C$85)</f>
        <v>FIXTANK 150</v>
      </c>
      <c r="D43" s="80">
        <f t="shared" ref="D43:D65" si="129">PI()/4*F43*F43*H43</f>
        <v>3101.3409977156739</v>
      </c>
      <c r="E43" s="63" cm="1">
        <f t="array" ref="E43">IF(ISBLANK(INDEX(FX_Input,$KB43,$E$85)),0.03,INDEX(FX_Input,$KB43,$E$85))-IF(ISBLANK(INDEX(FX_Input,$KB43,$E$86)),-0.03,INDEX(FX_Input,$KB43,$E$86))</f>
        <v>0.06</v>
      </c>
      <c r="F43" s="63" cm="1">
        <f t="array" ref="F43">IF(INDEX(FX_Input,$KB43,F$85)="Vertical",INDEX(FX_Input,$KB43,F$86),SQRT((INDEX(FX_Input,$KB43,F$86)*INDEX(FX_Input,$KB43,F$87))/(PI()/4)))</f>
        <v>18</v>
      </c>
      <c r="G43" s="63" cm="1">
        <f t="array" ref="G43">IF(INDEX(FX_Input,$KB43,G$85)="Vertical",INDEX(FX_Input,$KB43,G$86),INDEX(FX_Input,$KB43,G$87)*PI()/4)</f>
        <v>24</v>
      </c>
      <c r="H43" s="63" cm="1">
        <f t="array" ref="H43">IF(INDEX(FX_Input,$KB43,H$85)="Vertical",G43-G43/2+J43,G43/2)</f>
        <v>12.1875</v>
      </c>
      <c r="I43" s="63" cm="1">
        <f t="array" ref="I43">IF(INDEX(FX_Input,$KB43,F$85)="Horizontal","N/A",IF(INDEX(FX_Input,$KB43,I$86)="Cone",IF(ISBLANK(INDEX(FX_Input,$KB43,I$87)),0.0625,INDEX(FX_Input,$KB43,I$87))*F43/2,F43/2-SQRT((F43/2)^2-(INDEX(FX_Input,$KB43,I$88)^2))))</f>
        <v>0.5625</v>
      </c>
      <c r="J43" s="63" cm="1">
        <f t="array" ref="J43">IF(INDEX(FX_Input,$KB43,J$85)="Horizontal","N/A",IF(INDEX(FX_Input,$KB43,J$86)="Cone",I43/3,I43*(1/2+(1/6)*(I43/(F43/2))^2)))</f>
        <v>0.1875</v>
      </c>
      <c r="K43" s="63">
        <f t="shared" ref="K43:K65" si="130">G43-1</f>
        <v>23</v>
      </c>
      <c r="L43" s="63">
        <v>1</v>
      </c>
      <c r="M43" s="63" t="str" cm="1">
        <f t="array" ref="M43">INDEX(Tbl_71_6,MATCH(INDEX(FX_Input,$KB43,M$85),Paint_Color,0),VLOOKUP(INDEX(FX_Input,$KB43,M$86),Paint_Cond_Column,2,FALSE))</f>
        <v>N/A</v>
      </c>
      <c r="N43" s="63" t="str" cm="1">
        <f t="array" ref="N43">INDEX(Tbl_71_6,MATCH(INDEX(FX_Input,$KB43,N$85),Paint_Color,0),VLOOKUP(INDEX(FX_Input,$KB43,N$86),Paint_Cond_Column,2,FALSE))</f>
        <v>N/A</v>
      </c>
      <c r="O43" s="64" t="str">
        <f t="shared" si="2"/>
        <v>Insulated</v>
      </c>
      <c r="P43" s="80" t="str" cm="1">
        <f t="array" ref="P43">IF(ISBLANK(INDEX(FX_Input,$KB43+1,P$85)),INDEX(FX_Input,$KB43,P$85),INDEX(FX_Input,$KB43,P$85)&amp;" &amp; "&amp;INDEX(FX_Input,$KB43+1,P$85))</f>
        <v>Out of Service</v>
      </c>
      <c r="Q43" s="63" cm="1">
        <f t="array" ref="Q43">INDEX(FX_Temps,$KC43+7,Q$89)</f>
        <v>0</v>
      </c>
      <c r="R43" s="63" cm="1">
        <f t="array" ref="R43">INDEX(FX_Temps,$KC43+13,R$89)+459.6</f>
        <v>503.5</v>
      </c>
      <c r="S43" s="63" cm="1">
        <f t="array" ref="S43">INDEX(FX_Vap,$KG43,S$91)-INDEX(FX_Vap,$KH43,S$91)</f>
        <v>0</v>
      </c>
      <c r="T43" s="73" cm="1">
        <f t="array" ref="T43">IF(P43="Out of Service",0,INDEX(FX_Vap,$KI43,T$91))</f>
        <v>0</v>
      </c>
      <c r="U43" s="63">
        <f t="shared" si="3"/>
        <v>0</v>
      </c>
      <c r="V43" s="63">
        <f t="shared" si="4"/>
        <v>1</v>
      </c>
      <c r="W43" s="63" cm="1">
        <f t="array" ref="W43">INDEX(FX_Vap,$KJ43,W$91)</f>
        <v>0</v>
      </c>
      <c r="X43" s="63" cm="1">
        <f t="array" ref="X43">INDEX(FX_Temps,$KD43,X$89)+459.6</f>
        <v>503.5</v>
      </c>
      <c r="Y43" s="63">
        <f t="shared" si="5"/>
        <v>0</v>
      </c>
      <c r="Z43" s="63" cm="1">
        <f t="array" ref="Z43">INDEX(Month_Ref,Z$83,3)*U43*(PI()/4*$F43^2)*$H43*V43*Y43</f>
        <v>0</v>
      </c>
      <c r="AA43" s="63" cm="1">
        <f t="array" ref="AA43">INDEX(FX_Input,$KB43,AA$85)</f>
        <v>0</v>
      </c>
      <c r="AB43" s="63">
        <f t="shared" si="6"/>
        <v>0</v>
      </c>
      <c r="AC43" s="63">
        <f t="shared" si="7"/>
        <v>0</v>
      </c>
      <c r="AD43" s="63">
        <f t="shared" si="8"/>
        <v>1</v>
      </c>
      <c r="AE43" s="63" cm="1">
        <f t="array" ref="AE43">IF(OR(INDEX(FX_Vap,$KK43,AE$90)="Crude Oil",(INDEX(FX_Vap,$KL43,AE$90)="Crude Oil")),0.75,1)</f>
        <v>1</v>
      </c>
      <c r="AF43" s="63">
        <f t="shared" si="108"/>
        <v>1</v>
      </c>
      <c r="AG43" s="63">
        <f t="shared" si="9"/>
        <v>0</v>
      </c>
      <c r="AH43" s="64">
        <f t="shared" si="10"/>
        <v>0</v>
      </c>
      <c r="AI43" s="80" t="str" cm="1">
        <f t="array" ref="AI43">IF(ISBLANK(INDEX(FX_Input,$KB43+1,AI$85)),INDEX(FX_Input,$KB43,AI$85),INDEX(FX_Input,$KB43,AI$85)&amp;" &amp; "&amp;INDEX(FX_Input,$KB43+1,AI$85))</f>
        <v>Out of Service</v>
      </c>
      <c r="AJ43" s="63" cm="1">
        <f t="array" ref="AJ43">INDEX(FX_Temps,$KC43+7,AJ$89)</f>
        <v>0</v>
      </c>
      <c r="AK43" s="63" cm="1">
        <f t="array" ref="AK43">INDEX(FX_Temps,$KC43+13,AK$89)+459.6</f>
        <v>504.30000000000007</v>
      </c>
      <c r="AL43" s="63" cm="1">
        <f t="array" ref="AL43">INDEX(FX_Vap,$KG43,AL$91)-INDEX(FX_Vap,$KH43,AL$91)</f>
        <v>0</v>
      </c>
      <c r="AM43" s="73" cm="1">
        <f t="array" ref="AM43">IF(AI43="Out of Service",0,INDEX(FX_Vap,$KI43,AM$91))</f>
        <v>0</v>
      </c>
      <c r="AN43" s="63">
        <f t="shared" si="11"/>
        <v>0</v>
      </c>
      <c r="AO43" s="63">
        <f t="shared" si="12"/>
        <v>1</v>
      </c>
      <c r="AP43" s="63" cm="1">
        <f t="array" ref="AP43">INDEX(FX_Vap,$KJ43,AP$91)</f>
        <v>0</v>
      </c>
      <c r="AQ43" s="63" cm="1">
        <f t="array" ref="AQ43">INDEX(FX_Temps,$KD43,AQ$89)+459.6</f>
        <v>504.30000000000007</v>
      </c>
      <c r="AR43" s="63">
        <f t="shared" si="13"/>
        <v>0</v>
      </c>
      <c r="AS43" s="63" cm="1">
        <f t="array" ref="AS43">INDEX(Month_Ref,AS$83,3)*AN43*(PI()/4*$F43^2)*$H43*AO43*AR43</f>
        <v>0</v>
      </c>
      <c r="AT43" s="63" cm="1">
        <f t="array" ref="AT43">INDEX(FX_Input,$KB43,AT$85)</f>
        <v>0</v>
      </c>
      <c r="AU43" s="63">
        <f t="shared" si="14"/>
        <v>0</v>
      </c>
      <c r="AV43" s="63">
        <f t="shared" si="15"/>
        <v>0</v>
      </c>
      <c r="AW43" s="63">
        <f t="shared" si="16"/>
        <v>1</v>
      </c>
      <c r="AX43" s="63" cm="1">
        <f t="array" ref="AX43">IF(OR(INDEX(FX_Vap,$KK43,AX$90)="Crude Oil",(INDEX(FX_Vap,$KL43,AX$90)="Crude Oil")),0.75,1)</f>
        <v>1</v>
      </c>
      <c r="AY43" s="63">
        <f t="shared" si="109"/>
        <v>1</v>
      </c>
      <c r="AZ43" s="63">
        <f t="shared" si="17"/>
        <v>0</v>
      </c>
      <c r="BA43" s="64">
        <f t="shared" si="18"/>
        <v>0</v>
      </c>
      <c r="BB43" s="80" t="str" cm="1">
        <f t="array" ref="BB43">IF(ISBLANK(INDEX(FX_Input,$KB43+1,BB$85)),INDEX(FX_Input,$KB43,BB$85),INDEX(FX_Input,$KB43,BB$85)&amp;" &amp; "&amp;INDEX(FX_Input,$KB43+1,BB$85))</f>
        <v>Out of Service</v>
      </c>
      <c r="BC43" s="63" cm="1">
        <f t="array" ref="BC43">INDEX(FX_Temps,$KC43+7,BC$89)</f>
        <v>0</v>
      </c>
      <c r="BD43" s="63" cm="1">
        <f t="array" ref="BD43">INDEX(FX_Temps,$KC43+13,BD$89)+459.6</f>
        <v>505.70000000000005</v>
      </c>
      <c r="BE43" s="63" cm="1">
        <f t="array" ref="BE43">INDEX(FX_Vap,$KG43,BE$91)-INDEX(FX_Vap,$KH43,BE$91)</f>
        <v>0</v>
      </c>
      <c r="BF43" s="73" cm="1">
        <f t="array" ref="BF43">IF(BB43="Out of Service",0,INDEX(FX_Vap,$KI43,BF$91))</f>
        <v>0</v>
      </c>
      <c r="BG43" s="63">
        <f t="shared" si="19"/>
        <v>0</v>
      </c>
      <c r="BH43" s="63">
        <f t="shared" si="20"/>
        <v>1</v>
      </c>
      <c r="BI43" s="63" cm="1">
        <f t="array" ref="BI43">INDEX(FX_Vap,$KJ43,BI$91)</f>
        <v>0</v>
      </c>
      <c r="BJ43" s="63" cm="1">
        <f t="array" ref="BJ43">INDEX(FX_Temps,$KD43,BJ$89)+459.6</f>
        <v>505.70000000000005</v>
      </c>
      <c r="BK43" s="63">
        <f t="shared" si="21"/>
        <v>0</v>
      </c>
      <c r="BL43" s="63" cm="1">
        <f t="array" ref="BL43">INDEX(Month_Ref,BL$83,3)*BG43*(PI()/4*$F43^2)*$H43*BH43*BK43</f>
        <v>0</v>
      </c>
      <c r="BM43" s="63" cm="1">
        <f t="array" ref="BM43">INDEX(FX_Input,$KB43,BM$85)</f>
        <v>0</v>
      </c>
      <c r="BN43" s="63">
        <f t="shared" si="22"/>
        <v>0</v>
      </c>
      <c r="BO43" s="63">
        <f t="shared" si="23"/>
        <v>0</v>
      </c>
      <c r="BP43" s="63">
        <f t="shared" si="24"/>
        <v>1</v>
      </c>
      <c r="BQ43" s="63" cm="1">
        <f t="array" ref="BQ43">IF(OR(INDEX(FX_Vap,$KK43,BQ$90)="Crude Oil",(INDEX(FX_Vap,$KL43,BQ$90)="Crude Oil")),0.75,1)</f>
        <v>1</v>
      </c>
      <c r="BR43" s="63">
        <f t="shared" si="110"/>
        <v>1</v>
      </c>
      <c r="BS43" s="63">
        <f t="shared" si="25"/>
        <v>0</v>
      </c>
      <c r="BT43" s="64">
        <f t="shared" si="26"/>
        <v>0</v>
      </c>
      <c r="BU43" s="80" t="str" cm="1">
        <f t="array" ref="BU43">IF(ISBLANK(INDEX(FX_Input,$KB43+1,BU$85)),INDEX(FX_Input,$KB43,BU$85),INDEX(FX_Input,$KB43,BU$85)&amp;" &amp; "&amp;INDEX(FX_Input,$KB43+1,BU$85))</f>
        <v>Out of Service</v>
      </c>
      <c r="BV43" s="63" cm="1">
        <f t="array" ref="BV43">INDEX(FX_Temps,$KC43+7,BV$89)</f>
        <v>0</v>
      </c>
      <c r="BW43" s="63" cm="1">
        <f t="array" ref="BW43">INDEX(FX_Temps,$KC43+13,BW$89)+459.6</f>
        <v>508.2</v>
      </c>
      <c r="BX43" s="63" cm="1">
        <f t="array" ref="BX43">INDEX(FX_Vap,$KG43,BX$91)-INDEX(FX_Vap,$KH43,BX$91)</f>
        <v>0</v>
      </c>
      <c r="BY43" s="73" cm="1">
        <f t="array" ref="BY43">IF(BU43="Out of Service",0,INDEX(FX_Vap,$KI43,BY$91))</f>
        <v>0</v>
      </c>
      <c r="BZ43" s="63">
        <f t="shared" si="27"/>
        <v>0</v>
      </c>
      <c r="CA43" s="63">
        <f t="shared" si="28"/>
        <v>1</v>
      </c>
      <c r="CB43" s="63" cm="1">
        <f t="array" ref="CB43">INDEX(FX_Vap,$KJ43,CB$91)</f>
        <v>0</v>
      </c>
      <c r="CC43" s="63" cm="1">
        <f t="array" ref="CC43">INDEX(FX_Temps,$KD43,CC$89)+459.6</f>
        <v>508.2</v>
      </c>
      <c r="CD43" s="63">
        <f t="shared" si="29"/>
        <v>0</v>
      </c>
      <c r="CE43" s="63" cm="1">
        <f t="array" ref="CE43">INDEX(Month_Ref,CE$83,3)*BZ43*(PI()/4*$F43^2)*$H43*CA43*CD43</f>
        <v>0</v>
      </c>
      <c r="CF43" s="63" cm="1">
        <f t="array" ref="CF43">INDEX(FX_Input,$KB43,CF$85)</f>
        <v>0</v>
      </c>
      <c r="CG43" s="63">
        <f t="shared" si="30"/>
        <v>0</v>
      </c>
      <c r="CH43" s="63">
        <f t="shared" si="31"/>
        <v>0</v>
      </c>
      <c r="CI43" s="63">
        <f t="shared" si="32"/>
        <v>1</v>
      </c>
      <c r="CJ43" s="63" cm="1">
        <f t="array" ref="CJ43">IF(OR(INDEX(FX_Vap,$KK43,CJ$90)="Crude Oil",(INDEX(FX_Vap,$KL43,CJ$90)="Crude Oil")),0.75,1)</f>
        <v>1</v>
      </c>
      <c r="CK43" s="63">
        <f t="shared" si="111"/>
        <v>1</v>
      </c>
      <c r="CL43" s="63">
        <f t="shared" si="33"/>
        <v>0</v>
      </c>
      <c r="CM43" s="64">
        <f t="shared" si="34"/>
        <v>0</v>
      </c>
      <c r="CN43" s="80" t="str" cm="1">
        <f t="array" ref="CN43">IF(ISBLANK(INDEX(FX_Input,$KB43+1,CN$85)),INDEX(FX_Input,$KB43,CN$85),INDEX(FX_Input,$KB43,CN$85)&amp;" &amp; "&amp;INDEX(FX_Input,$KB43+1,CN$85))</f>
        <v>Out of Service</v>
      </c>
      <c r="CO43" s="63" cm="1">
        <f t="array" ref="CO43">INDEX(FX_Temps,$KC43+7,CO$89)</f>
        <v>0</v>
      </c>
      <c r="CP43" s="63" cm="1">
        <f t="array" ref="CP43">INDEX(FX_Temps,$KC43+13,CP$89)+459.6</f>
        <v>512.75</v>
      </c>
      <c r="CQ43" s="63" cm="1">
        <f t="array" ref="CQ43">INDEX(FX_Vap,$KG43,CQ$91)-INDEX(FX_Vap,$KH43,CQ$91)</f>
        <v>0</v>
      </c>
      <c r="CR43" s="73" cm="1">
        <f t="array" ref="CR43">IF(CN43="Out of Service",0,INDEX(FX_Vap,$KI43,CR$91))</f>
        <v>0</v>
      </c>
      <c r="CS43" s="63">
        <f t="shared" si="35"/>
        <v>0</v>
      </c>
      <c r="CT43" s="63">
        <f t="shared" si="36"/>
        <v>1</v>
      </c>
      <c r="CU43" s="63" cm="1">
        <f t="array" ref="CU43">INDEX(FX_Vap,$KJ43,CU$91)</f>
        <v>0</v>
      </c>
      <c r="CV43" s="63" cm="1">
        <f t="array" ref="CV43">INDEX(FX_Temps,$KD43,CV$89)+459.6</f>
        <v>512.75</v>
      </c>
      <c r="CW43" s="63">
        <f t="shared" si="37"/>
        <v>0</v>
      </c>
      <c r="CX43" s="63" cm="1">
        <f t="array" ref="CX43">INDEX(Month_Ref,CX$83,3)*CS43*(PI()/4*$F43^2)*$H43*CT43*CW43</f>
        <v>0</v>
      </c>
      <c r="CY43" s="63" cm="1">
        <f t="array" ref="CY43">INDEX(FX_Input,$KB43,CY$85)</f>
        <v>0</v>
      </c>
      <c r="CZ43" s="63">
        <f t="shared" si="38"/>
        <v>0</v>
      </c>
      <c r="DA43" s="63">
        <f t="shared" si="39"/>
        <v>0</v>
      </c>
      <c r="DB43" s="63">
        <f t="shared" si="40"/>
        <v>1</v>
      </c>
      <c r="DC43" s="63" cm="1">
        <f t="array" ref="DC43">IF(OR(INDEX(FX_Vap,$KK43,DC$90)="Crude Oil",(INDEX(FX_Vap,$KL43,DC$90)="Crude Oil")),0.75,1)</f>
        <v>1</v>
      </c>
      <c r="DD43" s="63">
        <f t="shared" si="112"/>
        <v>1</v>
      </c>
      <c r="DE43" s="63">
        <f t="shared" si="41"/>
        <v>0</v>
      </c>
      <c r="DF43" s="64">
        <f t="shared" si="42"/>
        <v>0</v>
      </c>
      <c r="DG43" s="80" t="str" cm="1">
        <f t="array" ref="DG43">IF(ISBLANK(INDEX(FX_Input,$KB43+1,DG$85)),INDEX(FX_Input,$KB43,DG$85),INDEX(FX_Input,$KB43,DG$85)&amp;" &amp; "&amp;INDEX(FX_Input,$KB43+1,DG$85))</f>
        <v>Out of Service</v>
      </c>
      <c r="DH43" s="63" cm="1">
        <f t="array" ref="DH43">INDEX(FX_Temps,$KC43+7,DH$89)</f>
        <v>0</v>
      </c>
      <c r="DI43" s="63" cm="1">
        <f t="array" ref="DI43">INDEX(FX_Temps,$KC43+13,DI$89)+459.6</f>
        <v>516.55000000000007</v>
      </c>
      <c r="DJ43" s="63" cm="1">
        <f t="array" ref="DJ43">INDEX(FX_Vap,$KG43,DJ$91)-INDEX(FX_Vap,$KH43,DJ$91)</f>
        <v>0</v>
      </c>
      <c r="DK43" s="73" cm="1">
        <f t="array" ref="DK43">IF(DG43="Out of Service",0,INDEX(FX_Vap,$KI43,DK$91))</f>
        <v>0</v>
      </c>
      <c r="DL43" s="63">
        <f t="shared" si="43"/>
        <v>0</v>
      </c>
      <c r="DM43" s="63">
        <f t="shared" si="44"/>
        <v>1</v>
      </c>
      <c r="DN43" s="63" cm="1">
        <f t="array" ref="DN43">INDEX(FX_Vap,$KJ43,DN$91)</f>
        <v>0</v>
      </c>
      <c r="DO43" s="63" cm="1">
        <f t="array" ref="DO43">INDEX(FX_Temps,$KD43,DO$89)+459.6</f>
        <v>516.55000000000007</v>
      </c>
      <c r="DP43" s="63">
        <f t="shared" si="45"/>
        <v>0</v>
      </c>
      <c r="DQ43" s="63" cm="1">
        <f t="array" ref="DQ43">INDEX(Month_Ref,DQ$83,3)*DL43*(PI()/4*$F43^2)*$H43*DM43*DP43</f>
        <v>0</v>
      </c>
      <c r="DR43" s="63" cm="1">
        <f t="array" ref="DR43">INDEX(FX_Input,$KB43,DR$85)</f>
        <v>0</v>
      </c>
      <c r="DS43" s="63">
        <f t="shared" si="46"/>
        <v>0</v>
      </c>
      <c r="DT43" s="63">
        <f t="shared" si="47"/>
        <v>0</v>
      </c>
      <c r="DU43" s="63">
        <f t="shared" si="48"/>
        <v>1</v>
      </c>
      <c r="DV43" s="63" cm="1">
        <f t="array" ref="DV43">IF(OR(INDEX(FX_Vap,$KK43,DV$90)="Crude Oil",(INDEX(FX_Vap,$KL43,DV$90)="Crude Oil")),0.75,1)</f>
        <v>1</v>
      </c>
      <c r="DW43" s="63">
        <f t="shared" si="113"/>
        <v>1</v>
      </c>
      <c r="DX43" s="63">
        <f t="shared" si="49"/>
        <v>0</v>
      </c>
      <c r="DY43" s="64">
        <f t="shared" si="50"/>
        <v>0</v>
      </c>
      <c r="DZ43" s="80" t="str" cm="1">
        <f t="array" ref="DZ43">IF(ISBLANK(INDEX(FX_Input,$KB43+1,DZ$85)),INDEX(FX_Input,$KB43,DZ$85),INDEX(FX_Input,$KB43,DZ$85)&amp;" &amp; "&amp;INDEX(FX_Input,$KB43+1,DZ$85))</f>
        <v>Out of Service</v>
      </c>
      <c r="EA43" s="63" cm="1">
        <f t="array" ref="EA43">INDEX(FX_Temps,$KC43+7,EA$89)</f>
        <v>0</v>
      </c>
      <c r="EB43" s="63" cm="1">
        <f t="array" ref="EB43">INDEX(FX_Temps,$KC43+13,EB$89)+459.6</f>
        <v>520.04999999999995</v>
      </c>
      <c r="EC43" s="63" cm="1">
        <f t="array" ref="EC43">INDEX(FX_Vap,$KG43,EC$91)-INDEX(FX_Vap,$KH43,EC$91)</f>
        <v>0</v>
      </c>
      <c r="ED43" s="73" cm="1">
        <f t="array" ref="ED43">IF(DZ43="Out of Service",0,INDEX(FX_Vap,$KI43,ED$91))</f>
        <v>0</v>
      </c>
      <c r="EE43" s="63">
        <f t="shared" si="51"/>
        <v>0</v>
      </c>
      <c r="EF43" s="63">
        <f t="shared" si="52"/>
        <v>1</v>
      </c>
      <c r="EG43" s="63" cm="1">
        <f t="array" ref="EG43">INDEX(FX_Vap,$KJ43,EG$91)</f>
        <v>0</v>
      </c>
      <c r="EH43" s="63" cm="1">
        <f t="array" ref="EH43">INDEX(FX_Temps,$KD43,EH$89)+459.6</f>
        <v>520.04999999999995</v>
      </c>
      <c r="EI43" s="63">
        <f t="shared" si="53"/>
        <v>0</v>
      </c>
      <c r="EJ43" s="63" cm="1">
        <f t="array" ref="EJ43">INDEX(Month_Ref,EJ$83,3)*EE43*(PI()/4*$F43^2)*$H43*EF43*EI43</f>
        <v>0</v>
      </c>
      <c r="EK43" s="63" cm="1">
        <f t="array" ref="EK43">INDEX(FX_Input,$KB43,EK$85)</f>
        <v>0</v>
      </c>
      <c r="EL43" s="63">
        <f t="shared" si="54"/>
        <v>0</v>
      </c>
      <c r="EM43" s="63">
        <f t="shared" si="55"/>
        <v>0</v>
      </c>
      <c r="EN43" s="63">
        <f t="shared" si="56"/>
        <v>1</v>
      </c>
      <c r="EO43" s="63" cm="1">
        <f t="array" ref="EO43">IF(OR(INDEX(FX_Vap,$KK43,EO$90)="Crude Oil",(INDEX(FX_Vap,$KL43,EO$90)="Crude Oil")),0.75,1)</f>
        <v>1</v>
      </c>
      <c r="EP43" s="63">
        <f t="shared" si="114"/>
        <v>1</v>
      </c>
      <c r="EQ43" s="63">
        <f t="shared" si="57"/>
        <v>0</v>
      </c>
      <c r="ER43" s="64">
        <f t="shared" si="58"/>
        <v>0</v>
      </c>
      <c r="ES43" s="80" t="str" cm="1">
        <f t="array" ref="ES43">IF(ISBLANK(INDEX(FX_Input,$KB43+1,ES$85)),INDEX(FX_Input,$KB43,ES$85),INDEX(FX_Input,$KB43,ES$85)&amp;" &amp; "&amp;INDEX(FX_Input,$KB43+1,ES$85))</f>
        <v>Out of Service</v>
      </c>
      <c r="ET43" s="63" cm="1">
        <f t="array" ref="ET43">INDEX(FX_Temps,$KC43+7,ET$89)</f>
        <v>0</v>
      </c>
      <c r="EU43" s="63" cm="1">
        <f t="array" ref="EU43">INDEX(FX_Temps,$KC43+13,EU$89)+459.6</f>
        <v>520.5</v>
      </c>
      <c r="EV43" s="63" cm="1">
        <f t="array" ref="EV43">INDEX(FX_Vap,$KG43,EV$91)-INDEX(FX_Vap,$KH43,EV$91)</f>
        <v>0</v>
      </c>
      <c r="EW43" s="73" cm="1">
        <f t="array" ref="EW43">IF(ES43="Out of Service",0,INDEX(FX_Vap,$KI43,EW$91))</f>
        <v>0</v>
      </c>
      <c r="EX43" s="63">
        <f t="shared" si="59"/>
        <v>0</v>
      </c>
      <c r="EY43" s="63">
        <f t="shared" si="60"/>
        <v>1</v>
      </c>
      <c r="EZ43" s="63" cm="1">
        <f t="array" ref="EZ43">INDEX(FX_Vap,$KJ43,EZ$91)</f>
        <v>0</v>
      </c>
      <c r="FA43" s="63" cm="1">
        <f t="array" ref="FA43">INDEX(FX_Temps,$KD43,FA$89)+459.6</f>
        <v>520.5</v>
      </c>
      <c r="FB43" s="63">
        <f t="shared" si="61"/>
        <v>0</v>
      </c>
      <c r="FC43" s="63" cm="1">
        <f t="array" ref="FC43">INDEX(Month_Ref,FC$83,3)*EX43*(PI()/4*$F43^2)*$H43*EY43*FB43</f>
        <v>0</v>
      </c>
      <c r="FD43" s="63" cm="1">
        <f t="array" ref="FD43">INDEX(FX_Input,$KB43,FD$85)</f>
        <v>0</v>
      </c>
      <c r="FE43" s="63">
        <f t="shared" si="62"/>
        <v>0</v>
      </c>
      <c r="FF43" s="63">
        <f t="shared" si="63"/>
        <v>0</v>
      </c>
      <c r="FG43" s="63">
        <f t="shared" si="64"/>
        <v>1</v>
      </c>
      <c r="FH43" s="63" cm="1">
        <f t="array" ref="FH43">IF(OR(INDEX(FX_Vap,$KK43,FH$90)="Crude Oil",(INDEX(FX_Vap,$KL43,FH$90)="Crude Oil")),0.75,1)</f>
        <v>1</v>
      </c>
      <c r="FI43" s="63">
        <f t="shared" si="115"/>
        <v>1</v>
      </c>
      <c r="FJ43" s="63">
        <f t="shared" si="65"/>
        <v>0</v>
      </c>
      <c r="FK43" s="64">
        <f t="shared" si="66"/>
        <v>0</v>
      </c>
      <c r="FL43" s="80" t="str" cm="1">
        <f t="array" ref="FL43">IF(ISBLANK(INDEX(FX_Input,$KB43+1,FL$85)),INDEX(FX_Input,$KB43,FL$85),INDEX(FX_Input,$KB43,FL$85)&amp;" &amp; "&amp;INDEX(FX_Input,$KB43+1,FL$85))</f>
        <v>Out of Service</v>
      </c>
      <c r="FM43" s="63" cm="1">
        <f t="array" ref="FM43">INDEX(FX_Temps,$KC43+7,FM$89)</f>
        <v>0</v>
      </c>
      <c r="FN43" s="63" cm="1">
        <f t="array" ref="FN43">INDEX(FX_Temps,$KC43+13,FN$89)+459.6</f>
        <v>518.20000000000005</v>
      </c>
      <c r="FO43" s="63" cm="1">
        <f t="array" ref="FO43">INDEX(FX_Vap,$KG43,FO$91)-INDEX(FX_Vap,$KH43,FO$91)</f>
        <v>0</v>
      </c>
      <c r="FP43" s="73" cm="1">
        <f t="array" ref="FP43">IF(FL43="Out of Service",0,INDEX(FX_Vap,$KI43,FP$91))</f>
        <v>0</v>
      </c>
      <c r="FQ43" s="63">
        <f t="shared" si="67"/>
        <v>0</v>
      </c>
      <c r="FR43" s="63">
        <f t="shared" si="68"/>
        <v>1</v>
      </c>
      <c r="FS43" s="63" cm="1">
        <f t="array" ref="FS43">INDEX(FX_Vap,$KJ43,FS$91)</f>
        <v>0</v>
      </c>
      <c r="FT43" s="63" cm="1">
        <f t="array" ref="FT43">INDEX(FX_Temps,$KD43,FT$89)+459.6</f>
        <v>518.20000000000005</v>
      </c>
      <c r="FU43" s="63">
        <f t="shared" si="69"/>
        <v>0</v>
      </c>
      <c r="FV43" s="63" cm="1">
        <f t="array" ref="FV43">INDEX(Month_Ref,FV$83,3)*FQ43*(PI()/4*$F43^2)*$H43*FR43*FU43</f>
        <v>0</v>
      </c>
      <c r="FW43" s="63" cm="1">
        <f t="array" ref="FW43">INDEX(FX_Input,$KB43,FW$85)</f>
        <v>0</v>
      </c>
      <c r="FX43" s="63">
        <f t="shared" si="70"/>
        <v>0</v>
      </c>
      <c r="FY43" s="63">
        <f t="shared" si="71"/>
        <v>0</v>
      </c>
      <c r="FZ43" s="63">
        <f t="shared" si="72"/>
        <v>1</v>
      </c>
      <c r="GA43" s="63" cm="1">
        <f t="array" ref="GA43">IF(OR(INDEX(FX_Vap,$KK43,GA$90)="Crude Oil",(INDEX(FX_Vap,$KL43,GA$90)="Crude Oil")),0.75,1)</f>
        <v>1</v>
      </c>
      <c r="GB43" s="63">
        <f t="shared" si="116"/>
        <v>1</v>
      </c>
      <c r="GC43" s="63">
        <f t="shared" si="73"/>
        <v>0</v>
      </c>
      <c r="GD43" s="64">
        <f t="shared" si="74"/>
        <v>0</v>
      </c>
      <c r="GE43" s="80" t="str" cm="1">
        <f t="array" ref="GE43">IF(ISBLANK(INDEX(FX_Input,$KB43+1,GE$85)),INDEX(FX_Input,$KB43,GE$85),INDEX(FX_Input,$KB43,GE$85)&amp;" &amp; "&amp;INDEX(FX_Input,$KB43+1,GE$85))</f>
        <v>Out of Service</v>
      </c>
      <c r="GF43" s="63" cm="1">
        <f t="array" ref="GF43">INDEX(FX_Temps,$KC43+7,GF$89)</f>
        <v>0</v>
      </c>
      <c r="GG43" s="63" cm="1">
        <f t="array" ref="GG43">INDEX(FX_Temps,$KC43+13,GG$89)+459.6</f>
        <v>512.25</v>
      </c>
      <c r="GH43" s="63" cm="1">
        <f t="array" ref="GH43">INDEX(FX_Vap,$KG43,GH$91)-INDEX(FX_Vap,$KH43,GH$91)</f>
        <v>0</v>
      </c>
      <c r="GI43" s="73" cm="1">
        <f t="array" ref="GI43">IF(GE43="Out of Service",0,INDEX(FX_Vap,$KI43,GI$91))</f>
        <v>0</v>
      </c>
      <c r="GJ43" s="63">
        <f t="shared" si="75"/>
        <v>0</v>
      </c>
      <c r="GK43" s="63">
        <f t="shared" si="76"/>
        <v>1</v>
      </c>
      <c r="GL43" s="63" cm="1">
        <f t="array" ref="GL43">INDEX(FX_Vap,$KJ43,GL$91)</f>
        <v>0</v>
      </c>
      <c r="GM43" s="63" cm="1">
        <f t="array" ref="GM43">INDEX(FX_Temps,$KD43,GM$89)+459.6</f>
        <v>512.25</v>
      </c>
      <c r="GN43" s="63">
        <f t="shared" si="77"/>
        <v>0</v>
      </c>
      <c r="GO43" s="63" cm="1">
        <f t="array" ref="GO43">INDEX(Month_Ref,GO$83,3)*GJ43*(PI()/4*$F43^2)*$H43*GK43*GN43</f>
        <v>0</v>
      </c>
      <c r="GP43" s="63" cm="1">
        <f t="array" ref="GP43">INDEX(FX_Input,$KB43,GP$85)</f>
        <v>0</v>
      </c>
      <c r="GQ43" s="63">
        <f t="shared" si="78"/>
        <v>0</v>
      </c>
      <c r="GR43" s="63">
        <f t="shared" si="79"/>
        <v>0</v>
      </c>
      <c r="GS43" s="63">
        <f t="shared" si="80"/>
        <v>1</v>
      </c>
      <c r="GT43" s="63" cm="1">
        <f t="array" ref="GT43">IF(OR(INDEX(FX_Vap,$KK43,GT$90)="Crude Oil",(INDEX(FX_Vap,$KL43,GT$90)="Crude Oil")),0.75,1)</f>
        <v>1</v>
      </c>
      <c r="GU43" s="63">
        <f t="shared" si="117"/>
        <v>1</v>
      </c>
      <c r="GV43" s="63">
        <f t="shared" si="81"/>
        <v>0</v>
      </c>
      <c r="GW43" s="64">
        <f t="shared" si="82"/>
        <v>0</v>
      </c>
      <c r="GX43" s="80" t="str" cm="1">
        <f t="array" ref="GX43">IF(ISBLANK(INDEX(FX_Input,$KB43+1,GX$85)),INDEX(FX_Input,$KB43,GX$85),INDEX(FX_Input,$KB43,GX$85)&amp;" &amp; "&amp;INDEX(FX_Input,$KB43+1,GX$85))</f>
        <v>Out of Service</v>
      </c>
      <c r="GY43" s="63" cm="1">
        <f t="array" ref="GY43">INDEX(FX_Temps,$KC43+7,GY$89)</f>
        <v>0</v>
      </c>
      <c r="GZ43" s="63" cm="1">
        <f t="array" ref="GZ43">INDEX(FX_Temps,$KC43+13,GZ$89)+459.6</f>
        <v>506.70000000000005</v>
      </c>
      <c r="HA43" s="63" cm="1">
        <f t="array" ref="HA43">INDEX(FX_Vap,$KG43,HA$91)-INDEX(FX_Vap,$KH43,HA$91)</f>
        <v>0</v>
      </c>
      <c r="HB43" s="73" cm="1">
        <f t="array" ref="HB43">IF(GX43="Out of Service",0,INDEX(FX_Vap,$KI43,HB$91))</f>
        <v>0</v>
      </c>
      <c r="HC43" s="63">
        <f t="shared" si="83"/>
        <v>0</v>
      </c>
      <c r="HD43" s="63">
        <f t="shared" si="84"/>
        <v>1</v>
      </c>
      <c r="HE43" s="63" cm="1">
        <f t="array" ref="HE43">INDEX(FX_Vap,$KJ43,HE$91)</f>
        <v>0</v>
      </c>
      <c r="HF43" s="63" cm="1">
        <f t="array" ref="HF43">INDEX(FX_Temps,$KD43,HF$89)+459.6</f>
        <v>506.70000000000005</v>
      </c>
      <c r="HG43" s="63">
        <f t="shared" si="85"/>
        <v>0</v>
      </c>
      <c r="HH43" s="63" cm="1">
        <f t="array" ref="HH43">INDEX(Month_Ref,HH$83,3)*HC43*(PI()/4*$F43^2)*$H43*HD43*HG43</f>
        <v>0</v>
      </c>
      <c r="HI43" s="63" cm="1">
        <f t="array" ref="HI43">INDEX(FX_Input,$KB43,HI$85)</f>
        <v>0</v>
      </c>
      <c r="HJ43" s="63">
        <f t="shared" si="86"/>
        <v>0</v>
      </c>
      <c r="HK43" s="63">
        <f t="shared" si="87"/>
        <v>0</v>
      </c>
      <c r="HL43" s="63">
        <f t="shared" si="88"/>
        <v>1</v>
      </c>
      <c r="HM43" s="63" cm="1">
        <f t="array" ref="HM43">IF(OR(INDEX(FX_Vap,$KK43,HM$90)="Crude Oil",(INDEX(FX_Vap,$KL43,HM$90)="Crude Oil")),0.75,1)</f>
        <v>1</v>
      </c>
      <c r="HN43" s="63">
        <f t="shared" si="118"/>
        <v>1</v>
      </c>
      <c r="HO43" s="63">
        <f t="shared" si="89"/>
        <v>0</v>
      </c>
      <c r="HP43" s="64">
        <f t="shared" si="90"/>
        <v>0</v>
      </c>
      <c r="HQ43" s="80" t="str" cm="1">
        <f t="array" ref="HQ43">IF(ISBLANK(INDEX(FX_Input,$KB43+1,HQ$85)),INDEX(FX_Input,$KB43,HQ$85),INDEX(FX_Input,$KB43,HQ$85)&amp;" &amp; "&amp;INDEX(FX_Input,$KB43+1,HQ$85))</f>
        <v>Out of Service</v>
      </c>
      <c r="HR43" s="63" cm="1">
        <f t="array" ref="HR43">INDEX(FX_Temps,$KC43+7,HR$89)</f>
        <v>0</v>
      </c>
      <c r="HS43" s="63" cm="1">
        <f t="array" ref="HS43">INDEX(FX_Temps,$KC43+13,HS$89)+459.6</f>
        <v>503.20000000000005</v>
      </c>
      <c r="HT43" s="63" cm="1">
        <f t="array" ref="HT43">INDEX(FX_Vap,$KG43,HT$91)-INDEX(FX_Vap,$KH43,HT$91)</f>
        <v>0</v>
      </c>
      <c r="HU43" s="73" cm="1">
        <f t="array" ref="HU43">IF(HQ43="Out of Service",0,INDEX(FX_Vap,$KI43,HU$91))</f>
        <v>0</v>
      </c>
      <c r="HV43" s="63">
        <f t="shared" si="91"/>
        <v>0</v>
      </c>
      <c r="HW43" s="63">
        <f t="shared" si="92"/>
        <v>1</v>
      </c>
      <c r="HX43" s="63" cm="1">
        <f t="array" ref="HX43">INDEX(FX_Vap,$KJ43,HX$91)</f>
        <v>0</v>
      </c>
      <c r="HY43" s="63" cm="1">
        <f t="array" ref="HY43">INDEX(FX_Temps,$KD43,HY$89)+459.6</f>
        <v>503.20000000000005</v>
      </c>
      <c r="HZ43" s="63">
        <f t="shared" si="93"/>
        <v>0</v>
      </c>
      <c r="IA43" s="63" cm="1">
        <f t="array" ref="IA43">INDEX(Month_Ref,IA$83,3)*HV43*(PI()/4*$F43^2)*$H43*HW43*HZ43</f>
        <v>0</v>
      </c>
      <c r="IB43" s="63" cm="1">
        <f t="array" ref="IB43">INDEX(FX_Input,$KB43,IB$85)</f>
        <v>0</v>
      </c>
      <c r="IC43" s="63">
        <f t="shared" si="94"/>
        <v>0</v>
      </c>
      <c r="ID43" s="63">
        <f t="shared" si="95"/>
        <v>0</v>
      </c>
      <c r="IE43" s="63">
        <f t="shared" si="96"/>
        <v>1</v>
      </c>
      <c r="IF43" s="63" cm="1">
        <f t="array" ref="IF43">IF(OR(INDEX(FX_Vap,$KK43,IF$90)="Crude Oil",(INDEX(FX_Vap,$KL43,IF$90)="Crude Oil")),0.75,1)</f>
        <v>1</v>
      </c>
      <c r="IG43" s="63">
        <f t="shared" si="119"/>
        <v>1</v>
      </c>
      <c r="IH43" s="63">
        <f t="shared" si="97"/>
        <v>0</v>
      </c>
      <c r="II43" s="64">
        <f t="shared" si="98"/>
        <v>0</v>
      </c>
      <c r="IJ43" s="80">
        <f t="shared" si="99"/>
        <v>0</v>
      </c>
      <c r="IK43" s="63">
        <f t="shared" si="100"/>
        <v>0</v>
      </c>
      <c r="IL43" s="63">
        <f t="shared" si="101"/>
        <v>0</v>
      </c>
      <c r="IM43" s="63">
        <f t="shared" si="102"/>
        <v>0</v>
      </c>
      <c r="IN43" s="63">
        <f t="shared" si="103"/>
        <v>0</v>
      </c>
      <c r="IO43" s="64">
        <f t="shared" si="104"/>
        <v>0</v>
      </c>
      <c r="KB43" s="43">
        <f t="shared" si="120"/>
        <v>65</v>
      </c>
      <c r="KC43" s="43">
        <f t="shared" si="121"/>
        <v>449</v>
      </c>
      <c r="KD43" s="43">
        <f t="shared" si="122"/>
        <v>462</v>
      </c>
      <c r="KE43" s="43">
        <f t="shared" si="123"/>
        <v>449</v>
      </c>
      <c r="KF43" s="43">
        <f t="shared" si="124"/>
        <v>1089</v>
      </c>
      <c r="KG43" s="43">
        <f t="shared" si="125"/>
        <v>1112</v>
      </c>
      <c r="KH43" s="43">
        <f t="shared" si="126"/>
        <v>1107</v>
      </c>
      <c r="KI43" s="43">
        <f t="shared" si="126"/>
        <v>1117</v>
      </c>
      <c r="KJ43" s="43">
        <f t="shared" si="126"/>
        <v>1122</v>
      </c>
      <c r="KK43" s="43">
        <f t="shared" si="127"/>
        <v>1093</v>
      </c>
      <c r="KL43" s="43">
        <f t="shared" si="128"/>
        <v>1095</v>
      </c>
    </row>
    <row r="44" spans="2:298" x14ac:dyDescent="0.4">
      <c r="B44" s="43" t="str" cm="1">
        <f t="array" ref="B44">INDEX(FX_Input,$KB44,B$85)</f>
        <v>FX - 34</v>
      </c>
      <c r="C44" s="93" t="str" cm="1">
        <f t="array" ref="C44">INDEX(FX_Input,$KB44,C$85)</f>
        <v>FIXTANK 151</v>
      </c>
      <c r="D44" s="80">
        <f t="shared" si="129"/>
        <v>2049.88920646734</v>
      </c>
      <c r="E44" s="63" cm="1">
        <f t="array" ref="E44">IF(ISBLANK(INDEX(FX_Input,$KB44,$E$85)),0.03,INDEX(FX_Input,$KB44,$E$85))-IF(ISBLANK(INDEX(FX_Input,$KB44,$E$86)),-0.03,INDEX(FX_Input,$KB44,$E$86))</f>
        <v>0.06</v>
      </c>
      <c r="F44" s="63" cm="1">
        <f t="array" ref="F44">IF(INDEX(FX_Input,$KB44,F$85)="Vertical",INDEX(FX_Input,$KB44,F$86),SQRT((INDEX(FX_Input,$KB44,F$86)*INDEX(FX_Input,$KB44,F$87))/(PI()/4)))</f>
        <v>12</v>
      </c>
      <c r="G44" s="63" cm="1">
        <f t="array" ref="G44">IF(INDEX(FX_Input,$KB44,G$85)="Vertical",INDEX(FX_Input,$KB44,G$86),INDEX(FX_Input,$KB44,G$87)*PI()/4)</f>
        <v>36</v>
      </c>
      <c r="H44" s="63" cm="1">
        <f t="array" ref="H44">IF(INDEX(FX_Input,$KB44,H$85)="Vertical",G44-G44/2+J44,G44/2)</f>
        <v>18.125</v>
      </c>
      <c r="I44" s="63" cm="1">
        <f t="array" ref="I44">IF(INDEX(FX_Input,$KB44,F$85)="Horizontal","N/A",IF(INDEX(FX_Input,$KB44,I$86)="Cone",IF(ISBLANK(INDEX(FX_Input,$KB44,I$87)),0.0625,INDEX(FX_Input,$KB44,I$87))*F44/2,F44/2-SQRT((F44/2)^2-(INDEX(FX_Input,$KB44,I$88)^2))))</f>
        <v>0.375</v>
      </c>
      <c r="J44" s="63" cm="1">
        <f t="array" ref="J44">IF(INDEX(FX_Input,$KB44,J$85)="Horizontal","N/A",IF(INDEX(FX_Input,$KB44,J$86)="Cone",I44/3,I44*(1/2+(1/6)*(I44/(F44/2))^2)))</f>
        <v>0.125</v>
      </c>
      <c r="K44" s="63">
        <f t="shared" si="130"/>
        <v>35</v>
      </c>
      <c r="L44" s="63">
        <v>1</v>
      </c>
      <c r="M44" s="63" t="str" cm="1">
        <f t="array" ref="M44">INDEX(Tbl_71_6,MATCH(INDEX(FX_Input,$KB44,M$85),Paint_Color,0),VLOOKUP(INDEX(FX_Input,$KB44,M$86),Paint_Cond_Column,2,FALSE))</f>
        <v>N/A</v>
      </c>
      <c r="N44" s="63" t="str" cm="1">
        <f t="array" ref="N44">INDEX(Tbl_71_6,MATCH(INDEX(FX_Input,$KB44,N$85),Paint_Color,0),VLOOKUP(INDEX(FX_Input,$KB44,N$86),Paint_Cond_Column,2,FALSE))</f>
        <v>N/A</v>
      </c>
      <c r="O44" s="64" t="str">
        <f t="shared" si="2"/>
        <v>Insulated</v>
      </c>
      <c r="P44" s="80" t="str" cm="1">
        <f t="array" ref="P44">IF(ISBLANK(INDEX(FX_Input,$KB44+1,P$85)),INDEX(FX_Input,$KB44,P$85),INDEX(FX_Input,$KB44,P$85)&amp;" &amp; "&amp;INDEX(FX_Input,$KB44+1,P$85))</f>
        <v>Out of Service</v>
      </c>
      <c r="Q44" s="63" cm="1">
        <f t="array" ref="Q44">INDEX(FX_Temps,$KC44+7,Q$89)</f>
        <v>0</v>
      </c>
      <c r="R44" s="63" cm="1">
        <f t="array" ref="R44">INDEX(FX_Temps,$KC44+13,R$89)+459.6</f>
        <v>503.5</v>
      </c>
      <c r="S44" s="63" cm="1">
        <f t="array" ref="S44">INDEX(FX_Vap,$KG44,S$91)-INDEX(FX_Vap,$KH44,S$91)</f>
        <v>0</v>
      </c>
      <c r="T44" s="73" cm="1">
        <f t="array" ref="T44">IF(P44="Out of Service",0,INDEX(FX_Vap,$KI44,T$91))</f>
        <v>0</v>
      </c>
      <c r="U44" s="63">
        <f t="shared" si="3"/>
        <v>0</v>
      </c>
      <c r="V44" s="63">
        <f t="shared" si="4"/>
        <v>1</v>
      </c>
      <c r="W44" s="63" cm="1">
        <f t="array" ref="W44">INDEX(FX_Vap,$KJ44,W$91)</f>
        <v>0</v>
      </c>
      <c r="X44" s="63" cm="1">
        <f t="array" ref="X44">INDEX(FX_Temps,$KD44,X$89)+459.6</f>
        <v>503.5</v>
      </c>
      <c r="Y44" s="63">
        <f t="shared" si="5"/>
        <v>0</v>
      </c>
      <c r="Z44" s="63" cm="1">
        <f t="array" ref="Z44">INDEX(Month_Ref,Z$83,3)*U44*(PI()/4*$F44^2)*$H44*V44*Y44</f>
        <v>0</v>
      </c>
      <c r="AA44" s="63" cm="1">
        <f t="array" ref="AA44">INDEX(FX_Input,$KB44,AA$85)</f>
        <v>0</v>
      </c>
      <c r="AB44" s="63">
        <f t="shared" si="6"/>
        <v>0</v>
      </c>
      <c r="AC44" s="63">
        <f t="shared" si="7"/>
        <v>0</v>
      </c>
      <c r="AD44" s="63">
        <f t="shared" si="8"/>
        <v>1</v>
      </c>
      <c r="AE44" s="63" cm="1">
        <f t="array" ref="AE44">IF(OR(INDEX(FX_Vap,$KK44,AE$90)="Crude Oil",(INDEX(FX_Vap,$KL44,AE$90)="Crude Oil")),0.75,1)</f>
        <v>1</v>
      </c>
      <c r="AF44" s="63">
        <f t="shared" si="108"/>
        <v>1</v>
      </c>
      <c r="AG44" s="63">
        <f t="shared" si="9"/>
        <v>0</v>
      </c>
      <c r="AH44" s="64">
        <f t="shared" si="10"/>
        <v>0</v>
      </c>
      <c r="AI44" s="80" t="str" cm="1">
        <f t="array" ref="AI44">IF(ISBLANK(INDEX(FX_Input,$KB44+1,AI$85)),INDEX(FX_Input,$KB44,AI$85),INDEX(FX_Input,$KB44,AI$85)&amp;" &amp; "&amp;INDEX(FX_Input,$KB44+1,AI$85))</f>
        <v>Out of Service</v>
      </c>
      <c r="AJ44" s="63" cm="1">
        <f t="array" ref="AJ44">INDEX(FX_Temps,$KC44+7,AJ$89)</f>
        <v>0</v>
      </c>
      <c r="AK44" s="63" cm="1">
        <f t="array" ref="AK44">INDEX(FX_Temps,$KC44+13,AK$89)+459.6</f>
        <v>504.30000000000007</v>
      </c>
      <c r="AL44" s="63" cm="1">
        <f t="array" ref="AL44">INDEX(FX_Vap,$KG44,AL$91)-INDEX(FX_Vap,$KH44,AL$91)</f>
        <v>0</v>
      </c>
      <c r="AM44" s="73" cm="1">
        <f t="array" ref="AM44">IF(AI44="Out of Service",0,INDEX(FX_Vap,$KI44,AM$91))</f>
        <v>0</v>
      </c>
      <c r="AN44" s="63">
        <f t="shared" si="11"/>
        <v>0</v>
      </c>
      <c r="AO44" s="63">
        <f t="shared" si="12"/>
        <v>1</v>
      </c>
      <c r="AP44" s="63" cm="1">
        <f t="array" ref="AP44">INDEX(FX_Vap,$KJ44,AP$91)</f>
        <v>0</v>
      </c>
      <c r="AQ44" s="63" cm="1">
        <f t="array" ref="AQ44">INDEX(FX_Temps,$KD44,AQ$89)+459.6</f>
        <v>504.30000000000007</v>
      </c>
      <c r="AR44" s="63">
        <f t="shared" si="13"/>
        <v>0</v>
      </c>
      <c r="AS44" s="63" cm="1">
        <f t="array" ref="AS44">INDEX(Month_Ref,AS$83,3)*AN44*(PI()/4*$F44^2)*$H44*AO44*AR44</f>
        <v>0</v>
      </c>
      <c r="AT44" s="63" cm="1">
        <f t="array" ref="AT44">INDEX(FX_Input,$KB44,AT$85)</f>
        <v>0</v>
      </c>
      <c r="AU44" s="63">
        <f t="shared" si="14"/>
        <v>0</v>
      </c>
      <c r="AV44" s="63">
        <f t="shared" si="15"/>
        <v>0</v>
      </c>
      <c r="AW44" s="63">
        <f t="shared" si="16"/>
        <v>1</v>
      </c>
      <c r="AX44" s="63" cm="1">
        <f t="array" ref="AX44">IF(OR(INDEX(FX_Vap,$KK44,AX$90)="Crude Oil",(INDEX(FX_Vap,$KL44,AX$90)="Crude Oil")),0.75,1)</f>
        <v>1</v>
      </c>
      <c r="AY44" s="63">
        <f t="shared" si="109"/>
        <v>1</v>
      </c>
      <c r="AZ44" s="63">
        <f t="shared" si="17"/>
        <v>0</v>
      </c>
      <c r="BA44" s="64">
        <f t="shared" si="18"/>
        <v>0</v>
      </c>
      <c r="BB44" s="80" t="str" cm="1">
        <f t="array" ref="BB44">IF(ISBLANK(INDEX(FX_Input,$KB44+1,BB$85)),INDEX(FX_Input,$KB44,BB$85),INDEX(FX_Input,$KB44,BB$85)&amp;" &amp; "&amp;INDEX(FX_Input,$KB44+1,BB$85))</f>
        <v>Out of Service</v>
      </c>
      <c r="BC44" s="63" cm="1">
        <f t="array" ref="BC44">INDEX(FX_Temps,$KC44+7,BC$89)</f>
        <v>0</v>
      </c>
      <c r="BD44" s="63" cm="1">
        <f t="array" ref="BD44">INDEX(FX_Temps,$KC44+13,BD$89)+459.6</f>
        <v>505.70000000000005</v>
      </c>
      <c r="BE44" s="63" cm="1">
        <f t="array" ref="BE44">INDEX(FX_Vap,$KG44,BE$91)-INDEX(FX_Vap,$KH44,BE$91)</f>
        <v>0</v>
      </c>
      <c r="BF44" s="73" cm="1">
        <f t="array" ref="BF44">IF(BB44="Out of Service",0,INDEX(FX_Vap,$KI44,BF$91))</f>
        <v>0</v>
      </c>
      <c r="BG44" s="63">
        <f t="shared" si="19"/>
        <v>0</v>
      </c>
      <c r="BH44" s="63">
        <f t="shared" si="20"/>
        <v>1</v>
      </c>
      <c r="BI44" s="63" cm="1">
        <f t="array" ref="BI44">INDEX(FX_Vap,$KJ44,BI$91)</f>
        <v>0</v>
      </c>
      <c r="BJ44" s="63" cm="1">
        <f t="array" ref="BJ44">INDEX(FX_Temps,$KD44,BJ$89)+459.6</f>
        <v>505.70000000000005</v>
      </c>
      <c r="BK44" s="63">
        <f t="shared" si="21"/>
        <v>0</v>
      </c>
      <c r="BL44" s="63" cm="1">
        <f t="array" ref="BL44">INDEX(Month_Ref,BL$83,3)*BG44*(PI()/4*$F44^2)*$H44*BH44*BK44</f>
        <v>0</v>
      </c>
      <c r="BM44" s="63" cm="1">
        <f t="array" ref="BM44">INDEX(FX_Input,$KB44,BM$85)</f>
        <v>0</v>
      </c>
      <c r="BN44" s="63">
        <f t="shared" si="22"/>
        <v>0</v>
      </c>
      <c r="BO44" s="63">
        <f t="shared" si="23"/>
        <v>0</v>
      </c>
      <c r="BP44" s="63">
        <f t="shared" si="24"/>
        <v>1</v>
      </c>
      <c r="BQ44" s="63" cm="1">
        <f t="array" ref="BQ44">IF(OR(INDEX(FX_Vap,$KK44,BQ$90)="Crude Oil",(INDEX(FX_Vap,$KL44,BQ$90)="Crude Oil")),0.75,1)</f>
        <v>1</v>
      </c>
      <c r="BR44" s="63">
        <f t="shared" si="110"/>
        <v>1</v>
      </c>
      <c r="BS44" s="63">
        <f t="shared" si="25"/>
        <v>0</v>
      </c>
      <c r="BT44" s="64">
        <f t="shared" si="26"/>
        <v>0</v>
      </c>
      <c r="BU44" s="80" t="str" cm="1">
        <f t="array" ref="BU44">IF(ISBLANK(INDEX(FX_Input,$KB44+1,BU$85)),INDEX(FX_Input,$KB44,BU$85),INDEX(FX_Input,$KB44,BU$85)&amp;" &amp; "&amp;INDEX(FX_Input,$KB44+1,BU$85))</f>
        <v>Out of Service</v>
      </c>
      <c r="BV44" s="63" cm="1">
        <f t="array" ref="BV44">INDEX(FX_Temps,$KC44+7,BV$89)</f>
        <v>0</v>
      </c>
      <c r="BW44" s="63" cm="1">
        <f t="array" ref="BW44">INDEX(FX_Temps,$KC44+13,BW$89)+459.6</f>
        <v>508.2</v>
      </c>
      <c r="BX44" s="63" cm="1">
        <f t="array" ref="BX44">INDEX(FX_Vap,$KG44,BX$91)-INDEX(FX_Vap,$KH44,BX$91)</f>
        <v>0</v>
      </c>
      <c r="BY44" s="73" cm="1">
        <f t="array" ref="BY44">IF(BU44="Out of Service",0,INDEX(FX_Vap,$KI44,BY$91))</f>
        <v>0</v>
      </c>
      <c r="BZ44" s="63">
        <f t="shared" si="27"/>
        <v>0</v>
      </c>
      <c r="CA44" s="63">
        <f t="shared" si="28"/>
        <v>1</v>
      </c>
      <c r="CB44" s="63" cm="1">
        <f t="array" ref="CB44">INDEX(FX_Vap,$KJ44,CB$91)</f>
        <v>0</v>
      </c>
      <c r="CC44" s="63" cm="1">
        <f t="array" ref="CC44">INDEX(FX_Temps,$KD44,CC$89)+459.6</f>
        <v>508.2</v>
      </c>
      <c r="CD44" s="63">
        <f t="shared" si="29"/>
        <v>0</v>
      </c>
      <c r="CE44" s="63" cm="1">
        <f t="array" ref="CE44">INDEX(Month_Ref,CE$83,3)*BZ44*(PI()/4*$F44^2)*$H44*CA44*CD44</f>
        <v>0</v>
      </c>
      <c r="CF44" s="63" cm="1">
        <f t="array" ref="CF44">INDEX(FX_Input,$KB44,CF$85)</f>
        <v>0</v>
      </c>
      <c r="CG44" s="63">
        <f t="shared" si="30"/>
        <v>0</v>
      </c>
      <c r="CH44" s="63">
        <f t="shared" si="31"/>
        <v>0</v>
      </c>
      <c r="CI44" s="63">
        <f t="shared" si="32"/>
        <v>1</v>
      </c>
      <c r="CJ44" s="63" cm="1">
        <f t="array" ref="CJ44">IF(OR(INDEX(FX_Vap,$KK44,CJ$90)="Crude Oil",(INDEX(FX_Vap,$KL44,CJ$90)="Crude Oil")),0.75,1)</f>
        <v>1</v>
      </c>
      <c r="CK44" s="63">
        <f t="shared" si="111"/>
        <v>1</v>
      </c>
      <c r="CL44" s="63">
        <f t="shared" si="33"/>
        <v>0</v>
      </c>
      <c r="CM44" s="64">
        <f t="shared" si="34"/>
        <v>0</v>
      </c>
      <c r="CN44" s="80" t="str" cm="1">
        <f t="array" ref="CN44">IF(ISBLANK(INDEX(FX_Input,$KB44+1,CN$85)),INDEX(FX_Input,$KB44,CN$85),INDEX(FX_Input,$KB44,CN$85)&amp;" &amp; "&amp;INDEX(FX_Input,$KB44+1,CN$85))</f>
        <v>Out of Service</v>
      </c>
      <c r="CO44" s="63" cm="1">
        <f t="array" ref="CO44">INDEX(FX_Temps,$KC44+7,CO$89)</f>
        <v>0</v>
      </c>
      <c r="CP44" s="63" cm="1">
        <f t="array" ref="CP44">INDEX(FX_Temps,$KC44+13,CP$89)+459.6</f>
        <v>512.75</v>
      </c>
      <c r="CQ44" s="63" cm="1">
        <f t="array" ref="CQ44">INDEX(FX_Vap,$KG44,CQ$91)-INDEX(FX_Vap,$KH44,CQ$91)</f>
        <v>0</v>
      </c>
      <c r="CR44" s="73" cm="1">
        <f t="array" ref="CR44">IF(CN44="Out of Service",0,INDEX(FX_Vap,$KI44,CR$91))</f>
        <v>0</v>
      </c>
      <c r="CS44" s="63">
        <f t="shared" si="35"/>
        <v>0</v>
      </c>
      <c r="CT44" s="63">
        <f t="shared" si="36"/>
        <v>1</v>
      </c>
      <c r="CU44" s="63" cm="1">
        <f t="array" ref="CU44">INDEX(FX_Vap,$KJ44,CU$91)</f>
        <v>0</v>
      </c>
      <c r="CV44" s="63" cm="1">
        <f t="array" ref="CV44">INDEX(FX_Temps,$KD44,CV$89)+459.6</f>
        <v>512.75</v>
      </c>
      <c r="CW44" s="63">
        <f t="shared" si="37"/>
        <v>0</v>
      </c>
      <c r="CX44" s="63" cm="1">
        <f t="array" ref="CX44">INDEX(Month_Ref,CX$83,3)*CS44*(PI()/4*$F44^2)*$H44*CT44*CW44</f>
        <v>0</v>
      </c>
      <c r="CY44" s="63" cm="1">
        <f t="array" ref="CY44">INDEX(FX_Input,$KB44,CY$85)</f>
        <v>0</v>
      </c>
      <c r="CZ44" s="63">
        <f t="shared" si="38"/>
        <v>0</v>
      </c>
      <c r="DA44" s="63">
        <f t="shared" si="39"/>
        <v>0</v>
      </c>
      <c r="DB44" s="63">
        <f t="shared" si="40"/>
        <v>1</v>
      </c>
      <c r="DC44" s="63" cm="1">
        <f t="array" ref="DC44">IF(OR(INDEX(FX_Vap,$KK44,DC$90)="Crude Oil",(INDEX(FX_Vap,$KL44,DC$90)="Crude Oil")),0.75,1)</f>
        <v>1</v>
      </c>
      <c r="DD44" s="63">
        <f t="shared" si="112"/>
        <v>1</v>
      </c>
      <c r="DE44" s="63">
        <f t="shared" si="41"/>
        <v>0</v>
      </c>
      <c r="DF44" s="64">
        <f t="shared" si="42"/>
        <v>0</v>
      </c>
      <c r="DG44" s="80" t="str" cm="1">
        <f t="array" ref="DG44">IF(ISBLANK(INDEX(FX_Input,$KB44+1,DG$85)),INDEX(FX_Input,$KB44,DG$85),INDEX(FX_Input,$KB44,DG$85)&amp;" &amp; "&amp;INDEX(FX_Input,$KB44+1,DG$85))</f>
        <v>Out of Service</v>
      </c>
      <c r="DH44" s="63" cm="1">
        <f t="array" ref="DH44">INDEX(FX_Temps,$KC44+7,DH$89)</f>
        <v>0</v>
      </c>
      <c r="DI44" s="63" cm="1">
        <f t="array" ref="DI44">INDEX(FX_Temps,$KC44+13,DI$89)+459.6</f>
        <v>516.55000000000007</v>
      </c>
      <c r="DJ44" s="63" cm="1">
        <f t="array" ref="DJ44">INDEX(FX_Vap,$KG44,DJ$91)-INDEX(FX_Vap,$KH44,DJ$91)</f>
        <v>0</v>
      </c>
      <c r="DK44" s="73" cm="1">
        <f t="array" ref="DK44">IF(DG44="Out of Service",0,INDEX(FX_Vap,$KI44,DK$91))</f>
        <v>0</v>
      </c>
      <c r="DL44" s="63">
        <f t="shared" si="43"/>
        <v>0</v>
      </c>
      <c r="DM44" s="63">
        <f t="shared" si="44"/>
        <v>1</v>
      </c>
      <c r="DN44" s="63" cm="1">
        <f t="array" ref="DN44">INDEX(FX_Vap,$KJ44,DN$91)</f>
        <v>0</v>
      </c>
      <c r="DO44" s="63" cm="1">
        <f t="array" ref="DO44">INDEX(FX_Temps,$KD44,DO$89)+459.6</f>
        <v>516.55000000000007</v>
      </c>
      <c r="DP44" s="63">
        <f t="shared" si="45"/>
        <v>0</v>
      </c>
      <c r="DQ44" s="63" cm="1">
        <f t="array" ref="DQ44">INDEX(Month_Ref,DQ$83,3)*DL44*(PI()/4*$F44^2)*$H44*DM44*DP44</f>
        <v>0</v>
      </c>
      <c r="DR44" s="63" cm="1">
        <f t="array" ref="DR44">INDEX(FX_Input,$KB44,DR$85)</f>
        <v>0</v>
      </c>
      <c r="DS44" s="63">
        <f t="shared" si="46"/>
        <v>0</v>
      </c>
      <c r="DT44" s="63">
        <f t="shared" si="47"/>
        <v>0</v>
      </c>
      <c r="DU44" s="63">
        <f t="shared" si="48"/>
        <v>1</v>
      </c>
      <c r="DV44" s="63" cm="1">
        <f t="array" ref="DV44">IF(OR(INDEX(FX_Vap,$KK44,DV$90)="Crude Oil",(INDEX(FX_Vap,$KL44,DV$90)="Crude Oil")),0.75,1)</f>
        <v>1</v>
      </c>
      <c r="DW44" s="63">
        <f t="shared" si="113"/>
        <v>1</v>
      </c>
      <c r="DX44" s="63">
        <f t="shared" si="49"/>
        <v>0</v>
      </c>
      <c r="DY44" s="64">
        <f t="shared" si="50"/>
        <v>0</v>
      </c>
      <c r="DZ44" s="80" t="str" cm="1">
        <f t="array" ref="DZ44">IF(ISBLANK(INDEX(FX_Input,$KB44+1,DZ$85)),INDEX(FX_Input,$KB44,DZ$85),INDEX(FX_Input,$KB44,DZ$85)&amp;" &amp; "&amp;INDEX(FX_Input,$KB44+1,DZ$85))</f>
        <v>Out of Service</v>
      </c>
      <c r="EA44" s="63" cm="1">
        <f t="array" ref="EA44">INDEX(FX_Temps,$KC44+7,EA$89)</f>
        <v>0</v>
      </c>
      <c r="EB44" s="63" cm="1">
        <f t="array" ref="EB44">INDEX(FX_Temps,$KC44+13,EB$89)+459.6</f>
        <v>520.04999999999995</v>
      </c>
      <c r="EC44" s="63" cm="1">
        <f t="array" ref="EC44">INDEX(FX_Vap,$KG44,EC$91)-INDEX(FX_Vap,$KH44,EC$91)</f>
        <v>0</v>
      </c>
      <c r="ED44" s="73" cm="1">
        <f t="array" ref="ED44">IF(DZ44="Out of Service",0,INDEX(FX_Vap,$KI44,ED$91))</f>
        <v>0</v>
      </c>
      <c r="EE44" s="63">
        <f t="shared" si="51"/>
        <v>0</v>
      </c>
      <c r="EF44" s="63">
        <f t="shared" si="52"/>
        <v>1</v>
      </c>
      <c r="EG44" s="63" cm="1">
        <f t="array" ref="EG44">INDEX(FX_Vap,$KJ44,EG$91)</f>
        <v>0</v>
      </c>
      <c r="EH44" s="63" cm="1">
        <f t="array" ref="EH44">INDEX(FX_Temps,$KD44,EH$89)+459.6</f>
        <v>520.04999999999995</v>
      </c>
      <c r="EI44" s="63">
        <f t="shared" si="53"/>
        <v>0</v>
      </c>
      <c r="EJ44" s="63" cm="1">
        <f t="array" ref="EJ44">INDEX(Month_Ref,EJ$83,3)*EE44*(PI()/4*$F44^2)*$H44*EF44*EI44</f>
        <v>0</v>
      </c>
      <c r="EK44" s="63" cm="1">
        <f t="array" ref="EK44">INDEX(FX_Input,$KB44,EK$85)</f>
        <v>0</v>
      </c>
      <c r="EL44" s="63">
        <f t="shared" si="54"/>
        <v>0</v>
      </c>
      <c r="EM44" s="63">
        <f t="shared" si="55"/>
        <v>0</v>
      </c>
      <c r="EN44" s="63">
        <f t="shared" si="56"/>
        <v>1</v>
      </c>
      <c r="EO44" s="63" cm="1">
        <f t="array" ref="EO44">IF(OR(INDEX(FX_Vap,$KK44,EO$90)="Crude Oil",(INDEX(FX_Vap,$KL44,EO$90)="Crude Oil")),0.75,1)</f>
        <v>1</v>
      </c>
      <c r="EP44" s="63">
        <f t="shared" si="114"/>
        <v>1</v>
      </c>
      <c r="EQ44" s="63">
        <f t="shared" si="57"/>
        <v>0</v>
      </c>
      <c r="ER44" s="64">
        <f t="shared" si="58"/>
        <v>0</v>
      </c>
      <c r="ES44" s="80" t="str" cm="1">
        <f t="array" ref="ES44">IF(ISBLANK(INDEX(FX_Input,$KB44+1,ES$85)),INDEX(FX_Input,$KB44,ES$85),INDEX(FX_Input,$KB44,ES$85)&amp;" &amp; "&amp;INDEX(FX_Input,$KB44+1,ES$85))</f>
        <v>Out of Service</v>
      </c>
      <c r="ET44" s="63" cm="1">
        <f t="array" ref="ET44">INDEX(FX_Temps,$KC44+7,ET$89)</f>
        <v>0</v>
      </c>
      <c r="EU44" s="63" cm="1">
        <f t="array" ref="EU44">INDEX(FX_Temps,$KC44+13,EU$89)+459.6</f>
        <v>520.5</v>
      </c>
      <c r="EV44" s="63" cm="1">
        <f t="array" ref="EV44">INDEX(FX_Vap,$KG44,EV$91)-INDEX(FX_Vap,$KH44,EV$91)</f>
        <v>0</v>
      </c>
      <c r="EW44" s="73" cm="1">
        <f t="array" ref="EW44">IF(ES44="Out of Service",0,INDEX(FX_Vap,$KI44,EW$91))</f>
        <v>0</v>
      </c>
      <c r="EX44" s="63">
        <f t="shared" si="59"/>
        <v>0</v>
      </c>
      <c r="EY44" s="63">
        <f t="shared" si="60"/>
        <v>1</v>
      </c>
      <c r="EZ44" s="63" cm="1">
        <f t="array" ref="EZ44">INDEX(FX_Vap,$KJ44,EZ$91)</f>
        <v>0</v>
      </c>
      <c r="FA44" s="63" cm="1">
        <f t="array" ref="FA44">INDEX(FX_Temps,$KD44,FA$89)+459.6</f>
        <v>520.5</v>
      </c>
      <c r="FB44" s="63">
        <f t="shared" si="61"/>
        <v>0</v>
      </c>
      <c r="FC44" s="63" cm="1">
        <f t="array" ref="FC44">INDEX(Month_Ref,FC$83,3)*EX44*(PI()/4*$F44^2)*$H44*EY44*FB44</f>
        <v>0</v>
      </c>
      <c r="FD44" s="63" cm="1">
        <f t="array" ref="FD44">INDEX(FX_Input,$KB44,FD$85)</f>
        <v>0</v>
      </c>
      <c r="FE44" s="63">
        <f t="shared" si="62"/>
        <v>0</v>
      </c>
      <c r="FF44" s="63">
        <f t="shared" si="63"/>
        <v>0</v>
      </c>
      <c r="FG44" s="63">
        <f t="shared" si="64"/>
        <v>1</v>
      </c>
      <c r="FH44" s="63" cm="1">
        <f t="array" ref="FH44">IF(OR(INDEX(FX_Vap,$KK44,FH$90)="Crude Oil",(INDEX(FX_Vap,$KL44,FH$90)="Crude Oil")),0.75,1)</f>
        <v>1</v>
      </c>
      <c r="FI44" s="63">
        <f t="shared" si="115"/>
        <v>1</v>
      </c>
      <c r="FJ44" s="63">
        <f t="shared" si="65"/>
        <v>0</v>
      </c>
      <c r="FK44" s="64">
        <f t="shared" si="66"/>
        <v>0</v>
      </c>
      <c r="FL44" s="80" t="str" cm="1">
        <f t="array" ref="FL44">IF(ISBLANK(INDEX(FX_Input,$KB44+1,FL$85)),INDEX(FX_Input,$KB44,FL$85),INDEX(FX_Input,$KB44,FL$85)&amp;" &amp; "&amp;INDEX(FX_Input,$KB44+1,FL$85))</f>
        <v>Out of Service</v>
      </c>
      <c r="FM44" s="63" cm="1">
        <f t="array" ref="FM44">INDEX(FX_Temps,$KC44+7,FM$89)</f>
        <v>0</v>
      </c>
      <c r="FN44" s="63" cm="1">
        <f t="array" ref="FN44">INDEX(FX_Temps,$KC44+13,FN$89)+459.6</f>
        <v>518.20000000000005</v>
      </c>
      <c r="FO44" s="63" cm="1">
        <f t="array" ref="FO44">INDEX(FX_Vap,$KG44,FO$91)-INDEX(FX_Vap,$KH44,FO$91)</f>
        <v>0</v>
      </c>
      <c r="FP44" s="73" cm="1">
        <f t="array" ref="FP44">IF(FL44="Out of Service",0,INDEX(FX_Vap,$KI44,FP$91))</f>
        <v>0</v>
      </c>
      <c r="FQ44" s="63">
        <f t="shared" si="67"/>
        <v>0</v>
      </c>
      <c r="FR44" s="63">
        <f t="shared" si="68"/>
        <v>1</v>
      </c>
      <c r="FS44" s="63" cm="1">
        <f t="array" ref="FS44">INDEX(FX_Vap,$KJ44,FS$91)</f>
        <v>0</v>
      </c>
      <c r="FT44" s="63" cm="1">
        <f t="array" ref="FT44">INDEX(FX_Temps,$KD44,FT$89)+459.6</f>
        <v>518.20000000000005</v>
      </c>
      <c r="FU44" s="63">
        <f t="shared" si="69"/>
        <v>0</v>
      </c>
      <c r="FV44" s="63" cm="1">
        <f t="array" ref="FV44">INDEX(Month_Ref,FV$83,3)*FQ44*(PI()/4*$F44^2)*$H44*FR44*FU44</f>
        <v>0</v>
      </c>
      <c r="FW44" s="63" cm="1">
        <f t="array" ref="FW44">INDEX(FX_Input,$KB44,FW$85)</f>
        <v>0</v>
      </c>
      <c r="FX44" s="63">
        <f t="shared" si="70"/>
        <v>0</v>
      </c>
      <c r="FY44" s="63">
        <f t="shared" si="71"/>
        <v>0</v>
      </c>
      <c r="FZ44" s="63">
        <f t="shared" si="72"/>
        <v>1</v>
      </c>
      <c r="GA44" s="63" cm="1">
        <f t="array" ref="GA44">IF(OR(INDEX(FX_Vap,$KK44,GA$90)="Crude Oil",(INDEX(FX_Vap,$KL44,GA$90)="Crude Oil")),0.75,1)</f>
        <v>1</v>
      </c>
      <c r="GB44" s="63">
        <f t="shared" si="116"/>
        <v>1</v>
      </c>
      <c r="GC44" s="63">
        <f t="shared" si="73"/>
        <v>0</v>
      </c>
      <c r="GD44" s="64">
        <f t="shared" si="74"/>
        <v>0</v>
      </c>
      <c r="GE44" s="80" t="str" cm="1">
        <f t="array" ref="GE44">IF(ISBLANK(INDEX(FX_Input,$KB44+1,GE$85)),INDEX(FX_Input,$KB44,GE$85),INDEX(FX_Input,$KB44,GE$85)&amp;" &amp; "&amp;INDEX(FX_Input,$KB44+1,GE$85))</f>
        <v>Out of Service</v>
      </c>
      <c r="GF44" s="63" cm="1">
        <f t="array" ref="GF44">INDEX(FX_Temps,$KC44+7,GF$89)</f>
        <v>0</v>
      </c>
      <c r="GG44" s="63" cm="1">
        <f t="array" ref="GG44">INDEX(FX_Temps,$KC44+13,GG$89)+459.6</f>
        <v>512.25</v>
      </c>
      <c r="GH44" s="63" cm="1">
        <f t="array" ref="GH44">INDEX(FX_Vap,$KG44,GH$91)-INDEX(FX_Vap,$KH44,GH$91)</f>
        <v>0</v>
      </c>
      <c r="GI44" s="73" cm="1">
        <f t="array" ref="GI44">IF(GE44="Out of Service",0,INDEX(FX_Vap,$KI44,GI$91))</f>
        <v>0</v>
      </c>
      <c r="GJ44" s="63">
        <f t="shared" si="75"/>
        <v>0</v>
      </c>
      <c r="GK44" s="63">
        <f t="shared" si="76"/>
        <v>1</v>
      </c>
      <c r="GL44" s="63" cm="1">
        <f t="array" ref="GL44">INDEX(FX_Vap,$KJ44,GL$91)</f>
        <v>0</v>
      </c>
      <c r="GM44" s="63" cm="1">
        <f t="array" ref="GM44">INDEX(FX_Temps,$KD44,GM$89)+459.6</f>
        <v>512.25</v>
      </c>
      <c r="GN44" s="63">
        <f t="shared" si="77"/>
        <v>0</v>
      </c>
      <c r="GO44" s="63" cm="1">
        <f t="array" ref="GO44">INDEX(Month_Ref,GO$83,3)*GJ44*(PI()/4*$F44^2)*$H44*GK44*GN44</f>
        <v>0</v>
      </c>
      <c r="GP44" s="63" cm="1">
        <f t="array" ref="GP44">INDEX(FX_Input,$KB44,GP$85)</f>
        <v>0</v>
      </c>
      <c r="GQ44" s="63">
        <f t="shared" si="78"/>
        <v>0</v>
      </c>
      <c r="GR44" s="63">
        <f t="shared" si="79"/>
        <v>0</v>
      </c>
      <c r="GS44" s="63">
        <f t="shared" si="80"/>
        <v>1</v>
      </c>
      <c r="GT44" s="63" cm="1">
        <f t="array" ref="GT44">IF(OR(INDEX(FX_Vap,$KK44,GT$90)="Crude Oil",(INDEX(FX_Vap,$KL44,GT$90)="Crude Oil")),0.75,1)</f>
        <v>1</v>
      </c>
      <c r="GU44" s="63">
        <f t="shared" si="117"/>
        <v>1</v>
      </c>
      <c r="GV44" s="63">
        <f t="shared" si="81"/>
        <v>0</v>
      </c>
      <c r="GW44" s="64">
        <f t="shared" si="82"/>
        <v>0</v>
      </c>
      <c r="GX44" s="80" t="str" cm="1">
        <f t="array" ref="GX44">IF(ISBLANK(INDEX(FX_Input,$KB44+1,GX$85)),INDEX(FX_Input,$KB44,GX$85),INDEX(FX_Input,$KB44,GX$85)&amp;" &amp; "&amp;INDEX(FX_Input,$KB44+1,GX$85))</f>
        <v>Out of Service</v>
      </c>
      <c r="GY44" s="63" cm="1">
        <f t="array" ref="GY44">INDEX(FX_Temps,$KC44+7,GY$89)</f>
        <v>0</v>
      </c>
      <c r="GZ44" s="63" cm="1">
        <f t="array" ref="GZ44">INDEX(FX_Temps,$KC44+13,GZ$89)+459.6</f>
        <v>506.70000000000005</v>
      </c>
      <c r="HA44" s="63" cm="1">
        <f t="array" ref="HA44">INDEX(FX_Vap,$KG44,HA$91)-INDEX(FX_Vap,$KH44,HA$91)</f>
        <v>0</v>
      </c>
      <c r="HB44" s="73" cm="1">
        <f t="array" ref="HB44">IF(GX44="Out of Service",0,INDEX(FX_Vap,$KI44,HB$91))</f>
        <v>0</v>
      </c>
      <c r="HC44" s="63">
        <f t="shared" si="83"/>
        <v>0</v>
      </c>
      <c r="HD44" s="63">
        <f t="shared" si="84"/>
        <v>1</v>
      </c>
      <c r="HE44" s="63" cm="1">
        <f t="array" ref="HE44">INDEX(FX_Vap,$KJ44,HE$91)</f>
        <v>0</v>
      </c>
      <c r="HF44" s="63" cm="1">
        <f t="array" ref="HF44">INDEX(FX_Temps,$KD44,HF$89)+459.6</f>
        <v>506.70000000000005</v>
      </c>
      <c r="HG44" s="63">
        <f t="shared" si="85"/>
        <v>0</v>
      </c>
      <c r="HH44" s="63" cm="1">
        <f t="array" ref="HH44">INDEX(Month_Ref,HH$83,3)*HC44*(PI()/4*$F44^2)*$H44*HD44*HG44</f>
        <v>0</v>
      </c>
      <c r="HI44" s="63" cm="1">
        <f t="array" ref="HI44">INDEX(FX_Input,$KB44,HI$85)</f>
        <v>0</v>
      </c>
      <c r="HJ44" s="63">
        <f t="shared" si="86"/>
        <v>0</v>
      </c>
      <c r="HK44" s="63">
        <f t="shared" si="87"/>
        <v>0</v>
      </c>
      <c r="HL44" s="63">
        <f t="shared" si="88"/>
        <v>1</v>
      </c>
      <c r="HM44" s="63" cm="1">
        <f t="array" ref="HM44">IF(OR(INDEX(FX_Vap,$KK44,HM$90)="Crude Oil",(INDEX(FX_Vap,$KL44,HM$90)="Crude Oil")),0.75,1)</f>
        <v>1</v>
      </c>
      <c r="HN44" s="63">
        <f t="shared" si="118"/>
        <v>1</v>
      </c>
      <c r="HO44" s="63">
        <f t="shared" si="89"/>
        <v>0</v>
      </c>
      <c r="HP44" s="64">
        <f t="shared" si="90"/>
        <v>0</v>
      </c>
      <c r="HQ44" s="80" t="str" cm="1">
        <f t="array" ref="HQ44">IF(ISBLANK(INDEX(FX_Input,$KB44+1,HQ$85)),INDEX(FX_Input,$KB44,HQ$85),INDEX(FX_Input,$KB44,HQ$85)&amp;" &amp; "&amp;INDEX(FX_Input,$KB44+1,HQ$85))</f>
        <v>Out of Service</v>
      </c>
      <c r="HR44" s="63" cm="1">
        <f t="array" ref="HR44">INDEX(FX_Temps,$KC44+7,HR$89)</f>
        <v>0</v>
      </c>
      <c r="HS44" s="63" cm="1">
        <f t="array" ref="HS44">INDEX(FX_Temps,$KC44+13,HS$89)+459.6</f>
        <v>503.20000000000005</v>
      </c>
      <c r="HT44" s="63" cm="1">
        <f t="array" ref="HT44">INDEX(FX_Vap,$KG44,HT$91)-INDEX(FX_Vap,$KH44,HT$91)</f>
        <v>0</v>
      </c>
      <c r="HU44" s="73" cm="1">
        <f t="array" ref="HU44">IF(HQ44="Out of Service",0,INDEX(FX_Vap,$KI44,HU$91))</f>
        <v>0</v>
      </c>
      <c r="HV44" s="63">
        <f t="shared" si="91"/>
        <v>0</v>
      </c>
      <c r="HW44" s="63">
        <f t="shared" si="92"/>
        <v>1</v>
      </c>
      <c r="HX44" s="63" cm="1">
        <f t="array" ref="HX44">INDEX(FX_Vap,$KJ44,HX$91)</f>
        <v>0</v>
      </c>
      <c r="HY44" s="63" cm="1">
        <f t="array" ref="HY44">INDEX(FX_Temps,$KD44,HY$89)+459.6</f>
        <v>503.20000000000005</v>
      </c>
      <c r="HZ44" s="63">
        <f t="shared" si="93"/>
        <v>0</v>
      </c>
      <c r="IA44" s="63" cm="1">
        <f t="array" ref="IA44">INDEX(Month_Ref,IA$83,3)*HV44*(PI()/4*$F44^2)*$H44*HW44*HZ44</f>
        <v>0</v>
      </c>
      <c r="IB44" s="63" cm="1">
        <f t="array" ref="IB44">INDEX(FX_Input,$KB44,IB$85)</f>
        <v>0</v>
      </c>
      <c r="IC44" s="63">
        <f t="shared" si="94"/>
        <v>0</v>
      </c>
      <c r="ID44" s="63">
        <f t="shared" si="95"/>
        <v>0</v>
      </c>
      <c r="IE44" s="63">
        <f t="shared" si="96"/>
        <v>1</v>
      </c>
      <c r="IF44" s="63" cm="1">
        <f t="array" ref="IF44">IF(OR(INDEX(FX_Vap,$KK44,IF$90)="Crude Oil",(INDEX(FX_Vap,$KL44,IF$90)="Crude Oil")),0.75,1)</f>
        <v>1</v>
      </c>
      <c r="IG44" s="63">
        <f t="shared" si="119"/>
        <v>1</v>
      </c>
      <c r="IH44" s="63">
        <f t="shared" si="97"/>
        <v>0</v>
      </c>
      <c r="II44" s="64">
        <f t="shared" si="98"/>
        <v>0</v>
      </c>
      <c r="IJ44" s="80">
        <f t="shared" si="99"/>
        <v>0</v>
      </c>
      <c r="IK44" s="63">
        <f t="shared" si="100"/>
        <v>0</v>
      </c>
      <c r="IL44" s="63">
        <f t="shared" si="101"/>
        <v>0</v>
      </c>
      <c r="IM44" s="63">
        <f t="shared" si="102"/>
        <v>0</v>
      </c>
      <c r="IN44" s="63">
        <f t="shared" si="103"/>
        <v>0</v>
      </c>
      <c r="IO44" s="64">
        <f t="shared" si="104"/>
        <v>0</v>
      </c>
      <c r="KB44" s="43">
        <f t="shared" si="120"/>
        <v>67</v>
      </c>
      <c r="KC44" s="43">
        <f t="shared" si="121"/>
        <v>463</v>
      </c>
      <c r="KD44" s="43">
        <f t="shared" si="122"/>
        <v>476</v>
      </c>
      <c r="KE44" s="43">
        <f t="shared" si="123"/>
        <v>463</v>
      </c>
      <c r="KF44" s="43">
        <f t="shared" si="124"/>
        <v>1123</v>
      </c>
      <c r="KG44" s="43">
        <f t="shared" si="125"/>
        <v>1146</v>
      </c>
      <c r="KH44" s="43">
        <f t="shared" si="126"/>
        <v>1141</v>
      </c>
      <c r="KI44" s="43">
        <f t="shared" si="126"/>
        <v>1151</v>
      </c>
      <c r="KJ44" s="43">
        <f t="shared" si="126"/>
        <v>1156</v>
      </c>
      <c r="KK44" s="43">
        <f t="shared" si="127"/>
        <v>1127</v>
      </c>
      <c r="KL44" s="43">
        <f t="shared" si="128"/>
        <v>1129</v>
      </c>
    </row>
    <row r="45" spans="2:298" x14ac:dyDescent="0.4">
      <c r="B45" s="43" t="str" cm="1">
        <f t="array" ref="B45">INDEX(FX_Input,$KB45,B$85)</f>
        <v>FX - 35</v>
      </c>
      <c r="C45" s="93" t="str" cm="1">
        <f t="array" ref="C45">INDEX(FX_Input,$KB45,C$85)</f>
        <v>FIXTANK 152</v>
      </c>
      <c r="D45" s="80">
        <f t="shared" si="129"/>
        <v>2049.88920646734</v>
      </c>
      <c r="E45" s="63" cm="1">
        <f t="array" ref="E45">IF(ISBLANK(INDEX(FX_Input,$KB45,$E$85)),0.03,INDEX(FX_Input,$KB45,$E$85))-IF(ISBLANK(INDEX(FX_Input,$KB45,$E$86)),-0.03,INDEX(FX_Input,$KB45,$E$86))</f>
        <v>0.06</v>
      </c>
      <c r="F45" s="63" cm="1">
        <f t="array" ref="F45">IF(INDEX(FX_Input,$KB45,F$85)="Vertical",INDEX(FX_Input,$KB45,F$86),SQRT((INDEX(FX_Input,$KB45,F$86)*INDEX(FX_Input,$KB45,F$87))/(PI()/4)))</f>
        <v>12</v>
      </c>
      <c r="G45" s="63" cm="1">
        <f t="array" ref="G45">IF(INDEX(FX_Input,$KB45,G$85)="Vertical",INDEX(FX_Input,$KB45,G$86),INDEX(FX_Input,$KB45,G$87)*PI()/4)</f>
        <v>36</v>
      </c>
      <c r="H45" s="63" cm="1">
        <f t="array" ref="H45">IF(INDEX(FX_Input,$KB45,H$85)="Vertical",G45-G45/2+J45,G45/2)</f>
        <v>18.125</v>
      </c>
      <c r="I45" s="63" cm="1">
        <f t="array" ref="I45">IF(INDEX(FX_Input,$KB45,F$85)="Horizontal","N/A",IF(INDEX(FX_Input,$KB45,I$86)="Cone",IF(ISBLANK(INDEX(FX_Input,$KB45,I$87)),0.0625,INDEX(FX_Input,$KB45,I$87))*F45/2,F45/2-SQRT((F45/2)^2-(INDEX(FX_Input,$KB45,I$88)^2))))</f>
        <v>0.375</v>
      </c>
      <c r="J45" s="63" cm="1">
        <f t="array" ref="J45">IF(INDEX(FX_Input,$KB45,J$85)="Horizontal","N/A",IF(INDEX(FX_Input,$KB45,J$86)="Cone",I45/3,I45*(1/2+(1/6)*(I45/(F45/2))^2)))</f>
        <v>0.125</v>
      </c>
      <c r="K45" s="63">
        <f t="shared" si="130"/>
        <v>35</v>
      </c>
      <c r="L45" s="63">
        <v>1</v>
      </c>
      <c r="M45" s="63" t="str" cm="1">
        <f t="array" ref="M45">INDEX(Tbl_71_6,MATCH(INDEX(FX_Input,$KB45,M$85),Paint_Color,0),VLOOKUP(INDEX(FX_Input,$KB45,M$86),Paint_Cond_Column,2,FALSE))</f>
        <v>N/A</v>
      </c>
      <c r="N45" s="63" t="str" cm="1">
        <f t="array" ref="N45">INDEX(Tbl_71_6,MATCH(INDEX(FX_Input,$KB45,N$85),Paint_Color,0),VLOOKUP(INDEX(FX_Input,$KB45,N$86),Paint_Cond_Column,2,FALSE))</f>
        <v>N/A</v>
      </c>
      <c r="O45" s="64" t="str">
        <f t="shared" si="2"/>
        <v>Insulated</v>
      </c>
      <c r="P45" s="80" t="str" cm="1">
        <f t="array" ref="P45">IF(ISBLANK(INDEX(FX_Input,$KB45+1,P$85)),INDEX(FX_Input,$KB45,P$85),INDEX(FX_Input,$KB45,P$85)&amp;" &amp; "&amp;INDEX(FX_Input,$KB45+1,P$85))</f>
        <v>Out of Service</v>
      </c>
      <c r="Q45" s="63" cm="1">
        <f t="array" ref="Q45">INDEX(FX_Temps,$KC45+7,Q$89)</f>
        <v>0</v>
      </c>
      <c r="R45" s="63" cm="1">
        <f t="array" ref="R45">INDEX(FX_Temps,$KC45+13,R$89)+459.6</f>
        <v>503.5</v>
      </c>
      <c r="S45" s="63" cm="1">
        <f t="array" ref="S45">INDEX(FX_Vap,$KG45,S$91)-INDEX(FX_Vap,$KH45,S$91)</f>
        <v>0</v>
      </c>
      <c r="T45" s="73" cm="1">
        <f t="array" ref="T45">IF(P45="Out of Service",0,INDEX(FX_Vap,$KI45,T$91))</f>
        <v>0</v>
      </c>
      <c r="U45" s="63">
        <f t="shared" si="3"/>
        <v>0</v>
      </c>
      <c r="V45" s="63">
        <f t="shared" si="4"/>
        <v>1</v>
      </c>
      <c r="W45" s="63" cm="1">
        <f t="array" ref="W45">INDEX(FX_Vap,$KJ45,W$91)</f>
        <v>0</v>
      </c>
      <c r="X45" s="63" cm="1">
        <f t="array" ref="X45">INDEX(FX_Temps,$KD45,X$89)+459.6</f>
        <v>503.5</v>
      </c>
      <c r="Y45" s="63">
        <f t="shared" si="5"/>
        <v>0</v>
      </c>
      <c r="Z45" s="63" cm="1">
        <f t="array" ref="Z45">INDEX(Month_Ref,Z$83,3)*U45*(PI()/4*$F45^2)*$H45*V45*Y45</f>
        <v>0</v>
      </c>
      <c r="AA45" s="63" cm="1">
        <f t="array" ref="AA45">INDEX(FX_Input,$KB45,AA$85)</f>
        <v>0</v>
      </c>
      <c r="AB45" s="63">
        <f t="shared" si="6"/>
        <v>0</v>
      </c>
      <c r="AC45" s="63">
        <f t="shared" si="7"/>
        <v>0</v>
      </c>
      <c r="AD45" s="63">
        <f t="shared" si="8"/>
        <v>1</v>
      </c>
      <c r="AE45" s="63" cm="1">
        <f t="array" ref="AE45">IF(OR(INDEX(FX_Vap,$KK45,AE$90)="Crude Oil",(INDEX(FX_Vap,$KL45,AE$90)="Crude Oil")),0.75,1)</f>
        <v>1</v>
      </c>
      <c r="AF45" s="63">
        <f t="shared" si="108"/>
        <v>1</v>
      </c>
      <c r="AG45" s="63">
        <f t="shared" si="9"/>
        <v>0</v>
      </c>
      <c r="AH45" s="64">
        <f t="shared" si="10"/>
        <v>0</v>
      </c>
      <c r="AI45" s="80" t="str" cm="1">
        <f t="array" ref="AI45">IF(ISBLANK(INDEX(FX_Input,$KB45+1,AI$85)),INDEX(FX_Input,$KB45,AI$85),INDEX(FX_Input,$KB45,AI$85)&amp;" &amp; "&amp;INDEX(FX_Input,$KB45+1,AI$85))</f>
        <v>Out of Service</v>
      </c>
      <c r="AJ45" s="63" cm="1">
        <f t="array" ref="AJ45">INDEX(FX_Temps,$KC45+7,AJ$89)</f>
        <v>0</v>
      </c>
      <c r="AK45" s="63" cm="1">
        <f t="array" ref="AK45">INDEX(FX_Temps,$KC45+13,AK$89)+459.6</f>
        <v>504.30000000000007</v>
      </c>
      <c r="AL45" s="63" cm="1">
        <f t="array" ref="AL45">INDEX(FX_Vap,$KG45,AL$91)-INDEX(FX_Vap,$KH45,AL$91)</f>
        <v>0</v>
      </c>
      <c r="AM45" s="73" cm="1">
        <f t="array" ref="AM45">IF(AI45="Out of Service",0,INDEX(FX_Vap,$KI45,AM$91))</f>
        <v>0</v>
      </c>
      <c r="AN45" s="63">
        <f t="shared" si="11"/>
        <v>0</v>
      </c>
      <c r="AO45" s="63">
        <f t="shared" si="12"/>
        <v>1</v>
      </c>
      <c r="AP45" s="63" cm="1">
        <f t="array" ref="AP45">INDEX(FX_Vap,$KJ45,AP$91)</f>
        <v>0</v>
      </c>
      <c r="AQ45" s="63" cm="1">
        <f t="array" ref="AQ45">INDEX(FX_Temps,$KD45,AQ$89)+459.6</f>
        <v>504.30000000000007</v>
      </c>
      <c r="AR45" s="63">
        <f t="shared" si="13"/>
        <v>0</v>
      </c>
      <c r="AS45" s="63" cm="1">
        <f t="array" ref="AS45">INDEX(Month_Ref,AS$83,3)*AN45*(PI()/4*$F45^2)*$H45*AO45*AR45</f>
        <v>0</v>
      </c>
      <c r="AT45" s="63" cm="1">
        <f t="array" ref="AT45">INDEX(FX_Input,$KB45,AT$85)</f>
        <v>0</v>
      </c>
      <c r="AU45" s="63">
        <f t="shared" si="14"/>
        <v>0</v>
      </c>
      <c r="AV45" s="63">
        <f t="shared" si="15"/>
        <v>0</v>
      </c>
      <c r="AW45" s="63">
        <f t="shared" si="16"/>
        <v>1</v>
      </c>
      <c r="AX45" s="63" cm="1">
        <f t="array" ref="AX45">IF(OR(INDEX(FX_Vap,$KK45,AX$90)="Crude Oil",(INDEX(FX_Vap,$KL45,AX$90)="Crude Oil")),0.75,1)</f>
        <v>1</v>
      </c>
      <c r="AY45" s="63">
        <f t="shared" si="109"/>
        <v>1</v>
      </c>
      <c r="AZ45" s="63">
        <f t="shared" si="17"/>
        <v>0</v>
      </c>
      <c r="BA45" s="64">
        <f t="shared" si="18"/>
        <v>0</v>
      </c>
      <c r="BB45" s="80" t="str" cm="1">
        <f t="array" ref="BB45">IF(ISBLANK(INDEX(FX_Input,$KB45+1,BB$85)),INDEX(FX_Input,$KB45,BB$85),INDEX(FX_Input,$KB45,BB$85)&amp;" &amp; "&amp;INDEX(FX_Input,$KB45+1,BB$85))</f>
        <v>Out of Service</v>
      </c>
      <c r="BC45" s="63" cm="1">
        <f t="array" ref="BC45">INDEX(FX_Temps,$KC45+7,BC$89)</f>
        <v>0</v>
      </c>
      <c r="BD45" s="63" cm="1">
        <f t="array" ref="BD45">INDEX(FX_Temps,$KC45+13,BD$89)+459.6</f>
        <v>505.70000000000005</v>
      </c>
      <c r="BE45" s="63" cm="1">
        <f t="array" ref="BE45">INDEX(FX_Vap,$KG45,BE$91)-INDEX(FX_Vap,$KH45,BE$91)</f>
        <v>0</v>
      </c>
      <c r="BF45" s="73" cm="1">
        <f t="array" ref="BF45">IF(BB45="Out of Service",0,INDEX(FX_Vap,$KI45,BF$91))</f>
        <v>0</v>
      </c>
      <c r="BG45" s="63">
        <f t="shared" si="19"/>
        <v>0</v>
      </c>
      <c r="BH45" s="63">
        <f t="shared" si="20"/>
        <v>1</v>
      </c>
      <c r="BI45" s="63" cm="1">
        <f t="array" ref="BI45">INDEX(FX_Vap,$KJ45,BI$91)</f>
        <v>0</v>
      </c>
      <c r="BJ45" s="63" cm="1">
        <f t="array" ref="BJ45">INDEX(FX_Temps,$KD45,BJ$89)+459.6</f>
        <v>505.70000000000005</v>
      </c>
      <c r="BK45" s="63">
        <f t="shared" si="21"/>
        <v>0</v>
      </c>
      <c r="BL45" s="63" cm="1">
        <f t="array" ref="BL45">INDEX(Month_Ref,BL$83,3)*BG45*(PI()/4*$F45^2)*$H45*BH45*BK45</f>
        <v>0</v>
      </c>
      <c r="BM45" s="63" cm="1">
        <f t="array" ref="BM45">INDEX(FX_Input,$KB45,BM$85)</f>
        <v>0</v>
      </c>
      <c r="BN45" s="63">
        <f t="shared" si="22"/>
        <v>0</v>
      </c>
      <c r="BO45" s="63">
        <f t="shared" si="23"/>
        <v>0</v>
      </c>
      <c r="BP45" s="63">
        <f t="shared" si="24"/>
        <v>1</v>
      </c>
      <c r="BQ45" s="63" cm="1">
        <f t="array" ref="BQ45">IF(OR(INDEX(FX_Vap,$KK45,BQ$90)="Crude Oil",(INDEX(FX_Vap,$KL45,BQ$90)="Crude Oil")),0.75,1)</f>
        <v>1</v>
      </c>
      <c r="BR45" s="63">
        <f t="shared" si="110"/>
        <v>1</v>
      </c>
      <c r="BS45" s="63">
        <f t="shared" si="25"/>
        <v>0</v>
      </c>
      <c r="BT45" s="64">
        <f t="shared" si="26"/>
        <v>0</v>
      </c>
      <c r="BU45" s="80" t="str" cm="1">
        <f t="array" ref="BU45">IF(ISBLANK(INDEX(FX_Input,$KB45+1,BU$85)),INDEX(FX_Input,$KB45,BU$85),INDEX(FX_Input,$KB45,BU$85)&amp;" &amp; "&amp;INDEX(FX_Input,$KB45+1,BU$85))</f>
        <v>Out of Service</v>
      </c>
      <c r="BV45" s="63" cm="1">
        <f t="array" ref="BV45">INDEX(FX_Temps,$KC45+7,BV$89)</f>
        <v>0</v>
      </c>
      <c r="BW45" s="63" cm="1">
        <f t="array" ref="BW45">INDEX(FX_Temps,$KC45+13,BW$89)+459.6</f>
        <v>508.2</v>
      </c>
      <c r="BX45" s="63" cm="1">
        <f t="array" ref="BX45">INDEX(FX_Vap,$KG45,BX$91)-INDEX(FX_Vap,$KH45,BX$91)</f>
        <v>0</v>
      </c>
      <c r="BY45" s="73" cm="1">
        <f t="array" ref="BY45">IF(BU45="Out of Service",0,INDEX(FX_Vap,$KI45,BY$91))</f>
        <v>0</v>
      </c>
      <c r="BZ45" s="63">
        <f t="shared" si="27"/>
        <v>0</v>
      </c>
      <c r="CA45" s="63">
        <f t="shared" si="28"/>
        <v>1</v>
      </c>
      <c r="CB45" s="63" cm="1">
        <f t="array" ref="CB45">INDEX(FX_Vap,$KJ45,CB$91)</f>
        <v>0</v>
      </c>
      <c r="CC45" s="63" cm="1">
        <f t="array" ref="CC45">INDEX(FX_Temps,$KD45,CC$89)+459.6</f>
        <v>508.2</v>
      </c>
      <c r="CD45" s="63">
        <f t="shared" si="29"/>
        <v>0</v>
      </c>
      <c r="CE45" s="63" cm="1">
        <f t="array" ref="CE45">INDEX(Month_Ref,CE$83,3)*BZ45*(PI()/4*$F45^2)*$H45*CA45*CD45</f>
        <v>0</v>
      </c>
      <c r="CF45" s="63" cm="1">
        <f t="array" ref="CF45">INDEX(FX_Input,$KB45,CF$85)</f>
        <v>0</v>
      </c>
      <c r="CG45" s="63">
        <f t="shared" si="30"/>
        <v>0</v>
      </c>
      <c r="CH45" s="63">
        <f t="shared" si="31"/>
        <v>0</v>
      </c>
      <c r="CI45" s="63">
        <f t="shared" si="32"/>
        <v>1</v>
      </c>
      <c r="CJ45" s="63" cm="1">
        <f t="array" ref="CJ45">IF(OR(INDEX(FX_Vap,$KK45,CJ$90)="Crude Oil",(INDEX(FX_Vap,$KL45,CJ$90)="Crude Oil")),0.75,1)</f>
        <v>1</v>
      </c>
      <c r="CK45" s="63">
        <f t="shared" si="111"/>
        <v>1</v>
      </c>
      <c r="CL45" s="63">
        <f t="shared" si="33"/>
        <v>0</v>
      </c>
      <c r="CM45" s="64">
        <f t="shared" si="34"/>
        <v>0</v>
      </c>
      <c r="CN45" s="80" t="str" cm="1">
        <f t="array" ref="CN45">IF(ISBLANK(INDEX(FX_Input,$KB45+1,CN$85)),INDEX(FX_Input,$KB45,CN$85),INDEX(FX_Input,$KB45,CN$85)&amp;" &amp; "&amp;INDEX(FX_Input,$KB45+1,CN$85))</f>
        <v>Out of Service</v>
      </c>
      <c r="CO45" s="63" cm="1">
        <f t="array" ref="CO45">INDEX(FX_Temps,$KC45+7,CO$89)</f>
        <v>0</v>
      </c>
      <c r="CP45" s="63" cm="1">
        <f t="array" ref="CP45">INDEX(FX_Temps,$KC45+13,CP$89)+459.6</f>
        <v>512.75</v>
      </c>
      <c r="CQ45" s="63" cm="1">
        <f t="array" ref="CQ45">INDEX(FX_Vap,$KG45,CQ$91)-INDEX(FX_Vap,$KH45,CQ$91)</f>
        <v>0</v>
      </c>
      <c r="CR45" s="73" cm="1">
        <f t="array" ref="CR45">IF(CN45="Out of Service",0,INDEX(FX_Vap,$KI45,CR$91))</f>
        <v>0</v>
      </c>
      <c r="CS45" s="63">
        <f t="shared" si="35"/>
        <v>0</v>
      </c>
      <c r="CT45" s="63">
        <f t="shared" si="36"/>
        <v>1</v>
      </c>
      <c r="CU45" s="63" cm="1">
        <f t="array" ref="CU45">INDEX(FX_Vap,$KJ45,CU$91)</f>
        <v>0</v>
      </c>
      <c r="CV45" s="63" cm="1">
        <f t="array" ref="CV45">INDEX(FX_Temps,$KD45,CV$89)+459.6</f>
        <v>512.75</v>
      </c>
      <c r="CW45" s="63">
        <f t="shared" si="37"/>
        <v>0</v>
      </c>
      <c r="CX45" s="63" cm="1">
        <f t="array" ref="CX45">INDEX(Month_Ref,CX$83,3)*CS45*(PI()/4*$F45^2)*$H45*CT45*CW45</f>
        <v>0</v>
      </c>
      <c r="CY45" s="63" cm="1">
        <f t="array" ref="CY45">INDEX(FX_Input,$KB45,CY$85)</f>
        <v>0</v>
      </c>
      <c r="CZ45" s="63">
        <f t="shared" si="38"/>
        <v>0</v>
      </c>
      <c r="DA45" s="63">
        <f t="shared" si="39"/>
        <v>0</v>
      </c>
      <c r="DB45" s="63">
        <f t="shared" si="40"/>
        <v>1</v>
      </c>
      <c r="DC45" s="63" cm="1">
        <f t="array" ref="DC45">IF(OR(INDEX(FX_Vap,$KK45,DC$90)="Crude Oil",(INDEX(FX_Vap,$KL45,DC$90)="Crude Oil")),0.75,1)</f>
        <v>1</v>
      </c>
      <c r="DD45" s="63">
        <f t="shared" si="112"/>
        <v>1</v>
      </c>
      <c r="DE45" s="63">
        <f t="shared" si="41"/>
        <v>0</v>
      </c>
      <c r="DF45" s="64">
        <f t="shared" si="42"/>
        <v>0</v>
      </c>
      <c r="DG45" s="80" t="str" cm="1">
        <f t="array" ref="DG45">IF(ISBLANK(INDEX(FX_Input,$KB45+1,DG$85)),INDEX(FX_Input,$KB45,DG$85),INDEX(FX_Input,$KB45,DG$85)&amp;" &amp; "&amp;INDEX(FX_Input,$KB45+1,DG$85))</f>
        <v>Out of Service</v>
      </c>
      <c r="DH45" s="63" cm="1">
        <f t="array" ref="DH45">INDEX(FX_Temps,$KC45+7,DH$89)</f>
        <v>0</v>
      </c>
      <c r="DI45" s="63" cm="1">
        <f t="array" ref="DI45">INDEX(FX_Temps,$KC45+13,DI$89)+459.6</f>
        <v>516.55000000000007</v>
      </c>
      <c r="DJ45" s="63" cm="1">
        <f t="array" ref="DJ45">INDEX(FX_Vap,$KG45,DJ$91)-INDEX(FX_Vap,$KH45,DJ$91)</f>
        <v>0</v>
      </c>
      <c r="DK45" s="73" cm="1">
        <f t="array" ref="DK45">IF(DG45="Out of Service",0,INDEX(FX_Vap,$KI45,DK$91))</f>
        <v>0</v>
      </c>
      <c r="DL45" s="63">
        <f t="shared" si="43"/>
        <v>0</v>
      </c>
      <c r="DM45" s="63">
        <f t="shared" si="44"/>
        <v>1</v>
      </c>
      <c r="DN45" s="63" cm="1">
        <f t="array" ref="DN45">INDEX(FX_Vap,$KJ45,DN$91)</f>
        <v>0</v>
      </c>
      <c r="DO45" s="63" cm="1">
        <f t="array" ref="DO45">INDEX(FX_Temps,$KD45,DO$89)+459.6</f>
        <v>516.55000000000007</v>
      </c>
      <c r="DP45" s="63">
        <f t="shared" si="45"/>
        <v>0</v>
      </c>
      <c r="DQ45" s="63" cm="1">
        <f t="array" ref="DQ45">INDEX(Month_Ref,DQ$83,3)*DL45*(PI()/4*$F45^2)*$H45*DM45*DP45</f>
        <v>0</v>
      </c>
      <c r="DR45" s="63" cm="1">
        <f t="array" ref="DR45">INDEX(FX_Input,$KB45,DR$85)</f>
        <v>0</v>
      </c>
      <c r="DS45" s="63">
        <f t="shared" si="46"/>
        <v>0</v>
      </c>
      <c r="DT45" s="63">
        <f t="shared" si="47"/>
        <v>0</v>
      </c>
      <c r="DU45" s="63">
        <f t="shared" si="48"/>
        <v>1</v>
      </c>
      <c r="DV45" s="63" cm="1">
        <f t="array" ref="DV45">IF(OR(INDEX(FX_Vap,$KK45,DV$90)="Crude Oil",(INDEX(FX_Vap,$KL45,DV$90)="Crude Oil")),0.75,1)</f>
        <v>1</v>
      </c>
      <c r="DW45" s="63">
        <f t="shared" si="113"/>
        <v>1</v>
      </c>
      <c r="DX45" s="63">
        <f t="shared" si="49"/>
        <v>0</v>
      </c>
      <c r="DY45" s="64">
        <f t="shared" si="50"/>
        <v>0</v>
      </c>
      <c r="DZ45" s="80" t="str" cm="1">
        <f t="array" ref="DZ45">IF(ISBLANK(INDEX(FX_Input,$KB45+1,DZ$85)),INDEX(FX_Input,$KB45,DZ$85),INDEX(FX_Input,$KB45,DZ$85)&amp;" &amp; "&amp;INDEX(FX_Input,$KB45+1,DZ$85))</f>
        <v>Out of Service</v>
      </c>
      <c r="EA45" s="63" cm="1">
        <f t="array" ref="EA45">INDEX(FX_Temps,$KC45+7,EA$89)</f>
        <v>0</v>
      </c>
      <c r="EB45" s="63" cm="1">
        <f t="array" ref="EB45">INDEX(FX_Temps,$KC45+13,EB$89)+459.6</f>
        <v>520.04999999999995</v>
      </c>
      <c r="EC45" s="63" cm="1">
        <f t="array" ref="EC45">INDEX(FX_Vap,$KG45,EC$91)-INDEX(FX_Vap,$KH45,EC$91)</f>
        <v>0</v>
      </c>
      <c r="ED45" s="73" cm="1">
        <f t="array" ref="ED45">IF(DZ45="Out of Service",0,INDEX(FX_Vap,$KI45,ED$91))</f>
        <v>0</v>
      </c>
      <c r="EE45" s="63">
        <f t="shared" si="51"/>
        <v>0</v>
      </c>
      <c r="EF45" s="63">
        <f t="shared" si="52"/>
        <v>1</v>
      </c>
      <c r="EG45" s="63" cm="1">
        <f t="array" ref="EG45">INDEX(FX_Vap,$KJ45,EG$91)</f>
        <v>0</v>
      </c>
      <c r="EH45" s="63" cm="1">
        <f t="array" ref="EH45">INDEX(FX_Temps,$KD45,EH$89)+459.6</f>
        <v>520.04999999999995</v>
      </c>
      <c r="EI45" s="63">
        <f t="shared" si="53"/>
        <v>0</v>
      </c>
      <c r="EJ45" s="63" cm="1">
        <f t="array" ref="EJ45">INDEX(Month_Ref,EJ$83,3)*EE45*(PI()/4*$F45^2)*$H45*EF45*EI45</f>
        <v>0</v>
      </c>
      <c r="EK45" s="63" cm="1">
        <f t="array" ref="EK45">INDEX(FX_Input,$KB45,EK$85)</f>
        <v>0</v>
      </c>
      <c r="EL45" s="63">
        <f t="shared" si="54"/>
        <v>0</v>
      </c>
      <c r="EM45" s="63">
        <f t="shared" si="55"/>
        <v>0</v>
      </c>
      <c r="EN45" s="63">
        <f t="shared" si="56"/>
        <v>1</v>
      </c>
      <c r="EO45" s="63" cm="1">
        <f t="array" ref="EO45">IF(OR(INDEX(FX_Vap,$KK45,EO$90)="Crude Oil",(INDEX(FX_Vap,$KL45,EO$90)="Crude Oil")),0.75,1)</f>
        <v>1</v>
      </c>
      <c r="EP45" s="63">
        <f t="shared" si="114"/>
        <v>1</v>
      </c>
      <c r="EQ45" s="63">
        <f t="shared" si="57"/>
        <v>0</v>
      </c>
      <c r="ER45" s="64">
        <f t="shared" si="58"/>
        <v>0</v>
      </c>
      <c r="ES45" s="80" t="str" cm="1">
        <f t="array" ref="ES45">IF(ISBLANK(INDEX(FX_Input,$KB45+1,ES$85)),INDEX(FX_Input,$KB45,ES$85),INDEX(FX_Input,$KB45,ES$85)&amp;" &amp; "&amp;INDEX(FX_Input,$KB45+1,ES$85))</f>
        <v>Out of Service</v>
      </c>
      <c r="ET45" s="63" cm="1">
        <f t="array" ref="ET45">INDEX(FX_Temps,$KC45+7,ET$89)</f>
        <v>0</v>
      </c>
      <c r="EU45" s="63" cm="1">
        <f t="array" ref="EU45">INDEX(FX_Temps,$KC45+13,EU$89)+459.6</f>
        <v>520.5</v>
      </c>
      <c r="EV45" s="63" cm="1">
        <f t="array" ref="EV45">INDEX(FX_Vap,$KG45,EV$91)-INDEX(FX_Vap,$KH45,EV$91)</f>
        <v>0</v>
      </c>
      <c r="EW45" s="73" cm="1">
        <f t="array" ref="EW45">IF(ES45="Out of Service",0,INDEX(FX_Vap,$KI45,EW$91))</f>
        <v>0</v>
      </c>
      <c r="EX45" s="63">
        <f t="shared" si="59"/>
        <v>0</v>
      </c>
      <c r="EY45" s="63">
        <f t="shared" si="60"/>
        <v>1</v>
      </c>
      <c r="EZ45" s="63" cm="1">
        <f t="array" ref="EZ45">INDEX(FX_Vap,$KJ45,EZ$91)</f>
        <v>0</v>
      </c>
      <c r="FA45" s="63" cm="1">
        <f t="array" ref="FA45">INDEX(FX_Temps,$KD45,FA$89)+459.6</f>
        <v>520.5</v>
      </c>
      <c r="FB45" s="63">
        <f t="shared" si="61"/>
        <v>0</v>
      </c>
      <c r="FC45" s="63" cm="1">
        <f t="array" ref="FC45">INDEX(Month_Ref,FC$83,3)*EX45*(PI()/4*$F45^2)*$H45*EY45*FB45</f>
        <v>0</v>
      </c>
      <c r="FD45" s="63" cm="1">
        <f t="array" ref="FD45">INDEX(FX_Input,$KB45,FD$85)</f>
        <v>0</v>
      </c>
      <c r="FE45" s="63">
        <f t="shared" si="62"/>
        <v>0</v>
      </c>
      <c r="FF45" s="63">
        <f t="shared" si="63"/>
        <v>0</v>
      </c>
      <c r="FG45" s="63">
        <f t="shared" si="64"/>
        <v>1</v>
      </c>
      <c r="FH45" s="63" cm="1">
        <f t="array" ref="FH45">IF(OR(INDEX(FX_Vap,$KK45,FH$90)="Crude Oil",(INDEX(FX_Vap,$KL45,FH$90)="Crude Oil")),0.75,1)</f>
        <v>1</v>
      </c>
      <c r="FI45" s="63">
        <f t="shared" si="115"/>
        <v>1</v>
      </c>
      <c r="FJ45" s="63">
        <f t="shared" si="65"/>
        <v>0</v>
      </c>
      <c r="FK45" s="64">
        <f t="shared" si="66"/>
        <v>0</v>
      </c>
      <c r="FL45" s="80" t="str" cm="1">
        <f t="array" ref="FL45">IF(ISBLANK(INDEX(FX_Input,$KB45+1,FL$85)),INDEX(FX_Input,$KB45,FL$85),INDEX(FX_Input,$KB45,FL$85)&amp;" &amp; "&amp;INDEX(FX_Input,$KB45+1,FL$85))</f>
        <v>Out of Service</v>
      </c>
      <c r="FM45" s="63" cm="1">
        <f t="array" ref="FM45">INDEX(FX_Temps,$KC45+7,FM$89)</f>
        <v>0</v>
      </c>
      <c r="FN45" s="63" cm="1">
        <f t="array" ref="FN45">INDEX(FX_Temps,$KC45+13,FN$89)+459.6</f>
        <v>518.20000000000005</v>
      </c>
      <c r="FO45" s="63" cm="1">
        <f t="array" ref="FO45">INDEX(FX_Vap,$KG45,FO$91)-INDEX(FX_Vap,$KH45,FO$91)</f>
        <v>0</v>
      </c>
      <c r="FP45" s="73" cm="1">
        <f t="array" ref="FP45">IF(FL45="Out of Service",0,INDEX(FX_Vap,$KI45,FP$91))</f>
        <v>0</v>
      </c>
      <c r="FQ45" s="63">
        <f t="shared" si="67"/>
        <v>0</v>
      </c>
      <c r="FR45" s="63">
        <f t="shared" si="68"/>
        <v>1</v>
      </c>
      <c r="FS45" s="63" cm="1">
        <f t="array" ref="FS45">INDEX(FX_Vap,$KJ45,FS$91)</f>
        <v>0</v>
      </c>
      <c r="FT45" s="63" cm="1">
        <f t="array" ref="FT45">INDEX(FX_Temps,$KD45,FT$89)+459.6</f>
        <v>518.20000000000005</v>
      </c>
      <c r="FU45" s="63">
        <f t="shared" si="69"/>
        <v>0</v>
      </c>
      <c r="FV45" s="63" cm="1">
        <f t="array" ref="FV45">INDEX(Month_Ref,FV$83,3)*FQ45*(PI()/4*$F45^2)*$H45*FR45*FU45</f>
        <v>0</v>
      </c>
      <c r="FW45" s="63" cm="1">
        <f t="array" ref="FW45">INDEX(FX_Input,$KB45,FW$85)</f>
        <v>0</v>
      </c>
      <c r="FX45" s="63">
        <f t="shared" si="70"/>
        <v>0</v>
      </c>
      <c r="FY45" s="63">
        <f t="shared" si="71"/>
        <v>0</v>
      </c>
      <c r="FZ45" s="63">
        <f t="shared" si="72"/>
        <v>1</v>
      </c>
      <c r="GA45" s="63" cm="1">
        <f t="array" ref="GA45">IF(OR(INDEX(FX_Vap,$KK45,GA$90)="Crude Oil",(INDEX(FX_Vap,$KL45,GA$90)="Crude Oil")),0.75,1)</f>
        <v>1</v>
      </c>
      <c r="GB45" s="63">
        <f t="shared" si="116"/>
        <v>1</v>
      </c>
      <c r="GC45" s="63">
        <f t="shared" si="73"/>
        <v>0</v>
      </c>
      <c r="GD45" s="64">
        <f t="shared" si="74"/>
        <v>0</v>
      </c>
      <c r="GE45" s="80" t="str" cm="1">
        <f t="array" ref="GE45">IF(ISBLANK(INDEX(FX_Input,$KB45+1,GE$85)),INDEX(FX_Input,$KB45,GE$85),INDEX(FX_Input,$KB45,GE$85)&amp;" &amp; "&amp;INDEX(FX_Input,$KB45+1,GE$85))</f>
        <v>Out of Service</v>
      </c>
      <c r="GF45" s="63" cm="1">
        <f t="array" ref="GF45">INDEX(FX_Temps,$KC45+7,GF$89)</f>
        <v>0</v>
      </c>
      <c r="GG45" s="63" cm="1">
        <f t="array" ref="GG45">INDEX(FX_Temps,$KC45+13,GG$89)+459.6</f>
        <v>512.25</v>
      </c>
      <c r="GH45" s="63" cm="1">
        <f t="array" ref="GH45">INDEX(FX_Vap,$KG45,GH$91)-INDEX(FX_Vap,$KH45,GH$91)</f>
        <v>0</v>
      </c>
      <c r="GI45" s="73" cm="1">
        <f t="array" ref="GI45">IF(GE45="Out of Service",0,INDEX(FX_Vap,$KI45,GI$91))</f>
        <v>0</v>
      </c>
      <c r="GJ45" s="63">
        <f t="shared" si="75"/>
        <v>0</v>
      </c>
      <c r="GK45" s="63">
        <f t="shared" si="76"/>
        <v>1</v>
      </c>
      <c r="GL45" s="63" cm="1">
        <f t="array" ref="GL45">INDEX(FX_Vap,$KJ45,GL$91)</f>
        <v>0</v>
      </c>
      <c r="GM45" s="63" cm="1">
        <f t="array" ref="GM45">INDEX(FX_Temps,$KD45,GM$89)+459.6</f>
        <v>512.25</v>
      </c>
      <c r="GN45" s="63">
        <f t="shared" si="77"/>
        <v>0</v>
      </c>
      <c r="GO45" s="63" cm="1">
        <f t="array" ref="GO45">INDEX(Month_Ref,GO$83,3)*GJ45*(PI()/4*$F45^2)*$H45*GK45*GN45</f>
        <v>0</v>
      </c>
      <c r="GP45" s="63" cm="1">
        <f t="array" ref="GP45">INDEX(FX_Input,$KB45,GP$85)</f>
        <v>0</v>
      </c>
      <c r="GQ45" s="63">
        <f t="shared" si="78"/>
        <v>0</v>
      </c>
      <c r="GR45" s="63">
        <f t="shared" si="79"/>
        <v>0</v>
      </c>
      <c r="GS45" s="63">
        <f t="shared" si="80"/>
        <v>1</v>
      </c>
      <c r="GT45" s="63" cm="1">
        <f t="array" ref="GT45">IF(OR(INDEX(FX_Vap,$KK45,GT$90)="Crude Oil",(INDEX(FX_Vap,$KL45,GT$90)="Crude Oil")),0.75,1)</f>
        <v>1</v>
      </c>
      <c r="GU45" s="63">
        <f t="shared" si="117"/>
        <v>1</v>
      </c>
      <c r="GV45" s="63">
        <f t="shared" si="81"/>
        <v>0</v>
      </c>
      <c r="GW45" s="64">
        <f t="shared" si="82"/>
        <v>0</v>
      </c>
      <c r="GX45" s="80" t="str" cm="1">
        <f t="array" ref="GX45">IF(ISBLANK(INDEX(FX_Input,$KB45+1,GX$85)),INDEX(FX_Input,$KB45,GX$85),INDEX(FX_Input,$KB45,GX$85)&amp;" &amp; "&amp;INDEX(FX_Input,$KB45+1,GX$85))</f>
        <v>Out of Service</v>
      </c>
      <c r="GY45" s="63" cm="1">
        <f t="array" ref="GY45">INDEX(FX_Temps,$KC45+7,GY$89)</f>
        <v>0</v>
      </c>
      <c r="GZ45" s="63" cm="1">
        <f t="array" ref="GZ45">INDEX(FX_Temps,$KC45+13,GZ$89)+459.6</f>
        <v>506.70000000000005</v>
      </c>
      <c r="HA45" s="63" cm="1">
        <f t="array" ref="HA45">INDEX(FX_Vap,$KG45,HA$91)-INDEX(FX_Vap,$KH45,HA$91)</f>
        <v>0</v>
      </c>
      <c r="HB45" s="73" cm="1">
        <f t="array" ref="HB45">IF(GX45="Out of Service",0,INDEX(FX_Vap,$KI45,HB$91))</f>
        <v>0</v>
      </c>
      <c r="HC45" s="63">
        <f t="shared" si="83"/>
        <v>0</v>
      </c>
      <c r="HD45" s="63">
        <f t="shared" si="84"/>
        <v>1</v>
      </c>
      <c r="HE45" s="63" cm="1">
        <f t="array" ref="HE45">INDEX(FX_Vap,$KJ45,HE$91)</f>
        <v>0</v>
      </c>
      <c r="HF45" s="63" cm="1">
        <f t="array" ref="HF45">INDEX(FX_Temps,$KD45,HF$89)+459.6</f>
        <v>506.70000000000005</v>
      </c>
      <c r="HG45" s="63">
        <f t="shared" si="85"/>
        <v>0</v>
      </c>
      <c r="HH45" s="63" cm="1">
        <f t="array" ref="HH45">INDEX(Month_Ref,HH$83,3)*HC45*(PI()/4*$F45^2)*$H45*HD45*HG45</f>
        <v>0</v>
      </c>
      <c r="HI45" s="63" cm="1">
        <f t="array" ref="HI45">INDEX(FX_Input,$KB45,HI$85)</f>
        <v>0</v>
      </c>
      <c r="HJ45" s="63">
        <f t="shared" si="86"/>
        <v>0</v>
      </c>
      <c r="HK45" s="63">
        <f t="shared" si="87"/>
        <v>0</v>
      </c>
      <c r="HL45" s="63">
        <f t="shared" si="88"/>
        <v>1</v>
      </c>
      <c r="HM45" s="63" cm="1">
        <f t="array" ref="HM45">IF(OR(INDEX(FX_Vap,$KK45,HM$90)="Crude Oil",(INDEX(FX_Vap,$KL45,HM$90)="Crude Oil")),0.75,1)</f>
        <v>1</v>
      </c>
      <c r="HN45" s="63">
        <f t="shared" si="118"/>
        <v>1</v>
      </c>
      <c r="HO45" s="63">
        <f t="shared" si="89"/>
        <v>0</v>
      </c>
      <c r="HP45" s="64">
        <f t="shared" si="90"/>
        <v>0</v>
      </c>
      <c r="HQ45" s="80" t="str" cm="1">
        <f t="array" ref="HQ45">IF(ISBLANK(INDEX(FX_Input,$KB45+1,HQ$85)),INDEX(FX_Input,$KB45,HQ$85),INDEX(FX_Input,$KB45,HQ$85)&amp;" &amp; "&amp;INDEX(FX_Input,$KB45+1,HQ$85))</f>
        <v>Out of Service</v>
      </c>
      <c r="HR45" s="63" cm="1">
        <f t="array" ref="HR45">INDEX(FX_Temps,$KC45+7,HR$89)</f>
        <v>0</v>
      </c>
      <c r="HS45" s="63" cm="1">
        <f t="array" ref="HS45">INDEX(FX_Temps,$KC45+13,HS$89)+459.6</f>
        <v>503.20000000000005</v>
      </c>
      <c r="HT45" s="63" cm="1">
        <f t="array" ref="HT45">INDEX(FX_Vap,$KG45,HT$91)-INDEX(FX_Vap,$KH45,HT$91)</f>
        <v>0</v>
      </c>
      <c r="HU45" s="73" cm="1">
        <f t="array" ref="HU45">IF(HQ45="Out of Service",0,INDEX(FX_Vap,$KI45,HU$91))</f>
        <v>0</v>
      </c>
      <c r="HV45" s="63">
        <f t="shared" si="91"/>
        <v>0</v>
      </c>
      <c r="HW45" s="63">
        <f t="shared" si="92"/>
        <v>1</v>
      </c>
      <c r="HX45" s="63" cm="1">
        <f t="array" ref="HX45">INDEX(FX_Vap,$KJ45,HX$91)</f>
        <v>0</v>
      </c>
      <c r="HY45" s="63" cm="1">
        <f t="array" ref="HY45">INDEX(FX_Temps,$KD45,HY$89)+459.6</f>
        <v>503.20000000000005</v>
      </c>
      <c r="HZ45" s="63">
        <f t="shared" si="93"/>
        <v>0</v>
      </c>
      <c r="IA45" s="63" cm="1">
        <f t="array" ref="IA45">INDEX(Month_Ref,IA$83,3)*HV45*(PI()/4*$F45^2)*$H45*HW45*HZ45</f>
        <v>0</v>
      </c>
      <c r="IB45" s="63" cm="1">
        <f t="array" ref="IB45">INDEX(FX_Input,$KB45,IB$85)</f>
        <v>0</v>
      </c>
      <c r="IC45" s="63">
        <f t="shared" si="94"/>
        <v>0</v>
      </c>
      <c r="ID45" s="63">
        <f t="shared" si="95"/>
        <v>0</v>
      </c>
      <c r="IE45" s="63">
        <f t="shared" si="96"/>
        <v>1</v>
      </c>
      <c r="IF45" s="63" cm="1">
        <f t="array" ref="IF45">IF(OR(INDEX(FX_Vap,$KK45,IF$90)="Crude Oil",(INDEX(FX_Vap,$KL45,IF$90)="Crude Oil")),0.75,1)</f>
        <v>1</v>
      </c>
      <c r="IG45" s="63">
        <f t="shared" si="119"/>
        <v>1</v>
      </c>
      <c r="IH45" s="63">
        <f t="shared" si="97"/>
        <v>0</v>
      </c>
      <c r="II45" s="64">
        <f t="shared" si="98"/>
        <v>0</v>
      </c>
      <c r="IJ45" s="80">
        <f t="shared" si="99"/>
        <v>0</v>
      </c>
      <c r="IK45" s="63">
        <f t="shared" si="100"/>
        <v>0</v>
      </c>
      <c r="IL45" s="63">
        <f t="shared" si="101"/>
        <v>0</v>
      </c>
      <c r="IM45" s="63">
        <f t="shared" si="102"/>
        <v>0</v>
      </c>
      <c r="IN45" s="63">
        <f t="shared" si="103"/>
        <v>0</v>
      </c>
      <c r="IO45" s="64">
        <f t="shared" si="104"/>
        <v>0</v>
      </c>
      <c r="KB45" s="43">
        <f t="shared" si="120"/>
        <v>69</v>
      </c>
      <c r="KC45" s="43">
        <f t="shared" si="121"/>
        <v>477</v>
      </c>
      <c r="KD45" s="43">
        <f t="shared" si="122"/>
        <v>490</v>
      </c>
      <c r="KE45" s="43">
        <f t="shared" si="123"/>
        <v>477</v>
      </c>
      <c r="KF45" s="43">
        <f t="shared" si="124"/>
        <v>1157</v>
      </c>
      <c r="KG45" s="43">
        <f t="shared" si="125"/>
        <v>1180</v>
      </c>
      <c r="KH45" s="43">
        <f t="shared" si="126"/>
        <v>1175</v>
      </c>
      <c r="KI45" s="43">
        <f t="shared" si="126"/>
        <v>1185</v>
      </c>
      <c r="KJ45" s="43">
        <f t="shared" si="126"/>
        <v>1190</v>
      </c>
      <c r="KK45" s="43">
        <f t="shared" si="127"/>
        <v>1161</v>
      </c>
      <c r="KL45" s="43">
        <f t="shared" si="128"/>
        <v>1163</v>
      </c>
    </row>
    <row r="46" spans="2:298" x14ac:dyDescent="0.4">
      <c r="B46" s="43" t="str" cm="1">
        <f t="array" ref="B46">INDEX(FX_Input,$KB46,B$85)</f>
        <v>FX - 36</v>
      </c>
      <c r="C46" s="93" t="str" cm="1">
        <f t="array" ref="C46">INDEX(FX_Input,$KB46,C$85)</f>
        <v>FIXTANK 157</v>
      </c>
      <c r="D46" s="80">
        <f t="shared" si="129"/>
        <v>2592.4029878341271</v>
      </c>
      <c r="E46" s="63" cm="1">
        <f t="array" ref="E46">IF(ISBLANK(INDEX(FX_Input,$KB46,$E$85)),0.03,INDEX(FX_Input,$KB46,$E$85))-IF(ISBLANK(INDEX(FX_Input,$KB46,$E$86)),-0.03,INDEX(FX_Input,$KB46,$E$86))</f>
        <v>0.06</v>
      </c>
      <c r="F46" s="63" cm="1">
        <f t="array" ref="F46">IF(INDEX(FX_Input,$KB46,F$85)="Vertical",INDEX(FX_Input,$KB46,F$86),SQRT((INDEX(FX_Input,$KB46,F$86)*INDEX(FX_Input,$KB46,F$87))/(PI()/4)))</f>
        <v>18</v>
      </c>
      <c r="G46" s="63" cm="1">
        <f t="array" ref="G46">IF(INDEX(FX_Input,$KB46,G$85)="Vertical",INDEX(FX_Input,$KB46,G$86),INDEX(FX_Input,$KB46,G$87)*PI()/4)</f>
        <v>20</v>
      </c>
      <c r="H46" s="63" cm="1">
        <f t="array" ref="H46">IF(INDEX(FX_Input,$KB46,H$85)="Vertical",G46-G46/2+J46,G46/2)</f>
        <v>10.1875</v>
      </c>
      <c r="I46" s="63" cm="1">
        <f t="array" ref="I46">IF(INDEX(FX_Input,$KB46,F$85)="Horizontal","N/A",IF(INDEX(FX_Input,$KB46,I$86)="Cone",IF(ISBLANK(INDEX(FX_Input,$KB46,I$87)),0.0625,INDEX(FX_Input,$KB46,I$87))*F46/2,F46/2-SQRT((F46/2)^2-(INDEX(FX_Input,$KB46,I$88)^2))))</f>
        <v>0.5625</v>
      </c>
      <c r="J46" s="63" cm="1">
        <f t="array" ref="J46">IF(INDEX(FX_Input,$KB46,J$85)="Horizontal","N/A",IF(INDEX(FX_Input,$KB46,J$86)="Cone",I46/3,I46*(1/2+(1/6)*(I46/(F46/2))^2)))</f>
        <v>0.1875</v>
      </c>
      <c r="K46" s="63">
        <f t="shared" si="130"/>
        <v>19</v>
      </c>
      <c r="L46" s="63">
        <v>1</v>
      </c>
      <c r="M46" s="63" t="str" cm="1">
        <f t="array" ref="M46">INDEX(Tbl_71_6,MATCH(INDEX(FX_Input,$KB46,M$85),Paint_Color,0),VLOOKUP(INDEX(FX_Input,$KB46,M$86),Paint_Cond_Column,2,FALSE))</f>
        <v>N/A</v>
      </c>
      <c r="N46" s="63" t="str" cm="1">
        <f t="array" ref="N46">INDEX(Tbl_71_6,MATCH(INDEX(FX_Input,$KB46,N$85),Paint_Color,0),VLOOKUP(INDEX(FX_Input,$KB46,N$86),Paint_Cond_Column,2,FALSE))</f>
        <v>N/A</v>
      </c>
      <c r="O46" s="64" t="str">
        <f t="shared" si="2"/>
        <v>Insulated</v>
      </c>
      <c r="P46" s="80" t="str" cm="1">
        <f t="array" ref="P46">IF(ISBLANK(INDEX(FX_Input,$KB46+1,P$85)),INDEX(FX_Input,$KB46,P$85),INDEX(FX_Input,$KB46,P$85)&amp;" &amp; "&amp;INDEX(FX_Input,$KB46+1,P$85))</f>
        <v>Out of Service</v>
      </c>
      <c r="Q46" s="63" cm="1">
        <f t="array" ref="Q46">INDEX(FX_Temps,$KC46+7,Q$89)</f>
        <v>0</v>
      </c>
      <c r="R46" s="63" cm="1">
        <f t="array" ref="R46">INDEX(FX_Temps,$KC46+13,R$89)+459.6</f>
        <v>503.5</v>
      </c>
      <c r="S46" s="63" cm="1">
        <f t="array" ref="S46">INDEX(FX_Vap,$KG46,S$91)-INDEX(FX_Vap,$KH46,S$91)</f>
        <v>0</v>
      </c>
      <c r="T46" s="73" cm="1">
        <f t="array" ref="T46">IF(P46="Out of Service",0,INDEX(FX_Vap,$KI46,T$91))</f>
        <v>0</v>
      </c>
      <c r="U46" s="63">
        <f t="shared" si="3"/>
        <v>0</v>
      </c>
      <c r="V46" s="63">
        <f t="shared" si="4"/>
        <v>1</v>
      </c>
      <c r="W46" s="63" cm="1">
        <f t="array" ref="W46">INDEX(FX_Vap,$KJ46,W$91)</f>
        <v>0</v>
      </c>
      <c r="X46" s="63" cm="1">
        <f t="array" ref="X46">INDEX(FX_Temps,$KD46,X$89)+459.6</f>
        <v>503.5</v>
      </c>
      <c r="Y46" s="63">
        <f t="shared" si="5"/>
        <v>0</v>
      </c>
      <c r="Z46" s="63" cm="1">
        <f t="array" ref="Z46">INDEX(Month_Ref,Z$83,3)*U46*(PI()/4*$F46^2)*$H46*V46*Y46</f>
        <v>0</v>
      </c>
      <c r="AA46" s="63" cm="1">
        <f t="array" ref="AA46">INDEX(FX_Input,$KB46,AA$85)</f>
        <v>0</v>
      </c>
      <c r="AB46" s="63">
        <f t="shared" si="6"/>
        <v>0</v>
      </c>
      <c r="AC46" s="63">
        <f t="shared" si="7"/>
        <v>0</v>
      </c>
      <c r="AD46" s="63">
        <f t="shared" si="8"/>
        <v>1</v>
      </c>
      <c r="AE46" s="63" cm="1">
        <f t="array" ref="AE46">IF(OR(INDEX(FX_Vap,$KK46,AE$90)="Crude Oil",(INDEX(FX_Vap,$KL46,AE$90)="Crude Oil")),0.75,1)</f>
        <v>1</v>
      </c>
      <c r="AF46" s="63">
        <f t="shared" si="108"/>
        <v>1</v>
      </c>
      <c r="AG46" s="63">
        <f t="shared" si="9"/>
        <v>0</v>
      </c>
      <c r="AH46" s="64">
        <f t="shared" si="10"/>
        <v>0</v>
      </c>
      <c r="AI46" s="80" t="str" cm="1">
        <f t="array" ref="AI46">IF(ISBLANK(INDEX(FX_Input,$KB46+1,AI$85)),INDEX(FX_Input,$KB46,AI$85),INDEX(FX_Input,$KB46,AI$85)&amp;" &amp; "&amp;INDEX(FX_Input,$KB46+1,AI$85))</f>
        <v>Out of Service</v>
      </c>
      <c r="AJ46" s="63" cm="1">
        <f t="array" ref="AJ46">INDEX(FX_Temps,$KC46+7,AJ$89)</f>
        <v>0</v>
      </c>
      <c r="AK46" s="63" cm="1">
        <f t="array" ref="AK46">INDEX(FX_Temps,$KC46+13,AK$89)+459.6</f>
        <v>504.30000000000007</v>
      </c>
      <c r="AL46" s="63" cm="1">
        <f t="array" ref="AL46">INDEX(FX_Vap,$KG46,AL$91)-INDEX(FX_Vap,$KH46,AL$91)</f>
        <v>0</v>
      </c>
      <c r="AM46" s="73" cm="1">
        <f t="array" ref="AM46">IF(AI46="Out of Service",0,INDEX(FX_Vap,$KI46,AM$91))</f>
        <v>0</v>
      </c>
      <c r="AN46" s="63">
        <f t="shared" si="11"/>
        <v>0</v>
      </c>
      <c r="AO46" s="63">
        <f t="shared" si="12"/>
        <v>1</v>
      </c>
      <c r="AP46" s="63" cm="1">
        <f t="array" ref="AP46">INDEX(FX_Vap,$KJ46,AP$91)</f>
        <v>0</v>
      </c>
      <c r="AQ46" s="63" cm="1">
        <f t="array" ref="AQ46">INDEX(FX_Temps,$KD46,AQ$89)+459.6</f>
        <v>504.30000000000007</v>
      </c>
      <c r="AR46" s="63">
        <f t="shared" si="13"/>
        <v>0</v>
      </c>
      <c r="AS46" s="63" cm="1">
        <f t="array" ref="AS46">INDEX(Month_Ref,AS$83,3)*AN46*(PI()/4*$F46^2)*$H46*AO46*AR46</f>
        <v>0</v>
      </c>
      <c r="AT46" s="63" cm="1">
        <f t="array" ref="AT46">INDEX(FX_Input,$KB46,AT$85)</f>
        <v>0</v>
      </c>
      <c r="AU46" s="63">
        <f t="shared" si="14"/>
        <v>0</v>
      </c>
      <c r="AV46" s="63">
        <f t="shared" si="15"/>
        <v>0</v>
      </c>
      <c r="AW46" s="63">
        <f t="shared" si="16"/>
        <v>1</v>
      </c>
      <c r="AX46" s="63" cm="1">
        <f t="array" ref="AX46">IF(OR(INDEX(FX_Vap,$KK46,AX$90)="Crude Oil",(INDEX(FX_Vap,$KL46,AX$90)="Crude Oil")),0.75,1)</f>
        <v>1</v>
      </c>
      <c r="AY46" s="63">
        <f t="shared" si="109"/>
        <v>1</v>
      </c>
      <c r="AZ46" s="63">
        <f t="shared" si="17"/>
        <v>0</v>
      </c>
      <c r="BA46" s="64">
        <f t="shared" si="18"/>
        <v>0</v>
      </c>
      <c r="BB46" s="80" t="str" cm="1">
        <f t="array" ref="BB46">IF(ISBLANK(INDEX(FX_Input,$KB46+1,BB$85)),INDEX(FX_Input,$KB46,BB$85),INDEX(FX_Input,$KB46,BB$85)&amp;" &amp; "&amp;INDEX(FX_Input,$KB46+1,BB$85))</f>
        <v>Out of Service</v>
      </c>
      <c r="BC46" s="63" cm="1">
        <f t="array" ref="BC46">INDEX(FX_Temps,$KC46+7,BC$89)</f>
        <v>0</v>
      </c>
      <c r="BD46" s="63" cm="1">
        <f t="array" ref="BD46">INDEX(FX_Temps,$KC46+13,BD$89)+459.6</f>
        <v>505.70000000000005</v>
      </c>
      <c r="BE46" s="63" cm="1">
        <f t="array" ref="BE46">INDEX(FX_Vap,$KG46,BE$91)-INDEX(FX_Vap,$KH46,BE$91)</f>
        <v>0</v>
      </c>
      <c r="BF46" s="73" cm="1">
        <f t="array" ref="BF46">IF(BB46="Out of Service",0,INDEX(FX_Vap,$KI46,BF$91))</f>
        <v>0</v>
      </c>
      <c r="BG46" s="63">
        <f t="shared" si="19"/>
        <v>0</v>
      </c>
      <c r="BH46" s="63">
        <f t="shared" si="20"/>
        <v>1</v>
      </c>
      <c r="BI46" s="63" cm="1">
        <f t="array" ref="BI46">INDEX(FX_Vap,$KJ46,BI$91)</f>
        <v>0</v>
      </c>
      <c r="BJ46" s="63" cm="1">
        <f t="array" ref="BJ46">INDEX(FX_Temps,$KD46,BJ$89)+459.6</f>
        <v>505.70000000000005</v>
      </c>
      <c r="BK46" s="63">
        <f t="shared" si="21"/>
        <v>0</v>
      </c>
      <c r="BL46" s="63" cm="1">
        <f t="array" ref="BL46">INDEX(Month_Ref,BL$83,3)*BG46*(PI()/4*$F46^2)*$H46*BH46*BK46</f>
        <v>0</v>
      </c>
      <c r="BM46" s="63" cm="1">
        <f t="array" ref="BM46">INDEX(FX_Input,$KB46,BM$85)</f>
        <v>0</v>
      </c>
      <c r="BN46" s="63">
        <f t="shared" si="22"/>
        <v>0</v>
      </c>
      <c r="BO46" s="63">
        <f t="shared" si="23"/>
        <v>0</v>
      </c>
      <c r="BP46" s="63">
        <f t="shared" si="24"/>
        <v>1</v>
      </c>
      <c r="BQ46" s="63" cm="1">
        <f t="array" ref="BQ46">IF(OR(INDEX(FX_Vap,$KK46,BQ$90)="Crude Oil",(INDEX(FX_Vap,$KL46,BQ$90)="Crude Oil")),0.75,1)</f>
        <v>1</v>
      </c>
      <c r="BR46" s="63">
        <f t="shared" si="110"/>
        <v>1</v>
      </c>
      <c r="BS46" s="63">
        <f t="shared" si="25"/>
        <v>0</v>
      </c>
      <c r="BT46" s="64">
        <f t="shared" si="26"/>
        <v>0</v>
      </c>
      <c r="BU46" s="80" t="str" cm="1">
        <f t="array" ref="BU46">IF(ISBLANK(INDEX(FX_Input,$KB46+1,BU$85)),INDEX(FX_Input,$KB46,BU$85),INDEX(FX_Input,$KB46,BU$85)&amp;" &amp; "&amp;INDEX(FX_Input,$KB46+1,BU$85))</f>
        <v>Out of Service</v>
      </c>
      <c r="BV46" s="63" cm="1">
        <f t="array" ref="BV46">INDEX(FX_Temps,$KC46+7,BV$89)</f>
        <v>0</v>
      </c>
      <c r="BW46" s="63" cm="1">
        <f t="array" ref="BW46">INDEX(FX_Temps,$KC46+13,BW$89)+459.6</f>
        <v>508.2</v>
      </c>
      <c r="BX46" s="63" cm="1">
        <f t="array" ref="BX46">INDEX(FX_Vap,$KG46,BX$91)-INDEX(FX_Vap,$KH46,BX$91)</f>
        <v>0</v>
      </c>
      <c r="BY46" s="73" cm="1">
        <f t="array" ref="BY46">IF(BU46="Out of Service",0,INDEX(FX_Vap,$KI46,BY$91))</f>
        <v>0</v>
      </c>
      <c r="BZ46" s="63">
        <f t="shared" si="27"/>
        <v>0</v>
      </c>
      <c r="CA46" s="63">
        <f t="shared" si="28"/>
        <v>1</v>
      </c>
      <c r="CB46" s="63" cm="1">
        <f t="array" ref="CB46">INDEX(FX_Vap,$KJ46,CB$91)</f>
        <v>0</v>
      </c>
      <c r="CC46" s="63" cm="1">
        <f t="array" ref="CC46">INDEX(FX_Temps,$KD46,CC$89)+459.6</f>
        <v>508.2</v>
      </c>
      <c r="CD46" s="63">
        <f t="shared" si="29"/>
        <v>0</v>
      </c>
      <c r="CE46" s="63" cm="1">
        <f t="array" ref="CE46">INDEX(Month_Ref,CE$83,3)*BZ46*(PI()/4*$F46^2)*$H46*CA46*CD46</f>
        <v>0</v>
      </c>
      <c r="CF46" s="63" cm="1">
        <f t="array" ref="CF46">INDEX(FX_Input,$KB46,CF$85)</f>
        <v>0</v>
      </c>
      <c r="CG46" s="63">
        <f t="shared" si="30"/>
        <v>0</v>
      </c>
      <c r="CH46" s="63">
        <f t="shared" si="31"/>
        <v>0</v>
      </c>
      <c r="CI46" s="63">
        <f t="shared" si="32"/>
        <v>1</v>
      </c>
      <c r="CJ46" s="63" cm="1">
        <f t="array" ref="CJ46">IF(OR(INDEX(FX_Vap,$KK46,CJ$90)="Crude Oil",(INDEX(FX_Vap,$KL46,CJ$90)="Crude Oil")),0.75,1)</f>
        <v>1</v>
      </c>
      <c r="CK46" s="63">
        <f t="shared" si="111"/>
        <v>1</v>
      </c>
      <c r="CL46" s="63">
        <f t="shared" si="33"/>
        <v>0</v>
      </c>
      <c r="CM46" s="64">
        <f t="shared" si="34"/>
        <v>0</v>
      </c>
      <c r="CN46" s="80" t="str" cm="1">
        <f t="array" ref="CN46">IF(ISBLANK(INDEX(FX_Input,$KB46+1,CN$85)),INDEX(FX_Input,$KB46,CN$85),INDEX(FX_Input,$KB46,CN$85)&amp;" &amp; "&amp;INDEX(FX_Input,$KB46+1,CN$85))</f>
        <v>Out of Service</v>
      </c>
      <c r="CO46" s="63" cm="1">
        <f t="array" ref="CO46">INDEX(FX_Temps,$KC46+7,CO$89)</f>
        <v>0</v>
      </c>
      <c r="CP46" s="63" cm="1">
        <f t="array" ref="CP46">INDEX(FX_Temps,$KC46+13,CP$89)+459.6</f>
        <v>512.75</v>
      </c>
      <c r="CQ46" s="63" cm="1">
        <f t="array" ref="CQ46">INDEX(FX_Vap,$KG46,CQ$91)-INDEX(FX_Vap,$KH46,CQ$91)</f>
        <v>0</v>
      </c>
      <c r="CR46" s="73" cm="1">
        <f t="array" ref="CR46">IF(CN46="Out of Service",0,INDEX(FX_Vap,$KI46,CR$91))</f>
        <v>0</v>
      </c>
      <c r="CS46" s="63">
        <f t="shared" si="35"/>
        <v>0</v>
      </c>
      <c r="CT46" s="63">
        <f t="shared" si="36"/>
        <v>1</v>
      </c>
      <c r="CU46" s="63" cm="1">
        <f t="array" ref="CU46">INDEX(FX_Vap,$KJ46,CU$91)</f>
        <v>0</v>
      </c>
      <c r="CV46" s="63" cm="1">
        <f t="array" ref="CV46">INDEX(FX_Temps,$KD46,CV$89)+459.6</f>
        <v>512.75</v>
      </c>
      <c r="CW46" s="63">
        <f t="shared" si="37"/>
        <v>0</v>
      </c>
      <c r="CX46" s="63" cm="1">
        <f t="array" ref="CX46">INDEX(Month_Ref,CX$83,3)*CS46*(PI()/4*$F46^2)*$H46*CT46*CW46</f>
        <v>0</v>
      </c>
      <c r="CY46" s="63" cm="1">
        <f t="array" ref="CY46">INDEX(FX_Input,$KB46,CY$85)</f>
        <v>0</v>
      </c>
      <c r="CZ46" s="63">
        <f t="shared" si="38"/>
        <v>0</v>
      </c>
      <c r="DA46" s="63">
        <f t="shared" si="39"/>
        <v>0</v>
      </c>
      <c r="DB46" s="63">
        <f t="shared" si="40"/>
        <v>1</v>
      </c>
      <c r="DC46" s="63" cm="1">
        <f t="array" ref="DC46">IF(OR(INDEX(FX_Vap,$KK46,DC$90)="Crude Oil",(INDEX(FX_Vap,$KL46,DC$90)="Crude Oil")),0.75,1)</f>
        <v>1</v>
      </c>
      <c r="DD46" s="63">
        <f t="shared" si="112"/>
        <v>1</v>
      </c>
      <c r="DE46" s="63">
        <f t="shared" si="41"/>
        <v>0</v>
      </c>
      <c r="DF46" s="64">
        <f t="shared" si="42"/>
        <v>0</v>
      </c>
      <c r="DG46" s="80" t="str" cm="1">
        <f t="array" ref="DG46">IF(ISBLANK(INDEX(FX_Input,$KB46+1,DG$85)),INDEX(FX_Input,$KB46,DG$85),INDEX(FX_Input,$KB46,DG$85)&amp;" &amp; "&amp;INDEX(FX_Input,$KB46+1,DG$85))</f>
        <v>Out of Service</v>
      </c>
      <c r="DH46" s="63" cm="1">
        <f t="array" ref="DH46">INDEX(FX_Temps,$KC46+7,DH$89)</f>
        <v>0</v>
      </c>
      <c r="DI46" s="63" cm="1">
        <f t="array" ref="DI46">INDEX(FX_Temps,$KC46+13,DI$89)+459.6</f>
        <v>516.55000000000007</v>
      </c>
      <c r="DJ46" s="63" cm="1">
        <f t="array" ref="DJ46">INDEX(FX_Vap,$KG46,DJ$91)-INDEX(FX_Vap,$KH46,DJ$91)</f>
        <v>0</v>
      </c>
      <c r="DK46" s="73" cm="1">
        <f t="array" ref="DK46">IF(DG46="Out of Service",0,INDEX(FX_Vap,$KI46,DK$91))</f>
        <v>0</v>
      </c>
      <c r="DL46" s="63">
        <f t="shared" si="43"/>
        <v>0</v>
      </c>
      <c r="DM46" s="63">
        <f t="shared" si="44"/>
        <v>1</v>
      </c>
      <c r="DN46" s="63" cm="1">
        <f t="array" ref="DN46">INDEX(FX_Vap,$KJ46,DN$91)</f>
        <v>0</v>
      </c>
      <c r="DO46" s="63" cm="1">
        <f t="array" ref="DO46">INDEX(FX_Temps,$KD46,DO$89)+459.6</f>
        <v>516.55000000000007</v>
      </c>
      <c r="DP46" s="63">
        <f t="shared" si="45"/>
        <v>0</v>
      </c>
      <c r="DQ46" s="63" cm="1">
        <f t="array" ref="DQ46">INDEX(Month_Ref,DQ$83,3)*DL46*(PI()/4*$F46^2)*$H46*DM46*DP46</f>
        <v>0</v>
      </c>
      <c r="DR46" s="63" cm="1">
        <f t="array" ref="DR46">INDEX(FX_Input,$KB46,DR$85)</f>
        <v>0</v>
      </c>
      <c r="DS46" s="63">
        <f t="shared" si="46"/>
        <v>0</v>
      </c>
      <c r="DT46" s="63">
        <f t="shared" si="47"/>
        <v>0</v>
      </c>
      <c r="DU46" s="63">
        <f t="shared" si="48"/>
        <v>1</v>
      </c>
      <c r="DV46" s="63" cm="1">
        <f t="array" ref="DV46">IF(OR(INDEX(FX_Vap,$KK46,DV$90)="Crude Oil",(INDEX(FX_Vap,$KL46,DV$90)="Crude Oil")),0.75,1)</f>
        <v>1</v>
      </c>
      <c r="DW46" s="63">
        <f t="shared" si="113"/>
        <v>1</v>
      </c>
      <c r="DX46" s="63">
        <f t="shared" si="49"/>
        <v>0</v>
      </c>
      <c r="DY46" s="64">
        <f t="shared" si="50"/>
        <v>0</v>
      </c>
      <c r="DZ46" s="80" t="str" cm="1">
        <f t="array" ref="DZ46">IF(ISBLANK(INDEX(FX_Input,$KB46+1,DZ$85)),INDEX(FX_Input,$KB46,DZ$85),INDEX(FX_Input,$KB46,DZ$85)&amp;" &amp; "&amp;INDEX(FX_Input,$KB46+1,DZ$85))</f>
        <v>Out of Service</v>
      </c>
      <c r="EA46" s="63" cm="1">
        <f t="array" ref="EA46">INDEX(FX_Temps,$KC46+7,EA$89)</f>
        <v>0</v>
      </c>
      <c r="EB46" s="63" cm="1">
        <f t="array" ref="EB46">INDEX(FX_Temps,$KC46+13,EB$89)+459.6</f>
        <v>520.04999999999995</v>
      </c>
      <c r="EC46" s="63" cm="1">
        <f t="array" ref="EC46">INDEX(FX_Vap,$KG46,EC$91)-INDEX(FX_Vap,$KH46,EC$91)</f>
        <v>0</v>
      </c>
      <c r="ED46" s="73" cm="1">
        <f t="array" ref="ED46">IF(DZ46="Out of Service",0,INDEX(FX_Vap,$KI46,ED$91))</f>
        <v>0</v>
      </c>
      <c r="EE46" s="63">
        <f t="shared" si="51"/>
        <v>0</v>
      </c>
      <c r="EF46" s="63">
        <f t="shared" si="52"/>
        <v>1</v>
      </c>
      <c r="EG46" s="63" cm="1">
        <f t="array" ref="EG46">INDEX(FX_Vap,$KJ46,EG$91)</f>
        <v>0</v>
      </c>
      <c r="EH46" s="63" cm="1">
        <f t="array" ref="EH46">INDEX(FX_Temps,$KD46,EH$89)+459.6</f>
        <v>520.04999999999995</v>
      </c>
      <c r="EI46" s="63">
        <f t="shared" si="53"/>
        <v>0</v>
      </c>
      <c r="EJ46" s="63" cm="1">
        <f t="array" ref="EJ46">INDEX(Month_Ref,EJ$83,3)*EE46*(PI()/4*$F46^2)*$H46*EF46*EI46</f>
        <v>0</v>
      </c>
      <c r="EK46" s="63" cm="1">
        <f t="array" ref="EK46">INDEX(FX_Input,$KB46,EK$85)</f>
        <v>0</v>
      </c>
      <c r="EL46" s="63">
        <f t="shared" si="54"/>
        <v>0</v>
      </c>
      <c r="EM46" s="63">
        <f t="shared" si="55"/>
        <v>0</v>
      </c>
      <c r="EN46" s="63">
        <f t="shared" si="56"/>
        <v>1</v>
      </c>
      <c r="EO46" s="63" cm="1">
        <f t="array" ref="EO46">IF(OR(INDEX(FX_Vap,$KK46,EO$90)="Crude Oil",(INDEX(FX_Vap,$KL46,EO$90)="Crude Oil")),0.75,1)</f>
        <v>1</v>
      </c>
      <c r="EP46" s="63">
        <f t="shared" si="114"/>
        <v>1</v>
      </c>
      <c r="EQ46" s="63">
        <f t="shared" si="57"/>
        <v>0</v>
      </c>
      <c r="ER46" s="64">
        <f t="shared" si="58"/>
        <v>0</v>
      </c>
      <c r="ES46" s="80" t="str" cm="1">
        <f t="array" ref="ES46">IF(ISBLANK(INDEX(FX_Input,$KB46+1,ES$85)),INDEX(FX_Input,$KB46,ES$85),INDEX(FX_Input,$KB46,ES$85)&amp;" &amp; "&amp;INDEX(FX_Input,$KB46+1,ES$85))</f>
        <v>Out of Service</v>
      </c>
      <c r="ET46" s="63" cm="1">
        <f t="array" ref="ET46">INDEX(FX_Temps,$KC46+7,ET$89)</f>
        <v>0</v>
      </c>
      <c r="EU46" s="63" cm="1">
        <f t="array" ref="EU46">INDEX(FX_Temps,$KC46+13,EU$89)+459.6</f>
        <v>520.5</v>
      </c>
      <c r="EV46" s="63" cm="1">
        <f t="array" ref="EV46">INDEX(FX_Vap,$KG46,EV$91)-INDEX(FX_Vap,$KH46,EV$91)</f>
        <v>0</v>
      </c>
      <c r="EW46" s="73" cm="1">
        <f t="array" ref="EW46">IF(ES46="Out of Service",0,INDEX(FX_Vap,$KI46,EW$91))</f>
        <v>0</v>
      </c>
      <c r="EX46" s="63">
        <f t="shared" si="59"/>
        <v>0</v>
      </c>
      <c r="EY46" s="63">
        <f t="shared" si="60"/>
        <v>1</v>
      </c>
      <c r="EZ46" s="63" cm="1">
        <f t="array" ref="EZ46">INDEX(FX_Vap,$KJ46,EZ$91)</f>
        <v>0</v>
      </c>
      <c r="FA46" s="63" cm="1">
        <f t="array" ref="FA46">INDEX(FX_Temps,$KD46,FA$89)+459.6</f>
        <v>520.5</v>
      </c>
      <c r="FB46" s="63">
        <f t="shared" si="61"/>
        <v>0</v>
      </c>
      <c r="FC46" s="63" cm="1">
        <f t="array" ref="FC46">INDEX(Month_Ref,FC$83,3)*EX46*(PI()/4*$F46^2)*$H46*EY46*FB46</f>
        <v>0</v>
      </c>
      <c r="FD46" s="63" cm="1">
        <f t="array" ref="FD46">INDEX(FX_Input,$KB46,FD$85)</f>
        <v>0</v>
      </c>
      <c r="FE46" s="63">
        <f t="shared" si="62"/>
        <v>0</v>
      </c>
      <c r="FF46" s="63">
        <f t="shared" si="63"/>
        <v>0</v>
      </c>
      <c r="FG46" s="63">
        <f t="shared" si="64"/>
        <v>1</v>
      </c>
      <c r="FH46" s="63" cm="1">
        <f t="array" ref="FH46">IF(OR(INDEX(FX_Vap,$KK46,FH$90)="Crude Oil",(INDEX(FX_Vap,$KL46,FH$90)="Crude Oil")),0.75,1)</f>
        <v>1</v>
      </c>
      <c r="FI46" s="63">
        <f t="shared" si="115"/>
        <v>1</v>
      </c>
      <c r="FJ46" s="63">
        <f t="shared" si="65"/>
        <v>0</v>
      </c>
      <c r="FK46" s="64">
        <f t="shared" si="66"/>
        <v>0</v>
      </c>
      <c r="FL46" s="80" t="str" cm="1">
        <f t="array" ref="FL46">IF(ISBLANK(INDEX(FX_Input,$KB46+1,FL$85)),INDEX(FX_Input,$KB46,FL$85),INDEX(FX_Input,$KB46,FL$85)&amp;" &amp; "&amp;INDEX(FX_Input,$KB46+1,FL$85))</f>
        <v>Out of Service</v>
      </c>
      <c r="FM46" s="63" cm="1">
        <f t="array" ref="FM46">INDEX(FX_Temps,$KC46+7,FM$89)</f>
        <v>0</v>
      </c>
      <c r="FN46" s="63" cm="1">
        <f t="array" ref="FN46">INDEX(FX_Temps,$KC46+13,FN$89)+459.6</f>
        <v>518.20000000000005</v>
      </c>
      <c r="FO46" s="63" cm="1">
        <f t="array" ref="FO46">INDEX(FX_Vap,$KG46,FO$91)-INDEX(FX_Vap,$KH46,FO$91)</f>
        <v>0</v>
      </c>
      <c r="FP46" s="73" cm="1">
        <f t="array" ref="FP46">IF(FL46="Out of Service",0,INDEX(FX_Vap,$KI46,FP$91))</f>
        <v>0</v>
      </c>
      <c r="FQ46" s="63">
        <f t="shared" si="67"/>
        <v>0</v>
      </c>
      <c r="FR46" s="63">
        <f t="shared" si="68"/>
        <v>1</v>
      </c>
      <c r="FS46" s="63" cm="1">
        <f t="array" ref="FS46">INDEX(FX_Vap,$KJ46,FS$91)</f>
        <v>0</v>
      </c>
      <c r="FT46" s="63" cm="1">
        <f t="array" ref="FT46">INDEX(FX_Temps,$KD46,FT$89)+459.6</f>
        <v>518.20000000000005</v>
      </c>
      <c r="FU46" s="63">
        <f t="shared" si="69"/>
        <v>0</v>
      </c>
      <c r="FV46" s="63" cm="1">
        <f t="array" ref="FV46">INDEX(Month_Ref,FV$83,3)*FQ46*(PI()/4*$F46^2)*$H46*FR46*FU46</f>
        <v>0</v>
      </c>
      <c r="FW46" s="63" cm="1">
        <f t="array" ref="FW46">INDEX(FX_Input,$KB46,FW$85)</f>
        <v>0</v>
      </c>
      <c r="FX46" s="63">
        <f t="shared" si="70"/>
        <v>0</v>
      </c>
      <c r="FY46" s="63">
        <f t="shared" si="71"/>
        <v>0</v>
      </c>
      <c r="FZ46" s="63">
        <f t="shared" si="72"/>
        <v>1</v>
      </c>
      <c r="GA46" s="63" cm="1">
        <f t="array" ref="GA46">IF(OR(INDEX(FX_Vap,$KK46,GA$90)="Crude Oil",(INDEX(FX_Vap,$KL46,GA$90)="Crude Oil")),0.75,1)</f>
        <v>1</v>
      </c>
      <c r="GB46" s="63">
        <f t="shared" si="116"/>
        <v>1</v>
      </c>
      <c r="GC46" s="63">
        <f t="shared" si="73"/>
        <v>0</v>
      </c>
      <c r="GD46" s="64">
        <f t="shared" si="74"/>
        <v>0</v>
      </c>
      <c r="GE46" s="80" t="str" cm="1">
        <f t="array" ref="GE46">IF(ISBLANK(INDEX(FX_Input,$KB46+1,GE$85)),INDEX(FX_Input,$KB46,GE$85),INDEX(FX_Input,$KB46,GE$85)&amp;" &amp; "&amp;INDEX(FX_Input,$KB46+1,GE$85))</f>
        <v>Out of Service</v>
      </c>
      <c r="GF46" s="63" cm="1">
        <f t="array" ref="GF46">INDEX(FX_Temps,$KC46+7,GF$89)</f>
        <v>0</v>
      </c>
      <c r="GG46" s="63" cm="1">
        <f t="array" ref="GG46">INDEX(FX_Temps,$KC46+13,GG$89)+459.6</f>
        <v>512.25</v>
      </c>
      <c r="GH46" s="63" cm="1">
        <f t="array" ref="GH46">INDEX(FX_Vap,$KG46,GH$91)-INDEX(FX_Vap,$KH46,GH$91)</f>
        <v>0</v>
      </c>
      <c r="GI46" s="73" cm="1">
        <f t="array" ref="GI46">IF(GE46="Out of Service",0,INDEX(FX_Vap,$KI46,GI$91))</f>
        <v>0</v>
      </c>
      <c r="GJ46" s="63">
        <f t="shared" si="75"/>
        <v>0</v>
      </c>
      <c r="GK46" s="63">
        <f t="shared" si="76"/>
        <v>1</v>
      </c>
      <c r="GL46" s="63" cm="1">
        <f t="array" ref="GL46">INDEX(FX_Vap,$KJ46,GL$91)</f>
        <v>0</v>
      </c>
      <c r="GM46" s="63" cm="1">
        <f t="array" ref="GM46">INDEX(FX_Temps,$KD46,GM$89)+459.6</f>
        <v>512.25</v>
      </c>
      <c r="GN46" s="63">
        <f t="shared" si="77"/>
        <v>0</v>
      </c>
      <c r="GO46" s="63" cm="1">
        <f t="array" ref="GO46">INDEX(Month_Ref,GO$83,3)*GJ46*(PI()/4*$F46^2)*$H46*GK46*GN46</f>
        <v>0</v>
      </c>
      <c r="GP46" s="63" cm="1">
        <f t="array" ref="GP46">INDEX(FX_Input,$KB46,GP$85)</f>
        <v>0</v>
      </c>
      <c r="GQ46" s="63">
        <f t="shared" si="78"/>
        <v>0</v>
      </c>
      <c r="GR46" s="63">
        <f t="shared" si="79"/>
        <v>0</v>
      </c>
      <c r="GS46" s="63">
        <f t="shared" si="80"/>
        <v>1</v>
      </c>
      <c r="GT46" s="63" cm="1">
        <f t="array" ref="GT46">IF(OR(INDEX(FX_Vap,$KK46,GT$90)="Crude Oil",(INDEX(FX_Vap,$KL46,GT$90)="Crude Oil")),0.75,1)</f>
        <v>1</v>
      </c>
      <c r="GU46" s="63">
        <f t="shared" si="117"/>
        <v>1</v>
      </c>
      <c r="GV46" s="63">
        <f t="shared" si="81"/>
        <v>0</v>
      </c>
      <c r="GW46" s="64">
        <f t="shared" si="82"/>
        <v>0</v>
      </c>
      <c r="GX46" s="80" t="str" cm="1">
        <f t="array" ref="GX46">IF(ISBLANK(INDEX(FX_Input,$KB46+1,GX$85)),INDEX(FX_Input,$KB46,GX$85),INDEX(FX_Input,$KB46,GX$85)&amp;" &amp; "&amp;INDEX(FX_Input,$KB46+1,GX$85))</f>
        <v>Out of Service</v>
      </c>
      <c r="GY46" s="63" cm="1">
        <f t="array" ref="GY46">INDEX(FX_Temps,$KC46+7,GY$89)</f>
        <v>0</v>
      </c>
      <c r="GZ46" s="63" cm="1">
        <f t="array" ref="GZ46">INDEX(FX_Temps,$KC46+13,GZ$89)+459.6</f>
        <v>506.70000000000005</v>
      </c>
      <c r="HA46" s="63" cm="1">
        <f t="array" ref="HA46">INDEX(FX_Vap,$KG46,HA$91)-INDEX(FX_Vap,$KH46,HA$91)</f>
        <v>0</v>
      </c>
      <c r="HB46" s="73" cm="1">
        <f t="array" ref="HB46">IF(GX46="Out of Service",0,INDEX(FX_Vap,$KI46,HB$91))</f>
        <v>0</v>
      </c>
      <c r="HC46" s="63">
        <f t="shared" si="83"/>
        <v>0</v>
      </c>
      <c r="HD46" s="63">
        <f t="shared" si="84"/>
        <v>1</v>
      </c>
      <c r="HE46" s="63" cm="1">
        <f t="array" ref="HE46">INDEX(FX_Vap,$KJ46,HE$91)</f>
        <v>0</v>
      </c>
      <c r="HF46" s="63" cm="1">
        <f t="array" ref="HF46">INDEX(FX_Temps,$KD46,HF$89)+459.6</f>
        <v>506.70000000000005</v>
      </c>
      <c r="HG46" s="63">
        <f t="shared" si="85"/>
        <v>0</v>
      </c>
      <c r="HH46" s="63" cm="1">
        <f t="array" ref="HH46">INDEX(Month_Ref,HH$83,3)*HC46*(PI()/4*$F46^2)*$H46*HD46*HG46</f>
        <v>0</v>
      </c>
      <c r="HI46" s="63" cm="1">
        <f t="array" ref="HI46">INDEX(FX_Input,$KB46,HI$85)</f>
        <v>0</v>
      </c>
      <c r="HJ46" s="63">
        <f t="shared" si="86"/>
        <v>0</v>
      </c>
      <c r="HK46" s="63">
        <f t="shared" si="87"/>
        <v>0</v>
      </c>
      <c r="HL46" s="63">
        <f t="shared" si="88"/>
        <v>1</v>
      </c>
      <c r="HM46" s="63" cm="1">
        <f t="array" ref="HM46">IF(OR(INDEX(FX_Vap,$KK46,HM$90)="Crude Oil",(INDEX(FX_Vap,$KL46,HM$90)="Crude Oil")),0.75,1)</f>
        <v>1</v>
      </c>
      <c r="HN46" s="63">
        <f t="shared" si="118"/>
        <v>1</v>
      </c>
      <c r="HO46" s="63">
        <f t="shared" si="89"/>
        <v>0</v>
      </c>
      <c r="HP46" s="64">
        <f t="shared" si="90"/>
        <v>0</v>
      </c>
      <c r="HQ46" s="80" t="str" cm="1">
        <f t="array" ref="HQ46">IF(ISBLANK(INDEX(FX_Input,$KB46+1,HQ$85)),INDEX(FX_Input,$KB46,HQ$85),INDEX(FX_Input,$KB46,HQ$85)&amp;" &amp; "&amp;INDEX(FX_Input,$KB46+1,HQ$85))</f>
        <v>Out of Service</v>
      </c>
      <c r="HR46" s="63" cm="1">
        <f t="array" ref="HR46">INDEX(FX_Temps,$KC46+7,HR$89)</f>
        <v>0</v>
      </c>
      <c r="HS46" s="63" cm="1">
        <f t="array" ref="HS46">INDEX(FX_Temps,$KC46+13,HS$89)+459.6</f>
        <v>503.20000000000005</v>
      </c>
      <c r="HT46" s="63" cm="1">
        <f t="array" ref="HT46">INDEX(FX_Vap,$KG46,HT$91)-INDEX(FX_Vap,$KH46,HT$91)</f>
        <v>0</v>
      </c>
      <c r="HU46" s="73" cm="1">
        <f t="array" ref="HU46">IF(HQ46="Out of Service",0,INDEX(FX_Vap,$KI46,HU$91))</f>
        <v>0</v>
      </c>
      <c r="HV46" s="63">
        <f t="shared" si="91"/>
        <v>0</v>
      </c>
      <c r="HW46" s="63">
        <f t="shared" si="92"/>
        <v>1</v>
      </c>
      <c r="HX46" s="63" cm="1">
        <f t="array" ref="HX46">INDEX(FX_Vap,$KJ46,HX$91)</f>
        <v>0</v>
      </c>
      <c r="HY46" s="63" cm="1">
        <f t="array" ref="HY46">INDEX(FX_Temps,$KD46,HY$89)+459.6</f>
        <v>503.20000000000005</v>
      </c>
      <c r="HZ46" s="63">
        <f t="shared" si="93"/>
        <v>0</v>
      </c>
      <c r="IA46" s="63" cm="1">
        <f t="array" ref="IA46">INDEX(Month_Ref,IA$83,3)*HV46*(PI()/4*$F46^2)*$H46*HW46*HZ46</f>
        <v>0</v>
      </c>
      <c r="IB46" s="63" cm="1">
        <f t="array" ref="IB46">INDEX(FX_Input,$KB46,IB$85)</f>
        <v>0</v>
      </c>
      <c r="IC46" s="63">
        <f t="shared" si="94"/>
        <v>0</v>
      </c>
      <c r="ID46" s="63">
        <f t="shared" si="95"/>
        <v>0</v>
      </c>
      <c r="IE46" s="63">
        <f t="shared" si="96"/>
        <v>1</v>
      </c>
      <c r="IF46" s="63" cm="1">
        <f t="array" ref="IF46">IF(OR(INDEX(FX_Vap,$KK46,IF$90)="Crude Oil",(INDEX(FX_Vap,$KL46,IF$90)="Crude Oil")),0.75,1)</f>
        <v>1</v>
      </c>
      <c r="IG46" s="63">
        <f t="shared" si="119"/>
        <v>1</v>
      </c>
      <c r="IH46" s="63">
        <f t="shared" si="97"/>
        <v>0</v>
      </c>
      <c r="II46" s="64">
        <f t="shared" si="98"/>
        <v>0</v>
      </c>
      <c r="IJ46" s="80">
        <f t="shared" si="99"/>
        <v>0</v>
      </c>
      <c r="IK46" s="63">
        <f t="shared" si="100"/>
        <v>0</v>
      </c>
      <c r="IL46" s="63">
        <f t="shared" si="101"/>
        <v>0</v>
      </c>
      <c r="IM46" s="63">
        <f t="shared" si="102"/>
        <v>0</v>
      </c>
      <c r="IN46" s="63">
        <f t="shared" si="103"/>
        <v>0</v>
      </c>
      <c r="IO46" s="64">
        <f t="shared" si="104"/>
        <v>0</v>
      </c>
      <c r="KB46" s="43">
        <f t="shared" si="120"/>
        <v>71</v>
      </c>
      <c r="KC46" s="43">
        <f t="shared" si="121"/>
        <v>491</v>
      </c>
      <c r="KD46" s="43">
        <f t="shared" si="122"/>
        <v>504</v>
      </c>
      <c r="KE46" s="43">
        <f t="shared" si="123"/>
        <v>491</v>
      </c>
      <c r="KF46" s="43">
        <f t="shared" si="124"/>
        <v>1191</v>
      </c>
      <c r="KG46" s="43">
        <f t="shared" si="125"/>
        <v>1214</v>
      </c>
      <c r="KH46" s="43">
        <f t="shared" si="126"/>
        <v>1209</v>
      </c>
      <c r="KI46" s="43">
        <f t="shared" si="126"/>
        <v>1219</v>
      </c>
      <c r="KJ46" s="43">
        <f t="shared" si="126"/>
        <v>1224</v>
      </c>
      <c r="KK46" s="43">
        <f t="shared" si="127"/>
        <v>1195</v>
      </c>
      <c r="KL46" s="43">
        <f t="shared" si="128"/>
        <v>1197</v>
      </c>
    </row>
    <row r="47" spans="2:298" x14ac:dyDescent="0.4">
      <c r="B47" s="43" t="str" cm="1">
        <f t="array" ref="B47">INDEX(FX_Input,$KB47,B$85)</f>
        <v>FX - 37</v>
      </c>
      <c r="C47" s="93" t="str" cm="1">
        <f t="array" ref="C47">INDEX(FX_Input,$KB47,C$85)</f>
        <v>FIXTANK 158</v>
      </c>
      <c r="D47" s="80">
        <f t="shared" si="129"/>
        <v>3101.3409977156739</v>
      </c>
      <c r="E47" s="63" cm="1">
        <f t="array" ref="E47">IF(ISBLANK(INDEX(FX_Input,$KB47,$E$85)),0.03,INDEX(FX_Input,$KB47,$E$85))-IF(ISBLANK(INDEX(FX_Input,$KB47,$E$86)),-0.03,INDEX(FX_Input,$KB47,$E$86))</f>
        <v>0.06</v>
      </c>
      <c r="F47" s="63" cm="1">
        <f t="array" ref="F47">IF(INDEX(FX_Input,$KB47,F$85)="Vertical",INDEX(FX_Input,$KB47,F$86),SQRT((INDEX(FX_Input,$KB47,F$86)*INDEX(FX_Input,$KB47,F$87))/(PI()/4)))</f>
        <v>18</v>
      </c>
      <c r="G47" s="63" cm="1">
        <f t="array" ref="G47">IF(INDEX(FX_Input,$KB47,G$85)="Vertical",INDEX(FX_Input,$KB47,G$86),INDEX(FX_Input,$KB47,G$87)*PI()/4)</f>
        <v>24</v>
      </c>
      <c r="H47" s="63" cm="1">
        <f t="array" ref="H47">IF(INDEX(FX_Input,$KB47,H$85)="Vertical",G47-G47/2+J47,G47/2)</f>
        <v>12.1875</v>
      </c>
      <c r="I47" s="63" cm="1">
        <f t="array" ref="I47">IF(INDEX(FX_Input,$KB47,F$85)="Horizontal","N/A",IF(INDEX(FX_Input,$KB47,I$86)="Cone",IF(ISBLANK(INDEX(FX_Input,$KB47,I$87)),0.0625,INDEX(FX_Input,$KB47,I$87))*F47/2,F47/2-SQRT((F47/2)^2-(INDEX(FX_Input,$KB47,I$88)^2))))</f>
        <v>0.5625</v>
      </c>
      <c r="J47" s="63" cm="1">
        <f t="array" ref="J47">IF(INDEX(FX_Input,$KB47,J$85)="Horizontal","N/A",IF(INDEX(FX_Input,$KB47,J$86)="Cone",I47/3,I47*(1/2+(1/6)*(I47/(F47/2))^2)))</f>
        <v>0.1875</v>
      </c>
      <c r="K47" s="63">
        <f t="shared" si="130"/>
        <v>23</v>
      </c>
      <c r="L47" s="63">
        <v>1</v>
      </c>
      <c r="M47" s="63" t="str" cm="1">
        <f t="array" ref="M47">INDEX(Tbl_71_6,MATCH(INDEX(FX_Input,$KB47,M$85),Paint_Color,0),VLOOKUP(INDEX(FX_Input,$KB47,M$86),Paint_Cond_Column,2,FALSE))</f>
        <v>N/A</v>
      </c>
      <c r="N47" s="63" t="str" cm="1">
        <f t="array" ref="N47">INDEX(Tbl_71_6,MATCH(INDEX(FX_Input,$KB47,N$85),Paint_Color,0),VLOOKUP(INDEX(FX_Input,$KB47,N$86),Paint_Cond_Column,2,FALSE))</f>
        <v>N/A</v>
      </c>
      <c r="O47" s="64" t="str">
        <f t="shared" si="2"/>
        <v>Insulated</v>
      </c>
      <c r="P47" s="80" t="str" cm="1">
        <f t="array" ref="P47">IF(ISBLANK(INDEX(FX_Input,$KB47+1,P$85)),INDEX(FX_Input,$KB47,P$85),INDEX(FX_Input,$KB47,P$85)&amp;" &amp; "&amp;INDEX(FX_Input,$KB47+1,P$85))</f>
        <v>Out of Service</v>
      </c>
      <c r="Q47" s="63" cm="1">
        <f t="array" ref="Q47">INDEX(FX_Temps,$KC47+7,Q$89)</f>
        <v>0</v>
      </c>
      <c r="R47" s="63" cm="1">
        <f t="array" ref="R47">INDEX(FX_Temps,$KC47+13,R$89)+459.6</f>
        <v>503.5</v>
      </c>
      <c r="S47" s="63" cm="1">
        <f t="array" ref="S47">INDEX(FX_Vap,$KG47,S$91)-INDEX(FX_Vap,$KH47,S$91)</f>
        <v>0</v>
      </c>
      <c r="T47" s="73" cm="1">
        <f t="array" ref="T47">IF(P47="Out of Service",0,INDEX(FX_Vap,$KI47,T$91))</f>
        <v>0</v>
      </c>
      <c r="U47" s="63">
        <f t="shared" si="3"/>
        <v>0</v>
      </c>
      <c r="V47" s="63">
        <f t="shared" si="4"/>
        <v>1</v>
      </c>
      <c r="W47" s="63" cm="1">
        <f t="array" ref="W47">INDEX(FX_Vap,$KJ47,W$91)</f>
        <v>0</v>
      </c>
      <c r="X47" s="63" cm="1">
        <f t="array" ref="X47">INDEX(FX_Temps,$KD47,X$89)+459.6</f>
        <v>503.5</v>
      </c>
      <c r="Y47" s="63">
        <f t="shared" si="5"/>
        <v>0</v>
      </c>
      <c r="Z47" s="63" cm="1">
        <f t="array" ref="Z47">INDEX(Month_Ref,Z$83,3)*U47*(PI()/4*$F47^2)*$H47*V47*Y47</f>
        <v>0</v>
      </c>
      <c r="AA47" s="63" cm="1">
        <f t="array" ref="AA47">INDEX(FX_Input,$KB47,AA$85)</f>
        <v>0</v>
      </c>
      <c r="AB47" s="63">
        <f t="shared" si="6"/>
        <v>0</v>
      </c>
      <c r="AC47" s="63">
        <f t="shared" si="7"/>
        <v>0</v>
      </c>
      <c r="AD47" s="63">
        <f t="shared" si="8"/>
        <v>1</v>
      </c>
      <c r="AE47" s="63" cm="1">
        <f t="array" ref="AE47">IF(OR(INDEX(FX_Vap,$KK47,AE$90)="Crude Oil",(INDEX(FX_Vap,$KL47,AE$90)="Crude Oil")),0.75,1)</f>
        <v>1</v>
      </c>
      <c r="AF47" s="63">
        <f t="shared" si="108"/>
        <v>1</v>
      </c>
      <c r="AG47" s="63">
        <f t="shared" si="9"/>
        <v>0</v>
      </c>
      <c r="AH47" s="64">
        <f t="shared" si="10"/>
        <v>0</v>
      </c>
      <c r="AI47" s="80" t="str" cm="1">
        <f t="array" ref="AI47">IF(ISBLANK(INDEX(FX_Input,$KB47+1,AI$85)),INDEX(FX_Input,$KB47,AI$85),INDEX(FX_Input,$KB47,AI$85)&amp;" &amp; "&amp;INDEX(FX_Input,$KB47+1,AI$85))</f>
        <v>Out of Service</v>
      </c>
      <c r="AJ47" s="63" cm="1">
        <f t="array" ref="AJ47">INDEX(FX_Temps,$KC47+7,AJ$89)</f>
        <v>0</v>
      </c>
      <c r="AK47" s="63" cm="1">
        <f t="array" ref="AK47">INDEX(FX_Temps,$KC47+13,AK$89)+459.6</f>
        <v>504.30000000000007</v>
      </c>
      <c r="AL47" s="63" cm="1">
        <f t="array" ref="AL47">INDEX(FX_Vap,$KG47,AL$91)-INDEX(FX_Vap,$KH47,AL$91)</f>
        <v>0</v>
      </c>
      <c r="AM47" s="73" cm="1">
        <f t="array" ref="AM47">IF(AI47="Out of Service",0,INDEX(FX_Vap,$KI47,AM$91))</f>
        <v>0</v>
      </c>
      <c r="AN47" s="63">
        <f t="shared" si="11"/>
        <v>0</v>
      </c>
      <c r="AO47" s="63">
        <f t="shared" si="12"/>
        <v>1</v>
      </c>
      <c r="AP47" s="63" cm="1">
        <f t="array" ref="AP47">INDEX(FX_Vap,$KJ47,AP$91)</f>
        <v>0</v>
      </c>
      <c r="AQ47" s="63" cm="1">
        <f t="array" ref="AQ47">INDEX(FX_Temps,$KD47,AQ$89)+459.6</f>
        <v>504.30000000000007</v>
      </c>
      <c r="AR47" s="63">
        <f t="shared" si="13"/>
        <v>0</v>
      </c>
      <c r="AS47" s="63" cm="1">
        <f t="array" ref="AS47">INDEX(Month_Ref,AS$83,3)*AN47*(PI()/4*$F47^2)*$H47*AO47*AR47</f>
        <v>0</v>
      </c>
      <c r="AT47" s="63" cm="1">
        <f t="array" ref="AT47">INDEX(FX_Input,$KB47,AT$85)</f>
        <v>0</v>
      </c>
      <c r="AU47" s="63">
        <f t="shared" si="14"/>
        <v>0</v>
      </c>
      <c r="AV47" s="63">
        <f t="shared" si="15"/>
        <v>0</v>
      </c>
      <c r="AW47" s="63">
        <f t="shared" si="16"/>
        <v>1</v>
      </c>
      <c r="AX47" s="63" cm="1">
        <f t="array" ref="AX47">IF(OR(INDEX(FX_Vap,$KK47,AX$90)="Crude Oil",(INDEX(FX_Vap,$KL47,AX$90)="Crude Oil")),0.75,1)</f>
        <v>1</v>
      </c>
      <c r="AY47" s="63">
        <f t="shared" si="109"/>
        <v>1</v>
      </c>
      <c r="AZ47" s="63">
        <f t="shared" si="17"/>
        <v>0</v>
      </c>
      <c r="BA47" s="64">
        <f t="shared" si="18"/>
        <v>0</v>
      </c>
      <c r="BB47" s="80" t="str" cm="1">
        <f t="array" ref="BB47">IF(ISBLANK(INDEX(FX_Input,$KB47+1,BB$85)),INDEX(FX_Input,$KB47,BB$85),INDEX(FX_Input,$KB47,BB$85)&amp;" &amp; "&amp;INDEX(FX_Input,$KB47+1,BB$85))</f>
        <v>Out of Service</v>
      </c>
      <c r="BC47" s="63" cm="1">
        <f t="array" ref="BC47">INDEX(FX_Temps,$KC47+7,BC$89)</f>
        <v>0</v>
      </c>
      <c r="BD47" s="63" cm="1">
        <f t="array" ref="BD47">INDEX(FX_Temps,$KC47+13,BD$89)+459.6</f>
        <v>505.70000000000005</v>
      </c>
      <c r="BE47" s="63" cm="1">
        <f t="array" ref="BE47">INDEX(FX_Vap,$KG47,BE$91)-INDEX(FX_Vap,$KH47,BE$91)</f>
        <v>0</v>
      </c>
      <c r="BF47" s="73" cm="1">
        <f t="array" ref="BF47">IF(BB47="Out of Service",0,INDEX(FX_Vap,$KI47,BF$91))</f>
        <v>0</v>
      </c>
      <c r="BG47" s="63">
        <f t="shared" si="19"/>
        <v>0</v>
      </c>
      <c r="BH47" s="63">
        <f t="shared" si="20"/>
        <v>1</v>
      </c>
      <c r="BI47" s="63" cm="1">
        <f t="array" ref="BI47">INDEX(FX_Vap,$KJ47,BI$91)</f>
        <v>0</v>
      </c>
      <c r="BJ47" s="63" cm="1">
        <f t="array" ref="BJ47">INDEX(FX_Temps,$KD47,BJ$89)+459.6</f>
        <v>505.70000000000005</v>
      </c>
      <c r="BK47" s="63">
        <f t="shared" si="21"/>
        <v>0</v>
      </c>
      <c r="BL47" s="63" cm="1">
        <f t="array" ref="BL47">INDEX(Month_Ref,BL$83,3)*BG47*(PI()/4*$F47^2)*$H47*BH47*BK47</f>
        <v>0</v>
      </c>
      <c r="BM47" s="63" cm="1">
        <f t="array" ref="BM47">INDEX(FX_Input,$KB47,BM$85)</f>
        <v>0</v>
      </c>
      <c r="BN47" s="63">
        <f t="shared" si="22"/>
        <v>0</v>
      </c>
      <c r="BO47" s="63">
        <f t="shared" si="23"/>
        <v>0</v>
      </c>
      <c r="BP47" s="63">
        <f t="shared" si="24"/>
        <v>1</v>
      </c>
      <c r="BQ47" s="63" cm="1">
        <f t="array" ref="BQ47">IF(OR(INDEX(FX_Vap,$KK47,BQ$90)="Crude Oil",(INDEX(FX_Vap,$KL47,BQ$90)="Crude Oil")),0.75,1)</f>
        <v>1</v>
      </c>
      <c r="BR47" s="63">
        <f t="shared" si="110"/>
        <v>1</v>
      </c>
      <c r="BS47" s="63">
        <f t="shared" si="25"/>
        <v>0</v>
      </c>
      <c r="BT47" s="64">
        <f t="shared" si="26"/>
        <v>0</v>
      </c>
      <c r="BU47" s="80" t="str" cm="1">
        <f t="array" ref="BU47">IF(ISBLANK(INDEX(FX_Input,$KB47+1,BU$85)),INDEX(FX_Input,$KB47,BU$85),INDEX(FX_Input,$KB47,BU$85)&amp;" &amp; "&amp;INDEX(FX_Input,$KB47+1,BU$85))</f>
        <v>Out of Service</v>
      </c>
      <c r="BV47" s="63" cm="1">
        <f t="array" ref="BV47">INDEX(FX_Temps,$KC47+7,BV$89)</f>
        <v>0</v>
      </c>
      <c r="BW47" s="63" cm="1">
        <f t="array" ref="BW47">INDEX(FX_Temps,$KC47+13,BW$89)+459.6</f>
        <v>508.2</v>
      </c>
      <c r="BX47" s="63" cm="1">
        <f t="array" ref="BX47">INDEX(FX_Vap,$KG47,BX$91)-INDEX(FX_Vap,$KH47,BX$91)</f>
        <v>0</v>
      </c>
      <c r="BY47" s="73" cm="1">
        <f t="array" ref="BY47">IF(BU47="Out of Service",0,INDEX(FX_Vap,$KI47,BY$91))</f>
        <v>0</v>
      </c>
      <c r="BZ47" s="63">
        <f t="shared" si="27"/>
        <v>0</v>
      </c>
      <c r="CA47" s="63">
        <f t="shared" si="28"/>
        <v>1</v>
      </c>
      <c r="CB47" s="63" cm="1">
        <f t="array" ref="CB47">INDEX(FX_Vap,$KJ47,CB$91)</f>
        <v>0</v>
      </c>
      <c r="CC47" s="63" cm="1">
        <f t="array" ref="CC47">INDEX(FX_Temps,$KD47,CC$89)+459.6</f>
        <v>508.2</v>
      </c>
      <c r="CD47" s="63">
        <f t="shared" si="29"/>
        <v>0</v>
      </c>
      <c r="CE47" s="63" cm="1">
        <f t="array" ref="CE47">INDEX(Month_Ref,CE$83,3)*BZ47*(PI()/4*$F47^2)*$H47*CA47*CD47</f>
        <v>0</v>
      </c>
      <c r="CF47" s="63" cm="1">
        <f t="array" ref="CF47">INDEX(FX_Input,$KB47,CF$85)</f>
        <v>0</v>
      </c>
      <c r="CG47" s="63">
        <f t="shared" si="30"/>
        <v>0</v>
      </c>
      <c r="CH47" s="63">
        <f t="shared" si="31"/>
        <v>0</v>
      </c>
      <c r="CI47" s="63">
        <f t="shared" si="32"/>
        <v>1</v>
      </c>
      <c r="CJ47" s="63" cm="1">
        <f t="array" ref="CJ47">IF(OR(INDEX(FX_Vap,$KK47,CJ$90)="Crude Oil",(INDEX(FX_Vap,$KL47,CJ$90)="Crude Oil")),0.75,1)</f>
        <v>1</v>
      </c>
      <c r="CK47" s="63">
        <f t="shared" si="111"/>
        <v>1</v>
      </c>
      <c r="CL47" s="63">
        <f t="shared" si="33"/>
        <v>0</v>
      </c>
      <c r="CM47" s="64">
        <f t="shared" si="34"/>
        <v>0</v>
      </c>
      <c r="CN47" s="80" t="str" cm="1">
        <f t="array" ref="CN47">IF(ISBLANK(INDEX(FX_Input,$KB47+1,CN$85)),INDEX(FX_Input,$KB47,CN$85),INDEX(FX_Input,$KB47,CN$85)&amp;" &amp; "&amp;INDEX(FX_Input,$KB47+1,CN$85))</f>
        <v>Out of Service</v>
      </c>
      <c r="CO47" s="63" cm="1">
        <f t="array" ref="CO47">INDEX(FX_Temps,$KC47+7,CO$89)</f>
        <v>0</v>
      </c>
      <c r="CP47" s="63" cm="1">
        <f t="array" ref="CP47">INDEX(FX_Temps,$KC47+13,CP$89)+459.6</f>
        <v>512.75</v>
      </c>
      <c r="CQ47" s="63" cm="1">
        <f t="array" ref="CQ47">INDEX(FX_Vap,$KG47,CQ$91)-INDEX(FX_Vap,$KH47,CQ$91)</f>
        <v>0</v>
      </c>
      <c r="CR47" s="73" cm="1">
        <f t="array" ref="CR47">IF(CN47="Out of Service",0,INDEX(FX_Vap,$KI47,CR$91))</f>
        <v>0</v>
      </c>
      <c r="CS47" s="63">
        <f t="shared" si="35"/>
        <v>0</v>
      </c>
      <c r="CT47" s="63">
        <f t="shared" si="36"/>
        <v>1</v>
      </c>
      <c r="CU47" s="63" cm="1">
        <f t="array" ref="CU47">INDEX(FX_Vap,$KJ47,CU$91)</f>
        <v>0</v>
      </c>
      <c r="CV47" s="63" cm="1">
        <f t="array" ref="CV47">INDEX(FX_Temps,$KD47,CV$89)+459.6</f>
        <v>512.75</v>
      </c>
      <c r="CW47" s="63">
        <f t="shared" si="37"/>
        <v>0</v>
      </c>
      <c r="CX47" s="63" cm="1">
        <f t="array" ref="CX47">INDEX(Month_Ref,CX$83,3)*CS47*(PI()/4*$F47^2)*$H47*CT47*CW47</f>
        <v>0</v>
      </c>
      <c r="CY47" s="63" cm="1">
        <f t="array" ref="CY47">INDEX(FX_Input,$KB47,CY$85)</f>
        <v>0</v>
      </c>
      <c r="CZ47" s="63">
        <f t="shared" si="38"/>
        <v>0</v>
      </c>
      <c r="DA47" s="63">
        <f t="shared" si="39"/>
        <v>0</v>
      </c>
      <c r="DB47" s="63">
        <f t="shared" si="40"/>
        <v>1</v>
      </c>
      <c r="DC47" s="63" cm="1">
        <f t="array" ref="DC47">IF(OR(INDEX(FX_Vap,$KK47,DC$90)="Crude Oil",(INDEX(FX_Vap,$KL47,DC$90)="Crude Oil")),0.75,1)</f>
        <v>1</v>
      </c>
      <c r="DD47" s="63">
        <f t="shared" si="112"/>
        <v>1</v>
      </c>
      <c r="DE47" s="63">
        <f t="shared" si="41"/>
        <v>0</v>
      </c>
      <c r="DF47" s="64">
        <f t="shared" si="42"/>
        <v>0</v>
      </c>
      <c r="DG47" s="80" t="str" cm="1">
        <f t="array" ref="DG47">IF(ISBLANK(INDEX(FX_Input,$KB47+1,DG$85)),INDEX(FX_Input,$KB47,DG$85),INDEX(FX_Input,$KB47,DG$85)&amp;" &amp; "&amp;INDEX(FX_Input,$KB47+1,DG$85))</f>
        <v>Out of Service</v>
      </c>
      <c r="DH47" s="63" cm="1">
        <f t="array" ref="DH47">INDEX(FX_Temps,$KC47+7,DH$89)</f>
        <v>0</v>
      </c>
      <c r="DI47" s="63" cm="1">
        <f t="array" ref="DI47">INDEX(FX_Temps,$KC47+13,DI$89)+459.6</f>
        <v>516.55000000000007</v>
      </c>
      <c r="DJ47" s="63" cm="1">
        <f t="array" ref="DJ47">INDEX(FX_Vap,$KG47,DJ$91)-INDEX(FX_Vap,$KH47,DJ$91)</f>
        <v>0</v>
      </c>
      <c r="DK47" s="73" cm="1">
        <f t="array" ref="DK47">IF(DG47="Out of Service",0,INDEX(FX_Vap,$KI47,DK$91))</f>
        <v>0</v>
      </c>
      <c r="DL47" s="63">
        <f t="shared" si="43"/>
        <v>0</v>
      </c>
      <c r="DM47" s="63">
        <f t="shared" si="44"/>
        <v>1</v>
      </c>
      <c r="DN47" s="63" cm="1">
        <f t="array" ref="DN47">INDEX(FX_Vap,$KJ47,DN$91)</f>
        <v>0</v>
      </c>
      <c r="DO47" s="63" cm="1">
        <f t="array" ref="DO47">INDEX(FX_Temps,$KD47,DO$89)+459.6</f>
        <v>516.55000000000007</v>
      </c>
      <c r="DP47" s="63">
        <f t="shared" si="45"/>
        <v>0</v>
      </c>
      <c r="DQ47" s="63" cm="1">
        <f t="array" ref="DQ47">INDEX(Month_Ref,DQ$83,3)*DL47*(PI()/4*$F47^2)*$H47*DM47*DP47</f>
        <v>0</v>
      </c>
      <c r="DR47" s="63" cm="1">
        <f t="array" ref="DR47">INDEX(FX_Input,$KB47,DR$85)</f>
        <v>0</v>
      </c>
      <c r="DS47" s="63">
        <f t="shared" si="46"/>
        <v>0</v>
      </c>
      <c r="DT47" s="63">
        <f t="shared" si="47"/>
        <v>0</v>
      </c>
      <c r="DU47" s="63">
        <f t="shared" si="48"/>
        <v>1</v>
      </c>
      <c r="DV47" s="63" cm="1">
        <f t="array" ref="DV47">IF(OR(INDEX(FX_Vap,$KK47,DV$90)="Crude Oil",(INDEX(FX_Vap,$KL47,DV$90)="Crude Oil")),0.75,1)</f>
        <v>1</v>
      </c>
      <c r="DW47" s="63">
        <f t="shared" si="113"/>
        <v>1</v>
      </c>
      <c r="DX47" s="63">
        <f t="shared" si="49"/>
        <v>0</v>
      </c>
      <c r="DY47" s="64">
        <f t="shared" si="50"/>
        <v>0</v>
      </c>
      <c r="DZ47" s="80" t="str" cm="1">
        <f t="array" ref="DZ47">IF(ISBLANK(INDEX(FX_Input,$KB47+1,DZ$85)),INDEX(FX_Input,$KB47,DZ$85),INDEX(FX_Input,$KB47,DZ$85)&amp;" &amp; "&amp;INDEX(FX_Input,$KB47+1,DZ$85))</f>
        <v>Out of Service</v>
      </c>
      <c r="EA47" s="63" cm="1">
        <f t="array" ref="EA47">INDEX(FX_Temps,$KC47+7,EA$89)</f>
        <v>0</v>
      </c>
      <c r="EB47" s="63" cm="1">
        <f t="array" ref="EB47">INDEX(FX_Temps,$KC47+13,EB$89)+459.6</f>
        <v>520.04999999999995</v>
      </c>
      <c r="EC47" s="63" cm="1">
        <f t="array" ref="EC47">INDEX(FX_Vap,$KG47,EC$91)-INDEX(FX_Vap,$KH47,EC$91)</f>
        <v>0</v>
      </c>
      <c r="ED47" s="73" cm="1">
        <f t="array" ref="ED47">IF(DZ47="Out of Service",0,INDEX(FX_Vap,$KI47,ED$91))</f>
        <v>0</v>
      </c>
      <c r="EE47" s="63">
        <f t="shared" si="51"/>
        <v>0</v>
      </c>
      <c r="EF47" s="63">
        <f t="shared" si="52"/>
        <v>1</v>
      </c>
      <c r="EG47" s="63" cm="1">
        <f t="array" ref="EG47">INDEX(FX_Vap,$KJ47,EG$91)</f>
        <v>0</v>
      </c>
      <c r="EH47" s="63" cm="1">
        <f t="array" ref="EH47">INDEX(FX_Temps,$KD47,EH$89)+459.6</f>
        <v>520.04999999999995</v>
      </c>
      <c r="EI47" s="63">
        <f t="shared" si="53"/>
        <v>0</v>
      </c>
      <c r="EJ47" s="63" cm="1">
        <f t="array" ref="EJ47">INDEX(Month_Ref,EJ$83,3)*EE47*(PI()/4*$F47^2)*$H47*EF47*EI47</f>
        <v>0</v>
      </c>
      <c r="EK47" s="63" cm="1">
        <f t="array" ref="EK47">INDEX(FX_Input,$KB47,EK$85)</f>
        <v>0</v>
      </c>
      <c r="EL47" s="63">
        <f t="shared" si="54"/>
        <v>0</v>
      </c>
      <c r="EM47" s="63">
        <f t="shared" si="55"/>
        <v>0</v>
      </c>
      <c r="EN47" s="63">
        <f t="shared" si="56"/>
        <v>1</v>
      </c>
      <c r="EO47" s="63" cm="1">
        <f t="array" ref="EO47">IF(OR(INDEX(FX_Vap,$KK47,EO$90)="Crude Oil",(INDEX(FX_Vap,$KL47,EO$90)="Crude Oil")),0.75,1)</f>
        <v>1</v>
      </c>
      <c r="EP47" s="63">
        <f t="shared" si="114"/>
        <v>1</v>
      </c>
      <c r="EQ47" s="63">
        <f t="shared" si="57"/>
        <v>0</v>
      </c>
      <c r="ER47" s="64">
        <f t="shared" si="58"/>
        <v>0</v>
      </c>
      <c r="ES47" s="80" t="str" cm="1">
        <f t="array" ref="ES47">IF(ISBLANK(INDEX(FX_Input,$KB47+1,ES$85)),INDEX(FX_Input,$KB47,ES$85),INDEX(FX_Input,$KB47,ES$85)&amp;" &amp; "&amp;INDEX(FX_Input,$KB47+1,ES$85))</f>
        <v>Out of Service</v>
      </c>
      <c r="ET47" s="63" cm="1">
        <f t="array" ref="ET47">INDEX(FX_Temps,$KC47+7,ET$89)</f>
        <v>0</v>
      </c>
      <c r="EU47" s="63" cm="1">
        <f t="array" ref="EU47">INDEX(FX_Temps,$KC47+13,EU$89)+459.6</f>
        <v>520.5</v>
      </c>
      <c r="EV47" s="63" cm="1">
        <f t="array" ref="EV47">INDEX(FX_Vap,$KG47,EV$91)-INDEX(FX_Vap,$KH47,EV$91)</f>
        <v>0</v>
      </c>
      <c r="EW47" s="73" cm="1">
        <f t="array" ref="EW47">IF(ES47="Out of Service",0,INDEX(FX_Vap,$KI47,EW$91))</f>
        <v>0</v>
      </c>
      <c r="EX47" s="63">
        <f t="shared" si="59"/>
        <v>0</v>
      </c>
      <c r="EY47" s="63">
        <f t="shared" si="60"/>
        <v>1</v>
      </c>
      <c r="EZ47" s="63" cm="1">
        <f t="array" ref="EZ47">INDEX(FX_Vap,$KJ47,EZ$91)</f>
        <v>0</v>
      </c>
      <c r="FA47" s="63" cm="1">
        <f t="array" ref="FA47">INDEX(FX_Temps,$KD47,FA$89)+459.6</f>
        <v>520.5</v>
      </c>
      <c r="FB47" s="63">
        <f t="shared" si="61"/>
        <v>0</v>
      </c>
      <c r="FC47" s="63" cm="1">
        <f t="array" ref="FC47">INDEX(Month_Ref,FC$83,3)*EX47*(PI()/4*$F47^2)*$H47*EY47*FB47</f>
        <v>0</v>
      </c>
      <c r="FD47" s="63" cm="1">
        <f t="array" ref="FD47">INDEX(FX_Input,$KB47,FD$85)</f>
        <v>0</v>
      </c>
      <c r="FE47" s="63">
        <f t="shared" si="62"/>
        <v>0</v>
      </c>
      <c r="FF47" s="63">
        <f t="shared" si="63"/>
        <v>0</v>
      </c>
      <c r="FG47" s="63">
        <f t="shared" si="64"/>
        <v>1</v>
      </c>
      <c r="FH47" s="63" cm="1">
        <f t="array" ref="FH47">IF(OR(INDEX(FX_Vap,$KK47,FH$90)="Crude Oil",(INDEX(FX_Vap,$KL47,FH$90)="Crude Oil")),0.75,1)</f>
        <v>1</v>
      </c>
      <c r="FI47" s="63">
        <f t="shared" si="115"/>
        <v>1</v>
      </c>
      <c r="FJ47" s="63">
        <f t="shared" si="65"/>
        <v>0</v>
      </c>
      <c r="FK47" s="64">
        <f t="shared" si="66"/>
        <v>0</v>
      </c>
      <c r="FL47" s="80" t="str" cm="1">
        <f t="array" ref="FL47">IF(ISBLANK(INDEX(FX_Input,$KB47+1,FL$85)),INDEX(FX_Input,$KB47,FL$85),INDEX(FX_Input,$KB47,FL$85)&amp;" &amp; "&amp;INDEX(FX_Input,$KB47+1,FL$85))</f>
        <v>Out of Service</v>
      </c>
      <c r="FM47" s="63" cm="1">
        <f t="array" ref="FM47">INDEX(FX_Temps,$KC47+7,FM$89)</f>
        <v>0</v>
      </c>
      <c r="FN47" s="63" cm="1">
        <f t="array" ref="FN47">INDEX(FX_Temps,$KC47+13,FN$89)+459.6</f>
        <v>518.20000000000005</v>
      </c>
      <c r="FO47" s="63" cm="1">
        <f t="array" ref="FO47">INDEX(FX_Vap,$KG47,FO$91)-INDEX(FX_Vap,$KH47,FO$91)</f>
        <v>0</v>
      </c>
      <c r="FP47" s="73" cm="1">
        <f t="array" ref="FP47">IF(FL47="Out of Service",0,INDEX(FX_Vap,$KI47,FP$91))</f>
        <v>0</v>
      </c>
      <c r="FQ47" s="63">
        <f t="shared" si="67"/>
        <v>0</v>
      </c>
      <c r="FR47" s="63">
        <f t="shared" si="68"/>
        <v>1</v>
      </c>
      <c r="FS47" s="63" cm="1">
        <f t="array" ref="FS47">INDEX(FX_Vap,$KJ47,FS$91)</f>
        <v>0</v>
      </c>
      <c r="FT47" s="63" cm="1">
        <f t="array" ref="FT47">INDEX(FX_Temps,$KD47,FT$89)+459.6</f>
        <v>518.20000000000005</v>
      </c>
      <c r="FU47" s="63">
        <f t="shared" si="69"/>
        <v>0</v>
      </c>
      <c r="FV47" s="63" cm="1">
        <f t="array" ref="FV47">INDEX(Month_Ref,FV$83,3)*FQ47*(PI()/4*$F47^2)*$H47*FR47*FU47</f>
        <v>0</v>
      </c>
      <c r="FW47" s="63" cm="1">
        <f t="array" ref="FW47">INDEX(FX_Input,$KB47,FW$85)</f>
        <v>0</v>
      </c>
      <c r="FX47" s="63">
        <f t="shared" si="70"/>
        <v>0</v>
      </c>
      <c r="FY47" s="63">
        <f t="shared" si="71"/>
        <v>0</v>
      </c>
      <c r="FZ47" s="63">
        <f t="shared" si="72"/>
        <v>1</v>
      </c>
      <c r="GA47" s="63" cm="1">
        <f t="array" ref="GA47">IF(OR(INDEX(FX_Vap,$KK47,GA$90)="Crude Oil",(INDEX(FX_Vap,$KL47,GA$90)="Crude Oil")),0.75,1)</f>
        <v>1</v>
      </c>
      <c r="GB47" s="63">
        <f t="shared" si="116"/>
        <v>1</v>
      </c>
      <c r="GC47" s="63">
        <f t="shared" si="73"/>
        <v>0</v>
      </c>
      <c r="GD47" s="64">
        <f t="shared" si="74"/>
        <v>0</v>
      </c>
      <c r="GE47" s="80" t="str" cm="1">
        <f t="array" ref="GE47">IF(ISBLANK(INDEX(FX_Input,$KB47+1,GE$85)),INDEX(FX_Input,$KB47,GE$85),INDEX(FX_Input,$KB47,GE$85)&amp;" &amp; "&amp;INDEX(FX_Input,$KB47+1,GE$85))</f>
        <v>Out of Service</v>
      </c>
      <c r="GF47" s="63" cm="1">
        <f t="array" ref="GF47">INDEX(FX_Temps,$KC47+7,GF$89)</f>
        <v>0</v>
      </c>
      <c r="GG47" s="63" cm="1">
        <f t="array" ref="GG47">INDEX(FX_Temps,$KC47+13,GG$89)+459.6</f>
        <v>512.25</v>
      </c>
      <c r="GH47" s="63" cm="1">
        <f t="array" ref="GH47">INDEX(FX_Vap,$KG47,GH$91)-INDEX(FX_Vap,$KH47,GH$91)</f>
        <v>0</v>
      </c>
      <c r="GI47" s="73" cm="1">
        <f t="array" ref="GI47">IF(GE47="Out of Service",0,INDEX(FX_Vap,$KI47,GI$91))</f>
        <v>0</v>
      </c>
      <c r="GJ47" s="63">
        <f t="shared" si="75"/>
        <v>0</v>
      </c>
      <c r="GK47" s="63">
        <f t="shared" si="76"/>
        <v>1</v>
      </c>
      <c r="GL47" s="63" cm="1">
        <f t="array" ref="GL47">INDEX(FX_Vap,$KJ47,GL$91)</f>
        <v>0</v>
      </c>
      <c r="GM47" s="63" cm="1">
        <f t="array" ref="GM47">INDEX(FX_Temps,$KD47,GM$89)+459.6</f>
        <v>512.25</v>
      </c>
      <c r="GN47" s="63">
        <f t="shared" si="77"/>
        <v>0</v>
      </c>
      <c r="GO47" s="63" cm="1">
        <f t="array" ref="GO47">INDEX(Month_Ref,GO$83,3)*GJ47*(PI()/4*$F47^2)*$H47*GK47*GN47</f>
        <v>0</v>
      </c>
      <c r="GP47" s="63" cm="1">
        <f t="array" ref="GP47">INDEX(FX_Input,$KB47,GP$85)</f>
        <v>0</v>
      </c>
      <c r="GQ47" s="63">
        <f t="shared" si="78"/>
        <v>0</v>
      </c>
      <c r="GR47" s="63">
        <f t="shared" si="79"/>
        <v>0</v>
      </c>
      <c r="GS47" s="63">
        <f t="shared" si="80"/>
        <v>1</v>
      </c>
      <c r="GT47" s="63" cm="1">
        <f t="array" ref="GT47">IF(OR(INDEX(FX_Vap,$KK47,GT$90)="Crude Oil",(INDEX(FX_Vap,$KL47,GT$90)="Crude Oil")),0.75,1)</f>
        <v>1</v>
      </c>
      <c r="GU47" s="63">
        <f t="shared" si="117"/>
        <v>1</v>
      </c>
      <c r="GV47" s="63">
        <f t="shared" si="81"/>
        <v>0</v>
      </c>
      <c r="GW47" s="64">
        <f t="shared" si="82"/>
        <v>0</v>
      </c>
      <c r="GX47" s="80" t="str" cm="1">
        <f t="array" ref="GX47">IF(ISBLANK(INDEX(FX_Input,$KB47+1,GX$85)),INDEX(FX_Input,$KB47,GX$85),INDEX(FX_Input,$KB47,GX$85)&amp;" &amp; "&amp;INDEX(FX_Input,$KB47+1,GX$85))</f>
        <v>Out of Service</v>
      </c>
      <c r="GY47" s="63" cm="1">
        <f t="array" ref="GY47">INDEX(FX_Temps,$KC47+7,GY$89)</f>
        <v>0</v>
      </c>
      <c r="GZ47" s="63" cm="1">
        <f t="array" ref="GZ47">INDEX(FX_Temps,$KC47+13,GZ$89)+459.6</f>
        <v>506.70000000000005</v>
      </c>
      <c r="HA47" s="63" cm="1">
        <f t="array" ref="HA47">INDEX(FX_Vap,$KG47,HA$91)-INDEX(FX_Vap,$KH47,HA$91)</f>
        <v>0</v>
      </c>
      <c r="HB47" s="73" cm="1">
        <f t="array" ref="HB47">IF(GX47="Out of Service",0,INDEX(FX_Vap,$KI47,HB$91))</f>
        <v>0</v>
      </c>
      <c r="HC47" s="63">
        <f t="shared" si="83"/>
        <v>0</v>
      </c>
      <c r="HD47" s="63">
        <f t="shared" si="84"/>
        <v>1</v>
      </c>
      <c r="HE47" s="63" cm="1">
        <f t="array" ref="HE47">INDEX(FX_Vap,$KJ47,HE$91)</f>
        <v>0</v>
      </c>
      <c r="HF47" s="63" cm="1">
        <f t="array" ref="HF47">INDEX(FX_Temps,$KD47,HF$89)+459.6</f>
        <v>506.70000000000005</v>
      </c>
      <c r="HG47" s="63">
        <f t="shared" si="85"/>
        <v>0</v>
      </c>
      <c r="HH47" s="63" cm="1">
        <f t="array" ref="HH47">INDEX(Month_Ref,HH$83,3)*HC47*(PI()/4*$F47^2)*$H47*HD47*HG47</f>
        <v>0</v>
      </c>
      <c r="HI47" s="63" cm="1">
        <f t="array" ref="HI47">INDEX(FX_Input,$KB47,HI$85)</f>
        <v>0</v>
      </c>
      <c r="HJ47" s="63">
        <f t="shared" si="86"/>
        <v>0</v>
      </c>
      <c r="HK47" s="63">
        <f t="shared" si="87"/>
        <v>0</v>
      </c>
      <c r="HL47" s="63">
        <f t="shared" si="88"/>
        <v>1</v>
      </c>
      <c r="HM47" s="63" cm="1">
        <f t="array" ref="HM47">IF(OR(INDEX(FX_Vap,$KK47,HM$90)="Crude Oil",(INDEX(FX_Vap,$KL47,HM$90)="Crude Oil")),0.75,1)</f>
        <v>1</v>
      </c>
      <c r="HN47" s="63">
        <f t="shared" si="118"/>
        <v>1</v>
      </c>
      <c r="HO47" s="63">
        <f t="shared" si="89"/>
        <v>0</v>
      </c>
      <c r="HP47" s="64">
        <f t="shared" si="90"/>
        <v>0</v>
      </c>
      <c r="HQ47" s="80" t="str" cm="1">
        <f t="array" ref="HQ47">IF(ISBLANK(INDEX(FX_Input,$KB47+1,HQ$85)),INDEX(FX_Input,$KB47,HQ$85),INDEX(FX_Input,$KB47,HQ$85)&amp;" &amp; "&amp;INDEX(FX_Input,$KB47+1,HQ$85))</f>
        <v>Out of Service</v>
      </c>
      <c r="HR47" s="63" cm="1">
        <f t="array" ref="HR47">INDEX(FX_Temps,$KC47+7,HR$89)</f>
        <v>0</v>
      </c>
      <c r="HS47" s="63" cm="1">
        <f t="array" ref="HS47">INDEX(FX_Temps,$KC47+13,HS$89)+459.6</f>
        <v>503.20000000000005</v>
      </c>
      <c r="HT47" s="63" cm="1">
        <f t="array" ref="HT47">INDEX(FX_Vap,$KG47,HT$91)-INDEX(FX_Vap,$KH47,HT$91)</f>
        <v>0</v>
      </c>
      <c r="HU47" s="73" cm="1">
        <f t="array" ref="HU47">IF(HQ47="Out of Service",0,INDEX(FX_Vap,$KI47,HU$91))</f>
        <v>0</v>
      </c>
      <c r="HV47" s="63">
        <f t="shared" si="91"/>
        <v>0</v>
      </c>
      <c r="HW47" s="63">
        <f t="shared" si="92"/>
        <v>1</v>
      </c>
      <c r="HX47" s="63" cm="1">
        <f t="array" ref="HX47">INDEX(FX_Vap,$KJ47,HX$91)</f>
        <v>0</v>
      </c>
      <c r="HY47" s="63" cm="1">
        <f t="array" ref="HY47">INDEX(FX_Temps,$KD47,HY$89)+459.6</f>
        <v>503.20000000000005</v>
      </c>
      <c r="HZ47" s="63">
        <f t="shared" si="93"/>
        <v>0</v>
      </c>
      <c r="IA47" s="63" cm="1">
        <f t="array" ref="IA47">INDEX(Month_Ref,IA$83,3)*HV47*(PI()/4*$F47^2)*$H47*HW47*HZ47</f>
        <v>0</v>
      </c>
      <c r="IB47" s="63" cm="1">
        <f t="array" ref="IB47">INDEX(FX_Input,$KB47,IB$85)</f>
        <v>0</v>
      </c>
      <c r="IC47" s="63">
        <f t="shared" si="94"/>
        <v>0</v>
      </c>
      <c r="ID47" s="63">
        <f t="shared" si="95"/>
        <v>0</v>
      </c>
      <c r="IE47" s="63">
        <f t="shared" si="96"/>
        <v>1</v>
      </c>
      <c r="IF47" s="63" cm="1">
        <f t="array" ref="IF47">IF(OR(INDEX(FX_Vap,$KK47,IF$90)="Crude Oil",(INDEX(FX_Vap,$KL47,IF$90)="Crude Oil")),0.75,1)</f>
        <v>1</v>
      </c>
      <c r="IG47" s="63">
        <f t="shared" si="119"/>
        <v>1</v>
      </c>
      <c r="IH47" s="63">
        <f t="shared" si="97"/>
        <v>0</v>
      </c>
      <c r="II47" s="64">
        <f t="shared" si="98"/>
        <v>0</v>
      </c>
      <c r="IJ47" s="80">
        <f t="shared" si="99"/>
        <v>0</v>
      </c>
      <c r="IK47" s="63">
        <f t="shared" si="100"/>
        <v>0</v>
      </c>
      <c r="IL47" s="63">
        <f t="shared" si="101"/>
        <v>0</v>
      </c>
      <c r="IM47" s="63">
        <f t="shared" si="102"/>
        <v>0</v>
      </c>
      <c r="IN47" s="63">
        <f t="shared" si="103"/>
        <v>0</v>
      </c>
      <c r="IO47" s="64">
        <f t="shared" si="104"/>
        <v>0</v>
      </c>
      <c r="KB47" s="43">
        <f t="shared" si="120"/>
        <v>73</v>
      </c>
      <c r="KC47" s="43">
        <f t="shared" si="121"/>
        <v>505</v>
      </c>
      <c r="KD47" s="43">
        <f t="shared" si="122"/>
        <v>518</v>
      </c>
      <c r="KE47" s="43">
        <f t="shared" si="123"/>
        <v>505</v>
      </c>
      <c r="KF47" s="43">
        <f t="shared" si="124"/>
        <v>1225</v>
      </c>
      <c r="KG47" s="43">
        <f t="shared" si="125"/>
        <v>1248</v>
      </c>
      <c r="KH47" s="43">
        <f t="shared" si="126"/>
        <v>1243</v>
      </c>
      <c r="KI47" s="43">
        <f t="shared" si="126"/>
        <v>1253</v>
      </c>
      <c r="KJ47" s="43">
        <f t="shared" si="126"/>
        <v>1258</v>
      </c>
      <c r="KK47" s="43">
        <f t="shared" si="127"/>
        <v>1229</v>
      </c>
      <c r="KL47" s="43">
        <f t="shared" si="128"/>
        <v>1231</v>
      </c>
    </row>
    <row r="48" spans="2:298" x14ac:dyDescent="0.4">
      <c r="B48" s="43" t="str" cm="1">
        <f t="array" ref="B48">INDEX(FX_Input,$KB48,B$85)</f>
        <v>FX - 38</v>
      </c>
      <c r="C48" s="93" t="str" cm="1">
        <f t="array" ref="C48">INDEX(FX_Input,$KB48,C$85)</f>
        <v>FIXTANK 166</v>
      </c>
      <c r="D48" s="80">
        <f t="shared" si="129"/>
        <v>2678.3304556483295</v>
      </c>
      <c r="E48" s="63" cm="1">
        <f t="array" ref="E48">IF(ISBLANK(INDEX(FX_Input,$KB48,$E$85)),0.03,INDEX(FX_Input,$KB48,$E$85))-IF(ISBLANK(INDEX(FX_Input,$KB48,$E$86)),-0.03,INDEX(FX_Input,$KB48,$E$86))</f>
        <v>0.06</v>
      </c>
      <c r="F48" s="63" cm="1">
        <f t="array" ref="F48">IF(INDEX(FX_Input,$KB48,F$85)="Vertical",INDEX(FX_Input,$KB48,F$86),SQRT((INDEX(FX_Input,$KB48,F$86)*INDEX(FX_Input,$KB48,F$87))/(PI()/4)))</f>
        <v>15</v>
      </c>
      <c r="G48" s="63" cm="1">
        <f t="array" ref="G48">IF(INDEX(FX_Input,$KB48,G$85)="Vertical",INDEX(FX_Input,$KB48,G$86),INDEX(FX_Input,$KB48,G$87)*PI()/4)</f>
        <v>30</v>
      </c>
      <c r="H48" s="63" cm="1">
        <f t="array" ref="H48">IF(INDEX(FX_Input,$KB48,H$85)="Vertical",G48-G48/2+J48,G48/2)</f>
        <v>15.15625</v>
      </c>
      <c r="I48" s="63" cm="1">
        <f t="array" ref="I48">IF(INDEX(FX_Input,$KB48,F$85)="Horizontal","N/A",IF(INDEX(FX_Input,$KB48,I$86)="Cone",IF(ISBLANK(INDEX(FX_Input,$KB48,I$87)),0.0625,INDEX(FX_Input,$KB48,I$87))*F48/2,F48/2-SQRT((F48/2)^2-(INDEX(FX_Input,$KB48,I$88)^2))))</f>
        <v>0.46875</v>
      </c>
      <c r="J48" s="63" cm="1">
        <f t="array" ref="J48">IF(INDEX(FX_Input,$KB48,J$85)="Horizontal","N/A",IF(INDEX(FX_Input,$KB48,J$86)="Cone",I48/3,I48*(1/2+(1/6)*(I48/(F48/2))^2)))</f>
        <v>0.15625</v>
      </c>
      <c r="K48" s="63">
        <f t="shared" si="130"/>
        <v>29</v>
      </c>
      <c r="L48" s="63">
        <v>1</v>
      </c>
      <c r="M48" s="63" t="str" cm="1">
        <f t="array" ref="M48">INDEX(Tbl_71_6,MATCH(INDEX(FX_Input,$KB48,M$85),Paint_Color,0),VLOOKUP(INDEX(FX_Input,$KB48,M$86),Paint_Cond_Column,2,FALSE))</f>
        <v>N/A</v>
      </c>
      <c r="N48" s="63" t="str" cm="1">
        <f t="array" ref="N48">INDEX(Tbl_71_6,MATCH(INDEX(FX_Input,$KB48,N$85),Paint_Color,0),VLOOKUP(INDEX(FX_Input,$KB48,N$86),Paint_Cond_Column,2,FALSE))</f>
        <v>N/A</v>
      </c>
      <c r="O48" s="64" t="str">
        <f t="shared" si="2"/>
        <v>Insulated</v>
      </c>
      <c r="P48" s="80" t="str" cm="1">
        <f t="array" ref="P48">IF(ISBLANK(INDEX(FX_Input,$KB48+1,P$85)),INDEX(FX_Input,$KB48,P$85),INDEX(FX_Input,$KB48,P$85)&amp;" &amp; "&amp;INDEX(FX_Input,$KB48+1,P$85))</f>
        <v>Jet kerosene</v>
      </c>
      <c r="Q48" s="63" cm="1">
        <f t="array" ref="Q48">INDEX(FX_Temps,$KC48+7,Q$89)</f>
        <v>0</v>
      </c>
      <c r="R48" s="63" cm="1">
        <f t="array" ref="R48">INDEX(FX_Temps,$KC48+13,R$89)+459.6</f>
        <v>503.5</v>
      </c>
      <c r="S48" s="63" cm="1">
        <f t="array" ref="S48">INDEX(FX_Vap,$KG48,S$91)-INDEX(FX_Vap,$KH48,S$91)</f>
        <v>0</v>
      </c>
      <c r="T48" s="73" cm="1">
        <f t="array" ref="T48">IF(P48="Out of Service",0,INDEX(FX_Vap,$KI48,T$91))</f>
        <v>4.739577185808354E-3</v>
      </c>
      <c r="U48" s="63">
        <f t="shared" si="3"/>
        <v>0</v>
      </c>
      <c r="V48" s="63">
        <f t="shared" si="4"/>
        <v>0.99620722641246529</v>
      </c>
      <c r="W48" s="63" cm="1">
        <f t="array" ref="W48">INDEX(FX_Vap,$KJ48,W$91)</f>
        <v>130</v>
      </c>
      <c r="X48" s="63" cm="1">
        <f t="array" ref="X48">INDEX(FX_Temps,$KD48,X$89)+459.6</f>
        <v>503.5</v>
      </c>
      <c r="Y48" s="63">
        <f t="shared" si="5"/>
        <v>1.1403634333314844E-4</v>
      </c>
      <c r="Z48" s="63" cm="1">
        <f t="array" ref="Z48">INDEX(Month_Ref,Z$83,3)*U48*(PI()/4*$F48^2)*$H48*V48*Y48</f>
        <v>0</v>
      </c>
      <c r="AA48" s="63" cm="1">
        <f t="array" ref="AA48">INDEX(FX_Input,$KB48,AA$85)</f>
        <v>944</v>
      </c>
      <c r="AB48" s="63">
        <f t="shared" si="6"/>
        <v>5299.616</v>
      </c>
      <c r="AC48" s="63">
        <f t="shared" si="7"/>
        <v>1.0710604227160609</v>
      </c>
      <c r="AD48" s="63">
        <f t="shared" si="8"/>
        <v>1</v>
      </c>
      <c r="AE48" s="63" cm="1">
        <f t="array" ref="AE48">IF(OR(INDEX(FX_Vap,$KK48,AE$90)="Crude Oil",(INDEX(FX_Vap,$KL48,AE$90)="Crude Oil")),0.75,1)</f>
        <v>1</v>
      </c>
      <c r="AF48" s="63">
        <f t="shared" si="108"/>
        <v>1</v>
      </c>
      <c r="AG48" s="63">
        <f t="shared" si="9"/>
        <v>0.60434882970984682</v>
      </c>
      <c r="AH48" s="64">
        <f t="shared" si="10"/>
        <v>0.60434882970984682</v>
      </c>
      <c r="AI48" s="80" t="str" cm="1">
        <f t="array" ref="AI48">IF(ISBLANK(INDEX(FX_Input,$KB48+1,AI$85)),INDEX(FX_Input,$KB48,AI$85),INDEX(FX_Input,$KB48,AI$85)&amp;" &amp; "&amp;INDEX(FX_Input,$KB48+1,AI$85))</f>
        <v>Jet kerosene</v>
      </c>
      <c r="AJ48" s="63" cm="1">
        <f t="array" ref="AJ48">INDEX(FX_Temps,$KC48+7,AJ$89)</f>
        <v>0</v>
      </c>
      <c r="AK48" s="63" cm="1">
        <f t="array" ref="AK48">INDEX(FX_Temps,$KC48+13,AK$89)+459.6</f>
        <v>504.30000000000007</v>
      </c>
      <c r="AL48" s="63" cm="1">
        <f t="array" ref="AL48">INDEX(FX_Vap,$KG48,AL$91)-INDEX(FX_Vap,$KH48,AL$91)</f>
        <v>0</v>
      </c>
      <c r="AM48" s="73" cm="1">
        <f t="array" ref="AM48">IF(AI48="Out of Service",0,INDEX(FX_Vap,$KI48,AM$91))</f>
        <v>4.8748667780818778E-3</v>
      </c>
      <c r="AN48" s="63">
        <f t="shared" si="11"/>
        <v>0</v>
      </c>
      <c r="AO48" s="63">
        <f t="shared" si="12"/>
        <v>0.99609938529544217</v>
      </c>
      <c r="AP48" s="63" cm="1">
        <f t="array" ref="AP48">INDEX(FX_Vap,$KJ48,AP$91)</f>
        <v>130</v>
      </c>
      <c r="AQ48" s="63" cm="1">
        <f t="array" ref="AQ48">INDEX(FX_Temps,$KD48,AQ$89)+459.6</f>
        <v>504.30000000000007</v>
      </c>
      <c r="AR48" s="63">
        <f t="shared" si="13"/>
        <v>1.1710540514572422E-4</v>
      </c>
      <c r="AS48" s="63" cm="1">
        <f t="array" ref="AS48">INDEX(Month_Ref,AS$83,3)*AN48*(PI()/4*$F48^2)*$H48*AO48*AR48</f>
        <v>0</v>
      </c>
      <c r="AT48" s="63" cm="1">
        <f t="array" ref="AT48">INDEX(FX_Input,$KB48,AT$85)</f>
        <v>944</v>
      </c>
      <c r="AU48" s="63">
        <f t="shared" si="14"/>
        <v>5299.616</v>
      </c>
      <c r="AV48" s="63">
        <f t="shared" si="15"/>
        <v>1.0710604227160609</v>
      </c>
      <c r="AW48" s="63">
        <f t="shared" si="16"/>
        <v>1</v>
      </c>
      <c r="AX48" s="63" cm="1">
        <f t="array" ref="AX48">IF(OR(INDEX(FX_Vap,$KK48,AX$90)="Crude Oil",(INDEX(FX_Vap,$KL48,AX$90)="Crude Oil")),0.75,1)</f>
        <v>1</v>
      </c>
      <c r="AY48" s="63">
        <f t="shared" si="109"/>
        <v>1</v>
      </c>
      <c r="AZ48" s="63">
        <f t="shared" si="17"/>
        <v>0.62061367879676244</v>
      </c>
      <c r="BA48" s="64">
        <f t="shared" si="18"/>
        <v>0.62061367879676244</v>
      </c>
      <c r="BB48" s="80" t="str" cm="1">
        <f t="array" ref="BB48">IF(ISBLANK(INDEX(FX_Input,$KB48+1,BB$85)),INDEX(FX_Input,$KB48,BB$85),INDEX(FX_Input,$KB48,BB$85)&amp;" &amp; "&amp;INDEX(FX_Input,$KB48+1,BB$85))</f>
        <v>Jet kerosene</v>
      </c>
      <c r="BC48" s="63" cm="1">
        <f t="array" ref="BC48">INDEX(FX_Temps,$KC48+7,BC$89)</f>
        <v>0</v>
      </c>
      <c r="BD48" s="63" cm="1">
        <f t="array" ref="BD48">INDEX(FX_Temps,$KC48+13,BD$89)+459.6</f>
        <v>505.70000000000005</v>
      </c>
      <c r="BE48" s="63" cm="1">
        <f t="array" ref="BE48">INDEX(FX_Vap,$KG48,BE$91)-INDEX(FX_Vap,$KH48,BE$91)</f>
        <v>0</v>
      </c>
      <c r="BF48" s="73" cm="1">
        <f t="array" ref="BF48">IF(BB48="Out of Service",0,INDEX(FX_Vap,$KI48,BF$91))</f>
        <v>5.119885034186122E-3</v>
      </c>
      <c r="BG48" s="63">
        <f t="shared" si="19"/>
        <v>0</v>
      </c>
      <c r="BH48" s="63">
        <f t="shared" si="20"/>
        <v>0.9959041374351868</v>
      </c>
      <c r="BI48" s="63" cm="1">
        <f t="array" ref="BI48">INDEX(FX_Vap,$KJ48,BI$91)</f>
        <v>130</v>
      </c>
      <c r="BJ48" s="63" cm="1">
        <f t="array" ref="BJ48">INDEX(FX_Temps,$KD48,BJ$89)+459.6</f>
        <v>505.70000000000005</v>
      </c>
      <c r="BK48" s="63">
        <f t="shared" si="21"/>
        <v>1.226508078051294E-4</v>
      </c>
      <c r="BL48" s="63" cm="1">
        <f t="array" ref="BL48">INDEX(Month_Ref,BL$83,3)*BG48*(PI()/4*$F48^2)*$H48*BH48*BK48</f>
        <v>0</v>
      </c>
      <c r="BM48" s="63" cm="1">
        <f t="array" ref="BM48">INDEX(FX_Input,$KB48,BM$85)</f>
        <v>944</v>
      </c>
      <c r="BN48" s="63">
        <f t="shared" si="22"/>
        <v>5299.616</v>
      </c>
      <c r="BO48" s="63">
        <f t="shared" si="23"/>
        <v>1.0710604227160609</v>
      </c>
      <c r="BP48" s="63">
        <f t="shared" si="24"/>
        <v>1</v>
      </c>
      <c r="BQ48" s="63" cm="1">
        <f t="array" ref="BQ48">IF(OR(INDEX(FX_Vap,$KK48,BQ$90)="Crude Oil",(INDEX(FX_Vap,$KL48,BQ$90)="Crude Oil")),0.75,1)</f>
        <v>1</v>
      </c>
      <c r="BR48" s="63">
        <f t="shared" si="110"/>
        <v>1</v>
      </c>
      <c r="BS48" s="63">
        <f t="shared" si="25"/>
        <v>0.65000218345698868</v>
      </c>
      <c r="BT48" s="64">
        <f t="shared" si="26"/>
        <v>0.65000218345698868</v>
      </c>
      <c r="BU48" s="80" t="str" cm="1">
        <f t="array" ref="BU48">IF(ISBLANK(INDEX(FX_Input,$KB48+1,BU$85)),INDEX(FX_Input,$KB48,BU$85),INDEX(FX_Input,$KB48,BU$85)&amp;" &amp; "&amp;INDEX(FX_Input,$KB48+1,BU$85))</f>
        <v>Jet kerosene</v>
      </c>
      <c r="BV48" s="63" cm="1">
        <f t="array" ref="BV48">INDEX(FX_Temps,$KC48+7,BV$89)</f>
        <v>0</v>
      </c>
      <c r="BW48" s="63" cm="1">
        <f t="array" ref="BW48">INDEX(FX_Temps,$KC48+13,BW$89)+459.6</f>
        <v>508.2</v>
      </c>
      <c r="BX48" s="63" cm="1">
        <f t="array" ref="BX48">INDEX(FX_Vap,$KG48,BX$91)-INDEX(FX_Vap,$KH48,BX$91)</f>
        <v>0</v>
      </c>
      <c r="BY48" s="73" cm="1">
        <f t="array" ref="BY48">IF(BU48="Out of Service",0,INDEX(FX_Vap,$KI48,BY$91))</f>
        <v>5.5846958573521795E-3</v>
      </c>
      <c r="BZ48" s="63">
        <f t="shared" si="27"/>
        <v>0</v>
      </c>
      <c r="CA48" s="63">
        <f t="shared" si="28"/>
        <v>0.99553395357892638</v>
      </c>
      <c r="CB48" s="63" cm="1">
        <f t="array" ref="CB48">INDEX(FX_Vap,$KJ48,CB$91)</f>
        <v>130</v>
      </c>
      <c r="CC48" s="63" cm="1">
        <f t="array" ref="CC48">INDEX(FX_Temps,$KD48,CC$89)+459.6</f>
        <v>508.2</v>
      </c>
      <c r="CD48" s="63">
        <f t="shared" si="29"/>
        <v>1.3312757561120781E-4</v>
      </c>
      <c r="CE48" s="63" cm="1">
        <f t="array" ref="CE48">INDEX(Month_Ref,CE$83,3)*BZ48*(PI()/4*$F48^2)*$H48*CA48*CD48</f>
        <v>0</v>
      </c>
      <c r="CF48" s="63" cm="1">
        <f t="array" ref="CF48">INDEX(FX_Input,$KB48,CF$85)</f>
        <v>944</v>
      </c>
      <c r="CG48" s="63">
        <f t="shared" si="30"/>
        <v>5299.616</v>
      </c>
      <c r="CH48" s="63">
        <f t="shared" si="31"/>
        <v>1.0710604227160609</v>
      </c>
      <c r="CI48" s="63">
        <f t="shared" si="32"/>
        <v>1</v>
      </c>
      <c r="CJ48" s="63" cm="1">
        <f t="array" ref="CJ48">IF(OR(INDEX(FX_Vap,$KK48,CJ$90)="Crude Oil",(INDEX(FX_Vap,$KL48,CJ$90)="Crude Oil")),0.75,1)</f>
        <v>1</v>
      </c>
      <c r="CK48" s="63">
        <f t="shared" si="111"/>
        <v>1</v>
      </c>
      <c r="CL48" s="63">
        <f t="shared" si="33"/>
        <v>0.70552502975036668</v>
      </c>
      <c r="CM48" s="64">
        <f t="shared" si="34"/>
        <v>0.70552502975036668</v>
      </c>
      <c r="CN48" s="80" t="str" cm="1">
        <f t="array" ref="CN48">IF(ISBLANK(INDEX(FX_Input,$KB48+1,CN$85)),INDEX(FX_Input,$KB48,CN$85),INDEX(FX_Input,$KB48,CN$85)&amp;" &amp; "&amp;INDEX(FX_Input,$KB48+1,CN$85))</f>
        <v>Jet kerosene</v>
      </c>
      <c r="CO48" s="63" cm="1">
        <f t="array" ref="CO48">INDEX(FX_Temps,$KC48+7,CO$89)</f>
        <v>0</v>
      </c>
      <c r="CP48" s="63" cm="1">
        <f t="array" ref="CP48">INDEX(FX_Temps,$KC48+13,CP$89)+459.6</f>
        <v>512.75</v>
      </c>
      <c r="CQ48" s="63" cm="1">
        <f t="array" ref="CQ48">INDEX(FX_Vap,$KG48,CQ$91)-INDEX(FX_Vap,$KH48,CQ$91)</f>
        <v>0</v>
      </c>
      <c r="CR48" s="73" cm="1">
        <f t="array" ref="CR48">IF(CN48="Out of Service",0,INDEX(FX_Vap,$KI48,CR$91))</f>
        <v>6.5274070972739821E-3</v>
      </c>
      <c r="CS48" s="63">
        <f t="shared" si="35"/>
        <v>0</v>
      </c>
      <c r="CT48" s="63">
        <f t="shared" si="36"/>
        <v>0.99478400551960966</v>
      </c>
      <c r="CU48" s="63" cm="1">
        <f t="array" ref="CU48">INDEX(FX_Vap,$KJ48,CU$91)</f>
        <v>130</v>
      </c>
      <c r="CV48" s="63" cm="1">
        <f t="array" ref="CV48">INDEX(FX_Temps,$KD48,CV$89)+459.6</f>
        <v>512.75</v>
      </c>
      <c r="CW48" s="63">
        <f t="shared" si="37"/>
        <v>1.5421910831991609E-4</v>
      </c>
      <c r="CX48" s="63" cm="1">
        <f t="array" ref="CX48">INDEX(Month_Ref,CX$83,3)*CS48*(PI()/4*$F48^2)*$H48*CT48*CW48</f>
        <v>0</v>
      </c>
      <c r="CY48" s="63" cm="1">
        <f t="array" ref="CY48">INDEX(FX_Input,$KB48,CY$85)</f>
        <v>944</v>
      </c>
      <c r="CZ48" s="63">
        <f t="shared" si="38"/>
        <v>5299.616</v>
      </c>
      <c r="DA48" s="63">
        <f t="shared" si="39"/>
        <v>1.0710604227160609</v>
      </c>
      <c r="DB48" s="63">
        <f t="shared" si="40"/>
        <v>1</v>
      </c>
      <c r="DC48" s="63" cm="1">
        <f t="array" ref="DC48">IF(OR(INDEX(FX_Vap,$KK48,DC$90)="Crude Oil",(INDEX(FX_Vap,$KL48,DC$90)="Crude Oil")),0.75,1)</f>
        <v>1</v>
      </c>
      <c r="DD48" s="63">
        <f t="shared" si="112"/>
        <v>1</v>
      </c>
      <c r="DE48" s="63">
        <f t="shared" si="41"/>
        <v>0.81730205395796041</v>
      </c>
      <c r="DF48" s="64">
        <f t="shared" si="42"/>
        <v>0.81730205395796041</v>
      </c>
      <c r="DG48" s="80" t="str" cm="1">
        <f t="array" ref="DG48">IF(ISBLANK(INDEX(FX_Input,$KB48+1,DG$85)),INDEX(FX_Input,$KB48,DG$85),INDEX(FX_Input,$KB48,DG$85)&amp;" &amp; "&amp;INDEX(FX_Input,$KB48+1,DG$85))</f>
        <v>Jet kerosene</v>
      </c>
      <c r="DH48" s="63" cm="1">
        <f t="array" ref="DH48">INDEX(FX_Temps,$KC48+7,DH$89)</f>
        <v>0</v>
      </c>
      <c r="DI48" s="63" cm="1">
        <f t="array" ref="DI48">INDEX(FX_Temps,$KC48+13,DI$89)+459.6</f>
        <v>516.55000000000007</v>
      </c>
      <c r="DJ48" s="63" cm="1">
        <f t="array" ref="DJ48">INDEX(FX_Vap,$KG48,DJ$91)-INDEX(FX_Vap,$KH48,DJ$91)</f>
        <v>0</v>
      </c>
      <c r="DK48" s="73" cm="1">
        <f t="array" ref="DK48">IF(DG48="Out of Service",0,INDEX(FX_Vap,$KI48,DK$91))</f>
        <v>7.4199539958878279E-3</v>
      </c>
      <c r="DL48" s="63">
        <f t="shared" si="43"/>
        <v>0</v>
      </c>
      <c r="DM48" s="63">
        <f t="shared" si="44"/>
        <v>0.99407500488639677</v>
      </c>
      <c r="DN48" s="63" cm="1">
        <f t="array" ref="DN48">INDEX(FX_Vap,$KJ48,DN$91)</f>
        <v>130</v>
      </c>
      <c r="DO48" s="63" cm="1">
        <f t="array" ref="DO48">INDEX(FX_Temps,$KD48,DO$89)+459.6</f>
        <v>516.55000000000007</v>
      </c>
      <c r="DP48" s="63">
        <f t="shared" si="45"/>
        <v>1.7401713099147103E-4</v>
      </c>
      <c r="DQ48" s="63" cm="1">
        <f t="array" ref="DQ48">INDEX(Month_Ref,DQ$83,3)*DL48*(PI()/4*$F48^2)*$H48*DM48*DP48</f>
        <v>0</v>
      </c>
      <c r="DR48" s="63" cm="1">
        <f t="array" ref="DR48">INDEX(FX_Input,$KB48,DR$85)</f>
        <v>944</v>
      </c>
      <c r="DS48" s="63">
        <f t="shared" si="46"/>
        <v>5299.616</v>
      </c>
      <c r="DT48" s="63">
        <f t="shared" si="47"/>
        <v>1.0710604227160609</v>
      </c>
      <c r="DU48" s="63">
        <f t="shared" si="48"/>
        <v>1</v>
      </c>
      <c r="DV48" s="63" cm="1">
        <f t="array" ref="DV48">IF(OR(INDEX(FX_Vap,$KK48,DV$90)="Crude Oil",(INDEX(FX_Vap,$KL48,DV$90)="Crude Oil")),0.75,1)</f>
        <v>1</v>
      </c>
      <c r="DW48" s="63">
        <f t="shared" si="113"/>
        <v>1</v>
      </c>
      <c r="DX48" s="63">
        <f t="shared" si="49"/>
        <v>0.92222397167649572</v>
      </c>
      <c r="DY48" s="64">
        <f t="shared" si="50"/>
        <v>0.92222397167649572</v>
      </c>
      <c r="DZ48" s="80" t="str" cm="1">
        <f t="array" ref="DZ48">IF(ISBLANK(INDEX(FX_Input,$KB48+1,DZ$85)),INDEX(FX_Input,$KB48,DZ$85),INDEX(FX_Input,$KB48,DZ$85)&amp;" &amp; "&amp;INDEX(FX_Input,$KB48+1,DZ$85))</f>
        <v>Jet kerosene</v>
      </c>
      <c r="EA48" s="63" cm="1">
        <f t="array" ref="EA48">INDEX(FX_Temps,$KC48+7,EA$89)</f>
        <v>0</v>
      </c>
      <c r="EB48" s="63" cm="1">
        <f t="array" ref="EB48">INDEX(FX_Temps,$KC48+13,EB$89)+459.6</f>
        <v>520.04999999999995</v>
      </c>
      <c r="EC48" s="63" cm="1">
        <f t="array" ref="EC48">INDEX(FX_Vap,$KG48,EC$91)-INDEX(FX_Vap,$KH48,EC$91)</f>
        <v>0</v>
      </c>
      <c r="ED48" s="73" cm="1">
        <f t="array" ref="ED48">IF(DZ48="Out of Service",0,INDEX(FX_Vap,$KI48,ED$91))</f>
        <v>8.3358107202842254E-3</v>
      </c>
      <c r="EE48" s="63">
        <f t="shared" si="51"/>
        <v>0</v>
      </c>
      <c r="EF48" s="63">
        <f t="shared" si="52"/>
        <v>0.99334853773917264</v>
      </c>
      <c r="EG48" s="63" cm="1">
        <f t="array" ref="EG48">INDEX(FX_Vap,$KJ48,EG$91)</f>
        <v>130</v>
      </c>
      <c r="EH48" s="63" cm="1">
        <f t="array" ref="EH48">INDEX(FX_Temps,$KD48,EH$89)+459.6</f>
        <v>520.04999999999995</v>
      </c>
      <c r="EI48" s="63">
        <f t="shared" si="53"/>
        <v>1.9418062801892895E-4</v>
      </c>
      <c r="EJ48" s="63" cm="1">
        <f t="array" ref="EJ48">INDEX(Month_Ref,EJ$83,3)*EE48*(PI()/4*$F48^2)*$H48*EF48*EI48</f>
        <v>0</v>
      </c>
      <c r="EK48" s="63" cm="1">
        <f t="array" ref="EK48">INDEX(FX_Input,$KB48,EK$85)</f>
        <v>944</v>
      </c>
      <c r="EL48" s="63">
        <f t="shared" si="54"/>
        <v>5299.616</v>
      </c>
      <c r="EM48" s="63">
        <f t="shared" si="55"/>
        <v>1.0710604227160609</v>
      </c>
      <c r="EN48" s="63">
        <f t="shared" si="56"/>
        <v>1</v>
      </c>
      <c r="EO48" s="63" cm="1">
        <f t="array" ref="EO48">IF(OR(INDEX(FX_Vap,$KK48,EO$90)="Crude Oil",(INDEX(FX_Vap,$KL48,EO$90)="Crude Oil")),0.75,1)</f>
        <v>1</v>
      </c>
      <c r="EP48" s="63">
        <f t="shared" si="114"/>
        <v>1</v>
      </c>
      <c r="EQ48" s="63">
        <f t="shared" si="57"/>
        <v>1.0290827631391641</v>
      </c>
      <c r="ER48" s="64">
        <f t="shared" si="58"/>
        <v>1.0290827631391641</v>
      </c>
      <c r="ES48" s="80" t="str" cm="1">
        <f t="array" ref="ES48">IF(ISBLANK(INDEX(FX_Input,$KB48+1,ES$85)),INDEX(FX_Input,$KB48,ES$85),INDEX(FX_Input,$KB48,ES$85)&amp;" &amp; "&amp;INDEX(FX_Input,$KB48+1,ES$85))</f>
        <v>Jet kerosene</v>
      </c>
      <c r="ET48" s="63" cm="1">
        <f t="array" ref="ET48">INDEX(FX_Temps,$KC48+7,ET$89)</f>
        <v>0</v>
      </c>
      <c r="EU48" s="63" cm="1">
        <f t="array" ref="EU48">INDEX(FX_Temps,$KC48+13,EU$89)+459.6</f>
        <v>520.5</v>
      </c>
      <c r="EV48" s="63" cm="1">
        <f t="array" ref="EV48">INDEX(FX_Vap,$KG48,EV$91)-INDEX(FX_Vap,$KH48,EV$91)</f>
        <v>0</v>
      </c>
      <c r="EW48" s="73" cm="1">
        <f t="array" ref="EW48">IF(ES48="Out of Service",0,INDEX(FX_Vap,$KI48,EW$91))</f>
        <v>8.4605262729351115E-3</v>
      </c>
      <c r="EX48" s="63">
        <f t="shared" si="59"/>
        <v>0</v>
      </c>
      <c r="EY48" s="63">
        <f t="shared" si="60"/>
        <v>0.99324969418748754</v>
      </c>
      <c r="EZ48" s="63" cm="1">
        <f t="array" ref="EZ48">INDEX(FX_Vap,$KJ48,EZ$91)</f>
        <v>130</v>
      </c>
      <c r="FA48" s="63" cm="1">
        <f t="array" ref="FA48">INDEX(FX_Temps,$KD48,FA$89)+459.6</f>
        <v>520.5</v>
      </c>
      <c r="FB48" s="63">
        <f t="shared" si="61"/>
        <v>1.969154544366044E-4</v>
      </c>
      <c r="FC48" s="63" cm="1">
        <f t="array" ref="FC48">INDEX(Month_Ref,FC$83,3)*EX48*(PI()/4*$F48^2)*$H48*EY48*FB48</f>
        <v>0</v>
      </c>
      <c r="FD48" s="63" cm="1">
        <f t="array" ref="FD48">INDEX(FX_Input,$KB48,FD$85)</f>
        <v>944</v>
      </c>
      <c r="FE48" s="63">
        <f t="shared" si="62"/>
        <v>5299.616</v>
      </c>
      <c r="FF48" s="63">
        <f t="shared" si="63"/>
        <v>1.0710604227160609</v>
      </c>
      <c r="FG48" s="63">
        <f t="shared" si="64"/>
        <v>1</v>
      </c>
      <c r="FH48" s="63" cm="1">
        <f t="array" ref="FH48">IF(OR(INDEX(FX_Vap,$KK48,FH$90)="Crude Oil",(INDEX(FX_Vap,$KL48,FH$90)="Crude Oil")),0.75,1)</f>
        <v>1</v>
      </c>
      <c r="FI48" s="63">
        <f t="shared" si="115"/>
        <v>1</v>
      </c>
      <c r="FJ48" s="63">
        <f t="shared" si="65"/>
        <v>1.0435762929794996</v>
      </c>
      <c r="FK48" s="64">
        <f t="shared" si="66"/>
        <v>1.0435762929794996</v>
      </c>
      <c r="FL48" s="80" t="str" cm="1">
        <f t="array" ref="FL48">IF(ISBLANK(INDEX(FX_Input,$KB48+1,FL$85)),INDEX(FX_Input,$KB48,FL$85),INDEX(FX_Input,$KB48,FL$85)&amp;" &amp; "&amp;INDEX(FX_Input,$KB48+1,FL$85))</f>
        <v>Jet kerosene</v>
      </c>
      <c r="FM48" s="63" cm="1">
        <f t="array" ref="FM48">INDEX(FX_Temps,$KC48+7,FM$89)</f>
        <v>0</v>
      </c>
      <c r="FN48" s="63" cm="1">
        <f t="array" ref="FN48">INDEX(FX_Temps,$KC48+13,FN$89)+459.6</f>
        <v>518.20000000000005</v>
      </c>
      <c r="FO48" s="63" cm="1">
        <f t="array" ref="FO48">INDEX(FX_Vap,$KG48,FO$91)-INDEX(FX_Vap,$KH48,FO$91)</f>
        <v>0</v>
      </c>
      <c r="FP48" s="73" cm="1">
        <f t="array" ref="FP48">IF(FL48="Out of Service",0,INDEX(FX_Vap,$KI48,FP$91))</f>
        <v>7.8399882233967533E-3</v>
      </c>
      <c r="FQ48" s="63">
        <f t="shared" si="67"/>
        <v>0</v>
      </c>
      <c r="FR48" s="63">
        <f t="shared" si="68"/>
        <v>0.99374169746902841</v>
      </c>
      <c r="FS48" s="63" cm="1">
        <f t="array" ref="FS48">INDEX(FX_Vap,$KJ48,FS$91)</f>
        <v>130</v>
      </c>
      <c r="FT48" s="63" cm="1">
        <f t="array" ref="FT48">INDEX(FX_Temps,$KD48,FT$89)+459.6</f>
        <v>518.20000000000005</v>
      </c>
      <c r="FU48" s="63">
        <f t="shared" si="69"/>
        <v>1.8328256712249962E-4</v>
      </c>
      <c r="FV48" s="63" cm="1">
        <f t="array" ref="FV48">INDEX(Month_Ref,FV$83,3)*FQ48*(PI()/4*$F48^2)*$H48*FR48*FU48</f>
        <v>0</v>
      </c>
      <c r="FW48" s="63" cm="1">
        <f t="array" ref="FW48">INDEX(FX_Input,$KB48,FW$85)</f>
        <v>944</v>
      </c>
      <c r="FX48" s="63">
        <f t="shared" si="70"/>
        <v>5299.616</v>
      </c>
      <c r="FY48" s="63">
        <f t="shared" si="71"/>
        <v>1.0710604227160609</v>
      </c>
      <c r="FZ48" s="63">
        <f t="shared" si="72"/>
        <v>1</v>
      </c>
      <c r="GA48" s="63" cm="1">
        <f t="array" ref="GA48">IF(OR(INDEX(FX_Vap,$KK48,GA$90)="Crude Oil",(INDEX(FX_Vap,$KL48,GA$90)="Crude Oil")),0.75,1)</f>
        <v>1</v>
      </c>
      <c r="GB48" s="63">
        <f t="shared" si="116"/>
        <v>1</v>
      </c>
      <c r="GC48" s="63">
        <f t="shared" si="73"/>
        <v>0.97132722524347292</v>
      </c>
      <c r="GD48" s="64">
        <f t="shared" si="74"/>
        <v>0.97132722524347292</v>
      </c>
      <c r="GE48" s="80" t="str" cm="1">
        <f t="array" ref="GE48">IF(ISBLANK(INDEX(FX_Input,$KB48+1,GE$85)),INDEX(FX_Input,$KB48,GE$85),INDEX(FX_Input,$KB48,GE$85)&amp;" &amp; "&amp;INDEX(FX_Input,$KB48+1,GE$85))</f>
        <v>Jet kerosene</v>
      </c>
      <c r="GF48" s="63" cm="1">
        <f t="array" ref="GF48">INDEX(FX_Temps,$KC48+7,GF$89)</f>
        <v>0</v>
      </c>
      <c r="GG48" s="63" cm="1">
        <f t="array" ref="GG48">INDEX(FX_Temps,$KC48+13,GG$89)+459.6</f>
        <v>512.25</v>
      </c>
      <c r="GH48" s="63" cm="1">
        <f t="array" ref="GH48">INDEX(FX_Vap,$KG48,GH$91)-INDEX(FX_Vap,$KH48,GH$91)</f>
        <v>0</v>
      </c>
      <c r="GI48" s="73" cm="1">
        <f t="array" ref="GI48">IF(GE48="Out of Service",0,INDEX(FX_Vap,$KI48,GI$91))</f>
        <v>6.4173462075160911E-3</v>
      </c>
      <c r="GJ48" s="63">
        <f t="shared" si="75"/>
        <v>0</v>
      </c>
      <c r="GK48" s="63">
        <f t="shared" si="76"/>
        <v>0.99487150317877748</v>
      </c>
      <c r="GL48" s="63" cm="1">
        <f t="array" ref="GL48">INDEX(FX_Vap,$KJ48,GL$91)</f>
        <v>130</v>
      </c>
      <c r="GM48" s="63" cm="1">
        <f t="array" ref="GM48">INDEX(FX_Temps,$KD48,GM$89)+459.6</f>
        <v>512.25</v>
      </c>
      <c r="GN48" s="63">
        <f t="shared" si="77"/>
        <v>1.5176675903637226E-4</v>
      </c>
      <c r="GO48" s="63" cm="1">
        <f t="array" ref="GO48">INDEX(Month_Ref,GO$83,3)*GJ48*(PI()/4*$F48^2)*$H48*GK48*GN48</f>
        <v>0</v>
      </c>
      <c r="GP48" s="63" cm="1">
        <f t="array" ref="GP48">INDEX(FX_Input,$KB48,GP$85)</f>
        <v>944</v>
      </c>
      <c r="GQ48" s="63">
        <f t="shared" si="78"/>
        <v>5299.616</v>
      </c>
      <c r="GR48" s="63">
        <f t="shared" si="79"/>
        <v>1.0710604227160609</v>
      </c>
      <c r="GS48" s="63">
        <f t="shared" si="80"/>
        <v>1</v>
      </c>
      <c r="GT48" s="63" cm="1">
        <f t="array" ref="GT48">IF(OR(INDEX(FX_Vap,$KK48,GT$90)="Crude Oil",(INDEX(FX_Vap,$KL48,GT$90)="Crude Oil")),0.75,1)</f>
        <v>1</v>
      </c>
      <c r="GU48" s="63">
        <f t="shared" si="117"/>
        <v>1</v>
      </c>
      <c r="GV48" s="63">
        <f t="shared" si="81"/>
        <v>0.80430554445730296</v>
      </c>
      <c r="GW48" s="64">
        <f t="shared" si="82"/>
        <v>0.80430554445730296</v>
      </c>
      <c r="GX48" s="80" t="str" cm="1">
        <f t="array" ref="GX48">IF(ISBLANK(INDEX(FX_Input,$KB48+1,GX$85)),INDEX(FX_Input,$KB48,GX$85),INDEX(FX_Input,$KB48,GX$85)&amp;" &amp; "&amp;INDEX(FX_Input,$KB48+1,GX$85))</f>
        <v>Jet kerosene</v>
      </c>
      <c r="GY48" s="63" cm="1">
        <f t="array" ref="GY48">INDEX(FX_Temps,$KC48+7,GY$89)</f>
        <v>0</v>
      </c>
      <c r="GZ48" s="63" cm="1">
        <f t="array" ref="GZ48">INDEX(FX_Temps,$KC48+13,GZ$89)+459.6</f>
        <v>506.70000000000005</v>
      </c>
      <c r="HA48" s="63" cm="1">
        <f t="array" ref="HA48">INDEX(FX_Vap,$KG48,HA$91)-INDEX(FX_Vap,$KH48,HA$91)</f>
        <v>0</v>
      </c>
      <c r="HB48" s="73" cm="1">
        <f t="array" ref="HB48">IF(GX48="Out of Service",0,INDEX(FX_Vap,$KI48,HB$91))</f>
        <v>5.3015226887581056E-3</v>
      </c>
      <c r="HC48" s="63">
        <f t="shared" si="83"/>
        <v>0</v>
      </c>
      <c r="HD48" s="63">
        <f t="shared" si="84"/>
        <v>0.99575944511311454</v>
      </c>
      <c r="HE48" s="63" cm="1">
        <f t="array" ref="HE48">INDEX(FX_Vap,$KJ48,HE$91)</f>
        <v>130</v>
      </c>
      <c r="HF48" s="63" cm="1">
        <f t="array" ref="HF48">INDEX(FX_Temps,$KD48,HF$89)+459.6</f>
        <v>506.70000000000005</v>
      </c>
      <c r="HG48" s="63">
        <f t="shared" si="85"/>
        <v>1.2675143286623188E-4</v>
      </c>
      <c r="HH48" s="63" cm="1">
        <f t="array" ref="HH48">INDEX(Month_Ref,HH$83,3)*HC48*(PI()/4*$F48^2)*$H48*HD48*HG48</f>
        <v>0</v>
      </c>
      <c r="HI48" s="63" cm="1">
        <f t="array" ref="HI48">INDEX(FX_Input,$KB48,HI$85)</f>
        <v>944</v>
      </c>
      <c r="HJ48" s="63">
        <f t="shared" si="86"/>
        <v>5299.616</v>
      </c>
      <c r="HK48" s="63">
        <f t="shared" si="87"/>
        <v>1.0710604227160609</v>
      </c>
      <c r="HL48" s="63">
        <f t="shared" si="88"/>
        <v>1</v>
      </c>
      <c r="HM48" s="63" cm="1">
        <f t="array" ref="HM48">IF(OR(INDEX(FX_Vap,$KK48,HM$90)="Crude Oil",(INDEX(FX_Vap,$KL48,HM$90)="Crude Oil")),0.75,1)</f>
        <v>1</v>
      </c>
      <c r="HN48" s="63">
        <f t="shared" si="118"/>
        <v>1</v>
      </c>
      <c r="HO48" s="63">
        <f t="shared" si="89"/>
        <v>0.67173392164080836</v>
      </c>
      <c r="HP48" s="64">
        <f t="shared" si="90"/>
        <v>0.67173392164080836</v>
      </c>
      <c r="HQ48" s="80" t="str" cm="1">
        <f t="array" ref="HQ48">IF(ISBLANK(INDEX(FX_Input,$KB48+1,HQ$85)),INDEX(FX_Input,$KB48,HQ$85),INDEX(FX_Input,$KB48,HQ$85)&amp;" &amp; "&amp;INDEX(FX_Input,$KB48+1,HQ$85))</f>
        <v>Jet kerosene</v>
      </c>
      <c r="HR48" s="63" cm="1">
        <f t="array" ref="HR48">INDEX(FX_Temps,$KC48+7,HR$89)</f>
        <v>0</v>
      </c>
      <c r="HS48" s="63" cm="1">
        <f t="array" ref="HS48">INDEX(FX_Temps,$KC48+13,HS$89)+459.6</f>
        <v>503.20000000000005</v>
      </c>
      <c r="HT48" s="63" cm="1">
        <f t="array" ref="HT48">INDEX(FX_Vap,$KG48,HT$91)-INDEX(FX_Vap,$KH48,HT$91)</f>
        <v>0</v>
      </c>
      <c r="HU48" s="73" cm="1">
        <f t="array" ref="HU48">IF(HQ48="Out of Service",0,INDEX(FX_Vap,$KI48,HU$91))</f>
        <v>4.68970903600947E-3</v>
      </c>
      <c r="HV48" s="63">
        <f t="shared" si="91"/>
        <v>0</v>
      </c>
      <c r="HW48" s="63">
        <f t="shared" si="92"/>
        <v>0.99624698286195801</v>
      </c>
      <c r="HX48" s="63" cm="1">
        <f t="array" ref="HX48">INDEX(FX_Vap,$KJ48,HX$91)</f>
        <v>130</v>
      </c>
      <c r="HY48" s="63" cm="1">
        <f t="array" ref="HY48">INDEX(FX_Temps,$KD48,HY$89)+459.6</f>
        <v>503.20000000000005</v>
      </c>
      <c r="HZ48" s="63">
        <f t="shared" si="93"/>
        <v>1.1290376474196325E-4</v>
      </c>
      <c r="IA48" s="63" cm="1">
        <f t="array" ref="IA48">INDEX(Month_Ref,IA$83,3)*HV48*(PI()/4*$F48^2)*$H48*HW48*HZ48</f>
        <v>0</v>
      </c>
      <c r="IB48" s="63" cm="1">
        <f t="array" ref="IB48">INDEX(FX_Input,$KB48,IB$85)</f>
        <v>944</v>
      </c>
      <c r="IC48" s="63">
        <f t="shared" si="94"/>
        <v>5299.616</v>
      </c>
      <c r="ID48" s="63">
        <f t="shared" si="95"/>
        <v>1.0710604227160609</v>
      </c>
      <c r="IE48" s="63">
        <f t="shared" si="96"/>
        <v>1</v>
      </c>
      <c r="IF48" s="63" cm="1">
        <f t="array" ref="IF48">IF(OR(INDEX(FX_Vap,$KK48,IF$90)="Crude Oil",(INDEX(FX_Vap,$KL48,IF$90)="Crude Oil")),0.75,1)</f>
        <v>1</v>
      </c>
      <c r="IG48" s="63">
        <f t="shared" si="119"/>
        <v>1</v>
      </c>
      <c r="IH48" s="63">
        <f t="shared" si="97"/>
        <v>0.59834659808674429</v>
      </c>
      <c r="II48" s="64">
        <f t="shared" si="98"/>
        <v>0.59834659808674429</v>
      </c>
      <c r="IJ48" s="80">
        <f t="shared" si="99"/>
        <v>0</v>
      </c>
      <c r="IK48" s="63">
        <f t="shared" si="100"/>
        <v>0</v>
      </c>
      <c r="IL48" s="63">
        <f t="shared" si="101"/>
        <v>9.438388092895412</v>
      </c>
      <c r="IM48" s="63">
        <f t="shared" si="102"/>
        <v>4.7191940464477063E-3</v>
      </c>
      <c r="IN48" s="63">
        <f t="shared" si="103"/>
        <v>9.438388092895412</v>
      </c>
      <c r="IO48" s="64">
        <f t="shared" si="104"/>
        <v>4.7191940464477063E-3</v>
      </c>
      <c r="KB48" s="43">
        <f t="shared" si="120"/>
        <v>75</v>
      </c>
      <c r="KC48" s="43">
        <f t="shared" si="121"/>
        <v>519</v>
      </c>
      <c r="KD48" s="43">
        <f t="shared" si="122"/>
        <v>532</v>
      </c>
      <c r="KE48" s="43">
        <f t="shared" si="123"/>
        <v>519</v>
      </c>
      <c r="KF48" s="43">
        <f t="shared" si="124"/>
        <v>1259</v>
      </c>
      <c r="KG48" s="43">
        <f t="shared" si="125"/>
        <v>1282</v>
      </c>
      <c r="KH48" s="43">
        <f t="shared" si="126"/>
        <v>1277</v>
      </c>
      <c r="KI48" s="43">
        <f t="shared" si="126"/>
        <v>1287</v>
      </c>
      <c r="KJ48" s="43">
        <f t="shared" si="126"/>
        <v>1292</v>
      </c>
      <c r="KK48" s="43">
        <f t="shared" si="127"/>
        <v>1263</v>
      </c>
      <c r="KL48" s="43">
        <f t="shared" si="128"/>
        <v>1265</v>
      </c>
    </row>
    <row r="49" spans="2:298" x14ac:dyDescent="0.4">
      <c r="B49" s="43" t="str" cm="1">
        <f t="array" ref="B49">INDEX(FX_Input,$KB49,B$85)</f>
        <v>FX - 39</v>
      </c>
      <c r="C49" s="93" t="str" cm="1">
        <f t="array" ref="C49">INDEX(FX_Input,$KB49,C$85)</f>
        <v>FIXTANK 167</v>
      </c>
      <c r="D49" s="80">
        <f t="shared" si="129"/>
        <v>2678.3304556483295</v>
      </c>
      <c r="E49" s="63" cm="1">
        <f t="array" ref="E49">IF(ISBLANK(INDEX(FX_Input,$KB49,$E$85)),0.03,INDEX(FX_Input,$KB49,$E$85))-IF(ISBLANK(INDEX(FX_Input,$KB49,$E$86)),-0.03,INDEX(FX_Input,$KB49,$E$86))</f>
        <v>0.06</v>
      </c>
      <c r="F49" s="63" cm="1">
        <f t="array" ref="F49">IF(INDEX(FX_Input,$KB49,F$85)="Vertical",INDEX(FX_Input,$KB49,F$86),SQRT((INDEX(FX_Input,$KB49,F$86)*INDEX(FX_Input,$KB49,F$87))/(PI()/4)))</f>
        <v>15</v>
      </c>
      <c r="G49" s="63" cm="1">
        <f t="array" ref="G49">IF(INDEX(FX_Input,$KB49,G$85)="Vertical",INDEX(FX_Input,$KB49,G$86),INDEX(FX_Input,$KB49,G$87)*PI()/4)</f>
        <v>30</v>
      </c>
      <c r="H49" s="63" cm="1">
        <f t="array" ref="H49">IF(INDEX(FX_Input,$KB49,H$85)="Vertical",G49-G49/2+J49,G49/2)</f>
        <v>15.15625</v>
      </c>
      <c r="I49" s="63" cm="1">
        <f t="array" ref="I49">IF(INDEX(FX_Input,$KB49,F$85)="Horizontal","N/A",IF(INDEX(FX_Input,$KB49,I$86)="Cone",IF(ISBLANK(INDEX(FX_Input,$KB49,I$87)),0.0625,INDEX(FX_Input,$KB49,I$87))*F49/2,F49/2-SQRT((F49/2)^2-(INDEX(FX_Input,$KB49,I$88)^2))))</f>
        <v>0.46875</v>
      </c>
      <c r="J49" s="63" cm="1">
        <f t="array" ref="J49">IF(INDEX(FX_Input,$KB49,J$85)="Horizontal","N/A",IF(INDEX(FX_Input,$KB49,J$86)="Cone",I49/3,I49*(1/2+(1/6)*(I49/(F49/2))^2)))</f>
        <v>0.15625</v>
      </c>
      <c r="K49" s="63">
        <f t="shared" si="130"/>
        <v>29</v>
      </c>
      <c r="L49" s="63">
        <v>1</v>
      </c>
      <c r="M49" s="63" t="str" cm="1">
        <f t="array" ref="M49">INDEX(Tbl_71_6,MATCH(INDEX(FX_Input,$KB49,M$85),Paint_Color,0),VLOOKUP(INDEX(FX_Input,$KB49,M$86),Paint_Cond_Column,2,FALSE))</f>
        <v>N/A</v>
      </c>
      <c r="N49" s="63" t="str" cm="1">
        <f t="array" ref="N49">INDEX(Tbl_71_6,MATCH(INDEX(FX_Input,$KB49,N$85),Paint_Color,0),VLOOKUP(INDEX(FX_Input,$KB49,N$86),Paint_Cond_Column,2,FALSE))</f>
        <v>N/A</v>
      </c>
      <c r="O49" s="64" t="str">
        <f t="shared" si="2"/>
        <v>Insulated</v>
      </c>
      <c r="P49" s="80" t="str" cm="1">
        <f t="array" ref="P49">IF(ISBLANK(INDEX(FX_Input,$KB49+1,P$85)),INDEX(FX_Input,$KB49,P$85),INDEX(FX_Input,$KB49,P$85)&amp;" &amp; "&amp;INDEX(FX_Input,$KB49+1,P$85))</f>
        <v>Jet kerosene</v>
      </c>
      <c r="Q49" s="63" cm="1">
        <f t="array" ref="Q49">INDEX(FX_Temps,$KC49+7,Q$89)</f>
        <v>0</v>
      </c>
      <c r="R49" s="63" cm="1">
        <f t="array" ref="R49">INDEX(FX_Temps,$KC49+13,R$89)+459.6</f>
        <v>503.5</v>
      </c>
      <c r="S49" s="63" cm="1">
        <f t="array" ref="S49">INDEX(FX_Vap,$KG49,S$91)-INDEX(FX_Vap,$KH49,S$91)</f>
        <v>0</v>
      </c>
      <c r="T49" s="73" cm="1">
        <f t="array" ref="T49">IF(P49="Out of Service",0,INDEX(FX_Vap,$KI49,T$91))</f>
        <v>4.739577185808354E-3</v>
      </c>
      <c r="U49" s="63">
        <f t="shared" si="3"/>
        <v>0</v>
      </c>
      <c r="V49" s="63">
        <f t="shared" si="4"/>
        <v>0.99620722641246529</v>
      </c>
      <c r="W49" s="63" cm="1">
        <f t="array" ref="W49">INDEX(FX_Vap,$KJ49,W$91)</f>
        <v>130</v>
      </c>
      <c r="X49" s="63" cm="1">
        <f t="array" ref="X49">INDEX(FX_Temps,$KD49,X$89)+459.6</f>
        <v>503.5</v>
      </c>
      <c r="Y49" s="63">
        <f t="shared" si="5"/>
        <v>1.1403634333314844E-4</v>
      </c>
      <c r="Z49" s="63" cm="1">
        <f t="array" ref="Z49">INDEX(Month_Ref,Z$83,3)*U49*(PI()/4*$F49^2)*$H49*V49*Y49</f>
        <v>0</v>
      </c>
      <c r="AA49" s="63" cm="1">
        <f t="array" ref="AA49">INDEX(FX_Input,$KB49,AA$85)</f>
        <v>944</v>
      </c>
      <c r="AB49" s="63">
        <f t="shared" si="6"/>
        <v>5299.616</v>
      </c>
      <c r="AC49" s="63">
        <f t="shared" si="7"/>
        <v>1.0710604227160609</v>
      </c>
      <c r="AD49" s="63">
        <f t="shared" si="8"/>
        <v>1</v>
      </c>
      <c r="AE49" s="63" cm="1">
        <f t="array" ref="AE49">IF(OR(INDEX(FX_Vap,$KK49,AE$90)="Crude Oil",(INDEX(FX_Vap,$KL49,AE$90)="Crude Oil")),0.75,1)</f>
        <v>1</v>
      </c>
      <c r="AF49" s="63">
        <f t="shared" si="108"/>
        <v>1</v>
      </c>
      <c r="AG49" s="63">
        <f t="shared" si="9"/>
        <v>0.60434882970984682</v>
      </c>
      <c r="AH49" s="64">
        <f t="shared" si="10"/>
        <v>0.60434882970984682</v>
      </c>
      <c r="AI49" s="80" t="str" cm="1">
        <f t="array" ref="AI49">IF(ISBLANK(INDEX(FX_Input,$KB49+1,AI$85)),INDEX(FX_Input,$KB49,AI$85),INDEX(FX_Input,$KB49,AI$85)&amp;" &amp; "&amp;INDEX(FX_Input,$KB49+1,AI$85))</f>
        <v>Jet kerosene</v>
      </c>
      <c r="AJ49" s="63" cm="1">
        <f t="array" ref="AJ49">INDEX(FX_Temps,$KC49+7,AJ$89)</f>
        <v>0</v>
      </c>
      <c r="AK49" s="63" cm="1">
        <f t="array" ref="AK49">INDEX(FX_Temps,$KC49+13,AK$89)+459.6</f>
        <v>504.30000000000007</v>
      </c>
      <c r="AL49" s="63" cm="1">
        <f t="array" ref="AL49">INDEX(FX_Vap,$KG49,AL$91)-INDEX(FX_Vap,$KH49,AL$91)</f>
        <v>0</v>
      </c>
      <c r="AM49" s="73" cm="1">
        <f t="array" ref="AM49">IF(AI49="Out of Service",0,INDEX(FX_Vap,$KI49,AM$91))</f>
        <v>4.8748667780818778E-3</v>
      </c>
      <c r="AN49" s="63">
        <f t="shared" si="11"/>
        <v>0</v>
      </c>
      <c r="AO49" s="63">
        <f t="shared" si="12"/>
        <v>0.99609938529544217</v>
      </c>
      <c r="AP49" s="63" cm="1">
        <f t="array" ref="AP49">INDEX(FX_Vap,$KJ49,AP$91)</f>
        <v>130</v>
      </c>
      <c r="AQ49" s="63" cm="1">
        <f t="array" ref="AQ49">INDEX(FX_Temps,$KD49,AQ$89)+459.6</f>
        <v>504.30000000000007</v>
      </c>
      <c r="AR49" s="63">
        <f t="shared" si="13"/>
        <v>1.1710540514572422E-4</v>
      </c>
      <c r="AS49" s="63" cm="1">
        <f t="array" ref="AS49">INDEX(Month_Ref,AS$83,3)*AN49*(PI()/4*$F49^2)*$H49*AO49*AR49</f>
        <v>0</v>
      </c>
      <c r="AT49" s="63" cm="1">
        <f t="array" ref="AT49">INDEX(FX_Input,$KB49,AT$85)</f>
        <v>944</v>
      </c>
      <c r="AU49" s="63">
        <f t="shared" si="14"/>
        <v>5299.616</v>
      </c>
      <c r="AV49" s="63">
        <f t="shared" si="15"/>
        <v>1.0710604227160609</v>
      </c>
      <c r="AW49" s="63">
        <f t="shared" si="16"/>
        <v>1</v>
      </c>
      <c r="AX49" s="63" cm="1">
        <f t="array" ref="AX49">IF(OR(INDEX(FX_Vap,$KK49,AX$90)="Crude Oil",(INDEX(FX_Vap,$KL49,AX$90)="Crude Oil")),0.75,1)</f>
        <v>1</v>
      </c>
      <c r="AY49" s="63">
        <f t="shared" si="109"/>
        <v>1</v>
      </c>
      <c r="AZ49" s="63">
        <f t="shared" si="17"/>
        <v>0.62061367879676244</v>
      </c>
      <c r="BA49" s="64">
        <f t="shared" si="18"/>
        <v>0.62061367879676244</v>
      </c>
      <c r="BB49" s="80" t="str" cm="1">
        <f t="array" ref="BB49">IF(ISBLANK(INDEX(FX_Input,$KB49+1,BB$85)),INDEX(FX_Input,$KB49,BB$85),INDEX(FX_Input,$KB49,BB$85)&amp;" &amp; "&amp;INDEX(FX_Input,$KB49+1,BB$85))</f>
        <v>Jet kerosene</v>
      </c>
      <c r="BC49" s="63" cm="1">
        <f t="array" ref="BC49">INDEX(FX_Temps,$KC49+7,BC$89)</f>
        <v>0</v>
      </c>
      <c r="BD49" s="63" cm="1">
        <f t="array" ref="BD49">INDEX(FX_Temps,$KC49+13,BD$89)+459.6</f>
        <v>505.70000000000005</v>
      </c>
      <c r="BE49" s="63" cm="1">
        <f t="array" ref="BE49">INDEX(FX_Vap,$KG49,BE$91)-INDEX(FX_Vap,$KH49,BE$91)</f>
        <v>0</v>
      </c>
      <c r="BF49" s="73" cm="1">
        <f t="array" ref="BF49">IF(BB49="Out of Service",0,INDEX(FX_Vap,$KI49,BF$91))</f>
        <v>5.119885034186122E-3</v>
      </c>
      <c r="BG49" s="63">
        <f t="shared" si="19"/>
        <v>0</v>
      </c>
      <c r="BH49" s="63">
        <f t="shared" si="20"/>
        <v>0.9959041374351868</v>
      </c>
      <c r="BI49" s="63" cm="1">
        <f t="array" ref="BI49">INDEX(FX_Vap,$KJ49,BI$91)</f>
        <v>130</v>
      </c>
      <c r="BJ49" s="63" cm="1">
        <f t="array" ref="BJ49">INDEX(FX_Temps,$KD49,BJ$89)+459.6</f>
        <v>505.70000000000005</v>
      </c>
      <c r="BK49" s="63">
        <f t="shared" si="21"/>
        <v>1.226508078051294E-4</v>
      </c>
      <c r="BL49" s="63" cm="1">
        <f t="array" ref="BL49">INDEX(Month_Ref,BL$83,3)*BG49*(PI()/4*$F49^2)*$H49*BH49*BK49</f>
        <v>0</v>
      </c>
      <c r="BM49" s="63" cm="1">
        <f t="array" ref="BM49">INDEX(FX_Input,$KB49,BM$85)</f>
        <v>944</v>
      </c>
      <c r="BN49" s="63">
        <f t="shared" si="22"/>
        <v>5299.616</v>
      </c>
      <c r="BO49" s="63">
        <f t="shared" si="23"/>
        <v>1.0710604227160609</v>
      </c>
      <c r="BP49" s="63">
        <f t="shared" si="24"/>
        <v>1</v>
      </c>
      <c r="BQ49" s="63" cm="1">
        <f t="array" ref="BQ49">IF(OR(INDEX(FX_Vap,$KK49,BQ$90)="Crude Oil",(INDEX(FX_Vap,$KL49,BQ$90)="Crude Oil")),0.75,1)</f>
        <v>1</v>
      </c>
      <c r="BR49" s="63">
        <f t="shared" si="110"/>
        <v>1</v>
      </c>
      <c r="BS49" s="63">
        <f t="shared" si="25"/>
        <v>0.65000218345698868</v>
      </c>
      <c r="BT49" s="64">
        <f t="shared" si="26"/>
        <v>0.65000218345698868</v>
      </c>
      <c r="BU49" s="80" t="str" cm="1">
        <f t="array" ref="BU49">IF(ISBLANK(INDEX(FX_Input,$KB49+1,BU$85)),INDEX(FX_Input,$KB49,BU$85),INDEX(FX_Input,$KB49,BU$85)&amp;" &amp; "&amp;INDEX(FX_Input,$KB49+1,BU$85))</f>
        <v>Jet kerosene</v>
      </c>
      <c r="BV49" s="63" cm="1">
        <f t="array" ref="BV49">INDEX(FX_Temps,$KC49+7,BV$89)</f>
        <v>0</v>
      </c>
      <c r="BW49" s="63" cm="1">
        <f t="array" ref="BW49">INDEX(FX_Temps,$KC49+13,BW$89)+459.6</f>
        <v>508.2</v>
      </c>
      <c r="BX49" s="63" cm="1">
        <f t="array" ref="BX49">INDEX(FX_Vap,$KG49,BX$91)-INDEX(FX_Vap,$KH49,BX$91)</f>
        <v>0</v>
      </c>
      <c r="BY49" s="73" cm="1">
        <f t="array" ref="BY49">IF(BU49="Out of Service",0,INDEX(FX_Vap,$KI49,BY$91))</f>
        <v>5.5846958573521795E-3</v>
      </c>
      <c r="BZ49" s="63">
        <f t="shared" si="27"/>
        <v>0</v>
      </c>
      <c r="CA49" s="63">
        <f t="shared" si="28"/>
        <v>0.99553395357892638</v>
      </c>
      <c r="CB49" s="63" cm="1">
        <f t="array" ref="CB49">INDEX(FX_Vap,$KJ49,CB$91)</f>
        <v>130</v>
      </c>
      <c r="CC49" s="63" cm="1">
        <f t="array" ref="CC49">INDEX(FX_Temps,$KD49,CC$89)+459.6</f>
        <v>508.2</v>
      </c>
      <c r="CD49" s="63">
        <f t="shared" si="29"/>
        <v>1.3312757561120781E-4</v>
      </c>
      <c r="CE49" s="63" cm="1">
        <f t="array" ref="CE49">INDEX(Month_Ref,CE$83,3)*BZ49*(PI()/4*$F49^2)*$H49*CA49*CD49</f>
        <v>0</v>
      </c>
      <c r="CF49" s="63" cm="1">
        <f t="array" ref="CF49">INDEX(FX_Input,$KB49,CF$85)</f>
        <v>944</v>
      </c>
      <c r="CG49" s="63">
        <f t="shared" si="30"/>
        <v>5299.616</v>
      </c>
      <c r="CH49" s="63">
        <f t="shared" si="31"/>
        <v>1.0710604227160609</v>
      </c>
      <c r="CI49" s="63">
        <f t="shared" si="32"/>
        <v>1</v>
      </c>
      <c r="CJ49" s="63" cm="1">
        <f t="array" ref="CJ49">IF(OR(INDEX(FX_Vap,$KK49,CJ$90)="Crude Oil",(INDEX(FX_Vap,$KL49,CJ$90)="Crude Oil")),0.75,1)</f>
        <v>1</v>
      </c>
      <c r="CK49" s="63">
        <f t="shared" si="111"/>
        <v>1</v>
      </c>
      <c r="CL49" s="63">
        <f t="shared" si="33"/>
        <v>0.70552502975036668</v>
      </c>
      <c r="CM49" s="64">
        <f t="shared" si="34"/>
        <v>0.70552502975036668</v>
      </c>
      <c r="CN49" s="80" t="str" cm="1">
        <f t="array" ref="CN49">IF(ISBLANK(INDEX(FX_Input,$KB49+1,CN$85)),INDEX(FX_Input,$KB49,CN$85),INDEX(FX_Input,$KB49,CN$85)&amp;" &amp; "&amp;INDEX(FX_Input,$KB49+1,CN$85))</f>
        <v>Jet kerosene</v>
      </c>
      <c r="CO49" s="63" cm="1">
        <f t="array" ref="CO49">INDEX(FX_Temps,$KC49+7,CO$89)</f>
        <v>0</v>
      </c>
      <c r="CP49" s="63" cm="1">
        <f t="array" ref="CP49">INDEX(FX_Temps,$KC49+13,CP$89)+459.6</f>
        <v>512.75</v>
      </c>
      <c r="CQ49" s="63" cm="1">
        <f t="array" ref="CQ49">INDEX(FX_Vap,$KG49,CQ$91)-INDEX(FX_Vap,$KH49,CQ$91)</f>
        <v>0</v>
      </c>
      <c r="CR49" s="73" cm="1">
        <f t="array" ref="CR49">IF(CN49="Out of Service",0,INDEX(FX_Vap,$KI49,CR$91))</f>
        <v>6.5274070972739821E-3</v>
      </c>
      <c r="CS49" s="63">
        <f t="shared" si="35"/>
        <v>0</v>
      </c>
      <c r="CT49" s="63">
        <f t="shared" si="36"/>
        <v>0.99478400551960966</v>
      </c>
      <c r="CU49" s="63" cm="1">
        <f t="array" ref="CU49">INDEX(FX_Vap,$KJ49,CU$91)</f>
        <v>130</v>
      </c>
      <c r="CV49" s="63" cm="1">
        <f t="array" ref="CV49">INDEX(FX_Temps,$KD49,CV$89)+459.6</f>
        <v>512.75</v>
      </c>
      <c r="CW49" s="63">
        <f t="shared" si="37"/>
        <v>1.5421910831991609E-4</v>
      </c>
      <c r="CX49" s="63" cm="1">
        <f t="array" ref="CX49">INDEX(Month_Ref,CX$83,3)*CS49*(PI()/4*$F49^2)*$H49*CT49*CW49</f>
        <v>0</v>
      </c>
      <c r="CY49" s="63" cm="1">
        <f t="array" ref="CY49">INDEX(FX_Input,$KB49,CY$85)</f>
        <v>944</v>
      </c>
      <c r="CZ49" s="63">
        <f t="shared" si="38"/>
        <v>5299.616</v>
      </c>
      <c r="DA49" s="63">
        <f t="shared" si="39"/>
        <v>1.0710604227160609</v>
      </c>
      <c r="DB49" s="63">
        <f t="shared" si="40"/>
        <v>1</v>
      </c>
      <c r="DC49" s="63" cm="1">
        <f t="array" ref="DC49">IF(OR(INDEX(FX_Vap,$KK49,DC$90)="Crude Oil",(INDEX(FX_Vap,$KL49,DC$90)="Crude Oil")),0.75,1)</f>
        <v>1</v>
      </c>
      <c r="DD49" s="63">
        <f t="shared" si="112"/>
        <v>1</v>
      </c>
      <c r="DE49" s="63">
        <f t="shared" si="41"/>
        <v>0.81730205395796041</v>
      </c>
      <c r="DF49" s="64">
        <f t="shared" si="42"/>
        <v>0.81730205395796041</v>
      </c>
      <c r="DG49" s="80" t="str" cm="1">
        <f t="array" ref="DG49">IF(ISBLANK(INDEX(FX_Input,$KB49+1,DG$85)),INDEX(FX_Input,$KB49,DG$85),INDEX(FX_Input,$KB49,DG$85)&amp;" &amp; "&amp;INDEX(FX_Input,$KB49+1,DG$85))</f>
        <v>Jet kerosene</v>
      </c>
      <c r="DH49" s="63" cm="1">
        <f t="array" ref="DH49">INDEX(FX_Temps,$KC49+7,DH$89)</f>
        <v>0</v>
      </c>
      <c r="DI49" s="63" cm="1">
        <f t="array" ref="DI49">INDEX(FX_Temps,$KC49+13,DI$89)+459.6</f>
        <v>516.55000000000007</v>
      </c>
      <c r="DJ49" s="63" cm="1">
        <f t="array" ref="DJ49">INDEX(FX_Vap,$KG49,DJ$91)-INDEX(FX_Vap,$KH49,DJ$91)</f>
        <v>0</v>
      </c>
      <c r="DK49" s="73" cm="1">
        <f t="array" ref="DK49">IF(DG49="Out of Service",0,INDEX(FX_Vap,$KI49,DK$91))</f>
        <v>7.4199539958878279E-3</v>
      </c>
      <c r="DL49" s="63">
        <f t="shared" si="43"/>
        <v>0</v>
      </c>
      <c r="DM49" s="63">
        <f t="shared" si="44"/>
        <v>0.99407500488639677</v>
      </c>
      <c r="DN49" s="63" cm="1">
        <f t="array" ref="DN49">INDEX(FX_Vap,$KJ49,DN$91)</f>
        <v>130</v>
      </c>
      <c r="DO49" s="63" cm="1">
        <f t="array" ref="DO49">INDEX(FX_Temps,$KD49,DO$89)+459.6</f>
        <v>516.55000000000007</v>
      </c>
      <c r="DP49" s="63">
        <f t="shared" si="45"/>
        <v>1.7401713099147103E-4</v>
      </c>
      <c r="DQ49" s="63" cm="1">
        <f t="array" ref="DQ49">INDEX(Month_Ref,DQ$83,3)*DL49*(PI()/4*$F49^2)*$H49*DM49*DP49</f>
        <v>0</v>
      </c>
      <c r="DR49" s="63" cm="1">
        <f t="array" ref="DR49">INDEX(FX_Input,$KB49,DR$85)</f>
        <v>944</v>
      </c>
      <c r="DS49" s="63">
        <f t="shared" si="46"/>
        <v>5299.616</v>
      </c>
      <c r="DT49" s="63">
        <f t="shared" si="47"/>
        <v>1.0710604227160609</v>
      </c>
      <c r="DU49" s="63">
        <f t="shared" si="48"/>
        <v>1</v>
      </c>
      <c r="DV49" s="63" cm="1">
        <f t="array" ref="DV49">IF(OR(INDEX(FX_Vap,$KK49,DV$90)="Crude Oil",(INDEX(FX_Vap,$KL49,DV$90)="Crude Oil")),0.75,1)</f>
        <v>1</v>
      </c>
      <c r="DW49" s="63">
        <f t="shared" si="113"/>
        <v>1</v>
      </c>
      <c r="DX49" s="63">
        <f t="shared" si="49"/>
        <v>0.92222397167649572</v>
      </c>
      <c r="DY49" s="64">
        <f t="shared" si="50"/>
        <v>0.92222397167649572</v>
      </c>
      <c r="DZ49" s="80" t="str" cm="1">
        <f t="array" ref="DZ49">IF(ISBLANK(INDEX(FX_Input,$KB49+1,DZ$85)),INDEX(FX_Input,$KB49,DZ$85),INDEX(FX_Input,$KB49,DZ$85)&amp;" &amp; "&amp;INDEX(FX_Input,$KB49+1,DZ$85))</f>
        <v>Jet kerosene</v>
      </c>
      <c r="EA49" s="63" cm="1">
        <f t="array" ref="EA49">INDEX(FX_Temps,$KC49+7,EA$89)</f>
        <v>0</v>
      </c>
      <c r="EB49" s="63" cm="1">
        <f t="array" ref="EB49">INDEX(FX_Temps,$KC49+13,EB$89)+459.6</f>
        <v>520.04999999999995</v>
      </c>
      <c r="EC49" s="63" cm="1">
        <f t="array" ref="EC49">INDEX(FX_Vap,$KG49,EC$91)-INDEX(FX_Vap,$KH49,EC$91)</f>
        <v>0</v>
      </c>
      <c r="ED49" s="73" cm="1">
        <f t="array" ref="ED49">IF(DZ49="Out of Service",0,INDEX(FX_Vap,$KI49,ED$91))</f>
        <v>8.3358107202842254E-3</v>
      </c>
      <c r="EE49" s="63">
        <f t="shared" si="51"/>
        <v>0</v>
      </c>
      <c r="EF49" s="63">
        <f t="shared" si="52"/>
        <v>0.99334853773917264</v>
      </c>
      <c r="EG49" s="63" cm="1">
        <f t="array" ref="EG49">INDEX(FX_Vap,$KJ49,EG$91)</f>
        <v>130</v>
      </c>
      <c r="EH49" s="63" cm="1">
        <f t="array" ref="EH49">INDEX(FX_Temps,$KD49,EH$89)+459.6</f>
        <v>520.04999999999995</v>
      </c>
      <c r="EI49" s="63">
        <f t="shared" si="53"/>
        <v>1.9418062801892895E-4</v>
      </c>
      <c r="EJ49" s="63" cm="1">
        <f t="array" ref="EJ49">INDEX(Month_Ref,EJ$83,3)*EE49*(PI()/4*$F49^2)*$H49*EF49*EI49</f>
        <v>0</v>
      </c>
      <c r="EK49" s="63" cm="1">
        <f t="array" ref="EK49">INDEX(FX_Input,$KB49,EK$85)</f>
        <v>944</v>
      </c>
      <c r="EL49" s="63">
        <f t="shared" si="54"/>
        <v>5299.616</v>
      </c>
      <c r="EM49" s="63">
        <f t="shared" si="55"/>
        <v>1.0710604227160609</v>
      </c>
      <c r="EN49" s="63">
        <f t="shared" si="56"/>
        <v>1</v>
      </c>
      <c r="EO49" s="63" cm="1">
        <f t="array" ref="EO49">IF(OR(INDEX(FX_Vap,$KK49,EO$90)="Crude Oil",(INDEX(FX_Vap,$KL49,EO$90)="Crude Oil")),0.75,1)</f>
        <v>1</v>
      </c>
      <c r="EP49" s="63">
        <f t="shared" si="114"/>
        <v>1</v>
      </c>
      <c r="EQ49" s="63">
        <f t="shared" si="57"/>
        <v>1.0290827631391641</v>
      </c>
      <c r="ER49" s="64">
        <f t="shared" si="58"/>
        <v>1.0290827631391641</v>
      </c>
      <c r="ES49" s="80" t="str" cm="1">
        <f t="array" ref="ES49">IF(ISBLANK(INDEX(FX_Input,$KB49+1,ES$85)),INDEX(FX_Input,$KB49,ES$85),INDEX(FX_Input,$KB49,ES$85)&amp;" &amp; "&amp;INDEX(FX_Input,$KB49+1,ES$85))</f>
        <v>Jet kerosene</v>
      </c>
      <c r="ET49" s="63" cm="1">
        <f t="array" ref="ET49">INDEX(FX_Temps,$KC49+7,ET$89)</f>
        <v>0</v>
      </c>
      <c r="EU49" s="63" cm="1">
        <f t="array" ref="EU49">INDEX(FX_Temps,$KC49+13,EU$89)+459.6</f>
        <v>520.5</v>
      </c>
      <c r="EV49" s="63" cm="1">
        <f t="array" ref="EV49">INDEX(FX_Vap,$KG49,EV$91)-INDEX(FX_Vap,$KH49,EV$91)</f>
        <v>0</v>
      </c>
      <c r="EW49" s="73" cm="1">
        <f t="array" ref="EW49">IF(ES49="Out of Service",0,INDEX(FX_Vap,$KI49,EW$91))</f>
        <v>8.4605262729351115E-3</v>
      </c>
      <c r="EX49" s="63">
        <f t="shared" si="59"/>
        <v>0</v>
      </c>
      <c r="EY49" s="63">
        <f t="shared" si="60"/>
        <v>0.99324969418748754</v>
      </c>
      <c r="EZ49" s="63" cm="1">
        <f t="array" ref="EZ49">INDEX(FX_Vap,$KJ49,EZ$91)</f>
        <v>130</v>
      </c>
      <c r="FA49" s="63" cm="1">
        <f t="array" ref="FA49">INDEX(FX_Temps,$KD49,FA$89)+459.6</f>
        <v>520.5</v>
      </c>
      <c r="FB49" s="63">
        <f t="shared" si="61"/>
        <v>1.969154544366044E-4</v>
      </c>
      <c r="FC49" s="63" cm="1">
        <f t="array" ref="FC49">INDEX(Month_Ref,FC$83,3)*EX49*(PI()/4*$F49^2)*$H49*EY49*FB49</f>
        <v>0</v>
      </c>
      <c r="FD49" s="63" cm="1">
        <f t="array" ref="FD49">INDEX(FX_Input,$KB49,FD$85)</f>
        <v>944</v>
      </c>
      <c r="FE49" s="63">
        <f t="shared" si="62"/>
        <v>5299.616</v>
      </c>
      <c r="FF49" s="63">
        <f t="shared" si="63"/>
        <v>1.0710604227160609</v>
      </c>
      <c r="FG49" s="63">
        <f t="shared" si="64"/>
        <v>1</v>
      </c>
      <c r="FH49" s="63" cm="1">
        <f t="array" ref="FH49">IF(OR(INDEX(FX_Vap,$KK49,FH$90)="Crude Oil",(INDEX(FX_Vap,$KL49,FH$90)="Crude Oil")),0.75,1)</f>
        <v>1</v>
      </c>
      <c r="FI49" s="63">
        <f t="shared" si="115"/>
        <v>1</v>
      </c>
      <c r="FJ49" s="63">
        <f t="shared" si="65"/>
        <v>1.0435762929794996</v>
      </c>
      <c r="FK49" s="64">
        <f t="shared" si="66"/>
        <v>1.0435762929794996</v>
      </c>
      <c r="FL49" s="80" t="str" cm="1">
        <f t="array" ref="FL49">IF(ISBLANK(INDEX(FX_Input,$KB49+1,FL$85)),INDEX(FX_Input,$KB49,FL$85),INDEX(FX_Input,$KB49,FL$85)&amp;" &amp; "&amp;INDEX(FX_Input,$KB49+1,FL$85))</f>
        <v>Jet kerosene</v>
      </c>
      <c r="FM49" s="63" cm="1">
        <f t="array" ref="FM49">INDEX(FX_Temps,$KC49+7,FM$89)</f>
        <v>0</v>
      </c>
      <c r="FN49" s="63" cm="1">
        <f t="array" ref="FN49">INDEX(FX_Temps,$KC49+13,FN$89)+459.6</f>
        <v>518.20000000000005</v>
      </c>
      <c r="FO49" s="63" cm="1">
        <f t="array" ref="FO49">INDEX(FX_Vap,$KG49,FO$91)-INDEX(FX_Vap,$KH49,FO$91)</f>
        <v>0</v>
      </c>
      <c r="FP49" s="73" cm="1">
        <f t="array" ref="FP49">IF(FL49="Out of Service",0,INDEX(FX_Vap,$KI49,FP$91))</f>
        <v>7.8399882233967533E-3</v>
      </c>
      <c r="FQ49" s="63">
        <f t="shared" si="67"/>
        <v>0</v>
      </c>
      <c r="FR49" s="63">
        <f t="shared" si="68"/>
        <v>0.99374169746902841</v>
      </c>
      <c r="FS49" s="63" cm="1">
        <f t="array" ref="FS49">INDEX(FX_Vap,$KJ49,FS$91)</f>
        <v>130</v>
      </c>
      <c r="FT49" s="63" cm="1">
        <f t="array" ref="FT49">INDEX(FX_Temps,$KD49,FT$89)+459.6</f>
        <v>518.20000000000005</v>
      </c>
      <c r="FU49" s="63">
        <f t="shared" si="69"/>
        <v>1.8328256712249962E-4</v>
      </c>
      <c r="FV49" s="63" cm="1">
        <f t="array" ref="FV49">INDEX(Month_Ref,FV$83,3)*FQ49*(PI()/4*$F49^2)*$H49*FR49*FU49</f>
        <v>0</v>
      </c>
      <c r="FW49" s="63" cm="1">
        <f t="array" ref="FW49">INDEX(FX_Input,$KB49,FW$85)</f>
        <v>944</v>
      </c>
      <c r="FX49" s="63">
        <f t="shared" si="70"/>
        <v>5299.616</v>
      </c>
      <c r="FY49" s="63">
        <f t="shared" si="71"/>
        <v>1.0710604227160609</v>
      </c>
      <c r="FZ49" s="63">
        <f t="shared" si="72"/>
        <v>1</v>
      </c>
      <c r="GA49" s="63" cm="1">
        <f t="array" ref="GA49">IF(OR(INDEX(FX_Vap,$KK49,GA$90)="Crude Oil",(INDEX(FX_Vap,$KL49,GA$90)="Crude Oil")),0.75,1)</f>
        <v>1</v>
      </c>
      <c r="GB49" s="63">
        <f t="shared" si="116"/>
        <v>1</v>
      </c>
      <c r="GC49" s="63">
        <f t="shared" si="73"/>
        <v>0.97132722524347292</v>
      </c>
      <c r="GD49" s="64">
        <f t="shared" si="74"/>
        <v>0.97132722524347292</v>
      </c>
      <c r="GE49" s="80" t="str" cm="1">
        <f t="array" ref="GE49">IF(ISBLANK(INDEX(FX_Input,$KB49+1,GE$85)),INDEX(FX_Input,$KB49,GE$85),INDEX(FX_Input,$KB49,GE$85)&amp;" &amp; "&amp;INDEX(FX_Input,$KB49+1,GE$85))</f>
        <v>Jet kerosene</v>
      </c>
      <c r="GF49" s="63" cm="1">
        <f t="array" ref="GF49">INDEX(FX_Temps,$KC49+7,GF$89)</f>
        <v>0</v>
      </c>
      <c r="GG49" s="63" cm="1">
        <f t="array" ref="GG49">INDEX(FX_Temps,$KC49+13,GG$89)+459.6</f>
        <v>512.25</v>
      </c>
      <c r="GH49" s="63" cm="1">
        <f t="array" ref="GH49">INDEX(FX_Vap,$KG49,GH$91)-INDEX(FX_Vap,$KH49,GH$91)</f>
        <v>0</v>
      </c>
      <c r="GI49" s="73" cm="1">
        <f t="array" ref="GI49">IF(GE49="Out of Service",0,INDEX(FX_Vap,$KI49,GI$91))</f>
        <v>6.4173462075160911E-3</v>
      </c>
      <c r="GJ49" s="63">
        <f t="shared" si="75"/>
        <v>0</v>
      </c>
      <c r="GK49" s="63">
        <f t="shared" si="76"/>
        <v>0.99487150317877748</v>
      </c>
      <c r="GL49" s="63" cm="1">
        <f t="array" ref="GL49">INDEX(FX_Vap,$KJ49,GL$91)</f>
        <v>130</v>
      </c>
      <c r="GM49" s="63" cm="1">
        <f t="array" ref="GM49">INDEX(FX_Temps,$KD49,GM$89)+459.6</f>
        <v>512.25</v>
      </c>
      <c r="GN49" s="63">
        <f t="shared" si="77"/>
        <v>1.5176675903637226E-4</v>
      </c>
      <c r="GO49" s="63" cm="1">
        <f t="array" ref="GO49">INDEX(Month_Ref,GO$83,3)*GJ49*(PI()/4*$F49^2)*$H49*GK49*GN49</f>
        <v>0</v>
      </c>
      <c r="GP49" s="63" cm="1">
        <f t="array" ref="GP49">INDEX(FX_Input,$KB49,GP$85)</f>
        <v>944</v>
      </c>
      <c r="GQ49" s="63">
        <f t="shared" si="78"/>
        <v>5299.616</v>
      </c>
      <c r="GR49" s="63">
        <f t="shared" si="79"/>
        <v>1.0710604227160609</v>
      </c>
      <c r="GS49" s="63">
        <f t="shared" si="80"/>
        <v>1</v>
      </c>
      <c r="GT49" s="63" cm="1">
        <f t="array" ref="GT49">IF(OR(INDEX(FX_Vap,$KK49,GT$90)="Crude Oil",(INDEX(FX_Vap,$KL49,GT$90)="Crude Oil")),0.75,1)</f>
        <v>1</v>
      </c>
      <c r="GU49" s="63">
        <f t="shared" si="117"/>
        <v>1</v>
      </c>
      <c r="GV49" s="63">
        <f t="shared" si="81"/>
        <v>0.80430554445730296</v>
      </c>
      <c r="GW49" s="64">
        <f t="shared" si="82"/>
        <v>0.80430554445730296</v>
      </c>
      <c r="GX49" s="80" t="str" cm="1">
        <f t="array" ref="GX49">IF(ISBLANK(INDEX(FX_Input,$KB49+1,GX$85)),INDEX(FX_Input,$KB49,GX$85),INDEX(FX_Input,$KB49,GX$85)&amp;" &amp; "&amp;INDEX(FX_Input,$KB49+1,GX$85))</f>
        <v>Jet kerosene</v>
      </c>
      <c r="GY49" s="63" cm="1">
        <f t="array" ref="GY49">INDEX(FX_Temps,$KC49+7,GY$89)</f>
        <v>0</v>
      </c>
      <c r="GZ49" s="63" cm="1">
        <f t="array" ref="GZ49">INDEX(FX_Temps,$KC49+13,GZ$89)+459.6</f>
        <v>506.70000000000005</v>
      </c>
      <c r="HA49" s="63" cm="1">
        <f t="array" ref="HA49">INDEX(FX_Vap,$KG49,HA$91)-INDEX(FX_Vap,$KH49,HA$91)</f>
        <v>0</v>
      </c>
      <c r="HB49" s="73" cm="1">
        <f t="array" ref="HB49">IF(GX49="Out of Service",0,INDEX(FX_Vap,$KI49,HB$91))</f>
        <v>5.3015226887581056E-3</v>
      </c>
      <c r="HC49" s="63">
        <f t="shared" si="83"/>
        <v>0</v>
      </c>
      <c r="HD49" s="63">
        <f t="shared" si="84"/>
        <v>0.99575944511311454</v>
      </c>
      <c r="HE49" s="63" cm="1">
        <f t="array" ref="HE49">INDEX(FX_Vap,$KJ49,HE$91)</f>
        <v>130</v>
      </c>
      <c r="HF49" s="63" cm="1">
        <f t="array" ref="HF49">INDEX(FX_Temps,$KD49,HF$89)+459.6</f>
        <v>506.70000000000005</v>
      </c>
      <c r="HG49" s="63">
        <f t="shared" si="85"/>
        <v>1.2675143286623188E-4</v>
      </c>
      <c r="HH49" s="63" cm="1">
        <f t="array" ref="HH49">INDEX(Month_Ref,HH$83,3)*HC49*(PI()/4*$F49^2)*$H49*HD49*HG49</f>
        <v>0</v>
      </c>
      <c r="HI49" s="63" cm="1">
        <f t="array" ref="HI49">INDEX(FX_Input,$KB49,HI$85)</f>
        <v>944</v>
      </c>
      <c r="HJ49" s="63">
        <f t="shared" si="86"/>
        <v>5299.616</v>
      </c>
      <c r="HK49" s="63">
        <f t="shared" si="87"/>
        <v>1.0710604227160609</v>
      </c>
      <c r="HL49" s="63">
        <f t="shared" si="88"/>
        <v>1</v>
      </c>
      <c r="HM49" s="63" cm="1">
        <f t="array" ref="HM49">IF(OR(INDEX(FX_Vap,$KK49,HM$90)="Crude Oil",(INDEX(FX_Vap,$KL49,HM$90)="Crude Oil")),0.75,1)</f>
        <v>1</v>
      </c>
      <c r="HN49" s="63">
        <f t="shared" si="118"/>
        <v>1</v>
      </c>
      <c r="HO49" s="63">
        <f t="shared" si="89"/>
        <v>0.67173392164080836</v>
      </c>
      <c r="HP49" s="64">
        <f t="shared" si="90"/>
        <v>0.67173392164080836</v>
      </c>
      <c r="HQ49" s="80" t="str" cm="1">
        <f t="array" ref="HQ49">IF(ISBLANK(INDEX(FX_Input,$KB49+1,HQ$85)),INDEX(FX_Input,$KB49,HQ$85),INDEX(FX_Input,$KB49,HQ$85)&amp;" &amp; "&amp;INDEX(FX_Input,$KB49+1,HQ$85))</f>
        <v>Jet kerosene</v>
      </c>
      <c r="HR49" s="63" cm="1">
        <f t="array" ref="HR49">INDEX(FX_Temps,$KC49+7,HR$89)</f>
        <v>0</v>
      </c>
      <c r="HS49" s="63" cm="1">
        <f t="array" ref="HS49">INDEX(FX_Temps,$KC49+13,HS$89)+459.6</f>
        <v>503.20000000000005</v>
      </c>
      <c r="HT49" s="63" cm="1">
        <f t="array" ref="HT49">INDEX(FX_Vap,$KG49,HT$91)-INDEX(FX_Vap,$KH49,HT$91)</f>
        <v>0</v>
      </c>
      <c r="HU49" s="73" cm="1">
        <f t="array" ref="HU49">IF(HQ49="Out of Service",0,INDEX(FX_Vap,$KI49,HU$91))</f>
        <v>4.68970903600947E-3</v>
      </c>
      <c r="HV49" s="63">
        <f t="shared" si="91"/>
        <v>0</v>
      </c>
      <c r="HW49" s="63">
        <f t="shared" si="92"/>
        <v>0.99624698286195801</v>
      </c>
      <c r="HX49" s="63" cm="1">
        <f t="array" ref="HX49">INDEX(FX_Vap,$KJ49,HX$91)</f>
        <v>130</v>
      </c>
      <c r="HY49" s="63" cm="1">
        <f t="array" ref="HY49">INDEX(FX_Temps,$KD49,HY$89)+459.6</f>
        <v>503.20000000000005</v>
      </c>
      <c r="HZ49" s="63">
        <f t="shared" si="93"/>
        <v>1.1290376474196325E-4</v>
      </c>
      <c r="IA49" s="63" cm="1">
        <f t="array" ref="IA49">INDEX(Month_Ref,IA$83,3)*HV49*(PI()/4*$F49^2)*$H49*HW49*HZ49</f>
        <v>0</v>
      </c>
      <c r="IB49" s="63" cm="1">
        <f t="array" ref="IB49">INDEX(FX_Input,$KB49,IB$85)</f>
        <v>944</v>
      </c>
      <c r="IC49" s="63">
        <f t="shared" si="94"/>
        <v>5299.616</v>
      </c>
      <c r="ID49" s="63">
        <f t="shared" si="95"/>
        <v>1.0710604227160609</v>
      </c>
      <c r="IE49" s="63">
        <f t="shared" si="96"/>
        <v>1</v>
      </c>
      <c r="IF49" s="63" cm="1">
        <f t="array" ref="IF49">IF(OR(INDEX(FX_Vap,$KK49,IF$90)="Crude Oil",(INDEX(FX_Vap,$KL49,IF$90)="Crude Oil")),0.75,1)</f>
        <v>1</v>
      </c>
      <c r="IG49" s="63">
        <f t="shared" si="119"/>
        <v>1</v>
      </c>
      <c r="IH49" s="63">
        <f t="shared" si="97"/>
        <v>0.59834659808674429</v>
      </c>
      <c r="II49" s="64">
        <f t="shared" si="98"/>
        <v>0.59834659808674429</v>
      </c>
      <c r="IJ49" s="80">
        <f t="shared" si="99"/>
        <v>0</v>
      </c>
      <c r="IK49" s="63">
        <f t="shared" si="100"/>
        <v>0</v>
      </c>
      <c r="IL49" s="63">
        <f t="shared" si="101"/>
        <v>9.438388092895412</v>
      </c>
      <c r="IM49" s="63">
        <f t="shared" si="102"/>
        <v>4.7191940464477063E-3</v>
      </c>
      <c r="IN49" s="63">
        <f t="shared" si="103"/>
        <v>9.438388092895412</v>
      </c>
      <c r="IO49" s="64">
        <f t="shared" si="104"/>
        <v>4.7191940464477063E-3</v>
      </c>
      <c r="KB49" s="43">
        <f t="shared" si="120"/>
        <v>77</v>
      </c>
      <c r="KC49" s="43">
        <f t="shared" si="121"/>
        <v>533</v>
      </c>
      <c r="KD49" s="43">
        <f t="shared" si="122"/>
        <v>546</v>
      </c>
      <c r="KE49" s="43">
        <f t="shared" si="123"/>
        <v>533</v>
      </c>
      <c r="KF49" s="43">
        <f t="shared" si="124"/>
        <v>1293</v>
      </c>
      <c r="KG49" s="43">
        <f t="shared" si="125"/>
        <v>1316</v>
      </c>
      <c r="KH49" s="43">
        <f t="shared" si="126"/>
        <v>1311</v>
      </c>
      <c r="KI49" s="43">
        <f t="shared" si="126"/>
        <v>1321</v>
      </c>
      <c r="KJ49" s="43">
        <f t="shared" si="126"/>
        <v>1326</v>
      </c>
      <c r="KK49" s="43">
        <f t="shared" si="127"/>
        <v>1297</v>
      </c>
      <c r="KL49" s="43">
        <f t="shared" si="128"/>
        <v>1299</v>
      </c>
    </row>
    <row r="50" spans="2:298" x14ac:dyDescent="0.4">
      <c r="B50" s="43" t="str" cm="1">
        <f t="array" ref="B50">INDEX(FX_Input,$KB50,B$85)</f>
        <v>FX - 40</v>
      </c>
      <c r="C50" s="93" t="str" cm="1">
        <f t="array" ref="C50">INDEX(FX_Input,$KB50,C$85)</f>
        <v>FIXTANK 168</v>
      </c>
      <c r="D50" s="80">
        <f t="shared" si="129"/>
        <v>2678.3304556483295</v>
      </c>
      <c r="E50" s="63" cm="1">
        <f t="array" ref="E50">IF(ISBLANK(INDEX(FX_Input,$KB50,$E$85)),0.03,INDEX(FX_Input,$KB50,$E$85))-IF(ISBLANK(INDEX(FX_Input,$KB50,$E$86)),-0.03,INDEX(FX_Input,$KB50,$E$86))</f>
        <v>0.06</v>
      </c>
      <c r="F50" s="63" cm="1">
        <f t="array" ref="F50">IF(INDEX(FX_Input,$KB50,F$85)="Vertical",INDEX(FX_Input,$KB50,F$86),SQRT((INDEX(FX_Input,$KB50,F$86)*INDEX(FX_Input,$KB50,F$87))/(PI()/4)))</f>
        <v>15</v>
      </c>
      <c r="G50" s="63" cm="1">
        <f t="array" ref="G50">IF(INDEX(FX_Input,$KB50,G$85)="Vertical",INDEX(FX_Input,$KB50,G$86),INDEX(FX_Input,$KB50,G$87)*PI()/4)</f>
        <v>30</v>
      </c>
      <c r="H50" s="63" cm="1">
        <f t="array" ref="H50">IF(INDEX(FX_Input,$KB50,H$85)="Vertical",G50-G50/2+J50,G50/2)</f>
        <v>15.15625</v>
      </c>
      <c r="I50" s="63" cm="1">
        <f t="array" ref="I50">IF(INDEX(FX_Input,$KB50,F$85)="Horizontal","N/A",IF(INDEX(FX_Input,$KB50,I$86)="Cone",IF(ISBLANK(INDEX(FX_Input,$KB50,I$87)),0.0625,INDEX(FX_Input,$KB50,I$87))*F50/2,F50/2-SQRT((F50/2)^2-(INDEX(FX_Input,$KB50,I$88)^2))))</f>
        <v>0.46875</v>
      </c>
      <c r="J50" s="63" cm="1">
        <f t="array" ref="J50">IF(INDEX(FX_Input,$KB50,J$85)="Horizontal","N/A",IF(INDEX(FX_Input,$KB50,J$86)="Cone",I50/3,I50*(1/2+(1/6)*(I50/(F50/2))^2)))</f>
        <v>0.15625</v>
      </c>
      <c r="K50" s="63">
        <f t="shared" si="130"/>
        <v>29</v>
      </c>
      <c r="L50" s="63">
        <v>1</v>
      </c>
      <c r="M50" s="63" t="str" cm="1">
        <f t="array" ref="M50">INDEX(Tbl_71_6,MATCH(INDEX(FX_Input,$KB50,M$85),Paint_Color,0),VLOOKUP(INDEX(FX_Input,$KB50,M$86),Paint_Cond_Column,2,FALSE))</f>
        <v>N/A</v>
      </c>
      <c r="N50" s="63" t="str" cm="1">
        <f t="array" ref="N50">INDEX(Tbl_71_6,MATCH(INDEX(FX_Input,$KB50,N$85),Paint_Color,0),VLOOKUP(INDEX(FX_Input,$KB50,N$86),Paint_Cond_Column,2,FALSE))</f>
        <v>N/A</v>
      </c>
      <c r="O50" s="64" t="str">
        <f t="shared" si="2"/>
        <v>Insulated</v>
      </c>
      <c r="P50" s="80" t="str" cm="1">
        <f t="array" ref="P50">IF(ISBLANK(INDEX(FX_Input,$KB50+1,P$85)),INDEX(FX_Input,$KB50,P$85),INDEX(FX_Input,$KB50,P$85)&amp;" &amp; "&amp;INDEX(FX_Input,$KB50+1,P$85))</f>
        <v>Jet kerosene</v>
      </c>
      <c r="Q50" s="63" cm="1">
        <f t="array" ref="Q50">INDEX(FX_Temps,$KC50+7,Q$89)</f>
        <v>0</v>
      </c>
      <c r="R50" s="63" cm="1">
        <f t="array" ref="R50">INDEX(FX_Temps,$KC50+13,R$89)+459.6</f>
        <v>503.5</v>
      </c>
      <c r="S50" s="63" cm="1">
        <f t="array" ref="S50">INDEX(FX_Vap,$KG50,S$91)-INDEX(FX_Vap,$KH50,S$91)</f>
        <v>0</v>
      </c>
      <c r="T50" s="73" cm="1">
        <f t="array" ref="T50">IF(P50="Out of Service",0,INDEX(FX_Vap,$KI50,T$91))</f>
        <v>4.739577185808354E-3</v>
      </c>
      <c r="U50" s="63">
        <f t="shared" si="3"/>
        <v>0</v>
      </c>
      <c r="V50" s="63">
        <f t="shared" si="4"/>
        <v>0.99620722641246529</v>
      </c>
      <c r="W50" s="63" cm="1">
        <f t="array" ref="W50">INDEX(FX_Vap,$KJ50,W$91)</f>
        <v>130</v>
      </c>
      <c r="X50" s="63" cm="1">
        <f t="array" ref="X50">INDEX(FX_Temps,$KD50,X$89)+459.6</f>
        <v>503.5</v>
      </c>
      <c r="Y50" s="63">
        <f t="shared" si="5"/>
        <v>1.1403634333314844E-4</v>
      </c>
      <c r="Z50" s="63" cm="1">
        <f t="array" ref="Z50">INDEX(Month_Ref,Z$83,3)*U50*(PI()/4*$F50^2)*$H50*V50*Y50</f>
        <v>0</v>
      </c>
      <c r="AA50" s="63" cm="1">
        <f t="array" ref="AA50">INDEX(FX_Input,$KB50,AA$85)</f>
        <v>944</v>
      </c>
      <c r="AB50" s="63">
        <f t="shared" si="6"/>
        <v>5299.616</v>
      </c>
      <c r="AC50" s="63">
        <f t="shared" si="7"/>
        <v>1.0710604227160609</v>
      </c>
      <c r="AD50" s="63">
        <f t="shared" si="8"/>
        <v>1</v>
      </c>
      <c r="AE50" s="63" cm="1">
        <f t="array" ref="AE50">IF(OR(INDEX(FX_Vap,$KK50,AE$90)="Crude Oil",(INDEX(FX_Vap,$KL50,AE$90)="Crude Oil")),0.75,1)</f>
        <v>1</v>
      </c>
      <c r="AF50" s="63">
        <f t="shared" si="108"/>
        <v>1</v>
      </c>
      <c r="AG50" s="63">
        <f t="shared" si="9"/>
        <v>0.60434882970984682</v>
      </c>
      <c r="AH50" s="64">
        <f t="shared" si="10"/>
        <v>0.60434882970984682</v>
      </c>
      <c r="AI50" s="80" t="str" cm="1">
        <f t="array" ref="AI50">IF(ISBLANK(INDEX(FX_Input,$KB50+1,AI$85)),INDEX(FX_Input,$KB50,AI$85),INDEX(FX_Input,$KB50,AI$85)&amp;" &amp; "&amp;INDEX(FX_Input,$KB50+1,AI$85))</f>
        <v>Jet kerosene</v>
      </c>
      <c r="AJ50" s="63" cm="1">
        <f t="array" ref="AJ50">INDEX(FX_Temps,$KC50+7,AJ$89)</f>
        <v>0</v>
      </c>
      <c r="AK50" s="63" cm="1">
        <f t="array" ref="AK50">INDEX(FX_Temps,$KC50+13,AK$89)+459.6</f>
        <v>504.30000000000007</v>
      </c>
      <c r="AL50" s="63" cm="1">
        <f t="array" ref="AL50">INDEX(FX_Vap,$KG50,AL$91)-INDEX(FX_Vap,$KH50,AL$91)</f>
        <v>0</v>
      </c>
      <c r="AM50" s="73" cm="1">
        <f t="array" ref="AM50">IF(AI50="Out of Service",0,INDEX(FX_Vap,$KI50,AM$91))</f>
        <v>4.8748667780818778E-3</v>
      </c>
      <c r="AN50" s="63">
        <f t="shared" si="11"/>
        <v>0</v>
      </c>
      <c r="AO50" s="63">
        <f t="shared" si="12"/>
        <v>0.99609938529544217</v>
      </c>
      <c r="AP50" s="63" cm="1">
        <f t="array" ref="AP50">INDEX(FX_Vap,$KJ50,AP$91)</f>
        <v>130</v>
      </c>
      <c r="AQ50" s="63" cm="1">
        <f t="array" ref="AQ50">INDEX(FX_Temps,$KD50,AQ$89)+459.6</f>
        <v>504.30000000000007</v>
      </c>
      <c r="AR50" s="63">
        <f t="shared" si="13"/>
        <v>1.1710540514572422E-4</v>
      </c>
      <c r="AS50" s="63" cm="1">
        <f t="array" ref="AS50">INDEX(Month_Ref,AS$83,3)*AN50*(PI()/4*$F50^2)*$H50*AO50*AR50</f>
        <v>0</v>
      </c>
      <c r="AT50" s="63" cm="1">
        <f t="array" ref="AT50">INDEX(FX_Input,$KB50,AT$85)</f>
        <v>944</v>
      </c>
      <c r="AU50" s="63">
        <f t="shared" si="14"/>
        <v>5299.616</v>
      </c>
      <c r="AV50" s="63">
        <f t="shared" si="15"/>
        <v>1.0710604227160609</v>
      </c>
      <c r="AW50" s="63">
        <f t="shared" si="16"/>
        <v>1</v>
      </c>
      <c r="AX50" s="63" cm="1">
        <f t="array" ref="AX50">IF(OR(INDEX(FX_Vap,$KK50,AX$90)="Crude Oil",(INDEX(FX_Vap,$KL50,AX$90)="Crude Oil")),0.75,1)</f>
        <v>1</v>
      </c>
      <c r="AY50" s="63">
        <f t="shared" si="109"/>
        <v>1</v>
      </c>
      <c r="AZ50" s="63">
        <f t="shared" si="17"/>
        <v>0.62061367879676244</v>
      </c>
      <c r="BA50" s="64">
        <f t="shared" si="18"/>
        <v>0.62061367879676244</v>
      </c>
      <c r="BB50" s="80" t="str" cm="1">
        <f t="array" ref="BB50">IF(ISBLANK(INDEX(FX_Input,$KB50+1,BB$85)),INDEX(FX_Input,$KB50,BB$85),INDEX(FX_Input,$KB50,BB$85)&amp;" &amp; "&amp;INDEX(FX_Input,$KB50+1,BB$85))</f>
        <v>Jet kerosene</v>
      </c>
      <c r="BC50" s="63" cm="1">
        <f t="array" ref="BC50">INDEX(FX_Temps,$KC50+7,BC$89)</f>
        <v>0</v>
      </c>
      <c r="BD50" s="63" cm="1">
        <f t="array" ref="BD50">INDEX(FX_Temps,$KC50+13,BD$89)+459.6</f>
        <v>505.70000000000005</v>
      </c>
      <c r="BE50" s="63" cm="1">
        <f t="array" ref="BE50">INDEX(FX_Vap,$KG50,BE$91)-INDEX(FX_Vap,$KH50,BE$91)</f>
        <v>0</v>
      </c>
      <c r="BF50" s="73" cm="1">
        <f t="array" ref="BF50">IF(BB50="Out of Service",0,INDEX(FX_Vap,$KI50,BF$91))</f>
        <v>5.119885034186122E-3</v>
      </c>
      <c r="BG50" s="63">
        <f t="shared" si="19"/>
        <v>0</v>
      </c>
      <c r="BH50" s="63">
        <f t="shared" si="20"/>
        <v>0.9959041374351868</v>
      </c>
      <c r="BI50" s="63" cm="1">
        <f t="array" ref="BI50">INDEX(FX_Vap,$KJ50,BI$91)</f>
        <v>130</v>
      </c>
      <c r="BJ50" s="63" cm="1">
        <f t="array" ref="BJ50">INDEX(FX_Temps,$KD50,BJ$89)+459.6</f>
        <v>505.70000000000005</v>
      </c>
      <c r="BK50" s="63">
        <f t="shared" si="21"/>
        <v>1.226508078051294E-4</v>
      </c>
      <c r="BL50" s="63" cm="1">
        <f t="array" ref="BL50">INDEX(Month_Ref,BL$83,3)*BG50*(PI()/4*$F50^2)*$H50*BH50*BK50</f>
        <v>0</v>
      </c>
      <c r="BM50" s="63" cm="1">
        <f t="array" ref="BM50">INDEX(FX_Input,$KB50,BM$85)</f>
        <v>944</v>
      </c>
      <c r="BN50" s="63">
        <f t="shared" si="22"/>
        <v>5299.616</v>
      </c>
      <c r="BO50" s="63">
        <f t="shared" si="23"/>
        <v>1.0710604227160609</v>
      </c>
      <c r="BP50" s="63">
        <f t="shared" si="24"/>
        <v>1</v>
      </c>
      <c r="BQ50" s="63" cm="1">
        <f t="array" ref="BQ50">IF(OR(INDEX(FX_Vap,$KK50,BQ$90)="Crude Oil",(INDEX(FX_Vap,$KL50,BQ$90)="Crude Oil")),0.75,1)</f>
        <v>1</v>
      </c>
      <c r="BR50" s="63">
        <f t="shared" si="110"/>
        <v>1</v>
      </c>
      <c r="BS50" s="63">
        <f t="shared" si="25"/>
        <v>0.65000218345698868</v>
      </c>
      <c r="BT50" s="64">
        <f t="shared" si="26"/>
        <v>0.65000218345698868</v>
      </c>
      <c r="BU50" s="80" t="str" cm="1">
        <f t="array" ref="BU50">IF(ISBLANK(INDEX(FX_Input,$KB50+1,BU$85)),INDEX(FX_Input,$KB50,BU$85),INDEX(FX_Input,$KB50,BU$85)&amp;" &amp; "&amp;INDEX(FX_Input,$KB50+1,BU$85))</f>
        <v>Jet kerosene</v>
      </c>
      <c r="BV50" s="63" cm="1">
        <f t="array" ref="BV50">INDEX(FX_Temps,$KC50+7,BV$89)</f>
        <v>0</v>
      </c>
      <c r="BW50" s="63" cm="1">
        <f t="array" ref="BW50">INDEX(FX_Temps,$KC50+13,BW$89)+459.6</f>
        <v>508.2</v>
      </c>
      <c r="BX50" s="63" cm="1">
        <f t="array" ref="BX50">INDEX(FX_Vap,$KG50,BX$91)-INDEX(FX_Vap,$KH50,BX$91)</f>
        <v>0</v>
      </c>
      <c r="BY50" s="73" cm="1">
        <f t="array" ref="BY50">IF(BU50="Out of Service",0,INDEX(FX_Vap,$KI50,BY$91))</f>
        <v>5.5846958573521795E-3</v>
      </c>
      <c r="BZ50" s="63">
        <f t="shared" si="27"/>
        <v>0</v>
      </c>
      <c r="CA50" s="63">
        <f t="shared" si="28"/>
        <v>0.99553395357892638</v>
      </c>
      <c r="CB50" s="63" cm="1">
        <f t="array" ref="CB50">INDEX(FX_Vap,$KJ50,CB$91)</f>
        <v>130</v>
      </c>
      <c r="CC50" s="63" cm="1">
        <f t="array" ref="CC50">INDEX(FX_Temps,$KD50,CC$89)+459.6</f>
        <v>508.2</v>
      </c>
      <c r="CD50" s="63">
        <f t="shared" si="29"/>
        <v>1.3312757561120781E-4</v>
      </c>
      <c r="CE50" s="63" cm="1">
        <f t="array" ref="CE50">INDEX(Month_Ref,CE$83,3)*BZ50*(PI()/4*$F50^2)*$H50*CA50*CD50</f>
        <v>0</v>
      </c>
      <c r="CF50" s="63" cm="1">
        <f t="array" ref="CF50">INDEX(FX_Input,$KB50,CF$85)</f>
        <v>944</v>
      </c>
      <c r="CG50" s="63">
        <f t="shared" si="30"/>
        <v>5299.616</v>
      </c>
      <c r="CH50" s="63">
        <f t="shared" si="31"/>
        <v>1.0710604227160609</v>
      </c>
      <c r="CI50" s="63">
        <f t="shared" si="32"/>
        <v>1</v>
      </c>
      <c r="CJ50" s="63" cm="1">
        <f t="array" ref="CJ50">IF(OR(INDEX(FX_Vap,$KK50,CJ$90)="Crude Oil",(INDEX(FX_Vap,$KL50,CJ$90)="Crude Oil")),0.75,1)</f>
        <v>1</v>
      </c>
      <c r="CK50" s="63">
        <f t="shared" si="111"/>
        <v>1</v>
      </c>
      <c r="CL50" s="63">
        <f t="shared" si="33"/>
        <v>0.70552502975036668</v>
      </c>
      <c r="CM50" s="64">
        <f t="shared" si="34"/>
        <v>0.70552502975036668</v>
      </c>
      <c r="CN50" s="80" t="str" cm="1">
        <f t="array" ref="CN50">IF(ISBLANK(INDEX(FX_Input,$KB50+1,CN$85)),INDEX(FX_Input,$KB50,CN$85),INDEX(FX_Input,$KB50,CN$85)&amp;" &amp; "&amp;INDEX(FX_Input,$KB50+1,CN$85))</f>
        <v>Jet kerosene</v>
      </c>
      <c r="CO50" s="63" cm="1">
        <f t="array" ref="CO50">INDEX(FX_Temps,$KC50+7,CO$89)</f>
        <v>0</v>
      </c>
      <c r="CP50" s="63" cm="1">
        <f t="array" ref="CP50">INDEX(FX_Temps,$KC50+13,CP$89)+459.6</f>
        <v>512.75</v>
      </c>
      <c r="CQ50" s="63" cm="1">
        <f t="array" ref="CQ50">INDEX(FX_Vap,$KG50,CQ$91)-INDEX(FX_Vap,$KH50,CQ$91)</f>
        <v>0</v>
      </c>
      <c r="CR50" s="73" cm="1">
        <f t="array" ref="CR50">IF(CN50="Out of Service",0,INDEX(FX_Vap,$KI50,CR$91))</f>
        <v>6.5274070972739821E-3</v>
      </c>
      <c r="CS50" s="63">
        <f t="shared" si="35"/>
        <v>0</v>
      </c>
      <c r="CT50" s="63">
        <f t="shared" si="36"/>
        <v>0.99478400551960966</v>
      </c>
      <c r="CU50" s="63" cm="1">
        <f t="array" ref="CU50">INDEX(FX_Vap,$KJ50,CU$91)</f>
        <v>130</v>
      </c>
      <c r="CV50" s="63" cm="1">
        <f t="array" ref="CV50">INDEX(FX_Temps,$KD50,CV$89)+459.6</f>
        <v>512.75</v>
      </c>
      <c r="CW50" s="63">
        <f t="shared" si="37"/>
        <v>1.5421910831991609E-4</v>
      </c>
      <c r="CX50" s="63" cm="1">
        <f t="array" ref="CX50">INDEX(Month_Ref,CX$83,3)*CS50*(PI()/4*$F50^2)*$H50*CT50*CW50</f>
        <v>0</v>
      </c>
      <c r="CY50" s="63" cm="1">
        <f t="array" ref="CY50">INDEX(FX_Input,$KB50,CY$85)</f>
        <v>944</v>
      </c>
      <c r="CZ50" s="63">
        <f t="shared" si="38"/>
        <v>5299.616</v>
      </c>
      <c r="DA50" s="63">
        <f t="shared" si="39"/>
        <v>1.0710604227160609</v>
      </c>
      <c r="DB50" s="63">
        <f t="shared" si="40"/>
        <v>1</v>
      </c>
      <c r="DC50" s="63" cm="1">
        <f t="array" ref="DC50">IF(OR(INDEX(FX_Vap,$KK50,DC$90)="Crude Oil",(INDEX(FX_Vap,$KL50,DC$90)="Crude Oil")),0.75,1)</f>
        <v>1</v>
      </c>
      <c r="DD50" s="63">
        <f t="shared" si="112"/>
        <v>1</v>
      </c>
      <c r="DE50" s="63">
        <f t="shared" si="41"/>
        <v>0.81730205395796041</v>
      </c>
      <c r="DF50" s="64">
        <f t="shared" si="42"/>
        <v>0.81730205395796041</v>
      </c>
      <c r="DG50" s="80" t="str" cm="1">
        <f t="array" ref="DG50">IF(ISBLANK(INDEX(FX_Input,$KB50+1,DG$85)),INDEX(FX_Input,$KB50,DG$85),INDEX(FX_Input,$KB50,DG$85)&amp;" &amp; "&amp;INDEX(FX_Input,$KB50+1,DG$85))</f>
        <v>Jet kerosene</v>
      </c>
      <c r="DH50" s="63" cm="1">
        <f t="array" ref="DH50">INDEX(FX_Temps,$KC50+7,DH$89)</f>
        <v>0</v>
      </c>
      <c r="DI50" s="63" cm="1">
        <f t="array" ref="DI50">INDEX(FX_Temps,$KC50+13,DI$89)+459.6</f>
        <v>516.55000000000007</v>
      </c>
      <c r="DJ50" s="63" cm="1">
        <f t="array" ref="DJ50">INDEX(FX_Vap,$KG50,DJ$91)-INDEX(FX_Vap,$KH50,DJ$91)</f>
        <v>0</v>
      </c>
      <c r="DK50" s="73" cm="1">
        <f t="array" ref="DK50">IF(DG50="Out of Service",0,INDEX(FX_Vap,$KI50,DK$91))</f>
        <v>7.4199539958878279E-3</v>
      </c>
      <c r="DL50" s="63">
        <f t="shared" si="43"/>
        <v>0</v>
      </c>
      <c r="DM50" s="63">
        <f t="shared" si="44"/>
        <v>0.99407500488639677</v>
      </c>
      <c r="DN50" s="63" cm="1">
        <f t="array" ref="DN50">INDEX(FX_Vap,$KJ50,DN$91)</f>
        <v>130</v>
      </c>
      <c r="DO50" s="63" cm="1">
        <f t="array" ref="DO50">INDEX(FX_Temps,$KD50,DO$89)+459.6</f>
        <v>516.55000000000007</v>
      </c>
      <c r="DP50" s="63">
        <f t="shared" si="45"/>
        <v>1.7401713099147103E-4</v>
      </c>
      <c r="DQ50" s="63" cm="1">
        <f t="array" ref="DQ50">INDEX(Month_Ref,DQ$83,3)*DL50*(PI()/4*$F50^2)*$H50*DM50*DP50</f>
        <v>0</v>
      </c>
      <c r="DR50" s="63" cm="1">
        <f t="array" ref="DR50">INDEX(FX_Input,$KB50,DR$85)</f>
        <v>944</v>
      </c>
      <c r="DS50" s="63">
        <f t="shared" si="46"/>
        <v>5299.616</v>
      </c>
      <c r="DT50" s="63">
        <f t="shared" si="47"/>
        <v>1.0710604227160609</v>
      </c>
      <c r="DU50" s="63">
        <f t="shared" si="48"/>
        <v>1</v>
      </c>
      <c r="DV50" s="63" cm="1">
        <f t="array" ref="DV50">IF(OR(INDEX(FX_Vap,$KK50,DV$90)="Crude Oil",(INDEX(FX_Vap,$KL50,DV$90)="Crude Oil")),0.75,1)</f>
        <v>1</v>
      </c>
      <c r="DW50" s="63">
        <f t="shared" si="113"/>
        <v>1</v>
      </c>
      <c r="DX50" s="63">
        <f t="shared" si="49"/>
        <v>0.92222397167649572</v>
      </c>
      <c r="DY50" s="64">
        <f t="shared" si="50"/>
        <v>0.92222397167649572</v>
      </c>
      <c r="DZ50" s="80" t="str" cm="1">
        <f t="array" ref="DZ50">IF(ISBLANK(INDEX(FX_Input,$KB50+1,DZ$85)),INDEX(FX_Input,$KB50,DZ$85),INDEX(FX_Input,$KB50,DZ$85)&amp;" &amp; "&amp;INDEX(FX_Input,$KB50+1,DZ$85))</f>
        <v>Jet kerosene</v>
      </c>
      <c r="EA50" s="63" cm="1">
        <f t="array" ref="EA50">INDEX(FX_Temps,$KC50+7,EA$89)</f>
        <v>0</v>
      </c>
      <c r="EB50" s="63" cm="1">
        <f t="array" ref="EB50">INDEX(FX_Temps,$KC50+13,EB$89)+459.6</f>
        <v>520.04999999999995</v>
      </c>
      <c r="EC50" s="63" cm="1">
        <f t="array" ref="EC50">INDEX(FX_Vap,$KG50,EC$91)-INDEX(FX_Vap,$KH50,EC$91)</f>
        <v>0</v>
      </c>
      <c r="ED50" s="73" cm="1">
        <f t="array" ref="ED50">IF(DZ50="Out of Service",0,INDEX(FX_Vap,$KI50,ED$91))</f>
        <v>8.3358107202842254E-3</v>
      </c>
      <c r="EE50" s="63">
        <f t="shared" si="51"/>
        <v>0</v>
      </c>
      <c r="EF50" s="63">
        <f t="shared" si="52"/>
        <v>0.99334853773917264</v>
      </c>
      <c r="EG50" s="63" cm="1">
        <f t="array" ref="EG50">INDEX(FX_Vap,$KJ50,EG$91)</f>
        <v>130</v>
      </c>
      <c r="EH50" s="63" cm="1">
        <f t="array" ref="EH50">INDEX(FX_Temps,$KD50,EH$89)+459.6</f>
        <v>520.04999999999995</v>
      </c>
      <c r="EI50" s="63">
        <f t="shared" si="53"/>
        <v>1.9418062801892895E-4</v>
      </c>
      <c r="EJ50" s="63" cm="1">
        <f t="array" ref="EJ50">INDEX(Month_Ref,EJ$83,3)*EE50*(PI()/4*$F50^2)*$H50*EF50*EI50</f>
        <v>0</v>
      </c>
      <c r="EK50" s="63" cm="1">
        <f t="array" ref="EK50">INDEX(FX_Input,$KB50,EK$85)</f>
        <v>944</v>
      </c>
      <c r="EL50" s="63">
        <f t="shared" si="54"/>
        <v>5299.616</v>
      </c>
      <c r="EM50" s="63">
        <f t="shared" si="55"/>
        <v>1.0710604227160609</v>
      </c>
      <c r="EN50" s="63">
        <f t="shared" si="56"/>
        <v>1</v>
      </c>
      <c r="EO50" s="63" cm="1">
        <f t="array" ref="EO50">IF(OR(INDEX(FX_Vap,$KK50,EO$90)="Crude Oil",(INDEX(FX_Vap,$KL50,EO$90)="Crude Oil")),0.75,1)</f>
        <v>1</v>
      </c>
      <c r="EP50" s="63">
        <f t="shared" si="114"/>
        <v>1</v>
      </c>
      <c r="EQ50" s="63">
        <f t="shared" si="57"/>
        <v>1.0290827631391641</v>
      </c>
      <c r="ER50" s="64">
        <f t="shared" si="58"/>
        <v>1.0290827631391641</v>
      </c>
      <c r="ES50" s="80" t="str" cm="1">
        <f t="array" ref="ES50">IF(ISBLANK(INDEX(FX_Input,$KB50+1,ES$85)),INDEX(FX_Input,$KB50,ES$85),INDEX(FX_Input,$KB50,ES$85)&amp;" &amp; "&amp;INDEX(FX_Input,$KB50+1,ES$85))</f>
        <v>Jet kerosene</v>
      </c>
      <c r="ET50" s="63" cm="1">
        <f t="array" ref="ET50">INDEX(FX_Temps,$KC50+7,ET$89)</f>
        <v>0</v>
      </c>
      <c r="EU50" s="63" cm="1">
        <f t="array" ref="EU50">INDEX(FX_Temps,$KC50+13,EU$89)+459.6</f>
        <v>520.5</v>
      </c>
      <c r="EV50" s="63" cm="1">
        <f t="array" ref="EV50">INDEX(FX_Vap,$KG50,EV$91)-INDEX(FX_Vap,$KH50,EV$91)</f>
        <v>0</v>
      </c>
      <c r="EW50" s="73" cm="1">
        <f t="array" ref="EW50">IF(ES50="Out of Service",0,INDEX(FX_Vap,$KI50,EW$91))</f>
        <v>8.4605262729351115E-3</v>
      </c>
      <c r="EX50" s="63">
        <f t="shared" si="59"/>
        <v>0</v>
      </c>
      <c r="EY50" s="63">
        <f t="shared" si="60"/>
        <v>0.99324969418748754</v>
      </c>
      <c r="EZ50" s="63" cm="1">
        <f t="array" ref="EZ50">INDEX(FX_Vap,$KJ50,EZ$91)</f>
        <v>130</v>
      </c>
      <c r="FA50" s="63" cm="1">
        <f t="array" ref="FA50">INDEX(FX_Temps,$KD50,FA$89)+459.6</f>
        <v>520.5</v>
      </c>
      <c r="FB50" s="63">
        <f t="shared" si="61"/>
        <v>1.969154544366044E-4</v>
      </c>
      <c r="FC50" s="63" cm="1">
        <f t="array" ref="FC50">INDEX(Month_Ref,FC$83,3)*EX50*(PI()/4*$F50^2)*$H50*EY50*FB50</f>
        <v>0</v>
      </c>
      <c r="FD50" s="63" cm="1">
        <f t="array" ref="FD50">INDEX(FX_Input,$KB50,FD$85)</f>
        <v>944</v>
      </c>
      <c r="FE50" s="63">
        <f t="shared" si="62"/>
        <v>5299.616</v>
      </c>
      <c r="FF50" s="63">
        <f t="shared" si="63"/>
        <v>1.0710604227160609</v>
      </c>
      <c r="FG50" s="63">
        <f t="shared" si="64"/>
        <v>1</v>
      </c>
      <c r="FH50" s="63" cm="1">
        <f t="array" ref="FH50">IF(OR(INDEX(FX_Vap,$KK50,FH$90)="Crude Oil",(INDEX(FX_Vap,$KL50,FH$90)="Crude Oil")),0.75,1)</f>
        <v>1</v>
      </c>
      <c r="FI50" s="63">
        <f t="shared" si="115"/>
        <v>1</v>
      </c>
      <c r="FJ50" s="63">
        <f t="shared" si="65"/>
        <v>1.0435762929794996</v>
      </c>
      <c r="FK50" s="64">
        <f t="shared" si="66"/>
        <v>1.0435762929794996</v>
      </c>
      <c r="FL50" s="80" t="str" cm="1">
        <f t="array" ref="FL50">IF(ISBLANK(INDEX(FX_Input,$KB50+1,FL$85)),INDEX(FX_Input,$KB50,FL$85),INDEX(FX_Input,$KB50,FL$85)&amp;" &amp; "&amp;INDEX(FX_Input,$KB50+1,FL$85))</f>
        <v>Jet kerosene</v>
      </c>
      <c r="FM50" s="63" cm="1">
        <f t="array" ref="FM50">INDEX(FX_Temps,$KC50+7,FM$89)</f>
        <v>0</v>
      </c>
      <c r="FN50" s="63" cm="1">
        <f t="array" ref="FN50">INDEX(FX_Temps,$KC50+13,FN$89)+459.6</f>
        <v>518.20000000000005</v>
      </c>
      <c r="FO50" s="63" cm="1">
        <f t="array" ref="FO50">INDEX(FX_Vap,$KG50,FO$91)-INDEX(FX_Vap,$KH50,FO$91)</f>
        <v>0</v>
      </c>
      <c r="FP50" s="73" cm="1">
        <f t="array" ref="FP50">IF(FL50="Out of Service",0,INDEX(FX_Vap,$KI50,FP$91))</f>
        <v>7.8399882233967533E-3</v>
      </c>
      <c r="FQ50" s="63">
        <f t="shared" si="67"/>
        <v>0</v>
      </c>
      <c r="FR50" s="63">
        <f t="shared" si="68"/>
        <v>0.99374169746902841</v>
      </c>
      <c r="FS50" s="63" cm="1">
        <f t="array" ref="FS50">INDEX(FX_Vap,$KJ50,FS$91)</f>
        <v>130</v>
      </c>
      <c r="FT50" s="63" cm="1">
        <f t="array" ref="FT50">INDEX(FX_Temps,$KD50,FT$89)+459.6</f>
        <v>518.20000000000005</v>
      </c>
      <c r="FU50" s="63">
        <f t="shared" si="69"/>
        <v>1.8328256712249962E-4</v>
      </c>
      <c r="FV50" s="63" cm="1">
        <f t="array" ref="FV50">INDEX(Month_Ref,FV$83,3)*FQ50*(PI()/4*$F50^2)*$H50*FR50*FU50</f>
        <v>0</v>
      </c>
      <c r="FW50" s="63" cm="1">
        <f t="array" ref="FW50">INDEX(FX_Input,$KB50,FW$85)</f>
        <v>944</v>
      </c>
      <c r="FX50" s="63">
        <f t="shared" si="70"/>
        <v>5299.616</v>
      </c>
      <c r="FY50" s="63">
        <f t="shared" si="71"/>
        <v>1.0710604227160609</v>
      </c>
      <c r="FZ50" s="63">
        <f t="shared" si="72"/>
        <v>1</v>
      </c>
      <c r="GA50" s="63" cm="1">
        <f t="array" ref="GA50">IF(OR(INDEX(FX_Vap,$KK50,GA$90)="Crude Oil",(INDEX(FX_Vap,$KL50,GA$90)="Crude Oil")),0.75,1)</f>
        <v>1</v>
      </c>
      <c r="GB50" s="63">
        <f t="shared" si="116"/>
        <v>1</v>
      </c>
      <c r="GC50" s="63">
        <f t="shared" si="73"/>
        <v>0.97132722524347292</v>
      </c>
      <c r="GD50" s="64">
        <f t="shared" si="74"/>
        <v>0.97132722524347292</v>
      </c>
      <c r="GE50" s="80" t="str" cm="1">
        <f t="array" ref="GE50">IF(ISBLANK(INDEX(FX_Input,$KB50+1,GE$85)),INDEX(FX_Input,$KB50,GE$85),INDEX(FX_Input,$KB50,GE$85)&amp;" &amp; "&amp;INDEX(FX_Input,$KB50+1,GE$85))</f>
        <v>Jet kerosene</v>
      </c>
      <c r="GF50" s="63" cm="1">
        <f t="array" ref="GF50">INDEX(FX_Temps,$KC50+7,GF$89)</f>
        <v>0</v>
      </c>
      <c r="GG50" s="63" cm="1">
        <f t="array" ref="GG50">INDEX(FX_Temps,$KC50+13,GG$89)+459.6</f>
        <v>512.25</v>
      </c>
      <c r="GH50" s="63" cm="1">
        <f t="array" ref="GH50">INDEX(FX_Vap,$KG50,GH$91)-INDEX(FX_Vap,$KH50,GH$91)</f>
        <v>0</v>
      </c>
      <c r="GI50" s="73" cm="1">
        <f t="array" ref="GI50">IF(GE50="Out of Service",0,INDEX(FX_Vap,$KI50,GI$91))</f>
        <v>6.4173462075160911E-3</v>
      </c>
      <c r="GJ50" s="63">
        <f t="shared" si="75"/>
        <v>0</v>
      </c>
      <c r="GK50" s="63">
        <f t="shared" si="76"/>
        <v>0.99487150317877748</v>
      </c>
      <c r="GL50" s="63" cm="1">
        <f t="array" ref="GL50">INDEX(FX_Vap,$KJ50,GL$91)</f>
        <v>130</v>
      </c>
      <c r="GM50" s="63" cm="1">
        <f t="array" ref="GM50">INDEX(FX_Temps,$KD50,GM$89)+459.6</f>
        <v>512.25</v>
      </c>
      <c r="GN50" s="63">
        <f t="shared" si="77"/>
        <v>1.5176675903637226E-4</v>
      </c>
      <c r="GO50" s="63" cm="1">
        <f t="array" ref="GO50">INDEX(Month_Ref,GO$83,3)*GJ50*(PI()/4*$F50^2)*$H50*GK50*GN50</f>
        <v>0</v>
      </c>
      <c r="GP50" s="63" cm="1">
        <f t="array" ref="GP50">INDEX(FX_Input,$KB50,GP$85)</f>
        <v>944</v>
      </c>
      <c r="GQ50" s="63">
        <f t="shared" si="78"/>
        <v>5299.616</v>
      </c>
      <c r="GR50" s="63">
        <f t="shared" si="79"/>
        <v>1.0710604227160609</v>
      </c>
      <c r="GS50" s="63">
        <f t="shared" si="80"/>
        <v>1</v>
      </c>
      <c r="GT50" s="63" cm="1">
        <f t="array" ref="GT50">IF(OR(INDEX(FX_Vap,$KK50,GT$90)="Crude Oil",(INDEX(FX_Vap,$KL50,GT$90)="Crude Oil")),0.75,1)</f>
        <v>1</v>
      </c>
      <c r="GU50" s="63">
        <f t="shared" si="117"/>
        <v>1</v>
      </c>
      <c r="GV50" s="63">
        <f t="shared" si="81"/>
        <v>0.80430554445730296</v>
      </c>
      <c r="GW50" s="64">
        <f t="shared" si="82"/>
        <v>0.80430554445730296</v>
      </c>
      <c r="GX50" s="80" t="str" cm="1">
        <f t="array" ref="GX50">IF(ISBLANK(INDEX(FX_Input,$KB50+1,GX$85)),INDEX(FX_Input,$KB50,GX$85),INDEX(FX_Input,$KB50,GX$85)&amp;" &amp; "&amp;INDEX(FX_Input,$KB50+1,GX$85))</f>
        <v>Jet kerosene</v>
      </c>
      <c r="GY50" s="63" cm="1">
        <f t="array" ref="GY50">INDEX(FX_Temps,$KC50+7,GY$89)</f>
        <v>0</v>
      </c>
      <c r="GZ50" s="63" cm="1">
        <f t="array" ref="GZ50">INDEX(FX_Temps,$KC50+13,GZ$89)+459.6</f>
        <v>506.70000000000005</v>
      </c>
      <c r="HA50" s="63" cm="1">
        <f t="array" ref="HA50">INDEX(FX_Vap,$KG50,HA$91)-INDEX(FX_Vap,$KH50,HA$91)</f>
        <v>0</v>
      </c>
      <c r="HB50" s="73" cm="1">
        <f t="array" ref="HB50">IF(GX50="Out of Service",0,INDEX(FX_Vap,$KI50,HB$91))</f>
        <v>5.3015226887581056E-3</v>
      </c>
      <c r="HC50" s="63">
        <f t="shared" si="83"/>
        <v>0</v>
      </c>
      <c r="HD50" s="63">
        <f t="shared" si="84"/>
        <v>0.99575944511311454</v>
      </c>
      <c r="HE50" s="63" cm="1">
        <f t="array" ref="HE50">INDEX(FX_Vap,$KJ50,HE$91)</f>
        <v>130</v>
      </c>
      <c r="HF50" s="63" cm="1">
        <f t="array" ref="HF50">INDEX(FX_Temps,$KD50,HF$89)+459.6</f>
        <v>506.70000000000005</v>
      </c>
      <c r="HG50" s="63">
        <f t="shared" si="85"/>
        <v>1.2675143286623188E-4</v>
      </c>
      <c r="HH50" s="63" cm="1">
        <f t="array" ref="HH50">INDEX(Month_Ref,HH$83,3)*HC50*(PI()/4*$F50^2)*$H50*HD50*HG50</f>
        <v>0</v>
      </c>
      <c r="HI50" s="63" cm="1">
        <f t="array" ref="HI50">INDEX(FX_Input,$KB50,HI$85)</f>
        <v>944</v>
      </c>
      <c r="HJ50" s="63">
        <f t="shared" si="86"/>
        <v>5299.616</v>
      </c>
      <c r="HK50" s="63">
        <f t="shared" si="87"/>
        <v>1.0710604227160609</v>
      </c>
      <c r="HL50" s="63">
        <f t="shared" si="88"/>
        <v>1</v>
      </c>
      <c r="HM50" s="63" cm="1">
        <f t="array" ref="HM50">IF(OR(INDEX(FX_Vap,$KK50,HM$90)="Crude Oil",(INDEX(FX_Vap,$KL50,HM$90)="Crude Oil")),0.75,1)</f>
        <v>1</v>
      </c>
      <c r="HN50" s="63">
        <f t="shared" si="118"/>
        <v>1</v>
      </c>
      <c r="HO50" s="63">
        <f t="shared" si="89"/>
        <v>0.67173392164080836</v>
      </c>
      <c r="HP50" s="64">
        <f t="shared" si="90"/>
        <v>0.67173392164080836</v>
      </c>
      <c r="HQ50" s="80" t="str" cm="1">
        <f t="array" ref="HQ50">IF(ISBLANK(INDEX(FX_Input,$KB50+1,HQ$85)),INDEX(FX_Input,$KB50,HQ$85),INDEX(FX_Input,$KB50,HQ$85)&amp;" &amp; "&amp;INDEX(FX_Input,$KB50+1,HQ$85))</f>
        <v>Jet kerosene</v>
      </c>
      <c r="HR50" s="63" cm="1">
        <f t="array" ref="HR50">INDEX(FX_Temps,$KC50+7,HR$89)</f>
        <v>0</v>
      </c>
      <c r="HS50" s="63" cm="1">
        <f t="array" ref="HS50">INDEX(FX_Temps,$KC50+13,HS$89)+459.6</f>
        <v>503.20000000000005</v>
      </c>
      <c r="HT50" s="63" cm="1">
        <f t="array" ref="HT50">INDEX(FX_Vap,$KG50,HT$91)-INDEX(FX_Vap,$KH50,HT$91)</f>
        <v>0</v>
      </c>
      <c r="HU50" s="73" cm="1">
        <f t="array" ref="HU50">IF(HQ50="Out of Service",0,INDEX(FX_Vap,$KI50,HU$91))</f>
        <v>4.68970903600947E-3</v>
      </c>
      <c r="HV50" s="63">
        <f t="shared" si="91"/>
        <v>0</v>
      </c>
      <c r="HW50" s="63">
        <f t="shared" si="92"/>
        <v>0.99624698286195801</v>
      </c>
      <c r="HX50" s="63" cm="1">
        <f t="array" ref="HX50">INDEX(FX_Vap,$KJ50,HX$91)</f>
        <v>130</v>
      </c>
      <c r="HY50" s="63" cm="1">
        <f t="array" ref="HY50">INDEX(FX_Temps,$KD50,HY$89)+459.6</f>
        <v>503.20000000000005</v>
      </c>
      <c r="HZ50" s="63">
        <f t="shared" si="93"/>
        <v>1.1290376474196325E-4</v>
      </c>
      <c r="IA50" s="63" cm="1">
        <f t="array" ref="IA50">INDEX(Month_Ref,IA$83,3)*HV50*(PI()/4*$F50^2)*$H50*HW50*HZ50</f>
        <v>0</v>
      </c>
      <c r="IB50" s="63" cm="1">
        <f t="array" ref="IB50">INDEX(FX_Input,$KB50,IB$85)</f>
        <v>944</v>
      </c>
      <c r="IC50" s="63">
        <f t="shared" si="94"/>
        <v>5299.616</v>
      </c>
      <c r="ID50" s="63">
        <f t="shared" si="95"/>
        <v>1.0710604227160609</v>
      </c>
      <c r="IE50" s="63">
        <f t="shared" si="96"/>
        <v>1</v>
      </c>
      <c r="IF50" s="63" cm="1">
        <f t="array" ref="IF50">IF(OR(INDEX(FX_Vap,$KK50,IF$90)="Crude Oil",(INDEX(FX_Vap,$KL50,IF$90)="Crude Oil")),0.75,1)</f>
        <v>1</v>
      </c>
      <c r="IG50" s="63">
        <f t="shared" si="119"/>
        <v>1</v>
      </c>
      <c r="IH50" s="63">
        <f t="shared" si="97"/>
        <v>0.59834659808674429</v>
      </c>
      <c r="II50" s="64">
        <f t="shared" si="98"/>
        <v>0.59834659808674429</v>
      </c>
      <c r="IJ50" s="80">
        <f t="shared" si="99"/>
        <v>0</v>
      </c>
      <c r="IK50" s="63">
        <f t="shared" si="100"/>
        <v>0</v>
      </c>
      <c r="IL50" s="63">
        <f t="shared" si="101"/>
        <v>9.438388092895412</v>
      </c>
      <c r="IM50" s="63">
        <f t="shared" si="102"/>
        <v>4.7191940464477063E-3</v>
      </c>
      <c r="IN50" s="63">
        <f t="shared" si="103"/>
        <v>9.438388092895412</v>
      </c>
      <c r="IO50" s="64">
        <f t="shared" si="104"/>
        <v>4.7191940464477063E-3</v>
      </c>
      <c r="KB50" s="43">
        <f t="shared" si="120"/>
        <v>79</v>
      </c>
      <c r="KC50" s="43">
        <f t="shared" si="121"/>
        <v>547</v>
      </c>
      <c r="KD50" s="43">
        <f t="shared" si="122"/>
        <v>560</v>
      </c>
      <c r="KE50" s="43">
        <f t="shared" si="123"/>
        <v>547</v>
      </c>
      <c r="KF50" s="43">
        <f t="shared" si="124"/>
        <v>1327</v>
      </c>
      <c r="KG50" s="43">
        <f t="shared" si="125"/>
        <v>1350</v>
      </c>
      <c r="KH50" s="43">
        <f t="shared" si="126"/>
        <v>1345</v>
      </c>
      <c r="KI50" s="43">
        <f t="shared" si="126"/>
        <v>1355</v>
      </c>
      <c r="KJ50" s="43">
        <f t="shared" si="126"/>
        <v>1360</v>
      </c>
      <c r="KK50" s="43">
        <f t="shared" si="127"/>
        <v>1331</v>
      </c>
      <c r="KL50" s="43">
        <f t="shared" si="128"/>
        <v>1333</v>
      </c>
    </row>
    <row r="51" spans="2:298" x14ac:dyDescent="0.4">
      <c r="B51" s="43" t="str" cm="1">
        <f t="array" ref="B51">INDEX(FX_Input,$KB51,B$85)</f>
        <v>FX - 41</v>
      </c>
      <c r="C51" s="93" t="str" cm="1">
        <f t="array" ref="C51">INDEX(FX_Input,$KB51,C$85)</f>
        <v>FIXTANK 169</v>
      </c>
      <c r="D51" s="80">
        <f t="shared" si="129"/>
        <v>1618.0429350617742</v>
      </c>
      <c r="E51" s="63" cm="1">
        <f t="array" ref="E51">IF(ISBLANK(INDEX(FX_Input,$KB51,$E$85)),0.03,INDEX(FX_Input,$KB51,$E$85))-IF(ISBLANK(INDEX(FX_Input,$KB51,$E$86)),-0.03,INDEX(FX_Input,$KB51,$E$86))</f>
        <v>0.06</v>
      </c>
      <c r="F51" s="63" cm="1">
        <f t="array" ref="F51">IF(INDEX(FX_Input,$KB51,F$85)="Vertical",INDEX(FX_Input,$KB51,F$86),SQRT((INDEX(FX_Input,$KB51,F$86)*INDEX(FX_Input,$KB51,F$87))/(PI()/4)))</f>
        <v>15</v>
      </c>
      <c r="G51" s="63" cm="1">
        <f t="array" ref="G51">IF(INDEX(FX_Input,$KB51,G$85)="Vertical",INDEX(FX_Input,$KB51,G$86),INDEX(FX_Input,$KB51,G$87)*PI()/4)</f>
        <v>18</v>
      </c>
      <c r="H51" s="63" cm="1">
        <f t="array" ref="H51">IF(INDEX(FX_Input,$KB51,H$85)="Vertical",G51-G51/2+J51,G51/2)</f>
        <v>9.15625</v>
      </c>
      <c r="I51" s="63" cm="1">
        <f t="array" ref="I51">IF(INDEX(FX_Input,$KB51,F$85)="Horizontal","N/A",IF(INDEX(FX_Input,$KB51,I$86)="Cone",IF(ISBLANK(INDEX(FX_Input,$KB51,I$87)),0.0625,INDEX(FX_Input,$KB51,I$87))*F51/2,F51/2-SQRT((F51/2)^2-(INDEX(FX_Input,$KB51,I$88)^2))))</f>
        <v>0.46875</v>
      </c>
      <c r="J51" s="63" cm="1">
        <f t="array" ref="J51">IF(INDEX(FX_Input,$KB51,J$85)="Horizontal","N/A",IF(INDEX(FX_Input,$KB51,J$86)="Cone",I51/3,I51*(1/2+(1/6)*(I51/(F51/2))^2)))</f>
        <v>0.15625</v>
      </c>
      <c r="K51" s="63">
        <f t="shared" si="130"/>
        <v>17</v>
      </c>
      <c r="L51" s="63">
        <v>1</v>
      </c>
      <c r="M51" s="63" t="str" cm="1">
        <f t="array" ref="M51">INDEX(Tbl_71_6,MATCH(INDEX(FX_Input,$KB51,M$85),Paint_Color,0),VLOOKUP(INDEX(FX_Input,$KB51,M$86),Paint_Cond_Column,2,FALSE))</f>
        <v>N/A</v>
      </c>
      <c r="N51" s="63" t="str" cm="1">
        <f t="array" ref="N51">INDEX(Tbl_71_6,MATCH(INDEX(FX_Input,$KB51,N$85),Paint_Color,0),VLOOKUP(INDEX(FX_Input,$KB51,N$86),Paint_Cond_Column,2,FALSE))</f>
        <v>N/A</v>
      </c>
      <c r="O51" s="64" t="str">
        <f t="shared" si="2"/>
        <v>Insulated</v>
      </c>
      <c r="P51" s="80" t="str" cm="1">
        <f t="array" ref="P51">IF(ISBLANK(INDEX(FX_Input,$KB51+1,P$85)),INDEX(FX_Input,$KB51,P$85),INDEX(FX_Input,$KB51,P$85)&amp;" &amp; "&amp;INDEX(FX_Input,$KB51+1,P$85))</f>
        <v>Jet kerosene</v>
      </c>
      <c r="Q51" s="63" cm="1">
        <f t="array" ref="Q51">INDEX(FX_Temps,$KC51+7,Q$89)</f>
        <v>0</v>
      </c>
      <c r="R51" s="63" cm="1">
        <f t="array" ref="R51">INDEX(FX_Temps,$KC51+13,R$89)+459.6</f>
        <v>503.5</v>
      </c>
      <c r="S51" s="63" cm="1">
        <f t="array" ref="S51">INDEX(FX_Vap,$KG51,S$91)-INDEX(FX_Vap,$KH51,S$91)</f>
        <v>0</v>
      </c>
      <c r="T51" s="73" cm="1">
        <f t="array" ref="T51">IF(P51="Out of Service",0,INDEX(FX_Vap,$KI51,T$91))</f>
        <v>4.739577185808354E-3</v>
      </c>
      <c r="U51" s="63">
        <f t="shared" si="3"/>
        <v>0</v>
      </c>
      <c r="V51" s="63">
        <f t="shared" si="4"/>
        <v>0.99770525004780741</v>
      </c>
      <c r="W51" s="63" cm="1">
        <f t="array" ref="W51">INDEX(FX_Vap,$KJ51,W$91)</f>
        <v>130</v>
      </c>
      <c r="X51" s="63" cm="1">
        <f t="array" ref="X51">INDEX(FX_Temps,$KD51,X$89)+459.6</f>
        <v>503.5</v>
      </c>
      <c r="Y51" s="63">
        <f t="shared" si="5"/>
        <v>1.1403634333314844E-4</v>
      </c>
      <c r="Z51" s="63" cm="1">
        <f t="array" ref="Z51">INDEX(Month_Ref,Z$83,3)*U51*(PI()/4*$F51^2)*$H51*V51*Y51</f>
        <v>0</v>
      </c>
      <c r="AA51" s="63" cm="1">
        <f t="array" ref="AA51">INDEX(FX_Input,$KB51,AA$85)</f>
        <v>566</v>
      </c>
      <c r="AB51" s="63">
        <f t="shared" si="6"/>
        <v>3177.5239999999999</v>
      </c>
      <c r="AC51" s="63">
        <f t="shared" si="7"/>
        <v>1.1238192253180703</v>
      </c>
      <c r="AD51" s="63">
        <f t="shared" si="8"/>
        <v>1</v>
      </c>
      <c r="AE51" s="63" cm="1">
        <f t="array" ref="AE51">IF(OR(INDEX(FX_Vap,$KK51,AE$90)="Crude Oil",(INDEX(FX_Vap,$KL51,AE$90)="Crude Oil")),0.75,1)</f>
        <v>1</v>
      </c>
      <c r="AF51" s="63">
        <f t="shared" si="108"/>
        <v>1</v>
      </c>
      <c r="AG51" s="63">
        <f t="shared" si="9"/>
        <v>0.36235321781331914</v>
      </c>
      <c r="AH51" s="64">
        <f t="shared" si="10"/>
        <v>0.36235321781331914</v>
      </c>
      <c r="AI51" s="80" t="str" cm="1">
        <f t="array" ref="AI51">IF(ISBLANK(INDEX(FX_Input,$KB51+1,AI$85)),INDEX(FX_Input,$KB51,AI$85),INDEX(FX_Input,$KB51,AI$85)&amp;" &amp; "&amp;INDEX(FX_Input,$KB51+1,AI$85))</f>
        <v>Jet kerosene</v>
      </c>
      <c r="AJ51" s="63" cm="1">
        <f t="array" ref="AJ51">INDEX(FX_Temps,$KC51+7,AJ$89)</f>
        <v>0</v>
      </c>
      <c r="AK51" s="63" cm="1">
        <f t="array" ref="AK51">INDEX(FX_Temps,$KC51+13,AK$89)+459.6</f>
        <v>504.30000000000007</v>
      </c>
      <c r="AL51" s="63" cm="1">
        <f t="array" ref="AL51">INDEX(FX_Vap,$KG51,AL$91)-INDEX(FX_Vap,$KH51,AL$91)</f>
        <v>0</v>
      </c>
      <c r="AM51" s="73" cm="1">
        <f t="array" ref="AM51">IF(AI51="Out of Service",0,INDEX(FX_Vap,$KI51,AM$91))</f>
        <v>4.8748667780818778E-3</v>
      </c>
      <c r="AN51" s="63">
        <f t="shared" si="11"/>
        <v>0</v>
      </c>
      <c r="AO51" s="63">
        <f t="shared" si="12"/>
        <v>0.99763990179687334</v>
      </c>
      <c r="AP51" s="63" cm="1">
        <f t="array" ref="AP51">INDEX(FX_Vap,$KJ51,AP$91)</f>
        <v>130</v>
      </c>
      <c r="AQ51" s="63" cm="1">
        <f t="array" ref="AQ51">INDEX(FX_Temps,$KD51,AQ$89)+459.6</f>
        <v>504.30000000000007</v>
      </c>
      <c r="AR51" s="63">
        <f t="shared" si="13"/>
        <v>1.1710540514572422E-4</v>
      </c>
      <c r="AS51" s="63" cm="1">
        <f t="array" ref="AS51">INDEX(Month_Ref,AS$83,3)*AN51*(PI()/4*$F51^2)*$H51*AO51*AR51</f>
        <v>0</v>
      </c>
      <c r="AT51" s="63" cm="1">
        <f t="array" ref="AT51">INDEX(FX_Input,$KB51,AT$85)</f>
        <v>566</v>
      </c>
      <c r="AU51" s="63">
        <f t="shared" si="14"/>
        <v>3177.5239999999999</v>
      </c>
      <c r="AV51" s="63">
        <f t="shared" si="15"/>
        <v>1.1238192253180703</v>
      </c>
      <c r="AW51" s="63">
        <f t="shared" si="16"/>
        <v>1</v>
      </c>
      <c r="AX51" s="63" cm="1">
        <f t="array" ref="AX51">IF(OR(INDEX(FX_Vap,$KK51,AX$90)="Crude Oil",(INDEX(FX_Vap,$KL51,AX$90)="Crude Oil")),0.75,1)</f>
        <v>1</v>
      </c>
      <c r="AY51" s="63">
        <f t="shared" si="109"/>
        <v>1</v>
      </c>
      <c r="AZ51" s="63">
        <f t="shared" si="17"/>
        <v>0.37210523538026219</v>
      </c>
      <c r="BA51" s="64">
        <f t="shared" si="18"/>
        <v>0.37210523538026219</v>
      </c>
      <c r="BB51" s="80" t="str" cm="1">
        <f t="array" ref="BB51">IF(ISBLANK(INDEX(FX_Input,$KB51+1,BB$85)),INDEX(FX_Input,$KB51,BB$85),INDEX(FX_Input,$KB51,BB$85)&amp;" &amp; "&amp;INDEX(FX_Input,$KB51+1,BB$85))</f>
        <v>Jet kerosene</v>
      </c>
      <c r="BC51" s="63" cm="1">
        <f t="array" ref="BC51">INDEX(FX_Temps,$KC51+7,BC$89)</f>
        <v>0</v>
      </c>
      <c r="BD51" s="63" cm="1">
        <f t="array" ref="BD51">INDEX(FX_Temps,$KC51+13,BD$89)+459.6</f>
        <v>505.70000000000005</v>
      </c>
      <c r="BE51" s="63" cm="1">
        <f t="array" ref="BE51">INDEX(FX_Vap,$KG51,BE$91)-INDEX(FX_Vap,$KH51,BE$91)</f>
        <v>0</v>
      </c>
      <c r="BF51" s="73" cm="1">
        <f t="array" ref="BF51">IF(BB51="Out of Service",0,INDEX(FX_Vap,$KI51,BF$91))</f>
        <v>5.119885034186122E-3</v>
      </c>
      <c r="BG51" s="63">
        <f t="shared" si="19"/>
        <v>0</v>
      </c>
      <c r="BH51" s="63">
        <f t="shared" si="20"/>
        <v>0.99752157364972738</v>
      </c>
      <c r="BI51" s="63" cm="1">
        <f t="array" ref="BI51">INDEX(FX_Vap,$KJ51,BI$91)</f>
        <v>130</v>
      </c>
      <c r="BJ51" s="63" cm="1">
        <f t="array" ref="BJ51">INDEX(FX_Temps,$KD51,BJ$89)+459.6</f>
        <v>505.70000000000005</v>
      </c>
      <c r="BK51" s="63">
        <f t="shared" si="21"/>
        <v>1.226508078051294E-4</v>
      </c>
      <c r="BL51" s="63" cm="1">
        <f t="array" ref="BL51">INDEX(Month_Ref,BL$83,3)*BG51*(PI()/4*$F51^2)*$H51*BH51*BK51</f>
        <v>0</v>
      </c>
      <c r="BM51" s="63" cm="1">
        <f t="array" ref="BM51">INDEX(FX_Input,$KB51,BM$85)</f>
        <v>566</v>
      </c>
      <c r="BN51" s="63">
        <f t="shared" si="22"/>
        <v>3177.5239999999999</v>
      </c>
      <c r="BO51" s="63">
        <f t="shared" si="23"/>
        <v>1.1238192253180703</v>
      </c>
      <c r="BP51" s="63">
        <f t="shared" si="24"/>
        <v>1</v>
      </c>
      <c r="BQ51" s="63" cm="1">
        <f t="array" ref="BQ51">IF(OR(INDEX(FX_Vap,$KK51,BQ$90)="Crude Oil",(INDEX(FX_Vap,$KL51,BQ$90)="Crude Oil")),0.75,1)</f>
        <v>1</v>
      </c>
      <c r="BR51" s="63">
        <f t="shared" si="110"/>
        <v>1</v>
      </c>
      <c r="BS51" s="63">
        <f t="shared" si="25"/>
        <v>0.38972588542018599</v>
      </c>
      <c r="BT51" s="64">
        <f t="shared" si="26"/>
        <v>0.38972588542018599</v>
      </c>
      <c r="BU51" s="80" t="str" cm="1">
        <f t="array" ref="BU51">IF(ISBLANK(INDEX(FX_Input,$KB51+1,BU$85)),INDEX(FX_Input,$KB51,BU$85),INDEX(FX_Input,$KB51,BU$85)&amp;" &amp; "&amp;INDEX(FX_Input,$KB51+1,BU$85))</f>
        <v>Jet kerosene</v>
      </c>
      <c r="BV51" s="63" cm="1">
        <f t="array" ref="BV51">INDEX(FX_Temps,$KC51+7,BV$89)</f>
        <v>0</v>
      </c>
      <c r="BW51" s="63" cm="1">
        <f t="array" ref="BW51">INDEX(FX_Temps,$KC51+13,BW$89)+459.6</f>
        <v>508.2</v>
      </c>
      <c r="BX51" s="63" cm="1">
        <f t="array" ref="BX51">INDEX(FX_Vap,$KG51,BX$91)-INDEX(FX_Vap,$KH51,BX$91)</f>
        <v>0</v>
      </c>
      <c r="BY51" s="73" cm="1">
        <f t="array" ref="BY51">IF(BU51="Out of Service",0,INDEX(FX_Vap,$KI51,BY$91))</f>
        <v>5.5846958573521795E-3</v>
      </c>
      <c r="BZ51" s="63">
        <f t="shared" si="27"/>
        <v>0</v>
      </c>
      <c r="CA51" s="63">
        <f t="shared" si="28"/>
        <v>0.99729717686469299</v>
      </c>
      <c r="CB51" s="63" cm="1">
        <f t="array" ref="CB51">INDEX(FX_Vap,$KJ51,CB$91)</f>
        <v>130</v>
      </c>
      <c r="CC51" s="63" cm="1">
        <f t="array" ref="CC51">INDEX(FX_Temps,$KD51,CC$89)+459.6</f>
        <v>508.2</v>
      </c>
      <c r="CD51" s="63">
        <f t="shared" si="29"/>
        <v>1.3312757561120781E-4</v>
      </c>
      <c r="CE51" s="63" cm="1">
        <f t="array" ref="CE51">INDEX(Month_Ref,CE$83,3)*BZ51*(PI()/4*$F51^2)*$H51*CA51*CD51</f>
        <v>0</v>
      </c>
      <c r="CF51" s="63" cm="1">
        <f t="array" ref="CF51">INDEX(FX_Input,$KB51,CF$85)</f>
        <v>566</v>
      </c>
      <c r="CG51" s="63">
        <f t="shared" si="30"/>
        <v>3177.5239999999999</v>
      </c>
      <c r="CH51" s="63">
        <f t="shared" si="31"/>
        <v>1.1238192253180703</v>
      </c>
      <c r="CI51" s="63">
        <f t="shared" si="32"/>
        <v>1</v>
      </c>
      <c r="CJ51" s="63" cm="1">
        <f t="array" ref="CJ51">IF(OR(INDEX(FX_Vap,$KK51,CJ$90)="Crude Oil",(INDEX(FX_Vap,$KL51,CJ$90)="Crude Oil")),0.75,1)</f>
        <v>1</v>
      </c>
      <c r="CK51" s="63">
        <f t="shared" si="111"/>
        <v>1</v>
      </c>
      <c r="CL51" s="63">
        <f t="shared" si="33"/>
        <v>0.42301606656642748</v>
      </c>
      <c r="CM51" s="64">
        <f t="shared" si="34"/>
        <v>0.42301606656642748</v>
      </c>
      <c r="CN51" s="80" t="str" cm="1">
        <f t="array" ref="CN51">IF(ISBLANK(INDEX(FX_Input,$KB51+1,CN$85)),INDEX(FX_Input,$KB51,CN$85),INDEX(FX_Input,$KB51,CN$85)&amp;" &amp; "&amp;INDEX(FX_Input,$KB51+1,CN$85))</f>
        <v>Jet kerosene</v>
      </c>
      <c r="CO51" s="63" cm="1">
        <f t="array" ref="CO51">INDEX(FX_Temps,$KC51+7,CO$89)</f>
        <v>0</v>
      </c>
      <c r="CP51" s="63" cm="1">
        <f t="array" ref="CP51">INDEX(FX_Temps,$KC51+13,CP$89)+459.6</f>
        <v>512.75</v>
      </c>
      <c r="CQ51" s="63" cm="1">
        <f t="array" ref="CQ51">INDEX(FX_Vap,$KG51,CQ$91)-INDEX(FX_Vap,$KH51,CQ$91)</f>
        <v>0</v>
      </c>
      <c r="CR51" s="73" cm="1">
        <f t="array" ref="CR51">IF(CN51="Out of Service",0,INDEX(FX_Vap,$KI51,CR$91))</f>
        <v>6.5274070972739821E-3</v>
      </c>
      <c r="CS51" s="63">
        <f t="shared" si="35"/>
        <v>0</v>
      </c>
      <c r="CT51" s="63">
        <f t="shared" si="36"/>
        <v>0.99684237391026098</v>
      </c>
      <c r="CU51" s="63" cm="1">
        <f t="array" ref="CU51">INDEX(FX_Vap,$KJ51,CU$91)</f>
        <v>130</v>
      </c>
      <c r="CV51" s="63" cm="1">
        <f t="array" ref="CV51">INDEX(FX_Temps,$KD51,CV$89)+459.6</f>
        <v>512.75</v>
      </c>
      <c r="CW51" s="63">
        <f t="shared" si="37"/>
        <v>1.5421910831991609E-4</v>
      </c>
      <c r="CX51" s="63" cm="1">
        <f t="array" ref="CX51">INDEX(Month_Ref,CX$83,3)*CS51*(PI()/4*$F51^2)*$H51*CT51*CW51</f>
        <v>0</v>
      </c>
      <c r="CY51" s="63" cm="1">
        <f t="array" ref="CY51">INDEX(FX_Input,$KB51,CY$85)</f>
        <v>566</v>
      </c>
      <c r="CZ51" s="63">
        <f t="shared" si="38"/>
        <v>3177.5239999999999</v>
      </c>
      <c r="DA51" s="63">
        <f t="shared" si="39"/>
        <v>1.1238192253180703</v>
      </c>
      <c r="DB51" s="63">
        <f t="shared" si="40"/>
        <v>1</v>
      </c>
      <c r="DC51" s="63" cm="1">
        <f t="array" ref="DC51">IF(OR(INDEX(FX_Vap,$KK51,DC$90)="Crude Oil",(INDEX(FX_Vap,$KL51,DC$90)="Crude Oil")),0.75,1)</f>
        <v>1</v>
      </c>
      <c r="DD51" s="63">
        <f t="shared" si="112"/>
        <v>1</v>
      </c>
      <c r="DE51" s="63">
        <f t="shared" si="41"/>
        <v>0.49003491794513304</v>
      </c>
      <c r="DF51" s="64">
        <f t="shared" si="42"/>
        <v>0.49003491794513304</v>
      </c>
      <c r="DG51" s="80" t="str" cm="1">
        <f t="array" ref="DG51">IF(ISBLANK(INDEX(FX_Input,$KB51+1,DG$85)),INDEX(FX_Input,$KB51,DG$85),INDEX(FX_Input,$KB51,DG$85)&amp;" &amp; "&amp;INDEX(FX_Input,$KB51+1,DG$85))</f>
        <v>Jet kerosene</v>
      </c>
      <c r="DH51" s="63" cm="1">
        <f t="array" ref="DH51">INDEX(FX_Temps,$KC51+7,DH$89)</f>
        <v>0</v>
      </c>
      <c r="DI51" s="63" cm="1">
        <f t="array" ref="DI51">INDEX(FX_Temps,$KC51+13,DI$89)+459.6</f>
        <v>516.55000000000007</v>
      </c>
      <c r="DJ51" s="63" cm="1">
        <f t="array" ref="DJ51">INDEX(FX_Vap,$KG51,DJ$91)-INDEX(FX_Vap,$KH51,DJ$91)</f>
        <v>0</v>
      </c>
      <c r="DK51" s="73" cm="1">
        <f t="array" ref="DK51">IF(DG51="Out of Service",0,INDEX(FX_Vap,$KI51,DK$91))</f>
        <v>7.4199539958878279E-3</v>
      </c>
      <c r="DL51" s="63">
        <f t="shared" si="43"/>
        <v>0</v>
      </c>
      <c r="DM51" s="63">
        <f t="shared" si="44"/>
        <v>0.99641215443704734</v>
      </c>
      <c r="DN51" s="63" cm="1">
        <f t="array" ref="DN51">INDEX(FX_Vap,$KJ51,DN$91)</f>
        <v>130</v>
      </c>
      <c r="DO51" s="63" cm="1">
        <f t="array" ref="DO51">INDEX(FX_Temps,$KD51,DO$89)+459.6</f>
        <v>516.55000000000007</v>
      </c>
      <c r="DP51" s="63">
        <f t="shared" si="45"/>
        <v>1.7401713099147103E-4</v>
      </c>
      <c r="DQ51" s="63" cm="1">
        <f t="array" ref="DQ51">INDEX(Month_Ref,DQ$83,3)*DL51*(PI()/4*$F51^2)*$H51*DM51*DP51</f>
        <v>0</v>
      </c>
      <c r="DR51" s="63" cm="1">
        <f t="array" ref="DR51">INDEX(FX_Input,$KB51,DR$85)</f>
        <v>566</v>
      </c>
      <c r="DS51" s="63">
        <f t="shared" si="46"/>
        <v>3177.5239999999999</v>
      </c>
      <c r="DT51" s="63">
        <f t="shared" si="47"/>
        <v>1.1238192253180703</v>
      </c>
      <c r="DU51" s="63">
        <f t="shared" si="48"/>
        <v>1</v>
      </c>
      <c r="DV51" s="63" cm="1">
        <f t="array" ref="DV51">IF(OR(INDEX(FX_Vap,$KK51,DV$90)="Crude Oil",(INDEX(FX_Vap,$KL51,DV$90)="Crude Oil")),0.75,1)</f>
        <v>1</v>
      </c>
      <c r="DW51" s="63">
        <f t="shared" si="113"/>
        <v>1</v>
      </c>
      <c r="DX51" s="63">
        <f t="shared" si="49"/>
        <v>0.55294361013654303</v>
      </c>
      <c r="DY51" s="64">
        <f t="shared" si="50"/>
        <v>0.55294361013654303</v>
      </c>
      <c r="DZ51" s="80" t="str" cm="1">
        <f t="array" ref="DZ51">IF(ISBLANK(INDEX(FX_Input,$KB51+1,DZ$85)),INDEX(FX_Input,$KB51,DZ$85),INDEX(FX_Input,$KB51,DZ$85)&amp;" &amp; "&amp;INDEX(FX_Input,$KB51+1,DZ$85))</f>
        <v>Jet kerosene</v>
      </c>
      <c r="EA51" s="63" cm="1">
        <f t="array" ref="EA51">INDEX(FX_Temps,$KC51+7,EA$89)</f>
        <v>0</v>
      </c>
      <c r="EB51" s="63" cm="1">
        <f t="array" ref="EB51">INDEX(FX_Temps,$KC51+13,EB$89)+459.6</f>
        <v>520.04999999999995</v>
      </c>
      <c r="EC51" s="63" cm="1">
        <f t="array" ref="EC51">INDEX(FX_Vap,$KG51,EC$91)-INDEX(FX_Vap,$KH51,EC$91)</f>
        <v>0</v>
      </c>
      <c r="ED51" s="73" cm="1">
        <f t="array" ref="ED51">IF(DZ51="Out of Service",0,INDEX(FX_Vap,$KI51,ED$91))</f>
        <v>8.3358107202842254E-3</v>
      </c>
      <c r="EE51" s="63">
        <f t="shared" si="51"/>
        <v>0</v>
      </c>
      <c r="EF51" s="63">
        <f t="shared" si="52"/>
        <v>0.99597108517111288</v>
      </c>
      <c r="EG51" s="63" cm="1">
        <f t="array" ref="EG51">INDEX(FX_Vap,$KJ51,EG$91)</f>
        <v>130</v>
      </c>
      <c r="EH51" s="63" cm="1">
        <f t="array" ref="EH51">INDEX(FX_Temps,$KD51,EH$89)+459.6</f>
        <v>520.04999999999995</v>
      </c>
      <c r="EI51" s="63">
        <f t="shared" si="53"/>
        <v>1.9418062801892895E-4</v>
      </c>
      <c r="EJ51" s="63" cm="1">
        <f t="array" ref="EJ51">INDEX(Month_Ref,EJ$83,3)*EE51*(PI()/4*$F51^2)*$H51*EF51*EI51</f>
        <v>0</v>
      </c>
      <c r="EK51" s="63" cm="1">
        <f t="array" ref="EK51">INDEX(FX_Input,$KB51,EK$85)</f>
        <v>566</v>
      </c>
      <c r="EL51" s="63">
        <f t="shared" si="54"/>
        <v>3177.5239999999999</v>
      </c>
      <c r="EM51" s="63">
        <f t="shared" si="55"/>
        <v>1.1238192253180703</v>
      </c>
      <c r="EN51" s="63">
        <f t="shared" si="56"/>
        <v>1</v>
      </c>
      <c r="EO51" s="63" cm="1">
        <f t="array" ref="EO51">IF(OR(INDEX(FX_Vap,$KK51,EO$90)="Crude Oil",(INDEX(FX_Vap,$KL51,EO$90)="Crude Oil")),0.75,1)</f>
        <v>1</v>
      </c>
      <c r="EP51" s="63">
        <f t="shared" si="114"/>
        <v>1</v>
      </c>
      <c r="EQ51" s="63">
        <f t="shared" si="57"/>
        <v>0.61701360586521914</v>
      </c>
      <c r="ER51" s="64">
        <f t="shared" si="58"/>
        <v>0.61701360586521914</v>
      </c>
      <c r="ES51" s="80" t="str" cm="1">
        <f t="array" ref="ES51">IF(ISBLANK(INDEX(FX_Input,$KB51+1,ES$85)),INDEX(FX_Input,$KB51,ES$85),INDEX(FX_Input,$KB51,ES$85)&amp;" &amp; "&amp;INDEX(FX_Input,$KB51+1,ES$85))</f>
        <v>Jet kerosene</v>
      </c>
      <c r="ET51" s="63" cm="1">
        <f t="array" ref="ET51">INDEX(FX_Temps,$KC51+7,ET$89)</f>
        <v>0</v>
      </c>
      <c r="EU51" s="63" cm="1">
        <f t="array" ref="EU51">INDEX(FX_Temps,$KC51+13,EU$89)+459.6</f>
        <v>520.5</v>
      </c>
      <c r="EV51" s="63" cm="1">
        <f t="array" ref="EV51">INDEX(FX_Vap,$KG51,EV$91)-INDEX(FX_Vap,$KH51,EV$91)</f>
        <v>0</v>
      </c>
      <c r="EW51" s="73" cm="1">
        <f t="array" ref="EW51">IF(ES51="Out of Service",0,INDEX(FX_Vap,$KI51,EW$91))</f>
        <v>8.4605262729351115E-3</v>
      </c>
      <c r="EX51" s="63">
        <f t="shared" si="59"/>
        <v>0</v>
      </c>
      <c r="EY51" s="63">
        <f t="shared" si="60"/>
        <v>0.99591105336496544</v>
      </c>
      <c r="EZ51" s="63" cm="1">
        <f t="array" ref="EZ51">INDEX(FX_Vap,$KJ51,EZ$91)</f>
        <v>130</v>
      </c>
      <c r="FA51" s="63" cm="1">
        <f t="array" ref="FA51">INDEX(FX_Temps,$KD51,FA$89)+459.6</f>
        <v>520.5</v>
      </c>
      <c r="FB51" s="63">
        <f t="shared" si="61"/>
        <v>1.969154544366044E-4</v>
      </c>
      <c r="FC51" s="63" cm="1">
        <f t="array" ref="FC51">INDEX(Month_Ref,FC$83,3)*EX51*(PI()/4*$F51^2)*$H51*EY51*FB51</f>
        <v>0</v>
      </c>
      <c r="FD51" s="63" cm="1">
        <f t="array" ref="FD51">INDEX(FX_Input,$KB51,FD$85)</f>
        <v>566</v>
      </c>
      <c r="FE51" s="63">
        <f t="shared" si="62"/>
        <v>3177.5239999999999</v>
      </c>
      <c r="FF51" s="63">
        <f t="shared" si="63"/>
        <v>1.1238192253180703</v>
      </c>
      <c r="FG51" s="63">
        <f t="shared" si="64"/>
        <v>1</v>
      </c>
      <c r="FH51" s="63" cm="1">
        <f t="array" ref="FH51">IF(OR(INDEX(FX_Vap,$KK51,FH$90)="Crude Oil",(INDEX(FX_Vap,$KL51,FH$90)="Crude Oil")),0.75,1)</f>
        <v>1</v>
      </c>
      <c r="FI51" s="63">
        <f t="shared" si="115"/>
        <v>1</v>
      </c>
      <c r="FJ51" s="63">
        <f t="shared" si="65"/>
        <v>0.625703582443217</v>
      </c>
      <c r="FK51" s="64">
        <f t="shared" si="66"/>
        <v>0.625703582443217</v>
      </c>
      <c r="FL51" s="80" t="str" cm="1">
        <f t="array" ref="FL51">IF(ISBLANK(INDEX(FX_Input,$KB51+1,FL$85)),INDEX(FX_Input,$KB51,FL$85),INDEX(FX_Input,$KB51,FL$85)&amp;" &amp; "&amp;INDEX(FX_Input,$KB51+1,FL$85))</f>
        <v>Jet kerosene</v>
      </c>
      <c r="FM51" s="63" cm="1">
        <f t="array" ref="FM51">INDEX(FX_Temps,$KC51+7,FM$89)</f>
        <v>0</v>
      </c>
      <c r="FN51" s="63" cm="1">
        <f t="array" ref="FN51">INDEX(FX_Temps,$KC51+13,FN$89)+459.6</f>
        <v>518.20000000000005</v>
      </c>
      <c r="FO51" s="63" cm="1">
        <f t="array" ref="FO51">INDEX(FX_Vap,$KG51,FO$91)-INDEX(FX_Vap,$KH51,FO$91)</f>
        <v>0</v>
      </c>
      <c r="FP51" s="73" cm="1">
        <f t="array" ref="FP51">IF(FL51="Out of Service",0,INDEX(FX_Vap,$KI51,FP$91))</f>
        <v>7.8399882233967533E-3</v>
      </c>
      <c r="FQ51" s="63">
        <f t="shared" si="67"/>
        <v>0</v>
      </c>
      <c r="FR51" s="63">
        <f t="shared" si="68"/>
        <v>0.99620982082793286</v>
      </c>
      <c r="FS51" s="63" cm="1">
        <f t="array" ref="FS51">INDEX(FX_Vap,$KJ51,FS$91)</f>
        <v>130</v>
      </c>
      <c r="FT51" s="63" cm="1">
        <f t="array" ref="FT51">INDEX(FX_Temps,$KD51,FT$89)+459.6</f>
        <v>518.20000000000005</v>
      </c>
      <c r="FU51" s="63">
        <f t="shared" si="69"/>
        <v>1.8328256712249962E-4</v>
      </c>
      <c r="FV51" s="63" cm="1">
        <f t="array" ref="FV51">INDEX(Month_Ref,FV$83,3)*FQ51*(PI()/4*$F51^2)*$H51*FR51*FU51</f>
        <v>0</v>
      </c>
      <c r="FW51" s="63" cm="1">
        <f t="array" ref="FW51">INDEX(FX_Input,$KB51,FW$85)</f>
        <v>566</v>
      </c>
      <c r="FX51" s="63">
        <f t="shared" si="70"/>
        <v>3177.5239999999999</v>
      </c>
      <c r="FY51" s="63">
        <f t="shared" si="71"/>
        <v>1.1238192253180703</v>
      </c>
      <c r="FZ51" s="63">
        <f t="shared" si="72"/>
        <v>1</v>
      </c>
      <c r="GA51" s="63" cm="1">
        <f t="array" ref="GA51">IF(OR(INDEX(FX_Vap,$KK51,GA$90)="Crude Oil",(INDEX(FX_Vap,$KL51,GA$90)="Crude Oil")),0.75,1)</f>
        <v>1</v>
      </c>
      <c r="GB51" s="63">
        <f t="shared" si="116"/>
        <v>1</v>
      </c>
      <c r="GC51" s="63">
        <f t="shared" si="73"/>
        <v>0.58238475581335347</v>
      </c>
      <c r="GD51" s="64">
        <f t="shared" si="74"/>
        <v>0.58238475581335347</v>
      </c>
      <c r="GE51" s="80" t="str" cm="1">
        <f t="array" ref="GE51">IF(ISBLANK(INDEX(FX_Input,$KB51+1,GE$85)),INDEX(FX_Input,$KB51,GE$85),INDEX(FX_Input,$KB51,GE$85)&amp;" &amp; "&amp;INDEX(FX_Input,$KB51+1,GE$85))</f>
        <v>Jet kerosene</v>
      </c>
      <c r="GF51" s="63" cm="1">
        <f t="array" ref="GF51">INDEX(FX_Temps,$KC51+7,GF$89)</f>
        <v>0</v>
      </c>
      <c r="GG51" s="63" cm="1">
        <f t="array" ref="GG51">INDEX(FX_Temps,$KC51+13,GG$89)+459.6</f>
        <v>512.25</v>
      </c>
      <c r="GH51" s="63" cm="1">
        <f t="array" ref="GH51">INDEX(FX_Vap,$KG51,GH$91)-INDEX(FX_Vap,$KH51,GH$91)</f>
        <v>0</v>
      </c>
      <c r="GI51" s="73" cm="1">
        <f t="array" ref="GI51">IF(GE51="Out of Service",0,INDEX(FX_Vap,$KI51,GI$91))</f>
        <v>6.4173462075160911E-3</v>
      </c>
      <c r="GJ51" s="63">
        <f t="shared" si="75"/>
        <v>0</v>
      </c>
      <c r="GK51" s="63">
        <f t="shared" si="76"/>
        <v>0.99689545045415706</v>
      </c>
      <c r="GL51" s="63" cm="1">
        <f t="array" ref="GL51">INDEX(FX_Vap,$KJ51,GL$91)</f>
        <v>130</v>
      </c>
      <c r="GM51" s="63" cm="1">
        <f t="array" ref="GM51">INDEX(FX_Temps,$KD51,GM$89)+459.6</f>
        <v>512.25</v>
      </c>
      <c r="GN51" s="63">
        <f t="shared" si="77"/>
        <v>1.5176675903637226E-4</v>
      </c>
      <c r="GO51" s="63" cm="1">
        <f t="array" ref="GO51">INDEX(Month_Ref,GO$83,3)*GJ51*(PI()/4*$F51^2)*$H51*GK51*GN51</f>
        <v>0</v>
      </c>
      <c r="GP51" s="63" cm="1">
        <f t="array" ref="GP51">INDEX(FX_Input,$KB51,GP$85)</f>
        <v>566</v>
      </c>
      <c r="GQ51" s="63">
        <f t="shared" si="78"/>
        <v>3177.5239999999999</v>
      </c>
      <c r="GR51" s="63">
        <f t="shared" si="79"/>
        <v>1.1238192253180703</v>
      </c>
      <c r="GS51" s="63">
        <f t="shared" si="80"/>
        <v>1</v>
      </c>
      <c r="GT51" s="63" cm="1">
        <f t="array" ref="GT51">IF(OR(INDEX(FX_Vap,$KK51,GT$90)="Crude Oil",(INDEX(FX_Vap,$KL51,GT$90)="Crude Oil")),0.75,1)</f>
        <v>1</v>
      </c>
      <c r="GU51" s="63">
        <f t="shared" si="117"/>
        <v>1</v>
      </c>
      <c r="GV51" s="63">
        <f t="shared" si="81"/>
        <v>0.48224251924028971</v>
      </c>
      <c r="GW51" s="64">
        <f t="shared" si="82"/>
        <v>0.48224251924028971</v>
      </c>
      <c r="GX51" s="80" t="str" cm="1">
        <f t="array" ref="GX51">IF(ISBLANK(INDEX(FX_Input,$KB51+1,GX$85)),INDEX(FX_Input,$KB51,GX$85),INDEX(FX_Input,$KB51,GX$85)&amp;" &amp; "&amp;INDEX(FX_Input,$KB51+1,GX$85))</f>
        <v>Jet kerosene</v>
      </c>
      <c r="GY51" s="63" cm="1">
        <f t="array" ref="GY51">INDEX(FX_Temps,$KC51+7,GY$89)</f>
        <v>0</v>
      </c>
      <c r="GZ51" s="63" cm="1">
        <f t="array" ref="GZ51">INDEX(FX_Temps,$KC51+13,GZ$89)+459.6</f>
        <v>506.70000000000005</v>
      </c>
      <c r="HA51" s="63" cm="1">
        <f t="array" ref="HA51">INDEX(FX_Vap,$KG51,HA$91)-INDEX(FX_Vap,$KH51,HA$91)</f>
        <v>0</v>
      </c>
      <c r="HB51" s="73" cm="1">
        <f t="array" ref="HB51">IF(GX51="Out of Service",0,INDEX(FX_Vap,$KI51,HB$91))</f>
        <v>5.3015226887581056E-3</v>
      </c>
      <c r="HC51" s="63">
        <f t="shared" si="83"/>
        <v>0</v>
      </c>
      <c r="HD51" s="63">
        <f t="shared" si="84"/>
        <v>0.99743387239503323</v>
      </c>
      <c r="HE51" s="63" cm="1">
        <f t="array" ref="HE51">INDEX(FX_Vap,$KJ51,HE$91)</f>
        <v>130</v>
      </c>
      <c r="HF51" s="63" cm="1">
        <f t="array" ref="HF51">INDEX(FX_Temps,$KD51,HF$89)+459.6</f>
        <v>506.70000000000005</v>
      </c>
      <c r="HG51" s="63">
        <f t="shared" si="85"/>
        <v>1.2675143286623188E-4</v>
      </c>
      <c r="HH51" s="63" cm="1">
        <f t="array" ref="HH51">INDEX(Month_Ref,HH$83,3)*HC51*(PI()/4*$F51^2)*$H51*HD51*HG51</f>
        <v>0</v>
      </c>
      <c r="HI51" s="63" cm="1">
        <f t="array" ref="HI51">INDEX(FX_Input,$KB51,HI$85)</f>
        <v>566</v>
      </c>
      <c r="HJ51" s="63">
        <f t="shared" si="86"/>
        <v>3177.5239999999999</v>
      </c>
      <c r="HK51" s="63">
        <f t="shared" si="87"/>
        <v>1.1238192253180703</v>
      </c>
      <c r="HL51" s="63">
        <f t="shared" si="88"/>
        <v>1</v>
      </c>
      <c r="HM51" s="63" cm="1">
        <f t="array" ref="HM51">IF(OR(INDEX(FX_Vap,$KK51,HM$90)="Crude Oil",(INDEX(FX_Vap,$KL51,HM$90)="Crude Oil")),0.75,1)</f>
        <v>1</v>
      </c>
      <c r="HN51" s="63">
        <f t="shared" si="118"/>
        <v>1</v>
      </c>
      <c r="HO51" s="63">
        <f t="shared" si="89"/>
        <v>0.40275571996684056</v>
      </c>
      <c r="HP51" s="64">
        <f t="shared" si="90"/>
        <v>0.40275571996684056</v>
      </c>
      <c r="HQ51" s="80" t="str" cm="1">
        <f t="array" ref="HQ51">IF(ISBLANK(INDEX(FX_Input,$KB51+1,HQ$85)),INDEX(FX_Input,$KB51,HQ$85),INDEX(FX_Input,$KB51,HQ$85)&amp;" &amp; "&amp;INDEX(FX_Input,$KB51+1,HQ$85))</f>
        <v>Jet kerosene</v>
      </c>
      <c r="HR51" s="63" cm="1">
        <f t="array" ref="HR51">INDEX(FX_Temps,$KC51+7,HR$89)</f>
        <v>0</v>
      </c>
      <c r="HS51" s="63" cm="1">
        <f t="array" ref="HS51">INDEX(FX_Temps,$KC51+13,HS$89)+459.6</f>
        <v>503.20000000000005</v>
      </c>
      <c r="HT51" s="63" cm="1">
        <f t="array" ref="HT51">INDEX(FX_Vap,$KG51,HT$91)-INDEX(FX_Vap,$KH51,HT$91)</f>
        <v>0</v>
      </c>
      <c r="HU51" s="73" cm="1">
        <f t="array" ref="HU51">IF(HQ51="Out of Service",0,INDEX(FX_Vap,$KI51,HU$91))</f>
        <v>4.68970903600947E-3</v>
      </c>
      <c r="HV51" s="63">
        <f t="shared" si="91"/>
        <v>0</v>
      </c>
      <c r="HW51" s="63">
        <f t="shared" si="92"/>
        <v>0.99772933976869116</v>
      </c>
      <c r="HX51" s="63" cm="1">
        <f t="array" ref="HX51">INDEX(FX_Vap,$KJ51,HX$91)</f>
        <v>130</v>
      </c>
      <c r="HY51" s="63" cm="1">
        <f t="array" ref="HY51">INDEX(FX_Temps,$KD51,HY$89)+459.6</f>
        <v>503.20000000000005</v>
      </c>
      <c r="HZ51" s="63">
        <f t="shared" si="93"/>
        <v>1.1290376474196325E-4</v>
      </c>
      <c r="IA51" s="63" cm="1">
        <f t="array" ref="IA51">INDEX(Month_Ref,IA$83,3)*HV51*(PI()/4*$F51^2)*$H51*HW51*HZ51</f>
        <v>0</v>
      </c>
      <c r="IB51" s="63" cm="1">
        <f t="array" ref="IB51">INDEX(FX_Input,$KB51,IB$85)</f>
        <v>566</v>
      </c>
      <c r="IC51" s="63">
        <f t="shared" si="94"/>
        <v>3177.5239999999999</v>
      </c>
      <c r="ID51" s="63">
        <f t="shared" si="95"/>
        <v>1.1238192253180703</v>
      </c>
      <c r="IE51" s="63">
        <f t="shared" si="96"/>
        <v>1</v>
      </c>
      <c r="IF51" s="63" cm="1">
        <f t="array" ref="IF51">IF(OR(INDEX(FX_Vap,$KK51,IF$90)="Crude Oil",(INDEX(FX_Vap,$KL51,IF$90)="Crude Oil")),0.75,1)</f>
        <v>1</v>
      </c>
      <c r="IG51" s="63">
        <f t="shared" si="119"/>
        <v>1</v>
      </c>
      <c r="IH51" s="63">
        <f t="shared" si="97"/>
        <v>0.35875442215794201</v>
      </c>
      <c r="II51" s="64">
        <f t="shared" si="98"/>
        <v>0.35875442215794201</v>
      </c>
      <c r="IJ51" s="80">
        <f t="shared" si="99"/>
        <v>0</v>
      </c>
      <c r="IK51" s="63">
        <f t="shared" si="100"/>
        <v>0</v>
      </c>
      <c r="IL51" s="63">
        <f t="shared" si="101"/>
        <v>5.6590335387487318</v>
      </c>
      <c r="IM51" s="63">
        <f t="shared" si="102"/>
        <v>2.8295167693743661E-3</v>
      </c>
      <c r="IN51" s="63">
        <f t="shared" si="103"/>
        <v>5.6590335387487318</v>
      </c>
      <c r="IO51" s="64">
        <f t="shared" si="104"/>
        <v>2.8295167693743661E-3</v>
      </c>
      <c r="KB51" s="43">
        <f t="shared" si="120"/>
        <v>81</v>
      </c>
      <c r="KC51" s="43">
        <f t="shared" si="121"/>
        <v>561</v>
      </c>
      <c r="KD51" s="43">
        <f t="shared" si="122"/>
        <v>574</v>
      </c>
      <c r="KE51" s="43">
        <f t="shared" si="123"/>
        <v>561</v>
      </c>
      <c r="KF51" s="43">
        <f t="shared" si="124"/>
        <v>1361</v>
      </c>
      <c r="KG51" s="43">
        <f t="shared" si="125"/>
        <v>1384</v>
      </c>
      <c r="KH51" s="43">
        <f t="shared" si="126"/>
        <v>1379</v>
      </c>
      <c r="KI51" s="43">
        <f t="shared" si="126"/>
        <v>1389</v>
      </c>
      <c r="KJ51" s="43">
        <f t="shared" si="126"/>
        <v>1394</v>
      </c>
      <c r="KK51" s="43">
        <f t="shared" si="127"/>
        <v>1365</v>
      </c>
      <c r="KL51" s="43">
        <f t="shared" si="128"/>
        <v>1367</v>
      </c>
    </row>
    <row r="52" spans="2:298" x14ac:dyDescent="0.4">
      <c r="B52" s="43" t="str" cm="1">
        <f t="array" ref="B52">INDEX(FX_Input,$KB52,B$85)</f>
        <v>FX - 42</v>
      </c>
      <c r="C52" s="93" t="str" cm="1">
        <f t="array" ref="C52">INDEX(FX_Input,$KB52,C$85)</f>
        <v>FIXTANK 170</v>
      </c>
      <c r="D52" s="80">
        <f t="shared" si="129"/>
        <v>9160.8841778678361</v>
      </c>
      <c r="E52" s="63" cm="1">
        <f t="array" ref="E52">IF(ISBLANK(INDEX(FX_Input,$KB52,$E$85)),0.03,INDEX(FX_Input,$KB52,$E$85))-IF(ISBLANK(INDEX(FX_Input,$KB52,$E$86)),-0.03,INDEX(FX_Input,$KB52,$E$86))</f>
        <v>0.06</v>
      </c>
      <c r="F52" s="63" cm="1">
        <f t="array" ref="F52">IF(INDEX(FX_Input,$KB52,F$85)="Vertical",INDEX(FX_Input,$KB52,F$86),SQRT((INDEX(FX_Input,$KB52,F$86)*INDEX(FX_Input,$KB52,F$87))/(PI()/4)))</f>
        <v>24</v>
      </c>
      <c r="G52" s="63" cm="1">
        <f t="array" ref="G52">IF(INDEX(FX_Input,$KB52,G$85)="Vertical",INDEX(FX_Input,$KB52,G$86),INDEX(FX_Input,$KB52,G$87)*PI()/4)</f>
        <v>40</v>
      </c>
      <c r="H52" s="63" cm="1">
        <f t="array" ref="H52">IF(INDEX(FX_Input,$KB52,H$85)="Vertical",G52-G52/2+J52,G52/2)</f>
        <v>20.25</v>
      </c>
      <c r="I52" s="63" cm="1">
        <f t="array" ref="I52">IF(INDEX(FX_Input,$KB52,F$85)="Horizontal","N/A",IF(INDEX(FX_Input,$KB52,I$86)="Cone",IF(ISBLANK(INDEX(FX_Input,$KB52,I$87)),0.0625,INDEX(FX_Input,$KB52,I$87))*F52/2,F52/2-SQRT((F52/2)^2-(INDEX(FX_Input,$KB52,I$88)^2))))</f>
        <v>0.75</v>
      </c>
      <c r="J52" s="63" cm="1">
        <f t="array" ref="J52">IF(INDEX(FX_Input,$KB52,J$85)="Horizontal","N/A",IF(INDEX(FX_Input,$KB52,J$86)="Cone",I52/3,I52*(1/2+(1/6)*(I52/(F52/2))^2)))</f>
        <v>0.25</v>
      </c>
      <c r="K52" s="63">
        <f t="shared" si="130"/>
        <v>39</v>
      </c>
      <c r="L52" s="63">
        <v>1</v>
      </c>
      <c r="M52" s="63" t="str" cm="1">
        <f t="array" ref="M52">INDEX(Tbl_71_6,MATCH(INDEX(FX_Input,$KB52,M$85),Paint_Color,0),VLOOKUP(INDEX(FX_Input,$KB52,M$86),Paint_Cond_Column,2,FALSE))</f>
        <v>N/A</v>
      </c>
      <c r="N52" s="63" t="str" cm="1">
        <f t="array" ref="N52">INDEX(Tbl_71_6,MATCH(INDEX(FX_Input,$KB52,N$85),Paint_Color,0),VLOOKUP(INDEX(FX_Input,$KB52,N$86),Paint_Cond_Column,2,FALSE))</f>
        <v>N/A</v>
      </c>
      <c r="O52" s="64" t="str">
        <f t="shared" si="2"/>
        <v>Insulated</v>
      </c>
      <c r="P52" s="80" t="str" cm="1">
        <f t="array" ref="P52">IF(ISBLANK(INDEX(FX_Input,$KB52+1,P$85)),INDEX(FX_Input,$KB52,P$85),INDEX(FX_Input,$KB52,P$85)&amp;" &amp; "&amp;INDEX(FX_Input,$KB52+1,P$85))</f>
        <v>Jet kerosene</v>
      </c>
      <c r="Q52" s="63" cm="1">
        <f t="array" ref="Q52">INDEX(FX_Temps,$KC52+7,Q$89)</f>
        <v>0</v>
      </c>
      <c r="R52" s="63" cm="1">
        <f t="array" ref="R52">INDEX(FX_Temps,$KC52+13,R$89)+459.6</f>
        <v>503.5</v>
      </c>
      <c r="S52" s="63" cm="1">
        <f t="array" ref="S52">INDEX(FX_Vap,$KG52,S$91)-INDEX(FX_Vap,$KH52,S$91)</f>
        <v>0</v>
      </c>
      <c r="T52" s="73" cm="1">
        <f t="array" ref="T52">IF(P52="Out of Service",0,INDEX(FX_Vap,$KI52,T$91))</f>
        <v>4.739577185808354E-3</v>
      </c>
      <c r="U52" s="63">
        <f t="shared" si="3"/>
        <v>0</v>
      </c>
      <c r="V52" s="63">
        <f t="shared" si="4"/>
        <v>0.99493899286949972</v>
      </c>
      <c r="W52" s="63" cm="1">
        <f t="array" ref="W52">INDEX(FX_Vap,$KJ52,W$91)</f>
        <v>130</v>
      </c>
      <c r="X52" s="63" cm="1">
        <f t="array" ref="X52">INDEX(FX_Temps,$KD52,X$89)+459.6</f>
        <v>503.5</v>
      </c>
      <c r="Y52" s="63">
        <f t="shared" si="5"/>
        <v>1.1403634333314844E-4</v>
      </c>
      <c r="Z52" s="63" cm="1">
        <f t="array" ref="Z52">INDEX(Month_Ref,Z$83,3)*U52*(PI()/4*$F52^2)*$H52*V52*Y52</f>
        <v>0</v>
      </c>
      <c r="AA52" s="63" cm="1">
        <f t="array" ref="AA52">INDEX(FX_Input,$KB52,AA$85)</f>
        <v>3223</v>
      </c>
      <c r="AB52" s="63">
        <f t="shared" si="6"/>
        <v>18093.921999999999</v>
      </c>
      <c r="AC52" s="63">
        <f t="shared" si="7"/>
        <v>1.0525354993491203</v>
      </c>
      <c r="AD52" s="63">
        <f t="shared" si="8"/>
        <v>1</v>
      </c>
      <c r="AE52" s="63" cm="1">
        <f t="array" ref="AE52">IF(OR(INDEX(FX_Vap,$KK52,AE$90)="Crude Oil",(INDEX(FX_Vap,$KL52,AE$90)="Crude Oil")),0.75,1)</f>
        <v>1</v>
      </c>
      <c r="AF52" s="63">
        <f t="shared" si="108"/>
        <v>1</v>
      </c>
      <c r="AG52" s="63">
        <f t="shared" si="9"/>
        <v>2.0633647014352077</v>
      </c>
      <c r="AH52" s="64">
        <f t="shared" si="10"/>
        <v>2.0633647014352077</v>
      </c>
      <c r="AI52" s="80" t="str" cm="1">
        <f t="array" ref="AI52">IF(ISBLANK(INDEX(FX_Input,$KB52+1,AI$85)),INDEX(FX_Input,$KB52,AI$85),INDEX(FX_Input,$KB52,AI$85)&amp;" &amp; "&amp;INDEX(FX_Input,$KB52+1,AI$85))</f>
        <v>Jet kerosene</v>
      </c>
      <c r="AJ52" s="63" cm="1">
        <f t="array" ref="AJ52">INDEX(FX_Temps,$KC52+7,AJ$89)</f>
        <v>0</v>
      </c>
      <c r="AK52" s="63" cm="1">
        <f t="array" ref="AK52">INDEX(FX_Temps,$KC52+13,AK$89)+459.6</f>
        <v>504.30000000000007</v>
      </c>
      <c r="AL52" s="63" cm="1">
        <f t="array" ref="AL52">INDEX(FX_Vap,$KG52,AL$91)-INDEX(FX_Vap,$KH52,AL$91)</f>
        <v>0</v>
      </c>
      <c r="AM52" s="73" cm="1">
        <f t="array" ref="AM52">IF(AI52="Out of Service",0,INDEX(FX_Vap,$KI52,AM$91))</f>
        <v>4.8748667780818778E-3</v>
      </c>
      <c r="AN52" s="63">
        <f t="shared" si="11"/>
        <v>0</v>
      </c>
      <c r="AO52" s="63">
        <f t="shared" si="12"/>
        <v>0.99479528006887274</v>
      </c>
      <c r="AP52" s="63" cm="1">
        <f t="array" ref="AP52">INDEX(FX_Vap,$KJ52,AP$91)</f>
        <v>130</v>
      </c>
      <c r="AQ52" s="63" cm="1">
        <f t="array" ref="AQ52">INDEX(FX_Temps,$KD52,AQ$89)+459.6</f>
        <v>504.30000000000007</v>
      </c>
      <c r="AR52" s="63">
        <f t="shared" si="13"/>
        <v>1.1710540514572422E-4</v>
      </c>
      <c r="AS52" s="63" cm="1">
        <f t="array" ref="AS52">INDEX(Month_Ref,AS$83,3)*AN52*(PI()/4*$F52^2)*$H52*AO52*AR52</f>
        <v>0</v>
      </c>
      <c r="AT52" s="63" cm="1">
        <f t="array" ref="AT52">INDEX(FX_Input,$KB52,AT$85)</f>
        <v>3223</v>
      </c>
      <c r="AU52" s="63">
        <f t="shared" si="14"/>
        <v>18093.921999999999</v>
      </c>
      <c r="AV52" s="63">
        <f t="shared" si="15"/>
        <v>1.0525354993491203</v>
      </c>
      <c r="AW52" s="63">
        <f t="shared" si="16"/>
        <v>1</v>
      </c>
      <c r="AX52" s="63" cm="1">
        <f t="array" ref="AX52">IF(OR(INDEX(FX_Vap,$KK52,AX$90)="Crude Oil",(INDEX(FX_Vap,$KL52,AX$90)="Crude Oil")),0.75,1)</f>
        <v>1</v>
      </c>
      <c r="AY52" s="63">
        <f t="shared" si="109"/>
        <v>1</v>
      </c>
      <c r="AZ52" s="63">
        <f t="shared" si="17"/>
        <v>2.1188960664851324</v>
      </c>
      <c r="BA52" s="64">
        <f t="shared" si="18"/>
        <v>2.1188960664851324</v>
      </c>
      <c r="BB52" s="80" t="str" cm="1">
        <f t="array" ref="BB52">IF(ISBLANK(INDEX(FX_Input,$KB52+1,BB$85)),INDEX(FX_Input,$KB52,BB$85),INDEX(FX_Input,$KB52,BB$85)&amp;" &amp; "&amp;INDEX(FX_Input,$KB52+1,BB$85))</f>
        <v>Jet kerosene</v>
      </c>
      <c r="BC52" s="63" cm="1">
        <f t="array" ref="BC52">INDEX(FX_Temps,$KC52+7,BC$89)</f>
        <v>0</v>
      </c>
      <c r="BD52" s="63" cm="1">
        <f t="array" ref="BD52">INDEX(FX_Temps,$KC52+13,BD$89)+459.6</f>
        <v>505.70000000000005</v>
      </c>
      <c r="BE52" s="63" cm="1">
        <f t="array" ref="BE52">INDEX(FX_Vap,$KG52,BE$91)-INDEX(FX_Vap,$KH52,BE$91)</f>
        <v>0</v>
      </c>
      <c r="BF52" s="73" cm="1">
        <f t="array" ref="BF52">IF(BB52="Out of Service",0,INDEX(FX_Vap,$KI52,BF$91))</f>
        <v>5.119885034186122E-3</v>
      </c>
      <c r="BG52" s="63">
        <f t="shared" si="19"/>
        <v>0</v>
      </c>
      <c r="BH52" s="63">
        <f t="shared" si="20"/>
        <v>0.9945351124882359</v>
      </c>
      <c r="BI52" s="63" cm="1">
        <f t="array" ref="BI52">INDEX(FX_Vap,$KJ52,BI$91)</f>
        <v>130</v>
      </c>
      <c r="BJ52" s="63" cm="1">
        <f t="array" ref="BJ52">INDEX(FX_Temps,$KD52,BJ$89)+459.6</f>
        <v>505.70000000000005</v>
      </c>
      <c r="BK52" s="63">
        <f t="shared" si="21"/>
        <v>1.226508078051294E-4</v>
      </c>
      <c r="BL52" s="63" cm="1">
        <f t="array" ref="BL52">INDEX(Month_Ref,BL$83,3)*BG52*(PI()/4*$F52^2)*$H52*BH52*BK52</f>
        <v>0</v>
      </c>
      <c r="BM52" s="63" cm="1">
        <f t="array" ref="BM52">INDEX(FX_Input,$KB52,BM$85)</f>
        <v>3223</v>
      </c>
      <c r="BN52" s="63">
        <f t="shared" si="22"/>
        <v>18093.921999999999</v>
      </c>
      <c r="BO52" s="63">
        <f t="shared" si="23"/>
        <v>1.0525354993491203</v>
      </c>
      <c r="BP52" s="63">
        <f t="shared" si="24"/>
        <v>1</v>
      </c>
      <c r="BQ52" s="63" cm="1">
        <f t="array" ref="BQ52">IF(OR(INDEX(FX_Vap,$KK52,BQ$90)="Crude Oil",(INDEX(FX_Vap,$KL52,BQ$90)="Crude Oil")),0.75,1)</f>
        <v>1</v>
      </c>
      <c r="BR52" s="63">
        <f t="shared" si="110"/>
        <v>1</v>
      </c>
      <c r="BS52" s="63">
        <f t="shared" si="25"/>
        <v>2.2192341496630026</v>
      </c>
      <c r="BT52" s="64">
        <f t="shared" si="26"/>
        <v>2.2192341496630026</v>
      </c>
      <c r="BU52" s="80" t="str" cm="1">
        <f t="array" ref="BU52">IF(ISBLANK(INDEX(FX_Input,$KB52+1,BU$85)),INDEX(FX_Input,$KB52,BU$85),INDEX(FX_Input,$KB52,BU$85)&amp;" &amp; "&amp;INDEX(FX_Input,$KB52+1,BU$85))</f>
        <v>Jet kerosene</v>
      </c>
      <c r="BV52" s="63" cm="1">
        <f t="array" ref="BV52">INDEX(FX_Temps,$KC52+7,BV$89)</f>
        <v>0</v>
      </c>
      <c r="BW52" s="63" cm="1">
        <f t="array" ref="BW52">INDEX(FX_Temps,$KC52+13,BW$89)+459.6</f>
        <v>508.2</v>
      </c>
      <c r="BX52" s="63" cm="1">
        <f t="array" ref="BX52">INDEX(FX_Vap,$KG52,BX$91)-INDEX(FX_Vap,$KH52,BX$91)</f>
        <v>0</v>
      </c>
      <c r="BY52" s="73" cm="1">
        <f t="array" ref="BY52">IF(BU52="Out of Service",0,INDEX(FX_Vap,$KI52,BY$91))</f>
        <v>5.5846958573521795E-3</v>
      </c>
      <c r="BZ52" s="63">
        <f t="shared" si="27"/>
        <v>0</v>
      </c>
      <c r="CA52" s="63">
        <f t="shared" si="28"/>
        <v>0.99404193646235772</v>
      </c>
      <c r="CB52" s="63" cm="1">
        <f t="array" ref="CB52">INDEX(FX_Vap,$KJ52,CB$91)</f>
        <v>130</v>
      </c>
      <c r="CC52" s="63" cm="1">
        <f t="array" ref="CC52">INDEX(FX_Temps,$KD52,CC$89)+459.6</f>
        <v>508.2</v>
      </c>
      <c r="CD52" s="63">
        <f t="shared" si="29"/>
        <v>1.3312757561120781E-4</v>
      </c>
      <c r="CE52" s="63" cm="1">
        <f t="array" ref="CE52">INDEX(Month_Ref,CE$83,3)*BZ52*(PI()/4*$F52^2)*$H52*CA52*CD52</f>
        <v>0</v>
      </c>
      <c r="CF52" s="63" cm="1">
        <f t="array" ref="CF52">INDEX(FX_Input,$KB52,CF$85)</f>
        <v>3223</v>
      </c>
      <c r="CG52" s="63">
        <f t="shared" si="30"/>
        <v>18093.921999999999</v>
      </c>
      <c r="CH52" s="63">
        <f t="shared" si="31"/>
        <v>1.0525354993491203</v>
      </c>
      <c r="CI52" s="63">
        <f t="shared" si="32"/>
        <v>1</v>
      </c>
      <c r="CJ52" s="63" cm="1">
        <f t="array" ref="CJ52">IF(OR(INDEX(FX_Vap,$KK52,CJ$90)="Crude Oil",(INDEX(FX_Vap,$KL52,CJ$90)="Crude Oil")),0.75,1)</f>
        <v>1</v>
      </c>
      <c r="CK52" s="63">
        <f t="shared" si="111"/>
        <v>1</v>
      </c>
      <c r="CL52" s="63">
        <f t="shared" si="33"/>
        <v>2.4087999691582964</v>
      </c>
      <c r="CM52" s="64">
        <f t="shared" si="34"/>
        <v>2.4087999691582964</v>
      </c>
      <c r="CN52" s="80" t="str" cm="1">
        <f t="array" ref="CN52">IF(ISBLANK(INDEX(FX_Input,$KB52+1,CN$85)),INDEX(FX_Input,$KB52,CN$85),INDEX(FX_Input,$KB52,CN$85)&amp;" &amp; "&amp;INDEX(FX_Input,$KB52+1,CN$85))</f>
        <v>Jet kerosene</v>
      </c>
      <c r="CO52" s="63" cm="1">
        <f t="array" ref="CO52">INDEX(FX_Temps,$KC52+7,CO$89)</f>
        <v>0</v>
      </c>
      <c r="CP52" s="63" cm="1">
        <f t="array" ref="CP52">INDEX(FX_Temps,$KC52+13,CP$89)+459.6</f>
        <v>512.75</v>
      </c>
      <c r="CQ52" s="63" cm="1">
        <f t="array" ref="CQ52">INDEX(FX_Vap,$KG52,CQ$91)-INDEX(FX_Vap,$KH52,CQ$91)</f>
        <v>0</v>
      </c>
      <c r="CR52" s="73" cm="1">
        <f t="array" ref="CR52">IF(CN52="Out of Service",0,INDEX(FX_Vap,$KI52,CR$91))</f>
        <v>6.5274070972739821E-3</v>
      </c>
      <c r="CS52" s="63">
        <f t="shared" si="35"/>
        <v>0</v>
      </c>
      <c r="CT52" s="63">
        <f t="shared" si="36"/>
        <v>0.99304319649575623</v>
      </c>
      <c r="CU52" s="63" cm="1">
        <f t="array" ref="CU52">INDEX(FX_Vap,$KJ52,CU$91)</f>
        <v>130</v>
      </c>
      <c r="CV52" s="63" cm="1">
        <f t="array" ref="CV52">INDEX(FX_Temps,$KD52,CV$89)+459.6</f>
        <v>512.75</v>
      </c>
      <c r="CW52" s="63">
        <f t="shared" si="37"/>
        <v>1.5421910831991609E-4</v>
      </c>
      <c r="CX52" s="63" cm="1">
        <f t="array" ref="CX52">INDEX(Month_Ref,CX$83,3)*CS52*(PI()/4*$F52^2)*$H52*CT52*CW52</f>
        <v>0</v>
      </c>
      <c r="CY52" s="63" cm="1">
        <f t="array" ref="CY52">INDEX(FX_Input,$KB52,CY$85)</f>
        <v>3223</v>
      </c>
      <c r="CZ52" s="63">
        <f t="shared" si="38"/>
        <v>18093.921999999999</v>
      </c>
      <c r="DA52" s="63">
        <f t="shared" si="39"/>
        <v>1.0525354993491203</v>
      </c>
      <c r="DB52" s="63">
        <f t="shared" si="40"/>
        <v>1</v>
      </c>
      <c r="DC52" s="63" cm="1">
        <f t="array" ref="DC52">IF(OR(INDEX(FX_Vap,$KK52,DC$90)="Crude Oil",(INDEX(FX_Vap,$KL52,DC$90)="Crude Oil")),0.75,1)</f>
        <v>1</v>
      </c>
      <c r="DD52" s="63">
        <f t="shared" si="112"/>
        <v>1</v>
      </c>
      <c r="DE52" s="63">
        <f t="shared" si="41"/>
        <v>2.7904285168501124</v>
      </c>
      <c r="DF52" s="64">
        <f t="shared" si="42"/>
        <v>2.7904285168501124</v>
      </c>
      <c r="DG52" s="80" t="str" cm="1">
        <f t="array" ref="DG52">IF(ISBLANK(INDEX(FX_Input,$KB52+1,DG$85)),INDEX(FX_Input,$KB52,DG$85),INDEX(FX_Input,$KB52,DG$85)&amp;" &amp; "&amp;INDEX(FX_Input,$KB52+1,DG$85))</f>
        <v>Jet kerosene</v>
      </c>
      <c r="DH52" s="63" cm="1">
        <f t="array" ref="DH52">INDEX(FX_Temps,$KC52+7,DH$89)</f>
        <v>0</v>
      </c>
      <c r="DI52" s="63" cm="1">
        <f t="array" ref="DI52">INDEX(FX_Temps,$KC52+13,DI$89)+459.6</f>
        <v>516.55000000000007</v>
      </c>
      <c r="DJ52" s="63" cm="1">
        <f t="array" ref="DJ52">INDEX(FX_Vap,$KG52,DJ$91)-INDEX(FX_Vap,$KH52,DJ$91)</f>
        <v>0</v>
      </c>
      <c r="DK52" s="73" cm="1">
        <f t="array" ref="DK52">IF(DG52="Out of Service",0,INDEX(FX_Vap,$KI52,DK$91))</f>
        <v>7.4199539958878279E-3</v>
      </c>
      <c r="DL52" s="63">
        <f t="shared" si="43"/>
        <v>0</v>
      </c>
      <c r="DM52" s="63">
        <f t="shared" si="44"/>
        <v>0.99209945013122069</v>
      </c>
      <c r="DN52" s="63" cm="1">
        <f t="array" ref="DN52">INDEX(FX_Vap,$KJ52,DN$91)</f>
        <v>130</v>
      </c>
      <c r="DO52" s="63" cm="1">
        <f t="array" ref="DO52">INDEX(FX_Temps,$KD52,DO$89)+459.6</f>
        <v>516.55000000000007</v>
      </c>
      <c r="DP52" s="63">
        <f t="shared" si="45"/>
        <v>1.7401713099147103E-4</v>
      </c>
      <c r="DQ52" s="63" cm="1">
        <f t="array" ref="DQ52">INDEX(Month_Ref,DQ$83,3)*DL52*(PI()/4*$F52^2)*$H52*DM52*DP52</f>
        <v>0</v>
      </c>
      <c r="DR52" s="63" cm="1">
        <f t="array" ref="DR52">INDEX(FX_Input,$KB52,DR$85)</f>
        <v>3223</v>
      </c>
      <c r="DS52" s="63">
        <f t="shared" si="46"/>
        <v>18093.921999999999</v>
      </c>
      <c r="DT52" s="63">
        <f t="shared" si="47"/>
        <v>1.0525354993491203</v>
      </c>
      <c r="DU52" s="63">
        <f t="shared" si="48"/>
        <v>1</v>
      </c>
      <c r="DV52" s="63" cm="1">
        <f t="array" ref="DV52">IF(OR(INDEX(FX_Vap,$KK52,DV$90)="Crude Oil",(INDEX(FX_Vap,$KL52,DV$90)="Crude Oil")),0.75,1)</f>
        <v>1</v>
      </c>
      <c r="DW52" s="63">
        <f t="shared" si="113"/>
        <v>1</v>
      </c>
      <c r="DX52" s="63">
        <f t="shared" si="49"/>
        <v>3.1486523948234595</v>
      </c>
      <c r="DY52" s="64">
        <f t="shared" si="50"/>
        <v>3.1486523948234595</v>
      </c>
      <c r="DZ52" s="80" t="str" cm="1">
        <f t="array" ref="DZ52">IF(ISBLANK(INDEX(FX_Input,$KB52+1,DZ$85)),INDEX(FX_Input,$KB52,DZ$85),INDEX(FX_Input,$KB52,DZ$85)&amp;" &amp; "&amp;INDEX(FX_Input,$KB52+1,DZ$85))</f>
        <v>Jet kerosene</v>
      </c>
      <c r="EA52" s="63" cm="1">
        <f t="array" ref="EA52">INDEX(FX_Temps,$KC52+7,EA$89)</f>
        <v>0</v>
      </c>
      <c r="EB52" s="63" cm="1">
        <f t="array" ref="EB52">INDEX(FX_Temps,$KC52+13,EB$89)+459.6</f>
        <v>520.04999999999995</v>
      </c>
      <c r="EC52" s="63" cm="1">
        <f t="array" ref="EC52">INDEX(FX_Vap,$KG52,EC$91)-INDEX(FX_Vap,$KH52,EC$91)</f>
        <v>0</v>
      </c>
      <c r="ED52" s="73" cm="1">
        <f t="array" ref="ED52">IF(DZ52="Out of Service",0,INDEX(FX_Vap,$KI52,ED$91))</f>
        <v>8.3358107202842254E-3</v>
      </c>
      <c r="EE52" s="63">
        <f t="shared" si="51"/>
        <v>0</v>
      </c>
      <c r="EF52" s="63">
        <f t="shared" si="52"/>
        <v>0.99113291967043815</v>
      </c>
      <c r="EG52" s="63" cm="1">
        <f t="array" ref="EG52">INDEX(FX_Vap,$KJ52,EG$91)</f>
        <v>130</v>
      </c>
      <c r="EH52" s="63" cm="1">
        <f t="array" ref="EH52">INDEX(FX_Temps,$KD52,EH$89)+459.6</f>
        <v>520.04999999999995</v>
      </c>
      <c r="EI52" s="63">
        <f t="shared" si="53"/>
        <v>1.9418062801892895E-4</v>
      </c>
      <c r="EJ52" s="63" cm="1">
        <f t="array" ref="EJ52">INDEX(Month_Ref,EJ$83,3)*EE52*(PI()/4*$F52^2)*$H52*EF52*EI52</f>
        <v>0</v>
      </c>
      <c r="EK52" s="63" cm="1">
        <f t="array" ref="EK52">INDEX(FX_Input,$KB52,EK$85)</f>
        <v>3223</v>
      </c>
      <c r="EL52" s="63">
        <f t="shared" si="54"/>
        <v>18093.921999999999</v>
      </c>
      <c r="EM52" s="63">
        <f t="shared" si="55"/>
        <v>1.0525354993491203</v>
      </c>
      <c r="EN52" s="63">
        <f t="shared" si="56"/>
        <v>1</v>
      </c>
      <c r="EO52" s="63" cm="1">
        <f t="array" ref="EO52">IF(OR(INDEX(FX_Vap,$KK52,EO$90)="Crude Oil",(INDEX(FX_Vap,$KL52,EO$90)="Crude Oil")),0.75,1)</f>
        <v>1</v>
      </c>
      <c r="EP52" s="63">
        <f t="shared" si="114"/>
        <v>1</v>
      </c>
      <c r="EQ52" s="63">
        <f t="shared" si="57"/>
        <v>3.5134891372855148</v>
      </c>
      <c r="ER52" s="64">
        <f t="shared" si="58"/>
        <v>3.5134891372855148</v>
      </c>
      <c r="ES52" s="80" t="str" cm="1">
        <f t="array" ref="ES52">IF(ISBLANK(INDEX(FX_Input,$KB52+1,ES$85)),INDEX(FX_Input,$KB52,ES$85),INDEX(FX_Input,$KB52,ES$85)&amp;" &amp; "&amp;INDEX(FX_Input,$KB52+1,ES$85))</f>
        <v>Jet kerosene</v>
      </c>
      <c r="ET52" s="63" cm="1">
        <f t="array" ref="ET52">INDEX(FX_Temps,$KC52+7,ET$89)</f>
        <v>0</v>
      </c>
      <c r="EU52" s="63" cm="1">
        <f t="array" ref="EU52">INDEX(FX_Temps,$KC52+13,EU$89)+459.6</f>
        <v>520.5</v>
      </c>
      <c r="EV52" s="63" cm="1">
        <f t="array" ref="EV52">INDEX(FX_Vap,$KG52,EV$91)-INDEX(FX_Vap,$KH52,EV$91)</f>
        <v>0</v>
      </c>
      <c r="EW52" s="73" cm="1">
        <f t="array" ref="EW52">IF(ES52="Out of Service",0,INDEX(FX_Vap,$KI52,EW$91))</f>
        <v>8.4605262729351115E-3</v>
      </c>
      <c r="EX52" s="63">
        <f t="shared" si="59"/>
        <v>0</v>
      </c>
      <c r="EY52" s="63">
        <f t="shared" si="60"/>
        <v>0.9910014493554502</v>
      </c>
      <c r="EZ52" s="63" cm="1">
        <f t="array" ref="EZ52">INDEX(FX_Vap,$KJ52,EZ$91)</f>
        <v>130</v>
      </c>
      <c r="FA52" s="63" cm="1">
        <f t="array" ref="FA52">INDEX(FX_Temps,$KD52,FA$89)+459.6</f>
        <v>520.5</v>
      </c>
      <c r="FB52" s="63">
        <f t="shared" si="61"/>
        <v>1.969154544366044E-4</v>
      </c>
      <c r="FC52" s="63" cm="1">
        <f t="array" ref="FC52">INDEX(Month_Ref,FC$83,3)*EX52*(PI()/4*$F52^2)*$H52*EY52*FB52</f>
        <v>0</v>
      </c>
      <c r="FD52" s="63" cm="1">
        <f t="array" ref="FD52">INDEX(FX_Input,$KB52,FD$85)</f>
        <v>3223</v>
      </c>
      <c r="FE52" s="63">
        <f t="shared" si="62"/>
        <v>18093.921999999999</v>
      </c>
      <c r="FF52" s="63">
        <f t="shared" si="63"/>
        <v>1.0525354993491203</v>
      </c>
      <c r="FG52" s="63">
        <f t="shared" si="64"/>
        <v>1</v>
      </c>
      <c r="FH52" s="63" cm="1">
        <f t="array" ref="FH52">IF(OR(INDEX(FX_Vap,$KK52,FH$90)="Crude Oil",(INDEX(FX_Vap,$KL52,FH$90)="Crude Oil")),0.75,1)</f>
        <v>1</v>
      </c>
      <c r="FI52" s="63">
        <f t="shared" si="115"/>
        <v>1</v>
      </c>
      <c r="FJ52" s="63">
        <f t="shared" si="65"/>
        <v>3.562972873170474</v>
      </c>
      <c r="FK52" s="64">
        <f t="shared" si="66"/>
        <v>3.562972873170474</v>
      </c>
      <c r="FL52" s="80" t="str" cm="1">
        <f t="array" ref="FL52">IF(ISBLANK(INDEX(FX_Input,$KB52+1,FL$85)),INDEX(FX_Input,$KB52,FL$85),INDEX(FX_Input,$KB52,FL$85)&amp;" &amp; "&amp;INDEX(FX_Input,$KB52+1,FL$85))</f>
        <v>Jet kerosene</v>
      </c>
      <c r="FM52" s="63" cm="1">
        <f t="array" ref="FM52">INDEX(FX_Temps,$KC52+7,FM$89)</f>
        <v>0</v>
      </c>
      <c r="FN52" s="63" cm="1">
        <f t="array" ref="FN52">INDEX(FX_Temps,$KC52+13,FN$89)+459.6</f>
        <v>518.20000000000005</v>
      </c>
      <c r="FO52" s="63" cm="1">
        <f t="array" ref="FO52">INDEX(FX_Vap,$KG52,FO$91)-INDEX(FX_Vap,$KH52,FO$91)</f>
        <v>0</v>
      </c>
      <c r="FP52" s="73" cm="1">
        <f t="array" ref="FP52">IF(FL52="Out of Service",0,INDEX(FX_Vap,$KI52,FP$91))</f>
        <v>7.8399882233967533E-3</v>
      </c>
      <c r="FQ52" s="63">
        <f t="shared" si="67"/>
        <v>0</v>
      </c>
      <c r="FR52" s="63">
        <f t="shared" si="68"/>
        <v>0.9916559417760098</v>
      </c>
      <c r="FS52" s="63" cm="1">
        <f t="array" ref="FS52">INDEX(FX_Vap,$KJ52,FS$91)</f>
        <v>130</v>
      </c>
      <c r="FT52" s="63" cm="1">
        <f t="array" ref="FT52">INDEX(FX_Temps,$KD52,FT$89)+459.6</f>
        <v>518.20000000000005</v>
      </c>
      <c r="FU52" s="63">
        <f t="shared" si="69"/>
        <v>1.8328256712249962E-4</v>
      </c>
      <c r="FV52" s="63" cm="1">
        <f t="array" ref="FV52">INDEX(Month_Ref,FV$83,3)*FQ52*(PI()/4*$F52^2)*$H52*FR52*FU52</f>
        <v>0</v>
      </c>
      <c r="FW52" s="63" cm="1">
        <f t="array" ref="FW52">INDEX(FX_Input,$KB52,FW$85)</f>
        <v>3223</v>
      </c>
      <c r="FX52" s="63">
        <f t="shared" si="70"/>
        <v>18093.921999999999</v>
      </c>
      <c r="FY52" s="63">
        <f t="shared" si="71"/>
        <v>1.0525354993491203</v>
      </c>
      <c r="FZ52" s="63">
        <f t="shared" si="72"/>
        <v>1</v>
      </c>
      <c r="GA52" s="63" cm="1">
        <f t="array" ref="GA52">IF(OR(INDEX(FX_Vap,$KK52,GA$90)="Crude Oil",(INDEX(FX_Vap,$KL52,GA$90)="Crude Oil")),0.75,1)</f>
        <v>1</v>
      </c>
      <c r="GB52" s="63">
        <f t="shared" si="116"/>
        <v>1</v>
      </c>
      <c r="GC52" s="63">
        <f t="shared" si="73"/>
        <v>3.3163004734742723</v>
      </c>
      <c r="GD52" s="64">
        <f t="shared" si="74"/>
        <v>3.3163004734742723</v>
      </c>
      <c r="GE52" s="80" t="str" cm="1">
        <f t="array" ref="GE52">IF(ISBLANK(INDEX(FX_Input,$KB52+1,GE$85)),INDEX(FX_Input,$KB52,GE$85),INDEX(FX_Input,$KB52,GE$85)&amp;" &amp; "&amp;INDEX(FX_Input,$KB52+1,GE$85))</f>
        <v>Jet kerosene</v>
      </c>
      <c r="GF52" s="63" cm="1">
        <f t="array" ref="GF52">INDEX(FX_Temps,$KC52+7,GF$89)</f>
        <v>0</v>
      </c>
      <c r="GG52" s="63" cm="1">
        <f t="array" ref="GG52">INDEX(FX_Temps,$KC52+13,GG$89)+459.6</f>
        <v>512.25</v>
      </c>
      <c r="GH52" s="63" cm="1">
        <f t="array" ref="GH52">INDEX(FX_Vap,$KG52,GH$91)-INDEX(FX_Vap,$KH52,GH$91)</f>
        <v>0</v>
      </c>
      <c r="GI52" s="73" cm="1">
        <f t="array" ref="GI52">IF(GE52="Out of Service",0,INDEX(FX_Vap,$KI52,GI$91))</f>
        <v>6.4173462075160911E-3</v>
      </c>
      <c r="GJ52" s="63">
        <f t="shared" si="75"/>
        <v>0</v>
      </c>
      <c r="GK52" s="63">
        <f t="shared" si="76"/>
        <v>0.99315969521300818</v>
      </c>
      <c r="GL52" s="63" cm="1">
        <f t="array" ref="GL52">INDEX(FX_Vap,$KJ52,GL$91)</f>
        <v>130</v>
      </c>
      <c r="GM52" s="63" cm="1">
        <f t="array" ref="GM52">INDEX(FX_Temps,$KD52,GM$89)+459.6</f>
        <v>512.25</v>
      </c>
      <c r="GN52" s="63">
        <f t="shared" si="77"/>
        <v>1.5176675903637226E-4</v>
      </c>
      <c r="GO52" s="63" cm="1">
        <f t="array" ref="GO52">INDEX(Month_Ref,GO$83,3)*GJ52*(PI()/4*$F52^2)*$H52*GK52*GN52</f>
        <v>0</v>
      </c>
      <c r="GP52" s="63" cm="1">
        <f t="array" ref="GP52">INDEX(FX_Input,$KB52,GP$85)</f>
        <v>3223</v>
      </c>
      <c r="GQ52" s="63">
        <f t="shared" si="78"/>
        <v>18093.921999999999</v>
      </c>
      <c r="GR52" s="63">
        <f t="shared" si="79"/>
        <v>1.0525354993491203</v>
      </c>
      <c r="GS52" s="63">
        <f t="shared" si="80"/>
        <v>1</v>
      </c>
      <c r="GT52" s="63" cm="1">
        <f t="array" ref="GT52">IF(OR(INDEX(FX_Vap,$KK52,GT$90)="Crude Oil",(INDEX(FX_Vap,$KL52,GT$90)="Crude Oil")),0.75,1)</f>
        <v>1</v>
      </c>
      <c r="GU52" s="63">
        <f t="shared" si="117"/>
        <v>1</v>
      </c>
      <c r="GV52" s="63">
        <f t="shared" si="81"/>
        <v>2.7460559001969145</v>
      </c>
      <c r="GW52" s="64">
        <f t="shared" si="82"/>
        <v>2.7460559001969145</v>
      </c>
      <c r="GX52" s="80" t="str" cm="1">
        <f t="array" ref="GX52">IF(ISBLANK(INDEX(FX_Input,$KB52+1,GX$85)),INDEX(FX_Input,$KB52,GX$85),INDEX(FX_Input,$KB52,GX$85)&amp;" &amp; "&amp;INDEX(FX_Input,$KB52+1,GX$85))</f>
        <v>Jet kerosene</v>
      </c>
      <c r="GY52" s="63" cm="1">
        <f t="array" ref="GY52">INDEX(FX_Temps,$KC52+7,GY$89)</f>
        <v>0</v>
      </c>
      <c r="GZ52" s="63" cm="1">
        <f t="array" ref="GZ52">INDEX(FX_Temps,$KC52+13,GZ$89)+459.6</f>
        <v>506.70000000000005</v>
      </c>
      <c r="HA52" s="63" cm="1">
        <f t="array" ref="HA52">INDEX(FX_Vap,$KG52,HA$91)-INDEX(FX_Vap,$KH52,HA$91)</f>
        <v>0</v>
      </c>
      <c r="HB52" s="73" cm="1">
        <f t="array" ref="HB52">IF(GX52="Out of Service",0,INDEX(FX_Vap,$KI52,HB$91))</f>
        <v>5.3015226887581056E-3</v>
      </c>
      <c r="HC52" s="63">
        <f t="shared" si="83"/>
        <v>0</v>
      </c>
      <c r="HD52" s="63">
        <f t="shared" si="84"/>
        <v>0.99434233210814094</v>
      </c>
      <c r="HE52" s="63" cm="1">
        <f t="array" ref="HE52">INDEX(FX_Vap,$KJ52,HE$91)</f>
        <v>130</v>
      </c>
      <c r="HF52" s="63" cm="1">
        <f t="array" ref="HF52">INDEX(FX_Temps,$KD52,HF$89)+459.6</f>
        <v>506.70000000000005</v>
      </c>
      <c r="HG52" s="63">
        <f t="shared" si="85"/>
        <v>1.2675143286623188E-4</v>
      </c>
      <c r="HH52" s="63" cm="1">
        <f t="array" ref="HH52">INDEX(Month_Ref,HH$83,3)*HC52*(PI()/4*$F52^2)*$H52*HD52*HG52</f>
        <v>0</v>
      </c>
      <c r="HI52" s="63" cm="1">
        <f t="array" ref="HI52">INDEX(FX_Input,$KB52,HI$85)</f>
        <v>3223</v>
      </c>
      <c r="HJ52" s="63">
        <f t="shared" si="86"/>
        <v>18093.921999999999</v>
      </c>
      <c r="HK52" s="63">
        <f t="shared" si="87"/>
        <v>1.0525354993491203</v>
      </c>
      <c r="HL52" s="63">
        <f t="shared" si="88"/>
        <v>1</v>
      </c>
      <c r="HM52" s="63" cm="1">
        <f t="array" ref="HM52">IF(OR(INDEX(FX_Vap,$KK52,HM$90)="Crude Oil",(INDEX(FX_Vap,$KL52,HM$90)="Crude Oil")),0.75,1)</f>
        <v>1</v>
      </c>
      <c r="HN52" s="63">
        <f t="shared" si="118"/>
        <v>1</v>
      </c>
      <c r="HO52" s="63">
        <f t="shared" si="89"/>
        <v>2.2934305396698358</v>
      </c>
      <c r="HP52" s="64">
        <f t="shared" si="90"/>
        <v>2.2934305396698358</v>
      </c>
      <c r="HQ52" s="80" t="str" cm="1">
        <f t="array" ref="HQ52">IF(ISBLANK(INDEX(FX_Input,$KB52+1,HQ$85)),INDEX(FX_Input,$KB52,HQ$85),INDEX(FX_Input,$KB52,HQ$85)&amp;" &amp; "&amp;INDEX(FX_Input,$KB52+1,HQ$85))</f>
        <v>Jet kerosene</v>
      </c>
      <c r="HR52" s="63" cm="1">
        <f t="array" ref="HR52">INDEX(FX_Temps,$KC52+7,HR$89)</f>
        <v>0</v>
      </c>
      <c r="HS52" s="63" cm="1">
        <f t="array" ref="HS52">INDEX(FX_Temps,$KC52+13,HS$89)+459.6</f>
        <v>503.20000000000005</v>
      </c>
      <c r="HT52" s="63" cm="1">
        <f t="array" ref="HT52">INDEX(FX_Vap,$KG52,HT$91)-INDEX(FX_Vap,$KH52,HT$91)</f>
        <v>0</v>
      </c>
      <c r="HU52" s="73" cm="1">
        <f t="array" ref="HU52">IF(HQ52="Out of Service",0,INDEX(FX_Vap,$KI52,HU$91))</f>
        <v>4.68970903600947E-3</v>
      </c>
      <c r="HV52" s="63">
        <f t="shared" si="91"/>
        <v>0</v>
      </c>
      <c r="HW52" s="63">
        <f t="shared" si="92"/>
        <v>0.99499197631327974</v>
      </c>
      <c r="HX52" s="63" cm="1">
        <f t="array" ref="HX52">INDEX(FX_Vap,$KJ52,HX$91)</f>
        <v>130</v>
      </c>
      <c r="HY52" s="63" cm="1">
        <f t="array" ref="HY52">INDEX(FX_Temps,$KD52,HY$89)+459.6</f>
        <v>503.20000000000005</v>
      </c>
      <c r="HZ52" s="63">
        <f t="shared" si="93"/>
        <v>1.1290376474196325E-4</v>
      </c>
      <c r="IA52" s="63" cm="1">
        <f t="array" ref="IA52">INDEX(Month_Ref,IA$83,3)*HV52*(PI()/4*$F52^2)*$H52*HW52*HZ52</f>
        <v>0</v>
      </c>
      <c r="IB52" s="63" cm="1">
        <f t="array" ref="IB52">INDEX(FX_Input,$KB52,IB$85)</f>
        <v>3223</v>
      </c>
      <c r="IC52" s="63">
        <f t="shared" si="94"/>
        <v>18093.921999999999</v>
      </c>
      <c r="ID52" s="63">
        <f t="shared" si="95"/>
        <v>1.0525354993491203</v>
      </c>
      <c r="IE52" s="63">
        <f t="shared" si="96"/>
        <v>1</v>
      </c>
      <c r="IF52" s="63" cm="1">
        <f t="array" ref="IF52">IF(OR(INDEX(FX_Vap,$KK52,IF$90)="Crude Oil",(INDEX(FX_Vap,$KL52,IF$90)="Crude Oil")),0.75,1)</f>
        <v>1</v>
      </c>
      <c r="IG52" s="63">
        <f t="shared" si="119"/>
        <v>1</v>
      </c>
      <c r="IH52" s="63">
        <f t="shared" si="97"/>
        <v>2.0428719127474331</v>
      </c>
      <c r="II52" s="64">
        <f t="shared" si="98"/>
        <v>2.0428719127474331</v>
      </c>
      <c r="IJ52" s="80">
        <f t="shared" si="99"/>
        <v>0</v>
      </c>
      <c r="IK52" s="63">
        <f t="shared" si="100"/>
        <v>0</v>
      </c>
      <c r="IL52" s="63">
        <f t="shared" si="101"/>
        <v>32.22449663495965</v>
      </c>
      <c r="IM52" s="63">
        <f t="shared" si="102"/>
        <v>1.6112248317479826E-2</v>
      </c>
      <c r="IN52" s="63">
        <f t="shared" si="103"/>
        <v>32.22449663495965</v>
      </c>
      <c r="IO52" s="64">
        <f t="shared" si="104"/>
        <v>1.6112248317479826E-2</v>
      </c>
      <c r="KB52" s="43">
        <f t="shared" si="120"/>
        <v>83</v>
      </c>
      <c r="KC52" s="43">
        <f t="shared" si="121"/>
        <v>575</v>
      </c>
      <c r="KD52" s="43">
        <f t="shared" si="122"/>
        <v>588</v>
      </c>
      <c r="KE52" s="43">
        <f t="shared" si="123"/>
        <v>575</v>
      </c>
      <c r="KF52" s="43">
        <f t="shared" si="124"/>
        <v>1395</v>
      </c>
      <c r="KG52" s="43">
        <f t="shared" si="125"/>
        <v>1418</v>
      </c>
      <c r="KH52" s="43">
        <f t="shared" si="126"/>
        <v>1413</v>
      </c>
      <c r="KI52" s="43">
        <f t="shared" si="126"/>
        <v>1423</v>
      </c>
      <c r="KJ52" s="43">
        <f t="shared" si="126"/>
        <v>1428</v>
      </c>
      <c r="KK52" s="43">
        <f t="shared" si="127"/>
        <v>1399</v>
      </c>
      <c r="KL52" s="43">
        <f t="shared" si="128"/>
        <v>1401</v>
      </c>
    </row>
    <row r="53" spans="2:298" x14ac:dyDescent="0.4">
      <c r="B53" s="43" t="str" cm="1">
        <f t="array" ref="B53">INDEX(FX_Input,$KB53,B$85)</f>
        <v>FX - 43</v>
      </c>
      <c r="C53" s="93" t="str" cm="1">
        <f t="array" ref="C53">INDEX(FX_Input,$KB53,C$85)</f>
        <v>FIXTANK 171</v>
      </c>
      <c r="D53" s="80">
        <f t="shared" si="129"/>
        <v>9160.8841778678361</v>
      </c>
      <c r="E53" s="63" cm="1">
        <f t="array" ref="E53">IF(ISBLANK(INDEX(FX_Input,$KB53,$E$85)),0.03,INDEX(FX_Input,$KB53,$E$85))-IF(ISBLANK(INDEX(FX_Input,$KB53,$E$86)),-0.03,INDEX(FX_Input,$KB53,$E$86))</f>
        <v>0.06</v>
      </c>
      <c r="F53" s="63" cm="1">
        <f t="array" ref="F53">IF(INDEX(FX_Input,$KB53,F$85)="Vertical",INDEX(FX_Input,$KB53,F$86),SQRT((INDEX(FX_Input,$KB53,F$86)*INDEX(FX_Input,$KB53,F$87))/(PI()/4)))</f>
        <v>24</v>
      </c>
      <c r="G53" s="63" cm="1">
        <f t="array" ref="G53">IF(INDEX(FX_Input,$KB53,G$85)="Vertical",INDEX(FX_Input,$KB53,G$86),INDEX(FX_Input,$KB53,G$87)*PI()/4)</f>
        <v>40</v>
      </c>
      <c r="H53" s="63" cm="1">
        <f t="array" ref="H53">IF(INDEX(FX_Input,$KB53,H$85)="Vertical",G53-G53/2+J53,G53/2)</f>
        <v>20.25</v>
      </c>
      <c r="I53" s="63" cm="1">
        <f t="array" ref="I53">IF(INDEX(FX_Input,$KB53,F$85)="Horizontal","N/A",IF(INDEX(FX_Input,$KB53,I$86)="Cone",IF(ISBLANK(INDEX(FX_Input,$KB53,I$87)),0.0625,INDEX(FX_Input,$KB53,I$87))*F53/2,F53/2-SQRT((F53/2)^2-(INDEX(FX_Input,$KB53,I$88)^2))))</f>
        <v>0.75</v>
      </c>
      <c r="J53" s="63" cm="1">
        <f t="array" ref="J53">IF(INDEX(FX_Input,$KB53,J$85)="Horizontal","N/A",IF(INDEX(FX_Input,$KB53,J$86)="Cone",I53/3,I53*(1/2+(1/6)*(I53/(F53/2))^2)))</f>
        <v>0.25</v>
      </c>
      <c r="K53" s="63">
        <f t="shared" si="130"/>
        <v>39</v>
      </c>
      <c r="L53" s="63">
        <v>1</v>
      </c>
      <c r="M53" s="63" t="str" cm="1">
        <f t="array" ref="M53">INDEX(Tbl_71_6,MATCH(INDEX(FX_Input,$KB53,M$85),Paint_Color,0),VLOOKUP(INDEX(FX_Input,$KB53,M$86),Paint_Cond_Column,2,FALSE))</f>
        <v>N/A</v>
      </c>
      <c r="N53" s="63" t="str" cm="1">
        <f t="array" ref="N53">INDEX(Tbl_71_6,MATCH(INDEX(FX_Input,$KB53,N$85),Paint_Color,0),VLOOKUP(INDEX(FX_Input,$KB53,N$86),Paint_Cond_Column,2,FALSE))</f>
        <v>N/A</v>
      </c>
      <c r="O53" s="64" t="str">
        <f t="shared" si="2"/>
        <v>Insulated</v>
      </c>
      <c r="P53" s="80" t="str" cm="1">
        <f t="array" ref="P53">IF(ISBLANK(INDEX(FX_Input,$KB53+1,P$85)),INDEX(FX_Input,$KB53,P$85),INDEX(FX_Input,$KB53,P$85)&amp;" &amp; "&amp;INDEX(FX_Input,$KB53+1,P$85))</f>
        <v>Jet kerosene</v>
      </c>
      <c r="Q53" s="63" cm="1">
        <f t="array" ref="Q53">INDEX(FX_Temps,$KC53+7,Q$89)</f>
        <v>0</v>
      </c>
      <c r="R53" s="63" cm="1">
        <f t="array" ref="R53">INDEX(FX_Temps,$KC53+13,R$89)+459.6</f>
        <v>503.5</v>
      </c>
      <c r="S53" s="63" cm="1">
        <f t="array" ref="S53">INDEX(FX_Vap,$KG53,S$91)-INDEX(FX_Vap,$KH53,S$91)</f>
        <v>0</v>
      </c>
      <c r="T53" s="73" cm="1">
        <f t="array" ref="T53">IF(P53="Out of Service",0,INDEX(FX_Vap,$KI53,T$91))</f>
        <v>4.739577185808354E-3</v>
      </c>
      <c r="U53" s="63">
        <f t="shared" si="3"/>
        <v>0</v>
      </c>
      <c r="V53" s="63">
        <f t="shared" si="4"/>
        <v>0.99493899286949972</v>
      </c>
      <c r="W53" s="63" cm="1">
        <f t="array" ref="W53">INDEX(FX_Vap,$KJ53,W$91)</f>
        <v>130</v>
      </c>
      <c r="X53" s="63" cm="1">
        <f t="array" ref="X53">INDEX(FX_Temps,$KD53,X$89)+459.6</f>
        <v>503.5</v>
      </c>
      <c r="Y53" s="63">
        <f t="shared" si="5"/>
        <v>1.1403634333314844E-4</v>
      </c>
      <c r="Z53" s="63" cm="1">
        <f t="array" ref="Z53">INDEX(Month_Ref,Z$83,3)*U53*(PI()/4*$F53^2)*$H53*V53*Y53</f>
        <v>0</v>
      </c>
      <c r="AA53" s="63" cm="1">
        <f t="array" ref="AA53">INDEX(FX_Input,$KB53,AA$85)</f>
        <v>3223</v>
      </c>
      <c r="AB53" s="63">
        <f t="shared" si="6"/>
        <v>18093.921999999999</v>
      </c>
      <c r="AC53" s="63">
        <f t="shared" si="7"/>
        <v>1.0525354993491203</v>
      </c>
      <c r="AD53" s="63">
        <f t="shared" si="8"/>
        <v>1</v>
      </c>
      <c r="AE53" s="63" cm="1">
        <f t="array" ref="AE53">IF(OR(INDEX(FX_Vap,$KK53,AE$90)="Crude Oil",(INDEX(FX_Vap,$KL53,AE$90)="Crude Oil")),0.75,1)</f>
        <v>1</v>
      </c>
      <c r="AF53" s="63">
        <f t="shared" si="108"/>
        <v>1</v>
      </c>
      <c r="AG53" s="63">
        <f t="shared" si="9"/>
        <v>2.0633647014352077</v>
      </c>
      <c r="AH53" s="64">
        <f t="shared" si="10"/>
        <v>2.0633647014352077</v>
      </c>
      <c r="AI53" s="80" t="str" cm="1">
        <f t="array" ref="AI53">IF(ISBLANK(INDEX(FX_Input,$KB53+1,AI$85)),INDEX(FX_Input,$KB53,AI$85),INDEX(FX_Input,$KB53,AI$85)&amp;" &amp; "&amp;INDEX(FX_Input,$KB53+1,AI$85))</f>
        <v>Jet kerosene</v>
      </c>
      <c r="AJ53" s="63" cm="1">
        <f t="array" ref="AJ53">INDEX(FX_Temps,$KC53+7,AJ$89)</f>
        <v>0</v>
      </c>
      <c r="AK53" s="63" cm="1">
        <f t="array" ref="AK53">INDEX(FX_Temps,$KC53+13,AK$89)+459.6</f>
        <v>504.30000000000007</v>
      </c>
      <c r="AL53" s="63" cm="1">
        <f t="array" ref="AL53">INDEX(FX_Vap,$KG53,AL$91)-INDEX(FX_Vap,$KH53,AL$91)</f>
        <v>0</v>
      </c>
      <c r="AM53" s="73" cm="1">
        <f t="array" ref="AM53">IF(AI53="Out of Service",0,INDEX(FX_Vap,$KI53,AM$91))</f>
        <v>4.8748667780818778E-3</v>
      </c>
      <c r="AN53" s="63">
        <f t="shared" si="11"/>
        <v>0</v>
      </c>
      <c r="AO53" s="63">
        <f t="shared" si="12"/>
        <v>0.99479528006887274</v>
      </c>
      <c r="AP53" s="63" cm="1">
        <f t="array" ref="AP53">INDEX(FX_Vap,$KJ53,AP$91)</f>
        <v>130</v>
      </c>
      <c r="AQ53" s="63" cm="1">
        <f t="array" ref="AQ53">INDEX(FX_Temps,$KD53,AQ$89)+459.6</f>
        <v>504.30000000000007</v>
      </c>
      <c r="AR53" s="63">
        <f t="shared" si="13"/>
        <v>1.1710540514572422E-4</v>
      </c>
      <c r="AS53" s="63" cm="1">
        <f t="array" ref="AS53">INDEX(Month_Ref,AS$83,3)*AN53*(PI()/4*$F53^2)*$H53*AO53*AR53</f>
        <v>0</v>
      </c>
      <c r="AT53" s="63" cm="1">
        <f t="array" ref="AT53">INDEX(FX_Input,$KB53,AT$85)</f>
        <v>3223</v>
      </c>
      <c r="AU53" s="63">
        <f t="shared" si="14"/>
        <v>18093.921999999999</v>
      </c>
      <c r="AV53" s="63">
        <f t="shared" si="15"/>
        <v>1.0525354993491203</v>
      </c>
      <c r="AW53" s="63">
        <f t="shared" si="16"/>
        <v>1</v>
      </c>
      <c r="AX53" s="63" cm="1">
        <f t="array" ref="AX53">IF(OR(INDEX(FX_Vap,$KK53,AX$90)="Crude Oil",(INDEX(FX_Vap,$KL53,AX$90)="Crude Oil")),0.75,1)</f>
        <v>1</v>
      </c>
      <c r="AY53" s="63">
        <f t="shared" si="109"/>
        <v>1</v>
      </c>
      <c r="AZ53" s="63">
        <f t="shared" si="17"/>
        <v>2.1188960664851324</v>
      </c>
      <c r="BA53" s="64">
        <f t="shared" si="18"/>
        <v>2.1188960664851324</v>
      </c>
      <c r="BB53" s="80" t="str" cm="1">
        <f t="array" ref="BB53">IF(ISBLANK(INDEX(FX_Input,$KB53+1,BB$85)),INDEX(FX_Input,$KB53,BB$85),INDEX(FX_Input,$KB53,BB$85)&amp;" &amp; "&amp;INDEX(FX_Input,$KB53+1,BB$85))</f>
        <v>Jet kerosene</v>
      </c>
      <c r="BC53" s="63" cm="1">
        <f t="array" ref="BC53">INDEX(FX_Temps,$KC53+7,BC$89)</f>
        <v>0</v>
      </c>
      <c r="BD53" s="63" cm="1">
        <f t="array" ref="BD53">INDEX(FX_Temps,$KC53+13,BD$89)+459.6</f>
        <v>505.70000000000005</v>
      </c>
      <c r="BE53" s="63" cm="1">
        <f t="array" ref="BE53">INDEX(FX_Vap,$KG53,BE$91)-INDEX(FX_Vap,$KH53,BE$91)</f>
        <v>0</v>
      </c>
      <c r="BF53" s="73" cm="1">
        <f t="array" ref="BF53">IF(BB53="Out of Service",0,INDEX(FX_Vap,$KI53,BF$91))</f>
        <v>5.119885034186122E-3</v>
      </c>
      <c r="BG53" s="63">
        <f t="shared" si="19"/>
        <v>0</v>
      </c>
      <c r="BH53" s="63">
        <f t="shared" si="20"/>
        <v>0.9945351124882359</v>
      </c>
      <c r="BI53" s="63" cm="1">
        <f t="array" ref="BI53">INDEX(FX_Vap,$KJ53,BI$91)</f>
        <v>130</v>
      </c>
      <c r="BJ53" s="63" cm="1">
        <f t="array" ref="BJ53">INDEX(FX_Temps,$KD53,BJ$89)+459.6</f>
        <v>505.70000000000005</v>
      </c>
      <c r="BK53" s="63">
        <f t="shared" si="21"/>
        <v>1.226508078051294E-4</v>
      </c>
      <c r="BL53" s="63" cm="1">
        <f t="array" ref="BL53">INDEX(Month_Ref,BL$83,3)*BG53*(PI()/4*$F53^2)*$H53*BH53*BK53</f>
        <v>0</v>
      </c>
      <c r="BM53" s="63" cm="1">
        <f t="array" ref="BM53">INDEX(FX_Input,$KB53,BM$85)</f>
        <v>3223</v>
      </c>
      <c r="BN53" s="63">
        <f t="shared" si="22"/>
        <v>18093.921999999999</v>
      </c>
      <c r="BO53" s="63">
        <f t="shared" si="23"/>
        <v>1.0525354993491203</v>
      </c>
      <c r="BP53" s="63">
        <f t="shared" si="24"/>
        <v>1</v>
      </c>
      <c r="BQ53" s="63" cm="1">
        <f t="array" ref="BQ53">IF(OR(INDEX(FX_Vap,$KK53,BQ$90)="Crude Oil",(INDEX(FX_Vap,$KL53,BQ$90)="Crude Oil")),0.75,1)</f>
        <v>1</v>
      </c>
      <c r="BR53" s="63">
        <f t="shared" si="110"/>
        <v>1</v>
      </c>
      <c r="BS53" s="63">
        <f t="shared" si="25"/>
        <v>2.2192341496630026</v>
      </c>
      <c r="BT53" s="64">
        <f t="shared" si="26"/>
        <v>2.2192341496630026</v>
      </c>
      <c r="BU53" s="80" t="str" cm="1">
        <f t="array" ref="BU53">IF(ISBLANK(INDEX(FX_Input,$KB53+1,BU$85)),INDEX(FX_Input,$KB53,BU$85),INDEX(FX_Input,$KB53,BU$85)&amp;" &amp; "&amp;INDEX(FX_Input,$KB53+1,BU$85))</f>
        <v>Jet kerosene</v>
      </c>
      <c r="BV53" s="63" cm="1">
        <f t="array" ref="BV53">INDEX(FX_Temps,$KC53+7,BV$89)</f>
        <v>0</v>
      </c>
      <c r="BW53" s="63" cm="1">
        <f t="array" ref="BW53">INDEX(FX_Temps,$KC53+13,BW$89)+459.6</f>
        <v>508.2</v>
      </c>
      <c r="BX53" s="63" cm="1">
        <f t="array" ref="BX53">INDEX(FX_Vap,$KG53,BX$91)-INDEX(FX_Vap,$KH53,BX$91)</f>
        <v>0</v>
      </c>
      <c r="BY53" s="73" cm="1">
        <f t="array" ref="BY53">IF(BU53="Out of Service",0,INDEX(FX_Vap,$KI53,BY$91))</f>
        <v>5.5846958573521795E-3</v>
      </c>
      <c r="BZ53" s="63">
        <f t="shared" si="27"/>
        <v>0</v>
      </c>
      <c r="CA53" s="63">
        <f t="shared" si="28"/>
        <v>0.99404193646235772</v>
      </c>
      <c r="CB53" s="63" cm="1">
        <f t="array" ref="CB53">INDEX(FX_Vap,$KJ53,CB$91)</f>
        <v>130</v>
      </c>
      <c r="CC53" s="63" cm="1">
        <f t="array" ref="CC53">INDEX(FX_Temps,$KD53,CC$89)+459.6</f>
        <v>508.2</v>
      </c>
      <c r="CD53" s="63">
        <f t="shared" si="29"/>
        <v>1.3312757561120781E-4</v>
      </c>
      <c r="CE53" s="63" cm="1">
        <f t="array" ref="CE53">INDEX(Month_Ref,CE$83,3)*BZ53*(PI()/4*$F53^2)*$H53*CA53*CD53</f>
        <v>0</v>
      </c>
      <c r="CF53" s="63" cm="1">
        <f t="array" ref="CF53">INDEX(FX_Input,$KB53,CF$85)</f>
        <v>3223</v>
      </c>
      <c r="CG53" s="63">
        <f t="shared" si="30"/>
        <v>18093.921999999999</v>
      </c>
      <c r="CH53" s="63">
        <f t="shared" si="31"/>
        <v>1.0525354993491203</v>
      </c>
      <c r="CI53" s="63">
        <f t="shared" si="32"/>
        <v>1</v>
      </c>
      <c r="CJ53" s="63" cm="1">
        <f t="array" ref="CJ53">IF(OR(INDEX(FX_Vap,$KK53,CJ$90)="Crude Oil",(INDEX(FX_Vap,$KL53,CJ$90)="Crude Oil")),0.75,1)</f>
        <v>1</v>
      </c>
      <c r="CK53" s="63">
        <f t="shared" si="111"/>
        <v>1</v>
      </c>
      <c r="CL53" s="63">
        <f t="shared" si="33"/>
        <v>2.4087999691582964</v>
      </c>
      <c r="CM53" s="64">
        <f t="shared" si="34"/>
        <v>2.4087999691582964</v>
      </c>
      <c r="CN53" s="80" t="str" cm="1">
        <f t="array" ref="CN53">IF(ISBLANK(INDEX(FX_Input,$KB53+1,CN$85)),INDEX(FX_Input,$KB53,CN$85),INDEX(FX_Input,$KB53,CN$85)&amp;" &amp; "&amp;INDEX(FX_Input,$KB53+1,CN$85))</f>
        <v>Jet kerosene</v>
      </c>
      <c r="CO53" s="63" cm="1">
        <f t="array" ref="CO53">INDEX(FX_Temps,$KC53+7,CO$89)</f>
        <v>0</v>
      </c>
      <c r="CP53" s="63" cm="1">
        <f t="array" ref="CP53">INDEX(FX_Temps,$KC53+13,CP$89)+459.6</f>
        <v>512.75</v>
      </c>
      <c r="CQ53" s="63" cm="1">
        <f t="array" ref="CQ53">INDEX(FX_Vap,$KG53,CQ$91)-INDEX(FX_Vap,$KH53,CQ$91)</f>
        <v>0</v>
      </c>
      <c r="CR53" s="73" cm="1">
        <f t="array" ref="CR53">IF(CN53="Out of Service",0,INDEX(FX_Vap,$KI53,CR$91))</f>
        <v>6.5274070972739821E-3</v>
      </c>
      <c r="CS53" s="63">
        <f t="shared" si="35"/>
        <v>0</v>
      </c>
      <c r="CT53" s="63">
        <f t="shared" si="36"/>
        <v>0.99304319649575623</v>
      </c>
      <c r="CU53" s="63" cm="1">
        <f t="array" ref="CU53">INDEX(FX_Vap,$KJ53,CU$91)</f>
        <v>130</v>
      </c>
      <c r="CV53" s="63" cm="1">
        <f t="array" ref="CV53">INDEX(FX_Temps,$KD53,CV$89)+459.6</f>
        <v>512.75</v>
      </c>
      <c r="CW53" s="63">
        <f t="shared" si="37"/>
        <v>1.5421910831991609E-4</v>
      </c>
      <c r="CX53" s="63" cm="1">
        <f t="array" ref="CX53">INDEX(Month_Ref,CX$83,3)*CS53*(PI()/4*$F53^2)*$H53*CT53*CW53</f>
        <v>0</v>
      </c>
      <c r="CY53" s="63" cm="1">
        <f t="array" ref="CY53">INDEX(FX_Input,$KB53,CY$85)</f>
        <v>3223</v>
      </c>
      <c r="CZ53" s="63">
        <f t="shared" si="38"/>
        <v>18093.921999999999</v>
      </c>
      <c r="DA53" s="63">
        <f t="shared" si="39"/>
        <v>1.0525354993491203</v>
      </c>
      <c r="DB53" s="63">
        <f t="shared" si="40"/>
        <v>1</v>
      </c>
      <c r="DC53" s="63" cm="1">
        <f t="array" ref="DC53">IF(OR(INDEX(FX_Vap,$KK53,DC$90)="Crude Oil",(INDEX(FX_Vap,$KL53,DC$90)="Crude Oil")),0.75,1)</f>
        <v>1</v>
      </c>
      <c r="DD53" s="63">
        <f t="shared" si="112"/>
        <v>1</v>
      </c>
      <c r="DE53" s="63">
        <f t="shared" si="41"/>
        <v>2.7904285168501124</v>
      </c>
      <c r="DF53" s="64">
        <f t="shared" si="42"/>
        <v>2.7904285168501124</v>
      </c>
      <c r="DG53" s="80" t="str" cm="1">
        <f t="array" ref="DG53">IF(ISBLANK(INDEX(FX_Input,$KB53+1,DG$85)),INDEX(FX_Input,$KB53,DG$85),INDEX(FX_Input,$KB53,DG$85)&amp;" &amp; "&amp;INDEX(FX_Input,$KB53+1,DG$85))</f>
        <v>Jet kerosene</v>
      </c>
      <c r="DH53" s="63" cm="1">
        <f t="array" ref="DH53">INDEX(FX_Temps,$KC53+7,DH$89)</f>
        <v>0</v>
      </c>
      <c r="DI53" s="63" cm="1">
        <f t="array" ref="DI53">INDEX(FX_Temps,$KC53+13,DI$89)+459.6</f>
        <v>516.55000000000007</v>
      </c>
      <c r="DJ53" s="63" cm="1">
        <f t="array" ref="DJ53">INDEX(FX_Vap,$KG53,DJ$91)-INDEX(FX_Vap,$KH53,DJ$91)</f>
        <v>0</v>
      </c>
      <c r="DK53" s="73" cm="1">
        <f t="array" ref="DK53">IF(DG53="Out of Service",0,INDEX(FX_Vap,$KI53,DK$91))</f>
        <v>7.4199539958878279E-3</v>
      </c>
      <c r="DL53" s="63">
        <f t="shared" si="43"/>
        <v>0</v>
      </c>
      <c r="DM53" s="63">
        <f t="shared" si="44"/>
        <v>0.99209945013122069</v>
      </c>
      <c r="DN53" s="63" cm="1">
        <f t="array" ref="DN53">INDEX(FX_Vap,$KJ53,DN$91)</f>
        <v>130</v>
      </c>
      <c r="DO53" s="63" cm="1">
        <f t="array" ref="DO53">INDEX(FX_Temps,$KD53,DO$89)+459.6</f>
        <v>516.55000000000007</v>
      </c>
      <c r="DP53" s="63">
        <f t="shared" si="45"/>
        <v>1.7401713099147103E-4</v>
      </c>
      <c r="DQ53" s="63" cm="1">
        <f t="array" ref="DQ53">INDEX(Month_Ref,DQ$83,3)*DL53*(PI()/4*$F53^2)*$H53*DM53*DP53</f>
        <v>0</v>
      </c>
      <c r="DR53" s="63" cm="1">
        <f t="array" ref="DR53">INDEX(FX_Input,$KB53,DR$85)</f>
        <v>3223</v>
      </c>
      <c r="DS53" s="63">
        <f t="shared" si="46"/>
        <v>18093.921999999999</v>
      </c>
      <c r="DT53" s="63">
        <f t="shared" si="47"/>
        <v>1.0525354993491203</v>
      </c>
      <c r="DU53" s="63">
        <f t="shared" si="48"/>
        <v>1</v>
      </c>
      <c r="DV53" s="63" cm="1">
        <f t="array" ref="DV53">IF(OR(INDEX(FX_Vap,$KK53,DV$90)="Crude Oil",(INDEX(FX_Vap,$KL53,DV$90)="Crude Oil")),0.75,1)</f>
        <v>1</v>
      </c>
      <c r="DW53" s="63">
        <f t="shared" si="113"/>
        <v>1</v>
      </c>
      <c r="DX53" s="63">
        <f t="shared" si="49"/>
        <v>3.1486523948234595</v>
      </c>
      <c r="DY53" s="64">
        <f t="shared" si="50"/>
        <v>3.1486523948234595</v>
      </c>
      <c r="DZ53" s="80" t="str" cm="1">
        <f t="array" ref="DZ53">IF(ISBLANK(INDEX(FX_Input,$KB53+1,DZ$85)),INDEX(FX_Input,$KB53,DZ$85),INDEX(FX_Input,$KB53,DZ$85)&amp;" &amp; "&amp;INDEX(FX_Input,$KB53+1,DZ$85))</f>
        <v>Jet kerosene</v>
      </c>
      <c r="EA53" s="63" cm="1">
        <f t="array" ref="EA53">INDEX(FX_Temps,$KC53+7,EA$89)</f>
        <v>0</v>
      </c>
      <c r="EB53" s="63" cm="1">
        <f t="array" ref="EB53">INDEX(FX_Temps,$KC53+13,EB$89)+459.6</f>
        <v>520.04999999999995</v>
      </c>
      <c r="EC53" s="63" cm="1">
        <f t="array" ref="EC53">INDEX(FX_Vap,$KG53,EC$91)-INDEX(FX_Vap,$KH53,EC$91)</f>
        <v>0</v>
      </c>
      <c r="ED53" s="73" cm="1">
        <f t="array" ref="ED53">IF(DZ53="Out of Service",0,INDEX(FX_Vap,$KI53,ED$91))</f>
        <v>8.3358107202842254E-3</v>
      </c>
      <c r="EE53" s="63">
        <f t="shared" si="51"/>
        <v>0</v>
      </c>
      <c r="EF53" s="63">
        <f t="shared" si="52"/>
        <v>0.99113291967043815</v>
      </c>
      <c r="EG53" s="63" cm="1">
        <f t="array" ref="EG53">INDEX(FX_Vap,$KJ53,EG$91)</f>
        <v>130</v>
      </c>
      <c r="EH53" s="63" cm="1">
        <f t="array" ref="EH53">INDEX(FX_Temps,$KD53,EH$89)+459.6</f>
        <v>520.04999999999995</v>
      </c>
      <c r="EI53" s="63">
        <f t="shared" si="53"/>
        <v>1.9418062801892895E-4</v>
      </c>
      <c r="EJ53" s="63" cm="1">
        <f t="array" ref="EJ53">INDEX(Month_Ref,EJ$83,3)*EE53*(PI()/4*$F53^2)*$H53*EF53*EI53</f>
        <v>0</v>
      </c>
      <c r="EK53" s="63" cm="1">
        <f t="array" ref="EK53">INDEX(FX_Input,$KB53,EK$85)</f>
        <v>3223</v>
      </c>
      <c r="EL53" s="63">
        <f t="shared" si="54"/>
        <v>18093.921999999999</v>
      </c>
      <c r="EM53" s="63">
        <f t="shared" si="55"/>
        <v>1.0525354993491203</v>
      </c>
      <c r="EN53" s="63">
        <f t="shared" si="56"/>
        <v>1</v>
      </c>
      <c r="EO53" s="63" cm="1">
        <f t="array" ref="EO53">IF(OR(INDEX(FX_Vap,$KK53,EO$90)="Crude Oil",(INDEX(FX_Vap,$KL53,EO$90)="Crude Oil")),0.75,1)</f>
        <v>1</v>
      </c>
      <c r="EP53" s="63">
        <f t="shared" si="114"/>
        <v>1</v>
      </c>
      <c r="EQ53" s="63">
        <f t="shared" si="57"/>
        <v>3.5134891372855148</v>
      </c>
      <c r="ER53" s="64">
        <f t="shared" si="58"/>
        <v>3.5134891372855148</v>
      </c>
      <c r="ES53" s="80" t="str" cm="1">
        <f t="array" ref="ES53">IF(ISBLANK(INDEX(FX_Input,$KB53+1,ES$85)),INDEX(FX_Input,$KB53,ES$85),INDEX(FX_Input,$KB53,ES$85)&amp;" &amp; "&amp;INDEX(FX_Input,$KB53+1,ES$85))</f>
        <v>Jet kerosene</v>
      </c>
      <c r="ET53" s="63" cm="1">
        <f t="array" ref="ET53">INDEX(FX_Temps,$KC53+7,ET$89)</f>
        <v>0</v>
      </c>
      <c r="EU53" s="63" cm="1">
        <f t="array" ref="EU53">INDEX(FX_Temps,$KC53+13,EU$89)+459.6</f>
        <v>520.5</v>
      </c>
      <c r="EV53" s="63" cm="1">
        <f t="array" ref="EV53">INDEX(FX_Vap,$KG53,EV$91)-INDEX(FX_Vap,$KH53,EV$91)</f>
        <v>0</v>
      </c>
      <c r="EW53" s="73" cm="1">
        <f t="array" ref="EW53">IF(ES53="Out of Service",0,INDEX(FX_Vap,$KI53,EW$91))</f>
        <v>8.4605262729351115E-3</v>
      </c>
      <c r="EX53" s="63">
        <f t="shared" si="59"/>
        <v>0</v>
      </c>
      <c r="EY53" s="63">
        <f t="shared" si="60"/>
        <v>0.9910014493554502</v>
      </c>
      <c r="EZ53" s="63" cm="1">
        <f t="array" ref="EZ53">INDEX(FX_Vap,$KJ53,EZ$91)</f>
        <v>130</v>
      </c>
      <c r="FA53" s="63" cm="1">
        <f t="array" ref="FA53">INDEX(FX_Temps,$KD53,FA$89)+459.6</f>
        <v>520.5</v>
      </c>
      <c r="FB53" s="63">
        <f t="shared" si="61"/>
        <v>1.969154544366044E-4</v>
      </c>
      <c r="FC53" s="63" cm="1">
        <f t="array" ref="FC53">INDEX(Month_Ref,FC$83,3)*EX53*(PI()/4*$F53^2)*$H53*EY53*FB53</f>
        <v>0</v>
      </c>
      <c r="FD53" s="63" cm="1">
        <f t="array" ref="FD53">INDEX(FX_Input,$KB53,FD$85)</f>
        <v>3223</v>
      </c>
      <c r="FE53" s="63">
        <f t="shared" si="62"/>
        <v>18093.921999999999</v>
      </c>
      <c r="FF53" s="63">
        <f t="shared" si="63"/>
        <v>1.0525354993491203</v>
      </c>
      <c r="FG53" s="63">
        <f t="shared" si="64"/>
        <v>1</v>
      </c>
      <c r="FH53" s="63" cm="1">
        <f t="array" ref="FH53">IF(OR(INDEX(FX_Vap,$KK53,FH$90)="Crude Oil",(INDEX(FX_Vap,$KL53,FH$90)="Crude Oil")),0.75,1)</f>
        <v>1</v>
      </c>
      <c r="FI53" s="63">
        <f t="shared" si="115"/>
        <v>1</v>
      </c>
      <c r="FJ53" s="63">
        <f t="shared" si="65"/>
        <v>3.562972873170474</v>
      </c>
      <c r="FK53" s="64">
        <f t="shared" si="66"/>
        <v>3.562972873170474</v>
      </c>
      <c r="FL53" s="80" t="str" cm="1">
        <f t="array" ref="FL53">IF(ISBLANK(INDEX(FX_Input,$KB53+1,FL$85)),INDEX(FX_Input,$KB53,FL$85),INDEX(FX_Input,$KB53,FL$85)&amp;" &amp; "&amp;INDEX(FX_Input,$KB53+1,FL$85))</f>
        <v>Jet kerosene</v>
      </c>
      <c r="FM53" s="63" cm="1">
        <f t="array" ref="FM53">INDEX(FX_Temps,$KC53+7,FM$89)</f>
        <v>0</v>
      </c>
      <c r="FN53" s="63" cm="1">
        <f t="array" ref="FN53">INDEX(FX_Temps,$KC53+13,FN$89)+459.6</f>
        <v>518.20000000000005</v>
      </c>
      <c r="FO53" s="63" cm="1">
        <f t="array" ref="FO53">INDEX(FX_Vap,$KG53,FO$91)-INDEX(FX_Vap,$KH53,FO$91)</f>
        <v>0</v>
      </c>
      <c r="FP53" s="73" cm="1">
        <f t="array" ref="FP53">IF(FL53="Out of Service",0,INDEX(FX_Vap,$KI53,FP$91))</f>
        <v>7.8399882233967533E-3</v>
      </c>
      <c r="FQ53" s="63">
        <f t="shared" si="67"/>
        <v>0</v>
      </c>
      <c r="FR53" s="63">
        <f t="shared" si="68"/>
        <v>0.9916559417760098</v>
      </c>
      <c r="FS53" s="63" cm="1">
        <f t="array" ref="FS53">INDEX(FX_Vap,$KJ53,FS$91)</f>
        <v>130</v>
      </c>
      <c r="FT53" s="63" cm="1">
        <f t="array" ref="FT53">INDEX(FX_Temps,$KD53,FT$89)+459.6</f>
        <v>518.20000000000005</v>
      </c>
      <c r="FU53" s="63">
        <f t="shared" si="69"/>
        <v>1.8328256712249962E-4</v>
      </c>
      <c r="FV53" s="63" cm="1">
        <f t="array" ref="FV53">INDEX(Month_Ref,FV$83,3)*FQ53*(PI()/4*$F53^2)*$H53*FR53*FU53</f>
        <v>0</v>
      </c>
      <c r="FW53" s="63" cm="1">
        <f t="array" ref="FW53">INDEX(FX_Input,$KB53,FW$85)</f>
        <v>3223</v>
      </c>
      <c r="FX53" s="63">
        <f t="shared" si="70"/>
        <v>18093.921999999999</v>
      </c>
      <c r="FY53" s="63">
        <f t="shared" si="71"/>
        <v>1.0525354993491203</v>
      </c>
      <c r="FZ53" s="63">
        <f t="shared" si="72"/>
        <v>1</v>
      </c>
      <c r="GA53" s="63" cm="1">
        <f t="array" ref="GA53">IF(OR(INDEX(FX_Vap,$KK53,GA$90)="Crude Oil",(INDEX(FX_Vap,$KL53,GA$90)="Crude Oil")),0.75,1)</f>
        <v>1</v>
      </c>
      <c r="GB53" s="63">
        <f t="shared" si="116"/>
        <v>1</v>
      </c>
      <c r="GC53" s="63">
        <f t="shared" si="73"/>
        <v>3.3163004734742723</v>
      </c>
      <c r="GD53" s="64">
        <f t="shared" si="74"/>
        <v>3.3163004734742723</v>
      </c>
      <c r="GE53" s="80" t="str" cm="1">
        <f t="array" ref="GE53">IF(ISBLANK(INDEX(FX_Input,$KB53+1,GE$85)),INDEX(FX_Input,$KB53,GE$85),INDEX(FX_Input,$KB53,GE$85)&amp;" &amp; "&amp;INDEX(FX_Input,$KB53+1,GE$85))</f>
        <v>Jet kerosene</v>
      </c>
      <c r="GF53" s="63" cm="1">
        <f t="array" ref="GF53">INDEX(FX_Temps,$KC53+7,GF$89)</f>
        <v>0</v>
      </c>
      <c r="GG53" s="63" cm="1">
        <f t="array" ref="GG53">INDEX(FX_Temps,$KC53+13,GG$89)+459.6</f>
        <v>512.25</v>
      </c>
      <c r="GH53" s="63" cm="1">
        <f t="array" ref="GH53">INDEX(FX_Vap,$KG53,GH$91)-INDEX(FX_Vap,$KH53,GH$91)</f>
        <v>0</v>
      </c>
      <c r="GI53" s="73" cm="1">
        <f t="array" ref="GI53">IF(GE53="Out of Service",0,INDEX(FX_Vap,$KI53,GI$91))</f>
        <v>6.4173462075160911E-3</v>
      </c>
      <c r="GJ53" s="63">
        <f t="shared" si="75"/>
        <v>0</v>
      </c>
      <c r="GK53" s="63">
        <f t="shared" si="76"/>
        <v>0.99315969521300818</v>
      </c>
      <c r="GL53" s="63" cm="1">
        <f t="array" ref="GL53">INDEX(FX_Vap,$KJ53,GL$91)</f>
        <v>130</v>
      </c>
      <c r="GM53" s="63" cm="1">
        <f t="array" ref="GM53">INDEX(FX_Temps,$KD53,GM$89)+459.6</f>
        <v>512.25</v>
      </c>
      <c r="GN53" s="63">
        <f t="shared" si="77"/>
        <v>1.5176675903637226E-4</v>
      </c>
      <c r="GO53" s="63" cm="1">
        <f t="array" ref="GO53">INDEX(Month_Ref,GO$83,3)*GJ53*(PI()/4*$F53^2)*$H53*GK53*GN53</f>
        <v>0</v>
      </c>
      <c r="GP53" s="63" cm="1">
        <f t="array" ref="GP53">INDEX(FX_Input,$KB53,GP$85)</f>
        <v>3223</v>
      </c>
      <c r="GQ53" s="63">
        <f t="shared" si="78"/>
        <v>18093.921999999999</v>
      </c>
      <c r="GR53" s="63">
        <f t="shared" si="79"/>
        <v>1.0525354993491203</v>
      </c>
      <c r="GS53" s="63">
        <f t="shared" si="80"/>
        <v>1</v>
      </c>
      <c r="GT53" s="63" cm="1">
        <f t="array" ref="GT53">IF(OR(INDEX(FX_Vap,$KK53,GT$90)="Crude Oil",(INDEX(FX_Vap,$KL53,GT$90)="Crude Oil")),0.75,1)</f>
        <v>1</v>
      </c>
      <c r="GU53" s="63">
        <f t="shared" si="117"/>
        <v>1</v>
      </c>
      <c r="GV53" s="63">
        <f t="shared" si="81"/>
        <v>2.7460559001969145</v>
      </c>
      <c r="GW53" s="64">
        <f t="shared" si="82"/>
        <v>2.7460559001969145</v>
      </c>
      <c r="GX53" s="80" t="str" cm="1">
        <f t="array" ref="GX53">IF(ISBLANK(INDEX(FX_Input,$KB53+1,GX$85)),INDEX(FX_Input,$KB53,GX$85),INDEX(FX_Input,$KB53,GX$85)&amp;" &amp; "&amp;INDEX(FX_Input,$KB53+1,GX$85))</f>
        <v>Jet kerosene</v>
      </c>
      <c r="GY53" s="63" cm="1">
        <f t="array" ref="GY53">INDEX(FX_Temps,$KC53+7,GY$89)</f>
        <v>0</v>
      </c>
      <c r="GZ53" s="63" cm="1">
        <f t="array" ref="GZ53">INDEX(FX_Temps,$KC53+13,GZ$89)+459.6</f>
        <v>506.70000000000005</v>
      </c>
      <c r="HA53" s="63" cm="1">
        <f t="array" ref="HA53">INDEX(FX_Vap,$KG53,HA$91)-INDEX(FX_Vap,$KH53,HA$91)</f>
        <v>0</v>
      </c>
      <c r="HB53" s="73" cm="1">
        <f t="array" ref="HB53">IF(GX53="Out of Service",0,INDEX(FX_Vap,$KI53,HB$91))</f>
        <v>5.3015226887581056E-3</v>
      </c>
      <c r="HC53" s="63">
        <f t="shared" si="83"/>
        <v>0</v>
      </c>
      <c r="HD53" s="63">
        <f t="shared" si="84"/>
        <v>0.99434233210814094</v>
      </c>
      <c r="HE53" s="63" cm="1">
        <f t="array" ref="HE53">INDEX(FX_Vap,$KJ53,HE$91)</f>
        <v>130</v>
      </c>
      <c r="HF53" s="63" cm="1">
        <f t="array" ref="HF53">INDEX(FX_Temps,$KD53,HF$89)+459.6</f>
        <v>506.70000000000005</v>
      </c>
      <c r="HG53" s="63">
        <f t="shared" si="85"/>
        <v>1.2675143286623188E-4</v>
      </c>
      <c r="HH53" s="63" cm="1">
        <f t="array" ref="HH53">INDEX(Month_Ref,HH$83,3)*HC53*(PI()/4*$F53^2)*$H53*HD53*HG53</f>
        <v>0</v>
      </c>
      <c r="HI53" s="63" cm="1">
        <f t="array" ref="HI53">INDEX(FX_Input,$KB53,HI$85)</f>
        <v>3223</v>
      </c>
      <c r="HJ53" s="63">
        <f t="shared" si="86"/>
        <v>18093.921999999999</v>
      </c>
      <c r="HK53" s="63">
        <f t="shared" si="87"/>
        <v>1.0525354993491203</v>
      </c>
      <c r="HL53" s="63">
        <f t="shared" si="88"/>
        <v>1</v>
      </c>
      <c r="HM53" s="63" cm="1">
        <f t="array" ref="HM53">IF(OR(INDEX(FX_Vap,$KK53,HM$90)="Crude Oil",(INDEX(FX_Vap,$KL53,HM$90)="Crude Oil")),0.75,1)</f>
        <v>1</v>
      </c>
      <c r="HN53" s="63">
        <f t="shared" si="118"/>
        <v>1</v>
      </c>
      <c r="HO53" s="63">
        <f t="shared" si="89"/>
        <v>2.2934305396698358</v>
      </c>
      <c r="HP53" s="64">
        <f t="shared" si="90"/>
        <v>2.2934305396698358</v>
      </c>
      <c r="HQ53" s="80" t="str" cm="1">
        <f t="array" ref="HQ53">IF(ISBLANK(INDEX(FX_Input,$KB53+1,HQ$85)),INDEX(FX_Input,$KB53,HQ$85),INDEX(FX_Input,$KB53,HQ$85)&amp;" &amp; "&amp;INDEX(FX_Input,$KB53+1,HQ$85))</f>
        <v>Jet kerosene</v>
      </c>
      <c r="HR53" s="63" cm="1">
        <f t="array" ref="HR53">INDEX(FX_Temps,$KC53+7,HR$89)</f>
        <v>0</v>
      </c>
      <c r="HS53" s="63" cm="1">
        <f t="array" ref="HS53">INDEX(FX_Temps,$KC53+13,HS$89)+459.6</f>
        <v>503.20000000000005</v>
      </c>
      <c r="HT53" s="63" cm="1">
        <f t="array" ref="HT53">INDEX(FX_Vap,$KG53,HT$91)-INDEX(FX_Vap,$KH53,HT$91)</f>
        <v>0</v>
      </c>
      <c r="HU53" s="73" cm="1">
        <f t="array" ref="HU53">IF(HQ53="Out of Service",0,INDEX(FX_Vap,$KI53,HU$91))</f>
        <v>4.68970903600947E-3</v>
      </c>
      <c r="HV53" s="63">
        <f t="shared" si="91"/>
        <v>0</v>
      </c>
      <c r="HW53" s="63">
        <f t="shared" si="92"/>
        <v>0.99499197631327974</v>
      </c>
      <c r="HX53" s="63" cm="1">
        <f t="array" ref="HX53">INDEX(FX_Vap,$KJ53,HX$91)</f>
        <v>130</v>
      </c>
      <c r="HY53" s="63" cm="1">
        <f t="array" ref="HY53">INDEX(FX_Temps,$KD53,HY$89)+459.6</f>
        <v>503.20000000000005</v>
      </c>
      <c r="HZ53" s="63">
        <f t="shared" si="93"/>
        <v>1.1290376474196325E-4</v>
      </c>
      <c r="IA53" s="63" cm="1">
        <f t="array" ref="IA53">INDEX(Month_Ref,IA$83,3)*HV53*(PI()/4*$F53^2)*$H53*HW53*HZ53</f>
        <v>0</v>
      </c>
      <c r="IB53" s="63" cm="1">
        <f t="array" ref="IB53">INDEX(FX_Input,$KB53,IB$85)</f>
        <v>3223</v>
      </c>
      <c r="IC53" s="63">
        <f t="shared" si="94"/>
        <v>18093.921999999999</v>
      </c>
      <c r="ID53" s="63">
        <f t="shared" si="95"/>
        <v>1.0525354993491203</v>
      </c>
      <c r="IE53" s="63">
        <f t="shared" si="96"/>
        <v>1</v>
      </c>
      <c r="IF53" s="63" cm="1">
        <f t="array" ref="IF53">IF(OR(INDEX(FX_Vap,$KK53,IF$90)="Crude Oil",(INDEX(FX_Vap,$KL53,IF$90)="Crude Oil")),0.75,1)</f>
        <v>1</v>
      </c>
      <c r="IG53" s="63">
        <f t="shared" si="119"/>
        <v>1</v>
      </c>
      <c r="IH53" s="63">
        <f t="shared" si="97"/>
        <v>2.0428719127474331</v>
      </c>
      <c r="II53" s="64">
        <f t="shared" si="98"/>
        <v>2.0428719127474331</v>
      </c>
      <c r="IJ53" s="80">
        <f t="shared" si="99"/>
        <v>0</v>
      </c>
      <c r="IK53" s="63">
        <f t="shared" si="100"/>
        <v>0</v>
      </c>
      <c r="IL53" s="63">
        <f t="shared" si="101"/>
        <v>32.22449663495965</v>
      </c>
      <c r="IM53" s="63">
        <f t="shared" si="102"/>
        <v>1.6112248317479826E-2</v>
      </c>
      <c r="IN53" s="63">
        <f t="shared" si="103"/>
        <v>32.22449663495965</v>
      </c>
      <c r="IO53" s="64">
        <f t="shared" si="104"/>
        <v>1.6112248317479826E-2</v>
      </c>
      <c r="KB53" s="43">
        <f t="shared" si="120"/>
        <v>85</v>
      </c>
      <c r="KC53" s="43">
        <f t="shared" si="121"/>
        <v>589</v>
      </c>
      <c r="KD53" s="43">
        <f t="shared" si="122"/>
        <v>602</v>
      </c>
      <c r="KE53" s="43">
        <f t="shared" si="123"/>
        <v>589</v>
      </c>
      <c r="KF53" s="43">
        <f t="shared" si="124"/>
        <v>1429</v>
      </c>
      <c r="KG53" s="43">
        <f t="shared" si="125"/>
        <v>1452</v>
      </c>
      <c r="KH53" s="43">
        <f t="shared" si="126"/>
        <v>1447</v>
      </c>
      <c r="KI53" s="43">
        <f t="shared" si="126"/>
        <v>1457</v>
      </c>
      <c r="KJ53" s="43">
        <f t="shared" si="126"/>
        <v>1462</v>
      </c>
      <c r="KK53" s="43">
        <f t="shared" si="127"/>
        <v>1433</v>
      </c>
      <c r="KL53" s="43">
        <f t="shared" si="128"/>
        <v>1435</v>
      </c>
    </row>
    <row r="54" spans="2:298" x14ac:dyDescent="0.4">
      <c r="B54" s="43" t="str" cm="1">
        <f t="array" ref="B54">INDEX(FX_Input,$KB54,B$85)</f>
        <v>FX - 44</v>
      </c>
      <c r="C54" s="93" t="str" cm="1">
        <f t="array" ref="C54">INDEX(FX_Input,$KB54,C$85)</f>
        <v>FIXTANK 172</v>
      </c>
      <c r="D54" s="80">
        <f t="shared" si="129"/>
        <v>9160.8841778678361</v>
      </c>
      <c r="E54" s="63" cm="1">
        <f t="array" ref="E54">IF(ISBLANK(INDEX(FX_Input,$KB54,$E$85)),0.03,INDEX(FX_Input,$KB54,$E$85))-IF(ISBLANK(INDEX(FX_Input,$KB54,$E$86)),-0.03,INDEX(FX_Input,$KB54,$E$86))</f>
        <v>0.06</v>
      </c>
      <c r="F54" s="63" cm="1">
        <f t="array" ref="F54">IF(INDEX(FX_Input,$KB54,F$85)="Vertical",INDEX(FX_Input,$KB54,F$86),SQRT((INDEX(FX_Input,$KB54,F$86)*INDEX(FX_Input,$KB54,F$87))/(PI()/4)))</f>
        <v>24</v>
      </c>
      <c r="G54" s="63" cm="1">
        <f t="array" ref="G54">IF(INDEX(FX_Input,$KB54,G$85)="Vertical",INDEX(FX_Input,$KB54,G$86),INDEX(FX_Input,$KB54,G$87)*PI()/4)</f>
        <v>40</v>
      </c>
      <c r="H54" s="63" cm="1">
        <f t="array" ref="H54">IF(INDEX(FX_Input,$KB54,H$85)="Vertical",G54-G54/2+J54,G54/2)</f>
        <v>20.25</v>
      </c>
      <c r="I54" s="63" cm="1">
        <f t="array" ref="I54">IF(INDEX(FX_Input,$KB54,F$85)="Horizontal","N/A",IF(INDEX(FX_Input,$KB54,I$86)="Cone",IF(ISBLANK(INDEX(FX_Input,$KB54,I$87)),0.0625,INDEX(FX_Input,$KB54,I$87))*F54/2,F54/2-SQRT((F54/2)^2-(INDEX(FX_Input,$KB54,I$88)^2))))</f>
        <v>0.75</v>
      </c>
      <c r="J54" s="63" cm="1">
        <f t="array" ref="J54">IF(INDEX(FX_Input,$KB54,J$85)="Horizontal","N/A",IF(INDEX(FX_Input,$KB54,J$86)="Cone",I54/3,I54*(1/2+(1/6)*(I54/(F54/2))^2)))</f>
        <v>0.25</v>
      </c>
      <c r="K54" s="63">
        <f t="shared" si="130"/>
        <v>39</v>
      </c>
      <c r="L54" s="63">
        <v>1</v>
      </c>
      <c r="M54" s="63" t="str" cm="1">
        <f t="array" ref="M54">INDEX(Tbl_71_6,MATCH(INDEX(FX_Input,$KB54,M$85),Paint_Color,0),VLOOKUP(INDEX(FX_Input,$KB54,M$86),Paint_Cond_Column,2,FALSE))</f>
        <v>N/A</v>
      </c>
      <c r="N54" s="63" t="str" cm="1">
        <f t="array" ref="N54">INDEX(Tbl_71_6,MATCH(INDEX(FX_Input,$KB54,N$85),Paint_Color,0),VLOOKUP(INDEX(FX_Input,$KB54,N$86),Paint_Cond_Column,2,FALSE))</f>
        <v>N/A</v>
      </c>
      <c r="O54" s="64" t="str">
        <f t="shared" si="2"/>
        <v>Insulated</v>
      </c>
      <c r="P54" s="80" t="str" cm="1">
        <f t="array" ref="P54">IF(ISBLANK(INDEX(FX_Input,$KB54+1,P$85)),INDEX(FX_Input,$KB54,P$85),INDEX(FX_Input,$KB54,P$85)&amp;" &amp; "&amp;INDEX(FX_Input,$KB54+1,P$85))</f>
        <v>Jet kerosene</v>
      </c>
      <c r="Q54" s="63" cm="1">
        <f t="array" ref="Q54">INDEX(FX_Temps,$KC54+7,Q$89)</f>
        <v>0</v>
      </c>
      <c r="R54" s="63" cm="1">
        <f t="array" ref="R54">INDEX(FX_Temps,$KC54+13,R$89)+459.6</f>
        <v>503.5</v>
      </c>
      <c r="S54" s="63" cm="1">
        <f t="array" ref="S54">INDEX(FX_Vap,$KG54,S$91)-INDEX(FX_Vap,$KH54,S$91)</f>
        <v>0</v>
      </c>
      <c r="T54" s="73" cm="1">
        <f t="array" ref="T54">IF(P54="Out of Service",0,INDEX(FX_Vap,$KI54,T$91))</f>
        <v>4.739577185808354E-3</v>
      </c>
      <c r="U54" s="63">
        <f t="shared" si="3"/>
        <v>0</v>
      </c>
      <c r="V54" s="63">
        <f t="shared" si="4"/>
        <v>0.99493899286949972</v>
      </c>
      <c r="W54" s="63" cm="1">
        <f t="array" ref="W54">INDEX(FX_Vap,$KJ54,W$91)</f>
        <v>130</v>
      </c>
      <c r="X54" s="63" cm="1">
        <f t="array" ref="X54">INDEX(FX_Temps,$KD54,X$89)+459.6</f>
        <v>503.5</v>
      </c>
      <c r="Y54" s="63">
        <f t="shared" si="5"/>
        <v>1.1403634333314844E-4</v>
      </c>
      <c r="Z54" s="63" cm="1">
        <f t="array" ref="Z54">INDEX(Month_Ref,Z$83,3)*U54*(PI()/4*$F54^2)*$H54*V54*Y54</f>
        <v>0</v>
      </c>
      <c r="AA54" s="63" cm="1">
        <f t="array" ref="AA54">INDEX(FX_Input,$KB54,AA$85)</f>
        <v>3223</v>
      </c>
      <c r="AB54" s="63">
        <f t="shared" si="6"/>
        <v>18093.921999999999</v>
      </c>
      <c r="AC54" s="63">
        <f t="shared" si="7"/>
        <v>1.0525354993491203</v>
      </c>
      <c r="AD54" s="63">
        <f t="shared" si="8"/>
        <v>1</v>
      </c>
      <c r="AE54" s="63" cm="1">
        <f t="array" ref="AE54">IF(OR(INDEX(FX_Vap,$KK54,AE$90)="Crude Oil",(INDEX(FX_Vap,$KL54,AE$90)="Crude Oil")),0.75,1)</f>
        <v>1</v>
      </c>
      <c r="AF54" s="63">
        <f t="shared" si="108"/>
        <v>1</v>
      </c>
      <c r="AG54" s="63">
        <f t="shared" si="9"/>
        <v>2.0633647014352077</v>
      </c>
      <c r="AH54" s="64">
        <f t="shared" si="10"/>
        <v>2.0633647014352077</v>
      </c>
      <c r="AI54" s="80" t="str" cm="1">
        <f t="array" ref="AI54">IF(ISBLANK(INDEX(FX_Input,$KB54+1,AI$85)),INDEX(FX_Input,$KB54,AI$85),INDEX(FX_Input,$KB54,AI$85)&amp;" &amp; "&amp;INDEX(FX_Input,$KB54+1,AI$85))</f>
        <v>Jet kerosene</v>
      </c>
      <c r="AJ54" s="63" cm="1">
        <f t="array" ref="AJ54">INDEX(FX_Temps,$KC54+7,AJ$89)</f>
        <v>0</v>
      </c>
      <c r="AK54" s="63" cm="1">
        <f t="array" ref="AK54">INDEX(FX_Temps,$KC54+13,AK$89)+459.6</f>
        <v>504.30000000000007</v>
      </c>
      <c r="AL54" s="63" cm="1">
        <f t="array" ref="AL54">INDEX(FX_Vap,$KG54,AL$91)-INDEX(FX_Vap,$KH54,AL$91)</f>
        <v>0</v>
      </c>
      <c r="AM54" s="73" cm="1">
        <f t="array" ref="AM54">IF(AI54="Out of Service",0,INDEX(FX_Vap,$KI54,AM$91))</f>
        <v>4.8748667780818778E-3</v>
      </c>
      <c r="AN54" s="63">
        <f t="shared" si="11"/>
        <v>0</v>
      </c>
      <c r="AO54" s="63">
        <f t="shared" si="12"/>
        <v>0.99479528006887274</v>
      </c>
      <c r="AP54" s="63" cm="1">
        <f t="array" ref="AP54">INDEX(FX_Vap,$KJ54,AP$91)</f>
        <v>130</v>
      </c>
      <c r="AQ54" s="63" cm="1">
        <f t="array" ref="AQ54">INDEX(FX_Temps,$KD54,AQ$89)+459.6</f>
        <v>504.30000000000007</v>
      </c>
      <c r="AR54" s="63">
        <f t="shared" si="13"/>
        <v>1.1710540514572422E-4</v>
      </c>
      <c r="AS54" s="63" cm="1">
        <f t="array" ref="AS54">INDEX(Month_Ref,AS$83,3)*AN54*(PI()/4*$F54^2)*$H54*AO54*AR54</f>
        <v>0</v>
      </c>
      <c r="AT54" s="63" cm="1">
        <f t="array" ref="AT54">INDEX(FX_Input,$KB54,AT$85)</f>
        <v>3223</v>
      </c>
      <c r="AU54" s="63">
        <f t="shared" si="14"/>
        <v>18093.921999999999</v>
      </c>
      <c r="AV54" s="63">
        <f t="shared" si="15"/>
        <v>1.0525354993491203</v>
      </c>
      <c r="AW54" s="63">
        <f t="shared" si="16"/>
        <v>1</v>
      </c>
      <c r="AX54" s="63" cm="1">
        <f t="array" ref="AX54">IF(OR(INDEX(FX_Vap,$KK54,AX$90)="Crude Oil",(INDEX(FX_Vap,$KL54,AX$90)="Crude Oil")),0.75,1)</f>
        <v>1</v>
      </c>
      <c r="AY54" s="63">
        <f t="shared" si="109"/>
        <v>1</v>
      </c>
      <c r="AZ54" s="63">
        <f t="shared" si="17"/>
        <v>2.1188960664851324</v>
      </c>
      <c r="BA54" s="64">
        <f t="shared" si="18"/>
        <v>2.1188960664851324</v>
      </c>
      <c r="BB54" s="80" t="str" cm="1">
        <f t="array" ref="BB54">IF(ISBLANK(INDEX(FX_Input,$KB54+1,BB$85)),INDEX(FX_Input,$KB54,BB$85),INDEX(FX_Input,$KB54,BB$85)&amp;" &amp; "&amp;INDEX(FX_Input,$KB54+1,BB$85))</f>
        <v>Jet kerosene</v>
      </c>
      <c r="BC54" s="63" cm="1">
        <f t="array" ref="BC54">INDEX(FX_Temps,$KC54+7,BC$89)</f>
        <v>0</v>
      </c>
      <c r="BD54" s="63" cm="1">
        <f t="array" ref="BD54">INDEX(FX_Temps,$KC54+13,BD$89)+459.6</f>
        <v>505.70000000000005</v>
      </c>
      <c r="BE54" s="63" cm="1">
        <f t="array" ref="BE54">INDEX(FX_Vap,$KG54,BE$91)-INDEX(FX_Vap,$KH54,BE$91)</f>
        <v>0</v>
      </c>
      <c r="BF54" s="73" cm="1">
        <f t="array" ref="BF54">IF(BB54="Out of Service",0,INDEX(FX_Vap,$KI54,BF$91))</f>
        <v>5.119885034186122E-3</v>
      </c>
      <c r="BG54" s="63">
        <f t="shared" si="19"/>
        <v>0</v>
      </c>
      <c r="BH54" s="63">
        <f t="shared" si="20"/>
        <v>0.9945351124882359</v>
      </c>
      <c r="BI54" s="63" cm="1">
        <f t="array" ref="BI54">INDEX(FX_Vap,$KJ54,BI$91)</f>
        <v>130</v>
      </c>
      <c r="BJ54" s="63" cm="1">
        <f t="array" ref="BJ54">INDEX(FX_Temps,$KD54,BJ$89)+459.6</f>
        <v>505.70000000000005</v>
      </c>
      <c r="BK54" s="63">
        <f t="shared" si="21"/>
        <v>1.226508078051294E-4</v>
      </c>
      <c r="BL54" s="63" cm="1">
        <f t="array" ref="BL54">INDEX(Month_Ref,BL$83,3)*BG54*(PI()/4*$F54^2)*$H54*BH54*BK54</f>
        <v>0</v>
      </c>
      <c r="BM54" s="63" cm="1">
        <f t="array" ref="BM54">INDEX(FX_Input,$KB54,BM$85)</f>
        <v>3223</v>
      </c>
      <c r="BN54" s="63">
        <f t="shared" si="22"/>
        <v>18093.921999999999</v>
      </c>
      <c r="BO54" s="63">
        <f t="shared" si="23"/>
        <v>1.0525354993491203</v>
      </c>
      <c r="BP54" s="63">
        <f t="shared" si="24"/>
        <v>1</v>
      </c>
      <c r="BQ54" s="63" cm="1">
        <f t="array" ref="BQ54">IF(OR(INDEX(FX_Vap,$KK54,BQ$90)="Crude Oil",(INDEX(FX_Vap,$KL54,BQ$90)="Crude Oil")),0.75,1)</f>
        <v>1</v>
      </c>
      <c r="BR54" s="63">
        <f t="shared" si="110"/>
        <v>1</v>
      </c>
      <c r="BS54" s="63">
        <f t="shared" si="25"/>
        <v>2.2192341496630026</v>
      </c>
      <c r="BT54" s="64">
        <f t="shared" si="26"/>
        <v>2.2192341496630026</v>
      </c>
      <c r="BU54" s="80" t="str" cm="1">
        <f t="array" ref="BU54">IF(ISBLANK(INDEX(FX_Input,$KB54+1,BU$85)),INDEX(FX_Input,$KB54,BU$85),INDEX(FX_Input,$KB54,BU$85)&amp;" &amp; "&amp;INDEX(FX_Input,$KB54+1,BU$85))</f>
        <v>Jet kerosene</v>
      </c>
      <c r="BV54" s="63" cm="1">
        <f t="array" ref="BV54">INDEX(FX_Temps,$KC54+7,BV$89)</f>
        <v>0</v>
      </c>
      <c r="BW54" s="63" cm="1">
        <f t="array" ref="BW54">INDEX(FX_Temps,$KC54+13,BW$89)+459.6</f>
        <v>508.2</v>
      </c>
      <c r="BX54" s="63" cm="1">
        <f t="array" ref="BX54">INDEX(FX_Vap,$KG54,BX$91)-INDEX(FX_Vap,$KH54,BX$91)</f>
        <v>0</v>
      </c>
      <c r="BY54" s="73" cm="1">
        <f t="array" ref="BY54">IF(BU54="Out of Service",0,INDEX(FX_Vap,$KI54,BY$91))</f>
        <v>5.5846958573521795E-3</v>
      </c>
      <c r="BZ54" s="63">
        <f t="shared" si="27"/>
        <v>0</v>
      </c>
      <c r="CA54" s="63">
        <f t="shared" si="28"/>
        <v>0.99404193646235772</v>
      </c>
      <c r="CB54" s="63" cm="1">
        <f t="array" ref="CB54">INDEX(FX_Vap,$KJ54,CB$91)</f>
        <v>130</v>
      </c>
      <c r="CC54" s="63" cm="1">
        <f t="array" ref="CC54">INDEX(FX_Temps,$KD54,CC$89)+459.6</f>
        <v>508.2</v>
      </c>
      <c r="CD54" s="63">
        <f t="shared" si="29"/>
        <v>1.3312757561120781E-4</v>
      </c>
      <c r="CE54" s="63" cm="1">
        <f t="array" ref="CE54">INDEX(Month_Ref,CE$83,3)*BZ54*(PI()/4*$F54^2)*$H54*CA54*CD54</f>
        <v>0</v>
      </c>
      <c r="CF54" s="63" cm="1">
        <f t="array" ref="CF54">INDEX(FX_Input,$KB54,CF$85)</f>
        <v>3223</v>
      </c>
      <c r="CG54" s="63">
        <f t="shared" si="30"/>
        <v>18093.921999999999</v>
      </c>
      <c r="CH54" s="63">
        <f t="shared" si="31"/>
        <v>1.0525354993491203</v>
      </c>
      <c r="CI54" s="63">
        <f t="shared" si="32"/>
        <v>1</v>
      </c>
      <c r="CJ54" s="63" cm="1">
        <f t="array" ref="CJ54">IF(OR(INDEX(FX_Vap,$KK54,CJ$90)="Crude Oil",(INDEX(FX_Vap,$KL54,CJ$90)="Crude Oil")),0.75,1)</f>
        <v>1</v>
      </c>
      <c r="CK54" s="63">
        <f t="shared" si="111"/>
        <v>1</v>
      </c>
      <c r="CL54" s="63">
        <f t="shared" si="33"/>
        <v>2.4087999691582964</v>
      </c>
      <c r="CM54" s="64">
        <f t="shared" si="34"/>
        <v>2.4087999691582964</v>
      </c>
      <c r="CN54" s="80" t="str" cm="1">
        <f t="array" ref="CN54">IF(ISBLANK(INDEX(FX_Input,$KB54+1,CN$85)),INDEX(FX_Input,$KB54,CN$85),INDEX(FX_Input,$KB54,CN$85)&amp;" &amp; "&amp;INDEX(FX_Input,$KB54+1,CN$85))</f>
        <v>Jet kerosene</v>
      </c>
      <c r="CO54" s="63" cm="1">
        <f t="array" ref="CO54">INDEX(FX_Temps,$KC54+7,CO$89)</f>
        <v>0</v>
      </c>
      <c r="CP54" s="63" cm="1">
        <f t="array" ref="CP54">INDEX(FX_Temps,$KC54+13,CP$89)+459.6</f>
        <v>512.75</v>
      </c>
      <c r="CQ54" s="63" cm="1">
        <f t="array" ref="CQ54">INDEX(FX_Vap,$KG54,CQ$91)-INDEX(FX_Vap,$KH54,CQ$91)</f>
        <v>0</v>
      </c>
      <c r="CR54" s="73" cm="1">
        <f t="array" ref="CR54">IF(CN54="Out of Service",0,INDEX(FX_Vap,$KI54,CR$91))</f>
        <v>6.5274070972739821E-3</v>
      </c>
      <c r="CS54" s="63">
        <f t="shared" si="35"/>
        <v>0</v>
      </c>
      <c r="CT54" s="63">
        <f t="shared" si="36"/>
        <v>0.99304319649575623</v>
      </c>
      <c r="CU54" s="63" cm="1">
        <f t="array" ref="CU54">INDEX(FX_Vap,$KJ54,CU$91)</f>
        <v>130</v>
      </c>
      <c r="CV54" s="63" cm="1">
        <f t="array" ref="CV54">INDEX(FX_Temps,$KD54,CV$89)+459.6</f>
        <v>512.75</v>
      </c>
      <c r="CW54" s="63">
        <f t="shared" si="37"/>
        <v>1.5421910831991609E-4</v>
      </c>
      <c r="CX54" s="63" cm="1">
        <f t="array" ref="CX54">INDEX(Month_Ref,CX$83,3)*CS54*(PI()/4*$F54^2)*$H54*CT54*CW54</f>
        <v>0</v>
      </c>
      <c r="CY54" s="63" cm="1">
        <f t="array" ref="CY54">INDEX(FX_Input,$KB54,CY$85)</f>
        <v>3223</v>
      </c>
      <c r="CZ54" s="63">
        <f t="shared" si="38"/>
        <v>18093.921999999999</v>
      </c>
      <c r="DA54" s="63">
        <f t="shared" si="39"/>
        <v>1.0525354993491203</v>
      </c>
      <c r="DB54" s="63">
        <f t="shared" si="40"/>
        <v>1</v>
      </c>
      <c r="DC54" s="63" cm="1">
        <f t="array" ref="DC54">IF(OR(INDEX(FX_Vap,$KK54,DC$90)="Crude Oil",(INDEX(FX_Vap,$KL54,DC$90)="Crude Oil")),0.75,1)</f>
        <v>1</v>
      </c>
      <c r="DD54" s="63">
        <f t="shared" si="112"/>
        <v>1</v>
      </c>
      <c r="DE54" s="63">
        <f t="shared" si="41"/>
        <v>2.7904285168501124</v>
      </c>
      <c r="DF54" s="64">
        <f t="shared" si="42"/>
        <v>2.7904285168501124</v>
      </c>
      <c r="DG54" s="80" t="str" cm="1">
        <f t="array" ref="DG54">IF(ISBLANK(INDEX(FX_Input,$KB54+1,DG$85)),INDEX(FX_Input,$KB54,DG$85),INDEX(FX_Input,$KB54,DG$85)&amp;" &amp; "&amp;INDEX(FX_Input,$KB54+1,DG$85))</f>
        <v>Jet kerosene</v>
      </c>
      <c r="DH54" s="63" cm="1">
        <f t="array" ref="DH54">INDEX(FX_Temps,$KC54+7,DH$89)</f>
        <v>0</v>
      </c>
      <c r="DI54" s="63" cm="1">
        <f t="array" ref="DI54">INDEX(FX_Temps,$KC54+13,DI$89)+459.6</f>
        <v>516.55000000000007</v>
      </c>
      <c r="DJ54" s="63" cm="1">
        <f t="array" ref="DJ54">INDEX(FX_Vap,$KG54,DJ$91)-INDEX(FX_Vap,$KH54,DJ$91)</f>
        <v>0</v>
      </c>
      <c r="DK54" s="73" cm="1">
        <f t="array" ref="DK54">IF(DG54="Out of Service",0,INDEX(FX_Vap,$KI54,DK$91))</f>
        <v>7.4199539958878279E-3</v>
      </c>
      <c r="DL54" s="63">
        <f t="shared" si="43"/>
        <v>0</v>
      </c>
      <c r="DM54" s="63">
        <f t="shared" si="44"/>
        <v>0.99209945013122069</v>
      </c>
      <c r="DN54" s="63" cm="1">
        <f t="array" ref="DN54">INDEX(FX_Vap,$KJ54,DN$91)</f>
        <v>130</v>
      </c>
      <c r="DO54" s="63" cm="1">
        <f t="array" ref="DO54">INDEX(FX_Temps,$KD54,DO$89)+459.6</f>
        <v>516.55000000000007</v>
      </c>
      <c r="DP54" s="63">
        <f t="shared" si="45"/>
        <v>1.7401713099147103E-4</v>
      </c>
      <c r="DQ54" s="63" cm="1">
        <f t="array" ref="DQ54">INDEX(Month_Ref,DQ$83,3)*DL54*(PI()/4*$F54^2)*$H54*DM54*DP54</f>
        <v>0</v>
      </c>
      <c r="DR54" s="63" cm="1">
        <f t="array" ref="DR54">INDEX(FX_Input,$KB54,DR$85)</f>
        <v>3223</v>
      </c>
      <c r="DS54" s="63">
        <f t="shared" si="46"/>
        <v>18093.921999999999</v>
      </c>
      <c r="DT54" s="63">
        <f t="shared" si="47"/>
        <v>1.0525354993491203</v>
      </c>
      <c r="DU54" s="63">
        <f t="shared" si="48"/>
        <v>1</v>
      </c>
      <c r="DV54" s="63" cm="1">
        <f t="array" ref="DV54">IF(OR(INDEX(FX_Vap,$KK54,DV$90)="Crude Oil",(INDEX(FX_Vap,$KL54,DV$90)="Crude Oil")),0.75,1)</f>
        <v>1</v>
      </c>
      <c r="DW54" s="63">
        <f t="shared" si="113"/>
        <v>1</v>
      </c>
      <c r="DX54" s="63">
        <f t="shared" si="49"/>
        <v>3.1486523948234595</v>
      </c>
      <c r="DY54" s="64">
        <f t="shared" si="50"/>
        <v>3.1486523948234595</v>
      </c>
      <c r="DZ54" s="80" t="str" cm="1">
        <f t="array" ref="DZ54">IF(ISBLANK(INDEX(FX_Input,$KB54+1,DZ$85)),INDEX(FX_Input,$KB54,DZ$85),INDEX(FX_Input,$KB54,DZ$85)&amp;" &amp; "&amp;INDEX(FX_Input,$KB54+1,DZ$85))</f>
        <v>Jet kerosene</v>
      </c>
      <c r="EA54" s="63" cm="1">
        <f t="array" ref="EA54">INDEX(FX_Temps,$KC54+7,EA$89)</f>
        <v>0</v>
      </c>
      <c r="EB54" s="63" cm="1">
        <f t="array" ref="EB54">INDEX(FX_Temps,$KC54+13,EB$89)+459.6</f>
        <v>520.04999999999995</v>
      </c>
      <c r="EC54" s="63" cm="1">
        <f t="array" ref="EC54">INDEX(FX_Vap,$KG54,EC$91)-INDEX(FX_Vap,$KH54,EC$91)</f>
        <v>0</v>
      </c>
      <c r="ED54" s="73" cm="1">
        <f t="array" ref="ED54">IF(DZ54="Out of Service",0,INDEX(FX_Vap,$KI54,ED$91))</f>
        <v>8.3358107202842254E-3</v>
      </c>
      <c r="EE54" s="63">
        <f t="shared" si="51"/>
        <v>0</v>
      </c>
      <c r="EF54" s="63">
        <f t="shared" si="52"/>
        <v>0.99113291967043815</v>
      </c>
      <c r="EG54" s="63" cm="1">
        <f t="array" ref="EG54">INDEX(FX_Vap,$KJ54,EG$91)</f>
        <v>130</v>
      </c>
      <c r="EH54" s="63" cm="1">
        <f t="array" ref="EH54">INDEX(FX_Temps,$KD54,EH$89)+459.6</f>
        <v>520.04999999999995</v>
      </c>
      <c r="EI54" s="63">
        <f t="shared" si="53"/>
        <v>1.9418062801892895E-4</v>
      </c>
      <c r="EJ54" s="63" cm="1">
        <f t="array" ref="EJ54">INDEX(Month_Ref,EJ$83,3)*EE54*(PI()/4*$F54^2)*$H54*EF54*EI54</f>
        <v>0</v>
      </c>
      <c r="EK54" s="63" cm="1">
        <f t="array" ref="EK54">INDEX(FX_Input,$KB54,EK$85)</f>
        <v>3223</v>
      </c>
      <c r="EL54" s="63">
        <f t="shared" si="54"/>
        <v>18093.921999999999</v>
      </c>
      <c r="EM54" s="63">
        <f t="shared" si="55"/>
        <v>1.0525354993491203</v>
      </c>
      <c r="EN54" s="63">
        <f t="shared" si="56"/>
        <v>1</v>
      </c>
      <c r="EO54" s="63" cm="1">
        <f t="array" ref="EO54">IF(OR(INDEX(FX_Vap,$KK54,EO$90)="Crude Oil",(INDEX(FX_Vap,$KL54,EO$90)="Crude Oil")),0.75,1)</f>
        <v>1</v>
      </c>
      <c r="EP54" s="63">
        <f t="shared" si="114"/>
        <v>1</v>
      </c>
      <c r="EQ54" s="63">
        <f t="shared" si="57"/>
        <v>3.5134891372855148</v>
      </c>
      <c r="ER54" s="64">
        <f t="shared" si="58"/>
        <v>3.5134891372855148</v>
      </c>
      <c r="ES54" s="80" t="str" cm="1">
        <f t="array" ref="ES54">IF(ISBLANK(INDEX(FX_Input,$KB54+1,ES$85)),INDEX(FX_Input,$KB54,ES$85),INDEX(FX_Input,$KB54,ES$85)&amp;" &amp; "&amp;INDEX(FX_Input,$KB54+1,ES$85))</f>
        <v>Jet kerosene</v>
      </c>
      <c r="ET54" s="63" cm="1">
        <f t="array" ref="ET54">INDEX(FX_Temps,$KC54+7,ET$89)</f>
        <v>0</v>
      </c>
      <c r="EU54" s="63" cm="1">
        <f t="array" ref="EU54">INDEX(FX_Temps,$KC54+13,EU$89)+459.6</f>
        <v>520.5</v>
      </c>
      <c r="EV54" s="63" cm="1">
        <f t="array" ref="EV54">INDEX(FX_Vap,$KG54,EV$91)-INDEX(FX_Vap,$KH54,EV$91)</f>
        <v>0</v>
      </c>
      <c r="EW54" s="73" cm="1">
        <f t="array" ref="EW54">IF(ES54="Out of Service",0,INDEX(FX_Vap,$KI54,EW$91))</f>
        <v>8.4605262729351115E-3</v>
      </c>
      <c r="EX54" s="63">
        <f t="shared" si="59"/>
        <v>0</v>
      </c>
      <c r="EY54" s="63">
        <f t="shared" si="60"/>
        <v>0.9910014493554502</v>
      </c>
      <c r="EZ54" s="63" cm="1">
        <f t="array" ref="EZ54">INDEX(FX_Vap,$KJ54,EZ$91)</f>
        <v>130</v>
      </c>
      <c r="FA54" s="63" cm="1">
        <f t="array" ref="FA54">INDEX(FX_Temps,$KD54,FA$89)+459.6</f>
        <v>520.5</v>
      </c>
      <c r="FB54" s="63">
        <f t="shared" si="61"/>
        <v>1.969154544366044E-4</v>
      </c>
      <c r="FC54" s="63" cm="1">
        <f t="array" ref="FC54">INDEX(Month_Ref,FC$83,3)*EX54*(PI()/4*$F54^2)*$H54*EY54*FB54</f>
        <v>0</v>
      </c>
      <c r="FD54" s="63" cm="1">
        <f t="array" ref="FD54">INDEX(FX_Input,$KB54,FD$85)</f>
        <v>3223</v>
      </c>
      <c r="FE54" s="63">
        <f t="shared" si="62"/>
        <v>18093.921999999999</v>
      </c>
      <c r="FF54" s="63">
        <f t="shared" si="63"/>
        <v>1.0525354993491203</v>
      </c>
      <c r="FG54" s="63">
        <f t="shared" si="64"/>
        <v>1</v>
      </c>
      <c r="FH54" s="63" cm="1">
        <f t="array" ref="FH54">IF(OR(INDEX(FX_Vap,$KK54,FH$90)="Crude Oil",(INDEX(FX_Vap,$KL54,FH$90)="Crude Oil")),0.75,1)</f>
        <v>1</v>
      </c>
      <c r="FI54" s="63">
        <f t="shared" si="115"/>
        <v>1</v>
      </c>
      <c r="FJ54" s="63">
        <f t="shared" si="65"/>
        <v>3.562972873170474</v>
      </c>
      <c r="FK54" s="64">
        <f t="shared" si="66"/>
        <v>3.562972873170474</v>
      </c>
      <c r="FL54" s="80" t="str" cm="1">
        <f t="array" ref="FL54">IF(ISBLANK(INDEX(FX_Input,$KB54+1,FL$85)),INDEX(FX_Input,$KB54,FL$85),INDEX(FX_Input,$KB54,FL$85)&amp;" &amp; "&amp;INDEX(FX_Input,$KB54+1,FL$85))</f>
        <v>Jet kerosene</v>
      </c>
      <c r="FM54" s="63" cm="1">
        <f t="array" ref="FM54">INDEX(FX_Temps,$KC54+7,FM$89)</f>
        <v>0</v>
      </c>
      <c r="FN54" s="63" cm="1">
        <f t="array" ref="FN54">INDEX(FX_Temps,$KC54+13,FN$89)+459.6</f>
        <v>518.20000000000005</v>
      </c>
      <c r="FO54" s="63" cm="1">
        <f t="array" ref="FO54">INDEX(FX_Vap,$KG54,FO$91)-INDEX(FX_Vap,$KH54,FO$91)</f>
        <v>0</v>
      </c>
      <c r="FP54" s="73" cm="1">
        <f t="array" ref="FP54">IF(FL54="Out of Service",0,INDEX(FX_Vap,$KI54,FP$91))</f>
        <v>7.8399882233967533E-3</v>
      </c>
      <c r="FQ54" s="63">
        <f t="shared" si="67"/>
        <v>0</v>
      </c>
      <c r="FR54" s="63">
        <f t="shared" si="68"/>
        <v>0.9916559417760098</v>
      </c>
      <c r="FS54" s="63" cm="1">
        <f t="array" ref="FS54">INDEX(FX_Vap,$KJ54,FS$91)</f>
        <v>130</v>
      </c>
      <c r="FT54" s="63" cm="1">
        <f t="array" ref="FT54">INDEX(FX_Temps,$KD54,FT$89)+459.6</f>
        <v>518.20000000000005</v>
      </c>
      <c r="FU54" s="63">
        <f t="shared" si="69"/>
        <v>1.8328256712249962E-4</v>
      </c>
      <c r="FV54" s="63" cm="1">
        <f t="array" ref="FV54">INDEX(Month_Ref,FV$83,3)*FQ54*(PI()/4*$F54^2)*$H54*FR54*FU54</f>
        <v>0</v>
      </c>
      <c r="FW54" s="63" cm="1">
        <f t="array" ref="FW54">INDEX(FX_Input,$KB54,FW$85)</f>
        <v>3223</v>
      </c>
      <c r="FX54" s="63">
        <f t="shared" si="70"/>
        <v>18093.921999999999</v>
      </c>
      <c r="FY54" s="63">
        <f t="shared" si="71"/>
        <v>1.0525354993491203</v>
      </c>
      <c r="FZ54" s="63">
        <f t="shared" si="72"/>
        <v>1</v>
      </c>
      <c r="GA54" s="63" cm="1">
        <f t="array" ref="GA54">IF(OR(INDEX(FX_Vap,$KK54,GA$90)="Crude Oil",(INDEX(FX_Vap,$KL54,GA$90)="Crude Oil")),0.75,1)</f>
        <v>1</v>
      </c>
      <c r="GB54" s="63">
        <f t="shared" si="116"/>
        <v>1</v>
      </c>
      <c r="GC54" s="63">
        <f t="shared" si="73"/>
        <v>3.3163004734742723</v>
      </c>
      <c r="GD54" s="64">
        <f t="shared" si="74"/>
        <v>3.3163004734742723</v>
      </c>
      <c r="GE54" s="80" t="str" cm="1">
        <f t="array" ref="GE54">IF(ISBLANK(INDEX(FX_Input,$KB54+1,GE$85)),INDEX(FX_Input,$KB54,GE$85),INDEX(FX_Input,$KB54,GE$85)&amp;" &amp; "&amp;INDEX(FX_Input,$KB54+1,GE$85))</f>
        <v>Jet kerosene</v>
      </c>
      <c r="GF54" s="63" cm="1">
        <f t="array" ref="GF54">INDEX(FX_Temps,$KC54+7,GF$89)</f>
        <v>0</v>
      </c>
      <c r="GG54" s="63" cm="1">
        <f t="array" ref="GG54">INDEX(FX_Temps,$KC54+13,GG$89)+459.6</f>
        <v>512.25</v>
      </c>
      <c r="GH54" s="63" cm="1">
        <f t="array" ref="GH54">INDEX(FX_Vap,$KG54,GH$91)-INDEX(FX_Vap,$KH54,GH$91)</f>
        <v>0</v>
      </c>
      <c r="GI54" s="73" cm="1">
        <f t="array" ref="GI54">IF(GE54="Out of Service",0,INDEX(FX_Vap,$KI54,GI$91))</f>
        <v>6.4173462075160911E-3</v>
      </c>
      <c r="GJ54" s="63">
        <f t="shared" si="75"/>
        <v>0</v>
      </c>
      <c r="GK54" s="63">
        <f t="shared" si="76"/>
        <v>0.99315969521300818</v>
      </c>
      <c r="GL54" s="63" cm="1">
        <f t="array" ref="GL54">INDEX(FX_Vap,$KJ54,GL$91)</f>
        <v>130</v>
      </c>
      <c r="GM54" s="63" cm="1">
        <f t="array" ref="GM54">INDEX(FX_Temps,$KD54,GM$89)+459.6</f>
        <v>512.25</v>
      </c>
      <c r="GN54" s="63">
        <f t="shared" si="77"/>
        <v>1.5176675903637226E-4</v>
      </c>
      <c r="GO54" s="63" cm="1">
        <f t="array" ref="GO54">INDEX(Month_Ref,GO$83,3)*GJ54*(PI()/4*$F54^2)*$H54*GK54*GN54</f>
        <v>0</v>
      </c>
      <c r="GP54" s="63" cm="1">
        <f t="array" ref="GP54">INDEX(FX_Input,$KB54,GP$85)</f>
        <v>3223</v>
      </c>
      <c r="GQ54" s="63">
        <f t="shared" si="78"/>
        <v>18093.921999999999</v>
      </c>
      <c r="GR54" s="63">
        <f t="shared" si="79"/>
        <v>1.0525354993491203</v>
      </c>
      <c r="GS54" s="63">
        <f t="shared" si="80"/>
        <v>1</v>
      </c>
      <c r="GT54" s="63" cm="1">
        <f t="array" ref="GT54">IF(OR(INDEX(FX_Vap,$KK54,GT$90)="Crude Oil",(INDEX(FX_Vap,$KL54,GT$90)="Crude Oil")),0.75,1)</f>
        <v>1</v>
      </c>
      <c r="GU54" s="63">
        <f t="shared" si="117"/>
        <v>1</v>
      </c>
      <c r="GV54" s="63">
        <f t="shared" si="81"/>
        <v>2.7460559001969145</v>
      </c>
      <c r="GW54" s="64">
        <f t="shared" si="82"/>
        <v>2.7460559001969145</v>
      </c>
      <c r="GX54" s="80" t="str" cm="1">
        <f t="array" ref="GX54">IF(ISBLANK(INDEX(FX_Input,$KB54+1,GX$85)),INDEX(FX_Input,$KB54,GX$85),INDEX(FX_Input,$KB54,GX$85)&amp;" &amp; "&amp;INDEX(FX_Input,$KB54+1,GX$85))</f>
        <v>Jet kerosene</v>
      </c>
      <c r="GY54" s="63" cm="1">
        <f t="array" ref="GY54">INDEX(FX_Temps,$KC54+7,GY$89)</f>
        <v>0</v>
      </c>
      <c r="GZ54" s="63" cm="1">
        <f t="array" ref="GZ54">INDEX(FX_Temps,$KC54+13,GZ$89)+459.6</f>
        <v>506.70000000000005</v>
      </c>
      <c r="HA54" s="63" cm="1">
        <f t="array" ref="HA54">INDEX(FX_Vap,$KG54,HA$91)-INDEX(FX_Vap,$KH54,HA$91)</f>
        <v>0</v>
      </c>
      <c r="HB54" s="73" cm="1">
        <f t="array" ref="HB54">IF(GX54="Out of Service",0,INDEX(FX_Vap,$KI54,HB$91))</f>
        <v>5.3015226887581056E-3</v>
      </c>
      <c r="HC54" s="63">
        <f t="shared" si="83"/>
        <v>0</v>
      </c>
      <c r="HD54" s="63">
        <f t="shared" si="84"/>
        <v>0.99434233210814094</v>
      </c>
      <c r="HE54" s="63" cm="1">
        <f t="array" ref="HE54">INDEX(FX_Vap,$KJ54,HE$91)</f>
        <v>130</v>
      </c>
      <c r="HF54" s="63" cm="1">
        <f t="array" ref="HF54">INDEX(FX_Temps,$KD54,HF$89)+459.6</f>
        <v>506.70000000000005</v>
      </c>
      <c r="HG54" s="63">
        <f t="shared" si="85"/>
        <v>1.2675143286623188E-4</v>
      </c>
      <c r="HH54" s="63" cm="1">
        <f t="array" ref="HH54">INDEX(Month_Ref,HH$83,3)*HC54*(PI()/4*$F54^2)*$H54*HD54*HG54</f>
        <v>0</v>
      </c>
      <c r="HI54" s="63" cm="1">
        <f t="array" ref="HI54">INDEX(FX_Input,$KB54,HI$85)</f>
        <v>3223</v>
      </c>
      <c r="HJ54" s="63">
        <f t="shared" si="86"/>
        <v>18093.921999999999</v>
      </c>
      <c r="HK54" s="63">
        <f t="shared" si="87"/>
        <v>1.0525354993491203</v>
      </c>
      <c r="HL54" s="63">
        <f t="shared" si="88"/>
        <v>1</v>
      </c>
      <c r="HM54" s="63" cm="1">
        <f t="array" ref="HM54">IF(OR(INDEX(FX_Vap,$KK54,HM$90)="Crude Oil",(INDEX(FX_Vap,$KL54,HM$90)="Crude Oil")),0.75,1)</f>
        <v>1</v>
      </c>
      <c r="HN54" s="63">
        <f t="shared" si="118"/>
        <v>1</v>
      </c>
      <c r="HO54" s="63">
        <f t="shared" si="89"/>
        <v>2.2934305396698358</v>
      </c>
      <c r="HP54" s="64">
        <f t="shared" si="90"/>
        <v>2.2934305396698358</v>
      </c>
      <c r="HQ54" s="80" t="str" cm="1">
        <f t="array" ref="HQ54">IF(ISBLANK(INDEX(FX_Input,$KB54+1,HQ$85)),INDEX(FX_Input,$KB54,HQ$85),INDEX(FX_Input,$KB54,HQ$85)&amp;" &amp; "&amp;INDEX(FX_Input,$KB54+1,HQ$85))</f>
        <v>Jet kerosene</v>
      </c>
      <c r="HR54" s="63" cm="1">
        <f t="array" ref="HR54">INDEX(FX_Temps,$KC54+7,HR$89)</f>
        <v>0</v>
      </c>
      <c r="HS54" s="63" cm="1">
        <f t="array" ref="HS54">INDEX(FX_Temps,$KC54+13,HS$89)+459.6</f>
        <v>503.20000000000005</v>
      </c>
      <c r="HT54" s="63" cm="1">
        <f t="array" ref="HT54">INDEX(FX_Vap,$KG54,HT$91)-INDEX(FX_Vap,$KH54,HT$91)</f>
        <v>0</v>
      </c>
      <c r="HU54" s="73" cm="1">
        <f t="array" ref="HU54">IF(HQ54="Out of Service",0,INDEX(FX_Vap,$KI54,HU$91))</f>
        <v>4.68970903600947E-3</v>
      </c>
      <c r="HV54" s="63">
        <f t="shared" si="91"/>
        <v>0</v>
      </c>
      <c r="HW54" s="63">
        <f t="shared" si="92"/>
        <v>0.99499197631327974</v>
      </c>
      <c r="HX54" s="63" cm="1">
        <f t="array" ref="HX54">INDEX(FX_Vap,$KJ54,HX$91)</f>
        <v>130</v>
      </c>
      <c r="HY54" s="63" cm="1">
        <f t="array" ref="HY54">INDEX(FX_Temps,$KD54,HY$89)+459.6</f>
        <v>503.20000000000005</v>
      </c>
      <c r="HZ54" s="63">
        <f t="shared" si="93"/>
        <v>1.1290376474196325E-4</v>
      </c>
      <c r="IA54" s="63" cm="1">
        <f t="array" ref="IA54">INDEX(Month_Ref,IA$83,3)*HV54*(PI()/4*$F54^2)*$H54*HW54*HZ54</f>
        <v>0</v>
      </c>
      <c r="IB54" s="63" cm="1">
        <f t="array" ref="IB54">INDEX(FX_Input,$KB54,IB$85)</f>
        <v>3223</v>
      </c>
      <c r="IC54" s="63">
        <f t="shared" si="94"/>
        <v>18093.921999999999</v>
      </c>
      <c r="ID54" s="63">
        <f t="shared" si="95"/>
        <v>1.0525354993491203</v>
      </c>
      <c r="IE54" s="63">
        <f t="shared" si="96"/>
        <v>1</v>
      </c>
      <c r="IF54" s="63" cm="1">
        <f t="array" ref="IF54">IF(OR(INDEX(FX_Vap,$KK54,IF$90)="Crude Oil",(INDEX(FX_Vap,$KL54,IF$90)="Crude Oil")),0.75,1)</f>
        <v>1</v>
      </c>
      <c r="IG54" s="63">
        <f t="shared" si="119"/>
        <v>1</v>
      </c>
      <c r="IH54" s="63">
        <f t="shared" si="97"/>
        <v>2.0428719127474331</v>
      </c>
      <c r="II54" s="64">
        <f t="shared" si="98"/>
        <v>2.0428719127474331</v>
      </c>
      <c r="IJ54" s="80">
        <f t="shared" si="99"/>
        <v>0</v>
      </c>
      <c r="IK54" s="63">
        <f t="shared" si="100"/>
        <v>0</v>
      </c>
      <c r="IL54" s="63">
        <f t="shared" si="101"/>
        <v>32.22449663495965</v>
      </c>
      <c r="IM54" s="63">
        <f t="shared" si="102"/>
        <v>1.6112248317479826E-2</v>
      </c>
      <c r="IN54" s="63">
        <f t="shared" si="103"/>
        <v>32.22449663495965</v>
      </c>
      <c r="IO54" s="64">
        <f t="shared" si="104"/>
        <v>1.6112248317479826E-2</v>
      </c>
      <c r="KB54" s="43">
        <f t="shared" si="120"/>
        <v>87</v>
      </c>
      <c r="KC54" s="43">
        <f t="shared" si="121"/>
        <v>603</v>
      </c>
      <c r="KD54" s="43">
        <f t="shared" si="122"/>
        <v>616</v>
      </c>
      <c r="KE54" s="43">
        <f t="shared" si="123"/>
        <v>603</v>
      </c>
      <c r="KF54" s="43">
        <f t="shared" si="124"/>
        <v>1463</v>
      </c>
      <c r="KG54" s="43">
        <f t="shared" si="125"/>
        <v>1486</v>
      </c>
      <c r="KH54" s="43">
        <f t="shared" si="126"/>
        <v>1481</v>
      </c>
      <c r="KI54" s="43">
        <f t="shared" si="126"/>
        <v>1491</v>
      </c>
      <c r="KJ54" s="43">
        <f t="shared" si="126"/>
        <v>1496</v>
      </c>
      <c r="KK54" s="43">
        <f t="shared" si="127"/>
        <v>1467</v>
      </c>
      <c r="KL54" s="43">
        <f t="shared" si="128"/>
        <v>1469</v>
      </c>
    </row>
    <row r="55" spans="2:298" x14ac:dyDescent="0.4">
      <c r="B55" s="43" t="str" cm="1">
        <f t="array" ref="B55">INDEX(FX_Input,$KB55,B$85)</f>
        <v>FX - 45</v>
      </c>
      <c r="C55" s="93" t="str" cm="1">
        <f t="array" ref="C55">INDEX(FX_Input,$KB55,C$85)</f>
        <v>FIXTANK 173</v>
      </c>
      <c r="D55" s="80">
        <f t="shared" si="129"/>
        <v>9160.8841778678361</v>
      </c>
      <c r="E55" s="63" cm="1">
        <f t="array" ref="E55">IF(ISBLANK(INDEX(FX_Input,$KB55,$E$85)),0.03,INDEX(FX_Input,$KB55,$E$85))-IF(ISBLANK(INDEX(FX_Input,$KB55,$E$86)),-0.03,INDEX(FX_Input,$KB55,$E$86))</f>
        <v>0.06</v>
      </c>
      <c r="F55" s="63" cm="1">
        <f t="array" ref="F55">IF(INDEX(FX_Input,$KB55,F$85)="Vertical",INDEX(FX_Input,$KB55,F$86),SQRT((INDEX(FX_Input,$KB55,F$86)*INDEX(FX_Input,$KB55,F$87))/(PI()/4)))</f>
        <v>24</v>
      </c>
      <c r="G55" s="63" cm="1">
        <f t="array" ref="G55">IF(INDEX(FX_Input,$KB55,G$85)="Vertical",INDEX(FX_Input,$KB55,G$86),INDEX(FX_Input,$KB55,G$87)*PI()/4)</f>
        <v>40</v>
      </c>
      <c r="H55" s="63" cm="1">
        <f t="array" ref="H55">IF(INDEX(FX_Input,$KB55,H$85)="Vertical",G55-G55/2+J55,G55/2)</f>
        <v>20.25</v>
      </c>
      <c r="I55" s="63" cm="1">
        <f t="array" ref="I55">IF(INDEX(FX_Input,$KB55,F$85)="Horizontal","N/A",IF(INDEX(FX_Input,$KB55,I$86)="Cone",IF(ISBLANK(INDEX(FX_Input,$KB55,I$87)),0.0625,INDEX(FX_Input,$KB55,I$87))*F55/2,F55/2-SQRT((F55/2)^2-(INDEX(FX_Input,$KB55,I$88)^2))))</f>
        <v>0.75</v>
      </c>
      <c r="J55" s="63" cm="1">
        <f t="array" ref="J55">IF(INDEX(FX_Input,$KB55,J$85)="Horizontal","N/A",IF(INDEX(FX_Input,$KB55,J$86)="Cone",I55/3,I55*(1/2+(1/6)*(I55/(F55/2))^2)))</f>
        <v>0.25</v>
      </c>
      <c r="K55" s="63">
        <f t="shared" si="130"/>
        <v>39</v>
      </c>
      <c r="L55" s="63">
        <v>1</v>
      </c>
      <c r="M55" s="63" t="str" cm="1">
        <f t="array" ref="M55">INDEX(Tbl_71_6,MATCH(INDEX(FX_Input,$KB55,M$85),Paint_Color,0),VLOOKUP(INDEX(FX_Input,$KB55,M$86),Paint_Cond_Column,2,FALSE))</f>
        <v>N/A</v>
      </c>
      <c r="N55" s="63" t="str" cm="1">
        <f t="array" ref="N55">INDEX(Tbl_71_6,MATCH(INDEX(FX_Input,$KB55,N$85),Paint_Color,0),VLOOKUP(INDEX(FX_Input,$KB55,N$86),Paint_Cond_Column,2,FALSE))</f>
        <v>N/A</v>
      </c>
      <c r="O55" s="64" t="str">
        <f t="shared" si="2"/>
        <v>Insulated</v>
      </c>
      <c r="P55" s="80" t="str" cm="1">
        <f t="array" ref="P55">IF(ISBLANK(INDEX(FX_Input,$KB55+1,P$85)),INDEX(FX_Input,$KB55,P$85),INDEX(FX_Input,$KB55,P$85)&amp;" &amp; "&amp;INDEX(FX_Input,$KB55+1,P$85))</f>
        <v>Jet kerosene</v>
      </c>
      <c r="Q55" s="63" cm="1">
        <f t="array" ref="Q55">INDEX(FX_Temps,$KC55+7,Q$89)</f>
        <v>0</v>
      </c>
      <c r="R55" s="63" cm="1">
        <f t="array" ref="R55">INDEX(FX_Temps,$KC55+13,R$89)+459.6</f>
        <v>503.5</v>
      </c>
      <c r="S55" s="63" cm="1">
        <f t="array" ref="S55">INDEX(FX_Vap,$KG55,S$91)-INDEX(FX_Vap,$KH55,S$91)</f>
        <v>0</v>
      </c>
      <c r="T55" s="73" cm="1">
        <f t="array" ref="T55">IF(P55="Out of Service",0,INDEX(FX_Vap,$KI55,T$91))</f>
        <v>4.739577185808354E-3</v>
      </c>
      <c r="U55" s="63">
        <f t="shared" si="3"/>
        <v>0</v>
      </c>
      <c r="V55" s="63">
        <f t="shared" si="4"/>
        <v>0.99493899286949972</v>
      </c>
      <c r="W55" s="63" cm="1">
        <f t="array" ref="W55">INDEX(FX_Vap,$KJ55,W$91)</f>
        <v>130</v>
      </c>
      <c r="X55" s="63" cm="1">
        <f t="array" ref="X55">INDEX(FX_Temps,$KD55,X$89)+459.6</f>
        <v>503.5</v>
      </c>
      <c r="Y55" s="63">
        <f t="shared" si="5"/>
        <v>1.1403634333314844E-4</v>
      </c>
      <c r="Z55" s="63" cm="1">
        <f t="array" ref="Z55">INDEX(Month_Ref,Z$83,3)*U55*(PI()/4*$F55^2)*$H55*V55*Y55</f>
        <v>0</v>
      </c>
      <c r="AA55" s="63" cm="1">
        <f t="array" ref="AA55">INDEX(FX_Input,$KB55,AA$85)</f>
        <v>3223</v>
      </c>
      <c r="AB55" s="63">
        <f t="shared" si="6"/>
        <v>18093.921999999999</v>
      </c>
      <c r="AC55" s="63">
        <f t="shared" si="7"/>
        <v>1.0525354993491203</v>
      </c>
      <c r="AD55" s="63">
        <f t="shared" si="8"/>
        <v>1</v>
      </c>
      <c r="AE55" s="63" cm="1">
        <f t="array" ref="AE55">IF(OR(INDEX(FX_Vap,$KK55,AE$90)="Crude Oil",(INDEX(FX_Vap,$KL55,AE$90)="Crude Oil")),0.75,1)</f>
        <v>1</v>
      </c>
      <c r="AF55" s="63">
        <f t="shared" si="108"/>
        <v>1</v>
      </c>
      <c r="AG55" s="63">
        <f t="shared" si="9"/>
        <v>2.0633647014352077</v>
      </c>
      <c r="AH55" s="64">
        <f t="shared" si="10"/>
        <v>2.0633647014352077</v>
      </c>
      <c r="AI55" s="80" t="str" cm="1">
        <f t="array" ref="AI55">IF(ISBLANK(INDEX(FX_Input,$KB55+1,AI$85)),INDEX(FX_Input,$KB55,AI$85),INDEX(FX_Input,$KB55,AI$85)&amp;" &amp; "&amp;INDEX(FX_Input,$KB55+1,AI$85))</f>
        <v>Jet kerosene</v>
      </c>
      <c r="AJ55" s="63" cm="1">
        <f t="array" ref="AJ55">INDEX(FX_Temps,$KC55+7,AJ$89)</f>
        <v>0</v>
      </c>
      <c r="AK55" s="63" cm="1">
        <f t="array" ref="AK55">INDEX(FX_Temps,$KC55+13,AK$89)+459.6</f>
        <v>504.30000000000007</v>
      </c>
      <c r="AL55" s="63" cm="1">
        <f t="array" ref="AL55">INDEX(FX_Vap,$KG55,AL$91)-INDEX(FX_Vap,$KH55,AL$91)</f>
        <v>0</v>
      </c>
      <c r="AM55" s="73" cm="1">
        <f t="array" ref="AM55">IF(AI55="Out of Service",0,INDEX(FX_Vap,$KI55,AM$91))</f>
        <v>4.8748667780818778E-3</v>
      </c>
      <c r="AN55" s="63">
        <f t="shared" si="11"/>
        <v>0</v>
      </c>
      <c r="AO55" s="63">
        <f t="shared" si="12"/>
        <v>0.99479528006887274</v>
      </c>
      <c r="AP55" s="63" cm="1">
        <f t="array" ref="AP55">INDEX(FX_Vap,$KJ55,AP$91)</f>
        <v>130</v>
      </c>
      <c r="AQ55" s="63" cm="1">
        <f t="array" ref="AQ55">INDEX(FX_Temps,$KD55,AQ$89)+459.6</f>
        <v>504.30000000000007</v>
      </c>
      <c r="AR55" s="63">
        <f t="shared" si="13"/>
        <v>1.1710540514572422E-4</v>
      </c>
      <c r="AS55" s="63" cm="1">
        <f t="array" ref="AS55">INDEX(Month_Ref,AS$83,3)*AN55*(PI()/4*$F55^2)*$H55*AO55*AR55</f>
        <v>0</v>
      </c>
      <c r="AT55" s="63" cm="1">
        <f t="array" ref="AT55">INDEX(FX_Input,$KB55,AT$85)</f>
        <v>3223</v>
      </c>
      <c r="AU55" s="63">
        <f t="shared" si="14"/>
        <v>18093.921999999999</v>
      </c>
      <c r="AV55" s="63">
        <f t="shared" si="15"/>
        <v>1.0525354993491203</v>
      </c>
      <c r="AW55" s="63">
        <f t="shared" si="16"/>
        <v>1</v>
      </c>
      <c r="AX55" s="63" cm="1">
        <f t="array" ref="AX55">IF(OR(INDEX(FX_Vap,$KK55,AX$90)="Crude Oil",(INDEX(FX_Vap,$KL55,AX$90)="Crude Oil")),0.75,1)</f>
        <v>1</v>
      </c>
      <c r="AY55" s="63">
        <f t="shared" si="109"/>
        <v>1</v>
      </c>
      <c r="AZ55" s="63">
        <f t="shared" si="17"/>
        <v>2.1188960664851324</v>
      </c>
      <c r="BA55" s="64">
        <f t="shared" si="18"/>
        <v>2.1188960664851324</v>
      </c>
      <c r="BB55" s="80" t="str" cm="1">
        <f t="array" ref="BB55">IF(ISBLANK(INDEX(FX_Input,$KB55+1,BB$85)),INDEX(FX_Input,$KB55,BB$85),INDEX(FX_Input,$KB55,BB$85)&amp;" &amp; "&amp;INDEX(FX_Input,$KB55+1,BB$85))</f>
        <v>Jet kerosene</v>
      </c>
      <c r="BC55" s="63" cm="1">
        <f t="array" ref="BC55">INDEX(FX_Temps,$KC55+7,BC$89)</f>
        <v>0</v>
      </c>
      <c r="BD55" s="63" cm="1">
        <f t="array" ref="BD55">INDEX(FX_Temps,$KC55+13,BD$89)+459.6</f>
        <v>505.70000000000005</v>
      </c>
      <c r="BE55" s="63" cm="1">
        <f t="array" ref="BE55">INDEX(FX_Vap,$KG55,BE$91)-INDEX(FX_Vap,$KH55,BE$91)</f>
        <v>0</v>
      </c>
      <c r="BF55" s="73" cm="1">
        <f t="array" ref="BF55">IF(BB55="Out of Service",0,INDEX(FX_Vap,$KI55,BF$91))</f>
        <v>5.119885034186122E-3</v>
      </c>
      <c r="BG55" s="63">
        <f t="shared" si="19"/>
        <v>0</v>
      </c>
      <c r="BH55" s="63">
        <f t="shared" si="20"/>
        <v>0.9945351124882359</v>
      </c>
      <c r="BI55" s="63" cm="1">
        <f t="array" ref="BI55">INDEX(FX_Vap,$KJ55,BI$91)</f>
        <v>130</v>
      </c>
      <c r="BJ55" s="63" cm="1">
        <f t="array" ref="BJ55">INDEX(FX_Temps,$KD55,BJ$89)+459.6</f>
        <v>505.70000000000005</v>
      </c>
      <c r="BK55" s="63">
        <f t="shared" si="21"/>
        <v>1.226508078051294E-4</v>
      </c>
      <c r="BL55" s="63" cm="1">
        <f t="array" ref="BL55">INDEX(Month_Ref,BL$83,3)*BG55*(PI()/4*$F55^2)*$H55*BH55*BK55</f>
        <v>0</v>
      </c>
      <c r="BM55" s="63" cm="1">
        <f t="array" ref="BM55">INDEX(FX_Input,$KB55,BM$85)</f>
        <v>3223</v>
      </c>
      <c r="BN55" s="63">
        <f t="shared" si="22"/>
        <v>18093.921999999999</v>
      </c>
      <c r="BO55" s="63">
        <f t="shared" si="23"/>
        <v>1.0525354993491203</v>
      </c>
      <c r="BP55" s="63">
        <f t="shared" si="24"/>
        <v>1</v>
      </c>
      <c r="BQ55" s="63" cm="1">
        <f t="array" ref="BQ55">IF(OR(INDEX(FX_Vap,$KK55,BQ$90)="Crude Oil",(INDEX(FX_Vap,$KL55,BQ$90)="Crude Oil")),0.75,1)</f>
        <v>1</v>
      </c>
      <c r="BR55" s="63">
        <f t="shared" si="110"/>
        <v>1</v>
      </c>
      <c r="BS55" s="63">
        <f t="shared" si="25"/>
        <v>2.2192341496630026</v>
      </c>
      <c r="BT55" s="64">
        <f t="shared" si="26"/>
        <v>2.2192341496630026</v>
      </c>
      <c r="BU55" s="80" t="str" cm="1">
        <f t="array" ref="BU55">IF(ISBLANK(INDEX(FX_Input,$KB55+1,BU$85)),INDEX(FX_Input,$KB55,BU$85),INDEX(FX_Input,$KB55,BU$85)&amp;" &amp; "&amp;INDEX(FX_Input,$KB55+1,BU$85))</f>
        <v>Jet kerosene</v>
      </c>
      <c r="BV55" s="63" cm="1">
        <f t="array" ref="BV55">INDEX(FX_Temps,$KC55+7,BV$89)</f>
        <v>0</v>
      </c>
      <c r="BW55" s="63" cm="1">
        <f t="array" ref="BW55">INDEX(FX_Temps,$KC55+13,BW$89)+459.6</f>
        <v>508.2</v>
      </c>
      <c r="BX55" s="63" cm="1">
        <f t="array" ref="BX55">INDEX(FX_Vap,$KG55,BX$91)-INDEX(FX_Vap,$KH55,BX$91)</f>
        <v>0</v>
      </c>
      <c r="BY55" s="73" cm="1">
        <f t="array" ref="BY55">IF(BU55="Out of Service",0,INDEX(FX_Vap,$KI55,BY$91))</f>
        <v>5.5846958573521795E-3</v>
      </c>
      <c r="BZ55" s="63">
        <f t="shared" si="27"/>
        <v>0</v>
      </c>
      <c r="CA55" s="63">
        <f t="shared" si="28"/>
        <v>0.99404193646235772</v>
      </c>
      <c r="CB55" s="63" cm="1">
        <f t="array" ref="CB55">INDEX(FX_Vap,$KJ55,CB$91)</f>
        <v>130</v>
      </c>
      <c r="CC55" s="63" cm="1">
        <f t="array" ref="CC55">INDEX(FX_Temps,$KD55,CC$89)+459.6</f>
        <v>508.2</v>
      </c>
      <c r="CD55" s="63">
        <f t="shared" si="29"/>
        <v>1.3312757561120781E-4</v>
      </c>
      <c r="CE55" s="63" cm="1">
        <f t="array" ref="CE55">INDEX(Month_Ref,CE$83,3)*BZ55*(PI()/4*$F55^2)*$H55*CA55*CD55</f>
        <v>0</v>
      </c>
      <c r="CF55" s="63" cm="1">
        <f t="array" ref="CF55">INDEX(FX_Input,$KB55,CF$85)</f>
        <v>3223</v>
      </c>
      <c r="CG55" s="63">
        <f t="shared" si="30"/>
        <v>18093.921999999999</v>
      </c>
      <c r="CH55" s="63">
        <f t="shared" si="31"/>
        <v>1.0525354993491203</v>
      </c>
      <c r="CI55" s="63">
        <f t="shared" si="32"/>
        <v>1</v>
      </c>
      <c r="CJ55" s="63" cm="1">
        <f t="array" ref="CJ55">IF(OR(INDEX(FX_Vap,$KK55,CJ$90)="Crude Oil",(INDEX(FX_Vap,$KL55,CJ$90)="Crude Oil")),0.75,1)</f>
        <v>1</v>
      </c>
      <c r="CK55" s="63">
        <f t="shared" si="111"/>
        <v>1</v>
      </c>
      <c r="CL55" s="63">
        <f t="shared" si="33"/>
        <v>2.4087999691582964</v>
      </c>
      <c r="CM55" s="64">
        <f t="shared" si="34"/>
        <v>2.4087999691582964</v>
      </c>
      <c r="CN55" s="80" t="str" cm="1">
        <f t="array" ref="CN55">IF(ISBLANK(INDEX(FX_Input,$KB55+1,CN$85)),INDEX(FX_Input,$KB55,CN$85),INDEX(FX_Input,$KB55,CN$85)&amp;" &amp; "&amp;INDEX(FX_Input,$KB55+1,CN$85))</f>
        <v>Jet kerosene</v>
      </c>
      <c r="CO55" s="63" cm="1">
        <f t="array" ref="CO55">INDEX(FX_Temps,$KC55+7,CO$89)</f>
        <v>0</v>
      </c>
      <c r="CP55" s="63" cm="1">
        <f t="array" ref="CP55">INDEX(FX_Temps,$KC55+13,CP$89)+459.6</f>
        <v>512.75</v>
      </c>
      <c r="CQ55" s="63" cm="1">
        <f t="array" ref="CQ55">INDEX(FX_Vap,$KG55,CQ$91)-INDEX(FX_Vap,$KH55,CQ$91)</f>
        <v>0</v>
      </c>
      <c r="CR55" s="73" cm="1">
        <f t="array" ref="CR55">IF(CN55="Out of Service",0,INDEX(FX_Vap,$KI55,CR$91))</f>
        <v>6.5274070972739821E-3</v>
      </c>
      <c r="CS55" s="63">
        <f t="shared" si="35"/>
        <v>0</v>
      </c>
      <c r="CT55" s="63">
        <f t="shared" si="36"/>
        <v>0.99304319649575623</v>
      </c>
      <c r="CU55" s="63" cm="1">
        <f t="array" ref="CU55">INDEX(FX_Vap,$KJ55,CU$91)</f>
        <v>130</v>
      </c>
      <c r="CV55" s="63" cm="1">
        <f t="array" ref="CV55">INDEX(FX_Temps,$KD55,CV$89)+459.6</f>
        <v>512.75</v>
      </c>
      <c r="CW55" s="63">
        <f t="shared" si="37"/>
        <v>1.5421910831991609E-4</v>
      </c>
      <c r="CX55" s="63" cm="1">
        <f t="array" ref="CX55">INDEX(Month_Ref,CX$83,3)*CS55*(PI()/4*$F55^2)*$H55*CT55*CW55</f>
        <v>0</v>
      </c>
      <c r="CY55" s="63" cm="1">
        <f t="array" ref="CY55">INDEX(FX_Input,$KB55,CY$85)</f>
        <v>3223</v>
      </c>
      <c r="CZ55" s="63">
        <f t="shared" si="38"/>
        <v>18093.921999999999</v>
      </c>
      <c r="DA55" s="63">
        <f t="shared" si="39"/>
        <v>1.0525354993491203</v>
      </c>
      <c r="DB55" s="63">
        <f t="shared" si="40"/>
        <v>1</v>
      </c>
      <c r="DC55" s="63" cm="1">
        <f t="array" ref="DC55">IF(OR(INDEX(FX_Vap,$KK55,DC$90)="Crude Oil",(INDEX(FX_Vap,$KL55,DC$90)="Crude Oil")),0.75,1)</f>
        <v>1</v>
      </c>
      <c r="DD55" s="63">
        <f t="shared" si="112"/>
        <v>1</v>
      </c>
      <c r="DE55" s="63">
        <f t="shared" si="41"/>
        <v>2.7904285168501124</v>
      </c>
      <c r="DF55" s="64">
        <f t="shared" si="42"/>
        <v>2.7904285168501124</v>
      </c>
      <c r="DG55" s="80" t="str" cm="1">
        <f t="array" ref="DG55">IF(ISBLANK(INDEX(FX_Input,$KB55+1,DG$85)),INDEX(FX_Input,$KB55,DG$85),INDEX(FX_Input,$KB55,DG$85)&amp;" &amp; "&amp;INDEX(FX_Input,$KB55+1,DG$85))</f>
        <v>Jet kerosene</v>
      </c>
      <c r="DH55" s="63" cm="1">
        <f t="array" ref="DH55">INDEX(FX_Temps,$KC55+7,DH$89)</f>
        <v>0</v>
      </c>
      <c r="DI55" s="63" cm="1">
        <f t="array" ref="DI55">INDEX(FX_Temps,$KC55+13,DI$89)+459.6</f>
        <v>516.55000000000007</v>
      </c>
      <c r="DJ55" s="63" cm="1">
        <f t="array" ref="DJ55">INDEX(FX_Vap,$KG55,DJ$91)-INDEX(FX_Vap,$KH55,DJ$91)</f>
        <v>0</v>
      </c>
      <c r="DK55" s="73" cm="1">
        <f t="array" ref="DK55">IF(DG55="Out of Service",0,INDEX(FX_Vap,$KI55,DK$91))</f>
        <v>7.4199539958878279E-3</v>
      </c>
      <c r="DL55" s="63">
        <f t="shared" si="43"/>
        <v>0</v>
      </c>
      <c r="DM55" s="63">
        <f t="shared" si="44"/>
        <v>0.99209945013122069</v>
      </c>
      <c r="DN55" s="63" cm="1">
        <f t="array" ref="DN55">INDEX(FX_Vap,$KJ55,DN$91)</f>
        <v>130</v>
      </c>
      <c r="DO55" s="63" cm="1">
        <f t="array" ref="DO55">INDEX(FX_Temps,$KD55,DO$89)+459.6</f>
        <v>516.55000000000007</v>
      </c>
      <c r="DP55" s="63">
        <f t="shared" si="45"/>
        <v>1.7401713099147103E-4</v>
      </c>
      <c r="DQ55" s="63" cm="1">
        <f t="array" ref="DQ55">INDEX(Month_Ref,DQ$83,3)*DL55*(PI()/4*$F55^2)*$H55*DM55*DP55</f>
        <v>0</v>
      </c>
      <c r="DR55" s="63" cm="1">
        <f t="array" ref="DR55">INDEX(FX_Input,$KB55,DR$85)</f>
        <v>3223</v>
      </c>
      <c r="DS55" s="63">
        <f t="shared" si="46"/>
        <v>18093.921999999999</v>
      </c>
      <c r="DT55" s="63">
        <f t="shared" si="47"/>
        <v>1.0525354993491203</v>
      </c>
      <c r="DU55" s="63">
        <f t="shared" si="48"/>
        <v>1</v>
      </c>
      <c r="DV55" s="63" cm="1">
        <f t="array" ref="DV55">IF(OR(INDEX(FX_Vap,$KK55,DV$90)="Crude Oil",(INDEX(FX_Vap,$KL55,DV$90)="Crude Oil")),0.75,1)</f>
        <v>1</v>
      </c>
      <c r="DW55" s="63">
        <f t="shared" si="113"/>
        <v>1</v>
      </c>
      <c r="DX55" s="63">
        <f t="shared" si="49"/>
        <v>3.1486523948234595</v>
      </c>
      <c r="DY55" s="64">
        <f t="shared" si="50"/>
        <v>3.1486523948234595</v>
      </c>
      <c r="DZ55" s="80" t="str" cm="1">
        <f t="array" ref="DZ55">IF(ISBLANK(INDEX(FX_Input,$KB55+1,DZ$85)),INDEX(FX_Input,$KB55,DZ$85),INDEX(FX_Input,$KB55,DZ$85)&amp;" &amp; "&amp;INDEX(FX_Input,$KB55+1,DZ$85))</f>
        <v>Jet kerosene</v>
      </c>
      <c r="EA55" s="63" cm="1">
        <f t="array" ref="EA55">INDEX(FX_Temps,$KC55+7,EA$89)</f>
        <v>0</v>
      </c>
      <c r="EB55" s="63" cm="1">
        <f t="array" ref="EB55">INDEX(FX_Temps,$KC55+13,EB$89)+459.6</f>
        <v>520.04999999999995</v>
      </c>
      <c r="EC55" s="63" cm="1">
        <f t="array" ref="EC55">INDEX(FX_Vap,$KG55,EC$91)-INDEX(FX_Vap,$KH55,EC$91)</f>
        <v>0</v>
      </c>
      <c r="ED55" s="73" cm="1">
        <f t="array" ref="ED55">IF(DZ55="Out of Service",0,INDEX(FX_Vap,$KI55,ED$91))</f>
        <v>8.3358107202842254E-3</v>
      </c>
      <c r="EE55" s="63">
        <f t="shared" si="51"/>
        <v>0</v>
      </c>
      <c r="EF55" s="63">
        <f t="shared" si="52"/>
        <v>0.99113291967043815</v>
      </c>
      <c r="EG55" s="63" cm="1">
        <f t="array" ref="EG55">INDEX(FX_Vap,$KJ55,EG$91)</f>
        <v>130</v>
      </c>
      <c r="EH55" s="63" cm="1">
        <f t="array" ref="EH55">INDEX(FX_Temps,$KD55,EH$89)+459.6</f>
        <v>520.04999999999995</v>
      </c>
      <c r="EI55" s="63">
        <f t="shared" si="53"/>
        <v>1.9418062801892895E-4</v>
      </c>
      <c r="EJ55" s="63" cm="1">
        <f t="array" ref="EJ55">INDEX(Month_Ref,EJ$83,3)*EE55*(PI()/4*$F55^2)*$H55*EF55*EI55</f>
        <v>0</v>
      </c>
      <c r="EK55" s="63" cm="1">
        <f t="array" ref="EK55">INDEX(FX_Input,$KB55,EK$85)</f>
        <v>3223</v>
      </c>
      <c r="EL55" s="63">
        <f t="shared" si="54"/>
        <v>18093.921999999999</v>
      </c>
      <c r="EM55" s="63">
        <f t="shared" si="55"/>
        <v>1.0525354993491203</v>
      </c>
      <c r="EN55" s="63">
        <f t="shared" si="56"/>
        <v>1</v>
      </c>
      <c r="EO55" s="63" cm="1">
        <f t="array" ref="EO55">IF(OR(INDEX(FX_Vap,$KK55,EO$90)="Crude Oil",(INDEX(FX_Vap,$KL55,EO$90)="Crude Oil")),0.75,1)</f>
        <v>1</v>
      </c>
      <c r="EP55" s="63">
        <f t="shared" si="114"/>
        <v>1</v>
      </c>
      <c r="EQ55" s="63">
        <f t="shared" si="57"/>
        <v>3.5134891372855148</v>
      </c>
      <c r="ER55" s="64">
        <f t="shared" si="58"/>
        <v>3.5134891372855148</v>
      </c>
      <c r="ES55" s="80" t="str" cm="1">
        <f t="array" ref="ES55">IF(ISBLANK(INDEX(FX_Input,$KB55+1,ES$85)),INDEX(FX_Input,$KB55,ES$85),INDEX(FX_Input,$KB55,ES$85)&amp;" &amp; "&amp;INDEX(FX_Input,$KB55+1,ES$85))</f>
        <v>Jet kerosene</v>
      </c>
      <c r="ET55" s="63" cm="1">
        <f t="array" ref="ET55">INDEX(FX_Temps,$KC55+7,ET$89)</f>
        <v>0</v>
      </c>
      <c r="EU55" s="63" cm="1">
        <f t="array" ref="EU55">INDEX(FX_Temps,$KC55+13,EU$89)+459.6</f>
        <v>520.5</v>
      </c>
      <c r="EV55" s="63" cm="1">
        <f t="array" ref="EV55">INDEX(FX_Vap,$KG55,EV$91)-INDEX(FX_Vap,$KH55,EV$91)</f>
        <v>0</v>
      </c>
      <c r="EW55" s="73" cm="1">
        <f t="array" ref="EW55">IF(ES55="Out of Service",0,INDEX(FX_Vap,$KI55,EW$91))</f>
        <v>8.4605262729351115E-3</v>
      </c>
      <c r="EX55" s="63">
        <f t="shared" si="59"/>
        <v>0</v>
      </c>
      <c r="EY55" s="63">
        <f t="shared" si="60"/>
        <v>0.9910014493554502</v>
      </c>
      <c r="EZ55" s="63" cm="1">
        <f t="array" ref="EZ55">INDEX(FX_Vap,$KJ55,EZ$91)</f>
        <v>130</v>
      </c>
      <c r="FA55" s="63" cm="1">
        <f t="array" ref="FA55">INDEX(FX_Temps,$KD55,FA$89)+459.6</f>
        <v>520.5</v>
      </c>
      <c r="FB55" s="63">
        <f t="shared" si="61"/>
        <v>1.969154544366044E-4</v>
      </c>
      <c r="FC55" s="63" cm="1">
        <f t="array" ref="FC55">INDEX(Month_Ref,FC$83,3)*EX55*(PI()/4*$F55^2)*$H55*EY55*FB55</f>
        <v>0</v>
      </c>
      <c r="FD55" s="63" cm="1">
        <f t="array" ref="FD55">INDEX(FX_Input,$KB55,FD$85)</f>
        <v>3223</v>
      </c>
      <c r="FE55" s="63">
        <f t="shared" si="62"/>
        <v>18093.921999999999</v>
      </c>
      <c r="FF55" s="63">
        <f t="shared" si="63"/>
        <v>1.0525354993491203</v>
      </c>
      <c r="FG55" s="63">
        <f t="shared" si="64"/>
        <v>1</v>
      </c>
      <c r="FH55" s="63" cm="1">
        <f t="array" ref="FH55">IF(OR(INDEX(FX_Vap,$KK55,FH$90)="Crude Oil",(INDEX(FX_Vap,$KL55,FH$90)="Crude Oil")),0.75,1)</f>
        <v>1</v>
      </c>
      <c r="FI55" s="63">
        <f t="shared" si="115"/>
        <v>1</v>
      </c>
      <c r="FJ55" s="63">
        <f t="shared" si="65"/>
        <v>3.562972873170474</v>
      </c>
      <c r="FK55" s="64">
        <f t="shared" si="66"/>
        <v>3.562972873170474</v>
      </c>
      <c r="FL55" s="80" t="str" cm="1">
        <f t="array" ref="FL55">IF(ISBLANK(INDEX(FX_Input,$KB55+1,FL$85)),INDEX(FX_Input,$KB55,FL$85),INDEX(FX_Input,$KB55,FL$85)&amp;" &amp; "&amp;INDEX(FX_Input,$KB55+1,FL$85))</f>
        <v>Jet kerosene</v>
      </c>
      <c r="FM55" s="63" cm="1">
        <f t="array" ref="FM55">INDEX(FX_Temps,$KC55+7,FM$89)</f>
        <v>0</v>
      </c>
      <c r="FN55" s="63" cm="1">
        <f t="array" ref="FN55">INDEX(FX_Temps,$KC55+13,FN$89)+459.6</f>
        <v>518.20000000000005</v>
      </c>
      <c r="FO55" s="63" cm="1">
        <f t="array" ref="FO55">INDEX(FX_Vap,$KG55,FO$91)-INDEX(FX_Vap,$KH55,FO$91)</f>
        <v>0</v>
      </c>
      <c r="FP55" s="73" cm="1">
        <f t="array" ref="FP55">IF(FL55="Out of Service",0,INDEX(FX_Vap,$KI55,FP$91))</f>
        <v>7.8399882233967533E-3</v>
      </c>
      <c r="FQ55" s="63">
        <f t="shared" si="67"/>
        <v>0</v>
      </c>
      <c r="FR55" s="63">
        <f t="shared" si="68"/>
        <v>0.9916559417760098</v>
      </c>
      <c r="FS55" s="63" cm="1">
        <f t="array" ref="FS55">INDEX(FX_Vap,$KJ55,FS$91)</f>
        <v>130</v>
      </c>
      <c r="FT55" s="63" cm="1">
        <f t="array" ref="FT55">INDEX(FX_Temps,$KD55,FT$89)+459.6</f>
        <v>518.20000000000005</v>
      </c>
      <c r="FU55" s="63">
        <f t="shared" si="69"/>
        <v>1.8328256712249962E-4</v>
      </c>
      <c r="FV55" s="63" cm="1">
        <f t="array" ref="FV55">INDEX(Month_Ref,FV$83,3)*FQ55*(PI()/4*$F55^2)*$H55*FR55*FU55</f>
        <v>0</v>
      </c>
      <c r="FW55" s="63" cm="1">
        <f t="array" ref="FW55">INDEX(FX_Input,$KB55,FW$85)</f>
        <v>3223</v>
      </c>
      <c r="FX55" s="63">
        <f t="shared" si="70"/>
        <v>18093.921999999999</v>
      </c>
      <c r="FY55" s="63">
        <f t="shared" si="71"/>
        <v>1.0525354993491203</v>
      </c>
      <c r="FZ55" s="63">
        <f t="shared" si="72"/>
        <v>1</v>
      </c>
      <c r="GA55" s="63" cm="1">
        <f t="array" ref="GA55">IF(OR(INDEX(FX_Vap,$KK55,GA$90)="Crude Oil",(INDEX(FX_Vap,$KL55,GA$90)="Crude Oil")),0.75,1)</f>
        <v>1</v>
      </c>
      <c r="GB55" s="63">
        <f t="shared" si="116"/>
        <v>1</v>
      </c>
      <c r="GC55" s="63">
        <f t="shared" si="73"/>
        <v>3.3163004734742723</v>
      </c>
      <c r="GD55" s="64">
        <f t="shared" si="74"/>
        <v>3.3163004734742723</v>
      </c>
      <c r="GE55" s="80" t="str" cm="1">
        <f t="array" ref="GE55">IF(ISBLANK(INDEX(FX_Input,$KB55+1,GE$85)),INDEX(FX_Input,$KB55,GE$85),INDEX(FX_Input,$KB55,GE$85)&amp;" &amp; "&amp;INDEX(FX_Input,$KB55+1,GE$85))</f>
        <v>Jet kerosene</v>
      </c>
      <c r="GF55" s="63" cm="1">
        <f t="array" ref="GF55">INDEX(FX_Temps,$KC55+7,GF$89)</f>
        <v>0</v>
      </c>
      <c r="GG55" s="63" cm="1">
        <f t="array" ref="GG55">INDEX(FX_Temps,$KC55+13,GG$89)+459.6</f>
        <v>512.25</v>
      </c>
      <c r="GH55" s="63" cm="1">
        <f t="array" ref="GH55">INDEX(FX_Vap,$KG55,GH$91)-INDEX(FX_Vap,$KH55,GH$91)</f>
        <v>0</v>
      </c>
      <c r="GI55" s="73" cm="1">
        <f t="array" ref="GI55">IF(GE55="Out of Service",0,INDEX(FX_Vap,$KI55,GI$91))</f>
        <v>6.4173462075160911E-3</v>
      </c>
      <c r="GJ55" s="63">
        <f t="shared" si="75"/>
        <v>0</v>
      </c>
      <c r="GK55" s="63">
        <f t="shared" si="76"/>
        <v>0.99315969521300818</v>
      </c>
      <c r="GL55" s="63" cm="1">
        <f t="array" ref="GL55">INDEX(FX_Vap,$KJ55,GL$91)</f>
        <v>130</v>
      </c>
      <c r="GM55" s="63" cm="1">
        <f t="array" ref="GM55">INDEX(FX_Temps,$KD55,GM$89)+459.6</f>
        <v>512.25</v>
      </c>
      <c r="GN55" s="63">
        <f t="shared" si="77"/>
        <v>1.5176675903637226E-4</v>
      </c>
      <c r="GO55" s="63" cm="1">
        <f t="array" ref="GO55">INDEX(Month_Ref,GO$83,3)*GJ55*(PI()/4*$F55^2)*$H55*GK55*GN55</f>
        <v>0</v>
      </c>
      <c r="GP55" s="63" cm="1">
        <f t="array" ref="GP55">INDEX(FX_Input,$KB55,GP$85)</f>
        <v>3223</v>
      </c>
      <c r="GQ55" s="63">
        <f t="shared" si="78"/>
        <v>18093.921999999999</v>
      </c>
      <c r="GR55" s="63">
        <f t="shared" si="79"/>
        <v>1.0525354993491203</v>
      </c>
      <c r="GS55" s="63">
        <f t="shared" si="80"/>
        <v>1</v>
      </c>
      <c r="GT55" s="63" cm="1">
        <f t="array" ref="GT55">IF(OR(INDEX(FX_Vap,$KK55,GT$90)="Crude Oil",(INDEX(FX_Vap,$KL55,GT$90)="Crude Oil")),0.75,1)</f>
        <v>1</v>
      </c>
      <c r="GU55" s="63">
        <f t="shared" si="117"/>
        <v>1</v>
      </c>
      <c r="GV55" s="63">
        <f t="shared" si="81"/>
        <v>2.7460559001969145</v>
      </c>
      <c r="GW55" s="64">
        <f t="shared" si="82"/>
        <v>2.7460559001969145</v>
      </c>
      <c r="GX55" s="80" t="str" cm="1">
        <f t="array" ref="GX55">IF(ISBLANK(INDEX(FX_Input,$KB55+1,GX$85)),INDEX(FX_Input,$KB55,GX$85),INDEX(FX_Input,$KB55,GX$85)&amp;" &amp; "&amp;INDEX(FX_Input,$KB55+1,GX$85))</f>
        <v>Jet kerosene</v>
      </c>
      <c r="GY55" s="63" cm="1">
        <f t="array" ref="GY55">INDEX(FX_Temps,$KC55+7,GY$89)</f>
        <v>0</v>
      </c>
      <c r="GZ55" s="63" cm="1">
        <f t="array" ref="GZ55">INDEX(FX_Temps,$KC55+13,GZ$89)+459.6</f>
        <v>506.70000000000005</v>
      </c>
      <c r="HA55" s="63" cm="1">
        <f t="array" ref="HA55">INDEX(FX_Vap,$KG55,HA$91)-INDEX(FX_Vap,$KH55,HA$91)</f>
        <v>0</v>
      </c>
      <c r="HB55" s="73" cm="1">
        <f t="array" ref="HB55">IF(GX55="Out of Service",0,INDEX(FX_Vap,$KI55,HB$91))</f>
        <v>5.3015226887581056E-3</v>
      </c>
      <c r="HC55" s="63">
        <f t="shared" si="83"/>
        <v>0</v>
      </c>
      <c r="HD55" s="63">
        <f t="shared" si="84"/>
        <v>0.99434233210814094</v>
      </c>
      <c r="HE55" s="63" cm="1">
        <f t="array" ref="HE55">INDEX(FX_Vap,$KJ55,HE$91)</f>
        <v>130</v>
      </c>
      <c r="HF55" s="63" cm="1">
        <f t="array" ref="HF55">INDEX(FX_Temps,$KD55,HF$89)+459.6</f>
        <v>506.70000000000005</v>
      </c>
      <c r="HG55" s="63">
        <f t="shared" si="85"/>
        <v>1.2675143286623188E-4</v>
      </c>
      <c r="HH55" s="63" cm="1">
        <f t="array" ref="HH55">INDEX(Month_Ref,HH$83,3)*HC55*(PI()/4*$F55^2)*$H55*HD55*HG55</f>
        <v>0</v>
      </c>
      <c r="HI55" s="63" cm="1">
        <f t="array" ref="HI55">INDEX(FX_Input,$KB55,HI$85)</f>
        <v>3223</v>
      </c>
      <c r="HJ55" s="63">
        <f t="shared" si="86"/>
        <v>18093.921999999999</v>
      </c>
      <c r="HK55" s="63">
        <f t="shared" si="87"/>
        <v>1.0525354993491203</v>
      </c>
      <c r="HL55" s="63">
        <f t="shared" si="88"/>
        <v>1</v>
      </c>
      <c r="HM55" s="63" cm="1">
        <f t="array" ref="HM55">IF(OR(INDEX(FX_Vap,$KK55,HM$90)="Crude Oil",(INDEX(FX_Vap,$KL55,HM$90)="Crude Oil")),0.75,1)</f>
        <v>1</v>
      </c>
      <c r="HN55" s="63">
        <f t="shared" si="118"/>
        <v>1</v>
      </c>
      <c r="HO55" s="63">
        <f t="shared" si="89"/>
        <v>2.2934305396698358</v>
      </c>
      <c r="HP55" s="64">
        <f t="shared" si="90"/>
        <v>2.2934305396698358</v>
      </c>
      <c r="HQ55" s="80" t="str" cm="1">
        <f t="array" ref="HQ55">IF(ISBLANK(INDEX(FX_Input,$KB55+1,HQ$85)),INDEX(FX_Input,$KB55,HQ$85),INDEX(FX_Input,$KB55,HQ$85)&amp;" &amp; "&amp;INDEX(FX_Input,$KB55+1,HQ$85))</f>
        <v>Jet kerosene</v>
      </c>
      <c r="HR55" s="63" cm="1">
        <f t="array" ref="HR55">INDEX(FX_Temps,$KC55+7,HR$89)</f>
        <v>0</v>
      </c>
      <c r="HS55" s="63" cm="1">
        <f t="array" ref="HS55">INDEX(FX_Temps,$KC55+13,HS$89)+459.6</f>
        <v>503.20000000000005</v>
      </c>
      <c r="HT55" s="63" cm="1">
        <f t="array" ref="HT55">INDEX(FX_Vap,$KG55,HT$91)-INDEX(FX_Vap,$KH55,HT$91)</f>
        <v>0</v>
      </c>
      <c r="HU55" s="73" cm="1">
        <f t="array" ref="HU55">IF(HQ55="Out of Service",0,INDEX(FX_Vap,$KI55,HU$91))</f>
        <v>4.68970903600947E-3</v>
      </c>
      <c r="HV55" s="63">
        <f t="shared" si="91"/>
        <v>0</v>
      </c>
      <c r="HW55" s="63">
        <f t="shared" si="92"/>
        <v>0.99499197631327974</v>
      </c>
      <c r="HX55" s="63" cm="1">
        <f t="array" ref="HX55">INDEX(FX_Vap,$KJ55,HX$91)</f>
        <v>130</v>
      </c>
      <c r="HY55" s="63" cm="1">
        <f t="array" ref="HY55">INDEX(FX_Temps,$KD55,HY$89)+459.6</f>
        <v>503.20000000000005</v>
      </c>
      <c r="HZ55" s="63">
        <f t="shared" si="93"/>
        <v>1.1290376474196325E-4</v>
      </c>
      <c r="IA55" s="63" cm="1">
        <f t="array" ref="IA55">INDEX(Month_Ref,IA$83,3)*HV55*(PI()/4*$F55^2)*$H55*HW55*HZ55</f>
        <v>0</v>
      </c>
      <c r="IB55" s="63" cm="1">
        <f t="array" ref="IB55">INDEX(FX_Input,$KB55,IB$85)</f>
        <v>3223</v>
      </c>
      <c r="IC55" s="63">
        <f t="shared" si="94"/>
        <v>18093.921999999999</v>
      </c>
      <c r="ID55" s="63">
        <f t="shared" si="95"/>
        <v>1.0525354993491203</v>
      </c>
      <c r="IE55" s="63">
        <f t="shared" si="96"/>
        <v>1</v>
      </c>
      <c r="IF55" s="63" cm="1">
        <f t="array" ref="IF55">IF(OR(INDEX(FX_Vap,$KK55,IF$90)="Crude Oil",(INDEX(FX_Vap,$KL55,IF$90)="Crude Oil")),0.75,1)</f>
        <v>1</v>
      </c>
      <c r="IG55" s="63">
        <f t="shared" si="119"/>
        <v>1</v>
      </c>
      <c r="IH55" s="63">
        <f t="shared" si="97"/>
        <v>2.0428719127474331</v>
      </c>
      <c r="II55" s="64">
        <f t="shared" si="98"/>
        <v>2.0428719127474331</v>
      </c>
      <c r="IJ55" s="80">
        <f t="shared" si="99"/>
        <v>0</v>
      </c>
      <c r="IK55" s="63">
        <f t="shared" si="100"/>
        <v>0</v>
      </c>
      <c r="IL55" s="63">
        <f t="shared" si="101"/>
        <v>32.22449663495965</v>
      </c>
      <c r="IM55" s="63">
        <f t="shared" si="102"/>
        <v>1.6112248317479826E-2</v>
      </c>
      <c r="IN55" s="63">
        <f t="shared" si="103"/>
        <v>32.22449663495965</v>
      </c>
      <c r="IO55" s="64">
        <f t="shared" si="104"/>
        <v>1.6112248317479826E-2</v>
      </c>
      <c r="KB55" s="43">
        <f t="shared" si="120"/>
        <v>89</v>
      </c>
      <c r="KC55" s="43">
        <f t="shared" si="121"/>
        <v>617</v>
      </c>
      <c r="KD55" s="43">
        <f t="shared" si="122"/>
        <v>630</v>
      </c>
      <c r="KE55" s="43">
        <f t="shared" si="123"/>
        <v>617</v>
      </c>
      <c r="KF55" s="43">
        <f t="shared" si="124"/>
        <v>1497</v>
      </c>
      <c r="KG55" s="43">
        <f t="shared" si="125"/>
        <v>1520</v>
      </c>
      <c r="KH55" s="43">
        <f t="shared" si="126"/>
        <v>1515</v>
      </c>
      <c r="KI55" s="43">
        <f t="shared" si="126"/>
        <v>1525</v>
      </c>
      <c r="KJ55" s="43">
        <f t="shared" si="126"/>
        <v>1530</v>
      </c>
      <c r="KK55" s="43">
        <f t="shared" si="127"/>
        <v>1501</v>
      </c>
      <c r="KL55" s="43">
        <f t="shared" si="128"/>
        <v>1503</v>
      </c>
    </row>
    <row r="56" spans="2:298" x14ac:dyDescent="0.4">
      <c r="B56" s="43" t="str" cm="1">
        <f t="array" ref="B56">INDEX(FX_Input,$KB56,B$85)</f>
        <v>FX - 46</v>
      </c>
      <c r="C56" s="93" t="str" cm="1">
        <f t="array" ref="C56">INDEX(FX_Input,$KB56,C$85)</f>
        <v>FIXTANK 174</v>
      </c>
      <c r="D56" s="80">
        <f t="shared" si="129"/>
        <v>9160.8841778678361</v>
      </c>
      <c r="E56" s="63" cm="1">
        <f t="array" ref="E56">IF(ISBLANK(INDEX(FX_Input,$KB56,$E$85)),0.03,INDEX(FX_Input,$KB56,$E$85))-IF(ISBLANK(INDEX(FX_Input,$KB56,$E$86)),-0.03,INDEX(FX_Input,$KB56,$E$86))</f>
        <v>0.06</v>
      </c>
      <c r="F56" s="63" cm="1">
        <f t="array" ref="F56">IF(INDEX(FX_Input,$KB56,F$85)="Vertical",INDEX(FX_Input,$KB56,F$86),SQRT((INDEX(FX_Input,$KB56,F$86)*INDEX(FX_Input,$KB56,F$87))/(PI()/4)))</f>
        <v>24</v>
      </c>
      <c r="G56" s="63" cm="1">
        <f t="array" ref="G56">IF(INDEX(FX_Input,$KB56,G$85)="Vertical",INDEX(FX_Input,$KB56,G$86),INDEX(FX_Input,$KB56,G$87)*PI()/4)</f>
        <v>40</v>
      </c>
      <c r="H56" s="63" cm="1">
        <f t="array" ref="H56">IF(INDEX(FX_Input,$KB56,H$85)="Vertical",G56-G56/2+J56,G56/2)</f>
        <v>20.25</v>
      </c>
      <c r="I56" s="63" cm="1">
        <f t="array" ref="I56">IF(INDEX(FX_Input,$KB56,F$85)="Horizontal","N/A",IF(INDEX(FX_Input,$KB56,I$86)="Cone",IF(ISBLANK(INDEX(FX_Input,$KB56,I$87)),0.0625,INDEX(FX_Input,$KB56,I$87))*F56/2,F56/2-SQRT((F56/2)^2-(INDEX(FX_Input,$KB56,I$88)^2))))</f>
        <v>0.75</v>
      </c>
      <c r="J56" s="63" cm="1">
        <f t="array" ref="J56">IF(INDEX(FX_Input,$KB56,J$85)="Horizontal","N/A",IF(INDEX(FX_Input,$KB56,J$86)="Cone",I56/3,I56*(1/2+(1/6)*(I56/(F56/2))^2)))</f>
        <v>0.25</v>
      </c>
      <c r="K56" s="63">
        <f t="shared" si="130"/>
        <v>39</v>
      </c>
      <c r="L56" s="63">
        <v>1</v>
      </c>
      <c r="M56" s="63" t="str" cm="1">
        <f t="array" ref="M56">INDEX(Tbl_71_6,MATCH(INDEX(FX_Input,$KB56,M$85),Paint_Color,0),VLOOKUP(INDEX(FX_Input,$KB56,M$86),Paint_Cond_Column,2,FALSE))</f>
        <v>N/A</v>
      </c>
      <c r="N56" s="63" t="str" cm="1">
        <f t="array" ref="N56">INDEX(Tbl_71_6,MATCH(INDEX(FX_Input,$KB56,N$85),Paint_Color,0),VLOOKUP(INDEX(FX_Input,$KB56,N$86),Paint_Cond_Column,2,FALSE))</f>
        <v>N/A</v>
      </c>
      <c r="O56" s="64" t="str">
        <f t="shared" si="2"/>
        <v>Insulated</v>
      </c>
      <c r="P56" s="80" t="str" cm="1">
        <f t="array" ref="P56">IF(ISBLANK(INDEX(FX_Input,$KB56+1,P$85)),INDEX(FX_Input,$KB56,P$85),INDEX(FX_Input,$KB56,P$85)&amp;" &amp; "&amp;INDEX(FX_Input,$KB56+1,P$85))</f>
        <v>Jet kerosene</v>
      </c>
      <c r="Q56" s="63" cm="1">
        <f t="array" ref="Q56">INDEX(FX_Temps,$KC56+7,Q$89)</f>
        <v>0</v>
      </c>
      <c r="R56" s="63" cm="1">
        <f t="array" ref="R56">INDEX(FX_Temps,$KC56+13,R$89)+459.6</f>
        <v>503.5</v>
      </c>
      <c r="S56" s="63" cm="1">
        <f t="array" ref="S56">INDEX(FX_Vap,$KG56,S$91)-INDEX(FX_Vap,$KH56,S$91)</f>
        <v>0</v>
      </c>
      <c r="T56" s="73" cm="1">
        <f t="array" ref="T56">IF(P56="Out of Service",0,INDEX(FX_Vap,$KI56,T$91))</f>
        <v>4.739577185808354E-3</v>
      </c>
      <c r="U56" s="63">
        <f t="shared" si="3"/>
        <v>0</v>
      </c>
      <c r="V56" s="63">
        <f t="shared" si="4"/>
        <v>0.99493899286949972</v>
      </c>
      <c r="W56" s="63" cm="1">
        <f t="array" ref="W56">INDEX(FX_Vap,$KJ56,W$91)</f>
        <v>130</v>
      </c>
      <c r="X56" s="63" cm="1">
        <f t="array" ref="X56">INDEX(FX_Temps,$KD56,X$89)+459.6</f>
        <v>503.5</v>
      </c>
      <c r="Y56" s="63">
        <f t="shared" si="5"/>
        <v>1.1403634333314844E-4</v>
      </c>
      <c r="Z56" s="63" cm="1">
        <f t="array" ref="Z56">INDEX(Month_Ref,Z$83,3)*U56*(PI()/4*$F56^2)*$H56*V56*Y56</f>
        <v>0</v>
      </c>
      <c r="AA56" s="63" cm="1">
        <f t="array" ref="AA56">INDEX(FX_Input,$KB56,AA$85)</f>
        <v>3223</v>
      </c>
      <c r="AB56" s="63">
        <f t="shared" si="6"/>
        <v>18093.921999999999</v>
      </c>
      <c r="AC56" s="63">
        <f t="shared" si="7"/>
        <v>1.0525354993491203</v>
      </c>
      <c r="AD56" s="63">
        <f t="shared" si="8"/>
        <v>1</v>
      </c>
      <c r="AE56" s="63" cm="1">
        <f t="array" ref="AE56">IF(OR(INDEX(FX_Vap,$KK56,AE$90)="Crude Oil",(INDEX(FX_Vap,$KL56,AE$90)="Crude Oil")),0.75,1)</f>
        <v>1</v>
      </c>
      <c r="AF56" s="63">
        <f t="shared" si="108"/>
        <v>1</v>
      </c>
      <c r="AG56" s="63">
        <f t="shared" si="9"/>
        <v>2.0633647014352077</v>
      </c>
      <c r="AH56" s="64">
        <f t="shared" si="10"/>
        <v>2.0633647014352077</v>
      </c>
      <c r="AI56" s="80" t="str" cm="1">
        <f t="array" ref="AI56">IF(ISBLANK(INDEX(FX_Input,$KB56+1,AI$85)),INDEX(FX_Input,$KB56,AI$85),INDEX(FX_Input,$KB56,AI$85)&amp;" &amp; "&amp;INDEX(FX_Input,$KB56+1,AI$85))</f>
        <v>Jet kerosene</v>
      </c>
      <c r="AJ56" s="63" cm="1">
        <f t="array" ref="AJ56">INDEX(FX_Temps,$KC56+7,AJ$89)</f>
        <v>0</v>
      </c>
      <c r="AK56" s="63" cm="1">
        <f t="array" ref="AK56">INDEX(FX_Temps,$KC56+13,AK$89)+459.6</f>
        <v>504.30000000000007</v>
      </c>
      <c r="AL56" s="63" cm="1">
        <f t="array" ref="AL56">INDEX(FX_Vap,$KG56,AL$91)-INDEX(FX_Vap,$KH56,AL$91)</f>
        <v>0</v>
      </c>
      <c r="AM56" s="73" cm="1">
        <f t="array" ref="AM56">IF(AI56="Out of Service",0,INDEX(FX_Vap,$KI56,AM$91))</f>
        <v>4.8748667780818778E-3</v>
      </c>
      <c r="AN56" s="63">
        <f t="shared" si="11"/>
        <v>0</v>
      </c>
      <c r="AO56" s="63">
        <f t="shared" si="12"/>
        <v>0.99479528006887274</v>
      </c>
      <c r="AP56" s="63" cm="1">
        <f t="array" ref="AP56">INDEX(FX_Vap,$KJ56,AP$91)</f>
        <v>130</v>
      </c>
      <c r="AQ56" s="63" cm="1">
        <f t="array" ref="AQ56">INDEX(FX_Temps,$KD56,AQ$89)+459.6</f>
        <v>504.30000000000007</v>
      </c>
      <c r="AR56" s="63">
        <f t="shared" si="13"/>
        <v>1.1710540514572422E-4</v>
      </c>
      <c r="AS56" s="63" cm="1">
        <f t="array" ref="AS56">INDEX(Month_Ref,AS$83,3)*AN56*(PI()/4*$F56^2)*$H56*AO56*AR56</f>
        <v>0</v>
      </c>
      <c r="AT56" s="63" cm="1">
        <f t="array" ref="AT56">INDEX(FX_Input,$KB56,AT$85)</f>
        <v>3223</v>
      </c>
      <c r="AU56" s="63">
        <f t="shared" si="14"/>
        <v>18093.921999999999</v>
      </c>
      <c r="AV56" s="63">
        <f t="shared" si="15"/>
        <v>1.0525354993491203</v>
      </c>
      <c r="AW56" s="63">
        <f t="shared" si="16"/>
        <v>1</v>
      </c>
      <c r="AX56" s="63" cm="1">
        <f t="array" ref="AX56">IF(OR(INDEX(FX_Vap,$KK56,AX$90)="Crude Oil",(INDEX(FX_Vap,$KL56,AX$90)="Crude Oil")),0.75,1)</f>
        <v>1</v>
      </c>
      <c r="AY56" s="63">
        <f t="shared" si="109"/>
        <v>1</v>
      </c>
      <c r="AZ56" s="63">
        <f t="shared" si="17"/>
        <v>2.1188960664851324</v>
      </c>
      <c r="BA56" s="64">
        <f t="shared" si="18"/>
        <v>2.1188960664851324</v>
      </c>
      <c r="BB56" s="80" t="str" cm="1">
        <f t="array" ref="BB56">IF(ISBLANK(INDEX(FX_Input,$KB56+1,BB$85)),INDEX(FX_Input,$KB56,BB$85),INDEX(FX_Input,$KB56,BB$85)&amp;" &amp; "&amp;INDEX(FX_Input,$KB56+1,BB$85))</f>
        <v>Jet kerosene</v>
      </c>
      <c r="BC56" s="63" cm="1">
        <f t="array" ref="BC56">INDEX(FX_Temps,$KC56+7,BC$89)</f>
        <v>0</v>
      </c>
      <c r="BD56" s="63" cm="1">
        <f t="array" ref="BD56">INDEX(FX_Temps,$KC56+13,BD$89)+459.6</f>
        <v>505.70000000000005</v>
      </c>
      <c r="BE56" s="63" cm="1">
        <f t="array" ref="BE56">INDEX(FX_Vap,$KG56,BE$91)-INDEX(FX_Vap,$KH56,BE$91)</f>
        <v>0</v>
      </c>
      <c r="BF56" s="73" cm="1">
        <f t="array" ref="BF56">IF(BB56="Out of Service",0,INDEX(FX_Vap,$KI56,BF$91))</f>
        <v>5.119885034186122E-3</v>
      </c>
      <c r="BG56" s="63">
        <f t="shared" si="19"/>
        <v>0</v>
      </c>
      <c r="BH56" s="63">
        <f t="shared" si="20"/>
        <v>0.9945351124882359</v>
      </c>
      <c r="BI56" s="63" cm="1">
        <f t="array" ref="BI56">INDEX(FX_Vap,$KJ56,BI$91)</f>
        <v>130</v>
      </c>
      <c r="BJ56" s="63" cm="1">
        <f t="array" ref="BJ56">INDEX(FX_Temps,$KD56,BJ$89)+459.6</f>
        <v>505.70000000000005</v>
      </c>
      <c r="BK56" s="63">
        <f t="shared" si="21"/>
        <v>1.226508078051294E-4</v>
      </c>
      <c r="BL56" s="63" cm="1">
        <f t="array" ref="BL56">INDEX(Month_Ref,BL$83,3)*BG56*(PI()/4*$F56^2)*$H56*BH56*BK56</f>
        <v>0</v>
      </c>
      <c r="BM56" s="63" cm="1">
        <f t="array" ref="BM56">INDEX(FX_Input,$KB56,BM$85)</f>
        <v>3223</v>
      </c>
      <c r="BN56" s="63">
        <f t="shared" si="22"/>
        <v>18093.921999999999</v>
      </c>
      <c r="BO56" s="63">
        <f t="shared" si="23"/>
        <v>1.0525354993491203</v>
      </c>
      <c r="BP56" s="63">
        <f t="shared" si="24"/>
        <v>1</v>
      </c>
      <c r="BQ56" s="63" cm="1">
        <f t="array" ref="BQ56">IF(OR(INDEX(FX_Vap,$KK56,BQ$90)="Crude Oil",(INDEX(FX_Vap,$KL56,BQ$90)="Crude Oil")),0.75,1)</f>
        <v>1</v>
      </c>
      <c r="BR56" s="63">
        <f t="shared" si="110"/>
        <v>1</v>
      </c>
      <c r="BS56" s="63">
        <f t="shared" si="25"/>
        <v>2.2192341496630026</v>
      </c>
      <c r="BT56" s="64">
        <f t="shared" si="26"/>
        <v>2.2192341496630026</v>
      </c>
      <c r="BU56" s="80" t="str" cm="1">
        <f t="array" ref="BU56">IF(ISBLANK(INDEX(FX_Input,$KB56+1,BU$85)),INDEX(FX_Input,$KB56,BU$85),INDEX(FX_Input,$KB56,BU$85)&amp;" &amp; "&amp;INDEX(FX_Input,$KB56+1,BU$85))</f>
        <v>Jet kerosene</v>
      </c>
      <c r="BV56" s="63" cm="1">
        <f t="array" ref="BV56">INDEX(FX_Temps,$KC56+7,BV$89)</f>
        <v>0</v>
      </c>
      <c r="BW56" s="63" cm="1">
        <f t="array" ref="BW56">INDEX(FX_Temps,$KC56+13,BW$89)+459.6</f>
        <v>508.2</v>
      </c>
      <c r="BX56" s="63" cm="1">
        <f t="array" ref="BX56">INDEX(FX_Vap,$KG56,BX$91)-INDEX(FX_Vap,$KH56,BX$91)</f>
        <v>0</v>
      </c>
      <c r="BY56" s="73" cm="1">
        <f t="array" ref="BY56">IF(BU56="Out of Service",0,INDEX(FX_Vap,$KI56,BY$91))</f>
        <v>5.5846958573521795E-3</v>
      </c>
      <c r="BZ56" s="63">
        <f t="shared" si="27"/>
        <v>0</v>
      </c>
      <c r="CA56" s="63">
        <f t="shared" si="28"/>
        <v>0.99404193646235772</v>
      </c>
      <c r="CB56" s="63" cm="1">
        <f t="array" ref="CB56">INDEX(FX_Vap,$KJ56,CB$91)</f>
        <v>130</v>
      </c>
      <c r="CC56" s="63" cm="1">
        <f t="array" ref="CC56">INDEX(FX_Temps,$KD56,CC$89)+459.6</f>
        <v>508.2</v>
      </c>
      <c r="CD56" s="63">
        <f t="shared" si="29"/>
        <v>1.3312757561120781E-4</v>
      </c>
      <c r="CE56" s="63" cm="1">
        <f t="array" ref="CE56">INDEX(Month_Ref,CE$83,3)*BZ56*(PI()/4*$F56^2)*$H56*CA56*CD56</f>
        <v>0</v>
      </c>
      <c r="CF56" s="63" cm="1">
        <f t="array" ref="CF56">INDEX(FX_Input,$KB56,CF$85)</f>
        <v>3223</v>
      </c>
      <c r="CG56" s="63">
        <f t="shared" si="30"/>
        <v>18093.921999999999</v>
      </c>
      <c r="CH56" s="63">
        <f t="shared" si="31"/>
        <v>1.0525354993491203</v>
      </c>
      <c r="CI56" s="63">
        <f t="shared" si="32"/>
        <v>1</v>
      </c>
      <c r="CJ56" s="63" cm="1">
        <f t="array" ref="CJ56">IF(OR(INDEX(FX_Vap,$KK56,CJ$90)="Crude Oil",(INDEX(FX_Vap,$KL56,CJ$90)="Crude Oil")),0.75,1)</f>
        <v>1</v>
      </c>
      <c r="CK56" s="63">
        <f t="shared" si="111"/>
        <v>1</v>
      </c>
      <c r="CL56" s="63">
        <f t="shared" si="33"/>
        <v>2.4087999691582964</v>
      </c>
      <c r="CM56" s="64">
        <f t="shared" si="34"/>
        <v>2.4087999691582964</v>
      </c>
      <c r="CN56" s="80" t="str" cm="1">
        <f t="array" ref="CN56">IF(ISBLANK(INDEX(FX_Input,$KB56+1,CN$85)),INDEX(FX_Input,$KB56,CN$85),INDEX(FX_Input,$KB56,CN$85)&amp;" &amp; "&amp;INDEX(FX_Input,$KB56+1,CN$85))</f>
        <v>Jet kerosene</v>
      </c>
      <c r="CO56" s="63" cm="1">
        <f t="array" ref="CO56">INDEX(FX_Temps,$KC56+7,CO$89)</f>
        <v>0</v>
      </c>
      <c r="CP56" s="63" cm="1">
        <f t="array" ref="CP56">INDEX(FX_Temps,$KC56+13,CP$89)+459.6</f>
        <v>512.75</v>
      </c>
      <c r="CQ56" s="63" cm="1">
        <f t="array" ref="CQ56">INDEX(FX_Vap,$KG56,CQ$91)-INDEX(FX_Vap,$KH56,CQ$91)</f>
        <v>0</v>
      </c>
      <c r="CR56" s="73" cm="1">
        <f t="array" ref="CR56">IF(CN56="Out of Service",0,INDEX(FX_Vap,$KI56,CR$91))</f>
        <v>6.5274070972739821E-3</v>
      </c>
      <c r="CS56" s="63">
        <f t="shared" si="35"/>
        <v>0</v>
      </c>
      <c r="CT56" s="63">
        <f t="shared" si="36"/>
        <v>0.99304319649575623</v>
      </c>
      <c r="CU56" s="63" cm="1">
        <f t="array" ref="CU56">INDEX(FX_Vap,$KJ56,CU$91)</f>
        <v>130</v>
      </c>
      <c r="CV56" s="63" cm="1">
        <f t="array" ref="CV56">INDEX(FX_Temps,$KD56,CV$89)+459.6</f>
        <v>512.75</v>
      </c>
      <c r="CW56" s="63">
        <f t="shared" si="37"/>
        <v>1.5421910831991609E-4</v>
      </c>
      <c r="CX56" s="63" cm="1">
        <f t="array" ref="CX56">INDEX(Month_Ref,CX$83,3)*CS56*(PI()/4*$F56^2)*$H56*CT56*CW56</f>
        <v>0</v>
      </c>
      <c r="CY56" s="63" cm="1">
        <f t="array" ref="CY56">INDEX(FX_Input,$KB56,CY$85)</f>
        <v>3223</v>
      </c>
      <c r="CZ56" s="63">
        <f t="shared" si="38"/>
        <v>18093.921999999999</v>
      </c>
      <c r="DA56" s="63">
        <f t="shared" si="39"/>
        <v>1.0525354993491203</v>
      </c>
      <c r="DB56" s="63">
        <f t="shared" si="40"/>
        <v>1</v>
      </c>
      <c r="DC56" s="63" cm="1">
        <f t="array" ref="DC56">IF(OR(INDEX(FX_Vap,$KK56,DC$90)="Crude Oil",(INDEX(FX_Vap,$KL56,DC$90)="Crude Oil")),0.75,1)</f>
        <v>1</v>
      </c>
      <c r="DD56" s="63">
        <f t="shared" si="112"/>
        <v>1</v>
      </c>
      <c r="DE56" s="63">
        <f t="shared" si="41"/>
        <v>2.7904285168501124</v>
      </c>
      <c r="DF56" s="64">
        <f t="shared" si="42"/>
        <v>2.7904285168501124</v>
      </c>
      <c r="DG56" s="80" t="str" cm="1">
        <f t="array" ref="DG56">IF(ISBLANK(INDEX(FX_Input,$KB56+1,DG$85)),INDEX(FX_Input,$KB56,DG$85),INDEX(FX_Input,$KB56,DG$85)&amp;" &amp; "&amp;INDEX(FX_Input,$KB56+1,DG$85))</f>
        <v>Jet kerosene</v>
      </c>
      <c r="DH56" s="63" cm="1">
        <f t="array" ref="DH56">INDEX(FX_Temps,$KC56+7,DH$89)</f>
        <v>0</v>
      </c>
      <c r="DI56" s="63" cm="1">
        <f t="array" ref="DI56">INDEX(FX_Temps,$KC56+13,DI$89)+459.6</f>
        <v>516.55000000000007</v>
      </c>
      <c r="DJ56" s="63" cm="1">
        <f t="array" ref="DJ56">INDEX(FX_Vap,$KG56,DJ$91)-INDEX(FX_Vap,$KH56,DJ$91)</f>
        <v>0</v>
      </c>
      <c r="DK56" s="73" cm="1">
        <f t="array" ref="DK56">IF(DG56="Out of Service",0,INDEX(FX_Vap,$KI56,DK$91))</f>
        <v>7.4199539958878279E-3</v>
      </c>
      <c r="DL56" s="63">
        <f t="shared" si="43"/>
        <v>0</v>
      </c>
      <c r="DM56" s="63">
        <f t="shared" si="44"/>
        <v>0.99209945013122069</v>
      </c>
      <c r="DN56" s="63" cm="1">
        <f t="array" ref="DN56">INDEX(FX_Vap,$KJ56,DN$91)</f>
        <v>130</v>
      </c>
      <c r="DO56" s="63" cm="1">
        <f t="array" ref="DO56">INDEX(FX_Temps,$KD56,DO$89)+459.6</f>
        <v>516.55000000000007</v>
      </c>
      <c r="DP56" s="63">
        <f t="shared" si="45"/>
        <v>1.7401713099147103E-4</v>
      </c>
      <c r="DQ56" s="63" cm="1">
        <f t="array" ref="DQ56">INDEX(Month_Ref,DQ$83,3)*DL56*(PI()/4*$F56^2)*$H56*DM56*DP56</f>
        <v>0</v>
      </c>
      <c r="DR56" s="63" cm="1">
        <f t="array" ref="DR56">INDEX(FX_Input,$KB56,DR$85)</f>
        <v>3223</v>
      </c>
      <c r="DS56" s="63">
        <f t="shared" si="46"/>
        <v>18093.921999999999</v>
      </c>
      <c r="DT56" s="63">
        <f t="shared" si="47"/>
        <v>1.0525354993491203</v>
      </c>
      <c r="DU56" s="63">
        <f t="shared" si="48"/>
        <v>1</v>
      </c>
      <c r="DV56" s="63" cm="1">
        <f t="array" ref="DV56">IF(OR(INDEX(FX_Vap,$KK56,DV$90)="Crude Oil",(INDEX(FX_Vap,$KL56,DV$90)="Crude Oil")),0.75,1)</f>
        <v>1</v>
      </c>
      <c r="DW56" s="63">
        <f t="shared" si="113"/>
        <v>1</v>
      </c>
      <c r="DX56" s="63">
        <f t="shared" si="49"/>
        <v>3.1486523948234595</v>
      </c>
      <c r="DY56" s="64">
        <f t="shared" si="50"/>
        <v>3.1486523948234595</v>
      </c>
      <c r="DZ56" s="80" t="str" cm="1">
        <f t="array" ref="DZ56">IF(ISBLANK(INDEX(FX_Input,$KB56+1,DZ$85)),INDEX(FX_Input,$KB56,DZ$85),INDEX(FX_Input,$KB56,DZ$85)&amp;" &amp; "&amp;INDEX(FX_Input,$KB56+1,DZ$85))</f>
        <v>Jet kerosene</v>
      </c>
      <c r="EA56" s="63" cm="1">
        <f t="array" ref="EA56">INDEX(FX_Temps,$KC56+7,EA$89)</f>
        <v>0</v>
      </c>
      <c r="EB56" s="63" cm="1">
        <f t="array" ref="EB56">INDEX(FX_Temps,$KC56+13,EB$89)+459.6</f>
        <v>520.04999999999995</v>
      </c>
      <c r="EC56" s="63" cm="1">
        <f t="array" ref="EC56">INDEX(FX_Vap,$KG56,EC$91)-INDEX(FX_Vap,$KH56,EC$91)</f>
        <v>0</v>
      </c>
      <c r="ED56" s="73" cm="1">
        <f t="array" ref="ED56">IF(DZ56="Out of Service",0,INDEX(FX_Vap,$KI56,ED$91))</f>
        <v>8.3358107202842254E-3</v>
      </c>
      <c r="EE56" s="63">
        <f t="shared" si="51"/>
        <v>0</v>
      </c>
      <c r="EF56" s="63">
        <f t="shared" si="52"/>
        <v>0.99113291967043815</v>
      </c>
      <c r="EG56" s="63" cm="1">
        <f t="array" ref="EG56">INDEX(FX_Vap,$KJ56,EG$91)</f>
        <v>130</v>
      </c>
      <c r="EH56" s="63" cm="1">
        <f t="array" ref="EH56">INDEX(FX_Temps,$KD56,EH$89)+459.6</f>
        <v>520.04999999999995</v>
      </c>
      <c r="EI56" s="63">
        <f t="shared" si="53"/>
        <v>1.9418062801892895E-4</v>
      </c>
      <c r="EJ56" s="63" cm="1">
        <f t="array" ref="EJ56">INDEX(Month_Ref,EJ$83,3)*EE56*(PI()/4*$F56^2)*$H56*EF56*EI56</f>
        <v>0</v>
      </c>
      <c r="EK56" s="63" cm="1">
        <f t="array" ref="EK56">INDEX(FX_Input,$KB56,EK$85)</f>
        <v>3223</v>
      </c>
      <c r="EL56" s="63">
        <f t="shared" si="54"/>
        <v>18093.921999999999</v>
      </c>
      <c r="EM56" s="63">
        <f t="shared" si="55"/>
        <v>1.0525354993491203</v>
      </c>
      <c r="EN56" s="63">
        <f t="shared" si="56"/>
        <v>1</v>
      </c>
      <c r="EO56" s="63" cm="1">
        <f t="array" ref="EO56">IF(OR(INDEX(FX_Vap,$KK56,EO$90)="Crude Oil",(INDEX(FX_Vap,$KL56,EO$90)="Crude Oil")),0.75,1)</f>
        <v>1</v>
      </c>
      <c r="EP56" s="63">
        <f t="shared" si="114"/>
        <v>1</v>
      </c>
      <c r="EQ56" s="63">
        <f t="shared" si="57"/>
        <v>3.5134891372855148</v>
      </c>
      <c r="ER56" s="64">
        <f t="shared" si="58"/>
        <v>3.5134891372855148</v>
      </c>
      <c r="ES56" s="80" t="str" cm="1">
        <f t="array" ref="ES56">IF(ISBLANK(INDEX(FX_Input,$KB56+1,ES$85)),INDEX(FX_Input,$KB56,ES$85),INDEX(FX_Input,$KB56,ES$85)&amp;" &amp; "&amp;INDEX(FX_Input,$KB56+1,ES$85))</f>
        <v>Jet kerosene</v>
      </c>
      <c r="ET56" s="63" cm="1">
        <f t="array" ref="ET56">INDEX(FX_Temps,$KC56+7,ET$89)</f>
        <v>0</v>
      </c>
      <c r="EU56" s="63" cm="1">
        <f t="array" ref="EU56">INDEX(FX_Temps,$KC56+13,EU$89)+459.6</f>
        <v>520.5</v>
      </c>
      <c r="EV56" s="63" cm="1">
        <f t="array" ref="EV56">INDEX(FX_Vap,$KG56,EV$91)-INDEX(FX_Vap,$KH56,EV$91)</f>
        <v>0</v>
      </c>
      <c r="EW56" s="73" cm="1">
        <f t="array" ref="EW56">IF(ES56="Out of Service",0,INDEX(FX_Vap,$KI56,EW$91))</f>
        <v>8.4605262729351115E-3</v>
      </c>
      <c r="EX56" s="63">
        <f t="shared" si="59"/>
        <v>0</v>
      </c>
      <c r="EY56" s="63">
        <f t="shared" si="60"/>
        <v>0.9910014493554502</v>
      </c>
      <c r="EZ56" s="63" cm="1">
        <f t="array" ref="EZ56">INDEX(FX_Vap,$KJ56,EZ$91)</f>
        <v>130</v>
      </c>
      <c r="FA56" s="63" cm="1">
        <f t="array" ref="FA56">INDEX(FX_Temps,$KD56,FA$89)+459.6</f>
        <v>520.5</v>
      </c>
      <c r="FB56" s="63">
        <f t="shared" si="61"/>
        <v>1.969154544366044E-4</v>
      </c>
      <c r="FC56" s="63" cm="1">
        <f t="array" ref="FC56">INDEX(Month_Ref,FC$83,3)*EX56*(PI()/4*$F56^2)*$H56*EY56*FB56</f>
        <v>0</v>
      </c>
      <c r="FD56" s="63" cm="1">
        <f t="array" ref="FD56">INDEX(FX_Input,$KB56,FD$85)</f>
        <v>3223</v>
      </c>
      <c r="FE56" s="63">
        <f t="shared" si="62"/>
        <v>18093.921999999999</v>
      </c>
      <c r="FF56" s="63">
        <f t="shared" si="63"/>
        <v>1.0525354993491203</v>
      </c>
      <c r="FG56" s="63">
        <f t="shared" si="64"/>
        <v>1</v>
      </c>
      <c r="FH56" s="63" cm="1">
        <f t="array" ref="FH56">IF(OR(INDEX(FX_Vap,$KK56,FH$90)="Crude Oil",(INDEX(FX_Vap,$KL56,FH$90)="Crude Oil")),0.75,1)</f>
        <v>1</v>
      </c>
      <c r="FI56" s="63">
        <f t="shared" si="115"/>
        <v>1</v>
      </c>
      <c r="FJ56" s="63">
        <f t="shared" si="65"/>
        <v>3.562972873170474</v>
      </c>
      <c r="FK56" s="64">
        <f t="shared" si="66"/>
        <v>3.562972873170474</v>
      </c>
      <c r="FL56" s="80" t="str" cm="1">
        <f t="array" ref="FL56">IF(ISBLANK(INDEX(FX_Input,$KB56+1,FL$85)),INDEX(FX_Input,$KB56,FL$85),INDEX(FX_Input,$KB56,FL$85)&amp;" &amp; "&amp;INDEX(FX_Input,$KB56+1,FL$85))</f>
        <v>Jet kerosene</v>
      </c>
      <c r="FM56" s="63" cm="1">
        <f t="array" ref="FM56">INDEX(FX_Temps,$KC56+7,FM$89)</f>
        <v>0</v>
      </c>
      <c r="FN56" s="63" cm="1">
        <f t="array" ref="FN56">INDEX(FX_Temps,$KC56+13,FN$89)+459.6</f>
        <v>518.20000000000005</v>
      </c>
      <c r="FO56" s="63" cm="1">
        <f t="array" ref="FO56">INDEX(FX_Vap,$KG56,FO$91)-INDEX(FX_Vap,$KH56,FO$91)</f>
        <v>0</v>
      </c>
      <c r="FP56" s="73" cm="1">
        <f t="array" ref="FP56">IF(FL56="Out of Service",0,INDEX(FX_Vap,$KI56,FP$91))</f>
        <v>7.8399882233967533E-3</v>
      </c>
      <c r="FQ56" s="63">
        <f t="shared" si="67"/>
        <v>0</v>
      </c>
      <c r="FR56" s="63">
        <f t="shared" si="68"/>
        <v>0.9916559417760098</v>
      </c>
      <c r="FS56" s="63" cm="1">
        <f t="array" ref="FS56">INDEX(FX_Vap,$KJ56,FS$91)</f>
        <v>130</v>
      </c>
      <c r="FT56" s="63" cm="1">
        <f t="array" ref="FT56">INDEX(FX_Temps,$KD56,FT$89)+459.6</f>
        <v>518.20000000000005</v>
      </c>
      <c r="FU56" s="63">
        <f t="shared" si="69"/>
        <v>1.8328256712249962E-4</v>
      </c>
      <c r="FV56" s="63" cm="1">
        <f t="array" ref="FV56">INDEX(Month_Ref,FV$83,3)*FQ56*(PI()/4*$F56^2)*$H56*FR56*FU56</f>
        <v>0</v>
      </c>
      <c r="FW56" s="63" cm="1">
        <f t="array" ref="FW56">INDEX(FX_Input,$KB56,FW$85)</f>
        <v>3223</v>
      </c>
      <c r="FX56" s="63">
        <f t="shared" si="70"/>
        <v>18093.921999999999</v>
      </c>
      <c r="FY56" s="63">
        <f t="shared" si="71"/>
        <v>1.0525354993491203</v>
      </c>
      <c r="FZ56" s="63">
        <f t="shared" si="72"/>
        <v>1</v>
      </c>
      <c r="GA56" s="63" cm="1">
        <f t="array" ref="GA56">IF(OR(INDEX(FX_Vap,$KK56,GA$90)="Crude Oil",(INDEX(FX_Vap,$KL56,GA$90)="Crude Oil")),0.75,1)</f>
        <v>1</v>
      </c>
      <c r="GB56" s="63">
        <f t="shared" si="116"/>
        <v>1</v>
      </c>
      <c r="GC56" s="63">
        <f t="shared" si="73"/>
        <v>3.3163004734742723</v>
      </c>
      <c r="GD56" s="64">
        <f t="shared" si="74"/>
        <v>3.3163004734742723</v>
      </c>
      <c r="GE56" s="80" t="str" cm="1">
        <f t="array" ref="GE56">IF(ISBLANK(INDEX(FX_Input,$KB56+1,GE$85)),INDEX(FX_Input,$KB56,GE$85),INDEX(FX_Input,$KB56,GE$85)&amp;" &amp; "&amp;INDEX(FX_Input,$KB56+1,GE$85))</f>
        <v>Jet kerosene</v>
      </c>
      <c r="GF56" s="63" cm="1">
        <f t="array" ref="GF56">INDEX(FX_Temps,$KC56+7,GF$89)</f>
        <v>0</v>
      </c>
      <c r="GG56" s="63" cm="1">
        <f t="array" ref="GG56">INDEX(FX_Temps,$KC56+13,GG$89)+459.6</f>
        <v>512.25</v>
      </c>
      <c r="GH56" s="63" cm="1">
        <f t="array" ref="GH56">INDEX(FX_Vap,$KG56,GH$91)-INDEX(FX_Vap,$KH56,GH$91)</f>
        <v>0</v>
      </c>
      <c r="GI56" s="73" cm="1">
        <f t="array" ref="GI56">IF(GE56="Out of Service",0,INDEX(FX_Vap,$KI56,GI$91))</f>
        <v>6.4173462075160911E-3</v>
      </c>
      <c r="GJ56" s="63">
        <f t="shared" si="75"/>
        <v>0</v>
      </c>
      <c r="GK56" s="63">
        <f t="shared" si="76"/>
        <v>0.99315969521300818</v>
      </c>
      <c r="GL56" s="63" cm="1">
        <f t="array" ref="GL56">INDEX(FX_Vap,$KJ56,GL$91)</f>
        <v>130</v>
      </c>
      <c r="GM56" s="63" cm="1">
        <f t="array" ref="GM56">INDEX(FX_Temps,$KD56,GM$89)+459.6</f>
        <v>512.25</v>
      </c>
      <c r="GN56" s="63">
        <f t="shared" si="77"/>
        <v>1.5176675903637226E-4</v>
      </c>
      <c r="GO56" s="63" cm="1">
        <f t="array" ref="GO56">INDEX(Month_Ref,GO$83,3)*GJ56*(PI()/4*$F56^2)*$H56*GK56*GN56</f>
        <v>0</v>
      </c>
      <c r="GP56" s="63" cm="1">
        <f t="array" ref="GP56">INDEX(FX_Input,$KB56,GP$85)</f>
        <v>3223</v>
      </c>
      <c r="GQ56" s="63">
        <f t="shared" si="78"/>
        <v>18093.921999999999</v>
      </c>
      <c r="GR56" s="63">
        <f t="shared" si="79"/>
        <v>1.0525354993491203</v>
      </c>
      <c r="GS56" s="63">
        <f t="shared" si="80"/>
        <v>1</v>
      </c>
      <c r="GT56" s="63" cm="1">
        <f t="array" ref="GT56">IF(OR(INDEX(FX_Vap,$KK56,GT$90)="Crude Oil",(INDEX(FX_Vap,$KL56,GT$90)="Crude Oil")),0.75,1)</f>
        <v>1</v>
      </c>
      <c r="GU56" s="63">
        <f t="shared" si="117"/>
        <v>1</v>
      </c>
      <c r="GV56" s="63">
        <f t="shared" si="81"/>
        <v>2.7460559001969145</v>
      </c>
      <c r="GW56" s="64">
        <f t="shared" si="82"/>
        <v>2.7460559001969145</v>
      </c>
      <c r="GX56" s="80" t="str" cm="1">
        <f t="array" ref="GX56">IF(ISBLANK(INDEX(FX_Input,$KB56+1,GX$85)),INDEX(FX_Input,$KB56,GX$85),INDEX(FX_Input,$KB56,GX$85)&amp;" &amp; "&amp;INDEX(FX_Input,$KB56+1,GX$85))</f>
        <v>Jet kerosene</v>
      </c>
      <c r="GY56" s="63" cm="1">
        <f t="array" ref="GY56">INDEX(FX_Temps,$KC56+7,GY$89)</f>
        <v>0</v>
      </c>
      <c r="GZ56" s="63" cm="1">
        <f t="array" ref="GZ56">INDEX(FX_Temps,$KC56+13,GZ$89)+459.6</f>
        <v>506.70000000000005</v>
      </c>
      <c r="HA56" s="63" cm="1">
        <f t="array" ref="HA56">INDEX(FX_Vap,$KG56,HA$91)-INDEX(FX_Vap,$KH56,HA$91)</f>
        <v>0</v>
      </c>
      <c r="HB56" s="73" cm="1">
        <f t="array" ref="HB56">IF(GX56="Out of Service",0,INDEX(FX_Vap,$KI56,HB$91))</f>
        <v>5.3015226887581056E-3</v>
      </c>
      <c r="HC56" s="63">
        <f t="shared" si="83"/>
        <v>0</v>
      </c>
      <c r="HD56" s="63">
        <f t="shared" si="84"/>
        <v>0.99434233210814094</v>
      </c>
      <c r="HE56" s="63" cm="1">
        <f t="array" ref="HE56">INDEX(FX_Vap,$KJ56,HE$91)</f>
        <v>130</v>
      </c>
      <c r="HF56" s="63" cm="1">
        <f t="array" ref="HF56">INDEX(FX_Temps,$KD56,HF$89)+459.6</f>
        <v>506.70000000000005</v>
      </c>
      <c r="HG56" s="63">
        <f t="shared" si="85"/>
        <v>1.2675143286623188E-4</v>
      </c>
      <c r="HH56" s="63" cm="1">
        <f t="array" ref="HH56">INDEX(Month_Ref,HH$83,3)*HC56*(PI()/4*$F56^2)*$H56*HD56*HG56</f>
        <v>0</v>
      </c>
      <c r="HI56" s="63" cm="1">
        <f t="array" ref="HI56">INDEX(FX_Input,$KB56,HI$85)</f>
        <v>3223</v>
      </c>
      <c r="HJ56" s="63">
        <f t="shared" si="86"/>
        <v>18093.921999999999</v>
      </c>
      <c r="HK56" s="63">
        <f t="shared" si="87"/>
        <v>1.0525354993491203</v>
      </c>
      <c r="HL56" s="63">
        <f t="shared" si="88"/>
        <v>1</v>
      </c>
      <c r="HM56" s="63" cm="1">
        <f t="array" ref="HM56">IF(OR(INDEX(FX_Vap,$KK56,HM$90)="Crude Oil",(INDEX(FX_Vap,$KL56,HM$90)="Crude Oil")),0.75,1)</f>
        <v>1</v>
      </c>
      <c r="HN56" s="63">
        <f t="shared" si="118"/>
        <v>1</v>
      </c>
      <c r="HO56" s="63">
        <f t="shared" si="89"/>
        <v>2.2934305396698358</v>
      </c>
      <c r="HP56" s="64">
        <f t="shared" si="90"/>
        <v>2.2934305396698358</v>
      </c>
      <c r="HQ56" s="80" t="str" cm="1">
        <f t="array" ref="HQ56">IF(ISBLANK(INDEX(FX_Input,$KB56+1,HQ$85)),INDEX(FX_Input,$KB56,HQ$85),INDEX(FX_Input,$KB56,HQ$85)&amp;" &amp; "&amp;INDEX(FX_Input,$KB56+1,HQ$85))</f>
        <v>Jet kerosene</v>
      </c>
      <c r="HR56" s="63" cm="1">
        <f t="array" ref="HR56">INDEX(FX_Temps,$KC56+7,HR$89)</f>
        <v>0</v>
      </c>
      <c r="HS56" s="63" cm="1">
        <f t="array" ref="HS56">INDEX(FX_Temps,$KC56+13,HS$89)+459.6</f>
        <v>503.20000000000005</v>
      </c>
      <c r="HT56" s="63" cm="1">
        <f t="array" ref="HT56">INDEX(FX_Vap,$KG56,HT$91)-INDEX(FX_Vap,$KH56,HT$91)</f>
        <v>0</v>
      </c>
      <c r="HU56" s="73" cm="1">
        <f t="array" ref="HU56">IF(HQ56="Out of Service",0,INDEX(FX_Vap,$KI56,HU$91))</f>
        <v>4.68970903600947E-3</v>
      </c>
      <c r="HV56" s="63">
        <f t="shared" si="91"/>
        <v>0</v>
      </c>
      <c r="HW56" s="63">
        <f t="shared" si="92"/>
        <v>0.99499197631327974</v>
      </c>
      <c r="HX56" s="63" cm="1">
        <f t="array" ref="HX56">INDEX(FX_Vap,$KJ56,HX$91)</f>
        <v>130</v>
      </c>
      <c r="HY56" s="63" cm="1">
        <f t="array" ref="HY56">INDEX(FX_Temps,$KD56,HY$89)+459.6</f>
        <v>503.20000000000005</v>
      </c>
      <c r="HZ56" s="63">
        <f t="shared" si="93"/>
        <v>1.1290376474196325E-4</v>
      </c>
      <c r="IA56" s="63" cm="1">
        <f t="array" ref="IA56">INDEX(Month_Ref,IA$83,3)*HV56*(PI()/4*$F56^2)*$H56*HW56*HZ56</f>
        <v>0</v>
      </c>
      <c r="IB56" s="63" cm="1">
        <f t="array" ref="IB56">INDEX(FX_Input,$KB56,IB$85)</f>
        <v>3223</v>
      </c>
      <c r="IC56" s="63">
        <f t="shared" si="94"/>
        <v>18093.921999999999</v>
      </c>
      <c r="ID56" s="63">
        <f t="shared" si="95"/>
        <v>1.0525354993491203</v>
      </c>
      <c r="IE56" s="63">
        <f t="shared" si="96"/>
        <v>1</v>
      </c>
      <c r="IF56" s="63" cm="1">
        <f t="array" ref="IF56">IF(OR(INDEX(FX_Vap,$KK56,IF$90)="Crude Oil",(INDEX(FX_Vap,$KL56,IF$90)="Crude Oil")),0.75,1)</f>
        <v>1</v>
      </c>
      <c r="IG56" s="63">
        <f t="shared" si="119"/>
        <v>1</v>
      </c>
      <c r="IH56" s="63">
        <f t="shared" si="97"/>
        <v>2.0428719127474331</v>
      </c>
      <c r="II56" s="64">
        <f t="shared" si="98"/>
        <v>2.0428719127474331</v>
      </c>
      <c r="IJ56" s="80">
        <f t="shared" si="99"/>
        <v>0</v>
      </c>
      <c r="IK56" s="63">
        <f t="shared" si="100"/>
        <v>0</v>
      </c>
      <c r="IL56" s="63">
        <f t="shared" si="101"/>
        <v>32.22449663495965</v>
      </c>
      <c r="IM56" s="63">
        <f t="shared" si="102"/>
        <v>1.6112248317479826E-2</v>
      </c>
      <c r="IN56" s="63">
        <f t="shared" si="103"/>
        <v>32.22449663495965</v>
      </c>
      <c r="IO56" s="64">
        <f t="shared" si="104"/>
        <v>1.6112248317479826E-2</v>
      </c>
      <c r="KB56" s="43">
        <f t="shared" si="120"/>
        <v>91</v>
      </c>
      <c r="KC56" s="43">
        <f t="shared" si="121"/>
        <v>631</v>
      </c>
      <c r="KD56" s="43">
        <f t="shared" si="122"/>
        <v>644</v>
      </c>
      <c r="KE56" s="43">
        <f t="shared" si="123"/>
        <v>631</v>
      </c>
      <c r="KF56" s="43">
        <f t="shared" si="124"/>
        <v>1531</v>
      </c>
      <c r="KG56" s="43">
        <f t="shared" si="125"/>
        <v>1554</v>
      </c>
      <c r="KH56" s="43">
        <f t="shared" si="126"/>
        <v>1549</v>
      </c>
      <c r="KI56" s="43">
        <f t="shared" si="126"/>
        <v>1559</v>
      </c>
      <c r="KJ56" s="43">
        <f t="shared" si="126"/>
        <v>1564</v>
      </c>
      <c r="KK56" s="43">
        <f t="shared" si="127"/>
        <v>1535</v>
      </c>
      <c r="KL56" s="43">
        <f t="shared" si="128"/>
        <v>1537</v>
      </c>
    </row>
    <row r="57" spans="2:298" x14ac:dyDescent="0.4">
      <c r="B57" s="43" t="str" cm="1">
        <f t="array" ref="B57">INDEX(FX_Input,$KB57,B$85)</f>
        <v>FX - 47</v>
      </c>
      <c r="C57" s="93" t="str" cm="1">
        <f t="array" ref="C57">INDEX(FX_Input,$KB57,C$85)</f>
        <v>FIXTANK 176</v>
      </c>
      <c r="D57" s="80">
        <f t="shared" si="129"/>
        <v>2810.866395721649</v>
      </c>
      <c r="E57" s="63" cm="1">
        <f t="array" ref="E57">IF(ISBLANK(INDEX(FX_Input,$KB57,$E$85)),0.03,INDEX(FX_Input,$KB57,$E$85))-IF(ISBLANK(INDEX(FX_Input,$KB57,$E$86)),-0.03,INDEX(FX_Input,$KB57,$E$86))</f>
        <v>0.06</v>
      </c>
      <c r="F57" s="63" cm="1">
        <f t="array" ref="F57">IF(INDEX(FX_Input,$KB57,F$85)="Vertical",INDEX(FX_Input,$KB57,F$86),SQRT((INDEX(FX_Input,$KB57,F$86)*INDEX(FX_Input,$KB57,F$87))/(PI()/4)))</f>
        <v>15</v>
      </c>
      <c r="G57" s="63" cm="1">
        <f t="array" ref="G57">IF(INDEX(FX_Input,$KB57,G$85)="Vertical",INDEX(FX_Input,$KB57,G$86),INDEX(FX_Input,$KB57,G$87)*PI()/4)</f>
        <v>31.5</v>
      </c>
      <c r="H57" s="63" cm="1">
        <f t="array" ref="H57">IF(INDEX(FX_Input,$KB57,H$85)="Vertical",G57-G57/2+J57,G57/2)</f>
        <v>15.90625</v>
      </c>
      <c r="I57" s="63" cm="1">
        <f t="array" ref="I57">IF(INDEX(FX_Input,$KB57,F$85)="Horizontal","N/A",IF(INDEX(FX_Input,$KB57,I$86)="Cone",IF(ISBLANK(INDEX(FX_Input,$KB57,I$87)),0.0625,INDEX(FX_Input,$KB57,I$87))*F57/2,F57/2-SQRT((F57/2)^2-(INDEX(FX_Input,$KB57,I$88)^2))))</f>
        <v>0.46875</v>
      </c>
      <c r="J57" s="63" cm="1">
        <f t="array" ref="J57">IF(INDEX(FX_Input,$KB57,J$85)="Horizontal","N/A",IF(INDEX(FX_Input,$KB57,J$86)="Cone",I57/3,I57*(1/2+(1/6)*(I57/(F57/2))^2)))</f>
        <v>0.15625</v>
      </c>
      <c r="K57" s="63">
        <f t="shared" si="130"/>
        <v>30.5</v>
      </c>
      <c r="L57" s="63">
        <v>1</v>
      </c>
      <c r="M57" s="63" t="str" cm="1">
        <f t="array" ref="M57">INDEX(Tbl_71_6,MATCH(INDEX(FX_Input,$KB57,M$85),Paint_Color,0),VLOOKUP(INDEX(FX_Input,$KB57,M$86),Paint_Cond_Column,2,FALSE))</f>
        <v>N/A</v>
      </c>
      <c r="N57" s="63" t="str" cm="1">
        <f t="array" ref="N57">INDEX(Tbl_71_6,MATCH(INDEX(FX_Input,$KB57,N$85),Paint_Color,0),VLOOKUP(INDEX(FX_Input,$KB57,N$86),Paint_Cond_Column,2,FALSE))</f>
        <v>N/A</v>
      </c>
      <c r="O57" s="64" t="str">
        <f t="shared" si="2"/>
        <v>Insulated</v>
      </c>
      <c r="P57" s="80" t="str" cm="1">
        <f t="array" ref="P57">IF(ISBLANK(INDEX(FX_Input,$KB57+1,P$85)),INDEX(FX_Input,$KB57,P$85),INDEX(FX_Input,$KB57,P$85)&amp;" &amp; "&amp;INDEX(FX_Input,$KB57+1,P$85))</f>
        <v>Out of Service</v>
      </c>
      <c r="Q57" s="63" cm="1">
        <f t="array" ref="Q57">INDEX(FX_Temps,$KC57+7,Q$89)</f>
        <v>0</v>
      </c>
      <c r="R57" s="63" cm="1">
        <f t="array" ref="R57">INDEX(FX_Temps,$KC57+13,R$89)+459.6</f>
        <v>503.5</v>
      </c>
      <c r="S57" s="63" cm="1">
        <f t="array" ref="S57">INDEX(FX_Vap,$KG57,S$91)-INDEX(FX_Vap,$KH57,S$91)</f>
        <v>0</v>
      </c>
      <c r="T57" s="73" cm="1">
        <f t="array" ref="T57">IF(P57="Out of Service",0,INDEX(FX_Vap,$KI57,T$91))</f>
        <v>0</v>
      </c>
      <c r="U57" s="63">
        <f t="shared" si="3"/>
        <v>0</v>
      </c>
      <c r="V57" s="63">
        <f t="shared" si="4"/>
        <v>1</v>
      </c>
      <c r="W57" s="63" cm="1">
        <f t="array" ref="W57">INDEX(FX_Vap,$KJ57,W$91)</f>
        <v>0</v>
      </c>
      <c r="X57" s="63" cm="1">
        <f t="array" ref="X57">INDEX(FX_Temps,$KD57,X$89)+459.6</f>
        <v>503.5</v>
      </c>
      <c r="Y57" s="63">
        <f t="shared" si="5"/>
        <v>0</v>
      </c>
      <c r="Z57" s="63" cm="1">
        <f t="array" ref="Z57">INDEX(Month_Ref,Z$83,3)*U57*(PI()/4*$F57^2)*$H57*V57*Y57</f>
        <v>0</v>
      </c>
      <c r="AA57" s="63" cm="1">
        <f t="array" ref="AA57">INDEX(FX_Input,$KB57,AA$85)</f>
        <v>0</v>
      </c>
      <c r="AB57" s="63">
        <f t="shared" si="6"/>
        <v>0</v>
      </c>
      <c r="AC57" s="63">
        <f t="shared" si="7"/>
        <v>0</v>
      </c>
      <c r="AD57" s="63">
        <f t="shared" si="8"/>
        <v>1</v>
      </c>
      <c r="AE57" s="63" cm="1">
        <f t="array" ref="AE57">IF(OR(INDEX(FX_Vap,$KK57,AE$90)="Crude Oil",(INDEX(FX_Vap,$KL57,AE$90)="Crude Oil")),0.75,1)</f>
        <v>1</v>
      </c>
      <c r="AF57" s="63">
        <f t="shared" si="108"/>
        <v>1</v>
      </c>
      <c r="AG57" s="63">
        <f t="shared" si="9"/>
        <v>0</v>
      </c>
      <c r="AH57" s="64">
        <f t="shared" si="10"/>
        <v>0</v>
      </c>
      <c r="AI57" s="80" t="str" cm="1">
        <f t="array" ref="AI57">IF(ISBLANK(INDEX(FX_Input,$KB57+1,AI$85)),INDEX(FX_Input,$KB57,AI$85),INDEX(FX_Input,$KB57,AI$85)&amp;" &amp; "&amp;INDEX(FX_Input,$KB57+1,AI$85))</f>
        <v>Out of Service</v>
      </c>
      <c r="AJ57" s="63" cm="1">
        <f t="array" ref="AJ57">INDEX(FX_Temps,$KC57+7,AJ$89)</f>
        <v>0</v>
      </c>
      <c r="AK57" s="63" cm="1">
        <f t="array" ref="AK57">INDEX(FX_Temps,$KC57+13,AK$89)+459.6</f>
        <v>504.30000000000007</v>
      </c>
      <c r="AL57" s="63" cm="1">
        <f t="array" ref="AL57">INDEX(FX_Vap,$KG57,AL$91)-INDEX(FX_Vap,$KH57,AL$91)</f>
        <v>0</v>
      </c>
      <c r="AM57" s="73" cm="1">
        <f t="array" ref="AM57">IF(AI57="Out of Service",0,INDEX(FX_Vap,$KI57,AM$91))</f>
        <v>0</v>
      </c>
      <c r="AN57" s="63">
        <f t="shared" si="11"/>
        <v>0</v>
      </c>
      <c r="AO57" s="63">
        <f t="shared" si="12"/>
        <v>1</v>
      </c>
      <c r="AP57" s="63" cm="1">
        <f t="array" ref="AP57">INDEX(FX_Vap,$KJ57,AP$91)</f>
        <v>0</v>
      </c>
      <c r="AQ57" s="63" cm="1">
        <f t="array" ref="AQ57">INDEX(FX_Temps,$KD57,AQ$89)+459.6</f>
        <v>504.30000000000007</v>
      </c>
      <c r="AR57" s="63">
        <f t="shared" si="13"/>
        <v>0</v>
      </c>
      <c r="AS57" s="63" cm="1">
        <f t="array" ref="AS57">INDEX(Month_Ref,AS$83,3)*AN57*(PI()/4*$F57^2)*$H57*AO57*AR57</f>
        <v>0</v>
      </c>
      <c r="AT57" s="63" cm="1">
        <f t="array" ref="AT57">INDEX(FX_Input,$KB57,AT$85)</f>
        <v>0</v>
      </c>
      <c r="AU57" s="63">
        <f t="shared" si="14"/>
        <v>0</v>
      </c>
      <c r="AV57" s="63">
        <f t="shared" si="15"/>
        <v>0</v>
      </c>
      <c r="AW57" s="63">
        <f t="shared" si="16"/>
        <v>1</v>
      </c>
      <c r="AX57" s="63" cm="1">
        <f t="array" ref="AX57">IF(OR(INDEX(FX_Vap,$KK57,AX$90)="Crude Oil",(INDEX(FX_Vap,$KL57,AX$90)="Crude Oil")),0.75,1)</f>
        <v>1</v>
      </c>
      <c r="AY57" s="63">
        <f t="shared" si="109"/>
        <v>1</v>
      </c>
      <c r="AZ57" s="63">
        <f t="shared" si="17"/>
        <v>0</v>
      </c>
      <c r="BA57" s="64">
        <f t="shared" si="18"/>
        <v>0</v>
      </c>
      <c r="BB57" s="80" t="str" cm="1">
        <f t="array" ref="BB57">IF(ISBLANK(INDEX(FX_Input,$KB57+1,BB$85)),INDEX(FX_Input,$KB57,BB$85),INDEX(FX_Input,$KB57,BB$85)&amp;" &amp; "&amp;INDEX(FX_Input,$KB57+1,BB$85))</f>
        <v>Out of Service</v>
      </c>
      <c r="BC57" s="63" cm="1">
        <f t="array" ref="BC57">INDEX(FX_Temps,$KC57+7,BC$89)</f>
        <v>0</v>
      </c>
      <c r="BD57" s="63" cm="1">
        <f t="array" ref="BD57">INDEX(FX_Temps,$KC57+13,BD$89)+459.6</f>
        <v>505.70000000000005</v>
      </c>
      <c r="BE57" s="63" cm="1">
        <f t="array" ref="BE57">INDEX(FX_Vap,$KG57,BE$91)-INDEX(FX_Vap,$KH57,BE$91)</f>
        <v>0</v>
      </c>
      <c r="BF57" s="73" cm="1">
        <f t="array" ref="BF57">IF(BB57="Out of Service",0,INDEX(FX_Vap,$KI57,BF$91))</f>
        <v>0</v>
      </c>
      <c r="BG57" s="63">
        <f t="shared" si="19"/>
        <v>0</v>
      </c>
      <c r="BH57" s="63">
        <f t="shared" si="20"/>
        <v>1</v>
      </c>
      <c r="BI57" s="63" cm="1">
        <f t="array" ref="BI57">INDEX(FX_Vap,$KJ57,BI$91)</f>
        <v>0</v>
      </c>
      <c r="BJ57" s="63" cm="1">
        <f t="array" ref="BJ57">INDEX(FX_Temps,$KD57,BJ$89)+459.6</f>
        <v>505.70000000000005</v>
      </c>
      <c r="BK57" s="63">
        <f t="shared" si="21"/>
        <v>0</v>
      </c>
      <c r="BL57" s="63" cm="1">
        <f t="array" ref="BL57">INDEX(Month_Ref,BL$83,3)*BG57*(PI()/4*$F57^2)*$H57*BH57*BK57</f>
        <v>0</v>
      </c>
      <c r="BM57" s="63" cm="1">
        <f t="array" ref="BM57">INDEX(FX_Input,$KB57,BM$85)</f>
        <v>0</v>
      </c>
      <c r="BN57" s="63">
        <f t="shared" si="22"/>
        <v>0</v>
      </c>
      <c r="BO57" s="63">
        <f t="shared" si="23"/>
        <v>0</v>
      </c>
      <c r="BP57" s="63">
        <f t="shared" si="24"/>
        <v>1</v>
      </c>
      <c r="BQ57" s="63" cm="1">
        <f t="array" ref="BQ57">IF(OR(INDEX(FX_Vap,$KK57,BQ$90)="Crude Oil",(INDEX(FX_Vap,$KL57,BQ$90)="Crude Oil")),0.75,1)</f>
        <v>1</v>
      </c>
      <c r="BR57" s="63">
        <f t="shared" si="110"/>
        <v>1</v>
      </c>
      <c r="BS57" s="63">
        <f t="shared" si="25"/>
        <v>0</v>
      </c>
      <c r="BT57" s="64">
        <f t="shared" si="26"/>
        <v>0</v>
      </c>
      <c r="BU57" s="80" t="str" cm="1">
        <f t="array" ref="BU57">IF(ISBLANK(INDEX(FX_Input,$KB57+1,BU$85)),INDEX(FX_Input,$KB57,BU$85),INDEX(FX_Input,$KB57,BU$85)&amp;" &amp; "&amp;INDEX(FX_Input,$KB57+1,BU$85))</f>
        <v>Out of Service</v>
      </c>
      <c r="BV57" s="63" cm="1">
        <f t="array" ref="BV57">INDEX(FX_Temps,$KC57+7,BV$89)</f>
        <v>0</v>
      </c>
      <c r="BW57" s="63" cm="1">
        <f t="array" ref="BW57">INDEX(FX_Temps,$KC57+13,BW$89)+459.6</f>
        <v>508.2</v>
      </c>
      <c r="BX57" s="63" cm="1">
        <f t="array" ref="BX57">INDEX(FX_Vap,$KG57,BX$91)-INDEX(FX_Vap,$KH57,BX$91)</f>
        <v>0</v>
      </c>
      <c r="BY57" s="73" cm="1">
        <f t="array" ref="BY57">IF(BU57="Out of Service",0,INDEX(FX_Vap,$KI57,BY$91))</f>
        <v>0</v>
      </c>
      <c r="BZ57" s="63">
        <f t="shared" si="27"/>
        <v>0</v>
      </c>
      <c r="CA57" s="63">
        <f t="shared" si="28"/>
        <v>1</v>
      </c>
      <c r="CB57" s="63" cm="1">
        <f t="array" ref="CB57">INDEX(FX_Vap,$KJ57,CB$91)</f>
        <v>0</v>
      </c>
      <c r="CC57" s="63" cm="1">
        <f t="array" ref="CC57">INDEX(FX_Temps,$KD57,CC$89)+459.6</f>
        <v>508.2</v>
      </c>
      <c r="CD57" s="63">
        <f t="shared" si="29"/>
        <v>0</v>
      </c>
      <c r="CE57" s="63" cm="1">
        <f t="array" ref="CE57">INDEX(Month_Ref,CE$83,3)*BZ57*(PI()/4*$F57^2)*$H57*CA57*CD57</f>
        <v>0</v>
      </c>
      <c r="CF57" s="63" cm="1">
        <f t="array" ref="CF57">INDEX(FX_Input,$KB57,CF$85)</f>
        <v>0</v>
      </c>
      <c r="CG57" s="63">
        <f t="shared" si="30"/>
        <v>0</v>
      </c>
      <c r="CH57" s="63">
        <f t="shared" si="31"/>
        <v>0</v>
      </c>
      <c r="CI57" s="63">
        <f t="shared" si="32"/>
        <v>1</v>
      </c>
      <c r="CJ57" s="63" cm="1">
        <f t="array" ref="CJ57">IF(OR(INDEX(FX_Vap,$KK57,CJ$90)="Crude Oil",(INDEX(FX_Vap,$KL57,CJ$90)="Crude Oil")),0.75,1)</f>
        <v>1</v>
      </c>
      <c r="CK57" s="63">
        <f t="shared" si="111"/>
        <v>1</v>
      </c>
      <c r="CL57" s="63">
        <f t="shared" si="33"/>
        <v>0</v>
      </c>
      <c r="CM57" s="64">
        <f t="shared" si="34"/>
        <v>0</v>
      </c>
      <c r="CN57" s="80" t="str" cm="1">
        <f t="array" ref="CN57">IF(ISBLANK(INDEX(FX_Input,$KB57+1,CN$85)),INDEX(FX_Input,$KB57,CN$85),INDEX(FX_Input,$KB57,CN$85)&amp;" &amp; "&amp;INDEX(FX_Input,$KB57+1,CN$85))</f>
        <v>Out of Service</v>
      </c>
      <c r="CO57" s="63" cm="1">
        <f t="array" ref="CO57">INDEX(FX_Temps,$KC57+7,CO$89)</f>
        <v>0</v>
      </c>
      <c r="CP57" s="63" cm="1">
        <f t="array" ref="CP57">INDEX(FX_Temps,$KC57+13,CP$89)+459.6</f>
        <v>512.75</v>
      </c>
      <c r="CQ57" s="63" cm="1">
        <f t="array" ref="CQ57">INDEX(FX_Vap,$KG57,CQ$91)-INDEX(FX_Vap,$KH57,CQ$91)</f>
        <v>0</v>
      </c>
      <c r="CR57" s="73" cm="1">
        <f t="array" ref="CR57">IF(CN57="Out of Service",0,INDEX(FX_Vap,$KI57,CR$91))</f>
        <v>0</v>
      </c>
      <c r="CS57" s="63">
        <f t="shared" si="35"/>
        <v>0</v>
      </c>
      <c r="CT57" s="63">
        <f t="shared" si="36"/>
        <v>1</v>
      </c>
      <c r="CU57" s="63" cm="1">
        <f t="array" ref="CU57">INDEX(FX_Vap,$KJ57,CU$91)</f>
        <v>0</v>
      </c>
      <c r="CV57" s="63" cm="1">
        <f t="array" ref="CV57">INDEX(FX_Temps,$KD57,CV$89)+459.6</f>
        <v>512.75</v>
      </c>
      <c r="CW57" s="63">
        <f t="shared" si="37"/>
        <v>0</v>
      </c>
      <c r="CX57" s="63" cm="1">
        <f t="array" ref="CX57">INDEX(Month_Ref,CX$83,3)*CS57*(PI()/4*$F57^2)*$H57*CT57*CW57</f>
        <v>0</v>
      </c>
      <c r="CY57" s="63" cm="1">
        <f t="array" ref="CY57">INDEX(FX_Input,$KB57,CY$85)</f>
        <v>0</v>
      </c>
      <c r="CZ57" s="63">
        <f t="shared" si="38"/>
        <v>0</v>
      </c>
      <c r="DA57" s="63">
        <f t="shared" si="39"/>
        <v>0</v>
      </c>
      <c r="DB57" s="63">
        <f t="shared" si="40"/>
        <v>1</v>
      </c>
      <c r="DC57" s="63" cm="1">
        <f t="array" ref="DC57">IF(OR(INDEX(FX_Vap,$KK57,DC$90)="Crude Oil",(INDEX(FX_Vap,$KL57,DC$90)="Crude Oil")),0.75,1)</f>
        <v>1</v>
      </c>
      <c r="DD57" s="63">
        <f t="shared" si="112"/>
        <v>1</v>
      </c>
      <c r="DE57" s="63">
        <f t="shared" si="41"/>
        <v>0</v>
      </c>
      <c r="DF57" s="64">
        <f t="shared" si="42"/>
        <v>0</v>
      </c>
      <c r="DG57" s="80" t="str" cm="1">
        <f t="array" ref="DG57">IF(ISBLANK(INDEX(FX_Input,$KB57+1,DG$85)),INDEX(FX_Input,$KB57,DG$85),INDEX(FX_Input,$KB57,DG$85)&amp;" &amp; "&amp;INDEX(FX_Input,$KB57+1,DG$85))</f>
        <v>Out of Service</v>
      </c>
      <c r="DH57" s="63" cm="1">
        <f t="array" ref="DH57">INDEX(FX_Temps,$KC57+7,DH$89)</f>
        <v>0</v>
      </c>
      <c r="DI57" s="63" cm="1">
        <f t="array" ref="DI57">INDEX(FX_Temps,$KC57+13,DI$89)+459.6</f>
        <v>516.55000000000007</v>
      </c>
      <c r="DJ57" s="63" cm="1">
        <f t="array" ref="DJ57">INDEX(FX_Vap,$KG57,DJ$91)-INDEX(FX_Vap,$KH57,DJ$91)</f>
        <v>0</v>
      </c>
      <c r="DK57" s="73" cm="1">
        <f t="array" ref="DK57">IF(DG57="Out of Service",0,INDEX(FX_Vap,$KI57,DK$91))</f>
        <v>0</v>
      </c>
      <c r="DL57" s="63">
        <f t="shared" si="43"/>
        <v>0</v>
      </c>
      <c r="DM57" s="63">
        <f t="shared" si="44"/>
        <v>1</v>
      </c>
      <c r="DN57" s="63" cm="1">
        <f t="array" ref="DN57">INDEX(FX_Vap,$KJ57,DN$91)</f>
        <v>0</v>
      </c>
      <c r="DO57" s="63" cm="1">
        <f t="array" ref="DO57">INDEX(FX_Temps,$KD57,DO$89)+459.6</f>
        <v>516.55000000000007</v>
      </c>
      <c r="DP57" s="63">
        <f t="shared" si="45"/>
        <v>0</v>
      </c>
      <c r="DQ57" s="63" cm="1">
        <f t="array" ref="DQ57">INDEX(Month_Ref,DQ$83,3)*DL57*(PI()/4*$F57^2)*$H57*DM57*DP57</f>
        <v>0</v>
      </c>
      <c r="DR57" s="63" cm="1">
        <f t="array" ref="DR57">INDEX(FX_Input,$KB57,DR$85)</f>
        <v>0</v>
      </c>
      <c r="DS57" s="63">
        <f t="shared" si="46"/>
        <v>0</v>
      </c>
      <c r="DT57" s="63">
        <f t="shared" si="47"/>
        <v>0</v>
      </c>
      <c r="DU57" s="63">
        <f t="shared" si="48"/>
        <v>1</v>
      </c>
      <c r="DV57" s="63" cm="1">
        <f t="array" ref="DV57">IF(OR(INDEX(FX_Vap,$KK57,DV$90)="Crude Oil",(INDEX(FX_Vap,$KL57,DV$90)="Crude Oil")),0.75,1)</f>
        <v>1</v>
      </c>
      <c r="DW57" s="63">
        <f t="shared" si="113"/>
        <v>1</v>
      </c>
      <c r="DX57" s="63">
        <f t="shared" si="49"/>
        <v>0</v>
      </c>
      <c r="DY57" s="64">
        <f t="shared" si="50"/>
        <v>0</v>
      </c>
      <c r="DZ57" s="80" t="str" cm="1">
        <f t="array" ref="DZ57">IF(ISBLANK(INDEX(FX_Input,$KB57+1,DZ$85)),INDEX(FX_Input,$KB57,DZ$85),INDEX(FX_Input,$KB57,DZ$85)&amp;" &amp; "&amp;INDEX(FX_Input,$KB57+1,DZ$85))</f>
        <v>Out of Service</v>
      </c>
      <c r="EA57" s="63" cm="1">
        <f t="array" ref="EA57">INDEX(FX_Temps,$KC57+7,EA$89)</f>
        <v>0</v>
      </c>
      <c r="EB57" s="63" cm="1">
        <f t="array" ref="EB57">INDEX(FX_Temps,$KC57+13,EB$89)+459.6</f>
        <v>520.04999999999995</v>
      </c>
      <c r="EC57" s="63" cm="1">
        <f t="array" ref="EC57">INDEX(FX_Vap,$KG57,EC$91)-INDEX(FX_Vap,$KH57,EC$91)</f>
        <v>0</v>
      </c>
      <c r="ED57" s="73" cm="1">
        <f t="array" ref="ED57">IF(DZ57="Out of Service",0,INDEX(FX_Vap,$KI57,ED$91))</f>
        <v>0</v>
      </c>
      <c r="EE57" s="63">
        <f t="shared" si="51"/>
        <v>0</v>
      </c>
      <c r="EF57" s="63">
        <f t="shared" si="52"/>
        <v>1</v>
      </c>
      <c r="EG57" s="63" cm="1">
        <f t="array" ref="EG57">INDEX(FX_Vap,$KJ57,EG$91)</f>
        <v>0</v>
      </c>
      <c r="EH57" s="63" cm="1">
        <f t="array" ref="EH57">INDEX(FX_Temps,$KD57,EH$89)+459.6</f>
        <v>520.04999999999995</v>
      </c>
      <c r="EI57" s="63">
        <f t="shared" si="53"/>
        <v>0</v>
      </c>
      <c r="EJ57" s="63" cm="1">
        <f t="array" ref="EJ57">INDEX(Month_Ref,EJ$83,3)*EE57*(PI()/4*$F57^2)*$H57*EF57*EI57</f>
        <v>0</v>
      </c>
      <c r="EK57" s="63" cm="1">
        <f t="array" ref="EK57">INDEX(FX_Input,$KB57,EK$85)</f>
        <v>0</v>
      </c>
      <c r="EL57" s="63">
        <f t="shared" si="54"/>
        <v>0</v>
      </c>
      <c r="EM57" s="63">
        <f t="shared" si="55"/>
        <v>0</v>
      </c>
      <c r="EN57" s="63">
        <f t="shared" si="56"/>
        <v>1</v>
      </c>
      <c r="EO57" s="63" cm="1">
        <f t="array" ref="EO57">IF(OR(INDEX(FX_Vap,$KK57,EO$90)="Crude Oil",(INDEX(FX_Vap,$KL57,EO$90)="Crude Oil")),0.75,1)</f>
        <v>1</v>
      </c>
      <c r="EP57" s="63">
        <f t="shared" si="114"/>
        <v>1</v>
      </c>
      <c r="EQ57" s="63">
        <f t="shared" si="57"/>
        <v>0</v>
      </c>
      <c r="ER57" s="64">
        <f t="shared" si="58"/>
        <v>0</v>
      </c>
      <c r="ES57" s="80" t="str" cm="1">
        <f t="array" ref="ES57">IF(ISBLANK(INDEX(FX_Input,$KB57+1,ES$85)),INDEX(FX_Input,$KB57,ES$85),INDEX(FX_Input,$KB57,ES$85)&amp;" &amp; "&amp;INDEX(FX_Input,$KB57+1,ES$85))</f>
        <v>Out of Service</v>
      </c>
      <c r="ET57" s="63" cm="1">
        <f t="array" ref="ET57">INDEX(FX_Temps,$KC57+7,ET$89)</f>
        <v>0</v>
      </c>
      <c r="EU57" s="63" cm="1">
        <f t="array" ref="EU57">INDEX(FX_Temps,$KC57+13,EU$89)+459.6</f>
        <v>520.5</v>
      </c>
      <c r="EV57" s="63" cm="1">
        <f t="array" ref="EV57">INDEX(FX_Vap,$KG57,EV$91)-INDEX(FX_Vap,$KH57,EV$91)</f>
        <v>0</v>
      </c>
      <c r="EW57" s="73" cm="1">
        <f t="array" ref="EW57">IF(ES57="Out of Service",0,INDEX(FX_Vap,$KI57,EW$91))</f>
        <v>0</v>
      </c>
      <c r="EX57" s="63">
        <f t="shared" si="59"/>
        <v>0</v>
      </c>
      <c r="EY57" s="63">
        <f t="shared" si="60"/>
        <v>1</v>
      </c>
      <c r="EZ57" s="63" cm="1">
        <f t="array" ref="EZ57">INDEX(FX_Vap,$KJ57,EZ$91)</f>
        <v>0</v>
      </c>
      <c r="FA57" s="63" cm="1">
        <f t="array" ref="FA57">INDEX(FX_Temps,$KD57,FA$89)+459.6</f>
        <v>520.5</v>
      </c>
      <c r="FB57" s="63">
        <f t="shared" si="61"/>
        <v>0</v>
      </c>
      <c r="FC57" s="63" cm="1">
        <f t="array" ref="FC57">INDEX(Month_Ref,FC$83,3)*EX57*(PI()/4*$F57^2)*$H57*EY57*FB57</f>
        <v>0</v>
      </c>
      <c r="FD57" s="63" cm="1">
        <f t="array" ref="FD57">INDEX(FX_Input,$KB57,FD$85)</f>
        <v>0</v>
      </c>
      <c r="FE57" s="63">
        <f t="shared" si="62"/>
        <v>0</v>
      </c>
      <c r="FF57" s="63">
        <f t="shared" si="63"/>
        <v>0</v>
      </c>
      <c r="FG57" s="63">
        <f t="shared" si="64"/>
        <v>1</v>
      </c>
      <c r="FH57" s="63" cm="1">
        <f t="array" ref="FH57">IF(OR(INDEX(FX_Vap,$KK57,FH$90)="Crude Oil",(INDEX(FX_Vap,$KL57,FH$90)="Crude Oil")),0.75,1)</f>
        <v>1</v>
      </c>
      <c r="FI57" s="63">
        <f t="shared" si="115"/>
        <v>1</v>
      </c>
      <c r="FJ57" s="63">
        <f t="shared" si="65"/>
        <v>0</v>
      </c>
      <c r="FK57" s="64">
        <f t="shared" si="66"/>
        <v>0</v>
      </c>
      <c r="FL57" s="80" t="str" cm="1">
        <f t="array" ref="FL57">IF(ISBLANK(INDEX(FX_Input,$KB57+1,FL$85)),INDEX(FX_Input,$KB57,FL$85),INDEX(FX_Input,$KB57,FL$85)&amp;" &amp; "&amp;INDEX(FX_Input,$KB57+1,FL$85))</f>
        <v>Out of Service</v>
      </c>
      <c r="FM57" s="63" cm="1">
        <f t="array" ref="FM57">INDEX(FX_Temps,$KC57+7,FM$89)</f>
        <v>0</v>
      </c>
      <c r="FN57" s="63" cm="1">
        <f t="array" ref="FN57">INDEX(FX_Temps,$KC57+13,FN$89)+459.6</f>
        <v>518.20000000000005</v>
      </c>
      <c r="FO57" s="63" cm="1">
        <f t="array" ref="FO57">INDEX(FX_Vap,$KG57,FO$91)-INDEX(FX_Vap,$KH57,FO$91)</f>
        <v>0</v>
      </c>
      <c r="FP57" s="73" cm="1">
        <f t="array" ref="FP57">IF(FL57="Out of Service",0,INDEX(FX_Vap,$KI57,FP$91))</f>
        <v>0</v>
      </c>
      <c r="FQ57" s="63">
        <f t="shared" si="67"/>
        <v>0</v>
      </c>
      <c r="FR57" s="63">
        <f t="shared" si="68"/>
        <v>1</v>
      </c>
      <c r="FS57" s="63" cm="1">
        <f t="array" ref="FS57">INDEX(FX_Vap,$KJ57,FS$91)</f>
        <v>0</v>
      </c>
      <c r="FT57" s="63" cm="1">
        <f t="array" ref="FT57">INDEX(FX_Temps,$KD57,FT$89)+459.6</f>
        <v>518.20000000000005</v>
      </c>
      <c r="FU57" s="63">
        <f t="shared" si="69"/>
        <v>0</v>
      </c>
      <c r="FV57" s="63" cm="1">
        <f t="array" ref="FV57">INDEX(Month_Ref,FV$83,3)*FQ57*(PI()/4*$F57^2)*$H57*FR57*FU57</f>
        <v>0</v>
      </c>
      <c r="FW57" s="63" cm="1">
        <f t="array" ref="FW57">INDEX(FX_Input,$KB57,FW$85)</f>
        <v>0</v>
      </c>
      <c r="FX57" s="63">
        <f t="shared" si="70"/>
        <v>0</v>
      </c>
      <c r="FY57" s="63">
        <f t="shared" si="71"/>
        <v>0</v>
      </c>
      <c r="FZ57" s="63">
        <f t="shared" si="72"/>
        <v>1</v>
      </c>
      <c r="GA57" s="63" cm="1">
        <f t="array" ref="GA57">IF(OR(INDEX(FX_Vap,$KK57,GA$90)="Crude Oil",(INDEX(FX_Vap,$KL57,GA$90)="Crude Oil")),0.75,1)</f>
        <v>1</v>
      </c>
      <c r="GB57" s="63">
        <f t="shared" si="116"/>
        <v>1</v>
      </c>
      <c r="GC57" s="63">
        <f t="shared" si="73"/>
        <v>0</v>
      </c>
      <c r="GD57" s="64">
        <f t="shared" si="74"/>
        <v>0</v>
      </c>
      <c r="GE57" s="80" t="str" cm="1">
        <f t="array" ref="GE57">IF(ISBLANK(INDEX(FX_Input,$KB57+1,GE$85)),INDEX(FX_Input,$KB57,GE$85),INDEX(FX_Input,$KB57,GE$85)&amp;" &amp; "&amp;INDEX(FX_Input,$KB57+1,GE$85))</f>
        <v>Out of Service</v>
      </c>
      <c r="GF57" s="63" cm="1">
        <f t="array" ref="GF57">INDEX(FX_Temps,$KC57+7,GF$89)</f>
        <v>0</v>
      </c>
      <c r="GG57" s="63" cm="1">
        <f t="array" ref="GG57">INDEX(FX_Temps,$KC57+13,GG$89)+459.6</f>
        <v>512.25</v>
      </c>
      <c r="GH57" s="63" cm="1">
        <f t="array" ref="GH57">INDEX(FX_Vap,$KG57,GH$91)-INDEX(FX_Vap,$KH57,GH$91)</f>
        <v>0</v>
      </c>
      <c r="GI57" s="73" cm="1">
        <f t="array" ref="GI57">IF(GE57="Out of Service",0,INDEX(FX_Vap,$KI57,GI$91))</f>
        <v>0</v>
      </c>
      <c r="GJ57" s="63">
        <f t="shared" si="75"/>
        <v>0</v>
      </c>
      <c r="GK57" s="63">
        <f t="shared" si="76"/>
        <v>1</v>
      </c>
      <c r="GL57" s="63" cm="1">
        <f t="array" ref="GL57">INDEX(FX_Vap,$KJ57,GL$91)</f>
        <v>0</v>
      </c>
      <c r="GM57" s="63" cm="1">
        <f t="array" ref="GM57">INDEX(FX_Temps,$KD57,GM$89)+459.6</f>
        <v>512.25</v>
      </c>
      <c r="GN57" s="63">
        <f t="shared" si="77"/>
        <v>0</v>
      </c>
      <c r="GO57" s="63" cm="1">
        <f t="array" ref="GO57">INDEX(Month_Ref,GO$83,3)*GJ57*(PI()/4*$F57^2)*$H57*GK57*GN57</f>
        <v>0</v>
      </c>
      <c r="GP57" s="63" cm="1">
        <f t="array" ref="GP57">INDEX(FX_Input,$KB57,GP$85)</f>
        <v>0</v>
      </c>
      <c r="GQ57" s="63">
        <f t="shared" si="78"/>
        <v>0</v>
      </c>
      <c r="GR57" s="63">
        <f t="shared" si="79"/>
        <v>0</v>
      </c>
      <c r="GS57" s="63">
        <f t="shared" si="80"/>
        <v>1</v>
      </c>
      <c r="GT57" s="63" cm="1">
        <f t="array" ref="GT57">IF(OR(INDEX(FX_Vap,$KK57,GT$90)="Crude Oil",(INDEX(FX_Vap,$KL57,GT$90)="Crude Oil")),0.75,1)</f>
        <v>1</v>
      </c>
      <c r="GU57" s="63">
        <f t="shared" si="117"/>
        <v>1</v>
      </c>
      <c r="GV57" s="63">
        <f t="shared" si="81"/>
        <v>0</v>
      </c>
      <c r="GW57" s="64">
        <f t="shared" si="82"/>
        <v>0</v>
      </c>
      <c r="GX57" s="80" t="str" cm="1">
        <f t="array" ref="GX57">IF(ISBLANK(INDEX(FX_Input,$KB57+1,GX$85)),INDEX(FX_Input,$KB57,GX$85),INDEX(FX_Input,$KB57,GX$85)&amp;" &amp; "&amp;INDEX(FX_Input,$KB57+1,GX$85))</f>
        <v>Out of Service</v>
      </c>
      <c r="GY57" s="63" cm="1">
        <f t="array" ref="GY57">INDEX(FX_Temps,$KC57+7,GY$89)</f>
        <v>0</v>
      </c>
      <c r="GZ57" s="63" cm="1">
        <f t="array" ref="GZ57">INDEX(FX_Temps,$KC57+13,GZ$89)+459.6</f>
        <v>506.70000000000005</v>
      </c>
      <c r="HA57" s="63" cm="1">
        <f t="array" ref="HA57">INDEX(FX_Vap,$KG57,HA$91)-INDEX(FX_Vap,$KH57,HA$91)</f>
        <v>0</v>
      </c>
      <c r="HB57" s="73" cm="1">
        <f t="array" ref="HB57">IF(GX57="Out of Service",0,INDEX(FX_Vap,$KI57,HB$91))</f>
        <v>0</v>
      </c>
      <c r="HC57" s="63">
        <f t="shared" si="83"/>
        <v>0</v>
      </c>
      <c r="HD57" s="63">
        <f t="shared" si="84"/>
        <v>1</v>
      </c>
      <c r="HE57" s="63" cm="1">
        <f t="array" ref="HE57">INDEX(FX_Vap,$KJ57,HE$91)</f>
        <v>0</v>
      </c>
      <c r="HF57" s="63" cm="1">
        <f t="array" ref="HF57">INDEX(FX_Temps,$KD57,HF$89)+459.6</f>
        <v>506.70000000000005</v>
      </c>
      <c r="HG57" s="63">
        <f t="shared" si="85"/>
        <v>0</v>
      </c>
      <c r="HH57" s="63" cm="1">
        <f t="array" ref="HH57">INDEX(Month_Ref,HH$83,3)*HC57*(PI()/4*$F57^2)*$H57*HD57*HG57</f>
        <v>0</v>
      </c>
      <c r="HI57" s="63" cm="1">
        <f t="array" ref="HI57">INDEX(FX_Input,$KB57,HI$85)</f>
        <v>0</v>
      </c>
      <c r="HJ57" s="63">
        <f t="shared" si="86"/>
        <v>0</v>
      </c>
      <c r="HK57" s="63">
        <f t="shared" si="87"/>
        <v>0</v>
      </c>
      <c r="HL57" s="63">
        <f t="shared" si="88"/>
        <v>1</v>
      </c>
      <c r="HM57" s="63" cm="1">
        <f t="array" ref="HM57">IF(OR(INDEX(FX_Vap,$KK57,HM$90)="Crude Oil",(INDEX(FX_Vap,$KL57,HM$90)="Crude Oil")),0.75,1)</f>
        <v>1</v>
      </c>
      <c r="HN57" s="63">
        <f t="shared" si="118"/>
        <v>1</v>
      </c>
      <c r="HO57" s="63">
        <f t="shared" si="89"/>
        <v>0</v>
      </c>
      <c r="HP57" s="64">
        <f t="shared" si="90"/>
        <v>0</v>
      </c>
      <c r="HQ57" s="80" t="str" cm="1">
        <f t="array" ref="HQ57">IF(ISBLANK(INDEX(FX_Input,$KB57+1,HQ$85)),INDEX(FX_Input,$KB57,HQ$85),INDEX(FX_Input,$KB57,HQ$85)&amp;" &amp; "&amp;INDEX(FX_Input,$KB57+1,HQ$85))</f>
        <v>Out of Service</v>
      </c>
      <c r="HR57" s="63" cm="1">
        <f t="array" ref="HR57">INDEX(FX_Temps,$KC57+7,HR$89)</f>
        <v>0</v>
      </c>
      <c r="HS57" s="63" cm="1">
        <f t="array" ref="HS57">INDEX(FX_Temps,$KC57+13,HS$89)+459.6</f>
        <v>503.20000000000005</v>
      </c>
      <c r="HT57" s="63" cm="1">
        <f t="array" ref="HT57">INDEX(FX_Vap,$KG57,HT$91)-INDEX(FX_Vap,$KH57,HT$91)</f>
        <v>0</v>
      </c>
      <c r="HU57" s="73" cm="1">
        <f t="array" ref="HU57">IF(HQ57="Out of Service",0,INDEX(FX_Vap,$KI57,HU$91))</f>
        <v>0</v>
      </c>
      <c r="HV57" s="63">
        <f t="shared" si="91"/>
        <v>0</v>
      </c>
      <c r="HW57" s="63">
        <f t="shared" si="92"/>
        <v>1</v>
      </c>
      <c r="HX57" s="63" cm="1">
        <f t="array" ref="HX57">INDEX(FX_Vap,$KJ57,HX$91)</f>
        <v>0</v>
      </c>
      <c r="HY57" s="63" cm="1">
        <f t="array" ref="HY57">INDEX(FX_Temps,$KD57,HY$89)+459.6</f>
        <v>503.20000000000005</v>
      </c>
      <c r="HZ57" s="63">
        <f t="shared" si="93"/>
        <v>0</v>
      </c>
      <c r="IA57" s="63" cm="1">
        <f t="array" ref="IA57">INDEX(Month_Ref,IA$83,3)*HV57*(PI()/4*$F57^2)*$H57*HW57*HZ57</f>
        <v>0</v>
      </c>
      <c r="IB57" s="63" cm="1">
        <f t="array" ref="IB57">INDEX(FX_Input,$KB57,IB$85)</f>
        <v>0</v>
      </c>
      <c r="IC57" s="63">
        <f t="shared" si="94"/>
        <v>0</v>
      </c>
      <c r="ID57" s="63">
        <f t="shared" si="95"/>
        <v>0</v>
      </c>
      <c r="IE57" s="63">
        <f t="shared" si="96"/>
        <v>1</v>
      </c>
      <c r="IF57" s="63" cm="1">
        <f t="array" ref="IF57">IF(OR(INDEX(FX_Vap,$KK57,IF$90)="Crude Oil",(INDEX(FX_Vap,$KL57,IF$90)="Crude Oil")),0.75,1)</f>
        <v>1</v>
      </c>
      <c r="IG57" s="63">
        <f t="shared" si="119"/>
        <v>1</v>
      </c>
      <c r="IH57" s="63">
        <f t="shared" si="97"/>
        <v>0</v>
      </c>
      <c r="II57" s="64">
        <f t="shared" si="98"/>
        <v>0</v>
      </c>
      <c r="IJ57" s="80">
        <f t="shared" si="99"/>
        <v>0</v>
      </c>
      <c r="IK57" s="63">
        <f t="shared" si="100"/>
        <v>0</v>
      </c>
      <c r="IL57" s="63">
        <f t="shared" si="101"/>
        <v>0</v>
      </c>
      <c r="IM57" s="63">
        <f t="shared" si="102"/>
        <v>0</v>
      </c>
      <c r="IN57" s="63">
        <f t="shared" si="103"/>
        <v>0</v>
      </c>
      <c r="IO57" s="64">
        <f t="shared" si="104"/>
        <v>0</v>
      </c>
      <c r="KB57" s="43">
        <f t="shared" si="120"/>
        <v>93</v>
      </c>
      <c r="KC57" s="43">
        <f t="shared" si="121"/>
        <v>645</v>
      </c>
      <c r="KD57" s="43">
        <f t="shared" si="122"/>
        <v>658</v>
      </c>
      <c r="KE57" s="43">
        <f t="shared" si="123"/>
        <v>645</v>
      </c>
      <c r="KF57" s="43">
        <f t="shared" si="124"/>
        <v>1565</v>
      </c>
      <c r="KG57" s="43">
        <f t="shared" si="125"/>
        <v>1588</v>
      </c>
      <c r="KH57" s="43">
        <f t="shared" si="126"/>
        <v>1583</v>
      </c>
      <c r="KI57" s="43">
        <f t="shared" si="126"/>
        <v>1593</v>
      </c>
      <c r="KJ57" s="43">
        <f t="shared" si="126"/>
        <v>1598</v>
      </c>
      <c r="KK57" s="43">
        <f t="shared" si="127"/>
        <v>1569</v>
      </c>
      <c r="KL57" s="43">
        <f t="shared" si="128"/>
        <v>1571</v>
      </c>
    </row>
    <row r="58" spans="2:298" x14ac:dyDescent="0.4">
      <c r="B58" s="43" t="str" cm="1">
        <f t="array" ref="B58">INDEX(FX_Input,$KB58,B$85)</f>
        <v>FX - 48</v>
      </c>
      <c r="C58" s="93" t="str" cm="1">
        <f t="array" ref="C58">INDEX(FX_Input,$KB58,C$85)</f>
        <v>FIXTANK 177</v>
      </c>
      <c r="D58" s="80">
        <f t="shared" si="129"/>
        <v>2040.8336065495216</v>
      </c>
      <c r="E58" s="63" cm="1">
        <f t="array" ref="E58">IF(ISBLANK(INDEX(FX_Input,$KB58,$E$85)),0.03,INDEX(FX_Input,$KB58,$E$85))-IF(ISBLANK(INDEX(FX_Input,$KB58,$E$86)),-0.03,INDEX(FX_Input,$KB58,$E$86))</f>
        <v>0.06</v>
      </c>
      <c r="F58" s="63" cm="1">
        <f t="array" ref="F58">IF(INDEX(FX_Input,$KB58,F$85)="Vertical",INDEX(FX_Input,$KB58,F$86),SQRT((INDEX(FX_Input,$KB58,F$86)*INDEX(FX_Input,$KB58,F$87))/(PI()/4)))</f>
        <v>12.5</v>
      </c>
      <c r="G58" s="63" cm="1">
        <f t="array" ref="G58">IF(INDEX(FX_Input,$KB58,G$85)="Vertical",INDEX(FX_Input,$KB58,G$86),INDEX(FX_Input,$KB58,G$87)*PI()/4)</f>
        <v>33</v>
      </c>
      <c r="H58" s="63" cm="1">
        <f t="array" ref="H58">IF(INDEX(FX_Input,$KB58,H$85)="Vertical",G58-G58/2+J58,G58/2)</f>
        <v>16.630208333333332</v>
      </c>
      <c r="I58" s="63" cm="1">
        <f t="array" ref="I58">IF(INDEX(FX_Input,$KB58,F$85)="Horizontal","N/A",IF(INDEX(FX_Input,$KB58,I$86)="Cone",IF(ISBLANK(INDEX(FX_Input,$KB58,I$87)),0.0625,INDEX(FX_Input,$KB58,I$87))*F58/2,F58/2-SQRT((F58/2)^2-(INDEX(FX_Input,$KB58,I$88)^2))))</f>
        <v>0.390625</v>
      </c>
      <c r="J58" s="63" cm="1">
        <f t="array" ref="J58">IF(INDEX(FX_Input,$KB58,J$85)="Horizontal","N/A",IF(INDEX(FX_Input,$KB58,J$86)="Cone",I58/3,I58*(1/2+(1/6)*(I58/(F58/2))^2)))</f>
        <v>0.13020833333333334</v>
      </c>
      <c r="K58" s="63">
        <f t="shared" si="130"/>
        <v>32</v>
      </c>
      <c r="L58" s="63">
        <v>1</v>
      </c>
      <c r="M58" s="63" t="str" cm="1">
        <f t="array" ref="M58">INDEX(Tbl_71_6,MATCH(INDEX(FX_Input,$KB58,M$85),Paint_Color,0),VLOOKUP(INDEX(FX_Input,$KB58,M$86),Paint_Cond_Column,2,FALSE))</f>
        <v>N/A</v>
      </c>
      <c r="N58" s="63" cm="1">
        <f t="array" ref="N58">INDEX(Tbl_71_6,MATCH(INDEX(FX_Input,$KB58,N$85),Paint_Color,0),VLOOKUP(INDEX(FX_Input,$KB58,N$86),Paint_Cond_Column,2,FALSE))</f>
        <v>0.25</v>
      </c>
      <c r="O58" s="64" t="str">
        <f t="shared" si="2"/>
        <v>Partially Insulated</v>
      </c>
      <c r="P58" s="80" t="str" cm="1">
        <f t="array" ref="P58">IF(ISBLANK(INDEX(FX_Input,$KB58+1,P$85)),INDEX(FX_Input,$KB58,P$85),INDEX(FX_Input,$KB58,P$85)&amp;" &amp; "&amp;INDEX(FX_Input,$KB58+1,P$85))</f>
        <v>Out of Service</v>
      </c>
      <c r="Q58" s="63" cm="1">
        <f t="array" ref="Q58">INDEX(FX_Temps,$KC58+7,Q$89)</f>
        <v>7.9550000000000205</v>
      </c>
      <c r="R58" s="63" cm="1">
        <f t="array" ref="R58">INDEX(FX_Temps,$KC58+13,R$89)+459.6</f>
        <v>504.35750000000002</v>
      </c>
      <c r="S58" s="63" cm="1">
        <f t="array" ref="S58">INDEX(FX_Vap,$KG58,S$91)-INDEX(FX_Vap,$KH58,S$91)</f>
        <v>0</v>
      </c>
      <c r="T58" s="73" cm="1">
        <f t="array" ref="T58">IF(P58="Out of Service",0,INDEX(FX_Vap,$KI58,T$91))</f>
        <v>0</v>
      </c>
      <c r="U58" s="63">
        <f t="shared" si="3"/>
        <v>1.1690909640847402E-2</v>
      </c>
      <c r="V58" s="63">
        <f t="shared" si="4"/>
        <v>1</v>
      </c>
      <c r="W58" s="63" cm="1">
        <f t="array" ref="W58">INDEX(FX_Vap,$KJ58,W$91)</f>
        <v>0</v>
      </c>
      <c r="X58" s="63" cm="1">
        <f t="array" ref="X58">INDEX(FX_Temps,$KD58,X$89)+459.6</f>
        <v>504.35750000000002</v>
      </c>
      <c r="Y58" s="63">
        <f t="shared" si="5"/>
        <v>0</v>
      </c>
      <c r="Z58" s="63" cm="1">
        <f t="array" ref="Z58">INDEX(Month_Ref,Z$83,3)*U58*(PI()/4*$F58^2)*$H58*V58*Y58</f>
        <v>0</v>
      </c>
      <c r="AA58" s="63" cm="1">
        <f t="array" ref="AA58">INDEX(FX_Input,$KB58,AA$85)</f>
        <v>0</v>
      </c>
      <c r="AB58" s="63">
        <f t="shared" si="6"/>
        <v>0</v>
      </c>
      <c r="AC58" s="63">
        <f t="shared" si="7"/>
        <v>0</v>
      </c>
      <c r="AD58" s="63">
        <f t="shared" si="8"/>
        <v>1</v>
      </c>
      <c r="AE58" s="63" cm="1">
        <f t="array" ref="AE58">IF(OR(INDEX(FX_Vap,$KK58,AE$90)="Crude Oil",(INDEX(FX_Vap,$KL58,AE$90)="Crude Oil")),0.75,1)</f>
        <v>1</v>
      </c>
      <c r="AF58" s="63">
        <f t="shared" si="108"/>
        <v>1</v>
      </c>
      <c r="AG58" s="63">
        <f t="shared" si="9"/>
        <v>0</v>
      </c>
      <c r="AH58" s="64">
        <f t="shared" si="10"/>
        <v>0</v>
      </c>
      <c r="AI58" s="80" t="str" cm="1">
        <f t="array" ref="AI58">IF(ISBLANK(INDEX(FX_Input,$KB58+1,AI$85)),INDEX(FX_Input,$KB58,AI$85),INDEX(FX_Input,$KB58,AI$85)&amp;" &amp; "&amp;INDEX(FX_Input,$KB58+1,AI$85))</f>
        <v>Out of Service</v>
      </c>
      <c r="AJ58" s="63" cm="1">
        <f t="array" ref="AJ58">INDEX(FX_Temps,$KC58+7,AJ$89)</f>
        <v>10.919999999999993</v>
      </c>
      <c r="AK58" s="63" cm="1">
        <f t="array" ref="AK58">INDEX(FX_Temps,$KC58+13,AK$89)+459.6</f>
        <v>505.80000000000007</v>
      </c>
      <c r="AL58" s="63" cm="1">
        <f t="array" ref="AL58">INDEX(FX_Vap,$KG58,AL$91)-INDEX(FX_Vap,$KH58,AL$91)</f>
        <v>0</v>
      </c>
      <c r="AM58" s="73" cm="1">
        <f t="array" ref="AM58">IF(AI58="Out of Service",0,INDEX(FX_Vap,$KI58,AM$91))</f>
        <v>0</v>
      </c>
      <c r="AN58" s="63">
        <f t="shared" si="11"/>
        <v>1.7507928438279211E-2</v>
      </c>
      <c r="AO58" s="63">
        <f t="shared" si="12"/>
        <v>1</v>
      </c>
      <c r="AP58" s="63" cm="1">
        <f t="array" ref="AP58">INDEX(FX_Vap,$KJ58,AP$91)</f>
        <v>0</v>
      </c>
      <c r="AQ58" s="63" cm="1">
        <f t="array" ref="AQ58">INDEX(FX_Temps,$KD58,AQ$89)+459.6</f>
        <v>505.80000000000007</v>
      </c>
      <c r="AR58" s="63">
        <f t="shared" si="13"/>
        <v>0</v>
      </c>
      <c r="AS58" s="63" cm="1">
        <f t="array" ref="AS58">INDEX(Month_Ref,AS$83,3)*AN58*(PI()/4*$F58^2)*$H58*AO58*AR58</f>
        <v>0</v>
      </c>
      <c r="AT58" s="63" cm="1">
        <f t="array" ref="AT58">INDEX(FX_Input,$KB58,AT$85)</f>
        <v>0</v>
      </c>
      <c r="AU58" s="63">
        <f t="shared" si="14"/>
        <v>0</v>
      </c>
      <c r="AV58" s="63">
        <f t="shared" si="15"/>
        <v>0</v>
      </c>
      <c r="AW58" s="63">
        <f t="shared" si="16"/>
        <v>1</v>
      </c>
      <c r="AX58" s="63" cm="1">
        <f t="array" ref="AX58">IF(OR(INDEX(FX_Vap,$KK58,AX$90)="Crude Oil",(INDEX(FX_Vap,$KL58,AX$90)="Crude Oil")),0.75,1)</f>
        <v>1</v>
      </c>
      <c r="AY58" s="63">
        <f t="shared" si="109"/>
        <v>1</v>
      </c>
      <c r="AZ58" s="63">
        <f t="shared" si="17"/>
        <v>0</v>
      </c>
      <c r="BA58" s="64">
        <f t="shared" si="18"/>
        <v>0</v>
      </c>
      <c r="BB58" s="80" t="str" cm="1">
        <f t="array" ref="BB58">IF(ISBLANK(INDEX(FX_Input,$KB58+1,BB$85)),INDEX(FX_Input,$KB58,BB$85),INDEX(FX_Input,$KB58,BB$85)&amp;" &amp; "&amp;INDEX(FX_Input,$KB58+1,BB$85))</f>
        <v>Out of Service</v>
      </c>
      <c r="BC58" s="63" cm="1">
        <f t="array" ref="BC58">INDEX(FX_Temps,$KC58+7,BC$89)</f>
        <v>12.305000000000026</v>
      </c>
      <c r="BD58" s="63" cm="1">
        <f t="array" ref="BD58">INDEX(FX_Temps,$KC58+13,BD$89)+459.6</f>
        <v>507.89250000000004</v>
      </c>
      <c r="BE58" s="63" cm="1">
        <f t="array" ref="BE58">INDEX(FX_Vap,$KG58,BE$91)-INDEX(FX_Vap,$KH58,BE$91)</f>
        <v>0</v>
      </c>
      <c r="BF58" s="73" cm="1">
        <f t="array" ref="BF58">IF(BB58="Out of Service",0,INDEX(FX_Vap,$KI58,BF$91))</f>
        <v>0</v>
      </c>
      <c r="BG58" s="63">
        <f t="shared" si="19"/>
        <v>2.0145935188558853E-2</v>
      </c>
      <c r="BH58" s="63">
        <f t="shared" si="20"/>
        <v>1</v>
      </c>
      <c r="BI58" s="63" cm="1">
        <f t="array" ref="BI58">INDEX(FX_Vap,$KJ58,BI$91)</f>
        <v>0</v>
      </c>
      <c r="BJ58" s="63" cm="1">
        <f t="array" ref="BJ58">INDEX(FX_Temps,$KD58,BJ$89)+459.6</f>
        <v>507.89250000000004</v>
      </c>
      <c r="BK58" s="63">
        <f t="shared" si="21"/>
        <v>0</v>
      </c>
      <c r="BL58" s="63" cm="1">
        <f t="array" ref="BL58">INDEX(Month_Ref,BL$83,3)*BG58*(PI()/4*$F58^2)*$H58*BH58*BK58</f>
        <v>0</v>
      </c>
      <c r="BM58" s="63" cm="1">
        <f t="array" ref="BM58">INDEX(FX_Input,$KB58,BM$85)</f>
        <v>0</v>
      </c>
      <c r="BN58" s="63">
        <f t="shared" si="22"/>
        <v>0</v>
      </c>
      <c r="BO58" s="63">
        <f t="shared" si="23"/>
        <v>0</v>
      </c>
      <c r="BP58" s="63">
        <f t="shared" si="24"/>
        <v>1</v>
      </c>
      <c r="BQ58" s="63" cm="1">
        <f t="array" ref="BQ58">IF(OR(INDEX(FX_Vap,$KK58,BQ$90)="Crude Oil",(INDEX(FX_Vap,$KL58,BQ$90)="Crude Oil")),0.75,1)</f>
        <v>1</v>
      </c>
      <c r="BR58" s="63">
        <f t="shared" si="110"/>
        <v>1</v>
      </c>
      <c r="BS58" s="63">
        <f t="shared" si="25"/>
        <v>0</v>
      </c>
      <c r="BT58" s="64">
        <f t="shared" si="26"/>
        <v>0</v>
      </c>
      <c r="BU58" s="80" t="str" cm="1">
        <f t="array" ref="BU58">IF(ISBLANK(INDEX(FX_Input,$KB58+1,BU$85)),INDEX(FX_Input,$KB58,BU$85),INDEX(FX_Input,$KB58,BU$85)&amp;" &amp; "&amp;INDEX(FX_Input,$KB58+1,BU$85))</f>
        <v>Out of Service</v>
      </c>
      <c r="BV58" s="63" cm="1">
        <f t="array" ref="BV58">INDEX(FX_Temps,$KC58+7,BV$89)</f>
        <v>14.299999999999986</v>
      </c>
      <c r="BW58" s="63" cm="1">
        <f t="array" ref="BW58">INDEX(FX_Temps,$KC58+13,BW$89)+459.6</f>
        <v>511.32999999999993</v>
      </c>
      <c r="BX58" s="63" cm="1">
        <f t="array" ref="BX58">INDEX(FX_Vap,$KG58,BX$91)-INDEX(FX_Vap,$KH58,BX$91)</f>
        <v>0</v>
      </c>
      <c r="BY58" s="73" cm="1">
        <f t="array" ref="BY58">IF(BU58="Out of Service",0,INDEX(FX_Vap,$KI58,BY$91))</f>
        <v>0</v>
      </c>
      <c r="BZ58" s="63">
        <f t="shared" si="27"/>
        <v>2.3884651351397713E-2</v>
      </c>
      <c r="CA58" s="63">
        <f t="shared" si="28"/>
        <v>1</v>
      </c>
      <c r="CB58" s="63" cm="1">
        <f t="array" ref="CB58">INDEX(FX_Vap,$KJ58,CB$91)</f>
        <v>0</v>
      </c>
      <c r="CC58" s="63" cm="1">
        <f t="array" ref="CC58">INDEX(FX_Temps,$KD58,CC$89)+459.6</f>
        <v>511.32999999999993</v>
      </c>
      <c r="CD58" s="63">
        <f t="shared" si="29"/>
        <v>0</v>
      </c>
      <c r="CE58" s="63" cm="1">
        <f t="array" ref="CE58">INDEX(Month_Ref,CE$83,3)*BZ58*(PI()/4*$F58^2)*$H58*CA58*CD58</f>
        <v>0</v>
      </c>
      <c r="CF58" s="63" cm="1">
        <f t="array" ref="CF58">INDEX(FX_Input,$KB58,CF$85)</f>
        <v>0</v>
      </c>
      <c r="CG58" s="63">
        <f t="shared" si="30"/>
        <v>0</v>
      </c>
      <c r="CH58" s="63">
        <f t="shared" si="31"/>
        <v>0</v>
      </c>
      <c r="CI58" s="63">
        <f t="shared" si="32"/>
        <v>1</v>
      </c>
      <c r="CJ58" s="63" cm="1">
        <f t="array" ref="CJ58">IF(OR(INDEX(FX_Vap,$KK58,CJ$90)="Crude Oil",(INDEX(FX_Vap,$KL58,CJ$90)="Crude Oil")),0.75,1)</f>
        <v>1</v>
      </c>
      <c r="CK58" s="63">
        <f t="shared" si="111"/>
        <v>1</v>
      </c>
      <c r="CL58" s="63">
        <f t="shared" si="33"/>
        <v>0</v>
      </c>
      <c r="CM58" s="64">
        <f t="shared" si="34"/>
        <v>0</v>
      </c>
      <c r="CN58" s="80" t="str" cm="1">
        <f t="array" ref="CN58">IF(ISBLANK(INDEX(FX_Input,$KB58+1,CN$85)),INDEX(FX_Input,$KB58,CN$85),INDEX(FX_Input,$KB58,CN$85)&amp;" &amp; "&amp;INDEX(FX_Input,$KB58+1,CN$85))</f>
        <v>Out of Service</v>
      </c>
      <c r="CO58" s="63" cm="1">
        <f t="array" ref="CO58">INDEX(FX_Temps,$KC58+7,CO$89)</f>
        <v>15.664999999999973</v>
      </c>
      <c r="CP58" s="63" cm="1">
        <f t="array" ref="CP58">INDEX(FX_Temps,$KC58+13,CP$89)+459.6</f>
        <v>516.59249999999997</v>
      </c>
      <c r="CQ58" s="63" cm="1">
        <f t="array" ref="CQ58">INDEX(FX_Vap,$KG58,CQ$91)-INDEX(FX_Vap,$KH58,CQ$91)</f>
        <v>0</v>
      </c>
      <c r="CR58" s="73" cm="1">
        <f t="array" ref="CR58">IF(CN58="Out of Service",0,INDEX(FX_Vap,$KI58,CR$91))</f>
        <v>0</v>
      </c>
      <c r="CS58" s="63">
        <f t="shared" si="35"/>
        <v>2.6242075104987862E-2</v>
      </c>
      <c r="CT58" s="63">
        <f t="shared" si="36"/>
        <v>1</v>
      </c>
      <c r="CU58" s="63" cm="1">
        <f t="array" ref="CU58">INDEX(FX_Vap,$KJ58,CU$91)</f>
        <v>0</v>
      </c>
      <c r="CV58" s="63" cm="1">
        <f t="array" ref="CV58">INDEX(FX_Temps,$KD58,CV$89)+459.6</f>
        <v>516.59249999999997</v>
      </c>
      <c r="CW58" s="63">
        <f t="shared" si="37"/>
        <v>0</v>
      </c>
      <c r="CX58" s="63" cm="1">
        <f t="array" ref="CX58">INDEX(Month_Ref,CX$83,3)*CS58*(PI()/4*$F58^2)*$H58*CT58*CW58</f>
        <v>0</v>
      </c>
      <c r="CY58" s="63" cm="1">
        <f t="array" ref="CY58">INDEX(FX_Input,$KB58,CY$85)</f>
        <v>0</v>
      </c>
      <c r="CZ58" s="63">
        <f t="shared" si="38"/>
        <v>0</v>
      </c>
      <c r="DA58" s="63">
        <f t="shared" si="39"/>
        <v>0</v>
      </c>
      <c r="DB58" s="63">
        <f t="shared" si="40"/>
        <v>1</v>
      </c>
      <c r="DC58" s="63" cm="1">
        <f t="array" ref="DC58">IF(OR(INDEX(FX_Vap,$KK58,DC$90)="Crude Oil",(INDEX(FX_Vap,$KL58,DC$90)="Crude Oil")),0.75,1)</f>
        <v>1</v>
      </c>
      <c r="DD58" s="63">
        <f t="shared" si="112"/>
        <v>1</v>
      </c>
      <c r="DE58" s="63">
        <f t="shared" si="41"/>
        <v>0</v>
      </c>
      <c r="DF58" s="64">
        <f t="shared" si="42"/>
        <v>0</v>
      </c>
      <c r="DG58" s="80" t="str" cm="1">
        <f t="array" ref="DG58">IF(ISBLANK(INDEX(FX_Input,$KB58+1,DG$85)),INDEX(FX_Input,$KB58,DG$85),INDEX(FX_Input,$KB58,DG$85)&amp;" &amp; "&amp;INDEX(FX_Input,$KB58+1,DG$85))</f>
        <v>Out of Service</v>
      </c>
      <c r="DH58" s="63" cm="1">
        <f t="array" ref="DH58">INDEX(FX_Temps,$KC58+7,DH$89)</f>
        <v>15.635000000000034</v>
      </c>
      <c r="DI58" s="63" cm="1">
        <f t="array" ref="DI58">INDEX(FX_Temps,$KC58+13,DI$89)+459.6</f>
        <v>520.61750000000006</v>
      </c>
      <c r="DJ58" s="63" cm="1">
        <f t="array" ref="DJ58">INDEX(FX_Vap,$KG58,DJ$91)-INDEX(FX_Vap,$KH58,DJ$91)</f>
        <v>0</v>
      </c>
      <c r="DK58" s="73" cm="1">
        <f t="array" ref="DK58">IF(DG58="Out of Service",0,INDEX(FX_Vap,$KI58,DK$91))</f>
        <v>0</v>
      </c>
      <c r="DL58" s="63">
        <f t="shared" si="43"/>
        <v>2.5950012460673969E-2</v>
      </c>
      <c r="DM58" s="63">
        <f t="shared" si="44"/>
        <v>1</v>
      </c>
      <c r="DN58" s="63" cm="1">
        <f t="array" ref="DN58">INDEX(FX_Vap,$KJ58,DN$91)</f>
        <v>0</v>
      </c>
      <c r="DO58" s="63" cm="1">
        <f t="array" ref="DO58">INDEX(FX_Temps,$KD58,DO$89)+459.6</f>
        <v>520.61750000000006</v>
      </c>
      <c r="DP58" s="63">
        <f t="shared" si="45"/>
        <v>0</v>
      </c>
      <c r="DQ58" s="63" cm="1">
        <f t="array" ref="DQ58">INDEX(Month_Ref,DQ$83,3)*DL58*(PI()/4*$F58^2)*$H58*DM58*DP58</f>
        <v>0</v>
      </c>
      <c r="DR58" s="63" cm="1">
        <f t="array" ref="DR58">INDEX(FX_Input,$KB58,DR$85)</f>
        <v>0</v>
      </c>
      <c r="DS58" s="63">
        <f t="shared" si="46"/>
        <v>0</v>
      </c>
      <c r="DT58" s="63">
        <f t="shared" si="47"/>
        <v>0</v>
      </c>
      <c r="DU58" s="63">
        <f t="shared" si="48"/>
        <v>1</v>
      </c>
      <c r="DV58" s="63" cm="1">
        <f t="array" ref="DV58">IF(OR(INDEX(FX_Vap,$KK58,DV$90)="Crude Oil",(INDEX(FX_Vap,$KL58,DV$90)="Crude Oil")),0.75,1)</f>
        <v>1</v>
      </c>
      <c r="DW58" s="63">
        <f t="shared" si="113"/>
        <v>1</v>
      </c>
      <c r="DX58" s="63">
        <f t="shared" si="49"/>
        <v>0</v>
      </c>
      <c r="DY58" s="64">
        <f t="shared" si="50"/>
        <v>0</v>
      </c>
      <c r="DZ58" s="80" t="str" cm="1">
        <f t="array" ref="DZ58">IF(ISBLANK(INDEX(FX_Input,$KB58+1,DZ$85)),INDEX(FX_Input,$KB58,DZ$85),INDEX(FX_Input,$KB58,DZ$85)&amp;" &amp; "&amp;INDEX(FX_Input,$KB58+1,DZ$85))</f>
        <v>Out of Service</v>
      </c>
      <c r="EA58" s="63" cm="1">
        <f t="array" ref="EA58">INDEX(FX_Temps,$KC58+7,EA$89)</f>
        <v>16.159999999999961</v>
      </c>
      <c r="EB58" s="63" cm="1">
        <f t="array" ref="EB58">INDEX(FX_Temps,$KC58+13,EB$89)+459.6</f>
        <v>524.31999999999994</v>
      </c>
      <c r="EC58" s="63" cm="1">
        <f t="array" ref="EC58">INDEX(FX_Vap,$KG58,EC$91)-INDEX(FX_Vap,$KH58,EC$91)</f>
        <v>0</v>
      </c>
      <c r="ED58" s="73" cm="1">
        <f t="array" ref="ED58">IF(DZ58="Out of Service",0,INDEX(FX_Vap,$KI58,ED$91))</f>
        <v>0</v>
      </c>
      <c r="EE58" s="63">
        <f t="shared" si="51"/>
        <v>2.673924009640468E-2</v>
      </c>
      <c r="EF58" s="63">
        <f t="shared" si="52"/>
        <v>1</v>
      </c>
      <c r="EG58" s="63" cm="1">
        <f t="array" ref="EG58">INDEX(FX_Vap,$KJ58,EG$91)</f>
        <v>0</v>
      </c>
      <c r="EH58" s="63" cm="1">
        <f t="array" ref="EH58">INDEX(FX_Temps,$KD58,EH$89)+459.6</f>
        <v>524.31999999999994</v>
      </c>
      <c r="EI58" s="63">
        <f t="shared" si="53"/>
        <v>0</v>
      </c>
      <c r="EJ58" s="63" cm="1">
        <f t="array" ref="EJ58">INDEX(Month_Ref,EJ$83,3)*EE58*(PI()/4*$F58^2)*$H58*EF58*EI58</f>
        <v>0</v>
      </c>
      <c r="EK58" s="63" cm="1">
        <f t="array" ref="EK58">INDEX(FX_Input,$KB58,EK$85)</f>
        <v>0</v>
      </c>
      <c r="EL58" s="63">
        <f t="shared" si="54"/>
        <v>0</v>
      </c>
      <c r="EM58" s="63">
        <f t="shared" si="55"/>
        <v>0</v>
      </c>
      <c r="EN58" s="63">
        <f t="shared" si="56"/>
        <v>1</v>
      </c>
      <c r="EO58" s="63" cm="1">
        <f t="array" ref="EO58">IF(OR(INDEX(FX_Vap,$KK58,EO$90)="Crude Oil",(INDEX(FX_Vap,$KL58,EO$90)="Crude Oil")),0.75,1)</f>
        <v>1</v>
      </c>
      <c r="EP58" s="63">
        <f t="shared" si="114"/>
        <v>1</v>
      </c>
      <c r="EQ58" s="63">
        <f t="shared" si="57"/>
        <v>0</v>
      </c>
      <c r="ER58" s="64">
        <f t="shared" si="58"/>
        <v>0</v>
      </c>
      <c r="ES58" s="80" t="str" cm="1">
        <f t="array" ref="ES58">IF(ISBLANK(INDEX(FX_Input,$KB58+1,ES$85)),INDEX(FX_Input,$KB58,ES$85),INDEX(FX_Input,$KB58,ES$85)&amp;" &amp; "&amp;INDEX(FX_Input,$KB58+1,ES$85))</f>
        <v>Out of Service</v>
      </c>
      <c r="ET58" s="63" cm="1">
        <f t="array" ref="ET58">INDEX(FX_Temps,$KC58+7,ET$89)</f>
        <v>15.620000000000012</v>
      </c>
      <c r="EU58" s="63" cm="1">
        <f t="array" ref="EU58">INDEX(FX_Temps,$KC58+13,EU$89)+459.6</f>
        <v>524.23</v>
      </c>
      <c r="EV58" s="63" cm="1">
        <f t="array" ref="EV58">INDEX(FX_Vap,$KG58,EV$91)-INDEX(FX_Vap,$KH58,EV$91)</f>
        <v>0</v>
      </c>
      <c r="EW58" s="73" cm="1">
        <f t="array" ref="EW58">IF(ES58="Out of Service",0,INDEX(FX_Vap,$KI58,EW$91))</f>
        <v>0</v>
      </c>
      <c r="EX58" s="63">
        <f t="shared" si="59"/>
        <v>2.5714449219399357E-2</v>
      </c>
      <c r="EY58" s="63">
        <f t="shared" si="60"/>
        <v>1</v>
      </c>
      <c r="EZ58" s="63" cm="1">
        <f t="array" ref="EZ58">INDEX(FX_Vap,$KJ58,EZ$91)</f>
        <v>0</v>
      </c>
      <c r="FA58" s="63" cm="1">
        <f t="array" ref="FA58">INDEX(FX_Temps,$KD58,FA$89)+459.6</f>
        <v>524.23</v>
      </c>
      <c r="FB58" s="63">
        <f t="shared" si="61"/>
        <v>0</v>
      </c>
      <c r="FC58" s="63" cm="1">
        <f t="array" ref="FC58">INDEX(Month_Ref,FC$83,3)*EX58*(PI()/4*$F58^2)*$H58*EY58*FB58</f>
        <v>0</v>
      </c>
      <c r="FD58" s="63" cm="1">
        <f t="array" ref="FD58">INDEX(FX_Input,$KB58,FD$85)</f>
        <v>0</v>
      </c>
      <c r="FE58" s="63">
        <f t="shared" si="62"/>
        <v>0</v>
      </c>
      <c r="FF58" s="63">
        <f t="shared" si="63"/>
        <v>0</v>
      </c>
      <c r="FG58" s="63">
        <f t="shared" si="64"/>
        <v>1</v>
      </c>
      <c r="FH58" s="63" cm="1">
        <f t="array" ref="FH58">IF(OR(INDEX(FX_Vap,$KK58,FH$90)="Crude Oil",(INDEX(FX_Vap,$KL58,FH$90)="Crude Oil")),0.75,1)</f>
        <v>1</v>
      </c>
      <c r="FI58" s="63">
        <f t="shared" si="115"/>
        <v>1</v>
      </c>
      <c r="FJ58" s="63">
        <f t="shared" si="65"/>
        <v>0</v>
      </c>
      <c r="FK58" s="64">
        <f t="shared" si="66"/>
        <v>0</v>
      </c>
      <c r="FL58" s="80" t="str" cm="1">
        <f t="array" ref="FL58">IF(ISBLANK(INDEX(FX_Input,$KB58+1,FL$85)),INDEX(FX_Input,$KB58,FL$85),INDEX(FX_Input,$KB58,FL$85)&amp;" &amp; "&amp;INDEX(FX_Input,$KB58+1,FL$85))</f>
        <v>Out of Service</v>
      </c>
      <c r="FM58" s="63" cm="1">
        <f t="array" ref="FM58">INDEX(FX_Temps,$KC58+7,FM$89)</f>
        <v>15.819999999999986</v>
      </c>
      <c r="FN58" s="63" cm="1">
        <f t="array" ref="FN58">INDEX(FX_Temps,$KC58+13,FN$89)+459.6</f>
        <v>521.19000000000005</v>
      </c>
      <c r="FO58" s="63" cm="1">
        <f t="array" ref="FO58">INDEX(FX_Vap,$KG58,FO$91)-INDEX(FX_Vap,$KH58,FO$91)</f>
        <v>0</v>
      </c>
      <c r="FP58" s="73" cm="1">
        <f t="array" ref="FP58">IF(FL58="Out of Service",0,INDEX(FX_Vap,$KI58,FP$91))</f>
        <v>0</v>
      </c>
      <c r="FQ58" s="63">
        <f t="shared" si="67"/>
        <v>2.6271981192177527E-2</v>
      </c>
      <c r="FR58" s="63">
        <f t="shared" si="68"/>
        <v>1</v>
      </c>
      <c r="FS58" s="63" cm="1">
        <f t="array" ref="FS58">INDEX(FX_Vap,$KJ58,FS$91)</f>
        <v>0</v>
      </c>
      <c r="FT58" s="63" cm="1">
        <f t="array" ref="FT58">INDEX(FX_Temps,$KD58,FT$89)+459.6</f>
        <v>521.19000000000005</v>
      </c>
      <c r="FU58" s="63">
        <f t="shared" si="69"/>
        <v>0</v>
      </c>
      <c r="FV58" s="63" cm="1">
        <f t="array" ref="FV58">INDEX(Month_Ref,FV$83,3)*FQ58*(PI()/4*$F58^2)*$H58*FR58*FU58</f>
        <v>0</v>
      </c>
      <c r="FW58" s="63" cm="1">
        <f t="array" ref="FW58">INDEX(FX_Input,$KB58,FW$85)</f>
        <v>0</v>
      </c>
      <c r="FX58" s="63">
        <f t="shared" si="70"/>
        <v>0</v>
      </c>
      <c r="FY58" s="63">
        <f t="shared" si="71"/>
        <v>0</v>
      </c>
      <c r="FZ58" s="63">
        <f t="shared" si="72"/>
        <v>1</v>
      </c>
      <c r="GA58" s="63" cm="1">
        <f t="array" ref="GA58">IF(OR(INDEX(FX_Vap,$KK58,GA$90)="Crude Oil",(INDEX(FX_Vap,$KL58,GA$90)="Crude Oil")),0.75,1)</f>
        <v>1</v>
      </c>
      <c r="GB58" s="63">
        <f t="shared" si="116"/>
        <v>1</v>
      </c>
      <c r="GC58" s="63">
        <f t="shared" si="73"/>
        <v>0</v>
      </c>
      <c r="GD58" s="64">
        <f t="shared" si="74"/>
        <v>0</v>
      </c>
      <c r="GE58" s="80" t="str" cm="1">
        <f t="array" ref="GE58">IF(ISBLANK(INDEX(FX_Input,$KB58+1,GE$85)),INDEX(FX_Input,$KB58,GE$85),INDEX(FX_Input,$KB58,GE$85)&amp;" &amp; "&amp;INDEX(FX_Input,$KB58+1,GE$85))</f>
        <v>Out of Service</v>
      </c>
      <c r="GF58" s="63" cm="1">
        <f t="array" ref="GF58">INDEX(FX_Temps,$KC58+7,GF$89)</f>
        <v>12.459999999999994</v>
      </c>
      <c r="GG58" s="63" cm="1">
        <f t="array" ref="GG58">INDEX(FX_Temps,$KC58+13,GG$89)+459.6</f>
        <v>514.07000000000005</v>
      </c>
      <c r="GH58" s="63" cm="1">
        <f t="array" ref="GH58">INDEX(FX_Vap,$KG58,GH$91)-INDEX(FX_Vap,$KH58,GH$91)</f>
        <v>0</v>
      </c>
      <c r="GI58" s="73" cm="1">
        <f t="array" ref="GI58">IF(GE58="Out of Service",0,INDEX(FX_Vap,$KI58,GI$91))</f>
        <v>0</v>
      </c>
      <c r="GJ58" s="63">
        <f t="shared" si="75"/>
        <v>2.0156311595776466E-2</v>
      </c>
      <c r="GK58" s="63">
        <f t="shared" si="76"/>
        <v>1</v>
      </c>
      <c r="GL58" s="63" cm="1">
        <f t="array" ref="GL58">INDEX(FX_Vap,$KJ58,GL$91)</f>
        <v>0</v>
      </c>
      <c r="GM58" s="63" cm="1">
        <f t="array" ref="GM58">INDEX(FX_Temps,$KD58,GM$89)+459.6</f>
        <v>514.07000000000005</v>
      </c>
      <c r="GN58" s="63">
        <f t="shared" si="77"/>
        <v>0</v>
      </c>
      <c r="GO58" s="63" cm="1">
        <f t="array" ref="GO58">INDEX(Month_Ref,GO$83,3)*GJ58*(PI()/4*$F58^2)*$H58*GK58*GN58</f>
        <v>0</v>
      </c>
      <c r="GP58" s="63" cm="1">
        <f t="array" ref="GP58">INDEX(FX_Input,$KB58,GP$85)</f>
        <v>0</v>
      </c>
      <c r="GQ58" s="63">
        <f t="shared" si="78"/>
        <v>0</v>
      </c>
      <c r="GR58" s="63">
        <f t="shared" si="79"/>
        <v>0</v>
      </c>
      <c r="GS58" s="63">
        <f t="shared" si="80"/>
        <v>1</v>
      </c>
      <c r="GT58" s="63" cm="1">
        <f t="array" ref="GT58">IF(OR(INDEX(FX_Vap,$KK58,GT$90)="Crude Oil",(INDEX(FX_Vap,$KL58,GT$90)="Crude Oil")),0.75,1)</f>
        <v>1</v>
      </c>
      <c r="GU58" s="63">
        <f t="shared" si="117"/>
        <v>1</v>
      </c>
      <c r="GV58" s="63">
        <f t="shared" si="81"/>
        <v>0</v>
      </c>
      <c r="GW58" s="64">
        <f t="shared" si="82"/>
        <v>0</v>
      </c>
      <c r="GX58" s="80" t="str" cm="1">
        <f t="array" ref="GX58">IF(ISBLANK(INDEX(FX_Input,$KB58+1,GX$85)),INDEX(FX_Input,$KB58,GX$85),INDEX(FX_Input,$KB58,GX$85)&amp;" &amp; "&amp;INDEX(FX_Input,$KB58+1,GX$85))</f>
        <v>Out of Service</v>
      </c>
      <c r="GY58" s="63" cm="1">
        <f t="array" ref="GY58">INDEX(FX_Temps,$KC58+7,GY$89)</f>
        <v>9.275000000000027</v>
      </c>
      <c r="GZ58" s="63" cm="1">
        <f t="array" ref="GZ58">INDEX(FX_Temps,$KC58+13,GZ$89)+459.6</f>
        <v>507.67750000000007</v>
      </c>
      <c r="HA58" s="63" cm="1">
        <f t="array" ref="HA58">INDEX(FX_Vap,$KG58,HA$91)-INDEX(FX_Vap,$KH58,HA$91)</f>
        <v>0</v>
      </c>
      <c r="HB58" s="73" cm="1">
        <f t="array" ref="HB58">IF(GX58="Out of Service",0,INDEX(FX_Vap,$KI58,HB$91))</f>
        <v>0</v>
      </c>
      <c r="HC58" s="63">
        <f t="shared" si="83"/>
        <v>1.4187839600485613E-2</v>
      </c>
      <c r="HD58" s="63">
        <f t="shared" si="84"/>
        <v>1</v>
      </c>
      <c r="HE58" s="63" cm="1">
        <f t="array" ref="HE58">INDEX(FX_Vap,$KJ58,HE$91)</f>
        <v>0</v>
      </c>
      <c r="HF58" s="63" cm="1">
        <f t="array" ref="HF58">INDEX(FX_Temps,$KD58,HF$89)+459.6</f>
        <v>507.67750000000007</v>
      </c>
      <c r="HG58" s="63">
        <f t="shared" si="85"/>
        <v>0</v>
      </c>
      <c r="HH58" s="63" cm="1">
        <f t="array" ref="HH58">INDEX(Month_Ref,HH$83,3)*HC58*(PI()/4*$F58^2)*$H58*HD58*HG58</f>
        <v>0</v>
      </c>
      <c r="HI58" s="63" cm="1">
        <f t="array" ref="HI58">INDEX(FX_Input,$KB58,HI$85)</f>
        <v>0</v>
      </c>
      <c r="HJ58" s="63">
        <f t="shared" si="86"/>
        <v>0</v>
      </c>
      <c r="HK58" s="63">
        <f t="shared" si="87"/>
        <v>0</v>
      </c>
      <c r="HL58" s="63">
        <f t="shared" si="88"/>
        <v>1</v>
      </c>
      <c r="HM58" s="63" cm="1">
        <f t="array" ref="HM58">IF(OR(INDEX(FX_Vap,$KK58,HM$90)="Crude Oil",(INDEX(FX_Vap,$KL58,HM$90)="Crude Oil")),0.75,1)</f>
        <v>1</v>
      </c>
      <c r="HN58" s="63">
        <f t="shared" si="118"/>
        <v>1</v>
      </c>
      <c r="HO58" s="63">
        <f t="shared" si="89"/>
        <v>0</v>
      </c>
      <c r="HP58" s="64">
        <f t="shared" si="90"/>
        <v>0</v>
      </c>
      <c r="HQ58" s="80" t="str" cm="1">
        <f t="array" ref="HQ58">IF(ISBLANK(INDEX(FX_Input,$KB58+1,HQ$85)),INDEX(FX_Input,$KB58,HQ$85),INDEX(FX_Input,$KB58,HQ$85)&amp;" &amp; "&amp;INDEX(FX_Input,$KB58+1,HQ$85))</f>
        <v>Out of Service</v>
      </c>
      <c r="HR58" s="63" cm="1">
        <f t="array" ref="HR58">INDEX(FX_Temps,$KC58+7,HR$89)</f>
        <v>7.51</v>
      </c>
      <c r="HS58" s="63" cm="1">
        <f t="array" ref="HS58">INDEX(FX_Temps,$KC58+13,HS$89)+459.6</f>
        <v>503.95500000000004</v>
      </c>
      <c r="HT58" s="63" cm="1">
        <f t="array" ref="HT58">INDEX(FX_Vap,$KG58,HT$91)-INDEX(FX_Vap,$KH58,HT$91)</f>
        <v>0</v>
      </c>
      <c r="HU58" s="73" cm="1">
        <f t="array" ref="HU58">IF(HQ58="Out of Service",0,INDEX(FX_Vap,$KI58,HU$91))</f>
        <v>0</v>
      </c>
      <c r="HV58" s="63">
        <f t="shared" si="91"/>
        <v>1.0820491544535781E-2</v>
      </c>
      <c r="HW58" s="63">
        <f t="shared" si="92"/>
        <v>1</v>
      </c>
      <c r="HX58" s="63" cm="1">
        <f t="array" ref="HX58">INDEX(FX_Vap,$KJ58,HX$91)</f>
        <v>0</v>
      </c>
      <c r="HY58" s="63" cm="1">
        <f t="array" ref="HY58">INDEX(FX_Temps,$KD58,HY$89)+459.6</f>
        <v>503.95500000000004</v>
      </c>
      <c r="HZ58" s="63">
        <f t="shared" si="93"/>
        <v>0</v>
      </c>
      <c r="IA58" s="63" cm="1">
        <f t="array" ref="IA58">INDEX(Month_Ref,IA$83,3)*HV58*(PI()/4*$F58^2)*$H58*HW58*HZ58</f>
        <v>0</v>
      </c>
      <c r="IB58" s="63" cm="1">
        <f t="array" ref="IB58">INDEX(FX_Input,$KB58,IB$85)</f>
        <v>0</v>
      </c>
      <c r="IC58" s="63">
        <f t="shared" si="94"/>
        <v>0</v>
      </c>
      <c r="ID58" s="63">
        <f t="shared" si="95"/>
        <v>0</v>
      </c>
      <c r="IE58" s="63">
        <f t="shared" si="96"/>
        <v>1</v>
      </c>
      <c r="IF58" s="63" cm="1">
        <f t="array" ref="IF58">IF(OR(INDEX(FX_Vap,$KK58,IF$90)="Crude Oil",(INDEX(FX_Vap,$KL58,IF$90)="Crude Oil")),0.75,1)</f>
        <v>1</v>
      </c>
      <c r="IG58" s="63">
        <f t="shared" si="119"/>
        <v>1</v>
      </c>
      <c r="IH58" s="63">
        <f t="shared" si="97"/>
        <v>0</v>
      </c>
      <c r="II58" s="64">
        <f t="shared" si="98"/>
        <v>0</v>
      </c>
      <c r="IJ58" s="80">
        <f t="shared" si="99"/>
        <v>0</v>
      </c>
      <c r="IK58" s="63">
        <f t="shared" si="100"/>
        <v>0</v>
      </c>
      <c r="IL58" s="63">
        <f t="shared" si="101"/>
        <v>0</v>
      </c>
      <c r="IM58" s="63">
        <f t="shared" si="102"/>
        <v>0</v>
      </c>
      <c r="IN58" s="63">
        <f t="shared" si="103"/>
        <v>0</v>
      </c>
      <c r="IO58" s="64">
        <f t="shared" si="104"/>
        <v>0</v>
      </c>
      <c r="KB58" s="43">
        <f t="shared" si="120"/>
        <v>95</v>
      </c>
      <c r="KC58" s="43">
        <f t="shared" si="121"/>
        <v>659</v>
      </c>
      <c r="KD58" s="43">
        <f t="shared" si="122"/>
        <v>672</v>
      </c>
      <c r="KE58" s="43">
        <f t="shared" si="123"/>
        <v>659</v>
      </c>
      <c r="KF58" s="43">
        <f t="shared" si="124"/>
        <v>1599</v>
      </c>
      <c r="KG58" s="43">
        <f t="shared" si="125"/>
        <v>1622</v>
      </c>
      <c r="KH58" s="43">
        <f t="shared" si="126"/>
        <v>1617</v>
      </c>
      <c r="KI58" s="43">
        <f t="shared" si="126"/>
        <v>1627</v>
      </c>
      <c r="KJ58" s="43">
        <f t="shared" si="126"/>
        <v>1632</v>
      </c>
      <c r="KK58" s="43">
        <f t="shared" si="127"/>
        <v>1603</v>
      </c>
      <c r="KL58" s="43">
        <f t="shared" si="128"/>
        <v>1605</v>
      </c>
    </row>
    <row r="59" spans="2:298" x14ac:dyDescent="0.4">
      <c r="B59" s="43" t="str" cm="1">
        <f t="array" ref="B59">INDEX(FX_Input,$KB59,B$85)</f>
        <v>FX - 49</v>
      </c>
      <c r="C59" s="93" t="str" cm="1">
        <f t="array" ref="C59">INDEX(FX_Input,$KB59,C$85)</f>
        <v>FIXTANK 179</v>
      </c>
      <c r="D59" s="80">
        <f t="shared" si="129"/>
        <v>1308.3230101029362</v>
      </c>
      <c r="E59" s="63" cm="1">
        <f t="array" ref="E59">IF(ISBLANK(INDEX(FX_Input,$KB59,$E$85)),0.03,INDEX(FX_Input,$KB59,$E$85))-IF(ISBLANK(INDEX(FX_Input,$KB59,$E$86)),-0.03,INDEX(FX_Input,$KB59,$E$86))</f>
        <v>0.06</v>
      </c>
      <c r="F59" s="63" cm="1">
        <f t="array" ref="F59">IF(INDEX(FX_Input,$KB59,F$85)="Vertical",INDEX(FX_Input,$KB59,F$86),SQRT((INDEX(FX_Input,$KB59,F$86)*INDEX(FX_Input,$KB59,F$87))/(PI()/4)))</f>
        <v>10.5</v>
      </c>
      <c r="G59" s="63" cm="1">
        <f t="array" ref="G59">IF(INDEX(FX_Input,$KB59,G$85)="Vertical",INDEX(FX_Input,$KB59,G$86),INDEX(FX_Input,$KB59,G$87)*PI()/4)</f>
        <v>30</v>
      </c>
      <c r="H59" s="63" cm="1">
        <f t="array" ref="H59">IF(INDEX(FX_Input,$KB59,H$85)="Vertical",G59-G59/2+J59,G59/2)</f>
        <v>15.109375</v>
      </c>
      <c r="I59" s="63" cm="1">
        <f t="array" ref="I59">IF(INDEX(FX_Input,$KB59,F$85)="Horizontal","N/A",IF(INDEX(FX_Input,$KB59,I$86)="Cone",IF(ISBLANK(INDEX(FX_Input,$KB59,I$87)),0.0625,INDEX(FX_Input,$KB59,I$87))*F59/2,F59/2-SQRT((F59/2)^2-(INDEX(FX_Input,$KB59,I$88)^2))))</f>
        <v>0.328125</v>
      </c>
      <c r="J59" s="63" cm="1">
        <f t="array" ref="J59">IF(INDEX(FX_Input,$KB59,J$85)="Horizontal","N/A",IF(INDEX(FX_Input,$KB59,J$86)="Cone",I59/3,I59*(1/2+(1/6)*(I59/(F59/2))^2)))</f>
        <v>0.109375</v>
      </c>
      <c r="K59" s="63">
        <f t="shared" si="130"/>
        <v>29</v>
      </c>
      <c r="L59" s="63">
        <v>1</v>
      </c>
      <c r="M59" s="63" cm="1">
        <f t="array" ref="M59">INDEX(Tbl_71_6,MATCH(INDEX(FX_Input,$KB59,M$85),Paint_Color,0),VLOOKUP(INDEX(FX_Input,$KB59,M$86),Paint_Cond_Column,2,FALSE))</f>
        <v>0.25</v>
      </c>
      <c r="N59" s="63" cm="1">
        <f t="array" ref="N59">INDEX(Tbl_71_6,MATCH(INDEX(FX_Input,$KB59,N$85),Paint_Color,0),VLOOKUP(INDEX(FX_Input,$KB59,N$86),Paint_Cond_Column,2,FALSE))</f>
        <v>0.25</v>
      </c>
      <c r="O59" s="64">
        <f t="shared" si="2"/>
        <v>0.25</v>
      </c>
      <c r="P59" s="80" t="str" cm="1">
        <f t="array" ref="P59">IF(ISBLANK(INDEX(FX_Input,$KB59+1,P$85)),INDEX(FX_Input,$KB59,P$85),INDEX(FX_Input,$KB59,P$85)&amp;" &amp; "&amp;INDEX(FX_Input,$KB59+1,P$85))</f>
        <v>Jet kerosene</v>
      </c>
      <c r="Q59" s="63" cm="1">
        <f t="array" ref="Q59">INDEX(FX_Temps,$KC59+7,Q$89)</f>
        <v>8.9950000000000241</v>
      </c>
      <c r="R59" s="63" cm="1">
        <f t="array" ref="R59">INDEX(FX_Temps,$KC59+13,R$89)+459.6</f>
        <v>504.34892500000001</v>
      </c>
      <c r="S59" s="63" cm="1">
        <f t="array" ref="S59">INDEX(FX_Vap,$KG59,S$91)-INDEX(FX_Vap,$KH59,S$91)</f>
        <v>7.0794953556663209E-4</v>
      </c>
      <c r="T59" s="73" cm="1">
        <f t="array" ref="T59">IF(P59="Out of Service",0,INDEX(FX_Vap,$KI59,T$91))</f>
        <v>4.883250638471285E-3</v>
      </c>
      <c r="U59" s="63">
        <f t="shared" si="3"/>
        <v>1.3800061771949319E-2</v>
      </c>
      <c r="V59" s="63">
        <f t="shared" si="4"/>
        <v>0.99610474052928877</v>
      </c>
      <c r="W59" s="63" cm="1">
        <f t="array" ref="W59">INDEX(FX_Vap,$KJ59,W$91)</f>
        <v>130</v>
      </c>
      <c r="X59" s="63" cm="1">
        <f t="array" ref="X59">INDEX(FX_Temps,$KD59,X$89)+459.6</f>
        <v>504.34892500000001</v>
      </c>
      <c r="Y59" s="63">
        <f t="shared" si="5"/>
        <v>1.1729542507733997E-4</v>
      </c>
      <c r="Z59" s="63" cm="1">
        <f t="array" ref="Z59">INDEX(Month_Ref,Z$83,3)*U59*(PI()/4*$F59^2)*$H59*V59*Y59</f>
        <v>6.5394885582341244E-2</v>
      </c>
      <c r="AA59" s="63" cm="1">
        <f t="array" ref="AA59">INDEX(FX_Input,$KB59,AA$85)</f>
        <v>463</v>
      </c>
      <c r="AB59" s="63">
        <f t="shared" si="6"/>
        <v>2599.2820000000002</v>
      </c>
      <c r="AC59" s="63">
        <f t="shared" si="7"/>
        <v>1.0720792453250092</v>
      </c>
      <c r="AD59" s="63">
        <f t="shared" si="8"/>
        <v>1</v>
      </c>
      <c r="AE59" s="63" cm="1">
        <f t="array" ref="AE59">IF(OR(INDEX(FX_Vap,$KK59,AE$90)="Crude Oil",(INDEX(FX_Vap,$KL59,AE$90)="Crude Oil")),0.75,1)</f>
        <v>1</v>
      </c>
      <c r="AF59" s="63">
        <f t="shared" si="108"/>
        <v>1</v>
      </c>
      <c r="AG59" s="63">
        <f t="shared" si="9"/>
        <v>0.30488388708587838</v>
      </c>
      <c r="AH59" s="64">
        <f t="shared" si="10"/>
        <v>0.37027877266821962</v>
      </c>
      <c r="AI59" s="80" t="str" cm="1">
        <f t="array" ref="AI59">IF(ISBLANK(INDEX(FX_Input,$KB59+1,AI$85)),INDEX(FX_Input,$KB59,AI$85),INDEX(FX_Input,$KB59,AI$85)&amp;" &amp; "&amp;INDEX(FX_Input,$KB59+1,AI$85))</f>
        <v>Jet kerosene</v>
      </c>
      <c r="AJ59" s="63" cm="1">
        <f t="array" ref="AJ59">INDEX(FX_Temps,$KC59+7,AJ$89)</f>
        <v>12.239999999999991</v>
      </c>
      <c r="AK59" s="63" cm="1">
        <f t="array" ref="AK59">INDEX(FX_Temps,$KC59+13,AK$89)+459.6</f>
        <v>505.78500000000008</v>
      </c>
      <c r="AL59" s="63" cm="1">
        <f t="array" ref="AL59">INDEX(FX_Vap,$KG59,AL$91)-INDEX(FX_Vap,$KH59,AL$91)</f>
        <v>9.3413357178260322E-4</v>
      </c>
      <c r="AM59" s="73" cm="1">
        <f t="array" ref="AM59">IF(AI59="Out of Service",0,INDEX(FX_Vap,$KI59,AM$91))</f>
        <v>5.1351067062407989E-3</v>
      </c>
      <c r="AN59" s="63">
        <f t="shared" si="11"/>
        <v>2.0180515663370695E-2</v>
      </c>
      <c r="AO59" s="63">
        <f t="shared" si="12"/>
        <v>0.99590466334769079</v>
      </c>
      <c r="AP59" s="63" cm="1">
        <f t="array" ref="AP59">INDEX(FX_Vap,$KJ59,AP$91)</f>
        <v>130</v>
      </c>
      <c r="AQ59" s="63" cm="1">
        <f t="array" ref="AQ59">INDEX(FX_Temps,$KD59,AQ$89)+459.6</f>
        <v>505.78500000000008</v>
      </c>
      <c r="AR59" s="63">
        <f t="shared" si="13"/>
        <v>1.2299478130220538E-4</v>
      </c>
      <c r="AS59" s="63" cm="1">
        <f t="array" ref="AS59">INDEX(Month_Ref,AS$83,3)*AN59*(PI()/4*$F59^2)*$H59*AO59*AR59</f>
        <v>9.0554434101740841E-2</v>
      </c>
      <c r="AT59" s="63" cm="1">
        <f t="array" ref="AT59">INDEX(FX_Input,$KB59,AT$85)</f>
        <v>463</v>
      </c>
      <c r="AU59" s="63">
        <f t="shared" si="14"/>
        <v>2599.2820000000002</v>
      </c>
      <c r="AV59" s="63">
        <f t="shared" si="15"/>
        <v>1.0720792453250092</v>
      </c>
      <c r="AW59" s="63">
        <f t="shared" si="16"/>
        <v>1</v>
      </c>
      <c r="AX59" s="63" cm="1">
        <f t="array" ref="AX59">IF(OR(INDEX(FX_Vap,$KK59,AX$90)="Crude Oil",(INDEX(FX_Vap,$KL59,AX$90)="Crude Oil")),0.75,1)</f>
        <v>1</v>
      </c>
      <c r="AY59" s="63">
        <f t="shared" si="109"/>
        <v>1</v>
      </c>
      <c r="AZ59" s="63">
        <f t="shared" si="17"/>
        <v>0.31969812113275903</v>
      </c>
      <c r="BA59" s="64">
        <f t="shared" si="18"/>
        <v>0.41025255523449988</v>
      </c>
      <c r="BB59" s="80" t="str" cm="1">
        <f t="array" ref="BB59">IF(ISBLANK(INDEX(FX_Input,$KB59+1,BB$85)),INDEX(FX_Input,$KB59,BB$85),INDEX(FX_Input,$KB59,BB$85)&amp;" &amp; "&amp;INDEX(FX_Input,$KB59+1,BB$85))</f>
        <v>Jet kerosene</v>
      </c>
      <c r="BC59" s="63" cm="1">
        <f t="array" ref="BC59">INDEX(FX_Temps,$KC59+7,BC$89)</f>
        <v>13.62500000000003</v>
      </c>
      <c r="BD59" s="63" cm="1">
        <f t="array" ref="BD59">INDEX(FX_Temps,$KC59+13,BD$89)+459.6</f>
        <v>507.87057500000003</v>
      </c>
      <c r="BE59" s="63" cm="1">
        <f t="array" ref="BE59">INDEX(FX_Vap,$KG59,BE$91)-INDEX(FX_Vap,$KH59,BE$91)</f>
        <v>9.8971985989682477E-4</v>
      </c>
      <c r="BF59" s="73" cm="1">
        <f t="array" ref="BF59">IF(BB59="Out of Service",0,INDEX(FX_Vap,$KI59,BF$91))</f>
        <v>5.5213829543467952E-3</v>
      </c>
      <c r="BG59" s="63">
        <f t="shared" si="19"/>
        <v>2.2811888004276384E-2</v>
      </c>
      <c r="BH59" s="63">
        <f t="shared" si="20"/>
        <v>0.99559795744300739</v>
      </c>
      <c r="BI59" s="63" cm="1">
        <f t="array" ref="BI59">INDEX(FX_Vap,$KJ59,BI$91)</f>
        <v>130</v>
      </c>
      <c r="BJ59" s="63" cm="1">
        <f t="array" ref="BJ59">INDEX(FX_Temps,$KD59,BJ$89)+459.6</f>
        <v>507.87057500000003</v>
      </c>
      <c r="BK59" s="63">
        <f t="shared" si="21"/>
        <v>1.3170370007990181E-4</v>
      </c>
      <c r="BL59" s="63" cm="1">
        <f t="array" ref="BL59">INDEX(Month_Ref,BL$83,3)*BG59*(PI()/4*$F59^2)*$H59*BH59*BK59</f>
        <v>0.1213165013834661</v>
      </c>
      <c r="BM59" s="63" cm="1">
        <f t="array" ref="BM59">INDEX(FX_Input,$KB59,BM$85)</f>
        <v>463</v>
      </c>
      <c r="BN59" s="63">
        <f t="shared" si="22"/>
        <v>2599.2820000000002</v>
      </c>
      <c r="BO59" s="63">
        <f t="shared" si="23"/>
        <v>1.0720792453250092</v>
      </c>
      <c r="BP59" s="63">
        <f t="shared" si="24"/>
        <v>1</v>
      </c>
      <c r="BQ59" s="63" cm="1">
        <f t="array" ref="BQ59">IF(OR(INDEX(FX_Vap,$KK59,BQ$90)="Crude Oil",(INDEX(FX_Vap,$KL59,BQ$90)="Crude Oil")),0.75,1)</f>
        <v>1</v>
      </c>
      <c r="BR59" s="63">
        <f t="shared" si="110"/>
        <v>1</v>
      </c>
      <c r="BS59" s="63">
        <f t="shared" si="25"/>
        <v>0.34233505695108735</v>
      </c>
      <c r="BT59" s="64">
        <f t="shared" si="26"/>
        <v>0.46365155833455346</v>
      </c>
      <c r="BU59" s="80" t="str" cm="1">
        <f t="array" ref="BU59">IF(ISBLANK(INDEX(FX_Input,$KB59+1,BU$85)),INDEX(FX_Input,$KB59,BU$85),INDEX(FX_Input,$KB59,BU$85)&amp;" &amp; "&amp;INDEX(FX_Input,$KB59+1,BU$85))</f>
        <v>Jet kerosene</v>
      </c>
      <c r="BV59" s="63" cm="1">
        <f t="array" ref="BV59">INDEX(FX_Temps,$KC59+7,BV$89)</f>
        <v>15.639999999999983</v>
      </c>
      <c r="BW59" s="63" cm="1">
        <f t="array" ref="BW59">INDEX(FX_Temps,$KC59+13,BW$89)+459.6</f>
        <v>511.29869999999994</v>
      </c>
      <c r="BX59" s="63" cm="1">
        <f t="array" ref="BX59">INDEX(FX_Vap,$KG59,BX$91)-INDEX(FX_Vap,$KH59,BX$91)</f>
        <v>1.1058961440241618E-3</v>
      </c>
      <c r="BY59" s="73" cm="1">
        <f t="array" ref="BY59">IF(BU59="Out of Service",0,INDEX(FX_Vap,$KI59,BY$91))</f>
        <v>6.2124720487193742E-3</v>
      </c>
      <c r="BZ59" s="63">
        <f t="shared" si="27"/>
        <v>2.6580677742499288E-2</v>
      </c>
      <c r="CA59" s="63">
        <f t="shared" si="28"/>
        <v>0.99504969918847952</v>
      </c>
      <c r="CB59" s="63" cm="1">
        <f t="array" ref="CB59">INDEX(FX_Vap,$KJ59,CB$91)</f>
        <v>130</v>
      </c>
      <c r="CC59" s="63" cm="1">
        <f t="array" ref="CC59">INDEX(FX_Temps,$KD59,CC$89)+459.6</f>
        <v>511.29869999999994</v>
      </c>
      <c r="CD59" s="63">
        <f t="shared" si="29"/>
        <v>1.4719495213728575E-4</v>
      </c>
      <c r="CE59" s="63" cm="1">
        <f t="array" ref="CE59">INDEX(Month_Ref,CE$83,3)*BZ59*(PI()/4*$F59^2)*$H59*CA59*CD59</f>
        <v>0.1528058475099362</v>
      </c>
      <c r="CF59" s="63" cm="1">
        <f t="array" ref="CF59">INDEX(FX_Input,$KB59,CF$85)</f>
        <v>463</v>
      </c>
      <c r="CG59" s="63">
        <f t="shared" si="30"/>
        <v>2599.2820000000002</v>
      </c>
      <c r="CH59" s="63">
        <f t="shared" si="31"/>
        <v>1.0720792453250092</v>
      </c>
      <c r="CI59" s="63">
        <f t="shared" si="32"/>
        <v>1</v>
      </c>
      <c r="CJ59" s="63" cm="1">
        <f t="array" ref="CJ59">IF(OR(INDEX(FX_Vap,$KK59,CJ$90)="Crude Oil",(INDEX(FX_Vap,$KL59,CJ$90)="Crude Oil")),0.75,1)</f>
        <v>1</v>
      </c>
      <c r="CK59" s="63">
        <f t="shared" si="111"/>
        <v>1</v>
      </c>
      <c r="CL59" s="63">
        <f t="shared" si="33"/>
        <v>0.3826011895813084</v>
      </c>
      <c r="CM59" s="64">
        <f t="shared" si="34"/>
        <v>0.5354070370912446</v>
      </c>
      <c r="CN59" s="80" t="str" cm="1">
        <f t="array" ref="CN59">IF(ISBLANK(INDEX(FX_Input,$KB59+1,CN$85)),INDEX(FX_Input,$KB59,CN$85),INDEX(FX_Input,$KB59,CN$85)&amp;" &amp; "&amp;INDEX(FX_Input,$KB59+1,CN$85))</f>
        <v>Jet kerosene</v>
      </c>
      <c r="CO59" s="63" cm="1">
        <f t="array" ref="CO59">INDEX(FX_Temps,$KC59+7,CO$89)</f>
        <v>16.994999999999969</v>
      </c>
      <c r="CP59" s="63" cm="1">
        <f t="array" ref="CP59">INDEX(FX_Temps,$KC59+13,CP$89)+459.6</f>
        <v>516.5540749999999</v>
      </c>
      <c r="CQ59" s="63" cm="1">
        <f t="array" ref="CQ59">INDEX(FX_Vap,$KG59,CQ$91)-INDEX(FX_Vap,$KH59,CQ$91)</f>
        <v>1.2769509865756092E-3</v>
      </c>
      <c r="CR59" s="73" cm="1">
        <f t="array" ref="CR59">IF(CN59="Out of Service",0,INDEX(FX_Vap,$KI59,CR$91))</f>
        <v>7.4209663387537275E-3</v>
      </c>
      <c r="CS59" s="63">
        <f t="shared" si="35"/>
        <v>2.8903935164848002E-2</v>
      </c>
      <c r="CT59" s="63">
        <f t="shared" si="36"/>
        <v>0.99409242024182953</v>
      </c>
      <c r="CU59" s="63" cm="1">
        <f t="array" ref="CU59">INDEX(FX_Vap,$KJ59,CU$91)</f>
        <v>130</v>
      </c>
      <c r="CV59" s="63" cm="1">
        <f t="array" ref="CV59">INDEX(FX_Temps,$KD59,CV$89)+459.6</f>
        <v>516.5540749999999</v>
      </c>
      <c r="CW59" s="63">
        <f t="shared" si="37"/>
        <v>1.7403950007616097E-4</v>
      </c>
      <c r="CX59" s="63" cm="1">
        <f t="array" ref="CX59">INDEX(Month_Ref,CX$83,3)*CS59*(PI()/4*$F59^2)*$H59*CT59*CW59</f>
        <v>0.20281881331489715</v>
      </c>
      <c r="CY59" s="63" cm="1">
        <f t="array" ref="CY59">INDEX(FX_Input,$KB59,CY$85)</f>
        <v>463</v>
      </c>
      <c r="CZ59" s="63">
        <f t="shared" si="38"/>
        <v>2599.2820000000002</v>
      </c>
      <c r="DA59" s="63">
        <f t="shared" si="39"/>
        <v>1.0720792453250092</v>
      </c>
      <c r="DB59" s="63">
        <f t="shared" si="40"/>
        <v>1</v>
      </c>
      <c r="DC59" s="63" cm="1">
        <f t="array" ref="DC59">IF(OR(INDEX(FX_Vap,$KK59,DC$90)="Crude Oil",(INDEX(FX_Vap,$KL59,DC$90)="Crude Oil")),0.75,1)</f>
        <v>1</v>
      </c>
      <c r="DD59" s="63">
        <f t="shared" si="112"/>
        <v>1</v>
      </c>
      <c r="DE59" s="63">
        <f t="shared" si="41"/>
        <v>0.45237773983696389</v>
      </c>
      <c r="DF59" s="64">
        <f t="shared" si="42"/>
        <v>0.65519655315186109</v>
      </c>
      <c r="DG59" s="80" t="str" cm="1">
        <f t="array" ref="DG59">IF(ISBLANK(INDEX(FX_Input,$KB59+1,DG$85)),INDEX(FX_Input,$KB59,DG$85),INDEX(FX_Input,$KB59,DG$85)&amp;" &amp; "&amp;INDEX(FX_Input,$KB59+1,DG$85))</f>
        <v>Jet kerosene</v>
      </c>
      <c r="DH59" s="63" cm="1">
        <f t="array" ref="DH59">INDEX(FX_Temps,$KC59+7,DH$89)</f>
        <v>16.885000000000041</v>
      </c>
      <c r="DI59" s="63" cm="1">
        <f t="array" ref="DI59">INDEX(FX_Temps,$KC59+13,DI$89)+459.6</f>
        <v>520.5768250000001</v>
      </c>
      <c r="DJ59" s="63" cm="1">
        <f t="array" ref="DJ59">INDEX(FX_Vap,$KG59,DJ$91)-INDEX(FX_Vap,$KH59,DJ$91)</f>
        <v>1.3484653740421003E-3</v>
      </c>
      <c r="DK59" s="73" cm="1">
        <f t="array" ref="DK59">IF(DG59="Out of Service",0,INDEX(FX_Vap,$KI59,DK$91))</f>
        <v>8.4819819298252285E-3</v>
      </c>
      <c r="DL59" s="63">
        <f t="shared" si="43"/>
        <v>2.8442970354993463E-2</v>
      </c>
      <c r="DM59" s="63">
        <f t="shared" si="44"/>
        <v>0.99325348006519398</v>
      </c>
      <c r="DN59" s="63" cm="1">
        <f t="array" ref="DN59">INDEX(FX_Vap,$KJ59,DN$91)</f>
        <v>130</v>
      </c>
      <c r="DO59" s="63" cm="1">
        <f t="array" ref="DO59">INDEX(FX_Temps,$KD59,DO$89)+459.6</f>
        <v>520.5768250000001</v>
      </c>
      <c r="DP59" s="63">
        <f t="shared" si="45"/>
        <v>1.9738569267093546E-4</v>
      </c>
      <c r="DQ59" s="63" cm="1">
        <f t="array" ref="DQ59">INDEX(Month_Ref,DQ$83,3)*DL59*(PI()/4*$F59^2)*$H59*DM59*DP59</f>
        <v>0.21887035804073038</v>
      </c>
      <c r="DR59" s="63" cm="1">
        <f t="array" ref="DR59">INDEX(FX_Input,$KB59,DR$85)</f>
        <v>463</v>
      </c>
      <c r="DS59" s="63">
        <f t="shared" si="46"/>
        <v>2599.2820000000002</v>
      </c>
      <c r="DT59" s="63">
        <f t="shared" si="47"/>
        <v>1.0720792453250092</v>
      </c>
      <c r="DU59" s="63">
        <f t="shared" si="48"/>
        <v>1</v>
      </c>
      <c r="DV59" s="63" cm="1">
        <f t="array" ref="DV59">IF(OR(INDEX(FX_Vap,$KK59,DV$90)="Crude Oil",(INDEX(FX_Vap,$KL59,DV$90)="Crude Oil")),0.75,1)</f>
        <v>1</v>
      </c>
      <c r="DW59" s="63">
        <f t="shared" si="113"/>
        <v>1</v>
      </c>
      <c r="DX59" s="63">
        <f t="shared" si="49"/>
        <v>0.51306107801709444</v>
      </c>
      <c r="DY59" s="64">
        <f t="shared" si="50"/>
        <v>0.73193143605782485</v>
      </c>
      <c r="DZ59" s="80" t="str" cm="1">
        <f t="array" ref="DZ59">IF(ISBLANK(INDEX(FX_Input,$KB59+1,DZ$85)),INDEX(FX_Input,$KB59,DZ$85),INDEX(FX_Input,$KB59,DZ$85)&amp;" &amp; "&amp;INDEX(FX_Input,$KB59+1,DZ$85))</f>
        <v>Jet kerosene</v>
      </c>
      <c r="EA59" s="63" cm="1">
        <f t="array" ref="EA59">INDEX(FX_Temps,$KC59+7,EA$89)</f>
        <v>17.42999999999995</v>
      </c>
      <c r="EB59" s="63" cm="1">
        <f t="array" ref="EB59">INDEX(FX_Temps,$KC59+13,EB$89)+459.6</f>
        <v>524.27729999999985</v>
      </c>
      <c r="EC59" s="63" cm="1">
        <f t="array" ref="EC59">INDEX(FX_Vap,$KG59,EC$91)-INDEX(FX_Vap,$KH59,EC$91)</f>
        <v>1.5227758159827732E-3</v>
      </c>
      <c r="ED59" s="73" cm="1">
        <f t="array" ref="ED59">IF(DZ59="Out of Service",0,INDEX(FX_Vap,$KI59,ED$91))</f>
        <v>9.5741064128135375E-3</v>
      </c>
      <c r="EE59" s="63">
        <f t="shared" si="51"/>
        <v>2.9265130122321317E-2</v>
      </c>
      <c r="EF59" s="63">
        <f t="shared" si="52"/>
        <v>0.99239141983724743</v>
      </c>
      <c r="EG59" s="63" cm="1">
        <f t="array" ref="EG59">INDEX(FX_Vap,$KJ59,EG$91)</f>
        <v>130</v>
      </c>
      <c r="EH59" s="63" cm="1">
        <f t="array" ref="EH59">INDEX(FX_Temps,$KD59,EH$89)+459.6</f>
        <v>524.27729999999985</v>
      </c>
      <c r="EI59" s="63">
        <f t="shared" si="53"/>
        <v>2.2122813261247964E-4</v>
      </c>
      <c r="EJ59" s="63" cm="1">
        <f t="array" ref="EJ59">INDEX(Month_Ref,EJ$83,3)*EE59*(PI()/4*$F59^2)*$H59*EF59*EI59</f>
        <v>0.26058564455124528</v>
      </c>
      <c r="EK59" s="63" cm="1">
        <f t="array" ref="EK59">INDEX(FX_Input,$KB59,EK$85)</f>
        <v>463</v>
      </c>
      <c r="EL59" s="63">
        <f t="shared" si="54"/>
        <v>2599.2820000000002</v>
      </c>
      <c r="EM59" s="63">
        <f t="shared" si="55"/>
        <v>1.0720792453250092</v>
      </c>
      <c r="EN59" s="63">
        <f t="shared" si="56"/>
        <v>1</v>
      </c>
      <c r="EO59" s="63" cm="1">
        <f t="array" ref="EO59">IF(OR(INDEX(FX_Vap,$KK59,EO$90)="Crude Oil",(INDEX(FX_Vap,$KL59,EO$90)="Crude Oil")),0.75,1)</f>
        <v>1</v>
      </c>
      <c r="EP59" s="63">
        <f t="shared" si="114"/>
        <v>1</v>
      </c>
      <c r="EQ59" s="63">
        <f t="shared" si="57"/>
        <v>0.57503430299323133</v>
      </c>
      <c r="ER59" s="64">
        <f t="shared" si="58"/>
        <v>0.83561994754447655</v>
      </c>
      <c r="ES59" s="80" t="str" cm="1">
        <f t="array" ref="ES59">IF(ISBLANK(INDEX(FX_Input,$KB59+1,ES$85)),INDEX(FX_Input,$KB59,ES$85),INDEX(FX_Input,$KB59,ES$85)&amp;" &amp; "&amp;INDEX(FX_Input,$KB59+1,ES$85))</f>
        <v>Jet kerosene</v>
      </c>
      <c r="ET59" s="63" cm="1">
        <f t="array" ref="ET59">INDEX(FX_Temps,$KC59+7,ET$89)</f>
        <v>16.980000000000015</v>
      </c>
      <c r="EU59" s="63" cm="1">
        <f t="array" ref="EU59">INDEX(FX_Temps,$KC59+13,EU$89)+459.6</f>
        <v>524.19269999999995</v>
      </c>
      <c r="EV59" s="63" cm="1">
        <f t="array" ref="EV59">INDEX(FX_Vap,$KG59,EV$91)-INDEX(FX_Vap,$KH59,EV$91)</f>
        <v>1.6347701028187334E-3</v>
      </c>
      <c r="EW59" s="73" cm="1">
        <f t="array" ref="EW59">IF(ES59="Out of Service",0,INDEX(FX_Vap,$KI59,EW$91))</f>
        <v>9.5478148180509845E-3</v>
      </c>
      <c r="EX59" s="63">
        <f t="shared" si="59"/>
        <v>2.8419663497525748E-2</v>
      </c>
      <c r="EY59" s="63">
        <f t="shared" si="60"/>
        <v>0.99241215533071325</v>
      </c>
      <c r="EZ59" s="63" cm="1">
        <f t="array" ref="EZ59">INDEX(FX_Vap,$KJ59,EZ$91)</f>
        <v>130</v>
      </c>
      <c r="FA59" s="63" cm="1">
        <f t="array" ref="FA59">INDEX(FX_Temps,$KD59,FA$89)+459.6</f>
        <v>524.19269999999995</v>
      </c>
      <c r="FB59" s="63">
        <f t="shared" si="61"/>
        <v>2.2065622096450189E-4</v>
      </c>
      <c r="FC59" s="63" cm="1">
        <f t="array" ref="FC59">INDEX(Month_Ref,FC$83,3)*EX59*(PI()/4*$F59^2)*$H59*EY59*FB59</f>
        <v>0.25240843019253772</v>
      </c>
      <c r="FD59" s="63" cm="1">
        <f t="array" ref="FD59">INDEX(FX_Input,$KB59,FD$85)</f>
        <v>463</v>
      </c>
      <c r="FE59" s="63">
        <f t="shared" si="62"/>
        <v>2599.2820000000002</v>
      </c>
      <c r="FF59" s="63">
        <f t="shared" si="63"/>
        <v>1.0720792453250092</v>
      </c>
      <c r="FG59" s="63">
        <f t="shared" si="64"/>
        <v>1</v>
      </c>
      <c r="FH59" s="63" cm="1">
        <f t="array" ref="FH59">IF(OR(INDEX(FX_Vap,$KK59,FH$90)="Crude Oil",(INDEX(FX_Vap,$KL59,FH$90)="Crude Oil")),0.75,1)</f>
        <v>1</v>
      </c>
      <c r="FI59" s="63">
        <f t="shared" si="115"/>
        <v>1</v>
      </c>
      <c r="FJ59" s="63">
        <f t="shared" si="65"/>
        <v>0.57354774334105241</v>
      </c>
      <c r="FK59" s="64">
        <f t="shared" si="66"/>
        <v>0.82595617353359008</v>
      </c>
      <c r="FL59" s="80" t="str" cm="1">
        <f t="array" ref="FL59">IF(ISBLANK(INDEX(FX_Input,$KB59+1,FL$85)),INDEX(FX_Input,$KB59,FL$85),INDEX(FX_Input,$KB59,FL$85)&amp;" &amp; "&amp;INDEX(FX_Input,$KB59+1,FL$85))</f>
        <v>Jet kerosene</v>
      </c>
      <c r="FM59" s="63" cm="1">
        <f t="array" ref="FM59">INDEX(FX_Temps,$KC59+7,FM$89)</f>
        <v>17.459999999999983</v>
      </c>
      <c r="FN59" s="63" cm="1">
        <f t="array" ref="FN59">INDEX(FX_Temps,$KC59+13,FN$89)+459.6</f>
        <v>521.16010000000006</v>
      </c>
      <c r="FO59" s="63" cm="1">
        <f t="array" ref="FO59">INDEX(FX_Vap,$KG59,FO$91)-INDEX(FX_Vap,$KH59,FO$91)</f>
        <v>1.8182300379836203E-3</v>
      </c>
      <c r="FP59" s="73" cm="1">
        <f t="array" ref="FP59">IF(FL59="Out of Service",0,INDEX(FX_Vap,$KI59,FP$91))</f>
        <v>8.6464528192362108E-3</v>
      </c>
      <c r="FQ59" s="63">
        <f t="shared" si="67"/>
        <v>2.9541908055768631E-2</v>
      </c>
      <c r="FR59" s="63">
        <f t="shared" si="68"/>
        <v>0.9931235604304085</v>
      </c>
      <c r="FS59" s="63" cm="1">
        <f t="array" ref="FS59">INDEX(FX_Vap,$KJ59,FS$91)</f>
        <v>130</v>
      </c>
      <c r="FT59" s="63" cm="1">
        <f t="array" ref="FT59">INDEX(FX_Temps,$KD59,FT$89)+459.6</f>
        <v>521.16010000000006</v>
      </c>
      <c r="FU59" s="63">
        <f t="shared" si="69"/>
        <v>2.009879287762041E-4</v>
      </c>
      <c r="FV59" s="63" cm="1">
        <f t="array" ref="FV59">INDEX(Month_Ref,FV$83,3)*FQ59*(PI()/4*$F59^2)*$H59*FR59*FU59</f>
        <v>0.23144512429100134</v>
      </c>
      <c r="FW59" s="63" cm="1">
        <f t="array" ref="FW59">INDEX(FX_Input,$KB59,FW$85)</f>
        <v>463</v>
      </c>
      <c r="FX59" s="63">
        <f t="shared" si="70"/>
        <v>2599.2820000000002</v>
      </c>
      <c r="FY59" s="63">
        <f t="shared" si="71"/>
        <v>1.0720792453250092</v>
      </c>
      <c r="FZ59" s="63">
        <f t="shared" si="72"/>
        <v>1</v>
      </c>
      <c r="GA59" s="63" cm="1">
        <f t="array" ref="GA59">IF(OR(INDEX(FX_Vap,$KK59,GA$90)="Crude Oil",(INDEX(FX_Vap,$KL59,GA$90)="Crude Oil")),0.75,1)</f>
        <v>1</v>
      </c>
      <c r="GB59" s="63">
        <f t="shared" si="116"/>
        <v>1</v>
      </c>
      <c r="GC59" s="63">
        <f t="shared" si="73"/>
        <v>0.52242430548526941</v>
      </c>
      <c r="GD59" s="64">
        <f t="shared" si="74"/>
        <v>0.75386942977627069</v>
      </c>
      <c r="GE59" s="80" t="str" cm="1">
        <f t="array" ref="GE59">IF(ISBLANK(INDEX(FX_Input,$KB59+1,GE$85)),INDEX(FX_Input,$KB59,GE$85),INDEX(FX_Input,$KB59,GE$85)&amp;" &amp; "&amp;INDEX(FX_Input,$KB59+1,GE$85))</f>
        <v>Jet kerosene</v>
      </c>
      <c r="GF59" s="63" cm="1">
        <f t="array" ref="GF59">INDEX(FX_Temps,$KC59+7,GF$89)</f>
        <v>13.929999999999993</v>
      </c>
      <c r="GG59" s="63" cm="1">
        <f t="array" ref="GG59">INDEX(FX_Temps,$KC59+13,GG$89)+459.6</f>
        <v>514.05180000000007</v>
      </c>
      <c r="GH59" s="63" cm="1">
        <f t="array" ref="GH59">INDEX(FX_Vap,$KG59,GH$91)-INDEX(FX_Vap,$KH59,GH$91)</f>
        <v>1.3347759158748732E-3</v>
      </c>
      <c r="GI59" s="73" cm="1">
        <f t="array" ref="GI59">IF(GE59="Out of Service",0,INDEX(FX_Vap,$KI59,GI$91))</f>
        <v>6.8218393379121701E-3</v>
      </c>
      <c r="GJ59" s="63">
        <f t="shared" si="75"/>
        <v>2.3105751925026341E-2</v>
      </c>
      <c r="GK59" s="63">
        <f t="shared" si="76"/>
        <v>0.99456677359042123</v>
      </c>
      <c r="GL59" s="63" cm="1">
        <f t="array" ref="GL59">INDEX(FX_Vap,$KJ59,GL$91)</f>
        <v>130</v>
      </c>
      <c r="GM59" s="63" cm="1">
        <f t="array" ref="GM59">INDEX(FX_Temps,$KD59,GM$89)+459.6</f>
        <v>514.05180000000007</v>
      </c>
      <c r="GN59" s="63">
        <f t="shared" si="77"/>
        <v>1.6076731562400743E-4</v>
      </c>
      <c r="GO59" s="63" cm="1">
        <f t="array" ref="GO59">INDEX(Month_Ref,GO$83,3)*GJ59*(PI()/4*$F59^2)*$H59*GK59*GN59</f>
        <v>0.14984024905295698</v>
      </c>
      <c r="GP59" s="63" cm="1">
        <f t="array" ref="GP59">INDEX(FX_Input,$KB59,GP$85)</f>
        <v>463</v>
      </c>
      <c r="GQ59" s="63">
        <f t="shared" si="78"/>
        <v>2599.2820000000002</v>
      </c>
      <c r="GR59" s="63">
        <f t="shared" si="79"/>
        <v>1.0720792453250092</v>
      </c>
      <c r="GS59" s="63">
        <f t="shared" si="80"/>
        <v>1</v>
      </c>
      <c r="GT59" s="63" cm="1">
        <f t="array" ref="GT59">IF(OR(INDEX(FX_Vap,$KK59,GT$90)="Crude Oil",(INDEX(FX_Vap,$KL59,GT$90)="Crude Oil")),0.75,1)</f>
        <v>1</v>
      </c>
      <c r="GU59" s="63">
        <f t="shared" si="117"/>
        <v>1</v>
      </c>
      <c r="GV59" s="63">
        <f t="shared" si="81"/>
        <v>0.41787958968980132</v>
      </c>
      <c r="GW59" s="64">
        <f t="shared" si="82"/>
        <v>0.56771983874275833</v>
      </c>
      <c r="GX59" s="80" t="str" cm="1">
        <f t="array" ref="GX59">IF(ISBLANK(INDEX(FX_Input,$KB59+1,GX$85)),INDEX(FX_Input,$KB59,GX$85),INDEX(FX_Input,$KB59,GX$85)&amp;" &amp; "&amp;INDEX(FX_Input,$KB59+1,GX$85))</f>
        <v>Jet kerosene</v>
      </c>
      <c r="GY59" s="63" cm="1">
        <f t="array" ref="GY59">INDEX(FX_Temps,$KC59+7,GY$89)</f>
        <v>10.495000000000031</v>
      </c>
      <c r="GZ59" s="63" cm="1">
        <f t="array" ref="GZ59">INDEX(FX_Temps,$KC59+13,GZ$89)+459.6</f>
        <v>507.66772500000002</v>
      </c>
      <c r="HA59" s="63" cm="1">
        <f t="array" ref="HA59">INDEX(FX_Vap,$KG59,HA$91)-INDEX(FX_Vap,$KH59,HA$91)</f>
        <v>9.195178026090425E-4</v>
      </c>
      <c r="HB59" s="73" cm="1">
        <f t="array" ref="HB59">IF(GX59="Out of Service",0,INDEX(FX_Vap,$KI59,HB$91))</f>
        <v>5.4827140055800742E-3</v>
      </c>
      <c r="HC59" s="63">
        <f t="shared" si="83"/>
        <v>1.6652390699251968E-2</v>
      </c>
      <c r="HD59" s="63">
        <f t="shared" si="84"/>
        <v>0.99562865233564557</v>
      </c>
      <c r="HE59" s="63" cm="1">
        <f t="array" ref="HE59">INDEX(FX_Vap,$KJ59,HE$91)</f>
        <v>130</v>
      </c>
      <c r="HF59" s="63" cm="1">
        <f t="array" ref="HF59">INDEX(FX_Temps,$KD59,HF$89)+459.6</f>
        <v>507.66772500000002</v>
      </c>
      <c r="HG59" s="63">
        <f t="shared" si="85"/>
        <v>1.3083357117100054E-4</v>
      </c>
      <c r="HH59" s="63" cm="1">
        <f t="array" ref="HH59">INDEX(Month_Ref,HH$83,3)*HC59*(PI()/4*$F59^2)*$H59*HD59*HG59</f>
        <v>8.5139169258008421E-2</v>
      </c>
      <c r="HI59" s="63" cm="1">
        <f t="array" ref="HI59">INDEX(FX_Input,$KB59,HI$85)</f>
        <v>463</v>
      </c>
      <c r="HJ59" s="63">
        <f t="shared" si="86"/>
        <v>2599.2820000000002</v>
      </c>
      <c r="HK59" s="63">
        <f t="shared" si="87"/>
        <v>1.0720792453250092</v>
      </c>
      <c r="HL59" s="63">
        <f t="shared" si="88"/>
        <v>1</v>
      </c>
      <c r="HM59" s="63" cm="1">
        <f t="array" ref="HM59">IF(OR(INDEX(FX_Vap,$KK59,HM$90)="Crude Oil",(INDEX(FX_Vap,$KL59,HM$90)="Crude Oil")),0.75,1)</f>
        <v>1</v>
      </c>
      <c r="HN59" s="63">
        <f t="shared" si="118"/>
        <v>1</v>
      </c>
      <c r="HO59" s="63">
        <f t="shared" si="89"/>
        <v>0.34007334654050064</v>
      </c>
      <c r="HP59" s="64">
        <f t="shared" si="90"/>
        <v>0.42521251579850905</v>
      </c>
      <c r="HQ59" s="80" t="str" cm="1">
        <f t="array" ref="HQ59">IF(ISBLANK(INDEX(FX_Input,$KB59+1,HQ$85)),INDEX(FX_Input,$KB59,HQ$85),INDEX(FX_Input,$KB59,HQ$85)&amp;" &amp; "&amp;INDEX(FX_Input,$KB59+1,HQ$85))</f>
        <v>Jet kerosene</v>
      </c>
      <c r="HR59" s="63" cm="1">
        <f t="array" ref="HR59">INDEX(FX_Temps,$KC59+7,HR$89)</f>
        <v>8.51</v>
      </c>
      <c r="HS59" s="63" cm="1">
        <f t="array" ref="HS59">INDEX(FX_Temps,$KC59+13,HS$89)+459.6</f>
        <v>503.94745000000006</v>
      </c>
      <c r="HT59" s="63" cm="1">
        <f t="array" ref="HT59">INDEX(FX_Vap,$KG59,HT$91)-INDEX(FX_Vap,$KH59,HT$91)</f>
        <v>6.7288136336403261E-4</v>
      </c>
      <c r="HU59" s="73" cm="1">
        <f t="array" ref="HU59">IF(HQ59="Out of Service",0,INDEX(FX_Vap,$KI59,HU$91))</f>
        <v>4.8148298503950734E-3</v>
      </c>
      <c r="HV59" s="63">
        <f t="shared" si="91"/>
        <v>1.2849500592893781E-2</v>
      </c>
      <c r="HW59" s="63">
        <f t="shared" si="92"/>
        <v>0.99615910862968393</v>
      </c>
      <c r="HX59" s="63" cm="1">
        <f t="array" ref="HX59">INDEX(FX_Vap,$KJ59,HX$91)</f>
        <v>130</v>
      </c>
      <c r="HY59" s="63" cm="1">
        <f t="array" ref="HY59">INDEX(FX_Temps,$KD59,HY$89)+459.6</f>
        <v>503.94745000000006</v>
      </c>
      <c r="HZ59" s="63">
        <f t="shared" si="93"/>
        <v>1.1574409666728695E-4</v>
      </c>
      <c r="IA59" s="63" cm="1">
        <f t="array" ref="IA59">INDEX(Month_Ref,IA$83,3)*HV59*(PI()/4*$F59^2)*$H59*HW59*HZ59</f>
        <v>6.0088378190405842E-2</v>
      </c>
      <c r="IB59" s="63" cm="1">
        <f t="array" ref="IB59">INDEX(FX_Input,$KB59,IB$85)</f>
        <v>463</v>
      </c>
      <c r="IC59" s="63">
        <f t="shared" si="94"/>
        <v>2599.2820000000002</v>
      </c>
      <c r="ID59" s="63">
        <f t="shared" si="95"/>
        <v>1.0720792453250092</v>
      </c>
      <c r="IE59" s="63">
        <f t="shared" si="96"/>
        <v>1</v>
      </c>
      <c r="IF59" s="63" cm="1">
        <f t="array" ref="IF59">IF(OR(INDEX(FX_Vap,$KK59,IF$90)="Crude Oil",(INDEX(FX_Vap,$KL59,IF$90)="Crude Oil")),0.75,1)</f>
        <v>1</v>
      </c>
      <c r="IG59" s="63">
        <f t="shared" si="119"/>
        <v>1</v>
      </c>
      <c r="IH59" s="63">
        <f t="shared" si="97"/>
        <v>0.30085154707353895</v>
      </c>
      <c r="II59" s="64">
        <f t="shared" si="98"/>
        <v>0.36093992526394481</v>
      </c>
      <c r="IJ59" s="80">
        <f t="shared" si="99"/>
        <v>1.8912678354692674</v>
      </c>
      <c r="IK59" s="63">
        <f t="shared" si="100"/>
        <v>9.4563391773463371E-4</v>
      </c>
      <c r="IL59" s="63">
        <f t="shared" si="101"/>
        <v>5.0447679077284855</v>
      </c>
      <c r="IM59" s="63">
        <f t="shared" si="102"/>
        <v>2.5223839538642428E-3</v>
      </c>
      <c r="IN59" s="63">
        <f t="shared" si="103"/>
        <v>6.9360357431977517</v>
      </c>
      <c r="IO59" s="64">
        <f t="shared" si="104"/>
        <v>3.4680178715988759E-3</v>
      </c>
      <c r="KB59" s="43">
        <f t="shared" si="120"/>
        <v>97</v>
      </c>
      <c r="KC59" s="43">
        <f t="shared" si="121"/>
        <v>673</v>
      </c>
      <c r="KD59" s="43">
        <f t="shared" si="122"/>
        <v>686</v>
      </c>
      <c r="KE59" s="43">
        <f t="shared" si="123"/>
        <v>673</v>
      </c>
      <c r="KF59" s="43">
        <f t="shared" si="124"/>
        <v>1633</v>
      </c>
      <c r="KG59" s="43">
        <f t="shared" si="125"/>
        <v>1656</v>
      </c>
      <c r="KH59" s="43">
        <f t="shared" si="126"/>
        <v>1651</v>
      </c>
      <c r="KI59" s="43">
        <f t="shared" si="126"/>
        <v>1661</v>
      </c>
      <c r="KJ59" s="43">
        <f t="shared" si="126"/>
        <v>1666</v>
      </c>
      <c r="KK59" s="43">
        <f t="shared" si="127"/>
        <v>1637</v>
      </c>
      <c r="KL59" s="43">
        <f t="shared" si="128"/>
        <v>1639</v>
      </c>
    </row>
    <row r="60" spans="2:298" x14ac:dyDescent="0.4">
      <c r="B60" s="43" t="str" cm="1">
        <f t="array" ref="B60">INDEX(FX_Input,$KB60,B$85)</f>
        <v>FX - 50</v>
      </c>
      <c r="C60" s="93" t="str" cm="1">
        <f t="array" ref="C60">INDEX(FX_Input,$KB60,C$85)</f>
        <v>FIXTANK 180</v>
      </c>
      <c r="D60" s="80">
        <f t="shared" si="129"/>
        <v>1308.3230101029362</v>
      </c>
      <c r="E60" s="63" cm="1">
        <f t="array" ref="E60">IF(ISBLANK(INDEX(FX_Input,$KB60,$E$85)),0.03,INDEX(FX_Input,$KB60,$E$85))-IF(ISBLANK(INDEX(FX_Input,$KB60,$E$86)),-0.03,INDEX(FX_Input,$KB60,$E$86))</f>
        <v>0.06</v>
      </c>
      <c r="F60" s="63" cm="1">
        <f t="array" ref="F60">IF(INDEX(FX_Input,$KB60,F$85)="Vertical",INDEX(FX_Input,$KB60,F$86),SQRT((INDEX(FX_Input,$KB60,F$86)*INDEX(FX_Input,$KB60,F$87))/(PI()/4)))</f>
        <v>10.5</v>
      </c>
      <c r="G60" s="63" cm="1">
        <f t="array" ref="G60">IF(INDEX(FX_Input,$KB60,G$85)="Vertical",INDEX(FX_Input,$KB60,G$86),INDEX(FX_Input,$KB60,G$87)*PI()/4)</f>
        <v>30</v>
      </c>
      <c r="H60" s="63" cm="1">
        <f t="array" ref="H60">IF(INDEX(FX_Input,$KB60,H$85)="Vertical",G60-G60/2+J60,G60/2)</f>
        <v>15.109375</v>
      </c>
      <c r="I60" s="63" cm="1">
        <f t="array" ref="I60">IF(INDEX(FX_Input,$KB60,F$85)="Horizontal","N/A",IF(INDEX(FX_Input,$KB60,I$86)="Cone",IF(ISBLANK(INDEX(FX_Input,$KB60,I$87)),0.0625,INDEX(FX_Input,$KB60,I$87))*F60/2,F60/2-SQRT((F60/2)^2-(INDEX(FX_Input,$KB60,I$88)^2))))</f>
        <v>0.328125</v>
      </c>
      <c r="J60" s="63" cm="1">
        <f t="array" ref="J60">IF(INDEX(FX_Input,$KB60,J$85)="Horizontal","N/A",IF(INDEX(FX_Input,$KB60,J$86)="Cone",I60/3,I60*(1/2+(1/6)*(I60/(F60/2))^2)))</f>
        <v>0.109375</v>
      </c>
      <c r="K60" s="63">
        <f t="shared" si="130"/>
        <v>29</v>
      </c>
      <c r="L60" s="63">
        <v>1</v>
      </c>
      <c r="M60" s="63" cm="1">
        <f t="array" ref="M60">INDEX(Tbl_71_6,MATCH(INDEX(FX_Input,$KB60,M$85),Paint_Color,0),VLOOKUP(INDEX(FX_Input,$KB60,M$86),Paint_Cond_Column,2,FALSE))</f>
        <v>0.25</v>
      </c>
      <c r="N60" s="63" cm="1">
        <f t="array" ref="N60">INDEX(Tbl_71_6,MATCH(INDEX(FX_Input,$KB60,N$85),Paint_Color,0),VLOOKUP(INDEX(FX_Input,$KB60,N$86),Paint_Cond_Column,2,FALSE))</f>
        <v>0.25</v>
      </c>
      <c r="O60" s="64">
        <f t="shared" si="2"/>
        <v>0.25</v>
      </c>
      <c r="P60" s="80" t="str" cm="1">
        <f t="array" ref="P60">IF(ISBLANK(INDEX(FX_Input,$KB60+1,P$85)),INDEX(FX_Input,$KB60,P$85),INDEX(FX_Input,$KB60,P$85)&amp;" &amp; "&amp;INDEX(FX_Input,$KB60+1,P$85))</f>
        <v>Jet kerosene</v>
      </c>
      <c r="Q60" s="63" cm="1">
        <f t="array" ref="Q60">INDEX(FX_Temps,$KC60+7,Q$89)</f>
        <v>8.9950000000000241</v>
      </c>
      <c r="R60" s="63" cm="1">
        <f t="array" ref="R60">INDEX(FX_Temps,$KC60+13,R$89)+459.6</f>
        <v>504.34892500000001</v>
      </c>
      <c r="S60" s="63" cm="1">
        <f t="array" ref="S60">INDEX(FX_Vap,$KG60,S$91)-INDEX(FX_Vap,$KH60,S$91)</f>
        <v>7.0794953556663209E-4</v>
      </c>
      <c r="T60" s="73" cm="1">
        <f t="array" ref="T60">IF(P60="Out of Service",0,INDEX(FX_Vap,$KI60,T$91))</f>
        <v>4.883250638471285E-3</v>
      </c>
      <c r="U60" s="63">
        <f t="shared" si="3"/>
        <v>1.3800061771949319E-2</v>
      </c>
      <c r="V60" s="63">
        <f t="shared" si="4"/>
        <v>0.99610474052928877</v>
      </c>
      <c r="W60" s="63" cm="1">
        <f t="array" ref="W60">INDEX(FX_Vap,$KJ60,W$91)</f>
        <v>130</v>
      </c>
      <c r="X60" s="63" cm="1">
        <f t="array" ref="X60">INDEX(FX_Temps,$KD60,X$89)+459.6</f>
        <v>504.34892500000001</v>
      </c>
      <c r="Y60" s="63">
        <f t="shared" si="5"/>
        <v>1.1729542507733997E-4</v>
      </c>
      <c r="Z60" s="63" cm="1">
        <f t="array" ref="Z60">INDEX(Month_Ref,Z$83,3)*U60*(PI()/4*$F60^2)*$H60*V60*Y60</f>
        <v>6.5394885582341244E-2</v>
      </c>
      <c r="AA60" s="63" cm="1">
        <f t="array" ref="AA60">INDEX(FX_Input,$KB60,AA$85)</f>
        <v>463</v>
      </c>
      <c r="AB60" s="63">
        <f t="shared" si="6"/>
        <v>2599.2820000000002</v>
      </c>
      <c r="AC60" s="63">
        <f t="shared" si="7"/>
        <v>1.0720792453250092</v>
      </c>
      <c r="AD60" s="63">
        <f t="shared" si="8"/>
        <v>1</v>
      </c>
      <c r="AE60" s="63" cm="1">
        <f t="array" ref="AE60">IF(OR(INDEX(FX_Vap,$KK60,AE$90)="Crude Oil",(INDEX(FX_Vap,$KL60,AE$90)="Crude Oil")),0.75,1)</f>
        <v>1</v>
      </c>
      <c r="AF60" s="63">
        <f t="shared" si="108"/>
        <v>1</v>
      </c>
      <c r="AG60" s="63">
        <f t="shared" si="9"/>
        <v>0.30488388708587838</v>
      </c>
      <c r="AH60" s="64">
        <f t="shared" si="10"/>
        <v>0.37027877266821962</v>
      </c>
      <c r="AI60" s="80" t="str" cm="1">
        <f t="array" ref="AI60">IF(ISBLANK(INDEX(FX_Input,$KB60+1,AI$85)),INDEX(FX_Input,$KB60,AI$85),INDEX(FX_Input,$KB60,AI$85)&amp;" &amp; "&amp;INDEX(FX_Input,$KB60+1,AI$85))</f>
        <v>Jet kerosene</v>
      </c>
      <c r="AJ60" s="63" cm="1">
        <f t="array" ref="AJ60">INDEX(FX_Temps,$KC60+7,AJ$89)</f>
        <v>12.239999999999991</v>
      </c>
      <c r="AK60" s="63" cm="1">
        <f t="array" ref="AK60">INDEX(FX_Temps,$KC60+13,AK$89)+459.6</f>
        <v>505.78500000000008</v>
      </c>
      <c r="AL60" s="63" cm="1">
        <f t="array" ref="AL60">INDEX(FX_Vap,$KG60,AL$91)-INDEX(FX_Vap,$KH60,AL$91)</f>
        <v>9.3413357178260322E-4</v>
      </c>
      <c r="AM60" s="73" cm="1">
        <f t="array" ref="AM60">IF(AI60="Out of Service",0,INDEX(FX_Vap,$KI60,AM$91))</f>
        <v>5.1351067062407989E-3</v>
      </c>
      <c r="AN60" s="63">
        <f t="shared" si="11"/>
        <v>2.0180515663370695E-2</v>
      </c>
      <c r="AO60" s="63">
        <f t="shared" si="12"/>
        <v>0.99590466334769079</v>
      </c>
      <c r="AP60" s="63" cm="1">
        <f t="array" ref="AP60">INDEX(FX_Vap,$KJ60,AP$91)</f>
        <v>130</v>
      </c>
      <c r="AQ60" s="63" cm="1">
        <f t="array" ref="AQ60">INDEX(FX_Temps,$KD60,AQ$89)+459.6</f>
        <v>505.78500000000008</v>
      </c>
      <c r="AR60" s="63">
        <f t="shared" si="13"/>
        <v>1.2299478130220538E-4</v>
      </c>
      <c r="AS60" s="63" cm="1">
        <f t="array" ref="AS60">INDEX(Month_Ref,AS$83,3)*AN60*(PI()/4*$F60^2)*$H60*AO60*AR60</f>
        <v>9.0554434101740841E-2</v>
      </c>
      <c r="AT60" s="63" cm="1">
        <f t="array" ref="AT60">INDEX(FX_Input,$KB60,AT$85)</f>
        <v>463</v>
      </c>
      <c r="AU60" s="63">
        <f t="shared" si="14"/>
        <v>2599.2820000000002</v>
      </c>
      <c r="AV60" s="63">
        <f t="shared" si="15"/>
        <v>1.0720792453250092</v>
      </c>
      <c r="AW60" s="63">
        <f t="shared" si="16"/>
        <v>1</v>
      </c>
      <c r="AX60" s="63" cm="1">
        <f t="array" ref="AX60">IF(OR(INDEX(FX_Vap,$KK60,AX$90)="Crude Oil",(INDEX(FX_Vap,$KL60,AX$90)="Crude Oil")),0.75,1)</f>
        <v>1</v>
      </c>
      <c r="AY60" s="63">
        <f t="shared" si="109"/>
        <v>1</v>
      </c>
      <c r="AZ60" s="63">
        <f t="shared" si="17"/>
        <v>0.31969812113275903</v>
      </c>
      <c r="BA60" s="64">
        <f t="shared" si="18"/>
        <v>0.41025255523449988</v>
      </c>
      <c r="BB60" s="80" t="str" cm="1">
        <f t="array" ref="BB60">IF(ISBLANK(INDEX(FX_Input,$KB60+1,BB$85)),INDEX(FX_Input,$KB60,BB$85),INDEX(FX_Input,$KB60,BB$85)&amp;" &amp; "&amp;INDEX(FX_Input,$KB60+1,BB$85))</f>
        <v>Jet kerosene</v>
      </c>
      <c r="BC60" s="63" cm="1">
        <f t="array" ref="BC60">INDEX(FX_Temps,$KC60+7,BC$89)</f>
        <v>13.62500000000003</v>
      </c>
      <c r="BD60" s="63" cm="1">
        <f t="array" ref="BD60">INDEX(FX_Temps,$KC60+13,BD$89)+459.6</f>
        <v>507.87057500000003</v>
      </c>
      <c r="BE60" s="63" cm="1">
        <f t="array" ref="BE60">INDEX(FX_Vap,$KG60,BE$91)-INDEX(FX_Vap,$KH60,BE$91)</f>
        <v>9.8971985989682477E-4</v>
      </c>
      <c r="BF60" s="73" cm="1">
        <f t="array" ref="BF60">IF(BB60="Out of Service",0,INDEX(FX_Vap,$KI60,BF$91))</f>
        <v>5.5213829543467952E-3</v>
      </c>
      <c r="BG60" s="63">
        <f t="shared" si="19"/>
        <v>2.2811888004276384E-2</v>
      </c>
      <c r="BH60" s="63">
        <f t="shared" si="20"/>
        <v>0.99559795744300739</v>
      </c>
      <c r="BI60" s="63" cm="1">
        <f t="array" ref="BI60">INDEX(FX_Vap,$KJ60,BI$91)</f>
        <v>130</v>
      </c>
      <c r="BJ60" s="63" cm="1">
        <f t="array" ref="BJ60">INDEX(FX_Temps,$KD60,BJ$89)+459.6</f>
        <v>507.87057500000003</v>
      </c>
      <c r="BK60" s="63">
        <f t="shared" si="21"/>
        <v>1.3170370007990181E-4</v>
      </c>
      <c r="BL60" s="63" cm="1">
        <f t="array" ref="BL60">INDEX(Month_Ref,BL$83,3)*BG60*(PI()/4*$F60^2)*$H60*BH60*BK60</f>
        <v>0.1213165013834661</v>
      </c>
      <c r="BM60" s="63" cm="1">
        <f t="array" ref="BM60">INDEX(FX_Input,$KB60,BM$85)</f>
        <v>463</v>
      </c>
      <c r="BN60" s="63">
        <f t="shared" si="22"/>
        <v>2599.2820000000002</v>
      </c>
      <c r="BO60" s="63">
        <f t="shared" si="23"/>
        <v>1.0720792453250092</v>
      </c>
      <c r="BP60" s="63">
        <f t="shared" si="24"/>
        <v>1</v>
      </c>
      <c r="BQ60" s="63" cm="1">
        <f t="array" ref="BQ60">IF(OR(INDEX(FX_Vap,$KK60,BQ$90)="Crude Oil",(INDEX(FX_Vap,$KL60,BQ$90)="Crude Oil")),0.75,1)</f>
        <v>1</v>
      </c>
      <c r="BR60" s="63">
        <f t="shared" si="110"/>
        <v>1</v>
      </c>
      <c r="BS60" s="63">
        <f t="shared" si="25"/>
        <v>0.34233505695108735</v>
      </c>
      <c r="BT60" s="64">
        <f t="shared" si="26"/>
        <v>0.46365155833455346</v>
      </c>
      <c r="BU60" s="80" t="str" cm="1">
        <f t="array" ref="BU60">IF(ISBLANK(INDEX(FX_Input,$KB60+1,BU$85)),INDEX(FX_Input,$KB60,BU$85),INDEX(FX_Input,$KB60,BU$85)&amp;" &amp; "&amp;INDEX(FX_Input,$KB60+1,BU$85))</f>
        <v>Jet kerosene</v>
      </c>
      <c r="BV60" s="63" cm="1">
        <f t="array" ref="BV60">INDEX(FX_Temps,$KC60+7,BV$89)</f>
        <v>15.639999999999983</v>
      </c>
      <c r="BW60" s="63" cm="1">
        <f t="array" ref="BW60">INDEX(FX_Temps,$KC60+13,BW$89)+459.6</f>
        <v>511.29869999999994</v>
      </c>
      <c r="BX60" s="63" cm="1">
        <f t="array" ref="BX60">INDEX(FX_Vap,$KG60,BX$91)-INDEX(FX_Vap,$KH60,BX$91)</f>
        <v>1.1058961440241618E-3</v>
      </c>
      <c r="BY60" s="73" cm="1">
        <f t="array" ref="BY60">IF(BU60="Out of Service",0,INDEX(FX_Vap,$KI60,BY$91))</f>
        <v>6.2124720487193742E-3</v>
      </c>
      <c r="BZ60" s="63">
        <f t="shared" si="27"/>
        <v>2.6580677742499288E-2</v>
      </c>
      <c r="CA60" s="63">
        <f t="shared" si="28"/>
        <v>0.99504969918847952</v>
      </c>
      <c r="CB60" s="63" cm="1">
        <f t="array" ref="CB60">INDEX(FX_Vap,$KJ60,CB$91)</f>
        <v>130</v>
      </c>
      <c r="CC60" s="63" cm="1">
        <f t="array" ref="CC60">INDEX(FX_Temps,$KD60,CC$89)+459.6</f>
        <v>511.29869999999994</v>
      </c>
      <c r="CD60" s="63">
        <f t="shared" si="29"/>
        <v>1.4719495213728575E-4</v>
      </c>
      <c r="CE60" s="63" cm="1">
        <f t="array" ref="CE60">INDEX(Month_Ref,CE$83,3)*BZ60*(PI()/4*$F60^2)*$H60*CA60*CD60</f>
        <v>0.1528058475099362</v>
      </c>
      <c r="CF60" s="63" cm="1">
        <f t="array" ref="CF60">INDEX(FX_Input,$KB60,CF$85)</f>
        <v>463</v>
      </c>
      <c r="CG60" s="63">
        <f t="shared" si="30"/>
        <v>2599.2820000000002</v>
      </c>
      <c r="CH60" s="63">
        <f t="shared" si="31"/>
        <v>1.0720792453250092</v>
      </c>
      <c r="CI60" s="63">
        <f t="shared" si="32"/>
        <v>1</v>
      </c>
      <c r="CJ60" s="63" cm="1">
        <f t="array" ref="CJ60">IF(OR(INDEX(FX_Vap,$KK60,CJ$90)="Crude Oil",(INDEX(FX_Vap,$KL60,CJ$90)="Crude Oil")),0.75,1)</f>
        <v>1</v>
      </c>
      <c r="CK60" s="63">
        <f t="shared" si="111"/>
        <v>1</v>
      </c>
      <c r="CL60" s="63">
        <f t="shared" si="33"/>
        <v>0.3826011895813084</v>
      </c>
      <c r="CM60" s="64">
        <f t="shared" si="34"/>
        <v>0.5354070370912446</v>
      </c>
      <c r="CN60" s="80" t="str" cm="1">
        <f t="array" ref="CN60">IF(ISBLANK(INDEX(FX_Input,$KB60+1,CN$85)),INDEX(FX_Input,$KB60,CN$85),INDEX(FX_Input,$KB60,CN$85)&amp;" &amp; "&amp;INDEX(FX_Input,$KB60+1,CN$85))</f>
        <v>Jet kerosene</v>
      </c>
      <c r="CO60" s="63" cm="1">
        <f t="array" ref="CO60">INDEX(FX_Temps,$KC60+7,CO$89)</f>
        <v>16.994999999999969</v>
      </c>
      <c r="CP60" s="63" cm="1">
        <f t="array" ref="CP60">INDEX(FX_Temps,$KC60+13,CP$89)+459.6</f>
        <v>516.5540749999999</v>
      </c>
      <c r="CQ60" s="63" cm="1">
        <f t="array" ref="CQ60">INDEX(FX_Vap,$KG60,CQ$91)-INDEX(FX_Vap,$KH60,CQ$91)</f>
        <v>1.2769509865756092E-3</v>
      </c>
      <c r="CR60" s="73" cm="1">
        <f t="array" ref="CR60">IF(CN60="Out of Service",0,INDEX(FX_Vap,$KI60,CR$91))</f>
        <v>7.4209663387537275E-3</v>
      </c>
      <c r="CS60" s="63">
        <f t="shared" si="35"/>
        <v>2.8903935164848002E-2</v>
      </c>
      <c r="CT60" s="63">
        <f t="shared" si="36"/>
        <v>0.99409242024182953</v>
      </c>
      <c r="CU60" s="63" cm="1">
        <f t="array" ref="CU60">INDEX(FX_Vap,$KJ60,CU$91)</f>
        <v>130</v>
      </c>
      <c r="CV60" s="63" cm="1">
        <f t="array" ref="CV60">INDEX(FX_Temps,$KD60,CV$89)+459.6</f>
        <v>516.5540749999999</v>
      </c>
      <c r="CW60" s="63">
        <f t="shared" si="37"/>
        <v>1.7403950007616097E-4</v>
      </c>
      <c r="CX60" s="63" cm="1">
        <f t="array" ref="CX60">INDEX(Month_Ref,CX$83,3)*CS60*(PI()/4*$F60^2)*$H60*CT60*CW60</f>
        <v>0.20281881331489715</v>
      </c>
      <c r="CY60" s="63" cm="1">
        <f t="array" ref="CY60">INDEX(FX_Input,$KB60,CY$85)</f>
        <v>463</v>
      </c>
      <c r="CZ60" s="63">
        <f t="shared" si="38"/>
        <v>2599.2820000000002</v>
      </c>
      <c r="DA60" s="63">
        <f t="shared" si="39"/>
        <v>1.0720792453250092</v>
      </c>
      <c r="DB60" s="63">
        <f t="shared" si="40"/>
        <v>1</v>
      </c>
      <c r="DC60" s="63" cm="1">
        <f t="array" ref="DC60">IF(OR(INDEX(FX_Vap,$KK60,DC$90)="Crude Oil",(INDEX(FX_Vap,$KL60,DC$90)="Crude Oil")),0.75,1)</f>
        <v>1</v>
      </c>
      <c r="DD60" s="63">
        <f t="shared" si="112"/>
        <v>1</v>
      </c>
      <c r="DE60" s="63">
        <f t="shared" si="41"/>
        <v>0.45237773983696389</v>
      </c>
      <c r="DF60" s="64">
        <f t="shared" si="42"/>
        <v>0.65519655315186109</v>
      </c>
      <c r="DG60" s="80" t="str" cm="1">
        <f t="array" ref="DG60">IF(ISBLANK(INDEX(FX_Input,$KB60+1,DG$85)),INDEX(FX_Input,$KB60,DG$85),INDEX(FX_Input,$KB60,DG$85)&amp;" &amp; "&amp;INDEX(FX_Input,$KB60+1,DG$85))</f>
        <v>Jet kerosene</v>
      </c>
      <c r="DH60" s="63" cm="1">
        <f t="array" ref="DH60">INDEX(FX_Temps,$KC60+7,DH$89)</f>
        <v>16.885000000000041</v>
      </c>
      <c r="DI60" s="63" cm="1">
        <f t="array" ref="DI60">INDEX(FX_Temps,$KC60+13,DI$89)+459.6</f>
        <v>520.5768250000001</v>
      </c>
      <c r="DJ60" s="63" cm="1">
        <f t="array" ref="DJ60">INDEX(FX_Vap,$KG60,DJ$91)-INDEX(FX_Vap,$KH60,DJ$91)</f>
        <v>1.3484653740421003E-3</v>
      </c>
      <c r="DK60" s="73" cm="1">
        <f t="array" ref="DK60">IF(DG60="Out of Service",0,INDEX(FX_Vap,$KI60,DK$91))</f>
        <v>8.4819819298252285E-3</v>
      </c>
      <c r="DL60" s="63">
        <f t="shared" si="43"/>
        <v>2.8442970354993463E-2</v>
      </c>
      <c r="DM60" s="63">
        <f t="shared" si="44"/>
        <v>0.99325348006519398</v>
      </c>
      <c r="DN60" s="63" cm="1">
        <f t="array" ref="DN60">INDEX(FX_Vap,$KJ60,DN$91)</f>
        <v>130</v>
      </c>
      <c r="DO60" s="63" cm="1">
        <f t="array" ref="DO60">INDEX(FX_Temps,$KD60,DO$89)+459.6</f>
        <v>520.5768250000001</v>
      </c>
      <c r="DP60" s="63">
        <f t="shared" si="45"/>
        <v>1.9738569267093546E-4</v>
      </c>
      <c r="DQ60" s="63" cm="1">
        <f t="array" ref="DQ60">INDEX(Month_Ref,DQ$83,3)*DL60*(PI()/4*$F60^2)*$H60*DM60*DP60</f>
        <v>0.21887035804073038</v>
      </c>
      <c r="DR60" s="63" cm="1">
        <f t="array" ref="DR60">INDEX(FX_Input,$KB60,DR$85)</f>
        <v>463</v>
      </c>
      <c r="DS60" s="63">
        <f t="shared" si="46"/>
        <v>2599.2820000000002</v>
      </c>
      <c r="DT60" s="63">
        <f t="shared" si="47"/>
        <v>1.0720792453250092</v>
      </c>
      <c r="DU60" s="63">
        <f t="shared" si="48"/>
        <v>1</v>
      </c>
      <c r="DV60" s="63" cm="1">
        <f t="array" ref="DV60">IF(OR(INDEX(FX_Vap,$KK60,DV$90)="Crude Oil",(INDEX(FX_Vap,$KL60,DV$90)="Crude Oil")),0.75,1)</f>
        <v>1</v>
      </c>
      <c r="DW60" s="63">
        <f t="shared" si="113"/>
        <v>1</v>
      </c>
      <c r="DX60" s="63">
        <f t="shared" si="49"/>
        <v>0.51306107801709444</v>
      </c>
      <c r="DY60" s="64">
        <f t="shared" si="50"/>
        <v>0.73193143605782485</v>
      </c>
      <c r="DZ60" s="80" t="str" cm="1">
        <f t="array" ref="DZ60">IF(ISBLANK(INDEX(FX_Input,$KB60+1,DZ$85)),INDEX(FX_Input,$KB60,DZ$85),INDEX(FX_Input,$KB60,DZ$85)&amp;" &amp; "&amp;INDEX(FX_Input,$KB60+1,DZ$85))</f>
        <v>Jet kerosene</v>
      </c>
      <c r="EA60" s="63" cm="1">
        <f t="array" ref="EA60">INDEX(FX_Temps,$KC60+7,EA$89)</f>
        <v>17.42999999999995</v>
      </c>
      <c r="EB60" s="63" cm="1">
        <f t="array" ref="EB60">INDEX(FX_Temps,$KC60+13,EB$89)+459.6</f>
        <v>524.27729999999985</v>
      </c>
      <c r="EC60" s="63" cm="1">
        <f t="array" ref="EC60">INDEX(FX_Vap,$KG60,EC$91)-INDEX(FX_Vap,$KH60,EC$91)</f>
        <v>1.5227758159827732E-3</v>
      </c>
      <c r="ED60" s="73" cm="1">
        <f t="array" ref="ED60">IF(DZ60="Out of Service",0,INDEX(FX_Vap,$KI60,ED$91))</f>
        <v>9.5741064128135375E-3</v>
      </c>
      <c r="EE60" s="63">
        <f t="shared" si="51"/>
        <v>2.9265130122321317E-2</v>
      </c>
      <c r="EF60" s="63">
        <f t="shared" si="52"/>
        <v>0.99239141983724743</v>
      </c>
      <c r="EG60" s="63" cm="1">
        <f t="array" ref="EG60">INDEX(FX_Vap,$KJ60,EG$91)</f>
        <v>130</v>
      </c>
      <c r="EH60" s="63" cm="1">
        <f t="array" ref="EH60">INDEX(FX_Temps,$KD60,EH$89)+459.6</f>
        <v>524.27729999999985</v>
      </c>
      <c r="EI60" s="63">
        <f t="shared" si="53"/>
        <v>2.2122813261247964E-4</v>
      </c>
      <c r="EJ60" s="63" cm="1">
        <f t="array" ref="EJ60">INDEX(Month_Ref,EJ$83,3)*EE60*(PI()/4*$F60^2)*$H60*EF60*EI60</f>
        <v>0.26058564455124528</v>
      </c>
      <c r="EK60" s="63" cm="1">
        <f t="array" ref="EK60">INDEX(FX_Input,$KB60,EK$85)</f>
        <v>463</v>
      </c>
      <c r="EL60" s="63">
        <f t="shared" si="54"/>
        <v>2599.2820000000002</v>
      </c>
      <c r="EM60" s="63">
        <f t="shared" si="55"/>
        <v>1.0720792453250092</v>
      </c>
      <c r="EN60" s="63">
        <f t="shared" si="56"/>
        <v>1</v>
      </c>
      <c r="EO60" s="63" cm="1">
        <f t="array" ref="EO60">IF(OR(INDEX(FX_Vap,$KK60,EO$90)="Crude Oil",(INDEX(FX_Vap,$KL60,EO$90)="Crude Oil")),0.75,1)</f>
        <v>1</v>
      </c>
      <c r="EP60" s="63">
        <f t="shared" si="114"/>
        <v>1</v>
      </c>
      <c r="EQ60" s="63">
        <f t="shared" si="57"/>
        <v>0.57503430299323133</v>
      </c>
      <c r="ER60" s="64">
        <f t="shared" si="58"/>
        <v>0.83561994754447655</v>
      </c>
      <c r="ES60" s="80" t="str" cm="1">
        <f t="array" ref="ES60">IF(ISBLANK(INDEX(FX_Input,$KB60+1,ES$85)),INDEX(FX_Input,$KB60,ES$85),INDEX(FX_Input,$KB60,ES$85)&amp;" &amp; "&amp;INDEX(FX_Input,$KB60+1,ES$85))</f>
        <v>Jet kerosene</v>
      </c>
      <c r="ET60" s="63" cm="1">
        <f t="array" ref="ET60">INDEX(FX_Temps,$KC60+7,ET$89)</f>
        <v>16.980000000000015</v>
      </c>
      <c r="EU60" s="63" cm="1">
        <f t="array" ref="EU60">INDEX(FX_Temps,$KC60+13,EU$89)+459.6</f>
        <v>524.19269999999995</v>
      </c>
      <c r="EV60" s="63" cm="1">
        <f t="array" ref="EV60">INDEX(FX_Vap,$KG60,EV$91)-INDEX(FX_Vap,$KH60,EV$91)</f>
        <v>1.6347701028187334E-3</v>
      </c>
      <c r="EW60" s="73" cm="1">
        <f t="array" ref="EW60">IF(ES60="Out of Service",0,INDEX(FX_Vap,$KI60,EW$91))</f>
        <v>9.5478148180509845E-3</v>
      </c>
      <c r="EX60" s="63">
        <f t="shared" si="59"/>
        <v>2.8419663497525748E-2</v>
      </c>
      <c r="EY60" s="63">
        <f t="shared" si="60"/>
        <v>0.99241215533071325</v>
      </c>
      <c r="EZ60" s="63" cm="1">
        <f t="array" ref="EZ60">INDEX(FX_Vap,$KJ60,EZ$91)</f>
        <v>130</v>
      </c>
      <c r="FA60" s="63" cm="1">
        <f t="array" ref="FA60">INDEX(FX_Temps,$KD60,FA$89)+459.6</f>
        <v>524.19269999999995</v>
      </c>
      <c r="FB60" s="63">
        <f t="shared" si="61"/>
        <v>2.2065622096450189E-4</v>
      </c>
      <c r="FC60" s="63" cm="1">
        <f t="array" ref="FC60">INDEX(Month_Ref,FC$83,3)*EX60*(PI()/4*$F60^2)*$H60*EY60*FB60</f>
        <v>0.25240843019253772</v>
      </c>
      <c r="FD60" s="63" cm="1">
        <f t="array" ref="FD60">INDEX(FX_Input,$KB60,FD$85)</f>
        <v>463</v>
      </c>
      <c r="FE60" s="63">
        <f t="shared" si="62"/>
        <v>2599.2820000000002</v>
      </c>
      <c r="FF60" s="63">
        <f t="shared" si="63"/>
        <v>1.0720792453250092</v>
      </c>
      <c r="FG60" s="63">
        <f t="shared" si="64"/>
        <v>1</v>
      </c>
      <c r="FH60" s="63" cm="1">
        <f t="array" ref="FH60">IF(OR(INDEX(FX_Vap,$KK60,FH$90)="Crude Oil",(INDEX(FX_Vap,$KL60,FH$90)="Crude Oil")),0.75,1)</f>
        <v>1</v>
      </c>
      <c r="FI60" s="63">
        <f t="shared" si="115"/>
        <v>1</v>
      </c>
      <c r="FJ60" s="63">
        <f t="shared" si="65"/>
        <v>0.57354774334105241</v>
      </c>
      <c r="FK60" s="64">
        <f t="shared" si="66"/>
        <v>0.82595617353359008</v>
      </c>
      <c r="FL60" s="80" t="str" cm="1">
        <f t="array" ref="FL60">IF(ISBLANK(INDEX(FX_Input,$KB60+1,FL$85)),INDEX(FX_Input,$KB60,FL$85),INDEX(FX_Input,$KB60,FL$85)&amp;" &amp; "&amp;INDEX(FX_Input,$KB60+1,FL$85))</f>
        <v>Jet kerosene</v>
      </c>
      <c r="FM60" s="63" cm="1">
        <f t="array" ref="FM60">INDEX(FX_Temps,$KC60+7,FM$89)</f>
        <v>17.459999999999983</v>
      </c>
      <c r="FN60" s="63" cm="1">
        <f t="array" ref="FN60">INDEX(FX_Temps,$KC60+13,FN$89)+459.6</f>
        <v>521.16010000000006</v>
      </c>
      <c r="FO60" s="63" cm="1">
        <f t="array" ref="FO60">INDEX(FX_Vap,$KG60,FO$91)-INDEX(FX_Vap,$KH60,FO$91)</f>
        <v>1.8182300379836203E-3</v>
      </c>
      <c r="FP60" s="73" cm="1">
        <f t="array" ref="FP60">IF(FL60="Out of Service",0,INDEX(FX_Vap,$KI60,FP$91))</f>
        <v>8.6464528192362108E-3</v>
      </c>
      <c r="FQ60" s="63">
        <f t="shared" si="67"/>
        <v>2.9541908055768631E-2</v>
      </c>
      <c r="FR60" s="63">
        <f t="shared" si="68"/>
        <v>0.9931235604304085</v>
      </c>
      <c r="FS60" s="63" cm="1">
        <f t="array" ref="FS60">INDEX(FX_Vap,$KJ60,FS$91)</f>
        <v>130</v>
      </c>
      <c r="FT60" s="63" cm="1">
        <f t="array" ref="FT60">INDEX(FX_Temps,$KD60,FT$89)+459.6</f>
        <v>521.16010000000006</v>
      </c>
      <c r="FU60" s="63">
        <f t="shared" si="69"/>
        <v>2.009879287762041E-4</v>
      </c>
      <c r="FV60" s="63" cm="1">
        <f t="array" ref="FV60">INDEX(Month_Ref,FV$83,3)*FQ60*(PI()/4*$F60^2)*$H60*FR60*FU60</f>
        <v>0.23144512429100134</v>
      </c>
      <c r="FW60" s="63" cm="1">
        <f t="array" ref="FW60">INDEX(FX_Input,$KB60,FW$85)</f>
        <v>463</v>
      </c>
      <c r="FX60" s="63">
        <f t="shared" si="70"/>
        <v>2599.2820000000002</v>
      </c>
      <c r="FY60" s="63">
        <f t="shared" si="71"/>
        <v>1.0720792453250092</v>
      </c>
      <c r="FZ60" s="63">
        <f t="shared" si="72"/>
        <v>1</v>
      </c>
      <c r="GA60" s="63" cm="1">
        <f t="array" ref="GA60">IF(OR(INDEX(FX_Vap,$KK60,GA$90)="Crude Oil",(INDEX(FX_Vap,$KL60,GA$90)="Crude Oil")),0.75,1)</f>
        <v>1</v>
      </c>
      <c r="GB60" s="63">
        <f t="shared" si="116"/>
        <v>1</v>
      </c>
      <c r="GC60" s="63">
        <f t="shared" si="73"/>
        <v>0.52242430548526941</v>
      </c>
      <c r="GD60" s="64">
        <f t="shared" si="74"/>
        <v>0.75386942977627069</v>
      </c>
      <c r="GE60" s="80" t="str" cm="1">
        <f t="array" ref="GE60">IF(ISBLANK(INDEX(FX_Input,$KB60+1,GE$85)),INDEX(FX_Input,$KB60,GE$85),INDEX(FX_Input,$KB60,GE$85)&amp;" &amp; "&amp;INDEX(FX_Input,$KB60+1,GE$85))</f>
        <v>Jet kerosene</v>
      </c>
      <c r="GF60" s="63" cm="1">
        <f t="array" ref="GF60">INDEX(FX_Temps,$KC60+7,GF$89)</f>
        <v>13.929999999999993</v>
      </c>
      <c r="GG60" s="63" cm="1">
        <f t="array" ref="GG60">INDEX(FX_Temps,$KC60+13,GG$89)+459.6</f>
        <v>514.05180000000007</v>
      </c>
      <c r="GH60" s="63" cm="1">
        <f t="array" ref="GH60">INDEX(FX_Vap,$KG60,GH$91)-INDEX(FX_Vap,$KH60,GH$91)</f>
        <v>1.3347759158748732E-3</v>
      </c>
      <c r="GI60" s="73" cm="1">
        <f t="array" ref="GI60">IF(GE60="Out of Service",0,INDEX(FX_Vap,$KI60,GI$91))</f>
        <v>6.8218393379121701E-3</v>
      </c>
      <c r="GJ60" s="63">
        <f t="shared" si="75"/>
        <v>2.3105751925026341E-2</v>
      </c>
      <c r="GK60" s="63">
        <f t="shared" si="76"/>
        <v>0.99456677359042123</v>
      </c>
      <c r="GL60" s="63" cm="1">
        <f t="array" ref="GL60">INDEX(FX_Vap,$KJ60,GL$91)</f>
        <v>130</v>
      </c>
      <c r="GM60" s="63" cm="1">
        <f t="array" ref="GM60">INDEX(FX_Temps,$KD60,GM$89)+459.6</f>
        <v>514.05180000000007</v>
      </c>
      <c r="GN60" s="63">
        <f t="shared" si="77"/>
        <v>1.6076731562400743E-4</v>
      </c>
      <c r="GO60" s="63" cm="1">
        <f t="array" ref="GO60">INDEX(Month_Ref,GO$83,3)*GJ60*(PI()/4*$F60^2)*$H60*GK60*GN60</f>
        <v>0.14984024905295698</v>
      </c>
      <c r="GP60" s="63" cm="1">
        <f t="array" ref="GP60">INDEX(FX_Input,$KB60,GP$85)</f>
        <v>463</v>
      </c>
      <c r="GQ60" s="63">
        <f t="shared" si="78"/>
        <v>2599.2820000000002</v>
      </c>
      <c r="GR60" s="63">
        <f t="shared" si="79"/>
        <v>1.0720792453250092</v>
      </c>
      <c r="GS60" s="63">
        <f t="shared" si="80"/>
        <v>1</v>
      </c>
      <c r="GT60" s="63" cm="1">
        <f t="array" ref="GT60">IF(OR(INDEX(FX_Vap,$KK60,GT$90)="Crude Oil",(INDEX(FX_Vap,$KL60,GT$90)="Crude Oil")),0.75,1)</f>
        <v>1</v>
      </c>
      <c r="GU60" s="63">
        <f t="shared" si="117"/>
        <v>1</v>
      </c>
      <c r="GV60" s="63">
        <f t="shared" si="81"/>
        <v>0.41787958968980132</v>
      </c>
      <c r="GW60" s="64">
        <f t="shared" si="82"/>
        <v>0.56771983874275833</v>
      </c>
      <c r="GX60" s="80" t="str" cm="1">
        <f t="array" ref="GX60">IF(ISBLANK(INDEX(FX_Input,$KB60+1,GX$85)),INDEX(FX_Input,$KB60,GX$85),INDEX(FX_Input,$KB60,GX$85)&amp;" &amp; "&amp;INDEX(FX_Input,$KB60+1,GX$85))</f>
        <v>Jet kerosene</v>
      </c>
      <c r="GY60" s="63" cm="1">
        <f t="array" ref="GY60">INDEX(FX_Temps,$KC60+7,GY$89)</f>
        <v>10.495000000000031</v>
      </c>
      <c r="GZ60" s="63" cm="1">
        <f t="array" ref="GZ60">INDEX(FX_Temps,$KC60+13,GZ$89)+459.6</f>
        <v>507.66772500000002</v>
      </c>
      <c r="HA60" s="63" cm="1">
        <f t="array" ref="HA60">INDEX(FX_Vap,$KG60,HA$91)-INDEX(FX_Vap,$KH60,HA$91)</f>
        <v>9.195178026090425E-4</v>
      </c>
      <c r="HB60" s="73" cm="1">
        <f t="array" ref="HB60">IF(GX60="Out of Service",0,INDEX(FX_Vap,$KI60,HB$91))</f>
        <v>5.4827140055800742E-3</v>
      </c>
      <c r="HC60" s="63">
        <f t="shared" si="83"/>
        <v>1.6652390699251968E-2</v>
      </c>
      <c r="HD60" s="63">
        <f t="shared" si="84"/>
        <v>0.99562865233564557</v>
      </c>
      <c r="HE60" s="63" cm="1">
        <f t="array" ref="HE60">INDEX(FX_Vap,$KJ60,HE$91)</f>
        <v>130</v>
      </c>
      <c r="HF60" s="63" cm="1">
        <f t="array" ref="HF60">INDEX(FX_Temps,$KD60,HF$89)+459.6</f>
        <v>507.66772500000002</v>
      </c>
      <c r="HG60" s="63">
        <f t="shared" si="85"/>
        <v>1.3083357117100054E-4</v>
      </c>
      <c r="HH60" s="63" cm="1">
        <f t="array" ref="HH60">INDEX(Month_Ref,HH$83,3)*HC60*(PI()/4*$F60^2)*$H60*HD60*HG60</f>
        <v>8.5139169258008421E-2</v>
      </c>
      <c r="HI60" s="63" cm="1">
        <f t="array" ref="HI60">INDEX(FX_Input,$KB60,HI$85)</f>
        <v>463</v>
      </c>
      <c r="HJ60" s="63">
        <f t="shared" si="86"/>
        <v>2599.2820000000002</v>
      </c>
      <c r="HK60" s="63">
        <f t="shared" si="87"/>
        <v>1.0720792453250092</v>
      </c>
      <c r="HL60" s="63">
        <f t="shared" si="88"/>
        <v>1</v>
      </c>
      <c r="HM60" s="63" cm="1">
        <f t="array" ref="HM60">IF(OR(INDEX(FX_Vap,$KK60,HM$90)="Crude Oil",(INDEX(FX_Vap,$KL60,HM$90)="Crude Oil")),0.75,1)</f>
        <v>1</v>
      </c>
      <c r="HN60" s="63">
        <f t="shared" si="118"/>
        <v>1</v>
      </c>
      <c r="HO60" s="63">
        <f t="shared" si="89"/>
        <v>0.34007334654050064</v>
      </c>
      <c r="HP60" s="64">
        <f t="shared" si="90"/>
        <v>0.42521251579850905</v>
      </c>
      <c r="HQ60" s="80" t="str" cm="1">
        <f t="array" ref="HQ60">IF(ISBLANK(INDEX(FX_Input,$KB60+1,HQ$85)),INDEX(FX_Input,$KB60,HQ$85),INDEX(FX_Input,$KB60,HQ$85)&amp;" &amp; "&amp;INDEX(FX_Input,$KB60+1,HQ$85))</f>
        <v>Jet kerosene</v>
      </c>
      <c r="HR60" s="63" cm="1">
        <f t="array" ref="HR60">INDEX(FX_Temps,$KC60+7,HR$89)</f>
        <v>8.51</v>
      </c>
      <c r="HS60" s="63" cm="1">
        <f t="array" ref="HS60">INDEX(FX_Temps,$KC60+13,HS$89)+459.6</f>
        <v>503.94745000000006</v>
      </c>
      <c r="HT60" s="63" cm="1">
        <f t="array" ref="HT60">INDEX(FX_Vap,$KG60,HT$91)-INDEX(FX_Vap,$KH60,HT$91)</f>
        <v>6.7288136336403261E-4</v>
      </c>
      <c r="HU60" s="73" cm="1">
        <f t="array" ref="HU60">IF(HQ60="Out of Service",0,INDEX(FX_Vap,$KI60,HU$91))</f>
        <v>4.8148298503950734E-3</v>
      </c>
      <c r="HV60" s="63">
        <f t="shared" si="91"/>
        <v>1.2849500592893781E-2</v>
      </c>
      <c r="HW60" s="63">
        <f t="shared" si="92"/>
        <v>0.99615910862968393</v>
      </c>
      <c r="HX60" s="63" cm="1">
        <f t="array" ref="HX60">INDEX(FX_Vap,$KJ60,HX$91)</f>
        <v>130</v>
      </c>
      <c r="HY60" s="63" cm="1">
        <f t="array" ref="HY60">INDEX(FX_Temps,$KD60,HY$89)+459.6</f>
        <v>503.94745000000006</v>
      </c>
      <c r="HZ60" s="63">
        <f t="shared" si="93"/>
        <v>1.1574409666728695E-4</v>
      </c>
      <c r="IA60" s="63" cm="1">
        <f t="array" ref="IA60">INDEX(Month_Ref,IA$83,3)*HV60*(PI()/4*$F60^2)*$H60*HW60*HZ60</f>
        <v>6.0088378190405842E-2</v>
      </c>
      <c r="IB60" s="63" cm="1">
        <f t="array" ref="IB60">INDEX(FX_Input,$KB60,IB$85)</f>
        <v>463</v>
      </c>
      <c r="IC60" s="63">
        <f t="shared" si="94"/>
        <v>2599.2820000000002</v>
      </c>
      <c r="ID60" s="63">
        <f t="shared" si="95"/>
        <v>1.0720792453250092</v>
      </c>
      <c r="IE60" s="63">
        <f t="shared" si="96"/>
        <v>1</v>
      </c>
      <c r="IF60" s="63" cm="1">
        <f t="array" ref="IF60">IF(OR(INDEX(FX_Vap,$KK60,IF$90)="Crude Oil",(INDEX(FX_Vap,$KL60,IF$90)="Crude Oil")),0.75,1)</f>
        <v>1</v>
      </c>
      <c r="IG60" s="63">
        <f t="shared" si="119"/>
        <v>1</v>
      </c>
      <c r="IH60" s="63">
        <f t="shared" si="97"/>
        <v>0.30085154707353895</v>
      </c>
      <c r="II60" s="64">
        <f t="shared" si="98"/>
        <v>0.36093992526394481</v>
      </c>
      <c r="IJ60" s="80">
        <f t="shared" si="99"/>
        <v>1.8912678354692674</v>
      </c>
      <c r="IK60" s="63">
        <f t="shared" si="100"/>
        <v>9.4563391773463371E-4</v>
      </c>
      <c r="IL60" s="63">
        <f t="shared" si="101"/>
        <v>5.0447679077284855</v>
      </c>
      <c r="IM60" s="63">
        <f t="shared" si="102"/>
        <v>2.5223839538642428E-3</v>
      </c>
      <c r="IN60" s="63">
        <f t="shared" si="103"/>
        <v>6.9360357431977517</v>
      </c>
      <c r="IO60" s="64">
        <f t="shared" si="104"/>
        <v>3.4680178715988759E-3</v>
      </c>
      <c r="KB60" s="43">
        <f t="shared" si="120"/>
        <v>99</v>
      </c>
      <c r="KC60" s="43">
        <f t="shared" si="121"/>
        <v>687</v>
      </c>
      <c r="KD60" s="43">
        <f t="shared" si="122"/>
        <v>700</v>
      </c>
      <c r="KE60" s="43">
        <f t="shared" si="123"/>
        <v>687</v>
      </c>
      <c r="KF60" s="43">
        <f t="shared" si="124"/>
        <v>1667</v>
      </c>
      <c r="KG60" s="43">
        <f t="shared" si="125"/>
        <v>1690</v>
      </c>
      <c r="KH60" s="43">
        <f t="shared" si="126"/>
        <v>1685</v>
      </c>
      <c r="KI60" s="43">
        <f t="shared" si="126"/>
        <v>1695</v>
      </c>
      <c r="KJ60" s="43">
        <f t="shared" si="126"/>
        <v>1700</v>
      </c>
      <c r="KK60" s="43">
        <f t="shared" si="127"/>
        <v>1671</v>
      </c>
      <c r="KL60" s="43">
        <f t="shared" si="128"/>
        <v>1673</v>
      </c>
    </row>
    <row r="61" spans="2:298" x14ac:dyDescent="0.4">
      <c r="B61" s="43" t="str" cm="1">
        <f t="array" ref="B61">INDEX(FX_Input,$KB61,B$85)</f>
        <v>FX - 51</v>
      </c>
      <c r="C61" s="93" t="str" cm="1">
        <f t="array" ref="C61">INDEX(FX_Input,$KB61,C$85)</f>
        <v>FIXTANK 181</v>
      </c>
      <c r="D61" s="80">
        <f t="shared" si="129"/>
        <v>2855.0450424127553</v>
      </c>
      <c r="E61" s="63" cm="1">
        <f t="array" ref="E61">IF(ISBLANK(INDEX(FX_Input,$KB61,$E$85)),0.03,INDEX(FX_Input,$KB61,$E$85))-IF(ISBLANK(INDEX(FX_Input,$KB61,$E$86)),-0.03,INDEX(FX_Input,$KB61,$E$86))</f>
        <v>0.06</v>
      </c>
      <c r="F61" s="63" cm="1">
        <f t="array" ref="F61">IF(INDEX(FX_Input,$KB61,F$85)="Vertical",INDEX(FX_Input,$KB61,F$86),SQRT((INDEX(FX_Input,$KB61,F$86)*INDEX(FX_Input,$KB61,F$87))/(PI()/4)))</f>
        <v>15</v>
      </c>
      <c r="G61" s="63" cm="1">
        <f t="array" ref="G61">IF(INDEX(FX_Input,$KB61,G$85)="Vertical",INDEX(FX_Input,$KB61,G$86),INDEX(FX_Input,$KB61,G$87)*PI()/4)</f>
        <v>32</v>
      </c>
      <c r="H61" s="63" cm="1">
        <f t="array" ref="H61">IF(INDEX(FX_Input,$KB61,H$85)="Vertical",G61-G61/2+J61,G61/2)</f>
        <v>16.15625</v>
      </c>
      <c r="I61" s="63" cm="1">
        <f t="array" ref="I61">IF(INDEX(FX_Input,$KB61,F$85)="Horizontal","N/A",IF(INDEX(FX_Input,$KB61,I$86)="Cone",IF(ISBLANK(INDEX(FX_Input,$KB61,I$87)),0.0625,INDEX(FX_Input,$KB61,I$87))*F61/2,F61/2-SQRT((F61/2)^2-(INDEX(FX_Input,$KB61,I$88)^2))))</f>
        <v>0.46875</v>
      </c>
      <c r="J61" s="63" cm="1">
        <f t="array" ref="J61">IF(INDEX(FX_Input,$KB61,J$85)="Horizontal","N/A",IF(INDEX(FX_Input,$KB61,J$86)="Cone",I61/3,I61*(1/2+(1/6)*(I61/(F61/2))^2)))</f>
        <v>0.15625</v>
      </c>
      <c r="K61" s="63">
        <f t="shared" si="130"/>
        <v>31</v>
      </c>
      <c r="L61" s="63">
        <v>1</v>
      </c>
      <c r="M61" s="63" t="str" cm="1">
        <f t="array" ref="M61">INDEX(Tbl_71_6,MATCH(INDEX(FX_Input,$KB61,M$85),Paint_Color,0),VLOOKUP(INDEX(FX_Input,$KB61,M$86),Paint_Cond_Column,2,FALSE))</f>
        <v>N/A</v>
      </c>
      <c r="N61" s="63" t="str" cm="1">
        <f t="array" ref="N61">INDEX(Tbl_71_6,MATCH(INDEX(FX_Input,$KB61,N$85),Paint_Color,0),VLOOKUP(INDEX(FX_Input,$KB61,N$86),Paint_Cond_Column,2,FALSE))</f>
        <v>N/A</v>
      </c>
      <c r="O61" s="64" t="str">
        <f t="shared" si="2"/>
        <v>Insulated</v>
      </c>
      <c r="P61" s="80" t="str" cm="1">
        <f t="array" ref="P61">IF(ISBLANK(INDEX(FX_Input,$KB61+1,P$85)),INDEX(FX_Input,$KB61,P$85),INDEX(FX_Input,$KB61,P$85)&amp;" &amp; "&amp;INDEX(FX_Input,$KB61+1,P$85))</f>
        <v>Out of Service</v>
      </c>
      <c r="Q61" s="63" cm="1">
        <f t="array" ref="Q61">INDEX(FX_Temps,$KC61+7,Q$89)</f>
        <v>0</v>
      </c>
      <c r="R61" s="63" cm="1">
        <f t="array" ref="R61">INDEX(FX_Temps,$KC61+13,R$89)+459.6</f>
        <v>503.5</v>
      </c>
      <c r="S61" s="63" cm="1">
        <f t="array" ref="S61">INDEX(FX_Vap,$KG61,S$91)-INDEX(FX_Vap,$KH61,S$91)</f>
        <v>0</v>
      </c>
      <c r="T61" s="73" cm="1">
        <f t="array" ref="T61">IF(P61="Out of Service",0,INDEX(FX_Vap,$KI61,T$91))</f>
        <v>0</v>
      </c>
      <c r="U61" s="63">
        <f t="shared" si="3"/>
        <v>0</v>
      </c>
      <c r="V61" s="63">
        <f t="shared" si="4"/>
        <v>1</v>
      </c>
      <c r="W61" s="63" cm="1">
        <f t="array" ref="W61">INDEX(FX_Vap,$KJ61,W$91)</f>
        <v>0</v>
      </c>
      <c r="X61" s="63" cm="1">
        <f t="array" ref="X61">INDEX(FX_Temps,$KD61,X$89)+459.6</f>
        <v>503.5</v>
      </c>
      <c r="Y61" s="63">
        <f t="shared" si="5"/>
        <v>0</v>
      </c>
      <c r="Z61" s="63" cm="1">
        <f t="array" ref="Z61">INDEX(Month_Ref,Z$83,3)*U61*(PI()/4*$F61^2)*$H61*V61*Y61</f>
        <v>0</v>
      </c>
      <c r="AA61" s="63" cm="1">
        <f t="array" ref="AA61">INDEX(FX_Input,$KB61,AA$85)</f>
        <v>0</v>
      </c>
      <c r="AB61" s="63">
        <f t="shared" si="6"/>
        <v>0</v>
      </c>
      <c r="AC61" s="63">
        <f t="shared" si="7"/>
        <v>0</v>
      </c>
      <c r="AD61" s="63">
        <f t="shared" si="8"/>
        <v>1</v>
      </c>
      <c r="AE61" s="63" cm="1">
        <f t="array" ref="AE61">IF(OR(INDEX(FX_Vap,$KK61,AE$90)="Crude Oil",(INDEX(FX_Vap,$KL61,AE$90)="Crude Oil")),0.75,1)</f>
        <v>1</v>
      </c>
      <c r="AF61" s="63">
        <f t="shared" si="108"/>
        <v>1</v>
      </c>
      <c r="AG61" s="63">
        <f t="shared" si="9"/>
        <v>0</v>
      </c>
      <c r="AH61" s="64">
        <f t="shared" si="10"/>
        <v>0</v>
      </c>
      <c r="AI61" s="80" t="str" cm="1">
        <f t="array" ref="AI61">IF(ISBLANK(INDEX(FX_Input,$KB61+1,AI$85)),INDEX(FX_Input,$KB61,AI$85),INDEX(FX_Input,$KB61,AI$85)&amp;" &amp; "&amp;INDEX(FX_Input,$KB61+1,AI$85))</f>
        <v>Out of Service</v>
      </c>
      <c r="AJ61" s="63" cm="1">
        <f t="array" ref="AJ61">INDEX(FX_Temps,$KC61+7,AJ$89)</f>
        <v>0</v>
      </c>
      <c r="AK61" s="63" cm="1">
        <f t="array" ref="AK61">INDEX(FX_Temps,$KC61+13,AK$89)+459.6</f>
        <v>504.30000000000007</v>
      </c>
      <c r="AL61" s="63" cm="1">
        <f t="array" ref="AL61">INDEX(FX_Vap,$KG61,AL$91)-INDEX(FX_Vap,$KH61,AL$91)</f>
        <v>0</v>
      </c>
      <c r="AM61" s="73" cm="1">
        <f t="array" ref="AM61">IF(AI61="Out of Service",0,INDEX(FX_Vap,$KI61,AM$91))</f>
        <v>0</v>
      </c>
      <c r="AN61" s="63">
        <f t="shared" si="11"/>
        <v>0</v>
      </c>
      <c r="AO61" s="63">
        <f t="shared" si="12"/>
        <v>1</v>
      </c>
      <c r="AP61" s="63" cm="1">
        <f t="array" ref="AP61">INDEX(FX_Vap,$KJ61,AP$91)</f>
        <v>0</v>
      </c>
      <c r="AQ61" s="63" cm="1">
        <f t="array" ref="AQ61">INDEX(FX_Temps,$KD61,AQ$89)+459.6</f>
        <v>504.30000000000007</v>
      </c>
      <c r="AR61" s="63">
        <f t="shared" si="13"/>
        <v>0</v>
      </c>
      <c r="AS61" s="63" cm="1">
        <f t="array" ref="AS61">INDEX(Month_Ref,AS$83,3)*AN61*(PI()/4*$F61^2)*$H61*AO61*AR61</f>
        <v>0</v>
      </c>
      <c r="AT61" s="63" cm="1">
        <f t="array" ref="AT61">INDEX(FX_Input,$KB61,AT$85)</f>
        <v>0</v>
      </c>
      <c r="AU61" s="63">
        <f t="shared" si="14"/>
        <v>0</v>
      </c>
      <c r="AV61" s="63">
        <f t="shared" si="15"/>
        <v>0</v>
      </c>
      <c r="AW61" s="63">
        <f t="shared" si="16"/>
        <v>1</v>
      </c>
      <c r="AX61" s="63" cm="1">
        <f t="array" ref="AX61">IF(OR(INDEX(FX_Vap,$KK61,AX$90)="Crude Oil",(INDEX(FX_Vap,$KL61,AX$90)="Crude Oil")),0.75,1)</f>
        <v>1</v>
      </c>
      <c r="AY61" s="63">
        <f t="shared" si="109"/>
        <v>1</v>
      </c>
      <c r="AZ61" s="63">
        <f t="shared" si="17"/>
        <v>0</v>
      </c>
      <c r="BA61" s="64">
        <f t="shared" si="18"/>
        <v>0</v>
      </c>
      <c r="BB61" s="80" t="str" cm="1">
        <f t="array" ref="BB61">IF(ISBLANK(INDEX(FX_Input,$KB61+1,BB$85)),INDEX(FX_Input,$KB61,BB$85),INDEX(FX_Input,$KB61,BB$85)&amp;" &amp; "&amp;INDEX(FX_Input,$KB61+1,BB$85))</f>
        <v>Out of Service</v>
      </c>
      <c r="BC61" s="63" cm="1">
        <f t="array" ref="BC61">INDEX(FX_Temps,$KC61+7,BC$89)</f>
        <v>0</v>
      </c>
      <c r="BD61" s="63" cm="1">
        <f t="array" ref="BD61">INDEX(FX_Temps,$KC61+13,BD$89)+459.6</f>
        <v>505.70000000000005</v>
      </c>
      <c r="BE61" s="63" cm="1">
        <f t="array" ref="BE61">INDEX(FX_Vap,$KG61,BE$91)-INDEX(FX_Vap,$KH61,BE$91)</f>
        <v>0</v>
      </c>
      <c r="BF61" s="73" cm="1">
        <f t="array" ref="BF61">IF(BB61="Out of Service",0,INDEX(FX_Vap,$KI61,BF$91))</f>
        <v>0</v>
      </c>
      <c r="BG61" s="63">
        <f t="shared" si="19"/>
        <v>0</v>
      </c>
      <c r="BH61" s="63">
        <f t="shared" si="20"/>
        <v>1</v>
      </c>
      <c r="BI61" s="63" cm="1">
        <f t="array" ref="BI61">INDEX(FX_Vap,$KJ61,BI$91)</f>
        <v>0</v>
      </c>
      <c r="BJ61" s="63" cm="1">
        <f t="array" ref="BJ61">INDEX(FX_Temps,$KD61,BJ$89)+459.6</f>
        <v>505.70000000000005</v>
      </c>
      <c r="BK61" s="63">
        <f t="shared" si="21"/>
        <v>0</v>
      </c>
      <c r="BL61" s="63" cm="1">
        <f t="array" ref="BL61">INDEX(Month_Ref,BL$83,3)*BG61*(PI()/4*$F61^2)*$H61*BH61*BK61</f>
        <v>0</v>
      </c>
      <c r="BM61" s="63" cm="1">
        <f t="array" ref="BM61">INDEX(FX_Input,$KB61,BM$85)</f>
        <v>0</v>
      </c>
      <c r="BN61" s="63">
        <f t="shared" si="22"/>
        <v>0</v>
      </c>
      <c r="BO61" s="63">
        <f t="shared" si="23"/>
        <v>0</v>
      </c>
      <c r="BP61" s="63">
        <f t="shared" si="24"/>
        <v>1</v>
      </c>
      <c r="BQ61" s="63" cm="1">
        <f t="array" ref="BQ61">IF(OR(INDEX(FX_Vap,$KK61,BQ$90)="Crude Oil",(INDEX(FX_Vap,$KL61,BQ$90)="Crude Oil")),0.75,1)</f>
        <v>1</v>
      </c>
      <c r="BR61" s="63">
        <f t="shared" si="110"/>
        <v>1</v>
      </c>
      <c r="BS61" s="63">
        <f t="shared" si="25"/>
        <v>0</v>
      </c>
      <c r="BT61" s="64">
        <f t="shared" si="26"/>
        <v>0</v>
      </c>
      <c r="BU61" s="80" t="str" cm="1">
        <f t="array" ref="BU61">IF(ISBLANK(INDEX(FX_Input,$KB61+1,BU$85)),INDEX(FX_Input,$KB61,BU$85),INDEX(FX_Input,$KB61,BU$85)&amp;" &amp; "&amp;INDEX(FX_Input,$KB61+1,BU$85))</f>
        <v>Out of Service</v>
      </c>
      <c r="BV61" s="63" cm="1">
        <f t="array" ref="BV61">INDEX(FX_Temps,$KC61+7,BV$89)</f>
        <v>0</v>
      </c>
      <c r="BW61" s="63" cm="1">
        <f t="array" ref="BW61">INDEX(FX_Temps,$KC61+13,BW$89)+459.6</f>
        <v>508.2</v>
      </c>
      <c r="BX61" s="63" cm="1">
        <f t="array" ref="BX61">INDEX(FX_Vap,$KG61,BX$91)-INDEX(FX_Vap,$KH61,BX$91)</f>
        <v>0</v>
      </c>
      <c r="BY61" s="73" cm="1">
        <f t="array" ref="BY61">IF(BU61="Out of Service",0,INDEX(FX_Vap,$KI61,BY$91))</f>
        <v>0</v>
      </c>
      <c r="BZ61" s="63">
        <f t="shared" si="27"/>
        <v>0</v>
      </c>
      <c r="CA61" s="63">
        <f t="shared" si="28"/>
        <v>1</v>
      </c>
      <c r="CB61" s="63" cm="1">
        <f t="array" ref="CB61">INDEX(FX_Vap,$KJ61,CB$91)</f>
        <v>0</v>
      </c>
      <c r="CC61" s="63" cm="1">
        <f t="array" ref="CC61">INDEX(FX_Temps,$KD61,CC$89)+459.6</f>
        <v>508.2</v>
      </c>
      <c r="CD61" s="63">
        <f t="shared" si="29"/>
        <v>0</v>
      </c>
      <c r="CE61" s="63" cm="1">
        <f t="array" ref="CE61">INDEX(Month_Ref,CE$83,3)*BZ61*(PI()/4*$F61^2)*$H61*CA61*CD61</f>
        <v>0</v>
      </c>
      <c r="CF61" s="63" cm="1">
        <f t="array" ref="CF61">INDEX(FX_Input,$KB61,CF$85)</f>
        <v>0</v>
      </c>
      <c r="CG61" s="63">
        <f t="shared" si="30"/>
        <v>0</v>
      </c>
      <c r="CH61" s="63">
        <f t="shared" si="31"/>
        <v>0</v>
      </c>
      <c r="CI61" s="63">
        <f t="shared" si="32"/>
        <v>1</v>
      </c>
      <c r="CJ61" s="63" cm="1">
        <f t="array" ref="CJ61">IF(OR(INDEX(FX_Vap,$KK61,CJ$90)="Crude Oil",(INDEX(FX_Vap,$KL61,CJ$90)="Crude Oil")),0.75,1)</f>
        <v>1</v>
      </c>
      <c r="CK61" s="63">
        <f t="shared" si="111"/>
        <v>1</v>
      </c>
      <c r="CL61" s="63">
        <f t="shared" si="33"/>
        <v>0</v>
      </c>
      <c r="CM61" s="64">
        <f t="shared" si="34"/>
        <v>0</v>
      </c>
      <c r="CN61" s="80" t="str" cm="1">
        <f t="array" ref="CN61">IF(ISBLANK(INDEX(FX_Input,$KB61+1,CN$85)),INDEX(FX_Input,$KB61,CN$85),INDEX(FX_Input,$KB61,CN$85)&amp;" &amp; "&amp;INDEX(FX_Input,$KB61+1,CN$85))</f>
        <v>Out of Service</v>
      </c>
      <c r="CO61" s="63" cm="1">
        <f t="array" ref="CO61">INDEX(FX_Temps,$KC61+7,CO$89)</f>
        <v>0</v>
      </c>
      <c r="CP61" s="63" cm="1">
        <f t="array" ref="CP61">INDEX(FX_Temps,$KC61+13,CP$89)+459.6</f>
        <v>512.75</v>
      </c>
      <c r="CQ61" s="63" cm="1">
        <f t="array" ref="CQ61">INDEX(FX_Vap,$KG61,CQ$91)-INDEX(FX_Vap,$KH61,CQ$91)</f>
        <v>0</v>
      </c>
      <c r="CR61" s="73" cm="1">
        <f t="array" ref="CR61">IF(CN61="Out of Service",0,INDEX(FX_Vap,$KI61,CR$91))</f>
        <v>0</v>
      </c>
      <c r="CS61" s="63">
        <f t="shared" si="35"/>
        <v>0</v>
      </c>
      <c r="CT61" s="63">
        <f t="shared" si="36"/>
        <v>1</v>
      </c>
      <c r="CU61" s="63" cm="1">
        <f t="array" ref="CU61">INDEX(FX_Vap,$KJ61,CU$91)</f>
        <v>0</v>
      </c>
      <c r="CV61" s="63" cm="1">
        <f t="array" ref="CV61">INDEX(FX_Temps,$KD61,CV$89)+459.6</f>
        <v>512.75</v>
      </c>
      <c r="CW61" s="63">
        <f t="shared" si="37"/>
        <v>0</v>
      </c>
      <c r="CX61" s="63" cm="1">
        <f t="array" ref="CX61">INDEX(Month_Ref,CX$83,3)*CS61*(PI()/4*$F61^2)*$H61*CT61*CW61</f>
        <v>0</v>
      </c>
      <c r="CY61" s="63" cm="1">
        <f t="array" ref="CY61">INDEX(FX_Input,$KB61,CY$85)</f>
        <v>0</v>
      </c>
      <c r="CZ61" s="63">
        <f t="shared" si="38"/>
        <v>0</v>
      </c>
      <c r="DA61" s="63">
        <f t="shared" si="39"/>
        <v>0</v>
      </c>
      <c r="DB61" s="63">
        <f t="shared" si="40"/>
        <v>1</v>
      </c>
      <c r="DC61" s="63" cm="1">
        <f t="array" ref="DC61">IF(OR(INDEX(FX_Vap,$KK61,DC$90)="Crude Oil",(INDEX(FX_Vap,$KL61,DC$90)="Crude Oil")),0.75,1)</f>
        <v>1</v>
      </c>
      <c r="DD61" s="63">
        <f t="shared" si="112"/>
        <v>1</v>
      </c>
      <c r="DE61" s="63">
        <f t="shared" si="41"/>
        <v>0</v>
      </c>
      <c r="DF61" s="64">
        <f t="shared" si="42"/>
        <v>0</v>
      </c>
      <c r="DG61" s="80" t="str" cm="1">
        <f t="array" ref="DG61">IF(ISBLANK(INDEX(FX_Input,$KB61+1,DG$85)),INDEX(FX_Input,$KB61,DG$85),INDEX(FX_Input,$KB61,DG$85)&amp;" &amp; "&amp;INDEX(FX_Input,$KB61+1,DG$85))</f>
        <v>Out of Service</v>
      </c>
      <c r="DH61" s="63" cm="1">
        <f t="array" ref="DH61">INDEX(FX_Temps,$KC61+7,DH$89)</f>
        <v>0</v>
      </c>
      <c r="DI61" s="63" cm="1">
        <f t="array" ref="DI61">INDEX(FX_Temps,$KC61+13,DI$89)+459.6</f>
        <v>516.55000000000007</v>
      </c>
      <c r="DJ61" s="63" cm="1">
        <f t="array" ref="DJ61">INDEX(FX_Vap,$KG61,DJ$91)-INDEX(FX_Vap,$KH61,DJ$91)</f>
        <v>0</v>
      </c>
      <c r="DK61" s="73" cm="1">
        <f t="array" ref="DK61">IF(DG61="Out of Service",0,INDEX(FX_Vap,$KI61,DK$91))</f>
        <v>0</v>
      </c>
      <c r="DL61" s="63">
        <f t="shared" si="43"/>
        <v>0</v>
      </c>
      <c r="DM61" s="63">
        <f t="shared" si="44"/>
        <v>1</v>
      </c>
      <c r="DN61" s="63" cm="1">
        <f t="array" ref="DN61">INDEX(FX_Vap,$KJ61,DN$91)</f>
        <v>0</v>
      </c>
      <c r="DO61" s="63" cm="1">
        <f t="array" ref="DO61">INDEX(FX_Temps,$KD61,DO$89)+459.6</f>
        <v>516.55000000000007</v>
      </c>
      <c r="DP61" s="63">
        <f t="shared" si="45"/>
        <v>0</v>
      </c>
      <c r="DQ61" s="63" cm="1">
        <f t="array" ref="DQ61">INDEX(Month_Ref,DQ$83,3)*DL61*(PI()/4*$F61^2)*$H61*DM61*DP61</f>
        <v>0</v>
      </c>
      <c r="DR61" s="63" cm="1">
        <f t="array" ref="DR61">INDEX(FX_Input,$KB61,DR$85)</f>
        <v>0</v>
      </c>
      <c r="DS61" s="63">
        <f t="shared" si="46"/>
        <v>0</v>
      </c>
      <c r="DT61" s="63">
        <f t="shared" si="47"/>
        <v>0</v>
      </c>
      <c r="DU61" s="63">
        <f t="shared" si="48"/>
        <v>1</v>
      </c>
      <c r="DV61" s="63" cm="1">
        <f t="array" ref="DV61">IF(OR(INDEX(FX_Vap,$KK61,DV$90)="Crude Oil",(INDEX(FX_Vap,$KL61,DV$90)="Crude Oil")),0.75,1)</f>
        <v>1</v>
      </c>
      <c r="DW61" s="63">
        <f t="shared" si="113"/>
        <v>1</v>
      </c>
      <c r="DX61" s="63">
        <f t="shared" si="49"/>
        <v>0</v>
      </c>
      <c r="DY61" s="64">
        <f t="shared" si="50"/>
        <v>0</v>
      </c>
      <c r="DZ61" s="80" t="str" cm="1">
        <f t="array" ref="DZ61">IF(ISBLANK(INDEX(FX_Input,$KB61+1,DZ$85)),INDEX(FX_Input,$KB61,DZ$85),INDEX(FX_Input,$KB61,DZ$85)&amp;" &amp; "&amp;INDEX(FX_Input,$KB61+1,DZ$85))</f>
        <v>Out of Service</v>
      </c>
      <c r="EA61" s="63" cm="1">
        <f t="array" ref="EA61">INDEX(FX_Temps,$KC61+7,EA$89)</f>
        <v>0</v>
      </c>
      <c r="EB61" s="63" cm="1">
        <f t="array" ref="EB61">INDEX(FX_Temps,$KC61+13,EB$89)+459.6</f>
        <v>520.04999999999995</v>
      </c>
      <c r="EC61" s="63" cm="1">
        <f t="array" ref="EC61">INDEX(FX_Vap,$KG61,EC$91)-INDEX(FX_Vap,$KH61,EC$91)</f>
        <v>0</v>
      </c>
      <c r="ED61" s="73" cm="1">
        <f t="array" ref="ED61">IF(DZ61="Out of Service",0,INDEX(FX_Vap,$KI61,ED$91))</f>
        <v>0</v>
      </c>
      <c r="EE61" s="63">
        <f t="shared" si="51"/>
        <v>0</v>
      </c>
      <c r="EF61" s="63">
        <f t="shared" si="52"/>
        <v>1</v>
      </c>
      <c r="EG61" s="63" cm="1">
        <f t="array" ref="EG61">INDEX(FX_Vap,$KJ61,EG$91)</f>
        <v>0</v>
      </c>
      <c r="EH61" s="63" cm="1">
        <f t="array" ref="EH61">INDEX(FX_Temps,$KD61,EH$89)+459.6</f>
        <v>520.04999999999995</v>
      </c>
      <c r="EI61" s="63">
        <f t="shared" si="53"/>
        <v>0</v>
      </c>
      <c r="EJ61" s="63" cm="1">
        <f t="array" ref="EJ61">INDEX(Month_Ref,EJ$83,3)*EE61*(PI()/4*$F61^2)*$H61*EF61*EI61</f>
        <v>0</v>
      </c>
      <c r="EK61" s="63" cm="1">
        <f t="array" ref="EK61">INDEX(FX_Input,$KB61,EK$85)</f>
        <v>0</v>
      </c>
      <c r="EL61" s="63">
        <f t="shared" si="54"/>
        <v>0</v>
      </c>
      <c r="EM61" s="63">
        <f t="shared" si="55"/>
        <v>0</v>
      </c>
      <c r="EN61" s="63">
        <f t="shared" si="56"/>
        <v>1</v>
      </c>
      <c r="EO61" s="63" cm="1">
        <f t="array" ref="EO61">IF(OR(INDEX(FX_Vap,$KK61,EO$90)="Crude Oil",(INDEX(FX_Vap,$KL61,EO$90)="Crude Oil")),0.75,1)</f>
        <v>1</v>
      </c>
      <c r="EP61" s="63">
        <f t="shared" si="114"/>
        <v>1</v>
      </c>
      <c r="EQ61" s="63">
        <f t="shared" si="57"/>
        <v>0</v>
      </c>
      <c r="ER61" s="64">
        <f t="shared" si="58"/>
        <v>0</v>
      </c>
      <c r="ES61" s="80" t="str" cm="1">
        <f t="array" ref="ES61">IF(ISBLANK(INDEX(FX_Input,$KB61+1,ES$85)),INDEX(FX_Input,$KB61,ES$85),INDEX(FX_Input,$KB61,ES$85)&amp;" &amp; "&amp;INDEX(FX_Input,$KB61+1,ES$85))</f>
        <v>Out of Service</v>
      </c>
      <c r="ET61" s="63" cm="1">
        <f t="array" ref="ET61">INDEX(FX_Temps,$KC61+7,ET$89)</f>
        <v>0</v>
      </c>
      <c r="EU61" s="63" cm="1">
        <f t="array" ref="EU61">INDEX(FX_Temps,$KC61+13,EU$89)+459.6</f>
        <v>520.5</v>
      </c>
      <c r="EV61" s="63" cm="1">
        <f t="array" ref="EV61">INDEX(FX_Vap,$KG61,EV$91)-INDEX(FX_Vap,$KH61,EV$91)</f>
        <v>0</v>
      </c>
      <c r="EW61" s="73" cm="1">
        <f t="array" ref="EW61">IF(ES61="Out of Service",0,INDEX(FX_Vap,$KI61,EW$91))</f>
        <v>0</v>
      </c>
      <c r="EX61" s="63">
        <f t="shared" si="59"/>
        <v>0</v>
      </c>
      <c r="EY61" s="63">
        <f t="shared" si="60"/>
        <v>1</v>
      </c>
      <c r="EZ61" s="63" cm="1">
        <f t="array" ref="EZ61">INDEX(FX_Vap,$KJ61,EZ$91)</f>
        <v>0</v>
      </c>
      <c r="FA61" s="63" cm="1">
        <f t="array" ref="FA61">INDEX(FX_Temps,$KD61,FA$89)+459.6</f>
        <v>520.5</v>
      </c>
      <c r="FB61" s="63">
        <f t="shared" si="61"/>
        <v>0</v>
      </c>
      <c r="FC61" s="63" cm="1">
        <f t="array" ref="FC61">INDEX(Month_Ref,FC$83,3)*EX61*(PI()/4*$F61^2)*$H61*EY61*FB61</f>
        <v>0</v>
      </c>
      <c r="FD61" s="63" cm="1">
        <f t="array" ref="FD61">INDEX(FX_Input,$KB61,FD$85)</f>
        <v>0</v>
      </c>
      <c r="FE61" s="63">
        <f t="shared" si="62"/>
        <v>0</v>
      </c>
      <c r="FF61" s="63">
        <f t="shared" si="63"/>
        <v>0</v>
      </c>
      <c r="FG61" s="63">
        <f t="shared" si="64"/>
        <v>1</v>
      </c>
      <c r="FH61" s="63" cm="1">
        <f t="array" ref="FH61">IF(OR(INDEX(FX_Vap,$KK61,FH$90)="Crude Oil",(INDEX(FX_Vap,$KL61,FH$90)="Crude Oil")),0.75,1)</f>
        <v>1</v>
      </c>
      <c r="FI61" s="63">
        <f t="shared" si="115"/>
        <v>1</v>
      </c>
      <c r="FJ61" s="63">
        <f t="shared" si="65"/>
        <v>0</v>
      </c>
      <c r="FK61" s="64">
        <f t="shared" si="66"/>
        <v>0</v>
      </c>
      <c r="FL61" s="80" t="str" cm="1">
        <f t="array" ref="FL61">IF(ISBLANK(INDEX(FX_Input,$KB61+1,FL$85)),INDEX(FX_Input,$KB61,FL$85),INDEX(FX_Input,$KB61,FL$85)&amp;" &amp; "&amp;INDEX(FX_Input,$KB61+1,FL$85))</f>
        <v>Out of Service</v>
      </c>
      <c r="FM61" s="63" cm="1">
        <f t="array" ref="FM61">INDEX(FX_Temps,$KC61+7,FM$89)</f>
        <v>0</v>
      </c>
      <c r="FN61" s="63" cm="1">
        <f t="array" ref="FN61">INDEX(FX_Temps,$KC61+13,FN$89)+459.6</f>
        <v>518.20000000000005</v>
      </c>
      <c r="FO61" s="63" cm="1">
        <f t="array" ref="FO61">INDEX(FX_Vap,$KG61,FO$91)-INDEX(FX_Vap,$KH61,FO$91)</f>
        <v>0</v>
      </c>
      <c r="FP61" s="73" cm="1">
        <f t="array" ref="FP61">IF(FL61="Out of Service",0,INDEX(FX_Vap,$KI61,FP$91))</f>
        <v>0</v>
      </c>
      <c r="FQ61" s="63">
        <f t="shared" si="67"/>
        <v>0</v>
      </c>
      <c r="FR61" s="63">
        <f t="shared" si="68"/>
        <v>1</v>
      </c>
      <c r="FS61" s="63" cm="1">
        <f t="array" ref="FS61">INDEX(FX_Vap,$KJ61,FS$91)</f>
        <v>0</v>
      </c>
      <c r="FT61" s="63" cm="1">
        <f t="array" ref="FT61">INDEX(FX_Temps,$KD61,FT$89)+459.6</f>
        <v>518.20000000000005</v>
      </c>
      <c r="FU61" s="63">
        <f t="shared" si="69"/>
        <v>0</v>
      </c>
      <c r="FV61" s="63" cm="1">
        <f t="array" ref="FV61">INDEX(Month_Ref,FV$83,3)*FQ61*(PI()/4*$F61^2)*$H61*FR61*FU61</f>
        <v>0</v>
      </c>
      <c r="FW61" s="63" cm="1">
        <f t="array" ref="FW61">INDEX(FX_Input,$KB61,FW$85)</f>
        <v>0</v>
      </c>
      <c r="FX61" s="63">
        <f t="shared" si="70"/>
        <v>0</v>
      </c>
      <c r="FY61" s="63">
        <f t="shared" si="71"/>
        <v>0</v>
      </c>
      <c r="FZ61" s="63">
        <f t="shared" si="72"/>
        <v>1</v>
      </c>
      <c r="GA61" s="63" cm="1">
        <f t="array" ref="GA61">IF(OR(INDEX(FX_Vap,$KK61,GA$90)="Crude Oil",(INDEX(FX_Vap,$KL61,GA$90)="Crude Oil")),0.75,1)</f>
        <v>1</v>
      </c>
      <c r="GB61" s="63">
        <f t="shared" si="116"/>
        <v>1</v>
      </c>
      <c r="GC61" s="63">
        <f t="shared" si="73"/>
        <v>0</v>
      </c>
      <c r="GD61" s="64">
        <f t="shared" si="74"/>
        <v>0</v>
      </c>
      <c r="GE61" s="80" t="str" cm="1">
        <f t="array" ref="GE61">IF(ISBLANK(INDEX(FX_Input,$KB61+1,GE$85)),INDEX(FX_Input,$KB61,GE$85),INDEX(FX_Input,$KB61,GE$85)&amp;" &amp; "&amp;INDEX(FX_Input,$KB61+1,GE$85))</f>
        <v>Out of Service</v>
      </c>
      <c r="GF61" s="63" cm="1">
        <f t="array" ref="GF61">INDEX(FX_Temps,$KC61+7,GF$89)</f>
        <v>0</v>
      </c>
      <c r="GG61" s="63" cm="1">
        <f t="array" ref="GG61">INDEX(FX_Temps,$KC61+13,GG$89)+459.6</f>
        <v>512.25</v>
      </c>
      <c r="GH61" s="63" cm="1">
        <f t="array" ref="GH61">INDEX(FX_Vap,$KG61,GH$91)-INDEX(FX_Vap,$KH61,GH$91)</f>
        <v>0</v>
      </c>
      <c r="GI61" s="73" cm="1">
        <f t="array" ref="GI61">IF(GE61="Out of Service",0,INDEX(FX_Vap,$KI61,GI$91))</f>
        <v>0</v>
      </c>
      <c r="GJ61" s="63">
        <f t="shared" si="75"/>
        <v>0</v>
      </c>
      <c r="GK61" s="63">
        <f t="shared" si="76"/>
        <v>1</v>
      </c>
      <c r="GL61" s="63" cm="1">
        <f t="array" ref="GL61">INDEX(FX_Vap,$KJ61,GL$91)</f>
        <v>0</v>
      </c>
      <c r="GM61" s="63" cm="1">
        <f t="array" ref="GM61">INDEX(FX_Temps,$KD61,GM$89)+459.6</f>
        <v>512.25</v>
      </c>
      <c r="GN61" s="63">
        <f t="shared" si="77"/>
        <v>0</v>
      </c>
      <c r="GO61" s="63" cm="1">
        <f t="array" ref="GO61">INDEX(Month_Ref,GO$83,3)*GJ61*(PI()/4*$F61^2)*$H61*GK61*GN61</f>
        <v>0</v>
      </c>
      <c r="GP61" s="63" cm="1">
        <f t="array" ref="GP61">INDEX(FX_Input,$KB61,GP$85)</f>
        <v>0</v>
      </c>
      <c r="GQ61" s="63">
        <f t="shared" si="78"/>
        <v>0</v>
      </c>
      <c r="GR61" s="63">
        <f t="shared" si="79"/>
        <v>0</v>
      </c>
      <c r="GS61" s="63">
        <f t="shared" si="80"/>
        <v>1</v>
      </c>
      <c r="GT61" s="63" cm="1">
        <f t="array" ref="GT61">IF(OR(INDEX(FX_Vap,$KK61,GT$90)="Crude Oil",(INDEX(FX_Vap,$KL61,GT$90)="Crude Oil")),0.75,1)</f>
        <v>1</v>
      </c>
      <c r="GU61" s="63">
        <f t="shared" si="117"/>
        <v>1</v>
      </c>
      <c r="GV61" s="63">
        <f t="shared" si="81"/>
        <v>0</v>
      </c>
      <c r="GW61" s="64">
        <f t="shared" si="82"/>
        <v>0</v>
      </c>
      <c r="GX61" s="80" t="str" cm="1">
        <f t="array" ref="GX61">IF(ISBLANK(INDEX(FX_Input,$KB61+1,GX$85)),INDEX(FX_Input,$KB61,GX$85),INDEX(FX_Input,$KB61,GX$85)&amp;" &amp; "&amp;INDEX(FX_Input,$KB61+1,GX$85))</f>
        <v>Out of Service</v>
      </c>
      <c r="GY61" s="63" cm="1">
        <f t="array" ref="GY61">INDEX(FX_Temps,$KC61+7,GY$89)</f>
        <v>0</v>
      </c>
      <c r="GZ61" s="63" cm="1">
        <f t="array" ref="GZ61">INDEX(FX_Temps,$KC61+13,GZ$89)+459.6</f>
        <v>506.70000000000005</v>
      </c>
      <c r="HA61" s="63" cm="1">
        <f t="array" ref="HA61">INDEX(FX_Vap,$KG61,HA$91)-INDEX(FX_Vap,$KH61,HA$91)</f>
        <v>0</v>
      </c>
      <c r="HB61" s="73" cm="1">
        <f t="array" ref="HB61">IF(GX61="Out of Service",0,INDEX(FX_Vap,$KI61,HB$91))</f>
        <v>0</v>
      </c>
      <c r="HC61" s="63">
        <f t="shared" si="83"/>
        <v>0</v>
      </c>
      <c r="HD61" s="63">
        <f t="shared" si="84"/>
        <v>1</v>
      </c>
      <c r="HE61" s="63" cm="1">
        <f t="array" ref="HE61">INDEX(FX_Vap,$KJ61,HE$91)</f>
        <v>0</v>
      </c>
      <c r="HF61" s="63" cm="1">
        <f t="array" ref="HF61">INDEX(FX_Temps,$KD61,HF$89)+459.6</f>
        <v>506.70000000000005</v>
      </c>
      <c r="HG61" s="63">
        <f t="shared" si="85"/>
        <v>0</v>
      </c>
      <c r="HH61" s="63" cm="1">
        <f t="array" ref="HH61">INDEX(Month_Ref,HH$83,3)*HC61*(PI()/4*$F61^2)*$H61*HD61*HG61</f>
        <v>0</v>
      </c>
      <c r="HI61" s="63" cm="1">
        <f t="array" ref="HI61">INDEX(FX_Input,$KB61,HI$85)</f>
        <v>0</v>
      </c>
      <c r="HJ61" s="63">
        <f t="shared" si="86"/>
        <v>0</v>
      </c>
      <c r="HK61" s="63">
        <f t="shared" si="87"/>
        <v>0</v>
      </c>
      <c r="HL61" s="63">
        <f t="shared" si="88"/>
        <v>1</v>
      </c>
      <c r="HM61" s="63" cm="1">
        <f t="array" ref="HM61">IF(OR(INDEX(FX_Vap,$KK61,HM$90)="Crude Oil",(INDEX(FX_Vap,$KL61,HM$90)="Crude Oil")),0.75,1)</f>
        <v>1</v>
      </c>
      <c r="HN61" s="63">
        <f t="shared" si="118"/>
        <v>1</v>
      </c>
      <c r="HO61" s="63">
        <f t="shared" si="89"/>
        <v>0</v>
      </c>
      <c r="HP61" s="64">
        <f t="shared" si="90"/>
        <v>0</v>
      </c>
      <c r="HQ61" s="80" t="str" cm="1">
        <f t="array" ref="HQ61">IF(ISBLANK(INDEX(FX_Input,$KB61+1,HQ$85)),INDEX(FX_Input,$KB61,HQ$85),INDEX(FX_Input,$KB61,HQ$85)&amp;" &amp; "&amp;INDEX(FX_Input,$KB61+1,HQ$85))</f>
        <v>Out of Service</v>
      </c>
      <c r="HR61" s="63" cm="1">
        <f t="array" ref="HR61">INDEX(FX_Temps,$KC61+7,HR$89)</f>
        <v>0</v>
      </c>
      <c r="HS61" s="63" cm="1">
        <f t="array" ref="HS61">INDEX(FX_Temps,$KC61+13,HS$89)+459.6</f>
        <v>503.20000000000005</v>
      </c>
      <c r="HT61" s="63" cm="1">
        <f t="array" ref="HT61">INDEX(FX_Vap,$KG61,HT$91)-INDEX(FX_Vap,$KH61,HT$91)</f>
        <v>0</v>
      </c>
      <c r="HU61" s="73" cm="1">
        <f t="array" ref="HU61">IF(HQ61="Out of Service",0,INDEX(FX_Vap,$KI61,HU$91))</f>
        <v>0</v>
      </c>
      <c r="HV61" s="63">
        <f t="shared" si="91"/>
        <v>0</v>
      </c>
      <c r="HW61" s="63">
        <f t="shared" si="92"/>
        <v>1</v>
      </c>
      <c r="HX61" s="63" cm="1">
        <f t="array" ref="HX61">INDEX(FX_Vap,$KJ61,HX$91)</f>
        <v>0</v>
      </c>
      <c r="HY61" s="63" cm="1">
        <f t="array" ref="HY61">INDEX(FX_Temps,$KD61,HY$89)+459.6</f>
        <v>503.20000000000005</v>
      </c>
      <c r="HZ61" s="63">
        <f t="shared" si="93"/>
        <v>0</v>
      </c>
      <c r="IA61" s="63" cm="1">
        <f t="array" ref="IA61">INDEX(Month_Ref,IA$83,3)*HV61*(PI()/4*$F61^2)*$H61*HW61*HZ61</f>
        <v>0</v>
      </c>
      <c r="IB61" s="63" cm="1">
        <f t="array" ref="IB61">INDEX(FX_Input,$KB61,IB$85)</f>
        <v>0</v>
      </c>
      <c r="IC61" s="63">
        <f t="shared" si="94"/>
        <v>0</v>
      </c>
      <c r="ID61" s="63">
        <f t="shared" si="95"/>
        <v>0</v>
      </c>
      <c r="IE61" s="63">
        <f t="shared" si="96"/>
        <v>1</v>
      </c>
      <c r="IF61" s="63" cm="1">
        <f t="array" ref="IF61">IF(OR(INDEX(FX_Vap,$KK61,IF$90)="Crude Oil",(INDEX(FX_Vap,$KL61,IF$90)="Crude Oil")),0.75,1)</f>
        <v>1</v>
      </c>
      <c r="IG61" s="63">
        <f t="shared" si="119"/>
        <v>1</v>
      </c>
      <c r="IH61" s="63">
        <f t="shared" si="97"/>
        <v>0</v>
      </c>
      <c r="II61" s="64">
        <f t="shared" si="98"/>
        <v>0</v>
      </c>
      <c r="IJ61" s="80">
        <f t="shared" si="99"/>
        <v>0</v>
      </c>
      <c r="IK61" s="63">
        <f t="shared" si="100"/>
        <v>0</v>
      </c>
      <c r="IL61" s="63">
        <f t="shared" si="101"/>
        <v>0</v>
      </c>
      <c r="IM61" s="63">
        <f t="shared" si="102"/>
        <v>0</v>
      </c>
      <c r="IN61" s="63">
        <f t="shared" si="103"/>
        <v>0</v>
      </c>
      <c r="IO61" s="64">
        <f t="shared" si="104"/>
        <v>0</v>
      </c>
      <c r="KB61" s="43">
        <f t="shared" si="120"/>
        <v>101</v>
      </c>
      <c r="KC61" s="43">
        <f t="shared" si="121"/>
        <v>701</v>
      </c>
      <c r="KD61" s="43">
        <f t="shared" si="122"/>
        <v>714</v>
      </c>
      <c r="KE61" s="43">
        <f t="shared" si="123"/>
        <v>701</v>
      </c>
      <c r="KF61" s="43">
        <f t="shared" si="124"/>
        <v>1701</v>
      </c>
      <c r="KG61" s="43">
        <f t="shared" si="125"/>
        <v>1724</v>
      </c>
      <c r="KH61" s="43">
        <f t="shared" si="126"/>
        <v>1719</v>
      </c>
      <c r="KI61" s="43">
        <f t="shared" si="126"/>
        <v>1729</v>
      </c>
      <c r="KJ61" s="43">
        <f t="shared" si="126"/>
        <v>1734</v>
      </c>
      <c r="KK61" s="43">
        <f t="shared" si="127"/>
        <v>1705</v>
      </c>
      <c r="KL61" s="43">
        <f t="shared" si="128"/>
        <v>1707</v>
      </c>
    </row>
    <row r="62" spans="2:298" x14ac:dyDescent="0.4">
      <c r="B62" s="43" t="str" cm="1">
        <f t="array" ref="B62">INDEX(FX_Input,$KB62,B$85)</f>
        <v>FX - 52</v>
      </c>
      <c r="C62" s="93" t="str" cm="1">
        <f t="array" ref="C62">INDEX(FX_Input,$KB62,C$85)</f>
        <v>FIXTANK 182</v>
      </c>
      <c r="D62" s="80">
        <f t="shared" si="129"/>
        <v>15064.918521667305</v>
      </c>
      <c r="E62" s="63" cm="1">
        <f t="array" ref="E62">IF(ISBLANK(INDEX(FX_Input,$KB62,$E$85)),0.03,INDEX(FX_Input,$KB62,$E$85))-IF(ISBLANK(INDEX(FX_Input,$KB62,$E$86)),-0.03,INDEX(FX_Input,$KB62,$E$86))</f>
        <v>0.06</v>
      </c>
      <c r="F62" s="63" cm="1">
        <f t="array" ref="F62">IF(INDEX(FX_Input,$KB62,F$85)="Vertical",INDEX(FX_Input,$KB62,F$86),SQRT((INDEX(FX_Input,$KB62,F$86)*INDEX(FX_Input,$KB62,F$87))/(PI()/4)))</f>
        <v>30</v>
      </c>
      <c r="G62" s="63" cm="1">
        <f t="array" ref="G62">IF(INDEX(FX_Input,$KB62,G$85)="Vertical",INDEX(FX_Input,$KB62,G$86),INDEX(FX_Input,$KB62,G$87)*PI()/4)</f>
        <v>42</v>
      </c>
      <c r="H62" s="63" cm="1">
        <f t="array" ref="H62">IF(INDEX(FX_Input,$KB62,H$85)="Vertical",G62-G62/2+J62,G62/2)</f>
        <v>21.3125</v>
      </c>
      <c r="I62" s="63" cm="1">
        <f t="array" ref="I62">IF(INDEX(FX_Input,$KB62,F$85)="Horizontal","N/A",IF(INDEX(FX_Input,$KB62,I$86)="Cone",IF(ISBLANK(INDEX(FX_Input,$KB62,I$87)),0.0625,INDEX(FX_Input,$KB62,I$87))*F62/2,F62/2-SQRT((F62/2)^2-(INDEX(FX_Input,$KB62,I$88)^2))))</f>
        <v>0.9375</v>
      </c>
      <c r="J62" s="63" cm="1">
        <f t="array" ref="J62">IF(INDEX(FX_Input,$KB62,J$85)="Horizontal","N/A",IF(INDEX(FX_Input,$KB62,J$86)="Cone",I62/3,I62*(1/2+(1/6)*(I62/(F62/2))^2)))</f>
        <v>0.3125</v>
      </c>
      <c r="K62" s="63">
        <f t="shared" si="130"/>
        <v>41</v>
      </c>
      <c r="L62" s="63">
        <v>1</v>
      </c>
      <c r="M62" s="63" cm="1">
        <f t="array" ref="M62">INDEX(Tbl_71_6,MATCH(INDEX(FX_Input,$KB62,M$85),Paint_Color,0),VLOOKUP(INDEX(FX_Input,$KB62,M$86),Paint_Cond_Column,2,FALSE))</f>
        <v>0.57999999999999996</v>
      </c>
      <c r="N62" s="63" cm="1">
        <f t="array" ref="N62">INDEX(Tbl_71_6,MATCH(INDEX(FX_Input,$KB62,N$85),Paint_Color,0),VLOOKUP(INDEX(FX_Input,$KB62,N$86),Paint_Cond_Column,2,FALSE))</f>
        <v>0.57999999999999996</v>
      </c>
      <c r="O62" s="64">
        <f t="shared" si="2"/>
        <v>0.57999999999999996</v>
      </c>
      <c r="P62" s="80" t="str" cm="1">
        <f t="array" ref="P62">IF(ISBLANK(INDEX(FX_Input,$KB62+1,P$85)),INDEX(FX_Input,$KB62,P$85),INDEX(FX_Input,$KB62,P$85)&amp;" &amp; "&amp;INDEX(FX_Input,$KB62+1,P$85))</f>
        <v>Jet kerosene</v>
      </c>
      <c r="Q62" s="63" cm="1">
        <f t="array" ref="Q62">INDEX(FX_Temps,$KC62+7,Q$89)</f>
        <v>11.258800000000022</v>
      </c>
      <c r="R62" s="63" cm="1">
        <f t="array" ref="R62">INDEX(FX_Temps,$KC62+13,R$89)+459.6</f>
        <v>505.46950599999997</v>
      </c>
      <c r="S62" s="63" cm="1">
        <f t="array" ref="S62">INDEX(FX_Vap,$KG62,S$91)-INDEX(FX_Vap,$KH62,S$91)</f>
        <v>7.2511833210903501E-4</v>
      </c>
      <c r="T62" s="73" cm="1">
        <f t="array" ref="T62">IF(P62="Out of Service",0,INDEX(FX_Vap,$KI62,T$91))</f>
        <v>5.0788096823034274E-3</v>
      </c>
      <c r="U62" s="63">
        <f t="shared" si="3"/>
        <v>1.8240246540696722E-2</v>
      </c>
      <c r="V62" s="63">
        <f t="shared" si="4"/>
        <v>0.99429589056127876</v>
      </c>
      <c r="W62" s="63" cm="1">
        <f t="array" ref="W62">INDEX(FX_Vap,$KJ62,W$91)</f>
        <v>130</v>
      </c>
      <c r="X62" s="63" cm="1">
        <f t="array" ref="X62">INDEX(FX_Temps,$KD62,X$89)+459.6</f>
        <v>505.46950599999997</v>
      </c>
      <c r="Y62" s="63">
        <f t="shared" si="5"/>
        <v>1.2172229601159552E-4</v>
      </c>
      <c r="Z62" s="63" cm="1">
        <f t="array" ref="Z62">INDEX(Month_Ref,Z$83,3)*U62*(PI()/4*$F62^2)*$H62*V62*Y62</f>
        <v>1.0309674771547777</v>
      </c>
      <c r="AA62" s="63" cm="1">
        <f t="array" ref="AA62">INDEX(FX_Input,$KB62,AA$85)</f>
        <v>5290</v>
      </c>
      <c r="AB62" s="63">
        <f t="shared" si="6"/>
        <v>29698.059999999998</v>
      </c>
      <c r="AC62" s="63">
        <f t="shared" si="7"/>
        <v>1.0503540109421539</v>
      </c>
      <c r="AD62" s="63">
        <f t="shared" si="8"/>
        <v>1</v>
      </c>
      <c r="AE62" s="63" cm="1">
        <f t="array" ref="AE62">IF(OR(INDEX(FX_Vap,$KK62,AE$90)="Crude Oil",(INDEX(FX_Vap,$KL62,AE$90)="Crude Oil")),0.75,1)</f>
        <v>1</v>
      </c>
      <c r="AF62" s="63">
        <f t="shared" si="108"/>
        <v>1</v>
      </c>
      <c r="AG62" s="63">
        <f t="shared" si="9"/>
        <v>3.6149160502901241</v>
      </c>
      <c r="AH62" s="64">
        <f t="shared" si="10"/>
        <v>4.6458835274449015</v>
      </c>
      <c r="AI62" s="80" t="str" cm="1">
        <f t="array" ref="AI62">IF(ISBLANK(INDEX(FX_Input,$KB62+1,AI$85)),INDEX(FX_Input,$KB62,AI$85),INDEX(FX_Input,$KB62,AI$85)&amp;" &amp; "&amp;INDEX(FX_Input,$KB62+1,AI$85))</f>
        <v>Jet kerosene</v>
      </c>
      <c r="AJ62" s="63" cm="1">
        <f t="array" ref="AJ62">INDEX(FX_Temps,$KC62+7,AJ$89)</f>
        <v>16.199999999999989</v>
      </c>
      <c r="AK62" s="63" cm="1">
        <f t="array" ref="AK62">INDEX(FX_Temps,$KC62+13,AK$89)+459.6</f>
        <v>507.74520000000007</v>
      </c>
      <c r="AL62" s="63" cm="1">
        <f t="array" ref="AL62">INDEX(FX_Vap,$KG62,AL$91)-INDEX(FX_Vap,$KH62,AL$91)</f>
        <v>9.7385557209301102E-4</v>
      </c>
      <c r="AM62" s="73" cm="1">
        <f t="array" ref="AM62">IF(AI62="Out of Service",0,INDEX(FX_Vap,$KI62,AM$91))</f>
        <v>5.4974545080270654E-3</v>
      </c>
      <c r="AN62" s="63">
        <f t="shared" si="11"/>
        <v>2.788888071256744E-2</v>
      </c>
      <c r="AO62" s="63">
        <f t="shared" si="12"/>
        <v>0.99382860417285457</v>
      </c>
      <c r="AP62" s="63" cm="1">
        <f t="array" ref="AP62">INDEX(FX_Vap,$KJ62,AP$91)</f>
        <v>130</v>
      </c>
      <c r="AQ62" s="63" cm="1">
        <f t="array" ref="AQ62">INDEX(FX_Temps,$KD62,AQ$89)+459.6</f>
        <v>507.74520000000007</v>
      </c>
      <c r="AR62" s="63">
        <f t="shared" si="13"/>
        <v>1.3116530552340457E-4</v>
      </c>
      <c r="AS62" s="63" cm="1">
        <f t="array" ref="AS62">INDEX(Month_Ref,AS$83,3)*AN62*(PI()/4*$F62^2)*$H62*AO62*AR62</f>
        <v>1.533509146899795</v>
      </c>
      <c r="AT62" s="63" cm="1">
        <f t="array" ref="AT62">INDEX(FX_Input,$KB62,AT$85)</f>
        <v>5290</v>
      </c>
      <c r="AU62" s="63">
        <f t="shared" si="14"/>
        <v>29698.059999999998</v>
      </c>
      <c r="AV62" s="63">
        <f t="shared" si="15"/>
        <v>1.0503540109421539</v>
      </c>
      <c r="AW62" s="63">
        <f t="shared" si="16"/>
        <v>1</v>
      </c>
      <c r="AX62" s="63" cm="1">
        <f t="array" ref="AX62">IF(OR(INDEX(FX_Vap,$KK62,AX$90)="Crude Oil",(INDEX(FX_Vap,$KL62,AX$90)="Crude Oil")),0.75,1)</f>
        <v>1</v>
      </c>
      <c r="AY62" s="63">
        <f t="shared" si="109"/>
        <v>1</v>
      </c>
      <c r="AZ62" s="63">
        <f t="shared" si="17"/>
        <v>3.8953551133524003</v>
      </c>
      <c r="BA62" s="64">
        <f t="shared" si="18"/>
        <v>5.4288642602521957</v>
      </c>
      <c r="BB62" s="80" t="str" cm="1">
        <f t="array" ref="BB62">IF(ISBLANK(INDEX(FX_Input,$KB62+1,BB$85)),INDEX(FX_Input,$KB62,BB$85),INDEX(FX_Input,$KB62,BB$85)&amp;" &amp; "&amp;INDEX(FX_Input,$KB62+1,BB$85))</f>
        <v>Jet kerosene</v>
      </c>
      <c r="BC62" s="63" cm="1">
        <f t="array" ref="BC62">INDEX(FX_Temps,$KC62+7,BC$89)</f>
        <v>19.413200000000032</v>
      </c>
      <c r="BD62" s="63" cm="1">
        <f t="array" ref="BD62">INDEX(FX_Temps,$KC62+13,BD$89)+459.6</f>
        <v>510.73573400000004</v>
      </c>
      <c r="BE62" s="63" cm="1">
        <f t="array" ref="BE62">INDEX(FX_Vap,$KG62,BE$91)-INDEX(FX_Vap,$KH62,BE$91)</f>
        <v>1.0512513961976316E-3</v>
      </c>
      <c r="BF62" s="73" cm="1">
        <f t="array" ref="BF62">IF(BB62="Out of Service",0,INDEX(FX_Vap,$KI62,BF$91))</f>
        <v>6.0939776204352973E-3</v>
      </c>
      <c r="BG62" s="63">
        <f t="shared" si="19"/>
        <v>3.3998481774195406E-2</v>
      </c>
      <c r="BH62" s="63">
        <f t="shared" si="20"/>
        <v>0.993163530437843</v>
      </c>
      <c r="BI62" s="63" cm="1">
        <f t="array" ref="BI62">INDEX(FX_Vap,$KJ62,BI$91)</f>
        <v>130</v>
      </c>
      <c r="BJ62" s="63" cm="1">
        <f t="array" ref="BJ62">INDEX(FX_Temps,$KD62,BJ$89)+459.6</f>
        <v>510.73573400000004</v>
      </c>
      <c r="BK62" s="63">
        <f t="shared" si="21"/>
        <v>1.4454656240474778E-4</v>
      </c>
      <c r="BL62" s="63" cm="1">
        <f t="array" ref="BL62">INDEX(Month_Ref,BL$83,3)*BG62*(PI()/4*$F62^2)*$H62*BH62*BK62</f>
        <v>2.2793789650241938</v>
      </c>
      <c r="BM62" s="63" cm="1">
        <f t="array" ref="BM62">INDEX(FX_Input,$KB62,BM$85)</f>
        <v>5290</v>
      </c>
      <c r="BN62" s="63">
        <f t="shared" si="22"/>
        <v>29698.059999999998</v>
      </c>
      <c r="BO62" s="63">
        <f t="shared" si="23"/>
        <v>1.0503540109421539</v>
      </c>
      <c r="BP62" s="63">
        <f t="shared" si="24"/>
        <v>1</v>
      </c>
      <c r="BQ62" s="63" cm="1">
        <f t="array" ref="BQ62">IF(OR(INDEX(FX_Vap,$KK62,BQ$90)="Crude Oil",(INDEX(FX_Vap,$KL62,BQ$90)="Crude Oil")),0.75,1)</f>
        <v>1</v>
      </c>
      <c r="BR62" s="63">
        <f t="shared" si="110"/>
        <v>1</v>
      </c>
      <c r="BS62" s="63">
        <f t="shared" si="25"/>
        <v>4.2927524830899433</v>
      </c>
      <c r="BT62" s="64">
        <f t="shared" si="26"/>
        <v>6.5721314481141366</v>
      </c>
      <c r="BU62" s="80" t="str" cm="1">
        <f t="array" ref="BU62">IF(ISBLANK(INDEX(FX_Input,$KB62+1,BU$85)),INDEX(FX_Input,$KB62,BU$85),INDEX(FX_Input,$KB62,BU$85)&amp;" &amp; "&amp;INDEX(FX_Input,$KB62+1,BU$85))</f>
        <v>Jet kerosene</v>
      </c>
      <c r="BV62" s="63" cm="1">
        <f t="array" ref="BV62">INDEX(FX_Temps,$KC62+7,BV$89)</f>
        <v>23.903199999999984</v>
      </c>
      <c r="BW62" s="63" cm="1">
        <f t="array" ref="BW62">INDEX(FX_Temps,$KC62+13,BW$89)+459.6</f>
        <v>515.38898399999994</v>
      </c>
      <c r="BX62" s="63" cm="1">
        <f t="array" ref="BX62">INDEX(FX_Vap,$KG62,BX$91)-INDEX(FX_Vap,$KH62,BX$91)</f>
        <v>1.2038097787291455E-3</v>
      </c>
      <c r="BY62" s="73" cm="1">
        <f t="array" ref="BY62">IF(BU62="Out of Service",0,INDEX(FX_Vap,$KI62,BY$91))</f>
        <v>7.1364512548726224E-3</v>
      </c>
      <c r="BZ62" s="63">
        <f t="shared" si="27"/>
        <v>4.2377266616028302E-2</v>
      </c>
      <c r="CA62" s="63">
        <f t="shared" si="28"/>
        <v>0.99200339346622146</v>
      </c>
      <c r="CB62" s="63" cm="1">
        <f t="array" ref="CB62">INDEX(FX_Vap,$KJ62,CB$91)</f>
        <v>130</v>
      </c>
      <c r="CC62" s="63" cm="1">
        <f t="array" ref="CC62">INDEX(FX_Temps,$KD62,CC$89)+459.6</f>
        <v>515.38898399999994</v>
      </c>
      <c r="CD62" s="63">
        <f t="shared" si="29"/>
        <v>1.6774528797017444E-4</v>
      </c>
      <c r="CE62" s="63" cm="1">
        <f t="array" ref="CE62">INDEX(Month_Ref,CE$83,3)*BZ62*(PI()/4*$F62^2)*$H62*CA62*CD62</f>
        <v>3.1870176595424797</v>
      </c>
      <c r="CF62" s="63" cm="1">
        <f t="array" ref="CF62">INDEX(FX_Input,$KB62,CF$85)</f>
        <v>5290</v>
      </c>
      <c r="CG62" s="63">
        <f t="shared" si="30"/>
        <v>29698.059999999998</v>
      </c>
      <c r="CH62" s="63">
        <f t="shared" si="31"/>
        <v>1.0503540109421539</v>
      </c>
      <c r="CI62" s="63">
        <f t="shared" si="32"/>
        <v>1</v>
      </c>
      <c r="CJ62" s="63" cm="1">
        <f t="array" ref="CJ62">IF(OR(INDEX(FX_Vap,$KK62,CJ$90)="Crude Oil",(INDEX(FX_Vap,$KL62,CJ$90)="Crude Oil")),0.75,1)</f>
        <v>1</v>
      </c>
      <c r="CK62" s="63">
        <f t="shared" si="111"/>
        <v>1</v>
      </c>
      <c r="CL62" s="63">
        <f t="shared" si="33"/>
        <v>4.9817096268555181</v>
      </c>
      <c r="CM62" s="64">
        <f t="shared" si="34"/>
        <v>8.1687272863979974</v>
      </c>
      <c r="CN62" s="80" t="str" cm="1">
        <f t="array" ref="CN62">IF(ISBLANK(INDEX(FX_Input,$KB62+1,CN$85)),INDEX(FX_Input,$KB62,CN$85),INDEX(FX_Input,$KB62,CN$85)&amp;" &amp; "&amp;INDEX(FX_Input,$KB62+1,CN$85))</f>
        <v>Jet kerosene</v>
      </c>
      <c r="CO62" s="63" cm="1">
        <f t="array" ref="CO62">INDEX(FX_Temps,$KC62+7,CO$89)</f>
        <v>27.139199999999967</v>
      </c>
      <c r="CP62" s="63" cm="1">
        <f t="array" ref="CP62">INDEX(FX_Temps,$KC62+13,CP$89)+459.6</f>
        <v>521.57545400000004</v>
      </c>
      <c r="CQ62" s="63" cm="1">
        <f t="array" ref="CQ62">INDEX(FX_Vap,$KG62,CQ$91)-INDEX(FX_Vap,$KH62,CQ$91)</f>
        <v>1.4138833287953342E-3</v>
      </c>
      <c r="CR62" s="73" cm="1">
        <f t="array" ref="CR62">IF(CN62="Out of Service",0,INDEX(FX_Vap,$KI62,CR$91))</f>
        <v>8.765284653116507E-3</v>
      </c>
      <c r="CS62" s="63">
        <f t="shared" si="35"/>
        <v>4.8045295508693228E-2</v>
      </c>
      <c r="CT62" s="63">
        <f t="shared" si="36"/>
        <v>0.99019613064534084</v>
      </c>
      <c r="CU62" s="63" cm="1">
        <f t="array" ref="CU62">INDEX(FX_Vap,$KJ62,CU$91)</f>
        <v>130</v>
      </c>
      <c r="CV62" s="63" cm="1">
        <f t="array" ref="CV62">INDEX(FX_Temps,$KD62,CV$89)+459.6</f>
        <v>521.57545400000004</v>
      </c>
      <c r="CW62" s="63">
        <f t="shared" si="37"/>
        <v>2.0358793488255635E-4</v>
      </c>
      <c r="CX62" s="63" cm="1">
        <f t="array" ref="CX62">INDEX(Month_Ref,CX$83,3)*CS62*(PI()/4*$F62^2)*$H62*CT62*CW62</f>
        <v>4.5232710389343245</v>
      </c>
      <c r="CY62" s="63" cm="1">
        <f t="array" ref="CY62">INDEX(FX_Input,$KB62,CY$85)</f>
        <v>5290</v>
      </c>
      <c r="CZ62" s="63">
        <f t="shared" si="38"/>
        <v>29698.059999999998</v>
      </c>
      <c r="DA62" s="63">
        <f t="shared" si="39"/>
        <v>1.0503540109421539</v>
      </c>
      <c r="DB62" s="63">
        <f t="shared" si="40"/>
        <v>1</v>
      </c>
      <c r="DC62" s="63" cm="1">
        <f t="array" ref="DC62">IF(OR(INDEX(FX_Vap,$KK62,DC$90)="Crude Oil",(INDEX(FX_Vap,$KL62,DC$90)="Crude Oil")),0.75,1)</f>
        <v>1</v>
      </c>
      <c r="DD62" s="63">
        <f t="shared" si="112"/>
        <v>1</v>
      </c>
      <c r="DE62" s="63">
        <f t="shared" si="41"/>
        <v>6.0461667054182513</v>
      </c>
      <c r="DF62" s="64">
        <f t="shared" si="42"/>
        <v>10.569437744352577</v>
      </c>
      <c r="DG62" s="80" t="str" cm="1">
        <f t="array" ref="DG62">IF(ISBLANK(INDEX(FX_Input,$KB62+1,DG$85)),INDEX(FX_Input,$KB62,DG$85),INDEX(FX_Input,$KB62,DG$85)&amp;" &amp; "&amp;INDEX(FX_Input,$KB62+1,DG$85))</f>
        <v>Jet kerosene</v>
      </c>
      <c r="DH62" s="63" cm="1">
        <f t="array" ref="DH62">INDEX(FX_Temps,$KC62+7,DH$89)</f>
        <v>27.623200000000036</v>
      </c>
      <c r="DI62" s="63" cm="1">
        <f t="array" ref="DI62">INDEX(FX_Temps,$KC62+13,DI$89)+459.6</f>
        <v>525.89223400000003</v>
      </c>
      <c r="DJ62" s="63" cm="1">
        <f t="array" ref="DJ62">INDEX(FX_Vap,$KG62,DJ$91)-INDEX(FX_Vap,$KH62,DJ$91)</f>
        <v>1.4993334776470697E-3</v>
      </c>
      <c r="DK62" s="73" cm="1">
        <f t="array" ref="DK62">IF(DG62="Out of Service",0,INDEX(FX_Vap,$KI62,DK$91))</f>
        <v>1.0088391497030216E-2</v>
      </c>
      <c r="DL62" s="63">
        <f t="shared" si="43"/>
        <v>4.8543980644621849E-2</v>
      </c>
      <c r="DM62" s="63">
        <f t="shared" si="44"/>
        <v>0.98873292488171627</v>
      </c>
      <c r="DN62" s="63" cm="1">
        <f t="array" ref="DN62">INDEX(FX_Vap,$KJ62,DN$91)</f>
        <v>130</v>
      </c>
      <c r="DO62" s="63" cm="1">
        <f t="array" ref="DO62">INDEX(FX_Temps,$KD62,DO$89)+459.6</f>
        <v>525.89223400000003</v>
      </c>
      <c r="DP62" s="63">
        <f t="shared" si="45"/>
        <v>2.3239582803801919E-4</v>
      </c>
      <c r="DQ62" s="63" cm="1">
        <f t="array" ref="DQ62">INDEX(Month_Ref,DQ$83,3)*DL62*(PI()/4*$F62^2)*$H62*DM62*DP62</f>
        <v>5.0411631338617804</v>
      </c>
      <c r="DR62" s="63" cm="1">
        <f t="array" ref="DR62">INDEX(FX_Input,$KB62,DR$85)</f>
        <v>5290</v>
      </c>
      <c r="DS62" s="63">
        <f t="shared" si="46"/>
        <v>29698.059999999998</v>
      </c>
      <c r="DT62" s="63">
        <f t="shared" si="47"/>
        <v>1.0503540109421539</v>
      </c>
      <c r="DU62" s="63">
        <f t="shared" si="48"/>
        <v>1</v>
      </c>
      <c r="DV62" s="63" cm="1">
        <f t="array" ref="DV62">IF(OR(INDEX(FX_Vap,$KK62,DV$90)="Crude Oil",(INDEX(FX_Vap,$KL62,DV$90)="Crude Oil")),0.75,1)</f>
        <v>1</v>
      </c>
      <c r="DW62" s="63">
        <f t="shared" si="113"/>
        <v>1</v>
      </c>
      <c r="DX62" s="63">
        <f t="shared" si="49"/>
        <v>6.9017052448227751</v>
      </c>
      <c r="DY62" s="64">
        <f t="shared" si="50"/>
        <v>11.942868378684555</v>
      </c>
      <c r="DZ62" s="80" t="str" cm="1">
        <f t="array" ref="DZ62">IF(ISBLANK(INDEX(FX_Input,$KB62+1,DZ$85)),INDEX(FX_Input,$KB62,DZ$85),INDEX(FX_Input,$KB62,DZ$85)&amp;" &amp; "&amp;INDEX(FX_Input,$KB62+1,DZ$85))</f>
        <v>Jet kerosene</v>
      </c>
      <c r="EA62" s="63" cm="1">
        <f t="array" ref="EA62">INDEX(FX_Temps,$KC62+7,EA$89)</f>
        <v>28.70279999999995</v>
      </c>
      <c r="EB62" s="63" cm="1">
        <f t="array" ref="EB62">INDEX(FX_Temps,$KC62+13,EB$89)+459.6</f>
        <v>529.85733599999992</v>
      </c>
      <c r="EC62" s="63" cm="1">
        <f t="array" ref="EC62">INDEX(FX_Vap,$KG62,EC$91)-INDEX(FX_Vap,$KH62,EC$91)</f>
        <v>1.6992521014225423E-3</v>
      </c>
      <c r="ED62" s="73" cm="1">
        <f t="array" ref="ED62">IF(DZ62="Out of Service",0,INDEX(FX_Vap,$KI62,ED$91))</f>
        <v>1.1455846008049875E-2</v>
      </c>
      <c r="EE62" s="63">
        <f t="shared" si="51"/>
        <v>5.0201677517994168E-2</v>
      </c>
      <c r="EF62" s="63">
        <f t="shared" si="52"/>
        <v>0.9872252128902832</v>
      </c>
      <c r="EG62" s="63" cm="1">
        <f t="array" ref="EG62">INDEX(FX_Vap,$KJ62,EG$91)</f>
        <v>130</v>
      </c>
      <c r="EH62" s="63" cm="1">
        <f t="array" ref="EH62">INDEX(FX_Temps,$KD62,EH$89)+459.6</f>
        <v>529.85733599999992</v>
      </c>
      <c r="EI62" s="63">
        <f t="shared" si="53"/>
        <v>2.6192163491240041E-4</v>
      </c>
      <c r="EJ62" s="63" cm="1">
        <f t="array" ref="EJ62">INDEX(Month_Ref,EJ$83,3)*EE62*(PI()/4*$F62^2)*$H62*EF62*EI62</f>
        <v>6.0622566954216213</v>
      </c>
      <c r="EK62" s="63" cm="1">
        <f t="array" ref="EK62">INDEX(FX_Input,$KB62,EK$85)</f>
        <v>5290</v>
      </c>
      <c r="EL62" s="63">
        <f t="shared" si="54"/>
        <v>29698.059999999998</v>
      </c>
      <c r="EM62" s="63">
        <f t="shared" si="55"/>
        <v>1.0503540109421539</v>
      </c>
      <c r="EN62" s="63">
        <f t="shared" si="56"/>
        <v>1</v>
      </c>
      <c r="EO62" s="63" cm="1">
        <f t="array" ref="EO62">IF(OR(INDEX(FX_Vap,$KK62,EO$90)="Crude Oil",(INDEX(FX_Vap,$KL62,EO$90)="Crude Oil")),0.75,1)</f>
        <v>1</v>
      </c>
      <c r="EP62" s="63">
        <f t="shared" si="114"/>
        <v>1</v>
      </c>
      <c r="EQ62" s="63">
        <f t="shared" si="57"/>
        <v>7.7785644289265612</v>
      </c>
      <c r="ER62" s="64">
        <f t="shared" si="58"/>
        <v>13.840821124348182</v>
      </c>
      <c r="ES62" s="80" t="str" cm="1">
        <f t="array" ref="ES62">IF(ISBLANK(INDEX(FX_Input,$KB62+1,ES$85)),INDEX(FX_Input,$KB62,ES$85),INDEX(FX_Input,$KB62,ES$85)&amp;" &amp; "&amp;INDEX(FX_Input,$KB62+1,ES$85))</f>
        <v>Jet kerosene</v>
      </c>
      <c r="ET62" s="63" cm="1">
        <f t="array" ref="ET62">INDEX(FX_Temps,$KC62+7,ET$89)</f>
        <v>26.827200000000012</v>
      </c>
      <c r="EU62" s="63" cm="1">
        <f t="array" ref="EU62">INDEX(FX_Temps,$KC62+13,EU$89)+459.6</f>
        <v>529.06706399999996</v>
      </c>
      <c r="EV62" s="63" cm="1">
        <f t="array" ref="EV62">INDEX(FX_Vap,$KG62,EV$91)-INDEX(FX_Vap,$KH62,EV$91)</f>
        <v>1.7992087732702586E-3</v>
      </c>
      <c r="EW62" s="73" cm="1">
        <f t="array" ref="EW62">IF(ES62="Out of Service",0,INDEX(FX_Vap,$KI62,EW$91))</f>
        <v>1.1170957772624744E-2</v>
      </c>
      <c r="EX62" s="63">
        <f t="shared" si="59"/>
        <v>4.6744366618355258E-2</v>
      </c>
      <c r="EY62" s="63">
        <f t="shared" si="60"/>
        <v>0.98753894231273287</v>
      </c>
      <c r="EZ62" s="63" cm="1">
        <f t="array" ref="EZ62">INDEX(FX_Vap,$KJ62,EZ$91)</f>
        <v>130</v>
      </c>
      <c r="FA62" s="63" cm="1">
        <f t="array" ref="FA62">INDEX(FX_Temps,$KD62,FA$89)+459.6</f>
        <v>529.06706399999996</v>
      </c>
      <c r="FB62" s="63">
        <f t="shared" si="61"/>
        <v>2.5578957558738659E-4</v>
      </c>
      <c r="FC62" s="63" cm="1">
        <f t="array" ref="FC62">INDEX(Month_Ref,FC$83,3)*EX62*(PI()/4*$F62^2)*$H62*EY62*FB62</f>
        <v>5.5143564075319356</v>
      </c>
      <c r="FD62" s="63" cm="1">
        <f t="array" ref="FD62">INDEX(FX_Input,$KB62,FD$85)</f>
        <v>5290</v>
      </c>
      <c r="FE62" s="63">
        <f t="shared" si="62"/>
        <v>29698.059999999998</v>
      </c>
      <c r="FF62" s="63">
        <f t="shared" si="63"/>
        <v>1.0503540109421539</v>
      </c>
      <c r="FG62" s="63">
        <f t="shared" si="64"/>
        <v>1</v>
      </c>
      <c r="FH62" s="63" cm="1">
        <f t="array" ref="FH62">IF(OR(INDEX(FX_Vap,$KK62,FH$90)="Crude Oil",(INDEX(FX_Vap,$KL62,FH$90)="Crude Oil")),0.75,1)</f>
        <v>1</v>
      </c>
      <c r="FI62" s="63">
        <f t="shared" si="115"/>
        <v>1</v>
      </c>
      <c r="FJ62" s="63">
        <f t="shared" si="65"/>
        <v>7.5964541631687412</v>
      </c>
      <c r="FK62" s="64">
        <f t="shared" si="66"/>
        <v>13.110810570700677</v>
      </c>
      <c r="FL62" s="80" t="str" cm="1">
        <f t="array" ref="FL62">IF(ISBLANK(INDEX(FX_Input,$KB62+1,FL$85)),INDEX(FX_Input,$KB62,FL$85),INDEX(FX_Input,$KB62,FL$85)&amp;" &amp; "&amp;INDEX(FX_Input,$KB62+1,FL$85))</f>
        <v>Jet kerosene</v>
      </c>
      <c r="FM62" s="63" cm="1">
        <f t="array" ref="FM62">INDEX(FX_Temps,$KC62+7,FM$89)</f>
        <v>25.353599999999982</v>
      </c>
      <c r="FN62" s="63" cm="1">
        <f t="array" ref="FN62">INDEX(FX_Temps,$KC62+13,FN$89)+459.6</f>
        <v>525.06743199999994</v>
      </c>
      <c r="FO62" s="63" cm="1">
        <f t="array" ref="FO62">INDEX(FX_Vap,$KG62,FO$91)-INDEX(FX_Vap,$KH62,FO$91)</f>
        <v>1.9653530375067282E-3</v>
      </c>
      <c r="FP62" s="73" cm="1">
        <f t="array" ref="FP62">IF(FL62="Out of Service",0,INDEX(FX_Vap,$KI62,FP$91))</f>
        <v>9.8227622663598323E-3</v>
      </c>
      <c r="FQ62" s="63">
        <f t="shared" si="67"/>
        <v>4.4335794433841239E-2</v>
      </c>
      <c r="FR62" s="63">
        <f t="shared" si="68"/>
        <v>0.98902633357821901</v>
      </c>
      <c r="FS62" s="63" cm="1">
        <f t="array" ref="FS62">INDEX(FX_Vap,$KJ62,FS$91)</f>
        <v>130</v>
      </c>
      <c r="FT62" s="63" cm="1">
        <f t="array" ref="FT62">INDEX(FX_Temps,$KD62,FT$89)+459.6</f>
        <v>525.06743199999994</v>
      </c>
      <c r="FU62" s="63">
        <f t="shared" si="69"/>
        <v>2.2663224935892229E-4</v>
      </c>
      <c r="FV62" s="63" cm="1">
        <f t="array" ref="FV62">INDEX(Month_Ref,FV$83,3)*FQ62*(PI()/4*$F62^2)*$H62*FR62*FU62</f>
        <v>4.4913003723044165</v>
      </c>
      <c r="FW62" s="63" cm="1">
        <f t="array" ref="FW62">INDEX(FX_Input,$KB62,FW$85)</f>
        <v>5290</v>
      </c>
      <c r="FX62" s="63">
        <f t="shared" si="70"/>
        <v>29698.059999999998</v>
      </c>
      <c r="FY62" s="63">
        <f t="shared" si="71"/>
        <v>1.0503540109421539</v>
      </c>
      <c r="FZ62" s="63">
        <f t="shared" si="72"/>
        <v>1</v>
      </c>
      <c r="GA62" s="63" cm="1">
        <f t="array" ref="GA62">IF(OR(INDEX(FX_Vap,$KK62,GA$90)="Crude Oil",(INDEX(FX_Vap,$KL62,GA$90)="Crude Oil")),0.75,1)</f>
        <v>1</v>
      </c>
      <c r="GB62" s="63">
        <f t="shared" si="116"/>
        <v>1</v>
      </c>
      <c r="GC62" s="63">
        <f t="shared" si="73"/>
        <v>6.7305381393962351</v>
      </c>
      <c r="GD62" s="64">
        <f t="shared" si="74"/>
        <v>11.221838511700652</v>
      </c>
      <c r="GE62" s="80" t="str" cm="1">
        <f t="array" ref="GE62">IF(ISBLANK(INDEX(FX_Input,$KB62+1,GE$85)),INDEX(FX_Input,$KB62,GE$85),INDEX(FX_Input,$KB62,GE$85)&amp;" &amp; "&amp;INDEX(FX_Input,$KB62+1,GE$85))</f>
        <v>Jet kerosene</v>
      </c>
      <c r="GF62" s="63" cm="1">
        <f t="array" ref="GF62">INDEX(FX_Temps,$KC62+7,GF$89)</f>
        <v>18.734799999999993</v>
      </c>
      <c r="GG62" s="63" cm="1">
        <f t="array" ref="GG62">INDEX(FX_Temps,$KC62+13,GG$89)+459.6</f>
        <v>516.43017599999996</v>
      </c>
      <c r="GH62" s="63" cm="1">
        <f t="array" ref="GH62">INDEX(FX_Vap,$KG62,GH$91)-INDEX(FX_Vap,$KH62,GH$91)</f>
        <v>1.4015323004334451E-3</v>
      </c>
      <c r="GI62" s="73" cm="1">
        <f t="array" ref="GI62">IF(GE62="Out of Service",0,INDEX(FX_Vap,$KI62,GI$91))</f>
        <v>7.3902409367879104E-3</v>
      </c>
      <c r="GJ62" s="63">
        <f t="shared" si="75"/>
        <v>3.2289212922073263E-2</v>
      </c>
      <c r="GK62" s="63">
        <f t="shared" si="76"/>
        <v>0.99172136882440376</v>
      </c>
      <c r="GL62" s="63" cm="1">
        <f t="array" ref="GL62">INDEX(FX_Vap,$KJ62,GL$91)</f>
        <v>130</v>
      </c>
      <c r="GM62" s="63" cm="1">
        <f t="array" ref="GM62">INDEX(FX_Temps,$KD62,GM$89)+459.6</f>
        <v>516.43017599999996</v>
      </c>
      <c r="GN62" s="63">
        <f t="shared" si="77"/>
        <v>1.7336049723016869E-4</v>
      </c>
      <c r="GO62" s="63" cm="1">
        <f t="array" ref="GO62">INDEX(Month_Ref,GO$83,3)*GJ62*(PI()/4*$F62^2)*$H62*GK62*GN62</f>
        <v>2.592541726026564</v>
      </c>
      <c r="GP62" s="63" cm="1">
        <f t="array" ref="GP62">INDEX(FX_Input,$KB62,GP$85)</f>
        <v>5290</v>
      </c>
      <c r="GQ62" s="63">
        <f t="shared" si="78"/>
        <v>29698.059999999998</v>
      </c>
      <c r="GR62" s="63">
        <f t="shared" si="79"/>
        <v>1.0503540109421539</v>
      </c>
      <c r="GS62" s="63">
        <f t="shared" si="80"/>
        <v>1</v>
      </c>
      <c r="GT62" s="63" cm="1">
        <f t="array" ref="GT62">IF(OR(INDEX(FX_Vap,$KK62,GT$90)="Crude Oil",(INDEX(FX_Vap,$KL62,GT$90)="Crude Oil")),0.75,1)</f>
        <v>1</v>
      </c>
      <c r="GU62" s="63">
        <f t="shared" si="117"/>
        <v>1</v>
      </c>
      <c r="GV62" s="63">
        <f t="shared" si="81"/>
        <v>5.1484704483713832</v>
      </c>
      <c r="GW62" s="64">
        <f t="shared" si="82"/>
        <v>7.7410121743979472</v>
      </c>
      <c r="GX62" s="80" t="str" cm="1">
        <f t="array" ref="GX62">IF(ISBLANK(INDEX(FX_Input,$KB62+1,GX$85)),INDEX(FX_Input,$KB62,GX$85),INDEX(FX_Input,$KB62,GX$85)&amp;" &amp; "&amp;INDEX(FX_Input,$KB62+1,GX$85))</f>
        <v>Jet kerosene</v>
      </c>
      <c r="GY62" s="63" cm="1">
        <f t="array" ref="GY62">INDEX(FX_Temps,$KC62+7,GY$89)</f>
        <v>13.07560000000003</v>
      </c>
      <c r="GZ62" s="63" cm="1">
        <f t="array" ref="GZ62">INDEX(FX_Temps,$KC62+13,GZ$89)+459.6</f>
        <v>508.94512199999997</v>
      </c>
      <c r="HA62" s="63" cm="1">
        <f t="array" ref="HA62">INDEX(FX_Vap,$KG62,HA$91)-INDEX(FX_Vap,$KH62,HA$91)</f>
        <v>9.4462005903835859E-4</v>
      </c>
      <c r="HB62" s="73" cm="1">
        <f t="array" ref="HB62">IF(GX62="Out of Service",0,INDEX(FX_Vap,$KI62,HB$91))</f>
        <v>5.7302815955729341E-3</v>
      </c>
      <c r="HC62" s="63">
        <f t="shared" si="83"/>
        <v>2.1672632088548499E-2</v>
      </c>
      <c r="HD62" s="63">
        <f t="shared" si="84"/>
        <v>0.99356891534888103</v>
      </c>
      <c r="HE62" s="63" cm="1">
        <f t="array" ref="HE62">INDEX(FX_Vap,$KJ62,HE$91)</f>
        <v>130</v>
      </c>
      <c r="HF62" s="63" cm="1">
        <f t="array" ref="HF62">INDEX(FX_Temps,$KD62,HF$89)+459.6</f>
        <v>508.94512199999997</v>
      </c>
      <c r="HG62" s="63">
        <f t="shared" si="85"/>
        <v>1.3639805130362953E-4</v>
      </c>
      <c r="HH62" s="63" cm="1">
        <f t="array" ref="HH62">INDEX(Month_Ref,HH$83,3)*HC62*(PI()/4*$F62^2)*$H62*HD62*HG62</f>
        <v>1.3274123741996167</v>
      </c>
      <c r="HI62" s="63" cm="1">
        <f t="array" ref="HI62">INDEX(FX_Input,$KB62,HI$85)</f>
        <v>5290</v>
      </c>
      <c r="HJ62" s="63">
        <f t="shared" si="86"/>
        <v>29698.059999999998</v>
      </c>
      <c r="HK62" s="63">
        <f t="shared" si="87"/>
        <v>1.0503540109421539</v>
      </c>
      <c r="HL62" s="63">
        <f t="shared" si="88"/>
        <v>1</v>
      </c>
      <c r="HM62" s="63" cm="1">
        <f t="array" ref="HM62">IF(OR(INDEX(FX_Vap,$KK62,HM$90)="Crude Oil",(INDEX(FX_Vap,$KL62,HM$90)="Crude Oil")),0.75,1)</f>
        <v>1</v>
      </c>
      <c r="HN62" s="63">
        <f t="shared" si="118"/>
        <v>1</v>
      </c>
      <c r="HO62" s="63">
        <f t="shared" si="89"/>
        <v>4.0507575114982677</v>
      </c>
      <c r="HP62" s="64">
        <f t="shared" si="90"/>
        <v>5.3781698856978846</v>
      </c>
      <c r="HQ62" s="80" t="str" cm="1">
        <f t="array" ref="HQ62">IF(ISBLANK(INDEX(FX_Input,$KB62+1,HQ$85)),INDEX(FX_Input,$KB62,HQ$85),INDEX(FX_Input,$KB62,HQ$85)&amp;" &amp; "&amp;INDEX(FX_Input,$KB62+1,HQ$85))</f>
        <v>Jet kerosene</v>
      </c>
      <c r="HR62" s="63" cm="1">
        <f t="array" ref="HR62">INDEX(FX_Temps,$KC62+7,HR$89)</f>
        <v>10.5032</v>
      </c>
      <c r="HS62" s="63" cm="1">
        <f t="array" ref="HS62">INDEX(FX_Temps,$KC62+13,HS$89)+459.6</f>
        <v>504.93408400000004</v>
      </c>
      <c r="HT62" s="63" cm="1">
        <f t="array" ref="HT62">INDEX(FX_Vap,$KG62,HT$91)-INDEX(FX_Vap,$KH62,HT$91)</f>
        <v>6.8725410655236848E-4</v>
      </c>
      <c r="HU62" s="73" cm="1">
        <f t="array" ref="HU62">IF(HQ62="Out of Service",0,INDEX(FX_Vap,$KI62,HU$91))</f>
        <v>4.9845202750316486E-3</v>
      </c>
      <c r="HV62" s="63">
        <f t="shared" si="91"/>
        <v>1.6764881648650403E-2</v>
      </c>
      <c r="HW62" s="63">
        <f t="shared" si="92"/>
        <v>0.99440119591566378</v>
      </c>
      <c r="HX62" s="63" cm="1">
        <f t="array" ref="HX62">INDEX(FX_Vap,$KJ62,HX$91)</f>
        <v>130</v>
      </c>
      <c r="HY62" s="63" cm="1">
        <f t="array" ref="HY62">INDEX(FX_Temps,$KD62,HY$89)+459.6</f>
        <v>504.93408400000004</v>
      </c>
      <c r="HZ62" s="63">
        <f t="shared" si="93"/>
        <v>1.1958916593165838E-4</v>
      </c>
      <c r="IA62" s="63" cm="1">
        <f t="array" ref="IA62">INDEX(Month_Ref,IA$83,3)*HV62*(PI()/4*$F62^2)*$H62*HW62*HZ62</f>
        <v>0.93107024494842361</v>
      </c>
      <c r="IB62" s="63" cm="1">
        <f t="array" ref="IB62">INDEX(FX_Input,$KB62,IB$85)</f>
        <v>5290</v>
      </c>
      <c r="IC62" s="63">
        <f t="shared" si="94"/>
        <v>29698.059999999998</v>
      </c>
      <c r="ID62" s="63">
        <f t="shared" si="95"/>
        <v>1.0503540109421539</v>
      </c>
      <c r="IE62" s="63">
        <f t="shared" si="96"/>
        <v>1</v>
      </c>
      <c r="IF62" s="63" cm="1">
        <f t="array" ref="IF62">IF(OR(INDEX(FX_Vap,$KK62,IF$90)="Crude Oil",(INDEX(FX_Vap,$KL62,IF$90)="Crude Oil")),0.75,1)</f>
        <v>1</v>
      </c>
      <c r="IG62" s="63">
        <f t="shared" si="119"/>
        <v>1</v>
      </c>
      <c r="IH62" s="63">
        <f t="shared" si="97"/>
        <v>3.5515662251883464</v>
      </c>
      <c r="II62" s="64">
        <f t="shared" si="98"/>
        <v>4.4826364701367698</v>
      </c>
      <c r="IJ62" s="80">
        <f t="shared" si="99"/>
        <v>38.51424524184992</v>
      </c>
      <c r="IK62" s="63">
        <f t="shared" si="100"/>
        <v>1.9257122620924959E-2</v>
      </c>
      <c r="IL62" s="63">
        <f t="shared" si="101"/>
        <v>64.588956140378556</v>
      </c>
      <c r="IM62" s="63">
        <f t="shared" si="102"/>
        <v>3.2294478070189279E-2</v>
      </c>
      <c r="IN62" s="63">
        <f t="shared" si="103"/>
        <v>103.10320138222848</v>
      </c>
      <c r="IO62" s="64">
        <f t="shared" si="104"/>
        <v>5.1551600691114238E-2</v>
      </c>
      <c r="KB62" s="43">
        <f t="shared" si="120"/>
        <v>103</v>
      </c>
      <c r="KC62" s="43">
        <f t="shared" si="121"/>
        <v>715</v>
      </c>
      <c r="KD62" s="43">
        <f t="shared" si="122"/>
        <v>728</v>
      </c>
      <c r="KE62" s="43">
        <f t="shared" si="123"/>
        <v>715</v>
      </c>
      <c r="KF62" s="43">
        <f t="shared" si="124"/>
        <v>1735</v>
      </c>
      <c r="KG62" s="43">
        <f t="shared" si="125"/>
        <v>1758</v>
      </c>
      <c r="KH62" s="43">
        <f t="shared" si="126"/>
        <v>1753</v>
      </c>
      <c r="KI62" s="43">
        <f t="shared" si="126"/>
        <v>1763</v>
      </c>
      <c r="KJ62" s="43">
        <f t="shared" si="126"/>
        <v>1768</v>
      </c>
      <c r="KK62" s="43">
        <f t="shared" si="127"/>
        <v>1739</v>
      </c>
      <c r="KL62" s="43">
        <f t="shared" si="128"/>
        <v>1741</v>
      </c>
    </row>
    <row r="63" spans="2:298" x14ac:dyDescent="0.4">
      <c r="B63" s="43" t="str" cm="1">
        <f t="array" ref="B63">INDEX(FX_Input,$KB63,B$85)</f>
        <v>FX - 53</v>
      </c>
      <c r="C63" s="93" t="str" cm="1">
        <f t="array" ref="C63">INDEX(FX_Input,$KB63,C$85)</f>
        <v>FIXTANK 183</v>
      </c>
      <c r="D63" s="80">
        <f t="shared" si="129"/>
        <v>15064.918521667305</v>
      </c>
      <c r="E63" s="63" cm="1">
        <f t="array" ref="E63">IF(ISBLANK(INDEX(FX_Input,$KB63,$E$85)),0.03,INDEX(FX_Input,$KB63,$E$85))-IF(ISBLANK(INDEX(FX_Input,$KB63,$E$86)),-0.03,INDEX(FX_Input,$KB63,$E$86))</f>
        <v>0.06</v>
      </c>
      <c r="F63" s="63" cm="1">
        <f t="array" ref="F63">IF(INDEX(FX_Input,$KB63,F$85)="Vertical",INDEX(FX_Input,$KB63,F$86),SQRT((INDEX(FX_Input,$KB63,F$86)*INDEX(FX_Input,$KB63,F$87))/(PI()/4)))</f>
        <v>30</v>
      </c>
      <c r="G63" s="63" cm="1">
        <f t="array" ref="G63">IF(INDEX(FX_Input,$KB63,G$85)="Vertical",INDEX(FX_Input,$KB63,G$86),INDEX(FX_Input,$KB63,G$87)*PI()/4)</f>
        <v>42</v>
      </c>
      <c r="H63" s="63" cm="1">
        <f t="array" ref="H63">IF(INDEX(FX_Input,$KB63,H$85)="Vertical",G63-G63/2+J63,G63/2)</f>
        <v>21.3125</v>
      </c>
      <c r="I63" s="63" cm="1">
        <f t="array" ref="I63">IF(INDEX(FX_Input,$KB63,F$85)="Horizontal","N/A",IF(INDEX(FX_Input,$KB63,I$86)="Cone",IF(ISBLANK(INDEX(FX_Input,$KB63,I$87)),0.0625,INDEX(FX_Input,$KB63,I$87))*F63/2,F63/2-SQRT((F63/2)^2-(INDEX(FX_Input,$KB63,I$88)^2))))</f>
        <v>0.9375</v>
      </c>
      <c r="J63" s="63" cm="1">
        <f t="array" ref="J63">IF(INDEX(FX_Input,$KB63,J$85)="Horizontal","N/A",IF(INDEX(FX_Input,$KB63,J$86)="Cone",I63/3,I63*(1/2+(1/6)*(I63/(F63/2))^2)))</f>
        <v>0.3125</v>
      </c>
      <c r="K63" s="63">
        <f t="shared" si="130"/>
        <v>41</v>
      </c>
      <c r="L63" s="63">
        <v>1</v>
      </c>
      <c r="M63" s="63" cm="1">
        <f t="array" ref="M63">INDEX(Tbl_71_6,MATCH(INDEX(FX_Input,$KB63,M$85),Paint_Color,0),VLOOKUP(INDEX(FX_Input,$KB63,M$86),Paint_Cond_Column,2,FALSE))</f>
        <v>0.57999999999999996</v>
      </c>
      <c r="N63" s="63" cm="1">
        <f t="array" ref="N63">INDEX(Tbl_71_6,MATCH(INDEX(FX_Input,$KB63,N$85),Paint_Color,0),VLOOKUP(INDEX(FX_Input,$KB63,N$86),Paint_Cond_Column,2,FALSE))</f>
        <v>0.57999999999999996</v>
      </c>
      <c r="O63" s="64">
        <f t="shared" si="2"/>
        <v>0.57999999999999996</v>
      </c>
      <c r="P63" s="80" t="str" cm="1">
        <f t="array" ref="P63">IF(ISBLANK(INDEX(FX_Input,$KB63+1,P$85)),INDEX(FX_Input,$KB63,P$85),INDEX(FX_Input,$KB63,P$85)&amp;" &amp; "&amp;INDEX(FX_Input,$KB63+1,P$85))</f>
        <v>Jet kerosene</v>
      </c>
      <c r="Q63" s="63" cm="1">
        <f t="array" ref="Q63">INDEX(FX_Temps,$KC63+7,Q$89)</f>
        <v>11.258800000000022</v>
      </c>
      <c r="R63" s="63" cm="1">
        <f t="array" ref="R63">INDEX(FX_Temps,$KC63+13,R$89)+459.6</f>
        <v>505.46950599999997</v>
      </c>
      <c r="S63" s="63" cm="1">
        <f t="array" ref="S63">INDEX(FX_Vap,$KG63,S$91)-INDEX(FX_Vap,$KH63,S$91)</f>
        <v>7.2511833210903501E-4</v>
      </c>
      <c r="T63" s="73" cm="1">
        <f t="array" ref="T63">IF(P63="Out of Service",0,INDEX(FX_Vap,$KI63,T$91))</f>
        <v>5.0788096823034274E-3</v>
      </c>
      <c r="U63" s="63">
        <f t="shared" si="3"/>
        <v>1.8240246540696722E-2</v>
      </c>
      <c r="V63" s="63">
        <f t="shared" si="4"/>
        <v>0.99429589056127876</v>
      </c>
      <c r="W63" s="63" cm="1">
        <f t="array" ref="W63">INDEX(FX_Vap,$KJ63,W$91)</f>
        <v>130</v>
      </c>
      <c r="X63" s="63" cm="1">
        <f t="array" ref="X63">INDEX(FX_Temps,$KD63,X$89)+459.6</f>
        <v>505.46950599999997</v>
      </c>
      <c r="Y63" s="63">
        <f t="shared" si="5"/>
        <v>1.2172229601159552E-4</v>
      </c>
      <c r="Z63" s="63" cm="1">
        <f t="array" ref="Z63">INDEX(Month_Ref,Z$83,3)*U63*(PI()/4*$F63^2)*$H63*V63*Y63</f>
        <v>1.0309674771547777</v>
      </c>
      <c r="AA63" s="63" cm="1">
        <f t="array" ref="AA63">INDEX(FX_Input,$KB63,AA$85)</f>
        <v>5290</v>
      </c>
      <c r="AB63" s="63">
        <f t="shared" si="6"/>
        <v>29698.059999999998</v>
      </c>
      <c r="AC63" s="63">
        <f t="shared" si="7"/>
        <v>1.0503540109421539</v>
      </c>
      <c r="AD63" s="63">
        <f t="shared" si="8"/>
        <v>1</v>
      </c>
      <c r="AE63" s="63" cm="1">
        <f t="array" ref="AE63">IF(OR(INDEX(FX_Vap,$KK63,AE$90)="Crude Oil",(INDEX(FX_Vap,$KL63,AE$90)="Crude Oil")),0.75,1)</f>
        <v>1</v>
      </c>
      <c r="AF63" s="63">
        <f t="shared" si="108"/>
        <v>1</v>
      </c>
      <c r="AG63" s="63">
        <f t="shared" si="9"/>
        <v>3.6149160502901241</v>
      </c>
      <c r="AH63" s="64">
        <f t="shared" si="10"/>
        <v>4.6458835274449015</v>
      </c>
      <c r="AI63" s="80" t="str" cm="1">
        <f t="array" ref="AI63">IF(ISBLANK(INDEX(FX_Input,$KB63+1,AI$85)),INDEX(FX_Input,$KB63,AI$85),INDEX(FX_Input,$KB63,AI$85)&amp;" &amp; "&amp;INDEX(FX_Input,$KB63+1,AI$85))</f>
        <v>Jet kerosene</v>
      </c>
      <c r="AJ63" s="63" cm="1">
        <f t="array" ref="AJ63">INDEX(FX_Temps,$KC63+7,AJ$89)</f>
        <v>16.199999999999989</v>
      </c>
      <c r="AK63" s="63" cm="1">
        <f t="array" ref="AK63">INDEX(FX_Temps,$KC63+13,AK$89)+459.6</f>
        <v>507.74520000000007</v>
      </c>
      <c r="AL63" s="63" cm="1">
        <f t="array" ref="AL63">INDEX(FX_Vap,$KG63,AL$91)-INDEX(FX_Vap,$KH63,AL$91)</f>
        <v>9.7385557209301102E-4</v>
      </c>
      <c r="AM63" s="73" cm="1">
        <f t="array" ref="AM63">IF(AI63="Out of Service",0,INDEX(FX_Vap,$KI63,AM$91))</f>
        <v>5.4974545080270654E-3</v>
      </c>
      <c r="AN63" s="63">
        <f t="shared" si="11"/>
        <v>2.788888071256744E-2</v>
      </c>
      <c r="AO63" s="63">
        <f t="shared" si="12"/>
        <v>0.99382860417285457</v>
      </c>
      <c r="AP63" s="63" cm="1">
        <f t="array" ref="AP63">INDEX(FX_Vap,$KJ63,AP$91)</f>
        <v>130</v>
      </c>
      <c r="AQ63" s="63" cm="1">
        <f t="array" ref="AQ63">INDEX(FX_Temps,$KD63,AQ$89)+459.6</f>
        <v>507.74520000000007</v>
      </c>
      <c r="AR63" s="63">
        <f t="shared" si="13"/>
        <v>1.3116530552340457E-4</v>
      </c>
      <c r="AS63" s="63" cm="1">
        <f t="array" ref="AS63">INDEX(Month_Ref,AS$83,3)*AN63*(PI()/4*$F63^2)*$H63*AO63*AR63</f>
        <v>1.533509146899795</v>
      </c>
      <c r="AT63" s="63" cm="1">
        <f t="array" ref="AT63">INDEX(FX_Input,$KB63,AT$85)</f>
        <v>5290</v>
      </c>
      <c r="AU63" s="63">
        <f t="shared" si="14"/>
        <v>29698.059999999998</v>
      </c>
      <c r="AV63" s="63">
        <f t="shared" si="15"/>
        <v>1.0503540109421539</v>
      </c>
      <c r="AW63" s="63">
        <f t="shared" si="16"/>
        <v>1</v>
      </c>
      <c r="AX63" s="63" cm="1">
        <f t="array" ref="AX63">IF(OR(INDEX(FX_Vap,$KK63,AX$90)="Crude Oil",(INDEX(FX_Vap,$KL63,AX$90)="Crude Oil")),0.75,1)</f>
        <v>1</v>
      </c>
      <c r="AY63" s="63">
        <f t="shared" si="109"/>
        <v>1</v>
      </c>
      <c r="AZ63" s="63">
        <f t="shared" si="17"/>
        <v>3.8953551133524003</v>
      </c>
      <c r="BA63" s="64">
        <f t="shared" si="18"/>
        <v>5.4288642602521957</v>
      </c>
      <c r="BB63" s="80" t="str" cm="1">
        <f t="array" ref="BB63">IF(ISBLANK(INDEX(FX_Input,$KB63+1,BB$85)),INDEX(FX_Input,$KB63,BB$85),INDEX(FX_Input,$KB63,BB$85)&amp;" &amp; "&amp;INDEX(FX_Input,$KB63+1,BB$85))</f>
        <v>Jet kerosene</v>
      </c>
      <c r="BC63" s="63" cm="1">
        <f t="array" ref="BC63">INDEX(FX_Temps,$KC63+7,BC$89)</f>
        <v>19.413200000000032</v>
      </c>
      <c r="BD63" s="63" cm="1">
        <f t="array" ref="BD63">INDEX(FX_Temps,$KC63+13,BD$89)+459.6</f>
        <v>510.73573400000004</v>
      </c>
      <c r="BE63" s="63" cm="1">
        <f t="array" ref="BE63">INDEX(FX_Vap,$KG63,BE$91)-INDEX(FX_Vap,$KH63,BE$91)</f>
        <v>1.0512513961976316E-3</v>
      </c>
      <c r="BF63" s="73" cm="1">
        <f t="array" ref="BF63">IF(BB63="Out of Service",0,INDEX(FX_Vap,$KI63,BF$91))</f>
        <v>6.0939776204352973E-3</v>
      </c>
      <c r="BG63" s="63">
        <f t="shared" si="19"/>
        <v>3.3998481774195406E-2</v>
      </c>
      <c r="BH63" s="63">
        <f t="shared" si="20"/>
        <v>0.993163530437843</v>
      </c>
      <c r="BI63" s="63" cm="1">
        <f t="array" ref="BI63">INDEX(FX_Vap,$KJ63,BI$91)</f>
        <v>130</v>
      </c>
      <c r="BJ63" s="63" cm="1">
        <f t="array" ref="BJ63">INDEX(FX_Temps,$KD63,BJ$89)+459.6</f>
        <v>510.73573400000004</v>
      </c>
      <c r="BK63" s="63">
        <f t="shared" si="21"/>
        <v>1.4454656240474778E-4</v>
      </c>
      <c r="BL63" s="63" cm="1">
        <f t="array" ref="BL63">INDEX(Month_Ref,BL$83,3)*BG63*(PI()/4*$F63^2)*$H63*BH63*BK63</f>
        <v>2.2793789650241938</v>
      </c>
      <c r="BM63" s="63" cm="1">
        <f t="array" ref="BM63">INDEX(FX_Input,$KB63,BM$85)</f>
        <v>5290</v>
      </c>
      <c r="BN63" s="63">
        <f t="shared" si="22"/>
        <v>29698.059999999998</v>
      </c>
      <c r="BO63" s="63">
        <f t="shared" si="23"/>
        <v>1.0503540109421539</v>
      </c>
      <c r="BP63" s="63">
        <f t="shared" si="24"/>
        <v>1</v>
      </c>
      <c r="BQ63" s="63" cm="1">
        <f t="array" ref="BQ63">IF(OR(INDEX(FX_Vap,$KK63,BQ$90)="Crude Oil",(INDEX(FX_Vap,$KL63,BQ$90)="Crude Oil")),0.75,1)</f>
        <v>1</v>
      </c>
      <c r="BR63" s="63">
        <f t="shared" si="110"/>
        <v>1</v>
      </c>
      <c r="BS63" s="63">
        <f t="shared" si="25"/>
        <v>4.2927524830899433</v>
      </c>
      <c r="BT63" s="64">
        <f t="shared" si="26"/>
        <v>6.5721314481141366</v>
      </c>
      <c r="BU63" s="80" t="str" cm="1">
        <f t="array" ref="BU63">IF(ISBLANK(INDEX(FX_Input,$KB63+1,BU$85)),INDEX(FX_Input,$KB63,BU$85),INDEX(FX_Input,$KB63,BU$85)&amp;" &amp; "&amp;INDEX(FX_Input,$KB63+1,BU$85))</f>
        <v>Jet kerosene</v>
      </c>
      <c r="BV63" s="63" cm="1">
        <f t="array" ref="BV63">INDEX(FX_Temps,$KC63+7,BV$89)</f>
        <v>23.903199999999984</v>
      </c>
      <c r="BW63" s="63" cm="1">
        <f t="array" ref="BW63">INDEX(FX_Temps,$KC63+13,BW$89)+459.6</f>
        <v>515.38898399999994</v>
      </c>
      <c r="BX63" s="63" cm="1">
        <f t="array" ref="BX63">INDEX(FX_Vap,$KG63,BX$91)-INDEX(FX_Vap,$KH63,BX$91)</f>
        <v>1.2038097787291455E-3</v>
      </c>
      <c r="BY63" s="73" cm="1">
        <f t="array" ref="BY63">IF(BU63="Out of Service",0,INDEX(FX_Vap,$KI63,BY$91))</f>
        <v>7.1364512548726224E-3</v>
      </c>
      <c r="BZ63" s="63">
        <f t="shared" si="27"/>
        <v>4.2377266616028302E-2</v>
      </c>
      <c r="CA63" s="63">
        <f t="shared" si="28"/>
        <v>0.99200339346622146</v>
      </c>
      <c r="CB63" s="63" cm="1">
        <f t="array" ref="CB63">INDEX(FX_Vap,$KJ63,CB$91)</f>
        <v>130</v>
      </c>
      <c r="CC63" s="63" cm="1">
        <f t="array" ref="CC63">INDEX(FX_Temps,$KD63,CC$89)+459.6</f>
        <v>515.38898399999994</v>
      </c>
      <c r="CD63" s="63">
        <f t="shared" si="29"/>
        <v>1.6774528797017444E-4</v>
      </c>
      <c r="CE63" s="63" cm="1">
        <f t="array" ref="CE63">INDEX(Month_Ref,CE$83,3)*BZ63*(PI()/4*$F63^2)*$H63*CA63*CD63</f>
        <v>3.1870176595424797</v>
      </c>
      <c r="CF63" s="63" cm="1">
        <f t="array" ref="CF63">INDEX(FX_Input,$KB63,CF$85)</f>
        <v>5290</v>
      </c>
      <c r="CG63" s="63">
        <f t="shared" si="30"/>
        <v>29698.059999999998</v>
      </c>
      <c r="CH63" s="63">
        <f t="shared" si="31"/>
        <v>1.0503540109421539</v>
      </c>
      <c r="CI63" s="63">
        <f t="shared" si="32"/>
        <v>1</v>
      </c>
      <c r="CJ63" s="63" cm="1">
        <f t="array" ref="CJ63">IF(OR(INDEX(FX_Vap,$KK63,CJ$90)="Crude Oil",(INDEX(FX_Vap,$KL63,CJ$90)="Crude Oil")),0.75,1)</f>
        <v>1</v>
      </c>
      <c r="CK63" s="63">
        <f t="shared" si="111"/>
        <v>1</v>
      </c>
      <c r="CL63" s="63">
        <f t="shared" si="33"/>
        <v>4.9817096268555181</v>
      </c>
      <c r="CM63" s="64">
        <f t="shared" si="34"/>
        <v>8.1687272863979974</v>
      </c>
      <c r="CN63" s="80" t="str" cm="1">
        <f t="array" ref="CN63">IF(ISBLANK(INDEX(FX_Input,$KB63+1,CN$85)),INDEX(FX_Input,$KB63,CN$85),INDEX(FX_Input,$KB63,CN$85)&amp;" &amp; "&amp;INDEX(FX_Input,$KB63+1,CN$85))</f>
        <v>Jet kerosene</v>
      </c>
      <c r="CO63" s="63" cm="1">
        <f t="array" ref="CO63">INDEX(FX_Temps,$KC63+7,CO$89)</f>
        <v>27.139199999999967</v>
      </c>
      <c r="CP63" s="63" cm="1">
        <f t="array" ref="CP63">INDEX(FX_Temps,$KC63+13,CP$89)+459.6</f>
        <v>521.57545400000004</v>
      </c>
      <c r="CQ63" s="63" cm="1">
        <f t="array" ref="CQ63">INDEX(FX_Vap,$KG63,CQ$91)-INDEX(FX_Vap,$KH63,CQ$91)</f>
        <v>1.4138833287953342E-3</v>
      </c>
      <c r="CR63" s="73" cm="1">
        <f t="array" ref="CR63">IF(CN63="Out of Service",0,INDEX(FX_Vap,$KI63,CR$91))</f>
        <v>8.765284653116507E-3</v>
      </c>
      <c r="CS63" s="63">
        <f t="shared" si="35"/>
        <v>4.8045295508693228E-2</v>
      </c>
      <c r="CT63" s="63">
        <f t="shared" si="36"/>
        <v>0.99019613064534084</v>
      </c>
      <c r="CU63" s="63" cm="1">
        <f t="array" ref="CU63">INDEX(FX_Vap,$KJ63,CU$91)</f>
        <v>130</v>
      </c>
      <c r="CV63" s="63" cm="1">
        <f t="array" ref="CV63">INDEX(FX_Temps,$KD63,CV$89)+459.6</f>
        <v>521.57545400000004</v>
      </c>
      <c r="CW63" s="63">
        <f t="shared" si="37"/>
        <v>2.0358793488255635E-4</v>
      </c>
      <c r="CX63" s="63" cm="1">
        <f t="array" ref="CX63">INDEX(Month_Ref,CX$83,3)*CS63*(PI()/4*$F63^2)*$H63*CT63*CW63</f>
        <v>4.5232710389343245</v>
      </c>
      <c r="CY63" s="63" cm="1">
        <f t="array" ref="CY63">INDEX(FX_Input,$KB63,CY$85)</f>
        <v>5290</v>
      </c>
      <c r="CZ63" s="63">
        <f t="shared" si="38"/>
        <v>29698.059999999998</v>
      </c>
      <c r="DA63" s="63">
        <f t="shared" si="39"/>
        <v>1.0503540109421539</v>
      </c>
      <c r="DB63" s="63">
        <f t="shared" si="40"/>
        <v>1</v>
      </c>
      <c r="DC63" s="63" cm="1">
        <f t="array" ref="DC63">IF(OR(INDEX(FX_Vap,$KK63,DC$90)="Crude Oil",(INDEX(FX_Vap,$KL63,DC$90)="Crude Oil")),0.75,1)</f>
        <v>1</v>
      </c>
      <c r="DD63" s="63">
        <f t="shared" si="112"/>
        <v>1</v>
      </c>
      <c r="DE63" s="63">
        <f t="shared" si="41"/>
        <v>6.0461667054182513</v>
      </c>
      <c r="DF63" s="64">
        <f t="shared" si="42"/>
        <v>10.569437744352577</v>
      </c>
      <c r="DG63" s="80" t="str" cm="1">
        <f t="array" ref="DG63">IF(ISBLANK(INDEX(FX_Input,$KB63+1,DG$85)),INDEX(FX_Input,$KB63,DG$85),INDEX(FX_Input,$KB63,DG$85)&amp;" &amp; "&amp;INDEX(FX_Input,$KB63+1,DG$85))</f>
        <v>Jet kerosene</v>
      </c>
      <c r="DH63" s="63" cm="1">
        <f t="array" ref="DH63">INDEX(FX_Temps,$KC63+7,DH$89)</f>
        <v>27.623200000000036</v>
      </c>
      <c r="DI63" s="63" cm="1">
        <f t="array" ref="DI63">INDEX(FX_Temps,$KC63+13,DI$89)+459.6</f>
        <v>525.89223400000003</v>
      </c>
      <c r="DJ63" s="63" cm="1">
        <f t="array" ref="DJ63">INDEX(FX_Vap,$KG63,DJ$91)-INDEX(FX_Vap,$KH63,DJ$91)</f>
        <v>1.4993334776470697E-3</v>
      </c>
      <c r="DK63" s="73" cm="1">
        <f t="array" ref="DK63">IF(DG63="Out of Service",0,INDEX(FX_Vap,$KI63,DK$91))</f>
        <v>1.0088391497030216E-2</v>
      </c>
      <c r="DL63" s="63">
        <f t="shared" si="43"/>
        <v>4.8543980644621849E-2</v>
      </c>
      <c r="DM63" s="63">
        <f t="shared" si="44"/>
        <v>0.98873292488171627</v>
      </c>
      <c r="DN63" s="63" cm="1">
        <f t="array" ref="DN63">INDEX(FX_Vap,$KJ63,DN$91)</f>
        <v>130</v>
      </c>
      <c r="DO63" s="63" cm="1">
        <f t="array" ref="DO63">INDEX(FX_Temps,$KD63,DO$89)+459.6</f>
        <v>525.89223400000003</v>
      </c>
      <c r="DP63" s="63">
        <f t="shared" si="45"/>
        <v>2.3239582803801919E-4</v>
      </c>
      <c r="DQ63" s="63" cm="1">
        <f t="array" ref="DQ63">INDEX(Month_Ref,DQ$83,3)*DL63*(PI()/4*$F63^2)*$H63*DM63*DP63</f>
        <v>5.0411631338617804</v>
      </c>
      <c r="DR63" s="63" cm="1">
        <f t="array" ref="DR63">INDEX(FX_Input,$KB63,DR$85)</f>
        <v>5290</v>
      </c>
      <c r="DS63" s="63">
        <f t="shared" si="46"/>
        <v>29698.059999999998</v>
      </c>
      <c r="DT63" s="63">
        <f t="shared" si="47"/>
        <v>1.0503540109421539</v>
      </c>
      <c r="DU63" s="63">
        <f t="shared" si="48"/>
        <v>1</v>
      </c>
      <c r="DV63" s="63" cm="1">
        <f t="array" ref="DV63">IF(OR(INDEX(FX_Vap,$KK63,DV$90)="Crude Oil",(INDEX(FX_Vap,$KL63,DV$90)="Crude Oil")),0.75,1)</f>
        <v>1</v>
      </c>
      <c r="DW63" s="63">
        <f t="shared" si="113"/>
        <v>1</v>
      </c>
      <c r="DX63" s="63">
        <f t="shared" si="49"/>
        <v>6.9017052448227751</v>
      </c>
      <c r="DY63" s="64">
        <f t="shared" si="50"/>
        <v>11.942868378684555</v>
      </c>
      <c r="DZ63" s="80" t="str" cm="1">
        <f t="array" ref="DZ63">IF(ISBLANK(INDEX(FX_Input,$KB63+1,DZ$85)),INDEX(FX_Input,$KB63,DZ$85),INDEX(FX_Input,$KB63,DZ$85)&amp;" &amp; "&amp;INDEX(FX_Input,$KB63+1,DZ$85))</f>
        <v>Jet kerosene</v>
      </c>
      <c r="EA63" s="63" cm="1">
        <f t="array" ref="EA63">INDEX(FX_Temps,$KC63+7,EA$89)</f>
        <v>28.70279999999995</v>
      </c>
      <c r="EB63" s="63" cm="1">
        <f t="array" ref="EB63">INDEX(FX_Temps,$KC63+13,EB$89)+459.6</f>
        <v>529.85733599999992</v>
      </c>
      <c r="EC63" s="63" cm="1">
        <f t="array" ref="EC63">INDEX(FX_Vap,$KG63,EC$91)-INDEX(FX_Vap,$KH63,EC$91)</f>
        <v>1.6992521014225423E-3</v>
      </c>
      <c r="ED63" s="73" cm="1">
        <f t="array" ref="ED63">IF(DZ63="Out of Service",0,INDEX(FX_Vap,$KI63,ED$91))</f>
        <v>1.1455846008049875E-2</v>
      </c>
      <c r="EE63" s="63">
        <f t="shared" si="51"/>
        <v>5.0201677517994168E-2</v>
      </c>
      <c r="EF63" s="63">
        <f t="shared" si="52"/>
        <v>0.9872252128902832</v>
      </c>
      <c r="EG63" s="63" cm="1">
        <f t="array" ref="EG63">INDEX(FX_Vap,$KJ63,EG$91)</f>
        <v>130</v>
      </c>
      <c r="EH63" s="63" cm="1">
        <f t="array" ref="EH63">INDEX(FX_Temps,$KD63,EH$89)+459.6</f>
        <v>529.85733599999992</v>
      </c>
      <c r="EI63" s="63">
        <f t="shared" si="53"/>
        <v>2.6192163491240041E-4</v>
      </c>
      <c r="EJ63" s="63" cm="1">
        <f t="array" ref="EJ63">INDEX(Month_Ref,EJ$83,3)*EE63*(PI()/4*$F63^2)*$H63*EF63*EI63</f>
        <v>6.0622566954216213</v>
      </c>
      <c r="EK63" s="63" cm="1">
        <f t="array" ref="EK63">INDEX(FX_Input,$KB63,EK$85)</f>
        <v>5290</v>
      </c>
      <c r="EL63" s="63">
        <f t="shared" si="54"/>
        <v>29698.059999999998</v>
      </c>
      <c r="EM63" s="63">
        <f t="shared" si="55"/>
        <v>1.0503540109421539</v>
      </c>
      <c r="EN63" s="63">
        <f t="shared" si="56"/>
        <v>1</v>
      </c>
      <c r="EO63" s="63" cm="1">
        <f t="array" ref="EO63">IF(OR(INDEX(FX_Vap,$KK63,EO$90)="Crude Oil",(INDEX(FX_Vap,$KL63,EO$90)="Crude Oil")),0.75,1)</f>
        <v>1</v>
      </c>
      <c r="EP63" s="63">
        <f t="shared" si="114"/>
        <v>1</v>
      </c>
      <c r="EQ63" s="63">
        <f t="shared" si="57"/>
        <v>7.7785644289265612</v>
      </c>
      <c r="ER63" s="64">
        <f t="shared" si="58"/>
        <v>13.840821124348182</v>
      </c>
      <c r="ES63" s="80" t="str" cm="1">
        <f t="array" ref="ES63">IF(ISBLANK(INDEX(FX_Input,$KB63+1,ES$85)),INDEX(FX_Input,$KB63,ES$85),INDEX(FX_Input,$KB63,ES$85)&amp;" &amp; "&amp;INDEX(FX_Input,$KB63+1,ES$85))</f>
        <v>Jet kerosene</v>
      </c>
      <c r="ET63" s="63" cm="1">
        <f t="array" ref="ET63">INDEX(FX_Temps,$KC63+7,ET$89)</f>
        <v>26.827200000000012</v>
      </c>
      <c r="EU63" s="63" cm="1">
        <f t="array" ref="EU63">INDEX(FX_Temps,$KC63+13,EU$89)+459.6</f>
        <v>529.06706399999996</v>
      </c>
      <c r="EV63" s="63" cm="1">
        <f t="array" ref="EV63">INDEX(FX_Vap,$KG63,EV$91)-INDEX(FX_Vap,$KH63,EV$91)</f>
        <v>1.7992087732702586E-3</v>
      </c>
      <c r="EW63" s="73" cm="1">
        <f t="array" ref="EW63">IF(ES63="Out of Service",0,INDEX(FX_Vap,$KI63,EW$91))</f>
        <v>1.1170957772624744E-2</v>
      </c>
      <c r="EX63" s="63">
        <f t="shared" si="59"/>
        <v>4.6744366618355258E-2</v>
      </c>
      <c r="EY63" s="63">
        <f t="shared" si="60"/>
        <v>0.98753894231273287</v>
      </c>
      <c r="EZ63" s="63" cm="1">
        <f t="array" ref="EZ63">INDEX(FX_Vap,$KJ63,EZ$91)</f>
        <v>130</v>
      </c>
      <c r="FA63" s="63" cm="1">
        <f t="array" ref="FA63">INDEX(FX_Temps,$KD63,FA$89)+459.6</f>
        <v>529.06706399999996</v>
      </c>
      <c r="FB63" s="63">
        <f t="shared" si="61"/>
        <v>2.5578957558738659E-4</v>
      </c>
      <c r="FC63" s="63" cm="1">
        <f t="array" ref="FC63">INDEX(Month_Ref,FC$83,3)*EX63*(PI()/4*$F63^2)*$H63*EY63*FB63</f>
        <v>5.5143564075319356</v>
      </c>
      <c r="FD63" s="63" cm="1">
        <f t="array" ref="FD63">INDEX(FX_Input,$KB63,FD$85)</f>
        <v>5290</v>
      </c>
      <c r="FE63" s="63">
        <f t="shared" si="62"/>
        <v>29698.059999999998</v>
      </c>
      <c r="FF63" s="63">
        <f t="shared" si="63"/>
        <v>1.0503540109421539</v>
      </c>
      <c r="FG63" s="63">
        <f t="shared" si="64"/>
        <v>1</v>
      </c>
      <c r="FH63" s="63" cm="1">
        <f t="array" ref="FH63">IF(OR(INDEX(FX_Vap,$KK63,FH$90)="Crude Oil",(INDEX(FX_Vap,$KL63,FH$90)="Crude Oil")),0.75,1)</f>
        <v>1</v>
      </c>
      <c r="FI63" s="63">
        <f t="shared" si="115"/>
        <v>1</v>
      </c>
      <c r="FJ63" s="63">
        <f t="shared" si="65"/>
        <v>7.5964541631687412</v>
      </c>
      <c r="FK63" s="64">
        <f t="shared" si="66"/>
        <v>13.110810570700677</v>
      </c>
      <c r="FL63" s="80" t="str" cm="1">
        <f t="array" ref="FL63">IF(ISBLANK(INDEX(FX_Input,$KB63+1,FL$85)),INDEX(FX_Input,$KB63,FL$85),INDEX(FX_Input,$KB63,FL$85)&amp;" &amp; "&amp;INDEX(FX_Input,$KB63+1,FL$85))</f>
        <v>Jet kerosene</v>
      </c>
      <c r="FM63" s="63" cm="1">
        <f t="array" ref="FM63">INDEX(FX_Temps,$KC63+7,FM$89)</f>
        <v>25.353599999999982</v>
      </c>
      <c r="FN63" s="63" cm="1">
        <f t="array" ref="FN63">INDEX(FX_Temps,$KC63+13,FN$89)+459.6</f>
        <v>525.06743199999994</v>
      </c>
      <c r="FO63" s="63" cm="1">
        <f t="array" ref="FO63">INDEX(FX_Vap,$KG63,FO$91)-INDEX(FX_Vap,$KH63,FO$91)</f>
        <v>1.9653530375067282E-3</v>
      </c>
      <c r="FP63" s="73" cm="1">
        <f t="array" ref="FP63">IF(FL63="Out of Service",0,INDEX(FX_Vap,$KI63,FP$91))</f>
        <v>9.8227622663598323E-3</v>
      </c>
      <c r="FQ63" s="63">
        <f t="shared" si="67"/>
        <v>4.4335794433841239E-2</v>
      </c>
      <c r="FR63" s="63">
        <f t="shared" si="68"/>
        <v>0.98902633357821901</v>
      </c>
      <c r="FS63" s="63" cm="1">
        <f t="array" ref="FS63">INDEX(FX_Vap,$KJ63,FS$91)</f>
        <v>130</v>
      </c>
      <c r="FT63" s="63" cm="1">
        <f t="array" ref="FT63">INDEX(FX_Temps,$KD63,FT$89)+459.6</f>
        <v>525.06743199999994</v>
      </c>
      <c r="FU63" s="63">
        <f t="shared" si="69"/>
        <v>2.2663224935892229E-4</v>
      </c>
      <c r="FV63" s="63" cm="1">
        <f t="array" ref="FV63">INDEX(Month_Ref,FV$83,3)*FQ63*(PI()/4*$F63^2)*$H63*FR63*FU63</f>
        <v>4.4913003723044165</v>
      </c>
      <c r="FW63" s="63" cm="1">
        <f t="array" ref="FW63">INDEX(FX_Input,$KB63,FW$85)</f>
        <v>5290</v>
      </c>
      <c r="FX63" s="63">
        <f t="shared" si="70"/>
        <v>29698.059999999998</v>
      </c>
      <c r="FY63" s="63">
        <f t="shared" si="71"/>
        <v>1.0503540109421539</v>
      </c>
      <c r="FZ63" s="63">
        <f t="shared" si="72"/>
        <v>1</v>
      </c>
      <c r="GA63" s="63" cm="1">
        <f t="array" ref="GA63">IF(OR(INDEX(FX_Vap,$KK63,GA$90)="Crude Oil",(INDEX(FX_Vap,$KL63,GA$90)="Crude Oil")),0.75,1)</f>
        <v>1</v>
      </c>
      <c r="GB63" s="63">
        <f t="shared" si="116"/>
        <v>1</v>
      </c>
      <c r="GC63" s="63">
        <f t="shared" si="73"/>
        <v>6.7305381393962351</v>
      </c>
      <c r="GD63" s="64">
        <f t="shared" si="74"/>
        <v>11.221838511700652</v>
      </c>
      <c r="GE63" s="80" t="str" cm="1">
        <f t="array" ref="GE63">IF(ISBLANK(INDEX(FX_Input,$KB63+1,GE$85)),INDEX(FX_Input,$KB63,GE$85),INDEX(FX_Input,$KB63,GE$85)&amp;" &amp; "&amp;INDEX(FX_Input,$KB63+1,GE$85))</f>
        <v>Jet kerosene</v>
      </c>
      <c r="GF63" s="63" cm="1">
        <f t="array" ref="GF63">INDEX(FX_Temps,$KC63+7,GF$89)</f>
        <v>18.734799999999993</v>
      </c>
      <c r="GG63" s="63" cm="1">
        <f t="array" ref="GG63">INDEX(FX_Temps,$KC63+13,GG$89)+459.6</f>
        <v>516.43017599999996</v>
      </c>
      <c r="GH63" s="63" cm="1">
        <f t="array" ref="GH63">INDEX(FX_Vap,$KG63,GH$91)-INDEX(FX_Vap,$KH63,GH$91)</f>
        <v>1.4015323004334451E-3</v>
      </c>
      <c r="GI63" s="73" cm="1">
        <f t="array" ref="GI63">IF(GE63="Out of Service",0,INDEX(FX_Vap,$KI63,GI$91))</f>
        <v>7.3902409367879104E-3</v>
      </c>
      <c r="GJ63" s="63">
        <f t="shared" si="75"/>
        <v>3.2289212922073263E-2</v>
      </c>
      <c r="GK63" s="63">
        <f t="shared" si="76"/>
        <v>0.99172136882440376</v>
      </c>
      <c r="GL63" s="63" cm="1">
        <f t="array" ref="GL63">INDEX(FX_Vap,$KJ63,GL$91)</f>
        <v>130</v>
      </c>
      <c r="GM63" s="63" cm="1">
        <f t="array" ref="GM63">INDEX(FX_Temps,$KD63,GM$89)+459.6</f>
        <v>516.43017599999996</v>
      </c>
      <c r="GN63" s="63">
        <f t="shared" si="77"/>
        <v>1.7336049723016869E-4</v>
      </c>
      <c r="GO63" s="63" cm="1">
        <f t="array" ref="GO63">INDEX(Month_Ref,GO$83,3)*GJ63*(PI()/4*$F63^2)*$H63*GK63*GN63</f>
        <v>2.592541726026564</v>
      </c>
      <c r="GP63" s="63" cm="1">
        <f t="array" ref="GP63">INDEX(FX_Input,$KB63,GP$85)</f>
        <v>5290</v>
      </c>
      <c r="GQ63" s="63">
        <f t="shared" si="78"/>
        <v>29698.059999999998</v>
      </c>
      <c r="GR63" s="63">
        <f t="shared" si="79"/>
        <v>1.0503540109421539</v>
      </c>
      <c r="GS63" s="63">
        <f t="shared" si="80"/>
        <v>1</v>
      </c>
      <c r="GT63" s="63" cm="1">
        <f t="array" ref="GT63">IF(OR(INDEX(FX_Vap,$KK63,GT$90)="Crude Oil",(INDEX(FX_Vap,$KL63,GT$90)="Crude Oil")),0.75,1)</f>
        <v>1</v>
      </c>
      <c r="GU63" s="63">
        <f t="shared" si="117"/>
        <v>1</v>
      </c>
      <c r="GV63" s="63">
        <f t="shared" si="81"/>
        <v>5.1484704483713832</v>
      </c>
      <c r="GW63" s="64">
        <f t="shared" si="82"/>
        <v>7.7410121743979472</v>
      </c>
      <c r="GX63" s="80" t="str" cm="1">
        <f t="array" ref="GX63">IF(ISBLANK(INDEX(FX_Input,$KB63+1,GX$85)),INDEX(FX_Input,$KB63,GX$85),INDEX(FX_Input,$KB63,GX$85)&amp;" &amp; "&amp;INDEX(FX_Input,$KB63+1,GX$85))</f>
        <v>Jet kerosene</v>
      </c>
      <c r="GY63" s="63" cm="1">
        <f t="array" ref="GY63">INDEX(FX_Temps,$KC63+7,GY$89)</f>
        <v>13.07560000000003</v>
      </c>
      <c r="GZ63" s="63" cm="1">
        <f t="array" ref="GZ63">INDEX(FX_Temps,$KC63+13,GZ$89)+459.6</f>
        <v>508.94512199999997</v>
      </c>
      <c r="HA63" s="63" cm="1">
        <f t="array" ref="HA63">INDEX(FX_Vap,$KG63,HA$91)-INDEX(FX_Vap,$KH63,HA$91)</f>
        <v>9.4462005903835859E-4</v>
      </c>
      <c r="HB63" s="73" cm="1">
        <f t="array" ref="HB63">IF(GX63="Out of Service",0,INDEX(FX_Vap,$KI63,HB$91))</f>
        <v>5.7302815955729341E-3</v>
      </c>
      <c r="HC63" s="63">
        <f t="shared" si="83"/>
        <v>2.1672632088548499E-2</v>
      </c>
      <c r="HD63" s="63">
        <f t="shared" si="84"/>
        <v>0.99356891534888103</v>
      </c>
      <c r="HE63" s="63" cm="1">
        <f t="array" ref="HE63">INDEX(FX_Vap,$KJ63,HE$91)</f>
        <v>130</v>
      </c>
      <c r="HF63" s="63" cm="1">
        <f t="array" ref="HF63">INDEX(FX_Temps,$KD63,HF$89)+459.6</f>
        <v>508.94512199999997</v>
      </c>
      <c r="HG63" s="63">
        <f t="shared" si="85"/>
        <v>1.3639805130362953E-4</v>
      </c>
      <c r="HH63" s="63" cm="1">
        <f t="array" ref="HH63">INDEX(Month_Ref,HH$83,3)*HC63*(PI()/4*$F63^2)*$H63*HD63*HG63</f>
        <v>1.3274123741996167</v>
      </c>
      <c r="HI63" s="63" cm="1">
        <f t="array" ref="HI63">INDEX(FX_Input,$KB63,HI$85)</f>
        <v>5290</v>
      </c>
      <c r="HJ63" s="63">
        <f t="shared" si="86"/>
        <v>29698.059999999998</v>
      </c>
      <c r="HK63" s="63">
        <f t="shared" si="87"/>
        <v>1.0503540109421539</v>
      </c>
      <c r="HL63" s="63">
        <f t="shared" si="88"/>
        <v>1</v>
      </c>
      <c r="HM63" s="63" cm="1">
        <f t="array" ref="HM63">IF(OR(INDEX(FX_Vap,$KK63,HM$90)="Crude Oil",(INDEX(FX_Vap,$KL63,HM$90)="Crude Oil")),0.75,1)</f>
        <v>1</v>
      </c>
      <c r="HN63" s="63">
        <f t="shared" si="118"/>
        <v>1</v>
      </c>
      <c r="HO63" s="63">
        <f t="shared" si="89"/>
        <v>4.0507575114982677</v>
      </c>
      <c r="HP63" s="64">
        <f t="shared" si="90"/>
        <v>5.3781698856978846</v>
      </c>
      <c r="HQ63" s="80" t="str" cm="1">
        <f t="array" ref="HQ63">IF(ISBLANK(INDEX(FX_Input,$KB63+1,HQ$85)),INDEX(FX_Input,$KB63,HQ$85),INDEX(FX_Input,$KB63,HQ$85)&amp;" &amp; "&amp;INDEX(FX_Input,$KB63+1,HQ$85))</f>
        <v>Jet kerosene</v>
      </c>
      <c r="HR63" s="63" cm="1">
        <f t="array" ref="HR63">INDEX(FX_Temps,$KC63+7,HR$89)</f>
        <v>10.5032</v>
      </c>
      <c r="HS63" s="63" cm="1">
        <f t="array" ref="HS63">INDEX(FX_Temps,$KC63+13,HS$89)+459.6</f>
        <v>504.93408400000004</v>
      </c>
      <c r="HT63" s="63" cm="1">
        <f t="array" ref="HT63">INDEX(FX_Vap,$KG63,HT$91)-INDEX(FX_Vap,$KH63,HT$91)</f>
        <v>6.8725410655236848E-4</v>
      </c>
      <c r="HU63" s="73" cm="1">
        <f t="array" ref="HU63">IF(HQ63="Out of Service",0,INDEX(FX_Vap,$KI63,HU$91))</f>
        <v>4.9845202750316486E-3</v>
      </c>
      <c r="HV63" s="63">
        <f t="shared" si="91"/>
        <v>1.6764881648650403E-2</v>
      </c>
      <c r="HW63" s="63">
        <f t="shared" si="92"/>
        <v>0.99440119591566378</v>
      </c>
      <c r="HX63" s="63" cm="1">
        <f t="array" ref="HX63">INDEX(FX_Vap,$KJ63,HX$91)</f>
        <v>130</v>
      </c>
      <c r="HY63" s="63" cm="1">
        <f t="array" ref="HY63">INDEX(FX_Temps,$KD63,HY$89)+459.6</f>
        <v>504.93408400000004</v>
      </c>
      <c r="HZ63" s="63">
        <f t="shared" si="93"/>
        <v>1.1958916593165838E-4</v>
      </c>
      <c r="IA63" s="63" cm="1">
        <f t="array" ref="IA63">INDEX(Month_Ref,IA$83,3)*HV63*(PI()/4*$F63^2)*$H63*HW63*HZ63</f>
        <v>0.93107024494842361</v>
      </c>
      <c r="IB63" s="63" cm="1">
        <f t="array" ref="IB63">INDEX(FX_Input,$KB63,IB$85)</f>
        <v>5290</v>
      </c>
      <c r="IC63" s="63">
        <f t="shared" si="94"/>
        <v>29698.059999999998</v>
      </c>
      <c r="ID63" s="63">
        <f t="shared" si="95"/>
        <v>1.0503540109421539</v>
      </c>
      <c r="IE63" s="63">
        <f t="shared" si="96"/>
        <v>1</v>
      </c>
      <c r="IF63" s="63" cm="1">
        <f t="array" ref="IF63">IF(OR(INDEX(FX_Vap,$KK63,IF$90)="Crude Oil",(INDEX(FX_Vap,$KL63,IF$90)="Crude Oil")),0.75,1)</f>
        <v>1</v>
      </c>
      <c r="IG63" s="63">
        <f t="shared" si="119"/>
        <v>1</v>
      </c>
      <c r="IH63" s="63">
        <f t="shared" si="97"/>
        <v>3.5515662251883464</v>
      </c>
      <c r="II63" s="64">
        <f t="shared" si="98"/>
        <v>4.4826364701367698</v>
      </c>
      <c r="IJ63" s="80">
        <f t="shared" si="99"/>
        <v>38.51424524184992</v>
      </c>
      <c r="IK63" s="63">
        <f t="shared" si="100"/>
        <v>1.9257122620924959E-2</v>
      </c>
      <c r="IL63" s="63">
        <f t="shared" si="101"/>
        <v>64.588956140378556</v>
      </c>
      <c r="IM63" s="63">
        <f t="shared" si="102"/>
        <v>3.2294478070189279E-2</v>
      </c>
      <c r="IN63" s="63">
        <f t="shared" si="103"/>
        <v>103.10320138222848</v>
      </c>
      <c r="IO63" s="64">
        <f t="shared" si="104"/>
        <v>5.1551600691114238E-2</v>
      </c>
      <c r="KB63" s="43">
        <f t="shared" si="120"/>
        <v>105</v>
      </c>
      <c r="KC63" s="43">
        <f t="shared" si="121"/>
        <v>729</v>
      </c>
      <c r="KD63" s="43">
        <f t="shared" si="122"/>
        <v>742</v>
      </c>
      <c r="KE63" s="43">
        <f t="shared" si="123"/>
        <v>729</v>
      </c>
      <c r="KF63" s="43">
        <f t="shared" si="124"/>
        <v>1769</v>
      </c>
      <c r="KG63" s="43">
        <f t="shared" si="125"/>
        <v>1792</v>
      </c>
      <c r="KH63" s="43">
        <f t="shared" si="126"/>
        <v>1787</v>
      </c>
      <c r="KI63" s="43">
        <f t="shared" si="126"/>
        <v>1797</v>
      </c>
      <c r="KJ63" s="43">
        <f t="shared" si="126"/>
        <v>1802</v>
      </c>
      <c r="KK63" s="43">
        <f t="shared" si="127"/>
        <v>1773</v>
      </c>
      <c r="KL63" s="43">
        <f t="shared" si="128"/>
        <v>1775</v>
      </c>
    </row>
    <row r="64" spans="2:298" x14ac:dyDescent="0.4">
      <c r="B64" s="43" t="str" cm="1">
        <f t="array" ref="B64">INDEX(FX_Input,$KB64,B$85)</f>
        <v>FX - 54</v>
      </c>
      <c r="C64" s="93" t="str" cm="1">
        <f t="array" ref="C64">INDEX(FX_Input,$KB64,C$85)</f>
        <v>FIXTANK 184</v>
      </c>
      <c r="D64" s="80">
        <f t="shared" si="129"/>
        <v>15064.918521667305</v>
      </c>
      <c r="E64" s="63" cm="1">
        <f t="array" ref="E64">IF(ISBLANK(INDEX(FX_Input,$KB64,$E$85)),0.03,INDEX(FX_Input,$KB64,$E$85))-IF(ISBLANK(INDEX(FX_Input,$KB64,$E$86)),-0.03,INDEX(FX_Input,$KB64,$E$86))</f>
        <v>0.06</v>
      </c>
      <c r="F64" s="63" cm="1">
        <f t="array" ref="F64">IF(INDEX(FX_Input,$KB64,F$85)="Vertical",INDEX(FX_Input,$KB64,F$86),SQRT((INDEX(FX_Input,$KB64,F$86)*INDEX(FX_Input,$KB64,F$87))/(PI()/4)))</f>
        <v>30</v>
      </c>
      <c r="G64" s="63" cm="1">
        <f t="array" ref="G64">IF(INDEX(FX_Input,$KB64,G$85)="Vertical",INDEX(FX_Input,$KB64,G$86),INDEX(FX_Input,$KB64,G$87)*PI()/4)</f>
        <v>42</v>
      </c>
      <c r="H64" s="63" cm="1">
        <f t="array" ref="H64">IF(INDEX(FX_Input,$KB64,H$85)="Vertical",G64-G64/2+J64,G64/2)</f>
        <v>21.3125</v>
      </c>
      <c r="I64" s="63" cm="1">
        <f t="array" ref="I64">IF(INDEX(FX_Input,$KB64,F$85)="Horizontal","N/A",IF(INDEX(FX_Input,$KB64,I$86)="Cone",IF(ISBLANK(INDEX(FX_Input,$KB64,I$87)),0.0625,INDEX(FX_Input,$KB64,I$87))*F64/2,F64/2-SQRT((F64/2)^2-(INDEX(FX_Input,$KB64,I$88)^2))))</f>
        <v>0.9375</v>
      </c>
      <c r="J64" s="63" cm="1">
        <f t="array" ref="J64">IF(INDEX(FX_Input,$KB64,J$85)="Horizontal","N/A",IF(INDEX(FX_Input,$KB64,J$86)="Cone",I64/3,I64*(1/2+(1/6)*(I64/(F64/2))^2)))</f>
        <v>0.3125</v>
      </c>
      <c r="K64" s="63">
        <f t="shared" si="130"/>
        <v>41</v>
      </c>
      <c r="L64" s="63">
        <v>1</v>
      </c>
      <c r="M64" s="63" cm="1">
        <f t="array" ref="M64">INDEX(Tbl_71_6,MATCH(INDEX(FX_Input,$KB64,M$85),Paint_Color,0),VLOOKUP(INDEX(FX_Input,$KB64,M$86),Paint_Cond_Column,2,FALSE))</f>
        <v>0.57999999999999996</v>
      </c>
      <c r="N64" s="63" cm="1">
        <f t="array" ref="N64">INDEX(Tbl_71_6,MATCH(INDEX(FX_Input,$KB64,N$85),Paint_Color,0),VLOOKUP(INDEX(FX_Input,$KB64,N$86),Paint_Cond_Column,2,FALSE))</f>
        <v>0.57999999999999996</v>
      </c>
      <c r="O64" s="64">
        <f t="shared" si="2"/>
        <v>0.57999999999999996</v>
      </c>
      <c r="P64" s="80" t="str" cm="1">
        <f t="array" ref="P64">IF(ISBLANK(INDEX(FX_Input,$KB64+1,P$85)),INDEX(FX_Input,$KB64,P$85),INDEX(FX_Input,$KB64,P$85)&amp;" &amp; "&amp;INDEX(FX_Input,$KB64+1,P$85))</f>
        <v>Jet kerosene</v>
      </c>
      <c r="Q64" s="63" cm="1">
        <f t="array" ref="Q64">INDEX(FX_Temps,$KC64+7,Q$89)</f>
        <v>11.258800000000022</v>
      </c>
      <c r="R64" s="63" cm="1">
        <f t="array" ref="R64">INDEX(FX_Temps,$KC64+13,R$89)+459.6</f>
        <v>505.46950599999997</v>
      </c>
      <c r="S64" s="63" cm="1">
        <f t="array" ref="S64">INDEX(FX_Vap,$KG64,S$91)-INDEX(FX_Vap,$KH64,S$91)</f>
        <v>7.2511833210903501E-4</v>
      </c>
      <c r="T64" s="73" cm="1">
        <f t="array" ref="T64">IF(P64="Out of Service",0,INDEX(FX_Vap,$KI64,T$91))</f>
        <v>5.0788096823034274E-3</v>
      </c>
      <c r="U64" s="63">
        <f t="shared" si="3"/>
        <v>1.8240246540696722E-2</v>
      </c>
      <c r="V64" s="63">
        <f t="shared" si="4"/>
        <v>0.99429589056127876</v>
      </c>
      <c r="W64" s="63" cm="1">
        <f t="array" ref="W64">INDEX(FX_Vap,$KJ64,W$91)</f>
        <v>130</v>
      </c>
      <c r="X64" s="63" cm="1">
        <f t="array" ref="X64">INDEX(FX_Temps,$KD64,X$89)+459.6</f>
        <v>505.46950599999997</v>
      </c>
      <c r="Y64" s="63">
        <f t="shared" si="5"/>
        <v>1.2172229601159552E-4</v>
      </c>
      <c r="Z64" s="63" cm="1">
        <f t="array" ref="Z64">INDEX(Month_Ref,Z$83,3)*U64*(PI()/4*$F64^2)*$H64*V64*Y64</f>
        <v>1.0309674771547777</v>
      </c>
      <c r="AA64" s="63" cm="1">
        <f t="array" ref="AA64">INDEX(FX_Input,$KB64,AA$85)</f>
        <v>5287</v>
      </c>
      <c r="AB64" s="63">
        <f t="shared" si="6"/>
        <v>29681.218000000001</v>
      </c>
      <c r="AC64" s="63">
        <f t="shared" si="7"/>
        <v>1.0497583470418088</v>
      </c>
      <c r="AD64" s="63">
        <f t="shared" si="8"/>
        <v>1</v>
      </c>
      <c r="AE64" s="63" cm="1">
        <f t="array" ref="AE64">IF(OR(INDEX(FX_Vap,$KK64,AE$90)="Crude Oil",(INDEX(FX_Vap,$KL64,AE$90)="Crude Oil")),0.75,1)</f>
        <v>1</v>
      </c>
      <c r="AF64" s="63">
        <f t="shared" si="108"/>
        <v>1</v>
      </c>
      <c r="AG64" s="63">
        <f t="shared" si="9"/>
        <v>3.6128660033806974</v>
      </c>
      <c r="AH64" s="64">
        <f t="shared" si="10"/>
        <v>4.6438334805354753</v>
      </c>
      <c r="AI64" s="80" t="str" cm="1">
        <f t="array" ref="AI64">IF(ISBLANK(INDEX(FX_Input,$KB64+1,AI$85)),INDEX(FX_Input,$KB64,AI$85),INDEX(FX_Input,$KB64,AI$85)&amp;" &amp; "&amp;INDEX(FX_Input,$KB64+1,AI$85))</f>
        <v>Jet kerosene</v>
      </c>
      <c r="AJ64" s="63" cm="1">
        <f t="array" ref="AJ64">INDEX(FX_Temps,$KC64+7,AJ$89)</f>
        <v>16.199999999999989</v>
      </c>
      <c r="AK64" s="63" cm="1">
        <f t="array" ref="AK64">INDEX(FX_Temps,$KC64+13,AK$89)+459.6</f>
        <v>507.74520000000007</v>
      </c>
      <c r="AL64" s="63" cm="1">
        <f t="array" ref="AL64">INDEX(FX_Vap,$KG64,AL$91)-INDEX(FX_Vap,$KH64,AL$91)</f>
        <v>9.7385557209301102E-4</v>
      </c>
      <c r="AM64" s="73" cm="1">
        <f t="array" ref="AM64">IF(AI64="Out of Service",0,INDEX(FX_Vap,$KI64,AM$91))</f>
        <v>5.4974545080270654E-3</v>
      </c>
      <c r="AN64" s="63">
        <f t="shared" si="11"/>
        <v>2.788888071256744E-2</v>
      </c>
      <c r="AO64" s="63">
        <f t="shared" si="12"/>
        <v>0.99382860417285457</v>
      </c>
      <c r="AP64" s="63" cm="1">
        <f t="array" ref="AP64">INDEX(FX_Vap,$KJ64,AP$91)</f>
        <v>130</v>
      </c>
      <c r="AQ64" s="63" cm="1">
        <f t="array" ref="AQ64">INDEX(FX_Temps,$KD64,AQ$89)+459.6</f>
        <v>507.74520000000007</v>
      </c>
      <c r="AR64" s="63">
        <f t="shared" si="13"/>
        <v>1.3116530552340457E-4</v>
      </c>
      <c r="AS64" s="63" cm="1">
        <f t="array" ref="AS64">INDEX(Month_Ref,AS$83,3)*AN64*(PI()/4*$F64^2)*$H64*AO64*AR64</f>
        <v>1.533509146899795</v>
      </c>
      <c r="AT64" s="63" cm="1">
        <f t="array" ref="AT64">INDEX(FX_Input,$KB64,AT$85)</f>
        <v>5287</v>
      </c>
      <c r="AU64" s="63">
        <f t="shared" si="14"/>
        <v>29681.218000000001</v>
      </c>
      <c r="AV64" s="63">
        <f t="shared" si="15"/>
        <v>1.0497583470418088</v>
      </c>
      <c r="AW64" s="63">
        <f t="shared" si="16"/>
        <v>1</v>
      </c>
      <c r="AX64" s="63" cm="1">
        <f t="array" ref="AX64">IF(OR(INDEX(FX_Vap,$KK64,AX$90)="Crude Oil",(INDEX(FX_Vap,$KL64,AX$90)="Crude Oil")),0.75,1)</f>
        <v>1</v>
      </c>
      <c r="AY64" s="63">
        <f t="shared" si="109"/>
        <v>1</v>
      </c>
      <c r="AZ64" s="63">
        <f t="shared" si="17"/>
        <v>3.8931460272767753</v>
      </c>
      <c r="BA64" s="64">
        <f t="shared" si="18"/>
        <v>5.4266551741765703</v>
      </c>
      <c r="BB64" s="80" t="str" cm="1">
        <f t="array" ref="BB64">IF(ISBLANK(INDEX(FX_Input,$KB64+1,BB$85)),INDEX(FX_Input,$KB64,BB$85),INDEX(FX_Input,$KB64,BB$85)&amp;" &amp; "&amp;INDEX(FX_Input,$KB64+1,BB$85))</f>
        <v>Jet kerosene</v>
      </c>
      <c r="BC64" s="63" cm="1">
        <f t="array" ref="BC64">INDEX(FX_Temps,$KC64+7,BC$89)</f>
        <v>19.413200000000032</v>
      </c>
      <c r="BD64" s="63" cm="1">
        <f t="array" ref="BD64">INDEX(FX_Temps,$KC64+13,BD$89)+459.6</f>
        <v>510.73573400000004</v>
      </c>
      <c r="BE64" s="63" cm="1">
        <f t="array" ref="BE64">INDEX(FX_Vap,$KG64,BE$91)-INDEX(FX_Vap,$KH64,BE$91)</f>
        <v>1.0512513961976316E-3</v>
      </c>
      <c r="BF64" s="73" cm="1">
        <f t="array" ref="BF64">IF(BB64="Out of Service",0,INDEX(FX_Vap,$KI64,BF$91))</f>
        <v>6.0939776204352973E-3</v>
      </c>
      <c r="BG64" s="63">
        <f t="shared" si="19"/>
        <v>3.3998481774195406E-2</v>
      </c>
      <c r="BH64" s="63">
        <f t="shared" si="20"/>
        <v>0.993163530437843</v>
      </c>
      <c r="BI64" s="63" cm="1">
        <f t="array" ref="BI64">INDEX(FX_Vap,$KJ64,BI$91)</f>
        <v>130</v>
      </c>
      <c r="BJ64" s="63" cm="1">
        <f t="array" ref="BJ64">INDEX(FX_Temps,$KD64,BJ$89)+459.6</f>
        <v>510.73573400000004</v>
      </c>
      <c r="BK64" s="63">
        <f t="shared" si="21"/>
        <v>1.4454656240474778E-4</v>
      </c>
      <c r="BL64" s="63" cm="1">
        <f t="array" ref="BL64">INDEX(Month_Ref,BL$83,3)*BG64*(PI()/4*$F64^2)*$H64*BH64*BK64</f>
        <v>2.2793789650241938</v>
      </c>
      <c r="BM64" s="63" cm="1">
        <f t="array" ref="BM64">INDEX(FX_Input,$KB64,BM$85)</f>
        <v>5287</v>
      </c>
      <c r="BN64" s="63">
        <f t="shared" si="22"/>
        <v>29681.218000000001</v>
      </c>
      <c r="BO64" s="63">
        <f t="shared" si="23"/>
        <v>1.0497583470418088</v>
      </c>
      <c r="BP64" s="63">
        <f t="shared" si="24"/>
        <v>1</v>
      </c>
      <c r="BQ64" s="63" cm="1">
        <f t="array" ref="BQ64">IF(OR(INDEX(FX_Vap,$KK64,BQ$90)="Crude Oil",(INDEX(FX_Vap,$KL64,BQ$90)="Crude Oil")),0.75,1)</f>
        <v>1</v>
      </c>
      <c r="BR64" s="63">
        <f t="shared" si="110"/>
        <v>1</v>
      </c>
      <c r="BS64" s="63">
        <f t="shared" si="25"/>
        <v>4.2903180298859231</v>
      </c>
      <c r="BT64" s="64">
        <f t="shared" si="26"/>
        <v>6.5696969949101174</v>
      </c>
      <c r="BU64" s="80" t="str" cm="1">
        <f t="array" ref="BU64">IF(ISBLANK(INDEX(FX_Input,$KB64+1,BU$85)),INDEX(FX_Input,$KB64,BU$85),INDEX(FX_Input,$KB64,BU$85)&amp;" &amp; "&amp;INDEX(FX_Input,$KB64+1,BU$85))</f>
        <v>Jet kerosene</v>
      </c>
      <c r="BV64" s="63" cm="1">
        <f t="array" ref="BV64">INDEX(FX_Temps,$KC64+7,BV$89)</f>
        <v>23.903199999999984</v>
      </c>
      <c r="BW64" s="63" cm="1">
        <f t="array" ref="BW64">INDEX(FX_Temps,$KC64+13,BW$89)+459.6</f>
        <v>515.38898399999994</v>
      </c>
      <c r="BX64" s="63" cm="1">
        <f t="array" ref="BX64">INDEX(FX_Vap,$KG64,BX$91)-INDEX(FX_Vap,$KH64,BX$91)</f>
        <v>1.2038097787291455E-3</v>
      </c>
      <c r="BY64" s="73" cm="1">
        <f t="array" ref="BY64">IF(BU64="Out of Service",0,INDEX(FX_Vap,$KI64,BY$91))</f>
        <v>7.1364512548726224E-3</v>
      </c>
      <c r="BZ64" s="63">
        <f t="shared" si="27"/>
        <v>4.2377266616028302E-2</v>
      </c>
      <c r="CA64" s="63">
        <f t="shared" si="28"/>
        <v>0.99200339346622146</v>
      </c>
      <c r="CB64" s="63" cm="1">
        <f t="array" ref="CB64">INDEX(FX_Vap,$KJ64,CB$91)</f>
        <v>130</v>
      </c>
      <c r="CC64" s="63" cm="1">
        <f t="array" ref="CC64">INDEX(FX_Temps,$KD64,CC$89)+459.6</f>
        <v>515.38898399999994</v>
      </c>
      <c r="CD64" s="63">
        <f t="shared" si="29"/>
        <v>1.6774528797017444E-4</v>
      </c>
      <c r="CE64" s="63" cm="1">
        <f t="array" ref="CE64">INDEX(Month_Ref,CE$83,3)*BZ64*(PI()/4*$F64^2)*$H64*CA64*CD64</f>
        <v>3.1870176595424797</v>
      </c>
      <c r="CF64" s="63" cm="1">
        <f t="array" ref="CF64">INDEX(FX_Input,$KB64,CF$85)</f>
        <v>5287</v>
      </c>
      <c r="CG64" s="63">
        <f t="shared" si="30"/>
        <v>29681.218000000001</v>
      </c>
      <c r="CH64" s="63">
        <f t="shared" si="31"/>
        <v>1.0497583470418088</v>
      </c>
      <c r="CI64" s="63">
        <f t="shared" si="32"/>
        <v>1</v>
      </c>
      <c r="CJ64" s="63" cm="1">
        <f t="array" ref="CJ64">IF(OR(INDEX(FX_Vap,$KK64,CJ$90)="Crude Oil",(INDEX(FX_Vap,$KL64,CJ$90)="Crude Oil")),0.75,1)</f>
        <v>1</v>
      </c>
      <c r="CK64" s="63">
        <f t="shared" si="111"/>
        <v>1</v>
      </c>
      <c r="CL64" s="63">
        <f t="shared" si="33"/>
        <v>4.9788844607155252</v>
      </c>
      <c r="CM64" s="64">
        <f t="shared" si="34"/>
        <v>8.1659021202580053</v>
      </c>
      <c r="CN64" s="80" t="str" cm="1">
        <f t="array" ref="CN64">IF(ISBLANK(INDEX(FX_Input,$KB64+1,CN$85)),INDEX(FX_Input,$KB64,CN$85),INDEX(FX_Input,$KB64,CN$85)&amp;" &amp; "&amp;INDEX(FX_Input,$KB64+1,CN$85))</f>
        <v>Jet kerosene</v>
      </c>
      <c r="CO64" s="63" cm="1">
        <f t="array" ref="CO64">INDEX(FX_Temps,$KC64+7,CO$89)</f>
        <v>27.139199999999967</v>
      </c>
      <c r="CP64" s="63" cm="1">
        <f t="array" ref="CP64">INDEX(FX_Temps,$KC64+13,CP$89)+459.6</f>
        <v>521.57545400000004</v>
      </c>
      <c r="CQ64" s="63" cm="1">
        <f t="array" ref="CQ64">INDEX(FX_Vap,$KG64,CQ$91)-INDEX(FX_Vap,$KH64,CQ$91)</f>
        <v>1.4138833287953342E-3</v>
      </c>
      <c r="CR64" s="73" cm="1">
        <f t="array" ref="CR64">IF(CN64="Out of Service",0,INDEX(FX_Vap,$KI64,CR$91))</f>
        <v>8.765284653116507E-3</v>
      </c>
      <c r="CS64" s="63">
        <f t="shared" si="35"/>
        <v>4.8045295508693228E-2</v>
      </c>
      <c r="CT64" s="63">
        <f t="shared" si="36"/>
        <v>0.99019613064534084</v>
      </c>
      <c r="CU64" s="63" cm="1">
        <f t="array" ref="CU64">INDEX(FX_Vap,$KJ64,CU$91)</f>
        <v>130</v>
      </c>
      <c r="CV64" s="63" cm="1">
        <f t="array" ref="CV64">INDEX(FX_Temps,$KD64,CV$89)+459.6</f>
        <v>521.57545400000004</v>
      </c>
      <c r="CW64" s="63">
        <f t="shared" si="37"/>
        <v>2.0358793488255635E-4</v>
      </c>
      <c r="CX64" s="63" cm="1">
        <f t="array" ref="CX64">INDEX(Month_Ref,CX$83,3)*CS64*(PI()/4*$F64^2)*$H64*CT64*CW64</f>
        <v>4.5232710389343245</v>
      </c>
      <c r="CY64" s="63" cm="1">
        <f t="array" ref="CY64">INDEX(FX_Input,$KB64,CY$85)</f>
        <v>5287</v>
      </c>
      <c r="CZ64" s="63">
        <f t="shared" si="38"/>
        <v>29681.218000000001</v>
      </c>
      <c r="DA64" s="63">
        <f t="shared" si="39"/>
        <v>1.0497583470418088</v>
      </c>
      <c r="DB64" s="63">
        <f t="shared" si="40"/>
        <v>1</v>
      </c>
      <c r="DC64" s="63" cm="1">
        <f t="array" ref="DC64">IF(OR(INDEX(FX_Vap,$KK64,DC$90)="Crude Oil",(INDEX(FX_Vap,$KL64,DC$90)="Crude Oil")),0.75,1)</f>
        <v>1</v>
      </c>
      <c r="DD64" s="63">
        <f t="shared" si="112"/>
        <v>1</v>
      </c>
      <c r="DE64" s="63">
        <f t="shared" si="41"/>
        <v>6.0427378774189595</v>
      </c>
      <c r="DF64" s="64">
        <f t="shared" si="42"/>
        <v>10.566008916353283</v>
      </c>
      <c r="DG64" s="80" t="str" cm="1">
        <f t="array" ref="DG64">IF(ISBLANK(INDEX(FX_Input,$KB64+1,DG$85)),INDEX(FX_Input,$KB64,DG$85),INDEX(FX_Input,$KB64,DG$85)&amp;" &amp; "&amp;INDEX(FX_Input,$KB64+1,DG$85))</f>
        <v>Jet kerosene</v>
      </c>
      <c r="DH64" s="63" cm="1">
        <f t="array" ref="DH64">INDEX(FX_Temps,$KC64+7,DH$89)</f>
        <v>27.623200000000036</v>
      </c>
      <c r="DI64" s="63" cm="1">
        <f t="array" ref="DI64">INDEX(FX_Temps,$KC64+13,DI$89)+459.6</f>
        <v>525.89223400000003</v>
      </c>
      <c r="DJ64" s="63" cm="1">
        <f t="array" ref="DJ64">INDEX(FX_Vap,$KG64,DJ$91)-INDEX(FX_Vap,$KH64,DJ$91)</f>
        <v>1.4993334776470697E-3</v>
      </c>
      <c r="DK64" s="73" cm="1">
        <f t="array" ref="DK64">IF(DG64="Out of Service",0,INDEX(FX_Vap,$KI64,DK$91))</f>
        <v>1.0088391497030216E-2</v>
      </c>
      <c r="DL64" s="63">
        <f t="shared" si="43"/>
        <v>4.8543980644621849E-2</v>
      </c>
      <c r="DM64" s="63">
        <f t="shared" si="44"/>
        <v>0.98873292488171627</v>
      </c>
      <c r="DN64" s="63" cm="1">
        <f t="array" ref="DN64">INDEX(FX_Vap,$KJ64,DN$91)</f>
        <v>130</v>
      </c>
      <c r="DO64" s="63" cm="1">
        <f t="array" ref="DO64">INDEX(FX_Temps,$KD64,DO$89)+459.6</f>
        <v>525.89223400000003</v>
      </c>
      <c r="DP64" s="63">
        <f t="shared" si="45"/>
        <v>2.3239582803801919E-4</v>
      </c>
      <c r="DQ64" s="63" cm="1">
        <f t="array" ref="DQ64">INDEX(Month_Ref,DQ$83,3)*DL64*(PI()/4*$F64^2)*$H64*DM64*DP64</f>
        <v>5.0411631338617804</v>
      </c>
      <c r="DR64" s="63" cm="1">
        <f t="array" ref="DR64">INDEX(FX_Input,$KB64,DR$85)</f>
        <v>5287</v>
      </c>
      <c r="DS64" s="63">
        <f t="shared" si="46"/>
        <v>29681.218000000001</v>
      </c>
      <c r="DT64" s="63">
        <f t="shared" si="47"/>
        <v>1.0497583470418088</v>
      </c>
      <c r="DU64" s="63">
        <f t="shared" si="48"/>
        <v>1</v>
      </c>
      <c r="DV64" s="63" cm="1">
        <f t="array" ref="DV64">IF(OR(INDEX(FX_Vap,$KK64,DV$90)="Crude Oil",(INDEX(FX_Vap,$KL64,DV$90)="Crude Oil")),0.75,1)</f>
        <v>1</v>
      </c>
      <c r="DW64" s="63">
        <f t="shared" si="113"/>
        <v>1</v>
      </c>
      <c r="DX64" s="63">
        <f t="shared" si="49"/>
        <v>6.8977912342869603</v>
      </c>
      <c r="DY64" s="64">
        <f t="shared" si="50"/>
        <v>11.938954368148741</v>
      </c>
      <c r="DZ64" s="80" t="str" cm="1">
        <f t="array" ref="DZ64">IF(ISBLANK(INDEX(FX_Input,$KB64+1,DZ$85)),INDEX(FX_Input,$KB64,DZ$85),INDEX(FX_Input,$KB64,DZ$85)&amp;" &amp; "&amp;INDEX(FX_Input,$KB64+1,DZ$85))</f>
        <v>Jet kerosene</v>
      </c>
      <c r="EA64" s="63" cm="1">
        <f t="array" ref="EA64">INDEX(FX_Temps,$KC64+7,EA$89)</f>
        <v>28.70279999999995</v>
      </c>
      <c r="EB64" s="63" cm="1">
        <f t="array" ref="EB64">INDEX(FX_Temps,$KC64+13,EB$89)+459.6</f>
        <v>529.85733599999992</v>
      </c>
      <c r="EC64" s="63" cm="1">
        <f t="array" ref="EC64">INDEX(FX_Vap,$KG64,EC$91)-INDEX(FX_Vap,$KH64,EC$91)</f>
        <v>1.6992521014225423E-3</v>
      </c>
      <c r="ED64" s="73" cm="1">
        <f t="array" ref="ED64">IF(DZ64="Out of Service",0,INDEX(FX_Vap,$KI64,ED$91))</f>
        <v>1.1455846008049875E-2</v>
      </c>
      <c r="EE64" s="63">
        <f t="shared" si="51"/>
        <v>5.0201677517994168E-2</v>
      </c>
      <c r="EF64" s="63">
        <f t="shared" si="52"/>
        <v>0.9872252128902832</v>
      </c>
      <c r="EG64" s="63" cm="1">
        <f t="array" ref="EG64">INDEX(FX_Vap,$KJ64,EG$91)</f>
        <v>130</v>
      </c>
      <c r="EH64" s="63" cm="1">
        <f t="array" ref="EH64">INDEX(FX_Temps,$KD64,EH$89)+459.6</f>
        <v>529.85733599999992</v>
      </c>
      <c r="EI64" s="63">
        <f t="shared" si="53"/>
        <v>2.6192163491240041E-4</v>
      </c>
      <c r="EJ64" s="63" cm="1">
        <f t="array" ref="EJ64">INDEX(Month_Ref,EJ$83,3)*EE64*(PI()/4*$F64^2)*$H64*EF64*EI64</f>
        <v>6.0622566954216213</v>
      </c>
      <c r="EK64" s="63" cm="1">
        <f t="array" ref="EK64">INDEX(FX_Input,$KB64,EK$85)</f>
        <v>5287</v>
      </c>
      <c r="EL64" s="63">
        <f t="shared" si="54"/>
        <v>29681.218000000001</v>
      </c>
      <c r="EM64" s="63">
        <f t="shared" si="55"/>
        <v>1.0497583470418088</v>
      </c>
      <c r="EN64" s="63">
        <f t="shared" si="56"/>
        <v>1</v>
      </c>
      <c r="EO64" s="63" cm="1">
        <f t="array" ref="EO64">IF(OR(INDEX(FX_Vap,$KK64,EO$90)="Crude Oil",(INDEX(FX_Vap,$KL64,EO$90)="Crude Oil")),0.75,1)</f>
        <v>1</v>
      </c>
      <c r="EP64" s="63">
        <f t="shared" si="114"/>
        <v>1</v>
      </c>
      <c r="EQ64" s="63">
        <f t="shared" si="57"/>
        <v>7.7741531447513674</v>
      </c>
      <c r="ER64" s="64">
        <f t="shared" si="58"/>
        <v>13.836409840172989</v>
      </c>
      <c r="ES64" s="80" t="str" cm="1">
        <f t="array" ref="ES64">IF(ISBLANK(INDEX(FX_Input,$KB64+1,ES$85)),INDEX(FX_Input,$KB64,ES$85),INDEX(FX_Input,$KB64,ES$85)&amp;" &amp; "&amp;INDEX(FX_Input,$KB64+1,ES$85))</f>
        <v>Jet kerosene</v>
      </c>
      <c r="ET64" s="63" cm="1">
        <f t="array" ref="ET64">INDEX(FX_Temps,$KC64+7,ET$89)</f>
        <v>26.827200000000012</v>
      </c>
      <c r="EU64" s="63" cm="1">
        <f t="array" ref="EU64">INDEX(FX_Temps,$KC64+13,EU$89)+459.6</f>
        <v>529.06706399999996</v>
      </c>
      <c r="EV64" s="63" cm="1">
        <f t="array" ref="EV64">INDEX(FX_Vap,$KG64,EV$91)-INDEX(FX_Vap,$KH64,EV$91)</f>
        <v>1.7992087732702586E-3</v>
      </c>
      <c r="EW64" s="73" cm="1">
        <f t="array" ref="EW64">IF(ES64="Out of Service",0,INDEX(FX_Vap,$KI64,EW$91))</f>
        <v>1.1170957772624744E-2</v>
      </c>
      <c r="EX64" s="63">
        <f t="shared" si="59"/>
        <v>4.6744366618355258E-2</v>
      </c>
      <c r="EY64" s="63">
        <f t="shared" si="60"/>
        <v>0.98753894231273287</v>
      </c>
      <c r="EZ64" s="63" cm="1">
        <f t="array" ref="EZ64">INDEX(FX_Vap,$KJ64,EZ$91)</f>
        <v>130</v>
      </c>
      <c r="FA64" s="63" cm="1">
        <f t="array" ref="FA64">INDEX(FX_Temps,$KD64,FA$89)+459.6</f>
        <v>529.06706399999996</v>
      </c>
      <c r="FB64" s="63">
        <f t="shared" si="61"/>
        <v>2.5578957558738659E-4</v>
      </c>
      <c r="FC64" s="63" cm="1">
        <f t="array" ref="FC64">INDEX(Month_Ref,FC$83,3)*EX64*(PI()/4*$F64^2)*$H64*EY64*FB64</f>
        <v>5.5143564075319356</v>
      </c>
      <c r="FD64" s="63" cm="1">
        <f t="array" ref="FD64">INDEX(FX_Input,$KB64,FD$85)</f>
        <v>5287</v>
      </c>
      <c r="FE64" s="63">
        <f t="shared" si="62"/>
        <v>29681.218000000001</v>
      </c>
      <c r="FF64" s="63">
        <f t="shared" si="63"/>
        <v>1.0497583470418088</v>
      </c>
      <c r="FG64" s="63">
        <f t="shared" si="64"/>
        <v>1</v>
      </c>
      <c r="FH64" s="63" cm="1">
        <f t="array" ref="FH64">IF(OR(INDEX(FX_Vap,$KK64,FH$90)="Crude Oil",(INDEX(FX_Vap,$KL64,FH$90)="Crude Oil")),0.75,1)</f>
        <v>1</v>
      </c>
      <c r="FI64" s="63">
        <f t="shared" si="115"/>
        <v>1</v>
      </c>
      <c r="FJ64" s="63">
        <f t="shared" si="65"/>
        <v>7.5921461551366995</v>
      </c>
      <c r="FK64" s="64">
        <f t="shared" si="66"/>
        <v>13.106502562668634</v>
      </c>
      <c r="FL64" s="80" t="str" cm="1">
        <f t="array" ref="FL64">IF(ISBLANK(INDEX(FX_Input,$KB64+1,FL$85)),INDEX(FX_Input,$KB64,FL$85),INDEX(FX_Input,$KB64,FL$85)&amp;" &amp; "&amp;INDEX(FX_Input,$KB64+1,FL$85))</f>
        <v>Jet kerosene</v>
      </c>
      <c r="FM64" s="63" cm="1">
        <f t="array" ref="FM64">INDEX(FX_Temps,$KC64+7,FM$89)</f>
        <v>25.353599999999982</v>
      </c>
      <c r="FN64" s="63" cm="1">
        <f t="array" ref="FN64">INDEX(FX_Temps,$KC64+13,FN$89)+459.6</f>
        <v>525.06743199999994</v>
      </c>
      <c r="FO64" s="63" cm="1">
        <f t="array" ref="FO64">INDEX(FX_Vap,$KG64,FO$91)-INDEX(FX_Vap,$KH64,FO$91)</f>
        <v>1.9653530375067282E-3</v>
      </c>
      <c r="FP64" s="73" cm="1">
        <f t="array" ref="FP64">IF(FL64="Out of Service",0,INDEX(FX_Vap,$KI64,FP$91))</f>
        <v>9.8227622663598323E-3</v>
      </c>
      <c r="FQ64" s="63">
        <f t="shared" si="67"/>
        <v>4.4335794433841239E-2</v>
      </c>
      <c r="FR64" s="63">
        <f t="shared" si="68"/>
        <v>0.98902633357821901</v>
      </c>
      <c r="FS64" s="63" cm="1">
        <f t="array" ref="FS64">INDEX(FX_Vap,$KJ64,FS$91)</f>
        <v>130</v>
      </c>
      <c r="FT64" s="63" cm="1">
        <f t="array" ref="FT64">INDEX(FX_Temps,$KD64,FT$89)+459.6</f>
        <v>525.06743199999994</v>
      </c>
      <c r="FU64" s="63">
        <f t="shared" si="69"/>
        <v>2.2663224935892229E-4</v>
      </c>
      <c r="FV64" s="63" cm="1">
        <f t="array" ref="FV64">INDEX(Month_Ref,FV$83,3)*FQ64*(PI()/4*$F64^2)*$H64*FR64*FU64</f>
        <v>4.4913003723044165</v>
      </c>
      <c r="FW64" s="63" cm="1">
        <f t="array" ref="FW64">INDEX(FX_Input,$KB64,FW$85)</f>
        <v>5287</v>
      </c>
      <c r="FX64" s="63">
        <f t="shared" si="70"/>
        <v>29681.218000000001</v>
      </c>
      <c r="FY64" s="63">
        <f t="shared" si="71"/>
        <v>1.0497583470418088</v>
      </c>
      <c r="FZ64" s="63">
        <f t="shared" si="72"/>
        <v>1</v>
      </c>
      <c r="GA64" s="63" cm="1">
        <f t="array" ref="GA64">IF(OR(INDEX(FX_Vap,$KK64,GA$90)="Crude Oil",(INDEX(FX_Vap,$KL64,GA$90)="Crude Oil")),0.75,1)</f>
        <v>1</v>
      </c>
      <c r="GB64" s="63">
        <f t="shared" si="116"/>
        <v>1</v>
      </c>
      <c r="GC64" s="63">
        <f t="shared" si="73"/>
        <v>6.7267211990525331</v>
      </c>
      <c r="GD64" s="64">
        <f t="shared" si="74"/>
        <v>11.21802157135695</v>
      </c>
      <c r="GE64" s="80" t="str" cm="1">
        <f t="array" ref="GE64">IF(ISBLANK(INDEX(FX_Input,$KB64+1,GE$85)),INDEX(FX_Input,$KB64,GE$85),INDEX(FX_Input,$KB64,GE$85)&amp;" &amp; "&amp;INDEX(FX_Input,$KB64+1,GE$85))</f>
        <v>Jet kerosene</v>
      </c>
      <c r="GF64" s="63" cm="1">
        <f t="array" ref="GF64">INDEX(FX_Temps,$KC64+7,GF$89)</f>
        <v>18.734799999999993</v>
      </c>
      <c r="GG64" s="63" cm="1">
        <f t="array" ref="GG64">INDEX(FX_Temps,$KC64+13,GG$89)+459.6</f>
        <v>516.43017599999996</v>
      </c>
      <c r="GH64" s="63" cm="1">
        <f t="array" ref="GH64">INDEX(FX_Vap,$KG64,GH$91)-INDEX(FX_Vap,$KH64,GH$91)</f>
        <v>1.4015323004334451E-3</v>
      </c>
      <c r="GI64" s="73" cm="1">
        <f t="array" ref="GI64">IF(GE64="Out of Service",0,INDEX(FX_Vap,$KI64,GI$91))</f>
        <v>7.3902409367879104E-3</v>
      </c>
      <c r="GJ64" s="63">
        <f t="shared" si="75"/>
        <v>3.2289212922073263E-2</v>
      </c>
      <c r="GK64" s="63">
        <f t="shared" si="76"/>
        <v>0.99172136882440376</v>
      </c>
      <c r="GL64" s="63" cm="1">
        <f t="array" ref="GL64">INDEX(FX_Vap,$KJ64,GL$91)</f>
        <v>130</v>
      </c>
      <c r="GM64" s="63" cm="1">
        <f t="array" ref="GM64">INDEX(FX_Temps,$KD64,GM$89)+459.6</f>
        <v>516.43017599999996</v>
      </c>
      <c r="GN64" s="63">
        <f t="shared" si="77"/>
        <v>1.7336049723016869E-4</v>
      </c>
      <c r="GO64" s="63" cm="1">
        <f t="array" ref="GO64">INDEX(Month_Ref,GO$83,3)*GJ64*(PI()/4*$F64^2)*$H64*GK64*GN64</f>
        <v>2.592541726026564</v>
      </c>
      <c r="GP64" s="63" cm="1">
        <f t="array" ref="GP64">INDEX(FX_Input,$KB64,GP$85)</f>
        <v>5287</v>
      </c>
      <c r="GQ64" s="63">
        <f t="shared" si="78"/>
        <v>29681.218000000001</v>
      </c>
      <c r="GR64" s="63">
        <f t="shared" si="79"/>
        <v>1.0497583470418088</v>
      </c>
      <c r="GS64" s="63">
        <f t="shared" si="80"/>
        <v>1</v>
      </c>
      <c r="GT64" s="63" cm="1">
        <f t="array" ref="GT64">IF(OR(INDEX(FX_Vap,$KK64,GT$90)="Crude Oil",(INDEX(FX_Vap,$KL64,GT$90)="Crude Oil")),0.75,1)</f>
        <v>1</v>
      </c>
      <c r="GU64" s="63">
        <f t="shared" si="117"/>
        <v>1</v>
      </c>
      <c r="GV64" s="63">
        <f t="shared" si="81"/>
        <v>5.1455507108770338</v>
      </c>
      <c r="GW64" s="64">
        <f t="shared" si="82"/>
        <v>7.7380924369035977</v>
      </c>
      <c r="GX64" s="80" t="str" cm="1">
        <f t="array" ref="GX64">IF(ISBLANK(INDEX(FX_Input,$KB64+1,GX$85)),INDEX(FX_Input,$KB64,GX$85),INDEX(FX_Input,$KB64,GX$85)&amp;" &amp; "&amp;INDEX(FX_Input,$KB64+1,GX$85))</f>
        <v>Jet kerosene</v>
      </c>
      <c r="GY64" s="63" cm="1">
        <f t="array" ref="GY64">INDEX(FX_Temps,$KC64+7,GY$89)</f>
        <v>13.07560000000003</v>
      </c>
      <c r="GZ64" s="63" cm="1">
        <f t="array" ref="GZ64">INDEX(FX_Temps,$KC64+13,GZ$89)+459.6</f>
        <v>508.94512199999997</v>
      </c>
      <c r="HA64" s="63" cm="1">
        <f t="array" ref="HA64">INDEX(FX_Vap,$KG64,HA$91)-INDEX(FX_Vap,$KH64,HA$91)</f>
        <v>9.4462005903835859E-4</v>
      </c>
      <c r="HB64" s="73" cm="1">
        <f t="array" ref="HB64">IF(GX64="Out of Service",0,INDEX(FX_Vap,$KI64,HB$91))</f>
        <v>5.7302815955729341E-3</v>
      </c>
      <c r="HC64" s="63">
        <f t="shared" si="83"/>
        <v>2.1672632088548499E-2</v>
      </c>
      <c r="HD64" s="63">
        <f t="shared" si="84"/>
        <v>0.99356891534888103</v>
      </c>
      <c r="HE64" s="63" cm="1">
        <f t="array" ref="HE64">INDEX(FX_Vap,$KJ64,HE$91)</f>
        <v>130</v>
      </c>
      <c r="HF64" s="63" cm="1">
        <f t="array" ref="HF64">INDEX(FX_Temps,$KD64,HF$89)+459.6</f>
        <v>508.94512199999997</v>
      </c>
      <c r="HG64" s="63">
        <f t="shared" si="85"/>
        <v>1.3639805130362953E-4</v>
      </c>
      <c r="HH64" s="63" cm="1">
        <f t="array" ref="HH64">INDEX(Month_Ref,HH$83,3)*HC64*(PI()/4*$F64^2)*$H64*HD64*HG64</f>
        <v>1.3274123741996167</v>
      </c>
      <c r="HI64" s="63" cm="1">
        <f t="array" ref="HI64">INDEX(FX_Input,$KB64,HI$85)</f>
        <v>5287</v>
      </c>
      <c r="HJ64" s="63">
        <f t="shared" si="86"/>
        <v>29681.218000000001</v>
      </c>
      <c r="HK64" s="63">
        <f t="shared" si="87"/>
        <v>1.0497583470418088</v>
      </c>
      <c r="HL64" s="63">
        <f t="shared" si="88"/>
        <v>1</v>
      </c>
      <c r="HM64" s="63" cm="1">
        <f t="array" ref="HM64">IF(OR(INDEX(FX_Vap,$KK64,HM$90)="Crude Oil",(INDEX(FX_Vap,$KL64,HM$90)="Crude Oil")),0.75,1)</f>
        <v>1</v>
      </c>
      <c r="HN64" s="63">
        <f t="shared" si="118"/>
        <v>1</v>
      </c>
      <c r="HO64" s="63">
        <f t="shared" si="89"/>
        <v>4.0484602955182121</v>
      </c>
      <c r="HP64" s="64">
        <f t="shared" si="90"/>
        <v>5.375872669717829</v>
      </c>
      <c r="HQ64" s="80" t="str" cm="1">
        <f t="array" ref="HQ64">IF(ISBLANK(INDEX(FX_Input,$KB64+1,HQ$85)),INDEX(FX_Input,$KB64,HQ$85),INDEX(FX_Input,$KB64,HQ$85)&amp;" &amp; "&amp;INDEX(FX_Input,$KB64+1,HQ$85))</f>
        <v>Jet kerosene</v>
      </c>
      <c r="HR64" s="63" cm="1">
        <f t="array" ref="HR64">INDEX(FX_Temps,$KC64+7,HR$89)</f>
        <v>10.5032</v>
      </c>
      <c r="HS64" s="63" cm="1">
        <f t="array" ref="HS64">INDEX(FX_Temps,$KC64+13,HS$89)+459.6</f>
        <v>504.93408400000004</v>
      </c>
      <c r="HT64" s="63" cm="1">
        <f t="array" ref="HT64">INDEX(FX_Vap,$KG64,HT$91)-INDEX(FX_Vap,$KH64,HT$91)</f>
        <v>6.8725410655236848E-4</v>
      </c>
      <c r="HU64" s="73" cm="1">
        <f t="array" ref="HU64">IF(HQ64="Out of Service",0,INDEX(FX_Vap,$KI64,HU$91))</f>
        <v>4.9845202750316486E-3</v>
      </c>
      <c r="HV64" s="63">
        <f t="shared" si="91"/>
        <v>1.6764881648650403E-2</v>
      </c>
      <c r="HW64" s="63">
        <f t="shared" si="92"/>
        <v>0.99440119591566378</v>
      </c>
      <c r="HX64" s="63" cm="1">
        <f t="array" ref="HX64">INDEX(FX_Vap,$KJ64,HX$91)</f>
        <v>130</v>
      </c>
      <c r="HY64" s="63" cm="1">
        <f t="array" ref="HY64">INDEX(FX_Temps,$KD64,HY$89)+459.6</f>
        <v>504.93408400000004</v>
      </c>
      <c r="HZ64" s="63">
        <f t="shared" si="93"/>
        <v>1.1958916593165838E-4</v>
      </c>
      <c r="IA64" s="63" cm="1">
        <f t="array" ref="IA64">INDEX(Month_Ref,IA$83,3)*HV64*(PI()/4*$F64^2)*$H64*HW64*HZ64</f>
        <v>0.93107024494842361</v>
      </c>
      <c r="IB64" s="63" cm="1">
        <f t="array" ref="IB64">INDEX(FX_Input,$KB64,IB$85)</f>
        <v>5287</v>
      </c>
      <c r="IC64" s="63">
        <f t="shared" si="94"/>
        <v>29681.218000000001</v>
      </c>
      <c r="ID64" s="63">
        <f t="shared" si="95"/>
        <v>1.0497583470418088</v>
      </c>
      <c r="IE64" s="63">
        <f t="shared" si="96"/>
        <v>1</v>
      </c>
      <c r="IF64" s="63" cm="1">
        <f t="array" ref="IF64">IF(OR(INDEX(FX_Vap,$KK64,IF$90)="Crude Oil",(INDEX(FX_Vap,$KL64,IF$90)="Crude Oil")),0.75,1)</f>
        <v>1</v>
      </c>
      <c r="IG64" s="63">
        <f t="shared" si="119"/>
        <v>1</v>
      </c>
      <c r="IH64" s="63">
        <f t="shared" si="97"/>
        <v>3.5495521044557257</v>
      </c>
      <c r="II64" s="64">
        <f t="shared" si="98"/>
        <v>4.4806223494041495</v>
      </c>
      <c r="IJ64" s="80">
        <f t="shared" si="99"/>
        <v>38.51424524184992</v>
      </c>
      <c r="IK64" s="63">
        <f t="shared" si="100"/>
        <v>1.9257122620924959E-2</v>
      </c>
      <c r="IL64" s="63">
        <f t="shared" si="101"/>
        <v>64.552327242756419</v>
      </c>
      <c r="IM64" s="63">
        <f t="shared" si="102"/>
        <v>3.2276163621378209E-2</v>
      </c>
      <c r="IN64" s="63">
        <f t="shared" si="103"/>
        <v>103.06657248460635</v>
      </c>
      <c r="IO64" s="64">
        <f t="shared" si="104"/>
        <v>5.1533286242303175E-2</v>
      </c>
      <c r="KB64" s="43">
        <f t="shared" si="120"/>
        <v>107</v>
      </c>
      <c r="KC64" s="43">
        <f t="shared" si="121"/>
        <v>743</v>
      </c>
      <c r="KD64" s="43">
        <f t="shared" si="122"/>
        <v>756</v>
      </c>
      <c r="KE64" s="43">
        <f t="shared" si="123"/>
        <v>743</v>
      </c>
      <c r="KF64" s="43">
        <f t="shared" si="124"/>
        <v>1803</v>
      </c>
      <c r="KG64" s="43">
        <f t="shared" si="125"/>
        <v>1826</v>
      </c>
      <c r="KH64" s="43">
        <f t="shared" si="126"/>
        <v>1821</v>
      </c>
      <c r="KI64" s="43">
        <f t="shared" si="126"/>
        <v>1831</v>
      </c>
      <c r="KJ64" s="43">
        <f t="shared" si="126"/>
        <v>1836</v>
      </c>
      <c r="KK64" s="43">
        <f t="shared" si="127"/>
        <v>1807</v>
      </c>
      <c r="KL64" s="43">
        <f t="shared" si="128"/>
        <v>1809</v>
      </c>
    </row>
    <row r="65" spans="2:298" x14ac:dyDescent="0.4">
      <c r="B65" s="43" t="str" cm="1">
        <f t="array" ref="B65">INDEX(FX_Input,$KB65,B$85)</f>
        <v>FX - 55</v>
      </c>
      <c r="C65" s="93" t="str" cm="1">
        <f t="array" ref="C65">INDEX(FX_Input,$KB65,C$85)</f>
        <v>FIXTANK 185</v>
      </c>
      <c r="D65" s="80">
        <f t="shared" si="129"/>
        <v>15064.918521667305</v>
      </c>
      <c r="E65" s="63" cm="1">
        <f t="array" ref="E65">IF(ISBLANK(INDEX(FX_Input,$KB65,$E$85)),0.03,INDEX(FX_Input,$KB65,$E$85))-IF(ISBLANK(INDEX(FX_Input,$KB65,$E$86)),-0.03,INDEX(FX_Input,$KB65,$E$86))</f>
        <v>0.06</v>
      </c>
      <c r="F65" s="63" cm="1">
        <f t="array" ref="F65">IF(INDEX(FX_Input,$KB65,F$85)="Vertical",INDEX(FX_Input,$KB65,F$86),SQRT((INDEX(FX_Input,$KB65,F$86)*INDEX(FX_Input,$KB65,F$87))/(PI()/4)))</f>
        <v>30</v>
      </c>
      <c r="G65" s="63" cm="1">
        <f t="array" ref="G65">IF(INDEX(FX_Input,$KB65,G$85)="Vertical",INDEX(FX_Input,$KB65,G$86),INDEX(FX_Input,$KB65,G$87)*PI()/4)</f>
        <v>42</v>
      </c>
      <c r="H65" s="63" cm="1">
        <f t="array" ref="H65">IF(INDEX(FX_Input,$KB65,H$85)="Vertical",G65-G65/2+J65,G65/2)</f>
        <v>21.3125</v>
      </c>
      <c r="I65" s="63" cm="1">
        <f t="array" ref="I65">IF(INDEX(FX_Input,$KB65,F$85)="Horizontal","N/A",IF(INDEX(FX_Input,$KB65,I$86)="Cone",IF(ISBLANK(INDEX(FX_Input,$KB65,I$87)),0.0625,INDEX(FX_Input,$KB65,I$87))*F65/2,F65/2-SQRT((F65/2)^2-(INDEX(FX_Input,$KB65,I$88)^2))))</f>
        <v>0.9375</v>
      </c>
      <c r="J65" s="63" cm="1">
        <f t="array" ref="J65">IF(INDEX(FX_Input,$KB65,J$85)="Horizontal","N/A",IF(INDEX(FX_Input,$KB65,J$86)="Cone",I65/3,I65*(1/2+(1/6)*(I65/(F65/2))^2)))</f>
        <v>0.3125</v>
      </c>
      <c r="K65" s="63">
        <f t="shared" si="130"/>
        <v>41</v>
      </c>
      <c r="L65" s="63">
        <v>1</v>
      </c>
      <c r="M65" s="63" cm="1">
        <f t="array" ref="M65">INDEX(Tbl_71_6,MATCH(INDEX(FX_Input,$KB65,M$85),Paint_Color,0),VLOOKUP(INDEX(FX_Input,$KB65,M$86),Paint_Cond_Column,2,FALSE))</f>
        <v>0.57999999999999996</v>
      </c>
      <c r="N65" s="63" cm="1">
        <f t="array" ref="N65">INDEX(Tbl_71_6,MATCH(INDEX(FX_Input,$KB65,N$85),Paint_Color,0),VLOOKUP(INDEX(FX_Input,$KB65,N$86),Paint_Cond_Column,2,FALSE))</f>
        <v>0.57999999999999996</v>
      </c>
      <c r="O65" s="64">
        <f t="shared" si="2"/>
        <v>0.57999999999999996</v>
      </c>
      <c r="P65" s="80" t="str" cm="1">
        <f t="array" ref="P65">IF(ISBLANK(INDEX(FX_Input,$KB65+1,P$85)),INDEX(FX_Input,$KB65,P$85),INDEX(FX_Input,$KB65,P$85)&amp;" &amp; "&amp;INDEX(FX_Input,$KB65+1,P$85))</f>
        <v>Jet kerosene</v>
      </c>
      <c r="Q65" s="63" cm="1">
        <f t="array" ref="Q65">INDEX(FX_Temps,$KC65+7,Q$89)</f>
        <v>11.258800000000022</v>
      </c>
      <c r="R65" s="63" cm="1">
        <f t="array" ref="R65">INDEX(FX_Temps,$KC65+13,R$89)+459.6</f>
        <v>505.46950599999997</v>
      </c>
      <c r="S65" s="63" cm="1">
        <f t="array" ref="S65">INDEX(FX_Vap,$KG65,S$91)-INDEX(FX_Vap,$KH65,S$91)</f>
        <v>7.2511833210903501E-4</v>
      </c>
      <c r="T65" s="73" cm="1">
        <f t="array" ref="T65">IF(P65="Out of Service",0,INDEX(FX_Vap,$KI65,T$91))</f>
        <v>5.0788096823034274E-3</v>
      </c>
      <c r="U65" s="63">
        <f t="shared" si="3"/>
        <v>1.8240246540696722E-2</v>
      </c>
      <c r="V65" s="63">
        <f t="shared" si="4"/>
        <v>0.99429589056127876</v>
      </c>
      <c r="W65" s="63" cm="1">
        <f t="array" ref="W65">INDEX(FX_Vap,$KJ65,W$91)</f>
        <v>130</v>
      </c>
      <c r="X65" s="63" cm="1">
        <f t="array" ref="X65">INDEX(FX_Temps,$KD65,X$89)+459.6</f>
        <v>505.46950599999997</v>
      </c>
      <c r="Y65" s="63">
        <f t="shared" si="5"/>
        <v>1.2172229601159552E-4</v>
      </c>
      <c r="Z65" s="63" cm="1">
        <f t="array" ref="Z65">INDEX(Month_Ref,Z$83,3)*U65*(PI()/4*$F65^2)*$H65*V65*Y65</f>
        <v>1.0309674771547777</v>
      </c>
      <c r="AA65" s="63" cm="1">
        <f t="array" ref="AA65">INDEX(FX_Input,$KB65,AA$85)</f>
        <v>5287</v>
      </c>
      <c r="AB65" s="63">
        <f t="shared" si="6"/>
        <v>29681.218000000001</v>
      </c>
      <c r="AC65" s="63">
        <f t="shared" si="7"/>
        <v>1.0497583470418088</v>
      </c>
      <c r="AD65" s="63">
        <f t="shared" si="8"/>
        <v>1</v>
      </c>
      <c r="AE65" s="63" cm="1">
        <f t="array" ref="AE65">IF(OR(INDEX(FX_Vap,$KK65,AE$90)="Crude Oil",(INDEX(FX_Vap,$KL65,AE$90)="Crude Oil")),0.75,1)</f>
        <v>1</v>
      </c>
      <c r="AF65" s="63">
        <f t="shared" si="108"/>
        <v>1</v>
      </c>
      <c r="AG65" s="63">
        <f t="shared" si="9"/>
        <v>3.6128660033806974</v>
      </c>
      <c r="AH65" s="64">
        <f t="shared" si="10"/>
        <v>4.6438334805354753</v>
      </c>
      <c r="AI65" s="80" t="str" cm="1">
        <f t="array" ref="AI65">IF(ISBLANK(INDEX(FX_Input,$KB65+1,AI$85)),INDEX(FX_Input,$KB65,AI$85),INDEX(FX_Input,$KB65,AI$85)&amp;" &amp; "&amp;INDEX(FX_Input,$KB65+1,AI$85))</f>
        <v>Jet kerosene</v>
      </c>
      <c r="AJ65" s="63" cm="1">
        <f t="array" ref="AJ65">INDEX(FX_Temps,$KC65+7,AJ$89)</f>
        <v>16.199999999999989</v>
      </c>
      <c r="AK65" s="63" cm="1">
        <f t="array" ref="AK65">INDEX(FX_Temps,$KC65+13,AK$89)+459.6</f>
        <v>507.74520000000007</v>
      </c>
      <c r="AL65" s="63" cm="1">
        <f t="array" ref="AL65">INDEX(FX_Vap,$KG65,AL$91)-INDEX(FX_Vap,$KH65,AL$91)</f>
        <v>9.7385557209301102E-4</v>
      </c>
      <c r="AM65" s="73" cm="1">
        <f t="array" ref="AM65">IF(AI65="Out of Service",0,INDEX(FX_Vap,$KI65,AM$91))</f>
        <v>5.4974545080270654E-3</v>
      </c>
      <c r="AN65" s="63">
        <f t="shared" si="11"/>
        <v>2.788888071256744E-2</v>
      </c>
      <c r="AO65" s="63">
        <f t="shared" si="12"/>
        <v>0.99382860417285457</v>
      </c>
      <c r="AP65" s="63" cm="1">
        <f t="array" ref="AP65">INDEX(FX_Vap,$KJ65,AP$91)</f>
        <v>130</v>
      </c>
      <c r="AQ65" s="63" cm="1">
        <f t="array" ref="AQ65">INDEX(FX_Temps,$KD65,AQ$89)+459.6</f>
        <v>507.74520000000007</v>
      </c>
      <c r="AR65" s="63">
        <f t="shared" si="13"/>
        <v>1.3116530552340457E-4</v>
      </c>
      <c r="AS65" s="63" cm="1">
        <f t="array" ref="AS65">INDEX(Month_Ref,AS$83,3)*AN65*(PI()/4*$F65^2)*$H65*AO65*AR65</f>
        <v>1.533509146899795</v>
      </c>
      <c r="AT65" s="63" cm="1">
        <f t="array" ref="AT65">INDEX(FX_Input,$KB65,AT$85)</f>
        <v>5287</v>
      </c>
      <c r="AU65" s="63">
        <f t="shared" si="14"/>
        <v>29681.218000000001</v>
      </c>
      <c r="AV65" s="63">
        <f t="shared" si="15"/>
        <v>1.0497583470418088</v>
      </c>
      <c r="AW65" s="63">
        <f t="shared" si="16"/>
        <v>1</v>
      </c>
      <c r="AX65" s="63" cm="1">
        <f t="array" ref="AX65">IF(OR(INDEX(FX_Vap,$KK65,AX$90)="Crude Oil",(INDEX(FX_Vap,$KL65,AX$90)="Crude Oil")),0.75,1)</f>
        <v>1</v>
      </c>
      <c r="AY65" s="63">
        <f t="shared" si="109"/>
        <v>1</v>
      </c>
      <c r="AZ65" s="63">
        <f t="shared" si="17"/>
        <v>3.8931460272767753</v>
      </c>
      <c r="BA65" s="64">
        <f t="shared" si="18"/>
        <v>5.4266551741765703</v>
      </c>
      <c r="BB65" s="80" t="str" cm="1">
        <f t="array" ref="BB65">IF(ISBLANK(INDEX(FX_Input,$KB65+1,BB$85)),INDEX(FX_Input,$KB65,BB$85),INDEX(FX_Input,$KB65,BB$85)&amp;" &amp; "&amp;INDEX(FX_Input,$KB65+1,BB$85))</f>
        <v>Jet kerosene</v>
      </c>
      <c r="BC65" s="63" cm="1">
        <f t="array" ref="BC65">INDEX(FX_Temps,$KC65+7,BC$89)</f>
        <v>19.413200000000032</v>
      </c>
      <c r="BD65" s="63" cm="1">
        <f t="array" ref="BD65">INDEX(FX_Temps,$KC65+13,BD$89)+459.6</f>
        <v>510.73573400000004</v>
      </c>
      <c r="BE65" s="63" cm="1">
        <f t="array" ref="BE65">INDEX(FX_Vap,$KG65,BE$91)-INDEX(FX_Vap,$KH65,BE$91)</f>
        <v>1.0512513961976316E-3</v>
      </c>
      <c r="BF65" s="73" cm="1">
        <f t="array" ref="BF65">IF(BB65="Out of Service",0,INDEX(FX_Vap,$KI65,BF$91))</f>
        <v>6.0939776204352973E-3</v>
      </c>
      <c r="BG65" s="63">
        <f t="shared" si="19"/>
        <v>3.3998481774195406E-2</v>
      </c>
      <c r="BH65" s="63">
        <f t="shared" si="20"/>
        <v>0.993163530437843</v>
      </c>
      <c r="BI65" s="63" cm="1">
        <f t="array" ref="BI65">INDEX(FX_Vap,$KJ65,BI$91)</f>
        <v>130</v>
      </c>
      <c r="BJ65" s="63" cm="1">
        <f t="array" ref="BJ65">INDEX(FX_Temps,$KD65,BJ$89)+459.6</f>
        <v>510.73573400000004</v>
      </c>
      <c r="BK65" s="63">
        <f t="shared" si="21"/>
        <v>1.4454656240474778E-4</v>
      </c>
      <c r="BL65" s="63" cm="1">
        <f t="array" ref="BL65">INDEX(Month_Ref,BL$83,3)*BG65*(PI()/4*$F65^2)*$H65*BH65*BK65</f>
        <v>2.2793789650241938</v>
      </c>
      <c r="BM65" s="63" cm="1">
        <f t="array" ref="BM65">INDEX(FX_Input,$KB65,BM$85)</f>
        <v>5287</v>
      </c>
      <c r="BN65" s="63">
        <f t="shared" si="22"/>
        <v>29681.218000000001</v>
      </c>
      <c r="BO65" s="63">
        <f t="shared" si="23"/>
        <v>1.0497583470418088</v>
      </c>
      <c r="BP65" s="63">
        <f t="shared" si="24"/>
        <v>1</v>
      </c>
      <c r="BQ65" s="63" cm="1">
        <f t="array" ref="BQ65">IF(OR(INDEX(FX_Vap,$KK65,BQ$90)="Crude Oil",(INDEX(FX_Vap,$KL65,BQ$90)="Crude Oil")),0.75,1)</f>
        <v>1</v>
      </c>
      <c r="BR65" s="63">
        <f t="shared" si="110"/>
        <v>1</v>
      </c>
      <c r="BS65" s="63">
        <f t="shared" si="25"/>
        <v>4.2903180298859231</v>
      </c>
      <c r="BT65" s="64">
        <f t="shared" si="26"/>
        <v>6.5696969949101174</v>
      </c>
      <c r="BU65" s="80" t="str" cm="1">
        <f t="array" ref="BU65">IF(ISBLANK(INDEX(FX_Input,$KB65+1,BU$85)),INDEX(FX_Input,$KB65,BU$85),INDEX(FX_Input,$KB65,BU$85)&amp;" &amp; "&amp;INDEX(FX_Input,$KB65+1,BU$85))</f>
        <v>Jet kerosene</v>
      </c>
      <c r="BV65" s="63" cm="1">
        <f t="array" ref="BV65">INDEX(FX_Temps,$KC65+7,BV$89)</f>
        <v>23.903199999999984</v>
      </c>
      <c r="BW65" s="63" cm="1">
        <f t="array" ref="BW65">INDEX(FX_Temps,$KC65+13,BW$89)+459.6</f>
        <v>515.38898399999994</v>
      </c>
      <c r="BX65" s="63" cm="1">
        <f t="array" ref="BX65">INDEX(FX_Vap,$KG65,BX$91)-INDEX(FX_Vap,$KH65,BX$91)</f>
        <v>1.2038097787291455E-3</v>
      </c>
      <c r="BY65" s="73" cm="1">
        <f t="array" ref="BY65">IF(BU65="Out of Service",0,INDEX(FX_Vap,$KI65,BY$91))</f>
        <v>7.1364512548726224E-3</v>
      </c>
      <c r="BZ65" s="63">
        <f t="shared" si="27"/>
        <v>4.2377266616028302E-2</v>
      </c>
      <c r="CA65" s="63">
        <f t="shared" si="28"/>
        <v>0.99200339346622146</v>
      </c>
      <c r="CB65" s="63" cm="1">
        <f t="array" ref="CB65">INDEX(FX_Vap,$KJ65,CB$91)</f>
        <v>130</v>
      </c>
      <c r="CC65" s="63" cm="1">
        <f t="array" ref="CC65">INDEX(FX_Temps,$KD65,CC$89)+459.6</f>
        <v>515.38898399999994</v>
      </c>
      <c r="CD65" s="63">
        <f t="shared" si="29"/>
        <v>1.6774528797017444E-4</v>
      </c>
      <c r="CE65" s="63" cm="1">
        <f t="array" ref="CE65">INDEX(Month_Ref,CE$83,3)*BZ65*(PI()/4*$F65^2)*$H65*CA65*CD65</f>
        <v>3.1870176595424797</v>
      </c>
      <c r="CF65" s="63" cm="1">
        <f t="array" ref="CF65">INDEX(FX_Input,$KB65,CF$85)</f>
        <v>5287</v>
      </c>
      <c r="CG65" s="63">
        <f t="shared" si="30"/>
        <v>29681.218000000001</v>
      </c>
      <c r="CH65" s="63">
        <f t="shared" si="31"/>
        <v>1.0497583470418088</v>
      </c>
      <c r="CI65" s="63">
        <f t="shared" si="32"/>
        <v>1</v>
      </c>
      <c r="CJ65" s="63" cm="1">
        <f t="array" ref="CJ65">IF(OR(INDEX(FX_Vap,$KK65,CJ$90)="Crude Oil",(INDEX(FX_Vap,$KL65,CJ$90)="Crude Oil")),0.75,1)</f>
        <v>1</v>
      </c>
      <c r="CK65" s="63">
        <f t="shared" si="111"/>
        <v>1</v>
      </c>
      <c r="CL65" s="63">
        <f t="shared" si="33"/>
        <v>4.9788844607155252</v>
      </c>
      <c r="CM65" s="64">
        <f t="shared" si="34"/>
        <v>8.1659021202580053</v>
      </c>
      <c r="CN65" s="80" t="str" cm="1">
        <f t="array" ref="CN65">IF(ISBLANK(INDEX(FX_Input,$KB65+1,CN$85)),INDEX(FX_Input,$KB65,CN$85),INDEX(FX_Input,$KB65,CN$85)&amp;" &amp; "&amp;INDEX(FX_Input,$KB65+1,CN$85))</f>
        <v>Jet kerosene</v>
      </c>
      <c r="CO65" s="63" cm="1">
        <f t="array" ref="CO65">INDEX(FX_Temps,$KC65+7,CO$89)</f>
        <v>27.139199999999967</v>
      </c>
      <c r="CP65" s="63" cm="1">
        <f t="array" ref="CP65">INDEX(FX_Temps,$KC65+13,CP$89)+459.6</f>
        <v>521.57545400000004</v>
      </c>
      <c r="CQ65" s="63" cm="1">
        <f t="array" ref="CQ65">INDEX(FX_Vap,$KG65,CQ$91)-INDEX(FX_Vap,$KH65,CQ$91)</f>
        <v>1.4138833287953342E-3</v>
      </c>
      <c r="CR65" s="73" cm="1">
        <f t="array" ref="CR65">IF(CN65="Out of Service",0,INDEX(FX_Vap,$KI65,CR$91))</f>
        <v>8.765284653116507E-3</v>
      </c>
      <c r="CS65" s="63">
        <f t="shared" si="35"/>
        <v>4.8045295508693228E-2</v>
      </c>
      <c r="CT65" s="63">
        <f t="shared" si="36"/>
        <v>0.99019613064534084</v>
      </c>
      <c r="CU65" s="63" cm="1">
        <f t="array" ref="CU65">INDEX(FX_Vap,$KJ65,CU$91)</f>
        <v>130</v>
      </c>
      <c r="CV65" s="63" cm="1">
        <f t="array" ref="CV65">INDEX(FX_Temps,$KD65,CV$89)+459.6</f>
        <v>521.57545400000004</v>
      </c>
      <c r="CW65" s="63">
        <f t="shared" si="37"/>
        <v>2.0358793488255635E-4</v>
      </c>
      <c r="CX65" s="63" cm="1">
        <f t="array" ref="CX65">INDEX(Month_Ref,CX$83,3)*CS65*(PI()/4*$F65^2)*$H65*CT65*CW65</f>
        <v>4.5232710389343245</v>
      </c>
      <c r="CY65" s="63" cm="1">
        <f t="array" ref="CY65">INDEX(FX_Input,$KB65,CY$85)</f>
        <v>5287</v>
      </c>
      <c r="CZ65" s="63">
        <f t="shared" si="38"/>
        <v>29681.218000000001</v>
      </c>
      <c r="DA65" s="63">
        <f t="shared" si="39"/>
        <v>1.0497583470418088</v>
      </c>
      <c r="DB65" s="63">
        <f t="shared" si="40"/>
        <v>1</v>
      </c>
      <c r="DC65" s="63" cm="1">
        <f t="array" ref="DC65">IF(OR(INDEX(FX_Vap,$KK65,DC$90)="Crude Oil",(INDEX(FX_Vap,$KL65,DC$90)="Crude Oil")),0.75,1)</f>
        <v>1</v>
      </c>
      <c r="DD65" s="63">
        <f t="shared" si="112"/>
        <v>1</v>
      </c>
      <c r="DE65" s="63">
        <f t="shared" si="41"/>
        <v>6.0427378774189595</v>
      </c>
      <c r="DF65" s="64">
        <f t="shared" si="42"/>
        <v>10.566008916353283</v>
      </c>
      <c r="DG65" s="80" t="str" cm="1">
        <f t="array" ref="DG65">IF(ISBLANK(INDEX(FX_Input,$KB65+1,DG$85)),INDEX(FX_Input,$KB65,DG$85),INDEX(FX_Input,$KB65,DG$85)&amp;" &amp; "&amp;INDEX(FX_Input,$KB65+1,DG$85))</f>
        <v>Jet kerosene</v>
      </c>
      <c r="DH65" s="63" cm="1">
        <f t="array" ref="DH65">INDEX(FX_Temps,$KC65+7,DH$89)</f>
        <v>27.623200000000036</v>
      </c>
      <c r="DI65" s="63" cm="1">
        <f t="array" ref="DI65">INDEX(FX_Temps,$KC65+13,DI$89)+459.6</f>
        <v>525.89223400000003</v>
      </c>
      <c r="DJ65" s="63" cm="1">
        <f t="array" ref="DJ65">INDEX(FX_Vap,$KG65,DJ$91)-INDEX(FX_Vap,$KH65,DJ$91)</f>
        <v>1.4993334776470697E-3</v>
      </c>
      <c r="DK65" s="73" cm="1">
        <f t="array" ref="DK65">IF(DG65="Out of Service",0,INDEX(FX_Vap,$KI65,DK$91))</f>
        <v>1.0088391497030216E-2</v>
      </c>
      <c r="DL65" s="63">
        <f t="shared" si="43"/>
        <v>4.8543980644621849E-2</v>
      </c>
      <c r="DM65" s="63">
        <f t="shared" si="44"/>
        <v>0.98873292488171627</v>
      </c>
      <c r="DN65" s="63" cm="1">
        <f t="array" ref="DN65">INDEX(FX_Vap,$KJ65,DN$91)</f>
        <v>130</v>
      </c>
      <c r="DO65" s="63" cm="1">
        <f t="array" ref="DO65">INDEX(FX_Temps,$KD65,DO$89)+459.6</f>
        <v>525.89223400000003</v>
      </c>
      <c r="DP65" s="63">
        <f t="shared" si="45"/>
        <v>2.3239582803801919E-4</v>
      </c>
      <c r="DQ65" s="63" cm="1">
        <f t="array" ref="DQ65">INDEX(Month_Ref,DQ$83,3)*DL65*(PI()/4*$F65^2)*$H65*DM65*DP65</f>
        <v>5.0411631338617804</v>
      </c>
      <c r="DR65" s="63" cm="1">
        <f t="array" ref="DR65">INDEX(FX_Input,$KB65,DR$85)</f>
        <v>5287</v>
      </c>
      <c r="DS65" s="63">
        <f t="shared" si="46"/>
        <v>29681.218000000001</v>
      </c>
      <c r="DT65" s="63">
        <f t="shared" si="47"/>
        <v>1.0497583470418088</v>
      </c>
      <c r="DU65" s="63">
        <f t="shared" si="48"/>
        <v>1</v>
      </c>
      <c r="DV65" s="63" cm="1">
        <f t="array" ref="DV65">IF(OR(INDEX(FX_Vap,$KK65,DV$90)="Crude Oil",(INDEX(FX_Vap,$KL65,DV$90)="Crude Oil")),0.75,1)</f>
        <v>1</v>
      </c>
      <c r="DW65" s="63">
        <f t="shared" si="113"/>
        <v>1</v>
      </c>
      <c r="DX65" s="63">
        <f t="shared" si="49"/>
        <v>6.8977912342869603</v>
      </c>
      <c r="DY65" s="64">
        <f t="shared" si="50"/>
        <v>11.938954368148741</v>
      </c>
      <c r="DZ65" s="80" t="str" cm="1">
        <f t="array" ref="DZ65">IF(ISBLANK(INDEX(FX_Input,$KB65+1,DZ$85)),INDEX(FX_Input,$KB65,DZ$85),INDEX(FX_Input,$KB65,DZ$85)&amp;" &amp; "&amp;INDEX(FX_Input,$KB65+1,DZ$85))</f>
        <v>Jet kerosene</v>
      </c>
      <c r="EA65" s="63" cm="1">
        <f t="array" ref="EA65">INDEX(FX_Temps,$KC65+7,EA$89)</f>
        <v>28.70279999999995</v>
      </c>
      <c r="EB65" s="63" cm="1">
        <f t="array" ref="EB65">INDEX(FX_Temps,$KC65+13,EB$89)+459.6</f>
        <v>529.85733599999992</v>
      </c>
      <c r="EC65" s="63" cm="1">
        <f t="array" ref="EC65">INDEX(FX_Vap,$KG65,EC$91)-INDEX(FX_Vap,$KH65,EC$91)</f>
        <v>1.6992521014225423E-3</v>
      </c>
      <c r="ED65" s="73" cm="1">
        <f t="array" ref="ED65">IF(DZ65="Out of Service",0,INDEX(FX_Vap,$KI65,ED$91))</f>
        <v>1.1455846008049875E-2</v>
      </c>
      <c r="EE65" s="63">
        <f t="shared" si="51"/>
        <v>5.0201677517994168E-2</v>
      </c>
      <c r="EF65" s="63">
        <f t="shared" si="52"/>
        <v>0.9872252128902832</v>
      </c>
      <c r="EG65" s="63" cm="1">
        <f t="array" ref="EG65">INDEX(FX_Vap,$KJ65,EG$91)</f>
        <v>130</v>
      </c>
      <c r="EH65" s="63" cm="1">
        <f t="array" ref="EH65">INDEX(FX_Temps,$KD65,EH$89)+459.6</f>
        <v>529.85733599999992</v>
      </c>
      <c r="EI65" s="63">
        <f t="shared" si="53"/>
        <v>2.6192163491240041E-4</v>
      </c>
      <c r="EJ65" s="63" cm="1">
        <f t="array" ref="EJ65">INDEX(Month_Ref,EJ$83,3)*EE65*(PI()/4*$F65^2)*$H65*EF65*EI65</f>
        <v>6.0622566954216213</v>
      </c>
      <c r="EK65" s="63" cm="1">
        <f t="array" ref="EK65">INDEX(FX_Input,$KB65,EK$85)</f>
        <v>5287</v>
      </c>
      <c r="EL65" s="63">
        <f t="shared" si="54"/>
        <v>29681.218000000001</v>
      </c>
      <c r="EM65" s="63">
        <f t="shared" si="55"/>
        <v>1.0497583470418088</v>
      </c>
      <c r="EN65" s="63">
        <f t="shared" si="56"/>
        <v>1</v>
      </c>
      <c r="EO65" s="63" cm="1">
        <f t="array" ref="EO65">IF(OR(INDEX(FX_Vap,$KK65,EO$90)="Crude Oil",(INDEX(FX_Vap,$KL65,EO$90)="Crude Oil")),0.75,1)</f>
        <v>1</v>
      </c>
      <c r="EP65" s="63">
        <f t="shared" si="114"/>
        <v>1</v>
      </c>
      <c r="EQ65" s="63">
        <f t="shared" si="57"/>
        <v>7.7741531447513674</v>
      </c>
      <c r="ER65" s="64">
        <f t="shared" si="58"/>
        <v>13.836409840172989</v>
      </c>
      <c r="ES65" s="80" t="str" cm="1">
        <f t="array" ref="ES65">IF(ISBLANK(INDEX(FX_Input,$KB65+1,ES$85)),INDEX(FX_Input,$KB65,ES$85),INDEX(FX_Input,$KB65,ES$85)&amp;" &amp; "&amp;INDEX(FX_Input,$KB65+1,ES$85))</f>
        <v>Jet kerosene</v>
      </c>
      <c r="ET65" s="63" cm="1">
        <f t="array" ref="ET65">INDEX(FX_Temps,$KC65+7,ET$89)</f>
        <v>26.827200000000012</v>
      </c>
      <c r="EU65" s="63" cm="1">
        <f t="array" ref="EU65">INDEX(FX_Temps,$KC65+13,EU$89)+459.6</f>
        <v>529.06706399999996</v>
      </c>
      <c r="EV65" s="63" cm="1">
        <f t="array" ref="EV65">INDEX(FX_Vap,$KG65,EV$91)-INDEX(FX_Vap,$KH65,EV$91)</f>
        <v>1.7992087732702586E-3</v>
      </c>
      <c r="EW65" s="73" cm="1">
        <f t="array" ref="EW65">IF(ES65="Out of Service",0,INDEX(FX_Vap,$KI65,EW$91))</f>
        <v>1.1170957772624744E-2</v>
      </c>
      <c r="EX65" s="63">
        <f t="shared" si="59"/>
        <v>4.6744366618355258E-2</v>
      </c>
      <c r="EY65" s="63">
        <f t="shared" si="60"/>
        <v>0.98753894231273287</v>
      </c>
      <c r="EZ65" s="63" cm="1">
        <f t="array" ref="EZ65">INDEX(FX_Vap,$KJ65,EZ$91)</f>
        <v>130</v>
      </c>
      <c r="FA65" s="63" cm="1">
        <f t="array" ref="FA65">INDEX(FX_Temps,$KD65,FA$89)+459.6</f>
        <v>529.06706399999996</v>
      </c>
      <c r="FB65" s="63">
        <f t="shared" si="61"/>
        <v>2.5578957558738659E-4</v>
      </c>
      <c r="FC65" s="63" cm="1">
        <f t="array" ref="FC65">INDEX(Month_Ref,FC$83,3)*EX65*(PI()/4*$F65^2)*$H65*EY65*FB65</f>
        <v>5.5143564075319356</v>
      </c>
      <c r="FD65" s="63" cm="1">
        <f t="array" ref="FD65">INDEX(FX_Input,$KB65,FD$85)</f>
        <v>5287</v>
      </c>
      <c r="FE65" s="63">
        <f t="shared" si="62"/>
        <v>29681.218000000001</v>
      </c>
      <c r="FF65" s="63">
        <f t="shared" si="63"/>
        <v>1.0497583470418088</v>
      </c>
      <c r="FG65" s="63">
        <f t="shared" si="64"/>
        <v>1</v>
      </c>
      <c r="FH65" s="63" cm="1">
        <f t="array" ref="FH65">IF(OR(INDEX(FX_Vap,$KK65,FH$90)="Crude Oil",(INDEX(FX_Vap,$KL65,FH$90)="Crude Oil")),0.75,1)</f>
        <v>1</v>
      </c>
      <c r="FI65" s="63">
        <f t="shared" si="115"/>
        <v>1</v>
      </c>
      <c r="FJ65" s="63">
        <f t="shared" si="65"/>
        <v>7.5921461551366995</v>
      </c>
      <c r="FK65" s="64">
        <f t="shared" si="66"/>
        <v>13.106502562668634</v>
      </c>
      <c r="FL65" s="80" t="str" cm="1">
        <f t="array" ref="FL65">IF(ISBLANK(INDEX(FX_Input,$KB65+1,FL$85)),INDEX(FX_Input,$KB65,FL$85),INDEX(FX_Input,$KB65,FL$85)&amp;" &amp; "&amp;INDEX(FX_Input,$KB65+1,FL$85))</f>
        <v>Jet kerosene</v>
      </c>
      <c r="FM65" s="63" cm="1">
        <f t="array" ref="FM65">INDEX(FX_Temps,$KC65+7,FM$89)</f>
        <v>25.353599999999982</v>
      </c>
      <c r="FN65" s="63" cm="1">
        <f t="array" ref="FN65">INDEX(FX_Temps,$KC65+13,FN$89)+459.6</f>
        <v>525.06743199999994</v>
      </c>
      <c r="FO65" s="63" cm="1">
        <f t="array" ref="FO65">INDEX(FX_Vap,$KG65,FO$91)-INDEX(FX_Vap,$KH65,FO$91)</f>
        <v>1.9653530375067282E-3</v>
      </c>
      <c r="FP65" s="73" cm="1">
        <f t="array" ref="FP65">IF(FL65="Out of Service",0,INDEX(FX_Vap,$KI65,FP$91))</f>
        <v>9.8227622663598323E-3</v>
      </c>
      <c r="FQ65" s="63">
        <f t="shared" si="67"/>
        <v>4.4335794433841239E-2</v>
      </c>
      <c r="FR65" s="63">
        <f t="shared" si="68"/>
        <v>0.98902633357821901</v>
      </c>
      <c r="FS65" s="63" cm="1">
        <f t="array" ref="FS65">INDEX(FX_Vap,$KJ65,FS$91)</f>
        <v>130</v>
      </c>
      <c r="FT65" s="63" cm="1">
        <f t="array" ref="FT65">INDEX(FX_Temps,$KD65,FT$89)+459.6</f>
        <v>525.06743199999994</v>
      </c>
      <c r="FU65" s="63">
        <f t="shared" si="69"/>
        <v>2.2663224935892229E-4</v>
      </c>
      <c r="FV65" s="63" cm="1">
        <f t="array" ref="FV65">INDEX(Month_Ref,FV$83,3)*FQ65*(PI()/4*$F65^2)*$H65*FR65*FU65</f>
        <v>4.4913003723044165</v>
      </c>
      <c r="FW65" s="63" cm="1">
        <f t="array" ref="FW65">INDEX(FX_Input,$KB65,FW$85)</f>
        <v>5287</v>
      </c>
      <c r="FX65" s="63">
        <f t="shared" si="70"/>
        <v>29681.218000000001</v>
      </c>
      <c r="FY65" s="63">
        <f t="shared" si="71"/>
        <v>1.0497583470418088</v>
      </c>
      <c r="FZ65" s="63">
        <f t="shared" si="72"/>
        <v>1</v>
      </c>
      <c r="GA65" s="63" cm="1">
        <f t="array" ref="GA65">IF(OR(INDEX(FX_Vap,$KK65,GA$90)="Crude Oil",(INDEX(FX_Vap,$KL65,GA$90)="Crude Oil")),0.75,1)</f>
        <v>1</v>
      </c>
      <c r="GB65" s="63">
        <f t="shared" si="116"/>
        <v>1</v>
      </c>
      <c r="GC65" s="63">
        <f t="shared" si="73"/>
        <v>6.7267211990525331</v>
      </c>
      <c r="GD65" s="64">
        <f t="shared" si="74"/>
        <v>11.21802157135695</v>
      </c>
      <c r="GE65" s="80" t="str" cm="1">
        <f t="array" ref="GE65">IF(ISBLANK(INDEX(FX_Input,$KB65+1,GE$85)),INDEX(FX_Input,$KB65,GE$85),INDEX(FX_Input,$KB65,GE$85)&amp;" &amp; "&amp;INDEX(FX_Input,$KB65+1,GE$85))</f>
        <v>Jet kerosene</v>
      </c>
      <c r="GF65" s="63" cm="1">
        <f t="array" ref="GF65">INDEX(FX_Temps,$KC65+7,GF$89)</f>
        <v>18.734799999999993</v>
      </c>
      <c r="GG65" s="63" cm="1">
        <f t="array" ref="GG65">INDEX(FX_Temps,$KC65+13,GG$89)+459.6</f>
        <v>516.43017599999996</v>
      </c>
      <c r="GH65" s="63" cm="1">
        <f t="array" ref="GH65">INDEX(FX_Vap,$KG65,GH$91)-INDEX(FX_Vap,$KH65,GH$91)</f>
        <v>1.4015323004334451E-3</v>
      </c>
      <c r="GI65" s="73" cm="1">
        <f t="array" ref="GI65">IF(GE65="Out of Service",0,INDEX(FX_Vap,$KI65,GI$91))</f>
        <v>7.3902409367879104E-3</v>
      </c>
      <c r="GJ65" s="63">
        <f t="shared" si="75"/>
        <v>3.2289212922073263E-2</v>
      </c>
      <c r="GK65" s="63">
        <f t="shared" si="76"/>
        <v>0.99172136882440376</v>
      </c>
      <c r="GL65" s="63" cm="1">
        <f t="array" ref="GL65">INDEX(FX_Vap,$KJ65,GL$91)</f>
        <v>130</v>
      </c>
      <c r="GM65" s="63" cm="1">
        <f t="array" ref="GM65">INDEX(FX_Temps,$KD65,GM$89)+459.6</f>
        <v>516.43017599999996</v>
      </c>
      <c r="GN65" s="63">
        <f t="shared" si="77"/>
        <v>1.7336049723016869E-4</v>
      </c>
      <c r="GO65" s="63" cm="1">
        <f t="array" ref="GO65">INDEX(Month_Ref,GO$83,3)*GJ65*(PI()/4*$F65^2)*$H65*GK65*GN65</f>
        <v>2.592541726026564</v>
      </c>
      <c r="GP65" s="63" cm="1">
        <f t="array" ref="GP65">INDEX(FX_Input,$KB65,GP$85)</f>
        <v>5287</v>
      </c>
      <c r="GQ65" s="63">
        <f t="shared" si="78"/>
        <v>29681.218000000001</v>
      </c>
      <c r="GR65" s="63">
        <f t="shared" si="79"/>
        <v>1.0497583470418088</v>
      </c>
      <c r="GS65" s="63">
        <f t="shared" si="80"/>
        <v>1</v>
      </c>
      <c r="GT65" s="63" cm="1">
        <f t="array" ref="GT65">IF(OR(INDEX(FX_Vap,$KK65,GT$90)="Crude Oil",(INDEX(FX_Vap,$KL65,GT$90)="Crude Oil")),0.75,1)</f>
        <v>1</v>
      </c>
      <c r="GU65" s="63">
        <f t="shared" si="117"/>
        <v>1</v>
      </c>
      <c r="GV65" s="63">
        <f t="shared" si="81"/>
        <v>5.1455507108770338</v>
      </c>
      <c r="GW65" s="64">
        <f t="shared" si="82"/>
        <v>7.7380924369035977</v>
      </c>
      <c r="GX65" s="80" t="str" cm="1">
        <f t="array" ref="GX65">IF(ISBLANK(INDEX(FX_Input,$KB65+1,GX$85)),INDEX(FX_Input,$KB65,GX$85),INDEX(FX_Input,$KB65,GX$85)&amp;" &amp; "&amp;INDEX(FX_Input,$KB65+1,GX$85))</f>
        <v>Jet kerosene</v>
      </c>
      <c r="GY65" s="63" cm="1">
        <f t="array" ref="GY65">INDEX(FX_Temps,$KC65+7,GY$89)</f>
        <v>13.07560000000003</v>
      </c>
      <c r="GZ65" s="63" cm="1">
        <f t="array" ref="GZ65">INDEX(FX_Temps,$KC65+13,GZ$89)+459.6</f>
        <v>508.94512199999997</v>
      </c>
      <c r="HA65" s="63" cm="1">
        <f t="array" ref="HA65">INDEX(FX_Vap,$KG65,HA$91)-INDEX(FX_Vap,$KH65,HA$91)</f>
        <v>9.4462005903835859E-4</v>
      </c>
      <c r="HB65" s="73" cm="1">
        <f t="array" ref="HB65">IF(GX65="Out of Service",0,INDEX(FX_Vap,$KI65,HB$91))</f>
        <v>5.7302815955729341E-3</v>
      </c>
      <c r="HC65" s="63">
        <f t="shared" si="83"/>
        <v>2.1672632088548499E-2</v>
      </c>
      <c r="HD65" s="63">
        <f t="shared" si="84"/>
        <v>0.99356891534888103</v>
      </c>
      <c r="HE65" s="63" cm="1">
        <f t="array" ref="HE65">INDEX(FX_Vap,$KJ65,HE$91)</f>
        <v>130</v>
      </c>
      <c r="HF65" s="63" cm="1">
        <f t="array" ref="HF65">INDEX(FX_Temps,$KD65,HF$89)+459.6</f>
        <v>508.94512199999997</v>
      </c>
      <c r="HG65" s="63">
        <f t="shared" si="85"/>
        <v>1.3639805130362953E-4</v>
      </c>
      <c r="HH65" s="63" cm="1">
        <f t="array" ref="HH65">INDEX(Month_Ref,HH$83,3)*HC65*(PI()/4*$F65^2)*$H65*HD65*HG65</f>
        <v>1.3274123741996167</v>
      </c>
      <c r="HI65" s="63" cm="1">
        <f t="array" ref="HI65">INDEX(FX_Input,$KB65,HI$85)</f>
        <v>5287</v>
      </c>
      <c r="HJ65" s="63">
        <f t="shared" si="86"/>
        <v>29681.218000000001</v>
      </c>
      <c r="HK65" s="63">
        <f t="shared" si="87"/>
        <v>1.0497583470418088</v>
      </c>
      <c r="HL65" s="63">
        <f t="shared" si="88"/>
        <v>1</v>
      </c>
      <c r="HM65" s="63" cm="1">
        <f t="array" ref="HM65">IF(OR(INDEX(FX_Vap,$KK65,HM$90)="Crude Oil",(INDEX(FX_Vap,$KL65,HM$90)="Crude Oil")),0.75,1)</f>
        <v>1</v>
      </c>
      <c r="HN65" s="63">
        <f t="shared" si="118"/>
        <v>1</v>
      </c>
      <c r="HO65" s="63">
        <f t="shared" si="89"/>
        <v>4.0484602955182121</v>
      </c>
      <c r="HP65" s="64">
        <f t="shared" si="90"/>
        <v>5.375872669717829</v>
      </c>
      <c r="HQ65" s="80" t="str" cm="1">
        <f t="array" ref="HQ65">IF(ISBLANK(INDEX(FX_Input,$KB65+1,HQ$85)),INDEX(FX_Input,$KB65,HQ$85),INDEX(FX_Input,$KB65,HQ$85)&amp;" &amp; "&amp;INDEX(FX_Input,$KB65+1,HQ$85))</f>
        <v>Jet kerosene</v>
      </c>
      <c r="HR65" s="63" cm="1">
        <f t="array" ref="HR65">INDEX(FX_Temps,$KC65+7,HR$89)</f>
        <v>10.5032</v>
      </c>
      <c r="HS65" s="63" cm="1">
        <f t="array" ref="HS65">INDEX(FX_Temps,$KC65+13,HS$89)+459.6</f>
        <v>504.93408400000004</v>
      </c>
      <c r="HT65" s="63" cm="1">
        <f t="array" ref="HT65">INDEX(FX_Vap,$KG65,HT$91)-INDEX(FX_Vap,$KH65,HT$91)</f>
        <v>6.8725410655236848E-4</v>
      </c>
      <c r="HU65" s="73" cm="1">
        <f t="array" ref="HU65">IF(HQ65="Out of Service",0,INDEX(FX_Vap,$KI65,HU$91))</f>
        <v>4.9845202750316486E-3</v>
      </c>
      <c r="HV65" s="63">
        <f t="shared" si="91"/>
        <v>1.6764881648650403E-2</v>
      </c>
      <c r="HW65" s="63">
        <f t="shared" si="92"/>
        <v>0.99440119591566378</v>
      </c>
      <c r="HX65" s="63" cm="1">
        <f t="array" ref="HX65">INDEX(FX_Vap,$KJ65,HX$91)</f>
        <v>130</v>
      </c>
      <c r="HY65" s="63" cm="1">
        <f t="array" ref="HY65">INDEX(FX_Temps,$KD65,HY$89)+459.6</f>
        <v>504.93408400000004</v>
      </c>
      <c r="HZ65" s="63">
        <f t="shared" si="93"/>
        <v>1.1958916593165838E-4</v>
      </c>
      <c r="IA65" s="63" cm="1">
        <f t="array" ref="IA65">INDEX(Month_Ref,IA$83,3)*HV65*(PI()/4*$F65^2)*$H65*HW65*HZ65</f>
        <v>0.93107024494842361</v>
      </c>
      <c r="IB65" s="63" cm="1">
        <f t="array" ref="IB65">INDEX(FX_Input,$KB65,IB$85)</f>
        <v>5287</v>
      </c>
      <c r="IC65" s="63">
        <f t="shared" si="94"/>
        <v>29681.218000000001</v>
      </c>
      <c r="ID65" s="63">
        <f t="shared" si="95"/>
        <v>1.0497583470418088</v>
      </c>
      <c r="IE65" s="63">
        <f t="shared" si="96"/>
        <v>1</v>
      </c>
      <c r="IF65" s="63" cm="1">
        <f t="array" ref="IF65">IF(OR(INDEX(FX_Vap,$KK65,IF$90)="Crude Oil",(INDEX(FX_Vap,$KL65,IF$90)="Crude Oil")),0.75,1)</f>
        <v>1</v>
      </c>
      <c r="IG65" s="63">
        <f t="shared" si="119"/>
        <v>1</v>
      </c>
      <c r="IH65" s="63">
        <f t="shared" si="97"/>
        <v>3.5495521044557257</v>
      </c>
      <c r="II65" s="64">
        <f t="shared" si="98"/>
        <v>4.4806223494041495</v>
      </c>
      <c r="IJ65" s="80">
        <f t="shared" si="99"/>
        <v>38.51424524184992</v>
      </c>
      <c r="IK65" s="63">
        <f t="shared" si="100"/>
        <v>1.9257122620924959E-2</v>
      </c>
      <c r="IL65" s="63">
        <f t="shared" si="101"/>
        <v>64.552327242756419</v>
      </c>
      <c r="IM65" s="63">
        <f t="shared" si="102"/>
        <v>3.2276163621378209E-2</v>
      </c>
      <c r="IN65" s="63">
        <f t="shared" si="103"/>
        <v>103.06657248460635</v>
      </c>
      <c r="IO65" s="64">
        <f t="shared" si="104"/>
        <v>5.1533286242303175E-2</v>
      </c>
      <c r="KB65" s="43">
        <f t="shared" si="120"/>
        <v>109</v>
      </c>
      <c r="KC65" s="43">
        <f t="shared" si="121"/>
        <v>757</v>
      </c>
      <c r="KD65" s="43">
        <f t="shared" si="122"/>
        <v>770</v>
      </c>
      <c r="KE65" s="43">
        <f t="shared" si="123"/>
        <v>757</v>
      </c>
      <c r="KF65" s="43">
        <f t="shared" si="124"/>
        <v>1837</v>
      </c>
      <c r="KG65" s="43">
        <f t="shared" si="125"/>
        <v>1860</v>
      </c>
      <c r="KH65" s="43">
        <f t="shared" si="126"/>
        <v>1855</v>
      </c>
      <c r="KI65" s="43">
        <f t="shared" si="126"/>
        <v>1865</v>
      </c>
      <c r="KJ65" s="43">
        <f t="shared" si="126"/>
        <v>1870</v>
      </c>
      <c r="KK65" s="43">
        <f t="shared" si="127"/>
        <v>1841</v>
      </c>
      <c r="KL65" s="43">
        <f t="shared" si="128"/>
        <v>1843</v>
      </c>
    </row>
    <row r="66" spans="2:298" x14ac:dyDescent="0.4">
      <c r="B66" s="43" t="str" cm="1">
        <f t="array" ref="B66">INDEX(FX_Input,$KB66,B$85)</f>
        <v>FX - 56</v>
      </c>
      <c r="C66" s="93" t="str" cm="1">
        <f t="array" ref="C66">INDEX(FX_Input,$KB66,C$85)</f>
        <v>FIXTANK 202</v>
      </c>
      <c r="D66" s="80">
        <f t="shared" ref="D66:D75" si="131">PI()/4*F66*F66*H66</f>
        <v>793.57939426617168</v>
      </c>
      <c r="E66" s="63" cm="1">
        <f t="array" ref="E66">IF(ISBLANK(INDEX(FX_Input,$KB66,$E$85)),0.03,INDEX(FX_Input,$KB66,$E$85))-IF(ISBLANK(INDEX(FX_Input,$KB66,$E$86)),-0.03,INDEX(FX_Input,$KB66,$E$86))</f>
        <v>0.06</v>
      </c>
      <c r="F66" s="63" cm="1">
        <f t="array" ref="F66">IF(INDEX(FX_Input,$KB66,F$85)="Vertical",INDEX(FX_Input,$KB66,F$86),SQRT((INDEX(FX_Input,$KB66,F$86)*INDEX(FX_Input,$KB66,F$87))/(PI()/4)))</f>
        <v>10</v>
      </c>
      <c r="G66" s="63" cm="1">
        <f t="array" ref="G66">IF(INDEX(FX_Input,$KB66,G$85)="Vertical",INDEX(FX_Input,$KB66,G$86),INDEX(FX_Input,$KB66,G$87)*PI()/4)</f>
        <v>20</v>
      </c>
      <c r="H66" s="63" cm="1">
        <f t="array" ref="H66">IF(INDEX(FX_Input,$KB66,H$85)="Vertical",G66-G66/2+J66,G66/2)</f>
        <v>10.104166666666666</v>
      </c>
      <c r="I66" s="63" cm="1">
        <f t="array" ref="I66">IF(INDEX(FX_Input,$KB66,F$85)="Horizontal","N/A",IF(INDEX(FX_Input,$KB66,I$86)="Cone",IF(ISBLANK(INDEX(FX_Input,$KB66,I$87)),0.0625,INDEX(FX_Input,$KB66,I$87))*F66/2,F66/2-SQRT((F66/2)^2-(INDEX(FX_Input,$KB66,I$88)^2))))</f>
        <v>0.3125</v>
      </c>
      <c r="J66" s="63" cm="1">
        <f t="array" ref="J66">IF(INDEX(FX_Input,$KB66,J$85)="Horizontal","N/A",IF(INDEX(FX_Input,$KB66,J$86)="Cone",I66/3,I66*(1/2+(1/6)*(I66/(F66/2))^2)))</f>
        <v>0.10416666666666667</v>
      </c>
      <c r="K66" s="63">
        <f t="shared" ref="K66:K75" si="132">G66-1</f>
        <v>19</v>
      </c>
      <c r="L66" s="63">
        <v>2</v>
      </c>
      <c r="M66" s="63" t="str" cm="1">
        <f t="array" ref="M66">INDEX(Tbl_71_6,MATCH(INDEX(FX_Input,$KB66,M$85),Paint_Color,0),VLOOKUP(INDEX(FX_Input,$KB66,M$86),Paint_Cond_Column,2,FALSE))</f>
        <v>N/A</v>
      </c>
      <c r="N66" s="63" cm="1">
        <f t="array" ref="N66">INDEX(Tbl_71_6,MATCH(INDEX(FX_Input,$KB66,N$85),Paint_Color,0),VLOOKUP(INDEX(FX_Input,$KB66,N$86),Paint_Cond_Column,2,FALSE))</f>
        <v>0.25</v>
      </c>
      <c r="O66" s="64" t="str">
        <f t="shared" ref="O66:O75" si="133">IF(OR(ISNUMBER(N66),ISNUMBER(M66)),IFERROR((M66+N66)/2,"Partially Insulated"), "Insulated")</f>
        <v>Partially Insulated</v>
      </c>
      <c r="P66" s="80" t="str" cm="1">
        <f t="array" ref="P66">IF(ISBLANK(INDEX(FX_Input,$KB66+1,P$85)),INDEX(FX_Input,$KB66,P$85),INDEX(FX_Input,$KB66,P$85)&amp;" &amp; "&amp;INDEX(FX_Input,$KB66+1,P$85))</f>
        <v>Jet kerosene</v>
      </c>
      <c r="Q66" s="63" cm="1">
        <f t="array" ref="Q66">INDEX(FX_Temps,$KC66+7,Q$89)</f>
        <v>7.9550000000000205</v>
      </c>
      <c r="R66" s="63" cm="1">
        <f t="array" ref="R66">INDEX(FX_Temps,$KC66+13,R$89)+459.6</f>
        <v>504.35750000000002</v>
      </c>
      <c r="S66" s="63" cm="1">
        <f t="array" ref="S66">INDEX(FX_Vap,$KG66,S$91)-INDEX(FX_Vap,$KH66,S$91)</f>
        <v>0</v>
      </c>
      <c r="T66" s="73" cm="1">
        <f t="array" ref="T66">IF(P66="Out of Service",0,INDEX(FX_Vap,$KI66,T$91))</f>
        <v>4.8847213797703236E-3</v>
      </c>
      <c r="U66" s="63">
        <f t="shared" ref="U66:U75" si="134">IF(Q66/R66+(S66-$E66)/(14.7-T66)&lt;0,0,Q66/R66+(S66-$E66)/(14.7-T66))</f>
        <v>1.1689552888082502E-2</v>
      </c>
      <c r="V66" s="63">
        <f t="shared" ref="V66:V75" si="135">1/(1+0.053*T66*$H66)</f>
        <v>0.99739095485918339</v>
      </c>
      <c r="W66" s="63" cm="1">
        <f t="array" ref="W66">INDEX(FX_Vap,$KJ66,W$91)</f>
        <v>130</v>
      </c>
      <c r="X66" s="63" cm="1">
        <f t="array" ref="X66">INDEX(FX_Temps,$KD66,X$89)+459.6</f>
        <v>504.35750000000002</v>
      </c>
      <c r="Y66" s="63">
        <f t="shared" ref="Y66:Y75" si="136">(W66*T66)/(10.731*X66)</f>
        <v>1.1732875736907137E-4</v>
      </c>
      <c r="Z66" s="63" cm="1">
        <f t="array" ref="Z66">INDEX(Month_Ref,Z$83,3)*U66*(PI()/4*$F66^2)*$H66*V66*Y66</f>
        <v>3.3652696832161856E-2</v>
      </c>
      <c r="AA66" s="63" cm="1">
        <f t="array" ref="AA66">INDEX(FX_Input,$KB66,AA$85)</f>
        <v>280</v>
      </c>
      <c r="AB66" s="63">
        <f t="shared" ref="AB66:AB75" si="137">5.614*AA66</f>
        <v>1571.92</v>
      </c>
      <c r="AC66" s="63">
        <f t="shared" ref="AC66:AC75" si="138">(AB66/(PI()/4*F66^2))/((G66-1)-1)</f>
        <v>1.111905947311165</v>
      </c>
      <c r="AD66" s="63">
        <f t="shared" ref="AD66:AD75" si="139">IF(AC66&gt;36,(180+AC66)/(6*AC66),1)</f>
        <v>1</v>
      </c>
      <c r="AE66" s="63" cm="1">
        <f t="array" ref="AE66">IF(OR(INDEX(FX_Vap,$KK66,AE$90)="Crude Oil",(INDEX(FX_Vap,$KL66,AE$90)="Crude Oil")),0.75,1)</f>
        <v>1</v>
      </c>
      <c r="AF66" s="63">
        <f t="shared" si="108"/>
        <v>1</v>
      </c>
      <c r="AG66" s="63">
        <f t="shared" ref="AG66:AG75" si="140">AB66*AD66*AE66*Y66*AF66</f>
        <v>0.18443142028359069</v>
      </c>
      <c r="AH66" s="64">
        <f t="shared" ref="AH66:AH75" si="141">AG66+Z66</f>
        <v>0.21808411711575254</v>
      </c>
      <c r="AI66" s="80" t="str" cm="1">
        <f t="array" ref="AI66">IF(ISBLANK(INDEX(FX_Input,$KB66+1,AI$85)),INDEX(FX_Input,$KB66,AI$85),INDEX(FX_Input,$KB66,AI$85)&amp;" &amp; "&amp;INDEX(FX_Input,$KB66+1,AI$85))</f>
        <v>Jet kerosene</v>
      </c>
      <c r="AJ66" s="63" cm="1">
        <f t="array" ref="AJ66">INDEX(FX_Temps,$KC66+7,AJ$89)</f>
        <v>10.919999999999993</v>
      </c>
      <c r="AK66" s="63" cm="1">
        <f t="array" ref="AK66">INDEX(FX_Temps,$KC66+13,AK$89)+459.6</f>
        <v>505.80000000000007</v>
      </c>
      <c r="AL66" s="63" cm="1">
        <f t="array" ref="AL66">INDEX(FX_Vap,$KG66,AL$91)-INDEX(FX_Vap,$KH66,AL$91)</f>
        <v>0</v>
      </c>
      <c r="AM66" s="73" cm="1">
        <f t="array" ref="AM66">IF(AI66="Out of Service",0,INDEX(FX_Vap,$KI66,AM$91))</f>
        <v>5.1377970454196883E-3</v>
      </c>
      <c r="AN66" s="63">
        <f t="shared" ref="AN66:AN75" si="142">IF(AJ66/AK66+(AL66-$E66)/(14.7-AM66)&lt;0,0,AJ66/AK66+(AL66-$E66)/(14.7-AM66))</f>
        <v>1.7506501368062713E-2</v>
      </c>
      <c r="AO66" s="63">
        <f t="shared" ref="AO66:AO75" si="143">1/(1+0.053*AM66*$H66)</f>
        <v>0.99725615206070273</v>
      </c>
      <c r="AP66" s="63" cm="1">
        <f t="array" ref="AP66">INDEX(FX_Vap,$KJ66,AP$91)</f>
        <v>130</v>
      </c>
      <c r="AQ66" s="63" cm="1">
        <f t="array" ref="AQ66">INDEX(FX_Temps,$KD66,AQ$89)+459.6</f>
        <v>505.80000000000007</v>
      </c>
      <c r="AR66" s="63">
        <f t="shared" ref="AR66:AR75" si="144">(AP66*AM66)/(10.731*AQ66)</f>
        <v>1.2305557018495237E-4</v>
      </c>
      <c r="AS66" s="63" cm="1">
        <f t="array" ref="AS66">INDEX(Month_Ref,AS$83,3)*AN66*(PI()/4*$F66^2)*$H66*AO66*AR66</f>
        <v>4.7737071957337292E-2</v>
      </c>
      <c r="AT66" s="63" cm="1">
        <f t="array" ref="AT66">INDEX(FX_Input,$KB66,AT$85)</f>
        <v>280</v>
      </c>
      <c r="AU66" s="63">
        <f t="shared" ref="AU66:AU75" si="145">5.614*AT66</f>
        <v>1571.92</v>
      </c>
      <c r="AV66" s="63">
        <f t="shared" ref="AV66:AV75" si="146">(AU66/(PI()/4*$F66^2))/(($G66-1)-1)</f>
        <v>1.111905947311165</v>
      </c>
      <c r="AW66" s="63">
        <f t="shared" ref="AW66:AW75" si="147">IF(AV66&gt;36,(180+AV66)/(6*AV66),1)</f>
        <v>1</v>
      </c>
      <c r="AX66" s="63" cm="1">
        <f t="array" ref="AX66">IF(OR(INDEX(FX_Vap,$KK66,AX$90)="Crude Oil",(INDEX(FX_Vap,$KL66,AX$90)="Crude Oil")),0.75,1)</f>
        <v>1</v>
      </c>
      <c r="AY66" s="63">
        <f t="shared" si="109"/>
        <v>1</v>
      </c>
      <c r="AZ66" s="63">
        <f t="shared" ref="AZ66:AZ75" si="148">AU66*AW66*AX66*AR66*AY66</f>
        <v>0.19343351188513033</v>
      </c>
      <c r="BA66" s="64">
        <f t="shared" ref="BA66:BA75" si="149">AZ66+AS66</f>
        <v>0.24117058384246762</v>
      </c>
      <c r="BB66" s="80" t="str" cm="1">
        <f t="array" ref="BB66">IF(ISBLANK(INDEX(FX_Input,$KB66+1,BB$85)),INDEX(FX_Input,$KB66,BB$85),INDEX(FX_Input,$KB66,BB$85)&amp;" &amp; "&amp;INDEX(FX_Input,$KB66+1,BB$85))</f>
        <v>Jet kerosene</v>
      </c>
      <c r="BC66" s="63" cm="1">
        <f t="array" ref="BC66">INDEX(FX_Temps,$KC66+7,BC$89)</f>
        <v>12.305000000000026</v>
      </c>
      <c r="BD66" s="63" cm="1">
        <f t="array" ref="BD66">INDEX(FX_Temps,$KC66+13,BD$89)+459.6</f>
        <v>507.89250000000004</v>
      </c>
      <c r="BE66" s="63" cm="1">
        <f t="array" ref="BE66">INDEX(FX_Vap,$KG66,BE$91)-INDEX(FX_Vap,$KH66,BE$91)</f>
        <v>0</v>
      </c>
      <c r="BF66" s="73" cm="1">
        <f t="array" ref="BF66">IF(BB66="Out of Service",0,INDEX(FX_Vap,$KI66,BF$91))</f>
        <v>5.5255769197630547E-3</v>
      </c>
      <c r="BG66" s="63">
        <f t="shared" ref="BG66:BG75" si="150">IF(BC66/BD66+(BE66-$E66)/(14.7-BF66)&lt;0,0,BC66/BD66+(BE66-$E66)/(14.7-BF66))</f>
        <v>2.0144400368426241E-2</v>
      </c>
      <c r="BH66" s="63">
        <f t="shared" ref="BH66:BH75" si="151">1/(1+0.053*BF66*$H66)</f>
        <v>0.99704966865534261</v>
      </c>
      <c r="BI66" s="63" cm="1">
        <f t="array" ref="BI66">INDEX(FX_Vap,$KJ66,BI$91)</f>
        <v>130</v>
      </c>
      <c r="BJ66" s="63" cm="1">
        <f t="array" ref="BJ66">INDEX(FX_Temps,$KD66,BJ$89)+459.6</f>
        <v>507.89250000000004</v>
      </c>
      <c r="BK66" s="63">
        <f t="shared" ref="BK66:BK75" si="152">(BI66*BF66)/(10.731*BJ66)</f>
        <v>1.3179805059113694E-4</v>
      </c>
      <c r="BL66" s="63" cm="1">
        <f t="array" ref="BL66">INDEX(Month_Ref,BL$83,3)*BG66*(PI()/4*$F66^2)*$H66*BH66*BK66</f>
        <v>6.5122670440083727E-2</v>
      </c>
      <c r="BM66" s="63" cm="1">
        <f t="array" ref="BM66">INDEX(FX_Input,$KB66,BM$85)</f>
        <v>280</v>
      </c>
      <c r="BN66" s="63">
        <f t="shared" ref="BN66:BN75" si="153">5.614*BM66</f>
        <v>1571.92</v>
      </c>
      <c r="BO66" s="63">
        <f t="shared" ref="BO66:BO75" si="154">(BN66/(PI()/4*$F66^2))/(($G66-1)-1)</f>
        <v>1.111905947311165</v>
      </c>
      <c r="BP66" s="63">
        <f t="shared" ref="BP66:BP75" si="155">IF(BO66&gt;36,(180+BO66)/(6*BO66),1)</f>
        <v>1</v>
      </c>
      <c r="BQ66" s="63" cm="1">
        <f t="array" ref="BQ66">IF(OR(INDEX(FX_Vap,$KK66,BQ$90)="Crude Oil",(INDEX(FX_Vap,$KL66,BQ$90)="Crude Oil")),0.75,1)</f>
        <v>1</v>
      </c>
      <c r="BR66" s="63">
        <f t="shared" si="110"/>
        <v>1</v>
      </c>
      <c r="BS66" s="63">
        <f t="shared" ref="BS66:BS75" si="156">BN66*BP66*BQ66*BK66*BR66</f>
        <v>0.20717599168522</v>
      </c>
      <c r="BT66" s="64">
        <f t="shared" ref="BT66:BT75" si="157">BS66+BL66</f>
        <v>0.27229866212530374</v>
      </c>
      <c r="BU66" s="80" t="str" cm="1">
        <f t="array" ref="BU66">IF(ISBLANK(INDEX(FX_Input,$KB66+1,BU$85)),INDEX(FX_Input,$KB66,BU$85),INDEX(FX_Input,$KB66,BU$85)&amp;" &amp; "&amp;INDEX(FX_Input,$KB66+1,BU$85))</f>
        <v>Jet kerosene</v>
      </c>
      <c r="BV66" s="63" cm="1">
        <f t="array" ref="BV66">INDEX(FX_Temps,$KC66+7,BV$89)</f>
        <v>14.299999999999986</v>
      </c>
      <c r="BW66" s="63" cm="1">
        <f t="array" ref="BW66">INDEX(FX_Temps,$KC66+13,BW$89)+459.6</f>
        <v>511.32999999999993</v>
      </c>
      <c r="BX66" s="63" cm="1">
        <f t="array" ref="BX66">INDEX(FX_Vap,$KG66,BX$91)-INDEX(FX_Vap,$KH66,BX$91)</f>
        <v>0</v>
      </c>
      <c r="BY66" s="73" cm="1">
        <f t="array" ref="BY66">IF(BU66="Out of Service",0,INDEX(FX_Vap,$KI66,BY$91))</f>
        <v>6.219119610903932E-3</v>
      </c>
      <c r="BZ66" s="63">
        <f t="shared" ref="BZ66:BZ75" si="158">IF(BV66/BW66+(BX66-$E66)/(14.7-BY66)&lt;0,0,BV66/BW66+(BX66-$E66)/(14.7-BY66))</f>
        <v>2.3882923806806993E-2</v>
      </c>
      <c r="CA66" s="63">
        <f t="shared" ref="CA66:CA75" si="159">1/(1+0.053*BY66*$H66)</f>
        <v>0.9966805870822576</v>
      </c>
      <c r="CB66" s="63" cm="1">
        <f t="array" ref="CB66">INDEX(FX_Vap,$KJ66,CB$91)</f>
        <v>130</v>
      </c>
      <c r="CC66" s="63" cm="1">
        <f t="array" ref="CC66">INDEX(FX_Temps,$KD66,CC$89)+459.6</f>
        <v>511.32999999999993</v>
      </c>
      <c r="CD66" s="63">
        <f t="shared" ref="CD66:CD75" si="160">(CB66*BY66)/(10.731*CC66)</f>
        <v>1.4734343600633653E-4</v>
      </c>
      <c r="CE66" s="63" cm="1">
        <f t="array" ref="CE66">INDEX(Month_Ref,CE$83,3)*BZ66*(PI()/4*$F66^2)*$H66*CA66*CD66</f>
        <v>8.3499893782675041E-2</v>
      </c>
      <c r="CF66" s="63" cm="1">
        <f t="array" ref="CF66">INDEX(FX_Input,$KB66,CF$85)</f>
        <v>280</v>
      </c>
      <c r="CG66" s="63">
        <f t="shared" ref="CG66:CG75" si="161">5.614*CF66</f>
        <v>1571.92</v>
      </c>
      <c r="CH66" s="63">
        <f t="shared" ref="CH66:CH75" si="162">(CG66/(PI()/4*$F66^2))/(($G66-1)-1)</f>
        <v>1.111905947311165</v>
      </c>
      <c r="CI66" s="63">
        <f t="shared" ref="CI66:CI75" si="163">IF(CH66&gt;36,(180+CH66)/(6*CH66),1)</f>
        <v>1</v>
      </c>
      <c r="CJ66" s="63" cm="1">
        <f t="array" ref="CJ66">IF(OR(INDEX(FX_Vap,$KK66,CJ$90)="Crude Oil",(INDEX(FX_Vap,$KL66,CJ$90)="Crude Oil")),0.75,1)</f>
        <v>1</v>
      </c>
      <c r="CK66" s="63">
        <f t="shared" si="111"/>
        <v>1</v>
      </c>
      <c r="CL66" s="63">
        <f t="shared" ref="CL66:CL75" si="164">CG66*CI66*CJ66*CD66*CK66</f>
        <v>0.23161209392708054</v>
      </c>
      <c r="CM66" s="64">
        <f t="shared" ref="CM66:CM75" si="165">CL66+CE66</f>
        <v>0.31511198770975557</v>
      </c>
      <c r="CN66" s="80" t="str" cm="1">
        <f t="array" ref="CN66">IF(ISBLANK(INDEX(FX_Input,$KB66+1,CN$85)),INDEX(FX_Input,$KB66,CN$85),INDEX(FX_Input,$KB66,CN$85)&amp;" &amp; "&amp;INDEX(FX_Input,$KB66+1,CN$85))</f>
        <v>Jet kerosene</v>
      </c>
      <c r="CO66" s="63" cm="1">
        <f t="array" ref="CO66">INDEX(FX_Temps,$KC66+7,CO$89)</f>
        <v>15.664999999999973</v>
      </c>
      <c r="CP66" s="63" cm="1">
        <f t="array" ref="CP66">INDEX(FX_Temps,$KC66+13,CP$89)+459.6</f>
        <v>516.59249999999997</v>
      </c>
      <c r="CQ66" s="63" cm="1">
        <f t="array" ref="CQ66">INDEX(FX_Vap,$KG66,CQ$91)-INDEX(FX_Vap,$KH66,CQ$91)</f>
        <v>0</v>
      </c>
      <c r="CR66" s="73" cm="1">
        <f t="array" ref="CR66">IF(CN66="Out of Service",0,INDEX(FX_Vap,$KI66,CR$91))</f>
        <v>7.430518180814979E-3</v>
      </c>
      <c r="CS66" s="63">
        <f t="shared" ref="CS66:CS75" si="166">IF(CO66/CP66+(CQ66-$E66)/(14.7-CR66)&lt;0,0,CO66/CP66+(CQ66-$E66)/(14.7-CR66))</f>
        <v>2.6240010888400458E-2</v>
      </c>
      <c r="CT66" s="63">
        <f t="shared" ref="CT66:CT75" si="167">1/(1+0.053*CR66*$H66)</f>
        <v>0.99603657396583889</v>
      </c>
      <c r="CU66" s="63" cm="1">
        <f t="array" ref="CU66">INDEX(FX_Vap,$KJ66,CU$91)</f>
        <v>130</v>
      </c>
      <c r="CV66" s="63" cm="1">
        <f t="array" ref="CV66">INDEX(FX_Temps,$KD66,CV$89)+459.6</f>
        <v>516.59249999999997</v>
      </c>
      <c r="CW66" s="63">
        <f t="shared" ref="CW66:CW75" si="168">(CU66*CR66)/(10.731*CV66)</f>
        <v>1.7425055172755734E-4</v>
      </c>
      <c r="CX66" s="63" cm="1">
        <f t="array" ref="CX66">INDEX(Month_Ref,CX$83,3)*CS66*(PI()/4*$F66^2)*$H66*CT66*CW66</f>
        <v>0.11203804834945248</v>
      </c>
      <c r="CY66" s="63" cm="1">
        <f t="array" ref="CY66">INDEX(FX_Input,$KB66,CY$85)</f>
        <v>280</v>
      </c>
      <c r="CZ66" s="63">
        <f t="shared" ref="CZ66:CZ75" si="169">5.614*CY66</f>
        <v>1571.92</v>
      </c>
      <c r="DA66" s="63">
        <f t="shared" ref="DA66:DA75" si="170">(CZ66/(PI()/4*$F66^2))/(($G66-1)-1)</f>
        <v>1.111905947311165</v>
      </c>
      <c r="DB66" s="63">
        <f t="shared" ref="DB66:DB75" si="171">IF(DA66&gt;36,(180+DA66)/(6*DA66),1)</f>
        <v>1</v>
      </c>
      <c r="DC66" s="63" cm="1">
        <f t="array" ref="DC66">IF(OR(INDEX(FX_Vap,$KK66,DC$90)="Crude Oil",(INDEX(FX_Vap,$KL66,DC$90)="Crude Oil")),0.75,1)</f>
        <v>1</v>
      </c>
      <c r="DD66" s="63">
        <f t="shared" si="112"/>
        <v>1</v>
      </c>
      <c r="DE66" s="63">
        <f t="shared" ref="DE66:DE75" si="172">CZ66*DB66*DC66*CW66*DD66</f>
        <v>0.27390792727158192</v>
      </c>
      <c r="DF66" s="64">
        <f t="shared" ref="DF66:DF75" si="173">DE66+CX66</f>
        <v>0.38594597562103439</v>
      </c>
      <c r="DG66" s="80" t="str" cm="1">
        <f t="array" ref="DG66">IF(ISBLANK(INDEX(FX_Input,$KB66+1,DG$85)),INDEX(FX_Input,$KB66,DG$85),INDEX(FX_Input,$KB66,DG$85)&amp;" &amp; "&amp;INDEX(FX_Input,$KB66+1,DG$85))</f>
        <v>Jet kerosene</v>
      </c>
      <c r="DH66" s="63" cm="1">
        <f t="array" ref="DH66">INDEX(FX_Temps,$KC66+7,DH$89)</f>
        <v>15.635000000000034</v>
      </c>
      <c r="DI66" s="63" cm="1">
        <f t="array" ref="DI66">INDEX(FX_Temps,$KC66+13,DI$89)+459.6</f>
        <v>520.61750000000006</v>
      </c>
      <c r="DJ66" s="63" cm="1">
        <f t="array" ref="DJ66">INDEX(FX_Vap,$KG66,DJ$91)-INDEX(FX_Vap,$KH66,DJ$91)</f>
        <v>0</v>
      </c>
      <c r="DK66" s="73" cm="1">
        <f t="array" ref="DK66">IF(DG66="Out of Service",0,INDEX(FX_Vap,$KI66,DK$91))</f>
        <v>8.4933610792594406E-3</v>
      </c>
      <c r="DL66" s="63">
        <f t="shared" ref="DL66:DL75" si="174">IF(DH66/DI66+(DJ66-$E66)/(14.7-DK66)&lt;0,0,DH66/DI66+(DJ66-$E66)/(14.7-DK66))</f>
        <v>2.5947652812969527E-2</v>
      </c>
      <c r="DM66" s="63">
        <f t="shared" ref="DM66:DM75" si="175">1/(1+0.053*DK66*$H66)</f>
        <v>0.99547222221384668</v>
      </c>
      <c r="DN66" s="63" cm="1">
        <f t="array" ref="DN66">INDEX(FX_Vap,$KJ66,DN$91)</f>
        <v>130</v>
      </c>
      <c r="DO66" s="63" cm="1">
        <f t="array" ref="DO66">INDEX(FX_Temps,$KD66,DO$89)+459.6</f>
        <v>520.61750000000006</v>
      </c>
      <c r="DP66" s="63">
        <f t="shared" ref="DP66:DP75" si="176">(DN66*DK66)/(10.731*DO66)</f>
        <v>1.9763505674536976E-4</v>
      </c>
      <c r="DQ66" s="63" cm="1">
        <f t="array" ref="DQ66">INDEX(Month_Ref,DQ$83,3)*DL66*(PI()/4*$F66^2)*$H66*DM66*DP66</f>
        <v>0.12153541388768208</v>
      </c>
      <c r="DR66" s="63" cm="1">
        <f t="array" ref="DR66">INDEX(FX_Input,$KB66,DR$85)</f>
        <v>280</v>
      </c>
      <c r="DS66" s="63">
        <f t="shared" ref="DS66:DS75" si="177">5.614*DR66</f>
        <v>1571.92</v>
      </c>
      <c r="DT66" s="63">
        <f t="shared" ref="DT66:DT75" si="178">(DS66/(PI()/4*$F66^2))/(($G66-1)-1)</f>
        <v>1.111905947311165</v>
      </c>
      <c r="DU66" s="63">
        <f t="shared" ref="DU66:DU75" si="179">IF(DT66&gt;36,(180+DT66)/(6*DT66),1)</f>
        <v>1</v>
      </c>
      <c r="DV66" s="63" cm="1">
        <f t="array" ref="DV66">IF(OR(INDEX(FX_Vap,$KK66,DV$90)="Crude Oil",(INDEX(FX_Vap,$KL66,DV$90)="Crude Oil")),0.75,1)</f>
        <v>1</v>
      </c>
      <c r="DW66" s="63">
        <f t="shared" si="113"/>
        <v>1</v>
      </c>
      <c r="DX66" s="63">
        <f t="shared" ref="DX66:DX75" si="180">DS66*DU66*DV66*DP66*DW66</f>
        <v>0.31066649839918165</v>
      </c>
      <c r="DY66" s="64">
        <f t="shared" ref="DY66:DY75" si="181">DX66+DQ66</f>
        <v>0.43220191228686372</v>
      </c>
      <c r="DZ66" s="80" t="str" cm="1">
        <f t="array" ref="DZ66">IF(ISBLANK(INDEX(FX_Input,$KB66+1,DZ$85)),INDEX(FX_Input,$KB66,DZ$85),INDEX(FX_Input,$KB66,DZ$85)&amp;" &amp; "&amp;INDEX(FX_Input,$KB66+1,DZ$85))</f>
        <v>Jet kerosene</v>
      </c>
      <c r="EA66" s="63" cm="1">
        <f t="array" ref="EA66">INDEX(FX_Temps,$KC66+7,EA$89)</f>
        <v>16.159999999999961</v>
      </c>
      <c r="EB66" s="63" cm="1">
        <f t="array" ref="EB66">INDEX(FX_Temps,$KC66+13,EB$89)+459.6</f>
        <v>524.31999999999994</v>
      </c>
      <c r="EC66" s="63" cm="1">
        <f t="array" ref="EC66">INDEX(FX_Vap,$KG66,EC$91)-INDEX(FX_Vap,$KH66,EC$91)</f>
        <v>0</v>
      </c>
      <c r="ED66" s="73" cm="1">
        <f t="array" ref="ED66">IF(DZ66="Out of Service",0,INDEX(FX_Vap,$KI66,ED$91))</f>
        <v>9.5874007696552591E-3</v>
      </c>
      <c r="EE66" s="63">
        <f t="shared" ref="EE66:EE75" si="182">IF(EA66/EB66+(EC66-$E66)/(14.7-ED66)&lt;0,0,EA66/EB66+(EC66-$E66)/(14.7-ED66))</f>
        <v>2.6736576301376797E-2</v>
      </c>
      <c r="EF66" s="63">
        <f t="shared" ref="EF66:EF75" si="183">1/(1+0.053*ED66*$H66)</f>
        <v>0.99489197305224619</v>
      </c>
      <c r="EG66" s="63" cm="1">
        <f t="array" ref="EG66">INDEX(FX_Vap,$KJ66,EG$91)</f>
        <v>130</v>
      </c>
      <c r="EH66" s="63" cm="1">
        <f t="array" ref="EH66">INDEX(FX_Temps,$KD66,EH$89)+459.6</f>
        <v>524.31999999999994</v>
      </c>
      <c r="EI66" s="63">
        <f t="shared" ref="EI66:EI75" si="184">(EG66*ED66)/(10.731*EH66)</f>
        <v>2.215172827080398E-4</v>
      </c>
      <c r="EJ66" s="63" cm="1">
        <f t="array" ref="EJ66">INDEX(Month_Ref,EJ$83,3)*EE66*(PI()/4*$F66^2)*$H66*EF66*EI66</f>
        <v>0.14495774104053599</v>
      </c>
      <c r="EK66" s="63" cm="1">
        <f t="array" ref="EK66">INDEX(FX_Input,$KB66,EK$85)</f>
        <v>280</v>
      </c>
      <c r="EL66" s="63">
        <f t="shared" ref="EL66:EL75" si="185">5.614*EK66</f>
        <v>1571.92</v>
      </c>
      <c r="EM66" s="63">
        <f t="shared" ref="EM66:EM75" si="186">(EL66/(PI()/4*$F66^2))/(($G66-1)-1)</f>
        <v>1.111905947311165</v>
      </c>
      <c r="EN66" s="63">
        <f t="shared" ref="EN66:EN75" si="187">IF(EM66&gt;36,(180+EM66)/(6*EM66),1)</f>
        <v>1</v>
      </c>
      <c r="EO66" s="63" cm="1">
        <f t="array" ref="EO66">IF(OR(INDEX(FX_Vap,$KK66,EO$90)="Crude Oil",(INDEX(FX_Vap,$KL66,EO$90)="Crude Oil")),0.75,1)</f>
        <v>1</v>
      </c>
      <c r="EP66" s="63">
        <f t="shared" si="114"/>
        <v>1</v>
      </c>
      <c r="EQ66" s="63">
        <f t="shared" ref="EQ66:EQ75" si="188">EL66*EN66*EO66*EI66*EP66</f>
        <v>0.34820744703442191</v>
      </c>
      <c r="ER66" s="64">
        <f t="shared" ref="ER66:ER75" si="189">EQ66+EJ66</f>
        <v>0.49316518807495791</v>
      </c>
      <c r="ES66" s="80" t="str" cm="1">
        <f t="array" ref="ES66">IF(ISBLANK(INDEX(FX_Input,$KB66+1,ES$85)),INDEX(FX_Input,$KB66,ES$85),INDEX(FX_Input,$KB66,ES$85)&amp;" &amp; "&amp;INDEX(FX_Input,$KB66+1,ES$85))</f>
        <v>Jet kerosene</v>
      </c>
      <c r="ET66" s="63" cm="1">
        <f t="array" ref="ET66">INDEX(FX_Temps,$KC66+7,ET$89)</f>
        <v>15.620000000000012</v>
      </c>
      <c r="EU66" s="63" cm="1">
        <f t="array" ref="EU66">INDEX(FX_Temps,$KC66+13,EU$89)+459.6</f>
        <v>524.23</v>
      </c>
      <c r="EV66" s="63" cm="1">
        <f t="array" ref="EV66">INDEX(FX_Vap,$KG66,EV$91)-INDEX(FX_Vap,$KH66,EV$91)</f>
        <v>0</v>
      </c>
      <c r="EW66" s="73" cm="1">
        <f t="array" ref="EW66">IF(ES66="Out of Service",0,INDEX(FX_Vap,$KI66,EW$91))</f>
        <v>9.5593988737869996E-3</v>
      </c>
      <c r="EX66" s="63">
        <f t="shared" ref="EX66:EX75" si="190">IF(ET66/EU66+(EV66-$E66)/(14.7-EW66)&lt;0,0,ET66/EU66+(EV66-$E66)/(14.7-EW66))</f>
        <v>2.571179320957322E-2</v>
      </c>
      <c r="EY66" s="63">
        <f t="shared" ref="EY66:EY75" si="191">1/(1+0.053*EW66*$H66)</f>
        <v>0.99490681606772013</v>
      </c>
      <c r="EZ66" s="63" cm="1">
        <f t="array" ref="EZ66">INDEX(FX_Vap,$KJ66,EZ$91)</f>
        <v>130</v>
      </c>
      <c r="FA66" s="63" cm="1">
        <f t="array" ref="FA66">INDEX(FX_Temps,$KD66,FA$89)+459.6</f>
        <v>524.23</v>
      </c>
      <c r="FB66" s="63">
        <f t="shared" ref="FB66:FB75" si="192">(EZ66*EW66)/(10.731*FA66)</f>
        <v>2.2090821686528118E-4</v>
      </c>
      <c r="FC66" s="63" cm="1">
        <f t="array" ref="FC66">INDEX(Month_Ref,FC$83,3)*EX66*(PI()/4*$F66^2)*$H66*EY66*FB66</f>
        <v>0.13902045939829419</v>
      </c>
      <c r="FD66" s="63" cm="1">
        <f t="array" ref="FD66">INDEX(FX_Input,$KB66,FD$85)</f>
        <v>280</v>
      </c>
      <c r="FE66" s="63">
        <f t="shared" ref="FE66:FE75" si="193">5.614*FD66</f>
        <v>1571.92</v>
      </c>
      <c r="FF66" s="63">
        <f t="shared" ref="FF66:FF75" si="194">(FE66/(PI()/4*$F66^2))/(($G66-1)-1)</f>
        <v>1.111905947311165</v>
      </c>
      <c r="FG66" s="63">
        <f t="shared" ref="FG66:FG75" si="195">IF(FF66&gt;36,(180+FF66)/(6*FF66),1)</f>
        <v>1</v>
      </c>
      <c r="FH66" s="63" cm="1">
        <f t="array" ref="FH66">IF(OR(INDEX(FX_Vap,$KK66,FH$90)="Crude Oil",(INDEX(FX_Vap,$KL66,FH$90)="Crude Oil")),0.75,1)</f>
        <v>1</v>
      </c>
      <c r="FI66" s="63">
        <f t="shared" si="115"/>
        <v>1</v>
      </c>
      <c r="FJ66" s="63">
        <f t="shared" ref="FJ66:FJ75" si="196">FE66*FG66*FH66*FB66*FI66</f>
        <v>0.34725004425487283</v>
      </c>
      <c r="FK66" s="64">
        <f t="shared" ref="FK66:FK75" si="197">FJ66+FC66</f>
        <v>0.48627050365316704</v>
      </c>
      <c r="FL66" s="80" t="str" cm="1">
        <f t="array" ref="FL66">IF(ISBLANK(INDEX(FX_Input,$KB66+1,FL$85)),INDEX(FX_Input,$KB66,FL$85),INDEX(FX_Input,$KB66,FL$85)&amp;" &amp; "&amp;INDEX(FX_Input,$KB66+1,FL$85))</f>
        <v>Jet kerosene</v>
      </c>
      <c r="FM66" s="63" cm="1">
        <f t="array" ref="FM66">INDEX(FX_Temps,$KC66+7,FM$89)</f>
        <v>15.819999999999986</v>
      </c>
      <c r="FN66" s="63" cm="1">
        <f t="array" ref="FN66">INDEX(FX_Temps,$KC66+13,FN$89)+459.6</f>
        <v>521.19000000000005</v>
      </c>
      <c r="FO66" s="63" cm="1">
        <f t="array" ref="FO66">INDEX(FX_Vap,$KG66,FO$91)-INDEX(FX_Vap,$KH66,FO$91)</f>
        <v>0</v>
      </c>
      <c r="FP66" s="73" cm="1">
        <f t="array" ref="FP66">IF(FL66="Out of Service",0,INDEX(FX_Vap,$KI66,FP$91))</f>
        <v>8.6549593565446326E-3</v>
      </c>
      <c r="FQ66" s="63">
        <f t="shared" ref="FQ66:FQ75" si="198">IF(FM66/FN66+(FO66-$E66)/(14.7-FP66)&lt;0,0,FM66/FN66+(FO66-$E66)/(14.7-FP66))</f>
        <v>2.6269576622369735E-2</v>
      </c>
      <c r="FR66" s="63">
        <f t="shared" ref="FR66:FR75" si="199">1/(1+0.053*FP66*$H66)</f>
        <v>0.99538647224368082</v>
      </c>
      <c r="FS66" s="63" cm="1">
        <f t="array" ref="FS66">INDEX(FX_Vap,$KJ66,FS$91)</f>
        <v>130</v>
      </c>
      <c r="FT66" s="63" cm="1">
        <f t="array" ref="FT66">INDEX(FX_Temps,$KD66,FT$89)+459.6</f>
        <v>521.19000000000005</v>
      </c>
      <c r="FU66" s="63">
        <f t="shared" ref="FU66:FU75" si="200">(FS66*FP66)/(10.731*FT66)</f>
        <v>2.0117412258777761E-4</v>
      </c>
      <c r="FV66" s="63" cm="1">
        <f t="array" ref="FV66">INDEX(Month_Ref,FV$83,3)*FQ66*(PI()/4*$F66^2)*$H66*FR66*FU66</f>
        <v>0.12523581916099757</v>
      </c>
      <c r="FW66" s="63" cm="1">
        <f t="array" ref="FW66">INDEX(FX_Input,$KB66,FW$85)</f>
        <v>280</v>
      </c>
      <c r="FX66" s="63">
        <f t="shared" ref="FX66:FX75" si="201">5.614*FW66</f>
        <v>1571.92</v>
      </c>
      <c r="FY66" s="63">
        <f t="shared" ref="FY66:FY75" si="202">(FX66/(PI()/4*$F66^2))/(($G66-1)-1)</f>
        <v>1.111905947311165</v>
      </c>
      <c r="FZ66" s="63">
        <f t="shared" ref="FZ66:FZ75" si="203">IF(FY66&gt;36,(180+FY66)/(6*FY66),1)</f>
        <v>1</v>
      </c>
      <c r="GA66" s="63" cm="1">
        <f t="array" ref="GA66">IF(OR(INDEX(FX_Vap,$KK66,GA$90)="Crude Oil",(INDEX(FX_Vap,$KL66,GA$90)="Crude Oil")),0.75,1)</f>
        <v>1</v>
      </c>
      <c r="GB66" s="63">
        <f t="shared" si="116"/>
        <v>1</v>
      </c>
      <c r="GC66" s="63">
        <f t="shared" ref="GC66:GC75" si="204">FX66*FZ66*GA66*FU66*GB66</f>
        <v>0.3162296267781794</v>
      </c>
      <c r="GD66" s="64">
        <f t="shared" ref="GD66:GD75" si="205">GC66+FV66</f>
        <v>0.44146544593917697</v>
      </c>
      <c r="GE66" s="80" t="str" cm="1">
        <f t="array" ref="GE66">IF(ISBLANK(INDEX(FX_Input,$KB66+1,GE$85)),INDEX(FX_Input,$KB66,GE$85),INDEX(FX_Input,$KB66,GE$85)&amp;" &amp; "&amp;INDEX(FX_Input,$KB66+1,GE$85))</f>
        <v>Jet kerosene</v>
      </c>
      <c r="GF66" s="63" cm="1">
        <f t="array" ref="GF66">INDEX(FX_Temps,$KC66+7,GF$89)</f>
        <v>12.459999999999994</v>
      </c>
      <c r="GG66" s="63" cm="1">
        <f t="array" ref="GG66">INDEX(FX_Temps,$KC66+13,GG$89)+459.6</f>
        <v>514.07000000000005</v>
      </c>
      <c r="GH66" s="63" cm="1">
        <f t="array" ref="GH66">INDEX(FX_Vap,$KG66,GH$91)-INDEX(FX_Vap,$KH66,GH$91)</f>
        <v>0</v>
      </c>
      <c r="GI66" s="73" cm="1">
        <f t="array" ref="GI66">IF(GE66="Out of Service",0,INDEX(FX_Vap,$KI66,GI$91))</f>
        <v>6.8260376495002202E-3</v>
      </c>
      <c r="GJ66" s="63">
        <f t="shared" ref="GJ66:GJ75" si="206">IF(GF66/GG66+(GH66-$E66)/(14.7-GI66)&lt;0,0,GF66/GG66+(GH66-$E66)/(14.7-GI66))</f>
        <v>2.01544153834106E-2</v>
      </c>
      <c r="GK66" s="63">
        <f t="shared" ref="GK66:GK75" si="207">1/(1+0.053*GI66*$H66)</f>
        <v>0.99635782853408505</v>
      </c>
      <c r="GL66" s="63" cm="1">
        <f t="array" ref="GL66">INDEX(FX_Vap,$KJ66,GL$91)</f>
        <v>130</v>
      </c>
      <c r="GM66" s="63" cm="1">
        <f t="array" ref="GM66">INDEX(FX_Temps,$KD66,GM$89)+459.6</f>
        <v>514.07000000000005</v>
      </c>
      <c r="GN66" s="63">
        <f t="shared" ref="GN66:GN75" si="208">(GL66*GI66)/(10.731*GM66)</f>
        <v>1.6086056013724922E-4</v>
      </c>
      <c r="GO66" s="63" cm="1">
        <f t="array" ref="GO66">INDEX(Month_Ref,GO$83,3)*GJ66*(PI()/4*$F66^2)*$H66*GK66*GN66</f>
        <v>7.9467069098834969E-2</v>
      </c>
      <c r="GP66" s="63" cm="1">
        <f t="array" ref="GP66">INDEX(FX_Input,$KB66,GP$85)</f>
        <v>280</v>
      </c>
      <c r="GQ66" s="63">
        <f t="shared" ref="GQ66:GQ75" si="209">5.614*GP66</f>
        <v>1571.92</v>
      </c>
      <c r="GR66" s="63">
        <f t="shared" ref="GR66:GR75" si="210">(GQ66/(PI()/4*$F66^2))/(($G66-1)-1)</f>
        <v>1.111905947311165</v>
      </c>
      <c r="GS66" s="63">
        <f t="shared" ref="GS66:GS75" si="211">IF(GR66&gt;36,(180+GR66)/(6*GR66),1)</f>
        <v>1</v>
      </c>
      <c r="GT66" s="63" cm="1">
        <f t="array" ref="GT66">IF(OR(INDEX(FX_Vap,$KK66,GT$90)="Crude Oil",(INDEX(FX_Vap,$KL66,GT$90)="Crude Oil")),0.75,1)</f>
        <v>1</v>
      </c>
      <c r="GU66" s="63">
        <f t="shared" si="117"/>
        <v>1</v>
      </c>
      <c r="GV66" s="63">
        <f t="shared" ref="GV66:GV75" si="212">GQ66*GS66*GT66*GN66*GU66</f>
        <v>0.25285993169094478</v>
      </c>
      <c r="GW66" s="64">
        <f t="shared" ref="GW66:GW75" si="213">GV66+GO66</f>
        <v>0.33232700078977973</v>
      </c>
      <c r="GX66" s="80" t="str" cm="1">
        <f t="array" ref="GX66">IF(ISBLANK(INDEX(FX_Input,$KB66+1,GX$85)),INDEX(FX_Input,$KB66,GX$85),INDEX(FX_Input,$KB66,GX$85)&amp;" &amp; "&amp;INDEX(FX_Input,$KB66+1,GX$85))</f>
        <v>Jet kerosene</v>
      </c>
      <c r="GY66" s="63" cm="1">
        <f t="array" ref="GY66">INDEX(FX_Temps,$KC66+7,GY$89)</f>
        <v>9.275000000000027</v>
      </c>
      <c r="GZ66" s="63" cm="1">
        <f t="array" ref="GZ66">INDEX(FX_Temps,$KC66+13,GZ$89)+459.6</f>
        <v>507.67750000000007</v>
      </c>
      <c r="HA66" s="63" cm="1">
        <f t="array" ref="HA66">INDEX(FX_Vap,$KG66,HA$91)-INDEX(FX_Vap,$KH66,HA$91)</f>
        <v>0</v>
      </c>
      <c r="HB66" s="73" cm="1">
        <f t="array" ref="HB66">IF(GX66="Out of Service",0,INDEX(FX_Vap,$KI66,HB$91))</f>
        <v>5.4845718776011703E-3</v>
      </c>
      <c r="HC66" s="63">
        <f t="shared" ref="HC66:HC75" si="214">IF(GY66/GZ66+(HA66-$E66)/(14.7-HB66)&lt;0,0,GY66/GZ66+(HA66-$E66)/(14.7-HB66))</f>
        <v>1.4186316174430964E-2</v>
      </c>
      <c r="HD66" s="63">
        <f t="shared" ref="HD66:HD75" si="215">1/(1+0.053*HB66*$H66)</f>
        <v>0.99707149880581614</v>
      </c>
      <c r="HE66" s="63" cm="1">
        <f t="array" ref="HE66">INDEX(FX_Vap,$KJ66,HE$91)</f>
        <v>130</v>
      </c>
      <c r="HF66" s="63" cm="1">
        <f t="array" ref="HF66">INDEX(FX_Temps,$KD66,HF$89)+459.6</f>
        <v>507.67750000000007</v>
      </c>
      <c r="HG66" s="63">
        <f t="shared" ref="HG66:HG75" si="216">(HE66*HB66)/(10.731*HF66)</f>
        <v>1.3087538545533656E-4</v>
      </c>
      <c r="HH66" s="63" cm="1">
        <f t="array" ref="HH66">INDEX(Month_Ref,HH$83,3)*HC66*(PI()/4*$F66^2)*$H66*HD66*HG66</f>
        <v>4.4072283002422052E-2</v>
      </c>
      <c r="HI66" s="63" cm="1">
        <f t="array" ref="HI66">INDEX(FX_Input,$KB66,HI$85)</f>
        <v>280</v>
      </c>
      <c r="HJ66" s="63">
        <f t="shared" ref="HJ66:HJ75" si="217">5.614*HI66</f>
        <v>1571.92</v>
      </c>
      <c r="HK66" s="63">
        <f t="shared" ref="HK66:HK75" si="218">(HJ66/(PI()/4*$F66^2))/(($G66-1)-1)</f>
        <v>1.111905947311165</v>
      </c>
      <c r="HL66" s="63">
        <f t="shared" ref="HL66:HL75" si="219">IF(HK66&gt;36,(180+HK66)/(6*HK66),1)</f>
        <v>1</v>
      </c>
      <c r="HM66" s="63" cm="1">
        <f t="array" ref="HM66">IF(OR(INDEX(FX_Vap,$KK66,HM$90)="Crude Oil",(INDEX(FX_Vap,$KL66,HM$90)="Crude Oil")),0.75,1)</f>
        <v>1</v>
      </c>
      <c r="HN66" s="63">
        <f t="shared" si="118"/>
        <v>1</v>
      </c>
      <c r="HO66" s="63">
        <f t="shared" ref="HO66:HO75" si="220">HJ66*HL66*HM66*HG66*HN66</f>
        <v>0.20572563590495266</v>
      </c>
      <c r="HP66" s="64">
        <f t="shared" ref="HP66:HP75" si="221">HO66+HH66</f>
        <v>0.24979791890737471</v>
      </c>
      <c r="HQ66" s="80" t="str" cm="1">
        <f t="array" ref="HQ66">IF(ISBLANK(INDEX(FX_Input,$KB66+1,HQ$85)),INDEX(FX_Input,$KB66,HQ$85),INDEX(FX_Input,$KB66,HQ$85)&amp;" &amp; "&amp;INDEX(FX_Input,$KB66+1,HQ$85))</f>
        <v>Jet kerosene</v>
      </c>
      <c r="HR66" s="63" cm="1">
        <f t="array" ref="HR66">INDEX(FX_Temps,$KC66+7,HR$89)</f>
        <v>7.51</v>
      </c>
      <c r="HS66" s="63" cm="1">
        <f t="array" ref="HS66">INDEX(FX_Temps,$KC66+13,HS$89)+459.6</f>
        <v>503.95500000000004</v>
      </c>
      <c r="HT66" s="63" cm="1">
        <f t="array" ref="HT66">INDEX(FX_Vap,$KG66,HT$91)-INDEX(FX_Vap,$KH66,HT$91)</f>
        <v>0</v>
      </c>
      <c r="HU66" s="73" cm="1">
        <f t="array" ref="HU66">IF(HQ66="Out of Service",0,INDEX(FX_Vap,$KI66,HU$91))</f>
        <v>4.8161086599927579E-3</v>
      </c>
      <c r="HV66" s="63">
        <f t="shared" ref="HV66:HV75" si="222">IF(HR66/HS66+(HT66-$E66)/(14.7-HU66)&lt;0,0,HR66/HS66+(HT66-$E66)/(14.7-HU66))</f>
        <v>1.0819153855500198E-2</v>
      </c>
      <c r="HW66" s="63">
        <f t="shared" ref="HW66:HW75" si="223">1/(1+0.053*HU66*$H66)</f>
        <v>0.99742750825865711</v>
      </c>
      <c r="HX66" s="63" cm="1">
        <f t="array" ref="HX66">INDEX(FX_Vap,$KJ66,HX$91)</f>
        <v>130</v>
      </c>
      <c r="HY66" s="63" cm="1">
        <f t="array" ref="HY66">INDEX(FX_Temps,$KD66,HY$89)+459.6</f>
        <v>503.95500000000004</v>
      </c>
      <c r="HZ66" s="63">
        <f t="shared" ref="HZ66:HZ75" si="224">(HX66*HU66)/(10.731*HY66)</f>
        <v>1.1577310359763219E-4</v>
      </c>
      <c r="IA66" s="63" cm="1">
        <f t="array" ref="IA66">INDEX(Month_Ref,IA$83,3)*HV66*(PI()/4*$F66^2)*$H66*HW66*HZ66</f>
        <v>3.07350830232066E-2</v>
      </c>
      <c r="IB66" s="63" cm="1">
        <f t="array" ref="IB66">INDEX(FX_Input,$KB66,IB$85)</f>
        <v>280</v>
      </c>
      <c r="IC66" s="63">
        <f t="shared" ref="IC66:IC75" si="225">5.614*IB66</f>
        <v>1571.92</v>
      </c>
      <c r="ID66" s="63">
        <f t="shared" ref="ID66:ID75" si="226">(IC66/(PI()/4*$F66^2))/(($G66-1)-1)</f>
        <v>1.111905947311165</v>
      </c>
      <c r="IE66" s="63">
        <f t="shared" ref="IE66:IE75" si="227">IF(ID66&gt;36,(180+ID66)/(6*ID66),1)</f>
        <v>1</v>
      </c>
      <c r="IF66" s="63" cm="1">
        <f t="array" ref="IF66">IF(OR(INDEX(FX_Vap,$KK66,IF$90)="Crude Oil",(INDEX(FX_Vap,$KL66,IF$90)="Crude Oil")),0.75,1)</f>
        <v>1</v>
      </c>
      <c r="IG66" s="63">
        <f t="shared" si="119"/>
        <v>1</v>
      </c>
      <c r="IH66" s="63">
        <f t="shared" ref="IH66:IH75" si="228">IC66*IE66*IF66*HZ66*IG66</f>
        <v>0.18198605700719001</v>
      </c>
      <c r="II66" s="64">
        <f t="shared" ref="II66:II75" si="229">IH66+IA66</f>
        <v>0.2127211400303966</v>
      </c>
      <c r="IJ66" s="80">
        <f t="shared" ref="IJ66:IJ75" si="230">Z66+AS66+BL66+CE66+CX66+DQ66+EJ66+FC66+FV66+GO66+HH66+IA66</f>
        <v>1.0270742499736838</v>
      </c>
      <c r="IK66" s="63">
        <f t="shared" ref="IK66:IK75" si="231">IJ66/2000</f>
        <v>5.1353712498684195E-4</v>
      </c>
      <c r="IL66" s="63">
        <f t="shared" ref="IL66:IL75" si="232">AG66+AZ66+BS66+CL66+DE66+DX66+EQ66+FJ66+GC66+GV66+HO66+IH66</f>
        <v>3.0534861861223468</v>
      </c>
      <c r="IM66" s="63">
        <f t="shared" ref="IM66:IM75" si="233">IL66/2000</f>
        <v>1.5267430930611735E-3</v>
      </c>
      <c r="IN66" s="63">
        <f t="shared" ref="IN66:IN75" si="234">AH66+BA66+BT66+CM66+DF66+DY66+ER66+FK66+GD66+GW66+HP66+II66</f>
        <v>4.0805604360960306</v>
      </c>
      <c r="IO66" s="64">
        <f t="shared" ref="IO66:IO75" si="235">IN66/2000</f>
        <v>2.0402802180480152E-3</v>
      </c>
      <c r="KB66" s="43">
        <f t="shared" si="120"/>
        <v>111</v>
      </c>
      <c r="KC66" s="43">
        <f t="shared" si="121"/>
        <v>771</v>
      </c>
      <c r="KD66" s="43">
        <f t="shared" si="122"/>
        <v>784</v>
      </c>
      <c r="KE66" s="43">
        <f t="shared" si="123"/>
        <v>771</v>
      </c>
      <c r="KF66" s="43">
        <f t="shared" si="124"/>
        <v>1871</v>
      </c>
      <c r="KG66" s="43">
        <f t="shared" si="125"/>
        <v>1894</v>
      </c>
      <c r="KH66" s="43">
        <f t="shared" si="125"/>
        <v>1889</v>
      </c>
      <c r="KI66" s="43">
        <f t="shared" si="125"/>
        <v>1899</v>
      </c>
      <c r="KJ66" s="43">
        <f t="shared" si="125"/>
        <v>1904</v>
      </c>
      <c r="KK66" s="43">
        <f t="shared" si="127"/>
        <v>1875</v>
      </c>
      <c r="KL66" s="43">
        <f t="shared" si="128"/>
        <v>1877</v>
      </c>
    </row>
    <row r="67" spans="2:298" x14ac:dyDescent="0.4">
      <c r="B67" s="43" t="str" cm="1">
        <f t="array" ref="B67">INDEX(FX_Input,$KB67,B$85)</f>
        <v>FX - 57</v>
      </c>
      <c r="C67" s="93" t="str" cm="1">
        <f t="array" ref="C67">INDEX(FX_Input,$KB67,C$85)</f>
        <v>FIXTANK 203</v>
      </c>
      <c r="D67" s="80">
        <f t="shared" si="131"/>
        <v>1371.3051932919448</v>
      </c>
      <c r="E67" s="63" cm="1">
        <f t="array" ref="E67">IF(ISBLANK(INDEX(FX_Input,$KB67,$E$85)),0.03,INDEX(FX_Input,$KB67,$E$85))-IF(ISBLANK(INDEX(FX_Input,$KB67,$E$86)),-0.03,INDEX(FX_Input,$KB67,$E$86))</f>
        <v>0.06</v>
      </c>
      <c r="F67" s="63" cm="1">
        <f t="array" ref="F67">IF(INDEX(FX_Input,$KB67,F$85)="Vertical",INDEX(FX_Input,$KB67,F$86),SQRT((INDEX(FX_Input,$KB67,F$86)*INDEX(FX_Input,$KB67,F$87))/(PI()/4)))</f>
        <v>12</v>
      </c>
      <c r="G67" s="63" cm="1">
        <f t="array" ref="G67">IF(INDEX(FX_Input,$KB67,G$85)="Vertical",INDEX(FX_Input,$KB67,G$86),INDEX(FX_Input,$KB67,G$87)*PI()/4)</f>
        <v>24</v>
      </c>
      <c r="H67" s="63" cm="1">
        <f t="array" ref="H67">IF(INDEX(FX_Input,$KB67,H$85)="Vertical",G67-G67/2+J67,G67/2)</f>
        <v>12.125</v>
      </c>
      <c r="I67" s="63" cm="1">
        <f t="array" ref="I67">IF(INDEX(FX_Input,$KB67,F$85)="Horizontal","N/A",IF(INDEX(FX_Input,$KB67,I$86)="Cone",IF(ISBLANK(INDEX(FX_Input,$KB67,I$87)),0.0625,INDEX(FX_Input,$KB67,I$87))*F67/2,F67/2-SQRT((F67/2)^2-(INDEX(FX_Input,$KB67,I$88)^2))))</f>
        <v>0.375</v>
      </c>
      <c r="J67" s="63" cm="1">
        <f t="array" ref="J67">IF(INDEX(FX_Input,$KB67,J$85)="Horizontal","N/A",IF(INDEX(FX_Input,$KB67,J$86)="Cone",I67/3,I67*(1/2+(1/6)*(I67/(F67/2))^2)))</f>
        <v>0.125</v>
      </c>
      <c r="K67" s="63">
        <f t="shared" si="132"/>
        <v>23</v>
      </c>
      <c r="L67" s="63">
        <v>3</v>
      </c>
      <c r="M67" s="63" t="str" cm="1">
        <f t="array" ref="M67">INDEX(Tbl_71_6,MATCH(INDEX(FX_Input,$KB67,M$85),Paint_Color,0),VLOOKUP(INDEX(FX_Input,$KB67,M$86),Paint_Cond_Column,2,FALSE))</f>
        <v>N/A</v>
      </c>
      <c r="N67" s="63" cm="1">
        <f t="array" ref="N67">INDEX(Tbl_71_6,MATCH(INDEX(FX_Input,$KB67,N$85),Paint_Color,0),VLOOKUP(INDEX(FX_Input,$KB67,N$86),Paint_Cond_Column,2,FALSE))</f>
        <v>0.25</v>
      </c>
      <c r="O67" s="64" t="str">
        <f t="shared" si="133"/>
        <v>Partially Insulated</v>
      </c>
      <c r="P67" s="80" t="str" cm="1">
        <f t="array" ref="P67">IF(ISBLANK(INDEX(FX_Input,$KB67+1,P$85)),INDEX(FX_Input,$KB67,P$85),INDEX(FX_Input,$KB67,P$85)&amp;" &amp; "&amp;INDEX(FX_Input,$KB67+1,P$85))</f>
        <v>Jet kerosene</v>
      </c>
      <c r="Q67" s="63" cm="1">
        <f t="array" ref="Q67">INDEX(FX_Temps,$KC67+7,Q$89)</f>
        <v>7.9550000000000205</v>
      </c>
      <c r="R67" s="63" cm="1">
        <f t="array" ref="R67">INDEX(FX_Temps,$KC67+13,R$89)+459.6</f>
        <v>504.35750000000002</v>
      </c>
      <c r="S67" s="63" cm="1">
        <f t="array" ref="S67">INDEX(FX_Vap,$KG67,S$91)-INDEX(FX_Vap,$KH67,S$91)</f>
        <v>0</v>
      </c>
      <c r="T67" s="73" cm="1">
        <f t="array" ref="T67">IF(P67="Out of Service",0,INDEX(FX_Vap,$KI67,T$91))</f>
        <v>4.8847213797703236E-3</v>
      </c>
      <c r="U67" s="63">
        <f t="shared" si="134"/>
        <v>1.1689552888082502E-2</v>
      </c>
      <c r="V67" s="63">
        <f t="shared" si="135"/>
        <v>0.9968707786869524</v>
      </c>
      <c r="W67" s="63" cm="1">
        <f t="array" ref="W67">INDEX(FX_Vap,$KJ67,W$91)</f>
        <v>130</v>
      </c>
      <c r="X67" s="63" cm="1">
        <f t="array" ref="X67">INDEX(FX_Temps,$KD67,X$89)+459.6</f>
        <v>504.35750000000002</v>
      </c>
      <c r="Y67" s="63">
        <f t="shared" si="136"/>
        <v>1.1732875736907137E-4</v>
      </c>
      <c r="Z67" s="63" cm="1">
        <f t="array" ref="Z67">INDEX(Month_Ref,Z$83,3)*U67*(PI()/4*$F67^2)*$H67*V67*Y67</f>
        <v>5.8121531785959094E-2</v>
      </c>
      <c r="AA67" s="63" cm="1">
        <f t="array" ref="AA67">INDEX(FX_Input,$KB67,AA$85)</f>
        <v>485</v>
      </c>
      <c r="AB67" s="63">
        <f t="shared" si="137"/>
        <v>2722.79</v>
      </c>
      <c r="AC67" s="63">
        <f t="shared" si="138"/>
        <v>1.0943067866191458</v>
      </c>
      <c r="AD67" s="63">
        <f t="shared" si="139"/>
        <v>1</v>
      </c>
      <c r="AE67" s="63" cm="1">
        <f t="array" ref="AE67">IF(OR(INDEX(FX_Vap,$KK67,AE$90)="Crude Oil",(INDEX(FX_Vap,$KL67,AE$90)="Crude Oil")),0.75,1)</f>
        <v>1</v>
      </c>
      <c r="AF67" s="63">
        <f t="shared" si="108"/>
        <v>1</v>
      </c>
      <c r="AG67" s="63">
        <f t="shared" si="140"/>
        <v>0.31946156727693387</v>
      </c>
      <c r="AH67" s="64">
        <f t="shared" si="141"/>
        <v>0.37758309906289295</v>
      </c>
      <c r="AI67" s="80" t="str" cm="1">
        <f t="array" ref="AI67">IF(ISBLANK(INDEX(FX_Input,$KB67+1,AI$85)),INDEX(FX_Input,$KB67,AI$85),INDEX(FX_Input,$KB67,AI$85)&amp;" &amp; "&amp;INDEX(FX_Input,$KB67+1,AI$85))</f>
        <v>Jet kerosene</v>
      </c>
      <c r="AJ67" s="63" cm="1">
        <f t="array" ref="AJ67">INDEX(FX_Temps,$KC67+7,AJ$89)</f>
        <v>10.919999999999993</v>
      </c>
      <c r="AK67" s="63" cm="1">
        <f t="array" ref="AK67">INDEX(FX_Temps,$KC67+13,AK$89)+459.6</f>
        <v>505.80000000000007</v>
      </c>
      <c r="AL67" s="63" cm="1">
        <f t="array" ref="AL67">INDEX(FX_Vap,$KG67,AL$91)-INDEX(FX_Vap,$KH67,AL$91)</f>
        <v>0</v>
      </c>
      <c r="AM67" s="73" cm="1">
        <f t="array" ref="AM67">IF(AI67="Out of Service",0,INDEX(FX_Vap,$KI67,AM$91))</f>
        <v>5.1377970454196883E-3</v>
      </c>
      <c r="AN67" s="63">
        <f t="shared" si="142"/>
        <v>1.7506501368062713E-2</v>
      </c>
      <c r="AO67" s="63">
        <f t="shared" si="143"/>
        <v>0.99670918837018518</v>
      </c>
      <c r="AP67" s="63" cm="1">
        <f t="array" ref="AP67">INDEX(FX_Vap,$KJ67,AP$91)</f>
        <v>130</v>
      </c>
      <c r="AQ67" s="63" cm="1">
        <f t="array" ref="AQ67">INDEX(FX_Temps,$KD67,AQ$89)+459.6</f>
        <v>505.80000000000007</v>
      </c>
      <c r="AR67" s="63">
        <f t="shared" si="144"/>
        <v>1.2305557018495237E-4</v>
      </c>
      <c r="AS67" s="63" cm="1">
        <f t="array" ref="AS67">INDEX(Month_Ref,AS$83,3)*AN67*(PI()/4*$F67^2)*$H67*AO67*AR67</f>
        <v>8.2444417353346539E-2</v>
      </c>
      <c r="AT67" s="63" cm="1">
        <f t="array" ref="AT67">INDEX(FX_Input,$KB67,AT$85)</f>
        <v>485</v>
      </c>
      <c r="AU67" s="63">
        <f t="shared" si="145"/>
        <v>2722.79</v>
      </c>
      <c r="AV67" s="63">
        <f t="shared" si="146"/>
        <v>1.0943067866191458</v>
      </c>
      <c r="AW67" s="63">
        <f t="shared" si="147"/>
        <v>1</v>
      </c>
      <c r="AX67" s="63" cm="1">
        <f t="array" ref="AX67">IF(OR(INDEX(FX_Vap,$KK67,AX$90)="Crude Oil",(INDEX(FX_Vap,$KL67,AX$90)="Crude Oil")),0.75,1)</f>
        <v>1</v>
      </c>
      <c r="AY67" s="63">
        <f t="shared" si="109"/>
        <v>1</v>
      </c>
      <c r="AZ67" s="63">
        <f t="shared" si="148"/>
        <v>0.33505447594388649</v>
      </c>
      <c r="BA67" s="64">
        <f t="shared" si="149"/>
        <v>0.417498893297233</v>
      </c>
      <c r="BB67" s="80" t="str" cm="1">
        <f t="array" ref="BB67">IF(ISBLANK(INDEX(FX_Input,$KB67+1,BB$85)),INDEX(FX_Input,$KB67,BB$85),INDEX(FX_Input,$KB67,BB$85)&amp;" &amp; "&amp;INDEX(FX_Input,$KB67+1,BB$85))</f>
        <v>Jet kerosene</v>
      </c>
      <c r="BC67" s="63" cm="1">
        <f t="array" ref="BC67">INDEX(FX_Temps,$KC67+7,BC$89)</f>
        <v>12.305000000000026</v>
      </c>
      <c r="BD67" s="63" cm="1">
        <f t="array" ref="BD67">INDEX(FX_Temps,$KC67+13,BD$89)+459.6</f>
        <v>507.89250000000004</v>
      </c>
      <c r="BE67" s="63" cm="1">
        <f t="array" ref="BE67">INDEX(FX_Vap,$KG67,BE$91)-INDEX(FX_Vap,$KH67,BE$91)</f>
        <v>0</v>
      </c>
      <c r="BF67" s="73" cm="1">
        <f t="array" ref="BF67">IF(BB67="Out of Service",0,INDEX(FX_Vap,$KI67,BF$91))</f>
        <v>5.5255769197630547E-3</v>
      </c>
      <c r="BG67" s="63">
        <f t="shared" si="150"/>
        <v>2.0144400368426241E-2</v>
      </c>
      <c r="BH67" s="63">
        <f t="shared" si="151"/>
        <v>0.99646169022365916</v>
      </c>
      <c r="BI67" s="63" cm="1">
        <f t="array" ref="BI67">INDEX(FX_Vap,$KJ67,BI$91)</f>
        <v>130</v>
      </c>
      <c r="BJ67" s="63" cm="1">
        <f t="array" ref="BJ67">INDEX(FX_Temps,$KD67,BJ$89)+459.6</f>
        <v>507.89250000000004</v>
      </c>
      <c r="BK67" s="63">
        <f t="shared" si="152"/>
        <v>1.3179805059113694E-4</v>
      </c>
      <c r="BL67" s="63" cm="1">
        <f t="array" ref="BL67">INDEX(Month_Ref,BL$83,3)*BG67*(PI()/4*$F67^2)*$H67*BH67*BK67</f>
        <v>0.11246561235619856</v>
      </c>
      <c r="BM67" s="63" cm="1">
        <f t="array" ref="BM67">INDEX(FX_Input,$KB67,BM$85)</f>
        <v>485</v>
      </c>
      <c r="BN67" s="63">
        <f t="shared" si="153"/>
        <v>2722.79</v>
      </c>
      <c r="BO67" s="63">
        <f t="shared" si="154"/>
        <v>1.0943067866191458</v>
      </c>
      <c r="BP67" s="63">
        <f t="shared" si="155"/>
        <v>1</v>
      </c>
      <c r="BQ67" s="63" cm="1">
        <f t="array" ref="BQ67">IF(OR(INDEX(FX_Vap,$KK67,BQ$90)="Crude Oil",(INDEX(FX_Vap,$KL67,BQ$90)="Crude Oil")),0.75,1)</f>
        <v>1</v>
      </c>
      <c r="BR67" s="63">
        <f t="shared" si="110"/>
        <v>1</v>
      </c>
      <c r="BS67" s="63">
        <f t="shared" si="156"/>
        <v>0.35885841416904174</v>
      </c>
      <c r="BT67" s="64">
        <f t="shared" si="157"/>
        <v>0.4713240265252403</v>
      </c>
      <c r="BU67" s="80" t="str" cm="1">
        <f t="array" ref="BU67">IF(ISBLANK(INDEX(FX_Input,$KB67+1,BU$85)),INDEX(FX_Input,$KB67,BU$85),INDEX(FX_Input,$KB67,BU$85)&amp;" &amp; "&amp;INDEX(FX_Input,$KB67+1,BU$85))</f>
        <v>Jet kerosene</v>
      </c>
      <c r="BV67" s="63" cm="1">
        <f t="array" ref="BV67">INDEX(FX_Temps,$KC67+7,BV$89)</f>
        <v>14.299999999999986</v>
      </c>
      <c r="BW67" s="63" cm="1">
        <f t="array" ref="BW67">INDEX(FX_Temps,$KC67+13,BW$89)+459.6</f>
        <v>511.32999999999993</v>
      </c>
      <c r="BX67" s="63" cm="1">
        <f t="array" ref="BX67">INDEX(FX_Vap,$KG67,BX$91)-INDEX(FX_Vap,$KH67,BX$91)</f>
        <v>0</v>
      </c>
      <c r="BY67" s="73" cm="1">
        <f t="array" ref="BY67">IF(BU67="Out of Service",0,INDEX(FX_Vap,$KI67,BY$91))</f>
        <v>6.219119610903932E-3</v>
      </c>
      <c r="BZ67" s="63">
        <f t="shared" si="158"/>
        <v>2.3882923806806993E-2</v>
      </c>
      <c r="CA67" s="63">
        <f t="shared" si="159"/>
        <v>0.99601934718478424</v>
      </c>
      <c r="CB67" s="63" cm="1">
        <f t="array" ref="CB67">INDEX(FX_Vap,$KJ67,CB$91)</f>
        <v>130</v>
      </c>
      <c r="CC67" s="63" cm="1">
        <f t="array" ref="CC67">INDEX(FX_Temps,$KD67,CC$89)+459.6</f>
        <v>511.32999999999993</v>
      </c>
      <c r="CD67" s="63">
        <f t="shared" si="160"/>
        <v>1.4734343600633653E-4</v>
      </c>
      <c r="CE67" s="63" cm="1">
        <f t="array" ref="CE67">INDEX(Month_Ref,CE$83,3)*BZ67*(PI()/4*$F67^2)*$H67*CA67*CD67</f>
        <v>0.14419208983933265</v>
      </c>
      <c r="CF67" s="63" cm="1">
        <f t="array" ref="CF67">INDEX(FX_Input,$KB67,CF$85)</f>
        <v>485</v>
      </c>
      <c r="CG67" s="63">
        <f t="shared" si="161"/>
        <v>2722.79</v>
      </c>
      <c r="CH67" s="63">
        <f t="shared" si="162"/>
        <v>1.0943067866191458</v>
      </c>
      <c r="CI67" s="63">
        <f t="shared" si="163"/>
        <v>1</v>
      </c>
      <c r="CJ67" s="63" cm="1">
        <f t="array" ref="CJ67">IF(OR(INDEX(FX_Vap,$KK67,CJ$90)="Crude Oil",(INDEX(FX_Vap,$KL67,CJ$90)="Crude Oil")),0.75,1)</f>
        <v>1</v>
      </c>
      <c r="CK67" s="63">
        <f t="shared" si="111"/>
        <v>1</v>
      </c>
      <c r="CL67" s="63">
        <f t="shared" si="164"/>
        <v>0.40118523412369306</v>
      </c>
      <c r="CM67" s="64">
        <f t="shared" si="165"/>
        <v>0.54537732396302574</v>
      </c>
      <c r="CN67" s="80" t="str" cm="1">
        <f t="array" ref="CN67">IF(ISBLANK(INDEX(FX_Input,$KB67+1,CN$85)),INDEX(FX_Input,$KB67,CN$85),INDEX(FX_Input,$KB67,CN$85)&amp;" &amp; "&amp;INDEX(FX_Input,$KB67+1,CN$85))</f>
        <v>Jet kerosene</v>
      </c>
      <c r="CO67" s="63" cm="1">
        <f t="array" ref="CO67">INDEX(FX_Temps,$KC67+7,CO$89)</f>
        <v>15.664999999999973</v>
      </c>
      <c r="CP67" s="63" cm="1">
        <f t="array" ref="CP67">INDEX(FX_Temps,$KC67+13,CP$89)+459.6</f>
        <v>516.59249999999997</v>
      </c>
      <c r="CQ67" s="63" cm="1">
        <f t="array" ref="CQ67">INDEX(FX_Vap,$KG67,CQ$91)-INDEX(FX_Vap,$KH67,CQ$91)</f>
        <v>0</v>
      </c>
      <c r="CR67" s="73" cm="1">
        <f t="array" ref="CR67">IF(CN67="Out of Service",0,INDEX(FX_Vap,$KI67,CR$91))</f>
        <v>7.430518180814979E-3</v>
      </c>
      <c r="CS67" s="63">
        <f t="shared" si="166"/>
        <v>2.6240010888400458E-2</v>
      </c>
      <c r="CT67" s="63">
        <f t="shared" si="167"/>
        <v>0.99524765587189479</v>
      </c>
      <c r="CU67" s="63" cm="1">
        <f t="array" ref="CU67">INDEX(FX_Vap,$KJ67,CU$91)</f>
        <v>130</v>
      </c>
      <c r="CV67" s="63" cm="1">
        <f t="array" ref="CV67">INDEX(FX_Temps,$KD67,CV$89)+459.6</f>
        <v>516.59249999999997</v>
      </c>
      <c r="CW67" s="63">
        <f t="shared" si="168"/>
        <v>1.7425055172755734E-4</v>
      </c>
      <c r="CX67" s="63" cm="1">
        <f t="array" ref="CX67">INDEX(Month_Ref,CX$83,3)*CS67*(PI()/4*$F67^2)*$H67*CT67*CW67</f>
        <v>0.19344840385982892</v>
      </c>
      <c r="CY67" s="63" cm="1">
        <f t="array" ref="CY67">INDEX(FX_Input,$KB67,CY$85)</f>
        <v>485</v>
      </c>
      <c r="CZ67" s="63">
        <f t="shared" si="169"/>
        <v>2722.79</v>
      </c>
      <c r="DA67" s="63">
        <f t="shared" si="170"/>
        <v>1.0943067866191458</v>
      </c>
      <c r="DB67" s="63">
        <f t="shared" si="171"/>
        <v>1</v>
      </c>
      <c r="DC67" s="63" cm="1">
        <f t="array" ref="DC67">IF(OR(INDEX(FX_Vap,$KK67,DC$90)="Crude Oil",(INDEX(FX_Vap,$KL67,DC$90)="Crude Oil")),0.75,1)</f>
        <v>1</v>
      </c>
      <c r="DD67" s="63">
        <f t="shared" si="112"/>
        <v>1</v>
      </c>
      <c r="DE67" s="63">
        <f t="shared" si="172"/>
        <v>0.47444765973827585</v>
      </c>
      <c r="DF67" s="64">
        <f t="shared" si="173"/>
        <v>0.66789606359810483</v>
      </c>
      <c r="DG67" s="80" t="str" cm="1">
        <f t="array" ref="DG67">IF(ISBLANK(INDEX(FX_Input,$KB67+1,DG$85)),INDEX(FX_Input,$KB67,DG$85),INDEX(FX_Input,$KB67,DG$85)&amp;" &amp; "&amp;INDEX(FX_Input,$KB67+1,DG$85))</f>
        <v>Jet kerosene</v>
      </c>
      <c r="DH67" s="63" cm="1">
        <f t="array" ref="DH67">INDEX(FX_Temps,$KC67+7,DH$89)</f>
        <v>15.635000000000034</v>
      </c>
      <c r="DI67" s="63" cm="1">
        <f t="array" ref="DI67">INDEX(FX_Temps,$KC67+13,DI$89)+459.6</f>
        <v>520.61750000000006</v>
      </c>
      <c r="DJ67" s="63" cm="1">
        <f t="array" ref="DJ67">INDEX(FX_Vap,$KG67,DJ$91)-INDEX(FX_Vap,$KH67,DJ$91)</f>
        <v>0</v>
      </c>
      <c r="DK67" s="73" cm="1">
        <f t="array" ref="DK67">IF(DG67="Out of Service",0,INDEX(FX_Vap,$KI67,DK$91))</f>
        <v>8.4933610792594406E-3</v>
      </c>
      <c r="DL67" s="63">
        <f t="shared" si="174"/>
        <v>2.5947652812969527E-2</v>
      </c>
      <c r="DM67" s="63">
        <f t="shared" si="175"/>
        <v>0.99457158239034937</v>
      </c>
      <c r="DN67" s="63" cm="1">
        <f t="array" ref="DN67">INDEX(FX_Vap,$KJ67,DN$91)</f>
        <v>130</v>
      </c>
      <c r="DO67" s="63" cm="1">
        <f t="array" ref="DO67">INDEX(FX_Temps,$KD67,DO$89)+459.6</f>
        <v>520.61750000000006</v>
      </c>
      <c r="DP67" s="63">
        <f t="shared" si="176"/>
        <v>1.9763505674536976E-4</v>
      </c>
      <c r="DQ67" s="63" cm="1">
        <f t="array" ref="DQ67">INDEX(Month_Ref,DQ$83,3)*DL67*(PI()/4*$F67^2)*$H67*DM67*DP67</f>
        <v>0.20982318864340274</v>
      </c>
      <c r="DR67" s="63" cm="1">
        <f t="array" ref="DR67">INDEX(FX_Input,$KB67,DR$85)</f>
        <v>485</v>
      </c>
      <c r="DS67" s="63">
        <f t="shared" si="177"/>
        <v>2722.79</v>
      </c>
      <c r="DT67" s="63">
        <f t="shared" si="178"/>
        <v>1.0943067866191458</v>
      </c>
      <c r="DU67" s="63">
        <f t="shared" si="179"/>
        <v>1</v>
      </c>
      <c r="DV67" s="63" cm="1">
        <f t="array" ref="DV67">IF(OR(INDEX(FX_Vap,$KK67,DV$90)="Crude Oil",(INDEX(FX_Vap,$KL67,DV$90)="Crude Oil")),0.75,1)</f>
        <v>1</v>
      </c>
      <c r="DW67" s="63">
        <f t="shared" si="113"/>
        <v>1</v>
      </c>
      <c r="DX67" s="63">
        <f t="shared" si="180"/>
        <v>0.53811875615572535</v>
      </c>
      <c r="DY67" s="64">
        <f t="shared" si="181"/>
        <v>0.74794194479912812</v>
      </c>
      <c r="DZ67" s="80" t="str" cm="1">
        <f t="array" ref="DZ67">IF(ISBLANK(INDEX(FX_Input,$KB67+1,DZ$85)),INDEX(FX_Input,$KB67,DZ$85),INDEX(FX_Input,$KB67,DZ$85)&amp;" &amp; "&amp;INDEX(FX_Input,$KB67+1,DZ$85))</f>
        <v>Jet kerosene</v>
      </c>
      <c r="EA67" s="63" cm="1">
        <f t="array" ref="EA67">INDEX(FX_Temps,$KC67+7,EA$89)</f>
        <v>16.159999999999961</v>
      </c>
      <c r="EB67" s="63" cm="1">
        <f t="array" ref="EB67">INDEX(FX_Temps,$KC67+13,EB$89)+459.6</f>
        <v>524.31999999999994</v>
      </c>
      <c r="EC67" s="63" cm="1">
        <f t="array" ref="EC67">INDEX(FX_Vap,$KG67,EC$91)-INDEX(FX_Vap,$KH67,EC$91)</f>
        <v>0</v>
      </c>
      <c r="ED67" s="73" cm="1">
        <f t="array" ref="ED67">IF(DZ67="Out of Service",0,INDEX(FX_Vap,$KI67,ED$91))</f>
        <v>9.5874007696552591E-3</v>
      </c>
      <c r="EE67" s="63">
        <f t="shared" si="182"/>
        <v>2.6736576301376797E-2</v>
      </c>
      <c r="EF67" s="63">
        <f t="shared" si="183"/>
        <v>0.99387662333729643</v>
      </c>
      <c r="EG67" s="63" cm="1">
        <f t="array" ref="EG67">INDEX(FX_Vap,$KJ67,EG$91)</f>
        <v>130</v>
      </c>
      <c r="EH67" s="63" cm="1">
        <f t="array" ref="EH67">INDEX(FX_Temps,$KD67,EH$89)+459.6</f>
        <v>524.31999999999994</v>
      </c>
      <c r="EI67" s="63">
        <f t="shared" si="184"/>
        <v>2.215172827080398E-4</v>
      </c>
      <c r="EJ67" s="63" cm="1">
        <f t="array" ref="EJ67">INDEX(Month_Ref,EJ$83,3)*EE67*(PI()/4*$F67^2)*$H67*EF67*EI67</f>
        <v>0.25023133883365928</v>
      </c>
      <c r="EK67" s="63" cm="1">
        <f t="array" ref="EK67">INDEX(FX_Input,$KB67,EK$85)</f>
        <v>485</v>
      </c>
      <c r="EL67" s="63">
        <f t="shared" si="185"/>
        <v>2722.79</v>
      </c>
      <c r="EM67" s="63">
        <f t="shared" si="186"/>
        <v>1.0943067866191458</v>
      </c>
      <c r="EN67" s="63">
        <f t="shared" si="187"/>
        <v>1</v>
      </c>
      <c r="EO67" s="63" cm="1">
        <f t="array" ref="EO67">IF(OR(INDEX(FX_Vap,$KK67,EO$90)="Crude Oil",(INDEX(FX_Vap,$KL67,EO$90)="Crude Oil")),0.75,1)</f>
        <v>1</v>
      </c>
      <c r="EP67" s="63">
        <f t="shared" si="114"/>
        <v>1</v>
      </c>
      <c r="EQ67" s="63">
        <f t="shared" si="188"/>
        <v>0.60314504218462373</v>
      </c>
      <c r="ER67" s="64">
        <f t="shared" si="189"/>
        <v>0.85337638101828306</v>
      </c>
      <c r="ES67" s="80" t="str" cm="1">
        <f t="array" ref="ES67">IF(ISBLANK(INDEX(FX_Input,$KB67+1,ES$85)),INDEX(FX_Input,$KB67,ES$85),INDEX(FX_Input,$KB67,ES$85)&amp;" &amp; "&amp;INDEX(FX_Input,$KB67+1,ES$85))</f>
        <v>Jet kerosene</v>
      </c>
      <c r="ET67" s="63" cm="1">
        <f t="array" ref="ET67">INDEX(FX_Temps,$KC67+7,ET$89)</f>
        <v>15.620000000000012</v>
      </c>
      <c r="EU67" s="63" cm="1">
        <f t="array" ref="EU67">INDEX(FX_Temps,$KC67+13,EU$89)+459.6</f>
        <v>524.23</v>
      </c>
      <c r="EV67" s="63" cm="1">
        <f t="array" ref="EV67">INDEX(FX_Vap,$KG67,EV$91)-INDEX(FX_Vap,$KH67,EV$91)</f>
        <v>0</v>
      </c>
      <c r="EW67" s="73" cm="1">
        <f t="array" ref="EW67">IF(ES67="Out of Service",0,INDEX(FX_Vap,$KI67,EW$91))</f>
        <v>9.5593988737869996E-3</v>
      </c>
      <c r="EX67" s="63">
        <f t="shared" si="190"/>
        <v>2.571179320957322E-2</v>
      </c>
      <c r="EY67" s="63">
        <f t="shared" si="191"/>
        <v>0.99389439867138096</v>
      </c>
      <c r="EZ67" s="63" cm="1">
        <f t="array" ref="EZ67">INDEX(FX_Vap,$KJ67,EZ$91)</f>
        <v>130</v>
      </c>
      <c r="FA67" s="63" cm="1">
        <f t="array" ref="FA67">INDEX(FX_Temps,$KD67,FA$89)+459.6</f>
        <v>524.23</v>
      </c>
      <c r="FB67" s="63">
        <f t="shared" si="192"/>
        <v>2.2090821686528118E-4</v>
      </c>
      <c r="FC67" s="63" cm="1">
        <f t="array" ref="FC67">INDEX(Month_Ref,FC$83,3)*EX67*(PI()/4*$F67^2)*$H67*EY67*FB67</f>
        <v>0.23998289843178944</v>
      </c>
      <c r="FD67" s="63" cm="1">
        <f t="array" ref="FD67">INDEX(FX_Input,$KB67,FD$85)</f>
        <v>485</v>
      </c>
      <c r="FE67" s="63">
        <f t="shared" si="193"/>
        <v>2722.79</v>
      </c>
      <c r="FF67" s="63">
        <f t="shared" si="194"/>
        <v>1.0943067866191458</v>
      </c>
      <c r="FG67" s="63">
        <f t="shared" si="195"/>
        <v>1</v>
      </c>
      <c r="FH67" s="63" cm="1">
        <f t="array" ref="FH67">IF(OR(INDEX(FX_Vap,$KK67,FH$90)="Crude Oil",(INDEX(FX_Vap,$KL67,FH$90)="Crude Oil")),0.75,1)</f>
        <v>1</v>
      </c>
      <c r="FI67" s="63">
        <f t="shared" si="115"/>
        <v>1</v>
      </c>
      <c r="FJ67" s="63">
        <f t="shared" si="196"/>
        <v>0.60148668379861892</v>
      </c>
      <c r="FK67" s="64">
        <f t="shared" si="197"/>
        <v>0.84146958223040835</v>
      </c>
      <c r="FL67" s="80" t="str" cm="1">
        <f t="array" ref="FL67">IF(ISBLANK(INDEX(FX_Input,$KB67+1,FL$85)),INDEX(FX_Input,$KB67,FL$85),INDEX(FX_Input,$KB67,FL$85)&amp;" &amp; "&amp;INDEX(FX_Input,$KB67+1,FL$85))</f>
        <v>Jet kerosene</v>
      </c>
      <c r="FM67" s="63" cm="1">
        <f t="array" ref="FM67">INDEX(FX_Temps,$KC67+7,FM$89)</f>
        <v>15.819999999999986</v>
      </c>
      <c r="FN67" s="63" cm="1">
        <f t="array" ref="FN67">INDEX(FX_Temps,$KC67+13,FN$89)+459.6</f>
        <v>521.19000000000005</v>
      </c>
      <c r="FO67" s="63" cm="1">
        <f t="array" ref="FO67">INDEX(FX_Vap,$KG67,FO$91)-INDEX(FX_Vap,$KH67,FO$91)</f>
        <v>0</v>
      </c>
      <c r="FP67" s="73" cm="1">
        <f t="array" ref="FP67">IF(FL67="Out of Service",0,INDEX(FX_Vap,$KI67,FP$91))</f>
        <v>8.6549593565446326E-3</v>
      </c>
      <c r="FQ67" s="63">
        <f t="shared" si="198"/>
        <v>2.6269576622369735E-2</v>
      </c>
      <c r="FR67" s="63">
        <f t="shared" si="199"/>
        <v>0.99446887029649911</v>
      </c>
      <c r="FS67" s="63" cm="1">
        <f t="array" ref="FS67">INDEX(FX_Vap,$KJ67,FS$91)</f>
        <v>130</v>
      </c>
      <c r="FT67" s="63" cm="1">
        <f t="array" ref="FT67">INDEX(FX_Temps,$KD67,FT$89)+459.6</f>
        <v>521.19000000000005</v>
      </c>
      <c r="FU67" s="63">
        <f t="shared" si="200"/>
        <v>2.0117412258777761E-4</v>
      </c>
      <c r="FV67" s="63" cm="1">
        <f t="array" ref="FV67">INDEX(Month_Ref,FV$83,3)*FQ67*(PI()/4*$F67^2)*$H67*FR67*FU67</f>
        <v>0.21620799918912439</v>
      </c>
      <c r="FW67" s="63" cm="1">
        <f t="array" ref="FW67">INDEX(FX_Input,$KB67,FW$85)</f>
        <v>485</v>
      </c>
      <c r="FX67" s="63">
        <f t="shared" si="201"/>
        <v>2722.79</v>
      </c>
      <c r="FY67" s="63">
        <f t="shared" si="202"/>
        <v>1.0943067866191458</v>
      </c>
      <c r="FZ67" s="63">
        <f t="shared" si="203"/>
        <v>1</v>
      </c>
      <c r="GA67" s="63" cm="1">
        <f t="array" ref="GA67">IF(OR(INDEX(FX_Vap,$KK67,GA$90)="Crude Oil",(INDEX(FX_Vap,$KL67,GA$90)="Crude Oil")),0.75,1)</f>
        <v>1</v>
      </c>
      <c r="GB67" s="63">
        <f t="shared" si="116"/>
        <v>1</v>
      </c>
      <c r="GC67" s="63">
        <f t="shared" si="204"/>
        <v>0.54775488924077498</v>
      </c>
      <c r="GD67" s="64">
        <f t="shared" si="205"/>
        <v>0.76396288842989934</v>
      </c>
      <c r="GE67" s="80" t="str" cm="1">
        <f t="array" ref="GE67">IF(ISBLANK(INDEX(FX_Input,$KB67+1,GE$85)),INDEX(FX_Input,$KB67,GE$85),INDEX(FX_Input,$KB67,GE$85)&amp;" &amp; "&amp;INDEX(FX_Input,$KB67+1,GE$85))</f>
        <v>Jet kerosene</v>
      </c>
      <c r="GF67" s="63" cm="1">
        <f t="array" ref="GF67">INDEX(FX_Temps,$KC67+7,GF$89)</f>
        <v>12.459999999999994</v>
      </c>
      <c r="GG67" s="63" cm="1">
        <f t="array" ref="GG67">INDEX(FX_Temps,$KC67+13,GG$89)+459.6</f>
        <v>514.07000000000005</v>
      </c>
      <c r="GH67" s="63" cm="1">
        <f t="array" ref="GH67">INDEX(FX_Vap,$KG67,GH$91)-INDEX(FX_Vap,$KH67,GH$91)</f>
        <v>0</v>
      </c>
      <c r="GI67" s="73" cm="1">
        <f t="array" ref="GI67">IF(GE67="Out of Service",0,INDEX(FX_Vap,$KI67,GI$91))</f>
        <v>6.8260376495002202E-3</v>
      </c>
      <c r="GJ67" s="63">
        <f t="shared" si="206"/>
        <v>2.01544153834106E-2</v>
      </c>
      <c r="GK67" s="63">
        <f t="shared" si="207"/>
        <v>0.99563257562259144</v>
      </c>
      <c r="GL67" s="63" cm="1">
        <f t="array" ref="GL67">INDEX(FX_Vap,$KJ67,GL$91)</f>
        <v>130</v>
      </c>
      <c r="GM67" s="63" cm="1">
        <f t="array" ref="GM67">INDEX(FX_Temps,$KD67,GM$89)+459.6</f>
        <v>514.07000000000005</v>
      </c>
      <c r="GN67" s="63">
        <f t="shared" si="208"/>
        <v>1.6086056013724922E-4</v>
      </c>
      <c r="GO67" s="63" cm="1">
        <f t="array" ref="GO67">INDEX(Month_Ref,GO$83,3)*GJ67*(PI()/4*$F67^2)*$H67*GK67*GN67</f>
        <v>0.13721914027532919</v>
      </c>
      <c r="GP67" s="63" cm="1">
        <f t="array" ref="GP67">INDEX(FX_Input,$KB67,GP$85)</f>
        <v>485</v>
      </c>
      <c r="GQ67" s="63">
        <f t="shared" si="209"/>
        <v>2722.79</v>
      </c>
      <c r="GR67" s="63">
        <f t="shared" si="210"/>
        <v>1.0943067866191458</v>
      </c>
      <c r="GS67" s="63">
        <f t="shared" si="211"/>
        <v>1</v>
      </c>
      <c r="GT67" s="63" cm="1">
        <f t="array" ref="GT67">IF(OR(INDEX(FX_Vap,$KK67,GT$90)="Crude Oil",(INDEX(FX_Vap,$KL67,GT$90)="Crude Oil")),0.75,1)</f>
        <v>1</v>
      </c>
      <c r="GU67" s="63">
        <f t="shared" si="117"/>
        <v>1</v>
      </c>
      <c r="GV67" s="63">
        <f t="shared" si="212"/>
        <v>0.43798952453610079</v>
      </c>
      <c r="GW67" s="64">
        <f t="shared" si="213"/>
        <v>0.57520866481142996</v>
      </c>
      <c r="GX67" s="80" t="str" cm="1">
        <f t="array" ref="GX67">IF(ISBLANK(INDEX(FX_Input,$KB67+1,GX$85)),INDEX(FX_Input,$KB67,GX$85),INDEX(FX_Input,$KB67,GX$85)&amp;" &amp; "&amp;INDEX(FX_Input,$KB67+1,GX$85))</f>
        <v>Jet kerosene</v>
      </c>
      <c r="GY67" s="63" cm="1">
        <f t="array" ref="GY67">INDEX(FX_Temps,$KC67+7,GY$89)</f>
        <v>9.275000000000027</v>
      </c>
      <c r="GZ67" s="63" cm="1">
        <f t="array" ref="GZ67">INDEX(FX_Temps,$KC67+13,GZ$89)+459.6</f>
        <v>507.67750000000007</v>
      </c>
      <c r="HA67" s="63" cm="1">
        <f t="array" ref="HA67">INDEX(FX_Vap,$KG67,HA$91)-INDEX(FX_Vap,$KH67,HA$91)</f>
        <v>0</v>
      </c>
      <c r="HB67" s="73" cm="1">
        <f t="array" ref="HB67">IF(GX67="Out of Service",0,INDEX(FX_Vap,$KI67,HB$91))</f>
        <v>5.4845718776011703E-3</v>
      </c>
      <c r="HC67" s="63">
        <f t="shared" si="214"/>
        <v>1.4186316174430964E-2</v>
      </c>
      <c r="HD67" s="63">
        <f t="shared" si="215"/>
        <v>0.99648785563077513</v>
      </c>
      <c r="HE67" s="63" cm="1">
        <f t="array" ref="HE67">INDEX(FX_Vap,$KJ67,HE$91)</f>
        <v>130</v>
      </c>
      <c r="HF67" s="63" cm="1">
        <f t="array" ref="HF67">INDEX(FX_Temps,$KD67,HF$89)+459.6</f>
        <v>507.67750000000007</v>
      </c>
      <c r="HG67" s="63">
        <f t="shared" si="216"/>
        <v>1.3087538545533656E-4</v>
      </c>
      <c r="HH67" s="63" cm="1">
        <f t="array" ref="HH67">INDEX(Month_Ref,HH$83,3)*HC67*(PI()/4*$F67^2)*$H67*HD67*HG67</f>
        <v>7.6112326020656568E-2</v>
      </c>
      <c r="HI67" s="63" cm="1">
        <f t="array" ref="HI67">INDEX(FX_Input,$KB67,HI$85)</f>
        <v>485</v>
      </c>
      <c r="HJ67" s="63">
        <f t="shared" si="217"/>
        <v>2722.79</v>
      </c>
      <c r="HK67" s="63">
        <f t="shared" si="218"/>
        <v>1.0943067866191458</v>
      </c>
      <c r="HL67" s="63">
        <f t="shared" si="219"/>
        <v>1</v>
      </c>
      <c r="HM67" s="63" cm="1">
        <f t="array" ref="HM67">IF(OR(INDEX(FX_Vap,$KK67,HM$90)="Crude Oil",(INDEX(FX_Vap,$KL67,HM$90)="Crude Oil")),0.75,1)</f>
        <v>1</v>
      </c>
      <c r="HN67" s="63">
        <f t="shared" si="118"/>
        <v>1</v>
      </c>
      <c r="HO67" s="63">
        <f t="shared" si="220"/>
        <v>0.35634619076393581</v>
      </c>
      <c r="HP67" s="64">
        <f t="shared" si="221"/>
        <v>0.43245851678459235</v>
      </c>
      <c r="HQ67" s="80" t="str" cm="1">
        <f t="array" ref="HQ67">IF(ISBLANK(INDEX(FX_Input,$KB67+1,HQ$85)),INDEX(FX_Input,$KB67,HQ$85),INDEX(FX_Input,$KB67,HQ$85)&amp;" &amp; "&amp;INDEX(FX_Input,$KB67+1,HQ$85))</f>
        <v>Jet kerosene</v>
      </c>
      <c r="HR67" s="63" cm="1">
        <f t="array" ref="HR67">INDEX(FX_Temps,$KC67+7,HR$89)</f>
        <v>7.51</v>
      </c>
      <c r="HS67" s="63" cm="1">
        <f t="array" ref="HS67">INDEX(FX_Temps,$KC67+13,HS$89)+459.6</f>
        <v>503.95500000000004</v>
      </c>
      <c r="HT67" s="63" cm="1">
        <f t="array" ref="HT67">INDEX(FX_Vap,$KG67,HT$91)-INDEX(FX_Vap,$KH67,HT$91)</f>
        <v>0</v>
      </c>
      <c r="HU67" s="73" cm="1">
        <f t="array" ref="HU67">IF(HQ67="Out of Service",0,INDEX(FX_Vap,$KI67,HU$91))</f>
        <v>4.8161086599927579E-3</v>
      </c>
      <c r="HV67" s="63">
        <f t="shared" si="222"/>
        <v>1.0819153855500198E-2</v>
      </c>
      <c r="HW67" s="63">
        <f t="shared" si="223"/>
        <v>0.99691459734495846</v>
      </c>
      <c r="HX67" s="63" cm="1">
        <f t="array" ref="HX67">INDEX(FX_Vap,$KJ67,HX$91)</f>
        <v>130</v>
      </c>
      <c r="HY67" s="63" cm="1">
        <f t="array" ref="HY67">INDEX(FX_Temps,$KD67,HY$89)+459.6</f>
        <v>503.95500000000004</v>
      </c>
      <c r="HZ67" s="63">
        <f t="shared" si="224"/>
        <v>1.1577310359763219E-4</v>
      </c>
      <c r="IA67" s="63" cm="1">
        <f t="array" ref="IA67">INDEX(Month_Ref,IA$83,3)*HV67*(PI()/4*$F67^2)*$H67*HW67*HZ67</f>
        <v>5.308291239335336E-2</v>
      </c>
      <c r="IB67" s="63" cm="1">
        <f t="array" ref="IB67">INDEX(FX_Input,$KB67,IB$85)</f>
        <v>485</v>
      </c>
      <c r="IC67" s="63">
        <f t="shared" si="225"/>
        <v>2722.79</v>
      </c>
      <c r="ID67" s="63">
        <f t="shared" si="226"/>
        <v>1.0943067866191458</v>
      </c>
      <c r="IE67" s="63">
        <f t="shared" si="227"/>
        <v>1</v>
      </c>
      <c r="IF67" s="63" cm="1">
        <f t="array" ref="IF67">IF(OR(INDEX(FX_Vap,$KK67,IF$90)="Crude Oil",(INDEX(FX_Vap,$KL67,IF$90)="Crude Oil")),0.75,1)</f>
        <v>1</v>
      </c>
      <c r="IG67" s="63">
        <f t="shared" si="119"/>
        <v>1</v>
      </c>
      <c r="IH67" s="63">
        <f t="shared" si="228"/>
        <v>0.31522584874459691</v>
      </c>
      <c r="II67" s="64">
        <f t="shared" si="229"/>
        <v>0.3683087611379503</v>
      </c>
      <c r="IJ67" s="80">
        <f t="shared" si="230"/>
        <v>1.7733318589819806</v>
      </c>
      <c r="IK67" s="63">
        <f t="shared" si="231"/>
        <v>8.8666592949099027E-4</v>
      </c>
      <c r="IL67" s="63">
        <f t="shared" si="232"/>
        <v>5.2890742866762075</v>
      </c>
      <c r="IM67" s="63">
        <f t="shared" si="233"/>
        <v>2.6445371433381037E-3</v>
      </c>
      <c r="IN67" s="63">
        <f t="shared" si="234"/>
        <v>7.0624061456581888</v>
      </c>
      <c r="IO67" s="64">
        <f t="shared" si="235"/>
        <v>3.5312030728290944E-3</v>
      </c>
      <c r="KB67" s="43">
        <f t="shared" si="120"/>
        <v>113</v>
      </c>
      <c r="KC67" s="43">
        <f t="shared" si="121"/>
        <v>785</v>
      </c>
      <c r="KD67" s="43">
        <f t="shared" si="122"/>
        <v>798</v>
      </c>
      <c r="KE67" s="43">
        <f t="shared" si="123"/>
        <v>785</v>
      </c>
      <c r="KF67" s="43">
        <f t="shared" si="124"/>
        <v>1905</v>
      </c>
      <c r="KG67" s="43">
        <f t="shared" si="124"/>
        <v>1928</v>
      </c>
      <c r="KH67" s="43">
        <f t="shared" si="124"/>
        <v>1923</v>
      </c>
      <c r="KI67" s="43">
        <f t="shared" si="124"/>
        <v>1933</v>
      </c>
      <c r="KJ67" s="43">
        <f t="shared" si="124"/>
        <v>1938</v>
      </c>
      <c r="KK67" s="43">
        <f t="shared" si="127"/>
        <v>1909</v>
      </c>
      <c r="KL67" s="43">
        <f t="shared" si="128"/>
        <v>1911</v>
      </c>
    </row>
    <row r="68" spans="2:298" x14ac:dyDescent="0.4">
      <c r="B68" s="43" t="str" cm="1">
        <f t="array" ref="B68">INDEX(FX_Input,$KB68,B$85)</f>
        <v>FX - 58</v>
      </c>
      <c r="C68" s="93" t="str" cm="1">
        <f t="array" ref="C68">INDEX(FX_Input,$KB68,C$85)</f>
        <v>FIXTANK 204</v>
      </c>
      <c r="D68" s="80">
        <f t="shared" si="131"/>
        <v>1371.3051932919448</v>
      </c>
      <c r="E68" s="63" cm="1">
        <f t="array" ref="E68">IF(ISBLANK(INDEX(FX_Input,$KB68,$E$85)),0.03,INDEX(FX_Input,$KB68,$E$85))-IF(ISBLANK(INDEX(FX_Input,$KB68,$E$86)),-0.03,INDEX(FX_Input,$KB68,$E$86))</f>
        <v>0.06</v>
      </c>
      <c r="F68" s="63" cm="1">
        <f t="array" ref="F68">IF(INDEX(FX_Input,$KB68,F$85)="Vertical",INDEX(FX_Input,$KB68,F$86),SQRT((INDEX(FX_Input,$KB68,F$86)*INDEX(FX_Input,$KB68,F$87))/(PI()/4)))</f>
        <v>12</v>
      </c>
      <c r="G68" s="63" cm="1">
        <f t="array" ref="G68">IF(INDEX(FX_Input,$KB68,G$85)="Vertical",INDEX(FX_Input,$KB68,G$86),INDEX(FX_Input,$KB68,G$87)*PI()/4)</f>
        <v>24</v>
      </c>
      <c r="H68" s="63" cm="1">
        <f t="array" ref="H68">IF(INDEX(FX_Input,$KB68,H$85)="Vertical",G68-G68/2+J68,G68/2)</f>
        <v>12.125</v>
      </c>
      <c r="I68" s="63" cm="1">
        <f t="array" ref="I68">IF(INDEX(FX_Input,$KB68,F$85)="Horizontal","N/A",IF(INDEX(FX_Input,$KB68,I$86)="Cone",IF(ISBLANK(INDEX(FX_Input,$KB68,I$87)),0.0625,INDEX(FX_Input,$KB68,I$87))*F68/2,F68/2-SQRT((F68/2)^2-(INDEX(FX_Input,$KB68,I$88)^2))))</f>
        <v>0.375</v>
      </c>
      <c r="J68" s="63" cm="1">
        <f t="array" ref="J68">IF(INDEX(FX_Input,$KB68,J$85)="Horizontal","N/A",IF(INDEX(FX_Input,$KB68,J$86)="Cone",I68/3,I68*(1/2+(1/6)*(I68/(F68/2))^2)))</f>
        <v>0.125</v>
      </c>
      <c r="K68" s="63">
        <f t="shared" si="132"/>
        <v>23</v>
      </c>
      <c r="L68" s="63">
        <v>4</v>
      </c>
      <c r="M68" s="63" t="str" cm="1">
        <f t="array" ref="M68">INDEX(Tbl_71_6,MATCH(INDEX(FX_Input,$KB68,M$85),Paint_Color,0),VLOOKUP(INDEX(FX_Input,$KB68,M$86),Paint_Cond_Column,2,FALSE))</f>
        <v>N/A</v>
      </c>
      <c r="N68" s="63" cm="1">
        <f t="array" ref="N68">INDEX(Tbl_71_6,MATCH(INDEX(FX_Input,$KB68,N$85),Paint_Color,0),VLOOKUP(INDEX(FX_Input,$KB68,N$86),Paint_Cond_Column,2,FALSE))</f>
        <v>0.25</v>
      </c>
      <c r="O68" s="64" t="str">
        <f t="shared" si="133"/>
        <v>Partially Insulated</v>
      </c>
      <c r="P68" s="80" t="str" cm="1">
        <f t="array" ref="P68">IF(ISBLANK(INDEX(FX_Input,$KB68+1,P$85)),INDEX(FX_Input,$KB68,P$85),INDEX(FX_Input,$KB68,P$85)&amp;" &amp; "&amp;INDEX(FX_Input,$KB68+1,P$85))</f>
        <v>Jet kerosene</v>
      </c>
      <c r="Q68" s="63" cm="1">
        <f t="array" ref="Q68">INDEX(FX_Temps,$KC68+7,Q$89)</f>
        <v>7.9550000000000205</v>
      </c>
      <c r="R68" s="63" cm="1">
        <f t="array" ref="R68">INDEX(FX_Temps,$KC68+13,R$89)+459.6</f>
        <v>504.35750000000002</v>
      </c>
      <c r="S68" s="63" cm="1">
        <f t="array" ref="S68">INDEX(FX_Vap,$KG68,S$91)-INDEX(FX_Vap,$KH68,S$91)</f>
        <v>0</v>
      </c>
      <c r="T68" s="73" cm="1">
        <f t="array" ref="T68">IF(P68="Out of Service",0,INDEX(FX_Vap,$KI68,T$91))</f>
        <v>4.8847213797703236E-3</v>
      </c>
      <c r="U68" s="63">
        <f t="shared" si="134"/>
        <v>1.1689552888082502E-2</v>
      </c>
      <c r="V68" s="63">
        <f t="shared" si="135"/>
        <v>0.9968707786869524</v>
      </c>
      <c r="W68" s="63" cm="1">
        <f t="array" ref="W68">INDEX(FX_Vap,$KJ68,W$91)</f>
        <v>130</v>
      </c>
      <c r="X68" s="63" cm="1">
        <f t="array" ref="X68">INDEX(FX_Temps,$KD68,X$89)+459.6</f>
        <v>504.35750000000002</v>
      </c>
      <c r="Y68" s="63">
        <f t="shared" si="136"/>
        <v>1.1732875736907137E-4</v>
      </c>
      <c r="Z68" s="63" cm="1">
        <f t="array" ref="Z68">INDEX(Month_Ref,Z$83,3)*U68*(PI()/4*$F68^2)*$H68*V68*Y68</f>
        <v>5.8121531785959094E-2</v>
      </c>
      <c r="AA68" s="63" cm="1">
        <f t="array" ref="AA68">INDEX(FX_Input,$KB68,AA$85)</f>
        <v>483</v>
      </c>
      <c r="AB68" s="63">
        <f t="shared" si="137"/>
        <v>2711.5619999999999</v>
      </c>
      <c r="AC68" s="63">
        <f t="shared" si="138"/>
        <v>1.0897941813134997</v>
      </c>
      <c r="AD68" s="63">
        <f t="shared" si="139"/>
        <v>1</v>
      </c>
      <c r="AE68" s="63" cm="1">
        <f t="array" ref="AE68">IF(OR(INDEX(FX_Vap,$KK68,AE$90)="Crude Oil",(INDEX(FX_Vap,$KL68,AE$90)="Crude Oil")),0.75,1)</f>
        <v>1</v>
      </c>
      <c r="AF68" s="63">
        <f t="shared" si="108"/>
        <v>1</v>
      </c>
      <c r="AG68" s="63">
        <f t="shared" si="140"/>
        <v>0.31814419998919391</v>
      </c>
      <c r="AH68" s="64">
        <f t="shared" si="141"/>
        <v>0.37626573177515299</v>
      </c>
      <c r="AI68" s="80" t="str" cm="1">
        <f t="array" ref="AI68">IF(ISBLANK(INDEX(FX_Input,$KB68+1,AI$85)),INDEX(FX_Input,$KB68,AI$85),INDEX(FX_Input,$KB68,AI$85)&amp;" &amp; "&amp;INDEX(FX_Input,$KB68+1,AI$85))</f>
        <v>Jet kerosene</v>
      </c>
      <c r="AJ68" s="63" cm="1">
        <f t="array" ref="AJ68">INDEX(FX_Temps,$KC68+7,AJ$89)</f>
        <v>10.919999999999993</v>
      </c>
      <c r="AK68" s="63" cm="1">
        <f t="array" ref="AK68">INDEX(FX_Temps,$KC68+13,AK$89)+459.6</f>
        <v>505.80000000000007</v>
      </c>
      <c r="AL68" s="63" cm="1">
        <f t="array" ref="AL68">INDEX(FX_Vap,$KG68,AL$91)-INDEX(FX_Vap,$KH68,AL$91)</f>
        <v>0</v>
      </c>
      <c r="AM68" s="73" cm="1">
        <f t="array" ref="AM68">IF(AI68="Out of Service",0,INDEX(FX_Vap,$KI68,AM$91))</f>
        <v>5.1377970454196883E-3</v>
      </c>
      <c r="AN68" s="63">
        <f t="shared" si="142"/>
        <v>1.7506501368062713E-2</v>
      </c>
      <c r="AO68" s="63">
        <f t="shared" si="143"/>
        <v>0.99670918837018518</v>
      </c>
      <c r="AP68" s="63" cm="1">
        <f t="array" ref="AP68">INDEX(FX_Vap,$KJ68,AP$91)</f>
        <v>130</v>
      </c>
      <c r="AQ68" s="63" cm="1">
        <f t="array" ref="AQ68">INDEX(FX_Temps,$KD68,AQ$89)+459.6</f>
        <v>505.80000000000007</v>
      </c>
      <c r="AR68" s="63">
        <f t="shared" si="144"/>
        <v>1.2305557018495237E-4</v>
      </c>
      <c r="AS68" s="63" cm="1">
        <f t="array" ref="AS68">INDEX(Month_Ref,AS$83,3)*AN68*(PI()/4*$F68^2)*$H68*AO68*AR68</f>
        <v>8.2444417353346539E-2</v>
      </c>
      <c r="AT68" s="63" cm="1">
        <f t="array" ref="AT68">INDEX(FX_Input,$KB68,AT$85)</f>
        <v>483</v>
      </c>
      <c r="AU68" s="63">
        <f t="shared" si="145"/>
        <v>2711.5619999999999</v>
      </c>
      <c r="AV68" s="63">
        <f t="shared" si="146"/>
        <v>1.0897941813134997</v>
      </c>
      <c r="AW68" s="63">
        <f t="shared" si="147"/>
        <v>1</v>
      </c>
      <c r="AX68" s="63" cm="1">
        <f t="array" ref="AX68">IF(OR(INDEX(FX_Vap,$KK68,AX$90)="Crude Oil",(INDEX(FX_Vap,$KL68,AX$90)="Crude Oil")),0.75,1)</f>
        <v>1</v>
      </c>
      <c r="AY68" s="63">
        <f t="shared" si="109"/>
        <v>1</v>
      </c>
      <c r="AZ68" s="63">
        <f t="shared" si="148"/>
        <v>0.33367280800184984</v>
      </c>
      <c r="BA68" s="64">
        <f t="shared" si="149"/>
        <v>0.41611722535519635</v>
      </c>
      <c r="BB68" s="80" t="str" cm="1">
        <f t="array" ref="BB68">IF(ISBLANK(INDEX(FX_Input,$KB68+1,BB$85)),INDEX(FX_Input,$KB68,BB$85),INDEX(FX_Input,$KB68,BB$85)&amp;" &amp; "&amp;INDEX(FX_Input,$KB68+1,BB$85))</f>
        <v>Jet kerosene</v>
      </c>
      <c r="BC68" s="63" cm="1">
        <f t="array" ref="BC68">INDEX(FX_Temps,$KC68+7,BC$89)</f>
        <v>12.305000000000026</v>
      </c>
      <c r="BD68" s="63" cm="1">
        <f t="array" ref="BD68">INDEX(FX_Temps,$KC68+13,BD$89)+459.6</f>
        <v>507.89250000000004</v>
      </c>
      <c r="BE68" s="63" cm="1">
        <f t="array" ref="BE68">INDEX(FX_Vap,$KG68,BE$91)-INDEX(FX_Vap,$KH68,BE$91)</f>
        <v>0</v>
      </c>
      <c r="BF68" s="73" cm="1">
        <f t="array" ref="BF68">IF(BB68="Out of Service",0,INDEX(FX_Vap,$KI68,BF$91))</f>
        <v>5.5255769197630547E-3</v>
      </c>
      <c r="BG68" s="63">
        <f t="shared" si="150"/>
        <v>2.0144400368426241E-2</v>
      </c>
      <c r="BH68" s="63">
        <f t="shared" si="151"/>
        <v>0.99646169022365916</v>
      </c>
      <c r="BI68" s="63" cm="1">
        <f t="array" ref="BI68">INDEX(FX_Vap,$KJ68,BI$91)</f>
        <v>130</v>
      </c>
      <c r="BJ68" s="63" cm="1">
        <f t="array" ref="BJ68">INDEX(FX_Temps,$KD68,BJ$89)+459.6</f>
        <v>507.89250000000004</v>
      </c>
      <c r="BK68" s="63">
        <f t="shared" si="152"/>
        <v>1.3179805059113694E-4</v>
      </c>
      <c r="BL68" s="63" cm="1">
        <f t="array" ref="BL68">INDEX(Month_Ref,BL$83,3)*BG68*(PI()/4*$F68^2)*$H68*BH68*BK68</f>
        <v>0.11246561235619856</v>
      </c>
      <c r="BM68" s="63" cm="1">
        <f t="array" ref="BM68">INDEX(FX_Input,$KB68,BM$85)</f>
        <v>483</v>
      </c>
      <c r="BN68" s="63">
        <f t="shared" si="153"/>
        <v>2711.5619999999999</v>
      </c>
      <c r="BO68" s="63">
        <f t="shared" si="154"/>
        <v>1.0897941813134997</v>
      </c>
      <c r="BP68" s="63">
        <f t="shared" si="155"/>
        <v>1</v>
      </c>
      <c r="BQ68" s="63" cm="1">
        <f t="array" ref="BQ68">IF(OR(INDEX(FX_Vap,$KK68,BQ$90)="Crude Oil",(INDEX(FX_Vap,$KL68,BQ$90)="Crude Oil")),0.75,1)</f>
        <v>1</v>
      </c>
      <c r="BR68" s="63">
        <f t="shared" si="110"/>
        <v>1</v>
      </c>
      <c r="BS68" s="63">
        <f t="shared" si="156"/>
        <v>0.35737858565700442</v>
      </c>
      <c r="BT68" s="64">
        <f t="shared" si="157"/>
        <v>0.46984419801320298</v>
      </c>
      <c r="BU68" s="80" t="str" cm="1">
        <f t="array" ref="BU68">IF(ISBLANK(INDEX(FX_Input,$KB68+1,BU$85)),INDEX(FX_Input,$KB68,BU$85),INDEX(FX_Input,$KB68,BU$85)&amp;" &amp; "&amp;INDEX(FX_Input,$KB68+1,BU$85))</f>
        <v>Jet kerosene</v>
      </c>
      <c r="BV68" s="63" cm="1">
        <f t="array" ref="BV68">INDEX(FX_Temps,$KC68+7,BV$89)</f>
        <v>14.299999999999986</v>
      </c>
      <c r="BW68" s="63" cm="1">
        <f t="array" ref="BW68">INDEX(FX_Temps,$KC68+13,BW$89)+459.6</f>
        <v>511.32999999999993</v>
      </c>
      <c r="BX68" s="63" cm="1">
        <f t="array" ref="BX68">INDEX(FX_Vap,$KG68,BX$91)-INDEX(FX_Vap,$KH68,BX$91)</f>
        <v>0</v>
      </c>
      <c r="BY68" s="73" cm="1">
        <f t="array" ref="BY68">IF(BU68="Out of Service",0,INDEX(FX_Vap,$KI68,BY$91))</f>
        <v>6.219119610903932E-3</v>
      </c>
      <c r="BZ68" s="63">
        <f t="shared" si="158"/>
        <v>2.3882923806806993E-2</v>
      </c>
      <c r="CA68" s="63">
        <f t="shared" si="159"/>
        <v>0.99601934718478424</v>
      </c>
      <c r="CB68" s="63" cm="1">
        <f t="array" ref="CB68">INDEX(FX_Vap,$KJ68,CB$91)</f>
        <v>130</v>
      </c>
      <c r="CC68" s="63" cm="1">
        <f t="array" ref="CC68">INDEX(FX_Temps,$KD68,CC$89)+459.6</f>
        <v>511.32999999999993</v>
      </c>
      <c r="CD68" s="63">
        <f t="shared" si="160"/>
        <v>1.4734343600633653E-4</v>
      </c>
      <c r="CE68" s="63" cm="1">
        <f t="array" ref="CE68">INDEX(Month_Ref,CE$83,3)*BZ68*(PI()/4*$F68^2)*$H68*CA68*CD68</f>
        <v>0.14419208983933265</v>
      </c>
      <c r="CF68" s="63" cm="1">
        <f t="array" ref="CF68">INDEX(FX_Input,$KB68,CF$85)</f>
        <v>483</v>
      </c>
      <c r="CG68" s="63">
        <f t="shared" si="161"/>
        <v>2711.5619999999999</v>
      </c>
      <c r="CH68" s="63">
        <f t="shared" si="162"/>
        <v>1.0897941813134997</v>
      </c>
      <c r="CI68" s="63">
        <f t="shared" si="163"/>
        <v>1</v>
      </c>
      <c r="CJ68" s="63" cm="1">
        <f t="array" ref="CJ68">IF(OR(INDEX(FX_Vap,$KK68,CJ$90)="Crude Oil",(INDEX(FX_Vap,$KL68,CJ$90)="Crude Oil")),0.75,1)</f>
        <v>1</v>
      </c>
      <c r="CK68" s="63">
        <f t="shared" si="111"/>
        <v>1</v>
      </c>
      <c r="CL68" s="63">
        <f t="shared" si="164"/>
        <v>0.3995308620242139</v>
      </c>
      <c r="CM68" s="64">
        <f t="shared" si="165"/>
        <v>0.54372295186354658</v>
      </c>
      <c r="CN68" s="80" t="str" cm="1">
        <f t="array" ref="CN68">IF(ISBLANK(INDEX(FX_Input,$KB68+1,CN$85)),INDEX(FX_Input,$KB68,CN$85),INDEX(FX_Input,$KB68,CN$85)&amp;" &amp; "&amp;INDEX(FX_Input,$KB68+1,CN$85))</f>
        <v>Jet kerosene</v>
      </c>
      <c r="CO68" s="63" cm="1">
        <f t="array" ref="CO68">INDEX(FX_Temps,$KC68+7,CO$89)</f>
        <v>15.664999999999973</v>
      </c>
      <c r="CP68" s="63" cm="1">
        <f t="array" ref="CP68">INDEX(FX_Temps,$KC68+13,CP$89)+459.6</f>
        <v>516.59249999999997</v>
      </c>
      <c r="CQ68" s="63" cm="1">
        <f t="array" ref="CQ68">INDEX(FX_Vap,$KG68,CQ$91)-INDEX(FX_Vap,$KH68,CQ$91)</f>
        <v>0</v>
      </c>
      <c r="CR68" s="73" cm="1">
        <f t="array" ref="CR68">IF(CN68="Out of Service",0,INDEX(FX_Vap,$KI68,CR$91))</f>
        <v>7.430518180814979E-3</v>
      </c>
      <c r="CS68" s="63">
        <f t="shared" si="166"/>
        <v>2.6240010888400458E-2</v>
      </c>
      <c r="CT68" s="63">
        <f t="shared" si="167"/>
        <v>0.99524765587189479</v>
      </c>
      <c r="CU68" s="63" cm="1">
        <f t="array" ref="CU68">INDEX(FX_Vap,$KJ68,CU$91)</f>
        <v>130</v>
      </c>
      <c r="CV68" s="63" cm="1">
        <f t="array" ref="CV68">INDEX(FX_Temps,$KD68,CV$89)+459.6</f>
        <v>516.59249999999997</v>
      </c>
      <c r="CW68" s="63">
        <f t="shared" si="168"/>
        <v>1.7425055172755734E-4</v>
      </c>
      <c r="CX68" s="63" cm="1">
        <f t="array" ref="CX68">INDEX(Month_Ref,CX$83,3)*CS68*(PI()/4*$F68^2)*$H68*CT68*CW68</f>
        <v>0.19344840385982892</v>
      </c>
      <c r="CY68" s="63" cm="1">
        <f t="array" ref="CY68">INDEX(FX_Input,$KB68,CY$85)</f>
        <v>483</v>
      </c>
      <c r="CZ68" s="63">
        <f t="shared" si="169"/>
        <v>2711.5619999999999</v>
      </c>
      <c r="DA68" s="63">
        <f t="shared" si="170"/>
        <v>1.0897941813134997</v>
      </c>
      <c r="DB68" s="63">
        <f t="shared" si="171"/>
        <v>1</v>
      </c>
      <c r="DC68" s="63" cm="1">
        <f t="array" ref="DC68">IF(OR(INDEX(FX_Vap,$KK68,DC$90)="Crude Oil",(INDEX(FX_Vap,$KL68,DC$90)="Crude Oil")),0.75,1)</f>
        <v>1</v>
      </c>
      <c r="DD68" s="63">
        <f t="shared" si="112"/>
        <v>1</v>
      </c>
      <c r="DE68" s="63">
        <f t="shared" si="172"/>
        <v>0.47249117454347883</v>
      </c>
      <c r="DF68" s="64">
        <f t="shared" si="173"/>
        <v>0.66593957840330775</v>
      </c>
      <c r="DG68" s="80" t="str" cm="1">
        <f t="array" ref="DG68">IF(ISBLANK(INDEX(FX_Input,$KB68+1,DG$85)),INDEX(FX_Input,$KB68,DG$85),INDEX(FX_Input,$KB68,DG$85)&amp;" &amp; "&amp;INDEX(FX_Input,$KB68+1,DG$85))</f>
        <v>Jet kerosene</v>
      </c>
      <c r="DH68" s="63" cm="1">
        <f t="array" ref="DH68">INDEX(FX_Temps,$KC68+7,DH$89)</f>
        <v>15.635000000000034</v>
      </c>
      <c r="DI68" s="63" cm="1">
        <f t="array" ref="DI68">INDEX(FX_Temps,$KC68+13,DI$89)+459.6</f>
        <v>520.61750000000006</v>
      </c>
      <c r="DJ68" s="63" cm="1">
        <f t="array" ref="DJ68">INDEX(FX_Vap,$KG68,DJ$91)-INDEX(FX_Vap,$KH68,DJ$91)</f>
        <v>0</v>
      </c>
      <c r="DK68" s="73" cm="1">
        <f t="array" ref="DK68">IF(DG68="Out of Service",0,INDEX(FX_Vap,$KI68,DK$91))</f>
        <v>8.4933610792594406E-3</v>
      </c>
      <c r="DL68" s="63">
        <f t="shared" si="174"/>
        <v>2.5947652812969527E-2</v>
      </c>
      <c r="DM68" s="63">
        <f t="shared" si="175"/>
        <v>0.99457158239034937</v>
      </c>
      <c r="DN68" s="63" cm="1">
        <f t="array" ref="DN68">INDEX(FX_Vap,$KJ68,DN$91)</f>
        <v>130</v>
      </c>
      <c r="DO68" s="63" cm="1">
        <f t="array" ref="DO68">INDEX(FX_Temps,$KD68,DO$89)+459.6</f>
        <v>520.61750000000006</v>
      </c>
      <c r="DP68" s="63">
        <f t="shared" si="176"/>
        <v>1.9763505674536976E-4</v>
      </c>
      <c r="DQ68" s="63" cm="1">
        <f t="array" ref="DQ68">INDEX(Month_Ref,DQ$83,3)*DL68*(PI()/4*$F68^2)*$H68*DM68*DP68</f>
        <v>0.20982318864340274</v>
      </c>
      <c r="DR68" s="63" cm="1">
        <f t="array" ref="DR68">INDEX(FX_Input,$KB68,DR$85)</f>
        <v>483</v>
      </c>
      <c r="DS68" s="63">
        <f t="shared" si="177"/>
        <v>2711.5619999999999</v>
      </c>
      <c r="DT68" s="63">
        <f t="shared" si="178"/>
        <v>1.0897941813134997</v>
      </c>
      <c r="DU68" s="63">
        <f t="shared" si="179"/>
        <v>1</v>
      </c>
      <c r="DV68" s="63" cm="1">
        <f t="array" ref="DV68">IF(OR(INDEX(FX_Vap,$KK68,DV$90)="Crude Oil",(INDEX(FX_Vap,$KL68,DV$90)="Crude Oil")),0.75,1)</f>
        <v>1</v>
      </c>
      <c r="DW68" s="63">
        <f t="shared" si="113"/>
        <v>1</v>
      </c>
      <c r="DX68" s="63">
        <f t="shared" si="180"/>
        <v>0.53589970973858825</v>
      </c>
      <c r="DY68" s="64">
        <f t="shared" si="181"/>
        <v>0.74572289838199102</v>
      </c>
      <c r="DZ68" s="80" t="str" cm="1">
        <f t="array" ref="DZ68">IF(ISBLANK(INDEX(FX_Input,$KB68+1,DZ$85)),INDEX(FX_Input,$KB68,DZ$85),INDEX(FX_Input,$KB68,DZ$85)&amp;" &amp; "&amp;INDEX(FX_Input,$KB68+1,DZ$85))</f>
        <v>Jet kerosene</v>
      </c>
      <c r="EA68" s="63" cm="1">
        <f t="array" ref="EA68">INDEX(FX_Temps,$KC68+7,EA$89)</f>
        <v>16.159999999999961</v>
      </c>
      <c r="EB68" s="63" cm="1">
        <f t="array" ref="EB68">INDEX(FX_Temps,$KC68+13,EB$89)+459.6</f>
        <v>524.31999999999994</v>
      </c>
      <c r="EC68" s="63" cm="1">
        <f t="array" ref="EC68">INDEX(FX_Vap,$KG68,EC$91)-INDEX(FX_Vap,$KH68,EC$91)</f>
        <v>0</v>
      </c>
      <c r="ED68" s="73" cm="1">
        <f t="array" ref="ED68">IF(DZ68="Out of Service",0,INDEX(FX_Vap,$KI68,ED$91))</f>
        <v>9.5874007696552591E-3</v>
      </c>
      <c r="EE68" s="63">
        <f t="shared" si="182"/>
        <v>2.6736576301376797E-2</v>
      </c>
      <c r="EF68" s="63">
        <f t="shared" si="183"/>
        <v>0.99387662333729643</v>
      </c>
      <c r="EG68" s="63" cm="1">
        <f t="array" ref="EG68">INDEX(FX_Vap,$KJ68,EG$91)</f>
        <v>130</v>
      </c>
      <c r="EH68" s="63" cm="1">
        <f t="array" ref="EH68">INDEX(FX_Temps,$KD68,EH$89)+459.6</f>
        <v>524.31999999999994</v>
      </c>
      <c r="EI68" s="63">
        <f t="shared" si="184"/>
        <v>2.215172827080398E-4</v>
      </c>
      <c r="EJ68" s="63" cm="1">
        <f t="array" ref="EJ68">INDEX(Month_Ref,EJ$83,3)*EE68*(PI()/4*$F68^2)*$H68*EF68*EI68</f>
        <v>0.25023133883365928</v>
      </c>
      <c r="EK68" s="63" cm="1">
        <f t="array" ref="EK68">INDEX(FX_Input,$KB68,EK$85)</f>
        <v>483</v>
      </c>
      <c r="EL68" s="63">
        <f t="shared" si="185"/>
        <v>2711.5619999999999</v>
      </c>
      <c r="EM68" s="63">
        <f t="shared" si="186"/>
        <v>1.0897941813134997</v>
      </c>
      <c r="EN68" s="63">
        <f t="shared" si="187"/>
        <v>1</v>
      </c>
      <c r="EO68" s="63" cm="1">
        <f t="array" ref="EO68">IF(OR(INDEX(FX_Vap,$KK68,EO$90)="Crude Oil",(INDEX(FX_Vap,$KL68,EO$90)="Crude Oil")),0.75,1)</f>
        <v>1</v>
      </c>
      <c r="EP68" s="63">
        <f t="shared" si="114"/>
        <v>1</v>
      </c>
      <c r="EQ68" s="63">
        <f t="shared" si="188"/>
        <v>0.60065784613437778</v>
      </c>
      <c r="ER68" s="64">
        <f t="shared" si="189"/>
        <v>0.85088918496803712</v>
      </c>
      <c r="ES68" s="80" t="str" cm="1">
        <f t="array" ref="ES68">IF(ISBLANK(INDEX(FX_Input,$KB68+1,ES$85)),INDEX(FX_Input,$KB68,ES$85),INDEX(FX_Input,$KB68,ES$85)&amp;" &amp; "&amp;INDEX(FX_Input,$KB68+1,ES$85))</f>
        <v>Jet kerosene</v>
      </c>
      <c r="ET68" s="63" cm="1">
        <f t="array" ref="ET68">INDEX(FX_Temps,$KC68+7,ET$89)</f>
        <v>15.620000000000012</v>
      </c>
      <c r="EU68" s="63" cm="1">
        <f t="array" ref="EU68">INDEX(FX_Temps,$KC68+13,EU$89)+459.6</f>
        <v>524.23</v>
      </c>
      <c r="EV68" s="63" cm="1">
        <f t="array" ref="EV68">INDEX(FX_Vap,$KG68,EV$91)-INDEX(FX_Vap,$KH68,EV$91)</f>
        <v>0</v>
      </c>
      <c r="EW68" s="73" cm="1">
        <f t="array" ref="EW68">IF(ES68="Out of Service",0,INDEX(FX_Vap,$KI68,EW$91))</f>
        <v>9.5593988737869996E-3</v>
      </c>
      <c r="EX68" s="63">
        <f t="shared" si="190"/>
        <v>2.571179320957322E-2</v>
      </c>
      <c r="EY68" s="63">
        <f t="shared" si="191"/>
        <v>0.99389439867138096</v>
      </c>
      <c r="EZ68" s="63" cm="1">
        <f t="array" ref="EZ68">INDEX(FX_Vap,$KJ68,EZ$91)</f>
        <v>130</v>
      </c>
      <c r="FA68" s="63" cm="1">
        <f t="array" ref="FA68">INDEX(FX_Temps,$KD68,FA$89)+459.6</f>
        <v>524.23</v>
      </c>
      <c r="FB68" s="63">
        <f t="shared" si="192"/>
        <v>2.2090821686528118E-4</v>
      </c>
      <c r="FC68" s="63" cm="1">
        <f t="array" ref="FC68">INDEX(Month_Ref,FC$83,3)*EX68*(PI()/4*$F68^2)*$H68*EY68*FB68</f>
        <v>0.23998289843178944</v>
      </c>
      <c r="FD68" s="63" cm="1">
        <f t="array" ref="FD68">INDEX(FX_Input,$KB68,FD$85)</f>
        <v>483</v>
      </c>
      <c r="FE68" s="63">
        <f t="shared" si="193"/>
        <v>2711.5619999999999</v>
      </c>
      <c r="FF68" s="63">
        <f t="shared" si="194"/>
        <v>1.0897941813134997</v>
      </c>
      <c r="FG68" s="63">
        <f t="shared" si="195"/>
        <v>1</v>
      </c>
      <c r="FH68" s="63" cm="1">
        <f t="array" ref="FH68">IF(OR(INDEX(FX_Vap,$KK68,FH$90)="Crude Oil",(INDEX(FX_Vap,$KL68,FH$90)="Crude Oil")),0.75,1)</f>
        <v>1</v>
      </c>
      <c r="FI68" s="63">
        <f t="shared" si="115"/>
        <v>1</v>
      </c>
      <c r="FJ68" s="63">
        <f t="shared" si="196"/>
        <v>0.59900632633965556</v>
      </c>
      <c r="FK68" s="64">
        <f t="shared" si="197"/>
        <v>0.838989224771445</v>
      </c>
      <c r="FL68" s="80" t="str" cm="1">
        <f t="array" ref="FL68">IF(ISBLANK(INDEX(FX_Input,$KB68+1,FL$85)),INDEX(FX_Input,$KB68,FL$85),INDEX(FX_Input,$KB68,FL$85)&amp;" &amp; "&amp;INDEX(FX_Input,$KB68+1,FL$85))</f>
        <v>Jet kerosene</v>
      </c>
      <c r="FM68" s="63" cm="1">
        <f t="array" ref="FM68">INDEX(FX_Temps,$KC68+7,FM$89)</f>
        <v>15.819999999999986</v>
      </c>
      <c r="FN68" s="63" cm="1">
        <f t="array" ref="FN68">INDEX(FX_Temps,$KC68+13,FN$89)+459.6</f>
        <v>521.19000000000005</v>
      </c>
      <c r="FO68" s="63" cm="1">
        <f t="array" ref="FO68">INDEX(FX_Vap,$KG68,FO$91)-INDEX(FX_Vap,$KH68,FO$91)</f>
        <v>0</v>
      </c>
      <c r="FP68" s="73" cm="1">
        <f t="array" ref="FP68">IF(FL68="Out of Service",0,INDEX(FX_Vap,$KI68,FP$91))</f>
        <v>8.6549593565446326E-3</v>
      </c>
      <c r="FQ68" s="63">
        <f t="shared" si="198"/>
        <v>2.6269576622369735E-2</v>
      </c>
      <c r="FR68" s="63">
        <f t="shared" si="199"/>
        <v>0.99446887029649911</v>
      </c>
      <c r="FS68" s="63" cm="1">
        <f t="array" ref="FS68">INDEX(FX_Vap,$KJ68,FS$91)</f>
        <v>130</v>
      </c>
      <c r="FT68" s="63" cm="1">
        <f t="array" ref="FT68">INDEX(FX_Temps,$KD68,FT$89)+459.6</f>
        <v>521.19000000000005</v>
      </c>
      <c r="FU68" s="63">
        <f t="shared" si="200"/>
        <v>2.0117412258777761E-4</v>
      </c>
      <c r="FV68" s="63" cm="1">
        <f t="array" ref="FV68">INDEX(Month_Ref,FV$83,3)*FQ68*(PI()/4*$F68^2)*$H68*FR68*FU68</f>
        <v>0.21620799918912439</v>
      </c>
      <c r="FW68" s="63" cm="1">
        <f t="array" ref="FW68">INDEX(FX_Input,$KB68,FW$85)</f>
        <v>483</v>
      </c>
      <c r="FX68" s="63">
        <f t="shared" si="201"/>
        <v>2711.5619999999999</v>
      </c>
      <c r="FY68" s="63">
        <f t="shared" si="202"/>
        <v>1.0897941813134997</v>
      </c>
      <c r="FZ68" s="63">
        <f t="shared" si="203"/>
        <v>1</v>
      </c>
      <c r="GA68" s="63" cm="1">
        <f t="array" ref="GA68">IF(OR(INDEX(FX_Vap,$KK68,GA$90)="Crude Oil",(INDEX(FX_Vap,$KL68,GA$90)="Crude Oil")),0.75,1)</f>
        <v>1</v>
      </c>
      <c r="GB68" s="63">
        <f t="shared" si="116"/>
        <v>1</v>
      </c>
      <c r="GC68" s="63">
        <f t="shared" si="204"/>
        <v>0.54549610619235944</v>
      </c>
      <c r="GD68" s="64">
        <f t="shared" si="205"/>
        <v>0.76170410538148381</v>
      </c>
      <c r="GE68" s="80" t="str" cm="1">
        <f t="array" ref="GE68">IF(ISBLANK(INDEX(FX_Input,$KB68+1,GE$85)),INDEX(FX_Input,$KB68,GE$85),INDEX(FX_Input,$KB68,GE$85)&amp;" &amp; "&amp;INDEX(FX_Input,$KB68+1,GE$85))</f>
        <v>Jet kerosene</v>
      </c>
      <c r="GF68" s="63" cm="1">
        <f t="array" ref="GF68">INDEX(FX_Temps,$KC68+7,GF$89)</f>
        <v>12.459999999999994</v>
      </c>
      <c r="GG68" s="63" cm="1">
        <f t="array" ref="GG68">INDEX(FX_Temps,$KC68+13,GG$89)+459.6</f>
        <v>514.07000000000005</v>
      </c>
      <c r="GH68" s="63" cm="1">
        <f t="array" ref="GH68">INDEX(FX_Vap,$KG68,GH$91)-INDEX(FX_Vap,$KH68,GH$91)</f>
        <v>0</v>
      </c>
      <c r="GI68" s="73" cm="1">
        <f t="array" ref="GI68">IF(GE68="Out of Service",0,INDEX(FX_Vap,$KI68,GI$91))</f>
        <v>6.8260376495002202E-3</v>
      </c>
      <c r="GJ68" s="63">
        <f t="shared" si="206"/>
        <v>2.01544153834106E-2</v>
      </c>
      <c r="GK68" s="63">
        <f t="shared" si="207"/>
        <v>0.99563257562259144</v>
      </c>
      <c r="GL68" s="63" cm="1">
        <f t="array" ref="GL68">INDEX(FX_Vap,$KJ68,GL$91)</f>
        <v>130</v>
      </c>
      <c r="GM68" s="63" cm="1">
        <f t="array" ref="GM68">INDEX(FX_Temps,$KD68,GM$89)+459.6</f>
        <v>514.07000000000005</v>
      </c>
      <c r="GN68" s="63">
        <f t="shared" si="208"/>
        <v>1.6086056013724922E-4</v>
      </c>
      <c r="GO68" s="63" cm="1">
        <f t="array" ref="GO68">INDEX(Month_Ref,GO$83,3)*GJ68*(PI()/4*$F68^2)*$H68*GK68*GN68</f>
        <v>0.13721914027532919</v>
      </c>
      <c r="GP68" s="63" cm="1">
        <f t="array" ref="GP68">INDEX(FX_Input,$KB68,GP$85)</f>
        <v>483</v>
      </c>
      <c r="GQ68" s="63">
        <f t="shared" si="209"/>
        <v>2711.5619999999999</v>
      </c>
      <c r="GR68" s="63">
        <f t="shared" si="210"/>
        <v>1.0897941813134997</v>
      </c>
      <c r="GS68" s="63">
        <f t="shared" si="211"/>
        <v>1</v>
      </c>
      <c r="GT68" s="63" cm="1">
        <f t="array" ref="GT68">IF(OR(INDEX(FX_Vap,$KK68,GT$90)="Crude Oil",(INDEX(FX_Vap,$KL68,GT$90)="Crude Oil")),0.75,1)</f>
        <v>1</v>
      </c>
      <c r="GU68" s="63">
        <f t="shared" si="117"/>
        <v>1</v>
      </c>
      <c r="GV68" s="63">
        <f t="shared" si="212"/>
        <v>0.43618338216687974</v>
      </c>
      <c r="GW68" s="64">
        <f t="shared" si="213"/>
        <v>0.57340252244220891</v>
      </c>
      <c r="GX68" s="80" t="str" cm="1">
        <f t="array" ref="GX68">IF(ISBLANK(INDEX(FX_Input,$KB68+1,GX$85)),INDEX(FX_Input,$KB68,GX$85),INDEX(FX_Input,$KB68,GX$85)&amp;" &amp; "&amp;INDEX(FX_Input,$KB68+1,GX$85))</f>
        <v>Jet kerosene</v>
      </c>
      <c r="GY68" s="63" cm="1">
        <f t="array" ref="GY68">INDEX(FX_Temps,$KC68+7,GY$89)</f>
        <v>9.275000000000027</v>
      </c>
      <c r="GZ68" s="63" cm="1">
        <f t="array" ref="GZ68">INDEX(FX_Temps,$KC68+13,GZ$89)+459.6</f>
        <v>507.67750000000007</v>
      </c>
      <c r="HA68" s="63" cm="1">
        <f t="array" ref="HA68">INDEX(FX_Vap,$KG68,HA$91)-INDEX(FX_Vap,$KH68,HA$91)</f>
        <v>0</v>
      </c>
      <c r="HB68" s="73" cm="1">
        <f t="array" ref="HB68">IF(GX68="Out of Service",0,INDEX(FX_Vap,$KI68,HB$91))</f>
        <v>5.4845718776011703E-3</v>
      </c>
      <c r="HC68" s="63">
        <f t="shared" si="214"/>
        <v>1.4186316174430964E-2</v>
      </c>
      <c r="HD68" s="63">
        <f t="shared" si="215"/>
        <v>0.99648785563077513</v>
      </c>
      <c r="HE68" s="63" cm="1">
        <f t="array" ref="HE68">INDEX(FX_Vap,$KJ68,HE$91)</f>
        <v>130</v>
      </c>
      <c r="HF68" s="63" cm="1">
        <f t="array" ref="HF68">INDEX(FX_Temps,$KD68,HF$89)+459.6</f>
        <v>507.67750000000007</v>
      </c>
      <c r="HG68" s="63">
        <f t="shared" si="216"/>
        <v>1.3087538545533656E-4</v>
      </c>
      <c r="HH68" s="63" cm="1">
        <f t="array" ref="HH68">INDEX(Month_Ref,HH$83,3)*HC68*(PI()/4*$F68^2)*$H68*HD68*HG68</f>
        <v>7.6112326020656568E-2</v>
      </c>
      <c r="HI68" s="63" cm="1">
        <f t="array" ref="HI68">INDEX(FX_Input,$KB68,HI$85)</f>
        <v>483</v>
      </c>
      <c r="HJ68" s="63">
        <f t="shared" si="217"/>
        <v>2711.5619999999999</v>
      </c>
      <c r="HK68" s="63">
        <f t="shared" si="218"/>
        <v>1.0897941813134997</v>
      </c>
      <c r="HL68" s="63">
        <f t="shared" si="219"/>
        <v>1</v>
      </c>
      <c r="HM68" s="63" cm="1">
        <f t="array" ref="HM68">IF(OR(INDEX(FX_Vap,$KK68,HM$90)="Crude Oil",(INDEX(FX_Vap,$KL68,HM$90)="Crude Oil")),0.75,1)</f>
        <v>1</v>
      </c>
      <c r="HN68" s="63">
        <f t="shared" si="118"/>
        <v>1</v>
      </c>
      <c r="HO68" s="63">
        <f t="shared" si="220"/>
        <v>0.3548767219360433</v>
      </c>
      <c r="HP68" s="64">
        <f t="shared" si="221"/>
        <v>0.4309890479566999</v>
      </c>
      <c r="HQ68" s="80" t="str" cm="1">
        <f t="array" ref="HQ68">IF(ISBLANK(INDEX(FX_Input,$KB68+1,HQ$85)),INDEX(FX_Input,$KB68,HQ$85),INDEX(FX_Input,$KB68,HQ$85)&amp;" &amp; "&amp;INDEX(FX_Input,$KB68+1,HQ$85))</f>
        <v>Jet kerosene</v>
      </c>
      <c r="HR68" s="63" cm="1">
        <f t="array" ref="HR68">INDEX(FX_Temps,$KC68+7,HR$89)</f>
        <v>7.51</v>
      </c>
      <c r="HS68" s="63" cm="1">
        <f t="array" ref="HS68">INDEX(FX_Temps,$KC68+13,HS$89)+459.6</f>
        <v>503.95500000000004</v>
      </c>
      <c r="HT68" s="63" cm="1">
        <f t="array" ref="HT68">INDEX(FX_Vap,$KG68,HT$91)-INDEX(FX_Vap,$KH68,HT$91)</f>
        <v>0</v>
      </c>
      <c r="HU68" s="73" cm="1">
        <f t="array" ref="HU68">IF(HQ68="Out of Service",0,INDEX(FX_Vap,$KI68,HU$91))</f>
        <v>4.8161086599927579E-3</v>
      </c>
      <c r="HV68" s="63">
        <f t="shared" si="222"/>
        <v>1.0819153855500198E-2</v>
      </c>
      <c r="HW68" s="63">
        <f t="shared" si="223"/>
        <v>0.99691459734495846</v>
      </c>
      <c r="HX68" s="63" cm="1">
        <f t="array" ref="HX68">INDEX(FX_Vap,$KJ68,HX$91)</f>
        <v>130</v>
      </c>
      <c r="HY68" s="63" cm="1">
        <f t="array" ref="HY68">INDEX(FX_Temps,$KD68,HY$89)+459.6</f>
        <v>503.95500000000004</v>
      </c>
      <c r="HZ68" s="63">
        <f t="shared" si="224"/>
        <v>1.1577310359763219E-4</v>
      </c>
      <c r="IA68" s="63" cm="1">
        <f t="array" ref="IA68">INDEX(Month_Ref,IA$83,3)*HV68*(PI()/4*$F68^2)*$H68*HW68*HZ68</f>
        <v>5.308291239335336E-2</v>
      </c>
      <c r="IB68" s="63" cm="1">
        <f t="array" ref="IB68">INDEX(FX_Input,$KB68,IB$85)</f>
        <v>483</v>
      </c>
      <c r="IC68" s="63">
        <f t="shared" si="225"/>
        <v>2711.5619999999999</v>
      </c>
      <c r="ID68" s="63">
        <f t="shared" si="226"/>
        <v>1.0897941813134997</v>
      </c>
      <c r="IE68" s="63">
        <f t="shared" si="227"/>
        <v>1</v>
      </c>
      <c r="IF68" s="63" cm="1">
        <f t="array" ref="IF68">IF(OR(INDEX(FX_Vap,$KK68,IF$90)="Crude Oil",(INDEX(FX_Vap,$KL68,IF$90)="Crude Oil")),0.75,1)</f>
        <v>1</v>
      </c>
      <c r="IG68" s="63">
        <f t="shared" si="119"/>
        <v>1</v>
      </c>
      <c r="IH68" s="63">
        <f t="shared" si="228"/>
        <v>0.31392594833740273</v>
      </c>
      <c r="II68" s="64">
        <f t="shared" si="229"/>
        <v>0.36700886073075611</v>
      </c>
      <c r="IJ68" s="80">
        <f t="shared" si="230"/>
        <v>1.7733318589819806</v>
      </c>
      <c r="IK68" s="63">
        <f t="shared" si="231"/>
        <v>8.8666592949099027E-4</v>
      </c>
      <c r="IL68" s="63">
        <f t="shared" si="232"/>
        <v>5.2672636710610474</v>
      </c>
      <c r="IM68" s="63">
        <f t="shared" si="233"/>
        <v>2.6336318355305237E-3</v>
      </c>
      <c r="IN68" s="63">
        <f t="shared" si="234"/>
        <v>7.0405955300430287</v>
      </c>
      <c r="IO68" s="64">
        <f t="shared" si="235"/>
        <v>3.5202977650215144E-3</v>
      </c>
      <c r="KB68" s="43">
        <f t="shared" si="120"/>
        <v>115</v>
      </c>
      <c r="KC68" s="43">
        <f t="shared" si="121"/>
        <v>799</v>
      </c>
      <c r="KD68" s="43">
        <f t="shared" si="122"/>
        <v>812</v>
      </c>
      <c r="KE68" s="43">
        <f t="shared" si="123"/>
        <v>799</v>
      </c>
      <c r="KF68" s="43">
        <f t="shared" ref="KF68:KJ68" si="236">KF67+34</f>
        <v>1939</v>
      </c>
      <c r="KG68" s="43">
        <f t="shared" si="236"/>
        <v>1962</v>
      </c>
      <c r="KH68" s="43">
        <f t="shared" si="236"/>
        <v>1957</v>
      </c>
      <c r="KI68" s="43">
        <f t="shared" si="236"/>
        <v>1967</v>
      </c>
      <c r="KJ68" s="43">
        <f t="shared" si="236"/>
        <v>1972</v>
      </c>
      <c r="KK68" s="43">
        <f t="shared" si="127"/>
        <v>1943</v>
      </c>
      <c r="KL68" s="43">
        <f t="shared" si="128"/>
        <v>1945</v>
      </c>
    </row>
    <row r="69" spans="2:298" x14ac:dyDescent="0.4">
      <c r="B69" s="43" t="str" cm="1">
        <f t="array" ref="B69">INDEX(FX_Input,$KB69,B$85)</f>
        <v>FX - 59</v>
      </c>
      <c r="C69" s="93" t="str" cm="1">
        <f t="array" ref="C69">INDEX(FX_Input,$KB69,C$85)</f>
        <v>FIXTANK 205</v>
      </c>
      <c r="D69" s="80">
        <f t="shared" si="131"/>
        <v>1371.3051932919448</v>
      </c>
      <c r="E69" s="63" cm="1">
        <f t="array" ref="E69">IF(ISBLANK(INDEX(FX_Input,$KB69,$E$85)),0.03,INDEX(FX_Input,$KB69,$E$85))-IF(ISBLANK(INDEX(FX_Input,$KB69,$E$86)),-0.03,INDEX(FX_Input,$KB69,$E$86))</f>
        <v>0.06</v>
      </c>
      <c r="F69" s="63" cm="1">
        <f t="array" ref="F69">IF(INDEX(FX_Input,$KB69,F$85)="Vertical",INDEX(FX_Input,$KB69,F$86),SQRT((INDEX(FX_Input,$KB69,F$86)*INDEX(FX_Input,$KB69,F$87))/(PI()/4)))</f>
        <v>12</v>
      </c>
      <c r="G69" s="63" cm="1">
        <f t="array" ref="G69">IF(INDEX(FX_Input,$KB69,G$85)="Vertical",INDEX(FX_Input,$KB69,G$86),INDEX(FX_Input,$KB69,G$87)*PI()/4)</f>
        <v>24</v>
      </c>
      <c r="H69" s="63" cm="1">
        <f t="array" ref="H69">IF(INDEX(FX_Input,$KB69,H$85)="Vertical",G69-G69/2+J69,G69/2)</f>
        <v>12.125</v>
      </c>
      <c r="I69" s="63" cm="1">
        <f t="array" ref="I69">IF(INDEX(FX_Input,$KB69,F$85)="Horizontal","N/A",IF(INDEX(FX_Input,$KB69,I$86)="Cone",IF(ISBLANK(INDEX(FX_Input,$KB69,I$87)),0.0625,INDEX(FX_Input,$KB69,I$87))*F69/2,F69/2-SQRT((F69/2)^2-(INDEX(FX_Input,$KB69,I$88)^2))))</f>
        <v>0.375</v>
      </c>
      <c r="J69" s="63" cm="1">
        <f t="array" ref="J69">IF(INDEX(FX_Input,$KB69,J$85)="Horizontal","N/A",IF(INDEX(FX_Input,$KB69,J$86)="Cone",I69/3,I69*(1/2+(1/6)*(I69/(F69/2))^2)))</f>
        <v>0.125</v>
      </c>
      <c r="K69" s="63">
        <f t="shared" si="132"/>
        <v>23</v>
      </c>
      <c r="L69" s="63">
        <v>5</v>
      </c>
      <c r="M69" s="63" t="str" cm="1">
        <f t="array" ref="M69">INDEX(Tbl_71_6,MATCH(INDEX(FX_Input,$KB69,M$85),Paint_Color,0),VLOOKUP(INDEX(FX_Input,$KB69,M$86),Paint_Cond_Column,2,FALSE))</f>
        <v>N/A</v>
      </c>
      <c r="N69" s="63" cm="1">
        <f t="array" ref="N69">INDEX(Tbl_71_6,MATCH(INDEX(FX_Input,$KB69,N$85),Paint_Color,0),VLOOKUP(INDEX(FX_Input,$KB69,N$86),Paint_Cond_Column,2,FALSE))</f>
        <v>0.25</v>
      </c>
      <c r="O69" s="64" t="str">
        <f t="shared" si="133"/>
        <v>Partially Insulated</v>
      </c>
      <c r="P69" s="80" t="str" cm="1">
        <f t="array" ref="P69">IF(ISBLANK(INDEX(FX_Input,$KB69+1,P$85)),INDEX(FX_Input,$KB69,P$85),INDEX(FX_Input,$KB69,P$85)&amp;" &amp; "&amp;INDEX(FX_Input,$KB69+1,P$85))</f>
        <v>Jet kerosene</v>
      </c>
      <c r="Q69" s="63" cm="1">
        <f t="array" ref="Q69">INDEX(FX_Temps,$KC69+7,Q$89)</f>
        <v>7.9550000000000205</v>
      </c>
      <c r="R69" s="63" cm="1">
        <f t="array" ref="R69">INDEX(FX_Temps,$KC69+13,R$89)+459.6</f>
        <v>504.35750000000002</v>
      </c>
      <c r="S69" s="63" cm="1">
        <f t="array" ref="S69">INDEX(FX_Vap,$KG69,S$91)-INDEX(FX_Vap,$KH69,S$91)</f>
        <v>0</v>
      </c>
      <c r="T69" s="73" cm="1">
        <f t="array" ref="T69">IF(P69="Out of Service",0,INDEX(FX_Vap,$KI69,T$91))</f>
        <v>4.8847213797703236E-3</v>
      </c>
      <c r="U69" s="63">
        <f t="shared" si="134"/>
        <v>1.1689552888082502E-2</v>
      </c>
      <c r="V69" s="63">
        <f t="shared" si="135"/>
        <v>0.9968707786869524</v>
      </c>
      <c r="W69" s="63" cm="1">
        <f t="array" ref="W69">INDEX(FX_Vap,$KJ69,W$91)</f>
        <v>130</v>
      </c>
      <c r="X69" s="63" cm="1">
        <f t="array" ref="X69">INDEX(FX_Temps,$KD69,X$89)+459.6</f>
        <v>504.35750000000002</v>
      </c>
      <c r="Y69" s="63">
        <f t="shared" si="136"/>
        <v>1.1732875736907137E-4</v>
      </c>
      <c r="Z69" s="63" cm="1">
        <f t="array" ref="Z69">INDEX(Month_Ref,Z$83,3)*U69*(PI()/4*$F69^2)*$H69*V69*Y69</f>
        <v>5.8121531785959094E-2</v>
      </c>
      <c r="AA69" s="63" cm="1">
        <f t="array" ref="AA69">INDEX(FX_Input,$KB69,AA$85)</f>
        <v>483</v>
      </c>
      <c r="AB69" s="63">
        <f t="shared" si="137"/>
        <v>2711.5619999999999</v>
      </c>
      <c r="AC69" s="63">
        <f t="shared" si="138"/>
        <v>1.0897941813134997</v>
      </c>
      <c r="AD69" s="63">
        <f t="shared" si="139"/>
        <v>1</v>
      </c>
      <c r="AE69" s="63" cm="1">
        <f t="array" ref="AE69">IF(OR(INDEX(FX_Vap,$KK69,AE$90)="Crude Oil",(INDEX(FX_Vap,$KL69,AE$90)="Crude Oil")),0.75,1)</f>
        <v>1</v>
      </c>
      <c r="AF69" s="63">
        <f t="shared" si="108"/>
        <v>1</v>
      </c>
      <c r="AG69" s="63">
        <f t="shared" si="140"/>
        <v>0.31814419998919391</v>
      </c>
      <c r="AH69" s="64">
        <f t="shared" si="141"/>
        <v>0.37626573177515299</v>
      </c>
      <c r="AI69" s="80" t="str" cm="1">
        <f t="array" ref="AI69">IF(ISBLANK(INDEX(FX_Input,$KB69+1,AI$85)),INDEX(FX_Input,$KB69,AI$85),INDEX(FX_Input,$KB69,AI$85)&amp;" &amp; "&amp;INDEX(FX_Input,$KB69+1,AI$85))</f>
        <v>Jet kerosene</v>
      </c>
      <c r="AJ69" s="63" cm="1">
        <f t="array" ref="AJ69">INDEX(FX_Temps,$KC69+7,AJ$89)</f>
        <v>10.919999999999993</v>
      </c>
      <c r="AK69" s="63" cm="1">
        <f t="array" ref="AK69">INDEX(FX_Temps,$KC69+13,AK$89)+459.6</f>
        <v>505.80000000000007</v>
      </c>
      <c r="AL69" s="63" cm="1">
        <f t="array" ref="AL69">INDEX(FX_Vap,$KG69,AL$91)-INDEX(FX_Vap,$KH69,AL$91)</f>
        <v>0</v>
      </c>
      <c r="AM69" s="73" cm="1">
        <f t="array" ref="AM69">IF(AI69="Out of Service",0,INDEX(FX_Vap,$KI69,AM$91))</f>
        <v>5.1377970454196883E-3</v>
      </c>
      <c r="AN69" s="63">
        <f t="shared" si="142"/>
        <v>1.7506501368062713E-2</v>
      </c>
      <c r="AO69" s="63">
        <f t="shared" si="143"/>
        <v>0.99670918837018518</v>
      </c>
      <c r="AP69" s="63" cm="1">
        <f t="array" ref="AP69">INDEX(FX_Vap,$KJ69,AP$91)</f>
        <v>130</v>
      </c>
      <c r="AQ69" s="63" cm="1">
        <f t="array" ref="AQ69">INDEX(FX_Temps,$KD69,AQ$89)+459.6</f>
        <v>505.80000000000007</v>
      </c>
      <c r="AR69" s="63">
        <f t="shared" si="144"/>
        <v>1.2305557018495237E-4</v>
      </c>
      <c r="AS69" s="63" cm="1">
        <f t="array" ref="AS69">INDEX(Month_Ref,AS$83,3)*AN69*(PI()/4*$F69^2)*$H69*AO69*AR69</f>
        <v>8.2444417353346539E-2</v>
      </c>
      <c r="AT69" s="63" cm="1">
        <f t="array" ref="AT69">INDEX(FX_Input,$KB69,AT$85)</f>
        <v>483</v>
      </c>
      <c r="AU69" s="63">
        <f t="shared" si="145"/>
        <v>2711.5619999999999</v>
      </c>
      <c r="AV69" s="63">
        <f t="shared" si="146"/>
        <v>1.0897941813134997</v>
      </c>
      <c r="AW69" s="63">
        <f t="shared" si="147"/>
        <v>1</v>
      </c>
      <c r="AX69" s="63" cm="1">
        <f t="array" ref="AX69">IF(OR(INDEX(FX_Vap,$KK69,AX$90)="Crude Oil",(INDEX(FX_Vap,$KL69,AX$90)="Crude Oil")),0.75,1)</f>
        <v>1</v>
      </c>
      <c r="AY69" s="63">
        <f t="shared" si="109"/>
        <v>1</v>
      </c>
      <c r="AZ69" s="63">
        <f t="shared" si="148"/>
        <v>0.33367280800184984</v>
      </c>
      <c r="BA69" s="64">
        <f t="shared" si="149"/>
        <v>0.41611722535519635</v>
      </c>
      <c r="BB69" s="80" t="str" cm="1">
        <f t="array" ref="BB69">IF(ISBLANK(INDEX(FX_Input,$KB69+1,BB$85)),INDEX(FX_Input,$KB69,BB$85),INDEX(FX_Input,$KB69,BB$85)&amp;" &amp; "&amp;INDEX(FX_Input,$KB69+1,BB$85))</f>
        <v>Jet kerosene</v>
      </c>
      <c r="BC69" s="63" cm="1">
        <f t="array" ref="BC69">INDEX(FX_Temps,$KC69+7,BC$89)</f>
        <v>12.305000000000026</v>
      </c>
      <c r="BD69" s="63" cm="1">
        <f t="array" ref="BD69">INDEX(FX_Temps,$KC69+13,BD$89)+459.6</f>
        <v>507.89250000000004</v>
      </c>
      <c r="BE69" s="63" cm="1">
        <f t="array" ref="BE69">INDEX(FX_Vap,$KG69,BE$91)-INDEX(FX_Vap,$KH69,BE$91)</f>
        <v>0</v>
      </c>
      <c r="BF69" s="73" cm="1">
        <f t="array" ref="BF69">IF(BB69="Out of Service",0,INDEX(FX_Vap,$KI69,BF$91))</f>
        <v>5.5255769197630547E-3</v>
      </c>
      <c r="BG69" s="63">
        <f t="shared" si="150"/>
        <v>2.0144400368426241E-2</v>
      </c>
      <c r="BH69" s="63">
        <f t="shared" si="151"/>
        <v>0.99646169022365916</v>
      </c>
      <c r="BI69" s="63" cm="1">
        <f t="array" ref="BI69">INDEX(FX_Vap,$KJ69,BI$91)</f>
        <v>130</v>
      </c>
      <c r="BJ69" s="63" cm="1">
        <f t="array" ref="BJ69">INDEX(FX_Temps,$KD69,BJ$89)+459.6</f>
        <v>507.89250000000004</v>
      </c>
      <c r="BK69" s="63">
        <f t="shared" si="152"/>
        <v>1.3179805059113694E-4</v>
      </c>
      <c r="BL69" s="63" cm="1">
        <f t="array" ref="BL69">INDEX(Month_Ref,BL$83,3)*BG69*(PI()/4*$F69^2)*$H69*BH69*BK69</f>
        <v>0.11246561235619856</v>
      </c>
      <c r="BM69" s="63" cm="1">
        <f t="array" ref="BM69">INDEX(FX_Input,$KB69,BM$85)</f>
        <v>483</v>
      </c>
      <c r="BN69" s="63">
        <f t="shared" si="153"/>
        <v>2711.5619999999999</v>
      </c>
      <c r="BO69" s="63">
        <f t="shared" si="154"/>
        <v>1.0897941813134997</v>
      </c>
      <c r="BP69" s="63">
        <f t="shared" si="155"/>
        <v>1</v>
      </c>
      <c r="BQ69" s="63" cm="1">
        <f t="array" ref="BQ69">IF(OR(INDEX(FX_Vap,$KK69,BQ$90)="Crude Oil",(INDEX(FX_Vap,$KL69,BQ$90)="Crude Oil")),0.75,1)</f>
        <v>1</v>
      </c>
      <c r="BR69" s="63">
        <f t="shared" si="110"/>
        <v>1</v>
      </c>
      <c r="BS69" s="63">
        <f t="shared" si="156"/>
        <v>0.35737858565700442</v>
      </c>
      <c r="BT69" s="64">
        <f t="shared" si="157"/>
        <v>0.46984419801320298</v>
      </c>
      <c r="BU69" s="80" t="str" cm="1">
        <f t="array" ref="BU69">IF(ISBLANK(INDEX(FX_Input,$KB69+1,BU$85)),INDEX(FX_Input,$KB69,BU$85),INDEX(FX_Input,$KB69,BU$85)&amp;" &amp; "&amp;INDEX(FX_Input,$KB69+1,BU$85))</f>
        <v>Jet kerosene</v>
      </c>
      <c r="BV69" s="63" cm="1">
        <f t="array" ref="BV69">INDEX(FX_Temps,$KC69+7,BV$89)</f>
        <v>14.299999999999986</v>
      </c>
      <c r="BW69" s="63" cm="1">
        <f t="array" ref="BW69">INDEX(FX_Temps,$KC69+13,BW$89)+459.6</f>
        <v>511.32999999999993</v>
      </c>
      <c r="BX69" s="63" cm="1">
        <f t="array" ref="BX69">INDEX(FX_Vap,$KG69,BX$91)-INDEX(FX_Vap,$KH69,BX$91)</f>
        <v>0</v>
      </c>
      <c r="BY69" s="73" cm="1">
        <f t="array" ref="BY69">IF(BU69="Out of Service",0,INDEX(FX_Vap,$KI69,BY$91))</f>
        <v>6.219119610903932E-3</v>
      </c>
      <c r="BZ69" s="63">
        <f t="shared" si="158"/>
        <v>2.3882923806806993E-2</v>
      </c>
      <c r="CA69" s="63">
        <f t="shared" si="159"/>
        <v>0.99601934718478424</v>
      </c>
      <c r="CB69" s="63" cm="1">
        <f t="array" ref="CB69">INDEX(FX_Vap,$KJ69,CB$91)</f>
        <v>130</v>
      </c>
      <c r="CC69" s="63" cm="1">
        <f t="array" ref="CC69">INDEX(FX_Temps,$KD69,CC$89)+459.6</f>
        <v>511.32999999999993</v>
      </c>
      <c r="CD69" s="63">
        <f t="shared" si="160"/>
        <v>1.4734343600633653E-4</v>
      </c>
      <c r="CE69" s="63" cm="1">
        <f t="array" ref="CE69">INDEX(Month_Ref,CE$83,3)*BZ69*(PI()/4*$F69^2)*$H69*CA69*CD69</f>
        <v>0.14419208983933265</v>
      </c>
      <c r="CF69" s="63" cm="1">
        <f t="array" ref="CF69">INDEX(FX_Input,$KB69,CF$85)</f>
        <v>483</v>
      </c>
      <c r="CG69" s="63">
        <f t="shared" si="161"/>
        <v>2711.5619999999999</v>
      </c>
      <c r="CH69" s="63">
        <f t="shared" si="162"/>
        <v>1.0897941813134997</v>
      </c>
      <c r="CI69" s="63">
        <f t="shared" si="163"/>
        <v>1</v>
      </c>
      <c r="CJ69" s="63" cm="1">
        <f t="array" ref="CJ69">IF(OR(INDEX(FX_Vap,$KK69,CJ$90)="Crude Oil",(INDEX(FX_Vap,$KL69,CJ$90)="Crude Oil")),0.75,1)</f>
        <v>1</v>
      </c>
      <c r="CK69" s="63">
        <f t="shared" si="111"/>
        <v>1</v>
      </c>
      <c r="CL69" s="63">
        <f t="shared" si="164"/>
        <v>0.3995308620242139</v>
      </c>
      <c r="CM69" s="64">
        <f t="shared" si="165"/>
        <v>0.54372295186354658</v>
      </c>
      <c r="CN69" s="80" t="str" cm="1">
        <f t="array" ref="CN69">IF(ISBLANK(INDEX(FX_Input,$KB69+1,CN$85)),INDEX(FX_Input,$KB69,CN$85),INDEX(FX_Input,$KB69,CN$85)&amp;" &amp; "&amp;INDEX(FX_Input,$KB69+1,CN$85))</f>
        <v>Jet kerosene</v>
      </c>
      <c r="CO69" s="63" cm="1">
        <f t="array" ref="CO69">INDEX(FX_Temps,$KC69+7,CO$89)</f>
        <v>15.664999999999973</v>
      </c>
      <c r="CP69" s="63" cm="1">
        <f t="array" ref="CP69">INDEX(FX_Temps,$KC69+13,CP$89)+459.6</f>
        <v>516.59249999999997</v>
      </c>
      <c r="CQ69" s="63" cm="1">
        <f t="array" ref="CQ69">INDEX(FX_Vap,$KG69,CQ$91)-INDEX(FX_Vap,$KH69,CQ$91)</f>
        <v>0</v>
      </c>
      <c r="CR69" s="73" cm="1">
        <f t="array" ref="CR69">IF(CN69="Out of Service",0,INDEX(FX_Vap,$KI69,CR$91))</f>
        <v>7.430518180814979E-3</v>
      </c>
      <c r="CS69" s="63">
        <f t="shared" si="166"/>
        <v>2.6240010888400458E-2</v>
      </c>
      <c r="CT69" s="63">
        <f t="shared" si="167"/>
        <v>0.99524765587189479</v>
      </c>
      <c r="CU69" s="63" cm="1">
        <f t="array" ref="CU69">INDEX(FX_Vap,$KJ69,CU$91)</f>
        <v>130</v>
      </c>
      <c r="CV69" s="63" cm="1">
        <f t="array" ref="CV69">INDEX(FX_Temps,$KD69,CV$89)+459.6</f>
        <v>516.59249999999997</v>
      </c>
      <c r="CW69" s="63">
        <f t="shared" si="168"/>
        <v>1.7425055172755734E-4</v>
      </c>
      <c r="CX69" s="63" cm="1">
        <f t="array" ref="CX69">INDEX(Month_Ref,CX$83,3)*CS69*(PI()/4*$F69^2)*$H69*CT69*CW69</f>
        <v>0.19344840385982892</v>
      </c>
      <c r="CY69" s="63" cm="1">
        <f t="array" ref="CY69">INDEX(FX_Input,$KB69,CY$85)</f>
        <v>483</v>
      </c>
      <c r="CZ69" s="63">
        <f t="shared" si="169"/>
        <v>2711.5619999999999</v>
      </c>
      <c r="DA69" s="63">
        <f t="shared" si="170"/>
        <v>1.0897941813134997</v>
      </c>
      <c r="DB69" s="63">
        <f t="shared" si="171"/>
        <v>1</v>
      </c>
      <c r="DC69" s="63" cm="1">
        <f t="array" ref="DC69">IF(OR(INDEX(FX_Vap,$KK69,DC$90)="Crude Oil",(INDEX(FX_Vap,$KL69,DC$90)="Crude Oil")),0.75,1)</f>
        <v>1</v>
      </c>
      <c r="DD69" s="63">
        <f t="shared" si="112"/>
        <v>1</v>
      </c>
      <c r="DE69" s="63">
        <f t="shared" si="172"/>
        <v>0.47249117454347883</v>
      </c>
      <c r="DF69" s="64">
        <f t="shared" si="173"/>
        <v>0.66593957840330775</v>
      </c>
      <c r="DG69" s="80" t="str" cm="1">
        <f t="array" ref="DG69">IF(ISBLANK(INDEX(FX_Input,$KB69+1,DG$85)),INDEX(FX_Input,$KB69,DG$85),INDEX(FX_Input,$KB69,DG$85)&amp;" &amp; "&amp;INDEX(FX_Input,$KB69+1,DG$85))</f>
        <v>Jet kerosene</v>
      </c>
      <c r="DH69" s="63" cm="1">
        <f t="array" ref="DH69">INDEX(FX_Temps,$KC69+7,DH$89)</f>
        <v>15.635000000000034</v>
      </c>
      <c r="DI69" s="63" cm="1">
        <f t="array" ref="DI69">INDEX(FX_Temps,$KC69+13,DI$89)+459.6</f>
        <v>520.61750000000006</v>
      </c>
      <c r="DJ69" s="63" cm="1">
        <f t="array" ref="DJ69">INDEX(FX_Vap,$KG69,DJ$91)-INDEX(FX_Vap,$KH69,DJ$91)</f>
        <v>0</v>
      </c>
      <c r="DK69" s="73" cm="1">
        <f t="array" ref="DK69">IF(DG69="Out of Service",0,INDEX(FX_Vap,$KI69,DK$91))</f>
        <v>8.4933610792594406E-3</v>
      </c>
      <c r="DL69" s="63">
        <f t="shared" si="174"/>
        <v>2.5947652812969527E-2</v>
      </c>
      <c r="DM69" s="63">
        <f t="shared" si="175"/>
        <v>0.99457158239034937</v>
      </c>
      <c r="DN69" s="63" cm="1">
        <f t="array" ref="DN69">INDEX(FX_Vap,$KJ69,DN$91)</f>
        <v>130</v>
      </c>
      <c r="DO69" s="63" cm="1">
        <f t="array" ref="DO69">INDEX(FX_Temps,$KD69,DO$89)+459.6</f>
        <v>520.61750000000006</v>
      </c>
      <c r="DP69" s="63">
        <f t="shared" si="176"/>
        <v>1.9763505674536976E-4</v>
      </c>
      <c r="DQ69" s="63" cm="1">
        <f t="array" ref="DQ69">INDEX(Month_Ref,DQ$83,3)*DL69*(PI()/4*$F69^2)*$H69*DM69*DP69</f>
        <v>0.20982318864340274</v>
      </c>
      <c r="DR69" s="63" cm="1">
        <f t="array" ref="DR69">INDEX(FX_Input,$KB69,DR$85)</f>
        <v>483</v>
      </c>
      <c r="DS69" s="63">
        <f t="shared" si="177"/>
        <v>2711.5619999999999</v>
      </c>
      <c r="DT69" s="63">
        <f t="shared" si="178"/>
        <v>1.0897941813134997</v>
      </c>
      <c r="DU69" s="63">
        <f t="shared" si="179"/>
        <v>1</v>
      </c>
      <c r="DV69" s="63" cm="1">
        <f t="array" ref="DV69">IF(OR(INDEX(FX_Vap,$KK69,DV$90)="Crude Oil",(INDEX(FX_Vap,$KL69,DV$90)="Crude Oil")),0.75,1)</f>
        <v>1</v>
      </c>
      <c r="DW69" s="63">
        <f t="shared" si="113"/>
        <v>1</v>
      </c>
      <c r="DX69" s="63">
        <f t="shared" si="180"/>
        <v>0.53589970973858825</v>
      </c>
      <c r="DY69" s="64">
        <f t="shared" si="181"/>
        <v>0.74572289838199102</v>
      </c>
      <c r="DZ69" s="80" t="str" cm="1">
        <f t="array" ref="DZ69">IF(ISBLANK(INDEX(FX_Input,$KB69+1,DZ$85)),INDEX(FX_Input,$KB69,DZ$85),INDEX(FX_Input,$KB69,DZ$85)&amp;" &amp; "&amp;INDEX(FX_Input,$KB69+1,DZ$85))</f>
        <v>Jet kerosene</v>
      </c>
      <c r="EA69" s="63" cm="1">
        <f t="array" ref="EA69">INDEX(FX_Temps,$KC69+7,EA$89)</f>
        <v>16.159999999999961</v>
      </c>
      <c r="EB69" s="63" cm="1">
        <f t="array" ref="EB69">INDEX(FX_Temps,$KC69+13,EB$89)+459.6</f>
        <v>524.31999999999994</v>
      </c>
      <c r="EC69" s="63" cm="1">
        <f t="array" ref="EC69">INDEX(FX_Vap,$KG69,EC$91)-INDEX(FX_Vap,$KH69,EC$91)</f>
        <v>0</v>
      </c>
      <c r="ED69" s="73" cm="1">
        <f t="array" ref="ED69">IF(DZ69="Out of Service",0,INDEX(FX_Vap,$KI69,ED$91))</f>
        <v>9.5874007696552591E-3</v>
      </c>
      <c r="EE69" s="63">
        <f t="shared" si="182"/>
        <v>2.6736576301376797E-2</v>
      </c>
      <c r="EF69" s="63">
        <f t="shared" si="183"/>
        <v>0.99387662333729643</v>
      </c>
      <c r="EG69" s="63" cm="1">
        <f t="array" ref="EG69">INDEX(FX_Vap,$KJ69,EG$91)</f>
        <v>130</v>
      </c>
      <c r="EH69" s="63" cm="1">
        <f t="array" ref="EH69">INDEX(FX_Temps,$KD69,EH$89)+459.6</f>
        <v>524.31999999999994</v>
      </c>
      <c r="EI69" s="63">
        <f t="shared" si="184"/>
        <v>2.215172827080398E-4</v>
      </c>
      <c r="EJ69" s="63" cm="1">
        <f t="array" ref="EJ69">INDEX(Month_Ref,EJ$83,3)*EE69*(PI()/4*$F69^2)*$H69*EF69*EI69</f>
        <v>0.25023133883365928</v>
      </c>
      <c r="EK69" s="63" cm="1">
        <f t="array" ref="EK69">INDEX(FX_Input,$KB69,EK$85)</f>
        <v>483</v>
      </c>
      <c r="EL69" s="63">
        <f t="shared" si="185"/>
        <v>2711.5619999999999</v>
      </c>
      <c r="EM69" s="63">
        <f t="shared" si="186"/>
        <v>1.0897941813134997</v>
      </c>
      <c r="EN69" s="63">
        <f t="shared" si="187"/>
        <v>1</v>
      </c>
      <c r="EO69" s="63" cm="1">
        <f t="array" ref="EO69">IF(OR(INDEX(FX_Vap,$KK69,EO$90)="Crude Oil",(INDEX(FX_Vap,$KL69,EO$90)="Crude Oil")),0.75,1)</f>
        <v>1</v>
      </c>
      <c r="EP69" s="63">
        <f t="shared" si="114"/>
        <v>1</v>
      </c>
      <c r="EQ69" s="63">
        <f t="shared" si="188"/>
        <v>0.60065784613437778</v>
      </c>
      <c r="ER69" s="64">
        <f t="shared" si="189"/>
        <v>0.85088918496803712</v>
      </c>
      <c r="ES69" s="80" t="str" cm="1">
        <f t="array" ref="ES69">IF(ISBLANK(INDEX(FX_Input,$KB69+1,ES$85)),INDEX(FX_Input,$KB69,ES$85),INDEX(FX_Input,$KB69,ES$85)&amp;" &amp; "&amp;INDEX(FX_Input,$KB69+1,ES$85))</f>
        <v>Jet kerosene</v>
      </c>
      <c r="ET69" s="63" cm="1">
        <f t="array" ref="ET69">INDEX(FX_Temps,$KC69+7,ET$89)</f>
        <v>15.620000000000012</v>
      </c>
      <c r="EU69" s="63" cm="1">
        <f t="array" ref="EU69">INDEX(FX_Temps,$KC69+13,EU$89)+459.6</f>
        <v>524.23</v>
      </c>
      <c r="EV69" s="63" cm="1">
        <f t="array" ref="EV69">INDEX(FX_Vap,$KG69,EV$91)-INDEX(FX_Vap,$KH69,EV$91)</f>
        <v>0</v>
      </c>
      <c r="EW69" s="73" cm="1">
        <f t="array" ref="EW69">IF(ES69="Out of Service",0,INDEX(FX_Vap,$KI69,EW$91))</f>
        <v>9.5593988737869996E-3</v>
      </c>
      <c r="EX69" s="63">
        <f t="shared" si="190"/>
        <v>2.571179320957322E-2</v>
      </c>
      <c r="EY69" s="63">
        <f t="shared" si="191"/>
        <v>0.99389439867138096</v>
      </c>
      <c r="EZ69" s="63" cm="1">
        <f t="array" ref="EZ69">INDEX(FX_Vap,$KJ69,EZ$91)</f>
        <v>130</v>
      </c>
      <c r="FA69" s="63" cm="1">
        <f t="array" ref="FA69">INDEX(FX_Temps,$KD69,FA$89)+459.6</f>
        <v>524.23</v>
      </c>
      <c r="FB69" s="63">
        <f t="shared" si="192"/>
        <v>2.2090821686528118E-4</v>
      </c>
      <c r="FC69" s="63" cm="1">
        <f t="array" ref="FC69">INDEX(Month_Ref,FC$83,3)*EX69*(PI()/4*$F69^2)*$H69*EY69*FB69</f>
        <v>0.23998289843178944</v>
      </c>
      <c r="FD69" s="63" cm="1">
        <f t="array" ref="FD69">INDEX(FX_Input,$KB69,FD$85)</f>
        <v>483</v>
      </c>
      <c r="FE69" s="63">
        <f t="shared" si="193"/>
        <v>2711.5619999999999</v>
      </c>
      <c r="FF69" s="63">
        <f t="shared" si="194"/>
        <v>1.0897941813134997</v>
      </c>
      <c r="FG69" s="63">
        <f t="shared" si="195"/>
        <v>1</v>
      </c>
      <c r="FH69" s="63" cm="1">
        <f t="array" ref="FH69">IF(OR(INDEX(FX_Vap,$KK69,FH$90)="Crude Oil",(INDEX(FX_Vap,$KL69,FH$90)="Crude Oil")),0.75,1)</f>
        <v>1</v>
      </c>
      <c r="FI69" s="63">
        <f t="shared" si="115"/>
        <v>1</v>
      </c>
      <c r="FJ69" s="63">
        <f t="shared" si="196"/>
        <v>0.59900632633965556</v>
      </c>
      <c r="FK69" s="64">
        <f t="shared" si="197"/>
        <v>0.838989224771445</v>
      </c>
      <c r="FL69" s="80" t="str" cm="1">
        <f t="array" ref="FL69">IF(ISBLANK(INDEX(FX_Input,$KB69+1,FL$85)),INDEX(FX_Input,$KB69,FL$85),INDEX(FX_Input,$KB69,FL$85)&amp;" &amp; "&amp;INDEX(FX_Input,$KB69+1,FL$85))</f>
        <v>Jet kerosene</v>
      </c>
      <c r="FM69" s="63" cm="1">
        <f t="array" ref="FM69">INDEX(FX_Temps,$KC69+7,FM$89)</f>
        <v>15.819999999999986</v>
      </c>
      <c r="FN69" s="63" cm="1">
        <f t="array" ref="FN69">INDEX(FX_Temps,$KC69+13,FN$89)+459.6</f>
        <v>521.19000000000005</v>
      </c>
      <c r="FO69" s="63" cm="1">
        <f t="array" ref="FO69">INDEX(FX_Vap,$KG69,FO$91)-INDEX(FX_Vap,$KH69,FO$91)</f>
        <v>0</v>
      </c>
      <c r="FP69" s="73" cm="1">
        <f t="array" ref="FP69">IF(FL69="Out of Service",0,INDEX(FX_Vap,$KI69,FP$91))</f>
        <v>8.6549593565446326E-3</v>
      </c>
      <c r="FQ69" s="63">
        <f t="shared" si="198"/>
        <v>2.6269576622369735E-2</v>
      </c>
      <c r="FR69" s="63">
        <f t="shared" si="199"/>
        <v>0.99446887029649911</v>
      </c>
      <c r="FS69" s="63" cm="1">
        <f t="array" ref="FS69">INDEX(FX_Vap,$KJ69,FS$91)</f>
        <v>130</v>
      </c>
      <c r="FT69" s="63" cm="1">
        <f t="array" ref="FT69">INDEX(FX_Temps,$KD69,FT$89)+459.6</f>
        <v>521.19000000000005</v>
      </c>
      <c r="FU69" s="63">
        <f t="shared" si="200"/>
        <v>2.0117412258777761E-4</v>
      </c>
      <c r="FV69" s="63" cm="1">
        <f t="array" ref="FV69">INDEX(Month_Ref,FV$83,3)*FQ69*(PI()/4*$F69^2)*$H69*FR69*FU69</f>
        <v>0.21620799918912439</v>
      </c>
      <c r="FW69" s="63" cm="1">
        <f t="array" ref="FW69">INDEX(FX_Input,$KB69,FW$85)</f>
        <v>483</v>
      </c>
      <c r="FX69" s="63">
        <f t="shared" si="201"/>
        <v>2711.5619999999999</v>
      </c>
      <c r="FY69" s="63">
        <f t="shared" si="202"/>
        <v>1.0897941813134997</v>
      </c>
      <c r="FZ69" s="63">
        <f t="shared" si="203"/>
        <v>1</v>
      </c>
      <c r="GA69" s="63" cm="1">
        <f t="array" ref="GA69">IF(OR(INDEX(FX_Vap,$KK69,GA$90)="Crude Oil",(INDEX(FX_Vap,$KL69,GA$90)="Crude Oil")),0.75,1)</f>
        <v>1</v>
      </c>
      <c r="GB69" s="63">
        <f t="shared" si="116"/>
        <v>1</v>
      </c>
      <c r="GC69" s="63">
        <f t="shared" si="204"/>
        <v>0.54549610619235944</v>
      </c>
      <c r="GD69" s="64">
        <f t="shared" si="205"/>
        <v>0.76170410538148381</v>
      </c>
      <c r="GE69" s="80" t="str" cm="1">
        <f t="array" ref="GE69">IF(ISBLANK(INDEX(FX_Input,$KB69+1,GE$85)),INDEX(FX_Input,$KB69,GE$85),INDEX(FX_Input,$KB69,GE$85)&amp;" &amp; "&amp;INDEX(FX_Input,$KB69+1,GE$85))</f>
        <v>Jet kerosene</v>
      </c>
      <c r="GF69" s="63" cm="1">
        <f t="array" ref="GF69">INDEX(FX_Temps,$KC69+7,GF$89)</f>
        <v>12.459999999999994</v>
      </c>
      <c r="GG69" s="63" cm="1">
        <f t="array" ref="GG69">INDEX(FX_Temps,$KC69+13,GG$89)+459.6</f>
        <v>514.07000000000005</v>
      </c>
      <c r="GH69" s="63" cm="1">
        <f t="array" ref="GH69">INDEX(FX_Vap,$KG69,GH$91)-INDEX(FX_Vap,$KH69,GH$91)</f>
        <v>0</v>
      </c>
      <c r="GI69" s="73" cm="1">
        <f t="array" ref="GI69">IF(GE69="Out of Service",0,INDEX(FX_Vap,$KI69,GI$91))</f>
        <v>6.8260376495002202E-3</v>
      </c>
      <c r="GJ69" s="63">
        <f t="shared" si="206"/>
        <v>2.01544153834106E-2</v>
      </c>
      <c r="GK69" s="63">
        <f t="shared" si="207"/>
        <v>0.99563257562259144</v>
      </c>
      <c r="GL69" s="63" cm="1">
        <f t="array" ref="GL69">INDEX(FX_Vap,$KJ69,GL$91)</f>
        <v>130</v>
      </c>
      <c r="GM69" s="63" cm="1">
        <f t="array" ref="GM69">INDEX(FX_Temps,$KD69,GM$89)+459.6</f>
        <v>514.07000000000005</v>
      </c>
      <c r="GN69" s="63">
        <f t="shared" si="208"/>
        <v>1.6086056013724922E-4</v>
      </c>
      <c r="GO69" s="63" cm="1">
        <f t="array" ref="GO69">INDEX(Month_Ref,GO$83,3)*GJ69*(PI()/4*$F69^2)*$H69*GK69*GN69</f>
        <v>0.13721914027532919</v>
      </c>
      <c r="GP69" s="63" cm="1">
        <f t="array" ref="GP69">INDEX(FX_Input,$KB69,GP$85)</f>
        <v>483</v>
      </c>
      <c r="GQ69" s="63">
        <f t="shared" si="209"/>
        <v>2711.5619999999999</v>
      </c>
      <c r="GR69" s="63">
        <f t="shared" si="210"/>
        <v>1.0897941813134997</v>
      </c>
      <c r="GS69" s="63">
        <f t="shared" si="211"/>
        <v>1</v>
      </c>
      <c r="GT69" s="63" cm="1">
        <f t="array" ref="GT69">IF(OR(INDEX(FX_Vap,$KK69,GT$90)="Crude Oil",(INDEX(FX_Vap,$KL69,GT$90)="Crude Oil")),0.75,1)</f>
        <v>1</v>
      </c>
      <c r="GU69" s="63">
        <f t="shared" si="117"/>
        <v>1</v>
      </c>
      <c r="GV69" s="63">
        <f t="shared" si="212"/>
        <v>0.43618338216687974</v>
      </c>
      <c r="GW69" s="64">
        <f t="shared" si="213"/>
        <v>0.57340252244220891</v>
      </c>
      <c r="GX69" s="80" t="str" cm="1">
        <f t="array" ref="GX69">IF(ISBLANK(INDEX(FX_Input,$KB69+1,GX$85)),INDEX(FX_Input,$KB69,GX$85),INDEX(FX_Input,$KB69,GX$85)&amp;" &amp; "&amp;INDEX(FX_Input,$KB69+1,GX$85))</f>
        <v>Jet kerosene</v>
      </c>
      <c r="GY69" s="63" cm="1">
        <f t="array" ref="GY69">INDEX(FX_Temps,$KC69+7,GY$89)</f>
        <v>9.275000000000027</v>
      </c>
      <c r="GZ69" s="63" cm="1">
        <f t="array" ref="GZ69">INDEX(FX_Temps,$KC69+13,GZ$89)+459.6</f>
        <v>507.67750000000007</v>
      </c>
      <c r="HA69" s="63" cm="1">
        <f t="array" ref="HA69">INDEX(FX_Vap,$KG69,HA$91)-INDEX(FX_Vap,$KH69,HA$91)</f>
        <v>0</v>
      </c>
      <c r="HB69" s="73" cm="1">
        <f t="array" ref="HB69">IF(GX69="Out of Service",0,INDEX(FX_Vap,$KI69,HB$91))</f>
        <v>5.4845718776011703E-3</v>
      </c>
      <c r="HC69" s="63">
        <f t="shared" si="214"/>
        <v>1.4186316174430964E-2</v>
      </c>
      <c r="HD69" s="63">
        <f t="shared" si="215"/>
        <v>0.99648785563077513</v>
      </c>
      <c r="HE69" s="63" cm="1">
        <f t="array" ref="HE69">INDEX(FX_Vap,$KJ69,HE$91)</f>
        <v>130</v>
      </c>
      <c r="HF69" s="63" cm="1">
        <f t="array" ref="HF69">INDEX(FX_Temps,$KD69,HF$89)+459.6</f>
        <v>507.67750000000007</v>
      </c>
      <c r="HG69" s="63">
        <f t="shared" si="216"/>
        <v>1.3087538545533656E-4</v>
      </c>
      <c r="HH69" s="63" cm="1">
        <f t="array" ref="HH69">INDEX(Month_Ref,HH$83,3)*HC69*(PI()/4*$F69^2)*$H69*HD69*HG69</f>
        <v>7.6112326020656568E-2</v>
      </c>
      <c r="HI69" s="63" cm="1">
        <f t="array" ref="HI69">INDEX(FX_Input,$KB69,HI$85)</f>
        <v>483</v>
      </c>
      <c r="HJ69" s="63">
        <f t="shared" si="217"/>
        <v>2711.5619999999999</v>
      </c>
      <c r="HK69" s="63">
        <f t="shared" si="218"/>
        <v>1.0897941813134997</v>
      </c>
      <c r="HL69" s="63">
        <f t="shared" si="219"/>
        <v>1</v>
      </c>
      <c r="HM69" s="63" cm="1">
        <f t="array" ref="HM69">IF(OR(INDEX(FX_Vap,$KK69,HM$90)="Crude Oil",(INDEX(FX_Vap,$KL69,HM$90)="Crude Oil")),0.75,1)</f>
        <v>1</v>
      </c>
      <c r="HN69" s="63">
        <f t="shared" si="118"/>
        <v>1</v>
      </c>
      <c r="HO69" s="63">
        <f t="shared" si="220"/>
        <v>0.3548767219360433</v>
      </c>
      <c r="HP69" s="64">
        <f t="shared" si="221"/>
        <v>0.4309890479566999</v>
      </c>
      <c r="HQ69" s="80" t="str" cm="1">
        <f t="array" ref="HQ69">IF(ISBLANK(INDEX(FX_Input,$KB69+1,HQ$85)),INDEX(FX_Input,$KB69,HQ$85),INDEX(FX_Input,$KB69,HQ$85)&amp;" &amp; "&amp;INDEX(FX_Input,$KB69+1,HQ$85))</f>
        <v>Jet kerosene</v>
      </c>
      <c r="HR69" s="63" cm="1">
        <f t="array" ref="HR69">INDEX(FX_Temps,$KC69+7,HR$89)</f>
        <v>7.51</v>
      </c>
      <c r="HS69" s="63" cm="1">
        <f t="array" ref="HS69">INDEX(FX_Temps,$KC69+13,HS$89)+459.6</f>
        <v>503.95500000000004</v>
      </c>
      <c r="HT69" s="63" cm="1">
        <f t="array" ref="HT69">INDEX(FX_Vap,$KG69,HT$91)-INDEX(FX_Vap,$KH69,HT$91)</f>
        <v>0</v>
      </c>
      <c r="HU69" s="73" cm="1">
        <f t="array" ref="HU69">IF(HQ69="Out of Service",0,INDEX(FX_Vap,$KI69,HU$91))</f>
        <v>4.8161086599927579E-3</v>
      </c>
      <c r="HV69" s="63">
        <f t="shared" si="222"/>
        <v>1.0819153855500198E-2</v>
      </c>
      <c r="HW69" s="63">
        <f t="shared" si="223"/>
        <v>0.99691459734495846</v>
      </c>
      <c r="HX69" s="63" cm="1">
        <f t="array" ref="HX69">INDEX(FX_Vap,$KJ69,HX$91)</f>
        <v>130</v>
      </c>
      <c r="HY69" s="63" cm="1">
        <f t="array" ref="HY69">INDEX(FX_Temps,$KD69,HY$89)+459.6</f>
        <v>503.95500000000004</v>
      </c>
      <c r="HZ69" s="63">
        <f t="shared" si="224"/>
        <v>1.1577310359763219E-4</v>
      </c>
      <c r="IA69" s="63" cm="1">
        <f t="array" ref="IA69">INDEX(Month_Ref,IA$83,3)*HV69*(PI()/4*$F69^2)*$H69*HW69*HZ69</f>
        <v>5.308291239335336E-2</v>
      </c>
      <c r="IB69" s="63" cm="1">
        <f t="array" ref="IB69">INDEX(FX_Input,$KB69,IB$85)</f>
        <v>483</v>
      </c>
      <c r="IC69" s="63">
        <f t="shared" si="225"/>
        <v>2711.5619999999999</v>
      </c>
      <c r="ID69" s="63">
        <f t="shared" si="226"/>
        <v>1.0897941813134997</v>
      </c>
      <c r="IE69" s="63">
        <f t="shared" si="227"/>
        <v>1</v>
      </c>
      <c r="IF69" s="63" cm="1">
        <f t="array" ref="IF69">IF(OR(INDEX(FX_Vap,$KK69,IF$90)="Crude Oil",(INDEX(FX_Vap,$KL69,IF$90)="Crude Oil")),0.75,1)</f>
        <v>1</v>
      </c>
      <c r="IG69" s="63">
        <f t="shared" si="119"/>
        <v>1</v>
      </c>
      <c r="IH69" s="63">
        <f t="shared" si="228"/>
        <v>0.31392594833740273</v>
      </c>
      <c r="II69" s="64">
        <f t="shared" si="229"/>
        <v>0.36700886073075611</v>
      </c>
      <c r="IJ69" s="80">
        <f t="shared" si="230"/>
        <v>1.7733318589819806</v>
      </c>
      <c r="IK69" s="63">
        <f t="shared" si="231"/>
        <v>8.8666592949099027E-4</v>
      </c>
      <c r="IL69" s="63">
        <f t="shared" si="232"/>
        <v>5.2672636710610474</v>
      </c>
      <c r="IM69" s="63">
        <f t="shared" si="233"/>
        <v>2.6336318355305237E-3</v>
      </c>
      <c r="IN69" s="63">
        <f t="shared" si="234"/>
        <v>7.0405955300430287</v>
      </c>
      <c r="IO69" s="64">
        <f t="shared" si="235"/>
        <v>3.5202977650215144E-3</v>
      </c>
      <c r="KB69" s="43">
        <f t="shared" si="120"/>
        <v>117</v>
      </c>
      <c r="KC69" s="43">
        <f t="shared" si="121"/>
        <v>813</v>
      </c>
      <c r="KD69" s="43">
        <f t="shared" si="122"/>
        <v>826</v>
      </c>
      <c r="KE69" s="43">
        <f t="shared" si="123"/>
        <v>813</v>
      </c>
      <c r="KF69" s="43">
        <f t="shared" ref="KF69:KJ69" si="237">KF68+34</f>
        <v>1973</v>
      </c>
      <c r="KG69" s="43">
        <f t="shared" si="237"/>
        <v>1996</v>
      </c>
      <c r="KH69" s="43">
        <f t="shared" si="237"/>
        <v>1991</v>
      </c>
      <c r="KI69" s="43">
        <f t="shared" si="237"/>
        <v>2001</v>
      </c>
      <c r="KJ69" s="43">
        <f t="shared" si="237"/>
        <v>2006</v>
      </c>
      <c r="KK69" s="43">
        <f t="shared" si="127"/>
        <v>1977</v>
      </c>
      <c r="KL69" s="43">
        <f t="shared" si="128"/>
        <v>1979</v>
      </c>
    </row>
    <row r="70" spans="2:298" x14ac:dyDescent="0.4">
      <c r="B70" s="43" t="str" cm="1">
        <f t="array" ref="B70">INDEX(FX_Input,$KB70,B$85)</f>
        <v>FX - 60</v>
      </c>
      <c r="C70" s="93" t="str" cm="1">
        <f t="array" ref="C70">INDEX(FX_Input,$KB70,C$85)</f>
        <v>FIXTANK 207</v>
      </c>
      <c r="D70" s="80">
        <f t="shared" si="131"/>
        <v>793.57939426617168</v>
      </c>
      <c r="E70" s="63" cm="1">
        <f t="array" ref="E70">IF(ISBLANK(INDEX(FX_Input,$KB70,$E$85)),0.03,INDEX(FX_Input,$KB70,$E$85))-IF(ISBLANK(INDEX(FX_Input,$KB70,$E$86)),-0.03,INDEX(FX_Input,$KB70,$E$86))</f>
        <v>0.06</v>
      </c>
      <c r="F70" s="63" cm="1">
        <f t="array" ref="F70">IF(INDEX(FX_Input,$KB70,F$85)="Vertical",INDEX(FX_Input,$KB70,F$86),SQRT((INDEX(FX_Input,$KB70,F$86)*INDEX(FX_Input,$KB70,F$87))/(PI()/4)))</f>
        <v>10</v>
      </c>
      <c r="G70" s="63" cm="1">
        <f t="array" ref="G70">IF(INDEX(FX_Input,$KB70,G$85)="Vertical",INDEX(FX_Input,$KB70,G$86),INDEX(FX_Input,$KB70,G$87)*PI()/4)</f>
        <v>20</v>
      </c>
      <c r="H70" s="63" cm="1">
        <f t="array" ref="H70">IF(INDEX(FX_Input,$KB70,H$85)="Vertical",G70-G70/2+J70,G70/2)</f>
        <v>10.104166666666666</v>
      </c>
      <c r="I70" s="63" cm="1">
        <f t="array" ref="I70">IF(INDEX(FX_Input,$KB70,F$85)="Horizontal","N/A",IF(INDEX(FX_Input,$KB70,I$86)="Cone",IF(ISBLANK(INDEX(FX_Input,$KB70,I$87)),0.0625,INDEX(FX_Input,$KB70,I$87))*F70/2,F70/2-SQRT((F70/2)^2-(INDEX(FX_Input,$KB70,I$88)^2))))</f>
        <v>0.3125</v>
      </c>
      <c r="J70" s="63" cm="1">
        <f t="array" ref="J70">IF(INDEX(FX_Input,$KB70,J$85)="Horizontal","N/A",IF(INDEX(FX_Input,$KB70,J$86)="Cone",I70/3,I70*(1/2+(1/6)*(I70/(F70/2))^2)))</f>
        <v>0.10416666666666667</v>
      </c>
      <c r="K70" s="63">
        <f t="shared" si="132"/>
        <v>19</v>
      </c>
      <c r="L70" s="63">
        <v>6</v>
      </c>
      <c r="M70" s="63" t="str" cm="1">
        <f t="array" ref="M70">INDEX(Tbl_71_6,MATCH(INDEX(FX_Input,$KB70,M$85),Paint_Color,0),VLOOKUP(INDEX(FX_Input,$KB70,M$86),Paint_Cond_Column,2,FALSE))</f>
        <v>N/A</v>
      </c>
      <c r="N70" s="63" cm="1">
        <f t="array" ref="N70">INDEX(Tbl_71_6,MATCH(INDEX(FX_Input,$KB70,N$85),Paint_Color,0),VLOOKUP(INDEX(FX_Input,$KB70,N$86),Paint_Cond_Column,2,FALSE))</f>
        <v>0.25</v>
      </c>
      <c r="O70" s="64" t="str">
        <f t="shared" si="133"/>
        <v>Partially Insulated</v>
      </c>
      <c r="P70" s="80" t="str" cm="1">
        <f t="array" ref="P70">IF(ISBLANK(INDEX(FX_Input,$KB70+1,P$85)),INDEX(FX_Input,$KB70,P$85),INDEX(FX_Input,$KB70,P$85)&amp;" &amp; "&amp;INDEX(FX_Input,$KB70+1,P$85))</f>
        <v>Jet kerosene</v>
      </c>
      <c r="Q70" s="63" cm="1">
        <f t="array" ref="Q70">INDEX(FX_Temps,$KC70+7,Q$89)</f>
        <v>7.9550000000000205</v>
      </c>
      <c r="R70" s="63" cm="1">
        <f t="array" ref="R70">INDEX(FX_Temps,$KC70+13,R$89)+459.6</f>
        <v>504.35750000000002</v>
      </c>
      <c r="S70" s="63" cm="1">
        <f t="array" ref="S70">INDEX(FX_Vap,$KG70,S$91)-INDEX(FX_Vap,$KH70,S$91)</f>
        <v>0</v>
      </c>
      <c r="T70" s="73" cm="1">
        <f t="array" ref="T70">IF(P70="Out of Service",0,INDEX(FX_Vap,$KI70,T$91))</f>
        <v>4.8847213797703236E-3</v>
      </c>
      <c r="U70" s="63">
        <f t="shared" si="134"/>
        <v>1.1689552888082502E-2</v>
      </c>
      <c r="V70" s="63">
        <f t="shared" si="135"/>
        <v>0.99739095485918339</v>
      </c>
      <c r="W70" s="63" cm="1">
        <f t="array" ref="W70">INDEX(FX_Vap,$KJ70,W$91)</f>
        <v>130</v>
      </c>
      <c r="X70" s="63" cm="1">
        <f t="array" ref="X70">INDEX(FX_Temps,$KD70,X$89)+459.6</f>
        <v>504.35750000000002</v>
      </c>
      <c r="Y70" s="63">
        <f t="shared" si="136"/>
        <v>1.1732875736907137E-4</v>
      </c>
      <c r="Z70" s="63" cm="1">
        <f t="array" ref="Z70">INDEX(Month_Ref,Z$83,3)*U70*(PI()/4*$F70^2)*$H70*V70*Y70</f>
        <v>3.3652696832161856E-2</v>
      </c>
      <c r="AA70" s="63" cm="1">
        <f t="array" ref="AA70">INDEX(FX_Input,$KB70,AA$85)</f>
        <v>280</v>
      </c>
      <c r="AB70" s="63">
        <f t="shared" si="137"/>
        <v>1571.92</v>
      </c>
      <c r="AC70" s="63">
        <f t="shared" si="138"/>
        <v>1.111905947311165</v>
      </c>
      <c r="AD70" s="63">
        <f t="shared" si="139"/>
        <v>1</v>
      </c>
      <c r="AE70" s="63" cm="1">
        <f t="array" ref="AE70">IF(OR(INDEX(FX_Vap,$KK70,AE$90)="Crude Oil",(INDEX(FX_Vap,$KL70,AE$90)="Crude Oil")),0.75,1)</f>
        <v>1</v>
      </c>
      <c r="AF70" s="63">
        <f t="shared" si="108"/>
        <v>1</v>
      </c>
      <c r="AG70" s="63">
        <f t="shared" si="140"/>
        <v>0.18443142028359069</v>
      </c>
      <c r="AH70" s="64">
        <f t="shared" si="141"/>
        <v>0.21808411711575254</v>
      </c>
      <c r="AI70" s="80" t="str" cm="1">
        <f t="array" ref="AI70">IF(ISBLANK(INDEX(FX_Input,$KB70+1,AI$85)),INDEX(FX_Input,$KB70,AI$85),INDEX(FX_Input,$KB70,AI$85)&amp;" &amp; "&amp;INDEX(FX_Input,$KB70+1,AI$85))</f>
        <v>Jet kerosene</v>
      </c>
      <c r="AJ70" s="63" cm="1">
        <f t="array" ref="AJ70">INDEX(FX_Temps,$KC70+7,AJ$89)</f>
        <v>10.919999999999993</v>
      </c>
      <c r="AK70" s="63" cm="1">
        <f t="array" ref="AK70">INDEX(FX_Temps,$KC70+13,AK$89)+459.6</f>
        <v>505.80000000000007</v>
      </c>
      <c r="AL70" s="63" cm="1">
        <f t="array" ref="AL70">INDEX(FX_Vap,$KG70,AL$91)-INDEX(FX_Vap,$KH70,AL$91)</f>
        <v>0</v>
      </c>
      <c r="AM70" s="73" cm="1">
        <f t="array" ref="AM70">IF(AI70="Out of Service",0,INDEX(FX_Vap,$KI70,AM$91))</f>
        <v>5.1377970454196883E-3</v>
      </c>
      <c r="AN70" s="63">
        <f t="shared" si="142"/>
        <v>1.7506501368062713E-2</v>
      </c>
      <c r="AO70" s="63">
        <f t="shared" si="143"/>
        <v>0.99725615206070273</v>
      </c>
      <c r="AP70" s="63" cm="1">
        <f t="array" ref="AP70">INDEX(FX_Vap,$KJ70,AP$91)</f>
        <v>130</v>
      </c>
      <c r="AQ70" s="63" cm="1">
        <f t="array" ref="AQ70">INDEX(FX_Temps,$KD70,AQ$89)+459.6</f>
        <v>505.80000000000007</v>
      </c>
      <c r="AR70" s="63">
        <f t="shared" si="144"/>
        <v>1.2305557018495237E-4</v>
      </c>
      <c r="AS70" s="63" cm="1">
        <f t="array" ref="AS70">INDEX(Month_Ref,AS$83,3)*AN70*(PI()/4*$F70^2)*$H70*AO70*AR70</f>
        <v>4.7737071957337292E-2</v>
      </c>
      <c r="AT70" s="63" cm="1">
        <f t="array" ref="AT70">INDEX(FX_Input,$KB70,AT$85)</f>
        <v>280</v>
      </c>
      <c r="AU70" s="63">
        <f t="shared" si="145"/>
        <v>1571.92</v>
      </c>
      <c r="AV70" s="63">
        <f t="shared" si="146"/>
        <v>1.111905947311165</v>
      </c>
      <c r="AW70" s="63">
        <f t="shared" si="147"/>
        <v>1</v>
      </c>
      <c r="AX70" s="63" cm="1">
        <f t="array" ref="AX70">IF(OR(INDEX(FX_Vap,$KK70,AX$90)="Crude Oil",(INDEX(FX_Vap,$KL70,AX$90)="Crude Oil")),0.75,1)</f>
        <v>1</v>
      </c>
      <c r="AY70" s="63">
        <f t="shared" si="109"/>
        <v>1</v>
      </c>
      <c r="AZ70" s="63">
        <f t="shared" si="148"/>
        <v>0.19343351188513033</v>
      </c>
      <c r="BA70" s="64">
        <f t="shared" si="149"/>
        <v>0.24117058384246762</v>
      </c>
      <c r="BB70" s="80" t="str" cm="1">
        <f t="array" ref="BB70">IF(ISBLANK(INDEX(FX_Input,$KB70+1,BB$85)),INDEX(FX_Input,$KB70,BB$85),INDEX(FX_Input,$KB70,BB$85)&amp;" &amp; "&amp;INDEX(FX_Input,$KB70+1,BB$85))</f>
        <v>Jet kerosene</v>
      </c>
      <c r="BC70" s="63" cm="1">
        <f t="array" ref="BC70">INDEX(FX_Temps,$KC70+7,BC$89)</f>
        <v>12.305000000000026</v>
      </c>
      <c r="BD70" s="63" cm="1">
        <f t="array" ref="BD70">INDEX(FX_Temps,$KC70+13,BD$89)+459.6</f>
        <v>507.89250000000004</v>
      </c>
      <c r="BE70" s="63" cm="1">
        <f t="array" ref="BE70">INDEX(FX_Vap,$KG70,BE$91)-INDEX(FX_Vap,$KH70,BE$91)</f>
        <v>0</v>
      </c>
      <c r="BF70" s="73" cm="1">
        <f t="array" ref="BF70">IF(BB70="Out of Service",0,INDEX(FX_Vap,$KI70,BF$91))</f>
        <v>5.5255769197630547E-3</v>
      </c>
      <c r="BG70" s="63">
        <f t="shared" si="150"/>
        <v>2.0144400368426241E-2</v>
      </c>
      <c r="BH70" s="63">
        <f t="shared" si="151"/>
        <v>0.99704966865534261</v>
      </c>
      <c r="BI70" s="63" cm="1">
        <f t="array" ref="BI70">INDEX(FX_Vap,$KJ70,BI$91)</f>
        <v>130</v>
      </c>
      <c r="BJ70" s="63" cm="1">
        <f t="array" ref="BJ70">INDEX(FX_Temps,$KD70,BJ$89)+459.6</f>
        <v>507.89250000000004</v>
      </c>
      <c r="BK70" s="63">
        <f t="shared" si="152"/>
        <v>1.3179805059113694E-4</v>
      </c>
      <c r="BL70" s="63" cm="1">
        <f t="array" ref="BL70">INDEX(Month_Ref,BL$83,3)*BG70*(PI()/4*$F70^2)*$H70*BH70*BK70</f>
        <v>6.5122670440083727E-2</v>
      </c>
      <c r="BM70" s="63" cm="1">
        <f t="array" ref="BM70">INDEX(FX_Input,$KB70,BM$85)</f>
        <v>280</v>
      </c>
      <c r="BN70" s="63">
        <f t="shared" si="153"/>
        <v>1571.92</v>
      </c>
      <c r="BO70" s="63">
        <f t="shared" si="154"/>
        <v>1.111905947311165</v>
      </c>
      <c r="BP70" s="63">
        <f t="shared" si="155"/>
        <v>1</v>
      </c>
      <c r="BQ70" s="63" cm="1">
        <f t="array" ref="BQ70">IF(OR(INDEX(FX_Vap,$KK70,BQ$90)="Crude Oil",(INDEX(FX_Vap,$KL70,BQ$90)="Crude Oil")),0.75,1)</f>
        <v>1</v>
      </c>
      <c r="BR70" s="63">
        <f t="shared" si="110"/>
        <v>1</v>
      </c>
      <c r="BS70" s="63">
        <f t="shared" si="156"/>
        <v>0.20717599168522</v>
      </c>
      <c r="BT70" s="64">
        <f t="shared" si="157"/>
        <v>0.27229866212530374</v>
      </c>
      <c r="BU70" s="80" t="str" cm="1">
        <f t="array" ref="BU70">IF(ISBLANK(INDEX(FX_Input,$KB70+1,BU$85)),INDEX(FX_Input,$KB70,BU$85),INDEX(FX_Input,$KB70,BU$85)&amp;" &amp; "&amp;INDEX(FX_Input,$KB70+1,BU$85))</f>
        <v>Jet kerosene</v>
      </c>
      <c r="BV70" s="63" cm="1">
        <f t="array" ref="BV70">INDEX(FX_Temps,$KC70+7,BV$89)</f>
        <v>14.299999999999986</v>
      </c>
      <c r="BW70" s="63" cm="1">
        <f t="array" ref="BW70">INDEX(FX_Temps,$KC70+13,BW$89)+459.6</f>
        <v>511.32999999999993</v>
      </c>
      <c r="BX70" s="63" cm="1">
        <f t="array" ref="BX70">INDEX(FX_Vap,$KG70,BX$91)-INDEX(FX_Vap,$KH70,BX$91)</f>
        <v>0</v>
      </c>
      <c r="BY70" s="73" cm="1">
        <f t="array" ref="BY70">IF(BU70="Out of Service",0,INDEX(FX_Vap,$KI70,BY$91))</f>
        <v>6.219119610903932E-3</v>
      </c>
      <c r="BZ70" s="63">
        <f t="shared" si="158"/>
        <v>2.3882923806806993E-2</v>
      </c>
      <c r="CA70" s="63">
        <f t="shared" si="159"/>
        <v>0.9966805870822576</v>
      </c>
      <c r="CB70" s="63" cm="1">
        <f t="array" ref="CB70">INDEX(FX_Vap,$KJ70,CB$91)</f>
        <v>130</v>
      </c>
      <c r="CC70" s="63" cm="1">
        <f t="array" ref="CC70">INDEX(FX_Temps,$KD70,CC$89)+459.6</f>
        <v>511.32999999999993</v>
      </c>
      <c r="CD70" s="63">
        <f t="shared" si="160"/>
        <v>1.4734343600633653E-4</v>
      </c>
      <c r="CE70" s="63" cm="1">
        <f t="array" ref="CE70">INDEX(Month_Ref,CE$83,3)*BZ70*(PI()/4*$F70^2)*$H70*CA70*CD70</f>
        <v>8.3499893782675041E-2</v>
      </c>
      <c r="CF70" s="63" cm="1">
        <f t="array" ref="CF70">INDEX(FX_Input,$KB70,CF$85)</f>
        <v>280</v>
      </c>
      <c r="CG70" s="63">
        <f t="shared" si="161"/>
        <v>1571.92</v>
      </c>
      <c r="CH70" s="63">
        <f t="shared" si="162"/>
        <v>1.111905947311165</v>
      </c>
      <c r="CI70" s="63">
        <f t="shared" si="163"/>
        <v>1</v>
      </c>
      <c r="CJ70" s="63" cm="1">
        <f t="array" ref="CJ70">IF(OR(INDEX(FX_Vap,$KK70,CJ$90)="Crude Oil",(INDEX(FX_Vap,$KL70,CJ$90)="Crude Oil")),0.75,1)</f>
        <v>1</v>
      </c>
      <c r="CK70" s="63">
        <f t="shared" si="111"/>
        <v>1</v>
      </c>
      <c r="CL70" s="63">
        <f t="shared" si="164"/>
        <v>0.23161209392708054</v>
      </c>
      <c r="CM70" s="64">
        <f t="shared" si="165"/>
        <v>0.31511198770975557</v>
      </c>
      <c r="CN70" s="80" t="str" cm="1">
        <f t="array" ref="CN70">IF(ISBLANK(INDEX(FX_Input,$KB70+1,CN$85)),INDEX(FX_Input,$KB70,CN$85),INDEX(FX_Input,$KB70,CN$85)&amp;" &amp; "&amp;INDEX(FX_Input,$KB70+1,CN$85))</f>
        <v>Jet kerosene</v>
      </c>
      <c r="CO70" s="63" cm="1">
        <f t="array" ref="CO70">INDEX(FX_Temps,$KC70+7,CO$89)</f>
        <v>15.664999999999973</v>
      </c>
      <c r="CP70" s="63" cm="1">
        <f t="array" ref="CP70">INDEX(FX_Temps,$KC70+13,CP$89)+459.6</f>
        <v>516.59249999999997</v>
      </c>
      <c r="CQ70" s="63" cm="1">
        <f t="array" ref="CQ70">INDEX(FX_Vap,$KG70,CQ$91)-INDEX(FX_Vap,$KH70,CQ$91)</f>
        <v>0</v>
      </c>
      <c r="CR70" s="73" cm="1">
        <f t="array" ref="CR70">IF(CN70="Out of Service",0,INDEX(FX_Vap,$KI70,CR$91))</f>
        <v>7.430518180814979E-3</v>
      </c>
      <c r="CS70" s="63">
        <f t="shared" si="166"/>
        <v>2.6240010888400458E-2</v>
      </c>
      <c r="CT70" s="63">
        <f t="shared" si="167"/>
        <v>0.99603657396583889</v>
      </c>
      <c r="CU70" s="63" cm="1">
        <f t="array" ref="CU70">INDEX(FX_Vap,$KJ70,CU$91)</f>
        <v>130</v>
      </c>
      <c r="CV70" s="63" cm="1">
        <f t="array" ref="CV70">INDEX(FX_Temps,$KD70,CV$89)+459.6</f>
        <v>516.59249999999997</v>
      </c>
      <c r="CW70" s="63">
        <f t="shared" si="168"/>
        <v>1.7425055172755734E-4</v>
      </c>
      <c r="CX70" s="63" cm="1">
        <f t="array" ref="CX70">INDEX(Month_Ref,CX$83,3)*CS70*(PI()/4*$F70^2)*$H70*CT70*CW70</f>
        <v>0.11203804834945248</v>
      </c>
      <c r="CY70" s="63" cm="1">
        <f t="array" ref="CY70">INDEX(FX_Input,$KB70,CY$85)</f>
        <v>280</v>
      </c>
      <c r="CZ70" s="63">
        <f t="shared" si="169"/>
        <v>1571.92</v>
      </c>
      <c r="DA70" s="63">
        <f t="shared" si="170"/>
        <v>1.111905947311165</v>
      </c>
      <c r="DB70" s="63">
        <f t="shared" si="171"/>
        <v>1</v>
      </c>
      <c r="DC70" s="63" cm="1">
        <f t="array" ref="DC70">IF(OR(INDEX(FX_Vap,$KK70,DC$90)="Crude Oil",(INDEX(FX_Vap,$KL70,DC$90)="Crude Oil")),0.75,1)</f>
        <v>1</v>
      </c>
      <c r="DD70" s="63">
        <f t="shared" si="112"/>
        <v>1</v>
      </c>
      <c r="DE70" s="63">
        <f t="shared" si="172"/>
        <v>0.27390792727158192</v>
      </c>
      <c r="DF70" s="64">
        <f t="shared" si="173"/>
        <v>0.38594597562103439</v>
      </c>
      <c r="DG70" s="80" t="str" cm="1">
        <f t="array" ref="DG70">IF(ISBLANK(INDEX(FX_Input,$KB70+1,DG$85)),INDEX(FX_Input,$KB70,DG$85),INDEX(FX_Input,$KB70,DG$85)&amp;" &amp; "&amp;INDEX(FX_Input,$KB70+1,DG$85))</f>
        <v>Jet kerosene</v>
      </c>
      <c r="DH70" s="63" cm="1">
        <f t="array" ref="DH70">INDEX(FX_Temps,$KC70+7,DH$89)</f>
        <v>15.635000000000034</v>
      </c>
      <c r="DI70" s="63" cm="1">
        <f t="array" ref="DI70">INDEX(FX_Temps,$KC70+13,DI$89)+459.6</f>
        <v>520.61750000000006</v>
      </c>
      <c r="DJ70" s="63" cm="1">
        <f t="array" ref="DJ70">INDEX(FX_Vap,$KG70,DJ$91)-INDEX(FX_Vap,$KH70,DJ$91)</f>
        <v>0</v>
      </c>
      <c r="DK70" s="73" cm="1">
        <f t="array" ref="DK70">IF(DG70="Out of Service",0,INDEX(FX_Vap,$KI70,DK$91))</f>
        <v>8.4933610792594406E-3</v>
      </c>
      <c r="DL70" s="63">
        <f t="shared" si="174"/>
        <v>2.5947652812969527E-2</v>
      </c>
      <c r="DM70" s="63">
        <f t="shared" si="175"/>
        <v>0.99547222221384668</v>
      </c>
      <c r="DN70" s="63" cm="1">
        <f t="array" ref="DN70">INDEX(FX_Vap,$KJ70,DN$91)</f>
        <v>130</v>
      </c>
      <c r="DO70" s="63" cm="1">
        <f t="array" ref="DO70">INDEX(FX_Temps,$KD70,DO$89)+459.6</f>
        <v>520.61750000000006</v>
      </c>
      <c r="DP70" s="63">
        <f t="shared" si="176"/>
        <v>1.9763505674536976E-4</v>
      </c>
      <c r="DQ70" s="63" cm="1">
        <f t="array" ref="DQ70">INDEX(Month_Ref,DQ$83,3)*DL70*(PI()/4*$F70^2)*$H70*DM70*DP70</f>
        <v>0.12153541388768208</v>
      </c>
      <c r="DR70" s="63" cm="1">
        <f t="array" ref="DR70">INDEX(FX_Input,$KB70,DR$85)</f>
        <v>280</v>
      </c>
      <c r="DS70" s="63">
        <f t="shared" si="177"/>
        <v>1571.92</v>
      </c>
      <c r="DT70" s="63">
        <f t="shared" si="178"/>
        <v>1.111905947311165</v>
      </c>
      <c r="DU70" s="63">
        <f t="shared" si="179"/>
        <v>1</v>
      </c>
      <c r="DV70" s="63" cm="1">
        <f t="array" ref="DV70">IF(OR(INDEX(FX_Vap,$KK70,DV$90)="Crude Oil",(INDEX(FX_Vap,$KL70,DV$90)="Crude Oil")),0.75,1)</f>
        <v>1</v>
      </c>
      <c r="DW70" s="63">
        <f t="shared" si="113"/>
        <v>1</v>
      </c>
      <c r="DX70" s="63">
        <f t="shared" si="180"/>
        <v>0.31066649839918165</v>
      </c>
      <c r="DY70" s="64">
        <f t="shared" si="181"/>
        <v>0.43220191228686372</v>
      </c>
      <c r="DZ70" s="80" t="str" cm="1">
        <f t="array" ref="DZ70">IF(ISBLANK(INDEX(FX_Input,$KB70+1,DZ$85)),INDEX(FX_Input,$KB70,DZ$85),INDEX(FX_Input,$KB70,DZ$85)&amp;" &amp; "&amp;INDEX(FX_Input,$KB70+1,DZ$85))</f>
        <v>Jet kerosene</v>
      </c>
      <c r="EA70" s="63" cm="1">
        <f t="array" ref="EA70">INDEX(FX_Temps,$KC70+7,EA$89)</f>
        <v>16.159999999999961</v>
      </c>
      <c r="EB70" s="63" cm="1">
        <f t="array" ref="EB70">INDEX(FX_Temps,$KC70+13,EB$89)+459.6</f>
        <v>524.31999999999994</v>
      </c>
      <c r="EC70" s="63" cm="1">
        <f t="array" ref="EC70">INDEX(FX_Vap,$KG70,EC$91)-INDEX(FX_Vap,$KH70,EC$91)</f>
        <v>0</v>
      </c>
      <c r="ED70" s="73" cm="1">
        <f t="array" ref="ED70">IF(DZ70="Out of Service",0,INDEX(FX_Vap,$KI70,ED$91))</f>
        <v>9.5874007696552591E-3</v>
      </c>
      <c r="EE70" s="63">
        <f t="shared" si="182"/>
        <v>2.6736576301376797E-2</v>
      </c>
      <c r="EF70" s="63">
        <f t="shared" si="183"/>
        <v>0.99489197305224619</v>
      </c>
      <c r="EG70" s="63" cm="1">
        <f t="array" ref="EG70">INDEX(FX_Vap,$KJ70,EG$91)</f>
        <v>130</v>
      </c>
      <c r="EH70" s="63" cm="1">
        <f t="array" ref="EH70">INDEX(FX_Temps,$KD70,EH$89)+459.6</f>
        <v>524.31999999999994</v>
      </c>
      <c r="EI70" s="63">
        <f t="shared" si="184"/>
        <v>2.215172827080398E-4</v>
      </c>
      <c r="EJ70" s="63" cm="1">
        <f t="array" ref="EJ70">INDEX(Month_Ref,EJ$83,3)*EE70*(PI()/4*$F70^2)*$H70*EF70*EI70</f>
        <v>0.14495774104053599</v>
      </c>
      <c r="EK70" s="63" cm="1">
        <f t="array" ref="EK70">INDEX(FX_Input,$KB70,EK$85)</f>
        <v>280</v>
      </c>
      <c r="EL70" s="63">
        <f t="shared" si="185"/>
        <v>1571.92</v>
      </c>
      <c r="EM70" s="63">
        <f t="shared" si="186"/>
        <v>1.111905947311165</v>
      </c>
      <c r="EN70" s="63">
        <f t="shared" si="187"/>
        <v>1</v>
      </c>
      <c r="EO70" s="63" cm="1">
        <f t="array" ref="EO70">IF(OR(INDEX(FX_Vap,$KK70,EO$90)="Crude Oil",(INDEX(FX_Vap,$KL70,EO$90)="Crude Oil")),0.75,1)</f>
        <v>1</v>
      </c>
      <c r="EP70" s="63">
        <f t="shared" si="114"/>
        <v>1</v>
      </c>
      <c r="EQ70" s="63">
        <f t="shared" si="188"/>
        <v>0.34820744703442191</v>
      </c>
      <c r="ER70" s="64">
        <f t="shared" si="189"/>
        <v>0.49316518807495791</v>
      </c>
      <c r="ES70" s="80" t="str" cm="1">
        <f t="array" ref="ES70">IF(ISBLANK(INDEX(FX_Input,$KB70+1,ES$85)),INDEX(FX_Input,$KB70,ES$85),INDEX(FX_Input,$KB70,ES$85)&amp;" &amp; "&amp;INDEX(FX_Input,$KB70+1,ES$85))</f>
        <v>Jet kerosene</v>
      </c>
      <c r="ET70" s="63" cm="1">
        <f t="array" ref="ET70">INDEX(FX_Temps,$KC70+7,ET$89)</f>
        <v>15.620000000000012</v>
      </c>
      <c r="EU70" s="63" cm="1">
        <f t="array" ref="EU70">INDEX(FX_Temps,$KC70+13,EU$89)+459.6</f>
        <v>524.23</v>
      </c>
      <c r="EV70" s="63" cm="1">
        <f t="array" ref="EV70">INDEX(FX_Vap,$KG70,EV$91)-INDEX(FX_Vap,$KH70,EV$91)</f>
        <v>0</v>
      </c>
      <c r="EW70" s="73" cm="1">
        <f t="array" ref="EW70">IF(ES70="Out of Service",0,INDEX(FX_Vap,$KI70,EW$91))</f>
        <v>9.5593988737869996E-3</v>
      </c>
      <c r="EX70" s="63">
        <f t="shared" si="190"/>
        <v>2.571179320957322E-2</v>
      </c>
      <c r="EY70" s="63">
        <f t="shared" si="191"/>
        <v>0.99490681606772013</v>
      </c>
      <c r="EZ70" s="63" cm="1">
        <f t="array" ref="EZ70">INDEX(FX_Vap,$KJ70,EZ$91)</f>
        <v>130</v>
      </c>
      <c r="FA70" s="63" cm="1">
        <f t="array" ref="FA70">INDEX(FX_Temps,$KD70,FA$89)+459.6</f>
        <v>524.23</v>
      </c>
      <c r="FB70" s="63">
        <f t="shared" si="192"/>
        <v>2.2090821686528118E-4</v>
      </c>
      <c r="FC70" s="63" cm="1">
        <f t="array" ref="FC70">INDEX(Month_Ref,FC$83,3)*EX70*(PI()/4*$F70^2)*$H70*EY70*FB70</f>
        <v>0.13902045939829419</v>
      </c>
      <c r="FD70" s="63" cm="1">
        <f t="array" ref="FD70">INDEX(FX_Input,$KB70,FD$85)</f>
        <v>280</v>
      </c>
      <c r="FE70" s="63">
        <f t="shared" si="193"/>
        <v>1571.92</v>
      </c>
      <c r="FF70" s="63">
        <f t="shared" si="194"/>
        <v>1.111905947311165</v>
      </c>
      <c r="FG70" s="63">
        <f t="shared" si="195"/>
        <v>1</v>
      </c>
      <c r="FH70" s="63" cm="1">
        <f t="array" ref="FH70">IF(OR(INDEX(FX_Vap,$KK70,FH$90)="Crude Oil",(INDEX(FX_Vap,$KL70,FH$90)="Crude Oil")),0.75,1)</f>
        <v>1</v>
      </c>
      <c r="FI70" s="63">
        <f t="shared" si="115"/>
        <v>1</v>
      </c>
      <c r="FJ70" s="63">
        <f t="shared" si="196"/>
        <v>0.34725004425487283</v>
      </c>
      <c r="FK70" s="64">
        <f t="shared" si="197"/>
        <v>0.48627050365316704</v>
      </c>
      <c r="FL70" s="80" t="str" cm="1">
        <f t="array" ref="FL70">IF(ISBLANK(INDEX(FX_Input,$KB70+1,FL$85)),INDEX(FX_Input,$KB70,FL$85),INDEX(FX_Input,$KB70,FL$85)&amp;" &amp; "&amp;INDEX(FX_Input,$KB70+1,FL$85))</f>
        <v>Jet kerosene</v>
      </c>
      <c r="FM70" s="63" cm="1">
        <f t="array" ref="FM70">INDEX(FX_Temps,$KC70+7,FM$89)</f>
        <v>15.819999999999986</v>
      </c>
      <c r="FN70" s="63" cm="1">
        <f t="array" ref="FN70">INDEX(FX_Temps,$KC70+13,FN$89)+459.6</f>
        <v>521.19000000000005</v>
      </c>
      <c r="FO70" s="63" cm="1">
        <f t="array" ref="FO70">INDEX(FX_Vap,$KG70,FO$91)-INDEX(FX_Vap,$KH70,FO$91)</f>
        <v>0</v>
      </c>
      <c r="FP70" s="73" cm="1">
        <f t="array" ref="FP70">IF(FL70="Out of Service",0,INDEX(FX_Vap,$KI70,FP$91))</f>
        <v>8.6549593565446326E-3</v>
      </c>
      <c r="FQ70" s="63">
        <f t="shared" si="198"/>
        <v>2.6269576622369735E-2</v>
      </c>
      <c r="FR70" s="63">
        <f t="shared" si="199"/>
        <v>0.99538647224368082</v>
      </c>
      <c r="FS70" s="63" cm="1">
        <f t="array" ref="FS70">INDEX(FX_Vap,$KJ70,FS$91)</f>
        <v>130</v>
      </c>
      <c r="FT70" s="63" cm="1">
        <f t="array" ref="FT70">INDEX(FX_Temps,$KD70,FT$89)+459.6</f>
        <v>521.19000000000005</v>
      </c>
      <c r="FU70" s="63">
        <f t="shared" si="200"/>
        <v>2.0117412258777761E-4</v>
      </c>
      <c r="FV70" s="63" cm="1">
        <f t="array" ref="FV70">INDEX(Month_Ref,FV$83,3)*FQ70*(PI()/4*$F70^2)*$H70*FR70*FU70</f>
        <v>0.12523581916099757</v>
      </c>
      <c r="FW70" s="63" cm="1">
        <f t="array" ref="FW70">INDEX(FX_Input,$KB70,FW$85)</f>
        <v>280</v>
      </c>
      <c r="FX70" s="63">
        <f t="shared" si="201"/>
        <v>1571.92</v>
      </c>
      <c r="FY70" s="63">
        <f t="shared" si="202"/>
        <v>1.111905947311165</v>
      </c>
      <c r="FZ70" s="63">
        <f t="shared" si="203"/>
        <v>1</v>
      </c>
      <c r="GA70" s="63" cm="1">
        <f t="array" ref="GA70">IF(OR(INDEX(FX_Vap,$KK70,GA$90)="Crude Oil",(INDEX(FX_Vap,$KL70,GA$90)="Crude Oil")),0.75,1)</f>
        <v>1</v>
      </c>
      <c r="GB70" s="63">
        <f t="shared" si="116"/>
        <v>1</v>
      </c>
      <c r="GC70" s="63">
        <f t="shared" si="204"/>
        <v>0.3162296267781794</v>
      </c>
      <c r="GD70" s="64">
        <f t="shared" si="205"/>
        <v>0.44146544593917697</v>
      </c>
      <c r="GE70" s="80" t="str" cm="1">
        <f t="array" ref="GE70">IF(ISBLANK(INDEX(FX_Input,$KB70+1,GE$85)),INDEX(FX_Input,$KB70,GE$85),INDEX(FX_Input,$KB70,GE$85)&amp;" &amp; "&amp;INDEX(FX_Input,$KB70+1,GE$85))</f>
        <v>Jet kerosene</v>
      </c>
      <c r="GF70" s="63" cm="1">
        <f t="array" ref="GF70">INDEX(FX_Temps,$KC70+7,GF$89)</f>
        <v>12.459999999999994</v>
      </c>
      <c r="GG70" s="63" cm="1">
        <f t="array" ref="GG70">INDEX(FX_Temps,$KC70+13,GG$89)+459.6</f>
        <v>514.07000000000005</v>
      </c>
      <c r="GH70" s="63" cm="1">
        <f t="array" ref="GH70">INDEX(FX_Vap,$KG70,GH$91)-INDEX(FX_Vap,$KH70,GH$91)</f>
        <v>0</v>
      </c>
      <c r="GI70" s="73" cm="1">
        <f t="array" ref="GI70">IF(GE70="Out of Service",0,INDEX(FX_Vap,$KI70,GI$91))</f>
        <v>6.8260376495002202E-3</v>
      </c>
      <c r="GJ70" s="63">
        <f t="shared" si="206"/>
        <v>2.01544153834106E-2</v>
      </c>
      <c r="GK70" s="63">
        <f t="shared" si="207"/>
        <v>0.99635782853408505</v>
      </c>
      <c r="GL70" s="63" cm="1">
        <f t="array" ref="GL70">INDEX(FX_Vap,$KJ70,GL$91)</f>
        <v>130</v>
      </c>
      <c r="GM70" s="63" cm="1">
        <f t="array" ref="GM70">INDEX(FX_Temps,$KD70,GM$89)+459.6</f>
        <v>514.07000000000005</v>
      </c>
      <c r="GN70" s="63">
        <f t="shared" si="208"/>
        <v>1.6086056013724922E-4</v>
      </c>
      <c r="GO70" s="63" cm="1">
        <f t="array" ref="GO70">INDEX(Month_Ref,GO$83,3)*GJ70*(PI()/4*$F70^2)*$H70*GK70*GN70</f>
        <v>7.9467069098834969E-2</v>
      </c>
      <c r="GP70" s="63" cm="1">
        <f t="array" ref="GP70">INDEX(FX_Input,$KB70,GP$85)</f>
        <v>280</v>
      </c>
      <c r="GQ70" s="63">
        <f t="shared" si="209"/>
        <v>1571.92</v>
      </c>
      <c r="GR70" s="63">
        <f t="shared" si="210"/>
        <v>1.111905947311165</v>
      </c>
      <c r="GS70" s="63">
        <f t="shared" si="211"/>
        <v>1</v>
      </c>
      <c r="GT70" s="63" cm="1">
        <f t="array" ref="GT70">IF(OR(INDEX(FX_Vap,$KK70,GT$90)="Crude Oil",(INDEX(FX_Vap,$KL70,GT$90)="Crude Oil")),0.75,1)</f>
        <v>1</v>
      </c>
      <c r="GU70" s="63">
        <f t="shared" si="117"/>
        <v>1</v>
      </c>
      <c r="GV70" s="63">
        <f t="shared" si="212"/>
        <v>0.25285993169094478</v>
      </c>
      <c r="GW70" s="64">
        <f t="shared" si="213"/>
        <v>0.33232700078977973</v>
      </c>
      <c r="GX70" s="80" t="str" cm="1">
        <f t="array" ref="GX70">IF(ISBLANK(INDEX(FX_Input,$KB70+1,GX$85)),INDEX(FX_Input,$KB70,GX$85),INDEX(FX_Input,$KB70,GX$85)&amp;" &amp; "&amp;INDEX(FX_Input,$KB70+1,GX$85))</f>
        <v>Jet kerosene</v>
      </c>
      <c r="GY70" s="63" cm="1">
        <f t="array" ref="GY70">INDEX(FX_Temps,$KC70+7,GY$89)</f>
        <v>9.275000000000027</v>
      </c>
      <c r="GZ70" s="63" cm="1">
        <f t="array" ref="GZ70">INDEX(FX_Temps,$KC70+13,GZ$89)+459.6</f>
        <v>507.67750000000007</v>
      </c>
      <c r="HA70" s="63" cm="1">
        <f t="array" ref="HA70">INDEX(FX_Vap,$KG70,HA$91)-INDEX(FX_Vap,$KH70,HA$91)</f>
        <v>0</v>
      </c>
      <c r="HB70" s="73" cm="1">
        <f t="array" ref="HB70">IF(GX70="Out of Service",0,INDEX(FX_Vap,$KI70,HB$91))</f>
        <v>5.4845718776011703E-3</v>
      </c>
      <c r="HC70" s="63">
        <f t="shared" si="214"/>
        <v>1.4186316174430964E-2</v>
      </c>
      <c r="HD70" s="63">
        <f t="shared" si="215"/>
        <v>0.99707149880581614</v>
      </c>
      <c r="HE70" s="63" cm="1">
        <f t="array" ref="HE70">INDEX(FX_Vap,$KJ70,HE$91)</f>
        <v>130</v>
      </c>
      <c r="HF70" s="63" cm="1">
        <f t="array" ref="HF70">INDEX(FX_Temps,$KD70,HF$89)+459.6</f>
        <v>507.67750000000007</v>
      </c>
      <c r="HG70" s="63">
        <f t="shared" si="216"/>
        <v>1.3087538545533656E-4</v>
      </c>
      <c r="HH70" s="63" cm="1">
        <f t="array" ref="HH70">INDEX(Month_Ref,HH$83,3)*HC70*(PI()/4*$F70^2)*$H70*HD70*HG70</f>
        <v>4.4072283002422052E-2</v>
      </c>
      <c r="HI70" s="63" cm="1">
        <f t="array" ref="HI70">INDEX(FX_Input,$KB70,HI$85)</f>
        <v>280</v>
      </c>
      <c r="HJ70" s="63">
        <f t="shared" si="217"/>
        <v>1571.92</v>
      </c>
      <c r="HK70" s="63">
        <f t="shared" si="218"/>
        <v>1.111905947311165</v>
      </c>
      <c r="HL70" s="63">
        <f t="shared" si="219"/>
        <v>1</v>
      </c>
      <c r="HM70" s="63" cm="1">
        <f t="array" ref="HM70">IF(OR(INDEX(FX_Vap,$KK70,HM$90)="Crude Oil",(INDEX(FX_Vap,$KL70,HM$90)="Crude Oil")),0.75,1)</f>
        <v>1</v>
      </c>
      <c r="HN70" s="63">
        <f t="shared" si="118"/>
        <v>1</v>
      </c>
      <c r="HO70" s="63">
        <f t="shared" si="220"/>
        <v>0.20572563590495266</v>
      </c>
      <c r="HP70" s="64">
        <f t="shared" si="221"/>
        <v>0.24979791890737471</v>
      </c>
      <c r="HQ70" s="80" t="str" cm="1">
        <f t="array" ref="HQ70">IF(ISBLANK(INDEX(FX_Input,$KB70+1,HQ$85)),INDEX(FX_Input,$KB70,HQ$85),INDEX(FX_Input,$KB70,HQ$85)&amp;" &amp; "&amp;INDEX(FX_Input,$KB70+1,HQ$85))</f>
        <v>Jet kerosene</v>
      </c>
      <c r="HR70" s="63" cm="1">
        <f t="array" ref="HR70">INDEX(FX_Temps,$KC70+7,HR$89)</f>
        <v>7.51</v>
      </c>
      <c r="HS70" s="63" cm="1">
        <f t="array" ref="HS70">INDEX(FX_Temps,$KC70+13,HS$89)+459.6</f>
        <v>503.95500000000004</v>
      </c>
      <c r="HT70" s="63" cm="1">
        <f t="array" ref="HT70">INDEX(FX_Vap,$KG70,HT$91)-INDEX(FX_Vap,$KH70,HT$91)</f>
        <v>0</v>
      </c>
      <c r="HU70" s="73" cm="1">
        <f t="array" ref="HU70">IF(HQ70="Out of Service",0,INDEX(FX_Vap,$KI70,HU$91))</f>
        <v>4.8161086599927579E-3</v>
      </c>
      <c r="HV70" s="63">
        <f t="shared" si="222"/>
        <v>1.0819153855500198E-2</v>
      </c>
      <c r="HW70" s="63">
        <f t="shared" si="223"/>
        <v>0.99742750825865711</v>
      </c>
      <c r="HX70" s="63" cm="1">
        <f t="array" ref="HX70">INDEX(FX_Vap,$KJ70,HX$91)</f>
        <v>130</v>
      </c>
      <c r="HY70" s="63" cm="1">
        <f t="array" ref="HY70">INDEX(FX_Temps,$KD70,HY$89)+459.6</f>
        <v>503.95500000000004</v>
      </c>
      <c r="HZ70" s="63">
        <f t="shared" si="224"/>
        <v>1.1577310359763219E-4</v>
      </c>
      <c r="IA70" s="63" cm="1">
        <f t="array" ref="IA70">INDEX(Month_Ref,IA$83,3)*HV70*(PI()/4*$F70^2)*$H70*HW70*HZ70</f>
        <v>3.07350830232066E-2</v>
      </c>
      <c r="IB70" s="63" cm="1">
        <f t="array" ref="IB70">INDEX(FX_Input,$KB70,IB$85)</f>
        <v>280</v>
      </c>
      <c r="IC70" s="63">
        <f t="shared" si="225"/>
        <v>1571.92</v>
      </c>
      <c r="ID70" s="63">
        <f t="shared" si="226"/>
        <v>1.111905947311165</v>
      </c>
      <c r="IE70" s="63">
        <f t="shared" si="227"/>
        <v>1</v>
      </c>
      <c r="IF70" s="63" cm="1">
        <f t="array" ref="IF70">IF(OR(INDEX(FX_Vap,$KK70,IF$90)="Crude Oil",(INDEX(FX_Vap,$KL70,IF$90)="Crude Oil")),0.75,1)</f>
        <v>1</v>
      </c>
      <c r="IG70" s="63">
        <f t="shared" si="119"/>
        <v>1</v>
      </c>
      <c r="IH70" s="63">
        <f t="shared" si="228"/>
        <v>0.18198605700719001</v>
      </c>
      <c r="II70" s="64">
        <f t="shared" si="229"/>
        <v>0.2127211400303966</v>
      </c>
      <c r="IJ70" s="80">
        <f t="shared" si="230"/>
        <v>1.0270742499736838</v>
      </c>
      <c r="IK70" s="63">
        <f t="shared" si="231"/>
        <v>5.1353712498684195E-4</v>
      </c>
      <c r="IL70" s="63">
        <f t="shared" si="232"/>
        <v>3.0534861861223468</v>
      </c>
      <c r="IM70" s="63">
        <f t="shared" si="233"/>
        <v>1.5267430930611735E-3</v>
      </c>
      <c r="IN70" s="63">
        <f t="shared" si="234"/>
        <v>4.0805604360960306</v>
      </c>
      <c r="IO70" s="64">
        <f t="shared" si="235"/>
        <v>2.0402802180480152E-3</v>
      </c>
      <c r="KB70" s="43">
        <f t="shared" si="120"/>
        <v>119</v>
      </c>
      <c r="KC70" s="43">
        <f t="shared" si="121"/>
        <v>827</v>
      </c>
      <c r="KD70" s="43">
        <f t="shared" si="122"/>
        <v>840</v>
      </c>
      <c r="KE70" s="43">
        <f t="shared" si="123"/>
        <v>827</v>
      </c>
      <c r="KF70" s="43">
        <f t="shared" ref="KF70:KJ70" si="238">KF69+34</f>
        <v>2007</v>
      </c>
      <c r="KG70" s="43">
        <f t="shared" si="238"/>
        <v>2030</v>
      </c>
      <c r="KH70" s="43">
        <f t="shared" si="238"/>
        <v>2025</v>
      </c>
      <c r="KI70" s="43">
        <f t="shared" si="238"/>
        <v>2035</v>
      </c>
      <c r="KJ70" s="43">
        <f t="shared" si="238"/>
        <v>2040</v>
      </c>
      <c r="KK70" s="43">
        <f t="shared" si="127"/>
        <v>2011</v>
      </c>
      <c r="KL70" s="43">
        <f t="shared" si="128"/>
        <v>2013</v>
      </c>
    </row>
    <row r="71" spans="2:298" x14ac:dyDescent="0.4">
      <c r="B71" s="43" t="str" cm="1">
        <f t="array" ref="B71">INDEX(FX_Input,$KB71,B$85)</f>
        <v>FX - 61</v>
      </c>
      <c r="C71" s="93" t="str" cm="1">
        <f t="array" ref="C71">INDEX(FX_Input,$KB71,C$85)</f>
        <v>FIXTANK 208</v>
      </c>
      <c r="D71" s="80">
        <f t="shared" si="131"/>
        <v>793.57939426617168</v>
      </c>
      <c r="E71" s="63" cm="1">
        <f t="array" ref="E71">IF(ISBLANK(INDEX(FX_Input,$KB71,$E$85)),0.03,INDEX(FX_Input,$KB71,$E$85))-IF(ISBLANK(INDEX(FX_Input,$KB71,$E$86)),-0.03,INDEX(FX_Input,$KB71,$E$86))</f>
        <v>0.06</v>
      </c>
      <c r="F71" s="63" cm="1">
        <f t="array" ref="F71">IF(INDEX(FX_Input,$KB71,F$85)="Vertical",INDEX(FX_Input,$KB71,F$86),SQRT((INDEX(FX_Input,$KB71,F$86)*INDEX(FX_Input,$KB71,F$87))/(PI()/4)))</f>
        <v>10</v>
      </c>
      <c r="G71" s="63" cm="1">
        <f t="array" ref="G71">IF(INDEX(FX_Input,$KB71,G$85)="Vertical",INDEX(FX_Input,$KB71,G$86),INDEX(FX_Input,$KB71,G$87)*PI()/4)</f>
        <v>20</v>
      </c>
      <c r="H71" s="63" cm="1">
        <f t="array" ref="H71">IF(INDEX(FX_Input,$KB71,H$85)="Vertical",G71-G71/2+J71,G71/2)</f>
        <v>10.104166666666666</v>
      </c>
      <c r="I71" s="63" cm="1">
        <f t="array" ref="I71">IF(INDEX(FX_Input,$KB71,F$85)="Horizontal","N/A",IF(INDEX(FX_Input,$KB71,I$86)="Cone",IF(ISBLANK(INDEX(FX_Input,$KB71,I$87)),0.0625,INDEX(FX_Input,$KB71,I$87))*F71/2,F71/2-SQRT((F71/2)^2-(INDEX(FX_Input,$KB71,I$88)^2))))</f>
        <v>0.3125</v>
      </c>
      <c r="J71" s="63" cm="1">
        <f t="array" ref="J71">IF(INDEX(FX_Input,$KB71,J$85)="Horizontal","N/A",IF(INDEX(FX_Input,$KB71,J$86)="Cone",I71/3,I71*(1/2+(1/6)*(I71/(F71/2))^2)))</f>
        <v>0.10416666666666667</v>
      </c>
      <c r="K71" s="63">
        <f t="shared" si="132"/>
        <v>19</v>
      </c>
      <c r="L71" s="63">
        <v>7</v>
      </c>
      <c r="M71" s="63" t="str" cm="1">
        <f t="array" ref="M71">INDEX(Tbl_71_6,MATCH(INDEX(FX_Input,$KB71,M$85),Paint_Color,0),VLOOKUP(INDEX(FX_Input,$KB71,M$86),Paint_Cond_Column,2,FALSE))</f>
        <v>N/A</v>
      </c>
      <c r="N71" s="63" cm="1">
        <f t="array" ref="N71">INDEX(Tbl_71_6,MATCH(INDEX(FX_Input,$KB71,N$85),Paint_Color,0),VLOOKUP(INDEX(FX_Input,$KB71,N$86),Paint_Cond_Column,2,FALSE))</f>
        <v>0.25</v>
      </c>
      <c r="O71" s="64" t="str">
        <f t="shared" si="133"/>
        <v>Partially Insulated</v>
      </c>
      <c r="P71" s="80" t="str" cm="1">
        <f t="array" ref="P71">IF(ISBLANK(INDEX(FX_Input,$KB71+1,P$85)),INDEX(FX_Input,$KB71,P$85),INDEX(FX_Input,$KB71,P$85)&amp;" &amp; "&amp;INDEX(FX_Input,$KB71+1,P$85))</f>
        <v>Jet kerosene</v>
      </c>
      <c r="Q71" s="63" cm="1">
        <f t="array" ref="Q71">INDEX(FX_Temps,$KC71+7,Q$89)</f>
        <v>7.9550000000000205</v>
      </c>
      <c r="R71" s="63" cm="1">
        <f t="array" ref="R71">INDEX(FX_Temps,$KC71+13,R$89)+459.6</f>
        <v>504.35750000000002</v>
      </c>
      <c r="S71" s="63" cm="1">
        <f t="array" ref="S71">INDEX(FX_Vap,$KG71,S$91)-INDEX(FX_Vap,$KH71,S$91)</f>
        <v>0</v>
      </c>
      <c r="T71" s="73" cm="1">
        <f t="array" ref="T71">IF(P71="Out of Service",0,INDEX(FX_Vap,$KI71,T$91))</f>
        <v>4.8847213797703236E-3</v>
      </c>
      <c r="U71" s="63">
        <f t="shared" si="134"/>
        <v>1.1689552888082502E-2</v>
      </c>
      <c r="V71" s="63">
        <f t="shared" si="135"/>
        <v>0.99739095485918339</v>
      </c>
      <c r="W71" s="63" cm="1">
        <f t="array" ref="W71">INDEX(FX_Vap,$KJ71,W$91)</f>
        <v>130</v>
      </c>
      <c r="X71" s="63" cm="1">
        <f t="array" ref="X71">INDEX(FX_Temps,$KD71,X$89)+459.6</f>
        <v>504.35750000000002</v>
      </c>
      <c r="Y71" s="63">
        <f t="shared" si="136"/>
        <v>1.1732875736907137E-4</v>
      </c>
      <c r="Z71" s="63" cm="1">
        <f t="array" ref="Z71">INDEX(Month_Ref,Z$83,3)*U71*(PI()/4*$F71^2)*$H71*V71*Y71</f>
        <v>3.3652696832161856E-2</v>
      </c>
      <c r="AA71" s="63" cm="1">
        <f t="array" ref="AA71">INDEX(FX_Input,$KB71,AA$85)</f>
        <v>280</v>
      </c>
      <c r="AB71" s="63">
        <f t="shared" si="137"/>
        <v>1571.92</v>
      </c>
      <c r="AC71" s="63">
        <f t="shared" si="138"/>
        <v>1.111905947311165</v>
      </c>
      <c r="AD71" s="63">
        <f t="shared" si="139"/>
        <v>1</v>
      </c>
      <c r="AE71" s="63" cm="1">
        <f t="array" ref="AE71">IF(OR(INDEX(FX_Vap,$KK71,AE$90)="Crude Oil",(INDEX(FX_Vap,$KL71,AE$90)="Crude Oil")),0.75,1)</f>
        <v>1</v>
      </c>
      <c r="AF71" s="63">
        <f t="shared" si="108"/>
        <v>1</v>
      </c>
      <c r="AG71" s="63">
        <f t="shared" si="140"/>
        <v>0.18443142028359069</v>
      </c>
      <c r="AH71" s="64">
        <f t="shared" si="141"/>
        <v>0.21808411711575254</v>
      </c>
      <c r="AI71" s="80" t="str" cm="1">
        <f t="array" ref="AI71">IF(ISBLANK(INDEX(FX_Input,$KB71+1,AI$85)),INDEX(FX_Input,$KB71,AI$85),INDEX(FX_Input,$KB71,AI$85)&amp;" &amp; "&amp;INDEX(FX_Input,$KB71+1,AI$85))</f>
        <v>Jet kerosene</v>
      </c>
      <c r="AJ71" s="63" cm="1">
        <f t="array" ref="AJ71">INDEX(FX_Temps,$KC71+7,AJ$89)</f>
        <v>10.919999999999993</v>
      </c>
      <c r="AK71" s="63" cm="1">
        <f t="array" ref="AK71">INDEX(FX_Temps,$KC71+13,AK$89)+459.6</f>
        <v>505.80000000000007</v>
      </c>
      <c r="AL71" s="63" cm="1">
        <f t="array" ref="AL71">INDEX(FX_Vap,$KG71,AL$91)-INDEX(FX_Vap,$KH71,AL$91)</f>
        <v>0</v>
      </c>
      <c r="AM71" s="73" cm="1">
        <f t="array" ref="AM71">IF(AI71="Out of Service",0,INDEX(FX_Vap,$KI71,AM$91))</f>
        <v>5.1377970454196883E-3</v>
      </c>
      <c r="AN71" s="63">
        <f t="shared" si="142"/>
        <v>1.7506501368062713E-2</v>
      </c>
      <c r="AO71" s="63">
        <f t="shared" si="143"/>
        <v>0.99725615206070273</v>
      </c>
      <c r="AP71" s="63" cm="1">
        <f t="array" ref="AP71">INDEX(FX_Vap,$KJ71,AP$91)</f>
        <v>130</v>
      </c>
      <c r="AQ71" s="63" cm="1">
        <f t="array" ref="AQ71">INDEX(FX_Temps,$KD71,AQ$89)+459.6</f>
        <v>505.80000000000007</v>
      </c>
      <c r="AR71" s="63">
        <f t="shared" si="144"/>
        <v>1.2305557018495237E-4</v>
      </c>
      <c r="AS71" s="63" cm="1">
        <f t="array" ref="AS71">INDEX(Month_Ref,AS$83,3)*AN71*(PI()/4*$F71^2)*$H71*AO71*AR71</f>
        <v>4.7737071957337292E-2</v>
      </c>
      <c r="AT71" s="63" cm="1">
        <f t="array" ref="AT71">INDEX(FX_Input,$KB71,AT$85)</f>
        <v>280</v>
      </c>
      <c r="AU71" s="63">
        <f t="shared" si="145"/>
        <v>1571.92</v>
      </c>
      <c r="AV71" s="63">
        <f t="shared" si="146"/>
        <v>1.111905947311165</v>
      </c>
      <c r="AW71" s="63">
        <f t="shared" si="147"/>
        <v>1</v>
      </c>
      <c r="AX71" s="63" cm="1">
        <f t="array" ref="AX71">IF(OR(INDEX(FX_Vap,$KK71,AX$90)="Crude Oil",(INDEX(FX_Vap,$KL71,AX$90)="Crude Oil")),0.75,1)</f>
        <v>1</v>
      </c>
      <c r="AY71" s="63">
        <f t="shared" si="109"/>
        <v>1</v>
      </c>
      <c r="AZ71" s="63">
        <f t="shared" si="148"/>
        <v>0.19343351188513033</v>
      </c>
      <c r="BA71" s="64">
        <f t="shared" si="149"/>
        <v>0.24117058384246762</v>
      </c>
      <c r="BB71" s="80" t="str" cm="1">
        <f t="array" ref="BB71">IF(ISBLANK(INDEX(FX_Input,$KB71+1,BB$85)),INDEX(FX_Input,$KB71,BB$85),INDEX(FX_Input,$KB71,BB$85)&amp;" &amp; "&amp;INDEX(FX_Input,$KB71+1,BB$85))</f>
        <v>Jet kerosene</v>
      </c>
      <c r="BC71" s="63" cm="1">
        <f t="array" ref="BC71">INDEX(FX_Temps,$KC71+7,BC$89)</f>
        <v>12.305000000000026</v>
      </c>
      <c r="BD71" s="63" cm="1">
        <f t="array" ref="BD71">INDEX(FX_Temps,$KC71+13,BD$89)+459.6</f>
        <v>507.89250000000004</v>
      </c>
      <c r="BE71" s="63" cm="1">
        <f t="array" ref="BE71">INDEX(FX_Vap,$KG71,BE$91)-INDEX(FX_Vap,$KH71,BE$91)</f>
        <v>0</v>
      </c>
      <c r="BF71" s="73" cm="1">
        <f t="array" ref="BF71">IF(BB71="Out of Service",0,INDEX(FX_Vap,$KI71,BF$91))</f>
        <v>5.5255769197630547E-3</v>
      </c>
      <c r="BG71" s="63">
        <f t="shared" si="150"/>
        <v>2.0144400368426241E-2</v>
      </c>
      <c r="BH71" s="63">
        <f t="shared" si="151"/>
        <v>0.99704966865534261</v>
      </c>
      <c r="BI71" s="63" cm="1">
        <f t="array" ref="BI71">INDEX(FX_Vap,$KJ71,BI$91)</f>
        <v>130</v>
      </c>
      <c r="BJ71" s="63" cm="1">
        <f t="array" ref="BJ71">INDEX(FX_Temps,$KD71,BJ$89)+459.6</f>
        <v>507.89250000000004</v>
      </c>
      <c r="BK71" s="63">
        <f t="shared" si="152"/>
        <v>1.3179805059113694E-4</v>
      </c>
      <c r="BL71" s="63" cm="1">
        <f t="array" ref="BL71">INDEX(Month_Ref,BL$83,3)*BG71*(PI()/4*$F71^2)*$H71*BH71*BK71</f>
        <v>6.5122670440083727E-2</v>
      </c>
      <c r="BM71" s="63" cm="1">
        <f t="array" ref="BM71">INDEX(FX_Input,$KB71,BM$85)</f>
        <v>280</v>
      </c>
      <c r="BN71" s="63">
        <f t="shared" si="153"/>
        <v>1571.92</v>
      </c>
      <c r="BO71" s="63">
        <f t="shared" si="154"/>
        <v>1.111905947311165</v>
      </c>
      <c r="BP71" s="63">
        <f t="shared" si="155"/>
        <v>1</v>
      </c>
      <c r="BQ71" s="63" cm="1">
        <f t="array" ref="BQ71">IF(OR(INDEX(FX_Vap,$KK71,BQ$90)="Crude Oil",(INDEX(FX_Vap,$KL71,BQ$90)="Crude Oil")),0.75,1)</f>
        <v>1</v>
      </c>
      <c r="BR71" s="63">
        <f t="shared" si="110"/>
        <v>1</v>
      </c>
      <c r="BS71" s="63">
        <f t="shared" si="156"/>
        <v>0.20717599168522</v>
      </c>
      <c r="BT71" s="64">
        <f t="shared" si="157"/>
        <v>0.27229866212530374</v>
      </c>
      <c r="BU71" s="80" t="str" cm="1">
        <f t="array" ref="BU71">IF(ISBLANK(INDEX(FX_Input,$KB71+1,BU$85)),INDEX(FX_Input,$KB71,BU$85),INDEX(FX_Input,$KB71,BU$85)&amp;" &amp; "&amp;INDEX(FX_Input,$KB71+1,BU$85))</f>
        <v>Jet kerosene</v>
      </c>
      <c r="BV71" s="63" cm="1">
        <f t="array" ref="BV71">INDEX(FX_Temps,$KC71+7,BV$89)</f>
        <v>14.299999999999986</v>
      </c>
      <c r="BW71" s="63" cm="1">
        <f t="array" ref="BW71">INDEX(FX_Temps,$KC71+13,BW$89)+459.6</f>
        <v>511.32999999999993</v>
      </c>
      <c r="BX71" s="63" cm="1">
        <f t="array" ref="BX71">INDEX(FX_Vap,$KG71,BX$91)-INDEX(FX_Vap,$KH71,BX$91)</f>
        <v>0</v>
      </c>
      <c r="BY71" s="73" cm="1">
        <f t="array" ref="BY71">IF(BU71="Out of Service",0,INDEX(FX_Vap,$KI71,BY$91))</f>
        <v>6.219119610903932E-3</v>
      </c>
      <c r="BZ71" s="63">
        <f t="shared" si="158"/>
        <v>2.3882923806806993E-2</v>
      </c>
      <c r="CA71" s="63">
        <f t="shared" si="159"/>
        <v>0.9966805870822576</v>
      </c>
      <c r="CB71" s="63" cm="1">
        <f t="array" ref="CB71">INDEX(FX_Vap,$KJ71,CB$91)</f>
        <v>130</v>
      </c>
      <c r="CC71" s="63" cm="1">
        <f t="array" ref="CC71">INDEX(FX_Temps,$KD71,CC$89)+459.6</f>
        <v>511.32999999999993</v>
      </c>
      <c r="CD71" s="63">
        <f t="shared" si="160"/>
        <v>1.4734343600633653E-4</v>
      </c>
      <c r="CE71" s="63" cm="1">
        <f t="array" ref="CE71">INDEX(Month_Ref,CE$83,3)*BZ71*(PI()/4*$F71^2)*$H71*CA71*CD71</f>
        <v>8.3499893782675041E-2</v>
      </c>
      <c r="CF71" s="63" cm="1">
        <f t="array" ref="CF71">INDEX(FX_Input,$KB71,CF$85)</f>
        <v>280</v>
      </c>
      <c r="CG71" s="63">
        <f t="shared" si="161"/>
        <v>1571.92</v>
      </c>
      <c r="CH71" s="63">
        <f t="shared" si="162"/>
        <v>1.111905947311165</v>
      </c>
      <c r="CI71" s="63">
        <f t="shared" si="163"/>
        <v>1</v>
      </c>
      <c r="CJ71" s="63" cm="1">
        <f t="array" ref="CJ71">IF(OR(INDEX(FX_Vap,$KK71,CJ$90)="Crude Oil",(INDEX(FX_Vap,$KL71,CJ$90)="Crude Oil")),0.75,1)</f>
        <v>1</v>
      </c>
      <c r="CK71" s="63">
        <f t="shared" si="111"/>
        <v>1</v>
      </c>
      <c r="CL71" s="63">
        <f t="shared" si="164"/>
        <v>0.23161209392708054</v>
      </c>
      <c r="CM71" s="64">
        <f t="shared" si="165"/>
        <v>0.31511198770975557</v>
      </c>
      <c r="CN71" s="80" t="str" cm="1">
        <f t="array" ref="CN71">IF(ISBLANK(INDEX(FX_Input,$KB71+1,CN$85)),INDEX(FX_Input,$KB71,CN$85),INDEX(FX_Input,$KB71,CN$85)&amp;" &amp; "&amp;INDEX(FX_Input,$KB71+1,CN$85))</f>
        <v>Jet kerosene</v>
      </c>
      <c r="CO71" s="63" cm="1">
        <f t="array" ref="CO71">INDEX(FX_Temps,$KC71+7,CO$89)</f>
        <v>15.664999999999973</v>
      </c>
      <c r="CP71" s="63" cm="1">
        <f t="array" ref="CP71">INDEX(FX_Temps,$KC71+13,CP$89)+459.6</f>
        <v>516.59249999999997</v>
      </c>
      <c r="CQ71" s="63" cm="1">
        <f t="array" ref="CQ71">INDEX(FX_Vap,$KG71,CQ$91)-INDEX(FX_Vap,$KH71,CQ$91)</f>
        <v>0</v>
      </c>
      <c r="CR71" s="73" cm="1">
        <f t="array" ref="CR71">IF(CN71="Out of Service",0,INDEX(FX_Vap,$KI71,CR$91))</f>
        <v>7.430518180814979E-3</v>
      </c>
      <c r="CS71" s="63">
        <f t="shared" si="166"/>
        <v>2.6240010888400458E-2</v>
      </c>
      <c r="CT71" s="63">
        <f t="shared" si="167"/>
        <v>0.99603657396583889</v>
      </c>
      <c r="CU71" s="63" cm="1">
        <f t="array" ref="CU71">INDEX(FX_Vap,$KJ71,CU$91)</f>
        <v>130</v>
      </c>
      <c r="CV71" s="63" cm="1">
        <f t="array" ref="CV71">INDEX(FX_Temps,$KD71,CV$89)+459.6</f>
        <v>516.59249999999997</v>
      </c>
      <c r="CW71" s="63">
        <f t="shared" si="168"/>
        <v>1.7425055172755734E-4</v>
      </c>
      <c r="CX71" s="63" cm="1">
        <f t="array" ref="CX71">INDEX(Month_Ref,CX$83,3)*CS71*(PI()/4*$F71^2)*$H71*CT71*CW71</f>
        <v>0.11203804834945248</v>
      </c>
      <c r="CY71" s="63" cm="1">
        <f t="array" ref="CY71">INDEX(FX_Input,$KB71,CY$85)</f>
        <v>280</v>
      </c>
      <c r="CZ71" s="63">
        <f t="shared" si="169"/>
        <v>1571.92</v>
      </c>
      <c r="DA71" s="63">
        <f t="shared" si="170"/>
        <v>1.111905947311165</v>
      </c>
      <c r="DB71" s="63">
        <f t="shared" si="171"/>
        <v>1</v>
      </c>
      <c r="DC71" s="63" cm="1">
        <f t="array" ref="DC71">IF(OR(INDEX(FX_Vap,$KK71,DC$90)="Crude Oil",(INDEX(FX_Vap,$KL71,DC$90)="Crude Oil")),0.75,1)</f>
        <v>1</v>
      </c>
      <c r="DD71" s="63">
        <f t="shared" si="112"/>
        <v>1</v>
      </c>
      <c r="DE71" s="63">
        <f t="shared" si="172"/>
        <v>0.27390792727158192</v>
      </c>
      <c r="DF71" s="64">
        <f t="shared" si="173"/>
        <v>0.38594597562103439</v>
      </c>
      <c r="DG71" s="80" t="str" cm="1">
        <f t="array" ref="DG71">IF(ISBLANK(INDEX(FX_Input,$KB71+1,DG$85)),INDEX(FX_Input,$KB71,DG$85),INDEX(FX_Input,$KB71,DG$85)&amp;" &amp; "&amp;INDEX(FX_Input,$KB71+1,DG$85))</f>
        <v>Jet kerosene</v>
      </c>
      <c r="DH71" s="63" cm="1">
        <f t="array" ref="DH71">INDEX(FX_Temps,$KC71+7,DH$89)</f>
        <v>15.635000000000034</v>
      </c>
      <c r="DI71" s="63" cm="1">
        <f t="array" ref="DI71">INDEX(FX_Temps,$KC71+13,DI$89)+459.6</f>
        <v>520.61750000000006</v>
      </c>
      <c r="DJ71" s="63" cm="1">
        <f t="array" ref="DJ71">INDEX(FX_Vap,$KG71,DJ$91)-INDEX(FX_Vap,$KH71,DJ$91)</f>
        <v>0</v>
      </c>
      <c r="DK71" s="73" cm="1">
        <f t="array" ref="DK71">IF(DG71="Out of Service",0,INDEX(FX_Vap,$KI71,DK$91))</f>
        <v>8.4933610792594406E-3</v>
      </c>
      <c r="DL71" s="63">
        <f t="shared" si="174"/>
        <v>2.5947652812969527E-2</v>
      </c>
      <c r="DM71" s="63">
        <f t="shared" si="175"/>
        <v>0.99547222221384668</v>
      </c>
      <c r="DN71" s="63" cm="1">
        <f t="array" ref="DN71">INDEX(FX_Vap,$KJ71,DN$91)</f>
        <v>130</v>
      </c>
      <c r="DO71" s="63" cm="1">
        <f t="array" ref="DO71">INDEX(FX_Temps,$KD71,DO$89)+459.6</f>
        <v>520.61750000000006</v>
      </c>
      <c r="DP71" s="63">
        <f t="shared" si="176"/>
        <v>1.9763505674536976E-4</v>
      </c>
      <c r="DQ71" s="63" cm="1">
        <f t="array" ref="DQ71">INDEX(Month_Ref,DQ$83,3)*DL71*(PI()/4*$F71^2)*$H71*DM71*DP71</f>
        <v>0.12153541388768208</v>
      </c>
      <c r="DR71" s="63" cm="1">
        <f t="array" ref="DR71">INDEX(FX_Input,$KB71,DR$85)</f>
        <v>280</v>
      </c>
      <c r="DS71" s="63">
        <f t="shared" si="177"/>
        <v>1571.92</v>
      </c>
      <c r="DT71" s="63">
        <f t="shared" si="178"/>
        <v>1.111905947311165</v>
      </c>
      <c r="DU71" s="63">
        <f t="shared" si="179"/>
        <v>1</v>
      </c>
      <c r="DV71" s="63" cm="1">
        <f t="array" ref="DV71">IF(OR(INDEX(FX_Vap,$KK71,DV$90)="Crude Oil",(INDEX(FX_Vap,$KL71,DV$90)="Crude Oil")),0.75,1)</f>
        <v>1</v>
      </c>
      <c r="DW71" s="63">
        <f t="shared" si="113"/>
        <v>1</v>
      </c>
      <c r="DX71" s="63">
        <f t="shared" si="180"/>
        <v>0.31066649839918165</v>
      </c>
      <c r="DY71" s="64">
        <f t="shared" si="181"/>
        <v>0.43220191228686372</v>
      </c>
      <c r="DZ71" s="80" t="str" cm="1">
        <f t="array" ref="DZ71">IF(ISBLANK(INDEX(FX_Input,$KB71+1,DZ$85)),INDEX(FX_Input,$KB71,DZ$85),INDEX(FX_Input,$KB71,DZ$85)&amp;" &amp; "&amp;INDEX(FX_Input,$KB71+1,DZ$85))</f>
        <v>Jet kerosene</v>
      </c>
      <c r="EA71" s="63" cm="1">
        <f t="array" ref="EA71">INDEX(FX_Temps,$KC71+7,EA$89)</f>
        <v>16.159999999999961</v>
      </c>
      <c r="EB71" s="63" cm="1">
        <f t="array" ref="EB71">INDEX(FX_Temps,$KC71+13,EB$89)+459.6</f>
        <v>524.31999999999994</v>
      </c>
      <c r="EC71" s="63" cm="1">
        <f t="array" ref="EC71">INDEX(FX_Vap,$KG71,EC$91)-INDEX(FX_Vap,$KH71,EC$91)</f>
        <v>0</v>
      </c>
      <c r="ED71" s="73" cm="1">
        <f t="array" ref="ED71">IF(DZ71="Out of Service",0,INDEX(FX_Vap,$KI71,ED$91))</f>
        <v>9.5874007696552591E-3</v>
      </c>
      <c r="EE71" s="63">
        <f t="shared" si="182"/>
        <v>2.6736576301376797E-2</v>
      </c>
      <c r="EF71" s="63">
        <f t="shared" si="183"/>
        <v>0.99489197305224619</v>
      </c>
      <c r="EG71" s="63" cm="1">
        <f t="array" ref="EG71">INDEX(FX_Vap,$KJ71,EG$91)</f>
        <v>130</v>
      </c>
      <c r="EH71" s="63" cm="1">
        <f t="array" ref="EH71">INDEX(FX_Temps,$KD71,EH$89)+459.6</f>
        <v>524.31999999999994</v>
      </c>
      <c r="EI71" s="63">
        <f t="shared" si="184"/>
        <v>2.215172827080398E-4</v>
      </c>
      <c r="EJ71" s="63" cm="1">
        <f t="array" ref="EJ71">INDEX(Month_Ref,EJ$83,3)*EE71*(PI()/4*$F71^2)*$H71*EF71*EI71</f>
        <v>0.14495774104053599</v>
      </c>
      <c r="EK71" s="63" cm="1">
        <f t="array" ref="EK71">INDEX(FX_Input,$KB71,EK$85)</f>
        <v>280</v>
      </c>
      <c r="EL71" s="63">
        <f t="shared" si="185"/>
        <v>1571.92</v>
      </c>
      <c r="EM71" s="63">
        <f t="shared" si="186"/>
        <v>1.111905947311165</v>
      </c>
      <c r="EN71" s="63">
        <f t="shared" si="187"/>
        <v>1</v>
      </c>
      <c r="EO71" s="63" cm="1">
        <f t="array" ref="EO71">IF(OR(INDEX(FX_Vap,$KK71,EO$90)="Crude Oil",(INDEX(FX_Vap,$KL71,EO$90)="Crude Oil")),0.75,1)</f>
        <v>1</v>
      </c>
      <c r="EP71" s="63">
        <f t="shared" si="114"/>
        <v>1</v>
      </c>
      <c r="EQ71" s="63">
        <f t="shared" si="188"/>
        <v>0.34820744703442191</v>
      </c>
      <c r="ER71" s="64">
        <f t="shared" si="189"/>
        <v>0.49316518807495791</v>
      </c>
      <c r="ES71" s="80" t="str" cm="1">
        <f t="array" ref="ES71">IF(ISBLANK(INDEX(FX_Input,$KB71+1,ES$85)),INDEX(FX_Input,$KB71,ES$85),INDEX(FX_Input,$KB71,ES$85)&amp;" &amp; "&amp;INDEX(FX_Input,$KB71+1,ES$85))</f>
        <v>Jet kerosene</v>
      </c>
      <c r="ET71" s="63" cm="1">
        <f t="array" ref="ET71">INDEX(FX_Temps,$KC71+7,ET$89)</f>
        <v>15.620000000000012</v>
      </c>
      <c r="EU71" s="63" cm="1">
        <f t="array" ref="EU71">INDEX(FX_Temps,$KC71+13,EU$89)+459.6</f>
        <v>524.23</v>
      </c>
      <c r="EV71" s="63" cm="1">
        <f t="array" ref="EV71">INDEX(FX_Vap,$KG71,EV$91)-INDEX(FX_Vap,$KH71,EV$91)</f>
        <v>0</v>
      </c>
      <c r="EW71" s="73" cm="1">
        <f t="array" ref="EW71">IF(ES71="Out of Service",0,INDEX(FX_Vap,$KI71,EW$91))</f>
        <v>9.5593988737869996E-3</v>
      </c>
      <c r="EX71" s="63">
        <f t="shared" si="190"/>
        <v>2.571179320957322E-2</v>
      </c>
      <c r="EY71" s="63">
        <f t="shared" si="191"/>
        <v>0.99490681606772013</v>
      </c>
      <c r="EZ71" s="63" cm="1">
        <f t="array" ref="EZ71">INDEX(FX_Vap,$KJ71,EZ$91)</f>
        <v>130</v>
      </c>
      <c r="FA71" s="63" cm="1">
        <f t="array" ref="FA71">INDEX(FX_Temps,$KD71,FA$89)+459.6</f>
        <v>524.23</v>
      </c>
      <c r="FB71" s="63">
        <f t="shared" si="192"/>
        <v>2.2090821686528118E-4</v>
      </c>
      <c r="FC71" s="63" cm="1">
        <f t="array" ref="FC71">INDEX(Month_Ref,FC$83,3)*EX71*(PI()/4*$F71^2)*$H71*EY71*FB71</f>
        <v>0.13902045939829419</v>
      </c>
      <c r="FD71" s="63" cm="1">
        <f t="array" ref="FD71">INDEX(FX_Input,$KB71,FD$85)</f>
        <v>280</v>
      </c>
      <c r="FE71" s="63">
        <f t="shared" si="193"/>
        <v>1571.92</v>
      </c>
      <c r="FF71" s="63">
        <f t="shared" si="194"/>
        <v>1.111905947311165</v>
      </c>
      <c r="FG71" s="63">
        <f t="shared" si="195"/>
        <v>1</v>
      </c>
      <c r="FH71" s="63" cm="1">
        <f t="array" ref="FH71">IF(OR(INDEX(FX_Vap,$KK71,FH$90)="Crude Oil",(INDEX(FX_Vap,$KL71,FH$90)="Crude Oil")),0.75,1)</f>
        <v>1</v>
      </c>
      <c r="FI71" s="63">
        <f t="shared" si="115"/>
        <v>1</v>
      </c>
      <c r="FJ71" s="63">
        <f t="shared" si="196"/>
        <v>0.34725004425487283</v>
      </c>
      <c r="FK71" s="64">
        <f t="shared" si="197"/>
        <v>0.48627050365316704</v>
      </c>
      <c r="FL71" s="80" t="str" cm="1">
        <f t="array" ref="FL71">IF(ISBLANK(INDEX(FX_Input,$KB71+1,FL$85)),INDEX(FX_Input,$KB71,FL$85),INDEX(FX_Input,$KB71,FL$85)&amp;" &amp; "&amp;INDEX(FX_Input,$KB71+1,FL$85))</f>
        <v>Jet kerosene</v>
      </c>
      <c r="FM71" s="63" cm="1">
        <f t="array" ref="FM71">INDEX(FX_Temps,$KC71+7,FM$89)</f>
        <v>15.819999999999986</v>
      </c>
      <c r="FN71" s="63" cm="1">
        <f t="array" ref="FN71">INDEX(FX_Temps,$KC71+13,FN$89)+459.6</f>
        <v>521.19000000000005</v>
      </c>
      <c r="FO71" s="63" cm="1">
        <f t="array" ref="FO71">INDEX(FX_Vap,$KG71,FO$91)-INDEX(FX_Vap,$KH71,FO$91)</f>
        <v>0</v>
      </c>
      <c r="FP71" s="73" cm="1">
        <f t="array" ref="FP71">IF(FL71="Out of Service",0,INDEX(FX_Vap,$KI71,FP$91))</f>
        <v>8.6549593565446326E-3</v>
      </c>
      <c r="FQ71" s="63">
        <f t="shared" si="198"/>
        <v>2.6269576622369735E-2</v>
      </c>
      <c r="FR71" s="63">
        <f t="shared" si="199"/>
        <v>0.99538647224368082</v>
      </c>
      <c r="FS71" s="63" cm="1">
        <f t="array" ref="FS71">INDEX(FX_Vap,$KJ71,FS$91)</f>
        <v>130</v>
      </c>
      <c r="FT71" s="63" cm="1">
        <f t="array" ref="FT71">INDEX(FX_Temps,$KD71,FT$89)+459.6</f>
        <v>521.19000000000005</v>
      </c>
      <c r="FU71" s="63">
        <f t="shared" si="200"/>
        <v>2.0117412258777761E-4</v>
      </c>
      <c r="FV71" s="63" cm="1">
        <f t="array" ref="FV71">INDEX(Month_Ref,FV$83,3)*FQ71*(PI()/4*$F71^2)*$H71*FR71*FU71</f>
        <v>0.12523581916099757</v>
      </c>
      <c r="FW71" s="63" cm="1">
        <f t="array" ref="FW71">INDEX(FX_Input,$KB71,FW$85)</f>
        <v>280</v>
      </c>
      <c r="FX71" s="63">
        <f t="shared" si="201"/>
        <v>1571.92</v>
      </c>
      <c r="FY71" s="63">
        <f t="shared" si="202"/>
        <v>1.111905947311165</v>
      </c>
      <c r="FZ71" s="63">
        <f t="shared" si="203"/>
        <v>1</v>
      </c>
      <c r="GA71" s="63" cm="1">
        <f t="array" ref="GA71">IF(OR(INDEX(FX_Vap,$KK71,GA$90)="Crude Oil",(INDEX(FX_Vap,$KL71,GA$90)="Crude Oil")),0.75,1)</f>
        <v>1</v>
      </c>
      <c r="GB71" s="63">
        <f t="shared" si="116"/>
        <v>1</v>
      </c>
      <c r="GC71" s="63">
        <f t="shared" si="204"/>
        <v>0.3162296267781794</v>
      </c>
      <c r="GD71" s="64">
        <f t="shared" si="205"/>
        <v>0.44146544593917697</v>
      </c>
      <c r="GE71" s="80" t="str" cm="1">
        <f t="array" ref="GE71">IF(ISBLANK(INDEX(FX_Input,$KB71+1,GE$85)),INDEX(FX_Input,$KB71,GE$85),INDEX(FX_Input,$KB71,GE$85)&amp;" &amp; "&amp;INDEX(FX_Input,$KB71+1,GE$85))</f>
        <v>Jet kerosene</v>
      </c>
      <c r="GF71" s="63" cm="1">
        <f t="array" ref="GF71">INDEX(FX_Temps,$KC71+7,GF$89)</f>
        <v>12.459999999999994</v>
      </c>
      <c r="GG71" s="63" cm="1">
        <f t="array" ref="GG71">INDEX(FX_Temps,$KC71+13,GG$89)+459.6</f>
        <v>514.07000000000005</v>
      </c>
      <c r="GH71" s="63" cm="1">
        <f t="array" ref="GH71">INDEX(FX_Vap,$KG71,GH$91)-INDEX(FX_Vap,$KH71,GH$91)</f>
        <v>0</v>
      </c>
      <c r="GI71" s="73" cm="1">
        <f t="array" ref="GI71">IF(GE71="Out of Service",0,INDEX(FX_Vap,$KI71,GI$91))</f>
        <v>6.8260376495002202E-3</v>
      </c>
      <c r="GJ71" s="63">
        <f t="shared" si="206"/>
        <v>2.01544153834106E-2</v>
      </c>
      <c r="GK71" s="63">
        <f t="shared" si="207"/>
        <v>0.99635782853408505</v>
      </c>
      <c r="GL71" s="63" cm="1">
        <f t="array" ref="GL71">INDEX(FX_Vap,$KJ71,GL$91)</f>
        <v>130</v>
      </c>
      <c r="GM71" s="63" cm="1">
        <f t="array" ref="GM71">INDEX(FX_Temps,$KD71,GM$89)+459.6</f>
        <v>514.07000000000005</v>
      </c>
      <c r="GN71" s="63">
        <f t="shared" si="208"/>
        <v>1.6086056013724922E-4</v>
      </c>
      <c r="GO71" s="63" cm="1">
        <f t="array" ref="GO71">INDEX(Month_Ref,GO$83,3)*GJ71*(PI()/4*$F71^2)*$H71*GK71*GN71</f>
        <v>7.9467069098834969E-2</v>
      </c>
      <c r="GP71" s="63" cm="1">
        <f t="array" ref="GP71">INDEX(FX_Input,$KB71,GP$85)</f>
        <v>280</v>
      </c>
      <c r="GQ71" s="63">
        <f t="shared" si="209"/>
        <v>1571.92</v>
      </c>
      <c r="GR71" s="63">
        <f t="shared" si="210"/>
        <v>1.111905947311165</v>
      </c>
      <c r="GS71" s="63">
        <f t="shared" si="211"/>
        <v>1</v>
      </c>
      <c r="GT71" s="63" cm="1">
        <f t="array" ref="GT71">IF(OR(INDEX(FX_Vap,$KK71,GT$90)="Crude Oil",(INDEX(FX_Vap,$KL71,GT$90)="Crude Oil")),0.75,1)</f>
        <v>1</v>
      </c>
      <c r="GU71" s="63">
        <f t="shared" si="117"/>
        <v>1</v>
      </c>
      <c r="GV71" s="63">
        <f t="shared" si="212"/>
        <v>0.25285993169094478</v>
      </c>
      <c r="GW71" s="64">
        <f t="shared" si="213"/>
        <v>0.33232700078977973</v>
      </c>
      <c r="GX71" s="80" t="str" cm="1">
        <f t="array" ref="GX71">IF(ISBLANK(INDEX(FX_Input,$KB71+1,GX$85)),INDEX(FX_Input,$KB71,GX$85),INDEX(FX_Input,$KB71,GX$85)&amp;" &amp; "&amp;INDEX(FX_Input,$KB71+1,GX$85))</f>
        <v>Jet kerosene</v>
      </c>
      <c r="GY71" s="63" cm="1">
        <f t="array" ref="GY71">INDEX(FX_Temps,$KC71+7,GY$89)</f>
        <v>9.275000000000027</v>
      </c>
      <c r="GZ71" s="63" cm="1">
        <f t="array" ref="GZ71">INDEX(FX_Temps,$KC71+13,GZ$89)+459.6</f>
        <v>507.67750000000007</v>
      </c>
      <c r="HA71" s="63" cm="1">
        <f t="array" ref="HA71">INDEX(FX_Vap,$KG71,HA$91)-INDEX(FX_Vap,$KH71,HA$91)</f>
        <v>0</v>
      </c>
      <c r="HB71" s="73" cm="1">
        <f t="array" ref="HB71">IF(GX71="Out of Service",0,INDEX(FX_Vap,$KI71,HB$91))</f>
        <v>5.4845718776011703E-3</v>
      </c>
      <c r="HC71" s="63">
        <f t="shared" si="214"/>
        <v>1.4186316174430964E-2</v>
      </c>
      <c r="HD71" s="63">
        <f t="shared" si="215"/>
        <v>0.99707149880581614</v>
      </c>
      <c r="HE71" s="63" cm="1">
        <f t="array" ref="HE71">INDEX(FX_Vap,$KJ71,HE$91)</f>
        <v>130</v>
      </c>
      <c r="HF71" s="63" cm="1">
        <f t="array" ref="HF71">INDEX(FX_Temps,$KD71,HF$89)+459.6</f>
        <v>507.67750000000007</v>
      </c>
      <c r="HG71" s="63">
        <f t="shared" si="216"/>
        <v>1.3087538545533656E-4</v>
      </c>
      <c r="HH71" s="63" cm="1">
        <f t="array" ref="HH71">INDEX(Month_Ref,HH$83,3)*HC71*(PI()/4*$F71^2)*$H71*HD71*HG71</f>
        <v>4.4072283002422052E-2</v>
      </c>
      <c r="HI71" s="63" cm="1">
        <f t="array" ref="HI71">INDEX(FX_Input,$KB71,HI$85)</f>
        <v>280</v>
      </c>
      <c r="HJ71" s="63">
        <f t="shared" si="217"/>
        <v>1571.92</v>
      </c>
      <c r="HK71" s="63">
        <f t="shared" si="218"/>
        <v>1.111905947311165</v>
      </c>
      <c r="HL71" s="63">
        <f t="shared" si="219"/>
        <v>1</v>
      </c>
      <c r="HM71" s="63" cm="1">
        <f t="array" ref="HM71">IF(OR(INDEX(FX_Vap,$KK71,HM$90)="Crude Oil",(INDEX(FX_Vap,$KL71,HM$90)="Crude Oil")),0.75,1)</f>
        <v>1</v>
      </c>
      <c r="HN71" s="63">
        <f t="shared" si="118"/>
        <v>1</v>
      </c>
      <c r="HO71" s="63">
        <f t="shared" si="220"/>
        <v>0.20572563590495266</v>
      </c>
      <c r="HP71" s="64">
        <f t="shared" si="221"/>
        <v>0.24979791890737471</v>
      </c>
      <c r="HQ71" s="80" t="str" cm="1">
        <f t="array" ref="HQ71">IF(ISBLANK(INDEX(FX_Input,$KB71+1,HQ$85)),INDEX(FX_Input,$KB71,HQ$85),INDEX(FX_Input,$KB71,HQ$85)&amp;" &amp; "&amp;INDEX(FX_Input,$KB71+1,HQ$85))</f>
        <v>Jet kerosene</v>
      </c>
      <c r="HR71" s="63" cm="1">
        <f t="array" ref="HR71">INDEX(FX_Temps,$KC71+7,HR$89)</f>
        <v>7.51</v>
      </c>
      <c r="HS71" s="63" cm="1">
        <f t="array" ref="HS71">INDEX(FX_Temps,$KC71+13,HS$89)+459.6</f>
        <v>503.95500000000004</v>
      </c>
      <c r="HT71" s="63" cm="1">
        <f t="array" ref="HT71">INDEX(FX_Vap,$KG71,HT$91)-INDEX(FX_Vap,$KH71,HT$91)</f>
        <v>0</v>
      </c>
      <c r="HU71" s="73" cm="1">
        <f t="array" ref="HU71">IF(HQ71="Out of Service",0,INDEX(FX_Vap,$KI71,HU$91))</f>
        <v>4.8161086599927579E-3</v>
      </c>
      <c r="HV71" s="63">
        <f t="shared" si="222"/>
        <v>1.0819153855500198E-2</v>
      </c>
      <c r="HW71" s="63">
        <f t="shared" si="223"/>
        <v>0.99742750825865711</v>
      </c>
      <c r="HX71" s="63" cm="1">
        <f t="array" ref="HX71">INDEX(FX_Vap,$KJ71,HX$91)</f>
        <v>130</v>
      </c>
      <c r="HY71" s="63" cm="1">
        <f t="array" ref="HY71">INDEX(FX_Temps,$KD71,HY$89)+459.6</f>
        <v>503.95500000000004</v>
      </c>
      <c r="HZ71" s="63">
        <f t="shared" si="224"/>
        <v>1.1577310359763219E-4</v>
      </c>
      <c r="IA71" s="63" cm="1">
        <f t="array" ref="IA71">INDEX(Month_Ref,IA$83,3)*HV71*(PI()/4*$F71^2)*$H71*HW71*HZ71</f>
        <v>3.07350830232066E-2</v>
      </c>
      <c r="IB71" s="63" cm="1">
        <f t="array" ref="IB71">INDEX(FX_Input,$KB71,IB$85)</f>
        <v>280</v>
      </c>
      <c r="IC71" s="63">
        <f t="shared" si="225"/>
        <v>1571.92</v>
      </c>
      <c r="ID71" s="63">
        <f t="shared" si="226"/>
        <v>1.111905947311165</v>
      </c>
      <c r="IE71" s="63">
        <f t="shared" si="227"/>
        <v>1</v>
      </c>
      <c r="IF71" s="63" cm="1">
        <f t="array" ref="IF71">IF(OR(INDEX(FX_Vap,$KK71,IF$90)="Crude Oil",(INDEX(FX_Vap,$KL71,IF$90)="Crude Oil")),0.75,1)</f>
        <v>1</v>
      </c>
      <c r="IG71" s="63">
        <f t="shared" si="119"/>
        <v>1</v>
      </c>
      <c r="IH71" s="63">
        <f t="shared" si="228"/>
        <v>0.18198605700719001</v>
      </c>
      <c r="II71" s="64">
        <f t="shared" si="229"/>
        <v>0.2127211400303966</v>
      </c>
      <c r="IJ71" s="80">
        <f t="shared" si="230"/>
        <v>1.0270742499736838</v>
      </c>
      <c r="IK71" s="63">
        <f t="shared" si="231"/>
        <v>5.1353712498684195E-4</v>
      </c>
      <c r="IL71" s="63">
        <f t="shared" si="232"/>
        <v>3.0534861861223468</v>
      </c>
      <c r="IM71" s="63">
        <f t="shared" si="233"/>
        <v>1.5267430930611735E-3</v>
      </c>
      <c r="IN71" s="63">
        <f t="shared" si="234"/>
        <v>4.0805604360960306</v>
      </c>
      <c r="IO71" s="64">
        <f t="shared" si="235"/>
        <v>2.0402802180480152E-3</v>
      </c>
      <c r="KB71" s="43">
        <f t="shared" si="120"/>
        <v>121</v>
      </c>
      <c r="KC71" s="43">
        <f t="shared" si="121"/>
        <v>841</v>
      </c>
      <c r="KD71" s="43">
        <f t="shared" si="122"/>
        <v>854</v>
      </c>
      <c r="KE71" s="43">
        <f t="shared" si="123"/>
        <v>841</v>
      </c>
      <c r="KF71" s="43">
        <f t="shared" ref="KF71:KJ71" si="239">KF70+34</f>
        <v>2041</v>
      </c>
      <c r="KG71" s="43">
        <f t="shared" si="239"/>
        <v>2064</v>
      </c>
      <c r="KH71" s="43">
        <f t="shared" si="239"/>
        <v>2059</v>
      </c>
      <c r="KI71" s="43">
        <f t="shared" si="239"/>
        <v>2069</v>
      </c>
      <c r="KJ71" s="43">
        <f t="shared" si="239"/>
        <v>2074</v>
      </c>
      <c r="KK71" s="43">
        <f t="shared" si="127"/>
        <v>2045</v>
      </c>
      <c r="KL71" s="43">
        <f t="shared" si="128"/>
        <v>2047</v>
      </c>
    </row>
    <row r="72" spans="2:298" x14ac:dyDescent="0.4">
      <c r="B72" s="43" t="str" cm="1">
        <f t="array" ref="B72">INDEX(FX_Input,$KB72,B$85)</f>
        <v>FX - 62</v>
      </c>
      <c r="C72" s="93" t="str" cm="1">
        <f t="array" ref="C72">INDEX(FX_Input,$KB72,C$85)</f>
        <v>FIXTANK 209</v>
      </c>
      <c r="D72" s="80">
        <f t="shared" si="131"/>
        <v>1151.2873515393658</v>
      </c>
      <c r="E72" s="63" cm="1">
        <f t="array" ref="E72">IF(ISBLANK(INDEX(FX_Input,$KB72,$E$85)),0.03,INDEX(FX_Input,$KB72,$E$85))-IF(ISBLANK(INDEX(FX_Input,$KB72,$E$86)),-0.03,INDEX(FX_Input,$KB72,$E$86))</f>
        <v>0.06</v>
      </c>
      <c r="F72" s="63" cm="1">
        <f t="array" ref="F72">IF(INDEX(FX_Input,$KB72,F$85)="Vertical",INDEX(FX_Input,$KB72,F$86),SQRT((INDEX(FX_Input,$KB72,F$86)*INDEX(FX_Input,$KB72,F$87))/(PI()/4)))</f>
        <v>11</v>
      </c>
      <c r="G72" s="63" cm="1">
        <f t="array" ref="G72">IF(INDEX(FX_Input,$KB72,G$85)="Vertical",INDEX(FX_Input,$KB72,G$86),INDEX(FX_Input,$KB72,G$87)*PI()/4)</f>
        <v>24</v>
      </c>
      <c r="H72" s="63" cm="1">
        <f t="array" ref="H72">IF(INDEX(FX_Input,$KB72,H$85)="Vertical",G72-G72/2+J72,G72/2)</f>
        <v>12.114583333333334</v>
      </c>
      <c r="I72" s="63" cm="1">
        <f t="array" ref="I72">IF(INDEX(FX_Input,$KB72,F$85)="Horizontal","N/A",IF(INDEX(FX_Input,$KB72,I$86)="Cone",IF(ISBLANK(INDEX(FX_Input,$KB72,I$87)),0.0625,INDEX(FX_Input,$KB72,I$87))*F72/2,F72/2-SQRT((F72/2)^2-(INDEX(FX_Input,$KB72,I$88)^2))))</f>
        <v>0.34375</v>
      </c>
      <c r="J72" s="63" cm="1">
        <f t="array" ref="J72">IF(INDEX(FX_Input,$KB72,J$85)="Horizontal","N/A",IF(INDEX(FX_Input,$KB72,J$86)="Cone",I72/3,I72*(1/2+(1/6)*(I72/(F72/2))^2)))</f>
        <v>0.11458333333333333</v>
      </c>
      <c r="K72" s="63">
        <f t="shared" si="132"/>
        <v>23</v>
      </c>
      <c r="L72" s="63">
        <v>8</v>
      </c>
      <c r="M72" s="63" t="str" cm="1">
        <f t="array" ref="M72">INDEX(Tbl_71_6,MATCH(INDEX(FX_Input,$KB72,M$85),Paint_Color,0),VLOOKUP(INDEX(FX_Input,$KB72,M$86),Paint_Cond_Column,2,FALSE))</f>
        <v>N/A</v>
      </c>
      <c r="N72" s="63" t="str" cm="1">
        <f t="array" ref="N72">INDEX(Tbl_71_6,MATCH(INDEX(FX_Input,$KB72,N$85),Paint_Color,0),VLOOKUP(INDEX(FX_Input,$KB72,N$86),Paint_Cond_Column,2,FALSE))</f>
        <v>N/A</v>
      </c>
      <c r="O72" s="64" t="str">
        <f t="shared" si="133"/>
        <v>Insulated</v>
      </c>
      <c r="P72" s="80" t="str" cm="1">
        <f t="array" ref="P72">IF(ISBLANK(INDEX(FX_Input,$KB72+1,P$85)),INDEX(FX_Input,$KB72,P$85),INDEX(FX_Input,$KB72,P$85)&amp;" &amp; "&amp;INDEX(FX_Input,$KB72+1,P$85))</f>
        <v>Jet kerosene</v>
      </c>
      <c r="Q72" s="63" cm="1">
        <f t="array" ref="Q72">INDEX(FX_Temps,$KC72+7,Q$89)</f>
        <v>0</v>
      </c>
      <c r="R72" s="63" cm="1">
        <f t="array" ref="R72">INDEX(FX_Temps,$KC72+13,R$89)+459.6</f>
        <v>503.5</v>
      </c>
      <c r="S72" s="63" cm="1">
        <f t="array" ref="S72">INDEX(FX_Vap,$KG72,S$91)-INDEX(FX_Vap,$KH72,S$91)</f>
        <v>0</v>
      </c>
      <c r="T72" s="73" cm="1">
        <f t="array" ref="T72">IF(P72="Out of Service",0,INDEX(FX_Vap,$KI72,T$91))</f>
        <v>4.739577185808354E-3</v>
      </c>
      <c r="U72" s="63">
        <f t="shared" si="134"/>
        <v>0</v>
      </c>
      <c r="V72" s="63">
        <f t="shared" si="135"/>
        <v>0.99696607854320562</v>
      </c>
      <c r="W72" s="63" cm="1">
        <f t="array" ref="W72">INDEX(FX_Vap,$KJ72,W$91)</f>
        <v>130</v>
      </c>
      <c r="X72" s="63" cm="1">
        <f t="array" ref="X72">INDEX(FX_Temps,$KD72,X$89)+459.6</f>
        <v>503.5</v>
      </c>
      <c r="Y72" s="63">
        <f t="shared" si="136"/>
        <v>1.1403634333314844E-4</v>
      </c>
      <c r="Z72" s="63" cm="1">
        <f t="array" ref="Z72">INDEX(Month_Ref,Z$83,3)*U72*(PI()/4*$F72^2)*$H72*V72*Y72</f>
        <v>0</v>
      </c>
      <c r="AA72" s="63" cm="1">
        <f t="array" ref="AA72">INDEX(FX_Input,$KB72,AA$85)</f>
        <v>406</v>
      </c>
      <c r="AB72" s="63">
        <f t="shared" si="137"/>
        <v>2279.2840000000001</v>
      </c>
      <c r="AC72" s="63">
        <f t="shared" si="138"/>
        <v>1.0901857710301055</v>
      </c>
      <c r="AD72" s="63">
        <f t="shared" si="139"/>
        <v>1</v>
      </c>
      <c r="AE72" s="63" cm="1">
        <f t="array" ref="AE72">IF(OR(INDEX(FX_Vap,$KK72,AE$90)="Crude Oil",(INDEX(FX_Vap,$KL72,AE$90)="Crude Oil")),0.75,1)</f>
        <v>1</v>
      </c>
      <c r="AF72" s="63">
        <f t="shared" si="108"/>
        <v>1</v>
      </c>
      <c r="AG72" s="63">
        <f t="shared" si="140"/>
        <v>0.25992121277775193</v>
      </c>
      <c r="AH72" s="64">
        <f t="shared" si="141"/>
        <v>0.25992121277775193</v>
      </c>
      <c r="AI72" s="80" t="str" cm="1">
        <f t="array" ref="AI72">IF(ISBLANK(INDEX(FX_Input,$KB72+1,AI$85)),INDEX(FX_Input,$KB72,AI$85),INDEX(FX_Input,$KB72,AI$85)&amp;" &amp; "&amp;INDEX(FX_Input,$KB72+1,AI$85))</f>
        <v>Jet kerosene</v>
      </c>
      <c r="AJ72" s="63" cm="1">
        <f t="array" ref="AJ72">INDEX(FX_Temps,$KC72+7,AJ$89)</f>
        <v>0</v>
      </c>
      <c r="AK72" s="63" cm="1">
        <f t="array" ref="AK72">INDEX(FX_Temps,$KC72+13,AK$89)+459.6</f>
        <v>504.30000000000007</v>
      </c>
      <c r="AL72" s="63" cm="1">
        <f t="array" ref="AL72">INDEX(FX_Vap,$KG72,AL$91)-INDEX(FX_Vap,$KH72,AL$91)</f>
        <v>0</v>
      </c>
      <c r="AM72" s="73" cm="1">
        <f t="array" ref="AM72">IF(AI72="Out of Service",0,INDEX(FX_Vap,$KI72,AM$91))</f>
        <v>4.8748667780818778E-3</v>
      </c>
      <c r="AN72" s="63">
        <f t="shared" si="142"/>
        <v>0</v>
      </c>
      <c r="AO72" s="63">
        <f t="shared" si="143"/>
        <v>0.99687974652500078</v>
      </c>
      <c r="AP72" s="63" cm="1">
        <f t="array" ref="AP72">INDEX(FX_Vap,$KJ72,AP$91)</f>
        <v>130</v>
      </c>
      <c r="AQ72" s="63" cm="1">
        <f t="array" ref="AQ72">INDEX(FX_Temps,$KD72,AQ$89)+459.6</f>
        <v>504.30000000000007</v>
      </c>
      <c r="AR72" s="63">
        <f t="shared" si="144"/>
        <v>1.1710540514572422E-4</v>
      </c>
      <c r="AS72" s="63" cm="1">
        <f t="array" ref="AS72">INDEX(Month_Ref,AS$83,3)*AN72*(PI()/4*$F72^2)*$H72*AO72*AR72</f>
        <v>0</v>
      </c>
      <c r="AT72" s="63" cm="1">
        <f t="array" ref="AT72">INDEX(FX_Input,$KB72,AT$85)</f>
        <v>406</v>
      </c>
      <c r="AU72" s="63">
        <f t="shared" si="145"/>
        <v>2279.2840000000001</v>
      </c>
      <c r="AV72" s="63">
        <f t="shared" si="146"/>
        <v>1.0901857710301055</v>
      </c>
      <c r="AW72" s="63">
        <f t="shared" si="147"/>
        <v>1</v>
      </c>
      <c r="AX72" s="63" cm="1">
        <f t="array" ref="AX72">IF(OR(INDEX(FX_Vap,$KK72,AX$90)="Crude Oil",(INDEX(FX_Vap,$KL72,AX$90)="Crude Oil")),0.75,1)</f>
        <v>1</v>
      </c>
      <c r="AY72" s="63">
        <f t="shared" si="109"/>
        <v>1</v>
      </c>
      <c r="AZ72" s="63">
        <f t="shared" si="148"/>
        <v>0.26691647626216691</v>
      </c>
      <c r="BA72" s="64">
        <f t="shared" si="149"/>
        <v>0.26691647626216691</v>
      </c>
      <c r="BB72" s="80" t="str" cm="1">
        <f t="array" ref="BB72">IF(ISBLANK(INDEX(FX_Input,$KB72+1,BB$85)),INDEX(FX_Input,$KB72,BB$85),INDEX(FX_Input,$KB72,BB$85)&amp;" &amp; "&amp;INDEX(FX_Input,$KB72+1,BB$85))</f>
        <v>Jet kerosene</v>
      </c>
      <c r="BC72" s="63" cm="1">
        <f t="array" ref="BC72">INDEX(FX_Temps,$KC72+7,BC$89)</f>
        <v>0</v>
      </c>
      <c r="BD72" s="63" cm="1">
        <f t="array" ref="BD72">INDEX(FX_Temps,$KC72+13,BD$89)+459.6</f>
        <v>505.70000000000005</v>
      </c>
      <c r="BE72" s="63" cm="1">
        <f t="array" ref="BE72">INDEX(FX_Vap,$KG72,BE$91)-INDEX(FX_Vap,$KH72,BE$91)</f>
        <v>0</v>
      </c>
      <c r="BF72" s="73" cm="1">
        <f t="array" ref="BF72">IF(BB72="Out of Service",0,INDEX(FX_Vap,$KI72,BF$91))</f>
        <v>5.119885034186122E-3</v>
      </c>
      <c r="BG72" s="63">
        <f t="shared" si="150"/>
        <v>0</v>
      </c>
      <c r="BH72" s="63">
        <f t="shared" si="151"/>
        <v>0.99672343167563449</v>
      </c>
      <c r="BI72" s="63" cm="1">
        <f t="array" ref="BI72">INDEX(FX_Vap,$KJ72,BI$91)</f>
        <v>130</v>
      </c>
      <c r="BJ72" s="63" cm="1">
        <f t="array" ref="BJ72">INDEX(FX_Temps,$KD72,BJ$89)+459.6</f>
        <v>505.70000000000005</v>
      </c>
      <c r="BK72" s="63">
        <f t="shared" si="152"/>
        <v>1.226508078051294E-4</v>
      </c>
      <c r="BL72" s="63" cm="1">
        <f t="array" ref="BL72">INDEX(Month_Ref,BL$83,3)*BG72*(PI()/4*$F72^2)*$H72*BH72*BK72</f>
        <v>0</v>
      </c>
      <c r="BM72" s="63" cm="1">
        <f t="array" ref="BM72">INDEX(FX_Input,$KB72,BM$85)</f>
        <v>406</v>
      </c>
      <c r="BN72" s="63">
        <f t="shared" si="153"/>
        <v>2279.2840000000001</v>
      </c>
      <c r="BO72" s="63">
        <f t="shared" si="154"/>
        <v>1.0901857710301055</v>
      </c>
      <c r="BP72" s="63">
        <f t="shared" si="155"/>
        <v>1</v>
      </c>
      <c r="BQ72" s="63" cm="1">
        <f t="array" ref="BQ72">IF(OR(INDEX(FX_Vap,$KK72,BQ$90)="Crude Oil",(INDEX(FX_Vap,$KL72,BQ$90)="Crude Oil")),0.75,1)</f>
        <v>1</v>
      </c>
      <c r="BR72" s="63">
        <f t="shared" si="110"/>
        <v>1</v>
      </c>
      <c r="BS72" s="63">
        <f t="shared" si="156"/>
        <v>0.2795560238173066</v>
      </c>
      <c r="BT72" s="64">
        <f t="shared" si="157"/>
        <v>0.2795560238173066</v>
      </c>
      <c r="BU72" s="80" t="str" cm="1">
        <f t="array" ref="BU72">IF(ISBLANK(INDEX(FX_Input,$KB72+1,BU$85)),INDEX(FX_Input,$KB72,BU$85),INDEX(FX_Input,$KB72,BU$85)&amp;" &amp; "&amp;INDEX(FX_Input,$KB72+1,BU$85))</f>
        <v>Jet kerosene</v>
      </c>
      <c r="BV72" s="63" cm="1">
        <f t="array" ref="BV72">INDEX(FX_Temps,$KC72+7,BV$89)</f>
        <v>0</v>
      </c>
      <c r="BW72" s="63" cm="1">
        <f t="array" ref="BW72">INDEX(FX_Temps,$KC72+13,BW$89)+459.6</f>
        <v>508.2</v>
      </c>
      <c r="BX72" s="63" cm="1">
        <f t="array" ref="BX72">INDEX(FX_Vap,$KG72,BX$91)-INDEX(FX_Vap,$KH72,BX$91)</f>
        <v>0</v>
      </c>
      <c r="BY72" s="73" cm="1">
        <f t="array" ref="BY72">IF(BU72="Out of Service",0,INDEX(FX_Vap,$KI72,BY$91))</f>
        <v>5.5846958573521795E-3</v>
      </c>
      <c r="BZ72" s="63">
        <f t="shared" si="158"/>
        <v>0</v>
      </c>
      <c r="CA72" s="63">
        <f t="shared" si="159"/>
        <v>0.99642702993377286</v>
      </c>
      <c r="CB72" s="63" cm="1">
        <f t="array" ref="CB72">INDEX(FX_Vap,$KJ72,CB$91)</f>
        <v>130</v>
      </c>
      <c r="CC72" s="63" cm="1">
        <f t="array" ref="CC72">INDEX(FX_Temps,$KD72,CC$89)+459.6</f>
        <v>508.2</v>
      </c>
      <c r="CD72" s="63">
        <f t="shared" si="160"/>
        <v>1.3312757561120781E-4</v>
      </c>
      <c r="CE72" s="63" cm="1">
        <f t="array" ref="CE72">INDEX(Month_Ref,CE$83,3)*BZ72*(PI()/4*$F72^2)*$H72*CA72*CD72</f>
        <v>0</v>
      </c>
      <c r="CF72" s="63" cm="1">
        <f t="array" ref="CF72">INDEX(FX_Input,$KB72,CF$85)</f>
        <v>406</v>
      </c>
      <c r="CG72" s="63">
        <f t="shared" si="161"/>
        <v>2279.2840000000001</v>
      </c>
      <c r="CH72" s="63">
        <f t="shared" si="162"/>
        <v>1.0901857710301055</v>
      </c>
      <c r="CI72" s="63">
        <f t="shared" si="163"/>
        <v>1</v>
      </c>
      <c r="CJ72" s="63" cm="1">
        <f t="array" ref="CJ72">IF(OR(INDEX(FX_Vap,$KK72,CJ$90)="Crude Oil",(INDEX(FX_Vap,$KL72,CJ$90)="Crude Oil")),0.75,1)</f>
        <v>1</v>
      </c>
      <c r="CK72" s="63">
        <f t="shared" si="111"/>
        <v>1</v>
      </c>
      <c r="CL72" s="63">
        <f t="shared" si="164"/>
        <v>0.30343555304941622</v>
      </c>
      <c r="CM72" s="64">
        <f t="shared" si="165"/>
        <v>0.30343555304941622</v>
      </c>
      <c r="CN72" s="80" t="str" cm="1">
        <f t="array" ref="CN72">IF(ISBLANK(INDEX(FX_Input,$KB72+1,CN$85)),INDEX(FX_Input,$KB72,CN$85),INDEX(FX_Input,$KB72,CN$85)&amp;" &amp; "&amp;INDEX(FX_Input,$KB72+1,CN$85))</f>
        <v>Jet kerosene</v>
      </c>
      <c r="CO72" s="63" cm="1">
        <f t="array" ref="CO72">INDEX(FX_Temps,$KC72+7,CO$89)</f>
        <v>0</v>
      </c>
      <c r="CP72" s="63" cm="1">
        <f t="array" ref="CP72">INDEX(FX_Temps,$KC72+13,CP$89)+459.6</f>
        <v>512.75</v>
      </c>
      <c r="CQ72" s="63" cm="1">
        <f t="array" ref="CQ72">INDEX(FX_Vap,$KG72,CQ$91)-INDEX(FX_Vap,$KH72,CQ$91)</f>
        <v>0</v>
      </c>
      <c r="CR72" s="73" cm="1">
        <f t="array" ref="CR72">IF(CN72="Out of Service",0,INDEX(FX_Vap,$KI72,CR$91))</f>
        <v>6.5274070972739821E-3</v>
      </c>
      <c r="CS72" s="63">
        <f t="shared" si="166"/>
        <v>0</v>
      </c>
      <c r="CT72" s="63">
        <f t="shared" si="167"/>
        <v>0.99582642045628167</v>
      </c>
      <c r="CU72" s="63" cm="1">
        <f t="array" ref="CU72">INDEX(FX_Vap,$KJ72,CU$91)</f>
        <v>130</v>
      </c>
      <c r="CV72" s="63" cm="1">
        <f t="array" ref="CV72">INDEX(FX_Temps,$KD72,CV$89)+459.6</f>
        <v>512.75</v>
      </c>
      <c r="CW72" s="63">
        <f t="shared" si="168"/>
        <v>1.5421910831991609E-4</v>
      </c>
      <c r="CX72" s="63" cm="1">
        <f t="array" ref="CX72">INDEX(Month_Ref,CX$83,3)*CS72*(PI()/4*$F72^2)*$H72*CT72*CW72</f>
        <v>0</v>
      </c>
      <c r="CY72" s="63" cm="1">
        <f t="array" ref="CY72">INDEX(FX_Input,$KB72,CY$85)</f>
        <v>406</v>
      </c>
      <c r="CZ72" s="63">
        <f t="shared" si="169"/>
        <v>2279.2840000000001</v>
      </c>
      <c r="DA72" s="63">
        <f t="shared" si="170"/>
        <v>1.0901857710301055</v>
      </c>
      <c r="DB72" s="63">
        <f t="shared" si="171"/>
        <v>1</v>
      </c>
      <c r="DC72" s="63" cm="1">
        <f t="array" ref="DC72">IF(OR(INDEX(FX_Vap,$KK72,DC$90)="Crude Oil",(INDEX(FX_Vap,$KL72,DC$90)="Crude Oil")),0.75,1)</f>
        <v>1</v>
      </c>
      <c r="DD72" s="63">
        <f t="shared" si="112"/>
        <v>1</v>
      </c>
      <c r="DE72" s="63">
        <f t="shared" si="172"/>
        <v>0.35150914608785161</v>
      </c>
      <c r="DF72" s="64">
        <f t="shared" si="173"/>
        <v>0.35150914608785161</v>
      </c>
      <c r="DG72" s="80" t="str" cm="1">
        <f t="array" ref="DG72">IF(ISBLANK(INDEX(FX_Input,$KB72+1,DG$85)),INDEX(FX_Input,$KB72,DG$85),INDEX(FX_Input,$KB72,DG$85)&amp;" &amp; "&amp;INDEX(FX_Input,$KB72+1,DG$85))</f>
        <v>Jet kerosene</v>
      </c>
      <c r="DH72" s="63" cm="1">
        <f t="array" ref="DH72">INDEX(FX_Temps,$KC72+7,DH$89)</f>
        <v>0</v>
      </c>
      <c r="DI72" s="63" cm="1">
        <f t="array" ref="DI72">INDEX(FX_Temps,$KC72+13,DI$89)+459.6</f>
        <v>516.55000000000007</v>
      </c>
      <c r="DJ72" s="63" cm="1">
        <f t="array" ref="DJ72">INDEX(FX_Vap,$KG72,DJ$91)-INDEX(FX_Vap,$KH72,DJ$91)</f>
        <v>0</v>
      </c>
      <c r="DK72" s="73" cm="1">
        <f t="array" ref="DK72">IF(DG72="Out of Service",0,INDEX(FX_Vap,$KI72,DK$91))</f>
        <v>7.4199539958878279E-3</v>
      </c>
      <c r="DL72" s="63">
        <f t="shared" si="174"/>
        <v>0</v>
      </c>
      <c r="DM72" s="63">
        <f t="shared" si="175"/>
        <v>0.99525843801598368</v>
      </c>
      <c r="DN72" s="63" cm="1">
        <f t="array" ref="DN72">INDEX(FX_Vap,$KJ72,DN$91)</f>
        <v>130</v>
      </c>
      <c r="DO72" s="63" cm="1">
        <f t="array" ref="DO72">INDEX(FX_Temps,$KD72,DO$89)+459.6</f>
        <v>516.55000000000007</v>
      </c>
      <c r="DP72" s="63">
        <f t="shared" si="176"/>
        <v>1.7401713099147103E-4</v>
      </c>
      <c r="DQ72" s="63" cm="1">
        <f t="array" ref="DQ72">INDEX(Month_Ref,DQ$83,3)*DL72*(PI()/4*$F72^2)*$H72*DM72*DP72</f>
        <v>0</v>
      </c>
      <c r="DR72" s="63" cm="1">
        <f t="array" ref="DR72">INDEX(FX_Input,$KB72,DR$85)</f>
        <v>406</v>
      </c>
      <c r="DS72" s="63">
        <f t="shared" si="177"/>
        <v>2279.2840000000001</v>
      </c>
      <c r="DT72" s="63">
        <f t="shared" si="178"/>
        <v>1.0901857710301055</v>
      </c>
      <c r="DU72" s="63">
        <f t="shared" si="179"/>
        <v>1</v>
      </c>
      <c r="DV72" s="63" cm="1">
        <f t="array" ref="DV72">IF(OR(INDEX(FX_Vap,$KK72,DV$90)="Crude Oil",(INDEX(FX_Vap,$KL72,DV$90)="Crude Oil")),0.75,1)</f>
        <v>1</v>
      </c>
      <c r="DW72" s="63">
        <f t="shared" si="113"/>
        <v>1</v>
      </c>
      <c r="DX72" s="63">
        <f t="shared" si="180"/>
        <v>0.39663446239476408</v>
      </c>
      <c r="DY72" s="64">
        <f t="shared" si="181"/>
        <v>0.39663446239476408</v>
      </c>
      <c r="DZ72" s="80" t="str" cm="1">
        <f t="array" ref="DZ72">IF(ISBLANK(INDEX(FX_Input,$KB72+1,DZ$85)),INDEX(FX_Input,$KB72,DZ$85),INDEX(FX_Input,$KB72,DZ$85)&amp;" &amp; "&amp;INDEX(FX_Input,$KB72+1,DZ$85))</f>
        <v>Jet kerosene</v>
      </c>
      <c r="EA72" s="63" cm="1">
        <f t="array" ref="EA72">INDEX(FX_Temps,$KC72+7,EA$89)</f>
        <v>0</v>
      </c>
      <c r="EB72" s="63" cm="1">
        <f t="array" ref="EB72">INDEX(FX_Temps,$KC72+13,EB$89)+459.6</f>
        <v>520.04999999999995</v>
      </c>
      <c r="EC72" s="63" cm="1">
        <f t="array" ref="EC72">INDEX(FX_Vap,$KG72,EC$91)-INDEX(FX_Vap,$KH72,EC$91)</f>
        <v>0</v>
      </c>
      <c r="ED72" s="73" cm="1">
        <f t="array" ref="ED72">IF(DZ72="Out of Service",0,INDEX(FX_Vap,$KI72,ED$91))</f>
        <v>8.3358107202842254E-3</v>
      </c>
      <c r="EE72" s="63">
        <f t="shared" si="182"/>
        <v>0</v>
      </c>
      <c r="EF72" s="63">
        <f t="shared" si="183"/>
        <v>0.99467629522172019</v>
      </c>
      <c r="EG72" s="63" cm="1">
        <f t="array" ref="EG72">INDEX(FX_Vap,$KJ72,EG$91)</f>
        <v>130</v>
      </c>
      <c r="EH72" s="63" cm="1">
        <f t="array" ref="EH72">INDEX(FX_Temps,$KD72,EH$89)+459.6</f>
        <v>520.04999999999995</v>
      </c>
      <c r="EI72" s="63">
        <f t="shared" si="184"/>
        <v>1.9418062801892895E-4</v>
      </c>
      <c r="EJ72" s="63" cm="1">
        <f t="array" ref="EJ72">INDEX(Month_Ref,EJ$83,3)*EE72*(PI()/4*$F72^2)*$H72*EF72*EI72</f>
        <v>0</v>
      </c>
      <c r="EK72" s="63" cm="1">
        <f t="array" ref="EK72">INDEX(FX_Input,$KB72,EK$85)</f>
        <v>406</v>
      </c>
      <c r="EL72" s="63">
        <f t="shared" si="185"/>
        <v>2279.2840000000001</v>
      </c>
      <c r="EM72" s="63">
        <f t="shared" si="186"/>
        <v>1.0901857710301055</v>
      </c>
      <c r="EN72" s="63">
        <f t="shared" si="187"/>
        <v>1</v>
      </c>
      <c r="EO72" s="63" cm="1">
        <f t="array" ref="EO72">IF(OR(INDEX(FX_Vap,$KK72,EO$90)="Crude Oil",(INDEX(FX_Vap,$KL72,EO$90)="Crude Oil")),0.75,1)</f>
        <v>1</v>
      </c>
      <c r="EP72" s="63">
        <f t="shared" si="114"/>
        <v>1</v>
      </c>
      <c r="EQ72" s="63">
        <f t="shared" si="188"/>
        <v>0.44259279855349648</v>
      </c>
      <c r="ER72" s="64">
        <f t="shared" si="189"/>
        <v>0.44259279855349648</v>
      </c>
      <c r="ES72" s="80" t="str" cm="1">
        <f t="array" ref="ES72">IF(ISBLANK(INDEX(FX_Input,$KB72+1,ES$85)),INDEX(FX_Input,$KB72,ES$85),INDEX(FX_Input,$KB72,ES$85)&amp;" &amp; "&amp;INDEX(FX_Input,$KB72+1,ES$85))</f>
        <v>Jet kerosene</v>
      </c>
      <c r="ET72" s="63" cm="1">
        <f t="array" ref="ET72">INDEX(FX_Temps,$KC72+7,ET$89)</f>
        <v>0</v>
      </c>
      <c r="EU72" s="63" cm="1">
        <f t="array" ref="EU72">INDEX(FX_Temps,$KC72+13,EU$89)+459.6</f>
        <v>520.5</v>
      </c>
      <c r="EV72" s="63" cm="1">
        <f t="array" ref="EV72">INDEX(FX_Vap,$KG72,EV$91)-INDEX(FX_Vap,$KH72,EV$91)</f>
        <v>0</v>
      </c>
      <c r="EW72" s="73" cm="1">
        <f t="array" ref="EW72">IF(ES72="Out of Service",0,INDEX(FX_Vap,$KI72,EW$91))</f>
        <v>8.4605262729351115E-3</v>
      </c>
      <c r="EX72" s="63">
        <f t="shared" si="190"/>
        <v>0</v>
      </c>
      <c r="EY72" s="63">
        <f t="shared" si="191"/>
        <v>0.99459707539049924</v>
      </c>
      <c r="EZ72" s="63" cm="1">
        <f t="array" ref="EZ72">INDEX(FX_Vap,$KJ72,EZ$91)</f>
        <v>130</v>
      </c>
      <c r="FA72" s="63" cm="1">
        <f t="array" ref="FA72">INDEX(FX_Temps,$KD72,FA$89)+459.6</f>
        <v>520.5</v>
      </c>
      <c r="FB72" s="63">
        <f t="shared" si="192"/>
        <v>1.969154544366044E-4</v>
      </c>
      <c r="FC72" s="63" cm="1">
        <f t="array" ref="FC72">INDEX(Month_Ref,FC$83,3)*EX72*(PI()/4*$F72^2)*$H72*EY72*FB72</f>
        <v>0</v>
      </c>
      <c r="FD72" s="63" cm="1">
        <f t="array" ref="FD72">INDEX(FX_Input,$KB72,FD$85)</f>
        <v>406</v>
      </c>
      <c r="FE72" s="63">
        <f t="shared" si="193"/>
        <v>2279.2840000000001</v>
      </c>
      <c r="FF72" s="63">
        <f t="shared" si="194"/>
        <v>1.0901857710301055</v>
      </c>
      <c r="FG72" s="63">
        <f t="shared" si="195"/>
        <v>1</v>
      </c>
      <c r="FH72" s="63" cm="1">
        <f t="array" ref="FH72">IF(OR(INDEX(FX_Vap,$KK72,FH$90)="Crude Oil",(INDEX(FX_Vap,$KL72,FH$90)="Crude Oil")),0.75,1)</f>
        <v>1</v>
      </c>
      <c r="FI72" s="63">
        <f t="shared" si="115"/>
        <v>1</v>
      </c>
      <c r="FJ72" s="63">
        <f t="shared" si="196"/>
        <v>0.44882624465008147</v>
      </c>
      <c r="FK72" s="64">
        <f t="shared" si="197"/>
        <v>0.44882624465008147</v>
      </c>
      <c r="FL72" s="80" t="str" cm="1">
        <f t="array" ref="FL72">IF(ISBLANK(INDEX(FX_Input,$KB72+1,FL$85)),INDEX(FX_Input,$KB72,FL$85),INDEX(FX_Input,$KB72,FL$85)&amp;" &amp; "&amp;INDEX(FX_Input,$KB72+1,FL$85))</f>
        <v>Jet kerosene</v>
      </c>
      <c r="FM72" s="63" cm="1">
        <f t="array" ref="FM72">INDEX(FX_Temps,$KC72+7,FM$89)</f>
        <v>0</v>
      </c>
      <c r="FN72" s="63" cm="1">
        <f t="array" ref="FN72">INDEX(FX_Temps,$KC72+13,FN$89)+459.6</f>
        <v>518.20000000000005</v>
      </c>
      <c r="FO72" s="63" cm="1">
        <f t="array" ref="FO72">INDEX(FX_Vap,$KG72,FO$91)-INDEX(FX_Vap,$KH72,FO$91)</f>
        <v>0</v>
      </c>
      <c r="FP72" s="73" cm="1">
        <f t="array" ref="FP72">IF(FL72="Out of Service",0,INDEX(FX_Vap,$KI72,FP$91))</f>
        <v>7.8399882233967533E-3</v>
      </c>
      <c r="FQ72" s="63">
        <f t="shared" si="198"/>
        <v>0</v>
      </c>
      <c r="FR72" s="63">
        <f t="shared" si="199"/>
        <v>0.99499136856459769</v>
      </c>
      <c r="FS72" s="63" cm="1">
        <f t="array" ref="FS72">INDEX(FX_Vap,$KJ72,FS$91)</f>
        <v>130</v>
      </c>
      <c r="FT72" s="63" cm="1">
        <f t="array" ref="FT72">INDEX(FX_Temps,$KD72,FT$89)+459.6</f>
        <v>518.20000000000005</v>
      </c>
      <c r="FU72" s="63">
        <f t="shared" si="200"/>
        <v>1.8328256712249962E-4</v>
      </c>
      <c r="FV72" s="63" cm="1">
        <f t="array" ref="FV72">INDEX(Month_Ref,FV$83,3)*FQ72*(PI()/4*$F72^2)*$H72*FR72*FU72</f>
        <v>0</v>
      </c>
      <c r="FW72" s="63" cm="1">
        <f t="array" ref="FW72">INDEX(FX_Input,$KB72,FW$85)</f>
        <v>406</v>
      </c>
      <c r="FX72" s="63">
        <f t="shared" si="201"/>
        <v>2279.2840000000001</v>
      </c>
      <c r="FY72" s="63">
        <f t="shared" si="202"/>
        <v>1.0901857710301055</v>
      </c>
      <c r="FZ72" s="63">
        <f t="shared" si="203"/>
        <v>1</v>
      </c>
      <c r="GA72" s="63" cm="1">
        <f t="array" ref="GA72">IF(OR(INDEX(FX_Vap,$KK72,GA$90)="Crude Oil",(INDEX(FX_Vap,$KL72,GA$90)="Crude Oil")),0.75,1)</f>
        <v>1</v>
      </c>
      <c r="GB72" s="63">
        <f t="shared" si="116"/>
        <v>1</v>
      </c>
      <c r="GC72" s="63">
        <f t="shared" si="204"/>
        <v>0.41775302272123943</v>
      </c>
      <c r="GD72" s="64">
        <f t="shared" si="205"/>
        <v>0.41775302272123943</v>
      </c>
      <c r="GE72" s="80" t="str" cm="1">
        <f t="array" ref="GE72">IF(ISBLANK(INDEX(FX_Input,$KB72+1,GE$85)),INDEX(FX_Input,$KB72,GE$85),INDEX(FX_Input,$KB72,GE$85)&amp;" &amp; "&amp;INDEX(FX_Input,$KB72+1,GE$85))</f>
        <v>Jet kerosene</v>
      </c>
      <c r="GF72" s="63" cm="1">
        <f t="array" ref="GF72">INDEX(FX_Temps,$KC72+7,GF$89)</f>
        <v>0</v>
      </c>
      <c r="GG72" s="63" cm="1">
        <f t="array" ref="GG72">INDEX(FX_Temps,$KC72+13,GG$89)+459.6</f>
        <v>512.25</v>
      </c>
      <c r="GH72" s="63" cm="1">
        <f t="array" ref="GH72">INDEX(FX_Vap,$KG72,GH$91)-INDEX(FX_Vap,$KH72,GH$91)</f>
        <v>0</v>
      </c>
      <c r="GI72" s="73" cm="1">
        <f t="array" ref="GI72">IF(GE72="Out of Service",0,INDEX(FX_Vap,$KI72,GI$91))</f>
        <v>6.4173462075160911E-3</v>
      </c>
      <c r="GJ72" s="63">
        <f t="shared" si="206"/>
        <v>0</v>
      </c>
      <c r="GK72" s="63">
        <f t="shared" si="207"/>
        <v>0.99589650386597228</v>
      </c>
      <c r="GL72" s="63" cm="1">
        <f t="array" ref="GL72">INDEX(FX_Vap,$KJ72,GL$91)</f>
        <v>130</v>
      </c>
      <c r="GM72" s="63" cm="1">
        <f t="array" ref="GM72">INDEX(FX_Temps,$KD72,GM$89)+459.6</f>
        <v>512.25</v>
      </c>
      <c r="GN72" s="63">
        <f t="shared" si="208"/>
        <v>1.5176675903637226E-4</v>
      </c>
      <c r="GO72" s="63" cm="1">
        <f t="array" ref="GO72">INDEX(Month_Ref,GO$83,3)*GJ72*(PI()/4*$F72^2)*$H72*GK72*GN72</f>
        <v>0</v>
      </c>
      <c r="GP72" s="63" cm="1">
        <f t="array" ref="GP72">INDEX(FX_Input,$KB72,GP$85)</f>
        <v>406</v>
      </c>
      <c r="GQ72" s="63">
        <f t="shared" si="209"/>
        <v>2279.2840000000001</v>
      </c>
      <c r="GR72" s="63">
        <f t="shared" si="210"/>
        <v>1.0901857710301055</v>
      </c>
      <c r="GS72" s="63">
        <f t="shared" si="211"/>
        <v>1</v>
      </c>
      <c r="GT72" s="63" cm="1">
        <f t="array" ref="GT72">IF(OR(INDEX(FX_Vap,$KK72,GT$90)="Crude Oil",(INDEX(FX_Vap,$KL72,GT$90)="Crude Oil")),0.75,1)</f>
        <v>1</v>
      </c>
      <c r="GU72" s="63">
        <f t="shared" si="117"/>
        <v>1</v>
      </c>
      <c r="GV72" s="63">
        <f t="shared" si="212"/>
        <v>0.34591954560345872</v>
      </c>
      <c r="GW72" s="64">
        <f t="shared" si="213"/>
        <v>0.34591954560345872</v>
      </c>
      <c r="GX72" s="80" t="str" cm="1">
        <f t="array" ref="GX72">IF(ISBLANK(INDEX(FX_Input,$KB72+1,GX$85)),INDEX(FX_Input,$KB72,GX$85),INDEX(FX_Input,$KB72,GX$85)&amp;" &amp; "&amp;INDEX(FX_Input,$KB72+1,GX$85))</f>
        <v>Jet kerosene</v>
      </c>
      <c r="GY72" s="63" cm="1">
        <f t="array" ref="GY72">INDEX(FX_Temps,$KC72+7,GY$89)</f>
        <v>0</v>
      </c>
      <c r="GZ72" s="63" cm="1">
        <f t="array" ref="GZ72">INDEX(FX_Temps,$KC72+13,GZ$89)+459.6</f>
        <v>506.70000000000005</v>
      </c>
      <c r="HA72" s="63" cm="1">
        <f t="array" ref="HA72">INDEX(FX_Vap,$KG72,HA$91)-INDEX(FX_Vap,$KH72,HA$91)</f>
        <v>0</v>
      </c>
      <c r="HB72" s="73" cm="1">
        <f t="array" ref="HB72">IF(GX72="Out of Service",0,INDEX(FX_Vap,$KI72,HB$91))</f>
        <v>5.3015226887581056E-3</v>
      </c>
      <c r="HC72" s="63">
        <f t="shared" si="214"/>
        <v>0</v>
      </c>
      <c r="HD72" s="63">
        <f t="shared" si="215"/>
        <v>0.99660758352845658</v>
      </c>
      <c r="HE72" s="63" cm="1">
        <f t="array" ref="HE72">INDEX(FX_Vap,$KJ72,HE$91)</f>
        <v>130</v>
      </c>
      <c r="HF72" s="63" cm="1">
        <f t="array" ref="HF72">INDEX(FX_Temps,$KD72,HF$89)+459.6</f>
        <v>506.70000000000005</v>
      </c>
      <c r="HG72" s="63">
        <f t="shared" si="216"/>
        <v>1.2675143286623188E-4</v>
      </c>
      <c r="HH72" s="63" cm="1">
        <f t="array" ref="HH72">INDEX(Month_Ref,HH$83,3)*HC72*(PI()/4*$F72^2)*$H72*HD72*HG72</f>
        <v>0</v>
      </c>
      <c r="HI72" s="63" cm="1">
        <f t="array" ref="HI72">INDEX(FX_Input,$KB72,HI$85)</f>
        <v>406</v>
      </c>
      <c r="HJ72" s="63">
        <f t="shared" si="217"/>
        <v>2279.2840000000001</v>
      </c>
      <c r="HK72" s="63">
        <f t="shared" si="218"/>
        <v>1.0901857710301055</v>
      </c>
      <c r="HL72" s="63">
        <f t="shared" si="219"/>
        <v>1</v>
      </c>
      <c r="HM72" s="63" cm="1">
        <f t="array" ref="HM72">IF(OR(INDEX(FX_Vap,$KK72,HM$90)="Crude Oil",(INDEX(FX_Vap,$KL72,HM$90)="Crude Oil")),0.75,1)</f>
        <v>1</v>
      </c>
      <c r="HN72" s="63">
        <f t="shared" si="118"/>
        <v>1</v>
      </c>
      <c r="HO72" s="63">
        <f t="shared" si="220"/>
        <v>0.28890251290907648</v>
      </c>
      <c r="HP72" s="64">
        <f t="shared" si="221"/>
        <v>0.28890251290907648</v>
      </c>
      <c r="HQ72" s="80" t="str" cm="1">
        <f t="array" ref="HQ72">IF(ISBLANK(INDEX(FX_Input,$KB72+1,HQ$85)),INDEX(FX_Input,$KB72,HQ$85),INDEX(FX_Input,$KB72,HQ$85)&amp;" &amp; "&amp;INDEX(FX_Input,$KB72+1,HQ$85))</f>
        <v>Jet kerosene</v>
      </c>
      <c r="HR72" s="63" cm="1">
        <f t="array" ref="HR72">INDEX(FX_Temps,$KC72+7,HR$89)</f>
        <v>0</v>
      </c>
      <c r="HS72" s="63" cm="1">
        <f t="array" ref="HS72">INDEX(FX_Temps,$KC72+13,HS$89)+459.6</f>
        <v>503.20000000000005</v>
      </c>
      <c r="HT72" s="63" cm="1">
        <f t="array" ref="HT72">INDEX(FX_Vap,$KG72,HT$91)-INDEX(FX_Vap,$KH72,HT$91)</f>
        <v>0</v>
      </c>
      <c r="HU72" s="73" cm="1">
        <f t="array" ref="HU72">IF(HQ72="Out of Service",0,INDEX(FX_Vap,$KI72,HU$91))</f>
        <v>4.68970903600947E-3</v>
      </c>
      <c r="HV72" s="63">
        <f t="shared" si="222"/>
        <v>0</v>
      </c>
      <c r="HW72" s="63">
        <f t="shared" si="223"/>
        <v>0.9969979045560734</v>
      </c>
      <c r="HX72" s="63" cm="1">
        <f t="array" ref="HX72">INDEX(FX_Vap,$KJ72,HX$91)</f>
        <v>130</v>
      </c>
      <c r="HY72" s="63" cm="1">
        <f t="array" ref="HY72">INDEX(FX_Temps,$KD72,HY$89)+459.6</f>
        <v>503.20000000000005</v>
      </c>
      <c r="HZ72" s="63">
        <f t="shared" si="224"/>
        <v>1.1290376474196325E-4</v>
      </c>
      <c r="IA72" s="63" cm="1">
        <f t="array" ref="IA72">INDEX(Month_Ref,IA$83,3)*HV72*(PI()/4*$F72^2)*$H72*HW72*HZ72</f>
        <v>0</v>
      </c>
      <c r="IB72" s="63" cm="1">
        <f t="array" ref="IB72">INDEX(FX_Input,$KB72,IB$85)</f>
        <v>406</v>
      </c>
      <c r="IC72" s="63">
        <f t="shared" si="225"/>
        <v>2279.2840000000001</v>
      </c>
      <c r="ID72" s="63">
        <f t="shared" si="226"/>
        <v>1.0901857710301055</v>
      </c>
      <c r="IE72" s="63">
        <f t="shared" si="227"/>
        <v>1</v>
      </c>
      <c r="IF72" s="63" cm="1">
        <f t="array" ref="IF72">IF(OR(INDEX(FX_Vap,$KK72,IF$90)="Crude Oil",(INDEX(FX_Vap,$KL72,IF$90)="Crude Oil")),0.75,1)</f>
        <v>1</v>
      </c>
      <c r="IG72" s="63">
        <f t="shared" si="119"/>
        <v>1</v>
      </c>
      <c r="IH72" s="63">
        <f t="shared" si="228"/>
        <v>0.25733974451612096</v>
      </c>
      <c r="II72" s="64">
        <f t="shared" si="229"/>
        <v>0.25733974451612096</v>
      </c>
      <c r="IJ72" s="80">
        <f t="shared" si="230"/>
        <v>0</v>
      </c>
      <c r="IK72" s="63">
        <f t="shared" si="231"/>
        <v>0</v>
      </c>
      <c r="IL72" s="63">
        <f t="shared" si="232"/>
        <v>4.0593067433427308</v>
      </c>
      <c r="IM72" s="63">
        <f t="shared" si="233"/>
        <v>2.0296533716713653E-3</v>
      </c>
      <c r="IN72" s="63">
        <f t="shared" si="234"/>
        <v>4.0593067433427308</v>
      </c>
      <c r="IO72" s="64">
        <f t="shared" si="235"/>
        <v>2.0296533716713653E-3</v>
      </c>
      <c r="KB72" s="43">
        <f t="shared" si="120"/>
        <v>123</v>
      </c>
      <c r="KC72" s="43">
        <f t="shared" si="121"/>
        <v>855</v>
      </c>
      <c r="KD72" s="43">
        <f t="shared" si="122"/>
        <v>868</v>
      </c>
      <c r="KE72" s="43">
        <f t="shared" si="123"/>
        <v>855</v>
      </c>
      <c r="KF72" s="43">
        <f t="shared" ref="KF72:KJ72" si="240">KF71+34</f>
        <v>2075</v>
      </c>
      <c r="KG72" s="43">
        <f t="shared" si="240"/>
        <v>2098</v>
      </c>
      <c r="KH72" s="43">
        <f t="shared" si="240"/>
        <v>2093</v>
      </c>
      <c r="KI72" s="43">
        <f t="shared" si="240"/>
        <v>2103</v>
      </c>
      <c r="KJ72" s="43">
        <f t="shared" si="240"/>
        <v>2108</v>
      </c>
      <c r="KK72" s="43">
        <f t="shared" si="127"/>
        <v>2079</v>
      </c>
      <c r="KL72" s="43">
        <f t="shared" si="128"/>
        <v>2081</v>
      </c>
    </row>
    <row r="73" spans="2:298" x14ac:dyDescent="0.4">
      <c r="B73" s="43" t="str" cm="1">
        <f t="array" ref="B73">INDEX(FX_Input,$KB73,B$85)</f>
        <v>FX - 63</v>
      </c>
      <c r="C73" s="93" t="str" cm="1">
        <f t="array" ref="C73">INDEX(FX_Input,$KB73,C$85)</f>
        <v>FIXTANK 211</v>
      </c>
      <c r="D73" s="80">
        <f t="shared" si="131"/>
        <v>1371.3051932919448</v>
      </c>
      <c r="E73" s="63" cm="1">
        <f t="array" ref="E73">IF(ISBLANK(INDEX(FX_Input,$KB73,$E$85)),0.03,INDEX(FX_Input,$KB73,$E$85))-IF(ISBLANK(INDEX(FX_Input,$KB73,$E$86)),-0.03,INDEX(FX_Input,$KB73,$E$86))</f>
        <v>0.06</v>
      </c>
      <c r="F73" s="63" cm="1">
        <f t="array" ref="F73">IF(INDEX(FX_Input,$KB73,F$85)="Vertical",INDEX(FX_Input,$KB73,F$86),SQRT((INDEX(FX_Input,$KB73,F$86)*INDEX(FX_Input,$KB73,F$87))/(PI()/4)))</f>
        <v>12</v>
      </c>
      <c r="G73" s="63" cm="1">
        <f t="array" ref="G73">IF(INDEX(FX_Input,$KB73,G$85)="Vertical",INDEX(FX_Input,$KB73,G$86),INDEX(FX_Input,$KB73,G$87)*PI()/4)</f>
        <v>24</v>
      </c>
      <c r="H73" s="63" cm="1">
        <f t="array" ref="H73">IF(INDEX(FX_Input,$KB73,H$85)="Vertical",G73-G73/2+J73,G73/2)</f>
        <v>12.125</v>
      </c>
      <c r="I73" s="63" cm="1">
        <f t="array" ref="I73">IF(INDEX(FX_Input,$KB73,F$85)="Horizontal","N/A",IF(INDEX(FX_Input,$KB73,I$86)="Cone",IF(ISBLANK(INDEX(FX_Input,$KB73,I$87)),0.0625,INDEX(FX_Input,$KB73,I$87))*F73/2,F73/2-SQRT((F73/2)^2-(INDEX(FX_Input,$KB73,I$88)^2))))</f>
        <v>0.375</v>
      </c>
      <c r="J73" s="63" cm="1">
        <f t="array" ref="J73">IF(INDEX(FX_Input,$KB73,J$85)="Horizontal","N/A",IF(INDEX(FX_Input,$KB73,J$86)="Cone",I73/3,I73*(1/2+(1/6)*(I73/(F73/2))^2)))</f>
        <v>0.125</v>
      </c>
      <c r="K73" s="63">
        <f t="shared" si="132"/>
        <v>23</v>
      </c>
      <c r="L73" s="63">
        <v>9</v>
      </c>
      <c r="M73" s="63" t="str" cm="1">
        <f t="array" ref="M73">INDEX(Tbl_71_6,MATCH(INDEX(FX_Input,$KB73,M$85),Paint_Color,0),VLOOKUP(INDEX(FX_Input,$KB73,M$86),Paint_Cond_Column,2,FALSE))</f>
        <v>N/A</v>
      </c>
      <c r="N73" s="63" t="str" cm="1">
        <f t="array" ref="N73">INDEX(Tbl_71_6,MATCH(INDEX(FX_Input,$KB73,N$85),Paint_Color,0),VLOOKUP(INDEX(FX_Input,$KB73,N$86),Paint_Cond_Column,2,FALSE))</f>
        <v>N/A</v>
      </c>
      <c r="O73" s="64" t="str">
        <f t="shared" si="133"/>
        <v>Insulated</v>
      </c>
      <c r="P73" s="80" t="str" cm="1">
        <f t="array" ref="P73">IF(ISBLANK(INDEX(FX_Input,$KB73+1,P$85)),INDEX(FX_Input,$KB73,P$85),INDEX(FX_Input,$KB73,P$85)&amp;" &amp; "&amp;INDEX(FX_Input,$KB73+1,P$85))</f>
        <v>Jet kerosene</v>
      </c>
      <c r="Q73" s="63" cm="1">
        <f t="array" ref="Q73">INDEX(FX_Temps,$KC73+7,Q$89)</f>
        <v>0</v>
      </c>
      <c r="R73" s="63" cm="1">
        <f t="array" ref="R73">INDEX(FX_Temps,$KC73+13,R$89)+459.6</f>
        <v>503.5</v>
      </c>
      <c r="S73" s="63" cm="1">
        <f t="array" ref="S73">INDEX(FX_Vap,$KG73,S$91)-INDEX(FX_Vap,$KH73,S$91)</f>
        <v>0</v>
      </c>
      <c r="T73" s="73" cm="1">
        <f t="array" ref="T73">IF(P73="Out of Service",0,INDEX(FX_Vap,$KI73,T$91))</f>
        <v>4.739577185808354E-3</v>
      </c>
      <c r="U73" s="63">
        <f t="shared" si="134"/>
        <v>0</v>
      </c>
      <c r="V73" s="63">
        <f t="shared" si="135"/>
        <v>0.99696347776170358</v>
      </c>
      <c r="W73" s="63" cm="1">
        <f t="array" ref="W73">INDEX(FX_Vap,$KJ73,W$91)</f>
        <v>130</v>
      </c>
      <c r="X73" s="63" cm="1">
        <f t="array" ref="X73">INDEX(FX_Temps,$KD73,X$89)+459.6</f>
        <v>503.5</v>
      </c>
      <c r="Y73" s="63">
        <f t="shared" si="136"/>
        <v>1.1403634333314844E-4</v>
      </c>
      <c r="Z73" s="63" cm="1">
        <f t="array" ref="Z73">INDEX(Month_Ref,Z$83,3)*U73*(PI()/4*$F73^2)*$H73*V73*Y73</f>
        <v>0</v>
      </c>
      <c r="AA73" s="63" cm="1">
        <f t="array" ref="AA73">INDEX(FX_Input,$KB73,AA$85)</f>
        <v>500</v>
      </c>
      <c r="AB73" s="63">
        <f t="shared" si="137"/>
        <v>2807</v>
      </c>
      <c r="AC73" s="63">
        <f t="shared" si="138"/>
        <v>1.1281513264114904</v>
      </c>
      <c r="AD73" s="63">
        <f t="shared" si="139"/>
        <v>1</v>
      </c>
      <c r="AE73" s="63" cm="1">
        <f t="array" ref="AE73">IF(OR(INDEX(FX_Vap,$KK73,AE$90)="Crude Oil",(INDEX(FX_Vap,$KL73,AE$90)="Crude Oil")),0.75,1)</f>
        <v>1</v>
      </c>
      <c r="AF73" s="63">
        <f t="shared" si="108"/>
        <v>1</v>
      </c>
      <c r="AG73" s="63">
        <f t="shared" si="140"/>
        <v>0.32010001573614766</v>
      </c>
      <c r="AH73" s="64">
        <f t="shared" si="141"/>
        <v>0.32010001573614766</v>
      </c>
      <c r="AI73" s="80" t="str" cm="1">
        <f t="array" ref="AI73">IF(ISBLANK(INDEX(FX_Input,$KB73+1,AI$85)),INDEX(FX_Input,$KB73,AI$85),INDEX(FX_Input,$KB73,AI$85)&amp;" &amp; "&amp;INDEX(FX_Input,$KB73+1,AI$85))</f>
        <v>Jet kerosene</v>
      </c>
      <c r="AJ73" s="63" cm="1">
        <f t="array" ref="AJ73">INDEX(FX_Temps,$KC73+7,AJ$89)</f>
        <v>0</v>
      </c>
      <c r="AK73" s="63" cm="1">
        <f t="array" ref="AK73">INDEX(FX_Temps,$KC73+13,AK$89)+459.6</f>
        <v>504.30000000000007</v>
      </c>
      <c r="AL73" s="63" cm="1">
        <f t="array" ref="AL73">INDEX(FX_Vap,$KG73,AL$91)-INDEX(FX_Vap,$KH73,AL$91)</f>
        <v>0</v>
      </c>
      <c r="AM73" s="73" cm="1">
        <f t="array" ref="AM73">IF(AI73="Out of Service",0,INDEX(FX_Vap,$KI73,AM$91))</f>
        <v>4.8748667780818778E-3</v>
      </c>
      <c r="AN73" s="63">
        <f t="shared" si="142"/>
        <v>0</v>
      </c>
      <c r="AO73" s="63">
        <f t="shared" si="143"/>
        <v>0.99687707196855357</v>
      </c>
      <c r="AP73" s="63" cm="1">
        <f t="array" ref="AP73">INDEX(FX_Vap,$KJ73,AP$91)</f>
        <v>130</v>
      </c>
      <c r="AQ73" s="63" cm="1">
        <f t="array" ref="AQ73">INDEX(FX_Temps,$KD73,AQ$89)+459.6</f>
        <v>504.30000000000007</v>
      </c>
      <c r="AR73" s="63">
        <f t="shared" si="144"/>
        <v>1.1710540514572422E-4</v>
      </c>
      <c r="AS73" s="63" cm="1">
        <f t="array" ref="AS73">INDEX(Month_Ref,AS$83,3)*AN73*(PI()/4*$F73^2)*$H73*AO73*AR73</f>
        <v>0</v>
      </c>
      <c r="AT73" s="63" cm="1">
        <f t="array" ref="AT73">INDEX(FX_Input,$KB73,AT$85)</f>
        <v>500</v>
      </c>
      <c r="AU73" s="63">
        <f t="shared" si="145"/>
        <v>2807</v>
      </c>
      <c r="AV73" s="63">
        <f t="shared" si="146"/>
        <v>1.1281513264114904</v>
      </c>
      <c r="AW73" s="63">
        <f t="shared" si="147"/>
        <v>1</v>
      </c>
      <c r="AX73" s="63" cm="1">
        <f t="array" ref="AX73">IF(OR(INDEX(FX_Vap,$KK73,AX$90)="Crude Oil",(INDEX(FX_Vap,$KL73,AX$90)="Crude Oil")),0.75,1)</f>
        <v>1</v>
      </c>
      <c r="AY73" s="63">
        <f t="shared" si="109"/>
        <v>1</v>
      </c>
      <c r="AZ73" s="63">
        <f t="shared" si="148"/>
        <v>0.32871487224404788</v>
      </c>
      <c r="BA73" s="64">
        <f t="shared" si="149"/>
        <v>0.32871487224404788</v>
      </c>
      <c r="BB73" s="80" t="str" cm="1">
        <f t="array" ref="BB73">IF(ISBLANK(INDEX(FX_Input,$KB73+1,BB$85)),INDEX(FX_Input,$KB73,BB$85),INDEX(FX_Input,$KB73,BB$85)&amp;" &amp; "&amp;INDEX(FX_Input,$KB73+1,BB$85))</f>
        <v>Jet kerosene</v>
      </c>
      <c r="BC73" s="63" cm="1">
        <f t="array" ref="BC73">INDEX(FX_Temps,$KC73+7,BC$89)</f>
        <v>0</v>
      </c>
      <c r="BD73" s="63" cm="1">
        <f t="array" ref="BD73">INDEX(FX_Temps,$KC73+13,BD$89)+459.6</f>
        <v>505.70000000000005</v>
      </c>
      <c r="BE73" s="63" cm="1">
        <f t="array" ref="BE73">INDEX(FX_Vap,$KG73,BE$91)-INDEX(FX_Vap,$KH73,BE$91)</f>
        <v>0</v>
      </c>
      <c r="BF73" s="73" cm="1">
        <f t="array" ref="BF73">IF(BB73="Out of Service",0,INDEX(FX_Vap,$KI73,BF$91))</f>
        <v>5.119885034186122E-3</v>
      </c>
      <c r="BG73" s="63">
        <f t="shared" si="150"/>
        <v>0</v>
      </c>
      <c r="BH73" s="63">
        <f t="shared" si="151"/>
        <v>0.99672062357312086</v>
      </c>
      <c r="BI73" s="63" cm="1">
        <f t="array" ref="BI73">INDEX(FX_Vap,$KJ73,BI$91)</f>
        <v>130</v>
      </c>
      <c r="BJ73" s="63" cm="1">
        <f t="array" ref="BJ73">INDEX(FX_Temps,$KD73,BJ$89)+459.6</f>
        <v>505.70000000000005</v>
      </c>
      <c r="BK73" s="63">
        <f t="shared" si="152"/>
        <v>1.226508078051294E-4</v>
      </c>
      <c r="BL73" s="63" cm="1">
        <f t="array" ref="BL73">INDEX(Month_Ref,BL$83,3)*BG73*(PI()/4*$F73^2)*$H73*BH73*BK73</f>
        <v>0</v>
      </c>
      <c r="BM73" s="63" cm="1">
        <f t="array" ref="BM73">INDEX(FX_Input,$KB73,BM$85)</f>
        <v>500</v>
      </c>
      <c r="BN73" s="63">
        <f t="shared" si="153"/>
        <v>2807</v>
      </c>
      <c r="BO73" s="63">
        <f t="shared" si="154"/>
        <v>1.1281513264114904</v>
      </c>
      <c r="BP73" s="63">
        <f t="shared" si="155"/>
        <v>1</v>
      </c>
      <c r="BQ73" s="63" cm="1">
        <f t="array" ref="BQ73">IF(OR(INDEX(FX_Vap,$KK73,BQ$90)="Crude Oil",(INDEX(FX_Vap,$KL73,BQ$90)="Crude Oil")),0.75,1)</f>
        <v>1</v>
      </c>
      <c r="BR73" s="63">
        <f t="shared" si="110"/>
        <v>1</v>
      </c>
      <c r="BS73" s="63">
        <f t="shared" si="156"/>
        <v>0.34428081750899825</v>
      </c>
      <c r="BT73" s="64">
        <f t="shared" si="157"/>
        <v>0.34428081750899825</v>
      </c>
      <c r="BU73" s="80" t="str" cm="1">
        <f t="array" ref="BU73">IF(ISBLANK(INDEX(FX_Input,$KB73+1,BU$85)),INDEX(FX_Input,$KB73,BU$85),INDEX(FX_Input,$KB73,BU$85)&amp;" &amp; "&amp;INDEX(FX_Input,$KB73+1,BU$85))</f>
        <v>Jet kerosene</v>
      </c>
      <c r="BV73" s="63" cm="1">
        <f t="array" ref="BV73">INDEX(FX_Temps,$KC73+7,BV$89)</f>
        <v>0</v>
      </c>
      <c r="BW73" s="63" cm="1">
        <f t="array" ref="BW73">INDEX(FX_Temps,$KC73+13,BW$89)+459.6</f>
        <v>508.2</v>
      </c>
      <c r="BX73" s="63" cm="1">
        <f t="array" ref="BX73">INDEX(FX_Vap,$KG73,BX$91)-INDEX(FX_Vap,$KH73,BX$91)</f>
        <v>0</v>
      </c>
      <c r="BY73" s="73" cm="1">
        <f t="array" ref="BY73">IF(BU73="Out of Service",0,INDEX(FX_Vap,$KI73,BY$91))</f>
        <v>5.5846958573521795E-3</v>
      </c>
      <c r="BZ73" s="63">
        <f t="shared" si="158"/>
        <v>0</v>
      </c>
      <c r="CA73" s="63">
        <f t="shared" si="159"/>
        <v>0.99642396871880012</v>
      </c>
      <c r="CB73" s="63" cm="1">
        <f t="array" ref="CB73">INDEX(FX_Vap,$KJ73,CB$91)</f>
        <v>130</v>
      </c>
      <c r="CC73" s="63" cm="1">
        <f t="array" ref="CC73">INDEX(FX_Temps,$KD73,CC$89)+459.6</f>
        <v>508.2</v>
      </c>
      <c r="CD73" s="63">
        <f t="shared" si="160"/>
        <v>1.3312757561120781E-4</v>
      </c>
      <c r="CE73" s="63" cm="1">
        <f t="array" ref="CE73">INDEX(Month_Ref,CE$83,3)*BZ73*(PI()/4*$F73^2)*$H73*CA73*CD73</f>
        <v>0</v>
      </c>
      <c r="CF73" s="63" cm="1">
        <f t="array" ref="CF73">INDEX(FX_Input,$KB73,CF$85)</f>
        <v>500</v>
      </c>
      <c r="CG73" s="63">
        <f t="shared" si="161"/>
        <v>2807</v>
      </c>
      <c r="CH73" s="63">
        <f t="shared" si="162"/>
        <v>1.1281513264114904</v>
      </c>
      <c r="CI73" s="63">
        <f t="shared" si="163"/>
        <v>1</v>
      </c>
      <c r="CJ73" s="63" cm="1">
        <f t="array" ref="CJ73">IF(OR(INDEX(FX_Vap,$KK73,CJ$90)="Crude Oil",(INDEX(FX_Vap,$KL73,CJ$90)="Crude Oil")),0.75,1)</f>
        <v>1</v>
      </c>
      <c r="CK73" s="63">
        <f t="shared" si="111"/>
        <v>1</v>
      </c>
      <c r="CL73" s="63">
        <f t="shared" si="164"/>
        <v>0.37368910474066036</v>
      </c>
      <c r="CM73" s="64">
        <f t="shared" si="165"/>
        <v>0.37368910474066036</v>
      </c>
      <c r="CN73" s="80" t="str" cm="1">
        <f t="array" ref="CN73">IF(ISBLANK(INDEX(FX_Input,$KB73+1,CN$85)),INDEX(FX_Input,$KB73,CN$85),INDEX(FX_Input,$KB73,CN$85)&amp;" &amp; "&amp;INDEX(FX_Input,$KB73+1,CN$85))</f>
        <v>Jet kerosene</v>
      </c>
      <c r="CO73" s="63" cm="1">
        <f t="array" ref="CO73">INDEX(FX_Temps,$KC73+7,CO$89)</f>
        <v>0</v>
      </c>
      <c r="CP73" s="63" cm="1">
        <f t="array" ref="CP73">INDEX(FX_Temps,$KC73+13,CP$89)+459.6</f>
        <v>512.75</v>
      </c>
      <c r="CQ73" s="63" cm="1">
        <f t="array" ref="CQ73">INDEX(FX_Vap,$KG73,CQ$91)-INDEX(FX_Vap,$KH73,CQ$91)</f>
        <v>0</v>
      </c>
      <c r="CR73" s="73" cm="1">
        <f t="array" ref="CR73">IF(CN73="Out of Service",0,INDEX(FX_Vap,$KI73,CR$91))</f>
        <v>6.5274070972739821E-3</v>
      </c>
      <c r="CS73" s="63">
        <f t="shared" si="166"/>
        <v>0</v>
      </c>
      <c r="CT73" s="63">
        <f t="shared" si="167"/>
        <v>0.9958228468140955</v>
      </c>
      <c r="CU73" s="63" cm="1">
        <f t="array" ref="CU73">INDEX(FX_Vap,$KJ73,CU$91)</f>
        <v>130</v>
      </c>
      <c r="CV73" s="63" cm="1">
        <f t="array" ref="CV73">INDEX(FX_Temps,$KD73,CV$89)+459.6</f>
        <v>512.75</v>
      </c>
      <c r="CW73" s="63">
        <f t="shared" si="168"/>
        <v>1.5421910831991609E-4</v>
      </c>
      <c r="CX73" s="63" cm="1">
        <f t="array" ref="CX73">INDEX(Month_Ref,CX$83,3)*CS73*(PI()/4*$F73^2)*$H73*CT73*CW73</f>
        <v>0</v>
      </c>
      <c r="CY73" s="63" cm="1">
        <f t="array" ref="CY73">INDEX(FX_Input,$KB73,CY$85)</f>
        <v>500</v>
      </c>
      <c r="CZ73" s="63">
        <f t="shared" si="169"/>
        <v>2807</v>
      </c>
      <c r="DA73" s="63">
        <f t="shared" si="170"/>
        <v>1.1281513264114904</v>
      </c>
      <c r="DB73" s="63">
        <f t="shared" si="171"/>
        <v>1</v>
      </c>
      <c r="DC73" s="63" cm="1">
        <f t="array" ref="DC73">IF(OR(INDEX(FX_Vap,$KK73,DC$90)="Crude Oil",(INDEX(FX_Vap,$KL73,DC$90)="Crude Oil")),0.75,1)</f>
        <v>1</v>
      </c>
      <c r="DD73" s="63">
        <f t="shared" si="112"/>
        <v>1</v>
      </c>
      <c r="DE73" s="63">
        <f t="shared" si="172"/>
        <v>0.43289303705400445</v>
      </c>
      <c r="DF73" s="64">
        <f t="shared" si="173"/>
        <v>0.43289303705400445</v>
      </c>
      <c r="DG73" s="80" t="str" cm="1">
        <f t="array" ref="DG73">IF(ISBLANK(INDEX(FX_Input,$KB73+1,DG$85)),INDEX(FX_Input,$KB73,DG$85),INDEX(FX_Input,$KB73,DG$85)&amp;" &amp; "&amp;INDEX(FX_Input,$KB73+1,DG$85))</f>
        <v>Jet kerosene</v>
      </c>
      <c r="DH73" s="63" cm="1">
        <f t="array" ref="DH73">INDEX(FX_Temps,$KC73+7,DH$89)</f>
        <v>0</v>
      </c>
      <c r="DI73" s="63" cm="1">
        <f t="array" ref="DI73">INDEX(FX_Temps,$KC73+13,DI$89)+459.6</f>
        <v>516.55000000000007</v>
      </c>
      <c r="DJ73" s="63" cm="1">
        <f t="array" ref="DJ73">INDEX(FX_Vap,$KG73,DJ$91)-INDEX(FX_Vap,$KH73,DJ$91)</f>
        <v>0</v>
      </c>
      <c r="DK73" s="73" cm="1">
        <f t="array" ref="DK73">IF(DG73="Out of Service",0,INDEX(FX_Vap,$KI73,DK$91))</f>
        <v>7.4199539958878279E-3</v>
      </c>
      <c r="DL73" s="63">
        <f t="shared" si="174"/>
        <v>0</v>
      </c>
      <c r="DM73" s="63">
        <f t="shared" si="175"/>
        <v>0.99525438035447533</v>
      </c>
      <c r="DN73" s="63" cm="1">
        <f t="array" ref="DN73">INDEX(FX_Vap,$KJ73,DN$91)</f>
        <v>130</v>
      </c>
      <c r="DO73" s="63" cm="1">
        <f t="array" ref="DO73">INDEX(FX_Temps,$KD73,DO$89)+459.6</f>
        <v>516.55000000000007</v>
      </c>
      <c r="DP73" s="63">
        <f t="shared" si="176"/>
        <v>1.7401713099147103E-4</v>
      </c>
      <c r="DQ73" s="63" cm="1">
        <f t="array" ref="DQ73">INDEX(Month_Ref,DQ$83,3)*DL73*(PI()/4*$F73^2)*$H73*DM73*DP73</f>
        <v>0</v>
      </c>
      <c r="DR73" s="63" cm="1">
        <f t="array" ref="DR73">INDEX(FX_Input,$KB73,DR$85)</f>
        <v>500</v>
      </c>
      <c r="DS73" s="63">
        <f t="shared" si="177"/>
        <v>2807</v>
      </c>
      <c r="DT73" s="63">
        <f t="shared" si="178"/>
        <v>1.1281513264114904</v>
      </c>
      <c r="DU73" s="63">
        <f t="shared" si="179"/>
        <v>1</v>
      </c>
      <c r="DV73" s="63" cm="1">
        <f t="array" ref="DV73">IF(OR(INDEX(FX_Vap,$KK73,DV$90)="Crude Oil",(INDEX(FX_Vap,$KL73,DV$90)="Crude Oil")),0.75,1)</f>
        <v>1</v>
      </c>
      <c r="DW73" s="63">
        <f t="shared" si="113"/>
        <v>1</v>
      </c>
      <c r="DX73" s="63">
        <f t="shared" si="180"/>
        <v>0.48846608669305919</v>
      </c>
      <c r="DY73" s="64">
        <f t="shared" si="181"/>
        <v>0.48846608669305919</v>
      </c>
      <c r="DZ73" s="80" t="str" cm="1">
        <f t="array" ref="DZ73">IF(ISBLANK(INDEX(FX_Input,$KB73+1,DZ$85)),INDEX(FX_Input,$KB73,DZ$85),INDEX(FX_Input,$KB73,DZ$85)&amp;" &amp; "&amp;INDEX(FX_Input,$KB73+1,DZ$85))</f>
        <v>Jet kerosene</v>
      </c>
      <c r="EA73" s="63" cm="1">
        <f t="array" ref="EA73">INDEX(FX_Temps,$KC73+7,EA$89)</f>
        <v>0</v>
      </c>
      <c r="EB73" s="63" cm="1">
        <f t="array" ref="EB73">INDEX(FX_Temps,$KC73+13,EB$89)+459.6</f>
        <v>520.04999999999995</v>
      </c>
      <c r="EC73" s="63" cm="1">
        <f t="array" ref="EC73">INDEX(FX_Vap,$KG73,EC$91)-INDEX(FX_Vap,$KH73,EC$91)</f>
        <v>0</v>
      </c>
      <c r="ED73" s="73" cm="1">
        <f t="array" ref="ED73">IF(DZ73="Out of Service",0,INDEX(FX_Vap,$KI73,ED$91))</f>
        <v>8.3358107202842254E-3</v>
      </c>
      <c r="EE73" s="63">
        <f t="shared" si="182"/>
        <v>0</v>
      </c>
      <c r="EF73" s="63">
        <f t="shared" si="183"/>
        <v>0.99467174205000397</v>
      </c>
      <c r="EG73" s="63" cm="1">
        <f t="array" ref="EG73">INDEX(FX_Vap,$KJ73,EG$91)</f>
        <v>130</v>
      </c>
      <c r="EH73" s="63" cm="1">
        <f t="array" ref="EH73">INDEX(FX_Temps,$KD73,EH$89)+459.6</f>
        <v>520.04999999999995</v>
      </c>
      <c r="EI73" s="63">
        <f t="shared" si="184"/>
        <v>1.9418062801892895E-4</v>
      </c>
      <c r="EJ73" s="63" cm="1">
        <f t="array" ref="EJ73">INDEX(Month_Ref,EJ$83,3)*EE73*(PI()/4*$F73^2)*$H73*EF73*EI73</f>
        <v>0</v>
      </c>
      <c r="EK73" s="63" cm="1">
        <f t="array" ref="EK73">INDEX(FX_Input,$KB73,EK$85)</f>
        <v>500</v>
      </c>
      <c r="EL73" s="63">
        <f t="shared" si="185"/>
        <v>2807</v>
      </c>
      <c r="EM73" s="63">
        <f t="shared" si="186"/>
        <v>1.1281513264114904</v>
      </c>
      <c r="EN73" s="63">
        <f t="shared" si="187"/>
        <v>1</v>
      </c>
      <c r="EO73" s="63" cm="1">
        <f t="array" ref="EO73">IF(OR(INDEX(FX_Vap,$KK73,EO$90)="Crude Oil",(INDEX(FX_Vap,$KL73,EO$90)="Crude Oil")),0.75,1)</f>
        <v>1</v>
      </c>
      <c r="EP73" s="63">
        <f t="shared" si="114"/>
        <v>1</v>
      </c>
      <c r="EQ73" s="63">
        <f t="shared" si="188"/>
        <v>0.54506502284913361</v>
      </c>
      <c r="ER73" s="64">
        <f t="shared" si="189"/>
        <v>0.54506502284913361</v>
      </c>
      <c r="ES73" s="80" t="str" cm="1">
        <f t="array" ref="ES73">IF(ISBLANK(INDEX(FX_Input,$KB73+1,ES$85)),INDEX(FX_Input,$KB73,ES$85),INDEX(FX_Input,$KB73,ES$85)&amp;" &amp; "&amp;INDEX(FX_Input,$KB73+1,ES$85))</f>
        <v>Jet kerosene</v>
      </c>
      <c r="ET73" s="63" cm="1">
        <f t="array" ref="ET73">INDEX(FX_Temps,$KC73+7,ET$89)</f>
        <v>0</v>
      </c>
      <c r="EU73" s="63" cm="1">
        <f t="array" ref="EU73">INDEX(FX_Temps,$KC73+13,EU$89)+459.6</f>
        <v>520.5</v>
      </c>
      <c r="EV73" s="63" cm="1">
        <f t="array" ref="EV73">INDEX(FX_Vap,$KG73,EV$91)-INDEX(FX_Vap,$KH73,EV$91)</f>
        <v>0</v>
      </c>
      <c r="EW73" s="73" cm="1">
        <f t="array" ref="EW73">IF(ES73="Out of Service",0,INDEX(FX_Vap,$KI73,EW$91))</f>
        <v>8.4605262729351115E-3</v>
      </c>
      <c r="EX73" s="63">
        <f t="shared" si="190"/>
        <v>0</v>
      </c>
      <c r="EY73" s="63">
        <f t="shared" si="191"/>
        <v>0.99459245483327596</v>
      </c>
      <c r="EZ73" s="63" cm="1">
        <f t="array" ref="EZ73">INDEX(FX_Vap,$KJ73,EZ$91)</f>
        <v>130</v>
      </c>
      <c r="FA73" s="63" cm="1">
        <f t="array" ref="FA73">INDEX(FX_Temps,$KD73,FA$89)+459.6</f>
        <v>520.5</v>
      </c>
      <c r="FB73" s="63">
        <f t="shared" si="192"/>
        <v>1.969154544366044E-4</v>
      </c>
      <c r="FC73" s="63" cm="1">
        <f t="array" ref="FC73">INDEX(Month_Ref,FC$83,3)*EX73*(PI()/4*$F73^2)*$H73*EY73*FB73</f>
        <v>0</v>
      </c>
      <c r="FD73" s="63" cm="1">
        <f t="array" ref="FD73">INDEX(FX_Input,$KB73,FD$85)</f>
        <v>500</v>
      </c>
      <c r="FE73" s="63">
        <f t="shared" si="193"/>
        <v>2807</v>
      </c>
      <c r="FF73" s="63">
        <f t="shared" si="194"/>
        <v>1.1281513264114904</v>
      </c>
      <c r="FG73" s="63">
        <f t="shared" si="195"/>
        <v>1</v>
      </c>
      <c r="FH73" s="63" cm="1">
        <f t="array" ref="FH73">IF(OR(INDEX(FX_Vap,$KK73,FH$90)="Crude Oil",(INDEX(FX_Vap,$KL73,FH$90)="Crude Oil")),0.75,1)</f>
        <v>1</v>
      </c>
      <c r="FI73" s="63">
        <f t="shared" si="115"/>
        <v>1</v>
      </c>
      <c r="FJ73" s="63">
        <f t="shared" si="196"/>
        <v>0.55274168060354856</v>
      </c>
      <c r="FK73" s="64">
        <f t="shared" si="197"/>
        <v>0.55274168060354856</v>
      </c>
      <c r="FL73" s="80" t="str" cm="1">
        <f t="array" ref="FL73">IF(ISBLANK(INDEX(FX_Input,$KB73+1,FL$85)),INDEX(FX_Input,$KB73,FL$85),INDEX(FX_Input,$KB73,FL$85)&amp;" &amp; "&amp;INDEX(FX_Input,$KB73+1,FL$85))</f>
        <v>Jet kerosene</v>
      </c>
      <c r="FM73" s="63" cm="1">
        <f t="array" ref="FM73">INDEX(FX_Temps,$KC73+7,FM$89)</f>
        <v>0</v>
      </c>
      <c r="FN73" s="63" cm="1">
        <f t="array" ref="FN73">INDEX(FX_Temps,$KC73+13,FN$89)+459.6</f>
        <v>518.20000000000005</v>
      </c>
      <c r="FO73" s="63" cm="1">
        <f t="array" ref="FO73">INDEX(FX_Vap,$KG73,FO$91)-INDEX(FX_Vap,$KH73,FO$91)</f>
        <v>0</v>
      </c>
      <c r="FP73" s="73" cm="1">
        <f t="array" ref="FP73">IF(FL73="Out of Service",0,INDEX(FX_Vap,$KI73,FP$91))</f>
        <v>7.8399882233967533E-3</v>
      </c>
      <c r="FQ73" s="63">
        <f t="shared" si="198"/>
        <v>0</v>
      </c>
      <c r="FR73" s="63">
        <f t="shared" si="199"/>
        <v>0.99498708350562592</v>
      </c>
      <c r="FS73" s="63" cm="1">
        <f t="array" ref="FS73">INDEX(FX_Vap,$KJ73,FS$91)</f>
        <v>130</v>
      </c>
      <c r="FT73" s="63" cm="1">
        <f t="array" ref="FT73">INDEX(FX_Temps,$KD73,FT$89)+459.6</f>
        <v>518.20000000000005</v>
      </c>
      <c r="FU73" s="63">
        <f t="shared" si="200"/>
        <v>1.8328256712249962E-4</v>
      </c>
      <c r="FV73" s="63" cm="1">
        <f t="array" ref="FV73">INDEX(Month_Ref,FV$83,3)*FQ73*(PI()/4*$F73^2)*$H73*FR73*FU73</f>
        <v>0</v>
      </c>
      <c r="FW73" s="63" cm="1">
        <f t="array" ref="FW73">INDEX(FX_Input,$KB73,FW$85)</f>
        <v>500</v>
      </c>
      <c r="FX73" s="63">
        <f t="shared" si="201"/>
        <v>2807</v>
      </c>
      <c r="FY73" s="63">
        <f t="shared" si="202"/>
        <v>1.1281513264114904</v>
      </c>
      <c r="FZ73" s="63">
        <f t="shared" si="203"/>
        <v>1</v>
      </c>
      <c r="GA73" s="63" cm="1">
        <f t="array" ref="GA73">IF(OR(INDEX(FX_Vap,$KK73,GA$90)="Crude Oil",(INDEX(FX_Vap,$KL73,GA$90)="Crude Oil")),0.75,1)</f>
        <v>1</v>
      </c>
      <c r="GB73" s="63">
        <f t="shared" si="116"/>
        <v>1</v>
      </c>
      <c r="GC73" s="63">
        <f t="shared" si="204"/>
        <v>0.51447416591285644</v>
      </c>
      <c r="GD73" s="64">
        <f t="shared" si="205"/>
        <v>0.51447416591285644</v>
      </c>
      <c r="GE73" s="80" t="str" cm="1">
        <f t="array" ref="GE73">IF(ISBLANK(INDEX(FX_Input,$KB73+1,GE$85)),INDEX(FX_Input,$KB73,GE$85),INDEX(FX_Input,$KB73,GE$85)&amp;" &amp; "&amp;INDEX(FX_Input,$KB73+1,GE$85))</f>
        <v>Jet kerosene</v>
      </c>
      <c r="GF73" s="63" cm="1">
        <f t="array" ref="GF73">INDEX(FX_Temps,$KC73+7,GF$89)</f>
        <v>0</v>
      </c>
      <c r="GG73" s="63" cm="1">
        <f t="array" ref="GG73">INDEX(FX_Temps,$KC73+13,GG$89)+459.6</f>
        <v>512.25</v>
      </c>
      <c r="GH73" s="63" cm="1">
        <f t="array" ref="GH73">INDEX(FX_Vap,$KG73,GH$91)-INDEX(FX_Vap,$KH73,GH$91)</f>
        <v>0</v>
      </c>
      <c r="GI73" s="73" cm="1">
        <f t="array" ref="GI73">IF(GE73="Out of Service",0,INDEX(FX_Vap,$KI73,GI$91))</f>
        <v>6.4173462075160911E-3</v>
      </c>
      <c r="GJ73" s="63">
        <f t="shared" si="206"/>
        <v>0</v>
      </c>
      <c r="GK73" s="63">
        <f t="shared" si="207"/>
        <v>0.99589298998546127</v>
      </c>
      <c r="GL73" s="63" cm="1">
        <f t="array" ref="GL73">INDEX(FX_Vap,$KJ73,GL$91)</f>
        <v>130</v>
      </c>
      <c r="GM73" s="63" cm="1">
        <f t="array" ref="GM73">INDEX(FX_Temps,$KD73,GM$89)+459.6</f>
        <v>512.25</v>
      </c>
      <c r="GN73" s="63">
        <f t="shared" si="208"/>
        <v>1.5176675903637226E-4</v>
      </c>
      <c r="GO73" s="63" cm="1">
        <f t="array" ref="GO73">INDEX(Month_Ref,GO$83,3)*GJ73*(PI()/4*$F73^2)*$H73*GK73*GN73</f>
        <v>0</v>
      </c>
      <c r="GP73" s="63" cm="1">
        <f t="array" ref="GP73">INDEX(FX_Input,$KB73,GP$85)</f>
        <v>500</v>
      </c>
      <c r="GQ73" s="63">
        <f t="shared" si="209"/>
        <v>2807</v>
      </c>
      <c r="GR73" s="63">
        <f t="shared" si="210"/>
        <v>1.1281513264114904</v>
      </c>
      <c r="GS73" s="63">
        <f t="shared" si="211"/>
        <v>1</v>
      </c>
      <c r="GT73" s="63" cm="1">
        <f t="array" ref="GT73">IF(OR(INDEX(FX_Vap,$KK73,GT$90)="Crude Oil",(INDEX(FX_Vap,$KL73,GT$90)="Crude Oil")),0.75,1)</f>
        <v>1</v>
      </c>
      <c r="GU73" s="63">
        <f t="shared" si="117"/>
        <v>1</v>
      </c>
      <c r="GV73" s="63">
        <f t="shared" si="212"/>
        <v>0.42600929261509696</v>
      </c>
      <c r="GW73" s="64">
        <f t="shared" si="213"/>
        <v>0.42600929261509696</v>
      </c>
      <c r="GX73" s="80" t="str" cm="1">
        <f t="array" ref="GX73">IF(ISBLANK(INDEX(FX_Input,$KB73+1,GX$85)),INDEX(FX_Input,$KB73,GX$85),INDEX(FX_Input,$KB73,GX$85)&amp;" &amp; "&amp;INDEX(FX_Input,$KB73+1,GX$85))</f>
        <v>Jet kerosene</v>
      </c>
      <c r="GY73" s="63" cm="1">
        <f t="array" ref="GY73">INDEX(FX_Temps,$KC73+7,GY$89)</f>
        <v>0</v>
      </c>
      <c r="GZ73" s="63" cm="1">
        <f t="array" ref="GZ73">INDEX(FX_Temps,$KC73+13,GZ$89)+459.6</f>
        <v>506.70000000000005</v>
      </c>
      <c r="HA73" s="63" cm="1">
        <f t="array" ref="HA73">INDEX(FX_Vap,$KG73,HA$91)-INDEX(FX_Vap,$KH73,HA$91)</f>
        <v>0</v>
      </c>
      <c r="HB73" s="73" cm="1">
        <f t="array" ref="HB73">IF(GX73="Out of Service",0,INDEX(FX_Vap,$KI73,HB$91))</f>
        <v>5.3015226887581056E-3</v>
      </c>
      <c r="HC73" s="63">
        <f t="shared" si="214"/>
        <v>0</v>
      </c>
      <c r="HD73" s="63">
        <f t="shared" si="215"/>
        <v>0.99660467647934226</v>
      </c>
      <c r="HE73" s="63" cm="1">
        <f t="array" ref="HE73">INDEX(FX_Vap,$KJ73,HE$91)</f>
        <v>130</v>
      </c>
      <c r="HF73" s="63" cm="1">
        <f t="array" ref="HF73">INDEX(FX_Temps,$KD73,HF$89)+459.6</f>
        <v>506.70000000000005</v>
      </c>
      <c r="HG73" s="63">
        <f t="shared" si="216"/>
        <v>1.2675143286623188E-4</v>
      </c>
      <c r="HH73" s="63" cm="1">
        <f t="array" ref="HH73">INDEX(Month_Ref,HH$83,3)*HC73*(PI()/4*$F73^2)*$H73*HD73*HG73</f>
        <v>0</v>
      </c>
      <c r="HI73" s="63" cm="1">
        <f t="array" ref="HI73">INDEX(FX_Input,$KB73,HI$85)</f>
        <v>500</v>
      </c>
      <c r="HJ73" s="63">
        <f t="shared" si="217"/>
        <v>2807</v>
      </c>
      <c r="HK73" s="63">
        <f t="shared" si="218"/>
        <v>1.1281513264114904</v>
      </c>
      <c r="HL73" s="63">
        <f t="shared" si="219"/>
        <v>1</v>
      </c>
      <c r="HM73" s="63" cm="1">
        <f t="array" ref="HM73">IF(OR(INDEX(FX_Vap,$KK73,HM$90)="Crude Oil",(INDEX(FX_Vap,$KL73,HM$90)="Crude Oil")),0.75,1)</f>
        <v>1</v>
      </c>
      <c r="HN73" s="63">
        <f t="shared" si="118"/>
        <v>1</v>
      </c>
      <c r="HO73" s="63">
        <f t="shared" si="220"/>
        <v>0.35579127205551286</v>
      </c>
      <c r="HP73" s="64">
        <f t="shared" si="221"/>
        <v>0.35579127205551286</v>
      </c>
      <c r="HQ73" s="80" t="str" cm="1">
        <f t="array" ref="HQ73">IF(ISBLANK(INDEX(FX_Input,$KB73+1,HQ$85)),INDEX(FX_Input,$KB73,HQ$85),INDEX(FX_Input,$KB73,HQ$85)&amp;" &amp; "&amp;INDEX(FX_Input,$KB73+1,HQ$85))</f>
        <v>Jet kerosene</v>
      </c>
      <c r="HR73" s="63" cm="1">
        <f t="array" ref="HR73">INDEX(FX_Temps,$KC73+7,HR$89)</f>
        <v>0</v>
      </c>
      <c r="HS73" s="63" cm="1">
        <f t="array" ref="HS73">INDEX(FX_Temps,$KC73+13,HS$89)+459.6</f>
        <v>503.20000000000005</v>
      </c>
      <c r="HT73" s="63" cm="1">
        <f t="array" ref="HT73">INDEX(FX_Vap,$KG73,HT$91)-INDEX(FX_Vap,$KH73,HT$91)</f>
        <v>0</v>
      </c>
      <c r="HU73" s="73" cm="1">
        <f t="array" ref="HU73">IF(HQ73="Out of Service",0,INDEX(FX_Vap,$KI73,HU$91))</f>
        <v>4.68970903600947E-3</v>
      </c>
      <c r="HV73" s="63">
        <f t="shared" si="222"/>
        <v>0</v>
      </c>
      <c r="HW73" s="63">
        <f t="shared" si="223"/>
        <v>0.99699533097469706</v>
      </c>
      <c r="HX73" s="63" cm="1">
        <f t="array" ref="HX73">INDEX(FX_Vap,$KJ73,HX$91)</f>
        <v>130</v>
      </c>
      <c r="HY73" s="63" cm="1">
        <f t="array" ref="HY73">INDEX(FX_Temps,$KD73,HY$89)+459.6</f>
        <v>503.20000000000005</v>
      </c>
      <c r="HZ73" s="63">
        <f t="shared" si="224"/>
        <v>1.1290376474196325E-4</v>
      </c>
      <c r="IA73" s="63" cm="1">
        <f t="array" ref="IA73">INDEX(Month_Ref,IA$83,3)*HV73*(PI()/4*$F73^2)*$H73*HW73*HZ73</f>
        <v>0</v>
      </c>
      <c r="IB73" s="63" cm="1">
        <f t="array" ref="IB73">INDEX(FX_Input,$KB73,IB$85)</f>
        <v>500</v>
      </c>
      <c r="IC73" s="63">
        <f t="shared" si="225"/>
        <v>2807</v>
      </c>
      <c r="ID73" s="63">
        <f t="shared" si="226"/>
        <v>1.1281513264114904</v>
      </c>
      <c r="IE73" s="63">
        <f t="shared" si="227"/>
        <v>1</v>
      </c>
      <c r="IF73" s="63" cm="1">
        <f t="array" ref="IF73">IF(OR(INDEX(FX_Vap,$KK73,IF$90)="Crude Oil",(INDEX(FX_Vap,$KL73,IF$90)="Crude Oil")),0.75,1)</f>
        <v>1</v>
      </c>
      <c r="IG73" s="63">
        <f t="shared" si="119"/>
        <v>1</v>
      </c>
      <c r="IH73" s="63">
        <f t="shared" si="228"/>
        <v>0.31692086763069083</v>
      </c>
      <c r="II73" s="64">
        <f t="shared" si="229"/>
        <v>0.31692086763069083</v>
      </c>
      <c r="IJ73" s="80">
        <f t="shared" si="230"/>
        <v>0</v>
      </c>
      <c r="IK73" s="63">
        <f t="shared" si="231"/>
        <v>0</v>
      </c>
      <c r="IL73" s="63">
        <f t="shared" si="232"/>
        <v>4.9991462356437575</v>
      </c>
      <c r="IM73" s="63">
        <f t="shared" si="233"/>
        <v>2.4995731178218787E-3</v>
      </c>
      <c r="IN73" s="63">
        <f t="shared" si="234"/>
        <v>4.9991462356437575</v>
      </c>
      <c r="IO73" s="64">
        <f t="shared" si="235"/>
        <v>2.4995731178218787E-3</v>
      </c>
      <c r="KB73" s="43">
        <f t="shared" si="120"/>
        <v>125</v>
      </c>
      <c r="KC73" s="43">
        <f t="shared" si="121"/>
        <v>869</v>
      </c>
      <c r="KD73" s="43">
        <f t="shared" si="122"/>
        <v>882</v>
      </c>
      <c r="KE73" s="43">
        <f t="shared" si="123"/>
        <v>869</v>
      </c>
      <c r="KF73" s="43">
        <f t="shared" ref="KF73:KJ73" si="241">KF72+34</f>
        <v>2109</v>
      </c>
      <c r="KG73" s="43">
        <f t="shared" si="241"/>
        <v>2132</v>
      </c>
      <c r="KH73" s="43">
        <f t="shared" si="241"/>
        <v>2127</v>
      </c>
      <c r="KI73" s="43">
        <f t="shared" si="241"/>
        <v>2137</v>
      </c>
      <c r="KJ73" s="43">
        <f t="shared" si="241"/>
        <v>2142</v>
      </c>
      <c r="KK73" s="43">
        <f t="shared" si="127"/>
        <v>2113</v>
      </c>
      <c r="KL73" s="43">
        <f t="shared" si="128"/>
        <v>2115</v>
      </c>
    </row>
    <row r="74" spans="2:298" x14ac:dyDescent="0.4">
      <c r="B74" s="43" t="str" cm="1">
        <f t="array" ref="B74">INDEX(FX_Input,$KB74,B$85)</f>
        <v>FX - 64</v>
      </c>
      <c r="C74" s="93" t="str" cm="1">
        <f t="array" ref="C74">INDEX(FX_Input,$KB74,C$85)</f>
        <v>FIXTANK 213</v>
      </c>
      <c r="D74" s="80">
        <f t="shared" si="131"/>
        <v>875.3722725300928</v>
      </c>
      <c r="E74" s="63" cm="1">
        <f t="array" ref="E74">IF(ISBLANK(INDEX(FX_Input,$KB74,$E$85)),0.03,INDEX(FX_Input,$KB74,$E$85))-IF(ISBLANK(INDEX(FX_Input,$KB74,$E$86)),-0.03,INDEX(FX_Input,$KB74,$E$86))</f>
        <v>0.06</v>
      </c>
      <c r="F74" s="63" cm="1">
        <f t="array" ref="F74">IF(INDEX(FX_Input,$KB74,F$85)="Vertical",INDEX(FX_Input,$KB74,F$86),SQRT((INDEX(FX_Input,$KB74,F$86)*INDEX(FX_Input,$KB74,F$87))/(PI()/4)))</f>
        <v>10.5</v>
      </c>
      <c r="G74" s="63" cm="1">
        <f t="array" ref="G74">IF(INDEX(FX_Input,$KB74,G$85)="Vertical",INDEX(FX_Input,$KB74,G$86),INDEX(FX_Input,$KB74,G$87)*PI()/4)</f>
        <v>20</v>
      </c>
      <c r="H74" s="63" cm="1">
        <f t="array" ref="H74">IF(INDEX(FX_Input,$KB74,H$85)="Vertical",G74-G74/2+J74,G74/2)</f>
        <v>10.109375</v>
      </c>
      <c r="I74" s="63" cm="1">
        <f t="array" ref="I74">IF(INDEX(FX_Input,$KB74,F$85)="Horizontal","N/A",IF(INDEX(FX_Input,$KB74,I$86)="Cone",IF(ISBLANK(INDEX(FX_Input,$KB74,I$87)),0.0625,INDEX(FX_Input,$KB74,I$87))*F74/2,F74/2-SQRT((F74/2)^2-(INDEX(FX_Input,$KB74,I$88)^2))))</f>
        <v>0.328125</v>
      </c>
      <c r="J74" s="63" cm="1">
        <f t="array" ref="J74">IF(INDEX(FX_Input,$KB74,J$85)="Horizontal","N/A",IF(INDEX(FX_Input,$KB74,J$86)="Cone",I74/3,I74*(1/2+(1/6)*(I74/(F74/2))^2)))</f>
        <v>0.109375</v>
      </c>
      <c r="K74" s="63">
        <f t="shared" si="132"/>
        <v>19</v>
      </c>
      <c r="L74" s="63">
        <v>10</v>
      </c>
      <c r="M74" s="63" t="str" cm="1">
        <f t="array" ref="M74">INDEX(Tbl_71_6,MATCH(INDEX(FX_Input,$KB74,M$85),Paint_Color,0),VLOOKUP(INDEX(FX_Input,$KB74,M$86),Paint_Cond_Column,2,FALSE))</f>
        <v>N/A</v>
      </c>
      <c r="N74" s="63" t="str" cm="1">
        <f t="array" ref="N74">INDEX(Tbl_71_6,MATCH(INDEX(FX_Input,$KB74,N$85),Paint_Color,0),VLOOKUP(INDEX(FX_Input,$KB74,N$86),Paint_Cond_Column,2,FALSE))</f>
        <v>N/A</v>
      </c>
      <c r="O74" s="64" t="str">
        <f t="shared" si="133"/>
        <v>Insulated</v>
      </c>
      <c r="P74" s="80" t="str" cm="1">
        <f t="array" ref="P74">IF(ISBLANK(INDEX(FX_Input,$KB74+1,P$85)),INDEX(FX_Input,$KB74,P$85),INDEX(FX_Input,$KB74,P$85)&amp;" &amp; "&amp;INDEX(FX_Input,$KB74+1,P$85))</f>
        <v>Jet kerosene</v>
      </c>
      <c r="Q74" s="63" cm="1">
        <f t="array" ref="Q74">INDEX(FX_Temps,$KC74+7,Q$89)</f>
        <v>0</v>
      </c>
      <c r="R74" s="63" cm="1">
        <f t="array" ref="R74">INDEX(FX_Temps,$KC74+13,R$89)+459.6</f>
        <v>503.5</v>
      </c>
      <c r="S74" s="63" cm="1">
        <f t="array" ref="S74">INDEX(FX_Vap,$KG74,S$91)-INDEX(FX_Vap,$KH74,S$91)</f>
        <v>0</v>
      </c>
      <c r="T74" s="73" cm="1">
        <f t="array" ref="T74">IF(P74="Out of Service",0,INDEX(FX_Vap,$KI74,T$91))</f>
        <v>4.739577185808354E-3</v>
      </c>
      <c r="U74" s="63">
        <f t="shared" si="134"/>
        <v>0</v>
      </c>
      <c r="V74" s="63">
        <f t="shared" si="135"/>
        <v>0.99746698182964899</v>
      </c>
      <c r="W74" s="63" cm="1">
        <f t="array" ref="W74">INDEX(FX_Vap,$KJ74,W$91)</f>
        <v>130</v>
      </c>
      <c r="X74" s="63" cm="1">
        <f t="array" ref="X74">INDEX(FX_Temps,$KD74,X$89)+459.6</f>
        <v>503.5</v>
      </c>
      <c r="Y74" s="63">
        <f t="shared" si="136"/>
        <v>1.1403634333314844E-4</v>
      </c>
      <c r="Z74" s="63" cm="1">
        <f t="array" ref="Z74">INDEX(Month_Ref,Z$83,3)*U74*(PI()/4*$F74^2)*$H74*V74*Y74</f>
        <v>0</v>
      </c>
      <c r="AA74" s="63" cm="1">
        <f t="array" ref="AA74">INDEX(FX_Input,$KB74,AA$85)</f>
        <v>308</v>
      </c>
      <c r="AB74" s="63">
        <f t="shared" si="137"/>
        <v>1729.1119999999999</v>
      </c>
      <c r="AC74" s="63">
        <f t="shared" si="138"/>
        <v>1.109384618632455</v>
      </c>
      <c r="AD74" s="63">
        <f t="shared" si="139"/>
        <v>1</v>
      </c>
      <c r="AE74" s="63" cm="1">
        <f t="array" ref="AE74">IF(OR(INDEX(FX_Vap,$KK74,AE$90)="Crude Oil",(INDEX(FX_Vap,$KL74,AE$90)="Crude Oil")),0.75,1)</f>
        <v>1</v>
      </c>
      <c r="AF74" s="63">
        <f t="shared" si="108"/>
        <v>1</v>
      </c>
      <c r="AG74" s="63">
        <f t="shared" si="140"/>
        <v>0.19718160969346696</v>
      </c>
      <c r="AH74" s="64">
        <f t="shared" si="141"/>
        <v>0.19718160969346696</v>
      </c>
      <c r="AI74" s="80" t="str" cm="1">
        <f t="array" ref="AI74">IF(ISBLANK(INDEX(FX_Input,$KB74+1,AI$85)),INDEX(FX_Input,$KB74,AI$85),INDEX(FX_Input,$KB74,AI$85)&amp;" &amp; "&amp;INDEX(FX_Input,$KB74+1,AI$85))</f>
        <v>Jet kerosene</v>
      </c>
      <c r="AJ74" s="63" cm="1">
        <f t="array" ref="AJ74">INDEX(FX_Temps,$KC74+7,AJ$89)</f>
        <v>0</v>
      </c>
      <c r="AK74" s="63" cm="1">
        <f t="array" ref="AK74">INDEX(FX_Temps,$KC74+13,AK$89)+459.6</f>
        <v>504.30000000000007</v>
      </c>
      <c r="AL74" s="63" cm="1">
        <f t="array" ref="AL74">INDEX(FX_Vap,$KG74,AL$91)-INDEX(FX_Vap,$KH74,AL$91)</f>
        <v>0</v>
      </c>
      <c r="AM74" s="73" cm="1">
        <f t="array" ref="AM74">IF(AI74="Out of Service",0,INDEX(FX_Vap,$KI74,AM$91))</f>
        <v>4.8748667780818778E-3</v>
      </c>
      <c r="AN74" s="63">
        <f t="shared" si="142"/>
        <v>0</v>
      </c>
      <c r="AO74" s="63">
        <f t="shared" si="143"/>
        <v>0.99739486606359107</v>
      </c>
      <c r="AP74" s="63" cm="1">
        <f t="array" ref="AP74">INDEX(FX_Vap,$KJ74,AP$91)</f>
        <v>130</v>
      </c>
      <c r="AQ74" s="63" cm="1">
        <f t="array" ref="AQ74">INDEX(FX_Temps,$KD74,AQ$89)+459.6</f>
        <v>504.30000000000007</v>
      </c>
      <c r="AR74" s="63">
        <f t="shared" si="144"/>
        <v>1.1710540514572422E-4</v>
      </c>
      <c r="AS74" s="63" cm="1">
        <f t="array" ref="AS74">INDEX(Month_Ref,AS$83,3)*AN74*(PI()/4*$F74^2)*$H74*AO74*AR74</f>
        <v>0</v>
      </c>
      <c r="AT74" s="63" cm="1">
        <f t="array" ref="AT74">INDEX(FX_Input,$KB74,AT$85)</f>
        <v>308</v>
      </c>
      <c r="AU74" s="63">
        <f t="shared" si="145"/>
        <v>1729.1119999999999</v>
      </c>
      <c r="AV74" s="63">
        <f t="shared" si="146"/>
        <v>1.109384618632455</v>
      </c>
      <c r="AW74" s="63">
        <f t="shared" si="147"/>
        <v>1</v>
      </c>
      <c r="AX74" s="63" cm="1">
        <f t="array" ref="AX74">IF(OR(INDEX(FX_Vap,$KK74,AX$90)="Crude Oil",(INDEX(FX_Vap,$KL74,AX$90)="Crude Oil")),0.75,1)</f>
        <v>1</v>
      </c>
      <c r="AY74" s="63">
        <f t="shared" si="109"/>
        <v>1</v>
      </c>
      <c r="AZ74" s="63">
        <f t="shared" si="148"/>
        <v>0.20248836130233347</v>
      </c>
      <c r="BA74" s="64">
        <f t="shared" si="149"/>
        <v>0.20248836130233347</v>
      </c>
      <c r="BB74" s="80" t="str" cm="1">
        <f t="array" ref="BB74">IF(ISBLANK(INDEX(FX_Input,$KB74+1,BB$85)),INDEX(FX_Input,$KB74,BB$85),INDEX(FX_Input,$KB74,BB$85)&amp;" &amp; "&amp;INDEX(FX_Input,$KB74+1,BB$85))</f>
        <v>Jet kerosene</v>
      </c>
      <c r="BC74" s="63" cm="1">
        <f t="array" ref="BC74">INDEX(FX_Temps,$KC74+7,BC$89)</f>
        <v>0</v>
      </c>
      <c r="BD74" s="63" cm="1">
        <f t="array" ref="BD74">INDEX(FX_Temps,$KC74+13,BD$89)+459.6</f>
        <v>505.70000000000005</v>
      </c>
      <c r="BE74" s="63" cm="1">
        <f t="array" ref="BE74">INDEX(FX_Vap,$KG74,BE$91)-INDEX(FX_Vap,$KH74,BE$91)</f>
        <v>0</v>
      </c>
      <c r="BF74" s="73" cm="1">
        <f t="array" ref="BF74">IF(BB74="Out of Service",0,INDEX(FX_Vap,$KI74,BF$91))</f>
        <v>5.119885034186122E-3</v>
      </c>
      <c r="BG74" s="63">
        <f t="shared" si="150"/>
        <v>0</v>
      </c>
      <c r="BH74" s="63">
        <f t="shared" si="151"/>
        <v>0.99726428625860086</v>
      </c>
      <c r="BI74" s="63" cm="1">
        <f t="array" ref="BI74">INDEX(FX_Vap,$KJ74,BI$91)</f>
        <v>130</v>
      </c>
      <c r="BJ74" s="63" cm="1">
        <f t="array" ref="BJ74">INDEX(FX_Temps,$KD74,BJ$89)+459.6</f>
        <v>505.70000000000005</v>
      </c>
      <c r="BK74" s="63">
        <f t="shared" si="152"/>
        <v>1.226508078051294E-4</v>
      </c>
      <c r="BL74" s="63" cm="1">
        <f t="array" ref="BL74">INDEX(Month_Ref,BL$83,3)*BG74*(PI()/4*$F74^2)*$H74*BH74*BK74</f>
        <v>0</v>
      </c>
      <c r="BM74" s="63" cm="1">
        <f t="array" ref="BM74">INDEX(FX_Input,$KB74,BM$85)</f>
        <v>308</v>
      </c>
      <c r="BN74" s="63">
        <f t="shared" si="153"/>
        <v>1729.1119999999999</v>
      </c>
      <c r="BO74" s="63">
        <f t="shared" si="154"/>
        <v>1.109384618632455</v>
      </c>
      <c r="BP74" s="63">
        <f t="shared" si="155"/>
        <v>1</v>
      </c>
      <c r="BQ74" s="63" cm="1">
        <f t="array" ref="BQ74">IF(OR(INDEX(FX_Vap,$KK74,BQ$90)="Crude Oil",(INDEX(FX_Vap,$KL74,BQ$90)="Crude Oil")),0.75,1)</f>
        <v>1</v>
      </c>
      <c r="BR74" s="63">
        <f t="shared" si="110"/>
        <v>1</v>
      </c>
      <c r="BS74" s="63">
        <f t="shared" si="156"/>
        <v>0.21207698358554289</v>
      </c>
      <c r="BT74" s="64">
        <f t="shared" si="157"/>
        <v>0.21207698358554289</v>
      </c>
      <c r="BU74" s="80" t="str" cm="1">
        <f t="array" ref="BU74">IF(ISBLANK(INDEX(FX_Input,$KB74+1,BU$85)),INDEX(FX_Input,$KB74,BU$85),INDEX(FX_Input,$KB74,BU$85)&amp;" &amp; "&amp;INDEX(FX_Input,$KB74+1,BU$85))</f>
        <v>Jet kerosene</v>
      </c>
      <c r="BV74" s="63" cm="1">
        <f t="array" ref="BV74">INDEX(FX_Temps,$KC74+7,BV$89)</f>
        <v>0</v>
      </c>
      <c r="BW74" s="63" cm="1">
        <f t="array" ref="BW74">INDEX(FX_Temps,$KC74+13,BW$89)+459.6</f>
        <v>508.2</v>
      </c>
      <c r="BX74" s="63" cm="1">
        <f t="array" ref="BX74">INDEX(FX_Vap,$KG74,BX$91)-INDEX(FX_Vap,$KH74,BX$91)</f>
        <v>0</v>
      </c>
      <c r="BY74" s="73" cm="1">
        <f t="array" ref="BY74">IF(BU74="Out of Service",0,INDEX(FX_Vap,$KI74,BY$91))</f>
        <v>5.5846958573521795E-3</v>
      </c>
      <c r="BZ74" s="63">
        <f t="shared" si="158"/>
        <v>0</v>
      </c>
      <c r="CA74" s="63">
        <f t="shared" si="159"/>
        <v>0.99701666433550207</v>
      </c>
      <c r="CB74" s="63" cm="1">
        <f t="array" ref="CB74">INDEX(FX_Vap,$KJ74,CB$91)</f>
        <v>130</v>
      </c>
      <c r="CC74" s="63" cm="1">
        <f t="array" ref="CC74">INDEX(FX_Temps,$KD74,CC$89)+459.6</f>
        <v>508.2</v>
      </c>
      <c r="CD74" s="63">
        <f t="shared" si="160"/>
        <v>1.3312757561120781E-4</v>
      </c>
      <c r="CE74" s="63" cm="1">
        <f t="array" ref="CE74">INDEX(Month_Ref,CE$83,3)*BZ74*(PI()/4*$F74^2)*$H74*CA74*CD74</f>
        <v>0</v>
      </c>
      <c r="CF74" s="63" cm="1">
        <f t="array" ref="CF74">INDEX(FX_Input,$KB74,CF$85)</f>
        <v>308</v>
      </c>
      <c r="CG74" s="63">
        <f t="shared" si="161"/>
        <v>1729.1119999999999</v>
      </c>
      <c r="CH74" s="63">
        <f t="shared" si="162"/>
        <v>1.109384618632455</v>
      </c>
      <c r="CI74" s="63">
        <f t="shared" si="163"/>
        <v>1</v>
      </c>
      <c r="CJ74" s="63" cm="1">
        <f t="array" ref="CJ74">IF(OR(INDEX(FX_Vap,$KK74,CJ$90)="Crude Oil",(INDEX(FX_Vap,$KL74,CJ$90)="Crude Oil")),0.75,1)</f>
        <v>1</v>
      </c>
      <c r="CK74" s="63">
        <f t="shared" si="111"/>
        <v>1</v>
      </c>
      <c r="CL74" s="63">
        <f t="shared" si="164"/>
        <v>0.23019248852024674</v>
      </c>
      <c r="CM74" s="64">
        <f t="shared" si="165"/>
        <v>0.23019248852024674</v>
      </c>
      <c r="CN74" s="80" t="str" cm="1">
        <f t="array" ref="CN74">IF(ISBLANK(INDEX(FX_Input,$KB74+1,CN$85)),INDEX(FX_Input,$KB74,CN$85),INDEX(FX_Input,$KB74,CN$85)&amp;" &amp; "&amp;INDEX(FX_Input,$KB74+1,CN$85))</f>
        <v>Jet kerosene</v>
      </c>
      <c r="CO74" s="63" cm="1">
        <f t="array" ref="CO74">INDEX(FX_Temps,$KC74+7,CO$89)</f>
        <v>0</v>
      </c>
      <c r="CP74" s="63" cm="1">
        <f t="array" ref="CP74">INDEX(FX_Temps,$KC74+13,CP$89)+459.6</f>
        <v>512.75</v>
      </c>
      <c r="CQ74" s="63" cm="1">
        <f t="array" ref="CQ74">INDEX(FX_Vap,$KG74,CQ$91)-INDEX(FX_Vap,$KH74,CQ$91)</f>
        <v>0</v>
      </c>
      <c r="CR74" s="73" cm="1">
        <f t="array" ref="CR74">IF(CN74="Out of Service",0,INDEX(FX_Vap,$KI74,CR$91))</f>
        <v>6.5274070972739821E-3</v>
      </c>
      <c r="CS74" s="63">
        <f t="shared" si="166"/>
        <v>0</v>
      </c>
      <c r="CT74" s="63">
        <f t="shared" si="167"/>
        <v>0.99651482460352436</v>
      </c>
      <c r="CU74" s="63" cm="1">
        <f t="array" ref="CU74">INDEX(FX_Vap,$KJ74,CU$91)</f>
        <v>130</v>
      </c>
      <c r="CV74" s="63" cm="1">
        <f t="array" ref="CV74">INDEX(FX_Temps,$KD74,CV$89)+459.6</f>
        <v>512.75</v>
      </c>
      <c r="CW74" s="63">
        <f t="shared" si="168"/>
        <v>1.5421910831991609E-4</v>
      </c>
      <c r="CX74" s="63" cm="1">
        <f t="array" ref="CX74">INDEX(Month_Ref,CX$83,3)*CS74*(PI()/4*$F74^2)*$H74*CT74*CW74</f>
        <v>0</v>
      </c>
      <c r="CY74" s="63" cm="1">
        <f t="array" ref="CY74">INDEX(FX_Input,$KB74,CY$85)</f>
        <v>308</v>
      </c>
      <c r="CZ74" s="63">
        <f t="shared" si="169"/>
        <v>1729.1119999999999</v>
      </c>
      <c r="DA74" s="63">
        <f t="shared" si="170"/>
        <v>1.109384618632455</v>
      </c>
      <c r="DB74" s="63">
        <f t="shared" si="171"/>
        <v>1</v>
      </c>
      <c r="DC74" s="63" cm="1">
        <f t="array" ref="DC74">IF(OR(INDEX(FX_Vap,$KK74,DC$90)="Crude Oil",(INDEX(FX_Vap,$KL74,DC$90)="Crude Oil")),0.75,1)</f>
        <v>1</v>
      </c>
      <c r="DD74" s="63">
        <f t="shared" si="112"/>
        <v>1</v>
      </c>
      <c r="DE74" s="63">
        <f t="shared" si="172"/>
        <v>0.26666211082526675</v>
      </c>
      <c r="DF74" s="64">
        <f t="shared" si="173"/>
        <v>0.26666211082526675</v>
      </c>
      <c r="DG74" s="80" t="str" cm="1">
        <f t="array" ref="DG74">IF(ISBLANK(INDEX(FX_Input,$KB74+1,DG$85)),INDEX(FX_Input,$KB74,DG$85),INDEX(FX_Input,$KB74,DG$85)&amp;" &amp; "&amp;INDEX(FX_Input,$KB74+1,DG$85))</f>
        <v>Jet kerosene</v>
      </c>
      <c r="DH74" s="63" cm="1">
        <f t="array" ref="DH74">INDEX(FX_Temps,$KC74+7,DH$89)</f>
        <v>0</v>
      </c>
      <c r="DI74" s="63" cm="1">
        <f t="array" ref="DI74">INDEX(FX_Temps,$KC74+13,DI$89)+459.6</f>
        <v>516.55000000000007</v>
      </c>
      <c r="DJ74" s="63" cm="1">
        <f t="array" ref="DJ74">INDEX(FX_Vap,$KG74,DJ$91)-INDEX(FX_Vap,$KH74,DJ$91)</f>
        <v>0</v>
      </c>
      <c r="DK74" s="73" cm="1">
        <f t="array" ref="DK74">IF(DG74="Out of Service",0,INDEX(FX_Vap,$KI74,DK$91))</f>
        <v>7.4199539958878279E-3</v>
      </c>
      <c r="DL74" s="63">
        <f t="shared" si="174"/>
        <v>0</v>
      </c>
      <c r="DM74" s="63">
        <f t="shared" si="175"/>
        <v>0.9960401545510561</v>
      </c>
      <c r="DN74" s="63" cm="1">
        <f t="array" ref="DN74">INDEX(FX_Vap,$KJ74,DN$91)</f>
        <v>130</v>
      </c>
      <c r="DO74" s="63" cm="1">
        <f t="array" ref="DO74">INDEX(FX_Temps,$KD74,DO$89)+459.6</f>
        <v>516.55000000000007</v>
      </c>
      <c r="DP74" s="63">
        <f t="shared" si="176"/>
        <v>1.7401713099147103E-4</v>
      </c>
      <c r="DQ74" s="63" cm="1">
        <f t="array" ref="DQ74">INDEX(Month_Ref,DQ$83,3)*DL74*(PI()/4*$F74^2)*$H74*DM74*DP74</f>
        <v>0</v>
      </c>
      <c r="DR74" s="63" cm="1">
        <f t="array" ref="DR74">INDEX(FX_Input,$KB74,DR$85)</f>
        <v>308</v>
      </c>
      <c r="DS74" s="63">
        <f t="shared" si="177"/>
        <v>1729.1119999999999</v>
      </c>
      <c r="DT74" s="63">
        <f t="shared" si="178"/>
        <v>1.109384618632455</v>
      </c>
      <c r="DU74" s="63">
        <f t="shared" si="179"/>
        <v>1</v>
      </c>
      <c r="DV74" s="63" cm="1">
        <f t="array" ref="DV74">IF(OR(INDEX(FX_Vap,$KK74,DV$90)="Crude Oil",(INDEX(FX_Vap,$KL74,DV$90)="Crude Oil")),0.75,1)</f>
        <v>1</v>
      </c>
      <c r="DW74" s="63">
        <f t="shared" si="113"/>
        <v>1</v>
      </c>
      <c r="DX74" s="63">
        <f t="shared" si="180"/>
        <v>0.30089510940292441</v>
      </c>
      <c r="DY74" s="64">
        <f t="shared" si="181"/>
        <v>0.30089510940292441</v>
      </c>
      <c r="DZ74" s="80" t="str" cm="1">
        <f t="array" ref="DZ74">IF(ISBLANK(INDEX(FX_Input,$KB74+1,DZ$85)),INDEX(FX_Input,$KB74,DZ$85),INDEX(FX_Input,$KB74,DZ$85)&amp;" &amp; "&amp;INDEX(FX_Input,$KB74+1,DZ$85))</f>
        <v>Jet kerosene</v>
      </c>
      <c r="EA74" s="63" cm="1">
        <f t="array" ref="EA74">INDEX(FX_Temps,$KC74+7,EA$89)</f>
        <v>0</v>
      </c>
      <c r="EB74" s="63" cm="1">
        <f t="array" ref="EB74">INDEX(FX_Temps,$KC74+13,EB$89)+459.6</f>
        <v>520.04999999999995</v>
      </c>
      <c r="EC74" s="63" cm="1">
        <f t="array" ref="EC74">INDEX(FX_Vap,$KG74,EC$91)-INDEX(FX_Vap,$KH74,EC$91)</f>
        <v>0</v>
      </c>
      <c r="ED74" s="73" cm="1">
        <f t="array" ref="ED74">IF(DZ74="Out of Service",0,INDEX(FX_Vap,$KI74,ED$91))</f>
        <v>8.3358107202842254E-3</v>
      </c>
      <c r="EE74" s="63">
        <f t="shared" si="182"/>
        <v>0</v>
      </c>
      <c r="EF74" s="63">
        <f t="shared" si="183"/>
        <v>0.99555355781613974</v>
      </c>
      <c r="EG74" s="63" cm="1">
        <f t="array" ref="EG74">INDEX(FX_Vap,$KJ74,EG$91)</f>
        <v>130</v>
      </c>
      <c r="EH74" s="63" cm="1">
        <f t="array" ref="EH74">INDEX(FX_Temps,$KD74,EH$89)+459.6</f>
        <v>520.04999999999995</v>
      </c>
      <c r="EI74" s="63">
        <f t="shared" si="184"/>
        <v>1.9418062801892895E-4</v>
      </c>
      <c r="EJ74" s="63" cm="1">
        <f t="array" ref="EJ74">INDEX(Month_Ref,EJ$83,3)*EE74*(PI()/4*$F74^2)*$H74*EF74*EI74</f>
        <v>0</v>
      </c>
      <c r="EK74" s="63" cm="1">
        <f t="array" ref="EK74">INDEX(FX_Input,$KB74,EK$85)</f>
        <v>308</v>
      </c>
      <c r="EL74" s="63">
        <f t="shared" si="185"/>
        <v>1729.1119999999999</v>
      </c>
      <c r="EM74" s="63">
        <f t="shared" si="186"/>
        <v>1.109384618632455</v>
      </c>
      <c r="EN74" s="63">
        <f t="shared" si="187"/>
        <v>1</v>
      </c>
      <c r="EO74" s="63" cm="1">
        <f t="array" ref="EO74">IF(OR(INDEX(FX_Vap,$KK74,EO$90)="Crude Oil",(INDEX(FX_Vap,$KL74,EO$90)="Crude Oil")),0.75,1)</f>
        <v>1</v>
      </c>
      <c r="EP74" s="63">
        <f t="shared" si="114"/>
        <v>1</v>
      </c>
      <c r="EQ74" s="63">
        <f t="shared" si="188"/>
        <v>0.33576005407506626</v>
      </c>
      <c r="ER74" s="64">
        <f t="shared" si="189"/>
        <v>0.33576005407506626</v>
      </c>
      <c r="ES74" s="80" t="str" cm="1">
        <f t="array" ref="ES74">IF(ISBLANK(INDEX(FX_Input,$KB74+1,ES$85)),INDEX(FX_Input,$KB74,ES$85),INDEX(FX_Input,$KB74,ES$85)&amp;" &amp; "&amp;INDEX(FX_Input,$KB74+1,ES$85))</f>
        <v>Jet kerosene</v>
      </c>
      <c r="ET74" s="63" cm="1">
        <f t="array" ref="ET74">INDEX(FX_Temps,$KC74+7,ET$89)</f>
        <v>0</v>
      </c>
      <c r="EU74" s="63" cm="1">
        <f t="array" ref="EU74">INDEX(FX_Temps,$KC74+13,EU$89)+459.6</f>
        <v>520.5</v>
      </c>
      <c r="EV74" s="63" cm="1">
        <f t="array" ref="EV74">INDEX(FX_Vap,$KG74,EV$91)-INDEX(FX_Vap,$KH74,EV$91)</f>
        <v>0</v>
      </c>
      <c r="EW74" s="73" cm="1">
        <f t="array" ref="EW74">IF(ES74="Out of Service",0,INDEX(FX_Vap,$KI74,EW$91))</f>
        <v>8.4605262729351115E-3</v>
      </c>
      <c r="EX74" s="63">
        <f t="shared" si="190"/>
        <v>0</v>
      </c>
      <c r="EY74" s="63">
        <f t="shared" si="191"/>
        <v>0.99548733293937719</v>
      </c>
      <c r="EZ74" s="63" cm="1">
        <f t="array" ref="EZ74">INDEX(FX_Vap,$KJ74,EZ$91)</f>
        <v>130</v>
      </c>
      <c r="FA74" s="63" cm="1">
        <f t="array" ref="FA74">INDEX(FX_Temps,$KD74,FA$89)+459.6</f>
        <v>520.5</v>
      </c>
      <c r="FB74" s="63">
        <f t="shared" si="192"/>
        <v>1.969154544366044E-4</v>
      </c>
      <c r="FC74" s="63" cm="1">
        <f t="array" ref="FC74">INDEX(Month_Ref,FC$83,3)*EX74*(PI()/4*$F74^2)*$H74*EY74*FB74</f>
        <v>0</v>
      </c>
      <c r="FD74" s="63" cm="1">
        <f t="array" ref="FD74">INDEX(FX_Input,$KB74,FD$85)</f>
        <v>308</v>
      </c>
      <c r="FE74" s="63">
        <f t="shared" si="193"/>
        <v>1729.1119999999999</v>
      </c>
      <c r="FF74" s="63">
        <f t="shared" si="194"/>
        <v>1.109384618632455</v>
      </c>
      <c r="FG74" s="63">
        <f t="shared" si="195"/>
        <v>1</v>
      </c>
      <c r="FH74" s="63" cm="1">
        <f t="array" ref="FH74">IF(OR(INDEX(FX_Vap,$KK74,FH$90)="Crude Oil",(INDEX(FX_Vap,$KL74,FH$90)="Crude Oil")),0.75,1)</f>
        <v>1</v>
      </c>
      <c r="FI74" s="63">
        <f t="shared" si="115"/>
        <v>1</v>
      </c>
      <c r="FJ74" s="63">
        <f t="shared" si="196"/>
        <v>0.34048887525178589</v>
      </c>
      <c r="FK74" s="64">
        <f t="shared" si="197"/>
        <v>0.34048887525178589</v>
      </c>
      <c r="FL74" s="80" t="str" cm="1">
        <f t="array" ref="FL74">IF(ISBLANK(INDEX(FX_Input,$KB74+1,FL$85)),INDEX(FX_Input,$KB74,FL$85),INDEX(FX_Input,$KB74,FL$85)&amp;" &amp; "&amp;INDEX(FX_Input,$KB74+1,FL$85))</f>
        <v>Jet kerosene</v>
      </c>
      <c r="FM74" s="63" cm="1">
        <f t="array" ref="FM74">INDEX(FX_Temps,$KC74+7,FM$89)</f>
        <v>0</v>
      </c>
      <c r="FN74" s="63" cm="1">
        <f t="array" ref="FN74">INDEX(FX_Temps,$KC74+13,FN$89)+459.6</f>
        <v>518.20000000000005</v>
      </c>
      <c r="FO74" s="63" cm="1">
        <f t="array" ref="FO74">INDEX(FX_Vap,$KG74,FO$91)-INDEX(FX_Vap,$KH74,FO$91)</f>
        <v>0</v>
      </c>
      <c r="FP74" s="73" cm="1">
        <f t="array" ref="FP74">IF(FL74="Out of Service",0,INDEX(FX_Vap,$KI74,FP$91))</f>
        <v>7.8399882233967533E-3</v>
      </c>
      <c r="FQ74" s="63">
        <f t="shared" si="198"/>
        <v>0</v>
      </c>
      <c r="FR74" s="63">
        <f t="shared" si="199"/>
        <v>0.99581693038439578</v>
      </c>
      <c r="FS74" s="63" cm="1">
        <f t="array" ref="FS74">INDEX(FX_Vap,$KJ74,FS$91)</f>
        <v>130</v>
      </c>
      <c r="FT74" s="63" cm="1">
        <f t="array" ref="FT74">INDEX(FX_Temps,$KD74,FT$89)+459.6</f>
        <v>518.20000000000005</v>
      </c>
      <c r="FU74" s="63">
        <f t="shared" si="200"/>
        <v>1.8328256712249962E-4</v>
      </c>
      <c r="FV74" s="63" cm="1">
        <f t="array" ref="FV74">INDEX(Month_Ref,FV$83,3)*FQ74*(PI()/4*$F74^2)*$H74*FR74*FU74</f>
        <v>0</v>
      </c>
      <c r="FW74" s="63" cm="1">
        <f t="array" ref="FW74">INDEX(FX_Input,$KB74,FW$85)</f>
        <v>308</v>
      </c>
      <c r="FX74" s="63">
        <f t="shared" si="201"/>
        <v>1729.1119999999999</v>
      </c>
      <c r="FY74" s="63">
        <f t="shared" si="202"/>
        <v>1.109384618632455</v>
      </c>
      <c r="FZ74" s="63">
        <f t="shared" si="203"/>
        <v>1</v>
      </c>
      <c r="GA74" s="63" cm="1">
        <f t="array" ref="GA74">IF(OR(INDEX(FX_Vap,$KK74,GA$90)="Crude Oil",(INDEX(FX_Vap,$KL74,GA$90)="Crude Oil")),0.75,1)</f>
        <v>1</v>
      </c>
      <c r="GB74" s="63">
        <f t="shared" si="116"/>
        <v>1</v>
      </c>
      <c r="GC74" s="63">
        <f t="shared" si="204"/>
        <v>0.31691608620231954</v>
      </c>
      <c r="GD74" s="64">
        <f t="shared" si="205"/>
        <v>0.31691608620231954</v>
      </c>
      <c r="GE74" s="80" t="str" cm="1">
        <f t="array" ref="GE74">IF(ISBLANK(INDEX(FX_Input,$KB74+1,GE$85)),INDEX(FX_Input,$KB74,GE$85),INDEX(FX_Input,$KB74,GE$85)&amp;" &amp; "&amp;INDEX(FX_Input,$KB74+1,GE$85))</f>
        <v>Jet kerosene</v>
      </c>
      <c r="GF74" s="63" cm="1">
        <f t="array" ref="GF74">INDEX(FX_Temps,$KC74+7,GF$89)</f>
        <v>0</v>
      </c>
      <c r="GG74" s="63" cm="1">
        <f t="array" ref="GG74">INDEX(FX_Temps,$KC74+13,GG$89)+459.6</f>
        <v>512.25</v>
      </c>
      <c r="GH74" s="63" cm="1">
        <f t="array" ref="GH74">INDEX(FX_Vap,$KG74,GH$91)-INDEX(FX_Vap,$KH74,GH$91)</f>
        <v>0</v>
      </c>
      <c r="GI74" s="73" cm="1">
        <f t="array" ref="GI74">IF(GE74="Out of Service",0,INDEX(FX_Vap,$KI74,GI$91))</f>
        <v>6.4173462075160911E-3</v>
      </c>
      <c r="GJ74" s="63">
        <f t="shared" si="206"/>
        <v>0</v>
      </c>
      <c r="GK74" s="63">
        <f t="shared" si="207"/>
        <v>0.99657338799851591</v>
      </c>
      <c r="GL74" s="63" cm="1">
        <f t="array" ref="GL74">INDEX(FX_Vap,$KJ74,GL$91)</f>
        <v>130</v>
      </c>
      <c r="GM74" s="63" cm="1">
        <f t="array" ref="GM74">INDEX(FX_Temps,$KD74,GM$89)+459.6</f>
        <v>512.25</v>
      </c>
      <c r="GN74" s="63">
        <f t="shared" si="208"/>
        <v>1.5176675903637226E-4</v>
      </c>
      <c r="GO74" s="63" cm="1">
        <f t="array" ref="GO74">INDEX(Month_Ref,GO$83,3)*GJ74*(PI()/4*$F74^2)*$H74*GK74*GN74</f>
        <v>0</v>
      </c>
      <c r="GP74" s="63" cm="1">
        <f t="array" ref="GP74">INDEX(FX_Input,$KB74,GP$85)</f>
        <v>308</v>
      </c>
      <c r="GQ74" s="63">
        <f t="shared" si="209"/>
        <v>1729.1119999999999</v>
      </c>
      <c r="GR74" s="63">
        <f t="shared" si="210"/>
        <v>1.109384618632455</v>
      </c>
      <c r="GS74" s="63">
        <f t="shared" si="211"/>
        <v>1</v>
      </c>
      <c r="GT74" s="63" cm="1">
        <f t="array" ref="GT74">IF(OR(INDEX(FX_Vap,$KK74,GT$90)="Crude Oil",(INDEX(FX_Vap,$KL74,GT$90)="Crude Oil")),0.75,1)</f>
        <v>1</v>
      </c>
      <c r="GU74" s="63">
        <f t="shared" si="117"/>
        <v>1</v>
      </c>
      <c r="GV74" s="63">
        <f t="shared" si="212"/>
        <v>0.26242172425089971</v>
      </c>
      <c r="GW74" s="64">
        <f t="shared" si="213"/>
        <v>0.26242172425089971</v>
      </c>
      <c r="GX74" s="80" t="str" cm="1">
        <f t="array" ref="GX74">IF(ISBLANK(INDEX(FX_Input,$KB74+1,GX$85)),INDEX(FX_Input,$KB74,GX$85),INDEX(FX_Input,$KB74,GX$85)&amp;" &amp; "&amp;INDEX(FX_Input,$KB74+1,GX$85))</f>
        <v>Jet kerosene</v>
      </c>
      <c r="GY74" s="63" cm="1">
        <f t="array" ref="GY74">INDEX(FX_Temps,$KC74+7,GY$89)</f>
        <v>0</v>
      </c>
      <c r="GZ74" s="63" cm="1">
        <f t="array" ref="GZ74">INDEX(FX_Temps,$KC74+13,GZ$89)+459.6</f>
        <v>506.70000000000005</v>
      </c>
      <c r="HA74" s="63" cm="1">
        <f t="array" ref="HA74">INDEX(FX_Vap,$KG74,HA$91)-INDEX(FX_Vap,$KH74,HA$91)</f>
        <v>0</v>
      </c>
      <c r="HB74" s="73" cm="1">
        <f t="array" ref="HB74">IF(GX74="Out of Service",0,INDEX(FX_Vap,$KI74,HB$91))</f>
        <v>5.3015226887581056E-3</v>
      </c>
      <c r="HC74" s="63">
        <f t="shared" si="214"/>
        <v>0</v>
      </c>
      <c r="HD74" s="63">
        <f t="shared" si="215"/>
        <v>0.9971675065196397</v>
      </c>
      <c r="HE74" s="63" cm="1">
        <f t="array" ref="HE74">INDEX(FX_Vap,$KJ74,HE$91)</f>
        <v>130</v>
      </c>
      <c r="HF74" s="63" cm="1">
        <f t="array" ref="HF74">INDEX(FX_Temps,$KD74,HF$89)+459.6</f>
        <v>506.70000000000005</v>
      </c>
      <c r="HG74" s="63">
        <f t="shared" si="216"/>
        <v>1.2675143286623188E-4</v>
      </c>
      <c r="HH74" s="63" cm="1">
        <f t="array" ref="HH74">INDEX(Month_Ref,HH$83,3)*HC74*(PI()/4*$F74^2)*$H74*HD74*HG74</f>
        <v>0</v>
      </c>
      <c r="HI74" s="63" cm="1">
        <f t="array" ref="HI74">INDEX(FX_Input,$KB74,HI$85)</f>
        <v>308</v>
      </c>
      <c r="HJ74" s="63">
        <f t="shared" si="217"/>
        <v>1729.1119999999999</v>
      </c>
      <c r="HK74" s="63">
        <f t="shared" si="218"/>
        <v>1.109384618632455</v>
      </c>
      <c r="HL74" s="63">
        <f t="shared" si="219"/>
        <v>1</v>
      </c>
      <c r="HM74" s="63" cm="1">
        <f t="array" ref="HM74">IF(OR(INDEX(FX_Vap,$KK74,HM$90)="Crude Oil",(INDEX(FX_Vap,$KL74,HM$90)="Crude Oil")),0.75,1)</f>
        <v>1</v>
      </c>
      <c r="HN74" s="63">
        <f t="shared" si="118"/>
        <v>1</v>
      </c>
      <c r="HO74" s="63">
        <f t="shared" si="220"/>
        <v>0.21916742358619593</v>
      </c>
      <c r="HP74" s="64">
        <f t="shared" si="221"/>
        <v>0.21916742358619593</v>
      </c>
      <c r="HQ74" s="80" t="str" cm="1">
        <f t="array" ref="HQ74">IF(ISBLANK(INDEX(FX_Input,$KB74+1,HQ$85)),INDEX(FX_Input,$KB74,HQ$85),INDEX(FX_Input,$KB74,HQ$85)&amp;" &amp; "&amp;INDEX(FX_Input,$KB74+1,HQ$85))</f>
        <v>Jet kerosene</v>
      </c>
      <c r="HR74" s="63" cm="1">
        <f t="array" ref="HR74">INDEX(FX_Temps,$KC74+7,HR$89)</f>
        <v>0</v>
      </c>
      <c r="HS74" s="63" cm="1">
        <f t="array" ref="HS74">INDEX(FX_Temps,$KC74+13,HS$89)+459.6</f>
        <v>503.20000000000005</v>
      </c>
      <c r="HT74" s="63" cm="1">
        <f t="array" ref="HT74">INDEX(FX_Vap,$KG74,HT$91)-INDEX(FX_Vap,$KH74,HT$91)</f>
        <v>0</v>
      </c>
      <c r="HU74" s="73" cm="1">
        <f t="array" ref="HU74">IF(HQ74="Out of Service",0,INDEX(FX_Vap,$KI74,HU$91))</f>
        <v>4.68970903600947E-3</v>
      </c>
      <c r="HV74" s="63">
        <f t="shared" si="222"/>
        <v>0</v>
      </c>
      <c r="HW74" s="63">
        <f t="shared" si="223"/>
        <v>0.99749356654799948</v>
      </c>
      <c r="HX74" s="63" cm="1">
        <f t="array" ref="HX74">INDEX(FX_Vap,$KJ74,HX$91)</f>
        <v>130</v>
      </c>
      <c r="HY74" s="63" cm="1">
        <f t="array" ref="HY74">INDEX(FX_Temps,$KD74,HY$89)+459.6</f>
        <v>503.20000000000005</v>
      </c>
      <c r="HZ74" s="63">
        <f t="shared" si="224"/>
        <v>1.1290376474196325E-4</v>
      </c>
      <c r="IA74" s="63" cm="1">
        <f t="array" ref="IA74">INDEX(Month_Ref,IA$83,3)*HV74*(PI()/4*$F74^2)*$H74*HW74*HZ74</f>
        <v>0</v>
      </c>
      <c r="IB74" s="63" cm="1">
        <f t="array" ref="IB74">INDEX(FX_Input,$KB74,IB$85)</f>
        <v>308</v>
      </c>
      <c r="IC74" s="63">
        <f t="shared" si="225"/>
        <v>1729.1119999999999</v>
      </c>
      <c r="ID74" s="63">
        <f t="shared" si="226"/>
        <v>1.109384618632455</v>
      </c>
      <c r="IE74" s="63">
        <f t="shared" si="227"/>
        <v>1</v>
      </c>
      <c r="IF74" s="63" cm="1">
        <f t="array" ref="IF74">IF(OR(INDEX(FX_Vap,$KK74,IF$90)="Crude Oil",(INDEX(FX_Vap,$KL74,IF$90)="Crude Oil")),0.75,1)</f>
        <v>1</v>
      </c>
      <c r="IG74" s="63">
        <f t="shared" si="119"/>
        <v>1</v>
      </c>
      <c r="IH74" s="63">
        <f t="shared" si="228"/>
        <v>0.19522325446050554</v>
      </c>
      <c r="II74" s="64">
        <f t="shared" si="229"/>
        <v>0.19522325446050554</v>
      </c>
      <c r="IJ74" s="80">
        <f t="shared" si="230"/>
        <v>0</v>
      </c>
      <c r="IK74" s="63">
        <f t="shared" si="231"/>
        <v>0</v>
      </c>
      <c r="IL74" s="63">
        <f t="shared" si="232"/>
        <v>3.0794740811565537</v>
      </c>
      <c r="IM74" s="63">
        <f t="shared" si="233"/>
        <v>1.5397370405782769E-3</v>
      </c>
      <c r="IN74" s="63">
        <f t="shared" si="234"/>
        <v>3.0794740811565537</v>
      </c>
      <c r="IO74" s="64">
        <f t="shared" si="235"/>
        <v>1.5397370405782769E-3</v>
      </c>
      <c r="KB74" s="43">
        <f t="shared" si="120"/>
        <v>127</v>
      </c>
      <c r="KC74" s="43">
        <f t="shared" si="121"/>
        <v>883</v>
      </c>
      <c r="KD74" s="43">
        <f t="shared" si="122"/>
        <v>896</v>
      </c>
      <c r="KE74" s="43">
        <f t="shared" si="123"/>
        <v>883</v>
      </c>
      <c r="KF74" s="43">
        <f t="shared" ref="KF74:KJ74" si="242">KF73+34</f>
        <v>2143</v>
      </c>
      <c r="KG74" s="43">
        <f t="shared" si="242"/>
        <v>2166</v>
      </c>
      <c r="KH74" s="43">
        <f t="shared" si="242"/>
        <v>2161</v>
      </c>
      <c r="KI74" s="43">
        <f t="shared" si="242"/>
        <v>2171</v>
      </c>
      <c r="KJ74" s="43">
        <f t="shared" si="242"/>
        <v>2176</v>
      </c>
      <c r="KK74" s="43">
        <f t="shared" si="127"/>
        <v>2147</v>
      </c>
      <c r="KL74" s="43">
        <f t="shared" si="128"/>
        <v>2149</v>
      </c>
    </row>
    <row r="75" spans="2:298" x14ac:dyDescent="0.4">
      <c r="B75" s="43" t="str" cm="1">
        <f t="array" ref="B75">INDEX(FX_Input,$KB75,B$85)</f>
        <v>FX - 65</v>
      </c>
      <c r="C75" s="93" t="str" cm="1">
        <f t="array" ref="C75">INDEX(FX_Input,$KB75,C$85)</f>
        <v>FIXTANK 306</v>
      </c>
      <c r="D75" s="80">
        <f t="shared" si="131"/>
        <v>185.55031610264714</v>
      </c>
      <c r="E75" s="63" cm="1">
        <f t="array" ref="E75">IF(ISBLANK(INDEX(FX_Input,$KB75,$E$85)),0.03,INDEX(FX_Input,$KB75,$E$85))-IF(ISBLANK(INDEX(FX_Input,$KB75,$E$86)),-0.03,INDEX(FX_Input,$KB75,$E$86))</f>
        <v>0.06</v>
      </c>
      <c r="F75" s="63" cm="1">
        <f t="array" ref="F75">IF(INDEX(FX_Input,$KB75,F$85)="Vertical",INDEX(FX_Input,$KB75,F$86),SQRT((INDEX(FX_Input,$KB75,F$86)*INDEX(FX_Input,$KB75,F$87))/(PI()/4)))</f>
        <v>6</v>
      </c>
      <c r="G75" s="63" cm="1">
        <f t="array" ref="G75">IF(INDEX(FX_Input,$KB75,G$85)="Vertical",INDEX(FX_Input,$KB75,G$86),INDEX(FX_Input,$KB75,G$87)*PI()/4)</f>
        <v>13</v>
      </c>
      <c r="H75" s="63" cm="1">
        <f t="array" ref="H75">IF(INDEX(FX_Input,$KB75,H$85)="Vertical",G75-G75/2+J75,G75/2)</f>
        <v>6.5625</v>
      </c>
      <c r="I75" s="63" cm="1">
        <f t="array" ref="I75">IF(INDEX(FX_Input,$KB75,F$85)="Horizontal","N/A",IF(INDEX(FX_Input,$KB75,I$86)="Cone",IF(ISBLANK(INDEX(FX_Input,$KB75,I$87)),0.0625,INDEX(FX_Input,$KB75,I$87))*F75/2,F75/2-SQRT((F75/2)^2-(INDEX(FX_Input,$KB75,I$88)^2))))</f>
        <v>0.1875</v>
      </c>
      <c r="J75" s="63" cm="1">
        <f t="array" ref="J75">IF(INDEX(FX_Input,$KB75,J$85)="Horizontal","N/A",IF(INDEX(FX_Input,$KB75,J$86)="Cone",I75/3,I75*(1/2+(1/6)*(I75/(F75/2))^2)))</f>
        <v>6.25E-2</v>
      </c>
      <c r="K75" s="63">
        <f t="shared" si="132"/>
        <v>12</v>
      </c>
      <c r="L75" s="63">
        <v>11</v>
      </c>
      <c r="M75" s="63" t="str" cm="1">
        <f t="array" ref="M75">INDEX(Tbl_71_6,MATCH(INDEX(FX_Input,$KB75,M$85),Paint_Color,0),VLOOKUP(INDEX(FX_Input,$KB75,M$86),Paint_Cond_Column,2,FALSE))</f>
        <v>N/A</v>
      </c>
      <c r="N75" s="63" t="str" cm="1">
        <f t="array" ref="N75">INDEX(Tbl_71_6,MATCH(INDEX(FX_Input,$KB75,N$85),Paint_Color,0),VLOOKUP(INDEX(FX_Input,$KB75,N$86),Paint_Cond_Column,2,FALSE))</f>
        <v>N/A</v>
      </c>
      <c r="O75" s="64" t="str">
        <f t="shared" si="133"/>
        <v>Insulated</v>
      </c>
      <c r="P75" s="80" t="str" cm="1">
        <f t="array" ref="P75">IF(ISBLANK(INDEX(FX_Input,$KB75+1,P$85)),INDEX(FX_Input,$KB75,P$85),INDEX(FX_Input,$KB75,P$85)&amp;" &amp; "&amp;INDEX(FX_Input,$KB75+1,P$85))</f>
        <v>Jet kerosene</v>
      </c>
      <c r="Q75" s="63" cm="1">
        <f t="array" ref="Q75">INDEX(FX_Temps,$KC75+7,Q$89)</f>
        <v>0</v>
      </c>
      <c r="R75" s="63" cm="1">
        <f t="array" ref="R75">INDEX(FX_Temps,$KC75+13,R$89)+459.6</f>
        <v>503.5</v>
      </c>
      <c r="S75" s="63" cm="1">
        <f t="array" ref="S75">INDEX(FX_Vap,$KG75,S$91)-INDEX(FX_Vap,$KH75,S$91)</f>
        <v>0</v>
      </c>
      <c r="T75" s="73" cm="1">
        <f t="array" ref="T75">IF(P75="Out of Service",0,INDEX(FX_Vap,$KI75,T$91))</f>
        <v>4.739577185808354E-3</v>
      </c>
      <c r="U75" s="63">
        <f t="shared" si="134"/>
        <v>0</v>
      </c>
      <c r="V75" s="63">
        <f t="shared" si="135"/>
        <v>0.99835422883780223</v>
      </c>
      <c r="W75" s="63" cm="1">
        <f t="array" ref="W75">INDEX(FX_Vap,$KJ75,W$91)</f>
        <v>130</v>
      </c>
      <c r="X75" s="63" cm="1">
        <f t="array" ref="X75">INDEX(FX_Temps,$KD75,X$89)+459.6</f>
        <v>503.5</v>
      </c>
      <c r="Y75" s="63">
        <f t="shared" si="136"/>
        <v>1.1403634333314844E-4</v>
      </c>
      <c r="Z75" s="63" cm="1">
        <f t="array" ref="Z75">INDEX(Month_Ref,Z$83,3)*U75*(PI()/4*$F75^2)*$H75*V75*Y75</f>
        <v>0</v>
      </c>
      <c r="AA75" s="63" cm="1">
        <f t="array" ref="AA75">INDEX(FX_Input,$KB75,AA$85)</f>
        <v>70</v>
      </c>
      <c r="AB75" s="63">
        <f t="shared" si="137"/>
        <v>392.98</v>
      </c>
      <c r="AC75" s="63">
        <f t="shared" si="138"/>
        <v>1.2635294855808694</v>
      </c>
      <c r="AD75" s="63">
        <f t="shared" si="139"/>
        <v>1</v>
      </c>
      <c r="AE75" s="63" cm="1">
        <f t="array" ref="AE75">IF(OR(INDEX(FX_Vap,$KK75,AE$90)="Crude Oil",(INDEX(FX_Vap,$KL75,AE$90)="Crude Oil")),0.75,1)</f>
        <v>1</v>
      </c>
      <c r="AF75" s="63">
        <f t="shared" si="108"/>
        <v>1</v>
      </c>
      <c r="AG75" s="63">
        <f t="shared" si="140"/>
        <v>4.4814002203060678E-2</v>
      </c>
      <c r="AH75" s="64">
        <f t="shared" si="141"/>
        <v>4.4814002203060678E-2</v>
      </c>
      <c r="AI75" s="80" t="str" cm="1">
        <f t="array" ref="AI75">IF(ISBLANK(INDEX(FX_Input,$KB75+1,AI$85)),INDEX(FX_Input,$KB75,AI$85),INDEX(FX_Input,$KB75,AI$85)&amp;" &amp; "&amp;INDEX(FX_Input,$KB75+1,AI$85))</f>
        <v>Jet kerosene</v>
      </c>
      <c r="AJ75" s="63" cm="1">
        <f t="array" ref="AJ75">INDEX(FX_Temps,$KC75+7,AJ$89)</f>
        <v>0</v>
      </c>
      <c r="AK75" s="63" cm="1">
        <f t="array" ref="AK75">INDEX(FX_Temps,$KC75+13,AK$89)+459.6</f>
        <v>504.30000000000007</v>
      </c>
      <c r="AL75" s="63" cm="1">
        <f t="array" ref="AL75">INDEX(FX_Vap,$KG75,AL$91)-INDEX(FX_Vap,$KH75,AL$91)</f>
        <v>0</v>
      </c>
      <c r="AM75" s="73" cm="1">
        <f t="array" ref="AM75">IF(AI75="Out of Service",0,INDEX(FX_Vap,$KI75,AM$91))</f>
        <v>4.8748667780818778E-3</v>
      </c>
      <c r="AN75" s="63">
        <f t="shared" si="142"/>
        <v>0</v>
      </c>
      <c r="AO75" s="63">
        <f t="shared" si="143"/>
        <v>0.99830733038710884</v>
      </c>
      <c r="AP75" s="63" cm="1">
        <f t="array" ref="AP75">INDEX(FX_Vap,$KJ75,AP$91)</f>
        <v>130</v>
      </c>
      <c r="AQ75" s="63" cm="1">
        <f t="array" ref="AQ75">INDEX(FX_Temps,$KD75,AQ$89)+459.6</f>
        <v>504.30000000000007</v>
      </c>
      <c r="AR75" s="63">
        <f t="shared" si="144"/>
        <v>1.1710540514572422E-4</v>
      </c>
      <c r="AS75" s="63" cm="1">
        <f t="array" ref="AS75">INDEX(Month_Ref,AS$83,3)*AN75*(PI()/4*$F75^2)*$H75*AO75*AR75</f>
        <v>0</v>
      </c>
      <c r="AT75" s="63" cm="1">
        <f t="array" ref="AT75">INDEX(FX_Input,$KB75,AT$85)</f>
        <v>70</v>
      </c>
      <c r="AU75" s="63">
        <f t="shared" si="145"/>
        <v>392.98</v>
      </c>
      <c r="AV75" s="63">
        <f t="shared" si="146"/>
        <v>1.2635294855808694</v>
      </c>
      <c r="AW75" s="63">
        <f t="shared" si="147"/>
        <v>1</v>
      </c>
      <c r="AX75" s="63" cm="1">
        <f t="array" ref="AX75">IF(OR(INDEX(FX_Vap,$KK75,AX$90)="Crude Oil",(INDEX(FX_Vap,$KL75,AX$90)="Crude Oil")),0.75,1)</f>
        <v>1</v>
      </c>
      <c r="AY75" s="63">
        <f t="shared" si="109"/>
        <v>1</v>
      </c>
      <c r="AZ75" s="63">
        <f t="shared" si="148"/>
        <v>4.6020082114166708E-2</v>
      </c>
      <c r="BA75" s="64">
        <f t="shared" si="149"/>
        <v>4.6020082114166708E-2</v>
      </c>
      <c r="BB75" s="80" t="str" cm="1">
        <f t="array" ref="BB75">IF(ISBLANK(INDEX(FX_Input,$KB75+1,BB$85)),INDEX(FX_Input,$KB75,BB$85),INDEX(FX_Input,$KB75,BB$85)&amp;" &amp; "&amp;INDEX(FX_Input,$KB75+1,BB$85))</f>
        <v>Jet kerosene</v>
      </c>
      <c r="BC75" s="63" cm="1">
        <f t="array" ref="BC75">INDEX(FX_Temps,$KC75+7,BC$89)</f>
        <v>0</v>
      </c>
      <c r="BD75" s="63" cm="1">
        <f t="array" ref="BD75">INDEX(FX_Temps,$KC75+13,BD$89)+459.6</f>
        <v>505.70000000000005</v>
      </c>
      <c r="BE75" s="63" cm="1">
        <f t="array" ref="BE75">INDEX(FX_Vap,$KG75,BE$91)-INDEX(FX_Vap,$KH75,BE$91)</f>
        <v>0</v>
      </c>
      <c r="BF75" s="73" cm="1">
        <f t="array" ref="BF75">IF(BB75="Out of Service",0,INDEX(FX_Vap,$KI75,BF$91))</f>
        <v>5.119885034186122E-3</v>
      </c>
      <c r="BG75" s="63">
        <f t="shared" si="150"/>
        <v>0</v>
      </c>
      <c r="BH75" s="63">
        <f t="shared" si="151"/>
        <v>0.99822240545583141</v>
      </c>
      <c r="BI75" s="63" cm="1">
        <f t="array" ref="BI75">INDEX(FX_Vap,$KJ75,BI$91)</f>
        <v>130</v>
      </c>
      <c r="BJ75" s="63" cm="1">
        <f t="array" ref="BJ75">INDEX(FX_Temps,$KD75,BJ$89)+459.6</f>
        <v>505.70000000000005</v>
      </c>
      <c r="BK75" s="63">
        <f t="shared" si="152"/>
        <v>1.226508078051294E-4</v>
      </c>
      <c r="BL75" s="63" cm="1">
        <f t="array" ref="BL75">INDEX(Month_Ref,BL$83,3)*BG75*(PI()/4*$F75^2)*$H75*BH75*BK75</f>
        <v>0</v>
      </c>
      <c r="BM75" s="63" cm="1">
        <f t="array" ref="BM75">INDEX(FX_Input,$KB75,BM$85)</f>
        <v>70</v>
      </c>
      <c r="BN75" s="63">
        <f t="shared" si="153"/>
        <v>392.98</v>
      </c>
      <c r="BO75" s="63">
        <f t="shared" si="154"/>
        <v>1.2635294855808694</v>
      </c>
      <c r="BP75" s="63">
        <f t="shared" si="155"/>
        <v>1</v>
      </c>
      <c r="BQ75" s="63" cm="1">
        <f t="array" ref="BQ75">IF(OR(INDEX(FX_Vap,$KK75,BQ$90)="Crude Oil",(INDEX(FX_Vap,$KL75,BQ$90)="Crude Oil")),0.75,1)</f>
        <v>1</v>
      </c>
      <c r="BR75" s="63">
        <f t="shared" si="110"/>
        <v>1</v>
      </c>
      <c r="BS75" s="63">
        <f t="shared" si="156"/>
        <v>4.8199314451259752E-2</v>
      </c>
      <c r="BT75" s="64">
        <f t="shared" si="157"/>
        <v>4.8199314451259752E-2</v>
      </c>
      <c r="BU75" s="80" t="str" cm="1">
        <f t="array" ref="BU75">IF(ISBLANK(INDEX(FX_Input,$KB75+1,BU$85)),INDEX(FX_Input,$KB75,BU$85),INDEX(FX_Input,$KB75,BU$85)&amp;" &amp; "&amp;INDEX(FX_Input,$KB75+1,BU$85))</f>
        <v>Jet kerosene</v>
      </c>
      <c r="BV75" s="63" cm="1">
        <f t="array" ref="BV75">INDEX(FX_Temps,$KC75+7,BV$89)</f>
        <v>0</v>
      </c>
      <c r="BW75" s="63" cm="1">
        <f t="array" ref="BW75">INDEX(FX_Temps,$KC75+13,BW$89)+459.6</f>
        <v>508.2</v>
      </c>
      <c r="BX75" s="63" cm="1">
        <f t="array" ref="BX75">INDEX(FX_Vap,$KG75,BX$91)-INDEX(FX_Vap,$KH75,BX$91)</f>
        <v>0</v>
      </c>
      <c r="BY75" s="73" cm="1">
        <f t="array" ref="BY75">IF(BU75="Out of Service",0,INDEX(FX_Vap,$KI75,BY$91))</f>
        <v>5.5846958573521795E-3</v>
      </c>
      <c r="BZ75" s="63">
        <f t="shared" si="158"/>
        <v>0</v>
      </c>
      <c r="CA75" s="63">
        <f t="shared" si="159"/>
        <v>0.99806133868026004</v>
      </c>
      <c r="CB75" s="63" cm="1">
        <f t="array" ref="CB75">INDEX(FX_Vap,$KJ75,CB$91)</f>
        <v>130</v>
      </c>
      <c r="CC75" s="63" cm="1">
        <f t="array" ref="CC75">INDEX(FX_Temps,$KD75,CC$89)+459.6</f>
        <v>508.2</v>
      </c>
      <c r="CD75" s="63">
        <f t="shared" si="160"/>
        <v>1.3312757561120781E-4</v>
      </c>
      <c r="CE75" s="63" cm="1">
        <f t="array" ref="CE75">INDEX(Month_Ref,CE$83,3)*BZ75*(PI()/4*$F75^2)*$H75*CA75*CD75</f>
        <v>0</v>
      </c>
      <c r="CF75" s="63" cm="1">
        <f t="array" ref="CF75">INDEX(FX_Input,$KB75,CF$85)</f>
        <v>70</v>
      </c>
      <c r="CG75" s="63">
        <f t="shared" si="161"/>
        <v>392.98</v>
      </c>
      <c r="CH75" s="63">
        <f t="shared" si="162"/>
        <v>1.2635294855808694</v>
      </c>
      <c r="CI75" s="63">
        <f t="shared" si="163"/>
        <v>1</v>
      </c>
      <c r="CJ75" s="63" cm="1">
        <f t="array" ref="CJ75">IF(OR(INDEX(FX_Vap,$KK75,CJ$90)="Crude Oil",(INDEX(FX_Vap,$KL75,CJ$90)="Crude Oil")),0.75,1)</f>
        <v>1</v>
      </c>
      <c r="CK75" s="63">
        <f t="shared" si="111"/>
        <v>1</v>
      </c>
      <c r="CL75" s="63">
        <f t="shared" si="164"/>
        <v>5.231647466369245E-2</v>
      </c>
      <c r="CM75" s="64">
        <f t="shared" si="165"/>
        <v>5.231647466369245E-2</v>
      </c>
      <c r="CN75" s="80" t="str" cm="1">
        <f t="array" ref="CN75">IF(ISBLANK(INDEX(FX_Input,$KB75+1,CN$85)),INDEX(FX_Input,$KB75,CN$85),INDEX(FX_Input,$KB75,CN$85)&amp;" &amp; "&amp;INDEX(FX_Input,$KB75+1,CN$85))</f>
        <v>Jet kerosene</v>
      </c>
      <c r="CO75" s="63" cm="1">
        <f t="array" ref="CO75">INDEX(FX_Temps,$KC75+7,CO$89)</f>
        <v>0</v>
      </c>
      <c r="CP75" s="63" cm="1">
        <f t="array" ref="CP75">INDEX(FX_Temps,$KC75+13,CP$89)+459.6</f>
        <v>512.75</v>
      </c>
      <c r="CQ75" s="63" cm="1">
        <f t="array" ref="CQ75">INDEX(FX_Vap,$KG75,CQ$91)-INDEX(FX_Vap,$KH75,CQ$91)</f>
        <v>0</v>
      </c>
      <c r="CR75" s="73" cm="1">
        <f t="array" ref="CR75">IF(CN75="Out of Service",0,INDEX(FX_Vap,$KI75,CR$91))</f>
        <v>6.5274070972739821E-3</v>
      </c>
      <c r="CS75" s="63">
        <f t="shared" si="166"/>
        <v>0</v>
      </c>
      <c r="CT75" s="63">
        <f t="shared" si="167"/>
        <v>0.99773482886821618</v>
      </c>
      <c r="CU75" s="63" cm="1">
        <f t="array" ref="CU75">INDEX(FX_Vap,$KJ75,CU$91)</f>
        <v>130</v>
      </c>
      <c r="CV75" s="63" cm="1">
        <f t="array" ref="CV75">INDEX(FX_Temps,$KD75,CV$89)+459.6</f>
        <v>512.75</v>
      </c>
      <c r="CW75" s="63">
        <f t="shared" si="168"/>
        <v>1.5421910831991609E-4</v>
      </c>
      <c r="CX75" s="63" cm="1">
        <f t="array" ref="CX75">INDEX(Month_Ref,CX$83,3)*CS75*(PI()/4*$F75^2)*$H75*CT75*CW75</f>
        <v>0</v>
      </c>
      <c r="CY75" s="63" cm="1">
        <f t="array" ref="CY75">INDEX(FX_Input,$KB75,CY$85)</f>
        <v>70</v>
      </c>
      <c r="CZ75" s="63">
        <f t="shared" si="169"/>
        <v>392.98</v>
      </c>
      <c r="DA75" s="63">
        <f t="shared" si="170"/>
        <v>1.2635294855808694</v>
      </c>
      <c r="DB75" s="63">
        <f t="shared" si="171"/>
        <v>1</v>
      </c>
      <c r="DC75" s="63" cm="1">
        <f t="array" ref="DC75">IF(OR(INDEX(FX_Vap,$KK75,DC$90)="Crude Oil",(INDEX(FX_Vap,$KL75,DC$90)="Crude Oil")),0.75,1)</f>
        <v>1</v>
      </c>
      <c r="DD75" s="63">
        <f t="shared" si="112"/>
        <v>1</v>
      </c>
      <c r="DE75" s="63">
        <f t="shared" si="172"/>
        <v>6.0605025187560627E-2</v>
      </c>
      <c r="DF75" s="64">
        <f t="shared" si="173"/>
        <v>6.0605025187560627E-2</v>
      </c>
      <c r="DG75" s="80" t="str" cm="1">
        <f t="array" ref="DG75">IF(ISBLANK(INDEX(FX_Input,$KB75+1,DG$85)),INDEX(FX_Input,$KB75,DG$85),INDEX(FX_Input,$KB75,DG$85)&amp;" &amp; "&amp;INDEX(FX_Input,$KB75+1,DG$85))</f>
        <v>Jet kerosene</v>
      </c>
      <c r="DH75" s="63" cm="1">
        <f t="array" ref="DH75">INDEX(FX_Temps,$KC75+7,DH$89)</f>
        <v>0</v>
      </c>
      <c r="DI75" s="63" cm="1">
        <f t="array" ref="DI75">INDEX(FX_Temps,$KC75+13,DI$89)+459.6</f>
        <v>516.55000000000007</v>
      </c>
      <c r="DJ75" s="63" cm="1">
        <f t="array" ref="DJ75">INDEX(FX_Vap,$KG75,DJ$91)-INDEX(FX_Vap,$KH75,DJ$91)</f>
        <v>0</v>
      </c>
      <c r="DK75" s="73" cm="1">
        <f t="array" ref="DK75">IF(DG75="Out of Service",0,INDEX(FX_Vap,$KI75,DK$91))</f>
        <v>7.4199539958878279E-3</v>
      </c>
      <c r="DL75" s="63">
        <f t="shared" si="174"/>
        <v>0</v>
      </c>
      <c r="DM75" s="63">
        <f t="shared" si="175"/>
        <v>0.99742589039125473</v>
      </c>
      <c r="DN75" s="63" cm="1">
        <f t="array" ref="DN75">INDEX(FX_Vap,$KJ75,DN$91)</f>
        <v>130</v>
      </c>
      <c r="DO75" s="63" cm="1">
        <f t="array" ref="DO75">INDEX(FX_Temps,$KD75,DO$89)+459.6</f>
        <v>516.55000000000007</v>
      </c>
      <c r="DP75" s="63">
        <f t="shared" si="176"/>
        <v>1.7401713099147103E-4</v>
      </c>
      <c r="DQ75" s="63" cm="1">
        <f t="array" ref="DQ75">INDEX(Month_Ref,DQ$83,3)*DL75*(PI()/4*$F75^2)*$H75*DM75*DP75</f>
        <v>0</v>
      </c>
      <c r="DR75" s="63" cm="1">
        <f t="array" ref="DR75">INDEX(FX_Input,$KB75,DR$85)</f>
        <v>70</v>
      </c>
      <c r="DS75" s="63">
        <f t="shared" si="177"/>
        <v>392.98</v>
      </c>
      <c r="DT75" s="63">
        <f t="shared" si="178"/>
        <v>1.2635294855808694</v>
      </c>
      <c r="DU75" s="63">
        <f t="shared" si="179"/>
        <v>1</v>
      </c>
      <c r="DV75" s="63" cm="1">
        <f t="array" ref="DV75">IF(OR(INDEX(FX_Vap,$KK75,DV$90)="Crude Oil",(INDEX(FX_Vap,$KL75,DV$90)="Crude Oil")),0.75,1)</f>
        <v>1</v>
      </c>
      <c r="DW75" s="63">
        <f t="shared" si="113"/>
        <v>1</v>
      </c>
      <c r="DX75" s="63">
        <f t="shared" si="180"/>
        <v>6.8385252137028285E-2</v>
      </c>
      <c r="DY75" s="64">
        <f t="shared" si="181"/>
        <v>6.8385252137028285E-2</v>
      </c>
      <c r="DZ75" s="80" t="str" cm="1">
        <f t="array" ref="DZ75">IF(ISBLANK(INDEX(FX_Input,$KB75+1,DZ$85)),INDEX(FX_Input,$KB75,DZ$85),INDEX(FX_Input,$KB75,DZ$85)&amp;" &amp; "&amp;INDEX(FX_Input,$KB75+1,DZ$85))</f>
        <v>Jet kerosene</v>
      </c>
      <c r="EA75" s="63" cm="1">
        <f t="array" ref="EA75">INDEX(FX_Temps,$KC75+7,EA$89)</f>
        <v>0</v>
      </c>
      <c r="EB75" s="63" cm="1">
        <f t="array" ref="EB75">INDEX(FX_Temps,$KC75+13,EB$89)+459.6</f>
        <v>520.04999999999995</v>
      </c>
      <c r="EC75" s="63" cm="1">
        <f t="array" ref="EC75">INDEX(FX_Vap,$KG75,EC$91)-INDEX(FX_Vap,$KH75,EC$91)</f>
        <v>0</v>
      </c>
      <c r="ED75" s="73" cm="1">
        <f t="array" ref="ED75">IF(DZ75="Out of Service",0,INDEX(FX_Vap,$KI75,ED$91))</f>
        <v>8.3358107202842254E-3</v>
      </c>
      <c r="EE75" s="63">
        <f t="shared" si="182"/>
        <v>0</v>
      </c>
      <c r="EF75" s="63">
        <f t="shared" si="183"/>
        <v>0.99710908246863916</v>
      </c>
      <c r="EG75" s="63" cm="1">
        <f t="array" ref="EG75">INDEX(FX_Vap,$KJ75,EG$91)</f>
        <v>130</v>
      </c>
      <c r="EH75" s="63" cm="1">
        <f t="array" ref="EH75">INDEX(FX_Temps,$KD75,EH$89)+459.6</f>
        <v>520.04999999999995</v>
      </c>
      <c r="EI75" s="63">
        <f t="shared" si="184"/>
        <v>1.9418062801892895E-4</v>
      </c>
      <c r="EJ75" s="63" cm="1">
        <f t="array" ref="EJ75">INDEX(Month_Ref,EJ$83,3)*EE75*(PI()/4*$F75^2)*$H75*EF75*EI75</f>
        <v>0</v>
      </c>
      <c r="EK75" s="63" cm="1">
        <f t="array" ref="EK75">INDEX(FX_Input,$KB75,EK$85)</f>
        <v>70</v>
      </c>
      <c r="EL75" s="63">
        <f t="shared" si="185"/>
        <v>392.98</v>
      </c>
      <c r="EM75" s="63">
        <f t="shared" si="186"/>
        <v>1.2635294855808694</v>
      </c>
      <c r="EN75" s="63">
        <f t="shared" si="187"/>
        <v>1</v>
      </c>
      <c r="EO75" s="63" cm="1">
        <f t="array" ref="EO75">IF(OR(INDEX(FX_Vap,$KK75,EO$90)="Crude Oil",(INDEX(FX_Vap,$KL75,EO$90)="Crude Oil")),0.75,1)</f>
        <v>1</v>
      </c>
      <c r="EP75" s="63">
        <f t="shared" si="114"/>
        <v>1</v>
      </c>
      <c r="EQ75" s="63">
        <f t="shared" si="188"/>
        <v>7.6309103198878708E-2</v>
      </c>
      <c r="ER75" s="64">
        <f t="shared" si="189"/>
        <v>7.6309103198878708E-2</v>
      </c>
      <c r="ES75" s="80" t="str" cm="1">
        <f t="array" ref="ES75">IF(ISBLANK(INDEX(FX_Input,$KB75+1,ES$85)),INDEX(FX_Input,$KB75,ES$85),INDEX(FX_Input,$KB75,ES$85)&amp;" &amp; "&amp;INDEX(FX_Input,$KB75+1,ES$85))</f>
        <v>Jet kerosene</v>
      </c>
      <c r="ET75" s="63" cm="1">
        <f t="array" ref="ET75">INDEX(FX_Temps,$KC75+7,ET$89)</f>
        <v>0</v>
      </c>
      <c r="EU75" s="63" cm="1">
        <f t="array" ref="EU75">INDEX(FX_Temps,$KC75+13,EU$89)+459.6</f>
        <v>520.5</v>
      </c>
      <c r="EV75" s="63" cm="1">
        <f t="array" ref="EV75">INDEX(FX_Vap,$KG75,EV$91)-INDEX(FX_Vap,$KH75,EV$91)</f>
        <v>0</v>
      </c>
      <c r="EW75" s="73" cm="1">
        <f t="array" ref="EW75">IF(ES75="Out of Service",0,INDEX(FX_Vap,$KI75,EW$91))</f>
        <v>8.4605262729351115E-3</v>
      </c>
      <c r="EX75" s="63">
        <f t="shared" si="190"/>
        <v>0</v>
      </c>
      <c r="EY75" s="63">
        <f t="shared" si="191"/>
        <v>0.99706595714551616</v>
      </c>
      <c r="EZ75" s="63" cm="1">
        <f t="array" ref="EZ75">INDEX(FX_Vap,$KJ75,EZ$91)</f>
        <v>130</v>
      </c>
      <c r="FA75" s="63" cm="1">
        <f t="array" ref="FA75">INDEX(FX_Temps,$KD75,FA$89)+459.6</f>
        <v>520.5</v>
      </c>
      <c r="FB75" s="63">
        <f t="shared" si="192"/>
        <v>1.969154544366044E-4</v>
      </c>
      <c r="FC75" s="63" cm="1">
        <f t="array" ref="FC75">INDEX(Month_Ref,FC$83,3)*EX75*(PI()/4*$F75^2)*$H75*EY75*FB75</f>
        <v>0</v>
      </c>
      <c r="FD75" s="63" cm="1">
        <f t="array" ref="FD75">INDEX(FX_Input,$KB75,FD$85)</f>
        <v>70</v>
      </c>
      <c r="FE75" s="63">
        <f t="shared" si="193"/>
        <v>392.98</v>
      </c>
      <c r="FF75" s="63">
        <f t="shared" si="194"/>
        <v>1.2635294855808694</v>
      </c>
      <c r="FG75" s="63">
        <f t="shared" si="195"/>
        <v>1</v>
      </c>
      <c r="FH75" s="63" cm="1">
        <f t="array" ref="FH75">IF(OR(INDEX(FX_Vap,$KK75,FH$90)="Crude Oil",(INDEX(FX_Vap,$KL75,FH$90)="Crude Oil")),0.75,1)</f>
        <v>1</v>
      </c>
      <c r="FI75" s="63">
        <f t="shared" si="115"/>
        <v>1</v>
      </c>
      <c r="FJ75" s="63">
        <f t="shared" si="196"/>
        <v>7.7383835284496799E-2</v>
      </c>
      <c r="FK75" s="64">
        <f t="shared" si="197"/>
        <v>7.7383835284496799E-2</v>
      </c>
      <c r="FL75" s="80" t="str" cm="1">
        <f t="array" ref="FL75">IF(ISBLANK(INDEX(FX_Input,$KB75+1,FL$85)),INDEX(FX_Input,$KB75,FL$85),INDEX(FX_Input,$KB75,FL$85)&amp;" &amp; "&amp;INDEX(FX_Input,$KB75+1,FL$85))</f>
        <v>Jet kerosene</v>
      </c>
      <c r="FM75" s="63" cm="1">
        <f t="array" ref="FM75">INDEX(FX_Temps,$KC75+7,FM$89)</f>
        <v>0</v>
      </c>
      <c r="FN75" s="63" cm="1">
        <f t="array" ref="FN75">INDEX(FX_Temps,$KC75+13,FN$89)+459.6</f>
        <v>518.20000000000005</v>
      </c>
      <c r="FO75" s="63" cm="1">
        <f t="array" ref="FO75">INDEX(FX_Vap,$KG75,FO$91)-INDEX(FX_Vap,$KH75,FO$91)</f>
        <v>0</v>
      </c>
      <c r="FP75" s="73" cm="1">
        <f t="array" ref="FP75">IF(FL75="Out of Service",0,INDEX(FX_Vap,$KI75,FP$91))</f>
        <v>7.8399882233967533E-3</v>
      </c>
      <c r="FQ75" s="63">
        <f t="shared" si="198"/>
        <v>0</v>
      </c>
      <c r="FR75" s="63">
        <f t="shared" si="199"/>
        <v>0.99728056956379585</v>
      </c>
      <c r="FS75" s="63" cm="1">
        <f t="array" ref="FS75">INDEX(FX_Vap,$KJ75,FS$91)</f>
        <v>130</v>
      </c>
      <c r="FT75" s="63" cm="1">
        <f t="array" ref="FT75">INDEX(FX_Temps,$KD75,FT$89)+459.6</f>
        <v>518.20000000000005</v>
      </c>
      <c r="FU75" s="63">
        <f t="shared" si="200"/>
        <v>1.8328256712249962E-4</v>
      </c>
      <c r="FV75" s="63" cm="1">
        <f t="array" ref="FV75">INDEX(Month_Ref,FV$83,3)*FQ75*(PI()/4*$F75^2)*$H75*FR75*FU75</f>
        <v>0</v>
      </c>
      <c r="FW75" s="63" cm="1">
        <f t="array" ref="FW75">INDEX(FX_Input,$KB75,FW$85)</f>
        <v>70</v>
      </c>
      <c r="FX75" s="63">
        <f t="shared" si="201"/>
        <v>392.98</v>
      </c>
      <c r="FY75" s="63">
        <f t="shared" si="202"/>
        <v>1.2635294855808694</v>
      </c>
      <c r="FZ75" s="63">
        <f t="shared" si="203"/>
        <v>1</v>
      </c>
      <c r="GA75" s="63" cm="1">
        <f t="array" ref="GA75">IF(OR(INDEX(FX_Vap,$KK75,GA$90)="Crude Oil",(INDEX(FX_Vap,$KL75,GA$90)="Crude Oil")),0.75,1)</f>
        <v>1</v>
      </c>
      <c r="GB75" s="63">
        <f t="shared" si="116"/>
        <v>1</v>
      </c>
      <c r="GC75" s="63">
        <f t="shared" si="204"/>
        <v>7.2026383227799903E-2</v>
      </c>
      <c r="GD75" s="64">
        <f t="shared" si="205"/>
        <v>7.2026383227799903E-2</v>
      </c>
      <c r="GE75" s="80" t="str" cm="1">
        <f t="array" ref="GE75">IF(ISBLANK(INDEX(FX_Input,$KB75+1,GE$85)),INDEX(FX_Input,$KB75,GE$85),INDEX(FX_Input,$KB75,GE$85)&amp;" &amp; "&amp;INDEX(FX_Input,$KB75+1,GE$85))</f>
        <v>Jet kerosene</v>
      </c>
      <c r="GF75" s="63" cm="1">
        <f t="array" ref="GF75">INDEX(FX_Temps,$KC75+7,GF$89)</f>
        <v>0</v>
      </c>
      <c r="GG75" s="63" cm="1">
        <f t="array" ref="GG75">INDEX(FX_Temps,$KC75+13,GG$89)+459.6</f>
        <v>512.25</v>
      </c>
      <c r="GH75" s="63" cm="1">
        <f t="array" ref="GH75">INDEX(FX_Vap,$KG75,GH$91)-INDEX(FX_Vap,$KH75,GH$91)</f>
        <v>0</v>
      </c>
      <c r="GI75" s="73" cm="1">
        <f t="array" ref="GI75">IF(GE75="Out of Service",0,INDEX(FX_Vap,$KI75,GI$91))</f>
        <v>6.4173462075160911E-3</v>
      </c>
      <c r="GJ75" s="63">
        <f t="shared" si="206"/>
        <v>0</v>
      </c>
      <c r="GK75" s="63">
        <f t="shared" si="207"/>
        <v>0.99777293764936537</v>
      </c>
      <c r="GL75" s="63" cm="1">
        <f t="array" ref="GL75">INDEX(FX_Vap,$KJ75,GL$91)</f>
        <v>130</v>
      </c>
      <c r="GM75" s="63" cm="1">
        <f t="array" ref="GM75">INDEX(FX_Temps,$KD75,GM$89)+459.6</f>
        <v>512.25</v>
      </c>
      <c r="GN75" s="63">
        <f t="shared" si="208"/>
        <v>1.5176675903637226E-4</v>
      </c>
      <c r="GO75" s="63" cm="1">
        <f t="array" ref="GO75">INDEX(Month_Ref,GO$83,3)*GJ75*(PI()/4*$F75^2)*$H75*GK75*GN75</f>
        <v>0</v>
      </c>
      <c r="GP75" s="63" cm="1">
        <f t="array" ref="GP75">INDEX(FX_Input,$KB75,GP$85)</f>
        <v>70</v>
      </c>
      <c r="GQ75" s="63">
        <f t="shared" si="209"/>
        <v>392.98</v>
      </c>
      <c r="GR75" s="63">
        <f t="shared" si="210"/>
        <v>1.2635294855808694</v>
      </c>
      <c r="GS75" s="63">
        <f t="shared" si="211"/>
        <v>1</v>
      </c>
      <c r="GT75" s="63" cm="1">
        <f t="array" ref="GT75">IF(OR(INDEX(FX_Vap,$KK75,GT$90)="Crude Oil",(INDEX(FX_Vap,$KL75,GT$90)="Crude Oil")),0.75,1)</f>
        <v>1</v>
      </c>
      <c r="GU75" s="63">
        <f t="shared" si="117"/>
        <v>1</v>
      </c>
      <c r="GV75" s="63">
        <f t="shared" si="212"/>
        <v>5.9641300966113572E-2</v>
      </c>
      <c r="GW75" s="64">
        <f t="shared" si="213"/>
        <v>5.9641300966113572E-2</v>
      </c>
      <c r="GX75" s="80" t="str" cm="1">
        <f t="array" ref="GX75">IF(ISBLANK(INDEX(FX_Input,$KB75+1,GX$85)),INDEX(FX_Input,$KB75,GX$85),INDEX(FX_Input,$KB75,GX$85)&amp;" &amp; "&amp;INDEX(FX_Input,$KB75+1,GX$85))</f>
        <v>Jet kerosene</v>
      </c>
      <c r="GY75" s="63" cm="1">
        <f t="array" ref="GY75">INDEX(FX_Temps,$KC75+7,GY$89)</f>
        <v>0</v>
      </c>
      <c r="GZ75" s="63" cm="1">
        <f t="array" ref="GZ75">INDEX(FX_Temps,$KC75+13,GZ$89)+459.6</f>
        <v>506.70000000000005</v>
      </c>
      <c r="HA75" s="63" cm="1">
        <f t="array" ref="HA75">INDEX(FX_Vap,$KG75,HA$91)-INDEX(FX_Vap,$KH75,HA$91)</f>
        <v>0</v>
      </c>
      <c r="HB75" s="73" cm="1">
        <f t="array" ref="HB75">IF(GX75="Out of Service",0,INDEX(FX_Vap,$KI75,HB$91))</f>
        <v>5.3015226887581056E-3</v>
      </c>
      <c r="HC75" s="63">
        <f t="shared" si="214"/>
        <v>0</v>
      </c>
      <c r="HD75" s="63">
        <f t="shared" si="215"/>
        <v>0.99815945798124694</v>
      </c>
      <c r="HE75" s="63" cm="1">
        <f t="array" ref="HE75">INDEX(FX_Vap,$KJ75,HE$91)</f>
        <v>130</v>
      </c>
      <c r="HF75" s="63" cm="1">
        <f t="array" ref="HF75">INDEX(FX_Temps,$KD75,HF$89)+459.6</f>
        <v>506.70000000000005</v>
      </c>
      <c r="HG75" s="63">
        <f t="shared" si="216"/>
        <v>1.2675143286623188E-4</v>
      </c>
      <c r="HH75" s="63" cm="1">
        <f t="array" ref="HH75">INDEX(Month_Ref,HH$83,3)*HC75*(PI()/4*$F75^2)*$H75*HD75*HG75</f>
        <v>0</v>
      </c>
      <c r="HI75" s="63" cm="1">
        <f t="array" ref="HI75">INDEX(FX_Input,$KB75,HI$85)</f>
        <v>70</v>
      </c>
      <c r="HJ75" s="63">
        <f t="shared" si="217"/>
        <v>392.98</v>
      </c>
      <c r="HK75" s="63">
        <f t="shared" si="218"/>
        <v>1.2635294855808694</v>
      </c>
      <c r="HL75" s="63">
        <f t="shared" si="219"/>
        <v>1</v>
      </c>
      <c r="HM75" s="63" cm="1">
        <f t="array" ref="HM75">IF(OR(INDEX(FX_Vap,$KK75,HM$90)="Crude Oil",(INDEX(FX_Vap,$KL75,HM$90)="Crude Oil")),0.75,1)</f>
        <v>1</v>
      </c>
      <c r="HN75" s="63">
        <f t="shared" si="118"/>
        <v>1</v>
      </c>
      <c r="HO75" s="63">
        <f t="shared" si="220"/>
        <v>4.9810778087771804E-2</v>
      </c>
      <c r="HP75" s="64">
        <f t="shared" si="221"/>
        <v>4.9810778087771804E-2</v>
      </c>
      <c r="HQ75" s="80" t="str" cm="1">
        <f t="array" ref="HQ75">IF(ISBLANK(INDEX(FX_Input,$KB75+1,HQ$85)),INDEX(FX_Input,$KB75,HQ$85),INDEX(FX_Input,$KB75,HQ$85)&amp;" &amp; "&amp;INDEX(FX_Input,$KB75+1,HQ$85))</f>
        <v>Jet kerosene</v>
      </c>
      <c r="HR75" s="63" cm="1">
        <f t="array" ref="HR75">INDEX(FX_Temps,$KC75+7,HR$89)</f>
        <v>0</v>
      </c>
      <c r="HS75" s="63" cm="1">
        <f t="array" ref="HS75">INDEX(FX_Temps,$KC75+13,HS$89)+459.6</f>
        <v>503.20000000000005</v>
      </c>
      <c r="HT75" s="63" cm="1">
        <f t="array" ref="HT75">INDEX(FX_Vap,$KG75,HT$91)-INDEX(FX_Vap,$KH75,HT$91)</f>
        <v>0</v>
      </c>
      <c r="HU75" s="73" cm="1">
        <f t="array" ref="HU75">IF(HQ75="Out of Service",0,INDEX(FX_Vap,$KI75,HU$91))</f>
        <v>4.68970903600947E-3</v>
      </c>
      <c r="HV75" s="63">
        <f t="shared" si="222"/>
        <v>0</v>
      </c>
      <c r="HW75" s="63">
        <f t="shared" si="223"/>
        <v>0.99837151685896575</v>
      </c>
      <c r="HX75" s="63" cm="1">
        <f t="array" ref="HX75">INDEX(FX_Vap,$KJ75,HX$91)</f>
        <v>130</v>
      </c>
      <c r="HY75" s="63" cm="1">
        <f t="array" ref="HY75">INDEX(FX_Temps,$KD75,HY$89)+459.6</f>
        <v>503.20000000000005</v>
      </c>
      <c r="HZ75" s="63">
        <f t="shared" si="224"/>
        <v>1.1290376474196325E-4</v>
      </c>
      <c r="IA75" s="63" cm="1">
        <f t="array" ref="IA75">INDEX(Month_Ref,IA$83,3)*HV75*(PI()/4*$F75^2)*$H75*HW75*HZ75</f>
        <v>0</v>
      </c>
      <c r="IB75" s="63" cm="1">
        <f t="array" ref="IB75">INDEX(FX_Input,$KB75,IB$85)</f>
        <v>70</v>
      </c>
      <c r="IC75" s="63">
        <f t="shared" si="225"/>
        <v>392.98</v>
      </c>
      <c r="ID75" s="63">
        <f t="shared" si="226"/>
        <v>1.2635294855808694</v>
      </c>
      <c r="IE75" s="63">
        <f t="shared" si="227"/>
        <v>1</v>
      </c>
      <c r="IF75" s="63" cm="1">
        <f t="array" ref="IF75">IF(OR(INDEX(FX_Vap,$KK75,IF$90)="Crude Oil",(INDEX(FX_Vap,$KL75,IF$90)="Crude Oil")),0.75,1)</f>
        <v>1</v>
      </c>
      <c r="IG75" s="63">
        <f t="shared" si="119"/>
        <v>1</v>
      </c>
      <c r="IH75" s="63">
        <f t="shared" si="228"/>
        <v>4.436892146829672E-2</v>
      </c>
      <c r="II75" s="64">
        <f t="shared" si="229"/>
        <v>4.436892146829672E-2</v>
      </c>
      <c r="IJ75" s="80">
        <f t="shared" si="230"/>
        <v>0</v>
      </c>
      <c r="IK75" s="63">
        <f t="shared" si="231"/>
        <v>0</v>
      </c>
      <c r="IL75" s="63">
        <f t="shared" si="232"/>
        <v>0.6998804729901259</v>
      </c>
      <c r="IM75" s="63">
        <f t="shared" si="233"/>
        <v>3.4994023649506293E-4</v>
      </c>
      <c r="IN75" s="63">
        <f t="shared" si="234"/>
        <v>0.6998804729901259</v>
      </c>
      <c r="IO75" s="64">
        <f t="shared" si="235"/>
        <v>3.4994023649506293E-4</v>
      </c>
      <c r="KB75" s="43">
        <f t="shared" si="120"/>
        <v>129</v>
      </c>
      <c r="KC75" s="43">
        <f t="shared" si="121"/>
        <v>897</v>
      </c>
      <c r="KD75" s="43">
        <f t="shared" si="122"/>
        <v>910</v>
      </c>
      <c r="KE75" s="43">
        <f t="shared" si="123"/>
        <v>897</v>
      </c>
      <c r="KF75" s="43">
        <f t="shared" ref="KF75:KJ75" si="243">KF74+34</f>
        <v>2177</v>
      </c>
      <c r="KG75" s="43">
        <f t="shared" si="243"/>
        <v>2200</v>
      </c>
      <c r="KH75" s="43">
        <f t="shared" si="243"/>
        <v>2195</v>
      </c>
      <c r="KI75" s="43">
        <f t="shared" si="243"/>
        <v>2205</v>
      </c>
      <c r="KJ75" s="43">
        <f t="shared" si="243"/>
        <v>2210</v>
      </c>
      <c r="KK75" s="43">
        <f t="shared" si="127"/>
        <v>2181</v>
      </c>
      <c r="KL75" s="43">
        <f t="shared" si="128"/>
        <v>2183</v>
      </c>
    </row>
    <row r="76" spans="2:298" x14ac:dyDescent="0.4">
      <c r="B76" s="43" t="str" cm="1">
        <f t="array" ref="B76">INDEX(FX_Input,$KB76,B$85)</f>
        <v>FX - 66</v>
      </c>
      <c r="C76" s="93" t="str" cm="1">
        <f t="array" ref="C76">INDEX(FX_Input,$KB76,C$85)</f>
        <v>FIXTANK 307</v>
      </c>
      <c r="D76" s="80">
        <f t="shared" ref="D76:D77" si="244">PI()/4*F76*F76*H76</f>
        <v>175.98645721710949</v>
      </c>
      <c r="E76" s="63" cm="1">
        <f t="array" ref="E76">IF(ISBLANK(INDEX(FX_Input,$KB76,$E$85)),0.03,INDEX(FX_Input,$KB76,$E$85))-IF(ISBLANK(INDEX(FX_Input,$KB76,$E$86)),-0.03,INDEX(FX_Input,$KB76,$E$86))</f>
        <v>0.06</v>
      </c>
      <c r="F76" s="63" cm="1">
        <f t="array" ref="F76">IF(INDEX(FX_Input,$KB76,F$85)="Vertical",INDEX(FX_Input,$KB76,F$86),SQRT((INDEX(FX_Input,$KB76,F$86)*INDEX(FX_Input,$KB76,F$87))/(PI()/4)))</f>
        <v>7</v>
      </c>
      <c r="G76" s="63" cm="1">
        <f t="array" ref="G76">IF(INDEX(FX_Input,$KB76,G$85)="Vertical",INDEX(FX_Input,$KB76,G$86),INDEX(FX_Input,$KB76,G$87)*PI()/4)</f>
        <v>9</v>
      </c>
      <c r="H76" s="63" cm="1">
        <f t="array" ref="H76">IF(INDEX(FX_Input,$KB76,H$85)="Vertical",G76-G76/2+J76,G76/2)</f>
        <v>4.572916666666667</v>
      </c>
      <c r="I76" s="63" cm="1">
        <f t="array" ref="I76">IF(INDEX(FX_Input,$KB76,F$85)="Horizontal","N/A",IF(INDEX(FX_Input,$KB76,I$86)="Cone",IF(ISBLANK(INDEX(FX_Input,$KB76,I$87)),0.0625,INDEX(FX_Input,$KB76,I$87))*F76/2,F76/2-SQRT((F76/2)^2-(INDEX(FX_Input,$KB76,I$88)^2))))</f>
        <v>0.21875</v>
      </c>
      <c r="J76" s="63" cm="1">
        <f t="array" ref="J76">IF(INDEX(FX_Input,$KB76,J$85)="Horizontal","N/A",IF(INDEX(FX_Input,$KB76,J$86)="Cone",I76/3,I76*(1/2+(1/6)*(I76/(F76/2))^2)))</f>
        <v>7.2916666666666671E-2</v>
      </c>
      <c r="K76" s="63">
        <f t="shared" ref="K76:K77" si="245">G76-1</f>
        <v>8</v>
      </c>
      <c r="L76" s="63">
        <v>10</v>
      </c>
      <c r="M76" s="63" t="str" cm="1">
        <f t="array" ref="M76">INDEX(Tbl_71_6,MATCH(INDEX(FX_Input,$KB76,M$85),Paint_Color,0),VLOOKUP(INDEX(FX_Input,$KB76,M$86),Paint_Cond_Column,2,FALSE))</f>
        <v>N/A</v>
      </c>
      <c r="N76" s="63" t="str" cm="1">
        <f t="array" ref="N76">INDEX(Tbl_71_6,MATCH(INDEX(FX_Input,$KB76,N$85),Paint_Color,0),VLOOKUP(INDEX(FX_Input,$KB76,N$86),Paint_Cond_Column,2,FALSE))</f>
        <v>N/A</v>
      </c>
      <c r="O76" s="64" t="str">
        <f t="shared" ref="O76:O77" si="246">IF(OR(ISNUMBER(N76),ISNUMBER(M76)),IFERROR((M76+N76)/2,"Partially Insulated"), "Insulated")</f>
        <v>Insulated</v>
      </c>
      <c r="P76" s="80" t="str" cm="1">
        <f t="array" ref="P76">IF(ISBLANK(INDEX(FX_Input,$KB76+1,P$85)),INDEX(FX_Input,$KB76,P$85),INDEX(FX_Input,$KB76,P$85)&amp;" &amp; "&amp;INDEX(FX_Input,$KB76+1,P$85))</f>
        <v>Jet kerosene</v>
      </c>
      <c r="Q76" s="63" cm="1">
        <f t="array" ref="Q76">INDEX(FX_Temps,$KC76+7,Q$89)</f>
        <v>0</v>
      </c>
      <c r="R76" s="63" cm="1">
        <f t="array" ref="R76">INDEX(FX_Temps,$KC76+13,R$89)+459.6</f>
        <v>503.5</v>
      </c>
      <c r="S76" s="63" cm="1">
        <f t="array" ref="S76">INDEX(FX_Vap,$KG76,S$91)-INDEX(FX_Vap,$KH76,S$91)</f>
        <v>0</v>
      </c>
      <c r="T76" s="73" cm="1">
        <f t="array" ref="T76">IF(P76="Out of Service",0,INDEX(FX_Vap,$KI76,T$91))</f>
        <v>4.739577185808354E-3</v>
      </c>
      <c r="U76" s="63">
        <f t="shared" ref="U76:U77" si="247">IF(Q76/R76+(S76-$E76)/(14.7-T76)&lt;0,0,Q76/R76+(S76-$E76)/(14.7-T76))</f>
        <v>0</v>
      </c>
      <c r="V76" s="63">
        <f t="shared" ref="V76:V77" si="248">1/(1+0.053*T76*$H76)</f>
        <v>0.9988526123608491</v>
      </c>
      <c r="W76" s="63" cm="1">
        <f t="array" ref="W76">INDEX(FX_Vap,$KJ76,W$91)</f>
        <v>130</v>
      </c>
      <c r="X76" s="63" cm="1">
        <f t="array" ref="X76">INDEX(FX_Temps,$KD76,X$89)+459.6</f>
        <v>503.5</v>
      </c>
      <c r="Y76" s="63">
        <f t="shared" ref="Y76:Y77" si="249">(W76*T76)/(10.731*X76)</f>
        <v>1.1403634333314844E-4</v>
      </c>
      <c r="Z76" s="63" cm="1">
        <f t="array" ref="Z76">INDEX(Month_Ref,Z$83,3)*U76*(PI()/4*$F76^2)*$H76*V76*Y76</f>
        <v>0</v>
      </c>
      <c r="AA76" s="63" cm="1">
        <f t="array" ref="AA76">INDEX(FX_Input,$KB76,AA$85)</f>
        <v>85</v>
      </c>
      <c r="AB76" s="63">
        <f t="shared" ref="AB76:AB77" si="250">5.614*AA76</f>
        <v>477.19</v>
      </c>
      <c r="AC76" s="63">
        <f t="shared" ref="AC76:AC77" si="251">(AB76/(PI()/4*F76^2))/((G76-1)-1)</f>
        <v>1.7713620360121642</v>
      </c>
      <c r="AD76" s="63">
        <f t="shared" ref="AD76:AD77" si="252">IF(AC76&gt;36,(180+AC76)/(6*AC76),1)</f>
        <v>1</v>
      </c>
      <c r="AE76" s="63" cm="1">
        <f t="array" ref="AE76">IF(OR(INDEX(FX_Vap,$KK76,AE$90)="Crude Oil",(INDEX(FX_Vap,$KL76,AE$90)="Crude Oil")),0.75,1)</f>
        <v>1</v>
      </c>
      <c r="AF76" s="63">
        <f t="shared" si="108"/>
        <v>1</v>
      </c>
      <c r="AG76" s="63">
        <f t="shared" ref="AG76:AG77" si="253">AB76*AD76*AE76*Y76*AF76</f>
        <v>5.4417002675145106E-2</v>
      </c>
      <c r="AH76" s="64">
        <f t="shared" ref="AH76:AH77" si="254">AG76+Z76</f>
        <v>5.4417002675145106E-2</v>
      </c>
      <c r="AI76" s="80" t="str" cm="1">
        <f t="array" ref="AI76">IF(ISBLANK(INDEX(FX_Input,$KB76+1,AI$85)),INDEX(FX_Input,$KB76,AI$85),INDEX(FX_Input,$KB76,AI$85)&amp;" &amp; "&amp;INDEX(FX_Input,$KB76+1,AI$85))</f>
        <v>Jet kerosene</v>
      </c>
      <c r="AJ76" s="63" cm="1">
        <f t="array" ref="AJ76">INDEX(FX_Temps,$KC76+7,AJ$89)</f>
        <v>0</v>
      </c>
      <c r="AK76" s="63" cm="1">
        <f t="array" ref="AK76">INDEX(FX_Temps,$KC76+13,AK$89)+459.6</f>
        <v>504.30000000000007</v>
      </c>
      <c r="AL76" s="63" cm="1">
        <f t="array" ref="AL76">INDEX(FX_Vap,$KG76,AL$91)-INDEX(FX_Vap,$KH76,AL$91)</f>
        <v>0</v>
      </c>
      <c r="AM76" s="73" cm="1">
        <f t="array" ref="AM76">IF(AI76="Out of Service",0,INDEX(FX_Vap,$KI76,AM$91))</f>
        <v>4.8748667780818778E-3</v>
      </c>
      <c r="AN76" s="63">
        <f t="shared" ref="AN76:AN77" si="255">IF(AJ76/AK76+(AL76-$E76)/(14.7-AM76)&lt;0,0,AJ76/AK76+(AL76-$E76)/(14.7-AM76))</f>
        <v>0</v>
      </c>
      <c r="AO76" s="63">
        <f t="shared" ref="AO76:AO77" si="256">1/(1+0.053*AM76*$H76)</f>
        <v>0.99881989922775194</v>
      </c>
      <c r="AP76" s="63" cm="1">
        <f t="array" ref="AP76">INDEX(FX_Vap,$KJ76,AP$91)</f>
        <v>130</v>
      </c>
      <c r="AQ76" s="63" cm="1">
        <f t="array" ref="AQ76">INDEX(FX_Temps,$KD76,AQ$89)+459.6</f>
        <v>504.30000000000007</v>
      </c>
      <c r="AR76" s="63">
        <f t="shared" ref="AR76:AR77" si="257">(AP76*AM76)/(10.731*AQ76)</f>
        <v>1.1710540514572422E-4</v>
      </c>
      <c r="AS76" s="63" cm="1">
        <f t="array" ref="AS76">INDEX(Month_Ref,AS$83,3)*AN76*(PI()/4*$F76^2)*$H76*AO76*AR76</f>
        <v>0</v>
      </c>
      <c r="AT76" s="63" cm="1">
        <f t="array" ref="AT76">INDEX(FX_Input,$KB76,AT$85)</f>
        <v>85</v>
      </c>
      <c r="AU76" s="63">
        <f t="shared" ref="AU76:AU77" si="258">5.614*AT76</f>
        <v>477.19</v>
      </c>
      <c r="AV76" s="63">
        <f t="shared" ref="AV76:AV77" si="259">(AU76/(PI()/4*$F76^2))/(($G76-1)-1)</f>
        <v>1.7713620360121642</v>
      </c>
      <c r="AW76" s="63">
        <f t="shared" ref="AW76:AW77" si="260">IF(AV76&gt;36,(180+AV76)/(6*AV76),1)</f>
        <v>1</v>
      </c>
      <c r="AX76" s="63" cm="1">
        <f t="array" ref="AX76">IF(OR(INDEX(FX_Vap,$KK76,AX$90)="Crude Oil",(INDEX(FX_Vap,$KL76,AX$90)="Crude Oil")),0.75,1)</f>
        <v>1</v>
      </c>
      <c r="AY76" s="63">
        <f t="shared" si="109"/>
        <v>1</v>
      </c>
      <c r="AZ76" s="63">
        <f t="shared" ref="AZ76:AZ77" si="261">AU76*AW76*AX76*AR76*AY76</f>
        <v>5.5881528281488138E-2</v>
      </c>
      <c r="BA76" s="64">
        <f t="shared" ref="BA76:BA77" si="262">AZ76+AS76</f>
        <v>5.5881528281488138E-2</v>
      </c>
      <c r="BB76" s="80" t="str" cm="1">
        <f t="array" ref="BB76">IF(ISBLANK(INDEX(FX_Input,$KB76+1,BB$85)),INDEX(FX_Input,$KB76,BB$85),INDEX(FX_Input,$KB76,BB$85)&amp;" &amp; "&amp;INDEX(FX_Input,$KB76+1,BB$85))</f>
        <v>Jet kerosene</v>
      </c>
      <c r="BC76" s="63" cm="1">
        <f t="array" ref="BC76">INDEX(FX_Temps,$KC76+7,BC$89)</f>
        <v>0</v>
      </c>
      <c r="BD76" s="63" cm="1">
        <f t="array" ref="BD76">INDEX(FX_Temps,$KC76+13,BD$89)+459.6</f>
        <v>505.70000000000005</v>
      </c>
      <c r="BE76" s="63" cm="1">
        <f t="array" ref="BE76">INDEX(FX_Vap,$KG76,BE$91)-INDEX(FX_Vap,$KH76,BE$91)</f>
        <v>0</v>
      </c>
      <c r="BF76" s="73" cm="1">
        <f t="array" ref="BF76">IF(BB76="Out of Service",0,INDEX(FX_Vap,$KI76,BF$91))</f>
        <v>5.119885034186122E-3</v>
      </c>
      <c r="BG76" s="63">
        <f t="shared" ref="BG76:BG77" si="263">IF(BC76/BD76+(BE76-$E76)/(14.7-BF76)&lt;0,0,BC76/BD76+(BE76-$E76)/(14.7-BF76))</f>
        <v>0</v>
      </c>
      <c r="BH76" s="63">
        <f t="shared" ref="BH76:BH77" si="264">1/(1+0.053*BF76*$H76)</f>
        <v>0.99876065906886602</v>
      </c>
      <c r="BI76" s="63" cm="1">
        <f t="array" ref="BI76">INDEX(FX_Vap,$KJ76,BI$91)</f>
        <v>130</v>
      </c>
      <c r="BJ76" s="63" cm="1">
        <f t="array" ref="BJ76">INDEX(FX_Temps,$KD76,BJ$89)+459.6</f>
        <v>505.70000000000005</v>
      </c>
      <c r="BK76" s="63">
        <f t="shared" ref="BK76:BK77" si="265">(BI76*BF76)/(10.731*BJ76)</f>
        <v>1.226508078051294E-4</v>
      </c>
      <c r="BL76" s="63" cm="1">
        <f t="array" ref="BL76">INDEX(Month_Ref,BL$83,3)*BG76*(PI()/4*$F76^2)*$H76*BH76*BK76</f>
        <v>0</v>
      </c>
      <c r="BM76" s="63" cm="1">
        <f t="array" ref="BM76">INDEX(FX_Input,$KB76,BM$85)</f>
        <v>85</v>
      </c>
      <c r="BN76" s="63">
        <f t="shared" ref="BN76:BN77" si="266">5.614*BM76</f>
        <v>477.19</v>
      </c>
      <c r="BO76" s="63">
        <f t="shared" ref="BO76:BO77" si="267">(BN76/(PI()/4*$F76^2))/(($G76-1)-1)</f>
        <v>1.7713620360121642</v>
      </c>
      <c r="BP76" s="63">
        <f t="shared" ref="BP76:BP77" si="268">IF(BO76&gt;36,(180+BO76)/(6*BO76),1)</f>
        <v>1</v>
      </c>
      <c r="BQ76" s="63" cm="1">
        <f t="array" ref="BQ76">IF(OR(INDEX(FX_Vap,$KK76,BQ$90)="Crude Oil",(INDEX(FX_Vap,$KL76,BQ$90)="Crude Oil")),0.75,1)</f>
        <v>1</v>
      </c>
      <c r="BR76" s="63">
        <f t="shared" si="110"/>
        <v>1</v>
      </c>
      <c r="BS76" s="63">
        <f t="shared" ref="BS76:BS77" si="269">BN76*BP76*BQ76*BK76*BR76</f>
        <v>5.85277389765297E-2</v>
      </c>
      <c r="BT76" s="64">
        <f t="shared" ref="BT76:BT77" si="270">BS76+BL76</f>
        <v>5.85277389765297E-2</v>
      </c>
      <c r="BU76" s="80" t="str" cm="1">
        <f t="array" ref="BU76">IF(ISBLANK(INDEX(FX_Input,$KB76+1,BU$85)),INDEX(FX_Input,$KB76,BU$85),INDEX(FX_Input,$KB76,BU$85)&amp;" &amp; "&amp;INDEX(FX_Input,$KB76+1,BU$85))</f>
        <v>Jet kerosene</v>
      </c>
      <c r="BV76" s="63" cm="1">
        <f t="array" ref="BV76">INDEX(FX_Temps,$KC76+7,BV$89)</f>
        <v>0</v>
      </c>
      <c r="BW76" s="63" cm="1">
        <f t="array" ref="BW76">INDEX(FX_Temps,$KC76+13,BW$89)+459.6</f>
        <v>508.2</v>
      </c>
      <c r="BX76" s="63" cm="1">
        <f t="array" ref="BX76">INDEX(FX_Vap,$KG76,BX$91)-INDEX(FX_Vap,$KH76,BX$91)</f>
        <v>0</v>
      </c>
      <c r="BY76" s="73" cm="1">
        <f t="array" ref="BY76">IF(BU76="Out of Service",0,INDEX(FX_Vap,$KI76,BY$91))</f>
        <v>5.5846958573521795E-3</v>
      </c>
      <c r="BZ76" s="63">
        <f t="shared" ref="BZ76:BZ77" si="271">IF(BV76/BW76+(BX76-$E76)/(14.7-BY76)&lt;0,0,BV76/BW76+(BX76-$E76)/(14.7-BY76))</f>
        <v>0</v>
      </c>
      <c r="CA76" s="63">
        <f t="shared" ref="CA76:CA77" si="272">1/(1+0.053*BY76*$H76)</f>
        <v>0.99864829708928837</v>
      </c>
      <c r="CB76" s="63" cm="1">
        <f t="array" ref="CB76">INDEX(FX_Vap,$KJ76,CB$91)</f>
        <v>130</v>
      </c>
      <c r="CC76" s="63" cm="1">
        <f t="array" ref="CC76">INDEX(FX_Temps,$KD76,CC$89)+459.6</f>
        <v>508.2</v>
      </c>
      <c r="CD76" s="63">
        <f t="shared" ref="CD76:CD77" si="273">(CB76*BY76)/(10.731*CC76)</f>
        <v>1.3312757561120781E-4</v>
      </c>
      <c r="CE76" s="63" cm="1">
        <f t="array" ref="CE76">INDEX(Month_Ref,CE$83,3)*BZ76*(PI()/4*$F76^2)*$H76*CA76*CD76</f>
        <v>0</v>
      </c>
      <c r="CF76" s="63" cm="1">
        <f t="array" ref="CF76">INDEX(FX_Input,$KB76,CF$85)</f>
        <v>85</v>
      </c>
      <c r="CG76" s="63">
        <f t="shared" ref="CG76:CG77" si="274">5.614*CF76</f>
        <v>477.19</v>
      </c>
      <c r="CH76" s="63">
        <f t="shared" ref="CH76:CH77" si="275">(CG76/(PI()/4*$F76^2))/(($G76-1)-1)</f>
        <v>1.7713620360121642</v>
      </c>
      <c r="CI76" s="63">
        <f t="shared" ref="CI76:CI77" si="276">IF(CH76&gt;36,(180+CH76)/(6*CH76),1)</f>
        <v>1</v>
      </c>
      <c r="CJ76" s="63" cm="1">
        <f t="array" ref="CJ76">IF(OR(INDEX(FX_Vap,$KK76,CJ$90)="Crude Oil",(INDEX(FX_Vap,$KL76,CJ$90)="Crude Oil")),0.75,1)</f>
        <v>1</v>
      </c>
      <c r="CK76" s="63">
        <f t="shared" si="111"/>
        <v>1</v>
      </c>
      <c r="CL76" s="63">
        <f t="shared" ref="CL76:CL77" si="277">CG76*CI76*CJ76*CD76*CK76</f>
        <v>6.352714780591226E-2</v>
      </c>
      <c r="CM76" s="64">
        <f t="shared" ref="CM76:CM77" si="278">CL76+CE76</f>
        <v>6.352714780591226E-2</v>
      </c>
      <c r="CN76" s="80" t="str" cm="1">
        <f t="array" ref="CN76">IF(ISBLANK(INDEX(FX_Input,$KB76+1,CN$85)),INDEX(FX_Input,$KB76,CN$85),INDEX(FX_Input,$KB76,CN$85)&amp;" &amp; "&amp;INDEX(FX_Input,$KB76+1,CN$85))</f>
        <v>Jet kerosene</v>
      </c>
      <c r="CO76" s="63" cm="1">
        <f t="array" ref="CO76">INDEX(FX_Temps,$KC76+7,CO$89)</f>
        <v>0</v>
      </c>
      <c r="CP76" s="63" cm="1">
        <f t="array" ref="CP76">INDEX(FX_Temps,$KC76+13,CP$89)+459.6</f>
        <v>512.75</v>
      </c>
      <c r="CQ76" s="63" cm="1">
        <f t="array" ref="CQ76">INDEX(FX_Vap,$KG76,CQ$91)-INDEX(FX_Vap,$KH76,CQ$91)</f>
        <v>0</v>
      </c>
      <c r="CR76" s="73" cm="1">
        <f t="array" ref="CR76">IF(CN76="Out of Service",0,INDEX(FX_Vap,$KI76,CR$91))</f>
        <v>6.5274070972739821E-3</v>
      </c>
      <c r="CS76" s="63">
        <f t="shared" ref="CS76:CS77" si="279">IF(CO76/CP76+(CQ76-$E76)/(14.7-CR76)&lt;0,0,CO76/CP76+(CQ76-$E76)/(14.7-CR76))</f>
        <v>0</v>
      </c>
      <c r="CT76" s="63">
        <f t="shared" ref="CT76:CT77" si="280">1/(1+0.053*CR76*$H76)</f>
        <v>0.99842048650839599</v>
      </c>
      <c r="CU76" s="63" cm="1">
        <f t="array" ref="CU76">INDEX(FX_Vap,$KJ76,CU$91)</f>
        <v>130</v>
      </c>
      <c r="CV76" s="63" cm="1">
        <f t="array" ref="CV76">INDEX(FX_Temps,$KD76,CV$89)+459.6</f>
        <v>512.75</v>
      </c>
      <c r="CW76" s="63">
        <f t="shared" ref="CW76:CW77" si="281">(CU76*CR76)/(10.731*CV76)</f>
        <v>1.5421910831991609E-4</v>
      </c>
      <c r="CX76" s="63" cm="1">
        <f t="array" ref="CX76">INDEX(Month_Ref,CX$83,3)*CS76*(PI()/4*$F76^2)*$H76*CT76*CW76</f>
        <v>0</v>
      </c>
      <c r="CY76" s="63" cm="1">
        <f t="array" ref="CY76">INDEX(FX_Input,$KB76,CY$85)</f>
        <v>85</v>
      </c>
      <c r="CZ76" s="63">
        <f t="shared" ref="CZ76:CZ77" si="282">5.614*CY76</f>
        <v>477.19</v>
      </c>
      <c r="DA76" s="63">
        <f t="shared" ref="DA76:DA77" si="283">(CZ76/(PI()/4*$F76^2))/(($G76-1)-1)</f>
        <v>1.7713620360121642</v>
      </c>
      <c r="DB76" s="63">
        <f t="shared" ref="DB76:DB77" si="284">IF(DA76&gt;36,(180+DA76)/(6*DA76),1)</f>
        <v>1</v>
      </c>
      <c r="DC76" s="63" cm="1">
        <f t="array" ref="DC76">IF(OR(INDEX(FX_Vap,$KK76,DC$90)="Crude Oil",(INDEX(FX_Vap,$KL76,DC$90)="Crude Oil")),0.75,1)</f>
        <v>1</v>
      </c>
      <c r="DD76" s="63">
        <f t="shared" si="112"/>
        <v>1</v>
      </c>
      <c r="DE76" s="63">
        <f t="shared" ref="DE76:DE77" si="285">CZ76*DB76*DC76*CW76*DD76</f>
        <v>7.3591816299180754E-2</v>
      </c>
      <c r="DF76" s="64">
        <f t="shared" ref="DF76:DF77" si="286">DE76+CX76</f>
        <v>7.3591816299180754E-2</v>
      </c>
      <c r="DG76" s="80" t="str" cm="1">
        <f t="array" ref="DG76">IF(ISBLANK(INDEX(FX_Input,$KB76+1,DG$85)),INDEX(FX_Input,$KB76,DG$85),INDEX(FX_Input,$KB76,DG$85)&amp;" &amp; "&amp;INDEX(FX_Input,$KB76+1,DG$85))</f>
        <v>Jet kerosene</v>
      </c>
      <c r="DH76" s="63" cm="1">
        <f t="array" ref="DH76">INDEX(FX_Temps,$KC76+7,DH$89)</f>
        <v>0</v>
      </c>
      <c r="DI76" s="63" cm="1">
        <f t="array" ref="DI76">INDEX(FX_Temps,$KC76+13,DI$89)+459.6</f>
        <v>516.55000000000007</v>
      </c>
      <c r="DJ76" s="63" cm="1">
        <f t="array" ref="DJ76">INDEX(FX_Vap,$KG76,DJ$91)-INDEX(FX_Vap,$KH76,DJ$91)</f>
        <v>0</v>
      </c>
      <c r="DK76" s="73" cm="1">
        <f t="array" ref="DK76">IF(DG76="Out of Service",0,INDEX(FX_Vap,$KI76,DK$91))</f>
        <v>7.4199539958878279E-3</v>
      </c>
      <c r="DL76" s="63">
        <f t="shared" ref="DL76:DL77" si="287">IF(DH76/DI76+(DJ76-$E76)/(14.7-DK76)&lt;0,0,DH76/DI76+(DJ76-$E76)/(14.7-DK76))</f>
        <v>0</v>
      </c>
      <c r="DM76" s="63">
        <f t="shared" ref="DM76:DM77" si="288">1/(1+0.053*DK76*$H76)</f>
        <v>0.99820489414143831</v>
      </c>
      <c r="DN76" s="63" cm="1">
        <f t="array" ref="DN76">INDEX(FX_Vap,$KJ76,DN$91)</f>
        <v>130</v>
      </c>
      <c r="DO76" s="63" cm="1">
        <f t="array" ref="DO76">INDEX(FX_Temps,$KD76,DO$89)+459.6</f>
        <v>516.55000000000007</v>
      </c>
      <c r="DP76" s="63">
        <f t="shared" ref="DP76:DP77" si="289">(DN76*DK76)/(10.731*DO76)</f>
        <v>1.7401713099147103E-4</v>
      </c>
      <c r="DQ76" s="63" cm="1">
        <f t="array" ref="DQ76">INDEX(Month_Ref,DQ$83,3)*DL76*(PI()/4*$F76^2)*$H76*DM76*DP76</f>
        <v>0</v>
      </c>
      <c r="DR76" s="63" cm="1">
        <f t="array" ref="DR76">INDEX(FX_Input,$KB76,DR$85)</f>
        <v>85</v>
      </c>
      <c r="DS76" s="63">
        <f t="shared" ref="DS76:DS77" si="290">5.614*DR76</f>
        <v>477.19</v>
      </c>
      <c r="DT76" s="63">
        <f t="shared" ref="DT76:DT77" si="291">(DS76/(PI()/4*$F76^2))/(($G76-1)-1)</f>
        <v>1.7713620360121642</v>
      </c>
      <c r="DU76" s="63">
        <f t="shared" ref="DU76:DU77" si="292">IF(DT76&gt;36,(180+DT76)/(6*DT76),1)</f>
        <v>1</v>
      </c>
      <c r="DV76" s="63" cm="1">
        <f t="array" ref="DV76">IF(OR(INDEX(FX_Vap,$KK76,DV$90)="Crude Oil",(INDEX(FX_Vap,$KL76,DV$90)="Crude Oil")),0.75,1)</f>
        <v>1</v>
      </c>
      <c r="DW76" s="63">
        <f t="shared" si="113"/>
        <v>1</v>
      </c>
      <c r="DX76" s="63">
        <f t="shared" ref="DX76:DX77" si="293">DS76*DU76*DV76*DP76*DW76</f>
        <v>8.3039234737820058E-2</v>
      </c>
      <c r="DY76" s="64">
        <f t="shared" ref="DY76:DY77" si="294">DX76+DQ76</f>
        <v>8.3039234737820058E-2</v>
      </c>
      <c r="DZ76" s="80" t="str" cm="1">
        <f t="array" ref="DZ76">IF(ISBLANK(INDEX(FX_Input,$KB76+1,DZ$85)),INDEX(FX_Input,$KB76,DZ$85),INDEX(FX_Input,$KB76,DZ$85)&amp;" &amp; "&amp;INDEX(FX_Input,$KB76+1,DZ$85))</f>
        <v>Jet kerosene</v>
      </c>
      <c r="EA76" s="63" cm="1">
        <f t="array" ref="EA76">INDEX(FX_Temps,$KC76+7,EA$89)</f>
        <v>0</v>
      </c>
      <c r="EB76" s="63" cm="1">
        <f t="array" ref="EB76">INDEX(FX_Temps,$KC76+13,EB$89)+459.6</f>
        <v>520.04999999999995</v>
      </c>
      <c r="EC76" s="63" cm="1">
        <f t="array" ref="EC76">INDEX(FX_Vap,$KG76,EC$91)-INDEX(FX_Vap,$KH76,EC$91)</f>
        <v>0</v>
      </c>
      <c r="ED76" s="73" cm="1">
        <f t="array" ref="ED76">IF(DZ76="Out of Service",0,INDEX(FX_Vap,$KI76,ED$91))</f>
        <v>8.3358107202842254E-3</v>
      </c>
      <c r="EE76" s="63">
        <f t="shared" ref="EE76:EE77" si="295">IF(EA76/EB76+(EC76-$E76)/(14.7-ED76)&lt;0,0,EA76/EB76+(EC76-$E76)/(14.7-ED76))</f>
        <v>0</v>
      </c>
      <c r="EF76" s="63">
        <f t="shared" ref="EF76:EF77" si="296">1/(1+0.053*ED76*$H76)</f>
        <v>0.99798376811198597</v>
      </c>
      <c r="EG76" s="63" cm="1">
        <f t="array" ref="EG76">INDEX(FX_Vap,$KJ76,EG$91)</f>
        <v>130</v>
      </c>
      <c r="EH76" s="63" cm="1">
        <f t="array" ref="EH76">INDEX(FX_Temps,$KD76,EH$89)+459.6</f>
        <v>520.04999999999995</v>
      </c>
      <c r="EI76" s="63">
        <f t="shared" ref="EI76:EI77" si="297">(EG76*ED76)/(10.731*EH76)</f>
        <v>1.9418062801892895E-4</v>
      </c>
      <c r="EJ76" s="63" cm="1">
        <f t="array" ref="EJ76">INDEX(Month_Ref,EJ$83,3)*EE76*(PI()/4*$F76^2)*$H76*EF76*EI76</f>
        <v>0</v>
      </c>
      <c r="EK76" s="63" cm="1">
        <f t="array" ref="EK76">INDEX(FX_Input,$KB76,EK$85)</f>
        <v>85</v>
      </c>
      <c r="EL76" s="63">
        <f t="shared" ref="EL76:EL77" si="298">5.614*EK76</f>
        <v>477.19</v>
      </c>
      <c r="EM76" s="63">
        <f t="shared" ref="EM76:EM77" si="299">(EL76/(PI()/4*$F76^2))/(($G76-1)-1)</f>
        <v>1.7713620360121642</v>
      </c>
      <c r="EN76" s="63">
        <f t="shared" ref="EN76:EN77" si="300">IF(EM76&gt;36,(180+EM76)/(6*EM76),1)</f>
        <v>1</v>
      </c>
      <c r="EO76" s="63" cm="1">
        <f t="array" ref="EO76">IF(OR(INDEX(FX_Vap,$KK76,EO$90)="Crude Oil",(INDEX(FX_Vap,$KL76,EO$90)="Crude Oil")),0.75,1)</f>
        <v>1</v>
      </c>
      <c r="EP76" s="63">
        <f t="shared" si="114"/>
        <v>1</v>
      </c>
      <c r="EQ76" s="63">
        <f t="shared" ref="EQ76:EQ77" si="301">EL76*EN76*EO76*EI76*EP76</f>
        <v>9.2661053884352709E-2</v>
      </c>
      <c r="ER76" s="64">
        <f t="shared" ref="ER76:ER77" si="302">EQ76+EJ76</f>
        <v>9.2661053884352709E-2</v>
      </c>
      <c r="ES76" s="80" t="str" cm="1">
        <f t="array" ref="ES76">IF(ISBLANK(INDEX(FX_Input,$KB76+1,ES$85)),INDEX(FX_Input,$KB76,ES$85),INDEX(FX_Input,$KB76,ES$85)&amp;" &amp; "&amp;INDEX(FX_Input,$KB76+1,ES$85))</f>
        <v>Jet kerosene</v>
      </c>
      <c r="ET76" s="63" cm="1">
        <f t="array" ref="ET76">INDEX(FX_Temps,$KC76+7,ET$89)</f>
        <v>0</v>
      </c>
      <c r="EU76" s="63" cm="1">
        <f t="array" ref="EU76">INDEX(FX_Temps,$KC76+13,EU$89)+459.6</f>
        <v>520.5</v>
      </c>
      <c r="EV76" s="63" cm="1">
        <f t="array" ref="EV76">INDEX(FX_Vap,$KG76,EV$91)-INDEX(FX_Vap,$KH76,EV$91)</f>
        <v>0</v>
      </c>
      <c r="EW76" s="73" cm="1">
        <f t="array" ref="EW76">IF(ES76="Out of Service",0,INDEX(FX_Vap,$KI76,EW$91))</f>
        <v>8.4605262729351115E-3</v>
      </c>
      <c r="EX76" s="63">
        <f t="shared" ref="EX76:EX77" si="303">IF(ET76/EU76+(EV76-$E76)/(14.7-EW76)&lt;0,0,ET76/EU76+(EV76-$E76)/(14.7-EW76))</f>
        <v>0</v>
      </c>
      <c r="EY76" s="63">
        <f t="shared" ref="EY76:EY77" si="304">1/(1+0.053*EW76*$H76)</f>
        <v>0.99795366415206466</v>
      </c>
      <c r="EZ76" s="63" cm="1">
        <f t="array" ref="EZ76">INDEX(FX_Vap,$KJ76,EZ$91)</f>
        <v>130</v>
      </c>
      <c r="FA76" s="63" cm="1">
        <f t="array" ref="FA76">INDEX(FX_Temps,$KD76,FA$89)+459.6</f>
        <v>520.5</v>
      </c>
      <c r="FB76" s="63">
        <f t="shared" ref="FB76:FB77" si="305">(EZ76*EW76)/(10.731*FA76)</f>
        <v>1.969154544366044E-4</v>
      </c>
      <c r="FC76" s="63" cm="1">
        <f t="array" ref="FC76">INDEX(Month_Ref,FC$83,3)*EX76*(PI()/4*$F76^2)*$H76*EY76*FB76</f>
        <v>0</v>
      </c>
      <c r="FD76" s="63" cm="1">
        <f t="array" ref="FD76">INDEX(FX_Input,$KB76,FD$85)</f>
        <v>85</v>
      </c>
      <c r="FE76" s="63">
        <f t="shared" ref="FE76:FE77" si="306">5.614*FD76</f>
        <v>477.19</v>
      </c>
      <c r="FF76" s="63">
        <f t="shared" ref="FF76:FF77" si="307">(FE76/(PI()/4*$F76^2))/(($G76-1)-1)</f>
        <v>1.7713620360121642</v>
      </c>
      <c r="FG76" s="63">
        <f t="shared" ref="FG76:FG77" si="308">IF(FF76&gt;36,(180+FF76)/(6*FF76),1)</f>
        <v>1</v>
      </c>
      <c r="FH76" s="63" cm="1">
        <f t="array" ref="FH76">IF(OR(INDEX(FX_Vap,$KK76,FH$90)="Crude Oil",(INDEX(FX_Vap,$KL76,FH$90)="Crude Oil")),0.75,1)</f>
        <v>1</v>
      </c>
      <c r="FI76" s="63">
        <f t="shared" si="115"/>
        <v>1</v>
      </c>
      <c r="FJ76" s="63">
        <f t="shared" ref="FJ76:FJ77" si="309">FE76*FG76*FH76*FB76*FI76</f>
        <v>9.3966085702603258E-2</v>
      </c>
      <c r="FK76" s="64">
        <f t="shared" ref="FK76:FK77" si="310">FJ76+FC76</f>
        <v>9.3966085702603258E-2</v>
      </c>
      <c r="FL76" s="80" t="str" cm="1">
        <f t="array" ref="FL76">IF(ISBLANK(INDEX(FX_Input,$KB76+1,FL$85)),INDEX(FX_Input,$KB76,FL$85),INDEX(FX_Input,$KB76,FL$85)&amp;" &amp; "&amp;INDEX(FX_Input,$KB76+1,FL$85))</f>
        <v>Jet kerosene</v>
      </c>
      <c r="FM76" s="63" cm="1">
        <f t="array" ref="FM76">INDEX(FX_Temps,$KC76+7,FM$89)</f>
        <v>0</v>
      </c>
      <c r="FN76" s="63" cm="1">
        <f t="array" ref="FN76">INDEX(FX_Temps,$KC76+13,FN$89)+459.6</f>
        <v>518.20000000000005</v>
      </c>
      <c r="FO76" s="63" cm="1">
        <f t="array" ref="FO76">INDEX(FX_Vap,$KG76,FO$91)-INDEX(FX_Vap,$KH76,FO$91)</f>
        <v>0</v>
      </c>
      <c r="FP76" s="73" cm="1">
        <f t="array" ref="FP76">IF(FL76="Out of Service",0,INDEX(FX_Vap,$KI76,FP$91))</f>
        <v>7.8399882233967533E-3</v>
      </c>
      <c r="FQ76" s="63">
        <f t="shared" ref="FQ76:FQ77" si="311">IF(FM76/FN76+(FO76-$E76)/(14.7-FP76)&lt;0,0,FM76/FN76+(FO76-$E76)/(14.7-FP76))</f>
        <v>0</v>
      </c>
      <c r="FR76" s="63">
        <f t="shared" ref="FR76:FR77" si="312">1/(1+0.053*FP76*$H76)</f>
        <v>0.998103468188281</v>
      </c>
      <c r="FS76" s="63" cm="1">
        <f t="array" ref="FS76">INDEX(FX_Vap,$KJ76,FS$91)</f>
        <v>130</v>
      </c>
      <c r="FT76" s="63" cm="1">
        <f t="array" ref="FT76">INDEX(FX_Temps,$KD76,FT$89)+459.6</f>
        <v>518.20000000000005</v>
      </c>
      <c r="FU76" s="63">
        <f t="shared" ref="FU76:FU77" si="313">(FS76*FP76)/(10.731*FT76)</f>
        <v>1.8328256712249962E-4</v>
      </c>
      <c r="FV76" s="63" cm="1">
        <f t="array" ref="FV76">INDEX(Month_Ref,FV$83,3)*FQ76*(PI()/4*$F76^2)*$H76*FR76*FU76</f>
        <v>0</v>
      </c>
      <c r="FW76" s="63" cm="1">
        <f t="array" ref="FW76">INDEX(FX_Input,$KB76,FW$85)</f>
        <v>85</v>
      </c>
      <c r="FX76" s="63">
        <f t="shared" ref="FX76:FX77" si="314">5.614*FW76</f>
        <v>477.19</v>
      </c>
      <c r="FY76" s="63">
        <f t="shared" ref="FY76:FY77" si="315">(FX76/(PI()/4*$F76^2))/(($G76-1)-1)</f>
        <v>1.7713620360121642</v>
      </c>
      <c r="FZ76" s="63">
        <f t="shared" ref="FZ76:FZ77" si="316">IF(FY76&gt;36,(180+FY76)/(6*FY76),1)</f>
        <v>1</v>
      </c>
      <c r="GA76" s="63" cm="1">
        <f t="array" ref="GA76">IF(OR(INDEX(FX_Vap,$KK76,GA$90)="Crude Oil",(INDEX(FX_Vap,$KL76,GA$90)="Crude Oil")),0.75,1)</f>
        <v>1</v>
      </c>
      <c r="GB76" s="63">
        <f t="shared" si="116"/>
        <v>1</v>
      </c>
      <c r="GC76" s="63">
        <f t="shared" ref="GC76:GC77" si="317">FX76*FZ76*GA76*FU76*GB76</f>
        <v>8.74606082051856E-2</v>
      </c>
      <c r="GD76" s="64">
        <f t="shared" ref="GD76:GD77" si="318">GC76+FV76</f>
        <v>8.74606082051856E-2</v>
      </c>
      <c r="GE76" s="80" t="str" cm="1">
        <f t="array" ref="GE76">IF(ISBLANK(INDEX(FX_Input,$KB76+1,GE$85)),INDEX(FX_Input,$KB76,GE$85),INDEX(FX_Input,$KB76,GE$85)&amp;" &amp; "&amp;INDEX(FX_Input,$KB76+1,GE$85))</f>
        <v>Jet kerosene</v>
      </c>
      <c r="GF76" s="63" cm="1">
        <f t="array" ref="GF76">INDEX(FX_Temps,$KC76+7,GF$89)</f>
        <v>0</v>
      </c>
      <c r="GG76" s="63" cm="1">
        <f t="array" ref="GG76">INDEX(FX_Temps,$KC76+13,GG$89)+459.6</f>
        <v>512.25</v>
      </c>
      <c r="GH76" s="63" cm="1">
        <f t="array" ref="GH76">INDEX(FX_Vap,$KG76,GH$91)-INDEX(FX_Vap,$KH76,GH$91)</f>
        <v>0</v>
      </c>
      <c r="GI76" s="73" cm="1">
        <f t="array" ref="GI76">IF(GE76="Out of Service",0,INDEX(FX_Vap,$KI76,GI$91))</f>
        <v>6.4173462075160911E-3</v>
      </c>
      <c r="GJ76" s="63">
        <f t="shared" ref="GJ76:GJ77" si="319">IF(GF76/GG76+(GH76-$E76)/(14.7-GI76)&lt;0,0,GF76/GG76+(GH76-$E76)/(14.7-GI76))</f>
        <v>0</v>
      </c>
      <c r="GK76" s="63">
        <f t="shared" ref="GK76:GK77" si="320">1/(1+0.053*GI76*$H76)</f>
        <v>0.99844707787822651</v>
      </c>
      <c r="GL76" s="63" cm="1">
        <f t="array" ref="GL76">INDEX(FX_Vap,$KJ76,GL$91)</f>
        <v>130</v>
      </c>
      <c r="GM76" s="63" cm="1">
        <f t="array" ref="GM76">INDEX(FX_Temps,$KD76,GM$89)+459.6</f>
        <v>512.25</v>
      </c>
      <c r="GN76" s="63">
        <f t="shared" ref="GN76:GN77" si="321">(GL76*GI76)/(10.731*GM76)</f>
        <v>1.5176675903637226E-4</v>
      </c>
      <c r="GO76" s="63" cm="1">
        <f t="array" ref="GO76">INDEX(Month_Ref,GO$83,3)*GJ76*(PI()/4*$F76^2)*$H76*GK76*GN76</f>
        <v>0</v>
      </c>
      <c r="GP76" s="63" cm="1">
        <f t="array" ref="GP76">INDEX(FX_Input,$KB76,GP$85)</f>
        <v>85</v>
      </c>
      <c r="GQ76" s="63">
        <f t="shared" ref="GQ76:GQ77" si="322">5.614*GP76</f>
        <v>477.19</v>
      </c>
      <c r="GR76" s="63">
        <f t="shared" ref="GR76:GR77" si="323">(GQ76/(PI()/4*$F76^2))/(($G76-1)-1)</f>
        <v>1.7713620360121642</v>
      </c>
      <c r="GS76" s="63">
        <f t="shared" ref="GS76:GS77" si="324">IF(GR76&gt;36,(180+GR76)/(6*GR76),1)</f>
        <v>1</v>
      </c>
      <c r="GT76" s="63" cm="1">
        <f t="array" ref="GT76">IF(OR(INDEX(FX_Vap,$KK76,GT$90)="Crude Oil",(INDEX(FX_Vap,$KL76,GT$90)="Crude Oil")),0.75,1)</f>
        <v>1</v>
      </c>
      <c r="GU76" s="63">
        <f t="shared" si="117"/>
        <v>1</v>
      </c>
      <c r="GV76" s="63">
        <f t="shared" ref="GV76:GV77" si="325">GQ76*GS76*GT76*GN76*GU76</f>
        <v>7.2421579744566478E-2</v>
      </c>
      <c r="GW76" s="64">
        <f t="shared" ref="GW76:GW77" si="326">GV76+GO76</f>
        <v>7.2421579744566478E-2</v>
      </c>
      <c r="GX76" s="80" t="str" cm="1">
        <f t="array" ref="GX76">IF(ISBLANK(INDEX(FX_Input,$KB76+1,GX$85)),INDEX(FX_Input,$KB76,GX$85),INDEX(FX_Input,$KB76,GX$85)&amp;" &amp; "&amp;INDEX(FX_Input,$KB76+1,GX$85))</f>
        <v>Jet kerosene</v>
      </c>
      <c r="GY76" s="63" cm="1">
        <f t="array" ref="GY76">INDEX(FX_Temps,$KC76+7,GY$89)</f>
        <v>0</v>
      </c>
      <c r="GZ76" s="63" cm="1">
        <f t="array" ref="GZ76">INDEX(FX_Temps,$KC76+13,GZ$89)+459.6</f>
        <v>506.70000000000005</v>
      </c>
      <c r="HA76" s="63" cm="1">
        <f t="array" ref="HA76">INDEX(FX_Vap,$KG76,HA$91)-INDEX(FX_Vap,$KH76,HA$91)</f>
        <v>0</v>
      </c>
      <c r="HB76" s="73" cm="1">
        <f t="array" ref="HB76">IF(GX76="Out of Service",0,INDEX(FX_Vap,$KI76,HB$91))</f>
        <v>5.3015226887581056E-3</v>
      </c>
      <c r="HC76" s="63">
        <f t="shared" ref="HC76:HC77" si="327">IF(GY76/GZ76+(HA76-$E76)/(14.7-HB76)&lt;0,0,GY76/GZ76+(HA76-$E76)/(14.7-HB76))</f>
        <v>0</v>
      </c>
      <c r="HD76" s="63">
        <f t="shared" ref="HD76:HD77" si="328">1/(1+0.053*HB76*$H76)</f>
        <v>0.99871674751534079</v>
      </c>
      <c r="HE76" s="63" cm="1">
        <f t="array" ref="HE76">INDEX(FX_Vap,$KJ76,HE$91)</f>
        <v>130</v>
      </c>
      <c r="HF76" s="63" cm="1">
        <f t="array" ref="HF76">INDEX(FX_Temps,$KD76,HF$89)+459.6</f>
        <v>506.70000000000005</v>
      </c>
      <c r="HG76" s="63">
        <f t="shared" ref="HG76:HG77" si="329">(HE76*HB76)/(10.731*HF76)</f>
        <v>1.2675143286623188E-4</v>
      </c>
      <c r="HH76" s="63" cm="1">
        <f t="array" ref="HH76">INDEX(Month_Ref,HH$83,3)*HC76*(PI()/4*$F76^2)*$H76*HD76*HG76</f>
        <v>0</v>
      </c>
      <c r="HI76" s="63" cm="1">
        <f t="array" ref="HI76">INDEX(FX_Input,$KB76,HI$85)</f>
        <v>85</v>
      </c>
      <c r="HJ76" s="63">
        <f t="shared" ref="HJ76:HJ77" si="330">5.614*HI76</f>
        <v>477.19</v>
      </c>
      <c r="HK76" s="63">
        <f t="shared" ref="HK76:HK77" si="331">(HJ76/(PI()/4*$F76^2))/(($G76-1)-1)</f>
        <v>1.7713620360121642</v>
      </c>
      <c r="HL76" s="63">
        <f t="shared" ref="HL76:HL77" si="332">IF(HK76&gt;36,(180+HK76)/(6*HK76),1)</f>
        <v>1</v>
      </c>
      <c r="HM76" s="63" cm="1">
        <f t="array" ref="HM76">IF(OR(INDEX(FX_Vap,$KK76,HM$90)="Crude Oil",(INDEX(FX_Vap,$KL76,HM$90)="Crude Oil")),0.75,1)</f>
        <v>1</v>
      </c>
      <c r="HN76" s="63">
        <f t="shared" si="118"/>
        <v>1</v>
      </c>
      <c r="HO76" s="63">
        <f t="shared" ref="HO76:HO77" si="333">HJ76*HL76*HM76*HG76*HN76</f>
        <v>6.0484516249437188E-2</v>
      </c>
      <c r="HP76" s="64">
        <f t="shared" ref="HP76:HP77" si="334">HO76+HH76</f>
        <v>6.0484516249437188E-2</v>
      </c>
      <c r="HQ76" s="80" t="str" cm="1">
        <f t="array" ref="HQ76">IF(ISBLANK(INDEX(FX_Input,$KB76+1,HQ$85)),INDEX(FX_Input,$KB76,HQ$85),INDEX(FX_Input,$KB76,HQ$85)&amp;" &amp; "&amp;INDEX(FX_Input,$KB76+1,HQ$85))</f>
        <v>Jet kerosene</v>
      </c>
      <c r="HR76" s="63" cm="1">
        <f t="array" ref="HR76">INDEX(FX_Temps,$KC76+7,HR$89)</f>
        <v>0</v>
      </c>
      <c r="HS76" s="63" cm="1">
        <f t="array" ref="HS76">INDEX(FX_Temps,$KC76+13,HS$89)+459.6</f>
        <v>503.20000000000005</v>
      </c>
      <c r="HT76" s="63" cm="1">
        <f t="array" ref="HT76">INDEX(FX_Vap,$KG76,HT$91)-INDEX(FX_Vap,$KH76,HT$91)</f>
        <v>0</v>
      </c>
      <c r="HU76" s="73" cm="1">
        <f t="array" ref="HU76">IF(HQ76="Out of Service",0,INDEX(FX_Vap,$KI76,HU$91))</f>
        <v>4.68970903600947E-3</v>
      </c>
      <c r="HV76" s="63">
        <f t="shared" ref="HV76:HV77" si="335">IF(HR76/HS76+(HT76-$E76)/(14.7-HU76)&lt;0,0,HR76/HS76+(HT76-$E76)/(14.7-HU76))</f>
        <v>0</v>
      </c>
      <c r="HW76" s="63">
        <f t="shared" ref="HW76:HW77" si="336">1/(1+0.053*HU76*$H76)</f>
        <v>0.99886467106040433</v>
      </c>
      <c r="HX76" s="63" cm="1">
        <f t="array" ref="HX76">INDEX(FX_Vap,$KJ76,HX$91)</f>
        <v>130</v>
      </c>
      <c r="HY76" s="63" cm="1">
        <f t="array" ref="HY76">INDEX(FX_Temps,$KD76,HY$89)+459.6</f>
        <v>503.20000000000005</v>
      </c>
      <c r="HZ76" s="63">
        <f t="shared" ref="HZ76:HZ77" si="337">(HX76*HU76)/(10.731*HY76)</f>
        <v>1.1290376474196325E-4</v>
      </c>
      <c r="IA76" s="63" cm="1">
        <f t="array" ref="IA76">INDEX(Month_Ref,IA$83,3)*HV76*(PI()/4*$F76^2)*$H76*HW76*HZ76</f>
        <v>0</v>
      </c>
      <c r="IB76" s="63" cm="1">
        <f t="array" ref="IB76">INDEX(FX_Input,$KB76,IB$85)</f>
        <v>85</v>
      </c>
      <c r="IC76" s="63">
        <f t="shared" ref="IC76:IC77" si="338">5.614*IB76</f>
        <v>477.19</v>
      </c>
      <c r="ID76" s="63">
        <f t="shared" ref="ID76:ID77" si="339">(IC76/(PI()/4*$F76^2))/(($G76-1)-1)</f>
        <v>1.7713620360121642</v>
      </c>
      <c r="IE76" s="63">
        <f t="shared" ref="IE76:IE77" si="340">IF(ID76&gt;36,(180+ID76)/(6*ID76),1)</f>
        <v>1</v>
      </c>
      <c r="IF76" s="63" cm="1">
        <f t="array" ref="IF76">IF(OR(INDEX(FX_Vap,$KK76,IF$90)="Crude Oil",(INDEX(FX_Vap,$KL76,IF$90)="Crude Oil")),0.75,1)</f>
        <v>1</v>
      </c>
      <c r="IG76" s="63">
        <f t="shared" si="119"/>
        <v>1</v>
      </c>
      <c r="IH76" s="63">
        <f t="shared" ref="IH76:IH77" si="341">IC76*IE76*IF76*HZ76*IG76</f>
        <v>5.3876547497217445E-2</v>
      </c>
      <c r="II76" s="64">
        <f t="shared" ref="II76:II77" si="342">IH76+IA76</f>
        <v>5.3876547497217445E-2</v>
      </c>
      <c r="IJ76" s="80">
        <f t="shared" ref="IJ76:IJ77" si="343">Z76+AS76+BL76+CE76+CX76+DQ76+EJ76+FC76+FV76+GO76+HH76+IA76</f>
        <v>0</v>
      </c>
      <c r="IK76" s="63">
        <f t="shared" ref="IK76:IK77" si="344">IJ76/2000</f>
        <v>0</v>
      </c>
      <c r="IL76" s="63">
        <f t="shared" ref="IL76:IL77" si="345">AG76+AZ76+BS76+CL76+DE76+DX76+EQ76+FJ76+GC76+GV76+HO76+IH76</f>
        <v>0.84985486005943878</v>
      </c>
      <c r="IM76" s="63">
        <f t="shared" ref="IM76:IM77" si="346">IL76/2000</f>
        <v>4.2492743002971937E-4</v>
      </c>
      <c r="IN76" s="63">
        <f t="shared" ref="IN76:IN77" si="347">AH76+BA76+BT76+CM76+DF76+DY76+ER76+FK76+GD76+GW76+HP76+II76</f>
        <v>0.84985486005943878</v>
      </c>
      <c r="IO76" s="64">
        <f t="shared" ref="IO76:IO77" si="348">IN76/2000</f>
        <v>4.2492743002971937E-4</v>
      </c>
      <c r="KB76" s="43">
        <f t="shared" si="120"/>
        <v>131</v>
      </c>
      <c r="KC76" s="43">
        <f t="shared" si="121"/>
        <v>911</v>
      </c>
      <c r="KD76" s="43">
        <f t="shared" si="122"/>
        <v>924</v>
      </c>
      <c r="KE76" s="43">
        <f t="shared" si="123"/>
        <v>911</v>
      </c>
      <c r="KF76" s="43">
        <f t="shared" ref="KF76:KJ76" si="349">KF75+34</f>
        <v>2211</v>
      </c>
      <c r="KG76" s="43">
        <f t="shared" si="349"/>
        <v>2234</v>
      </c>
      <c r="KH76" s="43">
        <f t="shared" si="349"/>
        <v>2229</v>
      </c>
      <c r="KI76" s="43">
        <f t="shared" si="349"/>
        <v>2239</v>
      </c>
      <c r="KJ76" s="43">
        <f t="shared" si="349"/>
        <v>2244</v>
      </c>
      <c r="KK76" s="43">
        <f t="shared" si="127"/>
        <v>2215</v>
      </c>
      <c r="KL76" s="43">
        <f t="shared" si="128"/>
        <v>2217</v>
      </c>
    </row>
    <row r="77" spans="2:298" x14ac:dyDescent="0.4">
      <c r="B77" s="43" t="str" cm="1">
        <f t="array" ref="B77">INDEX(FX_Input,$KB77,B$85)</f>
        <v>FX - 67</v>
      </c>
      <c r="C77" s="93" t="str" cm="1">
        <f t="array" ref="C77">INDEX(FX_Input,$KB77,C$85)</f>
        <v>FIXTANK 317</v>
      </c>
      <c r="D77" s="80">
        <f t="shared" si="244"/>
        <v>695.40462384149066</v>
      </c>
      <c r="E77" s="63" cm="1">
        <f t="array" ref="E77">IF(ISBLANK(INDEX(FX_Input,$KB77,$E$85)),0.03,INDEX(FX_Input,$KB77,$E$85))-IF(ISBLANK(INDEX(FX_Input,$KB77,$E$86)),-0.03,INDEX(FX_Input,$KB77,$E$86))</f>
        <v>0.06</v>
      </c>
      <c r="F77" s="63" cm="1">
        <f t="array" ref="F77">IF(INDEX(FX_Input,$KB77,F$85)="Vertical",INDEX(FX_Input,$KB77,F$86),SQRT((INDEX(FX_Input,$KB77,F$86)*INDEX(FX_Input,$KB77,F$87))/(PI()/4)))</f>
        <v>10</v>
      </c>
      <c r="G77" s="63" cm="1">
        <f t="array" ref="G77">IF(INDEX(FX_Input,$KB77,G$85)="Vertical",INDEX(FX_Input,$KB77,G$86),INDEX(FX_Input,$KB77,G$87)*PI()/4)</f>
        <v>17.5</v>
      </c>
      <c r="H77" s="63" cm="1">
        <f t="array" ref="H77">IF(INDEX(FX_Input,$KB77,H$85)="Vertical",G77-G77/2+J77,G77/2)</f>
        <v>8.8541666666666661</v>
      </c>
      <c r="I77" s="63" cm="1">
        <f t="array" ref="I77">IF(INDEX(FX_Input,$KB77,F$85)="Horizontal","N/A",IF(INDEX(FX_Input,$KB77,I$86)="Cone",IF(ISBLANK(INDEX(FX_Input,$KB77,I$87)),0.0625,INDEX(FX_Input,$KB77,I$87))*F77/2,F77/2-SQRT((F77/2)^2-(INDEX(FX_Input,$KB77,I$88)^2))))</f>
        <v>0.3125</v>
      </c>
      <c r="J77" s="63" cm="1">
        <f t="array" ref="J77">IF(INDEX(FX_Input,$KB77,J$85)="Horizontal","N/A",IF(INDEX(FX_Input,$KB77,J$86)="Cone",I77/3,I77*(1/2+(1/6)*(I77/(F77/2))^2)))</f>
        <v>0.10416666666666667</v>
      </c>
      <c r="K77" s="63">
        <f t="shared" si="245"/>
        <v>16.5</v>
      </c>
      <c r="L77" s="63">
        <v>11</v>
      </c>
      <c r="M77" s="63" t="str" cm="1">
        <f t="array" ref="M77">INDEX(Tbl_71_6,MATCH(INDEX(FX_Input,$KB77,M$85),Paint_Color,0),VLOOKUP(INDEX(FX_Input,$KB77,M$86),Paint_Cond_Column,2,FALSE))</f>
        <v>N/A</v>
      </c>
      <c r="N77" s="63" t="str" cm="1">
        <f t="array" ref="N77">INDEX(Tbl_71_6,MATCH(INDEX(FX_Input,$KB77,N$85),Paint_Color,0),VLOOKUP(INDEX(FX_Input,$KB77,N$86),Paint_Cond_Column,2,FALSE))</f>
        <v>N/A</v>
      </c>
      <c r="O77" s="64" t="str">
        <f t="shared" si="246"/>
        <v>Insulated</v>
      </c>
      <c r="P77" s="80" t="str" cm="1">
        <f t="array" ref="P77">IF(ISBLANK(INDEX(FX_Input,$KB77+1,P$85)),INDEX(FX_Input,$KB77,P$85),INDEX(FX_Input,$KB77,P$85)&amp;" &amp; "&amp;INDEX(FX_Input,$KB77+1,P$85))</f>
        <v>Jet kerosene</v>
      </c>
      <c r="Q77" s="63" cm="1">
        <f t="array" ref="Q77">INDEX(FX_Temps,$KC77+7,Q$89)</f>
        <v>0</v>
      </c>
      <c r="R77" s="63" cm="1">
        <f t="array" ref="R77">INDEX(FX_Temps,$KC77+13,R$89)+459.6</f>
        <v>503.5</v>
      </c>
      <c r="S77" s="63" cm="1">
        <f t="array" ref="S77">INDEX(FX_Vap,$KG77,S$91)-INDEX(FX_Vap,$KH77,S$91)</f>
        <v>0</v>
      </c>
      <c r="T77" s="73" cm="1">
        <f t="array" ref="T77">IF(P77="Out of Service",0,INDEX(FX_Vap,$KI77,T$91))</f>
        <v>4.739577185808354E-3</v>
      </c>
      <c r="U77" s="63">
        <f t="shared" si="247"/>
        <v>0</v>
      </c>
      <c r="V77" s="63">
        <f t="shared" si="248"/>
        <v>0.99778079050880664</v>
      </c>
      <c r="W77" s="63" cm="1">
        <f t="array" ref="W77">INDEX(FX_Vap,$KJ77,W$91)</f>
        <v>130</v>
      </c>
      <c r="X77" s="63" cm="1">
        <f t="array" ref="X77">INDEX(FX_Temps,$KD77,X$89)+459.6</f>
        <v>503.5</v>
      </c>
      <c r="Y77" s="63">
        <f t="shared" si="249"/>
        <v>1.1403634333314844E-4</v>
      </c>
      <c r="Z77" s="63" cm="1">
        <f t="array" ref="Z77">INDEX(Month_Ref,Z$83,3)*U77*(PI()/4*$F77^2)*$H77*V77*Y77</f>
        <v>0</v>
      </c>
      <c r="AA77" s="63" cm="1">
        <f t="array" ref="AA77">INDEX(FX_Input,$KB77,AA$85)</f>
        <v>250</v>
      </c>
      <c r="AB77" s="63">
        <f t="shared" si="250"/>
        <v>1403.5</v>
      </c>
      <c r="AC77" s="63">
        <f t="shared" si="251"/>
        <v>1.1528978716360005</v>
      </c>
      <c r="AD77" s="63">
        <f t="shared" si="252"/>
        <v>1</v>
      </c>
      <c r="AE77" s="63" cm="1">
        <f t="array" ref="AE77">IF(OR(INDEX(FX_Vap,$KK77,AE$90)="Crude Oil",(INDEX(FX_Vap,$KL77,AE$90)="Crude Oil")),0.75,1)</f>
        <v>1</v>
      </c>
      <c r="AF77" s="63">
        <f t="shared" si="108"/>
        <v>1</v>
      </c>
      <c r="AG77" s="63">
        <f t="shared" si="253"/>
        <v>0.16005000786807383</v>
      </c>
      <c r="AH77" s="64">
        <f t="shared" si="254"/>
        <v>0.16005000786807383</v>
      </c>
      <c r="AI77" s="80" t="str" cm="1">
        <f t="array" ref="AI77">IF(ISBLANK(INDEX(FX_Input,$KB77+1,AI$85)),INDEX(FX_Input,$KB77,AI$85),INDEX(FX_Input,$KB77,AI$85)&amp;" &amp; "&amp;INDEX(FX_Input,$KB77+1,AI$85))</f>
        <v>Jet kerosene</v>
      </c>
      <c r="AJ77" s="63" cm="1">
        <f t="array" ref="AJ77">INDEX(FX_Temps,$KC77+7,AJ$89)</f>
        <v>0</v>
      </c>
      <c r="AK77" s="63" cm="1">
        <f t="array" ref="AK77">INDEX(FX_Temps,$KC77+13,AK$89)+459.6</f>
        <v>504.30000000000007</v>
      </c>
      <c r="AL77" s="63" cm="1">
        <f t="array" ref="AL77">INDEX(FX_Vap,$KG77,AL$91)-INDEX(FX_Vap,$KH77,AL$91)</f>
        <v>0</v>
      </c>
      <c r="AM77" s="73" cm="1">
        <f t="array" ref="AM77">IF(AI77="Out of Service",0,INDEX(FX_Vap,$KI77,AM$91))</f>
        <v>4.8748667780818778E-3</v>
      </c>
      <c r="AN77" s="63">
        <f t="shared" si="255"/>
        <v>0</v>
      </c>
      <c r="AO77" s="63">
        <f t="shared" si="256"/>
        <v>0.99771758852400561</v>
      </c>
      <c r="AP77" s="63" cm="1">
        <f t="array" ref="AP77">INDEX(FX_Vap,$KJ77,AP$91)</f>
        <v>130</v>
      </c>
      <c r="AQ77" s="63" cm="1">
        <f t="array" ref="AQ77">INDEX(FX_Temps,$KD77,AQ$89)+459.6</f>
        <v>504.30000000000007</v>
      </c>
      <c r="AR77" s="63">
        <f t="shared" si="257"/>
        <v>1.1710540514572422E-4</v>
      </c>
      <c r="AS77" s="63" cm="1">
        <f t="array" ref="AS77">INDEX(Month_Ref,AS$83,3)*AN77*(PI()/4*$F77^2)*$H77*AO77*AR77</f>
        <v>0</v>
      </c>
      <c r="AT77" s="63" cm="1">
        <f t="array" ref="AT77">INDEX(FX_Input,$KB77,AT$85)</f>
        <v>250</v>
      </c>
      <c r="AU77" s="63">
        <f t="shared" si="258"/>
        <v>1403.5</v>
      </c>
      <c r="AV77" s="63">
        <f t="shared" si="259"/>
        <v>1.1528978716360005</v>
      </c>
      <c r="AW77" s="63">
        <f t="shared" si="260"/>
        <v>1</v>
      </c>
      <c r="AX77" s="63" cm="1">
        <f t="array" ref="AX77">IF(OR(INDEX(FX_Vap,$KK77,AX$90)="Crude Oil",(INDEX(FX_Vap,$KL77,AX$90)="Crude Oil")),0.75,1)</f>
        <v>1</v>
      </c>
      <c r="AY77" s="63">
        <f t="shared" si="109"/>
        <v>1</v>
      </c>
      <c r="AZ77" s="63">
        <f t="shared" si="261"/>
        <v>0.16435743612202394</v>
      </c>
      <c r="BA77" s="64">
        <f t="shared" si="262"/>
        <v>0.16435743612202394</v>
      </c>
      <c r="BB77" s="80" t="str" cm="1">
        <f t="array" ref="BB77">IF(ISBLANK(INDEX(FX_Input,$KB77+1,BB$85)),INDEX(FX_Input,$KB77,BB$85),INDEX(FX_Input,$KB77,BB$85)&amp;" &amp; "&amp;INDEX(FX_Input,$KB77+1,BB$85))</f>
        <v>Jet kerosene</v>
      </c>
      <c r="BC77" s="63" cm="1">
        <f t="array" ref="BC77">INDEX(FX_Temps,$KC77+7,BC$89)</f>
        <v>0</v>
      </c>
      <c r="BD77" s="63" cm="1">
        <f t="array" ref="BD77">INDEX(FX_Temps,$KC77+13,BD$89)+459.6</f>
        <v>505.70000000000005</v>
      </c>
      <c r="BE77" s="63" cm="1">
        <f t="array" ref="BE77">INDEX(FX_Vap,$KG77,BE$91)-INDEX(FX_Vap,$KH77,BE$91)</f>
        <v>0</v>
      </c>
      <c r="BF77" s="73" cm="1">
        <f t="array" ref="BF77">IF(BB77="Out of Service",0,INDEX(FX_Vap,$KI77,BF$91))</f>
        <v>5.119885034186122E-3</v>
      </c>
      <c r="BG77" s="63">
        <f t="shared" si="263"/>
        <v>0</v>
      </c>
      <c r="BH77" s="63">
        <f t="shared" si="264"/>
        <v>0.99760314599534805</v>
      </c>
      <c r="BI77" s="63" cm="1">
        <f t="array" ref="BI77">INDEX(FX_Vap,$KJ77,BI$91)</f>
        <v>130</v>
      </c>
      <c r="BJ77" s="63" cm="1">
        <f t="array" ref="BJ77">INDEX(FX_Temps,$KD77,BJ$89)+459.6</f>
        <v>505.70000000000005</v>
      </c>
      <c r="BK77" s="63">
        <f t="shared" si="265"/>
        <v>1.226508078051294E-4</v>
      </c>
      <c r="BL77" s="63" cm="1">
        <f t="array" ref="BL77">INDEX(Month_Ref,BL$83,3)*BG77*(PI()/4*$F77^2)*$H77*BH77*BK77</f>
        <v>0</v>
      </c>
      <c r="BM77" s="63" cm="1">
        <f t="array" ref="BM77">INDEX(FX_Input,$KB77,BM$85)</f>
        <v>250</v>
      </c>
      <c r="BN77" s="63">
        <f t="shared" si="266"/>
        <v>1403.5</v>
      </c>
      <c r="BO77" s="63">
        <f t="shared" si="267"/>
        <v>1.1528978716360005</v>
      </c>
      <c r="BP77" s="63">
        <f t="shared" si="268"/>
        <v>1</v>
      </c>
      <c r="BQ77" s="63" cm="1">
        <f t="array" ref="BQ77">IF(OR(INDEX(FX_Vap,$KK77,BQ$90)="Crude Oil",(INDEX(FX_Vap,$KL77,BQ$90)="Crude Oil")),0.75,1)</f>
        <v>1</v>
      </c>
      <c r="BR77" s="63">
        <f t="shared" si="110"/>
        <v>1</v>
      </c>
      <c r="BS77" s="63">
        <f t="shared" si="269"/>
        <v>0.17214040875449912</v>
      </c>
      <c r="BT77" s="64">
        <f t="shared" si="270"/>
        <v>0.17214040875449912</v>
      </c>
      <c r="BU77" s="80" t="str" cm="1">
        <f t="array" ref="BU77">IF(ISBLANK(INDEX(FX_Input,$KB77+1,BU$85)),INDEX(FX_Input,$KB77,BU$85),INDEX(FX_Input,$KB77,BU$85)&amp;" &amp; "&amp;INDEX(FX_Input,$KB77+1,BU$85))</f>
        <v>Jet kerosene</v>
      </c>
      <c r="BV77" s="63" cm="1">
        <f t="array" ref="BV77">INDEX(FX_Temps,$KC77+7,BV$89)</f>
        <v>0</v>
      </c>
      <c r="BW77" s="63" cm="1">
        <f t="array" ref="BW77">INDEX(FX_Temps,$KC77+13,BW$89)+459.6</f>
        <v>508.2</v>
      </c>
      <c r="BX77" s="63" cm="1">
        <f t="array" ref="BX77">INDEX(FX_Vap,$KG77,BX$91)-INDEX(FX_Vap,$KH77,BX$91)</f>
        <v>0</v>
      </c>
      <c r="BY77" s="73" cm="1">
        <f t="array" ref="BY77">IF(BU77="Out of Service",0,INDEX(FX_Vap,$KI77,BY$91))</f>
        <v>5.5846958573521795E-3</v>
      </c>
      <c r="BZ77" s="63">
        <f t="shared" si="271"/>
        <v>0</v>
      </c>
      <c r="CA77" s="63">
        <f t="shared" si="272"/>
        <v>0.99738611541959632</v>
      </c>
      <c r="CB77" s="63" cm="1">
        <f t="array" ref="CB77">INDEX(FX_Vap,$KJ77,CB$91)</f>
        <v>130</v>
      </c>
      <c r="CC77" s="63" cm="1">
        <f t="array" ref="CC77">INDEX(FX_Temps,$KD77,CC$89)+459.6</f>
        <v>508.2</v>
      </c>
      <c r="CD77" s="63">
        <f t="shared" si="273"/>
        <v>1.3312757561120781E-4</v>
      </c>
      <c r="CE77" s="63" cm="1">
        <f t="array" ref="CE77">INDEX(Month_Ref,CE$83,3)*BZ77*(PI()/4*$F77^2)*$H77*CA77*CD77</f>
        <v>0</v>
      </c>
      <c r="CF77" s="63" cm="1">
        <f t="array" ref="CF77">INDEX(FX_Input,$KB77,CF$85)</f>
        <v>250</v>
      </c>
      <c r="CG77" s="63">
        <f t="shared" si="274"/>
        <v>1403.5</v>
      </c>
      <c r="CH77" s="63">
        <f t="shared" si="275"/>
        <v>1.1528978716360005</v>
      </c>
      <c r="CI77" s="63">
        <f t="shared" si="276"/>
        <v>1</v>
      </c>
      <c r="CJ77" s="63" cm="1">
        <f t="array" ref="CJ77">IF(OR(INDEX(FX_Vap,$KK77,CJ$90)="Crude Oil",(INDEX(FX_Vap,$KL77,CJ$90)="Crude Oil")),0.75,1)</f>
        <v>1</v>
      </c>
      <c r="CK77" s="63">
        <f t="shared" si="111"/>
        <v>1</v>
      </c>
      <c r="CL77" s="63">
        <f t="shared" si="277"/>
        <v>0.18684455237033018</v>
      </c>
      <c r="CM77" s="64">
        <f t="shared" si="278"/>
        <v>0.18684455237033018</v>
      </c>
      <c r="CN77" s="80" t="str" cm="1">
        <f t="array" ref="CN77">IF(ISBLANK(INDEX(FX_Input,$KB77+1,CN$85)),INDEX(FX_Input,$KB77,CN$85),INDEX(FX_Input,$KB77,CN$85)&amp;" &amp; "&amp;INDEX(FX_Input,$KB77+1,CN$85))</f>
        <v>Jet kerosene</v>
      </c>
      <c r="CO77" s="63" cm="1">
        <f t="array" ref="CO77">INDEX(FX_Temps,$KC77+7,CO$89)</f>
        <v>0</v>
      </c>
      <c r="CP77" s="63" cm="1">
        <f t="array" ref="CP77">INDEX(FX_Temps,$KC77+13,CP$89)+459.6</f>
        <v>512.75</v>
      </c>
      <c r="CQ77" s="63" cm="1">
        <f t="array" ref="CQ77">INDEX(FX_Vap,$KG77,CQ$91)-INDEX(FX_Vap,$KH77,CQ$91)</f>
        <v>0</v>
      </c>
      <c r="CR77" s="73" cm="1">
        <f t="array" ref="CR77">IF(CN77="Out of Service",0,INDEX(FX_Vap,$KI77,CR$91))</f>
        <v>6.5274070972739821E-3</v>
      </c>
      <c r="CS77" s="63">
        <f t="shared" si="279"/>
        <v>0</v>
      </c>
      <c r="CT77" s="63">
        <f t="shared" si="280"/>
        <v>0.99694623229429025</v>
      </c>
      <c r="CU77" s="63" cm="1">
        <f t="array" ref="CU77">INDEX(FX_Vap,$KJ77,CU$91)</f>
        <v>130</v>
      </c>
      <c r="CV77" s="63" cm="1">
        <f t="array" ref="CV77">INDEX(FX_Temps,$KD77,CV$89)+459.6</f>
        <v>512.75</v>
      </c>
      <c r="CW77" s="63">
        <f t="shared" si="281"/>
        <v>1.5421910831991609E-4</v>
      </c>
      <c r="CX77" s="63" cm="1">
        <f t="array" ref="CX77">INDEX(Month_Ref,CX$83,3)*CS77*(PI()/4*$F77^2)*$H77*CT77*CW77</f>
        <v>0</v>
      </c>
      <c r="CY77" s="63" cm="1">
        <f t="array" ref="CY77">INDEX(FX_Input,$KB77,CY$85)</f>
        <v>250</v>
      </c>
      <c r="CZ77" s="63">
        <f t="shared" si="282"/>
        <v>1403.5</v>
      </c>
      <c r="DA77" s="63">
        <f t="shared" si="283"/>
        <v>1.1528978716360005</v>
      </c>
      <c r="DB77" s="63">
        <f t="shared" si="284"/>
        <v>1</v>
      </c>
      <c r="DC77" s="63" cm="1">
        <f t="array" ref="DC77">IF(OR(INDEX(FX_Vap,$KK77,DC$90)="Crude Oil",(INDEX(FX_Vap,$KL77,DC$90)="Crude Oil")),0.75,1)</f>
        <v>1</v>
      </c>
      <c r="DD77" s="63">
        <f t="shared" si="112"/>
        <v>1</v>
      </c>
      <c r="DE77" s="63">
        <f t="shared" si="285"/>
        <v>0.21644651852700222</v>
      </c>
      <c r="DF77" s="64">
        <f t="shared" si="286"/>
        <v>0.21644651852700222</v>
      </c>
      <c r="DG77" s="80" t="str" cm="1">
        <f t="array" ref="DG77">IF(ISBLANK(INDEX(FX_Input,$KB77+1,DG$85)),INDEX(FX_Input,$KB77,DG$85),INDEX(FX_Input,$KB77,DG$85)&amp;" &amp; "&amp;INDEX(FX_Input,$KB77+1,DG$85))</f>
        <v>Jet kerosene</v>
      </c>
      <c r="DH77" s="63" cm="1">
        <f t="array" ref="DH77">INDEX(FX_Temps,$KC77+7,DH$89)</f>
        <v>0</v>
      </c>
      <c r="DI77" s="63" cm="1">
        <f t="array" ref="DI77">INDEX(FX_Temps,$KC77+13,DI$89)+459.6</f>
        <v>516.55000000000007</v>
      </c>
      <c r="DJ77" s="63" cm="1">
        <f t="array" ref="DJ77">INDEX(FX_Vap,$KG77,DJ$91)-INDEX(FX_Vap,$KH77,DJ$91)</f>
        <v>0</v>
      </c>
      <c r="DK77" s="73" cm="1">
        <f t="array" ref="DK77">IF(DG77="Out of Service",0,INDEX(FX_Vap,$KI77,DK$91))</f>
        <v>7.4199539958878279E-3</v>
      </c>
      <c r="DL77" s="63">
        <f t="shared" si="287"/>
        <v>0</v>
      </c>
      <c r="DM77" s="63">
        <f t="shared" si="288"/>
        <v>0.99653011403692415</v>
      </c>
      <c r="DN77" s="63" cm="1">
        <f t="array" ref="DN77">INDEX(FX_Vap,$KJ77,DN$91)</f>
        <v>130</v>
      </c>
      <c r="DO77" s="63" cm="1">
        <f t="array" ref="DO77">INDEX(FX_Temps,$KD77,DO$89)+459.6</f>
        <v>516.55000000000007</v>
      </c>
      <c r="DP77" s="63">
        <f t="shared" si="289"/>
        <v>1.7401713099147103E-4</v>
      </c>
      <c r="DQ77" s="63" cm="1">
        <f t="array" ref="DQ77">INDEX(Month_Ref,DQ$83,3)*DL77*(PI()/4*$F77^2)*$H77*DM77*DP77</f>
        <v>0</v>
      </c>
      <c r="DR77" s="63" cm="1">
        <f t="array" ref="DR77">INDEX(FX_Input,$KB77,DR$85)</f>
        <v>250</v>
      </c>
      <c r="DS77" s="63">
        <f t="shared" si="290"/>
        <v>1403.5</v>
      </c>
      <c r="DT77" s="63">
        <f t="shared" si="291"/>
        <v>1.1528978716360005</v>
      </c>
      <c r="DU77" s="63">
        <f t="shared" si="292"/>
        <v>1</v>
      </c>
      <c r="DV77" s="63" cm="1">
        <f t="array" ref="DV77">IF(OR(INDEX(FX_Vap,$KK77,DV$90)="Crude Oil",(INDEX(FX_Vap,$KL77,DV$90)="Crude Oil")),0.75,1)</f>
        <v>1</v>
      </c>
      <c r="DW77" s="63">
        <f t="shared" si="113"/>
        <v>1</v>
      </c>
      <c r="DX77" s="63">
        <f t="shared" si="293"/>
        <v>0.24423304334652959</v>
      </c>
      <c r="DY77" s="64">
        <f t="shared" si="294"/>
        <v>0.24423304334652959</v>
      </c>
      <c r="DZ77" s="80" t="str" cm="1">
        <f t="array" ref="DZ77">IF(ISBLANK(INDEX(FX_Input,$KB77+1,DZ$85)),INDEX(FX_Input,$KB77,DZ$85),INDEX(FX_Input,$KB77,DZ$85)&amp;" &amp; "&amp;INDEX(FX_Input,$KB77+1,DZ$85))</f>
        <v>Jet kerosene</v>
      </c>
      <c r="EA77" s="63" cm="1">
        <f t="array" ref="EA77">INDEX(FX_Temps,$KC77+7,EA$89)</f>
        <v>0</v>
      </c>
      <c r="EB77" s="63" cm="1">
        <f t="array" ref="EB77">INDEX(FX_Temps,$KC77+13,EB$89)+459.6</f>
        <v>520.04999999999995</v>
      </c>
      <c r="EC77" s="63" cm="1">
        <f t="array" ref="EC77">INDEX(FX_Vap,$KG77,EC$91)-INDEX(FX_Vap,$KH77,EC$91)</f>
        <v>0</v>
      </c>
      <c r="ED77" s="73" cm="1">
        <f t="array" ref="ED77">IF(DZ77="Out of Service",0,INDEX(FX_Vap,$KI77,ED$91))</f>
        <v>8.3358107202842254E-3</v>
      </c>
      <c r="EE77" s="63">
        <f t="shared" si="295"/>
        <v>0</v>
      </c>
      <c r="EF77" s="63">
        <f t="shared" si="296"/>
        <v>0.99610348934342285</v>
      </c>
      <c r="EG77" s="63" cm="1">
        <f t="array" ref="EG77">INDEX(FX_Vap,$KJ77,EG$91)</f>
        <v>130</v>
      </c>
      <c r="EH77" s="63" cm="1">
        <f t="array" ref="EH77">INDEX(FX_Temps,$KD77,EH$89)+459.6</f>
        <v>520.04999999999995</v>
      </c>
      <c r="EI77" s="63">
        <f t="shared" si="297"/>
        <v>1.9418062801892895E-4</v>
      </c>
      <c r="EJ77" s="63" cm="1">
        <f t="array" ref="EJ77">INDEX(Month_Ref,EJ$83,3)*EE77*(PI()/4*$F77^2)*$H77*EF77*EI77</f>
        <v>0</v>
      </c>
      <c r="EK77" s="63" cm="1">
        <f t="array" ref="EK77">INDEX(FX_Input,$KB77,EK$85)</f>
        <v>250</v>
      </c>
      <c r="EL77" s="63">
        <f t="shared" si="298"/>
        <v>1403.5</v>
      </c>
      <c r="EM77" s="63">
        <f t="shared" si="299"/>
        <v>1.1528978716360005</v>
      </c>
      <c r="EN77" s="63">
        <f t="shared" si="300"/>
        <v>1</v>
      </c>
      <c r="EO77" s="63" cm="1">
        <f t="array" ref="EO77">IF(OR(INDEX(FX_Vap,$KK77,EO$90)="Crude Oil",(INDEX(FX_Vap,$KL77,EO$90)="Crude Oil")),0.75,1)</f>
        <v>1</v>
      </c>
      <c r="EP77" s="63">
        <f t="shared" si="114"/>
        <v>1</v>
      </c>
      <c r="EQ77" s="63">
        <f t="shared" si="301"/>
        <v>0.2725325114245668</v>
      </c>
      <c r="ER77" s="64">
        <f t="shared" si="302"/>
        <v>0.2725325114245668</v>
      </c>
      <c r="ES77" s="80" t="str" cm="1">
        <f t="array" ref="ES77">IF(ISBLANK(INDEX(FX_Input,$KB77+1,ES$85)),INDEX(FX_Input,$KB77,ES$85),INDEX(FX_Input,$KB77,ES$85)&amp;" &amp; "&amp;INDEX(FX_Input,$KB77+1,ES$85))</f>
        <v>Jet kerosene</v>
      </c>
      <c r="ET77" s="63" cm="1">
        <f t="array" ref="ET77">INDEX(FX_Temps,$KC77+7,ET$89)</f>
        <v>0</v>
      </c>
      <c r="EU77" s="63" cm="1">
        <f t="array" ref="EU77">INDEX(FX_Temps,$KC77+13,EU$89)+459.6</f>
        <v>520.5</v>
      </c>
      <c r="EV77" s="63" cm="1">
        <f t="array" ref="EV77">INDEX(FX_Vap,$KG77,EV$91)-INDEX(FX_Vap,$KH77,EV$91)</f>
        <v>0</v>
      </c>
      <c r="EW77" s="73" cm="1">
        <f t="array" ref="EW77">IF(ES77="Out of Service",0,INDEX(FX_Vap,$KI77,EW$91))</f>
        <v>8.4605262729351115E-3</v>
      </c>
      <c r="EX77" s="63">
        <f t="shared" si="303"/>
        <v>0</v>
      </c>
      <c r="EY77" s="63">
        <f t="shared" si="304"/>
        <v>0.99604542255812645</v>
      </c>
      <c r="EZ77" s="63" cm="1">
        <f t="array" ref="EZ77">INDEX(FX_Vap,$KJ77,EZ$91)</f>
        <v>130</v>
      </c>
      <c r="FA77" s="63" cm="1">
        <f t="array" ref="FA77">INDEX(FX_Temps,$KD77,FA$89)+459.6</f>
        <v>520.5</v>
      </c>
      <c r="FB77" s="63">
        <f t="shared" si="305"/>
        <v>1.969154544366044E-4</v>
      </c>
      <c r="FC77" s="63" cm="1">
        <f t="array" ref="FC77">INDEX(Month_Ref,FC$83,3)*EX77*(PI()/4*$F77^2)*$H77*EY77*FB77</f>
        <v>0</v>
      </c>
      <c r="FD77" s="63" cm="1">
        <f t="array" ref="FD77">INDEX(FX_Input,$KB77,FD$85)</f>
        <v>250</v>
      </c>
      <c r="FE77" s="63">
        <f t="shared" si="306"/>
        <v>1403.5</v>
      </c>
      <c r="FF77" s="63">
        <f t="shared" si="307"/>
        <v>1.1528978716360005</v>
      </c>
      <c r="FG77" s="63">
        <f t="shared" si="308"/>
        <v>1</v>
      </c>
      <c r="FH77" s="63" cm="1">
        <f t="array" ref="FH77">IF(OR(INDEX(FX_Vap,$KK77,FH$90)="Crude Oil",(INDEX(FX_Vap,$KL77,FH$90)="Crude Oil")),0.75,1)</f>
        <v>1</v>
      </c>
      <c r="FI77" s="63">
        <f t="shared" si="115"/>
        <v>1</v>
      </c>
      <c r="FJ77" s="63">
        <f t="shared" si="309"/>
        <v>0.27637084030177428</v>
      </c>
      <c r="FK77" s="64">
        <f t="shared" si="310"/>
        <v>0.27637084030177428</v>
      </c>
      <c r="FL77" s="80" t="str" cm="1">
        <f t="array" ref="FL77">IF(ISBLANK(INDEX(FX_Input,$KB77+1,FL$85)),INDEX(FX_Input,$KB77,FL$85),INDEX(FX_Input,$KB77,FL$85)&amp;" &amp; "&amp;INDEX(FX_Input,$KB77+1,FL$85))</f>
        <v>Jet kerosene</v>
      </c>
      <c r="FM77" s="63" cm="1">
        <f t="array" ref="FM77">INDEX(FX_Temps,$KC77+7,FM$89)</f>
        <v>0</v>
      </c>
      <c r="FN77" s="63" cm="1">
        <f t="array" ref="FN77">INDEX(FX_Temps,$KC77+13,FN$89)+459.6</f>
        <v>518.20000000000005</v>
      </c>
      <c r="FO77" s="63" cm="1">
        <f t="array" ref="FO77">INDEX(FX_Vap,$KG77,FO$91)-INDEX(FX_Vap,$KH77,FO$91)</f>
        <v>0</v>
      </c>
      <c r="FP77" s="73" cm="1">
        <f t="array" ref="FP77">IF(FL77="Out of Service",0,INDEX(FX_Vap,$KI77,FP$91))</f>
        <v>7.8399882233967533E-3</v>
      </c>
      <c r="FQ77" s="63">
        <f t="shared" si="311"/>
        <v>0</v>
      </c>
      <c r="FR77" s="63">
        <f t="shared" si="312"/>
        <v>0.99633440819055841</v>
      </c>
      <c r="FS77" s="63" cm="1">
        <f t="array" ref="FS77">INDEX(FX_Vap,$KJ77,FS$91)</f>
        <v>130</v>
      </c>
      <c r="FT77" s="63" cm="1">
        <f t="array" ref="FT77">INDEX(FX_Temps,$KD77,FT$89)+459.6</f>
        <v>518.20000000000005</v>
      </c>
      <c r="FU77" s="63">
        <f t="shared" si="313"/>
        <v>1.8328256712249962E-4</v>
      </c>
      <c r="FV77" s="63" cm="1">
        <f t="array" ref="FV77">INDEX(Month_Ref,FV$83,3)*FQ77*(PI()/4*$F77^2)*$H77*FR77*FU77</f>
        <v>0</v>
      </c>
      <c r="FW77" s="63" cm="1">
        <f t="array" ref="FW77">INDEX(FX_Input,$KB77,FW$85)</f>
        <v>250</v>
      </c>
      <c r="FX77" s="63">
        <f t="shared" si="314"/>
        <v>1403.5</v>
      </c>
      <c r="FY77" s="63">
        <f t="shared" si="315"/>
        <v>1.1528978716360005</v>
      </c>
      <c r="FZ77" s="63">
        <f t="shared" si="316"/>
        <v>1</v>
      </c>
      <c r="GA77" s="63" cm="1">
        <f t="array" ref="GA77">IF(OR(INDEX(FX_Vap,$KK77,GA$90)="Crude Oil",(INDEX(FX_Vap,$KL77,GA$90)="Crude Oil")),0.75,1)</f>
        <v>1</v>
      </c>
      <c r="GB77" s="63">
        <f t="shared" si="116"/>
        <v>1</v>
      </c>
      <c r="GC77" s="63">
        <f t="shared" si="317"/>
        <v>0.25723708295642822</v>
      </c>
      <c r="GD77" s="64">
        <f t="shared" si="318"/>
        <v>0.25723708295642822</v>
      </c>
      <c r="GE77" s="80" t="str" cm="1">
        <f t="array" ref="GE77">IF(ISBLANK(INDEX(FX_Input,$KB77+1,GE$85)),INDEX(FX_Input,$KB77,GE$85),INDEX(FX_Input,$KB77,GE$85)&amp;" &amp; "&amp;INDEX(FX_Input,$KB77+1,GE$85))</f>
        <v>Jet kerosene</v>
      </c>
      <c r="GF77" s="63" cm="1">
        <f t="array" ref="GF77">INDEX(FX_Temps,$KC77+7,GF$89)</f>
        <v>0</v>
      </c>
      <c r="GG77" s="63" cm="1">
        <f t="array" ref="GG77">INDEX(FX_Temps,$KC77+13,GG$89)+459.6</f>
        <v>512.25</v>
      </c>
      <c r="GH77" s="63" cm="1">
        <f t="array" ref="GH77">INDEX(FX_Vap,$KG77,GH$91)-INDEX(FX_Vap,$KH77,GH$91)</f>
        <v>0</v>
      </c>
      <c r="GI77" s="73" cm="1">
        <f t="array" ref="GI77">IF(GE77="Out of Service",0,INDEX(FX_Vap,$KI77,GI$91))</f>
        <v>6.4173462075160911E-3</v>
      </c>
      <c r="GJ77" s="63">
        <f t="shared" si="319"/>
        <v>0</v>
      </c>
      <c r="GK77" s="63">
        <f t="shared" si="320"/>
        <v>0.99699756834049602</v>
      </c>
      <c r="GL77" s="63" cm="1">
        <f t="array" ref="GL77">INDEX(FX_Vap,$KJ77,GL$91)</f>
        <v>130</v>
      </c>
      <c r="GM77" s="63" cm="1">
        <f t="array" ref="GM77">INDEX(FX_Temps,$KD77,GM$89)+459.6</f>
        <v>512.25</v>
      </c>
      <c r="GN77" s="63">
        <f t="shared" si="321"/>
        <v>1.5176675903637226E-4</v>
      </c>
      <c r="GO77" s="63" cm="1">
        <f t="array" ref="GO77">INDEX(Month_Ref,GO$83,3)*GJ77*(PI()/4*$F77^2)*$H77*GK77*GN77</f>
        <v>0</v>
      </c>
      <c r="GP77" s="63" cm="1">
        <f t="array" ref="GP77">INDEX(FX_Input,$KB77,GP$85)</f>
        <v>250</v>
      </c>
      <c r="GQ77" s="63">
        <f t="shared" si="322"/>
        <v>1403.5</v>
      </c>
      <c r="GR77" s="63">
        <f t="shared" si="323"/>
        <v>1.1528978716360005</v>
      </c>
      <c r="GS77" s="63">
        <f t="shared" si="324"/>
        <v>1</v>
      </c>
      <c r="GT77" s="63" cm="1">
        <f t="array" ref="GT77">IF(OR(INDEX(FX_Vap,$KK77,GT$90)="Crude Oil",(INDEX(FX_Vap,$KL77,GT$90)="Crude Oil")),0.75,1)</f>
        <v>1</v>
      </c>
      <c r="GU77" s="63">
        <f t="shared" si="117"/>
        <v>1</v>
      </c>
      <c r="GV77" s="63">
        <f t="shared" si="325"/>
        <v>0.21300464630754848</v>
      </c>
      <c r="GW77" s="64">
        <f t="shared" si="326"/>
        <v>0.21300464630754848</v>
      </c>
      <c r="GX77" s="80" t="str" cm="1">
        <f t="array" ref="GX77">IF(ISBLANK(INDEX(FX_Input,$KB77+1,GX$85)),INDEX(FX_Input,$KB77,GX$85),INDEX(FX_Input,$KB77,GX$85)&amp;" &amp; "&amp;INDEX(FX_Input,$KB77+1,GX$85))</f>
        <v>Jet kerosene</v>
      </c>
      <c r="GY77" s="63" cm="1">
        <f t="array" ref="GY77">INDEX(FX_Temps,$KC77+7,GY$89)</f>
        <v>0</v>
      </c>
      <c r="GZ77" s="63" cm="1">
        <f t="array" ref="GZ77">INDEX(FX_Temps,$KC77+13,GZ$89)+459.6</f>
        <v>506.70000000000005</v>
      </c>
      <c r="HA77" s="63" cm="1">
        <f t="array" ref="HA77">INDEX(FX_Vap,$KG77,HA$91)-INDEX(FX_Vap,$KH77,HA$91)</f>
        <v>0</v>
      </c>
      <c r="HB77" s="73" cm="1">
        <f t="array" ref="HB77">IF(GX77="Out of Service",0,INDEX(FX_Vap,$KI77,HB$91))</f>
        <v>5.3015226887581056E-3</v>
      </c>
      <c r="HC77" s="63">
        <f t="shared" si="327"/>
        <v>0</v>
      </c>
      <c r="HD77" s="63">
        <f t="shared" si="328"/>
        <v>0.99751832406730578</v>
      </c>
      <c r="HE77" s="63" cm="1">
        <f t="array" ref="HE77">INDEX(FX_Vap,$KJ77,HE$91)</f>
        <v>130</v>
      </c>
      <c r="HF77" s="63" cm="1">
        <f t="array" ref="HF77">INDEX(FX_Temps,$KD77,HF$89)+459.6</f>
        <v>506.70000000000005</v>
      </c>
      <c r="HG77" s="63">
        <f t="shared" si="329"/>
        <v>1.2675143286623188E-4</v>
      </c>
      <c r="HH77" s="63" cm="1">
        <f t="array" ref="HH77">INDEX(Month_Ref,HH$83,3)*HC77*(PI()/4*$F77^2)*$H77*HD77*HG77</f>
        <v>0</v>
      </c>
      <c r="HI77" s="63" cm="1">
        <f t="array" ref="HI77">INDEX(FX_Input,$KB77,HI$85)</f>
        <v>250</v>
      </c>
      <c r="HJ77" s="63">
        <f t="shared" si="330"/>
        <v>1403.5</v>
      </c>
      <c r="HK77" s="63">
        <f t="shared" si="331"/>
        <v>1.1528978716360005</v>
      </c>
      <c r="HL77" s="63">
        <f t="shared" si="332"/>
        <v>1</v>
      </c>
      <c r="HM77" s="63" cm="1">
        <f t="array" ref="HM77">IF(OR(INDEX(FX_Vap,$KK77,HM$90)="Crude Oil",(INDEX(FX_Vap,$KL77,HM$90)="Crude Oil")),0.75,1)</f>
        <v>1</v>
      </c>
      <c r="HN77" s="63">
        <f t="shared" si="118"/>
        <v>1</v>
      </c>
      <c r="HO77" s="63">
        <f t="shared" si="333"/>
        <v>0.17789563602775643</v>
      </c>
      <c r="HP77" s="64">
        <f t="shared" si="334"/>
        <v>0.17789563602775643</v>
      </c>
      <c r="HQ77" s="80" t="str" cm="1">
        <f t="array" ref="HQ77">IF(ISBLANK(INDEX(FX_Input,$KB77+1,HQ$85)),INDEX(FX_Input,$KB77,HQ$85),INDEX(FX_Input,$KB77,HQ$85)&amp;" &amp; "&amp;INDEX(FX_Input,$KB77+1,HQ$85))</f>
        <v>Jet kerosene</v>
      </c>
      <c r="HR77" s="63" cm="1">
        <f t="array" ref="HR77">INDEX(FX_Temps,$KC77+7,HR$89)</f>
        <v>0</v>
      </c>
      <c r="HS77" s="63" cm="1">
        <f t="array" ref="HS77">INDEX(FX_Temps,$KC77+13,HS$89)+459.6</f>
        <v>503.20000000000005</v>
      </c>
      <c r="HT77" s="63" cm="1">
        <f t="array" ref="HT77">INDEX(FX_Vap,$KG77,HT$91)-INDEX(FX_Vap,$KH77,HT$91)</f>
        <v>0</v>
      </c>
      <c r="HU77" s="73" cm="1">
        <f t="array" ref="HU77">IF(HQ77="Out of Service",0,INDEX(FX_Vap,$KI77,HU$91))</f>
        <v>4.68970903600947E-3</v>
      </c>
      <c r="HV77" s="63">
        <f t="shared" si="335"/>
        <v>0</v>
      </c>
      <c r="HW77" s="63">
        <f t="shared" si="336"/>
        <v>0.99780408896987483</v>
      </c>
      <c r="HX77" s="63" cm="1">
        <f t="array" ref="HX77">INDEX(FX_Vap,$KJ77,HX$91)</f>
        <v>130</v>
      </c>
      <c r="HY77" s="63" cm="1">
        <f t="array" ref="HY77">INDEX(FX_Temps,$KD77,HY$89)+459.6</f>
        <v>503.20000000000005</v>
      </c>
      <c r="HZ77" s="63">
        <f t="shared" si="337"/>
        <v>1.1290376474196325E-4</v>
      </c>
      <c r="IA77" s="63" cm="1">
        <f t="array" ref="IA77">INDEX(Month_Ref,IA$83,3)*HV77*(PI()/4*$F77^2)*$H77*HW77*HZ77</f>
        <v>0</v>
      </c>
      <c r="IB77" s="63" cm="1">
        <f t="array" ref="IB77">INDEX(FX_Input,$KB77,IB$85)</f>
        <v>250</v>
      </c>
      <c r="IC77" s="63">
        <f t="shared" si="338"/>
        <v>1403.5</v>
      </c>
      <c r="ID77" s="63">
        <f t="shared" si="339"/>
        <v>1.1528978716360005</v>
      </c>
      <c r="IE77" s="63">
        <f t="shared" si="340"/>
        <v>1</v>
      </c>
      <c r="IF77" s="63" cm="1">
        <f t="array" ref="IF77">IF(OR(INDEX(FX_Vap,$KK77,IF$90)="Crude Oil",(INDEX(FX_Vap,$KL77,IF$90)="Crude Oil")),0.75,1)</f>
        <v>1</v>
      </c>
      <c r="IG77" s="63">
        <f t="shared" si="119"/>
        <v>1</v>
      </c>
      <c r="IH77" s="63">
        <f t="shared" si="341"/>
        <v>0.15846043381534541</v>
      </c>
      <c r="II77" s="64">
        <f t="shared" si="342"/>
        <v>0.15846043381534541</v>
      </c>
      <c r="IJ77" s="80">
        <f t="shared" si="343"/>
        <v>0</v>
      </c>
      <c r="IK77" s="63">
        <f t="shared" si="344"/>
        <v>0</v>
      </c>
      <c r="IL77" s="63">
        <f t="shared" si="345"/>
        <v>2.4995731178218787</v>
      </c>
      <c r="IM77" s="63">
        <f t="shared" si="346"/>
        <v>1.2497865589109394E-3</v>
      </c>
      <c r="IN77" s="63">
        <f t="shared" si="347"/>
        <v>2.4995731178218787</v>
      </c>
      <c r="IO77" s="64">
        <f t="shared" si="348"/>
        <v>1.2497865589109394E-3</v>
      </c>
      <c r="KB77" s="43">
        <f t="shared" si="120"/>
        <v>133</v>
      </c>
      <c r="KC77" s="43">
        <f t="shared" si="121"/>
        <v>925</v>
      </c>
      <c r="KD77" s="43">
        <f t="shared" si="122"/>
        <v>938</v>
      </c>
      <c r="KE77" s="43">
        <f t="shared" si="123"/>
        <v>925</v>
      </c>
      <c r="KF77" s="43">
        <f t="shared" ref="KF77:KJ77" si="350">KF76+34</f>
        <v>2245</v>
      </c>
      <c r="KG77" s="43">
        <f t="shared" si="350"/>
        <v>2268</v>
      </c>
      <c r="KH77" s="43">
        <f t="shared" si="350"/>
        <v>2263</v>
      </c>
      <c r="KI77" s="43">
        <f t="shared" si="350"/>
        <v>2273</v>
      </c>
      <c r="KJ77" s="43">
        <f t="shared" si="350"/>
        <v>2278</v>
      </c>
      <c r="KK77" s="43">
        <f t="shared" si="127"/>
        <v>2249</v>
      </c>
      <c r="KL77" s="43">
        <f t="shared" si="128"/>
        <v>2251</v>
      </c>
    </row>
    <row r="78" spans="2:298" x14ac:dyDescent="0.4">
      <c r="C78" s="94"/>
    </row>
    <row r="79" spans="2:298" x14ac:dyDescent="0.4">
      <c r="C79" s="94"/>
    </row>
    <row r="80" spans="2:298" x14ac:dyDescent="0.4">
      <c r="C80" s="94"/>
    </row>
    <row r="82" spans="1:249" x14ac:dyDescent="0.4">
      <c r="B82" s="43">
        <v>1</v>
      </c>
      <c r="C82" s="43">
        <v>2</v>
      </c>
      <c r="D82" s="43">
        <v>3</v>
      </c>
      <c r="E82" s="43">
        <v>4</v>
      </c>
      <c r="F82" s="43">
        <v>5</v>
      </c>
      <c r="G82" s="43">
        <v>6</v>
      </c>
      <c r="H82" s="43">
        <v>7</v>
      </c>
      <c r="I82" s="43">
        <v>8</v>
      </c>
      <c r="J82" s="43">
        <v>9</v>
      </c>
      <c r="K82" s="43">
        <v>10</v>
      </c>
      <c r="L82" s="43">
        <v>11</v>
      </c>
      <c r="M82" s="43">
        <v>12</v>
      </c>
      <c r="N82" s="43">
        <v>13</v>
      </c>
      <c r="O82" s="43">
        <v>14</v>
      </c>
      <c r="P82" s="43">
        <v>15</v>
      </c>
      <c r="Q82" s="43">
        <v>16</v>
      </c>
      <c r="R82" s="43">
        <v>17</v>
      </c>
      <c r="S82" s="43">
        <v>18</v>
      </c>
      <c r="T82" s="43">
        <v>19</v>
      </c>
      <c r="U82" s="43">
        <v>20</v>
      </c>
      <c r="V82" s="43">
        <v>21</v>
      </c>
      <c r="W82" s="43">
        <v>22</v>
      </c>
      <c r="X82" s="43">
        <v>23</v>
      </c>
      <c r="Y82" s="43">
        <v>24</v>
      </c>
      <c r="Z82" s="43">
        <v>25</v>
      </c>
      <c r="AA82" s="43">
        <v>26</v>
      </c>
      <c r="AB82" s="43">
        <v>27</v>
      </c>
      <c r="AC82" s="43">
        <v>28</v>
      </c>
      <c r="AD82" s="43">
        <v>29</v>
      </c>
      <c r="AE82" s="43">
        <v>30</v>
      </c>
      <c r="AF82" s="43">
        <v>31</v>
      </c>
      <c r="AG82" s="43">
        <v>32</v>
      </c>
      <c r="AH82" s="43">
        <v>33</v>
      </c>
      <c r="AI82" s="43">
        <v>34</v>
      </c>
      <c r="AJ82" s="43">
        <v>35</v>
      </c>
      <c r="AK82" s="43">
        <v>36</v>
      </c>
      <c r="AL82" s="43">
        <v>37</v>
      </c>
      <c r="AM82" s="43">
        <v>38</v>
      </c>
      <c r="AN82" s="43">
        <v>39</v>
      </c>
      <c r="AO82" s="43">
        <v>40</v>
      </c>
      <c r="AP82" s="43">
        <v>41</v>
      </c>
      <c r="AQ82" s="43">
        <v>42</v>
      </c>
      <c r="AR82" s="43">
        <v>43</v>
      </c>
      <c r="AS82" s="43">
        <v>44</v>
      </c>
      <c r="AT82" s="43">
        <v>45</v>
      </c>
      <c r="AU82" s="43">
        <v>46</v>
      </c>
      <c r="AV82" s="43">
        <v>47</v>
      </c>
      <c r="AW82" s="43">
        <v>48</v>
      </c>
      <c r="AX82" s="43">
        <v>49</v>
      </c>
      <c r="AY82" s="43">
        <v>50</v>
      </c>
      <c r="AZ82" s="43">
        <v>51</v>
      </c>
      <c r="BA82" s="43">
        <v>52</v>
      </c>
      <c r="BB82" s="43">
        <v>53</v>
      </c>
      <c r="BC82" s="43">
        <v>54</v>
      </c>
      <c r="BD82" s="43">
        <v>55</v>
      </c>
      <c r="BE82" s="43">
        <v>56</v>
      </c>
      <c r="BF82" s="43">
        <v>57</v>
      </c>
      <c r="BG82" s="43">
        <v>58</v>
      </c>
      <c r="BH82" s="43">
        <v>59</v>
      </c>
      <c r="BI82" s="43">
        <v>60</v>
      </c>
      <c r="BJ82" s="43">
        <v>61</v>
      </c>
      <c r="BK82" s="43">
        <v>62</v>
      </c>
      <c r="BL82" s="43">
        <v>63</v>
      </c>
      <c r="BM82" s="43">
        <v>64</v>
      </c>
      <c r="BN82" s="43">
        <v>65</v>
      </c>
      <c r="BO82" s="43">
        <v>66</v>
      </c>
      <c r="BP82" s="43">
        <v>67</v>
      </c>
      <c r="BQ82" s="43">
        <v>68</v>
      </c>
      <c r="BR82" s="43">
        <v>69</v>
      </c>
      <c r="BS82" s="43">
        <v>70</v>
      </c>
      <c r="BT82" s="43">
        <v>71</v>
      </c>
      <c r="BU82" s="43">
        <v>72</v>
      </c>
      <c r="BV82" s="43">
        <v>73</v>
      </c>
      <c r="BW82" s="43">
        <v>74</v>
      </c>
      <c r="BX82" s="43">
        <v>75</v>
      </c>
      <c r="BY82" s="43">
        <v>76</v>
      </c>
      <c r="BZ82" s="43">
        <v>77</v>
      </c>
      <c r="CA82" s="43">
        <v>78</v>
      </c>
      <c r="CB82" s="43">
        <v>79</v>
      </c>
      <c r="CC82" s="43">
        <v>80</v>
      </c>
      <c r="CD82" s="43">
        <v>81</v>
      </c>
      <c r="CE82" s="43">
        <v>82</v>
      </c>
      <c r="CF82" s="43">
        <v>83</v>
      </c>
      <c r="CG82" s="43">
        <v>84</v>
      </c>
      <c r="CH82" s="43">
        <v>85</v>
      </c>
      <c r="CI82" s="43">
        <v>86</v>
      </c>
      <c r="CJ82" s="43">
        <v>87</v>
      </c>
      <c r="CK82" s="43">
        <v>88</v>
      </c>
      <c r="CL82" s="43">
        <v>89</v>
      </c>
      <c r="CM82" s="43">
        <v>90</v>
      </c>
      <c r="CN82" s="43">
        <v>91</v>
      </c>
      <c r="CO82" s="43">
        <v>92</v>
      </c>
      <c r="CP82" s="43">
        <v>93</v>
      </c>
      <c r="CQ82" s="43">
        <v>94</v>
      </c>
      <c r="CR82" s="43">
        <v>95</v>
      </c>
      <c r="CS82" s="43">
        <v>96</v>
      </c>
      <c r="CT82" s="43">
        <v>97</v>
      </c>
      <c r="CU82" s="43">
        <v>98</v>
      </c>
      <c r="CV82" s="43">
        <v>99</v>
      </c>
      <c r="CW82" s="43">
        <v>100</v>
      </c>
      <c r="CX82" s="43">
        <v>101</v>
      </c>
      <c r="CY82" s="43">
        <v>102</v>
      </c>
      <c r="CZ82" s="43">
        <v>103</v>
      </c>
      <c r="DA82" s="43">
        <v>104</v>
      </c>
      <c r="DB82" s="43">
        <v>105</v>
      </c>
      <c r="DC82" s="43">
        <v>106</v>
      </c>
      <c r="DD82" s="43">
        <v>107</v>
      </c>
      <c r="DE82" s="43">
        <v>108</v>
      </c>
      <c r="DF82" s="43">
        <v>109</v>
      </c>
      <c r="DG82" s="43">
        <v>110</v>
      </c>
      <c r="DH82" s="43">
        <v>111</v>
      </c>
      <c r="DI82" s="43">
        <v>112</v>
      </c>
      <c r="DJ82" s="43">
        <v>113</v>
      </c>
      <c r="DK82" s="43">
        <v>114</v>
      </c>
      <c r="DL82" s="43">
        <v>115</v>
      </c>
      <c r="DM82" s="43">
        <v>116</v>
      </c>
      <c r="DN82" s="43">
        <v>117</v>
      </c>
      <c r="DO82" s="43">
        <v>118</v>
      </c>
      <c r="DP82" s="43">
        <v>119</v>
      </c>
      <c r="DQ82" s="43">
        <v>120</v>
      </c>
      <c r="DR82" s="43">
        <v>121</v>
      </c>
      <c r="DS82" s="43">
        <v>122</v>
      </c>
      <c r="DT82" s="43">
        <v>123</v>
      </c>
      <c r="DU82" s="43">
        <v>124</v>
      </c>
      <c r="DV82" s="43">
        <v>125</v>
      </c>
      <c r="DW82" s="43">
        <v>126</v>
      </c>
      <c r="DX82" s="43">
        <v>127</v>
      </c>
      <c r="DY82" s="43">
        <v>128</v>
      </c>
      <c r="DZ82" s="43">
        <v>129</v>
      </c>
      <c r="EA82" s="43">
        <v>130</v>
      </c>
      <c r="EB82" s="43">
        <v>131</v>
      </c>
      <c r="EC82" s="43">
        <v>132</v>
      </c>
      <c r="ED82" s="43">
        <v>133</v>
      </c>
      <c r="EE82" s="43">
        <v>134</v>
      </c>
      <c r="EF82" s="43">
        <v>135</v>
      </c>
      <c r="EG82" s="43">
        <v>136</v>
      </c>
      <c r="EH82" s="43">
        <v>137</v>
      </c>
      <c r="EI82" s="43">
        <v>138</v>
      </c>
      <c r="EJ82" s="43">
        <v>139</v>
      </c>
      <c r="EK82" s="43">
        <v>140</v>
      </c>
      <c r="EL82" s="43">
        <v>141</v>
      </c>
      <c r="EM82" s="43">
        <v>142</v>
      </c>
      <c r="EN82" s="43">
        <v>143</v>
      </c>
      <c r="EO82" s="43">
        <v>144</v>
      </c>
      <c r="EP82" s="43">
        <v>145</v>
      </c>
      <c r="EQ82" s="43">
        <v>146</v>
      </c>
      <c r="ER82" s="43">
        <v>147</v>
      </c>
      <c r="ES82" s="43">
        <v>148</v>
      </c>
      <c r="ET82" s="43">
        <v>149</v>
      </c>
      <c r="EU82" s="43">
        <v>150</v>
      </c>
      <c r="EV82" s="43">
        <v>151</v>
      </c>
      <c r="EW82" s="43">
        <v>152</v>
      </c>
      <c r="EX82" s="43">
        <v>153</v>
      </c>
      <c r="EY82" s="43">
        <v>154</v>
      </c>
      <c r="EZ82" s="43">
        <v>155</v>
      </c>
      <c r="FA82" s="43">
        <v>156</v>
      </c>
      <c r="FB82" s="43">
        <v>157</v>
      </c>
      <c r="FC82" s="43">
        <v>158</v>
      </c>
      <c r="FD82" s="43">
        <v>159</v>
      </c>
      <c r="FE82" s="43">
        <v>160</v>
      </c>
      <c r="FF82" s="43">
        <v>161</v>
      </c>
      <c r="FG82" s="43">
        <v>162</v>
      </c>
      <c r="FH82" s="43">
        <v>163</v>
      </c>
      <c r="FI82" s="43">
        <v>164</v>
      </c>
      <c r="FJ82" s="43">
        <v>165</v>
      </c>
      <c r="FK82" s="43">
        <v>166</v>
      </c>
      <c r="FL82" s="43">
        <v>167</v>
      </c>
      <c r="FM82" s="43">
        <v>168</v>
      </c>
      <c r="FN82" s="43">
        <v>169</v>
      </c>
      <c r="FO82" s="43">
        <v>170</v>
      </c>
      <c r="FP82" s="43">
        <v>171</v>
      </c>
      <c r="FQ82" s="43">
        <v>172</v>
      </c>
      <c r="FR82" s="43">
        <v>173</v>
      </c>
      <c r="FS82" s="43">
        <v>174</v>
      </c>
      <c r="FT82" s="43">
        <v>175</v>
      </c>
      <c r="FU82" s="43">
        <v>176</v>
      </c>
      <c r="FV82" s="43">
        <v>177</v>
      </c>
      <c r="FW82" s="43">
        <v>178</v>
      </c>
      <c r="FX82" s="43">
        <v>179</v>
      </c>
      <c r="FY82" s="43">
        <v>180</v>
      </c>
      <c r="FZ82" s="43">
        <v>181</v>
      </c>
      <c r="GA82" s="43">
        <v>182</v>
      </c>
      <c r="GB82" s="43">
        <v>183</v>
      </c>
      <c r="GC82" s="43">
        <v>184</v>
      </c>
      <c r="GD82" s="43">
        <v>185</v>
      </c>
      <c r="GE82" s="43">
        <v>186</v>
      </c>
      <c r="GF82" s="43">
        <v>187</v>
      </c>
      <c r="GG82" s="43">
        <v>188</v>
      </c>
      <c r="GH82" s="43">
        <v>189</v>
      </c>
      <c r="GI82" s="43">
        <v>190</v>
      </c>
      <c r="GJ82" s="43">
        <v>191</v>
      </c>
      <c r="GK82" s="43">
        <v>192</v>
      </c>
      <c r="GL82" s="43">
        <v>193</v>
      </c>
      <c r="GM82" s="43">
        <v>194</v>
      </c>
      <c r="GN82" s="43">
        <v>195</v>
      </c>
      <c r="GO82" s="43">
        <v>196</v>
      </c>
      <c r="GP82" s="43">
        <v>197</v>
      </c>
      <c r="GQ82" s="43">
        <v>198</v>
      </c>
      <c r="GR82" s="43">
        <v>199</v>
      </c>
      <c r="GS82" s="43">
        <v>200</v>
      </c>
      <c r="GT82" s="43">
        <v>201</v>
      </c>
      <c r="GU82" s="43">
        <v>202</v>
      </c>
      <c r="GV82" s="43">
        <v>203</v>
      </c>
      <c r="GW82" s="43">
        <v>204</v>
      </c>
      <c r="GX82" s="43">
        <v>205</v>
      </c>
      <c r="GY82" s="43">
        <v>206</v>
      </c>
      <c r="GZ82" s="43">
        <v>207</v>
      </c>
      <c r="HA82" s="43">
        <v>208</v>
      </c>
      <c r="HB82" s="43">
        <v>209</v>
      </c>
      <c r="HC82" s="43">
        <v>210</v>
      </c>
      <c r="HD82" s="43">
        <v>211</v>
      </c>
      <c r="HE82" s="43">
        <v>212</v>
      </c>
      <c r="HF82" s="43">
        <v>213</v>
      </c>
      <c r="HG82" s="43">
        <v>214</v>
      </c>
      <c r="HH82" s="43">
        <v>215</v>
      </c>
      <c r="HI82" s="43">
        <v>216</v>
      </c>
      <c r="HJ82" s="43">
        <v>217</v>
      </c>
      <c r="HK82" s="43">
        <v>218</v>
      </c>
      <c r="HL82" s="43">
        <v>219</v>
      </c>
      <c r="HM82" s="43">
        <v>220</v>
      </c>
      <c r="HN82" s="43">
        <v>221</v>
      </c>
      <c r="HO82" s="43">
        <v>222</v>
      </c>
      <c r="HP82" s="43">
        <v>223</v>
      </c>
      <c r="HQ82" s="43">
        <v>224</v>
      </c>
      <c r="HR82" s="43">
        <v>225</v>
      </c>
      <c r="HS82" s="43">
        <v>226</v>
      </c>
      <c r="HT82" s="43">
        <v>227</v>
      </c>
      <c r="HU82" s="43">
        <v>228</v>
      </c>
      <c r="HV82" s="43">
        <v>229</v>
      </c>
      <c r="HW82" s="43">
        <v>230</v>
      </c>
      <c r="HX82" s="43">
        <v>231</v>
      </c>
      <c r="HY82" s="43">
        <v>232</v>
      </c>
      <c r="HZ82" s="43">
        <v>233</v>
      </c>
      <c r="IA82" s="43">
        <v>234</v>
      </c>
      <c r="IB82" s="43">
        <v>235</v>
      </c>
      <c r="IC82" s="43">
        <v>236</v>
      </c>
      <c r="ID82" s="43">
        <v>237</v>
      </c>
      <c r="IE82" s="43">
        <v>238</v>
      </c>
      <c r="IF82" s="43">
        <v>239</v>
      </c>
      <c r="IG82" s="43">
        <v>240</v>
      </c>
      <c r="IH82" s="43">
        <v>241</v>
      </c>
      <c r="II82" s="43">
        <v>242</v>
      </c>
      <c r="IJ82" s="43">
        <v>243</v>
      </c>
      <c r="IK82" s="43">
        <v>244</v>
      </c>
      <c r="IL82" s="43">
        <v>245</v>
      </c>
      <c r="IM82" s="43">
        <v>246</v>
      </c>
      <c r="IN82" s="43">
        <v>247</v>
      </c>
      <c r="IO82" s="43">
        <v>248</v>
      </c>
    </row>
    <row r="83" spans="1:249" x14ac:dyDescent="0.4">
      <c r="A83" s="44" t="s">
        <v>518</v>
      </c>
      <c r="B83" s="43">
        <v>1</v>
      </c>
      <c r="C83" s="43">
        <v>2</v>
      </c>
      <c r="D83" s="43">
        <v>3</v>
      </c>
      <c r="E83" s="43">
        <v>4</v>
      </c>
      <c r="F83" s="43">
        <v>5</v>
      </c>
      <c r="G83" s="43">
        <v>6</v>
      </c>
      <c r="H83" s="43">
        <v>7</v>
      </c>
      <c r="I83" s="43">
        <v>8</v>
      </c>
      <c r="J83" s="43">
        <v>9</v>
      </c>
      <c r="K83" s="43">
        <v>10</v>
      </c>
      <c r="L83" s="43">
        <v>11</v>
      </c>
      <c r="M83" s="43">
        <v>12</v>
      </c>
      <c r="N83" s="43">
        <v>13</v>
      </c>
      <c r="O83" s="43">
        <v>14</v>
      </c>
      <c r="Z83" s="43">
        <f>Q89</f>
        <v>1</v>
      </c>
      <c r="AS83" s="43">
        <f>AJ89</f>
        <v>2</v>
      </c>
      <c r="BL83" s="43">
        <f>BC89</f>
        <v>3</v>
      </c>
      <c r="CE83" s="43">
        <f>BV89</f>
        <v>4</v>
      </c>
      <c r="CX83" s="43">
        <f>CO89</f>
        <v>5</v>
      </c>
      <c r="DQ83" s="43">
        <f>DH89</f>
        <v>6</v>
      </c>
      <c r="EJ83" s="43">
        <f>EA89</f>
        <v>7</v>
      </c>
      <c r="FC83" s="43">
        <f>ET89</f>
        <v>8</v>
      </c>
      <c r="FV83" s="43">
        <f>FM89</f>
        <v>9</v>
      </c>
      <c r="GO83" s="43">
        <f>GF89</f>
        <v>10</v>
      </c>
      <c r="HH83" s="43">
        <f>GY89</f>
        <v>11</v>
      </c>
      <c r="IA83" s="43">
        <f>HR89</f>
        <v>12</v>
      </c>
    </row>
    <row r="85" spans="1:249" x14ac:dyDescent="0.4">
      <c r="A85" s="44" t="s">
        <v>517</v>
      </c>
      <c r="B85" s="43">
        <v>1</v>
      </c>
      <c r="C85" s="43">
        <v>2</v>
      </c>
      <c r="E85" s="43">
        <v>15</v>
      </c>
      <c r="F85" s="43">
        <v>4</v>
      </c>
      <c r="G85" s="43">
        <v>4</v>
      </c>
      <c r="H85" s="43">
        <v>4</v>
      </c>
      <c r="I85" s="43">
        <v>4</v>
      </c>
      <c r="J85" s="43">
        <v>4</v>
      </c>
      <c r="K85" s="43">
        <v>4</v>
      </c>
      <c r="M85" s="43">
        <v>11</v>
      </c>
      <c r="N85" s="43">
        <v>13</v>
      </c>
      <c r="P85" s="43">
        <v>17</v>
      </c>
      <c r="AA85" s="43">
        <f>Z83+88</f>
        <v>89</v>
      </c>
      <c r="AI85" s="43">
        <f>P85+5</f>
        <v>22</v>
      </c>
      <c r="AT85" s="43">
        <f>AS83+88</f>
        <v>90</v>
      </c>
      <c r="BB85" s="43">
        <f>AI85+5</f>
        <v>27</v>
      </c>
      <c r="BM85" s="43">
        <f>BL83+88</f>
        <v>91</v>
      </c>
      <c r="BU85" s="43">
        <f>BB85+5</f>
        <v>32</v>
      </c>
      <c r="CF85" s="43">
        <f>CE83+88</f>
        <v>92</v>
      </c>
      <c r="CN85" s="43">
        <f>BU85+5</f>
        <v>37</v>
      </c>
      <c r="CY85" s="43">
        <f>CX83+88</f>
        <v>93</v>
      </c>
      <c r="DG85" s="43">
        <f>CN85+5</f>
        <v>42</v>
      </c>
      <c r="DR85" s="43">
        <f>DQ83+88</f>
        <v>94</v>
      </c>
      <c r="DZ85" s="43">
        <f>DG85+5</f>
        <v>47</v>
      </c>
      <c r="EK85" s="43">
        <f>EJ83+88</f>
        <v>95</v>
      </c>
      <c r="ES85" s="43">
        <f>DZ85+5</f>
        <v>52</v>
      </c>
      <c r="FD85" s="43">
        <f>FC83+88</f>
        <v>96</v>
      </c>
      <c r="FL85" s="43">
        <f>ES85+5</f>
        <v>57</v>
      </c>
      <c r="FW85" s="43">
        <f>FV83+88</f>
        <v>97</v>
      </c>
      <c r="GE85" s="43">
        <f>FL85+5</f>
        <v>62</v>
      </c>
      <c r="GP85" s="43">
        <f>GO83+88</f>
        <v>98</v>
      </c>
      <c r="GX85" s="43">
        <f>GE85+5</f>
        <v>67</v>
      </c>
      <c r="HI85" s="43">
        <f>HH83+88</f>
        <v>99</v>
      </c>
      <c r="HQ85" s="43">
        <f>GX85+5</f>
        <v>72</v>
      </c>
      <c r="IB85" s="43">
        <f>IA83+88</f>
        <v>100</v>
      </c>
    </row>
    <row r="86" spans="1:249" x14ac:dyDescent="0.4">
      <c r="E86" s="43">
        <f>E85+1</f>
        <v>16</v>
      </c>
      <c r="F86" s="43">
        <v>5</v>
      </c>
      <c r="G86" s="43">
        <v>6</v>
      </c>
      <c r="I86" s="43">
        <v>8</v>
      </c>
      <c r="J86" s="43">
        <v>8</v>
      </c>
      <c r="M86" s="43">
        <v>12</v>
      </c>
      <c r="N86" s="43">
        <v>14</v>
      </c>
    </row>
    <row r="87" spans="1:249" x14ac:dyDescent="0.4">
      <c r="F87" s="43">
        <v>6</v>
      </c>
      <c r="G87" s="43">
        <v>5</v>
      </c>
      <c r="I87" s="43">
        <v>9</v>
      </c>
    </row>
    <row r="88" spans="1:249" x14ac:dyDescent="0.4">
      <c r="I88" s="43">
        <v>10</v>
      </c>
    </row>
    <row r="89" spans="1:249" x14ac:dyDescent="0.4">
      <c r="A89" s="43" t="s">
        <v>1398</v>
      </c>
      <c r="Q89" s="43">
        <v>1</v>
      </c>
      <c r="R89" s="43">
        <f>Q89</f>
        <v>1</v>
      </c>
      <c r="X89" s="43">
        <f>R89</f>
        <v>1</v>
      </c>
      <c r="AJ89" s="43">
        <f>Q89+1</f>
        <v>2</v>
      </c>
      <c r="AK89" s="43">
        <f>AJ89</f>
        <v>2</v>
      </c>
      <c r="AQ89" s="43">
        <f>AK89</f>
        <v>2</v>
      </c>
      <c r="BC89" s="43">
        <f>AJ89+1</f>
        <v>3</v>
      </c>
      <c r="BD89" s="43">
        <f>BC89</f>
        <v>3</v>
      </c>
      <c r="BJ89" s="43">
        <f>BD89</f>
        <v>3</v>
      </c>
      <c r="BV89" s="43">
        <f>BC89+1</f>
        <v>4</v>
      </c>
      <c r="BW89" s="43">
        <f>BV89</f>
        <v>4</v>
      </c>
      <c r="CC89" s="43">
        <f>BW89</f>
        <v>4</v>
      </c>
      <c r="CO89" s="43">
        <f>BV89+1</f>
        <v>5</v>
      </c>
      <c r="CP89" s="43">
        <f>CO89</f>
        <v>5</v>
      </c>
      <c r="CV89" s="43">
        <f>CP89</f>
        <v>5</v>
      </c>
      <c r="DH89" s="43">
        <f>CO89+1</f>
        <v>6</v>
      </c>
      <c r="DI89" s="43">
        <f>DH89</f>
        <v>6</v>
      </c>
      <c r="DO89" s="43">
        <f>DI89</f>
        <v>6</v>
      </c>
      <c r="EA89" s="43">
        <f>DH89+1</f>
        <v>7</v>
      </c>
      <c r="EB89" s="43">
        <f>EA89</f>
        <v>7</v>
      </c>
      <c r="EH89" s="43">
        <f>EB89</f>
        <v>7</v>
      </c>
      <c r="ET89" s="43">
        <f>EA89+1</f>
        <v>8</v>
      </c>
      <c r="EU89" s="43">
        <f>ET89</f>
        <v>8</v>
      </c>
      <c r="FA89" s="43">
        <f>EU89</f>
        <v>8</v>
      </c>
      <c r="FM89" s="43">
        <f>ET89+1</f>
        <v>9</v>
      </c>
      <c r="FN89" s="43">
        <f>FM89</f>
        <v>9</v>
      </c>
      <c r="FT89" s="43">
        <f>FN89</f>
        <v>9</v>
      </c>
      <c r="GF89" s="43">
        <f>FM89+1</f>
        <v>10</v>
      </c>
      <c r="GG89" s="43">
        <f>GF89</f>
        <v>10</v>
      </c>
      <c r="GM89" s="43">
        <f>GG89</f>
        <v>10</v>
      </c>
      <c r="GY89" s="43">
        <f>GF89+1</f>
        <v>11</v>
      </c>
      <c r="GZ89" s="43">
        <f>GY89</f>
        <v>11</v>
      </c>
      <c r="HF89" s="43">
        <f>GZ89</f>
        <v>11</v>
      </c>
      <c r="HR89" s="43">
        <f>GY89+1</f>
        <v>12</v>
      </c>
      <c r="HS89" s="43">
        <f>HR89</f>
        <v>12</v>
      </c>
      <c r="HY89" s="43">
        <f>HS89</f>
        <v>12</v>
      </c>
    </row>
    <row r="90" spans="1:249" x14ac:dyDescent="0.4">
      <c r="AE90" s="43">
        <f>Z83</f>
        <v>1</v>
      </c>
      <c r="AX90" s="43">
        <f>AS83</f>
        <v>2</v>
      </c>
      <c r="BQ90" s="43">
        <f>BL83</f>
        <v>3</v>
      </c>
      <c r="CJ90" s="43">
        <f>CE83</f>
        <v>4</v>
      </c>
      <c r="DC90" s="43">
        <f>CX83</f>
        <v>5</v>
      </c>
      <c r="DV90" s="43">
        <f>DQ83</f>
        <v>6</v>
      </c>
      <c r="EO90" s="43">
        <f>EJ83</f>
        <v>7</v>
      </c>
      <c r="FH90" s="43">
        <f>FC83</f>
        <v>8</v>
      </c>
      <c r="GA90" s="43">
        <f>FV83</f>
        <v>9</v>
      </c>
      <c r="GT90" s="43">
        <f>GO83</f>
        <v>10</v>
      </c>
      <c r="HM90" s="43">
        <f>HH83</f>
        <v>11</v>
      </c>
      <c r="IF90" s="43">
        <f>IA83</f>
        <v>12</v>
      </c>
    </row>
    <row r="91" spans="1:249" x14ac:dyDescent="0.4">
      <c r="A91" s="43" t="s">
        <v>1411</v>
      </c>
      <c r="S91" s="43">
        <f>R89</f>
        <v>1</v>
      </c>
      <c r="T91" s="43">
        <f>S91</f>
        <v>1</v>
      </c>
      <c r="W91" s="43">
        <f>T91</f>
        <v>1</v>
      </c>
      <c r="AL91" s="43">
        <f>AK89</f>
        <v>2</v>
      </c>
      <c r="AM91" s="43">
        <f>AL91</f>
        <v>2</v>
      </c>
      <c r="AP91" s="43">
        <f>AM91</f>
        <v>2</v>
      </c>
      <c r="BE91" s="43">
        <f>BD89</f>
        <v>3</v>
      </c>
      <c r="BF91" s="43">
        <f>BE91</f>
        <v>3</v>
      </c>
      <c r="BI91" s="43">
        <f>BF91</f>
        <v>3</v>
      </c>
      <c r="BX91" s="43">
        <f>BW89</f>
        <v>4</v>
      </c>
      <c r="BY91" s="43">
        <f>BX91</f>
        <v>4</v>
      </c>
      <c r="CB91" s="43">
        <f>BY91</f>
        <v>4</v>
      </c>
      <c r="CQ91" s="43">
        <f>CP89</f>
        <v>5</v>
      </c>
      <c r="CR91" s="43">
        <f>CQ91</f>
        <v>5</v>
      </c>
      <c r="CU91" s="43">
        <f>CR91</f>
        <v>5</v>
      </c>
      <c r="DJ91" s="43">
        <f>DI89</f>
        <v>6</v>
      </c>
      <c r="DK91" s="43">
        <f>DJ91</f>
        <v>6</v>
      </c>
      <c r="DN91" s="43">
        <f>DK91</f>
        <v>6</v>
      </c>
      <c r="EC91" s="43">
        <f>EB89</f>
        <v>7</v>
      </c>
      <c r="ED91" s="43">
        <f>EC91</f>
        <v>7</v>
      </c>
      <c r="EG91" s="43">
        <f>ED91</f>
        <v>7</v>
      </c>
      <c r="EV91" s="43">
        <f>EU89</f>
        <v>8</v>
      </c>
      <c r="EW91" s="43">
        <f>EV91</f>
        <v>8</v>
      </c>
      <c r="EZ91" s="43">
        <f>EW91</f>
        <v>8</v>
      </c>
      <c r="FO91" s="43">
        <f>FN89</f>
        <v>9</v>
      </c>
      <c r="FP91" s="43">
        <f>FO91</f>
        <v>9</v>
      </c>
      <c r="FS91" s="43">
        <f>FP91</f>
        <v>9</v>
      </c>
      <c r="GH91" s="43">
        <f>GG89</f>
        <v>10</v>
      </c>
      <c r="GI91" s="43">
        <f>GH91</f>
        <v>10</v>
      </c>
      <c r="GL91" s="43">
        <f>GI91</f>
        <v>10</v>
      </c>
      <c r="HA91" s="43">
        <f>GZ89</f>
        <v>11</v>
      </c>
      <c r="HB91" s="43">
        <f>HA91</f>
        <v>11</v>
      </c>
      <c r="HE91" s="43">
        <f>HB91</f>
        <v>11</v>
      </c>
      <c r="HT91" s="43">
        <f>HS89</f>
        <v>12</v>
      </c>
      <c r="HU91" s="43">
        <f>HT91</f>
        <v>12</v>
      </c>
      <c r="HX91" s="43">
        <f>HU91</f>
        <v>12</v>
      </c>
    </row>
  </sheetData>
  <sheetProtection algorithmName="SHA-512" hashValue="6m5+qO91LoY3p0Y2f+EbQ4YV3RqhTFLjqZrEPLZqP7vEET7wmhSEvYRjaaoeplelPHiLwNwVVFR0n9PXFv9gLw==" saltValue="P8uG7+0QHqX4cTr0bKLq9g==" spinCount="100000" sheet="1" objects="1" scenarios="1"/>
  <mergeCells count="121">
    <mergeCell ref="N9:N10"/>
    <mergeCell ref="O9:O10"/>
    <mergeCell ref="D6:O6"/>
    <mergeCell ref="M9:M10"/>
    <mergeCell ref="P7:P10"/>
    <mergeCell ref="AE9:AE10"/>
    <mergeCell ref="AF9:AF10"/>
    <mergeCell ref="AI7:AI10"/>
    <mergeCell ref="AT7:AT8"/>
    <mergeCell ref="AN9:AN10"/>
    <mergeCell ref="AO9:AO10"/>
    <mergeCell ref="U9:U10"/>
    <mergeCell ref="V9:V10"/>
    <mergeCell ref="AA7:AA8"/>
    <mergeCell ref="AC9:AC10"/>
    <mergeCell ref="AD9:AD10"/>
    <mergeCell ref="AI6:BA6"/>
    <mergeCell ref="P6:AH6"/>
    <mergeCell ref="BM7:BM8"/>
    <mergeCell ref="BG9:BG10"/>
    <mergeCell ref="BH9:BH10"/>
    <mergeCell ref="BO9:BO10"/>
    <mergeCell ref="BP9:BP10"/>
    <mergeCell ref="AV9:AV10"/>
    <mergeCell ref="AW9:AW10"/>
    <mergeCell ref="AX9:AX10"/>
    <mergeCell ref="AY9:AY10"/>
    <mergeCell ref="BB7:BB10"/>
    <mergeCell ref="CI9:CI10"/>
    <mergeCell ref="CJ9:CJ10"/>
    <mergeCell ref="CK9:CK10"/>
    <mergeCell ref="CS9:CS10"/>
    <mergeCell ref="CT9:CT10"/>
    <mergeCell ref="BQ9:BQ10"/>
    <mergeCell ref="BR9:BR10"/>
    <mergeCell ref="BU7:BU10"/>
    <mergeCell ref="CF7:CF8"/>
    <mergeCell ref="CN7:CN10"/>
    <mergeCell ref="FF9:FF10"/>
    <mergeCell ref="FG9:FG10"/>
    <mergeCell ref="FH9:FH10"/>
    <mergeCell ref="FI9:FI10"/>
    <mergeCell ref="FD7:FD8"/>
    <mergeCell ref="EE9:EE10"/>
    <mergeCell ref="EF9:EF10"/>
    <mergeCell ref="EM9:EM10"/>
    <mergeCell ref="EN9:EN10"/>
    <mergeCell ref="EO9:EO10"/>
    <mergeCell ref="EP9:EP10"/>
    <mergeCell ref="EX9:EX10"/>
    <mergeCell ref="EY9:EY10"/>
    <mergeCell ref="EK7:EK8"/>
    <mergeCell ref="ES7:ES10"/>
    <mergeCell ref="HM9:HM10"/>
    <mergeCell ref="HN9:HN10"/>
    <mergeCell ref="HV9:HV10"/>
    <mergeCell ref="HW9:HW10"/>
    <mergeCell ref="GR9:GR10"/>
    <mergeCell ref="GS9:GS10"/>
    <mergeCell ref="GT9:GT10"/>
    <mergeCell ref="GU9:GU10"/>
    <mergeCell ref="FL7:FL10"/>
    <mergeCell ref="FW7:FW8"/>
    <mergeCell ref="GE7:GE10"/>
    <mergeCell ref="GP7:GP8"/>
    <mergeCell ref="FQ9:FQ10"/>
    <mergeCell ref="FR9:FR10"/>
    <mergeCell ref="FY9:FY10"/>
    <mergeCell ref="FZ9:FZ10"/>
    <mergeCell ref="GA9:GA10"/>
    <mergeCell ref="GB9:GB10"/>
    <mergeCell ref="GJ9:GJ10"/>
    <mergeCell ref="GK9:GK10"/>
    <mergeCell ref="HQ6:II6"/>
    <mergeCell ref="GX6:HP6"/>
    <mergeCell ref="GE6:GW6"/>
    <mergeCell ref="FL6:GD6"/>
    <mergeCell ref="ES6:FK6"/>
    <mergeCell ref="IL7:IM8"/>
    <mergeCell ref="IL9:IM9"/>
    <mergeCell ref="IN7:IO8"/>
    <mergeCell ref="IN9:IO9"/>
    <mergeCell ref="IJ6:IO6"/>
    <mergeCell ref="ID9:ID10"/>
    <mergeCell ref="IE9:IE10"/>
    <mergeCell ref="IF9:IF10"/>
    <mergeCell ref="IG9:IG10"/>
    <mergeCell ref="IJ7:IK8"/>
    <mergeCell ref="IJ9:IK9"/>
    <mergeCell ref="GX7:GX10"/>
    <mergeCell ref="HI7:HI8"/>
    <mergeCell ref="HQ7:HQ10"/>
    <mergeCell ref="IB7:IB8"/>
    <mergeCell ref="HC9:HC10"/>
    <mergeCell ref="HD9:HD10"/>
    <mergeCell ref="HK9:HK10"/>
    <mergeCell ref="HL9:HL10"/>
    <mergeCell ref="C9:C10"/>
    <mergeCell ref="C6:C7"/>
    <mergeCell ref="DZ6:ER6"/>
    <mergeCell ref="DG6:DY6"/>
    <mergeCell ref="CN6:DF6"/>
    <mergeCell ref="BU6:CM6"/>
    <mergeCell ref="BB6:BT6"/>
    <mergeCell ref="DV9:DV10"/>
    <mergeCell ref="DW9:DW10"/>
    <mergeCell ref="DZ7:DZ10"/>
    <mergeCell ref="DR7:DR8"/>
    <mergeCell ref="DL9:DL10"/>
    <mergeCell ref="DM9:DM10"/>
    <mergeCell ref="DT9:DT10"/>
    <mergeCell ref="DU9:DU10"/>
    <mergeCell ref="DA9:DA10"/>
    <mergeCell ref="DB9:DB10"/>
    <mergeCell ref="DC9:DC10"/>
    <mergeCell ref="DD9:DD10"/>
    <mergeCell ref="DG7:DG10"/>
    <mergeCell ref="CY7:CY8"/>
    <mergeCell ref="BZ9:BZ10"/>
    <mergeCell ref="CA9:CA10"/>
    <mergeCell ref="CH9:CH10"/>
  </mergeCells>
  <conditionalFormatting sqref="D11:IO80">
    <cfRule type="cellIs" dxfId="7" priority="232" operator="equal">
      <formula>0</formula>
    </cfRule>
    <cfRule type="cellIs" dxfId="6" priority="387" operator="greaterThan">
      <formula>100</formula>
    </cfRule>
    <cfRule type="cellIs" dxfId="5" priority="388" operator="between">
      <formula>10</formula>
      <formula>100</formula>
    </cfRule>
    <cfRule type="cellIs" dxfId="4" priority="389" operator="between">
      <formula>1</formula>
      <formula>10</formula>
    </cfRule>
    <cfRule type="cellIs" dxfId="3" priority="390" operator="between">
      <formula>0.1</formula>
      <formula>1</formula>
    </cfRule>
    <cfRule type="cellIs" dxfId="2" priority="391" operator="between">
      <formula>0.01</formula>
      <formula>0.1</formula>
    </cfRule>
    <cfRule type="cellIs" dxfId="1" priority="392" operator="between">
      <formula>0.001</formula>
      <formula>0.01</formula>
    </cfRule>
    <cfRule type="cellIs" dxfId="0" priority="393" operator="lessThan">
      <formula>0.001</formula>
    </cfRule>
  </conditionalFormatting>
  <pageMargins left="0.7" right="0.7" top="0.75" bottom="0.75" header="0.3" footer="0.3"/>
  <pageSetup paperSize="3" scale="58" orientation="landscape" horizontalDpi="1200" verticalDpi="1200" r:id="rId1"/>
  <headerFooter>
    <oddHeader>&amp;L&amp;"-,Bold"&amp;12AP-42 Chapter 7
Fixed Roof Tank Emission Calculations</oddHeader>
    <oddFooter>&amp;RPage &amp;P of &amp;N</oddFooter>
  </headerFooter>
  <colBreaks count="3" manualBreakCount="3">
    <brk id="15" min="5" max="65" man="1"/>
    <brk id="34" min="5" max="65" man="1"/>
    <brk id="53" min="5" max="65" man="1"/>
  </colBreaks>
  <ignoredErrors>
    <ignoredError sqref="AB8" twoDigitTextYea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E0DC8F44BAFB4890E86F71F1826E53" ma:contentTypeVersion="3" ma:contentTypeDescription="Create a new document." ma:contentTypeScope="" ma:versionID="15fea375f9b124ec1024d54697757e1a">
  <xsd:schema xmlns:xsd="http://www.w3.org/2001/XMLSchema" xmlns:xs="http://www.w3.org/2001/XMLSchema" xmlns:p="http://schemas.microsoft.com/office/2006/metadata/properties" xmlns:ns1="http://schemas.microsoft.com/sharepoint/v3" xmlns:ns2="159cf8a7-5153-4201-a998-dfd1b83a0cce" xmlns:ns3="4d0624c3-f678-473a-aaed-aa14d03be472" targetNamespace="http://schemas.microsoft.com/office/2006/metadata/properties" ma:root="true" ma:fieldsID="486649f98842a5b7ac0c786e39533567" ns1:_="" ns2:_="" ns3:_="">
    <xsd:import namespace="http://schemas.microsoft.com/sharepoint/v3"/>
    <xsd:import namespace="159cf8a7-5153-4201-a998-dfd1b83a0cce"/>
    <xsd:import namespace="4d0624c3-f678-473a-aaed-aa14d03be472"/>
    <xsd:element name="properties">
      <xsd:complexType>
        <xsd:sequence>
          <xsd:element name="documentManagement">
            <xsd:complexType>
              <xsd:all>
                <xsd:element ref="ns1:PublishingStartDate" minOccurs="0"/>
                <xsd:element ref="ns1:PublishingExpirationDate" minOccurs="0"/>
                <xsd:element ref="ns2:Programs_x002f_Projec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59cf8a7-5153-4201-a998-dfd1b83a0cce" elementFormDefault="qualified">
    <xsd:import namespace="http://schemas.microsoft.com/office/2006/documentManagement/types"/>
    <xsd:import namespace="http://schemas.microsoft.com/office/infopath/2007/PartnerControls"/>
    <xsd:element name="Programs_x002f_Projects" ma:index="10" nillable="true" ma:displayName="Programs/Projects" ma:default="Select..." ma:format="Dropdown" ma:internalName="Programs_x002f_Projects">
      <xsd:simpleType>
        <xsd:union memberTypes="dms:Text">
          <xsd:simpleType>
            <xsd:restriction base="dms:Choice">
              <xsd:enumeration value="Select..."/>
              <xsd:enumeration value="APES"/>
              <xsd:enumeration value="Amerities"/>
              <xsd:enumeration value="Ashland Railroad"/>
              <xsd:enumeration value="Astoria marine"/>
              <xsd:enumeration value="Bradford Island"/>
              <xsd:enumeration value="Bull Run"/>
              <xsd:enumeration value="Bullseye"/>
              <xsd:enumeration value="Coffin"/>
              <xsd:enumeration value="Columbia Pacific"/>
              <xsd:enumeration value="Columbia Slough"/>
              <xsd:enumeration value="Coyote Island"/>
              <xsd:enumeration value="Daimler"/>
              <xsd:enumeration value="Gasoline Termonals"/>
              <xsd:enumeration value="Grimms"/>
              <xsd:enumeration value="Hollinsworth and Vose"/>
              <xsd:enumeration value="Intel"/>
              <xsd:enumeration value="JH Baxter"/>
              <xsd:enumeration value="Jordan Cove"/>
              <xsd:enumeration value="Lebanon"/>
              <xsd:enumeration value="LNG"/>
              <xsd:enumeration value="Midcoast biosolids"/>
              <xsd:enumeration value="NE Portland scrap yard"/>
              <xsd:enumeration value="NEXT"/>
              <xsd:enumeration value="Northstar"/>
              <xsd:enumeration value="Oil re-refining co"/>
              <xsd:enumeration value="Owens-Brockway"/>
              <xsd:enumeration value="PGE Boardman"/>
              <xsd:enumeration value="Portland harbor"/>
              <xsd:enumeration value="Precision Castparts"/>
              <xsd:enumeration value="Ridwell"/>
              <xsd:enumeration value="River st warehouse"/>
              <xsd:enumeration value="Riverbend Landfill"/>
              <xsd:enumeration value="Ross island"/>
              <xsd:enumeration value="Umatilla Chemical Depot"/>
              <xsd:enumeration value="Uroboros Glass"/>
              <xsd:enumeration value="USPS"/>
              <xsd:enumeration value="West Side Quarry"/>
              <xsd:enumeration value="Willamette River sediment"/>
              <xsd:enumeration value="Zenith"/>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4d0624c3-f678-473a-aaed-aa14d03be47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ograms_x002f_Projects xmlns="159cf8a7-5153-4201-a998-dfd1b83a0cce">Zenith</Programs_x002f_Projects>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CED7364-449F-4170-A1F9-49E768C9657C}"/>
</file>

<file path=customXml/itemProps2.xml><?xml version="1.0" encoding="utf-8"?>
<ds:datastoreItem xmlns:ds="http://schemas.openxmlformats.org/officeDocument/2006/customXml" ds:itemID="{28C8DBEE-1BDA-4BE0-80B2-AC63EF27F283}">
  <ds:schemaRefs>
    <ds:schemaRef ds:uri="http://schemas.microsoft.com/office/2006/metadata/properties"/>
    <ds:schemaRef ds:uri="http://schemas.microsoft.com/office/infopath/2007/PartnerControls"/>
    <ds:schemaRef ds:uri="dc9eb931-7f5a-428c-9f0c-d0efd229564f"/>
    <ds:schemaRef ds:uri="6b473d2a-0fbf-417d-8c53-ca9724d8df11"/>
  </ds:schemaRefs>
</ds:datastoreItem>
</file>

<file path=customXml/itemProps3.xml><?xml version="1.0" encoding="utf-8"?>
<ds:datastoreItem xmlns:ds="http://schemas.openxmlformats.org/officeDocument/2006/customXml" ds:itemID="{EB0440C9-4EBE-4C2C-85DC-3677107AA26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118</vt:i4>
      </vt:variant>
    </vt:vector>
  </HeadingPairs>
  <TitlesOfParts>
    <vt:vector size="147" baseType="lpstr">
      <vt:lpstr>COVER</vt:lpstr>
      <vt:lpstr>Calc Setup</vt:lpstr>
      <vt:lpstr>Product Reference</vt:lpstr>
      <vt:lpstr>Throughput Summary</vt:lpstr>
      <vt:lpstr>Emission Summary</vt:lpstr>
      <vt:lpstr>Temperature Summary</vt:lpstr>
      <vt:lpstr>Vapor Pressure Summary</vt:lpstr>
      <vt:lpstr>Floating Roof Calculations</vt:lpstr>
      <vt:lpstr>Fixed Roof Calculations</vt:lpstr>
      <vt:lpstr>Floating Roof Tank Cons</vt:lpstr>
      <vt:lpstr>Floating Roof Fitting Info</vt:lpstr>
      <vt:lpstr>Floating Roof Product Info</vt:lpstr>
      <vt:lpstr>Fixed Roof Inputs</vt:lpstr>
      <vt:lpstr>Float Vapor Press</vt:lpstr>
      <vt:lpstr>Float Multicomp</vt:lpstr>
      <vt:lpstr>Float Temps</vt:lpstr>
      <vt:lpstr>Fixed Temps</vt:lpstr>
      <vt:lpstr>Fixed Multicomp</vt:lpstr>
      <vt:lpstr>Fixed Vapor Press</vt:lpstr>
      <vt:lpstr>AP-42 Tbls</vt:lpstr>
      <vt:lpstr>Pull Downs</vt:lpstr>
      <vt:lpstr>References</vt:lpstr>
      <vt:lpstr>Float Variables</vt:lpstr>
      <vt:lpstr>Antoine_coefficient_table</vt:lpstr>
      <vt:lpstr>Phys Prop</vt:lpstr>
      <vt:lpstr>AP-42 Weather</vt:lpstr>
      <vt:lpstr>High Prarie Crude MW</vt:lpstr>
      <vt:lpstr>AWB Crude MW</vt:lpstr>
      <vt:lpstr>Bakken Crude MW</vt:lpstr>
      <vt:lpstr>Access_Hatch</vt:lpstr>
      <vt:lpstr>Access_Hatch_Name</vt:lpstr>
      <vt:lpstr>Antoine_Name</vt:lpstr>
      <vt:lpstr>Antoines</vt:lpstr>
      <vt:lpstr>AWBCdT</vt:lpstr>
      <vt:lpstr>AWBCMW</vt:lpstr>
      <vt:lpstr>BAKdT</vt:lpstr>
      <vt:lpstr>BAKMW</vt:lpstr>
      <vt:lpstr>Bolted_Deck_Cons</vt:lpstr>
      <vt:lpstr>Bolted_Deck_Cons_Name</vt:lpstr>
      <vt:lpstr>Chem_List</vt:lpstr>
      <vt:lpstr>Column_Diameter</vt:lpstr>
      <vt:lpstr>Combo_LWSGP</vt:lpstr>
      <vt:lpstr>Combo_LWSGP_Name</vt:lpstr>
      <vt:lpstr>Deck_Construction</vt:lpstr>
      <vt:lpstr>Deck_Drain</vt:lpstr>
      <vt:lpstr>Deck_Drain_Name</vt:lpstr>
      <vt:lpstr>Deck_Leg_DD</vt:lpstr>
      <vt:lpstr>Deck_Leg_DD_Name</vt:lpstr>
      <vt:lpstr>Deck_Leg_IFR</vt:lpstr>
      <vt:lpstr>Deck_Leg_IFR_Name</vt:lpstr>
      <vt:lpstr>Deck_Leg_Pon</vt:lpstr>
      <vt:lpstr>Deck_Leg_Pon_Name</vt:lpstr>
      <vt:lpstr>Deck_Type</vt:lpstr>
      <vt:lpstr>FC</vt:lpstr>
      <vt:lpstr>Flt_Calc</vt:lpstr>
      <vt:lpstr>FLT_Cons</vt:lpstr>
      <vt:lpstr>Flt_Emis</vt:lpstr>
      <vt:lpstr>Flt_Fitting</vt:lpstr>
      <vt:lpstr>Flt_Multi</vt:lpstr>
      <vt:lpstr>FLT_Prod_Info</vt:lpstr>
      <vt:lpstr>FLT_Prods</vt:lpstr>
      <vt:lpstr>FLT_Roof_Type</vt:lpstr>
      <vt:lpstr>FLT_Setup</vt:lpstr>
      <vt:lpstr>FLT_Tank_Type</vt:lpstr>
      <vt:lpstr>Flt_Temps</vt:lpstr>
      <vt:lpstr>Flt_Vap</vt:lpstr>
      <vt:lpstr>FLT_Vols</vt:lpstr>
      <vt:lpstr>FRSCW</vt:lpstr>
      <vt:lpstr>FRSCW_Name</vt:lpstr>
      <vt:lpstr>FX_Calcs</vt:lpstr>
      <vt:lpstr>FX_Emis</vt:lpstr>
      <vt:lpstr>FX_Input</vt:lpstr>
      <vt:lpstr>FX_Multi</vt:lpstr>
      <vt:lpstr>FX_Prods</vt:lpstr>
      <vt:lpstr>FX_Roof_Type</vt:lpstr>
      <vt:lpstr>FX_Setup</vt:lpstr>
      <vt:lpstr>FX_Tank_Type</vt:lpstr>
      <vt:lpstr>FX_Temps</vt:lpstr>
      <vt:lpstr>FX_Vap</vt:lpstr>
      <vt:lpstr>FX_Vols</vt:lpstr>
      <vt:lpstr>GFW</vt:lpstr>
      <vt:lpstr>GFW_Name</vt:lpstr>
      <vt:lpstr>GHSP</vt:lpstr>
      <vt:lpstr>GHSP_Name</vt:lpstr>
      <vt:lpstr>HPCdT</vt:lpstr>
      <vt:lpstr>HPCMW</vt:lpstr>
      <vt:lpstr>KD</vt:lpstr>
      <vt:lpstr>Ladder_Well</vt:lpstr>
      <vt:lpstr>Ladder_Well_Name</vt:lpstr>
      <vt:lpstr>Month_Ref</vt:lpstr>
      <vt:lpstr>Paint_Color</vt:lpstr>
      <vt:lpstr>Paint_Cond_Column</vt:lpstr>
      <vt:lpstr>Paint_Condition</vt:lpstr>
      <vt:lpstr>Phys_Prop</vt:lpstr>
      <vt:lpstr>'Calc Setup'!Print_Area</vt:lpstr>
      <vt:lpstr>'Emission Summary'!Print_Area</vt:lpstr>
      <vt:lpstr>'Fixed Roof Calculations'!Print_Area</vt:lpstr>
      <vt:lpstr>'Float Variables'!Print_Area</vt:lpstr>
      <vt:lpstr>'Floating Roof Calculations'!Print_Area</vt:lpstr>
      <vt:lpstr>'Temperature Summary'!Print_Area</vt:lpstr>
      <vt:lpstr>'Vapor Pressure Summary'!Print_Area</vt:lpstr>
      <vt:lpstr>'Calc Setup'!Print_Titles</vt:lpstr>
      <vt:lpstr>'Emission Summary'!Print_Titles</vt:lpstr>
      <vt:lpstr>'Fixed Roof Calculations'!Print_Titles</vt:lpstr>
      <vt:lpstr>'Floating Roof Calculations'!Print_Titles</vt:lpstr>
      <vt:lpstr>'Temperature Summary'!Print_Titles</vt:lpstr>
      <vt:lpstr>'Vapor Pressure Summary'!Print_Titles</vt:lpstr>
      <vt:lpstr>Product_GRP</vt:lpstr>
      <vt:lpstr>Rim_Vent</vt:lpstr>
      <vt:lpstr>Rim_Vent_Name</vt:lpstr>
      <vt:lpstr>Roof_Column_Cons</vt:lpstr>
      <vt:lpstr>Roof_Support_Type</vt:lpstr>
      <vt:lpstr>RVP_XRef</vt:lpstr>
      <vt:lpstr>Seal_Tightness</vt:lpstr>
      <vt:lpstr>Seal_Type</vt:lpstr>
      <vt:lpstr>SGPW</vt:lpstr>
      <vt:lpstr>SGPW_Name</vt:lpstr>
      <vt:lpstr>Shell_Cond</vt:lpstr>
      <vt:lpstr>Sup_Col</vt:lpstr>
      <vt:lpstr>Surrogate_Lst</vt:lpstr>
      <vt:lpstr>Tbl_71_10</vt:lpstr>
      <vt:lpstr>Tbl_71_10_Col</vt:lpstr>
      <vt:lpstr>Tbl_71_10_Row</vt:lpstr>
      <vt:lpstr>Tbl_71_11</vt:lpstr>
      <vt:lpstr>Tbl_71_11_Dia</vt:lpstr>
      <vt:lpstr>Tbl_71_11_Max</vt:lpstr>
      <vt:lpstr>Tbl_71_13</vt:lpstr>
      <vt:lpstr>Tbl_71_13_Dia</vt:lpstr>
      <vt:lpstr>Tbl_71_13_Range</vt:lpstr>
      <vt:lpstr>Tbl_71_14</vt:lpstr>
      <vt:lpstr>Tbl_71_14_Dia</vt:lpstr>
      <vt:lpstr>Tbl_71_14_Range</vt:lpstr>
      <vt:lpstr>Tbl_71_16</vt:lpstr>
      <vt:lpstr>Tbl_71_6</vt:lpstr>
      <vt:lpstr>Tbl_71_8_Riv</vt:lpstr>
      <vt:lpstr>Tbl_71_8_Weld</vt:lpstr>
      <vt:lpstr>Tbl_71_8R_Name</vt:lpstr>
      <vt:lpstr>Tbl_71_8W_Name</vt:lpstr>
      <vt:lpstr>Tbl71_14</vt:lpstr>
      <vt:lpstr>Terminal_X_Ref</vt:lpstr>
      <vt:lpstr>Terminals</vt:lpstr>
      <vt:lpstr>USGPW</vt:lpstr>
      <vt:lpstr>USGPW_Name</vt:lpstr>
      <vt:lpstr>Vac_Break</vt:lpstr>
      <vt:lpstr>Vac_Break_Name</vt:lpstr>
      <vt:lpstr>Weather_Data</vt:lpstr>
      <vt:lpstr>Weather_Data_Ref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Danhof, Andrew</dc:creator>
  <cp:lastModifiedBy>GRAIVER David * DEQ</cp:lastModifiedBy>
  <cp:lastPrinted>2022-02-08T16:46:10Z</cp:lastPrinted>
  <dcterms:created xsi:type="dcterms:W3CDTF">2020-08-18T14:50:20Z</dcterms:created>
  <dcterms:modified xsi:type="dcterms:W3CDTF">2024-06-21T23:18:40Z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0x01010037E0DC8F44BAFB4890E86F71F1826E53</vt:lpwstr>
  </property>
  <property fmtid="{D5CDD505-2E9C-101B-9397-08002B2CF9AE}" pid="3" name="MediaServiceImageTags">
    <vt:lpwstr/>
  </property>
  <property fmtid="{D5CDD505-2E9C-101B-9397-08002B2CF9AE}" pid="4" name="MSIP_Label_09b73270-2993-4076-be47-9c78f42a1e84_Enabled">
    <vt:lpwstr>true</vt:lpwstr>
  </property>
  <property fmtid="{D5CDD505-2E9C-101B-9397-08002B2CF9AE}" pid="5" name="MSIP_Label_09b73270-2993-4076-be47-9c78f42a1e84_SetDate">
    <vt:lpwstr>2024-06-21T23:15:48Z</vt:lpwstr>
  </property>
  <property fmtid="{D5CDD505-2E9C-101B-9397-08002B2CF9AE}" pid="6" name="MSIP_Label_09b73270-2993-4076-be47-9c78f42a1e84_Method">
    <vt:lpwstr>Privileged</vt:lpwstr>
  </property>
  <property fmtid="{D5CDD505-2E9C-101B-9397-08002B2CF9AE}" pid="7" name="MSIP_Label_09b73270-2993-4076-be47-9c78f42a1e84_Name">
    <vt:lpwstr>Level 1 - Published (Items)</vt:lpwstr>
  </property>
  <property fmtid="{D5CDD505-2E9C-101B-9397-08002B2CF9AE}" pid="8" name="MSIP_Label_09b73270-2993-4076-be47-9c78f42a1e84_SiteId">
    <vt:lpwstr>aa3f6932-fa7c-47b4-a0ce-a598cad161cf</vt:lpwstr>
  </property>
  <property fmtid="{D5CDD505-2E9C-101B-9397-08002B2CF9AE}" pid="9" name="MSIP_Label_09b73270-2993-4076-be47-9c78f42a1e84_ActionId">
    <vt:lpwstr>07174a1b-f562-4dab-8f4b-1287a8452f7f</vt:lpwstr>
  </property>
  <property fmtid="{D5CDD505-2E9C-101B-9397-08002B2CF9AE}" pid="10" name="MSIP_Label_09b73270-2993-4076-be47-9c78f42a1e84_ContentBits">
    <vt:lpwstr>0</vt:lpwstr>
  </property>
</Properties>
</file>